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3.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updateLinks="never" codeName="ThisWorkbook"/>
  <mc:AlternateContent xmlns:mc="http://schemas.openxmlformats.org/markup-compatibility/2006">
    <mc:Choice Requires="x15">
      <x15ac:absPath xmlns:x15ac="http://schemas.microsoft.com/office/spreadsheetml/2010/11/ac" url="https://stateofwa.sharepoint.com/sites/DFW-TeamFPColumbiaRiverManagementUnit953/Shared Documents/Data and Analysis Tools/Harvest Accounting/Coho/Coho_in-river_harvest_accounting_R_Project/Data/FRAM/2022/"/>
    </mc:Choice>
  </mc:AlternateContent>
  <xr:revisionPtr revIDLastSave="7" documentId="8_{96656545-F94C-4AEE-B8B6-9A9898B1A3E0}" xr6:coauthVersionLast="47" xr6:coauthVersionMax="47" xr10:uidLastSave="{DACADE20-757A-4B73-A616-C9D7E7BD547A}"/>
  <bookViews>
    <workbookView xWindow="44880" yWindow="-120" windowWidth="29040" windowHeight="15840" tabRatio="723" firstSheet="27" activeTab="33" xr2:uid="{00000000-000D-0000-FFFF-FFFF00000000}"/>
  </bookViews>
  <sheets>
    <sheet name="Dependents_Overview" sheetId="56" state="hidden" r:id="rId1"/>
    <sheet name="Contents" sheetId="40" r:id="rId2"/>
    <sheet name="1" sheetId="4" r:id="rId3"/>
    <sheet name="2" sheetId="5" r:id="rId4"/>
    <sheet name="4" sheetId="6" r:id="rId5"/>
    <sheet name="7" sheetId="9" r:id="rId6"/>
    <sheet name="Sk" sheetId="10" r:id="rId7"/>
    <sheet name="StSn" sheetId="11" r:id="rId8"/>
    <sheet name="HdC" sheetId="12" r:id="rId9"/>
    <sheet name="SPS" sheetId="14" r:id="rId10"/>
    <sheet name="NS" sheetId="13" r:id="rId11"/>
    <sheet name="JDF" sheetId="15" r:id="rId12"/>
    <sheet name="PFMCTables" sheetId="35" r:id="rId13"/>
    <sheet name="WACoastTerminal" sheetId="25" r:id="rId14"/>
    <sheet name="Thompson" sheetId="28" r:id="rId15"/>
    <sheet name="Input_Harvestnew" sheetId="17" r:id="rId16"/>
    <sheet name="Input_Stockdata" sheetId="7" state="hidden" r:id="rId17"/>
    <sheet name="Tami" sheetId="16" r:id="rId18"/>
    <sheet name="Tami_Precedents" sheetId="71" state="hidden" r:id="rId19"/>
    <sheet name="FishSumAllPRN" sheetId="2" r:id="rId20"/>
    <sheet name="StockSumPRN" sheetId="20" r:id="rId21"/>
    <sheet name="Table2PRN" sheetId="3" r:id="rId22"/>
    <sheet name="TRunsPRN" sheetId="18" r:id="rId23"/>
    <sheet name="LandedCNRTMbyTP" sheetId="23" r:id="rId24"/>
    <sheet name="FisheryConvTemplate" sheetId="22" r:id="rId25"/>
    <sheet name="NT-Tsummary" sheetId="24" r:id="rId26"/>
    <sheet name="PS_HatcheryEsc." sheetId="27" r:id="rId27"/>
    <sheet name="Documentation" sheetId="29" r:id="rId28"/>
    <sheet name="fram_unm_mrkprn" sheetId="34" r:id="rId29"/>
    <sheet name="FramScalarsOPIstyle" sheetId="36" r:id="rId30"/>
    <sheet name="ColR&amp;OCN&amp;RogKlam" sheetId="19" r:id="rId31"/>
    <sheet name="ColRPercent" sheetId="31" r:id="rId32"/>
    <sheet name="ColRHarvestInput" sheetId="30" r:id="rId33"/>
    <sheet name="AttachC" sheetId="39" r:id="rId34"/>
    <sheet name="AttachCStkInput" sheetId="32" r:id="rId35"/>
    <sheet name="SportMatrix" sheetId="45" r:id="rId36"/>
    <sheet name="RunLog" sheetId="82" r:id="rId37"/>
    <sheet name="Preseason2022_Tracking" sheetId="83" r:id="rId38"/>
    <sheet name="Preseason2021_Tracking" sheetId="81" state="hidden" r:id="rId39"/>
    <sheet name="Preseason2020_Tracking" sheetId="80" state="hidden" r:id="rId40"/>
    <sheet name="Preseason2019_Tracking" sheetId="72" state="hidden" r:id="rId41"/>
    <sheet name="CohoStock_Reference" sheetId="46" r:id="rId42"/>
    <sheet name="CohoFishery_Reference" sheetId="47" r:id="rId43"/>
    <sheet name="TAAETRSList18_Reference" sheetId="73" r:id="rId44"/>
    <sheet name="Defined_Names0519" sheetId="79" state="hidden" r:id="rId45"/>
  </sheets>
  <externalReferences>
    <externalReference r:id="rId46"/>
    <externalReference r:id="rId47"/>
    <externalReference r:id="rId48"/>
  </externalReferences>
  <definedNames>
    <definedName name="AUDITSK">Sk!$A$64:$H$83</definedName>
    <definedName name="AUDITSTSN">StSn!$A$74:$J$94</definedName>
    <definedName name="ERGH" localSheetId="38">'[1]4'!$Q$23</definedName>
    <definedName name="ERGH" localSheetId="37">'[1]4'!$Q$23</definedName>
    <definedName name="ERGH" localSheetId="36">'[1]4'!$Q$23</definedName>
    <definedName name="ERGH">'4'!$Q$23</definedName>
    <definedName name="ERHC" localSheetId="38">'[1]4'!$F$23</definedName>
    <definedName name="ERHC" localSheetId="37">'[1]4'!$F$23</definedName>
    <definedName name="ERHC" localSheetId="36">'[1]4'!$F$23</definedName>
    <definedName name="ERHC">'4'!$F$23</definedName>
    <definedName name="ERHO" localSheetId="38">'[1]4'!$O$23</definedName>
    <definedName name="ERHO" localSheetId="37">'[1]4'!$O$23</definedName>
    <definedName name="ERHO" localSheetId="36">'[1]4'!$O$23</definedName>
    <definedName name="ERHO">'4'!$O$23</definedName>
    <definedName name="ERJDF" localSheetId="38">'[1]4'!$G$23</definedName>
    <definedName name="ERJDF" localSheetId="37">'[1]4'!$G$23</definedName>
    <definedName name="ERJDF" localSheetId="36">'[1]4'!$G$23</definedName>
    <definedName name="ERJDF">'4'!$G$23</definedName>
    <definedName name="ERNS" localSheetId="38">'[1]4'!$I$23</definedName>
    <definedName name="ERNS" localSheetId="37">'[1]4'!$I$23</definedName>
    <definedName name="ERNS" localSheetId="36">'[1]4'!$I$23</definedName>
    <definedName name="ERNS">'4'!$I$23</definedName>
    <definedName name="ERQF" localSheetId="38">'[1]4'!$N$23</definedName>
    <definedName name="ERQF" localSheetId="37">'[1]4'!$N$23</definedName>
    <definedName name="ERQF" localSheetId="36">'[1]4'!$N$23</definedName>
    <definedName name="ERQF">'4'!$N$23</definedName>
    <definedName name="ERQUEETS" localSheetId="38">'[1]4'!$P$23</definedName>
    <definedName name="ERQUEETS" localSheetId="37">'[1]4'!$P$23</definedName>
    <definedName name="ERQUEETS" localSheetId="36">'[1]4'!$P$23</definedName>
    <definedName name="ERQUEETS">'4'!$P$23</definedName>
    <definedName name="ERSK" localSheetId="38">'[1]4'!$C$23</definedName>
    <definedName name="ERSK" localSheetId="37">'[1]4'!$C$23</definedName>
    <definedName name="ERSK" localSheetId="36">'[1]4'!$C$23</definedName>
    <definedName name="ERSK">'4'!$C$23</definedName>
    <definedName name="ERSN" localSheetId="38">'[1]4'!$E$23</definedName>
    <definedName name="ERSN" localSheetId="37">'[1]4'!$E$23</definedName>
    <definedName name="ERSN" localSheetId="36">'[1]4'!$E$23</definedName>
    <definedName name="ERSN">'4'!$E$23</definedName>
    <definedName name="ERSPS" localSheetId="38">'[1]4'!$H$23</definedName>
    <definedName name="ERSPS" localSheetId="37">'[1]4'!$H$23</definedName>
    <definedName name="ERSPS" localSheetId="36">'[1]4'!$H$23</definedName>
    <definedName name="ERSPS">'4'!$H$23</definedName>
    <definedName name="ERST" localSheetId="38">'[1]4'!$D$23</definedName>
    <definedName name="ERST" localSheetId="37">'[1]4'!$D$23</definedName>
    <definedName name="ERST" localSheetId="36">'[1]4'!$D$23</definedName>
    <definedName name="ERST">'4'!$D$23</definedName>
    <definedName name="ERSUSGH" localSheetId="38">'[1]4'!$Q$30</definedName>
    <definedName name="ERSUSGH" localSheetId="37">'[1]4'!$Q$30</definedName>
    <definedName name="ERSUSGH" localSheetId="36">'[1]4'!$Q$30</definedName>
    <definedName name="ERSUSGH">'4'!$Q$30</definedName>
    <definedName name="ERSUSHC" localSheetId="38">'[1]4'!$F$30</definedName>
    <definedName name="ERSUSHC" localSheetId="37">'[1]4'!$F$30</definedName>
    <definedName name="ERSUSHC" localSheetId="36">'[1]4'!$F$30</definedName>
    <definedName name="ERSUSHC">'4'!$F$30</definedName>
    <definedName name="ERSUSHO" localSheetId="38">'[1]4'!$O$30</definedName>
    <definedName name="ERSUSHO" localSheetId="37">'[1]4'!$O$30</definedName>
    <definedName name="ERSUSHO" localSheetId="36">'[1]4'!$O$30</definedName>
    <definedName name="ERSUSHO">'4'!$O$30</definedName>
    <definedName name="ERSUSJDF" localSheetId="38">'[1]4'!$G$30</definedName>
    <definedName name="ERSUSJDF" localSheetId="37">'[1]4'!$G$30</definedName>
    <definedName name="ERSUSJDF" localSheetId="36">'[1]4'!$G$30</definedName>
    <definedName name="ERSUSJDF">'4'!$G$30</definedName>
    <definedName name="ERSUSNS" localSheetId="38">'[1]4'!$I$30</definedName>
    <definedName name="ERSUSNS" localSheetId="37">'[1]4'!$I$30</definedName>
    <definedName name="ERSUSNS" localSheetId="36">'[1]4'!$I$30</definedName>
    <definedName name="ERSUSNS">'4'!$I$30</definedName>
    <definedName name="ERSUSQF" localSheetId="38">'[1]4'!$N$30</definedName>
    <definedName name="ERSUSQF" localSheetId="37">'[1]4'!$N$30</definedName>
    <definedName name="ERSUSQF" localSheetId="36">'[1]4'!$N$30</definedName>
    <definedName name="ERSUSQF">'4'!$N$30</definedName>
    <definedName name="ERSUSQUEETS" localSheetId="38">'[1]4'!$P$30</definedName>
    <definedName name="ERSUSQUEETS" localSheetId="37">'[1]4'!$P$30</definedName>
    <definedName name="ERSUSQUEETS" localSheetId="36">'[1]4'!$P$30</definedName>
    <definedName name="ERSUSQUEETS">'4'!$P$30</definedName>
    <definedName name="ERSUSSK" localSheetId="38">'[1]4'!$C$30</definedName>
    <definedName name="ERSUSSK" localSheetId="37">'[1]4'!$C$30</definedName>
    <definedName name="ERSUSSK" localSheetId="36">'[1]4'!$C$30</definedName>
    <definedName name="ERSUSSK">'4'!$C$30</definedName>
    <definedName name="ERSUSSN" localSheetId="38">'[1]4'!$E$30</definedName>
    <definedName name="ERSUSSN" localSheetId="37">'[1]4'!$E$30</definedName>
    <definedName name="ERSUSSN" localSheetId="36">'[1]4'!$E$30</definedName>
    <definedName name="ERSUSSN">'4'!$E$30</definedName>
    <definedName name="ERSUSSPS" localSheetId="38">'[1]4'!$H$30</definedName>
    <definedName name="ERSUSSPS" localSheetId="37">'[1]4'!$H$30</definedName>
    <definedName name="ERSUSSPS" localSheetId="36">'[1]4'!$H$30</definedName>
    <definedName name="ERSUSSPS">'4'!$H$30</definedName>
    <definedName name="ERSUSST" localSheetId="38">'[1]4'!$D$30</definedName>
    <definedName name="ERSUSST" localSheetId="37">'[1]4'!$D$30</definedName>
    <definedName name="ERSUSST" localSheetId="36">'[1]4'!$D$30</definedName>
    <definedName name="ERSUSST">'4'!$D$30</definedName>
    <definedName name="ESCHCWLD">HdC!$D$53</definedName>
    <definedName name="ESCJDF1WLD">JDF!$I$20</definedName>
    <definedName name="ESCNSWILD">NS!$BM$31</definedName>
    <definedName name="ESCSKWLD" localSheetId="38">[1]Sk!#REF!</definedName>
    <definedName name="ESCSKWLD" localSheetId="37">[1]Sk!#REF!</definedName>
    <definedName name="ESCSKWLD" localSheetId="36">[1]Sk!#REF!</definedName>
    <definedName name="ESCSKWLD">Sk!#REF!</definedName>
    <definedName name="ESCSNWLD">StSn!$E$45</definedName>
    <definedName name="ESCSPSWILD">SPS!$AY$43</definedName>
    <definedName name="ESCSTWLD">StSn!$C$45</definedName>
    <definedName name="ETRSSPS">SPS!$C$60</definedName>
    <definedName name="_xlnm.Print_Area" localSheetId="2">'1'!$A$1:$L$79</definedName>
    <definedName name="_xlnm.Print_Area" localSheetId="3">'2'!$A$1:$T$62,'2'!$AP$1:$AX$62,'2'!$Y$1:$AO$40,'2'!$AZ$1:$BP$62</definedName>
    <definedName name="_xlnm.Print_Area" localSheetId="4">'4'!$A$1:$Q$87</definedName>
    <definedName name="_xlnm.Print_Area" localSheetId="5">'7'!$A$1:$J$53</definedName>
    <definedName name="_xlnm.Print_Area" localSheetId="33">AttachC!$A:$AA</definedName>
    <definedName name="_xlnm.Print_Area" localSheetId="34">AttachCStkInput!$A$1:$P$32</definedName>
    <definedName name="_xlnm.Print_Area" localSheetId="30">'ColR&amp;OCN&amp;RogKlam'!$R$2:$X$42</definedName>
    <definedName name="_xlnm.Print_Area" localSheetId="32">ColRHarvestInput!$A:$K</definedName>
    <definedName name="_xlnm.Print_Area" localSheetId="31">ColRPercent!$L$2:$P$48</definedName>
    <definedName name="_xlnm.Print_Area" localSheetId="27">Documentation!$A:$D</definedName>
    <definedName name="_xlnm.Print_Area" localSheetId="24">FisheryConvTemplate!$AA$6:$AP$91</definedName>
    <definedName name="_xlnm.Print_Area" localSheetId="19">FishSumAllPRN!$A:$I</definedName>
    <definedName name="_xlnm.Print_Area" localSheetId="28">fram_unm_mrkprn!$A:$M</definedName>
    <definedName name="_xlnm.Print_Area" localSheetId="29">FramScalarsOPIstyle!$B$2:$J$35</definedName>
    <definedName name="_xlnm.Print_Area" localSheetId="8">HdC!$M$1:$U$61,HdC!$A$1:$I$54,HdC!$AF$1:$AU$33</definedName>
    <definedName name="_xlnm.Print_Area" localSheetId="15">Input_Harvestnew!$A$238:$H$274</definedName>
    <definedName name="_xlnm.Print_Area" localSheetId="11">JDF!$M$3:$T$35</definedName>
    <definedName name="_xlnm.Print_Area" localSheetId="23">LandedCNRTMbyTP!$AC$5:$AS$87</definedName>
    <definedName name="_xlnm.Print_Area" localSheetId="10">NS!$BD$1:$BM$38,NS!$X$1:$AG$53</definedName>
    <definedName name="_xlnm.Print_Area" localSheetId="25">'NT-Tsummary'!$V$1:$AB$35</definedName>
    <definedName name="_xlnm.Print_Area" localSheetId="12">PFMCTables!$A$2:$F$33</definedName>
    <definedName name="_xlnm.Print_Area" localSheetId="26">PS_HatcheryEsc.!$A$3:$F$26</definedName>
    <definedName name="_xlnm.Print_Area" localSheetId="6">Sk!$K$1:$Q$42,Sk!$A$1:$J$58</definedName>
    <definedName name="_xlnm.Print_Area" localSheetId="35">SportMatrix!#REF!</definedName>
    <definedName name="_xlnm.Print_Area" localSheetId="9">SPS!$A$1:$J$61,SPS!$AG$1:$AY$46</definedName>
    <definedName name="_xlnm.Print_Area" localSheetId="20">StockSumPRN!$A$1:$K$10233</definedName>
    <definedName name="_xlnm.Print_Area" localSheetId="7">StSn!$L$1:$U$42,StSn!$A$1:$J$47,StSn!$Y$1:$AH$52</definedName>
    <definedName name="_xlnm.Print_Area" localSheetId="21">Table2PRN!$A$9665:$H$9870</definedName>
    <definedName name="_xlnm.Print_Area" localSheetId="17">Tami!$A$6:$G$96</definedName>
    <definedName name="_xlnm.Print_Area" localSheetId="14">Thompson!$A$1:$F$46</definedName>
    <definedName name="_xlnm.Print_Area" localSheetId="22">TRunsPRN!$A:$G</definedName>
    <definedName name="_xlnm.Print_Area" localSheetId="13">WACoastTerminal!$V$1:$AG$94</definedName>
    <definedName name="_xlnm.Print_Titles" localSheetId="42">CohoFishery_Reference!$1:$4</definedName>
    <definedName name="_xlnm.Print_Titles" localSheetId="41">CohoStock_Reference!$1:$4</definedName>
    <definedName name="_xlnm.Print_Titles" localSheetId="24">FisheryConvTemplate!$11:$11</definedName>
    <definedName name="_xlnm.Print_Titles" localSheetId="23">LandedCNRTMbyTP!$10:$10</definedName>
    <definedName name="solver_typ" localSheetId="17" hidden="1">2</definedName>
    <definedName name="solver_ver" localSheetId="17" hidden="1">16</definedName>
    <definedName name="TAASK">Sk!$G$7</definedName>
    <definedName name="TAASPS">SPS!$F$56</definedName>
    <definedName name="TAASPSarea10">SPS!$C$56</definedName>
    <definedName name="TAASTSN">StSn!$H$7</definedName>
    <definedName name="TABLE1">'1'!$A$1:$L$80</definedName>
    <definedName name="TABLE11A">Sk!$A$1:$I$59</definedName>
    <definedName name="TABLE11B">Sk!$K$1:$P$43</definedName>
    <definedName name="TABLE11C">Sk!$R$1:$Y$33</definedName>
    <definedName name="TABLE11D">Sk!$AA$1:$AJ$33</definedName>
    <definedName name="TABLE12A">StSn!$A$1:$J$46</definedName>
    <definedName name="TABLE12B">StSn!$L$1:$U$41</definedName>
    <definedName name="TABLE12C">StSn!$W$1:$W$33</definedName>
    <definedName name="TABLE12D">StSn!$Y$1:$AL$32</definedName>
    <definedName name="TABLE13A">HdC!$A$1:$I$58</definedName>
    <definedName name="TABLE13B">HdC!$M$1:$U$60</definedName>
    <definedName name="TABLE13C">HdC!$W$1:$AD$31</definedName>
    <definedName name="TABLE13D">HdC!$AF$1:$AQ$53</definedName>
    <definedName name="TABLE13E">HdC!$AS$1:$BN$38</definedName>
    <definedName name="TABLE14A">SPS!$A$1:$J$61</definedName>
    <definedName name="TABLE14B">SPS!$L$1:$V$31</definedName>
    <definedName name="TABLE14C">SPS!$X$1:$AE$22</definedName>
    <definedName name="TABLE14D">SPS!$AG$1:$AY$48</definedName>
    <definedName name="TABLE14E">SPS!$BA$1:$BJ$54</definedName>
    <definedName name="TABLE15A">NS!$X$1:$AG$53</definedName>
    <definedName name="TABLE15B">NS!$AI$1:$AS$16</definedName>
    <definedName name="TABLE15C">NS!$AU$1:$BB$14</definedName>
    <definedName name="TABLE15D">NS!$BD$1:$BM$38</definedName>
    <definedName name="TABLE16A">JDF!$A$1:$J$26</definedName>
    <definedName name="TABLE2A" localSheetId="25">'NT-Tsummary'!$A$1:$K$37</definedName>
    <definedName name="TABLE2A">'2'!$A$1:$M$75</definedName>
    <definedName name="TABLE2B" localSheetId="25">'NT-Tsummary'!$M$1:$S$37</definedName>
    <definedName name="TABLE2B">'2'!$O$1:$W$75</definedName>
    <definedName name="TABLE2C" localSheetId="25">'NT-Tsummary'!#REF!</definedName>
    <definedName name="TABLE2C">'2'!$Y$1:$AN$46</definedName>
    <definedName name="TABLE2D" localSheetId="25">'NT-Tsummary'!$V$1:$AB$37</definedName>
    <definedName name="TABLE2D">'2'!$AP$1:$AX$74</definedName>
    <definedName name="TABLE2E" localSheetId="25">'NT-Tsummary'!$AD$1:$AV$37</definedName>
    <definedName name="TABLE2E">'2'!$AZ$1:$BW$60</definedName>
    <definedName name="TABLE4">'4'!$A$1:$R$85</definedName>
    <definedName name="TABLE7">'7'!$A$1:$I$44</definedName>
    <definedName name="TAMI">Tami!$A$1:$L$25</definedName>
    <definedName name="TAMIDAT">Tami!$B$6:$L$19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9" i="39" l="1"/>
  <c r="P29" i="39"/>
  <c r="R106" i="25"/>
  <c r="Q106" i="25"/>
  <c r="AK38" i="19"/>
  <c r="X54" i="19" s="1"/>
  <c r="AI38" i="19"/>
  <c r="X53" i="19" s="1"/>
  <c r="AG38" i="19"/>
  <c r="X52" i="19" s="1"/>
  <c r="B56" i="10"/>
  <c r="E56" i="10"/>
  <c r="C95" i="17"/>
  <c r="K177" i="17" l="1"/>
  <c r="J177" i="17"/>
  <c r="G223" i="17"/>
  <c r="G166" i="17"/>
  <c r="D96" i="17"/>
  <c r="G26" i="17"/>
  <c r="G27" i="17"/>
  <c r="G28" i="17"/>
  <c r="G29" i="17"/>
  <c r="G30" i="17"/>
  <c r="G31" i="17"/>
  <c r="G32" i="17"/>
  <c r="G25" i="17"/>
  <c r="G17" i="17"/>
  <c r="G18" i="17"/>
  <c r="G19" i="17"/>
  <c r="G20" i="17"/>
  <c r="G21" i="17"/>
  <c r="G22" i="17"/>
  <c r="G16" i="17"/>
  <c r="N2676" i="20" l="1"/>
  <c r="N2677" i="20"/>
  <c r="N2678" i="20"/>
  <c r="N2679" i="20"/>
  <c r="N2680" i="20"/>
  <c r="N2681" i="20"/>
  <c r="N2682" i="20"/>
  <c r="N2683" i="20"/>
  <c r="N2684" i="20"/>
  <c r="N2685" i="20"/>
  <c r="N2686" i="20"/>
  <c r="N2687" i="20"/>
  <c r="N2688" i="20"/>
  <c r="N2689" i="20"/>
  <c r="N2690" i="20"/>
  <c r="N2691" i="20"/>
  <c r="N2692" i="20"/>
  <c r="N2693" i="20"/>
  <c r="N2694" i="20"/>
  <c r="N2695" i="20"/>
  <c r="N2696" i="20"/>
  <c r="N2697" i="20"/>
  <c r="N2698" i="20"/>
  <c r="N2699" i="20"/>
  <c r="N2700" i="20"/>
  <c r="N2701" i="20"/>
  <c r="N2702" i="20"/>
  <c r="N2703" i="20"/>
  <c r="N2704" i="20"/>
  <c r="N2705" i="20"/>
  <c r="N2706" i="20"/>
  <c r="N2707" i="20"/>
  <c r="N2708" i="20"/>
  <c r="N2709" i="20"/>
  <c r="N2710" i="20"/>
  <c r="N2711" i="20"/>
  <c r="N2712" i="20"/>
  <c r="N2713" i="20"/>
  <c r="N2714" i="20"/>
  <c r="N2715" i="20"/>
  <c r="N2716" i="20"/>
  <c r="N2717" i="20"/>
  <c r="N2718" i="20"/>
  <c r="N2719" i="20"/>
  <c r="N2720" i="20"/>
  <c r="N2721" i="20"/>
  <c r="N2722" i="20"/>
  <c r="N2723" i="20"/>
  <c r="N2724" i="20"/>
  <c r="N2725" i="20"/>
  <c r="N2726" i="20"/>
  <c r="N2727" i="20"/>
  <c r="N2728" i="20"/>
  <c r="N2729" i="20"/>
  <c r="N2730" i="20"/>
  <c r="N2731" i="20"/>
  <c r="N2732" i="20"/>
  <c r="N2733" i="20"/>
  <c r="N2734" i="20"/>
  <c r="N2735" i="20"/>
  <c r="N2736" i="20"/>
  <c r="N2737" i="20"/>
  <c r="N2738" i="20"/>
  <c r="N2739" i="20"/>
  <c r="N2740" i="20"/>
  <c r="N2741" i="20"/>
  <c r="N2742" i="20"/>
  <c r="N2743" i="20"/>
  <c r="N2744" i="20"/>
  <c r="N2745" i="20"/>
  <c r="N2746" i="20"/>
  <c r="N2747" i="20"/>
  <c r="N2748" i="20"/>
  <c r="N2749" i="20"/>
  <c r="N2750" i="20"/>
  <c r="N2751" i="20"/>
  <c r="N2752" i="20"/>
  <c r="N2753" i="20"/>
  <c r="N2754" i="20"/>
  <c r="N2755" i="20"/>
  <c r="N2756" i="20"/>
  <c r="N2757" i="20"/>
  <c r="N2758" i="20"/>
  <c r="N2759" i="20"/>
  <c r="N2760" i="20"/>
  <c r="N2761" i="20"/>
  <c r="N2762" i="20"/>
  <c r="N2763" i="20"/>
  <c r="N2764" i="20"/>
  <c r="N2765" i="20"/>
  <c r="N2766" i="20"/>
  <c r="N2767" i="20"/>
  <c r="N2768" i="20"/>
  <c r="N2769" i="20"/>
  <c r="N2770" i="20"/>
  <c r="N2771" i="20"/>
  <c r="N2772" i="20"/>
  <c r="N2773" i="20"/>
  <c r="N2774" i="20"/>
  <c r="N2775" i="20"/>
  <c r="N2776" i="20"/>
  <c r="N2777" i="20"/>
  <c r="N2778" i="20"/>
  <c r="N2779" i="20"/>
  <c r="N2780" i="20"/>
  <c r="N2781" i="20"/>
  <c r="N2782" i="20"/>
  <c r="N2783" i="20"/>
  <c r="N2784" i="20"/>
  <c r="N2785" i="20"/>
  <c r="N2786" i="20"/>
  <c r="N2787" i="20"/>
  <c r="N2788" i="20"/>
  <c r="N2789" i="20"/>
  <c r="N2790" i="20"/>
  <c r="N2791" i="20"/>
  <c r="N2792" i="20"/>
  <c r="N2793" i="20"/>
  <c r="N2794" i="20"/>
  <c r="N2795" i="20"/>
  <c r="N2796" i="20"/>
  <c r="N2797" i="20"/>
  <c r="N2798" i="20"/>
  <c r="N2799" i="20"/>
  <c r="N2800" i="20"/>
  <c r="N2801" i="20"/>
  <c r="N2802" i="20"/>
  <c r="N2803" i="20"/>
  <c r="N2804" i="20"/>
  <c r="N2805" i="20"/>
  <c r="N2806" i="20"/>
  <c r="N2807" i="20"/>
  <c r="N2808" i="20"/>
  <c r="N2809" i="20"/>
  <c r="N2810" i="20"/>
  <c r="N2811" i="20"/>
  <c r="N2812" i="20"/>
  <c r="N2813" i="20"/>
  <c r="N2814" i="20"/>
  <c r="N2815" i="20"/>
  <c r="N2816" i="20"/>
  <c r="N2817" i="20"/>
  <c r="N2818" i="20"/>
  <c r="N2819" i="20"/>
  <c r="N2820" i="20"/>
  <c r="N2821" i="20"/>
  <c r="N2822" i="20"/>
  <c r="N2823" i="20"/>
  <c r="N2824" i="20"/>
  <c r="N2825" i="20"/>
  <c r="N2826" i="20"/>
  <c r="N2827" i="20"/>
  <c r="N2828" i="20"/>
  <c r="N2829" i="20"/>
  <c r="N2830" i="20"/>
  <c r="N2831" i="20"/>
  <c r="N2832" i="20"/>
  <c r="N2833" i="20"/>
  <c r="N2834" i="20"/>
  <c r="N2835" i="20"/>
  <c r="N2836" i="20"/>
  <c r="N2837" i="20"/>
  <c r="N2838" i="20"/>
  <c r="N2839" i="20"/>
  <c r="N2840" i="20"/>
  <c r="N2841" i="20"/>
  <c r="N2842" i="20"/>
  <c r="N2843" i="20"/>
  <c r="N2844" i="20"/>
  <c r="N2845" i="20"/>
  <c r="N2846" i="20"/>
  <c r="N2847" i="20"/>
  <c r="N2848" i="20"/>
  <c r="N2849" i="20"/>
  <c r="N2850" i="20"/>
  <c r="N2851" i="20"/>
  <c r="N2852" i="20"/>
  <c r="N2853" i="20"/>
  <c r="N2854" i="20"/>
  <c r="N2855" i="20"/>
  <c r="N2856" i="20"/>
  <c r="N2857" i="20"/>
  <c r="N2858" i="20"/>
  <c r="N2859" i="20"/>
  <c r="N2860" i="20"/>
  <c r="N2861" i="20"/>
  <c r="N2862" i="20"/>
  <c r="N2863" i="20"/>
  <c r="N2864" i="20"/>
  <c r="N2865" i="20"/>
  <c r="N2866" i="20"/>
  <c r="N2867" i="20"/>
  <c r="N2868" i="20"/>
  <c r="N2869" i="20"/>
  <c r="N2870" i="20"/>
  <c r="N2871" i="20"/>
  <c r="N2872" i="20"/>
  <c r="N2873" i="20"/>
  <c r="N2675" i="20"/>
  <c r="AG29" i="15" l="1"/>
  <c r="AE29" i="15"/>
  <c r="AG28" i="15"/>
  <c r="AE28" i="15"/>
  <c r="AG27" i="15"/>
  <c r="AE27" i="15"/>
  <c r="AG26" i="15"/>
  <c r="AE26" i="15"/>
  <c r="AG25" i="15"/>
  <c r="AE25" i="15"/>
  <c r="AG24" i="15"/>
  <c r="AE24" i="15"/>
  <c r="AG23" i="15"/>
  <c r="AE23" i="15"/>
  <c r="AG21" i="15"/>
  <c r="AE21" i="15"/>
  <c r="AG20" i="15"/>
  <c r="AE20" i="15"/>
  <c r="AG19" i="15"/>
  <c r="AE19" i="15"/>
  <c r="AG18" i="15"/>
  <c r="AE18" i="15"/>
  <c r="AG17" i="15"/>
  <c r="AE17" i="15"/>
  <c r="AG16" i="15"/>
  <c r="AE16" i="15"/>
  <c r="AG15" i="15"/>
  <c r="AE15" i="15"/>
  <c r="AG14" i="15"/>
  <c r="AE14" i="15"/>
  <c r="AG13" i="15"/>
  <c r="AE13" i="15"/>
  <c r="AG12" i="15"/>
  <c r="AE12" i="15"/>
  <c r="AG11" i="15"/>
  <c r="AE11" i="15"/>
  <c r="AG10" i="15"/>
  <c r="AE10" i="15"/>
  <c r="AG9" i="15"/>
  <c r="AE9" i="15"/>
  <c r="AG31" i="15" l="1"/>
  <c r="AE32" i="15"/>
  <c r="AE31" i="15"/>
  <c r="AG32" i="15"/>
  <c r="AK107" i="5" l="1"/>
  <c r="B3" i="17" l="1"/>
  <c r="BE59" i="5" l="1"/>
  <c r="N3" i="4" l="1"/>
  <c r="N2" i="4"/>
  <c r="E44" i="35" l="1"/>
  <c r="E45" i="35"/>
  <c r="E46" i="35"/>
  <c r="E43" i="35"/>
  <c r="Z107" i="5" l="1"/>
  <c r="AE107" i="5"/>
  <c r="E34" i="9" l="1"/>
  <c r="G41" i="9" s="1"/>
  <c r="D30" i="36"/>
  <c r="D28" i="36"/>
  <c r="D27" i="36"/>
  <c r="D26" i="36"/>
  <c r="D14" i="36"/>
  <c r="D13" i="36"/>
  <c r="D11" i="36"/>
  <c r="D10" i="36"/>
  <c r="C35" i="28" l="1"/>
  <c r="B84" i="35" l="1"/>
  <c r="K93" i="35" l="1"/>
  <c r="J93" i="35"/>
  <c r="I93" i="35"/>
  <c r="H93" i="35"/>
  <c r="F93" i="35"/>
  <c r="E93" i="35"/>
  <c r="D93" i="35"/>
  <c r="C93" i="35"/>
  <c r="C119" i="35" l="1"/>
  <c r="C120" i="35"/>
  <c r="F54" i="17" l="1"/>
  <c r="G54" i="17" s="1"/>
  <c r="F56" i="10"/>
  <c r="G56" i="10" s="1"/>
  <c r="G60" i="5"/>
  <c r="F60" i="5"/>
  <c r="H60" i="5" l="1"/>
  <c r="E40" i="10" s="1"/>
  <c r="E60" i="5"/>
  <c r="B40" i="10" s="1"/>
  <c r="J66" i="17"/>
  <c r="P11" i="6" l="1"/>
  <c r="J22" i="35" s="1"/>
  <c r="I10" i="6" l="1"/>
  <c r="G6511" i="3" l="1"/>
  <c r="G6301" i="3"/>
  <c r="G6091" i="3"/>
  <c r="M19" i="6" l="1"/>
  <c r="M10" i="6" l="1"/>
  <c r="L10" i="6"/>
  <c r="L20" i="6" l="1"/>
  <c r="M20" i="6"/>
  <c r="K10" i="6"/>
  <c r="G275" i="17"/>
  <c r="G274" i="17"/>
  <c r="G272" i="17"/>
  <c r="G267" i="17"/>
  <c r="G266" i="17"/>
  <c r="G264" i="17"/>
  <c r="G254" i="17"/>
  <c r="G252" i="17"/>
  <c r="G244" i="17"/>
  <c r="G235" i="17"/>
  <c r="G233" i="17"/>
  <c r="G230" i="17"/>
  <c r="G229" i="17"/>
  <c r="G228" i="17"/>
  <c r="G226" i="17"/>
  <c r="G222" i="17"/>
  <c r="G218" i="17"/>
  <c r="G207" i="17"/>
  <c r="F198" i="17"/>
  <c r="F197" i="17"/>
  <c r="F196" i="17"/>
  <c r="F195" i="17"/>
  <c r="F194" i="17"/>
  <c r="G189" i="17"/>
  <c r="G182" i="17"/>
  <c r="G181" i="17"/>
  <c r="G178" i="17"/>
  <c r="G171" i="17"/>
  <c r="G165" i="17"/>
  <c r="G159" i="17"/>
  <c r="G115" i="17"/>
  <c r="G114" i="17"/>
  <c r="F99" i="17"/>
  <c r="G99" i="17" s="1"/>
  <c r="F98" i="17"/>
  <c r="G98" i="17" s="1"/>
  <c r="F97" i="17"/>
  <c r="G97" i="17" s="1"/>
  <c r="F96" i="17"/>
  <c r="G96" i="17" s="1"/>
  <c r="F92" i="17"/>
  <c r="G92" i="17" s="1"/>
  <c r="F91" i="17"/>
  <c r="G91" i="17" s="1"/>
  <c r="F90" i="17"/>
  <c r="G90" i="17" s="1"/>
  <c r="F89" i="17"/>
  <c r="G89" i="17" s="1"/>
  <c r="F88" i="17"/>
  <c r="G88" i="17" s="1"/>
  <c r="F87" i="17"/>
  <c r="G87" i="17" s="1"/>
  <c r="F86" i="17"/>
  <c r="G86" i="17" s="1"/>
  <c r="F85" i="17"/>
  <c r="G85" i="17" s="1"/>
  <c r="G76" i="17"/>
  <c r="G75" i="17"/>
  <c r="G74" i="17"/>
  <c r="G73" i="17"/>
  <c r="G72" i="17"/>
  <c r="G71" i="17"/>
  <c r="G70" i="17"/>
  <c r="J70" i="17"/>
  <c r="J71" i="17" s="1"/>
  <c r="F58" i="17"/>
  <c r="G58" i="17" s="1"/>
  <c r="F57" i="17"/>
  <c r="G57" i="17" s="1"/>
  <c r="F56" i="17"/>
  <c r="G56" i="17" s="1"/>
  <c r="F55" i="17"/>
  <c r="G55" i="17" s="1"/>
  <c r="F53" i="17"/>
  <c r="G53" i="17" s="1"/>
  <c r="F52" i="17"/>
  <c r="G52" i="17" s="1"/>
  <c r="G39" i="17"/>
  <c r="G38" i="17"/>
  <c r="G37" i="17"/>
  <c r="G36" i="17"/>
  <c r="A84" i="35" l="1"/>
  <c r="O6644" i="3" l="1"/>
  <c r="N6644" i="3"/>
  <c r="M6644" i="3"/>
  <c r="L6644" i="3"/>
  <c r="O6643" i="3"/>
  <c r="N6643" i="3"/>
  <c r="M6643" i="3"/>
  <c r="L6643" i="3"/>
  <c r="O6633" i="3"/>
  <c r="N6633" i="3"/>
  <c r="M6633" i="3"/>
  <c r="L6633" i="3"/>
  <c r="O6632" i="3"/>
  <c r="N6632" i="3"/>
  <c r="M6632" i="3"/>
  <c r="L6632" i="3"/>
  <c r="L6634" i="3" l="1"/>
  <c r="L6645" i="3"/>
  <c r="O6645" i="3"/>
  <c r="O6647" i="3" s="1"/>
  <c r="O6634" i="3"/>
  <c r="O6637" i="3" s="1"/>
  <c r="M6634" i="3"/>
  <c r="M6637" i="3" s="1"/>
  <c r="N6634" i="3"/>
  <c r="N6637" i="3" s="1"/>
  <c r="M6645" i="3"/>
  <c r="M6648" i="3" s="1"/>
  <c r="N6645" i="3"/>
  <c r="N6647" i="3" s="1"/>
  <c r="O6636" i="3" l="1"/>
  <c r="O6648" i="3"/>
  <c r="M6636" i="3"/>
  <c r="M6647" i="3"/>
  <c r="N6636" i="3"/>
  <c r="N6648" i="3"/>
  <c r="E40" i="16" l="1"/>
  <c r="P22" i="36" l="1"/>
  <c r="J17" i="36"/>
  <c r="E12" i="36"/>
  <c r="D12" i="36" s="1"/>
  <c r="G62" i="17" l="1"/>
  <c r="G40" i="17" l="1"/>
  <c r="F26" i="16" l="1"/>
  <c r="E26" i="16"/>
  <c r="F50" i="16" l="1"/>
  <c r="E50" i="16"/>
  <c r="D50" i="16"/>
  <c r="C50" i="16"/>
  <c r="K25" i="17" l="1"/>
  <c r="L35" i="17" l="1"/>
  <c r="E32" i="17" s="1"/>
  <c r="L31" i="17"/>
  <c r="E31" i="17" s="1"/>
  <c r="L28" i="17"/>
  <c r="E26" i="17" s="1"/>
  <c r="L30" i="17"/>
  <c r="E30" i="17" s="1"/>
  <c r="L29" i="17"/>
  <c r="E27" i="17" s="1"/>
  <c r="L32" i="17"/>
  <c r="L34" i="17" s="1"/>
  <c r="E29" i="17" s="1"/>
  <c r="L27" i="17"/>
  <c r="E25" i="17" s="1"/>
  <c r="E193" i="17"/>
  <c r="E31" i="16" l="1"/>
  <c r="H31" i="36"/>
  <c r="G28" i="36"/>
  <c r="G27" i="36"/>
  <c r="G26" i="36"/>
  <c r="E25" i="36"/>
  <c r="F22" i="36"/>
  <c r="M17" i="36"/>
  <c r="M22" i="36" s="1"/>
  <c r="E17" i="36"/>
  <c r="D17" i="36" s="1"/>
  <c r="U10" i="36"/>
  <c r="J14" i="36"/>
  <c r="U11" i="36"/>
  <c r="T10" i="36"/>
  <c r="J11" i="36"/>
  <c r="T11" i="36"/>
  <c r="E9" i="36"/>
  <c r="D9" i="36" s="1"/>
  <c r="D38" i="36" s="1"/>
  <c r="I18" i="36" l="1"/>
  <c r="E22" i="36"/>
  <c r="H32" i="36"/>
  <c r="H33" i="36"/>
  <c r="E38" i="36"/>
  <c r="I12" i="36"/>
  <c r="I31" i="36"/>
  <c r="F9" i="36"/>
  <c r="P10" i="36" s="1"/>
  <c r="G31" i="36"/>
  <c r="F12" i="36"/>
  <c r="Q10" i="36" s="1"/>
  <c r="AA107" i="5"/>
  <c r="D22" i="36" l="1"/>
  <c r="I22" i="36" s="1"/>
  <c r="G35" i="36" s="1"/>
  <c r="G22" i="36"/>
  <c r="G18" i="36"/>
  <c r="G19" i="36" s="1"/>
  <c r="H18" i="36"/>
  <c r="H20" i="36" s="1"/>
  <c r="H22" i="36"/>
  <c r="P11" i="36"/>
  <c r="P12" i="36" s="1"/>
  <c r="P13" i="36" s="1"/>
  <c r="G32" i="36"/>
  <c r="G33" i="36"/>
  <c r="Q11" i="36"/>
  <c r="H12" i="36"/>
  <c r="F38" i="36"/>
  <c r="I32" i="36"/>
  <c r="I33" i="36"/>
  <c r="I19" i="36"/>
  <c r="I20" i="36"/>
  <c r="G12" i="36"/>
  <c r="H19" i="36" l="1"/>
  <c r="G20" i="36"/>
  <c r="L9" i="36"/>
  <c r="L12" i="36"/>
  <c r="Q12" i="36"/>
  <c r="Q13" i="36" s="1"/>
  <c r="A114" i="17"/>
  <c r="E85" i="16" l="1"/>
  <c r="E57" i="16"/>
  <c r="N165" i="10"/>
  <c r="E93" i="16"/>
  <c r="E92" i="16"/>
  <c r="E91" i="16"/>
  <c r="E90" i="16"/>
  <c r="E89" i="16"/>
  <c r="E88" i="16"/>
  <c r="E84" i="16"/>
  <c r="D84" i="16"/>
  <c r="D81" i="16"/>
  <c r="D87" i="16"/>
  <c r="C85" i="16"/>
  <c r="C84" i="16"/>
  <c r="E78" i="16"/>
  <c r="E76" i="16"/>
  <c r="E75" i="16"/>
  <c r="E73" i="16"/>
  <c r="E72" i="16"/>
  <c r="E71" i="16"/>
  <c r="E70" i="16"/>
  <c r="E69" i="16"/>
  <c r="E68" i="16"/>
  <c r="D71" i="16"/>
  <c r="D70" i="16"/>
  <c r="D69" i="16"/>
  <c r="D68" i="16"/>
  <c r="C71" i="16"/>
  <c r="C70" i="16"/>
  <c r="C69" i="16"/>
  <c r="C68" i="16"/>
  <c r="E65" i="16"/>
  <c r="E64" i="16"/>
  <c r="D65" i="16"/>
  <c r="D64" i="16"/>
  <c r="C65" i="16"/>
  <c r="C64" i="16"/>
  <c r="E62" i="16"/>
  <c r="E60" i="16"/>
  <c r="E59" i="16"/>
  <c r="E58" i="16"/>
  <c r="D60" i="16"/>
  <c r="D59" i="16"/>
  <c r="D58" i="16"/>
  <c r="D57" i="16"/>
  <c r="C60" i="16"/>
  <c r="C59" i="16"/>
  <c r="C58" i="16"/>
  <c r="C57" i="16"/>
  <c r="E54" i="16"/>
  <c r="E53" i="16"/>
  <c r="E52" i="16"/>
  <c r="E51" i="16"/>
  <c r="E55" i="16"/>
  <c r="E49" i="16"/>
  <c r="E48" i="16"/>
  <c r="C52" i="16"/>
  <c r="C51" i="16"/>
  <c r="C49" i="16"/>
  <c r="C48" i="16"/>
  <c r="C47" i="16"/>
  <c r="D52" i="16"/>
  <c r="D51" i="16"/>
  <c r="D49" i="16"/>
  <c r="D48" i="16"/>
  <c r="D47" i="16"/>
  <c r="D46" i="16"/>
  <c r="F43" i="16"/>
  <c r="E43" i="16"/>
  <c r="E41" i="16"/>
  <c r="E39" i="16"/>
  <c r="E38" i="16"/>
  <c r="D39" i="16"/>
  <c r="D38" i="16"/>
  <c r="D37" i="16"/>
  <c r="D36" i="16"/>
  <c r="C39" i="16"/>
  <c r="C38" i="16"/>
  <c r="E32" i="16"/>
  <c r="D29" i="16"/>
  <c r="D28" i="16"/>
  <c r="D23" i="16"/>
  <c r="E17" i="16"/>
  <c r="E12" i="16"/>
  <c r="E11" i="16"/>
  <c r="L15" i="32" l="1"/>
  <c r="K15" i="32"/>
  <c r="G13" i="32"/>
  <c r="E9" i="32"/>
  <c r="D9" i="32"/>
  <c r="E8" i="32"/>
  <c r="D8" i="32"/>
  <c r="E10" i="32" l="1"/>
  <c r="D10" i="32" s="1"/>
  <c r="B5" i="39" l="1"/>
  <c r="B4" i="39"/>
  <c r="Y3" i="39"/>
  <c r="C6" i="30" l="1"/>
  <c r="C29" i="30" s="1"/>
  <c r="L7" i="31" l="1"/>
  <c r="L6" i="31"/>
  <c r="B6" i="31"/>
  <c r="M6" i="31" s="1"/>
  <c r="L5" i="31" l="1"/>
  <c r="B5" i="31"/>
  <c r="M5" i="31" s="1"/>
  <c r="L4" i="31"/>
  <c r="E155" i="19" l="1"/>
  <c r="E157" i="19" s="1"/>
  <c r="E154" i="19"/>
  <c r="E156" i="19" s="1"/>
  <c r="R148" i="19"/>
  <c r="T54" i="19" l="1"/>
  <c r="T53" i="19" l="1"/>
  <c r="T52" i="19" l="1"/>
  <c r="W49" i="19"/>
  <c r="T49" i="19"/>
  <c r="T59" i="19" s="1"/>
  <c r="W48" i="19"/>
  <c r="T48" i="19"/>
  <c r="V48" i="19" l="1"/>
  <c r="T58" i="19"/>
  <c r="V58" i="19" s="1"/>
  <c r="U54" i="19"/>
  <c r="V54" i="19" s="1"/>
  <c r="V59" i="19"/>
  <c r="V49" i="19"/>
  <c r="W47" i="19"/>
  <c r="T47" i="19"/>
  <c r="W42" i="19"/>
  <c r="B54" i="35" s="1"/>
  <c r="T42" i="19"/>
  <c r="B53" i="35" s="1"/>
  <c r="V47" i="19" l="1"/>
  <c r="T57" i="19"/>
  <c r="V57" i="19" s="1"/>
  <c r="O41" i="19"/>
  <c r="N41" i="19"/>
  <c r="M41" i="19"/>
  <c r="O40" i="19"/>
  <c r="N40" i="19"/>
  <c r="M40" i="19"/>
  <c r="O39" i="19"/>
  <c r="N39" i="19"/>
  <c r="M39" i="19"/>
  <c r="P40" i="19" l="1"/>
  <c r="P39" i="19"/>
  <c r="P41" i="19"/>
  <c r="F39" i="19"/>
  <c r="E39" i="19"/>
  <c r="C39" i="19"/>
  <c r="B39" i="19"/>
  <c r="W38" i="19"/>
  <c r="T38" i="19"/>
  <c r="K68" i="35" s="1"/>
  <c r="F38" i="19"/>
  <c r="E38" i="19"/>
  <c r="C38" i="19"/>
  <c r="B38" i="19"/>
  <c r="O37" i="19"/>
  <c r="N37" i="19"/>
  <c r="M37" i="19"/>
  <c r="D39" i="19" l="1"/>
  <c r="H39" i="19"/>
  <c r="G39" i="19"/>
  <c r="G38" i="19"/>
  <c r="I39" i="19"/>
  <c r="P37" i="19"/>
  <c r="I38" i="19"/>
  <c r="D38" i="19"/>
  <c r="H38" i="19"/>
  <c r="F37" i="19"/>
  <c r="E37" i="19"/>
  <c r="C37" i="19"/>
  <c r="B37" i="19"/>
  <c r="AB36" i="19"/>
  <c r="H59" i="35" s="1"/>
  <c r="W36" i="19"/>
  <c r="N59" i="35" s="1"/>
  <c r="T36" i="19"/>
  <c r="O36" i="19"/>
  <c r="N36" i="19"/>
  <c r="M36" i="19"/>
  <c r="AB35" i="19"/>
  <c r="H58" i="35" s="1"/>
  <c r="W35" i="19"/>
  <c r="N58" i="35" s="1"/>
  <c r="T35" i="19"/>
  <c r="O35" i="19"/>
  <c r="N35" i="19"/>
  <c r="M35" i="19"/>
  <c r="F35" i="19"/>
  <c r="E35" i="19"/>
  <c r="C35" i="19"/>
  <c r="B35" i="19"/>
  <c r="AB34" i="19"/>
  <c r="W34" i="19"/>
  <c r="T34" i="19"/>
  <c r="AK34" i="19" s="1"/>
  <c r="O34" i="19"/>
  <c r="N34" i="19"/>
  <c r="M34" i="19"/>
  <c r="AG36" i="19" l="1"/>
  <c r="K59" i="35"/>
  <c r="AG35" i="19"/>
  <c r="K58" i="35"/>
  <c r="H37" i="19"/>
  <c r="J39" i="19"/>
  <c r="G35" i="19"/>
  <c r="P35" i="19"/>
  <c r="AK36" i="19"/>
  <c r="H35" i="19"/>
  <c r="D37" i="19"/>
  <c r="I37" i="19"/>
  <c r="J38" i="19"/>
  <c r="P34" i="19"/>
  <c r="AI34" i="19"/>
  <c r="AG34" i="19"/>
  <c r="D35" i="19"/>
  <c r="AK35" i="19"/>
  <c r="G37" i="19"/>
  <c r="I35" i="19"/>
  <c r="P36" i="19"/>
  <c r="F34" i="19"/>
  <c r="E34" i="19"/>
  <c r="C34" i="19"/>
  <c r="B34" i="19"/>
  <c r="AB33" i="19"/>
  <c r="H57" i="35" s="1"/>
  <c r="W33" i="19"/>
  <c r="N57" i="35" s="1"/>
  <c r="T33" i="19"/>
  <c r="F33" i="19"/>
  <c r="E33" i="19"/>
  <c r="C33" i="19"/>
  <c r="B33" i="19"/>
  <c r="AB32" i="19"/>
  <c r="W32" i="19"/>
  <c r="T32" i="19"/>
  <c r="AK32" i="19" s="1"/>
  <c r="O32" i="19"/>
  <c r="N32" i="19"/>
  <c r="M32" i="19"/>
  <c r="F32" i="19"/>
  <c r="E32" i="19"/>
  <c r="C32" i="19"/>
  <c r="B32" i="19"/>
  <c r="AB31" i="19"/>
  <c r="W31" i="19"/>
  <c r="T31" i="19"/>
  <c r="AI31" i="19" s="1"/>
  <c r="O31" i="19"/>
  <c r="N31" i="19"/>
  <c r="M31" i="19"/>
  <c r="AB30" i="19"/>
  <c r="W30" i="19"/>
  <c r="T30" i="19"/>
  <c r="O30" i="19"/>
  <c r="N30" i="19"/>
  <c r="M30" i="19"/>
  <c r="F30" i="19"/>
  <c r="E30" i="19"/>
  <c r="C30" i="19"/>
  <c r="B30" i="19"/>
  <c r="O29" i="19"/>
  <c r="N29" i="19"/>
  <c r="M29" i="19"/>
  <c r="F29" i="19"/>
  <c r="E29" i="19"/>
  <c r="C29" i="19"/>
  <c r="B29" i="19"/>
  <c r="AB28" i="19"/>
  <c r="H64" i="35" s="1"/>
  <c r="W28" i="19"/>
  <c r="N64" i="35" s="1"/>
  <c r="T28" i="19"/>
  <c r="O28" i="19"/>
  <c r="N28" i="19"/>
  <c r="M28" i="19"/>
  <c r="F28" i="19"/>
  <c r="E28" i="19"/>
  <c r="C28" i="19"/>
  <c r="B28" i="19"/>
  <c r="AB27" i="19"/>
  <c r="H63" i="35" s="1"/>
  <c r="W27" i="19"/>
  <c r="N63" i="35" s="1"/>
  <c r="T27" i="19"/>
  <c r="O27" i="19"/>
  <c r="N27" i="19"/>
  <c r="M27" i="19"/>
  <c r="F27" i="19"/>
  <c r="E27" i="19"/>
  <c r="C27" i="19"/>
  <c r="B27" i="19"/>
  <c r="AB26" i="19"/>
  <c r="W26" i="19"/>
  <c r="T26" i="19"/>
  <c r="AI26" i="19" s="1"/>
  <c r="O26" i="19"/>
  <c r="N26" i="19"/>
  <c r="M26" i="19"/>
  <c r="F26" i="19"/>
  <c r="E26" i="19"/>
  <c r="C26" i="19"/>
  <c r="B26" i="19"/>
  <c r="AB25" i="19"/>
  <c r="W25" i="19"/>
  <c r="T25" i="19"/>
  <c r="O25" i="19"/>
  <c r="N25" i="19"/>
  <c r="M25" i="19"/>
  <c r="F25" i="19"/>
  <c r="E25" i="19"/>
  <c r="C25" i="19"/>
  <c r="B25" i="19"/>
  <c r="AB24" i="19"/>
  <c r="W24" i="19"/>
  <c r="T24" i="19"/>
  <c r="AK24" i="19" s="1"/>
  <c r="F24" i="19"/>
  <c r="E24" i="19"/>
  <c r="C24" i="19"/>
  <c r="B24" i="19"/>
  <c r="AB23" i="19"/>
  <c r="W23" i="19"/>
  <c r="T23" i="19"/>
  <c r="AK23" i="19" s="1"/>
  <c r="O23" i="19"/>
  <c r="N23" i="19"/>
  <c r="M23" i="19"/>
  <c r="F23" i="19"/>
  <c r="E23" i="19"/>
  <c r="C23" i="19"/>
  <c r="B23" i="19"/>
  <c r="AB22" i="19"/>
  <c r="W22" i="19"/>
  <c r="T22" i="19"/>
  <c r="O22" i="19"/>
  <c r="N22" i="19"/>
  <c r="M22" i="19"/>
  <c r="O21" i="19"/>
  <c r="N21" i="19"/>
  <c r="M21" i="19"/>
  <c r="F21" i="19"/>
  <c r="E21" i="19"/>
  <c r="C21" i="19"/>
  <c r="B21" i="19"/>
  <c r="W20" i="19"/>
  <c r="N66" i="35" s="1"/>
  <c r="T20" i="19"/>
  <c r="O20" i="19"/>
  <c r="N20" i="19"/>
  <c r="M20" i="19"/>
  <c r="F20" i="19"/>
  <c r="E20" i="19"/>
  <c r="C20" i="19"/>
  <c r="B20" i="19"/>
  <c r="F19" i="19"/>
  <c r="E19" i="19"/>
  <c r="C19" i="19"/>
  <c r="B19" i="19"/>
  <c r="W18" i="19"/>
  <c r="N50" i="35" s="1"/>
  <c r="T18" i="19"/>
  <c r="F18" i="19"/>
  <c r="E18" i="19"/>
  <c r="C18" i="19"/>
  <c r="B18" i="19"/>
  <c r="H56" i="35" l="1"/>
  <c r="N61" i="35"/>
  <c r="K56" i="35"/>
  <c r="H62" i="35"/>
  <c r="H61" i="35"/>
  <c r="N56" i="35"/>
  <c r="N62" i="35"/>
  <c r="AG18" i="19"/>
  <c r="K50" i="35"/>
  <c r="AG27" i="19"/>
  <c r="K63" i="35"/>
  <c r="AI22" i="19"/>
  <c r="K61" i="35"/>
  <c r="AG28" i="19"/>
  <c r="K64" i="35"/>
  <c r="AI33" i="19"/>
  <c r="K57" i="35"/>
  <c r="AI25" i="19"/>
  <c r="K62" i="35"/>
  <c r="AI20" i="19"/>
  <c r="K66" i="35"/>
  <c r="H21" i="19"/>
  <c r="I20" i="19"/>
  <c r="I24" i="19"/>
  <c r="H33" i="19"/>
  <c r="H28" i="19"/>
  <c r="J37" i="19"/>
  <c r="I26" i="19"/>
  <c r="D28" i="19"/>
  <c r="G33" i="19"/>
  <c r="I25" i="19"/>
  <c r="I23" i="19"/>
  <c r="H27" i="19"/>
  <c r="H34" i="19"/>
  <c r="G21" i="19"/>
  <c r="G28" i="19"/>
  <c r="I21" i="19"/>
  <c r="G25" i="19"/>
  <c r="G29" i="19"/>
  <c r="G34" i="19"/>
  <c r="H32" i="19"/>
  <c r="AG22" i="19"/>
  <c r="AG23" i="19"/>
  <c r="G27" i="19"/>
  <c r="P29" i="19"/>
  <c r="AB20" i="19" s="1"/>
  <c r="H66" i="35" s="1"/>
  <c r="G30" i="19"/>
  <c r="AG32" i="19"/>
  <c r="H20" i="19"/>
  <c r="H26" i="19"/>
  <c r="H29" i="19"/>
  <c r="D33" i="19"/>
  <c r="AK26" i="19"/>
  <c r="AK28" i="19"/>
  <c r="AK31" i="19"/>
  <c r="G32" i="19"/>
  <c r="AG33" i="19"/>
  <c r="AK18" i="19"/>
  <c r="I18" i="19"/>
  <c r="AG20" i="19"/>
  <c r="H23" i="19"/>
  <c r="H24" i="19"/>
  <c r="AG24" i="19"/>
  <c r="AG25" i="19"/>
  <c r="AG26" i="19"/>
  <c r="D27" i="19"/>
  <c r="D29" i="19"/>
  <c r="P30" i="19"/>
  <c r="D32" i="19"/>
  <c r="D34" i="19"/>
  <c r="I19" i="19"/>
  <c r="AK27" i="19"/>
  <c r="P31" i="19"/>
  <c r="G23" i="19"/>
  <c r="D25" i="19"/>
  <c r="J35" i="19"/>
  <c r="E48" i="19"/>
  <c r="N50" i="19"/>
  <c r="N52" i="19"/>
  <c r="E13" i="30"/>
  <c r="D19" i="30"/>
  <c r="AI30" i="19"/>
  <c r="D20" i="19"/>
  <c r="D21" i="19"/>
  <c r="AK22" i="19"/>
  <c r="D23" i="19"/>
  <c r="D24" i="19"/>
  <c r="H25" i="19"/>
  <c r="D26" i="19"/>
  <c r="B48" i="19"/>
  <c r="O50" i="19"/>
  <c r="O52" i="19"/>
  <c r="M50" i="19"/>
  <c r="M52" i="19"/>
  <c r="D13" i="30"/>
  <c r="H13" i="30"/>
  <c r="D18" i="19"/>
  <c r="G20" i="19"/>
  <c r="G24" i="19"/>
  <c r="G26" i="19"/>
  <c r="P27" i="19"/>
  <c r="P28" i="19"/>
  <c r="I30" i="19"/>
  <c r="AG30" i="19"/>
  <c r="P32" i="19"/>
  <c r="F48" i="19"/>
  <c r="C48" i="19"/>
  <c r="G13" i="30"/>
  <c r="E19" i="30"/>
  <c r="H18" i="19"/>
  <c r="D19" i="19"/>
  <c r="H19" i="19"/>
  <c r="G18" i="19"/>
  <c r="G19" i="19"/>
  <c r="P20" i="19"/>
  <c r="P21" i="19"/>
  <c r="AB11" i="19" s="1"/>
  <c r="H43" i="35" s="1"/>
  <c r="P22" i="19"/>
  <c r="P23" i="19"/>
  <c r="P25" i="19"/>
  <c r="AB15" i="19" s="1"/>
  <c r="H51" i="35" s="1"/>
  <c r="P26" i="19"/>
  <c r="I27" i="19"/>
  <c r="I28" i="19"/>
  <c r="I29" i="19"/>
  <c r="D30" i="19"/>
  <c r="H30" i="19"/>
  <c r="I32" i="19"/>
  <c r="I33" i="19"/>
  <c r="I34" i="19"/>
  <c r="W16" i="19"/>
  <c r="N52" i="35" s="1"/>
  <c r="T16" i="19"/>
  <c r="K52" i="35" s="1"/>
  <c r="W15" i="19"/>
  <c r="N51" i="35" s="1"/>
  <c r="T15" i="19"/>
  <c r="AB13" i="19"/>
  <c r="H47" i="35" s="1"/>
  <c r="W13" i="19"/>
  <c r="N47" i="35" s="1"/>
  <c r="T13" i="19"/>
  <c r="K47" i="35" s="1"/>
  <c r="W12" i="19"/>
  <c r="N45" i="35" s="1"/>
  <c r="T12" i="19"/>
  <c r="K45" i="35" s="1"/>
  <c r="W11" i="19"/>
  <c r="T11" i="19"/>
  <c r="O11" i="19"/>
  <c r="O17" i="19" s="1"/>
  <c r="N11" i="19"/>
  <c r="N17" i="19" s="1"/>
  <c r="M11" i="19"/>
  <c r="M13" i="19" s="1"/>
  <c r="F11" i="19"/>
  <c r="F15" i="19" s="1"/>
  <c r="E11" i="19"/>
  <c r="E15" i="19" s="1"/>
  <c r="C11" i="19"/>
  <c r="B11" i="19"/>
  <c r="B15" i="19" s="1"/>
  <c r="L7" i="19"/>
  <c r="T6" i="19"/>
  <c r="L6" i="19"/>
  <c r="B6" i="19"/>
  <c r="M6" i="19" s="1"/>
  <c r="T5" i="19"/>
  <c r="N43" i="35" l="1"/>
  <c r="N70" i="35"/>
  <c r="AI15" i="19"/>
  <c r="K51" i="35"/>
  <c r="AG11" i="19"/>
  <c r="K43" i="35"/>
  <c r="AB12" i="19"/>
  <c r="H45" i="35" s="1"/>
  <c r="J25" i="19"/>
  <c r="J33" i="19"/>
  <c r="J29" i="19"/>
  <c r="G11" i="19"/>
  <c r="AB16" i="19"/>
  <c r="H52" i="35" s="1"/>
  <c r="E18" i="30"/>
  <c r="J28" i="19"/>
  <c r="X12" i="19"/>
  <c r="O45" i="35" s="1"/>
  <c r="J34" i="19"/>
  <c r="J32" i="19"/>
  <c r="J27" i="19"/>
  <c r="X15" i="19"/>
  <c r="O51" i="35" s="1"/>
  <c r="P52" i="19"/>
  <c r="X26" i="19"/>
  <c r="X16" i="19"/>
  <c r="O52" i="35" s="1"/>
  <c r="X13" i="19"/>
  <c r="O47" i="35" s="1"/>
  <c r="U16" i="19"/>
  <c r="L52" i="35" s="1"/>
  <c r="X22" i="19"/>
  <c r="U12" i="19"/>
  <c r="L45" i="35" s="1"/>
  <c r="B13" i="19"/>
  <c r="I11" i="19"/>
  <c r="I15" i="19" s="1"/>
  <c r="X23" i="19"/>
  <c r="J19" i="19"/>
  <c r="C58" i="30"/>
  <c r="B11" i="31"/>
  <c r="B45" i="19"/>
  <c r="B47" i="19"/>
  <c r="F58" i="30"/>
  <c r="F11" i="31"/>
  <c r="F45" i="19"/>
  <c r="F47" i="19"/>
  <c r="F52" i="19" s="1"/>
  <c r="J26" i="19"/>
  <c r="J23" i="19"/>
  <c r="J21" i="19"/>
  <c r="C12" i="19"/>
  <c r="M12" i="19"/>
  <c r="U20" i="19"/>
  <c r="L66" i="35" s="1"/>
  <c r="P11" i="19"/>
  <c r="X11" i="19"/>
  <c r="O43" i="35" s="1"/>
  <c r="B12" i="19"/>
  <c r="F12" i="19"/>
  <c r="B14" i="19"/>
  <c r="F14" i="19"/>
  <c r="AG15" i="19"/>
  <c r="AG16" i="19"/>
  <c r="AK16" i="19"/>
  <c r="U24" i="19"/>
  <c r="M11" i="31"/>
  <c r="G58" i="30"/>
  <c r="M49" i="19"/>
  <c r="M47" i="19"/>
  <c r="E58" i="30"/>
  <c r="E11" i="31"/>
  <c r="E47" i="19"/>
  <c r="E45" i="19"/>
  <c r="H58" i="30"/>
  <c r="O11" i="31"/>
  <c r="O49" i="19"/>
  <c r="O47" i="19"/>
  <c r="W41" i="19"/>
  <c r="X35" i="19"/>
  <c r="O58" i="35" s="1"/>
  <c r="X34" i="19"/>
  <c r="X38" i="19"/>
  <c r="X36" i="19"/>
  <c r="O59" i="35" s="1"/>
  <c r="X33" i="19"/>
  <c r="X32" i="19"/>
  <c r="X31" i="19"/>
  <c r="X28" i="19"/>
  <c r="O64" i="35" s="1"/>
  <c r="X27" i="19"/>
  <c r="O63" i="35" s="1"/>
  <c r="X18" i="19"/>
  <c r="O50" i="35" s="1"/>
  <c r="J30" i="19"/>
  <c r="G48" i="19"/>
  <c r="AB18" i="19"/>
  <c r="H50" i="35" s="1"/>
  <c r="M14" i="19"/>
  <c r="E12" i="19"/>
  <c r="O12" i="19"/>
  <c r="AG12" i="19"/>
  <c r="AK12" i="19"/>
  <c r="AG13" i="19"/>
  <c r="E14" i="19"/>
  <c r="O14" i="19"/>
  <c r="U15" i="19"/>
  <c r="L51" i="35" s="1"/>
  <c r="F13" i="30"/>
  <c r="X24" i="19"/>
  <c r="X30" i="19"/>
  <c r="D58" i="30"/>
  <c r="C11" i="31"/>
  <c r="C47" i="19"/>
  <c r="C52" i="19" s="1"/>
  <c r="C45" i="19"/>
  <c r="T41" i="19"/>
  <c r="K70" i="35" s="1"/>
  <c r="U38" i="19"/>
  <c r="L68" i="35" s="1"/>
  <c r="U36" i="19"/>
  <c r="L59" i="35" s="1"/>
  <c r="U34" i="19"/>
  <c r="U35" i="19"/>
  <c r="L58" i="35" s="1"/>
  <c r="U18" i="19"/>
  <c r="L50" i="35" s="1"/>
  <c r="U33" i="19"/>
  <c r="U32" i="19"/>
  <c r="U31" i="19"/>
  <c r="U28" i="19"/>
  <c r="L64" i="35" s="1"/>
  <c r="U27" i="19"/>
  <c r="L63" i="35" s="1"/>
  <c r="J24" i="19"/>
  <c r="N11" i="31"/>
  <c r="N49" i="19"/>
  <c r="N47" i="19"/>
  <c r="H48" i="19"/>
  <c r="D48" i="19"/>
  <c r="J18" i="19"/>
  <c r="D18" i="30"/>
  <c r="P50" i="19"/>
  <c r="J20" i="19"/>
  <c r="AI12" i="19"/>
  <c r="C14" i="19"/>
  <c r="I13" i="30"/>
  <c r="U25" i="19"/>
  <c r="U30" i="19"/>
  <c r="D11" i="19"/>
  <c r="H11" i="19"/>
  <c r="U11" i="19"/>
  <c r="L43" i="35" s="1"/>
  <c r="AK11" i="19"/>
  <c r="N12" i="19"/>
  <c r="C13" i="19"/>
  <c r="U13" i="19"/>
  <c r="L47" i="35" s="1"/>
  <c r="AK13" i="19"/>
  <c r="N14" i="19"/>
  <c r="C15" i="19"/>
  <c r="AI16" i="19"/>
  <c r="M17" i="19"/>
  <c r="U26" i="19"/>
  <c r="U23" i="19"/>
  <c r="U22" i="19"/>
  <c r="X25" i="19"/>
  <c r="X20" i="19"/>
  <c r="O66" i="35" s="1"/>
  <c r="I48" i="19"/>
  <c r="L5" i="19"/>
  <c r="B5" i="19"/>
  <c r="M5" i="19" s="1"/>
  <c r="L4" i="19"/>
  <c r="B58" i="35" l="1"/>
  <c r="J33" i="35"/>
  <c r="B57" i="35"/>
  <c r="J31" i="35"/>
  <c r="O62" i="35"/>
  <c r="O56" i="35"/>
  <c r="L61" i="35"/>
  <c r="L57" i="35"/>
  <c r="O57" i="35"/>
  <c r="P14" i="19"/>
  <c r="B52" i="35"/>
  <c r="L62" i="35"/>
  <c r="O61" i="35"/>
  <c r="L56" i="35"/>
  <c r="U41" i="19"/>
  <c r="P47" i="19"/>
  <c r="X41" i="19"/>
  <c r="X43" i="19"/>
  <c r="G13" i="19"/>
  <c r="F13" i="19" s="1"/>
  <c r="E13" i="19" s="1"/>
  <c r="D15" i="19"/>
  <c r="P13" i="19"/>
  <c r="D84" i="35" s="1"/>
  <c r="D12" i="19"/>
  <c r="P12" i="19"/>
  <c r="G12" i="19"/>
  <c r="G45" i="19"/>
  <c r="G20" i="31" s="1"/>
  <c r="G15" i="19"/>
  <c r="G11" i="31"/>
  <c r="G14" i="19"/>
  <c r="G47" i="19"/>
  <c r="D14" i="19"/>
  <c r="I45" i="19"/>
  <c r="I32" i="31" s="1"/>
  <c r="I13" i="19"/>
  <c r="I12" i="19"/>
  <c r="I11" i="31"/>
  <c r="I47" i="19"/>
  <c r="I52" i="19" s="1"/>
  <c r="O13" i="19"/>
  <c r="N13" i="19" s="1"/>
  <c r="I14" i="19"/>
  <c r="X44" i="19"/>
  <c r="G8" i="39"/>
  <c r="E38" i="31"/>
  <c r="E39" i="31"/>
  <c r="E37" i="31"/>
  <c r="E35" i="31"/>
  <c r="E27" i="31"/>
  <c r="E34" i="31"/>
  <c r="E19" i="31"/>
  <c r="E20" i="31"/>
  <c r="E21" i="31"/>
  <c r="E32" i="31"/>
  <c r="E26" i="31"/>
  <c r="E23" i="31"/>
  <c r="E29" i="31"/>
  <c r="E30" i="31"/>
  <c r="E25" i="31"/>
  <c r="E28" i="31"/>
  <c r="E33" i="31"/>
  <c r="E18" i="31"/>
  <c r="E24" i="31"/>
  <c r="N38" i="31"/>
  <c r="N39" i="31"/>
  <c r="N37" i="31"/>
  <c r="N35" i="31"/>
  <c r="N32" i="31"/>
  <c r="N33" i="31"/>
  <c r="N34" i="31"/>
  <c r="N23" i="31"/>
  <c r="N25" i="31"/>
  <c r="N20" i="31"/>
  <c r="N28" i="31"/>
  <c r="N18" i="31"/>
  <c r="N30" i="31"/>
  <c r="N19" i="31"/>
  <c r="N21" i="31"/>
  <c r="N24" i="31"/>
  <c r="N27" i="31"/>
  <c r="N26" i="31"/>
  <c r="N29" i="31"/>
  <c r="F9" i="39"/>
  <c r="C39" i="31"/>
  <c r="C38" i="31"/>
  <c r="C35" i="31"/>
  <c r="C37" i="31"/>
  <c r="C27" i="31"/>
  <c r="C29" i="31"/>
  <c r="C32" i="31"/>
  <c r="C19" i="31"/>
  <c r="C20" i="31"/>
  <c r="C34" i="31"/>
  <c r="C21" i="31"/>
  <c r="C24" i="31"/>
  <c r="C26" i="31"/>
  <c r="C23" i="31"/>
  <c r="C28" i="31"/>
  <c r="C33" i="31"/>
  <c r="C30" i="31"/>
  <c r="C18" i="31"/>
  <c r="C25" i="31"/>
  <c r="H12" i="30"/>
  <c r="F49" i="19"/>
  <c r="D12" i="30"/>
  <c r="B49" i="19"/>
  <c r="H11" i="31"/>
  <c r="H45" i="19"/>
  <c r="H47" i="19"/>
  <c r="H14" i="19"/>
  <c r="H12" i="19"/>
  <c r="H13" i="19"/>
  <c r="H15" i="19"/>
  <c r="E12" i="30"/>
  <c r="C49" i="19"/>
  <c r="F8" i="39"/>
  <c r="B38" i="31"/>
  <c r="B39" i="31"/>
  <c r="B35" i="31"/>
  <c r="B37" i="31"/>
  <c r="B27" i="31"/>
  <c r="B28" i="31"/>
  <c r="B29" i="31"/>
  <c r="B24" i="31"/>
  <c r="B26" i="31"/>
  <c r="B19" i="31"/>
  <c r="B18" i="31"/>
  <c r="B21" i="31"/>
  <c r="B32" i="31"/>
  <c r="B33" i="31"/>
  <c r="B20" i="31"/>
  <c r="B25" i="31"/>
  <c r="B30" i="31"/>
  <c r="B34" i="31"/>
  <c r="B23" i="31"/>
  <c r="O37" i="31"/>
  <c r="O38" i="31"/>
  <c r="O39" i="31"/>
  <c r="O35" i="31"/>
  <c r="O32" i="31"/>
  <c r="O34" i="31"/>
  <c r="O33" i="31"/>
  <c r="O23" i="31"/>
  <c r="O28" i="31"/>
  <c r="O19" i="31"/>
  <c r="O26" i="31"/>
  <c r="O18" i="31"/>
  <c r="O27" i="31"/>
  <c r="O24" i="31"/>
  <c r="O21" i="31"/>
  <c r="O29" i="31"/>
  <c r="O20" i="31"/>
  <c r="O25" i="31"/>
  <c r="O30" i="31"/>
  <c r="M51" i="19"/>
  <c r="P49" i="19"/>
  <c r="J48" i="19"/>
  <c r="G9" i="39"/>
  <c r="F39" i="31"/>
  <c r="F38" i="31"/>
  <c r="F35" i="31"/>
  <c r="F37" i="31"/>
  <c r="F32" i="31"/>
  <c r="F33" i="31"/>
  <c r="F20" i="31"/>
  <c r="F25" i="31"/>
  <c r="F28" i="31"/>
  <c r="F24" i="31"/>
  <c r="F30" i="31"/>
  <c r="F27" i="31"/>
  <c r="F34" i="31"/>
  <c r="F18" i="31"/>
  <c r="F19" i="31"/>
  <c r="F21" i="31"/>
  <c r="F23" i="31"/>
  <c r="F26" i="31"/>
  <c r="F29" i="31"/>
  <c r="D11" i="31"/>
  <c r="D45" i="19"/>
  <c r="D47" i="19"/>
  <c r="J11" i="19"/>
  <c r="J13" i="19" s="1"/>
  <c r="G12" i="30"/>
  <c r="E49" i="19"/>
  <c r="M39" i="31"/>
  <c r="M38" i="31"/>
  <c r="M37" i="31"/>
  <c r="M35" i="31"/>
  <c r="M32" i="31"/>
  <c r="M34" i="31"/>
  <c r="M33" i="31"/>
  <c r="M19" i="31"/>
  <c r="M28" i="31"/>
  <c r="M30" i="31"/>
  <c r="M24" i="31"/>
  <c r="M26" i="31"/>
  <c r="M29" i="31"/>
  <c r="M18" i="31"/>
  <c r="M25" i="31"/>
  <c r="M20" i="31"/>
  <c r="M27" i="31"/>
  <c r="M21" i="31"/>
  <c r="M23" i="31"/>
  <c r="P11" i="31"/>
  <c r="AB42" i="19"/>
  <c r="AC22" i="19" s="1"/>
  <c r="P17" i="19"/>
  <c r="D13" i="19"/>
  <c r="O70" i="35" l="1"/>
  <c r="C54" i="35"/>
  <c r="C53" i="35"/>
  <c r="L70" i="35"/>
  <c r="U44" i="19"/>
  <c r="E84" i="35"/>
  <c r="G33" i="31"/>
  <c r="G23" i="31"/>
  <c r="G19" i="31"/>
  <c r="G29" i="31"/>
  <c r="G34" i="31"/>
  <c r="G38" i="31"/>
  <c r="G21" i="31"/>
  <c r="G28" i="31"/>
  <c r="G39" i="31"/>
  <c r="G30" i="31"/>
  <c r="G37" i="31"/>
  <c r="G35" i="31"/>
  <c r="G25" i="31"/>
  <c r="G32" i="31"/>
  <c r="G27" i="31"/>
  <c r="G26" i="31"/>
  <c r="G24" i="31"/>
  <c r="G18" i="31"/>
  <c r="I25" i="31"/>
  <c r="I49" i="19"/>
  <c r="AC20" i="19"/>
  <c r="I66" i="35" s="1"/>
  <c r="I19" i="31"/>
  <c r="I21" i="31"/>
  <c r="I24" i="31"/>
  <c r="I35" i="31"/>
  <c r="I37" i="31"/>
  <c r="I33" i="31"/>
  <c r="I18" i="31"/>
  <c r="I20" i="31"/>
  <c r="I38" i="31"/>
  <c r="I26" i="31"/>
  <c r="I23" i="31"/>
  <c r="I39" i="31"/>
  <c r="I28" i="31"/>
  <c r="AC31" i="19"/>
  <c r="I30" i="31"/>
  <c r="I34" i="31"/>
  <c r="AC15" i="19"/>
  <c r="I51" i="35" s="1"/>
  <c r="AC34" i="19"/>
  <c r="AC11" i="19"/>
  <c r="I43" i="35" s="1"/>
  <c r="AC32" i="19"/>
  <c r="AC18" i="19"/>
  <c r="I50" i="35" s="1"/>
  <c r="F12" i="30"/>
  <c r="I29" i="31"/>
  <c r="I27" i="31"/>
  <c r="H49" i="19"/>
  <c r="G49" i="19" s="1"/>
  <c r="AC35" i="19"/>
  <c r="I58" i="35" s="1"/>
  <c r="J12" i="19"/>
  <c r="AC16" i="19"/>
  <c r="I52" i="35" s="1"/>
  <c r="AC24" i="19"/>
  <c r="J14" i="19"/>
  <c r="F7" i="39"/>
  <c r="E8" i="39"/>
  <c r="AC26" i="19"/>
  <c r="AC28" i="19"/>
  <c r="I64" i="35" s="1"/>
  <c r="D39" i="31"/>
  <c r="D38" i="31"/>
  <c r="D37" i="31"/>
  <c r="D33" i="31"/>
  <c r="D34" i="31"/>
  <c r="D35" i="31"/>
  <c r="D28" i="31"/>
  <c r="D32" i="31"/>
  <c r="D27" i="31"/>
  <c r="D29" i="31"/>
  <c r="D25" i="31"/>
  <c r="D30" i="31"/>
  <c r="D26" i="31"/>
  <c r="D21" i="31"/>
  <c r="D18" i="31"/>
  <c r="D19" i="31"/>
  <c r="D24" i="31"/>
  <c r="D23" i="31"/>
  <c r="D20" i="31"/>
  <c r="E9" i="39"/>
  <c r="AC25" i="19"/>
  <c r="AC13" i="19"/>
  <c r="I47" i="35" s="1"/>
  <c r="AC27" i="19"/>
  <c r="I63" i="35" s="1"/>
  <c r="AC23" i="19"/>
  <c r="H39" i="31"/>
  <c r="H35" i="31"/>
  <c r="H37" i="31"/>
  <c r="H38" i="31"/>
  <c r="H21" i="31"/>
  <c r="H29" i="31"/>
  <c r="H27" i="31"/>
  <c r="H26" i="31"/>
  <c r="H23" i="31"/>
  <c r="H34" i="31"/>
  <c r="H28" i="31"/>
  <c r="H24" i="31"/>
  <c r="H33" i="31"/>
  <c r="H20" i="31"/>
  <c r="H32" i="31"/>
  <c r="H18" i="31"/>
  <c r="H19" i="31"/>
  <c r="H30" i="31"/>
  <c r="H25" i="31"/>
  <c r="P37" i="31"/>
  <c r="P38" i="31"/>
  <c r="P35" i="31"/>
  <c r="P33" i="31"/>
  <c r="P32" i="31"/>
  <c r="P28" i="31"/>
  <c r="P29" i="31"/>
  <c r="P34" i="31"/>
  <c r="P27" i="31"/>
  <c r="P26" i="31"/>
  <c r="P21" i="31"/>
  <c r="P30" i="31"/>
  <c r="P25" i="31"/>
  <c r="P24" i="31"/>
  <c r="P18" i="31"/>
  <c r="P19" i="31"/>
  <c r="P20" i="31"/>
  <c r="P23" i="31"/>
  <c r="AC30" i="19"/>
  <c r="AC36" i="19"/>
  <c r="I59" i="35" s="1"/>
  <c r="AC12" i="19"/>
  <c r="I45" i="35" s="1"/>
  <c r="G7" i="39"/>
  <c r="J11" i="31"/>
  <c r="J45" i="19"/>
  <c r="J47" i="19"/>
  <c r="J49" i="19" s="1"/>
  <c r="D49" i="19"/>
  <c r="AC33" i="19"/>
  <c r="I12" i="30"/>
  <c r="J15" i="19"/>
  <c r="I61" i="35" l="1"/>
  <c r="I57" i="35"/>
  <c r="I62" i="35"/>
  <c r="I56" i="35"/>
  <c r="AC40" i="19"/>
  <c r="J39" i="31"/>
  <c r="J37" i="31"/>
  <c r="J29" i="31"/>
  <c r="J38" i="31"/>
  <c r="J28" i="31"/>
  <c r="J35" i="31"/>
  <c r="J33" i="31"/>
  <c r="J34" i="31"/>
  <c r="J27" i="31"/>
  <c r="J25" i="31"/>
  <c r="J32" i="31"/>
  <c r="J19" i="31"/>
  <c r="J18" i="31"/>
  <c r="J20" i="31"/>
  <c r="J23" i="31"/>
  <c r="J30" i="31"/>
  <c r="J26" i="31"/>
  <c r="J24" i="31"/>
  <c r="J21" i="31"/>
  <c r="E7" i="39"/>
  <c r="D23" i="32" l="1"/>
  <c r="N14" i="32" l="1"/>
  <c r="D14" i="32" s="1"/>
  <c r="G846" i="34"/>
  <c r="F846" i="34"/>
  <c r="E846" i="34"/>
  <c r="D846" i="34"/>
  <c r="C846" i="34"/>
  <c r="B846" i="34"/>
  <c r="G845" i="34"/>
  <c r="F845" i="34"/>
  <c r="E845" i="34"/>
  <c r="D845" i="34"/>
  <c r="C845" i="34"/>
  <c r="B845" i="34"/>
  <c r="G844" i="34"/>
  <c r="F844" i="34"/>
  <c r="E844" i="34"/>
  <c r="D844" i="34"/>
  <c r="C844" i="34"/>
  <c r="B844" i="34"/>
  <c r="G843" i="34"/>
  <c r="F843" i="34"/>
  <c r="E843" i="34"/>
  <c r="D843" i="34"/>
  <c r="C843" i="34"/>
  <c r="B843" i="34"/>
  <c r="G842" i="34"/>
  <c r="F842" i="34"/>
  <c r="E842" i="34"/>
  <c r="D842" i="34"/>
  <c r="C842" i="34"/>
  <c r="B842" i="34"/>
  <c r="G841" i="34"/>
  <c r="F841" i="34"/>
  <c r="E841" i="34"/>
  <c r="D841" i="34"/>
  <c r="C841" i="34"/>
  <c r="B841" i="34"/>
  <c r="G840" i="34"/>
  <c r="F840" i="34"/>
  <c r="E840" i="34"/>
  <c r="D840" i="34"/>
  <c r="C840" i="34"/>
  <c r="B840" i="34"/>
  <c r="G839" i="34"/>
  <c r="F839" i="34"/>
  <c r="E839" i="34"/>
  <c r="D839" i="34"/>
  <c r="C839" i="34"/>
  <c r="B839" i="34"/>
  <c r="G838" i="34"/>
  <c r="F838" i="34"/>
  <c r="E838" i="34"/>
  <c r="D838" i="34"/>
  <c r="C838" i="34"/>
  <c r="B838" i="34"/>
  <c r="G837" i="34"/>
  <c r="F837" i="34"/>
  <c r="E837" i="34"/>
  <c r="D837" i="34"/>
  <c r="C837" i="34"/>
  <c r="B837" i="34"/>
  <c r="G836" i="34"/>
  <c r="F836" i="34"/>
  <c r="E836" i="34"/>
  <c r="D836" i="34"/>
  <c r="C836" i="34"/>
  <c r="B836" i="34"/>
  <c r="G835" i="34"/>
  <c r="F835" i="34"/>
  <c r="E835" i="34"/>
  <c r="D835" i="34"/>
  <c r="C835" i="34"/>
  <c r="B835" i="34"/>
  <c r="G834" i="34"/>
  <c r="F834" i="34"/>
  <c r="E834" i="34"/>
  <c r="D834" i="34"/>
  <c r="C834" i="34"/>
  <c r="B834" i="34"/>
  <c r="G833" i="34"/>
  <c r="F833" i="34"/>
  <c r="E833" i="34"/>
  <c r="D833" i="34"/>
  <c r="C833" i="34"/>
  <c r="B833" i="34"/>
  <c r="G832" i="34"/>
  <c r="F832" i="34"/>
  <c r="E832" i="34"/>
  <c r="D832" i="34"/>
  <c r="C832" i="34"/>
  <c r="B832" i="34"/>
  <c r="G831" i="34"/>
  <c r="F831" i="34"/>
  <c r="E831" i="34"/>
  <c r="D831" i="34"/>
  <c r="C831" i="34"/>
  <c r="B831" i="34"/>
  <c r="G830" i="34"/>
  <c r="F830" i="34"/>
  <c r="E830" i="34"/>
  <c r="D830" i="34"/>
  <c r="C830" i="34"/>
  <c r="B830" i="34"/>
  <c r="G829" i="34"/>
  <c r="F829" i="34"/>
  <c r="E829" i="34"/>
  <c r="D829" i="34"/>
  <c r="C829" i="34"/>
  <c r="B829" i="34"/>
  <c r="G828" i="34"/>
  <c r="F828" i="34"/>
  <c r="E828" i="34"/>
  <c r="D828" i="34"/>
  <c r="C828" i="34"/>
  <c r="B828" i="34"/>
  <c r="G827" i="34"/>
  <c r="F827" i="34"/>
  <c r="E827" i="34"/>
  <c r="D827" i="34"/>
  <c r="C827" i="34"/>
  <c r="B827" i="34"/>
  <c r="G826" i="34"/>
  <c r="F826" i="34"/>
  <c r="E826" i="34"/>
  <c r="D826" i="34"/>
  <c r="C826" i="34"/>
  <c r="B826" i="34"/>
  <c r="G825" i="34"/>
  <c r="F825" i="34"/>
  <c r="E825" i="34"/>
  <c r="D825" i="34"/>
  <c r="C825" i="34"/>
  <c r="B825" i="34"/>
  <c r="G824" i="34"/>
  <c r="F824" i="34"/>
  <c r="E824" i="34"/>
  <c r="D824" i="34"/>
  <c r="C824" i="34"/>
  <c r="B824" i="34"/>
  <c r="G823" i="34"/>
  <c r="F823" i="34"/>
  <c r="E823" i="34"/>
  <c r="D823" i="34"/>
  <c r="C823" i="34"/>
  <c r="B823" i="34"/>
  <c r="G822" i="34"/>
  <c r="F822" i="34"/>
  <c r="E822" i="34"/>
  <c r="D822" i="34"/>
  <c r="C822" i="34"/>
  <c r="B822" i="34"/>
  <c r="G821" i="34"/>
  <c r="F821" i="34"/>
  <c r="E821" i="34"/>
  <c r="D821" i="34"/>
  <c r="C821" i="34"/>
  <c r="B821" i="34"/>
  <c r="G820" i="34"/>
  <c r="F820" i="34"/>
  <c r="E820" i="34"/>
  <c r="D820" i="34"/>
  <c r="C820" i="34"/>
  <c r="B820" i="34"/>
  <c r="G819" i="34"/>
  <c r="F819" i="34"/>
  <c r="E819" i="34"/>
  <c r="D819" i="34"/>
  <c r="C819" i="34"/>
  <c r="B819" i="34"/>
  <c r="G818" i="34"/>
  <c r="F818" i="34"/>
  <c r="E818" i="34"/>
  <c r="D818" i="34"/>
  <c r="C818" i="34"/>
  <c r="B818" i="34"/>
  <c r="G817" i="34"/>
  <c r="F817" i="34"/>
  <c r="E817" i="34"/>
  <c r="D817" i="34"/>
  <c r="C817" i="34"/>
  <c r="B817" i="34"/>
  <c r="G816" i="34"/>
  <c r="F816" i="34"/>
  <c r="E816" i="34"/>
  <c r="D816" i="34"/>
  <c r="C816" i="34"/>
  <c r="B816" i="34"/>
  <c r="G815" i="34"/>
  <c r="F815" i="34"/>
  <c r="E815" i="34"/>
  <c r="D815" i="34"/>
  <c r="C815" i="34"/>
  <c r="B815" i="34"/>
  <c r="G814" i="34"/>
  <c r="F814" i="34"/>
  <c r="E814" i="34"/>
  <c r="D814" i="34"/>
  <c r="C814" i="34"/>
  <c r="B814" i="34"/>
  <c r="G813" i="34"/>
  <c r="F813" i="34"/>
  <c r="E813" i="34"/>
  <c r="D813" i="34"/>
  <c r="C813" i="34"/>
  <c r="B813" i="34"/>
  <c r="G812" i="34"/>
  <c r="F812" i="34"/>
  <c r="E812" i="34"/>
  <c r="D812" i="34"/>
  <c r="C812" i="34"/>
  <c r="B812" i="34"/>
  <c r="G811" i="34"/>
  <c r="F811" i="34"/>
  <c r="E811" i="34"/>
  <c r="D811" i="34"/>
  <c r="C811" i="34"/>
  <c r="B811" i="34"/>
  <c r="G810" i="34"/>
  <c r="F810" i="34"/>
  <c r="E810" i="34"/>
  <c r="D810" i="34"/>
  <c r="C810" i="34"/>
  <c r="B810" i="34"/>
  <c r="G809" i="34"/>
  <c r="F809" i="34"/>
  <c r="E809" i="34"/>
  <c r="D809" i="34"/>
  <c r="C809" i="34"/>
  <c r="B809" i="34"/>
  <c r="G808" i="34"/>
  <c r="F808" i="34"/>
  <c r="E808" i="34"/>
  <c r="D808" i="34"/>
  <c r="C808" i="34"/>
  <c r="B808" i="34"/>
  <c r="G807" i="34"/>
  <c r="F807" i="34"/>
  <c r="E807" i="34"/>
  <c r="D807" i="34"/>
  <c r="C807" i="34"/>
  <c r="B807" i="34"/>
  <c r="G806" i="34"/>
  <c r="F806" i="34"/>
  <c r="E806" i="34"/>
  <c r="D806" i="34"/>
  <c r="C806" i="34"/>
  <c r="B806" i="34"/>
  <c r="G805" i="34"/>
  <c r="F805" i="34"/>
  <c r="E805" i="34"/>
  <c r="D805" i="34"/>
  <c r="C805" i="34"/>
  <c r="B805" i="34"/>
  <c r="G804" i="34"/>
  <c r="F804" i="34"/>
  <c r="E804" i="34"/>
  <c r="D804" i="34"/>
  <c r="C804" i="34"/>
  <c r="B804" i="34"/>
  <c r="G803" i="34"/>
  <c r="F803" i="34"/>
  <c r="E803" i="34"/>
  <c r="D803" i="34"/>
  <c r="C803" i="34"/>
  <c r="B803" i="34"/>
  <c r="G802" i="34"/>
  <c r="F802" i="34"/>
  <c r="E802" i="34"/>
  <c r="D802" i="34"/>
  <c r="C802" i="34"/>
  <c r="B802" i="34"/>
  <c r="G801" i="34"/>
  <c r="F801" i="34"/>
  <c r="E801" i="34"/>
  <c r="D801" i="34"/>
  <c r="C801" i="34"/>
  <c r="B801" i="34"/>
  <c r="G800" i="34"/>
  <c r="F800" i="34"/>
  <c r="E800" i="34"/>
  <c r="D800" i="34"/>
  <c r="C800" i="34"/>
  <c r="B800" i="34"/>
  <c r="G799" i="34"/>
  <c r="F799" i="34"/>
  <c r="E799" i="34"/>
  <c r="D799" i="34"/>
  <c r="C799" i="34"/>
  <c r="B799" i="34"/>
  <c r="G798" i="34"/>
  <c r="F798" i="34"/>
  <c r="E798" i="34"/>
  <c r="D798" i="34"/>
  <c r="C798" i="34"/>
  <c r="B798" i="34"/>
  <c r="G797" i="34"/>
  <c r="F797" i="34"/>
  <c r="E797" i="34"/>
  <c r="D797" i="34"/>
  <c r="C797" i="34"/>
  <c r="B797" i="34"/>
  <c r="G796" i="34"/>
  <c r="F796" i="34"/>
  <c r="E796" i="34"/>
  <c r="D796" i="34"/>
  <c r="C796" i="34"/>
  <c r="B796" i="34"/>
  <c r="G795" i="34"/>
  <c r="F795" i="34"/>
  <c r="E795" i="34"/>
  <c r="D795" i="34"/>
  <c r="C795" i="34"/>
  <c r="B795" i="34"/>
  <c r="G794" i="34"/>
  <c r="F794" i="34"/>
  <c r="E794" i="34"/>
  <c r="D794" i="34"/>
  <c r="C794" i="34"/>
  <c r="B794" i="34"/>
  <c r="G793" i="34"/>
  <c r="F793" i="34"/>
  <c r="E793" i="34"/>
  <c r="D793" i="34"/>
  <c r="C793" i="34"/>
  <c r="B793" i="34"/>
  <c r="G792" i="34"/>
  <c r="F792" i="34"/>
  <c r="E792" i="34"/>
  <c r="D792" i="34"/>
  <c r="C792" i="34"/>
  <c r="B792" i="34"/>
  <c r="G791" i="34"/>
  <c r="F791" i="34"/>
  <c r="E791" i="34"/>
  <c r="D791" i="34"/>
  <c r="C791" i="34"/>
  <c r="B791" i="34"/>
  <c r="G790" i="34"/>
  <c r="F790" i="34"/>
  <c r="E790" i="34"/>
  <c r="D790" i="34"/>
  <c r="C790" i="34"/>
  <c r="B790" i="34"/>
  <c r="G789" i="34"/>
  <c r="F789" i="34"/>
  <c r="E789" i="34"/>
  <c r="D789" i="34"/>
  <c r="C789" i="34"/>
  <c r="B789" i="34"/>
  <c r="G788" i="34"/>
  <c r="F788" i="34"/>
  <c r="E788" i="34"/>
  <c r="D788" i="34"/>
  <c r="C788" i="34"/>
  <c r="B788" i="34"/>
  <c r="G787" i="34"/>
  <c r="F787" i="34"/>
  <c r="E787" i="34"/>
  <c r="D787" i="34"/>
  <c r="C787" i="34"/>
  <c r="B787" i="34"/>
  <c r="G786" i="34"/>
  <c r="F786" i="34"/>
  <c r="E786" i="34"/>
  <c r="D786" i="34"/>
  <c r="C786" i="34"/>
  <c r="B786" i="34"/>
  <c r="G785" i="34"/>
  <c r="F785" i="34"/>
  <c r="E785" i="34"/>
  <c r="D785" i="34"/>
  <c r="C785" i="34"/>
  <c r="B785" i="34"/>
  <c r="G784" i="34"/>
  <c r="F784" i="34"/>
  <c r="E784" i="34"/>
  <c r="D784" i="34"/>
  <c r="C784" i="34"/>
  <c r="B784" i="34"/>
  <c r="G783" i="34"/>
  <c r="F783" i="34"/>
  <c r="E783" i="34"/>
  <c r="D783" i="34"/>
  <c r="C783" i="34"/>
  <c r="B783" i="34"/>
  <c r="G782" i="34"/>
  <c r="F782" i="34"/>
  <c r="E782" i="34"/>
  <c r="D782" i="34"/>
  <c r="C782" i="34"/>
  <c r="B782" i="34"/>
  <c r="G781" i="34"/>
  <c r="F781" i="34"/>
  <c r="E781" i="34"/>
  <c r="D781" i="34"/>
  <c r="C781" i="34"/>
  <c r="B781" i="34"/>
  <c r="G780" i="34"/>
  <c r="F780" i="34"/>
  <c r="E780" i="34"/>
  <c r="D780" i="34"/>
  <c r="C780" i="34"/>
  <c r="B780" i="34"/>
  <c r="G779" i="34"/>
  <c r="F779" i="34"/>
  <c r="E779" i="34"/>
  <c r="D779" i="34"/>
  <c r="C779" i="34"/>
  <c r="B779" i="34"/>
  <c r="G778" i="34"/>
  <c r="F778" i="34"/>
  <c r="E778" i="34"/>
  <c r="D778" i="34"/>
  <c r="C778" i="34"/>
  <c r="B778" i="34"/>
  <c r="G777" i="34"/>
  <c r="F777" i="34"/>
  <c r="E777" i="34"/>
  <c r="D777" i="34"/>
  <c r="C777" i="34"/>
  <c r="B777" i="34"/>
  <c r="G776" i="34"/>
  <c r="F776" i="34"/>
  <c r="E776" i="34"/>
  <c r="D776" i="34"/>
  <c r="C776" i="34"/>
  <c r="B776" i="34"/>
  <c r="G775" i="34"/>
  <c r="F775" i="34"/>
  <c r="E775" i="34"/>
  <c r="D775" i="34"/>
  <c r="C775" i="34"/>
  <c r="B775" i="34"/>
  <c r="G774" i="34"/>
  <c r="F774" i="34"/>
  <c r="E774" i="34"/>
  <c r="D774" i="34"/>
  <c r="C774" i="34"/>
  <c r="B774" i="34"/>
  <c r="G773" i="34"/>
  <c r="F773" i="34"/>
  <c r="E773" i="34"/>
  <c r="D773" i="34"/>
  <c r="C773" i="34"/>
  <c r="B773" i="34"/>
  <c r="G772" i="34"/>
  <c r="F772" i="34"/>
  <c r="E772" i="34"/>
  <c r="D772" i="34"/>
  <c r="C772" i="34"/>
  <c r="B772" i="34"/>
  <c r="G771" i="34"/>
  <c r="F771" i="34"/>
  <c r="E771" i="34"/>
  <c r="D771" i="34"/>
  <c r="C771" i="34"/>
  <c r="B771" i="34"/>
  <c r="G770" i="34"/>
  <c r="F770" i="34"/>
  <c r="E770" i="34"/>
  <c r="D770" i="34"/>
  <c r="C770" i="34"/>
  <c r="B770" i="34"/>
  <c r="G769" i="34"/>
  <c r="F769" i="34"/>
  <c r="E769" i="34"/>
  <c r="D769" i="34"/>
  <c r="C769" i="34"/>
  <c r="B769" i="34"/>
  <c r="G768" i="34"/>
  <c r="F768" i="34"/>
  <c r="E768" i="34"/>
  <c r="D768" i="34"/>
  <c r="C768" i="34"/>
  <c r="B768" i="34"/>
  <c r="G767" i="34"/>
  <c r="F767" i="34"/>
  <c r="E767" i="34"/>
  <c r="D767" i="34"/>
  <c r="C767" i="34"/>
  <c r="B767" i="34"/>
  <c r="G766" i="34"/>
  <c r="F766" i="34"/>
  <c r="E766" i="34"/>
  <c r="D766" i="34"/>
  <c r="C766" i="34"/>
  <c r="B766" i="34"/>
  <c r="G765" i="34"/>
  <c r="F765" i="34"/>
  <c r="E765" i="34"/>
  <c r="D765" i="34"/>
  <c r="C765" i="34"/>
  <c r="B765" i="34"/>
  <c r="G764" i="34"/>
  <c r="F764" i="34"/>
  <c r="E764" i="34"/>
  <c r="D764" i="34"/>
  <c r="C764" i="34"/>
  <c r="B764" i="34"/>
  <c r="G763" i="34"/>
  <c r="F763" i="34"/>
  <c r="E763" i="34"/>
  <c r="D763" i="34"/>
  <c r="C763" i="34"/>
  <c r="B763" i="34"/>
  <c r="G762" i="34"/>
  <c r="F762" i="34"/>
  <c r="E762" i="34"/>
  <c r="D762" i="34"/>
  <c r="C762" i="34"/>
  <c r="B762" i="34"/>
  <c r="G761" i="34"/>
  <c r="F761" i="34"/>
  <c r="E761" i="34"/>
  <c r="D761" i="34"/>
  <c r="C761" i="34"/>
  <c r="B761" i="34"/>
  <c r="G760" i="34"/>
  <c r="F760" i="34"/>
  <c r="E760" i="34"/>
  <c r="D760" i="34"/>
  <c r="C760" i="34"/>
  <c r="B760" i="34"/>
  <c r="G759" i="34"/>
  <c r="F759" i="34"/>
  <c r="E759" i="34"/>
  <c r="D759" i="34"/>
  <c r="C759" i="34"/>
  <c r="B759" i="34"/>
  <c r="G758" i="34"/>
  <c r="F758" i="34"/>
  <c r="E758" i="34"/>
  <c r="D758" i="34"/>
  <c r="C758" i="34"/>
  <c r="B758" i="34"/>
  <c r="G757" i="34"/>
  <c r="F757" i="34"/>
  <c r="E757" i="34"/>
  <c r="D757" i="34"/>
  <c r="C757" i="34"/>
  <c r="B757" i="34"/>
  <c r="G756" i="34"/>
  <c r="F756" i="34"/>
  <c r="E756" i="34"/>
  <c r="D756" i="34"/>
  <c r="C756" i="34"/>
  <c r="B756" i="34"/>
  <c r="G755" i="34"/>
  <c r="F755" i="34"/>
  <c r="E755" i="34"/>
  <c r="D755" i="34"/>
  <c r="C755" i="34"/>
  <c r="B755" i="34"/>
  <c r="G754" i="34"/>
  <c r="F754" i="34"/>
  <c r="E754" i="34"/>
  <c r="D754" i="34"/>
  <c r="C754" i="34"/>
  <c r="B754" i="34"/>
  <c r="G753" i="34"/>
  <c r="F753" i="34"/>
  <c r="E753" i="34"/>
  <c r="D753" i="34"/>
  <c r="C753" i="34"/>
  <c r="B753" i="34"/>
  <c r="G752" i="34"/>
  <c r="F752" i="34"/>
  <c r="E752" i="34"/>
  <c r="D752" i="34"/>
  <c r="C752" i="34"/>
  <c r="B752" i="34"/>
  <c r="G751" i="34"/>
  <c r="F751" i="34"/>
  <c r="E751" i="34"/>
  <c r="D751" i="34"/>
  <c r="C751" i="34"/>
  <c r="B751" i="34"/>
  <c r="G750" i="34"/>
  <c r="F750" i="34"/>
  <c r="E750" i="34"/>
  <c r="D750" i="34"/>
  <c r="C750" i="34"/>
  <c r="B750" i="34"/>
  <c r="G749" i="34"/>
  <c r="F749" i="34"/>
  <c r="E749" i="34"/>
  <c r="D749" i="34"/>
  <c r="C749" i="34"/>
  <c r="B749" i="34"/>
  <c r="G748" i="34"/>
  <c r="F748" i="34"/>
  <c r="E748" i="34"/>
  <c r="D748" i="34"/>
  <c r="C748" i="34"/>
  <c r="B748" i="34"/>
  <c r="G747" i="34"/>
  <c r="F747" i="34"/>
  <c r="E747" i="34"/>
  <c r="D747" i="34"/>
  <c r="C747" i="34"/>
  <c r="B747" i="34"/>
  <c r="G746" i="34"/>
  <c r="F746" i="34"/>
  <c r="E746" i="34"/>
  <c r="D746" i="34"/>
  <c r="C746" i="34"/>
  <c r="B746" i="34"/>
  <c r="G745" i="34"/>
  <c r="F745" i="34"/>
  <c r="E745" i="34"/>
  <c r="D745" i="34"/>
  <c r="C745" i="34"/>
  <c r="B745" i="34"/>
  <c r="G744" i="34"/>
  <c r="F744" i="34"/>
  <c r="E744" i="34"/>
  <c r="D744" i="34"/>
  <c r="C744" i="34"/>
  <c r="B744" i="34"/>
  <c r="G743" i="34"/>
  <c r="F743" i="34"/>
  <c r="E743" i="34"/>
  <c r="D743" i="34"/>
  <c r="C743" i="34"/>
  <c r="B743" i="34"/>
  <c r="G742" i="34"/>
  <c r="F742" i="34"/>
  <c r="E742" i="34"/>
  <c r="D742" i="34"/>
  <c r="C742" i="34"/>
  <c r="B742" i="34"/>
  <c r="G741" i="34"/>
  <c r="F741" i="34"/>
  <c r="E741" i="34"/>
  <c r="D741" i="34"/>
  <c r="C741" i="34"/>
  <c r="B741" i="34"/>
  <c r="G740" i="34"/>
  <c r="F740" i="34"/>
  <c r="E740" i="34"/>
  <c r="D740" i="34"/>
  <c r="C740" i="34"/>
  <c r="B740" i="34"/>
  <c r="G739" i="34"/>
  <c r="F739" i="34"/>
  <c r="E739" i="34"/>
  <c r="D739" i="34"/>
  <c r="C739" i="34"/>
  <c r="B739" i="34"/>
  <c r="G738" i="34"/>
  <c r="F738" i="34"/>
  <c r="E738" i="34"/>
  <c r="D738" i="34"/>
  <c r="C738" i="34"/>
  <c r="B738" i="34"/>
  <c r="G737" i="34"/>
  <c r="F737" i="34"/>
  <c r="E737" i="34"/>
  <c r="D737" i="34"/>
  <c r="C737" i="34"/>
  <c r="B737" i="34"/>
  <c r="G736" i="34"/>
  <c r="F736" i="34"/>
  <c r="E736" i="34"/>
  <c r="D736" i="34"/>
  <c r="C736" i="34"/>
  <c r="B736" i="34"/>
  <c r="G735" i="34"/>
  <c r="F735" i="34"/>
  <c r="E735" i="34"/>
  <c r="D735" i="34"/>
  <c r="C735" i="34"/>
  <c r="B735" i="34"/>
  <c r="G734" i="34"/>
  <c r="F734" i="34"/>
  <c r="E734" i="34"/>
  <c r="D734" i="34"/>
  <c r="C734" i="34"/>
  <c r="B734" i="34"/>
  <c r="G733" i="34"/>
  <c r="F733" i="34"/>
  <c r="E733" i="34"/>
  <c r="D733" i="34"/>
  <c r="C733" i="34"/>
  <c r="B733" i="34"/>
  <c r="G732" i="34"/>
  <c r="F732" i="34"/>
  <c r="E732" i="34"/>
  <c r="D732" i="34"/>
  <c r="C732" i="34"/>
  <c r="B732" i="34"/>
  <c r="G731" i="34"/>
  <c r="F731" i="34"/>
  <c r="E731" i="34"/>
  <c r="D731" i="34"/>
  <c r="C731" i="34"/>
  <c r="B731" i="34"/>
  <c r="G730" i="34"/>
  <c r="F730" i="34"/>
  <c r="E730" i="34"/>
  <c r="D730" i="34"/>
  <c r="C730" i="34"/>
  <c r="B730" i="34"/>
  <c r="G729" i="34"/>
  <c r="F729" i="34"/>
  <c r="E729" i="34"/>
  <c r="D729" i="34"/>
  <c r="C729" i="34"/>
  <c r="B729" i="34"/>
  <c r="G728" i="34"/>
  <c r="F728" i="34"/>
  <c r="E728" i="34"/>
  <c r="D728" i="34"/>
  <c r="C728" i="34"/>
  <c r="B728" i="34"/>
  <c r="G727" i="34"/>
  <c r="F727" i="34"/>
  <c r="E727" i="34"/>
  <c r="D727" i="34"/>
  <c r="C727" i="34"/>
  <c r="B727" i="34"/>
  <c r="G726" i="34"/>
  <c r="F726" i="34"/>
  <c r="E726" i="34"/>
  <c r="D726" i="34"/>
  <c r="C726" i="34"/>
  <c r="B726" i="34"/>
  <c r="G725" i="34"/>
  <c r="F725" i="34"/>
  <c r="E725" i="34"/>
  <c r="D725" i="34"/>
  <c r="C725" i="34"/>
  <c r="B725" i="34"/>
  <c r="G724" i="34"/>
  <c r="F724" i="34"/>
  <c r="E724" i="34"/>
  <c r="D724" i="34"/>
  <c r="C724" i="34"/>
  <c r="B724" i="34"/>
  <c r="G723" i="34"/>
  <c r="F723" i="34"/>
  <c r="E723" i="34"/>
  <c r="D723" i="34"/>
  <c r="C723" i="34"/>
  <c r="B723" i="34"/>
  <c r="G722" i="34"/>
  <c r="F722" i="34"/>
  <c r="E722" i="34"/>
  <c r="D722" i="34"/>
  <c r="C722" i="34"/>
  <c r="B722" i="34"/>
  <c r="G721" i="34"/>
  <c r="F721" i="34"/>
  <c r="E721" i="34"/>
  <c r="D721" i="34"/>
  <c r="C721" i="34"/>
  <c r="B721" i="34"/>
  <c r="G720" i="34"/>
  <c r="F720" i="34"/>
  <c r="E720" i="34"/>
  <c r="D720" i="34"/>
  <c r="C720" i="34"/>
  <c r="B720" i="34"/>
  <c r="G719" i="34"/>
  <c r="F719" i="34"/>
  <c r="E719" i="34"/>
  <c r="D719" i="34"/>
  <c r="C719" i="34"/>
  <c r="B719" i="34"/>
  <c r="G718" i="34"/>
  <c r="F718" i="34"/>
  <c r="E718" i="34"/>
  <c r="D718" i="34"/>
  <c r="C718" i="34"/>
  <c r="B718" i="34"/>
  <c r="G717" i="34"/>
  <c r="F717" i="34"/>
  <c r="E717" i="34"/>
  <c r="D717" i="34"/>
  <c r="C717" i="34"/>
  <c r="B717" i="34"/>
  <c r="G716" i="34"/>
  <c r="F716" i="34"/>
  <c r="E716" i="34"/>
  <c r="D716" i="34"/>
  <c r="C716" i="34"/>
  <c r="B716" i="34"/>
  <c r="G715" i="34"/>
  <c r="F715" i="34"/>
  <c r="E715" i="34"/>
  <c r="D715" i="34"/>
  <c r="C715" i="34"/>
  <c r="B715" i="34"/>
  <c r="G714" i="34"/>
  <c r="F714" i="34"/>
  <c r="E714" i="34"/>
  <c r="D714" i="34"/>
  <c r="C714" i="34"/>
  <c r="B714" i="34"/>
  <c r="G713" i="34"/>
  <c r="F713" i="34"/>
  <c r="E713" i="34"/>
  <c r="D713" i="34"/>
  <c r="C713" i="34"/>
  <c r="B713" i="34"/>
  <c r="G712" i="34"/>
  <c r="F712" i="34"/>
  <c r="E712" i="34"/>
  <c r="D712" i="34"/>
  <c r="C712" i="34"/>
  <c r="B712" i="34"/>
  <c r="G711" i="34"/>
  <c r="F711" i="34"/>
  <c r="E711" i="34"/>
  <c r="D711" i="34"/>
  <c r="C711" i="34"/>
  <c r="B711" i="34"/>
  <c r="G710" i="34"/>
  <c r="F710" i="34"/>
  <c r="E710" i="34"/>
  <c r="D710" i="34"/>
  <c r="C710" i="34"/>
  <c r="B710" i="34"/>
  <c r="G709" i="34"/>
  <c r="F709" i="34"/>
  <c r="E709" i="34"/>
  <c r="D709" i="34"/>
  <c r="C709" i="34"/>
  <c r="B709" i="34"/>
  <c r="G708" i="34"/>
  <c r="F708" i="34"/>
  <c r="E708" i="34"/>
  <c r="D708" i="34"/>
  <c r="C708" i="34"/>
  <c r="B708" i="34"/>
  <c r="G707" i="34"/>
  <c r="F707" i="34"/>
  <c r="E707" i="34"/>
  <c r="D707" i="34"/>
  <c r="C707" i="34"/>
  <c r="B707" i="34"/>
  <c r="G706" i="34"/>
  <c r="F706" i="34"/>
  <c r="E706" i="34"/>
  <c r="D706" i="34"/>
  <c r="C706" i="34"/>
  <c r="B706" i="34"/>
  <c r="G705" i="34"/>
  <c r="F705" i="34"/>
  <c r="E705" i="34"/>
  <c r="D705" i="34"/>
  <c r="C705" i="34"/>
  <c r="B705" i="34"/>
  <c r="G704" i="34"/>
  <c r="F704" i="34"/>
  <c r="E704" i="34"/>
  <c r="D704" i="34"/>
  <c r="C704" i="34"/>
  <c r="B704" i="34"/>
  <c r="G703" i="34"/>
  <c r="F703" i="34"/>
  <c r="E703" i="34"/>
  <c r="D703" i="34"/>
  <c r="C703" i="34"/>
  <c r="B703" i="34"/>
  <c r="G702" i="34"/>
  <c r="F702" i="34"/>
  <c r="E702" i="34"/>
  <c r="D702" i="34"/>
  <c r="C702" i="34"/>
  <c r="B702" i="34"/>
  <c r="G701" i="34"/>
  <c r="F701" i="34"/>
  <c r="E701" i="34"/>
  <c r="D701" i="34"/>
  <c r="C701" i="34"/>
  <c r="B701" i="34"/>
  <c r="G700" i="34"/>
  <c r="F700" i="34"/>
  <c r="E700" i="34"/>
  <c r="D700" i="34"/>
  <c r="C700" i="34"/>
  <c r="B700" i="34"/>
  <c r="G699" i="34"/>
  <c r="F699" i="34"/>
  <c r="E699" i="34"/>
  <c r="D699" i="34"/>
  <c r="C699" i="34"/>
  <c r="B699" i="34"/>
  <c r="G698" i="34"/>
  <c r="F698" i="34"/>
  <c r="E698" i="34"/>
  <c r="D698" i="34"/>
  <c r="C698" i="34"/>
  <c r="B698" i="34"/>
  <c r="G697" i="34"/>
  <c r="F697" i="34"/>
  <c r="E697" i="34"/>
  <c r="D697" i="34"/>
  <c r="C697" i="34"/>
  <c r="B697" i="34"/>
  <c r="G696" i="34"/>
  <c r="F696" i="34"/>
  <c r="E696" i="34"/>
  <c r="D696" i="34"/>
  <c r="C696" i="34"/>
  <c r="B696" i="34"/>
  <c r="G695" i="34"/>
  <c r="F695" i="34"/>
  <c r="E695" i="34"/>
  <c r="D695" i="34"/>
  <c r="C695" i="34"/>
  <c r="B695" i="34"/>
  <c r="G694" i="34"/>
  <c r="F694" i="34"/>
  <c r="E694" i="34"/>
  <c r="D694" i="34"/>
  <c r="C694" i="34"/>
  <c r="B694" i="34"/>
  <c r="G693" i="34"/>
  <c r="F693" i="34"/>
  <c r="E693" i="34"/>
  <c r="D693" i="34"/>
  <c r="C693" i="34"/>
  <c r="B693" i="34"/>
  <c r="G692" i="34"/>
  <c r="F692" i="34"/>
  <c r="E692" i="34"/>
  <c r="D692" i="34"/>
  <c r="C692" i="34"/>
  <c r="B692" i="34"/>
  <c r="G691" i="34"/>
  <c r="F691" i="34"/>
  <c r="E691" i="34"/>
  <c r="D691" i="34"/>
  <c r="C691" i="34"/>
  <c r="B691" i="34"/>
  <c r="G690" i="34"/>
  <c r="F690" i="34"/>
  <c r="E690" i="34"/>
  <c r="D690" i="34"/>
  <c r="C690" i="34"/>
  <c r="B690" i="34"/>
  <c r="G689" i="34"/>
  <c r="F689" i="34"/>
  <c r="E689" i="34"/>
  <c r="D689" i="34"/>
  <c r="C689" i="34"/>
  <c r="B689" i="34"/>
  <c r="G688" i="34"/>
  <c r="F688" i="34"/>
  <c r="E688" i="34"/>
  <c r="D688" i="34"/>
  <c r="C688" i="34"/>
  <c r="B688" i="34"/>
  <c r="G687" i="34"/>
  <c r="F687" i="34"/>
  <c r="E687" i="34"/>
  <c r="D687" i="34"/>
  <c r="C687" i="34"/>
  <c r="B687" i="34"/>
  <c r="G686" i="34"/>
  <c r="F686" i="34"/>
  <c r="E686" i="34"/>
  <c r="D686" i="34"/>
  <c r="C686" i="34"/>
  <c r="B686" i="34"/>
  <c r="G685" i="34"/>
  <c r="F685" i="34"/>
  <c r="E685" i="34"/>
  <c r="D685" i="34"/>
  <c r="C685" i="34"/>
  <c r="B685" i="34"/>
  <c r="G684" i="34"/>
  <c r="F684" i="34"/>
  <c r="E684" i="34"/>
  <c r="D684" i="34"/>
  <c r="C684" i="34"/>
  <c r="B684" i="34"/>
  <c r="G683" i="34"/>
  <c r="F683" i="34"/>
  <c r="E683" i="34"/>
  <c r="D683" i="34"/>
  <c r="C683" i="34"/>
  <c r="B683" i="34"/>
  <c r="G682" i="34"/>
  <c r="F682" i="34"/>
  <c r="E682" i="34"/>
  <c r="D682" i="34"/>
  <c r="C682" i="34"/>
  <c r="B682" i="34"/>
  <c r="G681" i="34"/>
  <c r="F681" i="34"/>
  <c r="E681" i="34"/>
  <c r="D681" i="34"/>
  <c r="C681" i="34"/>
  <c r="B681" i="34"/>
  <c r="G680" i="34"/>
  <c r="F680" i="34"/>
  <c r="E680" i="34"/>
  <c r="D680" i="34"/>
  <c r="C680" i="34"/>
  <c r="B680" i="34"/>
  <c r="G679" i="34"/>
  <c r="F679" i="34"/>
  <c r="E679" i="34"/>
  <c r="D679" i="34"/>
  <c r="C679" i="34"/>
  <c r="B679" i="34"/>
  <c r="G678" i="34"/>
  <c r="F678" i="34"/>
  <c r="E678" i="34"/>
  <c r="D678" i="34"/>
  <c r="C678" i="34"/>
  <c r="B678" i="34"/>
  <c r="G677" i="34"/>
  <c r="F677" i="34"/>
  <c r="E677" i="34"/>
  <c r="D677" i="34"/>
  <c r="C677" i="34"/>
  <c r="B677" i="34"/>
  <c r="G676" i="34"/>
  <c r="F676" i="34"/>
  <c r="E676" i="34"/>
  <c r="D676" i="34"/>
  <c r="C676" i="34"/>
  <c r="B676" i="34"/>
  <c r="G675" i="34"/>
  <c r="F675" i="34"/>
  <c r="E675" i="34"/>
  <c r="D675" i="34"/>
  <c r="C675" i="34"/>
  <c r="B675" i="34"/>
  <c r="G674" i="34"/>
  <c r="F674" i="34"/>
  <c r="E674" i="34"/>
  <c r="D674" i="34"/>
  <c r="C674" i="34"/>
  <c r="B674" i="34"/>
  <c r="G673" i="34"/>
  <c r="F673" i="34"/>
  <c r="E673" i="34"/>
  <c r="D673" i="34"/>
  <c r="C673" i="34"/>
  <c r="B673" i="34"/>
  <c r="G672" i="34"/>
  <c r="F672" i="34"/>
  <c r="E672" i="34"/>
  <c r="D672" i="34"/>
  <c r="C672" i="34"/>
  <c r="B672" i="34"/>
  <c r="G671" i="34"/>
  <c r="K652" i="34" s="1"/>
  <c r="G32" i="39" s="1"/>
  <c r="F671" i="34"/>
  <c r="E671" i="34"/>
  <c r="D671" i="34"/>
  <c r="C671" i="34"/>
  <c r="B671" i="34"/>
  <c r="G670" i="34"/>
  <c r="F670" i="34"/>
  <c r="E670" i="34"/>
  <c r="D670" i="34"/>
  <c r="C670" i="34"/>
  <c r="B670" i="34"/>
  <c r="G669" i="34"/>
  <c r="F669" i="34"/>
  <c r="E669" i="34"/>
  <c r="D669" i="34"/>
  <c r="C669" i="34"/>
  <c r="B669" i="34"/>
  <c r="G668" i="34"/>
  <c r="F668" i="34"/>
  <c r="E668" i="34"/>
  <c r="D668" i="34"/>
  <c r="C668" i="34"/>
  <c r="B668" i="34"/>
  <c r="G667" i="34"/>
  <c r="F667" i="34"/>
  <c r="E667" i="34"/>
  <c r="D667" i="34"/>
  <c r="C667" i="34"/>
  <c r="B667" i="34"/>
  <c r="G666" i="34"/>
  <c r="F666" i="34"/>
  <c r="E666" i="34"/>
  <c r="D666" i="34"/>
  <c r="C666" i="34"/>
  <c r="B666" i="34"/>
  <c r="G665" i="34"/>
  <c r="F665" i="34"/>
  <c r="E665" i="34"/>
  <c r="D665" i="34"/>
  <c r="C665" i="34"/>
  <c r="B665" i="34"/>
  <c r="G664" i="34"/>
  <c r="F664" i="34"/>
  <c r="E664" i="34"/>
  <c r="D664" i="34"/>
  <c r="C664" i="34"/>
  <c r="B664" i="34"/>
  <c r="G663" i="34"/>
  <c r="F663" i="34"/>
  <c r="E663" i="34"/>
  <c r="D663" i="34"/>
  <c r="C663" i="34"/>
  <c r="B663" i="34"/>
  <c r="G662" i="34"/>
  <c r="F662" i="34"/>
  <c r="E662" i="34"/>
  <c r="D662" i="34"/>
  <c r="C662" i="34"/>
  <c r="B662" i="34"/>
  <c r="G661" i="34"/>
  <c r="F661" i="34"/>
  <c r="E661" i="34"/>
  <c r="D661" i="34"/>
  <c r="C661" i="34"/>
  <c r="B661" i="34"/>
  <c r="G660" i="34"/>
  <c r="F660" i="34"/>
  <c r="E660" i="34"/>
  <c r="D660" i="34"/>
  <c r="C660" i="34"/>
  <c r="B660" i="34"/>
  <c r="G659" i="34"/>
  <c r="F659" i="34"/>
  <c r="E659" i="34"/>
  <c r="D659" i="34"/>
  <c r="C659" i="34"/>
  <c r="B659" i="34"/>
  <c r="G658" i="34"/>
  <c r="F658" i="34"/>
  <c r="E658" i="34"/>
  <c r="D658" i="34"/>
  <c r="C658" i="34"/>
  <c r="B658" i="34"/>
  <c r="G657" i="34"/>
  <c r="F657" i="34"/>
  <c r="E657" i="34"/>
  <c r="D657" i="34"/>
  <c r="C657" i="34"/>
  <c r="B657" i="34"/>
  <c r="G656" i="34"/>
  <c r="F656" i="34"/>
  <c r="E656" i="34"/>
  <c r="D656" i="34"/>
  <c r="C656" i="34"/>
  <c r="B656" i="34"/>
  <c r="G655" i="34"/>
  <c r="F655" i="34"/>
  <c r="E655" i="34"/>
  <c r="D655" i="34"/>
  <c r="C655" i="34"/>
  <c r="B655" i="34"/>
  <c r="G654" i="34"/>
  <c r="F654" i="34"/>
  <c r="E654" i="34"/>
  <c r="D654" i="34"/>
  <c r="C654" i="34"/>
  <c r="B654" i="34"/>
  <c r="G653" i="34"/>
  <c r="F653" i="34"/>
  <c r="E653" i="34"/>
  <c r="D653" i="34"/>
  <c r="C653" i="34"/>
  <c r="B653" i="34"/>
  <c r="G652" i="34"/>
  <c r="F652" i="34"/>
  <c r="E652" i="34"/>
  <c r="D652" i="34"/>
  <c r="C652" i="34"/>
  <c r="B652" i="34"/>
  <c r="G651" i="34"/>
  <c r="F651" i="34"/>
  <c r="E651" i="34"/>
  <c r="D651" i="34"/>
  <c r="C651" i="34"/>
  <c r="B651" i="34"/>
  <c r="G650" i="34"/>
  <c r="F650" i="34"/>
  <c r="E650" i="34"/>
  <c r="D650" i="34"/>
  <c r="C650" i="34"/>
  <c r="B650" i="34"/>
  <c r="G649" i="34"/>
  <c r="F649" i="34"/>
  <c r="E649" i="34"/>
  <c r="D649" i="34"/>
  <c r="C649" i="34"/>
  <c r="B649" i="34"/>
  <c r="G636" i="34"/>
  <c r="F636" i="34"/>
  <c r="E636" i="34"/>
  <c r="D636" i="34"/>
  <c r="C636" i="34"/>
  <c r="B636" i="34"/>
  <c r="G635" i="34"/>
  <c r="F635" i="34"/>
  <c r="E635" i="34"/>
  <c r="D635" i="34"/>
  <c r="C635" i="34"/>
  <c r="B635" i="34"/>
  <c r="G634" i="34"/>
  <c r="F634" i="34"/>
  <c r="E634" i="34"/>
  <c r="D634" i="34"/>
  <c r="C634" i="34"/>
  <c r="B634" i="34"/>
  <c r="G633" i="34"/>
  <c r="F633" i="34"/>
  <c r="E633" i="34"/>
  <c r="D633" i="34"/>
  <c r="C633" i="34"/>
  <c r="B633" i="34"/>
  <c r="G632" i="34"/>
  <c r="F632" i="34"/>
  <c r="E632" i="34"/>
  <c r="D632" i="34"/>
  <c r="C632" i="34"/>
  <c r="B632" i="34"/>
  <c r="G631" i="34"/>
  <c r="F631" i="34"/>
  <c r="E631" i="34"/>
  <c r="D631" i="34"/>
  <c r="C631" i="34"/>
  <c r="B631" i="34"/>
  <c r="G630" i="34"/>
  <c r="F630" i="34"/>
  <c r="E630" i="34"/>
  <c r="D630" i="34"/>
  <c r="C630" i="34"/>
  <c r="B630" i="34"/>
  <c r="G629" i="34"/>
  <c r="F629" i="34"/>
  <c r="E629" i="34"/>
  <c r="D629" i="34"/>
  <c r="C629" i="34"/>
  <c r="B629" i="34"/>
  <c r="G628" i="34"/>
  <c r="F628" i="34"/>
  <c r="E628" i="34"/>
  <c r="D628" i="34"/>
  <c r="C628" i="34"/>
  <c r="B628" i="34"/>
  <c r="G627" i="34"/>
  <c r="F627" i="34"/>
  <c r="E627" i="34"/>
  <c r="D627" i="34"/>
  <c r="C627" i="34"/>
  <c r="B627" i="34"/>
  <c r="G626" i="34"/>
  <c r="F626" i="34"/>
  <c r="E626" i="34"/>
  <c r="D626" i="34"/>
  <c r="C626" i="34"/>
  <c r="B626" i="34"/>
  <c r="G625" i="34"/>
  <c r="F625" i="34"/>
  <c r="E625" i="34"/>
  <c r="D625" i="34"/>
  <c r="C625" i="34"/>
  <c r="B625" i="34"/>
  <c r="G624" i="34"/>
  <c r="F624" i="34"/>
  <c r="E624" i="34"/>
  <c r="D624" i="34"/>
  <c r="C624" i="34"/>
  <c r="B624" i="34"/>
  <c r="G623" i="34"/>
  <c r="F623" i="34"/>
  <c r="E623" i="34"/>
  <c r="D623" i="34"/>
  <c r="C623" i="34"/>
  <c r="B623" i="34"/>
  <c r="G622" i="34"/>
  <c r="F622" i="34"/>
  <c r="E622" i="34"/>
  <c r="D622" i="34"/>
  <c r="C622" i="34"/>
  <c r="B622" i="34"/>
  <c r="G621" i="34"/>
  <c r="F621" i="34"/>
  <c r="E621" i="34"/>
  <c r="D621" i="34"/>
  <c r="C621" i="34"/>
  <c r="B621" i="34"/>
  <c r="G620" i="34"/>
  <c r="F620" i="34"/>
  <c r="E620" i="34"/>
  <c r="D620" i="34"/>
  <c r="C620" i="34"/>
  <c r="B620" i="34"/>
  <c r="G619" i="34"/>
  <c r="F619" i="34"/>
  <c r="E619" i="34"/>
  <c r="D619" i="34"/>
  <c r="C619" i="34"/>
  <c r="B619" i="34"/>
  <c r="G618" i="34"/>
  <c r="F618" i="34"/>
  <c r="E618" i="34"/>
  <c r="D618" i="34"/>
  <c r="C618" i="34"/>
  <c r="B618" i="34"/>
  <c r="G617" i="34"/>
  <c r="F617" i="34"/>
  <c r="E617" i="34"/>
  <c r="D617" i="34"/>
  <c r="C617" i="34"/>
  <c r="B617" i="34"/>
  <c r="G616" i="34"/>
  <c r="F616" i="34"/>
  <c r="E616" i="34"/>
  <c r="D616" i="34"/>
  <c r="C616" i="34"/>
  <c r="B616" i="34"/>
  <c r="G615" i="34"/>
  <c r="F615" i="34"/>
  <c r="E615" i="34"/>
  <c r="D615" i="34"/>
  <c r="C615" i="34"/>
  <c r="B615" i="34"/>
  <c r="G614" i="34"/>
  <c r="F614" i="34"/>
  <c r="E614" i="34"/>
  <c r="D614" i="34"/>
  <c r="C614" i="34"/>
  <c r="B614" i="34"/>
  <c r="G613" i="34"/>
  <c r="F613" i="34"/>
  <c r="E613" i="34"/>
  <c r="D613" i="34"/>
  <c r="C613" i="34"/>
  <c r="B613" i="34"/>
  <c r="G612" i="34"/>
  <c r="F612" i="34"/>
  <c r="E612" i="34"/>
  <c r="D612" i="34"/>
  <c r="C612" i="34"/>
  <c r="B612" i="34"/>
  <c r="G611" i="34"/>
  <c r="F611" i="34"/>
  <c r="E611" i="34"/>
  <c r="D611" i="34"/>
  <c r="C611" i="34"/>
  <c r="B611" i="34"/>
  <c r="G610" i="34"/>
  <c r="F610" i="34"/>
  <c r="E610" i="34"/>
  <c r="D610" i="34"/>
  <c r="C610" i="34"/>
  <c r="B610" i="34"/>
  <c r="G609" i="34"/>
  <c r="F609" i="34"/>
  <c r="E609" i="34"/>
  <c r="D609" i="34"/>
  <c r="C609" i="34"/>
  <c r="B609" i="34"/>
  <c r="G608" i="34"/>
  <c r="F608" i="34"/>
  <c r="E608" i="34"/>
  <c r="D608" i="34"/>
  <c r="C608" i="34"/>
  <c r="B608" i="34"/>
  <c r="G607" i="34"/>
  <c r="F607" i="34"/>
  <c r="E607" i="34"/>
  <c r="D607" i="34"/>
  <c r="C607" i="34"/>
  <c r="B607" i="34"/>
  <c r="G606" i="34"/>
  <c r="F606" i="34"/>
  <c r="E606" i="34"/>
  <c r="D606" i="34"/>
  <c r="C606" i="34"/>
  <c r="B606" i="34"/>
  <c r="G605" i="34"/>
  <c r="F605" i="34"/>
  <c r="E605" i="34"/>
  <c r="D605" i="34"/>
  <c r="C605" i="34"/>
  <c r="B605" i="34"/>
  <c r="G604" i="34"/>
  <c r="F604" i="34"/>
  <c r="E604" i="34"/>
  <c r="D604" i="34"/>
  <c r="C604" i="34"/>
  <c r="B604" i="34"/>
  <c r="G603" i="34"/>
  <c r="F603" i="34"/>
  <c r="E603" i="34"/>
  <c r="D603" i="34"/>
  <c r="C603" i="34"/>
  <c r="B603" i="34"/>
  <c r="G602" i="34"/>
  <c r="F602" i="34"/>
  <c r="E602" i="34"/>
  <c r="D602" i="34"/>
  <c r="C602" i="34"/>
  <c r="B602" i="34"/>
  <c r="G601" i="34"/>
  <c r="F601" i="34"/>
  <c r="E601" i="34"/>
  <c r="D601" i="34"/>
  <c r="C601" i="34"/>
  <c r="B601" i="34"/>
  <c r="G600" i="34"/>
  <c r="F600" i="34"/>
  <c r="E600" i="34"/>
  <c r="D600" i="34"/>
  <c r="C600" i="34"/>
  <c r="B600" i="34"/>
  <c r="G599" i="34"/>
  <c r="F599" i="34"/>
  <c r="E599" i="34"/>
  <c r="D599" i="34"/>
  <c r="C599" i="34"/>
  <c r="B599" i="34"/>
  <c r="G598" i="34"/>
  <c r="F598" i="34"/>
  <c r="E598" i="34"/>
  <c r="D598" i="34"/>
  <c r="C598" i="34"/>
  <c r="B598" i="34"/>
  <c r="G597" i="34"/>
  <c r="F597" i="34"/>
  <c r="E597" i="34"/>
  <c r="D597" i="34"/>
  <c r="C597" i="34"/>
  <c r="B597" i="34"/>
  <c r="G596" i="34"/>
  <c r="F596" i="34"/>
  <c r="E596" i="34"/>
  <c r="D596" i="34"/>
  <c r="C596" i="34"/>
  <c r="B596" i="34"/>
  <c r="G595" i="34"/>
  <c r="F595" i="34"/>
  <c r="E595" i="34"/>
  <c r="D595" i="34"/>
  <c r="C595" i="34"/>
  <c r="B595" i="34"/>
  <c r="G594" i="34"/>
  <c r="F594" i="34"/>
  <c r="E594" i="34"/>
  <c r="D594" i="34"/>
  <c r="C594" i="34"/>
  <c r="B594" i="34"/>
  <c r="G593" i="34"/>
  <c r="F593" i="34"/>
  <c r="E593" i="34"/>
  <c r="D593" i="34"/>
  <c r="C593" i="34"/>
  <c r="B593" i="34"/>
  <c r="G592" i="34"/>
  <c r="F592" i="34"/>
  <c r="E592" i="34"/>
  <c r="D592" i="34"/>
  <c r="C592" i="34"/>
  <c r="B592" i="34"/>
  <c r="G591" i="34"/>
  <c r="F591" i="34"/>
  <c r="E591" i="34"/>
  <c r="D591" i="34"/>
  <c r="C591" i="34"/>
  <c r="B591" i="34"/>
  <c r="G590" i="34"/>
  <c r="F590" i="34"/>
  <c r="E590" i="34"/>
  <c r="D590" i="34"/>
  <c r="C590" i="34"/>
  <c r="B590" i="34"/>
  <c r="G589" i="34"/>
  <c r="F589" i="34"/>
  <c r="E589" i="34"/>
  <c r="D589" i="34"/>
  <c r="C589" i="34"/>
  <c r="B589" i="34"/>
  <c r="G588" i="34"/>
  <c r="F588" i="34"/>
  <c r="E588" i="34"/>
  <c r="D588" i="34"/>
  <c r="C588" i="34"/>
  <c r="B588" i="34"/>
  <c r="G587" i="34"/>
  <c r="F587" i="34"/>
  <c r="E587" i="34"/>
  <c r="D587" i="34"/>
  <c r="C587" i="34"/>
  <c r="B587" i="34"/>
  <c r="G586" i="34"/>
  <c r="F586" i="34"/>
  <c r="E586" i="34"/>
  <c r="D586" i="34"/>
  <c r="C586" i="34"/>
  <c r="B586" i="34"/>
  <c r="G585" i="34"/>
  <c r="F585" i="34"/>
  <c r="E585" i="34"/>
  <c r="D585" i="34"/>
  <c r="C585" i="34"/>
  <c r="B585" i="34"/>
  <c r="G584" i="34"/>
  <c r="F584" i="34"/>
  <c r="E584" i="34"/>
  <c r="D584" i="34"/>
  <c r="C584" i="34"/>
  <c r="B584" i="34"/>
  <c r="G583" i="34"/>
  <c r="F583" i="34"/>
  <c r="E583" i="34"/>
  <c r="D583" i="34"/>
  <c r="C583" i="34"/>
  <c r="B583" i="34"/>
  <c r="G582" i="34"/>
  <c r="F582" i="34"/>
  <c r="E582" i="34"/>
  <c r="D582" i="34"/>
  <c r="C582" i="34"/>
  <c r="B582" i="34"/>
  <c r="G581" i="34"/>
  <c r="F581" i="34"/>
  <c r="E581" i="34"/>
  <c r="D581" i="34"/>
  <c r="C581" i="34"/>
  <c r="B581" i="34"/>
  <c r="G580" i="34"/>
  <c r="F580" i="34"/>
  <c r="E580" i="34"/>
  <c r="D580" i="34"/>
  <c r="C580" i="34"/>
  <c r="B580" i="34"/>
  <c r="G579" i="34"/>
  <c r="F579" i="34"/>
  <c r="E579" i="34"/>
  <c r="D579" i="34"/>
  <c r="C579" i="34"/>
  <c r="B579" i="34"/>
  <c r="G578" i="34"/>
  <c r="F578" i="34"/>
  <c r="E578" i="34"/>
  <c r="D578" i="34"/>
  <c r="C578" i="34"/>
  <c r="B578" i="34"/>
  <c r="G577" i="34"/>
  <c r="F577" i="34"/>
  <c r="E577" i="34"/>
  <c r="D577" i="34"/>
  <c r="C577" i="34"/>
  <c r="B577" i="34"/>
  <c r="G576" i="34"/>
  <c r="F576" i="34"/>
  <c r="E576" i="34"/>
  <c r="D576" i="34"/>
  <c r="C576" i="34"/>
  <c r="B576" i="34"/>
  <c r="G575" i="34"/>
  <c r="F575" i="34"/>
  <c r="E575" i="34"/>
  <c r="D575" i="34"/>
  <c r="C575" i="34"/>
  <c r="B575" i="34"/>
  <c r="G574" i="34"/>
  <c r="F574" i="34"/>
  <c r="E574" i="34"/>
  <c r="D574" i="34"/>
  <c r="C574" i="34"/>
  <c r="B574" i="34"/>
  <c r="G573" i="34"/>
  <c r="F573" i="34"/>
  <c r="E573" i="34"/>
  <c r="D573" i="34"/>
  <c r="C573" i="34"/>
  <c r="B573" i="34"/>
  <c r="G572" i="34"/>
  <c r="F572" i="34"/>
  <c r="E572" i="34"/>
  <c r="D572" i="34"/>
  <c r="C572" i="34"/>
  <c r="B572" i="34"/>
  <c r="G571" i="34"/>
  <c r="F571" i="34"/>
  <c r="E571" i="34"/>
  <c r="D571" i="34"/>
  <c r="C571" i="34"/>
  <c r="B571" i="34"/>
  <c r="G570" i="34"/>
  <c r="F570" i="34"/>
  <c r="E570" i="34"/>
  <c r="D570" i="34"/>
  <c r="C570" i="34"/>
  <c r="B570" i="34"/>
  <c r="G569" i="34"/>
  <c r="F569" i="34"/>
  <c r="E569" i="34"/>
  <c r="D569" i="34"/>
  <c r="C569" i="34"/>
  <c r="B569" i="34"/>
  <c r="G568" i="34"/>
  <c r="F568" i="34"/>
  <c r="E568" i="34"/>
  <c r="D568" i="34"/>
  <c r="C568" i="34"/>
  <c r="B568" i="34"/>
  <c r="G567" i="34"/>
  <c r="F567" i="34"/>
  <c r="E567" i="34"/>
  <c r="D567" i="34"/>
  <c r="C567" i="34"/>
  <c r="B567" i="34"/>
  <c r="G566" i="34"/>
  <c r="F566" i="34"/>
  <c r="E566" i="34"/>
  <c r="D566" i="34"/>
  <c r="C566" i="34"/>
  <c r="B566" i="34"/>
  <c r="G565" i="34"/>
  <c r="F565" i="34"/>
  <c r="E565" i="34"/>
  <c r="D565" i="34"/>
  <c r="C565" i="34"/>
  <c r="B565" i="34"/>
  <c r="G564" i="34"/>
  <c r="F564" i="34"/>
  <c r="E564" i="34"/>
  <c r="D564" i="34"/>
  <c r="C564" i="34"/>
  <c r="B564" i="34"/>
  <c r="G563" i="34"/>
  <c r="F563" i="34"/>
  <c r="E563" i="34"/>
  <c r="D563" i="34"/>
  <c r="C563" i="34"/>
  <c r="B563" i="34"/>
  <c r="G562" i="34"/>
  <c r="F562" i="34"/>
  <c r="E562" i="34"/>
  <c r="D562" i="34"/>
  <c r="C562" i="34"/>
  <c r="B562" i="34"/>
  <c r="G561" i="34"/>
  <c r="F561" i="34"/>
  <c r="E561" i="34"/>
  <c r="D561" i="34"/>
  <c r="C561" i="34"/>
  <c r="B561" i="34"/>
  <c r="G560" i="34"/>
  <c r="F560" i="34"/>
  <c r="E560" i="34"/>
  <c r="D560" i="34"/>
  <c r="C560" i="34"/>
  <c r="B560" i="34"/>
  <c r="G559" i="34"/>
  <c r="F559" i="34"/>
  <c r="E559" i="34"/>
  <c r="D559" i="34"/>
  <c r="C559" i="34"/>
  <c r="B559" i="34"/>
  <c r="G558" i="34"/>
  <c r="F558" i="34"/>
  <c r="E558" i="34"/>
  <c r="D558" i="34"/>
  <c r="C558" i="34"/>
  <c r="B558" i="34"/>
  <c r="G557" i="34"/>
  <c r="F557" i="34"/>
  <c r="E557" i="34"/>
  <c r="D557" i="34"/>
  <c r="C557" i="34"/>
  <c r="B557" i="34"/>
  <c r="G556" i="34"/>
  <c r="F556" i="34"/>
  <c r="E556" i="34"/>
  <c r="D556" i="34"/>
  <c r="C556" i="34"/>
  <c r="B556" i="34"/>
  <c r="G555" i="34"/>
  <c r="F555" i="34"/>
  <c r="E555" i="34"/>
  <c r="D555" i="34"/>
  <c r="C555" i="34"/>
  <c r="B555" i="34"/>
  <c r="G554" i="34"/>
  <c r="F554" i="34"/>
  <c r="E554" i="34"/>
  <c r="D554" i="34"/>
  <c r="C554" i="34"/>
  <c r="B554" i="34"/>
  <c r="G553" i="34"/>
  <c r="F553" i="34"/>
  <c r="E553" i="34"/>
  <c r="D553" i="34"/>
  <c r="C553" i="34"/>
  <c r="B553" i="34"/>
  <c r="G552" i="34"/>
  <c r="F552" i="34"/>
  <c r="E552" i="34"/>
  <c r="D552" i="34"/>
  <c r="C552" i="34"/>
  <c r="B552" i="34"/>
  <c r="G551" i="34"/>
  <c r="F551" i="34"/>
  <c r="E551" i="34"/>
  <c r="D551" i="34"/>
  <c r="C551" i="34"/>
  <c r="B551" i="34"/>
  <c r="G550" i="34"/>
  <c r="F550" i="34"/>
  <c r="E550" i="34"/>
  <c r="D550" i="34"/>
  <c r="C550" i="34"/>
  <c r="B550" i="34"/>
  <c r="G549" i="34"/>
  <c r="F549" i="34"/>
  <c r="E549" i="34"/>
  <c r="D549" i="34"/>
  <c r="C549" i="34"/>
  <c r="B549" i="34"/>
  <c r="G548" i="34"/>
  <c r="F548" i="34"/>
  <c r="E548" i="34"/>
  <c r="D548" i="34"/>
  <c r="C548" i="34"/>
  <c r="B548" i="34"/>
  <c r="G547" i="34"/>
  <c r="F547" i="34"/>
  <c r="E547" i="34"/>
  <c r="D547" i="34"/>
  <c r="C547" i="34"/>
  <c r="B547" i="34"/>
  <c r="G546" i="34"/>
  <c r="F546" i="34"/>
  <c r="E546" i="34"/>
  <c r="D546" i="34"/>
  <c r="C546" i="34"/>
  <c r="B546" i="34"/>
  <c r="G545" i="34"/>
  <c r="F545" i="34"/>
  <c r="E545" i="34"/>
  <c r="D545" i="34"/>
  <c r="C545" i="34"/>
  <c r="B545" i="34"/>
  <c r="G544" i="34"/>
  <c r="F544" i="34"/>
  <c r="E544" i="34"/>
  <c r="D544" i="34"/>
  <c r="C544" i="34"/>
  <c r="B544" i="34"/>
  <c r="G543" i="34"/>
  <c r="F543" i="34"/>
  <c r="E543" i="34"/>
  <c r="D543" i="34"/>
  <c r="C543" i="34"/>
  <c r="B543" i="34"/>
  <c r="G542" i="34"/>
  <c r="F542" i="34"/>
  <c r="E542" i="34"/>
  <c r="D542" i="34"/>
  <c r="C542" i="34"/>
  <c r="B542" i="34"/>
  <c r="G541" i="34"/>
  <c r="F541" i="34"/>
  <c r="E541" i="34"/>
  <c r="D541" i="34"/>
  <c r="C541" i="34"/>
  <c r="B541" i="34"/>
  <c r="G540" i="34"/>
  <c r="F540" i="34"/>
  <c r="E540" i="34"/>
  <c r="D540" i="34"/>
  <c r="C540" i="34"/>
  <c r="B540" i="34"/>
  <c r="G539" i="34"/>
  <c r="F539" i="34"/>
  <c r="E539" i="34"/>
  <c r="D539" i="34"/>
  <c r="C539" i="34"/>
  <c r="B539" i="34"/>
  <c r="G538" i="34"/>
  <c r="F538" i="34"/>
  <c r="E538" i="34"/>
  <c r="D538" i="34"/>
  <c r="C538" i="34"/>
  <c r="B538" i="34"/>
  <c r="G537" i="34"/>
  <c r="F537" i="34"/>
  <c r="E537" i="34"/>
  <c r="D537" i="34"/>
  <c r="C537" i="34"/>
  <c r="B537" i="34"/>
  <c r="G536" i="34"/>
  <c r="F536" i="34"/>
  <c r="E536" i="34"/>
  <c r="D536" i="34"/>
  <c r="C536" i="34"/>
  <c r="B536" i="34"/>
  <c r="G535" i="34"/>
  <c r="F535" i="34"/>
  <c r="E535" i="34"/>
  <c r="D535" i="34"/>
  <c r="C535" i="34"/>
  <c r="B535" i="34"/>
  <c r="G534" i="34"/>
  <c r="F534" i="34"/>
  <c r="E534" i="34"/>
  <c r="D534" i="34"/>
  <c r="C534" i="34"/>
  <c r="B534" i="34"/>
  <c r="G533" i="34"/>
  <c r="F533" i="34"/>
  <c r="E533" i="34"/>
  <c r="D533" i="34"/>
  <c r="C533" i="34"/>
  <c r="B533" i="34"/>
  <c r="G532" i="34"/>
  <c r="F532" i="34"/>
  <c r="E532" i="34"/>
  <c r="D532" i="34"/>
  <c r="C532" i="34"/>
  <c r="B532" i="34"/>
  <c r="G531" i="34"/>
  <c r="F531" i="34"/>
  <c r="E531" i="34"/>
  <c r="D531" i="34"/>
  <c r="C531" i="34"/>
  <c r="B531" i="34"/>
  <c r="G530" i="34"/>
  <c r="F530" i="34"/>
  <c r="E530" i="34"/>
  <c r="D530" i="34"/>
  <c r="C530" i="34"/>
  <c r="B530" i="34"/>
  <c r="G529" i="34"/>
  <c r="F529" i="34"/>
  <c r="E529" i="34"/>
  <c r="D529" i="34"/>
  <c r="C529" i="34"/>
  <c r="B529" i="34"/>
  <c r="G528" i="34"/>
  <c r="F528" i="34"/>
  <c r="E528" i="34"/>
  <c r="D528" i="34"/>
  <c r="C528" i="34"/>
  <c r="B528" i="34"/>
  <c r="G527" i="34"/>
  <c r="F527" i="34"/>
  <c r="E527" i="34"/>
  <c r="D527" i="34"/>
  <c r="C527" i="34"/>
  <c r="B527" i="34"/>
  <c r="G526" i="34"/>
  <c r="F526" i="34"/>
  <c r="E526" i="34"/>
  <c r="D526" i="34"/>
  <c r="C526" i="34"/>
  <c r="B526" i="34"/>
  <c r="G525" i="34"/>
  <c r="F525" i="34"/>
  <c r="E525" i="34"/>
  <c r="D525" i="34"/>
  <c r="C525" i="34"/>
  <c r="B525" i="34"/>
  <c r="G524" i="34"/>
  <c r="F524" i="34"/>
  <c r="E524" i="34"/>
  <c r="D524" i="34"/>
  <c r="C524" i="34"/>
  <c r="B524" i="34"/>
  <c r="G523" i="34"/>
  <c r="F523" i="34"/>
  <c r="E523" i="34"/>
  <c r="D523" i="34"/>
  <c r="C523" i="34"/>
  <c r="B523" i="34"/>
  <c r="G522" i="34"/>
  <c r="F522" i="34"/>
  <c r="E522" i="34"/>
  <c r="D522" i="34"/>
  <c r="C522" i="34"/>
  <c r="B522" i="34"/>
  <c r="G521" i="34"/>
  <c r="F521" i="34"/>
  <c r="E521" i="34"/>
  <c r="D521" i="34"/>
  <c r="C521" i="34"/>
  <c r="B521" i="34"/>
  <c r="G520" i="34"/>
  <c r="F520" i="34"/>
  <c r="E520" i="34"/>
  <c r="D520" i="34"/>
  <c r="C520" i="34"/>
  <c r="B520" i="34"/>
  <c r="G519" i="34"/>
  <c r="F519" i="34"/>
  <c r="E519" i="34"/>
  <c r="D519" i="34"/>
  <c r="C519" i="34"/>
  <c r="B519" i="34"/>
  <c r="G518" i="34"/>
  <c r="F518" i="34"/>
  <c r="E518" i="34"/>
  <c r="D518" i="34"/>
  <c r="C518" i="34"/>
  <c r="B518" i="34"/>
  <c r="G517" i="34"/>
  <c r="F517" i="34"/>
  <c r="E517" i="34"/>
  <c r="D517" i="34"/>
  <c r="C517" i="34"/>
  <c r="B517" i="34"/>
  <c r="G516" i="34"/>
  <c r="F516" i="34"/>
  <c r="E516" i="34"/>
  <c r="D516" i="34"/>
  <c r="C516" i="34"/>
  <c r="B516" i="34"/>
  <c r="G515" i="34"/>
  <c r="F515" i="34"/>
  <c r="E515" i="34"/>
  <c r="D515" i="34"/>
  <c r="C515" i="34"/>
  <c r="B515" i="34"/>
  <c r="G514" i="34"/>
  <c r="F514" i="34"/>
  <c r="E514" i="34"/>
  <c r="D514" i="34"/>
  <c r="C514" i="34"/>
  <c r="B514" i="34"/>
  <c r="G513" i="34"/>
  <c r="F513" i="34"/>
  <c r="E513" i="34"/>
  <c r="D513" i="34"/>
  <c r="C513" i="34"/>
  <c r="B513" i="34"/>
  <c r="G512" i="34"/>
  <c r="F512" i="34"/>
  <c r="E512" i="34"/>
  <c r="D512" i="34"/>
  <c r="C512" i="34"/>
  <c r="B512" i="34"/>
  <c r="G511" i="34"/>
  <c r="F511" i="34"/>
  <c r="E511" i="34"/>
  <c r="D511" i="34"/>
  <c r="C511" i="34"/>
  <c r="B511" i="34"/>
  <c r="G510" i="34"/>
  <c r="F510" i="34"/>
  <c r="E510" i="34"/>
  <c r="D510" i="34"/>
  <c r="C510" i="34"/>
  <c r="B510" i="34"/>
  <c r="G509" i="34"/>
  <c r="F509" i="34"/>
  <c r="E509" i="34"/>
  <c r="D509" i="34"/>
  <c r="C509" i="34"/>
  <c r="B509" i="34"/>
  <c r="G508" i="34"/>
  <c r="F508" i="34"/>
  <c r="E508" i="34"/>
  <c r="D508" i="34"/>
  <c r="C508" i="34"/>
  <c r="B508" i="34"/>
  <c r="G507" i="34"/>
  <c r="F507" i="34"/>
  <c r="E507" i="34"/>
  <c r="D507" i="34"/>
  <c r="C507" i="34"/>
  <c r="B507" i="34"/>
  <c r="G506" i="34"/>
  <c r="F506" i="34"/>
  <c r="E506" i="34"/>
  <c r="D506" i="34"/>
  <c r="C506" i="34"/>
  <c r="B506" i="34"/>
  <c r="G505" i="34"/>
  <c r="F505" i="34"/>
  <c r="E505" i="34"/>
  <c r="D505" i="34"/>
  <c r="C505" i="34"/>
  <c r="B505" i="34"/>
  <c r="G504" i="34"/>
  <c r="F504" i="34"/>
  <c r="E504" i="34"/>
  <c r="D504" i="34"/>
  <c r="C504" i="34"/>
  <c r="B504" i="34"/>
  <c r="G503" i="34"/>
  <c r="F503" i="34"/>
  <c r="E503" i="34"/>
  <c r="D503" i="34"/>
  <c r="C503" i="34"/>
  <c r="B503" i="34"/>
  <c r="G502" i="34"/>
  <c r="F502" i="34"/>
  <c r="E502" i="34"/>
  <c r="D502" i="34"/>
  <c r="C502" i="34"/>
  <c r="B502" i="34"/>
  <c r="G501" i="34"/>
  <c r="F501" i="34"/>
  <c r="E501" i="34"/>
  <c r="D501" i="34"/>
  <c r="C501" i="34"/>
  <c r="B501" i="34"/>
  <c r="G500" i="34"/>
  <c r="F500" i="34"/>
  <c r="E500" i="34"/>
  <c r="D500" i="34"/>
  <c r="C500" i="34"/>
  <c r="B500" i="34"/>
  <c r="G499" i="34"/>
  <c r="F499" i="34"/>
  <c r="E499" i="34"/>
  <c r="D499" i="34"/>
  <c r="C499" i="34"/>
  <c r="B499" i="34"/>
  <c r="G498" i="34"/>
  <c r="F498" i="34"/>
  <c r="E498" i="34"/>
  <c r="D498" i="34"/>
  <c r="C498" i="34"/>
  <c r="B498" i="34"/>
  <c r="G497" i="34"/>
  <c r="F497" i="34"/>
  <c r="E497" i="34"/>
  <c r="D497" i="34"/>
  <c r="C497" i="34"/>
  <c r="B497" i="34"/>
  <c r="G496" i="34"/>
  <c r="F496" i="34"/>
  <c r="E496" i="34"/>
  <c r="D496" i="34"/>
  <c r="C496" i="34"/>
  <c r="B496" i="34"/>
  <c r="G495" i="34"/>
  <c r="F495" i="34"/>
  <c r="E495" i="34"/>
  <c r="D495" i="34"/>
  <c r="C495" i="34"/>
  <c r="B495" i="34"/>
  <c r="G494" i="34"/>
  <c r="F494" i="34"/>
  <c r="E494" i="34"/>
  <c r="D494" i="34"/>
  <c r="C494" i="34"/>
  <c r="B494" i="34"/>
  <c r="G493" i="34"/>
  <c r="F493" i="34"/>
  <c r="E493" i="34"/>
  <c r="D493" i="34"/>
  <c r="C493" i="34"/>
  <c r="B493" i="34"/>
  <c r="G492" i="34"/>
  <c r="F492" i="34"/>
  <c r="E492" i="34"/>
  <c r="D492" i="34"/>
  <c r="C492" i="34"/>
  <c r="B492" i="34"/>
  <c r="G491" i="34"/>
  <c r="F491" i="34"/>
  <c r="E491" i="34"/>
  <c r="D491" i="34"/>
  <c r="C491" i="34"/>
  <c r="B491" i="34"/>
  <c r="G490" i="34"/>
  <c r="F490" i="34"/>
  <c r="E490" i="34"/>
  <c r="D490" i="34"/>
  <c r="C490" i="34"/>
  <c r="B490" i="34"/>
  <c r="G489" i="34"/>
  <c r="F489" i="34"/>
  <c r="E489" i="34"/>
  <c r="D489" i="34"/>
  <c r="C489" i="34"/>
  <c r="B489" i="34"/>
  <c r="G488" i="34"/>
  <c r="F488" i="34"/>
  <c r="E488" i="34"/>
  <c r="D488" i="34"/>
  <c r="C488" i="34"/>
  <c r="B488" i="34"/>
  <c r="G487" i="34"/>
  <c r="F487" i="34"/>
  <c r="E487" i="34"/>
  <c r="D487" i="34"/>
  <c r="C487" i="34"/>
  <c r="B487" i="34"/>
  <c r="G486" i="34"/>
  <c r="F486" i="34"/>
  <c r="E486" i="34"/>
  <c r="D486" i="34"/>
  <c r="C486" i="34"/>
  <c r="B486" i="34"/>
  <c r="G485" i="34"/>
  <c r="F485" i="34"/>
  <c r="E485" i="34"/>
  <c r="D485" i="34"/>
  <c r="C485" i="34"/>
  <c r="B485" i="34"/>
  <c r="G484" i="34"/>
  <c r="F484" i="34"/>
  <c r="E484" i="34"/>
  <c r="D484" i="34"/>
  <c r="C484" i="34"/>
  <c r="B484" i="34"/>
  <c r="G483" i="34"/>
  <c r="F483" i="34"/>
  <c r="E483" i="34"/>
  <c r="D483" i="34"/>
  <c r="C483" i="34"/>
  <c r="B483" i="34"/>
  <c r="G482" i="34"/>
  <c r="F482" i="34"/>
  <c r="E482" i="34"/>
  <c r="D482" i="34"/>
  <c r="C482" i="34"/>
  <c r="B482" i="34"/>
  <c r="G481" i="34"/>
  <c r="F481" i="34"/>
  <c r="E481" i="34"/>
  <c r="D481" i="34"/>
  <c r="C481" i="34"/>
  <c r="B481" i="34"/>
  <c r="G480" i="34"/>
  <c r="F480" i="34"/>
  <c r="E480" i="34"/>
  <c r="D480" i="34"/>
  <c r="C480" i="34"/>
  <c r="B480" i="34"/>
  <c r="G479" i="34"/>
  <c r="F479" i="34"/>
  <c r="E479" i="34"/>
  <c r="D479" i="34"/>
  <c r="C479" i="34"/>
  <c r="B479" i="34"/>
  <c r="G478" i="34"/>
  <c r="F478" i="34"/>
  <c r="E478" i="34"/>
  <c r="D478" i="34"/>
  <c r="C478" i="34"/>
  <c r="B478" i="34"/>
  <c r="G477" i="34"/>
  <c r="F477" i="34"/>
  <c r="E477" i="34"/>
  <c r="D477" i="34"/>
  <c r="C477" i="34"/>
  <c r="B477" i="34"/>
  <c r="G476" i="34"/>
  <c r="F476" i="34"/>
  <c r="E476" i="34"/>
  <c r="D476" i="34"/>
  <c r="C476" i="34"/>
  <c r="B476" i="34"/>
  <c r="G475" i="34"/>
  <c r="F475" i="34"/>
  <c r="E475" i="34"/>
  <c r="D475" i="34"/>
  <c r="C475" i="34"/>
  <c r="B475" i="34"/>
  <c r="G474" i="34"/>
  <c r="F474" i="34"/>
  <c r="E474" i="34"/>
  <c r="D474" i="34"/>
  <c r="C474" i="34"/>
  <c r="B474" i="34"/>
  <c r="G473" i="34"/>
  <c r="F473" i="34"/>
  <c r="E473" i="34"/>
  <c r="D473" i="34"/>
  <c r="C473" i="34"/>
  <c r="B473" i="34"/>
  <c r="G472" i="34"/>
  <c r="F472" i="34"/>
  <c r="E472" i="34"/>
  <c r="D472" i="34"/>
  <c r="C472" i="34"/>
  <c r="B472" i="34"/>
  <c r="G471" i="34"/>
  <c r="F471" i="34"/>
  <c r="E471" i="34"/>
  <c r="D471" i="34"/>
  <c r="C471" i="34"/>
  <c r="B471" i="34"/>
  <c r="G470" i="34"/>
  <c r="F470" i="34"/>
  <c r="E470" i="34"/>
  <c r="D470" i="34"/>
  <c r="C470" i="34"/>
  <c r="B470" i="34"/>
  <c r="G469" i="34"/>
  <c r="F469" i="34"/>
  <c r="E469" i="34"/>
  <c r="D469" i="34"/>
  <c r="C469" i="34"/>
  <c r="B469" i="34"/>
  <c r="G468" i="34"/>
  <c r="F468" i="34"/>
  <c r="E468" i="34"/>
  <c r="D468" i="34"/>
  <c r="C468" i="34"/>
  <c r="B468" i="34"/>
  <c r="G467" i="34"/>
  <c r="F467" i="34"/>
  <c r="E467" i="34"/>
  <c r="D467" i="34"/>
  <c r="C467" i="34"/>
  <c r="B467" i="34"/>
  <c r="G466" i="34"/>
  <c r="F466" i="34"/>
  <c r="E466" i="34"/>
  <c r="D466" i="34"/>
  <c r="C466" i="34"/>
  <c r="B466" i="34"/>
  <c r="G465" i="34"/>
  <c r="F465" i="34"/>
  <c r="E465" i="34"/>
  <c r="D465" i="34"/>
  <c r="C465" i="34"/>
  <c r="B465" i="34"/>
  <c r="G464" i="34"/>
  <c r="F464" i="34"/>
  <c r="E464" i="34"/>
  <c r="D464" i="34"/>
  <c r="C464" i="34"/>
  <c r="B464" i="34"/>
  <c r="G463" i="34"/>
  <c r="F463" i="34"/>
  <c r="E463" i="34"/>
  <c r="D463" i="34"/>
  <c r="C463" i="34"/>
  <c r="B463" i="34"/>
  <c r="G462" i="34"/>
  <c r="F462" i="34"/>
  <c r="E462" i="34"/>
  <c r="D462" i="34"/>
  <c r="C462" i="34"/>
  <c r="B462" i="34"/>
  <c r="G461" i="34"/>
  <c r="K442" i="34" s="1"/>
  <c r="G33" i="39" s="1"/>
  <c r="F461" i="34"/>
  <c r="E461" i="34"/>
  <c r="D461" i="34"/>
  <c r="C461" i="34"/>
  <c r="B461" i="34"/>
  <c r="G460" i="34"/>
  <c r="F460" i="34"/>
  <c r="E460" i="34"/>
  <c r="D460" i="34"/>
  <c r="C460" i="34"/>
  <c r="B460" i="34"/>
  <c r="G459" i="34"/>
  <c r="F459" i="34"/>
  <c r="E459" i="34"/>
  <c r="D459" i="34"/>
  <c r="C459" i="34"/>
  <c r="B459" i="34"/>
  <c r="G458" i="34"/>
  <c r="F458" i="34"/>
  <c r="E458" i="34"/>
  <c r="D458" i="34"/>
  <c r="C458" i="34"/>
  <c r="B458" i="34"/>
  <c r="G457" i="34"/>
  <c r="F457" i="34"/>
  <c r="E457" i="34"/>
  <c r="D457" i="34"/>
  <c r="C457" i="34"/>
  <c r="B457" i="34"/>
  <c r="G456" i="34"/>
  <c r="F456" i="34"/>
  <c r="E456" i="34"/>
  <c r="D456" i="34"/>
  <c r="C456" i="34"/>
  <c r="B456" i="34"/>
  <c r="G455" i="34"/>
  <c r="F455" i="34"/>
  <c r="E455" i="34"/>
  <c r="D455" i="34"/>
  <c r="C455" i="34"/>
  <c r="B455" i="34"/>
  <c r="G454" i="34"/>
  <c r="F454" i="34"/>
  <c r="E454" i="34"/>
  <c r="D454" i="34"/>
  <c r="C454" i="34"/>
  <c r="B454" i="34"/>
  <c r="G453" i="34"/>
  <c r="F453" i="34"/>
  <c r="E453" i="34"/>
  <c r="D453" i="34"/>
  <c r="C453" i="34"/>
  <c r="B453" i="34"/>
  <c r="G452" i="34"/>
  <c r="F452" i="34"/>
  <c r="E452" i="34"/>
  <c r="D452" i="34"/>
  <c r="C452" i="34"/>
  <c r="B452" i="34"/>
  <c r="G451" i="34"/>
  <c r="F451" i="34"/>
  <c r="E451" i="34"/>
  <c r="D451" i="34"/>
  <c r="C451" i="34"/>
  <c r="B451" i="34"/>
  <c r="G450" i="34"/>
  <c r="F450" i="34"/>
  <c r="E450" i="34"/>
  <c r="D450" i="34"/>
  <c r="C450" i="34"/>
  <c r="B450" i="34"/>
  <c r="G449" i="34"/>
  <c r="F449" i="34"/>
  <c r="E449" i="34"/>
  <c r="D449" i="34"/>
  <c r="C449" i="34"/>
  <c r="B449" i="34"/>
  <c r="G448" i="34"/>
  <c r="F448" i="34"/>
  <c r="E448" i="34"/>
  <c r="D448" i="34"/>
  <c r="C448" i="34"/>
  <c r="B448" i="34"/>
  <c r="G447" i="34"/>
  <c r="F447" i="34"/>
  <c r="E447" i="34"/>
  <c r="D447" i="34"/>
  <c r="C447" i="34"/>
  <c r="B447" i="34"/>
  <c r="G446" i="34"/>
  <c r="F446" i="34"/>
  <c r="E446" i="34"/>
  <c r="D446" i="34"/>
  <c r="C446" i="34"/>
  <c r="B446" i="34"/>
  <c r="G445" i="34"/>
  <c r="F445" i="34"/>
  <c r="E445" i="34"/>
  <c r="D445" i="34"/>
  <c r="C445" i="34"/>
  <c r="B445" i="34"/>
  <c r="G444" i="34"/>
  <c r="F444" i="34"/>
  <c r="E444" i="34"/>
  <c r="D444" i="34"/>
  <c r="C444" i="34"/>
  <c r="B444" i="34"/>
  <c r="G443" i="34"/>
  <c r="F443" i="34"/>
  <c r="E443" i="34"/>
  <c r="D443" i="34"/>
  <c r="C443" i="34"/>
  <c r="B443" i="34"/>
  <c r="G442" i="34"/>
  <c r="F442" i="34"/>
  <c r="E442" i="34"/>
  <c r="D442" i="34"/>
  <c r="C442" i="34"/>
  <c r="B442" i="34"/>
  <c r="G441" i="34"/>
  <c r="F441" i="34"/>
  <c r="E441" i="34"/>
  <c r="D441" i="34"/>
  <c r="C441" i="34"/>
  <c r="B441" i="34"/>
  <c r="G440" i="34"/>
  <c r="F440" i="34"/>
  <c r="E440" i="34"/>
  <c r="D440" i="34"/>
  <c r="C440" i="34"/>
  <c r="B440" i="34"/>
  <c r="G439" i="34"/>
  <c r="F439" i="34"/>
  <c r="E439" i="34"/>
  <c r="D439" i="34"/>
  <c r="C439" i="34"/>
  <c r="B439" i="34"/>
  <c r="G426" i="34"/>
  <c r="F426" i="34"/>
  <c r="E426" i="34"/>
  <c r="D426" i="34"/>
  <c r="C426" i="34"/>
  <c r="B426" i="34"/>
  <c r="G425" i="34"/>
  <c r="F425" i="34"/>
  <c r="E425" i="34"/>
  <c r="D425" i="34"/>
  <c r="C425" i="34"/>
  <c r="B425" i="34"/>
  <c r="G424" i="34"/>
  <c r="F424" i="34"/>
  <c r="E424" i="34"/>
  <c r="D424" i="34"/>
  <c r="C424" i="34"/>
  <c r="B424" i="34"/>
  <c r="G423" i="34"/>
  <c r="F423" i="34"/>
  <c r="E423" i="34"/>
  <c r="D423" i="34"/>
  <c r="C423" i="34"/>
  <c r="B423" i="34"/>
  <c r="G422" i="34"/>
  <c r="F422" i="34"/>
  <c r="E422" i="34"/>
  <c r="D422" i="34"/>
  <c r="C422" i="34"/>
  <c r="B422" i="34"/>
  <c r="G421" i="34"/>
  <c r="F421" i="34"/>
  <c r="E421" i="34"/>
  <c r="D421" i="34"/>
  <c r="C421" i="34"/>
  <c r="B421" i="34"/>
  <c r="G420" i="34"/>
  <c r="F420" i="34"/>
  <c r="E420" i="34"/>
  <c r="D420" i="34"/>
  <c r="C420" i="34"/>
  <c r="B420" i="34"/>
  <c r="G419" i="34"/>
  <c r="F419" i="34"/>
  <c r="E419" i="34"/>
  <c r="D419" i="34"/>
  <c r="C419" i="34"/>
  <c r="B419" i="34"/>
  <c r="G418" i="34"/>
  <c r="F418" i="34"/>
  <c r="E418" i="34"/>
  <c r="D418" i="34"/>
  <c r="C418" i="34"/>
  <c r="B418" i="34"/>
  <c r="G417" i="34"/>
  <c r="F417" i="34"/>
  <c r="E417" i="34"/>
  <c r="D417" i="34"/>
  <c r="C417" i="34"/>
  <c r="B417" i="34"/>
  <c r="G416" i="34"/>
  <c r="F416" i="34"/>
  <c r="E416" i="34"/>
  <c r="D416" i="34"/>
  <c r="C416" i="34"/>
  <c r="B416" i="34"/>
  <c r="G415" i="34"/>
  <c r="F415" i="34"/>
  <c r="E415" i="34"/>
  <c r="D415" i="34"/>
  <c r="C415" i="34"/>
  <c r="B415" i="34"/>
  <c r="G414" i="34"/>
  <c r="F414" i="34"/>
  <c r="E414" i="34"/>
  <c r="D414" i="34"/>
  <c r="C414" i="34"/>
  <c r="B414" i="34"/>
  <c r="G413" i="34"/>
  <c r="F413" i="34"/>
  <c r="E413" i="34"/>
  <c r="D413" i="34"/>
  <c r="C413" i="34"/>
  <c r="B413" i="34"/>
  <c r="G412" i="34"/>
  <c r="F412" i="34"/>
  <c r="E412" i="34"/>
  <c r="D412" i="34"/>
  <c r="C412" i="34"/>
  <c r="B412" i="34"/>
  <c r="G411" i="34"/>
  <c r="F411" i="34"/>
  <c r="E411" i="34"/>
  <c r="D411" i="34"/>
  <c r="C411" i="34"/>
  <c r="B411" i="34"/>
  <c r="G410" i="34"/>
  <c r="F410" i="34"/>
  <c r="E410" i="34"/>
  <c r="D410" i="34"/>
  <c r="C410" i="34"/>
  <c r="B410" i="34"/>
  <c r="G409" i="34"/>
  <c r="F409" i="34"/>
  <c r="E409" i="34"/>
  <c r="D409" i="34"/>
  <c r="C409" i="34"/>
  <c r="B409" i="34"/>
  <c r="G408" i="34"/>
  <c r="F408" i="34"/>
  <c r="E408" i="34"/>
  <c r="D408" i="34"/>
  <c r="C408" i="34"/>
  <c r="B408" i="34"/>
  <c r="G407" i="34"/>
  <c r="F407" i="34"/>
  <c r="E407" i="34"/>
  <c r="D407" i="34"/>
  <c r="C407" i="34"/>
  <c r="B407" i="34"/>
  <c r="G406" i="34"/>
  <c r="F406" i="34"/>
  <c r="E406" i="34"/>
  <c r="D406" i="34"/>
  <c r="C406" i="34"/>
  <c r="B406" i="34"/>
  <c r="G405" i="34"/>
  <c r="F405" i="34"/>
  <c r="E405" i="34"/>
  <c r="D405" i="34"/>
  <c r="C405" i="34"/>
  <c r="B405" i="34"/>
  <c r="G404" i="34"/>
  <c r="F404" i="34"/>
  <c r="E404" i="34"/>
  <c r="D404" i="34"/>
  <c r="C404" i="34"/>
  <c r="B404" i="34"/>
  <c r="G403" i="34"/>
  <c r="F403" i="34"/>
  <c r="E403" i="34"/>
  <c r="D403" i="34"/>
  <c r="C403" i="34"/>
  <c r="B403" i="34"/>
  <c r="G402" i="34"/>
  <c r="F402" i="34"/>
  <c r="E402" i="34"/>
  <c r="D402" i="34"/>
  <c r="C402" i="34"/>
  <c r="B402" i="34"/>
  <c r="G401" i="34"/>
  <c r="F401" i="34"/>
  <c r="E401" i="34"/>
  <c r="D401" i="34"/>
  <c r="C401" i="34"/>
  <c r="B401" i="34"/>
  <c r="G400" i="34"/>
  <c r="F400" i="34"/>
  <c r="E400" i="34"/>
  <c r="D400" i="34"/>
  <c r="C400" i="34"/>
  <c r="B400" i="34"/>
  <c r="G399" i="34"/>
  <c r="F399" i="34"/>
  <c r="E399" i="34"/>
  <c r="D399" i="34"/>
  <c r="C399" i="34"/>
  <c r="B399" i="34"/>
  <c r="G398" i="34"/>
  <c r="F398" i="34"/>
  <c r="E398" i="34"/>
  <c r="D398" i="34"/>
  <c r="C398" i="34"/>
  <c r="B398" i="34"/>
  <c r="G397" i="34"/>
  <c r="F397" i="34"/>
  <c r="E397" i="34"/>
  <c r="D397" i="34"/>
  <c r="C397" i="34"/>
  <c r="B397" i="34"/>
  <c r="G396" i="34"/>
  <c r="F396" i="34"/>
  <c r="E396" i="34"/>
  <c r="D396" i="34"/>
  <c r="C396" i="34"/>
  <c r="B396" i="34"/>
  <c r="G395" i="34"/>
  <c r="F395" i="34"/>
  <c r="E395" i="34"/>
  <c r="D395" i="34"/>
  <c r="C395" i="34"/>
  <c r="B395" i="34"/>
  <c r="G394" i="34"/>
  <c r="F394" i="34"/>
  <c r="E394" i="34"/>
  <c r="D394" i="34"/>
  <c r="C394" i="34"/>
  <c r="B394" i="34"/>
  <c r="G393" i="34"/>
  <c r="F393" i="34"/>
  <c r="E393" i="34"/>
  <c r="D393" i="34"/>
  <c r="C393" i="34"/>
  <c r="B393" i="34"/>
  <c r="G392" i="34"/>
  <c r="F392" i="34"/>
  <c r="E392" i="34"/>
  <c r="D392" i="34"/>
  <c r="C392" i="34"/>
  <c r="B392" i="34"/>
  <c r="G391" i="34"/>
  <c r="F391" i="34"/>
  <c r="E391" i="34"/>
  <c r="D391" i="34"/>
  <c r="C391" i="34"/>
  <c r="B391" i="34"/>
  <c r="G390" i="34"/>
  <c r="F390" i="34"/>
  <c r="E390" i="34"/>
  <c r="D390" i="34"/>
  <c r="C390" i="34"/>
  <c r="B390" i="34"/>
  <c r="G389" i="34"/>
  <c r="F389" i="34"/>
  <c r="E389" i="34"/>
  <c r="D389" i="34"/>
  <c r="C389" i="34"/>
  <c r="B389" i="34"/>
  <c r="G388" i="34"/>
  <c r="F388" i="34"/>
  <c r="E388" i="34"/>
  <c r="D388" i="34"/>
  <c r="C388" i="34"/>
  <c r="B388" i="34"/>
  <c r="G387" i="34"/>
  <c r="F387" i="34"/>
  <c r="E387" i="34"/>
  <c r="D387" i="34"/>
  <c r="C387" i="34"/>
  <c r="B387" i="34"/>
  <c r="G386" i="34"/>
  <c r="F386" i="34"/>
  <c r="E386" i="34"/>
  <c r="D386" i="34"/>
  <c r="C386" i="34"/>
  <c r="B386" i="34"/>
  <c r="G385" i="34"/>
  <c r="F385" i="34"/>
  <c r="E385" i="34"/>
  <c r="D385" i="34"/>
  <c r="C385" i="34"/>
  <c r="B385" i="34"/>
  <c r="G384" i="34"/>
  <c r="F384" i="34"/>
  <c r="E384" i="34"/>
  <c r="D384" i="34"/>
  <c r="C384" i="34"/>
  <c r="B384" i="34"/>
  <c r="G383" i="34"/>
  <c r="F383" i="34"/>
  <c r="E383" i="34"/>
  <c r="D383" i="34"/>
  <c r="C383" i="34"/>
  <c r="B383" i="34"/>
  <c r="G382" i="34"/>
  <c r="F382" i="34"/>
  <c r="E382" i="34"/>
  <c r="D382" i="34"/>
  <c r="C382" i="34"/>
  <c r="B382" i="34"/>
  <c r="G381" i="34"/>
  <c r="F381" i="34"/>
  <c r="E381" i="34"/>
  <c r="D381" i="34"/>
  <c r="C381" i="34"/>
  <c r="B381" i="34"/>
  <c r="G380" i="34"/>
  <c r="F380" i="34"/>
  <c r="E380" i="34"/>
  <c r="D380" i="34"/>
  <c r="C380" i="34"/>
  <c r="B380" i="34"/>
  <c r="G379" i="34"/>
  <c r="F379" i="34"/>
  <c r="E379" i="34"/>
  <c r="D379" i="34"/>
  <c r="C379" i="34"/>
  <c r="B379" i="34"/>
  <c r="G378" i="34"/>
  <c r="F378" i="34"/>
  <c r="E378" i="34"/>
  <c r="D378" i="34"/>
  <c r="C378" i="34"/>
  <c r="B378" i="34"/>
  <c r="G377" i="34"/>
  <c r="F377" i="34"/>
  <c r="E377" i="34"/>
  <c r="D377" i="34"/>
  <c r="C377" i="34"/>
  <c r="B377" i="34"/>
  <c r="G376" i="34"/>
  <c r="F376" i="34"/>
  <c r="E376" i="34"/>
  <c r="D376" i="34"/>
  <c r="C376" i="34"/>
  <c r="B376" i="34"/>
  <c r="G375" i="34"/>
  <c r="F375" i="34"/>
  <c r="E375" i="34"/>
  <c r="D375" i="34"/>
  <c r="C375" i="34"/>
  <c r="B375" i="34"/>
  <c r="G374" i="34"/>
  <c r="F374" i="34"/>
  <c r="E374" i="34"/>
  <c r="D374" i="34"/>
  <c r="C374" i="34"/>
  <c r="B374" i="34"/>
  <c r="G373" i="34"/>
  <c r="F373" i="34"/>
  <c r="E373" i="34"/>
  <c r="D373" i="34"/>
  <c r="C373" i="34"/>
  <c r="B373" i="34"/>
  <c r="G372" i="34"/>
  <c r="F372" i="34"/>
  <c r="E372" i="34"/>
  <c r="D372" i="34"/>
  <c r="C372" i="34"/>
  <c r="B372" i="34"/>
  <c r="G371" i="34"/>
  <c r="F371" i="34"/>
  <c r="E371" i="34"/>
  <c r="D371" i="34"/>
  <c r="C371" i="34"/>
  <c r="B371" i="34"/>
  <c r="G370" i="34"/>
  <c r="F370" i="34"/>
  <c r="E370" i="34"/>
  <c r="D370" i="34"/>
  <c r="C370" i="34"/>
  <c r="B370" i="34"/>
  <c r="G369" i="34"/>
  <c r="F369" i="34"/>
  <c r="E369" i="34"/>
  <c r="D369" i="34"/>
  <c r="C369" i="34"/>
  <c r="B369" i="34"/>
  <c r="G368" i="34"/>
  <c r="F368" i="34"/>
  <c r="E368" i="34"/>
  <c r="D368" i="34"/>
  <c r="C368" i="34"/>
  <c r="B368" i="34"/>
  <c r="G367" i="34"/>
  <c r="F367" i="34"/>
  <c r="E367" i="34"/>
  <c r="D367" i="34"/>
  <c r="C367" i="34"/>
  <c r="B367" i="34"/>
  <c r="G366" i="34"/>
  <c r="F366" i="34"/>
  <c r="E366" i="34"/>
  <c r="D366" i="34"/>
  <c r="C366" i="34"/>
  <c r="B366" i="34"/>
  <c r="G365" i="34"/>
  <c r="F365" i="34"/>
  <c r="E365" i="34"/>
  <c r="D365" i="34"/>
  <c r="C365" i="34"/>
  <c r="B365" i="34"/>
  <c r="G364" i="34"/>
  <c r="F364" i="34"/>
  <c r="E364" i="34"/>
  <c r="D364" i="34"/>
  <c r="C364" i="34"/>
  <c r="B364" i="34"/>
  <c r="G363" i="34"/>
  <c r="F363" i="34"/>
  <c r="E363" i="34"/>
  <c r="D363" i="34"/>
  <c r="C363" i="34"/>
  <c r="B363" i="34"/>
  <c r="G362" i="34"/>
  <c r="F362" i="34"/>
  <c r="E362" i="34"/>
  <c r="D362" i="34"/>
  <c r="C362" i="34"/>
  <c r="B362" i="34"/>
  <c r="G361" i="34"/>
  <c r="F361" i="34"/>
  <c r="E361" i="34"/>
  <c r="D361" i="34"/>
  <c r="C361" i="34"/>
  <c r="B361" i="34"/>
  <c r="G360" i="34"/>
  <c r="F360" i="34"/>
  <c r="E360" i="34"/>
  <c r="D360" i="34"/>
  <c r="C360" i="34"/>
  <c r="B360" i="34"/>
  <c r="G359" i="34"/>
  <c r="F359" i="34"/>
  <c r="E359" i="34"/>
  <c r="D359" i="34"/>
  <c r="C359" i="34"/>
  <c r="B359" i="34"/>
  <c r="G358" i="34"/>
  <c r="F358" i="34"/>
  <c r="E358" i="34"/>
  <c r="D358" i="34"/>
  <c r="C358" i="34"/>
  <c r="B358" i="34"/>
  <c r="G357" i="34"/>
  <c r="F357" i="34"/>
  <c r="E357" i="34"/>
  <c r="D357" i="34"/>
  <c r="C357" i="34"/>
  <c r="B357" i="34"/>
  <c r="G356" i="34"/>
  <c r="F356" i="34"/>
  <c r="E356" i="34"/>
  <c r="D356" i="34"/>
  <c r="C356" i="34"/>
  <c r="B356" i="34"/>
  <c r="G355" i="34"/>
  <c r="F355" i="34"/>
  <c r="E355" i="34"/>
  <c r="D355" i="34"/>
  <c r="C355" i="34"/>
  <c r="B355" i="34"/>
  <c r="G354" i="34"/>
  <c r="F354" i="34"/>
  <c r="E354" i="34"/>
  <c r="D354" i="34"/>
  <c r="C354" i="34"/>
  <c r="B354" i="34"/>
  <c r="G353" i="34"/>
  <c r="F353" i="34"/>
  <c r="E353" i="34"/>
  <c r="D353" i="34"/>
  <c r="C353" i="34"/>
  <c r="B353" i="34"/>
  <c r="G352" i="34"/>
  <c r="F352" i="34"/>
  <c r="E352" i="34"/>
  <c r="D352" i="34"/>
  <c r="C352" i="34"/>
  <c r="B352" i="34"/>
  <c r="G351" i="34"/>
  <c r="F351" i="34"/>
  <c r="E351" i="34"/>
  <c r="D351" i="34"/>
  <c r="C351" i="34"/>
  <c r="B351" i="34"/>
  <c r="G350" i="34"/>
  <c r="F350" i="34"/>
  <c r="E350" i="34"/>
  <c r="D350" i="34"/>
  <c r="C350" i="34"/>
  <c r="B350" i="34"/>
  <c r="G349" i="34"/>
  <c r="F349" i="34"/>
  <c r="E349" i="34"/>
  <c r="D349" i="34"/>
  <c r="C349" i="34"/>
  <c r="B349" i="34"/>
  <c r="G348" i="34"/>
  <c r="F348" i="34"/>
  <c r="E348" i="34"/>
  <c r="D348" i="34"/>
  <c r="C348" i="34"/>
  <c r="B348" i="34"/>
  <c r="G347" i="34"/>
  <c r="F347" i="34"/>
  <c r="E347" i="34"/>
  <c r="D347" i="34"/>
  <c r="C347" i="34"/>
  <c r="B347" i="34"/>
  <c r="G346" i="34"/>
  <c r="F346" i="34"/>
  <c r="E346" i="34"/>
  <c r="D346" i="34"/>
  <c r="C346" i="34"/>
  <c r="B346" i="34"/>
  <c r="G345" i="34"/>
  <c r="F345" i="34"/>
  <c r="E345" i="34"/>
  <c r="D345" i="34"/>
  <c r="C345" i="34"/>
  <c r="B345" i="34"/>
  <c r="G344" i="34"/>
  <c r="F344" i="34"/>
  <c r="E344" i="34"/>
  <c r="D344" i="34"/>
  <c r="C344" i="34"/>
  <c r="B344" i="34"/>
  <c r="G343" i="34"/>
  <c r="F343" i="34"/>
  <c r="E343" i="34"/>
  <c r="D343" i="34"/>
  <c r="C343" i="34"/>
  <c r="B343" i="34"/>
  <c r="G342" i="34"/>
  <c r="F342" i="34"/>
  <c r="E342" i="34"/>
  <c r="D342" i="34"/>
  <c r="C342" i="34"/>
  <c r="B342" i="34"/>
  <c r="G341" i="34"/>
  <c r="F341" i="34"/>
  <c r="E341" i="34"/>
  <c r="D341" i="34"/>
  <c r="C341" i="34"/>
  <c r="B341" i="34"/>
  <c r="G340" i="34"/>
  <c r="F340" i="34"/>
  <c r="E340" i="34"/>
  <c r="D340" i="34"/>
  <c r="C340" i="34"/>
  <c r="B340" i="34"/>
  <c r="G339" i="34"/>
  <c r="F339" i="34"/>
  <c r="E339" i="34"/>
  <c r="D339" i="34"/>
  <c r="C339" i="34"/>
  <c r="B339" i="34"/>
  <c r="G338" i="34"/>
  <c r="F338" i="34"/>
  <c r="E338" i="34"/>
  <c r="D338" i="34"/>
  <c r="C338" i="34"/>
  <c r="B338" i="34"/>
  <c r="G337" i="34"/>
  <c r="F337" i="34"/>
  <c r="E337" i="34"/>
  <c r="D337" i="34"/>
  <c r="C337" i="34"/>
  <c r="B337" i="34"/>
  <c r="G336" i="34"/>
  <c r="F336" i="34"/>
  <c r="E336" i="34"/>
  <c r="D336" i="34"/>
  <c r="C336" i="34"/>
  <c r="B336" i="34"/>
  <c r="G335" i="34"/>
  <c r="F335" i="34"/>
  <c r="E335" i="34"/>
  <c r="D335" i="34"/>
  <c r="C335" i="34"/>
  <c r="B335" i="34"/>
  <c r="G334" i="34"/>
  <c r="F334" i="34"/>
  <c r="E334" i="34"/>
  <c r="D334" i="34"/>
  <c r="C334" i="34"/>
  <c r="B334" i="34"/>
  <c r="G333" i="34"/>
  <c r="F333" i="34"/>
  <c r="E333" i="34"/>
  <c r="D333" i="34"/>
  <c r="C333" i="34"/>
  <c r="B333" i="34"/>
  <c r="G332" i="34"/>
  <c r="F332" i="34"/>
  <c r="E332" i="34"/>
  <c r="D332" i="34"/>
  <c r="C332" i="34"/>
  <c r="B332" i="34"/>
  <c r="G331" i="34"/>
  <c r="F331" i="34"/>
  <c r="E331" i="34"/>
  <c r="D331" i="34"/>
  <c r="C331" i="34"/>
  <c r="B331" i="34"/>
  <c r="G330" i="34"/>
  <c r="F330" i="34"/>
  <c r="E330" i="34"/>
  <c r="D330" i="34"/>
  <c r="C330" i="34"/>
  <c r="B330" i="34"/>
  <c r="G329" i="34"/>
  <c r="F329" i="34"/>
  <c r="E329" i="34"/>
  <c r="D329" i="34"/>
  <c r="C329" i="34"/>
  <c r="B329" i="34"/>
  <c r="G328" i="34"/>
  <c r="F328" i="34"/>
  <c r="E328" i="34"/>
  <c r="D328" i="34"/>
  <c r="C328" i="34"/>
  <c r="B328" i="34"/>
  <c r="G327" i="34"/>
  <c r="F327" i="34"/>
  <c r="E327" i="34"/>
  <c r="D327" i="34"/>
  <c r="C327" i="34"/>
  <c r="B327" i="34"/>
  <c r="G326" i="34"/>
  <c r="F326" i="34"/>
  <c r="E326" i="34"/>
  <c r="D326" i="34"/>
  <c r="C326" i="34"/>
  <c r="B326" i="34"/>
  <c r="G325" i="34"/>
  <c r="F325" i="34"/>
  <c r="E325" i="34"/>
  <c r="D325" i="34"/>
  <c r="C325" i="34"/>
  <c r="B325" i="34"/>
  <c r="G324" i="34"/>
  <c r="F324" i="34"/>
  <c r="E324" i="34"/>
  <c r="D324" i="34"/>
  <c r="C324" i="34"/>
  <c r="B324" i="34"/>
  <c r="G323" i="34"/>
  <c r="F323" i="34"/>
  <c r="E323" i="34"/>
  <c r="D323" i="34"/>
  <c r="C323" i="34"/>
  <c r="B323" i="34"/>
  <c r="G322" i="34"/>
  <c r="F322" i="34"/>
  <c r="E322" i="34"/>
  <c r="D322" i="34"/>
  <c r="C322" i="34"/>
  <c r="B322" i="34"/>
  <c r="G321" i="34"/>
  <c r="F321" i="34"/>
  <c r="E321" i="34"/>
  <c r="D321" i="34"/>
  <c r="C321" i="34"/>
  <c r="B321" i="34"/>
  <c r="G320" i="34"/>
  <c r="F320" i="34"/>
  <c r="E320" i="34"/>
  <c r="D320" i="34"/>
  <c r="C320" i="34"/>
  <c r="B320" i="34"/>
  <c r="G319" i="34"/>
  <c r="F319" i="34"/>
  <c r="E319" i="34"/>
  <c r="D319" i="34"/>
  <c r="C319" i="34"/>
  <c r="B319" i="34"/>
  <c r="G318" i="34"/>
  <c r="F318" i="34"/>
  <c r="E318" i="34"/>
  <c r="D318" i="34"/>
  <c r="C318" i="34"/>
  <c r="B318" i="34"/>
  <c r="G317" i="34"/>
  <c r="F317" i="34"/>
  <c r="E317" i="34"/>
  <c r="D317" i="34"/>
  <c r="C317" i="34"/>
  <c r="B317" i="34"/>
  <c r="G316" i="34"/>
  <c r="F316" i="34"/>
  <c r="E316" i="34"/>
  <c r="D316" i="34"/>
  <c r="C316" i="34"/>
  <c r="B316" i="34"/>
  <c r="G315" i="34"/>
  <c r="F315" i="34"/>
  <c r="E315" i="34"/>
  <c r="D315" i="34"/>
  <c r="C315" i="34"/>
  <c r="B315" i="34"/>
  <c r="G314" i="34"/>
  <c r="F314" i="34"/>
  <c r="E314" i="34"/>
  <c r="D314" i="34"/>
  <c r="C314" i="34"/>
  <c r="B314" i="34"/>
  <c r="G313" i="34"/>
  <c r="F313" i="34"/>
  <c r="E313" i="34"/>
  <c r="D313" i="34"/>
  <c r="C313" i="34"/>
  <c r="B313" i="34"/>
  <c r="G312" i="34"/>
  <c r="F312" i="34"/>
  <c r="E312" i="34"/>
  <c r="D312" i="34"/>
  <c r="C312" i="34"/>
  <c r="B312" i="34"/>
  <c r="G311" i="34"/>
  <c r="F311" i="34"/>
  <c r="E311" i="34"/>
  <c r="D311" i="34"/>
  <c r="C311" i="34"/>
  <c r="B311" i="34"/>
  <c r="G310" i="34"/>
  <c r="F310" i="34"/>
  <c r="E310" i="34"/>
  <c r="D310" i="34"/>
  <c r="C310" i="34"/>
  <c r="B310" i="34"/>
  <c r="G309" i="34"/>
  <c r="F309" i="34"/>
  <c r="E309" i="34"/>
  <c r="D309" i="34"/>
  <c r="C309" i="34"/>
  <c r="B309" i="34"/>
  <c r="G308" i="34"/>
  <c r="F308" i="34"/>
  <c r="E308" i="34"/>
  <c r="D308" i="34"/>
  <c r="C308" i="34"/>
  <c r="B308" i="34"/>
  <c r="G307" i="34"/>
  <c r="F307" i="34"/>
  <c r="E307" i="34"/>
  <c r="D307" i="34"/>
  <c r="C307" i="34"/>
  <c r="B307" i="34"/>
  <c r="G306" i="34"/>
  <c r="F306" i="34"/>
  <c r="E306" i="34"/>
  <c r="D306" i="34"/>
  <c r="C306" i="34"/>
  <c r="B306" i="34"/>
  <c r="G305" i="34"/>
  <c r="F305" i="34"/>
  <c r="E305" i="34"/>
  <c r="D305" i="34"/>
  <c r="C305" i="34"/>
  <c r="B305" i="34"/>
  <c r="G304" i="34"/>
  <c r="F304" i="34"/>
  <c r="E304" i="34"/>
  <c r="D304" i="34"/>
  <c r="C304" i="34"/>
  <c r="B304" i="34"/>
  <c r="G303" i="34"/>
  <c r="F303" i="34"/>
  <c r="E303" i="34"/>
  <c r="D303" i="34"/>
  <c r="C303" i="34"/>
  <c r="B303" i="34"/>
  <c r="G302" i="34"/>
  <c r="F302" i="34"/>
  <c r="E302" i="34"/>
  <c r="D302" i="34"/>
  <c r="C302" i="34"/>
  <c r="B302" i="34"/>
  <c r="G301" i="34"/>
  <c r="F301" i="34"/>
  <c r="E301" i="34"/>
  <c r="D301" i="34"/>
  <c r="C301" i="34"/>
  <c r="B301" i="34"/>
  <c r="G300" i="34"/>
  <c r="F300" i="34"/>
  <c r="E300" i="34"/>
  <c r="D300" i="34"/>
  <c r="C300" i="34"/>
  <c r="B300" i="34"/>
  <c r="G299" i="34"/>
  <c r="F299" i="34"/>
  <c r="E299" i="34"/>
  <c r="D299" i="34"/>
  <c r="C299" i="34"/>
  <c r="B299" i="34"/>
  <c r="G298" i="34"/>
  <c r="F298" i="34"/>
  <c r="E298" i="34"/>
  <c r="D298" i="34"/>
  <c r="C298" i="34"/>
  <c r="B298" i="34"/>
  <c r="G297" i="34"/>
  <c r="F297" i="34"/>
  <c r="E297" i="34"/>
  <c r="D297" i="34"/>
  <c r="C297" i="34"/>
  <c r="B297" i="34"/>
  <c r="G296" i="34"/>
  <c r="F296" i="34"/>
  <c r="E296" i="34"/>
  <c r="D296" i="34"/>
  <c r="C296" i="34"/>
  <c r="B296" i="34"/>
  <c r="G295" i="34"/>
  <c r="F295" i="34"/>
  <c r="E295" i="34"/>
  <c r="D295" i="34"/>
  <c r="C295" i="34"/>
  <c r="B295" i="34"/>
  <c r="G294" i="34"/>
  <c r="F294" i="34"/>
  <c r="E294" i="34"/>
  <c r="D294" i="34"/>
  <c r="C294" i="34"/>
  <c r="B294" i="34"/>
  <c r="G293" i="34"/>
  <c r="F293" i="34"/>
  <c r="E293" i="34"/>
  <c r="D293" i="34"/>
  <c r="C293" i="34"/>
  <c r="B293" i="34"/>
  <c r="G292" i="34"/>
  <c r="F292" i="34"/>
  <c r="E292" i="34"/>
  <c r="D292" i="34"/>
  <c r="C292" i="34"/>
  <c r="B292" i="34"/>
  <c r="G291" i="34"/>
  <c r="F291" i="34"/>
  <c r="E291" i="34"/>
  <c r="D291" i="34"/>
  <c r="C291" i="34"/>
  <c r="B291" i="34"/>
  <c r="G290" i="34"/>
  <c r="F290" i="34"/>
  <c r="E290" i="34"/>
  <c r="D290" i="34"/>
  <c r="C290" i="34"/>
  <c r="B290" i="34"/>
  <c r="G289" i="34"/>
  <c r="F289" i="34"/>
  <c r="E289" i="34"/>
  <c r="D289" i="34"/>
  <c r="C289" i="34"/>
  <c r="B289" i="34"/>
  <c r="G288" i="34"/>
  <c r="F288" i="34"/>
  <c r="E288" i="34"/>
  <c r="D288" i="34"/>
  <c r="C288" i="34"/>
  <c r="B288" i="34"/>
  <c r="G287" i="34"/>
  <c r="F287" i="34"/>
  <c r="E287" i="34"/>
  <c r="D287" i="34"/>
  <c r="C287" i="34"/>
  <c r="B287" i="34"/>
  <c r="G286" i="34"/>
  <c r="F286" i="34"/>
  <c r="E286" i="34"/>
  <c r="D286" i="34"/>
  <c r="C286" i="34"/>
  <c r="B286" i="34"/>
  <c r="G285" i="34"/>
  <c r="F285" i="34"/>
  <c r="E285" i="34"/>
  <c r="D285" i="34"/>
  <c r="C285" i="34"/>
  <c r="B285" i="34"/>
  <c r="G284" i="34"/>
  <c r="F284" i="34"/>
  <c r="E284" i="34"/>
  <c r="D284" i="34"/>
  <c r="C284" i="34"/>
  <c r="B284" i="34"/>
  <c r="G283" i="34"/>
  <c r="F283" i="34"/>
  <c r="E283" i="34"/>
  <c r="D283" i="34"/>
  <c r="C283" i="34"/>
  <c r="B283" i="34"/>
  <c r="G282" i="34"/>
  <c r="F282" i="34"/>
  <c r="E282" i="34"/>
  <c r="D282" i="34"/>
  <c r="C282" i="34"/>
  <c r="B282" i="34"/>
  <c r="G281" i="34"/>
  <c r="F281" i="34"/>
  <c r="E281" i="34"/>
  <c r="D281" i="34"/>
  <c r="C281" i="34"/>
  <c r="B281" i="34"/>
  <c r="G280" i="34"/>
  <c r="F280" i="34"/>
  <c r="E280" i="34"/>
  <c r="D280" i="34"/>
  <c r="C280" i="34"/>
  <c r="B280" i="34"/>
  <c r="G279" i="34"/>
  <c r="F279" i="34"/>
  <c r="E279" i="34"/>
  <c r="D279" i="34"/>
  <c r="C279" i="34"/>
  <c r="B279" i="34"/>
  <c r="G278" i="34"/>
  <c r="F278" i="34"/>
  <c r="E278" i="34"/>
  <c r="D278" i="34"/>
  <c r="C278" i="34"/>
  <c r="B278" i="34"/>
  <c r="G277" i="34"/>
  <c r="F277" i="34"/>
  <c r="E277" i="34"/>
  <c r="D277" i="34"/>
  <c r="C277" i="34"/>
  <c r="B277" i="34"/>
  <c r="G276" i="34"/>
  <c r="F276" i="34"/>
  <c r="E276" i="34"/>
  <c r="D276" i="34"/>
  <c r="C276" i="34"/>
  <c r="B276" i="34"/>
  <c r="G275" i="34"/>
  <c r="F275" i="34"/>
  <c r="E275" i="34"/>
  <c r="D275" i="34"/>
  <c r="C275" i="34"/>
  <c r="B275" i="34"/>
  <c r="G274" i="34"/>
  <c r="F274" i="34"/>
  <c r="E274" i="34"/>
  <c r="D274" i="34"/>
  <c r="C274" i="34"/>
  <c r="B274" i="34"/>
  <c r="G273" i="34"/>
  <c r="F273" i="34"/>
  <c r="E273" i="34"/>
  <c r="D273" i="34"/>
  <c r="C273" i="34"/>
  <c r="B273" i="34"/>
  <c r="G272" i="34"/>
  <c r="F272" i="34"/>
  <c r="E272" i="34"/>
  <c r="D272" i="34"/>
  <c r="C272" i="34"/>
  <c r="B272" i="34"/>
  <c r="G271" i="34"/>
  <c r="F271" i="34"/>
  <c r="E271" i="34"/>
  <c r="D271" i="34"/>
  <c r="C271" i="34"/>
  <c r="B271" i="34"/>
  <c r="G270" i="34"/>
  <c r="F270" i="34"/>
  <c r="E270" i="34"/>
  <c r="D270" i="34"/>
  <c r="C270" i="34"/>
  <c r="B270" i="34"/>
  <c r="G269" i="34"/>
  <c r="F269" i="34"/>
  <c r="E269" i="34"/>
  <c r="D269" i="34"/>
  <c r="C269" i="34"/>
  <c r="B269" i="34"/>
  <c r="G268" i="34"/>
  <c r="F268" i="34"/>
  <c r="E268" i="34"/>
  <c r="D268" i="34"/>
  <c r="C268" i="34"/>
  <c r="B268" i="34"/>
  <c r="G267" i="34"/>
  <c r="F267" i="34"/>
  <c r="E267" i="34"/>
  <c r="D267" i="34"/>
  <c r="C267" i="34"/>
  <c r="B267" i="34"/>
  <c r="G266" i="34"/>
  <c r="F266" i="34"/>
  <c r="E266" i="34"/>
  <c r="D266" i="34"/>
  <c r="C266" i="34"/>
  <c r="B266" i="34"/>
  <c r="G265" i="34"/>
  <c r="F265" i="34"/>
  <c r="E265" i="34"/>
  <c r="D265" i="34"/>
  <c r="C265" i="34"/>
  <c r="B265" i="34"/>
  <c r="G264" i="34"/>
  <c r="F264" i="34"/>
  <c r="E264" i="34"/>
  <c r="D264" i="34"/>
  <c r="C264" i="34"/>
  <c r="B264" i="34"/>
  <c r="G263" i="34"/>
  <c r="F263" i="34"/>
  <c r="E263" i="34"/>
  <c r="D263" i="34"/>
  <c r="C263" i="34"/>
  <c r="B263" i="34"/>
  <c r="G262" i="34"/>
  <c r="F262" i="34"/>
  <c r="E262" i="34"/>
  <c r="D262" i="34"/>
  <c r="C262" i="34"/>
  <c r="B262" i="34"/>
  <c r="G261" i="34"/>
  <c r="F261" i="34"/>
  <c r="E261" i="34"/>
  <c r="D261" i="34"/>
  <c r="C261" i="34"/>
  <c r="B261" i="34"/>
  <c r="G260" i="34"/>
  <c r="F260" i="34"/>
  <c r="E260" i="34"/>
  <c r="D260" i="34"/>
  <c r="C260" i="34"/>
  <c r="B260" i="34"/>
  <c r="G259" i="34"/>
  <c r="F259" i="34"/>
  <c r="E259" i="34"/>
  <c r="D259" i="34"/>
  <c r="C259" i="34"/>
  <c r="B259" i="34"/>
  <c r="G258" i="34"/>
  <c r="F258" i="34"/>
  <c r="E258" i="34"/>
  <c r="D258" i="34"/>
  <c r="C258" i="34"/>
  <c r="B258" i="34"/>
  <c r="G257" i="34"/>
  <c r="F257" i="34"/>
  <c r="E257" i="34"/>
  <c r="D257" i="34"/>
  <c r="C257" i="34"/>
  <c r="B257" i="34"/>
  <c r="G256" i="34"/>
  <c r="F256" i="34"/>
  <c r="E256" i="34"/>
  <c r="D256" i="34"/>
  <c r="C256" i="34"/>
  <c r="B256" i="34"/>
  <c r="G255" i="34"/>
  <c r="F255" i="34"/>
  <c r="E255" i="34"/>
  <c r="D255" i="34"/>
  <c r="C255" i="34"/>
  <c r="B255" i="34"/>
  <c r="G254" i="34"/>
  <c r="F254" i="34"/>
  <c r="E254" i="34"/>
  <c r="D254" i="34"/>
  <c r="C254" i="34"/>
  <c r="B254" i="34"/>
  <c r="G253" i="34"/>
  <c r="F253" i="34"/>
  <c r="E253" i="34"/>
  <c r="D253" i="34"/>
  <c r="C253" i="34"/>
  <c r="B253" i="34"/>
  <c r="G252" i="34"/>
  <c r="F252" i="34"/>
  <c r="E252" i="34"/>
  <c r="D252" i="34"/>
  <c r="C252" i="34"/>
  <c r="B252" i="34"/>
  <c r="G251" i="34"/>
  <c r="K232" i="34" s="1"/>
  <c r="F32" i="39" s="1"/>
  <c r="F251" i="34"/>
  <c r="E251" i="34"/>
  <c r="D251" i="34"/>
  <c r="C251" i="34"/>
  <c r="B251" i="34"/>
  <c r="G250" i="34"/>
  <c r="F250" i="34"/>
  <c r="E250" i="34"/>
  <c r="D250" i="34"/>
  <c r="C250" i="34"/>
  <c r="B250" i="34"/>
  <c r="G249" i="34"/>
  <c r="F249" i="34"/>
  <c r="E249" i="34"/>
  <c r="D249" i="34"/>
  <c r="C249" i="34"/>
  <c r="B249" i="34"/>
  <c r="G248" i="34"/>
  <c r="F248" i="34"/>
  <c r="E248" i="34"/>
  <c r="D248" i="34"/>
  <c r="C248" i="34"/>
  <c r="B248" i="34"/>
  <c r="G247" i="34"/>
  <c r="F247" i="34"/>
  <c r="E247" i="34"/>
  <c r="D247" i="34"/>
  <c r="C247" i="34"/>
  <c r="B247" i="34"/>
  <c r="G246" i="34"/>
  <c r="F246" i="34"/>
  <c r="E246" i="34"/>
  <c r="D246" i="34"/>
  <c r="C246" i="34"/>
  <c r="B246" i="34"/>
  <c r="G245" i="34"/>
  <c r="F245" i="34"/>
  <c r="E245" i="34"/>
  <c r="D245" i="34"/>
  <c r="C245" i="34"/>
  <c r="B245" i="34"/>
  <c r="G244" i="34"/>
  <c r="F244" i="34"/>
  <c r="E244" i="34"/>
  <c r="D244" i="34"/>
  <c r="C244" i="34"/>
  <c r="B244" i="34"/>
  <c r="G243" i="34"/>
  <c r="F243" i="34"/>
  <c r="E243" i="34"/>
  <c r="D243" i="34"/>
  <c r="C243" i="34"/>
  <c r="B243" i="34"/>
  <c r="G242" i="34"/>
  <c r="F242" i="34"/>
  <c r="E242" i="34"/>
  <c r="D242" i="34"/>
  <c r="C242" i="34"/>
  <c r="B242" i="34"/>
  <c r="G241" i="34"/>
  <c r="F241" i="34"/>
  <c r="E241" i="34"/>
  <c r="D241" i="34"/>
  <c r="C241" i="34"/>
  <c r="B241" i="34"/>
  <c r="G240" i="34"/>
  <c r="F240" i="34"/>
  <c r="E240" i="34"/>
  <c r="D240" i="34"/>
  <c r="C240" i="34"/>
  <c r="B240" i="34"/>
  <c r="G239" i="34"/>
  <c r="F239" i="34"/>
  <c r="E239" i="34"/>
  <c r="D239" i="34"/>
  <c r="C239" i="34"/>
  <c r="B239" i="34"/>
  <c r="G238" i="34"/>
  <c r="F238" i="34"/>
  <c r="E238" i="34"/>
  <c r="D238" i="34"/>
  <c r="C238" i="34"/>
  <c r="B238" i="34"/>
  <c r="G237" i="34"/>
  <c r="F237" i="34"/>
  <c r="E237" i="34"/>
  <c r="D237" i="34"/>
  <c r="C237" i="34"/>
  <c r="B237" i="34"/>
  <c r="G236" i="34"/>
  <c r="F236" i="34"/>
  <c r="E236" i="34"/>
  <c r="D236" i="34"/>
  <c r="C236" i="34"/>
  <c r="B236" i="34"/>
  <c r="G235" i="34"/>
  <c r="F235" i="34"/>
  <c r="E235" i="34"/>
  <c r="D235" i="34"/>
  <c r="C235" i="34"/>
  <c r="B235" i="34"/>
  <c r="G234" i="34"/>
  <c r="F234" i="34"/>
  <c r="E234" i="34"/>
  <c r="D234" i="34"/>
  <c r="C234" i="34"/>
  <c r="B234" i="34"/>
  <c r="G233" i="34"/>
  <c r="F233" i="34"/>
  <c r="E233" i="34"/>
  <c r="D233" i="34"/>
  <c r="C233" i="34"/>
  <c r="B233" i="34"/>
  <c r="G232" i="34"/>
  <c r="F232" i="34"/>
  <c r="E232" i="34"/>
  <c r="D232" i="34"/>
  <c r="C232" i="34"/>
  <c r="B232" i="34"/>
  <c r="G231" i="34"/>
  <c r="F231" i="34"/>
  <c r="E231" i="34"/>
  <c r="D231" i="34"/>
  <c r="C231" i="34"/>
  <c r="B231" i="34"/>
  <c r="G230" i="34"/>
  <c r="F230" i="34"/>
  <c r="E230" i="34"/>
  <c r="D230" i="34"/>
  <c r="C230" i="34"/>
  <c r="B230" i="34"/>
  <c r="G229" i="34"/>
  <c r="F229" i="34"/>
  <c r="E229" i="34"/>
  <c r="D229" i="34"/>
  <c r="C229" i="34"/>
  <c r="B229" i="34"/>
  <c r="G216" i="34"/>
  <c r="F216" i="34"/>
  <c r="E216" i="34"/>
  <c r="D216" i="34"/>
  <c r="C216" i="34"/>
  <c r="B216" i="34"/>
  <c r="G215" i="34"/>
  <c r="F215" i="34"/>
  <c r="E215" i="34"/>
  <c r="D215" i="34"/>
  <c r="C215" i="34"/>
  <c r="B215" i="34"/>
  <c r="G214" i="34"/>
  <c r="F214" i="34"/>
  <c r="E214" i="34"/>
  <c r="D214" i="34"/>
  <c r="C214" i="34"/>
  <c r="B214" i="34"/>
  <c r="G213" i="34"/>
  <c r="F213" i="34"/>
  <c r="E213" i="34"/>
  <c r="D213" i="34"/>
  <c r="C213" i="34"/>
  <c r="B213" i="34"/>
  <c r="G212" i="34"/>
  <c r="F212" i="34"/>
  <c r="E212" i="34"/>
  <c r="D212" i="34"/>
  <c r="C212" i="34"/>
  <c r="B212" i="34"/>
  <c r="G211" i="34"/>
  <c r="F211" i="34"/>
  <c r="E211" i="34"/>
  <c r="D211" i="34"/>
  <c r="C211" i="34"/>
  <c r="B211" i="34"/>
  <c r="G210" i="34"/>
  <c r="F210" i="34"/>
  <c r="E210" i="34"/>
  <c r="D210" i="34"/>
  <c r="C210" i="34"/>
  <c r="B210" i="34"/>
  <c r="G209" i="34"/>
  <c r="F209" i="34"/>
  <c r="E209" i="34"/>
  <c r="D209" i="34"/>
  <c r="C209" i="34"/>
  <c r="B209" i="34"/>
  <c r="G208" i="34"/>
  <c r="F208" i="34"/>
  <c r="E208" i="34"/>
  <c r="D208" i="34"/>
  <c r="C208" i="34"/>
  <c r="B208" i="34"/>
  <c r="G207" i="34"/>
  <c r="F207" i="34"/>
  <c r="E207" i="34"/>
  <c r="D207" i="34"/>
  <c r="C207" i="34"/>
  <c r="B207" i="34"/>
  <c r="G206" i="34"/>
  <c r="F206" i="34"/>
  <c r="E206" i="34"/>
  <c r="D206" i="34"/>
  <c r="C206" i="34"/>
  <c r="B206" i="34"/>
  <c r="G205" i="34"/>
  <c r="F205" i="34"/>
  <c r="E205" i="34"/>
  <c r="D205" i="34"/>
  <c r="C205" i="34"/>
  <c r="B205" i="34"/>
  <c r="G204" i="34"/>
  <c r="F204" i="34"/>
  <c r="E204" i="34"/>
  <c r="D204" i="34"/>
  <c r="C204" i="34"/>
  <c r="B204" i="34"/>
  <c r="G203" i="34"/>
  <c r="F203" i="34"/>
  <c r="E203" i="34"/>
  <c r="D203" i="34"/>
  <c r="C203" i="34"/>
  <c r="B203" i="34"/>
  <c r="G202" i="34"/>
  <c r="F202" i="34"/>
  <c r="E202" i="34"/>
  <c r="D202" i="34"/>
  <c r="C202" i="34"/>
  <c r="B202" i="34"/>
  <c r="G201" i="34"/>
  <c r="F201" i="34"/>
  <c r="E201" i="34"/>
  <c r="D201" i="34"/>
  <c r="C201" i="34"/>
  <c r="B201" i="34"/>
  <c r="G200" i="34"/>
  <c r="F200" i="34"/>
  <c r="E200" i="34"/>
  <c r="D200" i="34"/>
  <c r="C200" i="34"/>
  <c r="B200" i="34"/>
  <c r="G199" i="34"/>
  <c r="F199" i="34"/>
  <c r="E199" i="34"/>
  <c r="D199" i="34"/>
  <c r="C199" i="34"/>
  <c r="B199" i="34"/>
  <c r="G198" i="34"/>
  <c r="F198" i="34"/>
  <c r="E198" i="34"/>
  <c r="D198" i="34"/>
  <c r="C198" i="34"/>
  <c r="B198" i="34"/>
  <c r="G197" i="34"/>
  <c r="F197" i="34"/>
  <c r="E197" i="34"/>
  <c r="D197" i="34"/>
  <c r="C197" i="34"/>
  <c r="B197" i="34"/>
  <c r="G196" i="34"/>
  <c r="F196" i="34"/>
  <c r="E196" i="34"/>
  <c r="D196" i="34"/>
  <c r="C196" i="34"/>
  <c r="B196" i="34"/>
  <c r="G195" i="34"/>
  <c r="F195" i="34"/>
  <c r="E195" i="34"/>
  <c r="D195" i="34"/>
  <c r="C195" i="34"/>
  <c r="B195" i="34"/>
  <c r="G194" i="34"/>
  <c r="F194" i="34"/>
  <c r="E194" i="34"/>
  <c r="D194" i="34"/>
  <c r="C194" i="34"/>
  <c r="B194" i="34"/>
  <c r="G193" i="34"/>
  <c r="F193" i="34"/>
  <c r="E193" i="34"/>
  <c r="D193" i="34"/>
  <c r="C193" i="34"/>
  <c r="B193" i="34"/>
  <c r="G192" i="34"/>
  <c r="F192" i="34"/>
  <c r="E192" i="34"/>
  <c r="D192" i="34"/>
  <c r="C192" i="34"/>
  <c r="B192" i="34"/>
  <c r="G191" i="34"/>
  <c r="F191" i="34"/>
  <c r="E191" i="34"/>
  <c r="D191" i="34"/>
  <c r="C191" i="34"/>
  <c r="B191" i="34"/>
  <c r="G190" i="34"/>
  <c r="F190" i="34"/>
  <c r="E190" i="34"/>
  <c r="D190" i="34"/>
  <c r="C190" i="34"/>
  <c r="B190" i="34"/>
  <c r="G189" i="34"/>
  <c r="F189" i="34"/>
  <c r="E189" i="34"/>
  <c r="D189" i="34"/>
  <c r="C189" i="34"/>
  <c r="B189" i="34"/>
  <c r="G188" i="34"/>
  <c r="F188" i="34"/>
  <c r="E188" i="34"/>
  <c r="D188" i="34"/>
  <c r="C188" i="34"/>
  <c r="B188" i="34"/>
  <c r="G187" i="34"/>
  <c r="F187" i="34"/>
  <c r="E187" i="34"/>
  <c r="D187" i="34"/>
  <c r="C187" i="34"/>
  <c r="B187" i="34"/>
  <c r="G186" i="34"/>
  <c r="F186" i="34"/>
  <c r="E186" i="34"/>
  <c r="D186" i="34"/>
  <c r="C186" i="34"/>
  <c r="B186" i="34"/>
  <c r="G185" i="34"/>
  <c r="F185" i="34"/>
  <c r="E185" i="34"/>
  <c r="D185" i="34"/>
  <c r="C185" i="34"/>
  <c r="B185" i="34"/>
  <c r="G184" i="34"/>
  <c r="F184" i="34"/>
  <c r="E184" i="34"/>
  <c r="D184" i="34"/>
  <c r="C184" i="34"/>
  <c r="B184" i="34"/>
  <c r="G183" i="34"/>
  <c r="F183" i="34"/>
  <c r="E183" i="34"/>
  <c r="D183" i="34"/>
  <c r="C183" i="34"/>
  <c r="B183" i="34"/>
  <c r="G182" i="34"/>
  <c r="F182" i="34"/>
  <c r="E182" i="34"/>
  <c r="D182" i="34"/>
  <c r="C182" i="34"/>
  <c r="B182" i="34"/>
  <c r="G181" i="34"/>
  <c r="F181" i="34"/>
  <c r="E181" i="34"/>
  <c r="D181" i="34"/>
  <c r="C181" i="34"/>
  <c r="B181" i="34"/>
  <c r="G180" i="34"/>
  <c r="F180" i="34"/>
  <c r="E180" i="34"/>
  <c r="D180" i="34"/>
  <c r="C180" i="34"/>
  <c r="B180" i="34"/>
  <c r="G179" i="34"/>
  <c r="F179" i="34"/>
  <c r="E179" i="34"/>
  <c r="D179" i="34"/>
  <c r="C179" i="34"/>
  <c r="B179" i="34"/>
  <c r="G178" i="34"/>
  <c r="F178" i="34"/>
  <c r="E178" i="34"/>
  <c r="D178" i="34"/>
  <c r="C178" i="34"/>
  <c r="B178" i="34"/>
  <c r="G177" i="34"/>
  <c r="F177" i="34"/>
  <c r="E177" i="34"/>
  <c r="D177" i="34"/>
  <c r="C177" i="34"/>
  <c r="B177" i="34"/>
  <c r="G176" i="34"/>
  <c r="F176" i="34"/>
  <c r="E176" i="34"/>
  <c r="D176" i="34"/>
  <c r="C176" i="34"/>
  <c r="B176" i="34"/>
  <c r="G175" i="34"/>
  <c r="F175" i="34"/>
  <c r="E175" i="34"/>
  <c r="D175" i="34"/>
  <c r="C175" i="34"/>
  <c r="B175" i="34"/>
  <c r="G174" i="34"/>
  <c r="F174" i="34"/>
  <c r="E174" i="34"/>
  <c r="D174" i="34"/>
  <c r="C174" i="34"/>
  <c r="B174" i="34"/>
  <c r="G173" i="34"/>
  <c r="F173" i="34"/>
  <c r="E173" i="34"/>
  <c r="D173" i="34"/>
  <c r="C173" i="34"/>
  <c r="B173" i="34"/>
  <c r="G172" i="34"/>
  <c r="F172" i="34"/>
  <c r="E172" i="34"/>
  <c r="D172" i="34"/>
  <c r="C172" i="34"/>
  <c r="B172" i="34"/>
  <c r="G171" i="34"/>
  <c r="F171" i="34"/>
  <c r="E171" i="34"/>
  <c r="D171" i="34"/>
  <c r="C171" i="34"/>
  <c r="B171" i="34"/>
  <c r="G170" i="34"/>
  <c r="F170" i="34"/>
  <c r="E170" i="34"/>
  <c r="D170" i="34"/>
  <c r="C170" i="34"/>
  <c r="B170" i="34"/>
  <c r="G169" i="34"/>
  <c r="F169" i="34"/>
  <c r="E169" i="34"/>
  <c r="D169" i="34"/>
  <c r="C169" i="34"/>
  <c r="B169" i="34"/>
  <c r="G168" i="34"/>
  <c r="F168" i="34"/>
  <c r="E168" i="34"/>
  <c r="D168" i="34"/>
  <c r="C168" i="34"/>
  <c r="B168" i="34"/>
  <c r="G167" i="34"/>
  <c r="F167" i="34"/>
  <c r="E167" i="34"/>
  <c r="D167" i="34"/>
  <c r="C167" i="34"/>
  <c r="B167" i="34"/>
  <c r="G166" i="34"/>
  <c r="F166" i="34"/>
  <c r="E166" i="34"/>
  <c r="D166" i="34"/>
  <c r="C166" i="34"/>
  <c r="B166" i="34"/>
  <c r="G165" i="34"/>
  <c r="F165" i="34"/>
  <c r="E165" i="34"/>
  <c r="D165" i="34"/>
  <c r="C165" i="34"/>
  <c r="B165" i="34"/>
  <c r="G164" i="34"/>
  <c r="F164" i="34"/>
  <c r="E164" i="34"/>
  <c r="D164" i="34"/>
  <c r="C164" i="34"/>
  <c r="B164" i="34"/>
  <c r="G163" i="34"/>
  <c r="F163" i="34"/>
  <c r="E163" i="34"/>
  <c r="D163" i="34"/>
  <c r="C163" i="34"/>
  <c r="B163" i="34"/>
  <c r="G162" i="34"/>
  <c r="F162" i="34"/>
  <c r="E162" i="34"/>
  <c r="D162" i="34"/>
  <c r="C162" i="34"/>
  <c r="B162" i="34"/>
  <c r="G161" i="34"/>
  <c r="F161" i="34"/>
  <c r="E161" i="34"/>
  <c r="D161" i="34"/>
  <c r="C161" i="34"/>
  <c r="B161" i="34"/>
  <c r="G160" i="34"/>
  <c r="F160" i="34"/>
  <c r="E160" i="34"/>
  <c r="D160" i="34"/>
  <c r="C160" i="34"/>
  <c r="B160" i="34"/>
  <c r="G159" i="34"/>
  <c r="F159" i="34"/>
  <c r="E159" i="34"/>
  <c r="D159" i="34"/>
  <c r="C159" i="34"/>
  <c r="B159" i="34"/>
  <c r="G158" i="34"/>
  <c r="F158" i="34"/>
  <c r="E158" i="34"/>
  <c r="D158" i="34"/>
  <c r="C158" i="34"/>
  <c r="B158" i="34"/>
  <c r="G157" i="34"/>
  <c r="F157" i="34"/>
  <c r="E157" i="34"/>
  <c r="D157" i="34"/>
  <c r="C157" i="34"/>
  <c r="B157" i="34"/>
  <c r="G156" i="34"/>
  <c r="F156" i="34"/>
  <c r="E156" i="34"/>
  <c r="D156" i="34"/>
  <c r="C156" i="34"/>
  <c r="B156" i="34"/>
  <c r="G155" i="34"/>
  <c r="F155" i="34"/>
  <c r="E155" i="34"/>
  <c r="D155" i="34"/>
  <c r="C155" i="34"/>
  <c r="B155" i="34"/>
  <c r="G154" i="34"/>
  <c r="F154" i="34"/>
  <c r="E154" i="34"/>
  <c r="D154" i="34"/>
  <c r="C154" i="34"/>
  <c r="B154" i="34"/>
  <c r="G153" i="34"/>
  <c r="F153" i="34"/>
  <c r="E153" i="34"/>
  <c r="D153" i="34"/>
  <c r="C153" i="34"/>
  <c r="B153" i="34"/>
  <c r="G152" i="34"/>
  <c r="F152" i="34"/>
  <c r="E152" i="34"/>
  <c r="D152" i="34"/>
  <c r="C152" i="34"/>
  <c r="B152" i="34"/>
  <c r="G151" i="34"/>
  <c r="F151" i="34"/>
  <c r="E151" i="34"/>
  <c r="D151" i="34"/>
  <c r="C151" i="34"/>
  <c r="B151" i="34"/>
  <c r="G150" i="34"/>
  <c r="F150" i="34"/>
  <c r="E150" i="34"/>
  <c r="D150" i="34"/>
  <c r="C150" i="34"/>
  <c r="B150" i="34"/>
  <c r="G149" i="34"/>
  <c r="F149" i="34"/>
  <c r="E149" i="34"/>
  <c r="D149" i="34"/>
  <c r="C149" i="34"/>
  <c r="B149" i="34"/>
  <c r="G148" i="34"/>
  <c r="F148" i="34"/>
  <c r="E148" i="34"/>
  <c r="D148" i="34"/>
  <c r="C148" i="34"/>
  <c r="B148" i="34"/>
  <c r="G147" i="34"/>
  <c r="F147" i="34"/>
  <c r="E147" i="34"/>
  <c r="D147" i="34"/>
  <c r="C147" i="34"/>
  <c r="B147" i="34"/>
  <c r="G146" i="34"/>
  <c r="F146" i="34"/>
  <c r="E146" i="34"/>
  <c r="D146" i="34"/>
  <c r="C146" i="34"/>
  <c r="B146" i="34"/>
  <c r="G145" i="34"/>
  <c r="F145" i="34"/>
  <c r="E145" i="34"/>
  <c r="D145" i="34"/>
  <c r="C145" i="34"/>
  <c r="B145" i="34"/>
  <c r="G144" i="34"/>
  <c r="F144" i="34"/>
  <c r="E144" i="34"/>
  <c r="D144" i="34"/>
  <c r="C144" i="34"/>
  <c r="B144" i="34"/>
  <c r="G143" i="34"/>
  <c r="F143" i="34"/>
  <c r="E143" i="34"/>
  <c r="D143" i="34"/>
  <c r="C143" i="34"/>
  <c r="B143" i="34"/>
  <c r="G142" i="34"/>
  <c r="F142" i="34"/>
  <c r="E142" i="34"/>
  <c r="D142" i="34"/>
  <c r="C142" i="34"/>
  <c r="B142" i="34"/>
  <c r="G141" i="34"/>
  <c r="F141" i="34"/>
  <c r="E141" i="34"/>
  <c r="D141" i="34"/>
  <c r="C141" i="34"/>
  <c r="B141" i="34"/>
  <c r="G140" i="34"/>
  <c r="F140" i="34"/>
  <c r="E140" i="34"/>
  <c r="D140" i="34"/>
  <c r="C140" i="34"/>
  <c r="B140" i="34"/>
  <c r="G139" i="34"/>
  <c r="F139" i="34"/>
  <c r="E139" i="34"/>
  <c r="D139" i="34"/>
  <c r="C139" i="34"/>
  <c r="B139" i="34"/>
  <c r="G138" i="34"/>
  <c r="F138" i="34"/>
  <c r="E138" i="34"/>
  <c r="D138" i="34"/>
  <c r="C138" i="34"/>
  <c r="B138" i="34"/>
  <c r="G137" i="34"/>
  <c r="F137" i="34"/>
  <c r="E137" i="34"/>
  <c r="D137" i="34"/>
  <c r="C137" i="34"/>
  <c r="B137" i="34"/>
  <c r="G136" i="34"/>
  <c r="F136" i="34"/>
  <c r="E136" i="34"/>
  <c r="D136" i="34"/>
  <c r="C136" i="34"/>
  <c r="B136" i="34"/>
  <c r="G135" i="34"/>
  <c r="F135" i="34"/>
  <c r="E135" i="34"/>
  <c r="D135" i="34"/>
  <c r="C135" i="34"/>
  <c r="B135" i="34"/>
  <c r="G134" i="34"/>
  <c r="F134" i="34"/>
  <c r="E134" i="34"/>
  <c r="D134" i="34"/>
  <c r="C134" i="34"/>
  <c r="B134" i="34"/>
  <c r="G133" i="34"/>
  <c r="F133" i="34"/>
  <c r="E133" i="34"/>
  <c r="D133" i="34"/>
  <c r="C133" i="34"/>
  <c r="B133" i="34"/>
  <c r="G132" i="34"/>
  <c r="F132" i="34"/>
  <c r="E132" i="34"/>
  <c r="D132" i="34"/>
  <c r="C132" i="34"/>
  <c r="B132" i="34"/>
  <c r="G131" i="34"/>
  <c r="F131" i="34"/>
  <c r="E131" i="34"/>
  <c r="D131" i="34"/>
  <c r="C131" i="34"/>
  <c r="B131" i="34"/>
  <c r="G130" i="34"/>
  <c r="F130" i="34"/>
  <c r="E130" i="34"/>
  <c r="D130" i="34"/>
  <c r="C130" i="34"/>
  <c r="B130" i="34"/>
  <c r="G129" i="34"/>
  <c r="F129" i="34"/>
  <c r="E129" i="34"/>
  <c r="D129" i="34"/>
  <c r="C129" i="34"/>
  <c r="B129" i="34"/>
  <c r="G128" i="34"/>
  <c r="F128" i="34"/>
  <c r="E128" i="34"/>
  <c r="D128" i="34"/>
  <c r="C128" i="34"/>
  <c r="B128" i="34"/>
  <c r="G127" i="34"/>
  <c r="F127" i="34"/>
  <c r="E127" i="34"/>
  <c r="D127" i="34"/>
  <c r="C127" i="34"/>
  <c r="B127" i="34"/>
  <c r="G126" i="34"/>
  <c r="F126" i="34"/>
  <c r="E126" i="34"/>
  <c r="D126" i="34"/>
  <c r="C126" i="34"/>
  <c r="B126" i="34"/>
  <c r="G125" i="34"/>
  <c r="F125" i="34"/>
  <c r="E125" i="34"/>
  <c r="D125" i="34"/>
  <c r="C125" i="34"/>
  <c r="B125" i="34"/>
  <c r="G124" i="34"/>
  <c r="F124" i="34"/>
  <c r="E124" i="34"/>
  <c r="D124" i="34"/>
  <c r="C124" i="34"/>
  <c r="B124" i="34"/>
  <c r="G123" i="34"/>
  <c r="F123" i="34"/>
  <c r="E123" i="34"/>
  <c r="D123" i="34"/>
  <c r="C123" i="34"/>
  <c r="B123" i="34"/>
  <c r="G122" i="34"/>
  <c r="F122" i="34"/>
  <c r="E122" i="34"/>
  <c r="D122" i="34"/>
  <c r="C122" i="34"/>
  <c r="B122" i="34"/>
  <c r="G121" i="34"/>
  <c r="F121" i="34"/>
  <c r="E121" i="34"/>
  <c r="D121" i="34"/>
  <c r="C121" i="34"/>
  <c r="B121" i="34"/>
  <c r="G120" i="34"/>
  <c r="F120" i="34"/>
  <c r="E120" i="34"/>
  <c r="D120" i="34"/>
  <c r="C120" i="34"/>
  <c r="B120" i="34"/>
  <c r="G119" i="34"/>
  <c r="F119" i="34"/>
  <c r="E119" i="34"/>
  <c r="D119" i="34"/>
  <c r="C119" i="34"/>
  <c r="B119" i="34"/>
  <c r="G118" i="34"/>
  <c r="F118" i="34"/>
  <c r="E118" i="34"/>
  <c r="D118" i="34"/>
  <c r="C118" i="34"/>
  <c r="B118" i="34"/>
  <c r="G117" i="34"/>
  <c r="F117" i="34"/>
  <c r="E117" i="34"/>
  <c r="D117" i="34"/>
  <c r="C117" i="34"/>
  <c r="B117" i="34"/>
  <c r="G116" i="34"/>
  <c r="F116" i="34"/>
  <c r="E116" i="34"/>
  <c r="D116" i="34"/>
  <c r="C116" i="34"/>
  <c r="B116" i="34"/>
  <c r="G115" i="34"/>
  <c r="F115" i="34"/>
  <c r="E115" i="34"/>
  <c r="D115" i="34"/>
  <c r="C115" i="34"/>
  <c r="B115" i="34"/>
  <c r="G114" i="34"/>
  <c r="F114" i="34"/>
  <c r="E114" i="34"/>
  <c r="D114" i="34"/>
  <c r="C114" i="34"/>
  <c r="B114" i="34"/>
  <c r="G113" i="34"/>
  <c r="F113" i="34"/>
  <c r="E113" i="34"/>
  <c r="D113" i="34"/>
  <c r="C113" i="34"/>
  <c r="B113" i="34"/>
  <c r="G112" i="34"/>
  <c r="F112" i="34"/>
  <c r="E112" i="34"/>
  <c r="D112" i="34"/>
  <c r="C112" i="34"/>
  <c r="B112" i="34"/>
  <c r="G111" i="34"/>
  <c r="F111" i="34"/>
  <c r="E111" i="34"/>
  <c r="D111" i="34"/>
  <c r="C111" i="34"/>
  <c r="B111" i="34"/>
  <c r="G110" i="34"/>
  <c r="F110" i="34"/>
  <c r="E110" i="34"/>
  <c r="D110" i="34"/>
  <c r="C110" i="34"/>
  <c r="B110" i="34"/>
  <c r="G109" i="34"/>
  <c r="F109" i="34"/>
  <c r="E109" i="34"/>
  <c r="D109" i="34"/>
  <c r="C109" i="34"/>
  <c r="B109" i="34"/>
  <c r="G108" i="34"/>
  <c r="F108" i="34"/>
  <c r="E108" i="34"/>
  <c r="D108" i="34"/>
  <c r="C108" i="34"/>
  <c r="B108" i="34"/>
  <c r="G107" i="34"/>
  <c r="F107" i="34"/>
  <c r="E107" i="34"/>
  <c r="D107" i="34"/>
  <c r="C107" i="34"/>
  <c r="B107" i="34"/>
  <c r="G106" i="34"/>
  <c r="F106" i="34"/>
  <c r="E106" i="34"/>
  <c r="D106" i="34"/>
  <c r="C106" i="34"/>
  <c r="B106" i="34"/>
  <c r="G105" i="34"/>
  <c r="F105" i="34"/>
  <c r="E105" i="34"/>
  <c r="D105" i="34"/>
  <c r="C105" i="34"/>
  <c r="B105" i="34"/>
  <c r="G104" i="34"/>
  <c r="F104" i="34"/>
  <c r="E104" i="34"/>
  <c r="D104" i="34"/>
  <c r="C104" i="34"/>
  <c r="B104" i="34"/>
  <c r="G103" i="34"/>
  <c r="F103" i="34"/>
  <c r="E103" i="34"/>
  <c r="D103" i="34"/>
  <c r="C103" i="34"/>
  <c r="B103" i="34"/>
  <c r="G102" i="34"/>
  <c r="F102" i="34"/>
  <c r="E102" i="34"/>
  <c r="D102" i="34"/>
  <c r="C102" i="34"/>
  <c r="B102" i="34"/>
  <c r="G101" i="34"/>
  <c r="F101" i="34"/>
  <c r="E101" i="34"/>
  <c r="D101" i="34"/>
  <c r="C101" i="34"/>
  <c r="B101" i="34"/>
  <c r="G100" i="34"/>
  <c r="F100" i="34"/>
  <c r="E100" i="34"/>
  <c r="D100" i="34"/>
  <c r="C100" i="34"/>
  <c r="B100" i="34"/>
  <c r="G99" i="34"/>
  <c r="F99" i="34"/>
  <c r="E99" i="34"/>
  <c r="D99" i="34"/>
  <c r="C99" i="34"/>
  <c r="B99" i="34"/>
  <c r="G98" i="34"/>
  <c r="F98" i="34"/>
  <c r="E98" i="34"/>
  <c r="D98" i="34"/>
  <c r="C98" i="34"/>
  <c r="B98" i="34"/>
  <c r="G97" i="34"/>
  <c r="F97" i="34"/>
  <c r="E97" i="34"/>
  <c r="D97" i="34"/>
  <c r="C97" i="34"/>
  <c r="B97" i="34"/>
  <c r="G96" i="34"/>
  <c r="F96" i="34"/>
  <c r="E96" i="34"/>
  <c r="D96" i="34"/>
  <c r="C96" i="34"/>
  <c r="B96" i="34"/>
  <c r="G95" i="34"/>
  <c r="F95" i="34"/>
  <c r="E95" i="34"/>
  <c r="D95" i="34"/>
  <c r="C95" i="34"/>
  <c r="B95" i="34"/>
  <c r="G94" i="34"/>
  <c r="F94" i="34"/>
  <c r="E94" i="34"/>
  <c r="D94" i="34"/>
  <c r="C94" i="34"/>
  <c r="B94" i="34"/>
  <c r="G93" i="34"/>
  <c r="F93" i="34"/>
  <c r="E93" i="34"/>
  <c r="D93" i="34"/>
  <c r="C93" i="34"/>
  <c r="B93" i="34"/>
  <c r="G92" i="34"/>
  <c r="F92" i="34"/>
  <c r="E92" i="34"/>
  <c r="D92" i="34"/>
  <c r="C92" i="34"/>
  <c r="B92" i="34"/>
  <c r="G91" i="34"/>
  <c r="F91" i="34"/>
  <c r="E91" i="34"/>
  <c r="D91" i="34"/>
  <c r="C91" i="34"/>
  <c r="B91" i="34"/>
  <c r="G90" i="34"/>
  <c r="F90" i="34"/>
  <c r="E90" i="34"/>
  <c r="D90" i="34"/>
  <c r="C90" i="34"/>
  <c r="B90" i="34"/>
  <c r="G89" i="34"/>
  <c r="F89" i="34"/>
  <c r="E89" i="34"/>
  <c r="D89" i="34"/>
  <c r="C89" i="34"/>
  <c r="B89" i="34"/>
  <c r="G88" i="34"/>
  <c r="F88" i="34"/>
  <c r="E88" i="34"/>
  <c r="D88" i="34"/>
  <c r="C88" i="34"/>
  <c r="B88" i="34"/>
  <c r="G87" i="34"/>
  <c r="F87" i="34"/>
  <c r="E87" i="34"/>
  <c r="D87" i="34"/>
  <c r="C87" i="34"/>
  <c r="B87" i="34"/>
  <c r="G86" i="34"/>
  <c r="F86" i="34"/>
  <c r="E86" i="34"/>
  <c r="D86" i="34"/>
  <c r="C86" i="34"/>
  <c r="B86" i="34"/>
  <c r="G85" i="34"/>
  <c r="F85" i="34"/>
  <c r="E85" i="34"/>
  <c r="D85" i="34"/>
  <c r="C85" i="34"/>
  <c r="B85" i="34"/>
  <c r="G84" i="34"/>
  <c r="F84" i="34"/>
  <c r="E84" i="34"/>
  <c r="D84" i="34"/>
  <c r="C84" i="34"/>
  <c r="B84" i="34"/>
  <c r="G83" i="34"/>
  <c r="F83" i="34"/>
  <c r="E83" i="34"/>
  <c r="D83" i="34"/>
  <c r="C83" i="34"/>
  <c r="B83" i="34"/>
  <c r="G82" i="34"/>
  <c r="F82" i="34"/>
  <c r="E82" i="34"/>
  <c r="D82" i="34"/>
  <c r="C82" i="34"/>
  <c r="B82" i="34"/>
  <c r="G81" i="34"/>
  <c r="F81" i="34"/>
  <c r="E81" i="34"/>
  <c r="D81" i="34"/>
  <c r="C81" i="34"/>
  <c r="B81" i="34"/>
  <c r="G80" i="34"/>
  <c r="F80" i="34"/>
  <c r="E80" i="34"/>
  <c r="D80" i="34"/>
  <c r="C80" i="34"/>
  <c r="B80" i="34"/>
  <c r="G79" i="34"/>
  <c r="F79" i="34"/>
  <c r="E79" i="34"/>
  <c r="D79" i="34"/>
  <c r="C79" i="34"/>
  <c r="B79" i="34"/>
  <c r="G78" i="34"/>
  <c r="F78" i="34"/>
  <c r="E78" i="34"/>
  <c r="D78" i="34"/>
  <c r="C78" i="34"/>
  <c r="B78" i="34"/>
  <c r="G77" i="34"/>
  <c r="F77" i="34"/>
  <c r="E77" i="34"/>
  <c r="D77" i="34"/>
  <c r="C77" i="34"/>
  <c r="B77" i="34"/>
  <c r="G76" i="34"/>
  <c r="F76" i="34"/>
  <c r="E76" i="34"/>
  <c r="D76" i="34"/>
  <c r="C76" i="34"/>
  <c r="B76" i="34"/>
  <c r="G75" i="34"/>
  <c r="F75" i="34"/>
  <c r="E75" i="34"/>
  <c r="D75" i="34"/>
  <c r="C75" i="34"/>
  <c r="B75" i="34"/>
  <c r="G74" i="34"/>
  <c r="F74" i="34"/>
  <c r="E74" i="34"/>
  <c r="D74" i="34"/>
  <c r="C74" i="34"/>
  <c r="B74" i="34"/>
  <c r="G73" i="34"/>
  <c r="F73" i="34"/>
  <c r="E73" i="34"/>
  <c r="D73" i="34"/>
  <c r="C73" i="34"/>
  <c r="B73" i="34"/>
  <c r="G72" i="34"/>
  <c r="F72" i="34"/>
  <c r="E72" i="34"/>
  <c r="D72" i="34"/>
  <c r="C72" i="34"/>
  <c r="B72" i="34"/>
  <c r="G71" i="34"/>
  <c r="F71" i="34"/>
  <c r="E71" i="34"/>
  <c r="D71" i="34"/>
  <c r="C71" i="34"/>
  <c r="B71" i="34"/>
  <c r="G70" i="34"/>
  <c r="F70" i="34"/>
  <c r="E70" i="34"/>
  <c r="D70" i="34"/>
  <c r="C70" i="34"/>
  <c r="B70" i="34"/>
  <c r="G69" i="34"/>
  <c r="F69" i="34"/>
  <c r="E69" i="34"/>
  <c r="D69" i="34"/>
  <c r="C69" i="34"/>
  <c r="B69" i="34"/>
  <c r="G68" i="34"/>
  <c r="F68" i="34"/>
  <c r="E68" i="34"/>
  <c r="D68" i="34"/>
  <c r="C68" i="34"/>
  <c r="B68" i="34"/>
  <c r="G67" i="34"/>
  <c r="F67" i="34"/>
  <c r="E67" i="34"/>
  <c r="D67" i="34"/>
  <c r="C67" i="34"/>
  <c r="B67" i="34"/>
  <c r="G66" i="34"/>
  <c r="F66" i="34"/>
  <c r="E66" i="34"/>
  <c r="D66" i="34"/>
  <c r="C66" i="34"/>
  <c r="B66" i="34"/>
  <c r="G65" i="34"/>
  <c r="F65" i="34"/>
  <c r="E65" i="34"/>
  <c r="D65" i="34"/>
  <c r="C65" i="34"/>
  <c r="B65" i="34"/>
  <c r="G64" i="34"/>
  <c r="F64" i="34"/>
  <c r="E64" i="34"/>
  <c r="D64" i="34"/>
  <c r="C64" i="34"/>
  <c r="B64" i="34"/>
  <c r="G63" i="34"/>
  <c r="F63" i="34"/>
  <c r="E63" i="34"/>
  <c r="D63" i="34"/>
  <c r="C63" i="34"/>
  <c r="B63" i="34"/>
  <c r="G62" i="34"/>
  <c r="F62" i="34"/>
  <c r="E62" i="34"/>
  <c r="D62" i="34"/>
  <c r="C62" i="34"/>
  <c r="B62" i="34"/>
  <c r="G61" i="34"/>
  <c r="F61" i="34"/>
  <c r="E61" i="34"/>
  <c r="D61" i="34"/>
  <c r="C61" i="34"/>
  <c r="B61" i="34"/>
  <c r="G60" i="34"/>
  <c r="F60" i="34"/>
  <c r="E60" i="34"/>
  <c r="D60" i="34"/>
  <c r="C60" i="34"/>
  <c r="B60" i="34"/>
  <c r="G59" i="34"/>
  <c r="F59" i="34"/>
  <c r="E59" i="34"/>
  <c r="D59" i="34"/>
  <c r="C59" i="34"/>
  <c r="B59" i="34"/>
  <c r="G58" i="34"/>
  <c r="F58" i="34"/>
  <c r="E58" i="34"/>
  <c r="D58" i="34"/>
  <c r="C58" i="34"/>
  <c r="B58" i="34"/>
  <c r="G57" i="34"/>
  <c r="F57" i="34"/>
  <c r="E57" i="34"/>
  <c r="D57" i="34"/>
  <c r="C57" i="34"/>
  <c r="B57" i="34"/>
  <c r="G56" i="34"/>
  <c r="F56" i="34"/>
  <c r="E56" i="34"/>
  <c r="D56" i="34"/>
  <c r="C56" i="34"/>
  <c r="B56" i="34"/>
  <c r="G55" i="34"/>
  <c r="F55" i="34"/>
  <c r="E55" i="34"/>
  <c r="D55" i="34"/>
  <c r="C55" i="34"/>
  <c r="B55" i="34"/>
  <c r="G54" i="34"/>
  <c r="F54" i="34"/>
  <c r="E54" i="34"/>
  <c r="D54" i="34"/>
  <c r="C54" i="34"/>
  <c r="B54" i="34"/>
  <c r="G53" i="34"/>
  <c r="F53" i="34"/>
  <c r="E53" i="34"/>
  <c r="D53" i="34"/>
  <c r="C53" i="34"/>
  <c r="B53" i="34"/>
  <c r="G52" i="34"/>
  <c r="F52" i="34"/>
  <c r="E52" i="34"/>
  <c r="D52" i="34"/>
  <c r="C52" i="34"/>
  <c r="B52" i="34"/>
  <c r="G51" i="34"/>
  <c r="F51" i="34"/>
  <c r="E51" i="34"/>
  <c r="D51" i="34"/>
  <c r="C51" i="34"/>
  <c r="B51" i="34"/>
  <c r="G50" i="34"/>
  <c r="F50" i="34"/>
  <c r="E50" i="34"/>
  <c r="D50" i="34"/>
  <c r="C50" i="34"/>
  <c r="B50" i="34"/>
  <c r="G49" i="34"/>
  <c r="F49" i="34"/>
  <c r="E49" i="34"/>
  <c r="D49" i="34"/>
  <c r="C49" i="34"/>
  <c r="B49" i="34"/>
  <c r="G48" i="34"/>
  <c r="F48" i="34"/>
  <c r="E48" i="34"/>
  <c r="D48" i="34"/>
  <c r="C48" i="34"/>
  <c r="B48" i="34"/>
  <c r="G47" i="34"/>
  <c r="F47" i="34"/>
  <c r="E47" i="34"/>
  <c r="D47" i="34"/>
  <c r="C47" i="34"/>
  <c r="B47" i="34"/>
  <c r="G46" i="34"/>
  <c r="F46" i="34"/>
  <c r="E46" i="34"/>
  <c r="D46" i="34"/>
  <c r="C46" i="34"/>
  <c r="B46" i="34"/>
  <c r="G45" i="34"/>
  <c r="F45" i="34"/>
  <c r="E45" i="34"/>
  <c r="D45" i="34"/>
  <c r="C45" i="34"/>
  <c r="B45" i="34"/>
  <c r="G44" i="34"/>
  <c r="F44" i="34"/>
  <c r="E44" i="34"/>
  <c r="D44" i="34"/>
  <c r="C44" i="34"/>
  <c r="B44" i="34"/>
  <c r="G43" i="34"/>
  <c r="F43" i="34"/>
  <c r="E43" i="34"/>
  <c r="D43" i="34"/>
  <c r="C43" i="34"/>
  <c r="B43" i="34"/>
  <c r="G42" i="34"/>
  <c r="F42" i="34"/>
  <c r="E42" i="34"/>
  <c r="D42" i="34"/>
  <c r="C42" i="34"/>
  <c r="B42" i="34"/>
  <c r="G41" i="34"/>
  <c r="K22" i="34" s="1"/>
  <c r="F33" i="39" s="1"/>
  <c r="F41" i="34"/>
  <c r="E41" i="34"/>
  <c r="D41" i="34"/>
  <c r="C41" i="34"/>
  <c r="B41" i="34"/>
  <c r="G40" i="34"/>
  <c r="F40" i="34"/>
  <c r="E40" i="34"/>
  <c r="D40" i="34"/>
  <c r="C40" i="34"/>
  <c r="B40" i="34"/>
  <c r="G39" i="34"/>
  <c r="F39" i="34"/>
  <c r="E39" i="34"/>
  <c r="D39" i="34"/>
  <c r="C39" i="34"/>
  <c r="B39" i="34"/>
  <c r="G38" i="34"/>
  <c r="F38" i="34"/>
  <c r="E38" i="34"/>
  <c r="D38" i="34"/>
  <c r="C38" i="34"/>
  <c r="B38" i="34"/>
  <c r="G37" i="34"/>
  <c r="F37" i="34"/>
  <c r="E37" i="34"/>
  <c r="D37" i="34"/>
  <c r="C37" i="34"/>
  <c r="B37" i="34"/>
  <c r="G36" i="34"/>
  <c r="F36" i="34"/>
  <c r="E36" i="34"/>
  <c r="D36" i="34"/>
  <c r="C36" i="34"/>
  <c r="B36" i="34"/>
  <c r="G35" i="34"/>
  <c r="F35" i="34"/>
  <c r="E35" i="34"/>
  <c r="D35" i="34"/>
  <c r="C35" i="34"/>
  <c r="B35" i="34"/>
  <c r="G34" i="34"/>
  <c r="F34" i="34"/>
  <c r="E34" i="34"/>
  <c r="D34" i="34"/>
  <c r="C34" i="34"/>
  <c r="B34" i="34"/>
  <c r="G33" i="34"/>
  <c r="F33" i="34"/>
  <c r="E33" i="34"/>
  <c r="D33" i="34"/>
  <c r="C33" i="34"/>
  <c r="B33" i="34"/>
  <c r="G32" i="34"/>
  <c r="F32" i="34"/>
  <c r="E32" i="34"/>
  <c r="D32" i="34"/>
  <c r="C32" i="34"/>
  <c r="B32" i="34"/>
  <c r="G31" i="34"/>
  <c r="F31" i="34"/>
  <c r="E31" i="34"/>
  <c r="D31" i="34"/>
  <c r="C31" i="34"/>
  <c r="B31" i="34"/>
  <c r="G30" i="34"/>
  <c r="F30" i="34"/>
  <c r="E30" i="34"/>
  <c r="D30" i="34"/>
  <c r="C30" i="34"/>
  <c r="B30" i="34"/>
  <c r="G29" i="34"/>
  <c r="F29" i="34"/>
  <c r="E29" i="34"/>
  <c r="D29" i="34"/>
  <c r="C29" i="34"/>
  <c r="B29" i="34"/>
  <c r="G28" i="34"/>
  <c r="F28" i="34"/>
  <c r="E28" i="34"/>
  <c r="D28" i="34"/>
  <c r="C28" i="34"/>
  <c r="B28" i="34"/>
  <c r="G27" i="34"/>
  <c r="F27" i="34"/>
  <c r="E27" i="34"/>
  <c r="D27" i="34"/>
  <c r="C27" i="34"/>
  <c r="B27" i="34"/>
  <c r="G26" i="34"/>
  <c r="F26" i="34"/>
  <c r="E26" i="34"/>
  <c r="D26" i="34"/>
  <c r="C26" i="34"/>
  <c r="B26" i="34"/>
  <c r="G25" i="34"/>
  <c r="F25" i="34"/>
  <c r="E25" i="34"/>
  <c r="D25" i="34"/>
  <c r="C25" i="34"/>
  <c r="B25" i="34"/>
  <c r="G24" i="34"/>
  <c r="F24" i="34"/>
  <c r="E24" i="34"/>
  <c r="D24" i="34"/>
  <c r="C24" i="34"/>
  <c r="B24" i="34"/>
  <c r="G23" i="34"/>
  <c r="F23" i="34"/>
  <c r="E23" i="34"/>
  <c r="D23" i="34"/>
  <c r="C23" i="34"/>
  <c r="B23" i="34"/>
  <c r="G22" i="34"/>
  <c r="F22" i="34"/>
  <c r="E22" i="34"/>
  <c r="D22" i="34"/>
  <c r="C22" i="34"/>
  <c r="B22" i="34"/>
  <c r="G21" i="34"/>
  <c r="F21" i="34"/>
  <c r="E21" i="34"/>
  <c r="D21" i="34"/>
  <c r="C21" i="34"/>
  <c r="B21" i="34"/>
  <c r="G20" i="34"/>
  <c r="F20" i="34"/>
  <c r="E20" i="34"/>
  <c r="D20" i="34"/>
  <c r="C20" i="34"/>
  <c r="B20" i="34"/>
  <c r="G19" i="34"/>
  <c r="F19" i="34"/>
  <c r="E19" i="34"/>
  <c r="D19" i="34"/>
  <c r="C19" i="34"/>
  <c r="B19" i="34"/>
  <c r="D6" i="34"/>
  <c r="D5" i="34"/>
  <c r="D4" i="34"/>
  <c r="D3" i="34"/>
  <c r="D22" i="27"/>
  <c r="D21" i="27"/>
  <c r="D20" i="27"/>
  <c r="D19" i="27"/>
  <c r="D18" i="27"/>
  <c r="D17" i="27"/>
  <c r="D16" i="27"/>
  <c r="D15" i="27"/>
  <c r="D14" i="27"/>
  <c r="D13" i="27"/>
  <c r="D12" i="27"/>
  <c r="D11" i="27"/>
  <c r="D10" i="27"/>
  <c r="B6" i="27"/>
  <c r="B5" i="27"/>
  <c r="K120" i="24"/>
  <c r="O14" i="32" l="1"/>
  <c r="E14" i="32" s="1"/>
  <c r="N13" i="32"/>
  <c r="N15" i="32" s="1"/>
  <c r="K231" i="34"/>
  <c r="F16" i="39" s="1"/>
  <c r="K229" i="34"/>
  <c r="F12" i="39" s="1"/>
  <c r="K651" i="34"/>
  <c r="G16" i="39" s="1"/>
  <c r="K21" i="34"/>
  <c r="F17" i="39" s="1"/>
  <c r="K649" i="34"/>
  <c r="G12" i="39" s="1"/>
  <c r="K20" i="34"/>
  <c r="K19" i="34"/>
  <c r="F13" i="39" s="1"/>
  <c r="K650" i="34"/>
  <c r="K440" i="34"/>
  <c r="K439" i="34"/>
  <c r="G13" i="39" s="1"/>
  <c r="K230" i="34"/>
  <c r="K441" i="34"/>
  <c r="G17" i="39" s="1"/>
  <c r="E33" i="39"/>
  <c r="E32" i="39"/>
  <c r="F31" i="39"/>
  <c r="G31" i="39"/>
  <c r="O13" i="32" l="1"/>
  <c r="E13" i="32" s="1"/>
  <c r="E12" i="32" s="1"/>
  <c r="E18" i="32" s="1"/>
  <c r="D13" i="32"/>
  <c r="D12" i="32" s="1"/>
  <c r="F25" i="39"/>
  <c r="F75" i="39" s="1"/>
  <c r="E16" i="39"/>
  <c r="G24" i="39"/>
  <c r="E12" i="39"/>
  <c r="K233" i="34"/>
  <c r="K653" i="34"/>
  <c r="E31" i="39"/>
  <c r="G25" i="39"/>
  <c r="E17" i="39"/>
  <c r="K23" i="34"/>
  <c r="K443" i="34"/>
  <c r="F24" i="39"/>
  <c r="E13" i="39"/>
  <c r="E17" i="32" l="1"/>
  <c r="E16" i="32" s="1"/>
  <c r="D18" i="32"/>
  <c r="D17" i="32"/>
  <c r="F29" i="39"/>
  <c r="F37" i="39" s="1"/>
  <c r="E25" i="39"/>
  <c r="E24" i="39"/>
  <c r="G29" i="39"/>
  <c r="G37" i="39" s="1"/>
  <c r="F28" i="39"/>
  <c r="AE4" i="24"/>
  <c r="W4" i="24"/>
  <c r="N4" i="24"/>
  <c r="B4" i="24"/>
  <c r="AO3" i="24"/>
  <c r="AK3" i="24"/>
  <c r="AE3" i="24"/>
  <c r="W3" i="24"/>
  <c r="N3" i="24"/>
  <c r="K3" i="24"/>
  <c r="B3" i="24"/>
  <c r="AO2" i="24"/>
  <c r="AK2" i="24"/>
  <c r="K2" i="24"/>
  <c r="AP90" i="22"/>
  <c r="F27" i="39" l="1"/>
  <c r="AP91" i="22"/>
  <c r="D16" i="32"/>
  <c r="O15" i="32" s="1"/>
  <c r="O16" i="32" s="1"/>
  <c r="N16" i="32" s="1"/>
  <c r="L16" i="32" s="1"/>
  <c r="K16" i="32" s="1"/>
  <c r="E29" i="39"/>
  <c r="E37" i="39" s="1"/>
  <c r="F36" i="39"/>
  <c r="F35" i="39" s="1"/>
  <c r="AO87" i="22"/>
  <c r="AN87" i="22"/>
  <c r="AM87" i="22"/>
  <c r="AL87" i="22"/>
  <c r="AP87" i="22" s="1"/>
  <c r="AL86" i="22"/>
  <c r="AL85" i="22"/>
  <c r="AL84" i="22"/>
  <c r="AP84" i="22" s="1"/>
  <c r="AL83" i="22"/>
  <c r="AP83" i="22" s="1"/>
  <c r="AL82" i="22"/>
  <c r="AP82" i="22" s="1"/>
  <c r="AL81" i="22"/>
  <c r="AO80" i="22"/>
  <c r="AN80" i="22"/>
  <c r="AM80" i="22"/>
  <c r="AL80" i="22"/>
  <c r="AP80" i="22" s="1"/>
  <c r="AL79" i="22"/>
  <c r="AP79" i="22" s="1"/>
  <c r="AO78" i="22"/>
  <c r="AN78" i="22"/>
  <c r="AM78" i="22"/>
  <c r="AL78" i="22"/>
  <c r="AP78" i="22" s="1"/>
  <c r="T78" i="22"/>
  <c r="S78" i="22"/>
  <c r="R78" i="22"/>
  <c r="Q78" i="22"/>
  <c r="AP77" i="22"/>
  <c r="T77" i="22"/>
  <c r="S77" i="22"/>
  <c r="R77" i="22"/>
  <c r="Q77" i="22"/>
  <c r="AL76" i="22"/>
  <c r="AP76" i="22" s="1"/>
  <c r="T76" i="22"/>
  <c r="S76" i="22"/>
  <c r="R76" i="22"/>
  <c r="Q76" i="22"/>
  <c r="AL75" i="22"/>
  <c r="T75" i="22"/>
  <c r="S75" i="22"/>
  <c r="R75" i="22"/>
  <c r="Q75" i="22"/>
  <c r="T74" i="22"/>
  <c r="S74" i="22"/>
  <c r="R74" i="22"/>
  <c r="Q74" i="22"/>
  <c r="AO73" i="22"/>
  <c r="AN73" i="22"/>
  <c r="AM73" i="22"/>
  <c r="T73" i="22"/>
  <c r="S73" i="22"/>
  <c r="R73" i="22"/>
  <c r="Q73" i="22"/>
  <c r="T72" i="22"/>
  <c r="S72" i="22"/>
  <c r="R72" i="22"/>
  <c r="Q72" i="22"/>
  <c r="AO71" i="22"/>
  <c r="AN71" i="22"/>
  <c r="AM71" i="22"/>
  <c r="T71" i="22"/>
  <c r="S71" i="22"/>
  <c r="R71" i="22"/>
  <c r="Q71" i="22"/>
  <c r="T70" i="22"/>
  <c r="S70" i="22"/>
  <c r="R70" i="22"/>
  <c r="Q70" i="22"/>
  <c r="AO69" i="22"/>
  <c r="AN69" i="22"/>
  <c r="AM69" i="22"/>
  <c r="T69" i="22"/>
  <c r="S69" i="22"/>
  <c r="R69" i="22"/>
  <c r="Q69" i="22"/>
  <c r="T68" i="22"/>
  <c r="AL74" i="22" s="1"/>
  <c r="S68" i="22"/>
  <c r="R68" i="22"/>
  <c r="Q68" i="22"/>
  <c r="AO67" i="22"/>
  <c r="AN67" i="22"/>
  <c r="AM67" i="22"/>
  <c r="T67" i="22"/>
  <c r="AL73" i="22" s="1"/>
  <c r="S67" i="22"/>
  <c r="R67" i="22"/>
  <c r="Q67" i="22"/>
  <c r="T66" i="22"/>
  <c r="AL72" i="22" s="1"/>
  <c r="AP72" i="22" s="1"/>
  <c r="S66" i="22"/>
  <c r="R66" i="22"/>
  <c r="Q66" i="22"/>
  <c r="AO65" i="22"/>
  <c r="AN65" i="22"/>
  <c r="AM65" i="22"/>
  <c r="T65" i="22"/>
  <c r="AL71" i="22" s="1"/>
  <c r="AP71" i="22" s="1"/>
  <c r="S65" i="22"/>
  <c r="R65" i="22"/>
  <c r="Q65" i="22"/>
  <c r="T64" i="22"/>
  <c r="AL66" i="22" s="1"/>
  <c r="S64" i="22"/>
  <c r="AK66" i="22" s="1"/>
  <c r="R64" i="22"/>
  <c r="AJ66" i="22" s="1"/>
  <c r="Q64" i="22"/>
  <c r="AI66" i="22" s="1"/>
  <c r="AL63" i="22"/>
  <c r="AK63" i="22"/>
  <c r="AJ63" i="22"/>
  <c r="AI63" i="22"/>
  <c r="T63" i="22"/>
  <c r="AL65" i="22" s="1"/>
  <c r="S63" i="22"/>
  <c r="R63" i="22"/>
  <c r="Q63" i="22"/>
  <c r="AI65" i="22" s="1"/>
  <c r="AL62" i="22"/>
  <c r="AK62" i="22"/>
  <c r="AJ62" i="22"/>
  <c r="AI62" i="22"/>
  <c r="T62" i="22"/>
  <c r="AL70" i="22" s="1"/>
  <c r="AP70" i="22" s="1"/>
  <c r="S62" i="22"/>
  <c r="R62" i="22"/>
  <c r="Q62" i="22"/>
  <c r="AL61" i="22"/>
  <c r="AK61" i="22"/>
  <c r="AJ61" i="22"/>
  <c r="AI61" i="22"/>
  <c r="T61" i="22"/>
  <c r="AL69" i="22" s="1"/>
  <c r="AP69" i="22" s="1"/>
  <c r="S61" i="22"/>
  <c r="R61" i="22"/>
  <c r="Q61" i="22"/>
  <c r="AL60" i="22"/>
  <c r="AK60" i="22"/>
  <c r="AJ60" i="22"/>
  <c r="AI60" i="22"/>
  <c r="T60" i="22"/>
  <c r="AL68" i="22" s="1"/>
  <c r="S60" i="22"/>
  <c r="AK68" i="22" s="1"/>
  <c r="R60" i="22"/>
  <c r="Q60" i="22"/>
  <c r="T59" i="22"/>
  <c r="AL67" i="22" s="1"/>
  <c r="S59" i="22"/>
  <c r="R59" i="22"/>
  <c r="AJ67" i="22" s="1"/>
  <c r="Q59" i="22"/>
  <c r="AO58" i="22"/>
  <c r="AN58" i="22"/>
  <c r="AM58" i="22"/>
  <c r="AL58" i="22"/>
  <c r="AK58" i="22"/>
  <c r="AJ58" i="22"/>
  <c r="AI58" i="22"/>
  <c r="T58" i="22"/>
  <c r="S58" i="22"/>
  <c r="R58" i="22"/>
  <c r="Q58" i="22"/>
  <c r="AL57" i="22"/>
  <c r="AK57" i="22"/>
  <c r="AJ57" i="22"/>
  <c r="AI57" i="22"/>
  <c r="X57" i="22"/>
  <c r="AO56" i="22"/>
  <c r="AN56" i="22"/>
  <c r="AM56" i="22"/>
  <c r="T56" i="22"/>
  <c r="S56" i="22"/>
  <c r="R56" i="22"/>
  <c r="Q56" i="22"/>
  <c r="AO55" i="22"/>
  <c r="AN55" i="22"/>
  <c r="AM55" i="22"/>
  <c r="AL55" i="22"/>
  <c r="AK55" i="22"/>
  <c r="AJ55" i="22"/>
  <c r="AI55" i="22"/>
  <c r="X55" i="22"/>
  <c r="AO54" i="22"/>
  <c r="AN54" i="22"/>
  <c r="AM54" i="22"/>
  <c r="AL54" i="22"/>
  <c r="AK54" i="22"/>
  <c r="AJ54" i="22"/>
  <c r="AI54" i="22"/>
  <c r="T54" i="22"/>
  <c r="S54" i="22"/>
  <c r="R54" i="22"/>
  <c r="Q54" i="22"/>
  <c r="X53" i="22"/>
  <c r="AO52" i="22"/>
  <c r="AN52" i="22"/>
  <c r="AM52" i="22"/>
  <c r="T52" i="22"/>
  <c r="S52" i="22"/>
  <c r="R52" i="22"/>
  <c r="Q52" i="22"/>
  <c r="T51" i="22"/>
  <c r="S51" i="22"/>
  <c r="R51" i="22"/>
  <c r="Q51" i="22"/>
  <c r="T50" i="22"/>
  <c r="S50" i="22"/>
  <c r="R50" i="22"/>
  <c r="Q50" i="22"/>
  <c r="T49" i="22"/>
  <c r="S49" i="22"/>
  <c r="R49" i="22"/>
  <c r="Q49" i="22"/>
  <c r="AO48" i="22"/>
  <c r="AN48" i="22"/>
  <c r="AM48" i="22"/>
  <c r="T48" i="22"/>
  <c r="S48" i="22"/>
  <c r="R48" i="22"/>
  <c r="Q48" i="22"/>
  <c r="AO47" i="22"/>
  <c r="AN47" i="22"/>
  <c r="AM47" i="22"/>
  <c r="T47" i="22"/>
  <c r="S47" i="22"/>
  <c r="R47" i="22"/>
  <c r="Q47" i="22"/>
  <c r="AO46" i="22"/>
  <c r="AN46" i="22"/>
  <c r="AM46" i="22"/>
  <c r="T46" i="22"/>
  <c r="AL59" i="22" s="1"/>
  <c r="S46" i="22"/>
  <c r="AK59" i="22" s="1"/>
  <c r="R46" i="22"/>
  <c r="AJ59" i="22" s="1"/>
  <c r="Q46" i="22"/>
  <c r="AI59" i="22" s="1"/>
  <c r="AO45" i="22"/>
  <c r="AN45" i="22"/>
  <c r="AM45" i="22"/>
  <c r="T45" i="22"/>
  <c r="S45" i="22"/>
  <c r="R45" i="22"/>
  <c r="Q45" i="22"/>
  <c r="AO44" i="22"/>
  <c r="AN44" i="22"/>
  <c r="AM44" i="22"/>
  <c r="T44" i="22"/>
  <c r="AL56" i="22" s="1"/>
  <c r="S44" i="22"/>
  <c r="AK56" i="22" s="1"/>
  <c r="R44" i="22"/>
  <c r="Q44" i="22"/>
  <c r="AO43" i="22"/>
  <c r="AN43" i="22"/>
  <c r="AM43" i="22"/>
  <c r="T43" i="22"/>
  <c r="S43" i="22"/>
  <c r="R43" i="22"/>
  <c r="Q43" i="22"/>
  <c r="AO42" i="22"/>
  <c r="AN42" i="22"/>
  <c r="AM42" i="22"/>
  <c r="T42" i="22"/>
  <c r="AL52" i="22" s="1"/>
  <c r="S42" i="22"/>
  <c r="R42" i="22"/>
  <c r="AJ52" i="22" s="1"/>
  <c r="Q42" i="22"/>
  <c r="T41" i="22"/>
  <c r="AL47" i="22" s="1"/>
  <c r="S41" i="22"/>
  <c r="R41" i="22"/>
  <c r="Q41" i="22"/>
  <c r="AO40" i="22"/>
  <c r="AN40" i="22"/>
  <c r="AM40" i="22"/>
  <c r="T40" i="22"/>
  <c r="S40" i="22"/>
  <c r="R40" i="22"/>
  <c r="Q40" i="22"/>
  <c r="AO39" i="22"/>
  <c r="AN39" i="22"/>
  <c r="AM39" i="22"/>
  <c r="T39" i="22"/>
  <c r="S39" i="22"/>
  <c r="R39" i="22"/>
  <c r="Q39" i="22"/>
  <c r="AO38" i="22"/>
  <c r="AN38" i="22"/>
  <c r="AM38" i="22"/>
  <c r="T38" i="22"/>
  <c r="AL45" i="22" s="1"/>
  <c r="S38" i="22"/>
  <c r="R38" i="22"/>
  <c r="Q38" i="22"/>
  <c r="AO37" i="22"/>
  <c r="AN37" i="22"/>
  <c r="AM37" i="22"/>
  <c r="T37" i="22"/>
  <c r="AL44" i="22" s="1"/>
  <c r="S37" i="22"/>
  <c r="R37" i="22"/>
  <c r="AJ44" i="22" s="1"/>
  <c r="Q37" i="22"/>
  <c r="AO36" i="22"/>
  <c r="AN36" i="22"/>
  <c r="AM36" i="22"/>
  <c r="T36" i="22"/>
  <c r="AL43" i="22" s="1"/>
  <c r="S36" i="22"/>
  <c r="R36" i="22"/>
  <c r="Q36" i="22"/>
  <c r="AI43" i="22" s="1"/>
  <c r="AO35" i="22"/>
  <c r="AN35" i="22"/>
  <c r="AM35" i="22"/>
  <c r="T35" i="22"/>
  <c r="S35" i="22"/>
  <c r="AK42" i="22" s="1"/>
  <c r="R35" i="22"/>
  <c r="AJ42" i="22" s="1"/>
  <c r="Q35" i="22"/>
  <c r="AO34" i="22"/>
  <c r="AN34" i="22"/>
  <c r="AM34" i="22"/>
  <c r="T34" i="22"/>
  <c r="S34" i="22"/>
  <c r="AK30" i="22" s="1"/>
  <c r="R34" i="22"/>
  <c r="Q34" i="22"/>
  <c r="T33" i="22"/>
  <c r="S33" i="22"/>
  <c r="AK29" i="22" s="1"/>
  <c r="R33" i="22"/>
  <c r="Q33" i="22"/>
  <c r="AI29" i="22" s="1"/>
  <c r="T32" i="22"/>
  <c r="AL28" i="22" s="1"/>
  <c r="S32" i="22"/>
  <c r="R32" i="22"/>
  <c r="Q32" i="22"/>
  <c r="T31" i="22"/>
  <c r="AL27" i="22" s="1"/>
  <c r="S31" i="22"/>
  <c r="R31" i="22"/>
  <c r="Q31" i="22"/>
  <c r="AL30" i="22"/>
  <c r="T30" i="22"/>
  <c r="S30" i="22"/>
  <c r="AK26" i="22" s="1"/>
  <c r="R30" i="22"/>
  <c r="Q30" i="22"/>
  <c r="AO29" i="22"/>
  <c r="AN29" i="22"/>
  <c r="AM29" i="22"/>
  <c r="T29" i="22"/>
  <c r="S29" i="22"/>
  <c r="AK48" i="22" s="1"/>
  <c r="R29" i="22"/>
  <c r="AJ48" i="22" s="1"/>
  <c r="Q29" i="22"/>
  <c r="AO28" i="22"/>
  <c r="AN28" i="22"/>
  <c r="AM28" i="22"/>
  <c r="T28" i="22"/>
  <c r="AL40" i="22" s="1"/>
  <c r="S28" i="22"/>
  <c r="R28" i="22"/>
  <c r="Q28" i="22"/>
  <c r="AO27" i="22"/>
  <c r="AN27" i="22"/>
  <c r="AM27" i="22"/>
  <c r="T27" i="22"/>
  <c r="AL39" i="22" s="1"/>
  <c r="S27" i="22"/>
  <c r="R27" i="22"/>
  <c r="Q27" i="22"/>
  <c r="AO26" i="22"/>
  <c r="AN26" i="22"/>
  <c r="AM26" i="22"/>
  <c r="T26" i="22"/>
  <c r="S26" i="22"/>
  <c r="R26" i="22"/>
  <c r="Q26" i="22"/>
  <c r="T25" i="22"/>
  <c r="S25" i="22"/>
  <c r="R25" i="22"/>
  <c r="Q25" i="22"/>
  <c r="AO24" i="22"/>
  <c r="AN24" i="22"/>
  <c r="AM24" i="22"/>
  <c r="T24" i="22"/>
  <c r="AL37" i="22" s="1"/>
  <c r="S24" i="22"/>
  <c r="R24" i="22"/>
  <c r="Q24" i="22"/>
  <c r="AO23" i="22"/>
  <c r="AN23" i="22"/>
  <c r="AM23" i="22"/>
  <c r="T23" i="22"/>
  <c r="S23" i="22"/>
  <c r="R23" i="22"/>
  <c r="AJ36" i="22" s="1"/>
  <c r="Q23" i="22"/>
  <c r="AO22" i="22"/>
  <c r="AN22" i="22"/>
  <c r="AM22" i="22"/>
  <c r="T22" i="22"/>
  <c r="AL35" i="22" s="1"/>
  <c r="S22" i="22"/>
  <c r="R22" i="22"/>
  <c r="Q22" i="22"/>
  <c r="AO21" i="22"/>
  <c r="AN21" i="22"/>
  <c r="AM21" i="22"/>
  <c r="T21" i="22"/>
  <c r="AL34" i="22" s="1"/>
  <c r="S21" i="22"/>
  <c r="AK34" i="22" s="1"/>
  <c r="R21" i="22"/>
  <c r="Q21" i="22"/>
  <c r="AI34" i="22" s="1"/>
  <c r="AO20" i="22"/>
  <c r="AN20" i="22"/>
  <c r="AM20" i="22"/>
  <c r="T20" i="22"/>
  <c r="AL24" i="22" s="1"/>
  <c r="S20" i="22"/>
  <c r="R20" i="22"/>
  <c r="Q20" i="22"/>
  <c r="AO19" i="22"/>
  <c r="AN19" i="22"/>
  <c r="AM19" i="22"/>
  <c r="T19" i="22"/>
  <c r="AL19" i="22" s="1"/>
  <c r="S19" i="22"/>
  <c r="AK19" i="22" s="1"/>
  <c r="R19" i="22"/>
  <c r="Q19" i="22"/>
  <c r="AO18" i="22"/>
  <c r="AN18" i="22"/>
  <c r="AM18" i="22"/>
  <c r="T18" i="22"/>
  <c r="AL23" i="22" s="1"/>
  <c r="S18" i="22"/>
  <c r="R18" i="22"/>
  <c r="Q18" i="22"/>
  <c r="AO17" i="22"/>
  <c r="AN17" i="22"/>
  <c r="AM17" i="22"/>
  <c r="T17" i="22"/>
  <c r="AL18" i="22" s="1"/>
  <c r="S17" i="22"/>
  <c r="R17" i="22"/>
  <c r="Q17" i="22"/>
  <c r="AO16" i="22"/>
  <c r="AN16" i="22"/>
  <c r="AM16" i="22"/>
  <c r="T16" i="22"/>
  <c r="AL22" i="22" s="1"/>
  <c r="S16" i="22"/>
  <c r="R16" i="22"/>
  <c r="Q16" i="22"/>
  <c r="T15" i="22"/>
  <c r="S15" i="22"/>
  <c r="R15" i="22"/>
  <c r="Q15" i="22"/>
  <c r="T14" i="22"/>
  <c r="AL21" i="22" s="1"/>
  <c r="S14" i="22"/>
  <c r="R14" i="22"/>
  <c r="Q14" i="22"/>
  <c r="AO13" i="22"/>
  <c r="AN13" i="22"/>
  <c r="AM13" i="22"/>
  <c r="T13" i="22"/>
  <c r="AL12" i="22" s="1"/>
  <c r="S13" i="22"/>
  <c r="R13" i="22"/>
  <c r="Q13" i="22"/>
  <c r="AO12" i="22"/>
  <c r="AN12" i="22"/>
  <c r="AM12" i="22"/>
  <c r="AH10" i="22"/>
  <c r="AH9" i="22"/>
  <c r="T6" i="22"/>
  <c r="S6" i="22"/>
  <c r="R6" i="22"/>
  <c r="Q6" i="22"/>
  <c r="P6" i="22"/>
  <c r="O6" i="22"/>
  <c r="N6" i="22"/>
  <c r="M6" i="22"/>
  <c r="L6" i="22"/>
  <c r="K6" i="22"/>
  <c r="J6" i="22"/>
  <c r="T5" i="22"/>
  <c r="S5" i="22"/>
  <c r="R5" i="22"/>
  <c r="Q5" i="22"/>
  <c r="P5" i="22"/>
  <c r="O5" i="22"/>
  <c r="N5" i="22"/>
  <c r="M5" i="22"/>
  <c r="L5" i="22"/>
  <c r="K5" i="22"/>
  <c r="J5" i="22"/>
  <c r="W4" i="22"/>
  <c r="V4" i="22"/>
  <c r="U4" i="22"/>
  <c r="T4" i="22"/>
  <c r="S4" i="22"/>
  <c r="R4" i="22"/>
  <c r="Q4" i="22"/>
  <c r="P4" i="22"/>
  <c r="O4" i="22"/>
  <c r="N4" i="22"/>
  <c r="M4" i="22"/>
  <c r="L4" i="22"/>
  <c r="K4" i="22"/>
  <c r="J4" i="22"/>
  <c r="G1045" i="23"/>
  <c r="F1045" i="23"/>
  <c r="E1045" i="23"/>
  <c r="D1045" i="23"/>
  <c r="C1045" i="23"/>
  <c r="B1045" i="23"/>
  <c r="G1044" i="23"/>
  <c r="F1044" i="23"/>
  <c r="E1044" i="23"/>
  <c r="D1044" i="23"/>
  <c r="C1044" i="23"/>
  <c r="B1044" i="23"/>
  <c r="G1043" i="23"/>
  <c r="F1043" i="23"/>
  <c r="E1043" i="23"/>
  <c r="D1043" i="23"/>
  <c r="C1043" i="23"/>
  <c r="B1043" i="23"/>
  <c r="G1042" i="23"/>
  <c r="F1042" i="23"/>
  <c r="E1042" i="23"/>
  <c r="D1042" i="23"/>
  <c r="C1042" i="23"/>
  <c r="B1042" i="23"/>
  <c r="G1041" i="23"/>
  <c r="F1041" i="23"/>
  <c r="E1041" i="23"/>
  <c r="D1041" i="23"/>
  <c r="C1041" i="23"/>
  <c r="B1041" i="23"/>
  <c r="G1040" i="23"/>
  <c r="F1040" i="23"/>
  <c r="E1040" i="23"/>
  <c r="D1040" i="23"/>
  <c r="C1040" i="23"/>
  <c r="B1040" i="23"/>
  <c r="G1039" i="23"/>
  <c r="F1039" i="23"/>
  <c r="E1039" i="23"/>
  <c r="D1039" i="23"/>
  <c r="C1039" i="23"/>
  <c r="B1039" i="23"/>
  <c r="G1038" i="23"/>
  <c r="F1038" i="23"/>
  <c r="E1038" i="23"/>
  <c r="D1038" i="23"/>
  <c r="C1038" i="23"/>
  <c r="B1038" i="23"/>
  <c r="G1037" i="23"/>
  <c r="F1037" i="23"/>
  <c r="E1037" i="23"/>
  <c r="D1037" i="23"/>
  <c r="C1037" i="23"/>
  <c r="B1037" i="23"/>
  <c r="G1036" i="23"/>
  <c r="F1036" i="23"/>
  <c r="E1036" i="23"/>
  <c r="D1036" i="23"/>
  <c r="C1036" i="23"/>
  <c r="B1036" i="23"/>
  <c r="G1035" i="23"/>
  <c r="F1035" i="23"/>
  <c r="E1035" i="23"/>
  <c r="D1035" i="23"/>
  <c r="C1035" i="23"/>
  <c r="B1035" i="23"/>
  <c r="G1034" i="23"/>
  <c r="F1034" i="23"/>
  <c r="E1034" i="23"/>
  <c r="D1034" i="23"/>
  <c r="C1034" i="23"/>
  <c r="B1034" i="23"/>
  <c r="G1033" i="23"/>
  <c r="F1033" i="23"/>
  <c r="E1033" i="23"/>
  <c r="D1033" i="23"/>
  <c r="C1033" i="23"/>
  <c r="B1033" i="23"/>
  <c r="G1032" i="23"/>
  <c r="F1032" i="23"/>
  <c r="E1032" i="23"/>
  <c r="D1032" i="23"/>
  <c r="C1032" i="23"/>
  <c r="B1032" i="23"/>
  <c r="G1031" i="23"/>
  <c r="F1031" i="23"/>
  <c r="E1031" i="23"/>
  <c r="D1031" i="23"/>
  <c r="C1031" i="23"/>
  <c r="B1031" i="23"/>
  <c r="G1030" i="23"/>
  <c r="F1030" i="23"/>
  <c r="E1030" i="23"/>
  <c r="D1030" i="23"/>
  <c r="C1030" i="23"/>
  <c r="B1030" i="23"/>
  <c r="G1029" i="23"/>
  <c r="F1029" i="23"/>
  <c r="E1029" i="23"/>
  <c r="D1029" i="23"/>
  <c r="C1029" i="23"/>
  <c r="B1029" i="23"/>
  <c r="G1028" i="23"/>
  <c r="F1028" i="23"/>
  <c r="E1028" i="23"/>
  <c r="D1028" i="23"/>
  <c r="C1028" i="23"/>
  <c r="B1028" i="23"/>
  <c r="G1027" i="23"/>
  <c r="F1027" i="23"/>
  <c r="E1027" i="23"/>
  <c r="D1027" i="23"/>
  <c r="C1027" i="23"/>
  <c r="B1027" i="23"/>
  <c r="G1026" i="23"/>
  <c r="F1026" i="23"/>
  <c r="E1026" i="23"/>
  <c r="D1026" i="23"/>
  <c r="C1026" i="23"/>
  <c r="B1026" i="23"/>
  <c r="G1025" i="23"/>
  <c r="F1025" i="23"/>
  <c r="E1025" i="23"/>
  <c r="D1025" i="23"/>
  <c r="C1025" i="23"/>
  <c r="B1025" i="23"/>
  <c r="G1024" i="23"/>
  <c r="F1024" i="23"/>
  <c r="E1024" i="23"/>
  <c r="D1024" i="23"/>
  <c r="C1024" i="23"/>
  <c r="B1024" i="23"/>
  <c r="G1023" i="23"/>
  <c r="F1023" i="23"/>
  <c r="E1023" i="23"/>
  <c r="D1023" i="23"/>
  <c r="C1023" i="23"/>
  <c r="B1023" i="23"/>
  <c r="G1022" i="23"/>
  <c r="F1022" i="23"/>
  <c r="E1022" i="23"/>
  <c r="D1022" i="23"/>
  <c r="C1022" i="23"/>
  <c r="B1022" i="23"/>
  <c r="G1021" i="23"/>
  <c r="F1021" i="23"/>
  <c r="E1021" i="23"/>
  <c r="D1021" i="23"/>
  <c r="C1021" i="23"/>
  <c r="B1021" i="23"/>
  <c r="G1020" i="23"/>
  <c r="F1020" i="23"/>
  <c r="E1020" i="23"/>
  <c r="D1020" i="23"/>
  <c r="C1020" i="23"/>
  <c r="B1020" i="23"/>
  <c r="G1019" i="23"/>
  <c r="F1019" i="23"/>
  <c r="E1019" i="23"/>
  <c r="D1019" i="23"/>
  <c r="C1019" i="23"/>
  <c r="B1019" i="23"/>
  <c r="G1018" i="23"/>
  <c r="F1018" i="23"/>
  <c r="E1018" i="23"/>
  <c r="D1018" i="23"/>
  <c r="C1018" i="23"/>
  <c r="B1018" i="23"/>
  <c r="G1017" i="23"/>
  <c r="F1017" i="23"/>
  <c r="E1017" i="23"/>
  <c r="D1017" i="23"/>
  <c r="C1017" i="23"/>
  <c r="B1017" i="23"/>
  <c r="G1016" i="23"/>
  <c r="F1016" i="23"/>
  <c r="E1016" i="23"/>
  <c r="D1016" i="23"/>
  <c r="C1016" i="23"/>
  <c r="B1016" i="23"/>
  <c r="G1015" i="23"/>
  <c r="F1015" i="23"/>
  <c r="E1015" i="23"/>
  <c r="D1015" i="23"/>
  <c r="C1015" i="23"/>
  <c r="B1015" i="23"/>
  <c r="G1014" i="23"/>
  <c r="F1014" i="23"/>
  <c r="E1014" i="23"/>
  <c r="D1014" i="23"/>
  <c r="C1014" i="23"/>
  <c r="B1014" i="23"/>
  <c r="G1013" i="23"/>
  <c r="F1013" i="23"/>
  <c r="E1013" i="23"/>
  <c r="D1013" i="23"/>
  <c r="C1013" i="23"/>
  <c r="B1013" i="23"/>
  <c r="G1012" i="23"/>
  <c r="F1012" i="23"/>
  <c r="E1012" i="23"/>
  <c r="D1012" i="23"/>
  <c r="C1012" i="23"/>
  <c r="B1012" i="23"/>
  <c r="G1011" i="23"/>
  <c r="F1011" i="23"/>
  <c r="E1011" i="23"/>
  <c r="D1011" i="23"/>
  <c r="C1011" i="23"/>
  <c r="B1011" i="23"/>
  <c r="G1010" i="23"/>
  <c r="F1010" i="23"/>
  <c r="E1010" i="23"/>
  <c r="D1010" i="23"/>
  <c r="C1010" i="23"/>
  <c r="B1010" i="23"/>
  <c r="G1009" i="23"/>
  <c r="F1009" i="23"/>
  <c r="E1009" i="23"/>
  <c r="D1009" i="23"/>
  <c r="C1009" i="23"/>
  <c r="B1009" i="23"/>
  <c r="G1008" i="23"/>
  <c r="F1008" i="23"/>
  <c r="E1008" i="23"/>
  <c r="D1008" i="23"/>
  <c r="C1008" i="23"/>
  <c r="B1008" i="23"/>
  <c r="G1007" i="23"/>
  <c r="F1007" i="23"/>
  <c r="E1007" i="23"/>
  <c r="D1007" i="23"/>
  <c r="C1007" i="23"/>
  <c r="B1007" i="23"/>
  <c r="G1006" i="23"/>
  <c r="F1006" i="23"/>
  <c r="E1006" i="23"/>
  <c r="D1006" i="23"/>
  <c r="C1006" i="23"/>
  <c r="B1006" i="23"/>
  <c r="G1005" i="23"/>
  <c r="F1005" i="23"/>
  <c r="E1005" i="23"/>
  <c r="D1005" i="23"/>
  <c r="C1005" i="23"/>
  <c r="B1005" i="23"/>
  <c r="G1004" i="23"/>
  <c r="F1004" i="23"/>
  <c r="E1004" i="23"/>
  <c r="D1004" i="23"/>
  <c r="C1004" i="23"/>
  <c r="B1004" i="23"/>
  <c r="G1003" i="23"/>
  <c r="F1003" i="23"/>
  <c r="E1003" i="23"/>
  <c r="D1003" i="23"/>
  <c r="C1003" i="23"/>
  <c r="B1003" i="23"/>
  <c r="G1002" i="23"/>
  <c r="F1002" i="23"/>
  <c r="E1002" i="23"/>
  <c r="D1002" i="23"/>
  <c r="C1002" i="23"/>
  <c r="B1002" i="23"/>
  <c r="G1001" i="23"/>
  <c r="F1001" i="23"/>
  <c r="E1001" i="23"/>
  <c r="D1001" i="23"/>
  <c r="C1001" i="23"/>
  <c r="B1001" i="23"/>
  <c r="G1000" i="23"/>
  <c r="F1000" i="23"/>
  <c r="E1000" i="23"/>
  <c r="D1000" i="23"/>
  <c r="C1000" i="23"/>
  <c r="B1000" i="23"/>
  <c r="G999" i="23"/>
  <c r="F999" i="23"/>
  <c r="E999" i="23"/>
  <c r="D999" i="23"/>
  <c r="C999" i="23"/>
  <c r="B999" i="23"/>
  <c r="G998" i="23"/>
  <c r="F998" i="23"/>
  <c r="E998" i="23"/>
  <c r="D998" i="23"/>
  <c r="C998" i="23"/>
  <c r="B998" i="23"/>
  <c r="G997" i="23"/>
  <c r="F997" i="23"/>
  <c r="E997" i="23"/>
  <c r="D997" i="23"/>
  <c r="C997" i="23"/>
  <c r="B997" i="23"/>
  <c r="G996" i="23"/>
  <c r="F996" i="23"/>
  <c r="E996" i="23"/>
  <c r="D996" i="23"/>
  <c r="C996" i="23"/>
  <c r="B996" i="23"/>
  <c r="G995" i="23"/>
  <c r="F995" i="23"/>
  <c r="E995" i="23"/>
  <c r="D995" i="23"/>
  <c r="C995" i="23"/>
  <c r="B995" i="23"/>
  <c r="G994" i="23"/>
  <c r="F994" i="23"/>
  <c r="E994" i="23"/>
  <c r="D994" i="23"/>
  <c r="C994" i="23"/>
  <c r="B994" i="23"/>
  <c r="G993" i="23"/>
  <c r="F993" i="23"/>
  <c r="E993" i="23"/>
  <c r="D993" i="23"/>
  <c r="C993" i="23"/>
  <c r="B993" i="23"/>
  <c r="G992" i="23"/>
  <c r="F992" i="23"/>
  <c r="E992" i="23"/>
  <c r="D992" i="23"/>
  <c r="C992" i="23"/>
  <c r="B992" i="23"/>
  <c r="G991" i="23"/>
  <c r="F991" i="23"/>
  <c r="E991" i="23"/>
  <c r="D991" i="23"/>
  <c r="C991" i="23"/>
  <c r="B991" i="23"/>
  <c r="G990" i="23"/>
  <c r="F990" i="23"/>
  <c r="E990" i="23"/>
  <c r="D990" i="23"/>
  <c r="C990" i="23"/>
  <c r="B990" i="23"/>
  <c r="G989" i="23"/>
  <c r="F989" i="23"/>
  <c r="E989" i="23"/>
  <c r="D989" i="23"/>
  <c r="C989" i="23"/>
  <c r="B989" i="23"/>
  <c r="G988" i="23"/>
  <c r="F988" i="23"/>
  <c r="E988" i="23"/>
  <c r="D988" i="23"/>
  <c r="C988" i="23"/>
  <c r="B988" i="23"/>
  <c r="G987" i="23"/>
  <c r="F987" i="23"/>
  <c r="E987" i="23"/>
  <c r="D987" i="23"/>
  <c r="C987" i="23"/>
  <c r="B987" i="23"/>
  <c r="G986" i="23"/>
  <c r="F986" i="23"/>
  <c r="E986" i="23"/>
  <c r="D986" i="23"/>
  <c r="C986" i="23"/>
  <c r="B986" i="23"/>
  <c r="G985" i="23"/>
  <c r="F985" i="23"/>
  <c r="E985" i="23"/>
  <c r="D985" i="23"/>
  <c r="C985" i="23"/>
  <c r="B985" i="23"/>
  <c r="G984" i="23"/>
  <c r="F984" i="23"/>
  <c r="E984" i="23"/>
  <c r="D984" i="23"/>
  <c r="C984" i="23"/>
  <c r="B984" i="23"/>
  <c r="G983" i="23"/>
  <c r="F983" i="23"/>
  <c r="E983" i="23"/>
  <c r="D983" i="23"/>
  <c r="C983" i="23"/>
  <c r="B983" i="23"/>
  <c r="G982" i="23"/>
  <c r="F982" i="23"/>
  <c r="E982" i="23"/>
  <c r="D982" i="23"/>
  <c r="C982" i="23"/>
  <c r="B982" i="23"/>
  <c r="G981" i="23"/>
  <c r="F981" i="23"/>
  <c r="E981" i="23"/>
  <c r="D981" i="23"/>
  <c r="C981" i="23"/>
  <c r="B981" i="23"/>
  <c r="G980" i="23"/>
  <c r="F980" i="23"/>
  <c r="E980" i="23"/>
  <c r="D980" i="23"/>
  <c r="C980" i="23"/>
  <c r="B980" i="23"/>
  <c r="G979" i="23"/>
  <c r="F979" i="23"/>
  <c r="E979" i="23"/>
  <c r="D979" i="23"/>
  <c r="C979" i="23"/>
  <c r="B979" i="23"/>
  <c r="G978" i="23"/>
  <c r="F978" i="23"/>
  <c r="E978" i="23"/>
  <c r="D978" i="23"/>
  <c r="C978" i="23"/>
  <c r="B978" i="23"/>
  <c r="G977" i="23"/>
  <c r="F977" i="23"/>
  <c r="E977" i="23"/>
  <c r="D977" i="23"/>
  <c r="C977" i="23"/>
  <c r="B977" i="23"/>
  <c r="G976" i="23"/>
  <c r="F976" i="23"/>
  <c r="E976" i="23"/>
  <c r="D976" i="23"/>
  <c r="C976" i="23"/>
  <c r="B976" i="23"/>
  <c r="G975" i="23"/>
  <c r="F975" i="23"/>
  <c r="E975" i="23"/>
  <c r="D975" i="23"/>
  <c r="C975" i="23"/>
  <c r="B975" i="23"/>
  <c r="G974" i="23"/>
  <c r="F974" i="23"/>
  <c r="E974" i="23"/>
  <c r="D974" i="23"/>
  <c r="C974" i="23"/>
  <c r="B974" i="23"/>
  <c r="G973" i="23"/>
  <c r="F973" i="23"/>
  <c r="E973" i="23"/>
  <c r="D973" i="23"/>
  <c r="C973" i="23"/>
  <c r="B973" i="23"/>
  <c r="G972" i="23"/>
  <c r="F972" i="23"/>
  <c r="E972" i="23"/>
  <c r="D972" i="23"/>
  <c r="C972" i="23"/>
  <c r="B972" i="23"/>
  <c r="G971" i="23"/>
  <c r="F971" i="23"/>
  <c r="E971" i="23"/>
  <c r="D971" i="23"/>
  <c r="C971" i="23"/>
  <c r="B971" i="23"/>
  <c r="G970" i="23"/>
  <c r="F970" i="23"/>
  <c r="E970" i="23"/>
  <c r="D970" i="23"/>
  <c r="C970" i="23"/>
  <c r="B970" i="23"/>
  <c r="G969" i="23"/>
  <c r="F969" i="23"/>
  <c r="E969" i="23"/>
  <c r="D969" i="23"/>
  <c r="C969" i="23"/>
  <c r="B969" i="23"/>
  <c r="G968" i="23"/>
  <c r="F968" i="23"/>
  <c r="E968" i="23"/>
  <c r="D968" i="23"/>
  <c r="C968" i="23"/>
  <c r="B968" i="23"/>
  <c r="G967" i="23"/>
  <c r="F967" i="23"/>
  <c r="E967" i="23"/>
  <c r="D967" i="23"/>
  <c r="C967" i="23"/>
  <c r="B967" i="23"/>
  <c r="G966" i="23"/>
  <c r="F966" i="23"/>
  <c r="E966" i="23"/>
  <c r="D966" i="23"/>
  <c r="C966" i="23"/>
  <c r="B966" i="23"/>
  <c r="G965" i="23"/>
  <c r="F965" i="23"/>
  <c r="E965" i="23"/>
  <c r="D965" i="23"/>
  <c r="C965" i="23"/>
  <c r="B965" i="23"/>
  <c r="G964" i="23"/>
  <c r="F964" i="23"/>
  <c r="E964" i="23"/>
  <c r="D964" i="23"/>
  <c r="C964" i="23"/>
  <c r="B964" i="23"/>
  <c r="G963" i="23"/>
  <c r="F963" i="23"/>
  <c r="E963" i="23"/>
  <c r="D963" i="23"/>
  <c r="C963" i="23"/>
  <c r="B963" i="23"/>
  <c r="G962" i="23"/>
  <c r="F962" i="23"/>
  <c r="E962" i="23"/>
  <c r="D962" i="23"/>
  <c r="C962" i="23"/>
  <c r="B962" i="23"/>
  <c r="G961" i="23"/>
  <c r="F961" i="23"/>
  <c r="E961" i="23"/>
  <c r="D961" i="23"/>
  <c r="C961" i="23"/>
  <c r="B961" i="23"/>
  <c r="G960" i="23"/>
  <c r="F960" i="23"/>
  <c r="E960" i="23"/>
  <c r="D960" i="23"/>
  <c r="C960" i="23"/>
  <c r="B960" i="23"/>
  <c r="G959" i="23"/>
  <c r="F959" i="23"/>
  <c r="E959" i="23"/>
  <c r="D959" i="23"/>
  <c r="C959" i="23"/>
  <c r="B959" i="23"/>
  <c r="G958" i="23"/>
  <c r="F958" i="23"/>
  <c r="E958" i="23"/>
  <c r="D958" i="23"/>
  <c r="C958" i="23"/>
  <c r="B958" i="23"/>
  <c r="G957" i="23"/>
  <c r="F957" i="23"/>
  <c r="E957" i="23"/>
  <c r="D957" i="23"/>
  <c r="C957" i="23"/>
  <c r="B957" i="23"/>
  <c r="G956" i="23"/>
  <c r="F956" i="23"/>
  <c r="E956" i="23"/>
  <c r="D956" i="23"/>
  <c r="C956" i="23"/>
  <c r="B956" i="23"/>
  <c r="G955" i="23"/>
  <c r="F955" i="23"/>
  <c r="E955" i="23"/>
  <c r="D955" i="23"/>
  <c r="C955" i="23"/>
  <c r="B955" i="23"/>
  <c r="G954" i="23"/>
  <c r="F954" i="23"/>
  <c r="E954" i="23"/>
  <c r="D954" i="23"/>
  <c r="C954" i="23"/>
  <c r="B954" i="23"/>
  <c r="G953" i="23"/>
  <c r="F953" i="23"/>
  <c r="E953" i="23"/>
  <c r="D953" i="23"/>
  <c r="C953" i="23"/>
  <c r="B953" i="23"/>
  <c r="G952" i="23"/>
  <c r="F952" i="23"/>
  <c r="E952" i="23"/>
  <c r="D952" i="23"/>
  <c r="C952" i="23"/>
  <c r="B952" i="23"/>
  <c r="G951" i="23"/>
  <c r="F951" i="23"/>
  <c r="E951" i="23"/>
  <c r="D951" i="23"/>
  <c r="C951" i="23"/>
  <c r="B951" i="23"/>
  <c r="G950" i="23"/>
  <c r="F950" i="23"/>
  <c r="E950" i="23"/>
  <c r="D950" i="23"/>
  <c r="C950" i="23"/>
  <c r="B950" i="23"/>
  <c r="G949" i="23"/>
  <c r="F949" i="23"/>
  <c r="E949" i="23"/>
  <c r="D949" i="23"/>
  <c r="C949" i="23"/>
  <c r="B949" i="23"/>
  <c r="G948" i="23"/>
  <c r="F948" i="23"/>
  <c r="E948" i="23"/>
  <c r="D948" i="23"/>
  <c r="C948" i="23"/>
  <c r="B948" i="23"/>
  <c r="G947" i="23"/>
  <c r="F947" i="23"/>
  <c r="E947" i="23"/>
  <c r="D947" i="23"/>
  <c r="C947" i="23"/>
  <c r="B947" i="23"/>
  <c r="G946" i="23"/>
  <c r="F946" i="23"/>
  <c r="E946" i="23"/>
  <c r="D946" i="23"/>
  <c r="C946" i="23"/>
  <c r="B946" i="23"/>
  <c r="G945" i="23"/>
  <c r="F945" i="23"/>
  <c r="E945" i="23"/>
  <c r="D945" i="23"/>
  <c r="C945" i="23"/>
  <c r="B945" i="23"/>
  <c r="G944" i="23"/>
  <c r="F944" i="23"/>
  <c r="E944" i="23"/>
  <c r="D944" i="23"/>
  <c r="C944" i="23"/>
  <c r="B944" i="23"/>
  <c r="G943" i="23"/>
  <c r="F943" i="23"/>
  <c r="E943" i="23"/>
  <c r="D943" i="23"/>
  <c r="C943" i="23"/>
  <c r="B943" i="23"/>
  <c r="G942" i="23"/>
  <c r="F942" i="23"/>
  <c r="E942" i="23"/>
  <c r="D942" i="23"/>
  <c r="C942" i="23"/>
  <c r="B942" i="23"/>
  <c r="G941" i="23"/>
  <c r="F941" i="23"/>
  <c r="E941" i="23"/>
  <c r="D941" i="23"/>
  <c r="C941" i="23"/>
  <c r="B941" i="23"/>
  <c r="G940" i="23"/>
  <c r="F940" i="23"/>
  <c r="E940" i="23"/>
  <c r="D940" i="23"/>
  <c r="C940" i="23"/>
  <c r="B940" i="23"/>
  <c r="G939" i="23"/>
  <c r="F939" i="23"/>
  <c r="E939" i="23"/>
  <c r="D939" i="23"/>
  <c r="C939" i="23"/>
  <c r="B939" i="23"/>
  <c r="G938" i="23"/>
  <c r="F938" i="23"/>
  <c r="E938" i="23"/>
  <c r="D938" i="23"/>
  <c r="C938" i="23"/>
  <c r="B938" i="23"/>
  <c r="G937" i="23"/>
  <c r="F937" i="23"/>
  <c r="E937" i="23"/>
  <c r="D937" i="23"/>
  <c r="C937" i="23"/>
  <c r="B937" i="23"/>
  <c r="G936" i="23"/>
  <c r="F936" i="23"/>
  <c r="E936" i="23"/>
  <c r="D936" i="23"/>
  <c r="C936" i="23"/>
  <c r="B936" i="23"/>
  <c r="G935" i="23"/>
  <c r="F935" i="23"/>
  <c r="E935" i="23"/>
  <c r="D935" i="23"/>
  <c r="C935" i="23"/>
  <c r="B935" i="23"/>
  <c r="G934" i="23"/>
  <c r="F934" i="23"/>
  <c r="E934" i="23"/>
  <c r="D934" i="23"/>
  <c r="C934" i="23"/>
  <c r="B934" i="23"/>
  <c r="G933" i="23"/>
  <c r="F933" i="23"/>
  <c r="E933" i="23"/>
  <c r="D933" i="23"/>
  <c r="C933" i="23"/>
  <c r="B933" i="23"/>
  <c r="G932" i="23"/>
  <c r="F932" i="23"/>
  <c r="E932" i="23"/>
  <c r="D932" i="23"/>
  <c r="C932" i="23"/>
  <c r="B932" i="23"/>
  <c r="G931" i="23"/>
  <c r="F931" i="23"/>
  <c r="E931" i="23"/>
  <c r="D931" i="23"/>
  <c r="C931" i="23"/>
  <c r="B931" i="23"/>
  <c r="G930" i="23"/>
  <c r="F930" i="23"/>
  <c r="E930" i="23"/>
  <c r="D930" i="23"/>
  <c r="C930" i="23"/>
  <c r="B930" i="23"/>
  <c r="G929" i="23"/>
  <c r="F929" i="23"/>
  <c r="E929" i="23"/>
  <c r="D929" i="23"/>
  <c r="C929" i="23"/>
  <c r="B929" i="23"/>
  <c r="G928" i="23"/>
  <c r="F928" i="23"/>
  <c r="E928" i="23"/>
  <c r="D928" i="23"/>
  <c r="C928" i="23"/>
  <c r="B928" i="23"/>
  <c r="G927" i="23"/>
  <c r="F927" i="23"/>
  <c r="E927" i="23"/>
  <c r="D927" i="23"/>
  <c r="C927" i="23"/>
  <c r="B927" i="23"/>
  <c r="G926" i="23"/>
  <c r="F926" i="23"/>
  <c r="E926" i="23"/>
  <c r="D926" i="23"/>
  <c r="C926" i="23"/>
  <c r="B926" i="23"/>
  <c r="G925" i="23"/>
  <c r="F925" i="23"/>
  <c r="E925" i="23"/>
  <c r="D925" i="23"/>
  <c r="C925" i="23"/>
  <c r="B925" i="23"/>
  <c r="G924" i="23"/>
  <c r="F924" i="23"/>
  <c r="E924" i="23"/>
  <c r="D924" i="23"/>
  <c r="C924" i="23"/>
  <c r="B924" i="23"/>
  <c r="AS923" i="23"/>
  <c r="AS924" i="23" s="1"/>
  <c r="G923" i="23"/>
  <c r="F923" i="23"/>
  <c r="E923" i="23"/>
  <c r="D923" i="23"/>
  <c r="C923" i="23"/>
  <c r="B923" i="23"/>
  <c r="G922" i="23"/>
  <c r="F922" i="23"/>
  <c r="E922" i="23"/>
  <c r="D922" i="23"/>
  <c r="C922" i="23"/>
  <c r="B922" i="23"/>
  <c r="G921" i="23"/>
  <c r="F921" i="23"/>
  <c r="E921" i="23"/>
  <c r="D921" i="23"/>
  <c r="C921" i="23"/>
  <c r="B921" i="23"/>
  <c r="AR920" i="23"/>
  <c r="AQ920" i="23"/>
  <c r="AP920" i="23"/>
  <c r="G920" i="23"/>
  <c r="F920" i="23"/>
  <c r="E920" i="23"/>
  <c r="D920" i="23"/>
  <c r="C920" i="23"/>
  <c r="B920" i="23"/>
  <c r="G919" i="23"/>
  <c r="F919" i="23"/>
  <c r="E919" i="23"/>
  <c r="D919" i="23"/>
  <c r="C919" i="23"/>
  <c r="B919" i="23"/>
  <c r="G918" i="23"/>
  <c r="F918" i="23"/>
  <c r="E918" i="23"/>
  <c r="D918" i="23"/>
  <c r="C918" i="23"/>
  <c r="B918" i="23"/>
  <c r="AR917" i="23"/>
  <c r="AQ917" i="23"/>
  <c r="AP917" i="23"/>
  <c r="G917" i="23"/>
  <c r="F917" i="23"/>
  <c r="E917" i="23"/>
  <c r="D917" i="23"/>
  <c r="C917" i="23"/>
  <c r="B917" i="23"/>
  <c r="AK38" i="22" l="1"/>
  <c r="AI38" i="22"/>
  <c r="AO917" i="23"/>
  <c r="AJ38" i="22"/>
  <c r="AJ20" i="22"/>
  <c r="AI48" i="22"/>
  <c r="AJ26" i="22"/>
  <c r="AK43" i="22"/>
  <c r="AN917" i="23"/>
  <c r="AJ19" i="22"/>
  <c r="AN918" i="23"/>
  <c r="AK67" i="22"/>
  <c r="AL29" i="22"/>
  <c r="AN49" i="22"/>
  <c r="AJ43" i="22"/>
  <c r="X37" i="22"/>
  <c r="AP44" i="22" s="1"/>
  <c r="AP75" i="22"/>
  <c r="AJ68" i="22"/>
  <c r="AN31" i="22"/>
  <c r="AP30" i="22"/>
  <c r="AP54" i="22"/>
  <c r="AI68" i="22"/>
  <c r="AK44" i="22"/>
  <c r="AJ46" i="22"/>
  <c r="AK47" i="22"/>
  <c r="AK52" i="22"/>
  <c r="AK65" i="22"/>
  <c r="AK35" i="22"/>
  <c r="X69" i="22"/>
  <c r="X70" i="22"/>
  <c r="X22" i="22"/>
  <c r="AP35" i="22" s="1"/>
  <c r="X23" i="22"/>
  <c r="AP36" i="22" s="1"/>
  <c r="AI46" i="22"/>
  <c r="AP61" i="22"/>
  <c r="AP63" i="22"/>
  <c r="X65" i="22"/>
  <c r="X66" i="22"/>
  <c r="AP85" i="22"/>
  <c r="AJ34" i="22"/>
  <c r="AK13" i="22"/>
  <c r="X71" i="22"/>
  <c r="AM31" i="22"/>
  <c r="AK46" i="22"/>
  <c r="AJ47" i="22"/>
  <c r="AI47" i="22" s="1"/>
  <c r="X44" i="22"/>
  <c r="X45" i="22"/>
  <c r="AL16" i="22"/>
  <c r="AO31" i="22"/>
  <c r="AK18" i="22"/>
  <c r="AJ18" i="22" s="1"/>
  <c r="AI18" i="22" s="1"/>
  <c r="AK23" i="22"/>
  <c r="AJ23" i="22" s="1"/>
  <c r="AI23" i="22" s="1"/>
  <c r="AI19" i="22"/>
  <c r="AK24" i="22"/>
  <c r="AJ24" i="22" s="1"/>
  <c r="AI24" i="22" s="1"/>
  <c r="AI36" i="22"/>
  <c r="AK39" i="22"/>
  <c r="AJ39" i="22" s="1"/>
  <c r="AI39" i="22" s="1"/>
  <c r="X39" i="22" s="1"/>
  <c r="AK40" i="22"/>
  <c r="AJ40" i="22" s="1"/>
  <c r="AI40" i="22" s="1"/>
  <c r="AJ29" i="22"/>
  <c r="AO49" i="22"/>
  <c r="X36" i="22"/>
  <c r="AP43" i="22" s="1"/>
  <c r="AI44" i="22"/>
  <c r="X42" i="22"/>
  <c r="AP52" i="22" s="1"/>
  <c r="AL42" i="22"/>
  <c r="AL13" i="22"/>
  <c r="X77" i="22"/>
  <c r="X15" i="22"/>
  <c r="AP17" i="22" s="1"/>
  <c r="X16" i="22"/>
  <c r="AP22" i="22" s="1"/>
  <c r="AI16" i="22"/>
  <c r="X17" i="22"/>
  <c r="AP18" i="22" s="1"/>
  <c r="AI17" i="22"/>
  <c r="X18" i="22"/>
  <c r="AP23" i="22" s="1"/>
  <c r="AK37" i="22"/>
  <c r="AJ37" i="22" s="1"/>
  <c r="AI37" i="22" s="1"/>
  <c r="X26" i="22"/>
  <c r="AK27" i="22"/>
  <c r="AJ27" i="22" s="1"/>
  <c r="X28" i="22"/>
  <c r="AP40" i="22" s="1"/>
  <c r="AK28" i="22"/>
  <c r="AJ28" i="22" s="1"/>
  <c r="AI28" i="22" s="1"/>
  <c r="X29" i="22"/>
  <c r="AP48" i="22" s="1"/>
  <c r="X30" i="22"/>
  <c r="AP26" i="22" s="1"/>
  <c r="AK45" i="22"/>
  <c r="AJ45" i="22" s="1"/>
  <c r="X40" i="22"/>
  <c r="AI52" i="22"/>
  <c r="X52" i="22" s="1"/>
  <c r="AJ56" i="22"/>
  <c r="AI56" i="22" s="1"/>
  <c r="X56" i="22" s="1"/>
  <c r="X50" i="22"/>
  <c r="X51" i="22"/>
  <c r="AI13" i="22"/>
  <c r="AP57" i="22"/>
  <c r="X58" i="22"/>
  <c r="AI67" i="22"/>
  <c r="X60" i="22"/>
  <c r="AP60" i="22"/>
  <c r="X61" i="22"/>
  <c r="X78" i="22"/>
  <c r="AK20" i="22"/>
  <c r="AK22" i="22"/>
  <c r="AK12" i="22"/>
  <c r="AJ12" i="22" s="1"/>
  <c r="AI12" i="22" s="1"/>
  <c r="AP12" i="22" s="1"/>
  <c r="AK21" i="22"/>
  <c r="AJ21" i="22" s="1"/>
  <c r="AI21" i="22" s="1"/>
  <c r="AJ16" i="22"/>
  <c r="AJ35" i="22"/>
  <c r="AI35" i="22" s="1"/>
  <c r="AL26" i="22"/>
  <c r="AM49" i="22"/>
  <c r="AM89" i="22" s="1"/>
  <c r="AJ13" i="22"/>
  <c r="X54" i="22"/>
  <c r="AP55" i="22"/>
  <c r="X62" i="22"/>
  <c r="AP62" i="22"/>
  <c r="X72" i="22"/>
  <c r="X73" i="22"/>
  <c r="AK16" i="22"/>
  <c r="X34" i="22"/>
  <c r="AP59" i="22"/>
  <c r="AJ65" i="22"/>
  <c r="AP74" i="22"/>
  <c r="X13" i="22"/>
  <c r="X14" i="22"/>
  <c r="AL17" i="22"/>
  <c r="AK17" i="22" s="1"/>
  <c r="AJ17" i="22" s="1"/>
  <c r="X20" i="22"/>
  <c r="AP24" i="22" s="1"/>
  <c r="AL20" i="22"/>
  <c r="X21" i="22"/>
  <c r="AP34" i="22" s="1"/>
  <c r="AI26" i="22"/>
  <c r="X27" i="22"/>
  <c r="AP39" i="22" s="1"/>
  <c r="X38" i="22"/>
  <c r="AP45" i="22" s="1"/>
  <c r="AL38" i="22"/>
  <c r="AI42" i="22"/>
  <c r="X49" i="22"/>
  <c r="X64" i="22"/>
  <c r="AP66" i="22"/>
  <c r="X67" i="22"/>
  <c r="AP81" i="22"/>
  <c r="AP86" i="22"/>
  <c r="X75" i="22"/>
  <c r="AI20" i="22"/>
  <c r="X24" i="22"/>
  <c r="AP37" i="22" s="1"/>
  <c r="AI27" i="22"/>
  <c r="X32" i="22"/>
  <c r="AP28" i="22" s="1"/>
  <c r="X33" i="22"/>
  <c r="AP29" i="22" s="1"/>
  <c r="AI45" i="22"/>
  <c r="X47" i="22"/>
  <c r="AL48" i="22"/>
  <c r="AP73" i="22"/>
  <c r="X74" i="22"/>
  <c r="X76" i="22"/>
  <c r="AJ22" i="22"/>
  <c r="AI22" i="22" s="1"/>
  <c r="X35" i="22"/>
  <c r="AP42" i="22" s="1"/>
  <c r="AL36" i="22"/>
  <c r="AK36" i="22" s="1"/>
  <c r="X19" i="22"/>
  <c r="X25" i="22"/>
  <c r="X41" i="22"/>
  <c r="AP47" i="22" s="1"/>
  <c r="X43" i="22"/>
  <c r="X46" i="22"/>
  <c r="AL46" i="22"/>
  <c r="X48" i="22"/>
  <c r="AP58" i="22"/>
  <c r="X59" i="22"/>
  <c r="X63" i="22"/>
  <c r="X68" i="22"/>
  <c r="AN920" i="23"/>
  <c r="AO920" i="23"/>
  <c r="AN919" i="23"/>
  <c r="AO919" i="23"/>
  <c r="AO916" i="23"/>
  <c r="AN916" i="23" s="1"/>
  <c r="AS916" i="23" s="1"/>
  <c r="G916" i="23"/>
  <c r="F916" i="23"/>
  <c r="E916" i="23"/>
  <c r="D916" i="23"/>
  <c r="C916" i="23"/>
  <c r="B916" i="23"/>
  <c r="AR915" i="23"/>
  <c r="AQ915" i="23"/>
  <c r="AP915" i="23"/>
  <c r="AO915" i="23"/>
  <c r="AN915" i="23" s="1"/>
  <c r="G915" i="23"/>
  <c r="F915" i="23"/>
  <c r="E915" i="23"/>
  <c r="D915" i="23"/>
  <c r="C915" i="23"/>
  <c r="B915" i="23"/>
  <c r="AS914" i="23"/>
  <c r="G914" i="23"/>
  <c r="F914" i="23"/>
  <c r="E914" i="23"/>
  <c r="D914" i="23"/>
  <c r="C914" i="23"/>
  <c r="B914" i="23"/>
  <c r="AO913" i="23"/>
  <c r="AN913" i="23"/>
  <c r="V913" i="23"/>
  <c r="U913" i="23"/>
  <c r="T913" i="23"/>
  <c r="S913" i="23"/>
  <c r="R913" i="23"/>
  <c r="G913" i="23"/>
  <c r="F913" i="23"/>
  <c r="E913" i="23"/>
  <c r="D913" i="23"/>
  <c r="C913" i="23"/>
  <c r="B913" i="23"/>
  <c r="AO912" i="23"/>
  <c r="AN912" i="23"/>
  <c r="V912" i="23"/>
  <c r="U912" i="23"/>
  <c r="T912" i="23"/>
  <c r="S912" i="23"/>
  <c r="R912" i="23"/>
  <c r="G912" i="23"/>
  <c r="F912" i="23"/>
  <c r="E912" i="23"/>
  <c r="D912" i="23"/>
  <c r="C912" i="23"/>
  <c r="B912" i="23"/>
  <c r="V911" i="23"/>
  <c r="U911" i="23"/>
  <c r="T911" i="23"/>
  <c r="S911" i="23"/>
  <c r="R911" i="23"/>
  <c r="G911" i="23"/>
  <c r="F911" i="23"/>
  <c r="E911" i="23"/>
  <c r="D911" i="23"/>
  <c r="C911" i="23"/>
  <c r="B911" i="23"/>
  <c r="AR910" i="23"/>
  <c r="AQ910" i="23"/>
  <c r="AP910" i="23"/>
  <c r="V910" i="23"/>
  <c r="U910" i="23"/>
  <c r="T910" i="23"/>
  <c r="S910" i="23"/>
  <c r="R910" i="23"/>
  <c r="G910" i="23"/>
  <c r="F910" i="23"/>
  <c r="E910" i="23"/>
  <c r="D910" i="23"/>
  <c r="C910" i="23"/>
  <c r="B910" i="23"/>
  <c r="V909" i="23"/>
  <c r="U909" i="23"/>
  <c r="T909" i="23"/>
  <c r="S909" i="23"/>
  <c r="R909" i="23"/>
  <c r="G909" i="23"/>
  <c r="F909" i="23"/>
  <c r="E909" i="23"/>
  <c r="D909" i="23"/>
  <c r="C909" i="23"/>
  <c r="B909" i="23"/>
  <c r="AR908" i="23"/>
  <c r="AQ908" i="23"/>
  <c r="AP908" i="23"/>
  <c r="V908" i="23"/>
  <c r="U908" i="23"/>
  <c r="T908" i="23"/>
  <c r="S908" i="23"/>
  <c r="R908" i="23"/>
  <c r="G908" i="23"/>
  <c r="F908" i="23"/>
  <c r="E908" i="23"/>
  <c r="D908" i="23"/>
  <c r="C908" i="23"/>
  <c r="B908" i="23"/>
  <c r="V907" i="23"/>
  <c r="U907" i="23" s="1"/>
  <c r="T907" i="23" s="1"/>
  <c r="S907" i="23" s="1"/>
  <c r="R907" i="23" s="1"/>
  <c r="G907" i="23"/>
  <c r="F907" i="23"/>
  <c r="E907" i="23"/>
  <c r="D907" i="23"/>
  <c r="C907" i="23"/>
  <c r="B907" i="23"/>
  <c r="AR906" i="23"/>
  <c r="AQ906" i="23"/>
  <c r="AP906" i="23"/>
  <c r="V906" i="23"/>
  <c r="U906" i="23"/>
  <c r="T906" i="23" s="1"/>
  <c r="S906" i="23"/>
  <c r="R906" i="23"/>
  <c r="G906" i="23"/>
  <c r="F906" i="23"/>
  <c r="E906" i="23"/>
  <c r="D906" i="23"/>
  <c r="C906" i="23"/>
  <c r="B906" i="23"/>
  <c r="V905" i="23"/>
  <c r="U905" i="23"/>
  <c r="T905" i="23"/>
  <c r="S905" i="23"/>
  <c r="R905" i="23"/>
  <c r="G905" i="23"/>
  <c r="F905" i="23"/>
  <c r="E905" i="23"/>
  <c r="D905" i="23"/>
  <c r="C905" i="23"/>
  <c r="B905" i="23"/>
  <c r="AR904" i="23"/>
  <c r="AQ904" i="23"/>
  <c r="AP904" i="23"/>
  <c r="V904" i="23"/>
  <c r="U904" i="23"/>
  <c r="T904" i="23"/>
  <c r="S904" i="23"/>
  <c r="R904" i="23"/>
  <c r="G904" i="23"/>
  <c r="F904" i="23"/>
  <c r="E904" i="23"/>
  <c r="D904" i="23"/>
  <c r="C904" i="23"/>
  <c r="B904" i="23"/>
  <c r="V903" i="23"/>
  <c r="U903" i="23"/>
  <c r="T903" i="23"/>
  <c r="S903" i="23"/>
  <c r="R903" i="23"/>
  <c r="G903" i="23"/>
  <c r="F903" i="23"/>
  <c r="E903" i="23"/>
  <c r="D903" i="23"/>
  <c r="C903" i="23"/>
  <c r="B903" i="23"/>
  <c r="AR902" i="23"/>
  <c r="AQ902" i="23"/>
  <c r="AP902" i="23"/>
  <c r="V902" i="23"/>
  <c r="U902" i="23"/>
  <c r="T902" i="23"/>
  <c r="S902" i="23"/>
  <c r="R902" i="23"/>
  <c r="G902" i="23"/>
  <c r="F902" i="23"/>
  <c r="E902" i="23"/>
  <c r="D902" i="23"/>
  <c r="C902" i="23"/>
  <c r="B902" i="23"/>
  <c r="V901" i="23"/>
  <c r="U901" i="23"/>
  <c r="T901" i="23"/>
  <c r="S901" i="23"/>
  <c r="R901" i="23"/>
  <c r="G901" i="23"/>
  <c r="F901" i="23"/>
  <c r="E901" i="23"/>
  <c r="D901" i="23"/>
  <c r="C901" i="23"/>
  <c r="B901" i="23"/>
  <c r="AO900" i="23"/>
  <c r="AN900" i="23" s="1"/>
  <c r="AM900" i="23" s="1"/>
  <c r="AL900" i="23"/>
  <c r="AK900" i="23" s="1"/>
  <c r="V900" i="23"/>
  <c r="U900" i="23"/>
  <c r="T900" i="23"/>
  <c r="S900" i="23"/>
  <c r="R900" i="23"/>
  <c r="G900" i="23"/>
  <c r="F900" i="23"/>
  <c r="E900" i="23"/>
  <c r="D900" i="23"/>
  <c r="C900" i="23"/>
  <c r="B900" i="23"/>
  <c r="AO899" i="23"/>
  <c r="AN899" i="23"/>
  <c r="AM899" i="23"/>
  <c r="AL899" i="23"/>
  <c r="AK899" i="23"/>
  <c r="V899" i="23"/>
  <c r="U899" i="23"/>
  <c r="T899" i="23"/>
  <c r="S899" i="23"/>
  <c r="R899" i="23"/>
  <c r="AK903" i="23" s="1"/>
  <c r="G899" i="23"/>
  <c r="F899" i="23"/>
  <c r="E899" i="23"/>
  <c r="D899" i="23"/>
  <c r="C899" i="23"/>
  <c r="B899" i="23"/>
  <c r="AO898" i="23"/>
  <c r="AN898" i="23"/>
  <c r="AM898" i="23"/>
  <c r="AL898" i="23"/>
  <c r="AK898" i="23"/>
  <c r="V898" i="23"/>
  <c r="U898" i="23"/>
  <c r="T898" i="23"/>
  <c r="S898" i="23"/>
  <c r="R898" i="23"/>
  <c r="G898" i="23"/>
  <c r="F898" i="23"/>
  <c r="E898" i="23"/>
  <c r="D898" i="23"/>
  <c r="C898" i="23"/>
  <c r="B898" i="23"/>
  <c r="AO897" i="23"/>
  <c r="AN897" i="23"/>
  <c r="AM897" i="23"/>
  <c r="AL897" i="23"/>
  <c r="AK897" i="23"/>
  <c r="V897" i="23"/>
  <c r="U897" i="23"/>
  <c r="T897" i="23"/>
  <c r="S897" i="23"/>
  <c r="R897" i="23"/>
  <c r="G897" i="23"/>
  <c r="F897" i="23"/>
  <c r="E897" i="23"/>
  <c r="D897" i="23"/>
  <c r="C897" i="23"/>
  <c r="B897" i="23"/>
  <c r="V896" i="23"/>
  <c r="U896" i="23"/>
  <c r="T896" i="23"/>
  <c r="S896" i="23"/>
  <c r="R896" i="23"/>
  <c r="G896" i="23"/>
  <c r="F896" i="23"/>
  <c r="E896" i="23"/>
  <c r="D896" i="23"/>
  <c r="C896" i="23"/>
  <c r="B896" i="23"/>
  <c r="AR895" i="23"/>
  <c r="AQ895" i="23"/>
  <c r="AP895" i="23"/>
  <c r="AO895" i="23"/>
  <c r="AN895" i="23"/>
  <c r="AM895" i="23" s="1"/>
  <c r="AL895" i="23" s="1"/>
  <c r="AK895" i="23" s="1"/>
  <c r="V895" i="23"/>
  <c r="U895" i="23"/>
  <c r="T895" i="23"/>
  <c r="S895" i="23"/>
  <c r="R895" i="23"/>
  <c r="G895" i="23"/>
  <c r="F895" i="23"/>
  <c r="E895" i="23"/>
  <c r="D895" i="23"/>
  <c r="C895" i="23"/>
  <c r="B895" i="23"/>
  <c r="AL894" i="23"/>
  <c r="AK894" i="23" s="1"/>
  <c r="V894" i="23"/>
  <c r="U894" i="23"/>
  <c r="T894" i="23"/>
  <c r="S894" i="23"/>
  <c r="R894" i="23"/>
  <c r="G894" i="23"/>
  <c r="F894" i="23"/>
  <c r="E894" i="23"/>
  <c r="D894" i="23"/>
  <c r="C894" i="23"/>
  <c r="B894" i="23"/>
  <c r="AR893" i="23"/>
  <c r="AQ893" i="23"/>
  <c r="AP893" i="23"/>
  <c r="V893" i="23"/>
  <c r="U893" i="23"/>
  <c r="T893" i="23"/>
  <c r="S893" i="23"/>
  <c r="R893" i="23"/>
  <c r="G893" i="23"/>
  <c r="F893" i="23"/>
  <c r="E893" i="23"/>
  <c r="D893" i="23"/>
  <c r="C893" i="23"/>
  <c r="B893" i="23"/>
  <c r="AR892" i="23"/>
  <c r="AQ892" i="23"/>
  <c r="AP892" i="23"/>
  <c r="AO892" i="23" s="1"/>
  <c r="AN892" i="23" s="1"/>
  <c r="AM892" i="23" s="1"/>
  <c r="AL892" i="23" s="1"/>
  <c r="AK892" i="23" s="1"/>
  <c r="V892" i="23"/>
  <c r="U892" i="23"/>
  <c r="T892" i="23"/>
  <c r="S892" i="23"/>
  <c r="R892" i="23"/>
  <c r="G892" i="23"/>
  <c r="F892" i="23"/>
  <c r="E892" i="23"/>
  <c r="D892" i="23"/>
  <c r="C892" i="23"/>
  <c r="B892" i="23"/>
  <c r="AR891" i="23"/>
  <c r="AQ891" i="23"/>
  <c r="AP891" i="23"/>
  <c r="AO891" i="23"/>
  <c r="AN891" i="23" s="1"/>
  <c r="AM891" i="23" s="1"/>
  <c r="AL891" i="23" s="1"/>
  <c r="AK891" i="23" s="1"/>
  <c r="V891" i="23"/>
  <c r="U891" i="23"/>
  <c r="T891" i="23"/>
  <c r="S891" i="23"/>
  <c r="R891" i="23"/>
  <c r="G891" i="23"/>
  <c r="F891" i="23"/>
  <c r="V877" i="23" s="1"/>
  <c r="E891" i="23"/>
  <c r="U877" i="23" s="1"/>
  <c r="D891" i="23"/>
  <c r="T877" i="23" s="1"/>
  <c r="C891" i="23"/>
  <c r="S877" i="23" s="1"/>
  <c r="B891" i="23"/>
  <c r="R877" i="23" s="1"/>
  <c r="Z890" i="23"/>
  <c r="G890" i="23"/>
  <c r="F890" i="23"/>
  <c r="V850" i="23" s="1"/>
  <c r="E890" i="23"/>
  <c r="U850" i="23" s="1"/>
  <c r="D890" i="23"/>
  <c r="T850" i="23" s="1"/>
  <c r="C890" i="23"/>
  <c r="S850" i="23" s="1"/>
  <c r="AL854" i="23" s="1"/>
  <c r="B890" i="23"/>
  <c r="R850" i="23" s="1"/>
  <c r="AR889" i="23"/>
  <c r="AQ889" i="23"/>
  <c r="AP889" i="23"/>
  <c r="V889" i="23"/>
  <c r="U889" i="23"/>
  <c r="T889" i="23"/>
  <c r="S889" i="23"/>
  <c r="R889" i="23"/>
  <c r="G889" i="23"/>
  <c r="F889" i="23"/>
  <c r="V849" i="23" s="1"/>
  <c r="E889" i="23"/>
  <c r="U849" i="23" s="1"/>
  <c r="D889" i="23"/>
  <c r="T849" i="23" s="1"/>
  <c r="C889" i="23"/>
  <c r="S849" i="23" s="1"/>
  <c r="B889" i="23"/>
  <c r="R849" i="23" s="1"/>
  <c r="V888" i="23"/>
  <c r="U888" i="23"/>
  <c r="T888" i="23"/>
  <c r="S888" i="23"/>
  <c r="R888" i="23"/>
  <c r="G888" i="23"/>
  <c r="F888" i="23"/>
  <c r="V865" i="23" s="1"/>
  <c r="E888" i="23"/>
  <c r="U865" i="23" s="1"/>
  <c r="AN863" i="23" s="1"/>
  <c r="D888" i="23"/>
  <c r="T865" i="23" s="1"/>
  <c r="C888" i="23"/>
  <c r="S865" i="23" s="1"/>
  <c r="B888" i="23"/>
  <c r="R865" i="23" s="1"/>
  <c r="V887" i="23"/>
  <c r="U887" i="23"/>
  <c r="T887" i="23"/>
  <c r="S887" i="23"/>
  <c r="R887" i="23"/>
  <c r="G887" i="23"/>
  <c r="F887" i="23"/>
  <c r="V866" i="23" s="1"/>
  <c r="E887" i="23"/>
  <c r="U866" i="23" s="1"/>
  <c r="D887" i="23"/>
  <c r="T866" i="23" s="1"/>
  <c r="C887" i="23"/>
  <c r="S866" i="23" s="1"/>
  <c r="B887" i="23"/>
  <c r="R866" i="23" s="1"/>
  <c r="V886" i="23"/>
  <c r="U886" i="23"/>
  <c r="T886" i="23"/>
  <c r="S886" i="23"/>
  <c r="R886" i="23"/>
  <c r="G886" i="23"/>
  <c r="F886" i="23"/>
  <c r="V852" i="23" s="1"/>
  <c r="E886" i="23"/>
  <c r="U852" i="23" s="1"/>
  <c r="D886" i="23"/>
  <c r="T852" i="23" s="1"/>
  <c r="C886" i="23"/>
  <c r="S852" i="23" s="1"/>
  <c r="B886" i="23"/>
  <c r="R852" i="23" s="1"/>
  <c r="AR885" i="23"/>
  <c r="AQ885" i="23"/>
  <c r="AP885" i="23"/>
  <c r="V885" i="23"/>
  <c r="U885" i="23"/>
  <c r="T885" i="23"/>
  <c r="S885" i="23"/>
  <c r="R885" i="23"/>
  <c r="G885" i="23"/>
  <c r="F885" i="23"/>
  <c r="V851" i="23" s="1"/>
  <c r="AO859" i="23" s="1"/>
  <c r="E885" i="23"/>
  <c r="U851" i="23" s="1"/>
  <c r="D885" i="23"/>
  <c r="T851" i="23" s="1"/>
  <c r="C885" i="23"/>
  <c r="S851" i="23" s="1"/>
  <c r="B885" i="23"/>
  <c r="R851" i="23" s="1"/>
  <c r="AK859" i="23" s="1"/>
  <c r="AR884" i="23"/>
  <c r="AQ884" i="23"/>
  <c r="AP884" i="23"/>
  <c r="V884" i="23"/>
  <c r="U884" i="23"/>
  <c r="T884" i="23"/>
  <c r="S884" i="23"/>
  <c r="R884" i="23"/>
  <c r="G884" i="23"/>
  <c r="F884" i="23"/>
  <c r="V867" i="23" s="1"/>
  <c r="E884" i="23"/>
  <c r="U867" i="23" s="1"/>
  <c r="D884" i="23"/>
  <c r="T867" i="23" s="1"/>
  <c r="C884" i="23"/>
  <c r="S867" i="23" s="1"/>
  <c r="B884" i="23"/>
  <c r="AR883" i="23"/>
  <c r="AQ883" i="23"/>
  <c r="AP883" i="23"/>
  <c r="V883" i="23"/>
  <c r="U883" i="23"/>
  <c r="T883" i="23"/>
  <c r="S883" i="23"/>
  <c r="R883" i="23"/>
  <c r="G883" i="23"/>
  <c r="F883" i="23"/>
  <c r="V854" i="23" s="1"/>
  <c r="E883" i="23"/>
  <c r="U854" i="23" s="1"/>
  <c r="D883" i="23"/>
  <c r="T854" i="23" s="1"/>
  <c r="AM856" i="23" s="1"/>
  <c r="C883" i="23"/>
  <c r="S854" i="23" s="1"/>
  <c r="B883" i="23"/>
  <c r="R854" i="23" s="1"/>
  <c r="AR882" i="23"/>
  <c r="AQ882" i="23"/>
  <c r="AP882" i="23"/>
  <c r="U882" i="23"/>
  <c r="T882" i="23"/>
  <c r="S882" i="23" s="1"/>
  <c r="R882" i="23" s="1"/>
  <c r="G882" i="23"/>
  <c r="F882" i="23"/>
  <c r="V853" i="23" s="1"/>
  <c r="E882" i="23"/>
  <c r="U853" i="23" s="1"/>
  <c r="D882" i="23"/>
  <c r="T853" i="23" s="1"/>
  <c r="AM860" i="23" s="1"/>
  <c r="C882" i="23"/>
  <c r="S853" i="23" s="1"/>
  <c r="AL860" i="23" s="1"/>
  <c r="B882" i="23"/>
  <c r="R853" i="23" s="1"/>
  <c r="AR881" i="23"/>
  <c r="AQ881" i="23"/>
  <c r="AP881" i="23"/>
  <c r="V881" i="23"/>
  <c r="U881" i="23"/>
  <c r="T881" i="23"/>
  <c r="S881" i="23"/>
  <c r="R881" i="23"/>
  <c r="G881" i="23"/>
  <c r="F881" i="23"/>
  <c r="V855" i="23" s="1"/>
  <c r="E881" i="23"/>
  <c r="U855" i="23" s="1"/>
  <c r="D881" i="23"/>
  <c r="T855" i="23" s="1"/>
  <c r="C881" i="23"/>
  <c r="S855" i="23" s="1"/>
  <c r="B881" i="23"/>
  <c r="R855" i="23" s="1"/>
  <c r="AR880" i="23"/>
  <c r="AQ880" i="23"/>
  <c r="AP880" i="23"/>
  <c r="V880" i="23"/>
  <c r="U880" i="23" s="1"/>
  <c r="T880" i="23"/>
  <c r="S880" i="23" s="1"/>
  <c r="R880" i="23" s="1"/>
  <c r="G880" i="23"/>
  <c r="F880" i="23"/>
  <c r="V868" i="23" s="1"/>
  <c r="E880" i="23"/>
  <c r="U868" i="23" s="1"/>
  <c r="D880" i="23"/>
  <c r="T868" i="23" s="1"/>
  <c r="AM866" i="23" s="1"/>
  <c r="C880" i="23"/>
  <c r="S868" i="23" s="1"/>
  <c r="B880" i="23"/>
  <c r="R868" i="23" s="1"/>
  <c r="AR879" i="23"/>
  <c r="AQ879" i="23"/>
  <c r="AP879" i="23"/>
  <c r="V879" i="23"/>
  <c r="U879" i="23"/>
  <c r="T879" i="23"/>
  <c r="S879" i="23"/>
  <c r="R879" i="23"/>
  <c r="G879" i="23"/>
  <c r="F879" i="23"/>
  <c r="E879" i="23"/>
  <c r="D879" i="23"/>
  <c r="C879" i="23"/>
  <c r="B879" i="23"/>
  <c r="V878" i="23"/>
  <c r="U878" i="23"/>
  <c r="T878" i="23"/>
  <c r="S878" i="23"/>
  <c r="R878" i="23"/>
  <c r="G878" i="23"/>
  <c r="F878" i="23"/>
  <c r="E878" i="23"/>
  <c r="D878" i="23"/>
  <c r="C878" i="23"/>
  <c r="B878" i="23"/>
  <c r="AR877" i="23"/>
  <c r="AQ877" i="23"/>
  <c r="AP877" i="23"/>
  <c r="G877" i="23"/>
  <c r="F877" i="23"/>
  <c r="E877" i="23"/>
  <c r="D877" i="23"/>
  <c r="C877" i="23"/>
  <c r="B877" i="23"/>
  <c r="AR876" i="23"/>
  <c r="AQ876" i="23"/>
  <c r="AP876" i="23"/>
  <c r="G876" i="23"/>
  <c r="F876" i="23"/>
  <c r="E876" i="23"/>
  <c r="D876" i="23"/>
  <c r="C876" i="23"/>
  <c r="B876" i="23"/>
  <c r="AR875" i="23"/>
  <c r="AQ875" i="23"/>
  <c r="AP875" i="23"/>
  <c r="G875" i="23"/>
  <c r="F875" i="23"/>
  <c r="E875" i="23"/>
  <c r="D875" i="23"/>
  <c r="C875" i="23"/>
  <c r="B875" i="23"/>
  <c r="AR874" i="23"/>
  <c r="AQ874" i="23"/>
  <c r="AP874" i="23"/>
  <c r="G874" i="23"/>
  <c r="F874" i="23"/>
  <c r="E874" i="23"/>
  <c r="D874" i="23"/>
  <c r="C874" i="23"/>
  <c r="B874" i="23"/>
  <c r="AR873" i="23"/>
  <c r="AQ873" i="23"/>
  <c r="AP873" i="23"/>
  <c r="G873" i="23"/>
  <c r="F873" i="23"/>
  <c r="E873" i="23"/>
  <c r="D873" i="23"/>
  <c r="C873" i="23"/>
  <c r="B873" i="23"/>
  <c r="AR872" i="23"/>
  <c r="AQ872" i="23"/>
  <c r="AP872" i="23"/>
  <c r="G872" i="23"/>
  <c r="F872" i="23"/>
  <c r="E872" i="23"/>
  <c r="D872" i="23"/>
  <c r="C872" i="23"/>
  <c r="B872" i="23"/>
  <c r="AR871" i="23"/>
  <c r="AQ871" i="23"/>
  <c r="AP871" i="23"/>
  <c r="G871" i="23"/>
  <c r="F871" i="23"/>
  <c r="E871" i="23"/>
  <c r="D871" i="23"/>
  <c r="C871" i="23"/>
  <c r="B871" i="23"/>
  <c r="G870" i="23"/>
  <c r="F870" i="23"/>
  <c r="V869" i="23" s="1"/>
  <c r="E870" i="23"/>
  <c r="U869" i="23" s="1"/>
  <c r="D870" i="23"/>
  <c r="T869" i="23" s="1"/>
  <c r="C870" i="23"/>
  <c r="S869" i="23" s="1"/>
  <c r="B870" i="23"/>
  <c r="R869" i="23" s="1"/>
  <c r="G869" i="23"/>
  <c r="F869" i="23"/>
  <c r="V856" i="23" s="1"/>
  <c r="E869" i="23"/>
  <c r="U856" i="23" s="1"/>
  <c r="D869" i="23"/>
  <c r="T856" i="23" s="1"/>
  <c r="C869" i="23"/>
  <c r="S856" i="23" s="1"/>
  <c r="B869" i="23"/>
  <c r="R856" i="23" s="1"/>
  <c r="G868" i="23"/>
  <c r="F868" i="23"/>
  <c r="V870" i="23" s="1"/>
  <c r="E868" i="23"/>
  <c r="U870" i="23" s="1"/>
  <c r="D868" i="23"/>
  <c r="T870" i="23" s="1"/>
  <c r="C868" i="23"/>
  <c r="S870" i="23" s="1"/>
  <c r="B868" i="23"/>
  <c r="R870" i="23" s="1"/>
  <c r="G867" i="23"/>
  <c r="F867" i="23"/>
  <c r="V858" i="23" s="1"/>
  <c r="E867" i="23"/>
  <c r="U858" i="23" s="1"/>
  <c r="D867" i="23"/>
  <c r="T858" i="23" s="1"/>
  <c r="AM873" i="23" s="1"/>
  <c r="C867" i="23"/>
  <c r="S858" i="23" s="1"/>
  <c r="B867" i="23"/>
  <c r="R858" i="23" s="1"/>
  <c r="AR866" i="23"/>
  <c r="AQ866" i="23"/>
  <c r="AP866" i="23"/>
  <c r="G866" i="23"/>
  <c r="F866" i="23"/>
  <c r="V872" i="23" s="1"/>
  <c r="E866" i="23"/>
  <c r="U872" i="23" s="1"/>
  <c r="D866" i="23"/>
  <c r="T872" i="23" s="1"/>
  <c r="C866" i="23"/>
  <c r="S872" i="23" s="1"/>
  <c r="B866" i="23"/>
  <c r="AR865" i="23"/>
  <c r="AQ865" i="23"/>
  <c r="AP865" i="23"/>
  <c r="G865" i="23"/>
  <c r="F865" i="23"/>
  <c r="V857" i="23" s="1"/>
  <c r="E865" i="23"/>
  <c r="U857" i="23" s="1"/>
  <c r="D865" i="23"/>
  <c r="T857" i="23" s="1"/>
  <c r="AM872" i="23" s="1"/>
  <c r="C865" i="23"/>
  <c r="S857" i="23" s="1"/>
  <c r="B865" i="23"/>
  <c r="R857" i="23" s="1"/>
  <c r="AR864" i="23"/>
  <c r="AQ864" i="23"/>
  <c r="AP864" i="23"/>
  <c r="G864" i="23"/>
  <c r="F864" i="23"/>
  <c r="V871" i="23" s="1"/>
  <c r="E864" i="23"/>
  <c r="U871" i="23" s="1"/>
  <c r="D864" i="23"/>
  <c r="T871" i="23" s="1"/>
  <c r="C864" i="23"/>
  <c r="S871" i="23" s="1"/>
  <c r="B864" i="23"/>
  <c r="AR863" i="23"/>
  <c r="AQ863" i="23"/>
  <c r="AP863" i="23"/>
  <c r="G863" i="23"/>
  <c r="F863" i="23"/>
  <c r="V859" i="23" s="1"/>
  <c r="E863" i="23"/>
  <c r="U859" i="23" s="1"/>
  <c r="D863" i="23"/>
  <c r="T859" i="23" s="1"/>
  <c r="C863" i="23"/>
  <c r="S859" i="23" s="1"/>
  <c r="B863" i="23"/>
  <c r="R859" i="23" s="1"/>
  <c r="G862" i="23"/>
  <c r="F862" i="23"/>
  <c r="V873" i="23" s="1"/>
  <c r="E862" i="23"/>
  <c r="U873" i="23" s="1"/>
  <c r="D862" i="23"/>
  <c r="T873" i="23" s="1"/>
  <c r="C862" i="23"/>
  <c r="S873" i="23" s="1"/>
  <c r="B862" i="23"/>
  <c r="AR861" i="23"/>
  <c r="AQ861" i="23"/>
  <c r="AP861" i="23"/>
  <c r="G861" i="23"/>
  <c r="F861" i="23"/>
  <c r="E861" i="23"/>
  <c r="D861" i="23"/>
  <c r="C861" i="23"/>
  <c r="B861" i="23"/>
  <c r="AR860" i="23"/>
  <c r="AQ860" i="23"/>
  <c r="AP860" i="23"/>
  <c r="G860" i="23"/>
  <c r="F860" i="23"/>
  <c r="E860" i="23"/>
  <c r="D860" i="23"/>
  <c r="C860" i="23"/>
  <c r="B860" i="23"/>
  <c r="AR859" i="23"/>
  <c r="AQ859" i="23"/>
  <c r="AP859" i="23"/>
  <c r="G859" i="23"/>
  <c r="F859" i="23"/>
  <c r="E859" i="23"/>
  <c r="D859" i="23"/>
  <c r="C859" i="23"/>
  <c r="B859" i="23"/>
  <c r="AR858" i="23"/>
  <c r="AQ858" i="23"/>
  <c r="AP858" i="23"/>
  <c r="G858" i="23"/>
  <c r="F858" i="23"/>
  <c r="E858" i="23"/>
  <c r="D858" i="23"/>
  <c r="C858" i="23"/>
  <c r="B858" i="23"/>
  <c r="AR857" i="23"/>
  <c r="AQ857" i="23"/>
  <c r="AP857" i="23"/>
  <c r="G857" i="23"/>
  <c r="F857" i="23"/>
  <c r="E857" i="23"/>
  <c r="D857" i="23"/>
  <c r="C857" i="23"/>
  <c r="B857" i="23"/>
  <c r="AR856" i="23"/>
  <c r="AQ856" i="23"/>
  <c r="AP856" i="23"/>
  <c r="G856" i="23"/>
  <c r="F856" i="23"/>
  <c r="E856" i="23"/>
  <c r="D856" i="23"/>
  <c r="C856" i="23"/>
  <c r="B856" i="23"/>
  <c r="AR855" i="23"/>
  <c r="AQ855" i="23"/>
  <c r="AP855" i="23"/>
  <c r="G855" i="23"/>
  <c r="F855" i="23"/>
  <c r="V863" i="23" s="1"/>
  <c r="E855" i="23"/>
  <c r="U863" i="23" s="1"/>
  <c r="D855" i="23"/>
  <c r="T863" i="23" s="1"/>
  <c r="C855" i="23"/>
  <c r="S863" i="23" s="1"/>
  <c r="B855" i="23"/>
  <c r="R863" i="23" s="1"/>
  <c r="AR854" i="23"/>
  <c r="AQ854" i="23"/>
  <c r="AP854" i="23"/>
  <c r="G854" i="23"/>
  <c r="F854" i="23"/>
  <c r="V864" i="23" s="1"/>
  <c r="E854" i="23"/>
  <c r="U864" i="23" s="1"/>
  <c r="D854" i="23"/>
  <c r="T864" i="23" s="1"/>
  <c r="C854" i="23"/>
  <c r="S864" i="23" s="1"/>
  <c r="B854" i="23"/>
  <c r="R864" i="23" s="1"/>
  <c r="AR853" i="23"/>
  <c r="AQ853" i="23"/>
  <c r="AP853" i="23"/>
  <c r="G853" i="23"/>
  <c r="F853" i="23"/>
  <c r="V861" i="23" s="1"/>
  <c r="E853" i="23"/>
  <c r="U860" i="23" s="1"/>
  <c r="D853" i="23"/>
  <c r="T861" i="23" s="1"/>
  <c r="C853" i="23"/>
  <c r="B853" i="23"/>
  <c r="R860" i="23" s="1"/>
  <c r="G852" i="23"/>
  <c r="F852" i="23"/>
  <c r="V874" i="23" s="1"/>
  <c r="E852" i="23"/>
  <c r="U874" i="23" s="1"/>
  <c r="D852" i="23"/>
  <c r="T874" i="23" s="1"/>
  <c r="C852" i="23"/>
  <c r="S874" i="23" s="1"/>
  <c r="B852" i="23"/>
  <c r="R874" i="23" s="1"/>
  <c r="G851" i="23"/>
  <c r="F851" i="23"/>
  <c r="V862" i="23" s="1"/>
  <c r="AO876" i="23" s="1"/>
  <c r="E851" i="23"/>
  <c r="U862" i="23" s="1"/>
  <c r="D851" i="23"/>
  <c r="T862" i="23" s="1"/>
  <c r="C851" i="23"/>
  <c r="S862" i="23" s="1"/>
  <c r="B851" i="23"/>
  <c r="R862" i="23" s="1"/>
  <c r="AR850" i="23"/>
  <c r="AQ850" i="23"/>
  <c r="AP850" i="23"/>
  <c r="G850" i="23"/>
  <c r="F850" i="23"/>
  <c r="V876" i="23" s="1"/>
  <c r="E850" i="23"/>
  <c r="U876" i="23" s="1"/>
  <c r="D850" i="23"/>
  <c r="T876" i="23" s="1"/>
  <c r="C850" i="23"/>
  <c r="S876" i="23" s="1"/>
  <c r="B850" i="23"/>
  <c r="R876" i="23" s="1"/>
  <c r="AR849" i="23"/>
  <c r="AQ849" i="23"/>
  <c r="AP849" i="23"/>
  <c r="G849" i="23"/>
  <c r="F849" i="23"/>
  <c r="E849" i="23"/>
  <c r="D849" i="23"/>
  <c r="C849" i="23"/>
  <c r="B849" i="23"/>
  <c r="V848" i="23"/>
  <c r="U848" i="23"/>
  <c r="AN849" i="23" s="1"/>
  <c r="T848" i="23"/>
  <c r="AM849" i="23" s="1"/>
  <c r="S848" i="23"/>
  <c r="R848" i="23"/>
  <c r="G848" i="23"/>
  <c r="F848" i="23"/>
  <c r="E848" i="23"/>
  <c r="D848" i="23"/>
  <c r="C848" i="23"/>
  <c r="B848" i="23"/>
  <c r="AJ847" i="23"/>
  <c r="AJ846" i="23"/>
  <c r="A846" i="23"/>
  <c r="G843" i="23"/>
  <c r="F843" i="23"/>
  <c r="E843" i="23"/>
  <c r="D843" i="23"/>
  <c r="C843" i="23"/>
  <c r="B843" i="23"/>
  <c r="A843" i="23"/>
  <c r="G842" i="23"/>
  <c r="F842" i="23"/>
  <c r="E842" i="23"/>
  <c r="D842" i="23"/>
  <c r="C842" i="23"/>
  <c r="B842" i="23"/>
  <c r="A842" i="23"/>
  <c r="V841" i="23"/>
  <c r="T841" i="23"/>
  <c r="S841" i="23"/>
  <c r="R841" i="23"/>
  <c r="Q841" i="23"/>
  <c r="P841" i="23"/>
  <c r="O841" i="23"/>
  <c r="N841" i="23"/>
  <c r="M841" i="23"/>
  <c r="L841" i="23"/>
  <c r="K841" i="23"/>
  <c r="G841" i="23"/>
  <c r="F841" i="23"/>
  <c r="E841" i="23"/>
  <c r="D841" i="23"/>
  <c r="C841" i="23"/>
  <c r="B841" i="23"/>
  <c r="A841" i="23"/>
  <c r="V840" i="23"/>
  <c r="T840" i="23"/>
  <c r="S840" i="23"/>
  <c r="R840" i="23"/>
  <c r="Q840" i="23"/>
  <c r="P840" i="23"/>
  <c r="O840" i="23"/>
  <c r="N840" i="23"/>
  <c r="M840" i="23"/>
  <c r="L840" i="23"/>
  <c r="K840" i="23"/>
  <c r="Y839" i="23"/>
  <c r="X839" i="23"/>
  <c r="W839" i="23"/>
  <c r="V839" i="23"/>
  <c r="T839" i="23"/>
  <c r="S839" i="23"/>
  <c r="R839" i="23"/>
  <c r="Q839" i="23"/>
  <c r="P839" i="23"/>
  <c r="O839" i="23"/>
  <c r="N839" i="23"/>
  <c r="M839" i="23"/>
  <c r="L839" i="23"/>
  <c r="K839" i="23"/>
  <c r="G836" i="23"/>
  <c r="F836" i="23"/>
  <c r="E836" i="23"/>
  <c r="D836" i="23"/>
  <c r="C836" i="23"/>
  <c r="B836" i="23"/>
  <c r="G835" i="23"/>
  <c r="F835" i="23"/>
  <c r="E835" i="23"/>
  <c r="D835" i="23"/>
  <c r="C835" i="23"/>
  <c r="B835" i="23"/>
  <c r="G834" i="23"/>
  <c r="F834" i="23"/>
  <c r="E834" i="23"/>
  <c r="D834" i="23"/>
  <c r="C834" i="23"/>
  <c r="B834" i="23"/>
  <c r="G833" i="23"/>
  <c r="F833" i="23"/>
  <c r="E833" i="23"/>
  <c r="D833" i="23"/>
  <c r="C833" i="23"/>
  <c r="B833" i="23"/>
  <c r="G832" i="23"/>
  <c r="F832" i="23"/>
  <c r="E832" i="23"/>
  <c r="D832" i="23"/>
  <c r="C832" i="23"/>
  <c r="B832" i="23"/>
  <c r="G831" i="23"/>
  <c r="F831" i="23"/>
  <c r="E831" i="23"/>
  <c r="D831" i="23"/>
  <c r="C831" i="23"/>
  <c r="B831" i="23"/>
  <c r="G830" i="23"/>
  <c r="F830" i="23"/>
  <c r="E830" i="23"/>
  <c r="D830" i="23"/>
  <c r="C830" i="23"/>
  <c r="B830" i="23"/>
  <c r="G829" i="23"/>
  <c r="F829" i="23"/>
  <c r="E829" i="23"/>
  <c r="D829" i="23"/>
  <c r="C829" i="23"/>
  <c r="B829" i="23"/>
  <c r="G828" i="23"/>
  <c r="F828" i="23"/>
  <c r="E828" i="23"/>
  <c r="D828" i="23"/>
  <c r="C828" i="23"/>
  <c r="B828" i="23"/>
  <c r="G827" i="23"/>
  <c r="F827" i="23"/>
  <c r="E827" i="23"/>
  <c r="D827" i="23"/>
  <c r="C827" i="23"/>
  <c r="B827" i="23"/>
  <c r="G826" i="23"/>
  <c r="F826" i="23"/>
  <c r="E826" i="23"/>
  <c r="D826" i="23"/>
  <c r="C826" i="23"/>
  <c r="B826" i="23"/>
  <c r="G825" i="23"/>
  <c r="F825" i="23"/>
  <c r="E825" i="23"/>
  <c r="D825" i="23"/>
  <c r="C825" i="23"/>
  <c r="B825" i="23"/>
  <c r="G824" i="23"/>
  <c r="F824" i="23"/>
  <c r="V683" i="23" s="1"/>
  <c r="E824" i="23"/>
  <c r="U683" i="23" s="1"/>
  <c r="D824" i="23"/>
  <c r="T683" i="23" s="1"/>
  <c r="C824" i="23"/>
  <c r="S683" i="23" s="1"/>
  <c r="B824" i="23"/>
  <c r="R683" i="23" s="1"/>
  <c r="G823" i="23"/>
  <c r="F823" i="23"/>
  <c r="V704" i="23" s="1"/>
  <c r="E823" i="23"/>
  <c r="U704" i="23" s="1"/>
  <c r="D823" i="23"/>
  <c r="T704" i="23" s="1"/>
  <c r="C823" i="23"/>
  <c r="S704" i="23" s="1"/>
  <c r="B823" i="23"/>
  <c r="R704" i="23" s="1"/>
  <c r="G822" i="23"/>
  <c r="F822" i="23"/>
  <c r="V703" i="23" s="1"/>
  <c r="E822" i="23"/>
  <c r="U703" i="23" s="1"/>
  <c r="D822" i="23"/>
  <c r="T703" i="23" s="1"/>
  <c r="C822" i="23"/>
  <c r="S703" i="23" s="1"/>
  <c r="B822" i="23"/>
  <c r="R703" i="23" s="1"/>
  <c r="G821" i="23"/>
  <c r="F821" i="23"/>
  <c r="V702" i="23" s="1"/>
  <c r="E821" i="23"/>
  <c r="U702" i="23" s="1"/>
  <c r="D821" i="23"/>
  <c r="T702" i="23" s="1"/>
  <c r="C821" i="23"/>
  <c r="S702" i="23" s="1"/>
  <c r="B821" i="23"/>
  <c r="R702" i="23" s="1"/>
  <c r="G820" i="23"/>
  <c r="F820" i="23"/>
  <c r="V701" i="23" s="1"/>
  <c r="E820" i="23"/>
  <c r="U701" i="23" s="1"/>
  <c r="D820" i="23"/>
  <c r="T701" i="23" s="1"/>
  <c r="C820" i="23"/>
  <c r="S701" i="23" s="1"/>
  <c r="B820" i="23"/>
  <c r="R701" i="23" s="1"/>
  <c r="G819" i="23"/>
  <c r="F819" i="23"/>
  <c r="E819" i="23"/>
  <c r="D819" i="23"/>
  <c r="C819" i="23"/>
  <c r="B819" i="23"/>
  <c r="G818" i="23"/>
  <c r="F818" i="23"/>
  <c r="E818" i="23"/>
  <c r="D818" i="23"/>
  <c r="C818" i="23"/>
  <c r="B818" i="23"/>
  <c r="G817" i="23"/>
  <c r="F817" i="23"/>
  <c r="E817" i="23"/>
  <c r="D817" i="23"/>
  <c r="C817" i="23"/>
  <c r="B817" i="23"/>
  <c r="G816" i="23"/>
  <c r="F816" i="23"/>
  <c r="E816" i="23"/>
  <c r="D816" i="23"/>
  <c r="C816" i="23"/>
  <c r="B816" i="23"/>
  <c r="G815" i="23"/>
  <c r="F815" i="23"/>
  <c r="V682" i="23" s="1"/>
  <c r="E815" i="23"/>
  <c r="U682" i="23" s="1"/>
  <c r="D815" i="23"/>
  <c r="T682" i="23" s="1"/>
  <c r="C815" i="23"/>
  <c r="S682" i="23" s="1"/>
  <c r="B815" i="23"/>
  <c r="R682" i="23" s="1"/>
  <c r="G814" i="23"/>
  <c r="F814" i="23"/>
  <c r="V680" i="23" s="1"/>
  <c r="E814" i="23"/>
  <c r="U680" i="23" s="1"/>
  <c r="D814" i="23"/>
  <c r="T680" i="23" s="1"/>
  <c r="C814" i="23"/>
  <c r="S680" i="23" s="1"/>
  <c r="B814" i="23"/>
  <c r="R680" i="23" s="1"/>
  <c r="G813" i="23"/>
  <c r="F813" i="23"/>
  <c r="V677" i="23" s="1"/>
  <c r="E813" i="23"/>
  <c r="U677" i="23" s="1"/>
  <c r="D813" i="23"/>
  <c r="T677" i="23" s="1"/>
  <c r="C813" i="23"/>
  <c r="S677" i="23" s="1"/>
  <c r="B813" i="23"/>
  <c r="R677" i="23" s="1"/>
  <c r="G812" i="23"/>
  <c r="F812" i="23"/>
  <c r="V676" i="23" s="1"/>
  <c r="E812" i="23"/>
  <c r="U676" i="23" s="1"/>
  <c r="D812" i="23"/>
  <c r="T676" i="23" s="1"/>
  <c r="C812" i="23"/>
  <c r="S676" i="23" s="1"/>
  <c r="B812" i="23"/>
  <c r="R676" i="23" s="1"/>
  <c r="G811" i="23"/>
  <c r="F811" i="23"/>
  <c r="E811" i="23"/>
  <c r="D811" i="23"/>
  <c r="C811" i="23"/>
  <c r="B811" i="23"/>
  <c r="G810" i="23"/>
  <c r="F810" i="23"/>
  <c r="E810" i="23"/>
  <c r="D810" i="23"/>
  <c r="C810" i="23"/>
  <c r="B810" i="23"/>
  <c r="G809" i="23"/>
  <c r="F809" i="23"/>
  <c r="E809" i="23"/>
  <c r="D809" i="23"/>
  <c r="C809" i="23"/>
  <c r="B809" i="23"/>
  <c r="G808" i="23"/>
  <c r="F808" i="23"/>
  <c r="V679" i="23" s="1"/>
  <c r="E808" i="23"/>
  <c r="U679" i="23" s="1"/>
  <c r="D808" i="23"/>
  <c r="T679" i="23" s="1"/>
  <c r="C808" i="23"/>
  <c r="S679" i="23" s="1"/>
  <c r="B808" i="23"/>
  <c r="R679" i="23" s="1"/>
  <c r="G807" i="23"/>
  <c r="F807" i="23"/>
  <c r="E807" i="23"/>
  <c r="D807" i="23"/>
  <c r="C807" i="23"/>
  <c r="B807" i="23"/>
  <c r="G806" i="23"/>
  <c r="F806" i="23"/>
  <c r="E806" i="23"/>
  <c r="D806" i="23"/>
  <c r="C806" i="23"/>
  <c r="B806" i="23"/>
  <c r="G805" i="23"/>
  <c r="F805" i="23"/>
  <c r="E805" i="23"/>
  <c r="D805" i="23"/>
  <c r="C805" i="23"/>
  <c r="B805" i="23"/>
  <c r="G804" i="23"/>
  <c r="F804" i="23"/>
  <c r="E804" i="23"/>
  <c r="D804" i="23"/>
  <c r="C804" i="23"/>
  <c r="B804" i="23"/>
  <c r="G803" i="23"/>
  <c r="F803" i="23"/>
  <c r="E803" i="23"/>
  <c r="D803" i="23"/>
  <c r="C803" i="23"/>
  <c r="B803" i="23"/>
  <c r="G802" i="23"/>
  <c r="F802" i="23"/>
  <c r="E802" i="23"/>
  <c r="D802" i="23"/>
  <c r="C802" i="23"/>
  <c r="B802" i="23"/>
  <c r="G801" i="23"/>
  <c r="F801" i="23"/>
  <c r="E801" i="23"/>
  <c r="D801" i="23"/>
  <c r="C801" i="23"/>
  <c r="B801" i="23"/>
  <c r="G800" i="23"/>
  <c r="F800" i="23"/>
  <c r="E800" i="23"/>
  <c r="D800" i="23"/>
  <c r="C800" i="23"/>
  <c r="B800" i="23"/>
  <c r="G799" i="23"/>
  <c r="F799" i="23"/>
  <c r="E799" i="23"/>
  <c r="D799" i="23"/>
  <c r="C799" i="23"/>
  <c r="B799" i="23"/>
  <c r="G798" i="23"/>
  <c r="F798" i="23"/>
  <c r="E798" i="23"/>
  <c r="D798" i="23"/>
  <c r="C798" i="23"/>
  <c r="B798" i="23"/>
  <c r="G797" i="23"/>
  <c r="F797" i="23"/>
  <c r="E797" i="23"/>
  <c r="D797" i="23"/>
  <c r="C797" i="23"/>
  <c r="B797" i="23"/>
  <c r="G796" i="23"/>
  <c r="F796" i="23"/>
  <c r="E796" i="23"/>
  <c r="D796" i="23"/>
  <c r="C796" i="23"/>
  <c r="B796" i="23"/>
  <c r="G795" i="23"/>
  <c r="F795" i="23"/>
  <c r="E795" i="23"/>
  <c r="D795" i="23"/>
  <c r="C795" i="23"/>
  <c r="B795" i="23"/>
  <c r="G794" i="23"/>
  <c r="F794" i="23"/>
  <c r="V696" i="23" s="1"/>
  <c r="E794" i="23"/>
  <c r="U696" i="23" s="1"/>
  <c r="D794" i="23"/>
  <c r="T696" i="23" s="1"/>
  <c r="C794" i="23"/>
  <c r="S696" i="23" s="1"/>
  <c r="B794" i="23"/>
  <c r="R696" i="23" s="1"/>
  <c r="G793" i="23"/>
  <c r="F793" i="23"/>
  <c r="V695" i="23" s="1"/>
  <c r="E793" i="23"/>
  <c r="U695" i="23" s="1"/>
  <c r="D793" i="23"/>
  <c r="T695" i="23" s="1"/>
  <c r="C793" i="23"/>
  <c r="S695" i="23" s="1"/>
  <c r="B793" i="23"/>
  <c r="R695" i="23" s="1"/>
  <c r="G792" i="23"/>
  <c r="F792" i="23"/>
  <c r="E792" i="23"/>
  <c r="D792" i="23"/>
  <c r="C792" i="23"/>
  <c r="B792" i="23"/>
  <c r="G791" i="23"/>
  <c r="F791" i="23"/>
  <c r="E791" i="23"/>
  <c r="D791" i="23"/>
  <c r="C791" i="23"/>
  <c r="B791" i="23"/>
  <c r="G790" i="23"/>
  <c r="F790" i="23"/>
  <c r="AO691" i="23" s="1"/>
  <c r="E790" i="23"/>
  <c r="U673" i="23" s="1"/>
  <c r="D790" i="23"/>
  <c r="C790" i="23"/>
  <c r="S673" i="23" s="1"/>
  <c r="B790" i="23"/>
  <c r="AK691" i="23" s="1"/>
  <c r="G789" i="23"/>
  <c r="F789" i="23"/>
  <c r="E789" i="23"/>
  <c r="D789" i="23"/>
  <c r="C789" i="23"/>
  <c r="B789" i="23"/>
  <c r="G788" i="23"/>
  <c r="F788" i="23"/>
  <c r="E788" i="23"/>
  <c r="D788" i="23"/>
  <c r="C788" i="23"/>
  <c r="B788" i="23"/>
  <c r="G787" i="23"/>
  <c r="F787" i="23"/>
  <c r="E787" i="23"/>
  <c r="D787" i="23"/>
  <c r="C787" i="23"/>
  <c r="B787" i="23"/>
  <c r="G786" i="23"/>
  <c r="F786" i="23"/>
  <c r="E786" i="23"/>
  <c r="D786" i="23"/>
  <c r="C786" i="23"/>
  <c r="B786" i="23"/>
  <c r="G785" i="23"/>
  <c r="F785" i="23"/>
  <c r="E785" i="23"/>
  <c r="D785" i="23"/>
  <c r="C785" i="23"/>
  <c r="B785" i="23"/>
  <c r="G784" i="23"/>
  <c r="F784" i="23"/>
  <c r="E784" i="23"/>
  <c r="D784" i="23"/>
  <c r="C784" i="23"/>
  <c r="B784" i="23"/>
  <c r="G783" i="23"/>
  <c r="F783" i="23"/>
  <c r="E783" i="23"/>
  <c r="D783" i="23"/>
  <c r="C783" i="23"/>
  <c r="B783" i="23"/>
  <c r="G782" i="23"/>
  <c r="F782" i="23"/>
  <c r="E782" i="23"/>
  <c r="D782" i="23"/>
  <c r="C782" i="23"/>
  <c r="B782" i="23"/>
  <c r="G781" i="23"/>
  <c r="F781" i="23"/>
  <c r="E781" i="23"/>
  <c r="D781" i="23"/>
  <c r="C781" i="23"/>
  <c r="B781" i="23"/>
  <c r="G780" i="23"/>
  <c r="F780" i="23"/>
  <c r="E780" i="23"/>
  <c r="D780" i="23"/>
  <c r="C780" i="23"/>
  <c r="B780" i="23"/>
  <c r="G779" i="23"/>
  <c r="F779" i="23"/>
  <c r="E779" i="23"/>
  <c r="D779" i="23"/>
  <c r="C779" i="23"/>
  <c r="B779" i="23"/>
  <c r="G778" i="23"/>
  <c r="F778" i="23"/>
  <c r="E778" i="23"/>
  <c r="D778" i="23"/>
  <c r="C778" i="23"/>
  <c r="B778" i="23"/>
  <c r="G777" i="23"/>
  <c r="F777" i="23"/>
  <c r="E777" i="23"/>
  <c r="D777" i="23"/>
  <c r="C777" i="23"/>
  <c r="B777" i="23"/>
  <c r="G776" i="23"/>
  <c r="F776" i="23"/>
  <c r="E776" i="23"/>
  <c r="D776" i="23"/>
  <c r="C776" i="23"/>
  <c r="B776" i="23"/>
  <c r="G775" i="23"/>
  <c r="F775" i="23"/>
  <c r="E775" i="23"/>
  <c r="D775" i="23"/>
  <c r="C775" i="23"/>
  <c r="B775" i="23"/>
  <c r="G774" i="23"/>
  <c r="F774" i="23"/>
  <c r="AO690" i="23" s="1"/>
  <c r="E774" i="23"/>
  <c r="AN690" i="23" s="1"/>
  <c r="D774" i="23"/>
  <c r="AM690" i="23" s="1"/>
  <c r="C774" i="23"/>
  <c r="AL690" i="23" s="1"/>
  <c r="B774" i="23"/>
  <c r="AK690" i="23" s="1"/>
  <c r="G773" i="23"/>
  <c r="F773" i="23"/>
  <c r="E773" i="23"/>
  <c r="D773" i="23"/>
  <c r="C773" i="23"/>
  <c r="B773" i="23"/>
  <c r="G772" i="23"/>
  <c r="F772" i="23"/>
  <c r="E772" i="23"/>
  <c r="D772" i="23"/>
  <c r="C772" i="23"/>
  <c r="B772" i="23"/>
  <c r="G771" i="23"/>
  <c r="F771" i="23"/>
  <c r="E771" i="23"/>
  <c r="D771" i="23"/>
  <c r="C771" i="23"/>
  <c r="B771" i="23"/>
  <c r="G770" i="23"/>
  <c r="F770" i="23"/>
  <c r="E770" i="23"/>
  <c r="D770" i="23"/>
  <c r="C770" i="23"/>
  <c r="B770" i="23"/>
  <c r="G769" i="23"/>
  <c r="F769" i="23"/>
  <c r="E769" i="23"/>
  <c r="D769" i="23"/>
  <c r="C769" i="23"/>
  <c r="B769" i="23"/>
  <c r="G768" i="23"/>
  <c r="F768" i="23"/>
  <c r="E768" i="23"/>
  <c r="D768" i="23"/>
  <c r="C768" i="23"/>
  <c r="B768" i="23"/>
  <c r="G767" i="23"/>
  <c r="F767" i="23"/>
  <c r="AO689" i="23" s="1"/>
  <c r="E767" i="23"/>
  <c r="AN689" i="23" s="1"/>
  <c r="D767" i="23"/>
  <c r="AM689" i="23" s="1"/>
  <c r="C767" i="23"/>
  <c r="AL689" i="23" s="1"/>
  <c r="B767" i="23"/>
  <c r="AK689" i="23" s="1"/>
  <c r="G766" i="23"/>
  <c r="F766" i="23"/>
  <c r="E766" i="23"/>
  <c r="D766" i="23"/>
  <c r="C766" i="23"/>
  <c r="B766" i="23"/>
  <c r="G765" i="23"/>
  <c r="F765" i="23"/>
  <c r="E765" i="23"/>
  <c r="D765" i="23"/>
  <c r="C765" i="23"/>
  <c r="B765" i="23"/>
  <c r="G764" i="23"/>
  <c r="F764" i="23"/>
  <c r="E764" i="23"/>
  <c r="D764" i="23"/>
  <c r="C764" i="23"/>
  <c r="B764" i="23"/>
  <c r="G763" i="23"/>
  <c r="F763" i="23"/>
  <c r="E763" i="23"/>
  <c r="D763" i="23"/>
  <c r="C763" i="23"/>
  <c r="B763" i="23"/>
  <c r="G762" i="23"/>
  <c r="F762" i="23"/>
  <c r="E762" i="23"/>
  <c r="D762" i="23"/>
  <c r="C762" i="23"/>
  <c r="B762" i="23"/>
  <c r="G761" i="23"/>
  <c r="F761" i="23"/>
  <c r="E761" i="23"/>
  <c r="D761" i="23"/>
  <c r="C761" i="23"/>
  <c r="B761" i="23"/>
  <c r="G760" i="23"/>
  <c r="F760" i="23"/>
  <c r="E760" i="23"/>
  <c r="D760" i="23"/>
  <c r="C760" i="23"/>
  <c r="B760" i="23"/>
  <c r="G759" i="23"/>
  <c r="F759" i="23"/>
  <c r="E759" i="23"/>
  <c r="D759" i="23"/>
  <c r="C759" i="23"/>
  <c r="B759" i="23"/>
  <c r="G758" i="23"/>
  <c r="F758" i="23"/>
  <c r="E758" i="23"/>
  <c r="D758" i="23"/>
  <c r="C758" i="23"/>
  <c r="B758" i="23"/>
  <c r="G757" i="23"/>
  <c r="F757" i="23"/>
  <c r="E757" i="23"/>
  <c r="D757" i="23"/>
  <c r="C757" i="23"/>
  <c r="B757" i="23"/>
  <c r="G756" i="23"/>
  <c r="F756" i="23"/>
  <c r="E756" i="23"/>
  <c r="AN688" i="23" s="1"/>
  <c r="D756" i="23"/>
  <c r="AM688" i="23" s="1"/>
  <c r="C756" i="23"/>
  <c r="B756" i="23"/>
  <c r="G755" i="23"/>
  <c r="F755" i="23"/>
  <c r="E755" i="23"/>
  <c r="D755" i="23"/>
  <c r="C755" i="23"/>
  <c r="B755" i="23"/>
  <c r="G754" i="23"/>
  <c r="F754" i="23"/>
  <c r="E754" i="23"/>
  <c r="D754" i="23"/>
  <c r="C754" i="23"/>
  <c r="B754" i="23"/>
  <c r="G753" i="23"/>
  <c r="F753" i="23"/>
  <c r="AO686" i="23" s="1"/>
  <c r="E753" i="23"/>
  <c r="AN686" i="23" s="1"/>
  <c r="D753" i="23"/>
  <c r="C753" i="23"/>
  <c r="AL686" i="23" s="1"/>
  <c r="B753" i="23"/>
  <c r="G752" i="23"/>
  <c r="F752" i="23"/>
  <c r="E752" i="23"/>
  <c r="D752" i="23"/>
  <c r="C752" i="23"/>
  <c r="B752" i="23"/>
  <c r="G751" i="23"/>
  <c r="F751" i="23"/>
  <c r="E751" i="23"/>
  <c r="D751" i="23"/>
  <c r="C751" i="23"/>
  <c r="B751" i="23"/>
  <c r="G750" i="23"/>
  <c r="F750" i="23"/>
  <c r="AO704" i="23" s="1"/>
  <c r="E750" i="23"/>
  <c r="AN704" i="23" s="1"/>
  <c r="D750" i="23"/>
  <c r="C750" i="23"/>
  <c r="B750" i="23"/>
  <c r="G749" i="23"/>
  <c r="F749" i="23"/>
  <c r="AO703" i="23" s="1"/>
  <c r="E749" i="23"/>
  <c r="AN703" i="23" s="1"/>
  <c r="D749" i="23"/>
  <c r="C749" i="23"/>
  <c r="B749" i="23"/>
  <c r="G748" i="23"/>
  <c r="F748" i="23"/>
  <c r="V694" i="23" s="1"/>
  <c r="E748" i="23"/>
  <c r="U694" i="23" s="1"/>
  <c r="D748" i="23"/>
  <c r="T694" i="23" s="1"/>
  <c r="C748" i="23"/>
  <c r="S694" i="23" s="1"/>
  <c r="B748" i="23"/>
  <c r="R694" i="23" s="1"/>
  <c r="G747" i="23"/>
  <c r="F747" i="23"/>
  <c r="V693" i="23" s="1"/>
  <c r="E747" i="23"/>
  <c r="U693" i="23" s="1"/>
  <c r="D747" i="23"/>
  <c r="T693" i="23" s="1"/>
  <c r="C747" i="23"/>
  <c r="S693" i="23" s="1"/>
  <c r="B747" i="23"/>
  <c r="R693" i="23" s="1"/>
  <c r="G746" i="23"/>
  <c r="F746" i="23"/>
  <c r="E746" i="23"/>
  <c r="D746" i="23"/>
  <c r="C746" i="23"/>
  <c r="B746" i="23"/>
  <c r="G745" i="23"/>
  <c r="F745" i="23"/>
  <c r="V672" i="23" s="1"/>
  <c r="E745" i="23"/>
  <c r="U672" i="23" s="1"/>
  <c r="D745" i="23"/>
  <c r="T672" i="23" s="1"/>
  <c r="C745" i="23"/>
  <c r="S672" i="23" s="1"/>
  <c r="B745" i="23"/>
  <c r="R672" i="23" s="1"/>
  <c r="AK687" i="23" s="1"/>
  <c r="G744" i="23"/>
  <c r="F744" i="23"/>
  <c r="V671" i="23" s="1"/>
  <c r="E744" i="23"/>
  <c r="U671" i="23" s="1"/>
  <c r="D744" i="23"/>
  <c r="AM685" i="23" s="1"/>
  <c r="C744" i="23"/>
  <c r="B744" i="23"/>
  <c r="AK685" i="23" s="1"/>
  <c r="G743" i="23"/>
  <c r="F743" i="23"/>
  <c r="E743" i="23"/>
  <c r="D743" i="23"/>
  <c r="C743" i="23"/>
  <c r="B743" i="23"/>
  <c r="G742" i="23"/>
  <c r="F742" i="23"/>
  <c r="E742" i="23"/>
  <c r="D742" i="23"/>
  <c r="C742" i="23"/>
  <c r="B742" i="23"/>
  <c r="G741" i="23"/>
  <c r="F741" i="23"/>
  <c r="E741" i="23"/>
  <c r="D741" i="23"/>
  <c r="C741" i="23"/>
  <c r="B741" i="23"/>
  <c r="G740" i="23"/>
  <c r="F740" i="23"/>
  <c r="V692" i="23" s="1"/>
  <c r="E740" i="23"/>
  <c r="U692" i="23" s="1"/>
  <c r="D740" i="23"/>
  <c r="T692" i="23" s="1"/>
  <c r="C740" i="23"/>
  <c r="S692" i="23" s="1"/>
  <c r="B740" i="23"/>
  <c r="R692" i="23" s="1"/>
  <c r="G739" i="23"/>
  <c r="F739" i="23"/>
  <c r="V691" i="23" s="1"/>
  <c r="E739" i="23"/>
  <c r="U691" i="23" s="1"/>
  <c r="D739" i="23"/>
  <c r="T691" i="23" s="1"/>
  <c r="C739" i="23"/>
  <c r="S691" i="23" s="1"/>
  <c r="B739" i="23"/>
  <c r="R691" i="23" s="1"/>
  <c r="G738" i="23"/>
  <c r="F738" i="23"/>
  <c r="E738" i="23"/>
  <c r="D738" i="23"/>
  <c r="C738" i="23"/>
  <c r="B738" i="23"/>
  <c r="G737" i="23"/>
  <c r="F737" i="23"/>
  <c r="E737" i="23"/>
  <c r="D737" i="23"/>
  <c r="C737" i="23"/>
  <c r="B737" i="23"/>
  <c r="G736" i="23"/>
  <c r="F736" i="23"/>
  <c r="E736" i="23"/>
  <c r="D736" i="23"/>
  <c r="C736" i="23"/>
  <c r="B736" i="23"/>
  <c r="G735" i="23"/>
  <c r="F735" i="23"/>
  <c r="V688" i="23" s="1"/>
  <c r="E735" i="23"/>
  <c r="U688" i="23" s="1"/>
  <c r="D735" i="23"/>
  <c r="T688" i="23" s="1"/>
  <c r="C735" i="23"/>
  <c r="S688" i="23" s="1"/>
  <c r="B735" i="23"/>
  <c r="R688" i="23" s="1"/>
  <c r="G734" i="23"/>
  <c r="F734" i="23"/>
  <c r="V687" i="23" s="1"/>
  <c r="E734" i="23"/>
  <c r="U687" i="23" s="1"/>
  <c r="D734" i="23"/>
  <c r="T687" i="23" s="1"/>
  <c r="C734" i="23"/>
  <c r="S687" i="23" s="1"/>
  <c r="B734" i="23"/>
  <c r="R687" i="23" s="1"/>
  <c r="G733" i="23"/>
  <c r="F733" i="23"/>
  <c r="E733" i="23"/>
  <c r="D733" i="23"/>
  <c r="C733" i="23"/>
  <c r="B733" i="23"/>
  <c r="G732" i="23"/>
  <c r="F732" i="23"/>
  <c r="E732" i="23"/>
  <c r="D732" i="23"/>
  <c r="C732" i="23"/>
  <c r="B732" i="23"/>
  <c r="G731" i="23"/>
  <c r="F731" i="23"/>
  <c r="V670" i="23" s="1"/>
  <c r="E731" i="23"/>
  <c r="U670" i="23" s="1"/>
  <c r="D731" i="23"/>
  <c r="T670" i="23" s="1"/>
  <c r="C731" i="23"/>
  <c r="S670" i="23" s="1"/>
  <c r="B731" i="23"/>
  <c r="R670" i="23" s="1"/>
  <c r="G730" i="23"/>
  <c r="AP683" i="23" s="1"/>
  <c r="F730" i="23"/>
  <c r="E730" i="23"/>
  <c r="D730" i="23"/>
  <c r="C730" i="23"/>
  <c r="B730" i="23"/>
  <c r="G729" i="23"/>
  <c r="AP682" i="23" s="1"/>
  <c r="F729" i="23"/>
  <c r="E729" i="23"/>
  <c r="AN682" i="23" s="1"/>
  <c r="D729" i="23"/>
  <c r="C729" i="23"/>
  <c r="B729" i="23"/>
  <c r="G728" i="23"/>
  <c r="F728" i="23"/>
  <c r="E728" i="23"/>
  <c r="D728" i="23"/>
  <c r="C728" i="23"/>
  <c r="B728" i="23"/>
  <c r="G727" i="23"/>
  <c r="F727" i="23"/>
  <c r="E727" i="23"/>
  <c r="D727" i="23"/>
  <c r="C727" i="23"/>
  <c r="B727" i="23"/>
  <c r="G726" i="23"/>
  <c r="F726" i="23"/>
  <c r="V686" i="23" s="1"/>
  <c r="E726" i="23"/>
  <c r="U686" i="23" s="1"/>
  <c r="D726" i="23"/>
  <c r="T686" i="23" s="1"/>
  <c r="C726" i="23"/>
  <c r="S686" i="23" s="1"/>
  <c r="AL696" i="23" s="1"/>
  <c r="B726" i="23"/>
  <c r="R686" i="23" s="1"/>
  <c r="G725" i="23"/>
  <c r="F725" i="23"/>
  <c r="V685" i="23" s="1"/>
  <c r="E725" i="23"/>
  <c r="U685" i="23" s="1"/>
  <c r="D725" i="23"/>
  <c r="T685" i="23" s="1"/>
  <c r="C725" i="23"/>
  <c r="S685" i="23" s="1"/>
  <c r="B725" i="23"/>
  <c r="R685" i="23" s="1"/>
  <c r="G724" i="23"/>
  <c r="F724" i="23"/>
  <c r="E724" i="23"/>
  <c r="D724" i="23"/>
  <c r="C724" i="23"/>
  <c r="B724" i="23"/>
  <c r="G723" i="23"/>
  <c r="F723" i="23"/>
  <c r="E723" i="23"/>
  <c r="D723" i="23"/>
  <c r="C723" i="23"/>
  <c r="B723" i="23"/>
  <c r="G722" i="23"/>
  <c r="F722" i="23"/>
  <c r="E722" i="23"/>
  <c r="D722" i="23"/>
  <c r="C722" i="23"/>
  <c r="B722" i="23"/>
  <c r="G721" i="23"/>
  <c r="F721" i="23"/>
  <c r="E721" i="23"/>
  <c r="D721" i="23"/>
  <c r="C721" i="23"/>
  <c r="B721" i="23"/>
  <c r="G720" i="23"/>
  <c r="F720" i="23"/>
  <c r="E720" i="23"/>
  <c r="D720" i="23"/>
  <c r="C720" i="23"/>
  <c r="B720" i="23"/>
  <c r="G719" i="23"/>
  <c r="F719" i="23"/>
  <c r="V690" i="23" s="1"/>
  <c r="E719" i="23"/>
  <c r="U690" i="23" s="1"/>
  <c r="D719" i="23"/>
  <c r="T690" i="23" s="1"/>
  <c r="C719" i="23"/>
  <c r="S690" i="23" s="1"/>
  <c r="B719" i="23"/>
  <c r="R690" i="23" s="1"/>
  <c r="G718" i="23"/>
  <c r="F718" i="23"/>
  <c r="V689" i="23" s="1"/>
  <c r="E718" i="23"/>
  <c r="U689" i="23" s="1"/>
  <c r="D718" i="23"/>
  <c r="T689" i="23" s="1"/>
  <c r="C718" i="23"/>
  <c r="S689" i="23" s="1"/>
  <c r="B718" i="23"/>
  <c r="R689" i="23" s="1"/>
  <c r="G717" i="23"/>
  <c r="F717" i="23"/>
  <c r="E717" i="23"/>
  <c r="D717" i="23"/>
  <c r="C717" i="23"/>
  <c r="B717" i="23"/>
  <c r="G716" i="23"/>
  <c r="F716" i="23"/>
  <c r="E716" i="23"/>
  <c r="D716" i="23"/>
  <c r="C716" i="23"/>
  <c r="B716" i="23"/>
  <c r="G715" i="23"/>
  <c r="F715" i="23"/>
  <c r="E715" i="23"/>
  <c r="D715" i="23"/>
  <c r="C715" i="23"/>
  <c r="B715" i="23"/>
  <c r="AS714" i="23"/>
  <c r="AS715" i="23" s="1"/>
  <c r="G714" i="23"/>
  <c r="F714" i="23"/>
  <c r="E714" i="23"/>
  <c r="D714" i="23"/>
  <c r="C714" i="23"/>
  <c r="B714" i="23"/>
  <c r="G713" i="23"/>
  <c r="F713" i="23"/>
  <c r="E713" i="23"/>
  <c r="D713" i="23"/>
  <c r="C713" i="23"/>
  <c r="B713" i="23"/>
  <c r="G712" i="23"/>
  <c r="F712" i="23"/>
  <c r="E712" i="23"/>
  <c r="D712" i="23"/>
  <c r="C712" i="23"/>
  <c r="B712" i="23"/>
  <c r="AR711" i="23"/>
  <c r="AQ711" i="23"/>
  <c r="AP711" i="23"/>
  <c r="G711" i="23"/>
  <c r="F711" i="23"/>
  <c r="E711" i="23"/>
  <c r="D711" i="23"/>
  <c r="C711" i="23"/>
  <c r="B711" i="23"/>
  <c r="G710" i="23"/>
  <c r="F710" i="23"/>
  <c r="E710" i="23"/>
  <c r="D710" i="23"/>
  <c r="C710" i="23"/>
  <c r="B710" i="23"/>
  <c r="G709" i="23"/>
  <c r="F709" i="23"/>
  <c r="E709" i="23"/>
  <c r="D709" i="23"/>
  <c r="C709" i="23"/>
  <c r="B709" i="23"/>
  <c r="AR708" i="23"/>
  <c r="AQ708" i="23"/>
  <c r="AP708" i="23"/>
  <c r="G708" i="23"/>
  <c r="F708" i="23"/>
  <c r="E708" i="23"/>
  <c r="D708" i="23"/>
  <c r="C708" i="23"/>
  <c r="B708" i="23"/>
  <c r="G707" i="23"/>
  <c r="F707" i="23"/>
  <c r="E707" i="23"/>
  <c r="D707" i="23"/>
  <c r="C707" i="23"/>
  <c r="B707" i="23"/>
  <c r="AR706" i="23"/>
  <c r="AQ706" i="23"/>
  <c r="AP706" i="23"/>
  <c r="G706" i="23"/>
  <c r="F706" i="23"/>
  <c r="E706" i="23"/>
  <c r="D706" i="23"/>
  <c r="C706" i="23"/>
  <c r="B706" i="23"/>
  <c r="AS705" i="23"/>
  <c r="G705" i="23"/>
  <c r="F705" i="23"/>
  <c r="E705" i="23"/>
  <c r="D705" i="23"/>
  <c r="C705" i="23"/>
  <c r="B705" i="23"/>
  <c r="G704" i="23"/>
  <c r="F704" i="23"/>
  <c r="E704" i="23"/>
  <c r="D704" i="23"/>
  <c r="C704" i="23"/>
  <c r="B704" i="23"/>
  <c r="G703" i="23"/>
  <c r="F703" i="23"/>
  <c r="E703" i="23"/>
  <c r="D703" i="23"/>
  <c r="C703" i="23"/>
  <c r="B703" i="23"/>
  <c r="G702" i="23"/>
  <c r="F702" i="23"/>
  <c r="E702" i="23"/>
  <c r="D702" i="23"/>
  <c r="C702" i="23"/>
  <c r="B702" i="23"/>
  <c r="AR701" i="23"/>
  <c r="AQ701" i="23"/>
  <c r="AP701" i="23"/>
  <c r="G701" i="23"/>
  <c r="F701" i="23"/>
  <c r="E701" i="23"/>
  <c r="D701" i="23"/>
  <c r="C701" i="23"/>
  <c r="B701" i="23"/>
  <c r="G700" i="23"/>
  <c r="F700" i="23"/>
  <c r="E700" i="23"/>
  <c r="D700" i="23"/>
  <c r="C700" i="23"/>
  <c r="B700" i="23"/>
  <c r="AR699" i="23"/>
  <c r="AQ699" i="23"/>
  <c r="AP699" i="23"/>
  <c r="G699" i="23"/>
  <c r="F699" i="23"/>
  <c r="E699" i="23"/>
  <c r="D699" i="23"/>
  <c r="C699" i="23"/>
  <c r="B699" i="23"/>
  <c r="G698" i="23"/>
  <c r="F698" i="23"/>
  <c r="E698" i="23"/>
  <c r="D698" i="23"/>
  <c r="C698" i="23"/>
  <c r="B698" i="23"/>
  <c r="AR697" i="23"/>
  <c r="AQ697" i="23"/>
  <c r="AP697" i="23"/>
  <c r="G697" i="23"/>
  <c r="F697" i="23"/>
  <c r="E697" i="23"/>
  <c r="D697" i="23"/>
  <c r="C697" i="23"/>
  <c r="B697" i="23"/>
  <c r="G696" i="23"/>
  <c r="F696" i="23"/>
  <c r="E696" i="23"/>
  <c r="D696" i="23"/>
  <c r="C696" i="23"/>
  <c r="B696" i="23"/>
  <c r="AR695" i="23"/>
  <c r="AQ695" i="23"/>
  <c r="AP695" i="23"/>
  <c r="G695" i="23"/>
  <c r="F695" i="23"/>
  <c r="E695" i="23"/>
  <c r="D695" i="23"/>
  <c r="C695" i="23"/>
  <c r="B695" i="23"/>
  <c r="G694" i="23"/>
  <c r="F694" i="23"/>
  <c r="E694" i="23"/>
  <c r="D694" i="23"/>
  <c r="C694" i="23"/>
  <c r="B694" i="23"/>
  <c r="AR693" i="23"/>
  <c r="AQ693" i="23"/>
  <c r="AP693" i="23"/>
  <c r="G693" i="23"/>
  <c r="F693" i="23"/>
  <c r="E693" i="23"/>
  <c r="D693" i="23"/>
  <c r="C693" i="23"/>
  <c r="B693" i="23"/>
  <c r="G692" i="23"/>
  <c r="F692" i="23"/>
  <c r="E692" i="23"/>
  <c r="D692" i="23"/>
  <c r="C692" i="23"/>
  <c r="B692" i="23"/>
  <c r="G691" i="23"/>
  <c r="F691" i="23"/>
  <c r="E691" i="23"/>
  <c r="D691" i="23"/>
  <c r="C691" i="23"/>
  <c r="B691" i="23"/>
  <c r="G690" i="23"/>
  <c r="F690" i="23"/>
  <c r="E690" i="23"/>
  <c r="D690" i="23"/>
  <c r="C690" i="23"/>
  <c r="B690" i="23"/>
  <c r="G689" i="23"/>
  <c r="F689" i="23"/>
  <c r="E689" i="23"/>
  <c r="D689" i="23"/>
  <c r="C689" i="23"/>
  <c r="B689" i="23"/>
  <c r="G688" i="23"/>
  <c r="F688" i="23"/>
  <c r="E688" i="23"/>
  <c r="D688" i="23"/>
  <c r="C688" i="23"/>
  <c r="B688" i="23"/>
  <c r="G687" i="23"/>
  <c r="F687" i="23"/>
  <c r="E687" i="23"/>
  <c r="D687" i="23"/>
  <c r="C687" i="23"/>
  <c r="B687" i="23"/>
  <c r="AR686" i="23"/>
  <c r="AQ686" i="23"/>
  <c r="AP686" i="23"/>
  <c r="G686" i="23"/>
  <c r="F686" i="23"/>
  <c r="E686" i="23"/>
  <c r="D686" i="23"/>
  <c r="C686" i="23"/>
  <c r="B686" i="23"/>
  <c r="G685" i="23"/>
  <c r="F685" i="23"/>
  <c r="E685" i="23"/>
  <c r="D685" i="23"/>
  <c r="C685" i="23"/>
  <c r="B685" i="23"/>
  <c r="AR684" i="23"/>
  <c r="AQ684" i="23"/>
  <c r="AP684" i="23"/>
  <c r="G684" i="23"/>
  <c r="F684" i="23"/>
  <c r="E684" i="23"/>
  <c r="D684" i="23"/>
  <c r="C684" i="23"/>
  <c r="B684" i="23"/>
  <c r="AR683" i="23"/>
  <c r="AQ683" i="23"/>
  <c r="G683" i="23"/>
  <c r="F683" i="23"/>
  <c r="E683" i="23"/>
  <c r="D683" i="23"/>
  <c r="C683" i="23"/>
  <c r="B683" i="23"/>
  <c r="AR682" i="23"/>
  <c r="AQ682" i="23"/>
  <c r="G682" i="23"/>
  <c r="F682" i="23"/>
  <c r="V668" i="23" s="1"/>
  <c r="E682" i="23"/>
  <c r="U668" i="23" s="1"/>
  <c r="D682" i="23"/>
  <c r="T668" i="23" s="1"/>
  <c r="C682" i="23"/>
  <c r="S668" i="23" s="1"/>
  <c r="B682" i="23"/>
  <c r="R668" i="23" s="1"/>
  <c r="Z681" i="23"/>
  <c r="G681" i="23"/>
  <c r="F681" i="23"/>
  <c r="V641" i="23" s="1"/>
  <c r="E681" i="23"/>
  <c r="U641" i="23" s="1"/>
  <c r="D681" i="23"/>
  <c r="T641" i="23" s="1"/>
  <c r="C681" i="23"/>
  <c r="S641" i="23" s="1"/>
  <c r="AL645" i="23" s="1"/>
  <c r="B681" i="23"/>
  <c r="AR680" i="23"/>
  <c r="AQ680" i="23"/>
  <c r="AP680" i="23"/>
  <c r="G680" i="23"/>
  <c r="F680" i="23"/>
  <c r="V640" i="23" s="1"/>
  <c r="E680" i="23"/>
  <c r="U640" i="23" s="1"/>
  <c r="D680" i="23"/>
  <c r="T640" i="23" s="1"/>
  <c r="C680" i="23"/>
  <c r="S640" i="23" s="1"/>
  <c r="B680" i="23"/>
  <c r="R640" i="23" s="1"/>
  <c r="AK649" i="23" s="1"/>
  <c r="G679" i="23"/>
  <c r="F679" i="23"/>
  <c r="V656" i="23" s="1"/>
  <c r="E679" i="23"/>
  <c r="U656" i="23" s="1"/>
  <c r="D679" i="23"/>
  <c r="T656" i="23" s="1"/>
  <c r="C679" i="23"/>
  <c r="S656" i="23" s="1"/>
  <c r="B679" i="23"/>
  <c r="R656" i="23" s="1"/>
  <c r="G678" i="23"/>
  <c r="F678" i="23"/>
  <c r="V657" i="23" s="1"/>
  <c r="E678" i="23"/>
  <c r="U657" i="23" s="1"/>
  <c r="D678" i="23"/>
  <c r="T657" i="23" s="1"/>
  <c r="C678" i="23"/>
  <c r="S657" i="23" s="1"/>
  <c r="AL655" i="23" s="1"/>
  <c r="B678" i="23"/>
  <c r="R657" i="23" s="1"/>
  <c r="G677" i="23"/>
  <c r="F677" i="23"/>
  <c r="V643" i="23" s="1"/>
  <c r="AO646" i="23" s="1"/>
  <c r="E677" i="23"/>
  <c r="U643" i="23" s="1"/>
  <c r="D677" i="23"/>
  <c r="T643" i="23" s="1"/>
  <c r="AM646" i="23" s="1"/>
  <c r="C677" i="23"/>
  <c r="S643" i="23" s="1"/>
  <c r="B677" i="23"/>
  <c r="R643" i="23" s="1"/>
  <c r="AK646" i="23" s="1"/>
  <c r="AR676" i="23"/>
  <c r="AQ676" i="23"/>
  <c r="AP676" i="23"/>
  <c r="G676" i="23"/>
  <c r="F676" i="23"/>
  <c r="V642" i="23" s="1"/>
  <c r="AO650" i="23" s="1"/>
  <c r="E676" i="23"/>
  <c r="U642" i="23" s="1"/>
  <c r="D676" i="23"/>
  <c r="T642" i="23" s="1"/>
  <c r="C676" i="23"/>
  <c r="S642" i="23" s="1"/>
  <c r="B676" i="23"/>
  <c r="R642" i="23" s="1"/>
  <c r="AK650" i="23" s="1"/>
  <c r="AR675" i="23"/>
  <c r="AQ675" i="23"/>
  <c r="AP675" i="23"/>
  <c r="G675" i="23"/>
  <c r="F675" i="23"/>
  <c r="V658" i="23" s="1"/>
  <c r="E675" i="23"/>
  <c r="U658" i="23" s="1"/>
  <c r="D675" i="23"/>
  <c r="T658" i="23" s="1"/>
  <c r="C675" i="23"/>
  <c r="S658" i="23" s="1"/>
  <c r="B675" i="23"/>
  <c r="AR674" i="23"/>
  <c r="AQ674" i="23"/>
  <c r="AP674" i="23"/>
  <c r="G674" i="23"/>
  <c r="F674" i="23"/>
  <c r="V645" i="23" s="1"/>
  <c r="E674" i="23"/>
  <c r="U645" i="23" s="1"/>
  <c r="D674" i="23"/>
  <c r="T645" i="23" s="1"/>
  <c r="C674" i="23"/>
  <c r="S645" i="23" s="1"/>
  <c r="B674" i="23"/>
  <c r="AR673" i="23"/>
  <c r="AQ673" i="23"/>
  <c r="AP673" i="23"/>
  <c r="G673" i="23"/>
  <c r="F673" i="23"/>
  <c r="V644" i="23" s="1"/>
  <c r="E673" i="23"/>
  <c r="U644" i="23" s="1"/>
  <c r="AN651" i="23" s="1"/>
  <c r="D673" i="23"/>
  <c r="T644" i="23" s="1"/>
  <c r="C673" i="23"/>
  <c r="S644" i="23" s="1"/>
  <c r="B673" i="23"/>
  <c r="AR672" i="23"/>
  <c r="AQ672" i="23"/>
  <c r="AP672" i="23"/>
  <c r="G672" i="23"/>
  <c r="F672" i="23"/>
  <c r="V646" i="23" s="1"/>
  <c r="E672" i="23"/>
  <c r="U646" i="23" s="1"/>
  <c r="D672" i="23"/>
  <c r="T646" i="23" s="1"/>
  <c r="C672" i="23"/>
  <c r="S646" i="23" s="1"/>
  <c r="AL652" i="23" s="1"/>
  <c r="B672" i="23"/>
  <c r="R646" i="23" s="1"/>
  <c r="AR671" i="23"/>
  <c r="AQ671" i="23"/>
  <c r="AP671" i="23"/>
  <c r="G671" i="23"/>
  <c r="F671" i="23"/>
  <c r="V659" i="23" s="1"/>
  <c r="E671" i="23"/>
  <c r="U659" i="23" s="1"/>
  <c r="D671" i="23"/>
  <c r="T659" i="23" s="1"/>
  <c r="C671" i="23"/>
  <c r="S659" i="23" s="1"/>
  <c r="AL657" i="23" s="1"/>
  <c r="B671" i="23"/>
  <c r="R659" i="23" s="1"/>
  <c r="AR670" i="23"/>
  <c r="AQ670" i="23"/>
  <c r="AP670" i="23"/>
  <c r="G670" i="23"/>
  <c r="F670" i="23"/>
  <c r="E670" i="23"/>
  <c r="D670" i="23"/>
  <c r="C670" i="23"/>
  <c r="B670" i="23"/>
  <c r="G669" i="23"/>
  <c r="F669" i="23"/>
  <c r="E669" i="23"/>
  <c r="D669" i="23"/>
  <c r="C669" i="23"/>
  <c r="B669" i="23"/>
  <c r="AR668" i="23"/>
  <c r="AQ668" i="23"/>
  <c r="AP668" i="23"/>
  <c r="G668" i="23"/>
  <c r="F668" i="23"/>
  <c r="E668" i="23"/>
  <c r="D668" i="23"/>
  <c r="C668" i="23"/>
  <c r="B668" i="23"/>
  <c r="AR667" i="23"/>
  <c r="AQ667" i="23"/>
  <c r="AP667" i="23"/>
  <c r="G667" i="23"/>
  <c r="F667" i="23"/>
  <c r="E667" i="23"/>
  <c r="D667" i="23"/>
  <c r="C667" i="23"/>
  <c r="B667" i="23"/>
  <c r="AR666" i="23"/>
  <c r="AQ666" i="23"/>
  <c r="AP666" i="23"/>
  <c r="G666" i="23"/>
  <c r="F666" i="23"/>
  <c r="E666" i="23"/>
  <c r="D666" i="23"/>
  <c r="C666" i="23"/>
  <c r="B666" i="23"/>
  <c r="AR665" i="23"/>
  <c r="AQ665" i="23"/>
  <c r="AP665" i="23"/>
  <c r="G665" i="23"/>
  <c r="F665" i="23"/>
  <c r="E665" i="23"/>
  <c r="D665" i="23"/>
  <c r="C665" i="23"/>
  <c r="B665" i="23"/>
  <c r="AR664" i="23"/>
  <c r="AQ664" i="23"/>
  <c r="AP664" i="23"/>
  <c r="G664" i="23"/>
  <c r="F664" i="23"/>
  <c r="E664" i="23"/>
  <c r="D664" i="23"/>
  <c r="C664" i="23"/>
  <c r="B664" i="23"/>
  <c r="AR663" i="23"/>
  <c r="AQ663" i="23"/>
  <c r="AP663" i="23"/>
  <c r="G663" i="23"/>
  <c r="F663" i="23"/>
  <c r="E663" i="23"/>
  <c r="D663" i="23"/>
  <c r="C663" i="23"/>
  <c r="B663" i="23"/>
  <c r="AR662" i="23"/>
  <c r="AQ662" i="23"/>
  <c r="AP662" i="23"/>
  <c r="G662" i="23"/>
  <c r="F662" i="23"/>
  <c r="E662" i="23"/>
  <c r="D662" i="23"/>
  <c r="C662" i="23"/>
  <c r="B662" i="23"/>
  <c r="G661" i="23"/>
  <c r="F661" i="23"/>
  <c r="V660" i="23" s="1"/>
  <c r="E661" i="23"/>
  <c r="U660" i="23" s="1"/>
  <c r="D661" i="23"/>
  <c r="T660" i="23" s="1"/>
  <c r="C661" i="23"/>
  <c r="S660" i="23" s="1"/>
  <c r="B661" i="23"/>
  <c r="R660" i="23" s="1"/>
  <c r="G660" i="23"/>
  <c r="F660" i="23"/>
  <c r="V647" i="23" s="1"/>
  <c r="E660" i="23"/>
  <c r="U647" i="23" s="1"/>
  <c r="D660" i="23"/>
  <c r="T647" i="23" s="1"/>
  <c r="AM662" i="23" s="1"/>
  <c r="C660" i="23"/>
  <c r="S647" i="23" s="1"/>
  <c r="B660" i="23"/>
  <c r="R647" i="23" s="1"/>
  <c r="G659" i="23"/>
  <c r="F659" i="23"/>
  <c r="V661" i="23" s="1"/>
  <c r="E659" i="23"/>
  <c r="U661" i="23" s="1"/>
  <c r="D659" i="23"/>
  <c r="T661" i="23" s="1"/>
  <c r="C659" i="23"/>
  <c r="S661" i="23" s="1"/>
  <c r="B659" i="23"/>
  <c r="R661" i="23" s="1"/>
  <c r="G658" i="23"/>
  <c r="F658" i="23"/>
  <c r="V649" i="23" s="1"/>
  <c r="E658" i="23"/>
  <c r="U649" i="23" s="1"/>
  <c r="D658" i="23"/>
  <c r="T649" i="23" s="1"/>
  <c r="C658" i="23"/>
  <c r="S649" i="23" s="1"/>
  <c r="AL664" i="23" s="1"/>
  <c r="B658" i="23"/>
  <c r="R649" i="23" s="1"/>
  <c r="AR657" i="23"/>
  <c r="AQ657" i="23"/>
  <c r="AP657" i="23"/>
  <c r="G657" i="23"/>
  <c r="F657" i="23"/>
  <c r="V663" i="23" s="1"/>
  <c r="E657" i="23"/>
  <c r="U663" i="23" s="1"/>
  <c r="D657" i="23"/>
  <c r="T663" i="23" s="1"/>
  <c r="C657" i="23"/>
  <c r="S663" i="23" s="1"/>
  <c r="B657" i="23"/>
  <c r="AR656" i="23"/>
  <c r="AQ656" i="23"/>
  <c r="AP656" i="23"/>
  <c r="G656" i="23"/>
  <c r="F656" i="23"/>
  <c r="V648" i="23" s="1"/>
  <c r="E656" i="23"/>
  <c r="U648" i="23" s="1"/>
  <c r="D656" i="23"/>
  <c r="T648" i="23" s="1"/>
  <c r="C656" i="23"/>
  <c r="S648" i="23" s="1"/>
  <c r="B656" i="23"/>
  <c r="R648" i="23" s="1"/>
  <c r="AR655" i="23"/>
  <c r="AQ655" i="23"/>
  <c r="AP655" i="23"/>
  <c r="G655" i="23"/>
  <c r="F655" i="23"/>
  <c r="V662" i="23" s="1"/>
  <c r="E655" i="23"/>
  <c r="U662" i="23" s="1"/>
  <c r="D655" i="23"/>
  <c r="T662" i="23" s="1"/>
  <c r="C655" i="23"/>
  <c r="S662" i="23" s="1"/>
  <c r="AL671" i="23" s="1"/>
  <c r="B655" i="23"/>
  <c r="R662" i="23" s="1"/>
  <c r="AR654" i="23"/>
  <c r="AQ654" i="23"/>
  <c r="AP654" i="23"/>
  <c r="G654" i="23"/>
  <c r="F654" i="23"/>
  <c r="V650" i="23" s="1"/>
  <c r="E654" i="23"/>
  <c r="U650" i="23" s="1"/>
  <c r="D654" i="23"/>
  <c r="T650" i="23" s="1"/>
  <c r="C654" i="23"/>
  <c r="S650" i="23" s="1"/>
  <c r="B654" i="23"/>
  <c r="R650" i="23" s="1"/>
  <c r="G653" i="23"/>
  <c r="F653" i="23"/>
  <c r="V664" i="23" s="1"/>
  <c r="E653" i="23"/>
  <c r="U664" i="23" s="1"/>
  <c r="D653" i="23"/>
  <c r="T664" i="23" s="1"/>
  <c r="C653" i="23"/>
  <c r="S664" i="23" s="1"/>
  <c r="B653" i="23"/>
  <c r="AR652" i="23"/>
  <c r="AQ652" i="23"/>
  <c r="AP652" i="23"/>
  <c r="G652" i="23"/>
  <c r="F652" i="23"/>
  <c r="E652" i="23"/>
  <c r="D652" i="23"/>
  <c r="C652" i="23"/>
  <c r="B652" i="23"/>
  <c r="AR651" i="23"/>
  <c r="AQ651" i="23"/>
  <c r="AP651" i="23"/>
  <c r="G651" i="23"/>
  <c r="F651" i="23"/>
  <c r="E651" i="23"/>
  <c r="D651" i="23"/>
  <c r="C651" i="23"/>
  <c r="B651" i="23"/>
  <c r="AR650" i="23"/>
  <c r="AQ650" i="23"/>
  <c r="AP650" i="23"/>
  <c r="G650" i="23"/>
  <c r="F650" i="23"/>
  <c r="E650" i="23"/>
  <c r="D650" i="23"/>
  <c r="C650" i="23"/>
  <c r="B650" i="23"/>
  <c r="AR649" i="23"/>
  <c r="AQ649" i="23"/>
  <c r="AP649" i="23"/>
  <c r="G649" i="23"/>
  <c r="F649" i="23"/>
  <c r="E649" i="23"/>
  <c r="D649" i="23"/>
  <c r="C649" i="23"/>
  <c r="B649" i="23"/>
  <c r="AR648" i="23"/>
  <c r="AQ648" i="23"/>
  <c r="AP648" i="23"/>
  <c r="G648" i="23"/>
  <c r="F648" i="23"/>
  <c r="E648" i="23"/>
  <c r="D648" i="23"/>
  <c r="C648" i="23"/>
  <c r="B648" i="23"/>
  <c r="AR647" i="23"/>
  <c r="AQ647" i="23"/>
  <c r="AP647" i="23"/>
  <c r="G647" i="23"/>
  <c r="F647" i="23"/>
  <c r="E647" i="23"/>
  <c r="D647" i="23"/>
  <c r="C647" i="23"/>
  <c r="B647" i="23"/>
  <c r="AR646" i="23"/>
  <c r="AQ646" i="23"/>
  <c r="AP646" i="23"/>
  <c r="G646" i="23"/>
  <c r="F646" i="23"/>
  <c r="V654" i="23" s="1"/>
  <c r="E646" i="23"/>
  <c r="U654" i="23" s="1"/>
  <c r="D646" i="23"/>
  <c r="T654" i="23" s="1"/>
  <c r="AM668" i="23" s="1"/>
  <c r="C646" i="23"/>
  <c r="S654" i="23" s="1"/>
  <c r="B646" i="23"/>
  <c r="R654" i="23" s="1"/>
  <c r="AR645" i="23"/>
  <c r="AQ645" i="23"/>
  <c r="AP645" i="23"/>
  <c r="G645" i="23"/>
  <c r="F645" i="23"/>
  <c r="V655" i="23" s="1"/>
  <c r="E645" i="23"/>
  <c r="U655" i="23" s="1"/>
  <c r="D645" i="23"/>
  <c r="T655" i="23" s="1"/>
  <c r="C645" i="23"/>
  <c r="S655" i="23" s="1"/>
  <c r="B645" i="23"/>
  <c r="R655" i="23" s="1"/>
  <c r="AR644" i="23"/>
  <c r="AQ644" i="23"/>
  <c r="AP644" i="23"/>
  <c r="G644" i="23"/>
  <c r="F644" i="23"/>
  <c r="V651" i="23" s="1"/>
  <c r="E644" i="23"/>
  <c r="U651" i="23" s="1"/>
  <c r="D644" i="23"/>
  <c r="C644" i="23"/>
  <c r="B644" i="23"/>
  <c r="G643" i="23"/>
  <c r="F643" i="23"/>
  <c r="V666" i="23" s="1"/>
  <c r="E643" i="23"/>
  <c r="U666" i="23" s="1"/>
  <c r="D643" i="23"/>
  <c r="T666" i="23" s="1"/>
  <c r="C643" i="23"/>
  <c r="S666" i="23" s="1"/>
  <c r="B643" i="23"/>
  <c r="R666" i="23" s="1"/>
  <c r="G642" i="23"/>
  <c r="F642" i="23"/>
  <c r="V653" i="23" s="1"/>
  <c r="E642" i="23"/>
  <c r="U653" i="23" s="1"/>
  <c r="D642" i="23"/>
  <c r="T653" i="23" s="1"/>
  <c r="C642" i="23"/>
  <c r="S653" i="23" s="1"/>
  <c r="B642" i="23"/>
  <c r="R653" i="23" s="1"/>
  <c r="AR641" i="23"/>
  <c r="AQ641" i="23"/>
  <c r="AP641" i="23"/>
  <c r="G641" i="23"/>
  <c r="F641" i="23"/>
  <c r="V667" i="23" s="1"/>
  <c r="E641" i="23"/>
  <c r="U667" i="23" s="1"/>
  <c r="D641" i="23"/>
  <c r="T667" i="23" s="1"/>
  <c r="C641" i="23"/>
  <c r="S667" i="23" s="1"/>
  <c r="B641" i="23"/>
  <c r="R667" i="23" s="1"/>
  <c r="AR640" i="23"/>
  <c r="AQ640" i="23"/>
  <c r="AP640" i="23"/>
  <c r="G640" i="23"/>
  <c r="F640" i="23"/>
  <c r="E640" i="23"/>
  <c r="D640" i="23"/>
  <c r="C640" i="23"/>
  <c r="B640" i="23"/>
  <c r="G639" i="23"/>
  <c r="F639" i="23"/>
  <c r="E639" i="23"/>
  <c r="D639" i="23"/>
  <c r="C639" i="23"/>
  <c r="B639" i="23"/>
  <c r="AJ638" i="23"/>
  <c r="AJ637" i="23"/>
  <c r="A637" i="23"/>
  <c r="D634" i="23"/>
  <c r="S634" i="23" s="1"/>
  <c r="C634" i="23"/>
  <c r="B634" i="23"/>
  <c r="A634" i="23"/>
  <c r="K634" i="23" s="1"/>
  <c r="G633" i="23"/>
  <c r="V633" i="23" s="1"/>
  <c r="F633" i="23"/>
  <c r="E633" i="23"/>
  <c r="T633" i="23" s="1"/>
  <c r="D633" i="23"/>
  <c r="B633" i="23"/>
  <c r="A633" i="23"/>
  <c r="G632" i="23"/>
  <c r="V632" i="23" s="1"/>
  <c r="E632" i="23"/>
  <c r="D632" i="23"/>
  <c r="C632" i="23"/>
  <c r="B632" i="23"/>
  <c r="A632" i="23"/>
  <c r="G628" i="23"/>
  <c r="F628" i="23"/>
  <c r="E628" i="23"/>
  <c r="D628" i="23"/>
  <c r="C628" i="23"/>
  <c r="B628" i="23"/>
  <c r="G627" i="23"/>
  <c r="F627" i="23"/>
  <c r="E627" i="23"/>
  <c r="D627" i="23"/>
  <c r="C627" i="23"/>
  <c r="B627" i="23"/>
  <c r="G626" i="23"/>
  <c r="F626" i="23"/>
  <c r="E626" i="23"/>
  <c r="D626" i="23"/>
  <c r="C626" i="23"/>
  <c r="B626" i="23"/>
  <c r="G625" i="23"/>
  <c r="F625" i="23"/>
  <c r="E625" i="23"/>
  <c r="D625" i="23"/>
  <c r="C625" i="23"/>
  <c r="B625" i="23"/>
  <c r="G624" i="23"/>
  <c r="F624" i="23"/>
  <c r="E624" i="23"/>
  <c r="D624" i="23"/>
  <c r="C624" i="23"/>
  <c r="B624" i="23"/>
  <c r="G623" i="23"/>
  <c r="F623" i="23"/>
  <c r="E623" i="23"/>
  <c r="D623" i="23"/>
  <c r="C623" i="23"/>
  <c r="B623" i="23"/>
  <c r="G622" i="23"/>
  <c r="F622" i="23"/>
  <c r="E622" i="23"/>
  <c r="D622" i="23"/>
  <c r="C622" i="23"/>
  <c r="B622" i="23"/>
  <c r="G621" i="23"/>
  <c r="F621" i="23"/>
  <c r="E621" i="23"/>
  <c r="D621" i="23"/>
  <c r="C621" i="23"/>
  <c r="B621" i="23"/>
  <c r="G620" i="23"/>
  <c r="F620" i="23"/>
  <c r="E620" i="23"/>
  <c r="D620" i="23"/>
  <c r="C620" i="23"/>
  <c r="B620" i="23"/>
  <c r="G619" i="23"/>
  <c r="F619" i="23"/>
  <c r="E619" i="23"/>
  <c r="D619" i="23"/>
  <c r="C619" i="23"/>
  <c r="B619" i="23"/>
  <c r="G618" i="23"/>
  <c r="F618" i="23"/>
  <c r="E618" i="23"/>
  <c r="D618" i="23"/>
  <c r="C618" i="23"/>
  <c r="B618" i="23"/>
  <c r="G617" i="23"/>
  <c r="F617" i="23"/>
  <c r="E617" i="23"/>
  <c r="D617" i="23"/>
  <c r="C617" i="23"/>
  <c r="B617" i="23"/>
  <c r="G616" i="23"/>
  <c r="F616" i="23"/>
  <c r="E616" i="23"/>
  <c r="D616" i="23"/>
  <c r="C616" i="23"/>
  <c r="B616" i="23"/>
  <c r="G615" i="23"/>
  <c r="F615" i="23"/>
  <c r="V474" i="23" s="1"/>
  <c r="E615" i="23"/>
  <c r="U474" i="23" s="1"/>
  <c r="D615" i="23"/>
  <c r="T474" i="23" s="1"/>
  <c r="C615" i="23"/>
  <c r="S474" i="23" s="1"/>
  <c r="B615" i="23"/>
  <c r="R474" i="23" s="1"/>
  <c r="G614" i="23"/>
  <c r="F614" i="23"/>
  <c r="V495" i="23" s="1"/>
  <c r="E614" i="23"/>
  <c r="U495" i="23" s="1"/>
  <c r="D614" i="23"/>
  <c r="T495" i="23" s="1"/>
  <c r="C614" i="23"/>
  <c r="S495" i="23" s="1"/>
  <c r="B614" i="23"/>
  <c r="R495" i="23" s="1"/>
  <c r="G613" i="23"/>
  <c r="F613" i="23"/>
  <c r="V494" i="23" s="1"/>
  <c r="E613" i="23"/>
  <c r="U494" i="23" s="1"/>
  <c r="D613" i="23"/>
  <c r="T494" i="23" s="1"/>
  <c r="C613" i="23"/>
  <c r="S494" i="23" s="1"/>
  <c r="B613" i="23"/>
  <c r="R494" i="23" s="1"/>
  <c r="G612" i="23"/>
  <c r="F612" i="23"/>
  <c r="V493" i="23" s="1"/>
  <c r="E612" i="23"/>
  <c r="U493" i="23" s="1"/>
  <c r="D612" i="23"/>
  <c r="T493" i="23" s="1"/>
  <c r="C612" i="23"/>
  <c r="S493" i="23" s="1"/>
  <c r="B612" i="23"/>
  <c r="R493" i="23" s="1"/>
  <c r="G611" i="23"/>
  <c r="F611" i="23"/>
  <c r="V492" i="23" s="1"/>
  <c r="E611" i="23"/>
  <c r="U492" i="23" s="1"/>
  <c r="D611" i="23"/>
  <c r="T492" i="23" s="1"/>
  <c r="C611" i="23"/>
  <c r="S492" i="23" s="1"/>
  <c r="B611" i="23"/>
  <c r="R492" i="23" s="1"/>
  <c r="G610" i="23"/>
  <c r="F610" i="23"/>
  <c r="E610" i="23"/>
  <c r="D610" i="23"/>
  <c r="C610" i="23"/>
  <c r="B610" i="23"/>
  <c r="G609" i="23"/>
  <c r="F609" i="23"/>
  <c r="E609" i="23"/>
  <c r="D609" i="23"/>
  <c r="C609" i="23"/>
  <c r="B609" i="23"/>
  <c r="G608" i="23"/>
  <c r="F608" i="23"/>
  <c r="E608" i="23"/>
  <c r="D608" i="23"/>
  <c r="C608" i="23"/>
  <c r="B608" i="23"/>
  <c r="G607" i="23"/>
  <c r="F607" i="23"/>
  <c r="E607" i="23"/>
  <c r="D607" i="23"/>
  <c r="C607" i="23"/>
  <c r="B607" i="23"/>
  <c r="G606" i="23"/>
  <c r="F606" i="23"/>
  <c r="V473" i="23" s="1"/>
  <c r="E606" i="23"/>
  <c r="U473" i="23" s="1"/>
  <c r="D606" i="23"/>
  <c r="T473" i="23" s="1"/>
  <c r="C606" i="23"/>
  <c r="S473" i="23" s="1"/>
  <c r="B606" i="23"/>
  <c r="R473" i="23" s="1"/>
  <c r="G605" i="23"/>
  <c r="F605" i="23"/>
  <c r="V471" i="23" s="1"/>
  <c r="E605" i="23"/>
  <c r="U471" i="23" s="1"/>
  <c r="D605" i="23"/>
  <c r="T471" i="23" s="1"/>
  <c r="C605" i="23"/>
  <c r="S471" i="23" s="1"/>
  <c r="B605" i="23"/>
  <c r="R471" i="23" s="1"/>
  <c r="G604" i="23"/>
  <c r="F604" i="23"/>
  <c r="V468" i="23" s="1"/>
  <c r="E604" i="23"/>
  <c r="U468" i="23" s="1"/>
  <c r="D604" i="23"/>
  <c r="T468" i="23" s="1"/>
  <c r="C604" i="23"/>
  <c r="S468" i="23" s="1"/>
  <c r="B604" i="23"/>
  <c r="R468" i="23" s="1"/>
  <c r="G603" i="23"/>
  <c r="F603" i="23"/>
  <c r="V467" i="23" s="1"/>
  <c r="E603" i="23"/>
  <c r="U467" i="23" s="1"/>
  <c r="D603" i="23"/>
  <c r="T467" i="23" s="1"/>
  <c r="C603" i="23"/>
  <c r="S467" i="23" s="1"/>
  <c r="B603" i="23"/>
  <c r="R467" i="23" s="1"/>
  <c r="G602" i="23"/>
  <c r="F602" i="23"/>
  <c r="E602" i="23"/>
  <c r="D602" i="23"/>
  <c r="C602" i="23"/>
  <c r="B602" i="23"/>
  <c r="G601" i="23"/>
  <c r="F601" i="23"/>
  <c r="E601" i="23"/>
  <c r="D601" i="23"/>
  <c r="C601" i="23"/>
  <c r="B601" i="23"/>
  <c r="G600" i="23"/>
  <c r="F600" i="23"/>
  <c r="E600" i="23"/>
  <c r="D600" i="23"/>
  <c r="C600" i="23"/>
  <c r="B600" i="23"/>
  <c r="G599" i="23"/>
  <c r="F599" i="23"/>
  <c r="V470" i="23" s="1"/>
  <c r="E599" i="23"/>
  <c r="U470" i="23" s="1"/>
  <c r="D599" i="23"/>
  <c r="T470" i="23" s="1"/>
  <c r="C599" i="23"/>
  <c r="S470" i="23" s="1"/>
  <c r="B599" i="23"/>
  <c r="R470" i="23" s="1"/>
  <c r="G598" i="23"/>
  <c r="F598" i="23"/>
  <c r="E598" i="23"/>
  <c r="D598" i="23"/>
  <c r="C598" i="23"/>
  <c r="B598" i="23"/>
  <c r="G597" i="23"/>
  <c r="F597" i="23"/>
  <c r="E597" i="23"/>
  <c r="D597" i="23"/>
  <c r="C597" i="23"/>
  <c r="B597" i="23"/>
  <c r="G596" i="23"/>
  <c r="F596" i="23"/>
  <c r="E596" i="23"/>
  <c r="D596" i="23"/>
  <c r="C596" i="23"/>
  <c r="B596" i="23"/>
  <c r="G595" i="23"/>
  <c r="F595" i="23"/>
  <c r="E595" i="23"/>
  <c r="D595" i="23"/>
  <c r="C595" i="23"/>
  <c r="B595" i="23"/>
  <c r="G594" i="23"/>
  <c r="F594" i="23"/>
  <c r="E594" i="23"/>
  <c r="D594" i="23"/>
  <c r="C594" i="23"/>
  <c r="B594" i="23"/>
  <c r="G593" i="23"/>
  <c r="F593" i="23"/>
  <c r="E593" i="23"/>
  <c r="D593" i="23"/>
  <c r="C593" i="23"/>
  <c r="B593" i="23"/>
  <c r="G592" i="23"/>
  <c r="F592" i="23"/>
  <c r="E592" i="23"/>
  <c r="D592" i="23"/>
  <c r="C592" i="23"/>
  <c r="B592" i="23"/>
  <c r="G591" i="23"/>
  <c r="F591" i="23"/>
  <c r="E591" i="23"/>
  <c r="D591" i="23"/>
  <c r="C591" i="23"/>
  <c r="B591" i="23"/>
  <c r="G590" i="23"/>
  <c r="F590" i="23"/>
  <c r="E590" i="23"/>
  <c r="D590" i="23"/>
  <c r="C590" i="23"/>
  <c r="B590" i="23"/>
  <c r="G589" i="23"/>
  <c r="F589" i="23"/>
  <c r="E589" i="23"/>
  <c r="D589" i="23"/>
  <c r="C589" i="23"/>
  <c r="B589" i="23"/>
  <c r="G588" i="23"/>
  <c r="F588" i="23"/>
  <c r="E588" i="23"/>
  <c r="D588" i="23"/>
  <c r="C588" i="23"/>
  <c r="B588" i="23"/>
  <c r="G587" i="23"/>
  <c r="F587" i="23"/>
  <c r="E587" i="23"/>
  <c r="D587" i="23"/>
  <c r="C587" i="23"/>
  <c r="B587" i="23"/>
  <c r="G586" i="23"/>
  <c r="F586" i="23"/>
  <c r="E586" i="23"/>
  <c r="D586" i="23"/>
  <c r="C586" i="23"/>
  <c r="B586" i="23"/>
  <c r="G585" i="23"/>
  <c r="F585" i="23"/>
  <c r="V487" i="23" s="1"/>
  <c r="E585" i="23"/>
  <c r="U487" i="23" s="1"/>
  <c r="D585" i="23"/>
  <c r="T487" i="23" s="1"/>
  <c r="C585" i="23"/>
  <c r="S487" i="23" s="1"/>
  <c r="B585" i="23"/>
  <c r="R487" i="23" s="1"/>
  <c r="G584" i="23"/>
  <c r="F584" i="23"/>
  <c r="E584" i="23"/>
  <c r="D584" i="23"/>
  <c r="T486" i="23" s="1"/>
  <c r="C584" i="23"/>
  <c r="S486" i="23" s="1"/>
  <c r="B584" i="23"/>
  <c r="G583" i="23"/>
  <c r="F583" i="23"/>
  <c r="E583" i="23"/>
  <c r="D583" i="23"/>
  <c r="C583" i="23"/>
  <c r="B583" i="23"/>
  <c r="G582" i="23"/>
  <c r="F582" i="23"/>
  <c r="E582" i="23"/>
  <c r="D582" i="23"/>
  <c r="C582" i="23"/>
  <c r="B582" i="23"/>
  <c r="G581" i="23"/>
  <c r="F581" i="23"/>
  <c r="V464" i="23" s="1"/>
  <c r="E581" i="23"/>
  <c r="U464" i="23" s="1"/>
  <c r="D581" i="23"/>
  <c r="C581" i="23"/>
  <c r="B581" i="23"/>
  <c r="G580" i="23"/>
  <c r="F580" i="23"/>
  <c r="E580" i="23"/>
  <c r="D580" i="23"/>
  <c r="C580" i="23"/>
  <c r="B580" i="23"/>
  <c r="G579" i="23"/>
  <c r="F579" i="23"/>
  <c r="E579" i="23"/>
  <c r="D579" i="23"/>
  <c r="C579" i="23"/>
  <c r="B579" i="23"/>
  <c r="G578" i="23"/>
  <c r="F578" i="23"/>
  <c r="E578" i="23"/>
  <c r="D578" i="23"/>
  <c r="C578" i="23"/>
  <c r="B578" i="23"/>
  <c r="G577" i="23"/>
  <c r="F577" i="23"/>
  <c r="E577" i="23"/>
  <c r="D577" i="23"/>
  <c r="C577" i="23"/>
  <c r="B577" i="23"/>
  <c r="G576" i="23"/>
  <c r="F576" i="23"/>
  <c r="E576" i="23"/>
  <c r="D576" i="23"/>
  <c r="C576" i="23"/>
  <c r="B576" i="23"/>
  <c r="G575" i="23"/>
  <c r="F575" i="23"/>
  <c r="E575" i="23"/>
  <c r="D575" i="23"/>
  <c r="C575" i="23"/>
  <c r="B575" i="23"/>
  <c r="G574" i="23"/>
  <c r="F574" i="23"/>
  <c r="E574" i="23"/>
  <c r="D574" i="23"/>
  <c r="C574" i="23"/>
  <c r="B574" i="23"/>
  <c r="G573" i="23"/>
  <c r="F573" i="23"/>
  <c r="E573" i="23"/>
  <c r="D573" i="23"/>
  <c r="C573" i="23"/>
  <c r="B573" i="23"/>
  <c r="G572" i="23"/>
  <c r="F572" i="23"/>
  <c r="E572" i="23"/>
  <c r="D572" i="23"/>
  <c r="C572" i="23"/>
  <c r="B572" i="23"/>
  <c r="G571" i="23"/>
  <c r="F571" i="23"/>
  <c r="E571" i="23"/>
  <c r="D571" i="23"/>
  <c r="C571" i="23"/>
  <c r="B571" i="23"/>
  <c r="G570" i="23"/>
  <c r="F570" i="23"/>
  <c r="E570" i="23"/>
  <c r="D570" i="23"/>
  <c r="C570" i="23"/>
  <c r="B570" i="23"/>
  <c r="G569" i="23"/>
  <c r="F569" i="23"/>
  <c r="E569" i="23"/>
  <c r="D569" i="23"/>
  <c r="C569" i="23"/>
  <c r="B569" i="23"/>
  <c r="G568" i="23"/>
  <c r="F568" i="23"/>
  <c r="E568" i="23"/>
  <c r="D568" i="23"/>
  <c r="C568" i="23"/>
  <c r="B568" i="23"/>
  <c r="G567" i="23"/>
  <c r="F567" i="23"/>
  <c r="E567" i="23"/>
  <c r="D567" i="23"/>
  <c r="C567" i="23"/>
  <c r="B567" i="23"/>
  <c r="G566" i="23"/>
  <c r="F566" i="23"/>
  <c r="E566" i="23"/>
  <c r="D566" i="23"/>
  <c r="C566" i="23"/>
  <c r="B566" i="23"/>
  <c r="G565" i="23"/>
  <c r="F565" i="23"/>
  <c r="AO481" i="23" s="1"/>
  <c r="E565" i="23"/>
  <c r="AN481" i="23" s="1"/>
  <c r="D565" i="23"/>
  <c r="AM481" i="23" s="1"/>
  <c r="C565" i="23"/>
  <c r="AL481" i="23" s="1"/>
  <c r="B565" i="23"/>
  <c r="AK481" i="23" s="1"/>
  <c r="G564" i="23"/>
  <c r="F564" i="23"/>
  <c r="E564" i="23"/>
  <c r="D564" i="23"/>
  <c r="C564" i="23"/>
  <c r="B564" i="23"/>
  <c r="G563" i="23"/>
  <c r="F563" i="23"/>
  <c r="E563" i="23"/>
  <c r="D563" i="23"/>
  <c r="C563" i="23"/>
  <c r="B563" i="23"/>
  <c r="G562" i="23"/>
  <c r="F562" i="23"/>
  <c r="E562" i="23"/>
  <c r="D562" i="23"/>
  <c r="C562" i="23"/>
  <c r="B562" i="23"/>
  <c r="G561" i="23"/>
  <c r="F561" i="23"/>
  <c r="E561" i="23"/>
  <c r="D561" i="23"/>
  <c r="C561" i="23"/>
  <c r="B561" i="23"/>
  <c r="G560" i="23"/>
  <c r="F560" i="23"/>
  <c r="E560" i="23"/>
  <c r="D560" i="23"/>
  <c r="C560" i="23"/>
  <c r="B560" i="23"/>
  <c r="G559" i="23"/>
  <c r="F559" i="23"/>
  <c r="E559" i="23"/>
  <c r="D559" i="23"/>
  <c r="C559" i="23"/>
  <c r="B559" i="23"/>
  <c r="G558" i="23"/>
  <c r="F558" i="23"/>
  <c r="AO480" i="23" s="1"/>
  <c r="E558" i="23"/>
  <c r="D558" i="23"/>
  <c r="AM480" i="23" s="1"/>
  <c r="C558" i="23"/>
  <c r="AL480" i="23" s="1"/>
  <c r="B558" i="23"/>
  <c r="AK480" i="23" s="1"/>
  <c r="G557" i="23"/>
  <c r="F557" i="23"/>
  <c r="E557" i="23"/>
  <c r="D557" i="23"/>
  <c r="C557" i="23"/>
  <c r="B557" i="23"/>
  <c r="G556" i="23"/>
  <c r="F556" i="23"/>
  <c r="E556" i="23"/>
  <c r="D556" i="23"/>
  <c r="C556" i="23"/>
  <c r="B556" i="23"/>
  <c r="G555" i="23"/>
  <c r="F555" i="23"/>
  <c r="E555" i="23"/>
  <c r="D555" i="23"/>
  <c r="C555" i="23"/>
  <c r="B555" i="23"/>
  <c r="G554" i="23"/>
  <c r="F554" i="23"/>
  <c r="E554" i="23"/>
  <c r="D554" i="23"/>
  <c r="C554" i="23"/>
  <c r="B554" i="23"/>
  <c r="G553" i="23"/>
  <c r="F553" i="23"/>
  <c r="E553" i="23"/>
  <c r="D553" i="23"/>
  <c r="C553" i="23"/>
  <c r="B553" i="23"/>
  <c r="G552" i="23"/>
  <c r="F552" i="23"/>
  <c r="E552" i="23"/>
  <c r="D552" i="23"/>
  <c r="C552" i="23"/>
  <c r="B552" i="23"/>
  <c r="G551" i="23"/>
  <c r="F551" i="23"/>
  <c r="E551" i="23"/>
  <c r="D551" i="23"/>
  <c r="C551" i="23"/>
  <c r="B551" i="23"/>
  <c r="G550" i="23"/>
  <c r="F550" i="23"/>
  <c r="E550" i="23"/>
  <c r="D550" i="23"/>
  <c r="C550" i="23"/>
  <c r="B550" i="23"/>
  <c r="G549" i="23"/>
  <c r="F549" i="23"/>
  <c r="E549" i="23"/>
  <c r="D549" i="23"/>
  <c r="C549" i="23"/>
  <c r="B549" i="23"/>
  <c r="G548" i="23"/>
  <c r="F548" i="23"/>
  <c r="E548" i="23"/>
  <c r="D548" i="23"/>
  <c r="C548" i="23"/>
  <c r="B548" i="23"/>
  <c r="G547" i="23"/>
  <c r="F547" i="23"/>
  <c r="AO479" i="23" s="1"/>
  <c r="E547" i="23"/>
  <c r="AN479" i="23" s="1"/>
  <c r="D547" i="23"/>
  <c r="AM479" i="23" s="1"/>
  <c r="C547" i="23"/>
  <c r="B547" i="23"/>
  <c r="G546" i="23"/>
  <c r="F546" i="23"/>
  <c r="E546" i="23"/>
  <c r="D546" i="23"/>
  <c r="C546" i="23"/>
  <c r="B546" i="23"/>
  <c r="G545" i="23"/>
  <c r="F545" i="23"/>
  <c r="E545" i="23"/>
  <c r="D545" i="23"/>
  <c r="C545" i="23"/>
  <c r="B545" i="23"/>
  <c r="G544" i="23"/>
  <c r="F544" i="23"/>
  <c r="AO477" i="23" s="1"/>
  <c r="E544" i="23"/>
  <c r="AN477" i="23" s="1"/>
  <c r="D544" i="23"/>
  <c r="C544" i="23"/>
  <c r="B544" i="23"/>
  <c r="G543" i="23"/>
  <c r="F543" i="23"/>
  <c r="E543" i="23"/>
  <c r="D543" i="23"/>
  <c r="C543" i="23"/>
  <c r="B543" i="23"/>
  <c r="G542" i="23"/>
  <c r="F542" i="23"/>
  <c r="E542" i="23"/>
  <c r="D542" i="23"/>
  <c r="C542" i="23"/>
  <c r="B542" i="23"/>
  <c r="G541" i="23"/>
  <c r="F541" i="23"/>
  <c r="AO495" i="23" s="1"/>
  <c r="E541" i="23"/>
  <c r="AN495" i="23" s="1"/>
  <c r="D541" i="23"/>
  <c r="C541" i="23"/>
  <c r="B541" i="23"/>
  <c r="G540" i="23"/>
  <c r="F540" i="23"/>
  <c r="AO494" i="23" s="1"/>
  <c r="E540" i="23"/>
  <c r="AN494" i="23" s="1"/>
  <c r="D540" i="23"/>
  <c r="C540" i="23"/>
  <c r="B540" i="23"/>
  <c r="G539" i="23"/>
  <c r="F539" i="23"/>
  <c r="V485" i="23" s="1"/>
  <c r="E539" i="23"/>
  <c r="U485" i="23" s="1"/>
  <c r="D539" i="23"/>
  <c r="T485" i="23" s="1"/>
  <c r="C539" i="23"/>
  <c r="S485" i="23" s="1"/>
  <c r="B539" i="23"/>
  <c r="R485" i="23" s="1"/>
  <c r="G538" i="23"/>
  <c r="F538" i="23"/>
  <c r="V484" i="23" s="1"/>
  <c r="AO492" i="23" s="1"/>
  <c r="E538" i="23"/>
  <c r="U484" i="23" s="1"/>
  <c r="D538" i="23"/>
  <c r="T484" i="23" s="1"/>
  <c r="C538" i="23"/>
  <c r="S484" i="23" s="1"/>
  <c r="B538" i="23"/>
  <c r="R484" i="23" s="1"/>
  <c r="G537" i="23"/>
  <c r="F537" i="23"/>
  <c r="E537" i="23"/>
  <c r="D537" i="23"/>
  <c r="C537" i="23"/>
  <c r="B537" i="23"/>
  <c r="G536" i="23"/>
  <c r="F536" i="23"/>
  <c r="V463" i="23" s="1"/>
  <c r="E536" i="23"/>
  <c r="U463" i="23" s="1"/>
  <c r="D536" i="23"/>
  <c r="T463" i="23" s="1"/>
  <c r="C536" i="23"/>
  <c r="S463" i="23" s="1"/>
  <c r="B536" i="23"/>
  <c r="R463" i="23" s="1"/>
  <c r="G535" i="23"/>
  <c r="F535" i="23"/>
  <c r="V462" i="23" s="1"/>
  <c r="E535" i="23"/>
  <c r="U462" i="23" s="1"/>
  <c r="D535" i="23"/>
  <c r="C535" i="23"/>
  <c r="AL476" i="23" s="1"/>
  <c r="B535" i="23"/>
  <c r="R462" i="23" s="1"/>
  <c r="G534" i="23"/>
  <c r="F534" i="23"/>
  <c r="E534" i="23"/>
  <c r="D534" i="23"/>
  <c r="C534" i="23"/>
  <c r="B534" i="23"/>
  <c r="G533" i="23"/>
  <c r="F533" i="23"/>
  <c r="E533" i="23"/>
  <c r="D533" i="23"/>
  <c r="C533" i="23"/>
  <c r="B533" i="23"/>
  <c r="G532" i="23"/>
  <c r="F532" i="23"/>
  <c r="E532" i="23"/>
  <c r="D532" i="23"/>
  <c r="C532" i="23"/>
  <c r="B532" i="23"/>
  <c r="G531" i="23"/>
  <c r="F531" i="23"/>
  <c r="V483" i="23" s="1"/>
  <c r="E531" i="23"/>
  <c r="U483" i="23" s="1"/>
  <c r="D531" i="23"/>
  <c r="T483" i="23" s="1"/>
  <c r="C531" i="23"/>
  <c r="S483" i="23" s="1"/>
  <c r="B531" i="23"/>
  <c r="R483" i="23" s="1"/>
  <c r="G530" i="23"/>
  <c r="F530" i="23"/>
  <c r="V482" i="23" s="1"/>
  <c r="E530" i="23"/>
  <c r="U482" i="23" s="1"/>
  <c r="D530" i="23"/>
  <c r="T482" i="23" s="1"/>
  <c r="C530" i="23"/>
  <c r="S482" i="23" s="1"/>
  <c r="B530" i="23"/>
  <c r="R482" i="23" s="1"/>
  <c r="G529" i="23"/>
  <c r="F529" i="23"/>
  <c r="E529" i="23"/>
  <c r="D529" i="23"/>
  <c r="C529" i="23"/>
  <c r="B529" i="23"/>
  <c r="G528" i="23"/>
  <c r="F528" i="23"/>
  <c r="E528" i="23"/>
  <c r="D528" i="23"/>
  <c r="C528" i="23"/>
  <c r="B528" i="23"/>
  <c r="G527" i="23"/>
  <c r="F527" i="23"/>
  <c r="E527" i="23"/>
  <c r="D527" i="23"/>
  <c r="C527" i="23"/>
  <c r="B527" i="23"/>
  <c r="G526" i="23"/>
  <c r="F526" i="23"/>
  <c r="V479" i="23" s="1"/>
  <c r="E526" i="23"/>
  <c r="U479" i="23" s="1"/>
  <c r="D526" i="23"/>
  <c r="T479" i="23" s="1"/>
  <c r="C526" i="23"/>
  <c r="S479" i="23" s="1"/>
  <c r="B526" i="23"/>
  <c r="R479" i="23" s="1"/>
  <c r="G525" i="23"/>
  <c r="F525" i="23"/>
  <c r="V478" i="23" s="1"/>
  <c r="E525" i="23"/>
  <c r="U478" i="23" s="1"/>
  <c r="D525" i="23"/>
  <c r="T478" i="23" s="1"/>
  <c r="C525" i="23"/>
  <c r="S478" i="23" s="1"/>
  <c r="B525" i="23"/>
  <c r="R478" i="23" s="1"/>
  <c r="G524" i="23"/>
  <c r="F524" i="23"/>
  <c r="E524" i="23"/>
  <c r="D524" i="23"/>
  <c r="C524" i="23"/>
  <c r="B524" i="23"/>
  <c r="G523" i="23"/>
  <c r="F523" i="23"/>
  <c r="E523" i="23"/>
  <c r="D523" i="23"/>
  <c r="C523" i="23"/>
  <c r="B523" i="23"/>
  <c r="G522" i="23"/>
  <c r="F522" i="23"/>
  <c r="V461" i="23" s="1"/>
  <c r="E522" i="23"/>
  <c r="U461" i="23" s="1"/>
  <c r="D522" i="23"/>
  <c r="T461" i="23" s="1"/>
  <c r="C522" i="23"/>
  <c r="S461" i="23" s="1"/>
  <c r="AL475" i="23" s="1"/>
  <c r="B522" i="23"/>
  <c r="R461" i="23" s="1"/>
  <c r="G521" i="23"/>
  <c r="AP474" i="23" s="1"/>
  <c r="F521" i="23"/>
  <c r="AO474" i="23" s="1"/>
  <c r="E521" i="23"/>
  <c r="D521" i="23"/>
  <c r="C521" i="23"/>
  <c r="B521" i="23"/>
  <c r="G520" i="23"/>
  <c r="AP473" i="23" s="1"/>
  <c r="F520" i="23"/>
  <c r="E520" i="23"/>
  <c r="D520" i="23"/>
  <c r="C520" i="23"/>
  <c r="B520" i="23"/>
  <c r="G519" i="23"/>
  <c r="F519" i="23"/>
  <c r="E519" i="23"/>
  <c r="D519" i="23"/>
  <c r="C519" i="23"/>
  <c r="B519" i="23"/>
  <c r="G518" i="23"/>
  <c r="F518" i="23"/>
  <c r="E518" i="23"/>
  <c r="D518" i="23"/>
  <c r="C518" i="23"/>
  <c r="B518" i="23"/>
  <c r="G517" i="23"/>
  <c r="F517" i="23"/>
  <c r="V477" i="23" s="1"/>
  <c r="E517" i="23"/>
  <c r="U477" i="23" s="1"/>
  <c r="D517" i="23"/>
  <c r="T477" i="23" s="1"/>
  <c r="C517" i="23"/>
  <c r="S477" i="23" s="1"/>
  <c r="B517" i="23"/>
  <c r="R477" i="23" s="1"/>
  <c r="G516" i="23"/>
  <c r="F516" i="23"/>
  <c r="V476" i="23" s="1"/>
  <c r="E516" i="23"/>
  <c r="U476" i="23" s="1"/>
  <c r="D516" i="23"/>
  <c r="T476" i="23" s="1"/>
  <c r="C516" i="23"/>
  <c r="S476" i="23" s="1"/>
  <c r="B516" i="23"/>
  <c r="R476" i="23" s="1"/>
  <c r="G515" i="23"/>
  <c r="F515" i="23"/>
  <c r="E515" i="23"/>
  <c r="D515" i="23"/>
  <c r="C515" i="23"/>
  <c r="B515" i="23"/>
  <c r="G514" i="23"/>
  <c r="F514" i="23"/>
  <c r="E514" i="23"/>
  <c r="D514" i="23"/>
  <c r="C514" i="23"/>
  <c r="B514" i="23"/>
  <c r="G513" i="23"/>
  <c r="F513" i="23"/>
  <c r="E513" i="23"/>
  <c r="D513" i="23"/>
  <c r="C513" i="23"/>
  <c r="B513" i="23"/>
  <c r="G512" i="23"/>
  <c r="F512" i="23"/>
  <c r="E512" i="23"/>
  <c r="D512" i="23"/>
  <c r="C512" i="23"/>
  <c r="B512" i="23"/>
  <c r="G511" i="23"/>
  <c r="F511" i="23"/>
  <c r="E511" i="23"/>
  <c r="D511" i="23"/>
  <c r="C511" i="23"/>
  <c r="B511" i="23"/>
  <c r="G510" i="23"/>
  <c r="F510" i="23"/>
  <c r="V481" i="23" s="1"/>
  <c r="E510" i="23"/>
  <c r="U481" i="23" s="1"/>
  <c r="D510" i="23"/>
  <c r="T481" i="23" s="1"/>
  <c r="C510" i="23"/>
  <c r="S481" i="23" s="1"/>
  <c r="B510" i="23"/>
  <c r="R481" i="23" s="1"/>
  <c r="G509" i="23"/>
  <c r="F509" i="23"/>
  <c r="V480" i="23" s="1"/>
  <c r="E509" i="23"/>
  <c r="U480" i="23" s="1"/>
  <c r="D509" i="23"/>
  <c r="T480" i="23" s="1"/>
  <c r="C509" i="23"/>
  <c r="S480" i="23" s="1"/>
  <c r="B509" i="23"/>
  <c r="R480" i="23" s="1"/>
  <c r="G508" i="23"/>
  <c r="F508" i="23"/>
  <c r="E508" i="23"/>
  <c r="D508" i="23"/>
  <c r="C508" i="23"/>
  <c r="B508" i="23"/>
  <c r="G507" i="23"/>
  <c r="F507" i="23"/>
  <c r="E507" i="23"/>
  <c r="D507" i="23"/>
  <c r="C507" i="23"/>
  <c r="B507" i="23"/>
  <c r="G506" i="23"/>
  <c r="F506" i="23"/>
  <c r="E506" i="23"/>
  <c r="D506" i="23"/>
  <c r="C506" i="23"/>
  <c r="B506" i="23"/>
  <c r="AS505" i="23"/>
  <c r="AS506" i="23" s="1"/>
  <c r="G505" i="23"/>
  <c r="F505" i="23"/>
  <c r="E505" i="23"/>
  <c r="D505" i="23"/>
  <c r="C505" i="23"/>
  <c r="B505" i="23"/>
  <c r="G504" i="23"/>
  <c r="F504" i="23"/>
  <c r="E504" i="23"/>
  <c r="D504" i="23"/>
  <c r="C504" i="23"/>
  <c r="B504" i="23"/>
  <c r="G503" i="23"/>
  <c r="F503" i="23"/>
  <c r="E503" i="23"/>
  <c r="D503" i="23"/>
  <c r="C503" i="23"/>
  <c r="B503" i="23"/>
  <c r="AR502" i="23"/>
  <c r="AQ502" i="23"/>
  <c r="AP502" i="23"/>
  <c r="G502" i="23"/>
  <c r="F502" i="23"/>
  <c r="E502" i="23"/>
  <c r="D502" i="23"/>
  <c r="C502" i="23"/>
  <c r="B502" i="23"/>
  <c r="G501" i="23"/>
  <c r="F501" i="23"/>
  <c r="E501" i="23"/>
  <c r="D501" i="23"/>
  <c r="C501" i="23"/>
  <c r="B501" i="23"/>
  <c r="G500" i="23"/>
  <c r="F500" i="23"/>
  <c r="E500" i="23"/>
  <c r="D500" i="23"/>
  <c r="C500" i="23"/>
  <c r="B500" i="23"/>
  <c r="AR499" i="23"/>
  <c r="AQ499" i="23"/>
  <c r="AP499" i="23"/>
  <c r="G499" i="23"/>
  <c r="F499" i="23"/>
  <c r="E499" i="23"/>
  <c r="D499" i="23"/>
  <c r="C499" i="23"/>
  <c r="B499" i="23"/>
  <c r="G498" i="23"/>
  <c r="F498" i="23"/>
  <c r="E498" i="23"/>
  <c r="D498" i="23"/>
  <c r="C498" i="23"/>
  <c r="B498" i="23"/>
  <c r="AR497" i="23"/>
  <c r="AQ497" i="23"/>
  <c r="AP497" i="23"/>
  <c r="G497" i="23"/>
  <c r="F497" i="23"/>
  <c r="E497" i="23"/>
  <c r="D497" i="23"/>
  <c r="C497" i="23"/>
  <c r="B497" i="23"/>
  <c r="AS496" i="23"/>
  <c r="G496" i="23"/>
  <c r="F496" i="23"/>
  <c r="E496" i="23"/>
  <c r="D496" i="23"/>
  <c r="C496" i="23"/>
  <c r="B496" i="23"/>
  <c r="G495" i="23"/>
  <c r="F495" i="23"/>
  <c r="E495" i="23"/>
  <c r="D495" i="23"/>
  <c r="C495" i="23"/>
  <c r="B495" i="23"/>
  <c r="G494" i="23"/>
  <c r="F494" i="23"/>
  <c r="E494" i="23"/>
  <c r="D494" i="23"/>
  <c r="C494" i="23"/>
  <c r="B494" i="23"/>
  <c r="G493" i="23"/>
  <c r="F493" i="23"/>
  <c r="E493" i="23"/>
  <c r="D493" i="23"/>
  <c r="C493" i="23"/>
  <c r="B493" i="23"/>
  <c r="AR492" i="23"/>
  <c r="AQ492" i="23"/>
  <c r="AP492" i="23"/>
  <c r="G492" i="23"/>
  <c r="F492" i="23"/>
  <c r="E492" i="23"/>
  <c r="D492" i="23"/>
  <c r="C492" i="23"/>
  <c r="B492" i="23"/>
  <c r="G491" i="23"/>
  <c r="F491" i="23"/>
  <c r="E491" i="23"/>
  <c r="D491" i="23"/>
  <c r="C491" i="23"/>
  <c r="B491" i="23"/>
  <c r="AR490" i="23"/>
  <c r="AQ490" i="23"/>
  <c r="AP490" i="23"/>
  <c r="G490" i="23"/>
  <c r="F490" i="23"/>
  <c r="E490" i="23"/>
  <c r="D490" i="23"/>
  <c r="C490" i="23"/>
  <c r="B490" i="23"/>
  <c r="G489" i="23"/>
  <c r="F489" i="23"/>
  <c r="E489" i="23"/>
  <c r="D489" i="23"/>
  <c r="C489" i="23"/>
  <c r="B489" i="23"/>
  <c r="AR488" i="23"/>
  <c r="AQ488" i="23"/>
  <c r="AP488" i="23"/>
  <c r="G488" i="23"/>
  <c r="F488" i="23"/>
  <c r="E488" i="23"/>
  <c r="D488" i="23"/>
  <c r="C488" i="23"/>
  <c r="B488" i="23"/>
  <c r="G487" i="23"/>
  <c r="F487" i="23"/>
  <c r="E487" i="23"/>
  <c r="D487" i="23"/>
  <c r="C487" i="23"/>
  <c r="B487" i="23"/>
  <c r="AR486" i="23"/>
  <c r="AQ486" i="23"/>
  <c r="AP486" i="23"/>
  <c r="G486" i="23"/>
  <c r="F486" i="23"/>
  <c r="E486" i="23"/>
  <c r="D486" i="23"/>
  <c r="C486" i="23"/>
  <c r="B486" i="23"/>
  <c r="G485" i="23"/>
  <c r="F485" i="23"/>
  <c r="E485" i="23"/>
  <c r="D485" i="23"/>
  <c r="C485" i="23"/>
  <c r="B485" i="23"/>
  <c r="AR484" i="23"/>
  <c r="AQ484" i="23"/>
  <c r="AP484" i="23"/>
  <c r="G484" i="23"/>
  <c r="F484" i="23"/>
  <c r="E484" i="23"/>
  <c r="D484" i="23"/>
  <c r="C484" i="23"/>
  <c r="B484" i="23"/>
  <c r="G483" i="23"/>
  <c r="F483" i="23"/>
  <c r="E483" i="23"/>
  <c r="D483" i="23"/>
  <c r="C483" i="23"/>
  <c r="B483" i="23"/>
  <c r="G482" i="23"/>
  <c r="F482" i="23"/>
  <c r="E482" i="23"/>
  <c r="D482" i="23"/>
  <c r="C482" i="23"/>
  <c r="B482" i="23"/>
  <c r="G481" i="23"/>
  <c r="F481" i="23"/>
  <c r="E481" i="23"/>
  <c r="D481" i="23"/>
  <c r="C481" i="23"/>
  <c r="B481" i="23"/>
  <c r="G480" i="23"/>
  <c r="F480" i="23"/>
  <c r="E480" i="23"/>
  <c r="D480" i="23"/>
  <c r="C480" i="23"/>
  <c r="B480" i="23"/>
  <c r="G479" i="23"/>
  <c r="F479" i="23"/>
  <c r="E479" i="23"/>
  <c r="D479" i="23"/>
  <c r="C479" i="23"/>
  <c r="B479" i="23"/>
  <c r="G478" i="23"/>
  <c r="F478" i="23"/>
  <c r="E478" i="23"/>
  <c r="D478" i="23"/>
  <c r="C478" i="23"/>
  <c r="B478" i="23"/>
  <c r="AR477" i="23"/>
  <c r="AQ477" i="23"/>
  <c r="AP477" i="23"/>
  <c r="G477" i="23"/>
  <c r="F477" i="23"/>
  <c r="E477" i="23"/>
  <c r="D477" i="23"/>
  <c r="C477" i="23"/>
  <c r="B477" i="23"/>
  <c r="G476" i="23"/>
  <c r="F476" i="23"/>
  <c r="E476" i="23"/>
  <c r="D476" i="23"/>
  <c r="C476" i="23"/>
  <c r="B476" i="23"/>
  <c r="AR475" i="23"/>
  <c r="AQ475" i="23"/>
  <c r="AP475" i="23"/>
  <c r="G475" i="23"/>
  <c r="F475" i="23"/>
  <c r="E475" i="23"/>
  <c r="D475" i="23"/>
  <c r="C475" i="23"/>
  <c r="B475" i="23"/>
  <c r="AR474" i="23"/>
  <c r="AQ474" i="23"/>
  <c r="G474" i="23"/>
  <c r="F474" i="23"/>
  <c r="E474" i="23"/>
  <c r="D474" i="23"/>
  <c r="C474" i="23"/>
  <c r="B474" i="23"/>
  <c r="AR473" i="23"/>
  <c r="AQ473" i="23"/>
  <c r="G473" i="23"/>
  <c r="F473" i="23"/>
  <c r="V459" i="23" s="1"/>
  <c r="E473" i="23"/>
  <c r="U459" i="23" s="1"/>
  <c r="D473" i="23"/>
  <c r="T459" i="23" s="1"/>
  <c r="C473" i="23"/>
  <c r="S459" i="23" s="1"/>
  <c r="B473" i="23"/>
  <c r="R459" i="23" s="1"/>
  <c r="AK471" i="23" s="1"/>
  <c r="Z472" i="23"/>
  <c r="G472" i="23"/>
  <c r="F472" i="23"/>
  <c r="V432" i="23" s="1"/>
  <c r="E472" i="23"/>
  <c r="U432" i="23" s="1"/>
  <c r="D472" i="23"/>
  <c r="T432" i="23" s="1"/>
  <c r="C472" i="23"/>
  <c r="S432" i="23" s="1"/>
  <c r="B472" i="23"/>
  <c r="R432" i="23" s="1"/>
  <c r="AR471" i="23"/>
  <c r="AQ471" i="23"/>
  <c r="AP471" i="23"/>
  <c r="G471" i="23"/>
  <c r="F471" i="23"/>
  <c r="V431" i="23" s="1"/>
  <c r="E471" i="23"/>
  <c r="U431" i="23" s="1"/>
  <c r="AN440" i="23" s="1"/>
  <c r="D471" i="23"/>
  <c r="T431" i="23" s="1"/>
  <c r="C471" i="23"/>
  <c r="S431" i="23" s="1"/>
  <c r="B471" i="23"/>
  <c r="R431" i="23" s="1"/>
  <c r="G470" i="23"/>
  <c r="F470" i="23"/>
  <c r="V447" i="23" s="1"/>
  <c r="E470" i="23"/>
  <c r="U447" i="23" s="1"/>
  <c r="D470" i="23"/>
  <c r="T447" i="23" s="1"/>
  <c r="C470" i="23"/>
  <c r="S447" i="23" s="1"/>
  <c r="B470" i="23"/>
  <c r="R447" i="23" s="1"/>
  <c r="G469" i="23"/>
  <c r="F469" i="23"/>
  <c r="V448" i="23" s="1"/>
  <c r="E469" i="23"/>
  <c r="U448" i="23" s="1"/>
  <c r="D469" i="23"/>
  <c r="T448" i="23" s="1"/>
  <c r="C469" i="23"/>
  <c r="S448" i="23" s="1"/>
  <c r="B469" i="23"/>
  <c r="R448" i="23" s="1"/>
  <c r="G468" i="23"/>
  <c r="F468" i="23"/>
  <c r="V434" i="23" s="1"/>
  <c r="E468" i="23"/>
  <c r="U434" i="23" s="1"/>
  <c r="D468" i="23"/>
  <c r="T434" i="23" s="1"/>
  <c r="C468" i="23"/>
  <c r="S434" i="23" s="1"/>
  <c r="B468" i="23"/>
  <c r="R434" i="23" s="1"/>
  <c r="AR467" i="23"/>
  <c r="AQ467" i="23"/>
  <c r="AP467" i="23"/>
  <c r="G467" i="23"/>
  <c r="F467" i="23"/>
  <c r="V433" i="23" s="1"/>
  <c r="E467" i="23"/>
  <c r="U433" i="23" s="1"/>
  <c r="D467" i="23"/>
  <c r="T433" i="23" s="1"/>
  <c r="C467" i="23"/>
  <c r="S433" i="23" s="1"/>
  <c r="AL441" i="23" s="1"/>
  <c r="B467" i="23"/>
  <c r="AR466" i="23"/>
  <c r="AQ466" i="23"/>
  <c r="AP466" i="23"/>
  <c r="G466" i="23"/>
  <c r="F466" i="23"/>
  <c r="V449" i="23" s="1"/>
  <c r="E466" i="23"/>
  <c r="U449" i="23" s="1"/>
  <c r="D466" i="23"/>
  <c r="T449" i="23" s="1"/>
  <c r="C466" i="23"/>
  <c r="S449" i="23" s="1"/>
  <c r="B466" i="23"/>
  <c r="AR465" i="23"/>
  <c r="AQ465" i="23"/>
  <c r="AP465" i="23"/>
  <c r="G465" i="23"/>
  <c r="F465" i="23"/>
  <c r="V436" i="23" s="1"/>
  <c r="E465" i="23"/>
  <c r="U436" i="23" s="1"/>
  <c r="D465" i="23"/>
  <c r="T436" i="23" s="1"/>
  <c r="C465" i="23"/>
  <c r="S436" i="23" s="1"/>
  <c r="B465" i="23"/>
  <c r="AR464" i="23"/>
  <c r="AQ464" i="23"/>
  <c r="AP464" i="23"/>
  <c r="G464" i="23"/>
  <c r="F464" i="23"/>
  <c r="V435" i="23" s="1"/>
  <c r="E464" i="23"/>
  <c r="U435" i="23" s="1"/>
  <c r="D464" i="23"/>
  <c r="T435" i="23" s="1"/>
  <c r="C464" i="23"/>
  <c r="S435" i="23" s="1"/>
  <c r="B464" i="23"/>
  <c r="R435" i="23" s="1"/>
  <c r="AK442" i="23" s="1"/>
  <c r="AR463" i="23"/>
  <c r="AQ463" i="23"/>
  <c r="AP463" i="23"/>
  <c r="G463" i="23"/>
  <c r="F463" i="23"/>
  <c r="V437" i="23" s="1"/>
  <c r="E463" i="23"/>
  <c r="U437" i="23" s="1"/>
  <c r="D463" i="23"/>
  <c r="T437" i="23" s="1"/>
  <c r="C463" i="23"/>
  <c r="S437" i="23" s="1"/>
  <c r="B463" i="23"/>
  <c r="R437" i="23" s="1"/>
  <c r="AR462" i="23"/>
  <c r="AQ462" i="23"/>
  <c r="AP462" i="23"/>
  <c r="G462" i="23"/>
  <c r="F462" i="23"/>
  <c r="V450" i="23" s="1"/>
  <c r="E462" i="23"/>
  <c r="U450" i="23" s="1"/>
  <c r="D462" i="23"/>
  <c r="T450" i="23" s="1"/>
  <c r="C462" i="23"/>
  <c r="S450" i="23" s="1"/>
  <c r="B462" i="23"/>
  <c r="R450" i="23" s="1"/>
  <c r="AR461" i="23"/>
  <c r="AQ461" i="23"/>
  <c r="AP461" i="23"/>
  <c r="G461" i="23"/>
  <c r="F461" i="23"/>
  <c r="E461" i="23"/>
  <c r="D461" i="23"/>
  <c r="C461" i="23"/>
  <c r="B461" i="23"/>
  <c r="G460" i="23"/>
  <c r="F460" i="23"/>
  <c r="E460" i="23"/>
  <c r="D460" i="23"/>
  <c r="C460" i="23"/>
  <c r="B460" i="23"/>
  <c r="AR459" i="23"/>
  <c r="AQ459" i="23"/>
  <c r="AP459" i="23"/>
  <c r="G459" i="23"/>
  <c r="F459" i="23"/>
  <c r="E459" i="23"/>
  <c r="D459" i="23"/>
  <c r="C459" i="23"/>
  <c r="B459" i="23"/>
  <c r="AR458" i="23"/>
  <c r="AQ458" i="23"/>
  <c r="AP458" i="23"/>
  <c r="G458" i="23"/>
  <c r="F458" i="23"/>
  <c r="E458" i="23"/>
  <c r="D458" i="23"/>
  <c r="C458" i="23"/>
  <c r="B458" i="23"/>
  <c r="AR457" i="23"/>
  <c r="AQ457" i="23"/>
  <c r="AP457" i="23"/>
  <c r="G457" i="23"/>
  <c r="F457" i="23"/>
  <c r="E457" i="23"/>
  <c r="D457" i="23"/>
  <c r="C457" i="23"/>
  <c r="B457" i="23"/>
  <c r="AR456" i="23"/>
  <c r="AQ456" i="23"/>
  <c r="AP456" i="23"/>
  <c r="G456" i="23"/>
  <c r="F456" i="23"/>
  <c r="E456" i="23"/>
  <c r="D456" i="23"/>
  <c r="C456" i="23"/>
  <c r="B456" i="23"/>
  <c r="AR455" i="23"/>
  <c r="AQ455" i="23"/>
  <c r="AP455" i="23"/>
  <c r="G455" i="23"/>
  <c r="F455" i="23"/>
  <c r="E455" i="23"/>
  <c r="D455" i="23"/>
  <c r="C455" i="23"/>
  <c r="B455" i="23"/>
  <c r="AR454" i="23"/>
  <c r="AQ454" i="23"/>
  <c r="AP454" i="23"/>
  <c r="G454" i="23"/>
  <c r="F454" i="23"/>
  <c r="E454" i="23"/>
  <c r="D454" i="23"/>
  <c r="C454" i="23"/>
  <c r="B454" i="23"/>
  <c r="AR453" i="23"/>
  <c r="AQ453" i="23"/>
  <c r="AP453" i="23"/>
  <c r="G453" i="23"/>
  <c r="F453" i="23"/>
  <c r="E453" i="23"/>
  <c r="D453" i="23"/>
  <c r="C453" i="23"/>
  <c r="B453" i="23"/>
  <c r="G452" i="23"/>
  <c r="F452" i="23"/>
  <c r="V451" i="23" s="1"/>
  <c r="E452" i="23"/>
  <c r="U451" i="23" s="1"/>
  <c r="D452" i="23"/>
  <c r="T451" i="23" s="1"/>
  <c r="C452" i="23"/>
  <c r="S451" i="23" s="1"/>
  <c r="B452" i="23"/>
  <c r="R451" i="23" s="1"/>
  <c r="G451" i="23"/>
  <c r="F451" i="23"/>
  <c r="V438" i="23" s="1"/>
  <c r="E451" i="23"/>
  <c r="U438" i="23" s="1"/>
  <c r="D451" i="23"/>
  <c r="T438" i="23" s="1"/>
  <c r="C451" i="23"/>
  <c r="S438" i="23" s="1"/>
  <c r="B451" i="23"/>
  <c r="R438" i="23" s="1"/>
  <c r="G450" i="23"/>
  <c r="F450" i="23"/>
  <c r="V452" i="23" s="1"/>
  <c r="AO461" i="23" s="1"/>
  <c r="E450" i="23"/>
  <c r="U452" i="23" s="1"/>
  <c r="D450" i="23"/>
  <c r="T452" i="23" s="1"/>
  <c r="C450" i="23"/>
  <c r="S452" i="23" s="1"/>
  <c r="B450" i="23"/>
  <c r="R452" i="23" s="1"/>
  <c r="G449" i="23"/>
  <c r="F449" i="23"/>
  <c r="V440" i="23" s="1"/>
  <c r="E449" i="23"/>
  <c r="U440" i="23" s="1"/>
  <c r="D449" i="23"/>
  <c r="T440" i="23" s="1"/>
  <c r="C449" i="23"/>
  <c r="S440" i="23" s="1"/>
  <c r="B449" i="23"/>
  <c r="R440" i="23" s="1"/>
  <c r="AR448" i="23"/>
  <c r="AQ448" i="23"/>
  <c r="AP448" i="23"/>
  <c r="G448" i="23"/>
  <c r="F448" i="23"/>
  <c r="V454" i="23" s="1"/>
  <c r="E448" i="23"/>
  <c r="U454" i="23" s="1"/>
  <c r="D448" i="23"/>
  <c r="T454" i="23" s="1"/>
  <c r="AM463" i="23" s="1"/>
  <c r="C448" i="23"/>
  <c r="S454" i="23" s="1"/>
  <c r="B448" i="23"/>
  <c r="AR447" i="23"/>
  <c r="AQ447" i="23"/>
  <c r="AP447" i="23"/>
  <c r="G447" i="23"/>
  <c r="F447" i="23"/>
  <c r="V439" i="23" s="1"/>
  <c r="E447" i="23"/>
  <c r="U439" i="23" s="1"/>
  <c r="AN454" i="23" s="1"/>
  <c r="D447" i="23"/>
  <c r="T439" i="23" s="1"/>
  <c r="C447" i="23"/>
  <c r="S439" i="23" s="1"/>
  <c r="B447" i="23"/>
  <c r="R439" i="23" s="1"/>
  <c r="AR446" i="23"/>
  <c r="AQ446" i="23"/>
  <c r="AP446" i="23"/>
  <c r="G446" i="23"/>
  <c r="F446" i="23"/>
  <c r="V453" i="23" s="1"/>
  <c r="E446" i="23"/>
  <c r="U453" i="23" s="1"/>
  <c r="D446" i="23"/>
  <c r="T453" i="23" s="1"/>
  <c r="C446" i="23"/>
  <c r="S453" i="23" s="1"/>
  <c r="B446" i="23"/>
  <c r="AR445" i="23"/>
  <c r="AQ445" i="23"/>
  <c r="AP445" i="23"/>
  <c r="G445" i="23"/>
  <c r="F445" i="23"/>
  <c r="V441" i="23" s="1"/>
  <c r="E445" i="23"/>
  <c r="U441" i="23" s="1"/>
  <c r="AN456" i="23" s="1"/>
  <c r="D445" i="23"/>
  <c r="T441" i="23" s="1"/>
  <c r="C445" i="23"/>
  <c r="S441" i="23" s="1"/>
  <c r="B445" i="23"/>
  <c r="R441" i="23" s="1"/>
  <c r="G444" i="23"/>
  <c r="F444" i="23"/>
  <c r="V455" i="23" s="1"/>
  <c r="E444" i="23"/>
  <c r="U455" i="23" s="1"/>
  <c r="D444" i="23"/>
  <c r="T455" i="23" s="1"/>
  <c r="C444" i="23"/>
  <c r="S455" i="23" s="1"/>
  <c r="B444" i="23"/>
  <c r="R455" i="23" s="1"/>
  <c r="AR443" i="23"/>
  <c r="AQ443" i="23"/>
  <c r="AP443" i="23"/>
  <c r="G443" i="23"/>
  <c r="F443" i="23"/>
  <c r="E443" i="23"/>
  <c r="D443" i="23"/>
  <c r="C443" i="23"/>
  <c r="B443" i="23"/>
  <c r="AR442" i="23"/>
  <c r="AQ442" i="23"/>
  <c r="AP442" i="23"/>
  <c r="G442" i="23"/>
  <c r="F442" i="23"/>
  <c r="E442" i="23"/>
  <c r="D442" i="23"/>
  <c r="C442" i="23"/>
  <c r="B442" i="23"/>
  <c r="AR441" i="23"/>
  <c r="AQ441" i="23"/>
  <c r="AP441" i="23"/>
  <c r="G441" i="23"/>
  <c r="F441" i="23"/>
  <c r="E441" i="23"/>
  <c r="D441" i="23"/>
  <c r="C441" i="23"/>
  <c r="B441" i="23"/>
  <c r="AR440" i="23"/>
  <c r="AQ440" i="23"/>
  <c r="AP440" i="23"/>
  <c r="G440" i="23"/>
  <c r="F440" i="23"/>
  <c r="E440" i="23"/>
  <c r="D440" i="23"/>
  <c r="C440" i="23"/>
  <c r="B440" i="23"/>
  <c r="AR439" i="23"/>
  <c r="AQ439" i="23"/>
  <c r="AP439" i="23"/>
  <c r="G439" i="23"/>
  <c r="F439" i="23"/>
  <c r="E439" i="23"/>
  <c r="D439" i="23"/>
  <c r="C439" i="23"/>
  <c r="B439" i="23"/>
  <c r="AR438" i="23"/>
  <c r="AQ438" i="23"/>
  <c r="AP438" i="23"/>
  <c r="G438" i="23"/>
  <c r="F438" i="23"/>
  <c r="E438" i="23"/>
  <c r="D438" i="23"/>
  <c r="C438" i="23"/>
  <c r="B438" i="23"/>
  <c r="AR437" i="23"/>
  <c r="AQ437" i="23"/>
  <c r="AP437" i="23"/>
  <c r="G437" i="23"/>
  <c r="F437" i="23"/>
  <c r="V445" i="23" s="1"/>
  <c r="E437" i="23"/>
  <c r="U445" i="23" s="1"/>
  <c r="D437" i="23"/>
  <c r="T445" i="23" s="1"/>
  <c r="C437" i="23"/>
  <c r="S445" i="23" s="1"/>
  <c r="B437" i="23"/>
  <c r="R445" i="23" s="1"/>
  <c r="AR436" i="23"/>
  <c r="AQ436" i="23"/>
  <c r="AP436" i="23"/>
  <c r="G436" i="23"/>
  <c r="F436" i="23"/>
  <c r="V446" i="23" s="1"/>
  <c r="E436" i="23"/>
  <c r="U446" i="23" s="1"/>
  <c r="D436" i="23"/>
  <c r="T446" i="23" s="1"/>
  <c r="C436" i="23"/>
  <c r="S446" i="23" s="1"/>
  <c r="B436" i="23"/>
  <c r="R446" i="23" s="1"/>
  <c r="AR435" i="23"/>
  <c r="AQ435" i="23"/>
  <c r="AP435" i="23"/>
  <c r="G435" i="23"/>
  <c r="F435" i="23"/>
  <c r="V443" i="23" s="1"/>
  <c r="E435" i="23"/>
  <c r="U442" i="23" s="1"/>
  <c r="D435" i="23"/>
  <c r="T443" i="23" s="1"/>
  <c r="C435" i="23"/>
  <c r="S442" i="23" s="1"/>
  <c r="B435" i="23"/>
  <c r="R443" i="23" s="1"/>
  <c r="G434" i="23"/>
  <c r="F434" i="23"/>
  <c r="V456" i="23" s="1"/>
  <c r="E434" i="23"/>
  <c r="U456" i="23" s="1"/>
  <c r="D434" i="23"/>
  <c r="T456" i="23" s="1"/>
  <c r="C434" i="23"/>
  <c r="B434" i="23"/>
  <c r="R457" i="23" s="1"/>
  <c r="G433" i="23"/>
  <c r="F433" i="23"/>
  <c r="V444" i="23" s="1"/>
  <c r="E433" i="23"/>
  <c r="U444" i="23" s="1"/>
  <c r="AN458" i="23" s="1"/>
  <c r="D433" i="23"/>
  <c r="T444" i="23" s="1"/>
  <c r="C433" i="23"/>
  <c r="S444" i="23" s="1"/>
  <c r="B433" i="23"/>
  <c r="R444" i="23" s="1"/>
  <c r="AR432" i="23"/>
  <c r="AQ432" i="23"/>
  <c r="AP432" i="23"/>
  <c r="G432" i="23"/>
  <c r="F432" i="23"/>
  <c r="V458" i="23" s="1"/>
  <c r="AO466" i="23" s="1"/>
  <c r="E432" i="23"/>
  <c r="U458" i="23" s="1"/>
  <c r="D432" i="23"/>
  <c r="T458" i="23" s="1"/>
  <c r="C432" i="23"/>
  <c r="S458" i="23" s="1"/>
  <c r="B432" i="23"/>
  <c r="R458" i="23" s="1"/>
  <c r="AR431" i="23"/>
  <c r="AQ431" i="23"/>
  <c r="AP431" i="23"/>
  <c r="G431" i="23"/>
  <c r="F431" i="23"/>
  <c r="E431" i="23"/>
  <c r="D431" i="23"/>
  <c r="C431" i="23"/>
  <c r="B431" i="23"/>
  <c r="G430" i="23"/>
  <c r="F430" i="23"/>
  <c r="E430" i="23"/>
  <c r="D430" i="23"/>
  <c r="C430" i="23"/>
  <c r="B430" i="23"/>
  <c r="AJ429" i="23"/>
  <c r="AJ428" i="23"/>
  <c r="A428" i="23"/>
  <c r="D425" i="23"/>
  <c r="S425" i="23" s="1"/>
  <c r="C425" i="23"/>
  <c r="R425" i="23" s="1"/>
  <c r="B425" i="23"/>
  <c r="A425" i="23"/>
  <c r="G424" i="23"/>
  <c r="V424" i="23" s="1"/>
  <c r="F424" i="23"/>
  <c r="U424" i="23" s="1"/>
  <c r="E424" i="23"/>
  <c r="D424" i="23"/>
  <c r="B424" i="23"/>
  <c r="A424" i="23"/>
  <c r="G423" i="23"/>
  <c r="V423" i="23" s="1"/>
  <c r="E423" i="23"/>
  <c r="D423" i="23"/>
  <c r="S423" i="23" s="1"/>
  <c r="C423" i="23"/>
  <c r="R423" i="23" s="1"/>
  <c r="B423" i="23"/>
  <c r="A423" i="23"/>
  <c r="Y421" i="23"/>
  <c r="X421" i="23"/>
  <c r="W421" i="23"/>
  <c r="G418" i="23"/>
  <c r="F418" i="23"/>
  <c r="E418" i="23"/>
  <c r="D418" i="23"/>
  <c r="C418" i="23"/>
  <c r="B418" i="23"/>
  <c r="G417" i="23"/>
  <c r="F417" i="23"/>
  <c r="E417" i="23"/>
  <c r="D417" i="23"/>
  <c r="C417" i="23"/>
  <c r="B417" i="23"/>
  <c r="G416" i="23"/>
  <c r="F416" i="23"/>
  <c r="E416" i="23"/>
  <c r="D416" i="23"/>
  <c r="C416" i="23"/>
  <c r="B416" i="23"/>
  <c r="G415" i="23"/>
  <c r="F415" i="23"/>
  <c r="E415" i="23"/>
  <c r="D415" i="23"/>
  <c r="C415" i="23"/>
  <c r="B415" i="23"/>
  <c r="G414" i="23"/>
  <c r="F414" i="23"/>
  <c r="E414" i="23"/>
  <c r="D414" i="23"/>
  <c r="C414" i="23"/>
  <c r="B414" i="23"/>
  <c r="G413" i="23"/>
  <c r="F413" i="23"/>
  <c r="E413" i="23"/>
  <c r="D413" i="23"/>
  <c r="C413" i="23"/>
  <c r="B413" i="23"/>
  <c r="G412" i="23"/>
  <c r="F412" i="23"/>
  <c r="E412" i="23"/>
  <c r="D412" i="23"/>
  <c r="C412" i="23"/>
  <c r="B412" i="23"/>
  <c r="G411" i="23"/>
  <c r="F411" i="23"/>
  <c r="E411" i="23"/>
  <c r="D411" i="23"/>
  <c r="C411" i="23"/>
  <c r="B411" i="23"/>
  <c r="G410" i="23"/>
  <c r="F410" i="23"/>
  <c r="E410" i="23"/>
  <c r="D410" i="23"/>
  <c r="C410" i="23"/>
  <c r="B410" i="23"/>
  <c r="G409" i="23"/>
  <c r="F409" i="23"/>
  <c r="E409" i="23"/>
  <c r="D409" i="23"/>
  <c r="C409" i="23"/>
  <c r="B409" i="23"/>
  <c r="G408" i="23"/>
  <c r="F408" i="23"/>
  <c r="E408" i="23"/>
  <c r="D408" i="23"/>
  <c r="C408" i="23"/>
  <c r="B408" i="23"/>
  <c r="G407" i="23"/>
  <c r="F407" i="23"/>
  <c r="E407" i="23"/>
  <c r="D407" i="23"/>
  <c r="C407" i="23"/>
  <c r="B407" i="23"/>
  <c r="G406" i="23"/>
  <c r="F406" i="23"/>
  <c r="E406" i="23"/>
  <c r="D406" i="23"/>
  <c r="C406" i="23"/>
  <c r="B406" i="23"/>
  <c r="G405" i="23"/>
  <c r="F405" i="23"/>
  <c r="E405" i="23"/>
  <c r="D405" i="23"/>
  <c r="C405" i="23"/>
  <c r="B405" i="23"/>
  <c r="G404" i="23"/>
  <c r="F404" i="23"/>
  <c r="E404" i="23"/>
  <c r="D404" i="23"/>
  <c r="C404" i="23"/>
  <c r="B404" i="23"/>
  <c r="G403" i="23"/>
  <c r="F403" i="23"/>
  <c r="E403" i="23"/>
  <c r="D403" i="23"/>
  <c r="C403" i="23"/>
  <c r="B403" i="23"/>
  <c r="G402" i="23"/>
  <c r="F402" i="23"/>
  <c r="E402" i="23"/>
  <c r="D402" i="23"/>
  <c r="C402" i="23"/>
  <c r="B402" i="23"/>
  <c r="G401" i="23"/>
  <c r="F401" i="23"/>
  <c r="E401" i="23"/>
  <c r="D401" i="23"/>
  <c r="C401" i="23"/>
  <c r="B401" i="23"/>
  <c r="G400" i="23"/>
  <c r="F400" i="23"/>
  <c r="E400" i="23"/>
  <c r="D400" i="23"/>
  <c r="C400" i="23"/>
  <c r="B400" i="23"/>
  <c r="G399" i="23"/>
  <c r="F399" i="23"/>
  <c r="E399" i="23"/>
  <c r="D399" i="23"/>
  <c r="C399" i="23"/>
  <c r="B399" i="23"/>
  <c r="G398" i="23"/>
  <c r="F398" i="23"/>
  <c r="E398" i="23"/>
  <c r="D398" i="23"/>
  <c r="C398" i="23"/>
  <c r="B398" i="23"/>
  <c r="G397" i="23"/>
  <c r="F397" i="23"/>
  <c r="E397" i="23"/>
  <c r="D397" i="23"/>
  <c r="C397" i="23"/>
  <c r="B397" i="23"/>
  <c r="G396" i="23"/>
  <c r="F396" i="23"/>
  <c r="E396" i="23"/>
  <c r="D396" i="23"/>
  <c r="C396" i="23"/>
  <c r="B396" i="23"/>
  <c r="G395" i="23"/>
  <c r="F395" i="23"/>
  <c r="E395" i="23"/>
  <c r="D395" i="23"/>
  <c r="C395" i="23"/>
  <c r="B395" i="23"/>
  <c r="G394" i="23"/>
  <c r="F394" i="23"/>
  <c r="E394" i="23"/>
  <c r="D394" i="23"/>
  <c r="C394" i="23"/>
  <c r="B394" i="23"/>
  <c r="G393" i="23"/>
  <c r="F393" i="23"/>
  <c r="E393" i="23"/>
  <c r="D393" i="23"/>
  <c r="C393" i="23"/>
  <c r="B393" i="23"/>
  <c r="G392" i="23"/>
  <c r="F392" i="23"/>
  <c r="E392" i="23"/>
  <c r="D392" i="23"/>
  <c r="C392" i="23"/>
  <c r="B392" i="23"/>
  <c r="G391" i="23"/>
  <c r="F391" i="23"/>
  <c r="E391" i="23"/>
  <c r="D391" i="23"/>
  <c r="C391" i="23"/>
  <c r="B391" i="23"/>
  <c r="G390" i="23"/>
  <c r="F390" i="23"/>
  <c r="E390" i="23"/>
  <c r="D390" i="23"/>
  <c r="C390" i="23"/>
  <c r="B390" i="23"/>
  <c r="G389" i="23"/>
  <c r="F389" i="23"/>
  <c r="E389" i="23"/>
  <c r="D389" i="23"/>
  <c r="C389" i="23"/>
  <c r="B389" i="23"/>
  <c r="G388" i="23"/>
  <c r="F388" i="23"/>
  <c r="E388" i="23"/>
  <c r="D388" i="23"/>
  <c r="C388" i="23"/>
  <c r="B388" i="23"/>
  <c r="G387" i="23"/>
  <c r="F387" i="23"/>
  <c r="E387" i="23"/>
  <c r="D387" i="23"/>
  <c r="C387" i="23"/>
  <c r="B387" i="23"/>
  <c r="G386" i="23"/>
  <c r="F386" i="23"/>
  <c r="E386" i="23"/>
  <c r="D386" i="23"/>
  <c r="C386" i="23"/>
  <c r="B386" i="23"/>
  <c r="G385" i="23"/>
  <c r="F385" i="23"/>
  <c r="E385" i="23"/>
  <c r="D385" i="23"/>
  <c r="C385" i="23"/>
  <c r="B385" i="23"/>
  <c r="G384" i="23"/>
  <c r="F384" i="23"/>
  <c r="E384" i="23"/>
  <c r="D384" i="23"/>
  <c r="C384" i="23"/>
  <c r="B384" i="23"/>
  <c r="G383" i="23"/>
  <c r="F383" i="23"/>
  <c r="E383" i="23"/>
  <c r="D383" i="23"/>
  <c r="C383" i="23"/>
  <c r="B383" i="23"/>
  <c r="G382" i="23"/>
  <c r="F382" i="23"/>
  <c r="E382" i="23"/>
  <c r="D382" i="23"/>
  <c r="C382" i="23"/>
  <c r="B382" i="23"/>
  <c r="G381" i="23"/>
  <c r="F381" i="23"/>
  <c r="E381" i="23"/>
  <c r="D381" i="23"/>
  <c r="C381" i="23"/>
  <c r="B381" i="23"/>
  <c r="G380" i="23"/>
  <c r="F380" i="23"/>
  <c r="E380" i="23"/>
  <c r="D380" i="23"/>
  <c r="C380" i="23"/>
  <c r="B380" i="23"/>
  <c r="G379" i="23"/>
  <c r="F379" i="23"/>
  <c r="E379" i="23"/>
  <c r="D379" i="23"/>
  <c r="C379" i="23"/>
  <c r="B379" i="23"/>
  <c r="G378" i="23"/>
  <c r="F378" i="23"/>
  <c r="E378" i="23"/>
  <c r="D378" i="23"/>
  <c r="C378" i="23"/>
  <c r="B378" i="23"/>
  <c r="G377" i="23"/>
  <c r="F377" i="23"/>
  <c r="E377" i="23"/>
  <c r="D377" i="23"/>
  <c r="C377" i="23"/>
  <c r="B377" i="23"/>
  <c r="G376" i="23"/>
  <c r="F376" i="23"/>
  <c r="E376" i="23"/>
  <c r="D376" i="23"/>
  <c r="C376" i="23"/>
  <c r="B376" i="23"/>
  <c r="G375" i="23"/>
  <c r="F375" i="23"/>
  <c r="E375" i="23"/>
  <c r="D375" i="23"/>
  <c r="C375" i="23"/>
  <c r="B375" i="23"/>
  <c r="G374" i="23"/>
  <c r="F374" i="23"/>
  <c r="E374" i="23"/>
  <c r="D374" i="23"/>
  <c r="C374" i="23"/>
  <c r="B374" i="23"/>
  <c r="G373" i="23"/>
  <c r="F373" i="23"/>
  <c r="E373" i="23"/>
  <c r="D373" i="23"/>
  <c r="C373" i="23"/>
  <c r="B373" i="23"/>
  <c r="G372" i="23"/>
  <c r="F372" i="23"/>
  <c r="E372" i="23"/>
  <c r="D372" i="23"/>
  <c r="C372" i="23"/>
  <c r="B372" i="23"/>
  <c r="G371" i="23"/>
  <c r="F371" i="23"/>
  <c r="E371" i="23"/>
  <c r="D371" i="23"/>
  <c r="C371" i="23"/>
  <c r="B371" i="23"/>
  <c r="G370" i="23"/>
  <c r="F370" i="23"/>
  <c r="E370" i="23"/>
  <c r="D370" i="23"/>
  <c r="C370" i="23"/>
  <c r="B370" i="23"/>
  <c r="G369" i="23"/>
  <c r="F369" i="23"/>
  <c r="E369" i="23"/>
  <c r="D369" i="23"/>
  <c r="C369" i="23"/>
  <c r="B369" i="23"/>
  <c r="G368" i="23"/>
  <c r="F368" i="23"/>
  <c r="E368" i="23"/>
  <c r="D368" i="23"/>
  <c r="C368" i="23"/>
  <c r="B368" i="23"/>
  <c r="G367" i="23"/>
  <c r="F367" i="23"/>
  <c r="E367" i="23"/>
  <c r="D367" i="23"/>
  <c r="C367" i="23"/>
  <c r="B367" i="23"/>
  <c r="G366" i="23"/>
  <c r="F366" i="23"/>
  <c r="E366" i="23"/>
  <c r="D366" i="23"/>
  <c r="C366" i="23"/>
  <c r="B366" i="23"/>
  <c r="G365" i="23"/>
  <c r="F365" i="23"/>
  <c r="E365" i="23"/>
  <c r="D365" i="23"/>
  <c r="C365" i="23"/>
  <c r="B365" i="23"/>
  <c r="G364" i="23"/>
  <c r="F364" i="23"/>
  <c r="E364" i="23"/>
  <c r="D364" i="23"/>
  <c r="C364" i="23"/>
  <c r="B364" i="23"/>
  <c r="G363" i="23"/>
  <c r="F363" i="23"/>
  <c r="E363" i="23"/>
  <c r="D363" i="23"/>
  <c r="C363" i="23"/>
  <c r="B363" i="23"/>
  <c r="G362" i="23"/>
  <c r="F362" i="23"/>
  <c r="E362" i="23"/>
  <c r="D362" i="23"/>
  <c r="C362" i="23"/>
  <c r="B362" i="23"/>
  <c r="G361" i="23"/>
  <c r="F361" i="23"/>
  <c r="E361" i="23"/>
  <c r="D361" i="23"/>
  <c r="C361" i="23"/>
  <c r="B361" i="23"/>
  <c r="G360" i="23"/>
  <c r="F360" i="23"/>
  <c r="E360" i="23"/>
  <c r="D360" i="23"/>
  <c r="C360" i="23"/>
  <c r="B360" i="23"/>
  <c r="G359" i="23"/>
  <c r="F359" i="23"/>
  <c r="E359" i="23"/>
  <c r="D359" i="23"/>
  <c r="C359" i="23"/>
  <c r="B359" i="23"/>
  <c r="G358" i="23"/>
  <c r="F358" i="23"/>
  <c r="E358" i="23"/>
  <c r="D358" i="23"/>
  <c r="C358" i="23"/>
  <c r="B358" i="23"/>
  <c r="G357" i="23"/>
  <c r="F357" i="23"/>
  <c r="E357" i="23"/>
  <c r="D357" i="23"/>
  <c r="C357" i="23"/>
  <c r="B357" i="23"/>
  <c r="G356" i="23"/>
  <c r="F356" i="23"/>
  <c r="E356" i="23"/>
  <c r="D356" i="23"/>
  <c r="C356" i="23"/>
  <c r="B356" i="23"/>
  <c r="G355" i="23"/>
  <c r="F355" i="23"/>
  <c r="E355" i="23"/>
  <c r="D355" i="23"/>
  <c r="C355" i="23"/>
  <c r="B355" i="23"/>
  <c r="G354" i="23"/>
  <c r="F354" i="23"/>
  <c r="E354" i="23"/>
  <c r="D354" i="23"/>
  <c r="C354" i="23"/>
  <c r="B354" i="23"/>
  <c r="G353" i="23"/>
  <c r="F353" i="23"/>
  <c r="E353" i="23"/>
  <c r="D353" i="23"/>
  <c r="C353" i="23"/>
  <c r="B353" i="23"/>
  <c r="G352" i="23"/>
  <c r="F352" i="23"/>
  <c r="E352" i="23"/>
  <c r="D352" i="23"/>
  <c r="C352" i="23"/>
  <c r="B352" i="23"/>
  <c r="G351" i="23"/>
  <c r="F351" i="23"/>
  <c r="E351" i="23"/>
  <c r="D351" i="23"/>
  <c r="C351" i="23"/>
  <c r="B351" i="23"/>
  <c r="G350" i="23"/>
  <c r="F350" i="23"/>
  <c r="E350" i="23"/>
  <c r="D350" i="23"/>
  <c r="C350" i="23"/>
  <c r="B350" i="23"/>
  <c r="G349" i="23"/>
  <c r="F349" i="23"/>
  <c r="E349" i="23"/>
  <c r="D349" i="23"/>
  <c r="C349" i="23"/>
  <c r="B349" i="23"/>
  <c r="G348" i="23"/>
  <c r="F348" i="23"/>
  <c r="E348" i="23"/>
  <c r="D348" i="23"/>
  <c r="C348" i="23"/>
  <c r="B348" i="23"/>
  <c r="G347" i="23"/>
  <c r="F347" i="23"/>
  <c r="E347" i="23"/>
  <c r="D347" i="23"/>
  <c r="C347" i="23"/>
  <c r="B347" i="23"/>
  <c r="G346" i="23"/>
  <c r="F346" i="23"/>
  <c r="E346" i="23"/>
  <c r="D346" i="23"/>
  <c r="C346" i="23"/>
  <c r="B346" i="23"/>
  <c r="G345" i="23"/>
  <c r="F345" i="23"/>
  <c r="E345" i="23"/>
  <c r="D345" i="23"/>
  <c r="C345" i="23"/>
  <c r="B345" i="23"/>
  <c r="G344" i="23"/>
  <c r="F344" i="23"/>
  <c r="E344" i="23"/>
  <c r="D344" i="23"/>
  <c r="C344" i="23"/>
  <c r="B344" i="23"/>
  <c r="G343" i="23"/>
  <c r="F343" i="23"/>
  <c r="E343" i="23"/>
  <c r="D343" i="23"/>
  <c r="C343" i="23"/>
  <c r="B343" i="23"/>
  <c r="G342" i="23"/>
  <c r="F342" i="23"/>
  <c r="E342" i="23"/>
  <c r="D342" i="23"/>
  <c r="C342" i="23"/>
  <c r="B342" i="23"/>
  <c r="G341" i="23"/>
  <c r="F341" i="23"/>
  <c r="E341" i="23"/>
  <c r="D341" i="23"/>
  <c r="C341" i="23"/>
  <c r="B341" i="23"/>
  <c r="G340" i="23"/>
  <c r="F340" i="23"/>
  <c r="E340" i="23"/>
  <c r="D340" i="23"/>
  <c r="C340" i="23"/>
  <c r="B340" i="23"/>
  <c r="G339" i="23"/>
  <c r="F339" i="23"/>
  <c r="E339" i="23"/>
  <c r="D339" i="23"/>
  <c r="C339" i="23"/>
  <c r="B339" i="23"/>
  <c r="G338" i="23"/>
  <c r="F338" i="23"/>
  <c r="E338" i="23"/>
  <c r="D338" i="23"/>
  <c r="C338" i="23"/>
  <c r="B338" i="23"/>
  <c r="G337" i="23"/>
  <c r="F337" i="23"/>
  <c r="E337" i="23"/>
  <c r="D337" i="23"/>
  <c r="C337" i="23"/>
  <c r="B337" i="23"/>
  <c r="G336" i="23"/>
  <c r="F336" i="23"/>
  <c r="E336" i="23"/>
  <c r="D336" i="23"/>
  <c r="C336" i="23"/>
  <c r="B336" i="23"/>
  <c r="G335" i="23"/>
  <c r="F335" i="23"/>
  <c r="E335" i="23"/>
  <c r="D335" i="23"/>
  <c r="C335" i="23"/>
  <c r="B335" i="23"/>
  <c r="G334" i="23"/>
  <c r="F334" i="23"/>
  <c r="E334" i="23"/>
  <c r="D334" i="23"/>
  <c r="C334" i="23"/>
  <c r="B334" i="23"/>
  <c r="G333" i="23"/>
  <c r="F333" i="23"/>
  <c r="E333" i="23"/>
  <c r="D333" i="23"/>
  <c r="C333" i="23"/>
  <c r="B333" i="23"/>
  <c r="G332" i="23"/>
  <c r="F332" i="23"/>
  <c r="E332" i="23"/>
  <c r="D332" i="23"/>
  <c r="C332" i="23"/>
  <c r="B332" i="23"/>
  <c r="G331" i="23"/>
  <c r="F331" i="23"/>
  <c r="E331" i="23"/>
  <c r="D331" i="23"/>
  <c r="C331" i="23"/>
  <c r="B331" i="23"/>
  <c r="G330" i="23"/>
  <c r="F330" i="23"/>
  <c r="E330" i="23"/>
  <c r="D330" i="23"/>
  <c r="C330" i="23"/>
  <c r="B330" i="23"/>
  <c r="G329" i="23"/>
  <c r="F329" i="23"/>
  <c r="E329" i="23"/>
  <c r="D329" i="23"/>
  <c r="C329" i="23"/>
  <c r="B329" i="23"/>
  <c r="G328" i="23"/>
  <c r="F328" i="23"/>
  <c r="E328" i="23"/>
  <c r="D328" i="23"/>
  <c r="C328" i="23"/>
  <c r="B328" i="23"/>
  <c r="G327" i="23"/>
  <c r="F327" i="23"/>
  <c r="E327" i="23"/>
  <c r="D327" i="23"/>
  <c r="C327" i="23"/>
  <c r="B327" i="23"/>
  <c r="G326" i="23"/>
  <c r="F326" i="23"/>
  <c r="E326" i="23"/>
  <c r="D326" i="23"/>
  <c r="C326" i="23"/>
  <c r="B326" i="23"/>
  <c r="G325" i="23"/>
  <c r="F325" i="23"/>
  <c r="E325" i="23"/>
  <c r="D325" i="23"/>
  <c r="C325" i="23"/>
  <c r="B325" i="23"/>
  <c r="G324" i="23"/>
  <c r="F324" i="23"/>
  <c r="E324" i="23"/>
  <c r="D324" i="23"/>
  <c r="C324" i="23"/>
  <c r="B324" i="23"/>
  <c r="G323" i="23"/>
  <c r="F323" i="23"/>
  <c r="E323" i="23"/>
  <c r="D323" i="23"/>
  <c r="C323" i="23"/>
  <c r="B323" i="23"/>
  <c r="G322" i="23"/>
  <c r="F322" i="23"/>
  <c r="E322" i="23"/>
  <c r="D322" i="23"/>
  <c r="C322" i="23"/>
  <c r="B322" i="23"/>
  <c r="G321" i="23"/>
  <c r="F321" i="23"/>
  <c r="E321" i="23"/>
  <c r="D321" i="23"/>
  <c r="C321" i="23"/>
  <c r="B321" i="23"/>
  <c r="G320" i="23"/>
  <c r="F320" i="23"/>
  <c r="E320" i="23"/>
  <c r="D320" i="23"/>
  <c r="C320" i="23"/>
  <c r="B320" i="23"/>
  <c r="G319" i="23"/>
  <c r="F319" i="23"/>
  <c r="E319" i="23"/>
  <c r="D319" i="23"/>
  <c r="C319" i="23"/>
  <c r="B319" i="23"/>
  <c r="G318" i="23"/>
  <c r="F318" i="23"/>
  <c r="E318" i="23"/>
  <c r="D318" i="23"/>
  <c r="C318" i="23"/>
  <c r="B318" i="23"/>
  <c r="G317" i="23"/>
  <c r="F317" i="23"/>
  <c r="E317" i="23"/>
  <c r="D317" i="23"/>
  <c r="C317" i="23"/>
  <c r="B317" i="23"/>
  <c r="G316" i="23"/>
  <c r="F316" i="23"/>
  <c r="E316" i="23"/>
  <c r="D316" i="23"/>
  <c r="C316" i="23"/>
  <c r="B316" i="23"/>
  <c r="G315" i="23"/>
  <c r="F315" i="23"/>
  <c r="E315" i="23"/>
  <c r="D315" i="23"/>
  <c r="C315" i="23"/>
  <c r="B315" i="23"/>
  <c r="G314" i="23"/>
  <c r="F314" i="23"/>
  <c r="E314" i="23"/>
  <c r="D314" i="23"/>
  <c r="C314" i="23"/>
  <c r="B314" i="23"/>
  <c r="G313" i="23"/>
  <c r="F313" i="23"/>
  <c r="E313" i="23"/>
  <c r="D313" i="23"/>
  <c r="C313" i="23"/>
  <c r="B313" i="23"/>
  <c r="G312" i="23"/>
  <c r="F312" i="23"/>
  <c r="E312" i="23"/>
  <c r="D312" i="23"/>
  <c r="C312" i="23"/>
  <c r="B312" i="23"/>
  <c r="G311" i="23"/>
  <c r="F311" i="23"/>
  <c r="E311" i="23"/>
  <c r="D311" i="23"/>
  <c r="C311" i="23"/>
  <c r="B311" i="23"/>
  <c r="G310" i="23"/>
  <c r="F310" i="23"/>
  <c r="E310" i="23"/>
  <c r="D310" i="23"/>
  <c r="C310" i="23"/>
  <c r="B310" i="23"/>
  <c r="G309" i="23"/>
  <c r="F309" i="23"/>
  <c r="E309" i="23"/>
  <c r="D309" i="23"/>
  <c r="C309" i="23"/>
  <c r="B309" i="23"/>
  <c r="G308" i="23"/>
  <c r="F308" i="23"/>
  <c r="E308" i="23"/>
  <c r="D308" i="23"/>
  <c r="C308" i="23"/>
  <c r="B308" i="23"/>
  <c r="G307" i="23"/>
  <c r="F307" i="23"/>
  <c r="E307" i="23"/>
  <c r="D307" i="23"/>
  <c r="C307" i="23"/>
  <c r="B307" i="23"/>
  <c r="G306" i="23"/>
  <c r="F306" i="23"/>
  <c r="E306" i="23"/>
  <c r="D306" i="23"/>
  <c r="C306" i="23"/>
  <c r="B306" i="23"/>
  <c r="G305" i="23"/>
  <c r="F305" i="23"/>
  <c r="E305" i="23"/>
  <c r="D305" i="23"/>
  <c r="C305" i="23"/>
  <c r="B305" i="23"/>
  <c r="G304" i="23"/>
  <c r="F304" i="23"/>
  <c r="E304" i="23"/>
  <c r="D304" i="23"/>
  <c r="C304" i="23"/>
  <c r="B304" i="23"/>
  <c r="G303" i="23"/>
  <c r="F303" i="23"/>
  <c r="E303" i="23"/>
  <c r="D303" i="23"/>
  <c r="C303" i="23"/>
  <c r="B303" i="23"/>
  <c r="G302" i="23"/>
  <c r="F302" i="23"/>
  <c r="E302" i="23"/>
  <c r="D302" i="23"/>
  <c r="C302" i="23"/>
  <c r="B302" i="23"/>
  <c r="G301" i="23"/>
  <c r="F301" i="23"/>
  <c r="E301" i="23"/>
  <c r="D301" i="23"/>
  <c r="C301" i="23"/>
  <c r="B301" i="23"/>
  <c r="G300" i="23"/>
  <c r="F300" i="23"/>
  <c r="E300" i="23"/>
  <c r="D300" i="23"/>
  <c r="C300" i="23"/>
  <c r="B300" i="23"/>
  <c r="G299" i="23"/>
  <c r="F299" i="23"/>
  <c r="E299" i="23"/>
  <c r="D299" i="23"/>
  <c r="C299" i="23"/>
  <c r="B299" i="23"/>
  <c r="G298" i="23"/>
  <c r="F298" i="23"/>
  <c r="E298" i="23"/>
  <c r="D298" i="23"/>
  <c r="C298" i="23"/>
  <c r="B298" i="23"/>
  <c r="G297" i="23"/>
  <c r="F297" i="23"/>
  <c r="E297" i="23"/>
  <c r="D297" i="23"/>
  <c r="C297" i="23"/>
  <c r="B297" i="23"/>
  <c r="AS296" i="23"/>
  <c r="AS297" i="23" s="1"/>
  <c r="G296" i="23"/>
  <c r="F296" i="23"/>
  <c r="E296" i="23"/>
  <c r="D296" i="23"/>
  <c r="C296" i="23"/>
  <c r="B296" i="23"/>
  <c r="G295" i="23"/>
  <c r="F295" i="23"/>
  <c r="E295" i="23"/>
  <c r="D295" i="23"/>
  <c r="C295" i="23"/>
  <c r="B295" i="23"/>
  <c r="G294" i="23"/>
  <c r="F294" i="23"/>
  <c r="E294" i="23"/>
  <c r="D294" i="23"/>
  <c r="C294" i="23"/>
  <c r="B294" i="23"/>
  <c r="AR293" i="23"/>
  <c r="AQ293" i="23"/>
  <c r="AP293" i="23"/>
  <c r="G293" i="23"/>
  <c r="F293" i="23"/>
  <c r="E293" i="23"/>
  <c r="D293" i="23"/>
  <c r="C293" i="23"/>
  <c r="B293" i="23"/>
  <c r="G292" i="23"/>
  <c r="F292" i="23"/>
  <c r="E292" i="23"/>
  <c r="D292" i="23"/>
  <c r="C292" i="23"/>
  <c r="B292" i="23"/>
  <c r="G291" i="23"/>
  <c r="F291" i="23"/>
  <c r="E291" i="23"/>
  <c r="D291" i="23"/>
  <c r="C291" i="23"/>
  <c r="B291" i="23"/>
  <c r="AR290" i="23"/>
  <c r="AQ290" i="23"/>
  <c r="AP290" i="23"/>
  <c r="G290" i="23"/>
  <c r="F290" i="23"/>
  <c r="E290" i="23"/>
  <c r="D290" i="23"/>
  <c r="C290" i="23"/>
  <c r="B290" i="23"/>
  <c r="G289" i="23"/>
  <c r="F289" i="23"/>
  <c r="E289" i="23"/>
  <c r="D289" i="23"/>
  <c r="C289" i="23"/>
  <c r="B289" i="23"/>
  <c r="AP67" i="22" l="1"/>
  <c r="AS917" i="23"/>
  <c r="AN89" i="22"/>
  <c r="AO499" i="23"/>
  <c r="U697" i="23"/>
  <c r="AO708" i="23"/>
  <c r="AP16" i="22"/>
  <c r="V489" i="23"/>
  <c r="AP68" i="22"/>
  <c r="AP65" i="22"/>
  <c r="S698" i="23"/>
  <c r="AN497" i="23"/>
  <c r="S697" i="23"/>
  <c r="AN291" i="23"/>
  <c r="T489" i="23"/>
  <c r="AO291" i="23"/>
  <c r="S488" i="23"/>
  <c r="AN500" i="23"/>
  <c r="BR79" i="23" s="1"/>
  <c r="AO709" i="23"/>
  <c r="AP56" i="22"/>
  <c r="AN499" i="23"/>
  <c r="BR78" i="23" s="1"/>
  <c r="AP46" i="22"/>
  <c r="AR886" i="23"/>
  <c r="AP13" i="22"/>
  <c r="AO497" i="23"/>
  <c r="AQ677" i="23"/>
  <c r="AP38" i="22"/>
  <c r="AJ31" i="22"/>
  <c r="AN709" i="23"/>
  <c r="AP468" i="23"/>
  <c r="AR659" i="23"/>
  <c r="AQ659" i="23" s="1"/>
  <c r="AP868" i="23"/>
  <c r="AP19" i="22"/>
  <c r="AQ468" i="23"/>
  <c r="AP886" i="23"/>
  <c r="AI31" i="22"/>
  <c r="AJ49" i="22"/>
  <c r="AI49" i="22"/>
  <c r="AR450" i="23"/>
  <c r="AQ450" i="23" s="1"/>
  <c r="AP450" i="23" s="1"/>
  <c r="AP677" i="23"/>
  <c r="AQ886" i="23"/>
  <c r="AL31" i="22"/>
  <c r="AP659" i="23"/>
  <c r="X31" i="22"/>
  <c r="AP27" i="22" s="1"/>
  <c r="AK31" i="22"/>
  <c r="AP21" i="22"/>
  <c r="AP20" i="22"/>
  <c r="AL49" i="22"/>
  <c r="AK49" i="22" s="1"/>
  <c r="V700" i="23"/>
  <c r="V475" i="23"/>
  <c r="S489" i="23"/>
  <c r="AL849" i="23"/>
  <c r="U700" i="23"/>
  <c r="AO473" i="23"/>
  <c r="T462" i="23"/>
  <c r="T464" i="23"/>
  <c r="R488" i="23"/>
  <c r="R486" i="23"/>
  <c r="AK849" i="23"/>
  <c r="R490" i="23"/>
  <c r="V430" i="23"/>
  <c r="AO431" i="23" s="1"/>
  <c r="AS920" i="23"/>
  <c r="Z892" i="23"/>
  <c r="Z894" i="23"/>
  <c r="Z895" i="23"/>
  <c r="AS895" i="23"/>
  <c r="AS898" i="23"/>
  <c r="Z908" i="23"/>
  <c r="S669" i="23"/>
  <c r="U669" i="23"/>
  <c r="S699" i="23"/>
  <c r="AN711" i="23"/>
  <c r="S674" i="23"/>
  <c r="S684" i="23"/>
  <c r="S675" i="23"/>
  <c r="U675" i="23"/>
  <c r="S678" i="23"/>
  <c r="U639" i="23"/>
  <c r="AN640" i="23" s="1"/>
  <c r="S639" i="23"/>
  <c r="AL640" i="23" s="1"/>
  <c r="AL685" i="23"/>
  <c r="AL688" i="23"/>
  <c r="R699" i="23"/>
  <c r="AO710" i="23"/>
  <c r="AN708" i="23"/>
  <c r="R684" i="23"/>
  <c r="V684" i="23"/>
  <c r="T460" i="23"/>
  <c r="R460" i="23"/>
  <c r="R465" i="23"/>
  <c r="T490" i="23"/>
  <c r="R491" i="23"/>
  <c r="AO502" i="23"/>
  <c r="T475" i="23"/>
  <c r="T466" i="23"/>
  <c r="R466" i="23"/>
  <c r="V466" i="23"/>
  <c r="T469" i="23"/>
  <c r="V469" i="23"/>
  <c r="R430" i="23"/>
  <c r="T430" i="23"/>
  <c r="AN683" i="23"/>
  <c r="AN691" i="23"/>
  <c r="V460" i="23"/>
  <c r="R489" i="23"/>
  <c r="AN710" i="23"/>
  <c r="S700" i="23"/>
  <c r="AK850" i="23"/>
  <c r="AO850" i="23"/>
  <c r="AL463" i="23"/>
  <c r="AK686" i="23"/>
  <c r="U678" i="23"/>
  <c r="U684" i="23"/>
  <c r="AO290" i="23"/>
  <c r="AM691" i="23"/>
  <c r="AL691" i="23" s="1"/>
  <c r="AO293" i="23"/>
  <c r="AM651" i="23"/>
  <c r="AS919" i="23"/>
  <c r="AK854" i="23"/>
  <c r="AO445" i="23"/>
  <c r="AM644" i="23"/>
  <c r="AO655" i="23"/>
  <c r="AK655" i="23"/>
  <c r="U698" i="23"/>
  <c r="U699" i="23"/>
  <c r="AN857" i="23"/>
  <c r="V490" i="23"/>
  <c r="T491" i="23"/>
  <c r="U674" i="23"/>
  <c r="AL682" i="23"/>
  <c r="R700" i="23"/>
  <c r="T675" i="23"/>
  <c r="AN292" i="23"/>
  <c r="AN648" i="23"/>
  <c r="AL873" i="23"/>
  <c r="AM863" i="23"/>
  <c r="AS703" i="23"/>
  <c r="AO857" i="23"/>
  <c r="AO292" i="23"/>
  <c r="T671" i="23"/>
  <c r="S671" i="23" s="1"/>
  <c r="T673" i="23"/>
  <c r="AO682" i="23"/>
  <c r="AM683" i="23"/>
  <c r="AL683" i="23" s="1"/>
  <c r="AO706" i="23"/>
  <c r="AN706" i="23" s="1"/>
  <c r="AS706" i="23" s="1"/>
  <c r="S861" i="23"/>
  <c r="R861" i="23" s="1"/>
  <c r="Z884" i="23"/>
  <c r="Z896" i="23"/>
  <c r="Z911" i="23"/>
  <c r="AS912" i="23"/>
  <c r="Z683" i="23"/>
  <c r="AN445" i="23"/>
  <c r="AO435" i="23"/>
  <c r="S460" i="23"/>
  <c r="S465" i="23"/>
  <c r="U490" i="23"/>
  <c r="S491" i="23"/>
  <c r="U465" i="23"/>
  <c r="S490" i="23"/>
  <c r="U475" i="23"/>
  <c r="U466" i="23"/>
  <c r="S466" i="23"/>
  <c r="U469" i="23"/>
  <c r="S430" i="23"/>
  <c r="AL431" i="23" s="1"/>
  <c r="T674" i="23"/>
  <c r="R697" i="23"/>
  <c r="T698" i="23"/>
  <c r="T669" i="23"/>
  <c r="R669" i="23"/>
  <c r="V669" i="23"/>
  <c r="V674" i="23"/>
  <c r="T699" i="23"/>
  <c r="AO711" i="23"/>
  <c r="T684" i="23"/>
  <c r="R675" i="23"/>
  <c r="V675" i="23"/>
  <c r="T678" i="23"/>
  <c r="R639" i="23"/>
  <c r="V639" i="23"/>
  <c r="AO640" i="23" s="1"/>
  <c r="T639" i="23"/>
  <c r="AM640" i="23" s="1"/>
  <c r="AL856" i="23"/>
  <c r="AK873" i="23"/>
  <c r="AO864" i="23"/>
  <c r="Z885" i="23"/>
  <c r="Z887" i="23"/>
  <c r="Z477" i="23"/>
  <c r="AN474" i="23"/>
  <c r="AM474" i="23" s="1"/>
  <c r="AS481" i="23"/>
  <c r="U489" i="23"/>
  <c r="R469" i="23"/>
  <c r="R475" i="23"/>
  <c r="AK682" i="23"/>
  <c r="AN853" i="23"/>
  <c r="Z852" i="23"/>
  <c r="AS855" i="23" s="1"/>
  <c r="Z878" i="23"/>
  <c r="Z880" i="23"/>
  <c r="AM850" i="23"/>
  <c r="Z893" i="23"/>
  <c r="Z905" i="23"/>
  <c r="AM454" i="23"/>
  <c r="AL454" i="23" s="1"/>
  <c r="AO448" i="23"/>
  <c r="AN448" i="23" s="1"/>
  <c r="AM448" i="23" s="1"/>
  <c r="AL448" i="23" s="1"/>
  <c r="AK448" i="23" s="1"/>
  <c r="V465" i="23"/>
  <c r="AK476" i="23"/>
  <c r="AS495" i="23"/>
  <c r="AO501" i="23"/>
  <c r="AL646" i="23"/>
  <c r="Z661" i="23"/>
  <c r="AS670" i="23" s="1"/>
  <c r="Z693" i="23"/>
  <c r="Z694" i="23"/>
  <c r="AO849" i="23"/>
  <c r="Z903" i="23"/>
  <c r="AM439" i="23"/>
  <c r="T465" i="23"/>
  <c r="Z484" i="23"/>
  <c r="V491" i="23"/>
  <c r="Z493" i="23"/>
  <c r="AL651" i="23"/>
  <c r="AK671" i="23"/>
  <c r="AK664" i="23"/>
  <c r="Z670" i="23"/>
  <c r="Z680" i="23"/>
  <c r="Z704" i="23"/>
  <c r="AO446" i="23"/>
  <c r="AN446" i="23" s="1"/>
  <c r="AM477" i="23"/>
  <c r="AL477" i="23" s="1"/>
  <c r="AK477" i="23" s="1"/>
  <c r="AS477" i="23" s="1"/>
  <c r="T632" i="23"/>
  <c r="Z647" i="23"/>
  <c r="AS662" i="23" s="1"/>
  <c r="AK696" i="23"/>
  <c r="AL872" i="23"/>
  <c r="AK872" i="23" s="1"/>
  <c r="Z912" i="23"/>
  <c r="V699" i="23"/>
  <c r="T700" i="23"/>
  <c r="AN859" i="23"/>
  <c r="AM859" i="23" s="1"/>
  <c r="Z446" i="23"/>
  <c r="AS467" i="23" s="1"/>
  <c r="Z445" i="23"/>
  <c r="AS459" i="23" s="1"/>
  <c r="Z439" i="23"/>
  <c r="AS454" i="23" s="1"/>
  <c r="Z480" i="23"/>
  <c r="AS494" i="23"/>
  <c r="Z487" i="23"/>
  <c r="Z467" i="23"/>
  <c r="Z471" i="23"/>
  <c r="Z492" i="23"/>
  <c r="S475" i="23"/>
  <c r="U430" i="23"/>
  <c r="AN431" i="23" s="1"/>
  <c r="S632" i="23"/>
  <c r="R632" i="23" s="1"/>
  <c r="K632" i="23" s="1"/>
  <c r="AM648" i="23"/>
  <c r="Z666" i="23"/>
  <c r="Z660" i="23"/>
  <c r="Z677" i="23"/>
  <c r="Z679" i="23"/>
  <c r="AO644" i="23"/>
  <c r="Z668" i="23"/>
  <c r="AS680" i="23" s="1"/>
  <c r="Z688" i="23"/>
  <c r="Z691" i="23"/>
  <c r="Z696" i="23"/>
  <c r="T860" i="23"/>
  <c r="AM875" i="23" s="1"/>
  <c r="AK860" i="23"/>
  <c r="AO861" i="23"/>
  <c r="AN861" i="23" s="1"/>
  <c r="AM861" i="23" s="1"/>
  <c r="AL861" i="23" s="1"/>
  <c r="AK861" i="23" s="1"/>
  <c r="Z869" i="23"/>
  <c r="AL866" i="23"/>
  <c r="AK866" i="23" s="1"/>
  <c r="Z888" i="23"/>
  <c r="AL850" i="23"/>
  <c r="AO908" i="23"/>
  <c r="K425" i="23"/>
  <c r="U443" i="23"/>
  <c r="AN457" i="23" s="1"/>
  <c r="Z461" i="23"/>
  <c r="Z437" i="23"/>
  <c r="AS443" i="23" s="1"/>
  <c r="AN650" i="23"/>
  <c r="AM650" i="23" s="1"/>
  <c r="AL650" i="23" s="1"/>
  <c r="Z659" i="23"/>
  <c r="AS657" i="23" s="1"/>
  <c r="AO675" i="23"/>
  <c r="Z642" i="23"/>
  <c r="AS650" i="23" s="1"/>
  <c r="Z685" i="23"/>
  <c r="Z689" i="23"/>
  <c r="Z692" i="23"/>
  <c r="Z695" i="23"/>
  <c r="Z864" i="23"/>
  <c r="AS885" i="23" s="1"/>
  <c r="Z855" i="23"/>
  <c r="AS861" i="23" s="1"/>
  <c r="Z856" i="23"/>
  <c r="AS871" i="23" s="1"/>
  <c r="AO860" i="23"/>
  <c r="AN860" i="23" s="1"/>
  <c r="AN864" i="23"/>
  <c r="AM864" i="23" s="1"/>
  <c r="Z879" i="23"/>
  <c r="AN850" i="23"/>
  <c r="Z889" i="23"/>
  <c r="AO904" i="23"/>
  <c r="AN904" i="23" s="1"/>
  <c r="Z906" i="23"/>
  <c r="AO906" i="23"/>
  <c r="AN293" i="23"/>
  <c r="AO439" i="23"/>
  <c r="Z458" i="23"/>
  <c r="AS466" i="23" s="1"/>
  <c r="AN466" i="23"/>
  <c r="AM466" i="23" s="1"/>
  <c r="AL466" i="23" s="1"/>
  <c r="AK466" i="23" s="1"/>
  <c r="AN435" i="23"/>
  <c r="AO437" i="23"/>
  <c r="T442" i="23"/>
  <c r="AM457" i="23" s="1"/>
  <c r="AO443" i="23"/>
  <c r="AN443" i="23" s="1"/>
  <c r="Z478" i="23"/>
  <c r="U633" i="23"/>
  <c r="AO648" i="23"/>
  <c r="AN646" i="23"/>
  <c r="AK652" i="23"/>
  <c r="Z648" i="23"/>
  <c r="AS663" i="23" s="1"/>
  <c r="AO652" i="23"/>
  <c r="Z662" i="23"/>
  <c r="AS671" i="23" s="1"/>
  <c r="Z851" i="23"/>
  <c r="AS859" i="23" s="1"/>
  <c r="AO858" i="23"/>
  <c r="AN858" i="23" s="1"/>
  <c r="AM858" i="23" s="1"/>
  <c r="AL858" i="23" s="1"/>
  <c r="AK858" i="23" s="1"/>
  <c r="Z866" i="23"/>
  <c r="AS864" i="23" s="1"/>
  <c r="Z886" i="23"/>
  <c r="AS892" i="23"/>
  <c r="Z897" i="23"/>
  <c r="AS897" i="23"/>
  <c r="Z899" i="23"/>
  <c r="AS899" i="23"/>
  <c r="AS900" i="23"/>
  <c r="Z901" i="23"/>
  <c r="Z904" i="23"/>
  <c r="AM440" i="23"/>
  <c r="AL440" i="23" s="1"/>
  <c r="AK440" i="23" s="1"/>
  <c r="AM435" i="23"/>
  <c r="AO436" i="23"/>
  <c r="AN436" i="23" s="1"/>
  <c r="AM436" i="23" s="1"/>
  <c r="AL436" i="23" s="1"/>
  <c r="AK436" i="23" s="1"/>
  <c r="AO471" i="23"/>
  <c r="AL435" i="23"/>
  <c r="Z482" i="23"/>
  <c r="Z485" i="23"/>
  <c r="AO486" i="23"/>
  <c r="AN486" i="23" s="1"/>
  <c r="AM486" i="23" s="1"/>
  <c r="AL486" i="23" s="1"/>
  <c r="AK486" i="23" s="1"/>
  <c r="AS486" i="23" s="1"/>
  <c r="AO490" i="23"/>
  <c r="Z687" i="23"/>
  <c r="Z672" i="23"/>
  <c r="AS690" i="23"/>
  <c r="Z848" i="23"/>
  <c r="AO854" i="23"/>
  <c r="AN854" i="23" s="1"/>
  <c r="Z870" i="23"/>
  <c r="AS879" i="23" s="1"/>
  <c r="Z883" i="23"/>
  <c r="AO893" i="23"/>
  <c r="Z898" i="23"/>
  <c r="Z900" i="23"/>
  <c r="Z902" i="23"/>
  <c r="Z909" i="23"/>
  <c r="Z910" i="23"/>
  <c r="Z913" i="23"/>
  <c r="AS913" i="23"/>
  <c r="S860" i="23"/>
  <c r="Z473" i="23"/>
  <c r="AN473" i="23"/>
  <c r="AM473" i="23" s="1"/>
  <c r="AL473" i="23" s="1"/>
  <c r="AK473" i="23" s="1"/>
  <c r="U460" i="23"/>
  <c r="AN502" i="23"/>
  <c r="U491" i="23"/>
  <c r="R674" i="23"/>
  <c r="AK688" i="23"/>
  <c r="Z455" i="23"/>
  <c r="AS464" i="23" s="1"/>
  <c r="AM456" i="23"/>
  <c r="AL456" i="23" s="1"/>
  <c r="AK456" i="23" s="1"/>
  <c r="AN461" i="23"/>
  <c r="AM461" i="23" s="1"/>
  <c r="AL461" i="23" s="1"/>
  <c r="AK461" i="23" s="1"/>
  <c r="Z643" i="23"/>
  <c r="AS646" i="23" s="1"/>
  <c r="Z655" i="23"/>
  <c r="AS676" i="23" s="1"/>
  <c r="Z657" i="23"/>
  <c r="AS655" i="23" s="1"/>
  <c r="AN675" i="23"/>
  <c r="AM675" i="23" s="1"/>
  <c r="AL675" i="23" s="1"/>
  <c r="AK675" i="23" s="1"/>
  <c r="Z686" i="23"/>
  <c r="AS704" i="23"/>
  <c r="Z676" i="23"/>
  <c r="Z701" i="23"/>
  <c r="Z703" i="23"/>
  <c r="R678" i="23"/>
  <c r="V678" i="23"/>
  <c r="AM857" i="23"/>
  <c r="AK853" i="23"/>
  <c r="AO853" i="23"/>
  <c r="Z853" i="23"/>
  <c r="AS860" i="23" s="1"/>
  <c r="AL859" i="23"/>
  <c r="Z868" i="23"/>
  <c r="AS866" i="23" s="1"/>
  <c r="Z877" i="23"/>
  <c r="AS889" i="23" s="1"/>
  <c r="AO877" i="23"/>
  <c r="AN877" i="23" s="1"/>
  <c r="AM877" i="23" s="1"/>
  <c r="AL877" i="23" s="1"/>
  <c r="S457" i="23"/>
  <c r="S456" i="23"/>
  <c r="Z432" i="23"/>
  <c r="R442" i="23"/>
  <c r="R449" i="23"/>
  <c r="T651" i="23"/>
  <c r="S651" i="23" s="1"/>
  <c r="R651" i="23" s="1"/>
  <c r="Z651" i="23" s="1"/>
  <c r="AS666" i="23" s="1"/>
  <c r="R658" i="23"/>
  <c r="Z658" i="23" s="1"/>
  <c r="AS656" i="23" s="1"/>
  <c r="AK857" i="23"/>
  <c r="Z849" i="23"/>
  <c r="AK856" i="23"/>
  <c r="Z854" i="23"/>
  <c r="AS856" i="23" s="1"/>
  <c r="R867" i="23"/>
  <c r="Z867" i="23" s="1"/>
  <c r="AS865" i="23" s="1"/>
  <c r="Z441" i="23"/>
  <c r="AS456" i="23" s="1"/>
  <c r="AO462" i="23"/>
  <c r="AN462" i="23" s="1"/>
  <c r="AM462" i="23" s="1"/>
  <c r="AL462" i="23" s="1"/>
  <c r="Z459" i="23"/>
  <c r="AS471" i="23" s="1"/>
  <c r="Z448" i="23"/>
  <c r="AS446" i="23" s="1"/>
  <c r="Z654" i="23"/>
  <c r="AS668" i="23" s="1"/>
  <c r="AN290" i="23"/>
  <c r="K423" i="23"/>
  <c r="T423" i="23"/>
  <c r="AK454" i="23"/>
  <c r="Z440" i="23"/>
  <c r="AS455" i="23" s="1"/>
  <c r="AO440" i="23"/>
  <c r="Z450" i="23"/>
  <c r="AS448" i="23" s="1"/>
  <c r="Z438" i="23"/>
  <c r="AS453" i="23" s="1"/>
  <c r="AO463" i="23"/>
  <c r="AN463" i="23" s="1"/>
  <c r="Z435" i="23"/>
  <c r="AS442" i="23" s="1"/>
  <c r="Z479" i="23"/>
  <c r="AN492" i="23"/>
  <c r="AS492" i="23" s="1"/>
  <c r="AN490" i="23"/>
  <c r="AN501" i="23"/>
  <c r="S633" i="23"/>
  <c r="K633" i="23" s="1"/>
  <c r="AL648" i="23"/>
  <c r="Z653" i="23"/>
  <c r="AS667" i="23" s="1"/>
  <c r="AL662" i="23"/>
  <c r="Z650" i="23"/>
  <c r="AS665" i="23" s="1"/>
  <c r="Z656" i="23"/>
  <c r="AS654" i="23" s="1"/>
  <c r="AM682" i="23"/>
  <c r="AS689" i="23"/>
  <c r="Z702" i="23"/>
  <c r="Z862" i="23"/>
  <c r="AS876" i="23" s="1"/>
  <c r="AN876" i="23"/>
  <c r="AM876" i="23" s="1"/>
  <c r="AL876" i="23" s="1"/>
  <c r="AK876" i="23" s="1"/>
  <c r="Z874" i="23"/>
  <c r="Z857" i="23"/>
  <c r="AS872" i="23" s="1"/>
  <c r="AL857" i="23"/>
  <c r="Z859" i="23"/>
  <c r="AS874" i="23" s="1"/>
  <c r="AO863" i="23"/>
  <c r="AO874" i="23"/>
  <c r="AN874" i="23" s="1"/>
  <c r="AM874" i="23" s="1"/>
  <c r="AL874" i="23" s="1"/>
  <c r="AK874" i="23" s="1"/>
  <c r="R641" i="23"/>
  <c r="AK645" i="23" s="1"/>
  <c r="AK896" i="23"/>
  <c r="Z881" i="23"/>
  <c r="R433" i="23"/>
  <c r="Z433" i="23" s="1"/>
  <c r="AS441" i="23" s="1"/>
  <c r="AL482" i="23"/>
  <c r="AK482" i="23" s="1"/>
  <c r="S464" i="23"/>
  <c r="R464" i="23" s="1"/>
  <c r="Z431" i="23"/>
  <c r="R436" i="23"/>
  <c r="Z436" i="23" s="1"/>
  <c r="AS438" i="23" s="1"/>
  <c r="AN645" i="23"/>
  <c r="AM645" i="23" s="1"/>
  <c r="AN644" i="23"/>
  <c r="R644" i="23"/>
  <c r="Z644" i="23" s="1"/>
  <c r="AS651" i="23" s="1"/>
  <c r="R645" i="23"/>
  <c r="Z863" i="23"/>
  <c r="AS877" i="23" s="1"/>
  <c r="AK877" i="23"/>
  <c r="AN471" i="23"/>
  <c r="AM471" i="23" s="1"/>
  <c r="AL471" i="23" s="1"/>
  <c r="Z444" i="23"/>
  <c r="AS458" i="23" s="1"/>
  <c r="Z452" i="23"/>
  <c r="AS461" i="23" s="1"/>
  <c r="Z468" i="23"/>
  <c r="AL439" i="23"/>
  <c r="AO475" i="23"/>
  <c r="AN475" i="23" s="1"/>
  <c r="AM475" i="23" s="1"/>
  <c r="Z470" i="23"/>
  <c r="Z494" i="23"/>
  <c r="S469" i="23"/>
  <c r="AM458" i="23"/>
  <c r="AL458" i="23" s="1"/>
  <c r="AK458" i="23" s="1"/>
  <c r="AN437" i="23"/>
  <c r="AM437" i="23" s="1"/>
  <c r="AL437" i="23" s="1"/>
  <c r="AK437" i="23" s="1"/>
  <c r="S443" i="23"/>
  <c r="Z451" i="23"/>
  <c r="R454" i="23"/>
  <c r="Z454" i="23" s="1"/>
  <c r="AS463" i="23" s="1"/>
  <c r="AO458" i="23"/>
  <c r="AK475" i="23"/>
  <c r="Z463" i="23"/>
  <c r="AO467" i="23"/>
  <c r="AN467" i="23" s="1"/>
  <c r="AM467" i="23" s="1"/>
  <c r="AL467" i="23" s="1"/>
  <c r="AK467" i="23" s="1"/>
  <c r="Z434" i="23"/>
  <c r="AS437" i="23" s="1"/>
  <c r="Z447" i="23"/>
  <c r="AS445" i="23" s="1"/>
  <c r="Z474" i="23"/>
  <c r="Z476" i="23"/>
  <c r="AL479" i="23"/>
  <c r="AK479" i="23" s="1"/>
  <c r="AS479" i="23" s="1"/>
  <c r="AN480" i="23"/>
  <c r="AS480" i="23" s="1"/>
  <c r="Z481" i="23"/>
  <c r="Z483" i="23"/>
  <c r="U488" i="23"/>
  <c r="T488" i="23" s="1"/>
  <c r="Z495" i="23"/>
  <c r="AL668" i="23"/>
  <c r="AK668" i="23" s="1"/>
  <c r="Z646" i="23"/>
  <c r="AS652" i="23" s="1"/>
  <c r="Z649" i="23"/>
  <c r="AS664" i="23" s="1"/>
  <c r="AN652" i="23"/>
  <c r="AM652" i="23" s="1"/>
  <c r="Z667" i="23"/>
  <c r="AS675" i="23" s="1"/>
  <c r="Z682" i="23"/>
  <c r="AO688" i="23"/>
  <c r="Z690" i="23"/>
  <c r="AO697" i="23"/>
  <c r="AN697" i="23" s="1"/>
  <c r="AS697" i="23" s="1"/>
  <c r="Z876" i="23"/>
  <c r="AS884" i="23" s="1"/>
  <c r="AM853" i="23"/>
  <c r="U861" i="23"/>
  <c r="AO856" i="23"/>
  <c r="AN856" i="23" s="1"/>
  <c r="Z858" i="23"/>
  <c r="AS873" i="23" s="1"/>
  <c r="Z865" i="23"/>
  <c r="AS863" i="23" s="1"/>
  <c r="AO884" i="23"/>
  <c r="AN884" i="23" s="1"/>
  <c r="AM884" i="23" s="1"/>
  <c r="AL884" i="23" s="1"/>
  <c r="AK884" i="23" s="1"/>
  <c r="Z891" i="23"/>
  <c r="AM904" i="23"/>
  <c r="AL904" i="23" s="1"/>
  <c r="AK904" i="23" s="1"/>
  <c r="AN906" i="23"/>
  <c r="AN908" i="23"/>
  <c r="AN439" i="23"/>
  <c r="AO441" i="23"/>
  <c r="AN441" i="23" s="1"/>
  <c r="AM441" i="23" s="1"/>
  <c r="AM446" i="23"/>
  <c r="AL446" i="23" s="1"/>
  <c r="AK446" i="23" s="1"/>
  <c r="AO447" i="23"/>
  <c r="AN447" i="23" s="1"/>
  <c r="AM447" i="23" s="1"/>
  <c r="AL447" i="23" s="1"/>
  <c r="R453" i="23"/>
  <c r="Z453" i="23" s="1"/>
  <c r="AS462" i="23" s="1"/>
  <c r="AO456" i="23"/>
  <c r="S462" i="23"/>
  <c r="AO464" i="23"/>
  <c r="AN464" i="23" s="1"/>
  <c r="AM464" i="23" s="1"/>
  <c r="AL464" i="23" s="1"/>
  <c r="AK464" i="23" s="1"/>
  <c r="AL644" i="23"/>
  <c r="AO651" i="23"/>
  <c r="AK657" i="23"/>
  <c r="AO663" i="23"/>
  <c r="AN663" i="23" s="1"/>
  <c r="AM663" i="23" s="1"/>
  <c r="AO664" i="23"/>
  <c r="AN664" i="23" s="1"/>
  <c r="AM664" i="23" s="1"/>
  <c r="AO670" i="23"/>
  <c r="AN670" i="23" s="1"/>
  <c r="AM670" i="23" s="1"/>
  <c r="AL670" i="23" s="1"/>
  <c r="AK670" i="23" s="1"/>
  <c r="AO672" i="23"/>
  <c r="AN672" i="23" s="1"/>
  <c r="AM672" i="23" s="1"/>
  <c r="AL672" i="23" s="1"/>
  <c r="AO673" i="23"/>
  <c r="AN673" i="23" s="1"/>
  <c r="AM673" i="23" s="1"/>
  <c r="AL673" i="23" s="1"/>
  <c r="AO680" i="23"/>
  <c r="AN680" i="23" s="1"/>
  <c r="AM680" i="23" s="1"/>
  <c r="AL680" i="23" s="1"/>
  <c r="AK680" i="23" s="1"/>
  <c r="AK683" i="23"/>
  <c r="AO693" i="23"/>
  <c r="AN693" i="23" s="1"/>
  <c r="AM693" i="23" s="1"/>
  <c r="AL693" i="23" s="1"/>
  <c r="AK693" i="23" s="1"/>
  <c r="AS693" i="23" s="1"/>
  <c r="AO871" i="23"/>
  <c r="AO872" i="23"/>
  <c r="AN872" i="23" s="1"/>
  <c r="AO873" i="23"/>
  <c r="AN873" i="23" s="1"/>
  <c r="AS891" i="23"/>
  <c r="AO910" i="23"/>
  <c r="AN910" i="23" s="1"/>
  <c r="AS910" i="23" s="1"/>
  <c r="AS915" i="23"/>
  <c r="T424" i="23"/>
  <c r="S424" i="23" s="1"/>
  <c r="K424" i="23" s="1"/>
  <c r="AO438" i="23"/>
  <c r="AN438" i="23" s="1"/>
  <c r="AM438" i="23" s="1"/>
  <c r="AL438" i="23" s="1"/>
  <c r="AM443" i="23"/>
  <c r="AL443" i="23" s="1"/>
  <c r="AK443" i="23" s="1"/>
  <c r="AO453" i="23"/>
  <c r="AO454" i="23"/>
  <c r="AO459" i="23"/>
  <c r="AN459" i="23" s="1"/>
  <c r="AM459" i="23" s="1"/>
  <c r="AL459" i="23" s="1"/>
  <c r="AK459" i="23" s="1"/>
  <c r="AL474" i="23"/>
  <c r="AK474" i="23" s="1"/>
  <c r="R634" i="23"/>
  <c r="AO645" i="23"/>
  <c r="AO649" i="23"/>
  <c r="AN649" i="23" s="1"/>
  <c r="AM649" i="23" s="1"/>
  <c r="AL649" i="23" s="1"/>
  <c r="AO654" i="23"/>
  <c r="AN654" i="23" s="1"/>
  <c r="AM654" i="23" s="1"/>
  <c r="AL654" i="23" s="1"/>
  <c r="AK654" i="23" s="1"/>
  <c r="AN655" i="23"/>
  <c r="AM655" i="23" s="1"/>
  <c r="R663" i="23"/>
  <c r="Z663" i="23" s="1"/>
  <c r="AS672" i="23" s="1"/>
  <c r="AO665" i="23"/>
  <c r="AN665" i="23" s="1"/>
  <c r="AM665" i="23" s="1"/>
  <c r="AL665" i="23" s="1"/>
  <c r="AK665" i="23" s="1"/>
  <c r="AO676" i="23"/>
  <c r="AN676" i="23" s="1"/>
  <c r="AM676" i="23" s="1"/>
  <c r="AL676" i="23" s="1"/>
  <c r="AK676" i="23" s="1"/>
  <c r="AO701" i="23"/>
  <c r="AN701" i="23" s="1"/>
  <c r="AS701" i="23" s="1"/>
  <c r="Z850" i="23"/>
  <c r="AM854" i="23"/>
  <c r="AO855" i="23"/>
  <c r="AN855" i="23" s="1"/>
  <c r="AM855" i="23" s="1"/>
  <c r="AL855" i="23" s="1"/>
  <c r="AK855" i="23" s="1"/>
  <c r="AL863" i="23"/>
  <c r="AK863" i="23" s="1"/>
  <c r="AL864" i="23"/>
  <c r="AK864" i="23" s="1"/>
  <c r="R871" i="23"/>
  <c r="Z871" i="23" s="1"/>
  <c r="AS880" i="23" s="1"/>
  <c r="AO879" i="23"/>
  <c r="AN879" i="23" s="1"/>
  <c r="AM879" i="23" s="1"/>
  <c r="AL879" i="23" s="1"/>
  <c r="AK879" i="23" s="1"/>
  <c r="AO880" i="23"/>
  <c r="AN880" i="23" s="1"/>
  <c r="AM880" i="23" s="1"/>
  <c r="AL880" i="23" s="1"/>
  <c r="AO885" i="23"/>
  <c r="AN885" i="23" s="1"/>
  <c r="AM885" i="23" s="1"/>
  <c r="AL885" i="23" s="1"/>
  <c r="AK885" i="23" s="1"/>
  <c r="AO889" i="23"/>
  <c r="AN889" i="23" s="1"/>
  <c r="AM889" i="23" s="1"/>
  <c r="AL889" i="23" s="1"/>
  <c r="AK889" i="23" s="1"/>
  <c r="AN893" i="23"/>
  <c r="AM893" i="23" s="1"/>
  <c r="AL893" i="23" s="1"/>
  <c r="AK893" i="23" s="1"/>
  <c r="AO442" i="23"/>
  <c r="AN442" i="23" s="1"/>
  <c r="AM442" i="23" s="1"/>
  <c r="AL442" i="23" s="1"/>
  <c r="AM445" i="23"/>
  <c r="AL445" i="23" s="1"/>
  <c r="AK445" i="23" s="1"/>
  <c r="AO455" i="23"/>
  <c r="AN455" i="23" s="1"/>
  <c r="AM455" i="23" s="1"/>
  <c r="AL455" i="23" s="1"/>
  <c r="AK455" i="23" s="1"/>
  <c r="AO484" i="23"/>
  <c r="AN484" i="23" s="1"/>
  <c r="AM484" i="23" s="1"/>
  <c r="AL484" i="23" s="1"/>
  <c r="AK484" i="23" s="1"/>
  <c r="AS484" i="23" s="1"/>
  <c r="AO488" i="23"/>
  <c r="AN488" i="23" s="1"/>
  <c r="AS488" i="23" s="1"/>
  <c r="Z640" i="23"/>
  <c r="AO647" i="23"/>
  <c r="AN647" i="23" s="1"/>
  <c r="AM647" i="23" s="1"/>
  <c r="AL647" i="23" s="1"/>
  <c r="AO656" i="23"/>
  <c r="AN656" i="23" s="1"/>
  <c r="AM656" i="23" s="1"/>
  <c r="AL656" i="23" s="1"/>
  <c r="AO657" i="23"/>
  <c r="AN657" i="23" s="1"/>
  <c r="AM657" i="23" s="1"/>
  <c r="AO662" i="23"/>
  <c r="R664" i="23"/>
  <c r="Z664" i="23" s="1"/>
  <c r="AS673" i="23" s="1"/>
  <c r="AO667" i="23"/>
  <c r="AN667" i="23" s="1"/>
  <c r="AM667" i="23" s="1"/>
  <c r="AL667" i="23" s="1"/>
  <c r="AK667" i="23" s="1"/>
  <c r="AO668" i="23"/>
  <c r="AN668" i="23" s="1"/>
  <c r="R671" i="23"/>
  <c r="AO671" i="23"/>
  <c r="AN671" i="23" s="1"/>
  <c r="AM671" i="23" s="1"/>
  <c r="R673" i="23"/>
  <c r="AO683" i="23"/>
  <c r="AO684" i="23"/>
  <c r="AN684" i="23" s="1"/>
  <c r="AM684" i="23" s="1"/>
  <c r="AL684" i="23" s="1"/>
  <c r="AK684" i="23" s="1"/>
  <c r="AS684" i="23" s="1"/>
  <c r="AM686" i="23"/>
  <c r="AO695" i="23"/>
  <c r="AN695" i="23" s="1"/>
  <c r="AM695" i="23" s="1"/>
  <c r="AL695" i="23" s="1"/>
  <c r="AK695" i="23" s="1"/>
  <c r="AS695" i="23" s="1"/>
  <c r="T697" i="23"/>
  <c r="R698" i="23"/>
  <c r="AO699" i="23"/>
  <c r="AN699" i="23" s="1"/>
  <c r="AS699" i="23" s="1"/>
  <c r="AL853" i="23"/>
  <c r="AO865" i="23"/>
  <c r="AN865" i="23" s="1"/>
  <c r="AM865" i="23" s="1"/>
  <c r="AL865" i="23" s="1"/>
  <c r="AO866" i="23"/>
  <c r="AN866" i="23" s="1"/>
  <c r="R872" i="23"/>
  <c r="Z872" i="23" s="1"/>
  <c r="AS881" i="23" s="1"/>
  <c r="R873" i="23"/>
  <c r="Z873" i="23" s="1"/>
  <c r="AS882" i="23" s="1"/>
  <c r="AO881" i="23"/>
  <c r="AN881" i="23" s="1"/>
  <c r="AM881" i="23" s="1"/>
  <c r="AL881" i="23" s="1"/>
  <c r="AO882" i="23"/>
  <c r="AN882" i="23" s="1"/>
  <c r="AM882" i="23" s="1"/>
  <c r="AL882" i="23" s="1"/>
  <c r="AO902" i="23"/>
  <c r="AN902" i="23" s="1"/>
  <c r="AM902" i="23" s="1"/>
  <c r="AL902" i="23" s="1"/>
  <c r="AK902" i="23" s="1"/>
  <c r="AS902" i="23" s="1"/>
  <c r="AR288" i="23"/>
  <c r="AQ288" i="23"/>
  <c r="AP288" i="23"/>
  <c r="AO288" i="23"/>
  <c r="AN288" i="23"/>
  <c r="G288" i="23"/>
  <c r="F288" i="23"/>
  <c r="E288" i="23"/>
  <c r="D288" i="23"/>
  <c r="C288" i="23"/>
  <c r="B288" i="23"/>
  <c r="AS287" i="23"/>
  <c r="G287" i="23"/>
  <c r="F287" i="23"/>
  <c r="E287" i="23"/>
  <c r="D287" i="23"/>
  <c r="C287" i="23"/>
  <c r="B287" i="23"/>
  <c r="AO286" i="23"/>
  <c r="AN286" i="23"/>
  <c r="V286" i="23"/>
  <c r="U286" i="23"/>
  <c r="T286" i="23"/>
  <c r="S286" i="23"/>
  <c r="R286" i="23"/>
  <c r="G286" i="23"/>
  <c r="F286" i="23"/>
  <c r="E286" i="23"/>
  <c r="D286" i="23"/>
  <c r="C286" i="23"/>
  <c r="B286" i="23"/>
  <c r="AO285" i="23"/>
  <c r="AN285" i="23"/>
  <c r="V285" i="23"/>
  <c r="U285" i="23"/>
  <c r="T285" i="23"/>
  <c r="S285" i="23"/>
  <c r="R285" i="23"/>
  <c r="G285" i="23"/>
  <c r="F285" i="23"/>
  <c r="E285" i="23"/>
  <c r="D285" i="23"/>
  <c r="C285" i="23"/>
  <c r="B285" i="23"/>
  <c r="V284" i="23"/>
  <c r="U284" i="23"/>
  <c r="T284" i="23"/>
  <c r="S284" i="23"/>
  <c r="R284" i="23"/>
  <c r="G284" i="23"/>
  <c r="F284" i="23"/>
  <c r="E284" i="23"/>
  <c r="D284" i="23"/>
  <c r="C284" i="23"/>
  <c r="B284" i="23"/>
  <c r="AR283" i="23"/>
  <c r="AQ283" i="23"/>
  <c r="AP283" i="23"/>
  <c r="V283" i="23"/>
  <c r="U283" i="23"/>
  <c r="T283" i="23"/>
  <c r="S283" i="23"/>
  <c r="R283" i="23"/>
  <c r="G283" i="23"/>
  <c r="F283" i="23"/>
  <c r="E283" i="23"/>
  <c r="D283" i="23"/>
  <c r="C283" i="23"/>
  <c r="B283" i="23"/>
  <c r="V282" i="23"/>
  <c r="U282" i="23"/>
  <c r="T282" i="23"/>
  <c r="S282" i="23"/>
  <c r="R282" i="23"/>
  <c r="G282" i="23"/>
  <c r="F282" i="23"/>
  <c r="E282" i="23"/>
  <c r="D282" i="23"/>
  <c r="C282" i="23"/>
  <c r="B282" i="23"/>
  <c r="AR281" i="23"/>
  <c r="AQ281" i="23"/>
  <c r="AP281" i="23"/>
  <c r="V281" i="23"/>
  <c r="U281" i="23"/>
  <c r="T281" i="23"/>
  <c r="S281" i="23"/>
  <c r="R281" i="23"/>
  <c r="G281" i="23"/>
  <c r="F281" i="23"/>
  <c r="E281" i="23"/>
  <c r="D281" i="23"/>
  <c r="C281" i="23"/>
  <c r="B281" i="23"/>
  <c r="R280" i="23"/>
  <c r="G280" i="23"/>
  <c r="F280" i="23"/>
  <c r="E280" i="23"/>
  <c r="D280" i="23"/>
  <c r="C280" i="23"/>
  <c r="B280" i="23"/>
  <c r="AR279" i="23"/>
  <c r="AQ279" i="23"/>
  <c r="AP279" i="23"/>
  <c r="V279" i="23"/>
  <c r="U279" i="23"/>
  <c r="T279" i="23"/>
  <c r="S279" i="23" s="1"/>
  <c r="R279" i="23" s="1"/>
  <c r="G279" i="23"/>
  <c r="F279" i="23"/>
  <c r="E279" i="23"/>
  <c r="D279" i="23"/>
  <c r="C279" i="23"/>
  <c r="B279" i="23"/>
  <c r="V278" i="23"/>
  <c r="U278" i="23"/>
  <c r="T278" i="23" s="1"/>
  <c r="S278" i="23" s="1"/>
  <c r="R278" i="23" s="1"/>
  <c r="G278" i="23"/>
  <c r="F278" i="23"/>
  <c r="E278" i="23"/>
  <c r="D278" i="23"/>
  <c r="C278" i="23"/>
  <c r="B278" i="23"/>
  <c r="AR277" i="23"/>
  <c r="AQ277" i="23"/>
  <c r="AP277" i="23"/>
  <c r="V277" i="23"/>
  <c r="U277" i="23" s="1"/>
  <c r="T277" i="23"/>
  <c r="S277" i="23"/>
  <c r="R277" i="23" s="1"/>
  <c r="G277" i="23"/>
  <c r="F277" i="23"/>
  <c r="E277" i="23"/>
  <c r="D277" i="23"/>
  <c r="C277" i="23"/>
  <c r="B277" i="23"/>
  <c r="V276" i="23"/>
  <c r="AO284" i="23" s="1"/>
  <c r="U276" i="23"/>
  <c r="T276" i="23"/>
  <c r="S276" i="23"/>
  <c r="R276" i="23"/>
  <c r="G276" i="23"/>
  <c r="F276" i="23"/>
  <c r="E276" i="23"/>
  <c r="D276" i="23"/>
  <c r="C276" i="23"/>
  <c r="B276" i="23"/>
  <c r="AR275" i="23"/>
  <c r="AQ275" i="23"/>
  <c r="AP275" i="23"/>
  <c r="V275" i="23"/>
  <c r="U275" i="23"/>
  <c r="T275" i="23"/>
  <c r="S275" i="23"/>
  <c r="R275" i="23"/>
  <c r="G275" i="23"/>
  <c r="F275" i="23"/>
  <c r="E275" i="23"/>
  <c r="D275" i="23"/>
  <c r="C275" i="23"/>
  <c r="B275" i="23"/>
  <c r="V274" i="23"/>
  <c r="U274" i="23"/>
  <c r="T274" i="23"/>
  <c r="S274" i="23"/>
  <c r="R274" i="23"/>
  <c r="G274" i="23"/>
  <c r="F274" i="23"/>
  <c r="E274" i="23"/>
  <c r="D274" i="23"/>
  <c r="C274" i="23"/>
  <c r="B274" i="23"/>
  <c r="AL273" i="23"/>
  <c r="AK273" i="23" s="1"/>
  <c r="V273" i="23"/>
  <c r="U273" i="23"/>
  <c r="T273" i="23"/>
  <c r="S273" i="23"/>
  <c r="R273" i="23"/>
  <c r="G273" i="23"/>
  <c r="F273" i="23"/>
  <c r="E273" i="23"/>
  <c r="D273" i="23"/>
  <c r="C273" i="23"/>
  <c r="B273" i="23"/>
  <c r="AO272" i="23"/>
  <c r="AN272" i="23"/>
  <c r="AM272" i="23"/>
  <c r="AL272" i="23"/>
  <c r="AK272" i="23"/>
  <c r="V272" i="23"/>
  <c r="U272" i="23"/>
  <c r="T272" i="23"/>
  <c r="S272" i="23"/>
  <c r="AL276" i="23" s="1"/>
  <c r="R272" i="23"/>
  <c r="G272" i="23"/>
  <c r="F272" i="23"/>
  <c r="E272" i="23"/>
  <c r="D272" i="23"/>
  <c r="C272" i="23"/>
  <c r="B272" i="23"/>
  <c r="AO271" i="23"/>
  <c r="AN271" i="23"/>
  <c r="AM271" i="23"/>
  <c r="AL271" i="23"/>
  <c r="AK271" i="23"/>
  <c r="V271" i="23"/>
  <c r="U271" i="23"/>
  <c r="T271" i="23"/>
  <c r="S271" i="23"/>
  <c r="R271" i="23"/>
  <c r="G271" i="23"/>
  <c r="F271" i="23"/>
  <c r="E271" i="23"/>
  <c r="D271" i="23"/>
  <c r="C271" i="23"/>
  <c r="B271" i="23"/>
  <c r="AO270" i="23"/>
  <c r="AN270" i="23"/>
  <c r="AM270" i="23"/>
  <c r="AL270" i="23"/>
  <c r="AK270" i="23"/>
  <c r="V270" i="23"/>
  <c r="U270" i="23"/>
  <c r="T270" i="23"/>
  <c r="S270" i="23"/>
  <c r="R270" i="23"/>
  <c r="G270" i="23"/>
  <c r="F270" i="23"/>
  <c r="E270" i="23"/>
  <c r="D270" i="23"/>
  <c r="C270" i="23"/>
  <c r="B270" i="23"/>
  <c r="V269" i="23"/>
  <c r="U269" i="23"/>
  <c r="T269" i="23"/>
  <c r="S269" i="23"/>
  <c r="R269" i="23"/>
  <c r="G269" i="23"/>
  <c r="F269" i="23"/>
  <c r="E269" i="23"/>
  <c r="D269" i="23"/>
  <c r="C269" i="23"/>
  <c r="B269" i="23"/>
  <c r="AR268" i="23"/>
  <c r="AQ268" i="23"/>
  <c r="AP268" i="23"/>
  <c r="AO268" i="23"/>
  <c r="AN268" i="23"/>
  <c r="AM268" i="23"/>
  <c r="AL268" i="23"/>
  <c r="AK268" i="23" s="1"/>
  <c r="V268" i="23"/>
  <c r="U268" i="23"/>
  <c r="T268" i="23"/>
  <c r="S268" i="23"/>
  <c r="R268" i="23"/>
  <c r="G268" i="23"/>
  <c r="F268" i="23"/>
  <c r="E268" i="23"/>
  <c r="D268" i="23"/>
  <c r="C268" i="23"/>
  <c r="B268" i="23"/>
  <c r="AO267" i="23"/>
  <c r="AN267" i="23" s="1"/>
  <c r="AM267" i="23" s="1"/>
  <c r="AL267" i="23" s="1"/>
  <c r="AK267" i="23" s="1"/>
  <c r="V267" i="23"/>
  <c r="U267" i="23"/>
  <c r="T267" i="23"/>
  <c r="AM277" i="23" s="1"/>
  <c r="S267" i="23"/>
  <c r="R267" i="23"/>
  <c r="G267" i="23"/>
  <c r="F267" i="23"/>
  <c r="E267" i="23"/>
  <c r="D267" i="23"/>
  <c r="C267" i="23"/>
  <c r="B267" i="23"/>
  <c r="AR266" i="23"/>
  <c r="AQ266" i="23"/>
  <c r="AP266" i="23"/>
  <c r="V266" i="23"/>
  <c r="U266" i="23"/>
  <c r="T266" i="23"/>
  <c r="S266" i="23"/>
  <c r="R266" i="23"/>
  <c r="G266" i="23"/>
  <c r="F266" i="23"/>
  <c r="E266" i="23"/>
  <c r="D266" i="23"/>
  <c r="C266" i="23"/>
  <c r="B266" i="23"/>
  <c r="AR265" i="23"/>
  <c r="AQ265" i="23"/>
  <c r="AP265" i="23"/>
  <c r="AO265" i="23" s="1"/>
  <c r="AN265" i="23"/>
  <c r="AM265" i="23" s="1"/>
  <c r="AL265" i="23" s="1"/>
  <c r="AK265" i="23" s="1"/>
  <c r="V265" i="23"/>
  <c r="U265" i="23"/>
  <c r="T265" i="23"/>
  <c r="S265" i="23"/>
  <c r="R265" i="23"/>
  <c r="G265" i="23"/>
  <c r="F265" i="23"/>
  <c r="E265" i="23"/>
  <c r="D265" i="23"/>
  <c r="C265" i="23"/>
  <c r="B265" i="23"/>
  <c r="AR264" i="23"/>
  <c r="AQ264" i="23"/>
  <c r="AP264" i="23"/>
  <c r="AN264" i="23"/>
  <c r="AM264" i="23"/>
  <c r="AL264" i="23" s="1"/>
  <c r="AK264" i="23" s="1"/>
  <c r="V264" i="23"/>
  <c r="U264" i="23"/>
  <c r="T264" i="23"/>
  <c r="S264" i="23"/>
  <c r="R264" i="23"/>
  <c r="G264" i="23"/>
  <c r="F264" i="23"/>
  <c r="V250" i="23" s="1"/>
  <c r="E264" i="23"/>
  <c r="U250" i="23" s="1"/>
  <c r="D264" i="23"/>
  <c r="T250" i="23" s="1"/>
  <c r="AM262" i="23" s="1"/>
  <c r="C264" i="23"/>
  <c r="S250" i="23" s="1"/>
  <c r="B264" i="23"/>
  <c r="R250" i="23" s="1"/>
  <c r="Z263" i="23"/>
  <c r="G263" i="23"/>
  <c r="F263" i="23"/>
  <c r="V223" i="23" s="1"/>
  <c r="E263" i="23"/>
  <c r="U223" i="23" s="1"/>
  <c r="D263" i="23"/>
  <c r="T223" i="23" s="1"/>
  <c r="C263" i="23"/>
  <c r="S223" i="23" s="1"/>
  <c r="AL227" i="23" s="1"/>
  <c r="B263" i="23"/>
  <c r="R223" i="23" s="1"/>
  <c r="AR262" i="23"/>
  <c r="AQ262" i="23"/>
  <c r="AP262" i="23"/>
  <c r="V262" i="23"/>
  <c r="U262" i="23"/>
  <c r="T262" i="23"/>
  <c r="S262" i="23"/>
  <c r="R262" i="23"/>
  <c r="G262" i="23"/>
  <c r="F262" i="23"/>
  <c r="V222" i="23" s="1"/>
  <c r="E262" i="23"/>
  <c r="U222" i="23" s="1"/>
  <c r="D262" i="23"/>
  <c r="T222" i="23" s="1"/>
  <c r="C262" i="23"/>
  <c r="S222" i="23" s="1"/>
  <c r="B262" i="23"/>
  <c r="R222" i="23" s="1"/>
  <c r="V261" i="23"/>
  <c r="U261" i="23"/>
  <c r="T261" i="23"/>
  <c r="S261" i="23"/>
  <c r="R261" i="23"/>
  <c r="G261" i="23"/>
  <c r="F261" i="23"/>
  <c r="V238" i="23" s="1"/>
  <c r="E261" i="23"/>
  <c r="U238" i="23" s="1"/>
  <c r="D261" i="23"/>
  <c r="T238" i="23" s="1"/>
  <c r="C261" i="23"/>
  <c r="S238" i="23" s="1"/>
  <c r="B261" i="23"/>
  <c r="R238" i="23" s="1"/>
  <c r="V260" i="23"/>
  <c r="U260" i="23"/>
  <c r="T260" i="23"/>
  <c r="S260" i="23"/>
  <c r="R260" i="23"/>
  <c r="G260" i="23"/>
  <c r="F260" i="23"/>
  <c r="V239" i="23" s="1"/>
  <c r="E260" i="23"/>
  <c r="U239" i="23" s="1"/>
  <c r="D260" i="23"/>
  <c r="T239" i="23" s="1"/>
  <c r="AM237" i="23" s="1"/>
  <c r="C260" i="23"/>
  <c r="S239" i="23" s="1"/>
  <c r="B260" i="23"/>
  <c r="R239" i="23" s="1"/>
  <c r="V259" i="23"/>
  <c r="U259" i="23"/>
  <c r="T259" i="23"/>
  <c r="S259" i="23"/>
  <c r="R259" i="23"/>
  <c r="G259" i="23"/>
  <c r="F259" i="23"/>
  <c r="V225" i="23" s="1"/>
  <c r="E259" i="23"/>
  <c r="U225" i="23" s="1"/>
  <c r="D259" i="23"/>
  <c r="T225" i="23" s="1"/>
  <c r="C259" i="23"/>
  <c r="S225" i="23" s="1"/>
  <c r="B259" i="23"/>
  <c r="R225" i="23" s="1"/>
  <c r="AR258" i="23"/>
  <c r="AQ258" i="23"/>
  <c r="AP258" i="23"/>
  <c r="V258" i="23"/>
  <c r="U258" i="23"/>
  <c r="T258" i="23"/>
  <c r="S258" i="23"/>
  <c r="R258" i="23"/>
  <c r="G258" i="23"/>
  <c r="F258" i="23"/>
  <c r="V224" i="23" s="1"/>
  <c r="E258" i="23"/>
  <c r="U224" i="23" s="1"/>
  <c r="D258" i="23"/>
  <c r="T224" i="23" s="1"/>
  <c r="C258" i="23"/>
  <c r="S224" i="23" s="1"/>
  <c r="B258" i="23"/>
  <c r="R224" i="23" s="1"/>
  <c r="AR257" i="23"/>
  <c r="AQ257" i="23"/>
  <c r="AP257" i="23"/>
  <c r="V257" i="23"/>
  <c r="U257" i="23"/>
  <c r="T257" i="23"/>
  <c r="S257" i="23"/>
  <c r="R257" i="23"/>
  <c r="G257" i="23"/>
  <c r="F257" i="23"/>
  <c r="V240" i="23" s="1"/>
  <c r="E257" i="23"/>
  <c r="U240" i="23" s="1"/>
  <c r="AN238" i="23" s="1"/>
  <c r="D257" i="23"/>
  <c r="T240" i="23" s="1"/>
  <c r="C257" i="23"/>
  <c r="S240" i="23" s="1"/>
  <c r="B257" i="23"/>
  <c r="R240" i="23" s="1"/>
  <c r="AR256" i="23"/>
  <c r="AQ256" i="23"/>
  <c r="AP256" i="23"/>
  <c r="V256" i="23"/>
  <c r="U256" i="23"/>
  <c r="T256" i="23"/>
  <c r="S256" i="23"/>
  <c r="R256" i="23"/>
  <c r="G256" i="23"/>
  <c r="F256" i="23"/>
  <c r="V227" i="23" s="1"/>
  <c r="E256" i="23"/>
  <c r="U227" i="23" s="1"/>
  <c r="D256" i="23"/>
  <c r="T227" i="23" s="1"/>
  <c r="C256" i="23"/>
  <c r="S227" i="23" s="1"/>
  <c r="B256" i="23"/>
  <c r="R227" i="23" s="1"/>
  <c r="AR255" i="23"/>
  <c r="AQ255" i="23"/>
  <c r="AP255" i="23"/>
  <c r="V255" i="23"/>
  <c r="U255" i="23"/>
  <c r="T255" i="23"/>
  <c r="S255" i="23" s="1"/>
  <c r="R255" i="23"/>
  <c r="G255" i="23"/>
  <c r="F255" i="23"/>
  <c r="V226" i="23" s="1"/>
  <c r="E255" i="23"/>
  <c r="U226" i="23" s="1"/>
  <c r="D255" i="23"/>
  <c r="T226" i="23" s="1"/>
  <c r="C255" i="23"/>
  <c r="S226" i="23" s="1"/>
  <c r="B255" i="23"/>
  <c r="R226" i="23" s="1"/>
  <c r="AK233" i="23" s="1"/>
  <c r="AR254" i="23"/>
  <c r="AQ254" i="23"/>
  <c r="AP254" i="23"/>
  <c r="V254" i="23"/>
  <c r="U254" i="23"/>
  <c r="T254" i="23"/>
  <c r="AM269" i="23" s="1"/>
  <c r="S254" i="23"/>
  <c r="R254" i="23"/>
  <c r="G254" i="23"/>
  <c r="F254" i="23"/>
  <c r="V228" i="23" s="1"/>
  <c r="E254" i="23"/>
  <c r="U228" i="23" s="1"/>
  <c r="D254" i="23"/>
  <c r="T228" i="23" s="1"/>
  <c r="C254" i="23"/>
  <c r="S228" i="23" s="1"/>
  <c r="B254" i="23"/>
  <c r="AR253" i="23"/>
  <c r="AQ253" i="23"/>
  <c r="AP253" i="23"/>
  <c r="U253" i="23"/>
  <c r="T253" i="23" s="1"/>
  <c r="S253" i="23"/>
  <c r="R253" i="23"/>
  <c r="G253" i="23"/>
  <c r="F253" i="23"/>
  <c r="V241" i="23" s="1"/>
  <c r="E253" i="23"/>
  <c r="U241" i="23" s="1"/>
  <c r="D253" i="23"/>
  <c r="T241" i="23" s="1"/>
  <c r="C253" i="23"/>
  <c r="S241" i="23" s="1"/>
  <c r="B253" i="23"/>
  <c r="R241" i="23" s="1"/>
  <c r="AR252" i="23"/>
  <c r="AQ252" i="23"/>
  <c r="AP252" i="23"/>
  <c r="V252" i="23"/>
  <c r="U252" i="23"/>
  <c r="T252" i="23"/>
  <c r="S252" i="23"/>
  <c r="AL266" i="23" s="1"/>
  <c r="R252" i="23"/>
  <c r="G252" i="23"/>
  <c r="F252" i="23"/>
  <c r="E252" i="23"/>
  <c r="D252" i="23"/>
  <c r="C252" i="23"/>
  <c r="B252" i="23"/>
  <c r="V251" i="23"/>
  <c r="U251" i="23"/>
  <c r="T251" i="23"/>
  <c r="S251" i="23"/>
  <c r="R251" i="23"/>
  <c r="G251" i="23"/>
  <c r="F251" i="23"/>
  <c r="E251" i="23"/>
  <c r="D251" i="23"/>
  <c r="C251" i="23"/>
  <c r="B251" i="23"/>
  <c r="AR250" i="23"/>
  <c r="AQ250" i="23"/>
  <c r="AP250" i="23"/>
  <c r="G250" i="23"/>
  <c r="F250" i="23"/>
  <c r="E250" i="23"/>
  <c r="D250" i="23"/>
  <c r="C250" i="23"/>
  <c r="B250" i="23"/>
  <c r="AR249" i="23"/>
  <c r="AQ249" i="23"/>
  <c r="AP249" i="23"/>
  <c r="G249" i="23"/>
  <c r="F249" i="23"/>
  <c r="E249" i="23"/>
  <c r="D249" i="23"/>
  <c r="C249" i="23"/>
  <c r="B249" i="23"/>
  <c r="AR248" i="23"/>
  <c r="AQ248" i="23"/>
  <c r="AP248" i="23"/>
  <c r="G248" i="23"/>
  <c r="F248" i="23"/>
  <c r="E248" i="23"/>
  <c r="D248" i="23"/>
  <c r="C248" i="23"/>
  <c r="B248" i="23"/>
  <c r="AR247" i="23"/>
  <c r="AQ247" i="23"/>
  <c r="AP247" i="23"/>
  <c r="G247" i="23"/>
  <c r="F247" i="23"/>
  <c r="E247" i="23"/>
  <c r="D247" i="23"/>
  <c r="C247" i="23"/>
  <c r="B247" i="23"/>
  <c r="AR246" i="23"/>
  <c r="AQ246" i="23"/>
  <c r="AP246" i="23"/>
  <c r="G246" i="23"/>
  <c r="F246" i="23"/>
  <c r="E246" i="23"/>
  <c r="D246" i="23"/>
  <c r="C246" i="23"/>
  <c r="B246" i="23"/>
  <c r="AR245" i="23"/>
  <c r="AQ245" i="23"/>
  <c r="AP245" i="23"/>
  <c r="G245" i="23"/>
  <c r="F245" i="23"/>
  <c r="E245" i="23"/>
  <c r="D245" i="23"/>
  <c r="C245" i="23"/>
  <c r="B245" i="23"/>
  <c r="AR244" i="23"/>
  <c r="AQ244" i="23"/>
  <c r="AP244" i="23"/>
  <c r="G244" i="23"/>
  <c r="F244" i="23"/>
  <c r="E244" i="23"/>
  <c r="D244" i="23"/>
  <c r="C244" i="23"/>
  <c r="B244" i="23"/>
  <c r="G243" i="23"/>
  <c r="F243" i="23"/>
  <c r="V242" i="23" s="1"/>
  <c r="E243" i="23"/>
  <c r="U242" i="23" s="1"/>
  <c r="D243" i="23"/>
  <c r="T242" i="23" s="1"/>
  <c r="C243" i="23"/>
  <c r="S242" i="23" s="1"/>
  <c r="B243" i="23"/>
  <c r="R242" i="23" s="1"/>
  <c r="G242" i="23"/>
  <c r="F242" i="23"/>
  <c r="V229" i="23" s="1"/>
  <c r="E242" i="23"/>
  <c r="U229" i="23" s="1"/>
  <c r="AN244" i="23" s="1"/>
  <c r="D242" i="23"/>
  <c r="T229" i="23" s="1"/>
  <c r="C242" i="23"/>
  <c r="S229" i="23" s="1"/>
  <c r="B242" i="23"/>
  <c r="R229" i="23" s="1"/>
  <c r="G241" i="23"/>
  <c r="F241" i="23"/>
  <c r="V243" i="23" s="1"/>
  <c r="E241" i="23"/>
  <c r="U243" i="23" s="1"/>
  <c r="AN252" i="23" s="1"/>
  <c r="D241" i="23"/>
  <c r="T243" i="23" s="1"/>
  <c r="C241" i="23"/>
  <c r="S243" i="23" s="1"/>
  <c r="B241" i="23"/>
  <c r="R243" i="23" s="1"/>
  <c r="G240" i="23"/>
  <c r="F240" i="23"/>
  <c r="V231" i="23" s="1"/>
  <c r="E240" i="23"/>
  <c r="U231" i="23" s="1"/>
  <c r="D240" i="23"/>
  <c r="T231" i="23" s="1"/>
  <c r="C240" i="23"/>
  <c r="S231" i="23" s="1"/>
  <c r="B240" i="23"/>
  <c r="R231" i="23" s="1"/>
  <c r="AR239" i="23"/>
  <c r="AQ239" i="23"/>
  <c r="AP239" i="23"/>
  <c r="G239" i="23"/>
  <c r="F239" i="23"/>
  <c r="V245" i="23" s="1"/>
  <c r="E239" i="23"/>
  <c r="U245" i="23" s="1"/>
  <c r="D239" i="23"/>
  <c r="T245" i="23" s="1"/>
  <c r="C239" i="23"/>
  <c r="S245" i="23" s="1"/>
  <c r="B239" i="23"/>
  <c r="R245" i="23" s="1"/>
  <c r="AR238" i="23"/>
  <c r="AQ238" i="23"/>
  <c r="AP238" i="23"/>
  <c r="G238" i="23"/>
  <c r="F238" i="23"/>
  <c r="V230" i="23" s="1"/>
  <c r="E238" i="23"/>
  <c r="U230" i="23" s="1"/>
  <c r="D238" i="23"/>
  <c r="T230" i="23" s="1"/>
  <c r="C238" i="23"/>
  <c r="S230" i="23" s="1"/>
  <c r="B238" i="23"/>
  <c r="R230" i="23" s="1"/>
  <c r="AR237" i="23"/>
  <c r="AQ237" i="23"/>
  <c r="AP237" i="23"/>
  <c r="G237" i="23"/>
  <c r="F237" i="23"/>
  <c r="V244" i="23" s="1"/>
  <c r="E237" i="23"/>
  <c r="U244" i="23" s="1"/>
  <c r="D237" i="23"/>
  <c r="T244" i="23" s="1"/>
  <c r="C237" i="23"/>
  <c r="S244" i="23" s="1"/>
  <c r="B237" i="23"/>
  <c r="R244" i="23" s="1"/>
  <c r="AR236" i="23"/>
  <c r="AQ236" i="23"/>
  <c r="AP236" i="23"/>
  <c r="G236" i="23"/>
  <c r="F236" i="23"/>
  <c r="V232" i="23" s="1"/>
  <c r="E236" i="23"/>
  <c r="U232" i="23" s="1"/>
  <c r="D236" i="23"/>
  <c r="T232" i="23" s="1"/>
  <c r="C236" i="23"/>
  <c r="S232" i="23" s="1"/>
  <c r="B236" i="23"/>
  <c r="R232" i="23" s="1"/>
  <c r="G235" i="23"/>
  <c r="F235" i="23"/>
  <c r="V246" i="23" s="1"/>
  <c r="E235" i="23"/>
  <c r="U246" i="23" s="1"/>
  <c r="AN255" i="23" s="1"/>
  <c r="D235" i="23"/>
  <c r="T246" i="23" s="1"/>
  <c r="C235" i="23"/>
  <c r="S246" i="23" s="1"/>
  <c r="B235" i="23"/>
  <c r="R246" i="23" s="1"/>
  <c r="AR234" i="23"/>
  <c r="AQ234" i="23"/>
  <c r="AP234" i="23"/>
  <c r="G234" i="23"/>
  <c r="F234" i="23"/>
  <c r="E234" i="23"/>
  <c r="D234" i="23"/>
  <c r="C234" i="23"/>
  <c r="B234" i="23"/>
  <c r="AR233" i="23"/>
  <c r="AQ233" i="23"/>
  <c r="AP233" i="23"/>
  <c r="G233" i="23"/>
  <c r="F233" i="23"/>
  <c r="E233" i="23"/>
  <c r="D233" i="23"/>
  <c r="C233" i="23"/>
  <c r="B233" i="23"/>
  <c r="AR232" i="23"/>
  <c r="AQ232" i="23"/>
  <c r="AP232" i="23"/>
  <c r="G232" i="23"/>
  <c r="F232" i="23"/>
  <c r="E232" i="23"/>
  <c r="D232" i="23"/>
  <c r="C232" i="23"/>
  <c r="B232" i="23"/>
  <c r="AR231" i="23"/>
  <c r="AQ231" i="23"/>
  <c r="AP231" i="23"/>
  <c r="G231" i="23"/>
  <c r="F231" i="23"/>
  <c r="E231" i="23"/>
  <c r="D231" i="23"/>
  <c r="C231" i="23"/>
  <c r="B231" i="23"/>
  <c r="AR230" i="23"/>
  <c r="AQ230" i="23"/>
  <c r="AP230" i="23"/>
  <c r="G230" i="23"/>
  <c r="F230" i="23"/>
  <c r="E230" i="23"/>
  <c r="D230" i="23"/>
  <c r="C230" i="23"/>
  <c r="B230" i="23"/>
  <c r="AR229" i="23"/>
  <c r="AQ229" i="23"/>
  <c r="AP229" i="23"/>
  <c r="G229" i="23"/>
  <c r="F229" i="23"/>
  <c r="E229" i="23"/>
  <c r="D229" i="23"/>
  <c r="C229" i="23"/>
  <c r="B229" i="23"/>
  <c r="AR228" i="23"/>
  <c r="AQ228" i="23"/>
  <c r="AP228" i="23"/>
  <c r="G228" i="23"/>
  <c r="F228" i="23"/>
  <c r="V236" i="23" s="1"/>
  <c r="E228" i="23"/>
  <c r="U236" i="23" s="1"/>
  <c r="D228" i="23"/>
  <c r="T236" i="23" s="1"/>
  <c r="AM250" i="23" s="1"/>
  <c r="C228" i="23"/>
  <c r="S236" i="23" s="1"/>
  <c r="B228" i="23"/>
  <c r="AR227" i="23"/>
  <c r="AQ227" i="23"/>
  <c r="AP227" i="23"/>
  <c r="G227" i="23"/>
  <c r="F227" i="23"/>
  <c r="V237" i="23" s="1"/>
  <c r="E227" i="23"/>
  <c r="U237" i="23" s="1"/>
  <c r="D227" i="23"/>
  <c r="T237" i="23" s="1"/>
  <c r="AM258" i="23" s="1"/>
  <c r="C227" i="23"/>
  <c r="S237" i="23" s="1"/>
  <c r="B227" i="23"/>
  <c r="R237" i="23" s="1"/>
  <c r="AR226" i="23"/>
  <c r="AQ226" i="23"/>
  <c r="AP226" i="23"/>
  <c r="G226" i="23"/>
  <c r="F226" i="23"/>
  <c r="V234" i="23" s="1"/>
  <c r="E226" i="23"/>
  <c r="U233" i="23" s="1"/>
  <c r="D226" i="23"/>
  <c r="T233" i="23" s="1"/>
  <c r="C226" i="23"/>
  <c r="S234" i="23" s="1"/>
  <c r="B226" i="23"/>
  <c r="G225" i="23"/>
  <c r="F225" i="23"/>
  <c r="V248" i="23" s="1"/>
  <c r="E225" i="23"/>
  <c r="U248" i="23" s="1"/>
  <c r="D225" i="23"/>
  <c r="T248" i="23" s="1"/>
  <c r="C225" i="23"/>
  <c r="S247" i="23" s="1"/>
  <c r="B225" i="23"/>
  <c r="R248" i="23" s="1"/>
  <c r="G224" i="23"/>
  <c r="F224" i="23"/>
  <c r="V235" i="23" s="1"/>
  <c r="E224" i="23"/>
  <c r="U235" i="23" s="1"/>
  <c r="D224" i="23"/>
  <c r="T235" i="23" s="1"/>
  <c r="C224" i="23"/>
  <c r="S235" i="23" s="1"/>
  <c r="B224" i="23"/>
  <c r="R235" i="23" s="1"/>
  <c r="AR223" i="23"/>
  <c r="AQ223" i="23"/>
  <c r="AP223" i="23"/>
  <c r="G223" i="23"/>
  <c r="F223" i="23"/>
  <c r="V249" i="23" s="1"/>
  <c r="E223" i="23"/>
  <c r="U249" i="23" s="1"/>
  <c r="D223" i="23"/>
  <c r="T249" i="23" s="1"/>
  <c r="C223" i="23"/>
  <c r="S249" i="23" s="1"/>
  <c r="B223" i="23"/>
  <c r="R249" i="23" s="1"/>
  <c r="AR222" i="23"/>
  <c r="AQ222" i="23"/>
  <c r="AP222" i="23"/>
  <c r="G222" i="23"/>
  <c r="F222" i="23"/>
  <c r="E222" i="23"/>
  <c r="D222" i="23"/>
  <c r="C222" i="23"/>
  <c r="B222" i="23"/>
  <c r="V221" i="23"/>
  <c r="U221" i="23"/>
  <c r="AN222" i="23" s="1"/>
  <c r="T221" i="23"/>
  <c r="S221" i="23"/>
  <c r="AL222" i="23" s="1"/>
  <c r="R221" i="23"/>
  <c r="G221" i="23"/>
  <c r="F221" i="23"/>
  <c r="E221" i="23"/>
  <c r="D221" i="23"/>
  <c r="C221" i="23"/>
  <c r="B221" i="23"/>
  <c r="AJ220" i="23"/>
  <c r="AJ219" i="23"/>
  <c r="A219" i="23"/>
  <c r="Q216" i="23"/>
  <c r="P216" i="23"/>
  <c r="O216" i="23"/>
  <c r="D216" i="23"/>
  <c r="S216" i="23" s="1"/>
  <c r="C216" i="23"/>
  <c r="M216" i="23" s="1"/>
  <c r="W216" i="23" s="1"/>
  <c r="B216" i="23"/>
  <c r="A216" i="23"/>
  <c r="K216" i="23" s="1"/>
  <c r="R215" i="23"/>
  <c r="M215" i="23"/>
  <c r="G215" i="23"/>
  <c r="V215" i="23" s="1"/>
  <c r="F215" i="23"/>
  <c r="P215" i="23" s="1"/>
  <c r="E215" i="23"/>
  <c r="O215" i="23" s="1"/>
  <c r="D215" i="23"/>
  <c r="S215" i="23" s="1"/>
  <c r="B215" i="23"/>
  <c r="L215" i="23" s="1"/>
  <c r="A215" i="23"/>
  <c r="K215" i="23" s="1"/>
  <c r="P214" i="23"/>
  <c r="G214" i="23"/>
  <c r="Q214" i="23" s="1"/>
  <c r="E214" i="23"/>
  <c r="T214" i="23" s="1"/>
  <c r="D214" i="23"/>
  <c r="S214" i="23" s="1"/>
  <c r="C214" i="23"/>
  <c r="M214" i="23" s="1"/>
  <c r="B214" i="23"/>
  <c r="A214" i="23"/>
  <c r="Q213" i="23"/>
  <c r="P213" i="23"/>
  <c r="O213" i="23"/>
  <c r="N213" i="23"/>
  <c r="M213" i="23"/>
  <c r="L213" i="23"/>
  <c r="K213" i="23"/>
  <c r="X212" i="23"/>
  <c r="W212" i="23"/>
  <c r="G209" i="23"/>
  <c r="F209" i="23"/>
  <c r="E209" i="23"/>
  <c r="D209" i="23"/>
  <c r="C209" i="23"/>
  <c r="B209" i="23"/>
  <c r="G208" i="23"/>
  <c r="F208" i="23"/>
  <c r="E208" i="23"/>
  <c r="D208" i="23"/>
  <c r="C208" i="23"/>
  <c r="B208" i="23"/>
  <c r="G207" i="23"/>
  <c r="F207" i="23"/>
  <c r="E207" i="23"/>
  <c r="D207" i="23"/>
  <c r="C207" i="23"/>
  <c r="B207" i="23"/>
  <c r="G206" i="23"/>
  <c r="F206" i="23"/>
  <c r="E206" i="23"/>
  <c r="D206" i="23"/>
  <c r="C206" i="23"/>
  <c r="B206" i="23"/>
  <c r="G205" i="23"/>
  <c r="F205" i="23"/>
  <c r="E205" i="23"/>
  <c r="D205" i="23"/>
  <c r="C205" i="23"/>
  <c r="B205" i="23"/>
  <c r="G204" i="23"/>
  <c r="F204" i="23"/>
  <c r="E204" i="23"/>
  <c r="D204" i="23"/>
  <c r="C204" i="23"/>
  <c r="B204" i="23"/>
  <c r="G203" i="23"/>
  <c r="F203" i="23"/>
  <c r="E203" i="23"/>
  <c r="D203" i="23"/>
  <c r="C203" i="23"/>
  <c r="B203" i="23"/>
  <c r="G202" i="23"/>
  <c r="F202" i="23"/>
  <c r="E202" i="23"/>
  <c r="D202" i="23"/>
  <c r="C202" i="23"/>
  <c r="B202" i="23"/>
  <c r="G201" i="23"/>
  <c r="F201" i="23"/>
  <c r="E201" i="23"/>
  <c r="D201" i="23"/>
  <c r="C201" i="23"/>
  <c r="B201" i="23"/>
  <c r="G200" i="23"/>
  <c r="F200" i="23"/>
  <c r="E200" i="23"/>
  <c r="D200" i="23"/>
  <c r="C200" i="23"/>
  <c r="B200" i="23"/>
  <c r="G199" i="23"/>
  <c r="F199" i="23"/>
  <c r="E199" i="23"/>
  <c r="D199" i="23"/>
  <c r="C199" i="23"/>
  <c r="B199" i="23"/>
  <c r="G198" i="23"/>
  <c r="F198" i="23"/>
  <c r="E198" i="23"/>
  <c r="D198" i="23"/>
  <c r="C198" i="23"/>
  <c r="B198" i="23"/>
  <c r="G197" i="23"/>
  <c r="F197" i="23"/>
  <c r="E197" i="23"/>
  <c r="D197" i="23"/>
  <c r="C197" i="23"/>
  <c r="B197" i="23"/>
  <c r="G196" i="23"/>
  <c r="F196" i="23"/>
  <c r="V77" i="23" s="1"/>
  <c r="E196" i="23"/>
  <c r="U77" i="23" s="1"/>
  <c r="D196" i="23"/>
  <c r="T77" i="23" s="1"/>
  <c r="C196" i="23"/>
  <c r="S77" i="23" s="1"/>
  <c r="B196" i="23"/>
  <c r="R77" i="23" s="1"/>
  <c r="G195" i="23"/>
  <c r="F195" i="23"/>
  <c r="E195" i="23"/>
  <c r="D195" i="23"/>
  <c r="C195" i="23"/>
  <c r="B195" i="23"/>
  <c r="G194" i="23"/>
  <c r="F194" i="23"/>
  <c r="E194" i="23"/>
  <c r="D194" i="23"/>
  <c r="C194" i="23"/>
  <c r="B194" i="23"/>
  <c r="G193" i="23"/>
  <c r="F193" i="23"/>
  <c r="E193" i="23"/>
  <c r="D193" i="23"/>
  <c r="C193" i="23"/>
  <c r="B193" i="23"/>
  <c r="G192" i="23"/>
  <c r="F192" i="23"/>
  <c r="E192" i="23"/>
  <c r="D192" i="23"/>
  <c r="C192" i="23"/>
  <c r="B192" i="23"/>
  <c r="G191" i="23"/>
  <c r="F191" i="23"/>
  <c r="E191" i="23"/>
  <c r="D191" i="23"/>
  <c r="C191" i="23"/>
  <c r="B191" i="23"/>
  <c r="G190" i="23"/>
  <c r="F190" i="23"/>
  <c r="E190" i="23"/>
  <c r="D190" i="23"/>
  <c r="C190" i="23"/>
  <c r="B190" i="23"/>
  <c r="G189" i="23"/>
  <c r="F189" i="23"/>
  <c r="E189" i="23"/>
  <c r="D189" i="23"/>
  <c r="C189" i="23"/>
  <c r="B189" i="23"/>
  <c r="G188" i="23"/>
  <c r="F188" i="23"/>
  <c r="E188" i="23"/>
  <c r="D188" i="23"/>
  <c r="C188" i="23"/>
  <c r="B188" i="23"/>
  <c r="G187" i="23"/>
  <c r="F187" i="23"/>
  <c r="E187" i="23"/>
  <c r="D187" i="23"/>
  <c r="C187" i="23"/>
  <c r="B187" i="23"/>
  <c r="G186" i="23"/>
  <c r="F186" i="23"/>
  <c r="E186" i="23"/>
  <c r="D186" i="23"/>
  <c r="C186" i="23"/>
  <c r="B186" i="23"/>
  <c r="G185" i="23"/>
  <c r="F185" i="23"/>
  <c r="E185" i="23"/>
  <c r="D185" i="23"/>
  <c r="C185" i="23"/>
  <c r="B185" i="23"/>
  <c r="G184" i="23"/>
  <c r="F184" i="23"/>
  <c r="E184" i="23"/>
  <c r="D184" i="23"/>
  <c r="C184" i="23"/>
  <c r="B184" i="23"/>
  <c r="G183" i="23"/>
  <c r="F183" i="23"/>
  <c r="E183" i="23"/>
  <c r="D183" i="23"/>
  <c r="C183" i="23"/>
  <c r="B183" i="23"/>
  <c r="G182" i="23"/>
  <c r="F182" i="23"/>
  <c r="E182" i="23"/>
  <c r="D182" i="23"/>
  <c r="C182" i="23"/>
  <c r="B182" i="23"/>
  <c r="G181" i="23"/>
  <c r="F181" i="23"/>
  <c r="E181" i="23"/>
  <c r="D181" i="23"/>
  <c r="C181" i="23"/>
  <c r="B181" i="23"/>
  <c r="G180" i="23"/>
  <c r="F180" i="23"/>
  <c r="E180" i="23"/>
  <c r="D180" i="23"/>
  <c r="C180" i="23"/>
  <c r="B180" i="23"/>
  <c r="G179" i="23"/>
  <c r="F179" i="23"/>
  <c r="E179" i="23"/>
  <c r="D179" i="23"/>
  <c r="C179" i="23"/>
  <c r="B179" i="23"/>
  <c r="G178" i="23"/>
  <c r="F178" i="23"/>
  <c r="E178" i="23"/>
  <c r="D178" i="23"/>
  <c r="C178" i="23"/>
  <c r="B178" i="23"/>
  <c r="G177" i="23"/>
  <c r="F177" i="23"/>
  <c r="E177" i="23"/>
  <c r="D177" i="23"/>
  <c r="C177" i="23"/>
  <c r="B177" i="23"/>
  <c r="G176" i="23"/>
  <c r="F176" i="23"/>
  <c r="E176" i="23"/>
  <c r="D176" i="23"/>
  <c r="C176" i="23"/>
  <c r="B176" i="23"/>
  <c r="G175" i="23"/>
  <c r="F175" i="23"/>
  <c r="E175" i="23"/>
  <c r="D175" i="23"/>
  <c r="C175" i="23"/>
  <c r="B175" i="23"/>
  <c r="G174" i="23"/>
  <c r="F174" i="23"/>
  <c r="E174" i="23"/>
  <c r="D174" i="23"/>
  <c r="C174" i="23"/>
  <c r="B174" i="23"/>
  <c r="G173" i="23"/>
  <c r="F173" i="23"/>
  <c r="E173" i="23"/>
  <c r="D173" i="23"/>
  <c r="C173" i="23"/>
  <c r="B173" i="23"/>
  <c r="G172" i="23"/>
  <c r="F172" i="23"/>
  <c r="E172" i="23"/>
  <c r="D172" i="23"/>
  <c r="C172" i="23"/>
  <c r="B172" i="23"/>
  <c r="G171" i="23"/>
  <c r="F171" i="23"/>
  <c r="E171" i="23"/>
  <c r="D171" i="23"/>
  <c r="C171" i="23"/>
  <c r="B171" i="23"/>
  <c r="G170" i="23"/>
  <c r="F170" i="23"/>
  <c r="E170" i="23"/>
  <c r="D170" i="23"/>
  <c r="C170" i="23"/>
  <c r="B170" i="23"/>
  <c r="G169" i="23"/>
  <c r="F169" i="23"/>
  <c r="E169" i="23"/>
  <c r="D169" i="23"/>
  <c r="C169" i="23"/>
  <c r="B169" i="23"/>
  <c r="G168" i="23"/>
  <c r="F168" i="23"/>
  <c r="E168" i="23"/>
  <c r="D168" i="23"/>
  <c r="C168" i="23"/>
  <c r="B168" i="23"/>
  <c r="G167" i="23"/>
  <c r="F167" i="23"/>
  <c r="E167" i="23"/>
  <c r="D167" i="23"/>
  <c r="C167" i="23"/>
  <c r="B167" i="23"/>
  <c r="G166" i="23"/>
  <c r="F166" i="23"/>
  <c r="E166" i="23"/>
  <c r="D166" i="23"/>
  <c r="C166" i="23"/>
  <c r="B166" i="23"/>
  <c r="G165" i="23"/>
  <c r="F165" i="23"/>
  <c r="E165" i="23"/>
  <c r="D165" i="23"/>
  <c r="C165" i="23"/>
  <c r="B165" i="23"/>
  <c r="G164" i="23"/>
  <c r="F164" i="23"/>
  <c r="E164" i="23"/>
  <c r="D164" i="23"/>
  <c r="C164" i="23"/>
  <c r="B164" i="23"/>
  <c r="G163" i="23"/>
  <c r="F163" i="23"/>
  <c r="E163" i="23"/>
  <c r="D163" i="23"/>
  <c r="C163" i="23"/>
  <c r="B163" i="23"/>
  <c r="G162" i="23"/>
  <c r="F162" i="23"/>
  <c r="E162" i="23"/>
  <c r="D162" i="23"/>
  <c r="C162" i="23"/>
  <c r="B162" i="23"/>
  <c r="G161" i="23"/>
  <c r="F161" i="23"/>
  <c r="E161" i="23"/>
  <c r="D161" i="23"/>
  <c r="C161" i="23"/>
  <c r="B161" i="23"/>
  <c r="G160" i="23"/>
  <c r="F160" i="23"/>
  <c r="E160" i="23"/>
  <c r="D160" i="23"/>
  <c r="C160" i="23"/>
  <c r="B160" i="23"/>
  <c r="G159" i="23"/>
  <c r="F159" i="23"/>
  <c r="E159" i="23"/>
  <c r="D159" i="23"/>
  <c r="C159" i="23"/>
  <c r="B159" i="23"/>
  <c r="G158" i="23"/>
  <c r="F158" i="23"/>
  <c r="E158" i="23"/>
  <c r="D158" i="23"/>
  <c r="C158" i="23"/>
  <c r="B158" i="23"/>
  <c r="G157" i="23"/>
  <c r="F157" i="23"/>
  <c r="E157" i="23"/>
  <c r="D157" i="23"/>
  <c r="C157" i="23"/>
  <c r="B157" i="23"/>
  <c r="G156" i="23"/>
  <c r="F156" i="23"/>
  <c r="E156" i="23"/>
  <c r="D156" i="23"/>
  <c r="C156" i="23"/>
  <c r="B156" i="23"/>
  <c r="G155" i="23"/>
  <c r="F155" i="23"/>
  <c r="E155" i="23"/>
  <c r="D155" i="23"/>
  <c r="C155" i="23"/>
  <c r="B155" i="23"/>
  <c r="G154" i="23"/>
  <c r="F154" i="23"/>
  <c r="E154" i="23"/>
  <c r="D154" i="23"/>
  <c r="C154" i="23"/>
  <c r="B154" i="23"/>
  <c r="G153" i="23"/>
  <c r="F153" i="23"/>
  <c r="E153" i="23"/>
  <c r="D153" i="23"/>
  <c r="C153" i="23"/>
  <c r="B153" i="23"/>
  <c r="G152" i="23"/>
  <c r="F152" i="23"/>
  <c r="E152" i="23"/>
  <c r="D152" i="23"/>
  <c r="C152" i="23"/>
  <c r="B152" i="23"/>
  <c r="G151" i="23"/>
  <c r="F151" i="23"/>
  <c r="E151" i="23"/>
  <c r="D151" i="23"/>
  <c r="C151" i="23"/>
  <c r="B151" i="23"/>
  <c r="G150" i="23"/>
  <c r="F150" i="23"/>
  <c r="E150" i="23"/>
  <c r="D150" i="23"/>
  <c r="C150" i="23"/>
  <c r="B150" i="23"/>
  <c r="G149" i="23"/>
  <c r="F149" i="23"/>
  <c r="E149" i="23"/>
  <c r="D149" i="23"/>
  <c r="C149" i="23"/>
  <c r="B149" i="23"/>
  <c r="G148" i="23"/>
  <c r="F148" i="23"/>
  <c r="E148" i="23"/>
  <c r="D148" i="23"/>
  <c r="C148" i="23"/>
  <c r="B148" i="23"/>
  <c r="G147" i="23"/>
  <c r="F147" i="23"/>
  <c r="E147" i="23"/>
  <c r="D147" i="23"/>
  <c r="C147" i="23"/>
  <c r="B147" i="23"/>
  <c r="G146" i="23"/>
  <c r="F146" i="23"/>
  <c r="E146" i="23"/>
  <c r="D146" i="23"/>
  <c r="C146" i="23"/>
  <c r="B146" i="23"/>
  <c r="G145" i="23"/>
  <c r="F145" i="23"/>
  <c r="E145" i="23"/>
  <c r="D145" i="23"/>
  <c r="C145" i="23"/>
  <c r="B145" i="23"/>
  <c r="G144" i="23"/>
  <c r="F144" i="23"/>
  <c r="E144" i="23"/>
  <c r="D144" i="23"/>
  <c r="C144" i="23"/>
  <c r="B144" i="23"/>
  <c r="G143" i="23"/>
  <c r="F143" i="23"/>
  <c r="E143" i="23"/>
  <c r="D143" i="23"/>
  <c r="C143" i="23"/>
  <c r="B143" i="23"/>
  <c r="G142" i="23"/>
  <c r="F142" i="23"/>
  <c r="E142" i="23"/>
  <c r="D142" i="23"/>
  <c r="C142" i="23"/>
  <c r="B142" i="23"/>
  <c r="G141" i="23"/>
  <c r="F141" i="23"/>
  <c r="E141" i="23"/>
  <c r="D141" i="23"/>
  <c r="C141" i="23"/>
  <c r="B141" i="23"/>
  <c r="G140" i="23"/>
  <c r="F140" i="23"/>
  <c r="E140" i="23"/>
  <c r="D140" i="23"/>
  <c r="C140" i="23"/>
  <c r="B140" i="23"/>
  <c r="G139" i="23"/>
  <c r="F139" i="23"/>
  <c r="E139" i="23"/>
  <c r="D139" i="23"/>
  <c r="C139" i="23"/>
  <c r="B139" i="23"/>
  <c r="G138" i="23"/>
  <c r="F138" i="23"/>
  <c r="E138" i="23"/>
  <c r="D138" i="23"/>
  <c r="C138" i="23"/>
  <c r="B138" i="23"/>
  <c r="G137" i="23"/>
  <c r="F137" i="23"/>
  <c r="E137" i="23"/>
  <c r="D137" i="23"/>
  <c r="C137" i="23"/>
  <c r="B137" i="23"/>
  <c r="G136" i="23"/>
  <c r="F136" i="23"/>
  <c r="E136" i="23"/>
  <c r="D136" i="23"/>
  <c r="C136" i="23"/>
  <c r="B136" i="23"/>
  <c r="G135" i="23"/>
  <c r="F135" i="23"/>
  <c r="E135" i="23"/>
  <c r="D135" i="23"/>
  <c r="C135" i="23"/>
  <c r="B135" i="23"/>
  <c r="G134" i="23"/>
  <c r="F134" i="23"/>
  <c r="E134" i="23"/>
  <c r="D134" i="23"/>
  <c r="C134" i="23"/>
  <c r="B134" i="23"/>
  <c r="G133" i="23"/>
  <c r="F133" i="23"/>
  <c r="E133" i="23"/>
  <c r="D133" i="23"/>
  <c r="C133" i="23"/>
  <c r="B133" i="23"/>
  <c r="G132" i="23"/>
  <c r="F132" i="23"/>
  <c r="E132" i="23"/>
  <c r="D132" i="23"/>
  <c r="C132" i="23"/>
  <c r="B132" i="23"/>
  <c r="G131" i="23"/>
  <c r="F131" i="23"/>
  <c r="E131" i="23"/>
  <c r="D131" i="23"/>
  <c r="C131" i="23"/>
  <c r="B131" i="23"/>
  <c r="G130" i="23"/>
  <c r="F130" i="23"/>
  <c r="E130" i="23"/>
  <c r="D130" i="23"/>
  <c r="C130" i="23"/>
  <c r="B130" i="23"/>
  <c r="G129" i="23"/>
  <c r="F129" i="23"/>
  <c r="E129" i="23"/>
  <c r="D129" i="23"/>
  <c r="C129" i="23"/>
  <c r="B129" i="23"/>
  <c r="G128" i="23"/>
  <c r="F128" i="23"/>
  <c r="E128" i="23"/>
  <c r="D128" i="23"/>
  <c r="C128" i="23"/>
  <c r="B128" i="23"/>
  <c r="G127" i="23"/>
  <c r="F127" i="23"/>
  <c r="E127" i="23"/>
  <c r="D127" i="23"/>
  <c r="C127" i="23"/>
  <c r="B127" i="23"/>
  <c r="G126" i="23"/>
  <c r="F126" i="23"/>
  <c r="E126" i="23"/>
  <c r="D126" i="23"/>
  <c r="C126" i="23"/>
  <c r="B126" i="23"/>
  <c r="G125" i="23"/>
  <c r="F125" i="23"/>
  <c r="E125" i="23"/>
  <c r="D125" i="23"/>
  <c r="C125" i="23"/>
  <c r="B125" i="23"/>
  <c r="G124" i="23"/>
  <c r="F124" i="23"/>
  <c r="E124" i="23"/>
  <c r="D124" i="23"/>
  <c r="C124" i="23"/>
  <c r="B124" i="23"/>
  <c r="G123" i="23"/>
  <c r="F123" i="23"/>
  <c r="E123" i="23"/>
  <c r="D123" i="23"/>
  <c r="C123" i="23"/>
  <c r="B123" i="23"/>
  <c r="G122" i="23"/>
  <c r="F122" i="23"/>
  <c r="E122" i="23"/>
  <c r="D122" i="23"/>
  <c r="C122" i="23"/>
  <c r="B122" i="23"/>
  <c r="G121" i="23"/>
  <c r="F121" i="23"/>
  <c r="E121" i="23"/>
  <c r="D121" i="23"/>
  <c r="C121" i="23"/>
  <c r="B121" i="23"/>
  <c r="G120" i="23"/>
  <c r="F120" i="23"/>
  <c r="E120" i="23"/>
  <c r="D120" i="23"/>
  <c r="C120" i="23"/>
  <c r="B120" i="23"/>
  <c r="G119" i="23"/>
  <c r="F119" i="23"/>
  <c r="E119" i="23"/>
  <c r="D119" i="23"/>
  <c r="C119" i="23"/>
  <c r="B119" i="23"/>
  <c r="G118" i="23"/>
  <c r="F118" i="23"/>
  <c r="E118" i="23"/>
  <c r="D118" i="23"/>
  <c r="C118" i="23"/>
  <c r="B118" i="23"/>
  <c r="G117" i="23"/>
  <c r="F117" i="23"/>
  <c r="E117" i="23"/>
  <c r="D117" i="23"/>
  <c r="C117" i="23"/>
  <c r="B117" i="23"/>
  <c r="G116" i="23"/>
  <c r="F116" i="23"/>
  <c r="E116" i="23"/>
  <c r="D116" i="23"/>
  <c r="C116" i="23"/>
  <c r="B116" i="23"/>
  <c r="G115" i="23"/>
  <c r="F115" i="23"/>
  <c r="E115" i="23"/>
  <c r="D115" i="23"/>
  <c r="C115" i="23"/>
  <c r="B115" i="23"/>
  <c r="G114" i="23"/>
  <c r="F114" i="23"/>
  <c r="E114" i="23"/>
  <c r="D114" i="23"/>
  <c r="C114" i="23"/>
  <c r="B114" i="23"/>
  <c r="G113" i="23"/>
  <c r="F113" i="23"/>
  <c r="E113" i="23"/>
  <c r="D113" i="23"/>
  <c r="C113" i="23"/>
  <c r="B113" i="23"/>
  <c r="G112" i="23"/>
  <c r="F112" i="23"/>
  <c r="E112" i="23"/>
  <c r="D112" i="23"/>
  <c r="C112" i="23"/>
  <c r="B112" i="23"/>
  <c r="G111" i="23"/>
  <c r="F111" i="23"/>
  <c r="E111" i="23"/>
  <c r="D111" i="23"/>
  <c r="C111" i="23"/>
  <c r="B111" i="23"/>
  <c r="G110" i="23"/>
  <c r="F110" i="23"/>
  <c r="E110" i="23"/>
  <c r="D110" i="23"/>
  <c r="C110" i="23"/>
  <c r="B110" i="23"/>
  <c r="G109" i="23"/>
  <c r="F109" i="23"/>
  <c r="E109" i="23"/>
  <c r="D109" i="23"/>
  <c r="C109" i="23"/>
  <c r="B109" i="23"/>
  <c r="G108" i="23"/>
  <c r="F108" i="23"/>
  <c r="E108" i="23"/>
  <c r="D108" i="23"/>
  <c r="C108" i="23"/>
  <c r="B108" i="23"/>
  <c r="G107" i="23"/>
  <c r="F107" i="23"/>
  <c r="E107" i="23"/>
  <c r="D107" i="23"/>
  <c r="C107" i="23"/>
  <c r="B107" i="23"/>
  <c r="G106" i="23"/>
  <c r="F106" i="23"/>
  <c r="E106" i="23"/>
  <c r="D106" i="23"/>
  <c r="C106" i="23"/>
  <c r="B106" i="23"/>
  <c r="G105" i="23"/>
  <c r="F105" i="23"/>
  <c r="E105" i="23"/>
  <c r="D105" i="23"/>
  <c r="C105" i="23"/>
  <c r="B105" i="23"/>
  <c r="G104" i="23"/>
  <c r="F104" i="23"/>
  <c r="E104" i="23"/>
  <c r="D104" i="23"/>
  <c r="C104" i="23"/>
  <c r="B104" i="23"/>
  <c r="G103" i="23"/>
  <c r="F103" i="23"/>
  <c r="E103" i="23"/>
  <c r="D103" i="23"/>
  <c r="C103" i="23"/>
  <c r="B103" i="23"/>
  <c r="G102" i="23"/>
  <c r="F102" i="23"/>
  <c r="E102" i="23"/>
  <c r="D102" i="23"/>
  <c r="C102" i="23"/>
  <c r="B102" i="23"/>
  <c r="G101" i="23"/>
  <c r="F101" i="23"/>
  <c r="E101" i="23"/>
  <c r="D101" i="23"/>
  <c r="C101" i="23"/>
  <c r="B101" i="23"/>
  <c r="G100" i="23"/>
  <c r="F100" i="23"/>
  <c r="E100" i="23"/>
  <c r="D100" i="23"/>
  <c r="C100" i="23"/>
  <c r="B100" i="23"/>
  <c r="G99" i="23"/>
  <c r="F99" i="23"/>
  <c r="E99" i="23"/>
  <c r="D99" i="23"/>
  <c r="C99" i="23"/>
  <c r="B99" i="23"/>
  <c r="G98" i="23"/>
  <c r="F98" i="23"/>
  <c r="E98" i="23"/>
  <c r="D98" i="23"/>
  <c r="C98" i="23"/>
  <c r="B98" i="23"/>
  <c r="G97" i="23"/>
  <c r="F97" i="23"/>
  <c r="E97" i="23"/>
  <c r="D97" i="23"/>
  <c r="C97" i="23"/>
  <c r="B97" i="23"/>
  <c r="G96" i="23"/>
  <c r="F96" i="23"/>
  <c r="E96" i="23"/>
  <c r="D96" i="23"/>
  <c r="C96" i="23"/>
  <c r="B96" i="23"/>
  <c r="G95" i="23"/>
  <c r="F95" i="23"/>
  <c r="E95" i="23"/>
  <c r="D95" i="23"/>
  <c r="C95" i="23"/>
  <c r="B95" i="23"/>
  <c r="G94" i="23"/>
  <c r="F94" i="23"/>
  <c r="E94" i="23"/>
  <c r="D94" i="23"/>
  <c r="C94" i="23"/>
  <c r="B94" i="23"/>
  <c r="G93" i="23"/>
  <c r="F93" i="23"/>
  <c r="E93" i="23"/>
  <c r="D93" i="23"/>
  <c r="C93" i="23"/>
  <c r="B93" i="23"/>
  <c r="G92" i="23"/>
  <c r="F92" i="23"/>
  <c r="E92" i="23"/>
  <c r="D92" i="23"/>
  <c r="C92" i="23"/>
  <c r="B92" i="23"/>
  <c r="G91" i="23"/>
  <c r="F91" i="23"/>
  <c r="E91" i="23"/>
  <c r="D91" i="23"/>
  <c r="C91" i="23"/>
  <c r="B91" i="23"/>
  <c r="G90" i="23"/>
  <c r="F90" i="23"/>
  <c r="E90" i="23"/>
  <c r="D90" i="23"/>
  <c r="C90" i="23"/>
  <c r="B90" i="23"/>
  <c r="G89" i="23"/>
  <c r="F89" i="23"/>
  <c r="E89" i="23"/>
  <c r="D89" i="23"/>
  <c r="C89" i="23"/>
  <c r="B89" i="23"/>
  <c r="G88" i="23"/>
  <c r="F88" i="23"/>
  <c r="E88" i="23"/>
  <c r="D88" i="23"/>
  <c r="C88" i="23"/>
  <c r="B88" i="23"/>
  <c r="BV87" i="23"/>
  <c r="BU87" i="23"/>
  <c r="G87" i="23"/>
  <c r="F87" i="23"/>
  <c r="E87" i="23"/>
  <c r="D87" i="23"/>
  <c r="C87" i="23"/>
  <c r="B87" i="23"/>
  <c r="G86" i="23"/>
  <c r="F86" i="23"/>
  <c r="E86" i="23"/>
  <c r="D86" i="23"/>
  <c r="C86" i="23"/>
  <c r="B86" i="23"/>
  <c r="BT85" i="23"/>
  <c r="BH85" i="23"/>
  <c r="BG85" i="23"/>
  <c r="BF85" i="23"/>
  <c r="BA85" i="23"/>
  <c r="AZ85" i="23"/>
  <c r="AR85" i="23"/>
  <c r="AQ85" i="23"/>
  <c r="AP85" i="23"/>
  <c r="G85" i="23"/>
  <c r="F85" i="23"/>
  <c r="E85" i="23"/>
  <c r="D85" i="23"/>
  <c r="C85" i="23"/>
  <c r="B85" i="23"/>
  <c r="BT84" i="23"/>
  <c r="BH84" i="23"/>
  <c r="BG84" i="23"/>
  <c r="BF84" i="23"/>
  <c r="BA84" i="23"/>
  <c r="AZ84" i="23"/>
  <c r="G84" i="23"/>
  <c r="F84" i="23"/>
  <c r="E84" i="23"/>
  <c r="D84" i="23"/>
  <c r="C84" i="23"/>
  <c r="B84" i="23"/>
  <c r="BT83" i="23"/>
  <c r="BH83" i="23"/>
  <c r="BG83" i="23"/>
  <c r="BF83" i="23"/>
  <c r="BA83" i="23"/>
  <c r="AZ83" i="23"/>
  <c r="G83" i="23"/>
  <c r="F83" i="23"/>
  <c r="E83" i="23"/>
  <c r="D83" i="23"/>
  <c r="C83" i="23"/>
  <c r="B83" i="23"/>
  <c r="BT82" i="23"/>
  <c r="BH82" i="23"/>
  <c r="BG82" i="23"/>
  <c r="BF82" i="23"/>
  <c r="BA82" i="23"/>
  <c r="AZ82" i="23"/>
  <c r="G82" i="23"/>
  <c r="F82" i="23"/>
  <c r="E82" i="23"/>
  <c r="D82" i="23"/>
  <c r="C82" i="23"/>
  <c r="B82" i="23"/>
  <c r="BT81" i="23"/>
  <c r="BH81" i="23"/>
  <c r="BG81" i="23"/>
  <c r="BF81" i="23"/>
  <c r="BA81" i="23"/>
  <c r="AZ81" i="23"/>
  <c r="G81" i="23"/>
  <c r="F81" i="23"/>
  <c r="E81" i="23"/>
  <c r="D81" i="23"/>
  <c r="C81" i="23"/>
  <c r="B81" i="23"/>
  <c r="BT80" i="23"/>
  <c r="BH80" i="23"/>
  <c r="BG80" i="23"/>
  <c r="BF80" i="23"/>
  <c r="BA80" i="23"/>
  <c r="AZ80" i="23"/>
  <c r="G80" i="23"/>
  <c r="F80" i="23"/>
  <c r="E80" i="23"/>
  <c r="D80" i="23"/>
  <c r="C80" i="23"/>
  <c r="B80" i="23"/>
  <c r="BQ79" i="23"/>
  <c r="BP79" i="23"/>
  <c r="BO79" i="23"/>
  <c r="AZ79" i="23"/>
  <c r="AY79" i="23"/>
  <c r="CA79" i="23" s="1"/>
  <c r="AX79" i="23"/>
  <c r="AW79" i="23"/>
  <c r="AV79" i="23"/>
  <c r="BE79" i="23" s="1"/>
  <c r="Y79" i="23"/>
  <c r="X79" i="23"/>
  <c r="W79" i="23"/>
  <c r="G79" i="23"/>
  <c r="F79" i="23"/>
  <c r="E79" i="23"/>
  <c r="D79" i="23"/>
  <c r="C79" i="23"/>
  <c r="B79" i="23"/>
  <c r="BS78" i="23"/>
  <c r="BQ78" i="23"/>
  <c r="BP78" i="23"/>
  <c r="BO78" i="23"/>
  <c r="BA78" i="23"/>
  <c r="AZ78" i="23"/>
  <c r="AY78" i="23"/>
  <c r="AX78" i="23"/>
  <c r="AW78" i="23"/>
  <c r="AV78" i="23"/>
  <c r="BN78" i="23" s="1"/>
  <c r="AR78" i="23"/>
  <c r="AQ78" i="23"/>
  <c r="AP78" i="23"/>
  <c r="G78" i="23"/>
  <c r="F78" i="23"/>
  <c r="E78" i="23"/>
  <c r="D78" i="23"/>
  <c r="C78" i="23"/>
  <c r="B78" i="23"/>
  <c r="BQ77" i="23"/>
  <c r="BP77" i="23"/>
  <c r="BO77" i="23"/>
  <c r="BA77" i="23"/>
  <c r="AZ77" i="23"/>
  <c r="AY77" i="23"/>
  <c r="CA77" i="23" s="1"/>
  <c r="AX77" i="23"/>
  <c r="AW77" i="23"/>
  <c r="BY77" i="23" s="1"/>
  <c r="AV77" i="23"/>
  <c r="BN77" i="23" s="1"/>
  <c r="G77" i="23"/>
  <c r="F77" i="23"/>
  <c r="E77" i="23"/>
  <c r="D77" i="23"/>
  <c r="C77" i="23"/>
  <c r="B77" i="23"/>
  <c r="AQ713" i="23" l="1"/>
  <c r="AP922" i="23"/>
  <c r="AP49" i="22"/>
  <c r="AS708" i="23"/>
  <c r="AS497" i="23"/>
  <c r="AO78" i="23"/>
  <c r="BJ78" i="23" s="1"/>
  <c r="AS291" i="23"/>
  <c r="AJ89" i="22"/>
  <c r="BF79" i="23"/>
  <c r="AI89" i="22"/>
  <c r="AP504" i="23"/>
  <c r="AO84" i="23"/>
  <c r="CC84" i="23" s="1"/>
  <c r="AS691" i="23"/>
  <c r="AN83" i="23"/>
  <c r="CB83" i="23" s="1"/>
  <c r="AS709" i="23"/>
  <c r="AN77" i="23"/>
  <c r="CB77" i="23" s="1"/>
  <c r="AO82" i="23"/>
  <c r="BJ82" i="23" s="1"/>
  <c r="AO85" i="23"/>
  <c r="CC85" i="23" s="1"/>
  <c r="AO79" i="23"/>
  <c r="AO81" i="23"/>
  <c r="CC81" i="23" s="1"/>
  <c r="AO77" i="23"/>
  <c r="AO80" i="23"/>
  <c r="CC80" i="23" s="1"/>
  <c r="AO83" i="23"/>
  <c r="BJ83" i="23" s="1"/>
  <c r="AN82" i="23"/>
  <c r="BI82" i="23" s="1"/>
  <c r="AN85" i="23"/>
  <c r="CB85" i="23" s="1"/>
  <c r="AN79" i="23"/>
  <c r="CB79" i="23" s="1"/>
  <c r="AS499" i="23"/>
  <c r="AN84" i="23"/>
  <c r="AN78" i="23"/>
  <c r="BZ77" i="23"/>
  <c r="BZ79" i="23"/>
  <c r="BY79" i="23" s="1"/>
  <c r="BX79" i="23" s="1"/>
  <c r="AQ259" i="23"/>
  <c r="AP713" i="23"/>
  <c r="BF78" i="23"/>
  <c r="BE78" i="23" s="1"/>
  <c r="AS711" i="23"/>
  <c r="AQ241" i="23"/>
  <c r="BG77" i="23"/>
  <c r="BF77" i="23" s="1"/>
  <c r="BE77" i="23"/>
  <c r="BG78" i="23"/>
  <c r="AP31" i="22"/>
  <c r="BX77" i="23"/>
  <c r="AP241" i="23"/>
  <c r="BH78" i="23"/>
  <c r="BG79" i="23"/>
  <c r="AP259" i="23"/>
  <c r="AR259" i="23"/>
  <c r="Z443" i="23"/>
  <c r="AL89" i="22"/>
  <c r="AK89" i="22" s="1"/>
  <c r="BN79" i="23"/>
  <c r="AN81" i="23"/>
  <c r="CB81" i="23" s="1"/>
  <c r="AS292" i="23"/>
  <c r="AM432" i="23"/>
  <c r="AL641" i="23"/>
  <c r="AS474" i="23"/>
  <c r="Z462" i="23"/>
  <c r="AS849" i="23"/>
  <c r="AK432" i="23"/>
  <c r="AS686" i="23"/>
  <c r="AS501" i="23"/>
  <c r="AO641" i="23"/>
  <c r="Z700" i="23"/>
  <c r="AS293" i="23"/>
  <c r="AS893" i="23"/>
  <c r="Z464" i="23"/>
  <c r="AK431" i="23"/>
  <c r="Z490" i="23"/>
  <c r="AN80" i="23"/>
  <c r="Z861" i="23"/>
  <c r="AL875" i="23"/>
  <c r="AK875" i="23" s="1"/>
  <c r="AS473" i="23"/>
  <c r="Z475" i="23"/>
  <c r="Z489" i="23"/>
  <c r="AO432" i="23"/>
  <c r="AK880" i="23"/>
  <c r="AS908" i="23"/>
  <c r="AM641" i="23"/>
  <c r="AN641" i="23"/>
  <c r="AS710" i="23"/>
  <c r="Z684" i="23"/>
  <c r="Z460" i="23"/>
  <c r="AL237" i="23"/>
  <c r="AK881" i="23"/>
  <c r="AK865" i="23"/>
  <c r="AK868" i="23" s="1"/>
  <c r="AK882" i="23"/>
  <c r="Z699" i="23"/>
  <c r="AK640" i="23"/>
  <c r="AS640" i="23" s="1"/>
  <c r="Z669" i="23"/>
  <c r="Z466" i="23"/>
  <c r="AS490" i="23"/>
  <c r="AS502" i="23"/>
  <c r="AK438" i="23"/>
  <c r="AM431" i="23"/>
  <c r="AM222" i="23"/>
  <c r="Z639" i="23"/>
  <c r="Z674" i="23"/>
  <c r="AS850" i="23"/>
  <c r="AS682" i="23"/>
  <c r="Z465" i="23"/>
  <c r="BB80" i="23"/>
  <c r="AK656" i="23"/>
  <c r="AS648" i="23"/>
  <c r="Z469" i="23"/>
  <c r="AS290" i="23"/>
  <c r="Z430" i="23"/>
  <c r="AK648" i="23"/>
  <c r="BB84" i="23"/>
  <c r="Z675" i="23"/>
  <c r="AO238" i="23"/>
  <c r="Z671" i="23"/>
  <c r="AS906" i="23"/>
  <c r="AN432" i="23"/>
  <c r="Z491" i="23"/>
  <c r="AM223" i="23"/>
  <c r="U234" i="23"/>
  <c r="AN248" i="23" s="1"/>
  <c r="AS475" i="23"/>
  <c r="BB77" i="23"/>
  <c r="Z235" i="23"/>
  <c r="AS249" i="23" s="1"/>
  <c r="AO247" i="23"/>
  <c r="BB78" i="23"/>
  <c r="AK222" i="23"/>
  <c r="AN230" i="23"/>
  <c r="AN226" i="23"/>
  <c r="S233" i="23"/>
  <c r="AL248" i="23" s="1"/>
  <c r="AO228" i="23"/>
  <c r="AL269" i="23"/>
  <c r="AK269" i="23" s="1"/>
  <c r="Z255" i="23"/>
  <c r="Z224" i="23"/>
  <c r="AS232" i="23" s="1"/>
  <c r="Z259" i="23"/>
  <c r="Z261" i="23"/>
  <c r="Z223" i="23"/>
  <c r="AS227" i="23" s="1"/>
  <c r="AO226" i="23"/>
  <c r="Z266" i="23"/>
  <c r="AL277" i="23"/>
  <c r="AK277" i="23" s="1"/>
  <c r="AS268" i="23"/>
  <c r="AS270" i="23"/>
  <c r="AS271" i="23"/>
  <c r="AK276" i="23"/>
  <c r="AS272" i="23"/>
  <c r="Z274" i="23"/>
  <c r="AN284" i="23"/>
  <c r="AS284" i="23" s="1"/>
  <c r="Z282" i="23"/>
  <c r="Z283" i="23"/>
  <c r="Z285" i="23"/>
  <c r="AS857" i="23"/>
  <c r="Z244" i="23"/>
  <c r="AS253" i="23" s="1"/>
  <c r="AO232" i="23"/>
  <c r="AS265" i="23"/>
  <c r="AS286" i="23"/>
  <c r="AL226" i="23"/>
  <c r="Z231" i="23"/>
  <c r="AS246" i="23" s="1"/>
  <c r="AN223" i="23"/>
  <c r="AL450" i="23"/>
  <c r="Z77" i="23"/>
  <c r="R214" i="23"/>
  <c r="N215" i="23"/>
  <c r="X215" i="23" s="1"/>
  <c r="W215" i="23" s="1"/>
  <c r="AM230" i="23"/>
  <c r="R234" i="23"/>
  <c r="Z238" i="23"/>
  <c r="AS236" i="23" s="1"/>
  <c r="AM252" i="23"/>
  <c r="AL252" i="23" s="1"/>
  <c r="AK252" i="23" s="1"/>
  <c r="Z226" i="23"/>
  <c r="AS233" i="23" s="1"/>
  <c r="Z257" i="23"/>
  <c r="AO223" i="23"/>
  <c r="Z262" i="23"/>
  <c r="Z268" i="23"/>
  <c r="Z270" i="23"/>
  <c r="Z271" i="23"/>
  <c r="Z272" i="23"/>
  <c r="Z273" i="23"/>
  <c r="Z275" i="23"/>
  <c r="Z278" i="23"/>
  <c r="Z279" i="23"/>
  <c r="AS904" i="23"/>
  <c r="AK462" i="23"/>
  <c r="Z250" i="23"/>
  <c r="AS262" i="23" s="1"/>
  <c r="BB82" i="23"/>
  <c r="O214" i="23"/>
  <c r="N214" i="23" s="1"/>
  <c r="X214" i="23" s="1"/>
  <c r="Z225" i="23"/>
  <c r="AS228" i="23" s="1"/>
  <c r="T234" i="23"/>
  <c r="Z227" i="23"/>
  <c r="AS229" i="23" s="1"/>
  <c r="Z229" i="23"/>
  <c r="AS244" i="23" s="1"/>
  <c r="Z239" i="23"/>
  <c r="AS237" i="23" s="1"/>
  <c r="Z251" i="23"/>
  <c r="Z254" i="23"/>
  <c r="Z258" i="23"/>
  <c r="Z264" i="23"/>
  <c r="Z265" i="23"/>
  <c r="Z267" i="23"/>
  <c r="AO279" i="23"/>
  <c r="Z281" i="23"/>
  <c r="Z284" i="23"/>
  <c r="Z286" i="23"/>
  <c r="AL457" i="23"/>
  <c r="AK457" i="23" s="1"/>
  <c r="U215" i="23"/>
  <c r="T215" i="23" s="1"/>
  <c r="R216" i="23"/>
  <c r="AM226" i="23"/>
  <c r="S248" i="23"/>
  <c r="Z248" i="23" s="1"/>
  <c r="AL250" i="23"/>
  <c r="Z232" i="23"/>
  <c r="AS247" i="23" s="1"/>
  <c r="AK266" i="23"/>
  <c r="Z256" i="23"/>
  <c r="Z260" i="23"/>
  <c r="Z269" i="23"/>
  <c r="Z276" i="23"/>
  <c r="AS285" i="23"/>
  <c r="AS288" i="23"/>
  <c r="Z678" i="23"/>
  <c r="AM244" i="23"/>
  <c r="L214" i="23"/>
  <c r="K214" i="23" s="1"/>
  <c r="W214" i="23"/>
  <c r="V214" i="23" s="1"/>
  <c r="Z243" i="23"/>
  <c r="AS252" i="23" s="1"/>
  <c r="AL230" i="23"/>
  <c r="AL258" i="23"/>
  <c r="AK258" i="23" s="1"/>
  <c r="Z230" i="23"/>
  <c r="AS245" i="23" s="1"/>
  <c r="Z241" i="23"/>
  <c r="AS239" i="23" s="1"/>
  <c r="Z242" i="23"/>
  <c r="Z245" i="23"/>
  <c r="AS254" i="23" s="1"/>
  <c r="AK231" i="23"/>
  <c r="Z222" i="23"/>
  <c r="Z249" i="23"/>
  <c r="AS257" i="23" s="1"/>
  <c r="AM255" i="23"/>
  <c r="AL255" i="23" s="1"/>
  <c r="AK255" i="23" s="1"/>
  <c r="Z240" i="23"/>
  <c r="AS238" i="23" s="1"/>
  <c r="Z246" i="23"/>
  <c r="AS255" i="23" s="1"/>
  <c r="AO230" i="23"/>
  <c r="R247" i="23"/>
  <c r="R233" i="23"/>
  <c r="Z277" i="23"/>
  <c r="Z237" i="23"/>
  <c r="AS258" i="23" s="1"/>
  <c r="AS854" i="23"/>
  <c r="AS853" i="23"/>
  <c r="AN232" i="23"/>
  <c r="AM232" i="23" s="1"/>
  <c r="AL232" i="23" s="1"/>
  <c r="AK232" i="23" s="1"/>
  <c r="AN247" i="23"/>
  <c r="AM247" i="23" s="1"/>
  <c r="AL247" i="23" s="1"/>
  <c r="AK247" i="23" s="1"/>
  <c r="AO249" i="23"/>
  <c r="AN249" i="23" s="1"/>
  <c r="AM249" i="23" s="1"/>
  <c r="AL249" i="23" s="1"/>
  <c r="AK249" i="23" s="1"/>
  <c r="AO250" i="23"/>
  <c r="AN250" i="23" s="1"/>
  <c r="N216" i="23"/>
  <c r="X216" i="23" s="1"/>
  <c r="Z221" i="23"/>
  <c r="AL223" i="23"/>
  <c r="AK226" i="23"/>
  <c r="AO229" i="23"/>
  <c r="AN229" i="23" s="1"/>
  <c r="AM229" i="23" s="1"/>
  <c r="AL229" i="23" s="1"/>
  <c r="AK229" i="23" s="1"/>
  <c r="AO236" i="23"/>
  <c r="AN236" i="23" s="1"/>
  <c r="AM236" i="23" s="1"/>
  <c r="AL236" i="23" s="1"/>
  <c r="AK236" i="23" s="1"/>
  <c r="AO237" i="23"/>
  <c r="AN237" i="23" s="1"/>
  <c r="AO244" i="23"/>
  <c r="AO245" i="23"/>
  <c r="AN245" i="23" s="1"/>
  <c r="AM245" i="23" s="1"/>
  <c r="AL245" i="23" s="1"/>
  <c r="AO255" i="23"/>
  <c r="AO266" i="23"/>
  <c r="AN266" i="23" s="1"/>
  <c r="AM266" i="23" s="1"/>
  <c r="AS267" i="23"/>
  <c r="AK275" i="23"/>
  <c r="AL278" i="23"/>
  <c r="AK278" i="23" s="1"/>
  <c r="AO283" i="23"/>
  <c r="AN283" i="23" s="1"/>
  <c r="AS283" i="23" s="1"/>
  <c r="AL868" i="23"/>
  <c r="AS858" i="23"/>
  <c r="AS683" i="23"/>
  <c r="AK672" i="23"/>
  <c r="AK463" i="23"/>
  <c r="AK435" i="23"/>
  <c r="AK651" i="23"/>
  <c r="AS688" i="23"/>
  <c r="R456" i="23"/>
  <c r="Z456" i="23" s="1"/>
  <c r="AL465" i="23"/>
  <c r="Z449" i="23"/>
  <c r="AS447" i="23" s="1"/>
  <c r="AK447" i="23"/>
  <c r="AS436" i="23"/>
  <c r="AS435" i="23"/>
  <c r="AO252" i="23"/>
  <c r="BB81" i="23"/>
  <c r="BB83" i="23"/>
  <c r="L216" i="23"/>
  <c r="AO222" i="23"/>
  <c r="AK223" i="23"/>
  <c r="R228" i="23"/>
  <c r="Z228" i="23" s="1"/>
  <c r="AS234" i="23" s="1"/>
  <c r="AK237" i="23"/>
  <c r="AM238" i="23"/>
  <c r="AL238" i="23" s="1"/>
  <c r="AK238" i="23" s="1"/>
  <c r="AO239" i="23"/>
  <c r="AN239" i="23" s="1"/>
  <c r="AM239" i="23" s="1"/>
  <c r="AL239" i="23" s="1"/>
  <c r="AK239" i="23" s="1"/>
  <c r="AK245" i="23"/>
  <c r="AO246" i="23"/>
  <c r="AN246" i="23" s="1"/>
  <c r="AM246" i="23" s="1"/>
  <c r="AL246" i="23" s="1"/>
  <c r="AK246" i="23" s="1"/>
  <c r="Z252" i="23"/>
  <c r="AO257" i="23"/>
  <c r="AN257" i="23" s="1"/>
  <c r="AM257" i="23" s="1"/>
  <c r="AL257" i="23" s="1"/>
  <c r="AK257" i="23" s="1"/>
  <c r="AO258" i="23"/>
  <c r="AN258" i="23" s="1"/>
  <c r="AO277" i="23"/>
  <c r="AN277" i="23" s="1"/>
  <c r="AN279" i="23"/>
  <c r="AO281" i="23"/>
  <c r="AN281" i="23" s="1"/>
  <c r="AS281" i="23" s="1"/>
  <c r="AS649" i="23"/>
  <c r="AK673" i="23"/>
  <c r="AL659" i="23"/>
  <c r="AK647" i="23"/>
  <c r="Z645" i="23"/>
  <c r="AS647" i="23" s="1"/>
  <c r="AS439" i="23"/>
  <c r="AS440" i="23"/>
  <c r="Z641" i="23"/>
  <c r="AK644" i="23"/>
  <c r="AO264" i="23"/>
  <c r="AS264" i="23" s="1"/>
  <c r="AN662" i="23"/>
  <c r="AN453" i="23"/>
  <c r="AN871" i="23"/>
  <c r="AL663" i="23"/>
  <c r="AK663" i="23" s="1"/>
  <c r="AK662" i="23"/>
  <c r="AK227" i="23"/>
  <c r="AN228" i="23"/>
  <c r="AM228" i="23" s="1"/>
  <c r="AL228" i="23" s="1"/>
  <c r="AK228" i="23" s="1"/>
  <c r="AO231" i="23"/>
  <c r="AN231" i="23" s="1"/>
  <c r="AM231" i="23" s="1"/>
  <c r="AL231" i="23" s="1"/>
  <c r="AO234" i="23"/>
  <c r="AN234" i="23" s="1"/>
  <c r="AM234" i="23" s="1"/>
  <c r="AL234" i="23" s="1"/>
  <c r="AO254" i="23"/>
  <c r="AN254" i="23" s="1"/>
  <c r="AM254" i="23" s="1"/>
  <c r="AL254" i="23" s="1"/>
  <c r="AK254" i="23" s="1"/>
  <c r="AL262" i="23"/>
  <c r="AK262" i="23" s="1"/>
  <c r="AO275" i="23"/>
  <c r="AN275" i="23" s="1"/>
  <c r="AM275" i="23" s="1"/>
  <c r="AL275" i="23" s="1"/>
  <c r="BB85" i="23"/>
  <c r="Q215" i="23"/>
  <c r="AO227" i="23"/>
  <c r="AN227" i="23" s="1"/>
  <c r="AM227" i="23" s="1"/>
  <c r="AO233" i="23"/>
  <c r="AN233" i="23" s="1"/>
  <c r="AM233" i="23" s="1"/>
  <c r="AL233" i="23" s="1"/>
  <c r="R236" i="23"/>
  <c r="Z236" i="23" s="1"/>
  <c r="AS250" i="23" s="1"/>
  <c r="AO253" i="23"/>
  <c r="AN253" i="23" s="1"/>
  <c r="AM253" i="23" s="1"/>
  <c r="AL253" i="23" s="1"/>
  <c r="AK253" i="23" s="1"/>
  <c r="AO262" i="23"/>
  <c r="AN262" i="23" s="1"/>
  <c r="AK441" i="23"/>
  <c r="AK439" i="23"/>
  <c r="AK641" i="23"/>
  <c r="AL432" i="23"/>
  <c r="BS76" i="23"/>
  <c r="BR76" i="23"/>
  <c r="BQ76" i="23"/>
  <c r="BP76" i="23"/>
  <c r="BO76" i="23"/>
  <c r="BA76" i="23"/>
  <c r="AZ76" i="23" s="1"/>
  <c r="AY76" i="23"/>
  <c r="AX76" i="23"/>
  <c r="AW76" i="23"/>
  <c r="AV76" i="23"/>
  <c r="BN76" i="23" s="1"/>
  <c r="AR76" i="23"/>
  <c r="AQ76" i="23"/>
  <c r="AP76" i="23"/>
  <c r="AO76" i="23"/>
  <c r="AN76" i="23"/>
  <c r="V76" i="23"/>
  <c r="U76" i="23"/>
  <c r="T76" i="23"/>
  <c r="S76" i="23"/>
  <c r="R76" i="23"/>
  <c r="G76" i="23"/>
  <c r="F76" i="23"/>
  <c r="E76" i="23"/>
  <c r="D76" i="23"/>
  <c r="C76" i="23"/>
  <c r="B76" i="23"/>
  <c r="BS75" i="23"/>
  <c r="BR75" i="23"/>
  <c r="BQ75" i="23"/>
  <c r="BP75" i="23"/>
  <c r="BO75" i="23"/>
  <c r="BA75" i="23"/>
  <c r="CC75" i="23" s="1"/>
  <c r="AZ75" i="23"/>
  <c r="AY75" i="23"/>
  <c r="AX75" i="23"/>
  <c r="BZ75" i="23" s="1"/>
  <c r="AW75" i="23"/>
  <c r="BY75" i="23" s="1"/>
  <c r="AV75" i="23"/>
  <c r="BN75" i="23" s="1"/>
  <c r="AS75" i="23"/>
  <c r="V75" i="23"/>
  <c r="U75" i="23"/>
  <c r="T75" i="23"/>
  <c r="S75" i="23"/>
  <c r="R75" i="23"/>
  <c r="G75" i="23"/>
  <c r="F75" i="23"/>
  <c r="E75" i="23"/>
  <c r="D75" i="23"/>
  <c r="C75" i="23"/>
  <c r="B75" i="23"/>
  <c r="BS74" i="23"/>
  <c r="BR74" i="23" s="1"/>
  <c r="BQ74" i="23"/>
  <c r="BP74" i="23"/>
  <c r="BO74" i="23"/>
  <c r="AZ74" i="23"/>
  <c r="AY74" i="23"/>
  <c r="AX74" i="23"/>
  <c r="AW74" i="23"/>
  <c r="AV74" i="23"/>
  <c r="BX74" i="23" s="1"/>
  <c r="AO74" i="23"/>
  <c r="AN74" i="23"/>
  <c r="V74" i="23"/>
  <c r="U74" i="23"/>
  <c r="T74" i="23"/>
  <c r="S74" i="23"/>
  <c r="R74" i="23"/>
  <c r="G74" i="23"/>
  <c r="F74" i="23"/>
  <c r="E74" i="23"/>
  <c r="D74" i="23"/>
  <c r="C74" i="23"/>
  <c r="B74" i="23"/>
  <c r="BQ73" i="23"/>
  <c r="BP73" i="23"/>
  <c r="BO73" i="23"/>
  <c r="AY73" i="23"/>
  <c r="AX73" i="23"/>
  <c r="BZ73" i="23" s="1"/>
  <c r="AW73" i="23"/>
  <c r="AV73" i="23"/>
  <c r="BE73" i="23" s="1"/>
  <c r="AO73" i="23"/>
  <c r="AN73" i="23"/>
  <c r="V73" i="23"/>
  <c r="U73" i="23"/>
  <c r="T73" i="23"/>
  <c r="S73" i="23"/>
  <c r="R73" i="23"/>
  <c r="G73" i="23"/>
  <c r="F73" i="23"/>
  <c r="E73" i="23"/>
  <c r="D73" i="23"/>
  <c r="C73" i="23"/>
  <c r="B73" i="23"/>
  <c r="BQ72" i="23"/>
  <c r="BP72" i="23"/>
  <c r="BO72" i="23"/>
  <c r="AY72" i="23"/>
  <c r="CA72" i="23" s="1"/>
  <c r="AX72" i="23"/>
  <c r="AW72" i="23"/>
  <c r="AV72" i="23"/>
  <c r="BN72" i="23" s="1"/>
  <c r="V72" i="23"/>
  <c r="U72" i="23"/>
  <c r="T72" i="23"/>
  <c r="S72" i="23"/>
  <c r="R72" i="23"/>
  <c r="G72" i="23"/>
  <c r="F72" i="23"/>
  <c r="E72" i="23"/>
  <c r="D72" i="23"/>
  <c r="C72" i="23"/>
  <c r="B72" i="23"/>
  <c r="BR71" i="23"/>
  <c r="BQ71" i="23"/>
  <c r="BP71" i="23"/>
  <c r="BO71" i="23"/>
  <c r="AZ71" i="23"/>
  <c r="AY71" i="23"/>
  <c r="AX71" i="23"/>
  <c r="BZ71" i="23" s="1"/>
  <c r="AW71" i="23"/>
  <c r="BY71" i="23" s="1"/>
  <c r="AV71" i="23"/>
  <c r="BN71" i="23" s="1"/>
  <c r="AR71" i="23"/>
  <c r="AQ71" i="23"/>
  <c r="AP71" i="23"/>
  <c r="V71" i="23"/>
  <c r="U71" i="23"/>
  <c r="T71" i="23"/>
  <c r="S71" i="23"/>
  <c r="R71" i="23"/>
  <c r="G71" i="23"/>
  <c r="F71" i="23"/>
  <c r="E71" i="23"/>
  <c r="D71" i="23"/>
  <c r="C71" i="23"/>
  <c r="B71" i="23"/>
  <c r="BQ70" i="23"/>
  <c r="BP70" i="23"/>
  <c r="BO70" i="23"/>
  <c r="AY70" i="23"/>
  <c r="CA70" i="23" s="1"/>
  <c r="AX70" i="23"/>
  <c r="AW70" i="23"/>
  <c r="BY70" i="23" s="1"/>
  <c r="AV70" i="23"/>
  <c r="BE70" i="23" s="1"/>
  <c r="V70" i="23"/>
  <c r="U70" i="23"/>
  <c r="T70" i="23"/>
  <c r="S70" i="23"/>
  <c r="R70" i="23"/>
  <c r="G70" i="23"/>
  <c r="F70" i="23"/>
  <c r="E70" i="23"/>
  <c r="D70" i="23"/>
  <c r="C70" i="23"/>
  <c r="B70" i="23"/>
  <c r="BR69" i="23"/>
  <c r="BQ69" i="23"/>
  <c r="BP69" i="23"/>
  <c r="BO69" i="23"/>
  <c r="AY69" i="23"/>
  <c r="AX69" i="23"/>
  <c r="AW69" i="23"/>
  <c r="AV69" i="23"/>
  <c r="BN69" i="23" s="1"/>
  <c r="AR69" i="23"/>
  <c r="AQ69" i="23"/>
  <c r="AP69" i="23"/>
  <c r="V69" i="23"/>
  <c r="U69" i="23"/>
  <c r="T69" i="23" s="1"/>
  <c r="S69" i="23" s="1"/>
  <c r="R69" i="23" s="1"/>
  <c r="G69" i="23"/>
  <c r="F69" i="23"/>
  <c r="E69" i="23"/>
  <c r="D69" i="23"/>
  <c r="C69" i="23"/>
  <c r="B69" i="23"/>
  <c r="BQ68" i="23"/>
  <c r="BP68" i="23"/>
  <c r="BO68" i="23"/>
  <c r="AY68" i="23"/>
  <c r="AX68" i="23"/>
  <c r="AW68" i="23"/>
  <c r="AV68" i="23"/>
  <c r="BN68" i="23" s="1"/>
  <c r="V68" i="23"/>
  <c r="U68" i="23"/>
  <c r="T68" i="23" s="1"/>
  <c r="S68" i="23" s="1"/>
  <c r="R68" i="23" s="1"/>
  <c r="G68" i="23"/>
  <c r="F68" i="23"/>
  <c r="E68" i="23"/>
  <c r="D68" i="23"/>
  <c r="C68" i="23"/>
  <c r="B68" i="23"/>
  <c r="BR67" i="23"/>
  <c r="BQ67" i="23"/>
  <c r="BP67" i="23"/>
  <c r="BO67" i="23"/>
  <c r="AZ67" i="23"/>
  <c r="AY67" i="23"/>
  <c r="AX67" i="23"/>
  <c r="AW67" i="23"/>
  <c r="AV67" i="23"/>
  <c r="BE67" i="23" s="1"/>
  <c r="AR67" i="23"/>
  <c r="AQ67" i="23"/>
  <c r="AP67" i="23"/>
  <c r="V67" i="23"/>
  <c r="U67" i="23"/>
  <c r="T67" i="23"/>
  <c r="S67" i="23"/>
  <c r="R67" i="23"/>
  <c r="G67" i="23"/>
  <c r="F67" i="23"/>
  <c r="E67" i="23"/>
  <c r="D67" i="23"/>
  <c r="C67" i="23"/>
  <c r="B67" i="23"/>
  <c r="AV66" i="23"/>
  <c r="BE66" i="23" s="1"/>
  <c r="V66" i="23"/>
  <c r="U66" i="23"/>
  <c r="T66" i="23"/>
  <c r="S66" i="23"/>
  <c r="R66" i="23"/>
  <c r="G66" i="23"/>
  <c r="F66" i="23"/>
  <c r="E66" i="23"/>
  <c r="D66" i="23"/>
  <c r="C66" i="23"/>
  <c r="B66" i="23"/>
  <c r="BP65" i="23"/>
  <c r="BO65" i="23" s="1"/>
  <c r="AY65" i="23"/>
  <c r="AX65" i="23" s="1"/>
  <c r="AW65" i="23" s="1"/>
  <c r="AV65" i="23"/>
  <c r="BN65" i="23" s="1"/>
  <c r="AR65" i="23"/>
  <c r="AQ65" i="23"/>
  <c r="AP65" i="23"/>
  <c r="V65" i="23"/>
  <c r="U65" i="23"/>
  <c r="T65" i="23"/>
  <c r="S65" i="23"/>
  <c r="R65" i="23"/>
  <c r="G65" i="23"/>
  <c r="F65" i="23"/>
  <c r="E65" i="23"/>
  <c r="D65" i="23"/>
  <c r="C65" i="23"/>
  <c r="B65" i="23"/>
  <c r="AW64" i="23"/>
  <c r="AV64" i="23"/>
  <c r="BN64" i="23" s="1"/>
  <c r="V64" i="23"/>
  <c r="U64" i="23"/>
  <c r="T64" i="23"/>
  <c r="S64" i="23"/>
  <c r="R64" i="23"/>
  <c r="G64" i="23"/>
  <c r="F64" i="23"/>
  <c r="E64" i="23"/>
  <c r="D64" i="23"/>
  <c r="C64" i="23"/>
  <c r="B64" i="23"/>
  <c r="BO63" i="23"/>
  <c r="AW63" i="23"/>
  <c r="AV63" i="23"/>
  <c r="BE63" i="23" s="1"/>
  <c r="AR63" i="23"/>
  <c r="AQ63" i="23"/>
  <c r="AP63" i="23"/>
  <c r="V63" i="23"/>
  <c r="U63" i="23"/>
  <c r="T63" i="23"/>
  <c r="S63" i="23"/>
  <c r="AL64" i="23" s="1"/>
  <c r="R63" i="23"/>
  <c r="G63" i="23"/>
  <c r="F63" i="23"/>
  <c r="E63" i="23"/>
  <c r="D63" i="23"/>
  <c r="C63" i="23"/>
  <c r="B63" i="23"/>
  <c r="V62" i="23"/>
  <c r="U62" i="23"/>
  <c r="T62" i="23"/>
  <c r="S62" i="23"/>
  <c r="AL63" i="23" s="1"/>
  <c r="R62" i="23"/>
  <c r="G62" i="23"/>
  <c r="F62" i="23"/>
  <c r="E62" i="23"/>
  <c r="D62" i="23"/>
  <c r="C62" i="23"/>
  <c r="B62" i="23"/>
  <c r="BP61" i="23"/>
  <c r="BO61" i="23"/>
  <c r="AZ61" i="23"/>
  <c r="AY61" i="23" s="1"/>
  <c r="AX61" i="23"/>
  <c r="AW61" i="23" s="1"/>
  <c r="AV61" i="23"/>
  <c r="BE61" i="23" s="1"/>
  <c r="AO61" i="23"/>
  <c r="AN61" i="23"/>
  <c r="AM61" i="23"/>
  <c r="AL61" i="23"/>
  <c r="AK61" i="23" s="1"/>
  <c r="V61" i="23"/>
  <c r="U61" i="23"/>
  <c r="T61" i="23"/>
  <c r="S61" i="23"/>
  <c r="R61" i="23"/>
  <c r="G61" i="23"/>
  <c r="F61" i="23"/>
  <c r="E61" i="23"/>
  <c r="D61" i="23"/>
  <c r="C61" i="23"/>
  <c r="B61" i="23"/>
  <c r="BO60" i="23"/>
  <c r="AX60" i="23"/>
  <c r="AW60" i="23" s="1"/>
  <c r="AV60" i="23"/>
  <c r="BE60" i="23" s="1"/>
  <c r="AO60" i="23"/>
  <c r="AN60" i="23"/>
  <c r="AM60" i="23"/>
  <c r="AL60" i="23" s="1"/>
  <c r="AK60" i="23" s="1"/>
  <c r="V60" i="23"/>
  <c r="U60" i="23"/>
  <c r="T60" i="23"/>
  <c r="S60" i="23"/>
  <c r="R60" i="23"/>
  <c r="G60" i="23"/>
  <c r="F60" i="23"/>
  <c r="E60" i="23"/>
  <c r="D60" i="23"/>
  <c r="C60" i="23"/>
  <c r="B60" i="23"/>
  <c r="AV59" i="23"/>
  <c r="BE59" i="23" s="1"/>
  <c r="AO59" i="23"/>
  <c r="AN59" i="23"/>
  <c r="AM59" i="23"/>
  <c r="AL59" i="23"/>
  <c r="AK59" i="23"/>
  <c r="V59" i="23"/>
  <c r="U59" i="23"/>
  <c r="T59" i="23"/>
  <c r="S59" i="23"/>
  <c r="R59" i="23"/>
  <c r="G59" i="23"/>
  <c r="F59" i="23"/>
  <c r="E59" i="23"/>
  <c r="D59" i="23"/>
  <c r="C59" i="23"/>
  <c r="B59" i="23"/>
  <c r="BQ58" i="23"/>
  <c r="BP58" i="23"/>
  <c r="BO58" i="23"/>
  <c r="AV58" i="23"/>
  <c r="BN58" i="23" s="1"/>
  <c r="AO58" i="23"/>
  <c r="AN58" i="23"/>
  <c r="AM58" i="23"/>
  <c r="AL58" i="23"/>
  <c r="AK58" i="23" s="1"/>
  <c r="V58" i="23"/>
  <c r="U58" i="23"/>
  <c r="T58" i="23"/>
  <c r="S58" i="23"/>
  <c r="R58" i="23"/>
  <c r="AK65" i="23" s="1"/>
  <c r="G58" i="23"/>
  <c r="F58" i="23"/>
  <c r="E58" i="23"/>
  <c r="D58" i="23"/>
  <c r="C58" i="23"/>
  <c r="B58" i="23"/>
  <c r="AW57" i="23"/>
  <c r="AV57" i="23"/>
  <c r="BE57" i="23" s="1"/>
  <c r="V57" i="23"/>
  <c r="U57" i="23"/>
  <c r="T57" i="23"/>
  <c r="S57" i="23"/>
  <c r="R57" i="23"/>
  <c r="G57" i="23"/>
  <c r="F57" i="23"/>
  <c r="E57" i="23"/>
  <c r="D57" i="23"/>
  <c r="C57" i="23"/>
  <c r="B57" i="23"/>
  <c r="BS56" i="23"/>
  <c r="BR56" i="23"/>
  <c r="BQ56" i="23"/>
  <c r="BP56" i="23"/>
  <c r="BO56" i="23" s="1"/>
  <c r="BA56" i="23"/>
  <c r="AZ56" i="23"/>
  <c r="AY56" i="23"/>
  <c r="AX56" i="23"/>
  <c r="AW56" i="23"/>
  <c r="AV56" i="23"/>
  <c r="BX56" i="23" s="1"/>
  <c r="AR56" i="23"/>
  <c r="AQ56" i="23"/>
  <c r="AP56" i="23"/>
  <c r="AO56" i="23" s="1"/>
  <c r="AN56" i="23" s="1"/>
  <c r="AM56" i="23" s="1"/>
  <c r="AL56" i="23" s="1"/>
  <c r="AK56" i="23" s="1"/>
  <c r="V56" i="23"/>
  <c r="U56" i="23"/>
  <c r="T56" i="23"/>
  <c r="S56" i="23"/>
  <c r="R56" i="23"/>
  <c r="G56" i="23"/>
  <c r="F56" i="23"/>
  <c r="E56" i="23"/>
  <c r="D56" i="23"/>
  <c r="C56" i="23"/>
  <c r="B56" i="23"/>
  <c r="BP55" i="23"/>
  <c r="BO55" i="23"/>
  <c r="AX55" i="23"/>
  <c r="AW55" i="23" s="1"/>
  <c r="AV55" i="23"/>
  <c r="BN55" i="23" s="1"/>
  <c r="AO55" i="23"/>
  <c r="AN55" i="23"/>
  <c r="AM55" i="23"/>
  <c r="AL55" i="23" s="1"/>
  <c r="AK55" i="23" s="1"/>
  <c r="V55" i="23"/>
  <c r="U55" i="23"/>
  <c r="T55" i="23"/>
  <c r="S55" i="23"/>
  <c r="R55" i="23"/>
  <c r="G55" i="23"/>
  <c r="F55" i="23"/>
  <c r="V41" i="23" s="1"/>
  <c r="E55" i="23"/>
  <c r="U41" i="23" s="1"/>
  <c r="D55" i="23"/>
  <c r="T41" i="23" s="1"/>
  <c r="C55" i="23"/>
  <c r="S41" i="23" s="1"/>
  <c r="B55" i="23"/>
  <c r="BO54" i="23"/>
  <c r="AW54" i="23"/>
  <c r="AV54" i="23"/>
  <c r="BN54" i="23" s="1"/>
  <c r="AR54" i="23"/>
  <c r="AQ54" i="23"/>
  <c r="AP54" i="23"/>
  <c r="Z54" i="23"/>
  <c r="G54" i="23"/>
  <c r="F54" i="23"/>
  <c r="E54" i="23"/>
  <c r="D54" i="23"/>
  <c r="C54" i="23"/>
  <c r="B54" i="23"/>
  <c r="BS53" i="23"/>
  <c r="BR53" i="23"/>
  <c r="BQ53" i="23"/>
  <c r="BP53" i="23"/>
  <c r="BO53" i="23"/>
  <c r="BA53" i="23"/>
  <c r="AZ53" i="23"/>
  <c r="AY53" i="23"/>
  <c r="AX53" i="23"/>
  <c r="AW53" i="23"/>
  <c r="AV53" i="23"/>
  <c r="BN53" i="23" s="1"/>
  <c r="AR53" i="23"/>
  <c r="AQ53" i="23"/>
  <c r="AP53" i="23" s="1"/>
  <c r="AO53" i="23" s="1"/>
  <c r="AN53" i="23" s="1"/>
  <c r="AM53" i="23" s="1"/>
  <c r="AL53" i="23" s="1"/>
  <c r="AK53" i="23" s="1"/>
  <c r="V53" i="23"/>
  <c r="U53" i="23"/>
  <c r="T53" i="23"/>
  <c r="S53" i="23"/>
  <c r="R53" i="23"/>
  <c r="G53" i="23"/>
  <c r="F53" i="23"/>
  <c r="E53" i="23"/>
  <c r="D53" i="23"/>
  <c r="C53" i="23"/>
  <c r="B53" i="23"/>
  <c r="BS52" i="23"/>
  <c r="BR52" i="23"/>
  <c r="BQ52" i="23" s="1"/>
  <c r="BP52" i="23" s="1"/>
  <c r="BO52" i="23" s="1"/>
  <c r="BA52" i="23"/>
  <c r="AZ52" i="23"/>
  <c r="AY52" i="23"/>
  <c r="AX52" i="23"/>
  <c r="AW52" i="23"/>
  <c r="AV52" i="23"/>
  <c r="BN52" i="23" s="1"/>
  <c r="AR52" i="23"/>
  <c r="AQ52" i="23"/>
  <c r="AP52" i="23" s="1"/>
  <c r="AO52" i="23"/>
  <c r="AN52" i="23" s="1"/>
  <c r="AM52" i="23" s="1"/>
  <c r="AL52" i="23" s="1"/>
  <c r="AK52" i="23" s="1"/>
  <c r="V52" i="23"/>
  <c r="U52" i="23"/>
  <c r="T52" i="23"/>
  <c r="S52" i="23"/>
  <c r="R52" i="23"/>
  <c r="G52" i="23"/>
  <c r="F52" i="23"/>
  <c r="E52" i="23"/>
  <c r="D52" i="23"/>
  <c r="C52" i="23"/>
  <c r="B52" i="23"/>
  <c r="BJ51" i="23"/>
  <c r="BI51" i="23"/>
  <c r="BH51" i="23"/>
  <c r="BG51" i="23"/>
  <c r="BF51" i="23"/>
  <c r="V51" i="23"/>
  <c r="U51" i="23"/>
  <c r="T51" i="23"/>
  <c r="S51" i="23"/>
  <c r="R51" i="23"/>
  <c r="G51" i="23"/>
  <c r="F51" i="23"/>
  <c r="E51" i="23"/>
  <c r="D51" i="23"/>
  <c r="C51" i="23"/>
  <c r="B51" i="23"/>
  <c r="AV50" i="23"/>
  <c r="BN50" i="23" s="1"/>
  <c r="AR50" i="23"/>
  <c r="AQ50" i="23"/>
  <c r="AP50" i="23"/>
  <c r="V50" i="23"/>
  <c r="U50" i="23"/>
  <c r="T50" i="23"/>
  <c r="S50" i="23"/>
  <c r="R50" i="23"/>
  <c r="G50" i="23"/>
  <c r="F50" i="23"/>
  <c r="E50" i="23"/>
  <c r="D50" i="23"/>
  <c r="C50" i="23"/>
  <c r="B50" i="23"/>
  <c r="V49" i="23"/>
  <c r="U49" i="23"/>
  <c r="T49" i="23"/>
  <c r="S49" i="23"/>
  <c r="R49" i="23"/>
  <c r="G49" i="23"/>
  <c r="F49" i="23"/>
  <c r="E49" i="23"/>
  <c r="D49" i="23"/>
  <c r="C49" i="23"/>
  <c r="B49" i="23"/>
  <c r="V48" i="23"/>
  <c r="U48" i="23"/>
  <c r="T48" i="23"/>
  <c r="S48" i="23"/>
  <c r="R48" i="23"/>
  <c r="G48" i="23"/>
  <c r="F48" i="23"/>
  <c r="E48" i="23"/>
  <c r="D48" i="23"/>
  <c r="C48" i="23"/>
  <c r="B48" i="23"/>
  <c r="V47" i="23"/>
  <c r="U47" i="23"/>
  <c r="T47" i="23"/>
  <c r="S47" i="23"/>
  <c r="R47" i="23"/>
  <c r="G47" i="23"/>
  <c r="F47" i="23"/>
  <c r="E47" i="23"/>
  <c r="D47" i="23"/>
  <c r="C47" i="23"/>
  <c r="B47" i="23"/>
  <c r="AV46" i="23"/>
  <c r="BE46" i="23" s="1"/>
  <c r="AR46" i="23"/>
  <c r="AQ46" i="23"/>
  <c r="AP46" i="23"/>
  <c r="V46" i="23"/>
  <c r="U46" i="23"/>
  <c r="T46" i="23" s="1"/>
  <c r="S46" i="23"/>
  <c r="R46" i="23"/>
  <c r="G46" i="23"/>
  <c r="F46" i="23"/>
  <c r="E46" i="23"/>
  <c r="D46" i="23"/>
  <c r="C46" i="23"/>
  <c r="B46" i="23"/>
  <c r="AV45" i="23"/>
  <c r="BE45" i="23" s="1"/>
  <c r="AR45" i="23"/>
  <c r="AQ45" i="23"/>
  <c r="AP45" i="23"/>
  <c r="V45" i="23"/>
  <c r="U45" i="23"/>
  <c r="T45" i="23"/>
  <c r="S45" i="23"/>
  <c r="R45" i="23"/>
  <c r="G45" i="23"/>
  <c r="F45" i="23"/>
  <c r="E45" i="23"/>
  <c r="D45" i="23"/>
  <c r="C45" i="23"/>
  <c r="B45" i="23"/>
  <c r="AV44" i="23"/>
  <c r="BE44" i="23" s="1"/>
  <c r="AR44" i="23"/>
  <c r="AQ44" i="23"/>
  <c r="AP44" i="23"/>
  <c r="V44" i="23"/>
  <c r="U44" i="23"/>
  <c r="T44" i="23"/>
  <c r="S44" i="23"/>
  <c r="R44" i="23"/>
  <c r="G44" i="23"/>
  <c r="F44" i="23"/>
  <c r="E44" i="23"/>
  <c r="D44" i="23"/>
  <c r="C44" i="23"/>
  <c r="B44" i="23"/>
  <c r="AV43" i="23"/>
  <c r="BN43" i="23" s="1"/>
  <c r="AR43" i="23"/>
  <c r="AQ43" i="23"/>
  <c r="AP43" i="23"/>
  <c r="V43" i="23"/>
  <c r="U43" i="23"/>
  <c r="T43" i="23"/>
  <c r="S43" i="23"/>
  <c r="R43" i="23"/>
  <c r="G43" i="23"/>
  <c r="F43" i="23"/>
  <c r="E43" i="23"/>
  <c r="D43" i="23"/>
  <c r="C43" i="23"/>
  <c r="B43" i="23"/>
  <c r="AV42" i="23"/>
  <c r="BN42" i="23" s="1"/>
  <c r="AR42" i="23"/>
  <c r="AQ42" i="23"/>
  <c r="AP42" i="23"/>
  <c r="V42" i="23"/>
  <c r="U42" i="23"/>
  <c r="T42" i="23"/>
  <c r="S42" i="23"/>
  <c r="R42" i="23"/>
  <c r="G42" i="23"/>
  <c r="F42" i="23"/>
  <c r="E42" i="23"/>
  <c r="D42" i="23"/>
  <c r="C42" i="23"/>
  <c r="B42" i="23"/>
  <c r="AV41" i="23"/>
  <c r="BN41" i="23" s="1"/>
  <c r="AR41" i="23"/>
  <c r="AQ41" i="23"/>
  <c r="AP41" i="23"/>
  <c r="G41" i="23"/>
  <c r="F41" i="23"/>
  <c r="E41" i="23"/>
  <c r="D41" i="23"/>
  <c r="C41" i="23"/>
  <c r="B41" i="23"/>
  <c r="AV40" i="23"/>
  <c r="BX40" i="23" s="1"/>
  <c r="AR40" i="23"/>
  <c r="AQ40" i="23"/>
  <c r="AP40" i="23"/>
  <c r="G40" i="23"/>
  <c r="F40" i="23"/>
  <c r="E40" i="23"/>
  <c r="D40" i="23"/>
  <c r="C40" i="23"/>
  <c r="B40" i="23"/>
  <c r="BS39" i="23"/>
  <c r="BR39" i="23"/>
  <c r="BQ39" i="23"/>
  <c r="BP39" i="23"/>
  <c r="BO39" i="23"/>
  <c r="G39" i="23"/>
  <c r="F39" i="23"/>
  <c r="E39" i="23"/>
  <c r="D39" i="23"/>
  <c r="C39" i="23"/>
  <c r="B39" i="23"/>
  <c r="AV38" i="23"/>
  <c r="BN38" i="23" s="1"/>
  <c r="AR38" i="23"/>
  <c r="AQ38" i="23"/>
  <c r="AP38" i="23"/>
  <c r="G38" i="23"/>
  <c r="F38" i="23"/>
  <c r="E38" i="23"/>
  <c r="D38" i="23"/>
  <c r="C38" i="23"/>
  <c r="B38" i="23"/>
  <c r="AV37" i="23"/>
  <c r="BX37" i="23" s="1"/>
  <c r="AR37" i="23"/>
  <c r="AQ37" i="23"/>
  <c r="AP37" i="23"/>
  <c r="G37" i="23"/>
  <c r="F37" i="23"/>
  <c r="E37" i="23"/>
  <c r="D37" i="23"/>
  <c r="C37" i="23"/>
  <c r="B37" i="23"/>
  <c r="AS84" i="23" l="1"/>
  <c r="AP89" i="22"/>
  <c r="AO89" i="22" s="1"/>
  <c r="BG72" i="23"/>
  <c r="AS78" i="23"/>
  <c r="BH71" i="23"/>
  <c r="BJ84" i="23"/>
  <c r="BF76" i="23"/>
  <c r="BG76" i="23"/>
  <c r="BI83" i="23"/>
  <c r="BK83" i="23" s="1"/>
  <c r="CC83" i="23"/>
  <c r="CD83" i="23" s="1"/>
  <c r="BJ85" i="23"/>
  <c r="AS79" i="23"/>
  <c r="BJ81" i="23"/>
  <c r="AS77" i="23"/>
  <c r="BI84" i="23"/>
  <c r="AS85" i="23"/>
  <c r="CC82" i="23"/>
  <c r="BI85" i="23"/>
  <c r="CB84" i="23"/>
  <c r="CD84" i="23" s="1"/>
  <c r="CB78" i="23"/>
  <c r="CA78" i="23" s="1"/>
  <c r="BZ78" i="23" s="1"/>
  <c r="BY78" i="23" s="1"/>
  <c r="BX78" i="23" s="1"/>
  <c r="BT78" i="23" s="1"/>
  <c r="BJ80" i="23"/>
  <c r="AS80" i="23"/>
  <c r="BI78" i="23"/>
  <c r="BK78" i="23" s="1"/>
  <c r="AS82" i="23"/>
  <c r="CB82" i="23"/>
  <c r="BG67" i="23"/>
  <c r="AS83" i="23"/>
  <c r="BH76" i="23"/>
  <c r="BF72" i="23"/>
  <c r="AP295" i="23"/>
  <c r="BN57" i="23"/>
  <c r="BE65" i="23"/>
  <c r="BG69" i="23"/>
  <c r="BE50" i="23"/>
  <c r="BN60" i="23"/>
  <c r="BF68" i="23"/>
  <c r="BH69" i="23"/>
  <c r="BH73" i="23"/>
  <c r="BN44" i="23"/>
  <c r="BN45" i="23"/>
  <c r="BN67" i="23"/>
  <c r="BH68" i="23"/>
  <c r="BF69" i="23"/>
  <c r="BG70" i="23"/>
  <c r="BF70" i="23" s="1"/>
  <c r="BJ75" i="23"/>
  <c r="BE76" i="23"/>
  <c r="BX41" i="23"/>
  <c r="BE42" i="23"/>
  <c r="BF73" i="23"/>
  <c r="BN74" i="23"/>
  <c r="BH67" i="23"/>
  <c r="BG68" i="23"/>
  <c r="BG74" i="23"/>
  <c r="BE41" i="23"/>
  <c r="BN46" i="23"/>
  <c r="BN56" i="23"/>
  <c r="BX59" i="23"/>
  <c r="BY73" i="23"/>
  <c r="BX73" i="23" s="1"/>
  <c r="BF74" i="23"/>
  <c r="BE74" i="23"/>
  <c r="CB75" i="23"/>
  <c r="CA75" i="23" s="1"/>
  <c r="CD75" i="23" s="1"/>
  <c r="BH75" i="23"/>
  <c r="BG75" i="23" s="1"/>
  <c r="BF75" i="23" s="1"/>
  <c r="BB76" i="23"/>
  <c r="BE40" i="23"/>
  <c r="BZ70" i="23"/>
  <c r="BH74" i="23"/>
  <c r="BT75" i="23"/>
  <c r="BE56" i="23"/>
  <c r="BX60" i="23"/>
  <c r="BN66" i="23"/>
  <c r="BF67" i="23"/>
  <c r="BE68" i="23"/>
  <c r="BE69" i="23"/>
  <c r="BN70" i="23"/>
  <c r="BX70" i="23"/>
  <c r="BI75" i="23"/>
  <c r="BX75" i="23"/>
  <c r="BX63" i="23"/>
  <c r="BZ72" i="23"/>
  <c r="BY72" i="23" s="1"/>
  <c r="BX72" i="23" s="1"/>
  <c r="BG73" i="23"/>
  <c r="BB75" i="23"/>
  <c r="BE37" i="23"/>
  <c r="BE38" i="23"/>
  <c r="BE43" i="23"/>
  <c r="BX53" i="23"/>
  <c r="BX54" i="23"/>
  <c r="BE58" i="23"/>
  <c r="BE71" i="23"/>
  <c r="BN73" i="23"/>
  <c r="BE75" i="23"/>
  <c r="BX71" i="23"/>
  <c r="BE52" i="23"/>
  <c r="BX52" i="23"/>
  <c r="BE53" i="23"/>
  <c r="BE54" i="23"/>
  <c r="BE55" i="23"/>
  <c r="BX55" i="23"/>
  <c r="BE64" i="23"/>
  <c r="BG71" i="23"/>
  <c r="BF71" i="23" s="1"/>
  <c r="BE72" i="23"/>
  <c r="BN61" i="23"/>
  <c r="BN63" i="23"/>
  <c r="BI81" i="23"/>
  <c r="AS81" i="23"/>
  <c r="AK234" i="23"/>
  <c r="AS431" i="23"/>
  <c r="BI80" i="23"/>
  <c r="CB80" i="23"/>
  <c r="CD80" i="23" s="1"/>
  <c r="AS266" i="23"/>
  <c r="AS641" i="23"/>
  <c r="AM248" i="23"/>
  <c r="AK659" i="23"/>
  <c r="AS432" i="23"/>
  <c r="AS277" i="23"/>
  <c r="AL256" i="23"/>
  <c r="BK82" i="23"/>
  <c r="CD85" i="23"/>
  <c r="Z234" i="23"/>
  <c r="AK64" i="23"/>
  <c r="BY64" i="23" s="1"/>
  <c r="BX64" i="23" s="1"/>
  <c r="AS222" i="23"/>
  <c r="BT56" i="23"/>
  <c r="Z70" i="23"/>
  <c r="CB74" i="23"/>
  <c r="CA74" i="23" s="1"/>
  <c r="BZ74" i="23" s="1"/>
  <c r="BY74" i="23" s="1"/>
  <c r="Z75" i="23"/>
  <c r="AS279" i="23"/>
  <c r="AS223" i="23"/>
  <c r="AK256" i="23"/>
  <c r="BI52" i="23"/>
  <c r="CD81" i="23"/>
  <c r="Z43" i="23"/>
  <c r="Z50" i="23"/>
  <c r="Z51" i="23"/>
  <c r="AS53" i="23"/>
  <c r="BI53" i="23"/>
  <c r="BB56" i="23"/>
  <c r="Z60" i="23"/>
  <c r="Z45" i="23"/>
  <c r="BH53" i="23"/>
  <c r="BG53" i="23"/>
  <c r="BY56" i="23"/>
  <c r="CC56" i="23"/>
  <c r="CA61" i="23"/>
  <c r="AK63" i="23"/>
  <c r="BF63" i="23" s="1"/>
  <c r="AO63" i="23"/>
  <c r="AS275" i="23"/>
  <c r="Z48" i="23"/>
  <c r="BT52" i="23"/>
  <c r="Z53" i="23"/>
  <c r="BZ53" i="23"/>
  <c r="BT53" i="23"/>
  <c r="Z55" i="23"/>
  <c r="AS55" i="23"/>
  <c r="AS56" i="23"/>
  <c r="BI56" i="23"/>
  <c r="BJ56" i="23"/>
  <c r="Z57" i="23"/>
  <c r="Z59" i="23"/>
  <c r="AS59" i="23"/>
  <c r="Z62" i="23"/>
  <c r="Z64" i="23"/>
  <c r="AK248" i="23"/>
  <c r="AS226" i="23"/>
  <c r="Z44" i="23"/>
  <c r="Z49" i="23"/>
  <c r="Z52" i="23"/>
  <c r="BF52" i="23"/>
  <c r="BJ52" i="23"/>
  <c r="BF53" i="23"/>
  <c r="BJ53" i="23"/>
  <c r="CA56" i="23"/>
  <c r="BG56" i="23"/>
  <c r="BF56" i="23" s="1"/>
  <c r="AS58" i="23"/>
  <c r="AS60" i="23"/>
  <c r="BF60" i="23"/>
  <c r="Z61" i="23"/>
  <c r="AS61" i="23"/>
  <c r="Z63" i="23"/>
  <c r="Z65" i="23"/>
  <c r="Z66" i="23"/>
  <c r="Z72" i="23"/>
  <c r="BT76" i="23"/>
  <c r="AK465" i="23"/>
  <c r="AK450" i="23"/>
  <c r="Z42" i="23"/>
  <c r="Z47" i="23"/>
  <c r="Z56" i="23"/>
  <c r="Z67" i="23"/>
  <c r="Z71" i="23"/>
  <c r="Z73" i="23"/>
  <c r="AS73" i="23"/>
  <c r="Z74" i="23"/>
  <c r="Z76" i="23"/>
  <c r="AS76" i="23"/>
  <c r="BY65" i="23"/>
  <c r="BX65" i="23" s="1"/>
  <c r="BF65" i="23"/>
  <c r="AS230" i="23"/>
  <c r="AS231" i="23"/>
  <c r="AL244" i="23"/>
  <c r="BH52" i="23"/>
  <c r="BG52" i="23" s="1"/>
  <c r="AN63" i="23"/>
  <c r="AM63" i="23" s="1"/>
  <c r="AO65" i="23"/>
  <c r="AN65" i="23" s="1"/>
  <c r="AM65" i="23" s="1"/>
  <c r="AL65" i="23" s="1"/>
  <c r="AS65" i="23" s="1"/>
  <c r="BB52" i="23"/>
  <c r="BB53" i="23"/>
  <c r="BY53" i="23"/>
  <c r="BH56" i="23"/>
  <c r="BZ56" i="23"/>
  <c r="Z58" i="23"/>
  <c r="BY60" i="23"/>
  <c r="CB61" i="23"/>
  <c r="AO67" i="23"/>
  <c r="AN67" i="23" s="1"/>
  <c r="AS67" i="23" s="1"/>
  <c r="AS74" i="23"/>
  <c r="R288" i="23"/>
  <c r="AM453" i="23"/>
  <c r="AS52" i="23"/>
  <c r="AO54" i="23"/>
  <c r="AN54" i="23" s="1"/>
  <c r="AM54" i="23" s="1"/>
  <c r="AL54" i="23" s="1"/>
  <c r="AK54" i="23" s="1"/>
  <c r="AS54" i="23" s="1"/>
  <c r="BZ55" i="23"/>
  <c r="BY55" i="23" s="1"/>
  <c r="CB56" i="23"/>
  <c r="BZ61" i="23"/>
  <c r="BY61" i="23" s="1"/>
  <c r="BX61" i="23" s="1"/>
  <c r="AO69" i="23"/>
  <c r="AN69" i="23" s="1"/>
  <c r="AL241" i="23"/>
  <c r="AK250" i="23"/>
  <c r="AK230" i="23"/>
  <c r="AK241" i="23" s="1"/>
  <c r="AM871" i="23"/>
  <c r="AS645" i="23"/>
  <c r="AS644" i="23"/>
  <c r="AO50" i="23"/>
  <c r="AN50" i="23" s="1"/>
  <c r="AM50" i="23" s="1"/>
  <c r="AL50" i="23" s="1"/>
  <c r="BZ52" i="23"/>
  <c r="BY52" i="23" s="1"/>
  <c r="R41" i="23"/>
  <c r="Z41" i="23" s="1"/>
  <c r="AS50" i="23" s="1"/>
  <c r="AO71" i="23"/>
  <c r="AN71" i="23" s="1"/>
  <c r="BT74" i="23"/>
  <c r="CC76" i="23"/>
  <c r="CB76" i="23" s="1"/>
  <c r="BR36" i="23"/>
  <c r="BQ36" i="23"/>
  <c r="BP36" i="23"/>
  <c r="BO36" i="23" s="1"/>
  <c r="CD82" i="23" l="1"/>
  <c r="BK84" i="23"/>
  <c r="BK80" i="23"/>
  <c r="BK85" i="23"/>
  <c r="BK81" i="23"/>
  <c r="BK75" i="23"/>
  <c r="AK50" i="23"/>
  <c r="BK56" i="23"/>
  <c r="BK52" i="23"/>
  <c r="BK53" i="23"/>
  <c r="AS63" i="23"/>
  <c r="BY63" i="23"/>
  <c r="BZ65" i="23"/>
  <c r="BF54" i="23"/>
  <c r="CD56" i="23"/>
  <c r="CB71" i="23"/>
  <c r="AS71" i="23"/>
  <c r="AL871" i="23"/>
  <c r="Z69" i="23"/>
  <c r="AS69" i="23"/>
  <c r="AK244" i="23"/>
  <c r="AL259" i="23"/>
  <c r="AL295" i="23" s="1"/>
  <c r="BI67" i="23"/>
  <c r="CA76" i="23"/>
  <c r="BZ76" i="23" s="1"/>
  <c r="BY76" i="23" s="1"/>
  <c r="BX76" i="23" s="1"/>
  <c r="AL453" i="23"/>
  <c r="CB67" i="23"/>
  <c r="BY54" i="23"/>
  <c r="BI71" i="23"/>
  <c r="CD76" i="23" l="1"/>
  <c r="AK259" i="23"/>
  <c r="AK295" i="23" s="1"/>
  <c r="AK871" i="23"/>
  <c r="AW32" i="23" s="1"/>
  <c r="CA67" i="23"/>
  <c r="BZ67" i="23" s="1"/>
  <c r="BY67" i="23" s="1"/>
  <c r="BX67" i="23" s="1"/>
  <c r="AK453" i="23"/>
  <c r="AK468" i="23" s="1"/>
  <c r="AL468" i="23"/>
  <c r="CA71" i="23"/>
  <c r="AY36" i="23"/>
  <c r="AX36" i="23"/>
  <c r="AW36" i="23"/>
  <c r="AV36" i="23"/>
  <c r="BN36" i="23" s="1"/>
  <c r="AR36" i="23"/>
  <c r="AQ36" i="23"/>
  <c r="AP36" i="23"/>
  <c r="G36" i="23"/>
  <c r="F36" i="23"/>
  <c r="E36" i="23"/>
  <c r="D36" i="23"/>
  <c r="C36" i="23"/>
  <c r="B36" i="23"/>
  <c r="AX35" i="23"/>
  <c r="AW35" i="23" s="1"/>
  <c r="AV35" i="23"/>
  <c r="BN35" i="23" s="1"/>
  <c r="AR35" i="23"/>
  <c r="AQ35" i="23"/>
  <c r="AP35" i="23"/>
  <c r="G35" i="23"/>
  <c r="F35" i="23"/>
  <c r="E35" i="23"/>
  <c r="D35" i="23"/>
  <c r="C35" i="23"/>
  <c r="B35" i="23"/>
  <c r="AV34" i="23"/>
  <c r="BX34" i="23" s="1"/>
  <c r="AR34" i="23"/>
  <c r="AQ34" i="23"/>
  <c r="AP34" i="23"/>
  <c r="G34" i="23"/>
  <c r="F34" i="23"/>
  <c r="V33" i="23" s="1"/>
  <c r="E34" i="23"/>
  <c r="U33" i="23" s="1"/>
  <c r="D34" i="23"/>
  <c r="T33" i="23" s="1"/>
  <c r="C34" i="23"/>
  <c r="S33" i="23" s="1"/>
  <c r="B34" i="23"/>
  <c r="R33" i="23" s="1"/>
  <c r="BS33" i="23"/>
  <c r="BR33" i="23"/>
  <c r="BQ33" i="23" s="1"/>
  <c r="BP33" i="23" s="1"/>
  <c r="BO33" i="23" s="1"/>
  <c r="AV33" i="23"/>
  <c r="BN33" i="23" s="1"/>
  <c r="AR33" i="23"/>
  <c r="AQ33" i="23"/>
  <c r="AP33" i="23"/>
  <c r="G33" i="23"/>
  <c r="F33" i="23"/>
  <c r="V20" i="23" s="1"/>
  <c r="E33" i="23"/>
  <c r="U20" i="23" s="1"/>
  <c r="D33" i="23"/>
  <c r="T20" i="23" s="1"/>
  <c r="C33" i="23"/>
  <c r="S20" i="23" s="1"/>
  <c r="B33" i="23"/>
  <c r="R20" i="23" s="1"/>
  <c r="BQ32" i="23"/>
  <c r="BP32" i="23"/>
  <c r="BA32" i="23"/>
  <c r="AZ32" i="23"/>
  <c r="AY32" i="23"/>
  <c r="AX32" i="23" s="1"/>
  <c r="AV32" i="23"/>
  <c r="BE32" i="23" s="1"/>
  <c r="AR32" i="23"/>
  <c r="AQ32" i="23"/>
  <c r="AP32" i="23"/>
  <c r="V32" i="23"/>
  <c r="U32" i="23"/>
  <c r="T32" i="23"/>
  <c r="S32" i="23"/>
  <c r="R32" i="23"/>
  <c r="AK27" i="23" s="1"/>
  <c r="G32" i="23"/>
  <c r="F32" i="23"/>
  <c r="V34" i="23" s="1"/>
  <c r="AO40" i="23" s="1"/>
  <c r="E32" i="23"/>
  <c r="U34" i="23" s="1"/>
  <c r="D32" i="23"/>
  <c r="T34" i="23" s="1"/>
  <c r="AM40" i="23" s="1"/>
  <c r="C32" i="23"/>
  <c r="S34" i="23" s="1"/>
  <c r="B32" i="23"/>
  <c r="R34" i="23" s="1"/>
  <c r="V31" i="23"/>
  <c r="U31" i="23"/>
  <c r="T31" i="23"/>
  <c r="S31" i="23"/>
  <c r="R31" i="23"/>
  <c r="G31" i="23"/>
  <c r="F31" i="23"/>
  <c r="V22" i="23" s="1"/>
  <c r="E31" i="23"/>
  <c r="U22" i="23" s="1"/>
  <c r="D31" i="23"/>
  <c r="T22" i="23" s="1"/>
  <c r="C31" i="23"/>
  <c r="S22" i="23" s="1"/>
  <c r="AL34" i="23" s="1"/>
  <c r="B31" i="23"/>
  <c r="R22" i="23" s="1"/>
  <c r="V30" i="23"/>
  <c r="U30" i="23"/>
  <c r="T30" i="23"/>
  <c r="S30" i="23"/>
  <c r="R30" i="23"/>
  <c r="AK25" i="23" s="1"/>
  <c r="G30" i="23"/>
  <c r="F30" i="23"/>
  <c r="V36" i="23" s="1"/>
  <c r="AO42" i="23" s="1"/>
  <c r="E30" i="23"/>
  <c r="U36" i="23" s="1"/>
  <c r="D30" i="23"/>
  <c r="T36" i="23" s="1"/>
  <c r="C30" i="23"/>
  <c r="S36" i="23" s="1"/>
  <c r="B30" i="23"/>
  <c r="R36" i="23" s="1"/>
  <c r="BP29" i="23"/>
  <c r="BO29" i="23" s="1"/>
  <c r="AX29" i="23"/>
  <c r="AW29" i="23"/>
  <c r="V29" i="23"/>
  <c r="U29" i="23"/>
  <c r="T29" i="23"/>
  <c r="S29" i="23"/>
  <c r="AL24" i="23" s="1"/>
  <c r="R29" i="23"/>
  <c r="G29" i="23"/>
  <c r="F29" i="23"/>
  <c r="V21" i="23" s="1"/>
  <c r="E29" i="23"/>
  <c r="U21" i="23" s="1"/>
  <c r="D29" i="23"/>
  <c r="T21" i="23" s="1"/>
  <c r="C29" i="23"/>
  <c r="S21" i="23" s="1"/>
  <c r="B29" i="23"/>
  <c r="R21" i="23" s="1"/>
  <c r="BP28" i="23"/>
  <c r="BO28" i="23"/>
  <c r="AX28" i="23"/>
  <c r="AW28" i="23"/>
  <c r="BY28" i="23" s="1"/>
  <c r="AV28" i="23"/>
  <c r="BN28" i="23" s="1"/>
  <c r="G28" i="23"/>
  <c r="F28" i="23"/>
  <c r="V35" i="23" s="1"/>
  <c r="AO41" i="23" s="1"/>
  <c r="E28" i="23"/>
  <c r="U35" i="23" s="1"/>
  <c r="D28" i="23"/>
  <c r="T35" i="23" s="1"/>
  <c r="C28" i="23"/>
  <c r="S35" i="23" s="1"/>
  <c r="B28" i="23"/>
  <c r="R35" i="23" s="1"/>
  <c r="AV27" i="23"/>
  <c r="BE27" i="23" s="1"/>
  <c r="AR27" i="23"/>
  <c r="AQ27" i="23"/>
  <c r="AP27" i="23"/>
  <c r="G27" i="23"/>
  <c r="F27" i="23"/>
  <c r="V23" i="23" s="1"/>
  <c r="E27" i="23"/>
  <c r="U23" i="23" s="1"/>
  <c r="D27" i="23"/>
  <c r="T23" i="23" s="1"/>
  <c r="C27" i="23"/>
  <c r="S23" i="23" s="1"/>
  <c r="B27" i="23"/>
  <c r="R23" i="23" s="1"/>
  <c r="AK35" i="23" s="1"/>
  <c r="AV26" i="23"/>
  <c r="BX26" i="23" s="1"/>
  <c r="AR26" i="23"/>
  <c r="AQ26" i="23"/>
  <c r="AP26" i="23"/>
  <c r="G26" i="23"/>
  <c r="F26" i="23"/>
  <c r="V37" i="23" s="1"/>
  <c r="AO43" i="23" s="1"/>
  <c r="E26" i="23"/>
  <c r="U37" i="23" s="1"/>
  <c r="D26" i="23"/>
  <c r="T37" i="23" s="1"/>
  <c r="C26" i="23"/>
  <c r="S37" i="23" s="1"/>
  <c r="B26" i="23"/>
  <c r="AV25" i="23"/>
  <c r="BX25" i="23" s="1"/>
  <c r="AR25" i="23"/>
  <c r="AQ25" i="23"/>
  <c r="AP25" i="23"/>
  <c r="G25" i="23"/>
  <c r="F25" i="23"/>
  <c r="E25" i="23"/>
  <c r="D25" i="23"/>
  <c r="C25" i="23"/>
  <c r="B25" i="23"/>
  <c r="AV24" i="23"/>
  <c r="BE24" i="23" s="1"/>
  <c r="AR24" i="23"/>
  <c r="AQ24" i="23"/>
  <c r="AP24" i="23"/>
  <c r="G24" i="23"/>
  <c r="F24" i="23"/>
  <c r="E24" i="23"/>
  <c r="D24" i="23"/>
  <c r="C24" i="23"/>
  <c r="B24" i="23"/>
  <c r="BS23" i="23"/>
  <c r="BR23" i="23"/>
  <c r="BQ23" i="23"/>
  <c r="BP23" i="23"/>
  <c r="BO23" i="23"/>
  <c r="G23" i="23"/>
  <c r="F23" i="23"/>
  <c r="E23" i="23"/>
  <c r="D23" i="23"/>
  <c r="C23" i="23"/>
  <c r="B23" i="23"/>
  <c r="AV22" i="23"/>
  <c r="BX22" i="23" s="1"/>
  <c r="AR22" i="23"/>
  <c r="AQ22" i="23"/>
  <c r="AP22" i="23"/>
  <c r="G22" i="23"/>
  <c r="F22" i="23"/>
  <c r="E22" i="23"/>
  <c r="D22" i="23"/>
  <c r="C22" i="23"/>
  <c r="B22" i="23"/>
  <c r="AV21" i="23"/>
  <c r="BE21" i="23" s="1"/>
  <c r="AR21" i="23"/>
  <c r="AQ21" i="23"/>
  <c r="AP21" i="23"/>
  <c r="G21" i="23"/>
  <c r="F21" i="23"/>
  <c r="E21" i="23"/>
  <c r="D21" i="23"/>
  <c r="C21" i="23"/>
  <c r="B21" i="23"/>
  <c r="AV20" i="23"/>
  <c r="BE20" i="23" s="1"/>
  <c r="AR20" i="23"/>
  <c r="AQ20" i="23"/>
  <c r="AP20" i="23"/>
  <c r="G20" i="23"/>
  <c r="F20" i="23"/>
  <c r="E20" i="23"/>
  <c r="D20" i="23"/>
  <c r="C20" i="23"/>
  <c r="B20" i="23"/>
  <c r="AV19" i="23"/>
  <c r="BX19" i="23" s="1"/>
  <c r="AR19" i="23"/>
  <c r="AQ19" i="23"/>
  <c r="AP19" i="23"/>
  <c r="V19" i="23"/>
  <c r="AO22" i="23" s="1"/>
  <c r="U19" i="23"/>
  <c r="T19" i="23"/>
  <c r="S19" i="23"/>
  <c r="R19" i="23"/>
  <c r="AK22" i="23" s="1"/>
  <c r="G19" i="23"/>
  <c r="F19" i="23"/>
  <c r="V27" i="23" s="1"/>
  <c r="AO38" i="23" s="1"/>
  <c r="E19" i="23"/>
  <c r="U27" i="23" s="1"/>
  <c r="D19" i="23"/>
  <c r="T27" i="23" s="1"/>
  <c r="C19" i="23"/>
  <c r="S27" i="23" s="1"/>
  <c r="B19" i="23"/>
  <c r="R27" i="23" s="1"/>
  <c r="CO18" i="23"/>
  <c r="BE34" i="23" l="1"/>
  <c r="AP47" i="23"/>
  <c r="BE25" i="23"/>
  <c r="BG28" i="23"/>
  <c r="BN21" i="23"/>
  <c r="BE33" i="23"/>
  <c r="BN20" i="23"/>
  <c r="BN27" i="23"/>
  <c r="BX20" i="23"/>
  <c r="BX27" i="23"/>
  <c r="BX28" i="23"/>
  <c r="BN32" i="23"/>
  <c r="BZ28" i="23"/>
  <c r="BN24" i="23"/>
  <c r="BE36" i="23"/>
  <c r="BE19" i="23"/>
  <c r="BX21" i="23"/>
  <c r="BE22" i="23"/>
  <c r="BX24" i="23"/>
  <c r="BN25" i="23"/>
  <c r="BE26" i="23"/>
  <c r="AQ47" i="23"/>
  <c r="BO32" i="23"/>
  <c r="BE35" i="23"/>
  <c r="BN19" i="23"/>
  <c r="BN22" i="23"/>
  <c r="BN26" i="23"/>
  <c r="BF28" i="23"/>
  <c r="BE28" i="23" s="1"/>
  <c r="AR47" i="23"/>
  <c r="AO24" i="23"/>
  <c r="AN43" i="23"/>
  <c r="AK24" i="23"/>
  <c r="AL40" i="23"/>
  <c r="AN24" i="23"/>
  <c r="AO25" i="23"/>
  <c r="AN25" i="23" s="1"/>
  <c r="Z21" i="23"/>
  <c r="AS33" i="23" s="1"/>
  <c r="AK34" i="23"/>
  <c r="AM24" i="23"/>
  <c r="AO26" i="23"/>
  <c r="AN26" i="23" s="1"/>
  <c r="AM26" i="23" s="1"/>
  <c r="BB32" i="23"/>
  <c r="AL33" i="23"/>
  <c r="AK33" i="23" s="1"/>
  <c r="Z19" i="23"/>
  <c r="AS22" i="23" s="1"/>
  <c r="Z31" i="23"/>
  <c r="AS26" i="23" s="1"/>
  <c r="Z20" i="23"/>
  <c r="AS32" i="23" s="1"/>
  <c r="Z22" i="23"/>
  <c r="AS34" i="23" s="1"/>
  <c r="AN22" i="23"/>
  <c r="AM22" i="23" s="1"/>
  <c r="AL22" i="23" s="1"/>
  <c r="Z32" i="23"/>
  <c r="AS27" i="23" s="1"/>
  <c r="AM25" i="23"/>
  <c r="AO27" i="23"/>
  <c r="AN27" i="23" s="1"/>
  <c r="AM27" i="23" s="1"/>
  <c r="Z30" i="23"/>
  <c r="AS25" i="23" s="1"/>
  <c r="BT33" i="23"/>
  <c r="Z34" i="23"/>
  <c r="AS40" i="23" s="1"/>
  <c r="AN40" i="23"/>
  <c r="Z36" i="23"/>
  <c r="AS42" i="23" s="1"/>
  <c r="AK40" i="23"/>
  <c r="Z33" i="23"/>
  <c r="BY35" i="23"/>
  <c r="Z27" i="23"/>
  <c r="AS38" i="23" s="1"/>
  <c r="AN38" i="23"/>
  <c r="AM38" i="23" s="1"/>
  <c r="AL38" i="23" s="1"/>
  <c r="AK38" i="23" s="1"/>
  <c r="Z35" i="23"/>
  <c r="AS41" i="23" s="1"/>
  <c r="AL25" i="23"/>
  <c r="AO35" i="23"/>
  <c r="AN35" i="23" s="1"/>
  <c r="AM35" i="23" s="1"/>
  <c r="AL35" i="23" s="1"/>
  <c r="R37" i="23"/>
  <c r="Z37" i="23" s="1"/>
  <c r="AS43" i="23" s="1"/>
  <c r="Z29" i="23"/>
  <c r="AS24" i="23" s="1"/>
  <c r="AO34" i="23"/>
  <c r="AN34" i="23" s="1"/>
  <c r="AM34" i="23" s="1"/>
  <c r="AN42" i="23"/>
  <c r="AM42" i="23" s="1"/>
  <c r="AL42" i="23" s="1"/>
  <c r="AK42" i="23" s="1"/>
  <c r="Z23" i="23"/>
  <c r="AS35" i="23" s="1"/>
  <c r="AM43" i="23"/>
  <c r="AL43" i="23" s="1"/>
  <c r="AL26" i="23"/>
  <c r="AK26" i="23" s="1"/>
  <c r="AL27" i="23"/>
  <c r="AN41" i="23"/>
  <c r="AM41" i="23" s="1"/>
  <c r="AL41" i="23" s="1"/>
  <c r="AK41" i="23" s="1"/>
  <c r="AO32" i="23"/>
  <c r="CC32" i="23" s="1"/>
  <c r="AO33" i="23"/>
  <c r="AN33" i="23" s="1"/>
  <c r="AM33" i="23" s="1"/>
  <c r="AV18" i="23"/>
  <c r="BX18" i="23" s="1"/>
  <c r="AR18" i="23"/>
  <c r="AQ18" i="23"/>
  <c r="AP18" i="23"/>
  <c r="V18" i="23"/>
  <c r="U18" i="23"/>
  <c r="T18" i="23"/>
  <c r="AM17" i="23" s="1"/>
  <c r="S18" i="23"/>
  <c r="R18" i="23"/>
  <c r="AK17" i="23" s="1"/>
  <c r="G18" i="23"/>
  <c r="F18" i="23"/>
  <c r="V28" i="23" s="1"/>
  <c r="AO46" i="23" s="1"/>
  <c r="E18" i="23"/>
  <c r="U28" i="23" s="1"/>
  <c r="D18" i="23"/>
  <c r="T28" i="23" s="1"/>
  <c r="C18" i="23"/>
  <c r="S28" i="23" s="1"/>
  <c r="B18" i="23"/>
  <c r="R28" i="23" s="1"/>
  <c r="AV17" i="23"/>
  <c r="BX17" i="23" s="1"/>
  <c r="AR17" i="23"/>
  <c r="AQ17" i="23"/>
  <c r="AP17" i="23"/>
  <c r="V17" i="23"/>
  <c r="AO21" i="23" s="1"/>
  <c r="U17" i="23"/>
  <c r="T17" i="23"/>
  <c r="S17" i="23"/>
  <c r="R17" i="23"/>
  <c r="G17" i="23"/>
  <c r="F17" i="23"/>
  <c r="V25" i="23" s="1"/>
  <c r="E17" i="23"/>
  <c r="D17" i="23"/>
  <c r="T24" i="23" s="1"/>
  <c r="C17" i="23"/>
  <c r="S24" i="23" s="1"/>
  <c r="B17" i="23"/>
  <c r="AV16" i="23"/>
  <c r="BX16" i="23" s="1"/>
  <c r="AR16" i="23"/>
  <c r="AQ16" i="23"/>
  <c r="AP16" i="23"/>
  <c r="V16" i="23"/>
  <c r="U16" i="23"/>
  <c r="T16" i="23"/>
  <c r="S16" i="23"/>
  <c r="AL16" i="23" s="1"/>
  <c r="R16" i="23"/>
  <c r="G16" i="23"/>
  <c r="F16" i="23"/>
  <c r="V38" i="23" s="1"/>
  <c r="E16" i="23"/>
  <c r="U38" i="23" s="1"/>
  <c r="D16" i="23"/>
  <c r="T39" i="23" s="1"/>
  <c r="C16" i="23"/>
  <c r="S38" i="23" s="1"/>
  <c r="B16" i="23"/>
  <c r="R39" i="23" s="1"/>
  <c r="BN17" i="23" l="1"/>
  <c r="BE17" i="23"/>
  <c r="BE16" i="23"/>
  <c r="BE18" i="23"/>
  <c r="BN16" i="23"/>
  <c r="BN18" i="23"/>
  <c r="S39" i="23"/>
  <c r="AL44" i="23" s="1"/>
  <c r="AO17" i="23"/>
  <c r="AN17" i="23" s="1"/>
  <c r="AN46" i="23"/>
  <c r="AM46" i="23"/>
  <c r="AN21" i="23"/>
  <c r="AM21" i="23"/>
  <c r="AL21" i="23" s="1"/>
  <c r="AK21" i="23" s="1"/>
  <c r="Z18" i="23"/>
  <c r="AS17" i="23" s="1"/>
  <c r="AK16" i="23"/>
  <c r="AK43" i="23"/>
  <c r="Z17" i="23"/>
  <c r="AS21" i="23" s="1"/>
  <c r="Z28" i="23"/>
  <c r="AS46" i="23" s="1"/>
  <c r="AL46" i="23"/>
  <c r="AK46" i="23" s="1"/>
  <c r="Z46" i="23" s="1"/>
  <c r="AL17" i="23"/>
  <c r="R38" i="23"/>
  <c r="AO16" i="23"/>
  <c r="AN16" i="23" s="1"/>
  <c r="AM16" i="23" s="1"/>
  <c r="T38" i="23"/>
  <c r="AM44" i="23" s="1"/>
  <c r="R24" i="23"/>
  <c r="R25" i="23"/>
  <c r="AN32" i="23"/>
  <c r="BZ35" i="23"/>
  <c r="Z16" i="23"/>
  <c r="AS16" i="23" s="1"/>
  <c r="U25" i="23"/>
  <c r="T25" i="23" s="1"/>
  <c r="S25" i="23" s="1"/>
  <c r="AL36" i="23" s="1"/>
  <c r="BX35" i="23"/>
  <c r="AV15" i="23"/>
  <c r="BE15" i="23" s="1"/>
  <c r="AR15" i="23"/>
  <c r="AQ15" i="23"/>
  <c r="AP15" i="23"/>
  <c r="V15" i="23"/>
  <c r="AO20" i="23" s="1"/>
  <c r="U15" i="23"/>
  <c r="T15" i="23"/>
  <c r="AM20" i="23" s="1"/>
  <c r="S15" i="23"/>
  <c r="R15" i="23"/>
  <c r="AK20" i="23" s="1"/>
  <c r="G15" i="23"/>
  <c r="F15" i="23"/>
  <c r="V26" i="23" s="1"/>
  <c r="AO37" i="23" s="1"/>
  <c r="E15" i="23"/>
  <c r="U26" i="23" s="1"/>
  <c r="D15" i="23"/>
  <c r="T26" i="23" s="1"/>
  <c r="C15" i="23"/>
  <c r="S26" i="23" s="1"/>
  <c r="AL37" i="23" s="1"/>
  <c r="B15" i="23"/>
  <c r="CO14" i="23"/>
  <c r="BS14" i="23"/>
  <c r="BR14" i="23" s="1"/>
  <c r="BQ14" i="23"/>
  <c r="BP14" i="23"/>
  <c r="BO14" i="23" s="1"/>
  <c r="BA14" i="23"/>
  <c r="AZ14" i="23" s="1"/>
  <c r="AY14" i="23" s="1"/>
  <c r="AX14" i="23" s="1"/>
  <c r="AW14" i="23" s="1"/>
  <c r="BB14" i="23" s="1"/>
  <c r="AV14" i="23"/>
  <c r="BN14" i="23" s="1"/>
  <c r="AR14" i="23"/>
  <c r="AR29" i="23" s="1"/>
  <c r="AQ14" i="23"/>
  <c r="AP14" i="23"/>
  <c r="V14" i="23"/>
  <c r="AO15" i="23" s="1"/>
  <c r="U14" i="23"/>
  <c r="AN14" i="23" s="1"/>
  <c r="T14" i="23"/>
  <c r="AM14" i="23" s="1"/>
  <c r="S14" i="23"/>
  <c r="R14" i="23"/>
  <c r="AK14" i="23" s="1"/>
  <c r="G14" i="23"/>
  <c r="F14" i="23"/>
  <c r="V40" i="23" s="1"/>
  <c r="AO45" i="23" s="1"/>
  <c r="E14" i="23"/>
  <c r="U40" i="23" s="1"/>
  <c r="D14" i="23"/>
  <c r="T40" i="23" s="1"/>
  <c r="C14" i="23"/>
  <c r="S40" i="23" s="1"/>
  <c r="B14" i="23"/>
  <c r="R40" i="23" s="1"/>
  <c r="V13" i="23"/>
  <c r="U13" i="23"/>
  <c r="T13" i="23"/>
  <c r="S13" i="23"/>
  <c r="R13" i="23"/>
  <c r="G13" i="23"/>
  <c r="F13" i="23"/>
  <c r="E13" i="23"/>
  <c r="D13" i="23"/>
  <c r="C13" i="23"/>
  <c r="B13" i="23"/>
  <c r="V12" i="23"/>
  <c r="U12" i="23"/>
  <c r="AN10" i="23" s="1"/>
  <c r="T12" i="23"/>
  <c r="S12" i="23"/>
  <c r="R12" i="23"/>
  <c r="G12" i="23"/>
  <c r="F12" i="23"/>
  <c r="E12" i="23"/>
  <c r="D12" i="23"/>
  <c r="C12" i="23"/>
  <c r="B12" i="23"/>
  <c r="BO11" i="23"/>
  <c r="AV11" i="23"/>
  <c r="BN11" i="23" s="1"/>
  <c r="AR11" i="23"/>
  <c r="AQ11" i="23"/>
  <c r="AP11" i="23"/>
  <c r="AO11" i="23"/>
  <c r="AN11" i="23"/>
  <c r="AM11" i="23"/>
  <c r="AL11" i="23"/>
  <c r="AK11" i="23"/>
  <c r="BS10" i="23"/>
  <c r="BR10" i="23"/>
  <c r="BQ10" i="23"/>
  <c r="BP10" i="23"/>
  <c r="BO10" i="23" s="1"/>
  <c r="BA10" i="23"/>
  <c r="AZ10" i="23"/>
  <c r="AY10" i="23"/>
  <c r="AX10" i="23"/>
  <c r="AW10" i="23" s="1"/>
  <c r="AV10" i="23"/>
  <c r="BX10" i="23" s="1"/>
  <c r="AR10" i="23"/>
  <c r="AQ10" i="23"/>
  <c r="AP10" i="23"/>
  <c r="A10" i="23"/>
  <c r="BA9" i="23"/>
  <c r="CC9" i="23" s="1"/>
  <c r="AY9" i="23"/>
  <c r="AX9" i="23"/>
  <c r="AW9" i="23"/>
  <c r="AV9" i="23"/>
  <c r="AJ8" i="23"/>
  <c r="AV8" i="23" s="1"/>
  <c r="BE8" i="23" s="1"/>
  <c r="AJ7" i="23"/>
  <c r="AV7" i="23" s="1"/>
  <c r="Q7" i="23"/>
  <c r="P7" i="23"/>
  <c r="O7" i="23"/>
  <c r="D7" i="23"/>
  <c r="T7" i="23" s="1"/>
  <c r="C7" i="23"/>
  <c r="M7" i="23" s="1"/>
  <c r="B7" i="23"/>
  <c r="L7" i="23" s="1"/>
  <c r="A7" i="23"/>
  <c r="Y6" i="23"/>
  <c r="X6" i="23"/>
  <c r="M6" i="23"/>
  <c r="G6" i="23"/>
  <c r="W6" i="23" s="1"/>
  <c r="F6" i="23"/>
  <c r="E6" i="23"/>
  <c r="U6" i="23" s="1"/>
  <c r="D6" i="23"/>
  <c r="B6" i="23"/>
  <c r="L6" i="23" s="1"/>
  <c r="A6" i="23"/>
  <c r="P5" i="23"/>
  <c r="G5" i="23"/>
  <c r="Z5" i="23" s="1"/>
  <c r="E5" i="23"/>
  <c r="U5" i="23" s="1"/>
  <c r="D5" i="23"/>
  <c r="N5" i="23" s="1"/>
  <c r="C5" i="23"/>
  <c r="B5" i="23"/>
  <c r="A5" i="23"/>
  <c r="Y3" i="23"/>
  <c r="X3" i="23"/>
  <c r="W3" i="23"/>
  <c r="A235" i="18"/>
  <c r="E228" i="18"/>
  <c r="F77" i="18" s="1"/>
  <c r="E77" i="18"/>
  <c r="O937" i="2"/>
  <c r="L937" i="2"/>
  <c r="L939" i="2" s="1"/>
  <c r="I231" i="2"/>
  <c r="I45" i="2"/>
  <c r="I44" i="2"/>
  <c r="F93" i="16"/>
  <c r="F92" i="16"/>
  <c r="F91" i="16"/>
  <c r="F90" i="16"/>
  <c r="F89" i="16"/>
  <c r="F87" i="16"/>
  <c r="F86" i="16"/>
  <c r="F85" i="16"/>
  <c r="F84" i="16"/>
  <c r="F83" i="16"/>
  <c r="F82" i="16"/>
  <c r="BE11" i="23" l="1"/>
  <c r="CA9" i="23"/>
  <c r="BE10" i="23"/>
  <c r="BN15" i="23"/>
  <c r="BZ9" i="23"/>
  <c r="BY9" i="23" s="1"/>
  <c r="BX9" i="23" s="1"/>
  <c r="BX15" i="23"/>
  <c r="AQ29" i="23"/>
  <c r="AQ87" i="23" s="1"/>
  <c r="BN10" i="23"/>
  <c r="BE14" i="23"/>
  <c r="AP29" i="23"/>
  <c r="AP87" i="23" s="1"/>
  <c r="G77" i="18"/>
  <c r="T5" i="23"/>
  <c r="S5" i="23" s="1"/>
  <c r="N7" i="23"/>
  <c r="G8" i="23"/>
  <c r="Z82" i="23" s="1"/>
  <c r="R5" i="23"/>
  <c r="Q5" i="23" s="1"/>
  <c r="S79" i="23"/>
  <c r="T6" i="23"/>
  <c r="BT10" i="23"/>
  <c r="AO10" i="23"/>
  <c r="BJ10" i="23" s="1"/>
  <c r="AN37" i="23"/>
  <c r="AM37" i="23" s="1"/>
  <c r="AL20" i="23"/>
  <c r="K6" i="23"/>
  <c r="V6" i="23"/>
  <c r="AN15" i="23"/>
  <c r="AM15" i="23" s="1"/>
  <c r="AN20" i="23"/>
  <c r="Z13" i="23"/>
  <c r="AS19" i="23" s="1"/>
  <c r="BT14" i="23"/>
  <c r="Z14" i="23"/>
  <c r="AS14" i="23" s="1"/>
  <c r="BY14" i="23"/>
  <c r="BX14" i="23" s="1"/>
  <c r="BF14" i="23"/>
  <c r="BX7" i="23"/>
  <c r="BN7" i="23"/>
  <c r="BE7" i="23" s="1"/>
  <c r="CA14" i="23"/>
  <c r="AM10" i="23"/>
  <c r="BH10" i="23" s="1"/>
  <c r="BI10" i="23"/>
  <c r="BG36" i="23"/>
  <c r="BZ36" i="23"/>
  <c r="R26" i="23"/>
  <c r="Z26" i="23" s="1"/>
  <c r="AS37" i="23" s="1"/>
  <c r="AK44" i="23"/>
  <c r="Z38" i="23"/>
  <c r="AO19" i="23"/>
  <c r="AO18" i="23"/>
  <c r="AK36" i="23"/>
  <c r="R6" i="23"/>
  <c r="AS11" i="23"/>
  <c r="Z12" i="23"/>
  <c r="AL15" i="23"/>
  <c r="AK15" i="23" s="1"/>
  <c r="O5" i="23"/>
  <c r="Q6" i="23"/>
  <c r="P6" i="23" s="1"/>
  <c r="O6" i="23" s="1"/>
  <c r="N6" i="23" s="1"/>
  <c r="AK18" i="23"/>
  <c r="AK29" i="23" s="1"/>
  <c r="BI14" i="23"/>
  <c r="BH14" i="23" s="1"/>
  <c r="Z15" i="23"/>
  <c r="AS20" i="23" s="1"/>
  <c r="AL19" i="23"/>
  <c r="AK19" i="23" s="1"/>
  <c r="AL18" i="23"/>
  <c r="AN19" i="23"/>
  <c r="AM19" i="23" s="1"/>
  <c r="AN18" i="23"/>
  <c r="K7" i="23"/>
  <c r="AL10" i="23"/>
  <c r="AK10" i="23" s="1"/>
  <c r="BY10" i="23" s="1"/>
  <c r="AL14" i="23"/>
  <c r="Z25" i="23"/>
  <c r="AM32" i="23"/>
  <c r="Z6" i="23"/>
  <c r="BB10" i="23"/>
  <c r="M5" i="23"/>
  <c r="L5" i="23" s="1"/>
  <c r="K5" i="23" s="1"/>
  <c r="BX8" i="23"/>
  <c r="BN8" i="23" s="1"/>
  <c r="S7" i="23"/>
  <c r="R7" i="23" s="1"/>
  <c r="R80" i="23"/>
  <c r="T79" i="23"/>
  <c r="AM18" i="23"/>
  <c r="Z40" i="23"/>
  <c r="AS45" i="23" s="1"/>
  <c r="AN45" i="23"/>
  <c r="AM45" i="23" s="1"/>
  <c r="AL45" i="23" s="1"/>
  <c r="AK45" i="23" s="1"/>
  <c r="AO14" i="23"/>
  <c r="CB14" i="23"/>
  <c r="CB32" i="23"/>
  <c r="F81" i="16"/>
  <c r="F80" i="16"/>
  <c r="F78" i="16"/>
  <c r="F76" i="16"/>
  <c r="F75" i="16"/>
  <c r="F74" i="16"/>
  <c r="F73" i="16"/>
  <c r="F72" i="16"/>
  <c r="F71" i="16"/>
  <c r="F70" i="16"/>
  <c r="F69" i="16"/>
  <c r="F68" i="16"/>
  <c r="F65" i="16"/>
  <c r="F64" i="16"/>
  <c r="F62" i="16"/>
  <c r="F61" i="16"/>
  <c r="F60" i="16"/>
  <c r="F59" i="16"/>
  <c r="F58" i="16"/>
  <c r="F57" i="16"/>
  <c r="F55" i="16"/>
  <c r="F54" i="16"/>
  <c r="F53" i="16"/>
  <c r="F52" i="16"/>
  <c r="F51" i="16"/>
  <c r="F49" i="16"/>
  <c r="F48" i="16"/>
  <c r="F47" i="16"/>
  <c r="F46" i="16"/>
  <c r="F41" i="16"/>
  <c r="F40" i="16"/>
  <c r="F39" i="16"/>
  <c r="AS15" i="23" l="1"/>
  <c r="CN14" i="23"/>
  <c r="CP14" i="23" s="1"/>
  <c r="R79" i="23"/>
  <c r="AK37" i="23"/>
  <c r="AL29" i="23"/>
  <c r="BG29" i="23" s="1"/>
  <c r="CA32" i="23"/>
  <c r="BG10" i="23"/>
  <c r="BF10" i="23"/>
  <c r="AS10" i="23"/>
  <c r="BY29" i="23"/>
  <c r="BF29" i="23"/>
  <c r="AL32" i="23"/>
  <c r="BH32" i="23"/>
  <c r="BG14" i="23"/>
  <c r="BZ10" i="23"/>
  <c r="AS18" i="23"/>
  <c r="BF36" i="23"/>
  <c r="BY36" i="23"/>
  <c r="BZ14" i="23"/>
  <c r="CC14" i="23"/>
  <c r="BJ14" i="23"/>
  <c r="F38" i="16"/>
  <c r="F37" i="16"/>
  <c r="F36" i="16"/>
  <c r="E36" i="16"/>
  <c r="C36" i="16"/>
  <c r="F35" i="16"/>
  <c r="BK10" i="23" l="1"/>
  <c r="BK14" i="23"/>
  <c r="CF14" i="23" s="1"/>
  <c r="CD14" i="23" s="1"/>
  <c r="AK32" i="23"/>
  <c r="AL47" i="23"/>
  <c r="BZ32" i="23"/>
  <c r="BX36" i="23"/>
  <c r="BG32" i="23"/>
  <c r="F32" i="16"/>
  <c r="F31" i="16"/>
  <c r="F30" i="16"/>
  <c r="AK47" i="23" l="1"/>
  <c r="BY32" i="23"/>
  <c r="BF32" i="23"/>
  <c r="BX32" i="23" l="1"/>
  <c r="CD32" i="23"/>
  <c r="F29" i="16"/>
  <c r="E29" i="16"/>
  <c r="C29" i="16"/>
  <c r="F28" i="16"/>
  <c r="E28" i="16"/>
  <c r="C28" i="16"/>
  <c r="F25" i="16"/>
  <c r="E25" i="16"/>
  <c r="F24" i="16"/>
  <c r="E24" i="16"/>
  <c r="D24" i="16"/>
  <c r="C24" i="16"/>
  <c r="F23" i="16"/>
  <c r="F22" i="16"/>
  <c r="E22" i="16"/>
  <c r="F17" i="16"/>
  <c r="F12" i="16"/>
  <c r="F11" i="16"/>
  <c r="F10" i="16"/>
  <c r="E10" i="16"/>
  <c r="C10" i="16"/>
  <c r="F9" i="16"/>
  <c r="E9" i="16"/>
  <c r="D9" i="16"/>
  <c r="C9" i="16"/>
  <c r="L9" i="16" s="1"/>
  <c r="K3" i="16"/>
  <c r="C3" i="16"/>
  <c r="K2" i="16"/>
  <c r="C2" i="16"/>
  <c r="M162" i="7"/>
  <c r="L157" i="7"/>
  <c r="G151" i="7"/>
  <c r="G150" i="7"/>
  <c r="D144" i="7"/>
  <c r="C144" i="7"/>
  <c r="I115" i="7"/>
  <c r="G114" i="7" s="1"/>
  <c r="H115" i="7"/>
  <c r="F112" i="7" s="1"/>
  <c r="I98" i="7"/>
  <c r="G95" i="7" s="1"/>
  <c r="H98" i="7"/>
  <c r="F91" i="7" s="1"/>
  <c r="C98" i="7"/>
  <c r="E95" i="7"/>
  <c r="E94" i="7"/>
  <c r="E93" i="7"/>
  <c r="E91" i="7"/>
  <c r="E89" i="7"/>
  <c r="C87" i="7"/>
  <c r="D85" i="7"/>
  <c r="D84" i="7"/>
  <c r="G90" i="7" l="1"/>
  <c r="G84" i="7"/>
  <c r="G93" i="7"/>
  <c r="G85" i="7"/>
  <c r="F94" i="7"/>
  <c r="G89" i="7"/>
  <c r="D87" i="7"/>
  <c r="F84" i="7"/>
  <c r="F92" i="7"/>
  <c r="F95" i="7"/>
  <c r="F93" i="7"/>
  <c r="G92" i="7"/>
  <c r="F106" i="7"/>
  <c r="D95" i="7"/>
  <c r="G106" i="7"/>
  <c r="L87" i="7"/>
  <c r="L84" i="7" s="1"/>
  <c r="K84" i="7" s="1"/>
  <c r="D90" i="7"/>
  <c r="D93" i="7"/>
  <c r="D94" i="7"/>
  <c r="G96" i="7"/>
  <c r="D104" i="7"/>
  <c r="D110" i="7"/>
  <c r="D96" i="7"/>
  <c r="F89" i="7"/>
  <c r="D91" i="7"/>
  <c r="F96" i="7"/>
  <c r="F85" i="7"/>
  <c r="D89" i="7"/>
  <c r="D98" i="7" s="1"/>
  <c r="F90" i="7"/>
  <c r="F104" i="7"/>
  <c r="D112" i="7"/>
  <c r="F114" i="7"/>
  <c r="G98" i="7"/>
  <c r="G104" i="7"/>
  <c r="D107" i="7"/>
  <c r="F109" i="7"/>
  <c r="G110" i="7"/>
  <c r="D114" i="7"/>
  <c r="G112" i="7" s="1"/>
  <c r="D92" i="7"/>
  <c r="D106" i="7"/>
  <c r="G107" i="7"/>
  <c r="F107" i="7" s="1"/>
  <c r="D109" i="7"/>
  <c r="L109" i="7" s="1"/>
  <c r="G109" i="7" s="1"/>
  <c r="F110" i="7"/>
  <c r="C79" i="7"/>
  <c r="I78" i="7"/>
  <c r="G72" i="7" s="1"/>
  <c r="H78" i="7"/>
  <c r="F76" i="7" s="1"/>
  <c r="E72" i="7"/>
  <c r="F98" i="7" l="1"/>
  <c r="L85" i="7"/>
  <c r="K85" i="7" s="1"/>
  <c r="F66" i="7"/>
  <c r="D73" i="7"/>
  <c r="L98" i="7"/>
  <c r="L90" i="7" s="1"/>
  <c r="K90" i="7" s="1"/>
  <c r="F67" i="7"/>
  <c r="F75" i="7"/>
  <c r="G70" i="7"/>
  <c r="G75" i="7"/>
  <c r="G67" i="7"/>
  <c r="D72" i="7"/>
  <c r="K72" i="7" s="1"/>
  <c r="G73" i="7"/>
  <c r="G69" i="7"/>
  <c r="D75" i="7"/>
  <c r="G76" i="7"/>
  <c r="G66" i="7"/>
  <c r="D70" i="7"/>
  <c r="J78" i="7"/>
  <c r="L106" i="7"/>
  <c r="L107" i="7"/>
  <c r="D69" i="7"/>
  <c r="F70" i="7"/>
  <c r="F72" i="7"/>
  <c r="F73" i="7"/>
  <c r="D77" i="7"/>
  <c r="D67" i="7"/>
  <c r="F69" i="7"/>
  <c r="D76" i="7"/>
  <c r="F77" i="7"/>
  <c r="L110" i="7"/>
  <c r="D66" i="7"/>
  <c r="G64" i="7"/>
  <c r="F64" i="7"/>
  <c r="D64" i="7"/>
  <c r="K64" i="7" s="1"/>
  <c r="G63" i="7"/>
  <c r="F63" i="7"/>
  <c r="E63" i="7"/>
  <c r="D63" i="7"/>
  <c r="G62" i="7"/>
  <c r="F62" i="7"/>
  <c r="E62" i="7"/>
  <c r="D62" i="7"/>
  <c r="G61" i="7"/>
  <c r="F61" i="7"/>
  <c r="E61" i="7"/>
  <c r="D61" i="7"/>
  <c r="G59" i="7"/>
  <c r="F59" i="7"/>
  <c r="D59" i="7"/>
  <c r="F58" i="7"/>
  <c r="D58" i="7"/>
  <c r="G56" i="7"/>
  <c r="F56" i="7"/>
  <c r="D56" i="7"/>
  <c r="K56" i="7" s="1"/>
  <c r="F54" i="7"/>
  <c r="E54" i="7"/>
  <c r="D54" i="7"/>
  <c r="G53" i="7"/>
  <c r="F53" i="7"/>
  <c r="E53" i="7"/>
  <c r="D53" i="7"/>
  <c r="G52" i="7"/>
  <c r="F52" i="7"/>
  <c r="D52" i="7"/>
  <c r="G51" i="7"/>
  <c r="F51" i="7"/>
  <c r="E51" i="7"/>
  <c r="D51" i="7"/>
  <c r="D50" i="7"/>
  <c r="G49" i="7"/>
  <c r="G78" i="7" s="1"/>
  <c r="F49" i="7"/>
  <c r="E49" i="7"/>
  <c r="D49" i="7"/>
  <c r="I45" i="7"/>
  <c r="G35" i="7" s="1"/>
  <c r="H45" i="7"/>
  <c r="E25" i="7"/>
  <c r="D25" i="7"/>
  <c r="C25" i="7"/>
  <c r="E24" i="7"/>
  <c r="D24" i="7"/>
  <c r="C24" i="7"/>
  <c r="E23" i="7"/>
  <c r="D23" i="7"/>
  <c r="C23" i="7"/>
  <c r="E22" i="7"/>
  <c r="D22" i="7"/>
  <c r="C22" i="7"/>
  <c r="E21" i="7"/>
  <c r="D21" i="7"/>
  <c r="C21" i="7"/>
  <c r="E20" i="7"/>
  <c r="D20" i="7"/>
  <c r="C20" i="7"/>
  <c r="E19" i="7"/>
  <c r="D19" i="7"/>
  <c r="D26" i="7" s="1"/>
  <c r="C19" i="7"/>
  <c r="G16" i="7"/>
  <c r="E12" i="7" s="1"/>
  <c r="F16" i="7"/>
  <c r="D12" i="7" s="1"/>
  <c r="L91" i="7" l="1"/>
  <c r="K91" i="7" s="1"/>
  <c r="G91" i="7" s="1"/>
  <c r="L93" i="7"/>
  <c r="K93" i="7" s="1"/>
  <c r="K73" i="7"/>
  <c r="L89" i="7"/>
  <c r="K89" i="7" s="1"/>
  <c r="K49" i="7"/>
  <c r="K79" i="7" s="1"/>
  <c r="D41" i="7"/>
  <c r="E11" i="7"/>
  <c r="G31" i="7"/>
  <c r="G45" i="7" s="1"/>
  <c r="L94" i="7"/>
  <c r="K94" i="7" s="1"/>
  <c r="G94" i="7" s="1"/>
  <c r="L96" i="7"/>
  <c r="K96" i="7" s="1"/>
  <c r="L95" i="7"/>
  <c r="K95" i="7" s="1"/>
  <c r="L92" i="7"/>
  <c r="K92" i="7" s="1"/>
  <c r="D13" i="7"/>
  <c r="F34" i="7"/>
  <c r="F39" i="7"/>
  <c r="D11" i="7"/>
  <c r="E15" i="7"/>
  <c r="D15" i="7" s="1"/>
  <c r="E14" i="7" s="1"/>
  <c r="D14" i="7" s="1"/>
  <c r="E13" i="7" s="1"/>
  <c r="F31" i="7"/>
  <c r="F45" i="7" s="1"/>
  <c r="F35" i="7"/>
  <c r="F41" i="7"/>
  <c r="K50" i="7"/>
  <c r="G50" i="7" s="1"/>
  <c r="G79" i="7" s="1"/>
  <c r="D33" i="7"/>
  <c r="D38" i="7"/>
  <c r="D43" i="7"/>
  <c r="F78" i="7"/>
  <c r="D78" i="7" s="1"/>
  <c r="K61" i="7"/>
  <c r="K62" i="7"/>
  <c r="K63" i="7"/>
  <c r="D32" i="7"/>
  <c r="F33" i="7"/>
  <c r="G34" i="7"/>
  <c r="D37" i="7"/>
  <c r="F38" i="7"/>
  <c r="G39" i="7"/>
  <c r="F42" i="7"/>
  <c r="F44" i="7"/>
  <c r="K76" i="7"/>
  <c r="D31" i="7"/>
  <c r="E26" i="7" s="1"/>
  <c r="F32" i="7"/>
  <c r="G33" i="7"/>
  <c r="D35" i="7"/>
  <c r="F37" i="7"/>
  <c r="G38" i="7"/>
  <c r="G42" i="7"/>
  <c r="D42" i="7"/>
  <c r="G41" i="7" s="1"/>
  <c r="D44" i="7"/>
  <c r="G32" i="7"/>
  <c r="D34" i="7"/>
  <c r="G37" i="7"/>
  <c r="D39" i="7"/>
  <c r="F50" i="7"/>
  <c r="K51" i="7"/>
  <c r="K52" i="7"/>
  <c r="K53" i="7"/>
  <c r="K54" i="7"/>
  <c r="E10" i="7"/>
  <c r="D10" i="7"/>
  <c r="C292" i="17"/>
  <c r="C286" i="17"/>
  <c r="C285" i="17"/>
  <c r="E285" i="17" s="1"/>
  <c r="C284" i="17"/>
  <c r="E284" i="17" s="1"/>
  <c r="E234" i="17" s="1"/>
  <c r="C283" i="17"/>
  <c r="E283" i="17" s="1"/>
  <c r="C282" i="17"/>
  <c r="E282" i="17" s="1"/>
  <c r="C281" i="17"/>
  <c r="C279" i="17"/>
  <c r="D10" i="16"/>
  <c r="G251" i="17"/>
  <c r="E251" i="17"/>
  <c r="E23" i="16" s="1"/>
  <c r="E280" i="17" l="1"/>
  <c r="E279" i="17" s="1"/>
  <c r="E16" i="7"/>
  <c r="F292" i="17"/>
  <c r="D292" i="17"/>
  <c r="D16" i="7"/>
  <c r="F79" i="7"/>
  <c r="D45" i="7"/>
  <c r="G44" i="7" s="1"/>
  <c r="E281" i="17"/>
  <c r="D281" i="17" s="1"/>
  <c r="C296" i="17"/>
  <c r="D296" i="17" s="1"/>
  <c r="E286" i="17"/>
  <c r="C251" i="17"/>
  <c r="C23" i="16" s="1"/>
  <c r="E42" i="17" l="1"/>
  <c r="E35" i="16" s="1"/>
  <c r="E40" i="17"/>
  <c r="F37" i="10" s="1"/>
  <c r="C37" i="10" s="1"/>
  <c r="K223" i="17"/>
  <c r="K222" i="17"/>
  <c r="E61" i="16"/>
  <c r="K176" i="17"/>
  <c r="J176" i="17"/>
  <c r="J178" i="17" s="1"/>
  <c r="K224" i="17" l="1"/>
  <c r="E74" i="16" s="1"/>
  <c r="G151" i="17"/>
  <c r="G149" i="17"/>
  <c r="G148" i="17"/>
  <c r="G147" i="17"/>
  <c r="G146" i="17"/>
  <c r="G144" i="17"/>
  <c r="D144" i="17"/>
  <c r="G143" i="17"/>
  <c r="F140" i="17"/>
  <c r="F139" i="17"/>
  <c r="G139" i="17" s="1"/>
  <c r="F138" i="17"/>
  <c r="G138" i="17" s="1"/>
  <c r="E47" i="16" l="1"/>
  <c r="K178" i="17"/>
  <c r="E46" i="16" s="1"/>
  <c r="G140" i="17"/>
  <c r="D82" i="16"/>
  <c r="C46" i="16"/>
  <c r="F137" i="17"/>
  <c r="F136" i="17"/>
  <c r="F135" i="17"/>
  <c r="F134" i="17"/>
  <c r="E134" i="17"/>
  <c r="E131" i="17" s="1"/>
  <c r="E86" i="16" s="1"/>
  <c r="F133" i="17"/>
  <c r="G133" i="17" s="1"/>
  <c r="F132" i="17"/>
  <c r="G131" i="17"/>
  <c r="D131" i="17"/>
  <c r="C131" i="17"/>
  <c r="F129" i="17"/>
  <c r="D86" i="16" l="1"/>
  <c r="D132" i="17"/>
  <c r="D133" i="17"/>
  <c r="G132" i="17" s="1"/>
  <c r="G136" i="17"/>
  <c r="G134" i="17"/>
  <c r="G137" i="17"/>
  <c r="G129" i="17"/>
  <c r="C86" i="16"/>
  <c r="G135" i="17"/>
  <c r="F128" i="17"/>
  <c r="F127" i="17"/>
  <c r="F126" i="17"/>
  <c r="F125" i="17"/>
  <c r="G125" i="17" s="1"/>
  <c r="F124" i="17" l="1"/>
  <c r="G124" i="17" s="1"/>
  <c r="F123" i="17"/>
  <c r="G123" i="17" s="1"/>
  <c r="E123" i="17"/>
  <c r="N122" i="17"/>
  <c r="F122" i="17"/>
  <c r="G122" i="17" s="1"/>
  <c r="I121" i="17" l="1"/>
  <c r="I122" i="17" s="1"/>
  <c r="K128" i="17" s="1"/>
  <c r="F121" i="17"/>
  <c r="G121" i="17" s="1"/>
  <c r="G120" i="17"/>
  <c r="E120" i="17"/>
  <c r="E80" i="16" s="1"/>
  <c r="D120" i="17"/>
  <c r="D80" i="16" s="1"/>
  <c r="C120" i="17"/>
  <c r="C80" i="16" s="1"/>
  <c r="D85" i="16"/>
  <c r="G113" i="17"/>
  <c r="D113" i="17"/>
  <c r="G112" i="17"/>
  <c r="D112" i="17"/>
  <c r="D83" i="16" s="1"/>
  <c r="F88" i="16"/>
  <c r="F103" i="17"/>
  <c r="G103" i="17" s="1"/>
  <c r="F102" i="17"/>
  <c r="G102" i="17" s="1"/>
  <c r="F101" i="17"/>
  <c r="F100" i="17"/>
  <c r="G95" i="17"/>
  <c r="E95" i="17"/>
  <c r="E87" i="16" s="1"/>
  <c r="C87" i="16"/>
  <c r="G100" i="17" l="1"/>
  <c r="G101" i="17"/>
  <c r="I128" i="17"/>
  <c r="G128" i="17" s="1"/>
  <c r="I126" i="17"/>
  <c r="G126" i="17" s="1"/>
  <c r="D121" i="17"/>
  <c r="D122" i="17"/>
  <c r="L128" i="17"/>
  <c r="E144" i="17" s="1"/>
  <c r="E82" i="16" s="1"/>
  <c r="C144" i="17"/>
  <c r="L126" i="17"/>
  <c r="E112" i="17" s="1"/>
  <c r="K126" i="17"/>
  <c r="L127" i="17"/>
  <c r="G84" i="17"/>
  <c r="E84" i="17"/>
  <c r="E81" i="16" s="1"/>
  <c r="C84" i="17"/>
  <c r="C81" i="16" s="1"/>
  <c r="G66" i="17"/>
  <c r="G65" i="17"/>
  <c r="G64" i="17"/>
  <c r="G63" i="17"/>
  <c r="N128" i="17" l="1"/>
  <c r="C112" i="17"/>
  <c r="A144" i="17"/>
  <c r="C82" i="16"/>
  <c r="G127" i="17"/>
  <c r="E113" i="17"/>
  <c r="E83" i="16" s="1"/>
  <c r="G51" i="17"/>
  <c r="E51" i="17"/>
  <c r="E37" i="16" s="1"/>
  <c r="C51" i="17"/>
  <c r="C37" i="16" s="1"/>
  <c r="G42" i="17"/>
  <c r="E41" i="17"/>
  <c r="D37" i="10" s="1"/>
  <c r="A113" i="17" l="1"/>
  <c r="A112" i="17"/>
  <c r="C83" i="16"/>
  <c r="C41" i="28" l="1"/>
  <c r="C40" i="28"/>
  <c r="C39" i="28"/>
  <c r="C38" i="28"/>
  <c r="C37" i="28"/>
  <c r="C36" i="28"/>
  <c r="C34" i="28"/>
  <c r="C33" i="28"/>
  <c r="C31" i="28"/>
  <c r="C30" i="28"/>
  <c r="C29" i="28"/>
  <c r="C28" i="28"/>
  <c r="C27" i="28"/>
  <c r="C26" i="28"/>
  <c r="C25" i="28"/>
  <c r="C24" i="28" l="1"/>
  <c r="C23" i="28"/>
  <c r="C22" i="28"/>
  <c r="C21" i="28"/>
  <c r="C19" i="28"/>
  <c r="C18" i="28"/>
  <c r="C16" i="28"/>
  <c r="C15" i="28"/>
  <c r="C10" i="28"/>
  <c r="B4" i="28"/>
  <c r="B3" i="28"/>
  <c r="E30" i="16" l="1"/>
  <c r="C43" i="28"/>
  <c r="L144" i="25"/>
  <c r="L143" i="25"/>
  <c r="L138" i="25"/>
  <c r="L137" i="25"/>
  <c r="D27" i="28" l="1"/>
  <c r="C13" i="28"/>
  <c r="L139" i="25"/>
  <c r="L140" i="25" s="1"/>
  <c r="D41" i="28"/>
  <c r="D19" i="28"/>
  <c r="D35" i="28"/>
  <c r="D33" i="28"/>
  <c r="D16" i="28"/>
  <c r="D25" i="28"/>
  <c r="M144" i="25"/>
  <c r="D30" i="28"/>
  <c r="D21" i="28"/>
  <c r="D36" i="28"/>
  <c r="D31" i="28"/>
  <c r="D37" i="28"/>
  <c r="D40" i="28"/>
  <c r="D15" i="28"/>
  <c r="E13" i="28"/>
  <c r="O84" i="35" s="1"/>
  <c r="C11" i="28"/>
  <c r="D29" i="28"/>
  <c r="D39" i="28"/>
  <c r="D22" i="28"/>
  <c r="D18" i="28"/>
  <c r="D38" i="28"/>
  <c r="D34" i="28"/>
  <c r="D26" i="28"/>
  <c r="D28" i="28"/>
  <c r="D24" i="28"/>
  <c r="D23" i="28"/>
  <c r="L132" i="25"/>
  <c r="H132" i="25"/>
  <c r="H138" i="25" s="1"/>
  <c r="J138" i="25" s="1"/>
  <c r="L131" i="25"/>
  <c r="H131" i="25"/>
  <c r="H137" i="25" s="1"/>
  <c r="J137" i="25" s="1"/>
  <c r="L126" i="25"/>
  <c r="H126" i="25"/>
  <c r="L125" i="25"/>
  <c r="H125" i="25"/>
  <c r="L124" i="25"/>
  <c r="H124" i="25"/>
  <c r="L121" i="25"/>
  <c r="H121" i="25"/>
  <c r="L120" i="25"/>
  <c r="H120" i="25"/>
  <c r="L119" i="25"/>
  <c r="H119" i="25"/>
  <c r="L116" i="25"/>
  <c r="H116" i="25"/>
  <c r="L115" i="25"/>
  <c r="H115" i="25"/>
  <c r="L114" i="25"/>
  <c r="H114" i="25"/>
  <c r="L113" i="25"/>
  <c r="H113" i="25"/>
  <c r="L112" i="25"/>
  <c r="H112" i="25"/>
  <c r="L107" i="25"/>
  <c r="H107" i="25"/>
  <c r="L106" i="25"/>
  <c r="H106" i="25"/>
  <c r="L105" i="25"/>
  <c r="H105" i="25"/>
  <c r="L104" i="25"/>
  <c r="H104" i="25"/>
  <c r="L103" i="25"/>
  <c r="H103" i="25"/>
  <c r="L100" i="25"/>
  <c r="H100" i="25"/>
  <c r="L99" i="25"/>
  <c r="H99" i="25"/>
  <c r="L96" i="25"/>
  <c r="H96" i="25"/>
  <c r="L95" i="25"/>
  <c r="H95" i="25"/>
  <c r="L94" i="25"/>
  <c r="H94" i="25"/>
  <c r="V93" i="25"/>
  <c r="L93" i="25"/>
  <c r="H93" i="25"/>
  <c r="J93" i="25" s="1"/>
  <c r="V92" i="25"/>
  <c r="L92" i="25"/>
  <c r="H92" i="25"/>
  <c r="J92" i="25" s="1"/>
  <c r="N84" i="35" l="1"/>
  <c r="J9" i="35"/>
  <c r="I13" i="28"/>
  <c r="M139" i="25"/>
  <c r="L133" i="25"/>
  <c r="L134" i="25" s="1"/>
  <c r="L108" i="25"/>
  <c r="L109" i="25" s="1"/>
  <c r="M93" i="25"/>
  <c r="J114" i="25"/>
  <c r="J116" i="25"/>
  <c r="J113" i="25"/>
  <c r="J115" i="25"/>
  <c r="J119" i="25"/>
  <c r="J103" i="25"/>
  <c r="J126" i="25"/>
  <c r="AD92" i="25" s="1"/>
  <c r="J100" i="25"/>
  <c r="J125" i="25"/>
  <c r="AD91" i="25" s="1"/>
  <c r="J131" i="25"/>
  <c r="J132" i="25"/>
  <c r="J105" i="25"/>
  <c r="J95" i="25"/>
  <c r="AB91" i="25" s="1"/>
  <c r="J99" i="25"/>
  <c r="M100" i="25"/>
  <c r="J107" i="25"/>
  <c r="Y92" i="25" s="1"/>
  <c r="J112" i="25"/>
  <c r="M113" i="25"/>
  <c r="J120" i="25"/>
  <c r="J121" i="25"/>
  <c r="M120" i="25"/>
  <c r="D43" i="28"/>
  <c r="J139" i="25"/>
  <c r="P137" i="25"/>
  <c r="J94" i="25"/>
  <c r="J96" i="25"/>
  <c r="AB92" i="25" s="1"/>
  <c r="J104" i="25"/>
  <c r="J106" i="25"/>
  <c r="J124" i="25"/>
  <c r="M125" i="25"/>
  <c r="V91" i="25"/>
  <c r="AN39" i="5" l="1"/>
  <c r="AK39" i="5"/>
  <c r="M133" i="25"/>
  <c r="P119" i="25"/>
  <c r="P120" i="25" s="1"/>
  <c r="Q120" i="25" s="1"/>
  <c r="M105" i="25"/>
  <c r="P103" i="25"/>
  <c r="P104" i="25" s="1"/>
  <c r="Y93" i="25" s="1"/>
  <c r="P92" i="25"/>
  <c r="P93" i="25" s="1"/>
  <c r="Q93" i="25" s="1"/>
  <c r="P99" i="25"/>
  <c r="P100" i="25" s="1"/>
  <c r="Q100" i="25" s="1"/>
  <c r="P112" i="25"/>
  <c r="P113" i="25" s="1"/>
  <c r="Q113" i="25" s="1"/>
  <c r="P124" i="25"/>
  <c r="P125" i="25" s="1"/>
  <c r="Q125" i="25" s="1"/>
  <c r="P131" i="25"/>
  <c r="J133" i="25"/>
  <c r="P105" i="25" l="1"/>
  <c r="R105" i="25" s="1"/>
  <c r="R157" i="25" s="1"/>
  <c r="AC90" i="25"/>
  <c r="AB90" i="25" s="1"/>
  <c r="AA90" i="25"/>
  <c r="V90" i="25"/>
  <c r="AA89" i="25"/>
  <c r="V89" i="25"/>
  <c r="L89" i="25"/>
  <c r="H89" i="25"/>
  <c r="AE88" i="25"/>
  <c r="AD88" i="25" s="1"/>
  <c r="AC88" i="25" s="1"/>
  <c r="AB88" i="25"/>
  <c r="Y88" i="25"/>
  <c r="V88" i="25"/>
  <c r="L88" i="25"/>
  <c r="H88" i="25"/>
  <c r="L87" i="25"/>
  <c r="H87" i="25"/>
  <c r="L86" i="25"/>
  <c r="H86" i="25"/>
  <c r="L85" i="25"/>
  <c r="H85" i="25"/>
  <c r="W82" i="25"/>
  <c r="V82" i="25"/>
  <c r="Y81" i="25"/>
  <c r="X81" i="25" s="1"/>
  <c r="W81" i="25"/>
  <c r="V81" i="25"/>
  <c r="AB80" i="25"/>
  <c r="Y80" i="25"/>
  <c r="X80" i="25"/>
  <c r="W80" i="25"/>
  <c r="V80" i="25"/>
  <c r="L80" i="25"/>
  <c r="H80" i="25"/>
  <c r="J80" i="25" s="1"/>
  <c r="L79" i="25"/>
  <c r="H79" i="25"/>
  <c r="J79" i="25" s="1"/>
  <c r="L78" i="25"/>
  <c r="H78" i="25"/>
  <c r="J78" i="25" s="1"/>
  <c r="L77" i="25"/>
  <c r="H77" i="25"/>
  <c r="V76" i="25"/>
  <c r="L76" i="25"/>
  <c r="H76" i="25"/>
  <c r="W88" i="25" s="1"/>
  <c r="V75" i="25"/>
  <c r="AB74" i="25"/>
  <c r="AB75" i="25" s="1"/>
  <c r="V74" i="25"/>
  <c r="W72" i="25"/>
  <c r="V72" i="25"/>
  <c r="V71" i="25"/>
  <c r="V70" i="25"/>
  <c r="L70" i="25"/>
  <c r="H70" i="25"/>
  <c r="AB69" i="25"/>
  <c r="AB70" i="25" s="1"/>
  <c r="AB71" i="25" s="1"/>
  <c r="V69" i="25"/>
  <c r="L69" i="25"/>
  <c r="H69" i="25"/>
  <c r="Y67" i="25"/>
  <c r="Y66" i="25"/>
  <c r="W66" i="25"/>
  <c r="V66" i="25"/>
  <c r="V65" i="25"/>
  <c r="AB64" i="25"/>
  <c r="AB65" i="25" s="1"/>
  <c r="V64" i="25"/>
  <c r="X92" i="25" l="1"/>
  <c r="W92" i="25" s="1"/>
  <c r="X91" i="25"/>
  <c r="W91" i="25" s="1"/>
  <c r="X90" i="25"/>
  <c r="W90" i="25" s="1"/>
  <c r="AK37" i="5"/>
  <c r="AE89" i="25"/>
  <c r="AE90" i="25" s="1"/>
  <c r="AE91" i="25" s="1"/>
  <c r="AE92" i="25" s="1"/>
  <c r="AC89" i="25"/>
  <c r="AB89" i="25" s="1"/>
  <c r="J85" i="25"/>
  <c r="Z88" i="25" s="1"/>
  <c r="J76" i="25"/>
  <c r="Q105" i="25"/>
  <c r="Q157" i="25" s="1"/>
  <c r="S157" i="25" s="1"/>
  <c r="J87" i="25"/>
  <c r="Z90" i="25" s="1"/>
  <c r="Y90" i="25" s="1"/>
  <c r="L81" i="25"/>
  <c r="M78" i="25" s="1"/>
  <c r="J86" i="25"/>
  <c r="Z89" i="25" s="1"/>
  <c r="Y89" i="25" s="1"/>
  <c r="M86" i="25"/>
  <c r="J69" i="25"/>
  <c r="M70" i="25"/>
  <c r="J88" i="25"/>
  <c r="Z91" i="25" s="1"/>
  <c r="Y91" i="25" s="1"/>
  <c r="J70" i="25"/>
  <c r="AA75" i="25" s="1"/>
  <c r="J77" i="25"/>
  <c r="X89" i="25" s="1"/>
  <c r="W89" i="25" s="1"/>
  <c r="J89" i="25"/>
  <c r="Z92" i="25" s="1"/>
  <c r="L63" i="25"/>
  <c r="H63" i="25"/>
  <c r="J63" i="25" s="1"/>
  <c r="Z75" i="25" s="1"/>
  <c r="W75" i="25" s="1"/>
  <c r="W62" i="25"/>
  <c r="V62" i="25"/>
  <c r="L62" i="25"/>
  <c r="H62" i="25"/>
  <c r="J62" i="25" s="1"/>
  <c r="X88" i="25" l="1"/>
  <c r="AN37" i="5"/>
  <c r="L64" i="25"/>
  <c r="L65" i="25" s="1"/>
  <c r="P62" i="25"/>
  <c r="P69" i="25"/>
  <c r="P70" i="25" s="1"/>
  <c r="Q70" i="25" s="1"/>
  <c r="L82" i="25"/>
  <c r="AB81" i="25" s="1"/>
  <c r="P76" i="25"/>
  <c r="AA74" i="25"/>
  <c r="Z74" i="25" s="1"/>
  <c r="W74" i="25" s="1"/>
  <c r="P85" i="25"/>
  <c r="P86" i="25" s="1"/>
  <c r="V61" i="25"/>
  <c r="V60" i="25"/>
  <c r="V59" i="25"/>
  <c r="AB58" i="25"/>
  <c r="AB59" i="25" s="1"/>
  <c r="V58" i="25"/>
  <c r="L56" i="25"/>
  <c r="H56" i="25"/>
  <c r="L54" i="25"/>
  <c r="D50" i="25"/>
  <c r="L47" i="25"/>
  <c r="H47" i="25"/>
  <c r="J47" i="25" s="1"/>
  <c r="AE38" i="5" s="1"/>
  <c r="J46" i="25"/>
  <c r="L45" i="25"/>
  <c r="L39" i="25"/>
  <c r="H39" i="25"/>
  <c r="J39" i="25" s="1"/>
  <c r="AA65" i="25" s="1"/>
  <c r="L38" i="25"/>
  <c r="J38" i="25"/>
  <c r="AA64" i="25" s="1"/>
  <c r="H38" i="25"/>
  <c r="S32" i="25"/>
  <c r="L32" i="25"/>
  <c r="H32" i="25"/>
  <c r="J32" i="25" s="1"/>
  <c r="L31" i="25"/>
  <c r="J31" i="25"/>
  <c r="H31" i="25"/>
  <c r="W64" i="25" s="1"/>
  <c r="L25" i="25"/>
  <c r="H25" i="25"/>
  <c r="L24" i="25"/>
  <c r="H24" i="25"/>
  <c r="J24" i="25" s="1"/>
  <c r="L23" i="25"/>
  <c r="H23" i="25"/>
  <c r="J23" i="25" s="1"/>
  <c r="Z39" i="5" s="1"/>
  <c r="L22" i="25"/>
  <c r="H22" i="25"/>
  <c r="L17" i="25"/>
  <c r="H17" i="25"/>
  <c r="J17" i="25" s="1"/>
  <c r="L16" i="25"/>
  <c r="H16" i="25"/>
  <c r="J16" i="25" s="1"/>
  <c r="L15" i="25"/>
  <c r="H15" i="25"/>
  <c r="J15" i="25" s="1"/>
  <c r="Z38" i="5" s="1"/>
  <c r="L14" i="25"/>
  <c r="H14" i="25"/>
  <c r="W58" i="25" s="1"/>
  <c r="AB13" i="25"/>
  <c r="AA13" i="25"/>
  <c r="Z13" i="25"/>
  <c r="Y13" i="25"/>
  <c r="X13" i="25"/>
  <c r="W13" i="25"/>
  <c r="AB12" i="25"/>
  <c r="AA12" i="25"/>
  <c r="Z12" i="25"/>
  <c r="Y12" i="25"/>
  <c r="X12" i="25"/>
  <c r="W12" i="25"/>
  <c r="AB11" i="25"/>
  <c r="AA11" i="25"/>
  <c r="Z11" i="25"/>
  <c r="Y11" i="25"/>
  <c r="X11" i="25"/>
  <c r="W11" i="25"/>
  <c r="AB10" i="25"/>
  <c r="AA10" i="25"/>
  <c r="Z10" i="25"/>
  <c r="Y10" i="25"/>
  <c r="X10" i="25"/>
  <c r="W10" i="25"/>
  <c r="AB9" i="25"/>
  <c r="AA9" i="25"/>
  <c r="Z9" i="25"/>
  <c r="Y9" i="25"/>
  <c r="X9" i="25"/>
  <c r="W9" i="25"/>
  <c r="AB8" i="25"/>
  <c r="AA8" i="25"/>
  <c r="Z8" i="25"/>
  <c r="Y8" i="25"/>
  <c r="X8" i="25"/>
  <c r="W8" i="25"/>
  <c r="AB7" i="25"/>
  <c r="AA7" i="25"/>
  <c r="Z7" i="25"/>
  <c r="Y7" i="25"/>
  <c r="X7" i="25"/>
  <c r="W7" i="25"/>
  <c r="H2" i="25"/>
  <c r="Y53" i="25" s="1"/>
  <c r="F31" i="35"/>
  <c r="D31" i="35"/>
  <c r="F30" i="35"/>
  <c r="D30" i="35"/>
  <c r="B30" i="35" s="1"/>
  <c r="F28" i="35"/>
  <c r="D28" i="35"/>
  <c r="B28" i="35" s="1"/>
  <c r="F27" i="35"/>
  <c r="D27" i="35"/>
  <c r="B27" i="35" s="1"/>
  <c r="F26" i="35"/>
  <c r="D26" i="35"/>
  <c r="B26" i="35" s="1"/>
  <c r="F25" i="35"/>
  <c r="D25" i="35"/>
  <c r="B25" i="35" s="1"/>
  <c r="F24" i="35"/>
  <c r="D24" i="35"/>
  <c r="B24" i="35"/>
  <c r="F22" i="35"/>
  <c r="D22" i="35"/>
  <c r="B22" i="35" s="1"/>
  <c r="F21" i="35"/>
  <c r="D21" i="35"/>
  <c r="B21" i="35" s="1"/>
  <c r="F20" i="35"/>
  <c r="D20" i="35"/>
  <c r="B20" i="35" s="1"/>
  <c r="F19" i="35"/>
  <c r="D19" i="35"/>
  <c r="B19" i="35" s="1"/>
  <c r="F18" i="35"/>
  <c r="D18" i="35"/>
  <c r="B18" i="35"/>
  <c r="F14" i="35"/>
  <c r="D14" i="35"/>
  <c r="B14" i="35" s="1"/>
  <c r="F13" i="35"/>
  <c r="D13" i="35"/>
  <c r="B13" i="35" s="1"/>
  <c r="F12" i="35"/>
  <c r="D12" i="35"/>
  <c r="B12" i="35" s="1"/>
  <c r="F9" i="35"/>
  <c r="D9" i="35"/>
  <c r="B9" i="35" s="1"/>
  <c r="F8" i="35"/>
  <c r="D8" i="35"/>
  <c r="B8" i="35" s="1"/>
  <c r="F7" i="35"/>
  <c r="D7" i="35"/>
  <c r="B7" i="35" s="1"/>
  <c r="B5" i="35"/>
  <c r="B4" i="35"/>
  <c r="M166" i="15"/>
  <c r="L157" i="15"/>
  <c r="G151" i="15"/>
  <c r="G150" i="15"/>
  <c r="L18" i="25" l="1"/>
  <c r="L19" i="25" s="1"/>
  <c r="J97" i="35"/>
  <c r="H96" i="35"/>
  <c r="H97" i="35"/>
  <c r="M64" i="25"/>
  <c r="P63" i="25"/>
  <c r="Z76" i="25" s="1"/>
  <c r="Z47" i="5"/>
  <c r="AB61" i="25"/>
  <c r="AB60" i="25"/>
  <c r="L33" i="25"/>
  <c r="L34" i="25" s="1"/>
  <c r="L36" i="25" s="1"/>
  <c r="M39" i="25"/>
  <c r="M23" i="25"/>
  <c r="W53" i="25"/>
  <c r="AA14" i="25"/>
  <c r="AA31" i="25" s="1"/>
  <c r="M55" i="25"/>
  <c r="J55" i="25" s="1"/>
  <c r="AA70" i="25" s="1"/>
  <c r="L49" i="25"/>
  <c r="L48" i="25" s="1"/>
  <c r="L50" i="25" s="1"/>
  <c r="L51" i="25" s="1"/>
  <c r="L27" i="25"/>
  <c r="AC9" i="25"/>
  <c r="X43" i="25" s="1"/>
  <c r="Z70" i="25"/>
  <c r="F33" i="35"/>
  <c r="J36" i="35" s="1"/>
  <c r="J56" i="25"/>
  <c r="Z14" i="25"/>
  <c r="Z31" i="25" s="1"/>
  <c r="AC8" i="25"/>
  <c r="X42" i="25" s="1"/>
  <c r="AC11" i="25"/>
  <c r="Z45" i="25" s="1"/>
  <c r="Z65" i="25"/>
  <c r="W65" i="25" s="1"/>
  <c r="AC12" i="25"/>
  <c r="AA46" i="25" s="1"/>
  <c r="Z46" i="25" s="1"/>
  <c r="X14" i="25"/>
  <c r="X30" i="25" s="1"/>
  <c r="AB14" i="25"/>
  <c r="AB27" i="25" s="1"/>
  <c r="P38" i="25"/>
  <c r="P39" i="25" s="1"/>
  <c r="AA60" i="25"/>
  <c r="Z60" i="25" s="1"/>
  <c r="W60" i="25" s="1"/>
  <c r="AC7" i="25"/>
  <c r="AA41" i="25" s="1"/>
  <c r="D33" i="35"/>
  <c r="J35" i="35" s="1"/>
  <c r="AC13" i="25"/>
  <c r="AB47" i="25" s="1"/>
  <c r="W14" i="25"/>
  <c r="W27" i="25" s="1"/>
  <c r="Z71" i="25"/>
  <c r="W71" i="25" s="1"/>
  <c r="Q86" i="25"/>
  <c r="R86" i="25"/>
  <c r="P77" i="25"/>
  <c r="X93" i="25" s="1"/>
  <c r="Y14" i="25"/>
  <c r="Y31" i="25" s="1"/>
  <c r="AC10" i="25"/>
  <c r="X44" i="25" s="1"/>
  <c r="Z64" i="25"/>
  <c r="AA59" i="25"/>
  <c r="O46" i="15"/>
  <c r="P45" i="15" s="1"/>
  <c r="S45" i="15"/>
  <c r="S44" i="15"/>
  <c r="T40" i="15"/>
  <c r="R40" i="15"/>
  <c r="AG33" i="15" s="1"/>
  <c r="T39" i="15"/>
  <c r="R39" i="15"/>
  <c r="AE33" i="15" s="1"/>
  <c r="T35" i="15"/>
  <c r="R35" i="15"/>
  <c r="T34" i="15"/>
  <c r="R34" i="15"/>
  <c r="T33" i="15"/>
  <c r="R33" i="15"/>
  <c r="P33" i="15"/>
  <c r="N33" i="15"/>
  <c r="AE7" i="15" l="1"/>
  <c r="AF33" i="15" s="1"/>
  <c r="AG7" i="15"/>
  <c r="AH33" i="15" s="1"/>
  <c r="AA71" i="25"/>
  <c r="AE39" i="5"/>
  <c r="B14" i="25"/>
  <c r="C14" i="25" s="1"/>
  <c r="P64" i="25"/>
  <c r="R64" i="25" s="1"/>
  <c r="R175" i="25" s="1"/>
  <c r="P44" i="15"/>
  <c r="L35" i="25"/>
  <c r="S46" i="15"/>
  <c r="T45" i="15" s="1"/>
  <c r="W24" i="25"/>
  <c r="B15" i="25"/>
  <c r="C15" i="25" s="1"/>
  <c r="M16" i="25"/>
  <c r="W42" i="25"/>
  <c r="M33" i="25"/>
  <c r="Y43" i="25"/>
  <c r="AA30" i="25"/>
  <c r="X41" i="25"/>
  <c r="AA25" i="25"/>
  <c r="AA27" i="25"/>
  <c r="Z26" i="25"/>
  <c r="W43" i="25"/>
  <c r="AC42" i="25" s="1"/>
  <c r="Z30" i="25"/>
  <c r="Z28" i="25"/>
  <c r="AB31" i="25"/>
  <c r="Z24" i="25"/>
  <c r="Z29" i="25"/>
  <c r="X29" i="25"/>
  <c r="AB45" i="25"/>
  <c r="W28" i="25"/>
  <c r="X31" i="25"/>
  <c r="AA29" i="25"/>
  <c r="AA24" i="25"/>
  <c r="X28" i="25"/>
  <c r="AA43" i="25"/>
  <c r="Z27" i="25"/>
  <c r="Z42" i="25"/>
  <c r="Y42" i="25"/>
  <c r="Z43" i="25"/>
  <c r="B16" i="25"/>
  <c r="C16" i="25" s="1"/>
  <c r="B17" i="25"/>
  <c r="C17" i="25" s="1"/>
  <c r="AA45" i="25"/>
  <c r="V33" i="15"/>
  <c r="X34" i="15"/>
  <c r="AB29" i="25"/>
  <c r="Z25" i="25"/>
  <c r="AB42" i="25"/>
  <c r="T41" i="15"/>
  <c r="X27" i="25"/>
  <c r="AC46" i="25"/>
  <c r="W29" i="25"/>
  <c r="Y45" i="25"/>
  <c r="X45" i="25"/>
  <c r="R41" i="15"/>
  <c r="Q39" i="15" s="1"/>
  <c r="Z44" i="25"/>
  <c r="W30" i="25"/>
  <c r="AB30" i="25"/>
  <c r="X33" i="15"/>
  <c r="AA42" i="25"/>
  <c r="Y25" i="25"/>
  <c r="W45" i="25"/>
  <c r="Z59" i="25"/>
  <c r="W59" i="25" s="1"/>
  <c r="AB24" i="25"/>
  <c r="AB25" i="25"/>
  <c r="Y26" i="25"/>
  <c r="P78" i="25"/>
  <c r="Y44" i="25"/>
  <c r="AA47" i="25"/>
  <c r="AB28" i="25"/>
  <c r="AA28" i="25" s="1"/>
  <c r="Z47" i="25"/>
  <c r="Y47" i="25" s="1"/>
  <c r="Y46" i="25"/>
  <c r="Y29" i="25"/>
  <c r="Y30" i="25"/>
  <c r="W31" i="25"/>
  <c r="P31" i="25" s="1"/>
  <c r="AC14" i="25"/>
  <c r="X47" i="25"/>
  <c r="W47" i="25"/>
  <c r="W26" i="25"/>
  <c r="AB41" i="25"/>
  <c r="M47" i="25"/>
  <c r="X46" i="25"/>
  <c r="AC41" i="25"/>
  <c r="AC47" i="25"/>
  <c r="AA44" i="25"/>
  <c r="W44" i="25"/>
  <c r="AC43" i="25" s="1"/>
  <c r="AB43" i="25" s="1"/>
  <c r="X24" i="25"/>
  <c r="X26" i="25"/>
  <c r="X25" i="25"/>
  <c r="W25" i="25" s="1"/>
  <c r="Y24" i="25"/>
  <c r="Z41" i="25"/>
  <c r="Y41" i="25" s="1"/>
  <c r="Y28" i="25"/>
  <c r="W41" i="25"/>
  <c r="AB26" i="25"/>
  <c r="AA26" i="25" s="1"/>
  <c r="W46" i="25"/>
  <c r="AB46" i="25"/>
  <c r="Y27" i="25"/>
  <c r="T29" i="15"/>
  <c r="R29" i="15"/>
  <c r="P29" i="15"/>
  <c r="N29" i="15"/>
  <c r="T28" i="15"/>
  <c r="R28" i="15"/>
  <c r="P28" i="15"/>
  <c r="N28" i="15"/>
  <c r="AC27" i="15"/>
  <c r="T27" i="15"/>
  <c r="R27" i="15"/>
  <c r="P27" i="15"/>
  <c r="N27" i="15"/>
  <c r="T26" i="15"/>
  <c r="R26" i="15"/>
  <c r="P26" i="15"/>
  <c r="N26" i="15"/>
  <c r="T25" i="15"/>
  <c r="R25" i="15"/>
  <c r="P25" i="15"/>
  <c r="N25" i="15"/>
  <c r="T24" i="15"/>
  <c r="R24" i="15"/>
  <c r="P24" i="15"/>
  <c r="N24" i="15"/>
  <c r="T23" i="15"/>
  <c r="R23" i="15"/>
  <c r="P23" i="15"/>
  <c r="N23" i="15"/>
  <c r="AH22" i="15" l="1"/>
  <c r="AH25" i="15"/>
  <c r="AH16" i="15"/>
  <c r="AH26" i="15"/>
  <c r="AH29" i="15"/>
  <c r="AH9" i="15"/>
  <c r="AH19" i="15"/>
  <c r="AH27" i="15"/>
  <c r="AH11" i="15"/>
  <c r="AH10" i="15"/>
  <c r="AH13" i="15"/>
  <c r="AH18" i="15"/>
  <c r="AH28" i="15"/>
  <c r="AH21" i="15"/>
  <c r="AH23" i="15"/>
  <c r="AH20" i="15"/>
  <c r="AH12" i="15"/>
  <c r="AH24" i="15"/>
  <c r="AH14" i="15"/>
  <c r="AH15" i="15"/>
  <c r="AH31" i="15"/>
  <c r="AH17" i="15"/>
  <c r="AF22" i="15"/>
  <c r="AF10" i="15"/>
  <c r="AF17" i="15"/>
  <c r="AF27" i="15"/>
  <c r="AF12" i="15"/>
  <c r="AF13" i="15"/>
  <c r="AF24" i="15"/>
  <c r="AF23" i="15"/>
  <c r="AF29" i="15"/>
  <c r="AF28" i="15"/>
  <c r="AF21" i="15"/>
  <c r="AF18" i="15"/>
  <c r="AF25" i="15"/>
  <c r="AF20" i="15"/>
  <c r="AF15" i="15"/>
  <c r="AF31" i="15"/>
  <c r="AF26" i="15"/>
  <c r="AF19" i="15"/>
  <c r="AF14" i="15"/>
  <c r="AF9" i="15"/>
  <c r="AF11" i="15"/>
  <c r="AF16" i="15"/>
  <c r="Q64" i="25"/>
  <c r="R66" i="25" s="1"/>
  <c r="R67" i="25" s="1"/>
  <c r="T44" i="15"/>
  <c r="Q40" i="15"/>
  <c r="P32" i="25"/>
  <c r="Z66" i="25" s="1"/>
  <c r="D14" i="25"/>
  <c r="K22" i="25"/>
  <c r="Z33" i="15"/>
  <c r="V25" i="15"/>
  <c r="V26" i="15"/>
  <c r="V23" i="15"/>
  <c r="K25" i="25"/>
  <c r="J25" i="25" s="1"/>
  <c r="AA61" i="25" s="1"/>
  <c r="Z61" i="25" s="1"/>
  <c r="W61" i="25" s="1"/>
  <c r="D17" i="25"/>
  <c r="D20" i="25"/>
  <c r="D22" i="25" s="1"/>
  <c r="K23" i="25"/>
  <c r="D15" i="25"/>
  <c r="X24" i="15"/>
  <c r="V28" i="15"/>
  <c r="V29" i="15"/>
  <c r="X23" i="15"/>
  <c r="X27" i="15"/>
  <c r="V27" i="15"/>
  <c r="X26" i="15"/>
  <c r="X29" i="15"/>
  <c r="K24" i="25"/>
  <c r="D16" i="25"/>
  <c r="X28" i="15"/>
  <c r="V24" i="15"/>
  <c r="X25" i="15"/>
  <c r="R77" i="25"/>
  <c r="Q77" i="25"/>
  <c r="X22" i="15"/>
  <c r="V22" i="15"/>
  <c r="T21" i="15"/>
  <c r="R21" i="15"/>
  <c r="P21" i="15"/>
  <c r="N21" i="15"/>
  <c r="T20" i="15"/>
  <c r="R20" i="15"/>
  <c r="P20" i="15"/>
  <c r="N20" i="15"/>
  <c r="T19" i="15"/>
  <c r="R19" i="15"/>
  <c r="P19" i="15"/>
  <c r="N19" i="15"/>
  <c r="T18" i="15"/>
  <c r="R18" i="15"/>
  <c r="P18" i="15"/>
  <c r="N18" i="15"/>
  <c r="AC17" i="15"/>
  <c r="T17" i="15"/>
  <c r="R17" i="15"/>
  <c r="P17" i="15"/>
  <c r="N17" i="15"/>
  <c r="J17" i="15"/>
  <c r="AH32" i="15" l="1"/>
  <c r="AF32" i="15"/>
  <c r="Q175" i="25"/>
  <c r="S175" i="25" s="1"/>
  <c r="Z22" i="15"/>
  <c r="K27" i="25"/>
  <c r="K14" i="25"/>
  <c r="X19" i="15"/>
  <c r="X21" i="15"/>
  <c r="Z26" i="15"/>
  <c r="Z29" i="15"/>
  <c r="Z23" i="15"/>
  <c r="X17" i="15"/>
  <c r="V18" i="15"/>
  <c r="V19" i="15"/>
  <c r="V20" i="15"/>
  <c r="Z28" i="15"/>
  <c r="Z27" i="15"/>
  <c r="V21" i="15"/>
  <c r="V17" i="15"/>
  <c r="X18" i="15"/>
  <c r="X20" i="15"/>
  <c r="Z24" i="15"/>
  <c r="Z25" i="15"/>
  <c r="Q161" i="25"/>
  <c r="R79" i="25"/>
  <c r="R80" i="25" s="1"/>
  <c r="G17" i="15"/>
  <c r="F17" i="15"/>
  <c r="D17" i="15"/>
  <c r="C17" i="15"/>
  <c r="T16" i="15"/>
  <c r="R16" i="15"/>
  <c r="P16" i="15"/>
  <c r="N16" i="15"/>
  <c r="G16" i="15"/>
  <c r="B16" i="15" s="1"/>
  <c r="T15" i="15"/>
  <c r="R15" i="15"/>
  <c r="P15" i="15"/>
  <c r="N15" i="15"/>
  <c r="J15" i="15"/>
  <c r="G15" i="15"/>
  <c r="F15" i="15"/>
  <c r="D15" i="15"/>
  <c r="C15" i="15"/>
  <c r="T14" i="15"/>
  <c r="R14" i="15"/>
  <c r="P14" i="15"/>
  <c r="N14" i="15"/>
  <c r="G14" i="15"/>
  <c r="F14" i="15"/>
  <c r="E14" i="15"/>
  <c r="E20" i="15" s="1"/>
  <c r="D14" i="15"/>
  <c r="C14" i="15"/>
  <c r="T13" i="15"/>
  <c r="R13" i="15"/>
  <c r="P13" i="15"/>
  <c r="N13" i="15"/>
  <c r="J13" i="15"/>
  <c r="G13" i="15"/>
  <c r="F13" i="15"/>
  <c r="D13" i="15"/>
  <c r="C13" i="15"/>
  <c r="T12" i="15"/>
  <c r="R12" i="15"/>
  <c r="P12" i="15"/>
  <c r="N12" i="15"/>
  <c r="T11" i="15"/>
  <c r="R11" i="15"/>
  <c r="P11" i="15"/>
  <c r="N11" i="15"/>
  <c r="J11" i="15"/>
  <c r="T10" i="15"/>
  <c r="R10" i="15"/>
  <c r="P10" i="15"/>
  <c r="N10" i="15"/>
  <c r="T9" i="15"/>
  <c r="R9" i="15"/>
  <c r="P9" i="15"/>
  <c r="N9" i="15"/>
  <c r="B4" i="15"/>
  <c r="J3" i="15"/>
  <c r="B3" i="15"/>
  <c r="AA2" i="15"/>
  <c r="J2" i="15"/>
  <c r="AA1" i="15"/>
  <c r="S1" i="15"/>
  <c r="AJ161" i="13"/>
  <c r="AI156" i="13"/>
  <c r="AD150" i="13"/>
  <c r="AD149" i="13"/>
  <c r="Z51" i="13"/>
  <c r="AD50" i="13"/>
  <c r="Z50" i="13"/>
  <c r="Z48" i="13"/>
  <c r="AD47" i="13" s="1"/>
  <c r="Z47" i="13" s="1"/>
  <c r="Z46" i="13" s="1"/>
  <c r="Y41" i="13"/>
  <c r="AA40" i="13"/>
  <c r="AA42" i="13" s="1"/>
  <c r="Y40" i="13"/>
  <c r="BH36" i="13"/>
  <c r="BH29" i="13" s="1"/>
  <c r="AD36" i="13"/>
  <c r="AB35" i="13"/>
  <c r="Y35" i="13"/>
  <c r="L35" i="13"/>
  <c r="J35" i="13"/>
  <c r="H35" i="13"/>
  <c r="F35" i="13"/>
  <c r="D35" i="13"/>
  <c r="B35" i="13"/>
  <c r="L33" i="13"/>
  <c r="J33" i="13"/>
  <c r="H33" i="13"/>
  <c r="F33" i="13"/>
  <c r="D33" i="13"/>
  <c r="B33" i="13"/>
  <c r="AB32" i="13"/>
  <c r="Y32" i="13"/>
  <c r="BM29" i="13"/>
  <c r="BK29" i="13"/>
  <c r="BJ29" i="13"/>
  <c r="BI29" i="13"/>
  <c r="BF29" i="13"/>
  <c r="U29" i="13"/>
  <c r="L29" i="13"/>
  <c r="J29" i="13"/>
  <c r="H29" i="13"/>
  <c r="F29" i="13"/>
  <c r="D29" i="13"/>
  <c r="B29" i="13"/>
  <c r="U28" i="13"/>
  <c r="H14" i="15" l="1"/>
  <c r="K17" i="25"/>
  <c r="K15" i="25"/>
  <c r="K16" i="25"/>
  <c r="K18" i="25"/>
  <c r="Z21" i="15"/>
  <c r="Z29" i="13"/>
  <c r="Z17" i="15"/>
  <c r="Z20" i="15"/>
  <c r="Z18" i="15"/>
  <c r="P35" i="13"/>
  <c r="X15" i="15"/>
  <c r="N33" i="13"/>
  <c r="X11" i="15"/>
  <c r="V14" i="15"/>
  <c r="Y42" i="13"/>
  <c r="G20" i="15"/>
  <c r="B17" i="15"/>
  <c r="H17" i="15"/>
  <c r="I17" i="15" s="1"/>
  <c r="T31" i="15"/>
  <c r="T7" i="15" s="1"/>
  <c r="B14" i="15"/>
  <c r="P31" i="15"/>
  <c r="P7" i="15" s="1"/>
  <c r="Q27" i="15" s="1"/>
  <c r="V11" i="15"/>
  <c r="H16" i="15"/>
  <c r="N35" i="13"/>
  <c r="P33" i="13"/>
  <c r="BG36" i="13"/>
  <c r="BG29" i="13" s="1"/>
  <c r="BN29" i="13" s="1"/>
  <c r="Z52" i="13"/>
  <c r="AD51" i="13" s="1"/>
  <c r="X10" i="15"/>
  <c r="V13" i="15"/>
  <c r="X14" i="15"/>
  <c r="X13" i="15"/>
  <c r="B15" i="15"/>
  <c r="X16" i="15"/>
  <c r="H15" i="15"/>
  <c r="N29" i="13"/>
  <c r="V10" i="15"/>
  <c r="V15" i="15"/>
  <c r="V16" i="15"/>
  <c r="V12" i="15"/>
  <c r="D20" i="15"/>
  <c r="X9" i="15"/>
  <c r="X12" i="15"/>
  <c r="B13" i="15"/>
  <c r="P29" i="13"/>
  <c r="N31" i="15"/>
  <c r="R31" i="15"/>
  <c r="V9" i="15"/>
  <c r="F20" i="15"/>
  <c r="Z14" i="15" l="1"/>
  <c r="Q21" i="15"/>
  <c r="Q20" i="15"/>
  <c r="Q13" i="15"/>
  <c r="Z11" i="15"/>
  <c r="Q31" i="15"/>
  <c r="Q17" i="15"/>
  <c r="Q25" i="15"/>
  <c r="Q33" i="15"/>
  <c r="Q16" i="15"/>
  <c r="Q19" i="15"/>
  <c r="Q11" i="15"/>
  <c r="Q12" i="15"/>
  <c r="Q23" i="15"/>
  <c r="Q26" i="15"/>
  <c r="Q9" i="15"/>
  <c r="Q15" i="15"/>
  <c r="Q18" i="15"/>
  <c r="Q24" i="15"/>
  <c r="Q29" i="15"/>
  <c r="Q10" i="15"/>
  <c r="Q14" i="15"/>
  <c r="Q28" i="15"/>
  <c r="Q22" i="15"/>
  <c r="Z13" i="15"/>
  <c r="BE29" i="13"/>
  <c r="BL29" i="13" s="1"/>
  <c r="B20" i="15"/>
  <c r="U27" i="15"/>
  <c r="U26" i="15"/>
  <c r="U33" i="15"/>
  <c r="U21" i="15"/>
  <c r="U19" i="15"/>
  <c r="U25" i="15"/>
  <c r="U29" i="15"/>
  <c r="U22" i="15"/>
  <c r="U18" i="15"/>
  <c r="U23" i="15"/>
  <c r="U28" i="15"/>
  <c r="U24" i="15"/>
  <c r="U14" i="15"/>
  <c r="U17" i="15"/>
  <c r="U16" i="15"/>
  <c r="U15" i="15"/>
  <c r="U10" i="15"/>
  <c r="U20" i="15"/>
  <c r="U12" i="15"/>
  <c r="R29" i="13"/>
  <c r="T29" i="13" s="1"/>
  <c r="Z9" i="15"/>
  <c r="Z12" i="15"/>
  <c r="Z15" i="15"/>
  <c r="U31" i="15"/>
  <c r="Z16" i="15"/>
  <c r="V31" i="15"/>
  <c r="N7" i="15"/>
  <c r="O31" i="15" s="1"/>
  <c r="U11" i="15"/>
  <c r="X31" i="15"/>
  <c r="R7" i="15"/>
  <c r="Z10" i="15"/>
  <c r="U13" i="15"/>
  <c r="U9" i="15"/>
  <c r="L28" i="13"/>
  <c r="J28" i="13"/>
  <c r="H28" i="13"/>
  <c r="F28" i="13"/>
  <c r="D28" i="13"/>
  <c r="B28" i="13"/>
  <c r="U27" i="13"/>
  <c r="S27" i="13"/>
  <c r="L27" i="13"/>
  <c r="J27" i="13"/>
  <c r="H27" i="13"/>
  <c r="F27" i="13"/>
  <c r="D27" i="13"/>
  <c r="B27" i="13"/>
  <c r="BM26" i="13"/>
  <c r="BI26" i="13"/>
  <c r="BH26" i="13"/>
  <c r="BG26" i="13"/>
  <c r="BF26" i="13"/>
  <c r="U26" i="13"/>
  <c r="S26" i="13"/>
  <c r="L26" i="13"/>
  <c r="J26" i="13"/>
  <c r="H26" i="13"/>
  <c r="F26" i="13"/>
  <c r="D26" i="13"/>
  <c r="B26" i="13"/>
  <c r="L25" i="13"/>
  <c r="J25" i="13"/>
  <c r="H25" i="13"/>
  <c r="F25" i="13"/>
  <c r="D25" i="13"/>
  <c r="B25" i="13"/>
  <c r="L24" i="13"/>
  <c r="J24" i="13"/>
  <c r="H24" i="13"/>
  <c r="F24" i="13"/>
  <c r="D24" i="13"/>
  <c r="B24" i="13"/>
  <c r="BM23" i="13"/>
  <c r="BI23" i="13"/>
  <c r="BH23" i="13"/>
  <c r="BG23" i="13"/>
  <c r="BF23" i="13"/>
  <c r="L23" i="13"/>
  <c r="J23" i="13"/>
  <c r="H23" i="13"/>
  <c r="F23" i="13"/>
  <c r="D23" i="13"/>
  <c r="B23" i="13"/>
  <c r="BM22" i="13"/>
  <c r="BK22" i="13"/>
  <c r="BJ22" i="13"/>
  <c r="BI22" i="13"/>
  <c r="BH22" i="13"/>
  <c r="BG22" i="13"/>
  <c r="BF22" i="13"/>
  <c r="L22" i="13"/>
  <c r="J22" i="13"/>
  <c r="H22" i="13"/>
  <c r="F22" i="13"/>
  <c r="D22" i="13"/>
  <c r="B22" i="13"/>
  <c r="BM21" i="13"/>
  <c r="BK21" i="13"/>
  <c r="BJ21" i="13"/>
  <c r="BI21" i="13"/>
  <c r="BH21" i="13"/>
  <c r="BG21" i="13"/>
  <c r="BF21" i="13"/>
  <c r="L21" i="13"/>
  <c r="J21" i="13"/>
  <c r="H21" i="13"/>
  <c r="F21" i="13"/>
  <c r="D21" i="13"/>
  <c r="B21" i="13"/>
  <c r="AB20" i="13"/>
  <c r="AA20" i="13"/>
  <c r="L20" i="13"/>
  <c r="J20" i="13"/>
  <c r="H20" i="13"/>
  <c r="F20" i="13"/>
  <c r="D20" i="13"/>
  <c r="B20" i="13"/>
  <c r="BM19" i="13"/>
  <c r="BK19" i="13"/>
  <c r="BJ19" i="13"/>
  <c r="BI19" i="13"/>
  <c r="BH19" i="13"/>
  <c r="BG19" i="13"/>
  <c r="BF19" i="13"/>
  <c r="L19" i="13"/>
  <c r="M21" i="13" s="1"/>
  <c r="J19" i="13"/>
  <c r="H19" i="13"/>
  <c r="F19" i="13"/>
  <c r="D19" i="13"/>
  <c r="B19" i="13"/>
  <c r="L18" i="13"/>
  <c r="J18" i="13"/>
  <c r="H18" i="13"/>
  <c r="F18" i="13"/>
  <c r="D18" i="13"/>
  <c r="B18" i="13"/>
  <c r="L17" i="13"/>
  <c r="J17" i="13"/>
  <c r="H17" i="13"/>
  <c r="F17" i="13"/>
  <c r="D17" i="13"/>
  <c r="B17" i="13"/>
  <c r="L16" i="13"/>
  <c r="J16" i="13"/>
  <c r="H16" i="13"/>
  <c r="F16" i="13"/>
  <c r="D16" i="13"/>
  <c r="B16" i="13"/>
  <c r="BK15" i="13"/>
  <c r="BJ15" i="13"/>
  <c r="L15" i="13"/>
  <c r="J15" i="13"/>
  <c r="H15" i="13"/>
  <c r="F15" i="13"/>
  <c r="D15" i="13"/>
  <c r="B15" i="13"/>
  <c r="AN14" i="13"/>
  <c r="AM14" i="13"/>
  <c r="P28" i="13" l="1"/>
  <c r="P19" i="13"/>
  <c r="BK32" i="13"/>
  <c r="N27" i="13"/>
  <c r="BN23" i="13"/>
  <c r="N24" i="13"/>
  <c r="E7" i="15"/>
  <c r="B7" i="15" s="1"/>
  <c r="N19" i="13"/>
  <c r="BE23" i="13"/>
  <c r="BL23" i="13" s="1"/>
  <c r="BG32" i="13"/>
  <c r="P23" i="13"/>
  <c r="P21" i="13"/>
  <c r="BN22" i="13"/>
  <c r="N16" i="13"/>
  <c r="N18" i="13"/>
  <c r="N20" i="13"/>
  <c r="BE21" i="13"/>
  <c r="BL21" i="13" s="1"/>
  <c r="N22" i="13"/>
  <c r="N26" i="13"/>
  <c r="BE26" i="13"/>
  <c r="BL26" i="13" s="1"/>
  <c r="P16" i="13"/>
  <c r="P18" i="13"/>
  <c r="BI32" i="13"/>
  <c r="P22" i="13"/>
  <c r="N17" i="13"/>
  <c r="N23" i="13"/>
  <c r="N15" i="13"/>
  <c r="P17" i="13"/>
  <c r="BN21" i="13"/>
  <c r="N21" i="13"/>
  <c r="N28" i="13"/>
  <c r="P24" i="13"/>
  <c r="N25" i="13"/>
  <c r="BH34" i="13"/>
  <c r="BH31" i="13"/>
  <c r="BG34" i="13"/>
  <c r="BG31" i="13"/>
  <c r="BK34" i="13"/>
  <c r="BK36" i="13" s="1"/>
  <c r="BK31" i="13"/>
  <c r="S33" i="15"/>
  <c r="S26" i="15"/>
  <c r="S27" i="15"/>
  <c r="S24" i="15"/>
  <c r="S23" i="15"/>
  <c r="S29" i="15"/>
  <c r="S18" i="15"/>
  <c r="S22" i="15"/>
  <c r="S20" i="15"/>
  <c r="S17" i="15"/>
  <c r="S21" i="15"/>
  <c r="S28" i="15"/>
  <c r="S25" i="15"/>
  <c r="S19" i="15"/>
  <c r="S13" i="15"/>
  <c r="S9" i="15"/>
  <c r="S14" i="15"/>
  <c r="S11" i="15"/>
  <c r="S10" i="15"/>
  <c r="S15" i="15"/>
  <c r="S12" i="15"/>
  <c r="S16" i="15"/>
  <c r="S31" i="15"/>
  <c r="P15" i="13"/>
  <c r="P20" i="13"/>
  <c r="BF32" i="13"/>
  <c r="BJ32" i="13"/>
  <c r="BJ34" i="13"/>
  <c r="BJ36" i="13" s="1"/>
  <c r="BJ31" i="13"/>
  <c r="BI34" i="13"/>
  <c r="BI31" i="13"/>
  <c r="BM32" i="13"/>
  <c r="Z31" i="15"/>
  <c r="V7" i="15"/>
  <c r="W31" i="15" s="1"/>
  <c r="BE19" i="13"/>
  <c r="BL19" i="13" s="1"/>
  <c r="BN19" i="13"/>
  <c r="BH32" i="13"/>
  <c r="BE22" i="13"/>
  <c r="BL22" i="13" s="1"/>
  <c r="P27" i="13"/>
  <c r="BF34" i="13"/>
  <c r="BF36" i="13" s="1"/>
  <c r="BF31" i="13"/>
  <c r="BM34" i="13"/>
  <c r="BM31" i="13"/>
  <c r="X7" i="15"/>
  <c r="N34" i="15"/>
  <c r="O33" i="15"/>
  <c r="O27" i="15"/>
  <c r="O24" i="15"/>
  <c r="O18" i="15"/>
  <c r="O25" i="15"/>
  <c r="O21" i="15"/>
  <c r="O23" i="15"/>
  <c r="O29" i="15"/>
  <c r="O28" i="15"/>
  <c r="O20" i="15"/>
  <c r="O26" i="15"/>
  <c r="O19" i="15"/>
  <c r="O22" i="15"/>
  <c r="O17" i="15"/>
  <c r="O14" i="15"/>
  <c r="O11" i="15"/>
  <c r="O13" i="15"/>
  <c r="O9" i="15"/>
  <c r="O16" i="15"/>
  <c r="O15" i="15"/>
  <c r="O10" i="15"/>
  <c r="O12" i="15"/>
  <c r="P25" i="13"/>
  <c r="P26" i="13"/>
  <c r="L14" i="13"/>
  <c r="J14" i="13"/>
  <c r="H14" i="13"/>
  <c r="F14" i="13"/>
  <c r="D14" i="13"/>
  <c r="B14" i="13"/>
  <c r="BL13" i="13"/>
  <c r="L13" i="13"/>
  <c r="J13" i="13"/>
  <c r="H13" i="13"/>
  <c r="F13" i="13"/>
  <c r="D13" i="13"/>
  <c r="B13" i="13"/>
  <c r="BM12" i="13"/>
  <c r="BM15" i="13" s="1"/>
  <c r="BI12" i="13"/>
  <c r="BI15" i="13" s="1"/>
  <c r="BH12" i="13"/>
  <c r="BH15" i="13" s="1"/>
  <c r="BG12" i="13"/>
  <c r="BF12" i="13"/>
  <c r="L12" i="13"/>
  <c r="J12" i="13"/>
  <c r="H12" i="13"/>
  <c r="F12" i="13"/>
  <c r="D12" i="13"/>
  <c r="B12" i="13"/>
  <c r="L11" i="13"/>
  <c r="J11" i="13"/>
  <c r="H11" i="13"/>
  <c r="F11" i="13"/>
  <c r="D11" i="13"/>
  <c r="B11" i="13"/>
  <c r="AN10" i="13"/>
  <c r="AM10" i="13"/>
  <c r="M10" i="13"/>
  <c r="L10" i="13"/>
  <c r="J10" i="13"/>
  <c r="H10" i="13"/>
  <c r="F10" i="13"/>
  <c r="D10" i="13"/>
  <c r="B10" i="13"/>
  <c r="L9" i="13"/>
  <c r="J9" i="13"/>
  <c r="H9" i="13"/>
  <c r="F9" i="13"/>
  <c r="D9" i="13"/>
  <c r="B9" i="13"/>
  <c r="AP8" i="13"/>
  <c r="BA7" i="13"/>
  <c r="AZ7" i="13"/>
  <c r="R28" i="13" l="1"/>
  <c r="T28" i="13" s="1"/>
  <c r="T19" i="13"/>
  <c r="R26" i="13"/>
  <c r="T26" i="13" s="1"/>
  <c r="T23" i="13"/>
  <c r="T18" i="13"/>
  <c r="BE12" i="13"/>
  <c r="BL12" i="13" s="1"/>
  <c r="BL15" i="13" s="1"/>
  <c r="BG15" i="13"/>
  <c r="B31" i="13"/>
  <c r="J31" i="13"/>
  <c r="T22" i="13"/>
  <c r="T21" i="13"/>
  <c r="T16" i="13"/>
  <c r="H31" i="13"/>
  <c r="N10" i="13"/>
  <c r="P14" i="13"/>
  <c r="T17" i="13"/>
  <c r="F31" i="13"/>
  <c r="N11" i="13"/>
  <c r="P12" i="13"/>
  <c r="P13" i="13"/>
  <c r="N14" i="13"/>
  <c r="BE32" i="13"/>
  <c r="P11" i="13"/>
  <c r="N12" i="13"/>
  <c r="N13" i="13"/>
  <c r="D31" i="13"/>
  <c r="L31" i="13"/>
  <c r="P10" i="13"/>
  <c r="W33" i="15"/>
  <c r="W29" i="15"/>
  <c r="W25" i="15"/>
  <c r="W22" i="15"/>
  <c r="W28" i="15"/>
  <c r="W27" i="15"/>
  <c r="W23" i="15"/>
  <c r="W26" i="15"/>
  <c r="W20" i="15"/>
  <c r="W19" i="15"/>
  <c r="W21" i="15"/>
  <c r="W18" i="15"/>
  <c r="W24" i="15"/>
  <c r="Z7" i="15"/>
  <c r="AA33" i="15" s="1"/>
  <c r="W17" i="15"/>
  <c r="W13" i="15"/>
  <c r="W11" i="15"/>
  <c r="W14" i="15"/>
  <c r="W12" i="15"/>
  <c r="W9" i="15"/>
  <c r="W15" i="15"/>
  <c r="W10" i="15"/>
  <c r="W16" i="15"/>
  <c r="Y33" i="15"/>
  <c r="Y26" i="15"/>
  <c r="Y29" i="15"/>
  <c r="Y23" i="15"/>
  <c r="Y24" i="15"/>
  <c r="Y27" i="15"/>
  <c r="Y22" i="15"/>
  <c r="Y21" i="15"/>
  <c r="Y17" i="15"/>
  <c r="Y28" i="15"/>
  <c r="Y25" i="15"/>
  <c r="Y20" i="15"/>
  <c r="Y18" i="15"/>
  <c r="Y19" i="15"/>
  <c r="Y11" i="15"/>
  <c r="Y16" i="15"/>
  <c r="Y15" i="15"/>
  <c r="Y14" i="15"/>
  <c r="Y13" i="15"/>
  <c r="Y10" i="15"/>
  <c r="Y12" i="15"/>
  <c r="Y9" i="15"/>
  <c r="BE34" i="13"/>
  <c r="BE31" i="13"/>
  <c r="T25" i="13"/>
  <c r="O34" i="15"/>
  <c r="T15" i="13"/>
  <c r="BL34" i="13"/>
  <c r="BL31" i="13"/>
  <c r="BM36" i="13"/>
  <c r="Y31" i="15"/>
  <c r="T20" i="13"/>
  <c r="P9" i="13"/>
  <c r="BL32" i="13"/>
  <c r="N9" i="13"/>
  <c r="BI36" i="13"/>
  <c r="R27" i="13"/>
  <c r="T27" i="13" s="1"/>
  <c r="BE15" i="13" l="1"/>
  <c r="BE36" i="13" s="1"/>
  <c r="T11" i="13"/>
  <c r="T14" i="13"/>
  <c r="T13" i="13"/>
  <c r="AA31" i="15"/>
  <c r="BL36" i="13"/>
  <c r="T10" i="13"/>
  <c r="P31" i="13"/>
  <c r="T9" i="13"/>
  <c r="N31" i="13"/>
  <c r="AA28" i="15"/>
  <c r="AA29" i="15"/>
  <c r="AA22" i="15"/>
  <c r="AA23" i="15"/>
  <c r="AA27" i="15"/>
  <c r="AA26" i="15"/>
  <c r="AA18" i="15"/>
  <c r="AA20" i="15"/>
  <c r="AA21" i="15"/>
  <c r="AA17" i="15"/>
  <c r="AA25" i="15"/>
  <c r="AA24" i="15"/>
  <c r="AA14" i="15"/>
  <c r="AA13" i="15"/>
  <c r="AA11" i="15"/>
  <c r="AA10" i="15"/>
  <c r="AA9" i="15"/>
  <c r="AA16" i="15"/>
  <c r="AA12" i="15"/>
  <c r="AA15" i="15"/>
  <c r="L7" i="13"/>
  <c r="M31" i="13" s="1"/>
  <c r="H7" i="13"/>
  <c r="F7" i="13"/>
  <c r="D7" i="13"/>
  <c r="B7" i="13"/>
  <c r="BE4" i="13"/>
  <c r="AV4" i="13"/>
  <c r="AJ4" i="13"/>
  <c r="AG4" i="13"/>
  <c r="Y4" i="13"/>
  <c r="BM3" i="13"/>
  <c r="BE3" i="13"/>
  <c r="BB3" i="13"/>
  <c r="AV3" i="13"/>
  <c r="AS3" i="13"/>
  <c r="AJ3" i="13"/>
  <c r="AG3" i="13"/>
  <c r="Y3" i="13"/>
  <c r="BM2" i="13"/>
  <c r="BB2" i="13"/>
  <c r="AS2" i="13"/>
  <c r="S2" i="13"/>
  <c r="S1" i="13"/>
  <c r="J1" i="13"/>
  <c r="M161" i="14"/>
  <c r="L156" i="14"/>
  <c r="G150" i="14"/>
  <c r="G149" i="14"/>
  <c r="E59" i="14"/>
  <c r="D59" i="14"/>
  <c r="C59" i="14"/>
  <c r="H58" i="14"/>
  <c r="AX43" i="14" s="1"/>
  <c r="E58" i="14"/>
  <c r="D58" i="14"/>
  <c r="C58" i="14"/>
  <c r="F56" i="14"/>
  <c r="AJ46" i="14" s="1"/>
  <c r="E56" i="14"/>
  <c r="AQ46" i="14" s="1"/>
  <c r="D56" i="14"/>
  <c r="D54" i="14" s="1"/>
  <c r="C56" i="14"/>
  <c r="C55" i="14" s="1"/>
  <c r="AI53" i="14"/>
  <c r="AI54" i="14" s="1"/>
  <c r="AR46" i="14"/>
  <c r="AO46" i="14"/>
  <c r="AK46" i="14"/>
  <c r="E46" i="14"/>
  <c r="E45" i="14"/>
  <c r="AY41" i="14"/>
  <c r="AW41" i="14"/>
  <c r="M14" i="13" l="1"/>
  <c r="M27" i="13"/>
  <c r="M17" i="13"/>
  <c r="M20" i="13"/>
  <c r="M25" i="13"/>
  <c r="M24" i="13"/>
  <c r="M29" i="13"/>
  <c r="M19" i="13"/>
  <c r="M22" i="13"/>
  <c r="M23" i="13"/>
  <c r="M28" i="13"/>
  <c r="M18" i="13"/>
  <c r="M15" i="13"/>
  <c r="M26" i="13"/>
  <c r="M16" i="13"/>
  <c r="M11" i="13"/>
  <c r="M13" i="13"/>
  <c r="M12" i="13"/>
  <c r="M33" i="13"/>
  <c r="D60" i="14"/>
  <c r="E60" i="14"/>
  <c r="C54" i="14"/>
  <c r="AX41" i="14"/>
  <c r="F59" i="14"/>
  <c r="G33" i="13"/>
  <c r="G29" i="13"/>
  <c r="G22" i="13"/>
  <c r="G21" i="13"/>
  <c r="G17" i="13"/>
  <c r="G18" i="13"/>
  <c r="G26" i="13"/>
  <c r="G19" i="13"/>
  <c r="G20" i="13"/>
  <c r="G23" i="13"/>
  <c r="G25" i="13"/>
  <c r="G28" i="13"/>
  <c r="G14" i="13"/>
  <c r="G27" i="13"/>
  <c r="G10" i="13"/>
  <c r="G13" i="13"/>
  <c r="G12" i="13"/>
  <c r="G11" i="13"/>
  <c r="G16" i="13"/>
  <c r="G15" i="13"/>
  <c r="G9" i="13"/>
  <c r="G24" i="13"/>
  <c r="G31" i="13"/>
  <c r="I29" i="13"/>
  <c r="I33" i="13"/>
  <c r="I21" i="13"/>
  <c r="I22" i="13"/>
  <c r="I27" i="13"/>
  <c r="I26" i="13"/>
  <c r="I18" i="13"/>
  <c r="I17" i="13"/>
  <c r="I15" i="13"/>
  <c r="I20" i="13"/>
  <c r="I25" i="13"/>
  <c r="I13" i="13"/>
  <c r="I12" i="13"/>
  <c r="I14" i="13"/>
  <c r="I24" i="13"/>
  <c r="I19" i="13"/>
  <c r="I16" i="13"/>
  <c r="I28" i="13"/>
  <c r="I23" i="13"/>
  <c r="I31" i="13"/>
  <c r="I11" i="13"/>
  <c r="I9" i="13"/>
  <c r="I10" i="13"/>
  <c r="E55" i="14"/>
  <c r="D55" i="14" s="1"/>
  <c r="F55" i="14" s="1"/>
  <c r="AL46" i="14"/>
  <c r="E54" i="14"/>
  <c r="F58" i="14"/>
  <c r="C60" i="14"/>
  <c r="E33" i="13"/>
  <c r="E29" i="13"/>
  <c r="E21" i="13"/>
  <c r="E17" i="13"/>
  <c r="E22" i="13"/>
  <c r="E27" i="13"/>
  <c r="E26" i="13"/>
  <c r="E18" i="13"/>
  <c r="E15" i="13"/>
  <c r="E13" i="13"/>
  <c r="E12" i="13"/>
  <c r="E16" i="13"/>
  <c r="E25" i="13"/>
  <c r="E24" i="13"/>
  <c r="E23" i="13"/>
  <c r="E28" i="13"/>
  <c r="E19" i="13"/>
  <c r="E14" i="13"/>
  <c r="E20" i="13"/>
  <c r="E9" i="13"/>
  <c r="E11" i="13"/>
  <c r="E31" i="13"/>
  <c r="E10" i="13"/>
  <c r="AN46" i="14"/>
  <c r="AN41" i="14" s="1"/>
  <c r="N7" i="13"/>
  <c r="O31" i="13" s="1"/>
  <c r="C29" i="13"/>
  <c r="C33" i="13"/>
  <c r="C22" i="13"/>
  <c r="C17" i="13"/>
  <c r="C21" i="13"/>
  <c r="C18" i="13"/>
  <c r="C26" i="13"/>
  <c r="C14" i="13"/>
  <c r="C13" i="13"/>
  <c r="C12" i="13"/>
  <c r="C11" i="13"/>
  <c r="C27" i="13"/>
  <c r="C23" i="13"/>
  <c r="C25" i="13"/>
  <c r="C28" i="13"/>
  <c r="C16" i="13"/>
  <c r="C10" i="13"/>
  <c r="C9" i="13"/>
  <c r="C20" i="13"/>
  <c r="C15" i="13"/>
  <c r="C24" i="13"/>
  <c r="C19" i="13"/>
  <c r="C31" i="13"/>
  <c r="J7" i="13"/>
  <c r="M9" i="13"/>
  <c r="AS41" i="14"/>
  <c r="AQ41" i="14"/>
  <c r="AR41" i="14" s="1"/>
  <c r="AP41" i="14"/>
  <c r="AM41" i="14"/>
  <c r="AY40" i="14"/>
  <c r="AX40" i="14" s="1"/>
  <c r="AS40" i="14"/>
  <c r="AP40" i="14"/>
  <c r="AM40" i="14"/>
  <c r="AJ40" i="14"/>
  <c r="AU40" i="14" s="1"/>
  <c r="AY39" i="14"/>
  <c r="AW39" i="14"/>
  <c r="AS39" i="14"/>
  <c r="AQ39" i="14"/>
  <c r="AP39" i="14"/>
  <c r="AM39" i="14"/>
  <c r="AJ39" i="14"/>
  <c r="AH39" i="14" s="1"/>
  <c r="BC38" i="14"/>
  <c r="AY37" i="14"/>
  <c r="AX37" i="14" s="1"/>
  <c r="AS37" i="14"/>
  <c r="AQ37" i="14"/>
  <c r="AP37" i="14"/>
  <c r="F60" i="14" l="1"/>
  <c r="AX46" i="14" s="1"/>
  <c r="F54" i="14"/>
  <c r="AN39" i="14"/>
  <c r="AX39" i="14"/>
  <c r="K33" i="13"/>
  <c r="K29" i="13"/>
  <c r="K22" i="13"/>
  <c r="K21" i="13"/>
  <c r="K17" i="13"/>
  <c r="K18" i="13"/>
  <c r="K28" i="13"/>
  <c r="K25" i="13"/>
  <c r="K16" i="13"/>
  <c r="K14" i="13"/>
  <c r="K13" i="13"/>
  <c r="K12" i="13"/>
  <c r="K11" i="13"/>
  <c r="K15" i="13"/>
  <c r="K19" i="13"/>
  <c r="K20" i="13"/>
  <c r="K24" i="13"/>
  <c r="K10" i="13"/>
  <c r="K9" i="13"/>
  <c r="K23" i="13"/>
  <c r="K27" i="13"/>
  <c r="K26" i="13"/>
  <c r="K31" i="13"/>
  <c r="P7" i="13"/>
  <c r="O33" i="13"/>
  <c r="O29" i="13"/>
  <c r="O28" i="13"/>
  <c r="O22" i="13"/>
  <c r="O25" i="13"/>
  <c r="O21" i="13"/>
  <c r="O17" i="13"/>
  <c r="O16" i="13"/>
  <c r="O27" i="13"/>
  <c r="O24" i="13"/>
  <c r="O18" i="13"/>
  <c r="O20" i="13"/>
  <c r="O19" i="13"/>
  <c r="O26" i="13"/>
  <c r="O23" i="13"/>
  <c r="O15" i="13"/>
  <c r="O14" i="13"/>
  <c r="O13" i="13"/>
  <c r="O11" i="13"/>
  <c r="O12" i="13"/>
  <c r="O10" i="13"/>
  <c r="O9" i="13"/>
  <c r="AR37" i="14"/>
  <c r="AR39" i="14"/>
  <c r="H59" i="14"/>
  <c r="AN37" i="14"/>
  <c r="AM37" i="14"/>
  <c r="AJ37" i="14"/>
  <c r="AU37" i="14" s="1"/>
  <c r="B37" i="14"/>
  <c r="B48" i="14" s="1"/>
  <c r="AY36" i="14"/>
  <c r="AX36" i="14" s="1"/>
  <c r="AS36" i="14"/>
  <c r="AQ36" i="14"/>
  <c r="AP36" i="14"/>
  <c r="AN36" i="14"/>
  <c r="AM36" i="14"/>
  <c r="AJ36" i="14"/>
  <c r="AH36" i="14" s="1"/>
  <c r="D36" i="14"/>
  <c r="D47" i="14" s="1"/>
  <c r="B36" i="14"/>
  <c r="B47" i="14" s="1"/>
  <c r="D35" i="14"/>
  <c r="D46" i="14" s="1"/>
  <c r="B35" i="14"/>
  <c r="B46" i="14" s="1"/>
  <c r="AY34" i="14"/>
  <c r="AW34" i="14"/>
  <c r="AT34" i="14"/>
  <c r="AS34" i="14"/>
  <c r="AQ34" i="14"/>
  <c r="AP34" i="14"/>
  <c r="AN34" i="14"/>
  <c r="AM34" i="14"/>
  <c r="AJ34" i="14"/>
  <c r="E69" i="7" s="1"/>
  <c r="AX34" i="14" l="1"/>
  <c r="AK34" i="14"/>
  <c r="AL34" i="14" s="1"/>
  <c r="AK36" i="14"/>
  <c r="AL36" i="14" s="1"/>
  <c r="Q33" i="13"/>
  <c r="Q29" i="13"/>
  <c r="Q21" i="13"/>
  <c r="Q28" i="13"/>
  <c r="Q19" i="13"/>
  <c r="Q18" i="13"/>
  <c r="Q24" i="13"/>
  <c r="Q22" i="13"/>
  <c r="Q23" i="13"/>
  <c r="Q16" i="13"/>
  <c r="Q17" i="13"/>
  <c r="Q26" i="13"/>
  <c r="Q20" i="13"/>
  <c r="Q13" i="13"/>
  <c r="Q14" i="13"/>
  <c r="Q12" i="13"/>
  <c r="Q11" i="13"/>
  <c r="Q25" i="13"/>
  <c r="Q15" i="13"/>
  <c r="Q27" i="13"/>
  <c r="Q10" i="13"/>
  <c r="Q9" i="13"/>
  <c r="Q31" i="13"/>
  <c r="B49" i="14"/>
  <c r="E70" i="7"/>
  <c r="K69" i="7"/>
  <c r="AX44" i="14"/>
  <c r="AR34" i="14"/>
  <c r="AR36" i="14"/>
  <c r="T7" i="13"/>
  <c r="AY33" i="14"/>
  <c r="AW33" i="14"/>
  <c r="AT33" i="14"/>
  <c r="AS33" i="14"/>
  <c r="AQ33" i="14"/>
  <c r="AR33" i="14" s="1"/>
  <c r="AP33" i="14"/>
  <c r="AN33" i="14"/>
  <c r="AM33" i="14"/>
  <c r="AJ33" i="14"/>
  <c r="AK33" i="14" s="1"/>
  <c r="D33" i="14"/>
  <c r="B33" i="14"/>
  <c r="AX33" i="14" l="1"/>
  <c r="K70" i="7"/>
  <c r="AU34" i="14"/>
  <c r="AH33" i="14"/>
  <c r="AU33" i="14"/>
  <c r="AV33" i="14" s="1"/>
  <c r="AL33" i="14"/>
  <c r="AY31" i="14"/>
  <c r="AX31" i="14" s="1"/>
  <c r="AS31" i="14" l="1"/>
  <c r="AQ31" i="14"/>
  <c r="AR31" i="14" s="1"/>
  <c r="AP31" i="14"/>
  <c r="AN31" i="14"/>
  <c r="AM31" i="14"/>
  <c r="AJ31" i="14"/>
  <c r="AY30" i="14"/>
  <c r="AX30" i="14" s="1"/>
  <c r="AS30" i="14"/>
  <c r="AQ30" i="14"/>
  <c r="AQ43" i="14" s="1"/>
  <c r="AP30" i="14"/>
  <c r="AN30" i="14"/>
  <c r="AM30" i="14"/>
  <c r="AJ30" i="14"/>
  <c r="AY28" i="14"/>
  <c r="AW28" i="14"/>
  <c r="AT28" i="14"/>
  <c r="AS28" i="14"/>
  <c r="AP28" i="14"/>
  <c r="AN28" i="14"/>
  <c r="AM28" i="14"/>
  <c r="AJ28" i="14"/>
  <c r="AK28" i="14" s="1"/>
  <c r="E66" i="7" l="1"/>
  <c r="K66" i="7" s="1"/>
  <c r="AX28" i="14"/>
  <c r="AR30" i="14"/>
  <c r="AR43" i="14" s="1"/>
  <c r="AL28" i="14"/>
  <c r="AU28" i="14"/>
  <c r="AK30" i="14"/>
  <c r="AL30" i="14" s="1"/>
  <c r="AH30" i="14"/>
  <c r="E67" i="7" l="1"/>
  <c r="K67" i="7" s="1"/>
  <c r="AY27" i="14"/>
  <c r="AW27" i="14"/>
  <c r="AT27" i="14"/>
  <c r="AS27" i="14"/>
  <c r="AP27" i="14"/>
  <c r="AN27" i="14"/>
  <c r="AM27" i="14"/>
  <c r="AJ27" i="14"/>
  <c r="AU27" i="14" s="1"/>
  <c r="AY25" i="14"/>
  <c r="AX25" i="14" s="1"/>
  <c r="AS25" i="14"/>
  <c r="AP25" i="14"/>
  <c r="AN25" i="14"/>
  <c r="AM25" i="14"/>
  <c r="AJ25" i="14"/>
  <c r="AU25" i="14" s="1"/>
  <c r="BC24" i="14"/>
  <c r="BB24" i="14"/>
  <c r="AY24" i="14"/>
  <c r="AX24" i="14" s="1"/>
  <c r="AS24" i="14"/>
  <c r="AP24" i="14"/>
  <c r="AN24" i="14"/>
  <c r="AM24" i="14"/>
  <c r="AJ24" i="14"/>
  <c r="AH24" i="14" s="1"/>
  <c r="BB23" i="14"/>
  <c r="BB22" i="14"/>
  <c r="BB30" i="14" s="1"/>
  <c r="AY22" i="14"/>
  <c r="AX22" i="14" s="1"/>
  <c r="AS22" i="14"/>
  <c r="AP22" i="14"/>
  <c r="AM22" i="14"/>
  <c r="AJ22" i="14"/>
  <c r="AK22" i="14" s="1"/>
  <c r="AY21" i="14"/>
  <c r="AX21" i="14" s="1"/>
  <c r="AS21" i="14"/>
  <c r="AP21" i="14"/>
  <c r="AM21" i="14"/>
  <c r="AJ21" i="14"/>
  <c r="AY19" i="14"/>
  <c r="AX19" i="14" s="1"/>
  <c r="AS19" i="14"/>
  <c r="AP19" i="14"/>
  <c r="AM19" i="14"/>
  <c r="AJ19" i="14"/>
  <c r="AU19" i="14" s="1"/>
  <c r="AU31" i="14" l="1"/>
  <c r="E58" i="7"/>
  <c r="AU21" i="14" s="1"/>
  <c r="AV21" i="14" s="1"/>
  <c r="AH21" i="14"/>
  <c r="AK24" i="14"/>
  <c r="AL24" i="14" s="1"/>
  <c r="AK27" i="14"/>
  <c r="AL27" i="14" s="1"/>
  <c r="AX27" i="14"/>
  <c r="AN43" i="14"/>
  <c r="AV27" i="14"/>
  <c r="AH19" i="14"/>
  <c r="AV19" i="14"/>
  <c r="AL22" i="14"/>
  <c r="E19" i="14"/>
  <c r="D19" i="14"/>
  <c r="AY17" i="14"/>
  <c r="AX17" i="14" s="1"/>
  <c r="AS17" i="14"/>
  <c r="AP17" i="14"/>
  <c r="AM17" i="14"/>
  <c r="AJ17" i="14"/>
  <c r="AK17" i="14" s="1"/>
  <c r="AY15" i="14"/>
  <c r="AW15" i="14"/>
  <c r="AT15" i="14"/>
  <c r="AS15" i="14"/>
  <c r="AP15" i="14"/>
  <c r="AM15" i="14"/>
  <c r="AJ15" i="14"/>
  <c r="AU15" i="14" s="1"/>
  <c r="K58" i="7" l="1"/>
  <c r="E59" i="7"/>
  <c r="K59" i="7" s="1"/>
  <c r="AX15" i="14"/>
  <c r="AL17" i="14"/>
  <c r="AY14" i="14"/>
  <c r="AW14" i="14"/>
  <c r="AT14" i="14"/>
  <c r="AS14" i="14"/>
  <c r="AP14" i="14"/>
  <c r="AM14" i="14"/>
  <c r="AJ14" i="14"/>
  <c r="AC14" i="14"/>
  <c r="Q11" i="14" s="1"/>
  <c r="AB14" i="14"/>
  <c r="P11" i="14" s="1"/>
  <c r="AA14" i="14"/>
  <c r="Z14" i="14"/>
  <c r="Y14" i="14"/>
  <c r="BF13" i="14"/>
  <c r="BE13" i="14"/>
  <c r="BC13" i="14"/>
  <c r="AC13" i="14"/>
  <c r="AB13" i="14"/>
  <c r="AB12" i="14" s="1"/>
  <c r="AA13" i="14"/>
  <c r="Z13" i="14" s="1"/>
  <c r="Y13" i="14"/>
  <c r="AY12" i="14"/>
  <c r="AY44" i="14" s="1"/>
  <c r="AW12" i="14"/>
  <c r="AW44" i="14" s="1"/>
  <c r="AT12" i="14"/>
  <c r="AT44" i="14" s="1"/>
  <c r="AS12" i="14"/>
  <c r="AS44" i="14" s="1"/>
  <c r="AP12" i="14"/>
  <c r="AP44" i="14" s="1"/>
  <c r="AM12" i="14"/>
  <c r="AM44" i="14" s="1"/>
  <c r="AJ12" i="14"/>
  <c r="AJ44" i="14" s="1"/>
  <c r="AY11" i="14"/>
  <c r="AW11" i="14"/>
  <c r="AT11" i="14"/>
  <c r="AS11" i="14"/>
  <c r="AP11" i="14"/>
  <c r="AM11" i="14"/>
  <c r="AJ11" i="14"/>
  <c r="AU11" i="14" s="1"/>
  <c r="AF11" i="14"/>
  <c r="R11" i="14"/>
  <c r="M11" i="14"/>
  <c r="R10" i="14"/>
  <c r="M10" i="14"/>
  <c r="E8" i="14"/>
  <c r="C8" i="14"/>
  <c r="BB4" i="14"/>
  <c r="AJ4" i="14"/>
  <c r="Y4" i="14"/>
  <c r="M4" i="14"/>
  <c r="J4" i="14"/>
  <c r="B4" i="14"/>
  <c r="BJ3" i="14"/>
  <c r="AX3" i="14"/>
  <c r="AJ3" i="14"/>
  <c r="AE3" i="14"/>
  <c r="Y3" i="14"/>
  <c r="V3" i="14"/>
  <c r="M3" i="14"/>
  <c r="J3" i="14"/>
  <c r="B3" i="14"/>
  <c r="BJ2" i="14"/>
  <c r="AX2" i="14"/>
  <c r="AE2" i="14"/>
  <c r="V2" i="14"/>
  <c r="N161" i="12"/>
  <c r="M156" i="12"/>
  <c r="G150" i="12"/>
  <c r="G149" i="12"/>
  <c r="BA61" i="12"/>
  <c r="BA59" i="12"/>
  <c r="T59" i="12"/>
  <c r="O59" i="12"/>
  <c r="N59" i="12"/>
  <c r="BA58" i="12"/>
  <c r="T58" i="12"/>
  <c r="O58" i="12"/>
  <c r="N58" i="12"/>
  <c r="BA57" i="12"/>
  <c r="T57" i="12"/>
  <c r="O57" i="12"/>
  <c r="N57" i="12"/>
  <c r="BB56" i="12"/>
  <c r="BA56" i="12"/>
  <c r="T56" i="12"/>
  <c r="O56" i="12"/>
  <c r="N56" i="12"/>
  <c r="BA55" i="12"/>
  <c r="T55" i="12"/>
  <c r="O55" i="12"/>
  <c r="N55" i="12"/>
  <c r="BA54" i="12"/>
  <c r="T54" i="12"/>
  <c r="O54" i="12"/>
  <c r="N54" i="12"/>
  <c r="BA53" i="12"/>
  <c r="O53" i="12"/>
  <c r="N53" i="12"/>
  <c r="BA52" i="12"/>
  <c r="T52" i="12"/>
  <c r="O52" i="12"/>
  <c r="N52" i="12"/>
  <c r="D52" i="12"/>
  <c r="BA51" i="12"/>
  <c r="T51" i="12"/>
  <c r="O51" i="12"/>
  <c r="N51" i="12"/>
  <c r="BA50" i="12"/>
  <c r="BA49" i="12"/>
  <c r="O49" i="12"/>
  <c r="N49" i="12"/>
  <c r="BA48" i="12"/>
  <c r="T48" i="12"/>
  <c r="O48" i="12"/>
  <c r="N48" i="12"/>
  <c r="M48" i="12"/>
  <c r="F48" i="12"/>
  <c r="E48" i="12"/>
  <c r="BA47" i="12"/>
  <c r="T47" i="12"/>
  <c r="O47" i="12"/>
  <c r="N47" i="12"/>
  <c r="M47" i="12"/>
  <c r="BA46" i="12"/>
  <c r="T46" i="12"/>
  <c r="S46" i="12"/>
  <c r="R46" i="12"/>
  <c r="Q46" i="12"/>
  <c r="P46" i="12"/>
  <c r="O46" i="12"/>
  <c r="N46" i="12"/>
  <c r="M46" i="12"/>
  <c r="F46" i="12"/>
  <c r="E46" i="12"/>
  <c r="C46" i="12"/>
  <c r="B46" i="12"/>
  <c r="BA45" i="12"/>
  <c r="T45" i="12"/>
  <c r="O45" i="12"/>
  <c r="N45" i="12"/>
  <c r="M45" i="12"/>
  <c r="F45" i="12"/>
  <c r="C45" i="12"/>
  <c r="BB44" i="12"/>
  <c r="BA44" i="12"/>
  <c r="T44" i="12"/>
  <c r="S44" i="12"/>
  <c r="R44" i="12"/>
  <c r="Q44" i="12"/>
  <c r="P44" i="12"/>
  <c r="O44" i="12"/>
  <c r="N44" i="12"/>
  <c r="M44" i="12"/>
  <c r="I44" i="12"/>
  <c r="H44" i="12"/>
  <c r="F44" i="12"/>
  <c r="E44" i="12"/>
  <c r="C44" i="12"/>
  <c r="B44" i="12"/>
  <c r="BB43" i="12"/>
  <c r="BA43" i="12"/>
  <c r="O43" i="12"/>
  <c r="N43" i="12"/>
  <c r="H43" i="12"/>
  <c r="F43" i="12"/>
  <c r="C43" i="12"/>
  <c r="BA42" i="12"/>
  <c r="T42" i="12"/>
  <c r="S42" i="12"/>
  <c r="R42" i="12"/>
  <c r="Q42" i="12"/>
  <c r="P42" i="12"/>
  <c r="O42" i="12"/>
  <c r="N42" i="12"/>
  <c r="H42" i="12"/>
  <c r="F42" i="12"/>
  <c r="C42" i="12"/>
  <c r="BA41" i="12"/>
  <c r="T41" i="12"/>
  <c r="S41" i="12"/>
  <c r="R41" i="12"/>
  <c r="Q41" i="12"/>
  <c r="P41" i="12"/>
  <c r="O41" i="12"/>
  <c r="N41" i="12"/>
  <c r="F41" i="12"/>
  <c r="C41" i="12"/>
  <c r="BA40" i="12"/>
  <c r="AU40" i="12"/>
  <c r="AN40" i="12"/>
  <c r="AM40" i="12"/>
  <c r="BA39" i="12"/>
  <c r="AN39" i="12"/>
  <c r="AM39" i="12"/>
  <c r="N39" i="12"/>
  <c r="I39" i="12"/>
  <c r="H39" i="12"/>
  <c r="T34" i="12" s="1"/>
  <c r="BB38" i="12"/>
  <c r="BA38" i="12"/>
  <c r="H38" i="12"/>
  <c r="F38" i="12"/>
  <c r="C38" i="12"/>
  <c r="BA37" i="12"/>
  <c r="H37" i="12"/>
  <c r="T36" i="12"/>
  <c r="O36" i="12"/>
  <c r="N36" i="12"/>
  <c r="H36" i="12"/>
  <c r="BO35" i="12"/>
  <c r="BN35" i="12"/>
  <c r="BM35" i="12"/>
  <c r="T35" i="12"/>
  <c r="H35" i="12"/>
  <c r="O34" i="12"/>
  <c r="N34" i="12"/>
  <c r="H34" i="12"/>
  <c r="AN41" i="12" l="1"/>
  <c r="AO40" i="12" s="1"/>
  <c r="AM36" i="12" s="1"/>
  <c r="AC8" i="14"/>
  <c r="Q12" i="14" s="1"/>
  <c r="Q10" i="14"/>
  <c r="C39" i="12"/>
  <c r="Y12" i="14"/>
  <c r="F40" i="12"/>
  <c r="Z8" i="14"/>
  <c r="C40" i="12"/>
  <c r="Y8" i="14"/>
  <c r="AS43" i="14"/>
  <c r="AS46" i="14" s="1"/>
  <c r="AT43" i="14"/>
  <c r="AT46" i="14" s="1"/>
  <c r="AU22" i="14"/>
  <c r="AB8" i="14"/>
  <c r="AP43" i="14"/>
  <c r="AP46" i="14" s="1"/>
  <c r="AU12" i="14"/>
  <c r="P10" i="14"/>
  <c r="AM41" i="12"/>
  <c r="M12" i="14"/>
  <c r="AK12" i="14"/>
  <c r="AL12" i="14" s="1"/>
  <c r="AM43" i="14"/>
  <c r="AM46" i="14" s="1"/>
  <c r="AW43" i="14"/>
  <c r="AW46" i="14" s="1"/>
  <c r="AX14" i="14"/>
  <c r="AY52" i="14"/>
  <c r="AZ55" i="14" s="1"/>
  <c r="AI55" i="14" s="1"/>
  <c r="AZ44" i="14"/>
  <c r="AY43" i="14"/>
  <c r="AY46" i="14" s="1"/>
  <c r="C7" i="14" s="1"/>
  <c r="F39" i="12"/>
  <c r="AA8" i="14"/>
  <c r="O10" i="14"/>
  <c r="N10" i="14" s="1"/>
  <c r="O11" i="14"/>
  <c r="N11" i="14" s="1"/>
  <c r="AA12" i="14"/>
  <c r="Z12" i="14" s="1"/>
  <c r="AU14" i="14"/>
  <c r="AX11" i="14"/>
  <c r="AX12" i="14"/>
  <c r="T33" i="12"/>
  <c r="O32" i="12"/>
  <c r="N32" i="12"/>
  <c r="T31" i="12"/>
  <c r="O31" i="12"/>
  <c r="N31" i="12"/>
  <c r="AM30" i="12"/>
  <c r="T30" i="12"/>
  <c r="AM29" i="12"/>
  <c r="AK29" i="12"/>
  <c r="AI29" i="12"/>
  <c r="T29" i="12"/>
  <c r="O29" i="12"/>
  <c r="N29" i="12"/>
  <c r="G29" i="12"/>
  <c r="F29" i="12"/>
  <c r="E29" i="12"/>
  <c r="C29" i="12"/>
  <c r="T28" i="12"/>
  <c r="O28" i="12"/>
  <c r="N28" i="12"/>
  <c r="BA27" i="12"/>
  <c r="T27" i="12"/>
  <c r="O27" i="12"/>
  <c r="N27" i="12"/>
  <c r="BB26" i="12"/>
  <c r="BA26" i="12"/>
  <c r="BA25" i="12"/>
  <c r="AM25" i="12"/>
  <c r="AK25" i="12"/>
  <c r="AI25" i="12"/>
  <c r="AG25" i="12"/>
  <c r="AQ25" i="12" s="1"/>
  <c r="O25" i="12"/>
  <c r="N25" i="12"/>
  <c r="M25" i="12"/>
  <c r="BP24" i="12"/>
  <c r="BO24" i="12"/>
  <c r="BN24" i="12"/>
  <c r="BA24" i="12"/>
  <c r="AM24" i="12"/>
  <c r="AK24" i="12"/>
  <c r="AI24" i="12"/>
  <c r="AG24" i="12"/>
  <c r="AQ24" i="12" s="1"/>
  <c r="N24" i="12"/>
  <c r="M24" i="12"/>
  <c r="BP23" i="12"/>
  <c r="BO23" i="12"/>
  <c r="BN23" i="12"/>
  <c r="BA23" i="12"/>
  <c r="AM23" i="12"/>
  <c r="AY19" i="12" s="1"/>
  <c r="AK23" i="12"/>
  <c r="AI23" i="12"/>
  <c r="AG23" i="12"/>
  <c r="O23" i="12"/>
  <c r="N23" i="12"/>
  <c r="M23" i="12"/>
  <c r="BA22" i="12"/>
  <c r="AM22" i="12"/>
  <c r="AK22" i="12"/>
  <c r="AI22" i="12"/>
  <c r="S22" i="12"/>
  <c r="R22" i="12"/>
  <c r="Q22" i="12"/>
  <c r="P22" i="12"/>
  <c r="O22" i="12"/>
  <c r="N22" i="12"/>
  <c r="M22" i="12"/>
  <c r="F22" i="12"/>
  <c r="F17" i="12" s="1"/>
  <c r="E22" i="12"/>
  <c r="C22" i="12"/>
  <c r="C17" i="12" s="1"/>
  <c r="B22" i="12"/>
  <c r="BA21" i="12"/>
  <c r="AM21" i="12"/>
  <c r="AK21" i="12"/>
  <c r="AI21" i="12"/>
  <c r="AG21" i="12"/>
  <c r="AQ21" i="12" s="1"/>
  <c r="O21" i="12"/>
  <c r="N21" i="12"/>
  <c r="M21" i="12"/>
  <c r="I21" i="12"/>
  <c r="H21" i="12"/>
  <c r="T25" i="12" s="1"/>
  <c r="A21" i="12"/>
  <c r="BA20" i="12"/>
  <c r="AM20" i="12"/>
  <c r="AK20" i="12"/>
  <c r="AI20" i="12"/>
  <c r="S20" i="12"/>
  <c r="R20" i="12"/>
  <c r="Q20" i="12"/>
  <c r="P20" i="12"/>
  <c r="O20" i="12"/>
  <c r="N20" i="12"/>
  <c r="M20" i="12"/>
  <c r="I20" i="12"/>
  <c r="H20" i="12"/>
  <c r="T24" i="12" s="1"/>
  <c r="A20" i="12"/>
  <c r="BP19" i="12" s="1"/>
  <c r="BO19" i="12"/>
  <c r="BN19" i="12"/>
  <c r="BA19" i="12"/>
  <c r="AM19" i="12"/>
  <c r="AK19" i="12"/>
  <c r="AI19" i="12"/>
  <c r="O19" i="12"/>
  <c r="N19" i="12"/>
  <c r="I19" i="12"/>
  <c r="H19" i="12"/>
  <c r="T23" i="12" s="1"/>
  <c r="A19" i="12"/>
  <c r="BP18" i="12"/>
  <c r="BO18" i="12"/>
  <c r="BN18" i="12"/>
  <c r="BA18" i="12"/>
  <c r="AM18" i="12"/>
  <c r="AK18" i="12"/>
  <c r="AI18" i="12"/>
  <c r="S18" i="12"/>
  <c r="R18" i="12"/>
  <c r="Q18" i="12"/>
  <c r="P18" i="12"/>
  <c r="O18" i="12"/>
  <c r="N18" i="12"/>
  <c r="I18" i="12"/>
  <c r="H18" i="12"/>
  <c r="T22" i="12" s="1"/>
  <c r="A18" i="12"/>
  <c r="BA17" i="12"/>
  <c r="AM17" i="12"/>
  <c r="AK17" i="12"/>
  <c r="AI17" i="12"/>
  <c r="S17" i="12"/>
  <c r="R17" i="12"/>
  <c r="Q17" i="12"/>
  <c r="P17" i="12"/>
  <c r="O17" i="12"/>
  <c r="N17" i="12"/>
  <c r="I17" i="12"/>
  <c r="H17" i="12"/>
  <c r="T21" i="12" s="1"/>
  <c r="A17" i="12"/>
  <c r="BA16" i="12"/>
  <c r="AM16" i="12"/>
  <c r="AK16" i="12"/>
  <c r="AI16" i="12"/>
  <c r="I16" i="12"/>
  <c r="H16" i="12"/>
  <c r="T20" i="12" s="1"/>
  <c r="A16" i="12"/>
  <c r="BA15" i="12"/>
  <c r="AM15" i="12"/>
  <c r="AK15" i="12"/>
  <c r="AI15" i="12"/>
  <c r="N15" i="12"/>
  <c r="H15" i="12"/>
  <c r="T19" i="12" s="1"/>
  <c r="BP14" i="12"/>
  <c r="BO34" i="12" s="1"/>
  <c r="BO14" i="12"/>
  <c r="BN14" i="12"/>
  <c r="BA14" i="12"/>
  <c r="AM14" i="12"/>
  <c r="AK14" i="12"/>
  <c r="AI14" i="12"/>
  <c r="I14" i="12"/>
  <c r="H14" i="12"/>
  <c r="T18" i="12" s="1"/>
  <c r="BO13" i="12"/>
  <c r="BN13" i="12"/>
  <c r="BO33" i="12" s="1"/>
  <c r="BA13" i="12"/>
  <c r="AM13" i="12"/>
  <c r="AK13" i="12"/>
  <c r="AI13" i="12"/>
  <c r="I13" i="12"/>
  <c r="H13" i="12"/>
  <c r="T17" i="12" s="1"/>
  <c r="BA12" i="12"/>
  <c r="AM12" i="12"/>
  <c r="AK12" i="12"/>
  <c r="AI12" i="12"/>
  <c r="I12" i="12"/>
  <c r="H12" i="12"/>
  <c r="BA11" i="12"/>
  <c r="AM11" i="12"/>
  <c r="AK11" i="12"/>
  <c r="AI11" i="12"/>
  <c r="BC10" i="12"/>
  <c r="BA10" i="12"/>
  <c r="AM10" i="12"/>
  <c r="AK10" i="12"/>
  <c r="AI10" i="12"/>
  <c r="BA9" i="12"/>
  <c r="AM9" i="12"/>
  <c r="AK9" i="12"/>
  <c r="AI9" i="12"/>
  <c r="AG9" i="12"/>
  <c r="BB8" i="12"/>
  <c r="BA8" i="12"/>
  <c r="AM8" i="12"/>
  <c r="AK8" i="12"/>
  <c r="AI8" i="12"/>
  <c r="AG8" i="12"/>
  <c r="BA7" i="12"/>
  <c r="G7" i="12"/>
  <c r="BB6" i="12"/>
  <c r="BA6" i="12"/>
  <c r="V5" i="12"/>
  <c r="BV4" i="12"/>
  <c r="V4" i="12"/>
  <c r="N4" i="12"/>
  <c r="B4" i="12"/>
  <c r="BV3" i="12"/>
  <c r="BA3" i="12"/>
  <c r="AD3" i="12"/>
  <c r="U3" i="12"/>
  <c r="N3" i="12"/>
  <c r="I3" i="12"/>
  <c r="B3" i="12"/>
  <c r="BA2" i="12"/>
  <c r="AU2" i="12"/>
  <c r="AD2" i="12"/>
  <c r="U2" i="12"/>
  <c r="I2" i="12"/>
  <c r="AU1" i="12"/>
  <c r="M165" i="11"/>
  <c r="L160" i="11"/>
  <c r="G154" i="11"/>
  <c r="G153" i="11"/>
  <c r="G45" i="11"/>
  <c r="F45" i="11"/>
  <c r="E45" i="11"/>
  <c r="D45" i="11"/>
  <c r="C45" i="11"/>
  <c r="B45" i="11"/>
  <c r="C44" i="11"/>
  <c r="B44" i="11"/>
  <c r="R40" i="11"/>
  <c r="P40" i="11"/>
  <c r="N40" i="11"/>
  <c r="R39" i="11"/>
  <c r="J35" i="11" s="1"/>
  <c r="P39" i="11"/>
  <c r="N39" i="11"/>
  <c r="R38" i="11"/>
  <c r="J33" i="11" s="1"/>
  <c r="P38" i="11"/>
  <c r="N38" i="11"/>
  <c r="M38" i="11"/>
  <c r="R37" i="11"/>
  <c r="J32" i="11" s="1"/>
  <c r="P37" i="11"/>
  <c r="N37" i="11"/>
  <c r="M37" i="11"/>
  <c r="G36" i="11"/>
  <c r="G35" i="11"/>
  <c r="H34" i="11"/>
  <c r="D34" i="11"/>
  <c r="R33" i="11"/>
  <c r="P33" i="11"/>
  <c r="N33" i="11"/>
  <c r="G33" i="11"/>
  <c r="H33" i="11" s="1"/>
  <c r="R32" i="11"/>
  <c r="P32" i="11"/>
  <c r="N32" i="11"/>
  <c r="M32" i="11"/>
  <c r="G32" i="11"/>
  <c r="G49" i="11" s="1"/>
  <c r="F32" i="11"/>
  <c r="E32" i="11"/>
  <c r="D32" i="11"/>
  <c r="C32" i="11"/>
  <c r="B32" i="11"/>
  <c r="R31" i="11"/>
  <c r="P31" i="11"/>
  <c r="N31" i="11"/>
  <c r="M31" i="11"/>
  <c r="R30" i="11"/>
  <c r="P30" i="11"/>
  <c r="N30" i="11"/>
  <c r="M30" i="11"/>
  <c r="G27" i="11"/>
  <c r="F27" i="11"/>
  <c r="N26" i="11"/>
  <c r="AI24" i="11"/>
  <c r="AH24" i="11"/>
  <c r="AG24" i="11"/>
  <c r="AF24" i="11"/>
  <c r="AE24" i="11"/>
  <c r="AD24" i="11"/>
  <c r="AC24" i="11"/>
  <c r="R24" i="11"/>
  <c r="I39" i="11" s="1"/>
  <c r="P24" i="11"/>
  <c r="N24" i="11"/>
  <c r="R23" i="11"/>
  <c r="I38" i="11" s="1"/>
  <c r="P23" i="11"/>
  <c r="N23" i="11"/>
  <c r="AY18" i="12" l="1"/>
  <c r="AO39" i="12"/>
  <c r="AO41" i="12" s="1"/>
  <c r="C48" i="12"/>
  <c r="F13" i="12"/>
  <c r="C15" i="12"/>
  <c r="C14" i="12"/>
  <c r="C18" i="12"/>
  <c r="F16" i="12"/>
  <c r="F18" i="12"/>
  <c r="F20" i="12"/>
  <c r="F21" i="12"/>
  <c r="AO22" i="12"/>
  <c r="P12" i="14"/>
  <c r="O12" i="14" s="1"/>
  <c r="N12" i="14" s="1"/>
  <c r="H45" i="11"/>
  <c r="F14" i="12"/>
  <c r="F15" i="12"/>
  <c r="F19" i="12"/>
  <c r="G22" i="12"/>
  <c r="C14" i="11"/>
  <c r="C18" i="11" s="1"/>
  <c r="C23" i="11" s="1"/>
  <c r="AU44" i="14"/>
  <c r="E18" i="12"/>
  <c r="H27" i="11"/>
  <c r="AO23" i="12"/>
  <c r="H35" i="11"/>
  <c r="I45" i="11"/>
  <c r="AI27" i="12"/>
  <c r="AY17" i="12"/>
  <c r="E17" i="12"/>
  <c r="H32" i="11"/>
  <c r="AM27" i="12"/>
  <c r="AM6" i="12" s="1"/>
  <c r="AN10" i="12" s="1"/>
  <c r="E14" i="12"/>
  <c r="D22" i="12"/>
  <c r="G50" i="11"/>
  <c r="H50" i="11" s="1"/>
  <c r="AO8" i="12"/>
  <c r="B13" i="12"/>
  <c r="AO16" i="12"/>
  <c r="AO17" i="12"/>
  <c r="E19" i="12"/>
  <c r="B16" i="12"/>
  <c r="E20" i="12"/>
  <c r="B21" i="12"/>
  <c r="B29" i="12"/>
  <c r="AK30" i="12"/>
  <c r="B40" i="12"/>
  <c r="E40" i="12"/>
  <c r="AO9" i="12"/>
  <c r="H29" i="12"/>
  <c r="AQ8" i="12"/>
  <c r="E13" i="12"/>
  <c r="B14" i="12"/>
  <c r="AO14" i="12"/>
  <c r="B15" i="12"/>
  <c r="AO15" i="12"/>
  <c r="E16" i="12"/>
  <c r="B17" i="12"/>
  <c r="B18" i="12"/>
  <c r="C19" i="12"/>
  <c r="AX19" i="12"/>
  <c r="E21" i="12"/>
  <c r="AO21" i="12"/>
  <c r="AQ23" i="12"/>
  <c r="AO24" i="12"/>
  <c r="AO25" i="12"/>
  <c r="AO29" i="12"/>
  <c r="AO13" i="12"/>
  <c r="AK27" i="12"/>
  <c r="AK6" i="12" s="1"/>
  <c r="AL16" i="12" s="1"/>
  <c r="H36" i="11"/>
  <c r="AQ9" i="12"/>
  <c r="AO10" i="12"/>
  <c r="AO11" i="12"/>
  <c r="AO12" i="12"/>
  <c r="BN34" i="12"/>
  <c r="BM34" i="12" s="1"/>
  <c r="E15" i="12"/>
  <c r="C16" i="12"/>
  <c r="B19" i="12"/>
  <c r="AO19" i="12"/>
  <c r="AO20" i="12"/>
  <c r="C21" i="12"/>
  <c r="E39" i="12"/>
  <c r="BL37" i="12"/>
  <c r="E35" i="12"/>
  <c r="G48" i="12" s="1"/>
  <c r="B35" i="12"/>
  <c r="D48" i="12" s="1"/>
  <c r="B36" i="12"/>
  <c r="E36" i="12"/>
  <c r="E37" i="12"/>
  <c r="B37" i="12"/>
  <c r="B39" i="12"/>
  <c r="G40" i="11"/>
  <c r="AO18" i="12"/>
  <c r="B20" i="12"/>
  <c r="C13" i="12"/>
  <c r="AX18" i="12"/>
  <c r="C20" i="12"/>
  <c r="R22" i="11"/>
  <c r="I37" i="11" s="1"/>
  <c r="P22" i="11"/>
  <c r="F39" i="11" s="1"/>
  <c r="H39" i="11" s="1"/>
  <c r="N22" i="11"/>
  <c r="R21" i="11"/>
  <c r="I34" i="11" s="1"/>
  <c r="P21" i="11"/>
  <c r="N21" i="11"/>
  <c r="J21" i="11"/>
  <c r="G21" i="11"/>
  <c r="H21" i="11" s="1"/>
  <c r="E21" i="11"/>
  <c r="C21" i="11"/>
  <c r="R20" i="11"/>
  <c r="I32" i="11" s="1"/>
  <c r="P20" i="11"/>
  <c r="N20" i="11"/>
  <c r="M20" i="11"/>
  <c r="AY20" i="12" l="1"/>
  <c r="D13" i="12"/>
  <c r="G14" i="12"/>
  <c r="D15" i="12"/>
  <c r="G13" i="12"/>
  <c r="G15" i="12"/>
  <c r="AL22" i="12"/>
  <c r="AL8" i="12"/>
  <c r="AL23" i="12"/>
  <c r="AL18" i="12"/>
  <c r="AL12" i="12"/>
  <c r="AN25" i="12"/>
  <c r="AN18" i="12"/>
  <c r="F38" i="11"/>
  <c r="H38" i="11" s="1"/>
  <c r="AL27" i="12"/>
  <c r="AL9" i="12"/>
  <c r="B39" i="11"/>
  <c r="AN14" i="12"/>
  <c r="AL10" i="12"/>
  <c r="AN24" i="12"/>
  <c r="AN17" i="12"/>
  <c r="AN13" i="12"/>
  <c r="AO27" i="12"/>
  <c r="AN8" i="12"/>
  <c r="AN16" i="12"/>
  <c r="AN23" i="12"/>
  <c r="AN22" i="12"/>
  <c r="AN21" i="12"/>
  <c r="AI6" i="12"/>
  <c r="AL24" i="12"/>
  <c r="AL21" i="12"/>
  <c r="AL15" i="12"/>
  <c r="AL20" i="12"/>
  <c r="AL19" i="12"/>
  <c r="AL29" i="12"/>
  <c r="AL25" i="12"/>
  <c r="AL14" i="12"/>
  <c r="B48" i="12"/>
  <c r="AN29" i="12"/>
  <c r="AN15" i="12"/>
  <c r="AN9" i="12"/>
  <c r="AN11" i="12"/>
  <c r="B37" i="11"/>
  <c r="F37" i="11"/>
  <c r="H37" i="11" s="1"/>
  <c r="BP13" i="12"/>
  <c r="D14" i="12"/>
  <c r="AT21" i="12"/>
  <c r="B38" i="11"/>
  <c r="AL17" i="12"/>
  <c r="AL13" i="12"/>
  <c r="AN12" i="12"/>
  <c r="AN27" i="12"/>
  <c r="AN20" i="12"/>
  <c r="AL11" i="12"/>
  <c r="AN19" i="12"/>
  <c r="R17" i="11"/>
  <c r="I20" i="11" s="1"/>
  <c r="P17" i="11"/>
  <c r="N17" i="11"/>
  <c r="M17" i="11"/>
  <c r="J17" i="11"/>
  <c r="AN16" i="11"/>
  <c r="R16" i="11"/>
  <c r="I17" i="11" s="1"/>
  <c r="P16" i="11"/>
  <c r="N16" i="11"/>
  <c r="M16" i="11"/>
  <c r="J16" i="11" s="1"/>
  <c r="G16" i="11"/>
  <c r="E16" i="11"/>
  <c r="C16" i="11"/>
  <c r="AQ15" i="11"/>
  <c r="AO15" i="11"/>
  <c r="AK15" i="11"/>
  <c r="AI15" i="11"/>
  <c r="AH15" i="11"/>
  <c r="AG15" i="11"/>
  <c r="AF15" i="11"/>
  <c r="AE15" i="11"/>
  <c r="AD15" i="11"/>
  <c r="AC15" i="11"/>
  <c r="AB15" i="11"/>
  <c r="AA15" i="11"/>
  <c r="Z15" i="11"/>
  <c r="Y15" i="11"/>
  <c r="X15" i="11"/>
  <c r="R15" i="11"/>
  <c r="I16" i="11" s="1"/>
  <c r="P15" i="11"/>
  <c r="N15" i="11"/>
  <c r="M15" i="11"/>
  <c r="AN15" i="11" l="1"/>
  <c r="AP15" i="11" s="1"/>
  <c r="H40" i="11"/>
  <c r="I27" i="11" s="1"/>
  <c r="J36" i="11"/>
  <c r="B40" i="11"/>
  <c r="AJ8" i="12"/>
  <c r="AJ23" i="12"/>
  <c r="AJ22" i="12"/>
  <c r="AJ30" i="12"/>
  <c r="AO6" i="12"/>
  <c r="AJ11" i="12"/>
  <c r="AJ12" i="12"/>
  <c r="AJ18" i="12"/>
  <c r="AJ27" i="12"/>
  <c r="AJ15" i="12"/>
  <c r="AJ29" i="12"/>
  <c r="AJ21" i="12"/>
  <c r="AJ10" i="12"/>
  <c r="AJ20" i="12"/>
  <c r="AJ17" i="12"/>
  <c r="AJ19" i="12"/>
  <c r="AJ13" i="12"/>
  <c r="AJ14" i="12"/>
  <c r="AJ25" i="12"/>
  <c r="AJ24" i="12"/>
  <c r="AJ9" i="12"/>
  <c r="AJ16" i="12"/>
  <c r="F40" i="11"/>
  <c r="F49" i="11" s="1"/>
  <c r="H49" i="11" s="1"/>
  <c r="H51" i="11" s="1"/>
  <c r="BN37" i="12"/>
  <c r="BM37" i="12" s="1"/>
  <c r="BQ33" i="12"/>
  <c r="BP33" i="12" s="1"/>
  <c r="AZ12" i="14"/>
  <c r="J15" i="11"/>
  <c r="G15" i="11"/>
  <c r="E15" i="11"/>
  <c r="C15" i="11"/>
  <c r="AQ14" i="11"/>
  <c r="AO14" i="11"/>
  <c r="AK14" i="11"/>
  <c r="AI14" i="11"/>
  <c r="AH14" i="11"/>
  <c r="AG14" i="11"/>
  <c r="AF14" i="11"/>
  <c r="AE14" i="11"/>
  <c r="AD14" i="11"/>
  <c r="AC14" i="11"/>
  <c r="AB14" i="11"/>
  <c r="AA14" i="11"/>
  <c r="Z14" i="11"/>
  <c r="Y14" i="11"/>
  <c r="X14" i="11"/>
  <c r="R14" i="11"/>
  <c r="I15" i="11" s="1"/>
  <c r="P14" i="11"/>
  <c r="N14" i="11"/>
  <c r="M14" i="11"/>
  <c r="J14" i="11"/>
  <c r="G14" i="11"/>
  <c r="E14" i="11"/>
  <c r="AN13" i="11"/>
  <c r="R13" i="11"/>
  <c r="I14" i="11" s="1"/>
  <c r="P13" i="11"/>
  <c r="N13" i="11"/>
  <c r="M13" i="11"/>
  <c r="J13" i="11"/>
  <c r="AQ12" i="11"/>
  <c r="AO12" i="11"/>
  <c r="AK12" i="11"/>
  <c r="AI12" i="11"/>
  <c r="AH12" i="11"/>
  <c r="AG12" i="11"/>
  <c r="AF12" i="11"/>
  <c r="AE12" i="11"/>
  <c r="AD12" i="11"/>
  <c r="AC12" i="11"/>
  <c r="AB12" i="11"/>
  <c r="AA12" i="11"/>
  <c r="Z12" i="11"/>
  <c r="Y12" i="11"/>
  <c r="X12" i="11"/>
  <c r="R12" i="11"/>
  <c r="I13" i="11" s="1"/>
  <c r="P12" i="11"/>
  <c r="N12" i="11"/>
  <c r="M12" i="11"/>
  <c r="AX11" i="11"/>
  <c r="AW11" i="11"/>
  <c r="AV11" i="11"/>
  <c r="AU11" i="11"/>
  <c r="AQ11" i="11"/>
  <c r="AO11" i="11"/>
  <c r="AK11" i="11"/>
  <c r="AJ11" i="11"/>
  <c r="AI11" i="11"/>
  <c r="AH11" i="11"/>
  <c r="AG11" i="11"/>
  <c r="AF11" i="11"/>
  <c r="AE11" i="11"/>
  <c r="AD11" i="11"/>
  <c r="AD20" i="11" s="1"/>
  <c r="AC11" i="11"/>
  <c r="N11" i="11"/>
  <c r="AX10" i="11"/>
  <c r="AW10" i="11"/>
  <c r="AV10" i="11"/>
  <c r="AU10" i="11"/>
  <c r="AQ10" i="11"/>
  <c r="AO10" i="11"/>
  <c r="AK10" i="11"/>
  <c r="AI10" i="11"/>
  <c r="AH10" i="11"/>
  <c r="AG10" i="11"/>
  <c r="AF10" i="11"/>
  <c r="AE10" i="11"/>
  <c r="AD10" i="11"/>
  <c r="AC10" i="11"/>
  <c r="AB10" i="11"/>
  <c r="AA10" i="11"/>
  <c r="Z10" i="11"/>
  <c r="Y10" i="11"/>
  <c r="X10" i="11"/>
  <c r="AQ9" i="11"/>
  <c r="AO9" i="11"/>
  <c r="AK9" i="11"/>
  <c r="AJ9" i="11"/>
  <c r="AI9" i="11"/>
  <c r="AH9" i="11"/>
  <c r="AG9" i="11"/>
  <c r="AF9" i="11"/>
  <c r="AE9" i="11"/>
  <c r="AD9" i="11"/>
  <c r="AC9" i="11"/>
  <c r="N9" i="11"/>
  <c r="H7" i="11"/>
  <c r="M4" i="11"/>
  <c r="B4" i="11"/>
  <c r="AK3" i="11"/>
  <c r="S3" i="11"/>
  <c r="M3" i="11"/>
  <c r="J3" i="11"/>
  <c r="B3" i="11"/>
  <c r="X3" i="11" s="1"/>
  <c r="AK2" i="11"/>
  <c r="S2" i="11"/>
  <c r="J2" i="11"/>
  <c r="L160" i="10"/>
  <c r="G154" i="10"/>
  <c r="G153" i="10"/>
  <c r="F54" i="10"/>
  <c r="C54" i="10"/>
  <c r="O39" i="10"/>
  <c r="N39" i="10"/>
  <c r="M39" i="10"/>
  <c r="F39" i="10"/>
  <c r="O38" i="10"/>
  <c r="N38" i="10"/>
  <c r="M38" i="10"/>
  <c r="H38" i="10"/>
  <c r="F38" i="10"/>
  <c r="C38" i="10"/>
  <c r="C40" i="10" s="1"/>
  <c r="O37" i="10"/>
  <c r="N37" i="10"/>
  <c r="M37" i="10"/>
  <c r="H37" i="10"/>
  <c r="H36" i="10"/>
  <c r="O35" i="10"/>
  <c r="N35" i="10"/>
  <c r="M35" i="10"/>
  <c r="L35" i="10"/>
  <c r="H35" i="10"/>
  <c r="O34" i="10"/>
  <c r="N34" i="10"/>
  <c r="M34" i="10"/>
  <c r="L34" i="10"/>
  <c r="H34" i="10"/>
  <c r="O33" i="10"/>
  <c r="N33" i="10"/>
  <c r="M33" i="10"/>
  <c r="L33" i="10"/>
  <c r="H33" i="10"/>
  <c r="O32" i="10"/>
  <c r="N32" i="10"/>
  <c r="M32" i="10"/>
  <c r="L32" i="10"/>
  <c r="H32" i="10"/>
  <c r="O31" i="10"/>
  <c r="H31" i="10"/>
  <c r="W30" i="10"/>
  <c r="V30" i="10"/>
  <c r="U30" i="10"/>
  <c r="S30" i="10" s="1"/>
  <c r="H30" i="10"/>
  <c r="W29" i="10"/>
  <c r="V29" i="10"/>
  <c r="U29" i="10"/>
  <c r="S29" i="10" s="1"/>
  <c r="H29" i="10"/>
  <c r="W28" i="10"/>
  <c r="V28" i="10"/>
  <c r="U28" i="10"/>
  <c r="S28" i="10" s="1"/>
  <c r="O28" i="10"/>
  <c r="N28" i="10"/>
  <c r="M28" i="10"/>
  <c r="O27" i="10"/>
  <c r="N27" i="10"/>
  <c r="M27" i="10"/>
  <c r="W26" i="10"/>
  <c r="V26" i="10"/>
  <c r="U26" i="10"/>
  <c r="S26" i="10" s="1"/>
  <c r="O26" i="10"/>
  <c r="N26" i="10"/>
  <c r="M26" i="10"/>
  <c r="W25" i="10"/>
  <c r="W9" i="10" s="1"/>
  <c r="V25" i="10"/>
  <c r="U25" i="10"/>
  <c r="S25" i="10" s="1"/>
  <c r="O25" i="10"/>
  <c r="N25" i="10"/>
  <c r="M25" i="10"/>
  <c r="O24" i="10"/>
  <c r="N24" i="10"/>
  <c r="M24" i="10"/>
  <c r="O23" i="10"/>
  <c r="N23" i="10"/>
  <c r="M23" i="10"/>
  <c r="G23" i="10"/>
  <c r="F23" i="10"/>
  <c r="E23" i="10"/>
  <c r="C23" i="10"/>
  <c r="O22" i="10"/>
  <c r="N22" i="10"/>
  <c r="M22" i="10"/>
  <c r="O21" i="10"/>
  <c r="N21" i="10"/>
  <c r="M21" i="10"/>
  <c r="W20" i="10"/>
  <c r="V20" i="10"/>
  <c r="U20" i="10"/>
  <c r="S20" i="10" s="1"/>
  <c r="O20" i="10"/>
  <c r="W19" i="10"/>
  <c r="V19" i="10"/>
  <c r="U19" i="10"/>
  <c r="S19" i="10" s="1"/>
  <c r="H19" i="10"/>
  <c r="W18" i="10"/>
  <c r="V18" i="10"/>
  <c r="U18" i="10"/>
  <c r="S18" i="10" s="1"/>
  <c r="O18" i="10"/>
  <c r="N18" i="10"/>
  <c r="M18" i="10"/>
  <c r="L18" i="10"/>
  <c r="H18" i="10"/>
  <c r="W17" i="10"/>
  <c r="V17" i="10"/>
  <c r="U17" i="10"/>
  <c r="S17" i="10" s="1"/>
  <c r="O17" i="10"/>
  <c r="N17" i="10"/>
  <c r="M17" i="10"/>
  <c r="L17" i="10"/>
  <c r="H17" i="10"/>
  <c r="F17" i="10"/>
  <c r="F51" i="10" s="1"/>
  <c r="C17" i="10"/>
  <c r="C51" i="10" s="1"/>
  <c r="O16" i="10"/>
  <c r="N16" i="10"/>
  <c r="M16" i="10"/>
  <c r="L16" i="10"/>
  <c r="H16" i="10"/>
  <c r="F16" i="10"/>
  <c r="F50" i="10" s="1"/>
  <c r="C16" i="10"/>
  <c r="O15" i="10"/>
  <c r="N15" i="10"/>
  <c r="M15" i="10"/>
  <c r="L15" i="10"/>
  <c r="H15" i="10"/>
  <c r="F15" i="10"/>
  <c r="C15" i="10"/>
  <c r="O14" i="10"/>
  <c r="N14" i="10"/>
  <c r="M14" i="10"/>
  <c r="L14" i="10"/>
  <c r="H14" i="10"/>
  <c r="F14" i="10"/>
  <c r="F47" i="10" s="1"/>
  <c r="C14" i="10"/>
  <c r="C48" i="10" s="1"/>
  <c r="O13" i="10"/>
  <c r="N13" i="10"/>
  <c r="M13" i="10"/>
  <c r="L13" i="10"/>
  <c r="I13" i="10"/>
  <c r="H13" i="10"/>
  <c r="F13" i="10"/>
  <c r="C13" i="10"/>
  <c r="C46" i="10" s="1"/>
  <c r="AH12" i="10"/>
  <c r="O12" i="10"/>
  <c r="N12" i="10"/>
  <c r="M12" i="10"/>
  <c r="L12" i="10"/>
  <c r="O11" i="10"/>
  <c r="L10" i="10"/>
  <c r="L4" i="10"/>
  <c r="B4" i="10"/>
  <c r="AJ3" i="10"/>
  <c r="Y3" i="10"/>
  <c r="P3" i="10"/>
  <c r="L3" i="10"/>
  <c r="I3" i="10"/>
  <c r="B3" i="10"/>
  <c r="AJ2" i="10"/>
  <c r="Y2" i="10"/>
  <c r="P2" i="10"/>
  <c r="I2" i="10"/>
  <c r="L171" i="9"/>
  <c r="K166" i="9"/>
  <c r="G160" i="9"/>
  <c r="G159" i="9"/>
  <c r="C52" i="9"/>
  <c r="C51" i="9"/>
  <c r="C50" i="9"/>
  <c r="C47" i="9"/>
  <c r="C46" i="9"/>
  <c r="C43" i="9"/>
  <c r="C42" i="9"/>
  <c r="E29" i="9" s="1"/>
  <c r="D34" i="9"/>
  <c r="G42" i="9" s="1"/>
  <c r="J26" i="35" s="1"/>
  <c r="C34" i="9"/>
  <c r="C33" i="9"/>
  <c r="E32" i="9"/>
  <c r="D32" i="9"/>
  <c r="C32" i="9"/>
  <c r="C31" i="9"/>
  <c r="E30" i="9"/>
  <c r="C30" i="9"/>
  <c r="C29" i="9"/>
  <c r="E20" i="9"/>
  <c r="D20" i="9"/>
  <c r="C20" i="9"/>
  <c r="E19" i="9"/>
  <c r="D19" i="9"/>
  <c r="C19" i="9"/>
  <c r="E18" i="9"/>
  <c r="D18" i="9"/>
  <c r="C18" i="9"/>
  <c r="E17" i="9"/>
  <c r="D17" i="9"/>
  <c r="C17" i="9"/>
  <c r="E16" i="9"/>
  <c r="E15" i="9"/>
  <c r="D14" i="9"/>
  <c r="C14" i="9"/>
  <c r="E13" i="9"/>
  <c r="D13" i="9"/>
  <c r="C13" i="9"/>
  <c r="G7" i="10" s="1"/>
  <c r="I3" i="9"/>
  <c r="B3" i="9"/>
  <c r="I2" i="9"/>
  <c r="B2" i="9"/>
  <c r="F55" i="10" l="1"/>
  <c r="F40" i="10"/>
  <c r="E9" i="5"/>
  <c r="G9" i="5"/>
  <c r="P11" i="11"/>
  <c r="C23" i="9"/>
  <c r="AA21" i="11"/>
  <c r="AE21" i="11"/>
  <c r="AI21" i="11"/>
  <c r="U9" i="10"/>
  <c r="S9" i="10" s="1"/>
  <c r="W8" i="10" s="1"/>
  <c r="V8" i="10" s="1"/>
  <c r="AF23" i="11"/>
  <c r="AF17" i="11" s="1"/>
  <c r="V9" i="10"/>
  <c r="C48" i="9"/>
  <c r="M11" i="11"/>
  <c r="C53" i="9"/>
  <c r="F20" i="10"/>
  <c r="B23" i="10"/>
  <c r="C39" i="10" s="1"/>
  <c r="D38" i="10"/>
  <c r="Y21" i="11"/>
  <c r="AC21" i="11"/>
  <c r="AG21" i="11"/>
  <c r="AC20" i="11"/>
  <c r="AN10" i="11"/>
  <c r="AP10" i="11" s="1"/>
  <c r="AY11" i="11"/>
  <c r="AN12" i="11"/>
  <c r="AP12" i="11" s="1"/>
  <c r="I49" i="11"/>
  <c r="AN14" i="11"/>
  <c r="AP14" i="11" s="1"/>
  <c r="U8" i="10"/>
  <c r="S8" i="10" s="1"/>
  <c r="C55" i="10"/>
  <c r="G54" i="10" s="1"/>
  <c r="AE23" i="11"/>
  <c r="AE17" i="11" s="1"/>
  <c r="AI23" i="11"/>
  <c r="AI17" i="11" s="1"/>
  <c r="Z21" i="11"/>
  <c r="AD21" i="11"/>
  <c r="AH21" i="11"/>
  <c r="C29" i="14"/>
  <c r="AD23" i="11"/>
  <c r="AD17" i="11" s="1"/>
  <c r="AD19" i="11"/>
  <c r="C20" i="10"/>
  <c r="AH23" i="11"/>
  <c r="AH17" i="11" s="1"/>
  <c r="AP17" i="12"/>
  <c r="AP8" i="12"/>
  <c r="AP16" i="12"/>
  <c r="AP23" i="12"/>
  <c r="AP27" i="12"/>
  <c r="AP12" i="12"/>
  <c r="AP29" i="12"/>
  <c r="AP9" i="12"/>
  <c r="AP25" i="12"/>
  <c r="AP20" i="12"/>
  <c r="AP15" i="12"/>
  <c r="AP11" i="12"/>
  <c r="AP18" i="12"/>
  <c r="AP14" i="12"/>
  <c r="AP21" i="12"/>
  <c r="AP19" i="12"/>
  <c r="AP10" i="12"/>
  <c r="AP24" i="12"/>
  <c r="AP13" i="12"/>
  <c r="AC23" i="11"/>
  <c r="AC17" i="11" s="1"/>
  <c r="AC19" i="11"/>
  <c r="AG23" i="11"/>
  <c r="AG17" i="11" s="1"/>
  <c r="AG19" i="11"/>
  <c r="AF19" i="11" s="1"/>
  <c r="AE19" i="11" s="1"/>
  <c r="AK23" i="11"/>
  <c r="AK19" i="11"/>
  <c r="AI19" i="11" s="1"/>
  <c r="AH19" i="11" s="1"/>
  <c r="X21" i="11"/>
  <c r="AB21" i="11"/>
  <c r="AF21" i="11"/>
  <c r="AK21" i="11"/>
  <c r="G55" i="10" l="1"/>
  <c r="B17" i="11"/>
  <c r="B13" i="11"/>
  <c r="F16" i="11"/>
  <c r="H16" i="11" s="1"/>
  <c r="D20" i="11"/>
  <c r="B15" i="11"/>
  <c r="D13" i="11"/>
  <c r="F13" i="11"/>
  <c r="H13" i="11" s="1"/>
  <c r="F15" i="11"/>
  <c r="H15" i="11" s="1"/>
  <c r="D16" i="11"/>
  <c r="B20" i="11"/>
  <c r="F17" i="11"/>
  <c r="F14" i="11"/>
  <c r="H14" i="11" s="1"/>
  <c r="D17" i="11"/>
  <c r="F20" i="11"/>
  <c r="H20" i="11" s="1"/>
  <c r="D15" i="11"/>
  <c r="B14" i="11"/>
  <c r="AP13" i="11" s="1"/>
  <c r="D14" i="11"/>
  <c r="B16" i="11"/>
  <c r="W31" i="10"/>
  <c r="V31" i="10" s="1"/>
  <c r="U31" i="10"/>
  <c r="S31" i="10" s="1"/>
  <c r="AN17" i="11"/>
  <c r="D18" i="11" l="1"/>
  <c r="F18" i="11"/>
  <c r="F23" i="11" s="1"/>
  <c r="B18" i="11"/>
  <c r="E18" i="11"/>
  <c r="E23" i="11" l="1"/>
  <c r="D23" i="11" s="1"/>
  <c r="B23" i="11" s="1"/>
  <c r="I19" i="6"/>
  <c r="G19" i="6"/>
  <c r="F19" i="6"/>
  <c r="E19" i="6"/>
  <c r="D19" i="6"/>
  <c r="Q11" i="6"/>
  <c r="D31" i="9"/>
  <c r="O11" i="6"/>
  <c r="J20" i="35" s="1"/>
  <c r="N11" i="6"/>
  <c r="J18" i="35" s="1"/>
  <c r="H10" i="6"/>
  <c r="J10" i="6" s="1"/>
  <c r="G10" i="6"/>
  <c r="F10" i="6"/>
  <c r="E10" i="6"/>
  <c r="D10" i="6"/>
  <c r="Q4" i="6"/>
  <c r="B4" i="6"/>
  <c r="Q3" i="6"/>
  <c r="B3" i="6"/>
  <c r="E80" i="5"/>
  <c r="I80" i="5" s="1"/>
  <c r="X84" i="35" l="1"/>
  <c r="B74" i="35"/>
  <c r="AD84" i="35"/>
  <c r="B70" i="35"/>
  <c r="AA84" i="35"/>
  <c r="B71" i="35"/>
  <c r="U84" i="35"/>
  <c r="B73" i="35"/>
  <c r="D33" i="9"/>
  <c r="D30" i="9"/>
  <c r="D29" i="9"/>
  <c r="G80" i="5"/>
  <c r="J80" i="5" s="1"/>
  <c r="N20" i="6"/>
  <c r="Q20" i="6"/>
  <c r="P20" i="6"/>
  <c r="O20" i="6"/>
  <c r="I20" i="6"/>
  <c r="BP61" i="5"/>
  <c r="BO61" i="5"/>
  <c r="BN61" i="5"/>
  <c r="BM61" i="5"/>
  <c r="BL61" i="5"/>
  <c r="BK61" i="5"/>
  <c r="BJ61" i="5"/>
  <c r="BI61" i="5"/>
  <c r="BH61" i="5"/>
  <c r="BG61" i="5"/>
  <c r="BF61" i="5"/>
  <c r="BE61" i="5"/>
  <c r="BD61" i="5"/>
  <c r="BC61" i="5"/>
  <c r="BB61" i="5"/>
  <c r="BA61" i="5"/>
  <c r="AQ61" i="5"/>
  <c r="H19" i="6" s="1"/>
  <c r="G61" i="5"/>
  <c r="F61" i="5"/>
  <c r="E61" i="5"/>
  <c r="C61" i="5"/>
  <c r="B61" i="5"/>
  <c r="AW60" i="5"/>
  <c r="AV60" i="5"/>
  <c r="AU60" i="5"/>
  <c r="AS60" i="5"/>
  <c r="AR60" i="5"/>
  <c r="AQ60" i="5"/>
  <c r="V60" i="5"/>
  <c r="U60" i="5"/>
  <c r="T60" i="5"/>
  <c r="R60" i="5"/>
  <c r="Q60" i="5"/>
  <c r="P60" i="5"/>
  <c r="L60" i="5"/>
  <c r="K60" i="5"/>
  <c r="J60" i="5"/>
  <c r="I60" i="5"/>
  <c r="BP59" i="5"/>
  <c r="BO59" i="5"/>
  <c r="BN59" i="5"/>
  <c r="BM59" i="5"/>
  <c r="BL59" i="5"/>
  <c r="BJ59" i="5"/>
  <c r="BI59" i="5"/>
  <c r="BH59" i="5"/>
  <c r="BG59" i="5"/>
  <c r="BD59" i="5"/>
  <c r="BB59" i="5"/>
  <c r="BA59" i="5"/>
  <c r="V59" i="5"/>
  <c r="U59" i="5"/>
  <c r="T59" i="5"/>
  <c r="R59" i="5"/>
  <c r="Q59" i="5"/>
  <c r="P59" i="5"/>
  <c r="BB57" i="12" s="1"/>
  <c r="L59" i="5"/>
  <c r="K59" i="5"/>
  <c r="J59" i="5"/>
  <c r="I59" i="5"/>
  <c r="H59" i="5"/>
  <c r="BO58" i="5"/>
  <c r="BG58" i="5"/>
  <c r="BB58" i="5"/>
  <c r="BA58" i="5"/>
  <c r="M18" i="6" l="1"/>
  <c r="L18" i="6"/>
  <c r="H20" i="6"/>
  <c r="K20" i="6"/>
  <c r="W59" i="5"/>
  <c r="E33" i="10"/>
  <c r="W60" i="5"/>
  <c r="M60" i="5"/>
  <c r="S60" i="5"/>
  <c r="AX60" i="5"/>
  <c r="H61" i="5"/>
  <c r="G36" i="10" s="1"/>
  <c r="M59" i="5"/>
  <c r="S59" i="5"/>
  <c r="AT60" i="5"/>
  <c r="B35" i="10"/>
  <c r="B34" i="10"/>
  <c r="D34" i="10" s="1"/>
  <c r="B33" i="10"/>
  <c r="D33" i="10" s="1"/>
  <c r="B32" i="10"/>
  <c r="D32" i="10" s="1"/>
  <c r="B30" i="10"/>
  <c r="D30" i="10" s="1"/>
  <c r="B31" i="10"/>
  <c r="D31" i="10" s="1"/>
  <c r="B29" i="10"/>
  <c r="BB58" i="12"/>
  <c r="F18" i="6"/>
  <c r="E18" i="6" s="1"/>
  <c r="D18" i="6" s="1"/>
  <c r="C18" i="6" s="1"/>
  <c r="D36" i="10"/>
  <c r="D40" i="10" s="1"/>
  <c r="D19" i="10"/>
  <c r="C19" i="6"/>
  <c r="I18" i="6" s="1"/>
  <c r="H18" i="6" s="1"/>
  <c r="G18" i="6" s="1"/>
  <c r="D53" i="10" l="1"/>
  <c r="G20" i="6"/>
  <c r="F20" i="6" s="1"/>
  <c r="E20" i="6" s="1"/>
  <c r="D20" i="6" s="1"/>
  <c r="J20" i="6"/>
  <c r="J18" i="6"/>
  <c r="K18" i="6"/>
  <c r="E35" i="10"/>
  <c r="E32" i="10"/>
  <c r="E49" i="10" s="1"/>
  <c r="E29" i="10"/>
  <c r="E31" i="10"/>
  <c r="E34" i="10"/>
  <c r="E30" i="10"/>
  <c r="G19" i="10"/>
  <c r="G53" i="10" s="1"/>
  <c r="B49" i="10"/>
  <c r="D29" i="10"/>
  <c r="D35" i="10"/>
  <c r="AW57" i="5"/>
  <c r="AV57" i="5"/>
  <c r="AU57" i="5"/>
  <c r="AS57" i="5"/>
  <c r="AR57" i="5"/>
  <c r="AQ57" i="5"/>
  <c r="V57" i="5"/>
  <c r="U57" i="5"/>
  <c r="T57" i="5"/>
  <c r="R57" i="5"/>
  <c r="Q57" i="5"/>
  <c r="P57" i="5"/>
  <c r="BB55" i="12" s="1"/>
  <c r="L57" i="5"/>
  <c r="K57" i="5"/>
  <c r="J57" i="5"/>
  <c r="I57" i="5"/>
  <c r="G57" i="5"/>
  <c r="F57" i="5"/>
  <c r="E57" i="5"/>
  <c r="C57" i="5"/>
  <c r="B57" i="5"/>
  <c r="BP56" i="5"/>
  <c r="BO56" i="5"/>
  <c r="BN56" i="5"/>
  <c r="BM56" i="5"/>
  <c r="BL56" i="5"/>
  <c r="BK56" i="5"/>
  <c r="BJ56" i="5"/>
  <c r="BI56" i="5"/>
  <c r="BH56" i="5"/>
  <c r="BG56" i="5"/>
  <c r="BF56" i="5"/>
  <c r="BE56" i="5"/>
  <c r="BD56" i="5"/>
  <c r="BC56" i="5"/>
  <c r="BB56" i="5"/>
  <c r="BA56" i="5"/>
  <c r="AW56" i="5"/>
  <c r="AV56" i="5"/>
  <c r="AU56" i="5"/>
  <c r="AS56" i="5"/>
  <c r="AR56" i="5"/>
  <c r="AQ56" i="5"/>
  <c r="V56" i="5"/>
  <c r="U56" i="5"/>
  <c r="T56" i="5"/>
  <c r="R56" i="5"/>
  <c r="Q56" i="5"/>
  <c r="P56" i="5"/>
  <c r="BB54" i="12" s="1"/>
  <c r="L56" i="5"/>
  <c r="K56" i="5"/>
  <c r="J56" i="5"/>
  <c r="I56" i="5"/>
  <c r="F56" i="5"/>
  <c r="H56" i="5" s="1"/>
  <c r="E56" i="5"/>
  <c r="C56" i="5"/>
  <c r="B56" i="5"/>
  <c r="BP55" i="5"/>
  <c r="BO55" i="5"/>
  <c r="BN55" i="5"/>
  <c r="BM55" i="5"/>
  <c r="BL55" i="5"/>
  <c r="BK55" i="5"/>
  <c r="BJ55" i="5"/>
  <c r="BI55" i="5"/>
  <c r="BH55" i="5"/>
  <c r="BG55" i="5"/>
  <c r="BF55" i="5"/>
  <c r="BE55" i="5"/>
  <c r="BD55" i="5"/>
  <c r="BC55" i="5"/>
  <c r="BB55" i="5"/>
  <c r="BA55" i="5"/>
  <c r="AW55" i="5"/>
  <c r="AV55" i="5"/>
  <c r="AU55" i="5"/>
  <c r="AS55" i="5"/>
  <c r="AR55" i="5"/>
  <c r="AQ55" i="5"/>
  <c r="AD55" i="5"/>
  <c r="V55" i="5"/>
  <c r="U55" i="5"/>
  <c r="T55" i="5"/>
  <c r="R55" i="5"/>
  <c r="Q55" i="5"/>
  <c r="P55" i="5"/>
  <c r="BB53" i="12" s="1"/>
  <c r="L55" i="5"/>
  <c r="K55" i="5"/>
  <c r="J55" i="5"/>
  <c r="I55" i="5"/>
  <c r="G55" i="5"/>
  <c r="F55" i="5"/>
  <c r="E55" i="5"/>
  <c r="C55" i="5"/>
  <c r="B55" i="5"/>
  <c r="BP54" i="5"/>
  <c r="BO54" i="5"/>
  <c r="BN54" i="5"/>
  <c r="BM54" i="5"/>
  <c r="BL54" i="5"/>
  <c r="BK54" i="5"/>
  <c r="BJ54" i="5"/>
  <c r="BI54" i="5"/>
  <c r="BH54" i="5"/>
  <c r="BG54" i="5"/>
  <c r="BF54" i="5"/>
  <c r="BE54" i="5"/>
  <c r="BD54" i="5"/>
  <c r="BC54" i="5"/>
  <c r="BB54" i="5"/>
  <c r="BA54" i="5"/>
  <c r="AW54" i="5"/>
  <c r="AV54" i="5"/>
  <c r="AU54" i="5"/>
  <c r="AS54" i="5"/>
  <c r="AR54" i="5"/>
  <c r="AQ54" i="5"/>
  <c r="V54" i="5"/>
  <c r="U54" i="5"/>
  <c r="T54" i="5"/>
  <c r="R54" i="5"/>
  <c r="Q54" i="5"/>
  <c r="P54" i="5"/>
  <c r="BB52" i="12" s="1"/>
  <c r="L54" i="5"/>
  <c r="K54" i="5"/>
  <c r="J54" i="5"/>
  <c r="I54" i="5"/>
  <c r="G54" i="5"/>
  <c r="F54" i="5"/>
  <c r="E54" i="5"/>
  <c r="C54" i="5"/>
  <c r="B54" i="5"/>
  <c r="BP53" i="5"/>
  <c r="BO53" i="5"/>
  <c r="BN53" i="5"/>
  <c r="BM53" i="5"/>
  <c r="BL53" i="5"/>
  <c r="BK53" i="5"/>
  <c r="BJ53" i="5"/>
  <c r="BI53" i="5"/>
  <c r="BH53" i="5"/>
  <c r="BG53" i="5"/>
  <c r="BF53" i="5"/>
  <c r="BE53" i="5"/>
  <c r="BD53" i="5"/>
  <c r="BC53" i="5"/>
  <c r="BB53" i="5"/>
  <c r="BA53" i="5"/>
  <c r="AW53" i="5"/>
  <c r="AV53" i="5"/>
  <c r="AU53" i="5"/>
  <c r="AS53" i="5"/>
  <c r="AR53" i="5"/>
  <c r="AQ53" i="5"/>
  <c r="V53" i="5"/>
  <c r="U53" i="5"/>
  <c r="T53" i="5"/>
  <c r="R53" i="5"/>
  <c r="Q53" i="5"/>
  <c r="P53" i="5"/>
  <c r="BB51" i="12" s="1"/>
  <c r="L53" i="5"/>
  <c r="K53" i="5"/>
  <c r="J53" i="5"/>
  <c r="I53" i="5"/>
  <c r="G53" i="5"/>
  <c r="F53" i="5"/>
  <c r="E53" i="5"/>
  <c r="C53" i="5"/>
  <c r="B53" i="5"/>
  <c r="BP52" i="5"/>
  <c r="BO52" i="5"/>
  <c r="BN52" i="5"/>
  <c r="BM52" i="5"/>
  <c r="BL52" i="5"/>
  <c r="BK52" i="5"/>
  <c r="BJ52" i="5"/>
  <c r="BI52" i="5"/>
  <c r="BH52" i="5"/>
  <c r="BG52" i="5"/>
  <c r="BF52" i="5"/>
  <c r="BE52" i="5"/>
  <c r="BD52" i="5"/>
  <c r="BC52" i="5"/>
  <c r="BB52" i="5"/>
  <c r="BA52" i="5"/>
  <c r="AW52" i="5"/>
  <c r="AV52" i="5"/>
  <c r="AU52" i="5"/>
  <c r="AS52" i="5"/>
  <c r="AR52" i="5"/>
  <c r="AQ52" i="5"/>
  <c r="V52" i="5"/>
  <c r="U52" i="5"/>
  <c r="T52" i="5"/>
  <c r="R52" i="5"/>
  <c r="Q52" i="5"/>
  <c r="P52" i="5"/>
  <c r="L52" i="5"/>
  <c r="K52" i="5"/>
  <c r="J52" i="5"/>
  <c r="I52" i="5"/>
  <c r="G52" i="5"/>
  <c r="F52" i="5"/>
  <c r="E52" i="5"/>
  <c r="C52" i="5"/>
  <c r="B52" i="5"/>
  <c r="BP51" i="5"/>
  <c r="BO51" i="5"/>
  <c r="BN51" i="5"/>
  <c r="BM51" i="5"/>
  <c r="BL51" i="5"/>
  <c r="BK51" i="5"/>
  <c r="BJ51" i="5"/>
  <c r="BI51" i="5"/>
  <c r="BH51" i="5"/>
  <c r="BG51" i="5"/>
  <c r="BF51" i="5"/>
  <c r="BE51" i="5"/>
  <c r="BD51" i="5"/>
  <c r="BC51" i="5"/>
  <c r="BB51" i="5"/>
  <c r="BA51" i="5"/>
  <c r="AW51" i="5"/>
  <c r="AV51" i="5"/>
  <c r="AU51" i="5"/>
  <c r="AS51" i="5"/>
  <c r="AR51" i="5"/>
  <c r="AQ51" i="5"/>
  <c r="V51" i="5"/>
  <c r="U51" i="5"/>
  <c r="T51" i="5"/>
  <c r="R51" i="5"/>
  <c r="Q51" i="5"/>
  <c r="P51" i="5"/>
  <c r="BB49" i="12" s="1"/>
  <c r="M16" i="6" l="1"/>
  <c r="L16" i="6"/>
  <c r="G40" i="10"/>
  <c r="AT53" i="5"/>
  <c r="AX52" i="5"/>
  <c r="AT51" i="5"/>
  <c r="AT56" i="5"/>
  <c r="M52" i="5"/>
  <c r="S53" i="5"/>
  <c r="S55" i="5"/>
  <c r="W56" i="5"/>
  <c r="D57" i="5"/>
  <c r="AT57" i="5"/>
  <c r="AT52" i="5"/>
  <c r="M53" i="5"/>
  <c r="W55" i="5"/>
  <c r="AT55" i="5"/>
  <c r="I16" i="6"/>
  <c r="W51" i="5"/>
  <c r="H57" i="5"/>
  <c r="D52" i="5"/>
  <c r="W52" i="5"/>
  <c r="D53" i="5"/>
  <c r="H54" i="5"/>
  <c r="W54" i="5"/>
  <c r="M56" i="5"/>
  <c r="M57" i="5"/>
  <c r="W53" i="5"/>
  <c r="D54" i="5"/>
  <c r="M54" i="5"/>
  <c r="AT54" i="5"/>
  <c r="H55" i="5"/>
  <c r="M55" i="5"/>
  <c r="H52" i="5"/>
  <c r="S54" i="5"/>
  <c r="AX54" i="5"/>
  <c r="D56" i="5"/>
  <c r="AX56" i="5"/>
  <c r="S51" i="5"/>
  <c r="AX51" i="5"/>
  <c r="S52" i="5"/>
  <c r="H53" i="5"/>
  <c r="AX53" i="5"/>
  <c r="D55" i="5"/>
  <c r="AX55" i="5"/>
  <c r="S56" i="5"/>
  <c r="S57" i="5"/>
  <c r="AX57" i="5"/>
  <c r="W57" i="5"/>
  <c r="BB50" i="12"/>
  <c r="AG22" i="12"/>
  <c r="F16" i="6"/>
  <c r="H16" i="6"/>
  <c r="L51" i="5"/>
  <c r="K51" i="5"/>
  <c r="J51" i="5"/>
  <c r="I51" i="5"/>
  <c r="G51" i="5"/>
  <c r="F51" i="5"/>
  <c r="E51" i="5"/>
  <c r="C51" i="5"/>
  <c r="B51" i="5"/>
  <c r="BP50" i="5"/>
  <c r="BO50" i="5"/>
  <c r="BN50" i="5"/>
  <c r="BM50" i="5"/>
  <c r="BL50" i="5"/>
  <c r="BK50" i="5"/>
  <c r="BJ50" i="5"/>
  <c r="BI50" i="5"/>
  <c r="BH50" i="5"/>
  <c r="BG50" i="5"/>
  <c r="BF50" i="5"/>
  <c r="BE50" i="5"/>
  <c r="BD50" i="5"/>
  <c r="BC50" i="5"/>
  <c r="BB50" i="5"/>
  <c r="BA50" i="5"/>
  <c r="AW50" i="5"/>
  <c r="AV50" i="5"/>
  <c r="AU50" i="5"/>
  <c r="AS50" i="5"/>
  <c r="AR50" i="5"/>
  <c r="AQ50" i="5"/>
  <c r="V50" i="5"/>
  <c r="U50" i="5"/>
  <c r="T50" i="5"/>
  <c r="R50" i="5"/>
  <c r="Q50" i="5"/>
  <c r="P50" i="5"/>
  <c r="BB48" i="12" s="1"/>
  <c r="L50" i="5"/>
  <c r="K50" i="5"/>
  <c r="J50" i="5"/>
  <c r="I50" i="5"/>
  <c r="G50" i="5"/>
  <c r="F50" i="5"/>
  <c r="E50" i="5"/>
  <c r="C50" i="5"/>
  <c r="B50" i="5"/>
  <c r="BP49" i="5"/>
  <c r="BO49" i="5"/>
  <c r="BN49" i="5"/>
  <c r="BM49" i="5"/>
  <c r="BL49" i="5"/>
  <c r="BK49" i="5"/>
  <c r="BJ49" i="5"/>
  <c r="BI49" i="5"/>
  <c r="BH49" i="5"/>
  <c r="BG49" i="5"/>
  <c r="BF49" i="5"/>
  <c r="BE49" i="5"/>
  <c r="BD49" i="5"/>
  <c r="BC49" i="5"/>
  <c r="BB49" i="5"/>
  <c r="BA49" i="5"/>
  <c r="AW49" i="5"/>
  <c r="AV49" i="5"/>
  <c r="AU49" i="5"/>
  <c r="Z24" i="24" s="1"/>
  <c r="AS49" i="5"/>
  <c r="AR49" i="5"/>
  <c r="AQ49" i="5"/>
  <c r="W24" i="24" s="1"/>
  <c r="V49" i="5"/>
  <c r="U49" i="5"/>
  <c r="T49" i="5"/>
  <c r="Q24" i="24" s="1"/>
  <c r="R49" i="5"/>
  <c r="Q49" i="5"/>
  <c r="P49" i="5"/>
  <c r="L49" i="5"/>
  <c r="K49" i="5"/>
  <c r="J49" i="5"/>
  <c r="I49" i="5"/>
  <c r="G49" i="5"/>
  <c r="F49" i="5"/>
  <c r="E49" i="5"/>
  <c r="C49" i="5"/>
  <c r="B49" i="5"/>
  <c r="BP48" i="5"/>
  <c r="BO48" i="5"/>
  <c r="BN48" i="5"/>
  <c r="BM48" i="5"/>
  <c r="BL48" i="5"/>
  <c r="BK48" i="5"/>
  <c r="BJ48" i="5"/>
  <c r="BI48" i="5"/>
  <c r="BH48" i="5"/>
  <c r="BG48" i="5"/>
  <c r="BF48" i="5"/>
  <c r="BE48" i="5"/>
  <c r="BD48" i="5"/>
  <c r="BC48" i="5"/>
  <c r="BB48" i="5"/>
  <c r="BA48" i="5"/>
  <c r="AW48" i="5"/>
  <c r="AV48" i="5"/>
  <c r="AU48" i="5"/>
  <c r="AS48" i="5"/>
  <c r="AR48" i="5"/>
  <c r="AQ48" i="5"/>
  <c r="V48" i="5"/>
  <c r="U48" i="5"/>
  <c r="T48" i="5"/>
  <c r="R48" i="5"/>
  <c r="Q48" i="5"/>
  <c r="P48" i="5"/>
  <c r="L48" i="5"/>
  <c r="K48" i="5"/>
  <c r="J48" i="5"/>
  <c r="I48" i="5"/>
  <c r="G48" i="5"/>
  <c r="F48" i="5"/>
  <c r="E48" i="5"/>
  <c r="C48" i="5"/>
  <c r="B48" i="5"/>
  <c r="BP47" i="5"/>
  <c r="BO47" i="5"/>
  <c r="BN47" i="5"/>
  <c r="BM47" i="5"/>
  <c r="BL47" i="5"/>
  <c r="BK47" i="5"/>
  <c r="BJ47" i="5"/>
  <c r="BI47" i="5"/>
  <c r="BH47" i="5"/>
  <c r="BG47" i="5"/>
  <c r="BF47" i="5"/>
  <c r="BE47" i="5"/>
  <c r="BD47" i="5"/>
  <c r="BC47" i="5"/>
  <c r="BB47" i="5"/>
  <c r="BA47" i="5"/>
  <c r="BP45" i="5"/>
  <c r="BO45" i="5"/>
  <c r="BN45" i="5"/>
  <c r="BM45" i="5"/>
  <c r="BL45" i="5"/>
  <c r="BK45" i="5"/>
  <c r="BJ45" i="5"/>
  <c r="BI45" i="5"/>
  <c r="BH45" i="5"/>
  <c r="BG45" i="5"/>
  <c r="BF45" i="5"/>
  <c r="BE45" i="5"/>
  <c r="BD45" i="5"/>
  <c r="BC45" i="5"/>
  <c r="BB45" i="5"/>
  <c r="BA45" i="5"/>
  <c r="BP44" i="5"/>
  <c r="BO44" i="5"/>
  <c r="BN44" i="5"/>
  <c r="BM44" i="5"/>
  <c r="BL44" i="5"/>
  <c r="BK44" i="5"/>
  <c r="BJ44" i="5"/>
  <c r="BI44" i="5"/>
  <c r="BH44" i="5"/>
  <c r="BG44" i="5"/>
  <c r="BF44" i="5"/>
  <c r="BE44" i="5"/>
  <c r="BD44" i="5"/>
  <c r="BC44" i="5"/>
  <c r="BB44" i="5"/>
  <c r="BA44" i="5"/>
  <c r="AW44" i="5"/>
  <c r="AV44" i="5"/>
  <c r="AU44" i="5"/>
  <c r="AS44" i="5"/>
  <c r="AR44" i="5"/>
  <c r="AQ44" i="5"/>
  <c r="V44" i="5"/>
  <c r="U44" i="5"/>
  <c r="T44" i="5"/>
  <c r="R44" i="5"/>
  <c r="Q44" i="5"/>
  <c r="P44" i="5"/>
  <c r="BB42" i="12" s="1"/>
  <c r="L44" i="5"/>
  <c r="K44" i="5"/>
  <c r="J44" i="5"/>
  <c r="I44" i="5"/>
  <c r="G44" i="5"/>
  <c r="F44" i="5"/>
  <c r="E44" i="5"/>
  <c r="C44" i="5"/>
  <c r="B44" i="5"/>
  <c r="BP43" i="5"/>
  <c r="BO43" i="5"/>
  <c r="BN43" i="5"/>
  <c r="BM43" i="5"/>
  <c r="BL43" i="5"/>
  <c r="BK43" i="5"/>
  <c r="BJ43" i="5"/>
  <c r="BI43" i="5"/>
  <c r="BH43" i="5"/>
  <c r="BG43" i="5"/>
  <c r="BF43" i="5"/>
  <c r="BE43" i="5"/>
  <c r="BD43" i="5"/>
  <c r="BC43" i="5"/>
  <c r="BB43" i="5"/>
  <c r="BA43" i="5"/>
  <c r="AW43" i="5"/>
  <c r="AV43" i="5"/>
  <c r="AU43" i="5"/>
  <c r="AS43" i="5"/>
  <c r="AR43" i="5"/>
  <c r="AQ43" i="5"/>
  <c r="V43" i="5"/>
  <c r="U43" i="5"/>
  <c r="T43" i="5"/>
  <c r="R43" i="5"/>
  <c r="Q43" i="5"/>
  <c r="P43" i="5"/>
  <c r="BB41" i="12" s="1"/>
  <c r="L43" i="5"/>
  <c r="K43" i="5"/>
  <c r="J43" i="5"/>
  <c r="I43" i="5"/>
  <c r="M15" i="6" l="1"/>
  <c r="J16" i="6"/>
  <c r="K16" i="6"/>
  <c r="L15" i="6"/>
  <c r="D49" i="5"/>
  <c r="E18" i="10" s="1"/>
  <c r="W48" i="5"/>
  <c r="H49" i="5"/>
  <c r="D16" i="6"/>
  <c r="W50" i="5"/>
  <c r="D51" i="5"/>
  <c r="W43" i="5"/>
  <c r="M48" i="5"/>
  <c r="S48" i="5"/>
  <c r="C24" i="24"/>
  <c r="AT50" i="5"/>
  <c r="AT43" i="5"/>
  <c r="D24" i="14" s="1"/>
  <c r="H44" i="5"/>
  <c r="B23" i="24"/>
  <c r="M44" i="5"/>
  <c r="AX44" i="5"/>
  <c r="AX48" i="5"/>
  <c r="AT49" i="5"/>
  <c r="X24" i="24" s="1"/>
  <c r="Y24" i="24" s="1"/>
  <c r="M50" i="5"/>
  <c r="AX50" i="5"/>
  <c r="S43" i="5"/>
  <c r="W44" i="5"/>
  <c r="S49" i="5"/>
  <c r="D50" i="5"/>
  <c r="M43" i="5"/>
  <c r="D44" i="5"/>
  <c r="AT44" i="5"/>
  <c r="B24" i="14" s="1"/>
  <c r="H48" i="5"/>
  <c r="AT48" i="5"/>
  <c r="W49" i="5"/>
  <c r="R24" i="24" s="1"/>
  <c r="S24" i="24" s="1"/>
  <c r="H50" i="5"/>
  <c r="H51" i="5"/>
  <c r="M51" i="5"/>
  <c r="AX43" i="5"/>
  <c r="AA25" i="13" s="1"/>
  <c r="S44" i="5"/>
  <c r="M49" i="5"/>
  <c r="AX49" i="5"/>
  <c r="AA24" i="24" s="1"/>
  <c r="C15" i="6"/>
  <c r="S50" i="5"/>
  <c r="I23" i="24"/>
  <c r="AX22" i="11"/>
  <c r="AB11" i="11"/>
  <c r="AB20" i="11" s="1"/>
  <c r="E15" i="6"/>
  <c r="E23" i="24"/>
  <c r="C16" i="6"/>
  <c r="H23" i="24"/>
  <c r="AB9" i="11"/>
  <c r="D15" i="6"/>
  <c r="AQ22" i="12"/>
  <c r="E16" i="6"/>
  <c r="N23" i="24"/>
  <c r="BB46" i="12"/>
  <c r="AG18" i="12"/>
  <c r="F15" i="6"/>
  <c r="W23" i="24"/>
  <c r="H15" i="6"/>
  <c r="Z23" i="24"/>
  <c r="I15" i="6"/>
  <c r="I24" i="24"/>
  <c r="AW22" i="11"/>
  <c r="AA11" i="11"/>
  <c r="AA20" i="11" s="1"/>
  <c r="N24" i="24"/>
  <c r="BB47" i="12"/>
  <c r="D48" i="5"/>
  <c r="B24" i="24"/>
  <c r="Q23" i="24"/>
  <c r="G16" i="6"/>
  <c r="G15" i="6"/>
  <c r="E24" i="24"/>
  <c r="B16" i="10"/>
  <c r="D16" i="10" s="1"/>
  <c r="B15" i="10"/>
  <c r="B48" i="10" s="1"/>
  <c r="B18" i="10"/>
  <c r="B14" i="10"/>
  <c r="B13" i="10"/>
  <c r="B17" i="10"/>
  <c r="H24" i="24"/>
  <c r="AA9" i="11"/>
  <c r="C23" i="24"/>
  <c r="G43" i="5"/>
  <c r="F43" i="5"/>
  <c r="E43" i="5"/>
  <c r="C43" i="5"/>
  <c r="B43" i="5"/>
  <c r="BP42" i="5"/>
  <c r="BO42" i="5"/>
  <c r="BN42" i="5"/>
  <c r="BM42" i="5"/>
  <c r="BL42" i="5"/>
  <c r="BK42" i="5"/>
  <c r="BJ42" i="5"/>
  <c r="BI42" i="5"/>
  <c r="BH42" i="5"/>
  <c r="BG42" i="5"/>
  <c r="BF42" i="5"/>
  <c r="BE42" i="5"/>
  <c r="BD42" i="5"/>
  <c r="BC42" i="5"/>
  <c r="BB42" i="5"/>
  <c r="BA42" i="5"/>
  <c r="AW42" i="5"/>
  <c r="AV42" i="5"/>
  <c r="AU42" i="5"/>
  <c r="AS42" i="5"/>
  <c r="AR42" i="5"/>
  <c r="AQ42" i="5"/>
  <c r="V42" i="5"/>
  <c r="U42" i="5"/>
  <c r="T42" i="5"/>
  <c r="R42" i="5"/>
  <c r="Q42" i="5"/>
  <c r="P42" i="5"/>
  <c r="L42" i="5"/>
  <c r="K42" i="5"/>
  <c r="J42" i="5"/>
  <c r="I42" i="5"/>
  <c r="G42" i="5"/>
  <c r="F42" i="5"/>
  <c r="E42" i="5"/>
  <c r="C42" i="5"/>
  <c r="B42" i="5"/>
  <c r="AW41" i="5"/>
  <c r="AV41" i="5"/>
  <c r="AU41" i="5"/>
  <c r="Z19" i="24" s="1"/>
  <c r="AS41" i="5"/>
  <c r="AR41" i="5"/>
  <c r="AQ41" i="5"/>
  <c r="W19" i="24" s="1"/>
  <c r="V41" i="5"/>
  <c r="U41" i="5"/>
  <c r="T41" i="5"/>
  <c r="Q19" i="24" s="1"/>
  <c r="R41" i="5"/>
  <c r="Q41" i="5"/>
  <c r="P41" i="5"/>
  <c r="L41" i="5"/>
  <c r="K41" i="5"/>
  <c r="J41" i="5"/>
  <c r="I19" i="24" s="1"/>
  <c r="I41" i="5"/>
  <c r="H19" i="24" s="1"/>
  <c r="G41" i="5"/>
  <c r="F41" i="5"/>
  <c r="E41" i="5"/>
  <c r="C41" i="5"/>
  <c r="B41" i="5"/>
  <c r="BP40" i="5"/>
  <c r="BO40" i="5"/>
  <c r="BN40" i="5"/>
  <c r="BM40" i="5"/>
  <c r="BL40" i="5"/>
  <c r="BK40" i="5"/>
  <c r="BJ40" i="5"/>
  <c r="BI40" i="5"/>
  <c r="BH40" i="5"/>
  <c r="BG40" i="5"/>
  <c r="BF40" i="5"/>
  <c r="BE40" i="5"/>
  <c r="BD40" i="5"/>
  <c r="BC40" i="5"/>
  <c r="BB40" i="5"/>
  <c r="BP39" i="5"/>
  <c r="BO39" i="5"/>
  <c r="BN39" i="5"/>
  <c r="BM39" i="5"/>
  <c r="BL39" i="5"/>
  <c r="BK39" i="5"/>
  <c r="BJ39" i="5"/>
  <c r="BI39" i="5"/>
  <c r="BH39" i="5"/>
  <c r="BG39" i="5"/>
  <c r="BF39" i="5"/>
  <c r="BE39" i="5"/>
  <c r="BD39" i="5"/>
  <c r="BC39" i="5"/>
  <c r="BB39" i="5"/>
  <c r="BA39" i="5"/>
  <c r="AW39" i="5"/>
  <c r="AV39" i="5"/>
  <c r="AU39" i="5"/>
  <c r="I17" i="6" s="1"/>
  <c r="AS39" i="5"/>
  <c r="AR39" i="5"/>
  <c r="AQ39" i="5"/>
  <c r="H17" i="6" s="1"/>
  <c r="AF39" i="5"/>
  <c r="AE47" i="5"/>
  <c r="AA39" i="5"/>
  <c r="AF23" i="24" s="1"/>
  <c r="AE23" i="24"/>
  <c r="V39" i="5"/>
  <c r="U39" i="5"/>
  <c r="T39" i="5" s="1"/>
  <c r="G17" i="6" s="1"/>
  <c r="R39" i="5"/>
  <c r="Q39" i="5"/>
  <c r="P39" i="5"/>
  <c r="BB37" i="12" s="1"/>
  <c r="L39" i="5"/>
  <c r="K39" i="5"/>
  <c r="J39" i="5"/>
  <c r="I39" i="5"/>
  <c r="H39" i="5"/>
  <c r="E39" i="5"/>
  <c r="C17" i="6" s="1"/>
  <c r="BP38" i="5"/>
  <c r="BO38" i="5"/>
  <c r="BN38" i="5"/>
  <c r="BM38" i="5"/>
  <c r="BL38" i="5"/>
  <c r="BK38" i="5"/>
  <c r="BJ38" i="5"/>
  <c r="BI38" i="5"/>
  <c r="BH38" i="5"/>
  <c r="BG38" i="5"/>
  <c r="BF38" i="5"/>
  <c r="BE38" i="5"/>
  <c r="BD38" i="5"/>
  <c r="BC38" i="5"/>
  <c r="BB38" i="5"/>
  <c r="BA38" i="5"/>
  <c r="AW38" i="5"/>
  <c r="AV38" i="5"/>
  <c r="AU38" i="5"/>
  <c r="AS38" i="5"/>
  <c r="AR38" i="5"/>
  <c r="AQ38" i="5"/>
  <c r="AN38" i="5"/>
  <c r="AN47" i="5" s="1"/>
  <c r="AK38" i="5"/>
  <c r="AF38" i="5"/>
  <c r="AA38" i="5"/>
  <c r="V38" i="5"/>
  <c r="U38" i="5"/>
  <c r="T38" i="5"/>
  <c r="R38" i="5"/>
  <c r="Q38" i="5"/>
  <c r="P38" i="5"/>
  <c r="BB36" i="12" s="1"/>
  <c r="L38" i="5"/>
  <c r="K38" i="5"/>
  <c r="J38" i="5"/>
  <c r="I38" i="5"/>
  <c r="G38" i="5"/>
  <c r="F38" i="5"/>
  <c r="E38" i="5"/>
  <c r="C38" i="5"/>
  <c r="B38" i="5"/>
  <c r="BP37" i="5"/>
  <c r="BO37" i="5"/>
  <c r="BN37" i="5"/>
  <c r="BM37" i="5"/>
  <c r="BL37" i="5"/>
  <c r="BK37" i="5"/>
  <c r="BJ37" i="5"/>
  <c r="BI37" i="5"/>
  <c r="BH37" i="5"/>
  <c r="BG37" i="5"/>
  <c r="BF37" i="5"/>
  <c r="BE37" i="5"/>
  <c r="BD37" i="5"/>
  <c r="BC37" i="5"/>
  <c r="BB37" i="5"/>
  <c r="BA37" i="5"/>
  <c r="AW37" i="5"/>
  <c r="AV37" i="5"/>
  <c r="AU37" i="5"/>
  <c r="AS37" i="5"/>
  <c r="AR37" i="5"/>
  <c r="AQ37" i="5"/>
  <c r="V37" i="5"/>
  <c r="U37" i="5"/>
  <c r="T37" i="5"/>
  <c r="R37" i="5"/>
  <c r="Q37" i="5"/>
  <c r="P37" i="5"/>
  <c r="BB35" i="12" s="1"/>
  <c r="L37" i="5"/>
  <c r="K37" i="5"/>
  <c r="J37" i="5"/>
  <c r="I37" i="5"/>
  <c r="G37" i="5"/>
  <c r="F37" i="5"/>
  <c r="E37" i="5"/>
  <c r="C37" i="5"/>
  <c r="B37" i="5"/>
  <c r="BP36" i="5"/>
  <c r="BO36" i="5"/>
  <c r="BN36" i="5"/>
  <c r="BM36" i="5"/>
  <c r="BL36" i="5"/>
  <c r="BK36" i="5"/>
  <c r="BJ36" i="5"/>
  <c r="BI36" i="5"/>
  <c r="BH36" i="5"/>
  <c r="BG36" i="5"/>
  <c r="BF36" i="5"/>
  <c r="BE36" i="5"/>
  <c r="BD36" i="5"/>
  <c r="BC36" i="5"/>
  <c r="BB36" i="5"/>
  <c r="BA36" i="5"/>
  <c r="AW36" i="5"/>
  <c r="AV36" i="5"/>
  <c r="AU36" i="5"/>
  <c r="AS36" i="5"/>
  <c r="AR36" i="5"/>
  <c r="AQ36" i="5"/>
  <c r="V36" i="5"/>
  <c r="U36" i="5"/>
  <c r="T36" i="5"/>
  <c r="R36" i="5"/>
  <c r="Q36" i="5"/>
  <c r="P36" i="5"/>
  <c r="L36" i="5"/>
  <c r="K36" i="5"/>
  <c r="J36" i="5"/>
  <c r="I36" i="5"/>
  <c r="G36" i="5"/>
  <c r="F36" i="5"/>
  <c r="E36" i="5"/>
  <c r="C36" i="5"/>
  <c r="B36" i="5"/>
  <c r="BP35" i="5"/>
  <c r="BO35" i="5"/>
  <c r="BN35" i="5"/>
  <c r="BM35" i="5"/>
  <c r="BL35" i="5"/>
  <c r="BK35" i="5"/>
  <c r="BJ35" i="5"/>
  <c r="BI35" i="5"/>
  <c r="BH35" i="5"/>
  <c r="BG35" i="5"/>
  <c r="BF35" i="5"/>
  <c r="BE35" i="5"/>
  <c r="BD35" i="5"/>
  <c r="BC35" i="5"/>
  <c r="BB35" i="5"/>
  <c r="BA35" i="5"/>
  <c r="AW35" i="5"/>
  <c r="AV35" i="5"/>
  <c r="AU35" i="5"/>
  <c r="AS35" i="5"/>
  <c r="AR35" i="5"/>
  <c r="AQ35" i="5"/>
  <c r="AM35" i="5"/>
  <c r="AL35" i="5"/>
  <c r="AK35" i="5"/>
  <c r="AI35" i="5"/>
  <c r="AH35" i="5"/>
  <c r="AG35" i="5"/>
  <c r="AE35" i="5"/>
  <c r="AC35" i="5"/>
  <c r="AB35" i="5"/>
  <c r="AA35" i="5"/>
  <c r="Z35" i="5"/>
  <c r="V35" i="5"/>
  <c r="U35" i="5"/>
  <c r="T35" i="5"/>
  <c r="R35" i="5"/>
  <c r="Q35" i="5"/>
  <c r="P35" i="5"/>
  <c r="L35" i="5"/>
  <c r="K35" i="5"/>
  <c r="J35" i="5"/>
  <c r="I35" i="5"/>
  <c r="G35" i="5"/>
  <c r="F35" i="5"/>
  <c r="E35" i="5"/>
  <c r="C35" i="5"/>
  <c r="B35" i="5"/>
  <c r="BP34" i="5"/>
  <c r="BO34" i="5"/>
  <c r="BN34" i="5"/>
  <c r="BM34" i="5"/>
  <c r="BL34" i="5"/>
  <c r="BK34" i="5"/>
  <c r="BJ34" i="5"/>
  <c r="BI34" i="5"/>
  <c r="BH34" i="5"/>
  <c r="BG34" i="5"/>
  <c r="BF34" i="5"/>
  <c r="BE34" i="5"/>
  <c r="BD34" i="5"/>
  <c r="BC34" i="5"/>
  <c r="BB34" i="5"/>
  <c r="BA34" i="5"/>
  <c r="AW34" i="5"/>
  <c r="AV34" i="5"/>
  <c r="AU34" i="5"/>
  <c r="AS34" i="5"/>
  <c r="AR34" i="5"/>
  <c r="AQ34" i="5"/>
  <c r="AM34" i="5"/>
  <c r="AL34" i="5"/>
  <c r="AK34" i="5"/>
  <c r="AI34" i="5"/>
  <c r="AH34" i="5"/>
  <c r="AG34" i="5"/>
  <c r="AB66" i="5" s="1"/>
  <c r="AE34" i="5"/>
  <c r="AC34" i="5"/>
  <c r="AB34" i="5"/>
  <c r="AA34" i="5"/>
  <c r="Z34" i="5"/>
  <c r="V34" i="5"/>
  <c r="U34" i="5"/>
  <c r="T34" i="5"/>
  <c r="R34" i="5"/>
  <c r="Q34" i="5"/>
  <c r="P34" i="5"/>
  <c r="L34" i="5"/>
  <c r="K34" i="5"/>
  <c r="J34" i="5"/>
  <c r="I34" i="5"/>
  <c r="G34" i="5"/>
  <c r="F34" i="5"/>
  <c r="E34" i="5"/>
  <c r="C34" i="5"/>
  <c r="B34" i="5"/>
  <c r="BP33" i="5"/>
  <c r="BO33" i="5"/>
  <c r="BN33" i="5"/>
  <c r="BM33" i="5"/>
  <c r="BL33" i="5"/>
  <c r="BK33" i="5"/>
  <c r="BJ33" i="5"/>
  <c r="BI33" i="5"/>
  <c r="BH33" i="5"/>
  <c r="BG33" i="5"/>
  <c r="BF33" i="5"/>
  <c r="BE33" i="5"/>
  <c r="BD33" i="5"/>
  <c r="BC33" i="5"/>
  <c r="BB33" i="5"/>
  <c r="BA33" i="5"/>
  <c r="AW33" i="5"/>
  <c r="AV33" i="5"/>
  <c r="AU33" i="5"/>
  <c r="AS33" i="5"/>
  <c r="AR33" i="5"/>
  <c r="AQ33" i="5"/>
  <c r="AM33" i="5"/>
  <c r="AL33" i="5"/>
  <c r="AK33" i="5"/>
  <c r="AI33" i="5"/>
  <c r="AH33" i="5"/>
  <c r="AG33" i="5"/>
  <c r="AB65" i="5" s="1"/>
  <c r="AE33" i="5"/>
  <c r="Z65" i="5" s="1"/>
  <c r="AC33" i="5"/>
  <c r="AB33" i="5"/>
  <c r="AA33" i="5"/>
  <c r="Z33" i="5"/>
  <c r="V33" i="5"/>
  <c r="U33" i="5"/>
  <c r="T33" i="5"/>
  <c r="R33" i="5"/>
  <c r="Q33" i="5"/>
  <c r="P33" i="5"/>
  <c r="L33" i="5"/>
  <c r="K33" i="5"/>
  <c r="J33" i="5"/>
  <c r="I33" i="5"/>
  <c r="G33" i="5"/>
  <c r="F33" i="5"/>
  <c r="E33" i="5"/>
  <c r="C33" i="5"/>
  <c r="B33" i="5"/>
  <c r="BP32" i="5"/>
  <c r="BO32" i="5"/>
  <c r="BN32" i="5"/>
  <c r="BM32" i="5"/>
  <c r="BL32" i="5"/>
  <c r="BK32" i="5"/>
  <c r="BJ32" i="5"/>
  <c r="BI32" i="5"/>
  <c r="BH32" i="5"/>
  <c r="BG32" i="5"/>
  <c r="BF32" i="5"/>
  <c r="BE32" i="5"/>
  <c r="BD32" i="5"/>
  <c r="BC32" i="5"/>
  <c r="BB32" i="5"/>
  <c r="BA32" i="5"/>
  <c r="AW32" i="5"/>
  <c r="AV32" i="5"/>
  <c r="AU32" i="5"/>
  <c r="Z29" i="24" s="1"/>
  <c r="AS32" i="5"/>
  <c r="AR32" i="5"/>
  <c r="AQ32" i="5"/>
  <c r="W29" i="24" s="1"/>
  <c r="AM32" i="5"/>
  <c r="AL32" i="5"/>
  <c r="AK32" i="5"/>
  <c r="AI32" i="5"/>
  <c r="AH32" i="5"/>
  <c r="AG32" i="5"/>
  <c r="AB64" i="5" s="1"/>
  <c r="AE32" i="5"/>
  <c r="Z64" i="5" s="1"/>
  <c r="AC32" i="5"/>
  <c r="AB32" i="5"/>
  <c r="AA32" i="5"/>
  <c r="Z32" i="5"/>
  <c r="V32" i="5"/>
  <c r="U32" i="5"/>
  <c r="T32" i="5"/>
  <c r="Q29" i="24" s="1"/>
  <c r="R32" i="5"/>
  <c r="Q32" i="5"/>
  <c r="P32" i="5"/>
  <c r="L32" i="5"/>
  <c r="K32" i="5"/>
  <c r="J32" i="5"/>
  <c r="I29" i="24" s="1"/>
  <c r="I32" i="5"/>
  <c r="H29" i="24" s="1"/>
  <c r="G32" i="5"/>
  <c r="F32" i="5"/>
  <c r="E32" i="5"/>
  <c r="E29" i="24" s="1"/>
  <c r="C32" i="5"/>
  <c r="C29" i="24" s="1"/>
  <c r="B32" i="5"/>
  <c r="BP31" i="5"/>
  <c r="BO31" i="5"/>
  <c r="BN31" i="5"/>
  <c r="BM31" i="5"/>
  <c r="BL31" i="5"/>
  <c r="BK31" i="5"/>
  <c r="BJ31" i="5"/>
  <c r="BI31" i="5"/>
  <c r="BH31" i="5"/>
  <c r="BG31" i="5"/>
  <c r="BF31" i="5"/>
  <c r="BE31" i="5"/>
  <c r="BD31" i="5"/>
  <c r="BC31" i="5"/>
  <c r="BB31" i="5"/>
  <c r="BA31" i="5"/>
  <c r="AW31" i="5"/>
  <c r="AV31" i="5"/>
  <c r="AU31" i="5"/>
  <c r="Z28" i="24" s="1"/>
  <c r="AS31" i="5"/>
  <c r="AR31" i="5"/>
  <c r="AQ31" i="5"/>
  <c r="W28" i="24" s="1"/>
  <c r="AM31" i="5"/>
  <c r="AL31" i="5"/>
  <c r="AK31" i="5"/>
  <c r="AI31" i="5"/>
  <c r="AH31" i="5"/>
  <c r="AG31" i="5"/>
  <c r="AE31" i="5"/>
  <c r="AC31" i="5"/>
  <c r="AB31" i="5"/>
  <c r="AA31" i="5"/>
  <c r="Z31" i="5"/>
  <c r="V31" i="5"/>
  <c r="U31" i="5"/>
  <c r="T31" i="5"/>
  <c r="Q28" i="24" s="1"/>
  <c r="R31" i="5"/>
  <c r="Q31" i="5"/>
  <c r="P31" i="5"/>
  <c r="L31" i="5"/>
  <c r="K31" i="5"/>
  <c r="J31" i="5"/>
  <c r="I28" i="24" s="1"/>
  <c r="I31" i="5"/>
  <c r="H28" i="24" s="1"/>
  <c r="G31" i="5"/>
  <c r="F31" i="5"/>
  <c r="E31" i="5"/>
  <c r="E28" i="24" s="1"/>
  <c r="C31" i="5"/>
  <c r="B31" i="5"/>
  <c r="B28" i="24" s="1"/>
  <c r="BP30" i="5"/>
  <c r="BO30" i="5"/>
  <c r="BN30" i="5"/>
  <c r="BM30" i="5"/>
  <c r="BL30" i="5"/>
  <c r="BK30" i="5"/>
  <c r="BJ30" i="5"/>
  <c r="BI30" i="5"/>
  <c r="BH30" i="5"/>
  <c r="BG30" i="5"/>
  <c r="BF30" i="5"/>
  <c r="BE30" i="5"/>
  <c r="BD30" i="5"/>
  <c r="BC30" i="5"/>
  <c r="BB30" i="5"/>
  <c r="BA30" i="5"/>
  <c r="AW30" i="5"/>
  <c r="AV30" i="5"/>
  <c r="AU30" i="5"/>
  <c r="Z27" i="24" s="1"/>
  <c r="AS30" i="5"/>
  <c r="AR30" i="5"/>
  <c r="AQ30" i="5"/>
  <c r="W27" i="24" s="1"/>
  <c r="AM30" i="5"/>
  <c r="AL30" i="5"/>
  <c r="AK30" i="5"/>
  <c r="AI30" i="5"/>
  <c r="AH30" i="5"/>
  <c r="AG30" i="5"/>
  <c r="AE30" i="5"/>
  <c r="AC30" i="5"/>
  <c r="AB30" i="5"/>
  <c r="AA30" i="5"/>
  <c r="Z30" i="5"/>
  <c r="V30" i="5"/>
  <c r="U30" i="5"/>
  <c r="T30" i="5"/>
  <c r="Q27" i="24" s="1"/>
  <c r="R30" i="5"/>
  <c r="Q30" i="5"/>
  <c r="P30" i="5"/>
  <c r="L30" i="5"/>
  <c r="K30" i="5"/>
  <c r="J30" i="5"/>
  <c r="I27" i="24" s="1"/>
  <c r="I30" i="5"/>
  <c r="H27" i="24" s="1"/>
  <c r="G30" i="5"/>
  <c r="F30" i="5"/>
  <c r="E30" i="5"/>
  <c r="E27" i="24" s="1"/>
  <c r="C30" i="5"/>
  <c r="C27" i="24" s="1"/>
  <c r="B30" i="5"/>
  <c r="B27" i="24" s="1"/>
  <c r="AW29" i="5"/>
  <c r="AV29" i="5"/>
  <c r="AU29" i="5"/>
  <c r="AS29" i="5"/>
  <c r="AR29" i="5"/>
  <c r="AQ29" i="5"/>
  <c r="V29" i="5"/>
  <c r="U29" i="5"/>
  <c r="T29" i="5"/>
  <c r="R29" i="5"/>
  <c r="Q29" i="5"/>
  <c r="P29" i="5"/>
  <c r="L29" i="5"/>
  <c r="K29" i="5"/>
  <c r="J29" i="5"/>
  <c r="I29" i="5"/>
  <c r="G29" i="5"/>
  <c r="F29" i="5"/>
  <c r="E29" i="5"/>
  <c r="C29" i="5"/>
  <c r="B29" i="5"/>
  <c r="BP28" i="5"/>
  <c r="BO28" i="5"/>
  <c r="BN28" i="5"/>
  <c r="BM28" i="5"/>
  <c r="BL28" i="5"/>
  <c r="BK28" i="5"/>
  <c r="BJ28" i="5"/>
  <c r="BI28" i="5"/>
  <c r="BH28" i="5"/>
  <c r="BG28" i="5"/>
  <c r="BF28" i="5"/>
  <c r="BE28" i="5"/>
  <c r="BD28" i="5"/>
  <c r="BC28" i="5"/>
  <c r="AM28" i="5"/>
  <c r="AL28" i="5"/>
  <c r="AK28" i="5"/>
  <c r="AI28" i="5"/>
  <c r="AH28" i="5"/>
  <c r="AG28" i="5"/>
  <c r="AB62" i="5" s="1"/>
  <c r="AE28" i="5"/>
  <c r="Z62" i="5" s="1"/>
  <c r="AC28" i="5"/>
  <c r="AB28" i="5"/>
  <c r="AA28" i="5"/>
  <c r="Z28" i="5"/>
  <c r="BP27" i="5"/>
  <c r="BO27" i="5"/>
  <c r="BN27" i="5"/>
  <c r="BM27" i="5"/>
  <c r="BL27" i="5"/>
  <c r="BK27" i="5"/>
  <c r="BJ27" i="5"/>
  <c r="BI27" i="5"/>
  <c r="BH27" i="5"/>
  <c r="BG27" i="5"/>
  <c r="BF27" i="5"/>
  <c r="BE27" i="5"/>
  <c r="BD27" i="5"/>
  <c r="BC27" i="5"/>
  <c r="BB27" i="5"/>
  <c r="BA27" i="5"/>
  <c r="AW27" i="5"/>
  <c r="AV27" i="5"/>
  <c r="AU27" i="5"/>
  <c r="AS27" i="5"/>
  <c r="AR27" i="5"/>
  <c r="AQ27" i="5"/>
  <c r="AM27" i="5"/>
  <c r="AL27" i="5"/>
  <c r="AK27" i="5"/>
  <c r="AI27" i="5"/>
  <c r="AH27" i="5"/>
  <c r="AG27" i="5"/>
  <c r="AB61" i="5" s="1"/>
  <c r="AE27" i="5"/>
  <c r="Z61" i="5" s="1"/>
  <c r="AC27" i="5"/>
  <c r="AB27" i="5"/>
  <c r="AA27" i="5"/>
  <c r="Z27" i="5"/>
  <c r="V27" i="5"/>
  <c r="U27" i="5"/>
  <c r="T27" i="5"/>
  <c r="R27" i="5"/>
  <c r="Q27" i="5"/>
  <c r="P27" i="5"/>
  <c r="L27" i="5"/>
  <c r="K27" i="5"/>
  <c r="J27" i="5"/>
  <c r="I27" i="5"/>
  <c r="G27" i="5"/>
  <c r="F27" i="5"/>
  <c r="E27" i="5"/>
  <c r="C27" i="5"/>
  <c r="B27" i="5"/>
  <c r="BP26" i="5"/>
  <c r="BO26" i="5"/>
  <c r="BN26" i="5"/>
  <c r="BM26" i="5"/>
  <c r="BL26" i="5"/>
  <c r="BK26" i="5"/>
  <c r="BJ26" i="5"/>
  <c r="BI26" i="5"/>
  <c r="BH26" i="5"/>
  <c r="BG26" i="5"/>
  <c r="BF26" i="5"/>
  <c r="BE26" i="5"/>
  <c r="BD26" i="5"/>
  <c r="BC26" i="5"/>
  <c r="BB26" i="5"/>
  <c r="BA26" i="5"/>
  <c r="AW26" i="5"/>
  <c r="AV26" i="5"/>
  <c r="AU26" i="5"/>
  <c r="AS26" i="5"/>
  <c r="AR26" i="5"/>
  <c r="AQ26" i="5"/>
  <c r="AM26" i="5"/>
  <c r="AL26" i="5"/>
  <c r="AK26" i="5"/>
  <c r="AI26" i="5"/>
  <c r="AH26" i="5"/>
  <c r="AG26" i="5"/>
  <c r="AB60" i="5" s="1"/>
  <c r="AE26" i="5"/>
  <c r="Z60" i="5" s="1"/>
  <c r="AC26" i="5"/>
  <c r="AB26" i="5"/>
  <c r="AA26" i="5"/>
  <c r="Z26" i="5"/>
  <c r="V26" i="5"/>
  <c r="U26" i="5"/>
  <c r="T26" i="5"/>
  <c r="R26" i="5"/>
  <c r="Q26" i="5"/>
  <c r="P26" i="5"/>
  <c r="L26" i="5"/>
  <c r="K26" i="5"/>
  <c r="J26" i="5"/>
  <c r="I26" i="5"/>
  <c r="G26" i="5"/>
  <c r="F26" i="5"/>
  <c r="E26" i="5"/>
  <c r="C26" i="5"/>
  <c r="B26" i="5"/>
  <c r="BP25" i="5"/>
  <c r="BO25" i="5"/>
  <c r="BN25" i="5"/>
  <c r="BM25" i="5"/>
  <c r="BL25" i="5"/>
  <c r="BK25" i="5"/>
  <c r="BJ25" i="5"/>
  <c r="BI25" i="5"/>
  <c r="BH25" i="5"/>
  <c r="BG25" i="5"/>
  <c r="BF25" i="5"/>
  <c r="BE25" i="5"/>
  <c r="BD25" i="5"/>
  <c r="BC25" i="5"/>
  <c r="BB25" i="5"/>
  <c r="BA25" i="5"/>
  <c r="AW25" i="5"/>
  <c r="AV25" i="5"/>
  <c r="AU25" i="5"/>
  <c r="AS25" i="5"/>
  <c r="AR25" i="5"/>
  <c r="AQ25" i="5"/>
  <c r="AM25" i="5"/>
  <c r="AL25" i="5"/>
  <c r="AK25" i="5"/>
  <c r="AI25" i="5"/>
  <c r="AH25" i="5"/>
  <c r="AG25" i="5"/>
  <c r="AB59" i="5" s="1"/>
  <c r="AE25" i="5"/>
  <c r="Z59" i="5" s="1"/>
  <c r="AC25" i="5"/>
  <c r="AB25" i="5"/>
  <c r="AA25" i="5"/>
  <c r="Z25" i="5"/>
  <c r="V25" i="5"/>
  <c r="U25" i="5"/>
  <c r="T25" i="5"/>
  <c r="R25" i="5"/>
  <c r="Q25" i="5"/>
  <c r="P25" i="5"/>
  <c r="L25" i="5"/>
  <c r="K25" i="5"/>
  <c r="J25" i="5"/>
  <c r="I25" i="5"/>
  <c r="G25" i="5"/>
  <c r="F25" i="5"/>
  <c r="E25" i="5"/>
  <c r="C25" i="5"/>
  <c r="B25" i="5"/>
  <c r="BP24" i="5"/>
  <c r="BO24" i="5"/>
  <c r="BN24" i="5"/>
  <c r="BM24" i="5"/>
  <c r="BL24" i="5"/>
  <c r="BK24" i="5"/>
  <c r="BJ24" i="5"/>
  <c r="BI24" i="5"/>
  <c r="BH24" i="5"/>
  <c r="BG24" i="5"/>
  <c r="BF24" i="5"/>
  <c r="BE24" i="5"/>
  <c r="BD24" i="5"/>
  <c r="BC24" i="5"/>
  <c r="BB24" i="5"/>
  <c r="BA24" i="5"/>
  <c r="AW24" i="5"/>
  <c r="AV24" i="5"/>
  <c r="AU24" i="5"/>
  <c r="AS24" i="5"/>
  <c r="AR24" i="5"/>
  <c r="AQ24" i="5"/>
  <c r="AM24" i="5"/>
  <c r="AL24" i="5"/>
  <c r="AK24" i="5"/>
  <c r="AI24" i="5"/>
  <c r="AH24" i="5"/>
  <c r="AG24" i="5"/>
  <c r="AB58" i="5" s="1"/>
  <c r="AE24" i="5"/>
  <c r="AC24" i="5"/>
  <c r="AB24" i="5"/>
  <c r="AA24" i="5"/>
  <c r="Z24" i="5"/>
  <c r="V24" i="5"/>
  <c r="U24" i="5"/>
  <c r="T24" i="5"/>
  <c r="R24" i="5"/>
  <c r="Q24" i="5"/>
  <c r="P24" i="5"/>
  <c r="BB22" i="12" s="1"/>
  <c r="L24" i="5"/>
  <c r="K24" i="5"/>
  <c r="J24" i="5"/>
  <c r="I24" i="5"/>
  <c r="G24" i="5"/>
  <c r="F24" i="5"/>
  <c r="E24" i="5"/>
  <c r="C24" i="5"/>
  <c r="B24" i="5"/>
  <c r="BP23" i="5"/>
  <c r="BO23" i="5"/>
  <c r="BN23" i="5"/>
  <c r="BM23" i="5"/>
  <c r="BL23" i="5"/>
  <c r="BK23" i="5"/>
  <c r="BJ23" i="5"/>
  <c r="BI23" i="5"/>
  <c r="BH23" i="5"/>
  <c r="BG23" i="5"/>
  <c r="BF23" i="5"/>
  <c r="BE23" i="5"/>
  <c r="BD23" i="5"/>
  <c r="BC23" i="5"/>
  <c r="BB23" i="5"/>
  <c r="BA23" i="5"/>
  <c r="AW23" i="5"/>
  <c r="AV23" i="5"/>
  <c r="AU23" i="5"/>
  <c r="AS23" i="5"/>
  <c r="AR23" i="5"/>
  <c r="AQ23" i="5"/>
  <c r="AM23" i="5"/>
  <c r="AL23" i="5"/>
  <c r="AK23" i="5"/>
  <c r="AI23" i="5"/>
  <c r="AH23" i="5"/>
  <c r="AG23" i="5"/>
  <c r="AK52" i="5" s="1"/>
  <c r="AE23" i="5"/>
  <c r="AC23" i="5"/>
  <c r="AB23" i="5"/>
  <c r="AA23" i="5"/>
  <c r="O15" i="6" s="1"/>
  <c r="Z23" i="5"/>
  <c r="V23" i="5"/>
  <c r="U23" i="5"/>
  <c r="T23" i="5"/>
  <c r="R23" i="5"/>
  <c r="Q23" i="5"/>
  <c r="P23" i="5"/>
  <c r="L23" i="5"/>
  <c r="K23" i="5"/>
  <c r="J23" i="5"/>
  <c r="I23" i="5"/>
  <c r="G23" i="5"/>
  <c r="F23" i="5"/>
  <c r="E23" i="5"/>
  <c r="C23" i="5"/>
  <c r="B23" i="5"/>
  <c r="BP22" i="5"/>
  <c r="BO22" i="5"/>
  <c r="BN22" i="5"/>
  <c r="BM22" i="5"/>
  <c r="BL22" i="5"/>
  <c r="BK22" i="5"/>
  <c r="BJ22" i="5"/>
  <c r="BI22" i="5"/>
  <c r="BH22" i="5"/>
  <c r="BG22" i="5"/>
  <c r="BF22" i="5"/>
  <c r="BE22" i="5"/>
  <c r="BD22" i="5"/>
  <c r="BC22" i="5"/>
  <c r="BB22" i="5"/>
  <c r="BA22" i="5"/>
  <c r="AW22" i="5"/>
  <c r="AV22" i="5"/>
  <c r="AU22" i="5"/>
  <c r="AS22" i="5"/>
  <c r="AR22" i="5"/>
  <c r="AQ22" i="5"/>
  <c r="AM22" i="5"/>
  <c r="AL22" i="5"/>
  <c r="AK22" i="5"/>
  <c r="AI22" i="5"/>
  <c r="AH22" i="5"/>
  <c r="AG22" i="5"/>
  <c r="AB57" i="5" s="1"/>
  <c r="AE22" i="5"/>
  <c r="Z57" i="5" s="1"/>
  <c r="AC22" i="5"/>
  <c r="AB22" i="5"/>
  <c r="AA22" i="5"/>
  <c r="Z22" i="5"/>
  <c r="V22" i="5"/>
  <c r="U22" i="5"/>
  <c r="T22" i="5"/>
  <c r="R22" i="5"/>
  <c r="Q22" i="5"/>
  <c r="P22" i="5"/>
  <c r="BB20" i="12" s="1"/>
  <c r="L22" i="5"/>
  <c r="K22" i="5"/>
  <c r="J22" i="5"/>
  <c r="I22" i="5"/>
  <c r="G22" i="5"/>
  <c r="F22" i="5"/>
  <c r="E22" i="5"/>
  <c r="C22" i="5"/>
  <c r="B22" i="5"/>
  <c r="BP21" i="5"/>
  <c r="BO21" i="5"/>
  <c r="BN21" i="5"/>
  <c r="BM21" i="5"/>
  <c r="BL21" i="5"/>
  <c r="BK21" i="5"/>
  <c r="BJ21" i="5"/>
  <c r="BI21" i="5"/>
  <c r="BH21" i="5"/>
  <c r="BG21" i="5"/>
  <c r="BF21" i="5"/>
  <c r="BE21" i="5"/>
  <c r="BD21" i="5"/>
  <c r="BC21" i="5"/>
  <c r="BB21" i="5"/>
  <c r="BA21" i="5"/>
  <c r="AW21" i="5"/>
  <c r="AV21" i="5"/>
  <c r="AU21" i="5"/>
  <c r="AS21" i="5"/>
  <c r="AR21" i="5"/>
  <c r="AQ21" i="5"/>
  <c r="AM21" i="5"/>
  <c r="AL21" i="5"/>
  <c r="AK21" i="5"/>
  <c r="AI21" i="5"/>
  <c r="AH21" i="5"/>
  <c r="AG21" i="5"/>
  <c r="AB56" i="5" s="1"/>
  <c r="AE21" i="5"/>
  <c r="AC21" i="5"/>
  <c r="AB21" i="5"/>
  <c r="AA21" i="5"/>
  <c r="Z21" i="5"/>
  <c r="V21" i="5"/>
  <c r="U21" i="5"/>
  <c r="T21" i="5"/>
  <c r="R21" i="5"/>
  <c r="Q21" i="5"/>
  <c r="P21" i="5"/>
  <c r="L21" i="5"/>
  <c r="K21" i="5"/>
  <c r="J21" i="5"/>
  <c r="I21" i="5"/>
  <c r="G21" i="5"/>
  <c r="F21" i="5"/>
  <c r="E21" i="5"/>
  <c r="C21" i="5"/>
  <c r="B21" i="5"/>
  <c r="BP20" i="5"/>
  <c r="BO20" i="5"/>
  <c r="BN20" i="5"/>
  <c r="BM20" i="5"/>
  <c r="BL20" i="5"/>
  <c r="BK20" i="5"/>
  <c r="BJ20" i="5"/>
  <c r="BI20" i="5"/>
  <c r="BH20" i="5"/>
  <c r="BG20" i="5"/>
  <c r="BF20" i="5"/>
  <c r="BE20" i="5"/>
  <c r="BD20" i="5"/>
  <c r="BC20" i="5"/>
  <c r="BB20" i="5"/>
  <c r="BA20" i="5"/>
  <c r="AW20" i="5"/>
  <c r="AV20" i="5"/>
  <c r="AU20" i="5"/>
  <c r="AS20" i="5"/>
  <c r="AR20" i="5"/>
  <c r="AQ20" i="5"/>
  <c r="AM20" i="5"/>
  <c r="AL20" i="5"/>
  <c r="AK20" i="5"/>
  <c r="K15" i="6" l="1"/>
  <c r="K97" i="35"/>
  <c r="K96" i="35"/>
  <c r="J96" i="35"/>
  <c r="K102" i="35"/>
  <c r="U79" i="35" s="1"/>
  <c r="K101" i="35"/>
  <c r="AM16" i="24"/>
  <c r="K100" i="35"/>
  <c r="S79" i="35" s="1"/>
  <c r="K103" i="35"/>
  <c r="V79" i="35" s="1"/>
  <c r="J103" i="35"/>
  <c r="I79" i="35" s="1"/>
  <c r="J102" i="35"/>
  <c r="H79" i="35" s="1"/>
  <c r="J101" i="35"/>
  <c r="I97" i="35"/>
  <c r="I96" i="35"/>
  <c r="I101" i="35"/>
  <c r="I102" i="35"/>
  <c r="AH79" i="35" s="1"/>
  <c r="I103" i="35"/>
  <c r="AI79" i="35" s="1"/>
  <c r="H101" i="35"/>
  <c r="H102" i="35"/>
  <c r="AU79" i="35" s="1"/>
  <c r="H103" i="35"/>
  <c r="AV79" i="35" s="1"/>
  <c r="Z56" i="5"/>
  <c r="Z58" i="5"/>
  <c r="AD58" i="5" s="1"/>
  <c r="L17" i="6"/>
  <c r="J17" i="6" s="1"/>
  <c r="J15" i="6"/>
  <c r="AX20" i="5"/>
  <c r="M17" i="6"/>
  <c r="K17" i="6" s="1"/>
  <c r="AJ24" i="5"/>
  <c r="E17" i="10"/>
  <c r="G17" i="10" s="1"/>
  <c r="E13" i="10"/>
  <c r="E16" i="10"/>
  <c r="E15" i="10"/>
  <c r="E14" i="10"/>
  <c r="D24" i="24"/>
  <c r="AX24" i="5"/>
  <c r="M25" i="5"/>
  <c r="AD31" i="5"/>
  <c r="AJ31" i="5"/>
  <c r="AJ32" i="5"/>
  <c r="W33" i="5"/>
  <c r="AD33" i="5"/>
  <c r="AJ33" i="5"/>
  <c r="W34" i="5"/>
  <c r="AD34" i="5"/>
  <c r="AJ35" i="5"/>
  <c r="AT20" i="5"/>
  <c r="B19" i="24"/>
  <c r="D24" i="5"/>
  <c r="H29" i="5"/>
  <c r="AX30" i="5"/>
  <c r="AA27" i="24" s="1"/>
  <c r="S32" i="5"/>
  <c r="AX34" i="5"/>
  <c r="S36" i="5"/>
  <c r="H37" i="5"/>
  <c r="M37" i="5"/>
  <c r="AK47" i="5"/>
  <c r="AN24" i="5"/>
  <c r="AX39" i="5"/>
  <c r="H24" i="5"/>
  <c r="AT24" i="5"/>
  <c r="W36" i="5"/>
  <c r="AT36" i="5"/>
  <c r="AT42" i="5"/>
  <c r="B23" i="14" s="1"/>
  <c r="H43" i="5"/>
  <c r="S21" i="5"/>
  <c r="M36" i="5"/>
  <c r="AX36" i="5"/>
  <c r="H41" i="5"/>
  <c r="M41" i="5"/>
  <c r="J19" i="24" s="1"/>
  <c r="AX41" i="5"/>
  <c r="AA24" i="13" s="1"/>
  <c r="S42" i="5"/>
  <c r="AN20" i="5"/>
  <c r="AO16" i="24" s="1"/>
  <c r="D21" i="5"/>
  <c r="AN21" i="5"/>
  <c r="D22" i="5"/>
  <c r="AN22" i="5"/>
  <c r="W25" i="5"/>
  <c r="AJ25" i="5"/>
  <c r="W26" i="5"/>
  <c r="AD26" i="5"/>
  <c r="AJ26" i="5"/>
  <c r="W27" i="5"/>
  <c r="AD27" i="5"/>
  <c r="AT29" i="5"/>
  <c r="B17" i="14" s="1"/>
  <c r="M30" i="5"/>
  <c r="J27" i="24" s="1"/>
  <c r="K27" i="24" s="1"/>
  <c r="H31" i="5"/>
  <c r="AT31" i="5"/>
  <c r="X28" i="24" s="1"/>
  <c r="Y28" i="24" s="1"/>
  <c r="H35" i="5"/>
  <c r="AT35" i="5"/>
  <c r="W37" i="5"/>
  <c r="AX37" i="5"/>
  <c r="AJ23" i="5"/>
  <c r="M24" i="5"/>
  <c r="AF24" i="5"/>
  <c r="AX27" i="5"/>
  <c r="AJ28" i="5"/>
  <c r="W21" i="5"/>
  <c r="AJ21" i="5"/>
  <c r="W22" i="5"/>
  <c r="AD22" i="5"/>
  <c r="S25" i="5"/>
  <c r="AX25" i="5"/>
  <c r="S26" i="5"/>
  <c r="AN28" i="5"/>
  <c r="W29" i="5"/>
  <c r="M31" i="5"/>
  <c r="J28" i="24" s="1"/>
  <c r="AN31" i="5"/>
  <c r="D32" i="5"/>
  <c r="D29" i="24" s="1"/>
  <c r="M32" i="5"/>
  <c r="J29" i="24" s="1"/>
  <c r="AN33" i="5"/>
  <c r="H34" i="5"/>
  <c r="AT34" i="5"/>
  <c r="D35" i="5"/>
  <c r="AN35" i="5"/>
  <c r="S37" i="5"/>
  <c r="AT37" i="5"/>
  <c r="M38" i="5"/>
  <c r="M39" i="5"/>
  <c r="S41" i="5"/>
  <c r="W42" i="5"/>
  <c r="C19" i="24"/>
  <c r="D23" i="24"/>
  <c r="Y25" i="13"/>
  <c r="H21" i="5"/>
  <c r="M21" i="5"/>
  <c r="AD57" i="5"/>
  <c r="AT22" i="5"/>
  <c r="M23" i="5"/>
  <c r="AX23" i="5"/>
  <c r="AD24" i="5"/>
  <c r="D25" i="5"/>
  <c r="AN26" i="5"/>
  <c r="H27" i="5"/>
  <c r="AT27" i="5"/>
  <c r="AJ30" i="5"/>
  <c r="AX31" i="5"/>
  <c r="W32" i="5"/>
  <c r="AX32" i="5"/>
  <c r="AA29" i="24" s="1"/>
  <c r="S33" i="5"/>
  <c r="W30" i="24"/>
  <c r="W31" i="24" s="1"/>
  <c r="W35" i="5"/>
  <c r="AX35" i="5"/>
  <c r="D37" i="5"/>
  <c r="D38" i="5"/>
  <c r="W38" i="5"/>
  <c r="AT38" i="5"/>
  <c r="W39" i="5"/>
  <c r="AT39" i="5"/>
  <c r="AX42" i="5"/>
  <c r="Y24" i="13" s="1"/>
  <c r="F24" i="24"/>
  <c r="G24" i="24" s="1"/>
  <c r="I72" i="5"/>
  <c r="AD21" i="5"/>
  <c r="AQ71" i="5"/>
  <c r="AX21" i="5"/>
  <c r="S22" i="5"/>
  <c r="AJ22" i="5"/>
  <c r="D23" i="5"/>
  <c r="W23" i="5"/>
  <c r="AD23" i="5"/>
  <c r="AN23" i="5"/>
  <c r="S24" i="5"/>
  <c r="AT25" i="5"/>
  <c r="H26" i="5"/>
  <c r="M26" i="5"/>
  <c r="AX26" i="5"/>
  <c r="S27" i="5"/>
  <c r="AJ27" i="5"/>
  <c r="AD28" i="5"/>
  <c r="S29" i="5"/>
  <c r="W30" i="5"/>
  <c r="AD30" i="5"/>
  <c r="AN30" i="5"/>
  <c r="S31" i="5"/>
  <c r="AT32" i="5"/>
  <c r="H33" i="5"/>
  <c r="M33" i="5"/>
  <c r="AX33" i="5"/>
  <c r="S34" i="5"/>
  <c r="AJ34" i="5"/>
  <c r="M35" i="5"/>
  <c r="AF35" i="5"/>
  <c r="H36" i="5"/>
  <c r="AT41" i="5"/>
  <c r="H42" i="5"/>
  <c r="M42" i="5"/>
  <c r="D43" i="5"/>
  <c r="AU71" i="5"/>
  <c r="H23" i="5"/>
  <c r="AT23" i="5"/>
  <c r="W24" i="5"/>
  <c r="AD25" i="5"/>
  <c r="D27" i="5"/>
  <c r="AN27" i="5"/>
  <c r="AF28" i="5"/>
  <c r="D29" i="5"/>
  <c r="H30" i="5"/>
  <c r="F27" i="24" s="1"/>
  <c r="G27" i="24" s="1"/>
  <c r="AT30" i="5"/>
  <c r="W31" i="5"/>
  <c r="AD32" i="5"/>
  <c r="I30" i="24"/>
  <c r="I31" i="24" s="1"/>
  <c r="Z30" i="24"/>
  <c r="Z31" i="24" s="1"/>
  <c r="D34" i="5"/>
  <c r="AN34" i="5"/>
  <c r="S35" i="5"/>
  <c r="S38" i="5"/>
  <c r="S39" i="5"/>
  <c r="E72" i="5"/>
  <c r="AT21" i="5"/>
  <c r="H22" i="5"/>
  <c r="M22" i="5"/>
  <c r="AX22" i="5"/>
  <c r="S23" i="5"/>
  <c r="H25" i="5"/>
  <c r="AN25" i="5"/>
  <c r="D26" i="5"/>
  <c r="AD60" i="5"/>
  <c r="AT26" i="5"/>
  <c r="M27" i="5"/>
  <c r="AD61" i="5"/>
  <c r="M29" i="5"/>
  <c r="AX29" i="5"/>
  <c r="Y18" i="13" s="1"/>
  <c r="S30" i="5"/>
  <c r="D31" i="5"/>
  <c r="D28" i="24" s="1"/>
  <c r="C28" i="24" s="1"/>
  <c r="AF31" i="5"/>
  <c r="H32" i="5"/>
  <c r="AN32" i="5"/>
  <c r="B30" i="24"/>
  <c r="Q30" i="24"/>
  <c r="AT33" i="5"/>
  <c r="M34" i="5"/>
  <c r="AD35" i="5"/>
  <c r="D36" i="5"/>
  <c r="H38" i="5"/>
  <c r="AX38" i="5"/>
  <c r="W41" i="5"/>
  <c r="R19" i="24" s="1"/>
  <c r="S19" i="24" s="1"/>
  <c r="D42" i="5"/>
  <c r="F23" i="24"/>
  <c r="G23" i="24" s="1"/>
  <c r="J23" i="24"/>
  <c r="K23" i="24" s="1"/>
  <c r="T24" i="13"/>
  <c r="N15" i="6"/>
  <c r="N19" i="24"/>
  <c r="BB39" i="12"/>
  <c r="AG17" i="12"/>
  <c r="BB27" i="12"/>
  <c r="AG11" i="12"/>
  <c r="N27" i="24"/>
  <c r="AG12" i="12"/>
  <c r="BB28" i="12"/>
  <c r="AI19" i="24"/>
  <c r="Z63" i="5"/>
  <c r="BB32" i="12"/>
  <c r="AG14" i="12"/>
  <c r="AI20" i="24"/>
  <c r="AI54" i="5"/>
  <c r="AA47" i="5"/>
  <c r="D17" i="10"/>
  <c r="B51" i="10"/>
  <c r="AA23" i="24"/>
  <c r="AB23" i="24" s="1"/>
  <c r="AP22" i="12"/>
  <c r="AS22" i="12"/>
  <c r="AF21" i="5"/>
  <c r="AF25" i="5"/>
  <c r="AD62" i="5"/>
  <c r="AF19" i="24"/>
  <c r="AF32" i="5"/>
  <c r="E30" i="24"/>
  <c r="H30" i="24"/>
  <c r="H31" i="24" s="1"/>
  <c r="AF20" i="24"/>
  <c r="E19" i="24"/>
  <c r="Q15" i="6"/>
  <c r="P15" i="6"/>
  <c r="AI52" i="5"/>
  <c r="AM52" i="5" s="1"/>
  <c r="N20" i="24"/>
  <c r="BB40" i="12"/>
  <c r="B46" i="10"/>
  <c r="B20" i="10"/>
  <c r="D13" i="10"/>
  <c r="R23" i="24"/>
  <c r="S23" i="24" s="1"/>
  <c r="O23" i="24"/>
  <c r="P23" i="24" s="1"/>
  <c r="N28" i="24"/>
  <c r="BB29" i="12"/>
  <c r="AD64" i="5"/>
  <c r="BB33" i="12"/>
  <c r="AG20" i="12"/>
  <c r="E35" i="11"/>
  <c r="E27" i="11" s="1"/>
  <c r="E17" i="6"/>
  <c r="AI39" i="14"/>
  <c r="AV40" i="14" s="1"/>
  <c r="AI40" i="14"/>
  <c r="AI37" i="14"/>
  <c r="AI36" i="14"/>
  <c r="AI34" i="14"/>
  <c r="AI33" i="14"/>
  <c r="AI30" i="14"/>
  <c r="AI28" i="14"/>
  <c r="AI31" i="14"/>
  <c r="AI27" i="14"/>
  <c r="AI22" i="14"/>
  <c r="AI25" i="14"/>
  <c r="AI24" i="14"/>
  <c r="AV25" i="14" s="1"/>
  <c r="AI19" i="14"/>
  <c r="AI21" i="14"/>
  <c r="AI17" i="14"/>
  <c r="AH17" i="14" s="1"/>
  <c r="AI15" i="14"/>
  <c r="AI12" i="14"/>
  <c r="AI14" i="14"/>
  <c r="AI11" i="14"/>
  <c r="D18" i="10"/>
  <c r="B52" i="10"/>
  <c r="O24" i="24"/>
  <c r="P24" i="24" s="1"/>
  <c r="D15" i="10"/>
  <c r="AQ18" i="12"/>
  <c r="AT18" i="12" s="1"/>
  <c r="AF22" i="5"/>
  <c r="AD59" i="5"/>
  <c r="AF26" i="5"/>
  <c r="AE19" i="24"/>
  <c r="B29" i="24"/>
  <c r="D33" i="5"/>
  <c r="AF33" i="5"/>
  <c r="AD65" i="5"/>
  <c r="AE20" i="24"/>
  <c r="AN23" i="24"/>
  <c r="AM23" i="24" s="1"/>
  <c r="AO23" i="24" s="1"/>
  <c r="AN24" i="24"/>
  <c r="AM24" i="24" s="1"/>
  <c r="F17" i="6"/>
  <c r="D41" i="5"/>
  <c r="N30" i="24"/>
  <c r="AG15" i="12"/>
  <c r="BB31" i="12"/>
  <c r="W16" i="24"/>
  <c r="AQ68" i="5"/>
  <c r="AQ72" i="5"/>
  <c r="Z16" i="24"/>
  <c r="AU72" i="5"/>
  <c r="AU68" i="5"/>
  <c r="BB19" i="12"/>
  <c r="P72" i="5"/>
  <c r="AK19" i="24"/>
  <c r="AB63" i="5"/>
  <c r="N29" i="24"/>
  <c r="BB30" i="12"/>
  <c r="AG13" i="12"/>
  <c r="AK20" i="24"/>
  <c r="AK54" i="5"/>
  <c r="BB34" i="12"/>
  <c r="C36" i="11"/>
  <c r="D17" i="6"/>
  <c r="AA23" i="11"/>
  <c r="AA19" i="11"/>
  <c r="B47" i="10"/>
  <c r="D14" i="10"/>
  <c r="X23" i="24"/>
  <c r="Y23" i="24" s="1"/>
  <c r="E52" i="10"/>
  <c r="G52" i="10" s="1"/>
  <c r="G18" i="10"/>
  <c r="AB23" i="11"/>
  <c r="AB19" i="11"/>
  <c r="J72" i="5"/>
  <c r="T72" i="5"/>
  <c r="AF23" i="5"/>
  <c r="C118" i="35" s="1"/>
  <c r="AF27" i="5"/>
  <c r="D30" i="5"/>
  <c r="D27" i="24" s="1"/>
  <c r="AF30" i="5"/>
  <c r="AM19" i="24"/>
  <c r="C30" i="24"/>
  <c r="AF34" i="5"/>
  <c r="AM20" i="24"/>
  <c r="C20" i="24"/>
  <c r="B20" i="24" s="1"/>
  <c r="J24" i="24"/>
  <c r="K24" i="24" s="1"/>
  <c r="AI20" i="5"/>
  <c r="AH20" i="5"/>
  <c r="AG20" i="5"/>
  <c r="AE20" i="5"/>
  <c r="AC20" i="5"/>
  <c r="AB20" i="5"/>
  <c r="AA20" i="5"/>
  <c r="Z20" i="5"/>
  <c r="V20" i="5"/>
  <c r="U20" i="5"/>
  <c r="T20" i="5"/>
  <c r="Q16" i="24" s="1"/>
  <c r="R20" i="5"/>
  <c r="Q20" i="5"/>
  <c r="P20" i="5"/>
  <c r="L20" i="5"/>
  <c r="K20" i="5"/>
  <c r="J20" i="5"/>
  <c r="I20" i="5"/>
  <c r="G20" i="5"/>
  <c r="F20" i="5"/>
  <c r="E20" i="5"/>
  <c r="C20" i="5"/>
  <c r="B20" i="5"/>
  <c r="B16" i="24" s="1"/>
  <c r="BP18" i="5"/>
  <c r="BO18" i="5"/>
  <c r="BN18" i="5"/>
  <c r="BM18" i="5"/>
  <c r="BL18" i="5"/>
  <c r="BK18" i="5"/>
  <c r="BJ18" i="5"/>
  <c r="BI18" i="5"/>
  <c r="BH18" i="5"/>
  <c r="BG18" i="5"/>
  <c r="BF18" i="5"/>
  <c r="BE18" i="5"/>
  <c r="BD18" i="5"/>
  <c r="BC18" i="5"/>
  <c r="BB18" i="5"/>
  <c r="BA18" i="5"/>
  <c r="AW18" i="5"/>
  <c r="AV18" i="5"/>
  <c r="AU18" i="5"/>
  <c r="AS18" i="5"/>
  <c r="AR18" i="5"/>
  <c r="AQ18" i="5"/>
  <c r="AM18" i="5"/>
  <c r="AL18" i="5"/>
  <c r="AK18" i="5"/>
  <c r="AI18" i="5"/>
  <c r="AH18" i="5"/>
  <c r="AG18" i="5"/>
  <c r="AB54" i="5" s="1"/>
  <c r="AE18" i="5"/>
  <c r="AC18" i="5"/>
  <c r="AB18" i="5"/>
  <c r="AA18" i="5"/>
  <c r="Z18" i="5"/>
  <c r="V18" i="5"/>
  <c r="U18" i="5"/>
  <c r="T18" i="5"/>
  <c r="R18" i="5"/>
  <c r="Q18" i="5"/>
  <c r="P18" i="5"/>
  <c r="BB16" i="12" s="1"/>
  <c r="L18" i="5"/>
  <c r="K18" i="5"/>
  <c r="J18" i="5"/>
  <c r="I18" i="5"/>
  <c r="G18" i="5"/>
  <c r="F18" i="5"/>
  <c r="E18" i="5"/>
  <c r="C18" i="5"/>
  <c r="B18" i="5"/>
  <c r="BP17" i="5"/>
  <c r="BO17" i="5"/>
  <c r="BN17" i="5"/>
  <c r="BM17" i="5"/>
  <c r="BL17" i="5"/>
  <c r="BK17" i="5"/>
  <c r="BJ17" i="5"/>
  <c r="BI17" i="5"/>
  <c r="BH17" i="5"/>
  <c r="BG17" i="5"/>
  <c r="BF17" i="5"/>
  <c r="BE17" i="5"/>
  <c r="BD17" i="5"/>
  <c r="BC17" i="5"/>
  <c r="BB17" i="5"/>
  <c r="BA17" i="5"/>
  <c r="AW17" i="5"/>
  <c r="AV17" i="5"/>
  <c r="AU17" i="5"/>
  <c r="AS17" i="5"/>
  <c r="AR17" i="5"/>
  <c r="AQ17" i="5"/>
  <c r="AM17" i="5"/>
  <c r="AL17" i="5"/>
  <c r="AK17" i="5"/>
  <c r="AI17" i="5"/>
  <c r="AH17" i="5"/>
  <c r="AG17" i="5"/>
  <c r="AB53" i="5" s="1"/>
  <c r="AE17" i="5"/>
  <c r="AC17" i="5"/>
  <c r="AB17" i="5"/>
  <c r="AA17" i="5"/>
  <c r="Z17" i="5"/>
  <c r="V17" i="5"/>
  <c r="U17" i="5"/>
  <c r="T17" i="5"/>
  <c r="R17" i="5"/>
  <c r="Q17" i="5"/>
  <c r="P17" i="5"/>
  <c r="L17" i="5"/>
  <c r="K17" i="5"/>
  <c r="J17" i="5"/>
  <c r="I17" i="5"/>
  <c r="G17" i="5"/>
  <c r="F17" i="5"/>
  <c r="E17" i="5"/>
  <c r="C17" i="5"/>
  <c r="B17" i="5"/>
  <c r="BP16" i="5"/>
  <c r="BO16" i="5"/>
  <c r="BN16" i="5"/>
  <c r="BM16" i="5"/>
  <c r="BL16" i="5"/>
  <c r="BK16" i="5"/>
  <c r="BJ16" i="5"/>
  <c r="BI16" i="5"/>
  <c r="BH16" i="5"/>
  <c r="BG16" i="5"/>
  <c r="BF16" i="5"/>
  <c r="BE16" i="5"/>
  <c r="BD16" i="5"/>
  <c r="BC16" i="5"/>
  <c r="BB16" i="5"/>
  <c r="BA16" i="5"/>
  <c r="AW16" i="5"/>
  <c r="AV16" i="5"/>
  <c r="AU16" i="5"/>
  <c r="AS16" i="5"/>
  <c r="AR16" i="5"/>
  <c r="AQ16" i="5"/>
  <c r="AM16" i="5"/>
  <c r="AL16" i="5"/>
  <c r="AK16" i="5"/>
  <c r="AI16" i="5"/>
  <c r="AH16" i="5"/>
  <c r="AG16" i="5"/>
  <c r="AE16" i="5"/>
  <c r="AC16" i="5"/>
  <c r="AB16" i="5"/>
  <c r="AA16" i="5"/>
  <c r="Z16" i="5"/>
  <c r="V16" i="5"/>
  <c r="U16" i="5"/>
  <c r="T16" i="5"/>
  <c r="R16" i="5"/>
  <c r="Q16" i="5"/>
  <c r="P16" i="5"/>
  <c r="L16" i="5"/>
  <c r="K16" i="5"/>
  <c r="J16" i="5"/>
  <c r="I16" i="5"/>
  <c r="G16" i="5"/>
  <c r="F16" i="5"/>
  <c r="E16" i="5"/>
  <c r="C16" i="5"/>
  <c r="B16" i="5"/>
  <c r="BP15" i="5"/>
  <c r="BO15" i="5"/>
  <c r="BN15" i="5"/>
  <c r="BM15" i="5"/>
  <c r="BL15" i="5"/>
  <c r="BK15" i="5"/>
  <c r="BJ15" i="5"/>
  <c r="BI15" i="5"/>
  <c r="BH15" i="5"/>
  <c r="BG15" i="5"/>
  <c r="BF15" i="5"/>
  <c r="BE15" i="5"/>
  <c r="BD15" i="5"/>
  <c r="BD64" i="5" s="1"/>
  <c r="BC15" i="5"/>
  <c r="BC64" i="5" s="1"/>
  <c r="BB15" i="5"/>
  <c r="BA15" i="5"/>
  <c r="AW15" i="5"/>
  <c r="AV15" i="5"/>
  <c r="AU15" i="5"/>
  <c r="AS15" i="5"/>
  <c r="AR15" i="5"/>
  <c r="AQ15" i="5"/>
  <c r="AM15" i="5"/>
  <c r="AL15" i="5"/>
  <c r="AK15" i="5"/>
  <c r="AI15" i="5"/>
  <c r="AH15" i="5"/>
  <c r="AG15" i="5"/>
  <c r="AE15" i="5"/>
  <c r="AC15" i="5"/>
  <c r="AB15" i="5"/>
  <c r="AA15" i="5"/>
  <c r="Z15" i="5"/>
  <c r="V15" i="5"/>
  <c r="U15" i="5"/>
  <c r="T15" i="5"/>
  <c r="R15" i="5"/>
  <c r="Q15" i="5"/>
  <c r="P15" i="5"/>
  <c r="L15" i="5"/>
  <c r="K15" i="5"/>
  <c r="J15" i="5"/>
  <c r="I15" i="5"/>
  <c r="G15" i="5"/>
  <c r="F15" i="5"/>
  <c r="E15" i="5"/>
  <c r="C15" i="5"/>
  <c r="B15" i="5"/>
  <c r="AU10" i="5"/>
  <c r="AQ10" i="5"/>
  <c r="W10" i="5" s="1"/>
  <c r="S10" i="5" s="1"/>
  <c r="BP9" i="5"/>
  <c r="BO9" i="5"/>
  <c r="BN9" i="5"/>
  <c r="BM9" i="5"/>
  <c r="BL9" i="5"/>
  <c r="BK9" i="5"/>
  <c r="BJ9" i="5"/>
  <c r="BI9" i="5"/>
  <c r="BH9" i="5"/>
  <c r="BG9" i="5"/>
  <c r="BF9" i="5"/>
  <c r="BE9" i="5"/>
  <c r="BD9" i="5"/>
  <c r="BC9" i="5"/>
  <c r="BB9" i="5"/>
  <c r="BA9" i="5"/>
  <c r="AW9" i="5"/>
  <c r="AV9" i="5"/>
  <c r="AU9" i="5"/>
  <c r="AS9" i="5"/>
  <c r="AR9" i="5"/>
  <c r="AQ9" i="5"/>
  <c r="AM9" i="5"/>
  <c r="AL9" i="5"/>
  <c r="AK9" i="5"/>
  <c r="AI9" i="5"/>
  <c r="AH9" i="5"/>
  <c r="AG9" i="5"/>
  <c r="AE9" i="5"/>
  <c r="AC9" i="5"/>
  <c r="AB9" i="5"/>
  <c r="AA9" i="5"/>
  <c r="B49" i="35" s="1"/>
  <c r="Z9" i="5"/>
  <c r="B48" i="35" s="1"/>
  <c r="V9" i="5"/>
  <c r="U9" i="5"/>
  <c r="T9" i="5"/>
  <c r="I100" i="5" s="1"/>
  <c r="R9" i="5"/>
  <c r="Q9" i="5"/>
  <c r="P9" i="5"/>
  <c r="L9" i="5"/>
  <c r="K9" i="5"/>
  <c r="J9" i="5"/>
  <c r="E100" i="5" s="1"/>
  <c r="I9" i="5"/>
  <c r="F9" i="5"/>
  <c r="C9" i="5"/>
  <c r="B9" i="5"/>
  <c r="BC4" i="5"/>
  <c r="BA4" i="5"/>
  <c r="AQ4" i="5"/>
  <c r="AM4" i="5"/>
  <c r="Z4" i="5"/>
  <c r="E4" i="5"/>
  <c r="B4" i="5"/>
  <c r="BP3" i="5"/>
  <c r="BC3" i="5"/>
  <c r="BA3" i="5"/>
  <c r="AX3" i="5"/>
  <c r="AQ3" i="5"/>
  <c r="AN3" i="5"/>
  <c r="AM3" i="5"/>
  <c r="Z3" i="5"/>
  <c r="W3" i="5"/>
  <c r="M3" i="5"/>
  <c r="H3" i="5"/>
  <c r="F3" i="5" s="1"/>
  <c r="E3" i="5"/>
  <c r="B3" i="5"/>
  <c r="BP2" i="5"/>
  <c r="AX2" i="5"/>
  <c r="AN2" i="5"/>
  <c r="W2" i="5"/>
  <c r="T2" i="5"/>
  <c r="M2" i="5"/>
  <c r="T1" i="5"/>
  <c r="M163" i="4"/>
  <c r="L158" i="4"/>
  <c r="G152" i="4"/>
  <c r="G151" i="4"/>
  <c r="F68" i="4"/>
  <c r="E68" i="4"/>
  <c r="D68" i="4"/>
  <c r="C68" i="4"/>
  <c r="F67" i="4"/>
  <c r="E67" i="4"/>
  <c r="D67" i="4"/>
  <c r="C67" i="4"/>
  <c r="F66" i="4"/>
  <c r="E66" i="4"/>
  <c r="D66" i="4"/>
  <c r="C66" i="4"/>
  <c r="F65" i="4"/>
  <c r="E65" i="4"/>
  <c r="D65" i="4"/>
  <c r="C65" i="4"/>
  <c r="C58" i="4"/>
  <c r="C55" i="4"/>
  <c r="C52" i="4"/>
  <c r="C46" i="4"/>
  <c r="C42" i="4"/>
  <c r="C40" i="4"/>
  <c r="C38" i="4"/>
  <c r="C32" i="4"/>
  <c r="C29" i="4"/>
  <c r="C28" i="4"/>
  <c r="C26" i="4"/>
  <c r="C23" i="4"/>
  <c r="C19" i="4"/>
  <c r="C18" i="4"/>
  <c r="C17" i="4"/>
  <c r="C14" i="4"/>
  <c r="C12" i="4"/>
  <c r="C11" i="4"/>
  <c r="C10" i="4"/>
  <c r="C9" i="4"/>
  <c r="C3" i="4"/>
  <c r="C2" i="4"/>
  <c r="D49" i="14"/>
  <c r="BL64" i="5" l="1"/>
  <c r="BP64" i="5"/>
  <c r="BK64" i="5"/>
  <c r="AK49" i="5"/>
  <c r="BO64" i="5"/>
  <c r="BO65" i="5"/>
  <c r="BP65" i="5"/>
  <c r="BK65" i="5"/>
  <c r="BL65" i="5"/>
  <c r="BL66" i="5" s="1"/>
  <c r="BC65" i="5"/>
  <c r="BC66" i="5" s="1"/>
  <c r="BD65" i="5"/>
  <c r="BD66" i="5" s="1"/>
  <c r="G15" i="10"/>
  <c r="E48" i="10"/>
  <c r="G14" i="10"/>
  <c r="G16" i="10"/>
  <c r="E50" i="10"/>
  <c r="AE98" i="5"/>
  <c r="C94" i="35"/>
  <c r="AP79" i="35" s="1"/>
  <c r="F84" i="35"/>
  <c r="B50" i="35"/>
  <c r="J84" i="35"/>
  <c r="AA98" i="5"/>
  <c r="AK98" i="5"/>
  <c r="I94" i="35"/>
  <c r="AA100" i="5"/>
  <c r="L21" i="35" s="1"/>
  <c r="AA99" i="5"/>
  <c r="Z98" i="5"/>
  <c r="AN16" i="24"/>
  <c r="AE48" i="5"/>
  <c r="B67" i="35" s="1"/>
  <c r="H94" i="35"/>
  <c r="E91" i="35"/>
  <c r="B79" i="35" s="1"/>
  <c r="J91" i="35"/>
  <c r="AA48" i="5"/>
  <c r="H91" i="35"/>
  <c r="C91" i="35"/>
  <c r="AO79" i="35" s="1"/>
  <c r="F91" i="35"/>
  <c r="O79" i="35" s="1"/>
  <c r="K91" i="35"/>
  <c r="D91" i="35"/>
  <c r="AB79" i="35" s="1"/>
  <c r="I91" i="35"/>
  <c r="AK99" i="5"/>
  <c r="K94" i="35"/>
  <c r="K106" i="35"/>
  <c r="K98" i="35"/>
  <c r="K105" i="35"/>
  <c r="K95" i="35"/>
  <c r="K104" i="35"/>
  <c r="W79" i="35" s="1"/>
  <c r="K99" i="35"/>
  <c r="T79" i="35" s="1"/>
  <c r="C129" i="35"/>
  <c r="J94" i="35"/>
  <c r="J98" i="35"/>
  <c r="J105" i="35"/>
  <c r="J95" i="35"/>
  <c r="J104" i="35"/>
  <c r="J79" i="35" s="1"/>
  <c r="J99" i="35"/>
  <c r="G79" i="35" s="1"/>
  <c r="J106" i="35"/>
  <c r="J100" i="35"/>
  <c r="F79" i="35" s="1"/>
  <c r="I106" i="35"/>
  <c r="AF16" i="24"/>
  <c r="I100" i="35"/>
  <c r="AF79" i="35" s="1"/>
  <c r="I104" i="35"/>
  <c r="AJ79" i="35" s="1"/>
  <c r="I95" i="35"/>
  <c r="I98" i="35"/>
  <c r="I105" i="35"/>
  <c r="I99" i="35"/>
  <c r="AG79" i="35" s="1"/>
  <c r="H106" i="35"/>
  <c r="AE16" i="24"/>
  <c r="H100" i="35"/>
  <c r="AS79" i="35" s="1"/>
  <c r="H99" i="35"/>
  <c r="AT79" i="35" s="1"/>
  <c r="H104" i="35"/>
  <c r="AW79" i="35" s="1"/>
  <c r="H98" i="35"/>
  <c r="H105" i="35"/>
  <c r="H95" i="35"/>
  <c r="AK15" i="24"/>
  <c r="Z54" i="5"/>
  <c r="AD54" i="5" s="1"/>
  <c r="AT9" i="5"/>
  <c r="X36" i="24" s="1"/>
  <c r="H14" i="6"/>
  <c r="L14" i="6"/>
  <c r="I14" i="6"/>
  <c r="M14" i="6"/>
  <c r="AH20" i="24"/>
  <c r="AG20" i="24" s="1"/>
  <c r="Z99" i="5"/>
  <c r="AE99" i="5"/>
  <c r="I15" i="24"/>
  <c r="T68" i="5"/>
  <c r="E20" i="10"/>
  <c r="C20" i="4"/>
  <c r="Z100" i="5"/>
  <c r="L19" i="35" s="1"/>
  <c r="AE15" i="24"/>
  <c r="AE27" i="24" s="1"/>
  <c r="E46" i="10"/>
  <c r="AK12" i="5"/>
  <c r="Z12" i="5"/>
  <c r="AD63" i="5"/>
  <c r="N14" i="6"/>
  <c r="N21" i="6" s="1"/>
  <c r="AA12" i="5"/>
  <c r="D94" i="35" s="1"/>
  <c r="AC79" i="35" s="1"/>
  <c r="AF29" i="24"/>
  <c r="Z48" i="5"/>
  <c r="B69" i="35" s="1"/>
  <c r="AE100" i="5"/>
  <c r="L23" i="35" s="1"/>
  <c r="AK100" i="5"/>
  <c r="C50" i="10"/>
  <c r="B50" i="10" s="1"/>
  <c r="G49" i="10" s="1"/>
  <c r="BF12" i="5"/>
  <c r="B15" i="24"/>
  <c r="E51" i="10"/>
  <c r="G51" i="10" s="1"/>
  <c r="AH19" i="24"/>
  <c r="AG19" i="24" s="1"/>
  <c r="BB11" i="5"/>
  <c r="G13" i="10"/>
  <c r="C21" i="14"/>
  <c r="E47" i="10"/>
  <c r="C47" i="10" s="1"/>
  <c r="AL19" i="24"/>
  <c r="M72" i="5"/>
  <c r="BJ12" i="5"/>
  <c r="BN12" i="5"/>
  <c r="D15" i="5"/>
  <c r="AT68" i="5"/>
  <c r="AN15" i="5"/>
  <c r="AO19" i="24"/>
  <c r="AN19" i="24" s="1"/>
  <c r="S9" i="5"/>
  <c r="O36" i="24" s="1"/>
  <c r="C31" i="24"/>
  <c r="AU73" i="5"/>
  <c r="O20" i="24"/>
  <c r="F19" i="24"/>
  <c r="G19" i="24" s="1"/>
  <c r="X19" i="24"/>
  <c r="Y19" i="24" s="1"/>
  <c r="D23" i="14"/>
  <c r="D20" i="24"/>
  <c r="D15" i="14"/>
  <c r="B15" i="14" s="1"/>
  <c r="B28" i="14" s="1"/>
  <c r="F30" i="24"/>
  <c r="G30" i="24" s="1"/>
  <c r="AO20" i="24"/>
  <c r="AN20" i="24" s="1"/>
  <c r="BG12" i="5"/>
  <c r="BK12" i="5"/>
  <c r="BO12" i="5"/>
  <c r="D19" i="24"/>
  <c r="AT72" i="5"/>
  <c r="AA19" i="24"/>
  <c r="AB19" i="24" s="1"/>
  <c r="Z22" i="13"/>
  <c r="AI46" i="14"/>
  <c r="AH46" i="14" s="1"/>
  <c r="R30" i="24"/>
  <c r="S30" i="24" s="1"/>
  <c r="S15" i="5"/>
  <c r="AX15" i="5"/>
  <c r="AN9" i="5"/>
  <c r="AN48" i="5" s="1"/>
  <c r="AJ9" i="5"/>
  <c r="W15" i="5"/>
  <c r="AD15" i="5"/>
  <c r="AJ15" i="5"/>
  <c r="W16" i="5"/>
  <c r="AD16" i="5"/>
  <c r="AD17" i="5"/>
  <c r="AJ17" i="5"/>
  <c r="W18" i="5"/>
  <c r="AD18" i="5"/>
  <c r="AJ18" i="5"/>
  <c r="AD20" i="5"/>
  <c r="AH16" i="24" s="1"/>
  <c r="AJ20" i="5"/>
  <c r="H9" i="5"/>
  <c r="F36" i="24" s="1"/>
  <c r="M9" i="5"/>
  <c r="J36" i="24" s="1"/>
  <c r="AX9" i="5"/>
  <c r="AA36" i="24" s="1"/>
  <c r="H15" i="5"/>
  <c r="M15" i="5"/>
  <c r="AT15" i="5"/>
  <c r="M18" i="5"/>
  <c r="AT18" i="5"/>
  <c r="D14" i="14" s="1"/>
  <c r="X30" i="24"/>
  <c r="Y30" i="24" s="1"/>
  <c r="H72" i="5"/>
  <c r="W72" i="5"/>
  <c r="AA19" i="13"/>
  <c r="S20" i="5"/>
  <c r="S69" i="5" s="1"/>
  <c r="AX72" i="5"/>
  <c r="AF9" i="5"/>
  <c r="AJ29" i="24" s="1"/>
  <c r="S16" i="5"/>
  <c r="AX16" i="5"/>
  <c r="S17" i="5"/>
  <c r="W20" i="5"/>
  <c r="W69" i="5" s="1"/>
  <c r="T69" i="5" s="1"/>
  <c r="E31" i="24"/>
  <c r="AJ19" i="24"/>
  <c r="S72" i="5"/>
  <c r="D18" i="14"/>
  <c r="D16" i="14"/>
  <c r="AA17" i="13"/>
  <c r="BA11" i="5"/>
  <c r="BI13" i="5"/>
  <c r="BM13" i="5"/>
  <c r="AN16" i="5"/>
  <c r="D17" i="5"/>
  <c r="D18" i="5"/>
  <c r="AN18" i="5"/>
  <c r="J30" i="24"/>
  <c r="K30" i="24" s="1"/>
  <c r="W9" i="5"/>
  <c r="R36" i="24" s="1"/>
  <c r="AF15" i="5"/>
  <c r="M16" i="5"/>
  <c r="AT17" i="5"/>
  <c r="D13" i="14" s="1"/>
  <c r="H18" i="5"/>
  <c r="AX18" i="5"/>
  <c r="AA15" i="13" s="1"/>
  <c r="H20" i="5"/>
  <c r="H73" i="5" s="1"/>
  <c r="M20" i="5"/>
  <c r="M69" i="5" s="1"/>
  <c r="AH40" i="14"/>
  <c r="AT71" i="5"/>
  <c r="BA12" i="5"/>
  <c r="BE12" i="5"/>
  <c r="BI12" i="5"/>
  <c r="BM12" i="5"/>
  <c r="W15" i="24"/>
  <c r="W34" i="24" s="1"/>
  <c r="E68" i="5"/>
  <c r="BF11" i="5"/>
  <c r="BJ13" i="5"/>
  <c r="BN13" i="5"/>
  <c r="D20" i="5"/>
  <c r="D16" i="24" s="1"/>
  <c r="C16" i="24" s="1"/>
  <c r="C35" i="24" s="1"/>
  <c r="B35" i="24" s="1"/>
  <c r="AJ20" i="24"/>
  <c r="AL20" i="24" s="1"/>
  <c r="B31" i="24"/>
  <c r="AA30" i="24"/>
  <c r="G67" i="4"/>
  <c r="G68" i="4"/>
  <c r="AD9" i="5"/>
  <c r="BD12" i="5"/>
  <c r="BC12" i="5" s="1"/>
  <c r="BH12" i="5"/>
  <c r="BL13" i="5"/>
  <c r="BP12" i="5"/>
  <c r="H15" i="24"/>
  <c r="AJ16" i="5"/>
  <c r="BB12" i="5"/>
  <c r="W17" i="5"/>
  <c r="AB67" i="5"/>
  <c r="AN17" i="5"/>
  <c r="S18" i="5"/>
  <c r="AF20" i="5"/>
  <c r="AJ16" i="24" s="1"/>
  <c r="AQ73" i="5"/>
  <c r="AX71" i="5"/>
  <c r="H16" i="5"/>
  <c r="AT16" i="5"/>
  <c r="H17" i="5"/>
  <c r="M17" i="5"/>
  <c r="AQ67" i="5"/>
  <c r="AQ69" i="5" s="1"/>
  <c r="AX17" i="5"/>
  <c r="BG11" i="5"/>
  <c r="BK13" i="5"/>
  <c r="BO13" i="5"/>
  <c r="AF18" i="5"/>
  <c r="D30" i="24"/>
  <c r="D31" i="24" s="1"/>
  <c r="D20" i="10"/>
  <c r="AA16" i="13"/>
  <c r="Y16" i="13" s="1"/>
  <c r="Y28" i="13" s="1"/>
  <c r="C5" i="39"/>
  <c r="BB3" i="12"/>
  <c r="E36" i="24"/>
  <c r="F13" i="9"/>
  <c r="AH11" i="10"/>
  <c r="G13" i="9"/>
  <c r="C10" i="6"/>
  <c r="B72" i="35" s="1"/>
  <c r="X9" i="11"/>
  <c r="D14" i="6"/>
  <c r="N15" i="24"/>
  <c r="BB14" i="12"/>
  <c r="Z53" i="5"/>
  <c r="AE51" i="5"/>
  <c r="E16" i="24"/>
  <c r="E69" i="5"/>
  <c r="AX68" i="5" s="1"/>
  <c r="E73" i="5"/>
  <c r="E74" i="5" s="1"/>
  <c r="AK16" i="24"/>
  <c r="AK53" i="5"/>
  <c r="AK55" i="5" s="1"/>
  <c r="F46" i="10"/>
  <c r="AH15" i="14"/>
  <c r="AV15" i="14"/>
  <c r="K19" i="24"/>
  <c r="O19" i="24"/>
  <c r="P19" i="24" s="1"/>
  <c r="C4" i="39"/>
  <c r="T4" i="39" s="1"/>
  <c r="BB2" i="12"/>
  <c r="AM15" i="24"/>
  <c r="AM27" i="24" s="1"/>
  <c r="Z15" i="24"/>
  <c r="Z11" i="11"/>
  <c r="Z20" i="11" s="1"/>
  <c r="AV22" i="11"/>
  <c r="J68" i="5"/>
  <c r="BB15" i="12"/>
  <c r="P68" i="5"/>
  <c r="AA16" i="24"/>
  <c r="AB16" i="24" s="1"/>
  <c r="O30" i="24"/>
  <c r="P30" i="24" s="1"/>
  <c r="AI44" i="14"/>
  <c r="AH12" i="14"/>
  <c r="AV12" i="14"/>
  <c r="AV44" i="14" s="1"/>
  <c r="AH27" i="14"/>
  <c r="AH28" i="14"/>
  <c r="AV28" i="14"/>
  <c r="AQ14" i="12"/>
  <c r="AT14" i="12" s="1"/>
  <c r="O27" i="24"/>
  <c r="N31" i="24"/>
  <c r="I36" i="24"/>
  <c r="F16" i="9"/>
  <c r="G16" i="9"/>
  <c r="N36" i="24"/>
  <c r="D53" i="12"/>
  <c r="AG29" i="12"/>
  <c r="BB7" i="12"/>
  <c r="G17" i="9"/>
  <c r="F17" i="9"/>
  <c r="Q36" i="24"/>
  <c r="F20" i="9"/>
  <c r="G20" i="9"/>
  <c r="W36" i="24"/>
  <c r="F18" i="9"/>
  <c r="G18" i="9"/>
  <c r="Z36" i="24"/>
  <c r="F19" i="9"/>
  <c r="G19" i="9"/>
  <c r="X11" i="11"/>
  <c r="E14" i="6"/>
  <c r="BB13" i="12"/>
  <c r="F14" i="6"/>
  <c r="P63" i="5"/>
  <c r="BB62" i="12" s="1"/>
  <c r="G14" i="6"/>
  <c r="G21" i="6" s="1"/>
  <c r="B47" i="35" s="1"/>
  <c r="T63" i="5"/>
  <c r="AF15" i="24"/>
  <c r="AI15" i="24"/>
  <c r="I16" i="24"/>
  <c r="AU22" i="11"/>
  <c r="Y11" i="11"/>
  <c r="Y20" i="11" s="1"/>
  <c r="J73" i="5"/>
  <c r="J74" i="5" s="1"/>
  <c r="J69" i="5"/>
  <c r="N16" i="24"/>
  <c r="AG10" i="12"/>
  <c r="BB18" i="12"/>
  <c r="P73" i="5"/>
  <c r="P69" i="5"/>
  <c r="K29" i="24"/>
  <c r="O29" i="24"/>
  <c r="P29" i="24" s="1"/>
  <c r="AI43" i="14"/>
  <c r="AV11" i="14"/>
  <c r="AH11" i="14"/>
  <c r="AV37" i="14"/>
  <c r="AH37" i="14"/>
  <c r="K28" i="24"/>
  <c r="O28" i="24"/>
  <c r="P28" i="24" s="1"/>
  <c r="BH13" i="5"/>
  <c r="BP13" i="5"/>
  <c r="AE29" i="24"/>
  <c r="AE12" i="5"/>
  <c r="AF17" i="5"/>
  <c r="AH25" i="14"/>
  <c r="AO24" i="24"/>
  <c r="AM54" i="5"/>
  <c r="H36" i="24"/>
  <c r="G15" i="9"/>
  <c r="F15" i="9"/>
  <c r="H45" i="25"/>
  <c r="J45" i="25" s="1"/>
  <c r="H54" i="25"/>
  <c r="J54" i="25" s="1"/>
  <c r="AK56" i="5"/>
  <c r="AM29" i="24"/>
  <c r="AK48" i="5"/>
  <c r="Y42" i="5"/>
  <c r="C14" i="6"/>
  <c r="Q14" i="6"/>
  <c r="Q21" i="6" s="1"/>
  <c r="F99" i="35" s="1"/>
  <c r="Q79" i="35" s="1"/>
  <c r="Q15" i="24"/>
  <c r="H16" i="24"/>
  <c r="AU20" i="11"/>
  <c r="AK20" i="11" s="1"/>
  <c r="AI20" i="11" s="1"/>
  <c r="AH20" i="11" s="1"/>
  <c r="AG20" i="11" s="1"/>
  <c r="AF20" i="11" s="1"/>
  <c r="AE20" i="11" s="1"/>
  <c r="Y9" i="11"/>
  <c r="I73" i="5"/>
  <c r="I74" i="5" s="1"/>
  <c r="I69" i="5"/>
  <c r="B84" i="11"/>
  <c r="C27" i="11"/>
  <c r="C7" i="11" s="1"/>
  <c r="AQ20" i="12"/>
  <c r="AX17" i="12"/>
  <c r="AX20" i="12" s="1"/>
  <c r="E15" i="24"/>
  <c r="AQ13" i="12"/>
  <c r="AT13" i="12" s="1"/>
  <c r="AH34" i="14"/>
  <c r="AV34" i="14"/>
  <c r="D89" i="11"/>
  <c r="E33" i="11"/>
  <c r="D27" i="11"/>
  <c r="E8" i="11"/>
  <c r="E7" i="11"/>
  <c r="AI29" i="24"/>
  <c r="AI56" i="5"/>
  <c r="AE50" i="5"/>
  <c r="P14" i="6"/>
  <c r="P21" i="6" s="1"/>
  <c r="E106" i="35" s="1"/>
  <c r="AV20" i="11"/>
  <c r="Z9" i="11"/>
  <c r="I68" i="5"/>
  <c r="AI16" i="24"/>
  <c r="AI53" i="5"/>
  <c r="X16" i="24"/>
  <c r="Y16" i="24" s="1"/>
  <c r="AQ15" i="12"/>
  <c r="AH14" i="14"/>
  <c r="AV14" i="14"/>
  <c r="AH22" i="14"/>
  <c r="AV22" i="14"/>
  <c r="AH31" i="14"/>
  <c r="AV31" i="14"/>
  <c r="AQ12" i="12"/>
  <c r="AQ11" i="12"/>
  <c r="AT11" i="12" s="1"/>
  <c r="AQ17" i="12"/>
  <c r="AT17" i="12" s="1"/>
  <c r="BL12" i="5"/>
  <c r="BG13" i="5"/>
  <c r="BF13" i="5" s="1"/>
  <c r="BE13" i="5" s="1"/>
  <c r="BD13" i="5" s="1"/>
  <c r="BC13" i="5" s="1"/>
  <c r="BB13" i="5" s="1"/>
  <c r="BA13" i="5" s="1"/>
  <c r="G65" i="4"/>
  <c r="G66" i="4"/>
  <c r="O14" i="6"/>
  <c r="D16" i="5"/>
  <c r="AF16" i="5"/>
  <c r="AE49" i="5"/>
  <c r="AB27" i="24"/>
  <c r="BP66" i="5" l="1"/>
  <c r="BO66" i="5"/>
  <c r="BK66" i="5"/>
  <c r="AO107" i="5"/>
  <c r="J24" i="35" s="1"/>
  <c r="AN49" i="5"/>
  <c r="AO101" i="5" s="1"/>
  <c r="L25" i="35" s="1"/>
  <c r="E33" i="9"/>
  <c r="AO99" i="5"/>
  <c r="B66" i="35" s="1"/>
  <c r="E58" i="10"/>
  <c r="B58" i="10"/>
  <c r="K84" i="35"/>
  <c r="I92" i="35"/>
  <c r="B68" i="35"/>
  <c r="G20" i="10"/>
  <c r="M84" i="35"/>
  <c r="Z102" i="5"/>
  <c r="G84" i="35"/>
  <c r="J100" i="5"/>
  <c r="D92" i="35"/>
  <c r="AE101" i="5"/>
  <c r="J23" i="35" s="1"/>
  <c r="C20" i="6"/>
  <c r="R84" i="35"/>
  <c r="F94" i="35"/>
  <c r="P79" i="35" s="1"/>
  <c r="L84" i="35"/>
  <c r="E94" i="35"/>
  <c r="C79" i="35" s="1"/>
  <c r="H84" i="35"/>
  <c r="AK101" i="5"/>
  <c r="Z67" i="5"/>
  <c r="AD67" i="5" s="1"/>
  <c r="F95" i="35"/>
  <c r="E99" i="35"/>
  <c r="D79" i="35" s="1"/>
  <c r="E98" i="35"/>
  <c r="F92" i="35"/>
  <c r="K92" i="35"/>
  <c r="J92" i="35"/>
  <c r="E92" i="35"/>
  <c r="F96" i="35"/>
  <c r="Z79" i="35" s="1"/>
  <c r="F90" i="35"/>
  <c r="K90" i="35"/>
  <c r="F97" i="35"/>
  <c r="F101" i="35"/>
  <c r="X79" i="35" s="1"/>
  <c r="F102" i="35"/>
  <c r="F103" i="35"/>
  <c r="F104" i="35"/>
  <c r="Y79" i="35" s="1"/>
  <c r="F105" i="35"/>
  <c r="F106" i="35"/>
  <c r="F98" i="35"/>
  <c r="C130" i="35"/>
  <c r="E104" i="35"/>
  <c r="L79" i="35" s="1"/>
  <c r="E95" i="35"/>
  <c r="J90" i="35"/>
  <c r="E90" i="35"/>
  <c r="E96" i="35"/>
  <c r="M79" i="35" s="1"/>
  <c r="E97" i="35"/>
  <c r="E103" i="35"/>
  <c r="E101" i="35"/>
  <c r="K79" i="35" s="1"/>
  <c r="E102" i="35"/>
  <c r="E105" i="35"/>
  <c r="C90" i="35"/>
  <c r="H90" i="35"/>
  <c r="C96" i="35"/>
  <c r="AZ79" i="35" s="1"/>
  <c r="C97" i="35"/>
  <c r="C102" i="35"/>
  <c r="C101" i="35"/>
  <c r="AX79" i="35" s="1"/>
  <c r="C103" i="35"/>
  <c r="C99" i="35"/>
  <c r="AQ79" i="35" s="1"/>
  <c r="C95" i="35"/>
  <c r="C104" i="35"/>
  <c r="AY79" i="35" s="1"/>
  <c r="C98" i="35"/>
  <c r="C92" i="35"/>
  <c r="H92" i="35"/>
  <c r="C105" i="35"/>
  <c r="C106" i="35"/>
  <c r="P85" i="6"/>
  <c r="Q83" i="6"/>
  <c r="AK103" i="5"/>
  <c r="Z103" i="5"/>
  <c r="G27" i="6"/>
  <c r="G23" i="6"/>
  <c r="M21" i="6"/>
  <c r="M23" i="6" s="1"/>
  <c r="K14" i="6"/>
  <c r="L21" i="6"/>
  <c r="J14" i="6"/>
  <c r="I21" i="6"/>
  <c r="I55" i="6" s="1"/>
  <c r="H21" i="6"/>
  <c r="H23" i="6" s="1"/>
  <c r="AA101" i="5"/>
  <c r="J21" i="35" s="1"/>
  <c r="Z101" i="5"/>
  <c r="J19" i="35" s="1"/>
  <c r="D58" i="10"/>
  <c r="H55" i="25"/>
  <c r="G50" i="10"/>
  <c r="AY22" i="11"/>
  <c r="G46" i="10"/>
  <c r="AK102" i="5"/>
  <c r="AE102" i="5"/>
  <c r="AA102" i="5"/>
  <c r="C58" i="10"/>
  <c r="E31" i="9"/>
  <c r="H46" i="25"/>
  <c r="W70" i="25" s="1"/>
  <c r="AG16" i="24"/>
  <c r="AB36" i="24"/>
  <c r="AE103" i="5"/>
  <c r="N23" i="6"/>
  <c r="Z11" i="5" s="1"/>
  <c r="G47" i="10"/>
  <c r="M68" i="5"/>
  <c r="M70" i="5" s="1"/>
  <c r="R9" i="24"/>
  <c r="W73" i="5"/>
  <c r="T73" i="5" s="1"/>
  <c r="T74" i="5" s="1"/>
  <c r="AX67" i="5"/>
  <c r="AU67" i="5" s="1"/>
  <c r="AO28" i="24"/>
  <c r="S73" i="5"/>
  <c r="S74" i="5" s="1"/>
  <c r="M73" i="5"/>
  <c r="F15" i="24"/>
  <c r="G15" i="24" s="1"/>
  <c r="S68" i="5"/>
  <c r="S70" i="5" s="1"/>
  <c r="C58" i="9"/>
  <c r="C57" i="9" s="1"/>
  <c r="C59" i="9" s="1"/>
  <c r="AH15" i="24"/>
  <c r="AG15" i="24"/>
  <c r="BB20" i="14"/>
  <c r="X9" i="24"/>
  <c r="H74" i="5"/>
  <c r="G36" i="24"/>
  <c r="S63" i="5"/>
  <c r="AA9" i="24"/>
  <c r="AT73" i="5"/>
  <c r="AL16" i="24"/>
  <c r="H69" i="5"/>
  <c r="J31" i="24"/>
  <c r="P74" i="5"/>
  <c r="AA14" i="13"/>
  <c r="AA28" i="13" s="1"/>
  <c r="AO15" i="24"/>
  <c r="AN15" i="24" s="1"/>
  <c r="AN27" i="24" s="1"/>
  <c r="G9" i="24"/>
  <c r="O9" i="24"/>
  <c r="F9" i="24"/>
  <c r="W63" i="5"/>
  <c r="J9" i="24"/>
  <c r="X15" i="24"/>
  <c r="Y15" i="24" s="1"/>
  <c r="W68" i="5"/>
  <c r="W70" i="5" s="1"/>
  <c r="T70" i="5" s="1"/>
  <c r="AB30" i="24"/>
  <c r="D15" i="24"/>
  <c r="C15" i="24" s="1"/>
  <c r="AT67" i="5"/>
  <c r="G26" i="6"/>
  <c r="AX73" i="5"/>
  <c r="H68" i="5"/>
  <c r="J15" i="24"/>
  <c r="K15" i="24" s="1"/>
  <c r="AJ15" i="24"/>
  <c r="AL15" i="24" s="1"/>
  <c r="P36" i="24"/>
  <c r="AN28" i="24"/>
  <c r="AM28" i="24" s="1"/>
  <c r="Q26" i="6"/>
  <c r="Q85" i="6"/>
  <c r="Q84" i="6"/>
  <c r="F100" i="35" s="1"/>
  <c r="R79" i="35" s="1"/>
  <c r="Q27" i="6"/>
  <c r="O21" i="6"/>
  <c r="P36" i="6"/>
  <c r="P42" i="6"/>
  <c r="P35" i="6"/>
  <c r="P23" i="6"/>
  <c r="AE11" i="5" s="1"/>
  <c r="P33" i="6"/>
  <c r="P38" i="6"/>
  <c r="N35" i="24"/>
  <c r="O16" i="24"/>
  <c r="P16" i="24" s="1"/>
  <c r="X20" i="11"/>
  <c r="AN11" i="11"/>
  <c r="AP11" i="11" s="1"/>
  <c r="S36" i="24"/>
  <c r="Y36" i="24"/>
  <c r="AY29" i="12"/>
  <c r="AY31" i="12" s="1"/>
  <c r="AY32" i="12" s="1"/>
  <c r="T32" i="12" s="1"/>
  <c r="AQ29" i="12"/>
  <c r="AC12" i="14"/>
  <c r="AH44" i="14"/>
  <c r="AM10" i="24"/>
  <c r="C9" i="14"/>
  <c r="D28" i="14"/>
  <c r="AJ10" i="24"/>
  <c r="O31" i="24"/>
  <c r="P31" i="24" s="1"/>
  <c r="P70" i="5"/>
  <c r="AD56" i="5"/>
  <c r="AM56" i="5"/>
  <c r="AC44" i="25"/>
  <c r="AB44" i="25" s="1"/>
  <c r="W69" i="25"/>
  <c r="BG7" i="12"/>
  <c r="O15" i="24"/>
  <c r="P15" i="24" s="1"/>
  <c r="Z23" i="11"/>
  <c r="Z19" i="11"/>
  <c r="Y19" i="11" s="1"/>
  <c r="X19" i="11" s="1"/>
  <c r="J18" i="11" s="1"/>
  <c r="I18" i="11" s="1"/>
  <c r="D80" i="11"/>
  <c r="E80" i="11"/>
  <c r="B89" i="11"/>
  <c r="C33" i="11"/>
  <c r="B27" i="11"/>
  <c r="C8" i="11"/>
  <c r="AA69" i="25"/>
  <c r="P54" i="25"/>
  <c r="AJ39" i="5"/>
  <c r="AG39" i="5" s="1"/>
  <c r="C114" i="35" s="1"/>
  <c r="AB29" i="24"/>
  <c r="Z34" i="24"/>
  <c r="AA15" i="24"/>
  <c r="AB15" i="24" s="1"/>
  <c r="X23" i="11"/>
  <c r="AN9" i="11"/>
  <c r="AP9" i="11" s="1"/>
  <c r="P83" i="6"/>
  <c r="AI55" i="5"/>
  <c r="Y23" i="11"/>
  <c r="P27" i="6"/>
  <c r="J70" i="5"/>
  <c r="AD53" i="5"/>
  <c r="AM53" i="5"/>
  <c r="AC45" i="25"/>
  <c r="AQ10" i="12"/>
  <c r="K31" i="24"/>
  <c r="D84" i="11"/>
  <c r="C84" i="11" s="1"/>
  <c r="E40" i="11"/>
  <c r="D40" i="11" s="1"/>
  <c r="Q38" i="6"/>
  <c r="Q33" i="6"/>
  <c r="Q36" i="6"/>
  <c r="Q42" i="6"/>
  <c r="Q35" i="6"/>
  <c r="Q23" i="6"/>
  <c r="AK11" i="5" s="1"/>
  <c r="F21" i="6"/>
  <c r="G60" i="6"/>
  <c r="G51" i="6"/>
  <c r="G46" i="6"/>
  <c r="G41" i="6"/>
  <c r="G35" i="6"/>
  <c r="G55" i="6"/>
  <c r="G49" i="6"/>
  <c r="G45" i="6"/>
  <c r="G33" i="6"/>
  <c r="G61" i="6"/>
  <c r="G52" i="6"/>
  <c r="G62" i="6"/>
  <c r="G54" i="6"/>
  <c r="G48" i="6"/>
  <c r="G44" i="6"/>
  <c r="G38" i="6"/>
  <c r="G43" i="6"/>
  <c r="G36" i="6"/>
  <c r="G47" i="6"/>
  <c r="D147" i="7"/>
  <c r="D148" i="7"/>
  <c r="C148" i="7" s="1"/>
  <c r="C147" i="7"/>
  <c r="D146" i="7" s="1"/>
  <c r="C146" i="7" s="1"/>
  <c r="D145" i="7" s="1"/>
  <c r="C145" i="7" s="1"/>
  <c r="AD66" i="5"/>
  <c r="AJ11" i="24"/>
  <c r="K36" i="24"/>
  <c r="I70" i="5"/>
  <c r="P26" i="6"/>
  <c r="P84" i="6"/>
  <c r="E100" i="35" s="1"/>
  <c r="E79" i="35" s="1"/>
  <c r="P27" i="24"/>
  <c r="AO103" i="5" l="1"/>
  <c r="J25" i="35" s="1"/>
  <c r="AB84" i="35"/>
  <c r="B51" i="35"/>
  <c r="C49" i="35"/>
  <c r="C68" i="35"/>
  <c r="C48" i="35"/>
  <c r="C69" i="35"/>
  <c r="C50" i="35"/>
  <c r="C67" i="35"/>
  <c r="I84" i="35"/>
  <c r="F26" i="6"/>
  <c r="B46" i="35"/>
  <c r="C122" i="35"/>
  <c r="C121" i="35" s="1"/>
  <c r="C132" i="35"/>
  <c r="C127" i="35"/>
  <c r="I90" i="35"/>
  <c r="D90" i="35"/>
  <c r="D103" i="35"/>
  <c r="D96" i="35"/>
  <c r="AM79" i="35" s="1"/>
  <c r="D97" i="35"/>
  <c r="D101" i="35"/>
  <c r="AK79" i="35" s="1"/>
  <c r="D102" i="35"/>
  <c r="D106" i="35"/>
  <c r="D95" i="35"/>
  <c r="D104" i="35"/>
  <c r="AL79" i="35" s="1"/>
  <c r="D99" i="35"/>
  <c r="AD79" i="35" s="1"/>
  <c r="D105" i="35"/>
  <c r="D98" i="35"/>
  <c r="AA103" i="5"/>
  <c r="O23" i="6"/>
  <c r="AA11" i="5" s="1"/>
  <c r="I43" i="6"/>
  <c r="I23" i="6"/>
  <c r="I46" i="6"/>
  <c r="I52" i="6"/>
  <c r="I36" i="6"/>
  <c r="I26" i="6"/>
  <c r="I33" i="6"/>
  <c r="I61" i="6"/>
  <c r="I51" i="6"/>
  <c r="J62" i="6"/>
  <c r="J60" i="6"/>
  <c r="L60" i="6"/>
  <c r="L62" i="6"/>
  <c r="J61" i="6"/>
  <c r="L61" i="6"/>
  <c r="J58" i="6"/>
  <c r="L58" i="6"/>
  <c r="J57" i="6"/>
  <c r="L57" i="6"/>
  <c r="J55" i="6"/>
  <c r="L55" i="6"/>
  <c r="J54" i="6"/>
  <c r="L54" i="6"/>
  <c r="J51" i="6"/>
  <c r="J44" i="6"/>
  <c r="J38" i="6"/>
  <c r="L51" i="6"/>
  <c r="L44" i="6"/>
  <c r="L38" i="6"/>
  <c r="J52" i="6"/>
  <c r="J45" i="6"/>
  <c r="J49" i="6"/>
  <c r="L52" i="6"/>
  <c r="L45" i="6"/>
  <c r="J41" i="6"/>
  <c r="J46" i="6"/>
  <c r="J36" i="6"/>
  <c r="L49" i="6"/>
  <c r="L41" i="6"/>
  <c r="L46" i="6"/>
  <c r="L36" i="6"/>
  <c r="J47" i="6"/>
  <c r="J43" i="6"/>
  <c r="J48" i="6"/>
  <c r="J35" i="6"/>
  <c r="L47" i="6"/>
  <c r="L43" i="6"/>
  <c r="L48" i="6"/>
  <c r="L35" i="6"/>
  <c r="L33" i="6"/>
  <c r="J26" i="6"/>
  <c r="L26" i="6"/>
  <c r="J27" i="6"/>
  <c r="L27" i="6"/>
  <c r="J33" i="6"/>
  <c r="G73" i="6"/>
  <c r="I58" i="6"/>
  <c r="I57" i="6"/>
  <c r="L23" i="6"/>
  <c r="I47" i="6"/>
  <c r="I62" i="6"/>
  <c r="I54" i="6"/>
  <c r="I60" i="6"/>
  <c r="H36" i="6"/>
  <c r="H26" i="6"/>
  <c r="K60" i="6"/>
  <c r="K62" i="6"/>
  <c r="M60" i="6"/>
  <c r="M62" i="6"/>
  <c r="K61" i="6"/>
  <c r="M61" i="6"/>
  <c r="K21" i="6"/>
  <c r="K23" i="6" s="1"/>
  <c r="K57" i="6"/>
  <c r="K58" i="6"/>
  <c r="M58" i="6"/>
  <c r="M57" i="6"/>
  <c r="K55" i="6"/>
  <c r="M55" i="6"/>
  <c r="K54" i="6"/>
  <c r="M54" i="6"/>
  <c r="K47" i="6"/>
  <c r="M43" i="6"/>
  <c r="M48" i="6"/>
  <c r="M47" i="6"/>
  <c r="K44" i="6"/>
  <c r="K35" i="6"/>
  <c r="M49" i="6"/>
  <c r="K52" i="6"/>
  <c r="K51" i="6"/>
  <c r="M44" i="6"/>
  <c r="M35" i="6"/>
  <c r="M52" i="6"/>
  <c r="M51" i="6"/>
  <c r="K45" i="6"/>
  <c r="K38" i="6"/>
  <c r="M45" i="6"/>
  <c r="M38" i="6"/>
  <c r="K41" i="6"/>
  <c r="K46" i="6"/>
  <c r="M41" i="6"/>
  <c r="M46" i="6"/>
  <c r="K36" i="6"/>
  <c r="K43" i="6"/>
  <c r="K48" i="6"/>
  <c r="M36" i="6"/>
  <c r="K49" i="6"/>
  <c r="M27" i="6"/>
  <c r="K33" i="6"/>
  <c r="M33" i="6"/>
  <c r="M26" i="6"/>
  <c r="K26" i="6"/>
  <c r="K27" i="6"/>
  <c r="J21" i="6"/>
  <c r="J23" i="6" s="1"/>
  <c r="AO27" i="24"/>
  <c r="N85" i="6"/>
  <c r="N33" i="6"/>
  <c r="W74" i="5"/>
  <c r="Z69" i="25"/>
  <c r="M74" i="5"/>
  <c r="O26" i="6"/>
  <c r="H70" i="5"/>
  <c r="E70" i="5" s="1"/>
  <c r="AX69" i="5" s="1"/>
  <c r="AU69" i="5" s="1"/>
  <c r="AT69" i="5" s="1"/>
  <c r="Q87" i="6"/>
  <c r="P34" i="24"/>
  <c r="O34" i="24" s="1"/>
  <c r="O10" i="24" s="1"/>
  <c r="N34" i="24"/>
  <c r="O42" i="6"/>
  <c r="O35" i="6"/>
  <c r="O33" i="6"/>
  <c r="O38" i="6"/>
  <c r="O36" i="6"/>
  <c r="O84" i="6"/>
  <c r="D100" i="35" s="1"/>
  <c r="AE79" i="35" s="1"/>
  <c r="O85" i="6"/>
  <c r="O83" i="6"/>
  <c r="O27" i="6"/>
  <c r="Q30" i="6"/>
  <c r="Q76" i="6"/>
  <c r="Q39" i="6"/>
  <c r="G39" i="6"/>
  <c r="J15" i="35" s="1"/>
  <c r="G76" i="6"/>
  <c r="AT10" i="12"/>
  <c r="P45" i="25"/>
  <c r="P46" i="25" s="1"/>
  <c r="AJ38" i="5"/>
  <c r="AG38" i="5"/>
  <c r="BB19" i="14"/>
  <c r="B32" i="14"/>
  <c r="D32" i="14"/>
  <c r="D34" i="14" s="1"/>
  <c r="D51" i="14" s="1"/>
  <c r="P76" i="6"/>
  <c r="P30" i="6"/>
  <c r="P39" i="6"/>
  <c r="G30" i="6"/>
  <c r="P87" i="6"/>
  <c r="Q9" i="24"/>
  <c r="P9" i="24" s="1"/>
  <c r="T11" i="5"/>
  <c r="C40" i="11"/>
  <c r="D90" i="11"/>
  <c r="D83" i="11"/>
  <c r="E83" i="11" s="1"/>
  <c r="AI57" i="5"/>
  <c r="AM55" i="5"/>
  <c r="AT29" i="12"/>
  <c r="N11" i="24"/>
  <c r="E21" i="6"/>
  <c r="F55" i="6"/>
  <c r="F49" i="6"/>
  <c r="F45" i="6"/>
  <c r="F33" i="6"/>
  <c r="F60" i="6"/>
  <c r="F57" i="6"/>
  <c r="F62" i="6"/>
  <c r="F58" i="6"/>
  <c r="F54" i="6"/>
  <c r="F48" i="6"/>
  <c r="F44" i="6"/>
  <c r="F38" i="6"/>
  <c r="F51" i="6"/>
  <c r="F35" i="6"/>
  <c r="F61" i="6"/>
  <c r="F52" i="6"/>
  <c r="F43" i="6"/>
  <c r="F36" i="6"/>
  <c r="F46" i="6"/>
  <c r="F41" i="6"/>
  <c r="F23" i="6"/>
  <c r="F47" i="6"/>
  <c r="F27" i="6"/>
  <c r="G74" i="6"/>
  <c r="G77" i="6"/>
  <c r="C51" i="35" l="1"/>
  <c r="C66" i="35"/>
  <c r="Y84" i="35"/>
  <c r="C47" i="35"/>
  <c r="C70" i="35"/>
  <c r="E49" i="6"/>
  <c r="B45" i="35"/>
  <c r="B44" i="35"/>
  <c r="AC84" i="35"/>
  <c r="C131" i="35"/>
  <c r="C124" i="35"/>
  <c r="C123" i="35" s="1"/>
  <c r="C126" i="35"/>
  <c r="C117" i="35"/>
  <c r="C112" i="35"/>
  <c r="C125" i="35"/>
  <c r="C115" i="35"/>
  <c r="C116" i="35"/>
  <c r="C113" i="35"/>
  <c r="C128" i="35"/>
  <c r="N9" i="24"/>
  <c r="K9" i="24" s="1"/>
  <c r="M77" i="6"/>
  <c r="M74" i="6"/>
  <c r="L76" i="6"/>
  <c r="L30" i="6"/>
  <c r="L39" i="6"/>
  <c r="L73" i="6"/>
  <c r="L77" i="6"/>
  <c r="L74" i="6"/>
  <c r="K77" i="6"/>
  <c r="K74" i="6"/>
  <c r="K39" i="6"/>
  <c r="J73" i="6"/>
  <c r="J39" i="6"/>
  <c r="J30" i="6"/>
  <c r="F73" i="6"/>
  <c r="M30" i="6"/>
  <c r="M39" i="6"/>
  <c r="M76" i="6"/>
  <c r="M73" i="6"/>
  <c r="K76" i="6"/>
  <c r="K30" i="6"/>
  <c r="J74" i="6"/>
  <c r="O30" i="6"/>
  <c r="D85" i="11"/>
  <c r="E27" i="6"/>
  <c r="G78" i="6"/>
  <c r="F39" i="6"/>
  <c r="J14" i="35" s="1"/>
  <c r="F76" i="6"/>
  <c r="F30" i="6"/>
  <c r="P13" i="5" s="1"/>
  <c r="BC11" i="12" s="1"/>
  <c r="BG11" i="12" s="1"/>
  <c r="F74" i="6"/>
  <c r="F77" i="6"/>
  <c r="BB14" i="14"/>
  <c r="BF14" i="14"/>
  <c r="BB11" i="14"/>
  <c r="BE14" i="14"/>
  <c r="BC14" i="14" s="1"/>
  <c r="K34" i="24"/>
  <c r="J34" i="24" s="1"/>
  <c r="I34" i="24" s="1"/>
  <c r="H34" i="24" s="1"/>
  <c r="N10" i="24"/>
  <c r="P11" i="5"/>
  <c r="N27" i="6"/>
  <c r="BD25" i="14"/>
  <c r="B34" i="14"/>
  <c r="B51" i="14" s="1"/>
  <c r="D21" i="6"/>
  <c r="D27" i="6" s="1"/>
  <c r="E62" i="6"/>
  <c r="E58" i="6"/>
  <c r="E54" i="6"/>
  <c r="E48" i="6"/>
  <c r="E44" i="6"/>
  <c r="E38" i="6"/>
  <c r="E33" i="6"/>
  <c r="E61" i="6"/>
  <c r="E52" i="6"/>
  <c r="E43" i="6"/>
  <c r="E36" i="6"/>
  <c r="E55" i="6"/>
  <c r="E60" i="6"/>
  <c r="E57" i="6"/>
  <c r="E51" i="6"/>
  <c r="E46" i="6"/>
  <c r="E41" i="6"/>
  <c r="E35" i="6"/>
  <c r="E45" i="6"/>
  <c r="E23" i="6"/>
  <c r="E47" i="6"/>
  <c r="E26" i="6"/>
  <c r="B90" i="11"/>
  <c r="B91" i="11" s="1"/>
  <c r="D91" i="11"/>
  <c r="O39" i="6"/>
  <c r="O76" i="6"/>
  <c r="N38" i="6"/>
  <c r="N36" i="6"/>
  <c r="N42" i="6"/>
  <c r="N35" i="6"/>
  <c r="N83" i="6"/>
  <c r="N84" i="6"/>
  <c r="C100" i="35" s="1"/>
  <c r="AR79" i="35" s="1"/>
  <c r="N26" i="6"/>
  <c r="G75" i="6"/>
  <c r="B83" i="11"/>
  <c r="C82" i="11"/>
  <c r="Z72" i="25"/>
  <c r="AK24" i="24"/>
  <c r="AK29" i="24"/>
  <c r="AL29" i="24" s="1"/>
  <c r="O87" i="6"/>
  <c r="V84" i="35" l="1"/>
  <c r="C46" i="35"/>
  <c r="C71" i="35"/>
  <c r="Z84" i="35"/>
  <c r="I9" i="24"/>
  <c r="M78" i="6"/>
  <c r="M75" i="6"/>
  <c r="L75" i="6"/>
  <c r="J75" i="6"/>
  <c r="L78" i="6"/>
  <c r="N30" i="6"/>
  <c r="D93" i="11"/>
  <c r="F75" i="6"/>
  <c r="J10" i="24"/>
  <c r="I10" i="24" s="1"/>
  <c r="H10" i="24" s="1"/>
  <c r="E77" i="6"/>
  <c r="E74" i="6"/>
  <c r="E76" i="6"/>
  <c r="E73" i="6"/>
  <c r="E30" i="6"/>
  <c r="J13" i="5" s="1"/>
  <c r="E39" i="6"/>
  <c r="J13" i="35" s="1"/>
  <c r="N87" i="6"/>
  <c r="C21" i="6"/>
  <c r="D61" i="6"/>
  <c r="D52" i="6"/>
  <c r="D43" i="6"/>
  <c r="D36" i="6"/>
  <c r="D38" i="6"/>
  <c r="D60" i="6"/>
  <c r="D57" i="6"/>
  <c r="D51" i="6"/>
  <c r="D46" i="6"/>
  <c r="D41" i="6"/>
  <c r="D35" i="6"/>
  <c r="D58" i="6"/>
  <c r="D48" i="6"/>
  <c r="D55" i="6"/>
  <c r="D49" i="6"/>
  <c r="D45" i="6"/>
  <c r="D33" i="6"/>
  <c r="D62" i="6"/>
  <c r="D54" i="6"/>
  <c r="D44" i="6"/>
  <c r="D23" i="6"/>
  <c r="D47" i="6"/>
  <c r="D26" i="6"/>
  <c r="J11" i="5"/>
  <c r="P47" i="25"/>
  <c r="I48" i="6"/>
  <c r="I44" i="6"/>
  <c r="I38" i="6"/>
  <c r="I49" i="6"/>
  <c r="I41" i="6"/>
  <c r="I35" i="6"/>
  <c r="I45" i="6"/>
  <c r="I27" i="6"/>
  <c r="AJ24" i="24"/>
  <c r="AI24" i="24" s="1"/>
  <c r="AK28" i="24"/>
  <c r="E82" i="11"/>
  <c r="C83" i="11"/>
  <c r="N39" i="6"/>
  <c r="N76" i="6"/>
  <c r="BE15" i="14"/>
  <c r="BB12" i="14"/>
  <c r="BB21" i="14"/>
  <c r="F78" i="6"/>
  <c r="S84" i="35" l="1"/>
  <c r="C45" i="35"/>
  <c r="C74" i="35"/>
  <c r="C49" i="6"/>
  <c r="B43" i="35"/>
  <c r="R47" i="25"/>
  <c r="Q47" i="25"/>
  <c r="Q179" i="25" s="1"/>
  <c r="W84" i="35"/>
  <c r="H9" i="24"/>
  <c r="I73" i="6"/>
  <c r="I30" i="6"/>
  <c r="K78" i="6"/>
  <c r="K73" i="6"/>
  <c r="K75" i="6" s="1"/>
  <c r="E75" i="6"/>
  <c r="I11" i="5"/>
  <c r="BD31" i="14"/>
  <c r="BC32" i="14"/>
  <c r="BB32" i="14" s="1"/>
  <c r="BC31" i="14"/>
  <c r="BB31" i="14" s="1"/>
  <c r="BD29" i="14"/>
  <c r="BC29" i="14"/>
  <c r="BB13" i="14"/>
  <c r="D74" i="6"/>
  <c r="D77" i="6"/>
  <c r="C60" i="6"/>
  <c r="C57" i="6"/>
  <c r="C51" i="6"/>
  <c r="C46" i="6"/>
  <c r="C41" i="6"/>
  <c r="C35" i="6"/>
  <c r="C52" i="6"/>
  <c r="C55" i="6"/>
  <c r="C45" i="6"/>
  <c r="C33" i="6"/>
  <c r="C62" i="6"/>
  <c r="C58" i="6"/>
  <c r="C54" i="6"/>
  <c r="C48" i="6"/>
  <c r="C44" i="6"/>
  <c r="C38" i="6"/>
  <c r="C61" i="6"/>
  <c r="C43" i="6"/>
  <c r="C36" i="6"/>
  <c r="C23" i="6"/>
  <c r="C47" i="6"/>
  <c r="C27" i="6"/>
  <c r="C26" i="6"/>
  <c r="BB25" i="14"/>
  <c r="BC25" i="14" s="1"/>
  <c r="BB29" i="14"/>
  <c r="BC21" i="14"/>
  <c r="BC22" i="14" s="1"/>
  <c r="Z9" i="24"/>
  <c r="Y9" i="24" s="1"/>
  <c r="AU11" i="5"/>
  <c r="D76" i="6"/>
  <c r="D39" i="6"/>
  <c r="J12" i="35" s="1"/>
  <c r="D30" i="6"/>
  <c r="I13" i="5" s="1"/>
  <c r="AJ28" i="24"/>
  <c r="AI28" i="24" s="1"/>
  <c r="AI11" i="24" s="1"/>
  <c r="AL24" i="24"/>
  <c r="AL28" i="24" s="1"/>
  <c r="D73" i="6"/>
  <c r="E78" i="6"/>
  <c r="I76" i="6"/>
  <c r="I39" i="6"/>
  <c r="H61" i="6"/>
  <c r="H57" i="6"/>
  <c r="H52" i="6"/>
  <c r="H43" i="6"/>
  <c r="H62" i="6"/>
  <c r="H54" i="6"/>
  <c r="H48" i="6"/>
  <c r="H60" i="6"/>
  <c r="H51" i="6"/>
  <c r="H46" i="6"/>
  <c r="H41" i="6"/>
  <c r="H35" i="6"/>
  <c r="H38" i="6"/>
  <c r="H58" i="6"/>
  <c r="H55" i="6"/>
  <c r="H49" i="6"/>
  <c r="H45" i="6"/>
  <c r="H33" i="6"/>
  <c r="H44" i="6"/>
  <c r="H47" i="6"/>
  <c r="BB15" i="14"/>
  <c r="BE16" i="14"/>
  <c r="BB16" i="14"/>
  <c r="I77" i="6"/>
  <c r="I74" i="6"/>
  <c r="H27" i="6"/>
  <c r="P84" i="35" l="1"/>
  <c r="C44" i="35"/>
  <c r="C73" i="35"/>
  <c r="R49" i="25"/>
  <c r="R50" i="25" s="1"/>
  <c r="T84" i="35"/>
  <c r="C73" i="6"/>
  <c r="H39" i="6"/>
  <c r="H73" i="6"/>
  <c r="H30" i="6"/>
  <c r="C74" i="6"/>
  <c r="AU13" i="5"/>
  <c r="J76" i="6"/>
  <c r="J77" i="6"/>
  <c r="D78" i="6"/>
  <c r="D75" i="6"/>
  <c r="BC33" i="14"/>
  <c r="AQ11" i="5"/>
  <c r="W9" i="24"/>
  <c r="S9" i="24" s="1"/>
  <c r="E9" i="24"/>
  <c r="E11" i="5"/>
  <c r="BH29" i="14"/>
  <c r="BB33" i="14"/>
  <c r="BE32" i="14"/>
  <c r="I78" i="6"/>
  <c r="C30" i="6"/>
  <c r="E13" i="5" s="1"/>
  <c r="H74" i="6"/>
  <c r="H77" i="6"/>
  <c r="H76" i="6"/>
  <c r="C39" i="6"/>
  <c r="J11" i="35" s="1"/>
  <c r="C76" i="6"/>
  <c r="I75" i="6"/>
  <c r="C77" i="6"/>
  <c r="BD33" i="14"/>
  <c r="C43" i="35" l="1"/>
  <c r="C72" i="35"/>
  <c r="Q84" i="35"/>
  <c r="AQ13" i="5"/>
  <c r="AK13" i="5" s="1"/>
  <c r="AE13" i="5" s="1"/>
  <c r="AA13" i="5" s="1"/>
  <c r="Z13" i="5" s="1"/>
  <c r="T13" i="5" s="1"/>
  <c r="J78" i="6"/>
  <c r="C75" i="6"/>
  <c r="H75" i="6"/>
  <c r="BG32" i="14"/>
  <c r="BH32" i="14" s="1"/>
  <c r="BB39" i="14"/>
  <c r="C78" i="6"/>
  <c r="Q77" i="6" s="1"/>
  <c r="H78" i="6"/>
  <c r="P77" i="6" l="1"/>
  <c r="O77" i="6" s="1"/>
  <c r="N77" i="6" s="1"/>
  <c r="Q78" i="6"/>
  <c r="AI154" i="13"/>
  <c r="AD152" i="13" s="1"/>
  <c r="AD151" i="13" s="1"/>
  <c r="L158" i="10"/>
  <c r="G156" i="10" s="1"/>
  <c r="G155" i="10" s="1"/>
  <c r="L155" i="15"/>
  <c r="G153" i="15" s="1"/>
  <c r="G152" i="15" s="1"/>
  <c r="L158" i="11"/>
  <c r="G156" i="11" s="1"/>
  <c r="G155" i="11" s="1"/>
  <c r="L155" i="7"/>
  <c r="G153" i="7" s="1"/>
  <c r="G152" i="7" s="1"/>
  <c r="M154" i="12"/>
  <c r="G152" i="12" s="1"/>
  <c r="G151" i="12" s="1"/>
  <c r="L154" i="14"/>
  <c r="G152" i="14" s="1"/>
  <c r="G151" i="14" s="1"/>
  <c r="BC39" i="14"/>
  <c r="K164" i="9"/>
  <c r="G162" i="9" s="1"/>
  <c r="G161" i="9" s="1"/>
  <c r="L156" i="4"/>
  <c r="G154" i="4" s="1"/>
  <c r="G153" i="4" s="1"/>
  <c r="BB42" i="14"/>
  <c r="P78" i="6" l="1"/>
  <c r="O78" i="6" s="1"/>
  <c r="N78" i="6" s="1"/>
  <c r="BC42" i="14"/>
  <c r="Y20" i="14" s="1"/>
  <c r="Y17" i="14"/>
  <c r="AC17" i="14" l="1"/>
  <c r="AA17" i="14"/>
  <c r="AB17" i="14"/>
  <c r="M19" i="14"/>
  <c r="Z17" i="14"/>
  <c r="Z16" i="14" l="1"/>
  <c r="N19" i="14"/>
  <c r="O19" i="14"/>
  <c r="AA16" i="14"/>
  <c r="AB16" i="14"/>
  <c r="P19" i="14"/>
  <c r="Q19" i="14"/>
  <c r="AC16" i="14"/>
  <c r="BE31" i="14"/>
  <c r="BG31" i="14" s="1"/>
  <c r="P55" i="25"/>
  <c r="Q55" i="25" s="1"/>
  <c r="R179" i="25"/>
  <c r="S179" i="25" s="1"/>
  <c r="E84" i="11"/>
  <c r="E85" i="11" s="1"/>
  <c r="D94" i="11" s="1"/>
  <c r="F28" i="24"/>
  <c r="F29" i="24"/>
  <c r="G29" i="24" s="1"/>
  <c r="E34" i="24"/>
  <c r="E10" i="24" s="1"/>
  <c r="AB9" i="24"/>
  <c r="D34" i="24"/>
  <c r="C34" i="24"/>
  <c r="B34" i="24"/>
  <c r="C80" i="11"/>
  <c r="C85" i="11" s="1"/>
  <c r="B94" i="11" s="1"/>
  <c r="AK57" i="5"/>
  <c r="AM57" i="5" s="1"/>
  <c r="G18" i="11"/>
  <c r="G23" i="11" s="1"/>
  <c r="X27" i="24"/>
  <c r="Y27" i="24" s="1"/>
  <c r="X29" i="24"/>
  <c r="Y29" i="24" s="1"/>
  <c r="J16" i="24"/>
  <c r="K16" i="24" s="1"/>
  <c r="H20" i="24"/>
  <c r="H35" i="24" s="1"/>
  <c r="H11" i="24" s="1"/>
  <c r="I20" i="24"/>
  <c r="I35" i="24" s="1"/>
  <c r="I11" i="24" s="1"/>
  <c r="AA28" i="24"/>
  <c r="AA31" i="24" s="1"/>
  <c r="Z20" i="24"/>
  <c r="AB24" i="24"/>
  <c r="BB21" i="12"/>
  <c r="BB23" i="12"/>
  <c r="BB24" i="12"/>
  <c r="BB25" i="12"/>
  <c r="R15" i="24"/>
  <c r="S15" i="24" s="1"/>
  <c r="Q31" i="24"/>
  <c r="R27" i="24"/>
  <c r="R28" i="24"/>
  <c r="S28" i="24" s="1"/>
  <c r="R29" i="24"/>
  <c r="S29" i="24" s="1"/>
  <c r="AI23" i="24"/>
  <c r="AI27" i="24" s="1"/>
  <c r="AI10" i="24" s="1"/>
  <c r="AJ23" i="24"/>
  <c r="AJ27" i="24" s="1"/>
  <c r="AK23" i="24"/>
  <c r="AK27" i="24" s="1"/>
  <c r="AK10" i="24" s="1"/>
  <c r="E20" i="24"/>
  <c r="E35" i="24" s="1"/>
  <c r="E11" i="24" s="1"/>
  <c r="D35" i="24"/>
  <c r="AU24" i="14"/>
  <c r="AV24" i="14" s="1"/>
  <c r="AU30" i="14"/>
  <c r="AV30" i="14" s="1"/>
  <c r="AU36" i="14"/>
  <c r="AV36" i="14" s="1"/>
  <c r="AJ41" i="14"/>
  <c r="AJ43" i="14" s="1"/>
  <c r="F16" i="24"/>
  <c r="G16" i="24" s="1"/>
  <c r="AN29" i="24"/>
  <c r="AN11" i="24" s="1"/>
  <c r="AM11" i="24"/>
  <c r="AK11" i="24"/>
  <c r="BC9" i="12"/>
  <c r="BG9" i="12" s="1"/>
  <c r="J14" i="25"/>
  <c r="AE24" i="24"/>
  <c r="AE28" i="24" s="1"/>
  <c r="AE11" i="24" s="1"/>
  <c r="AF24" i="24"/>
  <c r="AF28" i="24" s="1"/>
  <c r="AF11" i="24" s="1"/>
  <c r="J22" i="25"/>
  <c r="Q20" i="24"/>
  <c r="Q35" i="24" s="1"/>
  <c r="Q11" i="24" s="1"/>
  <c r="P20" i="24"/>
  <c r="P35" i="24" s="1"/>
  <c r="O35" i="24"/>
  <c r="O11" i="24" s="1"/>
  <c r="Z8" i="13"/>
  <c r="Z10" i="13" s="1"/>
  <c r="BF19" i="14"/>
  <c r="AG16" i="12"/>
  <c r="AG19" i="12"/>
  <c r="AQ19" i="12" s="1"/>
  <c r="AT19" i="12" s="1"/>
  <c r="AS24" i="12"/>
  <c r="AT24" i="12" s="1"/>
  <c r="AT9" i="12"/>
  <c r="B80" i="11"/>
  <c r="B85" i="11" s="1"/>
  <c r="B93" i="11" s="1"/>
  <c r="AT15" i="12"/>
  <c r="AS20" i="12"/>
  <c r="AT20" i="12" s="1"/>
  <c r="AT25" i="12"/>
  <c r="AS23" i="12"/>
  <c r="AT23" i="12" s="1"/>
  <c r="AQ40" i="14"/>
  <c r="AR40" i="14" s="1"/>
  <c r="AR44" i="14" s="1"/>
  <c r="AT22" i="12"/>
  <c r="AK15" i="14"/>
  <c r="AL15" i="14" s="1"/>
  <c r="AK25" i="14"/>
  <c r="AL25" i="14" s="1"/>
  <c r="AK31" i="14"/>
  <c r="AL31" i="14" s="1"/>
  <c r="AK37" i="14"/>
  <c r="AL37" i="14" s="1"/>
  <c r="AK40" i="14"/>
  <c r="AL40" i="14" s="1"/>
  <c r="AT12" i="12"/>
  <c r="AK11" i="14"/>
  <c r="AL11" i="14" s="1"/>
  <c r="AK14" i="14"/>
  <c r="AL14" i="14" s="1"/>
  <c r="AK19" i="14"/>
  <c r="AL19" i="14" s="1"/>
  <c r="AK21" i="14"/>
  <c r="AL21" i="14" s="1"/>
  <c r="AK39" i="14"/>
  <c r="AL39" i="14" s="1"/>
  <c r="X4" i="11"/>
  <c r="AT8" i="12"/>
  <c r="AU17" i="14"/>
  <c r="AV17" i="14" s="1"/>
  <c r="AN40" i="14"/>
  <c r="AO30" i="14" s="1"/>
  <c r="T12" i="13"/>
  <c r="Q159" i="25"/>
  <c r="S159" i="25" s="1"/>
  <c r="H13" i="15"/>
  <c r="I20" i="15" s="1"/>
  <c r="Q173" i="25"/>
  <c r="S173" i="25" s="1"/>
  <c r="Q171" i="25"/>
  <c r="S171" i="25" s="1"/>
  <c r="Q169" i="25"/>
  <c r="S169" i="25" s="1"/>
  <c r="Q167" i="25"/>
  <c r="S167" i="25" s="1"/>
  <c r="Q165" i="25"/>
  <c r="R165" i="25"/>
  <c r="Q163" i="25"/>
  <c r="S163" i="25" s="1"/>
  <c r="R161" i="25"/>
  <c r="S161" i="25" s="1"/>
  <c r="Z19" i="15"/>
  <c r="AA19" i="15" s="1"/>
  <c r="P34" i="15"/>
  <c r="Q34" i="15" s="1"/>
  <c r="P33" i="25"/>
  <c r="H144" i="25"/>
  <c r="J144" i="25" s="1"/>
  <c r="AA81" i="25" s="1"/>
  <c r="P132" i="25"/>
  <c r="P138" i="25"/>
  <c r="P139" i="25" s="1"/>
  <c r="H143" i="25"/>
  <c r="J143" i="25" s="1"/>
  <c r="Q39" i="25"/>
  <c r="Q185" i="25" s="1"/>
  <c r="S185" i="25" s="1"/>
  <c r="G77" i="7"/>
  <c r="AI41" i="14" s="1"/>
  <c r="BR32" i="23"/>
  <c r="BI32" i="23" s="1"/>
  <c r="BS32" i="23"/>
  <c r="BJ32" i="23" s="1"/>
  <c r="AL57" i="23"/>
  <c r="AL66" i="23"/>
  <c r="AK57" i="23"/>
  <c r="BY57" i="23" s="1"/>
  <c r="AM36" i="23"/>
  <c r="BH36" i="23" s="1"/>
  <c r="AN875" i="23"/>
  <c r="AZ36" i="23" s="1"/>
  <c r="U24" i="23"/>
  <c r="AN36" i="23" s="1"/>
  <c r="V860" i="23"/>
  <c r="AO875" i="23" s="1"/>
  <c r="V24" i="23"/>
  <c r="AO36" i="23" s="1"/>
  <c r="V442" i="23"/>
  <c r="AO457" i="23" s="1"/>
  <c r="AM28" i="23"/>
  <c r="AM29" i="23" s="1"/>
  <c r="AN28" i="23"/>
  <c r="AN29" i="23" s="1"/>
  <c r="AO28" i="23"/>
  <c r="AO29" i="23" s="1"/>
  <c r="CA10" i="23"/>
  <c r="CB10" i="23"/>
  <c r="CC10" i="23"/>
  <c r="U39" i="23"/>
  <c r="AN44" i="23" s="1"/>
  <c r="V39" i="23"/>
  <c r="AW11" i="23"/>
  <c r="BF11" i="23" s="1"/>
  <c r="AX11" i="23"/>
  <c r="BP11" i="23"/>
  <c r="AY11" i="23"/>
  <c r="CA11" i="23" s="1"/>
  <c r="BQ11" i="23"/>
  <c r="AZ11" i="23"/>
  <c r="CB11" i="23" s="1"/>
  <c r="BR11" i="23"/>
  <c r="BA11" i="23"/>
  <c r="CC11" i="23" s="1"/>
  <c r="BS11" i="23"/>
  <c r="BX11" i="23"/>
  <c r="AW15" i="23"/>
  <c r="BY15" i="23" s="1"/>
  <c r="BO15" i="23"/>
  <c r="AX15" i="23"/>
  <c r="BP15" i="23"/>
  <c r="AY15" i="23"/>
  <c r="BQ15" i="23"/>
  <c r="AZ15" i="23"/>
  <c r="CB15" i="23" s="1"/>
  <c r="BR15" i="23"/>
  <c r="BA15" i="23"/>
  <c r="BS15" i="23"/>
  <c r="AY35" i="23"/>
  <c r="CA35" i="23" s="1"/>
  <c r="AZ35" i="23"/>
  <c r="CB35" i="23" s="1"/>
  <c r="BA35" i="23"/>
  <c r="CC35" i="23" s="1"/>
  <c r="BP35" i="23"/>
  <c r="BG35" i="23" s="1"/>
  <c r="BO35" i="23"/>
  <c r="BF35" i="23" s="1"/>
  <c r="AW16" i="23"/>
  <c r="BY16" i="23" s="1"/>
  <c r="BO16" i="23"/>
  <c r="AX16" i="23"/>
  <c r="BP16" i="23"/>
  <c r="AY16" i="23"/>
  <c r="BQ16" i="23"/>
  <c r="AZ16" i="23"/>
  <c r="CB16" i="23" s="1"/>
  <c r="BR16" i="23"/>
  <c r="BA16" i="23"/>
  <c r="BS16" i="23"/>
  <c r="AW17" i="23"/>
  <c r="AX17" i="23"/>
  <c r="BZ17" i="23" s="1"/>
  <c r="AY17" i="23"/>
  <c r="CA17" i="23" s="1"/>
  <c r="AZ17" i="23"/>
  <c r="CB17" i="23" s="1"/>
  <c r="BA17" i="23"/>
  <c r="BO18" i="23"/>
  <c r="BP18" i="23"/>
  <c r="BQ18" i="23"/>
  <c r="BR18" i="23"/>
  <c r="BS18" i="23"/>
  <c r="AW33" i="23"/>
  <c r="BY33" i="23" s="1"/>
  <c r="AX33" i="23"/>
  <c r="BZ33" i="23" s="1"/>
  <c r="AY33" i="23"/>
  <c r="CA33" i="23" s="1"/>
  <c r="AZ33" i="23"/>
  <c r="CB33" i="23" s="1"/>
  <c r="BA33" i="23"/>
  <c r="CC33" i="23" s="1"/>
  <c r="BX33" i="23"/>
  <c r="AL478" i="23"/>
  <c r="BP57" i="23" s="1"/>
  <c r="AL485" i="23"/>
  <c r="BP64" i="23" s="1"/>
  <c r="AL487" i="23"/>
  <c r="BP66" i="23" s="1"/>
  <c r="AK478" i="23"/>
  <c r="BO57" i="23" s="1"/>
  <c r="BO17" i="23"/>
  <c r="BP17" i="23"/>
  <c r="BQ17" i="23"/>
  <c r="BR17" i="23"/>
  <c r="BS17" i="23"/>
  <c r="AY18" i="23"/>
  <c r="AX18" i="23"/>
  <c r="BO21" i="23"/>
  <c r="BP21" i="23"/>
  <c r="BQ21" i="23"/>
  <c r="BR21" i="23"/>
  <c r="BS21" i="23"/>
  <c r="AW34" i="23"/>
  <c r="BY34" i="23" s="1"/>
  <c r="AX34" i="23"/>
  <c r="BZ34" i="23" s="1"/>
  <c r="AY34" i="23"/>
  <c r="CA34" i="23" s="1"/>
  <c r="AZ34" i="23"/>
  <c r="CB34" i="23" s="1"/>
  <c r="BA34" i="23"/>
  <c r="CC34" i="23" s="1"/>
  <c r="AW18" i="23"/>
  <c r="AZ18" i="23"/>
  <c r="BA18" i="23"/>
  <c r="AW24" i="23"/>
  <c r="BY24" i="23" s="1"/>
  <c r="AX24" i="23"/>
  <c r="AY24" i="23"/>
  <c r="CA24" i="23" s="1"/>
  <c r="AZ24" i="23"/>
  <c r="CB24" i="23" s="1"/>
  <c r="BA24" i="23"/>
  <c r="CC24" i="23" s="1"/>
  <c r="BO19" i="23"/>
  <c r="BP19" i="23"/>
  <c r="BQ19" i="23"/>
  <c r="BR19" i="23"/>
  <c r="BS19" i="23"/>
  <c r="AW25" i="23"/>
  <c r="BY25" i="23" s="1"/>
  <c r="AX25" i="23"/>
  <c r="BZ25" i="23" s="1"/>
  <c r="AY25" i="23"/>
  <c r="CA25" i="23" s="1"/>
  <c r="AZ25" i="23"/>
  <c r="CB25" i="23" s="1"/>
  <c r="BA25" i="23"/>
  <c r="CC25" i="23" s="1"/>
  <c r="BQ35" i="23"/>
  <c r="BR35" i="23"/>
  <c r="BS35" i="23"/>
  <c r="AW26" i="23"/>
  <c r="BO26" i="23"/>
  <c r="AX26" i="23"/>
  <c r="BZ26" i="23" s="1"/>
  <c r="BP26" i="23"/>
  <c r="AY26" i="23"/>
  <c r="CA26" i="23" s="1"/>
  <c r="BQ26" i="23"/>
  <c r="AZ26" i="23"/>
  <c r="CB26" i="23" s="1"/>
  <c r="BR26" i="23"/>
  <c r="BA26" i="23"/>
  <c r="CC26" i="23" s="1"/>
  <c r="BS26" i="23"/>
  <c r="AM867" i="23"/>
  <c r="AY28" i="23" s="1"/>
  <c r="AM449" i="23"/>
  <c r="BQ28" i="23" s="1"/>
  <c r="AN867" i="23"/>
  <c r="AZ28" i="23" s="1"/>
  <c r="AN449" i="23"/>
  <c r="BR28" i="23" s="1"/>
  <c r="AO867" i="23"/>
  <c r="BA28" i="23" s="1"/>
  <c r="AO449" i="23"/>
  <c r="BS28" i="23" s="1"/>
  <c r="BS67" i="23"/>
  <c r="BT67" i="23" s="1"/>
  <c r="AZ19" i="23"/>
  <c r="CB19" i="23" s="1"/>
  <c r="AY19" i="23"/>
  <c r="CA19" i="23" s="1"/>
  <c r="AX20" i="23"/>
  <c r="BZ20" i="23" s="1"/>
  <c r="AW20" i="23"/>
  <c r="BY20" i="23" s="1"/>
  <c r="AY22" i="23"/>
  <c r="CA22" i="23" s="1"/>
  <c r="BQ22" i="23"/>
  <c r="AX22" i="23"/>
  <c r="BZ22" i="23" s="1"/>
  <c r="BO34" i="23"/>
  <c r="BP34" i="23"/>
  <c r="BQ34" i="23"/>
  <c r="BR34" i="23"/>
  <c r="BS34" i="23"/>
  <c r="BN34" i="23"/>
  <c r="AX19" i="23"/>
  <c r="BO20" i="23"/>
  <c r="BP20" i="23"/>
  <c r="AY20" i="23"/>
  <c r="CA20" i="23" s="1"/>
  <c r="BQ20" i="23"/>
  <c r="AZ20" i="23"/>
  <c r="BR20" i="23"/>
  <c r="BA20" i="23"/>
  <c r="CC20" i="23" s="1"/>
  <c r="BS20" i="23"/>
  <c r="AX21" i="23"/>
  <c r="AW21" i="23"/>
  <c r="BY21" i="23" s="1"/>
  <c r="AZ21" i="23"/>
  <c r="CB21" i="23" s="1"/>
  <c r="AY21" i="23"/>
  <c r="AW22" i="23"/>
  <c r="BO22" i="23"/>
  <c r="BP22" i="23"/>
  <c r="AZ22" i="23"/>
  <c r="BR22" i="23"/>
  <c r="BA22" i="23"/>
  <c r="CC22" i="23" s="1"/>
  <c r="BS22" i="23"/>
  <c r="BR24" i="23"/>
  <c r="BO24" i="23"/>
  <c r="BP24" i="23"/>
  <c r="BQ24" i="23"/>
  <c r="BS24" i="23"/>
  <c r="BO25" i="23"/>
  <c r="BP25" i="23"/>
  <c r="BQ25" i="23"/>
  <c r="BR25" i="23"/>
  <c r="BS25" i="23"/>
  <c r="BO27" i="23"/>
  <c r="BP27" i="23"/>
  <c r="BQ27" i="23"/>
  <c r="BR27" i="23"/>
  <c r="BS27" i="23"/>
  <c r="AZ27" i="23"/>
  <c r="AY27" i="23"/>
  <c r="CA27" i="23" s="1"/>
  <c r="BA67" i="23"/>
  <c r="BA71" i="23"/>
  <c r="CC71" i="23" s="1"/>
  <c r="CD71" i="23" s="1"/>
  <c r="BS71" i="23"/>
  <c r="BT71" i="23" s="1"/>
  <c r="BA27" i="23"/>
  <c r="CC27" i="23" s="1"/>
  <c r="Z68" i="23"/>
  <c r="AX54" i="23"/>
  <c r="BP54" i="23"/>
  <c r="AY54" i="23"/>
  <c r="CA54" i="23" s="1"/>
  <c r="BQ54" i="23"/>
  <c r="AZ54" i="23"/>
  <c r="CB54" i="23" s="1"/>
  <c r="BR54" i="23"/>
  <c r="BA54" i="23"/>
  <c r="BS54" i="23"/>
  <c r="S875" i="23"/>
  <c r="AL883" i="23" s="1"/>
  <c r="R875" i="23"/>
  <c r="AK883" i="23" s="1"/>
  <c r="AW19" i="23"/>
  <c r="BA19" i="23"/>
  <c r="BA21" i="23"/>
  <c r="CC21" i="23" s="1"/>
  <c r="AX27" i="23"/>
  <c r="BZ27" i="23" s="1"/>
  <c r="BZ29" i="23"/>
  <c r="AW27" i="23"/>
  <c r="BY27" i="23" s="1"/>
  <c r="CA53" i="23"/>
  <c r="CB53" i="23"/>
  <c r="CC53" i="23"/>
  <c r="AM658" i="23"/>
  <c r="AM659" i="23" s="1"/>
  <c r="AN658" i="23"/>
  <c r="AN659" i="23" s="1"/>
  <c r="AO658" i="23"/>
  <c r="AO659" i="23" s="1"/>
  <c r="AM894" i="23"/>
  <c r="AY55" i="23" s="1"/>
  <c r="AN894" i="23"/>
  <c r="AZ55" i="23" s="1"/>
  <c r="AO894" i="23"/>
  <c r="BA55" i="23" s="1"/>
  <c r="CC55" i="23" s="1"/>
  <c r="CA65" i="23"/>
  <c r="AZ65" i="23"/>
  <c r="CB65" i="23" s="1"/>
  <c r="BA65" i="23"/>
  <c r="CC65" i="23" s="1"/>
  <c r="T875" i="23"/>
  <c r="AM883" i="23" s="1"/>
  <c r="BG65" i="23"/>
  <c r="BQ65" i="23"/>
  <c r="BH65" i="23" s="1"/>
  <c r="BR65" i="23"/>
  <c r="BS65" i="23"/>
  <c r="BZ60" i="23"/>
  <c r="AY60" i="23"/>
  <c r="CA60" i="23" s="1"/>
  <c r="AZ60" i="23"/>
  <c r="CB60" i="23" s="1"/>
  <c r="BA60" i="23"/>
  <c r="CC60" i="23" s="1"/>
  <c r="CA52" i="23"/>
  <c r="CB52" i="23"/>
  <c r="CC52" i="23"/>
  <c r="AL903" i="23"/>
  <c r="AX64" i="23" s="1"/>
  <c r="AM903" i="23"/>
  <c r="AY64" i="23" s="1"/>
  <c r="AM64" i="23"/>
  <c r="AN903" i="23"/>
  <c r="AZ64" i="23" s="1"/>
  <c r="AN64" i="23"/>
  <c r="AO903" i="23"/>
  <c r="BA64" i="23" s="1"/>
  <c r="AO64" i="23"/>
  <c r="AM240" i="23"/>
  <c r="AM241" i="23" s="1"/>
  <c r="AN240" i="23"/>
  <c r="AN241" i="23" s="1"/>
  <c r="AO240" i="23"/>
  <c r="AO241" i="23" s="1"/>
  <c r="BA61" i="23"/>
  <c r="CC61" i="23" s="1"/>
  <c r="CD61" i="23" s="1"/>
  <c r="BI74" i="23"/>
  <c r="BA74" i="23"/>
  <c r="BJ74" i="23" s="1"/>
  <c r="AM476" i="23"/>
  <c r="BQ55" i="23" s="1"/>
  <c r="AN476" i="23"/>
  <c r="BR55" i="23" s="1"/>
  <c r="AO476" i="23"/>
  <c r="BS55" i="23" s="1"/>
  <c r="AX63" i="23"/>
  <c r="AY63" i="23"/>
  <c r="CA63" i="23" s="1"/>
  <c r="AZ63" i="23"/>
  <c r="CB63" i="23" s="1"/>
  <c r="BA63" i="23"/>
  <c r="CC63" i="23" s="1"/>
  <c r="BP63" i="23"/>
  <c r="BQ63" i="23"/>
  <c r="BR63" i="23"/>
  <c r="BS63" i="23"/>
  <c r="V233" i="23"/>
  <c r="Z233" i="23" s="1"/>
  <c r="AS248" i="23" s="1"/>
  <c r="T247" i="23"/>
  <c r="AM256" i="23" s="1"/>
  <c r="AM259" i="23" s="1"/>
  <c r="U247" i="23"/>
  <c r="AN256" i="23" s="1"/>
  <c r="AN259" i="23" s="1"/>
  <c r="V247" i="23"/>
  <c r="AO256" i="23" s="1"/>
  <c r="AN911" i="23"/>
  <c r="AZ72" i="23" s="1"/>
  <c r="AN72" i="23"/>
  <c r="AO911" i="23"/>
  <c r="BA72" i="23" s="1"/>
  <c r="AO72" i="23"/>
  <c r="AO269" i="23"/>
  <c r="AO273" i="23"/>
  <c r="AO276" i="23"/>
  <c r="AO278" i="23"/>
  <c r="AO280" i="23"/>
  <c r="AO282" i="23"/>
  <c r="AO289" i="23"/>
  <c r="AN907" i="23"/>
  <c r="AZ68" i="23" s="1"/>
  <c r="AN68" i="23"/>
  <c r="AN489" i="23"/>
  <c r="BR68" i="23" s="1"/>
  <c r="AO907" i="23"/>
  <c r="BA68" i="23" s="1"/>
  <c r="AO68" i="23"/>
  <c r="AO489" i="23"/>
  <c r="BS68" i="23" s="1"/>
  <c r="AL896" i="23"/>
  <c r="AX57" i="23" s="1"/>
  <c r="AM896" i="23"/>
  <c r="AY57" i="23" s="1"/>
  <c r="AM57" i="23"/>
  <c r="AM478" i="23"/>
  <c r="BQ57" i="23" s="1"/>
  <c r="AN896" i="23"/>
  <c r="AZ57" i="23" s="1"/>
  <c r="AN57" i="23"/>
  <c r="AN478" i="23"/>
  <c r="BR57" i="23" s="1"/>
  <c r="AO896" i="23"/>
  <c r="BA57" i="23" s="1"/>
  <c r="AO57" i="23"/>
  <c r="AO478" i="23"/>
  <c r="BS57" i="23" s="1"/>
  <c r="AK905" i="23"/>
  <c r="AW66" i="23" s="1"/>
  <c r="AK66" i="23"/>
  <c r="AL905" i="23"/>
  <c r="AX66" i="23" s="1"/>
  <c r="AM905" i="23"/>
  <c r="AY66" i="23" s="1"/>
  <c r="AM66" i="23"/>
  <c r="AN905" i="23"/>
  <c r="AZ66" i="23" s="1"/>
  <c r="AN66" i="23"/>
  <c r="AO905" i="23"/>
  <c r="BA66" i="23" s="1"/>
  <c r="AO66" i="23"/>
  <c r="BX66" i="23"/>
  <c r="AO70" i="23"/>
  <c r="CC77" i="23"/>
  <c r="CD77" i="23" s="1"/>
  <c r="BO44" i="23"/>
  <c r="BP44" i="23"/>
  <c r="T457" i="23"/>
  <c r="AM465" i="23" s="1"/>
  <c r="U875" i="23"/>
  <c r="AN883" i="23" s="1"/>
  <c r="U457" i="23"/>
  <c r="AN465" i="23" s="1"/>
  <c r="V875" i="23"/>
  <c r="AO883" i="23" s="1"/>
  <c r="BA44" i="23" s="1"/>
  <c r="V457" i="23"/>
  <c r="AO465" i="23" s="1"/>
  <c r="BS44" i="23" s="1"/>
  <c r="AN909" i="23"/>
  <c r="AZ70" i="23" s="1"/>
  <c r="AN70" i="23"/>
  <c r="AN491" i="23"/>
  <c r="AO909" i="23"/>
  <c r="BA70" i="23" s="1"/>
  <c r="AO491" i="23"/>
  <c r="BS70" i="23" s="1"/>
  <c r="BH70" i="23"/>
  <c r="BI76" i="23"/>
  <c r="BJ76" i="23"/>
  <c r="AW40" i="23"/>
  <c r="AX40" i="23"/>
  <c r="BZ40" i="23" s="1"/>
  <c r="AY40" i="23"/>
  <c r="AZ40" i="23"/>
  <c r="CB40" i="23" s="1"/>
  <c r="BA40" i="23"/>
  <c r="CC40" i="23" s="1"/>
  <c r="BO40" i="23"/>
  <c r="BP40" i="23"/>
  <c r="BQ40" i="23"/>
  <c r="BR40" i="23"/>
  <c r="BS40" i="23"/>
  <c r="AW41" i="23"/>
  <c r="BY41" i="23" s="1"/>
  <c r="BO41" i="23"/>
  <c r="AX41" i="23"/>
  <c r="BZ41" i="23" s="1"/>
  <c r="BP41" i="23"/>
  <c r="AY41" i="23"/>
  <c r="CA41" i="23" s="1"/>
  <c r="BQ41" i="23"/>
  <c r="AZ41" i="23"/>
  <c r="CB41" i="23" s="1"/>
  <c r="BR41" i="23"/>
  <c r="BA41" i="23"/>
  <c r="CC41" i="23" s="1"/>
  <c r="BS41" i="23"/>
  <c r="AW42" i="23"/>
  <c r="BO42" i="23"/>
  <c r="AX42" i="23"/>
  <c r="BZ42" i="23" s="1"/>
  <c r="BP42" i="23"/>
  <c r="AY42" i="23"/>
  <c r="CA42" i="23" s="1"/>
  <c r="BQ42" i="23"/>
  <c r="AZ42" i="23"/>
  <c r="BR42" i="23"/>
  <c r="BA42" i="23"/>
  <c r="BS42" i="23"/>
  <c r="AW43" i="23"/>
  <c r="BY43" i="23" s="1"/>
  <c r="BO43" i="23"/>
  <c r="AX43" i="23"/>
  <c r="BP43" i="23"/>
  <c r="AY43" i="23"/>
  <c r="CA43" i="23" s="1"/>
  <c r="BQ43" i="23"/>
  <c r="AZ43" i="23"/>
  <c r="CB43" i="23" s="1"/>
  <c r="BR43" i="23"/>
  <c r="BA43" i="23"/>
  <c r="CC43" i="23" s="1"/>
  <c r="BS43" i="23"/>
  <c r="AW45" i="23"/>
  <c r="BY45" i="23" s="1"/>
  <c r="BO45" i="23"/>
  <c r="AX45" i="23"/>
  <c r="BP45" i="23"/>
  <c r="AY45" i="23"/>
  <c r="CA45" i="23" s="1"/>
  <c r="BQ45" i="23"/>
  <c r="AZ45" i="23"/>
  <c r="CB45" i="23" s="1"/>
  <c r="BR45" i="23"/>
  <c r="BA45" i="23"/>
  <c r="CC45" i="23" s="1"/>
  <c r="BS45" i="23"/>
  <c r="AW46" i="23"/>
  <c r="BY46" i="23" s="1"/>
  <c r="BO46" i="23"/>
  <c r="AX46" i="23"/>
  <c r="BZ46" i="23" s="1"/>
  <c r="BP46" i="23"/>
  <c r="AY46" i="23"/>
  <c r="BQ46" i="23"/>
  <c r="AZ46" i="23"/>
  <c r="CB46" i="23" s="1"/>
  <c r="BR46" i="23"/>
  <c r="BA46" i="23"/>
  <c r="BS46" i="23"/>
  <c r="BN40" i="23"/>
  <c r="BF61" i="23"/>
  <c r="BG61" i="23"/>
  <c r="AM482" i="23"/>
  <c r="BQ61" i="23" s="1"/>
  <c r="AN482" i="23"/>
  <c r="BR61" i="23" s="1"/>
  <c r="BI61" i="23" s="1"/>
  <c r="AO482" i="23"/>
  <c r="AK485" i="23"/>
  <c r="BO64" i="23" s="1"/>
  <c r="AM485" i="23"/>
  <c r="BQ64" i="23" s="1"/>
  <c r="AN485" i="23"/>
  <c r="BR64" i="23" s="1"/>
  <c r="AO485" i="23"/>
  <c r="BS64" i="23" s="1"/>
  <c r="AW58" i="23"/>
  <c r="BF58" i="23" s="1"/>
  <c r="AX58" i="23"/>
  <c r="BG58" i="23" s="1"/>
  <c r="AY58" i="23"/>
  <c r="BH58" i="23" s="1"/>
  <c r="AZ58" i="23"/>
  <c r="CB58" i="23" s="1"/>
  <c r="BR58" i="23"/>
  <c r="BA58" i="23"/>
  <c r="CC58" i="23" s="1"/>
  <c r="BS58" i="23"/>
  <c r="S652" i="23"/>
  <c r="AL666" i="23" s="1"/>
  <c r="S665" i="23"/>
  <c r="AL674" i="23" s="1"/>
  <c r="R652" i="23"/>
  <c r="AK666" i="23" s="1"/>
  <c r="AN493" i="23"/>
  <c r="AO493" i="23"/>
  <c r="BS72" i="23" s="1"/>
  <c r="BP60" i="23"/>
  <c r="BQ60" i="23"/>
  <c r="BR60" i="23"/>
  <c r="BS60" i="23"/>
  <c r="AM278" i="23"/>
  <c r="AN278" i="23"/>
  <c r="R665" i="23"/>
  <c r="AZ69" i="23"/>
  <c r="BI69" i="23" s="1"/>
  <c r="BA69" i="23"/>
  <c r="BS69" i="23"/>
  <c r="BT69" i="23" s="1"/>
  <c r="BX57" i="23"/>
  <c r="BH72" i="23"/>
  <c r="AL687" i="23"/>
  <c r="AL694" i="23"/>
  <c r="AK694" i="23"/>
  <c r="BO38" i="23"/>
  <c r="BP38" i="23"/>
  <c r="BQ38" i="23"/>
  <c r="BR38" i="23"/>
  <c r="BS38" i="23"/>
  <c r="BX44" i="23"/>
  <c r="V488" i="23"/>
  <c r="Z488" i="23" s="1"/>
  <c r="BA37" i="23"/>
  <c r="BS37" i="23"/>
  <c r="AZ37" i="23"/>
  <c r="CB37" i="23" s="1"/>
  <c r="BR37" i="23"/>
  <c r="AX37" i="23"/>
  <c r="BZ37" i="23" s="1"/>
  <c r="AW37" i="23"/>
  <c r="BY37" i="23" s="1"/>
  <c r="AY37" i="23"/>
  <c r="CA37" i="23" s="1"/>
  <c r="BA38" i="23"/>
  <c r="AZ38" i="23"/>
  <c r="CB38" i="23" s="1"/>
  <c r="BX46" i="23"/>
  <c r="AW50" i="23"/>
  <c r="BY50" i="23" s="1"/>
  <c r="AX50" i="23"/>
  <c r="BZ50" i="23" s="1"/>
  <c r="AY50" i="23"/>
  <c r="CA50" i="23" s="1"/>
  <c r="AZ50" i="23"/>
  <c r="BA50" i="23"/>
  <c r="CC50" i="23" s="1"/>
  <c r="BS50" i="23"/>
  <c r="BA59" i="23"/>
  <c r="CC59" i="23" s="1"/>
  <c r="BS59" i="23"/>
  <c r="AZ59" i="23"/>
  <c r="CB59" i="23" s="1"/>
  <c r="AK487" i="23"/>
  <c r="BO66" i="23" s="1"/>
  <c r="AM487" i="23"/>
  <c r="BQ66" i="23" s="1"/>
  <c r="AN487" i="23"/>
  <c r="BR66" i="23" s="1"/>
  <c r="AO487" i="23"/>
  <c r="BS66" i="23" s="1"/>
  <c r="CA69" i="23"/>
  <c r="BZ69" i="23"/>
  <c r="BY69" i="23"/>
  <c r="BX69" i="23"/>
  <c r="AZ73" i="23"/>
  <c r="CB73" i="23" s="1"/>
  <c r="BR73" i="23"/>
  <c r="BA73" i="23"/>
  <c r="BS73" i="23"/>
  <c r="AR468" i="23"/>
  <c r="AR504" i="23" s="1"/>
  <c r="V652" i="23"/>
  <c r="AO666" i="23" s="1"/>
  <c r="V665" i="23"/>
  <c r="AO674" i="23" s="1"/>
  <c r="U652" i="23"/>
  <c r="AN666" i="23" s="1"/>
  <c r="U665" i="23"/>
  <c r="AN674" i="23" s="1"/>
  <c r="V698" i="23"/>
  <c r="Z698" i="23" s="1"/>
  <c r="CC78" i="23"/>
  <c r="CD78" i="23" s="1"/>
  <c r="AO498" i="23"/>
  <c r="BS77" i="23" s="1"/>
  <c r="BJ77" i="23" s="1"/>
  <c r="AW38" i="23"/>
  <c r="BY38" i="23" s="1"/>
  <c r="BX38" i="23"/>
  <c r="AX38" i="23"/>
  <c r="BZ38" i="23" s="1"/>
  <c r="AY38" i="23"/>
  <c r="CA38" i="23" s="1"/>
  <c r="BO50" i="23"/>
  <c r="BP50" i="23"/>
  <c r="BQ50" i="23"/>
  <c r="BR50" i="23"/>
  <c r="BR59" i="23"/>
  <c r="AY59" i="23"/>
  <c r="CA59" i="23" s="1"/>
  <c r="AO918" i="23"/>
  <c r="BA79" i="23" s="1"/>
  <c r="BX42" i="23"/>
  <c r="BX43" i="23"/>
  <c r="BX45" i="23"/>
  <c r="BO47" i="23"/>
  <c r="BO59" i="23"/>
  <c r="BP47" i="23"/>
  <c r="BF55" i="23"/>
  <c r="BG55" i="23"/>
  <c r="AW59" i="23"/>
  <c r="AX59" i="23"/>
  <c r="BP59" i="23"/>
  <c r="BQ59" i="23"/>
  <c r="AN498" i="23"/>
  <c r="BR77" i="23" s="1"/>
  <c r="BI79" i="23"/>
  <c r="AO500" i="23"/>
  <c r="BS79" i="23" s="1"/>
  <c r="BX58" i="23"/>
  <c r="BN59" i="23"/>
  <c r="T652" i="23"/>
  <c r="AM666" i="23" s="1"/>
  <c r="T665" i="23"/>
  <c r="AM674" i="23" s="1"/>
  <c r="BH79" i="23"/>
  <c r="BO37" i="23"/>
  <c r="AM276" i="23"/>
  <c r="AN276" i="23"/>
  <c r="V697" i="23"/>
  <c r="Z697" i="23" s="1"/>
  <c r="BP37" i="23"/>
  <c r="BQ37" i="23"/>
  <c r="BN37" i="23"/>
  <c r="BX50" i="23"/>
  <c r="CA68" i="23"/>
  <c r="BZ68" i="23"/>
  <c r="BY68" i="23"/>
  <c r="BX68" i="23"/>
  <c r="CA73" i="23"/>
  <c r="V673" i="23"/>
  <c r="Z673" i="23" s="1"/>
  <c r="AR677" i="23"/>
  <c r="AR713" i="23" s="1"/>
  <c r="AM273" i="23"/>
  <c r="AN273" i="23"/>
  <c r="AN269" i="23"/>
  <c r="AN685" i="23"/>
  <c r="AO685" i="23"/>
  <c r="AM687" i="23"/>
  <c r="AN687" i="23"/>
  <c r="AO687" i="23"/>
  <c r="AM694" i="23"/>
  <c r="AN694" i="23"/>
  <c r="AO694" i="23"/>
  <c r="AM696" i="23"/>
  <c r="AN696" i="23"/>
  <c r="AO696" i="23"/>
  <c r="AN698" i="23"/>
  <c r="AO698" i="23"/>
  <c r="AN700" i="23"/>
  <c r="AO700" i="23"/>
  <c r="AN702" i="23"/>
  <c r="AO702" i="23"/>
  <c r="AN707" i="23"/>
  <c r="AO707" i="23"/>
  <c r="AQ504" i="23"/>
  <c r="BH77" i="23"/>
  <c r="AR87" i="23"/>
  <c r="AN282" i="23"/>
  <c r="V882" i="23"/>
  <c r="Z882" i="23" s="1"/>
  <c r="V253" i="23"/>
  <c r="Z253" i="23" s="1"/>
  <c r="AN280" i="23"/>
  <c r="S280" i="23"/>
  <c r="T280" i="23"/>
  <c r="U280" i="23"/>
  <c r="V280" i="23"/>
  <c r="AN289" i="23"/>
  <c r="AQ295" i="23"/>
  <c r="AR241" i="23"/>
  <c r="AR295" i="23" s="1"/>
  <c r="U486" i="23"/>
  <c r="V486" i="23"/>
  <c r="Z907" i="23"/>
  <c r="AR868" i="23"/>
  <c r="AR922" i="23" s="1"/>
  <c r="AQ868" i="23"/>
  <c r="G28" i="39"/>
  <c r="E28" i="39" s="1"/>
  <c r="E36" i="39" s="1"/>
  <c r="E35" i="39" s="1"/>
  <c r="E24" i="32"/>
  <c r="I24" i="32" s="1"/>
  <c r="E23" i="32"/>
  <c r="G24" i="32" s="1"/>
  <c r="G23" i="32"/>
  <c r="D24" i="32"/>
  <c r="I23" i="32" s="1"/>
  <c r="AF27" i="24"/>
  <c r="AF10" i="24" s="1"/>
  <c r="AE10" i="24"/>
  <c r="Z10" i="24"/>
  <c r="W10" i="24"/>
  <c r="W20" i="24"/>
  <c r="X20" i="24" s="1"/>
  <c r="R16" i="24"/>
  <c r="P15" i="31"/>
  <c r="O15" i="31"/>
  <c r="N15" i="31"/>
  <c r="M15" i="31"/>
  <c r="J15" i="31"/>
  <c r="I15" i="31"/>
  <c r="H15" i="31"/>
  <c r="G15" i="31"/>
  <c r="F15" i="31"/>
  <c r="E15" i="31"/>
  <c r="D15" i="31"/>
  <c r="C15" i="31"/>
  <c r="B15" i="31"/>
  <c r="P14" i="31"/>
  <c r="O14" i="31"/>
  <c r="N14" i="31"/>
  <c r="M14" i="31"/>
  <c r="J14" i="31"/>
  <c r="I14" i="31"/>
  <c r="H14" i="31"/>
  <c r="G14" i="31"/>
  <c r="F14" i="31"/>
  <c r="E14" i="31"/>
  <c r="D14" i="31"/>
  <c r="C14" i="31"/>
  <c r="B14" i="31"/>
  <c r="P13" i="31"/>
  <c r="O13" i="31"/>
  <c r="N13" i="31"/>
  <c r="M13" i="31"/>
  <c r="J13" i="31"/>
  <c r="I13" i="31"/>
  <c r="H13" i="31"/>
  <c r="G13" i="31"/>
  <c r="F13" i="31"/>
  <c r="E13" i="31"/>
  <c r="D13" i="31"/>
  <c r="C13" i="31"/>
  <c r="B13" i="31"/>
  <c r="P12" i="31"/>
  <c r="O12" i="31"/>
  <c r="N12" i="31"/>
  <c r="M12" i="31"/>
  <c r="J12" i="31"/>
  <c r="I12" i="31"/>
  <c r="H12" i="31"/>
  <c r="G12" i="31"/>
  <c r="F12" i="31"/>
  <c r="E12" i="31"/>
  <c r="D12" i="31"/>
  <c r="C12" i="31"/>
  <c r="B12" i="31"/>
  <c r="N51" i="19"/>
  <c r="D17" i="30" s="1"/>
  <c r="O51" i="19"/>
  <c r="E17" i="30" s="1"/>
  <c r="AK15" i="19"/>
  <c r="AK20" i="19"/>
  <c r="AK25" i="19"/>
  <c r="AK30" i="19"/>
  <c r="AK33" i="19"/>
  <c r="W54" i="19"/>
  <c r="U52" i="19"/>
  <c r="W52" i="19" s="1"/>
  <c r="U53" i="19"/>
  <c r="V53" i="19" s="1"/>
  <c r="AI13" i="19"/>
  <c r="AI11" i="19"/>
  <c r="AI18" i="19"/>
  <c r="AI23" i="19"/>
  <c r="AI24" i="19"/>
  <c r="AI27" i="19"/>
  <c r="AI28" i="19"/>
  <c r="AI32" i="19"/>
  <c r="AI35" i="19"/>
  <c r="AI36" i="19"/>
  <c r="AG31" i="19"/>
  <c r="G10" i="30"/>
  <c r="G11" i="30" s="1"/>
  <c r="E10" i="30"/>
  <c r="D10" i="30"/>
  <c r="D11" i="30" s="1"/>
  <c r="H10" i="30"/>
  <c r="G75" i="39"/>
  <c r="BG17" i="23" l="1"/>
  <c r="BF18" i="23"/>
  <c r="BF59" i="23"/>
  <c r="AO248" i="23"/>
  <c r="AO259" i="23" s="1"/>
  <c r="AO295" i="23" s="1"/>
  <c r="AS282" i="23"/>
  <c r="AQ922" i="23"/>
  <c r="BG63" i="23"/>
  <c r="BY59" i="23"/>
  <c r="BF19" i="23"/>
  <c r="BY58" i="23"/>
  <c r="Z58" i="25"/>
  <c r="P14" i="25"/>
  <c r="P15" i="25" s="1"/>
  <c r="P16" i="25" s="1"/>
  <c r="J26" i="25"/>
  <c r="J27" i="25"/>
  <c r="AA58" i="25"/>
  <c r="AD39" i="5"/>
  <c r="AH23" i="24" s="1"/>
  <c r="P22" i="25"/>
  <c r="P23" i="25" s="1"/>
  <c r="Q23" i="25" s="1"/>
  <c r="Q181" i="25" s="1"/>
  <c r="S181" i="25" s="1"/>
  <c r="BZ58" i="23"/>
  <c r="BF57" i="23"/>
  <c r="D19" i="25"/>
  <c r="D21" i="25" s="1"/>
  <c r="D24" i="25" s="1"/>
  <c r="BI35" i="23"/>
  <c r="BJ54" i="23"/>
  <c r="BG21" i="23"/>
  <c r="BF20" i="23"/>
  <c r="BY11" i="23"/>
  <c r="BZ66" i="23"/>
  <c r="BG54" i="23"/>
  <c r="AL87" i="23"/>
  <c r="I10" i="30"/>
  <c r="I11" i="30" s="1"/>
  <c r="BG34" i="23"/>
  <c r="BJ18" i="23"/>
  <c r="BJ73" i="23"/>
  <c r="BF40" i="23"/>
  <c r="BH21" i="23"/>
  <c r="AS68" i="23"/>
  <c r="AS918" i="23"/>
  <c r="BI25" i="23"/>
  <c r="BY18" i="23"/>
  <c r="CN18" i="23" s="1"/>
  <c r="BH35" i="23"/>
  <c r="BI33" i="23"/>
  <c r="AS685" i="23"/>
  <c r="BT65" i="23"/>
  <c r="BG16" i="23"/>
  <c r="AS72" i="23"/>
  <c r="AB28" i="24"/>
  <c r="BI24" i="23"/>
  <c r="BB74" i="23"/>
  <c r="BJ43" i="23"/>
  <c r="BG42" i="23"/>
  <c r="BJ41" i="23"/>
  <c r="BG20" i="23"/>
  <c r="BF34" i="23"/>
  <c r="CA58" i="23"/>
  <c r="BH59" i="23"/>
  <c r="BJ60" i="23"/>
  <c r="BI59" i="23"/>
  <c r="AN868" i="23"/>
  <c r="AZ29" i="23" s="1"/>
  <c r="CB29" i="23" s="1"/>
  <c r="BG22" i="23"/>
  <c r="AS280" i="23"/>
  <c r="BG27" i="23"/>
  <c r="F10" i="30"/>
  <c r="F11" i="30" s="1"/>
  <c r="AO31" i="14"/>
  <c r="AL886" i="23"/>
  <c r="AL922" i="23" s="1"/>
  <c r="AX87" i="23" s="1"/>
  <c r="AX44" i="23"/>
  <c r="BZ44" i="23" s="1"/>
  <c r="AO29" i="24"/>
  <c r="G36" i="39"/>
  <c r="G35" i="39" s="1"/>
  <c r="AS487" i="23"/>
  <c r="AN677" i="23"/>
  <c r="AN713" i="23" s="1"/>
  <c r="BB71" i="23"/>
  <c r="BH24" i="23"/>
  <c r="BI34" i="23"/>
  <c r="BF25" i="23"/>
  <c r="CC18" i="23"/>
  <c r="BI26" i="23"/>
  <c r="Z39" i="23"/>
  <c r="AS44" i="23" s="1"/>
  <c r="Q40" i="25"/>
  <c r="AO24" i="14"/>
  <c r="G27" i="39"/>
  <c r="E27" i="39" s="1"/>
  <c r="BB65" i="23"/>
  <c r="Z860" i="23"/>
  <c r="AS875" i="23" s="1"/>
  <c r="BH60" i="23"/>
  <c r="BT58" i="23"/>
  <c r="BT46" i="23"/>
  <c r="BJ35" i="23"/>
  <c r="BY19" i="23"/>
  <c r="BG19" i="23"/>
  <c r="CB28" i="23"/>
  <c r="BI18" i="23"/>
  <c r="AN44" i="14"/>
  <c r="R31" i="24"/>
  <c r="R34" i="24" s="1"/>
  <c r="R10" i="24" s="1"/>
  <c r="AN10" i="24"/>
  <c r="AS909" i="23"/>
  <c r="AS269" i="23"/>
  <c r="BG38" i="23"/>
  <c r="BF45" i="23"/>
  <c r="AK87" i="23"/>
  <c r="CC54" i="23"/>
  <c r="BJ25" i="23"/>
  <c r="CA21" i="23"/>
  <c r="BT54" i="23"/>
  <c r="BT20" i="23"/>
  <c r="BT32" i="23"/>
  <c r="AO40" i="14"/>
  <c r="AO25" i="14"/>
  <c r="R20" i="24"/>
  <c r="S20" i="24" s="1"/>
  <c r="AO36" i="14"/>
  <c r="AS907" i="23"/>
  <c r="BB61" i="23"/>
  <c r="AS57" i="23"/>
  <c r="BJ69" i="23"/>
  <c r="BK69" i="23" s="1"/>
  <c r="BJ46" i="23"/>
  <c r="BH46" i="23"/>
  <c r="AS867" i="23"/>
  <c r="AS868" i="23" s="1"/>
  <c r="BY66" i="23"/>
  <c r="CC64" i="23"/>
  <c r="BJ19" i="23"/>
  <c r="BF22" i="23"/>
  <c r="BT15" i="23"/>
  <c r="S27" i="24"/>
  <c r="F31" i="24"/>
  <c r="G31" i="24" s="1"/>
  <c r="G34" i="24" s="1"/>
  <c r="AS905" i="23"/>
  <c r="AS289" i="23"/>
  <c r="AS903" i="23"/>
  <c r="AS500" i="23"/>
  <c r="BF37" i="23"/>
  <c r="AL677" i="23"/>
  <c r="AL713" i="23" s="1"/>
  <c r="AS491" i="23"/>
  <c r="Z247" i="23"/>
  <c r="AS256" i="23" s="1"/>
  <c r="AS259" i="23" s="1"/>
  <c r="BH63" i="23"/>
  <c r="V79" i="23"/>
  <c r="BH25" i="23"/>
  <c r="BJ67" i="23"/>
  <c r="BK67" i="23" s="1"/>
  <c r="BF33" i="23"/>
  <c r="BJ26" i="23"/>
  <c r="BJ17" i="23"/>
  <c r="AO34" i="14"/>
  <c r="AO28" i="14"/>
  <c r="AK41" i="14"/>
  <c r="AL41" i="14" s="1"/>
  <c r="AL43" i="14" s="1"/>
  <c r="J20" i="24"/>
  <c r="J35" i="24" s="1"/>
  <c r="J11" i="24" s="1"/>
  <c r="W35" i="24"/>
  <c r="W11" i="24" s="1"/>
  <c r="AS687" i="23"/>
  <c r="BB58" i="23"/>
  <c r="BI38" i="23"/>
  <c r="CA46" i="23"/>
  <c r="BJ40" i="23"/>
  <c r="BI27" i="23"/>
  <c r="AM47" i="23"/>
  <c r="AM87" i="23" s="1"/>
  <c r="BH5" i="23"/>
  <c r="BI16" i="23"/>
  <c r="BK32" i="23"/>
  <c r="P143" i="25"/>
  <c r="P144" i="25" s="1"/>
  <c r="Q144" i="25" s="1"/>
  <c r="Q153" i="25" s="1"/>
  <c r="S153" i="25" s="1"/>
  <c r="V34" i="15"/>
  <c r="Z34" i="15" s="1"/>
  <c r="AS696" i="23"/>
  <c r="AM677" i="23"/>
  <c r="AM713" i="23" s="1"/>
  <c r="BG50" i="23"/>
  <c r="BJ37" i="23"/>
  <c r="AS482" i="23"/>
  <c r="BT26" i="23"/>
  <c r="BG24" i="23"/>
  <c r="BB17" i="23"/>
  <c r="AO677" i="23"/>
  <c r="AO713" i="23" s="1"/>
  <c r="BI73" i="23"/>
  <c r="BJ59" i="23"/>
  <c r="CC37" i="23"/>
  <c r="CD37" i="23" s="1"/>
  <c r="AN295" i="23"/>
  <c r="BG46" i="23"/>
  <c r="BY40" i="23"/>
  <c r="BK76" i="23"/>
  <c r="AS70" i="23"/>
  <c r="AS66" i="23"/>
  <c r="BJ16" i="23"/>
  <c r="BG15" i="23"/>
  <c r="CD10" i="23"/>
  <c r="Y82" i="25"/>
  <c r="AO39" i="14"/>
  <c r="AO41" i="14"/>
  <c r="K29" i="32"/>
  <c r="M8" i="39" s="1"/>
  <c r="M12" i="39" s="1"/>
  <c r="BH64" i="23"/>
  <c r="BB45" i="23"/>
  <c r="BT43" i="23"/>
  <c r="BB63" i="23"/>
  <c r="BT55" i="23"/>
  <c r="BI65" i="23"/>
  <c r="AO33" i="14"/>
  <c r="AO27" i="14"/>
  <c r="AS694" i="23"/>
  <c r="BJ42" i="23"/>
  <c r="BH42" i="23"/>
  <c r="BF42" i="23"/>
  <c r="BG41" i="23"/>
  <c r="BG18" i="23"/>
  <c r="BH17" i="23"/>
  <c r="AS478" i="23"/>
  <c r="BB15" i="23"/>
  <c r="AG27" i="12"/>
  <c r="AG6" i="12" s="1"/>
  <c r="BF38" i="23"/>
  <c r="BP87" i="23"/>
  <c r="I25" i="32"/>
  <c r="H11" i="30"/>
  <c r="AK504" i="23"/>
  <c r="AS489" i="23"/>
  <c r="AS476" i="23"/>
  <c r="AS702" i="23"/>
  <c r="BT73" i="23"/>
  <c r="BB41" i="23"/>
  <c r="BF50" i="23"/>
  <c r="CC42" i="23"/>
  <c r="CB69" i="23"/>
  <c r="BJ50" i="23"/>
  <c r="BS61" i="23"/>
  <c r="BJ61" i="23" s="1"/>
  <c r="BG45" i="23"/>
  <c r="BG43" i="23"/>
  <c r="CC70" i="23"/>
  <c r="CC68" i="23"/>
  <c r="CB64" i="23"/>
  <c r="AM450" i="23"/>
  <c r="BQ29" i="23" s="1"/>
  <c r="AO868" i="23"/>
  <c r="BA29" i="23" s="1"/>
  <c r="CC29" i="23" s="1"/>
  <c r="BH27" i="23"/>
  <c r="BZ21" i="23"/>
  <c r="BZ19" i="23"/>
  <c r="BJ71" i="23"/>
  <c r="BK71" i="23" s="1"/>
  <c r="BJ34" i="23"/>
  <c r="BF24" i="23"/>
  <c r="BH20" i="23"/>
  <c r="BH22" i="23"/>
  <c r="BJ33" i="23"/>
  <c r="BF26" i="23"/>
  <c r="BZ18" i="23"/>
  <c r="BF21" i="23"/>
  <c r="BT17" i="23"/>
  <c r="AO44" i="23"/>
  <c r="AO47" i="23" s="1"/>
  <c r="AO87" i="23" s="1"/>
  <c r="BT11" i="23"/>
  <c r="CA36" i="23"/>
  <c r="AN47" i="23"/>
  <c r="AN87" i="23" s="1"/>
  <c r="AQ44" i="14"/>
  <c r="G28" i="24"/>
  <c r="BB61" i="12"/>
  <c r="BC52" i="12" s="1"/>
  <c r="BG52" i="12" s="1"/>
  <c r="BT16" i="23"/>
  <c r="P51" i="19"/>
  <c r="S16" i="24"/>
  <c r="G29" i="32"/>
  <c r="I8" i="39" s="1"/>
  <c r="I12" i="39" s="1"/>
  <c r="J24" i="32"/>
  <c r="AM295" i="23"/>
  <c r="AS498" i="23"/>
  <c r="AS707" i="23"/>
  <c r="AS273" i="23"/>
  <c r="BB42" i="23"/>
  <c r="BH37" i="23"/>
  <c r="BG59" i="23"/>
  <c r="BZ45" i="23"/>
  <c r="CD45" i="23" s="1"/>
  <c r="BY42" i="23"/>
  <c r="BI50" i="23"/>
  <c r="AS493" i="23"/>
  <c r="BJ64" i="23"/>
  <c r="Z457" i="23"/>
  <c r="AS465" i="23" s="1"/>
  <c r="BF46" i="23"/>
  <c r="BJ45" i="23"/>
  <c r="BI42" i="23"/>
  <c r="BT41" i="23"/>
  <c r="BI40" i="23"/>
  <c r="BH40" i="23"/>
  <c r="CC74" i="23"/>
  <c r="CD74" i="23" s="1"/>
  <c r="CB57" i="23"/>
  <c r="BK74" i="23"/>
  <c r="AS240" i="23"/>
  <c r="AS241" i="23" s="1"/>
  <c r="AS64" i="23"/>
  <c r="BH54" i="23"/>
  <c r="BT22" i="23"/>
  <c r="BI20" i="23"/>
  <c r="BI19" i="23"/>
  <c r="BZ15" i="23"/>
  <c r="BG11" i="23"/>
  <c r="X31" i="24"/>
  <c r="Y31" i="24" s="1"/>
  <c r="Y34" i="24" s="1"/>
  <c r="CD41" i="23"/>
  <c r="AS911" i="23"/>
  <c r="AS276" i="23"/>
  <c r="BB54" i="23"/>
  <c r="BT50" i="23"/>
  <c r="Z442" i="23"/>
  <c r="AS457" i="23" s="1"/>
  <c r="BF66" i="23"/>
  <c r="BI37" i="23"/>
  <c r="Z665" i="23"/>
  <c r="AS674" i="23" s="1"/>
  <c r="AS677" i="23" s="1"/>
  <c r="BI60" i="23"/>
  <c r="BI46" i="23"/>
  <c r="BT45" i="23"/>
  <c r="BF43" i="23"/>
  <c r="CA64" i="23"/>
  <c r="AO450" i="23"/>
  <c r="BS29" i="23" s="1"/>
  <c r="BB20" i="23"/>
  <c r="BJ24" i="23"/>
  <c r="BI22" i="23"/>
  <c r="BH33" i="23"/>
  <c r="BH19" i="23"/>
  <c r="BT18" i="23"/>
  <c r="BH16" i="23"/>
  <c r="BJ15" i="23"/>
  <c r="BH15" i="23"/>
  <c r="BF15" i="23"/>
  <c r="AS28" i="23"/>
  <c r="AS29" i="23" s="1"/>
  <c r="AK44" i="14"/>
  <c r="AQ16" i="12"/>
  <c r="AT16" i="12" s="1"/>
  <c r="BQ44" i="23"/>
  <c r="AM468" i="23"/>
  <c r="AZ44" i="23"/>
  <c r="CB44" i="23" s="1"/>
  <c r="AN886" i="23"/>
  <c r="X35" i="24"/>
  <c r="X11" i="24" s="1"/>
  <c r="Y20" i="24"/>
  <c r="Y35" i="24" s="1"/>
  <c r="BJ79" i="23"/>
  <c r="BK79" i="23" s="1"/>
  <c r="BT79" i="23"/>
  <c r="CC79" i="23"/>
  <c r="CD79" i="23" s="1"/>
  <c r="BB79" i="23"/>
  <c r="G25" i="32"/>
  <c r="V52" i="19"/>
  <c r="Z35" i="24"/>
  <c r="Z11" i="24" s="1"/>
  <c r="Z486" i="23"/>
  <c r="AS698" i="23"/>
  <c r="BT63" i="23"/>
  <c r="BB43" i="23"/>
  <c r="BG37" i="23"/>
  <c r="CC73" i="23"/>
  <c r="CD73" i="23" s="1"/>
  <c r="BB69" i="23"/>
  <c r="BH38" i="23"/>
  <c r="BG66" i="23"/>
  <c r="BB60" i="23"/>
  <c r="BT42" i="23"/>
  <c r="BJ38" i="23"/>
  <c r="BT57" i="23"/>
  <c r="BT38" i="23"/>
  <c r="AK674" i="23"/>
  <c r="AK677" i="23" s="1"/>
  <c r="AK713" i="23" s="1"/>
  <c r="BG60" i="23"/>
  <c r="BR72" i="23"/>
  <c r="BT72" i="23" s="1"/>
  <c r="BI58" i="23"/>
  <c r="BI64" i="23"/>
  <c r="BI45" i="23"/>
  <c r="BI43" i="23"/>
  <c r="BH41" i="23"/>
  <c r="BF41" i="23"/>
  <c r="AS449" i="23"/>
  <c r="AS450" i="23" s="1"/>
  <c r="CA40" i="23"/>
  <c r="BR70" i="23"/>
  <c r="BT70" i="23" s="1"/>
  <c r="BJ63" i="23"/>
  <c r="BZ63" i="23"/>
  <c r="CD63" i="23" s="1"/>
  <c r="BJ65" i="23"/>
  <c r="CD65" i="23"/>
  <c r="AS658" i="23"/>
  <c r="AS659" i="23" s="1"/>
  <c r="BB33" i="23"/>
  <c r="BB27" i="23"/>
  <c r="BB24" i="23"/>
  <c r="BB34" i="23"/>
  <c r="BB35" i="23"/>
  <c r="BB22" i="23"/>
  <c r="BI54" i="23"/>
  <c r="BJ27" i="23"/>
  <c r="BH34" i="23"/>
  <c r="BT27" i="23"/>
  <c r="BY26" i="23"/>
  <c r="CD26" i="23" s="1"/>
  <c r="BI21" i="23"/>
  <c r="BG33" i="23"/>
  <c r="BH26" i="23"/>
  <c r="BB18" i="23"/>
  <c r="BZ24" i="23"/>
  <c r="CD24" i="23" s="1"/>
  <c r="BB16" i="23"/>
  <c r="CA18" i="23"/>
  <c r="BI17" i="23"/>
  <c r="BF17" i="23"/>
  <c r="CC17" i="23"/>
  <c r="BY17" i="23"/>
  <c r="CA16" i="23"/>
  <c r="BF16" i="23"/>
  <c r="BB11" i="23"/>
  <c r="BZ11" i="23"/>
  <c r="AA80" i="25"/>
  <c r="AL44" i="14"/>
  <c r="AD38" i="5"/>
  <c r="AH24" i="24" s="1"/>
  <c r="E75" i="7"/>
  <c r="AU39" i="14" s="1"/>
  <c r="AL23" i="24"/>
  <c r="AL27" i="24" s="1"/>
  <c r="Q34" i="24"/>
  <c r="Q10" i="24" s="1"/>
  <c r="AA20" i="24"/>
  <c r="AA35" i="24" s="1"/>
  <c r="AA11" i="24" s="1"/>
  <c r="H18" i="11"/>
  <c r="BE30" i="14"/>
  <c r="F20" i="24"/>
  <c r="F35" i="24" s="1"/>
  <c r="F11" i="24" s="1"/>
  <c r="H23" i="32"/>
  <c r="Z652" i="23"/>
  <c r="BB40" i="23"/>
  <c r="BB73" i="23"/>
  <c r="AS896" i="23"/>
  <c r="BT60" i="23"/>
  <c r="BB59" i="23"/>
  <c r="BH50" i="23"/>
  <c r="BO87" i="23"/>
  <c r="BZ43" i="23"/>
  <c r="CD43" i="23" s="1"/>
  <c r="BB50" i="23"/>
  <c r="CC46" i="23"/>
  <c r="CB42" i="23"/>
  <c r="Z875" i="23"/>
  <c r="AS883" i="23" s="1"/>
  <c r="AS278" i="23"/>
  <c r="BI57" i="23"/>
  <c r="CD53" i="23"/>
  <c r="BZ54" i="23"/>
  <c r="BB25" i="23"/>
  <c r="BG25" i="23"/>
  <c r="AM868" i="23"/>
  <c r="AY29" i="23" s="1"/>
  <c r="CB22" i="23"/>
  <c r="BJ21" i="23"/>
  <c r="BB26" i="23"/>
  <c r="BT25" i="23"/>
  <c r="BT19" i="23"/>
  <c r="BT21" i="23"/>
  <c r="BH18" i="23"/>
  <c r="CC15" i="23"/>
  <c r="U79" i="23"/>
  <c r="BI11" i="23"/>
  <c r="AO37" i="14"/>
  <c r="AH41" i="14"/>
  <c r="AH43" i="14" s="1"/>
  <c r="Z280" i="23"/>
  <c r="AS894" i="23"/>
  <c r="AS485" i="23"/>
  <c r="AS700" i="23"/>
  <c r="BB67" i="23"/>
  <c r="BZ59" i="23"/>
  <c r="BB46" i="23"/>
  <c r="BT37" i="23"/>
  <c r="CB50" i="23"/>
  <c r="CD50" i="23" s="1"/>
  <c r="BB37" i="23"/>
  <c r="BT59" i="23"/>
  <c r="BB38" i="23"/>
  <c r="CC69" i="23"/>
  <c r="BJ58" i="23"/>
  <c r="BT40" i="23"/>
  <c r="BH45" i="23"/>
  <c r="BH43" i="23"/>
  <c r="BI41" i="23"/>
  <c r="BJ68" i="23"/>
  <c r="BI63" i="23"/>
  <c r="BJ55" i="23"/>
  <c r="CD52" i="23"/>
  <c r="BB21" i="23"/>
  <c r="BB19" i="23"/>
  <c r="AN450" i="23"/>
  <c r="BR29" i="23" s="1"/>
  <c r="CC67" i="23"/>
  <c r="CD67" i="23" s="1"/>
  <c r="CC19" i="23"/>
  <c r="BT24" i="23"/>
  <c r="BJ22" i="23"/>
  <c r="BT34" i="23"/>
  <c r="BG26" i="23"/>
  <c r="CB18" i="23"/>
  <c r="BT35" i="23"/>
  <c r="AL504" i="23"/>
  <c r="CC16" i="23"/>
  <c r="BI15" i="23"/>
  <c r="Z24" i="23"/>
  <c r="BJ11" i="23"/>
  <c r="BH11" i="23"/>
  <c r="S165" i="25"/>
  <c r="BI77" i="23"/>
  <c r="BK77" i="23" s="1"/>
  <c r="BT77" i="23"/>
  <c r="BJ70" i="23"/>
  <c r="BH57" i="23"/>
  <c r="CA57" i="23"/>
  <c r="AY44" i="23"/>
  <c r="AM886" i="23"/>
  <c r="BB55" i="23"/>
  <c r="CA55" i="23"/>
  <c r="BH55" i="23"/>
  <c r="AW44" i="23"/>
  <c r="AK886" i="23"/>
  <c r="BH28" i="23"/>
  <c r="BB28" i="23"/>
  <c r="CA28" i="23"/>
  <c r="X82" i="25"/>
  <c r="P133" i="25"/>
  <c r="Y31" i="13"/>
  <c r="AA31" i="13"/>
  <c r="BG33" i="14"/>
  <c r="BH31" i="14"/>
  <c r="E11" i="30"/>
  <c r="J29" i="32"/>
  <c r="L8" i="39" s="1"/>
  <c r="J23" i="32"/>
  <c r="CC66" i="23"/>
  <c r="BJ66" i="23"/>
  <c r="BH66" i="23"/>
  <c r="CA66" i="23"/>
  <c r="BB66" i="23"/>
  <c r="BJ57" i="23"/>
  <c r="CC57" i="23"/>
  <c r="BB68" i="23"/>
  <c r="CB68" i="23"/>
  <c r="BI68" i="23"/>
  <c r="CB72" i="23"/>
  <c r="BB72" i="23"/>
  <c r="CB55" i="23"/>
  <c r="BI55" i="23"/>
  <c r="CC28" i="23"/>
  <c r="BJ28" i="23"/>
  <c r="BA36" i="23"/>
  <c r="BB36" i="23" s="1"/>
  <c r="AO886" i="23"/>
  <c r="Q138" i="25"/>
  <c r="R138" i="25"/>
  <c r="R151" i="25" s="1"/>
  <c r="BT28" i="23"/>
  <c r="CD34" i="23"/>
  <c r="CD35" i="23"/>
  <c r="BF64" i="23"/>
  <c r="BT64" i="23"/>
  <c r="BH61" i="23"/>
  <c r="CB70" i="23"/>
  <c r="BB70" i="23"/>
  <c r="AN468" i="23"/>
  <c r="BR44" i="23"/>
  <c r="BG57" i="23"/>
  <c r="BZ57" i="23"/>
  <c r="BB57" i="23"/>
  <c r="BB64" i="23"/>
  <c r="BZ64" i="23"/>
  <c r="BG64" i="23"/>
  <c r="Q56" i="25"/>
  <c r="Q177" i="25"/>
  <c r="S177" i="25" s="1"/>
  <c r="BT66" i="23"/>
  <c r="CD60" i="23"/>
  <c r="H24" i="32"/>
  <c r="H29" i="32"/>
  <c r="J8" i="39" s="1"/>
  <c r="CB66" i="23"/>
  <c r="BI66" i="23"/>
  <c r="CC72" i="23"/>
  <c r="BJ72" i="23"/>
  <c r="BS36" i="23"/>
  <c r="BT36" i="23" s="1"/>
  <c r="AO468" i="23"/>
  <c r="BI36" i="23"/>
  <c r="CB36" i="23"/>
  <c r="P34" i="25"/>
  <c r="Z67" i="25"/>
  <c r="AB31" i="24"/>
  <c r="AB34" i="24" s="1"/>
  <c r="AA34" i="24"/>
  <c r="AA10" i="24" s="1"/>
  <c r="BT68" i="23"/>
  <c r="BI28" i="23"/>
  <c r="CD25" i="23"/>
  <c r="CD33" i="23"/>
  <c r="CC38" i="23"/>
  <c r="CD38" i="23" s="1"/>
  <c r="BG40" i="23"/>
  <c r="BF27" i="23"/>
  <c r="CB27" i="23"/>
  <c r="CD27" i="23" s="1"/>
  <c r="BY22" i="23"/>
  <c r="CB20" i="23"/>
  <c r="CD20" i="23" s="1"/>
  <c r="BJ20" i="23"/>
  <c r="I13" i="15"/>
  <c r="AY23" i="12"/>
  <c r="AS27" i="12"/>
  <c r="W53" i="19"/>
  <c r="H20" i="15"/>
  <c r="BZ16" i="23"/>
  <c r="CA15" i="23"/>
  <c r="AS468" i="23" l="1"/>
  <c r="AS504" i="23" s="1"/>
  <c r="CD59" i="23"/>
  <c r="AS886" i="23"/>
  <c r="AS922" i="23" s="1"/>
  <c r="Q145" i="25"/>
  <c r="Z62" i="25"/>
  <c r="BC29" i="12"/>
  <c r="BG29" i="12" s="1"/>
  <c r="BK73" i="23"/>
  <c r="CD16" i="23"/>
  <c r="CD11" i="23"/>
  <c r="AH27" i="24"/>
  <c r="AG23" i="24"/>
  <c r="AG27" i="24" s="1"/>
  <c r="R16" i="25"/>
  <c r="Q16" i="25"/>
  <c r="CD58" i="23"/>
  <c r="CD68" i="23"/>
  <c r="BT61" i="23"/>
  <c r="BC41" i="12"/>
  <c r="BG41" i="12" s="1"/>
  <c r="BC51" i="12"/>
  <c r="BG51" i="12" s="1"/>
  <c r="G30" i="32"/>
  <c r="I9" i="39" s="1"/>
  <c r="I17" i="39" s="1"/>
  <c r="CD21" i="23"/>
  <c r="BC21" i="12"/>
  <c r="BG21" i="12" s="1"/>
  <c r="BC61" i="12"/>
  <c r="BG61" i="12" s="1"/>
  <c r="BC33" i="12"/>
  <c r="BG33" i="12" s="1"/>
  <c r="BC46" i="12"/>
  <c r="BG46" i="12" s="1"/>
  <c r="BC37" i="12"/>
  <c r="BG37" i="12" s="1"/>
  <c r="BC16" i="12"/>
  <c r="BG16" i="12" s="1"/>
  <c r="BC32" i="12"/>
  <c r="BG32" i="12" s="1"/>
  <c r="BC19" i="12"/>
  <c r="BG19" i="12" s="1"/>
  <c r="AK43" i="14"/>
  <c r="BC20" i="12"/>
  <c r="BG20" i="12" s="1"/>
  <c r="BC15" i="12"/>
  <c r="BG15" i="12" s="1"/>
  <c r="BC43" i="12"/>
  <c r="BG43" i="12" s="1"/>
  <c r="BC22" i="12"/>
  <c r="BG22" i="12" s="1"/>
  <c r="BC47" i="12"/>
  <c r="BG47" i="12" s="1"/>
  <c r="BC40" i="12"/>
  <c r="BG40" i="12" s="1"/>
  <c r="BC31" i="12"/>
  <c r="BG31" i="12" s="1"/>
  <c r="BC49" i="12"/>
  <c r="BG49" i="12" s="1"/>
  <c r="BC28" i="12"/>
  <c r="BG28" i="12" s="1"/>
  <c r="BC30" i="12"/>
  <c r="BG30" i="12" s="1"/>
  <c r="BC54" i="12"/>
  <c r="BG54" i="12" s="1"/>
  <c r="BC23" i="12"/>
  <c r="BG23" i="12" s="1"/>
  <c r="BC58" i="12"/>
  <c r="BG58" i="12" s="1"/>
  <c r="BC44" i="12"/>
  <c r="BG44" i="12" s="1"/>
  <c r="BC36" i="12"/>
  <c r="BG36" i="12" s="1"/>
  <c r="BC53" i="12"/>
  <c r="BG53" i="12" s="1"/>
  <c r="BC27" i="12"/>
  <c r="BG27" i="12" s="1"/>
  <c r="BC57" i="12"/>
  <c r="BG57" i="12" s="1"/>
  <c r="BC50" i="12"/>
  <c r="BG50" i="12" s="1"/>
  <c r="BC24" i="12"/>
  <c r="BG24" i="12" s="1"/>
  <c r="BC42" i="12"/>
  <c r="BG42" i="12" s="1"/>
  <c r="BC13" i="12"/>
  <c r="BG13" i="12" s="1"/>
  <c r="BC34" i="12"/>
  <c r="BG34" i="12" s="1"/>
  <c r="BC48" i="12"/>
  <c r="BG48" i="12" s="1"/>
  <c r="BC25" i="12"/>
  <c r="BG25" i="12" s="1"/>
  <c r="BC55" i="12"/>
  <c r="BG55" i="12" s="1"/>
  <c r="BC14" i="12"/>
  <c r="BG14" i="12" s="1"/>
  <c r="BC39" i="12"/>
  <c r="BG39" i="12" s="1"/>
  <c r="BC35" i="12"/>
  <c r="BG35" i="12" s="1"/>
  <c r="BC18" i="12"/>
  <c r="BG18" i="12" s="1"/>
  <c r="BG44" i="23"/>
  <c r="BK35" i="23"/>
  <c r="CD22" i="23"/>
  <c r="BK60" i="23"/>
  <c r="K20" i="24"/>
  <c r="K35" i="24" s="1"/>
  <c r="BI29" i="23"/>
  <c r="Q24" i="25"/>
  <c r="AQ27" i="12"/>
  <c r="AT27" i="12" s="1"/>
  <c r="F34" i="24"/>
  <c r="F10" i="24" s="1"/>
  <c r="CD54" i="23"/>
  <c r="CD40" i="23"/>
  <c r="BJ29" i="23"/>
  <c r="CD70" i="23"/>
  <c r="BK59" i="23"/>
  <c r="BI72" i="23"/>
  <c r="BK72" i="23" s="1"/>
  <c r="BJ44" i="23"/>
  <c r="BK17" i="23"/>
  <c r="BK19" i="23"/>
  <c r="X34" i="24"/>
  <c r="X10" i="24" s="1"/>
  <c r="I16" i="39"/>
  <c r="I20" i="39" s="1"/>
  <c r="CD46" i="23"/>
  <c r="BK65" i="23"/>
  <c r="BK42" i="23"/>
  <c r="AX47" i="23"/>
  <c r="BK20" i="23"/>
  <c r="BK63" i="23"/>
  <c r="CD69" i="23"/>
  <c r="BH29" i="23"/>
  <c r="BK21" i="23"/>
  <c r="S31" i="24"/>
  <c r="S34" i="24" s="1"/>
  <c r="BT44" i="23"/>
  <c r="S35" i="24"/>
  <c r="R35" i="24"/>
  <c r="R11" i="24" s="1"/>
  <c r="AO44" i="14"/>
  <c r="AO43" i="14"/>
  <c r="W34" i="15"/>
  <c r="M16" i="39"/>
  <c r="M20" i="39" s="1"/>
  <c r="CC44" i="23"/>
  <c r="BK11" i="23"/>
  <c r="BK25" i="23"/>
  <c r="BK24" i="23"/>
  <c r="BK43" i="23"/>
  <c r="BK40" i="23"/>
  <c r="BK46" i="23"/>
  <c r="BK16" i="23"/>
  <c r="BK22" i="23"/>
  <c r="CD64" i="23"/>
  <c r="BK37" i="23"/>
  <c r="CD57" i="23"/>
  <c r="BK18" i="23"/>
  <c r="CF18" i="23" s="1"/>
  <c r="CD42" i="23"/>
  <c r="BK34" i="23"/>
  <c r="CD15" i="23"/>
  <c r="BK27" i="23"/>
  <c r="BK61" i="23"/>
  <c r="BK15" i="23"/>
  <c r="BK54" i="23"/>
  <c r="BK41" i="23"/>
  <c r="BK58" i="23"/>
  <c r="AS713" i="23"/>
  <c r="CD66" i="23"/>
  <c r="K26" i="25"/>
  <c r="BT29" i="23"/>
  <c r="BK50" i="23"/>
  <c r="G20" i="24"/>
  <c r="G35" i="24" s="1"/>
  <c r="BK57" i="23"/>
  <c r="BK33" i="23"/>
  <c r="BK66" i="23"/>
  <c r="CD19" i="23"/>
  <c r="BK45" i="23"/>
  <c r="CD17" i="23"/>
  <c r="CD18" i="23"/>
  <c r="BK26" i="23"/>
  <c r="AG24" i="24"/>
  <c r="AG28" i="24" s="1"/>
  <c r="AH28" i="24"/>
  <c r="CA29" i="23"/>
  <c r="CD29" i="23" s="1"/>
  <c r="BB29" i="23"/>
  <c r="BI44" i="23"/>
  <c r="BI70" i="23"/>
  <c r="BK70" i="23" s="1"/>
  <c r="AG29" i="24"/>
  <c r="AH29" i="24" s="1"/>
  <c r="AS295" i="23"/>
  <c r="AS36" i="23"/>
  <c r="AS47" i="23" s="1"/>
  <c r="AS87" i="23" s="1"/>
  <c r="Z79" i="23"/>
  <c r="BQ47" i="23"/>
  <c r="BQ87" i="23" s="1"/>
  <c r="AM504" i="23"/>
  <c r="BK68" i="23"/>
  <c r="H23" i="11"/>
  <c r="I7" i="11" s="1"/>
  <c r="I8" i="11"/>
  <c r="E77" i="7"/>
  <c r="K75" i="7"/>
  <c r="AN922" i="23"/>
  <c r="AZ87" i="23" s="1"/>
  <c r="AZ47" i="23"/>
  <c r="CB47" i="23" s="1"/>
  <c r="CB87" i="23" s="1"/>
  <c r="AB20" i="24"/>
  <c r="AB35" i="24" s="1"/>
  <c r="BK38" i="23"/>
  <c r="Y53" i="19"/>
  <c r="Y54" i="19"/>
  <c r="R33" i="25"/>
  <c r="R187" i="25" s="1"/>
  <c r="Q33" i="25"/>
  <c r="BS47" i="23"/>
  <c r="BS87" i="23" s="1"/>
  <c r="AO504" i="23"/>
  <c r="AN504" i="23"/>
  <c r="BR47" i="23"/>
  <c r="L16" i="39"/>
  <c r="L12" i="39"/>
  <c r="Y33" i="13"/>
  <c r="AA33" i="13" s="1"/>
  <c r="AA34" i="13" s="1"/>
  <c r="AF31" i="13"/>
  <c r="BY44" i="23"/>
  <c r="BF44" i="23"/>
  <c r="BB44" i="23"/>
  <c r="AY47" i="23"/>
  <c r="AM922" i="23"/>
  <c r="AY87" i="23" s="1"/>
  <c r="BK28" i="23"/>
  <c r="CF28" i="23" s="1"/>
  <c r="AV39" i="14"/>
  <c r="K30" i="32"/>
  <c r="M9" i="39" s="1"/>
  <c r="H30" i="32"/>
  <c r="J9" i="39" s="1"/>
  <c r="J7" i="39" s="1"/>
  <c r="H25" i="32"/>
  <c r="BJ36" i="23"/>
  <c r="BK36" i="23" s="1"/>
  <c r="CC36" i="23"/>
  <c r="CD36" i="23" s="1"/>
  <c r="J30" i="32"/>
  <c r="L9" i="39" s="1"/>
  <c r="J25" i="32"/>
  <c r="R132" i="25"/>
  <c r="R155" i="25" s="1"/>
  <c r="Q132" i="25"/>
  <c r="AK922" i="23"/>
  <c r="AW87" i="23" s="1"/>
  <c r="AW47" i="23"/>
  <c r="BK64" i="23"/>
  <c r="Y52" i="19"/>
  <c r="J16" i="39"/>
  <c r="J12" i="39"/>
  <c r="AG30" i="12"/>
  <c r="AH30" i="12" s="1"/>
  <c r="AQ6" i="12"/>
  <c r="AH19" i="12"/>
  <c r="AH11" i="12"/>
  <c r="AH17" i="12"/>
  <c r="AH22" i="12"/>
  <c r="AH21" i="12"/>
  <c r="AH10" i="12"/>
  <c r="AH14" i="12"/>
  <c r="AH18" i="12"/>
  <c r="AH23" i="12"/>
  <c r="AH29" i="12"/>
  <c r="AH13" i="12"/>
  <c r="AH20" i="12"/>
  <c r="AH8" i="12"/>
  <c r="AH25" i="12"/>
  <c r="AH16" i="12"/>
  <c r="AH15" i="12"/>
  <c r="AH12" i="12"/>
  <c r="AH9" i="12"/>
  <c r="AH24" i="12"/>
  <c r="AO922" i="23"/>
  <c r="BA87" i="23" s="1"/>
  <c r="BA47" i="23"/>
  <c r="CD72" i="23"/>
  <c r="CD28" i="23"/>
  <c r="CD55" i="23"/>
  <c r="Q151" i="25"/>
  <c r="S151" i="25" s="1"/>
  <c r="R140" i="25"/>
  <c r="R141" i="25" s="1"/>
  <c r="BB41" i="14"/>
  <c r="BH30" i="14"/>
  <c r="BJ31" i="14"/>
  <c r="BJ29" i="14"/>
  <c r="BH44" i="23"/>
  <c r="CA44" i="23"/>
  <c r="AH27" i="12"/>
  <c r="BK55" i="23"/>
  <c r="I13" i="39" l="1"/>
  <c r="I21" i="39" s="1"/>
  <c r="I7" i="39"/>
  <c r="BK29" i="23"/>
  <c r="J20" i="39"/>
  <c r="G20" i="39" s="1"/>
  <c r="J24" i="39" s="1"/>
  <c r="J32" i="39" s="1"/>
  <c r="AG10" i="24"/>
  <c r="AR27" i="12"/>
  <c r="BZ47" i="23"/>
  <c r="BZ87" i="23" s="1"/>
  <c r="BG47" i="23"/>
  <c r="BG87" i="23" s="1"/>
  <c r="AG11" i="24"/>
  <c r="CF38" i="23"/>
  <c r="CF27" i="23"/>
  <c r="L20" i="39"/>
  <c r="F20" i="39" s="1"/>
  <c r="K77" i="7"/>
  <c r="AU41" i="14"/>
  <c r="D7" i="11"/>
  <c r="B7" i="11"/>
  <c r="Y34" i="13"/>
  <c r="Y44" i="13" s="1"/>
  <c r="D8" i="11"/>
  <c r="B8" i="11"/>
  <c r="BH33" i="14"/>
  <c r="BB40" i="14"/>
  <c r="AR10" i="12"/>
  <c r="AR17" i="12"/>
  <c r="AR22" i="12"/>
  <c r="AR8" i="12"/>
  <c r="AR29" i="12"/>
  <c r="AR13" i="12"/>
  <c r="AR14" i="12"/>
  <c r="AR23" i="12"/>
  <c r="AR24" i="12"/>
  <c r="AR16" i="12"/>
  <c r="AR19" i="12"/>
  <c r="AR15" i="12"/>
  <c r="AR12" i="12"/>
  <c r="AR21" i="12"/>
  <c r="AR25" i="12"/>
  <c r="AT6" i="12"/>
  <c r="AU27" i="12" s="1"/>
  <c r="AR11" i="12"/>
  <c r="AR20" i="12"/>
  <c r="AR18" i="12"/>
  <c r="AR9" i="12"/>
  <c r="AA36" i="13"/>
  <c r="AA37" i="13"/>
  <c r="AA44" i="13"/>
  <c r="R134" i="25"/>
  <c r="R135" i="25" s="1"/>
  <c r="Q155" i="25"/>
  <c r="S155" i="25" s="1"/>
  <c r="AI42" i="19"/>
  <c r="AJ38" i="19" s="1"/>
  <c r="AI41" i="19"/>
  <c r="R183" i="25"/>
  <c r="L17" i="39"/>
  <c r="L70" i="39" s="1"/>
  <c r="L13" i="39"/>
  <c r="M17" i="39"/>
  <c r="M70" i="39" s="1"/>
  <c r="M13" i="39"/>
  <c r="M7" i="39"/>
  <c r="BH47" i="23"/>
  <c r="BH87" i="23" s="1"/>
  <c r="CA47" i="23"/>
  <c r="CA87" i="23" s="1"/>
  <c r="BT47" i="23"/>
  <c r="BT87" i="23" s="1"/>
  <c r="BR87" i="23"/>
  <c r="BI47" i="23"/>
  <c r="BI87" i="23" s="1"/>
  <c r="AK42" i="19"/>
  <c r="AL27" i="19" s="1"/>
  <c r="AK41" i="19"/>
  <c r="L157" i="4"/>
  <c r="M155" i="12"/>
  <c r="L156" i="7"/>
  <c r="BB43" i="14"/>
  <c r="L159" i="11"/>
  <c r="L156" i="15"/>
  <c r="L159" i="10"/>
  <c r="AI155" i="13"/>
  <c r="BC41" i="14"/>
  <c r="K165" i="9"/>
  <c r="L155" i="14"/>
  <c r="BB47" i="23"/>
  <c r="BB87" i="23" s="1"/>
  <c r="BF47" i="23"/>
  <c r="BY47" i="23"/>
  <c r="J17" i="39"/>
  <c r="J13" i="39"/>
  <c r="L7" i="39"/>
  <c r="BJ33" i="14"/>
  <c r="CD44" i="23"/>
  <c r="BJ47" i="23"/>
  <c r="BJ87" i="23" s="1"/>
  <c r="CC47" i="23"/>
  <c r="CC87" i="23" s="1"/>
  <c r="AG41" i="19"/>
  <c r="AG42" i="19"/>
  <c r="AH34" i="19" s="1"/>
  <c r="Q187" i="25"/>
  <c r="S187" i="25" s="1"/>
  <c r="R35" i="25"/>
  <c r="R36" i="25" s="1"/>
  <c r="BK44" i="23"/>
  <c r="R18" i="25" l="1"/>
  <c r="R19" i="25" s="1"/>
  <c r="AL18" i="19"/>
  <c r="AJ32" i="19"/>
  <c r="AL38" i="19"/>
  <c r="M24" i="39"/>
  <c r="M28" i="39" s="1"/>
  <c r="AL34" i="19"/>
  <c r="AL36" i="19"/>
  <c r="AJ12" i="19"/>
  <c r="AJ15" i="19"/>
  <c r="AJ25" i="19"/>
  <c r="AJ26" i="19"/>
  <c r="AJ35" i="19"/>
  <c r="AJ24" i="19"/>
  <c r="AJ36" i="19"/>
  <c r="AJ28" i="19"/>
  <c r="AJ30" i="19"/>
  <c r="AJ16" i="19"/>
  <c r="AJ11" i="19"/>
  <c r="AJ18" i="19"/>
  <c r="AJ34" i="19"/>
  <c r="AJ13" i="19"/>
  <c r="AJ20" i="19"/>
  <c r="AJ22" i="19"/>
  <c r="AJ23" i="19"/>
  <c r="Y37" i="13"/>
  <c r="Y36" i="13"/>
  <c r="AW11" i="13" s="1"/>
  <c r="AL26" i="19"/>
  <c r="AJ33" i="19"/>
  <c r="AJ31" i="19"/>
  <c r="AF35" i="13"/>
  <c r="AH33" i="19"/>
  <c r="AJ27" i="19"/>
  <c r="AV12" i="13"/>
  <c r="J21" i="39"/>
  <c r="L24" i="39"/>
  <c r="L28" i="39" s="1"/>
  <c r="Y10" i="39" s="1"/>
  <c r="AL16" i="19"/>
  <c r="AL22" i="19"/>
  <c r="AL25" i="19"/>
  <c r="AL33" i="19"/>
  <c r="AL24" i="19"/>
  <c r="AL15" i="19"/>
  <c r="AL23" i="19"/>
  <c r="AL31" i="19"/>
  <c r="AL11" i="19"/>
  <c r="AL20" i="19"/>
  <c r="AL12" i="19"/>
  <c r="AV41" i="14"/>
  <c r="AV43" i="14" s="1"/>
  <c r="AV46" i="14" s="1"/>
  <c r="AU43" i="14"/>
  <c r="AU46" i="14" s="1"/>
  <c r="AL35" i="19"/>
  <c r="AL32" i="19"/>
  <c r="AL28" i="19"/>
  <c r="AL30" i="19"/>
  <c r="AL13" i="19"/>
  <c r="Q183" i="25"/>
  <c r="S183" i="25" s="1"/>
  <c r="BK47" i="23"/>
  <c r="BK87" i="23" s="1"/>
  <c r="BF87" i="23"/>
  <c r="BC40" i="14"/>
  <c r="BD46" i="14" s="1"/>
  <c r="BJ41" i="14"/>
  <c r="Y18" i="14"/>
  <c r="BJ39" i="14"/>
  <c r="BC43" i="14"/>
  <c r="AX9" i="13"/>
  <c r="AW9" i="13"/>
  <c r="AY9" i="13"/>
  <c r="BI32" i="14"/>
  <c r="BI29" i="14"/>
  <c r="BI31" i="14"/>
  <c r="AH31" i="19"/>
  <c r="AH25" i="19"/>
  <c r="AH20" i="19"/>
  <c r="AH11" i="19"/>
  <c r="AH23" i="19"/>
  <c r="AH18" i="19"/>
  <c r="J28" i="39"/>
  <c r="CD47" i="23"/>
  <c r="CD87" i="23" s="1"/>
  <c r="BY87" i="23"/>
  <c r="AU14" i="12"/>
  <c r="AU18" i="12"/>
  <c r="AU15" i="12"/>
  <c r="AU10" i="12"/>
  <c r="AU11" i="12"/>
  <c r="AU9" i="12"/>
  <c r="AU25" i="12"/>
  <c r="AU24" i="12"/>
  <c r="AU12" i="12"/>
  <c r="AU29" i="12"/>
  <c r="AU17" i="12"/>
  <c r="AU22" i="12"/>
  <c r="AU13" i="12"/>
  <c r="AU21" i="12"/>
  <c r="AU23" i="12"/>
  <c r="AU8" i="12"/>
  <c r="AU20" i="12"/>
  <c r="AU16" i="12"/>
  <c r="AU19" i="12"/>
  <c r="AH22" i="19"/>
  <c r="AH16" i="19"/>
  <c r="AH27" i="19"/>
  <c r="AH13" i="19"/>
  <c r="AH35" i="19"/>
  <c r="AH38" i="19"/>
  <c r="AH15" i="19"/>
  <c r="M21" i="39"/>
  <c r="L21" i="39"/>
  <c r="F21" i="39" s="1"/>
  <c r="CF46" i="23"/>
  <c r="BL46" i="23"/>
  <c r="E20" i="39"/>
  <c r="I24" i="39"/>
  <c r="AH24" i="19"/>
  <c r="AH30" i="19"/>
  <c r="AH12" i="19"/>
  <c r="AH28" i="19"/>
  <c r="AH26" i="19"/>
  <c r="AH32" i="19"/>
  <c r="AH36" i="19"/>
  <c r="M32" i="39" l="1"/>
  <c r="M36" i="39" s="1"/>
  <c r="AX11" i="13"/>
  <c r="AK12" i="13" s="1"/>
  <c r="AK14" i="13" s="1"/>
  <c r="AY11" i="13"/>
  <c r="AL12" i="13" s="1"/>
  <c r="AL14" i="13" s="1"/>
  <c r="AF36" i="13"/>
  <c r="AJ41" i="19"/>
  <c r="L32" i="39"/>
  <c r="L36" i="39" s="1"/>
  <c r="AL41" i="19"/>
  <c r="BJ43" i="14"/>
  <c r="I25" i="39"/>
  <c r="AJ12" i="13"/>
  <c r="AV11" i="13"/>
  <c r="AV13" i="13" s="1"/>
  <c r="AJ8" i="13"/>
  <c r="AW7" i="13"/>
  <c r="AV9" i="13"/>
  <c r="AH41" i="19"/>
  <c r="I32" i="39"/>
  <c r="I28" i="39"/>
  <c r="AL8" i="13"/>
  <c r="AL10" i="13" s="1"/>
  <c r="BI39" i="14"/>
  <c r="BI42" i="14"/>
  <c r="BI43" i="14"/>
  <c r="BD49" i="14"/>
  <c r="BD48" i="14" s="1"/>
  <c r="Z10" i="39"/>
  <c r="J36" i="39"/>
  <c r="W10" i="39"/>
  <c r="Y25" i="39"/>
  <c r="Y29" i="39"/>
  <c r="BI41" i="14"/>
  <c r="G21" i="39"/>
  <c r="J25" i="39" s="1"/>
  <c r="L25" i="39"/>
  <c r="L60" i="39"/>
  <c r="AK8" i="13"/>
  <c r="AK10" i="13" s="1"/>
  <c r="Y9" i="14"/>
  <c r="Z18" i="14"/>
  <c r="Y16" i="14"/>
  <c r="AC18" i="14"/>
  <c r="AA18" i="14"/>
  <c r="M20" i="14"/>
  <c r="AB18" i="14"/>
  <c r="BI33" i="14"/>
  <c r="AY7" i="13" l="1"/>
  <c r="Y14" i="39"/>
  <c r="AX7" i="13"/>
  <c r="AV7" i="13"/>
  <c r="Q20" i="14"/>
  <c r="AC9" i="14"/>
  <c r="J33" i="39"/>
  <c r="J75" i="39" s="1"/>
  <c r="J29" i="39"/>
  <c r="W25" i="39"/>
  <c r="W29" i="39"/>
  <c r="W14" i="39"/>
  <c r="Z25" i="39"/>
  <c r="Z29" i="39"/>
  <c r="AJ10" i="13"/>
  <c r="AO8" i="13"/>
  <c r="AO10" i="13" s="1"/>
  <c r="E21" i="39"/>
  <c r="O20" i="14"/>
  <c r="AA9" i="14"/>
  <c r="L33" i="39"/>
  <c r="L75" i="39" s="1"/>
  <c r="L29" i="39"/>
  <c r="I33" i="39"/>
  <c r="I31" i="39" s="1"/>
  <c r="I29" i="39"/>
  <c r="Z9" i="14"/>
  <c r="N20" i="14"/>
  <c r="AO12" i="13"/>
  <c r="AO14" i="13" s="1"/>
  <c r="AJ14" i="13"/>
  <c r="Z14" i="39"/>
  <c r="Y10" i="14"/>
  <c r="M21" i="14"/>
  <c r="Y21" i="14"/>
  <c r="BE49" i="14"/>
  <c r="BD51" i="14"/>
  <c r="BD53" i="14" s="1"/>
  <c r="P20" i="14"/>
  <c r="AB9" i="14"/>
  <c r="V10" i="39"/>
  <c r="I36" i="39"/>
  <c r="M25" i="39"/>
  <c r="I75" i="39" l="1"/>
  <c r="L37" i="39"/>
  <c r="Y11" i="39"/>
  <c r="Y18" i="39" s="1"/>
  <c r="L27" i="39"/>
  <c r="M33" i="39"/>
  <c r="M75" i="39" s="1"/>
  <c r="M29" i="39"/>
  <c r="V29" i="39"/>
  <c r="V25" i="39"/>
  <c r="V11" i="39"/>
  <c r="I37" i="39"/>
  <c r="I35" i="39" s="1"/>
  <c r="AC10" i="14"/>
  <c r="Q21" i="14"/>
  <c r="N21" i="14"/>
  <c r="Z10" i="14"/>
  <c r="AA10" i="14"/>
  <c r="O21" i="14"/>
  <c r="J31" i="39"/>
  <c r="AB10" i="14"/>
  <c r="P21" i="14"/>
  <c r="L31" i="39"/>
  <c r="J37" i="39"/>
  <c r="W11" i="39"/>
  <c r="J27" i="39"/>
  <c r="I27" i="39"/>
  <c r="V14" i="39"/>
  <c r="J35" i="39" l="1"/>
  <c r="M37" i="39"/>
  <c r="Z11" i="39"/>
  <c r="Z18" i="39" s="1"/>
  <c r="M27" i="39"/>
  <c r="Y26" i="39"/>
  <c r="Y30" i="39"/>
  <c r="V30" i="39"/>
  <c r="V26" i="39"/>
  <c r="L35" i="39"/>
  <c r="W30" i="39"/>
  <c r="W26" i="39"/>
  <c r="M31" i="39"/>
  <c r="V18" i="39"/>
  <c r="W18" i="39"/>
  <c r="Z30" i="39" l="1"/>
  <c r="Z26" i="39"/>
  <c r="M35" i="39"/>
  <c r="O939" i="2" l="1"/>
  <c r="O942" i="2" s="1"/>
  <c r="Q942" i="2" s="1"/>
  <c r="L942" i="2"/>
  <c r="N942" i="2" s="1"/>
  <c r="F48" i="10"/>
  <c r="F58" i="10" s="1"/>
  <c r="G48" i="10" l="1"/>
  <c r="H58" i="10" s="1"/>
  <c r="P39" i="31"/>
  <c r="E60" i="30" l="1"/>
  <c r="E42" i="19" s="1"/>
  <c r="E42" i="31" s="1"/>
  <c r="E61" i="30" l="1"/>
  <c r="E43" i="19" s="1"/>
  <c r="D61" i="30"/>
  <c r="F61" i="30"/>
  <c r="F43" i="19" s="1"/>
  <c r="E43" i="31" l="1"/>
  <c r="G40" i="39"/>
  <c r="G43" i="19"/>
  <c r="G41" i="39"/>
  <c r="F43" i="31"/>
  <c r="C43" i="19"/>
  <c r="G61" i="30"/>
  <c r="F60" i="30"/>
  <c r="H60" i="30" l="1"/>
  <c r="O44" i="19" s="1"/>
  <c r="O42" i="31" s="1"/>
  <c r="F42" i="19"/>
  <c r="C43" i="31"/>
  <c r="F41" i="39"/>
  <c r="I43" i="19"/>
  <c r="I43" i="31" s="1"/>
  <c r="G39" i="39"/>
  <c r="M41" i="39"/>
  <c r="J41" i="39"/>
  <c r="N45" i="19"/>
  <c r="N43" i="31" s="1"/>
  <c r="M45" i="19"/>
  <c r="J40" i="39"/>
  <c r="M40" i="39"/>
  <c r="Z21" i="39" l="1"/>
  <c r="M39" i="39"/>
  <c r="W21" i="39"/>
  <c r="J39" i="39"/>
  <c r="W22" i="39"/>
  <c r="M43" i="31"/>
  <c r="Z22" i="39"/>
  <c r="I41" i="39"/>
  <c r="L41" i="39"/>
  <c r="E41" i="39"/>
  <c r="G42" i="19"/>
  <c r="G42" i="31" s="1"/>
  <c r="F42" i="31"/>
  <c r="Y22" i="39" l="1"/>
  <c r="V22" i="39"/>
  <c r="C61" i="30" l="1"/>
  <c r="B43" i="19" s="1"/>
  <c r="D43" i="19" l="1"/>
  <c r="D43" i="31" s="1"/>
  <c r="H43" i="19"/>
  <c r="F40" i="39"/>
  <c r="B43" i="31"/>
  <c r="E40" i="39" l="1"/>
  <c r="E39" i="39" s="1"/>
  <c r="F39" i="39"/>
  <c r="L40" i="39"/>
  <c r="I40" i="39"/>
  <c r="J43" i="19"/>
  <c r="J43" i="31" s="1"/>
  <c r="H43" i="31"/>
  <c r="G43" i="31" s="1"/>
  <c r="Y21" i="39" l="1"/>
  <c r="L39" i="39"/>
  <c r="V21" i="39"/>
  <c r="I39" i="39"/>
  <c r="D60" i="30" l="1"/>
  <c r="G60" i="30" l="1"/>
  <c r="C42" i="19"/>
  <c r="C42" i="31" l="1"/>
  <c r="I42" i="19"/>
  <c r="I42" i="31" s="1"/>
  <c r="N44" i="19"/>
  <c r="N42" i="31" s="1"/>
  <c r="M44" i="19"/>
  <c r="P44" i="19" l="1"/>
  <c r="P42" i="31" s="1"/>
  <c r="M42" i="31"/>
  <c r="C60" i="30" l="1"/>
  <c r="B42" i="19" s="1"/>
  <c r="H42" i="19" l="1"/>
  <c r="B42" i="31"/>
  <c r="D42" i="19"/>
  <c r="D42" i="31" s="1"/>
  <c r="H42" i="31" l="1"/>
  <c r="J42" i="19"/>
  <c r="J42" i="31" s="1"/>
  <c r="E59" i="30"/>
  <c r="E41" i="19" l="1"/>
  <c r="E62" i="30"/>
  <c r="G44" i="39" l="1"/>
  <c r="E41" i="31"/>
  <c r="E46" i="31" s="1"/>
  <c r="E48" i="31" s="1"/>
  <c r="E47" i="31" s="1"/>
  <c r="E16" i="19"/>
  <c r="E16" i="31" s="1"/>
  <c r="F59" i="30"/>
  <c r="D59" i="30"/>
  <c r="H59" i="30" l="1"/>
  <c r="F62" i="30"/>
  <c r="F41" i="19"/>
  <c r="D62" i="30"/>
  <c r="G59" i="30"/>
  <c r="C41" i="19"/>
  <c r="M44" i="39"/>
  <c r="J44" i="39"/>
  <c r="G48" i="39"/>
  <c r="G53" i="39" s="1"/>
  <c r="W33" i="39" l="1"/>
  <c r="J48" i="39"/>
  <c r="N43" i="19"/>
  <c r="M43" i="19"/>
  <c r="G62" i="30"/>
  <c r="Z33" i="39"/>
  <c r="M48" i="39"/>
  <c r="F45" i="39"/>
  <c r="C16" i="19"/>
  <c r="C16" i="31" s="1"/>
  <c r="I41" i="19"/>
  <c r="I16" i="19" s="1"/>
  <c r="I16" i="31" s="1"/>
  <c r="C41" i="31"/>
  <c r="C46" i="31" s="1"/>
  <c r="C48" i="31" s="1"/>
  <c r="C47" i="31" s="1"/>
  <c r="G45" i="39"/>
  <c r="F41" i="31"/>
  <c r="F46" i="31" s="1"/>
  <c r="F48" i="31" s="1"/>
  <c r="F47" i="31" s="1"/>
  <c r="F16" i="19"/>
  <c r="F16" i="31" s="1"/>
  <c r="G41" i="19"/>
  <c r="G16" i="19" s="1"/>
  <c r="O43" i="19"/>
  <c r="G16" i="31" l="1"/>
  <c r="C58" i="35"/>
  <c r="Z37" i="39"/>
  <c r="M53" i="39"/>
  <c r="M41" i="31"/>
  <c r="P43" i="19"/>
  <c r="M15" i="19"/>
  <c r="M16" i="19" s="1"/>
  <c r="M18" i="19"/>
  <c r="M16" i="31" s="1"/>
  <c r="N41" i="31"/>
  <c r="N15" i="19"/>
  <c r="N16" i="19" s="1"/>
  <c r="N18" i="19"/>
  <c r="N16" i="31" s="1"/>
  <c r="W37" i="39"/>
  <c r="J53" i="39"/>
  <c r="J45" i="39"/>
  <c r="M45" i="39"/>
  <c r="G49" i="39"/>
  <c r="G76" i="39"/>
  <c r="G43" i="39"/>
  <c r="L45" i="39"/>
  <c r="I45" i="39"/>
  <c r="E45" i="39"/>
  <c r="E49" i="39" s="1"/>
  <c r="F76" i="39"/>
  <c r="F49" i="39"/>
  <c r="O41" i="31"/>
  <c r="F54" i="39" l="1"/>
  <c r="F77" i="39"/>
  <c r="F78" i="39" s="1"/>
  <c r="F81" i="39" s="1"/>
  <c r="F85" i="39"/>
  <c r="V34" i="39"/>
  <c r="I76" i="39"/>
  <c r="I49" i="39"/>
  <c r="Y34" i="39"/>
  <c r="L49" i="39"/>
  <c r="L76" i="39"/>
  <c r="P41" i="31"/>
  <c r="N46" i="31"/>
  <c r="N48" i="31" s="1"/>
  <c r="N47" i="31" s="1"/>
  <c r="M46" i="31"/>
  <c r="M48" i="31" s="1"/>
  <c r="M47" i="31" s="1"/>
  <c r="G54" i="39"/>
  <c r="G85" i="39"/>
  <c r="G77" i="39"/>
  <c r="G78" i="39" s="1"/>
  <c r="G81" i="39" s="1"/>
  <c r="G47" i="39"/>
  <c r="G57" i="39" s="1"/>
  <c r="Z34" i="39"/>
  <c r="M76" i="39"/>
  <c r="M49" i="39"/>
  <c r="M43" i="39"/>
  <c r="W34" i="39"/>
  <c r="J76" i="39"/>
  <c r="J49" i="39"/>
  <c r="J43" i="39"/>
  <c r="F82" i="39" l="1"/>
  <c r="F83" i="39" s="1"/>
  <c r="G82" i="39"/>
  <c r="G83" i="39" s="1"/>
  <c r="G52" i="39"/>
  <c r="E54" i="39"/>
  <c r="J47" i="39"/>
  <c r="J57" i="39" s="1"/>
  <c r="J77" i="39"/>
  <c r="J78" i="39" s="1"/>
  <c r="J81" i="39" s="1"/>
  <c r="J54" i="39"/>
  <c r="J52" i="39" s="1"/>
  <c r="J85" i="39"/>
  <c r="I54" i="39"/>
  <c r="I77" i="39"/>
  <c r="I78" i="39" s="1"/>
  <c r="I81" i="39" s="1"/>
  <c r="I85" i="39"/>
  <c r="M54" i="39"/>
  <c r="M52" i="39" s="1"/>
  <c r="M85" i="39"/>
  <c r="M77" i="39"/>
  <c r="M78" i="39" s="1"/>
  <c r="M81" i="39" s="1"/>
  <c r="M47" i="39"/>
  <c r="M57" i="39" s="1"/>
  <c r="M69" i="39"/>
  <c r="L54" i="39"/>
  <c r="L85" i="39"/>
  <c r="L77" i="39"/>
  <c r="L78" i="39" s="1"/>
  <c r="L81" i="39" s="1"/>
  <c r="J82" i="39" l="1"/>
  <c r="J83" i="39" s="1"/>
  <c r="M82" i="39"/>
  <c r="M83" i="39" s="1"/>
  <c r="L82" i="39"/>
  <c r="L83" i="39" s="1"/>
  <c r="I82" i="39"/>
  <c r="I83" i="39" s="1"/>
  <c r="C59" i="30"/>
  <c r="B41" i="19" l="1"/>
  <c r="C62" i="30"/>
  <c r="H61" i="30" s="1"/>
  <c r="O45" i="19" l="1"/>
  <c r="H62" i="30"/>
  <c r="F44" i="39"/>
  <c r="D41" i="19"/>
  <c r="H41" i="19"/>
  <c r="B41" i="31"/>
  <c r="B46" i="31" s="1"/>
  <c r="B48" i="31" s="1"/>
  <c r="B47" i="31" s="1"/>
  <c r="B16" i="19"/>
  <c r="B16" i="31" s="1"/>
  <c r="J41" i="19" l="1"/>
  <c r="H41" i="31"/>
  <c r="H16" i="19"/>
  <c r="H16" i="31" s="1"/>
  <c r="D41" i="31"/>
  <c r="D46" i="31" s="1"/>
  <c r="D48" i="31" s="1"/>
  <c r="D47" i="31" s="1"/>
  <c r="D16" i="19"/>
  <c r="L44" i="39"/>
  <c r="I44" i="39"/>
  <c r="F43" i="39"/>
  <c r="E43" i="39" s="1"/>
  <c r="E44" i="39"/>
  <c r="E48" i="39" s="1"/>
  <c r="E47" i="39" s="1"/>
  <c r="E57" i="39" s="1"/>
  <c r="F48" i="39"/>
  <c r="O43" i="31"/>
  <c r="P45" i="19"/>
  <c r="P18" i="19" s="1"/>
  <c r="O18" i="19"/>
  <c r="O15" i="19"/>
  <c r="H68" i="35" l="1"/>
  <c r="I68" i="35"/>
  <c r="H70" i="35"/>
  <c r="D16" i="31"/>
  <c r="C57" i="35"/>
  <c r="F53" i="39"/>
  <c r="F47" i="39"/>
  <c r="F57" i="39" s="1"/>
  <c r="V33" i="39"/>
  <c r="I48" i="39"/>
  <c r="I43" i="39"/>
  <c r="Y33" i="39"/>
  <c r="L48" i="39"/>
  <c r="L43" i="39"/>
  <c r="O46" i="31"/>
  <c r="O48" i="31" s="1"/>
  <c r="O47" i="31" s="1"/>
  <c r="G41" i="31"/>
  <c r="G46" i="31" s="1"/>
  <c r="G48" i="31" s="1"/>
  <c r="G47" i="31" s="1"/>
  <c r="H46" i="31"/>
  <c r="H48" i="31" s="1"/>
  <c r="H47" i="31" s="1"/>
  <c r="P43" i="31"/>
  <c r="P46" i="31" s="1"/>
  <c r="P48" i="31" s="1"/>
  <c r="P47" i="31" s="1"/>
  <c r="P15" i="19"/>
  <c r="B31" i="35" s="1"/>
  <c r="B33" i="35" s="1"/>
  <c r="J28" i="35" s="1"/>
  <c r="J41" i="31"/>
  <c r="J16" i="19"/>
  <c r="J16" i="31" s="1"/>
  <c r="I70" i="35" l="1"/>
  <c r="C52" i="35"/>
  <c r="L53" i="39"/>
  <c r="L52" i="39" s="1"/>
  <c r="Y37" i="39"/>
  <c r="L47" i="39"/>
  <c r="L57" i="39" s="1"/>
  <c r="L62" i="39" s="1"/>
  <c r="I41" i="31"/>
  <c r="I46" i="31" s="1"/>
  <c r="I48" i="31" s="1"/>
  <c r="I47" i="31" s="1"/>
  <c r="J46" i="31"/>
  <c r="J48" i="31" s="1"/>
  <c r="J47" i="31" s="1"/>
  <c r="I53" i="39"/>
  <c r="I52" i="39" s="1"/>
  <c r="V37" i="39"/>
  <c r="I47" i="39"/>
  <c r="I57" i="39" s="1"/>
  <c r="P16" i="19"/>
  <c r="O16" i="19" s="1"/>
  <c r="C84" i="35"/>
  <c r="P16" i="31"/>
  <c r="O16" i="31" s="1"/>
  <c r="E53" i="39"/>
  <c r="E52" i="39" s="1"/>
  <c r="F52" i="39"/>
  <c r="L64" i="39" l="1"/>
  <c r="L69" i="39" s="1"/>
  <c r="L66" i="39" l="1"/>
  <c r="J30"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McHugh</author>
  </authors>
  <commentList>
    <comment ref="A1" authorId="0" shapeId="0" xr:uid="{00000000-0006-0000-0100-000001000000}">
      <text>
        <r>
          <rPr>
            <b/>
            <sz val="9"/>
            <color indexed="81"/>
            <rFont val="Tahoma"/>
            <family val="2"/>
          </rPr>
          <t>Pete McHugh/M. Bellman:</t>
        </r>
        <r>
          <rPr>
            <sz val="9"/>
            <color indexed="81"/>
            <rFont val="Tahoma"/>
            <family val="2"/>
          </rPr>
          <t xml:space="preserve">
Note, in addition to the hyperlinks listed below, this spreadsheet contains several hidden worksheets, which are legacy worksheets that have fallen out of use but were not deleted for fear of breaking things somewhere in the mix.</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Andy Rankis</author>
    <author>mbellman</author>
    <author>Larrie LaVoy</author>
    <author>Kyle Van de Graaf (DFW)</author>
  </authors>
  <commentList>
    <comment ref="AG2" authorId="0" shapeId="0" xr:uid="{00000000-0006-0000-0300-000001000000}">
      <text>
        <r>
          <rPr>
            <b/>
            <sz val="8"/>
            <color indexed="81"/>
            <rFont val="Tahoma"/>
            <family val="2"/>
          </rPr>
          <t>Andy Rankis:</t>
        </r>
        <r>
          <rPr>
            <sz val="8"/>
            <color indexed="81"/>
            <rFont val="Tahoma"/>
            <family val="2"/>
          </rPr>
          <t xml:space="preserve">
 Used when Suppl combined with Hatch for FRAM modeling.  No Supple in 2007.</t>
        </r>
      </text>
    </comment>
    <comment ref="AH2" authorId="0" shapeId="0" xr:uid="{00000000-0006-0000-0300-000002000000}">
      <text>
        <r>
          <rPr>
            <b/>
            <sz val="8"/>
            <color indexed="81"/>
            <rFont val="Tahoma"/>
            <family val="2"/>
          </rPr>
          <t>Andy Rankis:</t>
        </r>
        <r>
          <rPr>
            <sz val="8"/>
            <color indexed="81"/>
            <rFont val="Tahoma"/>
            <family val="2"/>
          </rPr>
          <t xml:space="preserve">
 Used when Suppl combined with Hatch for FRAM modeling. Zero supplementals in 2007.
</t>
        </r>
      </text>
    </comment>
    <comment ref="AG3" authorId="1" shapeId="0" xr:uid="{00000000-0006-0000-0300-000003000000}">
      <text>
        <r>
          <rPr>
            <sz val="9"/>
            <color indexed="81"/>
            <rFont val="Tahoma"/>
            <family val="2"/>
          </rPr>
          <t xml:space="preserve">Andy Rankis:
 Used when Suppl combined with Hatch for FRAM modeling.  No Supple in 2007.
</t>
        </r>
      </text>
    </comment>
    <comment ref="AH3" authorId="1" shapeId="0" xr:uid="{00000000-0006-0000-0300-000004000000}">
      <text>
        <r>
          <rPr>
            <sz val="9"/>
            <color indexed="81"/>
            <rFont val="Tahoma"/>
            <family val="2"/>
          </rPr>
          <t xml:space="preserve">Andy Rankis:
 Used when Suppl combined with Hatch for FRAM modeling.  No Supple in 2007.
</t>
        </r>
      </text>
    </comment>
    <comment ref="AG8" authorId="0" shapeId="0" xr:uid="{00000000-0006-0000-0300-000005000000}">
      <text>
        <r>
          <rPr>
            <b/>
            <sz val="8"/>
            <color indexed="81"/>
            <rFont val="Tahoma"/>
            <family val="2"/>
          </rPr>
          <t>Andy Rankis:</t>
        </r>
        <r>
          <rPr>
            <sz val="8"/>
            <color indexed="81"/>
            <rFont val="Tahoma"/>
            <family val="2"/>
          </rPr>
          <t xml:space="preserve">
For 2007, column formula assumes no supplemental production.</t>
        </r>
      </text>
    </comment>
    <comment ref="AZ11" authorId="1" shapeId="0" xr:uid="{00000000-0006-0000-0300-000007000000}">
      <text>
        <r>
          <rPr>
            <b/>
            <sz val="9"/>
            <color indexed="81"/>
            <rFont val="Tahoma"/>
            <family val="2"/>
          </rPr>
          <t>mbellman:</t>
        </r>
        <r>
          <rPr>
            <sz val="9"/>
            <color indexed="81"/>
            <rFont val="Tahoma"/>
            <family val="2"/>
          </rPr>
          <t xml:space="preserve">
Excludes Coastal Terminal Net+Sport.
Calculated for the MOA between Tulalip and WDFW, for a maximum nontreaty ER upon these hatchery stocks.</t>
        </r>
      </text>
    </comment>
    <comment ref="AZ13" authorId="1" shapeId="0" xr:uid="{00000000-0006-0000-0300-000008000000}">
      <text>
        <r>
          <rPr>
            <b/>
            <sz val="9"/>
            <color indexed="81"/>
            <rFont val="Tahoma"/>
            <family val="2"/>
          </rPr>
          <t>mbellman:</t>
        </r>
        <r>
          <rPr>
            <sz val="9"/>
            <color indexed="81"/>
            <rFont val="Tahoma"/>
            <family val="2"/>
          </rPr>
          <t xml:space="preserve">
Excludes Coastal Terminal Net+Sport</t>
        </r>
      </text>
    </comment>
    <comment ref="AL37" authorId="2" shapeId="0" xr:uid="{00000000-0006-0000-0300-000009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M37" authorId="2" shapeId="0" xr:uid="{00000000-0006-0000-0300-00000A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B38" authorId="2" shapeId="0" xr:uid="{00000000-0006-0000-0300-00000B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C38" authorId="2" shapeId="0" xr:uid="{00000000-0006-0000-0300-00000C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H38" authorId="2" shapeId="0" xr:uid="{00000000-0006-0000-0300-00000D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I38" authorId="2" shapeId="0" xr:uid="{00000000-0006-0000-0300-00000E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L38" authorId="2" shapeId="0" xr:uid="{00000000-0006-0000-0300-00000F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M38" authorId="2" shapeId="0" xr:uid="{00000000-0006-0000-0300-000010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B39" authorId="2" shapeId="0" xr:uid="{00000000-0006-0000-0300-000011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C39" authorId="2" shapeId="0" xr:uid="{00000000-0006-0000-0300-000012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H39" authorId="2" shapeId="0" xr:uid="{00000000-0006-0000-0300-000013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I39" authorId="2" shapeId="0" xr:uid="{00000000-0006-0000-0300-000014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L39" authorId="2" shapeId="0" xr:uid="{00000000-0006-0000-0300-000015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M39" authorId="2" shapeId="0" xr:uid="{00000000-0006-0000-0300-000016000000}">
      <text>
        <r>
          <rPr>
            <b/>
            <sz val="8"/>
            <color indexed="81"/>
            <rFont val="Tahoma"/>
            <family val="2"/>
          </rPr>
          <t>Larrie LaVoy:</t>
        </r>
        <r>
          <rPr>
            <sz val="8"/>
            <color indexed="81"/>
            <rFont val="Tahoma"/>
            <family val="2"/>
          </rPr>
          <t xml:space="preserve">
I didn’t expect the terminal models  to be making catch projections of unmarked and marked.  If they do, then cells would need to be provided in WACoastTerminal page.</t>
        </r>
      </text>
    </comment>
    <comment ref="A52" authorId="2" shapeId="0" xr:uid="{00000000-0006-0000-0300-000017000000}">
      <text>
        <r>
          <rPr>
            <b/>
            <sz val="8"/>
            <color indexed="81"/>
            <rFont val="Tahoma"/>
            <family val="2"/>
          </rPr>
          <t>Larrie LaVoy:</t>
        </r>
        <r>
          <rPr>
            <sz val="8"/>
            <color indexed="81"/>
            <rFont val="Tahoma"/>
            <family val="2"/>
          </rPr>
          <t xml:space="preserve">
Contains 9A, 12A,12-12B, 12C-D net for all stocks except HC where 9A, 12A net is listed in Local Extreme Terminal.
</t>
        </r>
      </text>
    </comment>
    <comment ref="A53" authorId="2" shapeId="0" xr:uid="{00000000-0006-0000-0300-000018000000}">
      <text>
        <r>
          <rPr>
            <b/>
            <sz val="8"/>
            <color indexed="81"/>
            <rFont val="Tahoma"/>
            <family val="2"/>
          </rPr>
          <t>Larrie LaVoy:</t>
        </r>
        <r>
          <rPr>
            <sz val="8"/>
            <color indexed="81"/>
            <rFont val="Tahoma"/>
            <family val="2"/>
          </rPr>
          <t xml:space="preserve">
Contains 9A, 12A,12-12B, 12C-D net for all stocks except HC where 9A, 12A net is listed in Local Extreme Terminal.
</t>
        </r>
      </text>
    </comment>
    <comment ref="A54" authorId="2" shapeId="0" xr:uid="{00000000-0006-0000-0300-000019000000}">
      <text>
        <r>
          <rPr>
            <b/>
            <sz val="8"/>
            <color indexed="81"/>
            <rFont val="Tahoma"/>
            <family val="2"/>
          </rPr>
          <t>Larrie LaVoy:</t>
        </r>
        <r>
          <rPr>
            <sz val="8"/>
            <color indexed="81"/>
            <rFont val="Tahoma"/>
            <family val="2"/>
          </rPr>
          <t xml:space="preserve">
Contains all marine area net in areas 10,11,13.  Area 10f-g not included here but is for SPS stk in Local Extreme Terminal Net.</t>
        </r>
      </text>
    </comment>
    <comment ref="A55" authorId="2" shapeId="0" xr:uid="{00000000-0006-0000-0300-00001A000000}">
      <text>
        <r>
          <rPr>
            <b/>
            <sz val="8"/>
            <color indexed="81"/>
            <rFont val="Tahoma"/>
            <family val="2"/>
          </rPr>
          <t>Larrie LaVoy:</t>
        </r>
        <r>
          <rPr>
            <sz val="8"/>
            <color indexed="81"/>
            <rFont val="Tahoma"/>
            <family val="2"/>
          </rPr>
          <t xml:space="preserve">
Contains all marine area net in areas 10,11,13.  Area 10f-g not included here but is for SPS stk in Local Extreme Terminal Net.</t>
        </r>
      </text>
    </comment>
    <comment ref="M59" authorId="2" shapeId="0" xr:uid="{00000000-0006-0000-0300-00001B000000}">
      <text>
        <r>
          <rPr>
            <b/>
            <sz val="8"/>
            <color indexed="81"/>
            <rFont val="Tahoma"/>
            <family val="2"/>
          </rPr>
          <t>Larrie LaVoy:</t>
        </r>
        <r>
          <rPr>
            <sz val="8"/>
            <color indexed="81"/>
            <rFont val="Tahoma"/>
            <family val="2"/>
          </rPr>
          <t xml:space="preserve">
Includes 8D marine net as well as any river net
</t>
        </r>
      </text>
    </comment>
    <comment ref="M60" authorId="2" shapeId="0" xr:uid="{00000000-0006-0000-0300-00001C000000}">
      <text>
        <r>
          <rPr>
            <b/>
            <sz val="8"/>
            <color indexed="81"/>
            <rFont val="Tahoma"/>
            <family val="2"/>
          </rPr>
          <t>Larrie LaVoy:</t>
        </r>
        <r>
          <rPr>
            <sz val="8"/>
            <color indexed="81"/>
            <rFont val="Tahoma"/>
            <family val="2"/>
          </rPr>
          <t xml:space="preserve">
Includes 8D marine net as well as any river net
</t>
        </r>
      </text>
    </comment>
    <comment ref="Y99" authorId="1" shapeId="0" xr:uid="{00000000-0006-0000-0300-00001D000000}">
      <text>
        <r>
          <rPr>
            <b/>
            <sz val="9"/>
            <color indexed="81"/>
            <rFont val="Tahoma"/>
            <family val="2"/>
          </rPr>
          <t>mbellman:</t>
        </r>
        <r>
          <rPr>
            <sz val="9"/>
            <color indexed="81"/>
            <rFont val="Tahoma"/>
            <family val="2"/>
          </rPr>
          <t xml:space="preserve">
Section Based on Jan 2017 draft from AHB and AR, "Differential hatchery/natural harvest rates in coastal fisheries"</t>
        </r>
      </text>
    </comment>
    <comment ref="AO99" authorId="3" shapeId="0" xr:uid="{00000000-0006-0000-0300-000006000000}">
      <text>
        <r>
          <rPr>
            <sz val="9"/>
            <color indexed="81"/>
            <rFont val="Tahoma"/>
            <family val="2"/>
          </rPr>
          <t xml:space="preserve">This is the escapement to the spawning grounds existing of NORs plus hatchery strays
</t>
        </r>
      </text>
    </comment>
    <comment ref="AO106" authorId="3" shapeId="0" xr:uid="{E00986F3-110E-4EE0-B325-435230827309}">
      <text>
        <r>
          <rPr>
            <b/>
            <sz val="9"/>
            <color indexed="81"/>
            <rFont val="Tahoma"/>
            <family val="2"/>
          </rPr>
          <t>Kyle Van de Graaf (DFW):</t>
        </r>
        <r>
          <rPr>
            <sz val="9"/>
            <color indexed="81"/>
            <rFont val="Tahoma"/>
            <family val="2"/>
          </rPr>
          <t xml:space="preserve">
STT addition (03/10/22) to assess Grays Harbor Natural conservation objectives in terms of natural area.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tc={2FAFF71F-243C-4EB7-97D3-ED37299AD4D7}</author>
    <author>Larrie LaVoy</author>
  </authors>
  <commentList>
    <comment ref="L19"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Note: The Area 10 Test fishery catch is already accounted for in the Area 10 TR and Area 10 NT net fishery results from the model run (see Tami formulas + Input_Harvestnew).</t>
      </text>
    </comment>
    <comment ref="C21" authorId="1" shapeId="0" xr:uid="{00000000-0006-0000-0400-000002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D21" authorId="1" shapeId="0" xr:uid="{00000000-0006-0000-0400-000003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E21" authorId="1" shapeId="0" xr:uid="{00000000-0006-0000-0400-000004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F21" authorId="1" shapeId="0" xr:uid="{00000000-0006-0000-0400-000005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G21" authorId="1" shapeId="0" xr:uid="{00000000-0006-0000-0400-000006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H21" authorId="1" shapeId="0" xr:uid="{00000000-0006-0000-0400-000007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I21" authorId="1" shapeId="0" xr:uid="{00000000-0006-0000-0400-000008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not included in Table 2 for Puget Sound stocks) is not part of this abundance.</t>
        </r>
        <r>
          <rPr>
            <sz val="8"/>
            <color indexed="81"/>
            <rFont val="Tahoma"/>
            <family val="2"/>
          </rPr>
          <t xml:space="preserve">
</t>
        </r>
      </text>
    </comment>
    <comment ref="N21" authorId="1" shapeId="0" xr:uid="{00000000-0006-0000-0400-000009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seen in row 15)) is not part of this abundance.</t>
        </r>
        <r>
          <rPr>
            <sz val="8"/>
            <color indexed="81"/>
            <rFont val="Tahoma"/>
            <family val="2"/>
          </rPr>
          <t xml:space="preserve">
</t>
        </r>
      </text>
    </comment>
    <comment ref="O21" authorId="1" shapeId="0" xr:uid="{00000000-0006-0000-0400-00000A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seen in row 15)) is not part of this abundance.</t>
        </r>
        <r>
          <rPr>
            <sz val="8"/>
            <color indexed="81"/>
            <rFont val="Tahoma"/>
            <family val="2"/>
          </rPr>
          <t xml:space="preserve">
</t>
        </r>
      </text>
    </comment>
    <comment ref="P21" authorId="1" shapeId="0" xr:uid="{00000000-0006-0000-0400-00000B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seen in row 15)) is not part of this abundance.</t>
        </r>
        <r>
          <rPr>
            <sz val="8"/>
            <color indexed="81"/>
            <rFont val="Tahoma"/>
            <family val="2"/>
          </rPr>
          <t xml:space="preserve">
</t>
        </r>
      </text>
    </comment>
    <comment ref="Q21" authorId="1" shapeId="0" xr:uid="{00000000-0006-0000-0400-00000C000000}">
      <text>
        <r>
          <rPr>
            <b/>
            <sz val="8"/>
            <color indexed="81"/>
            <rFont val="Tahoma"/>
            <family val="2"/>
          </rPr>
          <t>Andy Rankis:</t>
        </r>
        <r>
          <rPr>
            <sz val="8"/>
            <color indexed="81"/>
            <rFont val="Tahoma"/>
            <family val="2"/>
          </rPr>
          <t xml:space="preserve">
</t>
        </r>
        <r>
          <rPr>
            <sz val="9"/>
            <color indexed="81"/>
            <rFont val="Tahoma"/>
            <family val="2"/>
          </rPr>
          <t>Per the previous accounting structure the fishery mortality from nonlocal coastal terminal fisheries ("dip-in" mortality seen in row 15)) is not part of this abundance.</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mbellman</author>
    <author>Kyle Van de Graaf (DFW)</author>
  </authors>
  <commentList>
    <comment ref="C23" authorId="0" shapeId="0" xr:uid="{00000000-0006-0000-0500-000001000000}">
      <text>
        <r>
          <rPr>
            <b/>
            <sz val="9"/>
            <color indexed="81"/>
            <rFont val="Tahoma"/>
            <family val="2"/>
          </rPr>
          <t>mbellman:</t>
        </r>
        <r>
          <rPr>
            <sz val="9"/>
            <color indexed="81"/>
            <rFont val="Tahoma"/>
            <family val="2"/>
          </rPr>
          <t xml:space="preserve">
NOTE: This value is missing landed catch from fisheries:
4B-5-6C Net (NT+TR)
Area 5 Sport
Area 6 Sport
6-7-7A Net (NT+TR)
Area 7 Sport
Area 9 Sport
They are not included in any of the PSCTRuns.drv definitions which produce the values referenced in column C above.</t>
        </r>
      </text>
    </comment>
    <comment ref="E40" authorId="1" shapeId="0" xr:uid="{00000000-0006-0000-0500-000002000000}">
      <text>
        <r>
          <rPr>
            <b/>
            <sz val="9"/>
            <color indexed="81"/>
            <rFont val="Tahoma"/>
            <family val="2"/>
          </rPr>
          <t>Kyle Van de Graaf (DFW):</t>
        </r>
        <r>
          <rPr>
            <sz val="9"/>
            <color indexed="81"/>
            <rFont val="Tahoma"/>
            <family val="2"/>
          </rPr>
          <t xml:space="preserve">
Developed annually for Pre I using a recent 3 year average.</t>
        </r>
      </text>
    </comment>
    <comment ref="E41" authorId="1" shapeId="0" xr:uid="{00000000-0006-0000-0500-000003000000}">
      <text>
        <r>
          <rPr>
            <b/>
            <sz val="9"/>
            <color indexed="81"/>
            <rFont val="Tahoma"/>
            <family val="2"/>
          </rPr>
          <t>Kyle Van de Graaf (DFW):</t>
        </r>
        <r>
          <rPr>
            <sz val="9"/>
            <color indexed="81"/>
            <rFont val="Tahoma"/>
            <family val="2"/>
          </rPr>
          <t xml:space="preserve">
Add to Willapa Bay natural escapement for reporting in Pre II table 5</t>
        </r>
      </text>
    </comment>
    <comment ref="G42" authorId="1" shapeId="0" xr:uid="{00000000-0006-0000-0500-000004000000}">
      <text>
        <r>
          <rPr>
            <b/>
            <sz val="9"/>
            <color indexed="81"/>
            <rFont val="Tahoma"/>
            <family val="2"/>
          </rPr>
          <t>Kyle Van de Graaf (DFW):</t>
        </r>
        <r>
          <rPr>
            <sz val="9"/>
            <color indexed="81"/>
            <rFont val="Tahoma"/>
            <family val="2"/>
          </rPr>
          <t xml:space="preserve">
2020 TAMM addition. Natural area ocean escapement value is comparable to Willapa Bay Natural FMP goal (17,200). Also, used for STT Pre II document calculation. -KVdG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mbellman</author>
    <author>Larrie LaVoy</author>
    <author>tc={A8DC141D-6B07-487B-885D-D10B69B838D8}</author>
  </authors>
  <commentList>
    <comment ref="C37" authorId="0" shapeId="0" xr:uid="{00000000-0006-0000-0600-000001000000}">
      <text>
        <r>
          <rPr>
            <b/>
            <sz val="9"/>
            <color indexed="81"/>
            <rFont val="Tahoma"/>
            <family val="2"/>
          </rPr>
          <t>mbellman:
Using 13.4% for expected encounter rate of wild fish in Cascade Sport, based on creel data (1997-2000) derived calculation (B. Barkdull 3/21/19)</t>
        </r>
      </text>
    </comment>
    <comment ref="F37" authorId="1" shapeId="0" xr:uid="{00000000-0006-0000-0600-000002000000}">
      <text>
        <r>
          <rPr>
            <sz val="8"/>
            <color indexed="81"/>
            <rFont val="Tahoma"/>
            <family val="2"/>
          </rPr>
          <t xml:space="preserve">If Cascade River is selective fishery then:  paste in, twiddle with,  whatever it takes.
MEB 3/10/18  Cascade anticipated mortalities
</t>
        </r>
      </text>
    </comment>
    <comment ref="B56"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Grant Kirby/SSIT 4/13/21 
Fishery input for Cascade SSIT setnet fishery, quota = XXXX.  Utilizing the Cascade River Sport fishery wild encounter rate (13.4% see cell note C37, based on creel data (1997-2000) derived calculation (B. Barkdull 3/21/19)) to calculate wild impacts.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Andy Rankis</author>
  </authors>
  <commentList>
    <comment ref="A39" authorId="0" shapeId="0" xr:uid="{00000000-0006-0000-0700-000001000000}">
      <text>
        <r>
          <rPr>
            <b/>
            <sz val="9"/>
            <color indexed="81"/>
            <rFont val="Tahoma"/>
            <family val="2"/>
          </rPr>
          <t>Andy Rankis:</t>
        </r>
        <r>
          <rPr>
            <sz val="9"/>
            <color indexed="81"/>
            <rFont val="Tahoma"/>
            <family val="2"/>
          </rPr>
          <t xml:space="preserve">
This fishery is modeled to impact only Stillaguamish coho stocks, due to location of fishery; per Jason Griffith.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Nick</author>
  </authors>
  <commentList>
    <comment ref="AF6" authorId="0" shapeId="0" xr:uid="{00000000-0006-0000-0800-000001000000}">
      <text>
        <r>
          <rPr>
            <b/>
            <sz val="8"/>
            <color indexed="81"/>
            <rFont val="Tahoma"/>
            <family val="2"/>
          </rPr>
          <t>Nick:</t>
        </r>
        <r>
          <rPr>
            <sz val="8"/>
            <color indexed="81"/>
            <rFont val="Tahoma"/>
            <family val="2"/>
          </rPr>
          <t xml:space="preserve">
Values must not include Age3 Nat. Mortality.  C+E Recruits correspond  w/ CompCoho ER setup.</t>
        </r>
      </text>
    </comment>
    <comment ref="AG30" authorId="0" shapeId="0" xr:uid="{00000000-0006-0000-0800-000002000000}">
      <text>
        <r>
          <rPr>
            <b/>
            <sz val="8"/>
            <color indexed="81"/>
            <rFont val="Tahoma"/>
            <family val="2"/>
          </rPr>
          <t>Nick:</t>
        </r>
        <r>
          <rPr>
            <sz val="8"/>
            <color indexed="81"/>
            <rFont val="Tahoma"/>
            <family val="2"/>
          </rPr>
          <t xml:space="preserve">
Min Achieved if Ceiling ER is applied</t>
        </r>
      </text>
    </comment>
    <comment ref="AI30" authorId="0" shapeId="0" xr:uid="{00000000-0006-0000-0800-000003000000}">
      <text>
        <r>
          <rPr>
            <b/>
            <sz val="8"/>
            <color indexed="81"/>
            <rFont val="Tahoma"/>
            <family val="2"/>
          </rPr>
          <t>Nick:</t>
        </r>
        <r>
          <rPr>
            <sz val="8"/>
            <color indexed="81"/>
            <rFont val="Tahoma"/>
            <family val="2"/>
          </rPr>
          <t xml:space="preserve">
George Adams E.G.</t>
        </r>
      </text>
    </comment>
    <comment ref="AK30" authorId="0" shapeId="0" xr:uid="{00000000-0006-0000-0800-000004000000}">
      <text>
        <r>
          <rPr>
            <b/>
            <sz val="8"/>
            <color indexed="81"/>
            <rFont val="Tahoma"/>
            <family val="2"/>
          </rPr>
          <t>Nick:</t>
        </r>
        <r>
          <rPr>
            <sz val="8"/>
            <color indexed="81"/>
            <rFont val="Tahoma"/>
            <family val="2"/>
          </rPr>
          <t xml:space="preserve">
10% of 9A ETRS.
</t>
        </r>
      </text>
    </comment>
    <comment ref="AM30" authorId="0" shapeId="0" xr:uid="{00000000-0006-0000-0800-000005000000}">
      <text>
        <r>
          <rPr>
            <b/>
            <sz val="8"/>
            <color indexed="81"/>
            <rFont val="Tahoma"/>
            <family val="2"/>
          </rPr>
          <t>Nick:</t>
        </r>
        <r>
          <rPr>
            <sz val="8"/>
            <color indexed="81"/>
            <rFont val="Tahoma"/>
            <family val="2"/>
          </rPr>
          <t xml:space="preserve">
(12A ESC / QNFH ESC)*QNFH ESC Goal.
ANDY '03':
FRAM output problem (RRTerm related) precludes using esc ratios, therefore using Quilcene Bay ETRS ratios.
ANDY '06':
RRTerm problem fixed so now using FRAM esc ratios.
</t>
        </r>
      </text>
    </comment>
    <comment ref="AM31" authorId="0" shapeId="0" xr:uid="{00000000-0006-0000-0800-000006000000}">
      <text>
        <r>
          <rPr>
            <b/>
            <sz val="8"/>
            <color indexed="81"/>
            <rFont val="Tahoma"/>
            <family val="2"/>
          </rPr>
          <t>Nick:</t>
        </r>
        <r>
          <rPr>
            <sz val="8"/>
            <color indexed="81"/>
            <rFont val="Tahoma"/>
            <family val="2"/>
          </rPr>
          <t xml:space="preserve">
(12A ESC / QNFH ESC)*QNFH ESC Goal.
ANDY '03':
FRAM output problem (RRTerm related) precludes using esc ratios, therefore using Quilcene Bay ETRS ratios.
ANDY '06':
RRTerm problem fixed so now using FRAM esc ratios.
</t>
        </r>
      </text>
    </comment>
    <comment ref="AM36" authorId="0" shapeId="0" xr:uid="{00000000-0006-0000-0800-000007000000}">
      <text>
        <r>
          <rPr>
            <b/>
            <sz val="8"/>
            <color indexed="81"/>
            <rFont val="Tahoma"/>
            <family val="2"/>
          </rPr>
          <t>Nick:</t>
        </r>
        <r>
          <rPr>
            <sz val="8"/>
            <color indexed="81"/>
            <rFont val="Tahoma"/>
            <family val="2"/>
          </rPr>
          <t xml:space="preserve">
(12A ESC / QNFH ESC)*QNFH ESC Goal.
ANDY '03':
FRAM output problem (RRTerm related) precludes using esc ratios, therefore using Quilcene Bay ETRS ratios.
ANDY '05':
RRTerm problem should be fixed so look into using esc ratios.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Larrie LaVoy</author>
  </authors>
  <commentList>
    <comment ref="AG6" authorId="0" shapeId="0" xr:uid="{00000000-0006-0000-0900-000001000000}">
      <text>
        <r>
          <rPr>
            <b/>
            <sz val="8"/>
            <color indexed="81"/>
            <rFont val="Tahoma"/>
            <family val="2"/>
          </rPr>
          <t>Larrie LaVoy:</t>
        </r>
        <r>
          <rPr>
            <sz val="8"/>
            <color indexed="81"/>
            <rFont val="Tahoma"/>
            <family val="2"/>
          </rPr>
          <t xml:space="preserve">
Cells reference new FRAM output tables for total mort. And escapement but table hasn’t been reviewed by tech, staffs.</t>
        </r>
      </text>
    </comment>
    <comment ref="AJ7" authorId="0" shapeId="0" xr:uid="{00000000-0006-0000-0900-000002000000}">
      <text>
        <r>
          <rPr>
            <b/>
            <sz val="8"/>
            <color indexed="81"/>
            <rFont val="Tahoma"/>
            <family val="2"/>
          </rPr>
          <t>Larrie LaVoy:</t>
        </r>
        <r>
          <rPr>
            <sz val="8"/>
            <color indexed="81"/>
            <rFont val="Tahoma"/>
            <family val="2"/>
          </rPr>
          <t xml:space="preserve">
Stock specific TRs from FRAM used to split TAA.  Hence, nonlocals are small portion of these values.</t>
        </r>
      </text>
    </comment>
    <comment ref="AK7" authorId="0" shapeId="0" xr:uid="{00000000-0006-0000-0900-000003000000}">
      <text>
        <r>
          <rPr>
            <b/>
            <sz val="8"/>
            <color indexed="81"/>
            <rFont val="Tahoma"/>
            <family val="2"/>
          </rPr>
          <t>Larrie LaVoy:</t>
        </r>
        <r>
          <rPr>
            <sz val="8"/>
            <color indexed="81"/>
            <rFont val="Tahoma"/>
            <family val="2"/>
          </rPr>
          <t xml:space="preserve">
TAA style is All stocks caught in area (includes nonlocals)</t>
        </r>
      </text>
    </comment>
    <comment ref="AM7" authorId="0" shapeId="0" xr:uid="{00000000-0006-0000-0900-000004000000}">
      <text>
        <r>
          <rPr>
            <b/>
            <sz val="8"/>
            <color indexed="81"/>
            <rFont val="Tahoma"/>
            <family val="2"/>
          </rPr>
          <t>Larrie LaVoy:</t>
        </r>
        <r>
          <rPr>
            <sz val="8"/>
            <color indexed="81"/>
            <rFont val="Tahoma"/>
            <family val="2"/>
          </rPr>
          <t xml:space="preserve">
Stock specific TM from FRAM ; not calc. using TAA values.
</t>
        </r>
      </text>
    </comment>
    <comment ref="AN7" authorId="0" shapeId="0" xr:uid="{00000000-0006-0000-0900-000005000000}">
      <text>
        <r>
          <rPr>
            <b/>
            <sz val="8"/>
            <color indexed="81"/>
            <rFont val="Tahoma"/>
            <family val="2"/>
          </rPr>
          <t>Larrie LaVoy:</t>
        </r>
        <r>
          <rPr>
            <sz val="8"/>
            <color indexed="81"/>
            <rFont val="Tahoma"/>
            <family val="2"/>
          </rPr>
          <t xml:space="preserve">
Stock specific TRs from FRAM used to split TAA.  Hence, nonlocals are small portion of these values.</t>
        </r>
      </text>
    </comment>
    <comment ref="AO7" authorId="0" shapeId="0" xr:uid="{00000000-0006-0000-0900-000006000000}">
      <text>
        <r>
          <rPr>
            <b/>
            <sz val="8"/>
            <color indexed="81"/>
            <rFont val="Tahoma"/>
            <family val="2"/>
          </rPr>
          <t>Larrie LaVoy:</t>
        </r>
        <r>
          <rPr>
            <sz val="8"/>
            <color indexed="81"/>
            <rFont val="Tahoma"/>
            <family val="2"/>
          </rPr>
          <t xml:space="preserve">
TAA style is All stocks caught in area (includes nonlocals)</t>
        </r>
      </text>
    </comment>
    <comment ref="AP7" authorId="0" shapeId="0" xr:uid="{00000000-0006-0000-0900-000007000000}">
      <text>
        <r>
          <rPr>
            <b/>
            <sz val="8"/>
            <color indexed="81"/>
            <rFont val="Tahoma"/>
            <family val="2"/>
          </rPr>
          <t>Larrie LaVoy:</t>
        </r>
        <r>
          <rPr>
            <sz val="8"/>
            <color indexed="81"/>
            <rFont val="Tahoma"/>
            <family val="2"/>
          </rPr>
          <t xml:space="preserve">
Stock specific TM from FRAM ; not calc. using TAA values.
</t>
        </r>
      </text>
    </comment>
    <comment ref="AQ7" authorId="0" shapeId="0" xr:uid="{00000000-0006-0000-0900-000008000000}">
      <text>
        <r>
          <rPr>
            <b/>
            <sz val="8"/>
            <color indexed="81"/>
            <rFont val="Tahoma"/>
            <family val="2"/>
          </rPr>
          <t>Larrie LaVoy:</t>
        </r>
        <r>
          <rPr>
            <sz val="8"/>
            <color indexed="81"/>
            <rFont val="Tahoma"/>
            <family val="2"/>
          </rPr>
          <t xml:space="preserve">
Stock specific TRs from FRAM used to split TAA.  Hence, nonlocals are small portion of these values.</t>
        </r>
      </text>
    </comment>
    <comment ref="AR7" authorId="0" shapeId="0" xr:uid="{00000000-0006-0000-0900-000009000000}">
      <text>
        <r>
          <rPr>
            <b/>
            <sz val="8"/>
            <color indexed="81"/>
            <rFont val="Tahoma"/>
            <family val="2"/>
          </rPr>
          <t>Larrie LaVoy:</t>
        </r>
        <r>
          <rPr>
            <sz val="8"/>
            <color indexed="81"/>
            <rFont val="Tahoma"/>
            <family val="2"/>
          </rPr>
          <t xml:space="preserve">
TAA style is All stocks caught in area (includes nonlocals)</t>
        </r>
      </text>
    </comment>
    <comment ref="AS7" authorId="0" shapeId="0" xr:uid="{00000000-0006-0000-0900-00000A000000}">
      <text>
        <r>
          <rPr>
            <b/>
            <sz val="8"/>
            <color indexed="81"/>
            <rFont val="Tahoma"/>
            <family val="2"/>
          </rPr>
          <t>Larrie LaVoy:</t>
        </r>
        <r>
          <rPr>
            <sz val="8"/>
            <color indexed="81"/>
            <rFont val="Tahoma"/>
            <family val="2"/>
          </rPr>
          <t xml:space="preserve">
Stock specific TM from FRAM ; not calc. using TAA values.
</t>
        </r>
      </text>
    </comment>
    <comment ref="AI46" authorId="0" shapeId="0" xr:uid="{00000000-0006-0000-0900-00000B000000}">
      <text>
        <r>
          <rPr>
            <b/>
            <sz val="8"/>
            <color indexed="81"/>
            <rFont val="Tahoma"/>
            <family val="2"/>
          </rPr>
          <t>Larrie LaVoy:</t>
        </r>
        <r>
          <rPr>
            <sz val="8"/>
            <color indexed="81"/>
            <rFont val="Tahoma"/>
            <family val="2"/>
          </rPr>
          <t xml:space="preserve">
Value from Table 2 SPS
</t>
        </r>
      </text>
    </comment>
    <comment ref="AJ46" authorId="0" shapeId="0" xr:uid="{00000000-0006-0000-0900-00000C000000}">
      <text>
        <r>
          <rPr>
            <b/>
            <sz val="8"/>
            <color indexed="81"/>
            <rFont val="Tahoma"/>
            <family val="2"/>
          </rPr>
          <t>Larrie LaVoy:</t>
        </r>
        <r>
          <rPr>
            <sz val="8"/>
            <color indexed="81"/>
            <rFont val="Tahoma"/>
            <family val="2"/>
          </rPr>
          <t xml:space="preserve">
Value from FRAM TAA</t>
        </r>
      </text>
    </comment>
    <comment ref="AK46" authorId="0" shapeId="0" xr:uid="{00000000-0006-0000-0900-00000D000000}">
      <text>
        <r>
          <rPr>
            <b/>
            <sz val="8"/>
            <color indexed="81"/>
            <rFont val="Tahoma"/>
            <family val="2"/>
          </rPr>
          <t>Larrie LaVoy:</t>
        </r>
        <r>
          <rPr>
            <sz val="8"/>
            <color indexed="81"/>
            <rFont val="Tahoma"/>
            <family val="2"/>
          </rPr>
          <t xml:space="preserve">
Value from TMall-stocks PRN for Area 10.
</t>
        </r>
      </text>
    </comment>
    <comment ref="C53" authorId="0" shapeId="0" xr:uid="{00000000-0006-0000-0900-00000E000000}">
      <text>
        <r>
          <rPr>
            <b/>
            <sz val="8"/>
            <color indexed="81"/>
            <rFont val="Tahoma"/>
            <family val="2"/>
          </rPr>
          <t>Larrie LaVoy:</t>
        </r>
        <r>
          <rPr>
            <sz val="8"/>
            <color indexed="81"/>
            <rFont val="Tahoma"/>
            <family val="2"/>
          </rPr>
          <t xml:space="preserve">
Locals and nonlocals caught in all area 10 marine net plus esc  for area 10 stocks </t>
        </r>
      </text>
    </comment>
    <comment ref="D53" authorId="0" shapeId="0" xr:uid="{00000000-0006-0000-0900-00000F000000}">
      <text>
        <r>
          <rPr>
            <b/>
            <sz val="8"/>
            <color indexed="81"/>
            <rFont val="Tahoma"/>
            <family val="2"/>
          </rPr>
          <t>Larrie LaVoy:</t>
        </r>
        <r>
          <rPr>
            <sz val="8"/>
            <color indexed="81"/>
            <rFont val="Tahoma"/>
            <family val="2"/>
          </rPr>
          <t xml:space="preserve">
Locals and nonlocals caught in all area 11 marine net plus esc  for area 11 stocks </t>
        </r>
      </text>
    </comment>
    <comment ref="E53" authorId="0" shapeId="0" xr:uid="{00000000-0006-0000-0900-000010000000}">
      <text>
        <r>
          <rPr>
            <b/>
            <sz val="8"/>
            <color indexed="81"/>
            <rFont val="Tahoma"/>
            <family val="2"/>
          </rPr>
          <t>Larrie LaVoy:</t>
        </r>
        <r>
          <rPr>
            <sz val="8"/>
            <color indexed="81"/>
            <rFont val="Tahoma"/>
            <family val="2"/>
          </rPr>
          <t xml:space="preserve">
Locals and nonlocals caught in all area 13 marine net plus esc  for area 13 stocks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Andy Rankis</author>
    <author>Larrie LaVoy</author>
  </authors>
  <commentList>
    <comment ref="L6" authorId="0" shapeId="0" xr:uid="{00000000-0006-0000-0A00-000001000000}">
      <text>
        <r>
          <rPr>
            <b/>
            <sz val="9"/>
            <color indexed="81"/>
            <rFont val="Tahoma"/>
            <family val="2"/>
          </rPr>
          <t>Andy Rankis:</t>
        </r>
        <r>
          <rPr>
            <sz val="9"/>
            <color indexed="81"/>
            <rFont val="Tahoma"/>
            <family val="2"/>
          </rPr>
          <t xml:space="preserve">
Whatcom Creek H
Kendall Creek H
Bellingham Bay Net Pen</t>
        </r>
      </text>
    </comment>
    <comment ref="BG7" authorId="1" shapeId="0" xr:uid="{00000000-0006-0000-0A00-000002000000}">
      <text>
        <r>
          <rPr>
            <b/>
            <sz val="8"/>
            <color indexed="81"/>
            <rFont val="Tahoma"/>
            <family val="2"/>
          </rPr>
          <t>Larrie LaVoy:</t>
        </r>
        <r>
          <rPr>
            <sz val="8"/>
            <color indexed="81"/>
            <rFont val="Tahoma"/>
            <family val="2"/>
          </rPr>
          <t xml:space="preserve">
Locals and nonlocals in TAA style terminal run from FRAM which are divyed up by Nook/Sam local stock proportions.
This is basically the old method of TAA, terminal fishery accounting in these tables.</t>
        </r>
      </text>
    </comment>
    <comment ref="BH7" authorId="1" shapeId="0" xr:uid="{00000000-0006-0000-0A00-000003000000}">
      <text>
        <r>
          <rPr>
            <b/>
            <sz val="8"/>
            <color indexed="81"/>
            <rFont val="Tahoma"/>
            <family val="2"/>
          </rPr>
          <t>Larrie LaVoy:</t>
        </r>
        <r>
          <rPr>
            <sz val="8"/>
            <color indexed="81"/>
            <rFont val="Tahoma"/>
            <family val="2"/>
          </rPr>
          <t xml:space="preserve">
Locals and nonlocals in TAA style terminal net from FRAM which are divyed up by Nook/Sam local stock proportions.
This is old style of terminal fishery accounting.
</t>
        </r>
      </text>
    </comment>
    <comment ref="BI7" authorId="1" shapeId="0" xr:uid="{00000000-0006-0000-0A00-000004000000}">
      <text>
        <r>
          <rPr>
            <b/>
            <sz val="8"/>
            <color indexed="81"/>
            <rFont val="Tahoma"/>
            <family val="2"/>
          </rPr>
          <t>Larrie LaVoy:</t>
        </r>
        <r>
          <rPr>
            <sz val="8"/>
            <color indexed="81"/>
            <rFont val="Tahoma"/>
            <family val="2"/>
          </rPr>
          <t xml:space="preserve">
FRAM outputs of Nook/Sam stock mus.</t>
        </r>
      </text>
    </comment>
    <comment ref="BM9" authorId="1" shapeId="0" xr:uid="{00000000-0006-0000-0A00-000005000000}">
      <text>
        <r>
          <rPr>
            <b/>
            <sz val="8"/>
            <color indexed="81"/>
            <rFont val="Tahoma"/>
            <family val="2"/>
          </rPr>
          <t>Larrie LaVoy:</t>
        </r>
        <r>
          <rPr>
            <sz val="8"/>
            <color indexed="81"/>
            <rFont val="Tahoma"/>
            <family val="2"/>
          </rPr>
          <t xml:space="preserve">
Stock Specific escapements from FRAM</t>
        </r>
      </text>
    </comment>
    <comment ref="A20" authorId="0" shapeId="0" xr:uid="{00000000-0006-0000-0A00-000006000000}">
      <text>
        <r>
          <rPr>
            <b/>
            <sz val="9"/>
            <color indexed="81"/>
            <rFont val="Tahoma"/>
            <family val="2"/>
          </rPr>
          <t>Andy Rankis:</t>
        </r>
        <r>
          <rPr>
            <sz val="9"/>
            <color indexed="81"/>
            <rFont val="Tahoma"/>
            <family val="2"/>
          </rPr>
          <t xml:space="preserve">
Strait JDF includes areas: 4B/5/6C.</t>
        </r>
      </text>
    </comment>
    <comment ref="A22" authorId="0" shapeId="0" xr:uid="{00000000-0006-0000-0A00-000007000000}">
      <text>
        <r>
          <rPr>
            <b/>
            <sz val="9"/>
            <color indexed="81"/>
            <rFont val="Tahoma"/>
            <family val="2"/>
          </rPr>
          <t>Andy Rankis:</t>
        </r>
        <r>
          <rPr>
            <sz val="9"/>
            <color indexed="81"/>
            <rFont val="Tahoma"/>
            <family val="2"/>
          </rPr>
          <t xml:space="preserve">
SJI &amp; Bellingham Bay recreational is Area 7.</t>
        </r>
      </text>
    </comment>
    <comment ref="S26" authorId="0" shapeId="0" xr:uid="{00000000-0006-0000-0A00-000008000000}">
      <text>
        <r>
          <rPr>
            <b/>
            <sz val="9"/>
            <color indexed="81"/>
            <rFont val="Tahoma"/>
            <family val="2"/>
          </rPr>
          <t>Andy Rankis:</t>
        </r>
        <r>
          <rPr>
            <sz val="9"/>
            <color indexed="81"/>
            <rFont val="Tahoma"/>
            <family val="2"/>
          </rPr>
          <t xml:space="preserve">
IFR morts are also included in NonLocal Total Fmort.</t>
        </r>
      </text>
    </comment>
    <comment ref="S27" authorId="0" shapeId="0" xr:uid="{00000000-0006-0000-0A00-000009000000}">
      <text>
        <r>
          <rPr>
            <b/>
            <sz val="9"/>
            <color indexed="81"/>
            <rFont val="Tahoma"/>
            <family val="2"/>
          </rPr>
          <t>Andy Rankis:</t>
        </r>
        <r>
          <rPr>
            <sz val="9"/>
            <color indexed="81"/>
            <rFont val="Tahoma"/>
            <family val="2"/>
          </rPr>
          <t xml:space="preserve">
IFR morts are also included in NonLocal Total Fmort.</t>
        </r>
      </text>
    </comment>
    <comment ref="BG36" authorId="1" shapeId="0" xr:uid="{00000000-0006-0000-0A00-00000A000000}">
      <text>
        <r>
          <rPr>
            <b/>
            <sz val="8"/>
            <color indexed="81"/>
            <rFont val="Tahoma"/>
            <family val="2"/>
          </rPr>
          <t>Larrie LaVoy:</t>
        </r>
        <r>
          <rPr>
            <sz val="8"/>
            <color indexed="81"/>
            <rFont val="Tahoma"/>
            <family val="2"/>
          </rPr>
          <t xml:space="preserve">
Nook/Sam TAA from FRAM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Nick</author>
    <author>Andy Rankis</author>
  </authors>
  <commentList>
    <comment ref="M7" authorId="0" shapeId="0" xr:uid="{00000000-0006-0000-0B00-000001000000}">
      <text>
        <r>
          <rPr>
            <b/>
            <sz val="8"/>
            <color indexed="81"/>
            <rFont val="Tahoma"/>
            <family val="2"/>
          </rPr>
          <t>Nick:</t>
        </r>
        <r>
          <rPr>
            <sz val="8"/>
            <color indexed="81"/>
            <rFont val="Tahoma"/>
            <family val="2"/>
          </rPr>
          <t xml:space="preserve">
</t>
        </r>
        <r>
          <rPr>
            <sz val="11"/>
            <color indexed="81"/>
            <rFont val="Tahoma"/>
            <family val="2"/>
          </rPr>
          <t>The highlighted values should be Fmort+Escapement 
(After Age 2 and Age3 Nat Mort.)</t>
        </r>
      </text>
    </comment>
    <comment ref="AD7" authorId="0" shapeId="0" xr:uid="{00000000-0006-0000-0B00-000002000000}">
      <text>
        <r>
          <rPr>
            <b/>
            <sz val="8"/>
            <color indexed="81"/>
            <rFont val="Tahoma"/>
            <family val="2"/>
          </rPr>
          <t>Nick:</t>
        </r>
        <r>
          <rPr>
            <sz val="8"/>
            <color indexed="81"/>
            <rFont val="Tahoma"/>
            <family val="2"/>
          </rPr>
          <t xml:space="preserve">
</t>
        </r>
        <r>
          <rPr>
            <sz val="11"/>
            <color indexed="81"/>
            <rFont val="Tahoma"/>
            <family val="2"/>
          </rPr>
          <t>The highlighted values should be Fmort+Escapement 
(After Age 2 and Age3 Nat Mort.)</t>
        </r>
      </text>
    </comment>
    <comment ref="R9" authorId="0" shapeId="0" xr:uid="{00000000-0006-0000-0B00-000003000000}">
      <text>
        <r>
          <rPr>
            <b/>
            <sz val="8"/>
            <color indexed="81"/>
            <rFont val="Tahoma"/>
            <family val="2"/>
          </rPr>
          <t>Nick:</t>
        </r>
        <r>
          <rPr>
            <sz val="8"/>
            <color indexed="81"/>
            <rFont val="Tahoma"/>
            <family val="2"/>
          </rPr>
          <t xml:space="preserve">
</t>
        </r>
        <r>
          <rPr>
            <sz val="11"/>
            <color indexed="81"/>
            <rFont val="Tahoma"/>
            <family val="2"/>
          </rPr>
          <t>Do NOT add columns J:K of StockSumPRN here! 
If they are nonzero,  they would be Miscell. hatchery</t>
        </r>
      </text>
    </comment>
    <comment ref="AE9" authorId="0" shapeId="0" xr:uid="{00000000-0006-0000-0B00-000004000000}">
      <text>
        <r>
          <rPr>
            <b/>
            <sz val="8"/>
            <color indexed="81"/>
            <rFont val="Tahoma"/>
            <family val="2"/>
          </rPr>
          <t>Nick:</t>
        </r>
        <r>
          <rPr>
            <sz val="8"/>
            <color indexed="81"/>
            <rFont val="Tahoma"/>
            <family val="2"/>
          </rPr>
          <t xml:space="preserve">
</t>
        </r>
        <r>
          <rPr>
            <sz val="11"/>
            <color indexed="81"/>
            <rFont val="Tahoma"/>
            <family val="2"/>
          </rPr>
          <t>Do NOT add columns J:K of StockSumPRN here! 
If they are nonzero,  they would be Miscell. hatchery</t>
        </r>
      </text>
    </comment>
    <comment ref="R34" authorId="0" shapeId="0" xr:uid="{00000000-0006-0000-0B00-000005000000}">
      <text>
        <r>
          <rPr>
            <b/>
            <sz val="8"/>
            <color indexed="81"/>
            <rFont val="Tahoma"/>
            <family val="2"/>
          </rPr>
          <t>Nick:</t>
        </r>
        <r>
          <rPr>
            <sz val="8"/>
            <color indexed="81"/>
            <rFont val="Tahoma"/>
            <family val="2"/>
          </rPr>
          <t xml:space="preserve">
</t>
        </r>
        <r>
          <rPr>
            <sz val="11"/>
            <color indexed="81"/>
            <rFont val="Tahoma"/>
            <family val="2"/>
          </rPr>
          <t xml:space="preserve">=(ElwhaH EG/ElwhaH Recruits)*AggregRecruits
</t>
        </r>
      </text>
    </comment>
    <comment ref="T34" authorId="0" shapeId="0" xr:uid="{00000000-0006-0000-0B00-000006000000}">
      <text>
        <r>
          <rPr>
            <b/>
            <sz val="8"/>
            <color indexed="81"/>
            <rFont val="Tahoma"/>
            <family val="2"/>
          </rPr>
          <t>Nick:</t>
        </r>
        <r>
          <rPr>
            <sz val="8"/>
            <color indexed="81"/>
            <rFont val="Tahoma"/>
            <family val="2"/>
          </rPr>
          <t xml:space="preserve">
</t>
        </r>
        <r>
          <rPr>
            <sz val="11"/>
            <color indexed="81"/>
            <rFont val="Tahoma"/>
            <family val="2"/>
          </rPr>
          <t xml:space="preserve">=(DungenessH EG/DungH Recruits)*AggregRecruits
</t>
        </r>
      </text>
    </comment>
    <comment ref="R35" authorId="0" shapeId="0" xr:uid="{00000000-0006-0000-0B00-000007000000}">
      <text>
        <r>
          <rPr>
            <b/>
            <sz val="8"/>
            <color indexed="81"/>
            <rFont val="Tahoma"/>
            <family val="2"/>
          </rPr>
          <t xml:space="preserve">Andy:
</t>
        </r>
        <r>
          <rPr>
            <sz val="8"/>
            <color indexed="81"/>
            <rFont val="Tahoma"/>
            <family val="2"/>
          </rPr>
          <t>Confirmation that FRAM escapement ratios produce result consistent with ETRS values.</t>
        </r>
      </text>
    </comment>
    <comment ref="T35" authorId="1" shapeId="0" xr:uid="{00000000-0006-0000-0B00-000008000000}">
      <text>
        <r>
          <rPr>
            <b/>
            <sz val="9"/>
            <color indexed="81"/>
            <rFont val="Tahoma"/>
            <family val="2"/>
          </rPr>
          <t>Andy Rankis:</t>
        </r>
        <r>
          <rPr>
            <sz val="9"/>
            <color indexed="81"/>
            <rFont val="Tahoma"/>
            <family val="2"/>
          </rPr>
          <t xml:space="preserve">
Confirmation that FRAM escapement ratios produce result consistent with ETRS values.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Kyle Van de Graaf (DFW)</author>
  </authors>
  <commentList>
    <comment ref="L28" authorId="0" shapeId="0" xr:uid="{AF6CAF7C-AF3F-431E-A6C9-46802D8DC02E}">
      <text>
        <r>
          <rPr>
            <b/>
            <sz val="9"/>
            <color indexed="81"/>
            <rFont val="Tahoma"/>
            <family val="2"/>
          </rPr>
          <t>Kyle Van de Graaf (DFW):</t>
        </r>
        <r>
          <rPr>
            <sz val="9"/>
            <color indexed="81"/>
            <rFont val="Tahoma"/>
            <family val="2"/>
          </rPr>
          <t xml:space="preserve">
Ocean only until the final PFMC 2. Change to ocean+FW % at that point.</t>
        </r>
      </text>
    </comment>
    <comment ref="B33" authorId="0" shapeId="0" xr:uid="{2B68065B-550F-4C95-A941-15F52AF51FB9}">
      <text>
        <r>
          <rPr>
            <b/>
            <sz val="9"/>
            <color indexed="81"/>
            <rFont val="Tahoma"/>
            <family val="2"/>
          </rPr>
          <t>Kyle Van de Graaf (DFW):</t>
        </r>
        <r>
          <rPr>
            <sz val="9"/>
            <color indexed="81"/>
            <rFont val="Tahoma"/>
            <family val="2"/>
          </rPr>
          <t xml:space="preserve">
Marine area total only (no B10 or FW) from beginning of Council process until April Council meeting. 
Include B10 and FW at the start of April Council for reporting in Pre-III</t>
        </r>
      </text>
    </comment>
    <comment ref="B65" authorId="0" shapeId="0" xr:uid="{00000000-0006-0000-0C00-000002000000}">
      <text>
        <r>
          <rPr>
            <b/>
            <sz val="9"/>
            <color indexed="81"/>
            <rFont val="Tahoma"/>
            <family val="2"/>
          </rPr>
          <t>Kyle Van de Graaf (DFW):</t>
        </r>
        <r>
          <rPr>
            <sz val="9"/>
            <color indexed="81"/>
            <rFont val="Tahoma"/>
            <family val="2"/>
          </rPr>
          <t xml:space="preserve">
Does not come directly from TAMM. Calculated using FRAM Model Run Access Database.</t>
        </r>
      </text>
    </comment>
    <comment ref="C65" authorId="0" shapeId="0" xr:uid="{00000000-0006-0000-0C00-000003000000}">
      <text>
        <r>
          <rPr>
            <b/>
            <sz val="9"/>
            <color indexed="81"/>
            <rFont val="Tahoma"/>
            <family val="2"/>
          </rPr>
          <t>Kyle Van de Graaf (DFW):</t>
        </r>
        <r>
          <rPr>
            <sz val="9"/>
            <color indexed="81"/>
            <rFont val="Tahoma"/>
            <family val="2"/>
          </rPr>
          <t xml:space="preserve">
Does not come directly from TAMM. Calculated using FRAM Model Run Access Database.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Larrie LaVoy</author>
    <author>mbellman</author>
    <author>AHB</author>
  </authors>
  <commentList>
    <comment ref="M8" authorId="0" shapeId="0" xr:uid="{00000000-0006-0000-0D00-000001000000}">
      <text>
        <r>
          <rPr>
            <b/>
            <sz val="8"/>
            <color indexed="81"/>
            <rFont val="Tahoma"/>
            <family val="2"/>
          </rPr>
          <t>Andy:Rankis:</t>
        </r>
        <r>
          <rPr>
            <sz val="8"/>
            <color indexed="81"/>
            <rFont val="Tahoma"/>
            <family val="2"/>
          </rPr>
          <t xml:space="preserve">
-99 is flag  if you want to model FRAM generated catches using base period fishery Ers (set cmd file to effort scalar of one).    -88 is flag for using terminal area harvest rates (input total expected catches into cmd file).  </t>
        </r>
      </text>
    </comment>
    <comment ref="G25" authorId="1" shapeId="0" xr:uid="{00000000-0006-0000-0D00-000002000000}">
      <text>
        <r>
          <rPr>
            <b/>
            <sz val="9"/>
            <color indexed="81"/>
            <rFont val="Tahoma"/>
            <family val="2"/>
          </rPr>
          <t>mbellman:</t>
        </r>
        <r>
          <rPr>
            <sz val="9"/>
            <color indexed="81"/>
            <rFont val="Tahoma"/>
            <family val="2"/>
          </rPr>
          <t xml:space="preserve">
Releasing wilds during summer period.
</t>
        </r>
      </text>
    </comment>
    <comment ref="S173" authorId="2" shapeId="0" xr:uid="{00000000-0006-0000-0D00-000003000000}">
      <text>
        <r>
          <rPr>
            <b/>
            <sz val="9"/>
            <color indexed="81"/>
            <rFont val="Tahoma"/>
            <family val="2"/>
          </rPr>
          <t>AHB:</t>
        </r>
        <r>
          <rPr>
            <sz val="9"/>
            <color indexed="81"/>
            <rFont val="Tahoma"/>
            <family val="2"/>
          </rPr>
          <t xml:space="preserve">
No BP for this fishery and thus not modeled.  This catch is not currently included in FRAM-TAMM model runs.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Kairis</author>
    <author>Larrie LaVoy</author>
    <author>mbellman</author>
    <author>Andy Rankis</author>
    <author>A.Fowler</author>
    <author>tc={E025BB75-AC08-477C-A99F-016149410A6A}</author>
    <author>tc={0693D06D-9169-4778-90A2-9E8F422C0D79}</author>
  </authors>
  <commentList>
    <comment ref="K26" authorId="0" shapeId="0" xr:uid="{00000000-0006-0000-0F00-000001000000}">
      <text>
        <r>
          <rPr>
            <b/>
            <sz val="9"/>
            <color indexed="81"/>
            <rFont val="Tahoma"/>
            <family val="2"/>
          </rPr>
          <t>Pete Kairis:</t>
        </r>
        <r>
          <rPr>
            <sz val="9"/>
            <color indexed="81"/>
            <rFont val="Tahoma"/>
            <family val="2"/>
          </rPr>
          <t xml:space="preserve">
From Skagit Treaty WKLYHRS spreadsheet</t>
        </r>
      </text>
    </comment>
    <comment ref="B40" authorId="1" shapeId="0" xr:uid="{00000000-0006-0000-0F00-000002000000}">
      <text>
        <r>
          <rPr>
            <b/>
            <sz val="8"/>
            <color indexed="81"/>
            <rFont val="Tahoma"/>
            <family val="2"/>
          </rPr>
          <t>Larrie LaVoy:</t>
        </r>
        <r>
          <rPr>
            <sz val="8"/>
            <color indexed="81"/>
            <rFont val="Tahoma"/>
            <family val="2"/>
          </rPr>
          <t xml:space="preserve">
This little pain in the ass fishery has to be dealt with outside of FRAM since we don’t have separate Cascade R strata.</t>
        </r>
      </text>
    </comment>
    <comment ref="U44" authorId="1" shapeId="0" xr:uid="{00000000-0006-0000-0F00-000003000000}">
      <text>
        <r>
          <rPr>
            <b/>
            <sz val="8"/>
            <color indexed="81"/>
            <rFont val="Tahoma"/>
            <family val="2"/>
          </rPr>
          <t>Larrie LaVoy:</t>
        </r>
        <r>
          <rPr>
            <sz val="8"/>
            <color indexed="81"/>
            <rFont val="Tahoma"/>
            <family val="2"/>
          </rPr>
          <t xml:space="preserve">
Cascade River selective fishery is excluded.
</t>
        </r>
      </text>
    </comment>
    <comment ref="E65" authorId="2" shapeId="0" xr:uid="{587294DD-75AA-4127-B5BD-9793EC1D06C0}">
      <text>
        <r>
          <rPr>
            <b/>
            <sz val="9"/>
            <color indexed="81"/>
            <rFont val="Tahoma"/>
            <family val="2"/>
          </rPr>
          <t>mbellman:</t>
        </r>
        <r>
          <rPr>
            <sz val="9"/>
            <color indexed="81"/>
            <rFont val="Tahoma"/>
            <family val="2"/>
          </rPr>
          <t xml:space="preserve">
May need to modify, see source calculation to right in prior years
</t>
        </r>
      </text>
    </comment>
    <comment ref="E66" authorId="3" shapeId="0" xr:uid="{00000000-0006-0000-0F00-000005000000}">
      <text>
        <r>
          <rPr>
            <b/>
            <sz val="9"/>
            <color indexed="81"/>
            <rFont val="Tahoma"/>
            <family val="2"/>
          </rPr>
          <t>Andy Rankis:</t>
        </r>
        <r>
          <rPr>
            <sz val="9"/>
            <color indexed="81"/>
            <rFont val="Tahoma"/>
            <family val="2"/>
          </rPr>
          <t xml:space="preserve">
If input is landed catch, then go to bottom of section to enter value.</t>
        </r>
      </text>
    </comment>
    <comment ref="M120" authorId="2" shapeId="0" xr:uid="{6ABC97BE-4CF2-43F5-9C83-E430110DB872}">
      <text>
        <r>
          <rPr>
            <b/>
            <sz val="9"/>
            <color indexed="81"/>
            <rFont val="Tahoma"/>
            <family val="2"/>
          </rPr>
          <t>mbellman:</t>
        </r>
        <r>
          <rPr>
            <sz val="9"/>
            <color indexed="81"/>
            <rFont val="Tahoma"/>
            <family val="2"/>
          </rPr>
          <t xml:space="preserve">
CINDY:
The %TAA for treaty fisheries is from HC TriHR Hood Canal for 2022 PSF _FINAL after NT 9A input adjustment 02MAR22.xls</t>
        </r>
      </text>
    </comment>
    <comment ref="M121" authorId="2" shapeId="0" xr:uid="{26BAD139-5B2A-4FD9-8113-49CB62F565BB}">
      <text>
        <r>
          <rPr>
            <b/>
            <sz val="9"/>
            <color indexed="81"/>
            <rFont val="Tahoma"/>
            <family val="2"/>
          </rPr>
          <t>mbellman:</t>
        </r>
        <r>
          <rPr>
            <sz val="9"/>
            <color indexed="81"/>
            <rFont val="Tahoma"/>
            <family val="2"/>
          </rPr>
          <t xml:space="preserve">
CINDY:
The %TAA for treaty fisheries is from HC TriHR Hood Canal for 2022 PSF _FINAL after NT 9A input adjustment 02MAR22.xls</t>
        </r>
      </text>
    </comment>
    <comment ref="D279" authorId="4" shapeId="0" xr:uid="{D2F342F2-6C08-412A-ACB7-681AC5EF4528}">
      <text>
        <r>
          <rPr>
            <b/>
            <sz val="9"/>
            <color indexed="81"/>
            <rFont val="Tahoma"/>
            <family val="2"/>
          </rPr>
          <t>A.Fowler:</t>
        </r>
        <r>
          <rPr>
            <sz val="9"/>
            <color indexed="81"/>
            <rFont val="Tahoma"/>
            <family val="2"/>
          </rPr>
          <t xml:space="preserve">
2022, AF: HR input for 2022 is 0.1064 as of 3.16.2022. See file "Skagit Harvest Coho 2022"</t>
        </r>
      </text>
    </comment>
    <comment ref="H279" authorId="5" shapeId="0" xr:uid="{E025BB75-AC08-477C-A99F-016149410A6A}">
      <text>
        <t>[Threaded comment]
Your version of Excel allows you to read this threaded comment; however, any edits to it will get removed if the file is opened in a newer version of Excel. Learn more: https://go.microsoft.com/fwlink/?linkid=870924
Comment:
    AF Updated this row.</t>
      </text>
    </comment>
    <comment ref="D280" authorId="4" shapeId="0" xr:uid="{0D6E8B57-A7E9-4CCC-BB34-803BD66C7336}">
      <text>
        <r>
          <rPr>
            <b/>
            <sz val="9"/>
            <color indexed="81"/>
            <rFont val="Tahoma"/>
            <family val="2"/>
          </rPr>
          <t>A.Fowler:</t>
        </r>
        <r>
          <rPr>
            <sz val="9"/>
            <color indexed="81"/>
            <rFont val="Tahoma"/>
            <family val="2"/>
          </rPr>
          <t xml:space="preserve">
2022, AF: Cascade percentage current as of 3/16/2022. See file "Skagit Harvest Coho 2022". </t>
        </r>
      </text>
    </comment>
    <comment ref="E280" authorId="2" shapeId="0" xr:uid="{00000000-0006-0000-0F00-000008000000}">
      <text>
        <r>
          <rPr>
            <b/>
            <sz val="9"/>
            <color indexed="81"/>
            <rFont val="Tahoma"/>
            <family val="2"/>
          </rPr>
          <t>mbellman:</t>
        </r>
        <r>
          <rPr>
            <sz val="9"/>
            <color indexed="81"/>
            <rFont val="Tahoma"/>
            <family val="2"/>
          </rPr>
          <t xml:space="preserve">
Only FW release mortalities (10% release + 5% drop off), 
not actual full mortalities expected from the fishery, need to be added to the actual expected fishery mortalities?</t>
        </r>
      </text>
    </comment>
    <comment ref="H280" authorId="6" shapeId="0" xr:uid="{0693D06D-9169-4778-90A2-9E8F422C0D79}">
      <text>
        <t>[Threaded comment]
Your version of Excel allows you to read this threaded comment; however, any edits to it will get removed if the file is opened in a newer version of Excel. Learn more: https://go.microsoft.com/fwlink/?linkid=870924
Comment:
    AF Updated this row.</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Larrie LaVoy</author>
  </authors>
  <commentList>
    <comment ref="B35" authorId="0" shapeId="0" xr:uid="{00000000-0006-0000-1100-000001000000}">
      <text>
        <r>
          <rPr>
            <b/>
            <sz val="8"/>
            <color indexed="81"/>
            <rFont val="Tahoma"/>
            <family val="2"/>
          </rPr>
          <t>Larrie LaVoy:</t>
        </r>
        <r>
          <rPr>
            <sz val="8"/>
            <color indexed="81"/>
            <rFont val="Tahoma"/>
            <family val="2"/>
          </rPr>
          <t xml:space="preserve">
Cascade River selective fishery is excluded.
</t>
        </r>
      </text>
    </comment>
    <comment ref="S35" authorId="0" shapeId="0" xr:uid="{00000000-0006-0000-1100-000002000000}">
      <text>
        <r>
          <rPr>
            <b/>
            <sz val="8"/>
            <color indexed="81"/>
            <rFont val="Tahoma"/>
            <family val="2"/>
          </rPr>
          <t>Larrie LaVoy:</t>
        </r>
        <r>
          <rPr>
            <sz val="8"/>
            <color indexed="81"/>
            <rFont val="Tahoma"/>
            <family val="2"/>
          </rPr>
          <t xml:space="preserve">
Cascade River selective fishery is excluded.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mbellman</author>
  </authors>
  <commentList>
    <comment ref="T34" authorId="0" shapeId="0" xr:uid="{00000000-0006-0000-1500-000001000000}">
      <text>
        <r>
          <rPr>
            <b/>
            <sz val="9"/>
            <color indexed="81"/>
            <rFont val="Tahoma"/>
            <family val="2"/>
          </rPr>
          <t>mbellman:</t>
        </r>
        <r>
          <rPr>
            <sz val="9"/>
            <color indexed="81"/>
            <rFont val="Tahoma"/>
            <family val="2"/>
          </rPr>
          <t xml:space="preserve">
This is an artificial "value" used by the VB code, which does calculate all stocks (marked vs unmarked). See Sub CohoTAMMReports().</t>
        </r>
      </text>
    </comment>
    <comment ref="T35" authorId="0" shapeId="0" xr:uid="{00000000-0006-0000-1500-000002000000}">
      <text>
        <r>
          <rPr>
            <b/>
            <sz val="9"/>
            <color indexed="81"/>
            <rFont val="Tahoma"/>
            <family val="2"/>
          </rPr>
          <t>mbellman:</t>
        </r>
        <r>
          <rPr>
            <sz val="9"/>
            <color indexed="81"/>
            <rFont val="Tahoma"/>
            <family val="2"/>
          </rPr>
          <t xml:space="preserve">
This is an artificial "value" used by the VB code, which does calculate all stocks (marked vs unmarked). See Sub CohoTAMMReports().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mbellman</author>
  </authors>
  <commentList>
    <comment ref="B8" authorId="0" shapeId="0" xr:uid="{00000000-0006-0000-1600-000001000000}">
      <text>
        <r>
          <rPr>
            <b/>
            <sz val="9"/>
            <color indexed="81"/>
            <rFont val="Tahoma"/>
            <family val="2"/>
          </rPr>
          <t>mbellman:
Terminal Run</t>
        </r>
        <r>
          <rPr>
            <sz val="9"/>
            <color indexed="81"/>
            <rFont val="Tahoma"/>
            <family val="2"/>
          </rPr>
          <t xml:space="preserve">
IF TAA type = 
Escapement (TimeStep 5 only) + Landed Catch (TimeStep 4,5) + MSF Landed Catch (TimeStep 4,5) for all stocks in FisheryIDs in PSCTRuns.drv Definition.
If ETRS type = 
Escapement (TimeStep 5 only) + Landed Catch (TimeStep 4,5) + MSF Landed Catch (TimeStep 4,5) for only those StockIDs in PSCTRuns.drv Definition.
</t>
        </r>
      </text>
    </comment>
    <comment ref="C8" authorId="0" shapeId="0" xr:uid="{00000000-0006-0000-1600-000002000000}">
      <text>
        <r>
          <rPr>
            <b/>
            <sz val="9"/>
            <color indexed="81"/>
            <rFont val="Tahoma"/>
            <family val="2"/>
          </rPr>
          <t>mbellman:
Escapement</t>
        </r>
        <r>
          <rPr>
            <sz val="9"/>
            <color indexed="81"/>
            <rFont val="Tahoma"/>
            <family val="2"/>
          </rPr>
          <t xml:space="preserve">
Time Step 5 only
(Oct-Dec)
For only those StockIDs in PSCTRuns.drv Definition</t>
        </r>
      </text>
    </comment>
    <comment ref="D8" authorId="0" shapeId="0" xr:uid="{00000000-0006-0000-1600-000003000000}">
      <text>
        <r>
          <rPr>
            <b/>
            <sz val="9"/>
            <color indexed="81"/>
            <rFont val="Tahoma"/>
            <family val="2"/>
          </rPr>
          <t>mbellman:
TRS with all mortality</t>
        </r>
        <r>
          <rPr>
            <sz val="9"/>
            <color indexed="81"/>
            <rFont val="Tahoma"/>
            <family val="2"/>
          </rPr>
          <t xml:space="preserve">
IF TAA type = 
Escapement (TimeStep 5 only) + Landed Catch(TimeStep 4,5) + MSF Landed Catch(TimeStep 4,5) + DropOff(TimeStep 4,5) + MSF DropOff(TimeStep 4,5) + NonRetention(TimeStep 4,5) + MSF NonRetention(TimeStep 4,5)
for all stocks in FisheryIDs in PSCTRuns.drv Definition.
If ETRS type = 
Escapement (TimeStep 5 only) + Landed Catch(TimeStep 4,5) + MSF Landed Catch(TimeStep 4,5) + DropOff(TimeStep 4,5) + MSF DropOff(TimeStep 4,5) + NonRetention(TimeStep 4,5) + MSF NonRetention(TimeStep 4,5)
for only those StockIDs in PSCTRuns.drv Definition.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Larrie LaVoy</author>
  </authors>
  <commentList>
    <comment ref="AK2" authorId="0" shapeId="0" xr:uid="{00000000-0006-0000-1900-000001000000}">
      <text>
        <r>
          <rPr>
            <b/>
            <sz val="8"/>
            <color indexed="81"/>
            <rFont val="Tahoma"/>
            <family val="2"/>
          </rPr>
          <t>Larrie LaVoy:</t>
        </r>
        <r>
          <rPr>
            <sz val="8"/>
            <color indexed="81"/>
            <rFont val="Tahoma"/>
            <family val="2"/>
          </rPr>
          <t xml:space="preserve">
Gotta do this for nuFRAM too since there is no Ers in outfile for supplementals</t>
        </r>
      </text>
    </comment>
    <comment ref="AK3" authorId="0" shapeId="0" xr:uid="{00000000-0006-0000-1900-000002000000}">
      <text>
        <r>
          <rPr>
            <b/>
            <sz val="8"/>
            <color indexed="81"/>
            <rFont val="Tahoma"/>
            <family val="2"/>
          </rPr>
          <t>Larrie LaVoy:</t>
        </r>
        <r>
          <rPr>
            <sz val="8"/>
            <color indexed="81"/>
            <rFont val="Tahoma"/>
            <family val="2"/>
          </rPr>
          <t xml:space="preserve">
Gotta do this for nuFRAM too since there is no Ers in outfile for supplementals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Larrie LaVoy</author>
    <author>Jon Carey</author>
    <author>larrie lavoy</author>
  </authors>
  <commentList>
    <comment ref="C5" authorId="0" shapeId="0" xr:uid="{00000000-0006-0000-1D00-000001000000}">
      <text>
        <r>
          <rPr>
            <b/>
            <sz val="8"/>
            <color indexed="81"/>
            <rFont val="Tahoma"/>
            <family val="2"/>
          </rPr>
          <t>Larrie LaVoy:</t>
        </r>
        <r>
          <rPr>
            <sz val="8"/>
            <color indexed="81"/>
            <rFont val="Tahoma"/>
            <family val="2"/>
          </rPr>
          <t xml:space="preserve">
Base period stock size from coho cohort is split 50:50 into unmarked and marked units.</t>
        </r>
      </text>
    </comment>
    <comment ref="D5" authorId="0" shapeId="0" xr:uid="{00000000-0006-0000-1D00-000002000000}">
      <text>
        <r>
          <rPr>
            <b/>
            <sz val="8"/>
            <color indexed="81"/>
            <rFont val="Tahoma"/>
            <family val="2"/>
          </rPr>
          <t>Larrie LaVoy:</t>
        </r>
        <r>
          <rPr>
            <sz val="8"/>
            <color indexed="81"/>
            <rFont val="Tahoma"/>
            <family val="2"/>
          </rPr>
          <t xml:space="preserve">
Standard methodology to get to Jan 1 cohort (which includes nat. mort) is to take C+E times 1.232</t>
        </r>
      </text>
    </comment>
    <comment ref="E5" authorId="0" shapeId="0" xr:uid="{00000000-0006-0000-1D00-000003000000}">
      <text>
        <r>
          <rPr>
            <b/>
            <sz val="8"/>
            <color indexed="81"/>
            <rFont val="Tahoma"/>
            <family val="2"/>
          </rPr>
          <t>Larrie LaVoy:</t>
        </r>
        <r>
          <rPr>
            <sz val="8"/>
            <color indexed="81"/>
            <rFont val="Tahoma"/>
            <family val="2"/>
          </rPr>
          <t xml:space="preserve">
Predicted abundance needs to be in terms of cohort size of Jan age 3 fish (includes nat. mort).  Cookbook method is to take catch+esc.times 1.232 to get Jan age 3 cohort size</t>
        </r>
      </text>
    </comment>
    <comment ref="J9" authorId="0" shapeId="0" xr:uid="{00000000-0006-0000-1D00-000004000000}">
      <text>
        <r>
          <rPr>
            <b/>
            <sz val="8"/>
            <color indexed="81"/>
            <rFont val="Tahoma"/>
            <family val="2"/>
          </rPr>
          <t>Larrie LaVoy:</t>
        </r>
        <r>
          <rPr>
            <sz val="8"/>
            <color indexed="81"/>
            <rFont val="Tahoma"/>
            <family val="2"/>
          </rPr>
          <t xml:space="preserve">
includes naturals
</t>
        </r>
      </text>
    </comment>
    <comment ref="B10" authorId="0" shapeId="0" xr:uid="{00000000-0006-0000-1D00-000005000000}">
      <text>
        <r>
          <rPr>
            <b/>
            <sz val="8"/>
            <color indexed="81"/>
            <rFont val="Tahoma"/>
            <family val="2"/>
          </rPr>
          <t>Larrie LaVoy:</t>
        </r>
        <r>
          <rPr>
            <sz val="8"/>
            <color indexed="81"/>
            <rFont val="Tahoma"/>
            <family val="2"/>
          </rPr>
          <t xml:space="preserve">
For Attach C stuff
</t>
        </r>
      </text>
    </comment>
    <comment ref="E10" authorId="0" shapeId="0" xr:uid="{00000000-0006-0000-1D00-000006000000}">
      <text>
        <r>
          <rPr>
            <b/>
            <sz val="8"/>
            <color indexed="81"/>
            <rFont val="Tahoma"/>
            <family val="2"/>
          </rPr>
          <t>Larrie LaVoy:</t>
        </r>
        <r>
          <rPr>
            <sz val="8"/>
            <color indexed="81"/>
            <rFont val="Tahoma"/>
            <family val="2"/>
          </rPr>
          <t xml:space="preserve">
Use these splits in Attach C
</t>
        </r>
      </text>
    </comment>
    <comment ref="B11" authorId="0" shapeId="0" xr:uid="{00000000-0006-0000-1D00-000007000000}">
      <text>
        <r>
          <rPr>
            <b/>
            <sz val="8"/>
            <color indexed="81"/>
            <rFont val="Tahoma"/>
            <family val="2"/>
          </rPr>
          <t>Larrie LaVoy:</t>
        </r>
        <r>
          <rPr>
            <sz val="8"/>
            <color indexed="81"/>
            <rFont val="Tahoma"/>
            <family val="2"/>
          </rPr>
          <t xml:space="preserve">
For Attach C stuff
</t>
        </r>
      </text>
    </comment>
    <comment ref="E11" authorId="0" shapeId="0" xr:uid="{00000000-0006-0000-1D00-000008000000}">
      <text>
        <r>
          <rPr>
            <b/>
            <sz val="8"/>
            <color indexed="81"/>
            <rFont val="Tahoma"/>
            <family val="2"/>
          </rPr>
          <t>Larrie LaVoy:</t>
        </r>
        <r>
          <rPr>
            <sz val="8"/>
            <color indexed="81"/>
            <rFont val="Tahoma"/>
            <family val="2"/>
          </rPr>
          <t xml:space="preserve">
Use these splits in Attach C
</t>
        </r>
      </text>
    </comment>
    <comment ref="J12" authorId="0" shapeId="0" xr:uid="{00000000-0006-0000-1D00-000009000000}">
      <text>
        <r>
          <rPr>
            <b/>
            <sz val="8"/>
            <color indexed="81"/>
            <rFont val="Tahoma"/>
            <family val="2"/>
          </rPr>
          <t>Larrie LaVoy:</t>
        </r>
        <r>
          <rPr>
            <sz val="8"/>
            <color indexed="81"/>
            <rFont val="Tahoma"/>
            <family val="2"/>
          </rPr>
          <t xml:space="preserve">
includes naturals
</t>
        </r>
      </text>
    </comment>
    <comment ref="B13" authorId="0" shapeId="0" xr:uid="{00000000-0006-0000-1D00-00000A000000}">
      <text>
        <r>
          <rPr>
            <b/>
            <sz val="8"/>
            <color indexed="81"/>
            <rFont val="Tahoma"/>
            <family val="2"/>
          </rPr>
          <t>Larrie LaVoy:</t>
        </r>
        <r>
          <rPr>
            <sz val="8"/>
            <color indexed="81"/>
            <rFont val="Tahoma"/>
            <family val="2"/>
          </rPr>
          <t xml:space="preserve">
For Attach C stuff
</t>
        </r>
      </text>
    </comment>
    <comment ref="E13" authorId="0" shapeId="0" xr:uid="{00000000-0006-0000-1D00-00000B000000}">
      <text>
        <r>
          <rPr>
            <b/>
            <sz val="8"/>
            <color indexed="81"/>
            <rFont val="Tahoma"/>
            <family val="2"/>
          </rPr>
          <t>Larrie LaVoy:</t>
        </r>
        <r>
          <rPr>
            <sz val="8"/>
            <color indexed="81"/>
            <rFont val="Tahoma"/>
            <family val="2"/>
          </rPr>
          <t xml:space="preserve">
Use these splits in Attach C
</t>
        </r>
      </text>
    </comment>
    <comment ref="B14" authorId="0" shapeId="0" xr:uid="{00000000-0006-0000-1D00-00000C000000}">
      <text>
        <r>
          <rPr>
            <b/>
            <sz val="8"/>
            <color indexed="81"/>
            <rFont val="Tahoma"/>
            <family val="2"/>
          </rPr>
          <t>Larrie LaVoy:</t>
        </r>
        <r>
          <rPr>
            <sz val="8"/>
            <color indexed="81"/>
            <rFont val="Tahoma"/>
            <family val="2"/>
          </rPr>
          <t xml:space="preserve">
For Attach C stuff
</t>
        </r>
      </text>
    </comment>
    <comment ref="E14" authorId="0" shapeId="0" xr:uid="{00000000-0006-0000-1D00-00000D000000}">
      <text>
        <r>
          <rPr>
            <b/>
            <sz val="8"/>
            <color indexed="81"/>
            <rFont val="Tahoma"/>
            <family val="2"/>
          </rPr>
          <t>Larrie LaVoy:</t>
        </r>
        <r>
          <rPr>
            <sz val="8"/>
            <color indexed="81"/>
            <rFont val="Tahoma"/>
            <family val="2"/>
          </rPr>
          <t xml:space="preserve">
Use these splits in Attach C
</t>
        </r>
      </text>
    </comment>
    <comment ref="F17" authorId="1" shapeId="0" xr:uid="{00000000-0006-0000-1D00-00000E000000}">
      <text>
        <r>
          <rPr>
            <b/>
            <sz val="9"/>
            <color indexed="81"/>
            <rFont val="Tahoma"/>
            <family val="2"/>
          </rPr>
          <t>Jon Carey:</t>
        </r>
        <r>
          <rPr>
            <sz val="9"/>
            <color indexed="81"/>
            <rFont val="Tahoma"/>
            <family val="2"/>
          </rPr>
          <t xml:space="preserve">
Cell P86 of '2022' tab in [T3.xlsx] </t>
        </r>
      </text>
    </comment>
    <comment ref="L17" authorId="1" shapeId="0" xr:uid="{00000000-0006-0000-1D00-00000F000000}">
      <text>
        <r>
          <rPr>
            <b/>
            <sz val="9"/>
            <color indexed="81"/>
            <rFont val="Tahoma"/>
            <family val="2"/>
          </rPr>
          <t>Jon Carey:</t>
        </r>
        <r>
          <rPr>
            <sz val="9"/>
            <color indexed="81"/>
            <rFont val="Tahoma"/>
            <family val="2"/>
          </rPr>
          <t xml:space="preserve">
Coast forecst apportioned by smolt releases N/S of Blanco (see cells N109:110 in '2022 tab of T3.xlsx)</t>
        </r>
      </text>
    </comment>
    <comment ref="P20" authorId="1" shapeId="0" xr:uid="{00000000-0006-0000-1D00-000010000000}">
      <text>
        <r>
          <rPr>
            <b/>
            <sz val="9"/>
            <color indexed="81"/>
            <rFont val="Tahoma"/>
            <family val="2"/>
          </rPr>
          <t>Jon Carey:</t>
        </r>
        <r>
          <rPr>
            <sz val="9"/>
            <color indexed="81"/>
            <rFont val="Tahoma"/>
            <family val="2"/>
          </rPr>
          <t xml:space="preserve">
T3 '2022' N106</t>
        </r>
      </text>
    </comment>
    <comment ref="P21" authorId="1" shapeId="0" xr:uid="{00000000-0006-0000-1D00-000011000000}">
      <text>
        <r>
          <rPr>
            <b/>
            <sz val="9"/>
            <color indexed="81"/>
            <rFont val="Tahoma"/>
            <family val="2"/>
          </rPr>
          <t>Jon Carey:</t>
        </r>
        <r>
          <rPr>
            <sz val="9"/>
            <color indexed="81"/>
            <rFont val="Tahoma"/>
            <family val="2"/>
          </rPr>
          <t xml:space="preserve">
T3 '2022' N104</t>
        </r>
      </text>
    </comment>
    <comment ref="E25" authorId="2" shapeId="0" xr:uid="{00000000-0006-0000-1D00-000012000000}">
      <text>
        <r>
          <rPr>
            <b/>
            <sz val="10"/>
            <color indexed="81"/>
            <rFont val="Tahoma"/>
            <family val="2"/>
          </rPr>
          <t>larrie lavoy:</t>
        </r>
        <r>
          <rPr>
            <sz val="10"/>
            <color indexed="81"/>
            <rFont val="Tahoma"/>
            <family val="2"/>
          </rPr>
          <t xml:space="preserve">
WA plus OR wild but as per tradition are not an add-on to Columbia abundance so don’t add them in top row of  Pre I Table I-2</t>
        </r>
      </text>
    </comment>
    <comment ref="J25" authorId="2" shapeId="0" xr:uid="{00000000-0006-0000-1D00-000013000000}">
      <text>
        <r>
          <rPr>
            <b/>
            <sz val="10"/>
            <color indexed="81"/>
            <rFont val="Tahoma"/>
            <family val="2"/>
          </rPr>
          <t>larrie lavoy:</t>
        </r>
        <r>
          <rPr>
            <sz val="10"/>
            <color indexed="81"/>
            <rFont val="Tahoma"/>
            <family val="2"/>
          </rPr>
          <t xml:space="preserve">
Kathryns forcast for Sandy, Clack, other tribs via Craig.
</t>
        </r>
      </text>
    </comment>
    <comment ref="E26" authorId="0" shapeId="0" xr:uid="{00000000-0006-0000-1D00-000014000000}">
      <text>
        <r>
          <rPr>
            <b/>
            <sz val="9"/>
            <color indexed="81"/>
            <rFont val="Tahoma"/>
            <family val="2"/>
          </rPr>
          <t>Larrie LaVoy:</t>
        </r>
        <r>
          <rPr>
            <sz val="9"/>
            <color indexed="81"/>
            <rFont val="Tahoma"/>
            <family val="2"/>
          </rPr>
          <t xml:space="preserve">
These are combination of OR early wild and OR late wild but are all modeled as earlies. So the total OPI Col R "Late"  forecast includes the OR Lates but they are modeled as earlies. </t>
        </r>
      </text>
    </comment>
    <comment ref="E27" authorId="2" shapeId="0" xr:uid="{00000000-0006-0000-1D00-000015000000}">
      <text>
        <r>
          <rPr>
            <b/>
            <sz val="10"/>
            <color indexed="81"/>
            <rFont val="Tahoma"/>
            <family val="2"/>
          </rPr>
          <t>larrie lavoy:</t>
        </r>
        <r>
          <rPr>
            <sz val="10"/>
            <color indexed="81"/>
            <rFont val="Tahoma"/>
            <family val="2"/>
          </rPr>
          <t xml:space="preserve">
WDFW Science Division WA side wild coho forecast split by Col Staff recent year early-late average prop.</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larrie lavoy</author>
    <author>Andy Rankis</author>
    <author>justincase</author>
  </authors>
  <commentList>
    <comment ref="B9" authorId="0" shapeId="0" xr:uid="{00000000-0006-0000-1E00-000001000000}">
      <text>
        <r>
          <rPr>
            <b/>
            <sz val="10"/>
            <color indexed="81"/>
            <rFont val="Tahoma"/>
            <family val="2"/>
          </rPr>
          <t>larrie lavoy:</t>
        </r>
        <r>
          <rPr>
            <sz val="10"/>
            <color indexed="81"/>
            <rFont val="Tahoma"/>
            <family val="2"/>
          </rPr>
          <t xml:space="preserve">
includes early hatchery, early wilds, YB
</t>
        </r>
      </text>
    </comment>
    <comment ref="E9" authorId="0" shapeId="0" xr:uid="{00000000-0006-0000-1E00-000002000000}">
      <text>
        <r>
          <rPr>
            <b/>
            <sz val="10"/>
            <color indexed="81"/>
            <rFont val="Tahoma"/>
            <family val="2"/>
          </rPr>
          <t>larrie lavoy:</t>
        </r>
        <r>
          <rPr>
            <sz val="10"/>
            <color indexed="81"/>
            <rFont val="Tahoma"/>
            <family val="2"/>
          </rPr>
          <t xml:space="preserve">
Includes late hatchery and late wilds.</t>
        </r>
      </text>
    </comment>
    <comment ref="P9" authorId="1" shapeId="0" xr:uid="{00000000-0006-0000-1E00-000003000000}">
      <text>
        <r>
          <rPr>
            <b/>
            <sz val="9"/>
            <color indexed="81"/>
            <rFont val="Tahoma"/>
            <family val="2"/>
          </rPr>
          <t>Andy Rankis:</t>
        </r>
        <r>
          <rPr>
            <sz val="9"/>
            <color indexed="81"/>
            <rFont val="Tahoma"/>
            <family val="2"/>
          </rPr>
          <t xml:space="preserve">
For 2015 a column was added to TRuns.PRN to produce a terminal run that includes Landed plu Esc plus other fishery related mortality (dropout and dropoff). This was need to have consistent units for ER calculations.</t>
        </r>
      </text>
    </comment>
    <comment ref="I16" authorId="2" shapeId="0" xr:uid="{00000000-0006-0000-1E00-000004000000}">
      <text>
        <r>
          <rPr>
            <sz val="9"/>
            <color indexed="81"/>
            <rFont val="Tahoma"/>
            <family val="2"/>
          </rPr>
          <t xml:space="preserve">CL: this is not the ER for LCNs - go to right to get that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Pete Mc</author>
    <author>larrie lavoy</author>
  </authors>
  <commentList>
    <comment ref="F34" authorId="0" shapeId="0" xr:uid="{00000000-0006-0000-2000-000001000000}">
      <text>
        <r>
          <rPr>
            <b/>
            <sz val="9"/>
            <color indexed="81"/>
            <rFont val="Tahoma"/>
            <family val="2"/>
          </rPr>
          <t>Pete Mc:</t>
        </r>
        <r>
          <rPr>
            <sz val="9"/>
            <color indexed="81"/>
            <rFont val="Tahoma"/>
            <family val="2"/>
          </rPr>
          <t xml:space="preserve">
These are always zero.</t>
        </r>
      </text>
    </comment>
    <comment ref="C58" authorId="1" shapeId="0" xr:uid="{00000000-0006-0000-2000-000002000000}">
      <text>
        <r>
          <rPr>
            <b/>
            <sz val="10"/>
            <color indexed="81"/>
            <rFont val="Tahoma"/>
            <family val="2"/>
          </rPr>
          <t>larrie lavoy:</t>
        </r>
        <r>
          <rPr>
            <sz val="10"/>
            <color indexed="81"/>
            <rFont val="Tahoma"/>
            <family val="2"/>
          </rPr>
          <t xml:space="preserve">
Includes Youngs Bay and early wilds
</t>
        </r>
      </text>
    </comment>
    <comment ref="D58" authorId="1" shapeId="0" xr:uid="{00000000-0006-0000-2000-000003000000}">
      <text>
        <r>
          <rPr>
            <b/>
            <sz val="10"/>
            <color indexed="81"/>
            <rFont val="Tahoma"/>
            <family val="2"/>
          </rPr>
          <t>larrie lavoy:</t>
        </r>
        <r>
          <rPr>
            <sz val="10"/>
            <color indexed="81"/>
            <rFont val="Tahoma"/>
            <family val="2"/>
          </rPr>
          <t xml:space="preserve">
Includes Youngs Bay and early wilds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Larrie LaVoy</author>
  </authors>
  <commentList>
    <comment ref="F8" authorId="0" shapeId="0" xr:uid="{00000000-0006-0000-2100-000001000000}">
      <text>
        <r>
          <rPr>
            <b/>
            <sz val="8"/>
            <color indexed="81"/>
            <rFont val="Tahoma"/>
            <family val="2"/>
          </rPr>
          <t>Larrie LaVoy:</t>
        </r>
        <r>
          <rPr>
            <sz val="8"/>
            <color indexed="81"/>
            <rFont val="Tahoma"/>
            <family val="2"/>
          </rPr>
          <t xml:space="preserve">
These are starting pop size from FRAM Pop Stat report.  Larrie will get in first model run put into Input page.
</t>
        </r>
      </text>
    </comment>
    <comment ref="G8" authorId="0" shapeId="0" xr:uid="{00000000-0006-0000-2100-000002000000}">
      <text>
        <r>
          <rPr>
            <b/>
            <sz val="8"/>
            <color indexed="81"/>
            <rFont val="Tahoma"/>
            <family val="2"/>
          </rPr>
          <t>Larrie LaVoy:</t>
        </r>
        <r>
          <rPr>
            <sz val="8"/>
            <color indexed="81"/>
            <rFont val="Tahoma"/>
            <family val="2"/>
          </rPr>
          <t xml:space="preserve">
These are starting pop size from FRAM Pop Stat report.  Larrie will get in first model run put into Input page.</t>
        </r>
      </text>
    </comment>
    <comment ref="F9" authorId="0" shapeId="0" xr:uid="{00000000-0006-0000-2100-000003000000}">
      <text>
        <r>
          <rPr>
            <b/>
            <sz val="8"/>
            <color indexed="81"/>
            <rFont val="Tahoma"/>
            <family val="2"/>
          </rPr>
          <t>Larrie LaVoy:</t>
        </r>
        <r>
          <rPr>
            <sz val="8"/>
            <color indexed="81"/>
            <rFont val="Tahoma"/>
            <family val="2"/>
          </rPr>
          <t xml:space="preserve">
These are starting pop size from FRAM Pop Stat report.  Larrie will get in first model run put into Input page.
</t>
        </r>
      </text>
    </comment>
    <comment ref="G9" authorId="0" shapeId="0" xr:uid="{00000000-0006-0000-2100-000004000000}">
      <text>
        <r>
          <rPr>
            <b/>
            <sz val="8"/>
            <color indexed="81"/>
            <rFont val="Tahoma"/>
            <family val="2"/>
          </rPr>
          <t>Larrie LaVoy:</t>
        </r>
        <r>
          <rPr>
            <sz val="8"/>
            <color indexed="81"/>
            <rFont val="Tahoma"/>
            <family val="2"/>
          </rPr>
          <t xml:space="preserve">
These are starting pop size from FRAM Pop Stat report.  Larrie will get in first model run put into Input page.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Larrie LaVoy</author>
    <author>Lenovo User</author>
  </authors>
  <commentList>
    <comment ref="D13" authorId="0" shapeId="0" xr:uid="{00000000-0006-0000-2200-000001000000}">
      <text>
        <r>
          <rPr>
            <b/>
            <sz val="8"/>
            <color indexed="81"/>
            <rFont val="Tahoma"/>
            <family val="2"/>
          </rPr>
          <t>Larrie LaVoy:</t>
        </r>
        <r>
          <rPr>
            <sz val="8"/>
            <color indexed="81"/>
            <rFont val="Tahoma"/>
            <family val="2"/>
          </rPr>
          <t xml:space="preserve">
These are from FRAM pop stat report in time 1</t>
        </r>
      </text>
    </comment>
    <comment ref="E13" authorId="0" shapeId="0" xr:uid="{00000000-0006-0000-2200-000002000000}">
      <text>
        <r>
          <rPr>
            <b/>
            <sz val="8"/>
            <color indexed="81"/>
            <rFont val="Tahoma"/>
            <family val="2"/>
          </rPr>
          <t>Larrie LaVoy:</t>
        </r>
        <r>
          <rPr>
            <sz val="8"/>
            <color indexed="81"/>
            <rFont val="Tahoma"/>
            <family val="2"/>
          </rPr>
          <t xml:space="preserve">
These are from FRAM pop stat report in time 1</t>
        </r>
      </text>
    </comment>
    <comment ref="N13" authorId="1" shapeId="0" xr:uid="{00000000-0006-0000-2200-000003000000}">
      <text>
        <r>
          <rPr>
            <b/>
            <sz val="8"/>
            <color indexed="81"/>
            <rFont val="Tahoma"/>
            <family val="2"/>
          </rPr>
          <t>Lenovo User:</t>
        </r>
        <r>
          <rPr>
            <sz val="8"/>
            <color indexed="81"/>
            <rFont val="Tahoma"/>
            <family val="2"/>
          </rPr>
          <t xml:space="preserve">
get these from cell p10: Q12 from OPI scalar spreadsheet
</t>
        </r>
      </text>
    </comment>
    <comment ref="D14" authorId="0" shapeId="0" xr:uid="{00000000-0006-0000-2200-000004000000}">
      <text>
        <r>
          <rPr>
            <b/>
            <sz val="8"/>
            <color indexed="81"/>
            <rFont val="Tahoma"/>
            <family val="2"/>
          </rPr>
          <t>Larrie LaVoy:</t>
        </r>
        <r>
          <rPr>
            <sz val="8"/>
            <color indexed="81"/>
            <rFont val="Tahoma"/>
            <family val="2"/>
          </rPr>
          <t xml:space="preserve">
These are from FRAM pop stat report in time 1</t>
        </r>
      </text>
    </comment>
    <comment ref="E14" authorId="0" shapeId="0" xr:uid="{00000000-0006-0000-2200-000005000000}">
      <text>
        <r>
          <rPr>
            <b/>
            <sz val="8"/>
            <color indexed="81"/>
            <rFont val="Tahoma"/>
            <family val="2"/>
          </rPr>
          <t>Larrie LaVoy:</t>
        </r>
        <r>
          <rPr>
            <sz val="8"/>
            <color indexed="81"/>
            <rFont val="Tahoma"/>
            <family val="2"/>
          </rPr>
          <t xml:space="preserve">
These are from FRAM pop stat report in time 1</t>
        </r>
      </text>
    </comment>
    <comment ref="D23" authorId="1" shapeId="0" xr:uid="{00000000-0006-0000-2200-000006000000}">
      <text>
        <r>
          <rPr>
            <b/>
            <sz val="8"/>
            <color indexed="81"/>
            <rFont val="Tahoma"/>
            <family val="2"/>
          </rPr>
          <t>Lenovo User:</t>
        </r>
        <r>
          <rPr>
            <sz val="8"/>
            <color indexed="81"/>
            <rFont val="Tahoma"/>
            <family val="2"/>
          </rPr>
          <t xml:space="preserve">
get these from cell T10:U11 from OPIscalarinput spreadsheet
</t>
        </r>
      </text>
    </comment>
    <comment ref="K29" authorId="0" shapeId="0" xr:uid="{00000000-0006-0000-2200-000007000000}">
      <text>
        <r>
          <rPr>
            <b/>
            <sz val="8"/>
            <color indexed="81"/>
            <rFont val="Tahoma"/>
            <family val="2"/>
          </rPr>
          <t>Larrie LaVoy:</t>
        </r>
        <r>
          <rPr>
            <sz val="8"/>
            <color indexed="81"/>
            <rFont val="Tahoma"/>
            <family val="2"/>
          </rPr>
          <t xml:space="preserve">
stock splits to start Attach C accounting</t>
        </r>
      </text>
    </comment>
  </commentList>
</comments>
</file>

<file path=xl/sharedStrings.xml><?xml version="1.0" encoding="utf-8"?>
<sst xmlns="http://schemas.openxmlformats.org/spreadsheetml/2006/main" count="96222" uniqueCount="7548">
  <si>
    <t>Sheet Name</t>
  </si>
  <si>
    <t>Sheets that are Dependent 
on Sheet Name Content</t>
  </si>
  <si>
    <t>Source_JDF</t>
  </si>
  <si>
    <t>REFERENCE</t>
  </si>
  <si>
    <t>Source_NS</t>
  </si>
  <si>
    <t>Source_SPS</t>
  </si>
  <si>
    <t>Source_HdC</t>
  </si>
  <si>
    <t>Source_StSn</t>
  </si>
  <si>
    <t>Source_Sk</t>
  </si>
  <si>
    <t>Contents</t>
  </si>
  <si>
    <t>Sheet 2
Sheet 4
Sheet 7
Sheet Tami
Sheet LandedCNRTMbyTP
Sheet FisheryConvTemplate
Sheet NT-Tsummary
Regional Sheets (date/time only)</t>
  </si>
  <si>
    <r>
      <t xml:space="preserve">Sheet 2 = M2, M3, T1, T2, W2, W3, AM3, AM4, AN2, AN3, Ax2, AX3, BP2, BP3, Sheet 4 = M3, M4, Sheet 7 = I2, I3, Sheet Tami = K2, K3, </t>
    </r>
    <r>
      <rPr>
        <b/>
        <sz val="10"/>
        <rFont val="Arial"/>
        <family val="2"/>
      </rPr>
      <t>Sheet LandedCNRTMbyTP</t>
    </r>
    <r>
      <rPr>
        <sz val="10"/>
        <rFont val="Arial"/>
        <family val="2"/>
      </rPr>
      <t xml:space="preserve"> = AJ7, AJ8, AJ219, AJ220, AJ428, AJ429, AJ637, AJ638, AJ846m AJ847, </t>
    </r>
    <r>
      <rPr>
        <b/>
        <sz val="10"/>
        <rFont val="Arial"/>
        <family val="2"/>
      </rPr>
      <t>Sheet FisheryConvTemplate</t>
    </r>
    <r>
      <rPr>
        <sz val="10"/>
        <rFont val="Arial"/>
        <family val="2"/>
      </rPr>
      <t xml:space="preserve"> = AH9, AH10, Sheet NT-Tsummary = AO2, AO3 (Regional Sheets for model date/time)</t>
    </r>
  </si>
  <si>
    <t>Sheet 4
Sheet 7
Sheet WACoastTerminal
Sheet NT-Tsummary
Sheet AttachC
Regional Sheets</t>
  </si>
  <si>
    <r>
      <t xml:space="preserve">Sheet 4 = majority of formulas, Sheet 7 = starting C57, C58, E31, E33, F13, F15, etc. Sheet WACoastTerminal = H45, H46, H54, H55, Sheet NT-Tsummary = majority of formulas, </t>
    </r>
    <r>
      <rPr>
        <b/>
        <sz val="10"/>
        <rFont val="Arial"/>
        <family val="2"/>
      </rPr>
      <t>Sheet AttachC</t>
    </r>
    <r>
      <rPr>
        <sz val="10"/>
        <rFont val="Arial"/>
        <family val="2"/>
      </rPr>
      <t xml:space="preserve"> = B4, B5, C4, C5, (Regional Sheets)</t>
    </r>
  </si>
  <si>
    <t>Sheet 7
Sheet NT-Tsummary</t>
  </si>
  <si>
    <t>Sheet 7 = D29, D30, D31, D33, Sheet NT-Tsummary = AE10, AE11, AF10, AF11, AI10, AI11</t>
  </si>
  <si>
    <t>Sheet 2
Regional Sheet - Sk, SPS</t>
  </si>
  <si>
    <t>Sheet 2 = S10, W10, AO9, Sheet Sk = Name TAASK cell G7, Sheet SPS = C21, C29</t>
  </si>
  <si>
    <t>Sk</t>
  </si>
  <si>
    <t>Sheet 2
Sheet 7</t>
  </si>
  <si>
    <t xml:space="preserve">Sheet 2 (multiple ref in formulas) = F2, H2, F3, H3, E9, F9, G9, E39, H39, Sheet 7 = D13, Sheet Documentation = D26, Sheet Sk (in own formula) = AH12 </t>
  </si>
  <si>
    <t>StSn</t>
  </si>
  <si>
    <t>None</t>
  </si>
  <si>
    <t>HdC</t>
  </si>
  <si>
    <t>Sheet HdC (in own formulas) = AS20, AS22, AS24</t>
  </si>
  <si>
    <t>SPS</t>
  </si>
  <si>
    <t>Sheet 1
Sheet 2
Sheet 7
Sheet NT-Tsummary
Sheet ColR&amp;OCN&amp;RogKlam
Regional Sheets (copy/paste?)</t>
  </si>
  <si>
    <t>Sheet 1 = G149, G150, G151, G152, L154, L155, L156, M161, Sheet 2 = AQ61, Sheet 7 = G159, G160, G161, G162, K164, K165, K166, L171, Sheet NT-Tsummary = K120, ColR&amp;OCN&amp;RogKlam = R146, E154, E155, E156, E157 (Sheet Sk, StSn, HdC, NS, JDF in lower copy/paste section), Sheet SPS (in own formulas) = AN24, AN25, AN27, AN28, AN30, AQ30, AN31, AQ31, AN33, AQ33, AN34, AQ34, AN36, AQ36, AN37, AQ37, AN39, AQ39, AN40, AQ40, AN41, AQ41, and lower copy/paste section starting G149</t>
  </si>
  <si>
    <t>NS</t>
  </si>
  <si>
    <t>Sheet NS (in own formulas) = BG12, BH12, BG19, BH19, BG21, BH21, BG22, BH22, BG23, BH23, BG26, BH26, BG29, BH29</t>
  </si>
  <si>
    <t>JDF</t>
  </si>
  <si>
    <t>Sheet 2</t>
  </si>
  <si>
    <t>Sheet 2 (multiple ref in formulas) = T15, T16, T29, T32, T33, T34, T35, T39, Sheet JDF (in own formula) = B7</t>
  </si>
  <si>
    <t>PFMCTable7</t>
  </si>
  <si>
    <t>WACoastTerminal</t>
  </si>
  <si>
    <t>Sheet 2
Sheet NT-Tsummary</t>
  </si>
  <si>
    <t>Sheet 2 (IF with Flag -99 vs -88) = Z38, Z39, AA38, AA39, AD38, AD39, AE38, AE39, AF38, AF39, AG38, AG39, AJ38, AJ39, AK37, AK38, AK39, AN37, AN38, AN39, Sheet NT-Tsummary = AF23, AF24, AI23, AI24</t>
  </si>
  <si>
    <t>Thompson</t>
  </si>
  <si>
    <t>Input_Harvestnew</t>
  </si>
  <si>
    <t>Sheet 1
Sheet 2
Sheet 4
Sheet 7
Sheet PFMCTable7
Sheet WACoastTerminal
Sheet Thompson
Sheet NT-Tsummary
Sheet PS_HatcheryEsc.
Sheet ColR&amp;OCN&amp;RogKlam
Sheet ColRPercent
Sheet ColRHarvestInput
Sheet Tami
Regional Sheets 
   (Model name/descp
    fishery descp+inputs)</t>
  </si>
  <si>
    <r>
      <t xml:space="preserve">Sheets 1/2/4/7/PFMCTable7/WACoastTerminal/Thompson/NT-Tsummary/PS_HatcheryEsc/ColR&amp;OCN&amp;RogKlam/ColRPercent/ColRHarvestInput/Regional - call Model Name and Model Description, Regional sheets - call fishery descriptions and input values, </t>
    </r>
    <r>
      <rPr>
        <b/>
        <sz val="10"/>
        <rFont val="Arial"/>
        <family val="2"/>
      </rPr>
      <t>Sheet Tami</t>
    </r>
    <r>
      <rPr>
        <sz val="10"/>
        <rFont val="Arial"/>
        <family val="2"/>
      </rPr>
      <t xml:space="preserve"> = inputs for FRAM </t>
    </r>
  </si>
  <si>
    <t>Input_Stockdata</t>
  </si>
  <si>
    <r>
      <rPr>
        <b/>
        <sz val="10"/>
        <rFont val="Arial"/>
        <family val="2"/>
      </rPr>
      <t>Sheet 2 = AQ10, AU10,</t>
    </r>
    <r>
      <rPr>
        <sz val="10"/>
        <rFont val="Arial"/>
        <family val="2"/>
      </rPr>
      <t xml:space="preserve"> Regional sheets = MB already checked, </t>
    </r>
    <r>
      <rPr>
        <sz val="10"/>
        <color rgb="FFFF0000"/>
        <rFont val="Arial"/>
        <family val="2"/>
      </rPr>
      <t>Note: This was hidden and thus no results using the "Find" in workbook method for each sheet.</t>
    </r>
  </si>
  <si>
    <t>Tami</t>
  </si>
  <si>
    <t>FishSumAllPRN</t>
  </si>
  <si>
    <t>Sheet 1
Sheet LandedCNRTMbyTP
Regional Sheets</t>
  </si>
  <si>
    <r>
      <rPr>
        <b/>
        <sz val="10"/>
        <rFont val="Arial"/>
        <family val="2"/>
      </rPr>
      <t>Sheet 1</t>
    </r>
    <r>
      <rPr>
        <sz val="10"/>
        <rFont val="Arial"/>
        <family val="2"/>
      </rPr>
      <t xml:space="preserve">, Regional Sheets, </t>
    </r>
    <r>
      <rPr>
        <b/>
        <sz val="10"/>
        <rFont val="Arial"/>
        <family val="2"/>
      </rPr>
      <t>LandedCNRTMbyTP</t>
    </r>
  </si>
  <si>
    <t>StockSumPRN</t>
  </si>
  <si>
    <t>Sheet 2
Sheet WACoastTerminal
Sheet Thompson
Sheet NT-Tsummary
Regional Sheets</t>
  </si>
  <si>
    <t>Sheet 2, Regional Sheets, WACoastTerminal, Thompson, NT-Tsummary</t>
  </si>
  <si>
    <t>Table2PRN</t>
  </si>
  <si>
    <t>Sheet 2
Sheet WACoastTerminal
Sheet fram_unm_mrkprn
Sheet ColR&amp;OCN&amp;RogKlam</t>
  </si>
  <si>
    <r>
      <rPr>
        <b/>
        <sz val="10"/>
        <rFont val="Arial"/>
        <family val="2"/>
      </rPr>
      <t xml:space="preserve">Sheet 2 </t>
    </r>
    <r>
      <rPr>
        <sz val="10"/>
        <rFont val="Arial"/>
        <family val="2"/>
      </rPr>
      <t xml:space="preserve">= B22, C22, etc. B23, C23, etc. AQ23, AR23, etc. B24, C24, through AW23, </t>
    </r>
    <r>
      <rPr>
        <b/>
        <sz val="10"/>
        <rFont val="Arial"/>
        <family val="2"/>
      </rPr>
      <t>Sheet WACoastTerminal, a few to fix</t>
    </r>
    <r>
      <rPr>
        <sz val="10"/>
        <rFont val="Arial"/>
        <family val="2"/>
      </rPr>
      <t xml:space="preserve">, Sheet fram_unm_mrkprn, </t>
    </r>
    <r>
      <rPr>
        <b/>
        <sz val="10"/>
        <rFont val="Arial"/>
        <family val="2"/>
      </rPr>
      <t>Sheet ColR&amp;OCN&amp;RogKlam</t>
    </r>
    <r>
      <rPr>
        <sz val="10"/>
        <rFont val="Arial"/>
        <family val="2"/>
      </rPr>
      <t xml:space="preserve">, </t>
    </r>
  </si>
  <si>
    <t>TRunsPRN</t>
  </si>
  <si>
    <t>Sheet 2
Sheet 4
Sheet 7
Sheet WACoastTerminal
Sheet Thompson
Sheet Input_Harvestnew
Sheet PS_HatcheryEsc
Sheet ColR&amp;OCN&amp;RogKlam
Regional Sheets</t>
  </si>
  <si>
    <r>
      <rPr>
        <b/>
        <sz val="10"/>
        <rFont val="Arial"/>
        <family val="2"/>
      </rPr>
      <t>Sheet 2, 4, 7</t>
    </r>
    <r>
      <rPr>
        <sz val="10"/>
        <rFont val="Arial"/>
        <family val="2"/>
      </rPr>
      <t xml:space="preserve">, Regional Sheets, </t>
    </r>
    <r>
      <rPr>
        <b/>
        <sz val="10"/>
        <rFont val="Arial"/>
        <family val="2"/>
      </rPr>
      <t>WACoastTerminal</t>
    </r>
    <r>
      <rPr>
        <sz val="10"/>
        <rFont val="Arial"/>
        <family val="2"/>
      </rPr>
      <t xml:space="preserve">, Sheet Thompson = C10, Sheet Input_Harvestnew = K24, J70, J176, K176, K223, C279, C281, C282, C283, C284, C285, C286, C292, </t>
    </r>
    <r>
      <rPr>
        <b/>
        <sz val="10"/>
        <rFont val="Arial"/>
        <family val="2"/>
      </rPr>
      <t>Sheet PS_HatcheryEsc.</t>
    </r>
    <r>
      <rPr>
        <sz val="10"/>
        <rFont val="Arial"/>
        <family val="2"/>
      </rPr>
      <t xml:space="preserve"> = D10, D11, D12, D13, D14, D15, D16, D17, D18, D19, D20, D21, D22, </t>
    </r>
    <r>
      <rPr>
        <b/>
        <sz val="10"/>
        <rFont val="Arial"/>
        <family val="2"/>
      </rPr>
      <t>Sheet ColR&amp;OCN&amp;RogKlam = B11-F11, W42,</t>
    </r>
    <r>
      <rPr>
        <sz val="10"/>
        <rFont val="Arial"/>
        <family val="2"/>
      </rPr>
      <t xml:space="preserve"> etc.</t>
    </r>
  </si>
  <si>
    <t>LandedCNRTMbyTP</t>
  </si>
  <si>
    <t>FisheryConvTemplate</t>
  </si>
  <si>
    <t>NT-Tsummary</t>
  </si>
  <si>
    <t>PS_HatcheryEsc.</t>
  </si>
  <si>
    <t>Documentation</t>
  </si>
  <si>
    <t>fram_unm_mrkprn</t>
  </si>
  <si>
    <t>Sheet AttachC</t>
  </si>
  <si>
    <t>Sheet AttachC - columns F and G, starting F12, G12, etc.</t>
  </si>
  <si>
    <t>FramScalarsOPIstyle</t>
  </si>
  <si>
    <t>Sheet AttachCStkInput</t>
  </si>
  <si>
    <t>Sheet AttachCStkInput - starting D8, E8, etc.</t>
  </si>
  <si>
    <t>ColR&amp;OCN&amp;RogKlam</t>
  </si>
  <si>
    <t>Sheet 7
Sheet PFMCTable7
Sheet fram_unm_mrkprn
Sheet ColR&amp;OCN&amp;RogKlam
Sheet ColRPercent
Sheet ColRHarvestInput
Sheet AttachC</t>
  </si>
  <si>
    <r>
      <t xml:space="preserve">Sheet 7 = C46, C47, </t>
    </r>
    <r>
      <rPr>
        <b/>
        <sz val="10"/>
        <rFont val="Arial"/>
        <family val="2"/>
      </rPr>
      <t>Sheet PFMCTable7 = B8, D8, F8 to correct</t>
    </r>
    <r>
      <rPr>
        <sz val="10"/>
        <rFont val="Arial"/>
        <family val="2"/>
      </rPr>
      <t xml:space="preserve"> , Sheet fram_unm_mrkprn = D3, D4, D5, D6, </t>
    </r>
    <r>
      <rPr>
        <b/>
        <sz val="10"/>
        <rFont val="Arial"/>
        <family val="2"/>
      </rPr>
      <t>Sheet ColR&amp;OCN&amp;RogKlam</t>
    </r>
    <r>
      <rPr>
        <sz val="10"/>
        <rFont val="Arial"/>
        <family val="2"/>
      </rPr>
      <t xml:space="preserve"> (in own formulas) = M43, N43, O43, M44, N44, O44, M45, N45, O45, Sheet ColRPercent = B11, etc., Sheet ColRHarvestInput = D10, E10, G10, H10 etc., Sheet AttachC = F8, G8, F9, G9, etc.   </t>
    </r>
  </si>
  <si>
    <t>ColRPercent</t>
  </si>
  <si>
    <t>ColRHarvestInput</t>
  </si>
  <si>
    <t>Sheet ColR&amp;OCN&amp;RogKlam
Sheet ColRHarvestInput</t>
  </si>
  <si>
    <t>Sheet ColR&amp;OCN&amp;RogKlam = C43, E43, F43, M43, N43, O43, M44, N44, O44, M45, N45, O45, Sheet ColRHarvestInput = C59-61 section</t>
  </si>
  <si>
    <t>AttachC</t>
  </si>
  <si>
    <t>AttachCStkInput</t>
  </si>
  <si>
    <t>Sheet AttachC = I8, J8, L8, M8, I9, J9, L9, M9</t>
  </si>
  <si>
    <t>SportMatrix</t>
  </si>
  <si>
    <t>RunLog</t>
  </si>
  <si>
    <t>Preseason2017_Tracking</t>
  </si>
  <si>
    <t>Preseason2016_Tracking</t>
  </si>
  <si>
    <t>RunLog2017</t>
  </si>
  <si>
    <t>Preseason2018_Tracking</t>
  </si>
  <si>
    <t>Stock_Reference</t>
  </si>
  <si>
    <t>Fishery_Reference</t>
  </si>
  <si>
    <t>Table of Coho TAMM Spreadsheet Contents</t>
  </si>
  <si>
    <t>Table 1: Description of fishery regulations &amp; summary of coho catch quotas/targets (**Comments/Descriptions should be updated each year)</t>
  </si>
  <si>
    <t>Table 2A,2B,2C,2D,2E: Coho fishery impact summary highlights (**Management Objectives may be updated each year)</t>
  </si>
  <si>
    <t>Table 4: Summary of coho exploitation rates by fishery aggregate</t>
  </si>
  <si>
    <t>Table 7: Coho run sizes for Pacific Fishery Management Council (PFMC) Salmon Technical Team (STT) reference</t>
  </si>
  <si>
    <t>Skagit region impact calculations/summaries</t>
  </si>
  <si>
    <t>Stillaguamish-Snohomish region impact calculations/summaries</t>
  </si>
  <si>
    <t>Hood Canal region impact calculations/summaries</t>
  </si>
  <si>
    <t>South &amp; Mid Puget Sound impact calculations/summaries</t>
  </si>
  <si>
    <t>Nooksack-Samish region impact calculations/summaries</t>
  </si>
  <si>
    <t>Juan de Fuca region impact calculations/summaries</t>
  </si>
  <si>
    <t>Pacific Fishery Management Council (PFMC) Table 7 (Supplemental STT Reports/Preseason Report II and III); tracking LCN, OCN, RK</t>
  </si>
  <si>
    <t>Tables related to WA coastal terminal fisheries/areas, including generation of FRAM fishery inputs</t>
  </si>
  <si>
    <t>Table T: Thompson and Upper Fraser coho fishery impact summary</t>
  </si>
  <si>
    <t>Location where Fishery inputs are entered for TAMM terminal and extreme terminal net &amp; sport fisheries</t>
  </si>
  <si>
    <t>TAMM user Inputs transferred from TAMM to FRAM</t>
  </si>
  <si>
    <t>FRAM outputs transferred from FRAM to TAMM: Fishery Summary</t>
  </si>
  <si>
    <t>FRAM outputs transferred from FRAM to TAMM: Stock Catch Summary (uses PSCTable2.drv)</t>
  </si>
  <si>
    <t>FRAM outputs transferred from FRAM to TAMM: Stock Summary</t>
  </si>
  <si>
    <t>FRAM outputs transferred from FRAM to TAMM: Terminal Run Report (uses PSCTRuns.drv)</t>
  </si>
  <si>
    <t>Pacific Fishery Management Council (PFMC), Salmon Technical Team use for reporting and table values (Annual Review of Fisheries, Preseason Reports)</t>
  </si>
  <si>
    <t>Original template based on older version of FRAM, for PFMC STT reporting and table values (see LandedCNRTMbyTP in use now)</t>
  </si>
  <si>
    <t xml:space="preserve">Treaty and non-treaty allocation summary by Puget Sound management unit aggregates </t>
  </si>
  <si>
    <t>Table H.  Hatchery escapement to Puget Sound broodstock collection facilities (**Should be updated each year)</t>
  </si>
  <si>
    <t>Modifications and/or revisions made to the TAMM structure or file overall (See RunLog for specific model input changes)</t>
  </si>
  <si>
    <t>Intermediate calculation page for Columbia River FRAM outputs, used by PFMC STT</t>
  </si>
  <si>
    <t>Source: OPITT, Jon Carey (02/22/21 for 2021 preseason planning)</t>
  </si>
  <si>
    <t>Source: OPITT, related to Columbia River, used by PFMC STT</t>
  </si>
  <si>
    <t>Regulation summary for Puget Sound marine sport by fishery and model time periods (Source: WDFW; **Should be updated each year)</t>
  </si>
  <si>
    <t>Notation of model input changes between model runs (See Documentation for file/format revisions)</t>
  </si>
  <si>
    <t>Preseason2021_Tracking</t>
  </si>
  <si>
    <t>Tracking of model runs as 2021 preseason planning progresses, with relevant file and model run descriptions</t>
  </si>
  <si>
    <t>For Reference. Source: 2018PFMC_NOF_CohoFRAMdatabase_Draft.mdb; Table: Stock (Species=COHO)</t>
  </si>
  <si>
    <t>For Reference. Source: 2018PFMC_NOF_CohoFRAMdatabase_Draft.mdb; Table: Fishery (Species=COHO)</t>
  </si>
  <si>
    <t>TAAETRSList18_Reference</t>
  </si>
  <si>
    <t>For reference. Source: CohoPugetSound2019TAMMInputTemplate_MB012819.xlsx   (MB)</t>
  </si>
  <si>
    <t>TABLE 1:  DESCRIPTION OF FISHERY REGULATIONS AND SUMMARY OF COHO CATCH TARGETS</t>
  </si>
  <si>
    <t>FRAM Run Number:</t>
  </si>
  <si>
    <t>Run Description:</t>
  </si>
  <si>
    <t>Impacts expressed as total fishery-related mortality, including landed catch, non-retention mortality, and other fishery-related mortality; except where noted.</t>
  </si>
  <si>
    <t>=</t>
  </si>
  <si>
    <t>Fishery</t>
  </si>
  <si>
    <t>Catch + Mortality</t>
  </si>
  <si>
    <t xml:space="preserve">   Comments</t>
  </si>
  <si>
    <t>-</t>
  </si>
  <si>
    <t>CANADIAN (B.C.) FISHERIES:</t>
  </si>
  <si>
    <t>WCVI Troll</t>
  </si>
  <si>
    <t>Area 20 Net</t>
  </si>
  <si>
    <t>Georgia St. Sport</t>
  </si>
  <si>
    <t>Georgia  St. Troll</t>
  </si>
  <si>
    <t>SOUTH OF CAPE FALCON:</t>
  </si>
  <si>
    <t>NORTH OF CAPE FALCON OCEAN:</t>
  </si>
  <si>
    <t>Treaty Ocean Troll</t>
  </si>
  <si>
    <t>NT Ocean Troll</t>
  </si>
  <si>
    <t>NT Ocean Sport</t>
  </si>
  <si>
    <t>NT North-of-Falc. total:</t>
  </si>
  <si>
    <t>4B Add-on</t>
  </si>
  <si>
    <t>4B Add-on fishery of 0</t>
  </si>
  <si>
    <t>Canadian License catch</t>
  </si>
  <si>
    <t>(For Areas 4 and 4B) Landed catch only, static value</t>
  </si>
  <si>
    <t>Buoy 10</t>
  </si>
  <si>
    <t>PUGET SOUND SPORT &amp; TROLL:</t>
  </si>
  <si>
    <t>Treaty Strait Troll</t>
  </si>
  <si>
    <t>Puget Sound Sport:</t>
  </si>
  <si>
    <t>Area 5</t>
  </si>
  <si>
    <t xml:space="preserve">5/1-6/30 clsd; 7/1-8/15, bag 2, ch MSF &amp; co MSF, cm NR, ch 22'' min size;  8/16-9/30, bag 2, co MSF, cm &amp; ch NR; 10/1-2/29 clsd; 3/1-4/30 bag 2, ch MSF, co NR, ch NR 22'' min size </t>
  </si>
  <si>
    <t>Area 6</t>
  </si>
  <si>
    <t>5/1-6/30 clsd; 7/1-8/15 bag 2, co MSF, ch MSF expt ch NR East of Ediz, cm  NR, ch 22'' min size, see LOAF for additional spatial closures within A6; 8/16-9/30  bag 2, co MSF ch NR, 10/1-5/14 clsd; Area 6D recreational, 5/1-9/30 clsd; 10/1-10/31 bag 2, hat co only; 11/1-5/14 clsd</t>
  </si>
  <si>
    <t>Area 7</t>
  </si>
  <si>
    <t>5/1-6/30 clsd;   7/1-7/31, bag 2, ch MSF, co , ch 22'' min size, B'Bay &amp; Samish Bay clsd; Rosario closure in effect; 8/1-8/15 bag 2, ch NR; 8/16-8/31, bag 2, ch MSF; 9/1-9/30, bag 2, ch NR; see LOAF for spatial closures within area 7 during this time period; Bellingham Bay 8/16-9/30, bag 4, 2 ch, co, ch 22'' min size; 10/1-5/14 clsd; 5/1/21-5/14/22 clsd</t>
  </si>
  <si>
    <t>Area 8-1</t>
  </si>
  <si>
    <t>5/1-7/31 clsd; 8/1-9/19 bag 2, co MSF, ch NR, cm NR; 9/20-5/14 clsd</t>
  </si>
  <si>
    <t>Area 8-2</t>
  </si>
  <si>
    <t>5/1-8/13 clsd; 8/14-9/19 bag 2, ch NR, cm NR, co MSF; 9/20-5/14 clsd; 9/11-9/26 Saturday &amp; Sunday only, bag 2, ch 22'' min size, 2 pole option, clsd east of Mission Pt./Hermosa Pt. line, open only in Tulalip Special Area boundaries</t>
  </si>
  <si>
    <t>Area 9</t>
  </si>
  <si>
    <t>Edmonds PR recreational - Yr-round: bag 2, 1 ch, cm NR, ch 22'' min size; 5/1-7/15 closed; 7/16-8/15 bag 2, ch MSF, co MSF, cm NR; 8/16-9/30 bag 2, co MSF, ch NR, cm NR; 10/1-5/14 clsd</t>
  </si>
  <si>
    <t>Area 10</t>
  </si>
  <si>
    <t>Elliot Bay - Clsd 7/1-8/31, except 8/6-8/9 (12:00pm) bag 2, cm NR; additional salmon fishing ISU dependent; Shilshole Bay - clsd to salmon 7/1-8/15; Sinc SAF - 7/16-9/30, bag 3, 2 pole option, ch &amp; co MSF, cm NR from 8/1-9/15, ch 22'' min size; Piers (except Sinclair Inlet Piers)  Yr-round: bag 2, 1 ch, cm NR, ch 22'' min size; 5/1-6/15 clsd; 6/16-7/15 bag 2,  ch NR, cm NR; Commencement Bay closed to salmon through 7/31; 9/1-10/31 bag 2, ch NR, cm NR;  11/1-12/31 clsd; 1/1-3/31 bag 2, ch MSF, cm NR; 4/1-5/14 clsd</t>
  </si>
  <si>
    <t>Area 11</t>
  </si>
  <si>
    <t>5/1-6/15 clsd; 6/16-9/30 bag 2, 2 pole option, ch MSF, co MSF, ch 22'' min size; 10/1-10/31  bag 2, 2 pole option, ch NR, co MSF, ch 20'' min size; 11/1-12/31 bag 2, 2 pole option, ch MSF, co MSF, ch 22'' min size; 1/1-5/14 clsd; Minter Creek mouth - clsd 4/16-8/31; Lower Budd Inlet - clsd 7/16-10/31; Fox Island Pr - Yr-Round: bag 2, 1 ch, ch 22'' min size</t>
  </si>
  <si>
    <t>Area 13</t>
  </si>
  <si>
    <t>5/1/21-5/14/2022 bag 2, ch 22" min size; 7/1-9/30 ch 20" min size, co MSF, cm NR</t>
  </si>
  <si>
    <t>Area 12</t>
  </si>
  <si>
    <t>No. Ayock - 5/1-7/10 clsd; 7/11-9/30, bag 4, ch &amp; cm NR, see LOAF for additional spatial closures within No. Ayock; 10/1-11/30, bag-4, 2 ch MSF, ch 22'' min size, cm NR through 10/15; 12/1-5/14 clsd; So. Ayock - 5/1-6/30 clsd; 7/1-9/30, bag 4, 2 pole option, 2 ch MSF, cm NR;  10/1-11/30, bag 4, 2 ch MSF,ch 22'' min size, cm NR through 10/15; 12/1-5/14, clsd; Hoodsport - Same as A12 except from 7/1-11/30, bag 4, 2 pole option from 7/1-10/31, ch MSF, cm NR from 7/1-10/15, no min size</t>
  </si>
  <si>
    <t>PUGET SOUND NET:</t>
  </si>
  <si>
    <t>JUL</t>
  </si>
  <si>
    <t>AUG</t>
  </si>
  <si>
    <t>SEP</t>
  </si>
  <si>
    <t>OCT-DEC</t>
  </si>
  <si>
    <t>TOTAL</t>
  </si>
  <si>
    <t>JDF 4B/5/6C Net NTrty</t>
  </si>
  <si>
    <t>Trty</t>
  </si>
  <si>
    <t>SJI 6/7/7A Net  NTrty</t>
  </si>
  <si>
    <t>JDF Chinook:</t>
  </si>
  <si>
    <t>JDF Sockeye/Pink:</t>
  </si>
  <si>
    <t>JDF Coho:</t>
  </si>
  <si>
    <t>JDF Chum:</t>
  </si>
  <si>
    <t>SJI  Coho:</t>
  </si>
  <si>
    <t>NTrty (RN): Open 7 d/wk from end of Fraser Panel control thru chum mgmt. period of Wk. 45 beginning 10/31.  MSF Coho (UM Coho 500 Cap wk 38-40) and MSF Chinook thru Wk 40 beginning 9/26, chum NR though 10/01, chinook NR after 10/01.</t>
  </si>
  <si>
    <t>Trty (RN): 7 days/wk beginning at end of Fraser Panel management through wk 46 (wb 11/14); wild ch NR before 9/30, ch NR after 9/30; cm NR through 9/30, cm retention after 9/30.</t>
  </si>
  <si>
    <t>SJI Sockeye/Pink:</t>
  </si>
  <si>
    <t>NTrty (GN/PS/RN): Schedule TBD by Fraser Panel, modeled as weeks 31-37: 1-3-1-2-2-2-0, PS: Coho, chum &amp; chinook NR. RN: Coho &amp;chinook (chinook 300 cap).</t>
  </si>
  <si>
    <t xml:space="preserve">Trty (GN/PS/RN): Schedule TBD by Fraser Panel, modeled as: wk 31 (wb 8/1) thru wk 38 (wb 9/19). RN: wild co, wild ch, and cm NR; may retain marked Chinook through 9/30. </t>
  </si>
  <si>
    <t>SJI Chum:</t>
  </si>
  <si>
    <t>NTrty (GN/PS/RN): Opens Wk. 41 beginning 10/03, PS &amp; GN schedule to be determined with co-mgr. modeled wks 41-45, 4-7-7-7-7, PS co&amp;ch NR, RN: 7 days/wk with release requirements per coho fishery.</t>
  </si>
  <si>
    <t xml:space="preserve">Trty (GN/PS/RN): Schedule TBD by co-managers, modeled as: wk 41 (wb 10/10) - wk 46 (wb 11/14). RN: 7 days/wk with release requirements per coho fishery. </t>
  </si>
  <si>
    <t xml:space="preserve"> </t>
  </si>
  <si>
    <t xml:space="preserve">TABLE 2A:  COHO FISHERY IMPACT SUMMARY HIGHLIGHTS </t>
  </si>
  <si>
    <t xml:space="preserve">TABLE 2B:  COHO FISHERY IMPACT SUMMARY HIGHLIGHTS </t>
  </si>
  <si>
    <t xml:space="preserve">TABLE 2C:  COHO FISHERY IMPACT SUMMARY HIGHLIGHTS </t>
  </si>
  <si>
    <t xml:space="preserve">TABLE 2D:  COHO FISHERY IMPACT SUMMARY HIGHLIGHTS </t>
  </si>
  <si>
    <t xml:space="preserve">TABLE 2E:  COHO FISHERY IMPACT SUMMARY HIGHLIGHTS </t>
  </si>
  <si>
    <t>Estimated fishery impacts from regulations described by the following FRAM run:</t>
  </si>
  <si>
    <t>=Sk!C51</t>
  </si>
  <si>
    <t>=Sk!F51</t>
  </si>
  <si>
    <t>not needed for 2008</t>
  </si>
  <si>
    <t>Mrkd</t>
  </si>
  <si>
    <t>Unmrkd</t>
  </si>
  <si>
    <t xml:space="preserve">Impacts are expressed as total fishery-related mortality, incl. landed catch, non-retention mort., and other fishery-related mort.  </t>
  </si>
  <si>
    <t>Impacts are expressed as total fishery-related mortality, incl. landed catch, non-retention mort., and other fishery-related mort.  Trty/NonTrty splits are NOT based on CWT recovery data.</t>
  </si>
  <si>
    <t xml:space="preserve">       ALL STOCKS MORTALITY</t>
  </si>
  <si>
    <t>SKAGIT</t>
  </si>
  <si>
    <t>STILLY</t>
  </si>
  <si>
    <t>SNOHOM</t>
  </si>
  <si>
    <t>STILLY/SNOHOM</t>
  </si>
  <si>
    <t>HOOD CANAL</t>
  </si>
  <si>
    <t>JUAN DE FUCA TRIBS</t>
  </si>
  <si>
    <t>QUIL FALL</t>
  </si>
  <si>
    <t>HOH</t>
  </si>
  <si>
    <t>QUIL FALL H&amp;W</t>
  </si>
  <si>
    <t>QUEETS</t>
  </si>
  <si>
    <t>GRAYS HARBOR</t>
  </si>
  <si>
    <t>SOUTH PUGET SOUND</t>
  </si>
  <si>
    <t>NOOKSACK-SAMISH</t>
  </si>
  <si>
    <t xml:space="preserve">Tulalip </t>
  </si>
  <si>
    <t>Snoh/</t>
  </si>
  <si>
    <t>Lummi Bay</t>
  </si>
  <si>
    <t>Skookum Crk</t>
  </si>
  <si>
    <t>Skagit/</t>
  </si>
  <si>
    <t>Issaquah/</t>
  </si>
  <si>
    <t>Green River</t>
  </si>
  <si>
    <t>Puyallup/</t>
  </si>
  <si>
    <t>Minter</t>
  </si>
  <si>
    <t>Nisqually</t>
  </si>
  <si>
    <t>George</t>
  </si>
  <si>
    <t xml:space="preserve">Quilcene </t>
  </si>
  <si>
    <t>Dungeness</t>
  </si>
  <si>
    <t>Elwha</t>
  </si>
  <si>
    <t>FISHERY</t>
  </si>
  <si>
    <t>Marked</t>
  </si>
  <si>
    <t>UnMarked</t>
  </si>
  <si>
    <t>Total</t>
  </si>
  <si>
    <t>Wild</t>
  </si>
  <si>
    <t>Suppl.</t>
  </si>
  <si>
    <t xml:space="preserve"> Hatchery</t>
  </si>
  <si>
    <t>Hatchery</t>
  </si>
  <si>
    <t>Wallace</t>
  </si>
  <si>
    <t>Marblemount</t>
  </si>
  <si>
    <t>Lake WA</t>
  </si>
  <si>
    <t>(Soos+Keta)</t>
  </si>
  <si>
    <t>Voights</t>
  </si>
  <si>
    <t>Adams</t>
  </si>
  <si>
    <t>NFH</t>
  </si>
  <si>
    <t>Projected Spawning Escapement</t>
  </si>
  <si>
    <t>Projected Ocean Escapement</t>
  </si>
  <si>
    <t>Spawning Low/Normal Esc. Breakpoint</t>
  </si>
  <si>
    <t>Spawning Escapement Objective</t>
  </si>
  <si>
    <t>Hatchery Escapement Goal  (*2016)</t>
  </si>
  <si>
    <t>5,750 goal w/2,400 priority MOU</t>
  </si>
  <si>
    <t>Projected Exploitation Rate (all fisheries)</t>
  </si>
  <si>
    <t>Projected Marine Exploitation Rate</t>
  </si>
  <si>
    <t>Preterminal NT SUS ER</t>
  </si>
  <si>
    <t xml:space="preserve">Exploitation Rate Ceiling (updated annually) </t>
  </si>
  <si>
    <t>Exploitation Rate Ceiling (updated annually)</t>
  </si>
  <si>
    <t>(up to 10% US ER)</t>
  </si>
  <si>
    <t>Exploitation in Southern U.S. Fisheries</t>
  </si>
  <si>
    <t>Exploitation in Southern U.S. Marine Fisheries</t>
  </si>
  <si>
    <t xml:space="preserve">CANADIAN </t>
  </si>
  <si>
    <t>ALASKA</t>
  </si>
  <si>
    <t>S. of Falcon Troll</t>
  </si>
  <si>
    <t>S. of Falcon Sport</t>
  </si>
  <si>
    <t xml:space="preserve">NORTH OF CAPE FALCON OCEAN: </t>
  </si>
  <si>
    <t>Treaty Troll</t>
  </si>
  <si>
    <t>Treaty Troll                         (Area 2/3/4/4B)</t>
  </si>
  <si>
    <t>NT Troll N. Leadbttr</t>
  </si>
  <si>
    <t>NT Troll N. Leadbttr          (Area 2/3/4/4B)</t>
  </si>
  <si>
    <t>NT Troll S. Leadbttr</t>
  </si>
  <si>
    <t>NT Troll S. Leadbttr          (Area 1)</t>
  </si>
  <si>
    <t>Sport:       Area 1</t>
  </si>
  <si>
    <t>Coastal terminal area "dip-ins"</t>
  </si>
  <si>
    <t>Area 2</t>
  </si>
  <si>
    <t>Area 3</t>
  </si>
  <si>
    <t>Area 4 *</t>
  </si>
  <si>
    <t>PUGET SOUND:</t>
  </si>
  <si>
    <t>Columbia River Fisheries</t>
  </si>
  <si>
    <t>PUGET SOUND CATCHES:</t>
  </si>
  <si>
    <t>Sport:                                                     Areas 5</t>
  </si>
  <si>
    <t>Sport:                                          Areas 5</t>
  </si>
  <si>
    <t>Treaty Troll                         (Area 5-6C)</t>
  </si>
  <si>
    <t>Sport:                                                      Areas 5</t>
  </si>
  <si>
    <t>Sport:                                               Areas 5</t>
  </si>
  <si>
    <t>Area  7</t>
  </si>
  <si>
    <t>Area  8-1,2</t>
  </si>
  <si>
    <t>Area  8</t>
  </si>
  <si>
    <t>Areas 7-13</t>
  </si>
  <si>
    <t>Area  9</t>
  </si>
  <si>
    <t>Nontreaty Net</t>
  </si>
  <si>
    <t>Treaty Net</t>
  </si>
  <si>
    <t>LOCAL TERMINAL</t>
  </si>
  <si>
    <t>--</t>
  </si>
  <si>
    <t>------&gt;&gt;</t>
  </si>
  <si>
    <t>Freshwater Sport</t>
  </si>
  <si>
    <t>n/a</t>
  </si>
  <si>
    <t>Sport</t>
  </si>
  <si>
    <t>Pre-terminal net:</t>
  </si>
  <si>
    <t>6/7/7A NTrty</t>
  </si>
  <si>
    <t>*   Area 4 Sport numbers include 4B add-on, if any, and a number of fish caught on Canadian licenses in areas 4 and 4B.</t>
  </si>
  <si>
    <t>6/7/7A Trty</t>
  </si>
  <si>
    <t>4B/5/6C NTrty</t>
  </si>
  <si>
    <t xml:space="preserve">FRAM assumes that there are no changes in the relative exploitation rates of model stocks estimated from the base period (1986-91).  The possibility exists </t>
  </si>
  <si>
    <t>4B/5/6C Trty</t>
  </si>
  <si>
    <t xml:space="preserve"> that with the changes to the structure of a fishery the relative exploitation rates of the stock may change as well, though an anlysis of the data has yet to be done.</t>
  </si>
  <si>
    <t>6B/9 NTrty</t>
  </si>
  <si>
    <t>6B/9 Trty</t>
  </si>
  <si>
    <t>Terminal net:</t>
  </si>
  <si>
    <t>Total Term catch</t>
  </si>
  <si>
    <t>Skagit Bay (8) NTrty</t>
  </si>
  <si>
    <t>Esc</t>
  </si>
  <si>
    <t>Skagit Bay (8) Trty</t>
  </si>
  <si>
    <t>Tot Run Size</t>
  </si>
  <si>
    <t>Area 8A Ntrty</t>
  </si>
  <si>
    <t>Total Abundance</t>
  </si>
  <si>
    <t xml:space="preserve">                                         QUEETS</t>
  </si>
  <si>
    <t>Area 8A Trty</t>
  </si>
  <si>
    <t>NT PFMC ER</t>
  </si>
  <si>
    <t>Hood Canal NTrty</t>
  </si>
  <si>
    <t>Hood Canal Trty</t>
  </si>
  <si>
    <t>South Pgt Snd NTrty</t>
  </si>
  <si>
    <t>PSTreaty Net</t>
  </si>
  <si>
    <t>South Pgt Snd Trty</t>
  </si>
  <si>
    <t>B'ham Bay (7BCD) Ntrty</t>
  </si>
  <si>
    <t>B'ham Bay(7B) Ntrty</t>
  </si>
  <si>
    <t>Esc. Over Floor</t>
  </si>
  <si>
    <t>B'ham Bay (7BCD) Trty</t>
  </si>
  <si>
    <t>B'ham Bay(7B) Trty</t>
  </si>
  <si>
    <t>Total available</t>
  </si>
  <si>
    <t>Local Extreme Terminal Net:</t>
  </si>
  <si>
    <t>Nontreaty</t>
  </si>
  <si>
    <t xml:space="preserve">    Refer to TAMMs for individual stocks</t>
  </si>
  <si>
    <t>Treaty</t>
  </si>
  <si>
    <t>"</t>
  </si>
  <si>
    <t>Test</t>
  </si>
  <si>
    <t xml:space="preserve">Coastal Terminal Net &amp; Sport: </t>
  </si>
  <si>
    <t>Pre-Terminal Catch</t>
  </si>
  <si>
    <t>that with the changes to the structure of a fishery the relative exploitation rates of the stock may change as well, though an anlysis of the data has yet to be done.</t>
  </si>
  <si>
    <t>Total Catch + Escapement</t>
  </si>
  <si>
    <t>Stock ID</t>
  </si>
  <si>
    <t>RECAPITULATION OF WILD IMPACTS ACCOUNTING:</t>
  </si>
  <si>
    <t>Pre-Terminal ER</t>
  </si>
  <si>
    <t>(Marked, Unmarked)</t>
  </si>
  <si>
    <t>Columns</t>
  </si>
  <si>
    <t>Rows</t>
  </si>
  <si>
    <t>RECAPITULATION OF IMPACTS ACCOUNTING:</t>
  </si>
  <si>
    <t>WILD</t>
  </si>
  <si>
    <t>RECAPITULATION OF  IMPACTS ACCOUNTING:</t>
  </si>
  <si>
    <t>total</t>
  </si>
  <si>
    <t>Nontreaty Total Wild Impacts:</t>
  </si>
  <si>
    <t>7,8</t>
  </si>
  <si>
    <t>U-lumpdh</t>
  </si>
  <si>
    <t>M-lumpdh</t>
  </si>
  <si>
    <t>SUM(TRunsPRN!D165)</t>
  </si>
  <si>
    <t>H, I</t>
  </si>
  <si>
    <t>8-208</t>
  </si>
  <si>
    <t>Treaty Total Wild Impacts:</t>
  </si>
  <si>
    <t>Skookum Creek</t>
  </si>
  <si>
    <t>5,6</t>
  </si>
  <si>
    <t>U-skokmh</t>
  </si>
  <si>
    <t>M-skokmh</t>
  </si>
  <si>
    <t>SUM(TRunsPRN!D164)</t>
  </si>
  <si>
    <t>F, G</t>
  </si>
  <si>
    <t>Amt NT above (or below) T:</t>
  </si>
  <si>
    <t>Skagit/Marblemount</t>
  </si>
  <si>
    <t>19,20</t>
  </si>
  <si>
    <t>U-skagth</t>
  </si>
  <si>
    <t>M-skagth</t>
  </si>
  <si>
    <t>SUM(TRunsPRN!D186)</t>
  </si>
  <si>
    <t>J, K</t>
  </si>
  <si>
    <t>213-413</t>
  </si>
  <si>
    <t>Snoh/Wallace</t>
  </si>
  <si>
    <t>37,38</t>
  </si>
  <si>
    <t>U-snohoh</t>
  </si>
  <si>
    <t>M-snohoh</t>
  </si>
  <si>
    <t>SUM(TRunsPRN!D187)</t>
  </si>
  <si>
    <t>623-823</t>
  </si>
  <si>
    <t>Nontreaty Wild Impacts w/o SOF:</t>
  </si>
  <si>
    <t>Issaquah/Lake WA</t>
  </si>
  <si>
    <t>U-lakwah</t>
  </si>
  <si>
    <t>M-lakwah</t>
  </si>
  <si>
    <t>SUM(TRunsPRN!D188)</t>
  </si>
  <si>
    <t>1853-2053</t>
  </si>
  <si>
    <t>Treaty Wild Impacts w/o SOF:</t>
  </si>
  <si>
    <t>Green River (Soos+Keta)</t>
  </si>
  <si>
    <t>95,96</t>
  </si>
  <si>
    <t>U-greenh</t>
  </si>
  <si>
    <t>M-greenh</t>
  </si>
  <si>
    <t>SUM(TRunsPRN!D189)</t>
  </si>
  <si>
    <t>Amt NT above (or below) T w/o SOF:</t>
  </si>
  <si>
    <t>Puyallup/Voights</t>
  </si>
  <si>
    <t>83,84</t>
  </si>
  <si>
    <t>U-puyalh</t>
  </si>
  <si>
    <t>M-puyalh</t>
  </si>
  <si>
    <t>SUM(TRunsPRN!D190)</t>
  </si>
  <si>
    <t>D, E</t>
  </si>
  <si>
    <t>1648-1848</t>
  </si>
  <si>
    <t>73,74</t>
  </si>
  <si>
    <t>U-mintch</t>
  </si>
  <si>
    <t>M-mintch</t>
  </si>
  <si>
    <t>SUM(TRunsPRN!D191)</t>
  </si>
  <si>
    <t>1443-1643</t>
  </si>
  <si>
    <t>67,68</t>
  </si>
  <si>
    <t>U-nisqlh</t>
  </si>
  <si>
    <t>M-nisqlh</t>
  </si>
  <si>
    <t>SUM(TRunsPRN!D192)</t>
  </si>
  <si>
    <t xml:space="preserve">H, I </t>
  </si>
  <si>
    <t>1238-1438</t>
  </si>
  <si>
    <t>George Adams</t>
  </si>
  <si>
    <t>57,58</t>
  </si>
  <si>
    <t>U-gadamh</t>
  </si>
  <si>
    <t>M-gadamh</t>
  </si>
  <si>
    <t>SUM(TRunsPRN!D193)</t>
  </si>
  <si>
    <t>1033-1233</t>
  </si>
  <si>
    <t>Adjusted</t>
  </si>
  <si>
    <t>Quilcene NFH</t>
  </si>
  <si>
    <t>47,48</t>
  </si>
  <si>
    <t>U-qlcnbh</t>
  </si>
  <si>
    <t>M-qlcnbh</t>
  </si>
  <si>
    <t>SUM(TRunsPRN!D194)</t>
  </si>
  <si>
    <t>828-1028</t>
  </si>
  <si>
    <t>2001 Sept</t>
  </si>
  <si>
    <t>Drop-off</t>
  </si>
  <si>
    <t>Retention</t>
  </si>
  <si>
    <t>Landed</t>
  </si>
  <si>
    <t>U-dungeh</t>
  </si>
  <si>
    <t>M-dungeh</t>
  </si>
  <si>
    <t>SUM(TRunsPRN!D195)</t>
  </si>
  <si>
    <t xml:space="preserve">J, K </t>
  </si>
  <si>
    <t>2058-2258</t>
  </si>
  <si>
    <t>Encs/day</t>
  </si>
  <si>
    <t># Days</t>
  </si>
  <si>
    <t>Total Encs</t>
  </si>
  <si>
    <t>Rate</t>
  </si>
  <si>
    <t>Mortality</t>
  </si>
  <si>
    <t>U-elwhah</t>
  </si>
  <si>
    <t>M-elwhah</t>
  </si>
  <si>
    <t>SUM(TRunsPRN!D196)</t>
  </si>
  <si>
    <t>2263-2463</t>
  </si>
  <si>
    <t>NOR+HOR</t>
  </si>
  <si>
    <t>From STT Preseason I Rpt - 2021 (Table XX)</t>
  </si>
  <si>
    <t>PSC US ER Calculation - Numerator</t>
  </si>
  <si>
    <t>Escapement</t>
  </si>
  <si>
    <t>Escapement Trend for Rebuilding Plans</t>
  </si>
  <si>
    <t>Snohomish</t>
  </si>
  <si>
    <t>Juan de Fuca Tribs</t>
  </si>
  <si>
    <t>Queets</t>
  </si>
  <si>
    <t>PSC Total ER Calculation - Numerator</t>
  </si>
  <si>
    <t>Modeled 2022</t>
  </si>
  <si>
    <t>PSC ER Calculation - Denominator</t>
  </si>
  <si>
    <t>ER to Meet Esc.Goal</t>
  </si>
  <si>
    <t>PSC Total ER - model estimated</t>
  </si>
  <si>
    <t>PSC US ER - model estimated</t>
  </si>
  <si>
    <t>Total ER**</t>
  </si>
  <si>
    <t>PSC Escapement Value</t>
  </si>
  <si>
    <t>[Values below updated annually]</t>
  </si>
  <si>
    <t>**Does not reflect ER for the purpose of the PST Southern Coho Agreement</t>
  </si>
  <si>
    <t>Annual OA3 Forecast (2022)</t>
  </si>
  <si>
    <t>Ocean Esc.</t>
  </si>
  <si>
    <t>PSC Annual Total ER Cap (2022)</t>
  </si>
  <si>
    <t>TABLE 4:  SUMMARY OF COHO EXPLOITATION RATES BY FISHERY AGGREGATE</t>
  </si>
  <si>
    <t>Predicted Exploitation Rates for Total Fishery-Related Mortality</t>
  </si>
  <si>
    <t>NOTE: Landed catch plus all fishery-related mortality - Not AEQ Expl. Rate!!!</t>
  </si>
  <si>
    <t>STOCK-&gt;</t>
  </si>
  <si>
    <t>Skagit</t>
  </si>
  <si>
    <t>Stilly</t>
  </si>
  <si>
    <t>Snohom</t>
  </si>
  <si>
    <t>HdCnl</t>
  </si>
  <si>
    <t>JDF Tribs</t>
  </si>
  <si>
    <t>South Sound</t>
  </si>
  <si>
    <t>Nook/Samish</t>
  </si>
  <si>
    <t>Quillayute</t>
  </si>
  <si>
    <t>Hoh</t>
  </si>
  <si>
    <t xml:space="preserve"> Grys Hbr</t>
  </si>
  <si>
    <t xml:space="preserve">Wild </t>
  </si>
  <si>
    <t>Fall Wild</t>
  </si>
  <si>
    <t>Predicted Spawning Escapement</t>
  </si>
  <si>
    <t>Ocean Escapement *</t>
  </si>
  <si>
    <r>
      <t>RUN RECONSTRUCTION</t>
    </r>
    <r>
      <rPr>
        <vertAlign val="superscript"/>
        <sz val="12"/>
        <rFont val="Arial"/>
        <family val="2"/>
      </rPr>
      <t>1</t>
    </r>
    <r>
      <rPr>
        <sz val="12"/>
        <rFont val="Arial"/>
        <family val="2"/>
      </rPr>
      <t xml:space="preserve"> </t>
    </r>
  </si>
  <si>
    <t>Ocean/Pre-term. Marine Fishery Mortality</t>
  </si>
  <si>
    <t>Nonlocal Mixed-terminal Fishery Mortality</t>
  </si>
  <si>
    <t>Local Mixed Term. Marine Fishery Mortality</t>
  </si>
  <si>
    <t>Extreme Terminal &amp; FW   NTRTY</t>
  </si>
  <si>
    <t>Extreme Terminal &amp; FW   TRTY</t>
  </si>
  <si>
    <t xml:space="preserve">Extr. Term. TEST </t>
  </si>
  <si>
    <r>
      <t>Escapement</t>
    </r>
    <r>
      <rPr>
        <vertAlign val="superscript"/>
        <sz val="12"/>
        <rFont val="Arial"/>
        <family val="2"/>
      </rPr>
      <t>2</t>
    </r>
    <r>
      <rPr>
        <sz val="12"/>
        <rFont val="Arial"/>
        <family val="2"/>
      </rPr>
      <t xml:space="preserve"> </t>
    </r>
  </si>
  <si>
    <r>
      <t>TOTAL ABUNDANCE</t>
    </r>
    <r>
      <rPr>
        <vertAlign val="superscript"/>
        <sz val="12"/>
        <rFont val="Arial"/>
        <family val="2"/>
      </rPr>
      <t>3</t>
    </r>
    <r>
      <rPr>
        <sz val="12"/>
        <rFont val="Arial"/>
        <family val="2"/>
      </rPr>
      <t xml:space="preserve"> </t>
    </r>
  </si>
  <si>
    <r>
      <t>"TOTAL" PREDICTED EXPL. RATE</t>
    </r>
    <r>
      <rPr>
        <vertAlign val="superscript"/>
        <sz val="12"/>
        <rFont val="Arial"/>
        <family val="2"/>
      </rPr>
      <t>4</t>
    </r>
  </si>
  <si>
    <t>Canada</t>
  </si>
  <si>
    <t>Alaska</t>
  </si>
  <si>
    <r>
      <t>Subtotal Southern U.S. EXPL. RATE</t>
    </r>
    <r>
      <rPr>
        <vertAlign val="superscript"/>
        <sz val="12"/>
        <rFont val="Arial"/>
        <family val="2"/>
      </rPr>
      <t>5</t>
    </r>
    <r>
      <rPr>
        <sz val="12"/>
        <rFont val="Arial"/>
        <family val="2"/>
      </rPr>
      <t xml:space="preserve"> </t>
    </r>
  </si>
  <si>
    <t>S. Of Falcon Ocean</t>
  </si>
  <si>
    <t>NOF Ocean Troll:</t>
  </si>
  <si>
    <t>NTrty</t>
  </si>
  <si>
    <t>Ntrty NOF Ocean &amp; Buoy10 Spt</t>
  </si>
  <si>
    <t>Total Ocean ER</t>
  </si>
  <si>
    <t>Pgt Snd 5,6C Troll</t>
  </si>
  <si>
    <t xml:space="preserve"> All Puget Sound Combined: </t>
  </si>
  <si>
    <t>Pgt Snd 5,6 Sport</t>
  </si>
  <si>
    <t>Pgt Snd 7 Sport</t>
  </si>
  <si>
    <t>Pgt Snd 8 Sport</t>
  </si>
  <si>
    <t>Pgt Snd 9 Sport</t>
  </si>
  <si>
    <t>Pgt Snd 10,11,13</t>
  </si>
  <si>
    <t>Pgt Snd 12 Sport</t>
  </si>
  <si>
    <t>Pgt Snd Extr. Term. &amp; FW Sport</t>
  </si>
  <si>
    <t>PS Preterminal Net**:</t>
  </si>
  <si>
    <t>Ntrty</t>
  </si>
  <si>
    <t>Nonlocal Term. Net:</t>
  </si>
  <si>
    <t>Local Terminal Net:</t>
  </si>
  <si>
    <t>Extreme Term. Net</t>
  </si>
  <si>
    <t>TEST</t>
  </si>
  <si>
    <t>* Model-predicted Escapement for Washington Coastal stock aggregates represents run returning to their terminal area or "Ocean Escapement".</t>
  </si>
  <si>
    <t xml:space="preserve">Footnotes: </t>
  </si>
  <si>
    <r>
      <rPr>
        <vertAlign val="superscript"/>
        <sz val="12"/>
        <rFont val="Arial"/>
        <family val="2"/>
      </rPr>
      <t xml:space="preserve">1 </t>
    </r>
    <r>
      <rPr>
        <sz val="12"/>
        <rFont val="Arial"/>
        <family val="2"/>
      </rPr>
      <t>From TAMM Tables 2.</t>
    </r>
  </si>
  <si>
    <r>
      <t>2</t>
    </r>
    <r>
      <rPr>
        <sz val="12"/>
        <rFont val="Arial"/>
        <family val="2"/>
      </rPr>
      <t xml:space="preserve"> Puget Sound Stocks' values are Spawner Escapement ;  Coastal stocks' values are "escapement from pre-terminal fisheries" equivalent to "Runsize Entering Terminal Area".</t>
    </r>
  </si>
  <si>
    <r>
      <t>3</t>
    </r>
    <r>
      <rPr>
        <sz val="12"/>
        <rFont val="Arial"/>
        <family val="2"/>
      </rPr>
      <t xml:space="preserve"> TOTAL ABUNDANCE is 'Fishery-related Mortality Plus Escapement',  does not include 'natural mortality' nor 'dip-in mortality' of non-local stocks in coastal terminal fisheries.</t>
    </r>
  </si>
  <si>
    <r>
      <t>4</t>
    </r>
    <r>
      <rPr>
        <sz val="12"/>
        <rFont val="Arial"/>
        <family val="2"/>
      </rPr>
      <t xml:space="preserve"> For coastal stocks the presented ER is for pre-terminal fisheries only. See Table 2 for Total ER for coastal stocks.</t>
    </r>
  </si>
  <si>
    <r>
      <t>5</t>
    </r>
    <r>
      <rPr>
        <sz val="12"/>
        <rFont val="Arial"/>
        <family val="2"/>
      </rPr>
      <t xml:space="preserve"> Sum of exploitation rates for Southern U.S. only: SoF, Ocean areas 1-4, Col. R., Puget Sound; however does not include WA coastal terminal area impacts.</t>
    </r>
  </si>
  <si>
    <t>Nooksack</t>
  </si>
  <si>
    <t>S. Sound Hat.</t>
  </si>
  <si>
    <t>Nook/Sam Hat.</t>
  </si>
  <si>
    <t>S. Sound Tot.</t>
  </si>
  <si>
    <t>Nook/Sam Tot.</t>
  </si>
  <si>
    <t>SUS ER</t>
  </si>
  <si>
    <t>NT</t>
  </si>
  <si>
    <t>T</t>
  </si>
  <si>
    <t xml:space="preserve">SUS TOTAL </t>
  </si>
  <si>
    <t>Ocean SUS ER</t>
  </si>
  <si>
    <t xml:space="preserve">Ocean SUS TOTAL  </t>
  </si>
  <si>
    <t>Manage as Total SUS</t>
  </si>
  <si>
    <t>Coastal Stock Exploitation Rates - Including Dip-In Mortality.</t>
  </si>
  <si>
    <t>DipIn ER</t>
  </si>
  <si>
    <t>NT plus T</t>
  </si>
  <si>
    <t xml:space="preserve">Ocean SUS TOTAL (wDipIn) </t>
  </si>
  <si>
    <t xml:space="preserve">TABLE 7:  COHO RUN SIZES FOR SALMON TECHNICAL TEAM REFERENCE </t>
  </si>
  <si>
    <t>Includes landed catch plus all fishery-related mortality</t>
  </si>
  <si>
    <t>PUGET SOUND COHO RUN SIZES:</t>
  </si>
  <si>
    <t>Hat +Wld</t>
  </si>
  <si>
    <t>Hat + Wld</t>
  </si>
  <si>
    <t>Run</t>
  </si>
  <si>
    <t>Terminal</t>
  </si>
  <si>
    <t>Entering</t>
  </si>
  <si>
    <t>Area</t>
  </si>
  <si>
    <t>Stock</t>
  </si>
  <si>
    <t>Area 4B</t>
  </si>
  <si>
    <t>Abundance</t>
  </si>
  <si>
    <t>Escape-</t>
  </si>
  <si>
    <t>Net \1</t>
  </si>
  <si>
    <t>\2</t>
  </si>
  <si>
    <t>ment</t>
  </si>
  <si>
    <t>Net</t>
  </si>
  <si>
    <t>USJDF-PS</t>
  </si>
  <si>
    <t>Stillag.-Snohomish</t>
  </si>
  <si>
    <t>Stilly:</t>
  </si>
  <si>
    <t>Snohom:</t>
  </si>
  <si>
    <t>Hood Canal</t>
  </si>
  <si>
    <t>South Puget Sound</t>
  </si>
  <si>
    <t>Nooksack-Samish</t>
  </si>
  <si>
    <t>Strait Tributaries</t>
  </si>
  <si>
    <t>\1     Note: 4B Run sizes differ from exact Status Report frame of reference because Area 6B/9 impacts are accounted for as per FRAM CWT-based stock impacts.</t>
  </si>
  <si>
    <t>2\    RR_Term compatible (landed + esc)</t>
  </si>
  <si>
    <t xml:space="preserve">  =  PS Runsize (landed catch plus escapement)</t>
  </si>
  <si>
    <t>OTHER WA-CA RUNSIZES:</t>
  </si>
  <si>
    <t>all Truns values (fishing mortality plus escapement)</t>
  </si>
  <si>
    <t>Ocean Escapement</t>
  </si>
  <si>
    <t xml:space="preserve">Terminal Area </t>
  </si>
  <si>
    <t>All w/ dip Ins</t>
  </si>
  <si>
    <t>Local Wild</t>
  </si>
  <si>
    <t>Local Hatchery</t>
  </si>
  <si>
    <t xml:space="preserve">   Quillayute</t>
  </si>
  <si>
    <t xml:space="preserve">   Hoh </t>
  </si>
  <si>
    <t xml:space="preserve">   Queets </t>
  </si>
  <si>
    <t xml:space="preserve">   Quinault </t>
  </si>
  <si>
    <t xml:space="preserve">   Grays Harbor </t>
  </si>
  <si>
    <t xml:space="preserve">   Willapa Bay</t>
  </si>
  <si>
    <t>Ocean</t>
  </si>
  <si>
    <t>Willapa Bay Natural Ocean Escapement</t>
  </si>
  <si>
    <t>Stock/Area</t>
  </si>
  <si>
    <t>(fishing mortality + esc)</t>
  </si>
  <si>
    <t>2022 stray rate</t>
  </si>
  <si>
    <t>HOS Ocean Esc.</t>
  </si>
  <si>
    <t>Quillayute Summer Hatchery</t>
  </si>
  <si>
    <t>Natural Area Ocean Esc.</t>
  </si>
  <si>
    <t>Quillayute Summer Natural</t>
  </si>
  <si>
    <t>Columbia Early (after B10)</t>
  </si>
  <si>
    <t>Columbia Late (after B10)</t>
  </si>
  <si>
    <t>Oregon N. Coast Natural</t>
  </si>
  <si>
    <t>Oregon N. Mid Coast Nat.</t>
  </si>
  <si>
    <t>Oregon S. Mid Coast Nat.</t>
  </si>
  <si>
    <t>Puget Sound Runsize  (all Time Steps):</t>
  </si>
  <si>
    <t xml:space="preserve">Puget Sound Terminal Fishery Catch:  </t>
  </si>
  <si>
    <t xml:space="preserve">Puget Sound Stocks' Escapement:  </t>
  </si>
  <si>
    <t xml:space="preserve">Total:  </t>
  </si>
  <si>
    <t>TABLE 11-A  &gt;&gt;&gt; SKAGIT &lt;&lt;&lt; COHO TERMINAL AREA MANAGEMENT MODULE</t>
  </si>
  <si>
    <t>TABLE 11-B  &gt;&gt;&gt; SKAGIT &lt;&lt;&lt; COHO TERMINAL AREA MANAGEMENT MODULE</t>
  </si>
  <si>
    <t>TABLE 11-C  &gt;&gt;&gt; SKAGIT &lt;&lt;&lt; COHO TERMINAL AREA MANAGEMENT MODULE</t>
  </si>
  <si>
    <t>TABLE 11-D  &gt;&gt;&gt; SKAGIT &lt;&lt;&lt; COHO TERMINAL AREA MANAGEMENT MODULE</t>
  </si>
  <si>
    <t>Provides Skagit Terminal and Extreme Terminal Net and Freshwater Sport Catches &amp; Escapement</t>
  </si>
  <si>
    <t>SKAGIT Terminal Area Fishery Parameters; Harvest rates and landed catch inputs, &amp; associated regulations.</t>
  </si>
  <si>
    <t>Skagit Bay (Area 8) Fishery COHO Harvest Rates (%TAA)</t>
  </si>
  <si>
    <t>FRAM Run:</t>
  </si>
  <si>
    <t>Guts'!$B$9</t>
  </si>
  <si>
    <t>Version</t>
  </si>
  <si>
    <t>Tamx'!$B$3</t>
  </si>
  <si>
    <t>Guts'!$B$10</t>
  </si>
  <si>
    <t>Tamm:</t>
  </si>
  <si>
    <t>Welcome'!$C$7</t>
  </si>
  <si>
    <t>% Wild</t>
  </si>
  <si>
    <t>Wild TAA</t>
  </si>
  <si>
    <t>UnMrkd</t>
  </si>
  <si>
    <t>M+U TAA</t>
  </si>
  <si>
    <t xml:space="preserve">    REMARKS</t>
  </si>
  <si>
    <t>Sept</t>
  </si>
  <si>
    <t>Oct-Dec</t>
  </si>
  <si>
    <t>Parameter</t>
  </si>
  <si>
    <t xml:space="preserve">NOT READY FOR USE!!!! </t>
  </si>
  <si>
    <t>H + Wld</t>
  </si>
  <si>
    <t>TERMINAL AREA ABUNDANCE</t>
  </si>
  <si>
    <t>All Stocks Entering Area 8</t>
  </si>
  <si>
    <t>Fishery / Item</t>
  </si>
  <si>
    <t>Value</t>
  </si>
  <si>
    <t>Type</t>
  </si>
  <si>
    <t>Fishery Description</t>
  </si>
  <si>
    <t>OCT</t>
  </si>
  <si>
    <t>NOV</t>
  </si>
  <si>
    <t>DEC</t>
  </si>
  <si>
    <t>Expected</t>
  </si>
  <si>
    <t>Extreme</t>
  </si>
  <si>
    <t>NTrty Area 8 HrvRates</t>
  </si>
  <si>
    <t>Pgt Snd</t>
  </si>
  <si>
    <t>Pre-term</t>
  </si>
  <si>
    <t>Escpmnt</t>
  </si>
  <si>
    <t>TERMINAL FISHERIES  (SKAGIT BAY, AREA 8) FISHERIES (total mortality):</t>
  </si>
  <si>
    <t>TREATY FISHERIES:</t>
  </si>
  <si>
    <t>Trty Area 8 Hrvrates</t>
  </si>
  <si>
    <t>Production Unit</t>
  </si>
  <si>
    <t xml:space="preserve"> Run Size\1</t>
  </si>
  <si>
    <t>Harvest \2</t>
  </si>
  <si>
    <t>Run Size \3</t>
  </si>
  <si>
    <t>8A Hrv \4</t>
  </si>
  <si>
    <t>ET Hrv \5</t>
  </si>
  <si>
    <t>Term Hrv</t>
  </si>
  <si>
    <t>Escapmnt</t>
  </si>
  <si>
    <t>Goal</t>
  </si>
  <si>
    <t>Run Size</t>
  </si>
  <si>
    <t>Trty all stks</t>
  </si>
  <si>
    <t>Ntrty all stks</t>
  </si>
  <si>
    <t>HAT&amp;WLD</t>
  </si>
  <si>
    <t>Source:</t>
  </si>
  <si>
    <t>for FRAM, no Jul; nov &amp; dec are modeled in oct!</t>
  </si>
  <si>
    <t>Local WLD</t>
  </si>
  <si>
    <t>TERMINAL (SKAGIT BAY, AREA 8) FISHERIES:</t>
  </si>
  <si>
    <t>Skagit R Wild</t>
  </si>
  <si>
    <t>CHINOOK DIRECTED MARINE</t>
  </si>
  <si>
    <t>Average percent of coho catch in each SKAGIT BAY fishery by month:</t>
  </si>
  <si>
    <t>Skagit/Baker/Swin Hatchery</t>
  </si>
  <si>
    <t>SOCKEYE DIRECTED MARINE</t>
  </si>
  <si>
    <t>PINK DIRECTED MARINE</t>
  </si>
  <si>
    <t>COHO DIRECTED MARINE</t>
  </si>
  <si>
    <t>NONTREATY HRVRATES:</t>
  </si>
  <si>
    <t>CHUM DIRECTED MARINE</t>
  </si>
  <si>
    <t>STEELHEAD DIRECTED MARINE</t>
  </si>
  <si>
    <t>PRE-MGMT PERIOD</t>
  </si>
  <si>
    <t>JETTY + BAY TEST FISHERY</t>
  </si>
  <si>
    <t>COHO EVALUATION</t>
  </si>
  <si>
    <t>COHO DIRECTED</t>
  </si>
  <si>
    <t>TOTAL TERMINAL NET CATCH</t>
  </si>
  <si>
    <t>EXTREME TERMINAL (FRESHWATER) FISHERIES:</t>
  </si>
  <si>
    <t>CHUM FISHERY</t>
  </si>
  <si>
    <t>F/W CHINOOK DIRECTED</t>
  </si>
  <si>
    <t>STEELHEAD FISHERY</t>
  </si>
  <si>
    <t>% WILD</t>
  </si>
  <si>
    <t>Wild ETRS</t>
  </si>
  <si>
    <t>M + U ETRS</t>
  </si>
  <si>
    <t>F/W SOCKEYE DIRECTED</t>
  </si>
  <si>
    <t xml:space="preserve">     TEST FISHERY</t>
  </si>
  <si>
    <t>EXTREME TERMINAL RUN SIZES</t>
  </si>
  <si>
    <t>F/W PINK DIRECTED</t>
  </si>
  <si>
    <t>SWIN. CHANNEL COHO</t>
  </si>
  <si>
    <t>TREATY HRVRATES:</t>
  </si>
  <si>
    <t>EXTREME TERMINAL FISHERIES (INCLUDES SWINOMISH CHANNEL, RIVER, FW SPORT):</t>
  </si>
  <si>
    <t>FW COHO DIRECTED</t>
  </si>
  <si>
    <t>F/W CHUM DIRECTED</t>
  </si>
  <si>
    <t>F/W STEELHEAD DIRECTED</t>
  </si>
  <si>
    <t>RIVER TEST FISHERY</t>
  </si>
  <si>
    <t>NONTREATY FISHERIES:</t>
  </si>
  <si>
    <t>PINK FISHERY</t>
  </si>
  <si>
    <t>===11C===</t>
  </si>
  <si>
    <t>CHUM MARINE</t>
  </si>
  <si>
    <t>OAK HARBOR SAF</t>
  </si>
  <si>
    <t>CASCADE RIVER SPORT</t>
  </si>
  <si>
    <t>CASCADE RIVER</t>
  </si>
  <si>
    <t>SKAGIT SPORT (without Cascade)</t>
  </si>
  <si>
    <t>Cascade River % Wild</t>
  </si>
  <si>
    <t>RECREATIONAL 8-1 SAVINGS ADJ.</t>
  </si>
  <si>
    <t>FRESHWATER RECREATIONAL</t>
  </si>
  <si>
    <t>SUBTOTAL EXTR TERM:</t>
  </si>
  <si>
    <t>&lt;SUBTOT FW INCL TEST</t>
  </si>
  <si>
    <t>MB 8/24/21 Formula error corrected.</t>
  </si>
  <si>
    <t>===11B===</t>
  </si>
  <si>
    <t>RECAPITULATION BY FISHERY (MARINE + FRESHWATER AREAS COMBINED):</t>
  </si>
  <si>
    <t>CHINOOK DIRECTED</t>
  </si>
  <si>
    <t>SOCKEYE DIRECTED</t>
  </si>
  <si>
    <t>PINK DIRECTED</t>
  </si>
  <si>
    <t>SWIN. CHNL NET</t>
  </si>
  <si>
    <t>CHUM DIRECTED</t>
  </si>
  <si>
    <t>STEELHEAD DIRECTED</t>
  </si>
  <si>
    <t>TEST FISHERY</t>
  </si>
  <si>
    <t>CASCADE+SAUK RIVER NET (SSIT)</t>
  </si>
  <si>
    <t>SSIT 3/24: Cascade 78P wks 37-43. Quota = 4,000; SSIT Sauk 78B wks 45-50 Quota = 2,000 wild impacts.</t>
  </si>
  <si>
    <t>TOTAL TERMINAL  CATCH</t>
  </si>
  <si>
    <t>&lt;-GRAND TOTAL</t>
  </si>
  <si>
    <t>TABLE 12-A  &gt;&gt;&gt; STILLAGUAMISH-SNOHOMISH &lt;&lt;&lt; COHO TERMINAL AREA MANAGEMENT MODULE</t>
  </si>
  <si>
    <t>TABLE 12-B  &gt;&gt;&gt; STILLAGUAMISH-SNOHOMISH &lt;&lt;&lt; COHO TERMINAL AREA MANAGEMENT MODULE</t>
  </si>
  <si>
    <t>TABLE 12-D  &gt;&gt;&gt; STILLAGUAMISH-SNOHOMISH &lt;&lt;&lt; COHO TERMINAL AREA MANAGEMENT MODULE ====</t>
  </si>
  <si>
    <t>Provides Stillaguamish-Snohomish Terminal and Extreme Terminal Net and Freshwater Sport Catches &amp; Escapement</t>
  </si>
  <si>
    <t>STILLY-SNO Terminal Area Fishery Parameters; Harvest rates used for FRAM modelling, &amp; associated regulations.</t>
  </si>
  <si>
    <t>STILLAGUAMISH-SNOHOMISH REGION COHO STATUS REPORT TABLE</t>
  </si>
  <si>
    <t>Comparing 'Table2PRN' summaries to 'StockSumPRN' totals:</t>
  </si>
  <si>
    <t>% Stl Wild</t>
  </si>
  <si>
    <t>Stl Wld TAA</t>
  </si>
  <si>
    <t>% Sno Wild</t>
  </si>
  <si>
    <t>Sno Wld TAA</t>
  </si>
  <si>
    <t>Stilly-Snoh TAA</t>
  </si>
  <si>
    <t>Preterminal Total Mortality</t>
  </si>
  <si>
    <t>Other Terminal Net</t>
  </si>
  <si>
    <t xml:space="preserve">8A Net </t>
  </si>
  <si>
    <t>8-2</t>
  </si>
  <si>
    <t>8D  Net</t>
  </si>
  <si>
    <t>Freshwater</t>
  </si>
  <si>
    <t>Table 12D</t>
  </si>
  <si>
    <t xml:space="preserve">StockSumPRN </t>
  </si>
  <si>
    <t>Coastal</t>
  </si>
  <si>
    <t>INCL 8-2 RECR</t>
  </si>
  <si>
    <t>Area 8A: all stock catch plus local esc</t>
  </si>
  <si>
    <t>VALUE</t>
  </si>
  <si>
    <t>PARAM TYPE</t>
  </si>
  <si>
    <t>FISHERY DESCRIPTION</t>
  </si>
  <si>
    <t>AK-BC</t>
  </si>
  <si>
    <t xml:space="preserve">Nontreaty </t>
  </si>
  <si>
    <t>Recr.</t>
  </si>
  <si>
    <t>Totals</t>
  </si>
  <si>
    <t>diff</t>
  </si>
  <si>
    <t>Terminal Net</t>
  </si>
  <si>
    <t>EXCL 8-2 RECR</t>
  </si>
  <si>
    <t>Stillaguamish Natural</t>
  </si>
  <si>
    <t xml:space="preserve">   Sept:    </t>
  </si>
  <si>
    <t>Oct-Dec:</t>
  </si>
  <si>
    <t xml:space="preserve">     Hatchery/Off-Station</t>
  </si>
  <si>
    <t>TERMINAL (8A and 8-2) FISHERIES:</t>
  </si>
  <si>
    <t>TERMINAL (AREA 8A) FISHERIES:</t>
  </si>
  <si>
    <t>Snohomish Natural</t>
  </si>
  <si>
    <t>StockSumPRN total</t>
  </si>
  <si>
    <t>STL WILD</t>
  </si>
  <si>
    <t>SNO WILD</t>
  </si>
  <si>
    <t>TREATY FISHERIES</t>
  </si>
  <si>
    <t>NONTREATY FISHERIES</t>
  </si>
  <si>
    <t>CHINOOK DIRECTED NET</t>
  </si>
  <si>
    <t xml:space="preserve">     Hatchery</t>
  </si>
  <si>
    <t>na</t>
  </si>
  <si>
    <t>PINK DIRECTED NET (odd yrs)</t>
  </si>
  <si>
    <t xml:space="preserve">     Snoqualmie Off-Station</t>
  </si>
  <si>
    <t xml:space="preserve">COHO DIRECTED NET </t>
  </si>
  <si>
    <t>Tulalip Hatchery</t>
  </si>
  <si>
    <t>CHUM DIRECTED NET</t>
  </si>
  <si>
    <t>Area 8A Net Pens</t>
  </si>
  <si>
    <t xml:space="preserve">STEELHEAD DIRECTED NET </t>
  </si>
  <si>
    <t>8A TEST FISHERY</t>
  </si>
  <si>
    <t>Nonlocal Stocks</t>
  </si>
  <si>
    <t>TOTAL NET FISHERIES</t>
  </si>
  <si>
    <t>EXTREME TERMINAL FISHERIES:</t>
  </si>
  <si>
    <t>Subtotal Stillaguamish Wild</t>
  </si>
  <si>
    <t>N/A</t>
  </si>
  <si>
    <t>AREA 8D NET</t>
  </si>
  <si>
    <t>Subtotal Snohomish Wild</t>
  </si>
  <si>
    <t>8-2 RECREATIONAL</t>
  </si>
  <si>
    <t>SNOHOMISH RIVER NET</t>
  </si>
  <si>
    <t>Subtotal Hatchery</t>
  </si>
  <si>
    <t>STILLY RIVER NET COHO DIRECTED</t>
  </si>
  <si>
    <t>Table2PRN total</t>
  </si>
  <si>
    <t>Total Area 8A Mortality:</t>
  </si>
  <si>
    <t>STILLY RIVER NET INCIDENTAL</t>
  </si>
  <si>
    <t>Stilly-Snohomish Stocks Total</t>
  </si>
  <si>
    <t>Stilly Tribe north 8A COHO DIRECTED</t>
  </si>
  <si>
    <t>All-Stocks Total</t>
  </si>
  <si>
    <t>Stl Wld ETRS</t>
  </si>
  <si>
    <t>Sno Wld ETRS</t>
  </si>
  <si>
    <t>Extreme Terminal Run Sizes</t>
  </si>
  <si>
    <t>NT:closed</t>
  </si>
  <si>
    <t>TULALIP SAF RECREATIONAL</t>
  </si>
  <si>
    <t>FRAM input</t>
  </si>
  <si>
    <t>SNOHOMISH RIVER RECREATIONAL</t>
  </si>
  <si>
    <t>STILLY RIVER RECREATIONAL</t>
  </si>
  <si>
    <t>SNOHOMISH R. RECREATIONAL</t>
  </si>
  <si>
    <t>Total Extreme Terminal Mortality:</t>
  </si>
  <si>
    <t>STILLY R. RECREATIONAL</t>
  </si>
  <si>
    <t>===12B===</t>
  </si>
  <si>
    <t>ESCAPEMENT (From TRunsPRN)</t>
  </si>
  <si>
    <t>STL HATCH</t>
  </si>
  <si>
    <t>SNO HATCH</t>
  </si>
  <si>
    <t>TUL HATCH</t>
  </si>
  <si>
    <t>8A NetPens</t>
  </si>
  <si>
    <t>WILD ESC</t>
  </si>
  <si>
    <t>TOTAL ESC</t>
  </si>
  <si>
    <t>ESCAPEMENT BREAKPOINT</t>
  </si>
  <si>
    <t>SPAWNING ESCAPEMENT</t>
  </si>
  <si>
    <t>rate</t>
  </si>
  <si>
    <t xml:space="preserve">net drop out </t>
  </si>
  <si>
    <t>sport drop off</t>
  </si>
  <si>
    <t>Wild Escapement Computation Audit:</t>
  </si>
  <si>
    <t>Stilly-Sno</t>
  </si>
  <si>
    <t xml:space="preserve">            Stillaguamish</t>
  </si>
  <si>
    <t xml:space="preserve">              Snohomish</t>
  </si>
  <si>
    <t>All are based on LANDED Catch!</t>
  </si>
  <si>
    <t>Old Way</t>
  </si>
  <si>
    <t>New Way</t>
  </si>
  <si>
    <t>Totmort</t>
  </si>
  <si>
    <t>Lnded</t>
  </si>
  <si>
    <t xml:space="preserve">       Computation</t>
  </si>
  <si>
    <t xml:space="preserve">   Item</t>
  </si>
  <si>
    <t>Nonlocals</t>
  </si>
  <si>
    <t>Locals only</t>
  </si>
  <si>
    <t>Wild TAA (M+U)</t>
  </si>
  <si>
    <t>($WLDM*$TAAM)+($WLDU*$TAAU) from TAMX</t>
  </si>
  <si>
    <t>Local + Nonlocal wild impacts in 8A(TM)</t>
  </si>
  <si>
    <t>(@SUM(treaty and nontreaty area 8 all-stocks catch))*%wild</t>
  </si>
  <si>
    <t>Local wild impacts in 8A (landed)</t>
  </si>
  <si>
    <t>Row 19</t>
  </si>
  <si>
    <t>Wild impacts in 8D and rivers</t>
  </si>
  <si>
    <t>Row 42, includes test and FWSport/SAF</t>
  </si>
  <si>
    <t>Freshwater Sport/SAF</t>
  </si>
  <si>
    <t>@SUM(SAF&amp;FWsport catches)</t>
  </si>
  <si>
    <t>Escapement(TAA-basis)</t>
  </si>
  <si>
    <t>TAA - area 8 impacts - river impacts + fwsport</t>
  </si>
  <si>
    <t>ETRS-Based</t>
  </si>
  <si>
    <t>Wild ETRS (M+U)</t>
  </si>
  <si>
    <t>($WLDM*$ETRSM)+($WLDU*$ETRSU) from TAMX</t>
  </si>
  <si>
    <t>Escapement(ETRS-basis)</t>
  </si>
  <si>
    <t>ETRS - river impacts</t>
  </si>
  <si>
    <t>Difference: Old TM TAA Base:</t>
  </si>
  <si>
    <t>Difference: New Lnded Local TAA Base:</t>
  </si>
  <si>
    <t>TABLE 13-A  &gt;&gt;&gt; HOOD CANAL &lt;&lt;&lt; COHO TERMINAL AREA MANAGEMENT MODULE</t>
  </si>
  <si>
    <t>TABLE 13-B  &gt;&gt;&gt; HOOD CANAL &lt;&lt;&lt; COHO TERMINAL AREA MANAGEMENT MODULE</t>
  </si>
  <si>
    <t>TABLE 13-C  &gt;&gt;&gt; HOOD CANAL &lt;&lt;&lt; COHO TAMM</t>
  </si>
  <si>
    <t>Table 13F.</t>
  </si>
  <si>
    <t>TABLE 13-E  &gt;&gt;&gt; HOOD CANAL &lt;&lt;&lt; COHO TERMINAL AREA MANAGEMENT MODULE</t>
  </si>
  <si>
    <t>Provides Hood Canal Terminal and Extreme Terminal Net and Freshwater Sport Catches &amp; Escapement</t>
  </si>
  <si>
    <t>HOOD CANAL Terminal Area Fishery Parameters used for FRAM modelling, &amp; associated regulations.</t>
  </si>
  <si>
    <t>Areas 12,12A,12B,12C Fishery COHO Harvest Rates (%TAA)</t>
  </si>
  <si>
    <t>COHO COHORT RECONSTRUCTION STOCK COMPOSITION IN EXTREME TERMINAL FISHERIES</t>
  </si>
  <si>
    <t>Not for use; Historic ref only</t>
  </si>
  <si>
    <t>Hood Canal Management / Production Units</t>
  </si>
  <si>
    <t>12/12B/12C/12D Skokomish</t>
  </si>
  <si>
    <t>9A</t>
  </si>
  <si>
    <t>12A</t>
  </si>
  <si>
    <t>Subtotals</t>
  </si>
  <si>
    <t>Natural</t>
  </si>
  <si>
    <t>Aggregate (3)</t>
  </si>
  <si>
    <t>Hatchery &amp; SecNat’l</t>
  </si>
  <si>
    <t>NonLocal</t>
  </si>
  <si>
    <t>TAA% Wld</t>
  </si>
  <si>
    <t>HC Wild</t>
  </si>
  <si>
    <t>M + U</t>
  </si>
  <si>
    <t>\1 "% wild input is avg. 1986-95 % primary wild in 9A or 12A.</t>
  </si>
  <si>
    <t>Recruits (Tot Fmort+Esc)</t>
  </si>
  <si>
    <t>ER</t>
  </si>
  <si>
    <t>Change</t>
  </si>
  <si>
    <t>Stock Composition By Production Unit and Extreme Terminal Fishery:</t>
  </si>
  <si>
    <t>All Stocks entering Hood Canal</t>
  </si>
  <si>
    <t>Computation for primary wild impacts is Harvest Rate (in %TAA) * (HCTAA)*avg.% primary wild</t>
  </si>
  <si>
    <t>Fmort</t>
  </si>
  <si>
    <t>From coho cohort reconstruction 1986-1998 averages (NL 2/12/00)</t>
  </si>
  <si>
    <t>Pattillo &amp; Brewer 3/12/97</t>
  </si>
  <si>
    <t>Extreme Terminal Fishery ---&gt;</t>
  </si>
  <si>
    <t xml:space="preserve">Area </t>
  </si>
  <si>
    <t>Skokomish</t>
  </si>
  <si>
    <t>TERMINAL (MARINE AREA 12-12B, 12C-12D) FISHERIES ; TOTAL MORTALITY</t>
  </si>
  <si>
    <t>S.Falcon Tr/Rec</t>
  </si>
  <si>
    <t>River</t>
  </si>
  <si>
    <t>NL 3/00</t>
  </si>
  <si>
    <t>TRTY</t>
  </si>
  <si>
    <t>NONTRTY</t>
  </si>
  <si>
    <t>TRTY all stks</t>
  </si>
  <si>
    <t>NTRTY all stks</t>
  </si>
  <si>
    <t>N.Falcon Tr/Rec</t>
  </si>
  <si>
    <t>Proportions:</t>
  </si>
  <si>
    <t>P.S. Troll</t>
  </si>
  <si>
    <t>Area 9A  Secondary Natural</t>
  </si>
  <si>
    <t>Aug</t>
  </si>
  <si>
    <t>Sep</t>
  </si>
  <si>
    <t>Oct</t>
  </si>
  <si>
    <t>Nov</t>
  </si>
  <si>
    <t>Strait Rec.</t>
  </si>
  <si>
    <t>Area 9A Hatchery Net Pens</t>
  </si>
  <si>
    <t>MARINE CHINOOK</t>
  </si>
  <si>
    <t>SJI Rec.</t>
  </si>
  <si>
    <t>Area 12 Natural</t>
  </si>
  <si>
    <t>Area 12/12B wild apportioned by relative run strength</t>
  </si>
  <si>
    <t>MARINE COHO</t>
  </si>
  <si>
    <t>Area 9 Rec.</t>
  </si>
  <si>
    <t>Catch of</t>
  </si>
  <si>
    <t>Big Quilcene Secondary Natural</t>
  </si>
  <si>
    <t>Big Quil. Wild and 12A nat-Aug. appn. by relative run strength</t>
  </si>
  <si>
    <t>MARINE CHUM TOTAL</t>
  </si>
  <si>
    <t>Area 8,10,11,13 Rec.</t>
  </si>
  <si>
    <t>HC stocks</t>
  </si>
  <si>
    <t>Big Quilcene Hatchery</t>
  </si>
  <si>
    <t>TERMINAL (MARINE AREA 12-12B, 12C-D) FISHERIES:</t>
  </si>
  <si>
    <t>Strait Net</t>
  </si>
  <si>
    <t>w/o 9A net</t>
  </si>
  <si>
    <t>in 9A net</t>
  </si>
  <si>
    <t>SJI Net</t>
  </si>
  <si>
    <t>wild</t>
  </si>
  <si>
    <t>Area 12A Hatchery Net Pens</t>
  </si>
  <si>
    <t>No. Sound Net</t>
  </si>
  <si>
    <t>hatch</t>
  </si>
  <si>
    <t>Area 12B  Natural</t>
  </si>
  <si>
    <t>So. Sound Net</t>
  </si>
  <si>
    <t>Area 12C Natural</t>
  </si>
  <si>
    <t>Area 12C/12D wild apportioned by relative run strength</t>
  </si>
  <si>
    <t>Hood Canal Rec.</t>
  </si>
  <si>
    <t>Total HC Catch</t>
  </si>
  <si>
    <t>HC Rivers Rec.</t>
  </si>
  <si>
    <t>Skokomish River Natural</t>
  </si>
  <si>
    <t>HC Mainstem Net</t>
  </si>
  <si>
    <t>Area 9A Net (1)</t>
  </si>
  <si>
    <t>9A catch in 9A net:</t>
  </si>
  <si>
    <t>G Adams Hatchery normal</t>
  </si>
  <si>
    <t>Area 12A&amp;Quilc Net (2)</t>
  </si>
  <si>
    <t>Area 12D Natural</t>
  </si>
  <si>
    <t>Skokomish R Net</t>
  </si>
  <si>
    <t>EXTREME TERMINAL (MARINE AREAS 9A,12A, &amp; FRESHWATER):</t>
  </si>
  <si>
    <t>Esc of</t>
  </si>
  <si>
    <t>Non-Hood Canal Stocks</t>
  </si>
  <si>
    <t>Skokomish R CHINOOK (82G)</t>
  </si>
  <si>
    <t>Mgt Unit Harvest</t>
  </si>
  <si>
    <t>ETRS%Wld</t>
  </si>
  <si>
    <t>HC hatchery</t>
  </si>
  <si>
    <t>Skokomish R COHO (82G)</t>
  </si>
  <si>
    <t>w/o 9A</t>
  </si>
  <si>
    <t>Sport:                          Areas 5</t>
  </si>
  <si>
    <t>Area 12A Wild</t>
  </si>
  <si>
    <t>Skokomish R CHUM (82G)</t>
  </si>
  <si>
    <t>Mgt Unit Escap.</t>
  </si>
  <si>
    <t>Total Esc</t>
  </si>
  <si>
    <t>Area 12/12B Wild</t>
  </si>
  <si>
    <t>Skokomish Proportion Wild</t>
  </si>
  <si>
    <t>Min. Escap. Target</t>
  </si>
  <si>
    <t>George Adams Hatchery</t>
  </si>
  <si>
    <t>EXTREME TERMINAL (MARINE AREAS 9A,12A; &amp; FRESHWATER) FISHERIES (INCLUDES FW SPORT):</t>
  </si>
  <si>
    <t>Area 9A COHO\1</t>
  </si>
  <si>
    <t>Notes:</t>
  </si>
  <si>
    <t>Non-9A HC TAA</t>
  </si>
  <si>
    <t>Area 12C/12D Wild</t>
  </si>
  <si>
    <t>Area 9A CHUM\1</t>
  </si>
  <si>
    <t>(1) The “9A Net” harvest also includes catch of “non-local” management/production units which are shown in the NonLocal column.</t>
  </si>
  <si>
    <t>Non-9A HC stock % caught in 9A</t>
  </si>
  <si>
    <t>Area 9A Proportion Wild</t>
  </si>
  <si>
    <t>(2) The proportion of “natural” coho in these fisheries was estimated separately, through cohort reconstruction, therefore it is not in agreement with Puget Sound run reconstruction figures, published elsewhere.</t>
  </si>
  <si>
    <t>Total Primary Wild</t>
  </si>
  <si>
    <t>Quilcene Bay COHO Net \1</t>
  </si>
  <si>
    <t>(3) These management units also contain naturally reared coho, which were estimated separately and then “aggregated” for modeling and management purposes, because of their secondary classification.</t>
  </si>
  <si>
    <t>Total Secondary Wild</t>
  </si>
  <si>
    <t>Quilcene Bay Proportion Wild</t>
  </si>
  <si>
    <t>Total hatchery</t>
  </si>
  <si>
    <t>Quilcene R NET</t>
  </si>
  <si>
    <t xml:space="preserve">old correction once needed for cell AL30 </t>
  </si>
  <si>
    <t>Band-Aid remaining from PFMC 2003 FRAM.</t>
  </si>
  <si>
    <t>FRAM</t>
  </si>
  <si>
    <t>Negative Esc Situation:</t>
  </si>
  <si>
    <t>Skokomish R Recreational</t>
  </si>
  <si>
    <t>As of 2/19/04 seems band-aid removed.</t>
  </si>
  <si>
    <t>To HC</t>
  </si>
  <si>
    <t>ESC</t>
  </si>
  <si>
    <t>Bay Ratios</t>
  </si>
  <si>
    <t>Area 9A COHO Net</t>
  </si>
  <si>
    <t>Not wanted for PSC FRAM!</t>
  </si>
  <si>
    <t>Quilcene W + NP:</t>
  </si>
  <si>
    <t>Area 9A CHUM Net</t>
  </si>
  <si>
    <t>Quilcene H:</t>
  </si>
  <si>
    <t>Area 9A Recreational</t>
  </si>
  <si>
    <t>Not a FRAM fishery</t>
  </si>
  <si>
    <t>Total:</t>
  </si>
  <si>
    <t>12-12BTribs RECREATIONAL</t>
  </si>
  <si>
    <t>12C-D Trib Recreational</t>
  </si>
  <si>
    <t xml:space="preserve">                  Recreational \1</t>
  </si>
  <si>
    <t>Quilcene R NET &amp; 12A Trib RECR.</t>
  </si>
  <si>
    <t>T: closed</t>
  </si>
  <si>
    <t>&gt;&gt;&gt; EXTR. TERM. SUBTOTAL:</t>
  </si>
  <si>
    <t>ESCAPEMENT COMPUTATIONS:  [based on extreme terminal run size - sum(etcatch)]</t>
  </si>
  <si>
    <t>Skokomish R RECREATIONAL</t>
  </si>
  <si>
    <t>Escapement Break Point</t>
  </si>
  <si>
    <t>Area 9A COHO Net \1</t>
  </si>
  <si>
    <t>SPAWNING ESCAPEMENT:</t>
  </si>
  <si>
    <t>WILD =</t>
  </si>
  <si>
    <t>TOTAL =</t>
  </si>
  <si>
    <t>Area 9A CHUM Net \1</t>
  </si>
  <si>
    <t>Area 9A Recreational \1</t>
  </si>
  <si>
    <t>12A trib Recreational.</t>
  </si>
  <si>
    <t>===13B===</t>
  </si>
  <si>
    <t>TABLE 14-A &gt;&gt;&gt; SOUTH SOUND &lt;&lt;&lt; COHO TERMINAL AREA MANAGEMENT MODULE</t>
  </si>
  <si>
    <t>TABLE 14-B &gt;&gt;&gt; SOUTH SOUND &lt;&lt;&lt; COHO TERMINAL AREA MANAGEMENT MODULE</t>
  </si>
  <si>
    <t/>
  </si>
  <si>
    <t>TABLE 14-C  &gt;&gt;&gt; SOUTH SOUND &lt;&lt;&lt; COHO TAMM</t>
  </si>
  <si>
    <t>TABLE 14-D  &gt;&gt;&gt; SOUTH SOUND &lt;&lt;&lt; COHO TERMINAL AREA MANAGEMENT MODULE</t>
  </si>
  <si>
    <t>TABLE 14-E  &gt;&gt;&gt; SOUTH SOUND &lt;&lt;&lt; COHO TERMINAL AREA MANAGEMENT MODULE</t>
  </si>
  <si>
    <t>Provides South Sound Terminal Allocation Computation, ITA, and Net and Freshwater Sport Catch Estimates</t>
  </si>
  <si>
    <t>SOUTH SOUND TAMM vs. FRAM LANDED catch comparisons</t>
  </si>
  <si>
    <t>Areas 10,10A,10E,11,11A,13,13A-K COHO Monthly Catch Breakouts</t>
  </si>
  <si>
    <t>SOUTH SOUND REGION COHO STATUS REPORT TABLE</t>
  </si>
  <si>
    <t>SOUTH SOUND REGION INTERTRIBAL ALLOCATION COMPUTATIONS</t>
  </si>
  <si>
    <t>bogus table</t>
  </si>
  <si>
    <t xml:space="preserve">        SOUTH SOUND COHO</t>
  </si>
  <si>
    <t>BASE SOUTH SOUND STOCK-SPECIFIC IMPACT CALCULATIONS (NO FISHERY ADJUSTMENTS):</t>
  </si>
  <si>
    <t>NOT QUITE READY FOR USE!!!</t>
  </si>
  <si>
    <t>Term. Harv.</t>
  </si>
  <si>
    <t>Expected Escapement</t>
  </si>
  <si>
    <t>Expected Escapement calculated in Table 14-D; Rate Xfers to TAMI</t>
  </si>
  <si>
    <t>"TAMM" PROJECTED SSND MARINE AREA CATCH BY MONTH (total projected harv * mnthly ppn):</t>
  </si>
  <si>
    <t>TAA Run Size</t>
  </si>
  <si>
    <t>TAA style</t>
  </si>
  <si>
    <t xml:space="preserve"> SPS stocks</t>
  </si>
  <si>
    <t>using</t>
  </si>
  <si>
    <t>Expected Test Catch</t>
  </si>
  <si>
    <t>FRAM catch BY MONTH:</t>
  </si>
  <si>
    <t>Remarks</t>
  </si>
  <si>
    <t>NTrty Marine Catch:</t>
  </si>
  <si>
    <t>Exiting</t>
  </si>
  <si>
    <t>10,10A,10E</t>
  </si>
  <si>
    <t>Area 11,11A</t>
  </si>
  <si>
    <t>11,11A</t>
  </si>
  <si>
    <t>all 13 marine</t>
  </si>
  <si>
    <t>Term. Esc.</t>
  </si>
  <si>
    <t xml:space="preserve">Marine Net </t>
  </si>
  <si>
    <t xml:space="preserve">&gt;&gt;&gt;&gt; STEP 2: DETERMINE AREA 10 CATCH VIS A VIS INTERTRIBAL ALLOCATION SHARING FORMULA </t>
  </si>
  <si>
    <t>Approx."50:50 Share"</t>
  </si>
  <si>
    <t>= (4brs + sum(sport,troll,non-landed)-esc goal-test)/2</t>
  </si>
  <si>
    <t>Trty Marine Catch:</t>
  </si>
  <si>
    <t>Net Run Size</t>
  </si>
  <si>
    <t>Net Harvest</t>
  </si>
  <si>
    <t>Net TM</t>
  </si>
  <si>
    <t>Ar 10</t>
  </si>
  <si>
    <t>Rates (TER)</t>
  </si>
  <si>
    <t>w/ TERs</t>
  </si>
  <si>
    <t xml:space="preserve">Escapement </t>
  </si>
  <si>
    <t>NTrty Ar10 FRAM TM</t>
  </si>
  <si>
    <t>TOTAL MARINE CATCH:</t>
  </si>
  <si>
    <t>Mid Sound Equity Computations:</t>
  </si>
  <si>
    <t>TREATY</t>
  </si>
  <si>
    <t>NON-TRTY</t>
  </si>
  <si>
    <t>NTrty Ar11 FRAM TM</t>
  </si>
  <si>
    <t>Lake Washington Natural</t>
  </si>
  <si>
    <t>MSnd prod.</t>
  </si>
  <si>
    <t>&lt;230</t>
  </si>
  <si>
    <t>230-350</t>
  </si>
  <si>
    <t>&gt;350</t>
  </si>
  <si>
    <t>NTrty Total:</t>
  </si>
  <si>
    <t>NTrty Ar 10 %</t>
  </si>
  <si>
    <t>Lake Washington Hatchery</t>
  </si>
  <si>
    <t>A10 no Equity</t>
  </si>
  <si>
    <t xml:space="preserve"> (40% of share passed through to extreme</t>
  </si>
  <si>
    <t>S of Falcon Troll</t>
  </si>
  <si>
    <t>from FRAM</t>
  </si>
  <si>
    <t>NTrty Ar10 Mnthly Catch</t>
  </si>
  <si>
    <t>MS term. harv</t>
  </si>
  <si>
    <t xml:space="preserve"> term. areas per 1996 intertribal agreement)</t>
  </si>
  <si>
    <t>S of Falcon Sport</t>
  </si>
  <si>
    <t>NTrty Ar11 Mnthly Catch</t>
  </si>
  <si>
    <t>Duwamish R. Natural</t>
  </si>
  <si>
    <t>MSnd Equity =</t>
  </si>
  <si>
    <t>N of Falcon Troll</t>
  </si>
  <si>
    <t xml:space="preserve">AR 3/1/00 </t>
  </si>
  <si>
    <t>Duwamish R. Hatchery</t>
  </si>
  <si>
    <t>Equity due =</t>
  </si>
  <si>
    <t>Mixed Stock Pool =</t>
  </si>
  <si>
    <t>N of Falcon Sport</t>
  </si>
  <si>
    <t>Trty Ar 10 %</t>
  </si>
  <si>
    <t>A10 Common =</t>
  </si>
  <si>
    <t>% Mixed Stock =</t>
  </si>
  <si>
    <t>Pgt Snd Troll</t>
  </si>
  <si>
    <t>Trty Ar10 Mnthly Catch</t>
  </si>
  <si>
    <t>Area 10 Misc. Hatchery</t>
  </si>
  <si>
    <t>Pgt Snd Mar. Sport</t>
  </si>
  <si>
    <t>SHARES</t>
  </si>
  <si>
    <t>Actual Impacts</t>
  </si>
  <si>
    <t>Trty non-10 Mnthly Catch</t>
  </si>
  <si>
    <t>Trty Ar10 FRAM TM</t>
  </si>
  <si>
    <t xml:space="preserve">dir. coho - chum wks 37-47 </t>
  </si>
  <si>
    <t>Area 10 Natural</t>
  </si>
  <si>
    <t>Intertribal Sharing:</t>
  </si>
  <si>
    <t>is 50:50 Share, which is:</t>
  </si>
  <si>
    <t>the first tier breakpoint of 230,000.</t>
  </si>
  <si>
    <t>Trty non-10 FRAM TM</t>
  </si>
  <si>
    <t>Projected FW Catch:</t>
  </si>
  <si>
    <t>Prior + Pre-Term</t>
  </si>
  <si>
    <t>"4B run size"</t>
  </si>
  <si>
    <t>= TAA + preterm net</t>
  </si>
  <si>
    <t>TAMM Trty Total (2):</t>
  </si>
  <si>
    <t>TAMM Trty SSND catch</t>
  </si>
  <si>
    <t>Total Trty SSND:</t>
  </si>
  <si>
    <t>Area 10E Natural</t>
  </si>
  <si>
    <t xml:space="preserve"> of 50:50 share-(priors+pre-term)-40% A10 common+MS equity</t>
  </si>
  <si>
    <t>====14C</t>
  </si>
  <si>
    <t>Area 10E Hatchery</t>
  </si>
  <si>
    <t>Other Marine &amp; FW</t>
  </si>
  <si>
    <t xml:space="preserve"> of 50:50 share + 40% of A10 common pool</t>
  </si>
  <si>
    <t>6/7/7A Net</t>
  </si>
  <si>
    <t>Other Marine (only)</t>
  </si>
  <si>
    <t>4B/5/6C Net</t>
  </si>
  <si>
    <t>Area 11 Natural</t>
  </si>
  <si>
    <t>Freshwater only</t>
  </si>
  <si>
    <t>Area 6B/9 Net</t>
  </si>
  <si>
    <t>based on run reconstruction stock composition</t>
  </si>
  <si>
    <t>Area 11 Hatchery</t>
  </si>
  <si>
    <t>Sum of ITA Catches</t>
  </si>
  <si>
    <t>Terminal Net Share</t>
  </si>
  <si>
    <t>SUM OF "PRIOR" AND PRETERMINAL</t>
  </si>
  <si>
    <t>Puyallup R. Natural</t>
  </si>
  <si>
    <t>&gt;&gt;&gt;&gt; STEP 3: DEAL WITH EQUITABLE ADJUSTMENT PAID/OWED</t>
  </si>
  <si>
    <t>NOTE: 1) STOCK-SPECIFIC EXPLOITATION RATES are being applied for Sept. &amp; Oct. SSND net (&amp; Recreatonal) catches.</t>
  </si>
  <si>
    <t>Puyallup R. Hatchery</t>
  </si>
  <si>
    <t>Catch w/o EQADJ:</t>
  </si>
  <si>
    <t>Catch</t>
  </si>
  <si>
    <t>PPN tot</t>
  </si>
  <si>
    <t>PPN Mar</t>
  </si>
  <si>
    <t>PPN non10</t>
  </si>
  <si>
    <t>EA Catch</t>
  </si>
  <si>
    <t>ADJ Catch</t>
  </si>
  <si>
    <t>"Terminal Area Abundance"</t>
  </si>
  <si>
    <t>= run entering area 10</t>
  </si>
  <si>
    <t xml:space="preserve">              2) For Treaty TAMM "TOTAL" shows Treaty harvestable shares; actual expected catch in monthly columns to the right.</t>
  </si>
  <si>
    <t xml:space="preserve">  Stock-specific impacts shown on Table 2A,2C (etc.) reflect the specific regulations in effect.</t>
  </si>
  <si>
    <t>Areas 13/13C Misc. Natural</t>
  </si>
  <si>
    <t>&gt;&gt;&gt;&gt; STEP 1: DETERMINE APPROXIMATE TERMINAL HARVESTABLE NET SHARES</t>
  </si>
  <si>
    <t>====14B</t>
  </si>
  <si>
    <t>Area 13/13C H&amp; Fox  Net Pens</t>
  </si>
  <si>
    <t>Other Marine</t>
  </si>
  <si>
    <t>Terminal Harvestable</t>
  </si>
  <si>
    <t>= share-priors-preterm</t>
  </si>
  <si>
    <t>Frshwtr Net Harvest</t>
  </si>
  <si>
    <t>Equitable Adj.</t>
  </si>
  <si>
    <t>Nisqually R. Natural</t>
  </si>
  <si>
    <t>Adjusted Harvestable</t>
  </si>
  <si>
    <t>Nisqually R. Hatchery</t>
  </si>
  <si>
    <t>NOTE: Payback to/from tribes accrues to/from Freshwater and "other marine"; to/from NTrty 10&amp;11 proportionally</t>
  </si>
  <si>
    <t>Area 13A  Natural</t>
  </si>
  <si>
    <t>&gt;&gt;&gt;&gt; STEP 4: ADDITIONAL AREA 10 TREATY FISHERY SHAPING ("ADJUSTMENTS")</t>
  </si>
  <si>
    <t>Minter Creek Hatchery</t>
  </si>
  <si>
    <t>ADJUSTMENTS:</t>
  </si>
  <si>
    <t>Base Catch</t>
  </si>
  <si>
    <t>Adj. Cat.</t>
  </si>
  <si>
    <t>= A10 chum incid/directed mid Sound A10 coho</t>
  </si>
  <si>
    <t>Area 10 Adj. Factor</t>
  </si>
  <si>
    <t>&lt;&lt;&lt;XFERS TO FRAM; If &gt;1, use as Ar 10 target catch, if &lt;=1, multiply by Ar10 base catch</t>
  </si>
  <si>
    <t>REFER TO TABLE 14E FOR COMPUTATIONS IN STEPS 2,3,4:</t>
  </si>
  <si>
    <t>Misc. 13D-K Natural</t>
  </si>
  <si>
    <t>Directed coho in Sept/chum incid in Oct/Nov</t>
  </si>
  <si>
    <t>South Sound Pens Hatchery</t>
  </si>
  <si>
    <t>Area 13F/Deschutes R. Nat.</t>
  </si>
  <si>
    <t>Use normal monthly breakouts for this category</t>
  </si>
  <si>
    <t>Subtotal Natural</t>
  </si>
  <si>
    <t>&gt;&gt;&gt;&gt; STEP 5: RECAPITULATION OF TREATY HARVESTABLE SHARE AND NON-TREATY ACTUAL EXPECTED CATCHES:</t>
  </si>
  <si>
    <t xml:space="preserve">        &gt;&gt;&gt;&gt;&gt;&gt;&gt;&gt; SeeTable 2D for actual expected Treaty catch.</t>
  </si>
  <si>
    <t>&gt;&gt;&gt;&gt; RECAPITULATION:</t>
  </si>
  <si>
    <t>Total South Sound non-10 Marine and FW</t>
  </si>
  <si>
    <t>Areas 11,13,13+</t>
  </si>
  <si>
    <t>Trty areas 10/11/13/13+: full dir. coho &amp; chum same inputs as 1997</t>
  </si>
  <si>
    <t>USE FOR FRAM EST. EXP. ESC.&gt;&gt;</t>
  </si>
  <si>
    <t>Freshwater Net</t>
  </si>
  <si>
    <t>====14D</t>
  </si>
  <si>
    <t>Unadjusted Treaty catch other marine</t>
  </si>
  <si>
    <t>TOTAL SPS Net Catch</t>
  </si>
  <si>
    <t>According to preseason fishery plans; subject to adjustment inseason</t>
  </si>
  <si>
    <t>Unadjusted Treaty catch FW</t>
  </si>
  <si>
    <t>based on inseason run size assessments</t>
  </si>
  <si>
    <t>Transfer from Area 11 reduction</t>
  </si>
  <si>
    <t>Puyallup proposed fishery cap of 4K, 3/16/95</t>
  </si>
  <si>
    <t>Share not harvested:</t>
  </si>
  <si>
    <t>Per preseason plan</t>
  </si>
  <si>
    <t>ETRS</t>
  </si>
  <si>
    <t>ss stock</t>
  </si>
  <si>
    <t>Adjusted Treaty % FW after transfer</t>
  </si>
  <si>
    <t>FWNET</t>
  </si>
  <si>
    <t>2'!AS68</t>
  </si>
  <si>
    <t>total esc.</t>
  </si>
  <si>
    <t>Unadjusted Treaty % FW</t>
  </si>
  <si>
    <t>Total to SPS</t>
  </si>
  <si>
    <t>FWSPS</t>
  </si>
  <si>
    <t>H. esc</t>
  </si>
  <si>
    <t>Difference of adjusted %s</t>
  </si>
  <si>
    <t>Term. Area Abundance</t>
  </si>
  <si>
    <t>Exp Esc</t>
  </si>
  <si>
    <t>W. esc</t>
  </si>
  <si>
    <t>====14E</t>
  </si>
  <si>
    <t>Exp Esc Wild</t>
  </si>
  <si>
    <t>Esc. Rate</t>
  </si>
  <si>
    <t>M+U</t>
  </si>
  <si>
    <t>Extreme Terminal Run</t>
  </si>
  <si>
    <t>ETRS Wild</t>
  </si>
  <si>
    <t>ETRS Hat.</t>
  </si>
  <si>
    <t xml:space="preserve">  UM Hat.</t>
  </si>
  <si>
    <t xml:space="preserve">  MK Hat.</t>
  </si>
  <si>
    <t>TABLE 15F &gt;&gt;&gt; NOOKSACK-SAMISH &lt;&lt;&lt; COHO TAMM</t>
  </si>
  <si>
    <t xml:space="preserve">Run Description:  </t>
  </si>
  <si>
    <t>TABLE 15-A  &gt;&gt;&gt; NOOKSACK-SAMISH &lt;&lt;&lt; COHO TERMINAL AREA MANAGEMENT MODULE</t>
  </si>
  <si>
    <t>TABLE 15-B &gt;&gt;&gt; NOOKSACK-SAMISH &lt;&lt;&lt; COHO TERMINAL AREA MANAGEMENT MODULE</t>
  </si>
  <si>
    <t>TABLE 15-C  &gt;&gt;&gt; NOOKSACK-SAMISH &lt;&lt;&lt; COHO TAMM</t>
  </si>
  <si>
    <t>TABLE 15-D  &gt;&gt;&gt; NOOKSACK-SAMISH &lt;&lt;&lt; COHO TAMM</t>
  </si>
  <si>
    <t>Provides Nooksack-Samish Terminal Allocation Computation and Net and Freshwater Sport Catch Estimates</t>
  </si>
  <si>
    <t>NOOKSACK-SAMISH aggregate, TAMM vs. FRAM Catch Comparisons</t>
  </si>
  <si>
    <t>Area(s) 7B (7C,7D?) Fisher(ies) COHO Monthly Catch Breakouts</t>
  </si>
  <si>
    <t>NOOKSACK-SAMISH REGION COHO STATUS REPORT TABLE</t>
  </si>
  <si>
    <t>Nooksack/Samish Management / Production Units</t>
  </si>
  <si>
    <t>NonLocal Stocks</t>
  </si>
  <si>
    <t>Total All Stocks</t>
  </si>
  <si>
    <t>Nooksack River</t>
  </si>
  <si>
    <t>Samish River</t>
  </si>
  <si>
    <t>7 &amp; 7A Independents</t>
  </si>
  <si>
    <t>Misc.</t>
  </si>
  <si>
    <t>Ns/Sm Production Units Subtotals</t>
  </si>
  <si>
    <t>Skookum Hat.</t>
  </si>
  <si>
    <t>Lummi Bay Hat.</t>
  </si>
  <si>
    <t xml:space="preserve">Hatchery </t>
  </si>
  <si>
    <t xml:space="preserve">     NOOKSACK-SAMISH COHO</t>
  </si>
  <si>
    <t>Recruits (Total Fmort+Esc.)</t>
  </si>
  <si>
    <t>All Stocks</t>
  </si>
  <si>
    <t>Nook/Sam</t>
  </si>
  <si>
    <t>Total Fmort</t>
  </si>
  <si>
    <t>IFR Fmort</t>
  </si>
  <si>
    <t>Expected Escapement calculated in Table 14-D; rate xfers to TAMI</t>
  </si>
  <si>
    <t>TAMM NTRTY MAR CATCH</t>
  </si>
  <si>
    <t>IN OCT</t>
  </si>
  <si>
    <t>Terminal net</t>
  </si>
  <si>
    <t>FRAM NTRTY MAR CATCH</t>
  </si>
  <si>
    <t>NTrty Bham Mnthly Catch</t>
  </si>
  <si>
    <t>Harvest</t>
  </si>
  <si>
    <t>Total Mort.</t>
  </si>
  <si>
    <t>TM</t>
  </si>
  <si>
    <t>GaStr Rec (N&amp;S)</t>
  </si>
  <si>
    <t>DIFFERENCE</t>
  </si>
  <si>
    <t>Amt TAMM over or (under) FRAM</t>
  </si>
  <si>
    <t>WC VI  Rec</t>
  </si>
  <si>
    <t>Trty Bham Mnthly Catch</t>
  </si>
  <si>
    <t>---- 7 &amp; 7A Independents ----</t>
  </si>
  <si>
    <t>JStrBC Rec</t>
  </si>
  <si>
    <t>TAMM TRTY MAR CATCH</t>
  </si>
  <si>
    <t xml:space="preserve">    Misc. Natural</t>
  </si>
  <si>
    <t>BC JDF Rec</t>
  </si>
  <si>
    <t>FRAM TRTY MAR CATCH</t>
  </si>
  <si>
    <t>Total Trty:</t>
  </si>
  <si>
    <t>Dakota Cr. Hatchery</t>
  </si>
  <si>
    <t>Canada Troll &amp; Net</t>
  </si>
  <si>
    <t>===15C===</t>
  </si>
  <si>
    <t>S. Falcon total</t>
  </si>
  <si>
    <t>7 &amp; 7A Ind. Total</t>
  </si>
  <si>
    <t>N. Falcon sport</t>
  </si>
  <si>
    <t>===15B====</t>
  </si>
  <si>
    <t>N. Falcon Non-Treaty troll</t>
  </si>
  <si>
    <t>----- Nooksack/Samish -----</t>
  </si>
  <si>
    <t>N. Falcon Treaty troll</t>
  </si>
  <si>
    <t>Misc. coastal terminal areas</t>
  </si>
  <si>
    <t>natural</t>
  </si>
  <si>
    <t>Strait JDF  Troll &amp; Net</t>
  </si>
  <si>
    <t>Strait JDF (A5/6) Rec.</t>
  </si>
  <si>
    <t>Kendall</t>
  </si>
  <si>
    <t>SJI &amp; Bellingham Bay Rec</t>
  </si>
  <si>
    <t>Skookum</t>
  </si>
  <si>
    <t>Areas: 8,9,10,11,12 &amp; 13 Rec</t>
  </si>
  <si>
    <t>Lummi Bay Hatchery</t>
  </si>
  <si>
    <t>SJI (A6/7/7A) Net</t>
  </si>
  <si>
    <t>Areas: 8,9,10,11,12&amp;13 Net</t>
  </si>
  <si>
    <t>Squalicum Hbr Pens</t>
  </si>
  <si>
    <t>A7BCDNetNT</t>
  </si>
  <si>
    <t>(None, per run reconstruction)</t>
  </si>
  <si>
    <t>Indian Slough/Bell Bay NetPens</t>
  </si>
  <si>
    <t>A7BCDNetTR</t>
  </si>
  <si>
    <t>Nooksack R Net</t>
  </si>
  <si>
    <t>Sum of "priors" and preterm:</t>
  </si>
  <si>
    <t>South Bay Net Pens</t>
  </si>
  <si>
    <t>Nooksack &amp; Samish R Rec</t>
  </si>
  <si>
    <t>"Term. Area Abundance"</t>
  </si>
  <si>
    <t>Samish R.   Natural</t>
  </si>
  <si>
    <t>Mgmt Unit Fishing Mortality</t>
  </si>
  <si>
    <t>Equit. Adj. Rate</t>
  </si>
  <si>
    <t>Mgmt Unit Exp. Escapement</t>
  </si>
  <si>
    <t>Calculated Value, not xfered to TAMI</t>
  </si>
  <si>
    <t>Adj. Term Hrvestable</t>
  </si>
  <si>
    <t>Total Nooks-Samish</t>
  </si>
  <si>
    <t>cross-check: StockSum Totals</t>
  </si>
  <si>
    <t>PPN Freshwater</t>
  </si>
  <si>
    <t>Marine Harvest</t>
  </si>
  <si>
    <t>Grand Tot. incl. 7/7A ind.</t>
  </si>
  <si>
    <t>Frshwtr Harvest</t>
  </si>
  <si>
    <t>===15D===</t>
  </si>
  <si>
    <t>RECAPITULATION OF ACTUAL EXPECTED CATCHES:</t>
  </si>
  <si>
    <t>Areas 7B,7C,7D</t>
  </si>
  <si>
    <t>TOTAL Net Catch</t>
  </si>
  <si>
    <t>Mrked</t>
  </si>
  <si>
    <t>TAA Wild</t>
  </si>
  <si>
    <t>TAA%Wld</t>
  </si>
  <si>
    <t>TABLE 16-A  &gt;&gt;&gt; STRAIT TRIBS. REGION &lt;&lt;&lt; COHO TERMINAL AREA MANAGEMENT MODULE</t>
  </si>
  <si>
    <t>Provides Projected Catches and Escapement for Strait Tributaries</t>
  </si>
  <si>
    <t>Table 16F.</t>
  </si>
  <si>
    <t>Strait of Juan de Fuca Coho Salmon Management / Production Units</t>
  </si>
  <si>
    <t>Miscellaneous Natural</t>
  </si>
  <si>
    <t>Elwha R.</t>
  </si>
  <si>
    <t>Dungeness R.</t>
  </si>
  <si>
    <t>REMARKS</t>
  </si>
  <si>
    <t>Eastern</t>
  </si>
  <si>
    <t>Western</t>
  </si>
  <si>
    <t>Aggregate(1)</t>
  </si>
  <si>
    <t>Hatchery &amp; Sec. Nat.</t>
  </si>
  <si>
    <t>Elwha NOR</t>
  </si>
  <si>
    <t>Elwha HOR</t>
  </si>
  <si>
    <t xml:space="preserve">TERMINAL AREA ABUNDANCE  </t>
  </si>
  <si>
    <t>M+U Aggregate run entering rivers or 6D</t>
  </si>
  <si>
    <t>All Units</t>
  </si>
  <si>
    <t>Primary \1</t>
  </si>
  <si>
    <t xml:space="preserve">ETRS </t>
  </si>
  <si>
    <t>%</t>
  </si>
  <si>
    <t>Nontrty</t>
  </si>
  <si>
    <t>Hat&amp;Wld</t>
  </si>
  <si>
    <t>Eastern Strait Tributaries Natural</t>
  </si>
  <si>
    <t>Dungeness Bay and River</t>
  </si>
  <si>
    <t>NT: WKS 38-43 1-5-5-5-5-5, T: 9/22-10/27.</t>
  </si>
  <si>
    <t>Elwha River</t>
  </si>
  <si>
    <t>P.A. Pens</t>
  </si>
  <si>
    <t>closed</t>
  </si>
  <si>
    <t>Admiralty Rec.</t>
  </si>
  <si>
    <t>Western Strait Tributaries Natural</t>
  </si>
  <si>
    <t>N. Sound Rec.</t>
  </si>
  <si>
    <t>S. Sound Rec.</t>
  </si>
  <si>
    <t>TOTAL STRAIT TRIBUTARIES</t>
  </si>
  <si>
    <t>&lt;-- Used in Table 2A</t>
  </si>
  <si>
    <t>San Juans Net</t>
  </si>
  <si>
    <t>Extr. Term. Escapement = ETRS - Term Net - FW sport</t>
  </si>
  <si>
    <t>Admiralty Net</t>
  </si>
  <si>
    <t>\1  Primary Units include Eastern and Western Strait Tributaries Natural</t>
  </si>
  <si>
    <t xml:space="preserve">    "Strait wild escape." goal (esp. in Table 2) refers to wild stock escapements in streams other than Dungeness and Elwha.</t>
  </si>
  <si>
    <t xml:space="preserve">    Secondary units include Dungeness and Elwha natural and hatchery and P.A. Pens.</t>
  </si>
  <si>
    <t>Hood Canal Net</t>
  </si>
  <si>
    <t>SJF Rivers FW Rec.</t>
  </si>
  <si>
    <t>6D Net</t>
  </si>
  <si>
    <t>Elwha/Dungeness FW Net</t>
  </si>
  <si>
    <t>Misc. FW Net</t>
  </si>
  <si>
    <t>Mgmt Unit Harvest</t>
  </si>
  <si>
    <t>SUS Harvest</t>
  </si>
  <si>
    <t>Min. Escapement Target</t>
  </si>
  <si>
    <t>(1) For 2010, the Elwha R. “pre-season Aggregate” is composed of 45.7% secondary wild, and 54.3% hatchery coho salmon.  The Dungeness R. “pre-season Aggregate” is composed of 17.5% secondary wild and 82.5% hatchery coho salmon.</t>
  </si>
  <si>
    <t>FRAM escapement by MU:</t>
  </si>
  <si>
    <t>hatchery</t>
  </si>
  <si>
    <t xml:space="preserve">PSF for 2010 (OA3):  </t>
  </si>
  <si>
    <t>Hatch</t>
  </si>
  <si>
    <t>Secondary Wild</t>
  </si>
  <si>
    <t>Please do not reformat tables. Formatting is deliberate for efficient incorporation into STT documents. Thank you.</t>
  </si>
  <si>
    <t xml:space="preserve">PFMC Preseason Table 7 </t>
  </si>
  <si>
    <t>PFMC Table 5</t>
  </si>
  <si>
    <t>PROJECTED</t>
  </si>
  <si>
    <t>LCN</t>
  </si>
  <si>
    <t>OCN</t>
  </si>
  <si>
    <t>RK</t>
  </si>
  <si>
    <t>Key Stock/Criteria</t>
  </si>
  <si>
    <t>Alt</t>
  </si>
  <si>
    <t>Limits</t>
  </si>
  <si>
    <t>AK</t>
  </si>
  <si>
    <t>COHO</t>
  </si>
  <si>
    <t>BC</t>
  </si>
  <si>
    <t>Puget Sound/Strait/Bay</t>
  </si>
  <si>
    <t>Interior Fraser (Thompson River)</t>
  </si>
  <si>
    <t>North of Cape Falcon</t>
  </si>
  <si>
    <t xml:space="preserve">  Treaty Troll</t>
  </si>
  <si>
    <t>Stillaguamish</t>
  </si>
  <si>
    <t xml:space="preserve">  Recreational</t>
  </si>
  <si>
    <t xml:space="preserve">  NonIndian Troll</t>
  </si>
  <si>
    <t>Strait of Juan de Fuca</t>
  </si>
  <si>
    <t>South of Falcon</t>
  </si>
  <si>
    <t>Recreational</t>
  </si>
  <si>
    <t xml:space="preserve">   Cape Falcon to Humbug</t>
  </si>
  <si>
    <t>Quillayute Fall</t>
  </si>
  <si>
    <t xml:space="preserve">   Humbug Mt OR/CA border </t>
  </si>
  <si>
    <t xml:space="preserve">   OR/CA border to Horse Mtn</t>
  </si>
  <si>
    <t xml:space="preserve">   Fort Bragg</t>
  </si>
  <si>
    <t xml:space="preserve">   South of PT Arena</t>
  </si>
  <si>
    <t>Queets Wild</t>
  </si>
  <si>
    <t>Troll</t>
  </si>
  <si>
    <t xml:space="preserve">Grays Harbor </t>
  </si>
  <si>
    <t>Willapa Bay</t>
  </si>
  <si>
    <t>Lower Columbia River Natural</t>
  </si>
  <si>
    <t xml:space="preserve">(threatened) </t>
  </si>
  <si>
    <t>Upper Columbiac/</t>
  </si>
  <si>
    <t>Columbia River Hatchery Early</t>
  </si>
  <si>
    <t>TOTALS</t>
  </si>
  <si>
    <t>Columbia River Hatchery Late</t>
  </si>
  <si>
    <t>Total (B10 + FW) starting at April Council</t>
  </si>
  <si>
    <t>(Includes FW)</t>
  </si>
  <si>
    <t>(Excludes FW)</t>
  </si>
  <si>
    <t>Oregon Coastal Natural</t>
  </si>
  <si>
    <t xml:space="preserve">Southern Oregon/Northern California Coast (threatened) </t>
  </si>
  <si>
    <t>Pre 1 Report Table V-6</t>
  </si>
  <si>
    <t>Pre 1 Report Table V-7</t>
  </si>
  <si>
    <t xml:space="preserve">20xx Abundance Forecasts
</t>
  </si>
  <si>
    <r>
      <t>2021 FMP Conservation Objective</t>
    </r>
    <r>
      <rPr>
        <b/>
        <vertAlign val="superscript"/>
        <sz val="10"/>
        <rFont val="Arial"/>
        <family val="2"/>
      </rPr>
      <t>d/</t>
    </r>
  </si>
  <si>
    <t xml:space="preserve">Projected Harvest Mortality and Exploitation Rate </t>
  </si>
  <si>
    <t xml:space="preserve">Stock       </t>
  </si>
  <si>
    <t xml:space="preserve">Ocean Escapement </t>
  </si>
  <si>
    <t>Exploitation Rate</t>
  </si>
  <si>
    <t>Natural Coho Stocks</t>
  </si>
  <si>
    <t>Number</t>
  </si>
  <si>
    <t>Percent</t>
  </si>
  <si>
    <t>Exploitation Rate ≤</t>
  </si>
  <si>
    <t>SOUTHEAST ALASKA</t>
  </si>
  <si>
    <t>BRITISH COLUMBIA</t>
  </si>
  <si>
    <t>PUGET SOUND/STRAITS</t>
  </si>
  <si>
    <t>6.3 - 15.8 Spawners</t>
  </si>
  <si>
    <t>2.0 - 5.0 Spawners</t>
  </si>
  <si>
    <t>NORTH OF CAPE FALCON</t>
  </si>
  <si>
    <t>5.8 - 14.5 Spawners</t>
  </si>
  <si>
    <t xml:space="preserve">   Recreational</t>
  </si>
  <si>
    <t>Grays Harbor</t>
  </si>
  <si>
    <t>35.4 Spawners</t>
  </si>
  <si>
    <t xml:space="preserve">   Treaty Indian Troll</t>
  </si>
  <si>
    <t xml:space="preserve">   Non-Indian Troll</t>
  </si>
  <si>
    <t>R/K</t>
  </si>
  <si>
    <t>SOUTH OF CAPE FALCON</t>
  </si>
  <si>
    <t>Recreational:</t>
  </si>
  <si>
    <t>Hatchery Coho Stocks</t>
  </si>
  <si>
    <t xml:space="preserve">   Cape Falcon to Humbug Mt.</t>
  </si>
  <si>
    <t>Columbia Early</t>
  </si>
  <si>
    <t xml:space="preserve">  6.2 Hatchery Escapement</t>
  </si>
  <si>
    <t xml:space="preserve">   Humbug Mt. to Horse Mt. (KMZ)</t>
  </si>
  <si>
    <t>Columbia Late</t>
  </si>
  <si>
    <t>14.2 Hatchery Escapement</t>
  </si>
  <si>
    <t xml:space="preserve">Transfer table values into Pre 1 Table V-6. Conservation objectives should be associated with the </t>
  </si>
  <si>
    <t xml:space="preserve">   South of Pt. Arena</t>
  </si>
  <si>
    <t>Next year's Abundance Last year's Fisheries (NALF) model run TAMM</t>
  </si>
  <si>
    <t>Troll:</t>
  </si>
  <si>
    <t>Pre 1 Report V-4/ Pre 3 Report Table 12</t>
  </si>
  <si>
    <t>Coho</t>
  </si>
  <si>
    <t>Forecast (Estimated Adult Spawning Escapement)</t>
  </si>
  <si>
    <t>Total ER</t>
  </si>
  <si>
    <t>BUOY 10</t>
  </si>
  <si>
    <t>ESTUARY/FRESHWATER</t>
  </si>
  <si>
    <t>NA</t>
  </si>
  <si>
    <t>Juan de Fuca</t>
  </si>
  <si>
    <t>2021 Stocks of Concern Quick Reference</t>
  </si>
  <si>
    <t>Grays Harbor Wild</t>
  </si>
  <si>
    <t>Hoh Wild</t>
  </si>
  <si>
    <t>Quillayute Wild</t>
  </si>
  <si>
    <t>Ocean Esc</t>
  </si>
  <si>
    <t>SUS NT Ocean ER</t>
  </si>
  <si>
    <t>Treaty Troll ER</t>
  </si>
  <si>
    <t>Treaty trl Mort</t>
  </si>
  <si>
    <t>TOT SUS NT ocean mort</t>
  </si>
  <si>
    <t>NOF NT troll mort</t>
  </si>
  <si>
    <t>NOF sport</t>
  </si>
  <si>
    <t>SOF mort</t>
  </si>
  <si>
    <t>NOF NT Total ER</t>
  </si>
  <si>
    <t>SOF Ocean ER</t>
  </si>
  <si>
    <t>Terminal ER</t>
  </si>
  <si>
    <t>Model Result Quick Reference Table</t>
  </si>
  <si>
    <t>Model Run</t>
  </si>
  <si>
    <t>Marine ER</t>
  </si>
  <si>
    <t>Spawning Esc.</t>
  </si>
  <si>
    <t>NT Marine ER</t>
  </si>
  <si>
    <t>Coastal Wild Stock Worksheet - Dip-ins included in abundance</t>
  </si>
  <si>
    <t>Exploitation Rates</t>
  </si>
  <si>
    <t xml:space="preserve">Impacts  </t>
  </si>
  <si>
    <t xml:space="preserve">Total Abundance </t>
  </si>
  <si>
    <t>Spawning Escapement</t>
  </si>
  <si>
    <t>Escapement Goal</t>
  </si>
  <si>
    <t xml:space="preserve">Total All Fisheries </t>
  </si>
  <si>
    <t>NT + T</t>
  </si>
  <si>
    <t>Total SUS</t>
  </si>
  <si>
    <t>Total Local Terminal Catch</t>
  </si>
  <si>
    <t>Treaty Net w/o Dip ins</t>
  </si>
  <si>
    <t>Total Ocean SUS w/o B10</t>
  </si>
  <si>
    <t xml:space="preserve">Ocean SUS w/o B10          </t>
  </si>
  <si>
    <t xml:space="preserve">Treaty Troll </t>
  </si>
  <si>
    <t xml:space="preserve">NOF ocean  w/o B10          </t>
  </si>
  <si>
    <t xml:space="preserve">NOF ocean troll w/o B10    </t>
  </si>
  <si>
    <t xml:space="preserve">NOF ocean rec w/o B10     </t>
  </si>
  <si>
    <t xml:space="preserve">SOF ocean                      </t>
  </si>
  <si>
    <t xml:space="preserve">SOF ocean troll                 </t>
  </si>
  <si>
    <t xml:space="preserve">SOF ocean rec                 </t>
  </si>
  <si>
    <t>Queets Coho Aggregate (H+W) Impacts</t>
  </si>
  <si>
    <t>Impacts</t>
  </si>
  <si>
    <t>PSC Total incl. Dip-ins</t>
  </si>
  <si>
    <t>PSC Total w/o Dip-ins</t>
  </si>
  <si>
    <t>PSC Non-treaty</t>
  </si>
  <si>
    <t>PSC Treaty</t>
  </si>
  <si>
    <t>SUS Total incl. Dip-ins</t>
  </si>
  <si>
    <t>SUS Total w/o Dip-ins</t>
  </si>
  <si>
    <t>Terminal Area Dip-in Catch</t>
  </si>
  <si>
    <t>Terminal Area Non-Treat Dip-in</t>
  </si>
  <si>
    <t>Terminal Area Treaty Dip-in</t>
  </si>
  <si>
    <t>SUS Non-treaty incl. Dip-ins</t>
  </si>
  <si>
    <t>SUS Non-treaty w/o Dip-ins</t>
  </si>
  <si>
    <t>SUS Treaty incl. Dip-ins</t>
  </si>
  <si>
    <t>SUS Treaty w/o Dip-ins</t>
  </si>
  <si>
    <t>NOF Total incl. Dip-ins</t>
  </si>
  <si>
    <t>NOF Total w/o Dip-ins</t>
  </si>
  <si>
    <t>NOF Non-treay</t>
  </si>
  <si>
    <t>NOF Treaty</t>
  </si>
  <si>
    <t>Ocean SUS Non-treaty w/o B10</t>
  </si>
  <si>
    <t>Ocean Treaty Troll</t>
  </si>
  <si>
    <t>Terminal Net Treaty</t>
  </si>
  <si>
    <t>Terminal Sport Non-Treaty</t>
  </si>
  <si>
    <t xml:space="preserve">Table 1.  WA coastal terminal fishery inputs and flagging for FRAM or Terminal model catches.  </t>
  </si>
  <si>
    <t>Table 2.  Total mortality of coastal wild coho stocks in coastal terminal net fishery areas.</t>
  </si>
  <si>
    <t xml:space="preserve">model description:  </t>
  </si>
  <si>
    <t>FRAM run:</t>
  </si>
  <si>
    <t>TAMM</t>
  </si>
  <si>
    <t>Net Fishery Area</t>
  </si>
  <si>
    <t>Inputs</t>
  </si>
  <si>
    <t>Flag:</t>
  </si>
  <si>
    <t>Quinault</t>
  </si>
  <si>
    <t>Grays Harbor a/</t>
  </si>
  <si>
    <t>Willapa</t>
  </si>
  <si>
    <t>Stocks</t>
  </si>
  <si>
    <t>Fisheries</t>
  </si>
  <si>
    <t>-88 = Term Model</t>
  </si>
  <si>
    <t>Quillayute Summer</t>
  </si>
  <si>
    <t xml:space="preserve">Harvest </t>
  </si>
  <si>
    <t>from</t>
  </si>
  <si>
    <t>-99=FRAM CMD</t>
  </si>
  <si>
    <t>(landed mort.)</t>
  </si>
  <si>
    <t>Rates</t>
  </si>
  <si>
    <t>Har. Rates</t>
  </si>
  <si>
    <t>na=na</t>
  </si>
  <si>
    <t>FRAM Catch Inputs</t>
  </si>
  <si>
    <t>(total mort.)</t>
  </si>
  <si>
    <t>Quillayute Net</t>
  </si>
  <si>
    <t xml:space="preserve">Truns </t>
  </si>
  <si>
    <t>modeling</t>
  </si>
  <si>
    <t>Term</t>
  </si>
  <si>
    <t>Quillayute Terminal Fisheries</t>
  </si>
  <si>
    <t>Ratios</t>
  </si>
  <si>
    <t>parsing</t>
  </si>
  <si>
    <t>runsizes</t>
  </si>
  <si>
    <t>catch</t>
  </si>
  <si>
    <t xml:space="preserve">   Net</t>
  </si>
  <si>
    <t>Local Only</t>
  </si>
  <si>
    <t>With Dip-Ins</t>
  </si>
  <si>
    <t>Input estimated for FRAM</t>
  </si>
  <si>
    <t>modeled FRAM Catch Input</t>
  </si>
  <si>
    <t>Quillayute Falls Hatch</t>
  </si>
  <si>
    <t>Local</t>
  </si>
  <si>
    <t>Quillayute Falls Wild</t>
  </si>
  <si>
    <t>FRAM output total:</t>
  </si>
  <si>
    <t>Non-local</t>
  </si>
  <si>
    <t>Quillayute Smmr Hatch</t>
  </si>
  <si>
    <t xml:space="preserve">   Net:  </t>
  </si>
  <si>
    <t>TOTAL:</t>
  </si>
  <si>
    <t>Values incorporating additional dip-in catch</t>
  </si>
  <si>
    <t>a/ Nontreaty marine net and sport only; treaty fishery all local stock.</t>
  </si>
  <si>
    <t>Quillayute Smmr Wild</t>
  </si>
  <si>
    <t>Time step ratio from Quillayute terminal model</t>
  </si>
  <si>
    <t>Non-Local</t>
  </si>
  <si>
    <t>-------------</t>
  </si>
  <si>
    <t>sum of inputs</t>
  </si>
  <si>
    <t>Table 3. Wild coastal coho stock distribution for contribution of those stocks to coastal terminal net fishery areas.</t>
  </si>
  <si>
    <t>Total catch from Term Modeling</t>
  </si>
  <si>
    <t>Percent Non-local in Net Catch:</t>
  </si>
  <si>
    <t>with drop-out mortality</t>
  </si>
  <si>
    <t xml:space="preserve">              </t>
  </si>
  <si>
    <t>Catch that is Non-local</t>
  </si>
  <si>
    <t>Catch that is Local</t>
  </si>
  <si>
    <t xml:space="preserve">   Sport</t>
  </si>
  <si>
    <t>Additional Non-local FRAM catch</t>
  </si>
  <si>
    <t>Sept-Dec</t>
  </si>
  <si>
    <t xml:space="preserve">   Sport:  </t>
  </si>
  <si>
    <t>Corrected TOTAL Term Catch:</t>
  </si>
  <si>
    <t>with drop-off mortality</t>
  </si>
  <si>
    <t xml:space="preserve">Total (landed):  </t>
  </si>
  <si>
    <t xml:space="preserve">Total (total mort):  </t>
  </si>
  <si>
    <t>Hoh Terminal Fisheries</t>
  </si>
  <si>
    <t>Hoh Hatch</t>
  </si>
  <si>
    <t>coastal wild non-local</t>
  </si>
  <si>
    <t xml:space="preserve">Coastal Wild: </t>
  </si>
  <si>
    <t>other non-local</t>
  </si>
  <si>
    <t>Values incorporating the dip-in catch</t>
  </si>
  <si>
    <t xml:space="preserve">Other stocks: </t>
  </si>
  <si>
    <t>Time step ratio from Hoh model (local wild)</t>
  </si>
  <si>
    <t>Nonlocal Coastal Wild % of (Local + Nonlocal Wild):</t>
  </si>
  <si>
    <t>sum of FRAM inputs</t>
  </si>
  <si>
    <t>Table 4.  Distribution of coastal wild coho stocks in coastal terminal net fishery areas.</t>
  </si>
  <si>
    <t>Nonlocal Other Stocks % of (Local + Nonlocal other):</t>
  </si>
  <si>
    <t>Queets Terminal Fisheries</t>
  </si>
  <si>
    <t>Splits and H.R. inputs 2022 from Tyler J. 4/10/22</t>
  </si>
  <si>
    <t>Queets Hatch</t>
  </si>
  <si>
    <t>Queest Supple</t>
  </si>
  <si>
    <t xml:space="preserve">Quinault Wild: </t>
  </si>
  <si>
    <t>Time step ratio</t>
  </si>
  <si>
    <t xml:space="preserve">Other Coastal Wild: </t>
  </si>
  <si>
    <t>H.R. inputs 2022 from Mike S 4/10/22</t>
  </si>
  <si>
    <t>Table 5. FRAM ocean escapements and terminal area catch of Washington coastal terminal coho stocks.</t>
  </si>
  <si>
    <t xml:space="preserve">Model run:  </t>
  </si>
  <si>
    <t xml:space="preserve">Description: </t>
  </si>
  <si>
    <t>Stocks:</t>
  </si>
  <si>
    <t>---------  Terminal Area Catches:  ---------</t>
  </si>
  <si>
    <t>Modeling Method</t>
  </si>
  <si>
    <t>Esc.</t>
  </si>
  <si>
    <t>NT- Net</t>
  </si>
  <si>
    <t>Sport Marine</t>
  </si>
  <si>
    <t>T-Net</t>
  </si>
  <si>
    <t>Sport FW</t>
  </si>
  <si>
    <t>Quinault Terminal Fisheries</t>
  </si>
  <si>
    <t>Splits &amp; H.R. inputs 2022 from Jim J./Tyler J. 4/09/22</t>
  </si>
  <si>
    <t>Quinault Hatch</t>
  </si>
  <si>
    <t>FRAM output</t>
  </si>
  <si>
    <t>Quinault Wild</t>
  </si>
  <si>
    <t>H.R. inputs 2022 from Mike Sh. 4/11/22</t>
  </si>
  <si>
    <t xml:space="preserve">  Quinault Hatch</t>
  </si>
  <si>
    <t>Grays Harbor Terminal Fisheries</t>
  </si>
  <si>
    <t>GryHbr  Net (non-treaty)</t>
  </si>
  <si>
    <t>Grays Harbor NP</t>
  </si>
  <si>
    <t>Chehalis Hatch</t>
  </si>
  <si>
    <t>Chehalis Wild</t>
  </si>
  <si>
    <t>--------  Terminal Area Catches:  --------</t>
  </si>
  <si>
    <t>Humptulips Hatch</t>
  </si>
  <si>
    <t>Treaty-Net</t>
  </si>
  <si>
    <t>Humptulips Wild</t>
  </si>
  <si>
    <t>Lower Chehalis Net (treaty)</t>
  </si>
  <si>
    <t>---------------------------------   Terminal Area Catches:   ---------------------------------</t>
  </si>
  <si>
    <t xml:space="preserve"> ------------ Treaty-Net -----------</t>
  </si>
  <si>
    <t xml:space="preserve"> ------ Sport FW ------</t>
  </si>
  <si>
    <t>Low. Cheh.</t>
  </si>
  <si>
    <t>Up. Cheh.</t>
  </si>
  <si>
    <t>Hump.</t>
  </si>
  <si>
    <t>Cheh. System</t>
  </si>
  <si>
    <t>Humptulips Net (treaty)</t>
  </si>
  <si>
    <t xml:space="preserve">Upper Chehalis Tribal Net </t>
  </si>
  <si>
    <t xml:space="preserve">   Grays Harbor (Area 2.2) Sport</t>
  </si>
  <si>
    <t>Stray Rate</t>
  </si>
  <si>
    <t xml:space="preserve">   South Grays Harbor Sport</t>
  </si>
  <si>
    <t xml:space="preserve">   Chehalis River Sport</t>
  </si>
  <si>
    <t xml:space="preserve">   Humptulips River Sport</t>
  </si>
  <si>
    <t>Willapa Terminal Fisheries</t>
  </si>
  <si>
    <t>Splits &amp; H.R. inputs draft 2022 from MarleneW/JodyP/ChadH 4/10/22</t>
  </si>
  <si>
    <t>Willapa Hatch</t>
  </si>
  <si>
    <t>Willapa Wild</t>
  </si>
  <si>
    <t>Catch from Willapa model</t>
  </si>
  <si>
    <t xml:space="preserve">   Willapa Bay (Area 2.1) Sport</t>
  </si>
  <si>
    <t>Catch ratio as provided for 2017</t>
  </si>
  <si>
    <t xml:space="preserve">   Willapa Bay Tributary (freshwater) Sport</t>
  </si>
  <si>
    <t>Do Not Alter Table - Data is read directly into FRAM -
If Run Coastal Iterations box is checked when running model</t>
  </si>
  <si>
    <t>Fishery ID</t>
  </si>
  <si>
    <t>Fishery Name</t>
  </si>
  <si>
    <t>Oct +</t>
  </si>
  <si>
    <t>Willapa Bay sport</t>
  </si>
  <si>
    <t>Willapa fw sport</t>
  </si>
  <si>
    <t>n.a.</t>
  </si>
  <si>
    <t>Willapa net</t>
  </si>
  <si>
    <t>Grays Harbor (2.2) sport</t>
  </si>
  <si>
    <t>South Grays Harbor sport</t>
  </si>
  <si>
    <t>Grays Harbor NT-net</t>
  </si>
  <si>
    <t>Humptulipis sport</t>
  </si>
  <si>
    <t>Lower Chehalis net</t>
  </si>
  <si>
    <t>Chehalis sport</t>
  </si>
  <si>
    <t>Humptulips net</t>
  </si>
  <si>
    <t>Upper Chehalis net</t>
  </si>
  <si>
    <t>Quinault sport</t>
  </si>
  <si>
    <t>62 - No BP?</t>
  </si>
  <si>
    <t>Quinault net</t>
  </si>
  <si>
    <t>Queets sport</t>
  </si>
  <si>
    <t>Queets net</t>
  </si>
  <si>
    <t>Quilayute sport</t>
  </si>
  <si>
    <t>Quilayute net</t>
  </si>
  <si>
    <t>Hoh sport</t>
  </si>
  <si>
    <t>Hoh net</t>
  </si>
  <si>
    <t xml:space="preserve">MB: 2016 Final Preseason Run (Coho1637) - Actual Model Inputs used for revised STT April + NOF co-manager </t>
  </si>
  <si>
    <t xml:space="preserve">TABLE T:  THOMPSON AND UPPER FRASER COHO FISHERY IMPACT SUMMARY </t>
  </si>
  <si>
    <t>Impacts are expressed as total fishery-related mortality, incl. landed catch, non-retention mort.,</t>
  </si>
  <si>
    <t xml:space="preserve">      and other fishery-related mortality.</t>
  </si>
  <si>
    <t>Interior Fraser</t>
  </si>
  <si>
    <t xml:space="preserve">Projected Escapement </t>
  </si>
  <si>
    <t>Projected Pre-Terminal Exploitation Rate</t>
  </si>
  <si>
    <t>US - Ocean ER</t>
  </si>
  <si>
    <t>Exploitation in U.S. Fisheries</t>
  </si>
  <si>
    <t>Expl. Rate</t>
  </si>
  <si>
    <t>CANADIAN (marine)</t>
  </si>
  <si>
    <t>CANADIAN (freshwater)</t>
  </si>
  <si>
    <t>SOUTH OF FALCON &amp; COL R</t>
  </si>
  <si>
    <t>Treaty Troll                Area 2</t>
  </si>
  <si>
    <t>Treaty Troll                Area 3</t>
  </si>
  <si>
    <t>Treaty Troll                Area 4</t>
  </si>
  <si>
    <t>NT  Troll                               Area 1</t>
  </si>
  <si>
    <t>NT  Troll                               Area 2</t>
  </si>
  <si>
    <t>NT  Troll                               Area 3</t>
  </si>
  <si>
    <t>NT  Troll                               Area 4</t>
  </si>
  <si>
    <t>NT  Sport             Buoy 10 &amp; Area 1</t>
  </si>
  <si>
    <t>NT  Sport                             Area 2</t>
  </si>
  <si>
    <t>NT  Sport                             Area 3</t>
  </si>
  <si>
    <t>NT  Sport                             Area 4*</t>
  </si>
  <si>
    <t>JDF Troll and Net</t>
  </si>
  <si>
    <t>SJI   6/7/7A  NT  Net</t>
  </si>
  <si>
    <t>SJI   6/7/7A   T  Net</t>
  </si>
  <si>
    <t>Sport:                                   Area 5</t>
  </si>
  <si>
    <t xml:space="preserve">                                            Area 6</t>
  </si>
  <si>
    <t xml:space="preserve">                                            Area 7</t>
  </si>
  <si>
    <t xml:space="preserve">                                       Area 8-13</t>
  </si>
  <si>
    <t>Puget Sound Terminal net</t>
  </si>
  <si>
    <t>WA Extreme Terminal Net &amp; FW Sport</t>
  </si>
  <si>
    <t>*   Area 4 Sport numbers include 4B add-on, if any, and a number of fish caught on</t>
  </si>
  <si>
    <t xml:space="preserve">    Canadian licenses in areas 4 and 4B.</t>
  </si>
  <si>
    <t>COHO TERMINAL &amp; EXTREME TERMINAL NET &amp; SPORT FISHERY INPUT AREA</t>
  </si>
  <si>
    <t>Input by:</t>
  </si>
  <si>
    <t>Run:</t>
  </si>
  <si>
    <t>Description:</t>
  </si>
  <si>
    <t>Flags:</t>
  </si>
  <si>
    <t>1=catch</t>
  </si>
  <si>
    <t>3=%TAA</t>
  </si>
  <si>
    <t>2=Effort Scalar</t>
  </si>
  <si>
    <t>4=%ETRS</t>
  </si>
  <si>
    <t xml:space="preserve">   September:    </t>
  </si>
  <si>
    <t>October-Decmber:</t>
  </si>
  <si>
    <t>Region</t>
  </si>
  <si>
    <t>Flag</t>
  </si>
  <si>
    <t>TAMM INPUTS</t>
  </si>
  <si>
    <t>PK 3/4/2022</t>
  </si>
  <si>
    <t>September Time Period:</t>
  </si>
  <si>
    <t>Oct-Dec Time Period:</t>
  </si>
  <si>
    <t xml:space="preserve"> FishNum</t>
  </si>
  <si>
    <t>FRAM Fishery</t>
  </si>
  <si>
    <t>Scalar/Quota</t>
  </si>
  <si>
    <t>Spring Chinook: Swinomish wks 18-21: 7,6,4,2. USIT no fishery.  No S/F directed fisheries.</t>
  </si>
  <si>
    <t>A4B6CNetNT</t>
  </si>
  <si>
    <t>Swin wks 26-29: 3.833,5,5,4; USIT No fishery scheduled</t>
  </si>
  <si>
    <t>A4B6CNetTR</t>
  </si>
  <si>
    <t>Ar 8 NetTR - ID 102</t>
  </si>
  <si>
    <t>Swin no fishery.  USIT no fishery</t>
  </si>
  <si>
    <t>Ar6D NetNT</t>
  </si>
  <si>
    <t>Input_Harvestnew!P272</t>
  </si>
  <si>
    <t>SUM(Input_Harvestnew!Q272)</t>
  </si>
  <si>
    <t>Input_Harvestnew!R272</t>
  </si>
  <si>
    <t>Input_Harvestnew!S272</t>
  </si>
  <si>
    <t>Ar6D NetTR</t>
  </si>
  <si>
    <t>SUM(Input_Harvestnew!P264)</t>
  </si>
  <si>
    <t>SUM(Input_Harvestnew!Q264)</t>
  </si>
  <si>
    <t>SUM(Input_Harvestnew!R264)</t>
  </si>
  <si>
    <t>Input_Harvestnew!S264</t>
  </si>
  <si>
    <t>No fisheries for Swin or USIT</t>
  </si>
  <si>
    <t>Elwha  Net</t>
  </si>
  <si>
    <t>SUM(Input_Harvestnew!R266)</t>
  </si>
  <si>
    <t>Input_Harvestnew!S266</t>
  </si>
  <si>
    <t>WJDF T Net</t>
  </si>
  <si>
    <t>SUM(Input_Harvestnew!R267)</t>
  </si>
  <si>
    <t>Input_Harvestnew!S267</t>
  </si>
  <si>
    <t xml:space="preserve"> WK 44-45 Bay and Jetty chum tests 1,1.</t>
  </si>
  <si>
    <t>EJDF T Net</t>
  </si>
  <si>
    <t>SUM(Input_Harvestnew!R263)</t>
  </si>
  <si>
    <t>Input_Harvestnew!S263</t>
  </si>
  <si>
    <t>Convert %TAA from Treaty Harvest Rate Model to Catch</t>
  </si>
  <si>
    <t>A6-7ANetNT</t>
  </si>
  <si>
    <t xml:space="preserve">EXTREME TERMINAL (FRESHWATER) FISHERIES </t>
  </si>
  <si>
    <t>A6-7ANetTR</t>
  </si>
  <si>
    <t>F/W S/F CHINOOK DIRECTED</t>
  </si>
  <si>
    <t>Spring Chinook: Swinomish wks 18-21: 7,6,4,2.  SSIT: no 78C fishery.  Upper Skagit wks 18-21: 0.625,0.75,0.75,0.625 .  No S/F directed fisheries.</t>
  </si>
  <si>
    <t>TAA (=TRunsPRN!D37) :</t>
  </si>
  <si>
    <t>EJDF FWSpt</t>
  </si>
  <si>
    <t>Swin wks 26-29: 3.833,5,5,4;  Swin 78D/O (Baker) wk 28,29 (contingency): 1,1. SSIT: no 78C fishery. USIT wks 27-28: 1,0.375 .  USIT 250 C&amp;S sockeye.  Swin 100 C&amp;S sockeye.</t>
  </si>
  <si>
    <t>% TAA</t>
  </si>
  <si>
    <t>WJDF FWSpt</t>
  </si>
  <si>
    <t>SUM(Input_Harvestnew!R275)</t>
  </si>
  <si>
    <t>Input_Harvestnew!S275</t>
  </si>
  <si>
    <t>Skagit R Net - ID 103</t>
  </si>
  <si>
    <t>Swin no fishery.  SSIT no 78C fishery.  USIT no fishery</t>
  </si>
  <si>
    <t xml:space="preserve">FW Chinook </t>
  </si>
  <si>
    <t>Area 5 Spt</t>
  </si>
  <si>
    <t>FW Sockeye</t>
  </si>
  <si>
    <t>Area 6 Spt</t>
  </si>
  <si>
    <t xml:space="preserve">FW Pink </t>
  </si>
  <si>
    <t>Area 7 Spt</t>
  </si>
  <si>
    <t>No fisheries for Swin, SSIT, or USIT</t>
  </si>
  <si>
    <t xml:space="preserve">FW Chum </t>
  </si>
  <si>
    <t>Dung R Spt</t>
  </si>
  <si>
    <t>SUM(Input_Harvestnew!R273)</t>
  </si>
  <si>
    <t>Input_Harvestnew!S273</t>
  </si>
  <si>
    <t>No fisheries for Swin, SSIT, or USIT during S/F chinook management period</t>
  </si>
  <si>
    <t xml:space="preserve">FW Steelhead </t>
  </si>
  <si>
    <t>ElwhaR Spt</t>
  </si>
  <si>
    <t>Input_Harvestnew!R274</t>
  </si>
  <si>
    <t>Input_Harvestnew!S274</t>
  </si>
  <si>
    <t>Wks 19-45 Blakes (chinook wks 19-35, sockeye wks 24-29; coho wks 34-45, chum wks 44-45), 1/wk; Wks 34-42 Spudhouse coho, 1/wk; Wks 23-44 River Area 3, 78D (sockeye wks 23-30, coho wks 35-44, steelhead wks 7-18), 1/wk.</t>
  </si>
  <si>
    <t>FW Coho Commercial</t>
  </si>
  <si>
    <t>Input_Harvestnew!P251</t>
  </si>
  <si>
    <t>SUM(Input_Harvestnew!Q251)</t>
  </si>
  <si>
    <t>SUM(Input_Harvestnew!R251)</t>
  </si>
  <si>
    <t>Input_Harvestnew!S251</t>
  </si>
  <si>
    <t>FW Coho C&amp;S</t>
  </si>
  <si>
    <t>NA (quota)</t>
  </si>
  <si>
    <t>Input_Harvestnew!P244</t>
  </si>
  <si>
    <t>Input_Harvestnew!Q244</t>
  </si>
  <si>
    <t>Input_Harvestnew!R244</t>
  </si>
  <si>
    <t>Input_Harvestnew!S244</t>
  </si>
  <si>
    <t>FW Coho Total</t>
  </si>
  <si>
    <t>Nook R Net</t>
  </si>
  <si>
    <t>Input_Harvestnew!R247</t>
  </si>
  <si>
    <t>Input_Harvestnew!S247</t>
  </si>
  <si>
    <t>KA 2/28/22</t>
  </si>
  <si>
    <t>River Test Fishery</t>
  </si>
  <si>
    <t>Nook R Spt</t>
  </si>
  <si>
    <t>Input_Harvestnew!R254</t>
  </si>
  <si>
    <t>Input_Harvestnew!S254</t>
  </si>
  <si>
    <t>Ar 8 NetNT - ID 101</t>
  </si>
  <si>
    <t>PINK FISHERY (Area 8)</t>
  </si>
  <si>
    <t>Samh R Spt</t>
  </si>
  <si>
    <t>Input_Harvestnew!R255</t>
  </si>
  <si>
    <t>Input_Harvestnew!S255</t>
  </si>
  <si>
    <t>COHO EVALUATION (Area 8)</t>
  </si>
  <si>
    <t>KA 2/28/2022 Closed, pending coho forecast</t>
  </si>
  <si>
    <t>Ar 8 NetNT</t>
  </si>
  <si>
    <t>SUM(Input_Harvestnew!P36:P39)</t>
  </si>
  <si>
    <t>SUM(Input_Harvestnew!Q36)</t>
  </si>
  <si>
    <t>SUM(Input_Harvestnew!R36:R39)</t>
  </si>
  <si>
    <t>Input_Harvestnew!S36</t>
  </si>
  <si>
    <t>COHO DIRECTED (Area 8)</t>
  </si>
  <si>
    <t>Ar 8 NetTR</t>
  </si>
  <si>
    <t>SUM(Input_Harvestnew!P16:P21)</t>
  </si>
  <si>
    <t>SUM(Input_Harvestnew!Q16)</t>
  </si>
  <si>
    <t>SUM(Input_Harvestnew!R16:R21)</t>
  </si>
  <si>
    <t>Input_Harvestnew!S16</t>
  </si>
  <si>
    <t>CHUM MARINE (Area 8)</t>
  </si>
  <si>
    <t>Closed</t>
  </si>
  <si>
    <t>Skag R Net</t>
  </si>
  <si>
    <t>SUM(Input_Harvestnew!R25:R27,Input_Harvestnew!R29:R31)</t>
  </si>
  <si>
    <t>Input_Harvestnew!S27</t>
  </si>
  <si>
    <t>Cascade River SAF</t>
  </si>
  <si>
    <t>SkgR TsNet</t>
  </si>
  <si>
    <t>SUM(Input_Harvestnew!R32,Input_Harvestnew!R22)</t>
  </si>
  <si>
    <t>Input_Harvestnew!S32</t>
  </si>
  <si>
    <t>Cascade River Wild</t>
  </si>
  <si>
    <t>Proportion</t>
  </si>
  <si>
    <t xml:space="preserve">AF 3/16/22 Cascade Season Proposal: Sept 16-Oct 31; 4 fish limit. In season management changes possible pending sport monitoring and in season update. </t>
  </si>
  <si>
    <t>SwinCh Net</t>
  </si>
  <si>
    <t>SUM(Input_Harvestnew!R28)</t>
  </si>
  <si>
    <t>Input_Harvestnew!S26</t>
  </si>
  <si>
    <t>SKAGIT SYSTEM minus CASCADE RECREATIONAL</t>
  </si>
  <si>
    <t xml:space="preserve">AF 3/16/22 Skagit season proposal September 1 - Oct 31; 2 fish limit. In season management changes possible pending sport monitoring and in season update. </t>
  </si>
  <si>
    <t>Ar 8-1 Spt</t>
  </si>
  <si>
    <t>Area 9 Spt</t>
  </si>
  <si>
    <t>Skag R Spt</t>
  </si>
  <si>
    <t>SUM(Input_Harvestnew!R42)</t>
  </si>
  <si>
    <t>Input_Harvestnew!S42</t>
  </si>
  <si>
    <t>Ar8A NetNT</t>
  </si>
  <si>
    <t>SUM(Input_Harvestnew!P70:P72)</t>
  </si>
  <si>
    <t>SUM(Input_Harvestnew!Q70)</t>
  </si>
  <si>
    <t>SUM(Input_Harvestnew!R70:R72)</t>
  </si>
  <si>
    <t>Input_Harvestnew!S70</t>
  </si>
  <si>
    <t>Ar8A NetTR</t>
  </si>
  <si>
    <t>SUM(Input_Harvestnew!P51)</t>
  </si>
  <si>
    <t>SUM(Input_Harvestnew!Q51)</t>
  </si>
  <si>
    <t>SUM(Input_Harvestnew!R51)</t>
  </si>
  <si>
    <t>Input_Harvestnew!S51</t>
  </si>
  <si>
    <t>STILLAGUAMISH-SNOHOMISH</t>
  </si>
  <si>
    <t>Ar8D NetNT</t>
  </si>
  <si>
    <t>SUM(Input_Harvestnew!P73)</t>
  </si>
  <si>
    <t>SUM(Input_Harvestnew!Q73)</t>
  </si>
  <si>
    <t>SUM(Input_Harvestnew!R73)</t>
  </si>
  <si>
    <t>Input_Harvestnew!S73</t>
  </si>
  <si>
    <t>Ar8D NetTR</t>
  </si>
  <si>
    <t>SUM(Input_Harvestnew!P62)</t>
  </si>
  <si>
    <t>SUM(Input_Harvestnew!Q62)</t>
  </si>
  <si>
    <t>SUM(Input_Harvestnew!R62)</t>
  </si>
  <si>
    <t>Input_Harvestnew!S62</t>
  </si>
  <si>
    <t>Stil R Net</t>
  </si>
  <si>
    <t>SUM(Input_Harvestnew!R64,Input_Harvestnew!R65,Input_Harvestnew!R66,Input_Harvestnew!P66)</t>
  </si>
  <si>
    <t>Input_Harvestnew!S64</t>
  </si>
  <si>
    <t>Snoh R Net</t>
  </si>
  <si>
    <t>SUM(Input_Harvestnew!R63)</t>
  </si>
  <si>
    <t>Input_Harvestnew!S63</t>
  </si>
  <si>
    <t xml:space="preserve">   Fishery Input</t>
  </si>
  <si>
    <t>Ar 8-2 Spt</t>
  </si>
  <si>
    <t>CHINOOK FISHERY</t>
  </si>
  <si>
    <t>Stil R Spt</t>
  </si>
  <si>
    <t>SUM(Input_Harvestnew!R76)</t>
  </si>
  <si>
    <t>Input_Harvestnew!S76</t>
  </si>
  <si>
    <t>Ar8A NetTR - ID 110</t>
  </si>
  <si>
    <t>PINK FISHERY (odd years)</t>
  </si>
  <si>
    <t>Snoh R Spt</t>
  </si>
  <si>
    <t>SUM(Input_Harvestnew!R75)</t>
  </si>
  <si>
    <t>Input_Harvestnew!S75</t>
  </si>
  <si>
    <t xml:space="preserve"> COHO DIRECTED</t>
  </si>
  <si>
    <t>Ar 10  Spt</t>
  </si>
  <si>
    <t>DH (02/25/22): 8A Tulalip Commercial Fishery Closed</t>
  </si>
  <si>
    <t>Ar10 NetNT</t>
  </si>
  <si>
    <t>SUM(Input_Harvestnew!P176)+Input_Harvestnew!W178</t>
  </si>
  <si>
    <t>SUM(Input_Harvestnew!Q176)</t>
  </si>
  <si>
    <t>SUM(Input_Harvestnew!R176)+Input_Harvestnew!X178</t>
  </si>
  <si>
    <t>Input_Harvestnew!S176</t>
  </si>
  <si>
    <t>DH (02/25/22):  begin wk 49</t>
  </si>
  <si>
    <t>Ar10 NetTR</t>
  </si>
  <si>
    <t>SUM(Input_Harvestnew!P165)+0.5*Input_Harvestnew!P159</t>
  </si>
  <si>
    <t>SUM(Input_Harvestnew!Q165)</t>
  </si>
  <si>
    <t>SUM(Input_Harvestnew!R165)+0.5*Input_Harvestnew!R159</t>
  </si>
  <si>
    <t>Input_Harvestnew!S165</t>
  </si>
  <si>
    <t>DH (02/25/22):  Closed</t>
  </si>
  <si>
    <t>Ar10ANetNT</t>
  </si>
  <si>
    <t>SUM(Input_Harvestnew!P177)</t>
  </si>
  <si>
    <t>SUM(Input_Harvestnew!Q177)</t>
  </si>
  <si>
    <t>SUM(Input_Harvestnew!R177)</t>
  </si>
  <si>
    <t>Input_Harvestnew!S177</t>
  </si>
  <si>
    <t>STILLY TRIBE CHUM FISHERY</t>
  </si>
  <si>
    <t>KKO 2/12/21: Northern 8A CLOSED for Salmon in 2021</t>
  </si>
  <si>
    <t>Ar10ANetTR</t>
  </si>
  <si>
    <t>SUM(Input_Harvestnew!P166)</t>
  </si>
  <si>
    <t>SUM(Input_Harvestnew!Q166)</t>
  </si>
  <si>
    <t>SUM(Input_Harvestnew!R166)</t>
  </si>
  <si>
    <t>Input_Harvestnew!S166</t>
  </si>
  <si>
    <t>Ar10ENetNT</t>
  </si>
  <si>
    <t>SUM(Input_Harvestnew!P178)</t>
  </si>
  <si>
    <t>SUM(Input_Harvestnew!Q178)</t>
  </si>
  <si>
    <t>SUM(Input_Harvestnew!R178)</t>
  </si>
  <si>
    <t>Input_Harvestnew!S178</t>
  </si>
  <si>
    <t xml:space="preserve"> TERMINAL FISHERIES (INCLUDES AREA 8D AND FRESHWATER NET):</t>
  </si>
  <si>
    <t>Ar10ENetTR</t>
  </si>
  <si>
    <t>SUM(Input_Harvestnew!P167)</t>
  </si>
  <si>
    <t>SUM(Input_Harvestnew!Q167)</t>
  </si>
  <si>
    <t>SUM(Input_Harvestnew!R167)</t>
  </si>
  <si>
    <t>Input_Harvestnew!S167</t>
  </si>
  <si>
    <t>10F-G  Net</t>
  </si>
  <si>
    <t>SUM(Input_Harvestnew!P170)</t>
  </si>
  <si>
    <t>SUM(Input_Harvestnew!Q170)</t>
  </si>
  <si>
    <t>SUM(Input_Harvestnew!R170)</t>
  </si>
  <si>
    <t>Input_Harvestnew!S170</t>
  </si>
  <si>
    <t>DH (02/25/22): based on 2017-2020</t>
  </si>
  <si>
    <t>Duwm R Net</t>
  </si>
  <si>
    <t>SUM(Input_Harvestnew!R171)</t>
  </si>
  <si>
    <t>Input_Harvestnew!S171</t>
  </si>
  <si>
    <t>SNOHOMISH RIVER Net</t>
  </si>
  <si>
    <t>Duwm R Spt</t>
  </si>
  <si>
    <t>SUM(Input_Harvestnew!R181)</t>
  </si>
  <si>
    <t>Input_Harvestnew!S181</t>
  </si>
  <si>
    <t>STILLY RIVER DIRECTED/EVAL</t>
  </si>
  <si>
    <t>KKO 2/15/2022</t>
  </si>
  <si>
    <t>Example Below: Due to addition of various fishery values in TAMI calcs for 2016</t>
  </si>
  <si>
    <t>L WaSm Spt</t>
  </si>
  <si>
    <t>SUM(Input_Harvestnew!R182)</t>
  </si>
  <si>
    <t>Input_Harvestnew!S182</t>
  </si>
  <si>
    <t>Ar8D NetTR - ID 112</t>
  </si>
  <si>
    <t>STILLY RIVER INCIDENTAL</t>
  </si>
  <si>
    <t>Calculated from 3 %TAA provided, 0.0008 * Truns value for Stillaguamish River Truns$D$105+Truns$D$106 = 2729</t>
  </si>
  <si>
    <t>Ar 11  Spt</t>
  </si>
  <si>
    <t>STILLY  TRIBE north 8A COHO DIRECTED</t>
  </si>
  <si>
    <t>Flag 1</t>
  </si>
  <si>
    <t>Ar11 NetNT</t>
  </si>
  <si>
    <t>SUM(Input_Harvestnew!P203)</t>
  </si>
  <si>
    <t>SUM(Input_Harvestnew!Q203)</t>
  </si>
  <si>
    <t>SUM(Input_Harvestnew!R203)</t>
  </si>
  <si>
    <t>Input_Harvestnew!S203</t>
  </si>
  <si>
    <t>proxy for 0.0008 3 %TAA</t>
  </si>
  <si>
    <t>Ar11 NetTR</t>
  </si>
  <si>
    <t>SUM(Input_Harvestnew!P189)</t>
  </si>
  <si>
    <t>SUM(Input_Harvestnew!Q189)</t>
  </si>
  <si>
    <t>SUM(Input_Harvestnew!R189)</t>
  </si>
  <si>
    <t>Input_Harvestnew!S189</t>
  </si>
  <si>
    <t>Ar11ANetNT</t>
  </si>
  <si>
    <t>SUM(Input_Harvestnew!P204)</t>
  </si>
  <si>
    <t>SUM(Input_Harvestnew!Q204)</t>
  </si>
  <si>
    <t>SUM(Input_Harvestnew!R204)</t>
  </si>
  <si>
    <t>Input_Harvestnew!S204</t>
  </si>
  <si>
    <t>Automatic calculation from each model run result of TAA</t>
  </si>
  <si>
    <t>Ar11ANetTR</t>
  </si>
  <si>
    <t>SUM(Input_Harvestnew!P190)</t>
  </si>
  <si>
    <t>SUM(Input_Harvestnew!Q190)</t>
  </si>
  <si>
    <t>SUM(Input_Harvestnew!R190)</t>
  </si>
  <si>
    <t>Input_Harvestnew!S190</t>
  </si>
  <si>
    <t>Ar8A NetNT - ID 109</t>
  </si>
  <si>
    <t>AREA 8A: PINK FISHERY (odd years)</t>
  </si>
  <si>
    <t>KA 2/28/2022 Closed</t>
  </si>
  <si>
    <t xml:space="preserve"> = Truns$D$105+Truns$D$106</t>
  </si>
  <si>
    <t>Puyl R Net</t>
  </si>
  <si>
    <t>SUM(Input_Harvestnew!R193)</t>
  </si>
  <si>
    <t>Input_Harvestnew!S193</t>
  </si>
  <si>
    <t>AREA 8A: COHO DIRECTED</t>
  </si>
  <si>
    <t xml:space="preserve"> = 0.0008 * TAA</t>
  </si>
  <si>
    <t>Puyl R Spt</t>
  </si>
  <si>
    <t>SUM(Input_Harvestnew!R207)</t>
  </si>
  <si>
    <t>Input_Harvestnew!S207</t>
  </si>
  <si>
    <t>AREA 8A:  CHUM FISHERY</t>
  </si>
  <si>
    <t>This catch value is then used in E65 for Stilly River Incidental</t>
  </si>
  <si>
    <t>Ar 13  Spt</t>
  </si>
  <si>
    <t>Ar13 NetNT</t>
  </si>
  <si>
    <t>SUM(Input_Harvestnew!P226)</t>
  </si>
  <si>
    <t>SUM(Input_Harvestnew!Q226)</t>
  </si>
  <si>
    <t>SUM(Input_Harvestnew!R226)</t>
  </si>
  <si>
    <t>Input_Harvestnew!S226</t>
  </si>
  <si>
    <t>TULALIP BAY SAF</t>
  </si>
  <si>
    <t>Ar13 NetTR</t>
  </si>
  <si>
    <t>SUM(Input_Harvestnew!P214)</t>
  </si>
  <si>
    <t>SUM(Input_Harvestnew!Q214)</t>
  </si>
  <si>
    <t>SUM(Input_Harvestnew!R214)</t>
  </si>
  <si>
    <t>Input_Harvestnew!S214</t>
  </si>
  <si>
    <t>PV/AHB, 3/16/2022, Snoh/Sky MSF Quota = 1475, SFRS Snoh R Wild = 0.025 (FRAM MSF Quota input combined + stock-fishery-rate-scaler)</t>
  </si>
  <si>
    <t>Ar13CNetNT</t>
  </si>
  <si>
    <t>PV, KKO, 3/15/22  5 yr avg harvest rate. 9/1-11/15 2 coho only, release Chinook, chum, and pink.</t>
  </si>
  <si>
    <t>Ar13CNetTR</t>
  </si>
  <si>
    <t>Ar13ANetNT</t>
  </si>
  <si>
    <t>SUM(Input_Harvestnew!P228)</t>
  </si>
  <si>
    <t>SUM(Input_Harvestnew!Q228)</t>
  </si>
  <si>
    <t>SUM(Input_Harvestnew!R228)</t>
  </si>
  <si>
    <t>Input_Harvestnew!S228</t>
  </si>
  <si>
    <t>Ar13ANetTR</t>
  </si>
  <si>
    <t>SUM(Input_Harvestnew!P216)</t>
  </si>
  <si>
    <t>SUM(Input_Harvestnew!Q216)</t>
  </si>
  <si>
    <t>SUM(Input_Harvestnew!R216)</t>
  </si>
  <si>
    <t>Input_Harvestnew!S216</t>
  </si>
  <si>
    <t>Ar13DNetNT</t>
  </si>
  <si>
    <t>SUM(Input_Harvestnew!P229)</t>
  </si>
  <si>
    <t>SUM(Input_Harvestnew!Q229)</t>
  </si>
  <si>
    <t>SUM(Input_Harvestnew!R229)</t>
  </si>
  <si>
    <t>Input_Harvestnew!S229</t>
  </si>
  <si>
    <t>Ar13DNetTR</t>
  </si>
  <si>
    <t>SUM(Input_Harvestnew!P217)</t>
  </si>
  <si>
    <t>SUM(Input_Harvestnew!Q217)</t>
  </si>
  <si>
    <t>SUM(Input_Harvestnew!R217)</t>
  </si>
  <si>
    <t>Input_Harvestnew!S217</t>
  </si>
  <si>
    <t>A13FKNetNT</t>
  </si>
  <si>
    <t>SUM(Input_Harvestnew!R230)</t>
  </si>
  <si>
    <t>Input_Harvestnew!S230</t>
  </si>
  <si>
    <t>CG 2/11/22</t>
  </si>
  <si>
    <t>A13FKNetTR</t>
  </si>
  <si>
    <t>SUM(Input_Harvestnew!R218)</t>
  </si>
  <si>
    <t>Input_Harvestnew!S218</t>
  </si>
  <si>
    <t>Nisq R Net</t>
  </si>
  <si>
    <t>SUM(Input_Harvestnew!R221,Input_Harvestnew!X224)</t>
  </si>
  <si>
    <t>Input_Harvestnew!S221</t>
  </si>
  <si>
    <t>12-12B TOTAL</t>
  </si>
  <si>
    <t>McAlls Net</t>
  </si>
  <si>
    <t>SUM(Input_Harvestnew!R223)</t>
  </si>
  <si>
    <t>Input_Harvestnew!S223</t>
  </si>
  <si>
    <t xml:space="preserve">       MARINE CHINOOK </t>
  </si>
  <si>
    <t>CG 2/11/22: closed</t>
  </si>
  <si>
    <t>13D-K TSpt</t>
  </si>
  <si>
    <t>SUM(Input_Harvestnew!R233)</t>
  </si>
  <si>
    <t>Input_Harvestnew!S233</t>
  </si>
  <si>
    <t xml:space="preserve">       MARINE COHO </t>
  </si>
  <si>
    <t xml:space="preserve">CG 2/11/22: 12: GN 5 d/wk 9/25-10/08 (BS may start 9/16); 12B: GN 5 d/wk 10/1-10/15 (BS may start 9/16)    </t>
  </si>
  <si>
    <t>Nisq R Spt</t>
  </si>
  <si>
    <t>SUM(Input_Harvestnew!R234)</t>
  </si>
  <si>
    <t>Input_Harvestnew!S234</t>
  </si>
  <si>
    <t xml:space="preserve">       MARINE CHUM  </t>
  </si>
  <si>
    <t>CG  2/11/22:  12: 10/09 - 11/20 7 d/wk; 12B: 10/16-11/20, 7 d/wk</t>
  </si>
  <si>
    <t>Desc R Spt</t>
  </si>
  <si>
    <t>SUM(Input_Harvestnew!R235)</t>
  </si>
  <si>
    <t>Input_Harvestnew!S235</t>
  </si>
  <si>
    <t>Week 44 (10/26)</t>
  </si>
  <si>
    <t>Ar 12  Spt</t>
  </si>
  <si>
    <t>Week 45 (11/02)</t>
  </si>
  <si>
    <t>1212BNetNT</t>
  </si>
  <si>
    <t>SUM(Input_Harvestnew!P120)</t>
  </si>
  <si>
    <t>SUM(Input_Harvestnew!Q120)</t>
  </si>
  <si>
    <t>SUM(Input_Harvestnew!R120)</t>
  </si>
  <si>
    <t>Input_Harvestnew!S120</t>
  </si>
  <si>
    <t>Week 46 (11/09)</t>
  </si>
  <si>
    <t>1212BNetTR</t>
  </si>
  <si>
    <t>SUM(Input_Harvestnew!P84)</t>
  </si>
  <si>
    <t>SUM(Input_Harvestnew!Q84)</t>
  </si>
  <si>
    <t>SUM(Input_Harvestnew!R84)</t>
  </si>
  <si>
    <t>Input_Harvestnew!S84</t>
  </si>
  <si>
    <t>Week 47 (11/16)</t>
  </si>
  <si>
    <t>Ar9A NetNT</t>
  </si>
  <si>
    <t>SUM(Input_Harvestnew!P144:P146)</t>
  </si>
  <si>
    <t>SUM(Input_Harvestnew!Q144)</t>
  </si>
  <si>
    <t>SUM(Input_Harvestnew!R144:R146)</t>
  </si>
  <si>
    <t>Input_Harvestnew!S144</t>
  </si>
  <si>
    <t>Week 48 (11/23)</t>
  </si>
  <si>
    <t>Ar9A NetTR</t>
  </si>
  <si>
    <t>SUM(Input_Harvestnew!P112)</t>
  </si>
  <si>
    <t>SUM(Input_Harvestnew!Q112)</t>
  </si>
  <si>
    <t>SUM(Input_Harvestnew!R112,Input_Harvestnew!R113)</t>
  </si>
  <si>
    <t>Input_Harvestnew!S112</t>
  </si>
  <si>
    <t>Ar12ANetNT</t>
  </si>
  <si>
    <t>SUM(Input_Harvestnew!P149)</t>
  </si>
  <si>
    <t>SUM(Input_Harvestnew!Q149)</t>
  </si>
  <si>
    <t>SUM(Input_Harvestnew!R149)</t>
  </si>
  <si>
    <t>Input_Harvestnew!S149</t>
  </si>
  <si>
    <t>Ar12ANetTR</t>
  </si>
  <si>
    <t>SUM(Input_Harvestnew!P114)</t>
  </si>
  <si>
    <t>SUM(Input_Harvestnew!Q114)</t>
  </si>
  <si>
    <t>SUM(Input_Harvestnew!R114)</t>
  </si>
  <si>
    <t>Input_Harvestnew!S114</t>
  </si>
  <si>
    <t>12C-12D TOTAL</t>
  </si>
  <si>
    <t>A12CDNetNT</t>
  </si>
  <si>
    <t>SUM(Input_Harvestnew!P131)</t>
  </si>
  <si>
    <t>SUM(Input_Harvestnew!Q131)</t>
  </si>
  <si>
    <t>SUM(Input_Harvestnew!R131)</t>
  </si>
  <si>
    <t>Input_Harvestnew!S131</t>
  </si>
  <si>
    <t>CG 2/11/22: 12C: GN &amp; BS wb 7/17 - wb 7/31 3 d/wk; GN  8/7-8/24 4d/wk; BS  8/7-8/31 4d/wk. Beach Seines Release chum 8/1-8/31;</t>
  </si>
  <si>
    <t>A12CDNetTR</t>
  </si>
  <si>
    <t>SUM(Input_Harvestnew!P95)</t>
  </si>
  <si>
    <t>SUM(Input_Harvestnew!Q95)</t>
  </si>
  <si>
    <t>SUM(Input_Harvestnew!R95)</t>
  </si>
  <si>
    <t>Input_Harvestnew!S95</t>
  </si>
  <si>
    <t>CG 2/11/22: 12C: GN &amp; BS 10/2 - 10/15 5 d/wk</t>
  </si>
  <si>
    <t>Skok R Net</t>
  </si>
  <si>
    <t>SUM(Input_Harvestnew!R107)</t>
  </si>
  <si>
    <t>Input_Harvestnew!S108</t>
  </si>
  <si>
    <t>CG 2/11/22: 10/16 - 11/27, 7 d/wk</t>
  </si>
  <si>
    <t>Quilcn Net</t>
  </si>
  <si>
    <t>SUM(Input_Harvestnew!R115)</t>
  </si>
  <si>
    <t>Input_Harvestnew!S115</t>
  </si>
  <si>
    <t>1212B TSpt</t>
  </si>
  <si>
    <t>SUM(Input_Harvestnew!R147)</t>
  </si>
  <si>
    <t>Input_Harvestnew!S147</t>
  </si>
  <si>
    <t>Quilcn Spt</t>
  </si>
  <si>
    <t>SUM(Input_Harvestnew!R151)</t>
  </si>
  <si>
    <t>Input_Harvestnew!S151</t>
  </si>
  <si>
    <t>12C-D TSpt</t>
  </si>
  <si>
    <t>SUM(Input_Harvestnew!R148)</t>
  </si>
  <si>
    <t>Input_Harvestnew!S148</t>
  </si>
  <si>
    <t>Skok R Spt</t>
  </si>
  <si>
    <t>SUM(Input_Harvestnew!R143)</t>
  </si>
  <si>
    <t>Input_Harvestnew!S143</t>
  </si>
  <si>
    <t>TERMINAL (MARINE AREAS 9A,12A, &amp; FRESHWATER):</t>
  </si>
  <si>
    <t>Total Skokomish R (82G)</t>
  </si>
  <si>
    <t>%TAA</t>
  </si>
  <si>
    <t>CG 2/11/22: wb 7/31-wb 8/21 3 d/wk</t>
  </si>
  <si>
    <t>CG 2/11/22: wb 10/02 - wb 10/23-7 d/wk</t>
  </si>
  <si>
    <t>CG 2/11/22:wb 10/30- wb 11/20 7 d/wk</t>
  </si>
  <si>
    <t>ignore</t>
  </si>
  <si>
    <t>&lt; % wild</t>
  </si>
  <si>
    <t>Area 9A COHO</t>
  </si>
  <si>
    <t>CG 2/11/22: 8/7-10/29 7d/wk</t>
  </si>
  <si>
    <t>Area 9A CHUM</t>
  </si>
  <si>
    <t>CG 2/11/22: 10/30-11/27 7d/wk</t>
  </si>
  <si>
    <t>Quilcene Bay COHO Net</t>
  </si>
  <si>
    <t>CG 2/11/22:  8/21-10/08 BS 5d/wk, GN Closed Until Escapement reaches 1,500 then (1) GN day/wk; when escapement reaches 2,500 GN (2)day/wk; when escapement reaches 3,500 GN will be determined.</t>
  </si>
  <si>
    <t>CG 2/11/22: 9/1-10/08 H&amp;L_DN;  &amp; Hatchery Zone Net as per SCSCI</t>
  </si>
  <si>
    <t>Proportion 9A Net (T + NT) to not exceed 0.95:</t>
  </si>
  <si>
    <t>KA 04/04/22</t>
  </si>
  <si>
    <t>Adjustments</t>
  </si>
  <si>
    <t>Initial Inputs (PFMC #1):</t>
  </si>
  <si>
    <t xml:space="preserve">Sept </t>
  </si>
  <si>
    <t>KA 04/04/2022: Wk 42-47: PS 1-1-1-2-1-1; GN 1-2-2-2-2-1; Coho retention for all gears.</t>
  </si>
  <si>
    <t>Treaty coho</t>
  </si>
  <si>
    <t>22 Inputs CG</t>
  </si>
  <si>
    <t>NO FISHERY</t>
  </si>
  <si>
    <t>Treaty chum</t>
  </si>
  <si>
    <t>Non-treaty coho</t>
  </si>
  <si>
    <t>2022 KA</t>
  </si>
  <si>
    <t xml:space="preserve">Week 42 </t>
  </si>
  <si>
    <t>Adjusted Inputs:</t>
  </si>
  <si>
    <t>Week 43</t>
  </si>
  <si>
    <t>Week 44</t>
  </si>
  <si>
    <t>Week 45</t>
  </si>
  <si>
    <t>Week 46</t>
  </si>
  <si>
    <t>Week 47</t>
  </si>
  <si>
    <t>fishing after 11/20 prohibited by Hood Canal Salmon M.P.</t>
  </si>
  <si>
    <t>KA 2/28/22: 12C not open in 2021, used inputs from 2019</t>
  </si>
  <si>
    <t>Maintained</t>
  </si>
  <si>
    <t>Week 48</t>
  </si>
  <si>
    <t>KA 02/22/21 Maintained from previous years</t>
  </si>
  <si>
    <t xml:space="preserve">Area 9A COHO Net </t>
  </si>
  <si>
    <t>KA 2/28/22: 9A 33-44 7d/wk</t>
  </si>
  <si>
    <t xml:space="preserve">Area 9A CHUM Net </t>
  </si>
  <si>
    <t xml:space="preserve">Area 9A Recreational </t>
  </si>
  <si>
    <t>general opening</t>
  </si>
  <si>
    <t>MD/MEB 03/16/22:  Dewatto, Union and Tahuya closed.</t>
  </si>
  <si>
    <t xml:space="preserve">Quilcene Bay COHO Net </t>
  </si>
  <si>
    <t xml:space="preserve">KA 2/28/22 12A Wks 34-40 BS 3-5-5-5-5-5-5. </t>
  </si>
  <si>
    <t xml:space="preserve">                  Recreational </t>
  </si>
  <si>
    <t>Quilcene R RECR. (12A FW trib)</t>
  </si>
  <si>
    <t>MD 03/14/22:  ETRS 5 yr avg (2016-2020), Def #40</t>
  </si>
  <si>
    <t>SOUTH PUGET SOUND--AREA 10</t>
  </si>
  <si>
    <t>Equitable Adj owed treaty</t>
  </si>
  <si>
    <t>&lt; Catch owed treaty</t>
  </si>
  <si>
    <t>Area 10 Test Net fishery</t>
  </si>
  <si>
    <t>CS/JO/BP: 2/23/22- Sept.: A10 Coho Test Avg 4-Yr ('10-'14;excluding '12) = 75; JO/BP 2/27/19: Oct-Dec: A9/10 chum purse seine test (ACP), 1 vessel, wks 41-46, 1 day/wk, 5 -YR avg ('17-'21) = 118 + A9 Chum Research Fishery (2,400 chum quota, coho NR) = 17; (118+17=135 total)</t>
  </si>
  <si>
    <t>Terminal Fisheries</t>
  </si>
  <si>
    <t>Ar10 NetTR - ID 120
Aug FRAM  = 250</t>
  </si>
  <si>
    <t>Area 10 Net</t>
  </si>
  <si>
    <t>CS/JO/DH 2/23/22: Sept.: combined SUQ/TUL combined avg comm. catch ('17 &amp; '18) =2,000 (rounded); Oct-Dec coho by-catch in chum fishery avg -7yr 2013-2019, data: Suquamish and Tulalip combined catch, wks 41-46, drift gillnet and purse seine)= 500 (rounded)</t>
  </si>
  <si>
    <t>Area 10A Net</t>
  </si>
  <si>
    <t>JJS/CS/JO/MGM 2/23/22: inputs for 2022; 4-Yr avg (18-21)</t>
  </si>
  <si>
    <t>Area 10E Net</t>
  </si>
  <si>
    <t>%TAA of A10E</t>
  </si>
  <si>
    <t>CS/JO: 2/23/22: 3-yr avg harvest rate ('15-'17), proportioned by time step, 10E harvest rate includes coho landed in Miller Bay (A10 on-Res). (No coho fisheries in 2018/19).</t>
  </si>
  <si>
    <t>Extreme Terminal</t>
  </si>
  <si>
    <t>Area 10F-G Net</t>
  </si>
  <si>
    <t>%TAA of LaWA</t>
  </si>
  <si>
    <t>JJS/CS/JO/MGM 2/23/22: inputs for 2022 (10F,G,D); 4-Yr avg (18-21)</t>
  </si>
  <si>
    <t>Duwamish River Net</t>
  </si>
  <si>
    <t>KA 2/22/22</t>
  </si>
  <si>
    <t>Adding A10 test fishery share to NT fishery.</t>
  </si>
  <si>
    <t>Ar10 NetNT - ID 119
MB: Did not attempt to remove pink incidental</t>
  </si>
  <si>
    <t>%TAA of SPS</t>
  </si>
  <si>
    <t xml:space="preserve"> KA 2/22/22 Chum:Wk 42-45: PS coNR 1-1-1-2; GN 1-2-2-2: Open pending In-season mgmt.</t>
  </si>
  <si>
    <t>:SPS TAA (model run)</t>
  </si>
  <si>
    <r>
      <t xml:space="preserve">MB 5/23/16 Calculation </t>
    </r>
    <r>
      <rPr>
        <b/>
        <sz val="12"/>
        <rFont val="Arial"/>
        <family val="2"/>
      </rPr>
      <t>if adding test to HR</t>
    </r>
    <r>
      <rPr>
        <sz val="12"/>
        <rFont val="Arial"/>
        <family val="2"/>
      </rPr>
      <t xml:space="preserve"> "=J177/J176" and  "= K177/K176"</t>
    </r>
  </si>
  <si>
    <r>
      <t xml:space="preserve">MB 5/23/16 Calculation </t>
    </r>
    <r>
      <rPr>
        <b/>
        <sz val="12"/>
        <rFont val="Arial"/>
        <family val="2"/>
      </rPr>
      <t>if adding test to catch</t>
    </r>
    <r>
      <rPr>
        <sz val="12"/>
        <rFont val="Arial"/>
        <family val="2"/>
      </rPr>
      <t xml:space="preserve"> (same as cells above(=0.5*C159))</t>
    </r>
  </si>
  <si>
    <t>Tami will then use these values from J178 and K178 to combine with input.</t>
  </si>
  <si>
    <t>Duwamish Recreational</t>
  </si>
  <si>
    <t>DA 3/16/22 CRC area 746 arith mean 2016-2020, 8/20-12/31, 6 salmon, 3 adults, release chinook,except (Tukwila International Blvd./Old Hwy. 99 to South 212th St. Bridge, 2 adult Chinook).</t>
  </si>
  <si>
    <t>Units must be the same (HR or #fish).</t>
  </si>
  <si>
    <t>Lake Wa. &amp; Sammamish Rec.</t>
  </si>
  <si>
    <t>DA 3/16/22 CRC areas 762 &amp; 764 arith mean 2016-2020, La WA: 9/16-10/31 4 coho only, open only N. of 520 (429); La Sam: 10/1-11/30, 4 salmon, release sockeye and chinook (22).</t>
  </si>
  <si>
    <t>SOUTH PUGET SOUND--AREA 11</t>
  </si>
  <si>
    <t>CP 2/10/22</t>
  </si>
  <si>
    <t>Ar11 NetTR - ID 131</t>
  </si>
  <si>
    <t>Area 11 Net</t>
  </si>
  <si>
    <t xml:space="preserve">CP  2/10/22 (Yrs used:2012-2014 &amp; 2017-2018) Avg GN catch by timestep. 7 days a week dependent on ISU.  </t>
  </si>
  <si>
    <t>Area 11A Net</t>
  </si>
  <si>
    <t>%TAA of 11A</t>
  </si>
  <si>
    <t>CP  2/10/22: 1996-2001 Avg  GN (WKS 36-42) 3 Nights a Week  FRAM Definition 37</t>
  </si>
  <si>
    <t>Puyallup River Net</t>
  </si>
  <si>
    <t>%TAA of River</t>
  </si>
  <si>
    <t>NOTE: Total Tribal Input PTOI &amp; MIT</t>
  </si>
  <si>
    <t>Chinook Test Fishery</t>
  </si>
  <si>
    <t>CP 2/10/22 No Test Fishery for Chinook proposed</t>
  </si>
  <si>
    <t>Chinook Fishery</t>
  </si>
  <si>
    <t>CP 2/10/22: Wk 33 &amp; Wk 34 6 Hrs (2018-2021 Avg)</t>
  </si>
  <si>
    <t xml:space="preserve"> Coho Directed</t>
  </si>
  <si>
    <t>CP 2/10/22: Wks 37-42 (2017-2021 AVG  (Days 1,2,2,2,2,2)  Fram definition 30</t>
  </si>
  <si>
    <t>Chum Test Fishery</t>
  </si>
  <si>
    <t>CP 2/10/22  Wks 43-46 1 day per week (01-19 AVG)</t>
  </si>
  <si>
    <t>Winter Chum Fishery</t>
  </si>
  <si>
    <t xml:space="preserve">CP 2/10/22: Wks 45-53 (2013-2018 AVG excluding 2016)  1-3 days per week </t>
  </si>
  <si>
    <t>KA 2/22/22 Chum:Wk 42-45: PS coNR 1-1-1-2; GN 1-2-2-2: Open pending In-season mgmt.</t>
  </si>
  <si>
    <t>Puyallup River Recreational</t>
  </si>
  <si>
    <t>GM 3/8/22, Encounter Rate from 2021 creel</t>
  </si>
  <si>
    <t>SOUTH PUGET SOUND--AREA 13</t>
  </si>
  <si>
    <t>Area 13 &amp; 13C Net</t>
  </si>
  <si>
    <t>%TAA of A13</t>
  </si>
  <si>
    <t>BP 2/24/2022: 2017-20 avg;  FRAM definition 7: "SPS Ar 13 TAA".</t>
  </si>
  <si>
    <t>Area 13 C Net</t>
  </si>
  <si>
    <t>combined with Area 13, see above line</t>
  </si>
  <si>
    <t>Area 13 A Net</t>
  </si>
  <si>
    <t>%TAA of 13A</t>
  </si>
  <si>
    <t>BP 2/24/2022: 2017-21 avg;  FRAM Definition 31: "TAA Ar 13A H&amp;W".</t>
  </si>
  <si>
    <t>Area 13 D Net</t>
  </si>
  <si>
    <t>%ETRS SSnetpen</t>
  </si>
  <si>
    <t>JCP 2/15/2022: Recent 4 YR Avg ('17-'20);FRAM definition 32:"ETRS So Sound Net Pens"</t>
  </si>
  <si>
    <t>Area 13F-K Net</t>
  </si>
  <si>
    <t>JCP 2/15/2022: Recent 4 Year Avg ('18-'21) Catch</t>
  </si>
  <si>
    <t>Nisqually R Net</t>
  </si>
  <si>
    <t>Adding Beach Seine catch to GN H.R.</t>
  </si>
  <si>
    <t>Nisqually R MSF Test</t>
  </si>
  <si>
    <t>Nisqually R Beach Seine</t>
  </si>
  <si>
    <t>McAllister Net</t>
  </si>
  <si>
    <t xml:space="preserve">CS 3-8-22: up to 5 days a wk, wks 31-wk 41 freshwater courses of McAllister Creek. Recent 3 year average Coho catch. </t>
  </si>
  <si>
    <t>Nisqually coho TRS (model run):</t>
  </si>
  <si>
    <t>Value added to Nisq R Net</t>
  </si>
  <si>
    <t>GM 3/8/22 Chambers (7/1-11/15, 6 salmon, 4 adults, rls wild coho and chum), McAllister (7/1-11/15, 6 salmon, 2 adults, release wild coho, wild chinook, and chum): CRC 5 yr avg (2011-2015),  Kennedy (closed), Minter  (9/1-12/30, 4 Adults of which only 2 may be Chinook or coho, release wild coho and wild Chinook) 3 year avg. harvest rate, Purdy &amp; McClane closed</t>
  </si>
  <si>
    <t>13D-13K Trib Sport</t>
  </si>
  <si>
    <t>MEB 3/9/19 See input moved to Area 13A Net above.</t>
  </si>
  <si>
    <t>Nisqually R Recreational</t>
  </si>
  <si>
    <t>(-99Tami)</t>
  </si>
  <si>
    <t>Deschutes R Recreational</t>
  </si>
  <si>
    <t>GM 03/8/22 CNR</t>
  </si>
  <si>
    <t>NOOKSACK-SAMISH:</t>
  </si>
  <si>
    <t>MWN 3/11/22</t>
  </si>
  <si>
    <t>Equitable Adj. Rate</t>
  </si>
  <si>
    <t>Area 7 B,C,D net</t>
  </si>
  <si>
    <t xml:space="preserve">MWN 3/11/22;  Recent 4 year average (2017-2020) August - December </t>
  </si>
  <si>
    <t>Extreme Terminal  Fisheries</t>
  </si>
  <si>
    <t>Nooksack River Net</t>
  </si>
  <si>
    <t>KA 02/22/2022</t>
  </si>
  <si>
    <t>Area 7 B,C,D Net</t>
  </si>
  <si>
    <t>KA 4/7/2022: Wk 33-35: GN 3,4,4; PS 1,1,1; Wk 36-39: GN 5,5,5,7; PS 1,3,3,7; Wk 40 -43 PS&amp;GN 7 days/week, Wk 44-50 GN 2,2,2,2,2,2 PS 1,1,1,1,1,1</t>
  </si>
  <si>
    <t xml:space="preserve">     GN  and PS input</t>
  </si>
  <si>
    <t xml:space="preserve">     Beach Seine input</t>
  </si>
  <si>
    <t>Nooksack R Recreational</t>
  </si>
  <si>
    <t>AF 03/16/22:  Nooksack ( 8/1-12/31, 2 salmon+2 co,  9/1-9/30 rls wild ch and chum) SF Nooksack (2 salmon+4 coho 10/1-12/31, release wild Chinook 10/1-10/15), California (closed), Dakota (Closed), Whatcom Creek TBD  CRC avg, 2016-2020</t>
  </si>
  <si>
    <t>Samish Recreational</t>
  </si>
  <si>
    <t>(-99 Tami)</t>
  </si>
  <si>
    <t xml:space="preserve">DA/AHB/AF 3/16/22:  8/1-9/13, 2 salmon, rls wild co, CRC avg (2016-2020) from MSF regulation years.  </t>
  </si>
  <si>
    <t>STRAIT OF JUAN DE FUCA TRIBUTARIES:</t>
  </si>
  <si>
    <t>AB 2/17/22</t>
  </si>
  <si>
    <t>Eastern Strait Tributaries Net</t>
  </si>
  <si>
    <t>MB note: This fishery now has no BP in all time steps, therefore NULL.</t>
  </si>
  <si>
    <t>6D+Dung R Net Harvest Rate</t>
  </si>
  <si>
    <t>AB 2/17/22: 2015-2020 avg H.R.s</t>
  </si>
  <si>
    <t>Prop. Dung. R. of 6D+Dung. R.</t>
  </si>
  <si>
    <t>SB 2011: no harvest in river 2005-2009. MB 2/18: Note these values are only used in regional sheets, not in Tami or FRAM inputs.</t>
  </si>
  <si>
    <t>Elwha R. Harvest Rate</t>
  </si>
  <si>
    <t>DM 2012 email: "no fishing in the Elwha while the dams being removed"</t>
  </si>
  <si>
    <t>Western Strait Tribs Harvest Rate</t>
  </si>
  <si>
    <t>SJF Tribes 3/15/16 : model 0</t>
  </si>
  <si>
    <t xml:space="preserve"> Source:</t>
  </si>
  <si>
    <t>KA 02/28/22</t>
  </si>
  <si>
    <t>Eastern Strait Tributaries Sport</t>
  </si>
  <si>
    <t>6D Net Harvest Rate</t>
  </si>
  <si>
    <t>KA 2/11/2022: Wk 39-45: ckNR SKGN 3-5-5-5-5-5-5</t>
  </si>
  <si>
    <t>Dungeness R. Sport</t>
  </si>
  <si>
    <t>JW  2/23/22: 10/16-11/30, 4 hatchery co, CRC avg 2016-2020 (Modeled as 562 MSF quota + 15% release mortality (84)  in FRAM)</t>
  </si>
  <si>
    <t>Elwha R. Sport</t>
  </si>
  <si>
    <t>Western Strait Tributaries Sport</t>
  </si>
  <si>
    <t xml:space="preserve">Model Run:  </t>
  </si>
  <si>
    <t>Freshwater Sport Approaches:</t>
  </si>
  <si>
    <t>H.R.</t>
  </si>
  <si>
    <t>Sport Release Morts</t>
  </si>
  <si>
    <t>Slope</t>
  </si>
  <si>
    <t>Intercept</t>
  </si>
  <si>
    <t>Skagit (avg harvest rate)</t>
  </si>
  <si>
    <t>AF 3/16/2022</t>
  </si>
  <si>
    <t>Cascade (% of Skagit 3 yr)</t>
  </si>
  <si>
    <t>Snohomish (regression based landed+esc)</t>
  </si>
  <si>
    <t>Puyallalup River</t>
  </si>
  <si>
    <t>Nisqually (harvest rate)</t>
  </si>
  <si>
    <t>Quilcene R (12A FW trib)(harvest rate)</t>
  </si>
  <si>
    <t>RL 02/24/2017: ETRS rate updated: 2011-15 avg</t>
  </si>
  <si>
    <t>Elwha R. (CLOSED)</t>
  </si>
  <si>
    <t>RL CLOSED</t>
  </si>
  <si>
    <t xml:space="preserve"> =  Coho FW sport release mortality rate (update annually) </t>
  </si>
  <si>
    <t>RL/MEB 3/9/18 10% release + 5% drop-off</t>
  </si>
  <si>
    <t>September</t>
  </si>
  <si>
    <t>STILLY  TRIBE COHO DIRECTED</t>
  </si>
  <si>
    <t>COHO STOCK DATA INPUT AREA</t>
  </si>
  <si>
    <t>Angelika</t>
  </si>
  <si>
    <t>DON'T MISS DATA INPUTS TO RIGHT ----------&gt;</t>
  </si>
  <si>
    <t xml:space="preserve">using TAAETRSnum.txt with 04, 04 </t>
  </si>
  <si>
    <t>SEE BOTTOM OF PAGE FOR COMP. COHO INPUTS!!</t>
  </si>
  <si>
    <t>Terminal Run</t>
  </si>
  <si>
    <t>Escap</t>
  </si>
  <si>
    <t>ement</t>
  </si>
  <si>
    <t>=========================</t>
  </si>
  <si>
    <t>==============</t>
  </si>
  <si>
    <t>==</t>
  </si>
  <si>
    <t>Forecast</t>
  </si>
  <si>
    <t>Breakout</t>
  </si>
  <si>
    <t>Aggregate</t>
  </si>
  <si>
    <t>X</t>
  </si>
  <si>
    <t>Skagit Wild TRwSpt</t>
  </si>
  <si>
    <t>Item</t>
  </si>
  <si>
    <t>Proportn</t>
  </si>
  <si>
    <t>Unmarked</t>
  </si>
  <si>
    <t xml:space="preserve">Source/Comments: </t>
  </si>
  <si>
    <t>Esc rate</t>
  </si>
  <si>
    <t>Stily Wild TRwSPT</t>
  </si>
  <si>
    <t>Snoh Wild TRwSpt</t>
  </si>
  <si>
    <t>unmarked</t>
  </si>
  <si>
    <t>marked</t>
  </si>
  <si>
    <t>Hood Canal Wild</t>
  </si>
  <si>
    <t>Skagit River Natural</t>
  </si>
  <si>
    <t>Comp Coho</t>
  </si>
  <si>
    <t>JH 2/11/03</t>
  </si>
  <si>
    <t>Straits Wild</t>
  </si>
  <si>
    <t>Skagit River Hatchery</t>
  </si>
  <si>
    <t>Quil Fall Wild</t>
  </si>
  <si>
    <t>Swin. Chan. Hatchery</t>
  </si>
  <si>
    <t>Baker R. Hatchery</t>
  </si>
  <si>
    <t>Baker R. (Clark) Natural</t>
  </si>
  <si>
    <t>Oak Harbor  Pens</t>
  </si>
  <si>
    <t>Grays H. Wild</t>
  </si>
  <si>
    <t>Sum of frcst brkout must be 1.0</t>
  </si>
  <si>
    <t>QuillFall H</t>
  </si>
  <si>
    <t>Hoh Hatchery</t>
  </si>
  <si>
    <t>Presn Frcst</t>
  </si>
  <si>
    <t>Quinault Hatchery</t>
  </si>
  <si>
    <t>JH 3/1/01</t>
  </si>
  <si>
    <t>Stillaguamish Hatchery</t>
  </si>
  <si>
    <t>SPS Area 10 Wild</t>
  </si>
  <si>
    <t>SPS Area 11 Wild</t>
  </si>
  <si>
    <t>Snohomish Hatchery</t>
  </si>
  <si>
    <t>SPS Area 13 Wild</t>
  </si>
  <si>
    <t>Snoqualmie Off-Station</t>
  </si>
  <si>
    <t>Nooksack Wild</t>
  </si>
  <si>
    <t>Skagit Wild 4B</t>
  </si>
  <si>
    <t>Stilly Wild 4B</t>
  </si>
  <si>
    <t>Snoh Wild 4B</t>
  </si>
  <si>
    <t>Hood Canal Wild 4B</t>
  </si>
  <si>
    <t>|::</t>
  </si>
  <si>
    <t>SPS Area 10 Wild 4B</t>
  </si>
  <si>
    <t>SPS Area 11 Wild 4B</t>
  </si>
  <si>
    <t>SPS Area 13 Wild 4B</t>
  </si>
  <si>
    <t>Area 9A  Natural</t>
  </si>
  <si>
    <t>Nook/Sam Wild 4B</t>
  </si>
  <si>
    <t>Area 9A Net Pens</t>
  </si>
  <si>
    <t>Straits Wild 4B</t>
  </si>
  <si>
    <t>Area 12  Natural</t>
  </si>
  <si>
    <t>Skagit TAA</t>
  </si>
  <si>
    <t>Big Quilcene Natural</t>
  </si>
  <si>
    <t>Big Quilcene H&amp;12A Net Pens</t>
  </si>
  <si>
    <t>Hood Canal TAA</t>
  </si>
  <si>
    <t>SPS TAA</t>
  </si>
  <si>
    <t>Area 12A Net Pens</t>
  </si>
  <si>
    <t>SPS Ar 10 TAA</t>
  </si>
  <si>
    <t>Area 12B    Natural</t>
  </si>
  <si>
    <t>SPS Ar 11 TAA</t>
  </si>
  <si>
    <t>Area 12C    Natural</t>
  </si>
  <si>
    <t>SPS Ar 13 TAA</t>
  </si>
  <si>
    <t>Nook/Sam TAA</t>
  </si>
  <si>
    <t>Straits TAA</t>
  </si>
  <si>
    <t>Skokomish &amp;Geo Adams  H.</t>
  </si>
  <si>
    <t>Nook/Sam Trun unmrkd</t>
  </si>
  <si>
    <t>Geo Adams H</t>
  </si>
  <si>
    <t>Nook/Sam Trun Marked</t>
  </si>
  <si>
    <t>SPS Ar 10 Trun Unmrk</t>
  </si>
  <si>
    <t>SPSAr 10 Trun Mrkd</t>
  </si>
  <si>
    <t>SPS Ar 11 Trun Unmrkd</t>
  </si>
  <si>
    <t>Frcst Brkout</t>
  </si>
  <si>
    <t>Term.Esc.</t>
  </si>
  <si>
    <t>SPS Ar 11 Trun Mrkd</t>
  </si>
  <si>
    <t>SOUTH SOUND</t>
  </si>
  <si>
    <t>Prop.</t>
  </si>
  <si>
    <t>Rate TER</t>
  </si>
  <si>
    <t xml:space="preserve">Prop. </t>
  </si>
  <si>
    <t>SPS Ar 13 Trun Unmrkd</t>
  </si>
  <si>
    <t>SPS Ar 13 Trun Mrkd</t>
  </si>
  <si>
    <t>Quill F Unmarked</t>
  </si>
  <si>
    <t>Quill F Marked</t>
  </si>
  <si>
    <t>Quill Summer Nat</t>
  </si>
  <si>
    <t>Elliott Bay Hatchery</t>
  </si>
  <si>
    <t>Quill Summer Hat</t>
  </si>
  <si>
    <t>Seattle Aquarium</t>
  </si>
  <si>
    <t>Queets Unmarked</t>
  </si>
  <si>
    <t>Queets Marked</t>
  </si>
  <si>
    <t>Area 10     Natural</t>
  </si>
  <si>
    <t>87-91 avg, BT 2/16</t>
  </si>
  <si>
    <t>Grays H Unmarked</t>
  </si>
  <si>
    <t>Grays H Marked</t>
  </si>
  <si>
    <t>Area 10E    Natural</t>
  </si>
  <si>
    <t>JH3/1/01, (Driver - computed)</t>
  </si>
  <si>
    <t>Col. R Unmarked Early</t>
  </si>
  <si>
    <t>Col R Early Marked</t>
  </si>
  <si>
    <t>Col E. Wild (Sandy-Clack)</t>
  </si>
  <si>
    <t>Area 11     Natural</t>
  </si>
  <si>
    <t>Col R Late Unmarked</t>
  </si>
  <si>
    <t>Col Late Marked</t>
  </si>
  <si>
    <t>Col Late Wild (Clack)</t>
  </si>
  <si>
    <t>Warren  3/5/93, 80-91 avg, JH 3/1/01</t>
  </si>
  <si>
    <t>Willlapa Unmarked</t>
  </si>
  <si>
    <t>Willapa Marked</t>
  </si>
  <si>
    <t>JH 3/1/01, (Driver - computed)</t>
  </si>
  <si>
    <t>Willapa Natural</t>
  </si>
  <si>
    <t>13/13C Misc. Hatchery</t>
  </si>
  <si>
    <t>Oregon N.Coast Wild</t>
  </si>
  <si>
    <t>Oregon N.Mid Wild</t>
  </si>
  <si>
    <t>Oregon S.Mid Wild</t>
  </si>
  <si>
    <t>Rog/Klam Unmrkd Trun</t>
  </si>
  <si>
    <t>Skagit Wild ETRS</t>
  </si>
  <si>
    <t>Skagit Unmarked ETRS</t>
  </si>
  <si>
    <t>JH 3/1/01, AR 3/12/01 Mgt in-season to meet esc. goal</t>
  </si>
  <si>
    <t>Skagit Marked ETRS</t>
  </si>
  <si>
    <t>Stilly Wild ETRS</t>
  </si>
  <si>
    <t>JH 3/1/01 Driver - computed)</t>
  </si>
  <si>
    <t>Snoh Wild ETRS</t>
  </si>
  <si>
    <t>Stilly-Snoh Unm. ETRS</t>
  </si>
  <si>
    <t>Area 13F/Deschutes R. Natural</t>
  </si>
  <si>
    <t>Stilly-Snoh Mrk ETRS</t>
  </si>
  <si>
    <t>HC  Wld (no 9A,12A) ETRS</t>
  </si>
  <si>
    <t>Total natural stocks goal:</t>
  </si>
  <si>
    <t>Hat Only</t>
  </si>
  <si>
    <t>HC Unmarked ETRS</t>
  </si>
  <si>
    <t>HC Marked ETRS</t>
  </si>
  <si>
    <t>SPS Ar 10 Wild ETRS</t>
  </si>
  <si>
    <t>SPS Ar 10 Unmrkd ETRS</t>
  </si>
  <si>
    <t>SPS Ar 10 Marked ETRS</t>
  </si>
  <si>
    <t>Misc. 7&amp;7A Natural</t>
  </si>
  <si>
    <t>SPS Ar 11 Wild ETRS</t>
  </si>
  <si>
    <t>7A Dakota Cr. Hatchery</t>
  </si>
  <si>
    <t>SPS Ar 11 Unmrkd ETRS</t>
  </si>
  <si>
    <t>SPS Ar 11 Marked ETRS</t>
  </si>
  <si>
    <t>7 &amp; 7A Independents Total</t>
  </si>
  <si>
    <t>&gt;</t>
  </si>
  <si>
    <t xml:space="preserve">                          'Input 7/7A ppn of total PSF here!!!&gt;&gt;&gt;&gt;&gt;</t>
  </si>
  <si>
    <t>SPS Ar13 Wild ETRS</t>
  </si>
  <si>
    <t>SPS Ar 13 Unmrkd ETRS</t>
  </si>
  <si>
    <t>Nooksack River Natural</t>
  </si>
  <si>
    <t>Dependents of Cell Input_Stockdata:L86</t>
  </si>
  <si>
    <t>SPS Ar 13 Marked ETRS</t>
  </si>
  <si>
    <t>Kendall Hatchery</t>
  </si>
  <si>
    <t>JH 3/1/01, JA 3/3 92-96 Avg.</t>
  </si>
  <si>
    <t>Current file</t>
  </si>
  <si>
    <t>SPS Nisq H&amp;W ETRS</t>
  </si>
  <si>
    <t>Skookum Hatchery</t>
  </si>
  <si>
    <t>Input_Stockdata:L97: 1-L86</t>
  </si>
  <si>
    <t>Nook/Sam Wild ETRS</t>
  </si>
  <si>
    <t>Input_Stockdata:L95: +D95*$L$97</t>
  </si>
  <si>
    <t>Nook/Sam Unmrkd ETRS</t>
  </si>
  <si>
    <t>Input_Stockdata:K95: +L95*E95</t>
  </si>
  <si>
    <t>Nook/Sam Marked ETRS</t>
  </si>
  <si>
    <t>Indian Slough</t>
  </si>
  <si>
    <t>Input_Stockdata:L94: +D94*$L$97</t>
  </si>
  <si>
    <t>E JDF Wild ETRS</t>
  </si>
  <si>
    <t>Input_Stockdata:K94: +L94*E94</t>
  </si>
  <si>
    <t>Dung R ETRS</t>
  </si>
  <si>
    <t>Input_Stockdata:L93: +D93*$L$97</t>
  </si>
  <si>
    <t>Elwha ETRS</t>
  </si>
  <si>
    <t>Input_Stockdata:K93: +L93*E93</t>
  </si>
  <si>
    <t>PA Pens ETRS</t>
  </si>
  <si>
    <t>Nooksack &amp; Samish Total</t>
  </si>
  <si>
    <t xml:space="preserve">                           'Input N/S ppn of total PSF here!!!&gt;&gt;&gt;&gt;&gt;</t>
  </si>
  <si>
    <t>Input_Stockdata:L92: +D92*$L$97</t>
  </si>
  <si>
    <t>W. JDF Wild ETRS</t>
  </si>
  <si>
    <t>Input_Stockdata:K92: +L92*E92</t>
  </si>
  <si>
    <t>Input_Stockdata:L91: +D91*$L$97</t>
  </si>
  <si>
    <t>Skagit/Baker/Swin H</t>
  </si>
  <si>
    <t>Input_Stockdata:K91: +L91*E91</t>
  </si>
  <si>
    <t>Stilly Wld NetTrun</t>
  </si>
  <si>
    <t>Input_Stockdata:L90: +D90*$L$97</t>
  </si>
  <si>
    <t>Stilly Hat NetTrun</t>
  </si>
  <si>
    <t>STRAIT OF JUAN DE FUCA TRIBUTARIES</t>
  </si>
  <si>
    <t>JH 3/2/01</t>
  </si>
  <si>
    <t>Ppn Breakout</t>
  </si>
  <si>
    <t>Input_Stockdata:K90: +L90*E90</t>
  </si>
  <si>
    <t>Tulalip Hat NetTrun</t>
  </si>
  <si>
    <t>Comp Co</t>
  </si>
  <si>
    <t>Input_Stockdata:L89: +D89*$L$97</t>
  </si>
  <si>
    <t>Snoh Wild NetTrun</t>
  </si>
  <si>
    <t>Input_Stockdata:K89: +L89*E89</t>
  </si>
  <si>
    <t>Snoh Hat NetTrun</t>
  </si>
  <si>
    <t>Dungeness R Natural</t>
  </si>
  <si>
    <t>Secondary</t>
  </si>
  <si>
    <t>Input_Stockdata:L88: +D88*$L$97</t>
  </si>
  <si>
    <t>HC 12/12B Wild</t>
  </si>
  <si>
    <t>Input_Stockdata:K88: +L88*E88</t>
  </si>
  <si>
    <t>HC 12C/D Wild</t>
  </si>
  <si>
    <t>Input_Stockdata:L84: +D84*$L$86</t>
  </si>
  <si>
    <t>HC 9A&amp;12A H&amp;W</t>
  </si>
  <si>
    <t>Elwha R Natural</t>
  </si>
  <si>
    <t>Input_Stockdata:K84: +L84*E84</t>
  </si>
  <si>
    <t>HC 9A H&amp;W</t>
  </si>
  <si>
    <t>Input_Stockdata:L83: +D83*$L$86</t>
  </si>
  <si>
    <t>HC GeoAd&amp;Hdspt Hatchery</t>
  </si>
  <si>
    <t>Input_Stockdata:K83: +L83*E83</t>
  </si>
  <si>
    <t>Skokomish Wild</t>
  </si>
  <si>
    <t>NS:AM37: @SUM(Input_Stockdata:K83..Input_Stockdata:K95)</t>
  </si>
  <si>
    <t>ETRS Ar 10 Misc Wild</t>
  </si>
  <si>
    <t>NS:D8: +AM37</t>
  </si>
  <si>
    <t>ETRS Ar 10 Hatchery</t>
  </si>
  <si>
    <t>Port Angeles Pens</t>
  </si>
  <si>
    <t>Tami:C21: +NS:D8</t>
  </si>
  <si>
    <t>ETRS LaWA Wild</t>
  </si>
  <si>
    <t>ETRS LaWA Hatchery</t>
  </si>
  <si>
    <t>PUGET SOUND COHO MANAGEMENT OBJECTIVES for current year management:</t>
  </si>
  <si>
    <t>ETRS DuwamGrn Wild</t>
  </si>
  <si>
    <t>Esc. Brk.Pt.</t>
  </si>
  <si>
    <t>Status</t>
  </si>
  <si>
    <t>ETRS DuwamGrn Hatchery</t>
  </si>
  <si>
    <t>Skagit natural</t>
  </si>
  <si>
    <t>normal</t>
  </si>
  <si>
    <t xml:space="preserve"> &lt;&lt;&lt;&lt; Min. spawning escapement and/or max. exploitation rate</t>
  </si>
  <si>
    <t>BH 3/17/99</t>
  </si>
  <si>
    <t>ETRS Ar10E Wild</t>
  </si>
  <si>
    <t>Stillaguamish natural</t>
  </si>
  <si>
    <t>ETRS Ar10E Hatchery</t>
  </si>
  <si>
    <t>Snohomish natural</t>
  </si>
  <si>
    <t>ETRS Ar 11 Wild</t>
  </si>
  <si>
    <t>Hood Canal "primary" natural</t>
  </si>
  <si>
    <t>low</t>
  </si>
  <si>
    <t>ETRS Ar 11 Hatchery</t>
  </si>
  <si>
    <t>South Sound natural</t>
  </si>
  <si>
    <t>ETRS Puyallup Wild</t>
  </si>
  <si>
    <t>Nooksack-Samish natural</t>
  </si>
  <si>
    <t>ETRS Puyallup Hatchery</t>
  </si>
  <si>
    <t>combined JDF Tribs "primary" natural</t>
  </si>
  <si>
    <t>ETRS Ar 13A Wild</t>
  </si>
  <si>
    <t>Western JDF Tribs natural</t>
  </si>
  <si>
    <t>ETRS Ar 13 Misc Hatchery</t>
  </si>
  <si>
    <t>ETRS Ar 13 Chambers H</t>
  </si>
  <si>
    <t>WASHINGTON COASTAL COHO ESCAPEMENT OBJECTIVES:</t>
  </si>
  <si>
    <t>ETRS Ar 13 Misc Wild</t>
  </si>
  <si>
    <t>QUILLAYUTE FALL Esc. Objective:</t>
  </si>
  <si>
    <t>Floor</t>
  </si>
  <si>
    <t>ETRS Minter Hatchery</t>
  </si>
  <si>
    <t>HOH Escapement Objective:</t>
  </si>
  <si>
    <t>ETRS Fox Is Net Pens</t>
  </si>
  <si>
    <t>QUEETS Escapement Objective:</t>
  </si>
  <si>
    <t>ETRS Nisq. Wild</t>
  </si>
  <si>
    <t>GRAYS HARBOR Esc. Objective:</t>
  </si>
  <si>
    <t>ETRS Nisq. Hatchery</t>
  </si>
  <si>
    <t>ETRS So Sound Net Pens</t>
  </si>
  <si>
    <t>PUGET SOUND CONSERVATION OBJECTIVES UNDER COMPREHENSIVE COHO MANAGEMENT PLAN: (tls990329)</t>
  </si>
  <si>
    <t>ETRS Deschutes Wild</t>
  </si>
  <si>
    <t>Management Unit</t>
  </si>
  <si>
    <t>Critical BP</t>
  </si>
  <si>
    <t>Low ER</t>
  </si>
  <si>
    <t>Low BP</t>
  </si>
  <si>
    <t>Normal ER</t>
  </si>
  <si>
    <t>ETRS Ar 13B Misc Wild</t>
  </si>
  <si>
    <t>13B Misc W TR</t>
  </si>
  <si>
    <t>Deschutes TR</t>
  </si>
  <si>
    <t>So Sound Net Pen TR</t>
  </si>
  <si>
    <t>Nisq. Hatchery TR</t>
  </si>
  <si>
    <t>Nisq. Nat. TR</t>
  </si>
  <si>
    <t>Fox Is NP TR</t>
  </si>
  <si>
    <t>Outcomes for this model run:</t>
  </si>
  <si>
    <t>Minter H TR</t>
  </si>
  <si>
    <t>Projected</t>
  </si>
  <si>
    <t>Objective</t>
  </si>
  <si>
    <t>Ar 13 Misc Wild TR</t>
  </si>
  <si>
    <t>Chambers C TR</t>
  </si>
  <si>
    <t>Ar 13 misc H TR</t>
  </si>
  <si>
    <t>Area 13A misc W TR</t>
  </si>
  <si>
    <t>Puyallup Hat TR</t>
  </si>
  <si>
    <t>Hood Canal Option 1</t>
  </si>
  <si>
    <t>Puyallup Nat TR</t>
  </si>
  <si>
    <t>Hood Canal Option 2</t>
  </si>
  <si>
    <t>Area 11 H TR</t>
  </si>
  <si>
    <t>Area 11 misc W TR</t>
  </si>
  <si>
    <t>Area 10E H TR</t>
  </si>
  <si>
    <t>Area 10E Misc W TR</t>
  </si>
  <si>
    <t>DuwamGrn H TR</t>
  </si>
  <si>
    <t>DuwamGrn Nat TR</t>
  </si>
  <si>
    <t>LaWA Hat TR</t>
  </si>
  <si>
    <t>LaWA Nat TR</t>
  </si>
  <si>
    <t>Ar 10 H TR</t>
  </si>
  <si>
    <t>Ar 10 misc W TR</t>
  </si>
  <si>
    <t>Nooksack Wild Trun</t>
  </si>
  <si>
    <t>Kendall Hatchery Trun</t>
  </si>
  <si>
    <t>Skookum Hatchery Trun</t>
  </si>
  <si>
    <t>SPS Lummi Ponds Trun</t>
  </si>
  <si>
    <t>Bell Bay Net Pens Trun</t>
  </si>
  <si>
    <t>Samish Wild Trun</t>
  </si>
  <si>
    <t>Area 7/7a Ind Wild Trun</t>
  </si>
  <si>
    <t>Whatcom Crk Hatchery Trun</t>
  </si>
  <si>
    <t>Quill R All Stocks</t>
  </si>
  <si>
    <t>Hoh R All Stocks</t>
  </si>
  <si>
    <t>Queets R All Stocks</t>
  </si>
  <si>
    <t>Quinault R All Stocks</t>
  </si>
  <si>
    <t>Grays H.  All Stocks</t>
  </si>
  <si>
    <t>Willapa All Stocks</t>
  </si>
  <si>
    <t>All mrkd 2-102</t>
  </si>
  <si>
    <t>All mrkd 104-204</t>
  </si>
  <si>
    <t>All mrkd 206-256</t>
  </si>
  <si>
    <t>All Unmrkd 1-101</t>
  </si>
  <si>
    <t>All Unmrk 103-203</t>
  </si>
  <si>
    <t>All Unmrk 205-255</t>
  </si>
  <si>
    <t>JDF Unmarked Esc</t>
  </si>
  <si>
    <t>JDF Marked Esc</t>
  </si>
  <si>
    <t>Upper Fraser Wild</t>
  </si>
  <si>
    <t>Thompson Wild</t>
  </si>
  <si>
    <t>Kendall Crk</t>
  </si>
  <si>
    <t>LaWa H</t>
  </si>
  <si>
    <t>GreenR/Soos</t>
  </si>
  <si>
    <t>Nisqually H</t>
  </si>
  <si>
    <t>Geo. Adams</t>
  </si>
  <si>
    <t>Quilcene H</t>
  </si>
  <si>
    <t>Dung. H</t>
  </si>
  <si>
    <t>Elwha H</t>
  </si>
  <si>
    <t>Dung R ETRS W</t>
  </si>
  <si>
    <t>Dung R ETRS H</t>
  </si>
  <si>
    <t>Elwha ETRS W</t>
  </si>
  <si>
    <t>Elwha ETRS H</t>
  </si>
  <si>
    <t>Area 12A W&amp;NP, HC ETRS</t>
  </si>
  <si>
    <t>Area 12A H, HC ETRS</t>
  </si>
  <si>
    <t>Chehalis W Ocean ESC</t>
  </si>
  <si>
    <t>Chehalis H Ocean ESC</t>
  </si>
  <si>
    <t>Hump W Ocean ESC</t>
  </si>
  <si>
    <t>Hump H Ocean ESC</t>
  </si>
  <si>
    <t>Grays H. Misc. W O. ESC</t>
  </si>
  <si>
    <t>Grays H. NP O. ESC</t>
  </si>
  <si>
    <t>Queets R Spntl O. ESC</t>
  </si>
  <si>
    <t xml:space="preserve">TAMI: Terminal Area Management Module COHO FRAM Inputs </t>
  </si>
  <si>
    <t>TAMI</t>
  </si>
  <si>
    <t>Version:</t>
  </si>
  <si>
    <t>Abundance Definitions:</t>
  </si>
  <si>
    <t>FRAM INPUTS</t>
  </si>
  <si>
    <t>TS4</t>
  </si>
  <si>
    <t>TS5</t>
  </si>
  <si>
    <t>TAA</t>
  </si>
  <si>
    <t>-99 use FRAM cmd file for input</t>
  </si>
  <si>
    <t>1 as catch</t>
  </si>
  <si>
    <t>Input_Harvestnew!C272</t>
  </si>
  <si>
    <t>Input_Harvestnew!D272</t>
  </si>
  <si>
    <t>Input_Harvestnew!E272</t>
  </si>
  <si>
    <t>Input_Harvestnew!F272</t>
  </si>
  <si>
    <t>2 as Effort Scalar</t>
  </si>
  <si>
    <t>Input_Harvestnew!C264</t>
  </si>
  <si>
    <t>Input_Harvestnew!D264</t>
  </si>
  <si>
    <t>Input_Harvestnew!E264</t>
  </si>
  <si>
    <t>Input_Harvestnew!F264</t>
  </si>
  <si>
    <t>3 as %TAA</t>
  </si>
  <si>
    <t>Input_Harvestnew!E266</t>
  </si>
  <si>
    <t>Input_Harvestnew!F266</t>
  </si>
  <si>
    <t>4 as % ETRS (stock specific)</t>
  </si>
  <si>
    <t>Input_Harvestnew!E267</t>
  </si>
  <si>
    <t>Input_Harvestnew!F267</t>
  </si>
  <si>
    <t>Note: ELDF T Net has no BasePeriod e.r.s</t>
  </si>
  <si>
    <t>Note: EFDF sport has no BasePeriod e.r.s</t>
  </si>
  <si>
    <t>Input_Harvestnew!E275</t>
  </si>
  <si>
    <t>Input_Harvestnew!F275</t>
  </si>
  <si>
    <t>Input_Harvestnew!E273</t>
  </si>
  <si>
    <t>Input_Harvestnew!F273</t>
  </si>
  <si>
    <t>Input_Harvestnew!E274</t>
  </si>
  <si>
    <t>Input_Harvestnew!F274</t>
  </si>
  <si>
    <t>Input_Harvestnew!C251</t>
  </si>
  <si>
    <t>Input_Harvestnew!D251</t>
  </si>
  <si>
    <t>Input_Harvestnew!E251</t>
  </si>
  <si>
    <t>Input_Harvestnew!F251</t>
  </si>
  <si>
    <t>Input_Harvestnew!C244</t>
  </si>
  <si>
    <t>Input_Harvestnew!D244</t>
  </si>
  <si>
    <t>Input_Harvestnew!E244</t>
  </si>
  <si>
    <t>Input_Harvestnew!F244</t>
  </si>
  <si>
    <t>Input_Harvestnew!E247</t>
  </si>
  <si>
    <t>Input_Harvestnew!F247</t>
  </si>
  <si>
    <t>Input_Harvestnew!E254</t>
  </si>
  <si>
    <t>Input_Harvestnew!F254</t>
  </si>
  <si>
    <t>Input_Harvestnew!E255</t>
  </si>
  <si>
    <t>Input_Harvestnew!F255</t>
  </si>
  <si>
    <t>SUM(Input_Harvestnew!C36:C39)</t>
  </si>
  <si>
    <t>Input_Harvestnew!D36</t>
  </si>
  <si>
    <t>SUM(Input_Harvestnew!E36:E39)</t>
  </si>
  <si>
    <t>Input_Harvestnew!F36</t>
  </si>
  <si>
    <t>SUM(Input_Harvestnew!C16:C21)</t>
  </si>
  <si>
    <t>Input_Harvestnew!D16</t>
  </si>
  <si>
    <t>SUM(Input_Harvestnew!E16:E21)</t>
  </si>
  <si>
    <t>Input_Harvestnew!F16</t>
  </si>
  <si>
    <t>SUM(Input_Harvestnew!E25:E27,Input_Harvestnew!E29:E31)</t>
  </si>
  <si>
    <t>Input_Harvestnew!F27</t>
  </si>
  <si>
    <t>SUM(Input_Harvestnew!E32,Input_Harvestnew!E22)</t>
  </si>
  <si>
    <t>Input_Harvestnew!F32</t>
  </si>
  <si>
    <t>Input_Harvestnew!E28</t>
  </si>
  <si>
    <t>Input_Harvestnew!F26</t>
  </si>
  <si>
    <t>Input_Harvestnew!E42</t>
  </si>
  <si>
    <t>Input_Harvestnew!F42</t>
  </si>
  <si>
    <t>SUM(Input_Harvestnew!C70:C72)</t>
  </si>
  <si>
    <t>Input_Harvestnew!D70</t>
  </si>
  <si>
    <t>SUM(Input_Harvestnew!E70:E72)</t>
  </si>
  <si>
    <t>Input_Harvestnew!F70</t>
  </si>
  <si>
    <t>Input_Harvestnew!C51</t>
  </si>
  <si>
    <t>Input_Harvestnew!D51</t>
  </si>
  <si>
    <t>Input_Harvestnew!E51</t>
  </si>
  <si>
    <t>Input_Harvestnew!F51</t>
  </si>
  <si>
    <t>MEB 3/14/19 Change to Def #2 for full 8D stock comp</t>
  </si>
  <si>
    <t>Input_Harvestnew!C73</t>
  </si>
  <si>
    <t>Input_Harvestnew!D73</t>
  </si>
  <si>
    <t>Input_Harvestnew!E73</t>
  </si>
  <si>
    <t>Input_Harvestnew!F73</t>
  </si>
  <si>
    <t>Input_Harvestnew!C62</t>
  </si>
  <si>
    <t>Input_Harvestnew!D62</t>
  </si>
  <si>
    <t>Input_Harvestnew!E62</t>
  </si>
  <si>
    <t>Input_Harvestnew!F62</t>
  </si>
  <si>
    <t>SUM(Input_Harvestnew!E64,Input_Harvestnew!E65,Input_Harvestnew!E66,Input_Harvestnew!C66)</t>
  </si>
  <si>
    <t>Input_Harvestnew!F64</t>
  </si>
  <si>
    <t>Input_Harvestnew!E63</t>
  </si>
  <si>
    <t>Input_Harvestnew!F63</t>
  </si>
  <si>
    <t>Input_Harvestnew!E76</t>
  </si>
  <si>
    <t>Input_Harvestnew!F76</t>
  </si>
  <si>
    <t>Input_Harvestnew!E75</t>
  </si>
  <si>
    <t>Input_Harvestnew!F75</t>
  </si>
  <si>
    <t>SUM(Input_Harvestnew!C176,Input_Harvestnew!J178)</t>
  </si>
  <si>
    <t>Input_Harvestnew!D176</t>
  </si>
  <si>
    <t>SUM(Input_Harvestnew!E176,Input_Harvestnew!K178)</t>
  </si>
  <si>
    <t>Input_Harvestnew!F176</t>
  </si>
  <si>
    <t>SUM(Input_Harvestnew!C165+(0.5*Input_Harvestnew!C159))</t>
  </si>
  <si>
    <t>Input_Harvestnew!D165</t>
  </si>
  <si>
    <t>SUM(Input_Harvestnew!E165+(0.5*Input_Harvestnew!E159))</t>
  </si>
  <si>
    <t>Input_Harvestnew!F165</t>
  </si>
  <si>
    <t>Input_Harvestnew!C177</t>
  </si>
  <si>
    <t>Input_Harvestnew!D177</t>
  </si>
  <si>
    <t>Input_Harvestnew!E177</t>
  </si>
  <si>
    <t>Input_Harvestnew!F177</t>
  </si>
  <si>
    <t>Input_Harvestnew!C166</t>
  </si>
  <si>
    <t>Input_Harvestnew!D166</t>
  </si>
  <si>
    <t>Input_Harvestnew!E166</t>
  </si>
  <si>
    <t>Input_Harvestnew!F166</t>
  </si>
  <si>
    <t>Input_Harvestnew!C178</t>
  </si>
  <si>
    <t>Input_Harvestnew!D178</t>
  </si>
  <si>
    <t>Input_Harvestnew!E178</t>
  </si>
  <si>
    <t>Input_Harvestnew!F178</t>
  </si>
  <si>
    <t>Input_Harvestnew!C167</t>
  </si>
  <si>
    <t>Input_Harvestnew!D167</t>
  </si>
  <si>
    <t>Input_Harvestnew!E167</t>
  </si>
  <si>
    <t>Input_Harvestnew!F167</t>
  </si>
  <si>
    <t>Input_Harvestnew!C170</t>
  </si>
  <si>
    <t>Input_Harvestnew!D170</t>
  </si>
  <si>
    <t>Input_Harvestnew!E170</t>
  </si>
  <si>
    <t>Input_Harvestnew!F170</t>
  </si>
  <si>
    <t>Input_Harvestnew!E171</t>
  </si>
  <si>
    <t>Input_Harvestnew!F171</t>
  </si>
  <si>
    <t>Input_Harvestnew!E181</t>
  </si>
  <si>
    <t>Input_Harvestnew!F181</t>
  </si>
  <si>
    <t>Input_Harvestnew!E182</t>
  </si>
  <si>
    <t>Input_Harvestnew!F182</t>
  </si>
  <si>
    <t>Input_Harvestnew!C203</t>
  </si>
  <si>
    <t>Input_Harvestnew!D203</t>
  </si>
  <si>
    <t>Input_Harvestnew!E203</t>
  </si>
  <si>
    <t>Input_Harvestnew!F203</t>
  </si>
  <si>
    <t>Input_Harvestnew!C189</t>
  </si>
  <si>
    <t>Input_Harvestnew!D189</t>
  </si>
  <si>
    <t>Input_Harvestnew!E189</t>
  </si>
  <si>
    <t>Input_Harvestnew!F189</t>
  </si>
  <si>
    <t>Input_Harvestnew!C204</t>
  </si>
  <si>
    <t>Input_Harvestnew!D204</t>
  </si>
  <si>
    <t>Input_Harvestnew!E204</t>
  </si>
  <si>
    <t>Input_Harvestnew!F204</t>
  </si>
  <si>
    <t>Input_Harvestnew!C190</t>
  </si>
  <si>
    <t>Input_Harvestnew!D190</t>
  </si>
  <si>
    <t>Input_Harvestnew!E190</t>
  </si>
  <si>
    <t>Input_Harvestnew!F190</t>
  </si>
  <si>
    <t>Input_Harvestnew!E193</t>
  </si>
  <si>
    <t>Input_Harvestnew!F193</t>
  </si>
  <si>
    <t>Input_Harvestnew!E207</t>
  </si>
  <si>
    <t>Input_Harvestnew!F207</t>
  </si>
  <si>
    <t>Input_Harvestnew!C226</t>
  </si>
  <si>
    <t>Input_Harvestnew!D226</t>
  </si>
  <si>
    <t>Input_Harvestnew!E226</t>
  </si>
  <si>
    <t>Input_Harvestnew!F226</t>
  </si>
  <si>
    <t>Input_Harvestnew!C214</t>
  </si>
  <si>
    <t>Input_Harvestnew!D214</t>
  </si>
  <si>
    <t>Input_Harvestnew!E214</t>
  </si>
  <si>
    <t>Input_Harvestnew!F214</t>
  </si>
  <si>
    <t>Area 13C net fishery impacts to be combined with Area 13 for modeling!!!!!</t>
  </si>
  <si>
    <t>Input_Harvestnew!C228</t>
  </si>
  <si>
    <t>Input_Harvestnew!D228</t>
  </si>
  <si>
    <t>Input_Harvestnew!E228</t>
  </si>
  <si>
    <t>Input_Harvestnew!F228</t>
  </si>
  <si>
    <t>Input_Harvestnew!C216</t>
  </si>
  <si>
    <t>Input_Harvestnew!D216</t>
  </si>
  <si>
    <t>Input_Harvestnew!E216</t>
  </si>
  <si>
    <t>Input_Harvestnew!F216</t>
  </si>
  <si>
    <t>Input_Harvestnew!C229</t>
  </si>
  <si>
    <t>Input_Harvestnew!D229</t>
  </si>
  <si>
    <t>Input_Harvestnew!E229</t>
  </si>
  <si>
    <t>Input_Harvestnew!F229</t>
  </si>
  <si>
    <t>Input_Harvestnew!C217</t>
  </si>
  <si>
    <t>Input_Harvestnew!D217</t>
  </si>
  <si>
    <t>Input_Harvestnew!E217</t>
  </si>
  <si>
    <t>Input_Harvestnew!F217</t>
  </si>
  <si>
    <t>Input_Harvestnew!E230</t>
  </si>
  <si>
    <t>Input_Harvestnew!F230</t>
  </si>
  <si>
    <t>Input_Harvestnew!E218</t>
  </si>
  <si>
    <t>Input_Harvestnew!F218</t>
  </si>
  <si>
    <t>SUM(Input_Harvestnew!E221,Input_Harvestnew!K224)</t>
  </si>
  <si>
    <t>Input_Harvestnew!F221</t>
  </si>
  <si>
    <t>Input_Harvestnew!E223</t>
  </si>
  <si>
    <t>Input_Harvestnew!F223</t>
  </si>
  <si>
    <t>Input_Harvestnew!E233</t>
  </si>
  <si>
    <t>Input_Harvestnew!F233</t>
  </si>
  <si>
    <t>Input_Harvestnew!E234</t>
  </si>
  <si>
    <t>Input_Harvestnew!F234</t>
  </si>
  <si>
    <t>Input_Harvestnew!E235</t>
  </si>
  <si>
    <t>Input_Harvestnew!F235</t>
  </si>
  <si>
    <t>Input_Harvestnew!C120</t>
  </si>
  <si>
    <t>Input_Harvestnew!D120</t>
  </si>
  <si>
    <t>Input_Harvestnew!E120</t>
  </si>
  <si>
    <t>Input_Harvestnew!F120</t>
  </si>
  <si>
    <t>Input_Harvestnew!C84</t>
  </si>
  <si>
    <t>Input_Harvestnew!D84</t>
  </si>
  <si>
    <t>Input_Harvestnew!E84</t>
  </si>
  <si>
    <t>Input_Harvestnew!F84</t>
  </si>
  <si>
    <t>SUM(Input_Harvestnew!C144:C146)</t>
  </si>
  <si>
    <t>Input_Harvestnew!D144</t>
  </si>
  <si>
    <t>SUM(Input_Harvestnew!E144:E146)</t>
  </si>
  <si>
    <t>Input_Harvestnew!F144</t>
  </si>
  <si>
    <t>Input_Harvestnew!C112</t>
  </si>
  <si>
    <t>Input_Harvestnew!D112</t>
  </si>
  <si>
    <t>SUM(Input_Harvestnew!E112,Input_Harvestnew!E113)</t>
  </si>
  <si>
    <t>Input_Harvestnew!F112</t>
  </si>
  <si>
    <t>Input_Harvestnew!C149</t>
  </si>
  <si>
    <t>Input_Harvestnew!D149</t>
  </si>
  <si>
    <t>Input_Harvestnew!E149</t>
  </si>
  <si>
    <t>Input_Harvestnew!F149</t>
  </si>
  <si>
    <t>Input_Harvestnew!C114</t>
  </si>
  <si>
    <t>Input_Harvestnew!D114</t>
  </si>
  <si>
    <t>Input_Harvestnew!E114</t>
  </si>
  <si>
    <t>Input_Harvestnew!F114</t>
  </si>
  <si>
    <t>Input_Harvestnew!C131</t>
  </si>
  <si>
    <t>Input_Harvestnew!D131</t>
  </si>
  <si>
    <t>Input_Harvestnew!E131</t>
  </si>
  <si>
    <t>Input_Harvestnew!F131</t>
  </si>
  <si>
    <t>Input_Harvestnew!C95</t>
  </si>
  <si>
    <t>Input_Harvestnew!D95</t>
  </si>
  <si>
    <t>Input_Harvestnew!E95</t>
  </si>
  <si>
    <t>Input_Harvestnew!F95</t>
  </si>
  <si>
    <t>Input_Harvestnew!E107</t>
  </si>
  <si>
    <t>Input_Harvestnew!F108</t>
  </si>
  <si>
    <t>Input_Harvestnew!E115</t>
  </si>
  <si>
    <t>Input_Harvestnew!F115</t>
  </si>
  <si>
    <t>Input_Harvestnew!E147</t>
  </si>
  <si>
    <t>Input_Harvestnew!F147</t>
  </si>
  <si>
    <t>Input_Harvestnew!E151</t>
  </si>
  <si>
    <t>Input_Harvestnew!F151</t>
  </si>
  <si>
    <t>Input_Harvestnew!E148</t>
  </si>
  <si>
    <t>Input_Harvestnew!F148</t>
  </si>
  <si>
    <t>Input_Harvestnew!E143</t>
  </si>
  <si>
    <t>Input_Harvestnew!F143</t>
  </si>
  <si>
    <t>MB: Run using Dependency Auditor (09/13/17)</t>
  </si>
  <si>
    <t>Sheet Tami = Precedents; note that Tami has no Dependents.</t>
  </si>
  <si>
    <t>Cell Range Evaluated = Tami!A1:L93</t>
  </si>
  <si>
    <t>Tami!A1:L93</t>
  </si>
  <si>
    <t>Tami!A1</t>
  </si>
  <si>
    <t>Tami!B1</t>
  </si>
  <si>
    <t>Tami!C1</t>
  </si>
  <si>
    <t>Tami!D1</t>
  </si>
  <si>
    <t>Tami!E1</t>
  </si>
  <si>
    <t>Tami!F1</t>
  </si>
  <si>
    <t>Tami!G1</t>
  </si>
  <si>
    <t>Tami!H1</t>
  </si>
  <si>
    <t>Tami!I1</t>
  </si>
  <si>
    <t>Tami!J1</t>
  </si>
  <si>
    <t>Tami!K1</t>
  </si>
  <si>
    <t>Tami!L1</t>
  </si>
  <si>
    <t>Tami!A2</t>
  </si>
  <si>
    <t>Tami!B2</t>
  </si>
  <si>
    <t>Tami!C2</t>
  </si>
  <si>
    <t>Input_Harvestnew!$B$3</t>
  </si>
  <si>
    <t>bc-Coho1731</t>
  </si>
  <si>
    <t>Input_Harvestnew!B3</t>
  </si>
  <si>
    <t>Tami!D2</t>
  </si>
  <si>
    <t>Tami!E2</t>
  </si>
  <si>
    <t>Tami!F2</t>
  </si>
  <si>
    <t>Tami!G2</t>
  </si>
  <si>
    <t>Tami!H2</t>
  </si>
  <si>
    <t>Tami!I2</t>
  </si>
  <si>
    <t>Tami!J2</t>
  </si>
  <si>
    <t>Tami!K2</t>
  </si>
  <si>
    <t>1'!$L$2</t>
  </si>
  <si>
    <t>1!L2</t>
  </si>
  <si>
    <t>Tami!L2</t>
  </si>
  <si>
    <t>Tami!A3</t>
  </si>
  <si>
    <t>Tami!B3</t>
  </si>
  <si>
    <t>Tami!C3</t>
  </si>
  <si>
    <t>Input_Harvestnew!B4</t>
  </si>
  <si>
    <t>STT 4/10 w/Ocean+NOF agreed</t>
  </si>
  <si>
    <t>Tami!D3</t>
  </si>
  <si>
    <t>Tami!E3</t>
  </si>
  <si>
    <t>Tami!F3</t>
  </si>
  <si>
    <t>Tami!G3</t>
  </si>
  <si>
    <t>Tami!H3</t>
  </si>
  <si>
    <t>Tami!I3</t>
  </si>
  <si>
    <t>Tami!J3</t>
  </si>
  <si>
    <t>Tami!K3</t>
  </si>
  <si>
    <t>1'!$L$3</t>
  </si>
  <si>
    <t>1!L3</t>
  </si>
  <si>
    <t>Tami!L3</t>
  </si>
  <si>
    <t>Tami!A4</t>
  </si>
  <si>
    <t>Tami!B4</t>
  </si>
  <si>
    <t>Tami!C4</t>
  </si>
  <si>
    <t>Tami!D4</t>
  </si>
  <si>
    <t>Tami!E4</t>
  </si>
  <si>
    <t>Tami!F4</t>
  </si>
  <si>
    <t>Tami!G4</t>
  </si>
  <si>
    <t>Tami!H4</t>
  </si>
  <si>
    <t>Tami!I4</t>
  </si>
  <si>
    <t>Tami!J4</t>
  </si>
  <si>
    <t>Tami!K4</t>
  </si>
  <si>
    <t>Tami!L4</t>
  </si>
  <si>
    <t>Tami!A5</t>
  </si>
  <si>
    <t>Tami!B5</t>
  </si>
  <si>
    <t>Tami!C5</t>
  </si>
  <si>
    <t>Tami!D5</t>
  </si>
  <si>
    <t>Tami!E5</t>
  </si>
  <si>
    <t>Tami!F5</t>
  </si>
  <si>
    <t>Tami!G5</t>
  </si>
  <si>
    <t>Tami!H5</t>
  </si>
  <si>
    <t>Tami!I5</t>
  </si>
  <si>
    <t>Tami!J5</t>
  </si>
  <si>
    <t>Tami!K5</t>
  </si>
  <si>
    <t>Tami!L5</t>
  </si>
  <si>
    <t>Tami!A6</t>
  </si>
  <si>
    <t>Tami!B6</t>
  </si>
  <si>
    <t>Tami!C6</t>
  </si>
  <si>
    <t>Tami!D6</t>
  </si>
  <si>
    <t>Tami!E6</t>
  </si>
  <si>
    <t>Tami!F6</t>
  </si>
  <si>
    <t>Tami!G6</t>
  </si>
  <si>
    <t>Tami!H6</t>
  </si>
  <si>
    <t>Tami!I6</t>
  </si>
  <si>
    <t>Tami!J6</t>
  </si>
  <si>
    <t>Tami!K6</t>
  </si>
  <si>
    <t>Tami!L6</t>
  </si>
  <si>
    <t>Tami!A7</t>
  </si>
  <si>
    <t>Tami!B7</t>
  </si>
  <si>
    <t>Tami!C7</t>
  </si>
  <si>
    <t>Tami!D7</t>
  </si>
  <si>
    <t>Tami!E7</t>
  </si>
  <si>
    <t>Tami!F7</t>
  </si>
  <si>
    <t>Tami!G7</t>
  </si>
  <si>
    <t>Tami!H7</t>
  </si>
  <si>
    <t>Tami!I7</t>
  </si>
  <si>
    <t>Tami!J7</t>
  </si>
  <si>
    <t>Tami!K7</t>
  </si>
  <si>
    <t>Tami!L7</t>
  </si>
  <si>
    <t>Tami!A8</t>
  </si>
  <si>
    <t>Tami!B8</t>
  </si>
  <si>
    <t>Tami!C8</t>
  </si>
  <si>
    <t>Tami!D8</t>
  </si>
  <si>
    <t>Tami!E8</t>
  </si>
  <si>
    <t>Tami!F8</t>
  </si>
  <si>
    <t>Tami!G8</t>
  </si>
  <si>
    <t>Tami!H8</t>
  </si>
  <si>
    <t>Tami!I8</t>
  </si>
  <si>
    <t>Tami!J8</t>
  </si>
  <si>
    <t>Tami!K8</t>
  </si>
  <si>
    <t>Tami!L8</t>
  </si>
  <si>
    <t>Tami!A9</t>
  </si>
  <si>
    <t>Tami!B9</t>
  </si>
  <si>
    <t>Tami!C9</t>
  </si>
  <si>
    <t>Tami!D9</t>
  </si>
  <si>
    <t>Tami!E9</t>
  </si>
  <si>
    <t>Tami!F9</t>
  </si>
  <si>
    <t>Tami!G9</t>
  </si>
  <si>
    <t>Tami!H9</t>
  </si>
  <si>
    <t>Tami!I9</t>
  </si>
  <si>
    <t>Tami!J9</t>
  </si>
  <si>
    <t>Tami!K9</t>
  </si>
  <si>
    <t>Tami!L9</t>
  </si>
  <si>
    <t>Tami!A10</t>
  </si>
  <si>
    <t>Tami!B10</t>
  </si>
  <si>
    <t>Tami!C10</t>
  </si>
  <si>
    <t>Tami!D10</t>
  </si>
  <si>
    <t>F264</t>
  </si>
  <si>
    <t>Tami!E10</t>
  </si>
  <si>
    <t>Tami!F10</t>
  </si>
  <si>
    <t>Tami!G10</t>
  </si>
  <si>
    <t>Tami!H10</t>
  </si>
  <si>
    <t>Tami!I10</t>
  </si>
  <si>
    <t>Tami!J10</t>
  </si>
  <si>
    <t>Tami!K10</t>
  </si>
  <si>
    <t>Tami!L10</t>
  </si>
  <si>
    <t>Tami!A11</t>
  </si>
  <si>
    <t>Tami!B11</t>
  </si>
  <si>
    <t>Tami!C11</t>
  </si>
  <si>
    <t>Tami!D11</t>
  </si>
  <si>
    <t>Tami!E11</t>
  </si>
  <si>
    <t>Tami!F11</t>
  </si>
  <si>
    <t>Tami!G11</t>
  </si>
  <si>
    <t>Tami!H11</t>
  </si>
  <si>
    <t>Tami!I11</t>
  </si>
  <si>
    <t>Tami!J11</t>
  </si>
  <si>
    <t>Tami!K11</t>
  </si>
  <si>
    <t>Tami!L11</t>
  </si>
  <si>
    <t>Tami!A12</t>
  </si>
  <si>
    <t>Tami!B12</t>
  </si>
  <si>
    <t>Tami!C12</t>
  </si>
  <si>
    <t>Tami!D12</t>
  </si>
  <si>
    <t>Tami!E12</t>
  </si>
  <si>
    <t>Tami!F12</t>
  </si>
  <si>
    <t>Tami!G12</t>
  </si>
  <si>
    <t>Tami!H12</t>
  </si>
  <si>
    <t>Tami!I12</t>
  </si>
  <si>
    <t>Tami!J12</t>
  </si>
  <si>
    <t>Tami!K12</t>
  </si>
  <si>
    <t>Tami!L12</t>
  </si>
  <si>
    <t>Tami!A13</t>
  </si>
  <si>
    <t>Tami!B13</t>
  </si>
  <si>
    <t>Tami!C13</t>
  </si>
  <si>
    <t>Tami!D13</t>
  </si>
  <si>
    <t>Tami!E13</t>
  </si>
  <si>
    <t>Tami!F13</t>
  </si>
  <si>
    <t>Tami!G13</t>
  </si>
  <si>
    <t>Tami!H13</t>
  </si>
  <si>
    <t>Tami!I13</t>
  </si>
  <si>
    <t>Tami!J13</t>
  </si>
  <si>
    <t>Tami!K13</t>
  </si>
  <si>
    <t>Tami!L13</t>
  </si>
  <si>
    <t>Tami!A14</t>
  </si>
  <si>
    <t>Tami!B14</t>
  </si>
  <si>
    <t>Tami!C14</t>
  </si>
  <si>
    <t>Tami!D14</t>
  </si>
  <si>
    <t>Tami!E14</t>
  </si>
  <si>
    <t>Tami!F14</t>
  </si>
  <si>
    <t>Tami!G14</t>
  </si>
  <si>
    <t>Tami!H14</t>
  </si>
  <si>
    <t>Tami!I14</t>
  </si>
  <si>
    <t>Tami!J14</t>
  </si>
  <si>
    <t>Tami!K14</t>
  </si>
  <si>
    <t>Tami!L14</t>
  </si>
  <si>
    <t>Tami!A15</t>
  </si>
  <si>
    <t>Tami!B15</t>
  </si>
  <si>
    <t>Tami!C15</t>
  </si>
  <si>
    <t>Tami!D15</t>
  </si>
  <si>
    <t>Tami!E15</t>
  </si>
  <si>
    <t>Tami!F15</t>
  </si>
  <si>
    <t>Tami!G15</t>
  </si>
  <si>
    <t>Tami!H15</t>
  </si>
  <si>
    <t>Tami!I15</t>
  </si>
  <si>
    <t>Tami!J15</t>
  </si>
  <si>
    <t>Tami!K15</t>
  </si>
  <si>
    <t>Tami!L15</t>
  </si>
  <si>
    <t>Tami!A16</t>
  </si>
  <si>
    <t>Tami!B16</t>
  </si>
  <si>
    <t>Tami!C16</t>
  </si>
  <si>
    <t>Tami!D16</t>
  </si>
  <si>
    <t>Tami!E16</t>
  </si>
  <si>
    <t>Tami!F16</t>
  </si>
  <si>
    <t>Tami!G16</t>
  </si>
  <si>
    <t>Tami!H16</t>
  </si>
  <si>
    <t>Tami!I16</t>
  </si>
  <si>
    <t>Tami!J16</t>
  </si>
  <si>
    <t>Tami!K16</t>
  </si>
  <si>
    <t>Tami!L16</t>
  </si>
  <si>
    <t>Tami!A17</t>
  </si>
  <si>
    <t>Tami!B17</t>
  </si>
  <si>
    <t>Tami!C17</t>
  </si>
  <si>
    <t>Tami!D17</t>
  </si>
  <si>
    <t>Tami!E17</t>
  </si>
  <si>
    <t>Tami!F17</t>
  </si>
  <si>
    <t>Tami!G17</t>
  </si>
  <si>
    <t>Tami!H17</t>
  </si>
  <si>
    <t>Tami!I17</t>
  </si>
  <si>
    <t>Tami!J17</t>
  </si>
  <si>
    <t>Tami!K17</t>
  </si>
  <si>
    <t>Tami!L17</t>
  </si>
  <si>
    <t>Tami!A18</t>
  </si>
  <si>
    <t>Tami!B18</t>
  </si>
  <si>
    <t>Tami!C18</t>
  </si>
  <si>
    <t>Tami!D18</t>
  </si>
  <si>
    <t>Tami!E18</t>
  </si>
  <si>
    <t>Tami!F18</t>
  </si>
  <si>
    <t>Tami!G18</t>
  </si>
  <si>
    <t>Tami!H18</t>
  </si>
  <si>
    <t>Tami!I18</t>
  </si>
  <si>
    <t>Tami!J18</t>
  </si>
  <si>
    <t>Tami!K18</t>
  </si>
  <si>
    <t>Tami!L18</t>
  </si>
  <si>
    <t>Tami!A19</t>
  </si>
  <si>
    <t>Tami!B19</t>
  </si>
  <si>
    <t>Tami!C19</t>
  </si>
  <si>
    <t>Tami!D19</t>
  </si>
  <si>
    <t>Tami!E19</t>
  </si>
  <si>
    <t>Tami!F19</t>
  </si>
  <si>
    <t>Tami!G19</t>
  </si>
  <si>
    <t>Tami!H19</t>
  </si>
  <si>
    <t>Tami!I19</t>
  </si>
  <si>
    <t>Tami!J19</t>
  </si>
  <si>
    <t>Tami!K19</t>
  </si>
  <si>
    <t>Tami!L19</t>
  </si>
  <si>
    <t>Tami!A20</t>
  </si>
  <si>
    <t>Tami!B20</t>
  </si>
  <si>
    <t>Tami!C20</t>
  </si>
  <si>
    <t>Tami!D20</t>
  </si>
  <si>
    <t>Tami!E20</t>
  </si>
  <si>
    <t>Tami!F20</t>
  </si>
  <si>
    <t>Tami!G20</t>
  </si>
  <si>
    <t>Tami!H20</t>
  </si>
  <si>
    <t>Tami!I20</t>
  </si>
  <si>
    <t>Tami!J20</t>
  </si>
  <si>
    <t>Tami!K20</t>
  </si>
  <si>
    <t>Tami!L20</t>
  </si>
  <si>
    <t>Tami!A21</t>
  </si>
  <si>
    <t>Tami!B21</t>
  </si>
  <si>
    <t>Tami!C21</t>
  </si>
  <si>
    <t>Tami!D21</t>
  </si>
  <si>
    <t>Tami!E21</t>
  </si>
  <si>
    <t>Tami!F21</t>
  </si>
  <si>
    <t>Tami!G21</t>
  </si>
  <si>
    <t>Tami!H21</t>
  </si>
  <si>
    <t>Tami!I21</t>
  </si>
  <si>
    <t>Tami!J21</t>
  </si>
  <si>
    <t>Tami!K21</t>
  </si>
  <si>
    <t>Tami!L21</t>
  </si>
  <si>
    <t>Tami!A22</t>
  </si>
  <si>
    <t>Tami!B22</t>
  </si>
  <si>
    <t>Tami!C22</t>
  </si>
  <si>
    <t>Tami!D22</t>
  </si>
  <si>
    <t>Tami!E22</t>
  </si>
  <si>
    <t>Tami!F22</t>
  </si>
  <si>
    <t>Tami!G22</t>
  </si>
  <si>
    <t>Tami!H22</t>
  </si>
  <si>
    <t>Tami!I22</t>
  </si>
  <si>
    <t>Tami!J22</t>
  </si>
  <si>
    <t>Tami!K22</t>
  </si>
  <si>
    <t>Tami!L22</t>
  </si>
  <si>
    <t>Tami!A23</t>
  </si>
  <si>
    <t>Tami!B23</t>
  </si>
  <si>
    <t>Tami!C23</t>
  </si>
  <si>
    <t>SUM(C252:C253)</t>
  </si>
  <si>
    <t>Input_Harvestnew!C252:C253</t>
  </si>
  <si>
    <t>Input_Harvestnew!C252</t>
  </si>
  <si>
    <t>Input_Harvestnew!C253</t>
  </si>
  <si>
    <t>Tami!D23</t>
  </si>
  <si>
    <t>Tami!E23</t>
  </si>
  <si>
    <t>SUM(E252:E253)</t>
  </si>
  <si>
    <t>Input_Harvestnew!E252:E253</t>
  </si>
  <si>
    <t>Input_Harvestnew!E252</t>
  </si>
  <si>
    <t>Input_Harvestnew!E253</t>
  </si>
  <si>
    <t>Tami!F23</t>
  </si>
  <si>
    <t>Tami!G23</t>
  </si>
  <si>
    <t>Tami!H23</t>
  </si>
  <si>
    <t>Tami!I23</t>
  </si>
  <si>
    <t>Tami!J23</t>
  </si>
  <si>
    <t>Tami!K23</t>
  </si>
  <si>
    <t>Tami!L23</t>
  </si>
  <si>
    <t>Tami!A24</t>
  </si>
  <si>
    <t>Tami!B24</t>
  </si>
  <si>
    <t>Tami!C24</t>
  </si>
  <si>
    <t>Tami!D24</t>
  </si>
  <si>
    <t>Tami!E24</t>
  </si>
  <si>
    <t>Tami!F24</t>
  </si>
  <si>
    <t>Tami!G24</t>
  </si>
  <si>
    <t>Tami!H24</t>
  </si>
  <si>
    <t>Tami!I24</t>
  </si>
  <si>
    <t>Tami!J24</t>
  </si>
  <si>
    <t>Tami!K24</t>
  </si>
  <si>
    <t>Tami!L24</t>
  </si>
  <si>
    <t>Tami!A25</t>
  </si>
  <si>
    <t>Tami!B25</t>
  </si>
  <si>
    <t>Tami!C25</t>
  </si>
  <si>
    <t>Tami!D25</t>
  </si>
  <si>
    <t>Tami!E25</t>
  </si>
  <si>
    <t>Tami!F25</t>
  </si>
  <si>
    <t>Tami!G25</t>
  </si>
  <si>
    <t>Tami!H25</t>
  </si>
  <si>
    <t>Tami!I25</t>
  </si>
  <si>
    <t>Tami!J25</t>
  </si>
  <si>
    <t>Tami!K25</t>
  </si>
  <si>
    <t>Tami!L25</t>
  </si>
  <si>
    <t>Tami!A26</t>
  </si>
  <si>
    <t>Tami!B26</t>
  </si>
  <si>
    <t>Tami!C26</t>
  </si>
  <si>
    <t>Tami!D26</t>
  </si>
  <si>
    <t>Tami!E26</t>
  </si>
  <si>
    <t>Tami!F26</t>
  </si>
  <si>
    <t>Tami!G26</t>
  </si>
  <si>
    <t>Tami!H26</t>
  </si>
  <si>
    <t>Tami!I26</t>
  </si>
  <si>
    <t>Tami!J26</t>
  </si>
  <si>
    <t>MB 3/10/17 See AR TAAETRS table notes</t>
  </si>
  <si>
    <t>Tami!K26</t>
  </si>
  <si>
    <t>Tami!L26</t>
  </si>
  <si>
    <t>Tami!A27</t>
  </si>
  <si>
    <t>Tami!B27</t>
  </si>
  <si>
    <t>Tami!C27</t>
  </si>
  <si>
    <t>Tami!D27</t>
  </si>
  <si>
    <t>Tami!E27</t>
  </si>
  <si>
    <t>Tami!F27</t>
  </si>
  <si>
    <t>Tami!G27</t>
  </si>
  <si>
    <t>Tami!H27</t>
  </si>
  <si>
    <t>Tami!I27</t>
  </si>
  <si>
    <t>Tami!J27</t>
  </si>
  <si>
    <t>Tami!K27</t>
  </si>
  <si>
    <t>Tami!L27</t>
  </si>
  <si>
    <t>Tami!A28</t>
  </si>
  <si>
    <t>Tami!B28</t>
  </si>
  <si>
    <t>Tami!C28</t>
  </si>
  <si>
    <t>Input_Harvestnew!C36:C39</t>
  </si>
  <si>
    <t>Input_Harvestnew!C36</t>
  </si>
  <si>
    <t>Input_Harvestnew!C37</t>
  </si>
  <si>
    <t>Input_Harvestnew!C38</t>
  </si>
  <si>
    <t>Input_Harvestnew!C39</t>
  </si>
  <si>
    <t>Tami!D28</t>
  </si>
  <si>
    <t>Tami!E28</t>
  </si>
  <si>
    <t>Input_Harvestnew!E36:E39</t>
  </si>
  <si>
    <t>Input_Harvestnew!E36</t>
  </si>
  <si>
    <t>Input_Harvestnew!E37</t>
  </si>
  <si>
    <t>Input_Harvestnew!E38</t>
  </si>
  <si>
    <t>Input_Harvestnew!E39</t>
  </si>
  <si>
    <t>Tami!F28</t>
  </si>
  <si>
    <t>Tami!G28</t>
  </si>
  <si>
    <t>Tami!H28</t>
  </si>
  <si>
    <t>Tami!I28</t>
  </si>
  <si>
    <t>Tami!J28</t>
  </si>
  <si>
    <t>Tami!K28</t>
  </si>
  <si>
    <t>Tami!L28</t>
  </si>
  <si>
    <t>Tami!A29</t>
  </si>
  <si>
    <t>Tami!B29</t>
  </si>
  <si>
    <t>Tami!C29</t>
  </si>
  <si>
    <t>Input_Harvestnew!C16:C21</t>
  </si>
  <si>
    <t>Input_Harvestnew!C16</t>
  </si>
  <si>
    <t>Input_Harvestnew!C17</t>
  </si>
  <si>
    <t>Input_Harvestnew!C18</t>
  </si>
  <si>
    <t>Input_Harvestnew!C19</t>
  </si>
  <si>
    <t>Input_Harvestnew!C20</t>
  </si>
  <si>
    <t>Input_Harvestnew!C21</t>
  </si>
  <si>
    <t>Tami!D29</t>
  </si>
  <si>
    <t>Tami!E29</t>
  </si>
  <si>
    <t>Input_Harvestnew!E16:E21</t>
  </si>
  <si>
    <t>Input_Harvestnew!E16</t>
  </si>
  <si>
    <t>Input_Harvestnew!E17</t>
  </si>
  <si>
    <t>Input_Harvestnew!E18</t>
  </si>
  <si>
    <t>Input_Harvestnew!E19</t>
  </si>
  <si>
    <t>Input_Harvestnew!E20</t>
  </si>
  <si>
    <t>Input_Harvestnew!E21</t>
  </si>
  <si>
    <t>Tami!F29</t>
  </si>
  <si>
    <t>Tami!G29</t>
  </si>
  <si>
    <t>Tami!H29</t>
  </si>
  <si>
    <t>Tami!I29</t>
  </si>
  <si>
    <t>Tami!J29</t>
  </si>
  <si>
    <t>Tami!K29</t>
  </si>
  <si>
    <t>Tami!L29</t>
  </si>
  <si>
    <t>Tami!A30</t>
  </si>
  <si>
    <t>Tami!B30</t>
  </si>
  <si>
    <t>Tami!C30</t>
  </si>
  <si>
    <t>Tami!D30</t>
  </si>
  <si>
    <t>Tami!E30</t>
  </si>
  <si>
    <t>Input_Harvestnew!E25:E27</t>
  </si>
  <si>
    <t>Input_Harvestnew!E25</t>
  </si>
  <si>
    <t>L26</t>
  </si>
  <si>
    <t>Input_Harvestnew!L26</t>
  </si>
  <si>
    <t>K26*K$24</t>
  </si>
  <si>
    <t>Input_Harvestnew!K26</t>
  </si>
  <si>
    <t>Input_Harvestnew!K24</t>
  </si>
  <si>
    <t>TRunsPRN!D37</t>
  </si>
  <si>
    <t>Input_Harvestnew!E26</t>
  </si>
  <si>
    <t>L27</t>
  </si>
  <si>
    <t>Input_Harvestnew!L27</t>
  </si>
  <si>
    <t>K27*K$24</t>
  </si>
  <si>
    <t>Input_Harvestnew!K27</t>
  </si>
  <si>
    <t>Input_Harvestnew!E27</t>
  </si>
  <si>
    <t>L28</t>
  </si>
  <si>
    <t>Input_Harvestnew!L28</t>
  </si>
  <si>
    <t>K28*K$24</t>
  </si>
  <si>
    <t>Input_Harvestnew!K28</t>
  </si>
  <si>
    <t>Input_Harvestnew!E29:E31</t>
  </si>
  <si>
    <t>Input_Harvestnew!E29</t>
  </si>
  <si>
    <t>Input_Harvestnew!E30</t>
  </si>
  <si>
    <t>L29</t>
  </si>
  <si>
    <t>Input_Harvestnew!L29</t>
  </si>
  <si>
    <t>K29*K$24</t>
  </si>
  <si>
    <t>Input_Harvestnew!K29</t>
  </si>
  <si>
    <t>Input_Harvestnew!E31</t>
  </si>
  <si>
    <t>L30</t>
  </si>
  <si>
    <t>Input_Harvestnew!L30</t>
  </si>
  <si>
    <t>K30*K$24</t>
  </si>
  <si>
    <t>Input_Harvestnew!K30</t>
  </si>
  <si>
    <t>Tami!F30</t>
  </si>
  <si>
    <t>Tami!G30</t>
  </si>
  <si>
    <t>Tami!H30</t>
  </si>
  <si>
    <t>Tami!I30</t>
  </si>
  <si>
    <t>Tami!J30</t>
  </si>
  <si>
    <t>Tami!K30</t>
  </si>
  <si>
    <t>Tami!L30</t>
  </si>
  <si>
    <t>Tami!A31</t>
  </si>
  <si>
    <t>Tami!B31</t>
  </si>
  <si>
    <t>Tami!C31</t>
  </si>
  <si>
    <t>Tami!D31</t>
  </si>
  <si>
    <t>Tami!E31</t>
  </si>
  <si>
    <t>Input_Harvestnew!E32</t>
  </si>
  <si>
    <t>Input_Harvestnew!E22</t>
  </si>
  <si>
    <t>Tami!F31</t>
  </si>
  <si>
    <t>Tami!G31</t>
  </si>
  <si>
    <t>Tami!H31</t>
  </si>
  <si>
    <t>Tami!I31</t>
  </si>
  <si>
    <t>Tami!J31</t>
  </si>
  <si>
    <t>Tami!K31</t>
  </si>
  <si>
    <t>Tami!L31</t>
  </si>
  <si>
    <t>Tami!A32</t>
  </si>
  <si>
    <t>Tami!B32</t>
  </si>
  <si>
    <t>Tami!C32</t>
  </si>
  <si>
    <t>Tami!D32</t>
  </si>
  <si>
    <t>Tami!E32</t>
  </si>
  <si>
    <t>Tami!F32</t>
  </si>
  <si>
    <t>Tami!G32</t>
  </si>
  <si>
    <t>Tami!H32</t>
  </si>
  <si>
    <t>Tami!I32</t>
  </si>
  <si>
    <t>Tami!J32</t>
  </si>
  <si>
    <t>Tami!K32</t>
  </si>
  <si>
    <t>Tami!L32</t>
  </si>
  <si>
    <t>Tami!A33</t>
  </si>
  <si>
    <t>Tami!B33</t>
  </si>
  <si>
    <t>Tami!C33</t>
  </si>
  <si>
    <t>Tami!D33</t>
  </si>
  <si>
    <t>Tami!E33</t>
  </si>
  <si>
    <t>Tami!F33</t>
  </si>
  <si>
    <t>Tami!G33</t>
  </si>
  <si>
    <t>Tami!H33</t>
  </si>
  <si>
    <t>Tami!I33</t>
  </si>
  <si>
    <t>Tami!J33</t>
  </si>
  <si>
    <t>Tami!K33</t>
  </si>
  <si>
    <t>Tami!L33</t>
  </si>
  <si>
    <t>Tami!A34</t>
  </si>
  <si>
    <t>Tami!B34</t>
  </si>
  <si>
    <t>Tami!C34</t>
  </si>
  <si>
    <t>Tami!D34</t>
  </si>
  <si>
    <t>Tami!E34</t>
  </si>
  <si>
    <t>Tami!F34</t>
  </si>
  <si>
    <t>Tami!G34</t>
  </si>
  <si>
    <t>Tami!H34</t>
  </si>
  <si>
    <t>Tami!I34</t>
  </si>
  <si>
    <t>Tami!J34</t>
  </si>
  <si>
    <t>Tami!K34</t>
  </si>
  <si>
    <t>Tami!L34</t>
  </si>
  <si>
    <t>Tami!A35</t>
  </si>
  <si>
    <t>Tami!B35</t>
  </si>
  <si>
    <t>Tami!C35</t>
  </si>
  <si>
    <t>Tami!D35</t>
  </si>
  <si>
    <t>Tami!E35</t>
  </si>
  <si>
    <t>Tami!F35</t>
  </si>
  <si>
    <t>Tami!G35</t>
  </si>
  <si>
    <t>Tami!H35</t>
  </si>
  <si>
    <t>Tami!I35</t>
  </si>
  <si>
    <t>Tami!J35</t>
  </si>
  <si>
    <t>Tami!K35</t>
  </si>
  <si>
    <t>Tami!L35</t>
  </si>
  <si>
    <t>Tami!A36</t>
  </si>
  <si>
    <t>Tami!B36</t>
  </si>
  <si>
    <t>Tami!C36</t>
  </si>
  <si>
    <t>Input_Harvestnew!C70:C72</t>
  </si>
  <si>
    <t>Input_Harvestnew!C70</t>
  </si>
  <si>
    <t>Input_Harvestnew!C71</t>
  </si>
  <si>
    <t>Input_Harvestnew!C72</t>
  </si>
  <si>
    <t>Tami!D36</t>
  </si>
  <si>
    <t>Tami!E36</t>
  </si>
  <si>
    <t>Input_Harvestnew!E70:E72</t>
  </si>
  <si>
    <t>Input_Harvestnew!E70</t>
  </si>
  <si>
    <t>Input_Harvestnew!E71</t>
  </si>
  <si>
    <t>Input_Harvestnew!E72</t>
  </si>
  <si>
    <t>Tami!F36</t>
  </si>
  <si>
    <t>Tami!G36</t>
  </si>
  <si>
    <t>Tami!H36</t>
  </si>
  <si>
    <t>Tami!I36</t>
  </si>
  <si>
    <t>Tami!J36</t>
  </si>
  <si>
    <t>Tami!K36</t>
  </si>
  <si>
    <t>Tami!L36</t>
  </si>
  <si>
    <t>Tami!A37</t>
  </si>
  <si>
    <t>Tami!B37</t>
  </si>
  <si>
    <t>Tami!C37</t>
  </si>
  <si>
    <t>SUM(C52:C58)</t>
  </si>
  <si>
    <t>Input_Harvestnew!C52:C58</t>
  </si>
  <si>
    <t>Input_Harvestnew!C52</t>
  </si>
  <si>
    <t>Input_Harvestnew!C53</t>
  </si>
  <si>
    <t>Input_Harvestnew!C54</t>
  </si>
  <si>
    <t>Input_Harvestnew!C55</t>
  </si>
  <si>
    <t>Input_Harvestnew!C56</t>
  </si>
  <si>
    <t>Input_Harvestnew!C57</t>
  </si>
  <si>
    <t>Input_Harvestnew!C58</t>
  </si>
  <si>
    <t>Tami!D37</t>
  </si>
  <si>
    <t>Tami!E37</t>
  </si>
  <si>
    <t>SUM(E52:E58)</t>
  </si>
  <si>
    <t>Input_Harvestnew!E52:E58</t>
  </si>
  <si>
    <t>Input_Harvestnew!E52</t>
  </si>
  <si>
    <t>Input_Harvestnew!E53</t>
  </si>
  <si>
    <t>Input_Harvestnew!E54</t>
  </si>
  <si>
    <t>Input_Harvestnew!E55</t>
  </si>
  <si>
    <t>Input_Harvestnew!E56</t>
  </si>
  <si>
    <t>Input_Harvestnew!E57</t>
  </si>
  <si>
    <t>Input_Harvestnew!E58</t>
  </si>
  <si>
    <t>Tami!F37</t>
  </si>
  <si>
    <t>Tami!G37</t>
  </si>
  <si>
    <t>Tami!H37</t>
  </si>
  <si>
    <t>Tami!I37</t>
  </si>
  <si>
    <t>Tami!J37</t>
  </si>
  <si>
    <t>Tami!K37</t>
  </si>
  <si>
    <t>Tami!L37</t>
  </si>
  <si>
    <t>Tami!A38</t>
  </si>
  <si>
    <t>Tami!B38</t>
  </si>
  <si>
    <t>Tami!C38</t>
  </si>
  <si>
    <t>Tami!D38</t>
  </si>
  <si>
    <t>Tami!E38</t>
  </si>
  <si>
    <t>Tami!F38</t>
  </si>
  <si>
    <t>Tami!G38</t>
  </si>
  <si>
    <t>Tami!H38</t>
  </si>
  <si>
    <t>Tami!I38</t>
  </si>
  <si>
    <t>Tami!J38</t>
  </si>
  <si>
    <t>KH 4/3/17 Definition 14 consistent with harvest rate calculations.</t>
  </si>
  <si>
    <t>Tami!K38</t>
  </si>
  <si>
    <t>Tami!L38</t>
  </si>
  <si>
    <t>Tami!A39</t>
  </si>
  <si>
    <t>Tami!B39</t>
  </si>
  <si>
    <t>Tami!C39</t>
  </si>
  <si>
    <t>Tami!D39</t>
  </si>
  <si>
    <t>Tami!E39</t>
  </si>
  <si>
    <t>Tami!F39</t>
  </si>
  <si>
    <t>Tami!G39</t>
  </si>
  <si>
    <t>Tami!H39</t>
  </si>
  <si>
    <t>Tami!I39</t>
  </si>
  <si>
    <t>Tami!J39</t>
  </si>
  <si>
    <t>Tami!K39</t>
  </si>
  <si>
    <t>Tami!L39</t>
  </si>
  <si>
    <t>Tami!A40</t>
  </si>
  <si>
    <t>Tami!B40</t>
  </si>
  <si>
    <t>Tami!C40</t>
  </si>
  <si>
    <t>Tami!D40</t>
  </si>
  <si>
    <t>Tami!E40</t>
  </si>
  <si>
    <t>Input_Harvestnew!E64</t>
  </si>
  <si>
    <t>Input_Harvestnew!E65</t>
  </si>
  <si>
    <t>J71</t>
  </si>
  <si>
    <t>Input_Harvestnew!J71</t>
  </si>
  <si>
    <t>0.0009*J70</t>
  </si>
  <si>
    <t>Input_Harvestnew!J70</t>
  </si>
  <si>
    <t>SUM(TRunsPRN!$D$105:$D$106)</t>
  </si>
  <si>
    <t>TRunsPRN!D105:D106</t>
  </si>
  <si>
    <t>TRunsPRN!D105</t>
  </si>
  <si>
    <t>TRunsPRN!D106</t>
  </si>
  <si>
    <t>Input_Harvestnew!E66</t>
  </si>
  <si>
    <t>Input_Harvestnew!C66</t>
  </si>
  <si>
    <t>Tami!F40</t>
  </si>
  <si>
    <t>Tami!G40</t>
  </si>
  <si>
    <t>Tami!H40</t>
  </si>
  <si>
    <t>Tami!I40</t>
  </si>
  <si>
    <t>Tami!J40</t>
  </si>
  <si>
    <t>Tami!K40</t>
  </si>
  <si>
    <t>Tami!L40</t>
  </si>
  <si>
    <t>Tami!A41</t>
  </si>
  <si>
    <t>Tami!B41</t>
  </si>
  <si>
    <t>Tami!C41</t>
  </si>
  <si>
    <t>Tami!D41</t>
  </si>
  <si>
    <t>Tami!E41</t>
  </si>
  <si>
    <t>Tami!F41</t>
  </si>
  <si>
    <t>Tami!G41</t>
  </si>
  <si>
    <t>Tami!H41</t>
  </si>
  <si>
    <t>Tami!I41</t>
  </si>
  <si>
    <t>Tami!J41</t>
  </si>
  <si>
    <t>Tami!K41</t>
  </si>
  <si>
    <t>Tami!L41</t>
  </si>
  <si>
    <t>Tami!A42</t>
  </si>
  <si>
    <t>Tami!B42</t>
  </si>
  <si>
    <t>Tami!C42</t>
  </si>
  <si>
    <t>Tami!D42</t>
  </si>
  <si>
    <t>Tami!E42</t>
  </si>
  <si>
    <t>Tami!F42</t>
  </si>
  <si>
    <t>Tami!G42</t>
  </si>
  <si>
    <t>Tami!H42</t>
  </si>
  <si>
    <t>Tami!I42</t>
  </si>
  <si>
    <t>Tami!J42</t>
  </si>
  <si>
    <t>Tami!K42</t>
  </si>
  <si>
    <t>Tami!L42</t>
  </si>
  <si>
    <t>Tami!A43</t>
  </si>
  <si>
    <t>Tami!B43</t>
  </si>
  <si>
    <t>Tami!C43</t>
  </si>
  <si>
    <t>Tami!D43</t>
  </si>
  <si>
    <t>Tami!E43</t>
  </si>
  <si>
    <t>Tami!F43</t>
  </si>
  <si>
    <t>Tami!G43</t>
  </si>
  <si>
    <t>Tami!H43</t>
  </si>
  <si>
    <t>Tami!I43</t>
  </si>
  <si>
    <t>Tami!J43</t>
  </si>
  <si>
    <t>Tami!K43</t>
  </si>
  <si>
    <t>Tami!L43</t>
  </si>
  <si>
    <t>Tami!A44</t>
  </si>
  <si>
    <t>Tami!B44</t>
  </si>
  <si>
    <t>Tami!C44</t>
  </si>
  <si>
    <t>Tami!D44</t>
  </si>
  <si>
    <t>Tami!E44</t>
  </si>
  <si>
    <t>Tami!F44</t>
  </si>
  <si>
    <t>Tami!G44</t>
  </si>
  <si>
    <t>Tami!H44</t>
  </si>
  <si>
    <t>Tami!I44</t>
  </si>
  <si>
    <t>Tami!J44</t>
  </si>
  <si>
    <t>Tami!K44</t>
  </si>
  <si>
    <t>Tami!L44</t>
  </si>
  <si>
    <t>Tami!A45</t>
  </si>
  <si>
    <t>Tami!B45</t>
  </si>
  <si>
    <t>Tami!C45</t>
  </si>
  <si>
    <t>Tami!D45</t>
  </si>
  <si>
    <t>Tami!E45</t>
  </si>
  <si>
    <t>Tami!F45</t>
  </si>
  <si>
    <t>Tami!G45</t>
  </si>
  <si>
    <t>Tami!H45</t>
  </si>
  <si>
    <t>Tami!I45</t>
  </si>
  <si>
    <t>Tami!J45</t>
  </si>
  <si>
    <t>Tami!K45</t>
  </si>
  <si>
    <t>Tami!L45</t>
  </si>
  <si>
    <t>Tami!A46</t>
  </si>
  <si>
    <t>Tami!B46</t>
  </si>
  <si>
    <t>Tami!C46</t>
  </si>
  <si>
    <t>Input_Harvestnew!C176</t>
  </si>
  <si>
    <t>Input_Harvestnew!J178</t>
  </si>
  <si>
    <t>J177/J176</t>
  </si>
  <si>
    <t>Input_Harvestnew!J177</t>
  </si>
  <si>
    <t>0.5*C159</t>
  </si>
  <si>
    <t>Input_Harvestnew!C159</t>
  </si>
  <si>
    <t>Input_Harvestnew!J176</t>
  </si>
  <si>
    <t>TRunsPRN!D40</t>
  </si>
  <si>
    <t>Tami!D46</t>
  </si>
  <si>
    <t>Tami!E46</t>
  </si>
  <si>
    <t>Input_Harvestnew!E176</t>
  </si>
  <si>
    <t>Input_Harvestnew!K178</t>
  </si>
  <si>
    <t>K177/K176</t>
  </si>
  <si>
    <t>Input_Harvestnew!K177</t>
  </si>
  <si>
    <t>0.5*E159</t>
  </si>
  <si>
    <t>Input_Harvestnew!E159</t>
  </si>
  <si>
    <t>199+17</t>
  </si>
  <si>
    <t>Input_Harvestnew!K176</t>
  </si>
  <si>
    <t>Tami!F46</t>
  </si>
  <si>
    <t>Tami!G46</t>
  </si>
  <si>
    <t>Tami!H46</t>
  </si>
  <si>
    <t>Tami!I46</t>
  </si>
  <si>
    <t>Tami!J46</t>
  </si>
  <si>
    <t>Tami!K46</t>
  </si>
  <si>
    <t>Tami!L46</t>
  </si>
  <si>
    <t>Tami!A47</t>
  </si>
  <si>
    <t>Tami!B47</t>
  </si>
  <si>
    <t>Tami!C47</t>
  </si>
  <si>
    <t>Input_Harvestnew!C165</t>
  </si>
  <si>
    <t>Tami!D47</t>
  </si>
  <si>
    <t>Tami!E47</t>
  </si>
  <si>
    <t>Input_Harvestnew!E165</t>
  </si>
  <si>
    <t>Tami!F47</t>
  </si>
  <si>
    <t>Tami!G47</t>
  </si>
  <si>
    <t>Tami!H47</t>
  </si>
  <si>
    <t>Tami!I47</t>
  </si>
  <si>
    <t>Tami!J47</t>
  </si>
  <si>
    <t>Tami!K47</t>
  </si>
  <si>
    <t>Tami!L47</t>
  </si>
  <si>
    <t>Tami!A48</t>
  </si>
  <si>
    <t>Tami!B48</t>
  </si>
  <si>
    <t>Tami!C48</t>
  </si>
  <si>
    <t>Tami!D48</t>
  </si>
  <si>
    <t>Tami!E48</t>
  </si>
  <si>
    <t>Tami!F48</t>
  </si>
  <si>
    <t>Tami!G48</t>
  </si>
  <si>
    <t>Tami!H48</t>
  </si>
  <si>
    <t>Tami!I48</t>
  </si>
  <si>
    <t>Tami!J48</t>
  </si>
  <si>
    <t>Tami!K48</t>
  </si>
  <si>
    <t>Tami!L48</t>
  </si>
  <si>
    <t>Tami!A49</t>
  </si>
  <si>
    <t>Tami!B49</t>
  </si>
  <si>
    <t>Tami!C49</t>
  </si>
  <si>
    <t>Tami!D49</t>
  </si>
  <si>
    <t>Tami!E49</t>
  </si>
  <si>
    <t>Tami!F49</t>
  </si>
  <si>
    <t>Tami!G49</t>
  </si>
  <si>
    <t>Tami!H49</t>
  </si>
  <si>
    <t>Tami!I49</t>
  </si>
  <si>
    <t>Tami!J49</t>
  </si>
  <si>
    <t>MB 3/10/17 See AR TAAETRS table notes, updated definiton 10A</t>
  </si>
  <si>
    <t>Tami!K49</t>
  </si>
  <si>
    <t>Tami!L49</t>
  </si>
  <si>
    <t>Tami!A50</t>
  </si>
  <si>
    <t>Tami!B50</t>
  </si>
  <si>
    <t>Tami!C50</t>
  </si>
  <si>
    <t>Tami!D50</t>
  </si>
  <si>
    <t>Tami!E50</t>
  </si>
  <si>
    <t>Tami!F50</t>
  </si>
  <si>
    <t>Tami!G50</t>
  </si>
  <si>
    <t>Tami!H50</t>
  </si>
  <si>
    <t>Tami!I50</t>
  </si>
  <si>
    <t>Tami!J50</t>
  </si>
  <si>
    <t>Tami!K50</t>
  </si>
  <si>
    <t>Tami!L50</t>
  </si>
  <si>
    <t>Tami!A51</t>
  </si>
  <si>
    <t>Tami!B51</t>
  </si>
  <si>
    <t>Tami!C51</t>
  </si>
  <si>
    <t>Tami!D51</t>
  </si>
  <si>
    <t>Tami!E51</t>
  </si>
  <si>
    <t>Tami!F51</t>
  </si>
  <si>
    <t>Tami!G51</t>
  </si>
  <si>
    <t>Tami!H51</t>
  </si>
  <si>
    <t>Tami!I51</t>
  </si>
  <si>
    <t>Tami!J51</t>
  </si>
  <si>
    <t>Tami!K51</t>
  </si>
  <si>
    <t>Tami!L51</t>
  </si>
  <si>
    <t>Tami!A52</t>
  </si>
  <si>
    <t>Tami!B52</t>
  </si>
  <si>
    <t>Tami!C52</t>
  </si>
  <si>
    <t>Tami!D52</t>
  </si>
  <si>
    <t>Tami!E52</t>
  </si>
  <si>
    <t>Tami!F52</t>
  </si>
  <si>
    <t>Tami!G52</t>
  </si>
  <si>
    <t>Tami!H52</t>
  </si>
  <si>
    <t>Tami!I52</t>
  </si>
  <si>
    <t>Tami!J52</t>
  </si>
  <si>
    <t>Tami!K52</t>
  </si>
  <si>
    <t>Tami!L52</t>
  </si>
  <si>
    <t>Tami!A53</t>
  </si>
  <si>
    <t>Tami!B53</t>
  </si>
  <si>
    <t>Tami!C53</t>
  </si>
  <si>
    <t>Tami!D53</t>
  </si>
  <si>
    <t>Tami!E53</t>
  </si>
  <si>
    <t>Tami!F53</t>
  </si>
  <si>
    <t>Tami!G53</t>
  </si>
  <si>
    <t>Tami!H53</t>
  </si>
  <si>
    <t>Tami!I53</t>
  </si>
  <si>
    <t>Tami!J53</t>
  </si>
  <si>
    <t>Tami!K53</t>
  </si>
  <si>
    <t>Tami!L53</t>
  </si>
  <si>
    <t>Tami!A54</t>
  </si>
  <si>
    <t>Tami!B54</t>
  </si>
  <si>
    <t>Tami!C54</t>
  </si>
  <si>
    <t>Tami!D54</t>
  </si>
  <si>
    <t>Tami!E54</t>
  </si>
  <si>
    <t>Tami!F54</t>
  </si>
  <si>
    <t>Tami!G54</t>
  </si>
  <si>
    <t>Tami!H54</t>
  </si>
  <si>
    <t>Tami!I54</t>
  </si>
  <si>
    <t>Tami!J54</t>
  </si>
  <si>
    <t>Tami!K54</t>
  </si>
  <si>
    <t>Tami!L54</t>
  </si>
  <si>
    <t>Tami!A55</t>
  </si>
  <si>
    <t>Tami!B55</t>
  </si>
  <si>
    <t>Tami!C55</t>
  </si>
  <si>
    <t>Tami!D55</t>
  </si>
  <si>
    <t>Tami!E55</t>
  </si>
  <si>
    <t>Tami!F55</t>
  </si>
  <si>
    <t>Tami!G55</t>
  </si>
  <si>
    <t>Tami!H55</t>
  </si>
  <si>
    <t>Tami!I55</t>
  </si>
  <si>
    <t>Tami!J55</t>
  </si>
  <si>
    <t>Tami!K55</t>
  </si>
  <si>
    <t>Tami!L55</t>
  </si>
  <si>
    <t>Tami!A56</t>
  </si>
  <si>
    <t>Tami!B56</t>
  </si>
  <si>
    <t>Tami!C56</t>
  </si>
  <si>
    <t>Tami!D56</t>
  </si>
  <si>
    <t>Tami!E56</t>
  </si>
  <si>
    <t>Tami!F56</t>
  </si>
  <si>
    <t>Tami!G56</t>
  </si>
  <si>
    <t>Tami!H56</t>
  </si>
  <si>
    <t>Tami!I56</t>
  </si>
  <si>
    <t>Tami!J56</t>
  </si>
  <si>
    <t>Tami!K56</t>
  </si>
  <si>
    <t>Tami!L56</t>
  </si>
  <si>
    <t>Tami!A57</t>
  </si>
  <si>
    <t>Tami!B57</t>
  </si>
  <si>
    <t>Tami!C57</t>
  </si>
  <si>
    <t>Tami!D57</t>
  </si>
  <si>
    <t>Tami!E57</t>
  </si>
  <si>
    <t>Tami!F57</t>
  </si>
  <si>
    <t>Tami!G57</t>
  </si>
  <si>
    <t>Tami!H57</t>
  </si>
  <si>
    <t>Tami!I57</t>
  </si>
  <si>
    <t>Tami!J57</t>
  </si>
  <si>
    <t>Tami!K57</t>
  </si>
  <si>
    <t>Tami!L57</t>
  </si>
  <si>
    <t>Tami!A58</t>
  </si>
  <si>
    <t>Tami!B58</t>
  </si>
  <si>
    <t>Tami!C58</t>
  </si>
  <si>
    <t>Tami!D58</t>
  </si>
  <si>
    <t>Tami!E58</t>
  </si>
  <si>
    <t>Tami!F58</t>
  </si>
  <si>
    <t>Tami!G58</t>
  </si>
  <si>
    <t>Tami!H58</t>
  </si>
  <si>
    <t>Tami!I58</t>
  </si>
  <si>
    <t>Tami!J58</t>
  </si>
  <si>
    <t>Tami!K58</t>
  </si>
  <si>
    <t>Tami!L58</t>
  </si>
  <si>
    <t>Tami!A59</t>
  </si>
  <si>
    <t>Tami!B59</t>
  </si>
  <si>
    <t>Tami!C59</t>
  </si>
  <si>
    <t>Tami!D59</t>
  </si>
  <si>
    <t>Tami!E59</t>
  </si>
  <si>
    <t>Tami!F59</t>
  </si>
  <si>
    <t>Tami!G59</t>
  </si>
  <si>
    <t>Tami!H59</t>
  </si>
  <si>
    <t>Tami!I59</t>
  </si>
  <si>
    <t>Tami!J59</t>
  </si>
  <si>
    <t>Tami!K59</t>
  </si>
  <si>
    <t>Tami!L59</t>
  </si>
  <si>
    <t>Tami!A60</t>
  </si>
  <si>
    <t>Tami!B60</t>
  </si>
  <si>
    <t>Tami!C60</t>
  </si>
  <si>
    <t>Tami!D60</t>
  </si>
  <si>
    <t>Tami!E60</t>
  </si>
  <si>
    <t>Tami!F60</t>
  </si>
  <si>
    <t>Tami!G60</t>
  </si>
  <si>
    <t>Tami!H60</t>
  </si>
  <si>
    <t>Tami!I60</t>
  </si>
  <si>
    <t>Tami!J60</t>
  </si>
  <si>
    <t>Tami!K60</t>
  </si>
  <si>
    <t>Tami!L60</t>
  </si>
  <si>
    <t>Tami!A61</t>
  </si>
  <si>
    <t>Tami!B61</t>
  </si>
  <si>
    <t>Tami!C61</t>
  </si>
  <si>
    <t>Tami!D61</t>
  </si>
  <si>
    <t>Tami!E61</t>
  </si>
  <si>
    <t>SUM(E194:E198)</t>
  </si>
  <si>
    <t>Input_Harvestnew!E194:E198</t>
  </si>
  <si>
    <t>Input_Harvestnew!E194</t>
  </si>
  <si>
    <t>Input_Harvestnew!E195</t>
  </si>
  <si>
    <t>Input_Harvestnew!E196</t>
  </si>
  <si>
    <t>Input_Harvestnew!E197</t>
  </si>
  <si>
    <t>Input_Harvestnew!E198</t>
  </si>
  <si>
    <t>Tami!F61</t>
  </si>
  <si>
    <t>Tami!G61</t>
  </si>
  <si>
    <t>Tami!H61</t>
  </si>
  <si>
    <t>Tami!I61</t>
  </si>
  <si>
    <t>Tami!J61</t>
  </si>
  <si>
    <t>Tami!K61</t>
  </si>
  <si>
    <t>Tami!L61</t>
  </si>
  <si>
    <t>Tami!A62</t>
  </si>
  <si>
    <t>Tami!B62</t>
  </si>
  <si>
    <t>Tami!C62</t>
  </si>
  <si>
    <t>Tami!D62</t>
  </si>
  <si>
    <t>Tami!E62</t>
  </si>
  <si>
    <t>Tami!F62</t>
  </si>
  <si>
    <t>Tami!G62</t>
  </si>
  <si>
    <t>Tami!H62</t>
  </si>
  <si>
    <t>Tami!I62</t>
  </si>
  <si>
    <t>Tami!J62</t>
  </si>
  <si>
    <t>Tami!K62</t>
  </si>
  <si>
    <t>Tami!L62</t>
  </si>
  <si>
    <t>Tami!A63</t>
  </si>
  <si>
    <t>Tami!B63</t>
  </si>
  <si>
    <t>Tami!C63</t>
  </si>
  <si>
    <t>Tami!D63</t>
  </si>
  <si>
    <t>Tami!E63</t>
  </si>
  <si>
    <t>Tami!F63</t>
  </si>
  <si>
    <t>Tami!G63</t>
  </si>
  <si>
    <t>Tami!H63</t>
  </si>
  <si>
    <t>Tami!I63</t>
  </si>
  <si>
    <t>Tami!J63</t>
  </si>
  <si>
    <t>Tami!K63</t>
  </si>
  <si>
    <t>Tami!L63</t>
  </si>
  <si>
    <t>Tami!A64</t>
  </si>
  <si>
    <t>Tami!B64</t>
  </si>
  <si>
    <t>Tami!C64</t>
  </si>
  <si>
    <t>Tami!D64</t>
  </si>
  <si>
    <t>Tami!E64</t>
  </si>
  <si>
    <t>Tami!F64</t>
  </si>
  <si>
    <t>Tami!G64</t>
  </si>
  <si>
    <t>Tami!H64</t>
  </si>
  <si>
    <t>Tami!I64</t>
  </si>
  <si>
    <t>Tami!J64</t>
  </si>
  <si>
    <t>Tami!K64</t>
  </si>
  <si>
    <t>Tami!L64</t>
  </si>
  <si>
    <t>Tami!A65</t>
  </si>
  <si>
    <t>Tami!B65</t>
  </si>
  <si>
    <t>Tami!C65</t>
  </si>
  <si>
    <t>Tami!D65</t>
  </si>
  <si>
    <t>Tami!E65</t>
  </si>
  <si>
    <t>Tami!F65</t>
  </si>
  <si>
    <t>Tami!G65</t>
  </si>
  <si>
    <t>Tami!H65</t>
  </si>
  <si>
    <t>Tami!I65</t>
  </si>
  <si>
    <t>Tami!J65</t>
  </si>
  <si>
    <t>Tami!K65</t>
  </si>
  <si>
    <t>Tami!L65</t>
  </si>
  <si>
    <t>Tami!A66</t>
  </si>
  <si>
    <t>Tami!B66</t>
  </si>
  <si>
    <t>Tami!C66</t>
  </si>
  <si>
    <t>Tami!D66</t>
  </si>
  <si>
    <t>Tami!E66</t>
  </si>
  <si>
    <t>Tami!F66</t>
  </si>
  <si>
    <t>Tami!G66</t>
  </si>
  <si>
    <t>Tami!H66</t>
  </si>
  <si>
    <t>Tami!I66</t>
  </si>
  <si>
    <t>Tami!J66</t>
  </si>
  <si>
    <t>Tami!K66</t>
  </si>
  <si>
    <t>Tami!L66</t>
  </si>
  <si>
    <t>Tami!A67</t>
  </si>
  <si>
    <t>Tami!B67</t>
  </si>
  <si>
    <t>Tami!C67</t>
  </si>
  <si>
    <t>Tami!D67</t>
  </si>
  <si>
    <t>Tami!E67</t>
  </si>
  <si>
    <t>Tami!F67</t>
  </si>
  <si>
    <t>Tami!G67</t>
  </si>
  <si>
    <t>Tami!H67</t>
  </si>
  <si>
    <t>Tami!I67</t>
  </si>
  <si>
    <t>Tami!J67</t>
  </si>
  <si>
    <t>Tami!K67</t>
  </si>
  <si>
    <t>Tami!L67</t>
  </si>
  <si>
    <t>Tami!A68</t>
  </si>
  <si>
    <t>Tami!B68</t>
  </si>
  <si>
    <t>Tami!C68</t>
  </si>
  <si>
    <t>Tami!D68</t>
  </si>
  <si>
    <t>Tami!E68</t>
  </si>
  <si>
    <t>Tami!F68</t>
  </si>
  <si>
    <t>Tami!G68</t>
  </si>
  <si>
    <t>Tami!H68</t>
  </si>
  <si>
    <t>Tami!I68</t>
  </si>
  <si>
    <t>Tami!J68</t>
  </si>
  <si>
    <t>Tami!K68</t>
  </si>
  <si>
    <t>Tami!L68</t>
  </si>
  <si>
    <t>Tami!A69</t>
  </si>
  <si>
    <t>Tami!B69</t>
  </si>
  <si>
    <t>Tami!C69</t>
  </si>
  <si>
    <t>Tami!D69</t>
  </si>
  <si>
    <t>Tami!E69</t>
  </si>
  <si>
    <t>Tami!F69</t>
  </si>
  <si>
    <t>Tami!G69</t>
  </si>
  <si>
    <t>Tami!H69</t>
  </si>
  <si>
    <t>Tami!I69</t>
  </si>
  <si>
    <t>Tami!J69</t>
  </si>
  <si>
    <t>Tami!K69</t>
  </si>
  <si>
    <t>Tami!L69</t>
  </si>
  <si>
    <t>Tami!A70</t>
  </si>
  <si>
    <t>Tami!B70</t>
  </si>
  <si>
    <t>Tami!C70</t>
  </si>
  <si>
    <t>Tami!D70</t>
  </si>
  <si>
    <t>Tami!E70</t>
  </si>
  <si>
    <t>Tami!F70</t>
  </si>
  <si>
    <t>Tami!G70</t>
  </si>
  <si>
    <t>Tami!H70</t>
  </si>
  <si>
    <t>Tami!I70</t>
  </si>
  <si>
    <t>Tami!J70</t>
  </si>
  <si>
    <t>Tami!K70</t>
  </si>
  <si>
    <t>Tami!L70</t>
  </si>
  <si>
    <t>Tami!A71</t>
  </si>
  <si>
    <t>Tami!B71</t>
  </si>
  <si>
    <t>Tami!C71</t>
  </si>
  <si>
    <t>Tami!D71</t>
  </si>
  <si>
    <t>Tami!E71</t>
  </si>
  <si>
    <t>Tami!F71</t>
  </si>
  <si>
    <t>Tami!G71</t>
  </si>
  <si>
    <t>Tami!H71</t>
  </si>
  <si>
    <t>Tami!I71</t>
  </si>
  <si>
    <t>Tami!J71</t>
  </si>
  <si>
    <t>Tami!K71</t>
  </si>
  <si>
    <t>Tami!L71</t>
  </si>
  <si>
    <t>Tami!A72</t>
  </si>
  <si>
    <t>Tami!B72</t>
  </si>
  <si>
    <t>Tami!C72</t>
  </si>
  <si>
    <t>Tami!D72</t>
  </si>
  <si>
    <t>Tami!E72</t>
  </si>
  <si>
    <t>Tami!F72</t>
  </si>
  <si>
    <t>Tami!G72</t>
  </si>
  <si>
    <t>Tami!H72</t>
  </si>
  <si>
    <t>Tami!I72</t>
  </si>
  <si>
    <t>Tami!J72</t>
  </si>
  <si>
    <t>Tami!K72</t>
  </si>
  <si>
    <t>Tami!L72</t>
  </si>
  <si>
    <t>Tami!A73</t>
  </si>
  <si>
    <t>Tami!B73</t>
  </si>
  <si>
    <t>Tami!C73</t>
  </si>
  <si>
    <t>Tami!D73</t>
  </si>
  <si>
    <t>Tami!E73</t>
  </si>
  <si>
    <t>Tami!F73</t>
  </si>
  <si>
    <t>Tami!G73</t>
  </si>
  <si>
    <t>Tami!H73</t>
  </si>
  <si>
    <t>Tami!I73</t>
  </si>
  <si>
    <t>Tami!J73</t>
  </si>
  <si>
    <t>Tami!K73</t>
  </si>
  <si>
    <t>Tami!L73</t>
  </si>
  <si>
    <t>Tami!A74</t>
  </si>
  <si>
    <t>Tami!B74</t>
  </si>
  <si>
    <t>Tami!C74</t>
  </si>
  <si>
    <t>Tami!D74</t>
  </si>
  <si>
    <t>Tami!E74</t>
  </si>
  <si>
    <t>Input_Harvestnew!E221</t>
  </si>
  <si>
    <t>Input_Harvestnew!K224</t>
  </si>
  <si>
    <t>K222/K223</t>
  </si>
  <si>
    <t>Input_Harvestnew!K222</t>
  </si>
  <si>
    <t>E222</t>
  </si>
  <si>
    <t>Input_Harvestnew!E222</t>
  </si>
  <si>
    <t>Input_Harvestnew!K223</t>
  </si>
  <si>
    <t>TRunsPRN!D142+TRunsPRN!D143</t>
  </si>
  <si>
    <t>TRunsPRN!D142</t>
  </si>
  <si>
    <t>TRunsPRN!D143</t>
  </si>
  <si>
    <t>Tami!F74</t>
  </si>
  <si>
    <t>Tami!G74</t>
  </si>
  <si>
    <t>Tami!H74</t>
  </si>
  <si>
    <t>Tami!I74</t>
  </si>
  <si>
    <t>Tami!J74</t>
  </si>
  <si>
    <t>Tami!K74</t>
  </si>
  <si>
    <t>Tami!L74</t>
  </si>
  <si>
    <t>Tami!A75</t>
  </si>
  <si>
    <t>Tami!B75</t>
  </si>
  <si>
    <t>Tami!C75</t>
  </si>
  <si>
    <t>Tami!D75</t>
  </si>
  <si>
    <t>Tami!E75</t>
  </si>
  <si>
    <t>Tami!F75</t>
  </si>
  <si>
    <t>Tami!G75</t>
  </si>
  <si>
    <t>Tami!H75</t>
  </si>
  <si>
    <t>Tami!I75</t>
  </si>
  <si>
    <t>Tami!J75</t>
  </si>
  <si>
    <t>Tami!K75</t>
  </si>
  <si>
    <t>Tami!L75</t>
  </si>
  <si>
    <t>Tami!A76</t>
  </si>
  <si>
    <t>Tami!B76</t>
  </si>
  <si>
    <t>Tami!C76</t>
  </si>
  <si>
    <t>Tami!D76</t>
  </si>
  <si>
    <t>Tami!E76</t>
  </si>
  <si>
    <t>Tami!F76</t>
  </si>
  <si>
    <t>Tami!G76</t>
  </si>
  <si>
    <t>Tami!H76</t>
  </si>
  <si>
    <t>Tami!I76</t>
  </si>
  <si>
    <t>Tami!J76</t>
  </si>
  <si>
    <t>Tami!K76</t>
  </si>
  <si>
    <t>Tami!L76</t>
  </si>
  <si>
    <t>Tami!A77</t>
  </si>
  <si>
    <t>Tami!B77</t>
  </si>
  <si>
    <t>Tami!C77</t>
  </si>
  <si>
    <t>Tami!D77</t>
  </si>
  <si>
    <t>Tami!E77</t>
  </si>
  <si>
    <t>$E$284</t>
  </si>
  <si>
    <t>Input_Harvestnew!E284</t>
  </si>
  <si>
    <t>C284*D284*G288</t>
  </si>
  <si>
    <t>Input_Harvestnew!C284</t>
  </si>
  <si>
    <t>Input_Harvestnew!D284</t>
  </si>
  <si>
    <t>Input_Harvestnew!G288</t>
  </si>
  <si>
    <t>Tami!F77</t>
  </si>
  <si>
    <t>Tami!G77</t>
  </si>
  <si>
    <t>Tami!H77</t>
  </si>
  <si>
    <t>Tami!I77</t>
  </si>
  <si>
    <t>Tami!J77</t>
  </si>
  <si>
    <t>Tami!K77</t>
  </si>
  <si>
    <t>Tami!L77</t>
  </si>
  <si>
    <t>Tami!A78</t>
  </si>
  <si>
    <t>Tami!B78</t>
  </si>
  <si>
    <t>Tami!C78</t>
  </si>
  <si>
    <t>Tami!D78</t>
  </si>
  <si>
    <t>Tami!E78</t>
  </si>
  <si>
    <t>Tami!F78</t>
  </si>
  <si>
    <t>Tami!G78</t>
  </si>
  <si>
    <t>Tami!H78</t>
  </si>
  <si>
    <t>Tami!I78</t>
  </si>
  <si>
    <t>Tami!J78</t>
  </si>
  <si>
    <t>Tami!K78</t>
  </si>
  <si>
    <t>Tami!L78</t>
  </si>
  <si>
    <t>Tami!A79</t>
  </si>
  <si>
    <t>Tami!B79</t>
  </si>
  <si>
    <t>Tami!C79</t>
  </si>
  <si>
    <t>Tami!D79</t>
  </si>
  <si>
    <t>Tami!E79</t>
  </si>
  <si>
    <t>Tami!F79</t>
  </si>
  <si>
    <t>Tami!G79</t>
  </si>
  <si>
    <t>Tami!H79</t>
  </si>
  <si>
    <t>Tami!I79</t>
  </si>
  <si>
    <t>Tami!J79</t>
  </si>
  <si>
    <t>Tami!K79</t>
  </si>
  <si>
    <t>Tami!L79</t>
  </si>
  <si>
    <t>Tami!A80</t>
  </si>
  <si>
    <t>Tami!B80</t>
  </si>
  <si>
    <t>Tami!C80</t>
  </si>
  <si>
    <t>SUM(C121:C123)</t>
  </si>
  <si>
    <t>Input_Harvestnew!C121:C123</t>
  </si>
  <si>
    <t>Input_Harvestnew!C121</t>
  </si>
  <si>
    <t>Input_Harvestnew!C122</t>
  </si>
  <si>
    <t>Input_Harvestnew!C123</t>
  </si>
  <si>
    <t>Tami!D80</t>
  </si>
  <si>
    <t>F120</t>
  </si>
  <si>
    <t>Tami!E80</t>
  </si>
  <si>
    <t>SUM(E121:E123)</t>
  </si>
  <si>
    <t>Input_Harvestnew!E121:E123</t>
  </si>
  <si>
    <t>Input_Harvestnew!E121</t>
  </si>
  <si>
    <t>Input_Harvestnew!E122</t>
  </si>
  <si>
    <t>Input_Harvestnew!E123</t>
  </si>
  <si>
    <t>SUM(E124:E129)</t>
  </si>
  <si>
    <t>Input_Harvestnew!E124:E129</t>
  </si>
  <si>
    <t>Input_Harvestnew!E124</t>
  </si>
  <si>
    <t>Input_Harvestnew!E125</t>
  </si>
  <si>
    <t>Input_Harvestnew!E126</t>
  </si>
  <si>
    <t>Input_Harvestnew!E127</t>
  </si>
  <si>
    <t>Input_Harvestnew!E128</t>
  </si>
  <si>
    <t>Input_Harvestnew!E129</t>
  </si>
  <si>
    <t>Tami!F80</t>
  </si>
  <si>
    <t>Tami!G80</t>
  </si>
  <si>
    <t>Tami!H80</t>
  </si>
  <si>
    <t>Tami!I80</t>
  </si>
  <si>
    <t>Tami!J80</t>
  </si>
  <si>
    <t>Tami!K80</t>
  </si>
  <si>
    <t>Tami!L80</t>
  </si>
  <si>
    <t>Tami!A81</t>
  </si>
  <si>
    <t>Tami!B81</t>
  </si>
  <si>
    <t>Tami!C81</t>
  </si>
  <si>
    <t>SUM(C85:C87)</t>
  </si>
  <si>
    <t>Input_Harvestnew!C85:C87</t>
  </si>
  <si>
    <t>Input_Harvestnew!C85</t>
  </si>
  <si>
    <t>Input_Harvestnew!C86</t>
  </si>
  <si>
    <t>Input_Harvestnew!C87</t>
  </si>
  <si>
    <t>Tami!D81</t>
  </si>
  <si>
    <t>Tami!E81</t>
  </si>
  <si>
    <t>SUM(E85:E87)</t>
  </si>
  <si>
    <t>Input_Harvestnew!E85:E87</t>
  </si>
  <si>
    <t>Input_Harvestnew!E85</t>
  </si>
  <si>
    <t>Input_Harvestnew!E86</t>
  </si>
  <si>
    <t>Input_Harvestnew!E87</t>
  </si>
  <si>
    <t>Tami!F81</t>
  </si>
  <si>
    <t>Tami!G81</t>
  </si>
  <si>
    <t>Tami!H81</t>
  </si>
  <si>
    <t>Tami!I81</t>
  </si>
  <si>
    <t>Tami!J81</t>
  </si>
  <si>
    <t>Tami!K81</t>
  </si>
  <si>
    <t>Tami!L81</t>
  </si>
  <si>
    <t>Tami!A82</t>
  </si>
  <si>
    <t>Tami!B82</t>
  </si>
  <si>
    <t>Tami!C82</t>
  </si>
  <si>
    <t>Input_Harvestnew!C144:C146</t>
  </si>
  <si>
    <t>Input_Harvestnew!C144</t>
  </si>
  <si>
    <t>K128</t>
  </si>
  <si>
    <t>Input_Harvestnew!K128</t>
  </si>
  <si>
    <t>$I$122*K122</t>
  </si>
  <si>
    <t>Input_Harvestnew!I122</t>
  </si>
  <si>
    <t>I120/I121</t>
  </si>
  <si>
    <t>Input_Harvestnew!I120</t>
  </si>
  <si>
    <t>Input_Harvestnew!I121</t>
  </si>
  <si>
    <t>SUM(K120:L122)</t>
  </si>
  <si>
    <t>Input_Harvestnew!K120:L122</t>
  </si>
  <si>
    <t>Input_Harvestnew!K120</t>
  </si>
  <si>
    <t>Input_Harvestnew!L120</t>
  </si>
  <si>
    <t>Input_Harvestnew!K121</t>
  </si>
  <si>
    <t>Input_Harvestnew!L121</t>
  </si>
  <si>
    <t>Input_Harvestnew!K122</t>
  </si>
  <si>
    <t>Input_Harvestnew!L122</t>
  </si>
  <si>
    <t>Input_Harvestnew!C145</t>
  </si>
  <si>
    <t>Input_Harvestnew!C146</t>
  </si>
  <si>
    <t>Tami!D82</t>
  </si>
  <si>
    <t>F144</t>
  </si>
  <si>
    <t>Tami!E82</t>
  </si>
  <si>
    <t>Input_Harvestnew!E144:E146</t>
  </si>
  <si>
    <t>Input_Harvestnew!E144</t>
  </si>
  <si>
    <t>L128</t>
  </si>
  <si>
    <t>Input_Harvestnew!L128</t>
  </si>
  <si>
    <t>$I$122*L122</t>
  </si>
  <si>
    <t>Input_Harvestnew!E145</t>
  </si>
  <si>
    <t>Input_Harvestnew!E146</t>
  </si>
  <si>
    <t>Tami!F82</t>
  </si>
  <si>
    <t>Tami!G82</t>
  </si>
  <si>
    <t>Tami!H82</t>
  </si>
  <si>
    <t>Tami!I82</t>
  </si>
  <si>
    <t>Tami!J82</t>
  </si>
  <si>
    <t>Tami!K82</t>
  </si>
  <si>
    <t>Tami!L82</t>
  </si>
  <si>
    <t>Tami!A83</t>
  </si>
  <si>
    <t>Tami!B83</t>
  </si>
  <si>
    <t>Tami!C83</t>
  </si>
  <si>
    <t>K126</t>
  </si>
  <si>
    <t>Input_Harvestnew!K126</t>
  </si>
  <si>
    <t>$I$122*K120</t>
  </si>
  <si>
    <t>Tami!D83</t>
  </si>
  <si>
    <t>F112</t>
  </si>
  <si>
    <t>Tami!E83</t>
  </si>
  <si>
    <t>Input_Harvestnew!E112</t>
  </si>
  <si>
    <t>L126</t>
  </si>
  <si>
    <t>Input_Harvestnew!L126</t>
  </si>
  <si>
    <t>$I$122*L120</t>
  </si>
  <si>
    <t>Input_Harvestnew!E113</t>
  </si>
  <si>
    <t>L127</t>
  </si>
  <si>
    <t>Input_Harvestnew!L127</t>
  </si>
  <si>
    <t>$I$122*L121</t>
  </si>
  <si>
    <t>Tami!F83</t>
  </si>
  <si>
    <t>Tami!G83</t>
  </si>
  <si>
    <t>Tami!H83</t>
  </si>
  <si>
    <t>Tami!I83</t>
  </si>
  <si>
    <t>Tami!J83</t>
  </si>
  <si>
    <t>Tami!K83</t>
  </si>
  <si>
    <t>Tami!L83</t>
  </si>
  <si>
    <t>Tami!A84</t>
  </si>
  <si>
    <t>Tami!B84</t>
  </si>
  <si>
    <t>Tami!C84</t>
  </si>
  <si>
    <t>Tami!D84</t>
  </si>
  <si>
    <t>Tami!E84</t>
  </si>
  <si>
    <t>Tami!F84</t>
  </si>
  <si>
    <t>Tami!G84</t>
  </si>
  <si>
    <t>Tami!H84</t>
  </si>
  <si>
    <t>Tami!I84</t>
  </si>
  <si>
    <t>Tami!J84</t>
  </si>
  <si>
    <t>Tami!K84</t>
  </si>
  <si>
    <t>Tami!L84</t>
  </si>
  <si>
    <t>Tami!A85</t>
  </si>
  <si>
    <t>Tami!B85</t>
  </si>
  <si>
    <t>Tami!C85</t>
  </si>
  <si>
    <t>Tami!D85</t>
  </si>
  <si>
    <t>F114</t>
  </si>
  <si>
    <t>Tami!E85</t>
  </si>
  <si>
    <t>Tami!F85</t>
  </si>
  <si>
    <t>Tami!G85</t>
  </si>
  <si>
    <t>Tami!H85</t>
  </si>
  <si>
    <t>Tami!I85</t>
  </si>
  <si>
    <t>Tami!J85</t>
  </si>
  <si>
    <t>Tami!K85</t>
  </si>
  <si>
    <t>Tami!L85</t>
  </si>
  <si>
    <t>Tami!A86</t>
  </si>
  <si>
    <t>Tami!B86</t>
  </si>
  <si>
    <t>Tami!C86</t>
  </si>
  <si>
    <t>SUM(C132:C134)</t>
  </si>
  <si>
    <t>Input_Harvestnew!C132:C134</t>
  </si>
  <si>
    <t>Input_Harvestnew!C132</t>
  </si>
  <si>
    <t>Input_Harvestnew!C133</t>
  </si>
  <si>
    <t>Input_Harvestnew!C134</t>
  </si>
  <si>
    <t>Tami!D86</t>
  </si>
  <si>
    <t>F131</t>
  </si>
  <si>
    <t>Tami!E86</t>
  </si>
  <si>
    <t>SUM(E132:E134)</t>
  </si>
  <si>
    <t>Input_Harvestnew!E132:E134</t>
  </si>
  <si>
    <t>Input_Harvestnew!E132</t>
  </si>
  <si>
    <t>Input_Harvestnew!E133</t>
  </si>
  <si>
    <t>Input_Harvestnew!E134</t>
  </si>
  <si>
    <t>SUM(E135:E140)</t>
  </si>
  <si>
    <t>Input_Harvestnew!E135:E140</t>
  </si>
  <si>
    <t>Input_Harvestnew!E135</t>
  </si>
  <si>
    <t>Input_Harvestnew!E136</t>
  </si>
  <si>
    <t>Input_Harvestnew!E137</t>
  </si>
  <si>
    <t>Input_Harvestnew!E138</t>
  </si>
  <si>
    <t>Input_Harvestnew!E139</t>
  </si>
  <si>
    <t>Input_Harvestnew!E140</t>
  </si>
  <si>
    <t>Tami!F86</t>
  </si>
  <si>
    <t>Tami!G86</t>
  </si>
  <si>
    <t>Tami!H86</t>
  </si>
  <si>
    <t>Tami!I86</t>
  </si>
  <si>
    <t>Tami!J86</t>
  </si>
  <si>
    <t>Tami!K86</t>
  </si>
  <si>
    <t>Tami!L86</t>
  </si>
  <si>
    <t>Tami!A87</t>
  </si>
  <si>
    <t>Tami!B87</t>
  </si>
  <si>
    <t>Tami!C87</t>
  </si>
  <si>
    <t>SUM(C96:C98)</t>
  </si>
  <si>
    <t>Input_Harvestnew!C96:C98</t>
  </si>
  <si>
    <t>Input_Harvestnew!C96</t>
  </si>
  <si>
    <t>Input_Harvestnew!C97</t>
  </si>
  <si>
    <t>Input_Harvestnew!C98</t>
  </si>
  <si>
    <t>Tami!D87</t>
  </si>
  <si>
    <t>Tami!E87</t>
  </si>
  <si>
    <t>SUM(E96:E98)</t>
  </si>
  <si>
    <t>Input_Harvestnew!E96:E98</t>
  </si>
  <si>
    <t>Input_Harvestnew!E96</t>
  </si>
  <si>
    <t>Input_Harvestnew!E97</t>
  </si>
  <si>
    <t>Input_Harvestnew!E98</t>
  </si>
  <si>
    <t>Tami!F87</t>
  </si>
  <si>
    <t>Tami!G87</t>
  </si>
  <si>
    <t>Tami!H87</t>
  </si>
  <si>
    <t>Tami!I87</t>
  </si>
  <si>
    <t>Tami!J87</t>
  </si>
  <si>
    <t>Tami!K87</t>
  </si>
  <si>
    <t>Tami!L87</t>
  </si>
  <si>
    <t>Tami!A88</t>
  </si>
  <si>
    <t>Tami!B88</t>
  </si>
  <si>
    <t>Tami!C88</t>
  </si>
  <si>
    <t>Tami!D88</t>
  </si>
  <si>
    <t>Tami!E88</t>
  </si>
  <si>
    <t>Tami!F88</t>
  </si>
  <si>
    <t>F$107</t>
  </si>
  <si>
    <t>Input_Harvestnew!F107</t>
  </si>
  <si>
    <t>Tami!G88</t>
  </si>
  <si>
    <t>Tami!H88</t>
  </si>
  <si>
    <t>Tami!I88</t>
  </si>
  <si>
    <t>Tami!J88</t>
  </si>
  <si>
    <t>Tami!K88</t>
  </si>
  <si>
    <t>Tami!L88</t>
  </si>
  <si>
    <t>Tami!A89</t>
  </si>
  <si>
    <t>Tami!B89</t>
  </si>
  <si>
    <t>Tami!C89</t>
  </si>
  <si>
    <t>Tami!D89</t>
  </si>
  <si>
    <t>Tami!E89</t>
  </si>
  <si>
    <t>Tami!F89</t>
  </si>
  <si>
    <t>Tami!G89</t>
  </si>
  <si>
    <t>Tami!H89</t>
  </si>
  <si>
    <t>Tami!I89</t>
  </si>
  <si>
    <t>Tami!J89</t>
  </si>
  <si>
    <t>Tami!K89</t>
  </si>
  <si>
    <t>Tami!L89</t>
  </si>
  <si>
    <t>Tami!A90</t>
  </si>
  <si>
    <t>Tami!B90</t>
  </si>
  <si>
    <t>Tami!C90</t>
  </si>
  <si>
    <t>Tami!D90</t>
  </si>
  <si>
    <t>Tami!E90</t>
  </si>
  <si>
    <t>Tami!F90</t>
  </si>
  <si>
    <t>Tami!G90</t>
  </si>
  <si>
    <t>Tami!H90</t>
  </si>
  <si>
    <t>Tami!I90</t>
  </si>
  <si>
    <t>Tami!J90</t>
  </si>
  <si>
    <t>Tami!K90</t>
  </si>
  <si>
    <t>Tami!L90</t>
  </si>
  <si>
    <t>Tami!A91</t>
  </si>
  <si>
    <t>Tami!B91</t>
  </si>
  <si>
    <t>Tami!C91</t>
  </si>
  <si>
    <t>Tami!D91</t>
  </si>
  <si>
    <t>Tami!E91</t>
  </si>
  <si>
    <t>Tami!F91</t>
  </si>
  <si>
    <t>Tami!G91</t>
  </si>
  <si>
    <t>Tami!H91</t>
  </si>
  <si>
    <t>Tami!I91</t>
  </si>
  <si>
    <t>Tami!J91</t>
  </si>
  <si>
    <t>Tami!K91</t>
  </si>
  <si>
    <t>Tami!L91</t>
  </si>
  <si>
    <t>Tami!A92</t>
  </si>
  <si>
    <t>Tami!B92</t>
  </si>
  <si>
    <t>Tami!C92</t>
  </si>
  <si>
    <t>Tami!D92</t>
  </si>
  <si>
    <t>Tami!E92</t>
  </si>
  <si>
    <t>Tami!F92</t>
  </si>
  <si>
    <t>Tami!G92</t>
  </si>
  <si>
    <t>Tami!H92</t>
  </si>
  <si>
    <t>Tami!I92</t>
  </si>
  <si>
    <t>Tami!J92</t>
  </si>
  <si>
    <t>Tami!K92</t>
  </si>
  <si>
    <t>Tami!L92</t>
  </si>
  <si>
    <t>Tami!A93</t>
  </si>
  <si>
    <t>Tami!B93</t>
  </si>
  <si>
    <t>Tami!C93</t>
  </si>
  <si>
    <t>Tami!D93</t>
  </si>
  <si>
    <t>Tami!E93</t>
  </si>
  <si>
    <t>Tami!F93</t>
  </si>
  <si>
    <t>Tami!G93</t>
  </si>
  <si>
    <t>Tami!H93</t>
  </si>
  <si>
    <t>Tami!I93</t>
  </si>
  <si>
    <t>Tami!J93</t>
  </si>
  <si>
    <t>Tami!K93</t>
  </si>
  <si>
    <t>Tami!L93</t>
  </si>
  <si>
    <t>_x000C_</t>
  </si>
  <si>
    <t>(Return to top of sheet=Control+Home)</t>
  </si>
  <si>
    <t>Species: COHO</t>
  </si>
  <si>
    <t>Ver:2.22 Feb 25</t>
  </si>
  <si>
    <t>Links to FishSumAllPRN Sections</t>
  </si>
  <si>
    <t>Report: Fishery Summary</t>
  </si>
  <si>
    <t>Landed Catch by Fishery</t>
  </si>
  <si>
    <t>Shaker Mortality by Fishery</t>
  </si>
  <si>
    <t>bc-Coho2226_STT</t>
  </si>
  <si>
    <t>Non-Retention Mortality by Fishery</t>
  </si>
  <si>
    <t>Catch+CNR Mortality by Fishery</t>
  </si>
  <si>
    <t>Total Mortality by Fishery</t>
  </si>
  <si>
    <t>====================</t>
  </si>
  <si>
    <t>===========</t>
  </si>
  <si>
    <t>Jan-June</t>
  </si>
  <si>
    <t>July</t>
  </si>
  <si>
    <t>August</t>
  </si>
  <si>
    <t>No Cal Trm</t>
  </si>
  <si>
    <t>Cn Cal Trm</t>
  </si>
  <si>
    <t>Ft Brg Spt</t>
  </si>
  <si>
    <t>Ft Brg Trl</t>
  </si>
  <si>
    <t>Ca KMZ Spt</t>
  </si>
  <si>
    <t>Ca KMZ Trl</t>
  </si>
  <si>
    <t>So Cal Spt</t>
  </si>
  <si>
    <t>So Cal Trl</t>
  </si>
  <si>
    <t>So Ore Trm</t>
  </si>
  <si>
    <t>Or Prv Trm</t>
  </si>
  <si>
    <t>SMi Or Trm</t>
  </si>
  <si>
    <t>NMi Or Trm</t>
  </si>
  <si>
    <t>No Ore Trm</t>
  </si>
  <si>
    <t>Or Cst Trm</t>
  </si>
  <si>
    <t>Brkngs Spt</t>
  </si>
  <si>
    <t>Brkngs Trl</t>
  </si>
  <si>
    <t>Newprt Spt</t>
  </si>
  <si>
    <t>Newprt Trl</t>
  </si>
  <si>
    <t>Coos B Spt</t>
  </si>
  <si>
    <t>Coos B Trl</t>
  </si>
  <si>
    <t>Tillmk Spt</t>
  </si>
  <si>
    <t>Tillmk Trl</t>
  </si>
  <si>
    <t>Buoy10 Spt</t>
  </si>
  <si>
    <t>L ColR Spt</t>
  </si>
  <si>
    <t>L ColR Net</t>
  </si>
  <si>
    <t>Yngs B Net</t>
  </si>
  <si>
    <t>LCROrT Spt</t>
  </si>
  <si>
    <t>Clackm Spt</t>
  </si>
  <si>
    <t>SandyR Spt</t>
  </si>
  <si>
    <t>LCRWaT Spt</t>
  </si>
  <si>
    <t>UpColR Spt</t>
  </si>
  <si>
    <t>UpColR Net</t>
  </si>
  <si>
    <t>A1-Ast Spt</t>
  </si>
  <si>
    <t>A1-Ast Trl</t>
  </si>
  <si>
    <t>Area2TrlNT</t>
  </si>
  <si>
    <t>Area2TrlTR</t>
  </si>
  <si>
    <t>Area 2 Spt</t>
  </si>
  <si>
    <t>Area3TrlNT</t>
  </si>
  <si>
    <t>Area3TrlTR</t>
  </si>
  <si>
    <t>Area 3 Spt</t>
  </si>
  <si>
    <t>Area 4 Spt</t>
  </si>
  <si>
    <t>A4/4BTrlNT</t>
  </si>
  <si>
    <t>A4/4BTrlTR</t>
  </si>
  <si>
    <t>A 5-6C Trl</t>
  </si>
  <si>
    <t>Willpa Spt</t>
  </si>
  <si>
    <t>Wlp Tb Spt</t>
  </si>
  <si>
    <t>WlpaBT Net</t>
  </si>
  <si>
    <t>GryHbr Spt</t>
  </si>
  <si>
    <t>SGryHb Spt</t>
  </si>
  <si>
    <t>GryHbr Net</t>
  </si>
  <si>
    <t>Hump R Spt</t>
  </si>
  <si>
    <t>LwCheh Net</t>
  </si>
  <si>
    <t>Hump R C&amp;S</t>
  </si>
  <si>
    <t>Chehal Spt</t>
  </si>
  <si>
    <t>Hump R Net</t>
  </si>
  <si>
    <t>UpCheh Net</t>
  </si>
  <si>
    <t>Chehal C&amp;S</t>
  </si>
  <si>
    <t>Wynoch Spt</t>
  </si>
  <si>
    <t>Hoquam Spt</t>
  </si>
  <si>
    <t>Wishkh Spt</t>
  </si>
  <si>
    <t>Satsop Spt</t>
  </si>
  <si>
    <t>Quin R Spt</t>
  </si>
  <si>
    <t>Quin R Net</t>
  </si>
  <si>
    <t>Quin R C&amp;S</t>
  </si>
  <si>
    <t>Queets Spt</t>
  </si>
  <si>
    <t>Clrwtr Spt</t>
  </si>
  <si>
    <t>Salm R Spt</t>
  </si>
  <si>
    <t>Queets Net</t>
  </si>
  <si>
    <t>Queets C&amp;S</t>
  </si>
  <si>
    <t>Quilly Spt</t>
  </si>
  <si>
    <t>Quilly Net</t>
  </si>
  <si>
    <t>Quilly C&amp;S</t>
  </si>
  <si>
    <t>Hoh R  Spt</t>
  </si>
  <si>
    <t>Hoh R  Net</t>
  </si>
  <si>
    <t>Hoh R  C&amp;S</t>
  </si>
  <si>
    <t>Mak FW Spt</t>
  </si>
  <si>
    <t>Mak FW Net</t>
  </si>
  <si>
    <t>Makah  C&amp;S</t>
  </si>
  <si>
    <t>A 4-4A Net</t>
  </si>
  <si>
    <t>Ar9ANetNT</t>
  </si>
  <si>
    <t>Ar9ANetTR</t>
  </si>
  <si>
    <t>FRSLOW Trm</t>
  </si>
  <si>
    <t>FRSUPP Trm</t>
  </si>
  <si>
    <t>Fraser Spt</t>
  </si>
  <si>
    <t>JStrBC Trl</t>
  </si>
  <si>
    <t>No BC  Trl</t>
  </si>
  <si>
    <t>NoC BC Trl</t>
  </si>
  <si>
    <t>SoC BC Trl</t>
  </si>
  <si>
    <t>NW VI  Trl</t>
  </si>
  <si>
    <t>SW VI  Trl</t>
  </si>
  <si>
    <t>GeoStr Trl</t>
  </si>
  <si>
    <t>BC JDF Trl</t>
  </si>
  <si>
    <t>No BC  Net</t>
  </si>
  <si>
    <t>Cen BC Net</t>
  </si>
  <si>
    <t>NW VI  Net</t>
  </si>
  <si>
    <t>SW VI  Net</t>
  </si>
  <si>
    <t>Johnst Net</t>
  </si>
  <si>
    <t>GeoStr Net</t>
  </si>
  <si>
    <t>Fraser Net</t>
  </si>
  <si>
    <t>BC JDF Net</t>
  </si>
  <si>
    <t>JStrBC Spt</t>
  </si>
  <si>
    <t>No BC  Spt</t>
  </si>
  <si>
    <t>Cen BC Spt</t>
  </si>
  <si>
    <t>BC JDF Spt</t>
  </si>
  <si>
    <t>WC VI  Spt</t>
  </si>
  <si>
    <t>NGaStr Spt</t>
  </si>
  <si>
    <t>SGaStr Spt</t>
  </si>
  <si>
    <t>Albern Spt</t>
  </si>
  <si>
    <t>SW AK  Trl</t>
  </si>
  <si>
    <t>SE AK  Trl</t>
  </si>
  <si>
    <t>NW AK  Trl</t>
  </si>
  <si>
    <t>NE AK  Trl</t>
  </si>
  <si>
    <t>Alaska Net</t>
  </si>
  <si>
    <t>**Static Values, does not use model output values in formulas</t>
  </si>
  <si>
    <t>encounters</t>
  </si>
  <si>
    <t>encounters remaining</t>
  </si>
  <si>
    <t>CNR</t>
  </si>
  <si>
    <t>Links to StockSumPRN Sections</t>
  </si>
  <si>
    <t>Report: Stock Summary</t>
  </si>
  <si>
    <t>Total Mortality by Stock for All Fisheries and Time Steps</t>
  </si>
  <si>
    <t>StockLongName</t>
  </si>
  <si>
    <t>StockID</t>
  </si>
  <si>
    <t>U-nkskrw</t>
  </si>
  <si>
    <t>Nooksack River Wild UnMarked</t>
  </si>
  <si>
    <t>U-area9w</t>
  </si>
  <si>
    <t>Area 9 Miscellaneous Wild UnMarked</t>
  </si>
  <si>
    <t>M-nkskrw</t>
  </si>
  <si>
    <t>Nooksack River Wild Marked</t>
  </si>
  <si>
    <t>M-area9w</t>
  </si>
  <si>
    <t>Area 9 Miscellaneous Wild Marked</t>
  </si>
  <si>
    <t>U-kendlh</t>
  </si>
  <si>
    <t>Kendall Creek Hatchery UnMarked</t>
  </si>
  <si>
    <t>U-makahw</t>
  </si>
  <si>
    <t>Makah Coastal Wild UnMarked</t>
  </si>
  <si>
    <t>==========</t>
  </si>
  <si>
    <t>M-kendlh</t>
  </si>
  <si>
    <t>Kendall Creek Hatchery Marked</t>
  </si>
  <si>
    <t>M-makahw</t>
  </si>
  <si>
    <t>Makah Coastal Wild Marked</t>
  </si>
  <si>
    <t>U-bhambh</t>
  </si>
  <si>
    <t>M-bhambh</t>
  </si>
  <si>
    <t>Skookum Creek Hatchery UnMarked</t>
  </si>
  <si>
    <t>U-makahh</t>
  </si>
  <si>
    <t>Makah Coastal Hatchery UnMarked</t>
  </si>
  <si>
    <t>Skookum Creek Hatchery Marked</t>
  </si>
  <si>
    <t>M-makahh</t>
  </si>
  <si>
    <t>Makah Coastal Hatchery Marked</t>
  </si>
  <si>
    <t>Lummi Ponds Hatchery UnMarked</t>
  </si>
  <si>
    <t>U-quilsw</t>
  </si>
  <si>
    <t>Quillayute River Summer Natural UnMarked</t>
  </si>
  <si>
    <t>Lummi Ponds Hatchery Marked</t>
  </si>
  <si>
    <t>M-quilsw</t>
  </si>
  <si>
    <t>Quillayute River Summer Natural Marked</t>
  </si>
  <si>
    <t>Bellingham Bay Net Pens UnMarked</t>
  </si>
  <si>
    <t>U-quilsh</t>
  </si>
  <si>
    <t>Quillayute River Summer Hatchery UnMarked</t>
  </si>
  <si>
    <t>Bellingham Bay Net Pens Marked</t>
  </si>
  <si>
    <t>M-quilsh</t>
  </si>
  <si>
    <t>Quillayute River Summer Hatchery Marked</t>
  </si>
  <si>
    <t>U-samshw</t>
  </si>
  <si>
    <t>Samish River Wild UnMarked</t>
  </si>
  <si>
    <t>U-quilfw</t>
  </si>
  <si>
    <t>Quillayute River Fall Natural UnMarked</t>
  </si>
  <si>
    <t>M-samshw</t>
  </si>
  <si>
    <t>Samish River Wild Marked</t>
  </si>
  <si>
    <t>M-quilfw</t>
  </si>
  <si>
    <t>Quillayute River Fall Natural Marked</t>
  </si>
  <si>
    <t>U-ar77aw</t>
  </si>
  <si>
    <t>Area 7/7A Independent Wild UnMarked</t>
  </si>
  <si>
    <t>U-quilfh</t>
  </si>
  <si>
    <t>Quillayute River Fall Hatchery UnMarked</t>
  </si>
  <si>
    <t>M-ar77aw</t>
  </si>
  <si>
    <t>Area 7/7A Independent Wild Marked</t>
  </si>
  <si>
    <t>M-quilfh</t>
  </si>
  <si>
    <t>Quillayute River Fall Hatchery Marked</t>
  </si>
  <si>
    <t>U-whatch</t>
  </si>
  <si>
    <t>Whatcom Creek Hatchery UnMarked</t>
  </si>
  <si>
    <t>U-hohrvw</t>
  </si>
  <si>
    <t>Hoh River Wild UnMarked</t>
  </si>
  <si>
    <t>M-whatch</t>
  </si>
  <si>
    <t>Whatcom Creek Hatchery Marked</t>
  </si>
  <si>
    <t>M-hohrvw</t>
  </si>
  <si>
    <t>Hoh River Wild Marked</t>
  </si>
  <si>
    <t>U-skagtw</t>
  </si>
  <si>
    <t>Skagit River Wild UnMarked</t>
  </si>
  <si>
    <t>U-hohrvh</t>
  </si>
  <si>
    <t>Hoh River Hatchery UnMarked</t>
  </si>
  <si>
    <t>M-skagtw</t>
  </si>
  <si>
    <t>Skagit River Wild Marked</t>
  </si>
  <si>
    <t>M-hohrvh</t>
  </si>
  <si>
    <t>Hoh River Hatchery Marked</t>
  </si>
  <si>
    <t>Skagit River Hatchery UnMarked</t>
  </si>
  <si>
    <t>U-quetfw</t>
  </si>
  <si>
    <t>Queets River Fall Natural UnMarked</t>
  </si>
  <si>
    <t>Skagit River Hatchery Marked</t>
  </si>
  <si>
    <t>M-quetfw</t>
  </si>
  <si>
    <t>Queets River Fall Natural Marked</t>
  </si>
  <si>
    <t>U-skgbkh</t>
  </si>
  <si>
    <t>Baker (Skagit) Hatchery UnMarked</t>
  </si>
  <si>
    <t>U-quetfh</t>
  </si>
  <si>
    <t>Queets River Fall Hatchery UnMarked</t>
  </si>
  <si>
    <t>M-skgbkh</t>
  </si>
  <si>
    <t>Baker (Skagit) Hatchery Marked</t>
  </si>
  <si>
    <t>M-quetfh</t>
  </si>
  <si>
    <t>Queets River Fall Hatchery Marked</t>
  </si>
  <si>
    <t>U-skgbkw</t>
  </si>
  <si>
    <t>Baker (Skagit) Wild UnMarked</t>
  </si>
  <si>
    <t>U-quetph</t>
  </si>
  <si>
    <t>Queets River Suppl. Hatchery UnMarked</t>
  </si>
  <si>
    <t>M-skgbkw</t>
  </si>
  <si>
    <t>Baker (Skagit) Wild Marked</t>
  </si>
  <si>
    <t>M-quetph</t>
  </si>
  <si>
    <t>Queets River Suppl. Hatchery Marked</t>
  </si>
  <si>
    <t>U-swinch</t>
  </si>
  <si>
    <t>Swinomish Channel Hatchery UnMarked</t>
  </si>
  <si>
    <t>U-quinfw</t>
  </si>
  <si>
    <t>Quinault River Fall Natural UnMarked</t>
  </si>
  <si>
    <t>M-swinch</t>
  </si>
  <si>
    <t>Swinomish Channel Hatchery Marked</t>
  </si>
  <si>
    <t>M-quinfw</t>
  </si>
  <si>
    <t>Quinault River Fall Natural Marked</t>
  </si>
  <si>
    <t>U-oakhbh</t>
  </si>
  <si>
    <t>Oak Harbor Net Pens UnMarked</t>
  </si>
  <si>
    <t>U-quinfh</t>
  </si>
  <si>
    <t>Quinault River Fall Hatchery UnMarked</t>
  </si>
  <si>
    <t>M-oakhbh</t>
  </si>
  <si>
    <t>Oak Harbor Net Pens Marked</t>
  </si>
  <si>
    <t>M-quinfh</t>
  </si>
  <si>
    <t>Quinault River Fall Hatchery Marked</t>
  </si>
  <si>
    <t>U-stillw</t>
  </si>
  <si>
    <t>Stillaguamish River Wild UnMarked</t>
  </si>
  <si>
    <t>U-chehlw</t>
  </si>
  <si>
    <t>Chehalis River Wild UnMarked</t>
  </si>
  <si>
    <t>M-stillw</t>
  </si>
  <si>
    <t>Stillaguamish River Wild Marked</t>
  </si>
  <si>
    <t>M-chehlw</t>
  </si>
  <si>
    <t>Chehalis River Wild Marked</t>
  </si>
  <si>
    <t>U-stillh</t>
  </si>
  <si>
    <t>Stillaguamish River Hatchery UnMarked</t>
  </si>
  <si>
    <t>U-chehlh</t>
  </si>
  <si>
    <t>Chehalis River Hatchery UnMarked</t>
  </si>
  <si>
    <t>M-stillh</t>
  </si>
  <si>
    <t>Stillaguamish River Hatchery Marked</t>
  </si>
  <si>
    <t>M-chehlh</t>
  </si>
  <si>
    <t>Chehalis River Hatchery Marked</t>
  </si>
  <si>
    <t>U-tuliph</t>
  </si>
  <si>
    <t>Tulalip Hatchery UnMarked</t>
  </si>
  <si>
    <t>U-humptw</t>
  </si>
  <si>
    <t>Humptulips River Wild UnMarked</t>
  </si>
  <si>
    <t>M-tuliph</t>
  </si>
  <si>
    <t>Tulalip Hatchery Marked</t>
  </si>
  <si>
    <t>M-humptw</t>
  </si>
  <si>
    <t>Humptulips River Wild Marked</t>
  </si>
  <si>
    <t>U-snohow</t>
  </si>
  <si>
    <t>Snohomish River Wild UnMarked</t>
  </si>
  <si>
    <t>U-humpth</t>
  </si>
  <si>
    <t>Humptulips River Hatchery UnMarked</t>
  </si>
  <si>
    <t>M-snohow</t>
  </si>
  <si>
    <t>Snohomish River Wild Marked</t>
  </si>
  <si>
    <t>M-humpth</t>
  </si>
  <si>
    <t>Humptulips River Hatchery Marked</t>
  </si>
  <si>
    <t>Snohomish River Hatchery UnMarked</t>
  </si>
  <si>
    <t>U-gryhmw</t>
  </si>
  <si>
    <t>Grays Harbor Miscellaneous Wild UnMarked</t>
  </si>
  <si>
    <t>Snohomish River Hatchery Marked</t>
  </si>
  <si>
    <t>M-gryhmw</t>
  </si>
  <si>
    <t>Grays Harbor Miscellaneous Wild Marked</t>
  </si>
  <si>
    <t>U-ar8anh</t>
  </si>
  <si>
    <t>Area 8A Net Pens UnMarked</t>
  </si>
  <si>
    <t>U-gryhbh</t>
  </si>
  <si>
    <t>Grays Harbor Net Pens UnMarked</t>
  </si>
  <si>
    <t>M-ar8anh</t>
  </si>
  <si>
    <t>Area 8A Net Pens Marked</t>
  </si>
  <si>
    <t>M-gryhbh</t>
  </si>
  <si>
    <t>Grays Harbor Net Pens Marked</t>
  </si>
  <si>
    <t>U-ptgamh</t>
  </si>
  <si>
    <t>Port Gamble Net Pens UnMarked</t>
  </si>
  <si>
    <t>U-willaw</t>
  </si>
  <si>
    <t>Willapa Bay Natural UnMarked</t>
  </si>
  <si>
    <t>M-ptgamh</t>
  </si>
  <si>
    <t>Port Gamble Net Pens Marked</t>
  </si>
  <si>
    <t>M-willaw</t>
  </si>
  <si>
    <t>Willapa Bay Natural Marked</t>
  </si>
  <si>
    <t>U-ptgamw</t>
  </si>
  <si>
    <t>Port Gamble Bay Wild UnMarked</t>
  </si>
  <si>
    <t>U-willah</t>
  </si>
  <si>
    <t>Willapa Bay Hatchery UnMarked</t>
  </si>
  <si>
    <t>M-ptgamw</t>
  </si>
  <si>
    <t>Port Gamble Bay Wild Marked</t>
  </si>
  <si>
    <t>M-willah</t>
  </si>
  <si>
    <t>Willapa Bay Hatchery Marked</t>
  </si>
  <si>
    <t>U-ar12bw</t>
  </si>
  <si>
    <t>Area 12/12B Wild UnMarked</t>
  </si>
  <si>
    <t>U-colreh</t>
  </si>
  <si>
    <t>Columbia River Early Hatchery UnMarked</t>
  </si>
  <si>
    <t>M-ar12bw</t>
  </si>
  <si>
    <t>Area 12/12B Wild Marked</t>
  </si>
  <si>
    <t>M-colreh</t>
  </si>
  <si>
    <t>Columbia River Early Hatchery Marked</t>
  </si>
  <si>
    <t>Quilcene Hatchery UnMarked</t>
  </si>
  <si>
    <t>U-youngh</t>
  </si>
  <si>
    <t>Youngs Bay Hatchery UnMarked</t>
  </si>
  <si>
    <t>Quilcene Hatchery Marked</t>
  </si>
  <si>
    <t>M-youngh</t>
  </si>
  <si>
    <t>Youngs Bay Hatchery Marked</t>
  </si>
  <si>
    <t>U-qlcenh</t>
  </si>
  <si>
    <t>Quilcene Bay Net Pens UnMarked</t>
  </si>
  <si>
    <t>U-crorew</t>
  </si>
  <si>
    <t>Lower Col R Oregon Wild UnMarked</t>
  </si>
  <si>
    <t>M-qlcenh</t>
  </si>
  <si>
    <t>Quilcene Bay Net Pens Marked</t>
  </si>
  <si>
    <t>M-crorew</t>
  </si>
  <si>
    <t>Lower Col R Oregon Wild Marked</t>
  </si>
  <si>
    <t>U-ar12aw</t>
  </si>
  <si>
    <t>Area 12A Wild UnMarked</t>
  </si>
  <si>
    <t>U-washew</t>
  </si>
  <si>
    <t>Wash Early Wild UnMarked</t>
  </si>
  <si>
    <t>M-ar12aw</t>
  </si>
  <si>
    <t>Area 12A Wild Marked</t>
  </si>
  <si>
    <t>M-washew</t>
  </si>
  <si>
    <t>Wash Early Wild Marked</t>
  </si>
  <si>
    <t>U-hoodsh</t>
  </si>
  <si>
    <t>Hoodsport Hatchery UnMarked</t>
  </si>
  <si>
    <t>U-washlw</t>
  </si>
  <si>
    <t>Wash Late Wild UnMarked</t>
  </si>
  <si>
    <t>M-hoodsh</t>
  </si>
  <si>
    <t>Hoodsport Hatchery Marked</t>
  </si>
  <si>
    <t>M-washlw</t>
  </si>
  <si>
    <t>Wash Late Wild Marked</t>
  </si>
  <si>
    <t>U-ar12dw</t>
  </si>
  <si>
    <t>Area 12C/12D Wild UnMarked</t>
  </si>
  <si>
    <t>U-colrlh</t>
  </si>
  <si>
    <t>Columbia River Late Hatchery UnMarked</t>
  </si>
  <si>
    <t>M-ar12dw</t>
  </si>
  <si>
    <t>Area 12C/12D Wild Marked</t>
  </si>
  <si>
    <t>M-colrlh</t>
  </si>
  <si>
    <t>Columbia River Late Hatchery Marked</t>
  </si>
  <si>
    <t>George Adams Hatchery UnMarked</t>
  </si>
  <si>
    <t>U-orenoh</t>
  </si>
  <si>
    <t>Oregon North Coast Hatchery UnMarked</t>
  </si>
  <si>
    <t>George Adams Hatchery Marked</t>
  </si>
  <si>
    <t>M-orenoh</t>
  </si>
  <si>
    <t>Oregon North Coast Hatchery Marked</t>
  </si>
  <si>
    <t>U-skokrw</t>
  </si>
  <si>
    <t>Skokomish River Wild UnMarked</t>
  </si>
  <si>
    <t>U-orenow</t>
  </si>
  <si>
    <t>Oregon North Coast Wild UnMarked</t>
  </si>
  <si>
    <t>M-skokrw</t>
  </si>
  <si>
    <t>Skokomish River Wild Marked</t>
  </si>
  <si>
    <t>M-orenow</t>
  </si>
  <si>
    <t>Oregon North Coast Wild Marked</t>
  </si>
  <si>
    <t>U-ar13bw</t>
  </si>
  <si>
    <t>Area 13B Miscellaneous Wild UnMarked</t>
  </si>
  <si>
    <t>U-orenmh</t>
  </si>
  <si>
    <t>Oregon North-Mid Coast Hatchery UnMarked</t>
  </si>
  <si>
    <t>M-ar13bw</t>
  </si>
  <si>
    <t>Area 13B Miscellaneous Wild Marked</t>
  </si>
  <si>
    <t>M-orenmh</t>
  </si>
  <si>
    <t>Oregon North-Mid Coast Hatchery Marked</t>
  </si>
  <si>
    <t>U-deschw</t>
  </si>
  <si>
    <t>Deschutes River (WA) Wild UnMarked</t>
  </si>
  <si>
    <t>U-orenmw</t>
  </si>
  <si>
    <t>Oregon North-Mid Coast Wild UnMarked</t>
  </si>
  <si>
    <t>M-deschw</t>
  </si>
  <si>
    <t>Deschutes River (WA) Wild Marked</t>
  </si>
  <si>
    <t>M-orenmw</t>
  </si>
  <si>
    <t>Oregon North-Mid Coast Wild Marked</t>
  </si>
  <si>
    <t>U-ssdnph</t>
  </si>
  <si>
    <t>South Puget Sound Net Pens UnMarked</t>
  </si>
  <si>
    <t>U-oresmh</t>
  </si>
  <si>
    <t>Oregon South-Mid Coast Hatchery UnMarked</t>
  </si>
  <si>
    <t>M-ssdnph</t>
  </si>
  <si>
    <t>South Puget Sound Net Pens Marked</t>
  </si>
  <si>
    <t>M-oresmh</t>
  </si>
  <si>
    <t>Oregon South-Mid Coast Hatchery Marked</t>
  </si>
  <si>
    <t>Nisqually River Hatchery UnMarked</t>
  </si>
  <si>
    <t>U-oresmw</t>
  </si>
  <si>
    <t>Oregon South-Mid Coast Wild UnMarked</t>
  </si>
  <si>
    <t>Nisqually River Hatchery Marked</t>
  </si>
  <si>
    <t>M-oresmw</t>
  </si>
  <si>
    <t>Oregon South-Mid Coast Wild Marked</t>
  </si>
  <si>
    <t>U-nisqlw</t>
  </si>
  <si>
    <t>Nisqually River Wild UnMarked</t>
  </si>
  <si>
    <t>U-oranah</t>
  </si>
  <si>
    <t>Oregon Anadromous Hatchery UnMarked</t>
  </si>
  <si>
    <t>M-nisqlw</t>
  </si>
  <si>
    <t>Nisqually River Wild Marked</t>
  </si>
  <si>
    <t>M-oranah</t>
  </si>
  <si>
    <t>Oregon Anadromous Hatchery Marked</t>
  </si>
  <si>
    <t>U-foxish</t>
  </si>
  <si>
    <t>Fox Island Net Pens UnMarked</t>
  </si>
  <si>
    <t>U-oraqah</t>
  </si>
  <si>
    <t>Oregon Aqua-Foods Hatchery UnMarked</t>
  </si>
  <si>
    <t>M-foxish</t>
  </si>
  <si>
    <t>Fox Island Net Pens Marked</t>
  </si>
  <si>
    <t>M-oraqah</t>
  </si>
  <si>
    <t>Oregon Aqua-Foods Hatchery Marked</t>
  </si>
  <si>
    <t>Minter Creek Hatchery UnMarked</t>
  </si>
  <si>
    <t>U-oresoh</t>
  </si>
  <si>
    <t>Oregon South Coast Hatchery UnMarked</t>
  </si>
  <si>
    <t>Minter Creek Hatchery Marked</t>
  </si>
  <si>
    <t>M-oresoh</t>
  </si>
  <si>
    <t>Oregon South Coast Hatchery Marked</t>
  </si>
  <si>
    <t>U-ar13mw</t>
  </si>
  <si>
    <t>Area 13 Miscellaneous Wild UnMarked</t>
  </si>
  <si>
    <t>U-oresow</t>
  </si>
  <si>
    <t>Oregon South Coast Wild UnMarked</t>
  </si>
  <si>
    <t>M-ar13mw</t>
  </si>
  <si>
    <t>Area 13 Miscellaneous Wild Marked</t>
  </si>
  <si>
    <t>M-oresow</t>
  </si>
  <si>
    <t>Oregon South Coast Wild Marked</t>
  </si>
  <si>
    <t>U-chambh</t>
  </si>
  <si>
    <t>Chambers Creek Hatchery UnMarked</t>
  </si>
  <si>
    <t>U-calnoh</t>
  </si>
  <si>
    <t>California North Coast Hatchery UnMarked</t>
  </si>
  <si>
    <t>M-chambh</t>
  </si>
  <si>
    <t>Chambers Creek Hatchery Marked</t>
  </si>
  <si>
    <t>M-calnoh</t>
  </si>
  <si>
    <t>California North Coast Hatchery Marked</t>
  </si>
  <si>
    <t>U-ar13mh</t>
  </si>
  <si>
    <t>Area 13 Miscellaneous Hatchery UnMarked</t>
  </si>
  <si>
    <t>U-calnow</t>
  </si>
  <si>
    <t>California North Coast Wild UnMarked</t>
  </si>
  <si>
    <t>M-ar13mh</t>
  </si>
  <si>
    <t>Area 13 Miscellaneous Hatchery Marked</t>
  </si>
  <si>
    <t>M-calnow</t>
  </si>
  <si>
    <t>California North Coast Wild Marked</t>
  </si>
  <si>
    <t>U-ar13aw</t>
  </si>
  <si>
    <t>Area 13A Miscellaneous Wild UnMarked</t>
  </si>
  <si>
    <t>U-calcnh</t>
  </si>
  <si>
    <t>California Central Coast Hatchery UnMarked</t>
  </si>
  <si>
    <t>M-ar13aw</t>
  </si>
  <si>
    <t>Area 13A Miscellaneous Wild Marked</t>
  </si>
  <si>
    <t>M-calcnh</t>
  </si>
  <si>
    <t>California Central Coast Hatchery Marked</t>
  </si>
  <si>
    <t>Puyallup River Hatchery UnMarked</t>
  </si>
  <si>
    <t>U-calcnw</t>
  </si>
  <si>
    <t>California Central Coast Wild UnMarked</t>
  </si>
  <si>
    <t>Puyallup River Hatchery Marked</t>
  </si>
  <si>
    <t>M-calcnw</t>
  </si>
  <si>
    <t>California Central Coast Wild Marked</t>
  </si>
  <si>
    <t>U-puyalw</t>
  </si>
  <si>
    <t>Puyallup River Wild UnMarked</t>
  </si>
  <si>
    <t>U-gsmndh</t>
  </si>
  <si>
    <t>Georgia Strait Mainland Hatchery UnMarked</t>
  </si>
  <si>
    <t>M-puyalw</t>
  </si>
  <si>
    <t>Puyallup River Wild Marked</t>
  </si>
  <si>
    <t>M-gsmndh</t>
  </si>
  <si>
    <t>Georgia Strait Mainland Hatchery Marked</t>
  </si>
  <si>
    <t>U-are11h</t>
  </si>
  <si>
    <t>Area 11 Hatchery UnMarked</t>
  </si>
  <si>
    <t>U-gsmndw</t>
  </si>
  <si>
    <t>Georgia Strait Mainland Wild UnMarked</t>
  </si>
  <si>
    <t>M-are11h</t>
  </si>
  <si>
    <t>Area 11 Hatchery Marked</t>
  </si>
  <si>
    <t>M-gsmndw</t>
  </si>
  <si>
    <t>Georgia Strait Mainland Wild Marked</t>
  </si>
  <si>
    <t>U-ar11mw</t>
  </si>
  <si>
    <t>Area 11 Miscellaneous Wild UnMarked</t>
  </si>
  <si>
    <t>U-gsvcih</t>
  </si>
  <si>
    <t>Georgia Strait Vanc. Isl. Hatchery UnMarked</t>
  </si>
  <si>
    <t>M-ar11mw</t>
  </si>
  <si>
    <t>Area 11 Miscellaneous Wild Marked</t>
  </si>
  <si>
    <t>M-gsvcih</t>
  </si>
  <si>
    <t>Georgia Strait Vanc. Isl. Hatchery Marked</t>
  </si>
  <si>
    <t>U-ar10eh</t>
  </si>
  <si>
    <t>Area 10E Hatchery UnMarked</t>
  </si>
  <si>
    <t>U-gsvciw</t>
  </si>
  <si>
    <t>Georgia Strait Vanc. Isl. Wild UnMarked</t>
  </si>
  <si>
    <t>M-ar10eh</t>
  </si>
  <si>
    <t>Area 10E Hatchery Marked</t>
  </si>
  <si>
    <t>M-gsvciw</t>
  </si>
  <si>
    <t>Georgia Strait Vanc. Isl. Wild Marked</t>
  </si>
  <si>
    <t>U-ar10ew</t>
  </si>
  <si>
    <t>Area 10E Miscellaneous Wild UnMarked</t>
  </si>
  <si>
    <t>U-jnstrh</t>
  </si>
  <si>
    <t>Johnstone Strait Hatchery UnMarked</t>
  </si>
  <si>
    <t>M-ar10ew</t>
  </si>
  <si>
    <t>Area 10E Miscellaneous Wild Marked</t>
  </si>
  <si>
    <t>M-jnstrh</t>
  </si>
  <si>
    <t>Johnstone Strait Hatchery Marked</t>
  </si>
  <si>
    <t>Green River Hatchery UnMarked</t>
  </si>
  <si>
    <t>U-jnstrw</t>
  </si>
  <si>
    <t>Johnstone Strait Wild UnMarked</t>
  </si>
  <si>
    <t>Green River Hatchery Marked</t>
  </si>
  <si>
    <t>M-jnstrw</t>
  </si>
  <si>
    <t>Johnstone Strait Wild Marked</t>
  </si>
  <si>
    <t>U-greenw</t>
  </si>
  <si>
    <t>Green River Wild UnMarked</t>
  </si>
  <si>
    <t>U-swvcih</t>
  </si>
  <si>
    <t>SW Vancouver Island Hatchery UnMarked</t>
  </si>
  <si>
    <t>M-greenw</t>
  </si>
  <si>
    <t>Green River Wild Marked</t>
  </si>
  <si>
    <t>M-swvcih</t>
  </si>
  <si>
    <t>SW Vancouver Island Hatchery Marked</t>
  </si>
  <si>
    <t>Lake Washington Hatchery UnMarked</t>
  </si>
  <si>
    <t>U-swvciw</t>
  </si>
  <si>
    <t>SW Vancouver Island Wild UnMarked</t>
  </si>
  <si>
    <t>Lake Washington Hatchery Marked</t>
  </si>
  <si>
    <t>M-swvciw</t>
  </si>
  <si>
    <t>SW Vancouver Island Wild Marked</t>
  </si>
  <si>
    <t>U-lakwaw</t>
  </si>
  <si>
    <t>Lake Washington Wild UnMarked</t>
  </si>
  <si>
    <t>U-nwvcih</t>
  </si>
  <si>
    <t>NW Vancouver Island Hatchery UnMarked</t>
  </si>
  <si>
    <t>M-lakwaw</t>
  </si>
  <si>
    <t>Lake Washington Wild Marked</t>
  </si>
  <si>
    <t>M-nwvcih</t>
  </si>
  <si>
    <t>NW Vancouver Island Hatchery Marked</t>
  </si>
  <si>
    <t>U-are10h</t>
  </si>
  <si>
    <t>Area 10 Hatchery UnMarked</t>
  </si>
  <si>
    <t>U-nwvciw</t>
  </si>
  <si>
    <t>NW Vancouver Island Wild UnMarked</t>
  </si>
  <si>
    <t>M-are10h</t>
  </si>
  <si>
    <t>Area 10 Hatchery Marked</t>
  </si>
  <si>
    <t>M-nwvciw</t>
  </si>
  <si>
    <t>NW Vancouver Island Wild Marked</t>
  </si>
  <si>
    <t>U-ar10mw</t>
  </si>
  <si>
    <t>Area 10 Miscellaneous Wild UnMarked</t>
  </si>
  <si>
    <t>U-frslwh</t>
  </si>
  <si>
    <t>Lower Fraser River Hatchery UnMarked</t>
  </si>
  <si>
    <t>M-ar10mw</t>
  </si>
  <si>
    <t>Area 10 Miscellaneous Wild Marked</t>
  </si>
  <si>
    <t>M-frslwh</t>
  </si>
  <si>
    <t>Lower Fraser River Hatchery Marked</t>
  </si>
  <si>
    <t>U-dungew</t>
  </si>
  <si>
    <t>Dungeness River Wild UnMarked</t>
  </si>
  <si>
    <t>U-frslww</t>
  </si>
  <si>
    <t>Lower Fraser River Wild UnMarked</t>
  </si>
  <si>
    <t>M-dungew</t>
  </si>
  <si>
    <t>Dungeness River Wild Marked</t>
  </si>
  <si>
    <t>M-frslww</t>
  </si>
  <si>
    <t>Lower Fraser River Wild Marked</t>
  </si>
  <si>
    <t>Dungeness Hatchery UnMarked</t>
  </si>
  <si>
    <t>U-frsuph</t>
  </si>
  <si>
    <t>Upper Fraser River Hatchery UnMarked</t>
  </si>
  <si>
    <t>Dungeness Hatchery Marked</t>
  </si>
  <si>
    <t>M-frsuph</t>
  </si>
  <si>
    <t>Upper Fraser River Hatchery Marked</t>
  </si>
  <si>
    <t>U-elwhaw</t>
  </si>
  <si>
    <t>Elwha River Wild UnMarked</t>
  </si>
  <si>
    <t>U-frsupw</t>
  </si>
  <si>
    <t>Upper Fraser River Wild UnMarked</t>
  </si>
  <si>
    <t>M-elwhaw</t>
  </si>
  <si>
    <t>Elwha River Wild Marked</t>
  </si>
  <si>
    <t>M-frsupw</t>
  </si>
  <si>
    <t>Upper Fraser River Wild Marked</t>
  </si>
  <si>
    <t>Elwha Hatchery UnMarked</t>
  </si>
  <si>
    <t>U-bccnhw</t>
  </si>
  <si>
    <t>BC Central Coast Hatchery/Wild UnMarked</t>
  </si>
  <si>
    <t>Elwha Hatchery Marked</t>
  </si>
  <si>
    <t>M-bccnhw</t>
  </si>
  <si>
    <t>BC Central Coast Hatchery/Wild Marked</t>
  </si>
  <si>
    <t>U-ejdfmw</t>
  </si>
  <si>
    <t>East JDF Miscellaneous Wild UnMarked</t>
  </si>
  <si>
    <t>U-bcnchw</t>
  </si>
  <si>
    <t>BC North Coast Hatchery/Wild UnMarked</t>
  </si>
  <si>
    <t>M-ejdfmw</t>
  </si>
  <si>
    <t>East JDF Miscellaneous Wild Marked</t>
  </si>
  <si>
    <t>M-bcnchw</t>
  </si>
  <si>
    <t>BC North Coast Hatchery/Wild Marked</t>
  </si>
  <si>
    <t>U-wjdfmw</t>
  </si>
  <si>
    <t>West JDF Miscellaneous Wild UnMarked</t>
  </si>
  <si>
    <t>U-tranhw</t>
  </si>
  <si>
    <t>Trans Boundary Hatchery/Wild UnMarked</t>
  </si>
  <si>
    <t>M-wjdfmw</t>
  </si>
  <si>
    <t>West JDF Miscellaneous Wild Marked</t>
  </si>
  <si>
    <t>M-tranhw</t>
  </si>
  <si>
    <t>Trans Boundary Hatchery/Wild Marked</t>
  </si>
  <si>
    <t>U-ptangh</t>
  </si>
  <si>
    <t>Port Angeles Net Pens UnMarked</t>
  </si>
  <si>
    <t>U-niakhw</t>
  </si>
  <si>
    <t>Alaska Northern Inside Hat/Wild UnMarked</t>
  </si>
  <si>
    <t>M-ptangh</t>
  </si>
  <si>
    <t>Port Angeles Net Pens Marked</t>
  </si>
  <si>
    <t>M-niakhw</t>
  </si>
  <si>
    <t>Alaska Northern Inside Hat/Wild Marked</t>
  </si>
  <si>
    <t>U-noakhw</t>
  </si>
  <si>
    <t>Alaska Northern Outside Hat/Wild UnMarked</t>
  </si>
  <si>
    <t>M-noakhw</t>
  </si>
  <si>
    <t>Alaska Northern Outside Hat/Wild Marked</t>
  </si>
  <si>
    <t>U-siakhw</t>
  </si>
  <si>
    <t>Alaska Southern Inside Hat/Wild UnMarked</t>
  </si>
  <si>
    <t>M-siakhw</t>
  </si>
  <si>
    <t>Alaska Southern Inside Hat/Wild Marked</t>
  </si>
  <si>
    <t>U-soakhw</t>
  </si>
  <si>
    <t>Alaska Southern Outside Hat/Wild UnMarked</t>
  </si>
  <si>
    <t>M-soakhw</t>
  </si>
  <si>
    <t>Alaska Southern Outside Hat/Wild Marked</t>
  </si>
  <si>
    <t>---------- TOTAL ---</t>
  </si>
  <si>
    <t>Total Mortality by Fisher</t>
  </si>
  <si>
    <t>y by Stock</t>
  </si>
  <si>
    <t>for Time</t>
  </si>
  <si>
    <t>Periods 2-</t>
  </si>
  <si>
    <t>4 and ALL</t>
  </si>
  <si>
    <t>Ages    Pa</t>
  </si>
  <si>
    <t>ge 2</t>
  </si>
  <si>
    <t>ge 3</t>
  </si>
  <si>
    <t>ge 4</t>
  </si>
  <si>
    <t>ge 5</t>
  </si>
  <si>
    <t>ge 6</t>
  </si>
  <si>
    <t>ge 7</t>
  </si>
  <si>
    <t>ge 8</t>
  </si>
  <si>
    <t>ge 9</t>
  </si>
  <si>
    <t>ge 10</t>
  </si>
  <si>
    <t>ge 11</t>
  </si>
  <si>
    <t>ge 12</t>
  </si>
  <si>
    <t>ge 13</t>
  </si>
  <si>
    <t>ge 14</t>
  </si>
  <si>
    <t>ge 15</t>
  </si>
  <si>
    <t>ge 16</t>
  </si>
  <si>
    <t>ge 17</t>
  </si>
  <si>
    <t>ge 18</t>
  </si>
  <si>
    <t>ge 19</t>
  </si>
  <si>
    <t>ge 20</t>
  </si>
  <si>
    <t>ge 21</t>
  </si>
  <si>
    <t>ge 22</t>
  </si>
  <si>
    <t>ge 23</t>
  </si>
  <si>
    <t>ge 24</t>
  </si>
  <si>
    <t>ge 25</t>
  </si>
  <si>
    <t>Species: NEWCOHO   Versio</t>
  </si>
  <si>
    <t>n#:5.55</t>
  </si>
  <si>
    <t>CM</t>
  </si>
  <si>
    <t>D File: 11</t>
  </si>
  <si>
    <t>EH.cmd</t>
  </si>
  <si>
    <t>Date:</t>
  </si>
  <si>
    <t>Report : Stock Summary Re</t>
  </si>
  <si>
    <t>port</t>
  </si>
  <si>
    <t>DR</t>
  </si>
  <si>
    <t>V File: PS</t>
  </si>
  <si>
    <t>CStkSum.dr</t>
  </si>
  <si>
    <t>v</t>
  </si>
  <si>
    <t>Time:</t>
  </si>
  <si>
    <t>Title  :      Final 2011</t>
  </si>
  <si>
    <t>coho with</t>
  </si>
  <si>
    <t>Area 10E f</t>
  </si>
  <si>
    <t>orecast</t>
  </si>
  <si>
    <t>Percent Total Mortality b</t>
  </si>
  <si>
    <t>y Fishery</t>
  </si>
  <si>
    <t>by Stock f</t>
  </si>
  <si>
    <t>or Time Pe</t>
  </si>
  <si>
    <t>riods 2-4</t>
  </si>
  <si>
    <t>and ALL Ag</t>
  </si>
  <si>
    <t>es</t>
  </si>
  <si>
    <t>------</t>
  </si>
  <si>
    <t>Percent Catch by Fishery</t>
  </si>
  <si>
    <t>or ALL Tim</t>
  </si>
  <si>
    <t>e Periods</t>
  </si>
  <si>
    <t>es    Page</t>
  </si>
  <si>
    <t>Values Generated by FRAM based on the following definitions:</t>
  </si>
  <si>
    <t>Links to Table2PRN Sections</t>
  </si>
  <si>
    <t>DriverName</t>
  </si>
  <si>
    <t>SpeciesName</t>
  </si>
  <si>
    <t>ReportNumber</t>
  </si>
  <si>
    <t>Option1 (Mortality Type, 5=Total Mortality)</t>
  </si>
  <si>
    <t>Option2 (Number of Stocks in Stock Grouping)</t>
  </si>
  <si>
    <t>Option3 (StockID Numbers for each Stock Grouping)</t>
  </si>
  <si>
    <t>Option4 
(Stock Group Name)</t>
  </si>
  <si>
    <t>Option5 (Order By)</t>
  </si>
  <si>
    <t>(Reference: Stocks in Group)</t>
  </si>
  <si>
    <t>Report: Stock Catch Summary</t>
  </si>
  <si>
    <t>Stock:Skagit Wild</t>
  </si>
  <si>
    <t>PSCTable2.DRV</t>
  </si>
  <si>
    <t>17,18,23,24</t>
  </si>
  <si>
    <t>Skagit Wild</t>
  </si>
  <si>
    <t>Stock:Skagit Unmarked</t>
  </si>
  <si>
    <t>17,19,21,23,25,27</t>
  </si>
  <si>
    <t>Skagit Unmarked</t>
  </si>
  <si>
    <t>Stock:Skagit Marked</t>
  </si>
  <si>
    <t>18,20,22,24,26,28</t>
  </si>
  <si>
    <t>Skagit Marked</t>
  </si>
  <si>
    <t>Stock:Stilly Wild</t>
  </si>
  <si>
    <t>29,30</t>
  </si>
  <si>
    <t>Stilly Wild</t>
  </si>
  <si>
    <t>Stock:Snohomish Wild</t>
  </si>
  <si>
    <t>35,36</t>
  </si>
  <si>
    <t>Snohomish Wild</t>
  </si>
  <si>
    <t>Stock:StillySnoh Unmarked</t>
  </si>
  <si>
    <t>29,31,33,35,37,39</t>
  </si>
  <si>
    <t>StillySnoh Unmarked</t>
  </si>
  <si>
    <t>MORTALITY (CAT</t>
  </si>
  <si>
    <t>CH+SHAKERS+CNR</t>
  </si>
  <si>
    <t>) By Time Peri</t>
  </si>
  <si>
    <t>od for All Age</t>
  </si>
  <si>
    <t>Classes</t>
  </si>
  <si>
    <t>Stock:StillySnoh Marked</t>
  </si>
  <si>
    <t>30,32,34,36,38,40</t>
  </si>
  <si>
    <t>StillySnoh Marked</t>
  </si>
  <si>
    <t>Stock:HoodCanal Wild</t>
  </si>
  <si>
    <t>45,46,55,56,59,60</t>
  </si>
  <si>
    <t>HoodCanal Wild</t>
  </si>
  <si>
    <t>Stock:HoodCanal Unmarked</t>
  </si>
  <si>
    <t>41,43,45,47,49,51,53,55,57,59</t>
  </si>
  <si>
    <t>HoodCanal Unmarked</t>
  </si>
  <si>
    <t>Stock:HoodCanal Marked</t>
  </si>
  <si>
    <t>42,44,46,48,50,52,54,56,58,60</t>
  </si>
  <si>
    <t>HoodCanal Marked</t>
  </si>
  <si>
    <t>Stock:Straits Wild</t>
  </si>
  <si>
    <t>115,116,117,118,121,122</t>
  </si>
  <si>
    <t>Stock:Straits Unmarked</t>
  </si>
  <si>
    <t>107,109,111,113,115,117,119,121</t>
  </si>
  <si>
    <t>Straits Unmarked</t>
  </si>
  <si>
    <t>Stock:Straits Marked</t>
  </si>
  <si>
    <t>108,110,112,114,116,118,120,122</t>
  </si>
  <si>
    <t>Straits Marked</t>
  </si>
  <si>
    <t>Stock:Quill Fall Wild</t>
  </si>
  <si>
    <t>131,132</t>
  </si>
  <si>
    <t>Quill Fall Wild</t>
  </si>
  <si>
    <t>Stock:Hoh Wild</t>
  </si>
  <si>
    <t>135,136</t>
  </si>
  <si>
    <t>Stock:Quil F Unmarked</t>
  </si>
  <si>
    <t>131,133</t>
  </si>
  <si>
    <t>Quil F Unmarked</t>
  </si>
  <si>
    <t>Stock:Quil F Marked</t>
  </si>
  <si>
    <t>132,134</t>
  </si>
  <si>
    <t>Quil F Marked</t>
  </si>
  <si>
    <t>Stock:Queets Wild</t>
  </si>
  <si>
    <t>139,140</t>
  </si>
  <si>
    <t>Stock:Queets Supplemental</t>
  </si>
  <si>
    <t>143,144</t>
  </si>
  <si>
    <t>Queets Supplemental</t>
  </si>
  <si>
    <t>Stock:Queets Hatchery</t>
  </si>
  <si>
    <t>141,142</t>
  </si>
  <si>
    <t>Queets Hatchery</t>
  </si>
  <si>
    <t>Stock:Queets Unmarked</t>
  </si>
  <si>
    <t>139,141,143</t>
  </si>
  <si>
    <t>Stock:Queets Marked</t>
  </si>
  <si>
    <t>140,142,144</t>
  </si>
  <si>
    <t>Stock:Grays Harbor Wild</t>
  </si>
  <si>
    <t>149,150,153,154,157,158</t>
  </si>
  <si>
    <t>Stock:Grays Harbor Unmarked</t>
  </si>
  <si>
    <t>149,151,153,155,157,159</t>
  </si>
  <si>
    <t>Grays Harbor Unmarked</t>
  </si>
  <si>
    <t>Stock:Grays Harbor Marked</t>
  </si>
  <si>
    <t>150,152,154,156,158,160</t>
  </si>
  <si>
    <t>Grays Harbor Marked</t>
  </si>
  <si>
    <t>Stock:South Sound Wild</t>
  </si>
  <si>
    <t>61,62,63,64,69,70,75,76,81,82,85,86,89,90,93,94,97,98,101,102,105,106</t>
  </si>
  <si>
    <t>South Sound Wild</t>
  </si>
  <si>
    <t>Stock:South Sound Unmarked</t>
  </si>
  <si>
    <t>61,63,65,67,69,71,73,75,77,79,81,83,85,87,89,91,93,95,97,99,101,103,105</t>
  </si>
  <si>
    <t>South Sound Unmarked</t>
  </si>
  <si>
    <t>Stock:South Sound Marked</t>
  </si>
  <si>
    <t>62,64,66,68,70,72,74,76,78,80,82,84,86,88,90,92,94,96,98,100,102,104,106</t>
  </si>
  <si>
    <t>South Sound Marked</t>
  </si>
  <si>
    <t>Stock:Nook/Sam Wild</t>
  </si>
  <si>
    <t>1,2,11,12,13,14</t>
  </si>
  <si>
    <t>Nook/Sam Wild</t>
  </si>
  <si>
    <t>Stock:Nook/Sam Unmarked</t>
  </si>
  <si>
    <t>1,3,5,7,9,11,13,15</t>
  </si>
  <si>
    <t>Nook/Sam Unmarked</t>
  </si>
  <si>
    <t>Stock:Nook/Sam Marked</t>
  </si>
  <si>
    <t>2,4,6,8,10,12,14,16</t>
  </si>
  <si>
    <t>Nook/Sam Marked</t>
  </si>
  <si>
    <t>Stock:All stocks Unmarked</t>
  </si>
  <si>
    <t>101010101010101010101010101010101010101010101010101010101010101010101010101010101010101010101010101010101010101010101010101010101010101010101010101010101010101010101010101010101010101010101010101010101010101010101010101010101010101010101010101010</t>
  </si>
  <si>
    <t>All stocks Unmarked</t>
  </si>
  <si>
    <t>Stock:All Stocks Marked</t>
  </si>
  <si>
    <t>010101010101010101010101010101010101010101010101010101010101010101010101010101010101010101010101010101010101010101010101010101010101010101010101010101010101010101010101010101010101010101010101010101010101010101010101010101010101010101010101010101</t>
  </si>
  <si>
    <t>All Stocks Marked</t>
  </si>
  <si>
    <t>Stock:Col Early Unmarked</t>
  </si>
  <si>
    <t>165,167,169,171</t>
  </si>
  <si>
    <t>Col Early Unmarked</t>
  </si>
  <si>
    <t>Stock:Col Early Marked</t>
  </si>
  <si>
    <t>166,168,170,172</t>
  </si>
  <si>
    <t>Col Early Marked</t>
  </si>
  <si>
    <t>Stock:Col Late Unmarked</t>
  </si>
  <si>
    <t>173,175</t>
  </si>
  <si>
    <t>Col Late Unmarked</t>
  </si>
  <si>
    <t>Stock:Col Late Marked</t>
  </si>
  <si>
    <t>174,176</t>
  </si>
  <si>
    <t>Stock:Col Early Wild (S&amp;C)</t>
  </si>
  <si>
    <t>169,170,171,172</t>
  </si>
  <si>
    <t>Col Early Wild (S&amp;C)</t>
  </si>
  <si>
    <t>Stock:Col Late Wild (Clkms)</t>
  </si>
  <si>
    <t>173,174</t>
  </si>
  <si>
    <t>Col Late Wild (Clkms)</t>
  </si>
  <si>
    <t>Stock:OR Coast Wild</t>
  </si>
  <si>
    <t>179,180,183,184,187,188</t>
  </si>
  <si>
    <t>OR Coast Wild</t>
  </si>
  <si>
    <t>Stock:Rogue/Klamath Unm</t>
  </si>
  <si>
    <t>193,197</t>
  </si>
  <si>
    <t>Rogue/Klamath Unm</t>
  </si>
  <si>
    <t>Stock:Tulalip Hatchery</t>
  </si>
  <si>
    <t>33,34</t>
  </si>
  <si>
    <t>Stock:Snohomish Hatchery</t>
  </si>
  <si>
    <t>Stock:OR Col Wild</t>
  </si>
  <si>
    <t>169,170</t>
  </si>
  <si>
    <t>OR Col Wild</t>
  </si>
  <si>
    <t>Stock:WA Early Wild</t>
  </si>
  <si>
    <t>171,172</t>
  </si>
  <si>
    <t>WA Early Wild</t>
  </si>
  <si>
    <t>Stock:WA Late Wild</t>
  </si>
  <si>
    <t>WA Late Wild</t>
  </si>
  <si>
    <t>Stock:Upper Fraser Wild</t>
  </si>
  <si>
    <t>231,232</t>
  </si>
  <si>
    <t>Link to Area 8D fishery target harvest rates on marked stocks</t>
  </si>
  <si>
    <t>Mortalily</t>
  </si>
  <si>
    <t>8D Net TR</t>
  </si>
  <si>
    <t>TR Target % for Tulalip Hatchery Marked</t>
  </si>
  <si>
    <t>8D Net NT</t>
  </si>
  <si>
    <t>NT Target % for Tulalip Hatchery Marked</t>
  </si>
  <si>
    <t>Report: Terminal Run Report</t>
  </si>
  <si>
    <t>[Highlight Left: Blue=Value used in TAMM, Grey=Definition or values not used]</t>
  </si>
  <si>
    <t>TRS with all mortality</t>
  </si>
  <si>
    <t>Option1 (StockID Numbers for each Stock Grouping)</t>
  </si>
  <si>
    <t>Option2 (FisheryID Numbers for Definition Type)</t>
  </si>
  <si>
    <t>Option3 (Time Steps)</t>
  </si>
  <si>
    <t>Option4 (Definition Type, TAA=Local+NonLocal, ETRS=Local)</t>
  </si>
  <si>
    <t>Option5 (Stock Group Name)</t>
  </si>
  <si>
    <t>Option6 (Order By)</t>
  </si>
  <si>
    <t>PSCTRuns.DRV</t>
  </si>
  <si>
    <t>101,102,103,104,105,108</t>
  </si>
  <si>
    <t>4,5</t>
  </si>
  <si>
    <t>109,110,111,112,113,116</t>
  </si>
  <si>
    <t>109,110,111,112,114,117</t>
  </si>
  <si>
    <t>153,154,155,156,157,158,159,160,161,162,163,164,165,166</t>
  </si>
  <si>
    <t>82,83,84,85,86,89,90,94,95</t>
  </si>
  <si>
    <t>70,71,72</t>
  </si>
  <si>
    <t>73,74,75</t>
  </si>
  <si>
    <t>65,66,67,68,69</t>
  </si>
  <si>
    <t>48,49,50,51,52,53,54,55,56,57,58,59,60,61</t>
  </si>
  <si>
    <t>133,134</t>
  </si>
  <si>
    <t>137,138</t>
  </si>
  <si>
    <t>147,148</t>
  </si>
  <si>
    <t>62,63,64</t>
  </si>
  <si>
    <t>145,146</t>
  </si>
  <si>
    <t>93,94,97,98,101,102,105,106</t>
  </si>
  <si>
    <t>119,120,121,122,123,124,125,126,127,128</t>
  </si>
  <si>
    <t>85,86,89,90</t>
  </si>
  <si>
    <t>134,135</t>
  </si>
  <si>
    <t>61,62,63,64,69,70,75,76,81,82</t>
  </si>
  <si>
    <t>137,138,139,140,141,142,143,144,145,146,147,148,149,150,151</t>
  </si>
  <si>
    <t>96,97,98,99,100</t>
  </si>
  <si>
    <t>80,81,87,88,101,102,103,104,105</t>
  </si>
  <si>
    <t>80,81,87,88,109,110,113</t>
  </si>
  <si>
    <t>80,81,87,88,109,110,114</t>
  </si>
  <si>
    <t>80,81,87,88,153,154,155,156,157,158,159,160,161,162</t>
  </si>
  <si>
    <t>80,81,87,88,119,120,121,122,123,124,125,126</t>
  </si>
  <si>
    <t>80,81,87,88,130,131,132,133,134</t>
  </si>
  <si>
    <t>80,81,87,88,137,138,139,140,141,142,143,144,145,146,147,148</t>
  </si>
  <si>
    <t>80,81,87,88,96,97,98</t>
  </si>
  <si>
    <t>80,81,82,83,84,85,86,87,88</t>
  </si>
  <si>
    <t>17,18,19,20,21,22,23,24,25,26,27,28</t>
  </si>
  <si>
    <t>101,102,103,104,105,106,108</t>
  </si>
  <si>
    <t>29,30,31,32,33,34,35,36,37,38,39,40</t>
  </si>
  <si>
    <t>109,110,111,112,113,114,115,116,117</t>
  </si>
  <si>
    <t>41,42,43,44,45,46,47,48,49,50,51,52,53,54,55,56,57,58,59,60</t>
  </si>
  <si>
    <t>152,153,154,155,156,157,158,159,160,161,162,163,164,165,166</t>
  </si>
  <si>
    <t>61,62,63,64,65,66,67,68,69,70,71,72,73,74,75,76,77,78,79,80,81,82,83,84,85,86,87,88,89,90,91,92,93,94,95,96,97,98,99,100,101,102,103,104,105,106</t>
  </si>
  <si>
    <t>118,119,120,121,122,123,124,125,126,127,128,129,130,131,132,133,134,135,136,137,138,139,140,141,142,143,144,145,146,147,148,149,150,151</t>
  </si>
  <si>
    <t>91,92,93,94,95,96,97,98,99,100,101,102,103,104,105,106</t>
  </si>
  <si>
    <t>119,120,121,122,123,124,125,126</t>
  </si>
  <si>
    <t>83,84,85,86,87,88,89,90</t>
  </si>
  <si>
    <t>130,131,132,133,134</t>
  </si>
  <si>
    <t>61,62,63,64,65,66,67,68,69,70,71,72,73,74,75,76,77,78,79,80,81,82</t>
  </si>
  <si>
    <t>137,138,139,140,141,142,143,144,145,146,147,148</t>
  </si>
  <si>
    <t>1,2,3,4,5,6,7,8,9,10,11,12,13,14,15,16</t>
  </si>
  <si>
    <t>107,108,109,110,111,112,113,114,115,116,117,118,119,120,121,122</t>
  </si>
  <si>
    <t>96,97,98</t>
  </si>
  <si>
    <t>91,93,95,97,99,101,103,105</t>
  </si>
  <si>
    <t>92,94,96,98,100,102,104,106</t>
  </si>
  <si>
    <t>83,85,87,89</t>
  </si>
  <si>
    <t>84,86,88,90</t>
  </si>
  <si>
    <t>61,63,65,67,69,71,73,75,77,79,81</t>
  </si>
  <si>
    <t>62,64,66,68,70,72,74,76,78,80,82</t>
  </si>
  <si>
    <t>127,128</t>
  </si>
  <si>
    <t>129,130</t>
  </si>
  <si>
    <t>24,25,26,27,28,29,30,31,32</t>
  </si>
  <si>
    <t>161,163</t>
  </si>
  <si>
    <t>45,46,47</t>
  </si>
  <si>
    <t>162,164</t>
  </si>
  <si>
    <t>161,162</t>
  </si>
  <si>
    <t>179,180</t>
  </si>
  <si>
    <t>13</t>
  </si>
  <si>
    <t>183,184</t>
  </si>
  <si>
    <t>12</t>
  </si>
  <si>
    <t>187,188</t>
  </si>
  <si>
    <t>11</t>
  </si>
  <si>
    <t>9</t>
  </si>
  <si>
    <t>103,104,105,108</t>
  </si>
  <si>
    <t>Did include Oak Harbor NP, removed 3/4/2012</t>
  </si>
  <si>
    <t>17,19,21,23,25</t>
  </si>
  <si>
    <t>18,20,22,24,26</t>
  </si>
  <si>
    <t>113,116</t>
  </si>
  <si>
    <t>111,112,114,117</t>
  </si>
  <si>
    <t>111,112,113,114,116,117</t>
  </si>
  <si>
    <t>155,156,157,158,161,162,163,164,165,166</t>
  </si>
  <si>
    <t>125,126,127,128</t>
  </si>
  <si>
    <t>147,148,149,150,151</t>
  </si>
  <si>
    <t>67,68,69,70</t>
  </si>
  <si>
    <t>147,150</t>
  </si>
  <si>
    <t>98,99,100</t>
  </si>
  <si>
    <t>115,116</t>
  </si>
  <si>
    <t>86,89</t>
  </si>
  <si>
    <t>107,108,109,110</t>
  </si>
  <si>
    <t>82,83,94</t>
  </si>
  <si>
    <t>111,112,113,114</t>
  </si>
  <si>
    <t>84,95</t>
  </si>
  <si>
    <t>119,120</t>
  </si>
  <si>
    <t>117,118</t>
  </si>
  <si>
    <t>85,90</t>
  </si>
  <si>
    <t>17,18</t>
  </si>
  <si>
    <t>19,20,21,22,25,26,27,28</t>
  </si>
  <si>
    <t>109,110,111,112,113</t>
  </si>
  <si>
    <t>31,32</t>
  </si>
  <si>
    <t>109,110,111,112</t>
  </si>
  <si>
    <t>109,110,111,112,114</t>
  </si>
  <si>
    <t>45,46</t>
  </si>
  <si>
    <t>55,56</t>
  </si>
  <si>
    <t>41,42,43,44,47,48,49,50,51,52</t>
  </si>
  <si>
    <t>41,42,43,44</t>
  </si>
  <si>
    <t>53,54,57,58</t>
  </si>
  <si>
    <t>59,60</t>
  </si>
  <si>
    <t>161,166</t>
  </si>
  <si>
    <t>105,106</t>
  </si>
  <si>
    <t>103,104</t>
  </si>
  <si>
    <t>101,102</t>
  </si>
  <si>
    <t>125,128</t>
  </si>
  <si>
    <t>99,100</t>
  </si>
  <si>
    <t>97,98</t>
  </si>
  <si>
    <t>126,127</t>
  </si>
  <si>
    <t>95,96,103,104</t>
  </si>
  <si>
    <t>93,94</t>
  </si>
  <si>
    <t>91,92</t>
  </si>
  <si>
    <t>89,90</t>
  </si>
  <si>
    <t>87,88</t>
  </si>
  <si>
    <t>85,86</t>
  </si>
  <si>
    <t>81,82</t>
  </si>
  <si>
    <t>79,80</t>
  </si>
  <si>
    <t>77,78</t>
  </si>
  <si>
    <t>75,76</t>
  </si>
  <si>
    <t>71,72</t>
  </si>
  <si>
    <t>69,70</t>
  </si>
  <si>
    <t>147,148,150</t>
  </si>
  <si>
    <t>65,66</t>
  </si>
  <si>
    <t>63,64</t>
  </si>
  <si>
    <t>151</t>
  </si>
  <si>
    <t>61,62</t>
  </si>
  <si>
    <t>149</t>
  </si>
  <si>
    <t>119,120,121,122,123,124,125,126,130,131,132,133,134,137,138,139,140,141,142,143,144,145,146,147,148</t>
  </si>
  <si>
    <t>1,2</t>
  </si>
  <si>
    <t>3,4</t>
  </si>
  <si>
    <t>9,10</t>
  </si>
  <si>
    <t>11,12</t>
  </si>
  <si>
    <t>13,14</t>
  </si>
  <si>
    <t>15,16</t>
  </si>
  <si>
    <t>127,128,129,130,131,132,133,134</t>
  </si>
  <si>
    <t>135,136,137,138</t>
  </si>
  <si>
    <t>139,140,141,142,143,144</t>
  </si>
  <si>
    <t>145,146,147,148</t>
  </si>
  <si>
    <t>149,150,151,152,153,154,155,156,157,158,159,160</t>
  </si>
  <si>
    <t>161,162,163,164</t>
  </si>
  <si>
    <t>2,4,6,8,10,12,14,16,18,20,22,24,26,28,30,32,34,36,38,40,42,44,46,48,50,52,54,56,58,60,62,64,66,68,70,72,74,76,78,80,82,84,86,88,90,92,94,96,98,100,102</t>
  </si>
  <si>
    <t>104,106,108,110,112,114,116,118,120,122,124,126,128,130,132,134,136,138,140,142,144,146,148,150,152,154,156,158,160,162,164,166,168,170,172,174,176,178,180,182,184,186,188,190,192,194,196,198,200,202,204</t>
  </si>
  <si>
    <t>All mrkd 206-246</t>
  </si>
  <si>
    <t>206,208,210,212,214,216,218,220,222,224,226,228,230,232,234,236,238,240,242,244,246</t>
  </si>
  <si>
    <t>1,3,5,7,9,11,13,15,17,19,21,23,25,27,29,31,33,35,37,39,41,43,45,47,49,51,53,55,57,59,61,63,65,67,69,71,73,75,77,79,81,83,85,87,89,91,93,95,97,99,101</t>
  </si>
  <si>
    <t>103,105,107,109,111,113,115,117,119,121,123,125,127,129,131,133,135,137,139,141,143,145,147,149,151,153,155,157,159,161,163,165,167,169,171,173,175,177,179,181,183,185,187,189,191,193,195,197,199,201,203</t>
  </si>
  <si>
    <t>All Unmrk 205-245</t>
  </si>
  <si>
    <t>205,207,209,211,213,215,217,219,221,223,225,227,229,231,233,235,237,239,241,243,245</t>
  </si>
  <si>
    <t>Quilcene ETRS H</t>
  </si>
  <si>
    <t>109,110</t>
  </si>
  <si>
    <t>113,114</t>
  </si>
  <si>
    <t>107,108</t>
  </si>
  <si>
    <t>111,112</t>
  </si>
  <si>
    <t>49,50,51,52</t>
  </si>
  <si>
    <t>149,150</t>
  </si>
  <si>
    <t>151,152</t>
  </si>
  <si>
    <t>153,154</t>
  </si>
  <si>
    <t>155,156</t>
  </si>
  <si>
    <t>157,158</t>
  </si>
  <si>
    <t>159,160</t>
  </si>
  <si>
    <t>Queets R H O. ESC</t>
  </si>
  <si>
    <t>Nooksack R ETRS</t>
  </si>
  <si>
    <t>1,2,3,4,5,6</t>
  </si>
  <si>
    <t>98,99</t>
  </si>
  <si>
    <t>Area 10 H ETRS</t>
  </si>
  <si>
    <t>9A H&amp;W TAA</t>
  </si>
  <si>
    <t>HC TAA w/ all sport</t>
  </si>
  <si>
    <t>9A H&amp;W ETRS</t>
  </si>
  <si>
    <t>Quilcene ETRS W</t>
  </si>
  <si>
    <t>51,52</t>
  </si>
  <si>
    <t>Quilcene ETRS NP</t>
  </si>
  <si>
    <t>49,50</t>
  </si>
  <si>
    <t>Area 12A NP, HC ETRS</t>
  </si>
  <si>
    <t>Area 8A Net Pens NetTrun</t>
  </si>
  <si>
    <t>39,40</t>
  </si>
  <si>
    <t>Or Col Wild</t>
  </si>
  <si>
    <t>Oregon N.Coast Hatchery</t>
  </si>
  <si>
    <t>177,178</t>
  </si>
  <si>
    <t>Oregon N.Mid Hatchery</t>
  </si>
  <si>
    <t>181,182</t>
  </si>
  <si>
    <t>Oregon S.Mid Hatchery</t>
  </si>
  <si>
    <t>185,186</t>
  </si>
  <si>
    <t>114,117</t>
  </si>
  <si>
    <t>Snoh Hat ETRS</t>
  </si>
  <si>
    <t>103,104,108</t>
  </si>
  <si>
    <t>Skagit Hat ETRS</t>
  </si>
  <si>
    <t>19,20,21,22</t>
  </si>
  <si>
    <t>Stilly Hat ETRS</t>
  </si>
  <si>
    <t>Sooes Hat ETRS</t>
  </si>
  <si>
    <t>125,126</t>
  </si>
  <si>
    <t>76,77,78</t>
  </si>
  <si>
    <t>Skagit TAA no 8-1 spt</t>
  </si>
  <si>
    <t>TERMINAL RUN FISHERIES FO</t>
  </si>
  <si>
    <t>R COMBINED STO</t>
  </si>
  <si>
    <t>CKS LISTED ABO</t>
  </si>
  <si>
    <t>VE</t>
  </si>
  <si>
    <t>Listed in Pare</t>
  </si>
  <si>
    <t>ntheses</t>
  </si>
  <si>
    <t>Flag=OFF Catch of LOC</t>
  </si>
  <si>
    <t>AL Stocks WITH</t>
  </si>
  <si>
    <t>OUT True-To-Mo</t>
  </si>
  <si>
    <t>del Adjustment for Adlt &amp; Total Run</t>
  </si>
  <si>
    <t>1-               Ar 8</t>
  </si>
  <si>
    <t>NetNT{4-5}   2</t>
  </si>
  <si>
    <t>Ar 8 NetTR{4-5}</t>
  </si>
  <si>
    <t>3-               Skag</t>
  </si>
  <si>
    <t>R Net{4-5}   4</t>
  </si>
  <si>
    <t>SkgR TsNet{4-5}</t>
  </si>
  <si>
    <t>5-               SwinC</t>
  </si>
  <si>
    <t>h Net{4-5}   6</t>
  </si>
  <si>
    <t>Skag R Spt{4-5}</t>
  </si>
  <si>
    <t>1-               Ar8A</t>
  </si>
  <si>
    <t>Ar8A NetTR{4-5}</t>
  </si>
  <si>
    <t>3-               Ar8D</t>
  </si>
  <si>
    <t>NetNT{4-5}   4</t>
  </si>
  <si>
    <t>Ar8D NetTR{4-5}</t>
  </si>
  <si>
    <t>5-               Stil</t>
  </si>
  <si>
    <t>R Net{4-5}   6</t>
  </si>
  <si>
    <t>Stil R Spt{4-5}</t>
  </si>
  <si>
    <t>5-               Snoh</t>
  </si>
  <si>
    <t>Snoh R Spt{4-5}</t>
  </si>
  <si>
    <t>1-               1212B</t>
  </si>
  <si>
    <t>1212BNetTR{4-5}</t>
  </si>
  <si>
    <t>3-                Ar9A</t>
  </si>
  <si>
    <t>Ar9ANetTR{4-5}</t>
  </si>
  <si>
    <t>5-               Ar12A</t>
  </si>
  <si>
    <t>NetNT{4-5}   6</t>
  </si>
  <si>
    <t>Ar12ANetTR{4-5}</t>
  </si>
  <si>
    <t>7-               A12CD</t>
  </si>
  <si>
    <t>NetNT{4-5}   8</t>
  </si>
  <si>
    <t>A12CDNetTR{4-5}</t>
  </si>
  <si>
    <t>9-               Skok</t>
  </si>
  <si>
    <t>R Net{4-5}   1</t>
  </si>
  <si>
    <t>0-</t>
  </si>
  <si>
    <t>Quilcn Net{4-5}</t>
  </si>
  <si>
    <t>11-               1212</t>
  </si>
  <si>
    <t>B TSpt{4-5}</t>
  </si>
  <si>
    <t>12-</t>
  </si>
  <si>
    <t>Quilcn Spt{4-5}</t>
  </si>
  <si>
    <t>13-               12C-</t>
  </si>
  <si>
    <t>D TSpt{4-5}</t>
  </si>
  <si>
    <t>14-</t>
  </si>
  <si>
    <t>Skok R Spt{4-5}</t>
  </si>
  <si>
    <t>1-               Ar6D</t>
  </si>
  <si>
    <t>Ar6D NetTR{4-5}</t>
  </si>
  <si>
    <t>3-               Elwha</t>
  </si>
  <si>
    <t>Net{4-5}   4</t>
  </si>
  <si>
    <t>WJDF T Net{4-5}</t>
  </si>
  <si>
    <t>5-               EJDF</t>
  </si>
  <si>
    <t>T Net{4-5}   6</t>
  </si>
  <si>
    <t>EJDF FWSpt{4-5}</t>
  </si>
  <si>
    <t>7-               WJDF</t>
  </si>
  <si>
    <t>FWSpt{4-5}   8</t>
  </si>
  <si>
    <t>Dung R Spt{4-5}</t>
  </si>
  <si>
    <t>9-               Elwha</t>
  </si>
  <si>
    <t>R Spt{4-5}</t>
  </si>
  <si>
    <t>1-               Quill</t>
  </si>
  <si>
    <t>y Spt{4-5}   2</t>
  </si>
  <si>
    <t>Quilly Net{4-5}</t>
  </si>
  <si>
    <t>3-               Quill</t>
  </si>
  <si>
    <t>y C&amp;S{4-5}</t>
  </si>
  <si>
    <t>1-               Hoh R</t>
  </si>
  <si>
    <t>Spt{4-5}   2</t>
  </si>
  <si>
    <t>Hoh R  Net{4-5}</t>
  </si>
  <si>
    <t>3-               Hoh R</t>
  </si>
  <si>
    <t>C&amp;S{4-5}</t>
  </si>
  <si>
    <t>1-               Queet</t>
  </si>
  <si>
    <t>s Spt{4-5}   2</t>
  </si>
  <si>
    <t>Clrwtr Spt{4-5}</t>
  </si>
  <si>
    <t>3-               Salm</t>
  </si>
  <si>
    <t>R Spt{4-5}   4</t>
  </si>
  <si>
    <t>Queets Net{4-5}</t>
  </si>
  <si>
    <t>5-               Queet</t>
  </si>
  <si>
    <t>s C&amp;S{4-5}</t>
  </si>
  <si>
    <t>1-               GryHb</t>
  </si>
  <si>
    <t>r Spt{4-5}   2</t>
  </si>
  <si>
    <t>SGryHb Spt{4-5}</t>
  </si>
  <si>
    <t>3-               GryHb</t>
  </si>
  <si>
    <t>r Net{4-5}   4</t>
  </si>
  <si>
    <t>Hump R Spt{4-5}</t>
  </si>
  <si>
    <t>5-               LwChe</t>
  </si>
  <si>
    <t>Hump R C&amp;S{4-5}</t>
  </si>
  <si>
    <t>7-               Cheha</t>
  </si>
  <si>
    <t>l Spt{4-5}   8</t>
  </si>
  <si>
    <t>Hump R Net{4-5}</t>
  </si>
  <si>
    <t>9-               UpChe</t>
  </si>
  <si>
    <t>h Net{4-5}   1</t>
  </si>
  <si>
    <t>Chehal C&amp;S{4-5}</t>
  </si>
  <si>
    <t>11-               Wyno</t>
  </si>
  <si>
    <t>ch Spt{4-5}</t>
  </si>
  <si>
    <t>Hoquam Spt{4-5}</t>
  </si>
  <si>
    <t>13-               Wish</t>
  </si>
  <si>
    <t>kh Spt{4-5}</t>
  </si>
  <si>
    <t>Satsop Spt{4-5}</t>
  </si>
  <si>
    <t>1-               Quin</t>
  </si>
  <si>
    <t>R Spt{4-5}   2</t>
  </si>
  <si>
    <t>Quin R Net{4-5}</t>
  </si>
  <si>
    <t>3-               Quin</t>
  </si>
  <si>
    <t>R C&amp;S{4-5}</t>
  </si>
  <si>
    <t>1-               Ar10</t>
  </si>
  <si>
    <t>Ar10 NetTR{4-5}</t>
  </si>
  <si>
    <t>3-               Ar10A</t>
  </si>
  <si>
    <t>Ar10ANetTR{4-5}</t>
  </si>
  <si>
    <t>5-               Ar10E</t>
  </si>
  <si>
    <t>Ar10ENetTR{4-5}</t>
  </si>
  <si>
    <t>7-               10F-G</t>
  </si>
  <si>
    <t>Net{4-5}   8</t>
  </si>
  <si>
    <t>Duwm R Net{4-5}</t>
  </si>
  <si>
    <t>9-               Duwm</t>
  </si>
  <si>
    <t>R Spt{4-5}   1</t>
  </si>
  <si>
    <t>L WaSm Spt{4-5}</t>
  </si>
  <si>
    <t>1-               Puyl</t>
  </si>
  <si>
    <t>R Net{4-5}   2</t>
  </si>
  <si>
    <t>Puyl R Spt{4-5}</t>
  </si>
  <si>
    <t>1-               Ar13</t>
  </si>
  <si>
    <t>Ar13 NetTR{4-5}</t>
  </si>
  <si>
    <t>3-               Ar13C</t>
  </si>
  <si>
    <t>Ar13CNetTR{4-5}</t>
  </si>
  <si>
    <t>5-               Ar13A</t>
  </si>
  <si>
    <t>Ar13ANetTR{4-5}</t>
  </si>
  <si>
    <t>7-               Ar13D</t>
  </si>
  <si>
    <t>Ar13DNetTR{4-5}</t>
  </si>
  <si>
    <t>9-               A13FK</t>
  </si>
  <si>
    <t>NetNT{4-5}   1</t>
  </si>
  <si>
    <t>A13FKNetTR{4-5}</t>
  </si>
  <si>
    <t>11-               Nisq</t>
  </si>
  <si>
    <t>R Net{4-5}</t>
  </si>
  <si>
    <t>McAlls Net{4-5}</t>
  </si>
  <si>
    <t>13-               13D-</t>
  </si>
  <si>
    <t>K TSpt{4-5}</t>
  </si>
  <si>
    <t>Nisq R Spt{4-5}</t>
  </si>
  <si>
    <t>15-               Desc</t>
  </si>
  <si>
    <t>1-               A7BCD</t>
  </si>
  <si>
    <t>A7BCDNetTR{4-5}</t>
  </si>
  <si>
    <t>3-               Nook</t>
  </si>
  <si>
    <t>Nook R Spt{4-5}</t>
  </si>
  <si>
    <t>5-               Samh</t>
  </si>
  <si>
    <t>1-               A4B6C</t>
  </si>
  <si>
    <t>A4B6CNetTR{4-5}</t>
  </si>
  <si>
    <t>3-               A6-7A</t>
  </si>
  <si>
    <t>A6-7ANetTR{4-5}</t>
  </si>
  <si>
    <t>5-               Ar 8</t>
  </si>
  <si>
    <t>7-               Skag</t>
  </si>
  <si>
    <t>R Net{4-5}   8</t>
  </si>
  <si>
    <t>9-               SwinC</t>
  </si>
  <si>
    <t>h Net{4-5}</t>
  </si>
  <si>
    <t>5-               Ar8A</t>
  </si>
  <si>
    <t>7-               Stil</t>
  </si>
  <si>
    <t>7-               Snoh</t>
  </si>
  <si>
    <t>5-               1212B</t>
  </si>
  <si>
    <t>7-                Ar9A</t>
  </si>
  <si>
    <t>9-               Ar12A</t>
  </si>
  <si>
    <t>11-               A12C</t>
  </si>
  <si>
    <t>DNetNT{4-5}</t>
  </si>
  <si>
    <t>13-               Skok</t>
  </si>
  <si>
    <t>5-               Ar10</t>
  </si>
  <si>
    <t>7-               Ar10A</t>
  </si>
  <si>
    <t>9-               Ar10E</t>
  </si>
  <si>
    <t>11-               10F-</t>
  </si>
  <si>
    <t>G  Net{4-5}</t>
  </si>
  <si>
    <t>5-               Ar11</t>
  </si>
  <si>
    <t>Ar11 NetTR{4-5}</t>
  </si>
  <si>
    <t>7-               Ar11A</t>
  </si>
  <si>
    <t>Ar11ANetTR{4-5}</t>
  </si>
  <si>
    <t>9-               Puyl</t>
  </si>
  <si>
    <t>5-               Ar13</t>
  </si>
  <si>
    <t>7-               Ar13C</t>
  </si>
  <si>
    <t>9-               Ar13A</t>
  </si>
  <si>
    <t>11-               Ar13</t>
  </si>
  <si>
    <t>13-               A13F</t>
  </si>
  <si>
    <t>KNetNT{4-5}</t>
  </si>
  <si>
    <t>15-               Nisq</t>
  </si>
  <si>
    <t>16-</t>
  </si>
  <si>
    <t>5-               A7BCD</t>
  </si>
  <si>
    <t>7-               Nook</t>
  </si>
  <si>
    <t>3-               Ar6D</t>
  </si>
  <si>
    <t>5-               Elwha</t>
  </si>
  <si>
    <t>Net{4-5}   6</t>
  </si>
  <si>
    <t>7-               EJDF</t>
  </si>
  <si>
    <t>T Net{4-5}   8</t>
  </si>
  <si>
    <t>A6-7ANetNT{4-5}</t>
  </si>
  <si>
    <t>9-               A6-7A</t>
  </si>
  <si>
    <t>NetTR{4-5}</t>
  </si>
  <si>
    <t>Flag=ON Catch of ALL</t>
  </si>
  <si>
    <t>Stocks with Tr</t>
  </si>
  <si>
    <t>ue-To-Model Ad</t>
  </si>
  <si>
    <t>justment for Adlt &amp; Total Run</t>
  </si>
  <si>
    <t>Ar 8-1 Spt{4-5}</t>
  </si>
  <si>
    <t>Snoh R Net{4-5}</t>
  </si>
  <si>
    <t>7-               Ar 8-</t>
  </si>
  <si>
    <t>2 Spt{4-5}   8</t>
  </si>
  <si>
    <t>9-               Snoh</t>
  </si>
  <si>
    <t>1-               Ar 12</t>
  </si>
  <si>
    <t>1212BNetNT{4-5}</t>
  </si>
  <si>
    <t>3-               1212B</t>
  </si>
  <si>
    <t>NetTR{4-5}   4</t>
  </si>
  <si>
    <t>Ar9ANetNT{4-5}</t>
  </si>
  <si>
    <t>5-                Ar9A</t>
  </si>
  <si>
    <t>NetTR{4-5}   6</t>
  </si>
  <si>
    <t>Ar12ANetNT{4-5}</t>
  </si>
  <si>
    <t>7-               Ar12A</t>
  </si>
  <si>
    <t>NetTR{4-5}   8</t>
  </si>
  <si>
    <t>A12CDNetNT{4-5}</t>
  </si>
  <si>
    <t>9-               A12CD</t>
  </si>
  <si>
    <t>NetTR{4-5}   1</t>
  </si>
  <si>
    <t>Skok R Net{4-5}</t>
  </si>
  <si>
    <t>11-               Quil</t>
  </si>
  <si>
    <t>cn Net{4-5}</t>
  </si>
  <si>
    <t>1212B TSpt{4-5}</t>
  </si>
  <si>
    <t>13-               Quil</t>
  </si>
  <si>
    <t>cn Spt{4-5}</t>
  </si>
  <si>
    <t>12C-D TSpt{4-5}</t>
  </si>
  <si>
    <t>15-               Skok</t>
  </si>
  <si>
    <t>1-               Ar 10</t>
  </si>
  <si>
    <t>Ar10 NetNT{4-5}</t>
  </si>
  <si>
    <t>3-               Ar10</t>
  </si>
  <si>
    <t>Ar10ANetNT{4-5}</t>
  </si>
  <si>
    <t>5-               Ar10A</t>
  </si>
  <si>
    <t>Ar10ENetNT{4-5}</t>
  </si>
  <si>
    <t>7-               Ar10E</t>
  </si>
  <si>
    <t>10F-G  Net{4-5}</t>
  </si>
  <si>
    <t>Duwm R Spt{4-5}</t>
  </si>
  <si>
    <t>11-               L Wa</t>
  </si>
  <si>
    <t>Sm Spt{4-5}</t>
  </si>
  <si>
    <t>Ar 11  Spt{4-5}</t>
  </si>
  <si>
    <t>13-               Ar11</t>
  </si>
  <si>
    <t>NetNT{4-5}</t>
  </si>
  <si>
    <t>15-               Ar11</t>
  </si>
  <si>
    <t>ANetNT{4-5}</t>
  </si>
  <si>
    <t>17-               Puyl</t>
  </si>
  <si>
    <t>18-</t>
  </si>
  <si>
    <t>19-               Ar 1</t>
  </si>
  <si>
    <t>3  Spt{4-5}</t>
  </si>
  <si>
    <t>20-</t>
  </si>
  <si>
    <t>Ar13 NetNT{4-5}</t>
  </si>
  <si>
    <t>21-               Ar13</t>
  </si>
  <si>
    <t>22-</t>
  </si>
  <si>
    <t>Ar13CNetNT{4-5}</t>
  </si>
  <si>
    <t>23-               Ar13</t>
  </si>
  <si>
    <t>CNetTR{4-5}</t>
  </si>
  <si>
    <t>24-</t>
  </si>
  <si>
    <t>Ar13ANetNT{4-5}</t>
  </si>
  <si>
    <t>25-               Ar13</t>
  </si>
  <si>
    <t>ANetTR{4-5}</t>
  </si>
  <si>
    <t>26-</t>
  </si>
  <si>
    <t>Ar13DNetNT{4-5}</t>
  </si>
  <si>
    <t>27-               Ar13</t>
  </si>
  <si>
    <t>DNetTR{4-5}</t>
  </si>
  <si>
    <t>28-</t>
  </si>
  <si>
    <t>A13FKNetNT{4-5}</t>
  </si>
  <si>
    <t>29-               A13F</t>
  </si>
  <si>
    <t>KNetTR{4-5}</t>
  </si>
  <si>
    <t>30-</t>
  </si>
  <si>
    <t>Nisq R Net{4-5}</t>
  </si>
  <si>
    <t>31-               McAl</t>
  </si>
  <si>
    <t>ls Net{4-5}</t>
  </si>
  <si>
    <t>32-</t>
  </si>
  <si>
    <t>13D-K TSpt{4-5}</t>
  </si>
  <si>
    <t>33-               Nisq</t>
  </si>
  <si>
    <t>34-</t>
  </si>
  <si>
    <t>Desc R Spt{4-5}</t>
  </si>
  <si>
    <t>1-               Ar11</t>
  </si>
  <si>
    <t>3-               Ar11A</t>
  </si>
  <si>
    <t>5-               Puyl</t>
  </si>
  <si>
    <t>1-               L Col</t>
  </si>
  <si>
    <t>L ColR Net{4-5}</t>
  </si>
  <si>
    <t>3-               Yngs</t>
  </si>
  <si>
    <t>B Net{4-5}   4</t>
  </si>
  <si>
    <t>LCROrT Spt{4-5}</t>
  </si>
  <si>
    <t>5-               Clack</t>
  </si>
  <si>
    <t>m Spt{4-5}   6</t>
  </si>
  <si>
    <t>SandyR Spt{4-5}</t>
  </si>
  <si>
    <t>7-               LCRWa</t>
  </si>
  <si>
    <t>T Spt{4-5}   8</t>
  </si>
  <si>
    <t>UpColR Spt{4-5}</t>
  </si>
  <si>
    <t>9-               UpCol</t>
  </si>
  <si>
    <t>1-               Willp</t>
  </si>
  <si>
    <t>a Spt{4-5}   2</t>
  </si>
  <si>
    <t>Wlp Tb Spt{4-5}</t>
  </si>
  <si>
    <t>3-               WlpaB</t>
  </si>
  <si>
    <t>T Net{4-5}</t>
  </si>
  <si>
    <t>1-               No Or</t>
  </si>
  <si>
    <t>e Trm{4-5}</t>
  </si>
  <si>
    <t>1-               NMi O</t>
  </si>
  <si>
    <t>r Trm{4-5}</t>
  </si>
  <si>
    <t>1-               SMi O</t>
  </si>
  <si>
    <t>1-               So Or</t>
  </si>
  <si>
    <t>1-               Skag</t>
  </si>
  <si>
    <t>3-               SwinC</t>
  </si>
  <si>
    <t>h Net{4-5}   4</t>
  </si>
  <si>
    <t>1-               Stil</t>
  </si>
  <si>
    <t>1-               Ar8D</t>
  </si>
  <si>
    <t>3-               Snoh</t>
  </si>
  <si>
    <t>3-               Stil</t>
  </si>
  <si>
    <t>R Spt{4-5}   6</t>
  </si>
  <si>
    <t>1-                Ar9A</t>
  </si>
  <si>
    <t>3-               Ar12A</t>
  </si>
  <si>
    <t>5-               Skok</t>
  </si>
  <si>
    <t>7-               1212B</t>
  </si>
  <si>
    <t>TSpt{4-5}   8</t>
  </si>
  <si>
    <t>9-               12C-D</t>
  </si>
  <si>
    <t>TSpt{4-5}   1</t>
  </si>
  <si>
    <t>1-               10F-G</t>
  </si>
  <si>
    <t>Net{4-5}   2</t>
  </si>
  <si>
    <t>3-               Duwm</t>
  </si>
  <si>
    <t>1-               Nisq</t>
  </si>
  <si>
    <t>3-               13D-K</t>
  </si>
  <si>
    <t>TSpt{4-5}   4</t>
  </si>
  <si>
    <t>5-               Desc</t>
  </si>
  <si>
    <t>1-               Nook</t>
  </si>
  <si>
    <t>3-               Samh</t>
  </si>
  <si>
    <t>1-               EJDF</t>
  </si>
  <si>
    <t>T Net{4-5}   2</t>
  </si>
  <si>
    <t>3-               Dung</t>
  </si>
  <si>
    <t>1-               Elwha</t>
  </si>
  <si>
    <t>ElwhaR Spt{4-5}</t>
  </si>
  <si>
    <t>1-               WJDF</t>
  </si>
  <si>
    <t>WJDF FWSpt{4-5}</t>
  </si>
  <si>
    <t>1-               Skok</t>
  </si>
  <si>
    <t>1-               Duwm</t>
  </si>
  <si>
    <t>3-               Nisq</t>
  </si>
  <si>
    <t>1-               Desc</t>
  </si>
  <si>
    <t>1-               13D-K</t>
  </si>
  <si>
    <t>TSpt{4-5}</t>
  </si>
  <si>
    <t>9-               Ar11</t>
  </si>
  <si>
    <t>11-               Ar11</t>
  </si>
  <si>
    <t>13-               Puyl</t>
  </si>
  <si>
    <t>15-               Ar13</t>
  </si>
  <si>
    <t>17-               Ar13</t>
  </si>
  <si>
    <t>19-               Ar13</t>
  </si>
  <si>
    <t>23-               A13F</t>
  </si>
  <si>
    <t>25-               McAl</t>
  </si>
  <si>
    <t>1-               Quilc</t>
  </si>
  <si>
    <t>n Net{4-5}   2</t>
  </si>
  <si>
    <t>1-               Snoh</t>
  </si>
  <si>
    <t xml:space="preserve">NEW FRAM CONVERTED TO OLD </t>
  </si>
  <si>
    <t xml:space="preserve">=TotMort - Landed - CNR </t>
  </si>
  <si>
    <t>=AY18-AM18-BQ18</t>
  </si>
  <si>
    <t>LANDED CATCH--ALL STOCKS</t>
  </si>
  <si>
    <t>TOTAL MORTALITY--ALL STOCKS</t>
  </si>
  <si>
    <t>DROP-OFF MORTALITY--ALL STOCKS</t>
  </si>
  <si>
    <t>CNR MORTALITY--ALL STOCKS</t>
  </si>
  <si>
    <t>INCIDENTAL MORTALITY (TOTAL-LANDED)--ALL STOCKS</t>
  </si>
  <si>
    <t>================</t>
  </si>
  <si>
    <t>========</t>
  </si>
  <si>
    <t>=======</t>
  </si>
  <si>
    <t>Jan</t>
  </si>
  <si>
    <t>Feb</t>
  </si>
  <si>
    <t>Mar</t>
  </si>
  <si>
    <t>Apr</t>
  </si>
  <si>
    <t>May</t>
  </si>
  <si>
    <t>Jan-Jun</t>
  </si>
  <si>
    <t>Jul</t>
  </si>
  <si>
    <t>Dec</t>
  </si>
  <si>
    <t>SubTotal(2-4)</t>
  </si>
  <si>
    <t xml:space="preserve">Alaska </t>
  </si>
  <si>
    <t>all</t>
  </si>
  <si>
    <t>Full</t>
  </si>
  <si>
    <t xml:space="preserve">BC </t>
  </si>
  <si>
    <t>SE Alaska ALL</t>
  </si>
  <si>
    <t>BYCATCH</t>
  </si>
  <si>
    <t>Dropoff</t>
  </si>
  <si>
    <t>Cape Flat NTR</t>
  </si>
  <si>
    <t>North of Falcon:</t>
  </si>
  <si>
    <t>ENCOUNTERS</t>
  </si>
  <si>
    <t>Cape Flat TTR</t>
  </si>
  <si>
    <t xml:space="preserve">    Troll:</t>
  </si>
  <si>
    <t>Treaty Total</t>
  </si>
  <si>
    <t>Trty Troll</t>
  </si>
  <si>
    <t>Quillayut NTR</t>
  </si>
  <si>
    <t xml:space="preserve">   Cape Flat</t>
  </si>
  <si>
    <t>Quillayut TTR</t>
  </si>
  <si>
    <t xml:space="preserve">   Quillayut</t>
  </si>
  <si>
    <t>Gr Harbor NTR</t>
  </si>
  <si>
    <t xml:space="preserve">   Grays H</t>
  </si>
  <si>
    <t>Gr Harbor TTR</t>
  </si>
  <si>
    <t>Nontreaty Total</t>
  </si>
  <si>
    <t>NT Troll</t>
  </si>
  <si>
    <t>Col. River TR</t>
  </si>
  <si>
    <t>Tillamook  TR</t>
  </si>
  <si>
    <t>Newport    TR</t>
  </si>
  <si>
    <t>Coos Bay   TR</t>
  </si>
  <si>
    <t xml:space="preserve">   Col River</t>
  </si>
  <si>
    <t>Brookings  TR</t>
  </si>
  <si>
    <t>Crescent C TR</t>
  </si>
  <si>
    <t xml:space="preserve">    Sport:</t>
  </si>
  <si>
    <t>Cape Flat</t>
  </si>
  <si>
    <t>4B only</t>
  </si>
  <si>
    <t>No 4B in 2009</t>
  </si>
  <si>
    <t>Eureka     TR</t>
  </si>
  <si>
    <t>Quillayut</t>
  </si>
  <si>
    <t>Ft. Bragg  TR</t>
  </si>
  <si>
    <t>Gr Harbor</t>
  </si>
  <si>
    <t>So. Calif  TR</t>
  </si>
  <si>
    <t>Col River</t>
  </si>
  <si>
    <t>A1-4Spt</t>
  </si>
  <si>
    <t>So. Calif  SP</t>
  </si>
  <si>
    <t>B10 Spt</t>
  </si>
  <si>
    <t>Cape Flat. SP</t>
  </si>
  <si>
    <t>NOF TOTAL w/ B10</t>
  </si>
  <si>
    <t>Quillayut. SP</t>
  </si>
  <si>
    <t>Gr. Harbor SP</t>
  </si>
  <si>
    <t>South of Falcon:</t>
  </si>
  <si>
    <t>Col. River SP</t>
  </si>
  <si>
    <t>Tillmk</t>
  </si>
  <si>
    <t>Buoy 10    SP</t>
  </si>
  <si>
    <t>Newprt</t>
  </si>
  <si>
    <t>Tillamook  SP</t>
  </si>
  <si>
    <t>Coos B</t>
  </si>
  <si>
    <t>Newport    SP</t>
  </si>
  <si>
    <t>Brookngs</t>
  </si>
  <si>
    <t>Coos Bay   SP</t>
  </si>
  <si>
    <t>CaKMZ</t>
  </si>
  <si>
    <t>Brookings  SP</t>
  </si>
  <si>
    <t>Ft Bragg</t>
  </si>
  <si>
    <t>Crescent C SP</t>
  </si>
  <si>
    <t>So. Calif</t>
  </si>
  <si>
    <t>SoF Troll</t>
  </si>
  <si>
    <t>Eureka     SP</t>
  </si>
  <si>
    <t>Ft. Bragg  SP</t>
  </si>
  <si>
    <t>JDF Strait TR</t>
  </si>
  <si>
    <t>JDF Strait SP</t>
  </si>
  <si>
    <t>San Juan I SP</t>
  </si>
  <si>
    <t>Area 8/8A  SP</t>
  </si>
  <si>
    <t>Area 6B/9  SP</t>
  </si>
  <si>
    <t>Hood Canal SP</t>
  </si>
  <si>
    <t>SoFSpt</t>
  </si>
  <si>
    <t>So Pug Snd SP</t>
  </si>
  <si>
    <t>SOF TOTAL</t>
  </si>
  <si>
    <t>BC No/Cnt ALL</t>
  </si>
  <si>
    <t>BC NWVI    TR</t>
  </si>
  <si>
    <t>Puget Sound</t>
  </si>
  <si>
    <t>BC SWVI    TR</t>
  </si>
  <si>
    <t>BC WCVI  N/SP</t>
  </si>
  <si>
    <t>BC Jhnstn  TR</t>
  </si>
  <si>
    <t>BC Ga Str  TR</t>
  </si>
  <si>
    <t>BC Fraser  TR</t>
  </si>
  <si>
    <t>BC Area 20 TR</t>
  </si>
  <si>
    <t>BC Jhnstn  SP</t>
  </si>
  <si>
    <t>BC Ga Str  SP</t>
  </si>
  <si>
    <t>S Juan I NNET</t>
  </si>
  <si>
    <t>S Juan I TNET</t>
  </si>
  <si>
    <t>Bham Bay NNET</t>
  </si>
  <si>
    <t>Bham Bay TNET</t>
  </si>
  <si>
    <t>JDF Str  NNET</t>
  </si>
  <si>
    <t>JDF Str  TNET</t>
  </si>
  <si>
    <t xml:space="preserve">    Net:</t>
  </si>
  <si>
    <t>JDF NTtrty</t>
  </si>
  <si>
    <t>Area 8   NNET</t>
  </si>
  <si>
    <t>JDF Trty</t>
  </si>
  <si>
    <t>Area 8   TNET</t>
  </si>
  <si>
    <t>San Juan I NTrty</t>
  </si>
  <si>
    <t>Area 8A  NNET</t>
  </si>
  <si>
    <t>San Juan I Trty</t>
  </si>
  <si>
    <t>Area 8A  TNET</t>
  </si>
  <si>
    <t>BhamBay NTrty</t>
  </si>
  <si>
    <t>Area 6B9 NNET</t>
  </si>
  <si>
    <t>BhamBay Trty</t>
  </si>
  <si>
    <t>Area 6B9 TNET</t>
  </si>
  <si>
    <t>Area 8 NTrty</t>
  </si>
  <si>
    <t>HC NNET w/o9A12A</t>
  </si>
  <si>
    <t>Area 8 Trty</t>
  </si>
  <si>
    <t>HC TNET w/o9A12A</t>
  </si>
  <si>
    <t>Area 8A NTrty</t>
  </si>
  <si>
    <t>SPS all marine NNET</t>
  </si>
  <si>
    <t>SPS all marine TNET</t>
  </si>
  <si>
    <t>Area 8D NTrty</t>
  </si>
  <si>
    <t>BC Jhnstn NET</t>
  </si>
  <si>
    <t>Area 8D Trty</t>
  </si>
  <si>
    <t>BC Ga Str NET</t>
  </si>
  <si>
    <t>Area 9 Ntrty,Trty</t>
  </si>
  <si>
    <t>BC Fraser NET</t>
  </si>
  <si>
    <t>Area 9a/12a NTrty</t>
  </si>
  <si>
    <t>Area 20   NET</t>
  </si>
  <si>
    <t>Area 9a/12a Trty</t>
  </si>
  <si>
    <t>HC 12, 12B-D NTrty</t>
  </si>
  <si>
    <t>HC 12, 12B-D Trty</t>
  </si>
  <si>
    <t>Area 10, 10A, 10E NTrty</t>
  </si>
  <si>
    <t>Area 10, 10A, 10E Trty</t>
  </si>
  <si>
    <t>Area 11, 11A NTrty</t>
  </si>
  <si>
    <t>Area 11, 11A Trty</t>
  </si>
  <si>
    <t>Area 13, 13A-K NTrty</t>
  </si>
  <si>
    <t>Area 13, 13A-K Trty</t>
  </si>
  <si>
    <t>AK to CA total</t>
  </si>
  <si>
    <t>A9-9ANetNT</t>
  </si>
  <si>
    <t>A9-9ANetTR</t>
  </si>
  <si>
    <t>12A Tb Spt</t>
  </si>
  <si>
    <t>SHAKER MORTALITY</t>
  </si>
  <si>
    <t>All stocks</t>
  </si>
  <si>
    <t xml:space="preserve">So. PS Marine NTrty </t>
  </si>
  <si>
    <t>So. PS Marine Trty</t>
  </si>
  <si>
    <t>Terminal Return</t>
  </si>
  <si>
    <t>Exp. Rate</t>
  </si>
  <si>
    <t>CNR NONRETENTION MORTALITY</t>
  </si>
  <si>
    <t>CATCH + CNR MORTALITY</t>
  </si>
  <si>
    <t>TOTAL MORTALITY</t>
  </si>
  <si>
    <t>&gt;&gt;&gt;&gt;&gt;&gt;&gt;Paste a parsed newFRAM Fishery Report in cell A5 if from Fishery Summary Report drv; A2 if from Stock Specific Report drv; (key is to make sure new&amp;old FRAM values start on same row</t>
  </si>
  <si>
    <t>n#:4.19</t>
  </si>
  <si>
    <t>CMD File:</t>
  </si>
  <si>
    <t>9101.cmd</t>
  </si>
  <si>
    <t>Da</t>
  </si>
  <si>
    <t>te: 10-17-2001</t>
  </si>
  <si>
    <t>Report : Fishery Summary</t>
  </si>
  <si>
    <t>Report</t>
  </si>
  <si>
    <t>DRV File:</t>
  </si>
  <si>
    <t>cofsum.DRV</t>
  </si>
  <si>
    <t>Ti</t>
  </si>
  <si>
    <t>me: 11:29:21</t>
  </si>
  <si>
    <t>NB01.cmd</t>
  </si>
  <si>
    <t>te: 11-09-2001</t>
  </si>
  <si>
    <t>Total Mortality</t>
  </si>
  <si>
    <t>nuCohFSumTM.DR</t>
  </si>
  <si>
    <t>V           Ti</t>
  </si>
  <si>
    <t>me: 12:30:43</t>
  </si>
  <si>
    <t>Title  : 2001 Final Prese</t>
  </si>
  <si>
    <t>ason w new bas</t>
  </si>
  <si>
    <t>e period</t>
  </si>
  <si>
    <t>TOTAL MORTALITY (CATCH +</t>
  </si>
  <si>
    <t>SHAKER + CNR)</t>
  </si>
  <si>
    <t>MORTALITY BY F</t>
  </si>
  <si>
    <t>ISHERY</t>
  </si>
  <si>
    <t>Sep-Dec</t>
  </si>
  <si>
    <t>GSMLND Trm</t>
  </si>
  <si>
    <t>GSVNCI Trm</t>
  </si>
  <si>
    <t>JNSTRT Trm</t>
  </si>
  <si>
    <t>SWVNCI Trm</t>
  </si>
  <si>
    <t>NWVNCI Trm</t>
  </si>
  <si>
    <t>THOMPR Trm</t>
  </si>
  <si>
    <t>BCCNTL TTR</t>
  </si>
  <si>
    <t>BCNCST TTR</t>
  </si>
  <si>
    <t>QUEENC TTR</t>
  </si>
  <si>
    <t>NASSRV TTR</t>
  </si>
  <si>
    <t>SKEENA TTR</t>
  </si>
  <si>
    <t>8801.cmd</t>
  </si>
  <si>
    <t>me: 10:59:03</t>
  </si>
  <si>
    <t xml:space="preserve">TABLE 2AA:  COHO FISHERY IMPACT SUMMARY HIGHLIGHTS </t>
  </si>
  <si>
    <t xml:space="preserve">TABLE 2BB:  COHO FISHERY IMPACT SUMMARY HIGHLIGHTS </t>
  </si>
  <si>
    <t xml:space="preserve">TABLE 2DD:  COHO FISHERY IMPACT SUMMARY HIGHLIGHTS </t>
  </si>
  <si>
    <t>% Suppl. of "Hatchery"</t>
  </si>
  <si>
    <t>% Hatchery of "Hat."</t>
  </si>
  <si>
    <t>NOT READY FOR USE</t>
  </si>
  <si>
    <t xml:space="preserve">STILL/SNOH </t>
  </si>
  <si>
    <t>JUAN DE FUCA TRIBUTARIES</t>
  </si>
  <si>
    <t xml:space="preserve">QUIL. FALL </t>
  </si>
  <si>
    <t xml:space="preserve">     Nontreaty</t>
  </si>
  <si>
    <t xml:space="preserve">     Treaty</t>
  </si>
  <si>
    <t>TOTAL MORTALITY:</t>
  </si>
  <si>
    <t>U.S. Ocean</t>
  </si>
  <si>
    <t xml:space="preserve">U.S. OCEAN: </t>
  </si>
  <si>
    <t>PS Preterminal Net&amp;Troll</t>
  </si>
  <si>
    <t>PS Net&amp;Troll&amp;Sport</t>
  </si>
  <si>
    <t>PS Terminal &amp; FW Net</t>
  </si>
  <si>
    <t>PS Terminal &amp;FW Net</t>
  </si>
  <si>
    <t xml:space="preserve">Coastal Terminal </t>
  </si>
  <si>
    <t>PS Sport</t>
  </si>
  <si>
    <t xml:space="preserve">     Area 5</t>
  </si>
  <si>
    <t xml:space="preserve">     Area 6</t>
  </si>
  <si>
    <t xml:space="preserve">     Area 7</t>
  </si>
  <si>
    <t xml:space="preserve">     Area 8-13&amp;FW</t>
  </si>
  <si>
    <t xml:space="preserve">      subtotal</t>
  </si>
  <si>
    <t>Table H.  Hatchery escapement to Puget Sound broodstock collection facilities</t>
  </si>
  <si>
    <t>FRAM Run=</t>
  </si>
  <si>
    <t>Description</t>
  </si>
  <si>
    <r>
      <t>Goal</t>
    </r>
    <r>
      <rPr>
        <b/>
        <vertAlign val="superscript"/>
        <sz val="10"/>
        <rFont val="Arial"/>
        <family val="2"/>
      </rPr>
      <t>1</t>
    </r>
  </si>
  <si>
    <r>
      <t>Esc.</t>
    </r>
    <r>
      <rPr>
        <b/>
        <vertAlign val="superscript"/>
        <sz val="10"/>
        <rFont val="Arial"/>
        <family val="2"/>
      </rPr>
      <t>2</t>
    </r>
  </si>
  <si>
    <t>5750 goal w/2400 priority MOU</t>
  </si>
  <si>
    <r>
      <rPr>
        <vertAlign val="superscript"/>
        <sz val="10"/>
        <rFont val="Arial"/>
        <family val="2"/>
      </rPr>
      <t xml:space="preserve">1 </t>
    </r>
    <r>
      <rPr>
        <sz val="10"/>
        <rFont val="Arial"/>
        <family val="2"/>
      </rPr>
      <t>Values updated for 2016 preseason planning process.</t>
    </r>
  </si>
  <si>
    <r>
      <rPr>
        <vertAlign val="superscript"/>
        <sz val="10"/>
        <rFont val="Arial"/>
        <family val="2"/>
      </rPr>
      <t>2</t>
    </r>
    <r>
      <rPr>
        <sz val="10"/>
        <rFont val="Arial"/>
        <family val="2"/>
      </rPr>
      <t xml:space="preserve"> Values from Time Step 5 (Oct-Dec), for Marked+Unmarked components.</t>
    </r>
  </si>
  <si>
    <t>Kendall Creek - Removed from list, no coho program since 2008.</t>
  </si>
  <si>
    <t>Updated for 2016</t>
  </si>
  <si>
    <t>Source: Breena Apgar-Kurtz, updated 4/10/16 for fecundity considerations</t>
  </si>
  <si>
    <t>Source: Brett Barkdull</t>
  </si>
  <si>
    <t>Source: Chris James/Technical staff</t>
  </si>
  <si>
    <t>Source: Mike Mahovlich</t>
  </si>
  <si>
    <t>Voights Creek</t>
  </si>
  <si>
    <t>Source: Chris Phinney</t>
  </si>
  <si>
    <t>Source: James Losee/Bill Patton</t>
  </si>
  <si>
    <t>Nisqually River</t>
  </si>
  <si>
    <t>Source: Craig Smith</t>
  </si>
  <si>
    <t>Source: Mark Downen</t>
  </si>
  <si>
    <t>Source: Ron Wong/Dan Magnuson</t>
  </si>
  <si>
    <t>Dungeness Fall</t>
  </si>
  <si>
    <t>Source: Scott Chitwood</t>
  </si>
  <si>
    <t>Elwha Fall</t>
  </si>
  <si>
    <t>Source: Mike Gross</t>
  </si>
  <si>
    <t>Sol Duc Summer</t>
  </si>
  <si>
    <t>MB: these are coastal?</t>
  </si>
  <si>
    <t>Sol Duc Fall</t>
  </si>
  <si>
    <t>Date</t>
  </si>
  <si>
    <t>Location of Change</t>
  </si>
  <si>
    <t>Change Made</t>
  </si>
  <si>
    <t>Comment</t>
  </si>
  <si>
    <t>documentation sheet</t>
  </si>
  <si>
    <t>Headings changed</t>
  </si>
  <si>
    <t>Headings changed to reflect documentation moving forward (MB)</t>
  </si>
  <si>
    <t>Contents sheet</t>
  </si>
  <si>
    <t>Sheet added</t>
  </si>
  <si>
    <t>Contents sheet added to provide hyperlinks to individual sheets (MB)</t>
  </si>
  <si>
    <t>Input_Stockdata sheet</t>
  </si>
  <si>
    <t>Sheet hidden</t>
  </si>
  <si>
    <t>Input_Stockdata sheet was hidden as it is no longer used and obsolete (MB)</t>
  </si>
  <si>
    <t>Content updated for 2016</t>
  </si>
  <si>
    <t>Source: Content was provided by Larrie LaVoy, on behalf of OPITT for 2016 preseason modeling</t>
  </si>
  <si>
    <t>Content/format updated for 2016</t>
  </si>
  <si>
    <t>"2" sheet</t>
  </si>
  <si>
    <t>Management status values were updated based on 2016 forecast values.  Management objectives/goals were also included as values, rather than sourcing from the obsolete "Input_Stockdata" sheet which was no longer used or updated. (MB)</t>
  </si>
  <si>
    <t>"PS_HatcheryEsc." sheet</t>
  </si>
  <si>
    <t>Hatchery list and escapement goals were updated by co-managers for 2016 preseason planning. (MB)</t>
  </si>
  <si>
    <t>Headings updated</t>
  </si>
  <si>
    <t>Headings for internal tables were changed to faciliate use of TAMM in model comparison handouts</t>
  </si>
  <si>
    <t>"4" sheet</t>
  </si>
  <si>
    <t xml:space="preserve">Additional summary value and splits </t>
  </si>
  <si>
    <t>Added a line for summarizing Total Ocean ER and calculations for the non-treaty and treaty splits of ER at the very end of the table layout for reference.  (MB)</t>
  </si>
  <si>
    <t>Table 2E expanded</t>
  </si>
  <si>
    <t>Table 2E was expanded to include additional Puget Sound hatchery stocks and fishery impacts. Complete. (MB+AR)</t>
  </si>
  <si>
    <t>Input_Harvestnew, Tami</t>
  </si>
  <si>
    <t>Formula references added</t>
  </si>
  <si>
    <t>Formula references were added for tracking data between the Input_Harvestnew sheet and the use of data in Tami, to keep units aligned. (MB)</t>
  </si>
  <si>
    <t>"ColRHarvestInput" sheet</t>
  </si>
  <si>
    <t>Content updated by STT</t>
  </si>
  <si>
    <t>Values in Transfer Table 2 were updated for both the upper % values and the lower # values, per STT modelers. (WB)</t>
  </si>
  <si>
    <t>Cell value T3 = original value of 1 (See also Line 18)</t>
  </si>
  <si>
    <t>There is a value of 1 in sheet 2 cell T3, which is inadvertantly used only in formulas for calculating Hood Canal stock impacts in fisheries = NT Troll N. Leadbttr, Sport Area 1, 2, 3, 4.  This value was accidentally deleted and thus the formula included multiplication by zero and thus no impact values were returned to these cells in sheet 2 and thus not included in the ER calculations.  This value of 1 has been in final coho TAMM files back through 2011 at least - no indication of original intent/source.  In the future, this should be removed from formula calculations but for now, the original value of 1 was re-incorporated to ensure correct sheet 2 calculations for ER and impacts.  (MB)</t>
  </si>
  <si>
    <t>Updated footnote formatting</t>
  </si>
  <si>
    <t>Updated the format of footnotes in Table 4. (MB)</t>
  </si>
  <si>
    <t xml:space="preserve">Coastal Stock Escapement Objectives updated for 2016 </t>
  </si>
  <si>
    <t>Spawning Escapement Objective values for WA costal stocks were updated with a (*Revised 2016 value) to reflect co-manager agreement in 2016. (MB)</t>
  </si>
  <si>
    <t>Cell value T3 = original value of 1, Removed from Formulas</t>
  </si>
  <si>
    <t>There is a value of 1 in sheet 2 cell T3, which is inadvertantly used only in formulas for calculating Hood Canal stock impacts in fisheries = NT Troll N. Leadbttr, Sport Area 1, 2, 3, 4.  This value of 1 has been in final coho TAMM files back through 2011 at least - no indication of original intent/source.  The value of 1 was used in muliplication with other values, which did not change those values (# x 1 = #).  This cell reference and value were therefore removed from formula calculations.  (MB)</t>
  </si>
  <si>
    <t>"WACoastTerminal" sheet</t>
  </si>
  <si>
    <t>Summary TAMM-FRAM table structure updated</t>
  </si>
  <si>
    <t>The summary table which produces FRAM inputs from the TAMM-related calculations in the WACoastTerminal sheet was updated to ensure consistency with the newly added check box to Run Coastal Iterations, which directly loads those values and automates the logistical process.  This table should not be altered or modified to allow the FRAM code to directly read the inputs.</t>
  </si>
  <si>
    <t xml:space="preserve">FisheryID #86 updated </t>
  </si>
  <si>
    <t>FisheryID #86 EJDF T Net does not have any base period information and therefore is not modeled, nor does it accept inputs. This was updated in the Tami, with references to cells in Input_Harvestnew removed and highlight added to denote no BP.</t>
  </si>
  <si>
    <t>Content updated for 2017</t>
  </si>
  <si>
    <t>Source: Content was provided by Larrie LaVoy, on behalf of OPITT for 2017 preseason modeling</t>
  </si>
  <si>
    <t>Content/format updated for 2017</t>
  </si>
  <si>
    <t>Management status values were updated based on 2017 forecast values. Spawning Escapement Objective values for WA costal stocks are scheduled to be updated at the PFMC March mtg. Hatchery goals still need to be updated for 2017. (MB)</t>
  </si>
  <si>
    <t xml:space="preserve">Spawning Escapement Objective values for WA costal stocks were reverted back to the PFMC Escapement Floor value of the range.  (MB) </t>
  </si>
  <si>
    <t>Skagit and Stilly management objectives updated per co-manager feedback at NOF#1. (MB)</t>
  </si>
  <si>
    <t>Incorporated regional fishery</t>
  </si>
  <si>
    <t>The Cascade River Sport fishery is not a FRAM/TAMM fishery but rather its impacts resided on the Skagit regional sheet "Sk".  The impacts from this fishery were added to sheet "2" cell E39, from source cell Sk!$C$37 to accurately reflect impacts in the summary tables (sheet 2) and ER table (sheet 4).  (MB)</t>
  </si>
  <si>
    <t>SportMatrix sheet</t>
  </si>
  <si>
    <t xml:space="preserve">Sheet added </t>
  </si>
  <si>
    <t>The SportMatrix sheet was added to the coho TAMM file (consistent with Chinook TAMM) and will need to be updated throughout preseason modeling.  This ensures that the WDFW recreational matrix is also provided in the modeling materials submitted to NOAA for ESA approval once completed. (MB)</t>
  </si>
  <si>
    <t>FishSumAllPRN, StockSumPRN, Table2PRN, TRunsPRN</t>
  </si>
  <si>
    <t>Hyperlinks added to navigate</t>
  </si>
  <si>
    <t>To more efficiently direct the user to a specific type of information (stock, fishery, type of mortality), hyperlinks were added in the upper right to navigate to each type of information relevant in the specific PRN worksheet.  (MB)</t>
  </si>
  <si>
    <t>Table2PRN, TRunsPRN</t>
  </si>
  <si>
    <t>Driver file definitions added</t>
  </si>
  <si>
    <t>FRAM uses specific "driver" files to generate definitions for stock groupings, etc, found in the Coho FRAM MS Access database table "ReportDriver".  The contents of driver files were added to the right within Table2PRN (which uses PSCTable2.Drv) and TRunsPRN (which uses PSCTRuns.Drv). This material provides an efficient reference and increases transparency in how values are calculated.  In the TRunsPRN sheet, cells with blue highlight are subsequently used in the TAMM file.  Grey highlight indicates PSCTRuns.drv definitions whose values are not currently used.  Comments were added to each column produced by FRAM to increase transparency.  (MB)</t>
  </si>
  <si>
    <t>Sheet added for reference</t>
  </si>
  <si>
    <t>Worksheet added for reference use. 
Source: 2018PFMC_NOF_CohoFRAMdatabase_Draft.mdb; Table: Stock (Species=COHO)   (MB)</t>
  </si>
  <si>
    <t>Worksheet added for reference use. 
Source: 2018PFMC_NOF_CohoFRAMdatabase_Draft.mdb; Table: Fishery (Species=COHO)   (MB)</t>
  </si>
  <si>
    <t>Removed SUM function if single cell value</t>
  </si>
  <si>
    <t>Removed the SUM function if the formula was only referencing one cell value to avoid confusion.  Corrected any SUM function syntax as needed.  (MB)</t>
  </si>
  <si>
    <t>Subheading of Table 2 removed; Clarify heading</t>
  </si>
  <si>
    <t>The subheading of Table 2 was removed as it is no longer accurate; previously stated "(Results with base period fisheries and current abundances)". Table results are from actual model run inputs for fishery impacts and abundances.  FRAM Ocean Escapement heading</t>
  </si>
  <si>
    <t>Content updated for 2018</t>
  </si>
  <si>
    <t>Source: Content was provided by Larrie LaVoy, on behalf of OPITT for 2018 preseason modeling</t>
  </si>
  <si>
    <t>Content/format updated for 2018</t>
  </si>
  <si>
    <t>Management status values were updated based on 2018 forecast values. Hatchery goals may need to be updated for 2018. (MB)</t>
  </si>
  <si>
    <t xml:space="preserve">Input_Harvestnew </t>
  </si>
  <si>
    <t>Reference to model run name</t>
  </si>
  <si>
    <t>A cell reference to sheet FishSumAllPRN cell A5 was added to obtain the associated model run name, which is now reported by the FRAM 2.18 software into the TAMM file from the model it was run with.</t>
  </si>
  <si>
    <t>Formula updates for 2018 Grays Harbor terminal NT net+spt</t>
  </si>
  <si>
    <t>Formulas were updated in sheet "2" to remove added drop-out/drop-off mortality, due to those values already included in 2018 terminal fishery inputs (cell AK37 - 2% removed, cell AK39 - 5% removed). (MB)</t>
  </si>
  <si>
    <t>"1" sheet</t>
  </si>
  <si>
    <t>Updated Columbia River Buoy 10</t>
  </si>
  <si>
    <t>Content was updated on sheet "1" to reflect the final 2018 preseason package adopted by the PFMC+NOF co-managers.  The value for Columbia River Buoy 10 was updated from 15,000 to 25,000 based on final actions.</t>
  </si>
  <si>
    <t>Content updated for 2019</t>
  </si>
  <si>
    <t>Management status values were updated based on 2019 forecast values. Hatchery goals may need to be updated for 2019. (MB)</t>
  </si>
  <si>
    <t>Source: Content was provided by Jon Carey, on behalf of OPITT for 2019 preseason modeling</t>
  </si>
  <si>
    <t>Worksheet added for reference use; w/info on definitions used in final 2018 preseason model run. 
Source: CohoPugetSound2019TAMMInputTemplate_MB012819.xlsx   (MB)</t>
  </si>
  <si>
    <t>Corrected hyperlinks to reference sheets</t>
  </si>
  <si>
    <t>The Contents sheet was updated to correct errors in hyperlink reference sheets and add TAAETRSList18_Reference. (MB)</t>
  </si>
  <si>
    <t xml:space="preserve">Content correction Willapa Bay </t>
  </si>
  <si>
    <t>Willapa Bay natural escapement spawner goal updated per PFMC/STT FMP value. (MB)</t>
  </si>
  <si>
    <t xml:space="preserve">Table2PRN </t>
  </si>
  <si>
    <t>Link to content for Area 8D fishery scalar review</t>
  </si>
  <si>
    <t>A summary section was added to Table2PRN for deriving fishery scalars used in the Area 8D TR and NT net fisheries, and a link was provided at the top right of the sheet for efficient reference. (MB)</t>
  </si>
  <si>
    <t>"Sk" sheet - Cell C37</t>
  </si>
  <si>
    <t>Updated formula for proportion of Cascade natural mortalities</t>
  </si>
  <si>
    <t>Regional co-manager agreement to revise the proportion used to specify the natural (wild) impacts from total mortalities in the Cascade River sport fishery (Cell C37); using 13.4% for expected encounter rate of wild fish based on derived calculation from creel data (1997-2000) (B. Barkdull 3/21/19). (MB)</t>
  </si>
  <si>
    <t>Added South Puget Sound and Nooksack/Samish Hatchery to sheet "4" per management objectives</t>
  </si>
  <si>
    <t>Co-manager requested content during 2019 preseason was added to sheet 4 to represent ER values for the South Puget Sound and Nooksack/Samish Hatchery and Total (Hatchery+Natural) stock perspective per management objectives in these two regions, columns J+K+L+M were inserted and calculated. (MB)</t>
  </si>
  <si>
    <t>"7" sheet</t>
  </si>
  <si>
    <t>Updated formulas for absolute reference to sheet "4"</t>
  </si>
  <si>
    <t>Several cells in sheet 7 are dependent on sheet 4 (D29,D30,D31,D33); I updated the formulas in cells D29, D30, D31, D33 for absolute referencing (using $).  This prevents any subsequent changes to sheet 4 from affecting sheet 7 values. Note sheet NT-Tsummary dependent cells (AE10,AE11,AF10,AF11,AI10,AI11) had absolute referencing. (MB)</t>
  </si>
  <si>
    <t>Workbook file level</t>
  </si>
  <si>
    <t>Removed unused and non-referencing Defined Names</t>
  </si>
  <si>
    <t>In Excel, under Formulas, it is possible to Define Name for a specified cell, range of cells, formula or specific value, in which the Name can then be used in formulas instead of constant values or cell references.  The following were removed: Defined Names which did not reference any content (#REF#REF); several that were referencing sheets no longer used (Input_Stockdata); any that were referencing external Chinook files. (MB)</t>
  </si>
  <si>
    <t>South Sound Wild definition edited to remove Area 13 Misc Hatchery</t>
  </si>
  <si>
    <t>The MS Access database table ReportDriver, DriverName = PSCTable2.DRV, Option5 = 26 for South Sound Wild was edited to remove the StockID 79+80 for Area 13 Miscellaneous Hatchery, to maintain assumed definition structure of only natural/wild stocks in South and Mid Puget Sound.  This .DRV is the foundation that defines model output in the coho TAMM sheet Table2PRN and subsequent use of those values.  Note: Abundances for this stock have been zero since 2004, and thus this does not affect recent years. (MB)</t>
  </si>
  <si>
    <t>Content updated for 2020</t>
  </si>
  <si>
    <t>Management status values were updated based on 2020 forecast values. Hatchery goals may need to be updated for 2020. (MB)</t>
  </si>
  <si>
    <t>Source: Content was provided by Jon Carey, on behalf of OPITT for 2020 preseason modeling</t>
  </si>
  <si>
    <t>"Sk" sheet
"2" sheet</t>
  </si>
  <si>
    <t>Added SSIT Cascade River Net fishery content for natural mortalities</t>
  </si>
  <si>
    <t>"Sk" regional sheet: Line 56 was modified to represent the SSIT Cascade River Net fishery input for 2020.  The grand total was also modified to include mortalitites. "2" sheet: Cells E9, G9 and E60, G60 were updated to incorporate the SSIT Cascade River Net fishery estimated impacts to Skagit wild stocks. (MB)</t>
  </si>
  <si>
    <t>Content updated for 2021</t>
  </si>
  <si>
    <t>Management status values were updated based on 2021 forecast values. Hatchery goals may need to be updated for 2021. (MB)</t>
  </si>
  <si>
    <t>Source: Content was provided by Jon Carey, on behalf of OPITT for 2021 preseason modeling</t>
  </si>
  <si>
    <t>WA Coastal MU ER caps were updated for 2021 under the 2019 PST Coho Chapter. (MB)</t>
  </si>
  <si>
    <t>Skookum Creek Hatchery goal (=4800) updated for 2021, via email Ned C/Nooksack; Kendall Creek program resumed coho w/goal = 350, not in table. (MB)</t>
  </si>
  <si>
    <t xml:space="preserve">"PFMCTables" sheet </t>
  </si>
  <si>
    <t>Data compilation tables added</t>
  </si>
  <si>
    <t>Tables added to compile and organize TAMM values consistent with PFMC STT reporting formats in order to expedite the STT model run reporting process and completion of time sensitive PFMC reports. (K. VdG)</t>
  </si>
  <si>
    <t>"ColR&amp;OCN&amp;RogKlam" sheet</t>
  </si>
  <si>
    <t>Content updated for 2021/Added rows to OCN input table</t>
  </si>
  <si>
    <t xml:space="preserve">Rows added to OCN freshwater input calculation table (R56:V59) to include STT calculations and provided inputs for OCN freshwater terminal fisheries Oregon North Coast and Oregon North-Mid Coast. Source: Craig Foster. (K. VdG) </t>
  </si>
  <si>
    <t xml:space="preserve">Updated inputs for OCN freshwater terminal fisheries. Source: Craig Foster. (K. VdG) </t>
  </si>
  <si>
    <t>Futher corrected regional values regarding previous additions of SSIT fishery mortalities</t>
  </si>
  <si>
    <t>"Sk" regional sheet: Formula corrections in Cells B48 and E48 (old error) for pink impacts.  Cell E56 (total) corrected to include hatchery impacts from the SSIT Cascade+Sauk River Net fisheries.  Cell B40 and E40 formula corrected to exclude natural mortalities from SSIT fisheries, which were already accounted for in the sheet "2" value used in formula.  "2" sheet: Cell BE59 corrected to include hatchery catch from SSIT Cascade+Sauk River Net fisheries for the Skagit/Marblemount hatchery in Table 2E. (MB/PK)</t>
  </si>
  <si>
    <t>"JDF" sheet</t>
  </si>
  <si>
    <t xml:space="preserve">Additional table in Regional sheet </t>
  </si>
  <si>
    <t>An additional table to summarize model results for Elwha natural and hatchery stocks was added to the regional JDF sheet. (MB per GR)</t>
  </si>
  <si>
    <t>Content updated for 2022</t>
  </si>
  <si>
    <t>Source: Content was updated by Jon Carey, on behalf of OPITT for 2022 preseason modeling</t>
  </si>
  <si>
    <t xml:space="preserve">Updated cells E40 and G40. 2022 Willapa Bay coho stray rate (0.210) provided by Kyle Van de Graaf on behalf of the STT. (K. VdG) </t>
  </si>
  <si>
    <t>Management status values were updated based on 2022 forecast values. Hatchery goals may need to be updated for 2022. WA Coastal MU ER caps were updated for 2022 under the 2019 PST Coho Chapter. (MB)</t>
  </si>
  <si>
    <t>Formula updates for Grays Harbor terminal NT net+spt</t>
  </si>
  <si>
    <t>Formulas were updated in sheet "2" to remove added drop-out/drop-off mortality from the Totals, due to those values already included in terminal fishery inputs (cell AN37 - 2% removed, cell AN39 - 5% removed). (AHB/MB)</t>
  </si>
  <si>
    <t>"2" sheet
"WACoastTerminal" sheet</t>
  </si>
  <si>
    <t>Updates for Grays Harbor natural area spawners</t>
  </si>
  <si>
    <t>Sheet "2" updated to reflect natural area spawner units relative to model results per STT/NOAA (cells AO97:103), including a hatchery stray rate input cell in sheet "WACoastTerminal" (cell H109). (AHB)</t>
  </si>
  <si>
    <t>Sheet "2" updated to reflect natural area spawner units relative to model results per STT/NOAA and improve transparency for Council reporting (cells AO106:107). (KV)</t>
  </si>
  <si>
    <t xml:space="preserve">STT table updates </t>
  </si>
  <si>
    <t>Sheet "PFMCTables" updated in various cells (B31, B33:36, B51:C51, B66:C66, J21, L11, L24) to account for changes in STT reporting requirements and 2022 conservation criteria. (KV)</t>
  </si>
  <si>
    <t>Sheet "PFMCTables" updated in various cells (Columns H-L, Rows 5-37) to account for changes in STT reporting requirements. (KV)</t>
  </si>
  <si>
    <t>Sheet "PFMCTables" updated in various cells (B31, B33, L28) to account for Pre III STT reporting requirements. (KV)</t>
  </si>
  <si>
    <t>Sheet "PFMCTables" updated B34:36 to account for Pre III STT reporting requirements. (KV)</t>
  </si>
  <si>
    <t>Early Return to River Mouth after B10</t>
  </si>
  <si>
    <t>Late Return to River Mouth after B10</t>
  </si>
  <si>
    <t>DON’T TOUCH THIS PAGE!!</t>
  </si>
  <si>
    <t>Stock  : Col Early Unmarked</t>
  </si>
  <si>
    <t>TOTAL MORTALITY (CATCH+SHAKERS</t>
  </si>
  <si>
    <t>+CNR) BY F</t>
  </si>
  <si>
    <t>******************************</t>
  </si>
  <si>
    <t>**********</t>
  </si>
  <si>
    <t>*************</t>
  </si>
  <si>
    <t>***************</t>
  </si>
  <si>
    <t>**************</t>
  </si>
  <si>
    <t>TOTAL MORTA</t>
  </si>
  <si>
    <t>LITY (CATC</t>
  </si>
  <si>
    <t>H+SHAKERS+CNR</t>
  </si>
  <si>
    <t>) By Time Perio</t>
  </si>
  <si>
    <t>d for All Age</t>
  </si>
  <si>
    <t>Ak&amp;Canada</t>
  </si>
  <si>
    <t>Southern US&amp;PS</t>
  </si>
  <si>
    <t>treaty troll</t>
  </si>
  <si>
    <t>Report : Stock Catch Report</t>
  </si>
  <si>
    <t>PSCColRAttchC.D</t>
  </si>
  <si>
    <t>RV         Tim</t>
  </si>
  <si>
    <t>e: 12:36:04</t>
  </si>
  <si>
    <t>Title  : Final PFMC Model</t>
  </si>
  <si>
    <t>Stock  : Col Early Marked</t>
  </si>
  <si>
    <t>Stock  : Col Late Unmarked</t>
  </si>
  <si>
    <t>Stock  : Col Late Marked</t>
  </si>
  <si>
    <t>==========================</t>
  </si>
  <si>
    <t>============</t>
  </si>
  <si>
    <t>===============</t>
  </si>
  <si>
    <t>OPI Coho Predictions and FRAM scalars</t>
  </si>
  <si>
    <t>Entries in Pre I, Table I-2</t>
  </si>
  <si>
    <t>Base Period</t>
  </si>
  <si>
    <t>FRAM Adj.</t>
  </si>
  <si>
    <t>Pred. Ocean</t>
  </si>
  <si>
    <t>FRAM Stock Scalars</t>
  </si>
  <si>
    <t xml:space="preserve">OPITT </t>
  </si>
  <si>
    <t>Stock Size</t>
  </si>
  <si>
    <t xml:space="preserve">Marked </t>
  </si>
  <si>
    <t>Combined</t>
  </si>
  <si>
    <t>Official</t>
  </si>
  <si>
    <t>combined MR</t>
  </si>
  <si>
    <t>Columbia River</t>
  </si>
  <si>
    <t>Early</t>
  </si>
  <si>
    <t>Late</t>
  </si>
  <si>
    <t>Mark Rate:</t>
  </si>
  <si>
    <t xml:space="preserve">   Early</t>
  </si>
  <si>
    <t>OPI Scalar Sheet</t>
  </si>
  <si>
    <t>above Bonn.</t>
  </si>
  <si>
    <t>&lt;&lt;---prop above BD</t>
  </si>
  <si>
    <t>Lower River</t>
  </si>
  <si>
    <t>below Bonn.</t>
  </si>
  <si>
    <t>Upriver</t>
  </si>
  <si>
    <t xml:space="preserve">   Late</t>
  </si>
  <si>
    <t xml:space="preserve">   Youngs Bay Early</t>
  </si>
  <si>
    <t>inc in Earlies</t>
  </si>
  <si>
    <t>OR so coast split</t>
  </si>
  <si>
    <t>Oregon Coast-all (inc. STEP)</t>
  </si>
  <si>
    <t>North</t>
  </si>
  <si>
    <t>inc in OR Coast all</t>
  </si>
  <si>
    <t>Northern Mid</t>
  </si>
  <si>
    <t>Rogue/Klamath MR</t>
  </si>
  <si>
    <t>Southern Mid</t>
  </si>
  <si>
    <t>Klamath BY 2016 releases</t>
  </si>
  <si>
    <t>Rogue BY 2016 releases</t>
  </si>
  <si>
    <t>Rogue/Klam</t>
  </si>
  <si>
    <t>R/K MR assuming 100% clip for Rogue, 0% clip for Klamath, and similar survival rates</t>
  </si>
  <si>
    <t>OR Wild</t>
  </si>
  <si>
    <t>OCN-all</t>
  </si>
  <si>
    <t>inc in OCN all</t>
  </si>
  <si>
    <t xml:space="preserve">Columbia River </t>
  </si>
  <si>
    <t>Early Stocks</t>
  </si>
  <si>
    <t>Late Stocks</t>
  </si>
  <si>
    <t>Sum</t>
  </si>
  <si>
    <t>Total JA3 abundance:</t>
  </si>
  <si>
    <t>TABLE C:  COLUMBIA RIVER COHO FISHERY IMPACT SUMMARY</t>
  </si>
  <si>
    <t>TABLE C-Nat:  COLUMBIA RIVER COHO FISHERY IMPACT SUMMARY FOR LOWER COL NATURAL COHO</t>
  </si>
  <si>
    <t>Table OR.  Total mortality and exploitation rates for OCN and Rogue/Klamath</t>
  </si>
  <si>
    <t xml:space="preserve">Impacts are expressed as total fishery-related mortality, incl. landed catch, non-retention mort., and other fishery-related mort. </t>
  </si>
  <si>
    <t>New TRS</t>
  </si>
  <si>
    <t>OR Coastal Natural</t>
  </si>
  <si>
    <t>Rogue/Klam. H Unmrkd</t>
  </si>
  <si>
    <t>Lower Col Nat</t>
  </si>
  <si>
    <t>OR North Coast</t>
  </si>
  <si>
    <t>OR North Mid</t>
  </si>
  <si>
    <t>OR South Mid</t>
  </si>
  <si>
    <t>Oregon Nat</t>
  </si>
  <si>
    <t>WA Early Nat</t>
  </si>
  <si>
    <t>WA Late Nat</t>
  </si>
  <si>
    <t>Total Mort</t>
  </si>
  <si>
    <t>Exp. Rt.</t>
  </si>
  <si>
    <t>Ocean Escapement (after B10)</t>
  </si>
  <si>
    <t>Marine Exploitation Rate</t>
  </si>
  <si>
    <t>Marine ER to Col R before B10 (PFMC Pre Rpts)</t>
  </si>
  <si>
    <t>Puget Sound/Straits</t>
  </si>
  <si>
    <t>Puget Sound/Straits/Bay</t>
  </si>
  <si>
    <t>PFMC Ocean Fisheries Exploitation Rate</t>
  </si>
  <si>
    <t>PFMC Ocean Fisheries ER</t>
  </si>
  <si>
    <t>Exploitation in Southern U.S. marine Fisheries</t>
  </si>
  <si>
    <t>PFMC InRivers Ers (incl B10)</t>
  </si>
  <si>
    <t>TOTAL ER</t>
  </si>
  <si>
    <t>PFMC TOTAL ER</t>
  </si>
  <si>
    <t>ER in So. U.S. Marine Fisheries</t>
  </si>
  <si>
    <t>TOTAL ER ALL FISHERIES</t>
  </si>
  <si>
    <t xml:space="preserve">    Buoy 10</t>
  </si>
  <si>
    <t>Sport:    Areas 5-13</t>
  </si>
  <si>
    <t>COASTAL CATCHES:</t>
  </si>
  <si>
    <t>Bay Sport</t>
  </si>
  <si>
    <t xml:space="preserve">     Freshwater</t>
  </si>
  <si>
    <t>LOWER COLUMBIA:</t>
  </si>
  <si>
    <t>Mainstem Nontreaty Net</t>
  </si>
  <si>
    <t>SAFE</t>
  </si>
  <si>
    <t xml:space="preserve">Ocean ER </t>
  </si>
  <si>
    <t>Terminal Run H&amp;W</t>
  </si>
  <si>
    <t>Landed Catch</t>
  </si>
  <si>
    <t>CNR Morts</t>
  </si>
  <si>
    <t>dropoff</t>
  </si>
  <si>
    <t>Columbia Mouth wB10</t>
  </si>
  <si>
    <t xml:space="preserve">OR N. Coast </t>
  </si>
  <si>
    <t>Ocean Harvest</t>
  </si>
  <si>
    <t>OR N. Mid Cst</t>
  </si>
  <si>
    <t>In River</t>
  </si>
  <si>
    <t xml:space="preserve">OR S. Mid Cst </t>
  </si>
  <si>
    <t>Terminal Run Wild</t>
  </si>
  <si>
    <t>Proportion Split</t>
  </si>
  <si>
    <t>PFMC Ocean Catch</t>
  </si>
  <si>
    <t>(W+H)/W</t>
  </si>
  <si>
    <t>Catch Input (Craig Foster)</t>
  </si>
  <si>
    <t xml:space="preserve">FRAM Input </t>
  </si>
  <si>
    <t>ER in So. U.S. marine Fisheries</t>
  </si>
  <si>
    <t>MAINSTEM LOWER COLUMBIA:</t>
  </si>
  <si>
    <t xml:space="preserve">Nontreaty Mainstem Net </t>
  </si>
  <si>
    <t>Nontreaty Sharing:</t>
  </si>
  <si>
    <t xml:space="preserve">   Total ER</t>
  </si>
  <si>
    <t xml:space="preserve">   % ocean</t>
  </si>
  <si>
    <t xml:space="preserve">   % river</t>
  </si>
  <si>
    <t>a/  Sandy and Clackamas rivers only</t>
  </si>
  <si>
    <t>b/  Clackamas River</t>
  </si>
  <si>
    <t>Input/output sheet for interfacing FRAM and the Columbia River mainstem coho model</t>
  </si>
  <si>
    <r>
      <t>Transfer Table 1.  TAMM outputs that will be transferred to the Col R harvest model</t>
    </r>
    <r>
      <rPr>
        <b/>
        <sz val="16"/>
        <color rgb="FFFF0000"/>
        <rFont val="Arial"/>
        <family val="2"/>
      </rPr>
      <t xml:space="preserve"> (FORMULAE)</t>
    </r>
  </si>
  <si>
    <t>All harvest impacts are total fishery-related mortalities</t>
  </si>
  <si>
    <t>Early Hatchery</t>
  </si>
  <si>
    <t>Late Hatchery</t>
  </si>
  <si>
    <t>Category</t>
  </si>
  <si>
    <t>Ocean abundance</t>
  </si>
  <si>
    <t>Ocean harvest</t>
  </si>
  <si>
    <t>In-river run size</t>
  </si>
  <si>
    <t>Buoy 10 harvest</t>
  </si>
  <si>
    <t>Early Wilds</t>
  </si>
  <si>
    <t>Late Wilds</t>
  </si>
  <si>
    <r>
      <t>Transfer Table 2.  Inriver inputs that will come back to TAMM from mainstem model</t>
    </r>
    <r>
      <rPr>
        <b/>
        <sz val="16"/>
        <color rgb="FFFF0000"/>
        <rFont val="Arial"/>
        <family val="2"/>
      </rPr>
      <t xml:space="preserve"> (VALUES)</t>
    </r>
  </si>
  <si>
    <t>For ColR Term HR FRAM page</t>
  </si>
  <si>
    <t>Col Early Marked HR</t>
  </si>
  <si>
    <t>Col Early Unmarked HR</t>
  </si>
  <si>
    <t>Col Late Marked HR</t>
  </si>
  <si>
    <t>Col Late Unmarked HR</t>
  </si>
  <si>
    <t>Mainstem Commercial</t>
  </si>
  <si>
    <t>LCR Sport</t>
  </si>
  <si>
    <t>Mainstem Sport above B10</t>
  </si>
  <si>
    <t xml:space="preserve">Mainstem Commercial </t>
  </si>
  <si>
    <t>DO NOT DELETE</t>
  </si>
  <si>
    <t>Bright green cells reference material transferred to the tables below (from 'FRAM ColR trans' in Col R Mainstem Model); Re-reference soon.</t>
  </si>
  <si>
    <t>Wild Early HR</t>
  </si>
  <si>
    <t>Wild Late HR</t>
  </si>
  <si>
    <t>River Mouth Rtn inc B10</t>
  </si>
  <si>
    <t>Mainstem Net</t>
  </si>
  <si>
    <t>Sport above B10</t>
  </si>
  <si>
    <t xml:space="preserve">These values were copied-n-pasted from the coho1106 LL emailed on March 10, 2011; and LL got them from Cindy. </t>
  </si>
  <si>
    <t>Estimated Catch, Mortality, and Escapement of Early and Late Columbia R. Coho, 2015.</t>
  </si>
  <si>
    <t>In-river Harvest Rate</t>
  </si>
  <si>
    <t>Lower River Coho</t>
  </si>
  <si>
    <t>Upriver Coho</t>
  </si>
  <si>
    <t xml:space="preserve">        Lower River Coho</t>
  </si>
  <si>
    <t>Total OPITT Abundance</t>
  </si>
  <si>
    <t>River Mouth Runsize (includes Buoy 10)</t>
  </si>
  <si>
    <t>Non-US v OR Catch and Mortality (Alaska and Canada)</t>
  </si>
  <si>
    <t>Buoy 10 Catch &amp; Mortality</t>
  </si>
  <si>
    <t xml:space="preserve">Treaty Troll Catch and Mortality </t>
  </si>
  <si>
    <t>US v OR Ocean Abundance</t>
  </si>
  <si>
    <t xml:space="preserve">Mainstem Sport </t>
  </si>
  <si>
    <t xml:space="preserve">Nontreaty Ocean Catch and Mortality </t>
  </si>
  <si>
    <t>Aug. Commercial Catch</t>
  </si>
  <si>
    <t>Run to Buoy 10</t>
  </si>
  <si>
    <t>Late-Sept. Commercial Catch</t>
  </si>
  <si>
    <t>Oct. Commercial Catch</t>
  </si>
  <si>
    <t>Run Exiting Buoy 10</t>
  </si>
  <si>
    <t>Total Columbia Catch and Mortality</t>
  </si>
  <si>
    <t>Total Ocean US v OR and</t>
  </si>
  <si>
    <t>Columbia Catch and Mortality</t>
  </si>
  <si>
    <t xml:space="preserve"> US v OR  Area Ocean Abundance of Upriver Coho (less nat. mort)</t>
  </si>
  <si>
    <t>Bonneville Dam Count</t>
  </si>
  <si>
    <t>Zone 6 Sport</t>
  </si>
  <si>
    <t>Bonneville Dam Count Percent of Ocean Abundance</t>
  </si>
  <si>
    <t>UNMARKED ONLY</t>
  </si>
  <si>
    <t>Total Early</t>
  </si>
  <si>
    <t>Total Late</t>
  </si>
  <si>
    <t>Lower Early</t>
  </si>
  <si>
    <t>Lower Late</t>
  </si>
  <si>
    <t>Upper Early</t>
  </si>
  <si>
    <t>Upper Late</t>
  </si>
  <si>
    <t>Mortality and Escapement</t>
  </si>
  <si>
    <t xml:space="preserve">     Ocean+B10</t>
  </si>
  <si>
    <t xml:space="preserve">     Lower Col  Net&amp;Spt</t>
  </si>
  <si>
    <t xml:space="preserve">     Escapement</t>
  </si>
  <si>
    <t xml:space="preserve">     Total</t>
  </si>
  <si>
    <t xml:space="preserve">  </t>
  </si>
  <si>
    <t>ER:</t>
  </si>
  <si>
    <t>In-river HR</t>
  </si>
  <si>
    <t>INPUT FORECASTS:</t>
  </si>
  <si>
    <t>ABUNDANCE:</t>
  </si>
  <si>
    <t>TOTAL from OPITT</t>
  </si>
  <si>
    <t>Note:</t>
  </si>
  <si>
    <t>These are from linked 'FramScalarsOPIstyle' spreadsheet.</t>
  </si>
  <si>
    <t xml:space="preserve">  Lower River</t>
  </si>
  <si>
    <t xml:space="preserve">  Upriver</t>
  </si>
  <si>
    <t>TOTAL FROM FRAM (starting pop.Jan1)</t>
  </si>
  <si>
    <t>Pop Stat Rpt</t>
  </si>
  <si>
    <t xml:space="preserve">  unmarked</t>
  </si>
  <si>
    <t xml:space="preserve">  marked</t>
  </si>
  <si>
    <t>TOTAL AFTER ADJ. TO FRAM (Jan 1)</t>
  </si>
  <si>
    <t>MR</t>
  </si>
  <si>
    <t>INPUT CATCHES:</t>
  </si>
  <si>
    <t>MARK RATE:</t>
  </si>
  <si>
    <t>LOWER RIVER</t>
  </si>
  <si>
    <t xml:space="preserve">UPRIVER </t>
  </si>
  <si>
    <t>Updated Model Run</t>
  </si>
  <si>
    <t>Model Description</t>
  </si>
  <si>
    <t>Base Run</t>
  </si>
  <si>
    <t>Staff</t>
  </si>
  <si>
    <t>Stock Name</t>
  </si>
  <si>
    <t>Old Value</t>
  </si>
  <si>
    <t>New Value</t>
  </si>
  <si>
    <t>MSF
Bias
Corr</t>
  </si>
  <si>
    <t>WA
Coastal
Iter</t>
  </si>
  <si>
    <t>Description (Grey Highlight = Negotiated Change)</t>
  </si>
  <si>
    <t>BPfBPa.cmd</t>
  </si>
  <si>
    <t>Base Period Fisheries with Base Period Abundances</t>
  </si>
  <si>
    <t>M Bellman</t>
  </si>
  <si>
    <t>Note: Updates to sheet "2" like post-season run, Skagit region, -99 Tami, -99 WACoastTerminal</t>
  </si>
  <si>
    <t>Base Period fisheries and Base Period abundances. Useful for several types of investigations.  Used most recent year NALF TAMM file format (2022), with Tami fishery inputs flagged -99 to not use in FRAM as inputs, -99 WACoastTerminal sheet, sheet 2 updates for Skagit non-FRAM fisheries.  Updated to most recent version of BP agreed-to and used by co-managers during preseason modeling (2/6/2019 M. Bellman)</t>
  </si>
  <si>
    <t>BP22.cmd</t>
  </si>
  <si>
    <t>Base Period Fisheries with 2022 US Forecasts</t>
  </si>
  <si>
    <t>2022 US Forecasts + Base Period Fisheries</t>
  </si>
  <si>
    <t>For STT Pre-season I Report - (2/23/22 M Bellman). US 2022 agreed-to forecasts were loaded into a model run with Base Period fisheries.  Run with current year TAMM file, -99 Tami, -99 WACoastTerminal sheet, sheet 2 updates for Skagit non-FRAM fisheries.  Note: MSF Bias correction and WA Coastal Iterations were NOT used.  Canadian abundances are represented using 2021 preseason scalars.  Canadian forecasts for 2022 are typically provided in March, prior to the NOF #2 meeting.  Base Period fisheries everywhere including Alaska.  NOTE: Alaska stock Abundance Scalars also set at a Base level (unmarked 1.9 and marked 0.1) to balance Alaska Base Abundance fisheries.  Why?  Because we don't know what Alaska forecasts are.  Updated to most recent version of BP agreed-to and used by co-managers during preseason modeling (2/6/2019 M. Bellman)</t>
  </si>
  <si>
    <t>bc-Coho2200_NALF</t>
  </si>
  <si>
    <t>bc-Coho2140_Final + TAMM error correction</t>
  </si>
  <si>
    <t>2022 US Forecasts and 2021 Final Fisheries</t>
  </si>
  <si>
    <t>Started with Coho2140_Final, Final 2021 preseason model run with a TAMM input error correction in the Skagit region. Added 2022 US Forecasts (WA+OR, from Puget Sound co-managers and OPITT).  Retained prior 2021 forecasts for Canadian stocks (Stock ID 205-246); Canadian forecasts for 2022 are typically provided in March, prior to the NOF #2 meeting. Run with a proposed 2022 TAMM file, which contained 2021 TAMM inputs/data.</t>
  </si>
  <si>
    <t>bc-Coho2201</t>
  </si>
  <si>
    <t>For Starting March PFMC modeling</t>
  </si>
  <si>
    <t>2022 US Forecasts and 2021 US Fisheries - with 2022 Canadian Proxy Fisheries</t>
  </si>
  <si>
    <t>Canadian Fisheries (FisheryID 167-193)</t>
  </si>
  <si>
    <t xml:space="preserve">To represent proxy 2022 Canadian fisheries, updated Canadian fisheries (FisheryID 167-193) with post-season PSC CoTC fishery inputs from 2020 (FisheryID 171-173,176-181,187-190) and 2018 (FisheryID 167-170,174-175,182-186,191-192), per Canadian CoTC guidance. Updated Flags to 1 or 7 to run inputs as scalars. Corrected forecast units for Queets and Quinault Hatchery stocks in recruit scalers (3/7/22 M Bellman). </t>
  </si>
  <si>
    <t>bc-Coho2202</t>
  </si>
  <si>
    <t>March 10 PFMC Alt 1</t>
  </si>
  <si>
    <t>Council directed, STT Alternative 1</t>
  </si>
  <si>
    <t>K Van de Graaf</t>
  </si>
  <si>
    <t>TT 62,000, NOF 210,000 Sel, SOF 120,000 Sel &amp; 30,000 NonSel, B10 45,000 Sel</t>
  </si>
  <si>
    <t>bc-Coho2203</t>
  </si>
  <si>
    <t>March 10 PFMC Alt 2</t>
  </si>
  <si>
    <t>Council directed, STT Alternative 2</t>
  </si>
  <si>
    <t>TT 52,000, NOF 185,000 Sel, SOF 110,000 Sel &amp; 25,000 NonSel, B10 55,000 Sel</t>
  </si>
  <si>
    <t>bc-Coho2204</t>
  </si>
  <si>
    <t>March 10 PFMC Alt 3</t>
  </si>
  <si>
    <t>Council directed, STT Alternative 3</t>
  </si>
  <si>
    <t>TT 42,000, NOF 160,000 Sel, SOF 100,000 Sel &amp; 20,000 NonSel, B10 65,000 Sel</t>
  </si>
  <si>
    <t>bc-Coho2205</t>
  </si>
  <si>
    <t>March 11 PFMC Alt 1</t>
  </si>
  <si>
    <t>TT 62,000, NOF 210,000 Sel, SOF 100,000 Sel &amp; 20,000 NonSel, B10 45,000 Sel</t>
  </si>
  <si>
    <t>bc-Coho2206</t>
  </si>
  <si>
    <t>March 11 PFMC Alt 2</t>
  </si>
  <si>
    <t>TT 52,000, NOF 185,000 Sel, SOF 97,000 Sel &amp; 20,000 NonSel, B10 55,000 Sel</t>
  </si>
  <si>
    <t>bc-Coho2207</t>
  </si>
  <si>
    <t>March 11 PFMC Alt 3</t>
  </si>
  <si>
    <t>TT 42,000, NOF 160,000 Sel, SOF 95,000 Sel &amp; 17,000 NonSel, B10 65,000 Sel</t>
  </si>
  <si>
    <t>bc-Coho2208</t>
  </si>
  <si>
    <t>March 12 PFMC Alt 1</t>
  </si>
  <si>
    <t>bc-Coho2209</t>
  </si>
  <si>
    <t>March 12 PFMC Alt 2</t>
  </si>
  <si>
    <t>TT 52,000, NOF 185,000 Sel, SOF 97,000 Sel &amp; 18,000 NonSel, B10 55,000 Sel</t>
  </si>
  <si>
    <t>bc-Coho2210</t>
  </si>
  <si>
    <t>March 12 PFMC Alt 3</t>
  </si>
  <si>
    <t>bc-Coho2211</t>
  </si>
  <si>
    <t>March 13 PFMC Alt 1</t>
  </si>
  <si>
    <t>bc-Coho2212</t>
  </si>
  <si>
    <t>March 13 PFMC Alt 2</t>
  </si>
  <si>
    <t>bc-Coho2213</t>
  </si>
  <si>
    <t>March 13 PFMC Alt 3</t>
  </si>
  <si>
    <t>bc-Coho2214</t>
  </si>
  <si>
    <t>March 14 PFMC Alt 1</t>
  </si>
  <si>
    <t>bc-Coho2215</t>
  </si>
  <si>
    <t>March 14 PFMC Alt 2</t>
  </si>
  <si>
    <t>bc-Coho2216</t>
  </si>
  <si>
    <t>March 14 PFMC Alt 3</t>
  </si>
  <si>
    <t>bc-Coho2217_NOF1</t>
  </si>
  <si>
    <t>Final March PFMC Alt 1 + NOF#1</t>
  </si>
  <si>
    <t>March 14 PFMC Alt 1, WACoast 2021, Can 2022 Abund, NOF#1</t>
  </si>
  <si>
    <t>[Policy = Unofficial Model Run]</t>
  </si>
  <si>
    <t>TT 62,000, NOF 210,000 Sel, SOF 100,000 Sel &amp; 20,000 NonSel, B10 45,000 Sel, NOF#1 Initial Proposed 2022 fishery inputs for Puget Sound, Updated Canadian 2022 Abundances per US/Canada Data Exchange Mtg 3/15/22</t>
  </si>
  <si>
    <t>bc-Coho2218_NOF1</t>
  </si>
  <si>
    <t>Final March PFMC Alt 2 + NOF#1</t>
  </si>
  <si>
    <t>March 14 PFMC Alt 2, WACoast 2021, Can 2022 Abund, NOF#1</t>
  </si>
  <si>
    <t>TT 52,000, NOF 185,000 Sel, SOF 97,000 Sel &amp; 18,000 NonSel, B10 55,000 Sel, NOF#1 Initial Proposed 2022 fishery inputs for Puget Sound, Updated Canadian 2022 Abundances per US/Canada Data Exchange Mtg 3/15/22</t>
  </si>
  <si>
    <t>bc-Coho2219_NOF1</t>
  </si>
  <si>
    <t>Final March PFMC Alt 3 + NOF#1</t>
  </si>
  <si>
    <t>March 14 PFMC Alt 3, WACoast 2021, Can 2022 Abund, NOF#1</t>
  </si>
  <si>
    <t>TT 42,000, NOF 160,000 Sel, SOF 95,000 Sel &amp; 17,000 NonSel, B10 65,000 Sel, NOF#1 Initial Proposed 2022 fishery inputs for Puget Sound, Updated Canadian 2022 Abundances per US/Canada Data Exchange Mtg 3/15/22</t>
  </si>
  <si>
    <t>bc-Coho2220_NOF1</t>
  </si>
  <si>
    <t>All runs: Updated agreed-to PS marine spt inputs, corrected FRAM directed inputs FisheryID 44/81/87, Sk regional input update</t>
  </si>
  <si>
    <t>TT 62,000, NOF 210,000 Sel, SOF 100,000 Sel &amp; 20,000 NonSel, B10 45,000 Sel, NOF#1 Initial Proposed 2022 fishery inputs for Puget Sound, Updated Canadian 2022 Abundances per US/Canada Data Exchange Mtg 3/15/22, Updated PS Marine Sport inputs</t>
  </si>
  <si>
    <t>bc-Coho2221_NOF1</t>
  </si>
  <si>
    <t>TT 52,000, NOF 185,000 Sel, SOF 97,000 Sel &amp; 18,000 NonSel, B10 55,000 Sel, NOF#1 Initial Proposed 2022 fishery inputs for Puget Sound, Updated Canadian 2022 Abundances per US/Canada Data Exchange Mtg 3/15/22, Updated PS Marine Sport inputs</t>
  </si>
  <si>
    <t>bc-Coho2222_NOF1</t>
  </si>
  <si>
    <t>TT 42,000, NOF 160,000 Sel, SOF 95,000 Sel &amp; 17,000 NonSel, B10 65,000 Sel, NOF#1 Initial Proposed 2022 fishery inputs for Puget Sound, Updated Canadian 2022 Abundances per US/Canada Data Exchange Mtg 3/15/22, Updated PS Marine Sport inputs</t>
  </si>
  <si>
    <t>bc-Coho2223_STT</t>
  </si>
  <si>
    <t>April 8 PFMC STT+NOF</t>
  </si>
  <si>
    <t>Council directed, STT April PFMC, WACoast 2021, NOF updates</t>
  </si>
  <si>
    <t>TT 52,000, NOF 200,000 Sel, SOF 100,000 Sel &amp; 20,000 NonSel, B10 55,000 Sel, updated Puget Sound fishery inputs, WA Coast terminal remain 2021</t>
  </si>
  <si>
    <t>bc-Coho2224_STT</t>
  </si>
  <si>
    <t>April 10 PFMC STT+NOF</t>
  </si>
  <si>
    <t>TT 52,000, NOF 200,000 Sel, SOF 100,000 Sel &amp; 17,000 NonSel, B10 55,000 Sel, updated Puget Sound fishery inputs, WA Coast terminal remain 2021</t>
  </si>
  <si>
    <t>bc-Coho2225_NOF</t>
  </si>
  <si>
    <t>April 10 PFMC, WACoast 2021 except WillapaB 2022, NOF proposed updates</t>
  </si>
  <si>
    <t>TT 52,000, NOF 200,000 Sel, SOF 100,000 Sel &amp; 17,000 NonSel, B10 55,000 Sel, Puget Sound sport fishery proposal, WA Coast terminal remain 2021 except Willapa Bay</t>
  </si>
  <si>
    <t>April 11 PFMC STT+NOF</t>
  </si>
  <si>
    <t>April 11 PFMC, WA Coast terminal areas 2022 for Queets/Quinault/Willapa Bay, NOF updates</t>
  </si>
  <si>
    <t>K Van de Graaf/M Bellman</t>
  </si>
  <si>
    <t>TT 52,000, NOF 200,000 Sel, SOF 100,000 Sel &amp; 17,000 NonSel, B10 55,000 Sel, Puget Sound sport fishery updates, WA Coast terminal  area 2022 fisheries for Queets/Quinault/Willapa Bay</t>
  </si>
  <si>
    <t>Meeting Associated</t>
  </si>
  <si>
    <t>Posted 
vs Paper</t>
  </si>
  <si>
    <t>Database File</t>
  </si>
  <si>
    <t xml:space="preserve">PFMC Option </t>
  </si>
  <si>
    <t>Derived From</t>
  </si>
  <si>
    <t>Updates/
Comments</t>
  </si>
  <si>
    <t>MSF Bias Correction</t>
  </si>
  <si>
    <t>WA Coast Iteration</t>
  </si>
  <si>
    <t xml:space="preserve">TAMM File Associated </t>
  </si>
  <si>
    <t>Starting 2022 Preseason Planning Proces</t>
  </si>
  <si>
    <t>Posted</t>
  </si>
  <si>
    <t>2022PFMC_NOF_CohoFRAMdatabase_v1.mdb</t>
  </si>
  <si>
    <t>Base Period fisheries and Base Period abundances. Useful for several types of investigations.  Used most recent year preseason NALF TAMM file format (2022), with Tami fishery inputs flagged -99 to not use in FRAM as inputs.  Updated to most recent version of BP agreed-to and used by co-managers during preseason modeling (2/6/2019 M. Bellman)</t>
  </si>
  <si>
    <t>Unknown</t>
  </si>
  <si>
    <t>No</t>
  </si>
  <si>
    <t>CohoBPfisheriesBPabundance.xlsx</t>
  </si>
  <si>
    <t>2/X/2022</t>
  </si>
  <si>
    <t xml:space="preserve">Source: Prepared for STT mtg and Preseason I report, 2022 Preseason process.  This run includes 2022 US Forecasts (WA+OR, from Puget Sound co-managers and OPITT). Retained prior 2021 forecasts for Canadian stocks (Stock ID 205-246); Canadian forecasts for 2022 are typically provided in March, prior to the NOF #2 meeting. </t>
  </si>
  <si>
    <t>CohoBPFisheries_22US_21Can_Forecasts022322.xlsm</t>
  </si>
  <si>
    <t>bc-Coho1925</t>
  </si>
  <si>
    <t>bc-Coho1924_Final</t>
  </si>
  <si>
    <t>Final 2019 Preseason model run</t>
  </si>
  <si>
    <t>PFMC April Final 2019 Approved Ocean Package (and Co-manager agreement on Puget Sound fisheries)</t>
  </si>
  <si>
    <t>Yes</t>
  </si>
  <si>
    <t>Coho1925_CRupdate_wSht1.xlsx</t>
  </si>
  <si>
    <t>bc-Coho2032</t>
  </si>
  <si>
    <t>bc-Coho2031</t>
  </si>
  <si>
    <t>Final 2020 Preseason model run</t>
  </si>
  <si>
    <t xml:space="preserve">PFMC April Final 2020 Approved Ocean Package and Co-manager agreement on Puget Sound fisheries. </t>
  </si>
  <si>
    <t>Coho2032_041020_STTNOF_Final.xlsx</t>
  </si>
  <si>
    <t>bc-Coho2140_Final</t>
  </si>
  <si>
    <t>bc-Coho2138b_STTNOF</t>
  </si>
  <si>
    <t>Final 2021 Preseason model run</t>
  </si>
  <si>
    <t>PFMC April Final 2021 Approved Ocean Package and Co-manager agreement on Puget Sound fisheries. The model results are incorporated in the Preseason III report and Agenda Item D.6.a.</t>
  </si>
  <si>
    <t>Coho2140_CRwSht1_041621.xlsx</t>
  </si>
  <si>
    <t>bc-BKCoho2020_A_2_c</t>
  </si>
  <si>
    <t>Post-season PSC CoTC 2020 model run</t>
  </si>
  <si>
    <t>Source: PSC Coho Technical Committee; PSC Annual Mtg, February 2022.</t>
  </si>
  <si>
    <t>BKCoho2020_A_2_c_wColR_Final.xlsx</t>
  </si>
  <si>
    <t>Coho2200_NALF_02XX22.xlsx</t>
  </si>
  <si>
    <t>Starting March 2022 PFMC</t>
  </si>
  <si>
    <t>Coho2201_NALF_wCanFish_030722.xlsx</t>
  </si>
  <si>
    <t>March PFMC 2022</t>
  </si>
  <si>
    <t>NewModelRunTransfer6_Coho2202_2203_2204.mdb</t>
  </si>
  <si>
    <t xml:space="preserve">Alt 1-High </t>
  </si>
  <si>
    <t>PFMC March 2022 Alternative 1 (TT 62,000, NOF 210,000 Sel, SOF 120,000 Sel &amp; 30,000 NonSel, B10 45,000 Sel) and 2021 NOF Fisheries</t>
  </si>
  <si>
    <t>See March PFMC Briefing Book: Agenda Item D.4.a Supplemental STT Report: https://www.pcouncil.org/documents/2022/03/d-4-a-supplemental-stt-report-1-collation-of-preliminary-salmon-management-alternatives-for-2022-ocean-fisheries.pdf/</t>
  </si>
  <si>
    <t>Coho2202_031022.xlsx</t>
  </si>
  <si>
    <t>Alt 2-Mid</t>
  </si>
  <si>
    <t>PFMC March 2022 Alternative 2 (TT 52,000, NOF 185,000 Sel, SOF 110,000 Sel &amp; 25,000 NonSel, B10 55,000 Sel) and 2021 NOF Fisheries</t>
  </si>
  <si>
    <t>Coho2203_031022.xlsx</t>
  </si>
  <si>
    <t>Alt 3-Low</t>
  </si>
  <si>
    <t>PFMC March 2022 Alternative 3 (TT 42,000, NOF 160,000 Sel, SOF 100,000 Sel &amp; 20,000 NonSel, B10 65,000 Sel) and 2021 NOF Fisheries</t>
  </si>
  <si>
    <t>Coho2204_031022.xlsx</t>
  </si>
  <si>
    <t>NewModelRunTransfer6_Coho2205_2206_2207.mdb</t>
  </si>
  <si>
    <t>PFMC March 2022 Alternative 1 (TT 62,000, NOF 210,000 Sel, SOF 100,000 Sel &amp; 20,000 NonSel, B10 45,000 Sel) and 2021 NOF Fisheries</t>
  </si>
  <si>
    <t>See March PFMC Briefing Book: Agenda Item D.5.a Supplemental STT Report: https://www.pcouncil.org/documents/2022/03/d-5-a-supplemental-stt-report-1-collation-of-preliminary-salmon-management-alternatives-for-2022-ocean-fisheries-03-12-2022.pdf/</t>
  </si>
  <si>
    <t>Coho2205_031122.xlsx</t>
  </si>
  <si>
    <t>PFMC March 2022 Alternative 2 (TT 52,000, NOF 185,000 Sel, SOF 97,000 Sel &amp; 20,000 NonSel, B10 55,000 Sel) and 2021 NOF Fisheries</t>
  </si>
  <si>
    <t>Coho2206_031122.xlsx</t>
  </si>
  <si>
    <t>PFMC March 2022 Alternative 3 (TT 42,000, NOF 160,000 Sel, SOF 95,000 Sel &amp; 17,000 NonSel, B10 65,000 Sel) and 2021 NOF Fisheries</t>
  </si>
  <si>
    <t>Coho2207_031122.xlsx</t>
  </si>
  <si>
    <t>NewModelRunTransfer6_Coho2208_2209_2210.mdb</t>
  </si>
  <si>
    <t>See March PFMC Briefing Book: Agenda Item D.6.a Supplemental STT Report: https://www.pcouncil.org/documents/2022/03/d-6-a-supplemental-stt-report-1-collation-of-preliminary-salmon-management-alternatives-for-2022-ocean-fisheries-03-13-2022.pdf/</t>
  </si>
  <si>
    <t>Coho2208_031222.xlsx</t>
  </si>
  <si>
    <t>PFMC March 2022 Alternative 2 (TT 52,000, NOF 185,000 Sel, SOF 97,000 Sel &amp; 18,000 NonSel, B10 55,000 Sel) and 2021 NOF Fisheries</t>
  </si>
  <si>
    <t>Coho2209_031222.xlsx</t>
  </si>
  <si>
    <t>Coho2210_031222.xlsx</t>
  </si>
  <si>
    <t>NewModelRunTransfer6_Coho2211_2212_2213.mdb</t>
  </si>
  <si>
    <t>See March PFMC Briefing Book: Agenda Item D.7.a Supplemental STT Report: https://www.pcouncil.org/documents/2022/03/d-7-a-supplemental-stt-report-1-analysis-of-preliminary-salmon-management-alternatives-for-2022-ocean-fisheries.pdf/</t>
  </si>
  <si>
    <t>Coho2211_031322.xlsx</t>
  </si>
  <si>
    <t>Coho2212_031322.xlsx</t>
  </si>
  <si>
    <t>Coho2213_031322.xlsx</t>
  </si>
  <si>
    <t>March PFMC 2022 - Final</t>
  </si>
  <si>
    <t>NewModelRunTransfer6_Coho2214_2215_2216.mdb</t>
  </si>
  <si>
    <t>See the PFMC STT Preseason II Report: https://www.pcouncil.org/documents/2022/03/2022-preseason-report-ii.pdf/</t>
  </si>
  <si>
    <t>Coho2214_031422.xlsx</t>
  </si>
  <si>
    <t>Coho2215_031422.xlsx</t>
  </si>
  <si>
    <t>Coho2216_031422.xlsx</t>
  </si>
  <si>
    <t>NOF#1 2022 [*Unofficial*]</t>
  </si>
  <si>
    <t>ModelRunTransfer6_Coho2217_2218_2219.mdb [*Unofficial*]</t>
  </si>
  <si>
    <t>PFMC March 2022 Alternative 1 (TT 62,000, NOF 210,000 Sel, SOF 100,000 Sel &amp; 20,000 NonSel, B10 45,000 Sel) and 2022 NOF Fisheries - Unofficial</t>
  </si>
  <si>
    <t>Updated Canadian 2022 Abundances, per US/Canada Data Exchange Mtg 3/15/22, Updated NOF#1 Initial Proposed Puget Sound Fishery Inputs  [Policy = *Unofficial Model Run*]</t>
  </si>
  <si>
    <t>Coho2217_NOF1_031622_Final.xlsx</t>
  </si>
  <si>
    <t>PFMC March 2022 Alternative 2 (TT 52,000, NOF 185,000 Sel, SOF 97,000 Sel &amp; 18,000 NonSel, B10 55,000 Sel) and 2022 NOF Fisheries - Unofficial</t>
  </si>
  <si>
    <t>Coho2218_NOF1_031622_Final.xlsx</t>
  </si>
  <si>
    <t>PFMC March 2022 Alternative 3 (TT 42,000, NOF 160,000 Sel, SOF 95,000 Sel &amp; 17,000 NonSel, B10 65,000 Sel) and 2022 NOF Fisheries - Unofficial</t>
  </si>
  <si>
    <t>Coho2219_NOF1_031622_Final.xlsx</t>
  </si>
  <si>
    <t>NOF#1 2022 - Final</t>
  </si>
  <si>
    <t>NewModelRunTransfer6_Coho2220_2221_2222.mdb</t>
  </si>
  <si>
    <t>PFMC March 2022 Alternative 1 (TT 62,000, NOF 210,000 Sel, SOF 100,000 Sel &amp; 20,000 NonSel, B10 45,000 Sel) and 2022 NOF Fisheries</t>
  </si>
  <si>
    <t>Updated Canadian 2022 Abundances, per US/Canada Data Exchange Mtg 3/15/22, Updated NOF#1 Updated (Agreed-to) Puget Sound Fishery Inputs</t>
  </si>
  <si>
    <t>Coho2220_NOF1_032822.xlsx</t>
  </si>
  <si>
    <t>PFMC March 2022 Alternative 2 (TT 52,000, NOF 185,000 Sel, SOF 97,000 Sel &amp; 18,000 NonSel, B10 55,000 Sel) and 2022 NOF Fisheries</t>
  </si>
  <si>
    <t>Coho2221_NOF1_032822.xlsx</t>
  </si>
  <si>
    <t>PFMC March 2022 Alternative 3 (TT 42,000, NOF 160,000 Sel, SOF 95,000 Sel &amp; 17,000 NonSel, B10 65,000 Sel) and 2022 NOF Fisheries</t>
  </si>
  <si>
    <t>Coho2222_NOF1_032822.xlsx</t>
  </si>
  <si>
    <t>April PFMC 2021</t>
  </si>
  <si>
    <t>NewModelRunTransfer6_STTNOF_040821.mdb</t>
  </si>
  <si>
    <t>bc-Coho2123a_STTNOF</t>
  </si>
  <si>
    <t>Alt 1a QTA+NOF2</t>
  </si>
  <si>
    <t>bc-Coho2120a_NOF2</t>
  </si>
  <si>
    <t>PFMC April 2021 Alternative from Option 1a, WA Coast Term 2020 Fisheries except Queets terminal 2021 drafts, 2021 NOF2 Puget Sound Fisheries</t>
  </si>
  <si>
    <t>See April PFMC Briefing Book: Agenda Item D.3.a Supplemental STT Report: https://www.pcouncil.org/documents/2021/04/d-3-a-supplemental-stt-report-1-preliminary-analysis-of-tentative-2021-ocean-salmon-fishery-management-measures.pdf/</t>
  </si>
  <si>
    <t>Coho2123a_STTNOF_CRtransfer.xlsx</t>
  </si>
  <si>
    <t>bc-Coho2123b_STTNOF</t>
  </si>
  <si>
    <t>Alt 1b MT+NOF2</t>
  </si>
  <si>
    <t>bc-Coho2120b_NOF2</t>
  </si>
  <si>
    <t>PFMC April 2021 Alternative from Option 1b, WA Coast Term 2020 Fisheries except Queets terminal 2021 drafts, 2021 NOF2 Puget Sound Fisheries</t>
  </si>
  <si>
    <t>Coho2123b_STTNOF_CRtransfer.xlsx</t>
  </si>
  <si>
    <t>bc-Coho2124a_STTNOF</t>
  </si>
  <si>
    <t>Alt 2a QTA+NOF2</t>
  </si>
  <si>
    <t>bc-Coho2121a_NOF2</t>
  </si>
  <si>
    <t>PFMC April 2021 Alternative from Option 2a, WA Coast Term 2020 Fisheries except Queets terminal 2021 drafts, 2021 NOF2 Puget Sound Fisheries</t>
  </si>
  <si>
    <t>Coho2124a_STTNOF_CRtransfer.xlsx</t>
  </si>
  <si>
    <t>bc-Coho2124b_STTNOF</t>
  </si>
  <si>
    <t>Alt 2b MT+NOF2</t>
  </si>
  <si>
    <t>bc-Coho2121b_NOF2</t>
  </si>
  <si>
    <t>PFMC April 2021 Alternative from Option 2b, WA Coast Term 2020 Fisheries except Queets terminal 2021 drafts, 2021 NOF2 Puget Sound Fisheries</t>
  </si>
  <si>
    <t>Coho2124b_STTNOF_CRtransfer.xlsx</t>
  </si>
  <si>
    <t>bc-Coho2125_STTNOF</t>
  </si>
  <si>
    <t>Alt 3a+b +NOF2</t>
  </si>
  <si>
    <t>bc-Coho2122_NOF2</t>
  </si>
  <si>
    <t>PFMC April 2021 Alternative from Option 3, WA Coast Term 2020 Fisheries except Queets terminal 2021 drafts, 2021 NOF2 Puget Sound Fisheries</t>
  </si>
  <si>
    <t>Coho2125_STTNOF_CRtransfer.xlsx</t>
  </si>
  <si>
    <t>NewModelRunTransfer6_STTNOF_041221.mdb</t>
  </si>
  <si>
    <t>bc-Coho2126a_STTNOF</t>
  </si>
  <si>
    <t>Alt 1a QTA+NOF</t>
  </si>
  <si>
    <t>PFMC April 2021 Alternative from Option 1a, WA Coast Term 2020 Fisheries except Queets/Quillayute/Hoh terminal 2021 drafts, 2021 NOF Puget Sound Fisheries revised</t>
  </si>
  <si>
    <t>See April PFMC Briefing Book: Agenda Item D.5.a Supplemental STT Report I: https://www.pcouncil.org/documents/2021/04/d-5-a-supplemental-stt-report-1-preliminary-analysis-of-tentative-2021-ocean-salmon-fishery-management-measures.pdf/</t>
  </si>
  <si>
    <t>Coho2126a_STTNOF_CRtransfer.xlsx</t>
  </si>
  <si>
    <t>bc-Coho2126b_STTNOF</t>
  </si>
  <si>
    <t>Alt 1b MT+NOF</t>
  </si>
  <si>
    <t>PFMC April 2021 Alternative from Option 1b, WA Coast Term 2020 Fisheries except Queets/Quillayute/Hoh terminal 2021 drafts, 2021 NOF Puget Sound Fisheries revised</t>
  </si>
  <si>
    <t>Coho2126b_STTNOF_CRtransfer.xlsx</t>
  </si>
  <si>
    <t>bc-Coho2127a_STTNOF</t>
  </si>
  <si>
    <t>Alt 2a QTA+NOF</t>
  </si>
  <si>
    <t>PFMC April 2021 Alternative from Option 2a, WA Coast Term 2020 Fisheries except Queets/Quillayute/Hoh terminal 2021 drafts, 2021 NOF Puget Sound Fisheries revised</t>
  </si>
  <si>
    <t>Coho2127a_STTNOF_CRtransfer.xlsx</t>
  </si>
  <si>
    <t>bc-Coho2128a_STTNOF</t>
  </si>
  <si>
    <t>Alt 3a MT+NOF</t>
  </si>
  <si>
    <t>PFMC April 2021 Alternative from Option 3a, WA Coast Term 2020 Fisheries except Queets/Quillayute/Hoh terminal 2021 drafts, 2021 NOF Puget Sound Fisheries revised</t>
  </si>
  <si>
    <t>Coho2128a_STTNOF_CRtransfer.xlsx</t>
  </si>
  <si>
    <t>NewModelRunTransfer6_STT_041321.mdb</t>
  </si>
  <si>
    <t>bc-Coho2129a_STT</t>
  </si>
  <si>
    <t>Alt 1a QTA</t>
  </si>
  <si>
    <t>PFMC April 2021 Alternative from Option 1a, WA Coast Term 2020 Fisheries except Queets/Quillayute/Hoh terminal 2021 drafts, 2021 NOF Puget Sound Fisheries</t>
  </si>
  <si>
    <t>See April PFMC Briefing Book: Agenda Item D.5.a Supplemental STT Report 2: https://www.pcouncil.org/documents/2021/04/d-5-a-supplemental-stt-report-2-preliminary-analysis-of-tentative-2021-ocean-salmon-fishery-management-measures.pdf/</t>
  </si>
  <si>
    <t>Coho2129a_STTNOF_CRtransfer.xlsx</t>
  </si>
  <si>
    <t>bc-Coho2129b_STT</t>
  </si>
  <si>
    <t>Alt 1b MT</t>
  </si>
  <si>
    <t>PFMC April 2021 Alternative from Option 1b, WA Coast Term 2020 Fisheries except Queets/Quillayute/Hoh terminal 2021 drafts, 2021 NOF Puget Sound Fisheries</t>
  </si>
  <si>
    <t>Coho2129b_STTNOF_CRtransfer.xlsx</t>
  </si>
  <si>
    <t>bc-Coho2130a_STT</t>
  </si>
  <si>
    <t>Alt 2a QTA</t>
  </si>
  <si>
    <t>Coho2130a_STTNOF_CRtransfer.xlsx</t>
  </si>
  <si>
    <t>bc-Coho2131a_STT</t>
  </si>
  <si>
    <t>Alt 3a MT</t>
  </si>
  <si>
    <t>PFMC April 2021 Alternative from Option 3a, WA Coast Term 2020 Fisheries except Queets/Quillayute/Hoh terminal 2021 drafts, 2021 NOF Puget Sound Fisheries</t>
  </si>
  <si>
    <t>Coho2131a_STTNOF_CRtransfer.xlsx</t>
  </si>
  <si>
    <t>bc-Coho2132a_STT</t>
  </si>
  <si>
    <t>Alt 1a QTA + NOF</t>
  </si>
  <si>
    <t>PFMC April 2021 Alternative from Option 1a, WA Coast Term 2021 Draft Fisheries except Grays Harbor, 2021 NOF Puget Sound Fisheries revised</t>
  </si>
  <si>
    <t>See April PFMC Briefing Book: Agenda Item D.6.a Supplemental STT Report: https://www.pcouncil.org/documents/2021/04/d-6-a-supplemental-stt-report-1-stt-analysis-of-tentative-2021-ocean-salmon-fishery-management-measures.pdf/</t>
  </si>
  <si>
    <t>Coho2132a_STTNOF_CRtransfer.xlsx</t>
  </si>
  <si>
    <t>bc-Coho2132b_STT</t>
  </si>
  <si>
    <t>Alt 1b MT+ NOF</t>
  </si>
  <si>
    <t>PFMC April 2021 Alternative from Option 1b, WA Coast Term 2021 Draft Fisheries except Grays Harbor, 2021 NOF Puget Sound Fisheries revised</t>
  </si>
  <si>
    <t>Coho2132b_STTNOF_CRtransfer.xlsx</t>
  </si>
  <si>
    <t>bc-Coho2133a_STT</t>
  </si>
  <si>
    <t>Alt 2a QTA + NOF</t>
  </si>
  <si>
    <t>PFMC April 2021 Alternative from Option 2a, WA Coast Term 2021 Draft Fisheries except Grays Harbor, 2021 NOF Puget Sound Fisheries revised</t>
  </si>
  <si>
    <t>Coho2133a_STTNOF_CRtransfer.xlsx</t>
  </si>
  <si>
    <t>bc-Coho2134a_STT</t>
  </si>
  <si>
    <t>Alt 3a MT + NOF</t>
  </si>
  <si>
    <t>PFMC April 2021 Alternative from Option 3a, WA Coast Term 2021 Draft Fisheries except Grays Harbor, 2021 NOF Puget Sound Fisheries revised</t>
  </si>
  <si>
    <t>Coho2134a_STTNOF_CRtransfer.xlsx</t>
  </si>
  <si>
    <t>NewModelRunTransfer6_Coho2135-2137_NOF_041421.mdb</t>
  </si>
  <si>
    <t>bc-Coho2135_NOF</t>
  </si>
  <si>
    <t>PFMC April 2021 1a QTA revised, WA Coast Term 2021 Draft Fisheries except Grays Harbor</t>
  </si>
  <si>
    <t>Coho2135_NOF_041421.xlsx</t>
  </si>
  <si>
    <t>bc-Coho2136_NOF</t>
  </si>
  <si>
    <t>PFMC April 2021 1b MT revised, WA Coast Term 2021 Draft Fisheries except Grays Harbor</t>
  </si>
  <si>
    <t>Coho2136_NOF_041421.xlsx</t>
  </si>
  <si>
    <t>bc-Coho2137_NOF</t>
  </si>
  <si>
    <t>PFMC April 2021 2a QTA revised, WA Coast Term 2021 Draft Fisheries except Grays Harbor</t>
  </si>
  <si>
    <t>Coho2137_NOF_041421.xlsx</t>
  </si>
  <si>
    <t>NewModelRunTransfer6_STTNOF_041521.mdb</t>
  </si>
  <si>
    <t>bc-Coho2138a_STTNOF</t>
  </si>
  <si>
    <t>PFMC April 2021 1a QTA revised, WA Coast Term 2021 Draft Fisheries + NOF Puget Sound revised</t>
  </si>
  <si>
    <t>Coho2138a_STTNOF_041521.xlsx</t>
  </si>
  <si>
    <t>PFMC April 2021 1b MT revised, WA Coast Term 2021 Draft Fisheries + NOF Puget Sound revised</t>
  </si>
  <si>
    <t>Coho2138b_STTNOF_041521.xlsx</t>
  </si>
  <si>
    <t>bc-Coho2139a_STTNOF</t>
  </si>
  <si>
    <t>bc-Coho2139a_STT</t>
  </si>
  <si>
    <t>PFMC April 2021 2a QTA revised, WA Coast Term 2021 Draft Fisheries + NOF Puget Sound revised</t>
  </si>
  <si>
    <t>Coho2139a_STTNOF_041521.xlsx</t>
  </si>
  <si>
    <t>April PFMC 2021 - FINAL</t>
  </si>
  <si>
    <t>NewModelRunTransfer6_Coho2140_Final_041621.mdb</t>
  </si>
  <si>
    <t>Final Approved Ocean Package + Co-manager Puget Sound fisheries</t>
  </si>
  <si>
    <t>PFMC April Final 2021 Approved Ocean Package 
(and Co-manager agreement on Puget Sound fisheries)</t>
  </si>
  <si>
    <t>Starting 2021 Preseason Planning Proces</t>
  </si>
  <si>
    <t>2021PFMC_NOF_CohoFRAMdatabase_v1.mdb</t>
  </si>
  <si>
    <t>Base Period fisheries and Base Period abundances. Useful for several types of investigations.  Used most recent year preseason final TAMM file format (2020), with Tami fishery inputs flagged -99 to not use in FRAM as inputs.  Updated to most recent version of BP agreed-to and used by co-managers during preseason modeling (2/6/2019 M. Bellman)</t>
  </si>
  <si>
    <t>BP21.cmd</t>
  </si>
  <si>
    <t>Base Period Fisheries with 2021 US Forecasts</t>
  </si>
  <si>
    <t xml:space="preserve">Source: Prepared for STT mtg and Preseason I report, 2021 Preseason process.  This run includes 2021 US Forecasts (WA+OR, from Puget Sound co-managers and OPITT). Retained prior 2020 forecasts for Canadian stocks (Stock ID 205-246); Canadian forecasts for 2021 are typically provided in March, prior to the NOF #2 meeting. </t>
  </si>
  <si>
    <t>CohoBPFisheries_21US_20Can_Forecasts022221.xlsm</t>
  </si>
  <si>
    <t>bc-Coho1830 Final</t>
  </si>
  <si>
    <t>Final 2018 Preseason model run</t>
  </si>
  <si>
    <t>PFMC April Final 2018 Approved Ocean Package (and Co-manager agreement on Puget Sound fisheries)</t>
  </si>
  <si>
    <t>Coho1830_Final.xlsm</t>
  </si>
  <si>
    <t>PFMC April Final 2020 Approved Ocean Package 
(and Co-manager agreement on Puget Sound fisheries)</t>
  </si>
  <si>
    <t>bc-BKCoho2019_A_2_d</t>
  </si>
  <si>
    <t>Post-season PSC 2019 model run</t>
  </si>
  <si>
    <t>Source: PSC Coho Technical Committee; PSC Annual Mtg, February 2021.</t>
  </si>
  <si>
    <t>BKCoho2019_v3d_postseason_wColRrv_Final.xlsx</t>
  </si>
  <si>
    <t>bc-Coho2100_NALF</t>
  </si>
  <si>
    <t>2021 US Forecasts and 2020 Final Fisheries</t>
  </si>
  <si>
    <t>Started with Coho2032, Final 2020 preseason model run. Added 2021 US Forecasts (WA+OR, from Puget Sound co-managers and OPITT).  Retained prior 2020 forecasts for Canadian stocks (Stock ID 205-246); Canadian forecasts for 2020 are typically provided in March, prior to the NOF #2 meeting. Run with a proposed 2021 TAMM file, which contained final 2020 TAMM inputs/data.</t>
  </si>
  <si>
    <t>Coho2100_NALF_022221.xlsx</t>
  </si>
  <si>
    <t>Starting March 2021 PFMC</t>
  </si>
  <si>
    <t>ModelRunTransfer6_Coho2101.mdb</t>
  </si>
  <si>
    <t>bc-Coho2101</t>
  </si>
  <si>
    <t>2021 US Forecasts and 2020 US Fisheries - with 2021 Canadian Proxy Fisheries</t>
  </si>
  <si>
    <r>
      <t xml:space="preserve">To represent proxy 2021 Canadian fisheries, updated Canadian fisheries (FisheryID 167-193) with post-season 2019 PSC CoTC fishery inputs, except Johnstone Strait Troll (FisheryID 170) post-season 2018,  Johnstone Strait Net (FisheryID 182) post-season 2016 inputs, No BC Sport and No BC Troll (FisheryID 187, 171) with approx half of post-season 2019 scalers (target catch ~90,000 and ~30,000), NGaStr Spt (FisheryID 191) Sept fishery scaler increase (target ~4500). Updated Flags to 1 or 7 to run inputs as scalars (3/4/21 M Bellman). </t>
    </r>
    <r>
      <rPr>
        <sz val="12"/>
        <rFont val="Times New Roman"/>
        <family val="1"/>
      </rPr>
      <t xml:space="preserve">Started with Coho2100_NALF.  Run with a proposed 2021 TAMM file.  </t>
    </r>
  </si>
  <si>
    <t>Coho2100_NALF_wCanFish_030421.xlsx</t>
  </si>
  <si>
    <t>March PFMC 2021</t>
  </si>
  <si>
    <t>NewModelRunTransfer6_Coho2102a_2103a_2104a.mdb; NewModelRunTransfer6_Coho2102b_2103b_2104b.mdb</t>
  </si>
  <si>
    <t>bc-Coho2102a</t>
  </si>
  <si>
    <t>Alt 1-High QTA</t>
  </si>
  <si>
    <t>PFMC March 2021 Alternative (TT 16.5K, NT NOF 120K, SOF 140K Sel 15.5K NonSel, B10 70K Sel) and 2020NOF Fisheries</t>
  </si>
  <si>
    <t>See March PFMC Briefing Book: Agenda Item E.5.a Supplemental STT Report:  https://www.pcouncil.org/documents/2021/03/e-5-a-supplemental-stt-report-1-collation-of-preliminary-salmon-management-alternatives-for-2021-ocean-fisheries.pdf/</t>
  </si>
  <si>
    <t>Coho2102a.xlsx</t>
  </si>
  <si>
    <t>bc-Coho2103a</t>
  </si>
  <si>
    <t>Alt 2-Mid QTA</t>
  </si>
  <si>
    <t>PFMC March 2021 Alternative (TT 10K, NT NOF 110K, SOF 120K Sel 15K NonSel, B10 80K Sel) and 2020NOF Fisheries</t>
  </si>
  <si>
    <t>Coho2103a.xlsx</t>
  </si>
  <si>
    <t>bc-Coho2104a</t>
  </si>
  <si>
    <t>Alt 3-Low QTA</t>
  </si>
  <si>
    <t>PFMC March 2021 Alternative (TT 0, NT NOF 0, SOF 110K Sel 11K NonSel, B10 110K Sel) and 2020NOF Fisheries</t>
  </si>
  <si>
    <t>Coho2104a.xlsx</t>
  </si>
  <si>
    <t>bc-Coho2102b</t>
  </si>
  <si>
    <t>Alt 1-High MT</t>
  </si>
  <si>
    <t>PFMC March 2021 Alternative (TT 50K, NT NOF 120K, SOF 140K Sel 15.5K NonSel, B10 70K Sel) and 2020NOF Fisheries</t>
  </si>
  <si>
    <t>Coho2102b.xlsx</t>
  </si>
  <si>
    <t>bc-Coho2103b</t>
  </si>
  <si>
    <t>Alt 2-Mid MT</t>
  </si>
  <si>
    <t>PFMC March 2021 Alternative (TT 35K, NT NOF 110K, SOF 120K Sel 15K NonSel, B10 80K Sel) and 2020NOF Fisheries</t>
  </si>
  <si>
    <t>Coho2103b.xlsx</t>
  </si>
  <si>
    <t>bc-Coho2104b</t>
  </si>
  <si>
    <t>Alt 3-Low MT</t>
  </si>
  <si>
    <t>Coho2104b.xlsx</t>
  </si>
  <si>
    <t>NewModelRunTransfer6_Coho2105a_2106a_2107a.mdb; NewModelRunTransfer6_Coho2105b_2106b_2107b.mdb</t>
  </si>
  <si>
    <t>bc-Coho2105a</t>
  </si>
  <si>
    <t>PFMC March 2021 Alternative (TT 16.5K, NT NOF 120K, SOF 140K Sel 15.5K NonSel, B10 70K Sel) and 2020NOF Fisheries, effort changes SOF</t>
  </si>
  <si>
    <t>See March PFMC Briefing Book: Agenda Item E.6.a Supplemental STT Report:  https://www.pcouncil.org/documents/2021/03/e-6-a-supplemental-stt-report-1-collation-of-preliminary-salmon-management-alternatives-for-2021-ocean-fisheries.pdf/</t>
  </si>
  <si>
    <t>Coho2105a.xlsx</t>
  </si>
  <si>
    <t>bc-Coho2106a</t>
  </si>
  <si>
    <t>PFMC March 2021 Alternative (TT 10K, NT NOF 110K, SOF 120K Sel 15K NonSel, B10 80K Sel) and 2020NOF Fisheries, effort changes SOF</t>
  </si>
  <si>
    <t>Coho2106a.xlsx</t>
  </si>
  <si>
    <t>bc-Coho2107a</t>
  </si>
  <si>
    <t>PFMC March 2021 Alternative (TT 0, NT NOF 0, SOF 110K Sel 11K NonSel, B10 110K Sel) and 2020NOF Fisheries, effort changes SOF</t>
  </si>
  <si>
    <t>Coho2107a.xlsx</t>
  </si>
  <si>
    <t>bc-Coho2105b</t>
  </si>
  <si>
    <t>PFMC March 2021 Alternative (TT 50K, NT NOF 120K, SOF 140K Sel 15.5K NonSel, B10 70K Sel) and 2020NOF Fisheries, effort changes SOF</t>
  </si>
  <si>
    <t>Coho2105b.xlsx</t>
  </si>
  <si>
    <t>bc-Coho2106b</t>
  </si>
  <si>
    <t>PFMC March 2021 Alternative (TT 35K, NT NOF 110K, SOF 120K Sel 15K NonSel, B10 80K Sel) and 2020NOF Fisheries, effort changes SOF</t>
  </si>
  <si>
    <t>Coho2106b.xlsx</t>
  </si>
  <si>
    <t>bc-Coho2107b</t>
  </si>
  <si>
    <t>Coho2107b.xlsx</t>
  </si>
  <si>
    <t>NewModelRunTransfer6_Coho2108a-2110a.mdb; NewModelRunTransfer6_Coho2108b-2110b.mdb</t>
  </si>
  <si>
    <t>bc-Coho2108a</t>
  </si>
  <si>
    <t>PFMC March 2021 Alternative (TT 16.5K, NT NOF 80K + trade Trl to Spt 8K coho for 2K chin, SOF 140K Sel 15.5K NonSel, B10 70K Sel) and 2020 NOF Fisheries, effort changes SOF</t>
  </si>
  <si>
    <t>See March PFMC Briefing Book: Agenda Item E.7.a Supplemental STT Report: https://www.pcouncil.org/documents/2021/03/e-7-a-supplemental-stt-report-1-collation-of-preliminary-salmon-management-alternatives-for-2021-ocean-fisheries.pdf/</t>
  </si>
  <si>
    <t>Coho2108a.xlsx</t>
  </si>
  <si>
    <t>bc-Coho2109a</t>
  </si>
  <si>
    <t>Coho2109a.xlsx</t>
  </si>
  <si>
    <t>bc-Coho2110a</t>
  </si>
  <si>
    <t>Alt 3a QTA</t>
  </si>
  <si>
    <t>Coho2110a.xlsx</t>
  </si>
  <si>
    <t>bc-Coho2108b</t>
  </si>
  <si>
    <t>PFMC March 2021 Alternative (TT 50K, NT NOF 80K + trade Trl to Spt 8K coho for 2K chin, SOF 140K Sel 15.5K NonSel, B10 70K Sel) and 2020 NOF Fisheries, effort changes SOF</t>
  </si>
  <si>
    <t>Coho2108b.xlsx</t>
  </si>
  <si>
    <t>bc-Coho2109b</t>
  </si>
  <si>
    <t>Alt 2b MT</t>
  </si>
  <si>
    <t>Coho2109b.xlsx</t>
  </si>
  <si>
    <t>bc-Coho2110b</t>
  </si>
  <si>
    <t>Alt 3b MT</t>
  </si>
  <si>
    <t>Coho2110b.xlsx</t>
  </si>
  <si>
    <t>March PFMC 2021 - FINAL</t>
  </si>
  <si>
    <t>NewModelRunTransfer6_Coho2111a-2113a.mdb; NewModelRunTransfer6_Coho2111b-2112b.mdb</t>
  </si>
  <si>
    <t>bc-Coho2111a</t>
  </si>
  <si>
    <t>PFMC March 2021 Alternative (TT 16.5K, NT NOF 80K + fishery structure change, SOF 120K Sel 14K NonSel, B10 70K Sel) and 2020 NOF Fisheries, effort changes SOF</t>
  </si>
  <si>
    <t>See March PFMC Briefing Book: Agenda Item E.8.a Supplemental STT Report: https://www.pcouncil.org/documents/2021/03/e-8-a-supplemental-stt-report-1-analysis-of-preliminary-salmon-management-alternatives-for-2021-ocean-fisheries-march-11-2021.pdf/</t>
  </si>
  <si>
    <t>Coho2111a.xlsx</t>
  </si>
  <si>
    <t>bc-Coho2112a</t>
  </si>
  <si>
    <t>PFMC March 2021 Alternative (TT 10K, NT NOF 110K + fishery structure change, SOF 115K Sel 12K NonSel, B10 80K Sel) and 2020NOF Fisheries, effort changes SOF</t>
  </si>
  <si>
    <t>Coho2112a.xlsx</t>
  </si>
  <si>
    <t>bc-Coho2113a</t>
  </si>
  <si>
    <t>Coho2113a.xlsx</t>
  </si>
  <si>
    <t>bc-Coho2111b</t>
  </si>
  <si>
    <t>PFMC March 2021 Alternative (TT 50K, NT NOF 80K + fishery structure change, SOF 120K Sel 14K NonSel, B10 70K Sel) and 2020 NOF Fisheries, effort changes SOF</t>
  </si>
  <si>
    <t>Coho2111b.xlsx</t>
  </si>
  <si>
    <t>bc-Coho2112b</t>
  </si>
  <si>
    <t>PFMC March 2021 Alternative (TT 35K, NT NOF 110K + fishery structure change, SOF 115K Sel 12K NonSel, B10 80K Sel) and 2020NOF Fisheries, effort changes SOF</t>
  </si>
  <si>
    <t>Coho2112b.xlsx</t>
  </si>
  <si>
    <t>bc-Coho2113b</t>
  </si>
  <si>
    <t>Coho2113b.xlsx</t>
  </si>
  <si>
    <t>NOF #1 2021</t>
  </si>
  <si>
    <t>NewModelRunTransfer6_NOF1.mdb</t>
  </si>
  <si>
    <t>bc-Coho2114a_NOF1</t>
  </si>
  <si>
    <t>Alt 1a QTA+NOF 21</t>
  </si>
  <si>
    <t>PFMC March 2021 Alternative from Option 1a, Updated 2021 Canadian Abundances, WA Coast Term 2020 Fisheries, Proposed 2021 NOF Puget Sound Fisheries</t>
  </si>
  <si>
    <t>Updated Canadian 2021 Abundances, per US/Canada Data Exchange Mtg 3/15/21, Updated NOF#1 Initial Proposed Puget Sound Fishery Inputs</t>
  </si>
  <si>
    <t>Coho2114a_NOF1_031721.xlsx</t>
  </si>
  <si>
    <t>bc-Coho2114b_NOF1</t>
  </si>
  <si>
    <t>Alt 1b MT+NOF 21</t>
  </si>
  <si>
    <t>PFMC March 2021 Alternative from Option 1b, Updated 2021 Canadian Abundances, WA Coast Term 2020 Fisheries, Proposed 2021 NOF Puget Sound Fisheries</t>
  </si>
  <si>
    <t>Coho2114b_NOF1_031721.xlsx</t>
  </si>
  <si>
    <t>bc-Coho2115a_NOF1</t>
  </si>
  <si>
    <t>Alt 2a QTA+NOF 21</t>
  </si>
  <si>
    <t>PFMC March 2021 Alternative from Option 2a, Updated 2021 Canadian Abundances, WA Coast Term 2020 Fisheries, Proposed 2021 NOF Puget Sound Fisheries</t>
  </si>
  <si>
    <t>Coho2115a_NOF1_031721.xlsx</t>
  </si>
  <si>
    <t>bc-Coho2115b_NOF1</t>
  </si>
  <si>
    <t>Alt 2b MT+NOF 21</t>
  </si>
  <si>
    <t>PFMC March 2021 Alternative from Option 2b, Updated 2021 Canadian Abundances, WA Coast Term 2020 Fisheries, Proposed 2021 NOF Puget Sound Fisheries</t>
  </si>
  <si>
    <t>Coho2115b_NOF1_031721.xlsx</t>
  </si>
  <si>
    <t>bc-Coho2116_NOF1</t>
  </si>
  <si>
    <t>Alt 3a+b +NOF 21</t>
  </si>
  <si>
    <t>bc-Coho2113a+b</t>
  </si>
  <si>
    <t>PFMC March 2021 Alternative from Option 3a+b, Updated 2021 Canadian Abundances, WA Coast Term 2020 Fisheries, Proposed 2021 NOF Puget Sound Fisheries</t>
  </si>
  <si>
    <t>Coho2116_NOF1_031721.xlsx</t>
  </si>
  <si>
    <t>NOF #2 2021</t>
  </si>
  <si>
    <t>NewModelRunTransfer6_NOF2.mdb</t>
  </si>
  <si>
    <t>bc-Coho2117a_NOF2</t>
  </si>
  <si>
    <t>Alt 1a QTA+NOF2 Revised</t>
  </si>
  <si>
    <t>PFMC March 2021 Alternative from Option 1a, Updated 2021 Canadian Abundances, WA Coast Term 2020 Fisheries, Revised 2021 NOF Puget Sound Fisheries</t>
  </si>
  <si>
    <t>Updated NOF#2 Puget Sound Fishery Inputs</t>
  </si>
  <si>
    <t>Coho2117a_NOF2_032621.xlsx</t>
  </si>
  <si>
    <t>bc-Coho2117b_NOF2</t>
  </si>
  <si>
    <t>Alt 1b MT+NOF2 Revised</t>
  </si>
  <si>
    <t>PFMC March 2021 Alternative from Option 1b, Updated 2021 Canadian Abundances, WA Coast Term 2020 Fisheries, Revised 2021 NOF Puget Sound Fisheries</t>
  </si>
  <si>
    <t>Coho2117b_NOF2_032621.xlsx</t>
  </si>
  <si>
    <t>bc-Coho2118a_NOF2</t>
  </si>
  <si>
    <t>Alt 2a QTA+NOF2 Revised</t>
  </si>
  <si>
    <t>PFMC March 2021 Alternative from Option 2a, Updated 2021 Canadian Abundances, WA Coast Term 2020 Fisheries, Revised 2021 NOF Puget Sound Fisheries</t>
  </si>
  <si>
    <t>Coho2118a_NOF2_032621.xlsx</t>
  </si>
  <si>
    <t>bc-Coho2118b_NOF2</t>
  </si>
  <si>
    <t>Alt 2b MT+NOF2 Revised</t>
  </si>
  <si>
    <t>PFMC March 2021 Alternative from Option 2b, Updated 2021 Canadian Abundances, WA Coast Term 2020 Fisheries, Revised 2021 NOF Puget Sound Fisheries</t>
  </si>
  <si>
    <t>Coho2118b_NOF2_032621.xlsx</t>
  </si>
  <si>
    <t>bc-Coho2119_NOF2</t>
  </si>
  <si>
    <t>Alt 3a+b +NOF2 Revised</t>
  </si>
  <si>
    <t>PFMC March 2021 Alternative from Option 3a+b, Updated 2021 Canadian Abundances, WA Coast Term 2020 Fisheries, Revised 2021 NOF Puget Sound Fisheries</t>
  </si>
  <si>
    <t>Coho2119_NOF2_032621.xlsx</t>
  </si>
  <si>
    <t>NewModelRunTransfer6_NOF2_Round2.mdb</t>
  </si>
  <si>
    <t>Coho2120a_NOF2_040721.xlsx</t>
  </si>
  <si>
    <t>Coho2120b_NOF2_040721.xlsx</t>
  </si>
  <si>
    <t>Coho2121a_NOF2_040721.xlsx</t>
  </si>
  <si>
    <t>Coho2121b_NOF2_040721.xlsx</t>
  </si>
  <si>
    <t>Coho2122_NOF2_040721.xlsx</t>
  </si>
  <si>
    <t>Starting 2020 Preseason Planning Proces</t>
  </si>
  <si>
    <t>2020PFMC_NOF_CohoFRAMdatabase_v3.mdb</t>
  </si>
  <si>
    <t>Source: A Rankis prepared for various analysis purposes, updated with most current version of coho base period.</t>
  </si>
  <si>
    <t>CohoBPfisheriesBPabundance.xlsm</t>
  </si>
  <si>
    <t>BP20.cmd</t>
  </si>
  <si>
    <t>Base Period Fisheries with 2020 US Forecasts</t>
  </si>
  <si>
    <t xml:space="preserve">Source: Prepared for STT mtg and Preseason I report, 2020 Preseason process.  This run includes 2020 US Forecasts (WA+OR, from Puget Sound co-managers and OPITT). Retained prior 2019 forecasts for Canadian stocks (Stock ID 205-246); Canadian forecasts for 2020 are typically provided in March, prior to the NOF #2 meeting. </t>
  </si>
  <si>
    <t>CohoBPFisheries_20US_19Can_Forecasts021920.xlsm</t>
  </si>
  <si>
    <t>bc-Coho1637 Final</t>
  </si>
  <si>
    <t>coho1634</t>
  </si>
  <si>
    <t>Final 2016 Preseason model run</t>
  </si>
  <si>
    <t>PFMC April Final 2016 Approved Ocean Package, Co-manager Agreed Puget Sound fisheries</t>
  </si>
  <si>
    <t>Coho1637_FinalPFMCOcean_MayNOF_052616rv_wMultiYrFix.xlsm</t>
  </si>
  <si>
    <t>bc-Coho1731_Final</t>
  </si>
  <si>
    <t>coho1730_2</t>
  </si>
  <si>
    <t>Final 2017 Preseason model run</t>
  </si>
  <si>
    <t>PFMC April Final 2017 Approved Ocean Package (and Co-manager agreement on Puget Sound fisheries)</t>
  </si>
  <si>
    <t>Coho1731_Final_wSht1Mtrx.xlsx</t>
  </si>
  <si>
    <t>bc-BKCoho2018_A_2_a</t>
  </si>
  <si>
    <t>Post-season PSC 2018 model run</t>
  </si>
  <si>
    <t>Source: PSC Coho Technical Committee; PSC Annual Mtg, Portland, OR February 2020.</t>
  </si>
  <si>
    <t>BKCoho2018 final ver 8 postseason run.xlsm</t>
  </si>
  <si>
    <t>bc-Coho2000_2018Fish</t>
  </si>
  <si>
    <t>2020 US Forecasts and 2018 Final Fisheries</t>
  </si>
  <si>
    <t xml:space="preserve">Started with coho1830, Final 2018 preseason model run. Added 2020 US Forecasts (WA+OR, from Puget Sound co-managers and OPITT).  Retained prior 2019 forecasts for Canadian stocks (Stock ID 205-246); Due to low 2020 forecasts and large 2019 ocean fisheries, this model was run as a potential reference point for co-managers to review as an alternate placeholder for NOF fisheries at the start of 2020 preseason planning. </t>
  </si>
  <si>
    <t>Coho2000_FinalPreseason2018Fisheries_022020.xlsx</t>
  </si>
  <si>
    <t>bc-Coho2000_NALF_revised</t>
  </si>
  <si>
    <t>2020 US Forecasts and 2019 Fisheries Revised</t>
  </si>
  <si>
    <r>
      <t xml:space="preserve">Started with coho1925, Final 2019 preseason model run. Added 2020 US Forecasts (WA+OR, from Puget Sound co-managers and OPITT).  Retained prior 2019 forecasts for Canadian stocks (Stock ID 205-246); Canadian forecasts for 2020 are typically provided in March, prior to the NOF #2 meeting. Run with a proposed 2020 TAMM file, which contained final 2019 TAMM inputs/data.  Due to lower 2020 US abundances and large 2019 ocean fisheries, the following revisions were necessary to complete the model run:  </t>
    </r>
    <r>
      <rPr>
        <b/>
        <sz val="12"/>
        <color theme="1"/>
        <rFont val="Times New Roman"/>
        <family val="1"/>
      </rPr>
      <t>Revised Col. River Buoy 10 and Area 1 + 2 fisheries reduced by 75%, Willapa Bay terminal fisheries reduced by 50% initially until the WA Coastal Iterations could be run to generate inputs aligned with 2020 forecast levels, Area 8D NT+TR stock-fishery scalers reduced by 50%.</t>
    </r>
    <r>
      <rPr>
        <sz val="12"/>
        <color theme="1"/>
        <rFont val="Times New Roman"/>
        <family val="2"/>
      </rPr>
      <t xml:space="preserve">  These were selected on a technical basis only to explore paths to a functional model run (without stocks going negative and exceeding 100% ERs).</t>
    </r>
  </si>
  <si>
    <t>Coho2000_NALFRevised_wWACoastIter_022420.xlsx</t>
  </si>
  <si>
    <t>Starting March 2020 PFMC, Rohnert Park CA</t>
  </si>
  <si>
    <t>NewModelRunTransfer6_Coho2001.mdb</t>
  </si>
  <si>
    <t>bc-Coho2001</t>
  </si>
  <si>
    <t>2020 US Forecasts and 2019 US Fisheries (further revised version) - with 2020 Canadian Proxy Fisheries</t>
  </si>
  <si>
    <r>
      <t xml:space="preserve"> To represent potential 2020 Canadian fisheries, updated Canadian fisheries (FisheryID 167-193) with post-season 2018 PSC CoTC fishery inputs, except Fraser Net (FisheryID 184) with post-season 2016 due to Fraser River Sockeye, and Fraser Terminal fisheries (FisheryID 167+168) with post-season 2016, and Fraser Sport (FisheryID 169) with post-season 2017 due to a potential error in 2018 inputs. Updated Flags to 1 or 7 to run inputs as scalars (3/3/20 M Bellman). </t>
    </r>
    <r>
      <rPr>
        <sz val="12"/>
        <rFont val="Times New Roman"/>
        <family val="1"/>
      </rPr>
      <t xml:space="preserve">Started with Coho2000_NALF_revised.  Run with a proposed 2020 TAMM file.  </t>
    </r>
    <r>
      <rPr>
        <sz val="12"/>
        <color theme="1"/>
        <rFont val="Times New Roman"/>
        <family val="1"/>
      </rPr>
      <t>Technical revisions to 2019 Fisheries to generate functional NALF model run: Willapa Spt #45, Willapa Tb Spt #46, Willapa Net #47 = reduce inputs 50% to initially run WA Coastal Iterations in order to get inputs within a realistic range for 2020 forecasts, SOF at 50% of 2019 inputs, NOF NT for Area 1 and Area 2 at 95K quota with revised inputs (reduced 50%), NOF 2019 TR at 55K quota and inputs remain as 2019, Buoy 10 Spt #23 = reduce inputs 75%, Revise Area 8D net stock-fishery-rate scalers for Tulalip Hatchery (reduced 50%).</t>
    </r>
  </si>
  <si>
    <t>Coho2001_NALFRevised_wCanFish_030320.xlsm</t>
  </si>
  <si>
    <t>NewModelRunTransfer6_Coho2002.mdb</t>
  </si>
  <si>
    <t>bc-Coho2002</t>
  </si>
  <si>
    <t>2020 US Forecasts and 2019 US Fisheries revised - with 2020 Canadian Proxy Fisheries revised</t>
  </si>
  <si>
    <r>
      <t xml:space="preserve"> To represent proxy 2020 Canadian fisheries, further direction was given for No BC Sport (FisheryID 187) to use post-season 2017 inputs and for No BC Trl (FisheryID 171) to derive scalers for a target 110,000 landed catch, in order to produce expected proxy fisheries (3/4/2020 M Bellman).  To represent potential 2020 Canadian fisheries, updated Canadian fisheries (FisheryID 167-193) with post-season 2018 PSC CoTC fishery inputs, except Fraser Net (FisheryID 184) with post-season 2016 due to Fraser River Sockeye, and Fraser Terminal fisheries (FisheryID 167+168) with post-season 2016, and Fraser Sport (FisheryID 169) with post-season 2017 due to a potential error in 2018 inputs. Updated Flags to 1 or 7 to run inputs as scalars (3/3/20 M Bellman). </t>
    </r>
    <r>
      <rPr>
        <sz val="12"/>
        <rFont val="Times New Roman"/>
        <family val="1"/>
      </rPr>
      <t xml:space="preserve">Started with Coho2001 and run with a proposed 2020 TAMM file. </t>
    </r>
  </si>
  <si>
    <t>March PFMC 2020, 
Rohnert Park CA</t>
  </si>
  <si>
    <t>NewModelRunTransfer6_2003a_2004a_2005a.zip; NewModelRunTransfer6_2003b_2004b_2005b.zip</t>
  </si>
  <si>
    <t>bc-Coho2003a</t>
  </si>
  <si>
    <t xml:space="preserve">Alt 1a-High </t>
  </si>
  <si>
    <t xml:space="preserve">PFMC March 2020 Alternative from Option 1a 
(TT 12.5K) and 2019NOF Fisheries </t>
  </si>
  <si>
    <t>See March PFMC Briefing Book: Agenda Item E.6.a Supplemental STT Report:  https://www.pcouncil.org/documents/2020/03/e-6-a-supplemental-stt-report-1-collation-of-preliminary-salmon-management-alternatives-for-2020-ocean-fisheries-march-6-2020.pdf/</t>
  </si>
  <si>
    <t>Coho2003a.xlsx</t>
  </si>
  <si>
    <t>bc-Coho2004a</t>
  </si>
  <si>
    <t>Alt 2a-Mid</t>
  </si>
  <si>
    <t>PFMC March 2020 Alternative from Option 2a 
(TT 10K) and 2019NOF Fisheries</t>
  </si>
  <si>
    <t>Coho2004a.xlsx</t>
  </si>
  <si>
    <t>bc-Coho2005a</t>
  </si>
  <si>
    <t>Alt 3a-Low</t>
  </si>
  <si>
    <t>PFMC March 2020 Alternative from Option 3a 
(TT 0K) and 2019NOF Fisheries</t>
  </si>
  <si>
    <t>Coho2005a.xlsx</t>
  </si>
  <si>
    <t>bc-Coho2003b</t>
  </si>
  <si>
    <t>Alt 1b-High</t>
  </si>
  <si>
    <t xml:space="preserve">PFMC March 2020 Alternative from Option 1b 
(TT 30K) and 2019NOF Fisheries </t>
  </si>
  <si>
    <t>Coho2003b.xlsx</t>
  </si>
  <si>
    <t>bc-Coho2004b</t>
  </si>
  <si>
    <t>Alt 2b-Mid</t>
  </si>
  <si>
    <t>PFMC March 2020 Alternative from Option 2b 
(TT 22.5K) and 2019NOF Fisheries</t>
  </si>
  <si>
    <t>Coho2004b.xlsx</t>
  </si>
  <si>
    <t>bc-Coho2005b</t>
  </si>
  <si>
    <t>Alt 3b-Low</t>
  </si>
  <si>
    <t>PFMC March 2020 Alternative from Option 3b 
(TT 15K) and 2019NOF Fisheries</t>
  </si>
  <si>
    <t>Coho2005b.xlsx</t>
  </si>
  <si>
    <t>NewModelRunTransfer6_2006a_2007a_2008a.zip; NewModelRunTransfer6_2006b_2007b_2008b.zip</t>
  </si>
  <si>
    <t>bc-Coho2006a</t>
  </si>
  <si>
    <t xml:space="preserve">PFMC March 2020 Alternative from Option 1a and 2019NOF Fisheries </t>
  </si>
  <si>
    <t>See March PFMC Briefing Book: Agenda Item E.7.a Supplemental STT Report:  https://www.pcouncil.org/documents/2020/03/e-7-a-supplemental-stt-report-1.pdf/</t>
  </si>
  <si>
    <t>Coho2006a.xlsx</t>
  </si>
  <si>
    <t>bc-Coho2007a</t>
  </si>
  <si>
    <t>PFMC March 2020 Alternative from Option 2a and 2019NOF Fisheries</t>
  </si>
  <si>
    <t>Coho2007a.xlsx</t>
  </si>
  <si>
    <t>bc-Coho2008a</t>
  </si>
  <si>
    <t>PFMC March 2020 Alternative from Option 3a and 2019NOF Fisheries</t>
  </si>
  <si>
    <t>Coho2008a.xlsx</t>
  </si>
  <si>
    <t>bc-Coho2006b</t>
  </si>
  <si>
    <t xml:space="preserve">PFMC March 2020 Alternative from Option 1b and 2019NOF Fisheries </t>
  </si>
  <si>
    <t>Coho2006b.xlsx</t>
  </si>
  <si>
    <t>bc-Coho2007b</t>
  </si>
  <si>
    <t>PFMC March 2020 Alternative from Option 2b and 2019NOF Fisheries</t>
  </si>
  <si>
    <t>Coho2007b.xlsx</t>
  </si>
  <si>
    <t>bc-Coho2008b</t>
  </si>
  <si>
    <t>PFMC March 2020 Alternative from Option 3b and 2019NOF Fisheries</t>
  </si>
  <si>
    <t>Coho2008b.xlsx</t>
  </si>
  <si>
    <t>NewModelRunTransfer6_2009a_2010a_2011a.zip; NewModelRunTransfer6_2009b_2010b_2011b.zip</t>
  </si>
  <si>
    <t>bc-Coho2009a</t>
  </si>
  <si>
    <t>See March PFMC Briefing Book: Agenda Item E.8.a Supplemental STT Report: https://www.pcouncil.org/documents/2020/03/e-8-a-supplemental-stt-report-1-collation-of-preliminary-salmon-management-alternatives-for-2020-ocean-fisheries-march-8-2020.pdf/</t>
  </si>
  <si>
    <t>Coho2009a.xlsx</t>
  </si>
  <si>
    <t>bc-Coho2010a</t>
  </si>
  <si>
    <t>Coho2010a.xlsx</t>
  </si>
  <si>
    <t>bc-Coho2011a</t>
  </si>
  <si>
    <t>Coho2011a.xlsx</t>
  </si>
  <si>
    <t>bc-Coho2009b</t>
  </si>
  <si>
    <t>Coho2009b.xlsx</t>
  </si>
  <si>
    <t>bc-Coho2010b</t>
  </si>
  <si>
    <t>Coho2010b.xlsx</t>
  </si>
  <si>
    <t>bc-Coho2011b</t>
  </si>
  <si>
    <t>Coho2011b.xlsx</t>
  </si>
  <si>
    <t>March PFMC 2020, 
Rohnert Park CA - FINAL</t>
  </si>
  <si>
    <t>NewModelRunTransfer6_2012a_2013a_2014a.zip; NewModelRunTransfer6_2012b_2013b_2014b.zip</t>
  </si>
  <si>
    <t>bc-Coho2012a</t>
  </si>
  <si>
    <t>See March PFMC Briefing Book: Agenda Item E.9.a Supplemental STT Report: https://www.pcouncil.org/documents/2020/03/e-9-a-supplemental-stt-report-1-collation-of-preliminary-salmon-management-alternatives-for-2020-ocean-fisheries-march-9-2020.pdf/</t>
  </si>
  <si>
    <t>Coho2012a_CR_update.xlsx</t>
  </si>
  <si>
    <t>bc-Coho2013a</t>
  </si>
  <si>
    <t>Coho2013a_CR_update.xlsx</t>
  </si>
  <si>
    <t>bc-Coho2014a</t>
  </si>
  <si>
    <t>Coho2014a_CR_update.xlsx</t>
  </si>
  <si>
    <t>bc-Coho2012b</t>
  </si>
  <si>
    <t>Coho2012b_CR_update.xlsx</t>
  </si>
  <si>
    <t>bc-Coho2013b</t>
  </si>
  <si>
    <t>Coho2013b_CR_update.xlsx</t>
  </si>
  <si>
    <t>bc-Coho2014b</t>
  </si>
  <si>
    <t>Coho2014b_CR_update.xlsx</t>
  </si>
  <si>
    <t>NOF #1 2020</t>
  </si>
  <si>
    <t>NewModelRunTransfer6_2015a_2016a_2017a.zip; NewModelRunTransfer6_2015b_2016b_2017b.zip</t>
  </si>
  <si>
    <t>bc-Coho2015a</t>
  </si>
  <si>
    <t>PFMC March 2020 Alternative from Option 1, Updated 2020 Canadian Abundances, WA Coast Term 2019 Fisheries, Proposed 2020 NOF Puget Sound Fisheries</t>
  </si>
  <si>
    <t>Updated Canadian 2020 Abundances, per US/Canada Data Exchange Mtg 3/16/20, Updated NOF#1 Initial Proposed Puget Sound Fishery Inputs</t>
  </si>
  <si>
    <t>Coho2015a_NOF1_032020.xlsx</t>
  </si>
  <si>
    <t>bc-Coho2016a</t>
  </si>
  <si>
    <t>PFMC March 2020 Alternative from Option 2, Updated 2020 Canadian Abundances, WA Coast Term 2019 Fisheries, Proposed 2020 NOF Puget Sound Fisheries</t>
  </si>
  <si>
    <t>Coho2016a_NOF1_032020.xlsx</t>
  </si>
  <si>
    <t>bc-Coho2017a</t>
  </si>
  <si>
    <t>PFMC March 2020 Alternative from Option 3, Updated 2020 Canadian Abundances, WA Coast Term 2019 Fisheries, Proposed 2020 NOF Puget Sound Fisheries</t>
  </si>
  <si>
    <t>Coho2017a_NOF1_032020.xlsx</t>
  </si>
  <si>
    <t>bc-Coho2015b</t>
  </si>
  <si>
    <t>Coho2015b_NOF1_032020.xlsx</t>
  </si>
  <si>
    <t>bc-Coho2016b</t>
  </si>
  <si>
    <t>Coho2016b_NOF1_032020.xlsx</t>
  </si>
  <si>
    <t>bc-Coho2017b</t>
  </si>
  <si>
    <t>Coho2017b_NOF1_032020.xlsx</t>
  </si>
  <si>
    <t>NOF #2 2020</t>
  </si>
  <si>
    <t>NewModelRunTransfer6_2018a_2019a_2020a.zip; NewModelRunTransfer6_2018b_2019b_2020b.zip</t>
  </si>
  <si>
    <t>bc-Coho2018a</t>
  </si>
  <si>
    <t>PFMC March 2020 Alternative from Option 1a, Updated 2020 Canadian Abundances, WA Coast Term 2019 Fisheries, STT non-retention input corrections,  Revised 2020 NOF Puget Sound Fisheries</t>
  </si>
  <si>
    <t>STT non-retention inputs corrected, Updated NOF#2 Puget Sound Fishery Inputs</t>
  </si>
  <si>
    <t>Coho2018a_NOF2_033120.xlsx</t>
  </si>
  <si>
    <t>bc-Coho2019a</t>
  </si>
  <si>
    <t>PFMC March 2020 Alternative from Option 2a, Updated 2020 Canadian Abundances, WA Coast Term 2019 Fisheries, STT non-retention input corrections,  Revised 2020 NOF Puget Sound Fisheries</t>
  </si>
  <si>
    <t>Coho2019a_NOF2_033120.xlsx</t>
  </si>
  <si>
    <t>bc-Coho2020a</t>
  </si>
  <si>
    <t>PFMC March 2020 Alternative from Option 3a, Updated 2020 Canadian Abundances, WA Coast Term 2019 Fisheries, STT non-retention input corrections,  Revised 2020 NOF Puget Sound Fisheries</t>
  </si>
  <si>
    <t>Coho2020a_NOF2_033120.xlsx</t>
  </si>
  <si>
    <t>bc-Coho2018b</t>
  </si>
  <si>
    <t>PFMC March 2020 Alternative from Option 1b, Updated 2020 Canadian Abundances, WA Coast Term 2019 Fisheries, STT non-retention input corrections,  Revised 2020 NOF Puget Sound Fisheries</t>
  </si>
  <si>
    <t>Coho2018b_NOF2_033120.xlsx</t>
  </si>
  <si>
    <t>bc-Coho2019b</t>
  </si>
  <si>
    <t>PFMC March 2020 Alternative from Option 2b, Updated 2020 Canadian Abundances, WA Coast Term 2019 Fisheries, STT non-retention input corrections,  Revised 2020 NOF Puget Sound Fisheries</t>
  </si>
  <si>
    <t>Coho2019b_NOF2_033120.xlsx</t>
  </si>
  <si>
    <t>bc-Coho2020b</t>
  </si>
  <si>
    <t>PFMC March 2020 Alternative from Option 3b, Updated 2020 Canadian Abundances, WA Coast Term 2019 Fisheries, STT non-retention input corrections,  Revised 2020 NOF Puget Sound Fisheries</t>
  </si>
  <si>
    <t>Coho2020b_NOF2_033120.xlsx</t>
  </si>
  <si>
    <t>April PFMC 2020</t>
  </si>
  <si>
    <t>NewModelRunTransfer6_2021a_2022a_2023a.zip; NewModelRunTransfer6_2021b_2022b_2023b.zip</t>
  </si>
  <si>
    <t>bc-Coho2021a</t>
  </si>
  <si>
    <t>PFMC April 2020 Alternative from Option 1a, WA Coast Term 2019 Fisheries except Queets terminal 2020 drafts, Revised 2020 NOF Puget Sound Fisheries</t>
  </si>
  <si>
    <t>See April PFMC Briefing Book: Agenda Item E.4.a Supplemental STT Report: https://www.pcouncil.org/documents/2020/04/e-4-a-supplemental-stt-report-1-preliminary-analysis-of-tentative-2020-ocean-salmon-fishery-management-measures-april-6-2020.pdf/  Council direction + Updated NOF Fishery Inputs (Cascade River coho quota, Queets terminal sport corrected, Wallace MSF in Snoh R Spt, Nisqually R Rec)</t>
  </si>
  <si>
    <t>Coho2021a_040520_STTNOF.xlsx</t>
  </si>
  <si>
    <t>bc-Coho2022a</t>
  </si>
  <si>
    <t>PFMC April 2020 Alternative from Option 2a, WA Coast Term 2019 Fisheries except Queets terminal 2020 drafts, Revised 2020 NOF Puget Sound Fisheries</t>
  </si>
  <si>
    <t>Coho2022a_040520_STTNOF.xlsx</t>
  </si>
  <si>
    <t>bc-Coho2023a</t>
  </si>
  <si>
    <t>PFMC April 2020 Alternative from Option 3a, WA Coast Term 2019 Fisheries except Queets terminal 2020 drafts, Revised 2020 NOF Puget Sound Fisheries</t>
  </si>
  <si>
    <t>Coho2023a_040520_STTNOF.xlsx</t>
  </si>
  <si>
    <t>bc-Coho2021b</t>
  </si>
  <si>
    <t>PFMC April 2020 Alternative from Option 1b, WA Coast Term 2019 Fisheries except Queets terminal 2020 drafts, Revised 2020 NOF Puget Sound Fisheries</t>
  </si>
  <si>
    <t>Coho2021b_040520_STTNOF.xlsx</t>
  </si>
  <si>
    <t>bc-Coho2022b</t>
  </si>
  <si>
    <t>PFMC April 2020 Alternative from Option 2b, WA Coast Term 2019 Fisheries except Queets terminal 2020 drafts, Revised 2020 NOF Puget Sound Fisheries</t>
  </si>
  <si>
    <t>Coho2022ba_040520_STTNOF.xlsx</t>
  </si>
  <si>
    <t>bc-Coho2023b</t>
  </si>
  <si>
    <t>PFMC April 2020 Alternative from Option 3b, WA Coast Term 2019 Fisheries except Queets terminal 2020 drafts, Revised 2020 NOF Puget Sound Fisheries</t>
  </si>
  <si>
    <t>Coho2023b_040520_STTNOF.xlsx</t>
  </si>
  <si>
    <t>NewModelRunTransfer6_2024a_2025a_2026a.zip; NewModelRunTransfer6_2024b_2025b_2026b.zip</t>
  </si>
  <si>
    <t>bc-Coho2024a</t>
  </si>
  <si>
    <t>See April PFMC Briefing Book: Agenda Item E.7.a Supplemental STT Report: https://www.pcouncil.org/documents/2020/04/e-7-a-supplemental-stt-report-1-preliminary-analysis-of-tentative-2020-ocean-salmon-fishery-management-measures-april-7-2020.pdf/    Council direction, Columbia River Harvest Model Update</t>
  </si>
  <si>
    <t>Coho2024a_040620_STT.xlsx</t>
  </si>
  <si>
    <t>bc-Coho2025a</t>
  </si>
  <si>
    <t>Coho2025a_040620_STT.xlsx</t>
  </si>
  <si>
    <t>bc-Coho2026a</t>
  </si>
  <si>
    <t>Coho2026a_040620_STT.xlsx</t>
  </si>
  <si>
    <t>bc-Coho2024b</t>
  </si>
  <si>
    <t>Coho2024b_040620_STT.xlsx</t>
  </si>
  <si>
    <t>bc-Coho2025b</t>
  </si>
  <si>
    <t>Coho2025b_040620_STT.xlsx</t>
  </si>
  <si>
    <t>bc-Coho2026b</t>
  </si>
  <si>
    <t>Coho2026b_040620_STT.xlsx</t>
  </si>
  <si>
    <t>NewModelRunTransfer6_2027a_2028a.zip; NewModelRunTransfer6_2027b_2028b.zip</t>
  </si>
  <si>
    <t>bc-Coho2027a</t>
  </si>
  <si>
    <t>bc-coho2024a</t>
  </si>
  <si>
    <t>PFMC April 2020 Alternative from Option 1a, WA Coast Term 2019 Fisheries except 2020 draft inputs for Queets, Willapa, Quillayute, Revised 2020 NOF Puget Sound Fisheries</t>
  </si>
  <si>
    <t>See April PFMC Briefing Book: Agenda Item E.7.a Supplemental STT Report 2: https://www.pcouncil.org/documents/2020/04/e-7-a-supplemental-stt-report-2-preliminary-analysis-of-tentative-2020-ocean-salmon-fishery-management-measures-april-8-2020.pdf/</t>
  </si>
  <si>
    <t>Coho2027a_040720_STTNOF_CR_transfer.xlsx</t>
  </si>
  <si>
    <t>bc-Coho2028a</t>
  </si>
  <si>
    <t>Alt 2a-Low</t>
  </si>
  <si>
    <t>bc-coho2025a</t>
  </si>
  <si>
    <t>PFMC April 2020 Alternative from Option 2a, WA Coast Term 2019 Fisheries except 2020 draft inputs for Queets, Willapa, Quillayute, Revised 2020 NOF Puget Sound Fisheries</t>
  </si>
  <si>
    <t>Coho2028a_040720_STTNOF_CR_transfer.xlsx</t>
  </si>
  <si>
    <t>bc-Coho2027b</t>
  </si>
  <si>
    <t>bc-coho2025b</t>
  </si>
  <si>
    <t>PFMC April 2020 Alternative from Option 1b, WA Coast Term 2019 Fisheries except 2020 draft inputs for Queets, Willapa, Quillayute, Revised 2020 NOF Puget Sound Fisheries</t>
  </si>
  <si>
    <t>Coho2027b_040720_STTNOF_CR_transfer.xlsx</t>
  </si>
  <si>
    <t>bc-Coho2028b</t>
  </si>
  <si>
    <t>Alt 2b-Low</t>
  </si>
  <si>
    <t>bc-coho2026b</t>
  </si>
  <si>
    <t>PFMC April 2020 Alternative from Option 2b, WA Coast Term 2019 Fisheries except 2020 draft inputs for Queets, Willapa, Quillayute, Revised 2020 NOF Puget Sound Fisheries</t>
  </si>
  <si>
    <t>Coho2028b_040720_STTNOF_CR_transfer.xlsx</t>
  </si>
  <si>
    <t>NewModelRunTransfer6_2029a_2030a.zip; NewModelRunTransfer6_2029b_2030b.zip</t>
  </si>
  <si>
    <t>bc-Coho2029a</t>
  </si>
  <si>
    <t>PFMC April 2020 Alternative from Option 1a, WA Coast Term 2019 Fisheries except 2020 draft inputs for Queets, Willapa, Quillayute</t>
  </si>
  <si>
    <t>See April PFMC Briefing Book: Agenda Item E.7.a Supplemental STT Report: https://www.pcouncil.org/documents/2020/04/e-7-a-supplemental-stt-report-3-preliminary-analysis-of-tentative-2020-ocean-salmon-fishery-management-measures-april-9-2020.pdf/</t>
  </si>
  <si>
    <t>Coho2029a_040820_STT.xlsx</t>
  </si>
  <si>
    <t>bc-Coho2030a</t>
  </si>
  <si>
    <t>PFMC April 2020 Alternative from Option 2a, WA Coast Term 2019 Fisheries except 2020 draft inputs for Queets, Willapa, Quillayute</t>
  </si>
  <si>
    <t>Coho2030a_040820_STT.xlsx</t>
  </si>
  <si>
    <t>bc-Coho2029b</t>
  </si>
  <si>
    <t>PFMC April 2020 Alternative from Option 1b, WA Coast Term 2019 Fisheries except 2020 draft inputs for Queets, Willapa, Quillayute</t>
  </si>
  <si>
    <t>Coho2029b_040820_STT.xlsx</t>
  </si>
  <si>
    <t>bc-Coho2030b</t>
  </si>
  <si>
    <t>PFMC April 2020 Alternative from Option 2b, WA Coast Term 2019 Fisheries except 2020 draft inputs for Queets, Willapa, Quillayute</t>
  </si>
  <si>
    <t>Coho2030b_040820_STT.xlsx</t>
  </si>
  <si>
    <t>NewModelRunTransfer6_2031_2031_C3.zip</t>
  </si>
  <si>
    <t>PFMC April 2020 Alternative, w/NOF + updated 2020 WA terminal area inputs, Updated Buoy 10 and Columbia River transfer</t>
  </si>
  <si>
    <t>See April PFMC Briefing Book: Agenda Item E.9.a Supplemental STT Report: https://www.pcouncil.org/documents/2020/04/e-9-a-supplemental-stt-report-1-analysis-of-tentative-2020-ocean-salmon-fishery-management-measures-april-10-2020.pdf/</t>
  </si>
  <si>
    <t>Coho2031_040920_STTNOF_Final_CR_transfer.xlsx</t>
  </si>
  <si>
    <t>bc-Coho2031_C3</t>
  </si>
  <si>
    <t>Contingency Scenario 3</t>
  </si>
  <si>
    <t>Coho2031_C3_040920_STTNOF_Final_CR_transfer.xlsx</t>
  </si>
  <si>
    <t>April PFMC 2020 - FINAL</t>
  </si>
  <si>
    <t>NewModelRunTransfer6_2032_2032_C3.zip</t>
  </si>
  <si>
    <t>PFMC April Final 2020 Approved Ocean Package and Co-manager agreement on Puget Sound fisheries. The model results are incorporated in the Preseason III report and Agenda Item E.9.a.</t>
  </si>
  <si>
    <t>bc-Coho2032_C3</t>
  </si>
  <si>
    <t>Final Approved Ocean Package SOF Contingency Scenario 3 + Co-manager Puget Sound fisheries</t>
  </si>
  <si>
    <t>PFMC April Final 2020 Approved Ocean Package SOF Contingency Scenario 3
(and Co-manager agreement on Puget Sound fisheries)</t>
  </si>
  <si>
    <t>PFMC April Final 2020 Approved Ocean Package SOF Contingency Scenario 3 and Co-manager agreement on Puget Sound fisheries. The model results are incorporated in the Preseason III report and Agenda Item E.9.a.</t>
  </si>
  <si>
    <t>Coho2032_C3_041020_STTNOF_Final.xlsx</t>
  </si>
  <si>
    <t>Starting 2019 Preseason Planning Proces</t>
  </si>
  <si>
    <t>2019PFMC_NOF_CohoFRAMdatabase.mdb</t>
  </si>
  <si>
    <t>bc-Coho1523 Final</t>
  </si>
  <si>
    <t>Final 2015 Preseason model run</t>
  </si>
  <si>
    <t>Source: Prior final 2015 preseason model run, with TAAETRS multiyear fix in TAMM.</t>
  </si>
  <si>
    <t>Coho1523FinalwAttachCrevised-and-updated_wMultiYrFix.xlsm</t>
  </si>
  <si>
    <t>bc-BK2017finaltake2</t>
  </si>
  <si>
    <t>Post-season PSC 2017 model run</t>
  </si>
  <si>
    <t>Source: PSC Coho Technical Committee; PSC Annual Mtg, Portland, OR February 2019.</t>
  </si>
  <si>
    <t>BK Coho2017__Sht1Mtrx step 2 final takeQ.xlsx</t>
  </si>
  <si>
    <t>bc-Coho1900</t>
  </si>
  <si>
    <t xml:space="preserve">2019 US Forecasts and 2018 Fisheries </t>
  </si>
  <si>
    <t>Started with coho1830, Final 2018 preseason model run. Added 2019 US Forecasts (WA+OR, from Puget Sound co-managers and OPITT).  Retained prior 2018 forecasts for Canadian stocks (Stock ID 205-246); Canadian forecasts for 2019 are typically provided in March, prior to the NOF #2 meeting. Run with a proposed 2019 TAMM file, which contained final 2018 TAMM inputs/data.</t>
  </si>
  <si>
    <t>Coho1900_NALF_wColR_022119.xlsm</t>
  </si>
  <si>
    <t>BP19.cmd</t>
  </si>
  <si>
    <t>Base Period Fisheries with 2019 US Forecasts</t>
  </si>
  <si>
    <t xml:space="preserve">Source: Prepared for STT mtg and Preseason I report, 2019 Preseason process.  This run includes 2019 US Forecasts (WA+OR, from Puget Sound co-managers and OPITT). Retained prior 2018 forecasts for Canadian stocks (Stock ID 205-246); Canadian forecasts for 2019 are typically provided in March, prior to the NOF #2 meeting. </t>
  </si>
  <si>
    <t>CohoBPFisheries_19US_18Can_Forecasts022119.xlsm</t>
  </si>
  <si>
    <t>Starting March 2019 PFMC, Vancouver WA</t>
  </si>
  <si>
    <t>NewModelRunTransfer5_Coho1901.mdb</t>
  </si>
  <si>
    <t>bc-Coho1901</t>
  </si>
  <si>
    <t>bc-coho1900</t>
  </si>
  <si>
    <t>2019 US Forecasts and 2018 US Fisheries - with 2019 Canadian Proxy Fisheries</t>
  </si>
  <si>
    <r>
      <rPr>
        <b/>
        <sz val="12"/>
        <color theme="1"/>
        <rFont val="Times New Roman"/>
        <family val="1"/>
      </rPr>
      <t>Updated Canadian fisheries represented in 2019 using the PSC CoTC post-season 2017 coho FRAM model run inputs, except Fraser sockeye as post-season 2015 (Fishery ID 167-193).</t>
    </r>
    <r>
      <rPr>
        <sz val="12"/>
        <rFont val="Times New Roman"/>
        <family val="1"/>
      </rPr>
      <t xml:space="preserve"> Also updated Area 8D TR and NT stock-specific fishery scalars per co-manager agreed-to marked target harvest rates. Started with coho1900. Added 2019 US Forecasts (WA+OR, from Puget Sound co-managers and OPITT).  Retained prior 2018 forecasts for Canadian stocks (Stock ID 205-246); Canadian forecasts for 2019 are typically provided in March, prior to the NOF #2 meeting. Run with a proposed 2019 TAMM file, including updated OPITT Columbia River sheet.</t>
    </r>
  </si>
  <si>
    <t>Coho1901_NALF_wColR_wCanFish_030519.xlsm</t>
  </si>
  <si>
    <t>March PFMC 2019, 
Vancouver, WA</t>
  </si>
  <si>
    <t>NewModelRunTransfer5_Coho1902_1903_1904.mdb</t>
  </si>
  <si>
    <t>bc-Coho1902 13bw</t>
  </si>
  <si>
    <t>Alt 1-High</t>
  </si>
  <si>
    <t xml:space="preserve">PFMC March 2019 Alternative from Option 1 and 2018NOF Fisheries </t>
  </si>
  <si>
    <t xml:space="preserve">See March PFMC Briefing Book: Agenda Item D.5.a Supplemental STT Report:  https://www.pcouncil.org/wp-content/uploads/2019/03/D5a_Supp-STT-Rpt-1_MAR2019BB_Revised.pdf
</t>
  </si>
  <si>
    <t>Coho1902.xlsx</t>
  </si>
  <si>
    <t>bc-Coho1903 13wb</t>
  </si>
  <si>
    <t>PFMC March 2019 Alternative from Option 2 and 2018NOF Fisheries</t>
  </si>
  <si>
    <t>Coho1903.xlsx</t>
  </si>
  <si>
    <t>bc-Coho1904 13wb</t>
  </si>
  <si>
    <t>PFMC March 2019 Alternative from Option 3 and 2018NOF Fisheries</t>
  </si>
  <si>
    <t>Coho1904.xlsx</t>
  </si>
  <si>
    <t>March PFMC 2019, 
Vancouver WA</t>
  </si>
  <si>
    <t>NewModelRunTransfer5_Coho1905_1906_1907.mdb</t>
  </si>
  <si>
    <t>bc-Coho1905</t>
  </si>
  <si>
    <t>bc-Coho1902</t>
  </si>
  <si>
    <t xml:space="preserve">PFMC March 2019Alternative from Option 1 and 2018NOF Fisheries </t>
  </si>
  <si>
    <t xml:space="preserve">See March PFMC Briefing Book: Agenda Item D.6.a Supplemental STT Report 1: https://www.pcouncil.org/wp-content/uploads/2019/03/D6a_Supp_STT_Rpt1_MAR2019BB.pdf
</t>
  </si>
  <si>
    <t>Coho1905.xlsx</t>
  </si>
  <si>
    <t>bc-Coho1906</t>
  </si>
  <si>
    <t>bc-Coho1903</t>
  </si>
  <si>
    <t>PFMC March 2019Alternative from Option 2 and 2018NOF Fisheries</t>
  </si>
  <si>
    <t>Coho1906.xlsx</t>
  </si>
  <si>
    <t>bc-Coho1907</t>
  </si>
  <si>
    <t>bc-Coho1904</t>
  </si>
  <si>
    <t>PFMC March 2019Alternative from Option 3 and 2018NOF Fisheries</t>
  </si>
  <si>
    <t>Coho1907.xlsx</t>
  </si>
  <si>
    <t>NewModelRunTransfer5_Coho1908_1909_1910.mdb</t>
  </si>
  <si>
    <t>bc-Coho1908</t>
  </si>
  <si>
    <t>3/10/12019</t>
  </si>
  <si>
    <t xml:space="preserve">See March PFMC Briefing Book: Agenda Item D.7.a Supplemental STT Report 1: https://www.pcouncil.org/wp-content/uploads/2019/03/D7a_Supp_STT_Rpt1_MAR2019BBpdf.pdf
</t>
  </si>
  <si>
    <t>Coho1908.xlsx</t>
  </si>
  <si>
    <t>bc-Coho1909</t>
  </si>
  <si>
    <t>Coho1909.xlsx</t>
  </si>
  <si>
    <t>bc-Coho1910</t>
  </si>
  <si>
    <t>Coho1910.xlsx</t>
  </si>
  <si>
    <t>March PFMC 2019, 
Vancouver WA - FINAL</t>
  </si>
  <si>
    <t>NewModelRunTransfer5_Coho1911_1912_1913.mdb</t>
  </si>
  <si>
    <t>bc-Coho1911</t>
  </si>
  <si>
    <t>3/11/12019</t>
  </si>
  <si>
    <t xml:space="preserve">See March PFMC Briefing Book: Agenda Item D.8.a Supplemental STT Report 1: https://www.pcouncil.org/wp-content/uploads/2019/03/D8a_Supp_STT_Rpt1_MAR2019BB.pdf
</t>
  </si>
  <si>
    <t>Coho1911 CR.xlsx</t>
  </si>
  <si>
    <t>bc-Coho1912</t>
  </si>
  <si>
    <t>Coho1912 CR.xlsx</t>
  </si>
  <si>
    <t>bc-Coho1913</t>
  </si>
  <si>
    <t>Coho1913 CR.xlsx</t>
  </si>
  <si>
    <t>NOF #1 2019, Lacey WA</t>
  </si>
  <si>
    <t>NewModelRunTransfer5_Coho1914_1915_1916.mdb</t>
  </si>
  <si>
    <t>bc-Coho1914</t>
  </si>
  <si>
    <t>PFMC March 2019 Alternative from Option 1, Updated 2019 Canadian Abundances, WA Coast Term 2018 Fisheries, Proposed 2019 NOF Puget Sound Fisheries</t>
  </si>
  <si>
    <t>Updated Canadian 2019 Abundances, per US/Canada Data Exchange Mtg 3/18/19, Updated NOF#1 Initial Proposed Puget Sound Fishery Inputs</t>
  </si>
  <si>
    <t>Coho1914_NOF19_031819_Final.xlsx</t>
  </si>
  <si>
    <t>bc-Coho1915</t>
  </si>
  <si>
    <t>PFMC March 2019 Alternative from Option 2, Updated 2019 Canadian Abundances, WA Coast Term 2018 Fisheries, Proposed 2019 NOF Puget Sound Fisheries</t>
  </si>
  <si>
    <t>Coho1915_NOF19_031819_Final.xlsx</t>
  </si>
  <si>
    <t>bc-Coho1916</t>
  </si>
  <si>
    <t>PFMC March 2019 Alternative from Option 3, Updated 2019 Canadian Abundances, WA Coast Term 2018 Fisheries, Proposed 2019 NOF Puget Sound Fisheries</t>
  </si>
  <si>
    <t>Coho1916_NOF19_031819_Final.xlsx</t>
  </si>
  <si>
    <t>NOF #2 2019, Lynnwood WA</t>
  </si>
  <si>
    <t>NewModelRunTransfer5_Coho1917_1918_1919.mdb</t>
  </si>
  <si>
    <t>bc-Coho1917</t>
  </si>
  <si>
    <t>PFMC March 2019 Alternative from Option 1, 2019 Canadian Abundances, WA Coast Term 2018 Fisheries, Revised proposed 2019 NOF Puget Sound Fisheries</t>
  </si>
  <si>
    <t>Updated NOF#2 Proposed Puget Sound Fishery Inputs and Corrections.</t>
  </si>
  <si>
    <t>Coho1917_NOF#2_040519.xlsx</t>
  </si>
  <si>
    <t>bc-Coho1918</t>
  </si>
  <si>
    <t>PFMC March 2019 Alternative from Option 2, 2019 Canadian Abundances, WA Coast Term 2018 Fisheries, Revised proposed 2019 NOF Puget Sound Fisheries</t>
  </si>
  <si>
    <t>Coho1918_NOF#2_040519.xlsx</t>
  </si>
  <si>
    <t>bc-Coho1919</t>
  </si>
  <si>
    <t>PFMC March 2019 Alternative from Option 3, 2019 Canadian Abundances, WA Coast Term 2018 Fisheries, Revised proposed 2019 NOF Puget Sound Fisheries</t>
  </si>
  <si>
    <t>Coho1919_NOF#2_040519.xlsx</t>
  </si>
  <si>
    <t>April PFMC 2019, 
Rohnert Park CA</t>
  </si>
  <si>
    <t>NewModelRunTransfer5_Coho1920.mdb</t>
  </si>
  <si>
    <t>bc-Coho1920</t>
  </si>
  <si>
    <t>PFMC April 2019 Alternative, w/NOF#2 + updated 2019 Queets, Grays Harbor terminal area inputs</t>
  </si>
  <si>
    <t>See April PFMC Briefing Book: Agenda Item F.2.a Supplemental STT Report: https://www.pcouncil.org/wp-content/uploads/2019/04/F2a_Supp_STT_Rpt1_APR2019BB.pdf</t>
  </si>
  <si>
    <t>Coho1920_CRupdate.xlsx</t>
  </si>
  <si>
    <t>NewModelRunTransfer5_Coho1922.mdb</t>
  </si>
  <si>
    <t>bc-Coho1922</t>
  </si>
  <si>
    <t>PFMC April 2019 Alternative, Puget Sound+ All WA Coastal terminal area 2019 inputs</t>
  </si>
  <si>
    <t>See April PFMC Briefing Book: Agenda Item F.6.a Supplemental STT Report: https://www.pcouncil.org/wp-content/uploads/2019/04/F6a_Supp_STT_Rpt1_APR2019BB.pdf</t>
  </si>
  <si>
    <t>Coho1922.xlsx</t>
  </si>
  <si>
    <t>April PFMC 2019, 
Rohnert  Park CA
(NOF Runs Only)</t>
  </si>
  <si>
    <t>NewModelRunTransfer5_Coho1923.mdb</t>
  </si>
  <si>
    <t>bc-Coho1923</t>
  </si>
  <si>
    <t>PFMC April 2019 Alternative, Puget Sound+WA Coastal Terminal 2019 draft inputs, Updated NOF inputs</t>
  </si>
  <si>
    <t>NOF Official Runs Only</t>
  </si>
  <si>
    <t>Coho1923_041419.xlsx</t>
  </si>
  <si>
    <t>NewModelRunTransfer5_Coho1924_Final.mdb</t>
  </si>
  <si>
    <t>PFMC April 2019 Ocean Alternative, Puget Sound+WA Coastal Terminal 2019 inputs, Updated NOF Inputs</t>
  </si>
  <si>
    <t xml:space="preserve">See April PFMC Briefing Book: Agenda Item F.7.a Supplemental STT Report 
</t>
  </si>
  <si>
    <t>Coho1924_Final.xlsx</t>
  </si>
  <si>
    <t>NewModelRunTransfer5_Coho1925.mdb</t>
  </si>
  <si>
    <t>PFMC April Final 2019Approved Ocean Package 
(and Co-manager agreement on Puget Sound fisheries)</t>
  </si>
  <si>
    <t>PFMC April Final 2019 Approved Ocean Package and Co-manager agreement on Puget Sound fisheries. The model results are incorporated in the Preseason III report and Agenda Item F.7.a.: https://www.pcouncil.org/wp-content/uploads/2019/04/F7a_Supp_STT_Rpt1_APR2019BB.pdf</t>
  </si>
  <si>
    <t xml:space="preserve">FOR REFERENCE </t>
  </si>
  <si>
    <t>SOURCE: 2019PFMC_NOF_CohoFRAMdatabase_Draft.mdb</t>
  </si>
  <si>
    <t>TABLE: Stock (Species=COHO)</t>
  </si>
  <si>
    <t>Species</t>
  </si>
  <si>
    <t>StockVersion</t>
  </si>
  <si>
    <t>ProductionRegionNumber</t>
  </si>
  <si>
    <t>ManagementUnitNumber</t>
  </si>
  <si>
    <t>StockName</t>
  </si>
  <si>
    <t>TABLE: Fishery (Species=COHO)</t>
  </si>
  <si>
    <t>VersionNumber</t>
  </si>
  <si>
    <t>FisheryID</t>
  </si>
  <si>
    <t>FisheryName</t>
  </si>
  <si>
    <t>FisheryTitle</t>
  </si>
  <si>
    <t>No Calif Cst Terminal Catch</t>
  </si>
  <si>
    <t>Cntrl Cal Cst Term Catch</t>
  </si>
  <si>
    <t>Fort Bragg Sport</t>
  </si>
  <si>
    <t>Fort Bragg Troll</t>
  </si>
  <si>
    <t>KMZ Sport</t>
  </si>
  <si>
    <t>KMZ Troll</t>
  </si>
  <si>
    <t>So Calif. Sport</t>
  </si>
  <si>
    <t>So Calif. Troll</t>
  </si>
  <si>
    <t>So Ore Coast Terminal Catch</t>
  </si>
  <si>
    <t>Ore Private Hat Term Catch</t>
  </si>
  <si>
    <t>So Mid Ore Coast Term Catch</t>
  </si>
  <si>
    <t>No Mid Ore Coast Term Catch</t>
  </si>
  <si>
    <t>North Ore Coast Term Catch</t>
  </si>
  <si>
    <t>Oregon Coast Term Catch</t>
  </si>
  <si>
    <t>Brookings Sport</t>
  </si>
  <si>
    <t>Brookings Troll</t>
  </si>
  <si>
    <t>Newport Sport</t>
  </si>
  <si>
    <t>Newport Troll</t>
  </si>
  <si>
    <t>Coos Bay Sport</t>
  </si>
  <si>
    <t>Coos Bay Troll</t>
  </si>
  <si>
    <t>Tillamook Sport</t>
  </si>
  <si>
    <t>Tillamook Troll</t>
  </si>
  <si>
    <t>Col. Rvr. Buoy 10 Sport</t>
  </si>
  <si>
    <t>Col. Rvr. Lower R Sport</t>
  </si>
  <si>
    <t>Col. Rvr. Lower R Net</t>
  </si>
  <si>
    <t>Col. Rvr. Youngs Bay Net</t>
  </si>
  <si>
    <t>Col. Rvr. Ore Trib Spt</t>
  </si>
  <si>
    <t>Clackamas R Sport</t>
  </si>
  <si>
    <t>Sandy R Sport</t>
  </si>
  <si>
    <t>Col. Rvr. Wash Trib Spt</t>
  </si>
  <si>
    <t>Col. Rvr. Sport Above Bonneville</t>
  </si>
  <si>
    <t>Col. Rvr. Net Above Bonneville</t>
  </si>
  <si>
    <t>WA Area 1 &amp; Astoria Sport</t>
  </si>
  <si>
    <t>WA Area 1 &amp; Astoria Troll</t>
  </si>
  <si>
    <t>WA Area 2 Non-Treaty Troll</t>
  </si>
  <si>
    <t>WA Area 2 Treaty Troll</t>
  </si>
  <si>
    <t>WA Area 2 Sport</t>
  </si>
  <si>
    <t>WA Area 3 Non-Treaty Troll</t>
  </si>
  <si>
    <t>WA Area 3 Treaty Troll</t>
  </si>
  <si>
    <t>WA Area 3 Sport</t>
  </si>
  <si>
    <t>WA Area 4 Sport</t>
  </si>
  <si>
    <t>WA Area 4/4B Non-Treaty Troll</t>
  </si>
  <si>
    <t>WA Area 4/4B Treaty Troll</t>
  </si>
  <si>
    <t>WA Area 5-6-6C Troll</t>
  </si>
  <si>
    <t>Willapa Bay Sport (2.1)</t>
  </si>
  <si>
    <t>Willapa Tributary Sport</t>
  </si>
  <si>
    <t>Willapa Bay &amp; FW Trib Net</t>
  </si>
  <si>
    <t>Grays Harbor Sport (2.2)</t>
  </si>
  <si>
    <t>South Grays Harbor Sport</t>
  </si>
  <si>
    <t>Grays Harbor Estuary Net</t>
  </si>
  <si>
    <t>Humptulips R Sport</t>
  </si>
  <si>
    <t>Lower Chehalis R Net</t>
  </si>
  <si>
    <t>Humptulips R C&amp;S</t>
  </si>
  <si>
    <t>Chehalis R Sport</t>
  </si>
  <si>
    <t>Humptulips R Net</t>
  </si>
  <si>
    <t>Upper Chehalis R Net</t>
  </si>
  <si>
    <t>Chehalis R C&amp;S</t>
  </si>
  <si>
    <t>Wynochee R Sport</t>
  </si>
  <si>
    <t>Hoquiam R Sport</t>
  </si>
  <si>
    <t>Wishkah R Sport</t>
  </si>
  <si>
    <t>Satsop R Sport</t>
  </si>
  <si>
    <t>Quinault R Sport</t>
  </si>
  <si>
    <t>Quinault R Net</t>
  </si>
  <si>
    <t>Quinault R C&amp;S</t>
  </si>
  <si>
    <t>Queets R Sport</t>
  </si>
  <si>
    <t>Clearwater R Sport</t>
  </si>
  <si>
    <t>Salmon R Sport (Queets)</t>
  </si>
  <si>
    <t>Queets R Net</t>
  </si>
  <si>
    <t>Queets R C&amp;S</t>
  </si>
  <si>
    <t>Quillayute R Sport</t>
  </si>
  <si>
    <t>Quillayute R Net</t>
  </si>
  <si>
    <t>Quillayute R C&amp;S</t>
  </si>
  <si>
    <t>Hoh R Sport</t>
  </si>
  <si>
    <t>Hoh R Net</t>
  </si>
  <si>
    <t>Hoh R C&amp;S</t>
  </si>
  <si>
    <t>Makah Tributary Sport</t>
  </si>
  <si>
    <t>Makah Freshwater Net</t>
  </si>
  <si>
    <t>Makah C&amp;S</t>
  </si>
  <si>
    <t>WA Area 4-4A Net</t>
  </si>
  <si>
    <t>WA Area 4B-5-6C Non-Treaty Net</t>
  </si>
  <si>
    <t>WA Area 4B-5-6C Treaty Net</t>
  </si>
  <si>
    <t>6D Non-Treaty Net (Dungeness Bay &amp; R)</t>
  </si>
  <si>
    <t>6D Treaty Net (Dungeness Bay &amp; R)</t>
  </si>
  <si>
    <t>Elwha R Net</t>
  </si>
  <si>
    <t>West JDF Straits Trib Net</t>
  </si>
  <si>
    <t>East JDF Straits Trib Net</t>
  </si>
  <si>
    <t>WA Area 7-7A Non-Treaty Net</t>
  </si>
  <si>
    <t>WA Area 7-7A Treaty Net</t>
  </si>
  <si>
    <t>East JDF Straits Trib Sport</t>
  </si>
  <si>
    <t>West JDF Straits Trib Sport</t>
  </si>
  <si>
    <t>WA Area 5 Sport (Sekiu)</t>
  </si>
  <si>
    <t>WA Area 6 Sport (Port Angeles)</t>
  </si>
  <si>
    <t>WA Area 7 Sport (San Juan Islands)</t>
  </si>
  <si>
    <t>Dungeness R Sport</t>
  </si>
  <si>
    <t>Elwha R Sport</t>
  </si>
  <si>
    <t>WA Area 7B-7C-7D Non-Treaty Net</t>
  </si>
  <si>
    <t>WA Area 7B-7C-7D Treaty Net</t>
  </si>
  <si>
    <t>Nooksack R Sport</t>
  </si>
  <si>
    <t>Samish R Sport</t>
  </si>
  <si>
    <t>WA Area 8 Non-Treaty Net (Skagit)</t>
  </si>
  <si>
    <t>WA Area 8 Treaty Net (Skagit)</t>
  </si>
  <si>
    <t>Skagit R Net</t>
  </si>
  <si>
    <t>Skagit River Test Net</t>
  </si>
  <si>
    <t>Swinomish Channel Net</t>
  </si>
  <si>
    <t>WA Area 8.1 Sport (Skagit Bay)</t>
  </si>
  <si>
    <t>WA Area 9 Sport (Admirality Inlet)</t>
  </si>
  <si>
    <t>Skagit R Sport</t>
  </si>
  <si>
    <t>WA Area 8A Non-Treaty Net</t>
  </si>
  <si>
    <t>WA Area 8A Treaty Net</t>
  </si>
  <si>
    <t>WA Area 8D Non-Treaty Net (Tulalip Bay)</t>
  </si>
  <si>
    <t>WA Area 8D Treaty Net (Tulalip Bay)</t>
  </si>
  <si>
    <t>Stillaguamish R Net</t>
  </si>
  <si>
    <t>Snohomish R Net</t>
  </si>
  <si>
    <t>WA Area 8.2 Sport (Everett)</t>
  </si>
  <si>
    <t>Stillaguamish R Sport</t>
  </si>
  <si>
    <t>Snohomish R Sport</t>
  </si>
  <si>
    <t>WA Area 10 Sport (Seattle)</t>
  </si>
  <si>
    <t>WA Area 10 Non-Treaty Net (Seattle)</t>
  </si>
  <si>
    <t>WA Area 10 Treaty Net (Seattle)</t>
  </si>
  <si>
    <t>WA Area 10A Non-Treaty Net (Elliott Bay)</t>
  </si>
  <si>
    <t>WA Area 10A Treaty Net (Elliott Bay)</t>
  </si>
  <si>
    <t>WA Area 10E Non-Treaty Net (East Kitsap)</t>
  </si>
  <si>
    <t>WA Area 10E Treaty Net (East Kitsap)</t>
  </si>
  <si>
    <t>WA Area 10F-G Treaty Net (Lake Union)</t>
  </si>
  <si>
    <t>Green/Duwamish R Net</t>
  </si>
  <si>
    <t>Green/Duwamish R Sport</t>
  </si>
  <si>
    <t>Lk Wash/Sammamish/Tribs Spt</t>
  </si>
  <si>
    <t>WA Area 11 Sport (Tacoma)</t>
  </si>
  <si>
    <t>WA Area 11 Non-Treaty Net (E/W Pass)</t>
  </si>
  <si>
    <t>WA Area 11 Treaty Net (E/W Pass)</t>
  </si>
  <si>
    <t>WA Area 11A Non-Treaty Net (Comm. Bay)</t>
  </si>
  <si>
    <t>WA Area 11A Treaty Net (Comm. Bay)</t>
  </si>
  <si>
    <t>Puyallup R Net</t>
  </si>
  <si>
    <t>Puyallup R Sport</t>
  </si>
  <si>
    <t>WAArea 13 Marine Sport</t>
  </si>
  <si>
    <t>Area 13 Non-Treaty Net (So Puget Sound)</t>
  </si>
  <si>
    <t>Area 13 Treaty Net (So Puget Sound)</t>
  </si>
  <si>
    <t>Area 13C Non-Treaty Net (Chambers Bay)</t>
  </si>
  <si>
    <t>Area 13C Treaty Net (Chambers Bay)</t>
  </si>
  <si>
    <t>Area 13A Non-Treaty Net (Carr Inlet)</t>
  </si>
  <si>
    <t>Area 13A Treaty Net (Carr Inlet)</t>
  </si>
  <si>
    <t>Area 13D Non-Treaty Net</t>
  </si>
  <si>
    <t>Area 13D Treaty Net</t>
  </si>
  <si>
    <t>Area 13F-13K Non-Treaty Net</t>
  </si>
  <si>
    <t>Area 13F-13K Treaty Net</t>
  </si>
  <si>
    <t>McAllister Creek Net</t>
  </si>
  <si>
    <t>Nisqually R Sport</t>
  </si>
  <si>
    <t>Deschutes R Sport</t>
  </si>
  <si>
    <t>Area 12 Marine Sport</t>
  </si>
  <si>
    <t>Area 12-12B Hood Canal Non-Treaty Net</t>
  </si>
  <si>
    <t>Area 12-12B Hood Canal Treaty Net</t>
  </si>
  <si>
    <t>Area 9/9A Non-Treaty Net</t>
  </si>
  <si>
    <t>Area 9/9A Treaty Net (On Res)</t>
  </si>
  <si>
    <t>Area 12A Non-Treaty Net (Quilcene Bay)</t>
  </si>
  <si>
    <t>Area 12A Treaty Net (Quilcene Bay)</t>
  </si>
  <si>
    <t>Area 12C-12D Non-Treaty Net (SE Hood Canal)</t>
  </si>
  <si>
    <t>Area 12C-12D Treaty Net (SE Hood Canal)</t>
  </si>
  <si>
    <t>Quilcene R Net</t>
  </si>
  <si>
    <t>12, 12B Trib FW Sport</t>
  </si>
  <si>
    <t>12A Trib FW Sport</t>
  </si>
  <si>
    <t>12C, 12D Trib FW Sport</t>
  </si>
  <si>
    <t>Skokomish R Sport</t>
  </si>
  <si>
    <t>Lower Fraser R Term Catch</t>
  </si>
  <si>
    <t>Upper Fraser R Term Catch</t>
  </si>
  <si>
    <t>Lower Fraser River Sport</t>
  </si>
  <si>
    <t>Johnstone Strait Troll</t>
  </si>
  <si>
    <t>BC Northern Troll</t>
  </si>
  <si>
    <t>BC North Central Troll</t>
  </si>
  <si>
    <t>BC South Central Troll</t>
  </si>
  <si>
    <t>NW Vancouver Island Troll</t>
  </si>
  <si>
    <t>SW Vancouver Island Troll</t>
  </si>
  <si>
    <t>Georgia Straits Troll</t>
  </si>
  <si>
    <t>BC Juan de Fuca Troll</t>
  </si>
  <si>
    <t>BC Northern Net</t>
  </si>
  <si>
    <t>BC Central Net</t>
  </si>
  <si>
    <t>NW Vancouver Island Net</t>
  </si>
  <si>
    <t>SW Vancouver Island Net</t>
  </si>
  <si>
    <t>Johnstone Straits Net</t>
  </si>
  <si>
    <t>Georgia Straits Net</t>
  </si>
  <si>
    <t>Fraser R Gill Net</t>
  </si>
  <si>
    <t>BC Juan de Fuca Net</t>
  </si>
  <si>
    <t>Johnstone Strait Sport</t>
  </si>
  <si>
    <t>BC Northern Sport</t>
  </si>
  <si>
    <t>BC Central Sport</t>
  </si>
  <si>
    <t>BC Juan de Fuca Sport</t>
  </si>
  <si>
    <t>West Coast Vanc Is Sport</t>
  </si>
  <si>
    <t>North Georgia Straits Sport</t>
  </si>
  <si>
    <t>South Georgia Straits Sport</t>
  </si>
  <si>
    <t>Alberni Canal Sport</t>
  </si>
  <si>
    <t>SEAK Southwest Troll</t>
  </si>
  <si>
    <t>SEAK Southeast Troll</t>
  </si>
  <si>
    <t>SEAK Northwest Troll</t>
  </si>
  <si>
    <t>SEAK Northeast Troll</t>
  </si>
  <si>
    <t>Southeast Alaska Net</t>
  </si>
  <si>
    <t>Source: 2018PFMC_NOF_CohoFRAMdatabase_Draft.mdb (09/18/17)</t>
  </si>
  <si>
    <t>MB Notes
Coho1830 Final</t>
  </si>
  <si>
    <t>TaaNum</t>
  </si>
  <si>
    <r>
      <t xml:space="preserve">TaaType
</t>
    </r>
    <r>
      <rPr>
        <sz val="12"/>
        <color theme="1"/>
        <rFont val="Times New Roman"/>
        <family val="1"/>
      </rPr>
      <t>(1=TAA,
0=ETRS)</t>
    </r>
  </si>
  <si>
    <t>TaaName</t>
  </si>
  <si>
    <t>NumTaaStks</t>
  </si>
  <si>
    <t>TaaStkList</t>
  </si>
  <si>
    <t>NumTaaFish</t>
  </si>
  <si>
    <t>TaaFishList</t>
  </si>
  <si>
    <t>TaaTimeStep1</t>
  </si>
  <si>
    <t>TaaTimeStep2</t>
  </si>
  <si>
    <t>Ar 8 NetNT (KH)</t>
  </si>
  <si>
    <t>"Skagit NT TAA"</t>
  </si>
  <si>
    <t>Ar8D NetTR (DH)</t>
  </si>
  <si>
    <t>"8D Stilly-Snoh TAA"</t>
  </si>
  <si>
    <t>Stil R Spt (RL)</t>
  </si>
  <si>
    <t>1212BNetNT (KH)</t>
  </si>
  <si>
    <t>"Hood Canal T TAA"</t>
  </si>
  <si>
    <t>1212BNetTR (CG)</t>
  </si>
  <si>
    <t>Ar10 NetNT (KH)</t>
  </si>
  <si>
    <t>"SPS TAA"</t>
  </si>
  <si>
    <t>Ar10ANetNT (KH)</t>
  </si>
  <si>
    <t>Ar10ENetNT  (KH)</t>
  </si>
  <si>
    <t>Ar11 NetNT (KH)</t>
  </si>
  <si>
    <t>Ar11ANetNT (KH)</t>
  </si>
  <si>
    <t>Ar10ANetTR 
(JS/MGM/AR/JO)</t>
  </si>
  <si>
    <t>"TAA 10A"</t>
  </si>
  <si>
    <t>Duwm R Net 
(JS/MGM/AR/JO)</t>
  </si>
  <si>
    <t>"available"</t>
  </si>
  <si>
    <t>Ar13 NetTR (BP)</t>
  </si>
  <si>
    <t>"SPS Ar 13 TAA"</t>
  </si>
  <si>
    <t>"Nook/Sam TAA wo FW sport"</t>
  </si>
  <si>
    <t>Ar8A NetNT (KH)</t>
  </si>
  <si>
    <t>"NT 8A Stilly-Snoh TAA"</t>
  </si>
  <si>
    <t>"Skagit Wild ETRS"</t>
  </si>
  <si>
    <t>"Skagit ETRS"</t>
  </si>
  <si>
    <t>"Stilly TAA"</t>
  </si>
  <si>
    <t>"Snoh  ETRS"</t>
  </si>
  <si>
    <t>Ar8D NetNT (KH)</t>
  </si>
  <si>
    <t>"Tulalip H TAA"</t>
  </si>
  <si>
    <t>"HC  Wld (no 9A, 12A) ETRS"</t>
  </si>
  <si>
    <t>Nisq R Net (CS)</t>
  </si>
  <si>
    <t>"SPS Nisq H&amp;W TAA"</t>
  </si>
  <si>
    <t>"HC 9A H&amp;W ETRS"</t>
  </si>
  <si>
    <t>Nooksack R Net (BAK)</t>
  </si>
  <si>
    <t>"Nooksack TAA"</t>
  </si>
  <si>
    <t>"E JDF  TAA"</t>
  </si>
  <si>
    <t>Ar6D NetNT (KH)</t>
  </si>
  <si>
    <t>"Dung Bay TAA"</t>
  </si>
  <si>
    <t>Ar6D NetTR (AB)</t>
  </si>
  <si>
    <t>"Elwha TAA"</t>
  </si>
  <si>
    <t>"W. JDF  TAA"</t>
  </si>
  <si>
    <t>A9-9ANetNT (KH)</t>
  </si>
  <si>
    <t>"HC 9A H&amp;W TAA"</t>
  </si>
  <si>
    <t>A9-9ANetTR (CG)</t>
  </si>
  <si>
    <t>Ar12ANetNT (KH)</t>
  </si>
  <si>
    <t>"Quil Bay 12A ETRS"</t>
  </si>
  <si>
    <t>Ar12ANetTR (CG)</t>
  </si>
  <si>
    <t>Skok R Net (CG)</t>
  </si>
  <si>
    <t>"Skokomish R TAA"</t>
  </si>
  <si>
    <t>10F-G  Net 
(JS/MGM/AR/JO)</t>
  </si>
  <si>
    <t>"TAA LaWA"</t>
  </si>
  <si>
    <t>"TAA DuwamGrn"</t>
  </si>
  <si>
    <t>"TAA So Sound Net Pens only"</t>
  </si>
  <si>
    <t>Puyl R Net (CP)</t>
  </si>
  <si>
    <t>"TAA Puyallup"</t>
  </si>
  <si>
    <t>Ar13ANetTR (BP)</t>
  </si>
  <si>
    <t>"TAA Ar 13A H&amp;W"</t>
  </si>
  <si>
    <t>Ar13DNetTR (JCP)</t>
  </si>
  <si>
    <t>"ETRS So Sound Net Pens"</t>
  </si>
  <si>
    <t>=29 also, one is TAA and one is ETRS</t>
  </si>
  <si>
    <t>Ar 8 NetTR (PK)</t>
  </si>
  <si>
    <t>"Skagit T TAA"</t>
  </si>
  <si>
    <t>A12CDNetNT (KH)</t>
  </si>
  <si>
    <t>"HC 12CD TRR"</t>
  </si>
  <si>
    <t>A12CDNetTR (CG)</t>
  </si>
  <si>
    <t>Ar10ENetTR (AR/JO)</t>
  </si>
  <si>
    <t>"Area 10E TAA"</t>
  </si>
  <si>
    <t>Ar11ANetTR (CP)</t>
  </si>
  <si>
    <t>"Area 11A TAA"</t>
  </si>
  <si>
    <t>"Deep SPS TAA"</t>
  </si>
  <si>
    <t>"Dung Bay NT ETRS"</t>
  </si>
  <si>
    <t>12A Tb Spt (RL)</t>
  </si>
  <si>
    <t>"Quil R ETRS"</t>
  </si>
  <si>
    <t>A7BCDNetNT (KH)</t>
  </si>
  <si>
    <t>"Nook/Sam TAA"</t>
  </si>
  <si>
    <t>A7BCDNetTR (BAK)</t>
  </si>
  <si>
    <t>Ar8A NetTR (DH)</t>
  </si>
  <si>
    <t>"T 8A Stilly-Snoh TAA"</t>
  </si>
  <si>
    <t>"Tulalip H ETRS"</t>
  </si>
  <si>
    <t>AUDITSK</t>
  </si>
  <si>
    <t>=Sk!$A$64:$H$83</t>
  </si>
  <si>
    <t>AUDITSTSN</t>
  </si>
  <si>
    <t>=StSn!$A$74:$J$94</t>
  </si>
  <si>
    <t>ERGH</t>
  </si>
  <si>
    <t>='4'!$O$23</t>
  </si>
  <si>
    <t>ERHC</t>
  </si>
  <si>
    <t>='4'!$F$23</t>
  </si>
  <si>
    <t>ERHO</t>
  </si>
  <si>
    <t>='4'!$M$23</t>
  </si>
  <si>
    <t>ERJDF</t>
  </si>
  <si>
    <t>='4'!$G$23</t>
  </si>
  <si>
    <t>ERNS</t>
  </si>
  <si>
    <t>='4'!$I$23</t>
  </si>
  <si>
    <t>ERQF</t>
  </si>
  <si>
    <t>='4'!$L$23</t>
  </si>
  <si>
    <t>ERQUEETS</t>
  </si>
  <si>
    <t>='4'!$N$23</t>
  </si>
  <si>
    <t>ERSK</t>
  </si>
  <si>
    <t>='4'!$C$23</t>
  </si>
  <si>
    <t>ERSN</t>
  </si>
  <si>
    <t>='4'!$E$23</t>
  </si>
  <si>
    <t>ERSPS</t>
  </si>
  <si>
    <t>='4'!$H$23</t>
  </si>
  <si>
    <t>ERST</t>
  </si>
  <si>
    <t>='4'!$D$23</t>
  </si>
  <si>
    <t>ERSUSGH</t>
  </si>
  <si>
    <t>='4'!$O$30</t>
  </si>
  <si>
    <t>ERSUSHC</t>
  </si>
  <si>
    <t>='4'!$F$30</t>
  </si>
  <si>
    <t>ERSUSHO</t>
  </si>
  <si>
    <t>='4'!$M$30</t>
  </si>
  <si>
    <t>ERSUSJDF</t>
  </si>
  <si>
    <t>='4'!$G$30</t>
  </si>
  <si>
    <t>ERSUSNS</t>
  </si>
  <si>
    <t>='4'!$I$30</t>
  </si>
  <si>
    <t>ERSUSQF</t>
  </si>
  <si>
    <t>='4'!$L$30</t>
  </si>
  <si>
    <t>ERSUSQUEETS</t>
  </si>
  <si>
    <t>='4'!$N$30</t>
  </si>
  <si>
    <t>ERSUSSK</t>
  </si>
  <si>
    <t>='4'!$C$30</t>
  </si>
  <si>
    <t>ERSUSSN</t>
  </si>
  <si>
    <t>='4'!$E$30</t>
  </si>
  <si>
    <t>ERSUSSPS</t>
  </si>
  <si>
    <t>='4'!$H$30</t>
  </si>
  <si>
    <t>ERSUSST</t>
  </si>
  <si>
    <t>='4'!$D$30</t>
  </si>
  <si>
    <t>ESCHCWLD</t>
  </si>
  <si>
    <t>=HdC!$D$53</t>
  </si>
  <si>
    <t>ESCJDF1WLD</t>
  </si>
  <si>
    <t>=JDF!$I$20</t>
  </si>
  <si>
    <t>ESCNSWILD</t>
  </si>
  <si>
    <t>=NS!$BM$31</t>
  </si>
  <si>
    <t>ESCSKWLD</t>
  </si>
  <si>
    <t>=Sk!#REF!</t>
  </si>
  <si>
    <t>ESCSNWLD</t>
  </si>
  <si>
    <t>=StSn!$E$45</t>
  </si>
  <si>
    <t>ESCSPSWILD</t>
  </si>
  <si>
    <t>=SPS!$AY$43</t>
  </si>
  <si>
    <t>ESCSTWLD</t>
  </si>
  <si>
    <t>=StSn!$C$45</t>
  </si>
  <si>
    <t>ETRSSPS</t>
  </si>
  <si>
    <t>=SPS!$C$60</t>
  </si>
  <si>
    <t>TAASK</t>
  </si>
  <si>
    <t>=Sk!$G$7</t>
  </si>
  <si>
    <t>TAASPS</t>
  </si>
  <si>
    <t>=SPS!$F$56</t>
  </si>
  <si>
    <t>TAASPSarea10</t>
  </si>
  <si>
    <t>=SPS!$C$56</t>
  </si>
  <si>
    <t>TAASTSN</t>
  </si>
  <si>
    <t>=StSn!$H$7</t>
  </si>
  <si>
    <t>TABLE1</t>
  </si>
  <si>
    <t>='1'!$A$1:$L$80</t>
  </si>
  <si>
    <t>TABLE11A</t>
  </si>
  <si>
    <t>=Sk!$A$1:$I$59</t>
  </si>
  <si>
    <t>TABLE11B</t>
  </si>
  <si>
    <t>=Sk!$K$1:$P$43</t>
  </si>
  <si>
    <t>TABLE11C</t>
  </si>
  <si>
    <t>=Sk!$R$1:$Y$33</t>
  </si>
  <si>
    <t>TABLE11D</t>
  </si>
  <si>
    <t>=Sk!$AA$1:$AJ$33</t>
  </si>
  <si>
    <t>TABLE12A</t>
  </si>
  <si>
    <t>=StSn!$A$1:$J$46</t>
  </si>
  <si>
    <t>TABLE12B</t>
  </si>
  <si>
    <t>=StSn!$L$1:$U$41</t>
  </si>
  <si>
    <t>TABLE12C</t>
  </si>
  <si>
    <t>=StSn!$W$1:$W$33</t>
  </si>
  <si>
    <t>TABLE12D</t>
  </si>
  <si>
    <t>=StSn!$Y$1:$AL$32</t>
  </si>
  <si>
    <t>TABLE13A</t>
  </si>
  <si>
    <t>=HdC!$A$1:$I$58</t>
  </si>
  <si>
    <t>TABLE13B</t>
  </si>
  <si>
    <t>=HdC!$M$1:$U$60</t>
  </si>
  <si>
    <t>TABLE13C</t>
  </si>
  <si>
    <t>=HdC!$W$1:$AD$31</t>
  </si>
  <si>
    <t>TABLE13D</t>
  </si>
  <si>
    <t>=HdC!$AF$1:$AQ$53</t>
  </si>
  <si>
    <t>TABLE13E</t>
  </si>
  <si>
    <t>=HdC!$AS$1:$BN$38</t>
  </si>
  <si>
    <t>TABLE14A</t>
  </si>
  <si>
    <t>=SPS!$A$1:$J$61</t>
  </si>
  <si>
    <t>TABLE14B</t>
  </si>
  <si>
    <t>=SPS!$L$1:$V$31</t>
  </si>
  <si>
    <t>TABLE14C</t>
  </si>
  <si>
    <t>=SPS!$X$1:$AE$22</t>
  </si>
  <si>
    <t>TABLE14D</t>
  </si>
  <si>
    <t>=SPS!$AG$1:$AY$48</t>
  </si>
  <si>
    <t>TABLE14E</t>
  </si>
  <si>
    <t>=SPS!$BA$1:$BJ$54</t>
  </si>
  <si>
    <t>TABLE15A</t>
  </si>
  <si>
    <t>=NS!$X$1:$AG$53</t>
  </si>
  <si>
    <t>TABLE15B</t>
  </si>
  <si>
    <t>=NS!$AI$1:$AS$16</t>
  </si>
  <si>
    <t>TABLE15C</t>
  </si>
  <si>
    <t>=NS!$AU$1:$BB$14</t>
  </si>
  <si>
    <t>TABLE15D</t>
  </si>
  <si>
    <t>=NS!$BD$1:$BM$38</t>
  </si>
  <si>
    <t>TABLE16A</t>
  </si>
  <si>
    <t>=JDF!$A$1:$J$26</t>
  </si>
  <si>
    <t>TABLE2A</t>
  </si>
  <si>
    <t>='2'!$A$1:$M$75</t>
  </si>
  <si>
    <t>TABLE2B</t>
  </si>
  <si>
    <t>='2'!$O$1:$W$75</t>
  </si>
  <si>
    <t>TABLE2C</t>
  </si>
  <si>
    <t>='2'!$Y$1:$AN$46</t>
  </si>
  <si>
    <t>TABLE2D</t>
  </si>
  <si>
    <t>='2'!$AP$1:$AX$74</t>
  </si>
  <si>
    <t>TABLE2E</t>
  </si>
  <si>
    <t>='2'!$AZ$1:$BW$60</t>
  </si>
  <si>
    <t>TABLE4</t>
  </si>
  <si>
    <t>='4'!$A$1:$P$85</t>
  </si>
  <si>
    <t>TABLE7</t>
  </si>
  <si>
    <t>='7'!$A$1:$I$44</t>
  </si>
  <si>
    <t>=Tami!$A$1:$L$25</t>
  </si>
  <si>
    <t>TAMIDAT</t>
  </si>
  <si>
    <t>=Tami!$B$6:$L$19</t>
  </si>
  <si>
    <t>PK 4/10/2022</t>
  </si>
  <si>
    <t>Swin wks 38-41: 2.375,3,2,1.5.  USIT no fishery.</t>
  </si>
  <si>
    <t>Swin wks 38-41: 2.375,3,2,1.5. SSIT: no 78C fisheries.  USIT wks 39-41: 0.5,1.125,1.125.  USIT 200 C&amp;S coho, Swin 100 C&amp;S coho.</t>
  </si>
  <si>
    <t xml:space="preserve">DH (04/11/22) 8A Tulalip Comm (based on 2017-20 wks 37-40 and based on 2012-2014 wks 41-42), schedule to 3,3,3,2,2 days per wk for wks 37-41. </t>
  </si>
  <si>
    <t>DH (04/11/22)</t>
  </si>
  <si>
    <t>bc-Coho2227_STTNOF</t>
  </si>
  <si>
    <t>PS updates FisheryID 103, 110</t>
  </si>
  <si>
    <t>TT 52,000, NOF 200,000 Sel, SOF 100,000 Sel &amp; 17,000 NonSel, B10 55,000 Sel, Puget Sound sport fishery updates (FisheryID 103, 110), WA Coast terminal 2022 fisheries for Queets/Quinault/Willapa Bay</t>
  </si>
  <si>
    <t>bc-Coho2228_NOF</t>
  </si>
  <si>
    <t>April 11 PFMC STT+NOF Revised</t>
  </si>
  <si>
    <t>PS marine spt updates FisheryID 106, 107, 115, comm update FisheryID 87, 88.  Grays Harbor 2022 terminal fisheries.</t>
  </si>
  <si>
    <t>TT 52,000, NOF 200,000 Sel, SOF 100,000 Sel &amp; 17,000 NonSel, B10 55,000 Sel, Puget Sound fishery updates (FisheryID 106, 107, 115, 87, 88), WA Coast terminal 2022 fisheries for Grays Harbor</t>
  </si>
  <si>
    <t>April 11 PFMC, WA Coast terminal areas 2022 for Queets/Quinault/Willapa Bay/Grays Harbor, NOF revised</t>
  </si>
  <si>
    <t>Trty (GN): wb 6/19 through wb 8/14,  Set Gillnet Only, 7 days/wk</t>
  </si>
  <si>
    <t>Trty (GN): ~wb 7/24 through ~wb 9/11, Schedule TBD by Fraser Panel</t>
  </si>
  <si>
    <t>Trty (GN): end of Fraser Panel control through wb 10/2, 6 days/wk</t>
  </si>
  <si>
    <t>Trty (GN): wb 10/9 through wb 11/6, 6 days/wk</t>
  </si>
  <si>
    <t>Sport TAC 100,000 marked and 17,000 non-marked coho</t>
  </si>
  <si>
    <t>TAC 52,000 coho</t>
  </si>
  <si>
    <t>Troll TAC 32,000 marked coho</t>
  </si>
  <si>
    <t>Sport TAC 168,000 marked coho</t>
  </si>
  <si>
    <t>Sport 55,000 marked coho</t>
  </si>
  <si>
    <t>Splits &amp; H.R. inputs 2022 from Mike Sch. 4/12/22</t>
  </si>
  <si>
    <t>Splits &amp; H.R. inputs draft 2022 from Tyler Jurasin 4/12/22</t>
  </si>
  <si>
    <t>H.R. inputs 2022 from Mike Sch. 4/12/22</t>
  </si>
  <si>
    <t>Summer treaty troll - 6/15-9/30 7 day/wk, model input source data 2017-2021 (no 2016 fishery/data).</t>
  </si>
  <si>
    <t>Splits and H.R. inputs 2022 from Tyler G. 4/12/22</t>
  </si>
  <si>
    <t>H.R. inputs 2022 from Jenni W. 4/12/22</t>
  </si>
  <si>
    <t>Splits and H.R. inputs 2022 from Brian H./Jenni W. 4/12/22</t>
  </si>
  <si>
    <t>bc-Coho2229</t>
  </si>
  <si>
    <t>April 12 PFMC Final Adopted + 
NOF Agreed-to Fisheries</t>
  </si>
  <si>
    <t>PFMC April Final 2022 Approved Ocean Package (and Co-manager agreement on Puget Sound fisheries)</t>
  </si>
  <si>
    <t>TT 52,000, NOF 200,000 Sel, SOF 100,000 Sel &amp; 17,000 NonSel, B10 55,000 Sel, NOF Final Agreed, WA Coast terminal 2022 fisheries</t>
  </si>
  <si>
    <t>April PFMC STT+NOF  4/12/2022</t>
  </si>
  <si>
    <t xml:space="preserve">KA 4/12/2022: Wks 31-36, 1 days/wk: Hoodsport Hatchery zone: Beach Seine. </t>
  </si>
  <si>
    <t>KA 04/12/22</t>
  </si>
  <si>
    <t xml:space="preserve">Title:PFMC April 12 Final, TT 52K NT 200K </t>
  </si>
  <si>
    <t>Date:4/12/2022</t>
  </si>
  <si>
    <t>CS 4-12-22 Gill Net 2 days a week wk 33 through wk36. Coho directed 1 day wk 41, 3 days wk 42 through wk 46 (closed wk 47 for Chum concerns). Includes C&amp;S, MSF exp, and CIR (wks 31-45).</t>
  </si>
  <si>
    <t>GM 04/12/22: ETRS encounter rate from 3 yr avg, MSF in-river encounters assumed as MSF Quota in FRAM.</t>
  </si>
  <si>
    <t>GM 04/12/22: ETRS encounter rate from 3 yr avg, MSF in-river encounters assumed as MSF Quota in FRAM, see ETRS rate calculations Line 284</t>
  </si>
  <si>
    <t>RunDate:4/12/2022 2:12:39 PM</t>
  </si>
  <si>
    <t>RepDate:4/12/2022 2:12:40 PM</t>
  </si>
  <si>
    <t>Time:02:41 PM</t>
  </si>
  <si>
    <t>Time:02:42 PM</t>
  </si>
  <si>
    <t>Time:02:43 PM</t>
  </si>
  <si>
    <t>Time:02:44 PM</t>
  </si>
  <si>
    <t>Time:02:45 PM</t>
  </si>
  <si>
    <t>Time:02:46 PM</t>
  </si>
  <si>
    <t>Time:02:47 PM</t>
  </si>
  <si>
    <t>RepDate:4/12/2022 2:12:47 PM</t>
  </si>
  <si>
    <t>RepDate:4/12/2022 2:12:48 PM</t>
  </si>
  <si>
    <t>Sheet "ColR&amp;OCN&amp;RogKlam" updated various cells and formulas (U47:49, U56:59, X47:49, X52:54, Y51:54, AG38, AI38, AK38)  to align OCN subaggregate calculations with FRAM based input and impact projection methodogy. (KV)</t>
  </si>
  <si>
    <t>Final PFMC April - Adopted+NOF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</si>
</sst>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5" formatCode="&quot;$&quot;#,##0_);\(&quot;$&quot;#,##0\)"/>
    <numFmt numFmtId="44" formatCode="_(&quot;$&quot;* #,##0.00_);_(&quot;$&quot;* \(#,##0.00\);_(&quot;$&quot;* &quot;-&quot;??_);_(@_)"/>
    <numFmt numFmtId="43" formatCode="_(* #,##0.00_);_(* \(#,##0.00\);_(* &quot;-&quot;??_);_(@_)"/>
    <numFmt numFmtId="164" formatCode="mm/dd/yy_)"/>
    <numFmt numFmtId="165" formatCode="0.00_)"/>
    <numFmt numFmtId="166" formatCode="0.0000_)"/>
    <numFmt numFmtId="167" formatCode="hh:mm\ AM/PM_)"/>
    <numFmt numFmtId="168" formatCode=";;;"/>
    <numFmt numFmtId="169" formatCode="0_)"/>
    <numFmt numFmtId="170" formatCode="0.0%"/>
    <numFmt numFmtId="171" formatCode="0.000_)"/>
    <numFmt numFmtId="172" formatCode="0.00000_)"/>
    <numFmt numFmtId="173" formatCode="0.000000_)"/>
    <numFmt numFmtId="174" formatCode="0.000"/>
    <numFmt numFmtId="175" formatCode="0.0000"/>
    <numFmt numFmtId="176" formatCode="0.0"/>
    <numFmt numFmtId="177" formatCode="0.00000"/>
    <numFmt numFmtId="178" formatCode="_(* #,##0_);_(* \(#,##0\);_(* &quot;-&quot;??_);_(@_)"/>
    <numFmt numFmtId="179" formatCode="mmmm\ d\,\ yyyy"/>
    <numFmt numFmtId="180" formatCode="#,##0.0000_);\(#,##0.0000\)"/>
    <numFmt numFmtId="181" formatCode="0.000%"/>
    <numFmt numFmtId="182" formatCode="0.00000000"/>
    <numFmt numFmtId="183" formatCode="0.000000"/>
    <numFmt numFmtId="184" formatCode="0.0000%"/>
    <numFmt numFmtId="185" formatCode="#,##0.00000_);\(#,##0.00000\)"/>
    <numFmt numFmtId="186" formatCode="#,##0.000"/>
    <numFmt numFmtId="187" formatCode="#,##0.0000"/>
    <numFmt numFmtId="188" formatCode="_(* #,##0.0000_);_(* \(#,##0.0000\);_(* &quot;-&quot;??_);_(@_)"/>
    <numFmt numFmtId="189" formatCode="0.0000000"/>
    <numFmt numFmtId="190" formatCode="_(* #,##0.000_);_(* \(#,##0.000\);_(* &quot;-&quot;??_);_(@_)"/>
    <numFmt numFmtId="191" formatCode="0.000000%"/>
    <numFmt numFmtId="192" formatCode="_(* #,##0.0_);_(* \(#,##0.0\);_(* &quot;-&quot;??_);_(@_)"/>
    <numFmt numFmtId="193" formatCode="0_);\(0\)"/>
    <numFmt numFmtId="194" formatCode="[$-409]d\-mmm\-yy;@"/>
    <numFmt numFmtId="195" formatCode="General_)"/>
    <numFmt numFmtId="196" formatCode="#,##0.000_);\(#,##0.000\)"/>
    <numFmt numFmtId="197" formatCode="#,##0.0"/>
    <numFmt numFmtId="198" formatCode="#,##0.00000"/>
  </numFmts>
  <fonts count="185" x14ac:knownFonts="1">
    <font>
      <sz val="10"/>
      <name val="Arial"/>
    </font>
    <font>
      <sz val="11"/>
      <color theme="1"/>
      <name val="Calibri"/>
      <family val="2"/>
      <scheme val="minor"/>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1"/>
      <color theme="1"/>
      <name val="Calibri"/>
      <family val="2"/>
      <scheme val="minor"/>
    </font>
    <font>
      <sz val="10"/>
      <name val="Arial"/>
      <family val="2"/>
    </font>
    <font>
      <sz val="12"/>
      <name val="Arial"/>
      <family val="2"/>
    </font>
    <font>
      <b/>
      <sz val="12"/>
      <name val="Arial"/>
      <family val="2"/>
    </font>
    <font>
      <sz val="12"/>
      <color indexed="12"/>
      <name val="Arial"/>
      <family val="2"/>
    </font>
    <font>
      <sz val="10"/>
      <name val="Arial"/>
      <family val="2"/>
    </font>
    <font>
      <sz val="8"/>
      <name val="Arial"/>
      <family val="2"/>
    </font>
    <font>
      <b/>
      <sz val="18"/>
      <name val="Arial"/>
      <family val="2"/>
    </font>
    <font>
      <sz val="12"/>
      <color indexed="10"/>
      <name val="Arial"/>
      <family val="2"/>
    </font>
    <font>
      <b/>
      <sz val="12"/>
      <color indexed="12"/>
      <name val="Arial"/>
      <family val="2"/>
    </font>
    <font>
      <b/>
      <sz val="12"/>
      <color indexed="8"/>
      <name val="Arial"/>
      <family val="2"/>
    </font>
    <font>
      <sz val="12"/>
      <color indexed="8"/>
      <name val="Arial"/>
      <family val="2"/>
    </font>
    <font>
      <i/>
      <sz val="12"/>
      <name val="Arial"/>
      <family val="2"/>
    </font>
    <font>
      <sz val="12"/>
      <color indexed="59"/>
      <name val="Arial"/>
      <family val="2"/>
    </font>
    <font>
      <sz val="12"/>
      <color indexed="17"/>
      <name val="Arial"/>
      <family val="2"/>
    </font>
    <font>
      <b/>
      <sz val="10"/>
      <name val="Arial"/>
      <family val="2"/>
    </font>
    <font>
      <sz val="10"/>
      <color indexed="12"/>
      <name val="Courier"/>
      <family val="3"/>
    </font>
    <font>
      <sz val="12"/>
      <color indexed="48"/>
      <name val="Arial"/>
      <family val="2"/>
    </font>
    <font>
      <sz val="8"/>
      <color indexed="81"/>
      <name val="Tahoma"/>
      <family val="2"/>
    </font>
    <font>
      <b/>
      <sz val="8"/>
      <color indexed="81"/>
      <name val="Tahoma"/>
      <family val="2"/>
    </font>
    <font>
      <sz val="10"/>
      <color indexed="10"/>
      <name val="Arial"/>
      <family val="2"/>
    </font>
    <font>
      <sz val="10"/>
      <color indexed="53"/>
      <name val="Arial"/>
      <family val="2"/>
    </font>
    <font>
      <b/>
      <sz val="10"/>
      <color indexed="12"/>
      <name val="Arial"/>
      <family val="2"/>
    </font>
    <font>
      <b/>
      <sz val="18"/>
      <name val="Arial"/>
      <family val="2"/>
    </font>
    <font>
      <b/>
      <sz val="12"/>
      <name val="Arial"/>
      <family val="2"/>
    </font>
    <font>
      <b/>
      <sz val="16"/>
      <name val="Arial"/>
      <family val="2"/>
    </font>
    <font>
      <sz val="12"/>
      <color indexed="9"/>
      <name val="Arial"/>
      <family val="2"/>
    </font>
    <font>
      <b/>
      <sz val="12"/>
      <color indexed="48"/>
      <name val="Arial"/>
      <family val="2"/>
    </font>
    <font>
      <b/>
      <sz val="12"/>
      <color indexed="10"/>
      <name val="Arial"/>
      <family val="2"/>
    </font>
    <font>
      <sz val="11"/>
      <color indexed="81"/>
      <name val="Tahoma"/>
      <family val="2"/>
    </font>
    <font>
      <b/>
      <u/>
      <sz val="10"/>
      <name val="Arial"/>
      <family val="2"/>
    </font>
    <font>
      <b/>
      <sz val="14"/>
      <name val="Arial"/>
      <family val="2"/>
    </font>
    <font>
      <i/>
      <sz val="10"/>
      <name val="Arial"/>
      <family val="2"/>
    </font>
    <font>
      <b/>
      <i/>
      <sz val="10"/>
      <name val="Arial"/>
      <family val="2"/>
    </font>
    <font>
      <sz val="10"/>
      <color indexed="62"/>
      <name val="Arial"/>
      <family val="2"/>
    </font>
    <font>
      <u/>
      <sz val="12"/>
      <name val="Arial"/>
      <family val="2"/>
    </font>
    <font>
      <b/>
      <sz val="10"/>
      <name val="Times New Roman"/>
      <family val="1"/>
    </font>
    <font>
      <sz val="10"/>
      <name val="Times New Roman"/>
      <family val="1"/>
    </font>
    <font>
      <sz val="12"/>
      <name val="Times New Roman"/>
      <family val="1"/>
    </font>
    <font>
      <b/>
      <sz val="12"/>
      <name val="Times New Roman"/>
      <family val="1"/>
    </font>
    <font>
      <b/>
      <u/>
      <sz val="12"/>
      <name val="Arial"/>
      <family val="2"/>
    </font>
    <font>
      <sz val="12"/>
      <color indexed="50"/>
      <name val="Arial"/>
      <family val="2"/>
    </font>
    <font>
      <b/>
      <sz val="12"/>
      <color indexed="57"/>
      <name val="Arial"/>
      <family val="2"/>
    </font>
    <font>
      <sz val="12"/>
      <color indexed="57"/>
      <name val="Arial"/>
      <family val="2"/>
    </font>
    <font>
      <b/>
      <sz val="12"/>
      <color indexed="45"/>
      <name val="Arial"/>
      <family val="2"/>
    </font>
    <font>
      <sz val="9"/>
      <name val="Arial"/>
      <family val="2"/>
    </font>
    <font>
      <b/>
      <i/>
      <sz val="12"/>
      <color indexed="10"/>
      <name val="Arial"/>
      <family val="2"/>
    </font>
    <font>
      <b/>
      <sz val="12"/>
      <color indexed="61"/>
      <name val="Arial"/>
      <family val="2"/>
    </font>
    <font>
      <sz val="12"/>
      <color indexed="61"/>
      <name val="Arial"/>
      <family val="2"/>
    </font>
    <font>
      <u/>
      <sz val="10"/>
      <name val="Arial"/>
      <family val="2"/>
    </font>
    <font>
      <b/>
      <sz val="10"/>
      <color indexed="10"/>
      <name val="Arial"/>
      <family val="2"/>
    </font>
    <font>
      <b/>
      <u/>
      <sz val="12"/>
      <color indexed="10"/>
      <name val="Arial"/>
      <family val="2"/>
    </font>
    <font>
      <sz val="12"/>
      <color indexed="53"/>
      <name val="Arial"/>
      <family val="2"/>
    </font>
    <font>
      <b/>
      <sz val="10"/>
      <color indexed="81"/>
      <name val="Tahoma"/>
      <family val="2"/>
    </font>
    <font>
      <sz val="10"/>
      <color indexed="81"/>
      <name val="Tahoma"/>
      <family val="2"/>
    </font>
    <font>
      <sz val="10"/>
      <color indexed="9"/>
      <name val="Arial"/>
      <family val="2"/>
    </font>
    <font>
      <sz val="11"/>
      <name val="Arial"/>
      <family val="2"/>
    </font>
    <font>
      <b/>
      <sz val="11"/>
      <name val="Arial"/>
      <family val="2"/>
    </font>
    <font>
      <b/>
      <sz val="12"/>
      <color indexed="30"/>
      <name val="Arial"/>
      <family val="2"/>
    </font>
    <font>
      <b/>
      <sz val="12"/>
      <color indexed="17"/>
      <name val="Arial"/>
      <family val="2"/>
    </font>
    <font>
      <sz val="8"/>
      <name val="Arial"/>
      <family val="2"/>
    </font>
    <font>
      <sz val="14"/>
      <name val="Arial"/>
      <family val="2"/>
    </font>
    <font>
      <sz val="9"/>
      <color indexed="81"/>
      <name val="Tahoma"/>
      <family val="2"/>
    </font>
    <font>
      <b/>
      <sz val="9"/>
      <color indexed="81"/>
      <name val="Tahoma"/>
      <family val="2"/>
    </font>
    <font>
      <sz val="20"/>
      <name val="Arial"/>
      <family val="2"/>
    </font>
    <font>
      <sz val="12"/>
      <color rgb="FF00B0F0"/>
      <name val="Arial"/>
      <family val="2"/>
    </font>
    <font>
      <b/>
      <sz val="12"/>
      <color theme="9" tint="-0.499984740745262"/>
      <name val="Arial"/>
      <family val="2"/>
    </font>
    <font>
      <sz val="10"/>
      <color rgb="FFFF0000"/>
      <name val="Arial"/>
      <family val="2"/>
    </font>
    <font>
      <i/>
      <sz val="12"/>
      <color theme="9" tint="-0.499984740745262"/>
      <name val="Arial"/>
      <family val="2"/>
    </font>
    <font>
      <b/>
      <i/>
      <sz val="12"/>
      <color theme="9" tint="-0.499984740745262"/>
      <name val="Arial"/>
      <family val="2"/>
    </font>
    <font>
      <b/>
      <sz val="12"/>
      <color rgb="FFFF0000"/>
      <name val="Arial"/>
      <family val="2"/>
    </font>
    <font>
      <b/>
      <sz val="10"/>
      <color rgb="FFFF0000"/>
      <name val="Arial"/>
      <family val="2"/>
    </font>
    <font>
      <sz val="12"/>
      <color theme="0"/>
      <name val="Arial"/>
      <family val="2"/>
    </font>
    <font>
      <i/>
      <sz val="11"/>
      <name val="Arial"/>
      <family val="2"/>
    </font>
    <font>
      <b/>
      <sz val="12"/>
      <color theme="3"/>
      <name val="Arial"/>
      <family val="2"/>
    </font>
    <font>
      <b/>
      <sz val="12"/>
      <color theme="0"/>
      <name val="Arial"/>
      <family val="2"/>
    </font>
    <font>
      <b/>
      <sz val="14"/>
      <name val="Times New Roman"/>
      <family val="1"/>
    </font>
    <font>
      <b/>
      <sz val="16"/>
      <name val="Times New Roman"/>
      <family val="1"/>
    </font>
    <font>
      <b/>
      <sz val="12"/>
      <color indexed="12"/>
      <name val="Times New Roman"/>
      <family val="1"/>
    </font>
    <font>
      <b/>
      <sz val="12"/>
      <color indexed="48"/>
      <name val="Times New Roman"/>
      <family val="1"/>
    </font>
    <font>
      <sz val="12"/>
      <name val="Impact"/>
      <family val="2"/>
    </font>
    <font>
      <sz val="10"/>
      <color theme="1"/>
      <name val="Arial"/>
      <family val="2"/>
    </font>
    <font>
      <sz val="12"/>
      <color rgb="FFFF0000"/>
      <name val="Arial"/>
      <family val="2"/>
    </font>
    <font>
      <b/>
      <sz val="14"/>
      <color rgb="FFFF0000"/>
      <name val="Arial"/>
      <family val="2"/>
    </font>
    <font>
      <sz val="14"/>
      <color rgb="FF0070C0"/>
      <name val="Arial"/>
      <family val="2"/>
    </font>
    <font>
      <b/>
      <sz val="14"/>
      <color rgb="FF0066FF"/>
      <name val="Arial"/>
      <family val="2"/>
    </font>
    <font>
      <b/>
      <sz val="12"/>
      <color rgb="FF0066FF"/>
      <name val="Arial"/>
      <family val="2"/>
    </font>
    <font>
      <strike/>
      <sz val="12"/>
      <name val="Arial"/>
      <family val="2"/>
    </font>
    <font>
      <strike/>
      <sz val="10"/>
      <name val="Arial"/>
      <family val="2"/>
    </font>
    <font>
      <sz val="16"/>
      <name val="Arial"/>
      <family val="2"/>
    </font>
    <font>
      <b/>
      <sz val="16"/>
      <color rgb="FF7030A0"/>
      <name val="Arial"/>
      <family val="2"/>
    </font>
    <font>
      <sz val="10"/>
      <color rgb="FF7030A0"/>
      <name val="Arial"/>
      <family val="2"/>
    </font>
    <font>
      <b/>
      <sz val="16"/>
      <color rgb="FFFF0000"/>
      <name val="Arial"/>
      <family val="2"/>
    </font>
    <font>
      <b/>
      <sz val="12"/>
      <color rgb="FFFFC000"/>
      <name val="Arial"/>
      <family val="2"/>
    </font>
    <font>
      <i/>
      <sz val="12"/>
      <color theme="5" tint="-0.499984740745262"/>
      <name val="Arial"/>
      <family val="2"/>
    </font>
    <font>
      <i/>
      <sz val="12"/>
      <color rgb="FFFF0000"/>
      <name val="Arial"/>
      <family val="2"/>
    </font>
    <font>
      <i/>
      <sz val="12"/>
      <color indexed="10"/>
      <name val="Arial"/>
      <family val="2"/>
    </font>
    <font>
      <i/>
      <u/>
      <sz val="12"/>
      <name val="Arial"/>
      <family val="2"/>
    </font>
    <font>
      <b/>
      <sz val="14"/>
      <name val="Calibri"/>
      <family val="2"/>
      <scheme val="minor"/>
    </font>
    <font>
      <sz val="12"/>
      <name val="Calibri"/>
      <family val="2"/>
      <scheme val="minor"/>
    </font>
    <font>
      <u/>
      <sz val="12"/>
      <color theme="10"/>
      <name val="Arial"/>
      <family val="2"/>
    </font>
    <font>
      <sz val="11"/>
      <color indexed="8"/>
      <name val="Calibri"/>
      <family val="2"/>
    </font>
    <font>
      <sz val="10"/>
      <name val="MS Sans Serif"/>
      <family val="2"/>
    </font>
    <font>
      <b/>
      <i/>
      <sz val="20"/>
      <name val="Arial"/>
      <family val="2"/>
    </font>
    <font>
      <sz val="10"/>
      <color indexed="72"/>
      <name val="MS Sans Serif"/>
      <family val="2"/>
    </font>
    <font>
      <sz val="11"/>
      <color theme="1"/>
      <name val="Times New Roman"/>
      <family val="2"/>
    </font>
    <font>
      <sz val="14"/>
      <name val="Calibri"/>
      <family val="2"/>
      <scheme val="minor"/>
    </font>
    <font>
      <u/>
      <sz val="14"/>
      <color theme="10"/>
      <name val="Calibri"/>
      <family val="2"/>
      <scheme val="minor"/>
    </font>
    <font>
      <b/>
      <vertAlign val="superscript"/>
      <sz val="10"/>
      <name val="Arial"/>
      <family val="2"/>
    </font>
    <font>
      <vertAlign val="superscript"/>
      <sz val="10"/>
      <name val="Arial"/>
      <family val="2"/>
    </font>
    <font>
      <b/>
      <i/>
      <sz val="12"/>
      <name val="Arial"/>
      <family val="2"/>
    </font>
    <font>
      <vertAlign val="superscript"/>
      <sz val="12"/>
      <name val="Arial"/>
      <family val="2"/>
    </font>
    <font>
      <sz val="12"/>
      <color theme="9" tint="-0.499984740745262"/>
      <name val="Arial"/>
      <family val="2"/>
    </font>
    <font>
      <b/>
      <i/>
      <sz val="12"/>
      <color theme="4" tint="-0.249977111117893"/>
      <name val="Arial"/>
      <family val="2"/>
    </font>
    <font>
      <b/>
      <sz val="12"/>
      <color theme="4" tint="-0.249977111117893"/>
      <name val="Arial"/>
      <family val="2"/>
    </font>
    <font>
      <b/>
      <sz val="12"/>
      <color theme="1"/>
      <name val="Times New Roman"/>
      <family val="1"/>
    </font>
    <font>
      <sz val="12"/>
      <color theme="1"/>
      <name val="Times New Roman"/>
      <family val="1"/>
    </font>
    <font>
      <sz val="13"/>
      <name val="Arial"/>
      <family val="2"/>
    </font>
    <font>
      <b/>
      <sz val="13"/>
      <name val="Arial"/>
      <family val="2"/>
    </font>
    <font>
      <sz val="10"/>
      <color indexed="0"/>
      <name val="MS Sans Serif"/>
      <family val="2"/>
    </font>
    <font>
      <b/>
      <sz val="18"/>
      <color theme="3"/>
      <name val="Cambria"/>
      <family val="2"/>
      <scheme val="major"/>
    </font>
    <font>
      <sz val="11"/>
      <color theme="0"/>
      <name val="Calibri"/>
      <family val="2"/>
      <scheme val="minor"/>
    </font>
    <font>
      <sz val="11"/>
      <color theme="1"/>
      <name val="Arial"/>
      <family val="2"/>
    </font>
    <font>
      <sz val="11"/>
      <color theme="0"/>
      <name val="Arial"/>
      <family val="2"/>
    </font>
    <font>
      <sz val="11"/>
      <color indexed="9"/>
      <name val="Calibri"/>
      <family val="2"/>
    </font>
    <font>
      <sz val="11"/>
      <color rgb="FF9C0006"/>
      <name val="Arial"/>
      <family val="2"/>
    </font>
    <font>
      <sz val="11"/>
      <color indexed="20"/>
      <name val="Calibri"/>
      <family val="2"/>
    </font>
    <font>
      <b/>
      <sz val="11"/>
      <color rgb="FFFA7D00"/>
      <name val="Arial"/>
      <family val="2"/>
    </font>
    <font>
      <b/>
      <sz val="11"/>
      <color indexed="52"/>
      <name val="Calibri"/>
      <family val="2"/>
    </font>
    <font>
      <b/>
      <sz val="11"/>
      <color theme="0"/>
      <name val="Arial"/>
      <family val="2"/>
    </font>
    <font>
      <b/>
      <sz val="11"/>
      <color indexed="9"/>
      <name val="Calibri"/>
      <family val="2"/>
    </font>
    <font>
      <i/>
      <sz val="11"/>
      <color rgb="FF7F7F7F"/>
      <name val="Arial"/>
      <family val="2"/>
    </font>
    <font>
      <i/>
      <sz val="11"/>
      <color indexed="23"/>
      <name val="Calibri"/>
      <family val="2"/>
    </font>
    <font>
      <sz val="11"/>
      <color rgb="FF006100"/>
      <name val="Arial"/>
      <family val="2"/>
    </font>
    <font>
      <sz val="11"/>
      <color indexed="17"/>
      <name val="Calibri"/>
      <family val="2"/>
    </font>
    <font>
      <b/>
      <sz val="15"/>
      <color theme="3"/>
      <name val="Arial"/>
      <family val="2"/>
    </font>
    <font>
      <b/>
      <sz val="15"/>
      <color indexed="56"/>
      <name val="Calibri"/>
      <family val="2"/>
    </font>
    <font>
      <b/>
      <sz val="13"/>
      <color theme="3"/>
      <name val="Arial"/>
      <family val="2"/>
    </font>
    <font>
      <b/>
      <sz val="13"/>
      <color indexed="56"/>
      <name val="Calibri"/>
      <family val="2"/>
    </font>
    <font>
      <b/>
      <sz val="11"/>
      <color theme="3"/>
      <name val="Arial"/>
      <family val="2"/>
    </font>
    <font>
      <b/>
      <sz val="11"/>
      <color indexed="56"/>
      <name val="Calibri"/>
      <family val="2"/>
    </font>
    <font>
      <sz val="11"/>
      <color rgb="FF3F3F76"/>
      <name val="Arial"/>
      <family val="2"/>
    </font>
    <font>
      <sz val="11"/>
      <color indexed="62"/>
      <name val="Calibri"/>
      <family val="2"/>
    </font>
    <font>
      <sz val="11"/>
      <color rgb="FFFA7D00"/>
      <name val="Arial"/>
      <family val="2"/>
    </font>
    <font>
      <sz val="11"/>
      <color indexed="52"/>
      <name val="Calibri"/>
      <family val="2"/>
    </font>
    <font>
      <sz val="11"/>
      <color rgb="FF9C6500"/>
      <name val="Arial"/>
      <family val="2"/>
    </font>
    <font>
      <sz val="11"/>
      <color indexed="60"/>
      <name val="Calibri"/>
      <family val="2"/>
    </font>
    <font>
      <sz val="10"/>
      <name val="Courier"/>
      <family val="3"/>
    </font>
    <font>
      <sz val="10"/>
      <color indexed="8"/>
      <name val="Arial"/>
      <family val="2"/>
    </font>
    <font>
      <b/>
      <sz val="11"/>
      <color rgb="FF3F3F3F"/>
      <name val="Arial"/>
      <family val="2"/>
    </font>
    <font>
      <b/>
      <sz val="11"/>
      <color indexed="63"/>
      <name val="Calibri"/>
      <family val="2"/>
    </font>
    <font>
      <b/>
      <sz val="18"/>
      <color indexed="56"/>
      <name val="Cambria"/>
      <family val="2"/>
    </font>
    <font>
      <b/>
      <sz val="11"/>
      <color theme="1"/>
      <name val="Arial"/>
      <family val="2"/>
    </font>
    <font>
      <b/>
      <sz val="11"/>
      <color indexed="8"/>
      <name val="Calibri"/>
      <family val="2"/>
    </font>
    <font>
      <sz val="11"/>
      <color rgb="FFFF0000"/>
      <name val="Arial"/>
      <family val="2"/>
    </font>
    <font>
      <sz val="11"/>
      <color indexed="10"/>
      <name val="Calibri"/>
      <family val="2"/>
    </font>
    <font>
      <u/>
      <sz val="10"/>
      <color theme="10"/>
      <name val="Arial"/>
      <family val="2"/>
    </font>
    <font>
      <b/>
      <sz val="10"/>
      <color indexed="9"/>
      <name val="Arial"/>
      <family val="2"/>
    </font>
    <font>
      <sz val="13"/>
      <color rgb="FFFF0000"/>
      <name val="Arial"/>
      <family val="2"/>
    </font>
    <font>
      <sz val="12"/>
      <color theme="9" tint="-0.249977111117893"/>
      <name val="Arial"/>
      <family val="2"/>
    </font>
    <font>
      <b/>
      <sz val="12"/>
      <color rgb="FFFF0000"/>
      <name val="Times New Roman"/>
      <family val="1"/>
    </font>
    <font>
      <b/>
      <sz val="12"/>
      <color theme="1"/>
      <name val="Calibri"/>
      <family val="2"/>
      <scheme val="minor"/>
    </font>
    <font>
      <b/>
      <sz val="13"/>
      <color indexed="10"/>
      <name val="Arial"/>
      <family val="2"/>
    </font>
    <font>
      <i/>
      <sz val="13"/>
      <name val="Arial"/>
      <family val="2"/>
    </font>
    <font>
      <b/>
      <sz val="9"/>
      <name val="Arial"/>
      <family val="2"/>
    </font>
    <font>
      <sz val="12"/>
      <color theme="4" tint="-0.249977111117893"/>
      <name val="Arial"/>
      <family val="2"/>
    </font>
    <font>
      <i/>
      <sz val="12"/>
      <color theme="4" tint="-0.249977111117893"/>
      <name val="Arial"/>
      <family val="2"/>
    </font>
    <font>
      <sz val="12"/>
      <color rgb="FFFF0000"/>
      <name val="Times New Roman"/>
      <family val="1"/>
    </font>
    <font>
      <sz val="12"/>
      <color rgb="FF000000"/>
      <name val="Arial"/>
      <family val="2"/>
    </font>
    <font>
      <b/>
      <sz val="14"/>
      <color theme="1"/>
      <name val="Calibri"/>
      <family val="2"/>
      <scheme val="minor"/>
    </font>
    <font>
      <b/>
      <sz val="18"/>
      <color rgb="FF000000"/>
      <name val="Calibri"/>
      <family val="2"/>
    </font>
  </fonts>
  <fills count="107">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55"/>
        <bgColor indexed="64"/>
      </patternFill>
    </fill>
    <fill>
      <patternFill patternType="solid">
        <fgColor indexed="22"/>
        <bgColor indexed="64"/>
      </patternFill>
    </fill>
    <fill>
      <patternFill patternType="solid">
        <fgColor indexed="41"/>
        <bgColor indexed="64"/>
      </patternFill>
    </fill>
    <fill>
      <patternFill patternType="solid">
        <fgColor indexed="54"/>
        <bgColor indexed="64"/>
      </patternFill>
    </fill>
    <fill>
      <patternFill patternType="solid">
        <fgColor indexed="51"/>
        <bgColor indexed="64"/>
      </patternFill>
    </fill>
    <fill>
      <patternFill patternType="solid">
        <fgColor indexed="43"/>
        <bgColor indexed="64"/>
      </patternFill>
    </fill>
    <fill>
      <patternFill patternType="solid">
        <fgColor indexed="45"/>
        <bgColor indexed="64"/>
      </patternFill>
    </fill>
    <fill>
      <patternFill patternType="solid">
        <fgColor indexed="42"/>
        <bgColor indexed="64"/>
      </patternFill>
    </fill>
    <fill>
      <patternFill patternType="solid">
        <fgColor indexed="49"/>
        <bgColor indexed="64"/>
      </patternFill>
    </fill>
    <fill>
      <patternFill patternType="gray0625"/>
    </fill>
    <fill>
      <patternFill patternType="solid">
        <fgColor indexed="46"/>
        <bgColor indexed="64"/>
      </patternFill>
    </fill>
    <fill>
      <patternFill patternType="solid">
        <fgColor indexed="47"/>
        <bgColor indexed="64"/>
      </patternFill>
    </fill>
    <fill>
      <patternFill patternType="solid">
        <fgColor rgb="FFFFFF00"/>
        <bgColor indexed="64"/>
      </patternFill>
    </fill>
    <fill>
      <patternFill patternType="solid">
        <fgColor rgb="FF33CCCC"/>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indexed="26"/>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0000"/>
        <bgColor indexed="64"/>
      </patternFill>
    </fill>
    <fill>
      <patternFill patternType="solid">
        <fgColor theme="1" tint="0.499984740745262"/>
        <bgColor indexed="64"/>
      </patternFill>
    </fill>
    <fill>
      <patternFill patternType="solid">
        <fgColor rgb="FFFFCCFF"/>
        <bgColor indexed="64"/>
      </patternFill>
    </fill>
    <fill>
      <patternFill patternType="solid">
        <fgColor indexed="15"/>
        <bgColor indexed="32"/>
      </patternFill>
    </fill>
    <fill>
      <patternFill patternType="solid">
        <fgColor theme="4" tint="0.59999389629810485"/>
        <bgColor indexed="64"/>
      </patternFill>
    </fill>
    <fill>
      <patternFill patternType="solid">
        <fgColor rgb="FFFF00FF"/>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FFCC"/>
      </patternFill>
    </fill>
    <fill>
      <patternFill patternType="solid">
        <fgColor theme="8" tint="0.79998168889431442"/>
        <bgColor indexed="65"/>
      </patternFill>
    </fill>
    <fill>
      <patternFill patternType="solid">
        <fgColor theme="9" tint="0.79998168889431442"/>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79998168889431442"/>
        <bgColor indexed="64"/>
      </patternFill>
    </fill>
    <fill>
      <patternFill patternType="solid">
        <fgColor indexed="57"/>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6" tint="0.39997558519241921"/>
        <bgColor rgb="FF000000"/>
      </patternFill>
    </fill>
  </fills>
  <borders count="183">
    <border>
      <left/>
      <right/>
      <top/>
      <bottom/>
      <diagonal/>
    </border>
    <border>
      <left/>
      <right/>
      <top style="double">
        <color indexed="64"/>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right style="medium">
        <color indexed="64"/>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8"/>
      </left>
      <right/>
      <top style="medium">
        <color indexed="64"/>
      </top>
      <bottom/>
      <diagonal/>
    </border>
    <border>
      <left style="thin">
        <color indexed="8"/>
      </left>
      <right/>
      <top/>
      <bottom style="medium">
        <color indexed="64"/>
      </bottom>
      <diagonal/>
    </border>
    <border>
      <left/>
      <right style="medium">
        <color indexed="8"/>
      </right>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thin">
        <color indexed="64"/>
      </left>
      <right style="medium">
        <color indexed="64"/>
      </right>
      <top style="medium">
        <color indexed="64"/>
      </top>
      <bottom/>
      <diagonal/>
    </border>
    <border>
      <left/>
      <right style="thin">
        <color indexed="8"/>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thin">
        <color indexed="0"/>
      </left>
      <right style="thin">
        <color indexed="0"/>
      </right>
      <top/>
      <bottom/>
      <diagonal/>
    </border>
    <border>
      <left/>
      <right/>
      <top/>
      <bottom style="thin">
        <color indexed="0"/>
      </bottom>
      <diagonal/>
    </border>
    <border>
      <left/>
      <right style="medium">
        <color auto="1"/>
      </right>
      <top/>
      <bottom/>
      <diagonal/>
    </border>
    <border>
      <left/>
      <right/>
      <top style="thin">
        <color indexed="64"/>
      </top>
      <bottom style="thin">
        <color indexed="64"/>
      </bottom>
      <diagonal/>
    </border>
    <border>
      <left/>
      <right/>
      <top style="thin">
        <color indexed="64"/>
      </top>
      <bottom/>
      <diagonal/>
    </border>
    <border>
      <left/>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ck">
        <color rgb="FF000000"/>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medium">
        <color indexed="64"/>
      </right>
      <top style="medium">
        <color indexed="64"/>
      </top>
      <bottom/>
      <diagonal/>
    </border>
    <border>
      <left style="thick">
        <color rgb="FF000000"/>
      </left>
      <right style="medium">
        <color indexed="64"/>
      </right>
      <top/>
      <bottom style="medium">
        <color indexed="64"/>
      </bottom>
      <diagonal/>
    </border>
    <border>
      <left style="thick">
        <color rgb="FF000000"/>
      </left>
      <right style="thin">
        <color indexed="64"/>
      </right>
      <top style="medium">
        <color indexed="64"/>
      </top>
      <bottom style="thin">
        <color indexed="64"/>
      </bottom>
      <diagonal/>
    </border>
    <border>
      <left style="thick">
        <color rgb="FF000000"/>
      </left>
      <right style="thin">
        <color indexed="64"/>
      </right>
      <top style="thin">
        <color indexed="64"/>
      </top>
      <bottom style="medium">
        <color indexed="64"/>
      </bottom>
      <diagonal/>
    </border>
    <border>
      <left style="thick">
        <color rgb="FF000000"/>
      </left>
      <right style="medium">
        <color indexed="64"/>
      </right>
      <top/>
      <bottom/>
      <diagonal/>
    </border>
    <border>
      <left style="thick">
        <color rgb="FF000000"/>
      </left>
      <right/>
      <top style="medium">
        <color indexed="64"/>
      </top>
      <bottom/>
      <diagonal/>
    </border>
    <border>
      <left style="thick">
        <color rgb="FF000000"/>
      </left>
      <right/>
      <top/>
      <bottom style="medium">
        <color indexed="64"/>
      </bottom>
      <diagonal/>
    </border>
    <border>
      <left/>
      <right style="thin">
        <color rgb="FF000000"/>
      </right>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indexed="8"/>
      </bottom>
      <diagonal/>
    </border>
    <border>
      <left/>
      <right/>
      <top/>
      <bottom style="thin">
        <color auto="1"/>
      </bottom>
      <diagonal/>
    </border>
    <border>
      <left/>
      <right/>
      <top style="thin">
        <color indexed="64"/>
      </top>
      <bottom style="thin">
        <color indexed="64"/>
      </bottom>
      <diagonal/>
    </border>
    <border>
      <left style="thin">
        <color rgb="FF000000"/>
      </left>
      <right/>
      <top/>
      <bottom/>
      <diagonal/>
    </border>
    <border>
      <left/>
      <right style="thin">
        <color indexed="64"/>
      </right>
      <top style="medium">
        <color indexed="64"/>
      </top>
      <bottom/>
      <diagonal/>
    </border>
    <border>
      <left/>
      <right style="medium">
        <color auto="1"/>
      </right>
      <top/>
      <bottom style="thin">
        <color indexed="64"/>
      </bottom>
      <diagonal/>
    </border>
    <border>
      <left/>
      <right/>
      <top/>
      <bottom style="thin">
        <color indexed="64"/>
      </bottom>
      <diagonal/>
    </border>
    <border>
      <left style="thin">
        <color indexed="64"/>
      </left>
      <right/>
      <top/>
      <bottom style="thin">
        <color indexed="64"/>
      </bottom>
      <diagonal/>
    </border>
    <border>
      <left/>
      <right/>
      <top style="thin">
        <color indexed="64"/>
      </top>
      <bottom/>
      <diagonal/>
    </border>
    <border>
      <left/>
      <right/>
      <top style="medium">
        <color indexed="64"/>
      </top>
      <bottom style="thin">
        <color indexed="64"/>
      </bottom>
      <diagonal/>
    </border>
    <border>
      <left/>
      <right/>
      <top/>
      <bottom style="thin">
        <color indexed="0"/>
      </bottom>
      <diagonal/>
    </border>
    <border>
      <left/>
      <right/>
      <top/>
      <bottom style="thin">
        <color indexed="8"/>
      </bottom>
      <diagonal/>
    </border>
    <border>
      <left style="thin">
        <color indexed="8"/>
      </left>
      <right/>
      <top/>
      <bottom style="thin">
        <color indexed="8"/>
      </bottom>
      <diagonal/>
    </border>
    <border>
      <left/>
      <right/>
      <top/>
      <bottom style="thin">
        <color indexed="64"/>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right style="thin">
        <color indexed="64"/>
      </right>
      <top/>
      <bottom style="thin">
        <color indexed="64"/>
      </bottom>
      <diagonal/>
    </border>
    <border>
      <left/>
      <right style="thin">
        <color rgb="FF000000"/>
      </right>
      <top/>
      <bottom style="thin">
        <color indexed="8"/>
      </bottom>
      <diagonal/>
    </border>
    <border>
      <left/>
      <right style="medium">
        <color indexed="8"/>
      </right>
      <top/>
      <bottom style="thin">
        <color indexed="64"/>
      </bottom>
      <diagonal/>
    </border>
    <border>
      <left style="thin">
        <color indexed="64"/>
      </left>
      <right style="medium">
        <color indexed="64"/>
      </right>
      <top/>
      <bottom style="thin">
        <color indexed="64"/>
      </bottom>
      <diagonal/>
    </border>
    <border>
      <left/>
      <right style="thin">
        <color auto="1"/>
      </right>
      <top/>
      <bottom style="thin">
        <color auto="1"/>
      </bottom>
      <diagonal/>
    </border>
    <border>
      <left/>
      <right/>
      <top/>
      <bottom style="thin">
        <color indexed="64"/>
      </bottom>
      <diagonal/>
    </border>
    <border>
      <left/>
      <right/>
      <top/>
      <bottom style="thin">
        <color indexed="8"/>
      </bottom>
      <diagonal/>
    </border>
    <border>
      <left style="thin">
        <color indexed="8"/>
      </left>
      <right/>
      <top/>
      <bottom style="thin">
        <color indexed="8"/>
      </bottom>
      <diagonal/>
    </border>
    <border>
      <left style="thin">
        <color indexed="64"/>
      </left>
      <right/>
      <top/>
      <bottom style="thin">
        <color indexed="8"/>
      </bottom>
      <diagonal/>
    </border>
    <border>
      <left/>
      <right style="thin">
        <color indexed="64"/>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64"/>
      </top>
      <bottom style="thin">
        <color indexed="8"/>
      </bottom>
      <diagonal/>
    </border>
    <border>
      <left/>
      <right/>
      <top style="thin">
        <color indexed="64"/>
      </top>
      <bottom style="thin">
        <color indexed="8"/>
      </bottom>
      <diagonal/>
    </border>
    <border>
      <left/>
      <right style="medium">
        <color indexed="8"/>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8"/>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rgb="FF000000"/>
      </bottom>
      <diagonal/>
    </border>
    <border>
      <left/>
      <right style="thin">
        <color indexed="64"/>
      </right>
      <top style="thin">
        <color indexed="64"/>
      </top>
      <bottom/>
      <diagonal/>
    </border>
    <border>
      <left style="medium">
        <color rgb="FF000000"/>
      </left>
      <right style="medium">
        <color rgb="FF000000"/>
      </right>
      <top style="medium">
        <color rgb="FF000000"/>
      </top>
      <bottom style="medium">
        <color rgb="FF000000"/>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right style="thin">
        <color rgb="FF000000"/>
      </right>
      <top style="thin">
        <color indexed="8"/>
      </top>
      <bottom/>
      <diagonal/>
    </border>
    <border>
      <left/>
      <right style="thin">
        <color indexed="8"/>
      </right>
      <top style="thin">
        <color indexed="8"/>
      </top>
      <bottom style="thin">
        <color indexed="8"/>
      </bottom>
      <diagonal/>
    </border>
    <border>
      <left style="thin">
        <color rgb="FF000000"/>
      </left>
      <right style="thin">
        <color rgb="FF000000"/>
      </right>
      <top style="thin">
        <color indexed="8"/>
      </top>
      <bottom style="thin">
        <color indexed="8"/>
      </bottom>
      <diagonal/>
    </border>
    <border>
      <left style="thin">
        <color rgb="FF000000"/>
      </left>
      <right style="thin">
        <color rgb="FF000000"/>
      </right>
      <top style="thin">
        <color indexed="8"/>
      </top>
      <bottom style="thin">
        <color rgb="FF000000"/>
      </bottom>
      <diagonal/>
    </border>
    <border>
      <left style="thin">
        <color indexed="8"/>
      </left>
      <right style="thin">
        <color indexed="8"/>
      </right>
      <top style="thin">
        <color indexed="8"/>
      </top>
      <bottom style="thin">
        <color indexed="64"/>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64"/>
      </right>
      <top style="thin">
        <color indexed="64"/>
      </top>
      <bottom/>
      <diagonal/>
    </border>
    <border>
      <left style="thin">
        <color indexed="8"/>
      </left>
      <right/>
      <top style="thin">
        <color indexed="8"/>
      </top>
      <bottom/>
      <diagonal/>
    </border>
    <border>
      <left style="thin">
        <color auto="1"/>
      </left>
      <right style="thin">
        <color auto="1"/>
      </right>
      <top style="thin">
        <color auto="1"/>
      </top>
      <bottom style="thin">
        <color auto="1"/>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style="thin">
        <color indexed="64"/>
      </bottom>
      <diagonal/>
    </border>
    <border>
      <left style="thin">
        <color indexed="8"/>
      </left>
      <right style="thin">
        <color indexed="8"/>
      </right>
      <top style="thin">
        <color indexed="8"/>
      </top>
      <bottom style="thin">
        <color indexed="8"/>
      </bottom>
      <diagonal/>
    </border>
    <border>
      <left/>
      <right/>
      <top style="thin">
        <color indexed="64"/>
      </top>
      <bottom/>
      <diagonal/>
    </border>
    <border>
      <left/>
      <right/>
      <top style="thin">
        <color indexed="8"/>
      </top>
      <bottom/>
      <diagonal/>
    </border>
    <border>
      <left/>
      <right style="thin">
        <color indexed="8"/>
      </right>
      <top style="thin">
        <color indexed="8"/>
      </top>
      <bottom/>
      <diagonal/>
    </border>
  </borders>
  <cellStyleXfs count="46862">
    <xf numFmtId="0" fontId="0" fillId="0" borderId="0"/>
    <xf numFmtId="43" fontId="15" fillId="0" borderId="0" applyFont="0" applyFill="0" applyBorder="0" applyAlignment="0" applyProtection="0"/>
    <xf numFmtId="3" fontId="15" fillId="0" borderId="0" applyFill="0" applyBorder="0" applyAlignment="0" applyProtection="0"/>
    <xf numFmtId="3" fontId="15" fillId="0" borderId="0" applyFont="0" applyFill="0" applyBorder="0" applyAlignment="0" applyProtection="0"/>
    <xf numFmtId="44" fontId="15" fillId="0" borderId="0" applyFont="0" applyFill="0" applyBorder="0" applyAlignment="0" applyProtection="0"/>
    <xf numFmtId="5" fontId="15" fillId="0" borderId="0" applyFill="0" applyBorder="0" applyAlignment="0" applyProtection="0"/>
    <xf numFmtId="179" fontId="15" fillId="0" borderId="0" applyFill="0" applyBorder="0" applyAlignment="0" applyProtection="0"/>
    <xf numFmtId="2" fontId="15" fillId="0" borderId="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19" fillId="0" borderId="0"/>
    <xf numFmtId="0" fontId="15" fillId="0" borderId="0">
      <alignment vertical="top"/>
    </xf>
    <xf numFmtId="0" fontId="16" fillId="0" borderId="0"/>
    <xf numFmtId="0" fontId="19" fillId="0" borderId="0"/>
    <xf numFmtId="9" fontId="15" fillId="0" borderId="0" applyFont="0" applyFill="0" applyBorder="0" applyAlignment="0" applyProtection="0"/>
    <xf numFmtId="10" fontId="15" fillId="0" borderId="0" applyFont="0" applyFill="0" applyBorder="0" applyAlignment="0" applyProtection="0"/>
    <xf numFmtId="0" fontId="15" fillId="0" borderId="1" applyNumberFormat="0" applyFill="0" applyAlignment="0" applyProtection="0"/>
    <xf numFmtId="0" fontId="15"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95" fillId="0" borderId="0"/>
    <xf numFmtId="0" fontId="15" fillId="0" borderId="0"/>
    <xf numFmtId="0" fontId="15" fillId="0" borderId="0"/>
    <xf numFmtId="0" fontId="15" fillId="0" borderId="0"/>
    <xf numFmtId="0" fontId="15" fillId="0" borderId="0"/>
    <xf numFmtId="0" fontId="14" fillId="0" borderId="0"/>
    <xf numFmtId="43" fontId="14" fillId="0" borderId="0" applyFont="0" applyFill="0" applyBorder="0" applyAlignment="0" applyProtection="0"/>
    <xf numFmtId="0" fontId="16" fillId="0" borderId="0"/>
    <xf numFmtId="0" fontId="15" fillId="0" borderId="0"/>
    <xf numFmtId="0" fontId="114" fillId="0" borderId="0" applyNumberFormat="0" applyFill="0" applyBorder="0" applyAlignment="0" applyProtection="0"/>
    <xf numFmtId="0" fontId="16" fillId="0" borderId="0" applyNumberFormat="0" applyFont="0" applyFill="0" applyAlignment="0" applyProtection="0"/>
    <xf numFmtId="43" fontId="115" fillId="0" borderId="0" applyFont="0" applyFill="0" applyBorder="0" applyAlignment="0" applyProtection="0"/>
    <xf numFmtId="43" fontId="15" fillId="0" borderId="0" applyFont="0" applyFill="0" applyBorder="0" applyAlignment="0" applyProtection="0"/>
    <xf numFmtId="43" fontId="115" fillId="0" borderId="0" applyFont="0" applyFill="0" applyBorder="0" applyAlignment="0" applyProtection="0"/>
    <xf numFmtId="43" fontId="15" fillId="0" borderId="0" applyFont="0" applyFill="0" applyBorder="0" applyAlignment="0" applyProtection="0"/>
    <xf numFmtId="43" fontId="1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16" fillId="0" borderId="0" applyFont="0" applyFill="0" applyBorder="0" applyAlignment="0" applyProtection="0"/>
    <xf numFmtId="43" fontId="1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3" fontId="15" fillId="0" borderId="0" applyFont="0" applyFill="0" applyBorder="0" applyAlignment="0" applyProtection="0"/>
    <xf numFmtId="5" fontId="15" fillId="0" borderId="0" applyFont="0" applyFill="0" applyBorder="0" applyAlignment="0" applyProtection="0"/>
    <xf numFmtId="0" fontId="15" fillId="0" borderId="0" applyFont="0" applyFill="0" applyBorder="0" applyAlignment="0" applyProtection="0"/>
    <xf numFmtId="2" fontId="15" fillId="0" borderId="0" applyFont="0" applyFill="0" applyBorder="0" applyAlignment="0" applyProtection="0"/>
    <xf numFmtId="0" fontId="117" fillId="0" borderId="0" applyNumberFormat="0" applyFont="0" applyFill="0" applyAlignment="0" applyProtection="0"/>
    <xf numFmtId="0" fontId="39" fillId="0" borderId="0" applyNumberFormat="0" applyFon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5" fillId="0" borderId="0"/>
    <xf numFmtId="0" fontId="14" fillId="0" borderId="0"/>
    <xf numFmtId="0" fontId="14" fillId="0" borderId="0"/>
    <xf numFmtId="0" fontId="15" fillId="0" borderId="0"/>
    <xf numFmtId="0" fontId="15"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6"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5" fillId="0" borderId="0">
      <alignment vertical="top"/>
    </xf>
    <xf numFmtId="0" fontId="118" fillId="0" borderId="0"/>
    <xf numFmtId="0" fontId="15" fillId="0" borderId="0">
      <alignment vertical="top"/>
    </xf>
    <xf numFmtId="0" fontId="15" fillId="0" borderId="0">
      <alignment vertical="top"/>
    </xf>
    <xf numFmtId="0" fontId="15" fillId="0" borderId="0"/>
    <xf numFmtId="0" fontId="15" fillId="0" borderId="0"/>
    <xf numFmtId="0" fontId="15" fillId="0" borderId="0"/>
    <xf numFmtId="0" fontId="52" fillId="35" borderId="0" applyNumberFormat="0" applyBorder="0" applyAlignment="0" applyProtection="0"/>
    <xf numFmtId="0" fontId="119" fillId="0" borderId="0"/>
    <xf numFmtId="0" fontId="15" fillId="0" borderId="0"/>
    <xf numFmtId="0" fontId="14"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16" fillId="0" borderId="0" applyFont="0" applyFill="0" applyBorder="0" applyAlignment="0" applyProtection="0"/>
    <xf numFmtId="9" fontId="16" fillId="0" borderId="0" applyFont="0" applyFill="0" applyBorder="0" applyAlignment="0" applyProtection="0"/>
    <xf numFmtId="9" fontId="115" fillId="0" borderId="0" applyFont="0" applyFill="0" applyBorder="0" applyAlignment="0" applyProtection="0"/>
    <xf numFmtId="9" fontId="118" fillId="0" borderId="0" applyFont="0" applyFill="0" applyBorder="0" applyAlignment="0" applyProtection="0"/>
    <xf numFmtId="9" fontId="115"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0" fontId="17" fillId="0" borderId="59" applyNumberFormat="0" applyAlignment="0" applyProtection="0">
      <alignment horizontal="center"/>
    </xf>
    <xf numFmtId="0" fontId="17" fillId="0" borderId="60" applyNumberFormat="0" applyAlignment="0" applyProtection="0">
      <alignment horizontal="center"/>
    </xf>
    <xf numFmtId="0" fontId="21" fillId="0" borderId="0" applyNumberFormat="0" applyFill="0" applyBorder="0" applyAlignment="0" applyProtection="0"/>
    <xf numFmtId="0" fontId="17" fillId="0" borderId="0" applyNumberFormat="0" applyFill="0" applyBorder="0" applyAlignment="0" applyProtection="0"/>
    <xf numFmtId="0" fontId="14" fillId="0" borderId="0"/>
    <xf numFmtId="0" fontId="13" fillId="0" borderId="0"/>
    <xf numFmtId="0" fontId="12" fillId="0" borderId="0"/>
    <xf numFmtId="0" fontId="11" fillId="0" borderId="0"/>
    <xf numFmtId="0" fontId="15" fillId="0" borderId="1" applyNumberFormat="0" applyFill="0" applyAlignment="0" applyProtection="0"/>
    <xf numFmtId="0" fontId="14" fillId="0" borderId="0"/>
    <xf numFmtId="0" fontId="11" fillId="0" borderId="0"/>
    <xf numFmtId="0" fontId="11" fillId="0" borderId="0"/>
    <xf numFmtId="0" fontId="10" fillId="0" borderId="0"/>
    <xf numFmtId="0" fontId="10" fillId="0" borderId="0"/>
    <xf numFmtId="4" fontId="15" fillId="0" borderId="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43" fontId="14" fillId="0" borderId="0" applyFont="0" applyFill="0" applyBorder="0" applyAlignment="0" applyProtection="0"/>
    <xf numFmtId="43" fontId="1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2" fillId="0" borderId="0" applyFont="0" applyFill="0" applyBorder="0" applyAlignment="0" applyProtection="0"/>
    <xf numFmtId="43" fontId="1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 fontId="15"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3" fontId="15" fillId="0" borderId="0"/>
    <xf numFmtId="3" fontId="15" fillId="0" borderId="0" applyFill="0" applyBorder="0" applyAlignment="0" applyProtection="0"/>
    <xf numFmtId="44" fontId="15" fillId="0" borderId="0" applyFont="0" applyFill="0" applyBorder="0" applyAlignment="0" applyProtection="0"/>
    <xf numFmtId="44" fontId="16"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5" fillId="0" borderId="0"/>
    <xf numFmtId="5" fontId="15" fillId="0" borderId="0" applyFill="0" applyBorder="0" applyAlignment="0" applyProtection="0"/>
    <xf numFmtId="5" fontId="15" fillId="0" borderId="0" applyFont="0" applyFill="0" applyBorder="0" applyAlignment="0" applyProtection="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4" fillId="0" borderId="0"/>
    <xf numFmtId="0" fontId="15" fillId="0" borderId="0">
      <alignment vertical="top"/>
    </xf>
    <xf numFmtId="0" fontId="15"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35"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6" fillId="0" borderId="0"/>
    <xf numFmtId="0" fontId="14" fillId="0" borderId="0"/>
    <xf numFmtId="0" fontId="15" fillId="0" borderId="0"/>
    <xf numFmtId="0" fontId="15" fillId="0" borderId="0">
      <alignment vertical="top"/>
    </xf>
    <xf numFmtId="0" fontId="9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5"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52" fillId="0" borderId="0" applyFont="0" applyFill="0" applyBorder="0" applyAlignment="0" applyProtection="0"/>
    <xf numFmtId="9" fontId="15"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15"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18"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15"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 fillId="0" borderId="0"/>
    <xf numFmtId="9" fontId="14" fillId="0" borderId="0" applyFont="0" applyFill="0" applyBorder="0" applyAlignment="0" applyProtection="0"/>
    <xf numFmtId="9" fontId="15" fillId="0" borderId="0" applyFont="0" applyFill="0" applyBorder="0" applyAlignment="0" applyProtection="0"/>
    <xf numFmtId="9" fontId="15"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7" fillId="0" borderId="60" applyNumberFormat="0" applyAlignment="0" applyProtection="0">
      <alignment horizontal="center"/>
    </xf>
    <xf numFmtId="0" fontId="52" fillId="0" borderId="0" applyNumberFormat="0" applyFill="0" applyBorder="0" applyAlignment="0" applyProtection="0"/>
    <xf numFmtId="0" fontId="116" fillId="0" borderId="0"/>
    <xf numFmtId="0" fontId="16" fillId="0" borderId="0"/>
    <xf numFmtId="0" fontId="135" fillId="60" borderId="0" applyNumberFormat="0" applyBorder="0" applyAlignment="0" applyProtection="0"/>
    <xf numFmtId="0" fontId="135" fillId="56" borderId="0" applyNumberFormat="0" applyBorder="0" applyAlignment="0" applyProtection="0"/>
    <xf numFmtId="0" fontId="52" fillId="0" borderId="0" applyNumberForma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0" fontId="136" fillId="53" borderId="0" applyNumberFormat="0" applyBorder="0" applyAlignment="0" applyProtection="0"/>
    <xf numFmtId="0" fontId="115" fillId="74" borderId="0" applyNumberFormat="0" applyBorder="0" applyAlignment="0" applyProtection="0"/>
    <xf numFmtId="0" fontId="14" fillId="53" borderId="0" applyNumberFormat="0" applyBorder="0" applyAlignment="0" applyProtection="0"/>
    <xf numFmtId="0" fontId="136" fillId="57" borderId="0" applyNumberFormat="0" applyBorder="0" applyAlignment="0" applyProtection="0"/>
    <xf numFmtId="0" fontId="115" fillId="75" borderId="0" applyNumberFormat="0" applyBorder="0" applyAlignment="0" applyProtection="0"/>
    <xf numFmtId="0" fontId="14" fillId="57" borderId="0" applyNumberFormat="0" applyBorder="0" applyAlignment="0" applyProtection="0"/>
    <xf numFmtId="0" fontId="136" fillId="61" borderId="0" applyNumberFormat="0" applyBorder="0" applyAlignment="0" applyProtection="0"/>
    <xf numFmtId="0" fontId="115" fillId="76" borderId="0" applyNumberFormat="0" applyBorder="0" applyAlignment="0" applyProtection="0"/>
    <xf numFmtId="0" fontId="14" fillId="61" borderId="0" applyNumberFormat="0" applyBorder="0" applyAlignment="0" applyProtection="0"/>
    <xf numFmtId="0" fontId="136" fillId="65" borderId="0" applyNumberFormat="0" applyBorder="0" applyAlignment="0" applyProtection="0"/>
    <xf numFmtId="0" fontId="115" fillId="77" borderId="0" applyNumberFormat="0" applyBorder="0" applyAlignment="0" applyProtection="0"/>
    <xf numFmtId="0" fontId="14" fillId="65" borderId="0" applyNumberFormat="0" applyBorder="0" applyAlignment="0" applyProtection="0"/>
    <xf numFmtId="0" fontId="136" fillId="44" borderId="0" applyNumberFormat="0" applyBorder="0" applyAlignment="0" applyProtection="0"/>
    <xf numFmtId="0" fontId="115" fillId="78" borderId="0" applyNumberFormat="0" applyBorder="0" applyAlignment="0" applyProtection="0"/>
    <xf numFmtId="0" fontId="136" fillId="45" borderId="0" applyNumberFormat="0" applyBorder="0" applyAlignment="0" applyProtection="0"/>
    <xf numFmtId="0" fontId="115" fillId="79" borderId="0" applyNumberFormat="0" applyBorder="0" applyAlignment="0" applyProtection="0"/>
    <xf numFmtId="0" fontId="136" fillId="54" borderId="0" applyNumberFormat="0" applyBorder="0" applyAlignment="0" applyProtection="0"/>
    <xf numFmtId="0" fontId="115" fillId="80" borderId="0" applyNumberFormat="0" applyBorder="0" applyAlignment="0" applyProtection="0"/>
    <xf numFmtId="0" fontId="14" fillId="54" borderId="0" applyNumberFormat="0" applyBorder="0" applyAlignment="0" applyProtection="0"/>
    <xf numFmtId="0" fontId="136" fillId="58" borderId="0" applyNumberFormat="0" applyBorder="0" applyAlignment="0" applyProtection="0"/>
    <xf numFmtId="0" fontId="115" fillId="81" borderId="0" applyNumberFormat="0" applyBorder="0" applyAlignment="0" applyProtection="0"/>
    <xf numFmtId="0" fontId="14" fillId="58" borderId="0" applyNumberFormat="0" applyBorder="0" applyAlignment="0" applyProtection="0"/>
    <xf numFmtId="0" fontId="136" fillId="62" borderId="0" applyNumberFormat="0" applyBorder="0" applyAlignment="0" applyProtection="0"/>
    <xf numFmtId="0" fontId="115" fillId="82" borderId="0" applyNumberFormat="0" applyBorder="0" applyAlignment="0" applyProtection="0"/>
    <xf numFmtId="0" fontId="14" fillId="62" borderId="0" applyNumberFormat="0" applyBorder="0" applyAlignment="0" applyProtection="0"/>
    <xf numFmtId="0" fontId="136" fillId="66" borderId="0" applyNumberFormat="0" applyBorder="0" applyAlignment="0" applyProtection="0"/>
    <xf numFmtId="0" fontId="115" fillId="77" borderId="0" applyNumberFormat="0" applyBorder="0" applyAlignment="0" applyProtection="0"/>
    <xf numFmtId="0" fontId="14" fillId="66" borderId="0" applyNumberFormat="0" applyBorder="0" applyAlignment="0" applyProtection="0"/>
    <xf numFmtId="0" fontId="136" fillId="69" borderId="0" applyNumberFormat="0" applyBorder="0" applyAlignment="0" applyProtection="0"/>
    <xf numFmtId="0" fontId="115" fillId="80" borderId="0" applyNumberFormat="0" applyBorder="0" applyAlignment="0" applyProtection="0"/>
    <xf numFmtId="0" fontId="14" fillId="69" borderId="0" applyNumberFormat="0" applyBorder="0" applyAlignment="0" applyProtection="0"/>
    <xf numFmtId="0" fontId="136" fillId="72" borderId="0" applyNumberFormat="0" applyBorder="0" applyAlignment="0" applyProtection="0"/>
    <xf numFmtId="0" fontId="115" fillId="83" borderId="0" applyNumberFormat="0" applyBorder="0" applyAlignment="0" applyProtection="0"/>
    <xf numFmtId="0" fontId="14" fillId="72" borderId="0" applyNumberFormat="0" applyBorder="0" applyAlignment="0" applyProtection="0"/>
    <xf numFmtId="0" fontId="137" fillId="55" borderId="0" applyNumberFormat="0" applyBorder="0" applyAlignment="0" applyProtection="0"/>
    <xf numFmtId="0" fontId="138" fillId="84" borderId="0" applyNumberFormat="0" applyBorder="0" applyAlignment="0" applyProtection="0"/>
    <xf numFmtId="0" fontId="137" fillId="59" borderId="0" applyNumberFormat="0" applyBorder="0" applyAlignment="0" applyProtection="0"/>
    <xf numFmtId="0" fontId="138" fillId="81" borderId="0" applyNumberFormat="0" applyBorder="0" applyAlignment="0" applyProtection="0"/>
    <xf numFmtId="0" fontId="137" fillId="63" borderId="0" applyNumberFormat="0" applyBorder="0" applyAlignment="0" applyProtection="0"/>
    <xf numFmtId="0" fontId="138" fillId="82" borderId="0" applyNumberFormat="0" applyBorder="0" applyAlignment="0" applyProtection="0"/>
    <xf numFmtId="0" fontId="137" fillId="67" borderId="0" applyNumberFormat="0" applyBorder="0" applyAlignment="0" applyProtection="0"/>
    <xf numFmtId="0" fontId="138" fillId="85" borderId="0" applyNumberFormat="0" applyBorder="0" applyAlignment="0" applyProtection="0"/>
    <xf numFmtId="0" fontId="137" fillId="70" borderId="0" applyNumberFormat="0" applyBorder="0" applyAlignment="0" applyProtection="0"/>
    <xf numFmtId="0" fontId="138" fillId="86" borderId="0" applyNumberFormat="0" applyBorder="0" applyAlignment="0" applyProtection="0"/>
    <xf numFmtId="0" fontId="137" fillId="73" borderId="0" applyNumberFormat="0" applyBorder="0" applyAlignment="0" applyProtection="0"/>
    <xf numFmtId="0" fontId="138" fillId="87" borderId="0" applyNumberFormat="0" applyBorder="0" applyAlignment="0" applyProtection="0"/>
    <xf numFmtId="0" fontId="137" fillId="52" borderId="0" applyNumberFormat="0" applyBorder="0" applyAlignment="0" applyProtection="0"/>
    <xf numFmtId="0" fontId="138" fillId="88" borderId="0" applyNumberFormat="0" applyBorder="0" applyAlignment="0" applyProtection="0"/>
    <xf numFmtId="0" fontId="137" fillId="56" borderId="0" applyNumberFormat="0" applyBorder="0" applyAlignment="0" applyProtection="0"/>
    <xf numFmtId="0" fontId="138" fillId="89" borderId="0" applyNumberFormat="0" applyBorder="0" applyAlignment="0" applyProtection="0"/>
    <xf numFmtId="0" fontId="137" fillId="60" borderId="0" applyNumberFormat="0" applyBorder="0" applyAlignment="0" applyProtection="0"/>
    <xf numFmtId="0" fontId="138" fillId="90" borderId="0" applyNumberFormat="0" applyBorder="0" applyAlignment="0" applyProtection="0"/>
    <xf numFmtId="0" fontId="137" fillId="64" borderId="0" applyNumberFormat="0" applyBorder="0" applyAlignment="0" applyProtection="0"/>
    <xf numFmtId="0" fontId="138" fillId="85" borderId="0" applyNumberFormat="0" applyBorder="0" applyAlignment="0" applyProtection="0"/>
    <xf numFmtId="0" fontId="137" fillId="68" borderId="0" applyNumberFormat="0" applyBorder="0" applyAlignment="0" applyProtection="0"/>
    <xf numFmtId="0" fontId="138" fillId="86" borderId="0" applyNumberFormat="0" applyBorder="0" applyAlignment="0" applyProtection="0"/>
    <xf numFmtId="0" fontId="137" fillId="71" borderId="0" applyNumberFormat="0" applyBorder="0" applyAlignment="0" applyProtection="0"/>
    <xf numFmtId="0" fontId="138" fillId="91" borderId="0" applyNumberFormat="0" applyBorder="0" applyAlignment="0" applyProtection="0"/>
    <xf numFmtId="0" fontId="139" fillId="47" borderId="0" applyNumberFormat="0" applyBorder="0" applyAlignment="0" applyProtection="0"/>
    <xf numFmtId="0" fontId="140" fillId="75" borderId="0" applyNumberFormat="0" applyBorder="0" applyAlignment="0" applyProtection="0"/>
    <xf numFmtId="0" fontId="141" fillId="50" borderId="67"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2" fillId="92" borderId="74" applyNumberFormat="0" applyAlignment="0" applyProtection="0"/>
    <xf numFmtId="0" fontId="143" fillId="51" borderId="70" applyNumberFormat="0" applyAlignment="0" applyProtection="0"/>
    <xf numFmtId="0" fontId="144" fillId="93" borderId="75" applyNumberFormat="0" applyAlignment="0" applyProtection="0"/>
    <xf numFmtId="43" fontId="51" fillId="0" borderId="0" applyFont="0" applyFill="0" applyBorder="0" applyAlignment="0" applyProtection="0"/>
    <xf numFmtId="43" fontId="14" fillId="0" borderId="0" applyFont="0" applyFill="0" applyBorder="0" applyAlignment="0" applyProtection="0"/>
    <xf numFmtId="43" fontId="5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59"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4" fillId="0" borderId="0" applyFont="0" applyFill="0" applyBorder="0" applyAlignment="0" applyProtection="0"/>
    <xf numFmtId="44" fontId="51" fillId="0" borderId="0" applyFont="0" applyFill="0" applyBorder="0" applyAlignment="0" applyProtection="0"/>
    <xf numFmtId="44" fontId="59" fillId="0" borderId="0" applyFont="0" applyFill="0" applyBorder="0" applyAlignment="0" applyProtection="0"/>
    <xf numFmtId="44" fontId="51" fillId="0" borderId="0" applyFon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7" fillId="46" borderId="0" applyNumberFormat="0" applyBorder="0" applyAlignment="0" applyProtection="0"/>
    <xf numFmtId="0" fontId="148" fillId="76" borderId="0" applyNumberFormat="0" applyBorder="0" applyAlignment="0" applyProtection="0"/>
    <xf numFmtId="0" fontId="149" fillId="0" borderId="71" applyNumberFormat="0" applyFill="0" applyAlignment="0" applyProtection="0"/>
    <xf numFmtId="0" fontId="150" fillId="0" borderId="76" applyNumberFormat="0" applyFill="0" applyAlignment="0" applyProtection="0"/>
    <xf numFmtId="0" fontId="151" fillId="0" borderId="72" applyNumberFormat="0" applyFill="0" applyAlignment="0" applyProtection="0"/>
    <xf numFmtId="0" fontId="152" fillId="0" borderId="77" applyNumberFormat="0" applyFill="0" applyAlignment="0" applyProtection="0"/>
    <xf numFmtId="0" fontId="153" fillId="0" borderId="66" applyNumberFormat="0" applyFill="0" applyAlignment="0" applyProtection="0"/>
    <xf numFmtId="0" fontId="154" fillId="0" borderId="78" applyNumberFormat="0" applyFill="0" applyAlignment="0" applyProtection="0"/>
    <xf numFmtId="0" fontId="153" fillId="0" borderId="0" applyNumberFormat="0" applyFill="0" applyBorder="0" applyAlignment="0" applyProtection="0"/>
    <xf numFmtId="0" fontId="154" fillId="0" borderId="0" applyNumberFormat="0" applyFill="0" applyBorder="0" applyAlignment="0" applyProtection="0"/>
    <xf numFmtId="0" fontId="155" fillId="49" borderId="67"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6" fillId="79" borderId="74" applyNumberFormat="0" applyAlignment="0" applyProtection="0"/>
    <xf numFmtId="0" fontId="157" fillId="0" borderId="69" applyNumberFormat="0" applyFill="0" applyAlignment="0" applyProtection="0"/>
    <xf numFmtId="0" fontId="158" fillId="0" borderId="79" applyNumberFormat="0" applyFill="0" applyAlignment="0" applyProtection="0"/>
    <xf numFmtId="0" fontId="159" fillId="48" borderId="0" applyNumberFormat="0" applyBorder="0" applyAlignment="0" applyProtection="0"/>
    <xf numFmtId="0" fontId="160" fillId="94"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6" fillId="0" borderId="0"/>
    <xf numFmtId="194" fontId="59" fillId="0" borderId="0"/>
    <xf numFmtId="0" fontId="59" fillId="0" borderId="0"/>
    <xf numFmtId="0" fontId="59" fillId="0" borderId="0"/>
    <xf numFmtId="195" fontId="161" fillId="0" borderId="0"/>
    <xf numFmtId="0" fontId="136" fillId="0" borderId="0"/>
    <xf numFmtId="0" fontId="115" fillId="0" borderId="0"/>
    <xf numFmtId="0" fontId="52" fillId="0" borderId="0"/>
    <xf numFmtId="0" fontId="52" fillId="0" borderId="0"/>
    <xf numFmtId="0" fontId="52" fillId="0" borderId="0"/>
    <xf numFmtId="0" fontId="16" fillId="0" borderId="0"/>
    <xf numFmtId="0" fontId="52" fillId="0" borderId="0"/>
    <xf numFmtId="0" fontId="52" fillId="0" borderId="0"/>
    <xf numFmtId="0" fontId="59" fillId="0" borderId="0"/>
    <xf numFmtId="0" fontId="59" fillId="0" borderId="0"/>
    <xf numFmtId="0" fontId="16" fillId="0" borderId="0"/>
    <xf numFmtId="0" fontId="51" fillId="0" borderId="0"/>
    <xf numFmtId="0" fontId="51" fillId="0" borderId="0"/>
    <xf numFmtId="0" fontId="51" fillId="0" borderId="0"/>
    <xf numFmtId="0" fontId="14" fillId="0" borderId="0"/>
    <xf numFmtId="0" fontId="14" fillId="0" borderId="0"/>
    <xf numFmtId="0" fontId="51" fillId="0" borderId="0"/>
    <xf numFmtId="0" fontId="14" fillId="0" borderId="0"/>
    <xf numFmtId="0" fontId="14" fillId="0" borderId="0"/>
    <xf numFmtId="0" fontId="51" fillId="0" borderId="0"/>
    <xf numFmtId="0" fontId="5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9" fillId="0" borderId="0"/>
    <xf numFmtId="0" fontId="14" fillId="0" borderId="0"/>
    <xf numFmtId="0" fontId="59" fillId="0" borderId="0"/>
    <xf numFmtId="0" fontId="59" fillId="0" borderId="0"/>
    <xf numFmtId="0" fontId="14" fillId="0" borderId="0"/>
    <xf numFmtId="0" fontId="14" fillId="0" borderId="0"/>
    <xf numFmtId="0" fontId="59" fillId="0" borderId="0"/>
    <xf numFmtId="0" fontId="14"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95" fontId="161" fillId="0" borderId="0"/>
    <xf numFmtId="0" fontId="162" fillId="0" borderId="0"/>
    <xf numFmtId="195" fontId="15" fillId="0" borderId="0"/>
    <xf numFmtId="195"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195" fontId="16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95" fontId="161" fillId="0" borderId="0"/>
    <xf numFmtId="0" fontId="14" fillId="0" borderId="0"/>
    <xf numFmtId="195" fontId="161" fillId="0" borderId="0"/>
    <xf numFmtId="195" fontId="16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5" fillId="43" borderId="65" applyNumberFormat="0" applyFont="0" applyAlignment="0" applyProtection="0"/>
    <xf numFmtId="0" fontId="136" fillId="43" borderId="65" applyNumberFormat="0" applyFont="0" applyAlignment="0" applyProtection="0"/>
    <xf numFmtId="0" fontId="115" fillId="43" borderId="65" applyNumberFormat="0" applyFont="0" applyAlignment="0" applyProtection="0"/>
    <xf numFmtId="0" fontId="14" fillId="43" borderId="65"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16" fillId="95" borderId="80" applyNumberFormat="0" applyFont="0" applyAlignment="0" applyProtection="0"/>
    <xf numFmtId="0" fontId="14" fillId="43" borderId="65" applyNumberFormat="0" applyFont="0" applyAlignment="0" applyProtection="0"/>
    <xf numFmtId="0" fontId="14" fillId="43" borderId="65" applyNumberFormat="0" applyFont="0" applyAlignment="0" applyProtection="0"/>
    <xf numFmtId="0" fontId="163" fillId="50" borderId="68"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0" fontId="164" fillId="92" borderId="81"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6"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34" fillId="0" borderId="0" applyNumberFormat="0" applyFill="0" applyBorder="0" applyAlignment="0" applyProtection="0"/>
    <xf numFmtId="0" fontId="165" fillId="0" borderId="0" applyNumberFormat="0" applyFill="0" applyBorder="0" applyAlignment="0" applyProtection="0"/>
    <xf numFmtId="0" fontId="166" fillId="0" borderId="73"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7" fillId="0" borderId="82" applyNumberFormat="0" applyFill="0" applyAlignment="0" applyProtection="0"/>
    <xf numFmtId="0" fontId="168" fillId="0" borderId="0" applyNumberFormat="0" applyFill="0" applyBorder="0" applyAlignment="0" applyProtection="0"/>
    <xf numFmtId="0" fontId="169" fillId="0" borderId="0" applyNumberFormat="0" applyFill="0" applyBorder="0" applyAlignment="0" applyProtection="0"/>
    <xf numFmtId="0" fontId="14" fillId="0" borderId="0"/>
    <xf numFmtId="0" fontId="14" fillId="0" borderId="0"/>
    <xf numFmtId="0" fontId="162" fillId="0" borderId="0"/>
    <xf numFmtId="0" fontId="16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5" fillId="0" borderId="0"/>
    <xf numFmtId="0" fontId="2" fillId="0" borderId="0"/>
    <xf numFmtId="0" fontId="1" fillId="0" borderId="0"/>
    <xf numFmtId="9" fontId="1" fillId="0" borderId="0" applyFont="0" applyFill="0" applyBorder="0" applyAlignment="0" applyProtection="0"/>
    <xf numFmtId="0" fontId="15" fillId="0" borderId="0"/>
    <xf numFmtId="43" fontId="15" fillId="0" borderId="0" applyFont="0" applyFill="0" applyBorder="0" applyAlignment="0" applyProtection="0"/>
    <xf numFmtId="44" fontId="15" fillId="0" borderId="0" applyFont="0" applyFill="0" applyBorder="0" applyAlignment="0" applyProtection="0"/>
    <xf numFmtId="0" fontId="21" fillId="0" borderId="0" applyNumberFormat="0" applyFill="0" applyBorder="0" applyAlignment="0" applyProtection="0"/>
    <xf numFmtId="0" fontId="17" fillId="0" borderId="0" applyNumberFormat="0" applyFill="0" applyBorder="0" applyAlignment="0" applyProtection="0"/>
    <xf numFmtId="9" fontId="15" fillId="0" borderId="0" applyFont="0" applyFill="0" applyBorder="0" applyAlignment="0" applyProtection="0"/>
    <xf numFmtId="0" fontId="15" fillId="0" borderId="1"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112" applyNumberFormat="0" applyAlignment="0" applyProtection="0">
      <alignment horizontal="center"/>
    </xf>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112" applyNumberFormat="0" applyAlignment="0" applyProtection="0">
      <alignment horizontal="center"/>
    </xf>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62" borderId="0" applyNumberFormat="0" applyBorder="0" applyAlignment="0" applyProtection="0"/>
    <xf numFmtId="0" fontId="1" fillId="66"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3" borderId="65" applyNumberFormat="0" applyFont="0" applyAlignment="0" applyProtection="0"/>
    <xf numFmtId="0" fontId="1" fillId="43" borderId="65" applyNumberFormat="0" applyFont="0" applyAlignment="0" applyProtection="0"/>
    <xf numFmtId="0" fontId="1" fillId="43" borderId="6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1" fillId="0" borderId="0" applyFont="0" applyFill="0" applyBorder="0" applyAlignment="0" applyProtection="0"/>
    <xf numFmtId="0" fontId="16" fillId="0" borderId="0"/>
  </cellStyleXfs>
  <cellXfs count="2595">
    <xf numFmtId="0" fontId="0" fillId="0" borderId="0" xfId="0"/>
    <xf numFmtId="0" fontId="17" fillId="0" borderId="0" xfId="12" applyFont="1"/>
    <xf numFmtId="0" fontId="16" fillId="0" borderId="0" xfId="12"/>
    <xf numFmtId="37" fontId="18" fillId="0" borderId="0" xfId="12" applyNumberFormat="1" applyFont="1" applyProtection="1">
      <protection locked="0"/>
    </xf>
    <xf numFmtId="0" fontId="18" fillId="0" borderId="0" xfId="12" applyFont="1" applyProtection="1">
      <protection locked="0"/>
    </xf>
    <xf numFmtId="0" fontId="20" fillId="0" borderId="0" xfId="12" applyFont="1"/>
    <xf numFmtId="0" fontId="16" fillId="0" borderId="0" xfId="12" applyAlignment="1">
      <alignment horizontal="fill"/>
    </xf>
    <xf numFmtId="0" fontId="16" fillId="0" borderId="0" xfId="12" applyAlignment="1">
      <alignment horizontal="right"/>
    </xf>
    <xf numFmtId="0" fontId="22" fillId="0" borderId="0" xfId="12" applyFont="1"/>
    <xf numFmtId="0" fontId="17" fillId="0" borderId="4" xfId="12" applyFont="1" applyBorder="1" applyAlignment="1">
      <alignment horizontal="center"/>
    </xf>
    <xf numFmtId="0" fontId="17" fillId="0" borderId="3" xfId="12" applyFont="1" applyBorder="1" applyAlignment="1">
      <alignment horizontal="center"/>
    </xf>
    <xf numFmtId="0" fontId="17" fillId="0" borderId="0" xfId="12" applyFont="1" applyAlignment="1">
      <alignment horizontal="right"/>
    </xf>
    <xf numFmtId="0" fontId="17" fillId="0" borderId="0" xfId="12" applyFont="1" applyAlignment="1">
      <alignment horizontal="fill"/>
    </xf>
    <xf numFmtId="169" fontId="17" fillId="0" borderId="0" xfId="12" applyNumberFormat="1" applyFont="1" applyAlignment="1">
      <alignment horizontal="right"/>
    </xf>
    <xf numFmtId="37" fontId="22" fillId="0" borderId="0" xfId="12" applyNumberFormat="1" applyFont="1"/>
    <xf numFmtId="165" fontId="22" fillId="0" borderId="0" xfId="12" applyNumberFormat="1" applyFont="1" applyProtection="1">
      <protection locked="0"/>
    </xf>
    <xf numFmtId="37" fontId="25" fillId="0" borderId="0" xfId="12" applyNumberFormat="1" applyFont="1" applyProtection="1">
      <protection locked="0"/>
    </xf>
    <xf numFmtId="166" fontId="18" fillId="0" borderId="0" xfId="12" applyNumberFormat="1" applyFont="1" applyProtection="1">
      <protection locked="0"/>
    </xf>
    <xf numFmtId="166" fontId="18" fillId="0" borderId="2" xfId="12" applyNumberFormat="1" applyFont="1" applyBorder="1" applyProtection="1">
      <protection locked="0"/>
    </xf>
    <xf numFmtId="0" fontId="26" fillId="0" borderId="0" xfId="12" applyFont="1"/>
    <xf numFmtId="37" fontId="16" fillId="0" borderId="0" xfId="12" applyNumberFormat="1"/>
    <xf numFmtId="0" fontId="18" fillId="0" borderId="0" xfId="12" applyFont="1"/>
    <xf numFmtId="0" fontId="16" fillId="0" borderId="0" xfId="12" quotePrefix="1"/>
    <xf numFmtId="0" fontId="17" fillId="0" borderId="6" xfId="12" applyFont="1" applyBorder="1" applyAlignment="1">
      <alignment horizontal="center"/>
    </xf>
    <xf numFmtId="0" fontId="17" fillId="0" borderId="7" xfId="12" applyFont="1" applyBorder="1" applyAlignment="1">
      <alignment horizontal="center"/>
    </xf>
    <xf numFmtId="0" fontId="16" fillId="0" borderId="5" xfId="12" applyBorder="1"/>
    <xf numFmtId="0" fontId="16" fillId="0" borderId="9" xfId="12" applyBorder="1"/>
    <xf numFmtId="0" fontId="16" fillId="0" borderId="11" xfId="12" applyBorder="1"/>
    <xf numFmtId="0" fontId="17" fillId="0" borderId="11" xfId="12" applyFont="1" applyBorder="1" applyAlignment="1">
      <alignment horizontal="center"/>
    </xf>
    <xf numFmtId="0" fontId="17" fillId="0" borderId="12" xfId="12" applyFont="1" applyBorder="1" applyAlignment="1">
      <alignment horizontal="center"/>
    </xf>
    <xf numFmtId="1" fontId="16" fillId="0" borderId="0" xfId="12" applyNumberFormat="1"/>
    <xf numFmtId="0" fontId="28" fillId="0" borderId="0" xfId="12" applyFont="1" applyAlignment="1">
      <alignment horizontal="right"/>
    </xf>
    <xf numFmtId="0" fontId="16" fillId="0" borderId="2" xfId="12" applyBorder="1"/>
    <xf numFmtId="0" fontId="16" fillId="0" borderId="2" xfId="12" applyBorder="1" applyAlignment="1">
      <alignment horizontal="right"/>
    </xf>
    <xf numFmtId="169" fontId="16" fillId="0" borderId="0" xfId="12" applyNumberFormat="1"/>
    <xf numFmtId="0" fontId="17" fillId="0" borderId="0" xfId="0" applyFont="1"/>
    <xf numFmtId="37" fontId="0" fillId="0" borderId="0" xfId="0" applyNumberFormat="1"/>
    <xf numFmtId="0" fontId="29" fillId="0" borderId="0" xfId="0" applyFont="1"/>
    <xf numFmtId="1" fontId="0" fillId="0" borderId="0" xfId="0" applyNumberFormat="1"/>
    <xf numFmtId="1" fontId="29" fillId="0" borderId="0" xfId="0" applyNumberFormat="1" applyFont="1"/>
    <xf numFmtId="1" fontId="29" fillId="0" borderId="0" xfId="0" applyNumberFormat="1" applyFont="1" applyAlignment="1">
      <alignment horizontal="right"/>
    </xf>
    <xf numFmtId="1" fontId="29" fillId="0" borderId="0" xfId="0" applyNumberFormat="1" applyFont="1" applyAlignment="1">
      <alignment horizontal="center"/>
    </xf>
    <xf numFmtId="1" fontId="0" fillId="0" borderId="0" xfId="0" applyNumberFormat="1" applyAlignment="1">
      <alignment horizontal="right"/>
    </xf>
    <xf numFmtId="174" fontId="29" fillId="0" borderId="0" xfId="0" applyNumberFormat="1" applyFont="1"/>
    <xf numFmtId="0" fontId="19" fillId="0" borderId="0" xfId="0" applyFont="1"/>
    <xf numFmtId="0" fontId="29" fillId="0" borderId="0" xfId="12" applyFont="1"/>
    <xf numFmtId="0" fontId="0" fillId="0" borderId="14" xfId="0" applyBorder="1"/>
    <xf numFmtId="0" fontId="0" fillId="0" borderId="15" xfId="0" applyBorder="1"/>
    <xf numFmtId="0" fontId="29" fillId="0" borderId="8" xfId="0" applyFont="1" applyBorder="1"/>
    <xf numFmtId="0" fontId="29" fillId="0" borderId="5" xfId="0" applyFont="1" applyBorder="1"/>
    <xf numFmtId="0" fontId="29" fillId="0" borderId="9" xfId="0" applyFont="1" applyBorder="1"/>
    <xf numFmtId="16" fontId="0" fillId="0" borderId="0" xfId="0" applyNumberFormat="1"/>
    <xf numFmtId="0" fontId="0" fillId="0" borderId="5" xfId="0" applyBorder="1"/>
    <xf numFmtId="0" fontId="0" fillId="0" borderId="16" xfId="0" applyBorder="1"/>
    <xf numFmtId="0" fontId="0" fillId="0" borderId="0" xfId="0" quotePrefix="1" applyAlignment="1">
      <alignment horizontal="right"/>
    </xf>
    <xf numFmtId="0" fontId="29" fillId="0" borderId="6" xfId="0" applyFont="1" applyBorder="1"/>
    <xf numFmtId="0" fontId="29" fillId="0" borderId="7" xfId="0" applyFont="1" applyBorder="1"/>
    <xf numFmtId="1" fontId="0" fillId="0" borderId="7" xfId="0" applyNumberFormat="1" applyBorder="1"/>
    <xf numFmtId="0" fontId="0" fillId="0" borderId="17" xfId="0" applyBorder="1"/>
    <xf numFmtId="1" fontId="0" fillId="0" borderId="17" xfId="0" applyNumberFormat="1" applyBorder="1"/>
    <xf numFmtId="0" fontId="29" fillId="0" borderId="18" xfId="0" applyFont="1" applyBorder="1"/>
    <xf numFmtId="0" fontId="0" fillId="0" borderId="9" xfId="0" applyBorder="1"/>
    <xf numFmtId="0" fontId="0" fillId="0" borderId="6" xfId="0" applyBorder="1"/>
    <xf numFmtId="0" fontId="0" fillId="0" borderId="7" xfId="0" applyBorder="1"/>
    <xf numFmtId="1" fontId="0" fillId="0" borderId="19" xfId="0" applyNumberFormat="1" applyBorder="1"/>
    <xf numFmtId="1" fontId="29" fillId="0" borderId="5" xfId="0" applyNumberFormat="1" applyFont="1" applyBorder="1"/>
    <xf numFmtId="1" fontId="29" fillId="0" borderId="16" xfId="0" applyNumberFormat="1" applyFont="1" applyBorder="1"/>
    <xf numFmtId="0" fontId="29" fillId="0" borderId="0" xfId="0" applyFont="1" applyAlignment="1">
      <alignment horizontal="right"/>
    </xf>
    <xf numFmtId="0" fontId="29" fillId="0" borderId="17" xfId="0" applyFont="1" applyBorder="1" applyAlignment="1">
      <alignment horizontal="right"/>
    </xf>
    <xf numFmtId="0" fontId="23" fillId="0" borderId="0" xfId="0" applyFont="1"/>
    <xf numFmtId="174" fontId="29" fillId="0" borderId="19" xfId="0" applyNumberFormat="1" applyFont="1" applyBorder="1" applyAlignment="1">
      <alignment horizontal="right"/>
    </xf>
    <xf numFmtId="0" fontId="36" fillId="0" borderId="0" xfId="0" applyFont="1" applyAlignment="1">
      <alignment horizontal="right"/>
    </xf>
    <xf numFmtId="0" fontId="36" fillId="0" borderId="0" xfId="0" applyFont="1"/>
    <xf numFmtId="16" fontId="29" fillId="0" borderId="0" xfId="0" applyNumberFormat="1" applyFont="1"/>
    <xf numFmtId="0" fontId="29" fillId="0" borderId="6" xfId="12" applyFont="1" applyBorder="1" applyAlignment="1">
      <alignment horizontal="left"/>
    </xf>
    <xf numFmtId="0" fontId="29" fillId="0" borderId="19" xfId="0" applyFont="1" applyBorder="1"/>
    <xf numFmtId="0" fontId="29" fillId="0" borderId="7" xfId="0" applyFont="1" applyBorder="1" applyAlignment="1">
      <alignment horizontal="left"/>
    </xf>
    <xf numFmtId="0" fontId="29" fillId="0" borderId="5" xfId="0" applyFont="1" applyBorder="1" applyAlignment="1">
      <alignment horizontal="left"/>
    </xf>
    <xf numFmtId="0" fontId="29" fillId="0" borderId="20" xfId="0" applyFont="1" applyBorder="1"/>
    <xf numFmtId="0" fontId="29" fillId="0" borderId="0" xfId="0" applyFont="1" applyAlignment="1">
      <alignment horizontal="left"/>
    </xf>
    <xf numFmtId="174" fontId="29" fillId="0" borderId="0" xfId="0" applyNumberFormat="1" applyFont="1" applyAlignment="1">
      <alignment horizontal="right"/>
    </xf>
    <xf numFmtId="0" fontId="29" fillId="0" borderId="16" xfId="0" applyFont="1" applyBorder="1"/>
    <xf numFmtId="0" fontId="29" fillId="0" borderId="21" xfId="0" applyFont="1" applyBorder="1"/>
    <xf numFmtId="0" fontId="29" fillId="0" borderId="22" xfId="0" applyFont="1" applyBorder="1"/>
    <xf numFmtId="1" fontId="29" fillId="0" borderId="22" xfId="0" applyNumberFormat="1" applyFont="1" applyBorder="1"/>
    <xf numFmtId="1" fontId="29" fillId="0" borderId="23" xfId="0" applyNumberFormat="1" applyFont="1" applyBorder="1"/>
    <xf numFmtId="0" fontId="0" fillId="0" borderId="0" xfId="0" applyAlignment="1">
      <alignment horizontal="left"/>
    </xf>
    <xf numFmtId="14" fontId="0" fillId="0" borderId="0" xfId="0" applyNumberFormat="1"/>
    <xf numFmtId="10" fontId="0" fillId="0" borderId="0" xfId="0" applyNumberFormat="1"/>
    <xf numFmtId="0" fontId="16" fillId="0" borderId="8" xfId="12" applyBorder="1"/>
    <xf numFmtId="3" fontId="16" fillId="0" borderId="0" xfId="12" applyNumberFormat="1"/>
    <xf numFmtId="0" fontId="17" fillId="0" borderId="6" xfId="12" applyFont="1" applyBorder="1"/>
    <xf numFmtId="0" fontId="17" fillId="0" borderId="9" xfId="12" applyFont="1" applyBorder="1"/>
    <xf numFmtId="0" fontId="17" fillId="0" borderId="21" xfId="12" applyFont="1" applyBorder="1"/>
    <xf numFmtId="0" fontId="17" fillId="0" borderId="12" xfId="12" applyFont="1" applyBorder="1"/>
    <xf numFmtId="0" fontId="16" fillId="0" borderId="16" xfId="12" applyBorder="1"/>
    <xf numFmtId="0" fontId="40" fillId="0" borderId="0" xfId="12" applyFont="1"/>
    <xf numFmtId="0" fontId="40" fillId="0" borderId="2" xfId="12" applyFont="1" applyBorder="1"/>
    <xf numFmtId="170" fontId="16" fillId="0" borderId="16" xfId="14" applyNumberFormat="1" applyFont="1" applyBorder="1"/>
    <xf numFmtId="1" fontId="16" fillId="0" borderId="9" xfId="12" applyNumberFormat="1" applyBorder="1"/>
    <xf numFmtId="170" fontId="16" fillId="0" borderId="0" xfId="12" applyNumberFormat="1"/>
    <xf numFmtId="170" fontId="16" fillId="3" borderId="0" xfId="12" applyNumberFormat="1" applyFill="1"/>
    <xf numFmtId="1" fontId="16" fillId="0" borderId="6" xfId="12" applyNumberFormat="1" applyBorder="1"/>
    <xf numFmtId="170" fontId="16" fillId="0" borderId="7" xfId="12" applyNumberFormat="1" applyBorder="1"/>
    <xf numFmtId="170" fontId="16" fillId="0" borderId="19" xfId="12" applyNumberFormat="1" applyBorder="1"/>
    <xf numFmtId="0" fontId="16" fillId="4" borderId="19" xfId="12" applyFill="1" applyBorder="1"/>
    <xf numFmtId="0" fontId="29" fillId="0" borderId="14" xfId="0" applyFont="1" applyBorder="1"/>
    <xf numFmtId="0" fontId="29" fillId="0" borderId="0" xfId="12" quotePrefix="1" applyFont="1" applyAlignment="1">
      <alignment horizontal="center"/>
    </xf>
    <xf numFmtId="0" fontId="29" fillId="0" borderId="15" xfId="0" applyFont="1" applyBorder="1" applyAlignment="1">
      <alignment horizontal="right"/>
    </xf>
    <xf numFmtId="0" fontId="29" fillId="0" borderId="14" xfId="0" applyFont="1" applyBorder="1" applyAlignment="1">
      <alignment horizontal="right"/>
    </xf>
    <xf numFmtId="0" fontId="17" fillId="0" borderId="8" xfId="12" applyFont="1" applyBorder="1"/>
    <xf numFmtId="0" fontId="17" fillId="0" borderId="9" xfId="12" applyFont="1" applyBorder="1" applyAlignment="1">
      <alignment horizontal="left"/>
    </xf>
    <xf numFmtId="0" fontId="17" fillId="0" borderId="8" xfId="12" applyFont="1" applyBorder="1" applyAlignment="1">
      <alignment horizontal="left"/>
    </xf>
    <xf numFmtId="0" fontId="0" fillId="0" borderId="24" xfId="0" applyBorder="1"/>
    <xf numFmtId="0" fontId="0" fillId="0" borderId="0" xfId="0" applyAlignment="1">
      <alignment horizontal="fill"/>
    </xf>
    <xf numFmtId="0" fontId="45" fillId="5" borderId="0" xfId="0" applyFont="1" applyFill="1"/>
    <xf numFmtId="0" fontId="29" fillId="0" borderId="14" xfId="0" applyFont="1" applyBorder="1" applyAlignment="1">
      <alignment horizontal="center"/>
    </xf>
    <xf numFmtId="1" fontId="29" fillId="0" borderId="15" xfId="0" applyNumberFormat="1" applyFont="1" applyBorder="1"/>
    <xf numFmtId="0" fontId="46" fillId="0" borderId="0" xfId="0" applyFont="1"/>
    <xf numFmtId="0" fontId="46" fillId="0" borderId="0" xfId="0" applyFont="1" applyAlignment="1">
      <alignment horizontal="center"/>
    </xf>
    <xf numFmtId="0" fontId="46" fillId="0" borderId="15" xfId="0" applyFont="1" applyBorder="1"/>
    <xf numFmtId="0" fontId="48" fillId="0" borderId="0" xfId="0" applyFont="1"/>
    <xf numFmtId="0" fontId="46" fillId="0" borderId="14" xfId="0" applyFont="1" applyBorder="1" applyAlignment="1">
      <alignment horizontal="center"/>
    </xf>
    <xf numFmtId="0" fontId="29" fillId="2" borderId="0" xfId="0" applyFont="1" applyFill="1"/>
    <xf numFmtId="0" fontId="44" fillId="2" borderId="0" xfId="0" applyFont="1" applyFill="1"/>
    <xf numFmtId="0" fontId="44" fillId="0" borderId="0" xfId="0" applyFont="1"/>
    <xf numFmtId="0" fontId="29" fillId="0" borderId="10" xfId="12" quotePrefix="1" applyFont="1" applyBorder="1" applyAlignment="1">
      <alignment horizontal="center"/>
    </xf>
    <xf numFmtId="0" fontId="29" fillId="0" borderId="11" xfId="12" quotePrefix="1" applyFont="1" applyBorder="1" applyAlignment="1">
      <alignment horizontal="center"/>
    </xf>
    <xf numFmtId="0" fontId="29" fillId="0" borderId="12" xfId="12" applyFont="1" applyBorder="1" applyAlignment="1">
      <alignment horizontal="center"/>
    </xf>
    <xf numFmtId="175" fontId="16" fillId="0" borderId="0" xfId="12" applyNumberFormat="1"/>
    <xf numFmtId="3" fontId="16" fillId="0" borderId="8" xfId="1" applyNumberFormat="1" applyFont="1" applyBorder="1"/>
    <xf numFmtId="3" fontId="16" fillId="0" borderId="9" xfId="1" applyNumberFormat="1" applyFont="1" applyBorder="1"/>
    <xf numFmtId="3" fontId="16" fillId="0" borderId="9" xfId="1" applyNumberFormat="1" applyFont="1" applyBorder="1" applyAlignment="1">
      <alignment horizontal="right"/>
    </xf>
    <xf numFmtId="3" fontId="29" fillId="0" borderId="0" xfId="0" applyNumberFormat="1" applyFont="1"/>
    <xf numFmtId="0" fontId="16" fillId="6" borderId="0" xfId="12" applyFill="1"/>
    <xf numFmtId="0" fontId="50" fillId="0" borderId="0" xfId="0" applyFont="1"/>
    <xf numFmtId="0" fontId="51" fillId="0" borderId="0" xfId="0" applyFont="1"/>
    <xf numFmtId="9" fontId="0" fillId="0" borderId="0" xfId="0" applyNumberFormat="1"/>
    <xf numFmtId="0" fontId="17" fillId="0" borderId="26" xfId="12" applyFont="1" applyBorder="1" applyAlignment="1">
      <alignment horizontal="left"/>
    </xf>
    <xf numFmtId="178" fontId="16" fillId="0" borderId="21" xfId="1" applyNumberFormat="1" applyFont="1" applyBorder="1"/>
    <xf numFmtId="178" fontId="16" fillId="0" borderId="22" xfId="1" applyNumberFormat="1" applyFont="1" applyBorder="1"/>
    <xf numFmtId="37" fontId="16" fillId="0" borderId="21" xfId="12" applyNumberFormat="1" applyBorder="1"/>
    <xf numFmtId="37" fontId="16" fillId="0" borderId="22" xfId="12" applyNumberFormat="1" applyBorder="1"/>
    <xf numFmtId="0" fontId="17" fillId="0" borderId="10" xfId="12" applyFont="1" applyBorder="1"/>
    <xf numFmtId="0" fontId="42" fillId="0" borderId="8" xfId="12" applyFont="1" applyBorder="1"/>
    <xf numFmtId="0" fontId="42" fillId="0" borderId="10" xfId="12" applyFont="1" applyBorder="1"/>
    <xf numFmtId="0" fontId="17" fillId="0" borderId="11" xfId="12" applyFont="1" applyBorder="1"/>
    <xf numFmtId="9" fontId="16" fillId="0" borderId="0" xfId="14" applyFont="1"/>
    <xf numFmtId="1" fontId="47" fillId="0" borderId="15" xfId="0" applyNumberFormat="1" applyFont="1" applyBorder="1"/>
    <xf numFmtId="3" fontId="29" fillId="0" borderId="0" xfId="12" quotePrefix="1" applyNumberFormat="1" applyFont="1"/>
    <xf numFmtId="3" fontId="29" fillId="0" borderId="0" xfId="12" quotePrefix="1" applyNumberFormat="1" applyFont="1" applyAlignment="1">
      <alignment horizontal="center"/>
    </xf>
    <xf numFmtId="1" fontId="34" fillId="2" borderId="0" xfId="0" applyNumberFormat="1" applyFont="1" applyFill="1"/>
    <xf numFmtId="0" fontId="0" fillId="2" borderId="17" xfId="0" applyFill="1" applyBorder="1"/>
    <xf numFmtId="0" fontId="54" fillId="0" borderId="0" xfId="12" quotePrefix="1" applyFont="1" applyAlignment="1">
      <alignment horizontal="left"/>
    </xf>
    <xf numFmtId="166" fontId="49" fillId="0" borderId="29" xfId="12" applyNumberFormat="1" applyFont="1" applyBorder="1" applyAlignment="1">
      <alignment horizontal="right"/>
    </xf>
    <xf numFmtId="37" fontId="23" fillId="0" borderId="0" xfId="0" applyNumberFormat="1" applyFont="1" applyProtection="1">
      <protection locked="0"/>
    </xf>
    <xf numFmtId="0" fontId="17" fillId="0" borderId="0" xfId="12" applyFont="1" applyAlignment="1">
      <alignment horizontal="left"/>
    </xf>
    <xf numFmtId="0" fontId="16" fillId="0" borderId="0" xfId="12" applyAlignment="1">
      <alignment horizontal="left"/>
    </xf>
    <xf numFmtId="1" fontId="16" fillId="7" borderId="29" xfId="12" applyNumberFormat="1" applyFill="1" applyBorder="1"/>
    <xf numFmtId="0" fontId="16" fillId="7" borderId="29" xfId="12" applyFill="1" applyBorder="1"/>
    <xf numFmtId="0" fontId="22" fillId="7" borderId="29" xfId="12" applyFont="1" applyFill="1" applyBorder="1"/>
    <xf numFmtId="0" fontId="17" fillId="0" borderId="5" xfId="12" applyFont="1" applyBorder="1" applyAlignment="1">
      <alignment horizontal="left"/>
    </xf>
    <xf numFmtId="178" fontId="16" fillId="0" borderId="3" xfId="1" applyNumberFormat="1" applyFont="1" applyBorder="1"/>
    <xf numFmtId="0" fontId="0" fillId="0" borderId="0" xfId="0" applyAlignment="1">
      <alignment horizontal="right"/>
    </xf>
    <xf numFmtId="0" fontId="18" fillId="0" borderId="0" xfId="12" applyFont="1" applyAlignment="1">
      <alignment horizontal="fill"/>
    </xf>
    <xf numFmtId="0" fontId="55" fillId="0" borderId="0" xfId="12" applyFont="1"/>
    <xf numFmtId="0" fontId="26" fillId="0" borderId="0" xfId="12" applyFont="1" applyAlignment="1">
      <alignment horizontal="center"/>
    </xf>
    <xf numFmtId="0" fontId="58" fillId="0" borderId="0" xfId="12" applyFont="1"/>
    <xf numFmtId="0" fontId="42" fillId="0" borderId="0" xfId="12" applyFont="1"/>
    <xf numFmtId="0" fontId="59" fillId="0" borderId="0" xfId="12" quotePrefix="1" applyFont="1"/>
    <xf numFmtId="0" fontId="48" fillId="2" borderId="0" xfId="0" applyFont="1" applyFill="1"/>
    <xf numFmtId="1" fontId="29" fillId="2" borderId="0" xfId="0" applyNumberFormat="1" applyFont="1" applyFill="1" applyAlignment="1">
      <alignment horizontal="right"/>
    </xf>
    <xf numFmtId="3" fontId="29" fillId="0" borderId="15" xfId="0" applyNumberFormat="1" applyFont="1" applyBorder="1"/>
    <xf numFmtId="0" fontId="44" fillId="10" borderId="0" xfId="12" applyFont="1" applyFill="1" applyAlignment="1">
      <alignment horizontal="center"/>
    </xf>
    <xf numFmtId="3" fontId="16" fillId="0" borderId="0" xfId="1" applyNumberFormat="1" applyFont="1"/>
    <xf numFmtId="3" fontId="34" fillId="0" borderId="0" xfId="0" quotePrefix="1" applyNumberFormat="1" applyFont="1"/>
    <xf numFmtId="1" fontId="29" fillId="2" borderId="0" xfId="0" applyNumberFormat="1" applyFont="1" applyFill="1"/>
    <xf numFmtId="1" fontId="34" fillId="0" borderId="0" xfId="0" applyNumberFormat="1" applyFont="1"/>
    <xf numFmtId="3" fontId="64" fillId="0" borderId="0" xfId="0" applyNumberFormat="1" applyFont="1" applyAlignment="1">
      <alignment horizontal="center"/>
    </xf>
    <xf numFmtId="0" fontId="64" fillId="0" borderId="0" xfId="0" applyFont="1" applyAlignment="1">
      <alignment horizontal="center"/>
    </xf>
    <xf numFmtId="0" fontId="15" fillId="0" borderId="0" xfId="0" applyFont="1"/>
    <xf numFmtId="37" fontId="22" fillId="0" borderId="2" xfId="12" applyNumberFormat="1" applyFont="1" applyBorder="1"/>
    <xf numFmtId="1" fontId="34" fillId="0" borderId="14" xfId="0" applyNumberFormat="1" applyFont="1" applyBorder="1"/>
    <xf numFmtId="169" fontId="23" fillId="0" borderId="0" xfId="12" applyNumberFormat="1" applyFont="1" applyProtection="1">
      <protection locked="0"/>
    </xf>
    <xf numFmtId="169" fontId="56" fillId="0" borderId="0" xfId="12" applyNumberFormat="1" applyFont="1" applyProtection="1">
      <protection locked="0"/>
    </xf>
    <xf numFmtId="1" fontId="16" fillId="0" borderId="0" xfId="12" quotePrefix="1" applyNumberFormat="1" applyAlignment="1">
      <alignment horizontal="right"/>
    </xf>
    <xf numFmtId="1" fontId="16" fillId="0" borderId="0" xfId="0" quotePrefix="1" applyNumberFormat="1" applyFont="1" applyAlignment="1">
      <alignment horizontal="right"/>
    </xf>
    <xf numFmtId="1" fontId="16" fillId="0" borderId="0" xfId="0" applyNumberFormat="1" applyFont="1" applyAlignment="1">
      <alignment horizontal="right"/>
    </xf>
    <xf numFmtId="9" fontId="17" fillId="0" borderId="25" xfId="12" applyNumberFormat="1" applyFont="1" applyBorder="1"/>
    <xf numFmtId="1" fontId="46" fillId="0" borderId="0" xfId="0" applyNumberFormat="1" applyFont="1"/>
    <xf numFmtId="3" fontId="46" fillId="0" borderId="0" xfId="0" applyNumberFormat="1" applyFont="1"/>
    <xf numFmtId="3" fontId="46" fillId="0" borderId="15" xfId="0" quotePrefix="1" applyNumberFormat="1" applyFont="1" applyBorder="1"/>
    <xf numFmtId="0" fontId="47" fillId="0" borderId="0" xfId="0" applyFont="1" applyAlignment="1">
      <alignment horizontal="right"/>
    </xf>
    <xf numFmtId="0" fontId="47" fillId="0" borderId="0" xfId="0" applyFont="1" applyAlignment="1">
      <alignment horizontal="center"/>
    </xf>
    <xf numFmtId="0" fontId="47" fillId="0" borderId="0" xfId="0" applyFont="1"/>
    <xf numFmtId="187" fontId="46" fillId="0" borderId="0" xfId="12" quotePrefix="1" applyNumberFormat="1" applyFont="1"/>
    <xf numFmtId="0" fontId="46" fillId="0" borderId="0" xfId="0" applyFont="1" applyAlignment="1">
      <alignment horizontal="right"/>
    </xf>
    <xf numFmtId="3" fontId="47" fillId="0" borderId="0" xfId="0" applyNumberFormat="1" applyFont="1"/>
    <xf numFmtId="1" fontId="47" fillId="0" borderId="0" xfId="0" applyNumberFormat="1" applyFont="1"/>
    <xf numFmtId="0" fontId="27" fillId="0" borderId="0" xfId="12" applyFont="1"/>
    <xf numFmtId="37" fontId="0" fillId="0" borderId="14" xfId="0" applyNumberFormat="1" applyBorder="1"/>
    <xf numFmtId="37" fontId="0" fillId="0" borderId="15" xfId="0" applyNumberFormat="1" applyBorder="1"/>
    <xf numFmtId="0" fontId="15" fillId="0" borderId="14" xfId="0" applyFont="1" applyBorder="1"/>
    <xf numFmtId="0" fontId="15" fillId="0" borderId="15" xfId="0" applyFont="1" applyBorder="1"/>
    <xf numFmtId="0" fontId="66" fillId="0" borderId="0" xfId="12" applyFont="1" applyProtection="1">
      <protection locked="0"/>
    </xf>
    <xf numFmtId="0" fontId="66" fillId="0" borderId="0" xfId="12" applyFont="1"/>
    <xf numFmtId="170" fontId="0" fillId="0" borderId="0" xfId="14" applyNumberFormat="1" applyFont="1"/>
    <xf numFmtId="170" fontId="0" fillId="0" borderId="15" xfId="14" applyNumberFormat="1" applyFont="1" applyBorder="1"/>
    <xf numFmtId="170" fontId="0" fillId="0" borderId="0" xfId="0" applyNumberFormat="1"/>
    <xf numFmtId="178" fontId="0" fillId="0" borderId="0" xfId="1" applyNumberFormat="1" applyFont="1"/>
    <xf numFmtId="170" fontId="69" fillId="0" borderId="0" xfId="12" applyNumberFormat="1" applyFont="1"/>
    <xf numFmtId="0" fontId="69" fillId="0" borderId="0" xfId="0" applyFont="1"/>
    <xf numFmtId="0" fontId="46" fillId="0" borderId="0" xfId="0" quotePrefix="1" applyFont="1" applyAlignment="1">
      <alignment horizontal="center"/>
    </xf>
    <xf numFmtId="0" fontId="57" fillId="0" borderId="0" xfId="12" applyFont="1" applyProtection="1">
      <protection locked="0" hidden="1"/>
    </xf>
    <xf numFmtId="3" fontId="26" fillId="0" borderId="0" xfId="12" applyNumberFormat="1" applyFont="1"/>
    <xf numFmtId="0" fontId="16" fillId="0" borderId="15" xfId="12" applyBorder="1"/>
    <xf numFmtId="1" fontId="16" fillId="0" borderId="5" xfId="12" applyNumberFormat="1" applyBorder="1"/>
    <xf numFmtId="0" fontId="16" fillId="0" borderId="7" xfId="12" applyBorder="1"/>
    <xf numFmtId="0" fontId="70" fillId="0" borderId="0" xfId="0" applyFont="1"/>
    <xf numFmtId="174" fontId="70" fillId="0" borderId="0" xfId="0" applyNumberFormat="1" applyFont="1"/>
    <xf numFmtId="177" fontId="70" fillId="0" borderId="0" xfId="0" applyNumberFormat="1" applyFont="1"/>
    <xf numFmtId="0" fontId="16" fillId="0" borderId="0" xfId="12" quotePrefix="1" applyAlignment="1">
      <alignment horizontal="center"/>
    </xf>
    <xf numFmtId="39" fontId="16" fillId="0" borderId="0" xfId="12" applyNumberFormat="1" applyAlignment="1">
      <alignment horizontal="center"/>
    </xf>
    <xf numFmtId="1" fontId="16" fillId="0" borderId="0" xfId="12" applyNumberFormat="1" applyAlignment="1">
      <alignment horizontal="center"/>
    </xf>
    <xf numFmtId="1" fontId="17" fillId="0" borderId="0" xfId="12" applyNumberFormat="1" applyFont="1" applyAlignment="1">
      <alignment horizontal="center"/>
    </xf>
    <xf numFmtId="0" fontId="17" fillId="0" borderId="0" xfId="12" quotePrefix="1" applyFont="1" applyAlignment="1">
      <alignment horizontal="center"/>
    </xf>
    <xf numFmtId="37" fontId="0" fillId="0" borderId="24" xfId="0" applyNumberFormat="1" applyBorder="1"/>
    <xf numFmtId="37" fontId="0" fillId="0" borderId="25" xfId="0" applyNumberFormat="1" applyBorder="1"/>
    <xf numFmtId="0" fontId="29" fillId="0" borderId="21" xfId="12" applyFont="1" applyBorder="1"/>
    <xf numFmtId="37" fontId="29" fillId="0" borderId="21" xfId="12" applyNumberFormat="1" applyFont="1" applyBorder="1"/>
    <xf numFmtId="37" fontId="29" fillId="0" borderId="30" xfId="12" applyNumberFormat="1" applyFont="1" applyBorder="1"/>
    <xf numFmtId="1" fontId="0" fillId="0" borderId="0" xfId="14" applyNumberFormat="1" applyFont="1"/>
    <xf numFmtId="178" fontId="0" fillId="0" borderId="0" xfId="1" applyNumberFormat="1" applyFont="1" applyAlignment="1">
      <alignment horizontal="right"/>
    </xf>
    <xf numFmtId="0" fontId="16" fillId="0" borderId="21" xfId="0" applyFont="1" applyBorder="1" applyAlignment="1">
      <alignment horizontal="center"/>
    </xf>
    <xf numFmtId="0" fontId="16" fillId="0" borderId="23" xfId="0" applyFont="1" applyBorder="1" applyAlignment="1">
      <alignment horizontal="center"/>
    </xf>
    <xf numFmtId="0" fontId="16" fillId="0" borderId="8" xfId="0" applyFont="1" applyBorder="1"/>
    <xf numFmtId="0" fontId="16" fillId="0" borderId="9" xfId="0" applyFont="1" applyBorder="1"/>
    <xf numFmtId="0" fontId="16" fillId="0" borderId="6" xfId="0" applyFont="1" applyBorder="1"/>
    <xf numFmtId="0" fontId="16" fillId="0" borderId="26" xfId="0" applyFont="1" applyBorder="1" applyAlignment="1">
      <alignment horizontal="center"/>
    </xf>
    <xf numFmtId="37" fontId="16" fillId="0" borderId="10" xfId="0" applyNumberFormat="1" applyFont="1" applyBorder="1"/>
    <xf numFmtId="37" fontId="16" fillId="0" borderId="16" xfId="0" applyNumberFormat="1" applyFont="1" applyBorder="1"/>
    <xf numFmtId="37" fontId="0" fillId="0" borderId="24" xfId="0" applyNumberFormat="1" applyBorder="1" applyAlignment="1">
      <alignment horizontal="right" wrapText="1"/>
    </xf>
    <xf numFmtId="37" fontId="0" fillId="0" borderId="25" xfId="0" applyNumberFormat="1" applyBorder="1" applyAlignment="1">
      <alignment horizontal="right" wrapText="1"/>
    </xf>
    <xf numFmtId="0" fontId="0" fillId="0" borderId="24" xfId="0" applyBorder="1" applyAlignment="1">
      <alignment horizontal="right" wrapText="1"/>
    </xf>
    <xf numFmtId="0" fontId="0" fillId="0" borderId="0" xfId="0" applyAlignment="1">
      <alignment horizontal="right" wrapText="1"/>
    </xf>
    <xf numFmtId="37" fontId="29" fillId="0" borderId="31" xfId="12" applyNumberFormat="1" applyFont="1" applyBorder="1" applyAlignment="1">
      <alignment horizontal="right" wrapText="1"/>
    </xf>
    <xf numFmtId="1" fontId="0" fillId="0" borderId="24" xfId="0" applyNumberFormat="1" applyBorder="1" applyAlignment="1">
      <alignment horizontal="right" wrapText="1"/>
    </xf>
    <xf numFmtId="1" fontId="0" fillId="0" borderId="25" xfId="0" applyNumberFormat="1" applyBorder="1" applyAlignment="1">
      <alignment horizontal="right" wrapText="1"/>
    </xf>
    <xf numFmtId="170" fontId="0" fillId="0" borderId="24" xfId="14" applyNumberFormat="1" applyFont="1" applyBorder="1"/>
    <xf numFmtId="170" fontId="0" fillId="0" borderId="25" xfId="14" applyNumberFormat="1" applyFont="1" applyBorder="1"/>
    <xf numFmtId="170" fontId="0" fillId="0" borderId="10" xfId="14" applyNumberFormat="1" applyFont="1" applyBorder="1" applyAlignment="1">
      <alignment horizontal="right"/>
    </xf>
    <xf numFmtId="170" fontId="0" fillId="0" borderId="11" xfId="14" applyNumberFormat="1" applyFont="1" applyBorder="1" applyAlignment="1">
      <alignment horizontal="right"/>
    </xf>
    <xf numFmtId="170" fontId="29" fillId="0" borderId="25" xfId="12" applyNumberFormat="1" applyFont="1" applyBorder="1"/>
    <xf numFmtId="37" fontId="16" fillId="0" borderId="8" xfId="0" applyNumberFormat="1" applyFont="1" applyBorder="1"/>
    <xf numFmtId="9" fontId="69" fillId="0" borderId="0" xfId="0" applyNumberFormat="1" applyFont="1"/>
    <xf numFmtId="9" fontId="15" fillId="0" borderId="11" xfId="14" applyBorder="1"/>
    <xf numFmtId="9" fontId="15" fillId="0" borderId="12" xfId="14" applyBorder="1"/>
    <xf numFmtId="9" fontId="15" fillId="0" borderId="9" xfId="14" applyBorder="1"/>
    <xf numFmtId="9" fontId="15" fillId="0" borderId="6" xfId="14" applyBorder="1"/>
    <xf numFmtId="9" fontId="15" fillId="0" borderId="0" xfId="14"/>
    <xf numFmtId="9" fontId="15" fillId="0" borderId="7" xfId="14" applyBorder="1"/>
    <xf numFmtId="9" fontId="15" fillId="0" borderId="17" xfId="14" applyBorder="1"/>
    <xf numFmtId="9" fontId="15" fillId="0" borderId="19" xfId="14" applyBorder="1"/>
    <xf numFmtId="170" fontId="0" fillId="0" borderId="14" xfId="14" applyNumberFormat="1" applyFont="1" applyBorder="1"/>
    <xf numFmtId="170" fontId="29" fillId="0" borderId="0" xfId="12" applyNumberFormat="1" applyFont="1"/>
    <xf numFmtId="0" fontId="16" fillId="0" borderId="14" xfId="12" applyBorder="1"/>
    <xf numFmtId="37" fontId="16" fillId="0" borderId="15" xfId="12" applyNumberFormat="1" applyBorder="1"/>
    <xf numFmtId="37" fontId="16" fillId="0" borderId="15" xfId="12" quotePrefix="1" applyNumberFormat="1" applyBorder="1"/>
    <xf numFmtId="0" fontId="15" fillId="0" borderId="0" xfId="11" applyAlignment="1"/>
    <xf numFmtId="0" fontId="15" fillId="0" borderId="2" xfId="11" applyBorder="1" applyAlignment="1"/>
    <xf numFmtId="0" fontId="34" fillId="0" borderId="0" xfId="11" applyFont="1" applyAlignment="1"/>
    <xf numFmtId="0" fontId="15" fillId="0" borderId="9" xfId="11" applyBorder="1" applyAlignment="1"/>
    <xf numFmtId="0" fontId="15" fillId="0" borderId="22" xfId="11" applyBorder="1" applyAlignment="1"/>
    <xf numFmtId="3" fontId="15" fillId="0" borderId="0" xfId="11" applyNumberFormat="1" applyAlignment="1"/>
    <xf numFmtId="10" fontId="15" fillId="0" borderId="0" xfId="11" applyNumberFormat="1" applyAlignment="1"/>
    <xf numFmtId="0" fontId="15" fillId="0" borderId="3" xfId="11" applyBorder="1" applyAlignment="1"/>
    <xf numFmtId="10" fontId="15" fillId="0" borderId="0" xfId="11" applyNumberFormat="1" applyAlignment="1">
      <alignment horizontal="center"/>
    </xf>
    <xf numFmtId="3" fontId="15" fillId="0" borderId="3" xfId="11" applyNumberFormat="1" applyBorder="1" applyAlignment="1"/>
    <xf numFmtId="10" fontId="15" fillId="0" borderId="3" xfId="11" applyNumberFormat="1" applyBorder="1" applyAlignment="1"/>
    <xf numFmtId="1" fontId="15" fillId="0" borderId="0" xfId="11" applyNumberFormat="1" applyAlignment="1"/>
    <xf numFmtId="3" fontId="15" fillId="0" borderId="26" xfId="11" applyNumberFormat="1" applyBorder="1" applyAlignment="1"/>
    <xf numFmtId="3" fontId="15" fillId="0" borderId="2" xfId="11" applyNumberFormat="1" applyBorder="1" applyAlignment="1"/>
    <xf numFmtId="3" fontId="15" fillId="0" borderId="0" xfId="3"/>
    <xf numFmtId="0" fontId="29" fillId="0" borderId="21" xfId="11" applyFont="1" applyBorder="1" applyAlignment="1"/>
    <xf numFmtId="0" fontId="29" fillId="0" borderId="21" xfId="11" applyFont="1" applyBorder="1" applyAlignment="1">
      <alignment horizontal="right"/>
    </xf>
    <xf numFmtId="0" fontId="29" fillId="0" borderId="31" xfId="11" applyFont="1" applyBorder="1" applyAlignment="1">
      <alignment horizontal="right"/>
    </xf>
    <xf numFmtId="0" fontId="15" fillId="0" borderId="26" xfId="11" applyBorder="1" applyAlignment="1"/>
    <xf numFmtId="0" fontId="29" fillId="0" borderId="9" xfId="11" applyFont="1" applyBorder="1" applyAlignment="1"/>
    <xf numFmtId="0" fontId="15" fillId="0" borderId="32" xfId="11" applyBorder="1" applyAlignment="1"/>
    <xf numFmtId="3" fontId="15" fillId="0" borderId="9" xfId="11" applyNumberFormat="1" applyBorder="1" applyAlignment="1"/>
    <xf numFmtId="3" fontId="15" fillId="0" borderId="32" xfId="11" applyNumberFormat="1" applyBorder="1" applyAlignment="1"/>
    <xf numFmtId="170" fontId="15" fillId="0" borderId="9" xfId="15" applyNumberFormat="1" applyBorder="1"/>
    <xf numFmtId="170" fontId="15" fillId="0" borderId="32" xfId="15" applyNumberFormat="1" applyBorder="1"/>
    <xf numFmtId="0" fontId="29" fillId="0" borderId="6" xfId="11" applyFont="1" applyBorder="1" applyAlignment="1"/>
    <xf numFmtId="0" fontId="15" fillId="0" borderId="7" xfId="11" applyBorder="1" applyAlignment="1"/>
    <xf numFmtId="170" fontId="15" fillId="0" borderId="6" xfId="11" applyNumberFormat="1" applyBorder="1" applyAlignment="1"/>
    <xf numFmtId="170" fontId="15" fillId="0" borderId="33" xfId="11" applyNumberFormat="1" applyBorder="1" applyAlignment="1"/>
    <xf numFmtId="170" fontId="15" fillId="0" borderId="21" xfId="15" applyNumberFormat="1" applyBorder="1"/>
    <xf numFmtId="170" fontId="15" fillId="0" borderId="31" xfId="15" applyNumberFormat="1" applyBorder="1"/>
    <xf numFmtId="0" fontId="0" fillId="0" borderId="0" xfId="0" applyAlignment="1">
      <alignment vertical="top"/>
    </xf>
    <xf numFmtId="0" fontId="45" fillId="0" borderId="8" xfId="0" applyFont="1" applyBorder="1"/>
    <xf numFmtId="0" fontId="45" fillId="0" borderId="5" xfId="0" applyFont="1" applyBorder="1"/>
    <xf numFmtId="0" fontId="45" fillId="0" borderId="16" xfId="0" applyFont="1" applyBorder="1"/>
    <xf numFmtId="0" fontId="75" fillId="0" borderId="34" xfId="0" applyFont="1" applyBorder="1"/>
    <xf numFmtId="0" fontId="45" fillId="0" borderId="34" xfId="0" applyFont="1" applyBorder="1"/>
    <xf numFmtId="0" fontId="45" fillId="0" borderId="35" xfId="0" applyFont="1" applyBorder="1"/>
    <xf numFmtId="0" fontId="45" fillId="0" borderId="36" xfId="0" applyFont="1" applyBorder="1"/>
    <xf numFmtId="0" fontId="45" fillId="0" borderId="6" xfId="0" applyFont="1" applyBorder="1"/>
    <xf numFmtId="0" fontId="45" fillId="0" borderId="6" xfId="0" applyFont="1" applyBorder="1" applyAlignment="1">
      <alignment horizontal="center"/>
    </xf>
    <xf numFmtId="0" fontId="45" fillId="0" borderId="7" xfId="0" applyFont="1" applyBorder="1" applyAlignment="1">
      <alignment horizontal="center"/>
    </xf>
    <xf numFmtId="0" fontId="45" fillId="0" borderId="19" xfId="0" applyFont="1" applyBorder="1" applyAlignment="1">
      <alignment horizontal="center"/>
    </xf>
    <xf numFmtId="0" fontId="17" fillId="0" borderId="9" xfId="0" applyFont="1" applyBorder="1"/>
    <xf numFmtId="170" fontId="16" fillId="0" borderId="0" xfId="14" applyNumberFormat="1" applyFont="1"/>
    <xf numFmtId="170" fontId="16" fillId="0" borderId="7" xfId="14" applyNumberFormat="1" applyFont="1" applyBorder="1"/>
    <xf numFmtId="170" fontId="16" fillId="0" borderId="19" xfId="14" applyNumberFormat="1" applyFont="1" applyBorder="1"/>
    <xf numFmtId="1" fontId="29" fillId="0" borderId="6" xfId="0" applyNumberFormat="1" applyFont="1" applyBorder="1"/>
    <xf numFmtId="1" fontId="29" fillId="0" borderId="19" xfId="0" applyNumberFormat="1" applyFont="1" applyBorder="1"/>
    <xf numFmtId="0" fontId="0" fillId="0" borderId="8" xfId="0" quotePrefix="1" applyBorder="1"/>
    <xf numFmtId="0" fontId="0" fillId="0" borderId="9" xfId="0" quotePrefix="1" applyBorder="1"/>
    <xf numFmtId="0" fontId="0" fillId="0" borderId="20" xfId="0" quotePrefix="1" applyBorder="1"/>
    <xf numFmtId="0" fontId="29" fillId="14" borderId="0" xfId="0" applyFont="1" applyFill="1" applyAlignment="1">
      <alignment horizontal="center"/>
    </xf>
    <xf numFmtId="10" fontId="0" fillId="0" borderId="0" xfId="14" applyNumberFormat="1" applyFont="1"/>
    <xf numFmtId="1" fontId="29" fillId="0" borderId="9" xfId="0" applyNumberFormat="1" applyFont="1" applyBorder="1"/>
    <xf numFmtId="169" fontId="16" fillId="0" borderId="0" xfId="12" applyNumberFormat="1" applyAlignment="1">
      <alignment horizontal="right"/>
    </xf>
    <xf numFmtId="177" fontId="72" fillId="0" borderId="0" xfId="12" applyNumberFormat="1" applyFont="1" applyAlignment="1">
      <alignment horizontal="right"/>
    </xf>
    <xf numFmtId="177" fontId="72" fillId="0" borderId="0" xfId="12" applyNumberFormat="1" applyFont="1"/>
    <xf numFmtId="177" fontId="73" fillId="0" borderId="0" xfId="12" applyNumberFormat="1" applyFont="1"/>
    <xf numFmtId="181" fontId="16" fillId="0" borderId="11" xfId="14" applyNumberFormat="1" applyFont="1" applyBorder="1"/>
    <xf numFmtId="181" fontId="16" fillId="0" borderId="17" xfId="14" applyNumberFormat="1" applyFont="1" applyBorder="1"/>
    <xf numFmtId="181" fontId="16" fillId="0" borderId="12" xfId="14" applyNumberFormat="1" applyFont="1" applyBorder="1"/>
    <xf numFmtId="181" fontId="16" fillId="0" borderId="19" xfId="14" applyNumberFormat="1" applyFont="1" applyBorder="1"/>
    <xf numFmtId="0" fontId="16" fillId="0" borderId="0" xfId="0" applyFont="1"/>
    <xf numFmtId="37" fontId="16" fillId="0" borderId="0" xfId="0" applyNumberFormat="1" applyFont="1"/>
    <xf numFmtId="181" fontId="16" fillId="0" borderId="0" xfId="14" applyNumberFormat="1" applyFont="1"/>
    <xf numFmtId="0" fontId="29" fillId="0" borderId="0" xfId="11" applyFont="1" applyAlignment="1"/>
    <xf numFmtId="0" fontId="17" fillId="0" borderId="2" xfId="11" applyFont="1" applyBorder="1" applyAlignment="1"/>
    <xf numFmtId="0" fontId="44" fillId="0" borderId="0" xfId="11" applyFont="1" applyAlignment="1">
      <alignment horizontal="center"/>
    </xf>
    <xf numFmtId="0" fontId="81" fillId="0" borderId="9" xfId="11" applyFont="1" applyBorder="1" applyAlignment="1"/>
    <xf numFmtId="0" fontId="81" fillId="0" borderId="17" xfId="11" applyFont="1" applyBorder="1" applyAlignment="1"/>
    <xf numFmtId="1" fontId="81" fillId="0" borderId="9" xfId="11" applyNumberFormat="1" applyFont="1" applyBorder="1" applyAlignment="1"/>
    <xf numFmtId="1" fontId="81" fillId="0" borderId="17" xfId="11" applyNumberFormat="1" applyFont="1" applyBorder="1" applyAlignment="1"/>
    <xf numFmtId="0" fontId="17" fillId="0" borderId="0" xfId="11" applyFont="1" applyAlignment="1"/>
    <xf numFmtId="9" fontId="81" fillId="0" borderId="0" xfId="14" applyFont="1"/>
    <xf numFmtId="1" fontId="17" fillId="0" borderId="0" xfId="12" applyNumberFormat="1" applyFont="1"/>
    <xf numFmtId="1" fontId="16" fillId="0" borderId="6" xfId="12" quotePrefix="1" applyNumberFormat="1" applyBorder="1"/>
    <xf numFmtId="1" fontId="16" fillId="16" borderId="9" xfId="12" applyNumberFormat="1" applyFill="1" applyBorder="1"/>
    <xf numFmtId="1" fontId="29" fillId="0" borderId="8" xfId="0" applyNumberFormat="1" applyFont="1" applyBorder="1" applyAlignment="1">
      <alignment horizontal="right"/>
    </xf>
    <xf numFmtId="0" fontId="29" fillId="0" borderId="37" xfId="0" applyFont="1" applyBorder="1" applyAlignment="1">
      <alignment horizontal="center"/>
    </xf>
    <xf numFmtId="0" fontId="29" fillId="0" borderId="33" xfId="0" applyFont="1" applyBorder="1" applyAlignment="1">
      <alignment horizontal="center"/>
    </xf>
    <xf numFmtId="0" fontId="29" fillId="18" borderId="9" xfId="0" applyFont="1" applyFill="1" applyBorder="1"/>
    <xf numFmtId="1" fontId="0" fillId="18" borderId="32" xfId="0" applyNumberFormat="1" applyFill="1" applyBorder="1" applyAlignment="1">
      <alignment horizontal="center"/>
    </xf>
    <xf numFmtId="0" fontId="0" fillId="0" borderId="32" xfId="0" applyBorder="1" applyAlignment="1">
      <alignment horizontal="center"/>
    </xf>
    <xf numFmtId="1" fontId="29" fillId="18" borderId="9" xfId="0" applyNumberFormat="1" applyFont="1" applyFill="1" applyBorder="1"/>
    <xf numFmtId="0" fontId="29" fillId="18" borderId="6" xfId="0" applyFont="1" applyFill="1" applyBorder="1"/>
    <xf numFmtId="1" fontId="0" fillId="18" borderId="33" xfId="0" applyNumberFormat="1" applyFill="1" applyBorder="1" applyAlignment="1">
      <alignment horizontal="center"/>
    </xf>
    <xf numFmtId="0" fontId="81" fillId="16" borderId="0" xfId="11" applyFont="1" applyFill="1" applyAlignment="1"/>
    <xf numFmtId="0" fontId="78" fillId="0" borderId="0" xfId="0" applyFont="1"/>
    <xf numFmtId="180" fontId="16" fillId="0" borderId="0" xfId="12" applyNumberFormat="1"/>
    <xf numFmtId="1" fontId="16" fillId="19" borderId="9" xfId="12" applyNumberFormat="1" applyFill="1" applyBorder="1"/>
    <xf numFmtId="9" fontId="29" fillId="0" borderId="14" xfId="12" applyNumberFormat="1" applyFont="1" applyBorder="1"/>
    <xf numFmtId="10" fontId="29" fillId="0" borderId="24" xfId="12" quotePrefix="1" applyNumberFormat="1" applyFont="1" applyBorder="1" applyAlignment="1">
      <alignment horizontal="right"/>
    </xf>
    <xf numFmtId="10" fontId="0" fillId="0" borderId="17" xfId="0" applyNumberFormat="1" applyBorder="1"/>
    <xf numFmtId="0" fontId="81" fillId="20" borderId="0" xfId="0" applyFont="1" applyFill="1"/>
    <xf numFmtId="181" fontId="0" fillId="0" borderId="0" xfId="14" applyNumberFormat="1" applyFont="1"/>
    <xf numFmtId="1" fontId="0" fillId="0" borderId="24" xfId="0" applyNumberFormat="1" applyBorder="1"/>
    <xf numFmtId="0" fontId="34" fillId="0" borderId="0" xfId="0" applyFont="1"/>
    <xf numFmtId="177" fontId="46" fillId="0" borderId="0" xfId="0" applyNumberFormat="1" applyFont="1"/>
    <xf numFmtId="0" fontId="16" fillId="0" borderId="0" xfId="12" applyProtection="1">
      <protection locked="0" hidden="1"/>
    </xf>
    <xf numFmtId="0" fontId="86" fillId="0" borderId="0" xfId="12" applyFont="1"/>
    <xf numFmtId="0" fontId="86" fillId="0" borderId="0" xfId="12" applyFont="1" applyAlignment="1" applyProtection="1">
      <alignment horizontal="right"/>
      <protection locked="0" hidden="1"/>
    </xf>
    <xf numFmtId="0" fontId="86" fillId="0" borderId="0" xfId="12" applyFont="1" applyProtection="1">
      <protection locked="0" hidden="1"/>
    </xf>
    <xf numFmtId="3" fontId="15" fillId="0" borderId="0" xfId="0" quotePrefix="1" applyNumberFormat="1" applyFont="1" applyAlignment="1">
      <alignment horizontal="right"/>
    </xf>
    <xf numFmtId="1" fontId="80" fillId="0" borderId="0" xfId="12" applyNumberFormat="1" applyFont="1" applyProtection="1">
      <protection locked="0"/>
    </xf>
    <xf numFmtId="0" fontId="84" fillId="0" borderId="0" xfId="12" applyFont="1" applyAlignment="1" applyProtection="1">
      <alignment horizontal="left"/>
      <protection locked="0"/>
    </xf>
    <xf numFmtId="0" fontId="15" fillId="16" borderId="0" xfId="11" applyFill="1" applyAlignment="1"/>
    <xf numFmtId="0" fontId="15" fillId="0" borderId="8" xfId="11" applyBorder="1" applyAlignment="1"/>
    <xf numFmtId="0" fontId="15" fillId="0" borderId="5" xfId="11" applyBorder="1" applyAlignment="1"/>
    <xf numFmtId="0" fontId="15" fillId="0" borderId="9" xfId="11" applyBorder="1" applyAlignment="1">
      <alignment horizontal="left"/>
    </xf>
    <xf numFmtId="0" fontId="15" fillId="0" borderId="17" xfId="11" applyBorder="1" applyAlignment="1"/>
    <xf numFmtId="1" fontId="15" fillId="0" borderId="17" xfId="11" applyNumberFormat="1" applyBorder="1" applyAlignment="1"/>
    <xf numFmtId="0" fontId="15" fillId="0" borderId="21" xfId="11" applyBorder="1" applyAlignment="1">
      <alignment horizontal="left"/>
    </xf>
    <xf numFmtId="174" fontId="15" fillId="0" borderId="21" xfId="11" applyNumberFormat="1" applyBorder="1" applyAlignment="1"/>
    <xf numFmtId="174" fontId="15" fillId="0" borderId="23" xfId="11" applyNumberFormat="1" applyBorder="1" applyAlignment="1"/>
    <xf numFmtId="3" fontId="34" fillId="0" borderId="0" xfId="11" applyNumberFormat="1" applyFont="1" applyAlignment="1"/>
    <xf numFmtId="1" fontId="34" fillId="0" borderId="0" xfId="11" applyNumberFormat="1" applyFont="1" applyAlignment="1"/>
    <xf numFmtId="0" fontId="54" fillId="0" borderId="0" xfId="12" applyFont="1"/>
    <xf numFmtId="178" fontId="53" fillId="0" borderId="0" xfId="19" applyNumberFormat="1" applyFont="1"/>
    <xf numFmtId="0" fontId="15" fillId="0" borderId="0" xfId="11" applyAlignment="1">
      <alignment horizontal="center"/>
    </xf>
    <xf numFmtId="43" fontId="0" fillId="0" borderId="0" xfId="19" applyFont="1"/>
    <xf numFmtId="1" fontId="15" fillId="0" borderId="8" xfId="11" applyNumberFormat="1" applyBorder="1" applyAlignment="1"/>
    <xf numFmtId="190" fontId="52" fillId="0" borderId="0" xfId="19" applyNumberFormat="1"/>
    <xf numFmtId="1" fontId="15" fillId="0" borderId="9" xfId="11" applyNumberFormat="1" applyBorder="1" applyAlignment="1"/>
    <xf numFmtId="1" fontId="15" fillId="0" borderId="6" xfId="11" applyNumberFormat="1" applyBorder="1" applyAlignment="1"/>
    <xf numFmtId="174" fontId="15" fillId="0" borderId="0" xfId="11" applyNumberFormat="1" applyAlignment="1"/>
    <xf numFmtId="178" fontId="93" fillId="0" borderId="0" xfId="19" applyNumberFormat="1" applyFont="1"/>
    <xf numFmtId="9" fontId="0" fillId="0" borderId="0" xfId="20" applyFont="1"/>
    <xf numFmtId="9" fontId="93" fillId="0" borderId="15" xfId="20" applyFont="1" applyBorder="1"/>
    <xf numFmtId="178" fontId="0" fillId="0" borderId="0" xfId="0" applyNumberFormat="1"/>
    <xf numFmtId="1" fontId="34" fillId="0" borderId="0" xfId="11" quotePrefix="1" applyNumberFormat="1" applyFont="1" applyAlignment="1"/>
    <xf numFmtId="0" fontId="85" fillId="0" borderId="0" xfId="11" applyFont="1" applyAlignment="1">
      <alignment horizontal="right"/>
    </xf>
    <xf numFmtId="0" fontId="85" fillId="0" borderId="0" xfId="11" applyFont="1" applyAlignment="1"/>
    <xf numFmtId="0" fontId="15" fillId="0" borderId="0" xfId="23"/>
    <xf numFmtId="0" fontId="98" fillId="0" borderId="0" xfId="23" applyFont="1"/>
    <xf numFmtId="0" fontId="15" fillId="23" borderId="8" xfId="23" applyFill="1" applyBorder="1"/>
    <xf numFmtId="0" fontId="98" fillId="23" borderId="5" xfId="23" applyFont="1" applyFill="1" applyBorder="1"/>
    <xf numFmtId="0" fontId="15" fillId="23" borderId="5" xfId="23" applyFill="1" applyBorder="1"/>
    <xf numFmtId="0" fontId="15" fillId="23" borderId="16" xfId="23" applyFill="1" applyBorder="1"/>
    <xf numFmtId="0" fontId="15" fillId="23" borderId="9" xfId="23" applyFill="1" applyBorder="1"/>
    <xf numFmtId="0" fontId="99" fillId="23" borderId="0" xfId="23" applyFont="1" applyFill="1"/>
    <xf numFmtId="0" fontId="97" fillId="23" borderId="0" xfId="23" applyFont="1" applyFill="1"/>
    <xf numFmtId="0" fontId="15" fillId="23" borderId="0" xfId="23" applyFill="1"/>
    <xf numFmtId="0" fontId="15" fillId="23" borderId="17" xfId="23" applyFill="1" applyBorder="1"/>
    <xf numFmtId="0" fontId="15" fillId="23" borderId="7" xfId="23" applyFill="1" applyBorder="1"/>
    <xf numFmtId="0" fontId="17" fillId="19" borderId="10" xfId="23" applyFont="1" applyFill="1" applyBorder="1"/>
    <xf numFmtId="0" fontId="17" fillId="24" borderId="21" xfId="23" applyFont="1" applyFill="1" applyBorder="1" applyAlignment="1">
      <alignment horizontal="center"/>
    </xf>
    <xf numFmtId="0" fontId="17" fillId="24" borderId="22" xfId="23" applyFont="1" applyFill="1" applyBorder="1" applyAlignment="1">
      <alignment horizontal="center"/>
    </xf>
    <xf numFmtId="0" fontId="17" fillId="24" borderId="23" xfId="23" applyFont="1" applyFill="1" applyBorder="1" applyAlignment="1">
      <alignment horizontal="center"/>
    </xf>
    <xf numFmtId="0" fontId="17" fillId="25" borderId="21" xfId="23" applyFont="1" applyFill="1" applyBorder="1" applyAlignment="1">
      <alignment horizontal="center"/>
    </xf>
    <xf numFmtId="0" fontId="17" fillId="25" borderId="22" xfId="23" applyFont="1" applyFill="1" applyBorder="1" applyAlignment="1">
      <alignment horizontal="center"/>
    </xf>
    <xf numFmtId="0" fontId="17" fillId="25" borderId="23" xfId="23" applyFont="1" applyFill="1" applyBorder="1" applyAlignment="1">
      <alignment horizontal="center"/>
    </xf>
    <xf numFmtId="0" fontId="17" fillId="19" borderId="11" xfId="23" applyFont="1" applyFill="1" applyBorder="1" applyAlignment="1">
      <alignment horizontal="center"/>
    </xf>
    <xf numFmtId="0" fontId="17" fillId="24" borderId="39" xfId="23" applyFont="1" applyFill="1" applyBorder="1" applyAlignment="1">
      <alignment horizontal="center"/>
    </xf>
    <xf numFmtId="0" fontId="17" fillId="24" borderId="30" xfId="23" applyFont="1" applyFill="1" applyBorder="1" applyAlignment="1">
      <alignment horizontal="center"/>
    </xf>
    <xf numFmtId="0" fontId="17" fillId="24" borderId="26" xfId="23" applyFont="1" applyFill="1" applyBorder="1" applyAlignment="1">
      <alignment horizontal="center"/>
    </xf>
    <xf numFmtId="0" fontId="17" fillId="25" borderId="39" xfId="23" applyFont="1" applyFill="1" applyBorder="1" applyAlignment="1">
      <alignment horizontal="center"/>
    </xf>
    <xf numFmtId="0" fontId="17" fillId="25" borderId="30" xfId="23" applyFont="1" applyFill="1" applyBorder="1" applyAlignment="1">
      <alignment horizontal="center"/>
    </xf>
    <xf numFmtId="0" fontId="17" fillId="25" borderId="26" xfId="23" applyFont="1" applyFill="1" applyBorder="1" applyAlignment="1">
      <alignment horizontal="center"/>
    </xf>
    <xf numFmtId="0" fontId="16" fillId="0" borderId="40" xfId="23" applyFont="1" applyBorder="1" applyAlignment="1">
      <alignment horizontal="right" vertical="top" wrapText="1"/>
    </xf>
    <xf numFmtId="0" fontId="16" fillId="0" borderId="11" xfId="23" applyFont="1" applyBorder="1" applyAlignment="1">
      <alignment horizontal="right" vertical="top" wrapText="1"/>
    </xf>
    <xf numFmtId="0" fontId="16" fillId="0" borderId="44" xfId="23" applyFont="1" applyBorder="1" applyAlignment="1">
      <alignment horizontal="right" vertical="top"/>
    </xf>
    <xf numFmtId="0" fontId="16" fillId="23" borderId="17" xfId="23" applyFont="1" applyFill="1" applyBorder="1" applyAlignment="1">
      <alignment vertical="top"/>
    </xf>
    <xf numFmtId="0" fontId="16" fillId="0" borderId="46" xfId="23" applyFont="1" applyBorder="1" applyAlignment="1">
      <alignment horizontal="right" vertical="top"/>
    </xf>
    <xf numFmtId="0" fontId="16" fillId="23" borderId="17" xfId="23" applyFont="1" applyFill="1" applyBorder="1"/>
    <xf numFmtId="0" fontId="16" fillId="23" borderId="0" xfId="23" applyFont="1" applyFill="1" applyAlignment="1">
      <alignment horizontal="right"/>
    </xf>
    <xf numFmtId="0" fontId="16" fillId="23" borderId="0" xfId="23" applyFont="1" applyFill="1"/>
    <xf numFmtId="0" fontId="16" fillId="23" borderId="7" xfId="23" applyFont="1" applyFill="1" applyBorder="1" applyAlignment="1">
      <alignment horizontal="right"/>
    </xf>
    <xf numFmtId="0" fontId="17" fillId="19" borderId="10" xfId="23" applyFont="1" applyFill="1" applyBorder="1" applyAlignment="1">
      <alignment horizontal="center"/>
    </xf>
    <xf numFmtId="0" fontId="17" fillId="24" borderId="10" xfId="23" applyFont="1" applyFill="1" applyBorder="1" applyAlignment="1">
      <alignment vertical="top"/>
    </xf>
    <xf numFmtId="0" fontId="17" fillId="25" borderId="10" xfId="23" applyFont="1" applyFill="1" applyBorder="1" applyAlignment="1">
      <alignment vertical="top"/>
    </xf>
    <xf numFmtId="0" fontId="16" fillId="23" borderId="0" xfId="23" applyFont="1" applyFill="1" applyAlignment="1">
      <alignment vertical="top"/>
    </xf>
    <xf numFmtId="0" fontId="15" fillId="23" borderId="0" xfId="23" applyFill="1" applyAlignment="1">
      <alignment vertical="top"/>
    </xf>
    <xf numFmtId="0" fontId="15" fillId="23" borderId="17" xfId="23" applyFill="1" applyBorder="1" applyAlignment="1">
      <alignment vertical="top"/>
    </xf>
    <xf numFmtId="0" fontId="15" fillId="23" borderId="6" xfId="23" applyFill="1" applyBorder="1"/>
    <xf numFmtId="0" fontId="15" fillId="23" borderId="7" xfId="23" applyFill="1" applyBorder="1" applyAlignment="1">
      <alignment vertical="top"/>
    </xf>
    <xf numFmtId="0" fontId="15" fillId="23" borderId="19" xfId="23" applyFill="1" applyBorder="1" applyAlignment="1">
      <alignment vertical="top"/>
    </xf>
    <xf numFmtId="0" fontId="100" fillId="26" borderId="8" xfId="23" applyFont="1" applyFill="1" applyBorder="1"/>
    <xf numFmtId="0" fontId="99" fillId="26" borderId="5" xfId="23" applyFont="1" applyFill="1" applyBorder="1"/>
    <xf numFmtId="0" fontId="15" fillId="27" borderId="0" xfId="23" applyFill="1"/>
    <xf numFmtId="0" fontId="16" fillId="27" borderId="0" xfId="0" applyFont="1" applyFill="1" applyProtection="1">
      <protection locked="0"/>
    </xf>
    <xf numFmtId="0" fontId="16" fillId="27" borderId="0" xfId="23" applyFont="1" applyFill="1"/>
    <xf numFmtId="0" fontId="16" fillId="27" borderId="17" xfId="23" applyFont="1" applyFill="1" applyBorder="1"/>
    <xf numFmtId="189" fontId="16" fillId="30" borderId="9" xfId="0" applyNumberFormat="1" applyFont="1" applyFill="1" applyBorder="1"/>
    <xf numFmtId="189" fontId="16" fillId="30" borderId="6" xfId="0" applyNumberFormat="1" applyFont="1" applyFill="1" applyBorder="1"/>
    <xf numFmtId="0" fontId="101" fillId="0" borderId="0" xfId="0" applyFont="1"/>
    <xf numFmtId="0" fontId="102" fillId="0" borderId="0" xfId="11" applyFont="1" applyAlignment="1"/>
    <xf numFmtId="0" fontId="16" fillId="30" borderId="0" xfId="0" applyFont="1" applyFill="1"/>
    <xf numFmtId="0" fontId="15" fillId="30" borderId="0" xfId="0" applyFont="1" applyFill="1"/>
    <xf numFmtId="0" fontId="0" fillId="30" borderId="0" xfId="0" applyFill="1"/>
    <xf numFmtId="0" fontId="16" fillId="30" borderId="0" xfId="11" applyFont="1" applyFill="1" applyAlignment="1"/>
    <xf numFmtId="0" fontId="39" fillId="0" borderId="0" xfId="0" applyFont="1"/>
    <xf numFmtId="0" fontId="103" fillId="0" borderId="0" xfId="0" applyFont="1"/>
    <xf numFmtId="0" fontId="105" fillId="0" borderId="0" xfId="23" applyFont="1"/>
    <xf numFmtId="37" fontId="16" fillId="31" borderId="41" xfId="23" applyNumberFormat="1" applyFont="1" applyFill="1" applyBorder="1" applyAlignment="1">
      <alignment vertical="top"/>
    </xf>
    <xf numFmtId="37" fontId="16" fillId="31" borderId="42" xfId="23" applyNumberFormat="1" applyFont="1" applyFill="1" applyBorder="1" applyAlignment="1">
      <alignment vertical="top"/>
    </xf>
    <xf numFmtId="37" fontId="16" fillId="31" borderId="15" xfId="23" applyNumberFormat="1" applyFont="1" applyFill="1" applyBorder="1" applyAlignment="1">
      <alignment vertical="top"/>
    </xf>
    <xf numFmtId="37" fontId="16" fillId="31" borderId="14" xfId="23" applyNumberFormat="1" applyFont="1" applyFill="1" applyBorder="1" applyAlignment="1">
      <alignment vertical="top"/>
    </xf>
    <xf numFmtId="37" fontId="16" fillId="31" borderId="11" xfId="23" applyNumberFormat="1" applyFont="1" applyFill="1" applyBorder="1" applyAlignment="1">
      <alignment vertical="top"/>
    </xf>
    <xf numFmtId="37" fontId="16" fillId="31" borderId="43" xfId="23" applyNumberFormat="1" applyFont="1" applyFill="1" applyBorder="1" applyAlignment="1">
      <alignment vertical="top"/>
    </xf>
    <xf numFmtId="37" fontId="16" fillId="31" borderId="44" xfId="23" applyNumberFormat="1" applyFont="1" applyFill="1" applyBorder="1" applyAlignment="1">
      <alignment vertical="top"/>
    </xf>
    <xf numFmtId="37" fontId="16" fillId="31" borderId="45" xfId="23" applyNumberFormat="1" applyFont="1" applyFill="1" applyBorder="1" applyAlignment="1">
      <alignment vertical="top"/>
    </xf>
    <xf numFmtId="0" fontId="16" fillId="0" borderId="12" xfId="23" applyFont="1" applyBorder="1" applyAlignment="1">
      <alignment horizontal="right" vertical="top"/>
    </xf>
    <xf numFmtId="37" fontId="16" fillId="31" borderId="53" xfId="23" applyNumberFormat="1" applyFont="1" applyFill="1" applyBorder="1" applyAlignment="1">
      <alignment vertical="top"/>
    </xf>
    <xf numFmtId="37" fontId="16" fillId="31" borderId="54" xfId="23" applyNumberFormat="1" applyFont="1" applyFill="1" applyBorder="1" applyAlignment="1">
      <alignment vertical="top"/>
    </xf>
    <xf numFmtId="37" fontId="16" fillId="31" borderId="12" xfId="23" applyNumberFormat="1" applyFont="1" applyFill="1" applyBorder="1" applyAlignment="1">
      <alignment vertical="top"/>
    </xf>
    <xf numFmtId="37" fontId="16" fillId="31" borderId="55" xfId="23" applyNumberFormat="1" applyFont="1" applyFill="1" applyBorder="1" applyAlignment="1">
      <alignment vertical="top"/>
    </xf>
    <xf numFmtId="37" fontId="16" fillId="31" borderId="48" xfId="23" applyNumberFormat="1" applyFont="1" applyFill="1" applyBorder="1" applyAlignment="1">
      <alignment vertical="top"/>
    </xf>
    <xf numFmtId="37" fontId="16" fillId="31" borderId="40" xfId="23" applyNumberFormat="1" applyFont="1" applyFill="1" applyBorder="1" applyAlignment="1">
      <alignment vertical="top"/>
    </xf>
    <xf numFmtId="37" fontId="16" fillId="31" borderId="49" xfId="23" applyNumberFormat="1" applyFont="1" applyFill="1" applyBorder="1" applyAlignment="1">
      <alignment vertical="top"/>
    </xf>
    <xf numFmtId="37" fontId="16" fillId="31" borderId="46" xfId="23" applyNumberFormat="1" applyFont="1" applyFill="1" applyBorder="1" applyAlignment="1">
      <alignment vertical="top"/>
    </xf>
    <xf numFmtId="0" fontId="17" fillId="19" borderId="39" xfId="23" applyFont="1" applyFill="1" applyBorder="1" applyAlignment="1">
      <alignment horizontal="center"/>
    </xf>
    <xf numFmtId="0" fontId="17" fillId="28" borderId="56" xfId="0" applyFont="1" applyFill="1" applyBorder="1" applyAlignment="1" applyProtection="1">
      <alignment horizontal="center" wrapText="1"/>
      <protection locked="0"/>
    </xf>
    <xf numFmtId="0" fontId="17" fillId="28" borderId="57" xfId="0" applyFont="1" applyFill="1" applyBorder="1" applyAlignment="1" applyProtection="1">
      <alignment horizontal="center" wrapText="1"/>
      <protection locked="0"/>
    </xf>
    <xf numFmtId="0" fontId="17" fillId="29" borderId="57" xfId="0" applyFont="1" applyFill="1" applyBorder="1" applyAlignment="1" applyProtection="1">
      <alignment horizontal="center" wrapText="1"/>
      <protection locked="0"/>
    </xf>
    <xf numFmtId="0" fontId="17" fillId="29" borderId="31" xfId="0" applyFont="1" applyFill="1" applyBorder="1" applyAlignment="1" applyProtection="1">
      <alignment horizontal="center" wrapText="1"/>
      <protection locked="0"/>
    </xf>
    <xf numFmtId="0" fontId="0" fillId="27" borderId="0" xfId="0" applyFill="1"/>
    <xf numFmtId="0" fontId="0" fillId="27" borderId="17" xfId="0" applyFill="1" applyBorder="1"/>
    <xf numFmtId="0" fontId="0" fillId="27" borderId="6" xfId="0" applyFill="1" applyBorder="1"/>
    <xf numFmtId="0" fontId="0" fillId="27" borderId="7" xfId="0" applyFill="1" applyBorder="1"/>
    <xf numFmtId="0" fontId="0" fillId="27" borderId="19" xfId="0" applyFill="1" applyBorder="1"/>
    <xf numFmtId="0" fontId="84" fillId="0" borderId="0" xfId="0" applyFont="1"/>
    <xf numFmtId="10" fontId="16" fillId="31" borderId="50" xfId="0" applyNumberFormat="1" applyFont="1" applyFill="1" applyBorder="1" applyProtection="1">
      <protection locked="0"/>
    </xf>
    <xf numFmtId="10" fontId="16" fillId="31" borderId="51" xfId="0" applyNumberFormat="1" applyFont="1" applyFill="1" applyBorder="1" applyProtection="1">
      <protection locked="0"/>
    </xf>
    <xf numFmtId="10" fontId="16" fillId="31" borderId="52" xfId="0" applyNumberFormat="1" applyFont="1" applyFill="1" applyBorder="1" applyProtection="1">
      <protection locked="0"/>
    </xf>
    <xf numFmtId="39" fontId="0" fillId="0" borderId="0" xfId="0" applyNumberFormat="1"/>
    <xf numFmtId="0" fontId="85" fillId="0" borderId="0" xfId="0" quotePrefix="1" applyFont="1"/>
    <xf numFmtId="1" fontId="15" fillId="0" borderId="5" xfId="0" applyNumberFormat="1" applyFont="1" applyBorder="1"/>
    <xf numFmtId="1" fontId="15" fillId="0" borderId="16" xfId="0" applyNumberFormat="1" applyFont="1" applyBorder="1"/>
    <xf numFmtId="1" fontId="15" fillId="0" borderId="0" xfId="0" applyNumberFormat="1" applyFont="1"/>
    <xf numFmtId="1" fontId="15" fillId="0" borderId="17" xfId="0" applyNumberFormat="1" applyFont="1" applyBorder="1"/>
    <xf numFmtId="1" fontId="15" fillId="0" borderId="7" xfId="0" applyNumberFormat="1" applyFont="1" applyBorder="1"/>
    <xf numFmtId="1" fontId="15" fillId="0" borderId="19" xfId="0" applyNumberFormat="1" applyFont="1" applyBorder="1"/>
    <xf numFmtId="0" fontId="71" fillId="0" borderId="0" xfId="0" applyFont="1"/>
    <xf numFmtId="0" fontId="70" fillId="0" borderId="0" xfId="0" applyFont="1" applyAlignment="1">
      <alignment horizontal="right"/>
    </xf>
    <xf numFmtId="174" fontId="42" fillId="0" borderId="0" xfId="12" applyNumberFormat="1" applyFont="1" applyAlignment="1">
      <alignment horizontal="center"/>
    </xf>
    <xf numFmtId="0" fontId="0" fillId="0" borderId="0" xfId="0" applyAlignment="1">
      <alignment horizontal="left" vertical="top" wrapText="1"/>
    </xf>
    <xf numFmtId="0" fontId="15" fillId="0" borderId="0" xfId="12" applyFont="1"/>
    <xf numFmtId="0" fontId="90" fillId="0" borderId="0" xfId="0" applyFont="1" applyAlignment="1">
      <alignment horizontal="center"/>
    </xf>
    <xf numFmtId="0" fontId="90" fillId="0" borderId="14" xfId="0" applyFont="1" applyBorder="1" applyAlignment="1">
      <alignment horizontal="center"/>
    </xf>
    <xf numFmtId="0" fontId="90" fillId="0" borderId="0" xfId="0" applyFont="1" applyAlignment="1">
      <alignment horizontal="right"/>
    </xf>
    <xf numFmtId="0" fontId="52" fillId="0" borderId="0" xfId="0" applyFont="1"/>
    <xf numFmtId="0" fontId="52" fillId="0" borderId="15" xfId="0" applyFont="1" applyBorder="1"/>
    <xf numFmtId="0" fontId="53" fillId="0" borderId="14" xfId="0" applyFont="1" applyBorder="1"/>
    <xf numFmtId="0" fontId="52" fillId="0" borderId="14" xfId="0" applyFont="1" applyBorder="1"/>
    <xf numFmtId="175" fontId="52" fillId="0" borderId="0" xfId="0" quotePrefix="1" applyNumberFormat="1" applyFont="1"/>
    <xf numFmtId="43" fontId="52" fillId="0" borderId="0" xfId="0" applyNumberFormat="1" applyFont="1"/>
    <xf numFmtId="0" fontId="53" fillId="0" borderId="14" xfId="0" applyFont="1" applyBorder="1" applyAlignment="1">
      <alignment horizontal="left"/>
    </xf>
    <xf numFmtId="3" fontId="52" fillId="0" borderId="0" xfId="0" applyNumberFormat="1" applyFont="1"/>
    <xf numFmtId="170" fontId="53" fillId="0" borderId="15" xfId="0" applyNumberFormat="1" applyFont="1" applyBorder="1"/>
    <xf numFmtId="175" fontId="53" fillId="0" borderId="0" xfId="0" applyNumberFormat="1" applyFont="1"/>
    <xf numFmtId="175" fontId="52" fillId="0" borderId="15" xfId="0" applyNumberFormat="1" applyFont="1" applyBorder="1"/>
    <xf numFmtId="2" fontId="0" fillId="0" borderId="0" xfId="0" applyNumberFormat="1"/>
    <xf numFmtId="0" fontId="52" fillId="0" borderId="14" xfId="0" applyFont="1" applyBorder="1" applyAlignment="1">
      <alignment horizontal="right"/>
    </xf>
    <xf numFmtId="3" fontId="52" fillId="0" borderId="14" xfId="0" applyNumberFormat="1" applyFont="1" applyBorder="1" applyAlignment="1">
      <alignment horizontal="right"/>
    </xf>
    <xf numFmtId="175" fontId="52" fillId="0" borderId="0" xfId="0" applyNumberFormat="1" applyFont="1" applyAlignment="1">
      <alignment horizontal="right"/>
    </xf>
    <xf numFmtId="175" fontId="52" fillId="0" borderId="15" xfId="0" applyNumberFormat="1" applyFont="1" applyBorder="1" applyAlignment="1">
      <alignment horizontal="right"/>
    </xf>
    <xf numFmtId="3" fontId="52" fillId="0" borderId="14" xfId="0" applyNumberFormat="1" applyFont="1" applyBorder="1" applyAlignment="1">
      <alignment horizontal="center"/>
    </xf>
    <xf numFmtId="9" fontId="93" fillId="0" borderId="15" xfId="0" applyNumberFormat="1" applyFont="1" applyBorder="1"/>
    <xf numFmtId="3" fontId="52" fillId="0" borderId="14" xfId="0" applyNumberFormat="1" applyFont="1" applyBorder="1"/>
    <xf numFmtId="175" fontId="52" fillId="0" borderId="0" xfId="0" applyNumberFormat="1" applyFont="1"/>
    <xf numFmtId="0" fontId="52" fillId="0" borderId="0" xfId="0" quotePrefix="1" applyFont="1" applyAlignment="1">
      <alignment horizontal="center"/>
    </xf>
    <xf numFmtId="0" fontId="0" fillId="0" borderId="0" xfId="0" quotePrefix="1" applyAlignment="1">
      <alignment horizontal="center"/>
    </xf>
    <xf numFmtId="0" fontId="93" fillId="0" borderId="15" xfId="0" applyFont="1" applyBorder="1"/>
    <xf numFmtId="0" fontId="92" fillId="0" borderId="0" xfId="0" applyFont="1"/>
    <xf numFmtId="178" fontId="0" fillId="0" borderId="0" xfId="0" applyNumberFormat="1" applyAlignment="1">
      <alignment horizontal="center"/>
    </xf>
    <xf numFmtId="43" fontId="0" fillId="0" borderId="0" xfId="0" applyNumberFormat="1"/>
    <xf numFmtId="1" fontId="53" fillId="0" borderId="0" xfId="0" applyNumberFormat="1" applyFont="1"/>
    <xf numFmtId="0" fontId="52" fillId="0" borderId="0" xfId="0" applyFont="1" applyAlignment="1">
      <alignment horizontal="center"/>
    </xf>
    <xf numFmtId="0" fontId="53" fillId="0" borderId="0" xfId="0" applyFont="1"/>
    <xf numFmtId="0" fontId="94" fillId="0" borderId="0" xfId="0" applyFont="1"/>
    <xf numFmtId="181" fontId="29" fillId="0" borderId="0" xfId="12" quotePrefix="1" applyNumberFormat="1" applyFont="1" applyAlignment="1">
      <alignment horizontal="right"/>
    </xf>
    <xf numFmtId="1" fontId="42" fillId="6" borderId="0" xfId="12" applyNumberFormat="1" applyFont="1" applyFill="1"/>
    <xf numFmtId="0" fontId="104" fillId="0" borderId="0" xfId="23" applyFont="1"/>
    <xf numFmtId="0" fontId="15" fillId="0" borderId="14" xfId="0" applyFont="1" applyBorder="1" applyAlignment="1">
      <alignment horizontal="center"/>
    </xf>
    <xf numFmtId="0" fontId="87" fillId="0" borderId="0" xfId="0" applyFont="1"/>
    <xf numFmtId="0" fontId="16" fillId="0" borderId="0" xfId="12" applyAlignment="1">
      <alignment horizontal="right" vertical="center"/>
    </xf>
    <xf numFmtId="164" fontId="16" fillId="0" borderId="0" xfId="12" applyNumberFormat="1"/>
    <xf numFmtId="167" fontId="16" fillId="0" borderId="0" xfId="12" applyNumberFormat="1"/>
    <xf numFmtId="184" fontId="15" fillId="0" borderId="0" xfId="12" applyNumberFormat="1" applyFont="1"/>
    <xf numFmtId="10" fontId="29" fillId="16" borderId="15" xfId="12" quotePrefix="1" applyNumberFormat="1" applyFont="1" applyFill="1" applyBorder="1" applyAlignment="1">
      <alignment horizontal="right" wrapText="1"/>
    </xf>
    <xf numFmtId="170" fontId="15" fillId="0" borderId="0" xfId="12" applyNumberFormat="1" applyFont="1"/>
    <xf numFmtId="0" fontId="15" fillId="0" borderId="0" xfId="0" applyFont="1" applyAlignment="1">
      <alignment horizontal="right"/>
    </xf>
    <xf numFmtId="166" fontId="23" fillId="0" borderId="0" xfId="12" applyNumberFormat="1" applyFont="1" applyProtection="1">
      <protection locked="0"/>
    </xf>
    <xf numFmtId="171" fontId="23" fillId="0" borderId="0" xfId="12" applyNumberFormat="1" applyFont="1" applyProtection="1">
      <protection locked="0"/>
    </xf>
    <xf numFmtId="37" fontId="15" fillId="0" borderId="0" xfId="12" quotePrefix="1" applyNumberFormat="1" applyFont="1"/>
    <xf numFmtId="0" fontId="85" fillId="0" borderId="24" xfId="12" applyFont="1" applyBorder="1" applyAlignment="1">
      <alignment horizontal="center"/>
    </xf>
    <xf numFmtId="0" fontId="85" fillId="0" borderId="0" xfId="12" applyFont="1" applyAlignment="1">
      <alignment horizontal="right"/>
    </xf>
    <xf numFmtId="10" fontId="29" fillId="0" borderId="24" xfId="12" quotePrefix="1" applyNumberFormat="1" applyFont="1" applyBorder="1" applyAlignment="1">
      <alignment horizontal="right" wrapText="1"/>
    </xf>
    <xf numFmtId="170" fontId="29" fillId="0" borderId="25" xfId="12" applyNumberFormat="1" applyFont="1" applyBorder="1" applyAlignment="1">
      <alignment horizontal="right" wrapText="1"/>
    </xf>
    <xf numFmtId="0" fontId="39" fillId="0" borderId="22" xfId="12" applyFont="1" applyBorder="1" applyAlignment="1">
      <alignment horizontal="center"/>
    </xf>
    <xf numFmtId="0" fontId="39" fillId="0" borderId="22" xfId="12" applyFont="1" applyBorder="1" applyAlignment="1">
      <alignment horizontal="left"/>
    </xf>
    <xf numFmtId="0" fontId="107" fillId="0" borderId="0" xfId="12" applyFont="1" applyAlignment="1">
      <alignment horizontal="center" shrinkToFit="1"/>
    </xf>
    <xf numFmtId="0" fontId="17" fillId="0" borderId="11" xfId="0" applyFont="1" applyBorder="1" applyAlignment="1">
      <alignment vertical="center"/>
    </xf>
    <xf numFmtId="3" fontId="17" fillId="0" borderId="11" xfId="12" applyNumberFormat="1" applyFont="1" applyBorder="1" applyAlignment="1">
      <alignment horizontal="center"/>
    </xf>
    <xf numFmtId="0" fontId="17" fillId="0" borderId="20" xfId="12" applyFont="1" applyBorder="1" applyAlignment="1">
      <alignment horizontal="center"/>
    </xf>
    <xf numFmtId="0" fontId="17" fillId="0" borderId="41" xfId="12" applyFont="1" applyBorder="1" applyAlignment="1">
      <alignment horizontal="center"/>
    </xf>
    <xf numFmtId="0" fontId="16" fillId="0" borderId="9" xfId="12" applyBorder="1" applyAlignment="1">
      <alignment horizontal="right"/>
    </xf>
    <xf numFmtId="3" fontId="16" fillId="0" borderId="9" xfId="12" applyNumberFormat="1" applyBorder="1" applyAlignment="1">
      <alignment horizontal="center"/>
    </xf>
    <xf numFmtId="0" fontId="16" fillId="0" borderId="9" xfId="14" applyNumberFormat="1" applyFont="1" applyBorder="1"/>
    <xf numFmtId="3" fontId="16" fillId="0" borderId="0" xfId="12" applyNumberFormat="1" applyAlignment="1">
      <alignment horizontal="center"/>
    </xf>
    <xf numFmtId="170" fontId="16" fillId="33" borderId="0" xfId="14" applyNumberFormat="1" applyFont="1" applyFill="1"/>
    <xf numFmtId="3" fontId="16" fillId="0" borderId="11" xfId="1" applyNumberFormat="1" applyFont="1" applyBorder="1"/>
    <xf numFmtId="178" fontId="16" fillId="0" borderId="43" xfId="1" applyNumberFormat="1" applyFont="1" applyBorder="1"/>
    <xf numFmtId="1" fontId="16" fillId="0" borderId="0" xfId="14" applyNumberFormat="1" applyFont="1"/>
    <xf numFmtId="3" fontId="16" fillId="0" borderId="6" xfId="1" applyNumberFormat="1" applyFont="1" applyBorder="1" applyAlignment="1">
      <alignment horizontal="right"/>
    </xf>
    <xf numFmtId="3" fontId="16" fillId="0" borderId="7" xfId="1" applyNumberFormat="1" applyFont="1" applyBorder="1"/>
    <xf numFmtId="3" fontId="16" fillId="0" borderId="6" xfId="1" applyNumberFormat="1" applyFont="1" applyBorder="1"/>
    <xf numFmtId="170" fontId="16" fillId="0" borderId="19" xfId="14" applyNumberFormat="1" applyFont="1" applyBorder="1" applyAlignment="1">
      <alignment horizontal="center"/>
    </xf>
    <xf numFmtId="178" fontId="16" fillId="0" borderId="55" xfId="1" applyNumberFormat="1" applyFont="1" applyBorder="1"/>
    <xf numFmtId="1" fontId="16" fillId="0" borderId="7" xfId="14" applyNumberFormat="1" applyFont="1" applyBorder="1"/>
    <xf numFmtId="3" fontId="16" fillId="0" borderId="12" xfId="1" applyNumberFormat="1" applyFont="1" applyBorder="1"/>
    <xf numFmtId="3" fontId="16" fillId="0" borderId="5" xfId="14" applyNumberFormat="1" applyFont="1" applyBorder="1"/>
    <xf numFmtId="170" fontId="16" fillId="0" borderId="5" xfId="14" applyNumberFormat="1" applyFont="1" applyBorder="1"/>
    <xf numFmtId="190" fontId="16" fillId="0" borderId="8" xfId="1" applyNumberFormat="1" applyFont="1" applyBorder="1"/>
    <xf numFmtId="3" fontId="16" fillId="0" borderId="5" xfId="1" applyNumberFormat="1" applyFont="1" applyBorder="1"/>
    <xf numFmtId="10" fontId="16" fillId="0" borderId="19" xfId="14" applyNumberFormat="1" applyFont="1" applyBorder="1"/>
    <xf numFmtId="3" fontId="16" fillId="0" borderId="7" xfId="12" applyNumberFormat="1" applyBorder="1"/>
    <xf numFmtId="10" fontId="16" fillId="0" borderId="19" xfId="14" applyNumberFormat="1" applyFont="1" applyBorder="1" applyAlignment="1">
      <alignment horizontal="center"/>
    </xf>
    <xf numFmtId="3" fontId="16" fillId="0" borderId="5" xfId="12" applyNumberFormat="1" applyBorder="1"/>
    <xf numFmtId="3" fontId="16" fillId="0" borderId="16" xfId="1" applyNumberFormat="1" applyFont="1" applyBorder="1"/>
    <xf numFmtId="170" fontId="16" fillId="0" borderId="6" xfId="14" applyNumberFormat="1" applyFont="1" applyBorder="1" applyAlignment="1">
      <alignment horizontal="center"/>
    </xf>
    <xf numFmtId="1" fontId="16" fillId="0" borderId="7" xfId="14" applyNumberFormat="1" applyFont="1" applyBorder="1" applyAlignment="1">
      <alignment horizontal="center"/>
    </xf>
    <xf numFmtId="3" fontId="16" fillId="0" borderId="19" xfId="1" applyNumberFormat="1" applyFont="1" applyBorder="1"/>
    <xf numFmtId="0" fontId="16" fillId="0" borderId="14" xfId="0" applyFont="1" applyBorder="1" applyAlignment="1">
      <alignment horizontal="center"/>
    </xf>
    <xf numFmtId="0" fontId="16" fillId="0" borderId="15" xfId="0" applyFont="1" applyBorder="1" applyAlignment="1">
      <alignment horizontal="center"/>
    </xf>
    <xf numFmtId="0" fontId="0" fillId="0" borderId="14" xfId="0" applyBorder="1" applyAlignment="1">
      <alignment horizontal="center"/>
    </xf>
    <xf numFmtId="0" fontId="63" fillId="0" borderId="15" xfId="0" applyFont="1" applyBorder="1" applyAlignment="1">
      <alignment horizontal="center"/>
    </xf>
    <xf numFmtId="0" fontId="63" fillId="0" borderId="15" xfId="0" applyFont="1" applyBorder="1"/>
    <xf numFmtId="0" fontId="63" fillId="0" borderId="0" xfId="0" applyFont="1"/>
    <xf numFmtId="10" fontId="0" fillId="0" borderId="15" xfId="14" applyNumberFormat="1" applyFont="1" applyBorder="1"/>
    <xf numFmtId="37" fontId="15" fillId="0" borderId="14" xfId="0" applyNumberFormat="1" applyFont="1" applyBorder="1"/>
    <xf numFmtId="1" fontId="15" fillId="0" borderId="10" xfId="11" applyNumberFormat="1" applyBorder="1" applyAlignment="1"/>
    <xf numFmtId="1" fontId="15" fillId="0" borderId="11" xfId="11" applyNumberFormat="1" applyBorder="1" applyAlignment="1"/>
    <xf numFmtId="1" fontId="15" fillId="0" borderId="12" xfId="11" applyNumberFormat="1" applyBorder="1" applyAlignment="1"/>
    <xf numFmtId="1" fontId="15" fillId="32" borderId="0" xfId="11" applyNumberFormat="1" applyFill="1" applyAlignment="1"/>
    <xf numFmtId="0" fontId="16" fillId="0" borderId="10" xfId="12" applyBorder="1"/>
    <xf numFmtId="169" fontId="16" fillId="0" borderId="0" xfId="12" applyNumberFormat="1" applyAlignment="1">
      <alignment horizontal="fill"/>
    </xf>
    <xf numFmtId="0" fontId="16" fillId="0" borderId="0" xfId="12" quotePrefix="1" applyAlignment="1">
      <alignment horizontal="right"/>
    </xf>
    <xf numFmtId="1" fontId="16" fillId="0" borderId="8" xfId="12" applyNumberFormat="1" applyBorder="1"/>
    <xf numFmtId="0" fontId="16" fillId="0" borderId="0" xfId="0" applyFont="1" applyAlignment="1">
      <alignment horizontal="right"/>
    </xf>
    <xf numFmtId="171" fontId="16" fillId="0" borderId="0" xfId="12" applyNumberFormat="1"/>
    <xf numFmtId="169" fontId="82" fillId="0" borderId="0" xfId="12" applyNumberFormat="1" applyFont="1" applyAlignment="1">
      <alignment horizontal="right"/>
    </xf>
    <xf numFmtId="170" fontId="29" fillId="16" borderId="24" xfId="12" quotePrefix="1" applyNumberFormat="1" applyFont="1" applyFill="1" applyBorder="1" applyAlignment="1">
      <alignment horizontal="right" wrapText="1"/>
    </xf>
    <xf numFmtId="0" fontId="16" fillId="0" borderId="24" xfId="12" applyBorder="1"/>
    <xf numFmtId="10" fontId="0" fillId="0" borderId="15" xfId="0" applyNumberFormat="1" applyBorder="1"/>
    <xf numFmtId="10" fontId="16" fillId="0" borderId="15" xfId="14" applyNumberFormat="1" applyFont="1" applyBorder="1" applyAlignment="1">
      <alignment horizontal="right"/>
    </xf>
    <xf numFmtId="9" fontId="16" fillId="0" borderId="24" xfId="12" applyNumberFormat="1" applyBorder="1"/>
    <xf numFmtId="9" fontId="16" fillId="0" borderId="14" xfId="12" applyNumberFormat="1" applyBorder="1" applyAlignment="1">
      <alignment horizontal="right"/>
    </xf>
    <xf numFmtId="0" fontId="16" fillId="0" borderId="22" xfId="12" applyBorder="1"/>
    <xf numFmtId="0" fontId="15" fillId="0" borderId="0" xfId="12" quotePrefix="1" applyFont="1"/>
    <xf numFmtId="1" fontId="0" fillId="0" borderId="9" xfId="0" applyNumberFormat="1" applyBorder="1"/>
    <xf numFmtId="1" fontId="0" fillId="0" borderId="6" xfId="0" applyNumberFormat="1" applyBorder="1"/>
    <xf numFmtId="0" fontId="15" fillId="0" borderId="20" xfId="0" quotePrefix="1" applyFont="1" applyBorder="1"/>
    <xf numFmtId="1" fontId="15" fillId="0" borderId="14" xfId="0" applyNumberFormat="1" applyFont="1" applyBorder="1" applyAlignment="1">
      <alignment horizontal="right"/>
    </xf>
    <xf numFmtId="1" fontId="15" fillId="0" borderId="15" xfId="0" applyNumberFormat="1" applyFont="1" applyBorder="1" applyAlignment="1">
      <alignment horizontal="right"/>
    </xf>
    <xf numFmtId="1" fontId="15" fillId="0" borderId="14" xfId="0" applyNumberFormat="1" applyFont="1" applyBorder="1"/>
    <xf numFmtId="1" fontId="15" fillId="0" borderId="15" xfId="0" applyNumberFormat="1" applyFont="1" applyBorder="1"/>
    <xf numFmtId="170" fontId="15" fillId="0" borderId="15" xfId="14" applyNumberFormat="1" applyBorder="1"/>
    <xf numFmtId="1" fontId="15" fillId="0" borderId="0" xfId="0" applyNumberFormat="1" applyFont="1" applyAlignment="1">
      <alignment horizontal="right"/>
    </xf>
    <xf numFmtId="170" fontId="15" fillId="0" borderId="0" xfId="14" applyNumberFormat="1" applyAlignment="1">
      <alignment horizontal="right"/>
    </xf>
    <xf numFmtId="178" fontId="16" fillId="0" borderId="0" xfId="1" applyNumberFormat="1" applyFont="1"/>
    <xf numFmtId="178" fontId="86" fillId="0" borderId="0" xfId="1" applyNumberFormat="1" applyFont="1" applyProtection="1">
      <protection locked="0" hidden="1"/>
    </xf>
    <xf numFmtId="178" fontId="16" fillId="0" borderId="0" xfId="1" applyNumberFormat="1" applyFont="1" applyProtection="1">
      <protection locked="0" hidden="1"/>
    </xf>
    <xf numFmtId="178" fontId="57" fillId="0" borderId="0" xfId="1" applyNumberFormat="1" applyFont="1" applyProtection="1">
      <protection locked="0" hidden="1"/>
    </xf>
    <xf numFmtId="0" fontId="29" fillId="0" borderId="21" xfId="0" applyFont="1" applyBorder="1" applyAlignment="1">
      <alignment horizontal="center"/>
    </xf>
    <xf numFmtId="0" fontId="29" fillId="0" borderId="23" xfId="0" applyFont="1" applyBorder="1" applyAlignment="1">
      <alignment horizontal="center"/>
    </xf>
    <xf numFmtId="0" fontId="29" fillId="0" borderId="26" xfId="0" applyFont="1" applyBorder="1" applyAlignment="1">
      <alignment horizontal="center"/>
    </xf>
    <xf numFmtId="0" fontId="88" fillId="16" borderId="9" xfId="0" applyFont="1" applyFill="1" applyBorder="1"/>
    <xf numFmtId="1" fontId="88" fillId="16" borderId="17" xfId="0" applyNumberFormat="1" applyFont="1" applyFill="1" applyBorder="1"/>
    <xf numFmtId="1" fontId="0" fillId="0" borderId="11" xfId="0" applyNumberFormat="1" applyBorder="1"/>
    <xf numFmtId="0" fontId="88" fillId="16" borderId="6" xfId="0" applyFont="1" applyFill="1" applyBorder="1"/>
    <xf numFmtId="1" fontId="88" fillId="16" borderId="19" xfId="0" applyNumberFormat="1" applyFont="1" applyFill="1" applyBorder="1"/>
    <xf numFmtId="1" fontId="0" fillId="0" borderId="12" xfId="0" applyNumberFormat="1" applyBorder="1"/>
    <xf numFmtId="0" fontId="29" fillId="0" borderId="21" xfId="0" applyFont="1" applyBorder="1" applyAlignment="1">
      <alignment horizontal="right"/>
    </xf>
    <xf numFmtId="1" fontId="0" fillId="0" borderId="8" xfId="0" applyNumberFormat="1" applyBorder="1"/>
    <xf numFmtId="0" fontId="0" fillId="0" borderId="8" xfId="0" applyBorder="1"/>
    <xf numFmtId="0" fontId="15" fillId="0" borderId="7" xfId="0" applyFont="1" applyBorder="1"/>
    <xf numFmtId="178" fontId="29" fillId="0" borderId="0" xfId="1" applyNumberFormat="1" applyFont="1"/>
    <xf numFmtId="3" fontId="15" fillId="0" borderId="15" xfId="11" applyNumberFormat="1" applyBorder="1" applyAlignment="1"/>
    <xf numFmtId="3" fontId="15" fillId="16" borderId="0" xfId="11" applyNumberFormat="1" applyFill="1" applyAlignment="1"/>
    <xf numFmtId="3" fontId="15" fillId="16" borderId="15" xfId="11" applyNumberFormat="1" applyFill="1" applyBorder="1" applyAlignment="1"/>
    <xf numFmtId="0" fontId="15" fillId="0" borderId="0" xfId="11" applyAlignment="1">
      <alignment horizontal="centerContinuous"/>
    </xf>
    <xf numFmtId="0" fontId="15" fillId="0" borderId="14" xfId="11" applyBorder="1" applyAlignment="1"/>
    <xf numFmtId="3" fontId="15" fillId="0" borderId="15" xfId="3" applyBorder="1"/>
    <xf numFmtId="0" fontId="15" fillId="0" borderId="15" xfId="11" applyBorder="1" applyAlignment="1"/>
    <xf numFmtId="0" fontId="46" fillId="0" borderId="14" xfId="11" applyFont="1" applyBorder="1" applyAlignment="1"/>
    <xf numFmtId="0" fontId="46" fillId="0" borderId="14" xfId="11" applyFont="1" applyBorder="1" applyAlignment="1">
      <alignment horizontal="left"/>
    </xf>
    <xf numFmtId="1" fontId="16" fillId="27" borderId="0" xfId="0" applyNumberFormat="1" applyFont="1" applyFill="1" applyProtection="1">
      <protection locked="0"/>
    </xf>
    <xf numFmtId="0" fontId="15" fillId="0" borderId="15" xfId="11" applyBorder="1" applyAlignment="1">
      <alignment horizontal="centerContinuous"/>
    </xf>
    <xf numFmtId="0" fontId="70" fillId="0" borderId="0" xfId="11" applyFont="1" applyAlignment="1"/>
    <xf numFmtId="2" fontId="70" fillId="16" borderId="0" xfId="11" applyNumberFormat="1" applyFont="1" applyFill="1" applyAlignment="1"/>
    <xf numFmtId="0" fontId="113" fillId="34" borderId="0" xfId="28" applyFont="1" applyFill="1"/>
    <xf numFmtId="0" fontId="113" fillId="0" borderId="0" xfId="28" applyFont="1"/>
    <xf numFmtId="0" fontId="120" fillId="0" borderId="0" xfId="28" applyFont="1"/>
    <xf numFmtId="0" fontId="120" fillId="0" borderId="0" xfId="28" applyFont="1" applyAlignment="1">
      <alignment wrapText="1"/>
    </xf>
    <xf numFmtId="0" fontId="121" fillId="0" borderId="0" xfId="30" applyFont="1" applyAlignment="1">
      <alignment horizontal="left"/>
    </xf>
    <xf numFmtId="0" fontId="120" fillId="0" borderId="0" xfId="28" applyFont="1" applyAlignment="1">
      <alignment horizontal="left"/>
    </xf>
    <xf numFmtId="0" fontId="121" fillId="0" borderId="0" xfId="30" applyFont="1"/>
    <xf numFmtId="0" fontId="15" fillId="0" borderId="0" xfId="12" applyFont="1" applyAlignment="1">
      <alignment horizontal="left"/>
    </xf>
    <xf numFmtId="0" fontId="15" fillId="0" borderId="8" xfId="0" applyFont="1" applyBorder="1"/>
    <xf numFmtId="0" fontId="15" fillId="0" borderId="5" xfId="0" applyFont="1" applyBorder="1"/>
    <xf numFmtId="0" fontId="15" fillId="0" borderId="4" xfId="12" applyFont="1" applyBorder="1" applyAlignment="1">
      <alignment horizontal="center"/>
    </xf>
    <xf numFmtId="0" fontId="15" fillId="0" borderId="0" xfId="12" applyFont="1" applyAlignment="1">
      <alignment horizontal="right"/>
    </xf>
    <xf numFmtId="0" fontId="15" fillId="0" borderId="3" xfId="12" applyFont="1" applyBorder="1" applyAlignment="1">
      <alignment horizontal="right"/>
    </xf>
    <xf numFmtId="0" fontId="15" fillId="0" borderId="14" xfId="12" applyFont="1" applyBorder="1" applyAlignment="1">
      <alignment horizontal="right"/>
    </xf>
    <xf numFmtId="0" fontId="15" fillId="13" borderId="0" xfId="12" applyFont="1" applyFill="1" applyAlignment="1">
      <alignment horizontal="right"/>
    </xf>
    <xf numFmtId="0" fontId="15" fillId="0" borderId="15" xfId="12" applyFont="1" applyBorder="1" applyAlignment="1">
      <alignment horizontal="right"/>
    </xf>
    <xf numFmtId="0" fontId="15" fillId="0" borderId="2" xfId="12" applyFont="1" applyBorder="1" applyAlignment="1">
      <alignment horizontal="center"/>
    </xf>
    <xf numFmtId="0" fontId="15" fillId="0" borderId="24" xfId="12" applyFont="1" applyBorder="1" applyAlignment="1">
      <alignment horizontal="center"/>
    </xf>
    <xf numFmtId="1" fontId="15" fillId="0" borderId="6" xfId="0" applyNumberFormat="1" applyFont="1" applyBorder="1" applyAlignment="1">
      <alignment horizontal="right"/>
    </xf>
    <xf numFmtId="1" fontId="15" fillId="0" borderId="7" xfId="0" applyNumberFormat="1" applyFont="1" applyBorder="1" applyAlignment="1">
      <alignment horizontal="right"/>
    </xf>
    <xf numFmtId="170" fontId="15" fillId="0" borderId="5" xfId="14" applyNumberFormat="1" applyBorder="1"/>
    <xf numFmtId="1" fontId="15" fillId="0" borderId="8" xfId="0" applyNumberFormat="1" applyFont="1" applyBorder="1"/>
    <xf numFmtId="170" fontId="15" fillId="0" borderId="16" xfId="14" applyNumberFormat="1" applyBorder="1"/>
    <xf numFmtId="170" fontId="15" fillId="0" borderId="0" xfId="14" applyNumberFormat="1"/>
    <xf numFmtId="9" fontId="15" fillId="0" borderId="14" xfId="12" applyNumberFormat="1" applyFont="1" applyBorder="1"/>
    <xf numFmtId="170" fontId="15" fillId="0" borderId="14" xfId="12" applyNumberFormat="1" applyFont="1" applyBorder="1"/>
    <xf numFmtId="170" fontId="15" fillId="0" borderId="15" xfId="12" applyNumberFormat="1" applyFont="1" applyBorder="1"/>
    <xf numFmtId="170" fontId="15" fillId="0" borderId="24" xfId="12" applyNumberFormat="1" applyFont="1" applyBorder="1"/>
    <xf numFmtId="170" fontId="15" fillId="0" borderId="24" xfId="12" applyNumberFormat="1" applyFont="1" applyBorder="1" applyAlignment="1">
      <alignment horizontal="right" wrapText="1"/>
    </xf>
    <xf numFmtId="1" fontId="15" fillId="0" borderId="9" xfId="0" applyNumberFormat="1" applyFont="1" applyBorder="1"/>
    <xf numFmtId="170" fontId="15" fillId="0" borderId="17" xfId="14" applyNumberFormat="1" applyBorder="1"/>
    <xf numFmtId="170" fontId="15" fillId="0" borderId="14" xfId="12" applyNumberFormat="1" applyFont="1" applyBorder="1" applyAlignment="1">
      <alignment horizontal="right"/>
    </xf>
    <xf numFmtId="170" fontId="15" fillId="0" borderId="0" xfId="12" applyNumberFormat="1" applyFont="1" applyAlignment="1">
      <alignment horizontal="right"/>
    </xf>
    <xf numFmtId="170" fontId="15" fillId="0" borderId="15" xfId="12" applyNumberFormat="1" applyFont="1" applyBorder="1" applyAlignment="1">
      <alignment horizontal="right"/>
    </xf>
    <xf numFmtId="170" fontId="15" fillId="0" borderId="14" xfId="12" quotePrefix="1" applyNumberFormat="1" applyFont="1" applyBorder="1" applyAlignment="1">
      <alignment horizontal="right"/>
    </xf>
    <xf numFmtId="170" fontId="15" fillId="0" borderId="15" xfId="12" quotePrefix="1" applyNumberFormat="1" applyFont="1" applyBorder="1" applyAlignment="1">
      <alignment horizontal="right"/>
    </xf>
    <xf numFmtId="9" fontId="15" fillId="0" borderId="0" xfId="12" quotePrefix="1" applyNumberFormat="1" applyFont="1" applyAlignment="1">
      <alignment horizontal="right"/>
    </xf>
    <xf numFmtId="170" fontId="15" fillId="0" borderId="24" xfId="12" quotePrefix="1" applyNumberFormat="1" applyFont="1" applyBorder="1" applyAlignment="1">
      <alignment horizontal="right"/>
    </xf>
    <xf numFmtId="1" fontId="15" fillId="0" borderId="20" xfId="0" applyNumberFormat="1" applyFont="1" applyBorder="1"/>
    <xf numFmtId="170" fontId="15" fillId="0" borderId="0" xfId="14" quotePrefix="1" applyNumberFormat="1" applyAlignment="1">
      <alignment horizontal="right"/>
    </xf>
    <xf numFmtId="170" fontId="15" fillId="0" borderId="15" xfId="14" quotePrefix="1" applyNumberFormat="1" applyBorder="1" applyAlignment="1">
      <alignment horizontal="right"/>
    </xf>
    <xf numFmtId="10" fontId="15" fillId="0" borderId="24" xfId="12" quotePrefix="1" applyNumberFormat="1" applyFont="1" applyBorder="1" applyAlignment="1">
      <alignment horizontal="right" wrapText="1"/>
    </xf>
    <xf numFmtId="9" fontId="15" fillId="0" borderId="0" xfId="12" applyNumberFormat="1" applyFont="1"/>
    <xf numFmtId="10" fontId="15" fillId="0" borderId="24" xfId="12" quotePrefix="1" applyNumberFormat="1" applyFont="1" applyBorder="1" applyAlignment="1">
      <alignment horizontal="right"/>
    </xf>
    <xf numFmtId="0" fontId="15" fillId="0" borderId="2" xfId="12" applyFont="1" applyBorder="1" applyAlignment="1">
      <alignment horizontal="fill"/>
    </xf>
    <xf numFmtId="0" fontId="16" fillId="0" borderId="14" xfId="12" applyBorder="1" applyAlignment="1">
      <alignment horizontal="fill"/>
    </xf>
    <xf numFmtId="0" fontId="16" fillId="0" borderId="15" xfId="12" applyBorder="1" applyAlignment="1">
      <alignment horizontal="fill"/>
    </xf>
    <xf numFmtId="0" fontId="15" fillId="0" borderId="2" xfId="12" applyFont="1" applyBorder="1"/>
    <xf numFmtId="0" fontId="15" fillId="0" borderId="14" xfId="12" applyFont="1" applyBorder="1"/>
    <xf numFmtId="170" fontId="15" fillId="0" borderId="5" xfId="14" applyNumberFormat="1" applyBorder="1" applyAlignment="1">
      <alignment horizontal="right"/>
    </xf>
    <xf numFmtId="1" fontId="15" fillId="0" borderId="14" xfId="12" applyNumberFormat="1" applyFont="1" applyBorder="1"/>
    <xf numFmtId="1" fontId="15" fillId="0" borderId="0" xfId="12" applyNumberFormat="1" applyFont="1"/>
    <xf numFmtId="1" fontId="15" fillId="0" borderId="15" xfId="12" applyNumberFormat="1" applyFont="1" applyBorder="1"/>
    <xf numFmtId="1" fontId="15" fillId="0" borderId="6" xfId="0" applyNumberFormat="1" applyFont="1" applyBorder="1"/>
    <xf numFmtId="0" fontId="15" fillId="0" borderId="19" xfId="0" applyFont="1" applyBorder="1"/>
    <xf numFmtId="37" fontId="15" fillId="0" borderId="0" xfId="12" applyNumberFormat="1" applyFont="1"/>
    <xf numFmtId="0" fontId="15" fillId="0" borderId="21" xfId="12" applyFont="1" applyBorder="1"/>
    <xf numFmtId="37" fontId="15" fillId="0" borderId="21" xfId="12" applyNumberFormat="1" applyFont="1" applyBorder="1"/>
    <xf numFmtId="37" fontId="15" fillId="0" borderId="22" xfId="12" applyNumberFormat="1" applyFont="1" applyBorder="1"/>
    <xf numFmtId="37" fontId="15" fillId="0" borderId="23" xfId="12" applyNumberFormat="1" applyFont="1" applyBorder="1"/>
    <xf numFmtId="37" fontId="15" fillId="0" borderId="0" xfId="0" applyNumberFormat="1" applyFont="1"/>
    <xf numFmtId="0" fontId="16" fillId="37" borderId="0" xfId="12" applyFill="1" applyAlignment="1">
      <alignment horizontal="right"/>
    </xf>
    <xf numFmtId="0" fontId="16" fillId="37" borderId="0" xfId="12" applyFill="1"/>
    <xf numFmtId="3" fontId="0" fillId="0" borderId="0" xfId="0" applyNumberFormat="1"/>
    <xf numFmtId="0" fontId="16" fillId="0" borderId="3" xfId="12" applyBorder="1"/>
    <xf numFmtId="0" fontId="29" fillId="0" borderId="14" xfId="0" applyFont="1" applyBorder="1" applyAlignment="1">
      <alignment vertical="center"/>
    </xf>
    <xf numFmtId="0" fontId="15" fillId="0" borderId="0" xfId="0" applyFont="1" applyAlignment="1">
      <alignment horizontal="right" wrapText="1"/>
    </xf>
    <xf numFmtId="0" fontId="0" fillId="0" borderId="15" xfId="0" applyBorder="1" applyAlignment="1">
      <alignment vertical="center"/>
    </xf>
    <xf numFmtId="170" fontId="0" fillId="16" borderId="0" xfId="0" applyNumberFormat="1" applyFill="1"/>
    <xf numFmtId="0" fontId="16" fillId="38" borderId="0" xfId="12" applyFill="1" applyAlignment="1" applyProtection="1">
      <alignment horizontal="right"/>
      <protection locked="0"/>
    </xf>
    <xf numFmtId="0" fontId="16" fillId="38" borderId="0" xfId="12" applyFill="1"/>
    <xf numFmtId="166" fontId="16" fillId="38" borderId="0" xfId="12" applyNumberFormat="1" applyFill="1"/>
    <xf numFmtId="0" fontId="16" fillId="38" borderId="0" xfId="12" applyFill="1" applyAlignment="1">
      <alignment horizontal="right"/>
    </xf>
    <xf numFmtId="169" fontId="16" fillId="38" borderId="0" xfId="12" applyNumberFormat="1" applyFill="1"/>
    <xf numFmtId="169" fontId="18" fillId="38" borderId="0" xfId="12" applyNumberFormat="1" applyFont="1" applyFill="1"/>
    <xf numFmtId="0" fontId="66" fillId="38" borderId="0" xfId="12" applyFont="1" applyFill="1"/>
    <xf numFmtId="169" fontId="17" fillId="38" borderId="0" xfId="12" applyNumberFormat="1" applyFont="1" applyFill="1" applyAlignment="1" applyProtection="1">
      <alignment horizontal="right"/>
      <protection locked="0"/>
    </xf>
    <xf numFmtId="0" fontId="18" fillId="38" borderId="0" xfId="12" applyFont="1" applyFill="1"/>
    <xf numFmtId="169" fontId="16" fillId="38" borderId="0" xfId="12" applyNumberFormat="1" applyFill="1" applyAlignment="1">
      <alignment horizontal="right"/>
    </xf>
    <xf numFmtId="169" fontId="16" fillId="38" borderId="0" xfId="12" applyNumberFormat="1" applyFill="1" applyAlignment="1" applyProtection="1">
      <alignment horizontal="right"/>
      <protection locked="0"/>
    </xf>
    <xf numFmtId="169" fontId="16" fillId="38" borderId="0" xfId="12" applyNumberFormat="1" applyFill="1" applyProtection="1">
      <protection locked="0"/>
    </xf>
    <xf numFmtId="0" fontId="15" fillId="38" borderId="0" xfId="12" applyFont="1" applyFill="1"/>
    <xf numFmtId="169" fontId="15" fillId="38" borderId="0" xfId="12" applyNumberFormat="1" applyFont="1" applyFill="1" applyAlignment="1">
      <alignment horizontal="right"/>
    </xf>
    <xf numFmtId="37" fontId="17" fillId="38" borderId="0" xfId="0" applyNumberFormat="1" applyFont="1" applyFill="1" applyAlignment="1" applyProtection="1">
      <alignment horizontal="right"/>
      <protection locked="0"/>
    </xf>
    <xf numFmtId="169" fontId="15" fillId="38" borderId="0" xfId="12" applyNumberFormat="1" applyFont="1" applyFill="1"/>
    <xf numFmtId="180" fontId="16" fillId="38" borderId="0" xfId="12" applyNumberFormat="1" applyFill="1"/>
    <xf numFmtId="180" fontId="26" fillId="38" borderId="0" xfId="0" applyNumberFormat="1" applyFont="1" applyFill="1" applyProtection="1">
      <protection locked="0"/>
    </xf>
    <xf numFmtId="169" fontId="26" fillId="38" borderId="0" xfId="12" applyNumberFormat="1" applyFont="1" applyFill="1" applyAlignment="1">
      <alignment horizontal="right"/>
    </xf>
    <xf numFmtId="0" fontId="25" fillId="0" borderId="0" xfId="12" applyFont="1"/>
    <xf numFmtId="175" fontId="16" fillId="38" borderId="0" xfId="12" applyNumberFormat="1" applyFill="1"/>
    <xf numFmtId="181" fontId="16" fillId="0" borderId="0" xfId="12" applyNumberFormat="1" applyAlignment="1">
      <alignment horizontal="center"/>
    </xf>
    <xf numFmtId="37" fontId="17" fillId="0" borderId="0" xfId="12" applyNumberFormat="1" applyFont="1"/>
    <xf numFmtId="3" fontId="17" fillId="0" borderId="0" xfId="12" applyNumberFormat="1" applyFont="1"/>
    <xf numFmtId="170" fontId="16" fillId="0" borderId="0" xfId="14" quotePrefix="1" applyNumberFormat="1" applyFont="1"/>
    <xf numFmtId="1" fontId="16" fillId="0" borderId="0" xfId="12" applyNumberFormat="1" applyAlignment="1">
      <alignment horizontal="right"/>
    </xf>
    <xf numFmtId="1" fontId="16" fillId="0" borderId="0" xfId="12" quotePrefix="1" applyNumberFormat="1"/>
    <xf numFmtId="3" fontId="16" fillId="0" borderId="0" xfId="12" applyNumberFormat="1" applyAlignment="1">
      <alignment horizontal="fill"/>
    </xf>
    <xf numFmtId="1" fontId="96" fillId="0" borderId="0" xfId="12" applyNumberFormat="1" applyFont="1"/>
    <xf numFmtId="3" fontId="16" fillId="0" borderId="0" xfId="12" quotePrefix="1" applyNumberFormat="1"/>
    <xf numFmtId="1" fontId="16" fillId="38" borderId="0" xfId="12" applyNumberFormat="1" applyFill="1"/>
    <xf numFmtId="37" fontId="16" fillId="0" borderId="2" xfId="12" quotePrefix="1" applyNumberFormat="1" applyBorder="1" applyAlignment="1">
      <alignment horizontal="center"/>
    </xf>
    <xf numFmtId="49" fontId="16" fillId="0" borderId="0" xfId="12" applyNumberFormat="1" applyAlignment="1">
      <alignment horizontal="center"/>
    </xf>
    <xf numFmtId="49" fontId="16" fillId="0" borderId="0" xfId="12" applyNumberFormat="1"/>
    <xf numFmtId="49" fontId="16" fillId="38" borderId="0" xfId="12" applyNumberFormat="1" applyFill="1"/>
    <xf numFmtId="2" fontId="16" fillId="0" borderId="0" xfId="12" applyNumberFormat="1"/>
    <xf numFmtId="49" fontId="16" fillId="16" borderId="0" xfId="12" applyNumberFormat="1" applyFill="1"/>
    <xf numFmtId="0" fontId="0" fillId="27" borderId="0" xfId="0" applyFill="1" applyAlignment="1">
      <alignment horizontal="left"/>
    </xf>
    <xf numFmtId="1" fontId="16" fillId="27" borderId="29" xfId="12" applyNumberFormat="1" applyFill="1" applyBorder="1"/>
    <xf numFmtId="0" fontId="16" fillId="27" borderId="0" xfId="12" applyFill="1"/>
    <xf numFmtId="166" fontId="18" fillId="27" borderId="0" xfId="12" applyNumberFormat="1" applyFont="1" applyFill="1" applyProtection="1">
      <protection locked="0"/>
    </xf>
    <xf numFmtId="0" fontId="0" fillId="39" borderId="14" xfId="0" applyFill="1" applyBorder="1" applyAlignment="1">
      <alignment horizontal="left"/>
    </xf>
    <xf numFmtId="0" fontId="0" fillId="39" borderId="0" xfId="0" applyFill="1"/>
    <xf numFmtId="0" fontId="16" fillId="0" borderId="29" xfId="12" applyBorder="1" applyAlignment="1">
      <alignment horizontal="left"/>
    </xf>
    <xf numFmtId="0" fontId="49" fillId="0" borderId="14" xfId="12" applyFont="1" applyBorder="1" applyAlignment="1">
      <alignment horizontal="center"/>
    </xf>
    <xf numFmtId="0" fontId="0" fillId="0" borderId="14" xfId="0" applyBorder="1" applyAlignment="1">
      <alignment horizontal="left"/>
    </xf>
    <xf numFmtId="0" fontId="0" fillId="2" borderId="0" xfId="0" applyFill="1"/>
    <xf numFmtId="0" fontId="0" fillId="14" borderId="0" xfId="0" applyFill="1"/>
    <xf numFmtId="0" fontId="15" fillId="2" borderId="0" xfId="0" applyFont="1" applyFill="1"/>
    <xf numFmtId="0" fontId="0" fillId="15" borderId="0" xfId="0" applyFill="1"/>
    <xf numFmtId="0" fontId="16" fillId="0" borderId="14" xfId="12" applyBorder="1" applyAlignment="1">
      <alignment horizontal="center"/>
    </xf>
    <xf numFmtId="0" fontId="49" fillId="0" borderId="0" xfId="12" quotePrefix="1" applyFont="1" applyAlignment="1">
      <alignment horizontal="left"/>
    </xf>
    <xf numFmtId="0" fontId="16" fillId="0" borderId="15" xfId="12" applyBorder="1" applyAlignment="1">
      <alignment horizontal="left"/>
    </xf>
    <xf numFmtId="0" fontId="49" fillId="0" borderId="0" xfId="12" applyFont="1" applyAlignment="1">
      <alignment horizontal="left"/>
    </xf>
    <xf numFmtId="175" fontId="16" fillId="0" borderId="0" xfId="12" applyNumberFormat="1" applyAlignment="1">
      <alignment horizontal="left"/>
    </xf>
    <xf numFmtId="175" fontId="16" fillId="7" borderId="0" xfId="12" applyNumberFormat="1" applyFill="1" applyAlignment="1">
      <alignment horizontal="left"/>
    </xf>
    <xf numFmtId="175" fontId="22" fillId="7" borderId="0" xfId="12" applyNumberFormat="1" applyFont="1" applyFill="1" applyAlignment="1">
      <alignment horizontal="left"/>
    </xf>
    <xf numFmtId="177" fontId="16" fillId="0" borderId="0" xfId="12" applyNumberFormat="1" applyAlignment="1">
      <alignment horizontal="left"/>
    </xf>
    <xf numFmtId="175" fontId="16" fillId="6" borderId="0" xfId="12" applyNumberFormat="1" applyFill="1" applyAlignment="1">
      <alignment horizontal="left"/>
    </xf>
    <xf numFmtId="183" fontId="16" fillId="0" borderId="0" xfId="12" applyNumberFormat="1" applyAlignment="1">
      <alignment horizontal="left"/>
    </xf>
    <xf numFmtId="1" fontId="16" fillId="15" borderId="0" xfId="12" applyNumberFormat="1" applyFill="1" applyAlignment="1">
      <alignment horizontal="left"/>
    </xf>
    <xf numFmtId="182" fontId="16" fillId="7" borderId="0" xfId="12" applyNumberFormat="1" applyFill="1" applyAlignment="1">
      <alignment horizontal="left"/>
    </xf>
    <xf numFmtId="166" fontId="49" fillId="0" borderId="29" xfId="12" applyNumberFormat="1" applyFont="1" applyBorder="1" applyAlignment="1">
      <alignment horizontal="left"/>
    </xf>
    <xf numFmtId="1" fontId="16" fillId="0" borderId="29" xfId="12" applyNumberFormat="1" applyBorder="1" applyAlignment="1">
      <alignment horizontal="left"/>
    </xf>
    <xf numFmtId="1" fontId="16" fillId="7" borderId="29" xfId="12" applyNumberFormat="1" applyFill="1" applyBorder="1" applyAlignment="1">
      <alignment horizontal="left"/>
    </xf>
    <xf numFmtId="0" fontId="16" fillId="7" borderId="29" xfId="12" applyFill="1" applyBorder="1" applyAlignment="1">
      <alignment horizontal="left"/>
    </xf>
    <xf numFmtId="0" fontId="22" fillId="7" borderId="29" xfId="12" applyFont="1" applyFill="1" applyBorder="1" applyAlignment="1">
      <alignment horizontal="left"/>
    </xf>
    <xf numFmtId="1" fontId="16" fillId="6" borderId="29" xfId="12" applyNumberFormat="1" applyFill="1" applyBorder="1" applyAlignment="1">
      <alignment horizontal="left"/>
    </xf>
    <xf numFmtId="0" fontId="16" fillId="15" borderId="29" xfId="12" applyFill="1" applyBorder="1" applyAlignment="1">
      <alignment horizontal="left"/>
    </xf>
    <xf numFmtId="166" fontId="49" fillId="0" borderId="15" xfId="12" applyNumberFormat="1" applyFont="1" applyBorder="1" applyAlignment="1">
      <alignment horizontal="left"/>
    </xf>
    <xf numFmtId="1" fontId="16" fillId="0" borderId="15" xfId="12" applyNumberFormat="1" applyBorder="1" applyAlignment="1">
      <alignment horizontal="left"/>
    </xf>
    <xf numFmtId="0" fontId="16" fillId="7" borderId="15" xfId="12" applyFill="1" applyBorder="1" applyAlignment="1">
      <alignment horizontal="left"/>
    </xf>
    <xf numFmtId="1" fontId="16" fillId="6" borderId="15" xfId="12" applyNumberFormat="1" applyFill="1" applyBorder="1" applyAlignment="1">
      <alignment horizontal="left"/>
    </xf>
    <xf numFmtId="0" fontId="16" fillId="15" borderId="15" xfId="12" applyFill="1" applyBorder="1" applyAlignment="1">
      <alignment horizontal="left"/>
    </xf>
    <xf numFmtId="37" fontId="16" fillId="0" borderId="15" xfId="12" applyNumberFormat="1" applyBorder="1" applyAlignment="1">
      <alignment horizontal="left"/>
    </xf>
    <xf numFmtId="175" fontId="16" fillId="39" borderId="0" xfId="12" applyNumberFormat="1" applyFill="1" applyAlignment="1">
      <alignment horizontal="left"/>
    </xf>
    <xf numFmtId="1" fontId="16" fillId="39" borderId="29" xfId="12" applyNumberFormat="1" applyFill="1" applyBorder="1" applyAlignment="1">
      <alignment horizontal="left"/>
    </xf>
    <xf numFmtId="1" fontId="16" fillId="39" borderId="15" xfId="12" applyNumberFormat="1" applyFill="1" applyBorder="1" applyAlignment="1">
      <alignment horizontal="left"/>
    </xf>
    <xf numFmtId="0" fontId="49" fillId="0" borderId="14" xfId="12" applyFont="1" applyBorder="1" applyAlignment="1">
      <alignment horizontal="left"/>
    </xf>
    <xf numFmtId="0" fontId="0" fillId="15" borderId="0" xfId="0" applyFill="1" applyAlignment="1">
      <alignment horizontal="left"/>
    </xf>
    <xf numFmtId="1" fontId="16" fillId="0" borderId="0" xfId="0" applyNumberFormat="1" applyFont="1"/>
    <xf numFmtId="3" fontId="16" fillId="0" borderId="14" xfId="12" applyNumberFormat="1" applyBorder="1" applyAlignment="1">
      <alignment horizontal="fill"/>
    </xf>
    <xf numFmtId="0" fontId="16" fillId="0" borderId="15" xfId="12" applyBorder="1" applyAlignment="1">
      <alignment horizontal="right"/>
    </xf>
    <xf numFmtId="0" fontId="96" fillId="0" borderId="0" xfId="12" applyFont="1"/>
    <xf numFmtId="3" fontId="17" fillId="0" borderId="14" xfId="12" applyNumberFormat="1" applyFont="1" applyBorder="1"/>
    <xf numFmtId="3" fontId="16" fillId="0" borderId="14" xfId="12" applyNumberFormat="1" applyBorder="1"/>
    <xf numFmtId="170" fontId="16" fillId="0" borderId="14" xfId="14" quotePrefix="1" applyNumberFormat="1" applyFont="1" applyBorder="1"/>
    <xf numFmtId="1" fontId="16" fillId="0" borderId="14" xfId="12" quotePrefix="1" applyNumberFormat="1" applyBorder="1"/>
    <xf numFmtId="1" fontId="16" fillId="0" borderId="14" xfId="12" applyNumberFormat="1" applyBorder="1"/>
    <xf numFmtId="1" fontId="96" fillId="16" borderId="14" xfId="12" applyNumberFormat="1" applyFont="1" applyFill="1" applyBorder="1"/>
    <xf numFmtId="49" fontId="59" fillId="0" borderId="0" xfId="12" applyNumberFormat="1" applyFont="1" applyAlignment="1">
      <alignment wrapText="1"/>
    </xf>
    <xf numFmtId="0" fontId="44" fillId="16" borderId="0" xfId="0" applyFont="1" applyFill="1"/>
    <xf numFmtId="1" fontId="29" fillId="16" borderId="0" xfId="0" applyNumberFormat="1" applyFont="1" applyFill="1" applyAlignment="1">
      <alignment horizontal="right"/>
    </xf>
    <xf numFmtId="3" fontId="29" fillId="16" borderId="0" xfId="0" applyNumberFormat="1" applyFont="1" applyFill="1"/>
    <xf numFmtId="0" fontId="17" fillId="0" borderId="0" xfId="12" applyFont="1" applyAlignment="1">
      <alignment vertical="center" wrapText="1"/>
    </xf>
    <xf numFmtId="169" fontId="17" fillId="27" borderId="0" xfId="12" applyNumberFormat="1" applyFont="1" applyFill="1" applyAlignment="1" applyProtection="1">
      <alignment horizontal="right"/>
      <protection locked="0"/>
    </xf>
    <xf numFmtId="169" fontId="16" fillId="27" borderId="0" xfId="12" applyNumberFormat="1" applyFill="1" applyAlignment="1" applyProtection="1">
      <alignment horizontal="right"/>
      <protection locked="0"/>
    </xf>
    <xf numFmtId="169" fontId="16" fillId="27" borderId="0" xfId="12" applyNumberFormat="1" applyFill="1"/>
    <xf numFmtId="0" fontId="18" fillId="27" borderId="0" xfId="12" applyFont="1" applyFill="1"/>
    <xf numFmtId="0" fontId="16" fillId="38" borderId="0" xfId="12" applyFill="1" applyAlignment="1" applyProtection="1">
      <alignment horizontal="left"/>
      <protection locked="0"/>
    </xf>
    <xf numFmtId="166" fontId="17" fillId="38" borderId="0" xfId="12" applyNumberFormat="1" applyFont="1" applyFill="1" applyProtection="1">
      <protection locked="0"/>
    </xf>
    <xf numFmtId="172" fontId="17" fillId="38" borderId="0" xfId="12" applyNumberFormat="1" applyFont="1" applyFill="1" applyProtection="1">
      <protection locked="0"/>
    </xf>
    <xf numFmtId="166" fontId="17" fillId="38" borderId="0" xfId="12" applyNumberFormat="1" applyFont="1" applyFill="1" applyAlignment="1" applyProtection="1">
      <alignment horizontal="right"/>
      <protection locked="0"/>
    </xf>
    <xf numFmtId="171" fontId="17" fillId="38" borderId="0" xfId="12" applyNumberFormat="1" applyFont="1" applyFill="1" applyAlignment="1" applyProtection="1">
      <alignment horizontal="right"/>
      <protection locked="0"/>
    </xf>
    <xf numFmtId="1" fontId="16" fillId="38" borderId="0" xfId="12" applyNumberFormat="1" applyFill="1" applyAlignment="1" applyProtection="1">
      <alignment horizontal="right"/>
      <protection locked="0"/>
    </xf>
    <xf numFmtId="169" fontId="17" fillId="38" borderId="0" xfId="12" applyNumberFormat="1" applyFont="1" applyFill="1" applyAlignment="1">
      <alignment horizontal="right"/>
    </xf>
    <xf numFmtId="0" fontId="17" fillId="27" borderId="0" xfId="12" applyFont="1" applyFill="1"/>
    <xf numFmtId="169" fontId="16" fillId="27" borderId="0" xfId="12" applyNumberFormat="1" applyFill="1" applyAlignment="1">
      <alignment horizontal="right"/>
    </xf>
    <xf numFmtId="166" fontId="17" fillId="27" borderId="0" xfId="12" applyNumberFormat="1" applyFont="1" applyFill="1" applyProtection="1">
      <protection locked="0"/>
    </xf>
    <xf numFmtId="0" fontId="16" fillId="27" borderId="0" xfId="12" applyFill="1" applyAlignment="1">
      <alignment horizontal="right"/>
    </xf>
    <xf numFmtId="169" fontId="17" fillId="27" borderId="0" xfId="12" applyNumberFormat="1" applyFont="1" applyFill="1" applyAlignment="1">
      <alignment horizontal="right"/>
    </xf>
    <xf numFmtId="169" fontId="18" fillId="27" borderId="0" xfId="12" applyNumberFormat="1" applyFont="1" applyFill="1" applyProtection="1">
      <protection locked="0"/>
    </xf>
    <xf numFmtId="173" fontId="79" fillId="27" borderId="0" xfId="12" applyNumberFormat="1" applyFont="1" applyFill="1"/>
    <xf numFmtId="169" fontId="17" fillId="27" borderId="0" xfId="12" applyNumberFormat="1" applyFont="1" applyFill="1" applyProtection="1">
      <protection locked="0"/>
    </xf>
    <xf numFmtId="0" fontId="27" fillId="27" borderId="0" xfId="12" applyFont="1" applyFill="1"/>
    <xf numFmtId="180" fontId="16" fillId="27" borderId="0" xfId="12" applyNumberFormat="1" applyFill="1"/>
    <xf numFmtId="175" fontId="27" fillId="27" borderId="0" xfId="12" applyNumberFormat="1" applyFont="1" applyFill="1"/>
    <xf numFmtId="177" fontId="16" fillId="27" borderId="0" xfId="12" applyNumberFormat="1" applyFill="1"/>
    <xf numFmtId="177" fontId="16" fillId="27" borderId="0" xfId="13" applyNumberFormat="1" applyFont="1" applyFill="1"/>
    <xf numFmtId="0" fontId="16" fillId="27" borderId="0" xfId="12" applyFill="1" applyProtection="1">
      <protection locked="0"/>
    </xf>
    <xf numFmtId="173" fontId="16" fillId="27" borderId="0" xfId="12" applyNumberFormat="1" applyFill="1"/>
    <xf numFmtId="185" fontId="83" fillId="0" borderId="0" xfId="0" applyNumberFormat="1" applyFont="1" applyAlignment="1" applyProtection="1">
      <alignment horizontal="right"/>
      <protection locked="0"/>
    </xf>
    <xf numFmtId="0" fontId="17" fillId="27" borderId="0" xfId="12" applyFont="1" applyFill="1" applyProtection="1">
      <protection locked="0"/>
    </xf>
    <xf numFmtId="0" fontId="26" fillId="0" borderId="0" xfId="0" applyFont="1"/>
    <xf numFmtId="1" fontId="26" fillId="0" borderId="0" xfId="0" applyNumberFormat="1" applyFont="1"/>
    <xf numFmtId="37" fontId="16" fillId="0" borderId="2" xfId="12" applyNumberFormat="1" applyBorder="1" applyAlignment="1">
      <alignment horizontal="right"/>
    </xf>
    <xf numFmtId="0" fontId="16" fillId="0" borderId="2" xfId="12" applyBorder="1" applyAlignment="1">
      <alignment horizontal="center"/>
    </xf>
    <xf numFmtId="175" fontId="70" fillId="0" borderId="0" xfId="0" applyNumberFormat="1" applyFont="1"/>
    <xf numFmtId="170" fontId="17" fillId="0" borderId="0" xfId="12" applyNumberFormat="1" applyFont="1"/>
    <xf numFmtId="0" fontId="15" fillId="27" borderId="0" xfId="0" applyFont="1" applyFill="1"/>
    <xf numFmtId="0" fontId="70" fillId="0" borderId="0" xfId="12" applyFont="1"/>
    <xf numFmtId="0" fontId="17" fillId="0" borderId="0" xfId="12" quotePrefix="1" applyFont="1" applyAlignment="1">
      <alignment horizontal="left"/>
    </xf>
    <xf numFmtId="0" fontId="17" fillId="38" borderId="0" xfId="12" applyFont="1" applyFill="1"/>
    <xf numFmtId="0" fontId="16" fillId="7" borderId="0" xfId="12" applyFill="1"/>
    <xf numFmtId="0" fontId="16" fillId="7" borderId="0" xfId="12" applyFill="1" applyProtection="1">
      <protection locked="0"/>
    </xf>
    <xf numFmtId="175" fontId="16" fillId="0" borderId="0" xfId="12" applyNumberFormat="1" applyProtection="1">
      <protection locked="0"/>
    </xf>
    <xf numFmtId="0" fontId="26" fillId="38" borderId="0" xfId="12" applyFont="1" applyFill="1" applyProtection="1">
      <protection locked="0"/>
    </xf>
    <xf numFmtId="172" fontId="17" fillId="27" borderId="0" xfId="12" applyNumberFormat="1" applyFont="1" applyFill="1" applyProtection="1">
      <protection locked="0"/>
    </xf>
    <xf numFmtId="177" fontId="16" fillId="0" borderId="0" xfId="12" applyNumberFormat="1"/>
    <xf numFmtId="172" fontId="16" fillId="0" borderId="0" xfId="12" applyNumberFormat="1"/>
    <xf numFmtId="169" fontId="16" fillId="0" borderId="0" xfId="12" applyNumberFormat="1" applyProtection="1">
      <protection locked="0"/>
    </xf>
    <xf numFmtId="1" fontId="26" fillId="0" borderId="0" xfId="12" applyNumberFormat="1" applyFont="1"/>
    <xf numFmtId="166" fontId="17" fillId="0" borderId="0" xfId="12" applyNumberFormat="1" applyFont="1" applyProtection="1">
      <protection locked="0"/>
    </xf>
    <xf numFmtId="1" fontId="16" fillId="0" borderId="0" xfId="12" applyNumberFormat="1" applyProtection="1">
      <protection locked="0"/>
    </xf>
    <xf numFmtId="0" fontId="16" fillId="0" borderId="19" xfId="12" applyBorder="1"/>
    <xf numFmtId="0" fontId="27" fillId="38" borderId="0" xfId="12" applyFont="1" applyFill="1"/>
    <xf numFmtId="37" fontId="16" fillId="7" borderId="0" xfId="0" applyNumberFormat="1" applyFont="1" applyFill="1" applyProtection="1">
      <protection locked="0"/>
    </xf>
    <xf numFmtId="0" fontId="18" fillId="7" borderId="0" xfId="12" applyFont="1" applyFill="1"/>
    <xf numFmtId="166" fontId="16" fillId="7" borderId="0" xfId="12" applyNumberFormat="1" applyFill="1"/>
    <xf numFmtId="166" fontId="16" fillId="7" borderId="0" xfId="12" applyNumberFormat="1" applyFill="1" applyProtection="1">
      <protection locked="0"/>
    </xf>
    <xf numFmtId="37" fontId="16" fillId="27" borderId="0" xfId="0" applyNumberFormat="1" applyFont="1" applyFill="1" applyAlignment="1" applyProtection="1">
      <alignment horizontal="right"/>
      <protection locked="0"/>
    </xf>
    <xf numFmtId="0" fontId="18" fillId="38" borderId="0" xfId="12" applyFont="1" applyFill="1" applyProtection="1">
      <protection locked="0"/>
    </xf>
    <xf numFmtId="188" fontId="16" fillId="38" borderId="0" xfId="0" applyNumberFormat="1" applyFont="1" applyFill="1"/>
    <xf numFmtId="1" fontId="16" fillId="38" borderId="0" xfId="12" applyNumberFormat="1" applyFill="1" applyAlignment="1">
      <alignment horizontal="right"/>
    </xf>
    <xf numFmtId="169" fontId="18" fillId="38" borderId="0" xfId="12" applyNumberFormat="1" applyFont="1" applyFill="1" applyProtection="1">
      <protection locked="0"/>
    </xf>
    <xf numFmtId="0" fontId="127" fillId="0" borderId="0" xfId="12" applyFont="1"/>
    <xf numFmtId="175" fontId="124" fillId="0" borderId="0" xfId="12" applyNumberFormat="1" applyFont="1" applyAlignment="1">
      <alignment horizontal="right"/>
    </xf>
    <xf numFmtId="175" fontId="126" fillId="0" borderId="0" xfId="12" applyNumberFormat="1" applyFont="1" applyProtection="1">
      <protection locked="0"/>
    </xf>
    <xf numFmtId="169" fontId="17" fillId="0" borderId="0" xfId="12" applyNumberFormat="1" applyFont="1" applyProtection="1">
      <protection locked="0"/>
    </xf>
    <xf numFmtId="0" fontId="16" fillId="6" borderId="0" xfId="12" applyFill="1" applyAlignment="1">
      <alignment horizontal="right"/>
    </xf>
    <xf numFmtId="1" fontId="16" fillId="6" borderId="0" xfId="12" applyNumberFormat="1" applyFill="1"/>
    <xf numFmtId="0" fontId="16" fillId="25" borderId="0" xfId="12" applyFill="1"/>
    <xf numFmtId="0" fontId="15" fillId="0" borderId="6" xfId="0" applyFont="1" applyBorder="1"/>
    <xf numFmtId="0" fontId="15" fillId="0" borderId="9" xfId="0" applyFont="1" applyBorder="1"/>
    <xf numFmtId="0" fontId="15" fillId="0" borderId="61" xfId="0" applyFont="1" applyBorder="1" applyAlignment="1">
      <alignment horizontal="right"/>
    </xf>
    <xf numFmtId="178" fontId="15" fillId="42" borderId="61" xfId="0" applyNumberFormat="1" applyFont="1" applyFill="1" applyBorder="1"/>
    <xf numFmtId="178" fontId="15" fillId="0" borderId="61" xfId="0" applyNumberFormat="1" applyFont="1" applyBorder="1"/>
    <xf numFmtId="0" fontId="15" fillId="42" borderId="61" xfId="0" applyFont="1" applyFill="1" applyBorder="1"/>
    <xf numFmtId="1" fontId="15" fillId="42" borderId="0" xfId="0" applyNumberFormat="1" applyFont="1" applyFill="1"/>
    <xf numFmtId="0" fontId="15" fillId="42" borderId="0" xfId="0" applyFont="1" applyFill="1"/>
    <xf numFmtId="178" fontId="95" fillId="18" borderId="61" xfId="0" applyNumberFormat="1" applyFont="1" applyFill="1" applyBorder="1"/>
    <xf numFmtId="0" fontId="15" fillId="42" borderId="61" xfId="0" applyFont="1" applyFill="1" applyBorder="1" applyAlignment="1">
      <alignment horizontal="right"/>
    </xf>
    <xf numFmtId="0" fontId="15" fillId="42" borderId="9" xfId="0" applyFont="1" applyFill="1" applyBorder="1"/>
    <xf numFmtId="0" fontId="15" fillId="0" borderId="61" xfId="0" applyFont="1" applyBorder="1"/>
    <xf numFmtId="178" fontId="95" fillId="18" borderId="16" xfId="0" applyNumberFormat="1" applyFont="1" applyFill="1" applyBorder="1"/>
    <xf numFmtId="0" fontId="15" fillId="0" borderId="16" xfId="0" applyFont="1" applyBorder="1" applyAlignment="1">
      <alignment horizontal="right"/>
    </xf>
    <xf numFmtId="0" fontId="29" fillId="36" borderId="23" xfId="0" applyFont="1" applyFill="1" applyBorder="1" applyAlignment="1">
      <alignment horizontal="center"/>
    </xf>
    <xf numFmtId="0" fontId="29" fillId="36" borderId="22" xfId="0" applyFont="1" applyFill="1" applyBorder="1" applyAlignment="1">
      <alignment horizontal="center"/>
    </xf>
    <xf numFmtId="0" fontId="29" fillId="36" borderId="23" xfId="0" applyFont="1" applyFill="1" applyBorder="1"/>
    <xf numFmtId="0" fontId="15" fillId="36" borderId="22" xfId="0" applyFont="1" applyFill="1" applyBorder="1"/>
    <xf numFmtId="0" fontId="29" fillId="36" borderId="21" xfId="0" applyFont="1" applyFill="1" applyBorder="1"/>
    <xf numFmtId="178" fontId="15" fillId="0" borderId="0" xfId="1" applyNumberFormat="1"/>
    <xf numFmtId="1" fontId="15" fillId="0" borderId="0" xfId="1" applyNumberFormat="1"/>
    <xf numFmtId="178" fontId="15" fillId="42" borderId="0" xfId="1" applyNumberFormat="1" applyFill="1"/>
    <xf numFmtId="1" fontId="15" fillId="42" borderId="0" xfId="1" applyNumberFormat="1" applyFill="1"/>
    <xf numFmtId="178" fontId="15" fillId="0" borderId="5" xfId="1" applyNumberFormat="1" applyBorder="1"/>
    <xf numFmtId="1" fontId="15" fillId="0" borderId="5" xfId="1" applyNumberFormat="1" applyBorder="1"/>
    <xf numFmtId="178" fontId="95" fillId="18" borderId="0" xfId="1" applyNumberFormat="1" applyFont="1" applyFill="1"/>
    <xf numFmtId="1" fontId="95" fillId="18" borderId="0" xfId="1" applyNumberFormat="1" applyFont="1" applyFill="1"/>
    <xf numFmtId="193" fontId="95" fillId="18" borderId="0" xfId="1" applyNumberFormat="1" applyFont="1" applyFill="1"/>
    <xf numFmtId="0" fontId="16" fillId="16" borderId="15" xfId="12" applyFill="1" applyBorder="1"/>
    <xf numFmtId="0" fontId="90" fillId="0" borderId="0" xfId="0" applyFont="1"/>
    <xf numFmtId="0" fontId="52" fillId="2" borderId="0" xfId="0" applyFont="1" applyFill="1" applyAlignment="1">
      <alignment horizontal="center"/>
    </xf>
    <xf numFmtId="0" fontId="91" fillId="2" borderId="0" xfId="0" applyFont="1" applyFill="1" applyAlignment="1">
      <alignment horizontal="center"/>
    </xf>
    <xf numFmtId="184" fontId="16" fillId="0" borderId="0" xfId="14" applyNumberFormat="1" applyFont="1"/>
    <xf numFmtId="0" fontId="16" fillId="0" borderId="0" xfId="12" applyAlignment="1">
      <alignment vertical="center"/>
    </xf>
    <xf numFmtId="0" fontId="22" fillId="0" borderId="0" xfId="12" applyFont="1" applyAlignment="1">
      <alignment vertical="center"/>
    </xf>
    <xf numFmtId="171" fontId="16" fillId="38" borderId="0" xfId="12" applyNumberFormat="1" applyFill="1" applyAlignment="1">
      <alignment horizontal="right"/>
    </xf>
    <xf numFmtId="37" fontId="131" fillId="0" borderId="2" xfId="12" applyNumberFormat="1" applyFont="1" applyBorder="1" applyAlignment="1">
      <alignment horizontal="center"/>
    </xf>
    <xf numFmtId="0" fontId="131" fillId="0" borderId="2" xfId="12" applyFont="1" applyBorder="1" applyAlignment="1">
      <alignment horizontal="center"/>
    </xf>
    <xf numFmtId="0" fontId="131" fillId="0" borderId="2" xfId="12" applyFont="1" applyBorder="1" applyAlignment="1">
      <alignment horizontal="fill"/>
    </xf>
    <xf numFmtId="37" fontId="131" fillId="0" borderId="0" xfId="12" applyNumberFormat="1" applyFont="1" applyAlignment="1">
      <alignment horizontal="right"/>
    </xf>
    <xf numFmtId="178" fontId="131" fillId="0" borderId="2" xfId="1" applyNumberFormat="1" applyFont="1" applyBorder="1" applyAlignment="1">
      <alignment horizontal="center"/>
    </xf>
    <xf numFmtId="170" fontId="131" fillId="0" borderId="2" xfId="14" applyNumberFormat="1" applyFont="1" applyBorder="1" applyAlignment="1">
      <alignment horizontal="center"/>
    </xf>
    <xf numFmtId="170" fontId="131" fillId="0" borderId="2" xfId="14" applyNumberFormat="1" applyFont="1" applyBorder="1" applyAlignment="1">
      <alignment horizontal="fill"/>
    </xf>
    <xf numFmtId="170" fontId="131" fillId="0" borderId="5" xfId="12" applyNumberFormat="1" applyFont="1" applyBorder="1" applyAlignment="1">
      <alignment horizontal="center"/>
    </xf>
    <xf numFmtId="170" fontId="131" fillId="0" borderId="27" xfId="14" applyNumberFormat="1" applyFont="1" applyBorder="1" applyAlignment="1">
      <alignment horizontal="center"/>
    </xf>
    <xf numFmtId="170" fontId="131" fillId="0" borderId="5" xfId="14" applyNumberFormat="1" applyFont="1" applyBorder="1" applyAlignment="1">
      <alignment horizontal="center"/>
    </xf>
    <xf numFmtId="170" fontId="132" fillId="0" borderId="7" xfId="12" applyNumberFormat="1" applyFont="1" applyBorder="1" applyAlignment="1">
      <alignment horizontal="center"/>
    </xf>
    <xf numFmtId="170" fontId="132" fillId="0" borderId="54" xfId="14" applyNumberFormat="1" applyFont="1" applyBorder="1" applyAlignment="1">
      <alignment horizontal="center"/>
    </xf>
    <xf numFmtId="170" fontId="131" fillId="0" borderId="2" xfId="12" applyNumberFormat="1" applyFont="1" applyBorder="1" applyAlignment="1">
      <alignment horizontal="fill"/>
    </xf>
    <xf numFmtId="191" fontId="131" fillId="0" borderId="2" xfId="12" applyNumberFormat="1" applyFont="1" applyBorder="1" applyAlignment="1">
      <alignment horizontal="center"/>
    </xf>
    <xf numFmtId="166" fontId="16" fillId="27" borderId="0" xfId="12" applyNumberFormat="1" applyFill="1" applyProtection="1">
      <protection locked="0"/>
    </xf>
    <xf numFmtId="174" fontId="26" fillId="27" borderId="0" xfId="12" applyNumberFormat="1" applyFont="1" applyFill="1" applyAlignment="1">
      <alignment horizontal="right"/>
    </xf>
    <xf numFmtId="1" fontId="16" fillId="27" borderId="0" xfId="12" applyNumberFormat="1" applyFill="1" applyAlignment="1" applyProtection="1">
      <alignment horizontal="right"/>
      <protection locked="0"/>
    </xf>
    <xf numFmtId="1" fontId="16" fillId="0" borderId="29" xfId="12" applyNumberFormat="1" applyBorder="1"/>
    <xf numFmtId="169" fontId="16" fillId="27" borderId="0" xfId="12" applyNumberFormat="1" applyFill="1" applyAlignment="1" applyProtection="1">
      <alignment horizontal="right" vertical="center"/>
      <protection locked="0"/>
    </xf>
    <xf numFmtId="0" fontId="16" fillId="0" borderId="0" xfId="12" applyAlignment="1">
      <alignment wrapText="1"/>
    </xf>
    <xf numFmtId="0" fontId="14" fillId="0" borderId="0" xfId="59"/>
    <xf numFmtId="0" fontId="114" fillId="0" borderId="0" xfId="30"/>
    <xf numFmtId="0" fontId="170" fillId="0" borderId="0" xfId="30" applyFont="1"/>
    <xf numFmtId="21" fontId="0" fillId="0" borderId="0" xfId="0" applyNumberFormat="1"/>
    <xf numFmtId="9" fontId="0" fillId="0" borderId="0" xfId="14" applyFont="1"/>
    <xf numFmtId="9" fontId="0" fillId="0" borderId="15" xfId="14" applyFont="1" applyBorder="1"/>
    <xf numFmtId="9" fontId="29" fillId="0" borderId="0" xfId="14" applyFont="1"/>
    <xf numFmtId="0" fontId="162" fillId="0" borderId="0" xfId="23116" applyAlignment="1">
      <alignment horizontal="left"/>
    </xf>
    <xf numFmtId="0" fontId="162" fillId="0" borderId="0" xfId="23116" applyAlignment="1">
      <alignment wrapText="1"/>
    </xf>
    <xf numFmtId="0" fontId="162" fillId="0" borderId="0" xfId="23116" applyAlignment="1">
      <alignment horizontal="left" wrapText="1"/>
    </xf>
    <xf numFmtId="0" fontId="162" fillId="0" borderId="0" xfId="23117" applyAlignment="1">
      <alignment wrapText="1"/>
    </xf>
    <xf numFmtId="37" fontId="15" fillId="0" borderId="0" xfId="0" applyNumberFormat="1" applyFont="1" applyAlignment="1">
      <alignment wrapText="1"/>
    </xf>
    <xf numFmtId="0" fontId="15" fillId="0" borderId="0" xfId="0" applyFont="1" applyAlignment="1">
      <alignment horizontal="left"/>
    </xf>
    <xf numFmtId="0" fontId="0" fillId="27" borderId="14" xfId="0" applyFill="1" applyBorder="1" applyAlignment="1">
      <alignment horizontal="left"/>
    </xf>
    <xf numFmtId="175" fontId="16" fillId="27" borderId="0" xfId="12" applyNumberFormat="1" applyFill="1" applyAlignment="1">
      <alignment horizontal="left"/>
    </xf>
    <xf numFmtId="1" fontId="16" fillId="27" borderId="29" xfId="12" applyNumberFormat="1" applyFill="1" applyBorder="1" applyAlignment="1">
      <alignment horizontal="left"/>
    </xf>
    <xf numFmtId="1" fontId="16" fillId="27" borderId="15" xfId="12" applyNumberFormat="1" applyFill="1" applyBorder="1" applyAlignment="1">
      <alignment horizontal="left"/>
    </xf>
    <xf numFmtId="0" fontId="16" fillId="0" borderId="24" xfId="12" applyBorder="1" applyAlignment="1">
      <alignment horizontal="left"/>
    </xf>
    <xf numFmtId="170" fontId="15" fillId="0" borderId="15" xfId="14" applyNumberFormat="1" applyBorder="1" applyAlignment="1">
      <alignment horizontal="right"/>
    </xf>
    <xf numFmtId="0" fontId="0" fillId="0" borderId="0" xfId="0" quotePrefix="1"/>
    <xf numFmtId="166" fontId="49" fillId="0" borderId="0" xfId="12" applyNumberFormat="1" applyFont="1" applyAlignment="1">
      <alignment horizontal="right"/>
    </xf>
    <xf numFmtId="175" fontId="16" fillId="27" borderId="0" xfId="12" applyNumberFormat="1" applyFill="1"/>
    <xf numFmtId="1" fontId="16" fillId="27" borderId="0" xfId="12" applyNumberFormat="1" applyFill="1"/>
    <xf numFmtId="175" fontId="16" fillId="7" borderId="0" xfId="12" applyNumberFormat="1" applyFill="1"/>
    <xf numFmtId="0" fontId="16" fillId="27" borderId="0" xfId="12" quotePrefix="1" applyFill="1"/>
    <xf numFmtId="175" fontId="22" fillId="7" borderId="0" xfId="12" applyNumberFormat="1" applyFont="1" applyFill="1"/>
    <xf numFmtId="1" fontId="16" fillId="15" borderId="0" xfId="12" applyNumberFormat="1" applyFill="1"/>
    <xf numFmtId="0" fontId="16" fillId="15" borderId="0" xfId="12" applyFill="1"/>
    <xf numFmtId="182" fontId="16" fillId="7" borderId="0" xfId="12" applyNumberFormat="1" applyFill="1"/>
    <xf numFmtId="0" fontId="16" fillId="0" borderId="85" xfId="12" applyBorder="1"/>
    <xf numFmtId="0" fontId="16" fillId="0" borderId="87" xfId="12" applyBorder="1"/>
    <xf numFmtId="0" fontId="16" fillId="0" borderId="89" xfId="12" applyBorder="1"/>
    <xf numFmtId="0" fontId="16" fillId="0" borderId="90" xfId="12" applyBorder="1"/>
    <xf numFmtId="18" fontId="0" fillId="0" borderId="0" xfId="0" applyNumberFormat="1"/>
    <xf numFmtId="164" fontId="16" fillId="0" borderId="0" xfId="12" applyNumberFormat="1" applyAlignment="1">
      <alignment horizontal="right"/>
    </xf>
    <xf numFmtId="167" fontId="16" fillId="0" borderId="0" xfId="12" applyNumberFormat="1" applyAlignment="1">
      <alignment horizontal="right"/>
    </xf>
    <xf numFmtId="0" fontId="31" fillId="0" borderId="0" xfId="12" applyFont="1"/>
    <xf numFmtId="0" fontId="25" fillId="0" borderId="0" xfId="12" applyFont="1" applyAlignment="1">
      <alignment horizontal="fill"/>
    </xf>
    <xf numFmtId="166" fontId="31" fillId="0" borderId="0" xfId="12" applyNumberFormat="1" applyFont="1"/>
    <xf numFmtId="1" fontId="16" fillId="19" borderId="0" xfId="12" applyNumberFormat="1" applyFill="1"/>
    <xf numFmtId="1" fontId="16" fillId="16" borderId="0" xfId="12" applyNumberFormat="1" applyFill="1"/>
    <xf numFmtId="0" fontId="16" fillId="0" borderId="83" xfId="12" applyBorder="1"/>
    <xf numFmtId="0" fontId="17" fillId="0" borderId="85" xfId="12" applyFont="1" applyBorder="1" applyAlignment="1">
      <alignment horizontal="right"/>
    </xf>
    <xf numFmtId="0" fontId="16" fillId="0" borderId="85" xfId="12" applyBorder="1" applyAlignment="1">
      <alignment horizontal="center"/>
    </xf>
    <xf numFmtId="0" fontId="16" fillId="0" borderId="88" xfId="12" applyBorder="1"/>
    <xf numFmtId="0" fontId="17" fillId="0" borderId="85" xfId="12" applyFont="1" applyBorder="1"/>
    <xf numFmtId="14" fontId="16" fillId="0" borderId="0" xfId="12" applyNumberFormat="1" applyAlignment="1">
      <alignment horizontal="right"/>
    </xf>
    <xf numFmtId="0" fontId="17" fillId="0" borderId="83" xfId="12" applyFont="1" applyBorder="1"/>
    <xf numFmtId="0" fontId="17" fillId="0" borderId="91" xfId="12" applyFont="1" applyBorder="1"/>
    <xf numFmtId="0" fontId="17" fillId="0" borderId="92" xfId="12" applyFont="1" applyBorder="1"/>
    <xf numFmtId="0" fontId="17" fillId="0" borderId="93" xfId="0" applyFont="1" applyBorder="1"/>
    <xf numFmtId="0" fontId="17" fillId="0" borderId="94" xfId="12" applyFont="1" applyBorder="1" applyAlignment="1">
      <alignment horizontal="right"/>
    </xf>
    <xf numFmtId="0" fontId="39" fillId="0" borderId="92" xfId="12" applyFont="1" applyBorder="1" applyAlignment="1">
      <alignment horizontal="center" vertical="center"/>
    </xf>
    <xf numFmtId="0" fontId="16" fillId="0" borderId="95" xfId="12" applyBorder="1"/>
    <xf numFmtId="0" fontId="16" fillId="0" borderId="95" xfId="0" applyFont="1" applyBorder="1"/>
    <xf numFmtId="0" fontId="16" fillId="0" borderId="92" xfId="12" applyBorder="1"/>
    <xf numFmtId="0" fontId="16" fillId="0" borderId="96" xfId="12" applyBorder="1"/>
    <xf numFmtId="0" fontId="16" fillId="0" borderId="97" xfId="12" applyBorder="1"/>
    <xf numFmtId="0" fontId="16" fillId="0" borderId="84" xfId="12" applyBorder="1"/>
    <xf numFmtId="0" fontId="20" fillId="0" borderId="87" xfId="12" applyFont="1" applyBorder="1"/>
    <xf numFmtId="166" fontId="22" fillId="0" borderId="0" xfId="12" applyNumberFormat="1" applyFont="1"/>
    <xf numFmtId="166" fontId="25" fillId="0" borderId="0" xfId="12" applyNumberFormat="1" applyFont="1"/>
    <xf numFmtId="0" fontId="15" fillId="98" borderId="0" xfId="0" applyFont="1" applyFill="1"/>
    <xf numFmtId="0" fontId="18" fillId="7" borderId="0" xfId="0" applyFont="1" applyFill="1"/>
    <xf numFmtId="0" fontId="18" fillId="9" borderId="0" xfId="12" applyFont="1" applyFill="1"/>
    <xf numFmtId="37" fontId="18" fillId="0" borderId="0" xfId="12" applyNumberFormat="1" applyFont="1"/>
    <xf numFmtId="0" fontId="42" fillId="0" borderId="0" xfId="12" applyFont="1" applyAlignment="1">
      <alignment horizontal="right"/>
    </xf>
    <xf numFmtId="3" fontId="18" fillId="0" borderId="0" xfId="0" applyNumberFormat="1" applyFont="1"/>
    <xf numFmtId="1" fontId="18" fillId="0" borderId="0" xfId="0" applyNumberFormat="1" applyFont="1"/>
    <xf numFmtId="0" fontId="18" fillId="0" borderId="0" xfId="12" quotePrefix="1" applyFont="1"/>
    <xf numFmtId="0" fontId="22" fillId="0" borderId="0" xfId="12" quotePrefix="1" applyFont="1"/>
    <xf numFmtId="37" fontId="42" fillId="0" borderId="0" xfId="12" applyNumberFormat="1" applyFont="1"/>
    <xf numFmtId="174" fontId="18" fillId="7" borderId="0" xfId="0" applyNumberFormat="1" applyFont="1" applyFill="1"/>
    <xf numFmtId="37" fontId="18" fillId="0" borderId="0" xfId="12" applyNumberFormat="1" applyFont="1" applyAlignment="1">
      <alignment horizontal="right"/>
    </xf>
    <xf numFmtId="3" fontId="18" fillId="0" borderId="0" xfId="12" applyNumberFormat="1" applyFont="1"/>
    <xf numFmtId="0" fontId="18" fillId="0" borderId="0" xfId="12" quotePrefix="1" applyFont="1" applyAlignment="1">
      <alignment horizontal="right"/>
    </xf>
    <xf numFmtId="37" fontId="18" fillId="0" borderId="0" xfId="12" quotePrefix="1" applyNumberFormat="1" applyFont="1" applyAlignment="1">
      <alignment horizontal="right"/>
    </xf>
    <xf numFmtId="0" fontId="18" fillId="9" borderId="0" xfId="12" quotePrefix="1" applyFont="1" applyFill="1"/>
    <xf numFmtId="178" fontId="22" fillId="0" borderId="0" xfId="1" applyNumberFormat="1" applyFont="1" applyAlignment="1">
      <alignment horizontal="right"/>
    </xf>
    <xf numFmtId="178" fontId="18" fillId="0" borderId="0" xfId="1" applyNumberFormat="1" applyFont="1" applyAlignment="1">
      <alignment horizontal="right"/>
    </xf>
    <xf numFmtId="37" fontId="18" fillId="0" borderId="0" xfId="12" quotePrefix="1" applyNumberFormat="1" applyFont="1"/>
    <xf numFmtId="178" fontId="18" fillId="9" borderId="0" xfId="1" applyNumberFormat="1" applyFont="1" applyFill="1" applyAlignment="1">
      <alignment horizontal="right"/>
    </xf>
    <xf numFmtId="174" fontId="18" fillId="0" borderId="0" xfId="0" applyNumberFormat="1" applyFont="1"/>
    <xf numFmtId="175" fontId="18" fillId="0" borderId="0" xfId="0" applyNumberFormat="1" applyFont="1"/>
    <xf numFmtId="0" fontId="22" fillId="9" borderId="0" xfId="12" quotePrefix="1" applyFont="1" applyFill="1"/>
    <xf numFmtId="0" fontId="18" fillId="0" borderId="0" xfId="12" applyFont="1" applyAlignment="1">
      <alignment horizontal="right"/>
    </xf>
    <xf numFmtId="0" fontId="18" fillId="9" borderId="0" xfId="12" applyFont="1" applyFill="1" applyAlignment="1">
      <alignment horizontal="right"/>
    </xf>
    <xf numFmtId="37" fontId="16" fillId="11" borderId="0" xfId="12" applyNumberFormat="1" applyFill="1"/>
    <xf numFmtId="37" fontId="18" fillId="9" borderId="0" xfId="12" quotePrefix="1" applyNumberFormat="1" applyFont="1" applyFill="1"/>
    <xf numFmtId="37" fontId="18" fillId="9" borderId="0" xfId="12" applyNumberFormat="1" applyFont="1" applyFill="1"/>
    <xf numFmtId="0" fontId="18" fillId="0" borderId="0" xfId="0" applyFont="1"/>
    <xf numFmtId="10" fontId="15" fillId="0" borderId="0" xfId="14" applyNumberFormat="1"/>
    <xf numFmtId="10" fontId="29" fillId="16" borderId="0" xfId="14" applyNumberFormat="1" applyFont="1" applyFill="1"/>
    <xf numFmtId="0" fontId="17" fillId="0" borderId="22" xfId="12" applyFont="1" applyBorder="1"/>
    <xf numFmtId="0" fontId="17" fillId="0" borderId="5" xfId="12" applyFont="1" applyBorder="1"/>
    <xf numFmtId="0" fontId="17" fillId="0" borderId="7" xfId="12" applyFont="1" applyBorder="1"/>
    <xf numFmtId="0" fontId="17" fillId="0" borderId="19" xfId="12" applyFont="1" applyBorder="1"/>
    <xf numFmtId="37" fontId="16" fillId="16" borderId="0" xfId="12" applyNumberFormat="1" applyFill="1" applyAlignment="1">
      <alignment wrapText="1"/>
    </xf>
    <xf numFmtId="37" fontId="26" fillId="0" borderId="0" xfId="12" applyNumberFormat="1" applyFont="1" applyAlignment="1">
      <alignment horizontal="center"/>
    </xf>
    <xf numFmtId="0" fontId="40" fillId="0" borderId="0" xfId="12" applyFont="1" applyProtection="1">
      <protection locked="0" hidden="1"/>
    </xf>
    <xf numFmtId="37" fontId="40" fillId="0" borderId="0" xfId="12" quotePrefix="1" applyNumberFormat="1" applyFont="1"/>
    <xf numFmtId="0" fontId="15" fillId="0" borderId="0" xfId="3353"/>
    <xf numFmtId="9" fontId="16" fillId="0" borderId="0" xfId="12" applyNumberFormat="1"/>
    <xf numFmtId="37" fontId="16" fillId="0" borderId="0" xfId="12" applyNumberFormat="1" applyAlignment="1">
      <alignment horizontal="right"/>
    </xf>
    <xf numFmtId="0" fontId="18" fillId="0" borderId="0" xfId="12" applyFont="1" applyAlignment="1" applyProtection="1">
      <alignment horizontal="right"/>
      <protection locked="0"/>
    </xf>
    <xf numFmtId="0" fontId="16" fillId="0" borderId="61" xfId="12" applyBorder="1"/>
    <xf numFmtId="0" fontId="40" fillId="0" borderId="2" xfId="12" applyFont="1" applyBorder="1" applyProtection="1">
      <protection locked="0" hidden="1"/>
    </xf>
    <xf numFmtId="0" fontId="17" fillId="0" borderId="19" xfId="12" applyFont="1" applyBorder="1" applyAlignment="1">
      <alignment horizontal="center"/>
    </xf>
    <xf numFmtId="170" fontId="16" fillId="0" borderId="61" xfId="14" applyNumberFormat="1" applyFont="1" applyBorder="1"/>
    <xf numFmtId="170" fontId="16" fillId="0" borderId="23" xfId="14" applyNumberFormat="1" applyFont="1" applyBorder="1"/>
    <xf numFmtId="0" fontId="42" fillId="0" borderId="15" xfId="12" applyFont="1" applyBorder="1"/>
    <xf numFmtId="1" fontId="16" fillId="4" borderId="5" xfId="14" applyNumberFormat="1" applyFont="1" applyFill="1" applyBorder="1"/>
    <xf numFmtId="1" fontId="16" fillId="4" borderId="0" xfId="14" applyNumberFormat="1" applyFont="1" applyFill="1"/>
    <xf numFmtId="1" fontId="16" fillId="0" borderId="10" xfId="12" applyNumberFormat="1" applyBorder="1"/>
    <xf numFmtId="1" fontId="16" fillId="0" borderId="22" xfId="14" applyNumberFormat="1" applyFont="1" applyBorder="1"/>
    <xf numFmtId="0" fontId="39" fillId="0" borderId="0" xfId="12" applyFont="1" applyAlignment="1">
      <alignment horizontal="left"/>
    </xf>
    <xf numFmtId="166" fontId="16" fillId="0" borderId="0" xfId="12" applyNumberFormat="1"/>
    <xf numFmtId="166" fontId="30" fillId="0" borderId="0" xfId="12" applyNumberFormat="1" applyFont="1" applyProtection="1">
      <protection locked="0"/>
    </xf>
    <xf numFmtId="0" fontId="35" fillId="0" borderId="0" xfId="12" applyFont="1"/>
    <xf numFmtId="0" fontId="17" fillId="0" borderId="10" xfId="12" applyFont="1" applyBorder="1" applyAlignment="1">
      <alignment horizontal="center" shrinkToFit="1"/>
    </xf>
    <xf numFmtId="0" fontId="54" fillId="0" borderId="0" xfId="12" quotePrefix="1" applyFont="1" applyAlignment="1">
      <alignment horizontal="center"/>
    </xf>
    <xf numFmtId="0" fontId="59" fillId="0" borderId="0" xfId="12" applyFont="1"/>
    <xf numFmtId="170" fontId="16" fillId="0" borderId="16" xfId="12" applyNumberFormat="1" applyBorder="1"/>
    <xf numFmtId="37" fontId="49" fillId="0" borderId="0" xfId="12" applyNumberFormat="1" applyFont="1" applyAlignment="1">
      <alignment horizontal="center"/>
    </xf>
    <xf numFmtId="174" fontId="17" fillId="0" borderId="0" xfId="12" applyNumberFormat="1" applyFont="1"/>
    <xf numFmtId="0" fontId="49" fillId="0" borderId="0" xfId="12" applyFont="1" applyAlignment="1">
      <alignment horizontal="right"/>
    </xf>
    <xf numFmtId="0" fontId="26" fillId="0" borderId="0" xfId="12" quotePrefix="1" applyFont="1" applyAlignment="1">
      <alignment horizontal="right"/>
    </xf>
    <xf numFmtId="3" fontId="26" fillId="0" borderId="0" xfId="1" applyNumberFormat="1" applyFont="1"/>
    <xf numFmtId="0" fontId="61" fillId="0" borderId="0" xfId="12" applyFont="1" applyAlignment="1">
      <alignment horizontal="right"/>
    </xf>
    <xf numFmtId="3" fontId="61" fillId="0" borderId="0" xfId="1" applyNumberFormat="1" applyFont="1"/>
    <xf numFmtId="0" fontId="62" fillId="0" borderId="0" xfId="12" applyFont="1"/>
    <xf numFmtId="0" fontId="62" fillId="0" borderId="0" xfId="12" quotePrefix="1" applyFont="1"/>
    <xf numFmtId="0" fontId="49" fillId="0" borderId="0" xfId="12" quotePrefix="1" applyFont="1"/>
    <xf numFmtId="1" fontId="49" fillId="0" borderId="0" xfId="12" applyNumberFormat="1" applyFont="1"/>
    <xf numFmtId="3" fontId="49" fillId="0" borderId="0" xfId="12" applyNumberFormat="1" applyFont="1"/>
    <xf numFmtId="0" fontId="65" fillId="0" borderId="0" xfId="12" applyFont="1"/>
    <xf numFmtId="0" fontId="42" fillId="0" borderId="0" xfId="12" applyFont="1" applyAlignment="1">
      <alignment horizontal="left"/>
    </xf>
    <xf numFmtId="3" fontId="16" fillId="16" borderId="9" xfId="1" applyNumberFormat="1" applyFont="1" applyFill="1" applyBorder="1"/>
    <xf numFmtId="170" fontId="16" fillId="16" borderId="61" xfId="14" applyNumberFormat="1" applyFont="1" applyFill="1" applyBorder="1"/>
    <xf numFmtId="37" fontId="16" fillId="0" borderId="0" xfId="12" quotePrefix="1" applyNumberFormat="1" applyAlignment="1">
      <alignment horizontal="center"/>
    </xf>
    <xf numFmtId="37" fontId="16" fillId="0" borderId="14" xfId="12" applyNumberFormat="1" applyBorder="1" applyAlignment="1">
      <alignment horizontal="right"/>
    </xf>
    <xf numFmtId="37" fontId="22" fillId="0" borderId="14" xfId="12" applyNumberFormat="1" applyFont="1" applyBorder="1"/>
    <xf numFmtId="37" fontId="16" fillId="0" borderId="14" xfId="12" quotePrefix="1" applyNumberFormat="1" applyBorder="1" applyAlignment="1">
      <alignment horizontal="center"/>
    </xf>
    <xf numFmtId="0" fontId="0" fillId="36" borderId="0" xfId="0" applyFill="1"/>
    <xf numFmtId="164" fontId="16" fillId="0" borderId="98" xfId="12" applyNumberFormat="1" applyBorder="1"/>
    <xf numFmtId="167" fontId="16" fillId="0" borderId="98" xfId="12" applyNumberFormat="1" applyBorder="1"/>
    <xf numFmtId="37" fontId="22" fillId="25" borderId="0" xfId="12" applyNumberFormat="1" applyFont="1" applyFill="1" applyAlignment="1">
      <alignment horizontal="right"/>
    </xf>
    <xf numFmtId="37" fontId="16" fillId="25" borderId="0" xfId="12" applyNumberFormat="1" applyFill="1"/>
    <xf numFmtId="0" fontId="26" fillId="0" borderId="0" xfId="12" applyFont="1" applyAlignment="1">
      <alignment horizontal="right"/>
    </xf>
    <xf numFmtId="37" fontId="16" fillId="12" borderId="0" xfId="12" applyNumberFormat="1" applyFill="1"/>
    <xf numFmtId="37" fontId="22" fillId="25" borderId="0" xfId="12" quotePrefix="1" applyNumberFormat="1" applyFont="1" applyFill="1"/>
    <xf numFmtId="0" fontId="16" fillId="25" borderId="0" xfId="12" applyFill="1" applyAlignment="1">
      <alignment horizontal="right"/>
    </xf>
    <xf numFmtId="1" fontId="16" fillId="7" borderId="0" xfId="12" applyNumberFormat="1" applyFill="1"/>
    <xf numFmtId="175" fontId="16" fillId="0" borderId="99" xfId="12" applyNumberFormat="1" applyBorder="1"/>
    <xf numFmtId="0" fontId="22" fillId="7" borderId="0" xfId="12" applyFont="1" applyFill="1"/>
    <xf numFmtId="0" fontId="0" fillId="42" borderId="0" xfId="0" applyFill="1"/>
    <xf numFmtId="1" fontId="0" fillId="42" borderId="0" xfId="0" applyNumberFormat="1" applyFill="1"/>
    <xf numFmtId="0" fontId="29" fillId="0" borderId="0" xfId="3353" applyFont="1"/>
    <xf numFmtId="0" fontId="162" fillId="99" borderId="0" xfId="23116" applyFill="1" applyAlignment="1">
      <alignment wrapText="1"/>
    </xf>
    <xf numFmtId="3" fontId="15" fillId="0" borderId="0" xfId="0" applyNumberFormat="1" applyFont="1"/>
    <xf numFmtId="178" fontId="172" fillId="0" borderId="2" xfId="1" applyNumberFormat="1" applyFont="1" applyBorder="1" applyAlignment="1">
      <alignment horizontal="center"/>
    </xf>
    <xf numFmtId="37" fontId="16" fillId="0" borderId="2" xfId="12" applyNumberFormat="1" applyBorder="1"/>
    <xf numFmtId="37" fontId="16" fillId="0" borderId="0" xfId="12" quotePrefix="1" applyNumberFormat="1"/>
    <xf numFmtId="0" fontId="173" fillId="0" borderId="0" xfId="12" applyFont="1"/>
    <xf numFmtId="0" fontId="16" fillId="16" borderId="0" xfId="12" applyFill="1"/>
    <xf numFmtId="178" fontId="0" fillId="0" borderId="0" xfId="0" applyNumberFormat="1" applyAlignment="1">
      <alignment horizontal="right"/>
    </xf>
    <xf numFmtId="9" fontId="22" fillId="0" borderId="0" xfId="12" applyNumberFormat="1" applyFont="1"/>
    <xf numFmtId="170" fontId="16" fillId="0" borderId="14" xfId="14" applyNumberFormat="1" applyFont="1" applyBorder="1"/>
    <xf numFmtId="175" fontId="16" fillId="27" borderId="0" xfId="12" applyNumberFormat="1" applyFill="1" applyAlignment="1">
      <alignment horizontal="right"/>
    </xf>
    <xf numFmtId="1" fontId="16" fillId="27" borderId="0" xfId="12" applyNumberFormat="1" applyFill="1" applyAlignment="1">
      <alignment horizontal="right"/>
    </xf>
    <xf numFmtId="0" fontId="4" fillId="0" borderId="0" xfId="23330" applyAlignment="1">
      <alignment wrapText="1"/>
    </xf>
    <xf numFmtId="0" fontId="4" fillId="0" borderId="0" xfId="23330"/>
    <xf numFmtId="14" fontId="130" fillId="0" borderId="0" xfId="23330" applyNumberFormat="1" applyFont="1" applyAlignment="1">
      <alignment horizontal="center"/>
    </xf>
    <xf numFmtId="14" fontId="4" fillId="0" borderId="0" xfId="23330" applyNumberFormat="1" applyAlignment="1">
      <alignment horizontal="center"/>
    </xf>
    <xf numFmtId="0" fontId="4" fillId="0" borderId="63" xfId="23330" applyBorder="1"/>
    <xf numFmtId="14" fontId="130" fillId="0" borderId="0" xfId="23330" applyNumberFormat="1" applyFont="1"/>
    <xf numFmtId="0" fontId="129" fillId="0" borderId="0" xfId="23330" applyFont="1"/>
    <xf numFmtId="14" fontId="130" fillId="0" borderId="0" xfId="23330" applyNumberFormat="1" applyFont="1" applyAlignment="1">
      <alignment horizontal="right"/>
    </xf>
    <xf numFmtId="14" fontId="4" fillId="0" borderId="0" xfId="23330" applyNumberFormat="1" applyAlignment="1">
      <alignment horizontal="right"/>
    </xf>
    <xf numFmtId="14" fontId="4" fillId="0" borderId="0" xfId="23330" applyNumberFormat="1" applyAlignment="1">
      <alignment horizontal="center" wrapText="1"/>
    </xf>
    <xf numFmtId="175" fontId="16" fillId="96" borderId="0" xfId="12" applyNumberFormat="1" applyFill="1"/>
    <xf numFmtId="0" fontId="110" fillId="0" borderId="0" xfId="12" applyFont="1"/>
    <xf numFmtId="0" fontId="108" fillId="0" borderId="0" xfId="12" applyFont="1"/>
    <xf numFmtId="0" fontId="111" fillId="0" borderId="0" xfId="12" applyFont="1" applyAlignment="1">
      <alignment horizontal="left"/>
    </xf>
    <xf numFmtId="166" fontId="26" fillId="0" borderId="0" xfId="12" applyNumberFormat="1" applyFont="1" applyAlignment="1" applyProtection="1">
      <alignment horizontal="center"/>
      <protection locked="0"/>
    </xf>
    <xf numFmtId="1" fontId="26" fillId="0" borderId="0" xfId="12" applyNumberFormat="1" applyFont="1" applyAlignment="1">
      <alignment horizontal="center"/>
    </xf>
    <xf numFmtId="0" fontId="108" fillId="0" borderId="0" xfId="12" applyFont="1" applyAlignment="1">
      <alignment horizontal="center"/>
    </xf>
    <xf numFmtId="0" fontId="110" fillId="0" borderId="0" xfId="12" applyFont="1" applyAlignment="1">
      <alignment horizontal="left"/>
    </xf>
    <xf numFmtId="0" fontId="108" fillId="0" borderId="0" xfId="12" applyFont="1" applyAlignment="1">
      <alignment horizontal="right" wrapText="1"/>
    </xf>
    <xf numFmtId="174" fontId="108" fillId="0" borderId="0" xfId="12" applyNumberFormat="1" applyFont="1" applyAlignment="1">
      <alignment horizontal="center"/>
    </xf>
    <xf numFmtId="174" fontId="26" fillId="0" borderId="0" xfId="12" applyNumberFormat="1" applyFont="1"/>
    <xf numFmtId="14" fontId="15" fillId="0" borderId="0" xfId="0" applyNumberFormat="1" applyFont="1"/>
    <xf numFmtId="175" fontId="16" fillId="0" borderId="0" xfId="12" applyNumberFormat="1" applyAlignment="1">
      <alignment horizontal="right"/>
    </xf>
    <xf numFmtId="0" fontId="16" fillId="0" borderId="17" xfId="12" applyBorder="1" applyAlignment="1">
      <alignment horizontal="right"/>
    </xf>
    <xf numFmtId="175" fontId="16" fillId="100" borderId="0" xfId="12" applyNumberFormat="1" applyFill="1" applyAlignment="1">
      <alignment horizontal="right"/>
    </xf>
    <xf numFmtId="0" fontId="16" fillId="100" borderId="0" xfId="12" applyFill="1" applyAlignment="1">
      <alignment horizontal="right"/>
    </xf>
    <xf numFmtId="170" fontId="0" fillId="101" borderId="0" xfId="0" applyNumberFormat="1" applyFill="1"/>
    <xf numFmtId="170" fontId="16" fillId="23" borderId="2" xfId="12" applyNumberFormat="1" applyFill="1" applyBorder="1" applyAlignment="1">
      <alignment horizontal="right"/>
    </xf>
    <xf numFmtId="0" fontId="15" fillId="27" borderId="9" xfId="91" applyFill="1" applyBorder="1"/>
    <xf numFmtId="0" fontId="15" fillId="27" borderId="6" xfId="91" applyFill="1" applyBorder="1"/>
    <xf numFmtId="0" fontId="29" fillId="27" borderId="6" xfId="91" applyFont="1" applyFill="1" applyBorder="1" applyAlignment="1">
      <alignment horizontal="center"/>
    </xf>
    <xf numFmtId="0" fontId="29" fillId="27" borderId="7" xfId="91" applyFont="1" applyFill="1" applyBorder="1" applyAlignment="1">
      <alignment horizontal="center"/>
    </xf>
    <xf numFmtId="0" fontId="29" fillId="27" borderId="19" xfId="91" applyFont="1" applyFill="1" applyBorder="1" applyAlignment="1">
      <alignment horizontal="center"/>
    </xf>
    <xf numFmtId="0" fontId="15" fillId="27" borderId="7" xfId="91" applyFill="1" applyBorder="1"/>
    <xf numFmtId="0" fontId="15" fillId="27" borderId="19" xfId="91" applyFill="1" applyBorder="1"/>
    <xf numFmtId="0" fontId="0" fillId="0" borderId="0" xfId="0" applyAlignment="1">
      <alignment horizontal="right" indent="1"/>
    </xf>
    <xf numFmtId="0" fontId="2" fillId="0" borderId="0" xfId="23330" applyFont="1"/>
    <xf numFmtId="14" fontId="4" fillId="0" borderId="0" xfId="23330" applyNumberFormat="1"/>
    <xf numFmtId="0" fontId="2" fillId="0" borderId="0" xfId="23330" applyFont="1" applyAlignment="1">
      <alignment wrapText="1"/>
    </xf>
    <xf numFmtId="0" fontId="114" fillId="0" borderId="0" xfId="30" applyAlignment="1">
      <alignment horizontal="left"/>
    </xf>
    <xf numFmtId="14" fontId="2" fillId="0" borderId="0" xfId="23330" applyNumberFormat="1" applyFont="1" applyAlignment="1">
      <alignment horizontal="right" wrapText="1"/>
    </xf>
    <xf numFmtId="178" fontId="52" fillId="27" borderId="14" xfId="19" quotePrefix="1" applyNumberFormat="1" applyFill="1" applyBorder="1"/>
    <xf numFmtId="3" fontId="52" fillId="102" borderId="0" xfId="0" applyNumberFormat="1" applyFont="1" applyFill="1"/>
    <xf numFmtId="178" fontId="52" fillId="42" borderId="14" xfId="19" quotePrefix="1" applyNumberFormat="1" applyFill="1" applyBorder="1"/>
    <xf numFmtId="3" fontId="52" fillId="103" borderId="0" xfId="0" applyNumberFormat="1" applyFont="1" applyFill="1"/>
    <xf numFmtId="178" fontId="52" fillId="99" borderId="14" xfId="19" quotePrefix="1" applyNumberFormat="1" applyFill="1" applyBorder="1"/>
    <xf numFmtId="3" fontId="52" fillId="105" borderId="14" xfId="0" applyNumberFormat="1" applyFont="1" applyFill="1" applyBorder="1" applyAlignment="1">
      <alignment horizontal="center"/>
    </xf>
    <xf numFmtId="3" fontId="52" fillId="96" borderId="14" xfId="0" applyNumberFormat="1" applyFont="1" applyFill="1" applyBorder="1" applyAlignment="1">
      <alignment horizontal="center"/>
    </xf>
    <xf numFmtId="178" fontId="52" fillId="21" borderId="14" xfId="19" quotePrefix="1" applyNumberFormat="1" applyFill="1" applyBorder="1"/>
    <xf numFmtId="0" fontId="2" fillId="0" borderId="0" xfId="23617"/>
    <xf numFmtId="0" fontId="2" fillId="0" borderId="0" xfId="23617" applyAlignment="1">
      <alignment wrapText="1"/>
    </xf>
    <xf numFmtId="0" fontId="129" fillId="0" borderId="0" xfId="23617" applyFont="1"/>
    <xf numFmtId="0" fontId="129" fillId="0" borderId="0" xfId="23617" applyFont="1" applyAlignment="1">
      <alignment wrapText="1"/>
    </xf>
    <xf numFmtId="0" fontId="15" fillId="40" borderId="0" xfId="3353" applyFill="1"/>
    <xf numFmtId="0" fontId="129" fillId="42" borderId="0" xfId="23617" applyFont="1" applyFill="1"/>
    <xf numFmtId="0" fontId="2" fillId="0" borderId="0" xfId="23617" applyAlignment="1">
      <alignment horizontal="right"/>
    </xf>
    <xf numFmtId="0" fontId="15" fillId="0" borderId="0" xfId="23618"/>
    <xf numFmtId="0" fontId="2" fillId="16" borderId="0" xfId="23617" applyFill="1" applyAlignment="1">
      <alignment horizontal="right"/>
    </xf>
    <xf numFmtId="0" fontId="2" fillId="0" borderId="13" xfId="23617" applyBorder="1"/>
    <xf numFmtId="0" fontId="95" fillId="40" borderId="0" xfId="23617" applyFont="1" applyFill="1"/>
    <xf numFmtId="0" fontId="0" fillId="40" borderId="0" xfId="3353" applyFont="1" applyFill="1" applyAlignment="1">
      <alignment wrapText="1"/>
    </xf>
    <xf numFmtId="0" fontId="95" fillId="40" borderId="0" xfId="23617" applyFont="1" applyFill="1" applyAlignment="1">
      <alignment wrapText="1"/>
    </xf>
    <xf numFmtId="0" fontId="2" fillId="0" borderId="62" xfId="23617" applyBorder="1"/>
    <xf numFmtId="0" fontId="2" fillId="25" borderId="0" xfId="23617" applyFill="1"/>
    <xf numFmtId="0" fontId="15" fillId="40" borderId="0" xfId="3353" applyFill="1" applyAlignment="1">
      <alignment wrapText="1"/>
    </xf>
    <xf numFmtId="0" fontId="15" fillId="0" borderId="0" xfId="3353" applyAlignment="1">
      <alignment wrapText="1"/>
    </xf>
    <xf numFmtId="0" fontId="2" fillId="16" borderId="0" xfId="23617" applyFill="1"/>
    <xf numFmtId="0" fontId="130" fillId="0" borderId="0" xfId="23330" applyFont="1" applyAlignment="1">
      <alignment wrapText="1"/>
    </xf>
    <xf numFmtId="9" fontId="46" fillId="0" borderId="0" xfId="0" applyNumberFormat="1" applyFont="1"/>
    <xf numFmtId="14" fontId="2" fillId="0" borderId="0" xfId="23330" applyNumberFormat="1" applyFont="1" applyAlignment="1">
      <alignment horizontal="center"/>
    </xf>
    <xf numFmtId="1" fontId="16" fillId="38" borderId="25" xfId="12" applyNumberFormat="1" applyFill="1" applyBorder="1" applyProtection="1">
      <protection locked="0"/>
    </xf>
    <xf numFmtId="177" fontId="17" fillId="38" borderId="25" xfId="12" applyNumberFormat="1" applyFont="1" applyFill="1" applyBorder="1"/>
    <xf numFmtId="0" fontId="17" fillId="18" borderId="9" xfId="12" applyFont="1" applyFill="1" applyBorder="1" applyAlignment="1">
      <alignment horizontal="center"/>
    </xf>
    <xf numFmtId="0" fontId="16" fillId="18" borderId="0" xfId="12" applyFill="1"/>
    <xf numFmtId="0" fontId="16" fillId="18" borderId="17" xfId="12" applyFill="1" applyBorder="1"/>
    <xf numFmtId="0" fontId="16" fillId="18" borderId="9" xfId="12" applyFill="1" applyBorder="1"/>
    <xf numFmtId="0" fontId="16" fillId="18" borderId="14" xfId="12" applyFill="1" applyBorder="1"/>
    <xf numFmtId="0" fontId="16" fillId="18" borderId="15" xfId="12" applyFill="1" applyBorder="1"/>
    <xf numFmtId="174" fontId="16" fillId="18" borderId="9" xfId="12" applyNumberFormat="1" applyFill="1" applyBorder="1" applyAlignment="1">
      <alignment horizontal="center"/>
    </xf>
    <xf numFmtId="174" fontId="17" fillId="18" borderId="9" xfId="12" applyNumberFormat="1" applyFont="1" applyFill="1" applyBorder="1" applyAlignment="1">
      <alignment horizontal="center"/>
    </xf>
    <xf numFmtId="177" fontId="17" fillId="18" borderId="9" xfId="12" applyNumberFormat="1" applyFont="1" applyFill="1" applyBorder="1" applyAlignment="1">
      <alignment horizontal="center"/>
    </xf>
    <xf numFmtId="177" fontId="17" fillId="18" borderId="14" xfId="12" applyNumberFormat="1" applyFont="1" applyFill="1" applyBorder="1" applyAlignment="1">
      <alignment horizontal="right"/>
    </xf>
    <xf numFmtId="177" fontId="17" fillId="18" borderId="15" xfId="12" applyNumberFormat="1" applyFont="1" applyFill="1" applyBorder="1" applyAlignment="1">
      <alignment horizontal="right"/>
    </xf>
    <xf numFmtId="177" fontId="17" fillId="18" borderId="0" xfId="12" applyNumberFormat="1" applyFont="1" applyFill="1"/>
    <xf numFmtId="1" fontId="16" fillId="38" borderId="0" xfId="12" applyNumberFormat="1" applyFill="1" applyProtection="1">
      <protection locked="0"/>
    </xf>
    <xf numFmtId="0" fontId="16" fillId="27" borderId="25" xfId="12" applyFill="1" applyBorder="1"/>
    <xf numFmtId="0" fontId="175" fillId="0" borderId="0" xfId="59" applyFont="1"/>
    <xf numFmtId="0" fontId="4" fillId="0" borderId="103" xfId="23330" applyBorder="1"/>
    <xf numFmtId="37" fontId="131" fillId="0" borderId="2" xfId="12" applyNumberFormat="1" applyFont="1" applyBorder="1" applyAlignment="1">
      <alignment horizontal="right" indent="1"/>
    </xf>
    <xf numFmtId="0" fontId="131" fillId="0" borderId="2" xfId="12" applyFont="1" applyBorder="1" applyAlignment="1">
      <alignment horizontal="right" indent="1"/>
    </xf>
    <xf numFmtId="0" fontId="15" fillId="0" borderId="0" xfId="28" quotePrefix="1" applyFont="1"/>
    <xf numFmtId="0" fontId="15" fillId="0" borderId="0" xfId="28" applyFont="1"/>
    <xf numFmtId="0" fontId="129" fillId="0" borderId="103" xfId="23330" applyFont="1" applyBorder="1"/>
    <xf numFmtId="0" fontId="4" fillId="0" borderId="104" xfId="23330" applyBorder="1"/>
    <xf numFmtId="0" fontId="4" fillId="27" borderId="104" xfId="23330" applyFill="1" applyBorder="1"/>
    <xf numFmtId="0" fontId="131" fillId="0" borderId="0" xfId="12" applyFont="1"/>
    <xf numFmtId="0" fontId="131" fillId="0" borderId="0" xfId="12" applyFont="1" applyAlignment="1">
      <alignment horizontal="right"/>
    </xf>
    <xf numFmtId="37" fontId="131" fillId="0" borderId="0" xfId="12" applyNumberFormat="1" applyFont="1" applyProtection="1">
      <protection locked="0"/>
    </xf>
    <xf numFmtId="0" fontId="177" fillId="0" borderId="0" xfId="12" applyFont="1"/>
    <xf numFmtId="37" fontId="131" fillId="0" borderId="0" xfId="12" applyNumberFormat="1" applyFont="1"/>
    <xf numFmtId="37" fontId="131" fillId="25" borderId="0" xfId="12" applyNumberFormat="1" applyFont="1" applyFill="1"/>
    <xf numFmtId="3" fontId="131" fillId="0" borderId="0" xfId="12" applyNumberFormat="1" applyFont="1"/>
    <xf numFmtId="3" fontId="131" fillId="0" borderId="0" xfId="12" quotePrefix="1" applyNumberFormat="1" applyFont="1"/>
    <xf numFmtId="0" fontId="131" fillId="0" borderId="0" xfId="12" applyFont="1" applyAlignment="1">
      <alignment vertical="center"/>
    </xf>
    <xf numFmtId="0" fontId="16" fillId="0" borderId="0" xfId="28" quotePrefix="1"/>
    <xf numFmtId="0" fontId="16" fillId="0" borderId="0" xfId="28"/>
    <xf numFmtId="0" fontId="16" fillId="0" borderId="0" xfId="28" applyAlignment="1">
      <alignment vertical="top"/>
    </xf>
    <xf numFmtId="0" fontId="16" fillId="0" borderId="0" xfId="12" applyAlignment="1">
      <alignment horizontal="center"/>
    </xf>
    <xf numFmtId="37" fontId="131" fillId="0" borderId="0" xfId="12" applyNumberFormat="1" applyFont="1" applyAlignment="1">
      <alignment horizontal="center"/>
    </xf>
    <xf numFmtId="0" fontId="131" fillId="0" borderId="0" xfId="12" applyFont="1" applyAlignment="1">
      <alignment horizontal="center"/>
    </xf>
    <xf numFmtId="0" fontId="131" fillId="0" borderId="0" xfId="12" applyFont="1" applyAlignment="1">
      <alignment horizontal="fill"/>
    </xf>
    <xf numFmtId="178" fontId="131" fillId="0" borderId="0" xfId="1" applyNumberFormat="1" applyFont="1" applyBorder="1" applyAlignment="1">
      <alignment horizontal="center"/>
    </xf>
    <xf numFmtId="178" fontId="172" fillId="0" borderId="0" xfId="1" applyNumberFormat="1" applyFont="1" applyBorder="1" applyAlignment="1">
      <alignment horizontal="center"/>
    </xf>
    <xf numFmtId="37" fontId="131" fillId="0" borderId="0" xfId="12" applyNumberFormat="1" applyFont="1" applyAlignment="1">
      <alignment horizontal="right" indent="1"/>
    </xf>
    <xf numFmtId="0" fontId="131" fillId="0" borderId="0" xfId="12" applyFont="1" applyAlignment="1">
      <alignment horizontal="right" indent="1"/>
    </xf>
    <xf numFmtId="170" fontId="131" fillId="0" borderId="0" xfId="14" applyNumberFormat="1" applyFont="1" applyBorder="1" applyAlignment="1">
      <alignment horizontal="center"/>
    </xf>
    <xf numFmtId="170" fontId="131" fillId="0" borderId="0" xfId="14" applyNumberFormat="1" applyFont="1" applyBorder="1" applyAlignment="1">
      <alignment horizontal="fill"/>
    </xf>
    <xf numFmtId="170" fontId="131" fillId="0" borderId="0" xfId="12" applyNumberFormat="1" applyFont="1" applyAlignment="1">
      <alignment horizontal="fill"/>
    </xf>
    <xf numFmtId="170" fontId="131" fillId="0" borderId="0" xfId="12" quotePrefix="1" applyNumberFormat="1" applyFont="1" applyAlignment="1">
      <alignment horizontal="center"/>
    </xf>
    <xf numFmtId="170" fontId="131" fillId="0" borderId="0" xfId="14" quotePrefix="1" applyNumberFormat="1" applyFont="1" applyBorder="1" applyAlignment="1">
      <alignment horizontal="center"/>
    </xf>
    <xf numFmtId="170" fontId="16" fillId="0" borderId="0" xfId="12" applyNumberFormat="1" applyAlignment="1">
      <alignment horizontal="right"/>
    </xf>
    <xf numFmtId="10" fontId="16" fillId="0" borderId="0" xfId="12" quotePrefix="1" applyNumberFormat="1" applyAlignment="1">
      <alignment horizontal="right"/>
    </xf>
    <xf numFmtId="170" fontId="17" fillId="0" borderId="0" xfId="12" quotePrefix="1" applyNumberFormat="1" applyFont="1" applyAlignment="1">
      <alignment horizontal="right"/>
    </xf>
    <xf numFmtId="10" fontId="16" fillId="0" borderId="0" xfId="12" applyNumberFormat="1" applyAlignment="1">
      <alignment horizontal="right"/>
    </xf>
    <xf numFmtId="170" fontId="17" fillId="0" borderId="0" xfId="14" applyNumberFormat="1" applyFont="1" applyBorder="1"/>
    <xf numFmtId="10" fontId="16" fillId="0" borderId="0" xfId="14" applyNumberFormat="1" applyFont="1" applyBorder="1"/>
    <xf numFmtId="0" fontId="17" fillId="0" borderId="7" xfId="12" applyFont="1" applyBorder="1" applyAlignment="1">
      <alignment horizontal="right"/>
    </xf>
    <xf numFmtId="0" fontId="16" fillId="0" borderId="0" xfId="12" quotePrefix="1" applyAlignment="1">
      <alignment horizontal="left" indent="1"/>
    </xf>
    <xf numFmtId="0" fontId="125" fillId="0" borderId="0" xfId="12" quotePrefix="1" applyFont="1" applyAlignment="1">
      <alignment horizontal="left" indent="1"/>
    </xf>
    <xf numFmtId="0" fontId="131" fillId="0" borderId="15" xfId="12" applyFont="1" applyBorder="1" applyAlignment="1">
      <alignment horizontal="center"/>
    </xf>
    <xf numFmtId="37" fontId="131" fillId="0" borderId="15" xfId="12" applyNumberFormat="1" applyFont="1" applyBorder="1" applyAlignment="1">
      <alignment horizontal="center"/>
    </xf>
    <xf numFmtId="0" fontId="131" fillId="0" borderId="15" xfId="12" applyFont="1" applyBorder="1" applyAlignment="1">
      <alignment horizontal="fill"/>
    </xf>
    <xf numFmtId="170" fontId="131" fillId="0" borderId="15" xfId="12" applyNumberFormat="1" applyFont="1" applyBorder="1" applyAlignment="1">
      <alignment horizontal="center"/>
    </xf>
    <xf numFmtId="170" fontId="131" fillId="0" borderId="106" xfId="12" applyNumberFormat="1" applyFont="1" applyBorder="1" applyAlignment="1">
      <alignment horizontal="center"/>
    </xf>
    <xf numFmtId="170" fontId="132" fillId="0" borderId="53" xfId="12" applyNumberFormat="1" applyFont="1" applyBorder="1" applyAlignment="1">
      <alignment horizontal="center"/>
    </xf>
    <xf numFmtId="0" fontId="16" fillId="0" borderId="15" xfId="12" applyBorder="1" applyAlignment="1">
      <alignment horizontal="center"/>
    </xf>
    <xf numFmtId="175" fontId="15" fillId="0" borderId="0" xfId="0" applyNumberFormat="1" applyFont="1"/>
    <xf numFmtId="37" fontId="131" fillId="0" borderId="15" xfId="12" applyNumberFormat="1" applyFont="1" applyBorder="1" applyAlignment="1">
      <alignment horizontal="right"/>
    </xf>
    <xf numFmtId="170" fontId="131" fillId="0" borderId="15" xfId="12" quotePrefix="1" applyNumberFormat="1" applyFont="1" applyBorder="1" applyAlignment="1">
      <alignment horizontal="center"/>
    </xf>
    <xf numFmtId="0" fontId="0" fillId="16" borderId="0" xfId="0" applyFill="1"/>
    <xf numFmtId="170" fontId="131" fillId="0" borderId="0" xfId="14" applyNumberFormat="1" applyFont="1" applyFill="1" applyBorder="1" applyAlignment="1">
      <alignment horizontal="center"/>
    </xf>
    <xf numFmtId="0" fontId="162" fillId="96" borderId="0" xfId="23117" applyFill="1" applyAlignment="1">
      <alignment wrapText="1"/>
    </xf>
    <xf numFmtId="0" fontId="0" fillId="96" borderId="0" xfId="0" applyFill="1"/>
    <xf numFmtId="178" fontId="131" fillId="0" borderId="0" xfId="12" applyNumberFormat="1" applyFont="1" applyAlignment="1">
      <alignment horizontal="center"/>
    </xf>
    <xf numFmtId="2" fontId="131" fillId="0" borderId="0" xfId="14" applyNumberFormat="1" applyFont="1" applyBorder="1" applyAlignment="1">
      <alignment horizontal="center"/>
    </xf>
    <xf numFmtId="178" fontId="131" fillId="0" borderId="0" xfId="1" applyNumberFormat="1" applyFont="1" applyFill="1" applyBorder="1" applyAlignment="1">
      <alignment horizontal="center"/>
    </xf>
    <xf numFmtId="170" fontId="131" fillId="0" borderId="0" xfId="12" applyNumberFormat="1" applyFont="1" applyAlignment="1">
      <alignment horizontal="center"/>
    </xf>
    <xf numFmtId="170" fontId="131" fillId="0" borderId="0" xfId="14" quotePrefix="1" applyNumberFormat="1" applyFont="1" applyFill="1" applyBorder="1" applyAlignment="1">
      <alignment horizontal="center"/>
    </xf>
    <xf numFmtId="170" fontId="131" fillId="0" borderId="0" xfId="14" applyNumberFormat="1" applyFont="1" applyFill="1" applyBorder="1" applyAlignment="1">
      <alignment horizontal="fill"/>
    </xf>
    <xf numFmtId="170" fontId="131" fillId="0" borderId="5" xfId="14" applyNumberFormat="1" applyFont="1" applyFill="1" applyBorder="1" applyAlignment="1">
      <alignment horizontal="center"/>
    </xf>
    <xf numFmtId="2" fontId="131" fillId="0" borderId="0" xfId="14" applyNumberFormat="1" applyFont="1" applyFill="1" applyBorder="1" applyAlignment="1">
      <alignment horizontal="center"/>
    </xf>
    <xf numFmtId="37" fontId="16" fillId="0" borderId="0" xfId="12" applyNumberFormat="1" applyAlignment="1">
      <alignment horizontal="center"/>
    </xf>
    <xf numFmtId="37" fontId="16" fillId="41" borderId="14" xfId="12" applyNumberFormat="1" applyFill="1" applyBorder="1" applyAlignment="1">
      <alignment horizontal="right"/>
    </xf>
    <xf numFmtId="170" fontId="16" fillId="23" borderId="105" xfId="12" applyNumberFormat="1" applyFill="1" applyBorder="1" applyAlignment="1">
      <alignment horizontal="right"/>
    </xf>
    <xf numFmtId="170" fontId="16" fillId="0" borderId="2" xfId="12" applyNumberFormat="1" applyBorder="1" applyAlignment="1">
      <alignment horizontal="right"/>
    </xf>
    <xf numFmtId="9" fontId="16" fillId="41" borderId="14" xfId="12" applyNumberFormat="1" applyFill="1" applyBorder="1"/>
    <xf numFmtId="9" fontId="16" fillId="41" borderId="2" xfId="12" quotePrefix="1" applyNumberFormat="1" applyFill="1" applyBorder="1" applyAlignment="1">
      <alignment horizontal="right" wrapText="1"/>
    </xf>
    <xf numFmtId="9" fontId="70" fillId="41" borderId="14" xfId="12" quotePrefix="1" applyNumberFormat="1" applyFont="1" applyFill="1" applyBorder="1" applyAlignment="1">
      <alignment horizontal="right"/>
    </xf>
    <xf numFmtId="9" fontId="16" fillId="41" borderId="2" xfId="12" applyNumberFormat="1" applyFill="1" applyBorder="1" applyAlignment="1">
      <alignment horizontal="right"/>
    </xf>
    <xf numFmtId="9" fontId="70" fillId="41" borderId="2" xfId="14" quotePrefix="1" applyFont="1" applyFill="1" applyBorder="1" applyAlignment="1">
      <alignment horizontal="right"/>
    </xf>
    <xf numFmtId="9" fontId="16" fillId="0" borderId="2" xfId="12" applyNumberFormat="1" applyBorder="1" applyAlignment="1">
      <alignment horizontal="right"/>
    </xf>
    <xf numFmtId="9" fontId="16" fillId="23" borderId="0" xfId="12" applyNumberFormat="1" applyFill="1"/>
    <xf numFmtId="37" fontId="16" fillId="0" borderId="0" xfId="12" applyNumberFormat="1" applyAlignment="1">
      <alignment wrapText="1"/>
    </xf>
    <xf numFmtId="0" fontId="16" fillId="0" borderId="0" xfId="1" applyNumberFormat="1" applyFont="1"/>
    <xf numFmtId="170" fontId="16" fillId="23" borderId="14" xfId="12" applyNumberFormat="1" applyFill="1" applyBorder="1" applyAlignment="1">
      <alignment horizontal="right"/>
    </xf>
    <xf numFmtId="0" fontId="16" fillId="0" borderId="0" xfId="12" applyAlignment="1">
      <alignment horizontal="fill" wrapText="1"/>
    </xf>
    <xf numFmtId="178" fontId="53" fillId="0" borderId="0" xfId="19" applyNumberFormat="1" applyFont="1" applyFill="1"/>
    <xf numFmtId="9" fontId="53" fillId="0" borderId="25" xfId="20" applyFont="1" applyFill="1" applyBorder="1"/>
    <xf numFmtId="170" fontId="16" fillId="0" borderId="0" xfId="14" applyNumberFormat="1" applyFont="1" applyBorder="1" applyAlignment="1">
      <alignment horizontal="center"/>
    </xf>
    <xf numFmtId="170" fontId="16" fillId="0" borderId="9" xfId="14" applyNumberFormat="1" applyFont="1" applyBorder="1" applyAlignment="1">
      <alignment horizontal="center"/>
    </xf>
    <xf numFmtId="184" fontId="16" fillId="0" borderId="9" xfId="14" applyNumberFormat="1" applyFont="1" applyBorder="1" applyAlignment="1">
      <alignment horizontal="center"/>
    </xf>
    <xf numFmtId="170" fontId="16" fillId="0" borderId="61" xfId="14" applyNumberFormat="1" applyFont="1" applyBorder="1" applyAlignment="1">
      <alignment horizontal="center"/>
    </xf>
    <xf numFmtId="0" fontId="0" fillId="0" borderId="19" xfId="0" applyBorder="1"/>
    <xf numFmtId="170" fontId="16" fillId="19" borderId="26" xfId="0" applyNumberFormat="1" applyFont="1" applyFill="1" applyBorder="1" applyAlignment="1">
      <alignment horizontal="center"/>
    </xf>
    <xf numFmtId="170" fontId="16" fillId="0" borderId="107" xfId="14" applyNumberFormat="1" applyFont="1" applyBorder="1" applyAlignment="1">
      <alignment horizontal="center"/>
    </xf>
    <xf numFmtId="0" fontId="178" fillId="0" borderId="8" xfId="0" applyFont="1" applyBorder="1"/>
    <xf numFmtId="0" fontId="178" fillId="0" borderId="9" xfId="0" applyFont="1" applyBorder="1"/>
    <xf numFmtId="0" fontId="178" fillId="0" borderId="32" xfId="0" applyFont="1" applyBorder="1"/>
    <xf numFmtId="0" fontId="178" fillId="0" borderId="9" xfId="0" applyFont="1" applyBorder="1" applyAlignment="1">
      <alignment horizontal="center"/>
    </xf>
    <xf numFmtId="0" fontId="178" fillId="0" borderId="32" xfId="0" applyFont="1" applyBorder="1" applyAlignment="1">
      <alignment horizontal="center"/>
    </xf>
    <xf numFmtId="0" fontId="59" fillId="0" borderId="9" xfId="0" applyFont="1" applyBorder="1"/>
    <xf numFmtId="176" fontId="59" fillId="0" borderId="32" xfId="0" applyNumberFormat="1" applyFont="1" applyBorder="1" applyAlignment="1">
      <alignment horizontal="center"/>
    </xf>
    <xf numFmtId="0" fontId="59" fillId="0" borderId="32" xfId="0" applyFont="1" applyBorder="1"/>
    <xf numFmtId="0" fontId="59" fillId="0" borderId="32" xfId="0" applyFont="1" applyBorder="1" applyAlignment="1">
      <alignment horizontal="center"/>
    </xf>
    <xf numFmtId="170" fontId="59" fillId="0" borderId="32" xfId="0" applyNumberFormat="1" applyFont="1" applyBorder="1" applyAlignment="1">
      <alignment horizontal="center"/>
    </xf>
    <xf numFmtId="9" fontId="59" fillId="0" borderId="32" xfId="0" applyNumberFormat="1" applyFont="1" applyBorder="1" applyAlignment="1">
      <alignment horizontal="center"/>
    </xf>
    <xf numFmtId="170" fontId="59" fillId="0" borderId="32" xfId="14" applyNumberFormat="1" applyFont="1" applyFill="1" applyBorder="1" applyAlignment="1">
      <alignment horizontal="center" wrapText="1"/>
    </xf>
    <xf numFmtId="170" fontId="59" fillId="0" borderId="33" xfId="0" applyNumberFormat="1" applyFont="1" applyBorder="1" applyAlignment="1">
      <alignment horizontal="center"/>
    </xf>
    <xf numFmtId="0" fontId="15" fillId="27" borderId="5" xfId="23" applyFill="1" applyBorder="1"/>
    <xf numFmtId="0" fontId="15" fillId="27" borderId="16" xfId="23" applyFill="1" applyBorder="1"/>
    <xf numFmtId="0" fontId="15" fillId="27" borderId="9" xfId="23" applyFill="1" applyBorder="1"/>
    <xf numFmtId="0" fontId="17" fillId="16" borderId="0" xfId="0" applyFont="1" applyFill="1" applyProtection="1">
      <protection locked="0"/>
    </xf>
    <xf numFmtId="0" fontId="16" fillId="16" borderId="0" xfId="0" applyFont="1" applyFill="1" applyProtection="1">
      <protection locked="0"/>
    </xf>
    <xf numFmtId="0" fontId="15" fillId="27" borderId="9" xfId="23" applyFill="1" applyBorder="1" applyAlignment="1">
      <alignment wrapText="1"/>
    </xf>
    <xf numFmtId="10" fontId="16" fillId="0" borderId="42" xfId="0" applyNumberFormat="1" applyFont="1" applyBorder="1" applyProtection="1">
      <protection locked="0"/>
    </xf>
    <xf numFmtId="10" fontId="16" fillId="0" borderId="45" xfId="0" applyNumberFormat="1" applyFont="1" applyBorder="1" applyProtection="1">
      <protection locked="0"/>
    </xf>
    <xf numFmtId="10" fontId="16" fillId="0" borderId="47" xfId="0" applyNumberFormat="1" applyFont="1" applyBorder="1" applyProtection="1">
      <protection locked="0"/>
    </xf>
    <xf numFmtId="0" fontId="15" fillId="27" borderId="0" xfId="91" applyFill="1"/>
    <xf numFmtId="0" fontId="15" fillId="27" borderId="8" xfId="91" applyFill="1" applyBorder="1"/>
    <xf numFmtId="1" fontId="15" fillId="27" borderId="9" xfId="91" applyNumberFormat="1" applyFill="1" applyBorder="1"/>
    <xf numFmtId="1" fontId="15" fillId="27" borderId="0" xfId="91" applyNumberFormat="1" applyFill="1"/>
    <xf numFmtId="3" fontId="15" fillId="27" borderId="0" xfId="91" applyNumberFormat="1" applyFill="1"/>
    <xf numFmtId="1" fontId="15" fillId="27" borderId="6" xfId="91" applyNumberFormat="1" applyFill="1" applyBorder="1"/>
    <xf numFmtId="1" fontId="15" fillId="27" borderId="7" xfId="91" applyNumberFormat="1" applyFill="1" applyBorder="1"/>
    <xf numFmtId="1" fontId="15" fillId="27" borderId="19" xfId="91" applyNumberFormat="1" applyFill="1" applyBorder="1"/>
    <xf numFmtId="37" fontId="16" fillId="20" borderId="0" xfId="12" applyNumberFormat="1" applyFill="1"/>
    <xf numFmtId="0" fontId="16" fillId="20" borderId="0" xfId="12" applyFill="1"/>
    <xf numFmtId="37" fontId="16" fillId="20" borderId="0" xfId="12" applyNumberFormat="1" applyFill="1" applyAlignment="1">
      <alignment horizontal="right"/>
    </xf>
    <xf numFmtId="0" fontId="15" fillId="0" borderId="0" xfId="12" quotePrefix="1" applyFont="1" applyAlignment="1">
      <alignment wrapText="1"/>
    </xf>
    <xf numFmtId="0" fontId="0" fillId="0" borderId="0" xfId="0" applyAlignment="1">
      <alignment horizontal="center"/>
    </xf>
    <xf numFmtId="0" fontId="0" fillId="0" borderId="61" xfId="0" applyBorder="1"/>
    <xf numFmtId="0" fontId="17" fillId="0" borderId="20" xfId="0" applyFont="1" applyBorder="1"/>
    <xf numFmtId="170" fontId="16" fillId="0" borderId="20" xfId="14" applyNumberFormat="1" applyFont="1" applyBorder="1" applyAlignment="1">
      <alignment horizontal="center"/>
    </xf>
    <xf numFmtId="170" fontId="26" fillId="0" borderId="9" xfId="14" applyNumberFormat="1" applyFont="1" applyBorder="1" applyAlignment="1">
      <alignment horizontal="center"/>
    </xf>
    <xf numFmtId="37" fontId="16" fillId="16" borderId="0" xfId="12" applyNumberFormat="1" applyFill="1"/>
    <xf numFmtId="37" fontId="16" fillId="16" borderId="15" xfId="12" applyNumberFormat="1" applyFill="1" applyBorder="1"/>
    <xf numFmtId="10" fontId="16" fillId="0" borderId="15" xfId="14" applyNumberFormat="1" applyFont="1" applyBorder="1"/>
    <xf numFmtId="0" fontId="16" fillId="0" borderId="109" xfId="12" applyBorder="1"/>
    <xf numFmtId="37" fontId="16" fillId="0" borderId="14" xfId="12" applyNumberFormat="1" applyBorder="1"/>
    <xf numFmtId="0" fontId="17" fillId="0" borderId="109" xfId="12" applyFont="1" applyBorder="1"/>
    <xf numFmtId="0" fontId="81" fillId="16" borderId="0" xfId="0" applyFont="1" applyFill="1"/>
    <xf numFmtId="1" fontId="16" fillId="40" borderId="0" xfId="12" applyNumberFormat="1" applyFill="1"/>
    <xf numFmtId="1" fontId="179" fillId="0" borderId="0" xfId="12" applyNumberFormat="1" applyFont="1"/>
    <xf numFmtId="174" fontId="180" fillId="27" borderId="0" xfId="12" applyNumberFormat="1" applyFont="1" applyFill="1" applyAlignment="1">
      <alignment horizontal="right"/>
    </xf>
    <xf numFmtId="1" fontId="179" fillId="41" borderId="0" xfId="12" applyNumberFormat="1" applyFont="1" applyFill="1"/>
    <xf numFmtId="175" fontId="179" fillId="27" borderId="0" xfId="12" applyNumberFormat="1" applyFont="1" applyFill="1" applyAlignment="1">
      <alignment horizontal="right"/>
    </xf>
    <xf numFmtId="0" fontId="17" fillId="0" borderId="14" xfId="12" applyFont="1" applyBorder="1"/>
    <xf numFmtId="37" fontId="16" fillId="16" borderId="14" xfId="12" applyNumberFormat="1" applyFill="1" applyBorder="1"/>
    <xf numFmtId="37" fontId="16" fillId="0" borderId="109" xfId="12" applyNumberFormat="1" applyBorder="1"/>
    <xf numFmtId="37" fontId="16" fillId="0" borderId="15" xfId="12" applyNumberFormat="1" applyBorder="1" applyAlignment="1">
      <alignment horizontal="right"/>
    </xf>
    <xf numFmtId="37" fontId="16" fillId="23" borderId="0" xfId="12" applyNumberFormat="1" applyFill="1"/>
    <xf numFmtId="37" fontId="16" fillId="23" borderId="15" xfId="12" applyNumberFormat="1" applyFill="1" applyBorder="1"/>
    <xf numFmtId="37" fontId="16" fillId="23" borderId="14" xfId="12" applyNumberFormat="1" applyFill="1" applyBorder="1"/>
    <xf numFmtId="0" fontId="16" fillId="0" borderId="109" xfId="12" applyBorder="1" applyAlignment="1">
      <alignment horizontal="fill"/>
    </xf>
    <xf numFmtId="0" fontId="45" fillId="0" borderId="14" xfId="12" applyFont="1" applyBorder="1"/>
    <xf numFmtId="0" fontId="16" fillId="0" borderId="109" xfId="12" applyBorder="1" applyAlignment="1">
      <alignment horizontal="center"/>
    </xf>
    <xf numFmtId="0" fontId="4" fillId="0" borderId="108" xfId="23330" applyBorder="1"/>
    <xf numFmtId="0" fontId="4" fillId="0" borderId="110" xfId="23330" applyBorder="1"/>
    <xf numFmtId="0" fontId="0" fillId="0" borderId="109" xfId="0" applyBorder="1"/>
    <xf numFmtId="37" fontId="17" fillId="0" borderId="109" xfId="12" applyNumberFormat="1" applyFont="1" applyBorder="1"/>
    <xf numFmtId="0" fontId="96" fillId="0" borderId="0" xfId="12" applyFont="1" applyProtection="1">
      <protection locked="0"/>
    </xf>
    <xf numFmtId="37" fontId="60" fillId="0" borderId="0" xfId="12" quotePrefix="1" applyNumberFormat="1" applyFont="1"/>
    <xf numFmtId="37" fontId="176" fillId="0" borderId="0" xfId="12" quotePrefix="1" applyNumberFormat="1" applyFont="1"/>
    <xf numFmtId="0" fontId="131" fillId="0" borderId="0" xfId="12" applyFont="1" applyProtection="1">
      <protection locked="0"/>
    </xf>
    <xf numFmtId="0" fontId="17" fillId="0" borderId="0" xfId="12" applyFont="1" applyProtection="1">
      <protection locked="0"/>
    </xf>
    <xf numFmtId="0" fontId="16" fillId="0" borderId="0" xfId="12" applyProtection="1">
      <protection locked="0"/>
    </xf>
    <xf numFmtId="0" fontId="89" fillId="0" borderId="0" xfId="12" applyFont="1"/>
    <xf numFmtId="1" fontId="89" fillId="0" borderId="0" xfId="12" applyNumberFormat="1" applyFont="1"/>
    <xf numFmtId="0" fontId="89" fillId="0" borderId="0" xfId="12" applyFont="1" applyProtection="1">
      <protection locked="0"/>
    </xf>
    <xf numFmtId="0" fontId="18" fillId="0" borderId="0" xfId="12" quotePrefix="1" applyFont="1" applyProtection="1">
      <protection locked="0"/>
    </xf>
    <xf numFmtId="0" fontId="129" fillId="0" borderId="103" xfId="23619" applyFont="1" applyBorder="1"/>
    <xf numFmtId="0" fontId="129" fillId="0" borderId="0" xfId="23619" applyFont="1"/>
    <xf numFmtId="0" fontId="2" fillId="0" borderId="0" xfId="23619"/>
    <xf numFmtId="14" fontId="2" fillId="0" borderId="0" xfId="23619" applyNumberFormat="1" applyAlignment="1">
      <alignment horizontal="center" wrapText="1"/>
    </xf>
    <xf numFmtId="0" fontId="2" fillId="0" borderId="0" xfId="23619" applyAlignment="1">
      <alignment wrapText="1"/>
    </xf>
    <xf numFmtId="14" fontId="2" fillId="0" borderId="0" xfId="23619" applyNumberFormat="1" applyAlignment="1">
      <alignment horizontal="right" wrapText="1"/>
    </xf>
    <xf numFmtId="0" fontId="130" fillId="0" borderId="0" xfId="23619" applyFont="1" applyAlignment="1">
      <alignment wrapText="1"/>
    </xf>
    <xf numFmtId="14" fontId="2" fillId="0" borderId="0" xfId="23619" applyNumberFormat="1"/>
    <xf numFmtId="14" fontId="130" fillId="0" borderId="0" xfId="23619" applyNumberFormat="1" applyFont="1" applyAlignment="1">
      <alignment horizontal="right"/>
    </xf>
    <xf numFmtId="0" fontId="15" fillId="0" borderId="103" xfId="3353" applyBorder="1"/>
    <xf numFmtId="0" fontId="15" fillId="0" borderId="0" xfId="3353" applyAlignment="1">
      <alignment horizontal="center"/>
    </xf>
    <xf numFmtId="170" fontId="16" fillId="0" borderId="14" xfId="12" applyNumberFormat="1" applyBorder="1" applyAlignment="1">
      <alignment horizontal="right"/>
    </xf>
    <xf numFmtId="0" fontId="15" fillId="0" borderId="0" xfId="0" applyFont="1" applyAlignment="1">
      <alignment wrapText="1"/>
    </xf>
    <xf numFmtId="178" fontId="174" fillId="30" borderId="24" xfId="19" applyNumberFormat="1" applyFont="1" applyFill="1" applyBorder="1"/>
    <xf numFmtId="175" fontId="52" fillId="0" borderId="0" xfId="0" quotePrefix="1" applyNumberFormat="1" applyFont="1" applyAlignment="1">
      <alignment horizontal="left"/>
    </xf>
    <xf numFmtId="192" fontId="174" fillId="30" borderId="0" xfId="19" applyNumberFormat="1" applyFont="1" applyFill="1"/>
    <xf numFmtId="178" fontId="174" fillId="30" borderId="0" xfId="19" applyNumberFormat="1" applyFont="1" applyFill="1"/>
    <xf numFmtId="190" fontId="174" fillId="30" borderId="0" xfId="19" applyNumberFormat="1" applyFont="1" applyFill="1"/>
    <xf numFmtId="170" fontId="174" fillId="30" borderId="15" xfId="20" applyNumberFormat="1" applyFont="1" applyFill="1" applyBorder="1"/>
    <xf numFmtId="9" fontId="174" fillId="30" borderId="15" xfId="0" applyNumberFormat="1" applyFont="1" applyFill="1" applyBorder="1"/>
    <xf numFmtId="3" fontId="174" fillId="30" borderId="0" xfId="0" applyNumberFormat="1" applyFont="1" applyFill="1"/>
    <xf numFmtId="175" fontId="174" fillId="30" borderId="0" xfId="0" applyNumberFormat="1" applyFont="1" applyFill="1"/>
    <xf numFmtId="175" fontId="181" fillId="30" borderId="15" xfId="0" applyNumberFormat="1" applyFont="1" applyFill="1" applyBorder="1"/>
    <xf numFmtId="10" fontId="15" fillId="0" borderId="16" xfId="14" applyNumberFormat="1" applyFill="1" applyBorder="1"/>
    <xf numFmtId="0" fontId="2" fillId="0" borderId="104" xfId="23619" applyBorder="1"/>
    <xf numFmtId="0" fontId="17" fillId="0" borderId="21" xfId="0" applyFont="1" applyBorder="1"/>
    <xf numFmtId="0" fontId="16" fillId="0" borderId="22" xfId="0" applyFont="1" applyBorder="1"/>
    <xf numFmtId="0" fontId="16" fillId="0" borderId="23" xfId="0" applyFont="1" applyBorder="1"/>
    <xf numFmtId="0" fontId="29" fillId="0" borderId="107" xfId="0" applyFont="1" applyBorder="1" applyAlignment="1">
      <alignment horizontal="center" wrapText="1"/>
    </xf>
    <xf numFmtId="0" fontId="29" fillId="0" borderId="9" xfId="0" applyFont="1" applyBorder="1" applyAlignment="1">
      <alignment vertical="top"/>
    </xf>
    <xf numFmtId="0" fontId="20" fillId="0" borderId="0" xfId="0" applyFont="1"/>
    <xf numFmtId="0" fontId="15" fillId="0" borderId="9" xfId="0" applyFont="1" applyBorder="1" applyAlignment="1">
      <alignment vertical="top"/>
    </xf>
    <xf numFmtId="197" fontId="15" fillId="0" borderId="0" xfId="17" applyNumberFormat="1" applyAlignment="1">
      <alignment horizontal="right" indent="3"/>
    </xf>
    <xf numFmtId="170" fontId="15" fillId="0" borderId="0" xfId="14" applyNumberFormat="1" applyFont="1" applyFill="1" applyBorder="1" applyAlignment="1">
      <alignment horizontal="right" indent="3"/>
    </xf>
    <xf numFmtId="197" fontId="20" fillId="0" borderId="0" xfId="17" applyNumberFormat="1" applyFont="1" applyAlignment="1">
      <alignment horizontal="left" vertical="top"/>
    </xf>
    <xf numFmtId="170" fontId="15" fillId="0" borderId="61" xfId="14" applyNumberFormat="1" applyFont="1" applyFill="1" applyBorder="1" applyAlignment="1">
      <alignment horizontal="right" indent="3"/>
    </xf>
    <xf numFmtId="170" fontId="20" fillId="0" borderId="61" xfId="14" applyNumberFormat="1" applyFont="1" applyFill="1" applyBorder="1" applyAlignment="1">
      <alignment horizontal="right" indent="3"/>
    </xf>
    <xf numFmtId="10" fontId="0" fillId="0" borderId="61" xfId="14" applyNumberFormat="1" applyFont="1" applyBorder="1"/>
    <xf numFmtId="170" fontId="15" fillId="0" borderId="0" xfId="14" applyNumberFormat="1" applyFont="1" applyFill="1" applyBorder="1" applyAlignment="1">
      <alignment horizontal="right" indent="6"/>
    </xf>
    <xf numFmtId="0" fontId="15" fillId="0" borderId="6" xfId="0" applyFont="1" applyBorder="1" applyAlignment="1">
      <alignment vertical="top"/>
    </xf>
    <xf numFmtId="170" fontId="15" fillId="0" borderId="7" xfId="14" applyNumberFormat="1" applyFont="1" applyFill="1" applyBorder="1" applyAlignment="1">
      <alignment horizontal="right" indent="3"/>
    </xf>
    <xf numFmtId="197" fontId="20" fillId="0" borderId="7" xfId="17" applyNumberFormat="1" applyFont="1" applyBorder="1" applyAlignment="1">
      <alignment horizontal="left" vertical="top"/>
    </xf>
    <xf numFmtId="0" fontId="20" fillId="0" borderId="9" xfId="0" applyFont="1" applyBorder="1" applyAlignment="1">
      <alignment vertical="top"/>
    </xf>
    <xf numFmtId="0" fontId="29" fillId="0" borderId="8" xfId="0" applyFont="1" applyBorder="1" applyAlignment="1">
      <alignment wrapText="1"/>
    </xf>
    <xf numFmtId="1" fontId="15" fillId="0" borderId="0" xfId="14" applyNumberFormat="1" applyFont="1" applyFill="1" applyBorder="1" applyAlignment="1">
      <alignment horizontal="right" indent="2"/>
    </xf>
    <xf numFmtId="170" fontId="15" fillId="0" borderId="0" xfId="14" applyNumberFormat="1" applyFont="1" applyFill="1" applyBorder="1" applyAlignment="1">
      <alignment horizontal="right" indent="2"/>
    </xf>
    <xf numFmtId="0" fontId="15" fillId="0" borderId="0" xfId="0" applyFont="1" applyAlignment="1">
      <alignment horizontal="right" indent="2"/>
    </xf>
    <xf numFmtId="3" fontId="15" fillId="0" borderId="0" xfId="0" applyNumberFormat="1" applyFont="1" applyAlignment="1">
      <alignment horizontal="right" indent="2"/>
    </xf>
    <xf numFmtId="170" fontId="15" fillId="0" borderId="61" xfId="14" applyNumberFormat="1" applyFont="1" applyFill="1" applyBorder="1" applyAlignment="1">
      <alignment horizontal="right" indent="2"/>
    </xf>
    <xf numFmtId="170" fontId="15" fillId="0" borderId="0" xfId="14" applyNumberFormat="1" applyFont="1" applyBorder="1" applyAlignment="1">
      <alignment horizontal="right" indent="2"/>
    </xf>
    <xf numFmtId="3" fontId="15" fillId="0" borderId="7" xfId="0" applyNumberFormat="1" applyFont="1" applyBorder="1" applyAlignment="1">
      <alignment horizontal="right" indent="2"/>
    </xf>
    <xf numFmtId="170" fontId="15" fillId="0" borderId="7" xfId="14" applyNumberFormat="1" applyFont="1" applyFill="1" applyBorder="1" applyAlignment="1">
      <alignment horizontal="right" indent="2"/>
    </xf>
    <xf numFmtId="0" fontId="15" fillId="0" borderId="7" xfId="0" applyFont="1" applyBorder="1" applyAlignment="1">
      <alignment horizontal="right" indent="2"/>
    </xf>
    <xf numFmtId="170" fontId="15" fillId="0" borderId="19" xfId="14" applyNumberFormat="1" applyFont="1" applyFill="1" applyBorder="1" applyAlignment="1">
      <alignment horizontal="right" indent="2"/>
    </xf>
    <xf numFmtId="37" fontId="0" fillId="0" borderId="6" xfId="0" applyNumberFormat="1" applyBorder="1"/>
    <xf numFmtId="10" fontId="0" fillId="0" borderId="7" xfId="0" applyNumberFormat="1" applyBorder="1"/>
    <xf numFmtId="37" fontId="0" fillId="0" borderId="7" xfId="0" applyNumberFormat="1" applyBorder="1"/>
    <xf numFmtId="10" fontId="0" fillId="0" borderId="19" xfId="0" applyNumberFormat="1" applyBorder="1"/>
    <xf numFmtId="0" fontId="17" fillId="0" borderId="0" xfId="0" applyFont="1" applyAlignment="1">
      <alignment horizontal="center" wrapText="1"/>
    </xf>
    <xf numFmtId="170" fontId="0" fillId="0" borderId="0" xfId="14" applyNumberFormat="1" applyFont="1" applyBorder="1"/>
    <xf numFmtId="0" fontId="29" fillId="27" borderId="5" xfId="0" applyFont="1" applyFill="1" applyBorder="1"/>
    <xf numFmtId="10" fontId="0" fillId="27" borderId="7" xfId="0" applyNumberFormat="1" applyFill="1" applyBorder="1"/>
    <xf numFmtId="0" fontId="2" fillId="0" borderId="64" xfId="23619" applyBorder="1"/>
    <xf numFmtId="14" fontId="2" fillId="0" borderId="0" xfId="23619" applyNumberFormat="1" applyAlignment="1">
      <alignment horizontal="center"/>
    </xf>
    <xf numFmtId="0" fontId="2" fillId="0" borderId="103" xfId="23619" applyBorder="1"/>
    <xf numFmtId="1" fontId="16" fillId="38" borderId="102" xfId="12" applyNumberFormat="1" applyFill="1" applyBorder="1"/>
    <xf numFmtId="0" fontId="15" fillId="0" borderId="108" xfId="3353" applyBorder="1"/>
    <xf numFmtId="0" fontId="15" fillId="0" borderId="110" xfId="3353" applyBorder="1"/>
    <xf numFmtId="14" fontId="15" fillId="0" borderId="0" xfId="3353" applyNumberFormat="1"/>
    <xf numFmtId="14" fontId="15" fillId="0" borderId="0" xfId="3353" applyNumberFormat="1" applyAlignment="1">
      <alignment wrapText="1"/>
    </xf>
    <xf numFmtId="0" fontId="2" fillId="0" borderId="110" xfId="23619" applyBorder="1"/>
    <xf numFmtId="14" fontId="130" fillId="0" borderId="0" xfId="23619" applyNumberFormat="1" applyFont="1" applyAlignment="1">
      <alignment horizontal="center"/>
    </xf>
    <xf numFmtId="0" fontId="16" fillId="0" borderId="0" xfId="3353" applyFont="1" applyAlignment="1">
      <alignment vertical="center" wrapText="1"/>
    </xf>
    <xf numFmtId="0" fontId="0" fillId="0" borderId="22" xfId="0" applyBorder="1"/>
    <xf numFmtId="0" fontId="20" fillId="0" borderId="9" xfId="91" applyFont="1" applyBorder="1" applyAlignment="1">
      <alignment horizontal="left" vertical="top" wrapText="1"/>
    </xf>
    <xf numFmtId="170" fontId="0" fillId="0" borderId="61" xfId="0" applyNumberFormat="1" applyBorder="1"/>
    <xf numFmtId="0" fontId="20" fillId="0" borderId="6" xfId="91" applyFont="1" applyBorder="1" applyAlignment="1">
      <alignment horizontal="left" vertical="top" wrapText="1"/>
    </xf>
    <xf numFmtId="170" fontId="0" fillId="0" borderId="19" xfId="0" applyNumberFormat="1" applyBorder="1"/>
    <xf numFmtId="2" fontId="29" fillId="16" borderId="19" xfId="0" applyNumberFormat="1" applyFont="1" applyFill="1" applyBorder="1"/>
    <xf numFmtId="0" fontId="0" fillId="0" borderId="21" xfId="0" applyBorder="1"/>
    <xf numFmtId="0" fontId="29" fillId="0" borderId="23" xfId="0" applyFont="1" applyBorder="1"/>
    <xf numFmtId="0" fontId="29" fillId="0" borderId="26" xfId="0" applyFont="1" applyBorder="1"/>
    <xf numFmtId="0" fontId="15" fillId="0" borderId="11" xfId="0" applyFont="1" applyBorder="1"/>
    <xf numFmtId="0" fontId="15" fillId="0" borderId="12" xfId="0" applyFont="1" applyBorder="1"/>
    <xf numFmtId="0" fontId="71" fillId="38" borderId="0" xfId="12" applyFont="1" applyFill="1" applyAlignment="1">
      <alignment horizontal="right"/>
    </xf>
    <xf numFmtId="0" fontId="2" fillId="0" borderId="108" xfId="23619" applyBorder="1"/>
    <xf numFmtId="37" fontId="26" fillId="0" borderId="0" xfId="12" applyNumberFormat="1" applyFont="1"/>
    <xf numFmtId="0" fontId="15" fillId="99" borderId="0" xfId="12" applyFont="1" applyFill="1"/>
    <xf numFmtId="0" fontId="15" fillId="99" borderId="0" xfId="12" applyFont="1" applyFill="1" applyAlignment="1">
      <alignment wrapText="1"/>
    </xf>
    <xf numFmtId="1" fontId="16" fillId="99" borderId="0" xfId="12" applyNumberFormat="1" applyFill="1"/>
    <xf numFmtId="0" fontId="2" fillId="27" borderId="0" xfId="23619" applyFill="1" applyAlignment="1">
      <alignment wrapText="1"/>
    </xf>
    <xf numFmtId="0" fontId="129" fillId="27" borderId="0" xfId="23619" applyFont="1" applyFill="1"/>
    <xf numFmtId="0" fontId="2" fillId="27" borderId="0" xfId="23619" applyFill="1"/>
    <xf numFmtId="0" fontId="2" fillId="27" borderId="103" xfId="23619" applyFill="1" applyBorder="1"/>
    <xf numFmtId="0" fontId="2" fillId="27" borderId="110" xfId="23619" applyFill="1" applyBorder="1"/>
    <xf numFmtId="14" fontId="130" fillId="27" borderId="0" xfId="23619" applyNumberFormat="1" applyFont="1" applyFill="1" applyAlignment="1">
      <alignment horizontal="center"/>
    </xf>
    <xf numFmtId="0" fontId="2" fillId="27" borderId="108" xfId="23619" applyFill="1" applyBorder="1"/>
    <xf numFmtId="0" fontId="17" fillId="0" borderId="16" xfId="12" applyFont="1" applyBorder="1"/>
    <xf numFmtId="1" fontId="17" fillId="0" borderId="9" xfId="12" applyNumberFormat="1" applyFont="1" applyBorder="1"/>
    <xf numFmtId="0" fontId="17" fillId="0" borderId="61" xfId="12" applyFont="1" applyBorder="1"/>
    <xf numFmtId="0" fontId="17" fillId="0" borderId="26" xfId="12" applyFont="1" applyBorder="1"/>
    <xf numFmtId="0" fontId="17" fillId="0" borderId="23" xfId="12" applyFont="1" applyBorder="1"/>
    <xf numFmtId="10" fontId="16" fillId="0" borderId="61" xfId="14" applyNumberFormat="1" applyFont="1" applyBorder="1"/>
    <xf numFmtId="0" fontId="16" fillId="16" borderId="11" xfId="12" applyFill="1" applyBorder="1"/>
    <xf numFmtId="0" fontId="16" fillId="16" borderId="9" xfId="12" applyFill="1" applyBorder="1"/>
    <xf numFmtId="10" fontId="16" fillId="16" borderId="61" xfId="14" applyNumberFormat="1" applyFont="1" applyFill="1" applyBorder="1"/>
    <xf numFmtId="0" fontId="16" fillId="0" borderId="8" xfId="14" applyNumberFormat="1" applyFont="1" applyBorder="1"/>
    <xf numFmtId="10" fontId="16" fillId="0" borderId="16" xfId="14" applyNumberFormat="1" applyFont="1" applyBorder="1"/>
    <xf numFmtId="0" fontId="16" fillId="0" borderId="6" xfId="12" applyBorder="1"/>
    <xf numFmtId="0" fontId="70" fillId="0" borderId="0" xfId="12" applyFont="1" applyAlignment="1">
      <alignment horizontal="right"/>
    </xf>
    <xf numFmtId="9" fontId="15" fillId="0" borderId="10" xfId="12" applyNumberFormat="1" applyFont="1" applyBorder="1" applyAlignment="1">
      <alignment horizontal="center"/>
    </xf>
    <xf numFmtId="9" fontId="16" fillId="0" borderId="10" xfId="12" applyNumberFormat="1" applyBorder="1" applyAlignment="1">
      <alignment horizontal="center"/>
    </xf>
    <xf numFmtId="0" fontId="16" fillId="0" borderId="10" xfId="12" applyBorder="1" applyAlignment="1">
      <alignment horizontal="center"/>
    </xf>
    <xf numFmtId="0" fontId="29" fillId="29" borderId="14" xfId="0" applyFont="1" applyFill="1" applyBorder="1" applyAlignment="1">
      <alignment horizontal="center"/>
    </xf>
    <xf numFmtId="0" fontId="29" fillId="29" borderId="26" xfId="0" applyFont="1" applyFill="1" applyBorder="1" applyAlignment="1">
      <alignment horizontal="center"/>
    </xf>
    <xf numFmtId="0" fontId="16" fillId="29" borderId="26" xfId="12" applyFill="1" applyBorder="1" applyAlignment="1">
      <alignment horizontal="center"/>
    </xf>
    <xf numFmtId="37" fontId="16" fillId="23" borderId="12" xfId="12" applyNumberFormat="1" applyFill="1" applyBorder="1" applyAlignment="1">
      <alignment horizontal="center"/>
    </xf>
    <xf numFmtId="9" fontId="15" fillId="0" borderId="0" xfId="12" applyNumberFormat="1" applyFont="1" applyAlignment="1">
      <alignment horizontal="center"/>
    </xf>
    <xf numFmtId="170" fontId="16" fillId="0" borderId="0" xfId="12" applyNumberFormat="1" applyAlignment="1">
      <alignment horizontal="center"/>
    </xf>
    <xf numFmtId="9" fontId="16" fillId="0" borderId="0" xfId="12" applyNumberFormat="1" applyAlignment="1">
      <alignment horizontal="center"/>
    </xf>
    <xf numFmtId="9" fontId="15" fillId="0" borderId="0" xfId="0" applyNumberFormat="1" applyFont="1"/>
    <xf numFmtId="9" fontId="15" fillId="0" borderId="0" xfId="14" applyFont="1"/>
    <xf numFmtId="197" fontId="15" fillId="0" borderId="0" xfId="17" quotePrefix="1" applyNumberFormat="1" applyAlignment="1">
      <alignment horizontal="right" indent="3"/>
    </xf>
    <xf numFmtId="197" fontId="15" fillId="0" borderId="7" xfId="17" applyNumberFormat="1" applyBorder="1" applyAlignment="1">
      <alignment horizontal="right" indent="3"/>
    </xf>
    <xf numFmtId="0" fontId="15" fillId="0" borderId="22" xfId="0" applyFont="1" applyBorder="1"/>
    <xf numFmtId="0" fontId="15" fillId="0" borderId="23" xfId="0" applyFont="1" applyBorder="1"/>
    <xf numFmtId="0" fontId="15" fillId="27" borderId="61" xfId="0" applyFont="1" applyFill="1" applyBorder="1"/>
    <xf numFmtId="170" fontId="15" fillId="0" borderId="61" xfId="0" applyNumberFormat="1" applyFont="1" applyBorder="1"/>
    <xf numFmtId="0" fontId="49" fillId="0" borderId="0" xfId="12" applyFont="1"/>
    <xf numFmtId="164" fontId="16" fillId="0" borderId="0" xfId="12" applyNumberFormat="1" applyAlignment="1">
      <alignment horizontal="fill"/>
    </xf>
    <xf numFmtId="0" fontId="16" fillId="0" borderId="115" xfId="12" applyBorder="1" applyAlignment="1">
      <alignment horizontal="center"/>
    </xf>
    <xf numFmtId="37" fontId="16" fillId="23" borderId="2" xfId="12" applyNumberFormat="1" applyFill="1" applyBorder="1"/>
    <xf numFmtId="170" fontId="16" fillId="0" borderId="2" xfId="12" applyNumberFormat="1" applyBorder="1"/>
    <xf numFmtId="37" fontId="16" fillId="0" borderId="2" xfId="12" applyNumberFormat="1" applyBorder="1" applyAlignment="1">
      <alignment horizontal="fill"/>
    </xf>
    <xf numFmtId="37" fontId="16" fillId="0" borderId="0" xfId="12" applyNumberFormat="1" applyAlignment="1">
      <alignment horizontal="fill"/>
    </xf>
    <xf numFmtId="37" fontId="16" fillId="0" borderId="14" xfId="12" applyNumberFormat="1" applyBorder="1" applyAlignment="1">
      <alignment horizontal="fill"/>
    </xf>
    <xf numFmtId="37" fontId="16" fillId="0" borderId="2" xfId="12" quotePrefix="1" applyNumberFormat="1" applyBorder="1"/>
    <xf numFmtId="1" fontId="16" fillId="0" borderId="2" xfId="12" applyNumberFormat="1" applyBorder="1"/>
    <xf numFmtId="37" fontId="16" fillId="0" borderId="14" xfId="12" quotePrefix="1" applyNumberFormat="1" applyBorder="1"/>
    <xf numFmtId="9" fontId="16" fillId="0" borderId="0" xfId="12" quotePrefix="1" applyNumberFormat="1" applyAlignment="1">
      <alignment horizontal="right"/>
    </xf>
    <xf numFmtId="9" fontId="16" fillId="0" borderId="0" xfId="12" applyNumberFormat="1" applyAlignment="1">
      <alignment horizontal="right"/>
    </xf>
    <xf numFmtId="1" fontId="16" fillId="0" borderId="2" xfId="12" quotePrefix="1" applyNumberFormat="1" applyBorder="1" applyAlignment="1">
      <alignment horizontal="right"/>
    </xf>
    <xf numFmtId="37" fontId="16" fillId="0" borderId="0" xfId="12" quotePrefix="1" applyNumberFormat="1" applyAlignment="1">
      <alignment horizontal="right"/>
    </xf>
    <xf numFmtId="37" fontId="16" fillId="0" borderId="14" xfId="12" applyNumberFormat="1" applyBorder="1" applyAlignment="1">
      <alignment horizontal="center"/>
    </xf>
    <xf numFmtId="178" fontId="16" fillId="0" borderId="0" xfId="1" applyNumberFormat="1" applyFont="1" applyAlignment="1">
      <alignment horizontal="center"/>
    </xf>
    <xf numFmtId="190" fontId="16" fillId="0" borderId="0" xfId="12" applyNumberFormat="1"/>
    <xf numFmtId="37" fontId="15" fillId="0" borderId="2" xfId="12" applyNumberFormat="1" applyFont="1" applyBorder="1"/>
    <xf numFmtId="0" fontId="16" fillId="0" borderId="2" xfId="12" applyBorder="1" applyAlignment="1">
      <alignment horizontal="fill"/>
    </xf>
    <xf numFmtId="37" fontId="16" fillId="0" borderId="12" xfId="12" applyNumberFormat="1" applyBorder="1" applyAlignment="1">
      <alignment horizontal="center"/>
    </xf>
    <xf numFmtId="170" fontId="16" fillId="0" borderId="12" xfId="12" applyNumberFormat="1" applyBorder="1" applyAlignment="1">
      <alignment horizontal="center"/>
    </xf>
    <xf numFmtId="10" fontId="16" fillId="0" borderId="0" xfId="14" applyNumberFormat="1" applyFont="1" applyBorder="1" applyAlignment="1">
      <alignment horizontal="right"/>
    </xf>
    <xf numFmtId="0" fontId="16" fillId="0" borderId="115" xfId="12" applyBorder="1" applyAlignment="1">
      <alignment horizontal="right"/>
    </xf>
    <xf numFmtId="0" fontId="16" fillId="0" borderId="115" xfId="12" applyBorder="1"/>
    <xf numFmtId="0" fontId="16" fillId="0" borderId="23" xfId="12" applyBorder="1"/>
    <xf numFmtId="0" fontId="16" fillId="0" borderId="2" xfId="12" applyBorder="1" applyAlignment="1">
      <alignment horizontal="left"/>
    </xf>
    <xf numFmtId="37" fontId="16" fillId="0" borderId="3" xfId="12" applyNumberFormat="1" applyBorder="1"/>
    <xf numFmtId="37" fontId="16" fillId="0" borderId="4" xfId="12" applyNumberFormat="1" applyBorder="1" applyAlignment="1">
      <alignment horizontal="right"/>
    </xf>
    <xf numFmtId="37" fontId="16" fillId="0" borderId="4" xfId="12" applyNumberFormat="1" applyBorder="1"/>
    <xf numFmtId="37" fontId="16" fillId="0" borderId="116" xfId="12" applyNumberFormat="1" applyBorder="1"/>
    <xf numFmtId="37" fontId="16" fillId="0" borderId="15" xfId="12" applyNumberFormat="1" applyBorder="1" applyAlignment="1">
      <alignment horizontal="center"/>
    </xf>
    <xf numFmtId="0" fontId="16" fillId="0" borderId="109" xfId="12" applyBorder="1" applyAlignment="1">
      <alignment horizontal="left"/>
    </xf>
    <xf numFmtId="0" fontId="16" fillId="0" borderId="114" xfId="12" applyBorder="1" applyAlignment="1">
      <alignment horizontal="right"/>
    </xf>
    <xf numFmtId="0" fontId="16" fillId="0" borderId="113" xfId="12" applyBorder="1"/>
    <xf numFmtId="178" fontId="16" fillId="0" borderId="116" xfId="1" applyNumberFormat="1" applyFont="1" applyBorder="1"/>
    <xf numFmtId="37" fontId="16" fillId="0" borderId="118" xfId="12" applyNumberFormat="1" applyBorder="1"/>
    <xf numFmtId="10" fontId="16" fillId="0" borderId="0" xfId="12" applyNumberFormat="1"/>
    <xf numFmtId="0" fontId="17" fillId="0" borderId="117" xfId="12" applyFont="1" applyBorder="1" applyAlignment="1">
      <alignment horizontal="center"/>
    </xf>
    <xf numFmtId="0" fontId="17" fillId="0" borderId="116" xfId="12" applyFont="1" applyBorder="1" applyAlignment="1">
      <alignment horizontal="center"/>
    </xf>
    <xf numFmtId="166" fontId="16" fillId="0" borderId="0" xfId="12" applyNumberFormat="1" applyAlignment="1">
      <alignment horizontal="right"/>
    </xf>
    <xf numFmtId="166" fontId="16" fillId="25" borderId="0" xfId="12" applyNumberFormat="1" applyFill="1"/>
    <xf numFmtId="166" fontId="16" fillId="25" borderId="0" xfId="12" applyNumberFormat="1" applyFill="1" applyAlignment="1">
      <alignment horizontal="right"/>
    </xf>
    <xf numFmtId="37" fontId="16" fillId="25" borderId="0" xfId="12" applyNumberFormat="1" applyFill="1" applyAlignment="1">
      <alignment horizontal="right"/>
    </xf>
    <xf numFmtId="37" fontId="16" fillId="25" borderId="0" xfId="12" quotePrefix="1" applyNumberFormat="1" applyFill="1"/>
    <xf numFmtId="10" fontId="16" fillId="25" borderId="0" xfId="12" applyNumberFormat="1" applyFill="1"/>
    <xf numFmtId="44" fontId="16" fillId="0" borderId="0" xfId="4" applyFont="1"/>
    <xf numFmtId="0" fontId="16" fillId="17" borderId="0" xfId="12" applyFill="1"/>
    <xf numFmtId="37" fontId="16" fillId="17" borderId="0" xfId="12" applyNumberFormat="1" applyFill="1"/>
    <xf numFmtId="183" fontId="16" fillId="0" borderId="0" xfId="12" applyNumberFormat="1"/>
    <xf numFmtId="0" fontId="16" fillId="2" borderId="0" xfId="12" applyFill="1" applyAlignment="1">
      <alignment horizontal="right"/>
    </xf>
    <xf numFmtId="176" fontId="16" fillId="0" borderId="0" xfId="12" applyNumberFormat="1"/>
    <xf numFmtId="37" fontId="16" fillId="25" borderId="0" xfId="12" quotePrefix="1" applyNumberFormat="1" applyFill="1" applyAlignment="1">
      <alignment horizontal="right"/>
    </xf>
    <xf numFmtId="37" fontId="16" fillId="99" borderId="0" xfId="12" applyNumberFormat="1" applyFill="1"/>
    <xf numFmtId="0" fontId="16" fillId="99" borderId="0" xfId="12" applyFill="1"/>
    <xf numFmtId="0" fontId="16" fillId="12" borderId="0" xfId="12" applyFill="1"/>
    <xf numFmtId="0" fontId="16" fillId="0" borderId="98" xfId="12" applyBorder="1" applyAlignment="1">
      <alignment horizontal="fill"/>
    </xf>
    <xf numFmtId="0" fontId="16" fillId="0" borderId="98" xfId="12" applyBorder="1"/>
    <xf numFmtId="0" fontId="16" fillId="8" borderId="0" xfId="12" applyFill="1"/>
    <xf numFmtId="37" fontId="16" fillId="8" borderId="0" xfId="12" applyNumberFormat="1" applyFill="1"/>
    <xf numFmtId="175" fontId="16" fillId="0" borderId="0" xfId="0" applyNumberFormat="1" applyFont="1"/>
    <xf numFmtId="37" fontId="16" fillId="10" borderId="0" xfId="12" applyNumberFormat="1" applyFill="1"/>
    <xf numFmtId="0" fontId="16" fillId="0" borderId="0" xfId="12" quotePrefix="1" applyAlignment="1">
      <alignment horizontal="fill"/>
    </xf>
    <xf numFmtId="0" fontId="16" fillId="0" borderId="0" xfId="12" quotePrefix="1" applyAlignment="1">
      <alignment horizontal="left"/>
    </xf>
    <xf numFmtId="37" fontId="16" fillId="2" borderId="0" xfId="12" applyNumberFormat="1" applyFill="1"/>
    <xf numFmtId="3" fontId="16" fillId="0" borderId="0" xfId="0" applyNumberFormat="1" applyFont="1"/>
    <xf numFmtId="0" fontId="16" fillId="0" borderId="3" xfId="12" applyBorder="1" applyAlignment="1">
      <alignment horizontal="right"/>
    </xf>
    <xf numFmtId="0" fontId="16" fillId="0" borderId="116" xfId="12" applyBorder="1" applyAlignment="1">
      <alignment horizontal="right"/>
    </xf>
    <xf numFmtId="0" fontId="16" fillId="0" borderId="119" xfId="12" applyBorder="1"/>
    <xf numFmtId="0" fontId="16" fillId="0" borderId="113" xfId="12" applyBorder="1" applyAlignment="1">
      <alignment horizontal="right"/>
    </xf>
    <xf numFmtId="0" fontId="16" fillId="0" borderId="116" xfId="12" applyBorder="1"/>
    <xf numFmtId="0" fontId="29" fillId="0" borderId="117" xfId="12" applyFont="1" applyBorder="1" applyAlignment="1">
      <alignment horizontal="center"/>
    </xf>
    <xf numFmtId="0" fontId="17" fillId="0" borderId="114" xfId="12" applyFont="1" applyBorder="1" applyAlignment="1">
      <alignment horizontal="center"/>
    </xf>
    <xf numFmtId="3" fontId="22" fillId="0" borderId="9" xfId="1" applyNumberFormat="1" applyFont="1" applyBorder="1"/>
    <xf numFmtId="39" fontId="16" fillId="0" borderId="0" xfId="12" applyNumberFormat="1"/>
    <xf numFmtId="176" fontId="16" fillId="0" borderId="0" xfId="12" applyNumberFormat="1" applyAlignment="1">
      <alignment horizontal="right"/>
    </xf>
    <xf numFmtId="3" fontId="16" fillId="0" borderId="21" xfId="1" quotePrefix="1" applyNumberFormat="1" applyFont="1" applyBorder="1"/>
    <xf numFmtId="3" fontId="16" fillId="2" borderId="21" xfId="1" quotePrefix="1" applyNumberFormat="1" applyFont="1" applyFill="1" applyBorder="1"/>
    <xf numFmtId="3" fontId="16" fillId="0" borderId="0" xfId="1" quotePrefix="1" applyNumberFormat="1" applyFont="1"/>
    <xf numFmtId="174" fontId="16" fillId="0" borderId="0" xfId="12" applyNumberFormat="1"/>
    <xf numFmtId="3" fontId="16" fillId="2" borderId="0" xfId="1" quotePrefix="1" applyNumberFormat="1" applyFont="1" applyFill="1"/>
    <xf numFmtId="0" fontId="16" fillId="0" borderId="0" xfId="0" applyFont="1" applyAlignment="1">
      <alignment horizontal="fill"/>
    </xf>
    <xf numFmtId="0" fontId="16" fillId="0" borderId="86" xfId="12" applyBorder="1"/>
    <xf numFmtId="0" fontId="16" fillId="0" borderId="85" xfId="12" applyBorder="1" applyAlignment="1">
      <alignment horizontal="fill"/>
    </xf>
    <xf numFmtId="0" fontId="16" fillId="0" borderId="87" xfId="12" applyBorder="1" applyAlignment="1">
      <alignment horizontal="right"/>
    </xf>
    <xf numFmtId="0" fontId="16" fillId="0" borderId="87" xfId="12" applyBorder="1" applyAlignment="1">
      <alignment horizontal="fill"/>
    </xf>
    <xf numFmtId="0" fontId="17" fillId="0" borderId="107" xfId="12" applyFont="1" applyBorder="1" applyAlignment="1">
      <alignment horizontal="center"/>
    </xf>
    <xf numFmtId="0" fontId="17" fillId="0" borderId="115" xfId="12" applyFont="1" applyBorder="1" applyAlignment="1">
      <alignment horizontal="center"/>
    </xf>
    <xf numFmtId="0" fontId="17" fillId="0" borderId="115" xfId="12" applyFont="1" applyBorder="1" applyAlignment="1">
      <alignment horizontal="center" wrapText="1"/>
    </xf>
    <xf numFmtId="170" fontId="16" fillId="0" borderId="61" xfId="14" applyNumberFormat="1" applyFont="1" applyBorder="1" applyAlignment="1">
      <alignment horizontal="center" vertical="center"/>
    </xf>
    <xf numFmtId="3" fontId="16" fillId="0" borderId="61" xfId="1" applyNumberFormat="1" applyFont="1" applyBorder="1"/>
    <xf numFmtId="37" fontId="16" fillId="0" borderId="87" xfId="12" applyNumberFormat="1" applyBorder="1"/>
    <xf numFmtId="166" fontId="16" fillId="0" borderId="87" xfId="12" applyNumberFormat="1" applyBorder="1"/>
    <xf numFmtId="1" fontId="22" fillId="0" borderId="9" xfId="12" applyNumberFormat="1" applyFont="1" applyBorder="1"/>
    <xf numFmtId="170" fontId="16" fillId="0" borderId="61" xfId="12" applyNumberFormat="1" applyBorder="1"/>
    <xf numFmtId="0" fontId="16" fillId="4" borderId="7" xfId="12" applyFill="1" applyBorder="1"/>
    <xf numFmtId="0" fontId="16" fillId="0" borderId="118" xfId="12" applyBorder="1"/>
    <xf numFmtId="170" fontId="16" fillId="0" borderId="115" xfId="14" applyNumberFormat="1" applyFont="1" applyBorder="1" applyAlignment="1">
      <alignment horizontal="center"/>
    </xf>
    <xf numFmtId="0" fontId="29" fillId="0" borderId="115" xfId="0" applyFont="1" applyBorder="1" applyAlignment="1">
      <alignment horizontal="center" wrapText="1"/>
    </xf>
    <xf numFmtId="0" fontId="29" fillId="0" borderId="115" xfId="0" applyFont="1" applyBorder="1"/>
    <xf numFmtId="0" fontId="29" fillId="0" borderId="107" xfId="0" applyFont="1" applyBorder="1"/>
    <xf numFmtId="0" fontId="0" fillId="0" borderId="115" xfId="0" applyBorder="1"/>
    <xf numFmtId="170" fontId="0" fillId="0" borderId="115" xfId="14" applyNumberFormat="1" applyFont="1" applyBorder="1"/>
    <xf numFmtId="37" fontId="0" fillId="0" borderId="115" xfId="0" applyNumberFormat="1" applyBorder="1"/>
    <xf numFmtId="0" fontId="0" fillId="0" borderId="118" xfId="0" applyBorder="1"/>
    <xf numFmtId="0" fontId="16" fillId="0" borderId="118" xfId="12" applyBorder="1" applyAlignment="1">
      <alignment horizontal="center"/>
    </xf>
    <xf numFmtId="37" fontId="17" fillId="0" borderId="115" xfId="12" applyNumberFormat="1" applyFont="1" applyBorder="1"/>
    <xf numFmtId="37" fontId="17" fillId="0" borderId="118" xfId="12" applyNumberFormat="1" applyFont="1" applyBorder="1"/>
    <xf numFmtId="10" fontId="16" fillId="0" borderId="115" xfId="14" applyNumberFormat="1" applyFont="1" applyBorder="1"/>
    <xf numFmtId="10" fontId="16" fillId="0" borderId="118" xfId="14" applyNumberFormat="1" applyFont="1" applyBorder="1"/>
    <xf numFmtId="37" fontId="16" fillId="0" borderId="115" xfId="12" applyNumberFormat="1" applyBorder="1"/>
    <xf numFmtId="0" fontId="16" fillId="0" borderId="115" xfId="12" applyBorder="1" applyAlignment="1">
      <alignment horizontal="fill"/>
    </xf>
    <xf numFmtId="37" fontId="16" fillId="0" borderId="118" xfId="12" applyNumberFormat="1" applyBorder="1" applyAlignment="1">
      <alignment horizontal="right"/>
    </xf>
    <xf numFmtId="186" fontId="15" fillId="0" borderId="0" xfId="0" applyNumberFormat="1" applyFont="1"/>
    <xf numFmtId="0" fontId="44" fillId="0" borderId="109" xfId="0" applyFont="1" applyBorder="1"/>
    <xf numFmtId="0" fontId="15" fillId="0" borderId="109" xfId="0" applyFont="1" applyBorder="1"/>
    <xf numFmtId="0" fontId="15" fillId="0" borderId="115" xfId="0" applyFont="1" applyBorder="1"/>
    <xf numFmtId="0" fontId="15" fillId="0" borderId="118" xfId="0" applyFont="1" applyBorder="1"/>
    <xf numFmtId="0" fontId="15" fillId="0" borderId="14" xfId="0" quotePrefix="1" applyFont="1" applyBorder="1" applyAlignment="1">
      <alignment horizontal="right"/>
    </xf>
    <xf numFmtId="0" fontId="15" fillId="0" borderId="15" xfId="0" applyFont="1" applyBorder="1" applyAlignment="1">
      <alignment horizontal="right"/>
    </xf>
    <xf numFmtId="0" fontId="15" fillId="2" borderId="15" xfId="0" applyFont="1" applyFill="1" applyBorder="1"/>
    <xf numFmtId="0" fontId="15" fillId="0" borderId="14" xfId="0" applyFont="1" applyBorder="1" applyAlignment="1">
      <alignment horizontal="right"/>
    </xf>
    <xf numFmtId="0" fontId="15" fillId="0" borderId="0" xfId="0" quotePrefix="1" applyFont="1" applyAlignment="1">
      <alignment horizontal="right"/>
    </xf>
    <xf numFmtId="0" fontId="15" fillId="0" borderId="115" xfId="0" applyFont="1" applyBorder="1" applyAlignment="1">
      <alignment horizontal="center"/>
    </xf>
    <xf numFmtId="0" fontId="15" fillId="0" borderId="115" xfId="0" quotePrefix="1" applyFont="1" applyBorder="1" applyAlignment="1">
      <alignment horizontal="left"/>
    </xf>
    <xf numFmtId="0" fontId="15" fillId="10" borderId="26" xfId="0" applyFont="1" applyFill="1" applyBorder="1" applyAlignment="1">
      <alignment horizontal="center"/>
    </xf>
    <xf numFmtId="0" fontId="29" fillId="0" borderId="109" xfId="0" applyFont="1" applyBorder="1"/>
    <xf numFmtId="0" fontId="15" fillId="0" borderId="109" xfId="0" applyFont="1" applyBorder="1" applyAlignment="1">
      <alignment horizontal="right"/>
    </xf>
    <xf numFmtId="0" fontId="15" fillId="0" borderId="115" xfId="0" applyFont="1" applyBorder="1" applyAlignment="1">
      <alignment horizontal="right"/>
    </xf>
    <xf numFmtId="0" fontId="15" fillId="0" borderId="118" xfId="0" quotePrefix="1" applyFont="1" applyBorder="1" applyAlignment="1">
      <alignment horizontal="right"/>
    </xf>
    <xf numFmtId="3" fontId="15" fillId="0" borderId="0" xfId="12" quotePrefix="1" applyNumberFormat="1" applyFont="1"/>
    <xf numFmtId="3" fontId="15" fillId="20" borderId="0" xfId="12" quotePrefix="1" applyNumberFormat="1" applyFont="1" applyFill="1"/>
    <xf numFmtId="3" fontId="15" fillId="0" borderId="0" xfId="0" quotePrefix="1" applyNumberFormat="1" applyFont="1"/>
    <xf numFmtId="3" fontId="15" fillId="0" borderId="15" xfId="0" applyNumberFormat="1" applyFont="1" applyBorder="1"/>
    <xf numFmtId="3" fontId="15" fillId="0" borderId="15" xfId="0" quotePrefix="1" applyNumberFormat="1" applyFont="1" applyBorder="1"/>
    <xf numFmtId="3" fontId="15" fillId="0" borderId="0" xfId="0" quotePrefix="1" applyNumberFormat="1" applyFont="1" applyAlignment="1">
      <alignment horizontal="center"/>
    </xf>
    <xf numFmtId="10" fontId="15" fillId="0" borderId="0" xfId="14" applyNumberFormat="1" applyFont="1"/>
    <xf numFmtId="187" fontId="15" fillId="0" borderId="0" xfId="0" applyNumberFormat="1" applyFont="1"/>
    <xf numFmtId="170" fontId="15" fillId="0" borderId="14" xfId="14" quotePrefix="1" applyNumberFormat="1" applyFont="1" applyBorder="1" applyAlignment="1">
      <alignment horizontal="right"/>
    </xf>
    <xf numFmtId="170" fontId="15" fillId="0" borderId="0" xfId="14" quotePrefix="1" applyNumberFormat="1" applyFont="1" applyAlignment="1">
      <alignment horizontal="right"/>
    </xf>
    <xf numFmtId="170" fontId="15" fillId="0" borderId="15" xfId="14" quotePrefix="1" applyNumberFormat="1" applyFont="1" applyBorder="1" applyAlignment="1">
      <alignment horizontal="right"/>
    </xf>
    <xf numFmtId="3" fontId="15" fillId="0" borderId="115" xfId="0" applyNumberFormat="1" applyFont="1" applyBorder="1"/>
    <xf numFmtId="3" fontId="46" fillId="0" borderId="115" xfId="0" applyNumberFormat="1" applyFont="1" applyBorder="1"/>
    <xf numFmtId="0" fontId="46" fillId="0" borderId="118" xfId="0" applyFont="1" applyBorder="1"/>
    <xf numFmtId="3" fontId="15" fillId="0" borderId="0" xfId="0" applyNumberFormat="1" applyFont="1" applyAlignment="1">
      <alignment horizontal="center"/>
    </xf>
    <xf numFmtId="10" fontId="15" fillId="0" borderId="0" xfId="14" quotePrefix="1" applyNumberFormat="1" applyFont="1"/>
    <xf numFmtId="0" fontId="15" fillId="0" borderId="0" xfId="0" quotePrefix="1" applyFont="1"/>
    <xf numFmtId="170" fontId="15" fillId="0" borderId="14" xfId="14" applyNumberFormat="1" applyFont="1" applyBorder="1"/>
    <xf numFmtId="170" fontId="15" fillId="0" borderId="0" xfId="14" applyNumberFormat="1" applyFont="1"/>
    <xf numFmtId="170" fontId="15" fillId="0" borderId="15" xfId="14" applyNumberFormat="1" applyFont="1" applyBorder="1"/>
    <xf numFmtId="170" fontId="15" fillId="0" borderId="24" xfId="14" applyNumberFormat="1" applyFont="1" applyBorder="1"/>
    <xf numFmtId="37" fontId="15" fillId="0" borderId="0" xfId="0" quotePrefix="1" applyNumberFormat="1" applyFont="1"/>
    <xf numFmtId="170" fontId="15" fillId="0" borderId="109" xfId="14" applyNumberFormat="1" applyFont="1" applyBorder="1"/>
    <xf numFmtId="170" fontId="15" fillId="0" borderId="115" xfId="14" applyNumberFormat="1" applyFont="1" applyBorder="1"/>
    <xf numFmtId="170" fontId="15" fillId="0" borderId="118" xfId="14" applyNumberFormat="1" applyFont="1" applyBorder="1"/>
    <xf numFmtId="170" fontId="15" fillId="0" borderId="25" xfId="14" applyNumberFormat="1" applyFont="1" applyBorder="1"/>
    <xf numFmtId="10" fontId="15" fillId="0" borderId="0" xfId="0" applyNumberFormat="1" applyFont="1" applyAlignment="1">
      <alignment horizontal="center"/>
    </xf>
    <xf numFmtId="3" fontId="15" fillId="27" borderId="0" xfId="12" quotePrefix="1" applyNumberFormat="1" applyFont="1" applyFill="1"/>
    <xf numFmtId="0" fontId="46" fillId="0" borderId="109" xfId="0" applyFont="1" applyBorder="1"/>
    <xf numFmtId="0" fontId="47" fillId="0" borderId="115" xfId="0" applyFont="1" applyBorder="1"/>
    <xf numFmtId="0" fontId="46" fillId="0" borderId="115" xfId="0" applyFont="1" applyBorder="1"/>
    <xf numFmtId="0" fontId="46" fillId="0" borderId="115" xfId="0" applyFont="1" applyBorder="1" applyAlignment="1">
      <alignment horizontal="right"/>
    </xf>
    <xf numFmtId="178" fontId="15" fillId="0" borderId="0" xfId="1" applyNumberFormat="1" applyFont="1"/>
    <xf numFmtId="178" fontId="15" fillId="0" borderId="0" xfId="1" applyNumberFormat="1" applyFont="1" applyAlignment="1">
      <alignment horizontal="center"/>
    </xf>
    <xf numFmtId="178" fontId="15" fillId="0" borderId="0" xfId="1" applyNumberFormat="1" applyFont="1" applyAlignment="1">
      <alignment horizontal="left"/>
    </xf>
    <xf numFmtId="37" fontId="15" fillId="0" borderId="0" xfId="1" applyNumberFormat="1" applyFont="1" applyAlignment="1">
      <alignment horizontal="right"/>
    </xf>
    <xf numFmtId="1" fontId="15" fillId="0" borderId="0" xfId="0" quotePrefix="1" applyNumberFormat="1" applyFont="1"/>
    <xf numFmtId="1" fontId="15" fillId="2" borderId="0" xfId="0" applyNumberFormat="1" applyFont="1" applyFill="1"/>
    <xf numFmtId="1" fontId="15" fillId="0" borderId="0" xfId="0" quotePrefix="1" applyNumberFormat="1" applyFont="1" applyAlignment="1">
      <alignment horizontal="right"/>
    </xf>
    <xf numFmtId="3" fontId="15" fillId="0" borderId="0" xfId="1" applyNumberFormat="1" applyFont="1" applyAlignment="1">
      <alignment horizontal="right"/>
    </xf>
    <xf numFmtId="1" fontId="15" fillId="0" borderId="0" xfId="1" applyNumberFormat="1" applyFont="1" applyAlignment="1">
      <alignment horizontal="center"/>
    </xf>
    <xf numFmtId="1" fontId="15" fillId="0" borderId="0" xfId="0" applyNumberFormat="1" applyFont="1" applyAlignment="1">
      <alignment horizontal="center"/>
    </xf>
    <xf numFmtId="178" fontId="15" fillId="0" borderId="0" xfId="1" applyNumberFormat="1" applyFont="1" applyAlignment="1">
      <alignment horizontal="right"/>
    </xf>
    <xf numFmtId="3" fontId="15" fillId="2" borderId="0" xfId="0" applyNumberFormat="1" applyFont="1" applyFill="1"/>
    <xf numFmtId="3" fontId="15" fillId="0" borderId="0" xfId="0" applyNumberFormat="1" applyFont="1" applyAlignment="1">
      <alignment horizontal="right"/>
    </xf>
    <xf numFmtId="1" fontId="15" fillId="0" borderId="0" xfId="0" quotePrefix="1" applyNumberFormat="1" applyFont="1" applyAlignment="1">
      <alignment horizontal="center"/>
    </xf>
    <xf numFmtId="0" fontId="15" fillId="0" borderId="109" xfId="0" applyFont="1" applyBorder="1" applyAlignment="1">
      <alignment horizontal="center"/>
    </xf>
    <xf numFmtId="0" fontId="29" fillId="0" borderId="115" xfId="0" applyFont="1" applyBorder="1" applyAlignment="1">
      <alignment horizontal="right"/>
    </xf>
    <xf numFmtId="10" fontId="15" fillId="0" borderId="115" xfId="14" applyNumberFormat="1" applyFont="1" applyBorder="1"/>
    <xf numFmtId="1" fontId="29" fillId="0" borderId="118" xfId="0" applyNumberFormat="1" applyFont="1" applyBorder="1"/>
    <xf numFmtId="178" fontId="15" fillId="0" borderId="0" xfId="0" applyNumberFormat="1" applyFont="1"/>
    <xf numFmtId="1" fontId="15" fillId="0" borderId="0" xfId="1" applyNumberFormat="1" applyFont="1"/>
    <xf numFmtId="0" fontId="15" fillId="0" borderId="25" xfId="12" applyFont="1" applyBorder="1" applyAlignment="1">
      <alignment horizontal="center"/>
    </xf>
    <xf numFmtId="0" fontId="15" fillId="0" borderId="109" xfId="12" applyFont="1" applyBorder="1" applyAlignment="1">
      <alignment horizontal="right"/>
    </xf>
    <xf numFmtId="9" fontId="15" fillId="0" borderId="24" xfId="12" applyNumberFormat="1" applyFont="1" applyBorder="1"/>
    <xf numFmtId="9" fontId="15" fillId="0" borderId="14" xfId="12" applyNumberFormat="1" applyFont="1" applyBorder="1" applyAlignment="1">
      <alignment horizontal="right"/>
    </xf>
    <xf numFmtId="9" fontId="17" fillId="0" borderId="109" xfId="12" applyNumberFormat="1" applyFont="1" applyBorder="1" applyAlignment="1">
      <alignment horizontal="right"/>
    </xf>
    <xf numFmtId="170" fontId="17" fillId="19" borderId="115" xfId="14" applyNumberFormat="1" applyFont="1" applyFill="1" applyBorder="1"/>
    <xf numFmtId="170" fontId="15" fillId="0" borderId="118" xfId="12" applyNumberFormat="1" applyFont="1" applyBorder="1"/>
    <xf numFmtId="170" fontId="17" fillId="0" borderId="115" xfId="14" applyNumberFormat="1" applyFont="1" applyBorder="1"/>
    <xf numFmtId="10" fontId="16" fillId="0" borderId="15" xfId="0" applyNumberFormat="1" applyFont="1" applyBorder="1" applyAlignment="1">
      <alignment horizontal="right"/>
    </xf>
    <xf numFmtId="0" fontId="16" fillId="0" borderId="25" xfId="12" applyBorder="1" applyAlignment="1">
      <alignment horizontal="right"/>
    </xf>
    <xf numFmtId="1" fontId="16" fillId="0" borderId="115" xfId="0" applyNumberFormat="1" applyFont="1" applyBorder="1" applyAlignment="1">
      <alignment horizontal="right"/>
    </xf>
    <xf numFmtId="10" fontId="16" fillId="0" borderId="118" xfId="14" applyNumberFormat="1" applyFont="1" applyBorder="1" applyAlignment="1">
      <alignment horizontal="right"/>
    </xf>
    <xf numFmtId="166" fontId="17" fillId="38" borderId="117" xfId="12" applyNumberFormat="1" applyFont="1" applyFill="1" applyBorder="1" applyProtection="1">
      <protection locked="0"/>
    </xf>
    <xf numFmtId="0" fontId="16" fillId="38" borderId="117" xfId="12" applyFill="1" applyBorder="1" applyProtection="1">
      <protection locked="0"/>
    </xf>
    <xf numFmtId="0" fontId="16" fillId="38" borderId="117" xfId="12" applyFill="1" applyBorder="1"/>
    <xf numFmtId="0" fontId="0" fillId="0" borderId="109" xfId="0" applyBorder="1" applyAlignment="1">
      <alignment horizontal="left"/>
    </xf>
    <xf numFmtId="175" fontId="16" fillId="7" borderId="115" xfId="12" applyNumberFormat="1" applyFill="1" applyBorder="1" applyAlignment="1">
      <alignment horizontal="left"/>
    </xf>
    <xf numFmtId="0" fontId="16" fillId="7" borderId="120" xfId="12" applyFill="1" applyBorder="1" applyAlignment="1">
      <alignment horizontal="left"/>
    </xf>
    <xf numFmtId="175" fontId="16" fillId="0" borderId="115" xfId="12" applyNumberFormat="1" applyBorder="1" applyAlignment="1">
      <alignment horizontal="left"/>
    </xf>
    <xf numFmtId="0" fontId="16" fillId="0" borderId="118" xfId="12" applyBorder="1" applyAlignment="1">
      <alignment horizontal="left"/>
    </xf>
    <xf numFmtId="166" fontId="16" fillId="38" borderId="117" xfId="12" applyNumberFormat="1" applyFill="1" applyBorder="1" applyAlignment="1" applyProtection="1">
      <alignment horizontal="right"/>
      <protection locked="0"/>
    </xf>
    <xf numFmtId="0" fontId="16" fillId="18" borderId="109" xfId="12" applyFill="1" applyBorder="1"/>
    <xf numFmtId="177" fontId="17" fillId="18" borderId="109" xfId="12" applyNumberFormat="1" applyFont="1" applyFill="1" applyBorder="1" applyAlignment="1">
      <alignment horizontal="right"/>
    </xf>
    <xf numFmtId="1" fontId="17" fillId="27" borderId="117" xfId="12" applyNumberFormat="1" applyFont="1" applyFill="1" applyBorder="1" applyAlignment="1" applyProtection="1">
      <alignment horizontal="right"/>
      <protection locked="0"/>
    </xf>
    <xf numFmtId="1" fontId="16" fillId="27" borderId="117" xfId="0" applyNumberFormat="1" applyFont="1" applyFill="1" applyBorder="1" applyAlignment="1" applyProtection="1">
      <alignment horizontal="right"/>
      <protection locked="0"/>
    </xf>
    <xf numFmtId="1" fontId="16" fillId="0" borderId="117" xfId="12" applyNumberFormat="1" applyBorder="1" applyProtection="1">
      <protection locked="0"/>
    </xf>
    <xf numFmtId="37" fontId="18" fillId="0" borderId="117" xfId="12" applyNumberFormat="1" applyFont="1" applyBorder="1" applyProtection="1">
      <protection locked="0"/>
    </xf>
    <xf numFmtId="169" fontId="23" fillId="0" borderId="117" xfId="12" applyNumberFormat="1" applyFont="1" applyBorder="1" applyProtection="1">
      <protection locked="0"/>
    </xf>
    <xf numFmtId="166" fontId="23" fillId="0" borderId="117" xfId="12" applyNumberFormat="1" applyFont="1" applyBorder="1" applyProtection="1">
      <protection locked="0"/>
    </xf>
    <xf numFmtId="0" fontId="18" fillId="0" borderId="117" xfId="12" applyFont="1" applyBorder="1" applyProtection="1">
      <protection locked="0"/>
    </xf>
    <xf numFmtId="37" fontId="23" fillId="0" borderId="117" xfId="12" applyNumberFormat="1" applyFont="1" applyBorder="1" applyProtection="1">
      <protection locked="0"/>
    </xf>
    <xf numFmtId="37" fontId="22" fillId="0" borderId="117" xfId="12" applyNumberFormat="1" applyFont="1" applyBorder="1"/>
    <xf numFmtId="0" fontId="49" fillId="0" borderId="115" xfId="12" applyFont="1" applyBorder="1" applyAlignment="1">
      <alignment horizontal="center"/>
    </xf>
    <xf numFmtId="166" fontId="16" fillId="27" borderId="0" xfId="12" applyNumberFormat="1" applyFill="1"/>
    <xf numFmtId="166" fontId="16" fillId="27" borderId="0" xfId="12" quotePrefix="1" applyNumberFormat="1" applyFill="1"/>
    <xf numFmtId="166" fontId="16" fillId="0" borderId="0" xfId="12" quotePrefix="1" applyNumberFormat="1"/>
    <xf numFmtId="0" fontId="0" fillId="39" borderId="109" xfId="0" applyFill="1" applyBorder="1" applyAlignment="1">
      <alignment horizontal="left"/>
    </xf>
    <xf numFmtId="0" fontId="0" fillId="39" borderId="115" xfId="0" applyFill="1" applyBorder="1"/>
    <xf numFmtId="0" fontId="16" fillId="27" borderId="0" xfId="12" applyFill="1" applyAlignment="1">
      <alignment horizontal="fill"/>
    </xf>
    <xf numFmtId="0" fontId="16" fillId="0" borderId="29" xfId="12" applyBorder="1"/>
    <xf numFmtId="0" fontId="16" fillId="15" borderId="29" xfId="12" applyFill="1" applyBorder="1"/>
    <xf numFmtId="0" fontId="0" fillId="0" borderId="115" xfId="0" applyBorder="1" applyAlignment="1">
      <alignment horizontal="left"/>
    </xf>
    <xf numFmtId="0" fontId="170" fillId="0" borderId="115" xfId="30" applyFont="1" applyBorder="1"/>
    <xf numFmtId="9" fontId="46" fillId="0" borderId="115" xfId="0" applyNumberFormat="1" applyFont="1" applyBorder="1"/>
    <xf numFmtId="1" fontId="85" fillId="0" borderId="115" xfId="0" quotePrefix="1" applyNumberFormat="1" applyFont="1" applyBorder="1"/>
    <xf numFmtId="0" fontId="15" fillId="0" borderId="16" xfId="0" applyFont="1" applyBorder="1"/>
    <xf numFmtId="1" fontId="0" fillId="0" borderId="115" xfId="0" applyNumberFormat="1" applyBorder="1"/>
    <xf numFmtId="1" fontId="15" fillId="0" borderId="115" xfId="0" applyNumberFormat="1" applyFont="1" applyBorder="1"/>
    <xf numFmtId="0" fontId="15" fillId="0" borderId="17" xfId="0" applyFont="1" applyBorder="1"/>
    <xf numFmtId="1" fontId="85" fillId="0" borderId="115" xfId="0" applyNumberFormat="1" applyFont="1" applyBorder="1"/>
    <xf numFmtId="1" fontId="15" fillId="18" borderId="32" xfId="0" applyNumberFormat="1" applyFont="1" applyFill="1" applyBorder="1" applyAlignment="1">
      <alignment horizontal="center"/>
    </xf>
    <xf numFmtId="168" fontId="16" fillId="0" borderId="0" xfId="12" applyNumberFormat="1"/>
    <xf numFmtId="0" fontId="16" fillId="0" borderId="11" xfId="12" applyBorder="1" applyAlignment="1">
      <alignment horizontal="center"/>
    </xf>
    <xf numFmtId="0" fontId="16" fillId="0" borderId="20" xfId="12" applyBorder="1" applyAlignment="1">
      <alignment horizontal="center"/>
    </xf>
    <xf numFmtId="0" fontId="16" fillId="0" borderId="6" xfId="12" applyBorder="1" applyAlignment="1">
      <alignment horizontal="center"/>
    </xf>
    <xf numFmtId="0" fontId="16" fillId="0" borderId="7" xfId="12" applyBorder="1" applyAlignment="1">
      <alignment horizontal="center"/>
    </xf>
    <xf numFmtId="0" fontId="16" fillId="0" borderId="19" xfId="12" applyBorder="1" applyAlignment="1">
      <alignment horizontal="center"/>
    </xf>
    <xf numFmtId="0" fontId="16" fillId="0" borderId="28" xfId="12" applyBorder="1" applyAlignment="1">
      <alignment horizontal="center"/>
    </xf>
    <xf numFmtId="9" fontId="16" fillId="0" borderId="9" xfId="12" applyNumberFormat="1" applyBorder="1" applyAlignment="1">
      <alignment horizontal="right"/>
    </xf>
    <xf numFmtId="9" fontId="16" fillId="0" borderId="0" xfId="14" quotePrefix="1" applyFont="1"/>
    <xf numFmtId="9" fontId="16" fillId="0" borderId="17" xfId="12" applyNumberFormat="1" applyBorder="1"/>
    <xf numFmtId="37" fontId="16" fillId="0" borderId="8" xfId="12" applyNumberFormat="1" applyBorder="1"/>
    <xf numFmtId="37" fontId="16" fillId="0" borderId="5" xfId="12" applyNumberFormat="1" applyBorder="1"/>
    <xf numFmtId="37" fontId="16" fillId="0" borderId="16" xfId="12" applyNumberFormat="1" applyBorder="1"/>
    <xf numFmtId="9" fontId="16" fillId="0" borderId="9" xfId="12" applyNumberFormat="1" applyBorder="1"/>
    <xf numFmtId="0" fontId="16" fillId="0" borderId="17" xfId="12" applyBorder="1"/>
    <xf numFmtId="9" fontId="16" fillId="0" borderId="9" xfId="12" quotePrefix="1" applyNumberFormat="1" applyBorder="1" applyAlignment="1">
      <alignment horizontal="right"/>
    </xf>
    <xf numFmtId="9" fontId="16" fillId="0" borderId="9" xfId="14" applyFont="1" applyBorder="1"/>
    <xf numFmtId="37" fontId="16" fillId="0" borderId="17" xfId="12" applyNumberFormat="1" applyBorder="1"/>
    <xf numFmtId="0" fontId="16" fillId="0" borderId="12" xfId="12" applyBorder="1" applyAlignment="1">
      <alignment horizontal="fill"/>
    </xf>
    <xf numFmtId="0" fontId="16" fillId="0" borderId="6" xfId="12" applyBorder="1" applyAlignment="1">
      <alignment horizontal="fill"/>
    </xf>
    <xf numFmtId="0" fontId="16" fillId="0" borderId="7" xfId="12" applyBorder="1" applyAlignment="1">
      <alignment horizontal="fill"/>
    </xf>
    <xf numFmtId="0" fontId="16" fillId="0" borderId="19" xfId="12" applyBorder="1" applyAlignment="1">
      <alignment horizontal="fill"/>
    </xf>
    <xf numFmtId="0" fontId="16" fillId="0" borderId="9" xfId="12" applyBorder="1" applyAlignment="1">
      <alignment horizontal="fill"/>
    </xf>
    <xf numFmtId="0" fontId="16" fillId="0" borderId="17" xfId="12" applyBorder="1" applyAlignment="1">
      <alignment horizontal="fill"/>
    </xf>
    <xf numFmtId="0" fontId="16" fillId="0" borderId="8" xfId="12" applyBorder="1" applyAlignment="1">
      <alignment horizontal="fill"/>
    </xf>
    <xf numFmtId="0" fontId="16" fillId="0" borderId="5" xfId="12" applyBorder="1" applyAlignment="1">
      <alignment horizontal="fill"/>
    </xf>
    <xf numFmtId="0" fontId="16" fillId="0" borderId="16" xfId="12" applyBorder="1" applyAlignment="1">
      <alignment horizontal="fill"/>
    </xf>
    <xf numFmtId="9" fontId="16" fillId="0" borderId="8" xfId="12" applyNumberFormat="1" applyBorder="1"/>
    <xf numFmtId="9" fontId="16" fillId="0" borderId="5" xfId="12" applyNumberFormat="1" applyBorder="1"/>
    <xf numFmtId="9" fontId="16" fillId="0" borderId="16" xfId="12" applyNumberFormat="1" applyBorder="1"/>
    <xf numFmtId="37" fontId="16" fillId="0" borderId="9" xfId="12" applyNumberFormat="1" applyBorder="1" applyAlignment="1">
      <alignment horizontal="fill"/>
    </xf>
    <xf numFmtId="37" fontId="16" fillId="0" borderId="17" xfId="12" applyNumberFormat="1" applyBorder="1" applyAlignment="1">
      <alignment horizontal="fill"/>
    </xf>
    <xf numFmtId="3" fontId="16" fillId="0" borderId="9" xfId="14" applyNumberFormat="1" applyFont="1" applyBorder="1"/>
    <xf numFmtId="3" fontId="16" fillId="0" borderId="0" xfId="14" applyNumberFormat="1" applyFont="1"/>
    <xf numFmtId="3" fontId="16" fillId="0" borderId="17" xfId="14" applyNumberFormat="1" applyFont="1" applyBorder="1"/>
    <xf numFmtId="3" fontId="16" fillId="0" borderId="9" xfId="14" quotePrefix="1" applyNumberFormat="1" applyFont="1" applyBorder="1"/>
    <xf numFmtId="3" fontId="16" fillId="0" borderId="17" xfId="12" applyNumberFormat="1" applyBorder="1"/>
    <xf numFmtId="37" fontId="16" fillId="0" borderId="9" xfId="12" applyNumberFormat="1" applyBorder="1"/>
    <xf numFmtId="3" fontId="16" fillId="0" borderId="9" xfId="12" applyNumberFormat="1" applyBorder="1" applyAlignment="1">
      <alignment horizontal="fill"/>
    </xf>
    <xf numFmtId="3" fontId="16" fillId="0" borderId="17" xfId="12" applyNumberFormat="1" applyBorder="1" applyAlignment="1">
      <alignment horizontal="fill"/>
    </xf>
    <xf numFmtId="0" fontId="16" fillId="0" borderId="9" xfId="12" applyBorder="1" applyAlignment="1">
      <alignment horizontal="left"/>
    </xf>
    <xf numFmtId="37" fontId="16" fillId="0" borderId="6" xfId="12" applyNumberFormat="1" applyBorder="1"/>
    <xf numFmtId="37" fontId="16" fillId="0" borderId="7" xfId="12" quotePrefix="1" applyNumberFormat="1" applyBorder="1"/>
    <xf numFmtId="37" fontId="16" fillId="0" borderId="19" xfId="12" applyNumberFormat="1" applyBorder="1"/>
    <xf numFmtId="37" fontId="16" fillId="0" borderId="7" xfId="12" applyNumberFormat="1" applyBorder="1"/>
    <xf numFmtId="37" fontId="16" fillId="0" borderId="23" xfId="12" applyNumberFormat="1" applyBorder="1" applyAlignment="1">
      <alignment horizontal="right"/>
    </xf>
    <xf numFmtId="3" fontId="16" fillId="0" borderId="0" xfId="14" quotePrefix="1" applyNumberFormat="1" applyFont="1"/>
    <xf numFmtId="3" fontId="16" fillId="0" borderId="8" xfId="14" applyNumberFormat="1" applyFont="1" applyBorder="1"/>
    <xf numFmtId="3" fontId="16" fillId="0" borderId="16" xfId="14" applyNumberFormat="1" applyFont="1" applyBorder="1"/>
    <xf numFmtId="3" fontId="16" fillId="0" borderId="16" xfId="12" applyNumberFormat="1" applyBorder="1"/>
    <xf numFmtId="3" fontId="16" fillId="0" borderId="9" xfId="12" applyNumberFormat="1" applyBorder="1" applyAlignment="1">
      <alignment horizontal="right"/>
    </xf>
    <xf numFmtId="3" fontId="16" fillId="0" borderId="0" xfId="12" applyNumberFormat="1" applyAlignment="1">
      <alignment horizontal="right"/>
    </xf>
    <xf numFmtId="3" fontId="16" fillId="0" borderId="17" xfId="12" applyNumberFormat="1" applyBorder="1" applyAlignment="1">
      <alignment horizontal="right"/>
    </xf>
    <xf numFmtId="3" fontId="16" fillId="0" borderId="6" xfId="12" applyNumberFormat="1" applyBorder="1" applyAlignment="1">
      <alignment horizontal="right"/>
    </xf>
    <xf numFmtId="3" fontId="16" fillId="0" borderId="7" xfId="12" applyNumberFormat="1" applyBorder="1" applyAlignment="1">
      <alignment horizontal="right"/>
    </xf>
    <xf numFmtId="3" fontId="16" fillId="0" borderId="19" xfId="12" applyNumberFormat="1" applyBorder="1" applyAlignment="1">
      <alignment horizontal="right"/>
    </xf>
    <xf numFmtId="37" fontId="16" fillId="0" borderId="0" xfId="12" quotePrefix="1" applyNumberFormat="1" applyAlignment="1">
      <alignment horizontal="fill"/>
    </xf>
    <xf numFmtId="3" fontId="16" fillId="0" borderId="21" xfId="14" applyNumberFormat="1" applyFont="1" applyBorder="1"/>
    <xf numFmtId="3" fontId="16" fillId="0" borderId="22" xfId="14" applyNumberFormat="1" applyFont="1" applyBorder="1"/>
    <xf numFmtId="3" fontId="16" fillId="0" borderId="23" xfId="12" applyNumberFormat="1" applyBorder="1"/>
    <xf numFmtId="3" fontId="16" fillId="0" borderId="21" xfId="12" applyNumberFormat="1" applyBorder="1"/>
    <xf numFmtId="3" fontId="16" fillId="0" borderId="22" xfId="12" applyNumberFormat="1" applyBorder="1"/>
    <xf numFmtId="178" fontId="16" fillId="0" borderId="23" xfId="1" applyNumberFormat="1" applyFont="1" applyBorder="1"/>
    <xf numFmtId="1" fontId="16" fillId="0" borderId="23" xfId="14" applyNumberFormat="1" applyFont="1" applyBorder="1"/>
    <xf numFmtId="0" fontId="29" fillId="0" borderId="118" xfId="0" applyFont="1" applyBorder="1"/>
    <xf numFmtId="0" fontId="29" fillId="0" borderId="109" xfId="0" applyFont="1" applyBorder="1" applyAlignment="1">
      <alignment vertical="center"/>
    </xf>
    <xf numFmtId="0" fontId="90" fillId="0" borderId="109" xfId="0" applyFont="1" applyBorder="1"/>
    <xf numFmtId="0" fontId="90" fillId="0" borderId="109" xfId="0" applyFont="1" applyBorder="1" applyAlignment="1">
      <alignment horizontal="center"/>
    </xf>
    <xf numFmtId="0" fontId="90" fillId="0" borderId="115" xfId="0" applyFont="1" applyBorder="1" applyAlignment="1">
      <alignment horizontal="center"/>
    </xf>
    <xf numFmtId="0" fontId="90" fillId="0" borderId="118" xfId="0" applyFont="1" applyBorder="1" applyAlignment="1">
      <alignment horizontal="center"/>
    </xf>
    <xf numFmtId="3" fontId="52" fillId="104" borderId="109" xfId="0" applyNumberFormat="1" applyFont="1" applyFill="1" applyBorder="1"/>
    <xf numFmtId="3" fontId="52" fillId="0" borderId="115" xfId="0" applyNumberFormat="1" applyFont="1" applyBorder="1"/>
    <xf numFmtId="178" fontId="53" fillId="0" borderId="115" xfId="19" applyNumberFormat="1" applyFont="1" applyFill="1" applyBorder="1"/>
    <xf numFmtId="9" fontId="53" fillId="0" borderId="118" xfId="0" applyNumberFormat="1" applyFont="1" applyBorder="1"/>
    <xf numFmtId="175" fontId="53" fillId="0" borderId="115" xfId="0" applyNumberFormat="1" applyFont="1" applyBorder="1"/>
    <xf numFmtId="175" fontId="52" fillId="0" borderId="118" xfId="0" applyNumberFormat="1" applyFont="1" applyBorder="1"/>
    <xf numFmtId="0" fontId="52" fillId="0" borderId="109" xfId="0" applyFont="1" applyBorder="1" applyAlignment="1">
      <alignment horizontal="right"/>
    </xf>
    <xf numFmtId="3" fontId="52" fillId="0" borderId="109" xfId="0" applyNumberFormat="1" applyFont="1" applyBorder="1"/>
    <xf numFmtId="3" fontId="52" fillId="0" borderId="115" xfId="0" applyNumberFormat="1" applyFont="1" applyBorder="1" applyAlignment="1">
      <alignment horizontal="right"/>
    </xf>
    <xf numFmtId="3" fontId="52" fillId="0" borderId="118" xfId="0" applyNumberFormat="1" applyFont="1" applyBorder="1" applyAlignment="1">
      <alignment horizontal="right"/>
    </xf>
    <xf numFmtId="0" fontId="0" fillId="22" borderId="109" xfId="0" applyFill="1" applyBorder="1" applyAlignment="1">
      <alignment horizontal="right"/>
    </xf>
    <xf numFmtId="3" fontId="52" fillId="102" borderId="115" xfId="0" applyNumberFormat="1" applyFont="1" applyFill="1" applyBorder="1"/>
    <xf numFmtId="178" fontId="52" fillId="103" borderId="115" xfId="19" applyNumberFormat="1" applyFill="1" applyBorder="1"/>
    <xf numFmtId="178" fontId="52" fillId="22" borderId="118" xfId="0" applyNumberFormat="1" applyFont="1" applyFill="1" applyBorder="1"/>
    <xf numFmtId="1" fontId="15" fillId="0" borderId="109" xfId="0" applyNumberFormat="1" applyFont="1" applyBorder="1"/>
    <xf numFmtId="1" fontId="15" fillId="0" borderId="118" xfId="0" applyNumberFormat="1" applyFont="1" applyBorder="1" applyAlignment="1">
      <alignment horizontal="center"/>
    </xf>
    <xf numFmtId="1" fontId="15" fillId="0" borderId="118" xfId="0" applyNumberFormat="1" applyFont="1" applyBorder="1"/>
    <xf numFmtId="170" fontId="15" fillId="0" borderId="118" xfId="14" applyNumberFormat="1" applyBorder="1"/>
    <xf numFmtId="170" fontId="15" fillId="0" borderId="115" xfId="14" applyNumberFormat="1" applyBorder="1"/>
    <xf numFmtId="9" fontId="29" fillId="0" borderId="109" xfId="12" applyNumberFormat="1" applyFont="1" applyBorder="1"/>
    <xf numFmtId="170" fontId="15" fillId="0" borderId="109" xfId="12" applyNumberFormat="1" applyFont="1" applyBorder="1"/>
    <xf numFmtId="170" fontId="15" fillId="0" borderId="115" xfId="12" applyNumberFormat="1" applyFont="1" applyBorder="1"/>
    <xf numFmtId="170" fontId="15" fillId="16" borderId="115" xfId="12" applyNumberFormat="1" applyFont="1" applyFill="1" applyBorder="1"/>
    <xf numFmtId="37" fontId="0" fillId="0" borderId="109" xfId="0" applyNumberFormat="1" applyBorder="1"/>
    <xf numFmtId="37" fontId="0" fillId="0" borderId="118" xfId="0" applyNumberFormat="1" applyBorder="1"/>
    <xf numFmtId="0" fontId="15" fillId="0" borderId="109" xfId="12" applyFont="1" applyBorder="1"/>
    <xf numFmtId="1" fontId="15" fillId="0" borderId="109" xfId="12" applyNumberFormat="1" applyFont="1" applyBorder="1"/>
    <xf numFmtId="1" fontId="15" fillId="0" borderId="115" xfId="12" applyNumberFormat="1" applyFont="1" applyBorder="1"/>
    <xf numFmtId="1" fontId="15" fillId="0" borderId="118" xfId="12" applyNumberFormat="1" applyFont="1" applyBorder="1"/>
    <xf numFmtId="2" fontId="29" fillId="16" borderId="17" xfId="0" applyNumberFormat="1" applyFont="1" applyFill="1" applyBorder="1"/>
    <xf numFmtId="0" fontId="15" fillId="0" borderId="117" xfId="12" applyFont="1" applyBorder="1" applyAlignment="1">
      <alignment horizontal="center"/>
    </xf>
    <xf numFmtId="170" fontId="15" fillId="0" borderId="15" xfId="12" applyNumberFormat="1" applyFont="1" applyBorder="1" applyAlignment="1">
      <alignment horizontal="right" wrapText="1"/>
    </xf>
    <xf numFmtId="170" fontId="15" fillId="0" borderId="15" xfId="12" quotePrefix="1" applyNumberFormat="1" applyFont="1" applyBorder="1" applyAlignment="1">
      <alignment horizontal="right" wrapText="1"/>
    </xf>
    <xf numFmtId="170" fontId="15" fillId="0" borderId="25" xfId="12" applyNumberFormat="1" applyFont="1" applyBorder="1"/>
    <xf numFmtId="10" fontId="15" fillId="0" borderId="118" xfId="12" applyNumberFormat="1" applyFont="1" applyBorder="1" applyAlignment="1">
      <alignment horizontal="right" wrapText="1"/>
    </xf>
    <xf numFmtId="181" fontId="15" fillId="0" borderId="0" xfId="12" applyNumberFormat="1" applyFont="1"/>
    <xf numFmtId="181" fontId="15" fillId="0" borderId="115" xfId="12" applyNumberFormat="1" applyFont="1" applyBorder="1"/>
    <xf numFmtId="170" fontId="0" fillId="0" borderId="109" xfId="14" applyNumberFormat="1" applyFont="1" applyBorder="1"/>
    <xf numFmtId="170" fontId="0" fillId="0" borderId="118" xfId="14" applyNumberFormat="1" applyFont="1" applyBorder="1"/>
    <xf numFmtId="0" fontId="15" fillId="0" borderId="8" xfId="12" applyFont="1" applyBorder="1"/>
    <xf numFmtId="0" fontId="15" fillId="0" borderId="9" xfId="12" applyFont="1" applyBorder="1"/>
    <xf numFmtId="170" fontId="15" fillId="0" borderId="11" xfId="14" applyNumberFormat="1" applyFont="1" applyBorder="1" applyAlignment="1">
      <alignment horizontal="right"/>
    </xf>
    <xf numFmtId="0" fontId="15" fillId="0" borderId="6" xfId="12" applyFont="1" applyBorder="1"/>
    <xf numFmtId="170" fontId="15" fillId="0" borderId="12" xfId="14" applyNumberFormat="1" applyFont="1" applyBorder="1" applyAlignment="1">
      <alignment horizontal="right"/>
    </xf>
    <xf numFmtId="170" fontId="15" fillId="0" borderId="0" xfId="14" applyNumberFormat="1" applyFont="1" applyAlignment="1">
      <alignment horizontal="right"/>
    </xf>
    <xf numFmtId="37" fontId="16" fillId="31" borderId="118" xfId="23" applyNumberFormat="1" applyFont="1" applyFill="1" applyBorder="1" applyAlignment="1">
      <alignment vertical="top"/>
    </xf>
    <xf numFmtId="37" fontId="16" fillId="31" borderId="109" xfId="23" applyNumberFormat="1" applyFont="1" applyFill="1" applyBorder="1" applyAlignment="1">
      <alignment vertical="top"/>
    </xf>
    <xf numFmtId="0" fontId="15" fillId="27" borderId="17" xfId="23" applyFill="1" applyBorder="1"/>
    <xf numFmtId="0" fontId="16" fillId="27" borderId="17" xfId="23" applyFont="1" applyFill="1" applyBorder="1" applyAlignment="1">
      <alignment wrapText="1"/>
    </xf>
    <xf numFmtId="10" fontId="16" fillId="31" borderId="25" xfId="0" applyNumberFormat="1" applyFont="1" applyFill="1" applyBorder="1" applyProtection="1">
      <protection locked="0"/>
    </xf>
    <xf numFmtId="10" fontId="16" fillId="31" borderId="121" xfId="0" applyNumberFormat="1" applyFont="1" applyFill="1" applyBorder="1" applyProtection="1">
      <protection locked="0"/>
    </xf>
    <xf numFmtId="0" fontId="15" fillId="27" borderId="17" xfId="91" applyFill="1" applyBorder="1"/>
    <xf numFmtId="3" fontId="15" fillId="27" borderId="17" xfId="91" applyNumberFormat="1" applyFill="1" applyBorder="1"/>
    <xf numFmtId="0" fontId="29" fillId="0" borderId="2" xfId="11" applyFont="1" applyBorder="1" applyAlignment="1"/>
    <xf numFmtId="10" fontId="63" fillId="0" borderId="0" xfId="11" applyNumberFormat="1" applyFont="1" applyAlignment="1">
      <alignment horizontal="centerContinuous"/>
    </xf>
    <xf numFmtId="0" fontId="63" fillId="0" borderId="0" xfId="11" applyFont="1" applyAlignment="1">
      <alignment horizontal="centerContinuous"/>
    </xf>
    <xf numFmtId="0" fontId="29" fillId="0" borderId="0" xfId="11" applyFont="1" applyAlignment="1">
      <alignment horizontal="left"/>
    </xf>
    <xf numFmtId="0" fontId="29" fillId="0" borderId="0" xfId="11" applyFont="1" applyAlignment="1">
      <alignment horizontal="centerContinuous"/>
    </xf>
    <xf numFmtId="0" fontId="29" fillId="0" borderId="3" xfId="11" applyFont="1" applyBorder="1" applyAlignment="1">
      <alignment horizontal="centerContinuous"/>
    </xf>
    <xf numFmtId="0" fontId="63" fillId="0" borderId="0" xfId="11" applyFont="1" applyAlignment="1">
      <alignment horizontal="center"/>
    </xf>
    <xf numFmtId="0" fontId="63" fillId="0" borderId="15" xfId="11" applyFont="1" applyBorder="1" applyAlignment="1">
      <alignment horizontal="center"/>
    </xf>
    <xf numFmtId="10" fontId="63" fillId="0" borderId="0" xfId="11" applyNumberFormat="1" applyFont="1" applyAlignment="1">
      <alignment horizontal="center"/>
    </xf>
    <xf numFmtId="0" fontId="15" fillId="0" borderId="114" xfId="11" applyBorder="1" applyAlignment="1"/>
    <xf numFmtId="0" fontId="46" fillId="0" borderId="2" xfId="11" applyFont="1" applyBorder="1" applyAlignment="1"/>
    <xf numFmtId="1" fontId="20" fillId="0" borderId="0" xfId="11" applyNumberFormat="1" applyFont="1" applyAlignment="1"/>
    <xf numFmtId="3" fontId="46" fillId="0" borderId="14" xfId="11" applyNumberFormat="1" applyFont="1" applyBorder="1" applyAlignment="1"/>
    <xf numFmtId="0" fontId="15" fillId="0" borderId="109" xfId="11" applyBorder="1" applyAlignment="1"/>
    <xf numFmtId="0" fontId="15" fillId="0" borderId="115" xfId="11" applyBorder="1" applyAlignment="1"/>
    <xf numFmtId="9" fontId="15" fillId="16" borderId="115" xfId="11" applyNumberFormat="1" applyFill="1" applyBorder="1" applyAlignment="1"/>
    <xf numFmtId="0" fontId="15" fillId="0" borderId="118" xfId="11" applyBorder="1" applyAlignment="1"/>
    <xf numFmtId="0" fontId="29" fillId="0" borderId="115" xfId="3353" applyFont="1" applyBorder="1"/>
    <xf numFmtId="0" fontId="29" fillId="0" borderId="115" xfId="3353" applyFont="1" applyBorder="1" applyAlignment="1">
      <alignment wrapText="1"/>
    </xf>
    <xf numFmtId="0" fontId="15" fillId="0" borderId="115" xfId="3353" applyBorder="1" applyAlignment="1">
      <alignment horizontal="center" wrapText="1"/>
    </xf>
    <xf numFmtId="0" fontId="15" fillId="0" borderId="115" xfId="3353" applyBorder="1" applyAlignment="1">
      <alignment wrapText="1"/>
    </xf>
    <xf numFmtId="14" fontId="15" fillId="0" borderId="115" xfId="3353" applyNumberFormat="1" applyBorder="1" applyAlignment="1">
      <alignment wrapText="1"/>
    </xf>
    <xf numFmtId="14" fontId="15" fillId="0" borderId="115" xfId="3353" applyNumberFormat="1" applyBorder="1"/>
    <xf numFmtId="0" fontId="15" fillId="0" borderId="115" xfId="3353" applyBorder="1"/>
    <xf numFmtId="0" fontId="15" fillId="0" borderId="115" xfId="3353" applyBorder="1" applyAlignment="1">
      <alignment horizontal="center"/>
    </xf>
    <xf numFmtId="0" fontId="129" fillId="0" borderId="115" xfId="23619" applyFont="1" applyBorder="1" applyAlignment="1">
      <alignment wrapText="1"/>
    </xf>
    <xf numFmtId="0" fontId="129" fillId="0" borderId="115" xfId="23619" applyFont="1" applyBorder="1"/>
    <xf numFmtId="0" fontId="129" fillId="27" borderId="115" xfId="23619" applyFont="1" applyFill="1" applyBorder="1"/>
    <xf numFmtId="0" fontId="2" fillId="27" borderId="115" xfId="23619" applyFill="1" applyBorder="1"/>
    <xf numFmtId="0" fontId="2" fillId="27" borderId="115" xfId="23619" applyFill="1" applyBorder="1" applyAlignment="1">
      <alignment wrapText="1"/>
    </xf>
    <xf numFmtId="14" fontId="130" fillId="27" borderId="115" xfId="23619" applyNumberFormat="1" applyFont="1" applyFill="1" applyBorder="1" applyAlignment="1">
      <alignment horizontal="center"/>
    </xf>
    <xf numFmtId="0" fontId="2" fillId="0" borderId="115" xfId="23619" applyBorder="1"/>
    <xf numFmtId="14" fontId="2" fillId="0" borderId="115" xfId="23619" applyNumberFormat="1" applyBorder="1" applyAlignment="1">
      <alignment horizontal="center"/>
    </xf>
    <xf numFmtId="0" fontId="2" fillId="0" borderId="115" xfId="23619" applyBorder="1" applyAlignment="1">
      <alignment wrapText="1"/>
    </xf>
    <xf numFmtId="14" fontId="130" fillId="0" borderId="115" xfId="23619" applyNumberFormat="1" applyFont="1" applyBorder="1" applyAlignment="1">
      <alignment horizontal="center"/>
    </xf>
    <xf numFmtId="0" fontId="129" fillId="0" borderId="115" xfId="23330" applyFont="1" applyBorder="1" applyAlignment="1">
      <alignment wrapText="1"/>
    </xf>
    <xf numFmtId="0" fontId="129" fillId="0" borderId="115" xfId="23330" applyFont="1" applyBorder="1"/>
    <xf numFmtId="0" fontId="2" fillId="0" borderId="115" xfId="23330" applyFont="1" applyBorder="1"/>
    <xf numFmtId="14" fontId="4" fillId="0" borderId="115" xfId="23330" applyNumberFormat="1" applyBorder="1" applyAlignment="1">
      <alignment horizontal="center"/>
    </xf>
    <xf numFmtId="0" fontId="4" fillId="0" borderId="115" xfId="23330" applyBorder="1" applyAlignment="1">
      <alignment wrapText="1"/>
    </xf>
    <xf numFmtId="0" fontId="2" fillId="0" borderId="115" xfId="23330" applyFont="1" applyBorder="1" applyAlignment="1">
      <alignment wrapText="1"/>
    </xf>
    <xf numFmtId="14" fontId="130" fillId="0" borderId="115" xfId="23330" applyNumberFormat="1" applyFont="1" applyBorder="1" applyAlignment="1">
      <alignment horizontal="center"/>
    </xf>
    <xf numFmtId="0" fontId="4" fillId="0" borderId="115" xfId="23330" applyBorder="1"/>
    <xf numFmtId="14" fontId="2" fillId="0" borderId="115" xfId="23330" applyNumberFormat="1" applyFont="1" applyBorder="1" applyAlignment="1">
      <alignment horizontal="right" wrapText="1"/>
    </xf>
    <xf numFmtId="0" fontId="130" fillId="0" borderId="115" xfId="23330" applyFont="1" applyBorder="1" applyAlignment="1">
      <alignment wrapText="1"/>
    </xf>
    <xf numFmtId="14" fontId="2" fillId="0" borderId="115" xfId="23330" applyNumberFormat="1" applyFont="1" applyBorder="1" applyAlignment="1">
      <alignment horizontal="center"/>
    </xf>
    <xf numFmtId="0" fontId="2" fillId="0" borderId="115" xfId="23617" applyBorder="1"/>
    <xf numFmtId="0" fontId="129" fillId="42" borderId="115" xfId="23617" applyFont="1" applyFill="1" applyBorder="1"/>
    <xf numFmtId="0" fontId="2" fillId="0" borderId="115" xfId="23617" applyBorder="1" applyAlignment="1">
      <alignment horizontal="right"/>
    </xf>
    <xf numFmtId="0" fontId="15" fillId="0" borderId="115" xfId="23618" applyBorder="1"/>
    <xf numFmtId="0" fontId="129" fillId="0" borderId="115" xfId="23617" applyFont="1" applyBorder="1"/>
    <xf numFmtId="0" fontId="2" fillId="16" borderId="115" xfId="23617" applyFill="1" applyBorder="1" applyAlignment="1">
      <alignment horizontal="right"/>
    </xf>
    <xf numFmtId="0" fontId="2" fillId="0" borderId="115" xfId="23617" quotePrefix="1" applyBorder="1" applyAlignment="1">
      <alignment wrapText="1"/>
    </xf>
    <xf numFmtId="0" fontId="59" fillId="0" borderId="121" xfId="0" applyFont="1" applyBorder="1" applyAlignment="1">
      <alignment horizontal="center"/>
    </xf>
    <xf numFmtId="1" fontId="0" fillId="0" borderId="107" xfId="0" applyNumberFormat="1" applyBorder="1" applyAlignment="1">
      <alignment horizontal="right"/>
    </xf>
    <xf numFmtId="0" fontId="15" fillId="0" borderId="107" xfId="0" applyFont="1" applyBorder="1"/>
    <xf numFmtId="1" fontId="15" fillId="0" borderId="107" xfId="0" applyNumberFormat="1" applyFont="1" applyBorder="1"/>
    <xf numFmtId="1" fontId="0" fillId="0" borderId="107" xfId="0" applyNumberFormat="1" applyBorder="1"/>
    <xf numFmtId="1" fontId="29" fillId="0" borderId="107" xfId="0" applyNumberFormat="1" applyFont="1" applyBorder="1"/>
    <xf numFmtId="1" fontId="85" fillId="0" borderId="107" xfId="0" applyNumberFormat="1" applyFont="1" applyBorder="1"/>
    <xf numFmtId="0" fontId="16" fillId="0" borderId="107" xfId="12" applyBorder="1" applyAlignment="1">
      <alignment horizontal="center"/>
    </xf>
    <xf numFmtId="170" fontId="15" fillId="0" borderId="107" xfId="14" applyNumberFormat="1" applyBorder="1"/>
    <xf numFmtId="0" fontId="15" fillId="0" borderId="123" xfId="3353" applyBorder="1"/>
    <xf numFmtId="0" fontId="112" fillId="34" borderId="123" xfId="28" applyFont="1" applyFill="1" applyBorder="1" applyAlignment="1">
      <alignment horizontal="left"/>
    </xf>
    <xf numFmtId="0" fontId="120" fillId="34" borderId="123" xfId="28" applyFont="1" applyFill="1" applyBorder="1"/>
    <xf numFmtId="0" fontId="113" fillId="34" borderId="123" xfId="28" applyFont="1" applyFill="1" applyBorder="1"/>
    <xf numFmtId="0" fontId="16" fillId="0" borderId="124" xfId="12" applyBorder="1" applyAlignment="1">
      <alignment horizontal="center"/>
    </xf>
    <xf numFmtId="0" fontId="16" fillId="0" borderId="125" xfId="12" applyBorder="1" applyAlignment="1">
      <alignment horizontal="center"/>
    </xf>
    <xf numFmtId="0" fontId="16" fillId="0" borderId="126" xfId="12" applyBorder="1" applyAlignment="1">
      <alignment horizontal="center"/>
    </xf>
    <xf numFmtId="0" fontId="16" fillId="0" borderId="123" xfId="12" applyBorder="1" applyAlignment="1">
      <alignment horizontal="center"/>
    </xf>
    <xf numFmtId="0" fontId="16" fillId="0" borderId="127" xfId="12" applyBorder="1" applyAlignment="1">
      <alignment horizontal="center"/>
    </xf>
    <xf numFmtId="181" fontId="16" fillId="0" borderId="123" xfId="12" applyNumberFormat="1" applyBorder="1" applyAlignment="1">
      <alignment horizontal="center"/>
    </xf>
    <xf numFmtId="49" fontId="16" fillId="0" borderId="123" xfId="12" applyNumberFormat="1" applyBorder="1" applyAlignment="1">
      <alignment horizontal="center"/>
    </xf>
    <xf numFmtId="0" fontId="16" fillId="0" borderId="123" xfId="12" applyBorder="1"/>
    <xf numFmtId="0" fontId="16" fillId="0" borderId="123" xfId="12" applyBorder="1" applyAlignment="1">
      <alignment horizontal="right"/>
    </xf>
    <xf numFmtId="10" fontId="96" fillId="0" borderId="123" xfId="14" applyNumberFormat="1" applyFont="1" applyBorder="1"/>
    <xf numFmtId="0" fontId="16" fillId="0" borderId="125" xfId="12" applyBorder="1" applyAlignment="1">
      <alignment horizontal="left"/>
    </xf>
    <xf numFmtId="37" fontId="16" fillId="0" borderId="124" xfId="12" applyNumberFormat="1" applyBorder="1"/>
    <xf numFmtId="37" fontId="16" fillId="0" borderId="125" xfId="12" applyNumberFormat="1" applyBorder="1" applyAlignment="1">
      <alignment horizontal="right"/>
    </xf>
    <xf numFmtId="37" fontId="16" fillId="0" borderId="124" xfId="12" applyNumberFormat="1" applyBorder="1" applyAlignment="1">
      <alignment horizontal="right"/>
    </xf>
    <xf numFmtId="37" fontId="16" fillId="0" borderId="128" xfId="12" applyNumberFormat="1" applyBorder="1" applyAlignment="1">
      <alignment horizontal="right"/>
    </xf>
    <xf numFmtId="37" fontId="16" fillId="0" borderId="128" xfId="12" applyNumberFormat="1" applyBorder="1"/>
    <xf numFmtId="37" fontId="16" fillId="0" borderId="129" xfId="12" applyNumberFormat="1" applyBorder="1" applyAlignment="1">
      <alignment horizontal="right"/>
    </xf>
    <xf numFmtId="37" fontId="16" fillId="36" borderId="129" xfId="12" applyNumberFormat="1" applyFill="1" applyBorder="1"/>
    <xf numFmtId="37" fontId="16" fillId="0" borderId="123" xfId="12" applyNumberFormat="1" applyBorder="1"/>
    <xf numFmtId="0" fontId="16" fillId="0" borderId="122" xfId="12" quotePrefix="1" applyBorder="1" applyAlignment="1">
      <alignment horizontal="right"/>
    </xf>
    <xf numFmtId="37" fontId="17" fillId="16" borderId="122" xfId="12" applyNumberFormat="1" applyFont="1" applyFill="1" applyBorder="1"/>
    <xf numFmtId="0" fontId="21" fillId="0" borderId="124" xfId="12" applyFont="1" applyBorder="1"/>
    <xf numFmtId="0" fontId="16" fillId="27" borderId="124" xfId="12" applyFill="1" applyBorder="1" applyProtection="1">
      <protection locked="0"/>
    </xf>
    <xf numFmtId="0" fontId="171" fillId="97" borderId="130" xfId="0" applyFont="1" applyFill="1" applyBorder="1" applyAlignment="1">
      <alignment horizontal="center" vertical="center" wrapText="1"/>
    </xf>
    <xf numFmtId="1" fontId="16" fillId="27" borderId="130" xfId="12" applyNumberFormat="1" applyFill="1" applyBorder="1" applyProtection="1">
      <protection locked="0"/>
    </xf>
    <xf numFmtId="1" fontId="16" fillId="38" borderId="130" xfId="12" applyNumberFormat="1" applyFill="1" applyBorder="1" applyProtection="1">
      <protection locked="0"/>
    </xf>
    <xf numFmtId="166" fontId="17" fillId="38" borderId="130" xfId="12" applyNumberFormat="1" applyFont="1" applyFill="1" applyBorder="1" applyProtection="1">
      <protection locked="0"/>
    </xf>
    <xf numFmtId="0" fontId="16" fillId="38" borderId="130" xfId="12" applyFill="1" applyBorder="1" applyProtection="1">
      <protection locked="0"/>
    </xf>
    <xf numFmtId="1" fontId="16" fillId="38" borderId="130" xfId="1" applyNumberFormat="1" applyFont="1" applyFill="1" applyBorder="1"/>
    <xf numFmtId="0" fontId="16" fillId="38" borderId="130" xfId="12" applyFill="1" applyBorder="1" applyAlignment="1" applyProtection="1">
      <alignment horizontal="right"/>
      <protection locked="0"/>
    </xf>
    <xf numFmtId="0" fontId="16" fillId="38" borderId="130" xfId="12" applyFill="1" applyBorder="1" applyAlignment="1" applyProtection="1">
      <alignment horizontal="left"/>
      <protection locked="0"/>
    </xf>
    <xf numFmtId="0" fontId="17" fillId="27" borderId="132" xfId="12" applyFont="1" applyFill="1" applyBorder="1" applyProtection="1">
      <protection locked="0"/>
    </xf>
    <xf numFmtId="1" fontId="16" fillId="0" borderId="130" xfId="12" applyNumberFormat="1" applyBorder="1" applyAlignment="1">
      <alignment horizontal="right"/>
    </xf>
    <xf numFmtId="177" fontId="17" fillId="18" borderId="118" xfId="12" applyNumberFormat="1" applyFont="1" applyFill="1" applyBorder="1" applyAlignment="1">
      <alignment horizontal="right"/>
    </xf>
    <xf numFmtId="0" fontId="16" fillId="0" borderId="133" xfId="12" applyBorder="1" applyAlignment="1">
      <alignment horizontal="left"/>
    </xf>
    <xf numFmtId="0" fontId="29" fillId="0" borderId="134" xfId="0" applyFont="1" applyBorder="1"/>
    <xf numFmtId="1" fontId="0" fillId="0" borderId="134" xfId="0" applyNumberFormat="1" applyBorder="1"/>
    <xf numFmtId="1" fontId="0" fillId="0" borderId="135" xfId="0" applyNumberFormat="1" applyBorder="1"/>
    <xf numFmtId="0" fontId="15" fillId="0" borderId="134" xfId="0" applyFont="1" applyBorder="1"/>
    <xf numFmtId="0" fontId="15" fillId="0" borderId="135" xfId="0" applyFont="1" applyBorder="1"/>
    <xf numFmtId="1" fontId="15" fillId="0" borderId="134" xfId="0" applyNumberFormat="1" applyFont="1" applyBorder="1"/>
    <xf numFmtId="1" fontId="15" fillId="0" borderId="135" xfId="0" applyNumberFormat="1" applyFont="1" applyBorder="1"/>
    <xf numFmtId="0" fontId="0" fillId="0" borderId="134" xfId="0" applyBorder="1"/>
    <xf numFmtId="9" fontId="16" fillId="0" borderId="136" xfId="12" applyNumberFormat="1" applyBorder="1"/>
    <xf numFmtId="0" fontId="16" fillId="0" borderId="137" xfId="12" applyBorder="1"/>
    <xf numFmtId="37" fontId="16" fillId="31" borderId="139" xfId="23" applyNumberFormat="1" applyFont="1" applyFill="1" applyBorder="1" applyAlignment="1">
      <alignment vertical="top"/>
    </xf>
    <xf numFmtId="37" fontId="16" fillId="31" borderId="140" xfId="23" applyNumberFormat="1" applyFont="1" applyFill="1" applyBorder="1" applyAlignment="1">
      <alignment vertical="top"/>
    </xf>
    <xf numFmtId="37" fontId="16" fillId="31" borderId="135" xfId="23" applyNumberFormat="1" applyFont="1" applyFill="1" applyBorder="1" applyAlignment="1">
      <alignment vertical="top"/>
    </xf>
    <xf numFmtId="0" fontId="2" fillId="0" borderId="134" xfId="23619" applyBorder="1" applyAlignment="1">
      <alignment horizontal="center" vertical="center" wrapText="1"/>
    </xf>
    <xf numFmtId="0" fontId="129" fillId="0" borderId="134" xfId="23619" applyFont="1" applyBorder="1"/>
    <xf numFmtId="0" fontId="2" fillId="0" borderId="134" xfId="23619" applyBorder="1"/>
    <xf numFmtId="14" fontId="2" fillId="0" borderId="134" xfId="23619" applyNumberFormat="1" applyBorder="1" applyAlignment="1">
      <alignment horizontal="center" wrapText="1"/>
    </xf>
    <xf numFmtId="0" fontId="130" fillId="0" borderId="134" xfId="23619" applyFont="1" applyBorder="1" applyAlignment="1">
      <alignment wrapText="1"/>
    </xf>
    <xf numFmtId="0" fontId="2" fillId="0" borderId="134" xfId="23619" applyBorder="1" applyAlignment="1">
      <alignment wrapText="1"/>
    </xf>
    <xf numFmtId="0" fontId="130" fillId="0" borderId="134" xfId="23619" applyFont="1" applyBorder="1"/>
    <xf numFmtId="0" fontId="2" fillId="27" borderId="134" xfId="23619" applyFill="1" applyBorder="1"/>
    <xf numFmtId="0" fontId="2" fillId="0" borderId="134" xfId="23330" applyFont="1" applyBorder="1" applyAlignment="1">
      <alignment horizontal="center" vertical="center" wrapText="1"/>
    </xf>
    <xf numFmtId="0" fontId="129" fillId="0" borderId="134" xfId="23330" applyFont="1" applyBorder="1"/>
    <xf numFmtId="0" fontId="4" fillId="0" borderId="134" xfId="23330" applyBorder="1"/>
    <xf numFmtId="14" fontId="2" fillId="0" borderId="134" xfId="23330" applyNumberFormat="1" applyFont="1" applyBorder="1" applyAlignment="1">
      <alignment horizontal="center" wrapText="1"/>
    </xf>
    <xf numFmtId="0" fontId="2" fillId="0" borderId="134" xfId="23330" applyFont="1" applyBorder="1"/>
    <xf numFmtId="0" fontId="130" fillId="0" borderId="134" xfId="23330" applyFont="1" applyBorder="1" applyAlignment="1">
      <alignment wrapText="1"/>
    </xf>
    <xf numFmtId="0" fontId="2" fillId="0" borderId="134" xfId="23330" applyFont="1" applyBorder="1" applyAlignment="1">
      <alignment wrapText="1"/>
    </xf>
    <xf numFmtId="0" fontId="130" fillId="0" borderId="134" xfId="23330" applyFont="1" applyBorder="1"/>
    <xf numFmtId="0" fontId="4" fillId="27" borderId="134" xfId="23330" applyFill="1" applyBorder="1"/>
    <xf numFmtId="0" fontId="4" fillId="0" borderId="134" xfId="23330" applyBorder="1" applyAlignment="1">
      <alignment wrapText="1"/>
    </xf>
    <xf numFmtId="14" fontId="130" fillId="0" borderId="134" xfId="23330" applyNumberFormat="1" applyFont="1" applyBorder="1" applyAlignment="1">
      <alignment horizontal="center"/>
    </xf>
    <xf numFmtId="0" fontId="2" fillId="0" borderId="134" xfId="23330" applyFont="1" applyBorder="1" applyAlignment="1">
      <alignment horizontal="center" vertical="center"/>
    </xf>
    <xf numFmtId="14" fontId="130" fillId="0" borderId="134" xfId="23330" applyNumberFormat="1" applyFont="1" applyBorder="1"/>
    <xf numFmtId="0" fontId="2" fillId="0" borderId="134" xfId="23617" applyBorder="1"/>
    <xf numFmtId="0" fontId="129" fillId="0" borderId="134" xfId="23617" applyFont="1" applyBorder="1"/>
    <xf numFmtId="0" fontId="2" fillId="40" borderId="134" xfId="23617" applyFill="1" applyBorder="1"/>
    <xf numFmtId="0" fontId="59" fillId="0" borderId="5" xfId="0" applyFont="1" applyBorder="1" applyAlignment="1">
      <alignment vertical="top" wrapText="1"/>
    </xf>
    <xf numFmtId="0" fontId="59" fillId="0" borderId="37" xfId="0" applyFont="1" applyBorder="1"/>
    <xf numFmtId="0" fontId="59" fillId="0" borderId="20" xfId="0" applyFont="1" applyBorder="1"/>
    <xf numFmtId="170" fontId="59" fillId="0" borderId="32" xfId="14" applyNumberFormat="1" applyFont="1" applyBorder="1" applyAlignment="1">
      <alignment horizontal="center"/>
    </xf>
    <xf numFmtId="0" fontId="0" fillId="0" borderId="32" xfId="0" applyBorder="1"/>
    <xf numFmtId="0" fontId="0" fillId="40" borderId="140" xfId="0" applyFill="1" applyBorder="1"/>
    <xf numFmtId="0" fontId="15" fillId="40" borderId="139" xfId="0" applyFont="1" applyFill="1" applyBorder="1" applyAlignment="1">
      <alignment wrapText="1"/>
    </xf>
    <xf numFmtId="0" fontId="0" fillId="40" borderId="139" xfId="0" applyFill="1" applyBorder="1"/>
    <xf numFmtId="0" fontId="15" fillId="40" borderId="139" xfId="0" applyFont="1" applyFill="1" applyBorder="1"/>
    <xf numFmtId="0" fontId="29" fillId="40" borderId="140" xfId="0" applyFont="1" applyFill="1" applyBorder="1"/>
    <xf numFmtId="0" fontId="29" fillId="40" borderId="139" xfId="0" applyFont="1" applyFill="1" applyBorder="1"/>
    <xf numFmtId="0" fontId="29" fillId="0" borderId="140" xfId="0" applyFont="1" applyBorder="1"/>
    <xf numFmtId="0" fontId="15" fillId="0" borderId="140" xfId="0" applyFont="1" applyBorder="1" applyAlignment="1">
      <alignment horizontal="right"/>
    </xf>
    <xf numFmtId="0" fontId="15" fillId="0" borderId="134" xfId="0" applyFont="1" applyBorder="1" applyAlignment="1">
      <alignment horizontal="right"/>
    </xf>
    <xf numFmtId="0" fontId="15" fillId="0" borderId="139" xfId="0" applyFont="1" applyBorder="1" applyAlignment="1">
      <alignment horizontal="right"/>
    </xf>
    <xf numFmtId="0" fontId="15" fillId="0" borderId="139" xfId="0" applyFont="1" applyBorder="1"/>
    <xf numFmtId="170" fontId="15" fillId="0" borderId="140" xfId="14" quotePrefix="1" applyNumberFormat="1" applyFont="1" applyBorder="1" applyAlignment="1">
      <alignment horizontal="right"/>
    </xf>
    <xf numFmtId="170" fontId="15" fillId="0" borderId="134" xfId="14" quotePrefix="1" applyNumberFormat="1" applyFont="1" applyBorder="1" applyAlignment="1">
      <alignment horizontal="right"/>
    </xf>
    <xf numFmtId="170" fontId="15" fillId="0" borderId="139" xfId="14" quotePrefix="1" applyNumberFormat="1" applyFont="1" applyBorder="1" applyAlignment="1">
      <alignment horizontal="right"/>
    </xf>
    <xf numFmtId="0" fontId="128" fillId="27" borderId="140" xfId="12" applyFont="1" applyFill="1" applyBorder="1"/>
    <xf numFmtId="0" fontId="128" fillId="27" borderId="139" xfId="12" quotePrefix="1" applyFont="1" applyFill="1" applyBorder="1"/>
    <xf numFmtId="0" fontId="15" fillId="39" borderId="140" xfId="0" applyFont="1" applyFill="1" applyBorder="1"/>
    <xf numFmtId="0" fontId="15" fillId="39" borderId="134" xfId="0" applyFont="1" applyFill="1" applyBorder="1"/>
    <xf numFmtId="10" fontId="16" fillId="31" borderId="130" xfId="0" applyNumberFormat="1" applyFont="1" applyFill="1" applyBorder="1" applyProtection="1">
      <protection locked="0"/>
    </xf>
    <xf numFmtId="0" fontId="29" fillId="0" borderId="141" xfId="3353" applyFont="1" applyBorder="1"/>
    <xf numFmtId="0" fontId="15" fillId="0" borderId="141" xfId="3353" applyBorder="1"/>
    <xf numFmtId="14" fontId="15" fillId="0" borderId="141" xfId="3353" applyNumberFormat="1" applyBorder="1"/>
    <xf numFmtId="0" fontId="15" fillId="0" borderId="141" xfId="3353" applyBorder="1" applyAlignment="1">
      <alignment horizontal="center"/>
    </xf>
    <xf numFmtId="3" fontId="15" fillId="0" borderId="142" xfId="11" applyNumberFormat="1" applyBorder="1" applyAlignment="1"/>
    <xf numFmtId="0" fontId="59" fillId="0" borderId="0" xfId="0" applyFont="1"/>
    <xf numFmtId="0" fontId="178" fillId="0" borderId="0" xfId="0" applyFont="1" applyAlignment="1">
      <alignment horizontal="center"/>
    </xf>
    <xf numFmtId="0" fontId="59" fillId="0" borderId="6" xfId="0" applyFont="1" applyBorder="1"/>
    <xf numFmtId="0" fontId="59" fillId="0" borderId="7" xfId="0" applyFont="1" applyBorder="1"/>
    <xf numFmtId="170" fontId="59" fillId="0" borderId="33" xfId="14" applyNumberFormat="1" applyFont="1" applyFill="1" applyBorder="1" applyAlignment="1">
      <alignment horizontal="center"/>
    </xf>
    <xf numFmtId="0" fontId="16" fillId="0" borderId="142" xfId="12" applyBorder="1" applyAlignment="1">
      <alignment horizontal="center"/>
    </xf>
    <xf numFmtId="0" fontId="16" fillId="0" borderId="142" xfId="12" applyBorder="1"/>
    <xf numFmtId="196" fontId="16" fillId="0" borderId="142" xfId="12" applyNumberFormat="1" applyBorder="1"/>
    <xf numFmtId="0" fontId="0" fillId="0" borderId="142" xfId="0" applyBorder="1"/>
    <xf numFmtId="0" fontId="59" fillId="0" borderId="118" xfId="0" applyFont="1" applyBorder="1"/>
    <xf numFmtId="0" fontId="15" fillId="0" borderId="142" xfId="0" applyFont="1" applyBorder="1"/>
    <xf numFmtId="0" fontId="15" fillId="0" borderId="142" xfId="0" applyFont="1" applyBorder="1" applyAlignment="1">
      <alignment horizontal="right"/>
    </xf>
    <xf numFmtId="170" fontId="15" fillId="0" borderId="142" xfId="14" quotePrefix="1" applyNumberFormat="1" applyFont="1" applyBorder="1" applyAlignment="1">
      <alignment horizontal="right"/>
    </xf>
    <xf numFmtId="170" fontId="15" fillId="0" borderId="142" xfId="14" applyNumberFormat="1" applyFont="1" applyBorder="1"/>
    <xf numFmtId="0" fontId="0" fillId="0" borderId="142" xfId="0" applyBorder="1" applyAlignment="1">
      <alignment horizontal="right"/>
    </xf>
    <xf numFmtId="0" fontId="16" fillId="0" borderId="142" xfId="12" applyBorder="1" applyAlignment="1">
      <alignment horizontal="left"/>
    </xf>
    <xf numFmtId="0" fontId="17" fillId="0" borderId="116" xfId="12" applyFont="1" applyBorder="1"/>
    <xf numFmtId="0" fontId="29" fillId="0" borderId="142" xfId="0" applyFont="1" applyBorder="1"/>
    <xf numFmtId="0" fontId="52" fillId="0" borderId="142" xfId="0" applyFont="1" applyBorder="1"/>
    <xf numFmtId="0" fontId="0" fillId="22" borderId="142" xfId="0" applyFill="1" applyBorder="1"/>
    <xf numFmtId="37" fontId="15" fillId="0" borderId="142" xfId="12" applyNumberFormat="1" applyFont="1" applyBorder="1"/>
    <xf numFmtId="37" fontId="0" fillId="0" borderId="142" xfId="0" applyNumberFormat="1" applyBorder="1"/>
    <xf numFmtId="1" fontId="15" fillId="0" borderId="142" xfId="0" applyNumberFormat="1" applyFont="1" applyBorder="1"/>
    <xf numFmtId="170" fontId="15" fillId="0" borderId="142" xfId="14" applyNumberFormat="1" applyBorder="1"/>
    <xf numFmtId="0" fontId="16" fillId="0" borderId="142" xfId="12" applyBorder="1" applyAlignment="1">
      <alignment horizontal="fill"/>
    </xf>
    <xf numFmtId="170" fontId="15" fillId="16" borderId="142" xfId="14" applyNumberFormat="1" applyFill="1" applyBorder="1"/>
    <xf numFmtId="0" fontId="15" fillId="0" borderId="142" xfId="12" applyFont="1" applyBorder="1" applyAlignment="1">
      <alignment horizontal="right"/>
    </xf>
    <xf numFmtId="37" fontId="0" fillId="0" borderId="142" xfId="0" applyNumberFormat="1" applyBorder="1" applyAlignment="1">
      <alignment horizontal="right" wrapText="1"/>
    </xf>
    <xf numFmtId="170" fontId="15" fillId="0" borderId="142" xfId="12" applyNumberFormat="1" applyFont="1" applyBorder="1"/>
    <xf numFmtId="170" fontId="0" fillId="0" borderId="142" xfId="14" applyNumberFormat="1" applyFont="1" applyBorder="1"/>
    <xf numFmtId="0" fontId="15" fillId="0" borderId="142" xfId="11" applyBorder="1" applyAlignment="1"/>
    <xf numFmtId="0" fontId="44" fillId="0" borderId="116" xfId="11" applyFont="1" applyBorder="1" applyAlignment="1">
      <alignment horizontal="center"/>
    </xf>
    <xf numFmtId="10" fontId="15" fillId="0" borderId="116" xfId="11" applyNumberFormat="1" applyBorder="1" applyAlignment="1"/>
    <xf numFmtId="14" fontId="15" fillId="0" borderId="115" xfId="0" applyNumberFormat="1" applyFont="1" applyBorder="1"/>
    <xf numFmtId="182" fontId="16" fillId="104" borderId="0" xfId="12" applyNumberFormat="1" applyFill="1"/>
    <xf numFmtId="1" fontId="16" fillId="27" borderId="117" xfId="12" applyNumberFormat="1" applyFill="1" applyBorder="1" applyProtection="1">
      <protection locked="0"/>
    </xf>
    <xf numFmtId="172" fontId="17" fillId="104" borderId="131" xfId="12" applyNumberFormat="1" applyFont="1" applyFill="1" applyBorder="1" applyProtection="1">
      <protection locked="0"/>
    </xf>
    <xf numFmtId="175" fontId="17" fillId="104" borderId="100" xfId="12" applyNumberFormat="1" applyFont="1" applyFill="1" applyBorder="1" applyProtection="1">
      <protection locked="0"/>
    </xf>
    <xf numFmtId="175" fontId="16" fillId="104" borderId="100" xfId="12" applyNumberFormat="1" applyFill="1" applyBorder="1" applyProtection="1">
      <protection locked="0"/>
    </xf>
    <xf numFmtId="0" fontId="16" fillId="104" borderId="61" xfId="12" quotePrefix="1" applyFill="1" applyBorder="1"/>
    <xf numFmtId="177" fontId="16" fillId="104" borderId="14" xfId="12" applyNumberFormat="1" applyFill="1" applyBorder="1"/>
    <xf numFmtId="177" fontId="16" fillId="104" borderId="15" xfId="12" applyNumberFormat="1" applyFill="1" applyBorder="1"/>
    <xf numFmtId="177" fontId="16" fillId="104" borderId="109" xfId="12" applyNumberFormat="1" applyFill="1" applyBorder="1" applyAlignment="1">
      <alignment horizontal="right"/>
    </xf>
    <xf numFmtId="177" fontId="16" fillId="104" borderId="118" xfId="12" applyNumberFormat="1" applyFill="1" applyBorder="1" applyAlignment="1">
      <alignment horizontal="right"/>
    </xf>
    <xf numFmtId="175" fontId="16" fillId="104" borderId="101" xfId="12" applyNumberFormat="1" applyFill="1" applyBorder="1" applyProtection="1">
      <protection locked="0"/>
    </xf>
    <xf numFmtId="180" fontId="17" fillId="104" borderId="100" xfId="12" applyNumberFormat="1" applyFont="1" applyFill="1" applyBorder="1"/>
    <xf numFmtId="175" fontId="16" fillId="104" borderId="130" xfId="12" applyNumberFormat="1" applyFill="1" applyBorder="1" applyProtection="1">
      <protection locked="0"/>
    </xf>
    <xf numFmtId="37" fontId="16" fillId="7" borderId="0" xfId="17691" applyNumberFormat="1" applyFont="1" applyFill="1" applyProtection="1">
      <protection locked="0"/>
    </xf>
    <xf numFmtId="180" fontId="17" fillId="104" borderId="100" xfId="0" applyNumberFormat="1" applyFont="1" applyFill="1" applyBorder="1" applyProtection="1">
      <protection locked="0"/>
    </xf>
    <xf numFmtId="180" fontId="16" fillId="104" borderId="25" xfId="12" applyNumberFormat="1" applyFill="1" applyBorder="1" applyProtection="1">
      <protection locked="0"/>
    </xf>
    <xf numFmtId="1" fontId="16" fillId="104" borderId="130" xfId="12" applyNumberFormat="1" applyFill="1" applyBorder="1" applyAlignment="1" applyProtection="1">
      <alignment horizontal="center"/>
      <protection locked="0"/>
    </xf>
    <xf numFmtId="0" fontId="182" fillId="104" borderId="143" xfId="0" applyFont="1" applyFill="1" applyBorder="1" applyAlignment="1">
      <alignment vertical="center" wrapText="1"/>
    </xf>
    <xf numFmtId="0" fontId="16" fillId="104" borderId="0" xfId="12" quotePrefix="1" applyFill="1"/>
    <xf numFmtId="1" fontId="16" fillId="104" borderId="0" xfId="12" applyNumberFormat="1" applyFill="1"/>
    <xf numFmtId="37" fontId="16" fillId="104" borderId="0" xfId="12" applyNumberFormat="1" applyFill="1" applyAlignment="1">
      <alignment horizontal="right"/>
    </xf>
    <xf numFmtId="0" fontId="16" fillId="106" borderId="130" xfId="3353" applyFont="1" applyFill="1" applyBorder="1" applyAlignment="1">
      <alignment vertical="center" wrapText="1"/>
    </xf>
    <xf numFmtId="0" fontId="17" fillId="104" borderId="0" xfId="12" applyFont="1" applyFill="1"/>
    <xf numFmtId="0" fontId="16" fillId="104" borderId="130" xfId="12" applyFill="1" applyBorder="1" applyAlignment="1">
      <alignment horizontal="left"/>
    </xf>
    <xf numFmtId="187" fontId="15" fillId="104" borderId="10" xfId="23" applyNumberFormat="1" applyFill="1" applyBorder="1"/>
    <xf numFmtId="175" fontId="15" fillId="104" borderId="130" xfId="23" applyNumberFormat="1" applyFill="1" applyBorder="1" applyAlignment="1">
      <alignment horizontal="right"/>
    </xf>
    <xf numFmtId="0" fontId="14" fillId="39" borderId="0" xfId="59" applyFill="1"/>
    <xf numFmtId="0" fontId="183" fillId="0" borderId="0" xfId="59" applyFont="1"/>
    <xf numFmtId="175" fontId="16" fillId="21" borderId="0" xfId="12" applyNumberFormat="1" applyFill="1"/>
    <xf numFmtId="175" fontId="17" fillId="21" borderId="100" xfId="12" applyNumberFormat="1" applyFont="1" applyFill="1" applyBorder="1"/>
    <xf numFmtId="0" fontId="29" fillId="0" borderId="134" xfId="3353" applyFont="1" applyBorder="1"/>
    <xf numFmtId="0" fontId="15" fillId="0" borderId="134" xfId="3353" applyBorder="1"/>
    <xf numFmtId="14" fontId="15" fillId="0" borderId="134" xfId="3353" applyNumberFormat="1" applyBorder="1"/>
    <xf numFmtId="0" fontId="15" fillId="0" borderId="134" xfId="3353" applyBorder="1" applyAlignment="1">
      <alignment wrapText="1"/>
    </xf>
    <xf numFmtId="0" fontId="15" fillId="0" borderId="134" xfId="3353" applyBorder="1" applyAlignment="1">
      <alignment horizontal="center"/>
    </xf>
    <xf numFmtId="198" fontId="16" fillId="104" borderId="117" xfId="12" applyNumberFormat="1" applyFill="1" applyBorder="1"/>
    <xf numFmtId="1" fontId="16" fillId="104" borderId="117" xfId="12" applyNumberFormat="1" applyFill="1" applyBorder="1" applyProtection="1">
      <protection locked="0"/>
    </xf>
    <xf numFmtId="0" fontId="16" fillId="27" borderId="117" xfId="12" applyFill="1" applyBorder="1"/>
    <xf numFmtId="1" fontId="16" fillId="38" borderId="117" xfId="12" applyNumberFormat="1" applyFill="1" applyBorder="1"/>
    <xf numFmtId="175" fontId="71" fillId="19" borderId="0" xfId="0" applyNumberFormat="1" applyFont="1" applyFill="1"/>
    <xf numFmtId="175" fontId="71" fillId="19" borderId="0" xfId="0" applyNumberFormat="1" applyFont="1" applyFill="1" applyAlignment="1">
      <alignment horizontal="right"/>
    </xf>
    <xf numFmtId="1" fontId="71" fillId="19" borderId="0" xfId="0" applyNumberFormat="1" applyFont="1" applyFill="1"/>
    <xf numFmtId="0" fontId="15" fillId="19" borderId="0" xfId="0" applyFont="1" applyFill="1"/>
    <xf numFmtId="0" fontId="70" fillId="19" borderId="0" xfId="0" applyFont="1" applyFill="1"/>
    <xf numFmtId="0" fontId="29" fillId="19" borderId="146" xfId="0" applyFont="1" applyFill="1" applyBorder="1"/>
    <xf numFmtId="0" fontId="15" fillId="19" borderId="146" xfId="0" applyFont="1" applyFill="1" applyBorder="1"/>
    <xf numFmtId="0" fontId="29" fillId="19" borderId="0" xfId="0" applyFont="1" applyFill="1"/>
    <xf numFmtId="0" fontId="29" fillId="19" borderId="0" xfId="0" applyFont="1" applyFill="1" applyAlignment="1">
      <alignment horizontal="right"/>
    </xf>
    <xf numFmtId="0" fontId="15" fillId="19" borderId="15" xfId="0" applyFont="1" applyFill="1" applyBorder="1"/>
    <xf numFmtId="2" fontId="29" fillId="96" borderId="0" xfId="0" applyNumberFormat="1" applyFont="1" applyFill="1"/>
    <xf numFmtId="170" fontId="131" fillId="0" borderId="2" xfId="12" applyNumberFormat="1" applyFont="1" applyBorder="1" applyAlignment="1">
      <alignment horizontal="center"/>
    </xf>
    <xf numFmtId="3" fontId="17" fillId="0" borderId="0" xfId="12" applyNumberFormat="1" applyFont="1" applyAlignment="1">
      <alignment horizontal="center"/>
    </xf>
    <xf numFmtId="0" fontId="17" fillId="0" borderId="9" xfId="12" applyFont="1" applyBorder="1" applyAlignment="1">
      <alignment horizontal="center"/>
    </xf>
    <xf numFmtId="0" fontId="17" fillId="0" borderId="61" xfId="12" applyFont="1" applyBorder="1" applyAlignment="1">
      <alignment horizontal="center"/>
    </xf>
    <xf numFmtId="0" fontId="17" fillId="0" borderId="0" xfId="12" applyFont="1" applyAlignment="1">
      <alignment horizontal="center"/>
    </xf>
    <xf numFmtId="0" fontId="49" fillId="0" borderId="0" xfId="12" applyFont="1" applyAlignment="1">
      <alignment horizontal="center"/>
    </xf>
    <xf numFmtId="0" fontId="63" fillId="0" borderId="0" xfId="0" applyFont="1" applyAlignment="1">
      <alignment horizontal="center"/>
    </xf>
    <xf numFmtId="0" fontId="17" fillId="0" borderId="21" xfId="12" applyFont="1" applyBorder="1" applyAlignment="1">
      <alignment horizontal="center"/>
    </xf>
    <xf numFmtId="0" fontId="17" fillId="0" borderId="22" xfId="12" applyFont="1" applyBorder="1" applyAlignment="1">
      <alignment horizontal="center"/>
    </xf>
    <xf numFmtId="0" fontId="17" fillId="0" borderId="23" xfId="12" applyFont="1" applyBorder="1" applyAlignment="1">
      <alignment horizontal="center"/>
    </xf>
    <xf numFmtId="0" fontId="17" fillId="0" borderId="5" xfId="12" applyFont="1" applyBorder="1" applyAlignment="1">
      <alignment horizontal="center"/>
    </xf>
    <xf numFmtId="0" fontId="0" fillId="0" borderId="16" xfId="0" applyBorder="1" applyAlignment="1">
      <alignment horizontal="center"/>
    </xf>
    <xf numFmtId="0" fontId="0" fillId="0" borderId="22" xfId="0" applyBorder="1" applyAlignment="1">
      <alignment horizontal="center"/>
    </xf>
    <xf numFmtId="0" fontId="39" fillId="0" borderId="0" xfId="12" applyFont="1" applyAlignment="1">
      <alignment horizontal="center"/>
    </xf>
    <xf numFmtId="0" fontId="17" fillId="0" borderId="15" xfId="12" applyFont="1" applyBorder="1" applyAlignment="1">
      <alignment horizontal="center"/>
    </xf>
    <xf numFmtId="0" fontId="29" fillId="0" borderId="115" xfId="0" applyFont="1" applyBorder="1" applyAlignment="1">
      <alignment horizontal="center"/>
    </xf>
    <xf numFmtId="0" fontId="29" fillId="0" borderId="107" xfId="0" applyFont="1" applyBorder="1" applyAlignment="1">
      <alignment horizontal="center"/>
    </xf>
    <xf numFmtId="0" fontId="15" fillId="0" borderId="0" xfId="0" quotePrefix="1" applyFont="1" applyAlignment="1">
      <alignment horizontal="center"/>
    </xf>
    <xf numFmtId="0" fontId="0" fillId="0" borderId="0" xfId="0" applyAlignment="1">
      <alignment wrapText="1"/>
    </xf>
    <xf numFmtId="0" fontId="29" fillId="0" borderId="0" xfId="0" applyFont="1" applyAlignment="1">
      <alignment horizontal="center"/>
    </xf>
    <xf numFmtId="0" fontId="15" fillId="0" borderId="0" xfId="0" applyFont="1" applyAlignment="1">
      <alignment horizontal="center"/>
    </xf>
    <xf numFmtId="0" fontId="16" fillId="0" borderId="27" xfId="12" applyBorder="1" applyAlignment="1">
      <alignment horizontal="center"/>
    </xf>
    <xf numFmtId="0" fontId="16" fillId="0" borderId="5" xfId="12" applyBorder="1" applyAlignment="1">
      <alignment horizontal="center"/>
    </xf>
    <xf numFmtId="0" fontId="16" fillId="0" borderId="8" xfId="12" applyBorder="1" applyAlignment="1">
      <alignment horizontal="center"/>
    </xf>
    <xf numFmtId="0" fontId="2" fillId="0" borderId="0" xfId="23619" applyAlignment="1">
      <alignment horizontal="center" vertical="center" wrapText="1"/>
    </xf>
    <xf numFmtId="0" fontId="2" fillId="0" borderId="0" xfId="23619" applyAlignment="1">
      <alignment horizontal="center" vertical="center"/>
    </xf>
    <xf numFmtId="0" fontId="2" fillId="27" borderId="0" xfId="23619" applyFill="1" applyAlignment="1">
      <alignment horizontal="center" vertical="center" wrapText="1"/>
    </xf>
    <xf numFmtId="0" fontId="2" fillId="27" borderId="0" xfId="23619" applyFill="1" applyAlignment="1">
      <alignment horizontal="center" vertical="center"/>
    </xf>
    <xf numFmtId="0" fontId="16" fillId="0" borderId="146" xfId="12" applyBorder="1" applyAlignment="1">
      <alignment horizontal="right"/>
    </xf>
    <xf numFmtId="170" fontId="16" fillId="0" borderId="146" xfId="12" applyNumberFormat="1" applyBorder="1" applyAlignment="1">
      <alignment horizontal="right"/>
    </xf>
    <xf numFmtId="0" fontId="16" fillId="0" borderId="146" xfId="12" applyBorder="1"/>
    <xf numFmtId="10" fontId="16" fillId="0" borderId="146" xfId="14" applyNumberFormat="1" applyFont="1" applyBorder="1"/>
    <xf numFmtId="0" fontId="16" fillId="0" borderId="149" xfId="12" applyBorder="1" applyAlignment="1">
      <alignment horizontal="left"/>
    </xf>
    <xf numFmtId="37" fontId="16" fillId="0" borderId="150" xfId="12" applyNumberFormat="1" applyBorder="1"/>
    <xf numFmtId="37" fontId="16" fillId="0" borderId="151" xfId="12" applyNumberFormat="1" applyBorder="1"/>
    <xf numFmtId="37" fontId="16" fillId="0" borderId="152" xfId="12" applyNumberFormat="1" applyBorder="1" applyAlignment="1">
      <alignment horizontal="right"/>
    </xf>
    <xf numFmtId="37" fontId="16" fillId="0" borderId="152" xfId="12" applyNumberFormat="1" applyBorder="1"/>
    <xf numFmtId="0" fontId="17" fillId="0" borderId="144" xfId="12" applyFont="1" applyBorder="1"/>
    <xf numFmtId="0" fontId="16" fillId="0" borderId="144" xfId="12" applyBorder="1"/>
    <xf numFmtId="37" fontId="16" fillId="0" borderId="144" xfId="12" quotePrefix="1" applyNumberFormat="1" applyBorder="1"/>
    <xf numFmtId="0" fontId="17" fillId="0" borderId="152" xfId="12" applyFont="1" applyBorder="1" applyAlignment="1">
      <alignment horizontal="center"/>
    </xf>
    <xf numFmtId="0" fontId="16" fillId="0" borderId="150" xfId="12" applyBorder="1"/>
    <xf numFmtId="0" fontId="17" fillId="0" borderId="150" xfId="12" applyFont="1" applyBorder="1"/>
    <xf numFmtId="0" fontId="16" fillId="0" borderId="153" xfId="12" applyBorder="1"/>
    <xf numFmtId="0" fontId="0" fillId="0" borderId="144" xfId="0" applyBorder="1"/>
    <xf numFmtId="0" fontId="15" fillId="0" borderId="144" xfId="0" applyFont="1" applyBorder="1"/>
    <xf numFmtId="0" fontId="29" fillId="0" borderId="152" xfId="12" applyFont="1" applyBorder="1" applyAlignment="1">
      <alignment horizontal="center"/>
    </xf>
    <xf numFmtId="0" fontId="29" fillId="0" borderId="152" xfId="12" applyFont="1" applyBorder="1"/>
    <xf numFmtId="0" fontId="54" fillId="0" borderId="144" xfId="12" applyFont="1" applyBorder="1" applyAlignment="1">
      <alignment horizontal="right"/>
    </xf>
    <xf numFmtId="0" fontId="49" fillId="0" borderId="146" xfId="12" applyFont="1" applyBorder="1"/>
    <xf numFmtId="0" fontId="71" fillId="0" borderId="146" xfId="0" applyFont="1" applyBorder="1"/>
    <xf numFmtId="0" fontId="45" fillId="0" borderId="144" xfId="12" applyFont="1" applyBorder="1"/>
    <xf numFmtId="0" fontId="17" fillId="0" borderId="146" xfId="12" applyFont="1" applyBorder="1"/>
    <xf numFmtId="0" fontId="0" fillId="0" borderId="146" xfId="0" applyBorder="1"/>
    <xf numFmtId="0" fontId="16" fillId="0" borderId="144" xfId="12" applyBorder="1" applyAlignment="1">
      <alignment horizontal="fill"/>
    </xf>
    <xf numFmtId="0" fontId="16" fillId="0" borderId="146" xfId="12" applyBorder="1" applyAlignment="1">
      <alignment horizontal="fill"/>
    </xf>
    <xf numFmtId="0" fontId="15" fillId="0" borderId="146" xfId="0" applyFont="1" applyBorder="1"/>
    <xf numFmtId="0" fontId="29" fillId="14" borderId="146" xfId="0" applyFont="1" applyFill="1" applyBorder="1" applyAlignment="1">
      <alignment horizontal="center"/>
    </xf>
    <xf numFmtId="0" fontId="29" fillId="10" borderId="146" xfId="12" applyFont="1" applyFill="1" applyBorder="1" applyAlignment="1">
      <alignment horizontal="center"/>
    </xf>
    <xf numFmtId="0" fontId="44" fillId="0" borderId="144" xfId="0" applyFont="1" applyBorder="1"/>
    <xf numFmtId="0" fontId="29" fillId="0" borderId="144" xfId="0" applyFont="1" applyBorder="1"/>
    <xf numFmtId="0" fontId="15" fillId="0" borderId="144" xfId="0" quotePrefix="1" applyFont="1" applyBorder="1" applyAlignment="1">
      <alignment horizontal="right"/>
    </xf>
    <xf numFmtId="0" fontId="15" fillId="0" borderId="146" xfId="0" applyFont="1" applyBorder="1" applyAlignment="1">
      <alignment horizontal="right"/>
    </xf>
    <xf numFmtId="0" fontId="29" fillId="0" borderId="146" xfId="0" applyFont="1" applyBorder="1"/>
    <xf numFmtId="170" fontId="15" fillId="0" borderId="144" xfId="14" quotePrefix="1" applyNumberFormat="1" applyFont="1" applyBorder="1" applyAlignment="1">
      <alignment horizontal="right"/>
    </xf>
    <xf numFmtId="170" fontId="15" fillId="0" borderId="146" xfId="14" quotePrefix="1" applyNumberFormat="1" applyFont="1" applyBorder="1" applyAlignment="1">
      <alignment horizontal="right"/>
    </xf>
    <xf numFmtId="170" fontId="15" fillId="0" borderId="144" xfId="14" applyNumberFormat="1" applyFont="1" applyBorder="1"/>
    <xf numFmtId="170" fontId="15" fillId="0" borderId="146" xfId="14" applyNumberFormat="1" applyFont="1" applyBorder="1"/>
    <xf numFmtId="170" fontId="15" fillId="0" borderId="145" xfId="14" applyNumberFormat="1" applyFont="1" applyBorder="1"/>
    <xf numFmtId="0" fontId="15" fillId="19" borderId="142" xfId="0" applyFont="1" applyFill="1" applyBorder="1"/>
    <xf numFmtId="0" fontId="15" fillId="0" borderId="144" xfId="0" applyFont="1" applyBorder="1" applyAlignment="1">
      <alignment horizontal="center"/>
    </xf>
    <xf numFmtId="0" fontId="15" fillId="0" borderId="145" xfId="12" applyFont="1" applyBorder="1"/>
    <xf numFmtId="0" fontId="15" fillId="0" borderId="146" xfId="0" applyFont="1" applyBorder="1" applyAlignment="1">
      <alignment horizontal="center"/>
    </xf>
    <xf numFmtId="37" fontId="16" fillId="0" borderId="145" xfId="12" applyNumberFormat="1" applyBorder="1"/>
    <xf numFmtId="37" fontId="16" fillId="0" borderId="144" xfId="12" applyNumberFormat="1" applyBorder="1" applyAlignment="1">
      <alignment horizontal="right"/>
    </xf>
    <xf numFmtId="37" fontId="16" fillId="0" borderId="146" xfId="12" quotePrefix="1" applyNumberFormat="1" applyBorder="1"/>
    <xf numFmtId="0" fontId="16" fillId="0" borderId="145" xfId="12" applyBorder="1" applyAlignment="1">
      <alignment horizontal="fill"/>
    </xf>
    <xf numFmtId="0" fontId="16" fillId="0" borderId="147" xfId="12" applyBorder="1" applyAlignment="1">
      <alignment vertical="center"/>
    </xf>
    <xf numFmtId="0" fontId="18" fillId="0" borderId="147" xfId="12" applyFont="1" applyBorder="1" applyAlignment="1" applyProtection="1">
      <alignment vertical="center"/>
      <protection locked="0"/>
    </xf>
    <xf numFmtId="0" fontId="42" fillId="0" borderId="154" xfId="12" applyFont="1" applyBorder="1" applyAlignment="1">
      <alignment horizontal="left" vertical="center"/>
    </xf>
    <xf numFmtId="0" fontId="18" fillId="0" borderId="154" xfId="12" quotePrefix="1" applyFont="1" applyBorder="1" applyAlignment="1">
      <alignment vertical="center" wrapText="1"/>
    </xf>
    <xf numFmtId="0" fontId="16" fillId="0" borderId="146" xfId="12" applyBorder="1" applyAlignment="1">
      <alignment horizontal="left"/>
    </xf>
    <xf numFmtId="0" fontId="15" fillId="104" borderId="147" xfId="12" applyFont="1" applyFill="1" applyBorder="1" applyProtection="1">
      <protection locked="0"/>
    </xf>
    <xf numFmtId="1" fontId="16" fillId="38" borderId="147" xfId="12" applyNumberFormat="1" applyFill="1" applyBorder="1"/>
    <xf numFmtId="1" fontId="16" fillId="38" borderId="155" xfId="12" applyNumberFormat="1" applyFill="1" applyBorder="1"/>
    <xf numFmtId="177" fontId="16" fillId="104" borderId="155" xfId="12" applyNumberFormat="1" applyFill="1" applyBorder="1"/>
    <xf numFmtId="1" fontId="16" fillId="38" borderId="156" xfId="12" applyNumberFormat="1" applyFill="1" applyBorder="1"/>
    <xf numFmtId="1" fontId="17" fillId="104" borderId="147" xfId="12" applyNumberFormat="1" applyFont="1" applyFill="1" applyBorder="1"/>
    <xf numFmtId="177" fontId="17" fillId="104" borderId="147" xfId="12" applyNumberFormat="1" applyFont="1" applyFill="1" applyBorder="1"/>
    <xf numFmtId="0" fontId="16" fillId="104" borderId="147" xfId="12" applyFill="1" applyBorder="1" applyAlignment="1" applyProtection="1">
      <alignment wrapText="1"/>
      <protection locked="0"/>
    </xf>
    <xf numFmtId="198" fontId="17" fillId="104" borderId="147" xfId="12" applyNumberFormat="1" applyFont="1" applyFill="1" applyBorder="1"/>
    <xf numFmtId="9" fontId="16" fillId="104" borderId="157" xfId="12" applyNumberFormat="1" applyFill="1" applyBorder="1" applyAlignment="1" applyProtection="1">
      <alignment wrapText="1"/>
      <protection locked="0"/>
    </xf>
    <xf numFmtId="0" fontId="16" fillId="104" borderId="147" xfId="12" applyFill="1" applyBorder="1" applyAlignment="1" applyProtection="1">
      <alignment horizontal="right"/>
      <protection locked="0"/>
    </xf>
    <xf numFmtId="1" fontId="16" fillId="27" borderId="147" xfId="12" applyNumberFormat="1" applyFill="1" applyBorder="1" applyAlignment="1" applyProtection="1">
      <alignment horizontal="right"/>
      <protection locked="0"/>
    </xf>
    <xf numFmtId="1" fontId="16" fillId="27" borderId="147" xfId="12" applyNumberFormat="1" applyFill="1" applyBorder="1" applyProtection="1">
      <protection locked="0"/>
    </xf>
    <xf numFmtId="1" fontId="16" fillId="104" borderId="147" xfId="12" applyNumberFormat="1" applyFill="1" applyBorder="1" applyProtection="1">
      <protection locked="0"/>
    </xf>
    <xf numFmtId="1" fontId="17" fillId="104" borderId="147" xfId="12" applyNumberFormat="1" applyFont="1" applyFill="1" applyBorder="1" applyProtection="1">
      <protection locked="0"/>
    </xf>
    <xf numFmtId="0" fontId="16" fillId="27" borderId="147" xfId="12" applyFill="1" applyBorder="1" applyProtection="1">
      <protection locked="0"/>
    </xf>
    <xf numFmtId="175" fontId="17" fillId="104" borderId="147" xfId="12" applyNumberFormat="1" applyFont="1" applyFill="1" applyBorder="1" applyProtection="1">
      <protection locked="0"/>
    </xf>
    <xf numFmtId="0" fontId="16" fillId="27" borderId="158" xfId="12" applyFill="1" applyBorder="1" applyProtection="1">
      <protection locked="0"/>
    </xf>
    <xf numFmtId="1" fontId="16" fillId="21" borderId="158" xfId="12" applyNumberFormat="1" applyFill="1" applyBorder="1" applyAlignment="1" applyProtection="1">
      <alignment horizontal="center"/>
      <protection locked="0"/>
    </xf>
    <xf numFmtId="175" fontId="17" fillId="21" borderId="147" xfId="12" applyNumberFormat="1" applyFont="1" applyFill="1" applyBorder="1"/>
    <xf numFmtId="0" fontId="16" fillId="38" borderId="148" xfId="12" applyFill="1" applyBorder="1" applyProtection="1">
      <protection locked="0"/>
    </xf>
    <xf numFmtId="1" fontId="16" fillId="38" borderId="158" xfId="12" applyNumberFormat="1" applyFill="1" applyBorder="1" applyProtection="1">
      <protection locked="0"/>
    </xf>
    <xf numFmtId="1" fontId="16" fillId="38" borderId="147" xfId="12" applyNumberFormat="1" applyFill="1" applyBorder="1" applyProtection="1">
      <protection locked="0"/>
    </xf>
    <xf numFmtId="1" fontId="16" fillId="42" borderId="158" xfId="12" applyNumberFormat="1" applyFill="1" applyBorder="1" applyProtection="1">
      <protection locked="0"/>
    </xf>
    <xf numFmtId="175" fontId="16" fillId="21" borderId="158" xfId="12" applyNumberFormat="1" applyFill="1" applyBorder="1" applyProtection="1">
      <protection locked="0"/>
    </xf>
    <xf numFmtId="1" fontId="16" fillId="21" borderId="147" xfId="12" applyNumberFormat="1" applyFill="1" applyBorder="1" applyAlignment="1" applyProtection="1">
      <alignment wrapText="1"/>
      <protection locked="0"/>
    </xf>
    <xf numFmtId="0" fontId="16" fillId="38" borderId="147" xfId="12" applyFill="1" applyBorder="1" applyProtection="1">
      <protection locked="0"/>
    </xf>
    <xf numFmtId="175" fontId="16" fillId="104" borderId="147" xfId="12" applyNumberFormat="1" applyFill="1" applyBorder="1" applyProtection="1">
      <protection locked="0"/>
    </xf>
    <xf numFmtId="0" fontId="16" fillId="104" borderId="152" xfId="12" applyFill="1" applyBorder="1" applyAlignment="1" applyProtection="1">
      <alignment horizontal="left" vertical="center" wrapText="1"/>
      <protection locked="0"/>
    </xf>
    <xf numFmtId="1" fontId="16" fillId="27" borderId="152" xfId="12" applyNumberFormat="1" applyFill="1" applyBorder="1" applyAlignment="1" applyProtection="1">
      <alignment horizontal="right"/>
      <protection locked="0"/>
    </xf>
    <xf numFmtId="1" fontId="16" fillId="27" borderId="158" xfId="88" applyNumberFormat="1" applyFont="1" applyFill="1" applyBorder="1" applyAlignment="1">
      <alignment horizontal="right"/>
    </xf>
    <xf numFmtId="1" fontId="16" fillId="27" borderId="158" xfId="0" applyNumberFormat="1" applyFont="1" applyFill="1" applyBorder="1" applyAlignment="1">
      <alignment horizontal="right"/>
    </xf>
    <xf numFmtId="1" fontId="16" fillId="27" borderId="158" xfId="12" applyNumberFormat="1" applyFill="1" applyBorder="1" applyProtection="1">
      <protection locked="0"/>
    </xf>
    <xf numFmtId="1" fontId="16" fillId="27" borderId="158" xfId="25" applyNumberFormat="1" applyFont="1" applyFill="1" applyBorder="1" applyAlignment="1">
      <alignment horizontal="right"/>
    </xf>
    <xf numFmtId="1" fontId="16" fillId="27" borderId="158" xfId="23" applyNumberFormat="1" applyFont="1" applyFill="1" applyBorder="1" applyAlignment="1">
      <alignment horizontal="right"/>
    </xf>
    <xf numFmtId="1" fontId="16" fillId="27" borderId="147" xfId="12" applyNumberFormat="1" applyFill="1" applyBorder="1" applyAlignment="1" applyProtection="1">
      <alignment vertical="center"/>
      <protection locked="0"/>
    </xf>
    <xf numFmtId="0" fontId="16" fillId="104" borderId="158" xfId="3353" applyFont="1" applyFill="1" applyBorder="1" applyAlignment="1">
      <alignment vertical="center" wrapText="1"/>
    </xf>
    <xf numFmtId="175" fontId="16" fillId="104" borderId="147" xfId="12" applyNumberFormat="1" applyFill="1" applyBorder="1" applyAlignment="1" applyProtection="1">
      <alignment vertical="center"/>
      <protection locked="0"/>
    </xf>
    <xf numFmtId="172" fontId="17" fillId="104" borderId="147" xfId="12" applyNumberFormat="1" applyFont="1" applyFill="1" applyBorder="1" applyProtection="1">
      <protection locked="0"/>
    </xf>
    <xf numFmtId="0" fontId="16" fillId="38" borderId="152" xfId="12" applyFill="1" applyBorder="1" applyAlignment="1" applyProtection="1">
      <alignment horizontal="left"/>
      <protection locked="0"/>
    </xf>
    <xf numFmtId="1" fontId="16" fillId="104" borderId="158" xfId="12" applyNumberFormat="1" applyFill="1" applyBorder="1" applyProtection="1">
      <protection locked="0"/>
    </xf>
    <xf numFmtId="0" fontId="16" fillId="104" borderId="158" xfId="12" applyFill="1" applyBorder="1" applyAlignment="1" applyProtection="1">
      <alignment horizontal="left"/>
      <protection locked="0"/>
    </xf>
    <xf numFmtId="175" fontId="16" fillId="104" borderId="158" xfId="12" applyNumberFormat="1" applyFill="1" applyBorder="1" applyAlignment="1" applyProtection="1">
      <alignment vertical="center"/>
      <protection locked="0"/>
    </xf>
    <xf numFmtId="0" fontId="16" fillId="104" borderId="158" xfId="12" applyFill="1" applyBorder="1" applyAlignment="1" applyProtection="1">
      <alignment horizontal="left" wrapText="1"/>
      <protection locked="0"/>
    </xf>
    <xf numFmtId="166" fontId="16" fillId="7" borderId="159" xfId="12" applyNumberFormat="1" applyFill="1" applyBorder="1"/>
    <xf numFmtId="166" fontId="17" fillId="38" borderId="147" xfId="12" applyNumberFormat="1" applyFont="1" applyFill="1" applyBorder="1" applyProtection="1">
      <protection locked="0"/>
    </xf>
    <xf numFmtId="166" fontId="17" fillId="38" borderId="152" xfId="12" applyNumberFormat="1" applyFont="1" applyFill="1" applyBorder="1" applyProtection="1">
      <protection locked="0"/>
    </xf>
    <xf numFmtId="0" fontId="16" fillId="38" borderId="152" xfId="12" applyFill="1" applyBorder="1" applyProtection="1">
      <protection locked="0"/>
    </xf>
    <xf numFmtId="0" fontId="26" fillId="38" borderId="152" xfId="12" applyFont="1" applyFill="1" applyBorder="1" applyProtection="1">
      <protection locked="0"/>
    </xf>
    <xf numFmtId="177" fontId="16" fillId="104" borderId="158" xfId="12" applyNumberFormat="1" applyFill="1" applyBorder="1" applyProtection="1">
      <protection locked="0"/>
    </xf>
    <xf numFmtId="0" fontId="16" fillId="104" borderId="160" xfId="12" applyFill="1" applyBorder="1" applyAlignment="1" applyProtection="1">
      <alignment horizontal="left"/>
      <protection locked="0"/>
    </xf>
    <xf numFmtId="177" fontId="16" fillId="104" borderId="161" xfId="12" applyNumberFormat="1" applyFill="1" applyBorder="1" applyProtection="1">
      <protection locked="0"/>
    </xf>
    <xf numFmtId="0" fontId="16" fillId="38" borderId="162" xfId="12" applyFill="1" applyBorder="1"/>
    <xf numFmtId="0" fontId="16" fillId="38" borderId="163" xfId="12" applyFill="1" applyBorder="1"/>
    <xf numFmtId="0" fontId="16" fillId="38" borderId="164" xfId="12" applyFill="1" applyBorder="1"/>
    <xf numFmtId="172" fontId="17" fillId="104" borderId="163" xfId="12" applyNumberFormat="1" applyFont="1" applyFill="1" applyBorder="1" applyProtection="1">
      <protection locked="0"/>
    </xf>
    <xf numFmtId="166" fontId="17" fillId="104" borderId="164" xfId="12" applyNumberFormat="1" applyFont="1" applyFill="1" applyBorder="1" applyProtection="1">
      <protection locked="0"/>
    </xf>
    <xf numFmtId="0" fontId="16" fillId="104" borderId="164" xfId="0" applyFont="1" applyFill="1" applyBorder="1" applyAlignment="1">
      <alignment horizontal="left" wrapText="1"/>
    </xf>
    <xf numFmtId="176" fontId="16" fillId="18" borderId="165" xfId="12" applyNumberFormat="1" applyFill="1" applyBorder="1"/>
    <xf numFmtId="0" fontId="16" fillId="18" borderId="159" xfId="12" applyFill="1" applyBorder="1"/>
    <xf numFmtId="0" fontId="16" fillId="18" borderId="166" xfId="12" applyFill="1" applyBorder="1"/>
    <xf numFmtId="177" fontId="16" fillId="104" borderId="165" xfId="12" applyNumberFormat="1" applyFill="1" applyBorder="1" applyAlignment="1">
      <alignment horizontal="right"/>
    </xf>
    <xf numFmtId="177" fontId="16" fillId="104" borderId="166" xfId="12" applyNumberFormat="1" applyFill="1" applyBorder="1"/>
    <xf numFmtId="169" fontId="16" fillId="27" borderId="164" xfId="12" applyNumberFormat="1" applyFill="1" applyBorder="1" applyProtection="1">
      <protection locked="0"/>
    </xf>
    <xf numFmtId="172" fontId="17" fillId="104" borderId="167" xfId="12" applyNumberFormat="1" applyFont="1" applyFill="1" applyBorder="1" applyAlignment="1" applyProtection="1">
      <alignment horizontal="right"/>
      <protection locked="0"/>
    </xf>
    <xf numFmtId="172" fontId="16" fillId="104" borderId="168" xfId="12" applyNumberFormat="1" applyFill="1" applyBorder="1" applyProtection="1">
      <protection locked="0"/>
    </xf>
    <xf numFmtId="0" fontId="16" fillId="18" borderId="169" xfId="12" applyFill="1" applyBorder="1"/>
    <xf numFmtId="173" fontId="16" fillId="27" borderId="170" xfId="12" applyNumberFormat="1" applyFill="1" applyBorder="1"/>
    <xf numFmtId="0" fontId="16" fillId="27" borderId="171" xfId="12" applyFill="1" applyBorder="1" applyProtection="1">
      <protection locked="0"/>
    </xf>
    <xf numFmtId="177" fontId="17" fillId="18" borderId="169" xfId="12" applyNumberFormat="1" applyFont="1" applyFill="1" applyBorder="1" applyAlignment="1">
      <alignment horizontal="right"/>
    </xf>
    <xf numFmtId="177" fontId="17" fillId="18" borderId="172" xfId="12" applyNumberFormat="1" applyFont="1" applyFill="1" applyBorder="1" applyAlignment="1">
      <alignment horizontal="right"/>
    </xf>
    <xf numFmtId="0" fontId="16" fillId="27" borderId="171" xfId="0" quotePrefix="1" applyFont="1" applyFill="1" applyBorder="1"/>
    <xf numFmtId="0" fontId="113" fillId="27" borderId="173" xfId="0" applyFont="1" applyFill="1" applyBorder="1"/>
    <xf numFmtId="172" fontId="17" fillId="104" borderId="174" xfId="12" applyNumberFormat="1" applyFont="1" applyFill="1" applyBorder="1" applyProtection="1">
      <protection locked="0"/>
    </xf>
    <xf numFmtId="169" fontId="16" fillId="27" borderId="174" xfId="12" applyNumberFormat="1" applyFill="1" applyBorder="1" applyProtection="1">
      <protection locked="0"/>
    </xf>
    <xf numFmtId="0" fontId="16" fillId="104" borderId="170" xfId="0" quotePrefix="1" applyFont="1" applyFill="1" applyBorder="1"/>
    <xf numFmtId="173" fontId="16" fillId="104" borderId="170" xfId="12" applyNumberFormat="1" applyFill="1" applyBorder="1" applyAlignment="1" applyProtection="1">
      <alignment horizontal="left"/>
      <protection locked="0"/>
    </xf>
    <xf numFmtId="185" fontId="17" fillId="104" borderId="170" xfId="0" applyNumberFormat="1" applyFont="1" applyFill="1" applyBorder="1" applyProtection="1">
      <protection locked="0"/>
    </xf>
    <xf numFmtId="177" fontId="16" fillId="104" borderId="170" xfId="12" applyNumberFormat="1" applyFill="1" applyBorder="1" applyProtection="1">
      <protection locked="0"/>
    </xf>
    <xf numFmtId="169" fontId="16" fillId="27" borderId="175" xfId="12" applyNumberFormat="1" applyFill="1" applyBorder="1" applyAlignment="1" applyProtection="1">
      <alignment horizontal="right"/>
      <protection locked="0"/>
    </xf>
    <xf numFmtId="177" fontId="16" fillId="104" borderId="174" xfId="23" applyNumberFormat="1" applyFont="1" applyFill="1" applyBorder="1" applyAlignment="1">
      <alignment horizontal="right"/>
    </xf>
    <xf numFmtId="1" fontId="16" fillId="104" borderId="174" xfId="23" applyNumberFormat="1" applyFont="1" applyFill="1" applyBorder="1" applyAlignment="1">
      <alignment horizontal="right"/>
    </xf>
    <xf numFmtId="1" fontId="16" fillId="27" borderId="176" xfId="12" applyNumberFormat="1" applyFill="1" applyBorder="1" applyProtection="1">
      <protection locked="0"/>
    </xf>
    <xf numFmtId="0" fontId="16" fillId="27" borderId="170" xfId="12" applyFill="1" applyBorder="1"/>
    <xf numFmtId="1" fontId="16" fillId="104" borderId="170" xfId="12" applyNumberFormat="1" applyFill="1" applyBorder="1" applyAlignment="1" applyProtection="1">
      <alignment wrapText="1"/>
      <protection locked="0"/>
    </xf>
    <xf numFmtId="37" fontId="16" fillId="0" borderId="170" xfId="0" applyNumberFormat="1" applyFont="1" applyBorder="1" applyProtection="1">
      <protection locked="0"/>
    </xf>
    <xf numFmtId="0" fontId="16" fillId="0" borderId="170" xfId="12" applyBorder="1" applyProtection="1">
      <protection locked="0"/>
    </xf>
    <xf numFmtId="1" fontId="16" fillId="104" borderId="170" xfId="12" applyNumberFormat="1" applyFill="1" applyBorder="1" applyAlignment="1" applyProtection="1">
      <alignment horizontal="right"/>
      <protection locked="0"/>
    </xf>
    <xf numFmtId="177" fontId="16" fillId="104" borderId="170" xfId="12" applyNumberFormat="1" applyFill="1" applyBorder="1" applyAlignment="1" applyProtection="1">
      <alignment wrapText="1"/>
      <protection locked="0"/>
    </xf>
    <xf numFmtId="177" fontId="16" fillId="104" borderId="170" xfId="12" applyNumberFormat="1" applyFill="1" applyBorder="1" applyAlignment="1" applyProtection="1">
      <alignment vertical="center" wrapText="1"/>
      <protection locked="0"/>
    </xf>
    <xf numFmtId="175" fontId="16" fillId="104" borderId="176" xfId="12" applyNumberFormat="1" applyFill="1" applyBorder="1" applyProtection="1">
      <protection locked="0"/>
    </xf>
    <xf numFmtId="1" fontId="16" fillId="104" borderId="176" xfId="12" applyNumberFormat="1" applyFill="1" applyBorder="1" applyProtection="1">
      <protection locked="0"/>
    </xf>
    <xf numFmtId="0" fontId="17" fillId="104" borderId="177" xfId="12" applyFont="1" applyFill="1" applyBorder="1"/>
    <xf numFmtId="1" fontId="16" fillId="27" borderId="170" xfId="0" applyNumberFormat="1" applyFont="1" applyFill="1" applyBorder="1" applyProtection="1">
      <protection locked="0"/>
    </xf>
    <xf numFmtId="1" fontId="16" fillId="27" borderId="178" xfId="12" applyNumberFormat="1" applyFill="1" applyBorder="1" applyProtection="1">
      <protection locked="0"/>
    </xf>
    <xf numFmtId="1" fontId="16" fillId="104" borderId="179" xfId="12" quotePrefix="1" applyNumberFormat="1" applyFill="1" applyBorder="1" applyAlignment="1" applyProtection="1">
      <alignment horizontal="left" wrapText="1"/>
      <protection locked="0"/>
    </xf>
    <xf numFmtId="1" fontId="16" fillId="104" borderId="164" xfId="12" applyNumberFormat="1" applyFill="1" applyBorder="1" applyAlignment="1" applyProtection="1">
      <alignment wrapText="1"/>
      <protection locked="0"/>
    </xf>
    <xf numFmtId="1" fontId="16" fillId="38" borderId="162" xfId="12" applyNumberFormat="1" applyFill="1" applyBorder="1" applyAlignment="1" applyProtection="1">
      <alignment horizontal="right" vertical="center"/>
      <protection locked="0"/>
    </xf>
    <xf numFmtId="0" fontId="16" fillId="38" borderId="164" xfId="0" applyFont="1" applyFill="1" applyBorder="1" applyAlignment="1">
      <alignment vertical="center" wrapText="1"/>
    </xf>
    <xf numFmtId="197" fontId="16" fillId="104" borderId="162" xfId="12" applyNumberFormat="1" applyFill="1" applyBorder="1"/>
    <xf numFmtId="0" fontId="16" fillId="104" borderId="162" xfId="12" applyFill="1" applyBorder="1"/>
    <xf numFmtId="1" fontId="16" fillId="104" borderId="162" xfId="12" applyNumberFormat="1" applyFill="1" applyBorder="1" applyAlignment="1" applyProtection="1">
      <alignment horizontal="left" vertical="center" wrapText="1"/>
      <protection locked="0"/>
    </xf>
    <xf numFmtId="1" fontId="16" fillId="27" borderId="162" xfId="12" applyNumberFormat="1" applyFill="1" applyBorder="1" applyAlignment="1" applyProtection="1">
      <alignment horizontal="left" vertical="center" wrapText="1"/>
      <protection locked="0"/>
    </xf>
    <xf numFmtId="1" fontId="16" fillId="104" borderId="162" xfId="12" applyNumberFormat="1" applyFill="1" applyBorder="1" applyAlignment="1" applyProtection="1">
      <alignment horizontal="left" vertical="top" wrapText="1"/>
      <protection locked="0"/>
    </xf>
    <xf numFmtId="180" fontId="17" fillId="104" borderId="162" xfId="0" applyNumberFormat="1" applyFont="1" applyFill="1" applyBorder="1" applyProtection="1">
      <protection locked="0"/>
    </xf>
    <xf numFmtId="1" fontId="15" fillId="21" borderId="162" xfId="46861" applyNumberFormat="1" applyFont="1" applyFill="1" applyBorder="1" applyProtection="1">
      <protection locked="0"/>
    </xf>
    <xf numFmtId="180" fontId="16" fillId="104" borderId="174" xfId="12" applyNumberFormat="1" applyFill="1" applyBorder="1" applyProtection="1">
      <protection locked="0"/>
    </xf>
    <xf numFmtId="169" fontId="16" fillId="27" borderId="159" xfId="12" applyNumberFormat="1" applyFill="1" applyBorder="1" applyAlignment="1" applyProtection="1">
      <alignment horizontal="right"/>
      <protection locked="0"/>
    </xf>
    <xf numFmtId="1" fontId="16" fillId="104" borderId="162" xfId="12" quotePrefix="1" applyNumberFormat="1" applyFill="1" applyBorder="1" applyAlignment="1" applyProtection="1">
      <alignment wrapText="1"/>
      <protection locked="0"/>
    </xf>
    <xf numFmtId="185" fontId="83" fillId="0" borderId="180" xfId="0" applyNumberFormat="1" applyFont="1" applyBorder="1" applyAlignment="1" applyProtection="1">
      <alignment horizontal="right"/>
      <protection locked="0"/>
    </xf>
    <xf numFmtId="1" fontId="16" fillId="38" borderId="161" xfId="1" applyNumberFormat="1" applyFont="1" applyFill="1" applyBorder="1"/>
    <xf numFmtId="1" fontId="16" fillId="38" borderId="176" xfId="12" applyNumberFormat="1" applyFill="1" applyBorder="1" applyProtection="1">
      <protection locked="0"/>
    </xf>
    <xf numFmtId="175" fontId="16" fillId="38" borderId="176" xfId="12" applyNumberFormat="1" applyFill="1" applyBorder="1" applyProtection="1">
      <protection locked="0"/>
    </xf>
    <xf numFmtId="174" fontId="16" fillId="104" borderId="147" xfId="12" applyNumberFormat="1" applyFill="1" applyBorder="1" applyProtection="1">
      <protection locked="0"/>
    </xf>
    <xf numFmtId="1" fontId="16" fillId="0" borderId="147" xfId="12" applyNumberFormat="1" applyBorder="1" applyProtection="1">
      <protection locked="0"/>
    </xf>
    <xf numFmtId="1" fontId="16" fillId="0" borderId="147" xfId="12" applyNumberFormat="1" applyBorder="1" applyAlignment="1" applyProtection="1">
      <alignment vertical="center"/>
      <protection locked="0"/>
    </xf>
    <xf numFmtId="0" fontId="16" fillId="0" borderId="158" xfId="12" applyBorder="1" applyProtection="1">
      <protection locked="0"/>
    </xf>
    <xf numFmtId="0" fontId="16" fillId="0" borderId="147" xfId="12" applyBorder="1"/>
    <xf numFmtId="0" fontId="18" fillId="0" borderId="147" xfId="12" applyFont="1" applyBorder="1" applyProtection="1">
      <protection locked="0"/>
    </xf>
    <xf numFmtId="0" fontId="16" fillId="0" borderId="154" xfId="12" applyBorder="1"/>
    <xf numFmtId="0" fontId="17" fillId="0" borderId="151" xfId="12" applyFont="1" applyBorder="1" applyAlignment="1">
      <alignment horizontal="center"/>
    </xf>
    <xf numFmtId="37" fontId="18" fillId="0" borderId="147" xfId="12" applyNumberFormat="1" applyFont="1" applyBorder="1" applyProtection="1">
      <protection locked="0"/>
    </xf>
    <xf numFmtId="166" fontId="16" fillId="0" borderId="147" xfId="12" applyNumberFormat="1" applyBorder="1"/>
    <xf numFmtId="169" fontId="23" fillId="0" borderId="147" xfId="12" applyNumberFormat="1" applyFont="1" applyBorder="1" applyProtection="1">
      <protection locked="0"/>
    </xf>
    <xf numFmtId="166" fontId="23" fillId="0" borderId="147" xfId="12" applyNumberFormat="1" applyFont="1" applyBorder="1" applyProtection="1">
      <protection locked="0"/>
    </xf>
    <xf numFmtId="166" fontId="24" fillId="0" borderId="147" xfId="12" applyNumberFormat="1" applyFont="1" applyBorder="1" applyProtection="1">
      <protection locked="0"/>
    </xf>
    <xf numFmtId="37" fontId="23" fillId="0" borderId="147" xfId="12" applyNumberFormat="1" applyFont="1" applyBorder="1" applyProtection="1">
      <protection locked="0"/>
    </xf>
    <xf numFmtId="166" fontId="23" fillId="0" borderId="147" xfId="12" applyNumberFormat="1" applyFont="1" applyBorder="1" applyAlignment="1" applyProtection="1">
      <alignment horizontal="right"/>
      <protection locked="0"/>
    </xf>
    <xf numFmtId="169" fontId="23" fillId="0" borderId="147" xfId="12" applyNumberFormat="1" applyFont="1" applyBorder="1" applyAlignment="1" applyProtection="1">
      <alignment horizontal="fill"/>
      <protection locked="0"/>
    </xf>
    <xf numFmtId="166" fontId="18" fillId="0" borderId="154" xfId="12" applyNumberFormat="1" applyFont="1" applyBorder="1" applyProtection="1">
      <protection locked="0"/>
    </xf>
    <xf numFmtId="166" fontId="18" fillId="0" borderId="147" xfId="12" applyNumberFormat="1" applyFont="1" applyBorder="1" applyProtection="1">
      <protection locked="0"/>
    </xf>
    <xf numFmtId="37" fontId="25" fillId="0" borderId="147" xfId="12" applyNumberFormat="1" applyFont="1" applyBorder="1"/>
    <xf numFmtId="166" fontId="41" fillId="21" borderId="147" xfId="12" applyNumberFormat="1" applyFont="1" applyFill="1" applyBorder="1"/>
    <xf numFmtId="166" fontId="41" fillId="0" borderId="147" xfId="12" applyNumberFormat="1" applyFont="1" applyBorder="1"/>
    <xf numFmtId="37" fontId="25" fillId="0" borderId="147" xfId="12" applyNumberFormat="1" applyFont="1" applyBorder="1" applyAlignment="1">
      <alignment horizontal="right"/>
    </xf>
    <xf numFmtId="166" fontId="25" fillId="0" borderId="147" xfId="12" applyNumberFormat="1" applyFont="1" applyBorder="1" applyAlignment="1">
      <alignment horizontal="right"/>
    </xf>
    <xf numFmtId="37" fontId="22" fillId="0" borderId="147" xfId="12" applyNumberFormat="1" applyFont="1" applyBorder="1"/>
    <xf numFmtId="166" fontId="41" fillId="2" borderId="147" xfId="12" applyNumberFormat="1" applyFont="1" applyFill="1" applyBorder="1"/>
    <xf numFmtId="0" fontId="15" fillId="39" borderId="144" xfId="0" applyFont="1" applyFill="1" applyBorder="1"/>
    <xf numFmtId="0" fontId="0" fillId="39" borderId="146" xfId="0" applyFill="1" applyBorder="1"/>
    <xf numFmtId="0" fontId="16" fillId="0" borderId="144" xfId="12" applyBorder="1" applyAlignment="1">
      <alignment horizontal="left"/>
    </xf>
    <xf numFmtId="0" fontId="49" fillId="0" borderId="146" xfId="12" quotePrefix="1" applyFont="1" applyBorder="1" applyAlignment="1">
      <alignment horizontal="left"/>
    </xf>
    <xf numFmtId="9" fontId="16" fillId="0" borderId="146" xfId="12" applyNumberFormat="1" applyBorder="1"/>
    <xf numFmtId="0" fontId="90" fillId="0" borderId="144" xfId="0" applyFont="1" applyBorder="1"/>
    <xf numFmtId="0" fontId="90" fillId="0" borderId="144" xfId="0" applyFont="1" applyBorder="1" applyAlignment="1">
      <alignment horizontal="center"/>
    </xf>
    <xf numFmtId="0" fontId="90" fillId="0" borderId="146" xfId="0" applyFont="1" applyBorder="1" applyAlignment="1">
      <alignment horizontal="center"/>
    </xf>
    <xf numFmtId="0" fontId="52" fillId="0" borderId="144" xfId="0" applyFont="1" applyBorder="1"/>
    <xf numFmtId="0" fontId="52" fillId="0" borderId="146" xfId="0" applyFont="1" applyBorder="1"/>
    <xf numFmtId="178" fontId="174" fillId="30" borderId="145" xfId="19" applyNumberFormat="1" applyFont="1" applyFill="1" applyBorder="1"/>
    <xf numFmtId="0" fontId="0" fillId="22" borderId="144" xfId="0" applyFill="1" applyBorder="1"/>
    <xf numFmtId="0" fontId="0" fillId="22" borderId="146" xfId="0" applyFill="1" applyBorder="1" applyAlignment="1">
      <alignment horizontal="center"/>
    </xf>
    <xf numFmtId="0" fontId="15" fillId="0" borderId="176" xfId="12" applyFont="1" applyBorder="1"/>
    <xf numFmtId="0" fontId="15" fillId="0" borderId="173" xfId="12" applyFont="1" applyBorder="1"/>
    <xf numFmtId="0" fontId="0" fillId="0" borderId="145" xfId="0" applyBorder="1" applyAlignment="1">
      <alignment horizontal="center"/>
    </xf>
    <xf numFmtId="0" fontId="85" fillId="0" borderId="145" xfId="0" applyFont="1" applyBorder="1" applyAlignment="1">
      <alignment horizontal="center"/>
    </xf>
    <xf numFmtId="1" fontId="15" fillId="0" borderId="146" xfId="0" applyNumberFormat="1" applyFont="1" applyBorder="1"/>
    <xf numFmtId="37" fontId="15" fillId="0" borderId="144" xfId="12" applyNumberFormat="1" applyFont="1" applyBorder="1"/>
    <xf numFmtId="37" fontId="15" fillId="0" borderId="146" xfId="12" applyNumberFormat="1" applyFont="1" applyBorder="1"/>
    <xf numFmtId="37" fontId="0" fillId="0" borderId="144" xfId="0" applyNumberFormat="1" applyBorder="1"/>
    <xf numFmtId="37" fontId="0" fillId="0" borderId="146" xfId="0" applyNumberFormat="1" applyBorder="1"/>
    <xf numFmtId="37" fontId="81" fillId="0" borderId="145" xfId="0" applyNumberFormat="1" applyFont="1" applyBorder="1"/>
    <xf numFmtId="37" fontId="0" fillId="0" borderId="145" xfId="0" applyNumberFormat="1" applyBorder="1" applyAlignment="1">
      <alignment horizontal="right" wrapText="1"/>
    </xf>
    <xf numFmtId="1" fontId="15" fillId="0" borderId="144" xfId="0" applyNumberFormat="1" applyFont="1" applyBorder="1"/>
    <xf numFmtId="0" fontId="15" fillId="0" borderId="144" xfId="12" applyFont="1" applyBorder="1"/>
    <xf numFmtId="0" fontId="0" fillId="0" borderId="145" xfId="0" applyBorder="1"/>
    <xf numFmtId="0" fontId="0" fillId="0" borderId="145" xfId="0" applyBorder="1" applyAlignment="1">
      <alignment horizontal="right" wrapText="1"/>
    </xf>
    <xf numFmtId="37" fontId="0" fillId="0" borderId="145" xfId="0" applyNumberFormat="1" applyBorder="1"/>
    <xf numFmtId="0" fontId="15" fillId="0" borderId="144" xfId="12" applyFont="1" applyBorder="1" applyAlignment="1">
      <alignment horizontal="right"/>
    </xf>
    <xf numFmtId="0" fontId="15" fillId="0" borderId="146" xfId="12" applyFont="1" applyBorder="1" applyAlignment="1">
      <alignment horizontal="right"/>
    </xf>
    <xf numFmtId="0" fontId="15" fillId="0" borderId="173" xfId="12" applyFont="1" applyBorder="1" applyAlignment="1">
      <alignment horizontal="fill"/>
    </xf>
    <xf numFmtId="170" fontId="15" fillId="0" borderId="144" xfId="12" applyNumberFormat="1" applyFont="1" applyBorder="1"/>
    <xf numFmtId="170" fontId="15" fillId="0" borderId="146" xfId="12" applyNumberFormat="1" applyFont="1" applyBorder="1"/>
    <xf numFmtId="170" fontId="0" fillId="0" borderId="145" xfId="14" applyNumberFormat="1" applyFont="1" applyBorder="1"/>
    <xf numFmtId="170" fontId="0" fillId="0" borderId="144" xfId="14" applyNumberFormat="1" applyFont="1" applyBorder="1"/>
    <xf numFmtId="0" fontId="17" fillId="0" borderId="144" xfId="11" applyFont="1" applyBorder="1" applyAlignment="1"/>
    <xf numFmtId="0" fontId="15" fillId="0" borderId="159" xfId="11" applyBorder="1" applyAlignment="1"/>
    <xf numFmtId="0" fontId="29" fillId="0" borderId="173" xfId="11" applyFont="1" applyBorder="1" applyAlignment="1"/>
    <xf numFmtId="0" fontId="15" fillId="0" borderId="181" xfId="11" applyBorder="1" applyAlignment="1"/>
    <xf numFmtId="15" fontId="15" fillId="0" borderId="181" xfId="11" applyNumberFormat="1" applyBorder="1" applyAlignment="1"/>
    <xf numFmtId="0" fontId="15" fillId="0" borderId="182" xfId="11" applyBorder="1" applyAlignment="1"/>
    <xf numFmtId="0" fontId="15" fillId="0" borderId="113" xfId="11" applyBorder="1" applyAlignment="1"/>
    <xf numFmtId="0" fontId="44" fillId="0" borderId="113" xfId="11" applyFont="1" applyBorder="1" applyAlignment="1">
      <alignment horizontal="center"/>
    </xf>
    <xf numFmtId="0" fontId="29" fillId="0" borderId="113" xfId="11" applyFont="1" applyBorder="1" applyAlignment="1"/>
    <xf numFmtId="0" fontId="46" fillId="0" borderId="144" xfId="11" applyFont="1" applyBorder="1" applyAlignment="1"/>
    <xf numFmtId="3" fontId="15" fillId="0" borderId="159" xfId="11" applyNumberFormat="1" applyBorder="1" applyAlignment="1"/>
    <xf numFmtId="10" fontId="15" fillId="0" borderId="113" xfId="11" applyNumberFormat="1" applyBorder="1" applyAlignment="1"/>
    <xf numFmtId="0" fontId="29" fillId="0" borderId="159" xfId="3353" applyFont="1" applyBorder="1"/>
    <xf numFmtId="0" fontId="15" fillId="0" borderId="159" xfId="3353" applyBorder="1" applyAlignment="1">
      <alignment wrapText="1"/>
    </xf>
    <xf numFmtId="0" fontId="15" fillId="0" borderId="159" xfId="3353" applyBorder="1"/>
    <xf numFmtId="14" fontId="15" fillId="0" borderId="159" xfId="3353" applyNumberFormat="1" applyBorder="1"/>
    <xf numFmtId="0" fontId="15" fillId="0" borderId="159" xfId="3353" applyBorder="1" applyAlignment="1">
      <alignment horizontal="center"/>
    </xf>
    <xf numFmtId="0" fontId="129" fillId="0" borderId="159" xfId="23619" applyFont="1" applyBorder="1"/>
    <xf numFmtId="0" fontId="2" fillId="0" borderId="159" xfId="23619" applyBorder="1"/>
    <xf numFmtId="14" fontId="2" fillId="0" borderId="159" xfId="23619" applyNumberFormat="1" applyBorder="1" applyAlignment="1">
      <alignment horizontal="center"/>
    </xf>
    <xf numFmtId="0" fontId="2" fillId="0" borderId="159" xfId="23619" applyBorder="1" applyAlignment="1">
      <alignment wrapText="1"/>
    </xf>
    <xf numFmtId="0" fontId="129" fillId="27" borderId="159" xfId="23619" applyFont="1" applyFill="1" applyBorder="1"/>
    <xf numFmtId="0" fontId="2" fillId="27" borderId="159" xfId="23619" applyFill="1" applyBorder="1" applyAlignment="1">
      <alignment wrapText="1"/>
    </xf>
    <xf numFmtId="14" fontId="130" fillId="27" borderId="159" xfId="23619" applyNumberFormat="1" applyFont="1" applyFill="1" applyBorder="1" applyAlignment="1">
      <alignment horizontal="center"/>
    </xf>
    <xf numFmtId="0" fontId="2" fillId="27" borderId="159" xfId="23619" applyFill="1" applyBorder="1"/>
    <xf numFmtId="14" fontId="130" fillId="0" borderId="159" xfId="23619" applyNumberFormat="1" applyFont="1" applyBorder="1" applyAlignment="1">
      <alignment horizontal="center"/>
    </xf>
    <xf numFmtId="0" fontId="129" fillId="0" borderId="159" xfId="23330" applyFont="1" applyBorder="1"/>
    <xf numFmtId="0" fontId="2" fillId="0" borderId="159" xfId="23330" applyFont="1" applyBorder="1"/>
    <xf numFmtId="14" fontId="4" fillId="0" borderId="159" xfId="23330" applyNumberFormat="1" applyBorder="1" applyAlignment="1">
      <alignment horizontal="center"/>
    </xf>
    <xf numFmtId="0" fontId="2" fillId="0" borderId="159" xfId="23330" applyFont="1" applyBorder="1" applyAlignment="1">
      <alignment wrapText="1"/>
    </xf>
    <xf numFmtId="14" fontId="130" fillId="0" borderId="159" xfId="23330" applyNumberFormat="1" applyFont="1" applyBorder="1" applyAlignment="1">
      <alignment horizontal="center"/>
    </xf>
    <xf numFmtId="0" fontId="4" fillId="0" borderId="159" xfId="23330" applyBorder="1"/>
    <xf numFmtId="0" fontId="4" fillId="0" borderId="159" xfId="23330" applyBorder="1" applyAlignment="1">
      <alignment wrapText="1"/>
    </xf>
    <xf numFmtId="14" fontId="2" fillId="0" borderId="159" xfId="23330" applyNumberFormat="1" applyFont="1" applyBorder="1" applyAlignment="1">
      <alignment horizontal="center"/>
    </xf>
    <xf numFmtId="0" fontId="2" fillId="0" borderId="159" xfId="23330" applyFont="1" applyBorder="1" applyAlignment="1">
      <alignment horizontal="center" vertical="center" wrapText="1"/>
    </xf>
    <xf numFmtId="0" fontId="15" fillId="40" borderId="159" xfId="3353" applyFill="1" applyBorder="1"/>
    <xf numFmtId="170" fontId="29" fillId="101" borderId="25" xfId="12" applyNumberFormat="1" applyFont="1" applyFill="1" applyBorder="1" applyAlignment="1">
      <alignment horizontal="right" wrapText="1"/>
    </xf>
    <xf numFmtId="170" fontId="15" fillId="101" borderId="142" xfId="14" applyNumberFormat="1" applyFill="1" applyBorder="1"/>
    <xf numFmtId="0" fontId="15" fillId="21" borderId="179" xfId="12" applyFont="1" applyFill="1" applyBorder="1" applyProtection="1">
      <protection locked="0"/>
    </xf>
    <xf numFmtId="1" fontId="16" fillId="38" borderId="179" xfId="12" applyNumberFormat="1" applyFill="1" applyBorder="1"/>
    <xf numFmtId="177" fontId="16" fillId="21" borderId="179" xfId="12" applyNumberFormat="1" applyFill="1" applyBorder="1"/>
    <xf numFmtId="0" fontId="15" fillId="104" borderId="179" xfId="12" applyFont="1" applyFill="1" applyBorder="1" applyProtection="1">
      <protection locked="0"/>
    </xf>
    <xf numFmtId="0" fontId="16" fillId="104" borderId="179" xfId="12" applyFill="1" applyBorder="1" applyProtection="1">
      <protection locked="0"/>
    </xf>
    <xf numFmtId="0" fontId="16" fillId="104" borderId="179" xfId="12" applyFill="1" applyBorder="1" applyAlignment="1" applyProtection="1">
      <alignment wrapText="1"/>
      <protection locked="0"/>
    </xf>
    <xf numFmtId="182" fontId="16" fillId="21" borderId="0" xfId="12" applyNumberFormat="1" applyFill="1"/>
    <xf numFmtId="175" fontId="16" fillId="21" borderId="130" xfId="12" applyNumberFormat="1" applyFill="1" applyBorder="1"/>
    <xf numFmtId="37" fontId="71" fillId="19" borderId="0" xfId="1" applyNumberFormat="1" applyFont="1" applyFill="1" applyProtection="1">
      <protection locked="0"/>
    </xf>
    <xf numFmtId="177" fontId="71" fillId="19" borderId="0" xfId="28" applyNumberFormat="1" applyFont="1" applyFill="1"/>
    <xf numFmtId="0" fontId="71" fillId="19" borderId="0" xfId="0" applyFont="1" applyFill="1"/>
    <xf numFmtId="0" fontId="29" fillId="19" borderId="146" xfId="0" applyFont="1" applyFill="1" applyBorder="1" applyAlignment="1">
      <alignment horizontal="left"/>
    </xf>
    <xf numFmtId="0" fontId="15" fillId="19" borderId="146" xfId="0" applyFont="1" applyFill="1" applyBorder="1" applyAlignment="1">
      <alignment horizontal="left" wrapText="1"/>
    </xf>
    <xf numFmtId="0" fontId="85" fillId="19" borderId="146" xfId="0" applyFont="1" applyFill="1" applyBorder="1"/>
    <xf numFmtId="0" fontId="29" fillId="19" borderId="7" xfId="0" applyFont="1" applyFill="1" applyBorder="1"/>
    <xf numFmtId="0" fontId="46" fillId="19" borderId="15" xfId="0" applyFont="1" applyFill="1" applyBorder="1"/>
    <xf numFmtId="0" fontId="15" fillId="0" borderId="141" xfId="3353" applyBorder="1" applyAlignment="1">
      <alignment wrapText="1"/>
    </xf>
    <xf numFmtId="0" fontId="15" fillId="0" borderId="115" xfId="0" applyFont="1" applyBorder="1" applyAlignment="1">
      <alignment wrapText="1"/>
    </xf>
    <xf numFmtId="1" fontId="71" fillId="19" borderId="115" xfId="0" applyNumberFormat="1" applyFont="1" applyFill="1" applyBorder="1"/>
    <xf numFmtId="172" fontId="17" fillId="21" borderId="147" xfId="12" applyNumberFormat="1" applyFont="1" applyFill="1" applyBorder="1" applyProtection="1">
      <protection locked="0"/>
    </xf>
    <xf numFmtId="172" fontId="16" fillId="21" borderId="168" xfId="12" applyNumberFormat="1" applyFill="1" applyBorder="1" applyProtection="1">
      <protection locked="0"/>
    </xf>
    <xf numFmtId="0" fontId="16" fillId="21" borderId="147" xfId="12" applyFill="1" applyBorder="1" applyProtection="1">
      <protection locked="0"/>
    </xf>
    <xf numFmtId="0" fontId="16" fillId="21" borderId="147" xfId="12" applyFill="1" applyBorder="1" applyAlignment="1" applyProtection="1">
      <alignment horizontal="right"/>
      <protection locked="0"/>
    </xf>
    <xf numFmtId="0" fontId="16" fillId="21" borderId="164" xfId="0" applyFont="1" applyFill="1" applyBorder="1" applyAlignment="1">
      <alignment vertical="center" wrapText="1"/>
    </xf>
    <xf numFmtId="175" fontId="16" fillId="21" borderId="162" xfId="12" applyNumberFormat="1" applyFill="1" applyBorder="1" applyAlignment="1" applyProtection="1">
      <alignment horizontal="right" vertical="center"/>
      <protection locked="0"/>
    </xf>
    <xf numFmtId="1" fontId="16" fillId="21" borderId="179" xfId="12" quotePrefix="1" applyNumberFormat="1" applyFill="1" applyBorder="1" applyAlignment="1" applyProtection="1">
      <alignment horizontal="left" wrapText="1"/>
      <protection locked="0"/>
    </xf>
    <xf numFmtId="1" fontId="17" fillId="21" borderId="147" xfId="12" applyNumberFormat="1" applyFont="1" applyFill="1" applyBorder="1"/>
    <xf numFmtId="0" fontId="132" fillId="0" borderId="0" xfId="12" applyFont="1" applyProtection="1">
      <protection locked="0"/>
    </xf>
    <xf numFmtId="0" fontId="131" fillId="0" borderId="0" xfId="12" quotePrefix="1" applyFont="1" applyProtection="1">
      <protection locked="0"/>
    </xf>
    <xf numFmtId="0" fontId="16" fillId="27" borderId="0" xfId="28" quotePrefix="1" applyFill="1"/>
    <xf numFmtId="0" fontId="26" fillId="27" borderId="0" xfId="12" applyFont="1" applyFill="1"/>
    <xf numFmtId="0" fontId="16" fillId="27" borderId="123" xfId="28" quotePrefix="1" applyFill="1" applyBorder="1"/>
    <xf numFmtId="0" fontId="26" fillId="27" borderId="123" xfId="12" applyFont="1" applyFill="1" applyBorder="1"/>
    <xf numFmtId="0" fontId="16" fillId="27" borderId="0" xfId="28" quotePrefix="1" applyFill="1" applyAlignment="1">
      <alignment wrapText="1"/>
    </xf>
    <xf numFmtId="0" fontId="16" fillId="27" borderId="146" xfId="28" quotePrefix="1" applyFill="1" applyBorder="1" applyAlignment="1">
      <alignment wrapText="1"/>
    </xf>
    <xf numFmtId="0" fontId="16" fillId="27" borderId="0" xfId="28" quotePrefix="1" applyFill="1" applyAlignment="1">
      <alignment wrapText="1"/>
    </xf>
    <xf numFmtId="0" fontId="16" fillId="27" borderId="0" xfId="28" applyFill="1" applyAlignment="1">
      <alignment wrapText="1"/>
    </xf>
    <xf numFmtId="0" fontId="16" fillId="27" borderId="0" xfId="12" applyFill="1" applyAlignment="1" applyProtection="1">
      <alignment wrapText="1"/>
      <protection locked="0"/>
    </xf>
    <xf numFmtId="0" fontId="16" fillId="27" borderId="0" xfId="12" applyFill="1" applyAlignment="1">
      <alignment wrapText="1"/>
    </xf>
    <xf numFmtId="0" fontId="16" fillId="27" borderId="123" xfId="28" quotePrefix="1" applyFill="1" applyBorder="1" applyAlignment="1">
      <alignment wrapText="1"/>
    </xf>
    <xf numFmtId="0" fontId="16" fillId="27" borderId="0" xfId="28" quotePrefix="1" applyFill="1"/>
    <xf numFmtId="0" fontId="16" fillId="27" borderId="0" xfId="28" quotePrefix="1" applyFill="1" applyAlignment="1">
      <alignment horizontal="left" vertical="top" wrapText="1"/>
    </xf>
    <xf numFmtId="0" fontId="16" fillId="27" borderId="123" xfId="28" quotePrefix="1" applyFill="1" applyBorder="1" applyAlignment="1">
      <alignment horizontal="left" vertical="top" wrapText="1"/>
    </xf>
    <xf numFmtId="170" fontId="131" fillId="0" borderId="2" xfId="12" applyNumberFormat="1" applyFont="1" applyBorder="1" applyAlignment="1">
      <alignment horizontal="center"/>
    </xf>
    <xf numFmtId="170" fontId="131" fillId="0" borderId="0" xfId="12" applyNumberFormat="1" applyFont="1" applyAlignment="1">
      <alignment horizontal="center"/>
    </xf>
    <xf numFmtId="37" fontId="16" fillId="0" borderId="149" xfId="12" applyNumberFormat="1" applyBorder="1" applyAlignment="1">
      <alignment horizontal="center"/>
    </xf>
    <xf numFmtId="37" fontId="16" fillId="0" borderId="150" xfId="12" applyNumberFormat="1" applyBorder="1" applyAlignment="1">
      <alignment horizontal="center"/>
    </xf>
    <xf numFmtId="37" fontId="16" fillId="0" borderId="151" xfId="12" applyNumberFormat="1" applyBorder="1" applyAlignment="1">
      <alignment horizontal="center"/>
    </xf>
    <xf numFmtId="0" fontId="70" fillId="104" borderId="0" xfId="12" applyFont="1" applyFill="1" applyAlignment="1">
      <alignment wrapText="1"/>
    </xf>
    <xf numFmtId="0" fontId="16" fillId="0" borderId="0" xfId="12" applyAlignment="1">
      <alignment horizontal="center"/>
    </xf>
    <xf numFmtId="0" fontId="49" fillId="0" borderId="0" xfId="12" applyFont="1" applyAlignment="1">
      <alignment horizontal="center"/>
    </xf>
    <xf numFmtId="0" fontId="63" fillId="0" borderId="0" xfId="0" applyFont="1" applyAlignment="1">
      <alignment horizontal="center"/>
    </xf>
    <xf numFmtId="3" fontId="17" fillId="0" borderId="9" xfId="12" applyNumberFormat="1" applyFont="1" applyBorder="1" applyAlignment="1">
      <alignment horizontal="center"/>
    </xf>
    <xf numFmtId="3" fontId="17" fillId="0" borderId="61" xfId="12" applyNumberFormat="1" applyFont="1" applyBorder="1" applyAlignment="1">
      <alignment horizontal="center"/>
    </xf>
    <xf numFmtId="0" fontId="17" fillId="0" borderId="8" xfId="12" applyFont="1" applyBorder="1" applyAlignment="1">
      <alignment horizontal="center" vertical="center"/>
    </xf>
    <xf numFmtId="0" fontId="0" fillId="0" borderId="16" xfId="0" applyBorder="1" applyAlignment="1">
      <alignment horizontal="center" vertical="center"/>
    </xf>
    <xf numFmtId="0" fontId="0" fillId="0" borderId="6" xfId="0" applyBorder="1" applyAlignment="1">
      <alignment horizontal="center" vertical="center"/>
    </xf>
    <xf numFmtId="0" fontId="0" fillId="0" borderId="19" xfId="0" applyBorder="1" applyAlignment="1">
      <alignment horizontal="center" vertical="center"/>
    </xf>
    <xf numFmtId="0" fontId="17" fillId="0" borderId="21" xfId="12" applyFont="1" applyBorder="1" applyAlignment="1">
      <alignment horizontal="center"/>
    </xf>
    <xf numFmtId="0" fontId="17" fillId="0" borderId="22" xfId="12" applyFont="1" applyBorder="1" applyAlignment="1">
      <alignment horizontal="center"/>
    </xf>
    <xf numFmtId="0" fontId="17" fillId="0" borderId="23" xfId="12" applyFont="1" applyBorder="1" applyAlignment="1">
      <alignment horizontal="center"/>
    </xf>
    <xf numFmtId="0" fontId="17" fillId="0" borderId="9" xfId="12" applyFont="1" applyBorder="1" applyAlignment="1">
      <alignment horizontal="center"/>
    </xf>
    <xf numFmtId="0" fontId="0" fillId="0" borderId="61" xfId="0" applyBorder="1" applyAlignment="1">
      <alignment horizontal="center"/>
    </xf>
    <xf numFmtId="0" fontId="17" fillId="0" borderId="0" xfId="12" applyFont="1" applyAlignment="1">
      <alignment horizontal="center"/>
    </xf>
    <xf numFmtId="0" fontId="17" fillId="0" borderId="61" xfId="12" applyFont="1" applyBorder="1" applyAlignment="1">
      <alignment horizontal="center"/>
    </xf>
    <xf numFmtId="37" fontId="17" fillId="0" borderId="9" xfId="12" applyNumberFormat="1" applyFont="1" applyBorder="1" applyAlignment="1">
      <alignment horizontal="center"/>
    </xf>
    <xf numFmtId="3" fontId="17" fillId="0" borderId="0" xfId="12" applyNumberFormat="1" applyFont="1" applyAlignment="1">
      <alignment horizontal="center"/>
    </xf>
    <xf numFmtId="0" fontId="17" fillId="0" borderId="8" xfId="12" applyFont="1" applyBorder="1" applyAlignment="1">
      <alignment horizontal="center" shrinkToFit="1"/>
    </xf>
    <xf numFmtId="0" fontId="17" fillId="0" borderId="16" xfId="12" applyFont="1" applyBorder="1" applyAlignment="1">
      <alignment horizontal="center" shrinkToFit="1"/>
    </xf>
    <xf numFmtId="0" fontId="17" fillId="0" borderId="8" xfId="12" applyFont="1" applyBorder="1" applyAlignment="1">
      <alignment horizontal="center"/>
    </xf>
    <xf numFmtId="0" fontId="17" fillId="0" borderId="16" xfId="12" applyFont="1" applyBorder="1" applyAlignment="1">
      <alignment horizontal="center"/>
    </xf>
    <xf numFmtId="0" fontId="49" fillId="0" borderId="0" xfId="12" applyFont="1"/>
    <xf numFmtId="0" fontId="0" fillId="0" borderId="0" xfId="0"/>
    <xf numFmtId="0" fontId="17" fillId="0" borderId="8" xfId="12" applyFont="1" applyBorder="1" applyAlignment="1">
      <alignment horizontal="center" vertical="center" wrapText="1"/>
    </xf>
    <xf numFmtId="0" fontId="0" fillId="0" borderId="16" xfId="0" applyBorder="1" applyAlignment="1">
      <alignment horizontal="center" vertical="center" wrapText="1"/>
    </xf>
    <xf numFmtId="0" fontId="0" fillId="0" borderId="6" xfId="0" applyBorder="1" applyAlignment="1">
      <alignment horizontal="center" vertical="center" wrapText="1"/>
    </xf>
    <xf numFmtId="0" fontId="0" fillId="0" borderId="19" xfId="0" applyBorder="1" applyAlignment="1">
      <alignment horizontal="center" vertical="center" wrapText="1"/>
    </xf>
    <xf numFmtId="0" fontId="17" fillId="0" borderId="10" xfId="12" applyFont="1" applyBorder="1" applyAlignment="1">
      <alignment horizontal="center" vertical="center" wrapText="1"/>
    </xf>
    <xf numFmtId="0" fontId="0" fillId="0" borderId="12" xfId="0" applyBorder="1" applyAlignment="1">
      <alignment horizontal="center" wrapText="1"/>
    </xf>
    <xf numFmtId="0" fontId="17" fillId="0" borderId="21" xfId="12" applyFont="1" applyBorder="1" applyAlignment="1">
      <alignment horizontal="center" wrapText="1"/>
    </xf>
    <xf numFmtId="0" fontId="17" fillId="0" borderId="23" xfId="12" applyFont="1" applyBorder="1" applyAlignment="1">
      <alignment horizontal="center" wrapText="1"/>
    </xf>
    <xf numFmtId="0" fontId="71" fillId="0" borderId="21" xfId="0" applyFont="1" applyBorder="1" applyAlignment="1">
      <alignment horizontal="center"/>
    </xf>
    <xf numFmtId="0" fontId="70" fillId="0" borderId="23" xfId="0" applyFont="1" applyBorder="1" applyAlignment="1">
      <alignment horizontal="center"/>
    </xf>
    <xf numFmtId="0" fontId="17" fillId="0" borderId="22" xfId="12" applyFont="1" applyBorder="1" applyAlignment="1">
      <alignment horizontal="center" wrapText="1"/>
    </xf>
    <xf numFmtId="37" fontId="17" fillId="0" borderId="58" xfId="12" applyNumberFormat="1" applyFont="1" applyBorder="1" applyAlignment="1">
      <alignment horizontal="center"/>
    </xf>
    <xf numFmtId="0" fontId="17" fillId="0" borderId="49" xfId="12" applyFont="1" applyBorder="1" applyAlignment="1">
      <alignment horizontal="center"/>
    </xf>
    <xf numFmtId="37" fontId="17" fillId="0" borderId="134" xfId="12" applyNumberFormat="1" applyFont="1" applyBorder="1" applyAlignment="1">
      <alignment horizontal="center"/>
    </xf>
    <xf numFmtId="0" fontId="17" fillId="0" borderId="135" xfId="12" applyFont="1" applyBorder="1" applyAlignment="1">
      <alignment horizontal="center"/>
    </xf>
    <xf numFmtId="37" fontId="17" fillId="0" borderId="18" xfId="12" applyNumberFormat="1" applyFont="1" applyBorder="1" applyAlignment="1">
      <alignment horizontal="center"/>
    </xf>
    <xf numFmtId="0" fontId="17" fillId="0" borderId="5" xfId="12" applyFont="1" applyBorder="1" applyAlignment="1">
      <alignment horizontal="center"/>
    </xf>
    <xf numFmtId="3" fontId="17" fillId="0" borderId="18" xfId="12" applyNumberFormat="1" applyFont="1" applyBorder="1" applyAlignment="1">
      <alignment horizontal="center"/>
    </xf>
    <xf numFmtId="3" fontId="17" fillId="0" borderId="135" xfId="12" applyNumberFormat="1" applyFont="1" applyBorder="1" applyAlignment="1">
      <alignment horizontal="center"/>
    </xf>
    <xf numFmtId="0" fontId="0" fillId="0" borderId="16" xfId="0" applyBorder="1" applyAlignment="1">
      <alignment horizontal="center"/>
    </xf>
    <xf numFmtId="0" fontId="17" fillId="0" borderId="8" xfId="0" applyFont="1" applyBorder="1" applyAlignment="1">
      <alignment horizontal="center"/>
    </xf>
    <xf numFmtId="0" fontId="17" fillId="0" borderId="5" xfId="12" applyFont="1" applyBorder="1" applyAlignment="1">
      <alignment horizontal="center" shrinkToFit="1"/>
    </xf>
    <xf numFmtId="3" fontId="17" fillId="0" borderId="134" xfId="12" applyNumberFormat="1" applyFont="1" applyBorder="1" applyAlignment="1">
      <alignment horizontal="center"/>
    </xf>
    <xf numFmtId="0" fontId="39" fillId="0" borderId="0" xfId="12" applyFont="1" applyAlignment="1">
      <alignment horizontal="center"/>
    </xf>
    <xf numFmtId="0" fontId="0" fillId="0" borderId="0" xfId="0"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9" xfId="0" applyBorder="1" applyAlignment="1">
      <alignment horizontal="center" vertical="center"/>
    </xf>
    <xf numFmtId="0" fontId="0" fillId="0" borderId="61" xfId="0" applyBorder="1" applyAlignment="1">
      <alignment horizontal="center" vertical="center"/>
    </xf>
    <xf numFmtId="3" fontId="17" fillId="0" borderId="6" xfId="12" applyNumberFormat="1" applyFont="1" applyBorder="1" applyAlignment="1">
      <alignment horizontal="center"/>
    </xf>
    <xf numFmtId="3" fontId="17" fillId="0" borderId="7" xfId="12" applyNumberFormat="1" applyFont="1" applyBorder="1" applyAlignment="1">
      <alignment horizontal="center"/>
    </xf>
    <xf numFmtId="0" fontId="29" fillId="0" borderId="19" xfId="0" applyFont="1" applyBorder="1" applyAlignment="1">
      <alignment horizontal="center"/>
    </xf>
    <xf numFmtId="1" fontId="17" fillId="0" borderId="6" xfId="12" applyNumberFormat="1" applyFont="1" applyBorder="1" applyAlignment="1">
      <alignment horizontal="center"/>
    </xf>
    <xf numFmtId="0" fontId="29" fillId="0" borderId="7" xfId="0" applyFont="1" applyBorder="1" applyAlignment="1">
      <alignment horizontal="center"/>
    </xf>
    <xf numFmtId="0" fontId="59" fillId="0" borderId="9" xfId="0" applyFont="1" applyBorder="1" applyAlignment="1">
      <alignment horizontal="center" vertical="center" wrapText="1"/>
    </xf>
    <xf numFmtId="0" fontId="59" fillId="0" borderId="15" xfId="0" applyFont="1" applyBorder="1" applyAlignment="1">
      <alignment horizontal="center" vertical="center" wrapText="1"/>
    </xf>
    <xf numFmtId="0" fontId="59" fillId="0" borderId="6" xfId="0" applyFont="1" applyBorder="1" applyAlignment="1">
      <alignment horizontal="center" vertical="center" wrapText="1"/>
    </xf>
    <xf numFmtId="0" fontId="59" fillId="0" borderId="53"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0" fontId="15" fillId="0" borderId="6" xfId="0" applyFont="1" applyBorder="1" applyAlignment="1">
      <alignment horizontal="center" vertical="center" wrapText="1"/>
    </xf>
    <xf numFmtId="0" fontId="17" fillId="0" borderId="14" xfId="12" applyFont="1" applyBorder="1" applyAlignment="1">
      <alignment horizontal="center"/>
    </xf>
    <xf numFmtId="0" fontId="17" fillId="0" borderId="15" xfId="12" applyFont="1" applyBorder="1" applyAlignment="1">
      <alignment horizontal="center"/>
    </xf>
    <xf numFmtId="0" fontId="45" fillId="0" borderId="144" xfId="0" applyFont="1" applyBorder="1" applyAlignment="1">
      <alignment horizontal="center"/>
    </xf>
    <xf numFmtId="0" fontId="45" fillId="0" borderId="146" xfId="0" applyFont="1" applyBorder="1" applyAlignment="1">
      <alignment horizontal="center"/>
    </xf>
    <xf numFmtId="0" fontId="71" fillId="0" borderId="146" xfId="0" applyFont="1" applyBorder="1" applyAlignment="1">
      <alignment horizontal="center"/>
    </xf>
    <xf numFmtId="0" fontId="29" fillId="0" borderId="111" xfId="0" applyFont="1" applyBorder="1" applyAlignment="1">
      <alignment horizontal="center" vertical="top" wrapText="1"/>
    </xf>
    <xf numFmtId="0" fontId="29" fillId="0" borderId="5" xfId="0" applyFont="1" applyBorder="1" applyAlignment="1">
      <alignment horizontal="center" wrapText="1"/>
    </xf>
    <xf numFmtId="0" fontId="29" fillId="0" borderId="115" xfId="0" applyFont="1" applyBorder="1" applyAlignment="1">
      <alignment horizontal="center"/>
    </xf>
    <xf numFmtId="0" fontId="29" fillId="0" borderId="5" xfId="0" applyFont="1" applyBorder="1" applyAlignment="1">
      <alignment horizontal="center"/>
    </xf>
    <xf numFmtId="0" fontId="29" fillId="0" borderId="16" xfId="0" applyFont="1" applyBorder="1" applyAlignment="1">
      <alignment horizontal="center"/>
    </xf>
    <xf numFmtId="0" fontId="29" fillId="0" borderId="107" xfId="0" applyFont="1" applyBorder="1" applyAlignment="1">
      <alignment horizontal="center"/>
    </xf>
    <xf numFmtId="0" fontId="17" fillId="0" borderId="10" xfId="0" applyFont="1" applyBorder="1" applyAlignment="1">
      <alignment horizontal="center" wrapText="1"/>
    </xf>
    <xf numFmtId="0" fontId="17" fillId="0" borderId="11" xfId="0" applyFont="1" applyBorder="1" applyAlignment="1">
      <alignment horizontal="center" wrapText="1"/>
    </xf>
    <xf numFmtId="0" fontId="17" fillId="0" borderId="12" xfId="0" applyFont="1" applyBorder="1" applyAlignment="1">
      <alignment horizontal="center" wrapText="1"/>
    </xf>
    <xf numFmtId="0" fontId="29" fillId="0" borderId="8" xfId="0" applyFont="1" applyBorder="1" applyAlignment="1">
      <alignment horizontal="center"/>
    </xf>
    <xf numFmtId="0" fontId="15" fillId="0" borderId="0" xfId="0" applyFont="1" applyAlignment="1">
      <alignment horizontal="center" wrapText="1"/>
    </xf>
    <xf numFmtId="0" fontId="15" fillId="0" borderId="0" xfId="0" applyFont="1" applyAlignment="1">
      <alignment wrapText="1"/>
    </xf>
    <xf numFmtId="0" fontId="0" fillId="0" borderId="0" xfId="0" applyAlignment="1">
      <alignment wrapText="1"/>
    </xf>
    <xf numFmtId="0" fontId="29" fillId="0" borderId="0" xfId="0" applyFont="1" applyAlignment="1">
      <alignment horizontal="center"/>
    </xf>
    <xf numFmtId="0" fontId="15" fillId="0" borderId="0" xfId="0" applyFont="1" applyAlignment="1">
      <alignment horizontal="center"/>
    </xf>
    <xf numFmtId="0" fontId="29" fillId="19" borderId="146" xfId="0" applyFont="1" applyFill="1" applyBorder="1" applyAlignment="1">
      <alignment horizontal="left" wrapText="1"/>
    </xf>
    <xf numFmtId="0" fontId="85" fillId="0" borderId="0" xfId="0" applyFont="1" applyAlignment="1">
      <alignment horizontal="center" wrapText="1"/>
    </xf>
    <xf numFmtId="0" fontId="85" fillId="0" borderId="7" xfId="0" applyFont="1" applyBorder="1" applyAlignment="1">
      <alignment horizontal="center" wrapText="1"/>
    </xf>
    <xf numFmtId="0" fontId="15" fillId="0" borderId="0" xfId="0" quotePrefix="1" applyFont="1" applyAlignment="1">
      <alignment horizontal="center"/>
    </xf>
    <xf numFmtId="0" fontId="44" fillId="0" borderId="0" xfId="0" quotePrefix="1" applyFont="1" applyAlignment="1">
      <alignment horizontal="center"/>
    </xf>
    <xf numFmtId="0" fontId="15" fillId="0" borderId="115" xfId="0" quotePrefix="1" applyFont="1" applyBorder="1" applyAlignment="1">
      <alignment horizontal="center"/>
    </xf>
    <xf numFmtId="0" fontId="0" fillId="0" borderId="115" xfId="0" applyBorder="1"/>
    <xf numFmtId="0" fontId="70" fillId="0" borderId="0" xfId="12" applyFont="1" applyAlignment="1">
      <alignment vertical="center" wrapText="1"/>
    </xf>
    <xf numFmtId="0" fontId="0" fillId="0" borderId="0" xfId="0" applyAlignment="1">
      <alignment vertical="center" wrapText="1"/>
    </xf>
    <xf numFmtId="0" fontId="109" fillId="0" borderId="14" xfId="12" quotePrefix="1" applyFont="1" applyBorder="1" applyAlignment="1">
      <alignment horizontal="left" wrapText="1"/>
    </xf>
    <xf numFmtId="0" fontId="109" fillId="0" borderId="0" xfId="12" quotePrefix="1" applyFont="1" applyAlignment="1">
      <alignment horizontal="left" wrapText="1"/>
    </xf>
    <xf numFmtId="0" fontId="16" fillId="0" borderId="27" xfId="12" applyBorder="1" applyAlignment="1">
      <alignment horizontal="center"/>
    </xf>
    <xf numFmtId="0" fontId="0" fillId="0" borderId="5" xfId="0" applyBorder="1" applyAlignment="1">
      <alignment horizontal="center"/>
    </xf>
    <xf numFmtId="0" fontId="16" fillId="0" borderId="5" xfId="12" applyBorder="1" applyAlignment="1">
      <alignment horizontal="center"/>
    </xf>
    <xf numFmtId="0" fontId="16" fillId="0" borderId="38" xfId="12" applyBorder="1" applyAlignment="1">
      <alignment horizontal="center"/>
    </xf>
    <xf numFmtId="0" fontId="16" fillId="0" borderId="16" xfId="12" applyBorder="1" applyAlignment="1">
      <alignment horizontal="center"/>
    </xf>
    <xf numFmtId="0" fontId="16" fillId="0" borderId="8" xfId="12" applyBorder="1" applyAlignment="1">
      <alignment horizontal="center"/>
    </xf>
    <xf numFmtId="0" fontId="53" fillId="0" borderId="0" xfId="0" applyFont="1" applyAlignment="1">
      <alignment horizontal="left"/>
    </xf>
    <xf numFmtId="0" fontId="90" fillId="0" borderId="144" xfId="0" applyFont="1" applyBorder="1" applyAlignment="1">
      <alignment horizontal="center"/>
    </xf>
    <xf numFmtId="0" fontId="90" fillId="0" borderId="146" xfId="0" applyFont="1" applyBorder="1" applyAlignment="1">
      <alignment horizontal="center"/>
    </xf>
    <xf numFmtId="0" fontId="90" fillId="0" borderId="142" xfId="0" applyFont="1" applyBorder="1" applyAlignment="1">
      <alignment horizontal="center"/>
    </xf>
    <xf numFmtId="0" fontId="15" fillId="0" borderId="21" xfId="11" applyBorder="1" applyAlignment="1">
      <alignment horizontal="center"/>
    </xf>
    <xf numFmtId="0" fontId="15" fillId="0" borderId="23" xfId="11" applyBorder="1" applyAlignment="1">
      <alignment horizontal="center"/>
    </xf>
    <xf numFmtId="1" fontId="15" fillId="0" borderId="144" xfId="0" applyNumberFormat="1" applyFont="1" applyBorder="1" applyAlignment="1">
      <alignment horizontal="center"/>
    </xf>
    <xf numFmtId="1" fontId="15" fillId="0" borderId="142" xfId="0" applyNumberFormat="1" applyFont="1" applyBorder="1" applyAlignment="1">
      <alignment horizontal="center"/>
    </xf>
    <xf numFmtId="0" fontId="15" fillId="0" borderId="181" xfId="12" applyFont="1" applyBorder="1" applyAlignment="1">
      <alignment horizontal="center"/>
    </xf>
    <xf numFmtId="0" fontId="15" fillId="0" borderId="182" xfId="12" applyFont="1" applyBorder="1" applyAlignment="1">
      <alignment horizontal="center"/>
    </xf>
    <xf numFmtId="0" fontId="0" fillId="0" borderId="144" xfId="0" applyBorder="1" applyAlignment="1">
      <alignment horizontal="center"/>
    </xf>
    <xf numFmtId="0" fontId="0" fillId="0" borderId="146" xfId="0" applyBorder="1" applyAlignment="1">
      <alignment horizontal="center"/>
    </xf>
    <xf numFmtId="0" fontId="0" fillId="0" borderId="142" xfId="0" applyBorder="1" applyAlignment="1">
      <alignment horizontal="center"/>
    </xf>
    <xf numFmtId="1" fontId="29" fillId="0" borderId="8" xfId="0" applyNumberFormat="1" applyFont="1" applyBorder="1" applyAlignment="1">
      <alignment horizontal="center"/>
    </xf>
    <xf numFmtId="1" fontId="29" fillId="0" borderId="16" xfId="0" applyNumberFormat="1" applyFont="1" applyBorder="1" applyAlignment="1">
      <alignment horizontal="center"/>
    </xf>
    <xf numFmtId="0" fontId="0" fillId="0" borderId="140"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0" fontId="15" fillId="0" borderId="134" xfId="12" applyFont="1" applyBorder="1" applyAlignment="1">
      <alignment horizontal="center"/>
    </xf>
    <xf numFmtId="0" fontId="15" fillId="0" borderId="138" xfId="12" applyFont="1" applyBorder="1" applyAlignment="1">
      <alignment horizontal="center"/>
    </xf>
    <xf numFmtId="0" fontId="15" fillId="0" borderId="139" xfId="12" applyFont="1" applyBorder="1" applyAlignment="1">
      <alignment horizontal="center"/>
    </xf>
    <xf numFmtId="1" fontId="29" fillId="27" borderId="8" xfId="91" applyNumberFormat="1" applyFont="1" applyFill="1" applyBorder="1" applyAlignment="1">
      <alignment horizontal="center"/>
    </xf>
    <xf numFmtId="1" fontId="29" fillId="27" borderId="5" xfId="91" applyNumberFormat="1" applyFont="1" applyFill="1" applyBorder="1" applyAlignment="1">
      <alignment horizontal="center"/>
    </xf>
    <xf numFmtId="0" fontId="29" fillId="27" borderId="5" xfId="91" applyFont="1" applyFill="1" applyBorder="1" applyAlignment="1">
      <alignment horizontal="center"/>
    </xf>
    <xf numFmtId="0" fontId="29" fillId="27" borderId="16" xfId="91" applyFont="1" applyFill="1" applyBorder="1" applyAlignment="1">
      <alignment horizontal="center"/>
    </xf>
    <xf numFmtId="0" fontId="2" fillId="0" borderId="159" xfId="23619" applyBorder="1" applyAlignment="1">
      <alignment horizontal="center" vertical="center"/>
    </xf>
    <xf numFmtId="0" fontId="2" fillId="0" borderId="0" xfId="23619" applyAlignment="1">
      <alignment horizontal="center" vertical="center"/>
    </xf>
    <xf numFmtId="0" fontId="2" fillId="0" borderId="115" xfId="23619" applyBorder="1" applyAlignment="1">
      <alignment horizontal="center" vertical="center"/>
    </xf>
    <xf numFmtId="0" fontId="2" fillId="0" borderId="159" xfId="23619" applyBorder="1" applyAlignment="1">
      <alignment horizontal="center" vertical="center" wrapText="1"/>
    </xf>
    <xf numFmtId="0" fontId="2" fillId="0" borderId="0" xfId="23619" applyAlignment="1">
      <alignment horizontal="center" vertical="center" wrapText="1"/>
    </xf>
    <xf numFmtId="0" fontId="2" fillId="0" borderId="115" xfId="23619" applyBorder="1" applyAlignment="1">
      <alignment horizontal="center" vertical="center" wrapText="1"/>
    </xf>
    <xf numFmtId="0" fontId="2" fillId="27" borderId="159" xfId="23619" applyFill="1" applyBorder="1" applyAlignment="1">
      <alignment horizontal="center" vertical="center" wrapText="1"/>
    </xf>
    <xf numFmtId="0" fontId="2" fillId="27" borderId="0" xfId="23619" applyFill="1" applyAlignment="1">
      <alignment horizontal="center" vertical="center" wrapText="1"/>
    </xf>
    <xf numFmtId="0" fontId="2" fillId="27" borderId="115" xfId="23619" applyFill="1" applyBorder="1" applyAlignment="1">
      <alignment horizontal="center" vertical="center" wrapText="1"/>
    </xf>
    <xf numFmtId="0" fontId="2" fillId="27" borderId="159" xfId="23619" applyFill="1" applyBorder="1" applyAlignment="1">
      <alignment horizontal="center" vertical="center"/>
    </xf>
    <xf numFmtId="0" fontId="2" fillId="27" borderId="0" xfId="23619" applyFill="1" applyAlignment="1">
      <alignment horizontal="center" vertical="center"/>
    </xf>
    <xf numFmtId="0" fontId="2" fillId="27" borderId="115" xfId="23619" applyFill="1" applyBorder="1" applyAlignment="1">
      <alignment horizontal="center" vertical="center"/>
    </xf>
    <xf numFmtId="0" fontId="2" fillId="0" borderId="159" xfId="23330" applyFont="1" applyBorder="1" applyAlignment="1">
      <alignment horizontal="center" vertical="center" wrapText="1"/>
    </xf>
    <xf numFmtId="0" fontId="2" fillId="0" borderId="115" xfId="23330" applyFont="1" applyBorder="1" applyAlignment="1">
      <alignment horizontal="center" vertical="center" wrapText="1"/>
    </xf>
    <xf numFmtId="0" fontId="2" fillId="0" borderId="159" xfId="23330" applyFont="1" applyBorder="1" applyAlignment="1">
      <alignment horizontal="center" vertical="center"/>
    </xf>
    <xf numFmtId="0" fontId="2" fillId="0" borderId="115" xfId="23330" applyFont="1" applyBorder="1" applyAlignment="1">
      <alignment horizontal="center" vertical="center"/>
    </xf>
    <xf numFmtId="0" fontId="2" fillId="0" borderId="0" xfId="23330" applyFont="1" applyAlignment="1">
      <alignment horizontal="center" vertical="center" wrapText="1"/>
    </xf>
    <xf numFmtId="0" fontId="2" fillId="0" borderId="0" xfId="23330" applyFont="1" applyAlignment="1">
      <alignment horizontal="center" vertical="center"/>
    </xf>
    <xf numFmtId="0" fontId="4" fillId="0" borderId="159" xfId="23330" applyBorder="1" applyAlignment="1">
      <alignment horizontal="center" vertical="center" wrapText="1"/>
    </xf>
    <xf numFmtId="0" fontId="4" fillId="0" borderId="0" xfId="23330" applyAlignment="1">
      <alignment horizontal="center" vertical="center" wrapText="1"/>
    </xf>
    <xf numFmtId="0" fontId="4" fillId="0" borderId="115" xfId="23330" applyBorder="1" applyAlignment="1">
      <alignment horizontal="center" vertical="center" wrapText="1"/>
    </xf>
    <xf numFmtId="0" fontId="4" fillId="0" borderId="0" xfId="23330" applyAlignment="1">
      <alignment horizontal="center" vertical="center"/>
    </xf>
    <xf numFmtId="0" fontId="4" fillId="0" borderId="115" xfId="23330" applyBorder="1" applyAlignment="1">
      <alignment horizontal="center" vertical="center"/>
    </xf>
  </cellXfs>
  <cellStyles count="46862">
    <cellStyle name="20% - Accent1 2" xfId="18033" xr:uid="{00000000-0005-0000-0000-000000000000}"/>
    <cellStyle name="20% - Accent1 3" xfId="18034" xr:uid="{00000000-0005-0000-0000-000001000000}"/>
    <cellStyle name="20% - Accent1 4" xfId="18035" xr:uid="{00000000-0005-0000-0000-000002000000}"/>
    <cellStyle name="20% - Accent1 4 2" xfId="41492" xr:uid="{00000000-0005-0000-0000-000003000000}"/>
    <cellStyle name="20% - Accent2 2" xfId="18036" xr:uid="{00000000-0005-0000-0000-000004000000}"/>
    <cellStyle name="20% - Accent2 3" xfId="18037" xr:uid="{00000000-0005-0000-0000-000005000000}"/>
    <cellStyle name="20% - Accent2 4" xfId="18038" xr:uid="{00000000-0005-0000-0000-000006000000}"/>
    <cellStyle name="20% - Accent2 4 2" xfId="41493" xr:uid="{00000000-0005-0000-0000-000007000000}"/>
    <cellStyle name="20% - Accent3 2" xfId="18039" xr:uid="{00000000-0005-0000-0000-000008000000}"/>
    <cellStyle name="20% - Accent3 3" xfId="18040" xr:uid="{00000000-0005-0000-0000-000009000000}"/>
    <cellStyle name="20% - Accent3 4" xfId="18041" xr:uid="{00000000-0005-0000-0000-00000A000000}"/>
    <cellStyle name="20% - Accent3 4 2" xfId="41494" xr:uid="{00000000-0005-0000-0000-00000B000000}"/>
    <cellStyle name="20% - Accent4 2" xfId="18042" xr:uid="{00000000-0005-0000-0000-00000C000000}"/>
    <cellStyle name="20% - Accent4 3" xfId="18043" xr:uid="{00000000-0005-0000-0000-00000D000000}"/>
    <cellStyle name="20% - Accent4 4" xfId="18044" xr:uid="{00000000-0005-0000-0000-00000E000000}"/>
    <cellStyle name="20% - Accent4 4 2" xfId="41495" xr:uid="{00000000-0005-0000-0000-00000F000000}"/>
    <cellStyle name="20% - Accent5 2" xfId="191" xr:uid="{00000000-0005-0000-0000-000010000000}"/>
    <cellStyle name="20% - Accent5 2 10" xfId="192" xr:uid="{00000000-0005-0000-0000-000011000000}"/>
    <cellStyle name="20% - Accent5 2 10 2" xfId="193" xr:uid="{00000000-0005-0000-0000-000012000000}"/>
    <cellStyle name="20% - Accent5 2 10 2 2" xfId="194" xr:uid="{00000000-0005-0000-0000-000013000000}"/>
    <cellStyle name="20% - Accent5 2 10 2 2 2" xfId="195" xr:uid="{00000000-0005-0000-0000-000014000000}"/>
    <cellStyle name="20% - Accent5 2 10 2 2 2 2" xfId="23729" xr:uid="{00000000-0005-0000-0000-000015000000}"/>
    <cellStyle name="20% - Accent5 2 10 2 2 3" xfId="23728" xr:uid="{00000000-0005-0000-0000-000016000000}"/>
    <cellStyle name="20% - Accent5 2 10 2 3" xfId="196" xr:uid="{00000000-0005-0000-0000-000017000000}"/>
    <cellStyle name="20% - Accent5 2 10 2 3 2" xfId="23730" xr:uid="{00000000-0005-0000-0000-000018000000}"/>
    <cellStyle name="20% - Accent5 2 10 2 4" xfId="23727" xr:uid="{00000000-0005-0000-0000-000019000000}"/>
    <cellStyle name="20% - Accent5 2 10 3" xfId="197" xr:uid="{00000000-0005-0000-0000-00001A000000}"/>
    <cellStyle name="20% - Accent5 2 10 3 2" xfId="198" xr:uid="{00000000-0005-0000-0000-00001B000000}"/>
    <cellStyle name="20% - Accent5 2 10 3 2 2" xfId="23732" xr:uid="{00000000-0005-0000-0000-00001C000000}"/>
    <cellStyle name="20% - Accent5 2 10 3 3" xfId="23731" xr:uid="{00000000-0005-0000-0000-00001D000000}"/>
    <cellStyle name="20% - Accent5 2 10 4" xfId="199" xr:uid="{00000000-0005-0000-0000-00001E000000}"/>
    <cellStyle name="20% - Accent5 2 10 4 2" xfId="23733" xr:uid="{00000000-0005-0000-0000-00001F000000}"/>
    <cellStyle name="20% - Accent5 2 10 5" xfId="23726" xr:uid="{00000000-0005-0000-0000-000020000000}"/>
    <cellStyle name="20% - Accent5 2 11" xfId="200" xr:uid="{00000000-0005-0000-0000-000021000000}"/>
    <cellStyle name="20% - Accent5 2 11 2" xfId="201" xr:uid="{00000000-0005-0000-0000-000022000000}"/>
    <cellStyle name="20% - Accent5 2 11 2 2" xfId="202" xr:uid="{00000000-0005-0000-0000-000023000000}"/>
    <cellStyle name="20% - Accent5 2 11 2 2 2" xfId="203" xr:uid="{00000000-0005-0000-0000-000024000000}"/>
    <cellStyle name="20% - Accent5 2 11 2 2 2 2" xfId="23737" xr:uid="{00000000-0005-0000-0000-000025000000}"/>
    <cellStyle name="20% - Accent5 2 11 2 2 3" xfId="23736" xr:uid="{00000000-0005-0000-0000-000026000000}"/>
    <cellStyle name="20% - Accent5 2 11 2 3" xfId="204" xr:uid="{00000000-0005-0000-0000-000027000000}"/>
    <cellStyle name="20% - Accent5 2 11 2 3 2" xfId="23738" xr:uid="{00000000-0005-0000-0000-000028000000}"/>
    <cellStyle name="20% - Accent5 2 11 2 4" xfId="23735" xr:uid="{00000000-0005-0000-0000-000029000000}"/>
    <cellStyle name="20% - Accent5 2 11 3" xfId="205" xr:uid="{00000000-0005-0000-0000-00002A000000}"/>
    <cellStyle name="20% - Accent5 2 11 3 2" xfId="206" xr:uid="{00000000-0005-0000-0000-00002B000000}"/>
    <cellStyle name="20% - Accent5 2 11 3 2 2" xfId="23740" xr:uid="{00000000-0005-0000-0000-00002C000000}"/>
    <cellStyle name="20% - Accent5 2 11 3 3" xfId="23739" xr:uid="{00000000-0005-0000-0000-00002D000000}"/>
    <cellStyle name="20% - Accent5 2 11 4" xfId="207" xr:uid="{00000000-0005-0000-0000-00002E000000}"/>
    <cellStyle name="20% - Accent5 2 11 4 2" xfId="23741" xr:uid="{00000000-0005-0000-0000-00002F000000}"/>
    <cellStyle name="20% - Accent5 2 11 5" xfId="23734" xr:uid="{00000000-0005-0000-0000-000030000000}"/>
    <cellStyle name="20% - Accent5 2 12" xfId="208" xr:uid="{00000000-0005-0000-0000-000031000000}"/>
    <cellStyle name="20% - Accent5 2 12 2" xfId="209" xr:uid="{00000000-0005-0000-0000-000032000000}"/>
    <cellStyle name="20% - Accent5 2 12 2 2" xfId="210" xr:uid="{00000000-0005-0000-0000-000033000000}"/>
    <cellStyle name="20% - Accent5 2 12 2 2 2" xfId="23744" xr:uid="{00000000-0005-0000-0000-000034000000}"/>
    <cellStyle name="20% - Accent5 2 12 2 3" xfId="23743" xr:uid="{00000000-0005-0000-0000-000035000000}"/>
    <cellStyle name="20% - Accent5 2 12 3" xfId="211" xr:uid="{00000000-0005-0000-0000-000036000000}"/>
    <cellStyle name="20% - Accent5 2 12 3 2" xfId="23745" xr:uid="{00000000-0005-0000-0000-000037000000}"/>
    <cellStyle name="20% - Accent5 2 12 4" xfId="23742" xr:uid="{00000000-0005-0000-0000-000038000000}"/>
    <cellStyle name="20% - Accent5 2 13" xfId="212" xr:uid="{00000000-0005-0000-0000-000039000000}"/>
    <cellStyle name="20% - Accent5 2 13 2" xfId="213" xr:uid="{00000000-0005-0000-0000-00003A000000}"/>
    <cellStyle name="20% - Accent5 2 13 2 2" xfId="23747" xr:uid="{00000000-0005-0000-0000-00003B000000}"/>
    <cellStyle name="20% - Accent5 2 13 3" xfId="23746" xr:uid="{00000000-0005-0000-0000-00003C000000}"/>
    <cellStyle name="20% - Accent5 2 14" xfId="214" xr:uid="{00000000-0005-0000-0000-00003D000000}"/>
    <cellStyle name="20% - Accent5 2 14 2" xfId="23748" xr:uid="{00000000-0005-0000-0000-00003E000000}"/>
    <cellStyle name="20% - Accent5 2 15" xfId="18045" xr:uid="{00000000-0005-0000-0000-00003F000000}"/>
    <cellStyle name="20% - Accent5 2 16" xfId="23725" xr:uid="{00000000-0005-0000-0000-000040000000}"/>
    <cellStyle name="20% - Accent5 2 2" xfId="215" xr:uid="{00000000-0005-0000-0000-000041000000}"/>
    <cellStyle name="20% - Accent5 2 2 10" xfId="216" xr:uid="{00000000-0005-0000-0000-000042000000}"/>
    <cellStyle name="20% - Accent5 2 2 10 2" xfId="23750" xr:uid="{00000000-0005-0000-0000-000043000000}"/>
    <cellStyle name="20% - Accent5 2 2 11" xfId="23749" xr:uid="{00000000-0005-0000-0000-000044000000}"/>
    <cellStyle name="20% - Accent5 2 2 2" xfId="217" xr:uid="{00000000-0005-0000-0000-000045000000}"/>
    <cellStyle name="20% - Accent5 2 2 2 2" xfId="218" xr:uid="{00000000-0005-0000-0000-000046000000}"/>
    <cellStyle name="20% - Accent5 2 2 2 2 2" xfId="219" xr:uid="{00000000-0005-0000-0000-000047000000}"/>
    <cellStyle name="20% - Accent5 2 2 2 2 2 2" xfId="220" xr:uid="{00000000-0005-0000-0000-000048000000}"/>
    <cellStyle name="20% - Accent5 2 2 2 2 2 2 2" xfId="221" xr:uid="{00000000-0005-0000-0000-000049000000}"/>
    <cellStyle name="20% - Accent5 2 2 2 2 2 2 2 2" xfId="23755" xr:uid="{00000000-0005-0000-0000-00004A000000}"/>
    <cellStyle name="20% - Accent5 2 2 2 2 2 2 3" xfId="23754" xr:uid="{00000000-0005-0000-0000-00004B000000}"/>
    <cellStyle name="20% - Accent5 2 2 2 2 2 3" xfId="222" xr:uid="{00000000-0005-0000-0000-00004C000000}"/>
    <cellStyle name="20% - Accent5 2 2 2 2 2 3 2" xfId="23756" xr:uid="{00000000-0005-0000-0000-00004D000000}"/>
    <cellStyle name="20% - Accent5 2 2 2 2 2 4" xfId="23753" xr:uid="{00000000-0005-0000-0000-00004E000000}"/>
    <cellStyle name="20% - Accent5 2 2 2 2 3" xfId="223" xr:uid="{00000000-0005-0000-0000-00004F000000}"/>
    <cellStyle name="20% - Accent5 2 2 2 2 3 2" xfId="224" xr:uid="{00000000-0005-0000-0000-000050000000}"/>
    <cellStyle name="20% - Accent5 2 2 2 2 3 2 2" xfId="23758" xr:uid="{00000000-0005-0000-0000-000051000000}"/>
    <cellStyle name="20% - Accent5 2 2 2 2 3 3" xfId="23757" xr:uid="{00000000-0005-0000-0000-000052000000}"/>
    <cellStyle name="20% - Accent5 2 2 2 2 4" xfId="225" xr:uid="{00000000-0005-0000-0000-000053000000}"/>
    <cellStyle name="20% - Accent5 2 2 2 2 4 2" xfId="23759" xr:uid="{00000000-0005-0000-0000-000054000000}"/>
    <cellStyle name="20% - Accent5 2 2 2 2 5" xfId="23752" xr:uid="{00000000-0005-0000-0000-000055000000}"/>
    <cellStyle name="20% - Accent5 2 2 2 3" xfId="226" xr:uid="{00000000-0005-0000-0000-000056000000}"/>
    <cellStyle name="20% - Accent5 2 2 2 3 2" xfId="227" xr:uid="{00000000-0005-0000-0000-000057000000}"/>
    <cellStyle name="20% - Accent5 2 2 2 3 2 2" xfId="228" xr:uid="{00000000-0005-0000-0000-000058000000}"/>
    <cellStyle name="20% - Accent5 2 2 2 3 2 2 2" xfId="229" xr:uid="{00000000-0005-0000-0000-000059000000}"/>
    <cellStyle name="20% - Accent5 2 2 2 3 2 2 2 2" xfId="23763" xr:uid="{00000000-0005-0000-0000-00005A000000}"/>
    <cellStyle name="20% - Accent5 2 2 2 3 2 2 3" xfId="23762" xr:uid="{00000000-0005-0000-0000-00005B000000}"/>
    <cellStyle name="20% - Accent5 2 2 2 3 2 3" xfId="230" xr:uid="{00000000-0005-0000-0000-00005C000000}"/>
    <cellStyle name="20% - Accent5 2 2 2 3 2 3 2" xfId="23764" xr:uid="{00000000-0005-0000-0000-00005D000000}"/>
    <cellStyle name="20% - Accent5 2 2 2 3 2 4" xfId="23761" xr:uid="{00000000-0005-0000-0000-00005E000000}"/>
    <cellStyle name="20% - Accent5 2 2 2 3 3" xfId="231" xr:uid="{00000000-0005-0000-0000-00005F000000}"/>
    <cellStyle name="20% - Accent5 2 2 2 3 3 2" xfId="232" xr:uid="{00000000-0005-0000-0000-000060000000}"/>
    <cellStyle name="20% - Accent5 2 2 2 3 3 2 2" xfId="23766" xr:uid="{00000000-0005-0000-0000-000061000000}"/>
    <cellStyle name="20% - Accent5 2 2 2 3 3 3" xfId="23765" xr:uid="{00000000-0005-0000-0000-000062000000}"/>
    <cellStyle name="20% - Accent5 2 2 2 3 4" xfId="233" xr:uid="{00000000-0005-0000-0000-000063000000}"/>
    <cellStyle name="20% - Accent5 2 2 2 3 4 2" xfId="23767" xr:uid="{00000000-0005-0000-0000-000064000000}"/>
    <cellStyle name="20% - Accent5 2 2 2 3 5" xfId="23760" xr:uid="{00000000-0005-0000-0000-000065000000}"/>
    <cellStyle name="20% - Accent5 2 2 2 4" xfId="234" xr:uid="{00000000-0005-0000-0000-000066000000}"/>
    <cellStyle name="20% - Accent5 2 2 2 4 2" xfId="235" xr:uid="{00000000-0005-0000-0000-000067000000}"/>
    <cellStyle name="20% - Accent5 2 2 2 4 2 2" xfId="236" xr:uid="{00000000-0005-0000-0000-000068000000}"/>
    <cellStyle name="20% - Accent5 2 2 2 4 2 2 2" xfId="23770" xr:uid="{00000000-0005-0000-0000-000069000000}"/>
    <cellStyle name="20% - Accent5 2 2 2 4 2 3" xfId="23769" xr:uid="{00000000-0005-0000-0000-00006A000000}"/>
    <cellStyle name="20% - Accent5 2 2 2 4 3" xfId="237" xr:uid="{00000000-0005-0000-0000-00006B000000}"/>
    <cellStyle name="20% - Accent5 2 2 2 4 3 2" xfId="23771" xr:uid="{00000000-0005-0000-0000-00006C000000}"/>
    <cellStyle name="20% - Accent5 2 2 2 4 4" xfId="23768" xr:uid="{00000000-0005-0000-0000-00006D000000}"/>
    <cellStyle name="20% - Accent5 2 2 2 5" xfId="238" xr:uid="{00000000-0005-0000-0000-00006E000000}"/>
    <cellStyle name="20% - Accent5 2 2 2 5 2" xfId="239" xr:uid="{00000000-0005-0000-0000-00006F000000}"/>
    <cellStyle name="20% - Accent5 2 2 2 5 2 2" xfId="23773" xr:uid="{00000000-0005-0000-0000-000070000000}"/>
    <cellStyle name="20% - Accent5 2 2 2 5 3" xfId="23772" xr:uid="{00000000-0005-0000-0000-000071000000}"/>
    <cellStyle name="20% - Accent5 2 2 2 6" xfId="240" xr:uid="{00000000-0005-0000-0000-000072000000}"/>
    <cellStyle name="20% - Accent5 2 2 2 6 2" xfId="23774" xr:uid="{00000000-0005-0000-0000-000073000000}"/>
    <cellStyle name="20% - Accent5 2 2 2 7" xfId="23751" xr:uid="{00000000-0005-0000-0000-000074000000}"/>
    <cellStyle name="20% - Accent5 2 2 3" xfId="241" xr:uid="{00000000-0005-0000-0000-000075000000}"/>
    <cellStyle name="20% - Accent5 2 2 3 2" xfId="242" xr:uid="{00000000-0005-0000-0000-000076000000}"/>
    <cellStyle name="20% - Accent5 2 2 3 2 2" xfId="243" xr:uid="{00000000-0005-0000-0000-000077000000}"/>
    <cellStyle name="20% - Accent5 2 2 3 2 2 2" xfId="244" xr:uid="{00000000-0005-0000-0000-000078000000}"/>
    <cellStyle name="20% - Accent5 2 2 3 2 2 2 2" xfId="245" xr:uid="{00000000-0005-0000-0000-000079000000}"/>
    <cellStyle name="20% - Accent5 2 2 3 2 2 2 2 2" xfId="23779" xr:uid="{00000000-0005-0000-0000-00007A000000}"/>
    <cellStyle name="20% - Accent5 2 2 3 2 2 2 3" xfId="23778" xr:uid="{00000000-0005-0000-0000-00007B000000}"/>
    <cellStyle name="20% - Accent5 2 2 3 2 2 3" xfId="246" xr:uid="{00000000-0005-0000-0000-00007C000000}"/>
    <cellStyle name="20% - Accent5 2 2 3 2 2 3 2" xfId="23780" xr:uid="{00000000-0005-0000-0000-00007D000000}"/>
    <cellStyle name="20% - Accent5 2 2 3 2 2 4" xfId="23777" xr:uid="{00000000-0005-0000-0000-00007E000000}"/>
    <cellStyle name="20% - Accent5 2 2 3 2 3" xfId="247" xr:uid="{00000000-0005-0000-0000-00007F000000}"/>
    <cellStyle name="20% - Accent5 2 2 3 2 3 2" xfId="248" xr:uid="{00000000-0005-0000-0000-000080000000}"/>
    <cellStyle name="20% - Accent5 2 2 3 2 3 2 2" xfId="23782" xr:uid="{00000000-0005-0000-0000-000081000000}"/>
    <cellStyle name="20% - Accent5 2 2 3 2 3 3" xfId="23781" xr:uid="{00000000-0005-0000-0000-000082000000}"/>
    <cellStyle name="20% - Accent5 2 2 3 2 4" xfId="249" xr:uid="{00000000-0005-0000-0000-000083000000}"/>
    <cellStyle name="20% - Accent5 2 2 3 2 4 2" xfId="23783" xr:uid="{00000000-0005-0000-0000-000084000000}"/>
    <cellStyle name="20% - Accent5 2 2 3 2 5" xfId="23776" xr:uid="{00000000-0005-0000-0000-000085000000}"/>
    <cellStyle name="20% - Accent5 2 2 3 3" xfId="250" xr:uid="{00000000-0005-0000-0000-000086000000}"/>
    <cellStyle name="20% - Accent5 2 2 3 3 2" xfId="251" xr:uid="{00000000-0005-0000-0000-000087000000}"/>
    <cellStyle name="20% - Accent5 2 2 3 3 2 2" xfId="252" xr:uid="{00000000-0005-0000-0000-000088000000}"/>
    <cellStyle name="20% - Accent5 2 2 3 3 2 2 2" xfId="253" xr:uid="{00000000-0005-0000-0000-000089000000}"/>
    <cellStyle name="20% - Accent5 2 2 3 3 2 2 2 2" xfId="23787" xr:uid="{00000000-0005-0000-0000-00008A000000}"/>
    <cellStyle name="20% - Accent5 2 2 3 3 2 2 3" xfId="23786" xr:uid="{00000000-0005-0000-0000-00008B000000}"/>
    <cellStyle name="20% - Accent5 2 2 3 3 2 3" xfId="254" xr:uid="{00000000-0005-0000-0000-00008C000000}"/>
    <cellStyle name="20% - Accent5 2 2 3 3 2 3 2" xfId="23788" xr:uid="{00000000-0005-0000-0000-00008D000000}"/>
    <cellStyle name="20% - Accent5 2 2 3 3 2 4" xfId="23785" xr:uid="{00000000-0005-0000-0000-00008E000000}"/>
    <cellStyle name="20% - Accent5 2 2 3 3 3" xfId="255" xr:uid="{00000000-0005-0000-0000-00008F000000}"/>
    <cellStyle name="20% - Accent5 2 2 3 3 3 2" xfId="256" xr:uid="{00000000-0005-0000-0000-000090000000}"/>
    <cellStyle name="20% - Accent5 2 2 3 3 3 2 2" xfId="23790" xr:uid="{00000000-0005-0000-0000-000091000000}"/>
    <cellStyle name="20% - Accent5 2 2 3 3 3 3" xfId="23789" xr:uid="{00000000-0005-0000-0000-000092000000}"/>
    <cellStyle name="20% - Accent5 2 2 3 3 4" xfId="257" xr:uid="{00000000-0005-0000-0000-000093000000}"/>
    <cellStyle name="20% - Accent5 2 2 3 3 4 2" xfId="23791" xr:uid="{00000000-0005-0000-0000-000094000000}"/>
    <cellStyle name="20% - Accent5 2 2 3 3 5" xfId="23784" xr:uid="{00000000-0005-0000-0000-000095000000}"/>
    <cellStyle name="20% - Accent5 2 2 3 4" xfId="258" xr:uid="{00000000-0005-0000-0000-000096000000}"/>
    <cellStyle name="20% - Accent5 2 2 3 4 2" xfId="259" xr:uid="{00000000-0005-0000-0000-000097000000}"/>
    <cellStyle name="20% - Accent5 2 2 3 4 2 2" xfId="260" xr:uid="{00000000-0005-0000-0000-000098000000}"/>
    <cellStyle name="20% - Accent5 2 2 3 4 2 2 2" xfId="23794" xr:uid="{00000000-0005-0000-0000-000099000000}"/>
    <cellStyle name="20% - Accent5 2 2 3 4 2 3" xfId="23793" xr:uid="{00000000-0005-0000-0000-00009A000000}"/>
    <cellStyle name="20% - Accent5 2 2 3 4 3" xfId="261" xr:uid="{00000000-0005-0000-0000-00009B000000}"/>
    <cellStyle name="20% - Accent5 2 2 3 4 3 2" xfId="23795" xr:uid="{00000000-0005-0000-0000-00009C000000}"/>
    <cellStyle name="20% - Accent5 2 2 3 4 4" xfId="23792" xr:uid="{00000000-0005-0000-0000-00009D000000}"/>
    <cellStyle name="20% - Accent5 2 2 3 5" xfId="262" xr:uid="{00000000-0005-0000-0000-00009E000000}"/>
    <cellStyle name="20% - Accent5 2 2 3 5 2" xfId="263" xr:uid="{00000000-0005-0000-0000-00009F000000}"/>
    <cellStyle name="20% - Accent5 2 2 3 5 2 2" xfId="23797" xr:uid="{00000000-0005-0000-0000-0000A0000000}"/>
    <cellStyle name="20% - Accent5 2 2 3 5 3" xfId="23796" xr:uid="{00000000-0005-0000-0000-0000A1000000}"/>
    <cellStyle name="20% - Accent5 2 2 3 6" xfId="264" xr:uid="{00000000-0005-0000-0000-0000A2000000}"/>
    <cellStyle name="20% - Accent5 2 2 3 6 2" xfId="23798" xr:uid="{00000000-0005-0000-0000-0000A3000000}"/>
    <cellStyle name="20% - Accent5 2 2 3 7" xfId="23775" xr:uid="{00000000-0005-0000-0000-0000A4000000}"/>
    <cellStyle name="20% - Accent5 2 2 4" xfId="265" xr:uid="{00000000-0005-0000-0000-0000A5000000}"/>
    <cellStyle name="20% - Accent5 2 2 4 2" xfId="266" xr:uid="{00000000-0005-0000-0000-0000A6000000}"/>
    <cellStyle name="20% - Accent5 2 2 4 2 2" xfId="267" xr:uid="{00000000-0005-0000-0000-0000A7000000}"/>
    <cellStyle name="20% - Accent5 2 2 4 2 2 2" xfId="268" xr:uid="{00000000-0005-0000-0000-0000A8000000}"/>
    <cellStyle name="20% - Accent5 2 2 4 2 2 2 2" xfId="269" xr:uid="{00000000-0005-0000-0000-0000A9000000}"/>
    <cellStyle name="20% - Accent5 2 2 4 2 2 2 2 2" xfId="23803" xr:uid="{00000000-0005-0000-0000-0000AA000000}"/>
    <cellStyle name="20% - Accent5 2 2 4 2 2 2 3" xfId="23802" xr:uid="{00000000-0005-0000-0000-0000AB000000}"/>
    <cellStyle name="20% - Accent5 2 2 4 2 2 3" xfId="270" xr:uid="{00000000-0005-0000-0000-0000AC000000}"/>
    <cellStyle name="20% - Accent5 2 2 4 2 2 3 2" xfId="23804" xr:uid="{00000000-0005-0000-0000-0000AD000000}"/>
    <cellStyle name="20% - Accent5 2 2 4 2 2 4" xfId="23801" xr:uid="{00000000-0005-0000-0000-0000AE000000}"/>
    <cellStyle name="20% - Accent5 2 2 4 2 3" xfId="271" xr:uid="{00000000-0005-0000-0000-0000AF000000}"/>
    <cellStyle name="20% - Accent5 2 2 4 2 3 2" xfId="272" xr:uid="{00000000-0005-0000-0000-0000B0000000}"/>
    <cellStyle name="20% - Accent5 2 2 4 2 3 2 2" xfId="23806" xr:uid="{00000000-0005-0000-0000-0000B1000000}"/>
    <cellStyle name="20% - Accent5 2 2 4 2 3 3" xfId="23805" xr:uid="{00000000-0005-0000-0000-0000B2000000}"/>
    <cellStyle name="20% - Accent5 2 2 4 2 4" xfId="273" xr:uid="{00000000-0005-0000-0000-0000B3000000}"/>
    <cellStyle name="20% - Accent5 2 2 4 2 4 2" xfId="23807" xr:uid="{00000000-0005-0000-0000-0000B4000000}"/>
    <cellStyle name="20% - Accent5 2 2 4 2 5" xfId="23800" xr:uid="{00000000-0005-0000-0000-0000B5000000}"/>
    <cellStyle name="20% - Accent5 2 2 4 3" xfId="274" xr:uid="{00000000-0005-0000-0000-0000B6000000}"/>
    <cellStyle name="20% - Accent5 2 2 4 3 2" xfId="275" xr:uid="{00000000-0005-0000-0000-0000B7000000}"/>
    <cellStyle name="20% - Accent5 2 2 4 3 2 2" xfId="276" xr:uid="{00000000-0005-0000-0000-0000B8000000}"/>
    <cellStyle name="20% - Accent5 2 2 4 3 2 2 2" xfId="277" xr:uid="{00000000-0005-0000-0000-0000B9000000}"/>
    <cellStyle name="20% - Accent5 2 2 4 3 2 2 2 2" xfId="23811" xr:uid="{00000000-0005-0000-0000-0000BA000000}"/>
    <cellStyle name="20% - Accent5 2 2 4 3 2 2 3" xfId="23810" xr:uid="{00000000-0005-0000-0000-0000BB000000}"/>
    <cellStyle name="20% - Accent5 2 2 4 3 2 3" xfId="278" xr:uid="{00000000-0005-0000-0000-0000BC000000}"/>
    <cellStyle name="20% - Accent5 2 2 4 3 2 3 2" xfId="23812" xr:uid="{00000000-0005-0000-0000-0000BD000000}"/>
    <cellStyle name="20% - Accent5 2 2 4 3 2 4" xfId="23809" xr:uid="{00000000-0005-0000-0000-0000BE000000}"/>
    <cellStyle name="20% - Accent5 2 2 4 3 3" xfId="279" xr:uid="{00000000-0005-0000-0000-0000BF000000}"/>
    <cellStyle name="20% - Accent5 2 2 4 3 3 2" xfId="280" xr:uid="{00000000-0005-0000-0000-0000C0000000}"/>
    <cellStyle name="20% - Accent5 2 2 4 3 3 2 2" xfId="23814" xr:uid="{00000000-0005-0000-0000-0000C1000000}"/>
    <cellStyle name="20% - Accent5 2 2 4 3 3 3" xfId="23813" xr:uid="{00000000-0005-0000-0000-0000C2000000}"/>
    <cellStyle name="20% - Accent5 2 2 4 3 4" xfId="281" xr:uid="{00000000-0005-0000-0000-0000C3000000}"/>
    <cellStyle name="20% - Accent5 2 2 4 3 4 2" xfId="23815" xr:uid="{00000000-0005-0000-0000-0000C4000000}"/>
    <cellStyle name="20% - Accent5 2 2 4 3 5" xfId="23808" xr:uid="{00000000-0005-0000-0000-0000C5000000}"/>
    <cellStyle name="20% - Accent5 2 2 4 4" xfId="282" xr:uid="{00000000-0005-0000-0000-0000C6000000}"/>
    <cellStyle name="20% - Accent5 2 2 4 4 2" xfId="283" xr:uid="{00000000-0005-0000-0000-0000C7000000}"/>
    <cellStyle name="20% - Accent5 2 2 4 4 2 2" xfId="284" xr:uid="{00000000-0005-0000-0000-0000C8000000}"/>
    <cellStyle name="20% - Accent5 2 2 4 4 2 2 2" xfId="23818" xr:uid="{00000000-0005-0000-0000-0000C9000000}"/>
    <cellStyle name="20% - Accent5 2 2 4 4 2 3" xfId="23817" xr:uid="{00000000-0005-0000-0000-0000CA000000}"/>
    <cellStyle name="20% - Accent5 2 2 4 4 3" xfId="285" xr:uid="{00000000-0005-0000-0000-0000CB000000}"/>
    <cellStyle name="20% - Accent5 2 2 4 4 3 2" xfId="23819" xr:uid="{00000000-0005-0000-0000-0000CC000000}"/>
    <cellStyle name="20% - Accent5 2 2 4 4 4" xfId="23816" xr:uid="{00000000-0005-0000-0000-0000CD000000}"/>
    <cellStyle name="20% - Accent5 2 2 4 5" xfId="286" xr:uid="{00000000-0005-0000-0000-0000CE000000}"/>
    <cellStyle name="20% - Accent5 2 2 4 5 2" xfId="287" xr:uid="{00000000-0005-0000-0000-0000CF000000}"/>
    <cellStyle name="20% - Accent5 2 2 4 5 2 2" xfId="23821" xr:uid="{00000000-0005-0000-0000-0000D0000000}"/>
    <cellStyle name="20% - Accent5 2 2 4 5 3" xfId="23820" xr:uid="{00000000-0005-0000-0000-0000D1000000}"/>
    <cellStyle name="20% - Accent5 2 2 4 6" xfId="288" xr:uid="{00000000-0005-0000-0000-0000D2000000}"/>
    <cellStyle name="20% - Accent5 2 2 4 6 2" xfId="23822" xr:uid="{00000000-0005-0000-0000-0000D3000000}"/>
    <cellStyle name="20% - Accent5 2 2 4 7" xfId="23799" xr:uid="{00000000-0005-0000-0000-0000D4000000}"/>
    <cellStyle name="20% - Accent5 2 2 5" xfId="289" xr:uid="{00000000-0005-0000-0000-0000D5000000}"/>
    <cellStyle name="20% - Accent5 2 2 5 2" xfId="290" xr:uid="{00000000-0005-0000-0000-0000D6000000}"/>
    <cellStyle name="20% - Accent5 2 2 5 2 2" xfId="291" xr:uid="{00000000-0005-0000-0000-0000D7000000}"/>
    <cellStyle name="20% - Accent5 2 2 5 2 2 2" xfId="292" xr:uid="{00000000-0005-0000-0000-0000D8000000}"/>
    <cellStyle name="20% - Accent5 2 2 5 2 2 2 2" xfId="293" xr:uid="{00000000-0005-0000-0000-0000D9000000}"/>
    <cellStyle name="20% - Accent5 2 2 5 2 2 2 2 2" xfId="23827" xr:uid="{00000000-0005-0000-0000-0000DA000000}"/>
    <cellStyle name="20% - Accent5 2 2 5 2 2 2 3" xfId="23826" xr:uid="{00000000-0005-0000-0000-0000DB000000}"/>
    <cellStyle name="20% - Accent5 2 2 5 2 2 3" xfId="294" xr:uid="{00000000-0005-0000-0000-0000DC000000}"/>
    <cellStyle name="20% - Accent5 2 2 5 2 2 3 2" xfId="23828" xr:uid="{00000000-0005-0000-0000-0000DD000000}"/>
    <cellStyle name="20% - Accent5 2 2 5 2 2 4" xfId="23825" xr:uid="{00000000-0005-0000-0000-0000DE000000}"/>
    <cellStyle name="20% - Accent5 2 2 5 2 3" xfId="295" xr:uid="{00000000-0005-0000-0000-0000DF000000}"/>
    <cellStyle name="20% - Accent5 2 2 5 2 3 2" xfId="296" xr:uid="{00000000-0005-0000-0000-0000E0000000}"/>
    <cellStyle name="20% - Accent5 2 2 5 2 3 2 2" xfId="23830" xr:uid="{00000000-0005-0000-0000-0000E1000000}"/>
    <cellStyle name="20% - Accent5 2 2 5 2 3 3" xfId="23829" xr:uid="{00000000-0005-0000-0000-0000E2000000}"/>
    <cellStyle name="20% - Accent5 2 2 5 2 4" xfId="297" xr:uid="{00000000-0005-0000-0000-0000E3000000}"/>
    <cellStyle name="20% - Accent5 2 2 5 2 4 2" xfId="23831" xr:uid="{00000000-0005-0000-0000-0000E4000000}"/>
    <cellStyle name="20% - Accent5 2 2 5 2 5" xfId="23824" xr:uid="{00000000-0005-0000-0000-0000E5000000}"/>
    <cellStyle name="20% - Accent5 2 2 5 3" xfId="298" xr:uid="{00000000-0005-0000-0000-0000E6000000}"/>
    <cellStyle name="20% - Accent5 2 2 5 3 2" xfId="299" xr:uid="{00000000-0005-0000-0000-0000E7000000}"/>
    <cellStyle name="20% - Accent5 2 2 5 3 2 2" xfId="300" xr:uid="{00000000-0005-0000-0000-0000E8000000}"/>
    <cellStyle name="20% - Accent5 2 2 5 3 2 2 2" xfId="301" xr:uid="{00000000-0005-0000-0000-0000E9000000}"/>
    <cellStyle name="20% - Accent5 2 2 5 3 2 2 2 2" xfId="23835" xr:uid="{00000000-0005-0000-0000-0000EA000000}"/>
    <cellStyle name="20% - Accent5 2 2 5 3 2 2 3" xfId="23834" xr:uid="{00000000-0005-0000-0000-0000EB000000}"/>
    <cellStyle name="20% - Accent5 2 2 5 3 2 3" xfId="302" xr:uid="{00000000-0005-0000-0000-0000EC000000}"/>
    <cellStyle name="20% - Accent5 2 2 5 3 2 3 2" xfId="23836" xr:uid="{00000000-0005-0000-0000-0000ED000000}"/>
    <cellStyle name="20% - Accent5 2 2 5 3 2 4" xfId="23833" xr:uid="{00000000-0005-0000-0000-0000EE000000}"/>
    <cellStyle name="20% - Accent5 2 2 5 3 3" xfId="303" xr:uid="{00000000-0005-0000-0000-0000EF000000}"/>
    <cellStyle name="20% - Accent5 2 2 5 3 3 2" xfId="304" xr:uid="{00000000-0005-0000-0000-0000F0000000}"/>
    <cellStyle name="20% - Accent5 2 2 5 3 3 2 2" xfId="23838" xr:uid="{00000000-0005-0000-0000-0000F1000000}"/>
    <cellStyle name="20% - Accent5 2 2 5 3 3 3" xfId="23837" xr:uid="{00000000-0005-0000-0000-0000F2000000}"/>
    <cellStyle name="20% - Accent5 2 2 5 3 4" xfId="305" xr:uid="{00000000-0005-0000-0000-0000F3000000}"/>
    <cellStyle name="20% - Accent5 2 2 5 3 4 2" xfId="23839" xr:uid="{00000000-0005-0000-0000-0000F4000000}"/>
    <cellStyle name="20% - Accent5 2 2 5 3 5" xfId="23832" xr:uid="{00000000-0005-0000-0000-0000F5000000}"/>
    <cellStyle name="20% - Accent5 2 2 5 4" xfId="306" xr:uid="{00000000-0005-0000-0000-0000F6000000}"/>
    <cellStyle name="20% - Accent5 2 2 5 4 2" xfId="307" xr:uid="{00000000-0005-0000-0000-0000F7000000}"/>
    <cellStyle name="20% - Accent5 2 2 5 4 2 2" xfId="308" xr:uid="{00000000-0005-0000-0000-0000F8000000}"/>
    <cellStyle name="20% - Accent5 2 2 5 4 2 2 2" xfId="23842" xr:uid="{00000000-0005-0000-0000-0000F9000000}"/>
    <cellStyle name="20% - Accent5 2 2 5 4 2 3" xfId="23841" xr:uid="{00000000-0005-0000-0000-0000FA000000}"/>
    <cellStyle name="20% - Accent5 2 2 5 4 3" xfId="309" xr:uid="{00000000-0005-0000-0000-0000FB000000}"/>
    <cellStyle name="20% - Accent5 2 2 5 4 3 2" xfId="23843" xr:uid="{00000000-0005-0000-0000-0000FC000000}"/>
    <cellStyle name="20% - Accent5 2 2 5 4 4" xfId="23840" xr:uid="{00000000-0005-0000-0000-0000FD000000}"/>
    <cellStyle name="20% - Accent5 2 2 5 5" xfId="310" xr:uid="{00000000-0005-0000-0000-0000FE000000}"/>
    <cellStyle name="20% - Accent5 2 2 5 5 2" xfId="311" xr:uid="{00000000-0005-0000-0000-0000FF000000}"/>
    <cellStyle name="20% - Accent5 2 2 5 5 2 2" xfId="23845" xr:uid="{00000000-0005-0000-0000-000000010000}"/>
    <cellStyle name="20% - Accent5 2 2 5 5 3" xfId="23844" xr:uid="{00000000-0005-0000-0000-000001010000}"/>
    <cellStyle name="20% - Accent5 2 2 5 6" xfId="312" xr:uid="{00000000-0005-0000-0000-000002010000}"/>
    <cellStyle name="20% - Accent5 2 2 5 6 2" xfId="23846" xr:uid="{00000000-0005-0000-0000-000003010000}"/>
    <cellStyle name="20% - Accent5 2 2 5 7" xfId="23823" xr:uid="{00000000-0005-0000-0000-000004010000}"/>
    <cellStyle name="20% - Accent5 2 2 6" xfId="313" xr:uid="{00000000-0005-0000-0000-000005010000}"/>
    <cellStyle name="20% - Accent5 2 2 6 2" xfId="314" xr:uid="{00000000-0005-0000-0000-000006010000}"/>
    <cellStyle name="20% - Accent5 2 2 6 2 2" xfId="315" xr:uid="{00000000-0005-0000-0000-000007010000}"/>
    <cellStyle name="20% - Accent5 2 2 6 2 2 2" xfId="316" xr:uid="{00000000-0005-0000-0000-000008010000}"/>
    <cellStyle name="20% - Accent5 2 2 6 2 2 2 2" xfId="23850" xr:uid="{00000000-0005-0000-0000-000009010000}"/>
    <cellStyle name="20% - Accent5 2 2 6 2 2 3" xfId="23849" xr:uid="{00000000-0005-0000-0000-00000A010000}"/>
    <cellStyle name="20% - Accent5 2 2 6 2 3" xfId="317" xr:uid="{00000000-0005-0000-0000-00000B010000}"/>
    <cellStyle name="20% - Accent5 2 2 6 2 3 2" xfId="23851" xr:uid="{00000000-0005-0000-0000-00000C010000}"/>
    <cellStyle name="20% - Accent5 2 2 6 2 4" xfId="23848" xr:uid="{00000000-0005-0000-0000-00000D010000}"/>
    <cellStyle name="20% - Accent5 2 2 6 3" xfId="318" xr:uid="{00000000-0005-0000-0000-00000E010000}"/>
    <cellStyle name="20% - Accent5 2 2 6 3 2" xfId="319" xr:uid="{00000000-0005-0000-0000-00000F010000}"/>
    <cellStyle name="20% - Accent5 2 2 6 3 2 2" xfId="23853" xr:uid="{00000000-0005-0000-0000-000010010000}"/>
    <cellStyle name="20% - Accent5 2 2 6 3 3" xfId="23852" xr:uid="{00000000-0005-0000-0000-000011010000}"/>
    <cellStyle name="20% - Accent5 2 2 6 4" xfId="320" xr:uid="{00000000-0005-0000-0000-000012010000}"/>
    <cellStyle name="20% - Accent5 2 2 6 4 2" xfId="23854" xr:uid="{00000000-0005-0000-0000-000013010000}"/>
    <cellStyle name="20% - Accent5 2 2 6 5" xfId="23847" xr:uid="{00000000-0005-0000-0000-000014010000}"/>
    <cellStyle name="20% - Accent5 2 2 7" xfId="321" xr:uid="{00000000-0005-0000-0000-000015010000}"/>
    <cellStyle name="20% - Accent5 2 2 7 2" xfId="322" xr:uid="{00000000-0005-0000-0000-000016010000}"/>
    <cellStyle name="20% - Accent5 2 2 7 2 2" xfId="323" xr:uid="{00000000-0005-0000-0000-000017010000}"/>
    <cellStyle name="20% - Accent5 2 2 7 2 2 2" xfId="324" xr:uid="{00000000-0005-0000-0000-000018010000}"/>
    <cellStyle name="20% - Accent5 2 2 7 2 2 2 2" xfId="23858" xr:uid="{00000000-0005-0000-0000-000019010000}"/>
    <cellStyle name="20% - Accent5 2 2 7 2 2 3" xfId="23857" xr:uid="{00000000-0005-0000-0000-00001A010000}"/>
    <cellStyle name="20% - Accent5 2 2 7 2 3" xfId="325" xr:uid="{00000000-0005-0000-0000-00001B010000}"/>
    <cellStyle name="20% - Accent5 2 2 7 2 3 2" xfId="23859" xr:uid="{00000000-0005-0000-0000-00001C010000}"/>
    <cellStyle name="20% - Accent5 2 2 7 2 4" xfId="23856" xr:uid="{00000000-0005-0000-0000-00001D010000}"/>
    <cellStyle name="20% - Accent5 2 2 7 3" xfId="326" xr:uid="{00000000-0005-0000-0000-00001E010000}"/>
    <cellStyle name="20% - Accent5 2 2 7 3 2" xfId="327" xr:uid="{00000000-0005-0000-0000-00001F010000}"/>
    <cellStyle name="20% - Accent5 2 2 7 3 2 2" xfId="23861" xr:uid="{00000000-0005-0000-0000-000020010000}"/>
    <cellStyle name="20% - Accent5 2 2 7 3 3" xfId="23860" xr:uid="{00000000-0005-0000-0000-000021010000}"/>
    <cellStyle name="20% - Accent5 2 2 7 4" xfId="328" xr:uid="{00000000-0005-0000-0000-000022010000}"/>
    <cellStyle name="20% - Accent5 2 2 7 4 2" xfId="23862" xr:uid="{00000000-0005-0000-0000-000023010000}"/>
    <cellStyle name="20% - Accent5 2 2 7 5" xfId="23855" xr:uid="{00000000-0005-0000-0000-000024010000}"/>
    <cellStyle name="20% - Accent5 2 2 8" xfId="329" xr:uid="{00000000-0005-0000-0000-000025010000}"/>
    <cellStyle name="20% - Accent5 2 2 8 2" xfId="330" xr:uid="{00000000-0005-0000-0000-000026010000}"/>
    <cellStyle name="20% - Accent5 2 2 8 2 2" xfId="331" xr:uid="{00000000-0005-0000-0000-000027010000}"/>
    <cellStyle name="20% - Accent5 2 2 8 2 2 2" xfId="23865" xr:uid="{00000000-0005-0000-0000-000028010000}"/>
    <cellStyle name="20% - Accent5 2 2 8 2 3" xfId="23864" xr:uid="{00000000-0005-0000-0000-000029010000}"/>
    <cellStyle name="20% - Accent5 2 2 8 3" xfId="332" xr:uid="{00000000-0005-0000-0000-00002A010000}"/>
    <cellStyle name="20% - Accent5 2 2 8 3 2" xfId="23866" xr:uid="{00000000-0005-0000-0000-00002B010000}"/>
    <cellStyle name="20% - Accent5 2 2 8 4" xfId="23863" xr:uid="{00000000-0005-0000-0000-00002C010000}"/>
    <cellStyle name="20% - Accent5 2 2 9" xfId="333" xr:uid="{00000000-0005-0000-0000-00002D010000}"/>
    <cellStyle name="20% - Accent5 2 2 9 2" xfId="334" xr:uid="{00000000-0005-0000-0000-00002E010000}"/>
    <cellStyle name="20% - Accent5 2 2 9 2 2" xfId="23868" xr:uid="{00000000-0005-0000-0000-00002F010000}"/>
    <cellStyle name="20% - Accent5 2 2 9 3" xfId="23867" xr:uid="{00000000-0005-0000-0000-000030010000}"/>
    <cellStyle name="20% - Accent5 2 3" xfId="335" xr:uid="{00000000-0005-0000-0000-000031010000}"/>
    <cellStyle name="20% - Accent5 2 3 10" xfId="23869" xr:uid="{00000000-0005-0000-0000-000032010000}"/>
    <cellStyle name="20% - Accent5 2 3 2" xfId="336" xr:uid="{00000000-0005-0000-0000-000033010000}"/>
    <cellStyle name="20% - Accent5 2 3 2 2" xfId="337" xr:uid="{00000000-0005-0000-0000-000034010000}"/>
    <cellStyle name="20% - Accent5 2 3 2 2 2" xfId="338" xr:uid="{00000000-0005-0000-0000-000035010000}"/>
    <cellStyle name="20% - Accent5 2 3 2 2 2 2" xfId="339" xr:uid="{00000000-0005-0000-0000-000036010000}"/>
    <cellStyle name="20% - Accent5 2 3 2 2 2 2 2" xfId="340" xr:uid="{00000000-0005-0000-0000-000037010000}"/>
    <cellStyle name="20% - Accent5 2 3 2 2 2 2 2 2" xfId="23874" xr:uid="{00000000-0005-0000-0000-000038010000}"/>
    <cellStyle name="20% - Accent5 2 3 2 2 2 2 3" xfId="23873" xr:uid="{00000000-0005-0000-0000-000039010000}"/>
    <cellStyle name="20% - Accent5 2 3 2 2 2 3" xfId="341" xr:uid="{00000000-0005-0000-0000-00003A010000}"/>
    <cellStyle name="20% - Accent5 2 3 2 2 2 3 2" xfId="23875" xr:uid="{00000000-0005-0000-0000-00003B010000}"/>
    <cellStyle name="20% - Accent5 2 3 2 2 2 4" xfId="23872" xr:uid="{00000000-0005-0000-0000-00003C010000}"/>
    <cellStyle name="20% - Accent5 2 3 2 2 3" xfId="342" xr:uid="{00000000-0005-0000-0000-00003D010000}"/>
    <cellStyle name="20% - Accent5 2 3 2 2 3 2" xfId="343" xr:uid="{00000000-0005-0000-0000-00003E010000}"/>
    <cellStyle name="20% - Accent5 2 3 2 2 3 2 2" xfId="23877" xr:uid="{00000000-0005-0000-0000-00003F010000}"/>
    <cellStyle name="20% - Accent5 2 3 2 2 3 3" xfId="23876" xr:uid="{00000000-0005-0000-0000-000040010000}"/>
    <cellStyle name="20% - Accent5 2 3 2 2 4" xfId="344" xr:uid="{00000000-0005-0000-0000-000041010000}"/>
    <cellStyle name="20% - Accent5 2 3 2 2 4 2" xfId="23878" xr:uid="{00000000-0005-0000-0000-000042010000}"/>
    <cellStyle name="20% - Accent5 2 3 2 2 5" xfId="23871" xr:uid="{00000000-0005-0000-0000-000043010000}"/>
    <cellStyle name="20% - Accent5 2 3 2 3" xfId="345" xr:uid="{00000000-0005-0000-0000-000044010000}"/>
    <cellStyle name="20% - Accent5 2 3 2 3 2" xfId="346" xr:uid="{00000000-0005-0000-0000-000045010000}"/>
    <cellStyle name="20% - Accent5 2 3 2 3 2 2" xfId="347" xr:uid="{00000000-0005-0000-0000-000046010000}"/>
    <cellStyle name="20% - Accent5 2 3 2 3 2 2 2" xfId="348" xr:uid="{00000000-0005-0000-0000-000047010000}"/>
    <cellStyle name="20% - Accent5 2 3 2 3 2 2 2 2" xfId="23882" xr:uid="{00000000-0005-0000-0000-000048010000}"/>
    <cellStyle name="20% - Accent5 2 3 2 3 2 2 3" xfId="23881" xr:uid="{00000000-0005-0000-0000-000049010000}"/>
    <cellStyle name="20% - Accent5 2 3 2 3 2 3" xfId="349" xr:uid="{00000000-0005-0000-0000-00004A010000}"/>
    <cellStyle name="20% - Accent5 2 3 2 3 2 3 2" xfId="23883" xr:uid="{00000000-0005-0000-0000-00004B010000}"/>
    <cellStyle name="20% - Accent5 2 3 2 3 2 4" xfId="23880" xr:uid="{00000000-0005-0000-0000-00004C010000}"/>
    <cellStyle name="20% - Accent5 2 3 2 3 3" xfId="350" xr:uid="{00000000-0005-0000-0000-00004D010000}"/>
    <cellStyle name="20% - Accent5 2 3 2 3 3 2" xfId="351" xr:uid="{00000000-0005-0000-0000-00004E010000}"/>
    <cellStyle name="20% - Accent5 2 3 2 3 3 2 2" xfId="23885" xr:uid="{00000000-0005-0000-0000-00004F010000}"/>
    <cellStyle name="20% - Accent5 2 3 2 3 3 3" xfId="23884" xr:uid="{00000000-0005-0000-0000-000050010000}"/>
    <cellStyle name="20% - Accent5 2 3 2 3 4" xfId="352" xr:uid="{00000000-0005-0000-0000-000051010000}"/>
    <cellStyle name="20% - Accent5 2 3 2 3 4 2" xfId="23886" xr:uid="{00000000-0005-0000-0000-000052010000}"/>
    <cellStyle name="20% - Accent5 2 3 2 3 5" xfId="23879" xr:uid="{00000000-0005-0000-0000-000053010000}"/>
    <cellStyle name="20% - Accent5 2 3 2 4" xfId="353" xr:uid="{00000000-0005-0000-0000-000054010000}"/>
    <cellStyle name="20% - Accent5 2 3 2 4 2" xfId="354" xr:uid="{00000000-0005-0000-0000-000055010000}"/>
    <cellStyle name="20% - Accent5 2 3 2 4 2 2" xfId="355" xr:uid="{00000000-0005-0000-0000-000056010000}"/>
    <cellStyle name="20% - Accent5 2 3 2 4 2 2 2" xfId="23889" xr:uid="{00000000-0005-0000-0000-000057010000}"/>
    <cellStyle name="20% - Accent5 2 3 2 4 2 3" xfId="23888" xr:uid="{00000000-0005-0000-0000-000058010000}"/>
    <cellStyle name="20% - Accent5 2 3 2 4 3" xfId="356" xr:uid="{00000000-0005-0000-0000-000059010000}"/>
    <cellStyle name="20% - Accent5 2 3 2 4 3 2" xfId="23890" xr:uid="{00000000-0005-0000-0000-00005A010000}"/>
    <cellStyle name="20% - Accent5 2 3 2 4 4" xfId="23887" xr:uid="{00000000-0005-0000-0000-00005B010000}"/>
    <cellStyle name="20% - Accent5 2 3 2 5" xfId="357" xr:uid="{00000000-0005-0000-0000-00005C010000}"/>
    <cellStyle name="20% - Accent5 2 3 2 5 2" xfId="358" xr:uid="{00000000-0005-0000-0000-00005D010000}"/>
    <cellStyle name="20% - Accent5 2 3 2 5 2 2" xfId="23892" xr:uid="{00000000-0005-0000-0000-00005E010000}"/>
    <cellStyle name="20% - Accent5 2 3 2 5 3" xfId="23891" xr:uid="{00000000-0005-0000-0000-00005F010000}"/>
    <cellStyle name="20% - Accent5 2 3 2 6" xfId="359" xr:uid="{00000000-0005-0000-0000-000060010000}"/>
    <cellStyle name="20% - Accent5 2 3 2 6 2" xfId="23893" xr:uid="{00000000-0005-0000-0000-000061010000}"/>
    <cellStyle name="20% - Accent5 2 3 2 7" xfId="23870" xr:uid="{00000000-0005-0000-0000-000062010000}"/>
    <cellStyle name="20% - Accent5 2 3 3" xfId="360" xr:uid="{00000000-0005-0000-0000-000063010000}"/>
    <cellStyle name="20% - Accent5 2 3 3 2" xfId="361" xr:uid="{00000000-0005-0000-0000-000064010000}"/>
    <cellStyle name="20% - Accent5 2 3 3 2 2" xfId="362" xr:uid="{00000000-0005-0000-0000-000065010000}"/>
    <cellStyle name="20% - Accent5 2 3 3 2 2 2" xfId="363" xr:uid="{00000000-0005-0000-0000-000066010000}"/>
    <cellStyle name="20% - Accent5 2 3 3 2 2 2 2" xfId="364" xr:uid="{00000000-0005-0000-0000-000067010000}"/>
    <cellStyle name="20% - Accent5 2 3 3 2 2 2 2 2" xfId="23898" xr:uid="{00000000-0005-0000-0000-000068010000}"/>
    <cellStyle name="20% - Accent5 2 3 3 2 2 2 3" xfId="23897" xr:uid="{00000000-0005-0000-0000-000069010000}"/>
    <cellStyle name="20% - Accent5 2 3 3 2 2 3" xfId="365" xr:uid="{00000000-0005-0000-0000-00006A010000}"/>
    <cellStyle name="20% - Accent5 2 3 3 2 2 3 2" xfId="23899" xr:uid="{00000000-0005-0000-0000-00006B010000}"/>
    <cellStyle name="20% - Accent5 2 3 3 2 2 4" xfId="23896" xr:uid="{00000000-0005-0000-0000-00006C010000}"/>
    <cellStyle name="20% - Accent5 2 3 3 2 3" xfId="366" xr:uid="{00000000-0005-0000-0000-00006D010000}"/>
    <cellStyle name="20% - Accent5 2 3 3 2 3 2" xfId="367" xr:uid="{00000000-0005-0000-0000-00006E010000}"/>
    <cellStyle name="20% - Accent5 2 3 3 2 3 2 2" xfId="23901" xr:uid="{00000000-0005-0000-0000-00006F010000}"/>
    <cellStyle name="20% - Accent5 2 3 3 2 3 3" xfId="23900" xr:uid="{00000000-0005-0000-0000-000070010000}"/>
    <cellStyle name="20% - Accent5 2 3 3 2 4" xfId="368" xr:uid="{00000000-0005-0000-0000-000071010000}"/>
    <cellStyle name="20% - Accent5 2 3 3 2 4 2" xfId="23902" xr:uid="{00000000-0005-0000-0000-000072010000}"/>
    <cellStyle name="20% - Accent5 2 3 3 2 5" xfId="23895" xr:uid="{00000000-0005-0000-0000-000073010000}"/>
    <cellStyle name="20% - Accent5 2 3 3 3" xfId="369" xr:uid="{00000000-0005-0000-0000-000074010000}"/>
    <cellStyle name="20% - Accent5 2 3 3 3 2" xfId="370" xr:uid="{00000000-0005-0000-0000-000075010000}"/>
    <cellStyle name="20% - Accent5 2 3 3 3 2 2" xfId="371" xr:uid="{00000000-0005-0000-0000-000076010000}"/>
    <cellStyle name="20% - Accent5 2 3 3 3 2 2 2" xfId="372" xr:uid="{00000000-0005-0000-0000-000077010000}"/>
    <cellStyle name="20% - Accent5 2 3 3 3 2 2 2 2" xfId="23906" xr:uid="{00000000-0005-0000-0000-000078010000}"/>
    <cellStyle name="20% - Accent5 2 3 3 3 2 2 3" xfId="23905" xr:uid="{00000000-0005-0000-0000-000079010000}"/>
    <cellStyle name="20% - Accent5 2 3 3 3 2 3" xfId="373" xr:uid="{00000000-0005-0000-0000-00007A010000}"/>
    <cellStyle name="20% - Accent5 2 3 3 3 2 3 2" xfId="23907" xr:uid="{00000000-0005-0000-0000-00007B010000}"/>
    <cellStyle name="20% - Accent5 2 3 3 3 2 4" xfId="23904" xr:uid="{00000000-0005-0000-0000-00007C010000}"/>
    <cellStyle name="20% - Accent5 2 3 3 3 3" xfId="374" xr:uid="{00000000-0005-0000-0000-00007D010000}"/>
    <cellStyle name="20% - Accent5 2 3 3 3 3 2" xfId="375" xr:uid="{00000000-0005-0000-0000-00007E010000}"/>
    <cellStyle name="20% - Accent5 2 3 3 3 3 2 2" xfId="23909" xr:uid="{00000000-0005-0000-0000-00007F010000}"/>
    <cellStyle name="20% - Accent5 2 3 3 3 3 3" xfId="23908" xr:uid="{00000000-0005-0000-0000-000080010000}"/>
    <cellStyle name="20% - Accent5 2 3 3 3 4" xfId="376" xr:uid="{00000000-0005-0000-0000-000081010000}"/>
    <cellStyle name="20% - Accent5 2 3 3 3 4 2" xfId="23910" xr:uid="{00000000-0005-0000-0000-000082010000}"/>
    <cellStyle name="20% - Accent5 2 3 3 3 5" xfId="23903" xr:uid="{00000000-0005-0000-0000-000083010000}"/>
    <cellStyle name="20% - Accent5 2 3 3 4" xfId="377" xr:uid="{00000000-0005-0000-0000-000084010000}"/>
    <cellStyle name="20% - Accent5 2 3 3 4 2" xfId="378" xr:uid="{00000000-0005-0000-0000-000085010000}"/>
    <cellStyle name="20% - Accent5 2 3 3 4 2 2" xfId="379" xr:uid="{00000000-0005-0000-0000-000086010000}"/>
    <cellStyle name="20% - Accent5 2 3 3 4 2 2 2" xfId="23913" xr:uid="{00000000-0005-0000-0000-000087010000}"/>
    <cellStyle name="20% - Accent5 2 3 3 4 2 3" xfId="23912" xr:uid="{00000000-0005-0000-0000-000088010000}"/>
    <cellStyle name="20% - Accent5 2 3 3 4 3" xfId="380" xr:uid="{00000000-0005-0000-0000-000089010000}"/>
    <cellStyle name="20% - Accent5 2 3 3 4 3 2" xfId="23914" xr:uid="{00000000-0005-0000-0000-00008A010000}"/>
    <cellStyle name="20% - Accent5 2 3 3 4 4" xfId="23911" xr:uid="{00000000-0005-0000-0000-00008B010000}"/>
    <cellStyle name="20% - Accent5 2 3 3 5" xfId="381" xr:uid="{00000000-0005-0000-0000-00008C010000}"/>
    <cellStyle name="20% - Accent5 2 3 3 5 2" xfId="382" xr:uid="{00000000-0005-0000-0000-00008D010000}"/>
    <cellStyle name="20% - Accent5 2 3 3 5 2 2" xfId="23916" xr:uid="{00000000-0005-0000-0000-00008E010000}"/>
    <cellStyle name="20% - Accent5 2 3 3 5 3" xfId="23915" xr:uid="{00000000-0005-0000-0000-00008F010000}"/>
    <cellStyle name="20% - Accent5 2 3 3 6" xfId="383" xr:uid="{00000000-0005-0000-0000-000090010000}"/>
    <cellStyle name="20% - Accent5 2 3 3 6 2" xfId="23917" xr:uid="{00000000-0005-0000-0000-000091010000}"/>
    <cellStyle name="20% - Accent5 2 3 3 7" xfId="23894" xr:uid="{00000000-0005-0000-0000-000092010000}"/>
    <cellStyle name="20% - Accent5 2 3 4" xfId="384" xr:uid="{00000000-0005-0000-0000-000093010000}"/>
    <cellStyle name="20% - Accent5 2 3 4 2" xfId="385" xr:uid="{00000000-0005-0000-0000-000094010000}"/>
    <cellStyle name="20% - Accent5 2 3 4 2 2" xfId="386" xr:uid="{00000000-0005-0000-0000-000095010000}"/>
    <cellStyle name="20% - Accent5 2 3 4 2 2 2" xfId="387" xr:uid="{00000000-0005-0000-0000-000096010000}"/>
    <cellStyle name="20% - Accent5 2 3 4 2 2 2 2" xfId="388" xr:uid="{00000000-0005-0000-0000-000097010000}"/>
    <cellStyle name="20% - Accent5 2 3 4 2 2 2 2 2" xfId="23922" xr:uid="{00000000-0005-0000-0000-000098010000}"/>
    <cellStyle name="20% - Accent5 2 3 4 2 2 2 3" xfId="23921" xr:uid="{00000000-0005-0000-0000-000099010000}"/>
    <cellStyle name="20% - Accent5 2 3 4 2 2 3" xfId="389" xr:uid="{00000000-0005-0000-0000-00009A010000}"/>
    <cellStyle name="20% - Accent5 2 3 4 2 2 3 2" xfId="23923" xr:uid="{00000000-0005-0000-0000-00009B010000}"/>
    <cellStyle name="20% - Accent5 2 3 4 2 2 4" xfId="23920" xr:uid="{00000000-0005-0000-0000-00009C010000}"/>
    <cellStyle name="20% - Accent5 2 3 4 2 3" xfId="390" xr:uid="{00000000-0005-0000-0000-00009D010000}"/>
    <cellStyle name="20% - Accent5 2 3 4 2 3 2" xfId="391" xr:uid="{00000000-0005-0000-0000-00009E010000}"/>
    <cellStyle name="20% - Accent5 2 3 4 2 3 2 2" xfId="23925" xr:uid="{00000000-0005-0000-0000-00009F010000}"/>
    <cellStyle name="20% - Accent5 2 3 4 2 3 3" xfId="23924" xr:uid="{00000000-0005-0000-0000-0000A0010000}"/>
    <cellStyle name="20% - Accent5 2 3 4 2 4" xfId="392" xr:uid="{00000000-0005-0000-0000-0000A1010000}"/>
    <cellStyle name="20% - Accent5 2 3 4 2 4 2" xfId="23926" xr:uid="{00000000-0005-0000-0000-0000A2010000}"/>
    <cellStyle name="20% - Accent5 2 3 4 2 5" xfId="23919" xr:uid="{00000000-0005-0000-0000-0000A3010000}"/>
    <cellStyle name="20% - Accent5 2 3 4 3" xfId="393" xr:uid="{00000000-0005-0000-0000-0000A4010000}"/>
    <cellStyle name="20% - Accent5 2 3 4 3 2" xfId="394" xr:uid="{00000000-0005-0000-0000-0000A5010000}"/>
    <cellStyle name="20% - Accent5 2 3 4 3 2 2" xfId="395" xr:uid="{00000000-0005-0000-0000-0000A6010000}"/>
    <cellStyle name="20% - Accent5 2 3 4 3 2 2 2" xfId="396" xr:uid="{00000000-0005-0000-0000-0000A7010000}"/>
    <cellStyle name="20% - Accent5 2 3 4 3 2 2 2 2" xfId="23930" xr:uid="{00000000-0005-0000-0000-0000A8010000}"/>
    <cellStyle name="20% - Accent5 2 3 4 3 2 2 3" xfId="23929" xr:uid="{00000000-0005-0000-0000-0000A9010000}"/>
    <cellStyle name="20% - Accent5 2 3 4 3 2 3" xfId="397" xr:uid="{00000000-0005-0000-0000-0000AA010000}"/>
    <cellStyle name="20% - Accent5 2 3 4 3 2 3 2" xfId="23931" xr:uid="{00000000-0005-0000-0000-0000AB010000}"/>
    <cellStyle name="20% - Accent5 2 3 4 3 2 4" xfId="23928" xr:uid="{00000000-0005-0000-0000-0000AC010000}"/>
    <cellStyle name="20% - Accent5 2 3 4 3 3" xfId="398" xr:uid="{00000000-0005-0000-0000-0000AD010000}"/>
    <cellStyle name="20% - Accent5 2 3 4 3 3 2" xfId="399" xr:uid="{00000000-0005-0000-0000-0000AE010000}"/>
    <cellStyle name="20% - Accent5 2 3 4 3 3 2 2" xfId="23933" xr:uid="{00000000-0005-0000-0000-0000AF010000}"/>
    <cellStyle name="20% - Accent5 2 3 4 3 3 3" xfId="23932" xr:uid="{00000000-0005-0000-0000-0000B0010000}"/>
    <cellStyle name="20% - Accent5 2 3 4 3 4" xfId="400" xr:uid="{00000000-0005-0000-0000-0000B1010000}"/>
    <cellStyle name="20% - Accent5 2 3 4 3 4 2" xfId="23934" xr:uid="{00000000-0005-0000-0000-0000B2010000}"/>
    <cellStyle name="20% - Accent5 2 3 4 3 5" xfId="23927" xr:uid="{00000000-0005-0000-0000-0000B3010000}"/>
    <cellStyle name="20% - Accent5 2 3 4 4" xfId="401" xr:uid="{00000000-0005-0000-0000-0000B4010000}"/>
    <cellStyle name="20% - Accent5 2 3 4 4 2" xfId="402" xr:uid="{00000000-0005-0000-0000-0000B5010000}"/>
    <cellStyle name="20% - Accent5 2 3 4 4 2 2" xfId="403" xr:uid="{00000000-0005-0000-0000-0000B6010000}"/>
    <cellStyle name="20% - Accent5 2 3 4 4 2 2 2" xfId="23937" xr:uid="{00000000-0005-0000-0000-0000B7010000}"/>
    <cellStyle name="20% - Accent5 2 3 4 4 2 3" xfId="23936" xr:uid="{00000000-0005-0000-0000-0000B8010000}"/>
    <cellStyle name="20% - Accent5 2 3 4 4 3" xfId="404" xr:uid="{00000000-0005-0000-0000-0000B9010000}"/>
    <cellStyle name="20% - Accent5 2 3 4 4 3 2" xfId="23938" xr:uid="{00000000-0005-0000-0000-0000BA010000}"/>
    <cellStyle name="20% - Accent5 2 3 4 4 4" xfId="23935" xr:uid="{00000000-0005-0000-0000-0000BB010000}"/>
    <cellStyle name="20% - Accent5 2 3 4 5" xfId="405" xr:uid="{00000000-0005-0000-0000-0000BC010000}"/>
    <cellStyle name="20% - Accent5 2 3 4 5 2" xfId="406" xr:uid="{00000000-0005-0000-0000-0000BD010000}"/>
    <cellStyle name="20% - Accent5 2 3 4 5 2 2" xfId="23940" xr:uid="{00000000-0005-0000-0000-0000BE010000}"/>
    <cellStyle name="20% - Accent5 2 3 4 5 3" xfId="23939" xr:uid="{00000000-0005-0000-0000-0000BF010000}"/>
    <cellStyle name="20% - Accent5 2 3 4 6" xfId="407" xr:uid="{00000000-0005-0000-0000-0000C0010000}"/>
    <cellStyle name="20% - Accent5 2 3 4 6 2" xfId="23941" xr:uid="{00000000-0005-0000-0000-0000C1010000}"/>
    <cellStyle name="20% - Accent5 2 3 4 7" xfId="23918" xr:uid="{00000000-0005-0000-0000-0000C2010000}"/>
    <cellStyle name="20% - Accent5 2 3 5" xfId="408" xr:uid="{00000000-0005-0000-0000-0000C3010000}"/>
    <cellStyle name="20% - Accent5 2 3 5 2" xfId="409" xr:uid="{00000000-0005-0000-0000-0000C4010000}"/>
    <cellStyle name="20% - Accent5 2 3 5 2 2" xfId="410" xr:uid="{00000000-0005-0000-0000-0000C5010000}"/>
    <cellStyle name="20% - Accent5 2 3 5 2 2 2" xfId="411" xr:uid="{00000000-0005-0000-0000-0000C6010000}"/>
    <cellStyle name="20% - Accent5 2 3 5 2 2 2 2" xfId="23945" xr:uid="{00000000-0005-0000-0000-0000C7010000}"/>
    <cellStyle name="20% - Accent5 2 3 5 2 2 3" xfId="23944" xr:uid="{00000000-0005-0000-0000-0000C8010000}"/>
    <cellStyle name="20% - Accent5 2 3 5 2 3" xfId="412" xr:uid="{00000000-0005-0000-0000-0000C9010000}"/>
    <cellStyle name="20% - Accent5 2 3 5 2 3 2" xfId="23946" xr:uid="{00000000-0005-0000-0000-0000CA010000}"/>
    <cellStyle name="20% - Accent5 2 3 5 2 4" xfId="23943" xr:uid="{00000000-0005-0000-0000-0000CB010000}"/>
    <cellStyle name="20% - Accent5 2 3 5 3" xfId="413" xr:uid="{00000000-0005-0000-0000-0000CC010000}"/>
    <cellStyle name="20% - Accent5 2 3 5 3 2" xfId="414" xr:uid="{00000000-0005-0000-0000-0000CD010000}"/>
    <cellStyle name="20% - Accent5 2 3 5 3 2 2" xfId="23948" xr:uid="{00000000-0005-0000-0000-0000CE010000}"/>
    <cellStyle name="20% - Accent5 2 3 5 3 3" xfId="23947" xr:uid="{00000000-0005-0000-0000-0000CF010000}"/>
    <cellStyle name="20% - Accent5 2 3 5 4" xfId="415" xr:uid="{00000000-0005-0000-0000-0000D0010000}"/>
    <cellStyle name="20% - Accent5 2 3 5 4 2" xfId="23949" xr:uid="{00000000-0005-0000-0000-0000D1010000}"/>
    <cellStyle name="20% - Accent5 2 3 5 5" xfId="23942" xr:uid="{00000000-0005-0000-0000-0000D2010000}"/>
    <cellStyle name="20% - Accent5 2 3 6" xfId="416" xr:uid="{00000000-0005-0000-0000-0000D3010000}"/>
    <cellStyle name="20% - Accent5 2 3 6 2" xfId="417" xr:uid="{00000000-0005-0000-0000-0000D4010000}"/>
    <cellStyle name="20% - Accent5 2 3 6 2 2" xfId="418" xr:uid="{00000000-0005-0000-0000-0000D5010000}"/>
    <cellStyle name="20% - Accent5 2 3 6 2 2 2" xfId="419" xr:uid="{00000000-0005-0000-0000-0000D6010000}"/>
    <cellStyle name="20% - Accent5 2 3 6 2 2 2 2" xfId="23953" xr:uid="{00000000-0005-0000-0000-0000D7010000}"/>
    <cellStyle name="20% - Accent5 2 3 6 2 2 3" xfId="23952" xr:uid="{00000000-0005-0000-0000-0000D8010000}"/>
    <cellStyle name="20% - Accent5 2 3 6 2 3" xfId="420" xr:uid="{00000000-0005-0000-0000-0000D9010000}"/>
    <cellStyle name="20% - Accent5 2 3 6 2 3 2" xfId="23954" xr:uid="{00000000-0005-0000-0000-0000DA010000}"/>
    <cellStyle name="20% - Accent5 2 3 6 2 4" xfId="23951" xr:uid="{00000000-0005-0000-0000-0000DB010000}"/>
    <cellStyle name="20% - Accent5 2 3 6 3" xfId="421" xr:uid="{00000000-0005-0000-0000-0000DC010000}"/>
    <cellStyle name="20% - Accent5 2 3 6 3 2" xfId="422" xr:uid="{00000000-0005-0000-0000-0000DD010000}"/>
    <cellStyle name="20% - Accent5 2 3 6 3 2 2" xfId="23956" xr:uid="{00000000-0005-0000-0000-0000DE010000}"/>
    <cellStyle name="20% - Accent5 2 3 6 3 3" xfId="23955" xr:uid="{00000000-0005-0000-0000-0000DF010000}"/>
    <cellStyle name="20% - Accent5 2 3 6 4" xfId="423" xr:uid="{00000000-0005-0000-0000-0000E0010000}"/>
    <cellStyle name="20% - Accent5 2 3 6 4 2" xfId="23957" xr:uid="{00000000-0005-0000-0000-0000E1010000}"/>
    <cellStyle name="20% - Accent5 2 3 6 5" xfId="23950" xr:uid="{00000000-0005-0000-0000-0000E2010000}"/>
    <cellStyle name="20% - Accent5 2 3 7" xfId="424" xr:uid="{00000000-0005-0000-0000-0000E3010000}"/>
    <cellStyle name="20% - Accent5 2 3 7 2" xfId="425" xr:uid="{00000000-0005-0000-0000-0000E4010000}"/>
    <cellStyle name="20% - Accent5 2 3 7 2 2" xfId="426" xr:uid="{00000000-0005-0000-0000-0000E5010000}"/>
    <cellStyle name="20% - Accent5 2 3 7 2 2 2" xfId="23960" xr:uid="{00000000-0005-0000-0000-0000E6010000}"/>
    <cellStyle name="20% - Accent5 2 3 7 2 3" xfId="23959" xr:uid="{00000000-0005-0000-0000-0000E7010000}"/>
    <cellStyle name="20% - Accent5 2 3 7 3" xfId="427" xr:uid="{00000000-0005-0000-0000-0000E8010000}"/>
    <cellStyle name="20% - Accent5 2 3 7 3 2" xfId="23961" xr:uid="{00000000-0005-0000-0000-0000E9010000}"/>
    <cellStyle name="20% - Accent5 2 3 7 4" xfId="23958" xr:uid="{00000000-0005-0000-0000-0000EA010000}"/>
    <cellStyle name="20% - Accent5 2 3 8" xfId="428" xr:uid="{00000000-0005-0000-0000-0000EB010000}"/>
    <cellStyle name="20% - Accent5 2 3 8 2" xfId="429" xr:uid="{00000000-0005-0000-0000-0000EC010000}"/>
    <cellStyle name="20% - Accent5 2 3 8 2 2" xfId="23963" xr:uid="{00000000-0005-0000-0000-0000ED010000}"/>
    <cellStyle name="20% - Accent5 2 3 8 3" xfId="23962" xr:uid="{00000000-0005-0000-0000-0000EE010000}"/>
    <cellStyle name="20% - Accent5 2 3 9" xfId="430" xr:uid="{00000000-0005-0000-0000-0000EF010000}"/>
    <cellStyle name="20% - Accent5 2 3 9 2" xfId="23964" xr:uid="{00000000-0005-0000-0000-0000F0010000}"/>
    <cellStyle name="20% - Accent5 2 4" xfId="431" xr:uid="{00000000-0005-0000-0000-0000F1010000}"/>
    <cellStyle name="20% - Accent5 2 4 10" xfId="23965" xr:uid="{00000000-0005-0000-0000-0000F2010000}"/>
    <cellStyle name="20% - Accent5 2 4 2" xfId="432" xr:uid="{00000000-0005-0000-0000-0000F3010000}"/>
    <cellStyle name="20% - Accent5 2 4 2 2" xfId="433" xr:uid="{00000000-0005-0000-0000-0000F4010000}"/>
    <cellStyle name="20% - Accent5 2 4 2 2 2" xfId="434" xr:uid="{00000000-0005-0000-0000-0000F5010000}"/>
    <cellStyle name="20% - Accent5 2 4 2 2 2 2" xfId="435" xr:uid="{00000000-0005-0000-0000-0000F6010000}"/>
    <cellStyle name="20% - Accent5 2 4 2 2 2 2 2" xfId="436" xr:uid="{00000000-0005-0000-0000-0000F7010000}"/>
    <cellStyle name="20% - Accent5 2 4 2 2 2 2 2 2" xfId="23970" xr:uid="{00000000-0005-0000-0000-0000F8010000}"/>
    <cellStyle name="20% - Accent5 2 4 2 2 2 2 3" xfId="23969" xr:uid="{00000000-0005-0000-0000-0000F9010000}"/>
    <cellStyle name="20% - Accent5 2 4 2 2 2 3" xfId="437" xr:uid="{00000000-0005-0000-0000-0000FA010000}"/>
    <cellStyle name="20% - Accent5 2 4 2 2 2 3 2" xfId="23971" xr:uid="{00000000-0005-0000-0000-0000FB010000}"/>
    <cellStyle name="20% - Accent5 2 4 2 2 2 4" xfId="23968" xr:uid="{00000000-0005-0000-0000-0000FC010000}"/>
    <cellStyle name="20% - Accent5 2 4 2 2 3" xfId="438" xr:uid="{00000000-0005-0000-0000-0000FD010000}"/>
    <cellStyle name="20% - Accent5 2 4 2 2 3 2" xfId="439" xr:uid="{00000000-0005-0000-0000-0000FE010000}"/>
    <cellStyle name="20% - Accent5 2 4 2 2 3 2 2" xfId="23973" xr:uid="{00000000-0005-0000-0000-0000FF010000}"/>
    <cellStyle name="20% - Accent5 2 4 2 2 3 3" xfId="23972" xr:uid="{00000000-0005-0000-0000-000000020000}"/>
    <cellStyle name="20% - Accent5 2 4 2 2 4" xfId="440" xr:uid="{00000000-0005-0000-0000-000001020000}"/>
    <cellStyle name="20% - Accent5 2 4 2 2 4 2" xfId="23974" xr:uid="{00000000-0005-0000-0000-000002020000}"/>
    <cellStyle name="20% - Accent5 2 4 2 2 5" xfId="23967" xr:uid="{00000000-0005-0000-0000-000003020000}"/>
    <cellStyle name="20% - Accent5 2 4 2 3" xfId="441" xr:uid="{00000000-0005-0000-0000-000004020000}"/>
    <cellStyle name="20% - Accent5 2 4 2 3 2" xfId="442" xr:uid="{00000000-0005-0000-0000-000005020000}"/>
    <cellStyle name="20% - Accent5 2 4 2 3 2 2" xfId="443" xr:uid="{00000000-0005-0000-0000-000006020000}"/>
    <cellStyle name="20% - Accent5 2 4 2 3 2 2 2" xfId="444" xr:uid="{00000000-0005-0000-0000-000007020000}"/>
    <cellStyle name="20% - Accent5 2 4 2 3 2 2 2 2" xfId="23978" xr:uid="{00000000-0005-0000-0000-000008020000}"/>
    <cellStyle name="20% - Accent5 2 4 2 3 2 2 3" xfId="23977" xr:uid="{00000000-0005-0000-0000-000009020000}"/>
    <cellStyle name="20% - Accent5 2 4 2 3 2 3" xfId="445" xr:uid="{00000000-0005-0000-0000-00000A020000}"/>
    <cellStyle name="20% - Accent5 2 4 2 3 2 3 2" xfId="23979" xr:uid="{00000000-0005-0000-0000-00000B020000}"/>
    <cellStyle name="20% - Accent5 2 4 2 3 2 4" xfId="23976" xr:uid="{00000000-0005-0000-0000-00000C020000}"/>
    <cellStyle name="20% - Accent5 2 4 2 3 3" xfId="446" xr:uid="{00000000-0005-0000-0000-00000D020000}"/>
    <cellStyle name="20% - Accent5 2 4 2 3 3 2" xfId="447" xr:uid="{00000000-0005-0000-0000-00000E020000}"/>
    <cellStyle name="20% - Accent5 2 4 2 3 3 2 2" xfId="23981" xr:uid="{00000000-0005-0000-0000-00000F020000}"/>
    <cellStyle name="20% - Accent5 2 4 2 3 3 3" xfId="23980" xr:uid="{00000000-0005-0000-0000-000010020000}"/>
    <cellStyle name="20% - Accent5 2 4 2 3 4" xfId="448" xr:uid="{00000000-0005-0000-0000-000011020000}"/>
    <cellStyle name="20% - Accent5 2 4 2 3 4 2" xfId="23982" xr:uid="{00000000-0005-0000-0000-000012020000}"/>
    <cellStyle name="20% - Accent5 2 4 2 3 5" xfId="23975" xr:uid="{00000000-0005-0000-0000-000013020000}"/>
    <cellStyle name="20% - Accent5 2 4 2 4" xfId="449" xr:uid="{00000000-0005-0000-0000-000014020000}"/>
    <cellStyle name="20% - Accent5 2 4 2 4 2" xfId="450" xr:uid="{00000000-0005-0000-0000-000015020000}"/>
    <cellStyle name="20% - Accent5 2 4 2 4 2 2" xfId="451" xr:uid="{00000000-0005-0000-0000-000016020000}"/>
    <cellStyle name="20% - Accent5 2 4 2 4 2 2 2" xfId="23985" xr:uid="{00000000-0005-0000-0000-000017020000}"/>
    <cellStyle name="20% - Accent5 2 4 2 4 2 3" xfId="23984" xr:uid="{00000000-0005-0000-0000-000018020000}"/>
    <cellStyle name="20% - Accent5 2 4 2 4 3" xfId="452" xr:uid="{00000000-0005-0000-0000-000019020000}"/>
    <cellStyle name="20% - Accent5 2 4 2 4 3 2" xfId="23986" xr:uid="{00000000-0005-0000-0000-00001A020000}"/>
    <cellStyle name="20% - Accent5 2 4 2 4 4" xfId="23983" xr:uid="{00000000-0005-0000-0000-00001B020000}"/>
    <cellStyle name="20% - Accent5 2 4 2 5" xfId="453" xr:uid="{00000000-0005-0000-0000-00001C020000}"/>
    <cellStyle name="20% - Accent5 2 4 2 5 2" xfId="454" xr:uid="{00000000-0005-0000-0000-00001D020000}"/>
    <cellStyle name="20% - Accent5 2 4 2 5 2 2" xfId="23988" xr:uid="{00000000-0005-0000-0000-00001E020000}"/>
    <cellStyle name="20% - Accent5 2 4 2 5 3" xfId="23987" xr:uid="{00000000-0005-0000-0000-00001F020000}"/>
    <cellStyle name="20% - Accent5 2 4 2 6" xfId="455" xr:uid="{00000000-0005-0000-0000-000020020000}"/>
    <cellStyle name="20% - Accent5 2 4 2 6 2" xfId="23989" xr:uid="{00000000-0005-0000-0000-000021020000}"/>
    <cellStyle name="20% - Accent5 2 4 2 7" xfId="23966" xr:uid="{00000000-0005-0000-0000-000022020000}"/>
    <cellStyle name="20% - Accent5 2 4 3" xfId="456" xr:uid="{00000000-0005-0000-0000-000023020000}"/>
    <cellStyle name="20% - Accent5 2 4 3 2" xfId="457" xr:uid="{00000000-0005-0000-0000-000024020000}"/>
    <cellStyle name="20% - Accent5 2 4 3 2 2" xfId="458" xr:uid="{00000000-0005-0000-0000-000025020000}"/>
    <cellStyle name="20% - Accent5 2 4 3 2 2 2" xfId="459" xr:uid="{00000000-0005-0000-0000-000026020000}"/>
    <cellStyle name="20% - Accent5 2 4 3 2 2 2 2" xfId="460" xr:uid="{00000000-0005-0000-0000-000027020000}"/>
    <cellStyle name="20% - Accent5 2 4 3 2 2 2 2 2" xfId="23994" xr:uid="{00000000-0005-0000-0000-000028020000}"/>
    <cellStyle name="20% - Accent5 2 4 3 2 2 2 3" xfId="23993" xr:uid="{00000000-0005-0000-0000-000029020000}"/>
    <cellStyle name="20% - Accent5 2 4 3 2 2 3" xfId="461" xr:uid="{00000000-0005-0000-0000-00002A020000}"/>
    <cellStyle name="20% - Accent5 2 4 3 2 2 3 2" xfId="23995" xr:uid="{00000000-0005-0000-0000-00002B020000}"/>
    <cellStyle name="20% - Accent5 2 4 3 2 2 4" xfId="23992" xr:uid="{00000000-0005-0000-0000-00002C020000}"/>
    <cellStyle name="20% - Accent5 2 4 3 2 3" xfId="462" xr:uid="{00000000-0005-0000-0000-00002D020000}"/>
    <cellStyle name="20% - Accent5 2 4 3 2 3 2" xfId="463" xr:uid="{00000000-0005-0000-0000-00002E020000}"/>
    <cellStyle name="20% - Accent5 2 4 3 2 3 2 2" xfId="23997" xr:uid="{00000000-0005-0000-0000-00002F020000}"/>
    <cellStyle name="20% - Accent5 2 4 3 2 3 3" xfId="23996" xr:uid="{00000000-0005-0000-0000-000030020000}"/>
    <cellStyle name="20% - Accent5 2 4 3 2 4" xfId="464" xr:uid="{00000000-0005-0000-0000-000031020000}"/>
    <cellStyle name="20% - Accent5 2 4 3 2 4 2" xfId="23998" xr:uid="{00000000-0005-0000-0000-000032020000}"/>
    <cellStyle name="20% - Accent5 2 4 3 2 5" xfId="23991" xr:uid="{00000000-0005-0000-0000-000033020000}"/>
    <cellStyle name="20% - Accent5 2 4 3 3" xfId="465" xr:uid="{00000000-0005-0000-0000-000034020000}"/>
    <cellStyle name="20% - Accent5 2 4 3 3 2" xfId="466" xr:uid="{00000000-0005-0000-0000-000035020000}"/>
    <cellStyle name="20% - Accent5 2 4 3 3 2 2" xfId="467" xr:uid="{00000000-0005-0000-0000-000036020000}"/>
    <cellStyle name="20% - Accent5 2 4 3 3 2 2 2" xfId="468" xr:uid="{00000000-0005-0000-0000-000037020000}"/>
    <cellStyle name="20% - Accent5 2 4 3 3 2 2 2 2" xfId="24002" xr:uid="{00000000-0005-0000-0000-000038020000}"/>
    <cellStyle name="20% - Accent5 2 4 3 3 2 2 3" xfId="24001" xr:uid="{00000000-0005-0000-0000-000039020000}"/>
    <cellStyle name="20% - Accent5 2 4 3 3 2 3" xfId="469" xr:uid="{00000000-0005-0000-0000-00003A020000}"/>
    <cellStyle name="20% - Accent5 2 4 3 3 2 3 2" xfId="24003" xr:uid="{00000000-0005-0000-0000-00003B020000}"/>
    <cellStyle name="20% - Accent5 2 4 3 3 2 4" xfId="24000" xr:uid="{00000000-0005-0000-0000-00003C020000}"/>
    <cellStyle name="20% - Accent5 2 4 3 3 3" xfId="470" xr:uid="{00000000-0005-0000-0000-00003D020000}"/>
    <cellStyle name="20% - Accent5 2 4 3 3 3 2" xfId="471" xr:uid="{00000000-0005-0000-0000-00003E020000}"/>
    <cellStyle name="20% - Accent5 2 4 3 3 3 2 2" xfId="24005" xr:uid="{00000000-0005-0000-0000-00003F020000}"/>
    <cellStyle name="20% - Accent5 2 4 3 3 3 3" xfId="24004" xr:uid="{00000000-0005-0000-0000-000040020000}"/>
    <cellStyle name="20% - Accent5 2 4 3 3 4" xfId="472" xr:uid="{00000000-0005-0000-0000-000041020000}"/>
    <cellStyle name="20% - Accent5 2 4 3 3 4 2" xfId="24006" xr:uid="{00000000-0005-0000-0000-000042020000}"/>
    <cellStyle name="20% - Accent5 2 4 3 3 5" xfId="23999" xr:uid="{00000000-0005-0000-0000-000043020000}"/>
    <cellStyle name="20% - Accent5 2 4 3 4" xfId="473" xr:uid="{00000000-0005-0000-0000-000044020000}"/>
    <cellStyle name="20% - Accent5 2 4 3 4 2" xfId="474" xr:uid="{00000000-0005-0000-0000-000045020000}"/>
    <cellStyle name="20% - Accent5 2 4 3 4 2 2" xfId="475" xr:uid="{00000000-0005-0000-0000-000046020000}"/>
    <cellStyle name="20% - Accent5 2 4 3 4 2 2 2" xfId="24009" xr:uid="{00000000-0005-0000-0000-000047020000}"/>
    <cellStyle name="20% - Accent5 2 4 3 4 2 3" xfId="24008" xr:uid="{00000000-0005-0000-0000-000048020000}"/>
    <cellStyle name="20% - Accent5 2 4 3 4 3" xfId="476" xr:uid="{00000000-0005-0000-0000-000049020000}"/>
    <cellStyle name="20% - Accent5 2 4 3 4 3 2" xfId="24010" xr:uid="{00000000-0005-0000-0000-00004A020000}"/>
    <cellStyle name="20% - Accent5 2 4 3 4 4" xfId="24007" xr:uid="{00000000-0005-0000-0000-00004B020000}"/>
    <cellStyle name="20% - Accent5 2 4 3 5" xfId="477" xr:uid="{00000000-0005-0000-0000-00004C020000}"/>
    <cellStyle name="20% - Accent5 2 4 3 5 2" xfId="478" xr:uid="{00000000-0005-0000-0000-00004D020000}"/>
    <cellStyle name="20% - Accent5 2 4 3 5 2 2" xfId="24012" xr:uid="{00000000-0005-0000-0000-00004E020000}"/>
    <cellStyle name="20% - Accent5 2 4 3 5 3" xfId="24011" xr:uid="{00000000-0005-0000-0000-00004F020000}"/>
    <cellStyle name="20% - Accent5 2 4 3 6" xfId="479" xr:uid="{00000000-0005-0000-0000-000050020000}"/>
    <cellStyle name="20% - Accent5 2 4 3 6 2" xfId="24013" xr:uid="{00000000-0005-0000-0000-000051020000}"/>
    <cellStyle name="20% - Accent5 2 4 3 7" xfId="23990" xr:uid="{00000000-0005-0000-0000-000052020000}"/>
    <cellStyle name="20% - Accent5 2 4 4" xfId="480" xr:uid="{00000000-0005-0000-0000-000053020000}"/>
    <cellStyle name="20% - Accent5 2 4 4 2" xfId="481" xr:uid="{00000000-0005-0000-0000-000054020000}"/>
    <cellStyle name="20% - Accent5 2 4 4 2 2" xfId="482" xr:uid="{00000000-0005-0000-0000-000055020000}"/>
    <cellStyle name="20% - Accent5 2 4 4 2 2 2" xfId="483" xr:uid="{00000000-0005-0000-0000-000056020000}"/>
    <cellStyle name="20% - Accent5 2 4 4 2 2 2 2" xfId="484" xr:uid="{00000000-0005-0000-0000-000057020000}"/>
    <cellStyle name="20% - Accent5 2 4 4 2 2 2 2 2" xfId="24018" xr:uid="{00000000-0005-0000-0000-000058020000}"/>
    <cellStyle name="20% - Accent5 2 4 4 2 2 2 3" xfId="24017" xr:uid="{00000000-0005-0000-0000-000059020000}"/>
    <cellStyle name="20% - Accent5 2 4 4 2 2 3" xfId="485" xr:uid="{00000000-0005-0000-0000-00005A020000}"/>
    <cellStyle name="20% - Accent5 2 4 4 2 2 3 2" xfId="24019" xr:uid="{00000000-0005-0000-0000-00005B020000}"/>
    <cellStyle name="20% - Accent5 2 4 4 2 2 4" xfId="24016" xr:uid="{00000000-0005-0000-0000-00005C020000}"/>
    <cellStyle name="20% - Accent5 2 4 4 2 3" xfId="486" xr:uid="{00000000-0005-0000-0000-00005D020000}"/>
    <cellStyle name="20% - Accent5 2 4 4 2 3 2" xfId="487" xr:uid="{00000000-0005-0000-0000-00005E020000}"/>
    <cellStyle name="20% - Accent5 2 4 4 2 3 2 2" xfId="24021" xr:uid="{00000000-0005-0000-0000-00005F020000}"/>
    <cellStyle name="20% - Accent5 2 4 4 2 3 3" xfId="24020" xr:uid="{00000000-0005-0000-0000-000060020000}"/>
    <cellStyle name="20% - Accent5 2 4 4 2 4" xfId="488" xr:uid="{00000000-0005-0000-0000-000061020000}"/>
    <cellStyle name="20% - Accent5 2 4 4 2 4 2" xfId="24022" xr:uid="{00000000-0005-0000-0000-000062020000}"/>
    <cellStyle name="20% - Accent5 2 4 4 2 5" xfId="24015" xr:uid="{00000000-0005-0000-0000-000063020000}"/>
    <cellStyle name="20% - Accent5 2 4 4 3" xfId="489" xr:uid="{00000000-0005-0000-0000-000064020000}"/>
    <cellStyle name="20% - Accent5 2 4 4 3 2" xfId="490" xr:uid="{00000000-0005-0000-0000-000065020000}"/>
    <cellStyle name="20% - Accent5 2 4 4 3 2 2" xfId="491" xr:uid="{00000000-0005-0000-0000-000066020000}"/>
    <cellStyle name="20% - Accent5 2 4 4 3 2 2 2" xfId="492" xr:uid="{00000000-0005-0000-0000-000067020000}"/>
    <cellStyle name="20% - Accent5 2 4 4 3 2 2 2 2" xfId="24026" xr:uid="{00000000-0005-0000-0000-000068020000}"/>
    <cellStyle name="20% - Accent5 2 4 4 3 2 2 3" xfId="24025" xr:uid="{00000000-0005-0000-0000-000069020000}"/>
    <cellStyle name="20% - Accent5 2 4 4 3 2 3" xfId="493" xr:uid="{00000000-0005-0000-0000-00006A020000}"/>
    <cellStyle name="20% - Accent5 2 4 4 3 2 3 2" xfId="24027" xr:uid="{00000000-0005-0000-0000-00006B020000}"/>
    <cellStyle name="20% - Accent5 2 4 4 3 2 4" xfId="24024" xr:uid="{00000000-0005-0000-0000-00006C020000}"/>
    <cellStyle name="20% - Accent5 2 4 4 3 3" xfId="494" xr:uid="{00000000-0005-0000-0000-00006D020000}"/>
    <cellStyle name="20% - Accent5 2 4 4 3 3 2" xfId="495" xr:uid="{00000000-0005-0000-0000-00006E020000}"/>
    <cellStyle name="20% - Accent5 2 4 4 3 3 2 2" xfId="24029" xr:uid="{00000000-0005-0000-0000-00006F020000}"/>
    <cellStyle name="20% - Accent5 2 4 4 3 3 3" xfId="24028" xr:uid="{00000000-0005-0000-0000-000070020000}"/>
    <cellStyle name="20% - Accent5 2 4 4 3 4" xfId="496" xr:uid="{00000000-0005-0000-0000-000071020000}"/>
    <cellStyle name="20% - Accent5 2 4 4 3 4 2" xfId="24030" xr:uid="{00000000-0005-0000-0000-000072020000}"/>
    <cellStyle name="20% - Accent5 2 4 4 3 5" xfId="24023" xr:uid="{00000000-0005-0000-0000-000073020000}"/>
    <cellStyle name="20% - Accent5 2 4 4 4" xfId="497" xr:uid="{00000000-0005-0000-0000-000074020000}"/>
    <cellStyle name="20% - Accent5 2 4 4 4 2" xfId="498" xr:uid="{00000000-0005-0000-0000-000075020000}"/>
    <cellStyle name="20% - Accent5 2 4 4 4 2 2" xfId="499" xr:uid="{00000000-0005-0000-0000-000076020000}"/>
    <cellStyle name="20% - Accent5 2 4 4 4 2 2 2" xfId="24033" xr:uid="{00000000-0005-0000-0000-000077020000}"/>
    <cellStyle name="20% - Accent5 2 4 4 4 2 3" xfId="24032" xr:uid="{00000000-0005-0000-0000-000078020000}"/>
    <cellStyle name="20% - Accent5 2 4 4 4 3" xfId="500" xr:uid="{00000000-0005-0000-0000-000079020000}"/>
    <cellStyle name="20% - Accent5 2 4 4 4 3 2" xfId="24034" xr:uid="{00000000-0005-0000-0000-00007A020000}"/>
    <cellStyle name="20% - Accent5 2 4 4 4 4" xfId="24031" xr:uid="{00000000-0005-0000-0000-00007B020000}"/>
    <cellStyle name="20% - Accent5 2 4 4 5" xfId="501" xr:uid="{00000000-0005-0000-0000-00007C020000}"/>
    <cellStyle name="20% - Accent5 2 4 4 5 2" xfId="502" xr:uid="{00000000-0005-0000-0000-00007D020000}"/>
    <cellStyle name="20% - Accent5 2 4 4 5 2 2" xfId="24036" xr:uid="{00000000-0005-0000-0000-00007E020000}"/>
    <cellStyle name="20% - Accent5 2 4 4 5 3" xfId="24035" xr:uid="{00000000-0005-0000-0000-00007F020000}"/>
    <cellStyle name="20% - Accent5 2 4 4 6" xfId="503" xr:uid="{00000000-0005-0000-0000-000080020000}"/>
    <cellStyle name="20% - Accent5 2 4 4 6 2" xfId="24037" xr:uid="{00000000-0005-0000-0000-000081020000}"/>
    <cellStyle name="20% - Accent5 2 4 4 7" xfId="24014" xr:uid="{00000000-0005-0000-0000-000082020000}"/>
    <cellStyle name="20% - Accent5 2 4 5" xfId="504" xr:uid="{00000000-0005-0000-0000-000083020000}"/>
    <cellStyle name="20% - Accent5 2 4 5 2" xfId="505" xr:uid="{00000000-0005-0000-0000-000084020000}"/>
    <cellStyle name="20% - Accent5 2 4 5 2 2" xfId="506" xr:uid="{00000000-0005-0000-0000-000085020000}"/>
    <cellStyle name="20% - Accent5 2 4 5 2 2 2" xfId="507" xr:uid="{00000000-0005-0000-0000-000086020000}"/>
    <cellStyle name="20% - Accent5 2 4 5 2 2 2 2" xfId="24041" xr:uid="{00000000-0005-0000-0000-000087020000}"/>
    <cellStyle name="20% - Accent5 2 4 5 2 2 3" xfId="24040" xr:uid="{00000000-0005-0000-0000-000088020000}"/>
    <cellStyle name="20% - Accent5 2 4 5 2 3" xfId="508" xr:uid="{00000000-0005-0000-0000-000089020000}"/>
    <cellStyle name="20% - Accent5 2 4 5 2 3 2" xfId="24042" xr:uid="{00000000-0005-0000-0000-00008A020000}"/>
    <cellStyle name="20% - Accent5 2 4 5 2 4" xfId="24039" xr:uid="{00000000-0005-0000-0000-00008B020000}"/>
    <cellStyle name="20% - Accent5 2 4 5 3" xfId="509" xr:uid="{00000000-0005-0000-0000-00008C020000}"/>
    <cellStyle name="20% - Accent5 2 4 5 3 2" xfId="510" xr:uid="{00000000-0005-0000-0000-00008D020000}"/>
    <cellStyle name="20% - Accent5 2 4 5 3 2 2" xfId="24044" xr:uid="{00000000-0005-0000-0000-00008E020000}"/>
    <cellStyle name="20% - Accent5 2 4 5 3 3" xfId="24043" xr:uid="{00000000-0005-0000-0000-00008F020000}"/>
    <cellStyle name="20% - Accent5 2 4 5 4" xfId="511" xr:uid="{00000000-0005-0000-0000-000090020000}"/>
    <cellStyle name="20% - Accent5 2 4 5 4 2" xfId="24045" xr:uid="{00000000-0005-0000-0000-000091020000}"/>
    <cellStyle name="20% - Accent5 2 4 5 5" xfId="24038" xr:uid="{00000000-0005-0000-0000-000092020000}"/>
    <cellStyle name="20% - Accent5 2 4 6" xfId="512" xr:uid="{00000000-0005-0000-0000-000093020000}"/>
    <cellStyle name="20% - Accent5 2 4 6 2" xfId="513" xr:uid="{00000000-0005-0000-0000-000094020000}"/>
    <cellStyle name="20% - Accent5 2 4 6 2 2" xfId="514" xr:uid="{00000000-0005-0000-0000-000095020000}"/>
    <cellStyle name="20% - Accent5 2 4 6 2 2 2" xfId="515" xr:uid="{00000000-0005-0000-0000-000096020000}"/>
    <cellStyle name="20% - Accent5 2 4 6 2 2 2 2" xfId="24049" xr:uid="{00000000-0005-0000-0000-000097020000}"/>
    <cellStyle name="20% - Accent5 2 4 6 2 2 3" xfId="24048" xr:uid="{00000000-0005-0000-0000-000098020000}"/>
    <cellStyle name="20% - Accent5 2 4 6 2 3" xfId="516" xr:uid="{00000000-0005-0000-0000-000099020000}"/>
    <cellStyle name="20% - Accent5 2 4 6 2 3 2" xfId="24050" xr:uid="{00000000-0005-0000-0000-00009A020000}"/>
    <cellStyle name="20% - Accent5 2 4 6 2 4" xfId="24047" xr:uid="{00000000-0005-0000-0000-00009B020000}"/>
    <cellStyle name="20% - Accent5 2 4 6 3" xfId="517" xr:uid="{00000000-0005-0000-0000-00009C020000}"/>
    <cellStyle name="20% - Accent5 2 4 6 3 2" xfId="518" xr:uid="{00000000-0005-0000-0000-00009D020000}"/>
    <cellStyle name="20% - Accent5 2 4 6 3 2 2" xfId="24052" xr:uid="{00000000-0005-0000-0000-00009E020000}"/>
    <cellStyle name="20% - Accent5 2 4 6 3 3" xfId="24051" xr:uid="{00000000-0005-0000-0000-00009F020000}"/>
    <cellStyle name="20% - Accent5 2 4 6 4" xfId="519" xr:uid="{00000000-0005-0000-0000-0000A0020000}"/>
    <cellStyle name="20% - Accent5 2 4 6 4 2" xfId="24053" xr:uid="{00000000-0005-0000-0000-0000A1020000}"/>
    <cellStyle name="20% - Accent5 2 4 6 5" xfId="24046" xr:uid="{00000000-0005-0000-0000-0000A2020000}"/>
    <cellStyle name="20% - Accent5 2 4 7" xfId="520" xr:uid="{00000000-0005-0000-0000-0000A3020000}"/>
    <cellStyle name="20% - Accent5 2 4 7 2" xfId="521" xr:uid="{00000000-0005-0000-0000-0000A4020000}"/>
    <cellStyle name="20% - Accent5 2 4 7 2 2" xfId="522" xr:uid="{00000000-0005-0000-0000-0000A5020000}"/>
    <cellStyle name="20% - Accent5 2 4 7 2 2 2" xfId="24056" xr:uid="{00000000-0005-0000-0000-0000A6020000}"/>
    <cellStyle name="20% - Accent5 2 4 7 2 3" xfId="24055" xr:uid="{00000000-0005-0000-0000-0000A7020000}"/>
    <cellStyle name="20% - Accent5 2 4 7 3" xfId="523" xr:uid="{00000000-0005-0000-0000-0000A8020000}"/>
    <cellStyle name="20% - Accent5 2 4 7 3 2" xfId="24057" xr:uid="{00000000-0005-0000-0000-0000A9020000}"/>
    <cellStyle name="20% - Accent5 2 4 7 4" xfId="24054" xr:uid="{00000000-0005-0000-0000-0000AA020000}"/>
    <cellStyle name="20% - Accent5 2 4 8" xfId="524" xr:uid="{00000000-0005-0000-0000-0000AB020000}"/>
    <cellStyle name="20% - Accent5 2 4 8 2" xfId="525" xr:uid="{00000000-0005-0000-0000-0000AC020000}"/>
    <cellStyle name="20% - Accent5 2 4 8 2 2" xfId="24059" xr:uid="{00000000-0005-0000-0000-0000AD020000}"/>
    <cellStyle name="20% - Accent5 2 4 8 3" xfId="24058" xr:uid="{00000000-0005-0000-0000-0000AE020000}"/>
    <cellStyle name="20% - Accent5 2 4 9" xfId="526" xr:uid="{00000000-0005-0000-0000-0000AF020000}"/>
    <cellStyle name="20% - Accent5 2 4 9 2" xfId="24060" xr:uid="{00000000-0005-0000-0000-0000B0020000}"/>
    <cellStyle name="20% - Accent5 2 5" xfId="527" xr:uid="{00000000-0005-0000-0000-0000B1020000}"/>
    <cellStyle name="20% - Accent5 2 5 2" xfId="528" xr:uid="{00000000-0005-0000-0000-0000B2020000}"/>
    <cellStyle name="20% - Accent5 2 5 2 2" xfId="529" xr:uid="{00000000-0005-0000-0000-0000B3020000}"/>
    <cellStyle name="20% - Accent5 2 5 2 2 2" xfId="530" xr:uid="{00000000-0005-0000-0000-0000B4020000}"/>
    <cellStyle name="20% - Accent5 2 5 2 2 2 2" xfId="531" xr:uid="{00000000-0005-0000-0000-0000B5020000}"/>
    <cellStyle name="20% - Accent5 2 5 2 2 2 2 2" xfId="532" xr:uid="{00000000-0005-0000-0000-0000B6020000}"/>
    <cellStyle name="20% - Accent5 2 5 2 2 2 2 2 2" xfId="24066" xr:uid="{00000000-0005-0000-0000-0000B7020000}"/>
    <cellStyle name="20% - Accent5 2 5 2 2 2 2 3" xfId="24065" xr:uid="{00000000-0005-0000-0000-0000B8020000}"/>
    <cellStyle name="20% - Accent5 2 5 2 2 2 3" xfId="533" xr:uid="{00000000-0005-0000-0000-0000B9020000}"/>
    <cellStyle name="20% - Accent5 2 5 2 2 2 3 2" xfId="24067" xr:uid="{00000000-0005-0000-0000-0000BA020000}"/>
    <cellStyle name="20% - Accent5 2 5 2 2 2 4" xfId="24064" xr:uid="{00000000-0005-0000-0000-0000BB020000}"/>
    <cellStyle name="20% - Accent5 2 5 2 2 3" xfId="534" xr:uid="{00000000-0005-0000-0000-0000BC020000}"/>
    <cellStyle name="20% - Accent5 2 5 2 2 3 2" xfId="535" xr:uid="{00000000-0005-0000-0000-0000BD020000}"/>
    <cellStyle name="20% - Accent5 2 5 2 2 3 2 2" xfId="24069" xr:uid="{00000000-0005-0000-0000-0000BE020000}"/>
    <cellStyle name="20% - Accent5 2 5 2 2 3 3" xfId="24068" xr:uid="{00000000-0005-0000-0000-0000BF020000}"/>
    <cellStyle name="20% - Accent5 2 5 2 2 4" xfId="536" xr:uid="{00000000-0005-0000-0000-0000C0020000}"/>
    <cellStyle name="20% - Accent5 2 5 2 2 4 2" xfId="24070" xr:uid="{00000000-0005-0000-0000-0000C1020000}"/>
    <cellStyle name="20% - Accent5 2 5 2 2 5" xfId="24063" xr:uid="{00000000-0005-0000-0000-0000C2020000}"/>
    <cellStyle name="20% - Accent5 2 5 2 3" xfId="537" xr:uid="{00000000-0005-0000-0000-0000C3020000}"/>
    <cellStyle name="20% - Accent5 2 5 2 3 2" xfId="538" xr:uid="{00000000-0005-0000-0000-0000C4020000}"/>
    <cellStyle name="20% - Accent5 2 5 2 3 2 2" xfId="539" xr:uid="{00000000-0005-0000-0000-0000C5020000}"/>
    <cellStyle name="20% - Accent5 2 5 2 3 2 2 2" xfId="540" xr:uid="{00000000-0005-0000-0000-0000C6020000}"/>
    <cellStyle name="20% - Accent5 2 5 2 3 2 2 2 2" xfId="24074" xr:uid="{00000000-0005-0000-0000-0000C7020000}"/>
    <cellStyle name="20% - Accent5 2 5 2 3 2 2 3" xfId="24073" xr:uid="{00000000-0005-0000-0000-0000C8020000}"/>
    <cellStyle name="20% - Accent5 2 5 2 3 2 3" xfId="541" xr:uid="{00000000-0005-0000-0000-0000C9020000}"/>
    <cellStyle name="20% - Accent5 2 5 2 3 2 3 2" xfId="24075" xr:uid="{00000000-0005-0000-0000-0000CA020000}"/>
    <cellStyle name="20% - Accent5 2 5 2 3 2 4" xfId="24072" xr:uid="{00000000-0005-0000-0000-0000CB020000}"/>
    <cellStyle name="20% - Accent5 2 5 2 3 3" xfId="542" xr:uid="{00000000-0005-0000-0000-0000CC020000}"/>
    <cellStyle name="20% - Accent5 2 5 2 3 3 2" xfId="543" xr:uid="{00000000-0005-0000-0000-0000CD020000}"/>
    <cellStyle name="20% - Accent5 2 5 2 3 3 2 2" xfId="24077" xr:uid="{00000000-0005-0000-0000-0000CE020000}"/>
    <cellStyle name="20% - Accent5 2 5 2 3 3 3" xfId="24076" xr:uid="{00000000-0005-0000-0000-0000CF020000}"/>
    <cellStyle name="20% - Accent5 2 5 2 3 4" xfId="544" xr:uid="{00000000-0005-0000-0000-0000D0020000}"/>
    <cellStyle name="20% - Accent5 2 5 2 3 4 2" xfId="24078" xr:uid="{00000000-0005-0000-0000-0000D1020000}"/>
    <cellStyle name="20% - Accent5 2 5 2 3 5" xfId="24071" xr:uid="{00000000-0005-0000-0000-0000D2020000}"/>
    <cellStyle name="20% - Accent5 2 5 2 4" xfId="545" xr:uid="{00000000-0005-0000-0000-0000D3020000}"/>
    <cellStyle name="20% - Accent5 2 5 2 4 2" xfId="546" xr:uid="{00000000-0005-0000-0000-0000D4020000}"/>
    <cellStyle name="20% - Accent5 2 5 2 4 2 2" xfId="547" xr:uid="{00000000-0005-0000-0000-0000D5020000}"/>
    <cellStyle name="20% - Accent5 2 5 2 4 2 2 2" xfId="24081" xr:uid="{00000000-0005-0000-0000-0000D6020000}"/>
    <cellStyle name="20% - Accent5 2 5 2 4 2 3" xfId="24080" xr:uid="{00000000-0005-0000-0000-0000D7020000}"/>
    <cellStyle name="20% - Accent5 2 5 2 4 3" xfId="548" xr:uid="{00000000-0005-0000-0000-0000D8020000}"/>
    <cellStyle name="20% - Accent5 2 5 2 4 3 2" xfId="24082" xr:uid="{00000000-0005-0000-0000-0000D9020000}"/>
    <cellStyle name="20% - Accent5 2 5 2 4 4" xfId="24079" xr:uid="{00000000-0005-0000-0000-0000DA020000}"/>
    <cellStyle name="20% - Accent5 2 5 2 5" xfId="549" xr:uid="{00000000-0005-0000-0000-0000DB020000}"/>
    <cellStyle name="20% - Accent5 2 5 2 5 2" xfId="550" xr:uid="{00000000-0005-0000-0000-0000DC020000}"/>
    <cellStyle name="20% - Accent5 2 5 2 5 2 2" xfId="24084" xr:uid="{00000000-0005-0000-0000-0000DD020000}"/>
    <cellStyle name="20% - Accent5 2 5 2 5 3" xfId="24083" xr:uid="{00000000-0005-0000-0000-0000DE020000}"/>
    <cellStyle name="20% - Accent5 2 5 2 6" xfId="551" xr:uid="{00000000-0005-0000-0000-0000DF020000}"/>
    <cellStyle name="20% - Accent5 2 5 2 6 2" xfId="24085" xr:uid="{00000000-0005-0000-0000-0000E0020000}"/>
    <cellStyle name="20% - Accent5 2 5 2 7" xfId="24062" xr:uid="{00000000-0005-0000-0000-0000E1020000}"/>
    <cellStyle name="20% - Accent5 2 5 3" xfId="552" xr:uid="{00000000-0005-0000-0000-0000E2020000}"/>
    <cellStyle name="20% - Accent5 2 5 3 2" xfId="553" xr:uid="{00000000-0005-0000-0000-0000E3020000}"/>
    <cellStyle name="20% - Accent5 2 5 3 2 2" xfId="554" xr:uid="{00000000-0005-0000-0000-0000E4020000}"/>
    <cellStyle name="20% - Accent5 2 5 3 2 2 2" xfId="555" xr:uid="{00000000-0005-0000-0000-0000E5020000}"/>
    <cellStyle name="20% - Accent5 2 5 3 2 2 2 2" xfId="556" xr:uid="{00000000-0005-0000-0000-0000E6020000}"/>
    <cellStyle name="20% - Accent5 2 5 3 2 2 2 2 2" xfId="24090" xr:uid="{00000000-0005-0000-0000-0000E7020000}"/>
    <cellStyle name="20% - Accent5 2 5 3 2 2 2 3" xfId="24089" xr:uid="{00000000-0005-0000-0000-0000E8020000}"/>
    <cellStyle name="20% - Accent5 2 5 3 2 2 3" xfId="557" xr:uid="{00000000-0005-0000-0000-0000E9020000}"/>
    <cellStyle name="20% - Accent5 2 5 3 2 2 3 2" xfId="24091" xr:uid="{00000000-0005-0000-0000-0000EA020000}"/>
    <cellStyle name="20% - Accent5 2 5 3 2 2 4" xfId="24088" xr:uid="{00000000-0005-0000-0000-0000EB020000}"/>
    <cellStyle name="20% - Accent5 2 5 3 2 3" xfId="558" xr:uid="{00000000-0005-0000-0000-0000EC020000}"/>
    <cellStyle name="20% - Accent5 2 5 3 2 3 2" xfId="559" xr:uid="{00000000-0005-0000-0000-0000ED020000}"/>
    <cellStyle name="20% - Accent5 2 5 3 2 3 2 2" xfId="24093" xr:uid="{00000000-0005-0000-0000-0000EE020000}"/>
    <cellStyle name="20% - Accent5 2 5 3 2 3 3" xfId="24092" xr:uid="{00000000-0005-0000-0000-0000EF020000}"/>
    <cellStyle name="20% - Accent5 2 5 3 2 4" xfId="560" xr:uid="{00000000-0005-0000-0000-0000F0020000}"/>
    <cellStyle name="20% - Accent5 2 5 3 2 4 2" xfId="24094" xr:uid="{00000000-0005-0000-0000-0000F1020000}"/>
    <cellStyle name="20% - Accent5 2 5 3 2 5" xfId="24087" xr:uid="{00000000-0005-0000-0000-0000F2020000}"/>
    <cellStyle name="20% - Accent5 2 5 3 3" xfId="561" xr:uid="{00000000-0005-0000-0000-0000F3020000}"/>
    <cellStyle name="20% - Accent5 2 5 3 3 2" xfId="562" xr:uid="{00000000-0005-0000-0000-0000F4020000}"/>
    <cellStyle name="20% - Accent5 2 5 3 3 2 2" xfId="563" xr:uid="{00000000-0005-0000-0000-0000F5020000}"/>
    <cellStyle name="20% - Accent5 2 5 3 3 2 2 2" xfId="564" xr:uid="{00000000-0005-0000-0000-0000F6020000}"/>
    <cellStyle name="20% - Accent5 2 5 3 3 2 2 2 2" xfId="24098" xr:uid="{00000000-0005-0000-0000-0000F7020000}"/>
    <cellStyle name="20% - Accent5 2 5 3 3 2 2 3" xfId="24097" xr:uid="{00000000-0005-0000-0000-0000F8020000}"/>
    <cellStyle name="20% - Accent5 2 5 3 3 2 3" xfId="565" xr:uid="{00000000-0005-0000-0000-0000F9020000}"/>
    <cellStyle name="20% - Accent5 2 5 3 3 2 3 2" xfId="24099" xr:uid="{00000000-0005-0000-0000-0000FA020000}"/>
    <cellStyle name="20% - Accent5 2 5 3 3 2 4" xfId="24096" xr:uid="{00000000-0005-0000-0000-0000FB020000}"/>
    <cellStyle name="20% - Accent5 2 5 3 3 3" xfId="566" xr:uid="{00000000-0005-0000-0000-0000FC020000}"/>
    <cellStyle name="20% - Accent5 2 5 3 3 3 2" xfId="567" xr:uid="{00000000-0005-0000-0000-0000FD020000}"/>
    <cellStyle name="20% - Accent5 2 5 3 3 3 2 2" xfId="24101" xr:uid="{00000000-0005-0000-0000-0000FE020000}"/>
    <cellStyle name="20% - Accent5 2 5 3 3 3 3" xfId="24100" xr:uid="{00000000-0005-0000-0000-0000FF020000}"/>
    <cellStyle name="20% - Accent5 2 5 3 3 4" xfId="568" xr:uid="{00000000-0005-0000-0000-000000030000}"/>
    <cellStyle name="20% - Accent5 2 5 3 3 4 2" xfId="24102" xr:uid="{00000000-0005-0000-0000-000001030000}"/>
    <cellStyle name="20% - Accent5 2 5 3 3 5" xfId="24095" xr:uid="{00000000-0005-0000-0000-000002030000}"/>
    <cellStyle name="20% - Accent5 2 5 3 4" xfId="569" xr:uid="{00000000-0005-0000-0000-000003030000}"/>
    <cellStyle name="20% - Accent5 2 5 3 4 2" xfId="570" xr:uid="{00000000-0005-0000-0000-000004030000}"/>
    <cellStyle name="20% - Accent5 2 5 3 4 2 2" xfId="571" xr:uid="{00000000-0005-0000-0000-000005030000}"/>
    <cellStyle name="20% - Accent5 2 5 3 4 2 2 2" xfId="24105" xr:uid="{00000000-0005-0000-0000-000006030000}"/>
    <cellStyle name="20% - Accent5 2 5 3 4 2 3" xfId="24104" xr:uid="{00000000-0005-0000-0000-000007030000}"/>
    <cellStyle name="20% - Accent5 2 5 3 4 3" xfId="572" xr:uid="{00000000-0005-0000-0000-000008030000}"/>
    <cellStyle name="20% - Accent5 2 5 3 4 3 2" xfId="24106" xr:uid="{00000000-0005-0000-0000-000009030000}"/>
    <cellStyle name="20% - Accent5 2 5 3 4 4" xfId="24103" xr:uid="{00000000-0005-0000-0000-00000A030000}"/>
    <cellStyle name="20% - Accent5 2 5 3 5" xfId="573" xr:uid="{00000000-0005-0000-0000-00000B030000}"/>
    <cellStyle name="20% - Accent5 2 5 3 5 2" xfId="574" xr:uid="{00000000-0005-0000-0000-00000C030000}"/>
    <cellStyle name="20% - Accent5 2 5 3 5 2 2" xfId="24108" xr:uid="{00000000-0005-0000-0000-00000D030000}"/>
    <cellStyle name="20% - Accent5 2 5 3 5 3" xfId="24107" xr:uid="{00000000-0005-0000-0000-00000E030000}"/>
    <cellStyle name="20% - Accent5 2 5 3 6" xfId="575" xr:uid="{00000000-0005-0000-0000-00000F030000}"/>
    <cellStyle name="20% - Accent5 2 5 3 6 2" xfId="24109" xr:uid="{00000000-0005-0000-0000-000010030000}"/>
    <cellStyle name="20% - Accent5 2 5 3 7" xfId="24086" xr:uid="{00000000-0005-0000-0000-000011030000}"/>
    <cellStyle name="20% - Accent5 2 5 4" xfId="576" xr:uid="{00000000-0005-0000-0000-000012030000}"/>
    <cellStyle name="20% - Accent5 2 5 4 2" xfId="577" xr:uid="{00000000-0005-0000-0000-000013030000}"/>
    <cellStyle name="20% - Accent5 2 5 4 2 2" xfId="578" xr:uid="{00000000-0005-0000-0000-000014030000}"/>
    <cellStyle name="20% - Accent5 2 5 4 2 2 2" xfId="579" xr:uid="{00000000-0005-0000-0000-000015030000}"/>
    <cellStyle name="20% - Accent5 2 5 4 2 2 2 2" xfId="24113" xr:uid="{00000000-0005-0000-0000-000016030000}"/>
    <cellStyle name="20% - Accent5 2 5 4 2 2 3" xfId="24112" xr:uid="{00000000-0005-0000-0000-000017030000}"/>
    <cellStyle name="20% - Accent5 2 5 4 2 3" xfId="580" xr:uid="{00000000-0005-0000-0000-000018030000}"/>
    <cellStyle name="20% - Accent5 2 5 4 2 3 2" xfId="24114" xr:uid="{00000000-0005-0000-0000-000019030000}"/>
    <cellStyle name="20% - Accent5 2 5 4 2 4" xfId="24111" xr:uid="{00000000-0005-0000-0000-00001A030000}"/>
    <cellStyle name="20% - Accent5 2 5 4 3" xfId="581" xr:uid="{00000000-0005-0000-0000-00001B030000}"/>
    <cellStyle name="20% - Accent5 2 5 4 3 2" xfId="582" xr:uid="{00000000-0005-0000-0000-00001C030000}"/>
    <cellStyle name="20% - Accent5 2 5 4 3 2 2" xfId="24116" xr:uid="{00000000-0005-0000-0000-00001D030000}"/>
    <cellStyle name="20% - Accent5 2 5 4 3 3" xfId="24115" xr:uid="{00000000-0005-0000-0000-00001E030000}"/>
    <cellStyle name="20% - Accent5 2 5 4 4" xfId="583" xr:uid="{00000000-0005-0000-0000-00001F030000}"/>
    <cellStyle name="20% - Accent5 2 5 4 4 2" xfId="24117" xr:uid="{00000000-0005-0000-0000-000020030000}"/>
    <cellStyle name="20% - Accent5 2 5 4 5" xfId="24110" xr:uid="{00000000-0005-0000-0000-000021030000}"/>
    <cellStyle name="20% - Accent5 2 5 5" xfId="584" xr:uid="{00000000-0005-0000-0000-000022030000}"/>
    <cellStyle name="20% - Accent5 2 5 5 2" xfId="585" xr:uid="{00000000-0005-0000-0000-000023030000}"/>
    <cellStyle name="20% - Accent5 2 5 5 2 2" xfId="586" xr:uid="{00000000-0005-0000-0000-000024030000}"/>
    <cellStyle name="20% - Accent5 2 5 5 2 2 2" xfId="587" xr:uid="{00000000-0005-0000-0000-000025030000}"/>
    <cellStyle name="20% - Accent5 2 5 5 2 2 2 2" xfId="24121" xr:uid="{00000000-0005-0000-0000-000026030000}"/>
    <cellStyle name="20% - Accent5 2 5 5 2 2 3" xfId="24120" xr:uid="{00000000-0005-0000-0000-000027030000}"/>
    <cellStyle name="20% - Accent5 2 5 5 2 3" xfId="588" xr:uid="{00000000-0005-0000-0000-000028030000}"/>
    <cellStyle name="20% - Accent5 2 5 5 2 3 2" xfId="24122" xr:uid="{00000000-0005-0000-0000-000029030000}"/>
    <cellStyle name="20% - Accent5 2 5 5 2 4" xfId="24119" xr:uid="{00000000-0005-0000-0000-00002A030000}"/>
    <cellStyle name="20% - Accent5 2 5 5 3" xfId="589" xr:uid="{00000000-0005-0000-0000-00002B030000}"/>
    <cellStyle name="20% - Accent5 2 5 5 3 2" xfId="590" xr:uid="{00000000-0005-0000-0000-00002C030000}"/>
    <cellStyle name="20% - Accent5 2 5 5 3 2 2" xfId="24124" xr:uid="{00000000-0005-0000-0000-00002D030000}"/>
    <cellStyle name="20% - Accent5 2 5 5 3 3" xfId="24123" xr:uid="{00000000-0005-0000-0000-00002E030000}"/>
    <cellStyle name="20% - Accent5 2 5 5 4" xfId="591" xr:uid="{00000000-0005-0000-0000-00002F030000}"/>
    <cellStyle name="20% - Accent5 2 5 5 4 2" xfId="24125" xr:uid="{00000000-0005-0000-0000-000030030000}"/>
    <cellStyle name="20% - Accent5 2 5 5 5" xfId="24118" xr:uid="{00000000-0005-0000-0000-000031030000}"/>
    <cellStyle name="20% - Accent5 2 5 6" xfId="592" xr:uid="{00000000-0005-0000-0000-000032030000}"/>
    <cellStyle name="20% - Accent5 2 5 6 2" xfId="593" xr:uid="{00000000-0005-0000-0000-000033030000}"/>
    <cellStyle name="20% - Accent5 2 5 6 2 2" xfId="594" xr:uid="{00000000-0005-0000-0000-000034030000}"/>
    <cellStyle name="20% - Accent5 2 5 6 2 2 2" xfId="24128" xr:uid="{00000000-0005-0000-0000-000035030000}"/>
    <cellStyle name="20% - Accent5 2 5 6 2 3" xfId="24127" xr:uid="{00000000-0005-0000-0000-000036030000}"/>
    <cellStyle name="20% - Accent5 2 5 6 3" xfId="595" xr:uid="{00000000-0005-0000-0000-000037030000}"/>
    <cellStyle name="20% - Accent5 2 5 6 3 2" xfId="24129" xr:uid="{00000000-0005-0000-0000-000038030000}"/>
    <cellStyle name="20% - Accent5 2 5 6 4" xfId="24126" xr:uid="{00000000-0005-0000-0000-000039030000}"/>
    <cellStyle name="20% - Accent5 2 5 7" xfId="596" xr:uid="{00000000-0005-0000-0000-00003A030000}"/>
    <cellStyle name="20% - Accent5 2 5 7 2" xfId="597" xr:uid="{00000000-0005-0000-0000-00003B030000}"/>
    <cellStyle name="20% - Accent5 2 5 7 2 2" xfId="24131" xr:uid="{00000000-0005-0000-0000-00003C030000}"/>
    <cellStyle name="20% - Accent5 2 5 7 3" xfId="24130" xr:uid="{00000000-0005-0000-0000-00003D030000}"/>
    <cellStyle name="20% - Accent5 2 5 8" xfId="598" xr:uid="{00000000-0005-0000-0000-00003E030000}"/>
    <cellStyle name="20% - Accent5 2 5 8 2" xfId="24132" xr:uid="{00000000-0005-0000-0000-00003F030000}"/>
    <cellStyle name="20% - Accent5 2 5 9" xfId="24061" xr:uid="{00000000-0005-0000-0000-000040030000}"/>
    <cellStyle name="20% - Accent5 2 6" xfId="599" xr:uid="{00000000-0005-0000-0000-000041030000}"/>
    <cellStyle name="20% - Accent5 2 6 2" xfId="600" xr:uid="{00000000-0005-0000-0000-000042030000}"/>
    <cellStyle name="20% - Accent5 2 6 2 2" xfId="601" xr:uid="{00000000-0005-0000-0000-000043030000}"/>
    <cellStyle name="20% - Accent5 2 6 2 2 2" xfId="602" xr:uid="{00000000-0005-0000-0000-000044030000}"/>
    <cellStyle name="20% - Accent5 2 6 2 2 2 2" xfId="603" xr:uid="{00000000-0005-0000-0000-000045030000}"/>
    <cellStyle name="20% - Accent5 2 6 2 2 2 2 2" xfId="24137" xr:uid="{00000000-0005-0000-0000-000046030000}"/>
    <cellStyle name="20% - Accent5 2 6 2 2 2 3" xfId="24136" xr:uid="{00000000-0005-0000-0000-000047030000}"/>
    <cellStyle name="20% - Accent5 2 6 2 2 3" xfId="604" xr:uid="{00000000-0005-0000-0000-000048030000}"/>
    <cellStyle name="20% - Accent5 2 6 2 2 3 2" xfId="24138" xr:uid="{00000000-0005-0000-0000-000049030000}"/>
    <cellStyle name="20% - Accent5 2 6 2 2 4" xfId="24135" xr:uid="{00000000-0005-0000-0000-00004A030000}"/>
    <cellStyle name="20% - Accent5 2 6 2 3" xfId="605" xr:uid="{00000000-0005-0000-0000-00004B030000}"/>
    <cellStyle name="20% - Accent5 2 6 2 3 2" xfId="606" xr:uid="{00000000-0005-0000-0000-00004C030000}"/>
    <cellStyle name="20% - Accent5 2 6 2 3 2 2" xfId="24140" xr:uid="{00000000-0005-0000-0000-00004D030000}"/>
    <cellStyle name="20% - Accent5 2 6 2 3 3" xfId="24139" xr:uid="{00000000-0005-0000-0000-00004E030000}"/>
    <cellStyle name="20% - Accent5 2 6 2 4" xfId="607" xr:uid="{00000000-0005-0000-0000-00004F030000}"/>
    <cellStyle name="20% - Accent5 2 6 2 4 2" xfId="24141" xr:uid="{00000000-0005-0000-0000-000050030000}"/>
    <cellStyle name="20% - Accent5 2 6 2 5" xfId="24134" xr:uid="{00000000-0005-0000-0000-000051030000}"/>
    <cellStyle name="20% - Accent5 2 6 3" xfId="608" xr:uid="{00000000-0005-0000-0000-000052030000}"/>
    <cellStyle name="20% - Accent5 2 6 3 2" xfId="609" xr:uid="{00000000-0005-0000-0000-000053030000}"/>
    <cellStyle name="20% - Accent5 2 6 3 2 2" xfId="610" xr:uid="{00000000-0005-0000-0000-000054030000}"/>
    <cellStyle name="20% - Accent5 2 6 3 2 2 2" xfId="611" xr:uid="{00000000-0005-0000-0000-000055030000}"/>
    <cellStyle name="20% - Accent5 2 6 3 2 2 2 2" xfId="24145" xr:uid="{00000000-0005-0000-0000-000056030000}"/>
    <cellStyle name="20% - Accent5 2 6 3 2 2 3" xfId="24144" xr:uid="{00000000-0005-0000-0000-000057030000}"/>
    <cellStyle name="20% - Accent5 2 6 3 2 3" xfId="612" xr:uid="{00000000-0005-0000-0000-000058030000}"/>
    <cellStyle name="20% - Accent5 2 6 3 2 3 2" xfId="24146" xr:uid="{00000000-0005-0000-0000-000059030000}"/>
    <cellStyle name="20% - Accent5 2 6 3 2 4" xfId="24143" xr:uid="{00000000-0005-0000-0000-00005A030000}"/>
    <cellStyle name="20% - Accent5 2 6 3 3" xfId="613" xr:uid="{00000000-0005-0000-0000-00005B030000}"/>
    <cellStyle name="20% - Accent5 2 6 3 3 2" xfId="614" xr:uid="{00000000-0005-0000-0000-00005C030000}"/>
    <cellStyle name="20% - Accent5 2 6 3 3 2 2" xfId="24148" xr:uid="{00000000-0005-0000-0000-00005D030000}"/>
    <cellStyle name="20% - Accent5 2 6 3 3 3" xfId="24147" xr:uid="{00000000-0005-0000-0000-00005E030000}"/>
    <cellStyle name="20% - Accent5 2 6 3 4" xfId="615" xr:uid="{00000000-0005-0000-0000-00005F030000}"/>
    <cellStyle name="20% - Accent5 2 6 3 4 2" xfId="24149" xr:uid="{00000000-0005-0000-0000-000060030000}"/>
    <cellStyle name="20% - Accent5 2 6 3 5" xfId="24142" xr:uid="{00000000-0005-0000-0000-000061030000}"/>
    <cellStyle name="20% - Accent5 2 6 4" xfId="616" xr:uid="{00000000-0005-0000-0000-000062030000}"/>
    <cellStyle name="20% - Accent5 2 6 4 2" xfId="617" xr:uid="{00000000-0005-0000-0000-000063030000}"/>
    <cellStyle name="20% - Accent5 2 6 4 2 2" xfId="618" xr:uid="{00000000-0005-0000-0000-000064030000}"/>
    <cellStyle name="20% - Accent5 2 6 4 2 2 2" xfId="24152" xr:uid="{00000000-0005-0000-0000-000065030000}"/>
    <cellStyle name="20% - Accent5 2 6 4 2 3" xfId="24151" xr:uid="{00000000-0005-0000-0000-000066030000}"/>
    <cellStyle name="20% - Accent5 2 6 4 3" xfId="619" xr:uid="{00000000-0005-0000-0000-000067030000}"/>
    <cellStyle name="20% - Accent5 2 6 4 3 2" xfId="24153" xr:uid="{00000000-0005-0000-0000-000068030000}"/>
    <cellStyle name="20% - Accent5 2 6 4 4" xfId="24150" xr:uid="{00000000-0005-0000-0000-000069030000}"/>
    <cellStyle name="20% - Accent5 2 6 5" xfId="620" xr:uid="{00000000-0005-0000-0000-00006A030000}"/>
    <cellStyle name="20% - Accent5 2 6 5 2" xfId="621" xr:uid="{00000000-0005-0000-0000-00006B030000}"/>
    <cellStyle name="20% - Accent5 2 6 5 2 2" xfId="24155" xr:uid="{00000000-0005-0000-0000-00006C030000}"/>
    <cellStyle name="20% - Accent5 2 6 5 3" xfId="24154" xr:uid="{00000000-0005-0000-0000-00006D030000}"/>
    <cellStyle name="20% - Accent5 2 6 6" xfId="622" xr:uid="{00000000-0005-0000-0000-00006E030000}"/>
    <cellStyle name="20% - Accent5 2 6 6 2" xfId="24156" xr:uid="{00000000-0005-0000-0000-00006F030000}"/>
    <cellStyle name="20% - Accent5 2 6 7" xfId="24133" xr:uid="{00000000-0005-0000-0000-000070030000}"/>
    <cellStyle name="20% - Accent5 2 7" xfId="623" xr:uid="{00000000-0005-0000-0000-000071030000}"/>
    <cellStyle name="20% - Accent5 2 7 2" xfId="624" xr:uid="{00000000-0005-0000-0000-000072030000}"/>
    <cellStyle name="20% - Accent5 2 7 2 2" xfId="625" xr:uid="{00000000-0005-0000-0000-000073030000}"/>
    <cellStyle name="20% - Accent5 2 7 2 2 2" xfId="626" xr:uid="{00000000-0005-0000-0000-000074030000}"/>
    <cellStyle name="20% - Accent5 2 7 2 2 2 2" xfId="627" xr:uid="{00000000-0005-0000-0000-000075030000}"/>
    <cellStyle name="20% - Accent5 2 7 2 2 2 2 2" xfId="24161" xr:uid="{00000000-0005-0000-0000-000076030000}"/>
    <cellStyle name="20% - Accent5 2 7 2 2 2 3" xfId="24160" xr:uid="{00000000-0005-0000-0000-000077030000}"/>
    <cellStyle name="20% - Accent5 2 7 2 2 3" xfId="628" xr:uid="{00000000-0005-0000-0000-000078030000}"/>
    <cellStyle name="20% - Accent5 2 7 2 2 3 2" xfId="24162" xr:uid="{00000000-0005-0000-0000-000079030000}"/>
    <cellStyle name="20% - Accent5 2 7 2 2 4" xfId="24159" xr:uid="{00000000-0005-0000-0000-00007A030000}"/>
    <cellStyle name="20% - Accent5 2 7 2 3" xfId="629" xr:uid="{00000000-0005-0000-0000-00007B030000}"/>
    <cellStyle name="20% - Accent5 2 7 2 3 2" xfId="630" xr:uid="{00000000-0005-0000-0000-00007C030000}"/>
    <cellStyle name="20% - Accent5 2 7 2 3 2 2" xfId="24164" xr:uid="{00000000-0005-0000-0000-00007D030000}"/>
    <cellStyle name="20% - Accent5 2 7 2 3 3" xfId="24163" xr:uid="{00000000-0005-0000-0000-00007E030000}"/>
    <cellStyle name="20% - Accent5 2 7 2 4" xfId="631" xr:uid="{00000000-0005-0000-0000-00007F030000}"/>
    <cellStyle name="20% - Accent5 2 7 2 4 2" xfId="24165" xr:uid="{00000000-0005-0000-0000-000080030000}"/>
    <cellStyle name="20% - Accent5 2 7 2 5" xfId="24158" xr:uid="{00000000-0005-0000-0000-000081030000}"/>
    <cellStyle name="20% - Accent5 2 7 3" xfId="632" xr:uid="{00000000-0005-0000-0000-000082030000}"/>
    <cellStyle name="20% - Accent5 2 7 3 2" xfId="633" xr:uid="{00000000-0005-0000-0000-000083030000}"/>
    <cellStyle name="20% - Accent5 2 7 3 2 2" xfId="634" xr:uid="{00000000-0005-0000-0000-000084030000}"/>
    <cellStyle name="20% - Accent5 2 7 3 2 2 2" xfId="635" xr:uid="{00000000-0005-0000-0000-000085030000}"/>
    <cellStyle name="20% - Accent5 2 7 3 2 2 2 2" xfId="24169" xr:uid="{00000000-0005-0000-0000-000086030000}"/>
    <cellStyle name="20% - Accent5 2 7 3 2 2 3" xfId="24168" xr:uid="{00000000-0005-0000-0000-000087030000}"/>
    <cellStyle name="20% - Accent5 2 7 3 2 3" xfId="636" xr:uid="{00000000-0005-0000-0000-000088030000}"/>
    <cellStyle name="20% - Accent5 2 7 3 2 3 2" xfId="24170" xr:uid="{00000000-0005-0000-0000-000089030000}"/>
    <cellStyle name="20% - Accent5 2 7 3 2 4" xfId="24167" xr:uid="{00000000-0005-0000-0000-00008A030000}"/>
    <cellStyle name="20% - Accent5 2 7 3 3" xfId="637" xr:uid="{00000000-0005-0000-0000-00008B030000}"/>
    <cellStyle name="20% - Accent5 2 7 3 3 2" xfId="638" xr:uid="{00000000-0005-0000-0000-00008C030000}"/>
    <cellStyle name="20% - Accent5 2 7 3 3 2 2" xfId="24172" xr:uid="{00000000-0005-0000-0000-00008D030000}"/>
    <cellStyle name="20% - Accent5 2 7 3 3 3" xfId="24171" xr:uid="{00000000-0005-0000-0000-00008E030000}"/>
    <cellStyle name="20% - Accent5 2 7 3 4" xfId="639" xr:uid="{00000000-0005-0000-0000-00008F030000}"/>
    <cellStyle name="20% - Accent5 2 7 3 4 2" xfId="24173" xr:uid="{00000000-0005-0000-0000-000090030000}"/>
    <cellStyle name="20% - Accent5 2 7 3 5" xfId="24166" xr:uid="{00000000-0005-0000-0000-000091030000}"/>
    <cellStyle name="20% - Accent5 2 7 4" xfId="640" xr:uid="{00000000-0005-0000-0000-000092030000}"/>
    <cellStyle name="20% - Accent5 2 7 4 2" xfId="641" xr:uid="{00000000-0005-0000-0000-000093030000}"/>
    <cellStyle name="20% - Accent5 2 7 4 2 2" xfId="642" xr:uid="{00000000-0005-0000-0000-000094030000}"/>
    <cellStyle name="20% - Accent5 2 7 4 2 2 2" xfId="24176" xr:uid="{00000000-0005-0000-0000-000095030000}"/>
    <cellStyle name="20% - Accent5 2 7 4 2 3" xfId="24175" xr:uid="{00000000-0005-0000-0000-000096030000}"/>
    <cellStyle name="20% - Accent5 2 7 4 3" xfId="643" xr:uid="{00000000-0005-0000-0000-000097030000}"/>
    <cellStyle name="20% - Accent5 2 7 4 3 2" xfId="24177" xr:uid="{00000000-0005-0000-0000-000098030000}"/>
    <cellStyle name="20% - Accent5 2 7 4 4" xfId="24174" xr:uid="{00000000-0005-0000-0000-000099030000}"/>
    <cellStyle name="20% - Accent5 2 7 5" xfId="644" xr:uid="{00000000-0005-0000-0000-00009A030000}"/>
    <cellStyle name="20% - Accent5 2 7 5 2" xfId="645" xr:uid="{00000000-0005-0000-0000-00009B030000}"/>
    <cellStyle name="20% - Accent5 2 7 5 2 2" xfId="24179" xr:uid="{00000000-0005-0000-0000-00009C030000}"/>
    <cellStyle name="20% - Accent5 2 7 5 3" xfId="24178" xr:uid="{00000000-0005-0000-0000-00009D030000}"/>
    <cellStyle name="20% - Accent5 2 7 6" xfId="646" xr:uid="{00000000-0005-0000-0000-00009E030000}"/>
    <cellStyle name="20% - Accent5 2 7 6 2" xfId="24180" xr:uid="{00000000-0005-0000-0000-00009F030000}"/>
    <cellStyle name="20% - Accent5 2 7 7" xfId="24157" xr:uid="{00000000-0005-0000-0000-0000A0030000}"/>
    <cellStyle name="20% - Accent5 2 8" xfId="647" xr:uid="{00000000-0005-0000-0000-0000A1030000}"/>
    <cellStyle name="20% - Accent5 2 8 2" xfId="648" xr:uid="{00000000-0005-0000-0000-0000A2030000}"/>
    <cellStyle name="20% - Accent5 2 8 2 2" xfId="649" xr:uid="{00000000-0005-0000-0000-0000A3030000}"/>
    <cellStyle name="20% - Accent5 2 8 2 2 2" xfId="650" xr:uid="{00000000-0005-0000-0000-0000A4030000}"/>
    <cellStyle name="20% - Accent5 2 8 2 2 2 2" xfId="651" xr:uid="{00000000-0005-0000-0000-0000A5030000}"/>
    <cellStyle name="20% - Accent5 2 8 2 2 2 2 2" xfId="24185" xr:uid="{00000000-0005-0000-0000-0000A6030000}"/>
    <cellStyle name="20% - Accent5 2 8 2 2 2 3" xfId="24184" xr:uid="{00000000-0005-0000-0000-0000A7030000}"/>
    <cellStyle name="20% - Accent5 2 8 2 2 3" xfId="652" xr:uid="{00000000-0005-0000-0000-0000A8030000}"/>
    <cellStyle name="20% - Accent5 2 8 2 2 3 2" xfId="24186" xr:uid="{00000000-0005-0000-0000-0000A9030000}"/>
    <cellStyle name="20% - Accent5 2 8 2 2 4" xfId="24183" xr:uid="{00000000-0005-0000-0000-0000AA030000}"/>
    <cellStyle name="20% - Accent5 2 8 2 3" xfId="653" xr:uid="{00000000-0005-0000-0000-0000AB030000}"/>
    <cellStyle name="20% - Accent5 2 8 2 3 2" xfId="654" xr:uid="{00000000-0005-0000-0000-0000AC030000}"/>
    <cellStyle name="20% - Accent5 2 8 2 3 2 2" xfId="24188" xr:uid="{00000000-0005-0000-0000-0000AD030000}"/>
    <cellStyle name="20% - Accent5 2 8 2 3 3" xfId="24187" xr:uid="{00000000-0005-0000-0000-0000AE030000}"/>
    <cellStyle name="20% - Accent5 2 8 2 4" xfId="655" xr:uid="{00000000-0005-0000-0000-0000AF030000}"/>
    <cellStyle name="20% - Accent5 2 8 2 4 2" xfId="24189" xr:uid="{00000000-0005-0000-0000-0000B0030000}"/>
    <cellStyle name="20% - Accent5 2 8 2 5" xfId="24182" xr:uid="{00000000-0005-0000-0000-0000B1030000}"/>
    <cellStyle name="20% - Accent5 2 8 3" xfId="656" xr:uid="{00000000-0005-0000-0000-0000B2030000}"/>
    <cellStyle name="20% - Accent5 2 8 3 2" xfId="657" xr:uid="{00000000-0005-0000-0000-0000B3030000}"/>
    <cellStyle name="20% - Accent5 2 8 3 2 2" xfId="658" xr:uid="{00000000-0005-0000-0000-0000B4030000}"/>
    <cellStyle name="20% - Accent5 2 8 3 2 2 2" xfId="659" xr:uid="{00000000-0005-0000-0000-0000B5030000}"/>
    <cellStyle name="20% - Accent5 2 8 3 2 2 2 2" xfId="24193" xr:uid="{00000000-0005-0000-0000-0000B6030000}"/>
    <cellStyle name="20% - Accent5 2 8 3 2 2 3" xfId="24192" xr:uid="{00000000-0005-0000-0000-0000B7030000}"/>
    <cellStyle name="20% - Accent5 2 8 3 2 3" xfId="660" xr:uid="{00000000-0005-0000-0000-0000B8030000}"/>
    <cellStyle name="20% - Accent5 2 8 3 2 3 2" xfId="24194" xr:uid="{00000000-0005-0000-0000-0000B9030000}"/>
    <cellStyle name="20% - Accent5 2 8 3 2 4" xfId="24191" xr:uid="{00000000-0005-0000-0000-0000BA030000}"/>
    <cellStyle name="20% - Accent5 2 8 3 3" xfId="661" xr:uid="{00000000-0005-0000-0000-0000BB030000}"/>
    <cellStyle name="20% - Accent5 2 8 3 3 2" xfId="662" xr:uid="{00000000-0005-0000-0000-0000BC030000}"/>
    <cellStyle name="20% - Accent5 2 8 3 3 2 2" xfId="24196" xr:uid="{00000000-0005-0000-0000-0000BD030000}"/>
    <cellStyle name="20% - Accent5 2 8 3 3 3" xfId="24195" xr:uid="{00000000-0005-0000-0000-0000BE030000}"/>
    <cellStyle name="20% - Accent5 2 8 3 4" xfId="663" xr:uid="{00000000-0005-0000-0000-0000BF030000}"/>
    <cellStyle name="20% - Accent5 2 8 3 4 2" xfId="24197" xr:uid="{00000000-0005-0000-0000-0000C0030000}"/>
    <cellStyle name="20% - Accent5 2 8 3 5" xfId="24190" xr:uid="{00000000-0005-0000-0000-0000C1030000}"/>
    <cellStyle name="20% - Accent5 2 8 4" xfId="664" xr:uid="{00000000-0005-0000-0000-0000C2030000}"/>
    <cellStyle name="20% - Accent5 2 8 4 2" xfId="665" xr:uid="{00000000-0005-0000-0000-0000C3030000}"/>
    <cellStyle name="20% - Accent5 2 8 4 2 2" xfId="666" xr:uid="{00000000-0005-0000-0000-0000C4030000}"/>
    <cellStyle name="20% - Accent5 2 8 4 2 2 2" xfId="24200" xr:uid="{00000000-0005-0000-0000-0000C5030000}"/>
    <cellStyle name="20% - Accent5 2 8 4 2 3" xfId="24199" xr:uid="{00000000-0005-0000-0000-0000C6030000}"/>
    <cellStyle name="20% - Accent5 2 8 4 3" xfId="667" xr:uid="{00000000-0005-0000-0000-0000C7030000}"/>
    <cellStyle name="20% - Accent5 2 8 4 3 2" xfId="24201" xr:uid="{00000000-0005-0000-0000-0000C8030000}"/>
    <cellStyle name="20% - Accent5 2 8 4 4" xfId="24198" xr:uid="{00000000-0005-0000-0000-0000C9030000}"/>
    <cellStyle name="20% - Accent5 2 8 5" xfId="668" xr:uid="{00000000-0005-0000-0000-0000CA030000}"/>
    <cellStyle name="20% - Accent5 2 8 5 2" xfId="669" xr:uid="{00000000-0005-0000-0000-0000CB030000}"/>
    <cellStyle name="20% - Accent5 2 8 5 2 2" xfId="24203" xr:uid="{00000000-0005-0000-0000-0000CC030000}"/>
    <cellStyle name="20% - Accent5 2 8 5 3" xfId="24202" xr:uid="{00000000-0005-0000-0000-0000CD030000}"/>
    <cellStyle name="20% - Accent5 2 8 6" xfId="670" xr:uid="{00000000-0005-0000-0000-0000CE030000}"/>
    <cellStyle name="20% - Accent5 2 8 6 2" xfId="24204" xr:uid="{00000000-0005-0000-0000-0000CF030000}"/>
    <cellStyle name="20% - Accent5 2 8 7" xfId="24181" xr:uid="{00000000-0005-0000-0000-0000D0030000}"/>
    <cellStyle name="20% - Accent5 2 9" xfId="671" xr:uid="{00000000-0005-0000-0000-0000D1030000}"/>
    <cellStyle name="20% - Accent5 2 9 2" xfId="672" xr:uid="{00000000-0005-0000-0000-0000D2030000}"/>
    <cellStyle name="20% - Accent5 2 9 2 2" xfId="673" xr:uid="{00000000-0005-0000-0000-0000D3030000}"/>
    <cellStyle name="20% - Accent5 2 9 2 2 2" xfId="674" xr:uid="{00000000-0005-0000-0000-0000D4030000}"/>
    <cellStyle name="20% - Accent5 2 9 2 2 2 2" xfId="675" xr:uid="{00000000-0005-0000-0000-0000D5030000}"/>
    <cellStyle name="20% - Accent5 2 9 2 2 2 2 2" xfId="24209" xr:uid="{00000000-0005-0000-0000-0000D6030000}"/>
    <cellStyle name="20% - Accent5 2 9 2 2 2 3" xfId="24208" xr:uid="{00000000-0005-0000-0000-0000D7030000}"/>
    <cellStyle name="20% - Accent5 2 9 2 2 3" xfId="676" xr:uid="{00000000-0005-0000-0000-0000D8030000}"/>
    <cellStyle name="20% - Accent5 2 9 2 2 3 2" xfId="24210" xr:uid="{00000000-0005-0000-0000-0000D9030000}"/>
    <cellStyle name="20% - Accent5 2 9 2 2 4" xfId="24207" xr:uid="{00000000-0005-0000-0000-0000DA030000}"/>
    <cellStyle name="20% - Accent5 2 9 2 3" xfId="677" xr:uid="{00000000-0005-0000-0000-0000DB030000}"/>
    <cellStyle name="20% - Accent5 2 9 2 3 2" xfId="678" xr:uid="{00000000-0005-0000-0000-0000DC030000}"/>
    <cellStyle name="20% - Accent5 2 9 2 3 2 2" xfId="24212" xr:uid="{00000000-0005-0000-0000-0000DD030000}"/>
    <cellStyle name="20% - Accent5 2 9 2 3 3" xfId="24211" xr:uid="{00000000-0005-0000-0000-0000DE030000}"/>
    <cellStyle name="20% - Accent5 2 9 2 4" xfId="679" xr:uid="{00000000-0005-0000-0000-0000DF030000}"/>
    <cellStyle name="20% - Accent5 2 9 2 4 2" xfId="24213" xr:uid="{00000000-0005-0000-0000-0000E0030000}"/>
    <cellStyle name="20% - Accent5 2 9 2 5" xfId="24206" xr:uid="{00000000-0005-0000-0000-0000E1030000}"/>
    <cellStyle name="20% - Accent5 2 9 3" xfId="680" xr:uid="{00000000-0005-0000-0000-0000E2030000}"/>
    <cellStyle name="20% - Accent5 2 9 3 2" xfId="681" xr:uid="{00000000-0005-0000-0000-0000E3030000}"/>
    <cellStyle name="20% - Accent5 2 9 3 2 2" xfId="682" xr:uid="{00000000-0005-0000-0000-0000E4030000}"/>
    <cellStyle name="20% - Accent5 2 9 3 2 2 2" xfId="683" xr:uid="{00000000-0005-0000-0000-0000E5030000}"/>
    <cellStyle name="20% - Accent5 2 9 3 2 2 2 2" xfId="24217" xr:uid="{00000000-0005-0000-0000-0000E6030000}"/>
    <cellStyle name="20% - Accent5 2 9 3 2 2 3" xfId="24216" xr:uid="{00000000-0005-0000-0000-0000E7030000}"/>
    <cellStyle name="20% - Accent5 2 9 3 2 3" xfId="684" xr:uid="{00000000-0005-0000-0000-0000E8030000}"/>
    <cellStyle name="20% - Accent5 2 9 3 2 3 2" xfId="24218" xr:uid="{00000000-0005-0000-0000-0000E9030000}"/>
    <cellStyle name="20% - Accent5 2 9 3 2 4" xfId="24215" xr:uid="{00000000-0005-0000-0000-0000EA030000}"/>
    <cellStyle name="20% - Accent5 2 9 3 3" xfId="685" xr:uid="{00000000-0005-0000-0000-0000EB030000}"/>
    <cellStyle name="20% - Accent5 2 9 3 3 2" xfId="686" xr:uid="{00000000-0005-0000-0000-0000EC030000}"/>
    <cellStyle name="20% - Accent5 2 9 3 3 2 2" xfId="24220" xr:uid="{00000000-0005-0000-0000-0000ED030000}"/>
    <cellStyle name="20% - Accent5 2 9 3 3 3" xfId="24219" xr:uid="{00000000-0005-0000-0000-0000EE030000}"/>
    <cellStyle name="20% - Accent5 2 9 3 4" xfId="687" xr:uid="{00000000-0005-0000-0000-0000EF030000}"/>
    <cellStyle name="20% - Accent5 2 9 3 4 2" xfId="24221" xr:uid="{00000000-0005-0000-0000-0000F0030000}"/>
    <cellStyle name="20% - Accent5 2 9 3 5" xfId="24214" xr:uid="{00000000-0005-0000-0000-0000F1030000}"/>
    <cellStyle name="20% - Accent5 2 9 4" xfId="688" xr:uid="{00000000-0005-0000-0000-0000F2030000}"/>
    <cellStyle name="20% - Accent5 2 9 4 2" xfId="689" xr:uid="{00000000-0005-0000-0000-0000F3030000}"/>
    <cellStyle name="20% - Accent5 2 9 4 2 2" xfId="690" xr:uid="{00000000-0005-0000-0000-0000F4030000}"/>
    <cellStyle name="20% - Accent5 2 9 4 2 2 2" xfId="24224" xr:uid="{00000000-0005-0000-0000-0000F5030000}"/>
    <cellStyle name="20% - Accent5 2 9 4 2 3" xfId="24223" xr:uid="{00000000-0005-0000-0000-0000F6030000}"/>
    <cellStyle name="20% - Accent5 2 9 4 3" xfId="691" xr:uid="{00000000-0005-0000-0000-0000F7030000}"/>
    <cellStyle name="20% - Accent5 2 9 4 3 2" xfId="24225" xr:uid="{00000000-0005-0000-0000-0000F8030000}"/>
    <cellStyle name="20% - Accent5 2 9 4 4" xfId="24222" xr:uid="{00000000-0005-0000-0000-0000F9030000}"/>
    <cellStyle name="20% - Accent5 2 9 5" xfId="692" xr:uid="{00000000-0005-0000-0000-0000FA030000}"/>
    <cellStyle name="20% - Accent5 2 9 5 2" xfId="693" xr:uid="{00000000-0005-0000-0000-0000FB030000}"/>
    <cellStyle name="20% - Accent5 2 9 5 2 2" xfId="24227" xr:uid="{00000000-0005-0000-0000-0000FC030000}"/>
    <cellStyle name="20% - Accent5 2 9 5 3" xfId="24226" xr:uid="{00000000-0005-0000-0000-0000FD030000}"/>
    <cellStyle name="20% - Accent5 2 9 6" xfId="694" xr:uid="{00000000-0005-0000-0000-0000FE030000}"/>
    <cellStyle name="20% - Accent5 2 9 6 2" xfId="24228" xr:uid="{00000000-0005-0000-0000-0000FF030000}"/>
    <cellStyle name="20% - Accent5 2 9 7" xfId="24205" xr:uid="{00000000-0005-0000-0000-000000040000}"/>
    <cellStyle name="20% - Accent5 3" xfId="695" xr:uid="{00000000-0005-0000-0000-000001040000}"/>
    <cellStyle name="20% - Accent5 3 10" xfId="696" xr:uid="{00000000-0005-0000-0000-000002040000}"/>
    <cellStyle name="20% - Accent5 3 10 2" xfId="24230" xr:uid="{00000000-0005-0000-0000-000003040000}"/>
    <cellStyle name="20% - Accent5 3 11" xfId="18046" xr:uid="{00000000-0005-0000-0000-000004040000}"/>
    <cellStyle name="20% - Accent5 3 12" xfId="24229" xr:uid="{00000000-0005-0000-0000-000005040000}"/>
    <cellStyle name="20% - Accent5 3 2" xfId="697" xr:uid="{00000000-0005-0000-0000-000006040000}"/>
    <cellStyle name="20% - Accent5 3 2 2" xfId="698" xr:uid="{00000000-0005-0000-0000-000007040000}"/>
    <cellStyle name="20% - Accent5 3 2 2 2" xfId="699" xr:uid="{00000000-0005-0000-0000-000008040000}"/>
    <cellStyle name="20% - Accent5 3 2 2 2 2" xfId="700" xr:uid="{00000000-0005-0000-0000-000009040000}"/>
    <cellStyle name="20% - Accent5 3 2 2 2 2 2" xfId="701" xr:uid="{00000000-0005-0000-0000-00000A040000}"/>
    <cellStyle name="20% - Accent5 3 2 2 2 2 2 2" xfId="24235" xr:uid="{00000000-0005-0000-0000-00000B040000}"/>
    <cellStyle name="20% - Accent5 3 2 2 2 2 3" xfId="24234" xr:uid="{00000000-0005-0000-0000-00000C040000}"/>
    <cellStyle name="20% - Accent5 3 2 2 2 3" xfId="702" xr:uid="{00000000-0005-0000-0000-00000D040000}"/>
    <cellStyle name="20% - Accent5 3 2 2 2 3 2" xfId="24236" xr:uid="{00000000-0005-0000-0000-00000E040000}"/>
    <cellStyle name="20% - Accent5 3 2 2 2 4" xfId="24233" xr:uid="{00000000-0005-0000-0000-00000F040000}"/>
    <cellStyle name="20% - Accent5 3 2 2 3" xfId="703" xr:uid="{00000000-0005-0000-0000-000010040000}"/>
    <cellStyle name="20% - Accent5 3 2 2 3 2" xfId="704" xr:uid="{00000000-0005-0000-0000-000011040000}"/>
    <cellStyle name="20% - Accent5 3 2 2 3 2 2" xfId="24238" xr:uid="{00000000-0005-0000-0000-000012040000}"/>
    <cellStyle name="20% - Accent5 3 2 2 3 3" xfId="24237" xr:uid="{00000000-0005-0000-0000-000013040000}"/>
    <cellStyle name="20% - Accent5 3 2 2 4" xfId="705" xr:uid="{00000000-0005-0000-0000-000014040000}"/>
    <cellStyle name="20% - Accent5 3 2 2 4 2" xfId="24239" xr:uid="{00000000-0005-0000-0000-000015040000}"/>
    <cellStyle name="20% - Accent5 3 2 2 5" xfId="24232" xr:uid="{00000000-0005-0000-0000-000016040000}"/>
    <cellStyle name="20% - Accent5 3 2 3" xfId="706" xr:uid="{00000000-0005-0000-0000-000017040000}"/>
    <cellStyle name="20% - Accent5 3 2 3 2" xfId="707" xr:uid="{00000000-0005-0000-0000-000018040000}"/>
    <cellStyle name="20% - Accent5 3 2 3 2 2" xfId="708" xr:uid="{00000000-0005-0000-0000-000019040000}"/>
    <cellStyle name="20% - Accent5 3 2 3 2 2 2" xfId="709" xr:uid="{00000000-0005-0000-0000-00001A040000}"/>
    <cellStyle name="20% - Accent5 3 2 3 2 2 2 2" xfId="24243" xr:uid="{00000000-0005-0000-0000-00001B040000}"/>
    <cellStyle name="20% - Accent5 3 2 3 2 2 3" xfId="24242" xr:uid="{00000000-0005-0000-0000-00001C040000}"/>
    <cellStyle name="20% - Accent5 3 2 3 2 3" xfId="710" xr:uid="{00000000-0005-0000-0000-00001D040000}"/>
    <cellStyle name="20% - Accent5 3 2 3 2 3 2" xfId="24244" xr:uid="{00000000-0005-0000-0000-00001E040000}"/>
    <cellStyle name="20% - Accent5 3 2 3 2 4" xfId="24241" xr:uid="{00000000-0005-0000-0000-00001F040000}"/>
    <cellStyle name="20% - Accent5 3 2 3 3" xfId="711" xr:uid="{00000000-0005-0000-0000-000020040000}"/>
    <cellStyle name="20% - Accent5 3 2 3 3 2" xfId="712" xr:uid="{00000000-0005-0000-0000-000021040000}"/>
    <cellStyle name="20% - Accent5 3 2 3 3 2 2" xfId="24246" xr:uid="{00000000-0005-0000-0000-000022040000}"/>
    <cellStyle name="20% - Accent5 3 2 3 3 3" xfId="24245" xr:uid="{00000000-0005-0000-0000-000023040000}"/>
    <cellStyle name="20% - Accent5 3 2 3 4" xfId="713" xr:uid="{00000000-0005-0000-0000-000024040000}"/>
    <cellStyle name="20% - Accent5 3 2 3 4 2" xfId="24247" xr:uid="{00000000-0005-0000-0000-000025040000}"/>
    <cellStyle name="20% - Accent5 3 2 3 5" xfId="24240" xr:uid="{00000000-0005-0000-0000-000026040000}"/>
    <cellStyle name="20% - Accent5 3 2 4" xfId="714" xr:uid="{00000000-0005-0000-0000-000027040000}"/>
    <cellStyle name="20% - Accent5 3 2 4 2" xfId="715" xr:uid="{00000000-0005-0000-0000-000028040000}"/>
    <cellStyle name="20% - Accent5 3 2 4 2 2" xfId="716" xr:uid="{00000000-0005-0000-0000-000029040000}"/>
    <cellStyle name="20% - Accent5 3 2 4 2 2 2" xfId="24250" xr:uid="{00000000-0005-0000-0000-00002A040000}"/>
    <cellStyle name="20% - Accent5 3 2 4 2 3" xfId="24249" xr:uid="{00000000-0005-0000-0000-00002B040000}"/>
    <cellStyle name="20% - Accent5 3 2 4 3" xfId="717" xr:uid="{00000000-0005-0000-0000-00002C040000}"/>
    <cellStyle name="20% - Accent5 3 2 4 3 2" xfId="24251" xr:uid="{00000000-0005-0000-0000-00002D040000}"/>
    <cellStyle name="20% - Accent5 3 2 4 4" xfId="24248" xr:uid="{00000000-0005-0000-0000-00002E040000}"/>
    <cellStyle name="20% - Accent5 3 2 5" xfId="718" xr:uid="{00000000-0005-0000-0000-00002F040000}"/>
    <cellStyle name="20% - Accent5 3 2 5 2" xfId="719" xr:uid="{00000000-0005-0000-0000-000030040000}"/>
    <cellStyle name="20% - Accent5 3 2 5 2 2" xfId="24253" xr:uid="{00000000-0005-0000-0000-000031040000}"/>
    <cellStyle name="20% - Accent5 3 2 5 3" xfId="24252" xr:uid="{00000000-0005-0000-0000-000032040000}"/>
    <cellStyle name="20% - Accent5 3 2 6" xfId="720" xr:uid="{00000000-0005-0000-0000-000033040000}"/>
    <cellStyle name="20% - Accent5 3 2 6 2" xfId="24254" xr:uid="{00000000-0005-0000-0000-000034040000}"/>
    <cellStyle name="20% - Accent5 3 2 7" xfId="24231" xr:uid="{00000000-0005-0000-0000-000035040000}"/>
    <cellStyle name="20% - Accent5 3 3" xfId="721" xr:uid="{00000000-0005-0000-0000-000036040000}"/>
    <cellStyle name="20% - Accent5 3 3 2" xfId="722" xr:uid="{00000000-0005-0000-0000-000037040000}"/>
    <cellStyle name="20% - Accent5 3 3 2 2" xfId="723" xr:uid="{00000000-0005-0000-0000-000038040000}"/>
    <cellStyle name="20% - Accent5 3 3 2 2 2" xfId="724" xr:uid="{00000000-0005-0000-0000-000039040000}"/>
    <cellStyle name="20% - Accent5 3 3 2 2 2 2" xfId="725" xr:uid="{00000000-0005-0000-0000-00003A040000}"/>
    <cellStyle name="20% - Accent5 3 3 2 2 2 2 2" xfId="24259" xr:uid="{00000000-0005-0000-0000-00003B040000}"/>
    <cellStyle name="20% - Accent5 3 3 2 2 2 3" xfId="24258" xr:uid="{00000000-0005-0000-0000-00003C040000}"/>
    <cellStyle name="20% - Accent5 3 3 2 2 3" xfId="726" xr:uid="{00000000-0005-0000-0000-00003D040000}"/>
    <cellStyle name="20% - Accent5 3 3 2 2 3 2" xfId="24260" xr:uid="{00000000-0005-0000-0000-00003E040000}"/>
    <cellStyle name="20% - Accent5 3 3 2 2 4" xfId="24257" xr:uid="{00000000-0005-0000-0000-00003F040000}"/>
    <cellStyle name="20% - Accent5 3 3 2 3" xfId="727" xr:uid="{00000000-0005-0000-0000-000040040000}"/>
    <cellStyle name="20% - Accent5 3 3 2 3 2" xfId="728" xr:uid="{00000000-0005-0000-0000-000041040000}"/>
    <cellStyle name="20% - Accent5 3 3 2 3 2 2" xfId="24262" xr:uid="{00000000-0005-0000-0000-000042040000}"/>
    <cellStyle name="20% - Accent5 3 3 2 3 3" xfId="24261" xr:uid="{00000000-0005-0000-0000-000043040000}"/>
    <cellStyle name="20% - Accent5 3 3 2 4" xfId="729" xr:uid="{00000000-0005-0000-0000-000044040000}"/>
    <cellStyle name="20% - Accent5 3 3 2 4 2" xfId="24263" xr:uid="{00000000-0005-0000-0000-000045040000}"/>
    <cellStyle name="20% - Accent5 3 3 2 5" xfId="24256" xr:uid="{00000000-0005-0000-0000-000046040000}"/>
    <cellStyle name="20% - Accent5 3 3 3" xfId="730" xr:uid="{00000000-0005-0000-0000-000047040000}"/>
    <cellStyle name="20% - Accent5 3 3 3 2" xfId="731" xr:uid="{00000000-0005-0000-0000-000048040000}"/>
    <cellStyle name="20% - Accent5 3 3 3 2 2" xfId="732" xr:uid="{00000000-0005-0000-0000-000049040000}"/>
    <cellStyle name="20% - Accent5 3 3 3 2 2 2" xfId="733" xr:uid="{00000000-0005-0000-0000-00004A040000}"/>
    <cellStyle name="20% - Accent5 3 3 3 2 2 2 2" xfId="24267" xr:uid="{00000000-0005-0000-0000-00004B040000}"/>
    <cellStyle name="20% - Accent5 3 3 3 2 2 3" xfId="24266" xr:uid="{00000000-0005-0000-0000-00004C040000}"/>
    <cellStyle name="20% - Accent5 3 3 3 2 3" xfId="734" xr:uid="{00000000-0005-0000-0000-00004D040000}"/>
    <cellStyle name="20% - Accent5 3 3 3 2 3 2" xfId="24268" xr:uid="{00000000-0005-0000-0000-00004E040000}"/>
    <cellStyle name="20% - Accent5 3 3 3 2 4" xfId="24265" xr:uid="{00000000-0005-0000-0000-00004F040000}"/>
    <cellStyle name="20% - Accent5 3 3 3 3" xfId="735" xr:uid="{00000000-0005-0000-0000-000050040000}"/>
    <cellStyle name="20% - Accent5 3 3 3 3 2" xfId="736" xr:uid="{00000000-0005-0000-0000-000051040000}"/>
    <cellStyle name="20% - Accent5 3 3 3 3 2 2" xfId="24270" xr:uid="{00000000-0005-0000-0000-000052040000}"/>
    <cellStyle name="20% - Accent5 3 3 3 3 3" xfId="24269" xr:uid="{00000000-0005-0000-0000-000053040000}"/>
    <cellStyle name="20% - Accent5 3 3 3 4" xfId="737" xr:uid="{00000000-0005-0000-0000-000054040000}"/>
    <cellStyle name="20% - Accent5 3 3 3 4 2" xfId="24271" xr:uid="{00000000-0005-0000-0000-000055040000}"/>
    <cellStyle name="20% - Accent5 3 3 3 5" xfId="24264" xr:uid="{00000000-0005-0000-0000-000056040000}"/>
    <cellStyle name="20% - Accent5 3 3 4" xfId="738" xr:uid="{00000000-0005-0000-0000-000057040000}"/>
    <cellStyle name="20% - Accent5 3 3 4 2" xfId="739" xr:uid="{00000000-0005-0000-0000-000058040000}"/>
    <cellStyle name="20% - Accent5 3 3 4 2 2" xfId="740" xr:uid="{00000000-0005-0000-0000-000059040000}"/>
    <cellStyle name="20% - Accent5 3 3 4 2 2 2" xfId="24274" xr:uid="{00000000-0005-0000-0000-00005A040000}"/>
    <cellStyle name="20% - Accent5 3 3 4 2 3" xfId="24273" xr:uid="{00000000-0005-0000-0000-00005B040000}"/>
    <cellStyle name="20% - Accent5 3 3 4 3" xfId="741" xr:uid="{00000000-0005-0000-0000-00005C040000}"/>
    <cellStyle name="20% - Accent5 3 3 4 3 2" xfId="24275" xr:uid="{00000000-0005-0000-0000-00005D040000}"/>
    <cellStyle name="20% - Accent5 3 3 4 4" xfId="24272" xr:uid="{00000000-0005-0000-0000-00005E040000}"/>
    <cellStyle name="20% - Accent5 3 3 5" xfId="742" xr:uid="{00000000-0005-0000-0000-00005F040000}"/>
    <cellStyle name="20% - Accent5 3 3 5 2" xfId="743" xr:uid="{00000000-0005-0000-0000-000060040000}"/>
    <cellStyle name="20% - Accent5 3 3 5 2 2" xfId="24277" xr:uid="{00000000-0005-0000-0000-000061040000}"/>
    <cellStyle name="20% - Accent5 3 3 5 3" xfId="24276" xr:uid="{00000000-0005-0000-0000-000062040000}"/>
    <cellStyle name="20% - Accent5 3 3 6" xfId="744" xr:uid="{00000000-0005-0000-0000-000063040000}"/>
    <cellStyle name="20% - Accent5 3 3 6 2" xfId="24278" xr:uid="{00000000-0005-0000-0000-000064040000}"/>
    <cellStyle name="20% - Accent5 3 3 7" xfId="24255" xr:uid="{00000000-0005-0000-0000-000065040000}"/>
    <cellStyle name="20% - Accent5 3 4" xfId="745" xr:uid="{00000000-0005-0000-0000-000066040000}"/>
    <cellStyle name="20% - Accent5 3 4 2" xfId="746" xr:uid="{00000000-0005-0000-0000-000067040000}"/>
    <cellStyle name="20% - Accent5 3 4 2 2" xfId="747" xr:uid="{00000000-0005-0000-0000-000068040000}"/>
    <cellStyle name="20% - Accent5 3 4 2 2 2" xfId="748" xr:uid="{00000000-0005-0000-0000-000069040000}"/>
    <cellStyle name="20% - Accent5 3 4 2 2 2 2" xfId="749" xr:uid="{00000000-0005-0000-0000-00006A040000}"/>
    <cellStyle name="20% - Accent5 3 4 2 2 2 2 2" xfId="24283" xr:uid="{00000000-0005-0000-0000-00006B040000}"/>
    <cellStyle name="20% - Accent5 3 4 2 2 2 3" xfId="24282" xr:uid="{00000000-0005-0000-0000-00006C040000}"/>
    <cellStyle name="20% - Accent5 3 4 2 2 3" xfId="750" xr:uid="{00000000-0005-0000-0000-00006D040000}"/>
    <cellStyle name="20% - Accent5 3 4 2 2 3 2" xfId="24284" xr:uid="{00000000-0005-0000-0000-00006E040000}"/>
    <cellStyle name="20% - Accent5 3 4 2 2 4" xfId="24281" xr:uid="{00000000-0005-0000-0000-00006F040000}"/>
    <cellStyle name="20% - Accent5 3 4 2 3" xfId="751" xr:uid="{00000000-0005-0000-0000-000070040000}"/>
    <cellStyle name="20% - Accent5 3 4 2 3 2" xfId="752" xr:uid="{00000000-0005-0000-0000-000071040000}"/>
    <cellStyle name="20% - Accent5 3 4 2 3 2 2" xfId="24286" xr:uid="{00000000-0005-0000-0000-000072040000}"/>
    <cellStyle name="20% - Accent5 3 4 2 3 3" xfId="24285" xr:uid="{00000000-0005-0000-0000-000073040000}"/>
    <cellStyle name="20% - Accent5 3 4 2 4" xfId="753" xr:uid="{00000000-0005-0000-0000-000074040000}"/>
    <cellStyle name="20% - Accent5 3 4 2 4 2" xfId="24287" xr:uid="{00000000-0005-0000-0000-000075040000}"/>
    <cellStyle name="20% - Accent5 3 4 2 5" xfId="24280" xr:uid="{00000000-0005-0000-0000-000076040000}"/>
    <cellStyle name="20% - Accent5 3 4 3" xfId="754" xr:uid="{00000000-0005-0000-0000-000077040000}"/>
    <cellStyle name="20% - Accent5 3 4 3 2" xfId="755" xr:uid="{00000000-0005-0000-0000-000078040000}"/>
    <cellStyle name="20% - Accent5 3 4 3 2 2" xfId="756" xr:uid="{00000000-0005-0000-0000-000079040000}"/>
    <cellStyle name="20% - Accent5 3 4 3 2 2 2" xfId="757" xr:uid="{00000000-0005-0000-0000-00007A040000}"/>
    <cellStyle name="20% - Accent5 3 4 3 2 2 2 2" xfId="24291" xr:uid="{00000000-0005-0000-0000-00007B040000}"/>
    <cellStyle name="20% - Accent5 3 4 3 2 2 3" xfId="24290" xr:uid="{00000000-0005-0000-0000-00007C040000}"/>
    <cellStyle name="20% - Accent5 3 4 3 2 3" xfId="758" xr:uid="{00000000-0005-0000-0000-00007D040000}"/>
    <cellStyle name="20% - Accent5 3 4 3 2 3 2" xfId="24292" xr:uid="{00000000-0005-0000-0000-00007E040000}"/>
    <cellStyle name="20% - Accent5 3 4 3 2 4" xfId="24289" xr:uid="{00000000-0005-0000-0000-00007F040000}"/>
    <cellStyle name="20% - Accent5 3 4 3 3" xfId="759" xr:uid="{00000000-0005-0000-0000-000080040000}"/>
    <cellStyle name="20% - Accent5 3 4 3 3 2" xfId="760" xr:uid="{00000000-0005-0000-0000-000081040000}"/>
    <cellStyle name="20% - Accent5 3 4 3 3 2 2" xfId="24294" xr:uid="{00000000-0005-0000-0000-000082040000}"/>
    <cellStyle name="20% - Accent5 3 4 3 3 3" xfId="24293" xr:uid="{00000000-0005-0000-0000-000083040000}"/>
    <cellStyle name="20% - Accent5 3 4 3 4" xfId="761" xr:uid="{00000000-0005-0000-0000-000084040000}"/>
    <cellStyle name="20% - Accent5 3 4 3 4 2" xfId="24295" xr:uid="{00000000-0005-0000-0000-000085040000}"/>
    <cellStyle name="20% - Accent5 3 4 3 5" xfId="24288" xr:uid="{00000000-0005-0000-0000-000086040000}"/>
    <cellStyle name="20% - Accent5 3 4 4" xfId="762" xr:uid="{00000000-0005-0000-0000-000087040000}"/>
    <cellStyle name="20% - Accent5 3 4 4 2" xfId="763" xr:uid="{00000000-0005-0000-0000-000088040000}"/>
    <cellStyle name="20% - Accent5 3 4 4 2 2" xfId="764" xr:uid="{00000000-0005-0000-0000-000089040000}"/>
    <cellStyle name="20% - Accent5 3 4 4 2 2 2" xfId="24298" xr:uid="{00000000-0005-0000-0000-00008A040000}"/>
    <cellStyle name="20% - Accent5 3 4 4 2 3" xfId="24297" xr:uid="{00000000-0005-0000-0000-00008B040000}"/>
    <cellStyle name="20% - Accent5 3 4 4 3" xfId="765" xr:uid="{00000000-0005-0000-0000-00008C040000}"/>
    <cellStyle name="20% - Accent5 3 4 4 3 2" xfId="24299" xr:uid="{00000000-0005-0000-0000-00008D040000}"/>
    <cellStyle name="20% - Accent5 3 4 4 4" xfId="24296" xr:uid="{00000000-0005-0000-0000-00008E040000}"/>
    <cellStyle name="20% - Accent5 3 4 5" xfId="766" xr:uid="{00000000-0005-0000-0000-00008F040000}"/>
    <cellStyle name="20% - Accent5 3 4 5 2" xfId="767" xr:uid="{00000000-0005-0000-0000-000090040000}"/>
    <cellStyle name="20% - Accent5 3 4 5 2 2" xfId="24301" xr:uid="{00000000-0005-0000-0000-000091040000}"/>
    <cellStyle name="20% - Accent5 3 4 5 3" xfId="24300" xr:uid="{00000000-0005-0000-0000-000092040000}"/>
    <cellStyle name="20% - Accent5 3 4 6" xfId="768" xr:uid="{00000000-0005-0000-0000-000093040000}"/>
    <cellStyle name="20% - Accent5 3 4 6 2" xfId="24302" xr:uid="{00000000-0005-0000-0000-000094040000}"/>
    <cellStyle name="20% - Accent5 3 4 7" xfId="24279" xr:uid="{00000000-0005-0000-0000-000095040000}"/>
    <cellStyle name="20% - Accent5 3 5" xfId="769" xr:uid="{00000000-0005-0000-0000-000096040000}"/>
    <cellStyle name="20% - Accent5 3 5 2" xfId="770" xr:uid="{00000000-0005-0000-0000-000097040000}"/>
    <cellStyle name="20% - Accent5 3 5 2 2" xfId="771" xr:uid="{00000000-0005-0000-0000-000098040000}"/>
    <cellStyle name="20% - Accent5 3 5 2 2 2" xfId="772" xr:uid="{00000000-0005-0000-0000-000099040000}"/>
    <cellStyle name="20% - Accent5 3 5 2 2 2 2" xfId="773" xr:uid="{00000000-0005-0000-0000-00009A040000}"/>
    <cellStyle name="20% - Accent5 3 5 2 2 2 2 2" xfId="24307" xr:uid="{00000000-0005-0000-0000-00009B040000}"/>
    <cellStyle name="20% - Accent5 3 5 2 2 2 3" xfId="24306" xr:uid="{00000000-0005-0000-0000-00009C040000}"/>
    <cellStyle name="20% - Accent5 3 5 2 2 3" xfId="774" xr:uid="{00000000-0005-0000-0000-00009D040000}"/>
    <cellStyle name="20% - Accent5 3 5 2 2 3 2" xfId="24308" xr:uid="{00000000-0005-0000-0000-00009E040000}"/>
    <cellStyle name="20% - Accent5 3 5 2 2 4" xfId="24305" xr:uid="{00000000-0005-0000-0000-00009F040000}"/>
    <cellStyle name="20% - Accent5 3 5 2 3" xfId="775" xr:uid="{00000000-0005-0000-0000-0000A0040000}"/>
    <cellStyle name="20% - Accent5 3 5 2 3 2" xfId="776" xr:uid="{00000000-0005-0000-0000-0000A1040000}"/>
    <cellStyle name="20% - Accent5 3 5 2 3 2 2" xfId="24310" xr:uid="{00000000-0005-0000-0000-0000A2040000}"/>
    <cellStyle name="20% - Accent5 3 5 2 3 3" xfId="24309" xr:uid="{00000000-0005-0000-0000-0000A3040000}"/>
    <cellStyle name="20% - Accent5 3 5 2 4" xfId="777" xr:uid="{00000000-0005-0000-0000-0000A4040000}"/>
    <cellStyle name="20% - Accent5 3 5 2 4 2" xfId="24311" xr:uid="{00000000-0005-0000-0000-0000A5040000}"/>
    <cellStyle name="20% - Accent5 3 5 2 5" xfId="24304" xr:uid="{00000000-0005-0000-0000-0000A6040000}"/>
    <cellStyle name="20% - Accent5 3 5 3" xfId="778" xr:uid="{00000000-0005-0000-0000-0000A7040000}"/>
    <cellStyle name="20% - Accent5 3 5 3 2" xfId="779" xr:uid="{00000000-0005-0000-0000-0000A8040000}"/>
    <cellStyle name="20% - Accent5 3 5 3 2 2" xfId="780" xr:uid="{00000000-0005-0000-0000-0000A9040000}"/>
    <cellStyle name="20% - Accent5 3 5 3 2 2 2" xfId="781" xr:uid="{00000000-0005-0000-0000-0000AA040000}"/>
    <cellStyle name="20% - Accent5 3 5 3 2 2 2 2" xfId="24315" xr:uid="{00000000-0005-0000-0000-0000AB040000}"/>
    <cellStyle name="20% - Accent5 3 5 3 2 2 3" xfId="24314" xr:uid="{00000000-0005-0000-0000-0000AC040000}"/>
    <cellStyle name="20% - Accent5 3 5 3 2 3" xfId="782" xr:uid="{00000000-0005-0000-0000-0000AD040000}"/>
    <cellStyle name="20% - Accent5 3 5 3 2 3 2" xfId="24316" xr:uid="{00000000-0005-0000-0000-0000AE040000}"/>
    <cellStyle name="20% - Accent5 3 5 3 2 4" xfId="24313" xr:uid="{00000000-0005-0000-0000-0000AF040000}"/>
    <cellStyle name="20% - Accent5 3 5 3 3" xfId="783" xr:uid="{00000000-0005-0000-0000-0000B0040000}"/>
    <cellStyle name="20% - Accent5 3 5 3 3 2" xfId="784" xr:uid="{00000000-0005-0000-0000-0000B1040000}"/>
    <cellStyle name="20% - Accent5 3 5 3 3 2 2" xfId="24318" xr:uid="{00000000-0005-0000-0000-0000B2040000}"/>
    <cellStyle name="20% - Accent5 3 5 3 3 3" xfId="24317" xr:uid="{00000000-0005-0000-0000-0000B3040000}"/>
    <cellStyle name="20% - Accent5 3 5 3 4" xfId="785" xr:uid="{00000000-0005-0000-0000-0000B4040000}"/>
    <cellStyle name="20% - Accent5 3 5 3 4 2" xfId="24319" xr:uid="{00000000-0005-0000-0000-0000B5040000}"/>
    <cellStyle name="20% - Accent5 3 5 3 5" xfId="24312" xr:uid="{00000000-0005-0000-0000-0000B6040000}"/>
    <cellStyle name="20% - Accent5 3 5 4" xfId="786" xr:uid="{00000000-0005-0000-0000-0000B7040000}"/>
    <cellStyle name="20% - Accent5 3 5 4 2" xfId="787" xr:uid="{00000000-0005-0000-0000-0000B8040000}"/>
    <cellStyle name="20% - Accent5 3 5 4 2 2" xfId="788" xr:uid="{00000000-0005-0000-0000-0000B9040000}"/>
    <cellStyle name="20% - Accent5 3 5 4 2 2 2" xfId="24322" xr:uid="{00000000-0005-0000-0000-0000BA040000}"/>
    <cellStyle name="20% - Accent5 3 5 4 2 3" xfId="24321" xr:uid="{00000000-0005-0000-0000-0000BB040000}"/>
    <cellStyle name="20% - Accent5 3 5 4 3" xfId="789" xr:uid="{00000000-0005-0000-0000-0000BC040000}"/>
    <cellStyle name="20% - Accent5 3 5 4 3 2" xfId="24323" xr:uid="{00000000-0005-0000-0000-0000BD040000}"/>
    <cellStyle name="20% - Accent5 3 5 4 4" xfId="24320" xr:uid="{00000000-0005-0000-0000-0000BE040000}"/>
    <cellStyle name="20% - Accent5 3 5 5" xfId="790" xr:uid="{00000000-0005-0000-0000-0000BF040000}"/>
    <cellStyle name="20% - Accent5 3 5 5 2" xfId="791" xr:uid="{00000000-0005-0000-0000-0000C0040000}"/>
    <cellStyle name="20% - Accent5 3 5 5 2 2" xfId="24325" xr:uid="{00000000-0005-0000-0000-0000C1040000}"/>
    <cellStyle name="20% - Accent5 3 5 5 3" xfId="24324" xr:uid="{00000000-0005-0000-0000-0000C2040000}"/>
    <cellStyle name="20% - Accent5 3 5 6" xfId="792" xr:uid="{00000000-0005-0000-0000-0000C3040000}"/>
    <cellStyle name="20% - Accent5 3 5 6 2" xfId="24326" xr:uid="{00000000-0005-0000-0000-0000C4040000}"/>
    <cellStyle name="20% - Accent5 3 5 7" xfId="24303" xr:uid="{00000000-0005-0000-0000-0000C5040000}"/>
    <cellStyle name="20% - Accent5 3 6" xfId="793" xr:uid="{00000000-0005-0000-0000-0000C6040000}"/>
    <cellStyle name="20% - Accent5 3 6 2" xfId="794" xr:uid="{00000000-0005-0000-0000-0000C7040000}"/>
    <cellStyle name="20% - Accent5 3 6 2 2" xfId="795" xr:uid="{00000000-0005-0000-0000-0000C8040000}"/>
    <cellStyle name="20% - Accent5 3 6 2 2 2" xfId="796" xr:uid="{00000000-0005-0000-0000-0000C9040000}"/>
    <cellStyle name="20% - Accent5 3 6 2 2 2 2" xfId="24330" xr:uid="{00000000-0005-0000-0000-0000CA040000}"/>
    <cellStyle name="20% - Accent5 3 6 2 2 3" xfId="24329" xr:uid="{00000000-0005-0000-0000-0000CB040000}"/>
    <cellStyle name="20% - Accent5 3 6 2 3" xfId="797" xr:uid="{00000000-0005-0000-0000-0000CC040000}"/>
    <cellStyle name="20% - Accent5 3 6 2 3 2" xfId="24331" xr:uid="{00000000-0005-0000-0000-0000CD040000}"/>
    <cellStyle name="20% - Accent5 3 6 2 4" xfId="24328" xr:uid="{00000000-0005-0000-0000-0000CE040000}"/>
    <cellStyle name="20% - Accent5 3 6 3" xfId="798" xr:uid="{00000000-0005-0000-0000-0000CF040000}"/>
    <cellStyle name="20% - Accent5 3 6 3 2" xfId="799" xr:uid="{00000000-0005-0000-0000-0000D0040000}"/>
    <cellStyle name="20% - Accent5 3 6 3 2 2" xfId="24333" xr:uid="{00000000-0005-0000-0000-0000D1040000}"/>
    <cellStyle name="20% - Accent5 3 6 3 3" xfId="24332" xr:uid="{00000000-0005-0000-0000-0000D2040000}"/>
    <cellStyle name="20% - Accent5 3 6 4" xfId="800" xr:uid="{00000000-0005-0000-0000-0000D3040000}"/>
    <cellStyle name="20% - Accent5 3 6 4 2" xfId="24334" xr:uid="{00000000-0005-0000-0000-0000D4040000}"/>
    <cellStyle name="20% - Accent5 3 6 5" xfId="24327" xr:uid="{00000000-0005-0000-0000-0000D5040000}"/>
    <cellStyle name="20% - Accent5 3 7" xfId="801" xr:uid="{00000000-0005-0000-0000-0000D6040000}"/>
    <cellStyle name="20% - Accent5 3 7 2" xfId="802" xr:uid="{00000000-0005-0000-0000-0000D7040000}"/>
    <cellStyle name="20% - Accent5 3 7 2 2" xfId="803" xr:uid="{00000000-0005-0000-0000-0000D8040000}"/>
    <cellStyle name="20% - Accent5 3 7 2 2 2" xfId="804" xr:uid="{00000000-0005-0000-0000-0000D9040000}"/>
    <cellStyle name="20% - Accent5 3 7 2 2 2 2" xfId="24338" xr:uid="{00000000-0005-0000-0000-0000DA040000}"/>
    <cellStyle name="20% - Accent5 3 7 2 2 3" xfId="24337" xr:uid="{00000000-0005-0000-0000-0000DB040000}"/>
    <cellStyle name="20% - Accent5 3 7 2 3" xfId="805" xr:uid="{00000000-0005-0000-0000-0000DC040000}"/>
    <cellStyle name="20% - Accent5 3 7 2 3 2" xfId="24339" xr:uid="{00000000-0005-0000-0000-0000DD040000}"/>
    <cellStyle name="20% - Accent5 3 7 2 4" xfId="24336" xr:uid="{00000000-0005-0000-0000-0000DE040000}"/>
    <cellStyle name="20% - Accent5 3 7 3" xfId="806" xr:uid="{00000000-0005-0000-0000-0000DF040000}"/>
    <cellStyle name="20% - Accent5 3 7 3 2" xfId="807" xr:uid="{00000000-0005-0000-0000-0000E0040000}"/>
    <cellStyle name="20% - Accent5 3 7 3 2 2" xfId="24341" xr:uid="{00000000-0005-0000-0000-0000E1040000}"/>
    <cellStyle name="20% - Accent5 3 7 3 3" xfId="24340" xr:uid="{00000000-0005-0000-0000-0000E2040000}"/>
    <cellStyle name="20% - Accent5 3 7 4" xfId="808" xr:uid="{00000000-0005-0000-0000-0000E3040000}"/>
    <cellStyle name="20% - Accent5 3 7 4 2" xfId="24342" xr:uid="{00000000-0005-0000-0000-0000E4040000}"/>
    <cellStyle name="20% - Accent5 3 7 5" xfId="24335" xr:uid="{00000000-0005-0000-0000-0000E5040000}"/>
    <cellStyle name="20% - Accent5 3 8" xfId="809" xr:uid="{00000000-0005-0000-0000-0000E6040000}"/>
    <cellStyle name="20% - Accent5 3 8 2" xfId="810" xr:uid="{00000000-0005-0000-0000-0000E7040000}"/>
    <cellStyle name="20% - Accent5 3 8 2 2" xfId="811" xr:uid="{00000000-0005-0000-0000-0000E8040000}"/>
    <cellStyle name="20% - Accent5 3 8 2 2 2" xfId="24345" xr:uid="{00000000-0005-0000-0000-0000E9040000}"/>
    <cellStyle name="20% - Accent5 3 8 2 3" xfId="24344" xr:uid="{00000000-0005-0000-0000-0000EA040000}"/>
    <cellStyle name="20% - Accent5 3 8 3" xfId="812" xr:uid="{00000000-0005-0000-0000-0000EB040000}"/>
    <cellStyle name="20% - Accent5 3 8 3 2" xfId="24346" xr:uid="{00000000-0005-0000-0000-0000EC040000}"/>
    <cellStyle name="20% - Accent5 3 8 4" xfId="24343" xr:uid="{00000000-0005-0000-0000-0000ED040000}"/>
    <cellStyle name="20% - Accent5 3 9" xfId="813" xr:uid="{00000000-0005-0000-0000-0000EE040000}"/>
    <cellStyle name="20% - Accent5 3 9 2" xfId="814" xr:uid="{00000000-0005-0000-0000-0000EF040000}"/>
    <cellStyle name="20% - Accent5 3 9 2 2" xfId="24348" xr:uid="{00000000-0005-0000-0000-0000F0040000}"/>
    <cellStyle name="20% - Accent5 3 9 3" xfId="24347" xr:uid="{00000000-0005-0000-0000-0000F1040000}"/>
    <cellStyle name="20% - Accent5 4" xfId="815" xr:uid="{00000000-0005-0000-0000-0000F2040000}"/>
    <cellStyle name="20% - Accent5 4 2" xfId="816" xr:uid="{00000000-0005-0000-0000-0000F3040000}"/>
    <cellStyle name="20% - Accent5 4 2 2" xfId="817" xr:uid="{00000000-0005-0000-0000-0000F4040000}"/>
    <cellStyle name="20% - Accent5 4 2 2 2" xfId="24351" xr:uid="{00000000-0005-0000-0000-0000F5040000}"/>
    <cellStyle name="20% - Accent5 4 2 3" xfId="24350" xr:uid="{00000000-0005-0000-0000-0000F6040000}"/>
    <cellStyle name="20% - Accent5 4 3" xfId="818" xr:uid="{00000000-0005-0000-0000-0000F7040000}"/>
    <cellStyle name="20% - Accent5 4 3 2" xfId="24352" xr:uid="{00000000-0005-0000-0000-0000F8040000}"/>
    <cellStyle name="20% - Accent5 4 4" xfId="24349" xr:uid="{00000000-0005-0000-0000-0000F9040000}"/>
    <cellStyle name="20% - Accent6 2" xfId="819" xr:uid="{00000000-0005-0000-0000-0000FA040000}"/>
    <cellStyle name="20% - Accent6 2 10" xfId="820" xr:uid="{00000000-0005-0000-0000-0000FB040000}"/>
    <cellStyle name="20% - Accent6 2 10 2" xfId="821" xr:uid="{00000000-0005-0000-0000-0000FC040000}"/>
    <cellStyle name="20% - Accent6 2 10 2 2" xfId="822" xr:uid="{00000000-0005-0000-0000-0000FD040000}"/>
    <cellStyle name="20% - Accent6 2 10 2 2 2" xfId="823" xr:uid="{00000000-0005-0000-0000-0000FE040000}"/>
    <cellStyle name="20% - Accent6 2 10 2 2 2 2" xfId="24357" xr:uid="{00000000-0005-0000-0000-0000FF040000}"/>
    <cellStyle name="20% - Accent6 2 10 2 2 3" xfId="24356" xr:uid="{00000000-0005-0000-0000-000000050000}"/>
    <cellStyle name="20% - Accent6 2 10 2 3" xfId="824" xr:uid="{00000000-0005-0000-0000-000001050000}"/>
    <cellStyle name="20% - Accent6 2 10 2 3 2" xfId="24358" xr:uid="{00000000-0005-0000-0000-000002050000}"/>
    <cellStyle name="20% - Accent6 2 10 2 4" xfId="24355" xr:uid="{00000000-0005-0000-0000-000003050000}"/>
    <cellStyle name="20% - Accent6 2 10 3" xfId="825" xr:uid="{00000000-0005-0000-0000-000004050000}"/>
    <cellStyle name="20% - Accent6 2 10 3 2" xfId="826" xr:uid="{00000000-0005-0000-0000-000005050000}"/>
    <cellStyle name="20% - Accent6 2 10 3 2 2" xfId="24360" xr:uid="{00000000-0005-0000-0000-000006050000}"/>
    <cellStyle name="20% - Accent6 2 10 3 3" xfId="24359" xr:uid="{00000000-0005-0000-0000-000007050000}"/>
    <cellStyle name="20% - Accent6 2 10 4" xfId="827" xr:uid="{00000000-0005-0000-0000-000008050000}"/>
    <cellStyle name="20% - Accent6 2 10 4 2" xfId="24361" xr:uid="{00000000-0005-0000-0000-000009050000}"/>
    <cellStyle name="20% - Accent6 2 10 5" xfId="24354" xr:uid="{00000000-0005-0000-0000-00000A050000}"/>
    <cellStyle name="20% - Accent6 2 11" xfId="828" xr:uid="{00000000-0005-0000-0000-00000B050000}"/>
    <cellStyle name="20% - Accent6 2 11 2" xfId="829" xr:uid="{00000000-0005-0000-0000-00000C050000}"/>
    <cellStyle name="20% - Accent6 2 11 2 2" xfId="830" xr:uid="{00000000-0005-0000-0000-00000D050000}"/>
    <cellStyle name="20% - Accent6 2 11 2 2 2" xfId="831" xr:uid="{00000000-0005-0000-0000-00000E050000}"/>
    <cellStyle name="20% - Accent6 2 11 2 2 2 2" xfId="24365" xr:uid="{00000000-0005-0000-0000-00000F050000}"/>
    <cellStyle name="20% - Accent6 2 11 2 2 3" xfId="24364" xr:uid="{00000000-0005-0000-0000-000010050000}"/>
    <cellStyle name="20% - Accent6 2 11 2 3" xfId="832" xr:uid="{00000000-0005-0000-0000-000011050000}"/>
    <cellStyle name="20% - Accent6 2 11 2 3 2" xfId="24366" xr:uid="{00000000-0005-0000-0000-000012050000}"/>
    <cellStyle name="20% - Accent6 2 11 2 4" xfId="24363" xr:uid="{00000000-0005-0000-0000-000013050000}"/>
    <cellStyle name="20% - Accent6 2 11 3" xfId="833" xr:uid="{00000000-0005-0000-0000-000014050000}"/>
    <cellStyle name="20% - Accent6 2 11 3 2" xfId="834" xr:uid="{00000000-0005-0000-0000-000015050000}"/>
    <cellStyle name="20% - Accent6 2 11 3 2 2" xfId="24368" xr:uid="{00000000-0005-0000-0000-000016050000}"/>
    <cellStyle name="20% - Accent6 2 11 3 3" xfId="24367" xr:uid="{00000000-0005-0000-0000-000017050000}"/>
    <cellStyle name="20% - Accent6 2 11 4" xfId="835" xr:uid="{00000000-0005-0000-0000-000018050000}"/>
    <cellStyle name="20% - Accent6 2 11 4 2" xfId="24369" xr:uid="{00000000-0005-0000-0000-000019050000}"/>
    <cellStyle name="20% - Accent6 2 11 5" xfId="24362" xr:uid="{00000000-0005-0000-0000-00001A050000}"/>
    <cellStyle name="20% - Accent6 2 12" xfId="836" xr:uid="{00000000-0005-0000-0000-00001B050000}"/>
    <cellStyle name="20% - Accent6 2 12 2" xfId="837" xr:uid="{00000000-0005-0000-0000-00001C050000}"/>
    <cellStyle name="20% - Accent6 2 12 2 2" xfId="838" xr:uid="{00000000-0005-0000-0000-00001D050000}"/>
    <cellStyle name="20% - Accent6 2 12 2 2 2" xfId="24372" xr:uid="{00000000-0005-0000-0000-00001E050000}"/>
    <cellStyle name="20% - Accent6 2 12 2 3" xfId="24371" xr:uid="{00000000-0005-0000-0000-00001F050000}"/>
    <cellStyle name="20% - Accent6 2 12 3" xfId="839" xr:uid="{00000000-0005-0000-0000-000020050000}"/>
    <cellStyle name="20% - Accent6 2 12 3 2" xfId="24373" xr:uid="{00000000-0005-0000-0000-000021050000}"/>
    <cellStyle name="20% - Accent6 2 12 4" xfId="24370" xr:uid="{00000000-0005-0000-0000-000022050000}"/>
    <cellStyle name="20% - Accent6 2 13" xfId="840" xr:uid="{00000000-0005-0000-0000-000023050000}"/>
    <cellStyle name="20% - Accent6 2 13 2" xfId="841" xr:uid="{00000000-0005-0000-0000-000024050000}"/>
    <cellStyle name="20% - Accent6 2 13 2 2" xfId="24375" xr:uid="{00000000-0005-0000-0000-000025050000}"/>
    <cellStyle name="20% - Accent6 2 13 3" xfId="24374" xr:uid="{00000000-0005-0000-0000-000026050000}"/>
    <cellStyle name="20% - Accent6 2 14" xfId="842" xr:uid="{00000000-0005-0000-0000-000027050000}"/>
    <cellStyle name="20% - Accent6 2 14 2" xfId="24376" xr:uid="{00000000-0005-0000-0000-000028050000}"/>
    <cellStyle name="20% - Accent6 2 15" xfId="18047" xr:uid="{00000000-0005-0000-0000-000029050000}"/>
    <cellStyle name="20% - Accent6 2 16" xfId="24353" xr:uid="{00000000-0005-0000-0000-00002A050000}"/>
    <cellStyle name="20% - Accent6 2 2" xfId="843" xr:uid="{00000000-0005-0000-0000-00002B050000}"/>
    <cellStyle name="20% - Accent6 2 2 10" xfId="844" xr:uid="{00000000-0005-0000-0000-00002C050000}"/>
    <cellStyle name="20% - Accent6 2 2 10 2" xfId="24378" xr:uid="{00000000-0005-0000-0000-00002D050000}"/>
    <cellStyle name="20% - Accent6 2 2 11" xfId="24377" xr:uid="{00000000-0005-0000-0000-00002E050000}"/>
    <cellStyle name="20% - Accent6 2 2 2" xfId="845" xr:uid="{00000000-0005-0000-0000-00002F050000}"/>
    <cellStyle name="20% - Accent6 2 2 2 2" xfId="846" xr:uid="{00000000-0005-0000-0000-000030050000}"/>
    <cellStyle name="20% - Accent6 2 2 2 2 2" xfId="847" xr:uid="{00000000-0005-0000-0000-000031050000}"/>
    <cellStyle name="20% - Accent6 2 2 2 2 2 2" xfId="848" xr:uid="{00000000-0005-0000-0000-000032050000}"/>
    <cellStyle name="20% - Accent6 2 2 2 2 2 2 2" xfId="849" xr:uid="{00000000-0005-0000-0000-000033050000}"/>
    <cellStyle name="20% - Accent6 2 2 2 2 2 2 2 2" xfId="24383" xr:uid="{00000000-0005-0000-0000-000034050000}"/>
    <cellStyle name="20% - Accent6 2 2 2 2 2 2 3" xfId="24382" xr:uid="{00000000-0005-0000-0000-000035050000}"/>
    <cellStyle name="20% - Accent6 2 2 2 2 2 3" xfId="850" xr:uid="{00000000-0005-0000-0000-000036050000}"/>
    <cellStyle name="20% - Accent6 2 2 2 2 2 3 2" xfId="24384" xr:uid="{00000000-0005-0000-0000-000037050000}"/>
    <cellStyle name="20% - Accent6 2 2 2 2 2 4" xfId="24381" xr:uid="{00000000-0005-0000-0000-000038050000}"/>
    <cellStyle name="20% - Accent6 2 2 2 2 3" xfId="851" xr:uid="{00000000-0005-0000-0000-000039050000}"/>
    <cellStyle name="20% - Accent6 2 2 2 2 3 2" xfId="852" xr:uid="{00000000-0005-0000-0000-00003A050000}"/>
    <cellStyle name="20% - Accent6 2 2 2 2 3 2 2" xfId="24386" xr:uid="{00000000-0005-0000-0000-00003B050000}"/>
    <cellStyle name="20% - Accent6 2 2 2 2 3 3" xfId="24385" xr:uid="{00000000-0005-0000-0000-00003C050000}"/>
    <cellStyle name="20% - Accent6 2 2 2 2 4" xfId="853" xr:uid="{00000000-0005-0000-0000-00003D050000}"/>
    <cellStyle name="20% - Accent6 2 2 2 2 4 2" xfId="24387" xr:uid="{00000000-0005-0000-0000-00003E050000}"/>
    <cellStyle name="20% - Accent6 2 2 2 2 5" xfId="24380" xr:uid="{00000000-0005-0000-0000-00003F050000}"/>
    <cellStyle name="20% - Accent6 2 2 2 3" xfId="854" xr:uid="{00000000-0005-0000-0000-000040050000}"/>
    <cellStyle name="20% - Accent6 2 2 2 3 2" xfId="855" xr:uid="{00000000-0005-0000-0000-000041050000}"/>
    <cellStyle name="20% - Accent6 2 2 2 3 2 2" xfId="856" xr:uid="{00000000-0005-0000-0000-000042050000}"/>
    <cellStyle name="20% - Accent6 2 2 2 3 2 2 2" xfId="857" xr:uid="{00000000-0005-0000-0000-000043050000}"/>
    <cellStyle name="20% - Accent6 2 2 2 3 2 2 2 2" xfId="24391" xr:uid="{00000000-0005-0000-0000-000044050000}"/>
    <cellStyle name="20% - Accent6 2 2 2 3 2 2 3" xfId="24390" xr:uid="{00000000-0005-0000-0000-000045050000}"/>
    <cellStyle name="20% - Accent6 2 2 2 3 2 3" xfId="858" xr:uid="{00000000-0005-0000-0000-000046050000}"/>
    <cellStyle name="20% - Accent6 2 2 2 3 2 3 2" xfId="24392" xr:uid="{00000000-0005-0000-0000-000047050000}"/>
    <cellStyle name="20% - Accent6 2 2 2 3 2 4" xfId="24389" xr:uid="{00000000-0005-0000-0000-000048050000}"/>
    <cellStyle name="20% - Accent6 2 2 2 3 3" xfId="859" xr:uid="{00000000-0005-0000-0000-000049050000}"/>
    <cellStyle name="20% - Accent6 2 2 2 3 3 2" xfId="860" xr:uid="{00000000-0005-0000-0000-00004A050000}"/>
    <cellStyle name="20% - Accent6 2 2 2 3 3 2 2" xfId="24394" xr:uid="{00000000-0005-0000-0000-00004B050000}"/>
    <cellStyle name="20% - Accent6 2 2 2 3 3 3" xfId="24393" xr:uid="{00000000-0005-0000-0000-00004C050000}"/>
    <cellStyle name="20% - Accent6 2 2 2 3 4" xfId="861" xr:uid="{00000000-0005-0000-0000-00004D050000}"/>
    <cellStyle name="20% - Accent6 2 2 2 3 4 2" xfId="24395" xr:uid="{00000000-0005-0000-0000-00004E050000}"/>
    <cellStyle name="20% - Accent6 2 2 2 3 5" xfId="24388" xr:uid="{00000000-0005-0000-0000-00004F050000}"/>
    <cellStyle name="20% - Accent6 2 2 2 4" xfId="862" xr:uid="{00000000-0005-0000-0000-000050050000}"/>
    <cellStyle name="20% - Accent6 2 2 2 4 2" xfId="863" xr:uid="{00000000-0005-0000-0000-000051050000}"/>
    <cellStyle name="20% - Accent6 2 2 2 4 2 2" xfId="864" xr:uid="{00000000-0005-0000-0000-000052050000}"/>
    <cellStyle name="20% - Accent6 2 2 2 4 2 2 2" xfId="24398" xr:uid="{00000000-0005-0000-0000-000053050000}"/>
    <cellStyle name="20% - Accent6 2 2 2 4 2 3" xfId="24397" xr:uid="{00000000-0005-0000-0000-000054050000}"/>
    <cellStyle name="20% - Accent6 2 2 2 4 3" xfId="865" xr:uid="{00000000-0005-0000-0000-000055050000}"/>
    <cellStyle name="20% - Accent6 2 2 2 4 3 2" xfId="24399" xr:uid="{00000000-0005-0000-0000-000056050000}"/>
    <cellStyle name="20% - Accent6 2 2 2 4 4" xfId="24396" xr:uid="{00000000-0005-0000-0000-000057050000}"/>
    <cellStyle name="20% - Accent6 2 2 2 5" xfId="866" xr:uid="{00000000-0005-0000-0000-000058050000}"/>
    <cellStyle name="20% - Accent6 2 2 2 5 2" xfId="867" xr:uid="{00000000-0005-0000-0000-000059050000}"/>
    <cellStyle name="20% - Accent6 2 2 2 5 2 2" xfId="24401" xr:uid="{00000000-0005-0000-0000-00005A050000}"/>
    <cellStyle name="20% - Accent6 2 2 2 5 3" xfId="24400" xr:uid="{00000000-0005-0000-0000-00005B050000}"/>
    <cellStyle name="20% - Accent6 2 2 2 6" xfId="868" xr:uid="{00000000-0005-0000-0000-00005C050000}"/>
    <cellStyle name="20% - Accent6 2 2 2 6 2" xfId="24402" xr:uid="{00000000-0005-0000-0000-00005D050000}"/>
    <cellStyle name="20% - Accent6 2 2 2 7" xfId="24379" xr:uid="{00000000-0005-0000-0000-00005E050000}"/>
    <cellStyle name="20% - Accent6 2 2 3" xfId="869" xr:uid="{00000000-0005-0000-0000-00005F050000}"/>
    <cellStyle name="20% - Accent6 2 2 3 2" xfId="870" xr:uid="{00000000-0005-0000-0000-000060050000}"/>
    <cellStyle name="20% - Accent6 2 2 3 2 2" xfId="871" xr:uid="{00000000-0005-0000-0000-000061050000}"/>
    <cellStyle name="20% - Accent6 2 2 3 2 2 2" xfId="872" xr:uid="{00000000-0005-0000-0000-000062050000}"/>
    <cellStyle name="20% - Accent6 2 2 3 2 2 2 2" xfId="873" xr:uid="{00000000-0005-0000-0000-000063050000}"/>
    <cellStyle name="20% - Accent6 2 2 3 2 2 2 2 2" xfId="24407" xr:uid="{00000000-0005-0000-0000-000064050000}"/>
    <cellStyle name="20% - Accent6 2 2 3 2 2 2 3" xfId="24406" xr:uid="{00000000-0005-0000-0000-000065050000}"/>
    <cellStyle name="20% - Accent6 2 2 3 2 2 3" xfId="874" xr:uid="{00000000-0005-0000-0000-000066050000}"/>
    <cellStyle name="20% - Accent6 2 2 3 2 2 3 2" xfId="24408" xr:uid="{00000000-0005-0000-0000-000067050000}"/>
    <cellStyle name="20% - Accent6 2 2 3 2 2 4" xfId="24405" xr:uid="{00000000-0005-0000-0000-000068050000}"/>
    <cellStyle name="20% - Accent6 2 2 3 2 3" xfId="875" xr:uid="{00000000-0005-0000-0000-000069050000}"/>
    <cellStyle name="20% - Accent6 2 2 3 2 3 2" xfId="876" xr:uid="{00000000-0005-0000-0000-00006A050000}"/>
    <cellStyle name="20% - Accent6 2 2 3 2 3 2 2" xfId="24410" xr:uid="{00000000-0005-0000-0000-00006B050000}"/>
    <cellStyle name="20% - Accent6 2 2 3 2 3 3" xfId="24409" xr:uid="{00000000-0005-0000-0000-00006C050000}"/>
    <cellStyle name="20% - Accent6 2 2 3 2 4" xfId="877" xr:uid="{00000000-0005-0000-0000-00006D050000}"/>
    <cellStyle name="20% - Accent6 2 2 3 2 4 2" xfId="24411" xr:uid="{00000000-0005-0000-0000-00006E050000}"/>
    <cellStyle name="20% - Accent6 2 2 3 2 5" xfId="24404" xr:uid="{00000000-0005-0000-0000-00006F050000}"/>
    <cellStyle name="20% - Accent6 2 2 3 3" xfId="878" xr:uid="{00000000-0005-0000-0000-000070050000}"/>
    <cellStyle name="20% - Accent6 2 2 3 3 2" xfId="879" xr:uid="{00000000-0005-0000-0000-000071050000}"/>
    <cellStyle name="20% - Accent6 2 2 3 3 2 2" xfId="880" xr:uid="{00000000-0005-0000-0000-000072050000}"/>
    <cellStyle name="20% - Accent6 2 2 3 3 2 2 2" xfId="881" xr:uid="{00000000-0005-0000-0000-000073050000}"/>
    <cellStyle name="20% - Accent6 2 2 3 3 2 2 2 2" xfId="24415" xr:uid="{00000000-0005-0000-0000-000074050000}"/>
    <cellStyle name="20% - Accent6 2 2 3 3 2 2 3" xfId="24414" xr:uid="{00000000-0005-0000-0000-000075050000}"/>
    <cellStyle name="20% - Accent6 2 2 3 3 2 3" xfId="882" xr:uid="{00000000-0005-0000-0000-000076050000}"/>
    <cellStyle name="20% - Accent6 2 2 3 3 2 3 2" xfId="24416" xr:uid="{00000000-0005-0000-0000-000077050000}"/>
    <cellStyle name="20% - Accent6 2 2 3 3 2 4" xfId="24413" xr:uid="{00000000-0005-0000-0000-000078050000}"/>
    <cellStyle name="20% - Accent6 2 2 3 3 3" xfId="883" xr:uid="{00000000-0005-0000-0000-000079050000}"/>
    <cellStyle name="20% - Accent6 2 2 3 3 3 2" xfId="884" xr:uid="{00000000-0005-0000-0000-00007A050000}"/>
    <cellStyle name="20% - Accent6 2 2 3 3 3 2 2" xfId="24418" xr:uid="{00000000-0005-0000-0000-00007B050000}"/>
    <cellStyle name="20% - Accent6 2 2 3 3 3 3" xfId="24417" xr:uid="{00000000-0005-0000-0000-00007C050000}"/>
    <cellStyle name="20% - Accent6 2 2 3 3 4" xfId="885" xr:uid="{00000000-0005-0000-0000-00007D050000}"/>
    <cellStyle name="20% - Accent6 2 2 3 3 4 2" xfId="24419" xr:uid="{00000000-0005-0000-0000-00007E050000}"/>
    <cellStyle name="20% - Accent6 2 2 3 3 5" xfId="24412" xr:uid="{00000000-0005-0000-0000-00007F050000}"/>
    <cellStyle name="20% - Accent6 2 2 3 4" xfId="886" xr:uid="{00000000-0005-0000-0000-000080050000}"/>
    <cellStyle name="20% - Accent6 2 2 3 4 2" xfId="887" xr:uid="{00000000-0005-0000-0000-000081050000}"/>
    <cellStyle name="20% - Accent6 2 2 3 4 2 2" xfId="888" xr:uid="{00000000-0005-0000-0000-000082050000}"/>
    <cellStyle name="20% - Accent6 2 2 3 4 2 2 2" xfId="24422" xr:uid="{00000000-0005-0000-0000-000083050000}"/>
    <cellStyle name="20% - Accent6 2 2 3 4 2 3" xfId="24421" xr:uid="{00000000-0005-0000-0000-000084050000}"/>
    <cellStyle name="20% - Accent6 2 2 3 4 3" xfId="889" xr:uid="{00000000-0005-0000-0000-000085050000}"/>
    <cellStyle name="20% - Accent6 2 2 3 4 3 2" xfId="24423" xr:uid="{00000000-0005-0000-0000-000086050000}"/>
    <cellStyle name="20% - Accent6 2 2 3 4 4" xfId="24420" xr:uid="{00000000-0005-0000-0000-000087050000}"/>
    <cellStyle name="20% - Accent6 2 2 3 5" xfId="890" xr:uid="{00000000-0005-0000-0000-000088050000}"/>
    <cellStyle name="20% - Accent6 2 2 3 5 2" xfId="891" xr:uid="{00000000-0005-0000-0000-000089050000}"/>
    <cellStyle name="20% - Accent6 2 2 3 5 2 2" xfId="24425" xr:uid="{00000000-0005-0000-0000-00008A050000}"/>
    <cellStyle name="20% - Accent6 2 2 3 5 3" xfId="24424" xr:uid="{00000000-0005-0000-0000-00008B050000}"/>
    <cellStyle name="20% - Accent6 2 2 3 6" xfId="892" xr:uid="{00000000-0005-0000-0000-00008C050000}"/>
    <cellStyle name="20% - Accent6 2 2 3 6 2" xfId="24426" xr:uid="{00000000-0005-0000-0000-00008D050000}"/>
    <cellStyle name="20% - Accent6 2 2 3 7" xfId="24403" xr:uid="{00000000-0005-0000-0000-00008E050000}"/>
    <cellStyle name="20% - Accent6 2 2 4" xfId="893" xr:uid="{00000000-0005-0000-0000-00008F050000}"/>
    <cellStyle name="20% - Accent6 2 2 4 2" xfId="894" xr:uid="{00000000-0005-0000-0000-000090050000}"/>
    <cellStyle name="20% - Accent6 2 2 4 2 2" xfId="895" xr:uid="{00000000-0005-0000-0000-000091050000}"/>
    <cellStyle name="20% - Accent6 2 2 4 2 2 2" xfId="896" xr:uid="{00000000-0005-0000-0000-000092050000}"/>
    <cellStyle name="20% - Accent6 2 2 4 2 2 2 2" xfId="897" xr:uid="{00000000-0005-0000-0000-000093050000}"/>
    <cellStyle name="20% - Accent6 2 2 4 2 2 2 2 2" xfId="24431" xr:uid="{00000000-0005-0000-0000-000094050000}"/>
    <cellStyle name="20% - Accent6 2 2 4 2 2 2 3" xfId="24430" xr:uid="{00000000-0005-0000-0000-000095050000}"/>
    <cellStyle name="20% - Accent6 2 2 4 2 2 3" xfId="898" xr:uid="{00000000-0005-0000-0000-000096050000}"/>
    <cellStyle name="20% - Accent6 2 2 4 2 2 3 2" xfId="24432" xr:uid="{00000000-0005-0000-0000-000097050000}"/>
    <cellStyle name="20% - Accent6 2 2 4 2 2 4" xfId="24429" xr:uid="{00000000-0005-0000-0000-000098050000}"/>
    <cellStyle name="20% - Accent6 2 2 4 2 3" xfId="899" xr:uid="{00000000-0005-0000-0000-000099050000}"/>
    <cellStyle name="20% - Accent6 2 2 4 2 3 2" xfId="900" xr:uid="{00000000-0005-0000-0000-00009A050000}"/>
    <cellStyle name="20% - Accent6 2 2 4 2 3 2 2" xfId="24434" xr:uid="{00000000-0005-0000-0000-00009B050000}"/>
    <cellStyle name="20% - Accent6 2 2 4 2 3 3" xfId="24433" xr:uid="{00000000-0005-0000-0000-00009C050000}"/>
    <cellStyle name="20% - Accent6 2 2 4 2 4" xfId="901" xr:uid="{00000000-0005-0000-0000-00009D050000}"/>
    <cellStyle name="20% - Accent6 2 2 4 2 4 2" xfId="24435" xr:uid="{00000000-0005-0000-0000-00009E050000}"/>
    <cellStyle name="20% - Accent6 2 2 4 2 5" xfId="24428" xr:uid="{00000000-0005-0000-0000-00009F050000}"/>
    <cellStyle name="20% - Accent6 2 2 4 3" xfId="902" xr:uid="{00000000-0005-0000-0000-0000A0050000}"/>
    <cellStyle name="20% - Accent6 2 2 4 3 2" xfId="903" xr:uid="{00000000-0005-0000-0000-0000A1050000}"/>
    <cellStyle name="20% - Accent6 2 2 4 3 2 2" xfId="904" xr:uid="{00000000-0005-0000-0000-0000A2050000}"/>
    <cellStyle name="20% - Accent6 2 2 4 3 2 2 2" xfId="905" xr:uid="{00000000-0005-0000-0000-0000A3050000}"/>
    <cellStyle name="20% - Accent6 2 2 4 3 2 2 2 2" xfId="24439" xr:uid="{00000000-0005-0000-0000-0000A4050000}"/>
    <cellStyle name="20% - Accent6 2 2 4 3 2 2 3" xfId="24438" xr:uid="{00000000-0005-0000-0000-0000A5050000}"/>
    <cellStyle name="20% - Accent6 2 2 4 3 2 3" xfId="906" xr:uid="{00000000-0005-0000-0000-0000A6050000}"/>
    <cellStyle name="20% - Accent6 2 2 4 3 2 3 2" xfId="24440" xr:uid="{00000000-0005-0000-0000-0000A7050000}"/>
    <cellStyle name="20% - Accent6 2 2 4 3 2 4" xfId="24437" xr:uid="{00000000-0005-0000-0000-0000A8050000}"/>
    <cellStyle name="20% - Accent6 2 2 4 3 3" xfId="907" xr:uid="{00000000-0005-0000-0000-0000A9050000}"/>
    <cellStyle name="20% - Accent6 2 2 4 3 3 2" xfId="908" xr:uid="{00000000-0005-0000-0000-0000AA050000}"/>
    <cellStyle name="20% - Accent6 2 2 4 3 3 2 2" xfId="24442" xr:uid="{00000000-0005-0000-0000-0000AB050000}"/>
    <cellStyle name="20% - Accent6 2 2 4 3 3 3" xfId="24441" xr:uid="{00000000-0005-0000-0000-0000AC050000}"/>
    <cellStyle name="20% - Accent6 2 2 4 3 4" xfId="909" xr:uid="{00000000-0005-0000-0000-0000AD050000}"/>
    <cellStyle name="20% - Accent6 2 2 4 3 4 2" xfId="24443" xr:uid="{00000000-0005-0000-0000-0000AE050000}"/>
    <cellStyle name="20% - Accent6 2 2 4 3 5" xfId="24436" xr:uid="{00000000-0005-0000-0000-0000AF050000}"/>
    <cellStyle name="20% - Accent6 2 2 4 4" xfId="910" xr:uid="{00000000-0005-0000-0000-0000B0050000}"/>
    <cellStyle name="20% - Accent6 2 2 4 4 2" xfId="911" xr:uid="{00000000-0005-0000-0000-0000B1050000}"/>
    <cellStyle name="20% - Accent6 2 2 4 4 2 2" xfId="912" xr:uid="{00000000-0005-0000-0000-0000B2050000}"/>
    <cellStyle name="20% - Accent6 2 2 4 4 2 2 2" xfId="24446" xr:uid="{00000000-0005-0000-0000-0000B3050000}"/>
    <cellStyle name="20% - Accent6 2 2 4 4 2 3" xfId="24445" xr:uid="{00000000-0005-0000-0000-0000B4050000}"/>
    <cellStyle name="20% - Accent6 2 2 4 4 3" xfId="913" xr:uid="{00000000-0005-0000-0000-0000B5050000}"/>
    <cellStyle name="20% - Accent6 2 2 4 4 3 2" xfId="24447" xr:uid="{00000000-0005-0000-0000-0000B6050000}"/>
    <cellStyle name="20% - Accent6 2 2 4 4 4" xfId="24444" xr:uid="{00000000-0005-0000-0000-0000B7050000}"/>
    <cellStyle name="20% - Accent6 2 2 4 5" xfId="914" xr:uid="{00000000-0005-0000-0000-0000B8050000}"/>
    <cellStyle name="20% - Accent6 2 2 4 5 2" xfId="915" xr:uid="{00000000-0005-0000-0000-0000B9050000}"/>
    <cellStyle name="20% - Accent6 2 2 4 5 2 2" xfId="24449" xr:uid="{00000000-0005-0000-0000-0000BA050000}"/>
    <cellStyle name="20% - Accent6 2 2 4 5 3" xfId="24448" xr:uid="{00000000-0005-0000-0000-0000BB050000}"/>
    <cellStyle name="20% - Accent6 2 2 4 6" xfId="916" xr:uid="{00000000-0005-0000-0000-0000BC050000}"/>
    <cellStyle name="20% - Accent6 2 2 4 6 2" xfId="24450" xr:uid="{00000000-0005-0000-0000-0000BD050000}"/>
    <cellStyle name="20% - Accent6 2 2 4 7" xfId="24427" xr:uid="{00000000-0005-0000-0000-0000BE050000}"/>
    <cellStyle name="20% - Accent6 2 2 5" xfId="917" xr:uid="{00000000-0005-0000-0000-0000BF050000}"/>
    <cellStyle name="20% - Accent6 2 2 5 2" xfId="918" xr:uid="{00000000-0005-0000-0000-0000C0050000}"/>
    <cellStyle name="20% - Accent6 2 2 5 2 2" xfId="919" xr:uid="{00000000-0005-0000-0000-0000C1050000}"/>
    <cellStyle name="20% - Accent6 2 2 5 2 2 2" xfId="920" xr:uid="{00000000-0005-0000-0000-0000C2050000}"/>
    <cellStyle name="20% - Accent6 2 2 5 2 2 2 2" xfId="921" xr:uid="{00000000-0005-0000-0000-0000C3050000}"/>
    <cellStyle name="20% - Accent6 2 2 5 2 2 2 2 2" xfId="24455" xr:uid="{00000000-0005-0000-0000-0000C4050000}"/>
    <cellStyle name="20% - Accent6 2 2 5 2 2 2 3" xfId="24454" xr:uid="{00000000-0005-0000-0000-0000C5050000}"/>
    <cellStyle name="20% - Accent6 2 2 5 2 2 3" xfId="922" xr:uid="{00000000-0005-0000-0000-0000C6050000}"/>
    <cellStyle name="20% - Accent6 2 2 5 2 2 3 2" xfId="24456" xr:uid="{00000000-0005-0000-0000-0000C7050000}"/>
    <cellStyle name="20% - Accent6 2 2 5 2 2 4" xfId="24453" xr:uid="{00000000-0005-0000-0000-0000C8050000}"/>
    <cellStyle name="20% - Accent6 2 2 5 2 3" xfId="923" xr:uid="{00000000-0005-0000-0000-0000C9050000}"/>
    <cellStyle name="20% - Accent6 2 2 5 2 3 2" xfId="924" xr:uid="{00000000-0005-0000-0000-0000CA050000}"/>
    <cellStyle name="20% - Accent6 2 2 5 2 3 2 2" xfId="24458" xr:uid="{00000000-0005-0000-0000-0000CB050000}"/>
    <cellStyle name="20% - Accent6 2 2 5 2 3 3" xfId="24457" xr:uid="{00000000-0005-0000-0000-0000CC050000}"/>
    <cellStyle name="20% - Accent6 2 2 5 2 4" xfId="925" xr:uid="{00000000-0005-0000-0000-0000CD050000}"/>
    <cellStyle name="20% - Accent6 2 2 5 2 4 2" xfId="24459" xr:uid="{00000000-0005-0000-0000-0000CE050000}"/>
    <cellStyle name="20% - Accent6 2 2 5 2 5" xfId="24452" xr:uid="{00000000-0005-0000-0000-0000CF050000}"/>
    <cellStyle name="20% - Accent6 2 2 5 3" xfId="926" xr:uid="{00000000-0005-0000-0000-0000D0050000}"/>
    <cellStyle name="20% - Accent6 2 2 5 3 2" xfId="927" xr:uid="{00000000-0005-0000-0000-0000D1050000}"/>
    <cellStyle name="20% - Accent6 2 2 5 3 2 2" xfId="928" xr:uid="{00000000-0005-0000-0000-0000D2050000}"/>
    <cellStyle name="20% - Accent6 2 2 5 3 2 2 2" xfId="929" xr:uid="{00000000-0005-0000-0000-0000D3050000}"/>
    <cellStyle name="20% - Accent6 2 2 5 3 2 2 2 2" xfId="24463" xr:uid="{00000000-0005-0000-0000-0000D4050000}"/>
    <cellStyle name="20% - Accent6 2 2 5 3 2 2 3" xfId="24462" xr:uid="{00000000-0005-0000-0000-0000D5050000}"/>
    <cellStyle name="20% - Accent6 2 2 5 3 2 3" xfId="930" xr:uid="{00000000-0005-0000-0000-0000D6050000}"/>
    <cellStyle name="20% - Accent6 2 2 5 3 2 3 2" xfId="24464" xr:uid="{00000000-0005-0000-0000-0000D7050000}"/>
    <cellStyle name="20% - Accent6 2 2 5 3 2 4" xfId="24461" xr:uid="{00000000-0005-0000-0000-0000D8050000}"/>
    <cellStyle name="20% - Accent6 2 2 5 3 3" xfId="931" xr:uid="{00000000-0005-0000-0000-0000D9050000}"/>
    <cellStyle name="20% - Accent6 2 2 5 3 3 2" xfId="932" xr:uid="{00000000-0005-0000-0000-0000DA050000}"/>
    <cellStyle name="20% - Accent6 2 2 5 3 3 2 2" xfId="24466" xr:uid="{00000000-0005-0000-0000-0000DB050000}"/>
    <cellStyle name="20% - Accent6 2 2 5 3 3 3" xfId="24465" xr:uid="{00000000-0005-0000-0000-0000DC050000}"/>
    <cellStyle name="20% - Accent6 2 2 5 3 4" xfId="933" xr:uid="{00000000-0005-0000-0000-0000DD050000}"/>
    <cellStyle name="20% - Accent6 2 2 5 3 4 2" xfId="24467" xr:uid="{00000000-0005-0000-0000-0000DE050000}"/>
    <cellStyle name="20% - Accent6 2 2 5 3 5" xfId="24460" xr:uid="{00000000-0005-0000-0000-0000DF050000}"/>
    <cellStyle name="20% - Accent6 2 2 5 4" xfId="934" xr:uid="{00000000-0005-0000-0000-0000E0050000}"/>
    <cellStyle name="20% - Accent6 2 2 5 4 2" xfId="935" xr:uid="{00000000-0005-0000-0000-0000E1050000}"/>
    <cellStyle name="20% - Accent6 2 2 5 4 2 2" xfId="936" xr:uid="{00000000-0005-0000-0000-0000E2050000}"/>
    <cellStyle name="20% - Accent6 2 2 5 4 2 2 2" xfId="24470" xr:uid="{00000000-0005-0000-0000-0000E3050000}"/>
    <cellStyle name="20% - Accent6 2 2 5 4 2 3" xfId="24469" xr:uid="{00000000-0005-0000-0000-0000E4050000}"/>
    <cellStyle name="20% - Accent6 2 2 5 4 3" xfId="937" xr:uid="{00000000-0005-0000-0000-0000E5050000}"/>
    <cellStyle name="20% - Accent6 2 2 5 4 3 2" xfId="24471" xr:uid="{00000000-0005-0000-0000-0000E6050000}"/>
    <cellStyle name="20% - Accent6 2 2 5 4 4" xfId="24468" xr:uid="{00000000-0005-0000-0000-0000E7050000}"/>
    <cellStyle name="20% - Accent6 2 2 5 5" xfId="938" xr:uid="{00000000-0005-0000-0000-0000E8050000}"/>
    <cellStyle name="20% - Accent6 2 2 5 5 2" xfId="939" xr:uid="{00000000-0005-0000-0000-0000E9050000}"/>
    <cellStyle name="20% - Accent6 2 2 5 5 2 2" xfId="24473" xr:uid="{00000000-0005-0000-0000-0000EA050000}"/>
    <cellStyle name="20% - Accent6 2 2 5 5 3" xfId="24472" xr:uid="{00000000-0005-0000-0000-0000EB050000}"/>
    <cellStyle name="20% - Accent6 2 2 5 6" xfId="940" xr:uid="{00000000-0005-0000-0000-0000EC050000}"/>
    <cellStyle name="20% - Accent6 2 2 5 6 2" xfId="24474" xr:uid="{00000000-0005-0000-0000-0000ED050000}"/>
    <cellStyle name="20% - Accent6 2 2 5 7" xfId="24451" xr:uid="{00000000-0005-0000-0000-0000EE050000}"/>
    <cellStyle name="20% - Accent6 2 2 6" xfId="941" xr:uid="{00000000-0005-0000-0000-0000EF050000}"/>
    <cellStyle name="20% - Accent6 2 2 6 2" xfId="942" xr:uid="{00000000-0005-0000-0000-0000F0050000}"/>
    <cellStyle name="20% - Accent6 2 2 6 2 2" xfId="943" xr:uid="{00000000-0005-0000-0000-0000F1050000}"/>
    <cellStyle name="20% - Accent6 2 2 6 2 2 2" xfId="944" xr:uid="{00000000-0005-0000-0000-0000F2050000}"/>
    <cellStyle name="20% - Accent6 2 2 6 2 2 2 2" xfId="24478" xr:uid="{00000000-0005-0000-0000-0000F3050000}"/>
    <cellStyle name="20% - Accent6 2 2 6 2 2 3" xfId="24477" xr:uid="{00000000-0005-0000-0000-0000F4050000}"/>
    <cellStyle name="20% - Accent6 2 2 6 2 3" xfId="945" xr:uid="{00000000-0005-0000-0000-0000F5050000}"/>
    <cellStyle name="20% - Accent6 2 2 6 2 3 2" xfId="24479" xr:uid="{00000000-0005-0000-0000-0000F6050000}"/>
    <cellStyle name="20% - Accent6 2 2 6 2 4" xfId="24476" xr:uid="{00000000-0005-0000-0000-0000F7050000}"/>
    <cellStyle name="20% - Accent6 2 2 6 3" xfId="946" xr:uid="{00000000-0005-0000-0000-0000F8050000}"/>
    <cellStyle name="20% - Accent6 2 2 6 3 2" xfId="947" xr:uid="{00000000-0005-0000-0000-0000F9050000}"/>
    <cellStyle name="20% - Accent6 2 2 6 3 2 2" xfId="24481" xr:uid="{00000000-0005-0000-0000-0000FA050000}"/>
    <cellStyle name="20% - Accent6 2 2 6 3 3" xfId="24480" xr:uid="{00000000-0005-0000-0000-0000FB050000}"/>
    <cellStyle name="20% - Accent6 2 2 6 4" xfId="948" xr:uid="{00000000-0005-0000-0000-0000FC050000}"/>
    <cellStyle name="20% - Accent6 2 2 6 4 2" xfId="24482" xr:uid="{00000000-0005-0000-0000-0000FD050000}"/>
    <cellStyle name="20% - Accent6 2 2 6 5" xfId="24475" xr:uid="{00000000-0005-0000-0000-0000FE050000}"/>
    <cellStyle name="20% - Accent6 2 2 7" xfId="949" xr:uid="{00000000-0005-0000-0000-0000FF050000}"/>
    <cellStyle name="20% - Accent6 2 2 7 2" xfId="950" xr:uid="{00000000-0005-0000-0000-000000060000}"/>
    <cellStyle name="20% - Accent6 2 2 7 2 2" xfId="951" xr:uid="{00000000-0005-0000-0000-000001060000}"/>
    <cellStyle name="20% - Accent6 2 2 7 2 2 2" xfId="952" xr:uid="{00000000-0005-0000-0000-000002060000}"/>
    <cellStyle name="20% - Accent6 2 2 7 2 2 2 2" xfId="24486" xr:uid="{00000000-0005-0000-0000-000003060000}"/>
    <cellStyle name="20% - Accent6 2 2 7 2 2 3" xfId="24485" xr:uid="{00000000-0005-0000-0000-000004060000}"/>
    <cellStyle name="20% - Accent6 2 2 7 2 3" xfId="953" xr:uid="{00000000-0005-0000-0000-000005060000}"/>
    <cellStyle name="20% - Accent6 2 2 7 2 3 2" xfId="24487" xr:uid="{00000000-0005-0000-0000-000006060000}"/>
    <cellStyle name="20% - Accent6 2 2 7 2 4" xfId="24484" xr:uid="{00000000-0005-0000-0000-000007060000}"/>
    <cellStyle name="20% - Accent6 2 2 7 3" xfId="954" xr:uid="{00000000-0005-0000-0000-000008060000}"/>
    <cellStyle name="20% - Accent6 2 2 7 3 2" xfId="955" xr:uid="{00000000-0005-0000-0000-000009060000}"/>
    <cellStyle name="20% - Accent6 2 2 7 3 2 2" xfId="24489" xr:uid="{00000000-0005-0000-0000-00000A060000}"/>
    <cellStyle name="20% - Accent6 2 2 7 3 3" xfId="24488" xr:uid="{00000000-0005-0000-0000-00000B060000}"/>
    <cellStyle name="20% - Accent6 2 2 7 4" xfId="956" xr:uid="{00000000-0005-0000-0000-00000C060000}"/>
    <cellStyle name="20% - Accent6 2 2 7 4 2" xfId="24490" xr:uid="{00000000-0005-0000-0000-00000D060000}"/>
    <cellStyle name="20% - Accent6 2 2 7 5" xfId="24483" xr:uid="{00000000-0005-0000-0000-00000E060000}"/>
    <cellStyle name="20% - Accent6 2 2 8" xfId="957" xr:uid="{00000000-0005-0000-0000-00000F060000}"/>
    <cellStyle name="20% - Accent6 2 2 8 2" xfId="958" xr:uid="{00000000-0005-0000-0000-000010060000}"/>
    <cellStyle name="20% - Accent6 2 2 8 2 2" xfId="959" xr:uid="{00000000-0005-0000-0000-000011060000}"/>
    <cellStyle name="20% - Accent6 2 2 8 2 2 2" xfId="24493" xr:uid="{00000000-0005-0000-0000-000012060000}"/>
    <cellStyle name="20% - Accent6 2 2 8 2 3" xfId="24492" xr:uid="{00000000-0005-0000-0000-000013060000}"/>
    <cellStyle name="20% - Accent6 2 2 8 3" xfId="960" xr:uid="{00000000-0005-0000-0000-000014060000}"/>
    <cellStyle name="20% - Accent6 2 2 8 3 2" xfId="24494" xr:uid="{00000000-0005-0000-0000-000015060000}"/>
    <cellStyle name="20% - Accent6 2 2 8 4" xfId="24491" xr:uid="{00000000-0005-0000-0000-000016060000}"/>
    <cellStyle name="20% - Accent6 2 2 9" xfId="961" xr:uid="{00000000-0005-0000-0000-000017060000}"/>
    <cellStyle name="20% - Accent6 2 2 9 2" xfId="962" xr:uid="{00000000-0005-0000-0000-000018060000}"/>
    <cellStyle name="20% - Accent6 2 2 9 2 2" xfId="24496" xr:uid="{00000000-0005-0000-0000-000019060000}"/>
    <cellStyle name="20% - Accent6 2 2 9 3" xfId="24495" xr:uid="{00000000-0005-0000-0000-00001A060000}"/>
    <cellStyle name="20% - Accent6 2 3" xfId="963" xr:uid="{00000000-0005-0000-0000-00001B060000}"/>
    <cellStyle name="20% - Accent6 2 3 10" xfId="24497" xr:uid="{00000000-0005-0000-0000-00001C060000}"/>
    <cellStyle name="20% - Accent6 2 3 2" xfId="964" xr:uid="{00000000-0005-0000-0000-00001D060000}"/>
    <cellStyle name="20% - Accent6 2 3 2 2" xfId="965" xr:uid="{00000000-0005-0000-0000-00001E060000}"/>
    <cellStyle name="20% - Accent6 2 3 2 2 2" xfId="966" xr:uid="{00000000-0005-0000-0000-00001F060000}"/>
    <cellStyle name="20% - Accent6 2 3 2 2 2 2" xfId="967" xr:uid="{00000000-0005-0000-0000-000020060000}"/>
    <cellStyle name="20% - Accent6 2 3 2 2 2 2 2" xfId="968" xr:uid="{00000000-0005-0000-0000-000021060000}"/>
    <cellStyle name="20% - Accent6 2 3 2 2 2 2 2 2" xfId="24502" xr:uid="{00000000-0005-0000-0000-000022060000}"/>
    <cellStyle name="20% - Accent6 2 3 2 2 2 2 3" xfId="24501" xr:uid="{00000000-0005-0000-0000-000023060000}"/>
    <cellStyle name="20% - Accent6 2 3 2 2 2 3" xfId="969" xr:uid="{00000000-0005-0000-0000-000024060000}"/>
    <cellStyle name="20% - Accent6 2 3 2 2 2 3 2" xfId="24503" xr:uid="{00000000-0005-0000-0000-000025060000}"/>
    <cellStyle name="20% - Accent6 2 3 2 2 2 4" xfId="24500" xr:uid="{00000000-0005-0000-0000-000026060000}"/>
    <cellStyle name="20% - Accent6 2 3 2 2 3" xfId="970" xr:uid="{00000000-0005-0000-0000-000027060000}"/>
    <cellStyle name="20% - Accent6 2 3 2 2 3 2" xfId="971" xr:uid="{00000000-0005-0000-0000-000028060000}"/>
    <cellStyle name="20% - Accent6 2 3 2 2 3 2 2" xfId="24505" xr:uid="{00000000-0005-0000-0000-000029060000}"/>
    <cellStyle name="20% - Accent6 2 3 2 2 3 3" xfId="24504" xr:uid="{00000000-0005-0000-0000-00002A060000}"/>
    <cellStyle name="20% - Accent6 2 3 2 2 4" xfId="972" xr:uid="{00000000-0005-0000-0000-00002B060000}"/>
    <cellStyle name="20% - Accent6 2 3 2 2 4 2" xfId="24506" xr:uid="{00000000-0005-0000-0000-00002C060000}"/>
    <cellStyle name="20% - Accent6 2 3 2 2 5" xfId="24499" xr:uid="{00000000-0005-0000-0000-00002D060000}"/>
    <cellStyle name="20% - Accent6 2 3 2 3" xfId="973" xr:uid="{00000000-0005-0000-0000-00002E060000}"/>
    <cellStyle name="20% - Accent6 2 3 2 3 2" xfId="974" xr:uid="{00000000-0005-0000-0000-00002F060000}"/>
    <cellStyle name="20% - Accent6 2 3 2 3 2 2" xfId="975" xr:uid="{00000000-0005-0000-0000-000030060000}"/>
    <cellStyle name="20% - Accent6 2 3 2 3 2 2 2" xfId="976" xr:uid="{00000000-0005-0000-0000-000031060000}"/>
    <cellStyle name="20% - Accent6 2 3 2 3 2 2 2 2" xfId="24510" xr:uid="{00000000-0005-0000-0000-000032060000}"/>
    <cellStyle name="20% - Accent6 2 3 2 3 2 2 3" xfId="24509" xr:uid="{00000000-0005-0000-0000-000033060000}"/>
    <cellStyle name="20% - Accent6 2 3 2 3 2 3" xfId="977" xr:uid="{00000000-0005-0000-0000-000034060000}"/>
    <cellStyle name="20% - Accent6 2 3 2 3 2 3 2" xfId="24511" xr:uid="{00000000-0005-0000-0000-000035060000}"/>
    <cellStyle name="20% - Accent6 2 3 2 3 2 4" xfId="24508" xr:uid="{00000000-0005-0000-0000-000036060000}"/>
    <cellStyle name="20% - Accent6 2 3 2 3 3" xfId="978" xr:uid="{00000000-0005-0000-0000-000037060000}"/>
    <cellStyle name="20% - Accent6 2 3 2 3 3 2" xfId="979" xr:uid="{00000000-0005-0000-0000-000038060000}"/>
    <cellStyle name="20% - Accent6 2 3 2 3 3 2 2" xfId="24513" xr:uid="{00000000-0005-0000-0000-000039060000}"/>
    <cellStyle name="20% - Accent6 2 3 2 3 3 3" xfId="24512" xr:uid="{00000000-0005-0000-0000-00003A060000}"/>
    <cellStyle name="20% - Accent6 2 3 2 3 4" xfId="980" xr:uid="{00000000-0005-0000-0000-00003B060000}"/>
    <cellStyle name="20% - Accent6 2 3 2 3 4 2" xfId="24514" xr:uid="{00000000-0005-0000-0000-00003C060000}"/>
    <cellStyle name="20% - Accent6 2 3 2 3 5" xfId="24507" xr:uid="{00000000-0005-0000-0000-00003D060000}"/>
    <cellStyle name="20% - Accent6 2 3 2 4" xfId="981" xr:uid="{00000000-0005-0000-0000-00003E060000}"/>
    <cellStyle name="20% - Accent6 2 3 2 4 2" xfId="982" xr:uid="{00000000-0005-0000-0000-00003F060000}"/>
    <cellStyle name="20% - Accent6 2 3 2 4 2 2" xfId="983" xr:uid="{00000000-0005-0000-0000-000040060000}"/>
    <cellStyle name="20% - Accent6 2 3 2 4 2 2 2" xfId="24517" xr:uid="{00000000-0005-0000-0000-000041060000}"/>
    <cellStyle name="20% - Accent6 2 3 2 4 2 3" xfId="24516" xr:uid="{00000000-0005-0000-0000-000042060000}"/>
    <cellStyle name="20% - Accent6 2 3 2 4 3" xfId="984" xr:uid="{00000000-0005-0000-0000-000043060000}"/>
    <cellStyle name="20% - Accent6 2 3 2 4 3 2" xfId="24518" xr:uid="{00000000-0005-0000-0000-000044060000}"/>
    <cellStyle name="20% - Accent6 2 3 2 4 4" xfId="24515" xr:uid="{00000000-0005-0000-0000-000045060000}"/>
    <cellStyle name="20% - Accent6 2 3 2 5" xfId="985" xr:uid="{00000000-0005-0000-0000-000046060000}"/>
    <cellStyle name="20% - Accent6 2 3 2 5 2" xfId="986" xr:uid="{00000000-0005-0000-0000-000047060000}"/>
    <cellStyle name="20% - Accent6 2 3 2 5 2 2" xfId="24520" xr:uid="{00000000-0005-0000-0000-000048060000}"/>
    <cellStyle name="20% - Accent6 2 3 2 5 3" xfId="24519" xr:uid="{00000000-0005-0000-0000-000049060000}"/>
    <cellStyle name="20% - Accent6 2 3 2 6" xfId="987" xr:uid="{00000000-0005-0000-0000-00004A060000}"/>
    <cellStyle name="20% - Accent6 2 3 2 6 2" xfId="24521" xr:uid="{00000000-0005-0000-0000-00004B060000}"/>
    <cellStyle name="20% - Accent6 2 3 2 7" xfId="24498" xr:uid="{00000000-0005-0000-0000-00004C060000}"/>
    <cellStyle name="20% - Accent6 2 3 3" xfId="988" xr:uid="{00000000-0005-0000-0000-00004D060000}"/>
    <cellStyle name="20% - Accent6 2 3 3 2" xfId="989" xr:uid="{00000000-0005-0000-0000-00004E060000}"/>
    <cellStyle name="20% - Accent6 2 3 3 2 2" xfId="990" xr:uid="{00000000-0005-0000-0000-00004F060000}"/>
    <cellStyle name="20% - Accent6 2 3 3 2 2 2" xfId="991" xr:uid="{00000000-0005-0000-0000-000050060000}"/>
    <cellStyle name="20% - Accent6 2 3 3 2 2 2 2" xfId="992" xr:uid="{00000000-0005-0000-0000-000051060000}"/>
    <cellStyle name="20% - Accent6 2 3 3 2 2 2 2 2" xfId="24526" xr:uid="{00000000-0005-0000-0000-000052060000}"/>
    <cellStyle name="20% - Accent6 2 3 3 2 2 2 3" xfId="24525" xr:uid="{00000000-0005-0000-0000-000053060000}"/>
    <cellStyle name="20% - Accent6 2 3 3 2 2 3" xfId="993" xr:uid="{00000000-0005-0000-0000-000054060000}"/>
    <cellStyle name="20% - Accent6 2 3 3 2 2 3 2" xfId="24527" xr:uid="{00000000-0005-0000-0000-000055060000}"/>
    <cellStyle name="20% - Accent6 2 3 3 2 2 4" xfId="24524" xr:uid="{00000000-0005-0000-0000-000056060000}"/>
    <cellStyle name="20% - Accent6 2 3 3 2 3" xfId="994" xr:uid="{00000000-0005-0000-0000-000057060000}"/>
    <cellStyle name="20% - Accent6 2 3 3 2 3 2" xfId="995" xr:uid="{00000000-0005-0000-0000-000058060000}"/>
    <cellStyle name="20% - Accent6 2 3 3 2 3 2 2" xfId="24529" xr:uid="{00000000-0005-0000-0000-000059060000}"/>
    <cellStyle name="20% - Accent6 2 3 3 2 3 3" xfId="24528" xr:uid="{00000000-0005-0000-0000-00005A060000}"/>
    <cellStyle name="20% - Accent6 2 3 3 2 4" xfId="996" xr:uid="{00000000-0005-0000-0000-00005B060000}"/>
    <cellStyle name="20% - Accent6 2 3 3 2 4 2" xfId="24530" xr:uid="{00000000-0005-0000-0000-00005C060000}"/>
    <cellStyle name="20% - Accent6 2 3 3 2 5" xfId="24523" xr:uid="{00000000-0005-0000-0000-00005D060000}"/>
    <cellStyle name="20% - Accent6 2 3 3 3" xfId="997" xr:uid="{00000000-0005-0000-0000-00005E060000}"/>
    <cellStyle name="20% - Accent6 2 3 3 3 2" xfId="998" xr:uid="{00000000-0005-0000-0000-00005F060000}"/>
    <cellStyle name="20% - Accent6 2 3 3 3 2 2" xfId="999" xr:uid="{00000000-0005-0000-0000-000060060000}"/>
    <cellStyle name="20% - Accent6 2 3 3 3 2 2 2" xfId="1000" xr:uid="{00000000-0005-0000-0000-000061060000}"/>
    <cellStyle name="20% - Accent6 2 3 3 3 2 2 2 2" xfId="24534" xr:uid="{00000000-0005-0000-0000-000062060000}"/>
    <cellStyle name="20% - Accent6 2 3 3 3 2 2 3" xfId="24533" xr:uid="{00000000-0005-0000-0000-000063060000}"/>
    <cellStyle name="20% - Accent6 2 3 3 3 2 3" xfId="1001" xr:uid="{00000000-0005-0000-0000-000064060000}"/>
    <cellStyle name="20% - Accent6 2 3 3 3 2 3 2" xfId="24535" xr:uid="{00000000-0005-0000-0000-000065060000}"/>
    <cellStyle name="20% - Accent6 2 3 3 3 2 4" xfId="24532" xr:uid="{00000000-0005-0000-0000-000066060000}"/>
    <cellStyle name="20% - Accent6 2 3 3 3 3" xfId="1002" xr:uid="{00000000-0005-0000-0000-000067060000}"/>
    <cellStyle name="20% - Accent6 2 3 3 3 3 2" xfId="1003" xr:uid="{00000000-0005-0000-0000-000068060000}"/>
    <cellStyle name="20% - Accent6 2 3 3 3 3 2 2" xfId="24537" xr:uid="{00000000-0005-0000-0000-000069060000}"/>
    <cellStyle name="20% - Accent6 2 3 3 3 3 3" xfId="24536" xr:uid="{00000000-0005-0000-0000-00006A060000}"/>
    <cellStyle name="20% - Accent6 2 3 3 3 4" xfId="1004" xr:uid="{00000000-0005-0000-0000-00006B060000}"/>
    <cellStyle name="20% - Accent6 2 3 3 3 4 2" xfId="24538" xr:uid="{00000000-0005-0000-0000-00006C060000}"/>
    <cellStyle name="20% - Accent6 2 3 3 3 5" xfId="24531" xr:uid="{00000000-0005-0000-0000-00006D060000}"/>
    <cellStyle name="20% - Accent6 2 3 3 4" xfId="1005" xr:uid="{00000000-0005-0000-0000-00006E060000}"/>
    <cellStyle name="20% - Accent6 2 3 3 4 2" xfId="1006" xr:uid="{00000000-0005-0000-0000-00006F060000}"/>
    <cellStyle name="20% - Accent6 2 3 3 4 2 2" xfId="1007" xr:uid="{00000000-0005-0000-0000-000070060000}"/>
    <cellStyle name="20% - Accent6 2 3 3 4 2 2 2" xfId="24541" xr:uid="{00000000-0005-0000-0000-000071060000}"/>
    <cellStyle name="20% - Accent6 2 3 3 4 2 3" xfId="24540" xr:uid="{00000000-0005-0000-0000-000072060000}"/>
    <cellStyle name="20% - Accent6 2 3 3 4 3" xfId="1008" xr:uid="{00000000-0005-0000-0000-000073060000}"/>
    <cellStyle name="20% - Accent6 2 3 3 4 3 2" xfId="24542" xr:uid="{00000000-0005-0000-0000-000074060000}"/>
    <cellStyle name="20% - Accent6 2 3 3 4 4" xfId="24539" xr:uid="{00000000-0005-0000-0000-000075060000}"/>
    <cellStyle name="20% - Accent6 2 3 3 5" xfId="1009" xr:uid="{00000000-0005-0000-0000-000076060000}"/>
    <cellStyle name="20% - Accent6 2 3 3 5 2" xfId="1010" xr:uid="{00000000-0005-0000-0000-000077060000}"/>
    <cellStyle name="20% - Accent6 2 3 3 5 2 2" xfId="24544" xr:uid="{00000000-0005-0000-0000-000078060000}"/>
    <cellStyle name="20% - Accent6 2 3 3 5 3" xfId="24543" xr:uid="{00000000-0005-0000-0000-000079060000}"/>
    <cellStyle name="20% - Accent6 2 3 3 6" xfId="1011" xr:uid="{00000000-0005-0000-0000-00007A060000}"/>
    <cellStyle name="20% - Accent6 2 3 3 6 2" xfId="24545" xr:uid="{00000000-0005-0000-0000-00007B060000}"/>
    <cellStyle name="20% - Accent6 2 3 3 7" xfId="24522" xr:uid="{00000000-0005-0000-0000-00007C060000}"/>
    <cellStyle name="20% - Accent6 2 3 4" xfId="1012" xr:uid="{00000000-0005-0000-0000-00007D060000}"/>
    <cellStyle name="20% - Accent6 2 3 4 2" xfId="1013" xr:uid="{00000000-0005-0000-0000-00007E060000}"/>
    <cellStyle name="20% - Accent6 2 3 4 2 2" xfId="1014" xr:uid="{00000000-0005-0000-0000-00007F060000}"/>
    <cellStyle name="20% - Accent6 2 3 4 2 2 2" xfId="1015" xr:uid="{00000000-0005-0000-0000-000080060000}"/>
    <cellStyle name="20% - Accent6 2 3 4 2 2 2 2" xfId="1016" xr:uid="{00000000-0005-0000-0000-000081060000}"/>
    <cellStyle name="20% - Accent6 2 3 4 2 2 2 2 2" xfId="24550" xr:uid="{00000000-0005-0000-0000-000082060000}"/>
    <cellStyle name="20% - Accent6 2 3 4 2 2 2 3" xfId="24549" xr:uid="{00000000-0005-0000-0000-000083060000}"/>
    <cellStyle name="20% - Accent6 2 3 4 2 2 3" xfId="1017" xr:uid="{00000000-0005-0000-0000-000084060000}"/>
    <cellStyle name="20% - Accent6 2 3 4 2 2 3 2" xfId="24551" xr:uid="{00000000-0005-0000-0000-000085060000}"/>
    <cellStyle name="20% - Accent6 2 3 4 2 2 4" xfId="24548" xr:uid="{00000000-0005-0000-0000-000086060000}"/>
    <cellStyle name="20% - Accent6 2 3 4 2 3" xfId="1018" xr:uid="{00000000-0005-0000-0000-000087060000}"/>
    <cellStyle name="20% - Accent6 2 3 4 2 3 2" xfId="1019" xr:uid="{00000000-0005-0000-0000-000088060000}"/>
    <cellStyle name="20% - Accent6 2 3 4 2 3 2 2" xfId="24553" xr:uid="{00000000-0005-0000-0000-000089060000}"/>
    <cellStyle name="20% - Accent6 2 3 4 2 3 3" xfId="24552" xr:uid="{00000000-0005-0000-0000-00008A060000}"/>
    <cellStyle name="20% - Accent6 2 3 4 2 4" xfId="1020" xr:uid="{00000000-0005-0000-0000-00008B060000}"/>
    <cellStyle name="20% - Accent6 2 3 4 2 4 2" xfId="24554" xr:uid="{00000000-0005-0000-0000-00008C060000}"/>
    <cellStyle name="20% - Accent6 2 3 4 2 5" xfId="24547" xr:uid="{00000000-0005-0000-0000-00008D060000}"/>
    <cellStyle name="20% - Accent6 2 3 4 3" xfId="1021" xr:uid="{00000000-0005-0000-0000-00008E060000}"/>
    <cellStyle name="20% - Accent6 2 3 4 3 2" xfId="1022" xr:uid="{00000000-0005-0000-0000-00008F060000}"/>
    <cellStyle name="20% - Accent6 2 3 4 3 2 2" xfId="1023" xr:uid="{00000000-0005-0000-0000-000090060000}"/>
    <cellStyle name="20% - Accent6 2 3 4 3 2 2 2" xfId="1024" xr:uid="{00000000-0005-0000-0000-000091060000}"/>
    <cellStyle name="20% - Accent6 2 3 4 3 2 2 2 2" xfId="24558" xr:uid="{00000000-0005-0000-0000-000092060000}"/>
    <cellStyle name="20% - Accent6 2 3 4 3 2 2 3" xfId="24557" xr:uid="{00000000-0005-0000-0000-000093060000}"/>
    <cellStyle name="20% - Accent6 2 3 4 3 2 3" xfId="1025" xr:uid="{00000000-0005-0000-0000-000094060000}"/>
    <cellStyle name="20% - Accent6 2 3 4 3 2 3 2" xfId="24559" xr:uid="{00000000-0005-0000-0000-000095060000}"/>
    <cellStyle name="20% - Accent6 2 3 4 3 2 4" xfId="24556" xr:uid="{00000000-0005-0000-0000-000096060000}"/>
    <cellStyle name="20% - Accent6 2 3 4 3 3" xfId="1026" xr:uid="{00000000-0005-0000-0000-000097060000}"/>
    <cellStyle name="20% - Accent6 2 3 4 3 3 2" xfId="1027" xr:uid="{00000000-0005-0000-0000-000098060000}"/>
    <cellStyle name="20% - Accent6 2 3 4 3 3 2 2" xfId="24561" xr:uid="{00000000-0005-0000-0000-000099060000}"/>
    <cellStyle name="20% - Accent6 2 3 4 3 3 3" xfId="24560" xr:uid="{00000000-0005-0000-0000-00009A060000}"/>
    <cellStyle name="20% - Accent6 2 3 4 3 4" xfId="1028" xr:uid="{00000000-0005-0000-0000-00009B060000}"/>
    <cellStyle name="20% - Accent6 2 3 4 3 4 2" xfId="24562" xr:uid="{00000000-0005-0000-0000-00009C060000}"/>
    <cellStyle name="20% - Accent6 2 3 4 3 5" xfId="24555" xr:uid="{00000000-0005-0000-0000-00009D060000}"/>
    <cellStyle name="20% - Accent6 2 3 4 4" xfId="1029" xr:uid="{00000000-0005-0000-0000-00009E060000}"/>
    <cellStyle name="20% - Accent6 2 3 4 4 2" xfId="1030" xr:uid="{00000000-0005-0000-0000-00009F060000}"/>
    <cellStyle name="20% - Accent6 2 3 4 4 2 2" xfId="1031" xr:uid="{00000000-0005-0000-0000-0000A0060000}"/>
    <cellStyle name="20% - Accent6 2 3 4 4 2 2 2" xfId="24565" xr:uid="{00000000-0005-0000-0000-0000A1060000}"/>
    <cellStyle name="20% - Accent6 2 3 4 4 2 3" xfId="24564" xr:uid="{00000000-0005-0000-0000-0000A2060000}"/>
    <cellStyle name="20% - Accent6 2 3 4 4 3" xfId="1032" xr:uid="{00000000-0005-0000-0000-0000A3060000}"/>
    <cellStyle name="20% - Accent6 2 3 4 4 3 2" xfId="24566" xr:uid="{00000000-0005-0000-0000-0000A4060000}"/>
    <cellStyle name="20% - Accent6 2 3 4 4 4" xfId="24563" xr:uid="{00000000-0005-0000-0000-0000A5060000}"/>
    <cellStyle name="20% - Accent6 2 3 4 5" xfId="1033" xr:uid="{00000000-0005-0000-0000-0000A6060000}"/>
    <cellStyle name="20% - Accent6 2 3 4 5 2" xfId="1034" xr:uid="{00000000-0005-0000-0000-0000A7060000}"/>
    <cellStyle name="20% - Accent6 2 3 4 5 2 2" xfId="24568" xr:uid="{00000000-0005-0000-0000-0000A8060000}"/>
    <cellStyle name="20% - Accent6 2 3 4 5 3" xfId="24567" xr:uid="{00000000-0005-0000-0000-0000A9060000}"/>
    <cellStyle name="20% - Accent6 2 3 4 6" xfId="1035" xr:uid="{00000000-0005-0000-0000-0000AA060000}"/>
    <cellStyle name="20% - Accent6 2 3 4 6 2" xfId="24569" xr:uid="{00000000-0005-0000-0000-0000AB060000}"/>
    <cellStyle name="20% - Accent6 2 3 4 7" xfId="24546" xr:uid="{00000000-0005-0000-0000-0000AC060000}"/>
    <cellStyle name="20% - Accent6 2 3 5" xfId="1036" xr:uid="{00000000-0005-0000-0000-0000AD060000}"/>
    <cellStyle name="20% - Accent6 2 3 5 2" xfId="1037" xr:uid="{00000000-0005-0000-0000-0000AE060000}"/>
    <cellStyle name="20% - Accent6 2 3 5 2 2" xfId="1038" xr:uid="{00000000-0005-0000-0000-0000AF060000}"/>
    <cellStyle name="20% - Accent6 2 3 5 2 2 2" xfId="1039" xr:uid="{00000000-0005-0000-0000-0000B0060000}"/>
    <cellStyle name="20% - Accent6 2 3 5 2 2 2 2" xfId="24573" xr:uid="{00000000-0005-0000-0000-0000B1060000}"/>
    <cellStyle name="20% - Accent6 2 3 5 2 2 3" xfId="24572" xr:uid="{00000000-0005-0000-0000-0000B2060000}"/>
    <cellStyle name="20% - Accent6 2 3 5 2 3" xfId="1040" xr:uid="{00000000-0005-0000-0000-0000B3060000}"/>
    <cellStyle name="20% - Accent6 2 3 5 2 3 2" xfId="24574" xr:uid="{00000000-0005-0000-0000-0000B4060000}"/>
    <cellStyle name="20% - Accent6 2 3 5 2 4" xfId="24571" xr:uid="{00000000-0005-0000-0000-0000B5060000}"/>
    <cellStyle name="20% - Accent6 2 3 5 3" xfId="1041" xr:uid="{00000000-0005-0000-0000-0000B6060000}"/>
    <cellStyle name="20% - Accent6 2 3 5 3 2" xfId="1042" xr:uid="{00000000-0005-0000-0000-0000B7060000}"/>
    <cellStyle name="20% - Accent6 2 3 5 3 2 2" xfId="24576" xr:uid="{00000000-0005-0000-0000-0000B8060000}"/>
    <cellStyle name="20% - Accent6 2 3 5 3 3" xfId="24575" xr:uid="{00000000-0005-0000-0000-0000B9060000}"/>
    <cellStyle name="20% - Accent6 2 3 5 4" xfId="1043" xr:uid="{00000000-0005-0000-0000-0000BA060000}"/>
    <cellStyle name="20% - Accent6 2 3 5 4 2" xfId="24577" xr:uid="{00000000-0005-0000-0000-0000BB060000}"/>
    <cellStyle name="20% - Accent6 2 3 5 5" xfId="24570" xr:uid="{00000000-0005-0000-0000-0000BC060000}"/>
    <cellStyle name="20% - Accent6 2 3 6" xfId="1044" xr:uid="{00000000-0005-0000-0000-0000BD060000}"/>
    <cellStyle name="20% - Accent6 2 3 6 2" xfId="1045" xr:uid="{00000000-0005-0000-0000-0000BE060000}"/>
    <cellStyle name="20% - Accent6 2 3 6 2 2" xfId="1046" xr:uid="{00000000-0005-0000-0000-0000BF060000}"/>
    <cellStyle name="20% - Accent6 2 3 6 2 2 2" xfId="1047" xr:uid="{00000000-0005-0000-0000-0000C0060000}"/>
    <cellStyle name="20% - Accent6 2 3 6 2 2 2 2" xfId="24581" xr:uid="{00000000-0005-0000-0000-0000C1060000}"/>
    <cellStyle name="20% - Accent6 2 3 6 2 2 3" xfId="24580" xr:uid="{00000000-0005-0000-0000-0000C2060000}"/>
    <cellStyle name="20% - Accent6 2 3 6 2 3" xfId="1048" xr:uid="{00000000-0005-0000-0000-0000C3060000}"/>
    <cellStyle name="20% - Accent6 2 3 6 2 3 2" xfId="24582" xr:uid="{00000000-0005-0000-0000-0000C4060000}"/>
    <cellStyle name="20% - Accent6 2 3 6 2 4" xfId="24579" xr:uid="{00000000-0005-0000-0000-0000C5060000}"/>
    <cellStyle name="20% - Accent6 2 3 6 3" xfId="1049" xr:uid="{00000000-0005-0000-0000-0000C6060000}"/>
    <cellStyle name="20% - Accent6 2 3 6 3 2" xfId="1050" xr:uid="{00000000-0005-0000-0000-0000C7060000}"/>
    <cellStyle name="20% - Accent6 2 3 6 3 2 2" xfId="24584" xr:uid="{00000000-0005-0000-0000-0000C8060000}"/>
    <cellStyle name="20% - Accent6 2 3 6 3 3" xfId="24583" xr:uid="{00000000-0005-0000-0000-0000C9060000}"/>
    <cellStyle name="20% - Accent6 2 3 6 4" xfId="1051" xr:uid="{00000000-0005-0000-0000-0000CA060000}"/>
    <cellStyle name="20% - Accent6 2 3 6 4 2" xfId="24585" xr:uid="{00000000-0005-0000-0000-0000CB060000}"/>
    <cellStyle name="20% - Accent6 2 3 6 5" xfId="24578" xr:uid="{00000000-0005-0000-0000-0000CC060000}"/>
    <cellStyle name="20% - Accent6 2 3 7" xfId="1052" xr:uid="{00000000-0005-0000-0000-0000CD060000}"/>
    <cellStyle name="20% - Accent6 2 3 7 2" xfId="1053" xr:uid="{00000000-0005-0000-0000-0000CE060000}"/>
    <cellStyle name="20% - Accent6 2 3 7 2 2" xfId="1054" xr:uid="{00000000-0005-0000-0000-0000CF060000}"/>
    <cellStyle name="20% - Accent6 2 3 7 2 2 2" xfId="24588" xr:uid="{00000000-0005-0000-0000-0000D0060000}"/>
    <cellStyle name="20% - Accent6 2 3 7 2 3" xfId="24587" xr:uid="{00000000-0005-0000-0000-0000D1060000}"/>
    <cellStyle name="20% - Accent6 2 3 7 3" xfId="1055" xr:uid="{00000000-0005-0000-0000-0000D2060000}"/>
    <cellStyle name="20% - Accent6 2 3 7 3 2" xfId="24589" xr:uid="{00000000-0005-0000-0000-0000D3060000}"/>
    <cellStyle name="20% - Accent6 2 3 7 4" xfId="24586" xr:uid="{00000000-0005-0000-0000-0000D4060000}"/>
    <cellStyle name="20% - Accent6 2 3 8" xfId="1056" xr:uid="{00000000-0005-0000-0000-0000D5060000}"/>
    <cellStyle name="20% - Accent6 2 3 8 2" xfId="1057" xr:uid="{00000000-0005-0000-0000-0000D6060000}"/>
    <cellStyle name="20% - Accent6 2 3 8 2 2" xfId="24591" xr:uid="{00000000-0005-0000-0000-0000D7060000}"/>
    <cellStyle name="20% - Accent6 2 3 8 3" xfId="24590" xr:uid="{00000000-0005-0000-0000-0000D8060000}"/>
    <cellStyle name="20% - Accent6 2 3 9" xfId="1058" xr:uid="{00000000-0005-0000-0000-0000D9060000}"/>
    <cellStyle name="20% - Accent6 2 3 9 2" xfId="24592" xr:uid="{00000000-0005-0000-0000-0000DA060000}"/>
    <cellStyle name="20% - Accent6 2 4" xfId="1059" xr:uid="{00000000-0005-0000-0000-0000DB060000}"/>
    <cellStyle name="20% - Accent6 2 4 10" xfId="24593" xr:uid="{00000000-0005-0000-0000-0000DC060000}"/>
    <cellStyle name="20% - Accent6 2 4 2" xfId="1060" xr:uid="{00000000-0005-0000-0000-0000DD060000}"/>
    <cellStyle name="20% - Accent6 2 4 2 2" xfId="1061" xr:uid="{00000000-0005-0000-0000-0000DE060000}"/>
    <cellStyle name="20% - Accent6 2 4 2 2 2" xfId="1062" xr:uid="{00000000-0005-0000-0000-0000DF060000}"/>
    <cellStyle name="20% - Accent6 2 4 2 2 2 2" xfId="1063" xr:uid="{00000000-0005-0000-0000-0000E0060000}"/>
    <cellStyle name="20% - Accent6 2 4 2 2 2 2 2" xfId="1064" xr:uid="{00000000-0005-0000-0000-0000E1060000}"/>
    <cellStyle name="20% - Accent6 2 4 2 2 2 2 2 2" xfId="24598" xr:uid="{00000000-0005-0000-0000-0000E2060000}"/>
    <cellStyle name="20% - Accent6 2 4 2 2 2 2 3" xfId="24597" xr:uid="{00000000-0005-0000-0000-0000E3060000}"/>
    <cellStyle name="20% - Accent6 2 4 2 2 2 3" xfId="1065" xr:uid="{00000000-0005-0000-0000-0000E4060000}"/>
    <cellStyle name="20% - Accent6 2 4 2 2 2 3 2" xfId="24599" xr:uid="{00000000-0005-0000-0000-0000E5060000}"/>
    <cellStyle name="20% - Accent6 2 4 2 2 2 4" xfId="24596" xr:uid="{00000000-0005-0000-0000-0000E6060000}"/>
    <cellStyle name="20% - Accent6 2 4 2 2 3" xfId="1066" xr:uid="{00000000-0005-0000-0000-0000E7060000}"/>
    <cellStyle name="20% - Accent6 2 4 2 2 3 2" xfId="1067" xr:uid="{00000000-0005-0000-0000-0000E8060000}"/>
    <cellStyle name="20% - Accent6 2 4 2 2 3 2 2" xfId="24601" xr:uid="{00000000-0005-0000-0000-0000E9060000}"/>
    <cellStyle name="20% - Accent6 2 4 2 2 3 3" xfId="24600" xr:uid="{00000000-0005-0000-0000-0000EA060000}"/>
    <cellStyle name="20% - Accent6 2 4 2 2 4" xfId="1068" xr:uid="{00000000-0005-0000-0000-0000EB060000}"/>
    <cellStyle name="20% - Accent6 2 4 2 2 4 2" xfId="24602" xr:uid="{00000000-0005-0000-0000-0000EC060000}"/>
    <cellStyle name="20% - Accent6 2 4 2 2 5" xfId="24595" xr:uid="{00000000-0005-0000-0000-0000ED060000}"/>
    <cellStyle name="20% - Accent6 2 4 2 3" xfId="1069" xr:uid="{00000000-0005-0000-0000-0000EE060000}"/>
    <cellStyle name="20% - Accent6 2 4 2 3 2" xfId="1070" xr:uid="{00000000-0005-0000-0000-0000EF060000}"/>
    <cellStyle name="20% - Accent6 2 4 2 3 2 2" xfId="1071" xr:uid="{00000000-0005-0000-0000-0000F0060000}"/>
    <cellStyle name="20% - Accent6 2 4 2 3 2 2 2" xfId="1072" xr:uid="{00000000-0005-0000-0000-0000F1060000}"/>
    <cellStyle name="20% - Accent6 2 4 2 3 2 2 2 2" xfId="24606" xr:uid="{00000000-0005-0000-0000-0000F2060000}"/>
    <cellStyle name="20% - Accent6 2 4 2 3 2 2 3" xfId="24605" xr:uid="{00000000-0005-0000-0000-0000F3060000}"/>
    <cellStyle name="20% - Accent6 2 4 2 3 2 3" xfId="1073" xr:uid="{00000000-0005-0000-0000-0000F4060000}"/>
    <cellStyle name="20% - Accent6 2 4 2 3 2 3 2" xfId="24607" xr:uid="{00000000-0005-0000-0000-0000F5060000}"/>
    <cellStyle name="20% - Accent6 2 4 2 3 2 4" xfId="24604" xr:uid="{00000000-0005-0000-0000-0000F6060000}"/>
    <cellStyle name="20% - Accent6 2 4 2 3 3" xfId="1074" xr:uid="{00000000-0005-0000-0000-0000F7060000}"/>
    <cellStyle name="20% - Accent6 2 4 2 3 3 2" xfId="1075" xr:uid="{00000000-0005-0000-0000-0000F8060000}"/>
    <cellStyle name="20% - Accent6 2 4 2 3 3 2 2" xfId="24609" xr:uid="{00000000-0005-0000-0000-0000F9060000}"/>
    <cellStyle name="20% - Accent6 2 4 2 3 3 3" xfId="24608" xr:uid="{00000000-0005-0000-0000-0000FA060000}"/>
    <cellStyle name="20% - Accent6 2 4 2 3 4" xfId="1076" xr:uid="{00000000-0005-0000-0000-0000FB060000}"/>
    <cellStyle name="20% - Accent6 2 4 2 3 4 2" xfId="24610" xr:uid="{00000000-0005-0000-0000-0000FC060000}"/>
    <cellStyle name="20% - Accent6 2 4 2 3 5" xfId="24603" xr:uid="{00000000-0005-0000-0000-0000FD060000}"/>
    <cellStyle name="20% - Accent6 2 4 2 4" xfId="1077" xr:uid="{00000000-0005-0000-0000-0000FE060000}"/>
    <cellStyle name="20% - Accent6 2 4 2 4 2" xfId="1078" xr:uid="{00000000-0005-0000-0000-0000FF060000}"/>
    <cellStyle name="20% - Accent6 2 4 2 4 2 2" xfId="1079" xr:uid="{00000000-0005-0000-0000-000000070000}"/>
    <cellStyle name="20% - Accent6 2 4 2 4 2 2 2" xfId="24613" xr:uid="{00000000-0005-0000-0000-000001070000}"/>
    <cellStyle name="20% - Accent6 2 4 2 4 2 3" xfId="24612" xr:uid="{00000000-0005-0000-0000-000002070000}"/>
    <cellStyle name="20% - Accent6 2 4 2 4 3" xfId="1080" xr:uid="{00000000-0005-0000-0000-000003070000}"/>
    <cellStyle name="20% - Accent6 2 4 2 4 3 2" xfId="24614" xr:uid="{00000000-0005-0000-0000-000004070000}"/>
    <cellStyle name="20% - Accent6 2 4 2 4 4" xfId="24611" xr:uid="{00000000-0005-0000-0000-000005070000}"/>
    <cellStyle name="20% - Accent6 2 4 2 5" xfId="1081" xr:uid="{00000000-0005-0000-0000-000006070000}"/>
    <cellStyle name="20% - Accent6 2 4 2 5 2" xfId="1082" xr:uid="{00000000-0005-0000-0000-000007070000}"/>
    <cellStyle name="20% - Accent6 2 4 2 5 2 2" xfId="24616" xr:uid="{00000000-0005-0000-0000-000008070000}"/>
    <cellStyle name="20% - Accent6 2 4 2 5 3" xfId="24615" xr:uid="{00000000-0005-0000-0000-000009070000}"/>
    <cellStyle name="20% - Accent6 2 4 2 6" xfId="1083" xr:uid="{00000000-0005-0000-0000-00000A070000}"/>
    <cellStyle name="20% - Accent6 2 4 2 6 2" xfId="24617" xr:uid="{00000000-0005-0000-0000-00000B070000}"/>
    <cellStyle name="20% - Accent6 2 4 2 7" xfId="24594" xr:uid="{00000000-0005-0000-0000-00000C070000}"/>
    <cellStyle name="20% - Accent6 2 4 3" xfId="1084" xr:uid="{00000000-0005-0000-0000-00000D070000}"/>
    <cellStyle name="20% - Accent6 2 4 3 2" xfId="1085" xr:uid="{00000000-0005-0000-0000-00000E070000}"/>
    <cellStyle name="20% - Accent6 2 4 3 2 2" xfId="1086" xr:uid="{00000000-0005-0000-0000-00000F070000}"/>
    <cellStyle name="20% - Accent6 2 4 3 2 2 2" xfId="1087" xr:uid="{00000000-0005-0000-0000-000010070000}"/>
    <cellStyle name="20% - Accent6 2 4 3 2 2 2 2" xfId="1088" xr:uid="{00000000-0005-0000-0000-000011070000}"/>
    <cellStyle name="20% - Accent6 2 4 3 2 2 2 2 2" xfId="24622" xr:uid="{00000000-0005-0000-0000-000012070000}"/>
    <cellStyle name="20% - Accent6 2 4 3 2 2 2 3" xfId="24621" xr:uid="{00000000-0005-0000-0000-000013070000}"/>
    <cellStyle name="20% - Accent6 2 4 3 2 2 3" xfId="1089" xr:uid="{00000000-0005-0000-0000-000014070000}"/>
    <cellStyle name="20% - Accent6 2 4 3 2 2 3 2" xfId="24623" xr:uid="{00000000-0005-0000-0000-000015070000}"/>
    <cellStyle name="20% - Accent6 2 4 3 2 2 4" xfId="24620" xr:uid="{00000000-0005-0000-0000-000016070000}"/>
    <cellStyle name="20% - Accent6 2 4 3 2 3" xfId="1090" xr:uid="{00000000-0005-0000-0000-000017070000}"/>
    <cellStyle name="20% - Accent6 2 4 3 2 3 2" xfId="1091" xr:uid="{00000000-0005-0000-0000-000018070000}"/>
    <cellStyle name="20% - Accent6 2 4 3 2 3 2 2" xfId="24625" xr:uid="{00000000-0005-0000-0000-000019070000}"/>
    <cellStyle name="20% - Accent6 2 4 3 2 3 3" xfId="24624" xr:uid="{00000000-0005-0000-0000-00001A070000}"/>
    <cellStyle name="20% - Accent6 2 4 3 2 4" xfId="1092" xr:uid="{00000000-0005-0000-0000-00001B070000}"/>
    <cellStyle name="20% - Accent6 2 4 3 2 4 2" xfId="24626" xr:uid="{00000000-0005-0000-0000-00001C070000}"/>
    <cellStyle name="20% - Accent6 2 4 3 2 5" xfId="24619" xr:uid="{00000000-0005-0000-0000-00001D070000}"/>
    <cellStyle name="20% - Accent6 2 4 3 3" xfId="1093" xr:uid="{00000000-0005-0000-0000-00001E070000}"/>
    <cellStyle name="20% - Accent6 2 4 3 3 2" xfId="1094" xr:uid="{00000000-0005-0000-0000-00001F070000}"/>
    <cellStyle name="20% - Accent6 2 4 3 3 2 2" xfId="1095" xr:uid="{00000000-0005-0000-0000-000020070000}"/>
    <cellStyle name="20% - Accent6 2 4 3 3 2 2 2" xfId="1096" xr:uid="{00000000-0005-0000-0000-000021070000}"/>
    <cellStyle name="20% - Accent6 2 4 3 3 2 2 2 2" xfId="24630" xr:uid="{00000000-0005-0000-0000-000022070000}"/>
    <cellStyle name="20% - Accent6 2 4 3 3 2 2 3" xfId="24629" xr:uid="{00000000-0005-0000-0000-000023070000}"/>
    <cellStyle name="20% - Accent6 2 4 3 3 2 3" xfId="1097" xr:uid="{00000000-0005-0000-0000-000024070000}"/>
    <cellStyle name="20% - Accent6 2 4 3 3 2 3 2" xfId="24631" xr:uid="{00000000-0005-0000-0000-000025070000}"/>
    <cellStyle name="20% - Accent6 2 4 3 3 2 4" xfId="24628" xr:uid="{00000000-0005-0000-0000-000026070000}"/>
    <cellStyle name="20% - Accent6 2 4 3 3 3" xfId="1098" xr:uid="{00000000-0005-0000-0000-000027070000}"/>
    <cellStyle name="20% - Accent6 2 4 3 3 3 2" xfId="1099" xr:uid="{00000000-0005-0000-0000-000028070000}"/>
    <cellStyle name="20% - Accent6 2 4 3 3 3 2 2" xfId="24633" xr:uid="{00000000-0005-0000-0000-000029070000}"/>
    <cellStyle name="20% - Accent6 2 4 3 3 3 3" xfId="24632" xr:uid="{00000000-0005-0000-0000-00002A070000}"/>
    <cellStyle name="20% - Accent6 2 4 3 3 4" xfId="1100" xr:uid="{00000000-0005-0000-0000-00002B070000}"/>
    <cellStyle name="20% - Accent6 2 4 3 3 4 2" xfId="24634" xr:uid="{00000000-0005-0000-0000-00002C070000}"/>
    <cellStyle name="20% - Accent6 2 4 3 3 5" xfId="24627" xr:uid="{00000000-0005-0000-0000-00002D070000}"/>
    <cellStyle name="20% - Accent6 2 4 3 4" xfId="1101" xr:uid="{00000000-0005-0000-0000-00002E070000}"/>
    <cellStyle name="20% - Accent6 2 4 3 4 2" xfId="1102" xr:uid="{00000000-0005-0000-0000-00002F070000}"/>
    <cellStyle name="20% - Accent6 2 4 3 4 2 2" xfId="1103" xr:uid="{00000000-0005-0000-0000-000030070000}"/>
    <cellStyle name="20% - Accent6 2 4 3 4 2 2 2" xfId="24637" xr:uid="{00000000-0005-0000-0000-000031070000}"/>
    <cellStyle name="20% - Accent6 2 4 3 4 2 3" xfId="24636" xr:uid="{00000000-0005-0000-0000-000032070000}"/>
    <cellStyle name="20% - Accent6 2 4 3 4 3" xfId="1104" xr:uid="{00000000-0005-0000-0000-000033070000}"/>
    <cellStyle name="20% - Accent6 2 4 3 4 3 2" xfId="24638" xr:uid="{00000000-0005-0000-0000-000034070000}"/>
    <cellStyle name="20% - Accent6 2 4 3 4 4" xfId="24635" xr:uid="{00000000-0005-0000-0000-000035070000}"/>
    <cellStyle name="20% - Accent6 2 4 3 5" xfId="1105" xr:uid="{00000000-0005-0000-0000-000036070000}"/>
    <cellStyle name="20% - Accent6 2 4 3 5 2" xfId="1106" xr:uid="{00000000-0005-0000-0000-000037070000}"/>
    <cellStyle name="20% - Accent6 2 4 3 5 2 2" xfId="24640" xr:uid="{00000000-0005-0000-0000-000038070000}"/>
    <cellStyle name="20% - Accent6 2 4 3 5 3" xfId="24639" xr:uid="{00000000-0005-0000-0000-000039070000}"/>
    <cellStyle name="20% - Accent6 2 4 3 6" xfId="1107" xr:uid="{00000000-0005-0000-0000-00003A070000}"/>
    <cellStyle name="20% - Accent6 2 4 3 6 2" xfId="24641" xr:uid="{00000000-0005-0000-0000-00003B070000}"/>
    <cellStyle name="20% - Accent6 2 4 3 7" xfId="24618" xr:uid="{00000000-0005-0000-0000-00003C070000}"/>
    <cellStyle name="20% - Accent6 2 4 4" xfId="1108" xr:uid="{00000000-0005-0000-0000-00003D070000}"/>
    <cellStyle name="20% - Accent6 2 4 4 2" xfId="1109" xr:uid="{00000000-0005-0000-0000-00003E070000}"/>
    <cellStyle name="20% - Accent6 2 4 4 2 2" xfId="1110" xr:uid="{00000000-0005-0000-0000-00003F070000}"/>
    <cellStyle name="20% - Accent6 2 4 4 2 2 2" xfId="1111" xr:uid="{00000000-0005-0000-0000-000040070000}"/>
    <cellStyle name="20% - Accent6 2 4 4 2 2 2 2" xfId="1112" xr:uid="{00000000-0005-0000-0000-000041070000}"/>
    <cellStyle name="20% - Accent6 2 4 4 2 2 2 2 2" xfId="24646" xr:uid="{00000000-0005-0000-0000-000042070000}"/>
    <cellStyle name="20% - Accent6 2 4 4 2 2 2 3" xfId="24645" xr:uid="{00000000-0005-0000-0000-000043070000}"/>
    <cellStyle name="20% - Accent6 2 4 4 2 2 3" xfId="1113" xr:uid="{00000000-0005-0000-0000-000044070000}"/>
    <cellStyle name="20% - Accent6 2 4 4 2 2 3 2" xfId="24647" xr:uid="{00000000-0005-0000-0000-000045070000}"/>
    <cellStyle name="20% - Accent6 2 4 4 2 2 4" xfId="24644" xr:uid="{00000000-0005-0000-0000-000046070000}"/>
    <cellStyle name="20% - Accent6 2 4 4 2 3" xfId="1114" xr:uid="{00000000-0005-0000-0000-000047070000}"/>
    <cellStyle name="20% - Accent6 2 4 4 2 3 2" xfId="1115" xr:uid="{00000000-0005-0000-0000-000048070000}"/>
    <cellStyle name="20% - Accent6 2 4 4 2 3 2 2" xfId="24649" xr:uid="{00000000-0005-0000-0000-000049070000}"/>
    <cellStyle name="20% - Accent6 2 4 4 2 3 3" xfId="24648" xr:uid="{00000000-0005-0000-0000-00004A070000}"/>
    <cellStyle name="20% - Accent6 2 4 4 2 4" xfId="1116" xr:uid="{00000000-0005-0000-0000-00004B070000}"/>
    <cellStyle name="20% - Accent6 2 4 4 2 4 2" xfId="24650" xr:uid="{00000000-0005-0000-0000-00004C070000}"/>
    <cellStyle name="20% - Accent6 2 4 4 2 5" xfId="24643" xr:uid="{00000000-0005-0000-0000-00004D070000}"/>
    <cellStyle name="20% - Accent6 2 4 4 3" xfId="1117" xr:uid="{00000000-0005-0000-0000-00004E070000}"/>
    <cellStyle name="20% - Accent6 2 4 4 3 2" xfId="1118" xr:uid="{00000000-0005-0000-0000-00004F070000}"/>
    <cellStyle name="20% - Accent6 2 4 4 3 2 2" xfId="1119" xr:uid="{00000000-0005-0000-0000-000050070000}"/>
    <cellStyle name="20% - Accent6 2 4 4 3 2 2 2" xfId="1120" xr:uid="{00000000-0005-0000-0000-000051070000}"/>
    <cellStyle name="20% - Accent6 2 4 4 3 2 2 2 2" xfId="24654" xr:uid="{00000000-0005-0000-0000-000052070000}"/>
    <cellStyle name="20% - Accent6 2 4 4 3 2 2 3" xfId="24653" xr:uid="{00000000-0005-0000-0000-000053070000}"/>
    <cellStyle name="20% - Accent6 2 4 4 3 2 3" xfId="1121" xr:uid="{00000000-0005-0000-0000-000054070000}"/>
    <cellStyle name="20% - Accent6 2 4 4 3 2 3 2" xfId="24655" xr:uid="{00000000-0005-0000-0000-000055070000}"/>
    <cellStyle name="20% - Accent6 2 4 4 3 2 4" xfId="24652" xr:uid="{00000000-0005-0000-0000-000056070000}"/>
    <cellStyle name="20% - Accent6 2 4 4 3 3" xfId="1122" xr:uid="{00000000-0005-0000-0000-000057070000}"/>
    <cellStyle name="20% - Accent6 2 4 4 3 3 2" xfId="1123" xr:uid="{00000000-0005-0000-0000-000058070000}"/>
    <cellStyle name="20% - Accent6 2 4 4 3 3 2 2" xfId="24657" xr:uid="{00000000-0005-0000-0000-000059070000}"/>
    <cellStyle name="20% - Accent6 2 4 4 3 3 3" xfId="24656" xr:uid="{00000000-0005-0000-0000-00005A070000}"/>
    <cellStyle name="20% - Accent6 2 4 4 3 4" xfId="1124" xr:uid="{00000000-0005-0000-0000-00005B070000}"/>
    <cellStyle name="20% - Accent6 2 4 4 3 4 2" xfId="24658" xr:uid="{00000000-0005-0000-0000-00005C070000}"/>
    <cellStyle name="20% - Accent6 2 4 4 3 5" xfId="24651" xr:uid="{00000000-0005-0000-0000-00005D070000}"/>
    <cellStyle name="20% - Accent6 2 4 4 4" xfId="1125" xr:uid="{00000000-0005-0000-0000-00005E070000}"/>
    <cellStyle name="20% - Accent6 2 4 4 4 2" xfId="1126" xr:uid="{00000000-0005-0000-0000-00005F070000}"/>
    <cellStyle name="20% - Accent6 2 4 4 4 2 2" xfId="1127" xr:uid="{00000000-0005-0000-0000-000060070000}"/>
    <cellStyle name="20% - Accent6 2 4 4 4 2 2 2" xfId="24661" xr:uid="{00000000-0005-0000-0000-000061070000}"/>
    <cellStyle name="20% - Accent6 2 4 4 4 2 3" xfId="24660" xr:uid="{00000000-0005-0000-0000-000062070000}"/>
    <cellStyle name="20% - Accent6 2 4 4 4 3" xfId="1128" xr:uid="{00000000-0005-0000-0000-000063070000}"/>
    <cellStyle name="20% - Accent6 2 4 4 4 3 2" xfId="24662" xr:uid="{00000000-0005-0000-0000-000064070000}"/>
    <cellStyle name="20% - Accent6 2 4 4 4 4" xfId="24659" xr:uid="{00000000-0005-0000-0000-000065070000}"/>
    <cellStyle name="20% - Accent6 2 4 4 5" xfId="1129" xr:uid="{00000000-0005-0000-0000-000066070000}"/>
    <cellStyle name="20% - Accent6 2 4 4 5 2" xfId="1130" xr:uid="{00000000-0005-0000-0000-000067070000}"/>
    <cellStyle name="20% - Accent6 2 4 4 5 2 2" xfId="24664" xr:uid="{00000000-0005-0000-0000-000068070000}"/>
    <cellStyle name="20% - Accent6 2 4 4 5 3" xfId="24663" xr:uid="{00000000-0005-0000-0000-000069070000}"/>
    <cellStyle name="20% - Accent6 2 4 4 6" xfId="1131" xr:uid="{00000000-0005-0000-0000-00006A070000}"/>
    <cellStyle name="20% - Accent6 2 4 4 6 2" xfId="24665" xr:uid="{00000000-0005-0000-0000-00006B070000}"/>
    <cellStyle name="20% - Accent6 2 4 4 7" xfId="24642" xr:uid="{00000000-0005-0000-0000-00006C070000}"/>
    <cellStyle name="20% - Accent6 2 4 5" xfId="1132" xr:uid="{00000000-0005-0000-0000-00006D070000}"/>
    <cellStyle name="20% - Accent6 2 4 5 2" xfId="1133" xr:uid="{00000000-0005-0000-0000-00006E070000}"/>
    <cellStyle name="20% - Accent6 2 4 5 2 2" xfId="1134" xr:uid="{00000000-0005-0000-0000-00006F070000}"/>
    <cellStyle name="20% - Accent6 2 4 5 2 2 2" xfId="1135" xr:uid="{00000000-0005-0000-0000-000070070000}"/>
    <cellStyle name="20% - Accent6 2 4 5 2 2 2 2" xfId="24669" xr:uid="{00000000-0005-0000-0000-000071070000}"/>
    <cellStyle name="20% - Accent6 2 4 5 2 2 3" xfId="24668" xr:uid="{00000000-0005-0000-0000-000072070000}"/>
    <cellStyle name="20% - Accent6 2 4 5 2 3" xfId="1136" xr:uid="{00000000-0005-0000-0000-000073070000}"/>
    <cellStyle name="20% - Accent6 2 4 5 2 3 2" xfId="24670" xr:uid="{00000000-0005-0000-0000-000074070000}"/>
    <cellStyle name="20% - Accent6 2 4 5 2 4" xfId="24667" xr:uid="{00000000-0005-0000-0000-000075070000}"/>
    <cellStyle name="20% - Accent6 2 4 5 3" xfId="1137" xr:uid="{00000000-0005-0000-0000-000076070000}"/>
    <cellStyle name="20% - Accent6 2 4 5 3 2" xfId="1138" xr:uid="{00000000-0005-0000-0000-000077070000}"/>
    <cellStyle name="20% - Accent6 2 4 5 3 2 2" xfId="24672" xr:uid="{00000000-0005-0000-0000-000078070000}"/>
    <cellStyle name="20% - Accent6 2 4 5 3 3" xfId="24671" xr:uid="{00000000-0005-0000-0000-000079070000}"/>
    <cellStyle name="20% - Accent6 2 4 5 4" xfId="1139" xr:uid="{00000000-0005-0000-0000-00007A070000}"/>
    <cellStyle name="20% - Accent6 2 4 5 4 2" xfId="24673" xr:uid="{00000000-0005-0000-0000-00007B070000}"/>
    <cellStyle name="20% - Accent6 2 4 5 5" xfId="24666" xr:uid="{00000000-0005-0000-0000-00007C070000}"/>
    <cellStyle name="20% - Accent6 2 4 6" xfId="1140" xr:uid="{00000000-0005-0000-0000-00007D070000}"/>
    <cellStyle name="20% - Accent6 2 4 6 2" xfId="1141" xr:uid="{00000000-0005-0000-0000-00007E070000}"/>
    <cellStyle name="20% - Accent6 2 4 6 2 2" xfId="1142" xr:uid="{00000000-0005-0000-0000-00007F070000}"/>
    <cellStyle name="20% - Accent6 2 4 6 2 2 2" xfId="1143" xr:uid="{00000000-0005-0000-0000-000080070000}"/>
    <cellStyle name="20% - Accent6 2 4 6 2 2 2 2" xfId="24677" xr:uid="{00000000-0005-0000-0000-000081070000}"/>
    <cellStyle name="20% - Accent6 2 4 6 2 2 3" xfId="24676" xr:uid="{00000000-0005-0000-0000-000082070000}"/>
    <cellStyle name="20% - Accent6 2 4 6 2 3" xfId="1144" xr:uid="{00000000-0005-0000-0000-000083070000}"/>
    <cellStyle name="20% - Accent6 2 4 6 2 3 2" xfId="24678" xr:uid="{00000000-0005-0000-0000-000084070000}"/>
    <cellStyle name="20% - Accent6 2 4 6 2 4" xfId="24675" xr:uid="{00000000-0005-0000-0000-000085070000}"/>
    <cellStyle name="20% - Accent6 2 4 6 3" xfId="1145" xr:uid="{00000000-0005-0000-0000-000086070000}"/>
    <cellStyle name="20% - Accent6 2 4 6 3 2" xfId="1146" xr:uid="{00000000-0005-0000-0000-000087070000}"/>
    <cellStyle name="20% - Accent6 2 4 6 3 2 2" xfId="24680" xr:uid="{00000000-0005-0000-0000-000088070000}"/>
    <cellStyle name="20% - Accent6 2 4 6 3 3" xfId="24679" xr:uid="{00000000-0005-0000-0000-000089070000}"/>
    <cellStyle name="20% - Accent6 2 4 6 4" xfId="1147" xr:uid="{00000000-0005-0000-0000-00008A070000}"/>
    <cellStyle name="20% - Accent6 2 4 6 4 2" xfId="24681" xr:uid="{00000000-0005-0000-0000-00008B070000}"/>
    <cellStyle name="20% - Accent6 2 4 6 5" xfId="24674" xr:uid="{00000000-0005-0000-0000-00008C070000}"/>
    <cellStyle name="20% - Accent6 2 4 7" xfId="1148" xr:uid="{00000000-0005-0000-0000-00008D070000}"/>
    <cellStyle name="20% - Accent6 2 4 7 2" xfId="1149" xr:uid="{00000000-0005-0000-0000-00008E070000}"/>
    <cellStyle name="20% - Accent6 2 4 7 2 2" xfId="1150" xr:uid="{00000000-0005-0000-0000-00008F070000}"/>
    <cellStyle name="20% - Accent6 2 4 7 2 2 2" xfId="24684" xr:uid="{00000000-0005-0000-0000-000090070000}"/>
    <cellStyle name="20% - Accent6 2 4 7 2 3" xfId="24683" xr:uid="{00000000-0005-0000-0000-000091070000}"/>
    <cellStyle name="20% - Accent6 2 4 7 3" xfId="1151" xr:uid="{00000000-0005-0000-0000-000092070000}"/>
    <cellStyle name="20% - Accent6 2 4 7 3 2" xfId="24685" xr:uid="{00000000-0005-0000-0000-000093070000}"/>
    <cellStyle name="20% - Accent6 2 4 7 4" xfId="24682" xr:uid="{00000000-0005-0000-0000-000094070000}"/>
    <cellStyle name="20% - Accent6 2 4 8" xfId="1152" xr:uid="{00000000-0005-0000-0000-000095070000}"/>
    <cellStyle name="20% - Accent6 2 4 8 2" xfId="1153" xr:uid="{00000000-0005-0000-0000-000096070000}"/>
    <cellStyle name="20% - Accent6 2 4 8 2 2" xfId="24687" xr:uid="{00000000-0005-0000-0000-000097070000}"/>
    <cellStyle name="20% - Accent6 2 4 8 3" xfId="24686" xr:uid="{00000000-0005-0000-0000-000098070000}"/>
    <cellStyle name="20% - Accent6 2 4 9" xfId="1154" xr:uid="{00000000-0005-0000-0000-000099070000}"/>
    <cellStyle name="20% - Accent6 2 4 9 2" xfId="24688" xr:uid="{00000000-0005-0000-0000-00009A070000}"/>
    <cellStyle name="20% - Accent6 2 5" xfId="1155" xr:uid="{00000000-0005-0000-0000-00009B070000}"/>
    <cellStyle name="20% - Accent6 2 5 2" xfId="1156" xr:uid="{00000000-0005-0000-0000-00009C070000}"/>
    <cellStyle name="20% - Accent6 2 5 2 2" xfId="1157" xr:uid="{00000000-0005-0000-0000-00009D070000}"/>
    <cellStyle name="20% - Accent6 2 5 2 2 2" xfId="1158" xr:uid="{00000000-0005-0000-0000-00009E070000}"/>
    <cellStyle name="20% - Accent6 2 5 2 2 2 2" xfId="1159" xr:uid="{00000000-0005-0000-0000-00009F070000}"/>
    <cellStyle name="20% - Accent6 2 5 2 2 2 2 2" xfId="1160" xr:uid="{00000000-0005-0000-0000-0000A0070000}"/>
    <cellStyle name="20% - Accent6 2 5 2 2 2 2 2 2" xfId="24694" xr:uid="{00000000-0005-0000-0000-0000A1070000}"/>
    <cellStyle name="20% - Accent6 2 5 2 2 2 2 3" xfId="24693" xr:uid="{00000000-0005-0000-0000-0000A2070000}"/>
    <cellStyle name="20% - Accent6 2 5 2 2 2 3" xfId="1161" xr:uid="{00000000-0005-0000-0000-0000A3070000}"/>
    <cellStyle name="20% - Accent6 2 5 2 2 2 3 2" xfId="24695" xr:uid="{00000000-0005-0000-0000-0000A4070000}"/>
    <cellStyle name="20% - Accent6 2 5 2 2 2 4" xfId="24692" xr:uid="{00000000-0005-0000-0000-0000A5070000}"/>
    <cellStyle name="20% - Accent6 2 5 2 2 3" xfId="1162" xr:uid="{00000000-0005-0000-0000-0000A6070000}"/>
    <cellStyle name="20% - Accent6 2 5 2 2 3 2" xfId="1163" xr:uid="{00000000-0005-0000-0000-0000A7070000}"/>
    <cellStyle name="20% - Accent6 2 5 2 2 3 2 2" xfId="24697" xr:uid="{00000000-0005-0000-0000-0000A8070000}"/>
    <cellStyle name="20% - Accent6 2 5 2 2 3 3" xfId="24696" xr:uid="{00000000-0005-0000-0000-0000A9070000}"/>
    <cellStyle name="20% - Accent6 2 5 2 2 4" xfId="1164" xr:uid="{00000000-0005-0000-0000-0000AA070000}"/>
    <cellStyle name="20% - Accent6 2 5 2 2 4 2" xfId="24698" xr:uid="{00000000-0005-0000-0000-0000AB070000}"/>
    <cellStyle name="20% - Accent6 2 5 2 2 5" xfId="24691" xr:uid="{00000000-0005-0000-0000-0000AC070000}"/>
    <cellStyle name="20% - Accent6 2 5 2 3" xfId="1165" xr:uid="{00000000-0005-0000-0000-0000AD070000}"/>
    <cellStyle name="20% - Accent6 2 5 2 3 2" xfId="1166" xr:uid="{00000000-0005-0000-0000-0000AE070000}"/>
    <cellStyle name="20% - Accent6 2 5 2 3 2 2" xfId="1167" xr:uid="{00000000-0005-0000-0000-0000AF070000}"/>
    <cellStyle name="20% - Accent6 2 5 2 3 2 2 2" xfId="1168" xr:uid="{00000000-0005-0000-0000-0000B0070000}"/>
    <cellStyle name="20% - Accent6 2 5 2 3 2 2 2 2" xfId="24702" xr:uid="{00000000-0005-0000-0000-0000B1070000}"/>
    <cellStyle name="20% - Accent6 2 5 2 3 2 2 3" xfId="24701" xr:uid="{00000000-0005-0000-0000-0000B2070000}"/>
    <cellStyle name="20% - Accent6 2 5 2 3 2 3" xfId="1169" xr:uid="{00000000-0005-0000-0000-0000B3070000}"/>
    <cellStyle name="20% - Accent6 2 5 2 3 2 3 2" xfId="24703" xr:uid="{00000000-0005-0000-0000-0000B4070000}"/>
    <cellStyle name="20% - Accent6 2 5 2 3 2 4" xfId="24700" xr:uid="{00000000-0005-0000-0000-0000B5070000}"/>
    <cellStyle name="20% - Accent6 2 5 2 3 3" xfId="1170" xr:uid="{00000000-0005-0000-0000-0000B6070000}"/>
    <cellStyle name="20% - Accent6 2 5 2 3 3 2" xfId="1171" xr:uid="{00000000-0005-0000-0000-0000B7070000}"/>
    <cellStyle name="20% - Accent6 2 5 2 3 3 2 2" xfId="24705" xr:uid="{00000000-0005-0000-0000-0000B8070000}"/>
    <cellStyle name="20% - Accent6 2 5 2 3 3 3" xfId="24704" xr:uid="{00000000-0005-0000-0000-0000B9070000}"/>
    <cellStyle name="20% - Accent6 2 5 2 3 4" xfId="1172" xr:uid="{00000000-0005-0000-0000-0000BA070000}"/>
    <cellStyle name="20% - Accent6 2 5 2 3 4 2" xfId="24706" xr:uid="{00000000-0005-0000-0000-0000BB070000}"/>
    <cellStyle name="20% - Accent6 2 5 2 3 5" xfId="24699" xr:uid="{00000000-0005-0000-0000-0000BC070000}"/>
    <cellStyle name="20% - Accent6 2 5 2 4" xfId="1173" xr:uid="{00000000-0005-0000-0000-0000BD070000}"/>
    <cellStyle name="20% - Accent6 2 5 2 4 2" xfId="1174" xr:uid="{00000000-0005-0000-0000-0000BE070000}"/>
    <cellStyle name="20% - Accent6 2 5 2 4 2 2" xfId="1175" xr:uid="{00000000-0005-0000-0000-0000BF070000}"/>
    <cellStyle name="20% - Accent6 2 5 2 4 2 2 2" xfId="24709" xr:uid="{00000000-0005-0000-0000-0000C0070000}"/>
    <cellStyle name="20% - Accent6 2 5 2 4 2 3" xfId="24708" xr:uid="{00000000-0005-0000-0000-0000C1070000}"/>
    <cellStyle name="20% - Accent6 2 5 2 4 3" xfId="1176" xr:uid="{00000000-0005-0000-0000-0000C2070000}"/>
    <cellStyle name="20% - Accent6 2 5 2 4 3 2" xfId="24710" xr:uid="{00000000-0005-0000-0000-0000C3070000}"/>
    <cellStyle name="20% - Accent6 2 5 2 4 4" xfId="24707" xr:uid="{00000000-0005-0000-0000-0000C4070000}"/>
    <cellStyle name="20% - Accent6 2 5 2 5" xfId="1177" xr:uid="{00000000-0005-0000-0000-0000C5070000}"/>
    <cellStyle name="20% - Accent6 2 5 2 5 2" xfId="1178" xr:uid="{00000000-0005-0000-0000-0000C6070000}"/>
    <cellStyle name="20% - Accent6 2 5 2 5 2 2" xfId="24712" xr:uid="{00000000-0005-0000-0000-0000C7070000}"/>
    <cellStyle name="20% - Accent6 2 5 2 5 3" xfId="24711" xr:uid="{00000000-0005-0000-0000-0000C8070000}"/>
    <cellStyle name="20% - Accent6 2 5 2 6" xfId="1179" xr:uid="{00000000-0005-0000-0000-0000C9070000}"/>
    <cellStyle name="20% - Accent6 2 5 2 6 2" xfId="24713" xr:uid="{00000000-0005-0000-0000-0000CA070000}"/>
    <cellStyle name="20% - Accent6 2 5 2 7" xfId="24690" xr:uid="{00000000-0005-0000-0000-0000CB070000}"/>
    <cellStyle name="20% - Accent6 2 5 3" xfId="1180" xr:uid="{00000000-0005-0000-0000-0000CC070000}"/>
    <cellStyle name="20% - Accent6 2 5 3 2" xfId="1181" xr:uid="{00000000-0005-0000-0000-0000CD070000}"/>
    <cellStyle name="20% - Accent6 2 5 3 2 2" xfId="1182" xr:uid="{00000000-0005-0000-0000-0000CE070000}"/>
    <cellStyle name="20% - Accent6 2 5 3 2 2 2" xfId="1183" xr:uid="{00000000-0005-0000-0000-0000CF070000}"/>
    <cellStyle name="20% - Accent6 2 5 3 2 2 2 2" xfId="1184" xr:uid="{00000000-0005-0000-0000-0000D0070000}"/>
    <cellStyle name="20% - Accent6 2 5 3 2 2 2 2 2" xfId="24718" xr:uid="{00000000-0005-0000-0000-0000D1070000}"/>
    <cellStyle name="20% - Accent6 2 5 3 2 2 2 3" xfId="24717" xr:uid="{00000000-0005-0000-0000-0000D2070000}"/>
    <cellStyle name="20% - Accent6 2 5 3 2 2 3" xfId="1185" xr:uid="{00000000-0005-0000-0000-0000D3070000}"/>
    <cellStyle name="20% - Accent6 2 5 3 2 2 3 2" xfId="24719" xr:uid="{00000000-0005-0000-0000-0000D4070000}"/>
    <cellStyle name="20% - Accent6 2 5 3 2 2 4" xfId="24716" xr:uid="{00000000-0005-0000-0000-0000D5070000}"/>
    <cellStyle name="20% - Accent6 2 5 3 2 3" xfId="1186" xr:uid="{00000000-0005-0000-0000-0000D6070000}"/>
    <cellStyle name="20% - Accent6 2 5 3 2 3 2" xfId="1187" xr:uid="{00000000-0005-0000-0000-0000D7070000}"/>
    <cellStyle name="20% - Accent6 2 5 3 2 3 2 2" xfId="24721" xr:uid="{00000000-0005-0000-0000-0000D8070000}"/>
    <cellStyle name="20% - Accent6 2 5 3 2 3 3" xfId="24720" xr:uid="{00000000-0005-0000-0000-0000D9070000}"/>
    <cellStyle name="20% - Accent6 2 5 3 2 4" xfId="1188" xr:uid="{00000000-0005-0000-0000-0000DA070000}"/>
    <cellStyle name="20% - Accent6 2 5 3 2 4 2" xfId="24722" xr:uid="{00000000-0005-0000-0000-0000DB070000}"/>
    <cellStyle name="20% - Accent6 2 5 3 2 5" xfId="24715" xr:uid="{00000000-0005-0000-0000-0000DC070000}"/>
    <cellStyle name="20% - Accent6 2 5 3 3" xfId="1189" xr:uid="{00000000-0005-0000-0000-0000DD070000}"/>
    <cellStyle name="20% - Accent6 2 5 3 3 2" xfId="1190" xr:uid="{00000000-0005-0000-0000-0000DE070000}"/>
    <cellStyle name="20% - Accent6 2 5 3 3 2 2" xfId="1191" xr:uid="{00000000-0005-0000-0000-0000DF070000}"/>
    <cellStyle name="20% - Accent6 2 5 3 3 2 2 2" xfId="1192" xr:uid="{00000000-0005-0000-0000-0000E0070000}"/>
    <cellStyle name="20% - Accent6 2 5 3 3 2 2 2 2" xfId="24726" xr:uid="{00000000-0005-0000-0000-0000E1070000}"/>
    <cellStyle name="20% - Accent6 2 5 3 3 2 2 3" xfId="24725" xr:uid="{00000000-0005-0000-0000-0000E2070000}"/>
    <cellStyle name="20% - Accent6 2 5 3 3 2 3" xfId="1193" xr:uid="{00000000-0005-0000-0000-0000E3070000}"/>
    <cellStyle name="20% - Accent6 2 5 3 3 2 3 2" xfId="24727" xr:uid="{00000000-0005-0000-0000-0000E4070000}"/>
    <cellStyle name="20% - Accent6 2 5 3 3 2 4" xfId="24724" xr:uid="{00000000-0005-0000-0000-0000E5070000}"/>
    <cellStyle name="20% - Accent6 2 5 3 3 3" xfId="1194" xr:uid="{00000000-0005-0000-0000-0000E6070000}"/>
    <cellStyle name="20% - Accent6 2 5 3 3 3 2" xfId="1195" xr:uid="{00000000-0005-0000-0000-0000E7070000}"/>
    <cellStyle name="20% - Accent6 2 5 3 3 3 2 2" xfId="24729" xr:uid="{00000000-0005-0000-0000-0000E8070000}"/>
    <cellStyle name="20% - Accent6 2 5 3 3 3 3" xfId="24728" xr:uid="{00000000-0005-0000-0000-0000E9070000}"/>
    <cellStyle name="20% - Accent6 2 5 3 3 4" xfId="1196" xr:uid="{00000000-0005-0000-0000-0000EA070000}"/>
    <cellStyle name="20% - Accent6 2 5 3 3 4 2" xfId="24730" xr:uid="{00000000-0005-0000-0000-0000EB070000}"/>
    <cellStyle name="20% - Accent6 2 5 3 3 5" xfId="24723" xr:uid="{00000000-0005-0000-0000-0000EC070000}"/>
    <cellStyle name="20% - Accent6 2 5 3 4" xfId="1197" xr:uid="{00000000-0005-0000-0000-0000ED070000}"/>
    <cellStyle name="20% - Accent6 2 5 3 4 2" xfId="1198" xr:uid="{00000000-0005-0000-0000-0000EE070000}"/>
    <cellStyle name="20% - Accent6 2 5 3 4 2 2" xfId="1199" xr:uid="{00000000-0005-0000-0000-0000EF070000}"/>
    <cellStyle name="20% - Accent6 2 5 3 4 2 2 2" xfId="24733" xr:uid="{00000000-0005-0000-0000-0000F0070000}"/>
    <cellStyle name="20% - Accent6 2 5 3 4 2 3" xfId="24732" xr:uid="{00000000-0005-0000-0000-0000F1070000}"/>
    <cellStyle name="20% - Accent6 2 5 3 4 3" xfId="1200" xr:uid="{00000000-0005-0000-0000-0000F2070000}"/>
    <cellStyle name="20% - Accent6 2 5 3 4 3 2" xfId="24734" xr:uid="{00000000-0005-0000-0000-0000F3070000}"/>
    <cellStyle name="20% - Accent6 2 5 3 4 4" xfId="24731" xr:uid="{00000000-0005-0000-0000-0000F4070000}"/>
    <cellStyle name="20% - Accent6 2 5 3 5" xfId="1201" xr:uid="{00000000-0005-0000-0000-0000F5070000}"/>
    <cellStyle name="20% - Accent6 2 5 3 5 2" xfId="1202" xr:uid="{00000000-0005-0000-0000-0000F6070000}"/>
    <cellStyle name="20% - Accent6 2 5 3 5 2 2" xfId="24736" xr:uid="{00000000-0005-0000-0000-0000F7070000}"/>
    <cellStyle name="20% - Accent6 2 5 3 5 3" xfId="24735" xr:uid="{00000000-0005-0000-0000-0000F8070000}"/>
    <cellStyle name="20% - Accent6 2 5 3 6" xfId="1203" xr:uid="{00000000-0005-0000-0000-0000F9070000}"/>
    <cellStyle name="20% - Accent6 2 5 3 6 2" xfId="24737" xr:uid="{00000000-0005-0000-0000-0000FA070000}"/>
    <cellStyle name="20% - Accent6 2 5 3 7" xfId="24714" xr:uid="{00000000-0005-0000-0000-0000FB070000}"/>
    <cellStyle name="20% - Accent6 2 5 4" xfId="1204" xr:uid="{00000000-0005-0000-0000-0000FC070000}"/>
    <cellStyle name="20% - Accent6 2 5 4 2" xfId="1205" xr:uid="{00000000-0005-0000-0000-0000FD070000}"/>
    <cellStyle name="20% - Accent6 2 5 4 2 2" xfId="1206" xr:uid="{00000000-0005-0000-0000-0000FE070000}"/>
    <cellStyle name="20% - Accent6 2 5 4 2 2 2" xfId="1207" xr:uid="{00000000-0005-0000-0000-0000FF070000}"/>
    <cellStyle name="20% - Accent6 2 5 4 2 2 2 2" xfId="24741" xr:uid="{00000000-0005-0000-0000-000000080000}"/>
    <cellStyle name="20% - Accent6 2 5 4 2 2 3" xfId="24740" xr:uid="{00000000-0005-0000-0000-000001080000}"/>
    <cellStyle name="20% - Accent6 2 5 4 2 3" xfId="1208" xr:uid="{00000000-0005-0000-0000-000002080000}"/>
    <cellStyle name="20% - Accent6 2 5 4 2 3 2" xfId="24742" xr:uid="{00000000-0005-0000-0000-000003080000}"/>
    <cellStyle name="20% - Accent6 2 5 4 2 4" xfId="24739" xr:uid="{00000000-0005-0000-0000-000004080000}"/>
    <cellStyle name="20% - Accent6 2 5 4 3" xfId="1209" xr:uid="{00000000-0005-0000-0000-000005080000}"/>
    <cellStyle name="20% - Accent6 2 5 4 3 2" xfId="1210" xr:uid="{00000000-0005-0000-0000-000006080000}"/>
    <cellStyle name="20% - Accent6 2 5 4 3 2 2" xfId="24744" xr:uid="{00000000-0005-0000-0000-000007080000}"/>
    <cellStyle name="20% - Accent6 2 5 4 3 3" xfId="24743" xr:uid="{00000000-0005-0000-0000-000008080000}"/>
    <cellStyle name="20% - Accent6 2 5 4 4" xfId="1211" xr:uid="{00000000-0005-0000-0000-000009080000}"/>
    <cellStyle name="20% - Accent6 2 5 4 4 2" xfId="24745" xr:uid="{00000000-0005-0000-0000-00000A080000}"/>
    <cellStyle name="20% - Accent6 2 5 4 5" xfId="24738" xr:uid="{00000000-0005-0000-0000-00000B080000}"/>
    <cellStyle name="20% - Accent6 2 5 5" xfId="1212" xr:uid="{00000000-0005-0000-0000-00000C080000}"/>
    <cellStyle name="20% - Accent6 2 5 5 2" xfId="1213" xr:uid="{00000000-0005-0000-0000-00000D080000}"/>
    <cellStyle name="20% - Accent6 2 5 5 2 2" xfId="1214" xr:uid="{00000000-0005-0000-0000-00000E080000}"/>
    <cellStyle name="20% - Accent6 2 5 5 2 2 2" xfId="1215" xr:uid="{00000000-0005-0000-0000-00000F080000}"/>
    <cellStyle name="20% - Accent6 2 5 5 2 2 2 2" xfId="24749" xr:uid="{00000000-0005-0000-0000-000010080000}"/>
    <cellStyle name="20% - Accent6 2 5 5 2 2 3" xfId="24748" xr:uid="{00000000-0005-0000-0000-000011080000}"/>
    <cellStyle name="20% - Accent6 2 5 5 2 3" xfId="1216" xr:uid="{00000000-0005-0000-0000-000012080000}"/>
    <cellStyle name="20% - Accent6 2 5 5 2 3 2" xfId="24750" xr:uid="{00000000-0005-0000-0000-000013080000}"/>
    <cellStyle name="20% - Accent6 2 5 5 2 4" xfId="24747" xr:uid="{00000000-0005-0000-0000-000014080000}"/>
    <cellStyle name="20% - Accent6 2 5 5 3" xfId="1217" xr:uid="{00000000-0005-0000-0000-000015080000}"/>
    <cellStyle name="20% - Accent6 2 5 5 3 2" xfId="1218" xr:uid="{00000000-0005-0000-0000-000016080000}"/>
    <cellStyle name="20% - Accent6 2 5 5 3 2 2" xfId="24752" xr:uid="{00000000-0005-0000-0000-000017080000}"/>
    <cellStyle name="20% - Accent6 2 5 5 3 3" xfId="24751" xr:uid="{00000000-0005-0000-0000-000018080000}"/>
    <cellStyle name="20% - Accent6 2 5 5 4" xfId="1219" xr:uid="{00000000-0005-0000-0000-000019080000}"/>
    <cellStyle name="20% - Accent6 2 5 5 4 2" xfId="24753" xr:uid="{00000000-0005-0000-0000-00001A080000}"/>
    <cellStyle name="20% - Accent6 2 5 5 5" xfId="24746" xr:uid="{00000000-0005-0000-0000-00001B080000}"/>
    <cellStyle name="20% - Accent6 2 5 6" xfId="1220" xr:uid="{00000000-0005-0000-0000-00001C080000}"/>
    <cellStyle name="20% - Accent6 2 5 6 2" xfId="1221" xr:uid="{00000000-0005-0000-0000-00001D080000}"/>
    <cellStyle name="20% - Accent6 2 5 6 2 2" xfId="1222" xr:uid="{00000000-0005-0000-0000-00001E080000}"/>
    <cellStyle name="20% - Accent6 2 5 6 2 2 2" xfId="24756" xr:uid="{00000000-0005-0000-0000-00001F080000}"/>
    <cellStyle name="20% - Accent6 2 5 6 2 3" xfId="24755" xr:uid="{00000000-0005-0000-0000-000020080000}"/>
    <cellStyle name="20% - Accent6 2 5 6 3" xfId="1223" xr:uid="{00000000-0005-0000-0000-000021080000}"/>
    <cellStyle name="20% - Accent6 2 5 6 3 2" xfId="24757" xr:uid="{00000000-0005-0000-0000-000022080000}"/>
    <cellStyle name="20% - Accent6 2 5 6 4" xfId="24754" xr:uid="{00000000-0005-0000-0000-000023080000}"/>
    <cellStyle name="20% - Accent6 2 5 7" xfId="1224" xr:uid="{00000000-0005-0000-0000-000024080000}"/>
    <cellStyle name="20% - Accent6 2 5 7 2" xfId="1225" xr:uid="{00000000-0005-0000-0000-000025080000}"/>
    <cellStyle name="20% - Accent6 2 5 7 2 2" xfId="24759" xr:uid="{00000000-0005-0000-0000-000026080000}"/>
    <cellStyle name="20% - Accent6 2 5 7 3" xfId="24758" xr:uid="{00000000-0005-0000-0000-000027080000}"/>
    <cellStyle name="20% - Accent6 2 5 8" xfId="1226" xr:uid="{00000000-0005-0000-0000-000028080000}"/>
    <cellStyle name="20% - Accent6 2 5 8 2" xfId="24760" xr:uid="{00000000-0005-0000-0000-000029080000}"/>
    <cellStyle name="20% - Accent6 2 5 9" xfId="24689" xr:uid="{00000000-0005-0000-0000-00002A080000}"/>
    <cellStyle name="20% - Accent6 2 6" xfId="1227" xr:uid="{00000000-0005-0000-0000-00002B080000}"/>
    <cellStyle name="20% - Accent6 2 6 2" xfId="1228" xr:uid="{00000000-0005-0000-0000-00002C080000}"/>
    <cellStyle name="20% - Accent6 2 6 2 2" xfId="1229" xr:uid="{00000000-0005-0000-0000-00002D080000}"/>
    <cellStyle name="20% - Accent6 2 6 2 2 2" xfId="1230" xr:uid="{00000000-0005-0000-0000-00002E080000}"/>
    <cellStyle name="20% - Accent6 2 6 2 2 2 2" xfId="1231" xr:uid="{00000000-0005-0000-0000-00002F080000}"/>
    <cellStyle name="20% - Accent6 2 6 2 2 2 2 2" xfId="24765" xr:uid="{00000000-0005-0000-0000-000030080000}"/>
    <cellStyle name="20% - Accent6 2 6 2 2 2 3" xfId="24764" xr:uid="{00000000-0005-0000-0000-000031080000}"/>
    <cellStyle name="20% - Accent6 2 6 2 2 3" xfId="1232" xr:uid="{00000000-0005-0000-0000-000032080000}"/>
    <cellStyle name="20% - Accent6 2 6 2 2 3 2" xfId="24766" xr:uid="{00000000-0005-0000-0000-000033080000}"/>
    <cellStyle name="20% - Accent6 2 6 2 2 4" xfId="24763" xr:uid="{00000000-0005-0000-0000-000034080000}"/>
    <cellStyle name="20% - Accent6 2 6 2 3" xfId="1233" xr:uid="{00000000-0005-0000-0000-000035080000}"/>
    <cellStyle name="20% - Accent6 2 6 2 3 2" xfId="1234" xr:uid="{00000000-0005-0000-0000-000036080000}"/>
    <cellStyle name="20% - Accent6 2 6 2 3 2 2" xfId="24768" xr:uid="{00000000-0005-0000-0000-000037080000}"/>
    <cellStyle name="20% - Accent6 2 6 2 3 3" xfId="24767" xr:uid="{00000000-0005-0000-0000-000038080000}"/>
    <cellStyle name="20% - Accent6 2 6 2 4" xfId="1235" xr:uid="{00000000-0005-0000-0000-000039080000}"/>
    <cellStyle name="20% - Accent6 2 6 2 4 2" xfId="24769" xr:uid="{00000000-0005-0000-0000-00003A080000}"/>
    <cellStyle name="20% - Accent6 2 6 2 5" xfId="24762" xr:uid="{00000000-0005-0000-0000-00003B080000}"/>
    <cellStyle name="20% - Accent6 2 6 3" xfId="1236" xr:uid="{00000000-0005-0000-0000-00003C080000}"/>
    <cellStyle name="20% - Accent6 2 6 3 2" xfId="1237" xr:uid="{00000000-0005-0000-0000-00003D080000}"/>
    <cellStyle name="20% - Accent6 2 6 3 2 2" xfId="1238" xr:uid="{00000000-0005-0000-0000-00003E080000}"/>
    <cellStyle name="20% - Accent6 2 6 3 2 2 2" xfId="1239" xr:uid="{00000000-0005-0000-0000-00003F080000}"/>
    <cellStyle name="20% - Accent6 2 6 3 2 2 2 2" xfId="24773" xr:uid="{00000000-0005-0000-0000-000040080000}"/>
    <cellStyle name="20% - Accent6 2 6 3 2 2 3" xfId="24772" xr:uid="{00000000-0005-0000-0000-000041080000}"/>
    <cellStyle name="20% - Accent6 2 6 3 2 3" xfId="1240" xr:uid="{00000000-0005-0000-0000-000042080000}"/>
    <cellStyle name="20% - Accent6 2 6 3 2 3 2" xfId="24774" xr:uid="{00000000-0005-0000-0000-000043080000}"/>
    <cellStyle name="20% - Accent6 2 6 3 2 4" xfId="24771" xr:uid="{00000000-0005-0000-0000-000044080000}"/>
    <cellStyle name="20% - Accent6 2 6 3 3" xfId="1241" xr:uid="{00000000-0005-0000-0000-000045080000}"/>
    <cellStyle name="20% - Accent6 2 6 3 3 2" xfId="1242" xr:uid="{00000000-0005-0000-0000-000046080000}"/>
    <cellStyle name="20% - Accent6 2 6 3 3 2 2" xfId="24776" xr:uid="{00000000-0005-0000-0000-000047080000}"/>
    <cellStyle name="20% - Accent6 2 6 3 3 3" xfId="24775" xr:uid="{00000000-0005-0000-0000-000048080000}"/>
    <cellStyle name="20% - Accent6 2 6 3 4" xfId="1243" xr:uid="{00000000-0005-0000-0000-000049080000}"/>
    <cellStyle name="20% - Accent6 2 6 3 4 2" xfId="24777" xr:uid="{00000000-0005-0000-0000-00004A080000}"/>
    <cellStyle name="20% - Accent6 2 6 3 5" xfId="24770" xr:uid="{00000000-0005-0000-0000-00004B080000}"/>
    <cellStyle name="20% - Accent6 2 6 4" xfId="1244" xr:uid="{00000000-0005-0000-0000-00004C080000}"/>
    <cellStyle name="20% - Accent6 2 6 4 2" xfId="1245" xr:uid="{00000000-0005-0000-0000-00004D080000}"/>
    <cellStyle name="20% - Accent6 2 6 4 2 2" xfId="1246" xr:uid="{00000000-0005-0000-0000-00004E080000}"/>
    <cellStyle name="20% - Accent6 2 6 4 2 2 2" xfId="24780" xr:uid="{00000000-0005-0000-0000-00004F080000}"/>
    <cellStyle name="20% - Accent6 2 6 4 2 3" xfId="24779" xr:uid="{00000000-0005-0000-0000-000050080000}"/>
    <cellStyle name="20% - Accent6 2 6 4 3" xfId="1247" xr:uid="{00000000-0005-0000-0000-000051080000}"/>
    <cellStyle name="20% - Accent6 2 6 4 3 2" xfId="24781" xr:uid="{00000000-0005-0000-0000-000052080000}"/>
    <cellStyle name="20% - Accent6 2 6 4 4" xfId="24778" xr:uid="{00000000-0005-0000-0000-000053080000}"/>
    <cellStyle name="20% - Accent6 2 6 5" xfId="1248" xr:uid="{00000000-0005-0000-0000-000054080000}"/>
    <cellStyle name="20% - Accent6 2 6 5 2" xfId="1249" xr:uid="{00000000-0005-0000-0000-000055080000}"/>
    <cellStyle name="20% - Accent6 2 6 5 2 2" xfId="24783" xr:uid="{00000000-0005-0000-0000-000056080000}"/>
    <cellStyle name="20% - Accent6 2 6 5 3" xfId="24782" xr:uid="{00000000-0005-0000-0000-000057080000}"/>
    <cellStyle name="20% - Accent6 2 6 6" xfId="1250" xr:uid="{00000000-0005-0000-0000-000058080000}"/>
    <cellStyle name="20% - Accent6 2 6 6 2" xfId="24784" xr:uid="{00000000-0005-0000-0000-000059080000}"/>
    <cellStyle name="20% - Accent6 2 6 7" xfId="24761" xr:uid="{00000000-0005-0000-0000-00005A080000}"/>
    <cellStyle name="20% - Accent6 2 7" xfId="1251" xr:uid="{00000000-0005-0000-0000-00005B080000}"/>
    <cellStyle name="20% - Accent6 2 7 2" xfId="1252" xr:uid="{00000000-0005-0000-0000-00005C080000}"/>
    <cellStyle name="20% - Accent6 2 7 2 2" xfId="1253" xr:uid="{00000000-0005-0000-0000-00005D080000}"/>
    <cellStyle name="20% - Accent6 2 7 2 2 2" xfId="1254" xr:uid="{00000000-0005-0000-0000-00005E080000}"/>
    <cellStyle name="20% - Accent6 2 7 2 2 2 2" xfId="1255" xr:uid="{00000000-0005-0000-0000-00005F080000}"/>
    <cellStyle name="20% - Accent6 2 7 2 2 2 2 2" xfId="24789" xr:uid="{00000000-0005-0000-0000-000060080000}"/>
    <cellStyle name="20% - Accent6 2 7 2 2 2 3" xfId="24788" xr:uid="{00000000-0005-0000-0000-000061080000}"/>
    <cellStyle name="20% - Accent6 2 7 2 2 3" xfId="1256" xr:uid="{00000000-0005-0000-0000-000062080000}"/>
    <cellStyle name="20% - Accent6 2 7 2 2 3 2" xfId="24790" xr:uid="{00000000-0005-0000-0000-000063080000}"/>
    <cellStyle name="20% - Accent6 2 7 2 2 4" xfId="24787" xr:uid="{00000000-0005-0000-0000-000064080000}"/>
    <cellStyle name="20% - Accent6 2 7 2 3" xfId="1257" xr:uid="{00000000-0005-0000-0000-000065080000}"/>
    <cellStyle name="20% - Accent6 2 7 2 3 2" xfId="1258" xr:uid="{00000000-0005-0000-0000-000066080000}"/>
    <cellStyle name="20% - Accent6 2 7 2 3 2 2" xfId="24792" xr:uid="{00000000-0005-0000-0000-000067080000}"/>
    <cellStyle name="20% - Accent6 2 7 2 3 3" xfId="24791" xr:uid="{00000000-0005-0000-0000-000068080000}"/>
    <cellStyle name="20% - Accent6 2 7 2 4" xfId="1259" xr:uid="{00000000-0005-0000-0000-000069080000}"/>
    <cellStyle name="20% - Accent6 2 7 2 4 2" xfId="24793" xr:uid="{00000000-0005-0000-0000-00006A080000}"/>
    <cellStyle name="20% - Accent6 2 7 2 5" xfId="24786" xr:uid="{00000000-0005-0000-0000-00006B080000}"/>
    <cellStyle name="20% - Accent6 2 7 3" xfId="1260" xr:uid="{00000000-0005-0000-0000-00006C080000}"/>
    <cellStyle name="20% - Accent6 2 7 3 2" xfId="1261" xr:uid="{00000000-0005-0000-0000-00006D080000}"/>
    <cellStyle name="20% - Accent6 2 7 3 2 2" xfId="1262" xr:uid="{00000000-0005-0000-0000-00006E080000}"/>
    <cellStyle name="20% - Accent6 2 7 3 2 2 2" xfId="1263" xr:uid="{00000000-0005-0000-0000-00006F080000}"/>
    <cellStyle name="20% - Accent6 2 7 3 2 2 2 2" xfId="24797" xr:uid="{00000000-0005-0000-0000-000070080000}"/>
    <cellStyle name="20% - Accent6 2 7 3 2 2 3" xfId="24796" xr:uid="{00000000-0005-0000-0000-000071080000}"/>
    <cellStyle name="20% - Accent6 2 7 3 2 3" xfId="1264" xr:uid="{00000000-0005-0000-0000-000072080000}"/>
    <cellStyle name="20% - Accent6 2 7 3 2 3 2" xfId="24798" xr:uid="{00000000-0005-0000-0000-000073080000}"/>
    <cellStyle name="20% - Accent6 2 7 3 2 4" xfId="24795" xr:uid="{00000000-0005-0000-0000-000074080000}"/>
    <cellStyle name="20% - Accent6 2 7 3 3" xfId="1265" xr:uid="{00000000-0005-0000-0000-000075080000}"/>
    <cellStyle name="20% - Accent6 2 7 3 3 2" xfId="1266" xr:uid="{00000000-0005-0000-0000-000076080000}"/>
    <cellStyle name="20% - Accent6 2 7 3 3 2 2" xfId="24800" xr:uid="{00000000-0005-0000-0000-000077080000}"/>
    <cellStyle name="20% - Accent6 2 7 3 3 3" xfId="24799" xr:uid="{00000000-0005-0000-0000-000078080000}"/>
    <cellStyle name="20% - Accent6 2 7 3 4" xfId="1267" xr:uid="{00000000-0005-0000-0000-000079080000}"/>
    <cellStyle name="20% - Accent6 2 7 3 4 2" xfId="24801" xr:uid="{00000000-0005-0000-0000-00007A080000}"/>
    <cellStyle name="20% - Accent6 2 7 3 5" xfId="24794" xr:uid="{00000000-0005-0000-0000-00007B080000}"/>
    <cellStyle name="20% - Accent6 2 7 4" xfId="1268" xr:uid="{00000000-0005-0000-0000-00007C080000}"/>
    <cellStyle name="20% - Accent6 2 7 4 2" xfId="1269" xr:uid="{00000000-0005-0000-0000-00007D080000}"/>
    <cellStyle name="20% - Accent6 2 7 4 2 2" xfId="1270" xr:uid="{00000000-0005-0000-0000-00007E080000}"/>
    <cellStyle name="20% - Accent6 2 7 4 2 2 2" xfId="24804" xr:uid="{00000000-0005-0000-0000-00007F080000}"/>
    <cellStyle name="20% - Accent6 2 7 4 2 3" xfId="24803" xr:uid="{00000000-0005-0000-0000-000080080000}"/>
    <cellStyle name="20% - Accent6 2 7 4 3" xfId="1271" xr:uid="{00000000-0005-0000-0000-000081080000}"/>
    <cellStyle name="20% - Accent6 2 7 4 3 2" xfId="24805" xr:uid="{00000000-0005-0000-0000-000082080000}"/>
    <cellStyle name="20% - Accent6 2 7 4 4" xfId="24802" xr:uid="{00000000-0005-0000-0000-000083080000}"/>
    <cellStyle name="20% - Accent6 2 7 5" xfId="1272" xr:uid="{00000000-0005-0000-0000-000084080000}"/>
    <cellStyle name="20% - Accent6 2 7 5 2" xfId="1273" xr:uid="{00000000-0005-0000-0000-000085080000}"/>
    <cellStyle name="20% - Accent6 2 7 5 2 2" xfId="24807" xr:uid="{00000000-0005-0000-0000-000086080000}"/>
    <cellStyle name="20% - Accent6 2 7 5 3" xfId="24806" xr:uid="{00000000-0005-0000-0000-000087080000}"/>
    <cellStyle name="20% - Accent6 2 7 6" xfId="1274" xr:uid="{00000000-0005-0000-0000-000088080000}"/>
    <cellStyle name="20% - Accent6 2 7 6 2" xfId="24808" xr:uid="{00000000-0005-0000-0000-000089080000}"/>
    <cellStyle name="20% - Accent6 2 7 7" xfId="24785" xr:uid="{00000000-0005-0000-0000-00008A080000}"/>
    <cellStyle name="20% - Accent6 2 8" xfId="1275" xr:uid="{00000000-0005-0000-0000-00008B080000}"/>
    <cellStyle name="20% - Accent6 2 8 2" xfId="1276" xr:uid="{00000000-0005-0000-0000-00008C080000}"/>
    <cellStyle name="20% - Accent6 2 8 2 2" xfId="1277" xr:uid="{00000000-0005-0000-0000-00008D080000}"/>
    <cellStyle name="20% - Accent6 2 8 2 2 2" xfId="1278" xr:uid="{00000000-0005-0000-0000-00008E080000}"/>
    <cellStyle name="20% - Accent6 2 8 2 2 2 2" xfId="1279" xr:uid="{00000000-0005-0000-0000-00008F080000}"/>
    <cellStyle name="20% - Accent6 2 8 2 2 2 2 2" xfId="24813" xr:uid="{00000000-0005-0000-0000-000090080000}"/>
    <cellStyle name="20% - Accent6 2 8 2 2 2 3" xfId="24812" xr:uid="{00000000-0005-0000-0000-000091080000}"/>
    <cellStyle name="20% - Accent6 2 8 2 2 3" xfId="1280" xr:uid="{00000000-0005-0000-0000-000092080000}"/>
    <cellStyle name="20% - Accent6 2 8 2 2 3 2" xfId="24814" xr:uid="{00000000-0005-0000-0000-000093080000}"/>
    <cellStyle name="20% - Accent6 2 8 2 2 4" xfId="24811" xr:uid="{00000000-0005-0000-0000-000094080000}"/>
    <cellStyle name="20% - Accent6 2 8 2 3" xfId="1281" xr:uid="{00000000-0005-0000-0000-000095080000}"/>
    <cellStyle name="20% - Accent6 2 8 2 3 2" xfId="1282" xr:uid="{00000000-0005-0000-0000-000096080000}"/>
    <cellStyle name="20% - Accent6 2 8 2 3 2 2" xfId="24816" xr:uid="{00000000-0005-0000-0000-000097080000}"/>
    <cellStyle name="20% - Accent6 2 8 2 3 3" xfId="24815" xr:uid="{00000000-0005-0000-0000-000098080000}"/>
    <cellStyle name="20% - Accent6 2 8 2 4" xfId="1283" xr:uid="{00000000-0005-0000-0000-000099080000}"/>
    <cellStyle name="20% - Accent6 2 8 2 4 2" xfId="24817" xr:uid="{00000000-0005-0000-0000-00009A080000}"/>
    <cellStyle name="20% - Accent6 2 8 2 5" xfId="24810" xr:uid="{00000000-0005-0000-0000-00009B080000}"/>
    <cellStyle name="20% - Accent6 2 8 3" xfId="1284" xr:uid="{00000000-0005-0000-0000-00009C080000}"/>
    <cellStyle name="20% - Accent6 2 8 3 2" xfId="1285" xr:uid="{00000000-0005-0000-0000-00009D080000}"/>
    <cellStyle name="20% - Accent6 2 8 3 2 2" xfId="1286" xr:uid="{00000000-0005-0000-0000-00009E080000}"/>
    <cellStyle name="20% - Accent6 2 8 3 2 2 2" xfId="1287" xr:uid="{00000000-0005-0000-0000-00009F080000}"/>
    <cellStyle name="20% - Accent6 2 8 3 2 2 2 2" xfId="24821" xr:uid="{00000000-0005-0000-0000-0000A0080000}"/>
    <cellStyle name="20% - Accent6 2 8 3 2 2 3" xfId="24820" xr:uid="{00000000-0005-0000-0000-0000A1080000}"/>
    <cellStyle name="20% - Accent6 2 8 3 2 3" xfId="1288" xr:uid="{00000000-0005-0000-0000-0000A2080000}"/>
    <cellStyle name="20% - Accent6 2 8 3 2 3 2" xfId="24822" xr:uid="{00000000-0005-0000-0000-0000A3080000}"/>
    <cellStyle name="20% - Accent6 2 8 3 2 4" xfId="24819" xr:uid="{00000000-0005-0000-0000-0000A4080000}"/>
    <cellStyle name="20% - Accent6 2 8 3 3" xfId="1289" xr:uid="{00000000-0005-0000-0000-0000A5080000}"/>
    <cellStyle name="20% - Accent6 2 8 3 3 2" xfId="1290" xr:uid="{00000000-0005-0000-0000-0000A6080000}"/>
    <cellStyle name="20% - Accent6 2 8 3 3 2 2" xfId="24824" xr:uid="{00000000-0005-0000-0000-0000A7080000}"/>
    <cellStyle name="20% - Accent6 2 8 3 3 3" xfId="24823" xr:uid="{00000000-0005-0000-0000-0000A8080000}"/>
    <cellStyle name="20% - Accent6 2 8 3 4" xfId="1291" xr:uid="{00000000-0005-0000-0000-0000A9080000}"/>
    <cellStyle name="20% - Accent6 2 8 3 4 2" xfId="24825" xr:uid="{00000000-0005-0000-0000-0000AA080000}"/>
    <cellStyle name="20% - Accent6 2 8 3 5" xfId="24818" xr:uid="{00000000-0005-0000-0000-0000AB080000}"/>
    <cellStyle name="20% - Accent6 2 8 4" xfId="1292" xr:uid="{00000000-0005-0000-0000-0000AC080000}"/>
    <cellStyle name="20% - Accent6 2 8 4 2" xfId="1293" xr:uid="{00000000-0005-0000-0000-0000AD080000}"/>
    <cellStyle name="20% - Accent6 2 8 4 2 2" xfId="1294" xr:uid="{00000000-0005-0000-0000-0000AE080000}"/>
    <cellStyle name="20% - Accent6 2 8 4 2 2 2" xfId="24828" xr:uid="{00000000-0005-0000-0000-0000AF080000}"/>
    <cellStyle name="20% - Accent6 2 8 4 2 3" xfId="24827" xr:uid="{00000000-0005-0000-0000-0000B0080000}"/>
    <cellStyle name="20% - Accent6 2 8 4 3" xfId="1295" xr:uid="{00000000-0005-0000-0000-0000B1080000}"/>
    <cellStyle name="20% - Accent6 2 8 4 3 2" xfId="24829" xr:uid="{00000000-0005-0000-0000-0000B2080000}"/>
    <cellStyle name="20% - Accent6 2 8 4 4" xfId="24826" xr:uid="{00000000-0005-0000-0000-0000B3080000}"/>
    <cellStyle name="20% - Accent6 2 8 5" xfId="1296" xr:uid="{00000000-0005-0000-0000-0000B4080000}"/>
    <cellStyle name="20% - Accent6 2 8 5 2" xfId="1297" xr:uid="{00000000-0005-0000-0000-0000B5080000}"/>
    <cellStyle name="20% - Accent6 2 8 5 2 2" xfId="24831" xr:uid="{00000000-0005-0000-0000-0000B6080000}"/>
    <cellStyle name="20% - Accent6 2 8 5 3" xfId="24830" xr:uid="{00000000-0005-0000-0000-0000B7080000}"/>
    <cellStyle name="20% - Accent6 2 8 6" xfId="1298" xr:uid="{00000000-0005-0000-0000-0000B8080000}"/>
    <cellStyle name="20% - Accent6 2 8 6 2" xfId="24832" xr:uid="{00000000-0005-0000-0000-0000B9080000}"/>
    <cellStyle name="20% - Accent6 2 8 7" xfId="24809" xr:uid="{00000000-0005-0000-0000-0000BA080000}"/>
    <cellStyle name="20% - Accent6 2 9" xfId="1299" xr:uid="{00000000-0005-0000-0000-0000BB080000}"/>
    <cellStyle name="20% - Accent6 2 9 2" xfId="1300" xr:uid="{00000000-0005-0000-0000-0000BC080000}"/>
    <cellStyle name="20% - Accent6 2 9 2 2" xfId="1301" xr:uid="{00000000-0005-0000-0000-0000BD080000}"/>
    <cellStyle name="20% - Accent6 2 9 2 2 2" xfId="1302" xr:uid="{00000000-0005-0000-0000-0000BE080000}"/>
    <cellStyle name="20% - Accent6 2 9 2 2 2 2" xfId="1303" xr:uid="{00000000-0005-0000-0000-0000BF080000}"/>
    <cellStyle name="20% - Accent6 2 9 2 2 2 2 2" xfId="24837" xr:uid="{00000000-0005-0000-0000-0000C0080000}"/>
    <cellStyle name="20% - Accent6 2 9 2 2 2 3" xfId="24836" xr:uid="{00000000-0005-0000-0000-0000C1080000}"/>
    <cellStyle name="20% - Accent6 2 9 2 2 3" xfId="1304" xr:uid="{00000000-0005-0000-0000-0000C2080000}"/>
    <cellStyle name="20% - Accent6 2 9 2 2 3 2" xfId="24838" xr:uid="{00000000-0005-0000-0000-0000C3080000}"/>
    <cellStyle name="20% - Accent6 2 9 2 2 4" xfId="24835" xr:uid="{00000000-0005-0000-0000-0000C4080000}"/>
    <cellStyle name="20% - Accent6 2 9 2 3" xfId="1305" xr:uid="{00000000-0005-0000-0000-0000C5080000}"/>
    <cellStyle name="20% - Accent6 2 9 2 3 2" xfId="1306" xr:uid="{00000000-0005-0000-0000-0000C6080000}"/>
    <cellStyle name="20% - Accent6 2 9 2 3 2 2" xfId="24840" xr:uid="{00000000-0005-0000-0000-0000C7080000}"/>
    <cellStyle name="20% - Accent6 2 9 2 3 3" xfId="24839" xr:uid="{00000000-0005-0000-0000-0000C8080000}"/>
    <cellStyle name="20% - Accent6 2 9 2 4" xfId="1307" xr:uid="{00000000-0005-0000-0000-0000C9080000}"/>
    <cellStyle name="20% - Accent6 2 9 2 4 2" xfId="24841" xr:uid="{00000000-0005-0000-0000-0000CA080000}"/>
    <cellStyle name="20% - Accent6 2 9 2 5" xfId="24834" xr:uid="{00000000-0005-0000-0000-0000CB080000}"/>
    <cellStyle name="20% - Accent6 2 9 3" xfId="1308" xr:uid="{00000000-0005-0000-0000-0000CC080000}"/>
    <cellStyle name="20% - Accent6 2 9 3 2" xfId="1309" xr:uid="{00000000-0005-0000-0000-0000CD080000}"/>
    <cellStyle name="20% - Accent6 2 9 3 2 2" xfId="1310" xr:uid="{00000000-0005-0000-0000-0000CE080000}"/>
    <cellStyle name="20% - Accent6 2 9 3 2 2 2" xfId="1311" xr:uid="{00000000-0005-0000-0000-0000CF080000}"/>
    <cellStyle name="20% - Accent6 2 9 3 2 2 2 2" xfId="24845" xr:uid="{00000000-0005-0000-0000-0000D0080000}"/>
    <cellStyle name="20% - Accent6 2 9 3 2 2 3" xfId="24844" xr:uid="{00000000-0005-0000-0000-0000D1080000}"/>
    <cellStyle name="20% - Accent6 2 9 3 2 3" xfId="1312" xr:uid="{00000000-0005-0000-0000-0000D2080000}"/>
    <cellStyle name="20% - Accent6 2 9 3 2 3 2" xfId="24846" xr:uid="{00000000-0005-0000-0000-0000D3080000}"/>
    <cellStyle name="20% - Accent6 2 9 3 2 4" xfId="24843" xr:uid="{00000000-0005-0000-0000-0000D4080000}"/>
    <cellStyle name="20% - Accent6 2 9 3 3" xfId="1313" xr:uid="{00000000-0005-0000-0000-0000D5080000}"/>
    <cellStyle name="20% - Accent6 2 9 3 3 2" xfId="1314" xr:uid="{00000000-0005-0000-0000-0000D6080000}"/>
    <cellStyle name="20% - Accent6 2 9 3 3 2 2" xfId="24848" xr:uid="{00000000-0005-0000-0000-0000D7080000}"/>
    <cellStyle name="20% - Accent6 2 9 3 3 3" xfId="24847" xr:uid="{00000000-0005-0000-0000-0000D8080000}"/>
    <cellStyle name="20% - Accent6 2 9 3 4" xfId="1315" xr:uid="{00000000-0005-0000-0000-0000D9080000}"/>
    <cellStyle name="20% - Accent6 2 9 3 4 2" xfId="24849" xr:uid="{00000000-0005-0000-0000-0000DA080000}"/>
    <cellStyle name="20% - Accent6 2 9 3 5" xfId="24842" xr:uid="{00000000-0005-0000-0000-0000DB080000}"/>
    <cellStyle name="20% - Accent6 2 9 4" xfId="1316" xr:uid="{00000000-0005-0000-0000-0000DC080000}"/>
    <cellStyle name="20% - Accent6 2 9 4 2" xfId="1317" xr:uid="{00000000-0005-0000-0000-0000DD080000}"/>
    <cellStyle name="20% - Accent6 2 9 4 2 2" xfId="1318" xr:uid="{00000000-0005-0000-0000-0000DE080000}"/>
    <cellStyle name="20% - Accent6 2 9 4 2 2 2" xfId="24852" xr:uid="{00000000-0005-0000-0000-0000DF080000}"/>
    <cellStyle name="20% - Accent6 2 9 4 2 3" xfId="24851" xr:uid="{00000000-0005-0000-0000-0000E0080000}"/>
    <cellStyle name="20% - Accent6 2 9 4 3" xfId="1319" xr:uid="{00000000-0005-0000-0000-0000E1080000}"/>
    <cellStyle name="20% - Accent6 2 9 4 3 2" xfId="24853" xr:uid="{00000000-0005-0000-0000-0000E2080000}"/>
    <cellStyle name="20% - Accent6 2 9 4 4" xfId="24850" xr:uid="{00000000-0005-0000-0000-0000E3080000}"/>
    <cellStyle name="20% - Accent6 2 9 5" xfId="1320" xr:uid="{00000000-0005-0000-0000-0000E4080000}"/>
    <cellStyle name="20% - Accent6 2 9 5 2" xfId="1321" xr:uid="{00000000-0005-0000-0000-0000E5080000}"/>
    <cellStyle name="20% - Accent6 2 9 5 2 2" xfId="24855" xr:uid="{00000000-0005-0000-0000-0000E6080000}"/>
    <cellStyle name="20% - Accent6 2 9 5 3" xfId="24854" xr:uid="{00000000-0005-0000-0000-0000E7080000}"/>
    <cellStyle name="20% - Accent6 2 9 6" xfId="1322" xr:uid="{00000000-0005-0000-0000-0000E8080000}"/>
    <cellStyle name="20% - Accent6 2 9 6 2" xfId="24856" xr:uid="{00000000-0005-0000-0000-0000E9080000}"/>
    <cellStyle name="20% - Accent6 2 9 7" xfId="24833" xr:uid="{00000000-0005-0000-0000-0000EA080000}"/>
    <cellStyle name="20% - Accent6 3" xfId="1323" xr:uid="{00000000-0005-0000-0000-0000EB080000}"/>
    <cellStyle name="20% - Accent6 3 10" xfId="1324" xr:uid="{00000000-0005-0000-0000-0000EC080000}"/>
    <cellStyle name="20% - Accent6 3 10 2" xfId="24858" xr:uid="{00000000-0005-0000-0000-0000ED080000}"/>
    <cellStyle name="20% - Accent6 3 11" xfId="18048" xr:uid="{00000000-0005-0000-0000-0000EE080000}"/>
    <cellStyle name="20% - Accent6 3 12" xfId="24857" xr:uid="{00000000-0005-0000-0000-0000EF080000}"/>
    <cellStyle name="20% - Accent6 3 2" xfId="1325" xr:uid="{00000000-0005-0000-0000-0000F0080000}"/>
    <cellStyle name="20% - Accent6 3 2 2" xfId="1326" xr:uid="{00000000-0005-0000-0000-0000F1080000}"/>
    <cellStyle name="20% - Accent6 3 2 2 2" xfId="1327" xr:uid="{00000000-0005-0000-0000-0000F2080000}"/>
    <cellStyle name="20% - Accent6 3 2 2 2 2" xfId="1328" xr:uid="{00000000-0005-0000-0000-0000F3080000}"/>
    <cellStyle name="20% - Accent6 3 2 2 2 2 2" xfId="1329" xr:uid="{00000000-0005-0000-0000-0000F4080000}"/>
    <cellStyle name="20% - Accent6 3 2 2 2 2 2 2" xfId="24863" xr:uid="{00000000-0005-0000-0000-0000F5080000}"/>
    <cellStyle name="20% - Accent6 3 2 2 2 2 3" xfId="24862" xr:uid="{00000000-0005-0000-0000-0000F6080000}"/>
    <cellStyle name="20% - Accent6 3 2 2 2 3" xfId="1330" xr:uid="{00000000-0005-0000-0000-0000F7080000}"/>
    <cellStyle name="20% - Accent6 3 2 2 2 3 2" xfId="24864" xr:uid="{00000000-0005-0000-0000-0000F8080000}"/>
    <cellStyle name="20% - Accent6 3 2 2 2 4" xfId="24861" xr:uid="{00000000-0005-0000-0000-0000F9080000}"/>
    <cellStyle name="20% - Accent6 3 2 2 3" xfId="1331" xr:uid="{00000000-0005-0000-0000-0000FA080000}"/>
    <cellStyle name="20% - Accent6 3 2 2 3 2" xfId="1332" xr:uid="{00000000-0005-0000-0000-0000FB080000}"/>
    <cellStyle name="20% - Accent6 3 2 2 3 2 2" xfId="24866" xr:uid="{00000000-0005-0000-0000-0000FC080000}"/>
    <cellStyle name="20% - Accent6 3 2 2 3 3" xfId="24865" xr:uid="{00000000-0005-0000-0000-0000FD080000}"/>
    <cellStyle name="20% - Accent6 3 2 2 4" xfId="1333" xr:uid="{00000000-0005-0000-0000-0000FE080000}"/>
    <cellStyle name="20% - Accent6 3 2 2 4 2" xfId="24867" xr:uid="{00000000-0005-0000-0000-0000FF080000}"/>
    <cellStyle name="20% - Accent6 3 2 2 5" xfId="24860" xr:uid="{00000000-0005-0000-0000-000000090000}"/>
    <cellStyle name="20% - Accent6 3 2 3" xfId="1334" xr:uid="{00000000-0005-0000-0000-000001090000}"/>
    <cellStyle name="20% - Accent6 3 2 3 2" xfId="1335" xr:uid="{00000000-0005-0000-0000-000002090000}"/>
    <cellStyle name="20% - Accent6 3 2 3 2 2" xfId="1336" xr:uid="{00000000-0005-0000-0000-000003090000}"/>
    <cellStyle name="20% - Accent6 3 2 3 2 2 2" xfId="1337" xr:uid="{00000000-0005-0000-0000-000004090000}"/>
    <cellStyle name="20% - Accent6 3 2 3 2 2 2 2" xfId="24871" xr:uid="{00000000-0005-0000-0000-000005090000}"/>
    <cellStyle name="20% - Accent6 3 2 3 2 2 3" xfId="24870" xr:uid="{00000000-0005-0000-0000-000006090000}"/>
    <cellStyle name="20% - Accent6 3 2 3 2 3" xfId="1338" xr:uid="{00000000-0005-0000-0000-000007090000}"/>
    <cellStyle name="20% - Accent6 3 2 3 2 3 2" xfId="24872" xr:uid="{00000000-0005-0000-0000-000008090000}"/>
    <cellStyle name="20% - Accent6 3 2 3 2 4" xfId="24869" xr:uid="{00000000-0005-0000-0000-000009090000}"/>
    <cellStyle name="20% - Accent6 3 2 3 3" xfId="1339" xr:uid="{00000000-0005-0000-0000-00000A090000}"/>
    <cellStyle name="20% - Accent6 3 2 3 3 2" xfId="1340" xr:uid="{00000000-0005-0000-0000-00000B090000}"/>
    <cellStyle name="20% - Accent6 3 2 3 3 2 2" xfId="24874" xr:uid="{00000000-0005-0000-0000-00000C090000}"/>
    <cellStyle name="20% - Accent6 3 2 3 3 3" xfId="24873" xr:uid="{00000000-0005-0000-0000-00000D090000}"/>
    <cellStyle name="20% - Accent6 3 2 3 4" xfId="1341" xr:uid="{00000000-0005-0000-0000-00000E090000}"/>
    <cellStyle name="20% - Accent6 3 2 3 4 2" xfId="24875" xr:uid="{00000000-0005-0000-0000-00000F090000}"/>
    <cellStyle name="20% - Accent6 3 2 3 5" xfId="24868" xr:uid="{00000000-0005-0000-0000-000010090000}"/>
    <cellStyle name="20% - Accent6 3 2 4" xfId="1342" xr:uid="{00000000-0005-0000-0000-000011090000}"/>
    <cellStyle name="20% - Accent6 3 2 4 2" xfId="1343" xr:uid="{00000000-0005-0000-0000-000012090000}"/>
    <cellStyle name="20% - Accent6 3 2 4 2 2" xfId="1344" xr:uid="{00000000-0005-0000-0000-000013090000}"/>
    <cellStyle name="20% - Accent6 3 2 4 2 2 2" xfId="24878" xr:uid="{00000000-0005-0000-0000-000014090000}"/>
    <cellStyle name="20% - Accent6 3 2 4 2 3" xfId="24877" xr:uid="{00000000-0005-0000-0000-000015090000}"/>
    <cellStyle name="20% - Accent6 3 2 4 3" xfId="1345" xr:uid="{00000000-0005-0000-0000-000016090000}"/>
    <cellStyle name="20% - Accent6 3 2 4 3 2" xfId="24879" xr:uid="{00000000-0005-0000-0000-000017090000}"/>
    <cellStyle name="20% - Accent6 3 2 4 4" xfId="24876" xr:uid="{00000000-0005-0000-0000-000018090000}"/>
    <cellStyle name="20% - Accent6 3 2 5" xfId="1346" xr:uid="{00000000-0005-0000-0000-000019090000}"/>
    <cellStyle name="20% - Accent6 3 2 5 2" xfId="1347" xr:uid="{00000000-0005-0000-0000-00001A090000}"/>
    <cellStyle name="20% - Accent6 3 2 5 2 2" xfId="24881" xr:uid="{00000000-0005-0000-0000-00001B090000}"/>
    <cellStyle name="20% - Accent6 3 2 5 3" xfId="24880" xr:uid="{00000000-0005-0000-0000-00001C090000}"/>
    <cellStyle name="20% - Accent6 3 2 6" xfId="1348" xr:uid="{00000000-0005-0000-0000-00001D090000}"/>
    <cellStyle name="20% - Accent6 3 2 6 2" xfId="24882" xr:uid="{00000000-0005-0000-0000-00001E090000}"/>
    <cellStyle name="20% - Accent6 3 2 7" xfId="24859" xr:uid="{00000000-0005-0000-0000-00001F090000}"/>
    <cellStyle name="20% - Accent6 3 3" xfId="1349" xr:uid="{00000000-0005-0000-0000-000020090000}"/>
    <cellStyle name="20% - Accent6 3 3 2" xfId="1350" xr:uid="{00000000-0005-0000-0000-000021090000}"/>
    <cellStyle name="20% - Accent6 3 3 2 2" xfId="1351" xr:uid="{00000000-0005-0000-0000-000022090000}"/>
    <cellStyle name="20% - Accent6 3 3 2 2 2" xfId="1352" xr:uid="{00000000-0005-0000-0000-000023090000}"/>
    <cellStyle name="20% - Accent6 3 3 2 2 2 2" xfId="1353" xr:uid="{00000000-0005-0000-0000-000024090000}"/>
    <cellStyle name="20% - Accent6 3 3 2 2 2 2 2" xfId="24887" xr:uid="{00000000-0005-0000-0000-000025090000}"/>
    <cellStyle name="20% - Accent6 3 3 2 2 2 3" xfId="24886" xr:uid="{00000000-0005-0000-0000-000026090000}"/>
    <cellStyle name="20% - Accent6 3 3 2 2 3" xfId="1354" xr:uid="{00000000-0005-0000-0000-000027090000}"/>
    <cellStyle name="20% - Accent6 3 3 2 2 3 2" xfId="24888" xr:uid="{00000000-0005-0000-0000-000028090000}"/>
    <cellStyle name="20% - Accent6 3 3 2 2 4" xfId="24885" xr:uid="{00000000-0005-0000-0000-000029090000}"/>
    <cellStyle name="20% - Accent6 3 3 2 3" xfId="1355" xr:uid="{00000000-0005-0000-0000-00002A090000}"/>
    <cellStyle name="20% - Accent6 3 3 2 3 2" xfId="1356" xr:uid="{00000000-0005-0000-0000-00002B090000}"/>
    <cellStyle name="20% - Accent6 3 3 2 3 2 2" xfId="24890" xr:uid="{00000000-0005-0000-0000-00002C090000}"/>
    <cellStyle name="20% - Accent6 3 3 2 3 3" xfId="24889" xr:uid="{00000000-0005-0000-0000-00002D090000}"/>
    <cellStyle name="20% - Accent6 3 3 2 4" xfId="1357" xr:uid="{00000000-0005-0000-0000-00002E090000}"/>
    <cellStyle name="20% - Accent6 3 3 2 4 2" xfId="24891" xr:uid="{00000000-0005-0000-0000-00002F090000}"/>
    <cellStyle name="20% - Accent6 3 3 2 5" xfId="24884" xr:uid="{00000000-0005-0000-0000-000030090000}"/>
    <cellStyle name="20% - Accent6 3 3 3" xfId="1358" xr:uid="{00000000-0005-0000-0000-000031090000}"/>
    <cellStyle name="20% - Accent6 3 3 3 2" xfId="1359" xr:uid="{00000000-0005-0000-0000-000032090000}"/>
    <cellStyle name="20% - Accent6 3 3 3 2 2" xfId="1360" xr:uid="{00000000-0005-0000-0000-000033090000}"/>
    <cellStyle name="20% - Accent6 3 3 3 2 2 2" xfId="1361" xr:uid="{00000000-0005-0000-0000-000034090000}"/>
    <cellStyle name="20% - Accent6 3 3 3 2 2 2 2" xfId="24895" xr:uid="{00000000-0005-0000-0000-000035090000}"/>
    <cellStyle name="20% - Accent6 3 3 3 2 2 3" xfId="24894" xr:uid="{00000000-0005-0000-0000-000036090000}"/>
    <cellStyle name="20% - Accent6 3 3 3 2 3" xfId="1362" xr:uid="{00000000-0005-0000-0000-000037090000}"/>
    <cellStyle name="20% - Accent6 3 3 3 2 3 2" xfId="24896" xr:uid="{00000000-0005-0000-0000-000038090000}"/>
    <cellStyle name="20% - Accent6 3 3 3 2 4" xfId="24893" xr:uid="{00000000-0005-0000-0000-000039090000}"/>
    <cellStyle name="20% - Accent6 3 3 3 3" xfId="1363" xr:uid="{00000000-0005-0000-0000-00003A090000}"/>
    <cellStyle name="20% - Accent6 3 3 3 3 2" xfId="1364" xr:uid="{00000000-0005-0000-0000-00003B090000}"/>
    <cellStyle name="20% - Accent6 3 3 3 3 2 2" xfId="24898" xr:uid="{00000000-0005-0000-0000-00003C090000}"/>
    <cellStyle name="20% - Accent6 3 3 3 3 3" xfId="24897" xr:uid="{00000000-0005-0000-0000-00003D090000}"/>
    <cellStyle name="20% - Accent6 3 3 3 4" xfId="1365" xr:uid="{00000000-0005-0000-0000-00003E090000}"/>
    <cellStyle name="20% - Accent6 3 3 3 4 2" xfId="24899" xr:uid="{00000000-0005-0000-0000-00003F090000}"/>
    <cellStyle name="20% - Accent6 3 3 3 5" xfId="24892" xr:uid="{00000000-0005-0000-0000-000040090000}"/>
    <cellStyle name="20% - Accent6 3 3 4" xfId="1366" xr:uid="{00000000-0005-0000-0000-000041090000}"/>
    <cellStyle name="20% - Accent6 3 3 4 2" xfId="1367" xr:uid="{00000000-0005-0000-0000-000042090000}"/>
    <cellStyle name="20% - Accent6 3 3 4 2 2" xfId="1368" xr:uid="{00000000-0005-0000-0000-000043090000}"/>
    <cellStyle name="20% - Accent6 3 3 4 2 2 2" xfId="24902" xr:uid="{00000000-0005-0000-0000-000044090000}"/>
    <cellStyle name="20% - Accent6 3 3 4 2 3" xfId="24901" xr:uid="{00000000-0005-0000-0000-000045090000}"/>
    <cellStyle name="20% - Accent6 3 3 4 3" xfId="1369" xr:uid="{00000000-0005-0000-0000-000046090000}"/>
    <cellStyle name="20% - Accent6 3 3 4 3 2" xfId="24903" xr:uid="{00000000-0005-0000-0000-000047090000}"/>
    <cellStyle name="20% - Accent6 3 3 4 4" xfId="24900" xr:uid="{00000000-0005-0000-0000-000048090000}"/>
    <cellStyle name="20% - Accent6 3 3 5" xfId="1370" xr:uid="{00000000-0005-0000-0000-000049090000}"/>
    <cellStyle name="20% - Accent6 3 3 5 2" xfId="1371" xr:uid="{00000000-0005-0000-0000-00004A090000}"/>
    <cellStyle name="20% - Accent6 3 3 5 2 2" xfId="24905" xr:uid="{00000000-0005-0000-0000-00004B090000}"/>
    <cellStyle name="20% - Accent6 3 3 5 3" xfId="24904" xr:uid="{00000000-0005-0000-0000-00004C090000}"/>
    <cellStyle name="20% - Accent6 3 3 6" xfId="1372" xr:uid="{00000000-0005-0000-0000-00004D090000}"/>
    <cellStyle name="20% - Accent6 3 3 6 2" xfId="24906" xr:uid="{00000000-0005-0000-0000-00004E090000}"/>
    <cellStyle name="20% - Accent6 3 3 7" xfId="24883" xr:uid="{00000000-0005-0000-0000-00004F090000}"/>
    <cellStyle name="20% - Accent6 3 4" xfId="1373" xr:uid="{00000000-0005-0000-0000-000050090000}"/>
    <cellStyle name="20% - Accent6 3 4 2" xfId="1374" xr:uid="{00000000-0005-0000-0000-000051090000}"/>
    <cellStyle name="20% - Accent6 3 4 2 2" xfId="1375" xr:uid="{00000000-0005-0000-0000-000052090000}"/>
    <cellStyle name="20% - Accent6 3 4 2 2 2" xfId="1376" xr:uid="{00000000-0005-0000-0000-000053090000}"/>
    <cellStyle name="20% - Accent6 3 4 2 2 2 2" xfId="1377" xr:uid="{00000000-0005-0000-0000-000054090000}"/>
    <cellStyle name="20% - Accent6 3 4 2 2 2 2 2" xfId="24911" xr:uid="{00000000-0005-0000-0000-000055090000}"/>
    <cellStyle name="20% - Accent6 3 4 2 2 2 3" xfId="24910" xr:uid="{00000000-0005-0000-0000-000056090000}"/>
    <cellStyle name="20% - Accent6 3 4 2 2 3" xfId="1378" xr:uid="{00000000-0005-0000-0000-000057090000}"/>
    <cellStyle name="20% - Accent6 3 4 2 2 3 2" xfId="24912" xr:uid="{00000000-0005-0000-0000-000058090000}"/>
    <cellStyle name="20% - Accent6 3 4 2 2 4" xfId="24909" xr:uid="{00000000-0005-0000-0000-000059090000}"/>
    <cellStyle name="20% - Accent6 3 4 2 3" xfId="1379" xr:uid="{00000000-0005-0000-0000-00005A090000}"/>
    <cellStyle name="20% - Accent6 3 4 2 3 2" xfId="1380" xr:uid="{00000000-0005-0000-0000-00005B090000}"/>
    <cellStyle name="20% - Accent6 3 4 2 3 2 2" xfId="24914" xr:uid="{00000000-0005-0000-0000-00005C090000}"/>
    <cellStyle name="20% - Accent6 3 4 2 3 3" xfId="24913" xr:uid="{00000000-0005-0000-0000-00005D090000}"/>
    <cellStyle name="20% - Accent6 3 4 2 4" xfId="1381" xr:uid="{00000000-0005-0000-0000-00005E090000}"/>
    <cellStyle name="20% - Accent6 3 4 2 4 2" xfId="24915" xr:uid="{00000000-0005-0000-0000-00005F090000}"/>
    <cellStyle name="20% - Accent6 3 4 2 5" xfId="24908" xr:uid="{00000000-0005-0000-0000-000060090000}"/>
    <cellStyle name="20% - Accent6 3 4 3" xfId="1382" xr:uid="{00000000-0005-0000-0000-000061090000}"/>
    <cellStyle name="20% - Accent6 3 4 3 2" xfId="1383" xr:uid="{00000000-0005-0000-0000-000062090000}"/>
    <cellStyle name="20% - Accent6 3 4 3 2 2" xfId="1384" xr:uid="{00000000-0005-0000-0000-000063090000}"/>
    <cellStyle name="20% - Accent6 3 4 3 2 2 2" xfId="1385" xr:uid="{00000000-0005-0000-0000-000064090000}"/>
    <cellStyle name="20% - Accent6 3 4 3 2 2 2 2" xfId="24919" xr:uid="{00000000-0005-0000-0000-000065090000}"/>
    <cellStyle name="20% - Accent6 3 4 3 2 2 3" xfId="24918" xr:uid="{00000000-0005-0000-0000-000066090000}"/>
    <cellStyle name="20% - Accent6 3 4 3 2 3" xfId="1386" xr:uid="{00000000-0005-0000-0000-000067090000}"/>
    <cellStyle name="20% - Accent6 3 4 3 2 3 2" xfId="24920" xr:uid="{00000000-0005-0000-0000-000068090000}"/>
    <cellStyle name="20% - Accent6 3 4 3 2 4" xfId="24917" xr:uid="{00000000-0005-0000-0000-000069090000}"/>
    <cellStyle name="20% - Accent6 3 4 3 3" xfId="1387" xr:uid="{00000000-0005-0000-0000-00006A090000}"/>
    <cellStyle name="20% - Accent6 3 4 3 3 2" xfId="1388" xr:uid="{00000000-0005-0000-0000-00006B090000}"/>
    <cellStyle name="20% - Accent6 3 4 3 3 2 2" xfId="24922" xr:uid="{00000000-0005-0000-0000-00006C090000}"/>
    <cellStyle name="20% - Accent6 3 4 3 3 3" xfId="24921" xr:uid="{00000000-0005-0000-0000-00006D090000}"/>
    <cellStyle name="20% - Accent6 3 4 3 4" xfId="1389" xr:uid="{00000000-0005-0000-0000-00006E090000}"/>
    <cellStyle name="20% - Accent6 3 4 3 4 2" xfId="24923" xr:uid="{00000000-0005-0000-0000-00006F090000}"/>
    <cellStyle name="20% - Accent6 3 4 3 5" xfId="24916" xr:uid="{00000000-0005-0000-0000-000070090000}"/>
    <cellStyle name="20% - Accent6 3 4 4" xfId="1390" xr:uid="{00000000-0005-0000-0000-000071090000}"/>
    <cellStyle name="20% - Accent6 3 4 4 2" xfId="1391" xr:uid="{00000000-0005-0000-0000-000072090000}"/>
    <cellStyle name="20% - Accent6 3 4 4 2 2" xfId="1392" xr:uid="{00000000-0005-0000-0000-000073090000}"/>
    <cellStyle name="20% - Accent6 3 4 4 2 2 2" xfId="24926" xr:uid="{00000000-0005-0000-0000-000074090000}"/>
    <cellStyle name="20% - Accent6 3 4 4 2 3" xfId="24925" xr:uid="{00000000-0005-0000-0000-000075090000}"/>
    <cellStyle name="20% - Accent6 3 4 4 3" xfId="1393" xr:uid="{00000000-0005-0000-0000-000076090000}"/>
    <cellStyle name="20% - Accent6 3 4 4 3 2" xfId="24927" xr:uid="{00000000-0005-0000-0000-000077090000}"/>
    <cellStyle name="20% - Accent6 3 4 4 4" xfId="24924" xr:uid="{00000000-0005-0000-0000-000078090000}"/>
    <cellStyle name="20% - Accent6 3 4 5" xfId="1394" xr:uid="{00000000-0005-0000-0000-000079090000}"/>
    <cellStyle name="20% - Accent6 3 4 5 2" xfId="1395" xr:uid="{00000000-0005-0000-0000-00007A090000}"/>
    <cellStyle name="20% - Accent6 3 4 5 2 2" xfId="24929" xr:uid="{00000000-0005-0000-0000-00007B090000}"/>
    <cellStyle name="20% - Accent6 3 4 5 3" xfId="24928" xr:uid="{00000000-0005-0000-0000-00007C090000}"/>
    <cellStyle name="20% - Accent6 3 4 6" xfId="1396" xr:uid="{00000000-0005-0000-0000-00007D090000}"/>
    <cellStyle name="20% - Accent6 3 4 6 2" xfId="24930" xr:uid="{00000000-0005-0000-0000-00007E090000}"/>
    <cellStyle name="20% - Accent6 3 4 7" xfId="24907" xr:uid="{00000000-0005-0000-0000-00007F090000}"/>
    <cellStyle name="20% - Accent6 3 5" xfId="1397" xr:uid="{00000000-0005-0000-0000-000080090000}"/>
    <cellStyle name="20% - Accent6 3 5 2" xfId="1398" xr:uid="{00000000-0005-0000-0000-000081090000}"/>
    <cellStyle name="20% - Accent6 3 5 2 2" xfId="1399" xr:uid="{00000000-0005-0000-0000-000082090000}"/>
    <cellStyle name="20% - Accent6 3 5 2 2 2" xfId="1400" xr:uid="{00000000-0005-0000-0000-000083090000}"/>
    <cellStyle name="20% - Accent6 3 5 2 2 2 2" xfId="1401" xr:uid="{00000000-0005-0000-0000-000084090000}"/>
    <cellStyle name="20% - Accent6 3 5 2 2 2 2 2" xfId="24935" xr:uid="{00000000-0005-0000-0000-000085090000}"/>
    <cellStyle name="20% - Accent6 3 5 2 2 2 3" xfId="24934" xr:uid="{00000000-0005-0000-0000-000086090000}"/>
    <cellStyle name="20% - Accent6 3 5 2 2 3" xfId="1402" xr:uid="{00000000-0005-0000-0000-000087090000}"/>
    <cellStyle name="20% - Accent6 3 5 2 2 3 2" xfId="24936" xr:uid="{00000000-0005-0000-0000-000088090000}"/>
    <cellStyle name="20% - Accent6 3 5 2 2 4" xfId="24933" xr:uid="{00000000-0005-0000-0000-000089090000}"/>
    <cellStyle name="20% - Accent6 3 5 2 3" xfId="1403" xr:uid="{00000000-0005-0000-0000-00008A090000}"/>
    <cellStyle name="20% - Accent6 3 5 2 3 2" xfId="1404" xr:uid="{00000000-0005-0000-0000-00008B090000}"/>
    <cellStyle name="20% - Accent6 3 5 2 3 2 2" xfId="24938" xr:uid="{00000000-0005-0000-0000-00008C090000}"/>
    <cellStyle name="20% - Accent6 3 5 2 3 3" xfId="24937" xr:uid="{00000000-0005-0000-0000-00008D090000}"/>
    <cellStyle name="20% - Accent6 3 5 2 4" xfId="1405" xr:uid="{00000000-0005-0000-0000-00008E090000}"/>
    <cellStyle name="20% - Accent6 3 5 2 4 2" xfId="24939" xr:uid="{00000000-0005-0000-0000-00008F090000}"/>
    <cellStyle name="20% - Accent6 3 5 2 5" xfId="24932" xr:uid="{00000000-0005-0000-0000-000090090000}"/>
    <cellStyle name="20% - Accent6 3 5 3" xfId="1406" xr:uid="{00000000-0005-0000-0000-000091090000}"/>
    <cellStyle name="20% - Accent6 3 5 3 2" xfId="1407" xr:uid="{00000000-0005-0000-0000-000092090000}"/>
    <cellStyle name="20% - Accent6 3 5 3 2 2" xfId="1408" xr:uid="{00000000-0005-0000-0000-000093090000}"/>
    <cellStyle name="20% - Accent6 3 5 3 2 2 2" xfId="1409" xr:uid="{00000000-0005-0000-0000-000094090000}"/>
    <cellStyle name="20% - Accent6 3 5 3 2 2 2 2" xfId="24943" xr:uid="{00000000-0005-0000-0000-000095090000}"/>
    <cellStyle name="20% - Accent6 3 5 3 2 2 3" xfId="24942" xr:uid="{00000000-0005-0000-0000-000096090000}"/>
    <cellStyle name="20% - Accent6 3 5 3 2 3" xfId="1410" xr:uid="{00000000-0005-0000-0000-000097090000}"/>
    <cellStyle name="20% - Accent6 3 5 3 2 3 2" xfId="24944" xr:uid="{00000000-0005-0000-0000-000098090000}"/>
    <cellStyle name="20% - Accent6 3 5 3 2 4" xfId="24941" xr:uid="{00000000-0005-0000-0000-000099090000}"/>
    <cellStyle name="20% - Accent6 3 5 3 3" xfId="1411" xr:uid="{00000000-0005-0000-0000-00009A090000}"/>
    <cellStyle name="20% - Accent6 3 5 3 3 2" xfId="1412" xr:uid="{00000000-0005-0000-0000-00009B090000}"/>
    <cellStyle name="20% - Accent6 3 5 3 3 2 2" xfId="24946" xr:uid="{00000000-0005-0000-0000-00009C090000}"/>
    <cellStyle name="20% - Accent6 3 5 3 3 3" xfId="24945" xr:uid="{00000000-0005-0000-0000-00009D090000}"/>
    <cellStyle name="20% - Accent6 3 5 3 4" xfId="1413" xr:uid="{00000000-0005-0000-0000-00009E090000}"/>
    <cellStyle name="20% - Accent6 3 5 3 4 2" xfId="24947" xr:uid="{00000000-0005-0000-0000-00009F090000}"/>
    <cellStyle name="20% - Accent6 3 5 3 5" xfId="24940" xr:uid="{00000000-0005-0000-0000-0000A0090000}"/>
    <cellStyle name="20% - Accent6 3 5 4" xfId="1414" xr:uid="{00000000-0005-0000-0000-0000A1090000}"/>
    <cellStyle name="20% - Accent6 3 5 4 2" xfId="1415" xr:uid="{00000000-0005-0000-0000-0000A2090000}"/>
    <cellStyle name="20% - Accent6 3 5 4 2 2" xfId="1416" xr:uid="{00000000-0005-0000-0000-0000A3090000}"/>
    <cellStyle name="20% - Accent6 3 5 4 2 2 2" xfId="24950" xr:uid="{00000000-0005-0000-0000-0000A4090000}"/>
    <cellStyle name="20% - Accent6 3 5 4 2 3" xfId="24949" xr:uid="{00000000-0005-0000-0000-0000A5090000}"/>
    <cellStyle name="20% - Accent6 3 5 4 3" xfId="1417" xr:uid="{00000000-0005-0000-0000-0000A6090000}"/>
    <cellStyle name="20% - Accent6 3 5 4 3 2" xfId="24951" xr:uid="{00000000-0005-0000-0000-0000A7090000}"/>
    <cellStyle name="20% - Accent6 3 5 4 4" xfId="24948" xr:uid="{00000000-0005-0000-0000-0000A8090000}"/>
    <cellStyle name="20% - Accent6 3 5 5" xfId="1418" xr:uid="{00000000-0005-0000-0000-0000A9090000}"/>
    <cellStyle name="20% - Accent6 3 5 5 2" xfId="1419" xr:uid="{00000000-0005-0000-0000-0000AA090000}"/>
    <cellStyle name="20% - Accent6 3 5 5 2 2" xfId="24953" xr:uid="{00000000-0005-0000-0000-0000AB090000}"/>
    <cellStyle name="20% - Accent6 3 5 5 3" xfId="24952" xr:uid="{00000000-0005-0000-0000-0000AC090000}"/>
    <cellStyle name="20% - Accent6 3 5 6" xfId="1420" xr:uid="{00000000-0005-0000-0000-0000AD090000}"/>
    <cellStyle name="20% - Accent6 3 5 6 2" xfId="24954" xr:uid="{00000000-0005-0000-0000-0000AE090000}"/>
    <cellStyle name="20% - Accent6 3 5 7" xfId="24931" xr:uid="{00000000-0005-0000-0000-0000AF090000}"/>
    <cellStyle name="20% - Accent6 3 6" xfId="1421" xr:uid="{00000000-0005-0000-0000-0000B0090000}"/>
    <cellStyle name="20% - Accent6 3 6 2" xfId="1422" xr:uid="{00000000-0005-0000-0000-0000B1090000}"/>
    <cellStyle name="20% - Accent6 3 6 2 2" xfId="1423" xr:uid="{00000000-0005-0000-0000-0000B2090000}"/>
    <cellStyle name="20% - Accent6 3 6 2 2 2" xfId="1424" xr:uid="{00000000-0005-0000-0000-0000B3090000}"/>
    <cellStyle name="20% - Accent6 3 6 2 2 2 2" xfId="24958" xr:uid="{00000000-0005-0000-0000-0000B4090000}"/>
    <cellStyle name="20% - Accent6 3 6 2 2 3" xfId="24957" xr:uid="{00000000-0005-0000-0000-0000B5090000}"/>
    <cellStyle name="20% - Accent6 3 6 2 3" xfId="1425" xr:uid="{00000000-0005-0000-0000-0000B6090000}"/>
    <cellStyle name="20% - Accent6 3 6 2 3 2" xfId="24959" xr:uid="{00000000-0005-0000-0000-0000B7090000}"/>
    <cellStyle name="20% - Accent6 3 6 2 4" xfId="24956" xr:uid="{00000000-0005-0000-0000-0000B8090000}"/>
    <cellStyle name="20% - Accent6 3 6 3" xfId="1426" xr:uid="{00000000-0005-0000-0000-0000B9090000}"/>
    <cellStyle name="20% - Accent6 3 6 3 2" xfId="1427" xr:uid="{00000000-0005-0000-0000-0000BA090000}"/>
    <cellStyle name="20% - Accent6 3 6 3 2 2" xfId="24961" xr:uid="{00000000-0005-0000-0000-0000BB090000}"/>
    <cellStyle name="20% - Accent6 3 6 3 3" xfId="24960" xr:uid="{00000000-0005-0000-0000-0000BC090000}"/>
    <cellStyle name="20% - Accent6 3 6 4" xfId="1428" xr:uid="{00000000-0005-0000-0000-0000BD090000}"/>
    <cellStyle name="20% - Accent6 3 6 4 2" xfId="24962" xr:uid="{00000000-0005-0000-0000-0000BE090000}"/>
    <cellStyle name="20% - Accent6 3 6 5" xfId="24955" xr:uid="{00000000-0005-0000-0000-0000BF090000}"/>
    <cellStyle name="20% - Accent6 3 7" xfId="1429" xr:uid="{00000000-0005-0000-0000-0000C0090000}"/>
    <cellStyle name="20% - Accent6 3 7 2" xfId="1430" xr:uid="{00000000-0005-0000-0000-0000C1090000}"/>
    <cellStyle name="20% - Accent6 3 7 2 2" xfId="1431" xr:uid="{00000000-0005-0000-0000-0000C2090000}"/>
    <cellStyle name="20% - Accent6 3 7 2 2 2" xfId="1432" xr:uid="{00000000-0005-0000-0000-0000C3090000}"/>
    <cellStyle name="20% - Accent6 3 7 2 2 2 2" xfId="24966" xr:uid="{00000000-0005-0000-0000-0000C4090000}"/>
    <cellStyle name="20% - Accent6 3 7 2 2 3" xfId="24965" xr:uid="{00000000-0005-0000-0000-0000C5090000}"/>
    <cellStyle name="20% - Accent6 3 7 2 3" xfId="1433" xr:uid="{00000000-0005-0000-0000-0000C6090000}"/>
    <cellStyle name="20% - Accent6 3 7 2 3 2" xfId="24967" xr:uid="{00000000-0005-0000-0000-0000C7090000}"/>
    <cellStyle name="20% - Accent6 3 7 2 4" xfId="24964" xr:uid="{00000000-0005-0000-0000-0000C8090000}"/>
    <cellStyle name="20% - Accent6 3 7 3" xfId="1434" xr:uid="{00000000-0005-0000-0000-0000C9090000}"/>
    <cellStyle name="20% - Accent6 3 7 3 2" xfId="1435" xr:uid="{00000000-0005-0000-0000-0000CA090000}"/>
    <cellStyle name="20% - Accent6 3 7 3 2 2" xfId="24969" xr:uid="{00000000-0005-0000-0000-0000CB090000}"/>
    <cellStyle name="20% - Accent6 3 7 3 3" xfId="24968" xr:uid="{00000000-0005-0000-0000-0000CC090000}"/>
    <cellStyle name="20% - Accent6 3 7 4" xfId="1436" xr:uid="{00000000-0005-0000-0000-0000CD090000}"/>
    <cellStyle name="20% - Accent6 3 7 4 2" xfId="24970" xr:uid="{00000000-0005-0000-0000-0000CE090000}"/>
    <cellStyle name="20% - Accent6 3 7 5" xfId="24963" xr:uid="{00000000-0005-0000-0000-0000CF090000}"/>
    <cellStyle name="20% - Accent6 3 8" xfId="1437" xr:uid="{00000000-0005-0000-0000-0000D0090000}"/>
    <cellStyle name="20% - Accent6 3 8 2" xfId="1438" xr:uid="{00000000-0005-0000-0000-0000D1090000}"/>
    <cellStyle name="20% - Accent6 3 8 2 2" xfId="1439" xr:uid="{00000000-0005-0000-0000-0000D2090000}"/>
    <cellStyle name="20% - Accent6 3 8 2 2 2" xfId="24973" xr:uid="{00000000-0005-0000-0000-0000D3090000}"/>
    <cellStyle name="20% - Accent6 3 8 2 3" xfId="24972" xr:uid="{00000000-0005-0000-0000-0000D4090000}"/>
    <cellStyle name="20% - Accent6 3 8 3" xfId="1440" xr:uid="{00000000-0005-0000-0000-0000D5090000}"/>
    <cellStyle name="20% - Accent6 3 8 3 2" xfId="24974" xr:uid="{00000000-0005-0000-0000-0000D6090000}"/>
    <cellStyle name="20% - Accent6 3 8 4" xfId="24971" xr:uid="{00000000-0005-0000-0000-0000D7090000}"/>
    <cellStyle name="20% - Accent6 3 9" xfId="1441" xr:uid="{00000000-0005-0000-0000-0000D8090000}"/>
    <cellStyle name="20% - Accent6 3 9 2" xfId="1442" xr:uid="{00000000-0005-0000-0000-0000D9090000}"/>
    <cellStyle name="20% - Accent6 3 9 2 2" xfId="24976" xr:uid="{00000000-0005-0000-0000-0000DA090000}"/>
    <cellStyle name="20% - Accent6 3 9 3" xfId="24975" xr:uid="{00000000-0005-0000-0000-0000DB090000}"/>
    <cellStyle name="20% - Accent6 4" xfId="1443" xr:uid="{00000000-0005-0000-0000-0000DC090000}"/>
    <cellStyle name="20% - Accent6 4 2" xfId="1444" xr:uid="{00000000-0005-0000-0000-0000DD090000}"/>
    <cellStyle name="20% - Accent6 4 2 2" xfId="1445" xr:uid="{00000000-0005-0000-0000-0000DE090000}"/>
    <cellStyle name="20% - Accent6 4 2 2 2" xfId="24979" xr:uid="{00000000-0005-0000-0000-0000DF090000}"/>
    <cellStyle name="20% - Accent6 4 2 3" xfId="24978" xr:uid="{00000000-0005-0000-0000-0000E0090000}"/>
    <cellStyle name="20% - Accent6 4 3" xfId="1446" xr:uid="{00000000-0005-0000-0000-0000E1090000}"/>
    <cellStyle name="20% - Accent6 4 3 2" xfId="24980" xr:uid="{00000000-0005-0000-0000-0000E2090000}"/>
    <cellStyle name="20% - Accent6 4 4" xfId="24977" xr:uid="{00000000-0005-0000-0000-0000E3090000}"/>
    <cellStyle name="40% - Accent1 2" xfId="18049" xr:uid="{00000000-0005-0000-0000-0000E4090000}"/>
    <cellStyle name="40% - Accent1 3" xfId="18050" xr:uid="{00000000-0005-0000-0000-0000E5090000}"/>
    <cellStyle name="40% - Accent1 4" xfId="18051" xr:uid="{00000000-0005-0000-0000-0000E6090000}"/>
    <cellStyle name="40% - Accent1 4 2" xfId="41496" xr:uid="{00000000-0005-0000-0000-0000E7090000}"/>
    <cellStyle name="40% - Accent2 2" xfId="18052" xr:uid="{00000000-0005-0000-0000-0000E8090000}"/>
    <cellStyle name="40% - Accent2 3" xfId="18053" xr:uid="{00000000-0005-0000-0000-0000E9090000}"/>
    <cellStyle name="40% - Accent2 4" xfId="18054" xr:uid="{00000000-0005-0000-0000-0000EA090000}"/>
    <cellStyle name="40% - Accent2 4 2" xfId="41497" xr:uid="{00000000-0005-0000-0000-0000EB090000}"/>
    <cellStyle name="40% - Accent3 2" xfId="18055" xr:uid="{00000000-0005-0000-0000-0000EC090000}"/>
    <cellStyle name="40% - Accent3 3" xfId="18056" xr:uid="{00000000-0005-0000-0000-0000ED090000}"/>
    <cellStyle name="40% - Accent3 4" xfId="18057" xr:uid="{00000000-0005-0000-0000-0000EE090000}"/>
    <cellStyle name="40% - Accent3 4 2" xfId="41498" xr:uid="{00000000-0005-0000-0000-0000EF090000}"/>
    <cellStyle name="40% - Accent4 2" xfId="18058" xr:uid="{00000000-0005-0000-0000-0000F0090000}"/>
    <cellStyle name="40% - Accent4 3" xfId="18059" xr:uid="{00000000-0005-0000-0000-0000F1090000}"/>
    <cellStyle name="40% - Accent4 4" xfId="18060" xr:uid="{00000000-0005-0000-0000-0000F2090000}"/>
    <cellStyle name="40% - Accent4 4 2" xfId="41499" xr:uid="{00000000-0005-0000-0000-0000F3090000}"/>
    <cellStyle name="40% - Accent5 2" xfId="18061" xr:uid="{00000000-0005-0000-0000-0000F4090000}"/>
    <cellStyle name="40% - Accent5 3" xfId="18062" xr:uid="{00000000-0005-0000-0000-0000F5090000}"/>
    <cellStyle name="40% - Accent5 4" xfId="18063" xr:uid="{00000000-0005-0000-0000-0000F6090000}"/>
    <cellStyle name="40% - Accent5 4 2" xfId="41500" xr:uid="{00000000-0005-0000-0000-0000F7090000}"/>
    <cellStyle name="40% - Accent6 2" xfId="18064" xr:uid="{00000000-0005-0000-0000-0000F8090000}"/>
    <cellStyle name="40% - Accent6 3" xfId="18065" xr:uid="{00000000-0005-0000-0000-0000F9090000}"/>
    <cellStyle name="40% - Accent6 4" xfId="18066" xr:uid="{00000000-0005-0000-0000-0000FA090000}"/>
    <cellStyle name="40% - Accent6 4 2" xfId="41501" xr:uid="{00000000-0005-0000-0000-0000FB090000}"/>
    <cellStyle name="60% - Accent1 2" xfId="18067" xr:uid="{00000000-0005-0000-0000-0000FC090000}"/>
    <cellStyle name="60% - Accent1 3" xfId="18068" xr:uid="{00000000-0005-0000-0000-0000FD090000}"/>
    <cellStyle name="60% - Accent2 2" xfId="18069" xr:uid="{00000000-0005-0000-0000-0000FE090000}"/>
    <cellStyle name="60% - Accent2 3" xfId="18070" xr:uid="{00000000-0005-0000-0000-0000FF090000}"/>
    <cellStyle name="60% - Accent3 2" xfId="18071" xr:uid="{00000000-0005-0000-0000-0000000A0000}"/>
    <cellStyle name="60% - Accent3 3" xfId="18072" xr:uid="{00000000-0005-0000-0000-0000010A0000}"/>
    <cellStyle name="60% - Accent4 2" xfId="18073" xr:uid="{00000000-0005-0000-0000-0000020A0000}"/>
    <cellStyle name="60% - Accent4 3" xfId="18074" xr:uid="{00000000-0005-0000-0000-0000030A0000}"/>
    <cellStyle name="60% - Accent5 2" xfId="18075" xr:uid="{00000000-0005-0000-0000-0000040A0000}"/>
    <cellStyle name="60% - Accent5 3" xfId="18076" xr:uid="{00000000-0005-0000-0000-0000050A0000}"/>
    <cellStyle name="60% - Accent6 2" xfId="18077" xr:uid="{00000000-0005-0000-0000-0000060A0000}"/>
    <cellStyle name="60% - Accent6 3" xfId="18078" xr:uid="{00000000-0005-0000-0000-0000070A0000}"/>
    <cellStyle name="Accent1 2" xfId="18079" xr:uid="{00000000-0005-0000-0000-0000080A0000}"/>
    <cellStyle name="Accent1 3" xfId="18080" xr:uid="{00000000-0005-0000-0000-0000090A0000}"/>
    <cellStyle name="Accent2 2" xfId="18081" xr:uid="{00000000-0005-0000-0000-00000A0A0000}"/>
    <cellStyle name="Accent2 3" xfId="18082" xr:uid="{00000000-0005-0000-0000-00000B0A0000}"/>
    <cellStyle name="Accent2 4" xfId="17685" xr:uid="{00000000-0005-0000-0000-00000C0A0000}"/>
    <cellStyle name="Accent3 2" xfId="18083" xr:uid="{00000000-0005-0000-0000-00000D0A0000}"/>
    <cellStyle name="Accent3 3" xfId="18084" xr:uid="{00000000-0005-0000-0000-00000E0A0000}"/>
    <cellStyle name="Accent3 4" xfId="17684" xr:uid="{00000000-0005-0000-0000-00000F0A0000}"/>
    <cellStyle name="Accent4 2" xfId="18085" xr:uid="{00000000-0005-0000-0000-0000100A0000}"/>
    <cellStyle name="Accent4 3" xfId="18086" xr:uid="{00000000-0005-0000-0000-0000110A0000}"/>
    <cellStyle name="Accent5 2" xfId="18087" xr:uid="{00000000-0005-0000-0000-0000120A0000}"/>
    <cellStyle name="Accent5 3" xfId="18088" xr:uid="{00000000-0005-0000-0000-0000130A0000}"/>
    <cellStyle name="Accent6 2" xfId="18089" xr:uid="{00000000-0005-0000-0000-0000140A0000}"/>
    <cellStyle name="Accent6 3" xfId="18090" xr:uid="{00000000-0005-0000-0000-0000150A0000}"/>
    <cellStyle name="Bad 2" xfId="18091" xr:uid="{00000000-0005-0000-0000-0000160A0000}"/>
    <cellStyle name="Bad 3" xfId="18092" xr:uid="{00000000-0005-0000-0000-0000170A0000}"/>
    <cellStyle name="BODY" xfId="31" xr:uid="{00000000-0005-0000-0000-0000180A0000}"/>
    <cellStyle name="Calculation 2" xfId="18093" xr:uid="{00000000-0005-0000-0000-0000190A0000}"/>
    <cellStyle name="Calculation 3" xfId="18094" xr:uid="{00000000-0005-0000-0000-00001A0A0000}"/>
    <cellStyle name="Calculation 3 10" xfId="18095" xr:uid="{00000000-0005-0000-0000-00001B0A0000}"/>
    <cellStyle name="Calculation 3 11" xfId="18096" xr:uid="{00000000-0005-0000-0000-00001C0A0000}"/>
    <cellStyle name="Calculation 3 12" xfId="18097" xr:uid="{00000000-0005-0000-0000-00001D0A0000}"/>
    <cellStyle name="Calculation 3 13" xfId="18098" xr:uid="{00000000-0005-0000-0000-00001E0A0000}"/>
    <cellStyle name="Calculation 3 14" xfId="18099" xr:uid="{00000000-0005-0000-0000-00001F0A0000}"/>
    <cellStyle name="Calculation 3 15" xfId="18100" xr:uid="{00000000-0005-0000-0000-0000200A0000}"/>
    <cellStyle name="Calculation 3 2" xfId="18101" xr:uid="{00000000-0005-0000-0000-0000210A0000}"/>
    <cellStyle name="Calculation 3 3" xfId="18102" xr:uid="{00000000-0005-0000-0000-0000220A0000}"/>
    <cellStyle name="Calculation 3 4" xfId="18103" xr:uid="{00000000-0005-0000-0000-0000230A0000}"/>
    <cellStyle name="Calculation 3 5" xfId="18104" xr:uid="{00000000-0005-0000-0000-0000240A0000}"/>
    <cellStyle name="Calculation 3 6" xfId="18105" xr:uid="{00000000-0005-0000-0000-0000250A0000}"/>
    <cellStyle name="Calculation 3 7" xfId="18106" xr:uid="{00000000-0005-0000-0000-0000260A0000}"/>
    <cellStyle name="Calculation 3 8" xfId="18107" xr:uid="{00000000-0005-0000-0000-0000270A0000}"/>
    <cellStyle name="Calculation 3 9" xfId="18108" xr:uid="{00000000-0005-0000-0000-0000280A0000}"/>
    <cellStyle name="Check Cell 2" xfId="18109" xr:uid="{00000000-0005-0000-0000-0000290A0000}"/>
    <cellStyle name="Check Cell 3" xfId="18110" xr:uid="{00000000-0005-0000-0000-00002A0A0000}"/>
    <cellStyle name="Comma" xfId="1" builtinId="3"/>
    <cellStyle name="Comma 10" xfId="18111" xr:uid="{00000000-0005-0000-0000-00002C0A0000}"/>
    <cellStyle name="Comma 10 2" xfId="18112" xr:uid="{00000000-0005-0000-0000-00002D0A0000}"/>
    <cellStyle name="Comma 10 2 2" xfId="41502" xr:uid="{00000000-0005-0000-0000-00002E0A0000}"/>
    <cellStyle name="Comma 11" xfId="18113" xr:uid="{00000000-0005-0000-0000-00002F0A0000}"/>
    <cellStyle name="Comma 11 2" xfId="18114" xr:uid="{00000000-0005-0000-0000-0000300A0000}"/>
    <cellStyle name="Comma 11 2 2" xfId="41503" xr:uid="{00000000-0005-0000-0000-0000310A0000}"/>
    <cellStyle name="Comma 12" xfId="18115" xr:uid="{00000000-0005-0000-0000-0000320A0000}"/>
    <cellStyle name="Comma 12 2" xfId="18116" xr:uid="{00000000-0005-0000-0000-0000330A0000}"/>
    <cellStyle name="Comma 12 2 2" xfId="41505" xr:uid="{00000000-0005-0000-0000-0000340A0000}"/>
    <cellStyle name="Comma 12 3" xfId="41504" xr:uid="{00000000-0005-0000-0000-0000350A0000}"/>
    <cellStyle name="Comma 13" xfId="18117" xr:uid="{00000000-0005-0000-0000-0000360A0000}"/>
    <cellStyle name="Comma 13 2" xfId="41506" xr:uid="{00000000-0005-0000-0000-0000370A0000}"/>
    <cellStyle name="Comma 14" xfId="18118" xr:uid="{00000000-0005-0000-0000-0000380A0000}"/>
    <cellStyle name="Comma 14 2" xfId="41507" xr:uid="{00000000-0005-0000-0000-0000390A0000}"/>
    <cellStyle name="Comma 15" xfId="23623" xr:uid="{00000000-0005-0000-0000-00003A0A0000}"/>
    <cellStyle name="Comma 16" xfId="46860" xr:uid="{00000000-0005-0000-0000-00003B0A0000}"/>
    <cellStyle name="Comma 2" xfId="19" xr:uid="{00000000-0005-0000-0000-00003C0A0000}"/>
    <cellStyle name="Comma 2 2" xfId="27" xr:uid="{00000000-0005-0000-0000-00003D0A0000}"/>
    <cellStyle name="Comma 2 2 2" xfId="32" xr:uid="{00000000-0005-0000-0000-00003E0A0000}"/>
    <cellStyle name="Comma 2 2 2 2" xfId="1448" xr:uid="{00000000-0005-0000-0000-00003F0A0000}"/>
    <cellStyle name="Comma 2 2 2 2 2" xfId="1449" xr:uid="{00000000-0005-0000-0000-0000400A0000}"/>
    <cellStyle name="Comma 2 2 2 2 2 2" xfId="1450" xr:uid="{00000000-0005-0000-0000-0000410A0000}"/>
    <cellStyle name="Comma 2 2 2 2 2 2 2" xfId="1451" xr:uid="{00000000-0005-0000-0000-0000420A0000}"/>
    <cellStyle name="Comma 2 2 2 2 2 2 2 2" xfId="24984" xr:uid="{00000000-0005-0000-0000-0000430A0000}"/>
    <cellStyle name="Comma 2 2 2 2 2 2 3" xfId="24983" xr:uid="{00000000-0005-0000-0000-0000440A0000}"/>
    <cellStyle name="Comma 2 2 2 2 2 3" xfId="1452" xr:uid="{00000000-0005-0000-0000-0000450A0000}"/>
    <cellStyle name="Comma 2 2 2 2 2 3 2" xfId="24985" xr:uid="{00000000-0005-0000-0000-0000460A0000}"/>
    <cellStyle name="Comma 2 2 2 2 2 4" xfId="24982" xr:uid="{00000000-0005-0000-0000-0000470A0000}"/>
    <cellStyle name="Comma 2 2 2 2 3" xfId="1453" xr:uid="{00000000-0005-0000-0000-0000480A0000}"/>
    <cellStyle name="Comma 2 2 2 2 3 2" xfId="1454" xr:uid="{00000000-0005-0000-0000-0000490A0000}"/>
    <cellStyle name="Comma 2 2 2 2 3 2 2" xfId="24987" xr:uid="{00000000-0005-0000-0000-00004A0A0000}"/>
    <cellStyle name="Comma 2 2 2 2 3 3" xfId="24986" xr:uid="{00000000-0005-0000-0000-00004B0A0000}"/>
    <cellStyle name="Comma 2 2 2 2 4" xfId="18119" xr:uid="{00000000-0005-0000-0000-00004C0A0000}"/>
    <cellStyle name="Comma 2 2 2 3" xfId="1455" xr:uid="{00000000-0005-0000-0000-00004D0A0000}"/>
    <cellStyle name="Comma 2 2 2 3 2" xfId="1456" xr:uid="{00000000-0005-0000-0000-00004E0A0000}"/>
    <cellStyle name="Comma 2 2 2 3 2 2" xfId="1457" xr:uid="{00000000-0005-0000-0000-00004F0A0000}"/>
    <cellStyle name="Comma 2 2 2 3 2 2 2" xfId="1458" xr:uid="{00000000-0005-0000-0000-0000500A0000}"/>
    <cellStyle name="Comma 2 2 2 3 2 2 2 2" xfId="24991" xr:uid="{00000000-0005-0000-0000-0000510A0000}"/>
    <cellStyle name="Comma 2 2 2 3 2 2 3" xfId="24990" xr:uid="{00000000-0005-0000-0000-0000520A0000}"/>
    <cellStyle name="Comma 2 2 2 3 2 3" xfId="1459" xr:uid="{00000000-0005-0000-0000-0000530A0000}"/>
    <cellStyle name="Comma 2 2 2 3 2 3 2" xfId="24992" xr:uid="{00000000-0005-0000-0000-0000540A0000}"/>
    <cellStyle name="Comma 2 2 2 3 2 4" xfId="24989" xr:uid="{00000000-0005-0000-0000-0000550A0000}"/>
    <cellStyle name="Comma 2 2 2 3 3" xfId="1460" xr:uid="{00000000-0005-0000-0000-0000560A0000}"/>
    <cellStyle name="Comma 2 2 2 3 3 2" xfId="1461" xr:uid="{00000000-0005-0000-0000-0000570A0000}"/>
    <cellStyle name="Comma 2 2 2 3 3 2 2" xfId="24994" xr:uid="{00000000-0005-0000-0000-0000580A0000}"/>
    <cellStyle name="Comma 2 2 2 3 3 3" xfId="24993" xr:uid="{00000000-0005-0000-0000-0000590A0000}"/>
    <cellStyle name="Comma 2 2 2 3 4" xfId="1462" xr:uid="{00000000-0005-0000-0000-00005A0A0000}"/>
    <cellStyle name="Comma 2 2 2 3 4 2" xfId="24995" xr:uid="{00000000-0005-0000-0000-00005B0A0000}"/>
    <cellStyle name="Comma 2 2 2 3 5" xfId="24988" xr:uid="{00000000-0005-0000-0000-00005C0A0000}"/>
    <cellStyle name="Comma 2 2 2 4" xfId="1463" xr:uid="{00000000-0005-0000-0000-00005D0A0000}"/>
    <cellStyle name="Comma 2 2 2 4 2" xfId="1464" xr:uid="{00000000-0005-0000-0000-00005E0A0000}"/>
    <cellStyle name="Comma 2 2 2 4 2 2" xfId="1465" xr:uid="{00000000-0005-0000-0000-00005F0A0000}"/>
    <cellStyle name="Comma 2 2 2 4 2 2 2" xfId="24998" xr:uid="{00000000-0005-0000-0000-0000600A0000}"/>
    <cellStyle name="Comma 2 2 2 4 2 3" xfId="24997" xr:uid="{00000000-0005-0000-0000-0000610A0000}"/>
    <cellStyle name="Comma 2 2 2 4 3" xfId="1466" xr:uid="{00000000-0005-0000-0000-0000620A0000}"/>
    <cellStyle name="Comma 2 2 2 4 3 2" xfId="24999" xr:uid="{00000000-0005-0000-0000-0000630A0000}"/>
    <cellStyle name="Comma 2 2 2 4 4" xfId="24996" xr:uid="{00000000-0005-0000-0000-0000640A0000}"/>
    <cellStyle name="Comma 2 2 2 5" xfId="1467" xr:uid="{00000000-0005-0000-0000-0000650A0000}"/>
    <cellStyle name="Comma 2 2 2 5 2" xfId="1468" xr:uid="{00000000-0005-0000-0000-0000660A0000}"/>
    <cellStyle name="Comma 2 2 2 5 2 2" xfId="25001" xr:uid="{00000000-0005-0000-0000-0000670A0000}"/>
    <cellStyle name="Comma 2 2 2 5 3" xfId="25000" xr:uid="{00000000-0005-0000-0000-0000680A0000}"/>
    <cellStyle name="Comma 2 2 2 6" xfId="1469" xr:uid="{00000000-0005-0000-0000-0000690A0000}"/>
    <cellStyle name="Comma 2 2 2 6 2" xfId="25002" xr:uid="{00000000-0005-0000-0000-00006A0A0000}"/>
    <cellStyle name="Comma 2 2 2 7" xfId="1447" xr:uid="{00000000-0005-0000-0000-00006B0A0000}"/>
    <cellStyle name="Comma 2 2 2 7 2" xfId="24981" xr:uid="{00000000-0005-0000-0000-00006C0A0000}"/>
    <cellStyle name="Comma 2 2 3" xfId="33" xr:uid="{00000000-0005-0000-0000-00006D0A0000}"/>
    <cellStyle name="Comma 2 2 3 2" xfId="1470" xr:uid="{00000000-0005-0000-0000-00006E0A0000}"/>
    <cellStyle name="Comma 2 2 3 2 2" xfId="1471" xr:uid="{00000000-0005-0000-0000-00006F0A0000}"/>
    <cellStyle name="Comma 2 2 3 2 2 2" xfId="1472" xr:uid="{00000000-0005-0000-0000-0000700A0000}"/>
    <cellStyle name="Comma 2 2 3 2 2 2 2" xfId="25005" xr:uid="{00000000-0005-0000-0000-0000710A0000}"/>
    <cellStyle name="Comma 2 2 3 2 2 3" xfId="25004" xr:uid="{00000000-0005-0000-0000-0000720A0000}"/>
    <cellStyle name="Comma 2 2 3 2 3" xfId="1473" xr:uid="{00000000-0005-0000-0000-0000730A0000}"/>
    <cellStyle name="Comma 2 2 3 2 3 2" xfId="25006" xr:uid="{00000000-0005-0000-0000-0000740A0000}"/>
    <cellStyle name="Comma 2 2 3 2 4" xfId="25003" xr:uid="{00000000-0005-0000-0000-0000750A0000}"/>
    <cellStyle name="Comma 2 2 3 3" xfId="1474" xr:uid="{00000000-0005-0000-0000-0000760A0000}"/>
    <cellStyle name="Comma 2 2 3 3 2" xfId="1475" xr:uid="{00000000-0005-0000-0000-0000770A0000}"/>
    <cellStyle name="Comma 2 2 3 3 2 2" xfId="25008" xr:uid="{00000000-0005-0000-0000-0000780A0000}"/>
    <cellStyle name="Comma 2 2 3 3 3" xfId="25007" xr:uid="{00000000-0005-0000-0000-0000790A0000}"/>
    <cellStyle name="Comma 2 2 4" xfId="1476" xr:uid="{00000000-0005-0000-0000-00007A0A0000}"/>
    <cellStyle name="Comma 2 2 4 2" xfId="1477" xr:uid="{00000000-0005-0000-0000-00007B0A0000}"/>
    <cellStyle name="Comma 2 2 4 2 2" xfId="1478" xr:uid="{00000000-0005-0000-0000-00007C0A0000}"/>
    <cellStyle name="Comma 2 2 4 2 2 2" xfId="1479" xr:uid="{00000000-0005-0000-0000-00007D0A0000}"/>
    <cellStyle name="Comma 2 2 4 2 2 2 2" xfId="25012" xr:uid="{00000000-0005-0000-0000-00007E0A0000}"/>
    <cellStyle name="Comma 2 2 4 2 2 3" xfId="25011" xr:uid="{00000000-0005-0000-0000-00007F0A0000}"/>
    <cellStyle name="Comma 2 2 4 2 3" xfId="1480" xr:uid="{00000000-0005-0000-0000-0000800A0000}"/>
    <cellStyle name="Comma 2 2 4 2 3 2" xfId="25013" xr:uid="{00000000-0005-0000-0000-0000810A0000}"/>
    <cellStyle name="Comma 2 2 4 2 4" xfId="25010" xr:uid="{00000000-0005-0000-0000-0000820A0000}"/>
    <cellStyle name="Comma 2 2 4 3" xfId="1481" xr:uid="{00000000-0005-0000-0000-0000830A0000}"/>
    <cellStyle name="Comma 2 2 4 3 2" xfId="1482" xr:uid="{00000000-0005-0000-0000-0000840A0000}"/>
    <cellStyle name="Comma 2 2 4 3 2 2" xfId="25015" xr:uid="{00000000-0005-0000-0000-0000850A0000}"/>
    <cellStyle name="Comma 2 2 4 3 3" xfId="25014" xr:uid="{00000000-0005-0000-0000-0000860A0000}"/>
    <cellStyle name="Comma 2 2 4 4" xfId="1483" xr:uid="{00000000-0005-0000-0000-0000870A0000}"/>
    <cellStyle name="Comma 2 2 4 4 2" xfId="25016" xr:uid="{00000000-0005-0000-0000-0000880A0000}"/>
    <cellStyle name="Comma 2 2 4 5" xfId="25009" xr:uid="{00000000-0005-0000-0000-0000890A0000}"/>
    <cellStyle name="Comma 2 2 5" xfId="1484" xr:uid="{00000000-0005-0000-0000-00008A0A0000}"/>
    <cellStyle name="Comma 2 2 5 2" xfId="1485" xr:uid="{00000000-0005-0000-0000-00008B0A0000}"/>
    <cellStyle name="Comma 2 2 5 2 2" xfId="1486" xr:uid="{00000000-0005-0000-0000-00008C0A0000}"/>
    <cellStyle name="Comma 2 2 5 2 2 2" xfId="25019" xr:uid="{00000000-0005-0000-0000-00008D0A0000}"/>
    <cellStyle name="Comma 2 2 5 2 3" xfId="25018" xr:uid="{00000000-0005-0000-0000-00008E0A0000}"/>
    <cellStyle name="Comma 2 2 5 3" xfId="1487" xr:uid="{00000000-0005-0000-0000-00008F0A0000}"/>
    <cellStyle name="Comma 2 2 5 3 2" xfId="25020" xr:uid="{00000000-0005-0000-0000-0000900A0000}"/>
    <cellStyle name="Comma 2 2 5 4" xfId="25017" xr:uid="{00000000-0005-0000-0000-0000910A0000}"/>
    <cellStyle name="Comma 2 2 6" xfId="1488" xr:uid="{00000000-0005-0000-0000-0000920A0000}"/>
    <cellStyle name="Comma 2 2 6 2" xfId="1489" xr:uid="{00000000-0005-0000-0000-0000930A0000}"/>
    <cellStyle name="Comma 2 2 6 2 2" xfId="25022" xr:uid="{00000000-0005-0000-0000-0000940A0000}"/>
    <cellStyle name="Comma 2 2 6 3" xfId="25021" xr:uid="{00000000-0005-0000-0000-0000950A0000}"/>
    <cellStyle name="Comma 2 2 7" xfId="1490" xr:uid="{00000000-0005-0000-0000-0000960A0000}"/>
    <cellStyle name="Comma 2 2 7 2" xfId="25023" xr:uid="{00000000-0005-0000-0000-0000970A0000}"/>
    <cellStyle name="Comma 2 2 8" xfId="23630" xr:uid="{00000000-0005-0000-0000-0000980A0000}"/>
    <cellStyle name="Comma 2 3" xfId="34" xr:uid="{00000000-0005-0000-0000-0000990A0000}"/>
    <cellStyle name="Comma 2 3 2" xfId="1492" xr:uid="{00000000-0005-0000-0000-00009A0A0000}"/>
    <cellStyle name="Comma 2 3 2 2" xfId="18120" xr:uid="{00000000-0005-0000-0000-00009B0A0000}"/>
    <cellStyle name="Comma 2 3 3" xfId="1491" xr:uid="{00000000-0005-0000-0000-00009C0A0000}"/>
    <cellStyle name="Comma 2 4" xfId="35" xr:uid="{00000000-0005-0000-0000-00009D0A0000}"/>
    <cellStyle name="Comma 2 5" xfId="18121" xr:uid="{00000000-0005-0000-0000-00009E0A0000}"/>
    <cellStyle name="Comma 3" xfId="36" xr:uid="{00000000-0005-0000-0000-00009F0A0000}"/>
    <cellStyle name="Comma 3 10" xfId="1494" xr:uid="{00000000-0005-0000-0000-0000A00A0000}"/>
    <cellStyle name="Comma 3 10 2" xfId="1495" xr:uid="{00000000-0005-0000-0000-0000A10A0000}"/>
    <cellStyle name="Comma 3 10 2 2" xfId="1496" xr:uid="{00000000-0005-0000-0000-0000A20A0000}"/>
    <cellStyle name="Comma 3 10 2 2 2" xfId="1497" xr:uid="{00000000-0005-0000-0000-0000A30A0000}"/>
    <cellStyle name="Comma 3 10 2 2 2 2" xfId="1498" xr:uid="{00000000-0005-0000-0000-0000A40A0000}"/>
    <cellStyle name="Comma 3 10 2 2 2 2 2" xfId="25029" xr:uid="{00000000-0005-0000-0000-0000A50A0000}"/>
    <cellStyle name="Comma 3 10 2 2 2 3" xfId="25028" xr:uid="{00000000-0005-0000-0000-0000A60A0000}"/>
    <cellStyle name="Comma 3 10 2 2 3" xfId="1499" xr:uid="{00000000-0005-0000-0000-0000A70A0000}"/>
    <cellStyle name="Comma 3 10 2 2 3 2" xfId="25030" xr:uid="{00000000-0005-0000-0000-0000A80A0000}"/>
    <cellStyle name="Comma 3 10 2 2 4" xfId="25027" xr:uid="{00000000-0005-0000-0000-0000A90A0000}"/>
    <cellStyle name="Comma 3 10 2 3" xfId="1500" xr:uid="{00000000-0005-0000-0000-0000AA0A0000}"/>
    <cellStyle name="Comma 3 10 2 3 2" xfId="1501" xr:uid="{00000000-0005-0000-0000-0000AB0A0000}"/>
    <cellStyle name="Comma 3 10 2 3 2 2" xfId="25032" xr:uid="{00000000-0005-0000-0000-0000AC0A0000}"/>
    <cellStyle name="Comma 3 10 2 3 3" xfId="25031" xr:uid="{00000000-0005-0000-0000-0000AD0A0000}"/>
    <cellStyle name="Comma 3 10 2 4" xfId="1502" xr:uid="{00000000-0005-0000-0000-0000AE0A0000}"/>
    <cellStyle name="Comma 3 10 2 4 2" xfId="25033" xr:uid="{00000000-0005-0000-0000-0000AF0A0000}"/>
    <cellStyle name="Comma 3 10 2 5" xfId="25026" xr:uid="{00000000-0005-0000-0000-0000B00A0000}"/>
    <cellStyle name="Comma 3 10 3" xfId="1503" xr:uid="{00000000-0005-0000-0000-0000B10A0000}"/>
    <cellStyle name="Comma 3 10 3 2" xfId="1504" xr:uid="{00000000-0005-0000-0000-0000B20A0000}"/>
    <cellStyle name="Comma 3 10 3 2 2" xfId="1505" xr:uid="{00000000-0005-0000-0000-0000B30A0000}"/>
    <cellStyle name="Comma 3 10 3 2 2 2" xfId="1506" xr:uid="{00000000-0005-0000-0000-0000B40A0000}"/>
    <cellStyle name="Comma 3 10 3 2 2 2 2" xfId="25037" xr:uid="{00000000-0005-0000-0000-0000B50A0000}"/>
    <cellStyle name="Comma 3 10 3 2 2 3" xfId="25036" xr:uid="{00000000-0005-0000-0000-0000B60A0000}"/>
    <cellStyle name="Comma 3 10 3 2 3" xfId="1507" xr:uid="{00000000-0005-0000-0000-0000B70A0000}"/>
    <cellStyle name="Comma 3 10 3 2 3 2" xfId="25038" xr:uid="{00000000-0005-0000-0000-0000B80A0000}"/>
    <cellStyle name="Comma 3 10 3 2 4" xfId="25035" xr:uid="{00000000-0005-0000-0000-0000B90A0000}"/>
    <cellStyle name="Comma 3 10 3 3" xfId="1508" xr:uid="{00000000-0005-0000-0000-0000BA0A0000}"/>
    <cellStyle name="Comma 3 10 3 3 2" xfId="1509" xr:uid="{00000000-0005-0000-0000-0000BB0A0000}"/>
    <cellStyle name="Comma 3 10 3 3 2 2" xfId="25040" xr:uid="{00000000-0005-0000-0000-0000BC0A0000}"/>
    <cellStyle name="Comma 3 10 3 3 3" xfId="25039" xr:uid="{00000000-0005-0000-0000-0000BD0A0000}"/>
    <cellStyle name="Comma 3 10 3 4" xfId="1510" xr:uid="{00000000-0005-0000-0000-0000BE0A0000}"/>
    <cellStyle name="Comma 3 10 3 4 2" xfId="25041" xr:uid="{00000000-0005-0000-0000-0000BF0A0000}"/>
    <cellStyle name="Comma 3 10 3 5" xfId="25034" xr:uid="{00000000-0005-0000-0000-0000C00A0000}"/>
    <cellStyle name="Comma 3 10 4" xfId="1511" xr:uid="{00000000-0005-0000-0000-0000C10A0000}"/>
    <cellStyle name="Comma 3 10 4 2" xfId="1512" xr:uid="{00000000-0005-0000-0000-0000C20A0000}"/>
    <cellStyle name="Comma 3 10 4 2 2" xfId="1513" xr:uid="{00000000-0005-0000-0000-0000C30A0000}"/>
    <cellStyle name="Comma 3 10 4 2 2 2" xfId="25044" xr:uid="{00000000-0005-0000-0000-0000C40A0000}"/>
    <cellStyle name="Comma 3 10 4 2 3" xfId="25043" xr:uid="{00000000-0005-0000-0000-0000C50A0000}"/>
    <cellStyle name="Comma 3 10 4 3" xfId="1514" xr:uid="{00000000-0005-0000-0000-0000C60A0000}"/>
    <cellStyle name="Comma 3 10 4 3 2" xfId="25045" xr:uid="{00000000-0005-0000-0000-0000C70A0000}"/>
    <cellStyle name="Comma 3 10 4 4" xfId="25042" xr:uid="{00000000-0005-0000-0000-0000C80A0000}"/>
    <cellStyle name="Comma 3 10 5" xfId="1515" xr:uid="{00000000-0005-0000-0000-0000C90A0000}"/>
    <cellStyle name="Comma 3 10 5 2" xfId="1516" xr:uid="{00000000-0005-0000-0000-0000CA0A0000}"/>
    <cellStyle name="Comma 3 10 5 2 2" xfId="25047" xr:uid="{00000000-0005-0000-0000-0000CB0A0000}"/>
    <cellStyle name="Comma 3 10 5 3" xfId="25046" xr:uid="{00000000-0005-0000-0000-0000CC0A0000}"/>
    <cellStyle name="Comma 3 10 6" xfId="1517" xr:uid="{00000000-0005-0000-0000-0000CD0A0000}"/>
    <cellStyle name="Comma 3 10 6 2" xfId="25048" xr:uid="{00000000-0005-0000-0000-0000CE0A0000}"/>
    <cellStyle name="Comma 3 10 7" xfId="25025" xr:uid="{00000000-0005-0000-0000-0000CF0A0000}"/>
    <cellStyle name="Comma 3 11" xfId="1518" xr:uid="{00000000-0005-0000-0000-0000D00A0000}"/>
    <cellStyle name="Comma 3 11 2" xfId="1519" xr:uid="{00000000-0005-0000-0000-0000D10A0000}"/>
    <cellStyle name="Comma 3 11 2 2" xfId="1520" xr:uid="{00000000-0005-0000-0000-0000D20A0000}"/>
    <cellStyle name="Comma 3 11 2 2 2" xfId="1521" xr:uid="{00000000-0005-0000-0000-0000D30A0000}"/>
    <cellStyle name="Comma 3 11 2 2 2 2" xfId="1522" xr:uid="{00000000-0005-0000-0000-0000D40A0000}"/>
    <cellStyle name="Comma 3 11 2 2 2 2 2" xfId="25053" xr:uid="{00000000-0005-0000-0000-0000D50A0000}"/>
    <cellStyle name="Comma 3 11 2 2 2 3" xfId="25052" xr:uid="{00000000-0005-0000-0000-0000D60A0000}"/>
    <cellStyle name="Comma 3 11 2 2 3" xfId="1523" xr:uid="{00000000-0005-0000-0000-0000D70A0000}"/>
    <cellStyle name="Comma 3 11 2 2 3 2" xfId="25054" xr:uid="{00000000-0005-0000-0000-0000D80A0000}"/>
    <cellStyle name="Comma 3 11 2 2 4" xfId="25051" xr:uid="{00000000-0005-0000-0000-0000D90A0000}"/>
    <cellStyle name="Comma 3 11 2 3" xfId="1524" xr:uid="{00000000-0005-0000-0000-0000DA0A0000}"/>
    <cellStyle name="Comma 3 11 2 3 2" xfId="1525" xr:uid="{00000000-0005-0000-0000-0000DB0A0000}"/>
    <cellStyle name="Comma 3 11 2 3 2 2" xfId="25056" xr:uid="{00000000-0005-0000-0000-0000DC0A0000}"/>
    <cellStyle name="Comma 3 11 2 3 3" xfId="25055" xr:uid="{00000000-0005-0000-0000-0000DD0A0000}"/>
    <cellStyle name="Comma 3 11 2 4" xfId="1526" xr:uid="{00000000-0005-0000-0000-0000DE0A0000}"/>
    <cellStyle name="Comma 3 11 2 4 2" xfId="25057" xr:uid="{00000000-0005-0000-0000-0000DF0A0000}"/>
    <cellStyle name="Comma 3 11 2 5" xfId="25050" xr:uid="{00000000-0005-0000-0000-0000E00A0000}"/>
    <cellStyle name="Comma 3 11 3" xfId="1527" xr:uid="{00000000-0005-0000-0000-0000E10A0000}"/>
    <cellStyle name="Comma 3 11 3 2" xfId="1528" xr:uid="{00000000-0005-0000-0000-0000E20A0000}"/>
    <cellStyle name="Comma 3 11 3 2 2" xfId="1529" xr:uid="{00000000-0005-0000-0000-0000E30A0000}"/>
    <cellStyle name="Comma 3 11 3 2 2 2" xfId="1530" xr:uid="{00000000-0005-0000-0000-0000E40A0000}"/>
    <cellStyle name="Comma 3 11 3 2 2 2 2" xfId="25061" xr:uid="{00000000-0005-0000-0000-0000E50A0000}"/>
    <cellStyle name="Comma 3 11 3 2 2 3" xfId="25060" xr:uid="{00000000-0005-0000-0000-0000E60A0000}"/>
    <cellStyle name="Comma 3 11 3 2 3" xfId="1531" xr:uid="{00000000-0005-0000-0000-0000E70A0000}"/>
    <cellStyle name="Comma 3 11 3 2 3 2" xfId="25062" xr:uid="{00000000-0005-0000-0000-0000E80A0000}"/>
    <cellStyle name="Comma 3 11 3 2 4" xfId="25059" xr:uid="{00000000-0005-0000-0000-0000E90A0000}"/>
    <cellStyle name="Comma 3 11 3 3" xfId="1532" xr:uid="{00000000-0005-0000-0000-0000EA0A0000}"/>
    <cellStyle name="Comma 3 11 3 3 2" xfId="1533" xr:uid="{00000000-0005-0000-0000-0000EB0A0000}"/>
    <cellStyle name="Comma 3 11 3 3 2 2" xfId="25064" xr:uid="{00000000-0005-0000-0000-0000EC0A0000}"/>
    <cellStyle name="Comma 3 11 3 3 3" xfId="25063" xr:uid="{00000000-0005-0000-0000-0000ED0A0000}"/>
    <cellStyle name="Comma 3 11 3 4" xfId="1534" xr:uid="{00000000-0005-0000-0000-0000EE0A0000}"/>
    <cellStyle name="Comma 3 11 3 4 2" xfId="25065" xr:uid="{00000000-0005-0000-0000-0000EF0A0000}"/>
    <cellStyle name="Comma 3 11 3 5" xfId="25058" xr:uid="{00000000-0005-0000-0000-0000F00A0000}"/>
    <cellStyle name="Comma 3 11 4" xfId="1535" xr:uid="{00000000-0005-0000-0000-0000F10A0000}"/>
    <cellStyle name="Comma 3 11 4 2" xfId="1536" xr:uid="{00000000-0005-0000-0000-0000F20A0000}"/>
    <cellStyle name="Comma 3 11 4 2 2" xfId="1537" xr:uid="{00000000-0005-0000-0000-0000F30A0000}"/>
    <cellStyle name="Comma 3 11 4 2 2 2" xfId="25068" xr:uid="{00000000-0005-0000-0000-0000F40A0000}"/>
    <cellStyle name="Comma 3 11 4 2 3" xfId="25067" xr:uid="{00000000-0005-0000-0000-0000F50A0000}"/>
    <cellStyle name="Comma 3 11 4 3" xfId="1538" xr:uid="{00000000-0005-0000-0000-0000F60A0000}"/>
    <cellStyle name="Comma 3 11 4 3 2" xfId="25069" xr:uid="{00000000-0005-0000-0000-0000F70A0000}"/>
    <cellStyle name="Comma 3 11 4 4" xfId="25066" xr:uid="{00000000-0005-0000-0000-0000F80A0000}"/>
    <cellStyle name="Comma 3 11 5" xfId="1539" xr:uid="{00000000-0005-0000-0000-0000F90A0000}"/>
    <cellStyle name="Comma 3 11 5 2" xfId="1540" xr:uid="{00000000-0005-0000-0000-0000FA0A0000}"/>
    <cellStyle name="Comma 3 11 5 2 2" xfId="25071" xr:uid="{00000000-0005-0000-0000-0000FB0A0000}"/>
    <cellStyle name="Comma 3 11 5 3" xfId="25070" xr:uid="{00000000-0005-0000-0000-0000FC0A0000}"/>
    <cellStyle name="Comma 3 11 6" xfId="1541" xr:uid="{00000000-0005-0000-0000-0000FD0A0000}"/>
    <cellStyle name="Comma 3 11 6 2" xfId="25072" xr:uid="{00000000-0005-0000-0000-0000FE0A0000}"/>
    <cellStyle name="Comma 3 11 7" xfId="25049" xr:uid="{00000000-0005-0000-0000-0000FF0A0000}"/>
    <cellStyle name="Comma 3 12" xfId="1542" xr:uid="{00000000-0005-0000-0000-0000000B0000}"/>
    <cellStyle name="Comma 3 12 2" xfId="1543" xr:uid="{00000000-0005-0000-0000-0000010B0000}"/>
    <cellStyle name="Comma 3 12 2 2" xfId="1544" xr:uid="{00000000-0005-0000-0000-0000020B0000}"/>
    <cellStyle name="Comma 3 12 2 2 2" xfId="1545" xr:uid="{00000000-0005-0000-0000-0000030B0000}"/>
    <cellStyle name="Comma 3 12 2 2 2 2" xfId="25076" xr:uid="{00000000-0005-0000-0000-0000040B0000}"/>
    <cellStyle name="Comma 3 12 2 2 3" xfId="25075" xr:uid="{00000000-0005-0000-0000-0000050B0000}"/>
    <cellStyle name="Comma 3 12 2 3" xfId="1546" xr:uid="{00000000-0005-0000-0000-0000060B0000}"/>
    <cellStyle name="Comma 3 12 2 3 2" xfId="25077" xr:uid="{00000000-0005-0000-0000-0000070B0000}"/>
    <cellStyle name="Comma 3 12 2 4" xfId="25074" xr:uid="{00000000-0005-0000-0000-0000080B0000}"/>
    <cellStyle name="Comma 3 12 3" xfId="1547" xr:uid="{00000000-0005-0000-0000-0000090B0000}"/>
    <cellStyle name="Comma 3 12 3 2" xfId="1548" xr:uid="{00000000-0005-0000-0000-00000A0B0000}"/>
    <cellStyle name="Comma 3 12 3 2 2" xfId="25079" xr:uid="{00000000-0005-0000-0000-00000B0B0000}"/>
    <cellStyle name="Comma 3 12 3 3" xfId="25078" xr:uid="{00000000-0005-0000-0000-00000C0B0000}"/>
    <cellStyle name="Comma 3 12 4" xfId="1549" xr:uid="{00000000-0005-0000-0000-00000D0B0000}"/>
    <cellStyle name="Comma 3 12 4 2" xfId="25080" xr:uid="{00000000-0005-0000-0000-00000E0B0000}"/>
    <cellStyle name="Comma 3 12 5" xfId="25073" xr:uid="{00000000-0005-0000-0000-00000F0B0000}"/>
    <cellStyle name="Comma 3 13" xfId="1550" xr:uid="{00000000-0005-0000-0000-0000100B0000}"/>
    <cellStyle name="Comma 3 13 2" xfId="1551" xr:uid="{00000000-0005-0000-0000-0000110B0000}"/>
    <cellStyle name="Comma 3 13 2 2" xfId="1552" xr:uid="{00000000-0005-0000-0000-0000120B0000}"/>
    <cellStyle name="Comma 3 13 2 2 2" xfId="1553" xr:uid="{00000000-0005-0000-0000-0000130B0000}"/>
    <cellStyle name="Comma 3 13 2 2 2 2" xfId="25084" xr:uid="{00000000-0005-0000-0000-0000140B0000}"/>
    <cellStyle name="Comma 3 13 2 2 3" xfId="25083" xr:uid="{00000000-0005-0000-0000-0000150B0000}"/>
    <cellStyle name="Comma 3 13 2 3" xfId="1554" xr:uid="{00000000-0005-0000-0000-0000160B0000}"/>
    <cellStyle name="Comma 3 13 2 3 2" xfId="25085" xr:uid="{00000000-0005-0000-0000-0000170B0000}"/>
    <cellStyle name="Comma 3 13 2 4" xfId="25082" xr:uid="{00000000-0005-0000-0000-0000180B0000}"/>
    <cellStyle name="Comma 3 13 3" xfId="1555" xr:uid="{00000000-0005-0000-0000-0000190B0000}"/>
    <cellStyle name="Comma 3 13 3 2" xfId="1556" xr:uid="{00000000-0005-0000-0000-00001A0B0000}"/>
    <cellStyle name="Comma 3 13 3 2 2" xfId="25087" xr:uid="{00000000-0005-0000-0000-00001B0B0000}"/>
    <cellStyle name="Comma 3 13 3 3" xfId="25086" xr:uid="{00000000-0005-0000-0000-00001C0B0000}"/>
    <cellStyle name="Comma 3 13 4" xfId="1557" xr:uid="{00000000-0005-0000-0000-00001D0B0000}"/>
    <cellStyle name="Comma 3 13 4 2" xfId="25088" xr:uid="{00000000-0005-0000-0000-00001E0B0000}"/>
    <cellStyle name="Comma 3 13 5" xfId="25081" xr:uid="{00000000-0005-0000-0000-00001F0B0000}"/>
    <cellStyle name="Comma 3 14" xfId="1558" xr:uid="{00000000-0005-0000-0000-0000200B0000}"/>
    <cellStyle name="Comma 3 14 2" xfId="1559" xr:uid="{00000000-0005-0000-0000-0000210B0000}"/>
    <cellStyle name="Comma 3 14 2 2" xfId="1560" xr:uid="{00000000-0005-0000-0000-0000220B0000}"/>
    <cellStyle name="Comma 3 14 2 2 2" xfId="25090" xr:uid="{00000000-0005-0000-0000-0000230B0000}"/>
    <cellStyle name="Comma 3 14 2 3" xfId="25089" xr:uid="{00000000-0005-0000-0000-0000240B0000}"/>
    <cellStyle name="Comma 3 15" xfId="1561" xr:uid="{00000000-0005-0000-0000-0000250B0000}"/>
    <cellStyle name="Comma 3 15 2" xfId="1562" xr:uid="{00000000-0005-0000-0000-0000260B0000}"/>
    <cellStyle name="Comma 3 15 2 2" xfId="25092" xr:uid="{00000000-0005-0000-0000-0000270B0000}"/>
    <cellStyle name="Comma 3 15 3" xfId="25091" xr:uid="{00000000-0005-0000-0000-0000280B0000}"/>
    <cellStyle name="Comma 3 16" xfId="1563" xr:uid="{00000000-0005-0000-0000-0000290B0000}"/>
    <cellStyle name="Comma 3 16 2" xfId="25093" xr:uid="{00000000-0005-0000-0000-00002A0B0000}"/>
    <cellStyle name="Comma 3 17" xfId="1493" xr:uid="{00000000-0005-0000-0000-00002B0B0000}"/>
    <cellStyle name="Comma 3 17 2" xfId="25024" xr:uid="{00000000-0005-0000-0000-00002C0B0000}"/>
    <cellStyle name="Comma 3 2" xfId="37" xr:uid="{00000000-0005-0000-0000-00002D0B0000}"/>
    <cellStyle name="Comma 3 2 10" xfId="1565" xr:uid="{00000000-0005-0000-0000-00002E0B0000}"/>
    <cellStyle name="Comma 3 2 10 2" xfId="1566" xr:uid="{00000000-0005-0000-0000-00002F0B0000}"/>
    <cellStyle name="Comma 3 2 10 2 2" xfId="1567" xr:uid="{00000000-0005-0000-0000-0000300B0000}"/>
    <cellStyle name="Comma 3 2 10 2 2 2" xfId="1568" xr:uid="{00000000-0005-0000-0000-0000310B0000}"/>
    <cellStyle name="Comma 3 2 10 2 2 2 2" xfId="25098" xr:uid="{00000000-0005-0000-0000-0000320B0000}"/>
    <cellStyle name="Comma 3 2 10 2 2 3" xfId="25097" xr:uid="{00000000-0005-0000-0000-0000330B0000}"/>
    <cellStyle name="Comma 3 2 10 2 3" xfId="1569" xr:uid="{00000000-0005-0000-0000-0000340B0000}"/>
    <cellStyle name="Comma 3 2 10 2 3 2" xfId="25099" xr:uid="{00000000-0005-0000-0000-0000350B0000}"/>
    <cellStyle name="Comma 3 2 10 2 4" xfId="25096" xr:uid="{00000000-0005-0000-0000-0000360B0000}"/>
    <cellStyle name="Comma 3 2 10 3" xfId="1570" xr:uid="{00000000-0005-0000-0000-0000370B0000}"/>
    <cellStyle name="Comma 3 2 10 3 2" xfId="1571" xr:uid="{00000000-0005-0000-0000-0000380B0000}"/>
    <cellStyle name="Comma 3 2 10 3 2 2" xfId="25101" xr:uid="{00000000-0005-0000-0000-0000390B0000}"/>
    <cellStyle name="Comma 3 2 10 3 3" xfId="25100" xr:uid="{00000000-0005-0000-0000-00003A0B0000}"/>
    <cellStyle name="Comma 3 2 10 4" xfId="1572" xr:uid="{00000000-0005-0000-0000-00003B0B0000}"/>
    <cellStyle name="Comma 3 2 10 4 2" xfId="25102" xr:uid="{00000000-0005-0000-0000-00003C0B0000}"/>
    <cellStyle name="Comma 3 2 10 5" xfId="25095" xr:uid="{00000000-0005-0000-0000-00003D0B0000}"/>
    <cellStyle name="Comma 3 2 11" xfId="1573" xr:uid="{00000000-0005-0000-0000-00003E0B0000}"/>
    <cellStyle name="Comma 3 2 11 2" xfId="1574" xr:uid="{00000000-0005-0000-0000-00003F0B0000}"/>
    <cellStyle name="Comma 3 2 11 2 2" xfId="1575" xr:uid="{00000000-0005-0000-0000-0000400B0000}"/>
    <cellStyle name="Comma 3 2 11 2 2 2" xfId="1576" xr:uid="{00000000-0005-0000-0000-0000410B0000}"/>
    <cellStyle name="Comma 3 2 11 2 2 2 2" xfId="25106" xr:uid="{00000000-0005-0000-0000-0000420B0000}"/>
    <cellStyle name="Comma 3 2 11 2 2 3" xfId="25105" xr:uid="{00000000-0005-0000-0000-0000430B0000}"/>
    <cellStyle name="Comma 3 2 11 2 3" xfId="1577" xr:uid="{00000000-0005-0000-0000-0000440B0000}"/>
    <cellStyle name="Comma 3 2 11 2 3 2" xfId="25107" xr:uid="{00000000-0005-0000-0000-0000450B0000}"/>
    <cellStyle name="Comma 3 2 11 2 4" xfId="25104" xr:uid="{00000000-0005-0000-0000-0000460B0000}"/>
    <cellStyle name="Comma 3 2 11 3" xfId="1578" xr:uid="{00000000-0005-0000-0000-0000470B0000}"/>
    <cellStyle name="Comma 3 2 11 3 2" xfId="1579" xr:uid="{00000000-0005-0000-0000-0000480B0000}"/>
    <cellStyle name="Comma 3 2 11 3 2 2" xfId="25109" xr:uid="{00000000-0005-0000-0000-0000490B0000}"/>
    <cellStyle name="Comma 3 2 11 3 3" xfId="25108" xr:uid="{00000000-0005-0000-0000-00004A0B0000}"/>
    <cellStyle name="Comma 3 2 11 4" xfId="1580" xr:uid="{00000000-0005-0000-0000-00004B0B0000}"/>
    <cellStyle name="Comma 3 2 11 4 2" xfId="25110" xr:uid="{00000000-0005-0000-0000-00004C0B0000}"/>
    <cellStyle name="Comma 3 2 11 5" xfId="25103" xr:uid="{00000000-0005-0000-0000-00004D0B0000}"/>
    <cellStyle name="Comma 3 2 12" xfId="1581" xr:uid="{00000000-0005-0000-0000-00004E0B0000}"/>
    <cellStyle name="Comma 3 2 12 2" xfId="1582" xr:uid="{00000000-0005-0000-0000-00004F0B0000}"/>
    <cellStyle name="Comma 3 2 12 2 2" xfId="1583" xr:uid="{00000000-0005-0000-0000-0000500B0000}"/>
    <cellStyle name="Comma 3 2 12 2 2 2" xfId="25112" xr:uid="{00000000-0005-0000-0000-0000510B0000}"/>
    <cellStyle name="Comma 3 2 12 2 3" xfId="25111" xr:uid="{00000000-0005-0000-0000-0000520B0000}"/>
    <cellStyle name="Comma 3 2 13" xfId="1584" xr:uid="{00000000-0005-0000-0000-0000530B0000}"/>
    <cellStyle name="Comma 3 2 13 2" xfId="1585" xr:uid="{00000000-0005-0000-0000-0000540B0000}"/>
    <cellStyle name="Comma 3 2 13 2 2" xfId="25114" xr:uid="{00000000-0005-0000-0000-0000550B0000}"/>
    <cellStyle name="Comma 3 2 13 3" xfId="25113" xr:uid="{00000000-0005-0000-0000-0000560B0000}"/>
    <cellStyle name="Comma 3 2 14" xfId="1586" xr:uid="{00000000-0005-0000-0000-0000570B0000}"/>
    <cellStyle name="Comma 3 2 14 2" xfId="25115" xr:uid="{00000000-0005-0000-0000-0000580B0000}"/>
    <cellStyle name="Comma 3 2 15" xfId="1564" xr:uid="{00000000-0005-0000-0000-0000590B0000}"/>
    <cellStyle name="Comma 3 2 15 2" xfId="25094" xr:uid="{00000000-0005-0000-0000-00005A0B0000}"/>
    <cellStyle name="Comma 3 2 2" xfId="38" xr:uid="{00000000-0005-0000-0000-00005B0B0000}"/>
    <cellStyle name="Comma 3 2 2 10" xfId="1588" xr:uid="{00000000-0005-0000-0000-00005C0B0000}"/>
    <cellStyle name="Comma 3 2 2 10 2" xfId="25117" xr:uid="{00000000-0005-0000-0000-00005D0B0000}"/>
    <cellStyle name="Comma 3 2 2 11" xfId="1587" xr:uid="{00000000-0005-0000-0000-00005E0B0000}"/>
    <cellStyle name="Comma 3 2 2 11 2" xfId="25116" xr:uid="{00000000-0005-0000-0000-00005F0B0000}"/>
    <cellStyle name="Comma 3 2 2 2" xfId="1589" xr:uid="{00000000-0005-0000-0000-0000600B0000}"/>
    <cellStyle name="Comma 3 2 2 2 2" xfId="1590" xr:uid="{00000000-0005-0000-0000-0000610B0000}"/>
    <cellStyle name="Comma 3 2 2 2 2 2" xfId="1591" xr:uid="{00000000-0005-0000-0000-0000620B0000}"/>
    <cellStyle name="Comma 3 2 2 2 2 2 2" xfId="1592" xr:uid="{00000000-0005-0000-0000-0000630B0000}"/>
    <cellStyle name="Comma 3 2 2 2 2 2 2 2" xfId="1593" xr:uid="{00000000-0005-0000-0000-0000640B0000}"/>
    <cellStyle name="Comma 3 2 2 2 2 2 2 2 2" xfId="25122" xr:uid="{00000000-0005-0000-0000-0000650B0000}"/>
    <cellStyle name="Comma 3 2 2 2 2 2 2 3" xfId="25121" xr:uid="{00000000-0005-0000-0000-0000660B0000}"/>
    <cellStyle name="Comma 3 2 2 2 2 2 3" xfId="1594" xr:uid="{00000000-0005-0000-0000-0000670B0000}"/>
    <cellStyle name="Comma 3 2 2 2 2 2 3 2" xfId="25123" xr:uid="{00000000-0005-0000-0000-0000680B0000}"/>
    <cellStyle name="Comma 3 2 2 2 2 2 4" xfId="25120" xr:uid="{00000000-0005-0000-0000-0000690B0000}"/>
    <cellStyle name="Comma 3 2 2 2 2 3" xfId="1595" xr:uid="{00000000-0005-0000-0000-00006A0B0000}"/>
    <cellStyle name="Comma 3 2 2 2 2 3 2" xfId="1596" xr:uid="{00000000-0005-0000-0000-00006B0B0000}"/>
    <cellStyle name="Comma 3 2 2 2 2 3 2 2" xfId="25125" xr:uid="{00000000-0005-0000-0000-00006C0B0000}"/>
    <cellStyle name="Comma 3 2 2 2 2 3 3" xfId="25124" xr:uid="{00000000-0005-0000-0000-00006D0B0000}"/>
    <cellStyle name="Comma 3 2 2 2 2 4" xfId="1597" xr:uid="{00000000-0005-0000-0000-00006E0B0000}"/>
    <cellStyle name="Comma 3 2 2 2 2 4 2" xfId="25126" xr:uid="{00000000-0005-0000-0000-00006F0B0000}"/>
    <cellStyle name="Comma 3 2 2 2 2 5" xfId="25119" xr:uid="{00000000-0005-0000-0000-0000700B0000}"/>
    <cellStyle name="Comma 3 2 2 2 3" xfId="1598" xr:uid="{00000000-0005-0000-0000-0000710B0000}"/>
    <cellStyle name="Comma 3 2 2 2 3 2" xfId="1599" xr:uid="{00000000-0005-0000-0000-0000720B0000}"/>
    <cellStyle name="Comma 3 2 2 2 3 2 2" xfId="1600" xr:uid="{00000000-0005-0000-0000-0000730B0000}"/>
    <cellStyle name="Comma 3 2 2 2 3 2 2 2" xfId="1601" xr:uid="{00000000-0005-0000-0000-0000740B0000}"/>
    <cellStyle name="Comma 3 2 2 2 3 2 2 2 2" xfId="25130" xr:uid="{00000000-0005-0000-0000-0000750B0000}"/>
    <cellStyle name="Comma 3 2 2 2 3 2 2 3" xfId="25129" xr:uid="{00000000-0005-0000-0000-0000760B0000}"/>
    <cellStyle name="Comma 3 2 2 2 3 2 3" xfId="1602" xr:uid="{00000000-0005-0000-0000-0000770B0000}"/>
    <cellStyle name="Comma 3 2 2 2 3 2 3 2" xfId="25131" xr:uid="{00000000-0005-0000-0000-0000780B0000}"/>
    <cellStyle name="Comma 3 2 2 2 3 2 4" xfId="25128" xr:uid="{00000000-0005-0000-0000-0000790B0000}"/>
    <cellStyle name="Comma 3 2 2 2 3 3" xfId="1603" xr:uid="{00000000-0005-0000-0000-00007A0B0000}"/>
    <cellStyle name="Comma 3 2 2 2 3 3 2" xfId="1604" xr:uid="{00000000-0005-0000-0000-00007B0B0000}"/>
    <cellStyle name="Comma 3 2 2 2 3 3 2 2" xfId="25133" xr:uid="{00000000-0005-0000-0000-00007C0B0000}"/>
    <cellStyle name="Comma 3 2 2 2 3 3 3" xfId="25132" xr:uid="{00000000-0005-0000-0000-00007D0B0000}"/>
    <cellStyle name="Comma 3 2 2 2 3 4" xfId="1605" xr:uid="{00000000-0005-0000-0000-00007E0B0000}"/>
    <cellStyle name="Comma 3 2 2 2 3 4 2" xfId="25134" xr:uid="{00000000-0005-0000-0000-00007F0B0000}"/>
    <cellStyle name="Comma 3 2 2 2 3 5" xfId="25127" xr:uid="{00000000-0005-0000-0000-0000800B0000}"/>
    <cellStyle name="Comma 3 2 2 2 4" xfId="1606" xr:uid="{00000000-0005-0000-0000-0000810B0000}"/>
    <cellStyle name="Comma 3 2 2 2 4 2" xfId="1607" xr:uid="{00000000-0005-0000-0000-0000820B0000}"/>
    <cellStyle name="Comma 3 2 2 2 4 2 2" xfId="1608" xr:uid="{00000000-0005-0000-0000-0000830B0000}"/>
    <cellStyle name="Comma 3 2 2 2 4 2 2 2" xfId="25137" xr:uid="{00000000-0005-0000-0000-0000840B0000}"/>
    <cellStyle name="Comma 3 2 2 2 4 2 3" xfId="25136" xr:uid="{00000000-0005-0000-0000-0000850B0000}"/>
    <cellStyle name="Comma 3 2 2 2 4 3" xfId="1609" xr:uid="{00000000-0005-0000-0000-0000860B0000}"/>
    <cellStyle name="Comma 3 2 2 2 4 3 2" xfId="25138" xr:uid="{00000000-0005-0000-0000-0000870B0000}"/>
    <cellStyle name="Comma 3 2 2 2 4 4" xfId="25135" xr:uid="{00000000-0005-0000-0000-0000880B0000}"/>
    <cellStyle name="Comma 3 2 2 2 5" xfId="1610" xr:uid="{00000000-0005-0000-0000-0000890B0000}"/>
    <cellStyle name="Comma 3 2 2 2 5 2" xfId="1611" xr:uid="{00000000-0005-0000-0000-00008A0B0000}"/>
    <cellStyle name="Comma 3 2 2 2 5 2 2" xfId="25140" xr:uid="{00000000-0005-0000-0000-00008B0B0000}"/>
    <cellStyle name="Comma 3 2 2 2 5 3" xfId="25139" xr:uid="{00000000-0005-0000-0000-00008C0B0000}"/>
    <cellStyle name="Comma 3 2 2 2 6" xfId="1612" xr:uid="{00000000-0005-0000-0000-00008D0B0000}"/>
    <cellStyle name="Comma 3 2 2 2 6 2" xfId="25141" xr:uid="{00000000-0005-0000-0000-00008E0B0000}"/>
    <cellStyle name="Comma 3 2 2 2 7" xfId="25118" xr:uid="{00000000-0005-0000-0000-00008F0B0000}"/>
    <cellStyle name="Comma 3 2 2 3" xfId="1613" xr:uid="{00000000-0005-0000-0000-0000900B0000}"/>
    <cellStyle name="Comma 3 2 2 3 2" xfId="1614" xr:uid="{00000000-0005-0000-0000-0000910B0000}"/>
    <cellStyle name="Comma 3 2 2 3 2 2" xfId="1615" xr:uid="{00000000-0005-0000-0000-0000920B0000}"/>
    <cellStyle name="Comma 3 2 2 3 2 2 2" xfId="1616" xr:uid="{00000000-0005-0000-0000-0000930B0000}"/>
    <cellStyle name="Comma 3 2 2 3 2 2 2 2" xfId="1617" xr:uid="{00000000-0005-0000-0000-0000940B0000}"/>
    <cellStyle name="Comma 3 2 2 3 2 2 2 2 2" xfId="25146" xr:uid="{00000000-0005-0000-0000-0000950B0000}"/>
    <cellStyle name="Comma 3 2 2 3 2 2 2 3" xfId="25145" xr:uid="{00000000-0005-0000-0000-0000960B0000}"/>
    <cellStyle name="Comma 3 2 2 3 2 2 3" xfId="1618" xr:uid="{00000000-0005-0000-0000-0000970B0000}"/>
    <cellStyle name="Comma 3 2 2 3 2 2 3 2" xfId="25147" xr:uid="{00000000-0005-0000-0000-0000980B0000}"/>
    <cellStyle name="Comma 3 2 2 3 2 2 4" xfId="25144" xr:uid="{00000000-0005-0000-0000-0000990B0000}"/>
    <cellStyle name="Comma 3 2 2 3 2 3" xfId="1619" xr:uid="{00000000-0005-0000-0000-00009A0B0000}"/>
    <cellStyle name="Comma 3 2 2 3 2 3 2" xfId="1620" xr:uid="{00000000-0005-0000-0000-00009B0B0000}"/>
    <cellStyle name="Comma 3 2 2 3 2 3 2 2" xfId="25149" xr:uid="{00000000-0005-0000-0000-00009C0B0000}"/>
    <cellStyle name="Comma 3 2 2 3 2 3 3" xfId="25148" xr:uid="{00000000-0005-0000-0000-00009D0B0000}"/>
    <cellStyle name="Comma 3 2 2 3 2 4" xfId="1621" xr:uid="{00000000-0005-0000-0000-00009E0B0000}"/>
    <cellStyle name="Comma 3 2 2 3 2 4 2" xfId="25150" xr:uid="{00000000-0005-0000-0000-00009F0B0000}"/>
    <cellStyle name="Comma 3 2 2 3 2 5" xfId="25143" xr:uid="{00000000-0005-0000-0000-0000A00B0000}"/>
    <cellStyle name="Comma 3 2 2 3 3" xfId="1622" xr:uid="{00000000-0005-0000-0000-0000A10B0000}"/>
    <cellStyle name="Comma 3 2 2 3 3 2" xfId="1623" xr:uid="{00000000-0005-0000-0000-0000A20B0000}"/>
    <cellStyle name="Comma 3 2 2 3 3 2 2" xfId="1624" xr:uid="{00000000-0005-0000-0000-0000A30B0000}"/>
    <cellStyle name="Comma 3 2 2 3 3 2 2 2" xfId="1625" xr:uid="{00000000-0005-0000-0000-0000A40B0000}"/>
    <cellStyle name="Comma 3 2 2 3 3 2 2 2 2" xfId="25154" xr:uid="{00000000-0005-0000-0000-0000A50B0000}"/>
    <cellStyle name="Comma 3 2 2 3 3 2 2 3" xfId="25153" xr:uid="{00000000-0005-0000-0000-0000A60B0000}"/>
    <cellStyle name="Comma 3 2 2 3 3 2 3" xfId="1626" xr:uid="{00000000-0005-0000-0000-0000A70B0000}"/>
    <cellStyle name="Comma 3 2 2 3 3 2 3 2" xfId="25155" xr:uid="{00000000-0005-0000-0000-0000A80B0000}"/>
    <cellStyle name="Comma 3 2 2 3 3 2 4" xfId="25152" xr:uid="{00000000-0005-0000-0000-0000A90B0000}"/>
    <cellStyle name="Comma 3 2 2 3 3 3" xfId="1627" xr:uid="{00000000-0005-0000-0000-0000AA0B0000}"/>
    <cellStyle name="Comma 3 2 2 3 3 3 2" xfId="1628" xr:uid="{00000000-0005-0000-0000-0000AB0B0000}"/>
    <cellStyle name="Comma 3 2 2 3 3 3 2 2" xfId="25157" xr:uid="{00000000-0005-0000-0000-0000AC0B0000}"/>
    <cellStyle name="Comma 3 2 2 3 3 3 3" xfId="25156" xr:uid="{00000000-0005-0000-0000-0000AD0B0000}"/>
    <cellStyle name="Comma 3 2 2 3 3 4" xfId="1629" xr:uid="{00000000-0005-0000-0000-0000AE0B0000}"/>
    <cellStyle name="Comma 3 2 2 3 3 4 2" xfId="25158" xr:uid="{00000000-0005-0000-0000-0000AF0B0000}"/>
    <cellStyle name="Comma 3 2 2 3 3 5" xfId="25151" xr:uid="{00000000-0005-0000-0000-0000B00B0000}"/>
    <cellStyle name="Comma 3 2 2 3 4" xfId="1630" xr:uid="{00000000-0005-0000-0000-0000B10B0000}"/>
    <cellStyle name="Comma 3 2 2 3 4 2" xfId="1631" xr:uid="{00000000-0005-0000-0000-0000B20B0000}"/>
    <cellStyle name="Comma 3 2 2 3 4 2 2" xfId="1632" xr:uid="{00000000-0005-0000-0000-0000B30B0000}"/>
    <cellStyle name="Comma 3 2 2 3 4 2 2 2" xfId="25161" xr:uid="{00000000-0005-0000-0000-0000B40B0000}"/>
    <cellStyle name="Comma 3 2 2 3 4 2 3" xfId="25160" xr:uid="{00000000-0005-0000-0000-0000B50B0000}"/>
    <cellStyle name="Comma 3 2 2 3 4 3" xfId="1633" xr:uid="{00000000-0005-0000-0000-0000B60B0000}"/>
    <cellStyle name="Comma 3 2 2 3 4 3 2" xfId="25162" xr:uid="{00000000-0005-0000-0000-0000B70B0000}"/>
    <cellStyle name="Comma 3 2 2 3 4 4" xfId="25159" xr:uid="{00000000-0005-0000-0000-0000B80B0000}"/>
    <cellStyle name="Comma 3 2 2 3 5" xfId="1634" xr:uid="{00000000-0005-0000-0000-0000B90B0000}"/>
    <cellStyle name="Comma 3 2 2 3 5 2" xfId="1635" xr:uid="{00000000-0005-0000-0000-0000BA0B0000}"/>
    <cellStyle name="Comma 3 2 2 3 5 2 2" xfId="25164" xr:uid="{00000000-0005-0000-0000-0000BB0B0000}"/>
    <cellStyle name="Comma 3 2 2 3 5 3" xfId="25163" xr:uid="{00000000-0005-0000-0000-0000BC0B0000}"/>
    <cellStyle name="Comma 3 2 2 3 6" xfId="1636" xr:uid="{00000000-0005-0000-0000-0000BD0B0000}"/>
    <cellStyle name="Comma 3 2 2 3 6 2" xfId="25165" xr:uid="{00000000-0005-0000-0000-0000BE0B0000}"/>
    <cellStyle name="Comma 3 2 2 3 7" xfId="25142" xr:uid="{00000000-0005-0000-0000-0000BF0B0000}"/>
    <cellStyle name="Comma 3 2 2 4" xfId="1637" xr:uid="{00000000-0005-0000-0000-0000C00B0000}"/>
    <cellStyle name="Comma 3 2 2 4 2" xfId="1638" xr:uid="{00000000-0005-0000-0000-0000C10B0000}"/>
    <cellStyle name="Comma 3 2 2 4 2 2" xfId="1639" xr:uid="{00000000-0005-0000-0000-0000C20B0000}"/>
    <cellStyle name="Comma 3 2 2 4 2 2 2" xfId="1640" xr:uid="{00000000-0005-0000-0000-0000C30B0000}"/>
    <cellStyle name="Comma 3 2 2 4 2 2 2 2" xfId="1641" xr:uid="{00000000-0005-0000-0000-0000C40B0000}"/>
    <cellStyle name="Comma 3 2 2 4 2 2 2 2 2" xfId="25170" xr:uid="{00000000-0005-0000-0000-0000C50B0000}"/>
    <cellStyle name="Comma 3 2 2 4 2 2 2 3" xfId="25169" xr:uid="{00000000-0005-0000-0000-0000C60B0000}"/>
    <cellStyle name="Comma 3 2 2 4 2 2 3" xfId="1642" xr:uid="{00000000-0005-0000-0000-0000C70B0000}"/>
    <cellStyle name="Comma 3 2 2 4 2 2 3 2" xfId="25171" xr:uid="{00000000-0005-0000-0000-0000C80B0000}"/>
    <cellStyle name="Comma 3 2 2 4 2 2 4" xfId="25168" xr:uid="{00000000-0005-0000-0000-0000C90B0000}"/>
    <cellStyle name="Comma 3 2 2 4 2 3" xfId="1643" xr:uid="{00000000-0005-0000-0000-0000CA0B0000}"/>
    <cellStyle name="Comma 3 2 2 4 2 3 2" xfId="1644" xr:uid="{00000000-0005-0000-0000-0000CB0B0000}"/>
    <cellStyle name="Comma 3 2 2 4 2 3 2 2" xfId="25173" xr:uid="{00000000-0005-0000-0000-0000CC0B0000}"/>
    <cellStyle name="Comma 3 2 2 4 2 3 3" xfId="25172" xr:uid="{00000000-0005-0000-0000-0000CD0B0000}"/>
    <cellStyle name="Comma 3 2 2 4 2 4" xfId="1645" xr:uid="{00000000-0005-0000-0000-0000CE0B0000}"/>
    <cellStyle name="Comma 3 2 2 4 2 4 2" xfId="25174" xr:uid="{00000000-0005-0000-0000-0000CF0B0000}"/>
    <cellStyle name="Comma 3 2 2 4 2 5" xfId="25167" xr:uid="{00000000-0005-0000-0000-0000D00B0000}"/>
    <cellStyle name="Comma 3 2 2 4 3" xfId="1646" xr:uid="{00000000-0005-0000-0000-0000D10B0000}"/>
    <cellStyle name="Comma 3 2 2 4 3 2" xfId="1647" xr:uid="{00000000-0005-0000-0000-0000D20B0000}"/>
    <cellStyle name="Comma 3 2 2 4 3 2 2" xfId="1648" xr:uid="{00000000-0005-0000-0000-0000D30B0000}"/>
    <cellStyle name="Comma 3 2 2 4 3 2 2 2" xfId="1649" xr:uid="{00000000-0005-0000-0000-0000D40B0000}"/>
    <cellStyle name="Comma 3 2 2 4 3 2 2 2 2" xfId="25178" xr:uid="{00000000-0005-0000-0000-0000D50B0000}"/>
    <cellStyle name="Comma 3 2 2 4 3 2 2 3" xfId="25177" xr:uid="{00000000-0005-0000-0000-0000D60B0000}"/>
    <cellStyle name="Comma 3 2 2 4 3 2 3" xfId="1650" xr:uid="{00000000-0005-0000-0000-0000D70B0000}"/>
    <cellStyle name="Comma 3 2 2 4 3 2 3 2" xfId="25179" xr:uid="{00000000-0005-0000-0000-0000D80B0000}"/>
    <cellStyle name="Comma 3 2 2 4 3 2 4" xfId="25176" xr:uid="{00000000-0005-0000-0000-0000D90B0000}"/>
    <cellStyle name="Comma 3 2 2 4 3 3" xfId="1651" xr:uid="{00000000-0005-0000-0000-0000DA0B0000}"/>
    <cellStyle name="Comma 3 2 2 4 3 3 2" xfId="1652" xr:uid="{00000000-0005-0000-0000-0000DB0B0000}"/>
    <cellStyle name="Comma 3 2 2 4 3 3 2 2" xfId="25181" xr:uid="{00000000-0005-0000-0000-0000DC0B0000}"/>
    <cellStyle name="Comma 3 2 2 4 3 3 3" xfId="25180" xr:uid="{00000000-0005-0000-0000-0000DD0B0000}"/>
    <cellStyle name="Comma 3 2 2 4 3 4" xfId="1653" xr:uid="{00000000-0005-0000-0000-0000DE0B0000}"/>
    <cellStyle name="Comma 3 2 2 4 3 4 2" xfId="25182" xr:uid="{00000000-0005-0000-0000-0000DF0B0000}"/>
    <cellStyle name="Comma 3 2 2 4 3 5" xfId="25175" xr:uid="{00000000-0005-0000-0000-0000E00B0000}"/>
    <cellStyle name="Comma 3 2 2 4 4" xfId="1654" xr:uid="{00000000-0005-0000-0000-0000E10B0000}"/>
    <cellStyle name="Comma 3 2 2 4 4 2" xfId="1655" xr:uid="{00000000-0005-0000-0000-0000E20B0000}"/>
    <cellStyle name="Comma 3 2 2 4 4 2 2" xfId="1656" xr:uid="{00000000-0005-0000-0000-0000E30B0000}"/>
    <cellStyle name="Comma 3 2 2 4 4 2 2 2" xfId="25185" xr:uid="{00000000-0005-0000-0000-0000E40B0000}"/>
    <cellStyle name="Comma 3 2 2 4 4 2 3" xfId="25184" xr:uid="{00000000-0005-0000-0000-0000E50B0000}"/>
    <cellStyle name="Comma 3 2 2 4 4 3" xfId="1657" xr:uid="{00000000-0005-0000-0000-0000E60B0000}"/>
    <cellStyle name="Comma 3 2 2 4 4 3 2" xfId="25186" xr:uid="{00000000-0005-0000-0000-0000E70B0000}"/>
    <cellStyle name="Comma 3 2 2 4 4 4" xfId="25183" xr:uid="{00000000-0005-0000-0000-0000E80B0000}"/>
    <cellStyle name="Comma 3 2 2 4 5" xfId="1658" xr:uid="{00000000-0005-0000-0000-0000E90B0000}"/>
    <cellStyle name="Comma 3 2 2 4 5 2" xfId="1659" xr:uid="{00000000-0005-0000-0000-0000EA0B0000}"/>
    <cellStyle name="Comma 3 2 2 4 5 2 2" xfId="25188" xr:uid="{00000000-0005-0000-0000-0000EB0B0000}"/>
    <cellStyle name="Comma 3 2 2 4 5 3" xfId="25187" xr:uid="{00000000-0005-0000-0000-0000EC0B0000}"/>
    <cellStyle name="Comma 3 2 2 4 6" xfId="1660" xr:uid="{00000000-0005-0000-0000-0000ED0B0000}"/>
    <cellStyle name="Comma 3 2 2 4 6 2" xfId="25189" xr:uid="{00000000-0005-0000-0000-0000EE0B0000}"/>
    <cellStyle name="Comma 3 2 2 4 7" xfId="25166" xr:uid="{00000000-0005-0000-0000-0000EF0B0000}"/>
    <cellStyle name="Comma 3 2 2 5" xfId="1661" xr:uid="{00000000-0005-0000-0000-0000F00B0000}"/>
    <cellStyle name="Comma 3 2 2 5 2" xfId="1662" xr:uid="{00000000-0005-0000-0000-0000F10B0000}"/>
    <cellStyle name="Comma 3 2 2 5 2 2" xfId="1663" xr:uid="{00000000-0005-0000-0000-0000F20B0000}"/>
    <cellStyle name="Comma 3 2 2 5 2 2 2" xfId="1664" xr:uid="{00000000-0005-0000-0000-0000F30B0000}"/>
    <cellStyle name="Comma 3 2 2 5 2 2 2 2" xfId="1665" xr:uid="{00000000-0005-0000-0000-0000F40B0000}"/>
    <cellStyle name="Comma 3 2 2 5 2 2 2 2 2" xfId="25194" xr:uid="{00000000-0005-0000-0000-0000F50B0000}"/>
    <cellStyle name="Comma 3 2 2 5 2 2 2 3" xfId="25193" xr:uid="{00000000-0005-0000-0000-0000F60B0000}"/>
    <cellStyle name="Comma 3 2 2 5 2 2 3" xfId="1666" xr:uid="{00000000-0005-0000-0000-0000F70B0000}"/>
    <cellStyle name="Comma 3 2 2 5 2 2 3 2" xfId="25195" xr:uid="{00000000-0005-0000-0000-0000F80B0000}"/>
    <cellStyle name="Comma 3 2 2 5 2 2 4" xfId="25192" xr:uid="{00000000-0005-0000-0000-0000F90B0000}"/>
    <cellStyle name="Comma 3 2 2 5 2 3" xfId="1667" xr:uid="{00000000-0005-0000-0000-0000FA0B0000}"/>
    <cellStyle name="Comma 3 2 2 5 2 3 2" xfId="1668" xr:uid="{00000000-0005-0000-0000-0000FB0B0000}"/>
    <cellStyle name="Comma 3 2 2 5 2 3 2 2" xfId="25197" xr:uid="{00000000-0005-0000-0000-0000FC0B0000}"/>
    <cellStyle name="Comma 3 2 2 5 2 3 3" xfId="25196" xr:uid="{00000000-0005-0000-0000-0000FD0B0000}"/>
    <cellStyle name="Comma 3 2 2 5 2 4" xfId="1669" xr:uid="{00000000-0005-0000-0000-0000FE0B0000}"/>
    <cellStyle name="Comma 3 2 2 5 2 4 2" xfId="25198" xr:uid="{00000000-0005-0000-0000-0000FF0B0000}"/>
    <cellStyle name="Comma 3 2 2 5 2 5" xfId="25191" xr:uid="{00000000-0005-0000-0000-0000000C0000}"/>
    <cellStyle name="Comma 3 2 2 5 3" xfId="1670" xr:uid="{00000000-0005-0000-0000-0000010C0000}"/>
    <cellStyle name="Comma 3 2 2 5 3 2" xfId="1671" xr:uid="{00000000-0005-0000-0000-0000020C0000}"/>
    <cellStyle name="Comma 3 2 2 5 3 2 2" xfId="1672" xr:uid="{00000000-0005-0000-0000-0000030C0000}"/>
    <cellStyle name="Comma 3 2 2 5 3 2 2 2" xfId="1673" xr:uid="{00000000-0005-0000-0000-0000040C0000}"/>
    <cellStyle name="Comma 3 2 2 5 3 2 2 2 2" xfId="25202" xr:uid="{00000000-0005-0000-0000-0000050C0000}"/>
    <cellStyle name="Comma 3 2 2 5 3 2 2 3" xfId="25201" xr:uid="{00000000-0005-0000-0000-0000060C0000}"/>
    <cellStyle name="Comma 3 2 2 5 3 2 3" xfId="1674" xr:uid="{00000000-0005-0000-0000-0000070C0000}"/>
    <cellStyle name="Comma 3 2 2 5 3 2 3 2" xfId="25203" xr:uid="{00000000-0005-0000-0000-0000080C0000}"/>
    <cellStyle name="Comma 3 2 2 5 3 2 4" xfId="25200" xr:uid="{00000000-0005-0000-0000-0000090C0000}"/>
    <cellStyle name="Comma 3 2 2 5 3 3" xfId="1675" xr:uid="{00000000-0005-0000-0000-00000A0C0000}"/>
    <cellStyle name="Comma 3 2 2 5 3 3 2" xfId="1676" xr:uid="{00000000-0005-0000-0000-00000B0C0000}"/>
    <cellStyle name="Comma 3 2 2 5 3 3 2 2" xfId="25205" xr:uid="{00000000-0005-0000-0000-00000C0C0000}"/>
    <cellStyle name="Comma 3 2 2 5 3 3 3" xfId="25204" xr:uid="{00000000-0005-0000-0000-00000D0C0000}"/>
    <cellStyle name="Comma 3 2 2 5 3 4" xfId="1677" xr:uid="{00000000-0005-0000-0000-00000E0C0000}"/>
    <cellStyle name="Comma 3 2 2 5 3 4 2" xfId="25206" xr:uid="{00000000-0005-0000-0000-00000F0C0000}"/>
    <cellStyle name="Comma 3 2 2 5 3 5" xfId="25199" xr:uid="{00000000-0005-0000-0000-0000100C0000}"/>
    <cellStyle name="Comma 3 2 2 5 4" xfId="1678" xr:uid="{00000000-0005-0000-0000-0000110C0000}"/>
    <cellStyle name="Comma 3 2 2 5 4 2" xfId="1679" xr:uid="{00000000-0005-0000-0000-0000120C0000}"/>
    <cellStyle name="Comma 3 2 2 5 4 2 2" xfId="1680" xr:uid="{00000000-0005-0000-0000-0000130C0000}"/>
    <cellStyle name="Comma 3 2 2 5 4 2 2 2" xfId="25209" xr:uid="{00000000-0005-0000-0000-0000140C0000}"/>
    <cellStyle name="Comma 3 2 2 5 4 2 3" xfId="25208" xr:uid="{00000000-0005-0000-0000-0000150C0000}"/>
    <cellStyle name="Comma 3 2 2 5 4 3" xfId="1681" xr:uid="{00000000-0005-0000-0000-0000160C0000}"/>
    <cellStyle name="Comma 3 2 2 5 4 3 2" xfId="25210" xr:uid="{00000000-0005-0000-0000-0000170C0000}"/>
    <cellStyle name="Comma 3 2 2 5 4 4" xfId="25207" xr:uid="{00000000-0005-0000-0000-0000180C0000}"/>
    <cellStyle name="Comma 3 2 2 5 5" xfId="1682" xr:uid="{00000000-0005-0000-0000-0000190C0000}"/>
    <cellStyle name="Comma 3 2 2 5 5 2" xfId="1683" xr:uid="{00000000-0005-0000-0000-00001A0C0000}"/>
    <cellStyle name="Comma 3 2 2 5 5 2 2" xfId="25212" xr:uid="{00000000-0005-0000-0000-00001B0C0000}"/>
    <cellStyle name="Comma 3 2 2 5 5 3" xfId="25211" xr:uid="{00000000-0005-0000-0000-00001C0C0000}"/>
    <cellStyle name="Comma 3 2 2 5 6" xfId="1684" xr:uid="{00000000-0005-0000-0000-00001D0C0000}"/>
    <cellStyle name="Comma 3 2 2 5 6 2" xfId="25213" xr:uid="{00000000-0005-0000-0000-00001E0C0000}"/>
    <cellStyle name="Comma 3 2 2 5 7" xfId="25190" xr:uid="{00000000-0005-0000-0000-00001F0C0000}"/>
    <cellStyle name="Comma 3 2 2 6" xfId="1685" xr:uid="{00000000-0005-0000-0000-0000200C0000}"/>
    <cellStyle name="Comma 3 2 2 6 2" xfId="1686" xr:uid="{00000000-0005-0000-0000-0000210C0000}"/>
    <cellStyle name="Comma 3 2 2 6 2 2" xfId="1687" xr:uid="{00000000-0005-0000-0000-0000220C0000}"/>
    <cellStyle name="Comma 3 2 2 6 2 2 2" xfId="1688" xr:uid="{00000000-0005-0000-0000-0000230C0000}"/>
    <cellStyle name="Comma 3 2 2 6 2 2 2 2" xfId="25217" xr:uid="{00000000-0005-0000-0000-0000240C0000}"/>
    <cellStyle name="Comma 3 2 2 6 2 2 3" xfId="25216" xr:uid="{00000000-0005-0000-0000-0000250C0000}"/>
    <cellStyle name="Comma 3 2 2 6 2 3" xfId="1689" xr:uid="{00000000-0005-0000-0000-0000260C0000}"/>
    <cellStyle name="Comma 3 2 2 6 2 3 2" xfId="25218" xr:uid="{00000000-0005-0000-0000-0000270C0000}"/>
    <cellStyle name="Comma 3 2 2 6 2 4" xfId="25215" xr:uid="{00000000-0005-0000-0000-0000280C0000}"/>
    <cellStyle name="Comma 3 2 2 6 3" xfId="1690" xr:uid="{00000000-0005-0000-0000-0000290C0000}"/>
    <cellStyle name="Comma 3 2 2 6 3 2" xfId="1691" xr:uid="{00000000-0005-0000-0000-00002A0C0000}"/>
    <cellStyle name="Comma 3 2 2 6 3 2 2" xfId="25220" xr:uid="{00000000-0005-0000-0000-00002B0C0000}"/>
    <cellStyle name="Comma 3 2 2 6 3 3" xfId="25219" xr:uid="{00000000-0005-0000-0000-00002C0C0000}"/>
    <cellStyle name="Comma 3 2 2 6 4" xfId="1692" xr:uid="{00000000-0005-0000-0000-00002D0C0000}"/>
    <cellStyle name="Comma 3 2 2 6 4 2" xfId="25221" xr:uid="{00000000-0005-0000-0000-00002E0C0000}"/>
    <cellStyle name="Comma 3 2 2 6 5" xfId="25214" xr:uid="{00000000-0005-0000-0000-00002F0C0000}"/>
    <cellStyle name="Comma 3 2 2 7" xfId="1693" xr:uid="{00000000-0005-0000-0000-0000300C0000}"/>
    <cellStyle name="Comma 3 2 2 7 2" xfId="1694" xr:uid="{00000000-0005-0000-0000-0000310C0000}"/>
    <cellStyle name="Comma 3 2 2 7 2 2" xfId="1695" xr:uid="{00000000-0005-0000-0000-0000320C0000}"/>
    <cellStyle name="Comma 3 2 2 7 2 2 2" xfId="1696" xr:uid="{00000000-0005-0000-0000-0000330C0000}"/>
    <cellStyle name="Comma 3 2 2 7 2 2 2 2" xfId="25225" xr:uid="{00000000-0005-0000-0000-0000340C0000}"/>
    <cellStyle name="Comma 3 2 2 7 2 2 3" xfId="25224" xr:uid="{00000000-0005-0000-0000-0000350C0000}"/>
    <cellStyle name="Comma 3 2 2 7 2 3" xfId="1697" xr:uid="{00000000-0005-0000-0000-0000360C0000}"/>
    <cellStyle name="Comma 3 2 2 7 2 3 2" xfId="25226" xr:uid="{00000000-0005-0000-0000-0000370C0000}"/>
    <cellStyle name="Comma 3 2 2 7 2 4" xfId="25223" xr:uid="{00000000-0005-0000-0000-0000380C0000}"/>
    <cellStyle name="Comma 3 2 2 7 3" xfId="1698" xr:uid="{00000000-0005-0000-0000-0000390C0000}"/>
    <cellStyle name="Comma 3 2 2 7 3 2" xfId="1699" xr:uid="{00000000-0005-0000-0000-00003A0C0000}"/>
    <cellStyle name="Comma 3 2 2 7 3 2 2" xfId="25228" xr:uid="{00000000-0005-0000-0000-00003B0C0000}"/>
    <cellStyle name="Comma 3 2 2 7 3 3" xfId="25227" xr:uid="{00000000-0005-0000-0000-00003C0C0000}"/>
    <cellStyle name="Comma 3 2 2 7 4" xfId="1700" xr:uid="{00000000-0005-0000-0000-00003D0C0000}"/>
    <cellStyle name="Comma 3 2 2 7 4 2" xfId="25229" xr:uid="{00000000-0005-0000-0000-00003E0C0000}"/>
    <cellStyle name="Comma 3 2 2 7 5" xfId="25222" xr:uid="{00000000-0005-0000-0000-00003F0C0000}"/>
    <cellStyle name="Comma 3 2 2 8" xfId="1701" xr:uid="{00000000-0005-0000-0000-0000400C0000}"/>
    <cellStyle name="Comma 3 2 2 8 2" xfId="1702" xr:uid="{00000000-0005-0000-0000-0000410C0000}"/>
    <cellStyle name="Comma 3 2 2 8 2 2" xfId="1703" xr:uid="{00000000-0005-0000-0000-0000420C0000}"/>
    <cellStyle name="Comma 3 2 2 8 2 2 2" xfId="25231" xr:uid="{00000000-0005-0000-0000-0000430C0000}"/>
    <cellStyle name="Comma 3 2 2 8 2 3" xfId="25230" xr:uid="{00000000-0005-0000-0000-0000440C0000}"/>
    <cellStyle name="Comma 3 2 2 9" xfId="1704" xr:uid="{00000000-0005-0000-0000-0000450C0000}"/>
    <cellStyle name="Comma 3 2 2 9 2" xfId="1705" xr:uid="{00000000-0005-0000-0000-0000460C0000}"/>
    <cellStyle name="Comma 3 2 2 9 2 2" xfId="25233" xr:uid="{00000000-0005-0000-0000-0000470C0000}"/>
    <cellStyle name="Comma 3 2 2 9 3" xfId="25232" xr:uid="{00000000-0005-0000-0000-0000480C0000}"/>
    <cellStyle name="Comma 3 2 3" xfId="1706" xr:uid="{00000000-0005-0000-0000-0000490C0000}"/>
    <cellStyle name="Comma 3 2 3 10" xfId="25234" xr:uid="{00000000-0005-0000-0000-00004A0C0000}"/>
    <cellStyle name="Comma 3 2 3 2" xfId="1707" xr:uid="{00000000-0005-0000-0000-00004B0C0000}"/>
    <cellStyle name="Comma 3 2 3 2 2" xfId="1708" xr:uid="{00000000-0005-0000-0000-00004C0C0000}"/>
    <cellStyle name="Comma 3 2 3 2 2 2" xfId="1709" xr:uid="{00000000-0005-0000-0000-00004D0C0000}"/>
    <cellStyle name="Comma 3 2 3 2 2 2 2" xfId="1710" xr:uid="{00000000-0005-0000-0000-00004E0C0000}"/>
    <cellStyle name="Comma 3 2 3 2 2 2 2 2" xfId="1711" xr:uid="{00000000-0005-0000-0000-00004F0C0000}"/>
    <cellStyle name="Comma 3 2 3 2 2 2 2 2 2" xfId="25239" xr:uid="{00000000-0005-0000-0000-0000500C0000}"/>
    <cellStyle name="Comma 3 2 3 2 2 2 2 3" xfId="25238" xr:uid="{00000000-0005-0000-0000-0000510C0000}"/>
    <cellStyle name="Comma 3 2 3 2 2 2 3" xfId="1712" xr:uid="{00000000-0005-0000-0000-0000520C0000}"/>
    <cellStyle name="Comma 3 2 3 2 2 2 3 2" xfId="25240" xr:uid="{00000000-0005-0000-0000-0000530C0000}"/>
    <cellStyle name="Comma 3 2 3 2 2 2 4" xfId="25237" xr:uid="{00000000-0005-0000-0000-0000540C0000}"/>
    <cellStyle name="Comma 3 2 3 2 2 3" xfId="1713" xr:uid="{00000000-0005-0000-0000-0000550C0000}"/>
    <cellStyle name="Comma 3 2 3 2 2 3 2" xfId="1714" xr:uid="{00000000-0005-0000-0000-0000560C0000}"/>
    <cellStyle name="Comma 3 2 3 2 2 3 2 2" xfId="25242" xr:uid="{00000000-0005-0000-0000-0000570C0000}"/>
    <cellStyle name="Comma 3 2 3 2 2 3 3" xfId="25241" xr:uid="{00000000-0005-0000-0000-0000580C0000}"/>
    <cellStyle name="Comma 3 2 3 2 2 4" xfId="1715" xr:uid="{00000000-0005-0000-0000-0000590C0000}"/>
    <cellStyle name="Comma 3 2 3 2 2 4 2" xfId="25243" xr:uid="{00000000-0005-0000-0000-00005A0C0000}"/>
    <cellStyle name="Comma 3 2 3 2 2 5" xfId="25236" xr:uid="{00000000-0005-0000-0000-00005B0C0000}"/>
    <cellStyle name="Comma 3 2 3 2 3" xfId="1716" xr:uid="{00000000-0005-0000-0000-00005C0C0000}"/>
    <cellStyle name="Comma 3 2 3 2 3 2" xfId="1717" xr:uid="{00000000-0005-0000-0000-00005D0C0000}"/>
    <cellStyle name="Comma 3 2 3 2 3 2 2" xfId="1718" xr:uid="{00000000-0005-0000-0000-00005E0C0000}"/>
    <cellStyle name="Comma 3 2 3 2 3 2 2 2" xfId="1719" xr:uid="{00000000-0005-0000-0000-00005F0C0000}"/>
    <cellStyle name="Comma 3 2 3 2 3 2 2 2 2" xfId="25247" xr:uid="{00000000-0005-0000-0000-0000600C0000}"/>
    <cellStyle name="Comma 3 2 3 2 3 2 2 3" xfId="25246" xr:uid="{00000000-0005-0000-0000-0000610C0000}"/>
    <cellStyle name="Comma 3 2 3 2 3 2 3" xfId="1720" xr:uid="{00000000-0005-0000-0000-0000620C0000}"/>
    <cellStyle name="Comma 3 2 3 2 3 2 3 2" xfId="25248" xr:uid="{00000000-0005-0000-0000-0000630C0000}"/>
    <cellStyle name="Comma 3 2 3 2 3 2 4" xfId="25245" xr:uid="{00000000-0005-0000-0000-0000640C0000}"/>
    <cellStyle name="Comma 3 2 3 2 3 3" xfId="1721" xr:uid="{00000000-0005-0000-0000-0000650C0000}"/>
    <cellStyle name="Comma 3 2 3 2 3 3 2" xfId="1722" xr:uid="{00000000-0005-0000-0000-0000660C0000}"/>
    <cellStyle name="Comma 3 2 3 2 3 3 2 2" xfId="25250" xr:uid="{00000000-0005-0000-0000-0000670C0000}"/>
    <cellStyle name="Comma 3 2 3 2 3 3 3" xfId="25249" xr:uid="{00000000-0005-0000-0000-0000680C0000}"/>
    <cellStyle name="Comma 3 2 3 2 3 4" xfId="1723" xr:uid="{00000000-0005-0000-0000-0000690C0000}"/>
    <cellStyle name="Comma 3 2 3 2 3 4 2" xfId="25251" xr:uid="{00000000-0005-0000-0000-00006A0C0000}"/>
    <cellStyle name="Comma 3 2 3 2 3 5" xfId="25244" xr:uid="{00000000-0005-0000-0000-00006B0C0000}"/>
    <cellStyle name="Comma 3 2 3 2 4" xfId="1724" xr:uid="{00000000-0005-0000-0000-00006C0C0000}"/>
    <cellStyle name="Comma 3 2 3 2 4 2" xfId="1725" xr:uid="{00000000-0005-0000-0000-00006D0C0000}"/>
    <cellStyle name="Comma 3 2 3 2 4 2 2" xfId="1726" xr:uid="{00000000-0005-0000-0000-00006E0C0000}"/>
    <cellStyle name="Comma 3 2 3 2 4 2 2 2" xfId="25254" xr:uid="{00000000-0005-0000-0000-00006F0C0000}"/>
    <cellStyle name="Comma 3 2 3 2 4 2 3" xfId="25253" xr:uid="{00000000-0005-0000-0000-0000700C0000}"/>
    <cellStyle name="Comma 3 2 3 2 4 3" xfId="1727" xr:uid="{00000000-0005-0000-0000-0000710C0000}"/>
    <cellStyle name="Comma 3 2 3 2 4 3 2" xfId="25255" xr:uid="{00000000-0005-0000-0000-0000720C0000}"/>
    <cellStyle name="Comma 3 2 3 2 4 4" xfId="25252" xr:uid="{00000000-0005-0000-0000-0000730C0000}"/>
    <cellStyle name="Comma 3 2 3 2 5" xfId="1728" xr:uid="{00000000-0005-0000-0000-0000740C0000}"/>
    <cellStyle name="Comma 3 2 3 2 5 2" xfId="1729" xr:uid="{00000000-0005-0000-0000-0000750C0000}"/>
    <cellStyle name="Comma 3 2 3 2 5 2 2" xfId="25257" xr:uid="{00000000-0005-0000-0000-0000760C0000}"/>
    <cellStyle name="Comma 3 2 3 2 5 3" xfId="25256" xr:uid="{00000000-0005-0000-0000-0000770C0000}"/>
    <cellStyle name="Comma 3 2 3 2 6" xfId="1730" xr:uid="{00000000-0005-0000-0000-0000780C0000}"/>
    <cellStyle name="Comma 3 2 3 2 6 2" xfId="25258" xr:uid="{00000000-0005-0000-0000-0000790C0000}"/>
    <cellStyle name="Comma 3 2 3 2 7" xfId="25235" xr:uid="{00000000-0005-0000-0000-00007A0C0000}"/>
    <cellStyle name="Comma 3 2 3 3" xfId="1731" xr:uid="{00000000-0005-0000-0000-00007B0C0000}"/>
    <cellStyle name="Comma 3 2 3 3 2" xfId="1732" xr:uid="{00000000-0005-0000-0000-00007C0C0000}"/>
    <cellStyle name="Comma 3 2 3 3 2 2" xfId="1733" xr:uid="{00000000-0005-0000-0000-00007D0C0000}"/>
    <cellStyle name="Comma 3 2 3 3 2 2 2" xfId="1734" xr:uid="{00000000-0005-0000-0000-00007E0C0000}"/>
    <cellStyle name="Comma 3 2 3 3 2 2 2 2" xfId="1735" xr:uid="{00000000-0005-0000-0000-00007F0C0000}"/>
    <cellStyle name="Comma 3 2 3 3 2 2 2 2 2" xfId="25263" xr:uid="{00000000-0005-0000-0000-0000800C0000}"/>
    <cellStyle name="Comma 3 2 3 3 2 2 2 3" xfId="25262" xr:uid="{00000000-0005-0000-0000-0000810C0000}"/>
    <cellStyle name="Comma 3 2 3 3 2 2 3" xfId="1736" xr:uid="{00000000-0005-0000-0000-0000820C0000}"/>
    <cellStyle name="Comma 3 2 3 3 2 2 3 2" xfId="25264" xr:uid="{00000000-0005-0000-0000-0000830C0000}"/>
    <cellStyle name="Comma 3 2 3 3 2 2 4" xfId="25261" xr:uid="{00000000-0005-0000-0000-0000840C0000}"/>
    <cellStyle name="Comma 3 2 3 3 2 3" xfId="1737" xr:uid="{00000000-0005-0000-0000-0000850C0000}"/>
    <cellStyle name="Comma 3 2 3 3 2 3 2" xfId="1738" xr:uid="{00000000-0005-0000-0000-0000860C0000}"/>
    <cellStyle name="Comma 3 2 3 3 2 3 2 2" xfId="25266" xr:uid="{00000000-0005-0000-0000-0000870C0000}"/>
    <cellStyle name="Comma 3 2 3 3 2 3 3" xfId="25265" xr:uid="{00000000-0005-0000-0000-0000880C0000}"/>
    <cellStyle name="Comma 3 2 3 3 2 4" xfId="1739" xr:uid="{00000000-0005-0000-0000-0000890C0000}"/>
    <cellStyle name="Comma 3 2 3 3 2 4 2" xfId="25267" xr:uid="{00000000-0005-0000-0000-00008A0C0000}"/>
    <cellStyle name="Comma 3 2 3 3 2 5" xfId="25260" xr:uid="{00000000-0005-0000-0000-00008B0C0000}"/>
    <cellStyle name="Comma 3 2 3 3 3" xfId="1740" xr:uid="{00000000-0005-0000-0000-00008C0C0000}"/>
    <cellStyle name="Comma 3 2 3 3 3 2" xfId="1741" xr:uid="{00000000-0005-0000-0000-00008D0C0000}"/>
    <cellStyle name="Comma 3 2 3 3 3 2 2" xfId="1742" xr:uid="{00000000-0005-0000-0000-00008E0C0000}"/>
    <cellStyle name="Comma 3 2 3 3 3 2 2 2" xfId="1743" xr:uid="{00000000-0005-0000-0000-00008F0C0000}"/>
    <cellStyle name="Comma 3 2 3 3 3 2 2 2 2" xfId="25271" xr:uid="{00000000-0005-0000-0000-0000900C0000}"/>
    <cellStyle name="Comma 3 2 3 3 3 2 2 3" xfId="25270" xr:uid="{00000000-0005-0000-0000-0000910C0000}"/>
    <cellStyle name="Comma 3 2 3 3 3 2 3" xfId="1744" xr:uid="{00000000-0005-0000-0000-0000920C0000}"/>
    <cellStyle name="Comma 3 2 3 3 3 2 3 2" xfId="25272" xr:uid="{00000000-0005-0000-0000-0000930C0000}"/>
    <cellStyle name="Comma 3 2 3 3 3 2 4" xfId="25269" xr:uid="{00000000-0005-0000-0000-0000940C0000}"/>
    <cellStyle name="Comma 3 2 3 3 3 3" xfId="1745" xr:uid="{00000000-0005-0000-0000-0000950C0000}"/>
    <cellStyle name="Comma 3 2 3 3 3 3 2" xfId="1746" xr:uid="{00000000-0005-0000-0000-0000960C0000}"/>
    <cellStyle name="Comma 3 2 3 3 3 3 2 2" xfId="25274" xr:uid="{00000000-0005-0000-0000-0000970C0000}"/>
    <cellStyle name="Comma 3 2 3 3 3 3 3" xfId="25273" xr:uid="{00000000-0005-0000-0000-0000980C0000}"/>
    <cellStyle name="Comma 3 2 3 3 3 4" xfId="1747" xr:uid="{00000000-0005-0000-0000-0000990C0000}"/>
    <cellStyle name="Comma 3 2 3 3 3 4 2" xfId="25275" xr:uid="{00000000-0005-0000-0000-00009A0C0000}"/>
    <cellStyle name="Comma 3 2 3 3 3 5" xfId="25268" xr:uid="{00000000-0005-0000-0000-00009B0C0000}"/>
    <cellStyle name="Comma 3 2 3 3 4" xfId="1748" xr:uid="{00000000-0005-0000-0000-00009C0C0000}"/>
    <cellStyle name="Comma 3 2 3 3 4 2" xfId="1749" xr:uid="{00000000-0005-0000-0000-00009D0C0000}"/>
    <cellStyle name="Comma 3 2 3 3 4 2 2" xfId="1750" xr:uid="{00000000-0005-0000-0000-00009E0C0000}"/>
    <cellStyle name="Comma 3 2 3 3 4 2 2 2" xfId="25278" xr:uid="{00000000-0005-0000-0000-00009F0C0000}"/>
    <cellStyle name="Comma 3 2 3 3 4 2 3" xfId="25277" xr:uid="{00000000-0005-0000-0000-0000A00C0000}"/>
    <cellStyle name="Comma 3 2 3 3 4 3" xfId="1751" xr:uid="{00000000-0005-0000-0000-0000A10C0000}"/>
    <cellStyle name="Comma 3 2 3 3 4 3 2" xfId="25279" xr:uid="{00000000-0005-0000-0000-0000A20C0000}"/>
    <cellStyle name="Comma 3 2 3 3 4 4" xfId="25276" xr:uid="{00000000-0005-0000-0000-0000A30C0000}"/>
    <cellStyle name="Comma 3 2 3 3 5" xfId="1752" xr:uid="{00000000-0005-0000-0000-0000A40C0000}"/>
    <cellStyle name="Comma 3 2 3 3 5 2" xfId="1753" xr:uid="{00000000-0005-0000-0000-0000A50C0000}"/>
    <cellStyle name="Comma 3 2 3 3 5 2 2" xfId="25281" xr:uid="{00000000-0005-0000-0000-0000A60C0000}"/>
    <cellStyle name="Comma 3 2 3 3 5 3" xfId="25280" xr:uid="{00000000-0005-0000-0000-0000A70C0000}"/>
    <cellStyle name="Comma 3 2 3 3 6" xfId="1754" xr:uid="{00000000-0005-0000-0000-0000A80C0000}"/>
    <cellStyle name="Comma 3 2 3 3 6 2" xfId="25282" xr:uid="{00000000-0005-0000-0000-0000A90C0000}"/>
    <cellStyle name="Comma 3 2 3 3 7" xfId="25259" xr:uid="{00000000-0005-0000-0000-0000AA0C0000}"/>
    <cellStyle name="Comma 3 2 3 4" xfId="1755" xr:uid="{00000000-0005-0000-0000-0000AB0C0000}"/>
    <cellStyle name="Comma 3 2 3 4 2" xfId="1756" xr:uid="{00000000-0005-0000-0000-0000AC0C0000}"/>
    <cellStyle name="Comma 3 2 3 4 2 2" xfId="1757" xr:uid="{00000000-0005-0000-0000-0000AD0C0000}"/>
    <cellStyle name="Comma 3 2 3 4 2 2 2" xfId="1758" xr:uid="{00000000-0005-0000-0000-0000AE0C0000}"/>
    <cellStyle name="Comma 3 2 3 4 2 2 2 2" xfId="1759" xr:uid="{00000000-0005-0000-0000-0000AF0C0000}"/>
    <cellStyle name="Comma 3 2 3 4 2 2 2 2 2" xfId="25287" xr:uid="{00000000-0005-0000-0000-0000B00C0000}"/>
    <cellStyle name="Comma 3 2 3 4 2 2 2 3" xfId="25286" xr:uid="{00000000-0005-0000-0000-0000B10C0000}"/>
    <cellStyle name="Comma 3 2 3 4 2 2 3" xfId="1760" xr:uid="{00000000-0005-0000-0000-0000B20C0000}"/>
    <cellStyle name="Comma 3 2 3 4 2 2 3 2" xfId="25288" xr:uid="{00000000-0005-0000-0000-0000B30C0000}"/>
    <cellStyle name="Comma 3 2 3 4 2 2 4" xfId="25285" xr:uid="{00000000-0005-0000-0000-0000B40C0000}"/>
    <cellStyle name="Comma 3 2 3 4 2 3" xfId="1761" xr:uid="{00000000-0005-0000-0000-0000B50C0000}"/>
    <cellStyle name="Comma 3 2 3 4 2 3 2" xfId="1762" xr:uid="{00000000-0005-0000-0000-0000B60C0000}"/>
    <cellStyle name="Comma 3 2 3 4 2 3 2 2" xfId="25290" xr:uid="{00000000-0005-0000-0000-0000B70C0000}"/>
    <cellStyle name="Comma 3 2 3 4 2 3 3" xfId="25289" xr:uid="{00000000-0005-0000-0000-0000B80C0000}"/>
    <cellStyle name="Comma 3 2 3 4 2 4" xfId="1763" xr:uid="{00000000-0005-0000-0000-0000B90C0000}"/>
    <cellStyle name="Comma 3 2 3 4 2 4 2" xfId="25291" xr:uid="{00000000-0005-0000-0000-0000BA0C0000}"/>
    <cellStyle name="Comma 3 2 3 4 2 5" xfId="25284" xr:uid="{00000000-0005-0000-0000-0000BB0C0000}"/>
    <cellStyle name="Comma 3 2 3 4 3" xfId="1764" xr:uid="{00000000-0005-0000-0000-0000BC0C0000}"/>
    <cellStyle name="Comma 3 2 3 4 3 2" xfId="1765" xr:uid="{00000000-0005-0000-0000-0000BD0C0000}"/>
    <cellStyle name="Comma 3 2 3 4 3 2 2" xfId="1766" xr:uid="{00000000-0005-0000-0000-0000BE0C0000}"/>
    <cellStyle name="Comma 3 2 3 4 3 2 2 2" xfId="1767" xr:uid="{00000000-0005-0000-0000-0000BF0C0000}"/>
    <cellStyle name="Comma 3 2 3 4 3 2 2 2 2" xfId="25295" xr:uid="{00000000-0005-0000-0000-0000C00C0000}"/>
    <cellStyle name="Comma 3 2 3 4 3 2 2 3" xfId="25294" xr:uid="{00000000-0005-0000-0000-0000C10C0000}"/>
    <cellStyle name="Comma 3 2 3 4 3 2 3" xfId="1768" xr:uid="{00000000-0005-0000-0000-0000C20C0000}"/>
    <cellStyle name="Comma 3 2 3 4 3 2 3 2" xfId="25296" xr:uid="{00000000-0005-0000-0000-0000C30C0000}"/>
    <cellStyle name="Comma 3 2 3 4 3 2 4" xfId="25293" xr:uid="{00000000-0005-0000-0000-0000C40C0000}"/>
    <cellStyle name="Comma 3 2 3 4 3 3" xfId="1769" xr:uid="{00000000-0005-0000-0000-0000C50C0000}"/>
    <cellStyle name="Comma 3 2 3 4 3 3 2" xfId="1770" xr:uid="{00000000-0005-0000-0000-0000C60C0000}"/>
    <cellStyle name="Comma 3 2 3 4 3 3 2 2" xfId="25298" xr:uid="{00000000-0005-0000-0000-0000C70C0000}"/>
    <cellStyle name="Comma 3 2 3 4 3 3 3" xfId="25297" xr:uid="{00000000-0005-0000-0000-0000C80C0000}"/>
    <cellStyle name="Comma 3 2 3 4 3 4" xfId="1771" xr:uid="{00000000-0005-0000-0000-0000C90C0000}"/>
    <cellStyle name="Comma 3 2 3 4 3 4 2" xfId="25299" xr:uid="{00000000-0005-0000-0000-0000CA0C0000}"/>
    <cellStyle name="Comma 3 2 3 4 3 5" xfId="25292" xr:uid="{00000000-0005-0000-0000-0000CB0C0000}"/>
    <cellStyle name="Comma 3 2 3 4 4" xfId="1772" xr:uid="{00000000-0005-0000-0000-0000CC0C0000}"/>
    <cellStyle name="Comma 3 2 3 4 4 2" xfId="1773" xr:uid="{00000000-0005-0000-0000-0000CD0C0000}"/>
    <cellStyle name="Comma 3 2 3 4 4 2 2" xfId="1774" xr:uid="{00000000-0005-0000-0000-0000CE0C0000}"/>
    <cellStyle name="Comma 3 2 3 4 4 2 2 2" xfId="25302" xr:uid="{00000000-0005-0000-0000-0000CF0C0000}"/>
    <cellStyle name="Comma 3 2 3 4 4 2 3" xfId="25301" xr:uid="{00000000-0005-0000-0000-0000D00C0000}"/>
    <cellStyle name="Comma 3 2 3 4 4 3" xfId="1775" xr:uid="{00000000-0005-0000-0000-0000D10C0000}"/>
    <cellStyle name="Comma 3 2 3 4 4 3 2" xfId="25303" xr:uid="{00000000-0005-0000-0000-0000D20C0000}"/>
    <cellStyle name="Comma 3 2 3 4 4 4" xfId="25300" xr:uid="{00000000-0005-0000-0000-0000D30C0000}"/>
    <cellStyle name="Comma 3 2 3 4 5" xfId="1776" xr:uid="{00000000-0005-0000-0000-0000D40C0000}"/>
    <cellStyle name="Comma 3 2 3 4 5 2" xfId="1777" xr:uid="{00000000-0005-0000-0000-0000D50C0000}"/>
    <cellStyle name="Comma 3 2 3 4 5 2 2" xfId="25305" xr:uid="{00000000-0005-0000-0000-0000D60C0000}"/>
    <cellStyle name="Comma 3 2 3 4 5 3" xfId="25304" xr:uid="{00000000-0005-0000-0000-0000D70C0000}"/>
    <cellStyle name="Comma 3 2 3 4 6" xfId="1778" xr:uid="{00000000-0005-0000-0000-0000D80C0000}"/>
    <cellStyle name="Comma 3 2 3 4 6 2" xfId="25306" xr:uid="{00000000-0005-0000-0000-0000D90C0000}"/>
    <cellStyle name="Comma 3 2 3 4 7" xfId="25283" xr:uid="{00000000-0005-0000-0000-0000DA0C0000}"/>
    <cellStyle name="Comma 3 2 3 5" xfId="1779" xr:uid="{00000000-0005-0000-0000-0000DB0C0000}"/>
    <cellStyle name="Comma 3 2 3 5 2" xfId="1780" xr:uid="{00000000-0005-0000-0000-0000DC0C0000}"/>
    <cellStyle name="Comma 3 2 3 5 2 2" xfId="1781" xr:uid="{00000000-0005-0000-0000-0000DD0C0000}"/>
    <cellStyle name="Comma 3 2 3 5 2 2 2" xfId="1782" xr:uid="{00000000-0005-0000-0000-0000DE0C0000}"/>
    <cellStyle name="Comma 3 2 3 5 2 2 2 2" xfId="25310" xr:uid="{00000000-0005-0000-0000-0000DF0C0000}"/>
    <cellStyle name="Comma 3 2 3 5 2 2 3" xfId="25309" xr:uid="{00000000-0005-0000-0000-0000E00C0000}"/>
    <cellStyle name="Comma 3 2 3 5 2 3" xfId="1783" xr:uid="{00000000-0005-0000-0000-0000E10C0000}"/>
    <cellStyle name="Comma 3 2 3 5 2 3 2" xfId="25311" xr:uid="{00000000-0005-0000-0000-0000E20C0000}"/>
    <cellStyle name="Comma 3 2 3 5 2 4" xfId="25308" xr:uid="{00000000-0005-0000-0000-0000E30C0000}"/>
    <cellStyle name="Comma 3 2 3 5 3" xfId="1784" xr:uid="{00000000-0005-0000-0000-0000E40C0000}"/>
    <cellStyle name="Comma 3 2 3 5 3 2" xfId="1785" xr:uid="{00000000-0005-0000-0000-0000E50C0000}"/>
    <cellStyle name="Comma 3 2 3 5 3 2 2" xfId="25313" xr:uid="{00000000-0005-0000-0000-0000E60C0000}"/>
    <cellStyle name="Comma 3 2 3 5 3 3" xfId="25312" xr:uid="{00000000-0005-0000-0000-0000E70C0000}"/>
    <cellStyle name="Comma 3 2 3 5 4" xfId="1786" xr:uid="{00000000-0005-0000-0000-0000E80C0000}"/>
    <cellStyle name="Comma 3 2 3 5 4 2" xfId="25314" xr:uid="{00000000-0005-0000-0000-0000E90C0000}"/>
    <cellStyle name="Comma 3 2 3 5 5" xfId="25307" xr:uid="{00000000-0005-0000-0000-0000EA0C0000}"/>
    <cellStyle name="Comma 3 2 3 6" xfId="1787" xr:uid="{00000000-0005-0000-0000-0000EB0C0000}"/>
    <cellStyle name="Comma 3 2 3 6 2" xfId="1788" xr:uid="{00000000-0005-0000-0000-0000EC0C0000}"/>
    <cellStyle name="Comma 3 2 3 6 2 2" xfId="1789" xr:uid="{00000000-0005-0000-0000-0000ED0C0000}"/>
    <cellStyle name="Comma 3 2 3 6 2 2 2" xfId="1790" xr:uid="{00000000-0005-0000-0000-0000EE0C0000}"/>
    <cellStyle name="Comma 3 2 3 6 2 2 2 2" xfId="25318" xr:uid="{00000000-0005-0000-0000-0000EF0C0000}"/>
    <cellStyle name="Comma 3 2 3 6 2 2 3" xfId="25317" xr:uid="{00000000-0005-0000-0000-0000F00C0000}"/>
    <cellStyle name="Comma 3 2 3 6 2 3" xfId="1791" xr:uid="{00000000-0005-0000-0000-0000F10C0000}"/>
    <cellStyle name="Comma 3 2 3 6 2 3 2" xfId="25319" xr:uid="{00000000-0005-0000-0000-0000F20C0000}"/>
    <cellStyle name="Comma 3 2 3 6 2 4" xfId="25316" xr:uid="{00000000-0005-0000-0000-0000F30C0000}"/>
    <cellStyle name="Comma 3 2 3 6 3" xfId="1792" xr:uid="{00000000-0005-0000-0000-0000F40C0000}"/>
    <cellStyle name="Comma 3 2 3 6 3 2" xfId="1793" xr:uid="{00000000-0005-0000-0000-0000F50C0000}"/>
    <cellStyle name="Comma 3 2 3 6 3 2 2" xfId="25321" xr:uid="{00000000-0005-0000-0000-0000F60C0000}"/>
    <cellStyle name="Comma 3 2 3 6 3 3" xfId="25320" xr:uid="{00000000-0005-0000-0000-0000F70C0000}"/>
    <cellStyle name="Comma 3 2 3 6 4" xfId="1794" xr:uid="{00000000-0005-0000-0000-0000F80C0000}"/>
    <cellStyle name="Comma 3 2 3 6 4 2" xfId="25322" xr:uid="{00000000-0005-0000-0000-0000F90C0000}"/>
    <cellStyle name="Comma 3 2 3 6 5" xfId="25315" xr:uid="{00000000-0005-0000-0000-0000FA0C0000}"/>
    <cellStyle name="Comma 3 2 3 7" xfId="1795" xr:uid="{00000000-0005-0000-0000-0000FB0C0000}"/>
    <cellStyle name="Comma 3 2 3 7 2" xfId="1796" xr:uid="{00000000-0005-0000-0000-0000FC0C0000}"/>
    <cellStyle name="Comma 3 2 3 7 2 2" xfId="1797" xr:uid="{00000000-0005-0000-0000-0000FD0C0000}"/>
    <cellStyle name="Comma 3 2 3 7 2 2 2" xfId="25325" xr:uid="{00000000-0005-0000-0000-0000FE0C0000}"/>
    <cellStyle name="Comma 3 2 3 7 2 3" xfId="25324" xr:uid="{00000000-0005-0000-0000-0000FF0C0000}"/>
    <cellStyle name="Comma 3 2 3 7 3" xfId="1798" xr:uid="{00000000-0005-0000-0000-0000000D0000}"/>
    <cellStyle name="Comma 3 2 3 7 3 2" xfId="25326" xr:uid="{00000000-0005-0000-0000-0000010D0000}"/>
    <cellStyle name="Comma 3 2 3 7 4" xfId="25323" xr:uid="{00000000-0005-0000-0000-0000020D0000}"/>
    <cellStyle name="Comma 3 2 3 8" xfId="1799" xr:uid="{00000000-0005-0000-0000-0000030D0000}"/>
    <cellStyle name="Comma 3 2 3 8 2" xfId="1800" xr:uid="{00000000-0005-0000-0000-0000040D0000}"/>
    <cellStyle name="Comma 3 2 3 8 2 2" xfId="25328" xr:uid="{00000000-0005-0000-0000-0000050D0000}"/>
    <cellStyle name="Comma 3 2 3 8 3" xfId="25327" xr:uid="{00000000-0005-0000-0000-0000060D0000}"/>
    <cellStyle name="Comma 3 2 3 9" xfId="1801" xr:uid="{00000000-0005-0000-0000-0000070D0000}"/>
    <cellStyle name="Comma 3 2 3 9 2" xfId="25329" xr:uid="{00000000-0005-0000-0000-0000080D0000}"/>
    <cellStyle name="Comma 3 2 4" xfId="1802" xr:uid="{00000000-0005-0000-0000-0000090D0000}"/>
    <cellStyle name="Comma 3 2 4 10" xfId="25330" xr:uid="{00000000-0005-0000-0000-00000A0D0000}"/>
    <cellStyle name="Comma 3 2 4 2" xfId="1803" xr:uid="{00000000-0005-0000-0000-00000B0D0000}"/>
    <cellStyle name="Comma 3 2 4 2 2" xfId="1804" xr:uid="{00000000-0005-0000-0000-00000C0D0000}"/>
    <cellStyle name="Comma 3 2 4 2 2 2" xfId="1805" xr:uid="{00000000-0005-0000-0000-00000D0D0000}"/>
    <cellStyle name="Comma 3 2 4 2 2 2 2" xfId="1806" xr:uid="{00000000-0005-0000-0000-00000E0D0000}"/>
    <cellStyle name="Comma 3 2 4 2 2 2 2 2" xfId="1807" xr:uid="{00000000-0005-0000-0000-00000F0D0000}"/>
    <cellStyle name="Comma 3 2 4 2 2 2 2 2 2" xfId="25335" xr:uid="{00000000-0005-0000-0000-0000100D0000}"/>
    <cellStyle name="Comma 3 2 4 2 2 2 2 3" xfId="25334" xr:uid="{00000000-0005-0000-0000-0000110D0000}"/>
    <cellStyle name="Comma 3 2 4 2 2 2 3" xfId="1808" xr:uid="{00000000-0005-0000-0000-0000120D0000}"/>
    <cellStyle name="Comma 3 2 4 2 2 2 3 2" xfId="25336" xr:uid="{00000000-0005-0000-0000-0000130D0000}"/>
    <cellStyle name="Comma 3 2 4 2 2 2 4" xfId="25333" xr:uid="{00000000-0005-0000-0000-0000140D0000}"/>
    <cellStyle name="Comma 3 2 4 2 2 3" xfId="1809" xr:uid="{00000000-0005-0000-0000-0000150D0000}"/>
    <cellStyle name="Comma 3 2 4 2 2 3 2" xfId="1810" xr:uid="{00000000-0005-0000-0000-0000160D0000}"/>
    <cellStyle name="Comma 3 2 4 2 2 3 2 2" xfId="25338" xr:uid="{00000000-0005-0000-0000-0000170D0000}"/>
    <cellStyle name="Comma 3 2 4 2 2 3 3" xfId="25337" xr:uid="{00000000-0005-0000-0000-0000180D0000}"/>
    <cellStyle name="Comma 3 2 4 2 2 4" xfId="1811" xr:uid="{00000000-0005-0000-0000-0000190D0000}"/>
    <cellStyle name="Comma 3 2 4 2 2 4 2" xfId="25339" xr:uid="{00000000-0005-0000-0000-00001A0D0000}"/>
    <cellStyle name="Comma 3 2 4 2 2 5" xfId="25332" xr:uid="{00000000-0005-0000-0000-00001B0D0000}"/>
    <cellStyle name="Comma 3 2 4 2 3" xfId="1812" xr:uid="{00000000-0005-0000-0000-00001C0D0000}"/>
    <cellStyle name="Comma 3 2 4 2 3 2" xfId="1813" xr:uid="{00000000-0005-0000-0000-00001D0D0000}"/>
    <cellStyle name="Comma 3 2 4 2 3 2 2" xfId="1814" xr:uid="{00000000-0005-0000-0000-00001E0D0000}"/>
    <cellStyle name="Comma 3 2 4 2 3 2 2 2" xfId="1815" xr:uid="{00000000-0005-0000-0000-00001F0D0000}"/>
    <cellStyle name="Comma 3 2 4 2 3 2 2 2 2" xfId="25343" xr:uid="{00000000-0005-0000-0000-0000200D0000}"/>
    <cellStyle name="Comma 3 2 4 2 3 2 2 3" xfId="25342" xr:uid="{00000000-0005-0000-0000-0000210D0000}"/>
    <cellStyle name="Comma 3 2 4 2 3 2 3" xfId="1816" xr:uid="{00000000-0005-0000-0000-0000220D0000}"/>
    <cellStyle name="Comma 3 2 4 2 3 2 3 2" xfId="25344" xr:uid="{00000000-0005-0000-0000-0000230D0000}"/>
    <cellStyle name="Comma 3 2 4 2 3 2 4" xfId="25341" xr:uid="{00000000-0005-0000-0000-0000240D0000}"/>
    <cellStyle name="Comma 3 2 4 2 3 3" xfId="1817" xr:uid="{00000000-0005-0000-0000-0000250D0000}"/>
    <cellStyle name="Comma 3 2 4 2 3 3 2" xfId="1818" xr:uid="{00000000-0005-0000-0000-0000260D0000}"/>
    <cellStyle name="Comma 3 2 4 2 3 3 2 2" xfId="25346" xr:uid="{00000000-0005-0000-0000-0000270D0000}"/>
    <cellStyle name="Comma 3 2 4 2 3 3 3" xfId="25345" xr:uid="{00000000-0005-0000-0000-0000280D0000}"/>
    <cellStyle name="Comma 3 2 4 2 3 4" xfId="1819" xr:uid="{00000000-0005-0000-0000-0000290D0000}"/>
    <cellStyle name="Comma 3 2 4 2 3 4 2" xfId="25347" xr:uid="{00000000-0005-0000-0000-00002A0D0000}"/>
    <cellStyle name="Comma 3 2 4 2 3 5" xfId="25340" xr:uid="{00000000-0005-0000-0000-00002B0D0000}"/>
    <cellStyle name="Comma 3 2 4 2 4" xfId="1820" xr:uid="{00000000-0005-0000-0000-00002C0D0000}"/>
    <cellStyle name="Comma 3 2 4 2 4 2" xfId="1821" xr:uid="{00000000-0005-0000-0000-00002D0D0000}"/>
    <cellStyle name="Comma 3 2 4 2 4 2 2" xfId="1822" xr:uid="{00000000-0005-0000-0000-00002E0D0000}"/>
    <cellStyle name="Comma 3 2 4 2 4 2 2 2" xfId="25350" xr:uid="{00000000-0005-0000-0000-00002F0D0000}"/>
    <cellStyle name="Comma 3 2 4 2 4 2 3" xfId="25349" xr:uid="{00000000-0005-0000-0000-0000300D0000}"/>
    <cellStyle name="Comma 3 2 4 2 4 3" xfId="1823" xr:uid="{00000000-0005-0000-0000-0000310D0000}"/>
    <cellStyle name="Comma 3 2 4 2 4 3 2" xfId="25351" xr:uid="{00000000-0005-0000-0000-0000320D0000}"/>
    <cellStyle name="Comma 3 2 4 2 4 4" xfId="25348" xr:uid="{00000000-0005-0000-0000-0000330D0000}"/>
    <cellStyle name="Comma 3 2 4 2 5" xfId="1824" xr:uid="{00000000-0005-0000-0000-0000340D0000}"/>
    <cellStyle name="Comma 3 2 4 2 5 2" xfId="1825" xr:uid="{00000000-0005-0000-0000-0000350D0000}"/>
    <cellStyle name="Comma 3 2 4 2 5 2 2" xfId="25353" xr:uid="{00000000-0005-0000-0000-0000360D0000}"/>
    <cellStyle name="Comma 3 2 4 2 5 3" xfId="25352" xr:uid="{00000000-0005-0000-0000-0000370D0000}"/>
    <cellStyle name="Comma 3 2 4 2 6" xfId="1826" xr:uid="{00000000-0005-0000-0000-0000380D0000}"/>
    <cellStyle name="Comma 3 2 4 2 6 2" xfId="25354" xr:uid="{00000000-0005-0000-0000-0000390D0000}"/>
    <cellStyle name="Comma 3 2 4 2 7" xfId="25331" xr:uid="{00000000-0005-0000-0000-00003A0D0000}"/>
    <cellStyle name="Comma 3 2 4 3" xfId="1827" xr:uid="{00000000-0005-0000-0000-00003B0D0000}"/>
    <cellStyle name="Comma 3 2 4 3 2" xfId="1828" xr:uid="{00000000-0005-0000-0000-00003C0D0000}"/>
    <cellStyle name="Comma 3 2 4 3 2 2" xfId="1829" xr:uid="{00000000-0005-0000-0000-00003D0D0000}"/>
    <cellStyle name="Comma 3 2 4 3 2 2 2" xfId="1830" xr:uid="{00000000-0005-0000-0000-00003E0D0000}"/>
    <cellStyle name="Comma 3 2 4 3 2 2 2 2" xfId="1831" xr:uid="{00000000-0005-0000-0000-00003F0D0000}"/>
    <cellStyle name="Comma 3 2 4 3 2 2 2 2 2" xfId="25359" xr:uid="{00000000-0005-0000-0000-0000400D0000}"/>
    <cellStyle name="Comma 3 2 4 3 2 2 2 3" xfId="25358" xr:uid="{00000000-0005-0000-0000-0000410D0000}"/>
    <cellStyle name="Comma 3 2 4 3 2 2 3" xfId="1832" xr:uid="{00000000-0005-0000-0000-0000420D0000}"/>
    <cellStyle name="Comma 3 2 4 3 2 2 3 2" xfId="25360" xr:uid="{00000000-0005-0000-0000-0000430D0000}"/>
    <cellStyle name="Comma 3 2 4 3 2 2 4" xfId="25357" xr:uid="{00000000-0005-0000-0000-0000440D0000}"/>
    <cellStyle name="Comma 3 2 4 3 2 3" xfId="1833" xr:uid="{00000000-0005-0000-0000-0000450D0000}"/>
    <cellStyle name="Comma 3 2 4 3 2 3 2" xfId="1834" xr:uid="{00000000-0005-0000-0000-0000460D0000}"/>
    <cellStyle name="Comma 3 2 4 3 2 3 2 2" xfId="25362" xr:uid="{00000000-0005-0000-0000-0000470D0000}"/>
    <cellStyle name="Comma 3 2 4 3 2 3 3" xfId="25361" xr:uid="{00000000-0005-0000-0000-0000480D0000}"/>
    <cellStyle name="Comma 3 2 4 3 2 4" xfId="1835" xr:uid="{00000000-0005-0000-0000-0000490D0000}"/>
    <cellStyle name="Comma 3 2 4 3 2 4 2" xfId="25363" xr:uid="{00000000-0005-0000-0000-00004A0D0000}"/>
    <cellStyle name="Comma 3 2 4 3 2 5" xfId="25356" xr:uid="{00000000-0005-0000-0000-00004B0D0000}"/>
    <cellStyle name="Comma 3 2 4 3 3" xfId="1836" xr:uid="{00000000-0005-0000-0000-00004C0D0000}"/>
    <cellStyle name="Comma 3 2 4 3 3 2" xfId="1837" xr:uid="{00000000-0005-0000-0000-00004D0D0000}"/>
    <cellStyle name="Comma 3 2 4 3 3 2 2" xfId="1838" xr:uid="{00000000-0005-0000-0000-00004E0D0000}"/>
    <cellStyle name="Comma 3 2 4 3 3 2 2 2" xfId="1839" xr:uid="{00000000-0005-0000-0000-00004F0D0000}"/>
    <cellStyle name="Comma 3 2 4 3 3 2 2 2 2" xfId="25367" xr:uid="{00000000-0005-0000-0000-0000500D0000}"/>
    <cellStyle name="Comma 3 2 4 3 3 2 2 3" xfId="25366" xr:uid="{00000000-0005-0000-0000-0000510D0000}"/>
    <cellStyle name="Comma 3 2 4 3 3 2 3" xfId="1840" xr:uid="{00000000-0005-0000-0000-0000520D0000}"/>
    <cellStyle name="Comma 3 2 4 3 3 2 3 2" xfId="25368" xr:uid="{00000000-0005-0000-0000-0000530D0000}"/>
    <cellStyle name="Comma 3 2 4 3 3 2 4" xfId="25365" xr:uid="{00000000-0005-0000-0000-0000540D0000}"/>
    <cellStyle name="Comma 3 2 4 3 3 3" xfId="1841" xr:uid="{00000000-0005-0000-0000-0000550D0000}"/>
    <cellStyle name="Comma 3 2 4 3 3 3 2" xfId="1842" xr:uid="{00000000-0005-0000-0000-0000560D0000}"/>
    <cellStyle name="Comma 3 2 4 3 3 3 2 2" xfId="25370" xr:uid="{00000000-0005-0000-0000-0000570D0000}"/>
    <cellStyle name="Comma 3 2 4 3 3 3 3" xfId="25369" xr:uid="{00000000-0005-0000-0000-0000580D0000}"/>
    <cellStyle name="Comma 3 2 4 3 3 4" xfId="1843" xr:uid="{00000000-0005-0000-0000-0000590D0000}"/>
    <cellStyle name="Comma 3 2 4 3 3 4 2" xfId="25371" xr:uid="{00000000-0005-0000-0000-00005A0D0000}"/>
    <cellStyle name="Comma 3 2 4 3 3 5" xfId="25364" xr:uid="{00000000-0005-0000-0000-00005B0D0000}"/>
    <cellStyle name="Comma 3 2 4 3 4" xfId="1844" xr:uid="{00000000-0005-0000-0000-00005C0D0000}"/>
    <cellStyle name="Comma 3 2 4 3 4 2" xfId="1845" xr:uid="{00000000-0005-0000-0000-00005D0D0000}"/>
    <cellStyle name="Comma 3 2 4 3 4 2 2" xfId="1846" xr:uid="{00000000-0005-0000-0000-00005E0D0000}"/>
    <cellStyle name="Comma 3 2 4 3 4 2 2 2" xfId="25374" xr:uid="{00000000-0005-0000-0000-00005F0D0000}"/>
    <cellStyle name="Comma 3 2 4 3 4 2 3" xfId="25373" xr:uid="{00000000-0005-0000-0000-0000600D0000}"/>
    <cellStyle name="Comma 3 2 4 3 4 3" xfId="1847" xr:uid="{00000000-0005-0000-0000-0000610D0000}"/>
    <cellStyle name="Comma 3 2 4 3 4 3 2" xfId="25375" xr:uid="{00000000-0005-0000-0000-0000620D0000}"/>
    <cellStyle name="Comma 3 2 4 3 4 4" xfId="25372" xr:uid="{00000000-0005-0000-0000-0000630D0000}"/>
    <cellStyle name="Comma 3 2 4 3 5" xfId="1848" xr:uid="{00000000-0005-0000-0000-0000640D0000}"/>
    <cellStyle name="Comma 3 2 4 3 5 2" xfId="1849" xr:uid="{00000000-0005-0000-0000-0000650D0000}"/>
    <cellStyle name="Comma 3 2 4 3 5 2 2" xfId="25377" xr:uid="{00000000-0005-0000-0000-0000660D0000}"/>
    <cellStyle name="Comma 3 2 4 3 5 3" xfId="25376" xr:uid="{00000000-0005-0000-0000-0000670D0000}"/>
    <cellStyle name="Comma 3 2 4 3 6" xfId="1850" xr:uid="{00000000-0005-0000-0000-0000680D0000}"/>
    <cellStyle name="Comma 3 2 4 3 6 2" xfId="25378" xr:uid="{00000000-0005-0000-0000-0000690D0000}"/>
    <cellStyle name="Comma 3 2 4 3 7" xfId="25355" xr:uid="{00000000-0005-0000-0000-00006A0D0000}"/>
    <cellStyle name="Comma 3 2 4 4" xfId="1851" xr:uid="{00000000-0005-0000-0000-00006B0D0000}"/>
    <cellStyle name="Comma 3 2 4 4 2" xfId="1852" xr:uid="{00000000-0005-0000-0000-00006C0D0000}"/>
    <cellStyle name="Comma 3 2 4 4 2 2" xfId="1853" xr:uid="{00000000-0005-0000-0000-00006D0D0000}"/>
    <cellStyle name="Comma 3 2 4 4 2 2 2" xfId="1854" xr:uid="{00000000-0005-0000-0000-00006E0D0000}"/>
    <cellStyle name="Comma 3 2 4 4 2 2 2 2" xfId="1855" xr:uid="{00000000-0005-0000-0000-00006F0D0000}"/>
    <cellStyle name="Comma 3 2 4 4 2 2 2 2 2" xfId="25383" xr:uid="{00000000-0005-0000-0000-0000700D0000}"/>
    <cellStyle name="Comma 3 2 4 4 2 2 2 3" xfId="25382" xr:uid="{00000000-0005-0000-0000-0000710D0000}"/>
    <cellStyle name="Comma 3 2 4 4 2 2 3" xfId="1856" xr:uid="{00000000-0005-0000-0000-0000720D0000}"/>
    <cellStyle name="Comma 3 2 4 4 2 2 3 2" xfId="25384" xr:uid="{00000000-0005-0000-0000-0000730D0000}"/>
    <cellStyle name="Comma 3 2 4 4 2 2 4" xfId="25381" xr:uid="{00000000-0005-0000-0000-0000740D0000}"/>
    <cellStyle name="Comma 3 2 4 4 2 3" xfId="1857" xr:uid="{00000000-0005-0000-0000-0000750D0000}"/>
    <cellStyle name="Comma 3 2 4 4 2 3 2" xfId="1858" xr:uid="{00000000-0005-0000-0000-0000760D0000}"/>
    <cellStyle name="Comma 3 2 4 4 2 3 2 2" xfId="25386" xr:uid="{00000000-0005-0000-0000-0000770D0000}"/>
    <cellStyle name="Comma 3 2 4 4 2 3 3" xfId="25385" xr:uid="{00000000-0005-0000-0000-0000780D0000}"/>
    <cellStyle name="Comma 3 2 4 4 2 4" xfId="1859" xr:uid="{00000000-0005-0000-0000-0000790D0000}"/>
    <cellStyle name="Comma 3 2 4 4 2 4 2" xfId="25387" xr:uid="{00000000-0005-0000-0000-00007A0D0000}"/>
    <cellStyle name="Comma 3 2 4 4 2 5" xfId="25380" xr:uid="{00000000-0005-0000-0000-00007B0D0000}"/>
    <cellStyle name="Comma 3 2 4 4 3" xfId="1860" xr:uid="{00000000-0005-0000-0000-00007C0D0000}"/>
    <cellStyle name="Comma 3 2 4 4 3 2" xfId="1861" xr:uid="{00000000-0005-0000-0000-00007D0D0000}"/>
    <cellStyle name="Comma 3 2 4 4 3 2 2" xfId="1862" xr:uid="{00000000-0005-0000-0000-00007E0D0000}"/>
    <cellStyle name="Comma 3 2 4 4 3 2 2 2" xfId="1863" xr:uid="{00000000-0005-0000-0000-00007F0D0000}"/>
    <cellStyle name="Comma 3 2 4 4 3 2 2 2 2" xfId="25391" xr:uid="{00000000-0005-0000-0000-0000800D0000}"/>
    <cellStyle name="Comma 3 2 4 4 3 2 2 3" xfId="25390" xr:uid="{00000000-0005-0000-0000-0000810D0000}"/>
    <cellStyle name="Comma 3 2 4 4 3 2 3" xfId="1864" xr:uid="{00000000-0005-0000-0000-0000820D0000}"/>
    <cellStyle name="Comma 3 2 4 4 3 2 3 2" xfId="25392" xr:uid="{00000000-0005-0000-0000-0000830D0000}"/>
    <cellStyle name="Comma 3 2 4 4 3 2 4" xfId="25389" xr:uid="{00000000-0005-0000-0000-0000840D0000}"/>
    <cellStyle name="Comma 3 2 4 4 3 3" xfId="1865" xr:uid="{00000000-0005-0000-0000-0000850D0000}"/>
    <cellStyle name="Comma 3 2 4 4 3 3 2" xfId="1866" xr:uid="{00000000-0005-0000-0000-0000860D0000}"/>
    <cellStyle name="Comma 3 2 4 4 3 3 2 2" xfId="25394" xr:uid="{00000000-0005-0000-0000-0000870D0000}"/>
    <cellStyle name="Comma 3 2 4 4 3 3 3" xfId="25393" xr:uid="{00000000-0005-0000-0000-0000880D0000}"/>
    <cellStyle name="Comma 3 2 4 4 3 4" xfId="1867" xr:uid="{00000000-0005-0000-0000-0000890D0000}"/>
    <cellStyle name="Comma 3 2 4 4 3 4 2" xfId="25395" xr:uid="{00000000-0005-0000-0000-00008A0D0000}"/>
    <cellStyle name="Comma 3 2 4 4 3 5" xfId="25388" xr:uid="{00000000-0005-0000-0000-00008B0D0000}"/>
    <cellStyle name="Comma 3 2 4 4 4" xfId="1868" xr:uid="{00000000-0005-0000-0000-00008C0D0000}"/>
    <cellStyle name="Comma 3 2 4 4 4 2" xfId="1869" xr:uid="{00000000-0005-0000-0000-00008D0D0000}"/>
    <cellStyle name="Comma 3 2 4 4 4 2 2" xfId="1870" xr:uid="{00000000-0005-0000-0000-00008E0D0000}"/>
    <cellStyle name="Comma 3 2 4 4 4 2 2 2" xfId="25398" xr:uid="{00000000-0005-0000-0000-00008F0D0000}"/>
    <cellStyle name="Comma 3 2 4 4 4 2 3" xfId="25397" xr:uid="{00000000-0005-0000-0000-0000900D0000}"/>
    <cellStyle name="Comma 3 2 4 4 4 3" xfId="1871" xr:uid="{00000000-0005-0000-0000-0000910D0000}"/>
    <cellStyle name="Comma 3 2 4 4 4 3 2" xfId="25399" xr:uid="{00000000-0005-0000-0000-0000920D0000}"/>
    <cellStyle name="Comma 3 2 4 4 4 4" xfId="25396" xr:uid="{00000000-0005-0000-0000-0000930D0000}"/>
    <cellStyle name="Comma 3 2 4 4 5" xfId="1872" xr:uid="{00000000-0005-0000-0000-0000940D0000}"/>
    <cellStyle name="Comma 3 2 4 4 5 2" xfId="1873" xr:uid="{00000000-0005-0000-0000-0000950D0000}"/>
    <cellStyle name="Comma 3 2 4 4 5 2 2" xfId="25401" xr:uid="{00000000-0005-0000-0000-0000960D0000}"/>
    <cellStyle name="Comma 3 2 4 4 5 3" xfId="25400" xr:uid="{00000000-0005-0000-0000-0000970D0000}"/>
    <cellStyle name="Comma 3 2 4 4 6" xfId="1874" xr:uid="{00000000-0005-0000-0000-0000980D0000}"/>
    <cellStyle name="Comma 3 2 4 4 6 2" xfId="25402" xr:uid="{00000000-0005-0000-0000-0000990D0000}"/>
    <cellStyle name="Comma 3 2 4 4 7" xfId="25379" xr:uid="{00000000-0005-0000-0000-00009A0D0000}"/>
    <cellStyle name="Comma 3 2 4 5" xfId="1875" xr:uid="{00000000-0005-0000-0000-00009B0D0000}"/>
    <cellStyle name="Comma 3 2 4 5 2" xfId="1876" xr:uid="{00000000-0005-0000-0000-00009C0D0000}"/>
    <cellStyle name="Comma 3 2 4 5 2 2" xfId="1877" xr:uid="{00000000-0005-0000-0000-00009D0D0000}"/>
    <cellStyle name="Comma 3 2 4 5 2 2 2" xfId="1878" xr:uid="{00000000-0005-0000-0000-00009E0D0000}"/>
    <cellStyle name="Comma 3 2 4 5 2 2 2 2" xfId="25406" xr:uid="{00000000-0005-0000-0000-00009F0D0000}"/>
    <cellStyle name="Comma 3 2 4 5 2 2 3" xfId="25405" xr:uid="{00000000-0005-0000-0000-0000A00D0000}"/>
    <cellStyle name="Comma 3 2 4 5 2 3" xfId="1879" xr:uid="{00000000-0005-0000-0000-0000A10D0000}"/>
    <cellStyle name="Comma 3 2 4 5 2 3 2" xfId="25407" xr:uid="{00000000-0005-0000-0000-0000A20D0000}"/>
    <cellStyle name="Comma 3 2 4 5 2 4" xfId="25404" xr:uid="{00000000-0005-0000-0000-0000A30D0000}"/>
    <cellStyle name="Comma 3 2 4 5 3" xfId="1880" xr:uid="{00000000-0005-0000-0000-0000A40D0000}"/>
    <cellStyle name="Comma 3 2 4 5 3 2" xfId="1881" xr:uid="{00000000-0005-0000-0000-0000A50D0000}"/>
    <cellStyle name="Comma 3 2 4 5 3 2 2" xfId="25409" xr:uid="{00000000-0005-0000-0000-0000A60D0000}"/>
    <cellStyle name="Comma 3 2 4 5 3 3" xfId="25408" xr:uid="{00000000-0005-0000-0000-0000A70D0000}"/>
    <cellStyle name="Comma 3 2 4 5 4" xfId="1882" xr:uid="{00000000-0005-0000-0000-0000A80D0000}"/>
    <cellStyle name="Comma 3 2 4 5 4 2" xfId="25410" xr:uid="{00000000-0005-0000-0000-0000A90D0000}"/>
    <cellStyle name="Comma 3 2 4 5 5" xfId="25403" xr:uid="{00000000-0005-0000-0000-0000AA0D0000}"/>
    <cellStyle name="Comma 3 2 4 6" xfId="1883" xr:uid="{00000000-0005-0000-0000-0000AB0D0000}"/>
    <cellStyle name="Comma 3 2 4 6 2" xfId="1884" xr:uid="{00000000-0005-0000-0000-0000AC0D0000}"/>
    <cellStyle name="Comma 3 2 4 6 2 2" xfId="1885" xr:uid="{00000000-0005-0000-0000-0000AD0D0000}"/>
    <cellStyle name="Comma 3 2 4 6 2 2 2" xfId="1886" xr:uid="{00000000-0005-0000-0000-0000AE0D0000}"/>
    <cellStyle name="Comma 3 2 4 6 2 2 2 2" xfId="25414" xr:uid="{00000000-0005-0000-0000-0000AF0D0000}"/>
    <cellStyle name="Comma 3 2 4 6 2 2 3" xfId="25413" xr:uid="{00000000-0005-0000-0000-0000B00D0000}"/>
    <cellStyle name="Comma 3 2 4 6 2 3" xfId="1887" xr:uid="{00000000-0005-0000-0000-0000B10D0000}"/>
    <cellStyle name="Comma 3 2 4 6 2 3 2" xfId="25415" xr:uid="{00000000-0005-0000-0000-0000B20D0000}"/>
    <cellStyle name="Comma 3 2 4 6 2 4" xfId="25412" xr:uid="{00000000-0005-0000-0000-0000B30D0000}"/>
    <cellStyle name="Comma 3 2 4 6 3" xfId="1888" xr:uid="{00000000-0005-0000-0000-0000B40D0000}"/>
    <cellStyle name="Comma 3 2 4 6 3 2" xfId="1889" xr:uid="{00000000-0005-0000-0000-0000B50D0000}"/>
    <cellStyle name="Comma 3 2 4 6 3 2 2" xfId="25417" xr:uid="{00000000-0005-0000-0000-0000B60D0000}"/>
    <cellStyle name="Comma 3 2 4 6 3 3" xfId="25416" xr:uid="{00000000-0005-0000-0000-0000B70D0000}"/>
    <cellStyle name="Comma 3 2 4 6 4" xfId="1890" xr:uid="{00000000-0005-0000-0000-0000B80D0000}"/>
    <cellStyle name="Comma 3 2 4 6 4 2" xfId="25418" xr:uid="{00000000-0005-0000-0000-0000B90D0000}"/>
    <cellStyle name="Comma 3 2 4 6 5" xfId="25411" xr:uid="{00000000-0005-0000-0000-0000BA0D0000}"/>
    <cellStyle name="Comma 3 2 4 7" xfId="1891" xr:uid="{00000000-0005-0000-0000-0000BB0D0000}"/>
    <cellStyle name="Comma 3 2 4 7 2" xfId="1892" xr:uid="{00000000-0005-0000-0000-0000BC0D0000}"/>
    <cellStyle name="Comma 3 2 4 7 2 2" xfId="1893" xr:uid="{00000000-0005-0000-0000-0000BD0D0000}"/>
    <cellStyle name="Comma 3 2 4 7 2 2 2" xfId="25421" xr:uid="{00000000-0005-0000-0000-0000BE0D0000}"/>
    <cellStyle name="Comma 3 2 4 7 2 3" xfId="25420" xr:uid="{00000000-0005-0000-0000-0000BF0D0000}"/>
    <cellStyle name="Comma 3 2 4 7 3" xfId="1894" xr:uid="{00000000-0005-0000-0000-0000C00D0000}"/>
    <cellStyle name="Comma 3 2 4 7 3 2" xfId="25422" xr:uid="{00000000-0005-0000-0000-0000C10D0000}"/>
    <cellStyle name="Comma 3 2 4 7 4" xfId="25419" xr:uid="{00000000-0005-0000-0000-0000C20D0000}"/>
    <cellStyle name="Comma 3 2 4 8" xfId="1895" xr:uid="{00000000-0005-0000-0000-0000C30D0000}"/>
    <cellStyle name="Comma 3 2 4 8 2" xfId="1896" xr:uid="{00000000-0005-0000-0000-0000C40D0000}"/>
    <cellStyle name="Comma 3 2 4 8 2 2" xfId="25424" xr:uid="{00000000-0005-0000-0000-0000C50D0000}"/>
    <cellStyle name="Comma 3 2 4 8 3" xfId="25423" xr:uid="{00000000-0005-0000-0000-0000C60D0000}"/>
    <cellStyle name="Comma 3 2 4 9" xfId="1897" xr:uid="{00000000-0005-0000-0000-0000C70D0000}"/>
    <cellStyle name="Comma 3 2 4 9 2" xfId="25425" xr:uid="{00000000-0005-0000-0000-0000C80D0000}"/>
    <cellStyle name="Comma 3 2 5" xfId="1898" xr:uid="{00000000-0005-0000-0000-0000C90D0000}"/>
    <cellStyle name="Comma 3 2 5 2" xfId="1899" xr:uid="{00000000-0005-0000-0000-0000CA0D0000}"/>
    <cellStyle name="Comma 3 2 5 2 2" xfId="1900" xr:uid="{00000000-0005-0000-0000-0000CB0D0000}"/>
    <cellStyle name="Comma 3 2 5 2 2 2" xfId="1901" xr:uid="{00000000-0005-0000-0000-0000CC0D0000}"/>
    <cellStyle name="Comma 3 2 5 2 2 2 2" xfId="1902" xr:uid="{00000000-0005-0000-0000-0000CD0D0000}"/>
    <cellStyle name="Comma 3 2 5 2 2 2 2 2" xfId="25430" xr:uid="{00000000-0005-0000-0000-0000CE0D0000}"/>
    <cellStyle name="Comma 3 2 5 2 2 2 3" xfId="25429" xr:uid="{00000000-0005-0000-0000-0000CF0D0000}"/>
    <cellStyle name="Comma 3 2 5 2 2 3" xfId="1903" xr:uid="{00000000-0005-0000-0000-0000D00D0000}"/>
    <cellStyle name="Comma 3 2 5 2 2 3 2" xfId="25431" xr:uid="{00000000-0005-0000-0000-0000D10D0000}"/>
    <cellStyle name="Comma 3 2 5 2 2 4" xfId="25428" xr:uid="{00000000-0005-0000-0000-0000D20D0000}"/>
    <cellStyle name="Comma 3 2 5 2 3" xfId="1904" xr:uid="{00000000-0005-0000-0000-0000D30D0000}"/>
    <cellStyle name="Comma 3 2 5 2 3 2" xfId="1905" xr:uid="{00000000-0005-0000-0000-0000D40D0000}"/>
    <cellStyle name="Comma 3 2 5 2 3 2 2" xfId="25433" xr:uid="{00000000-0005-0000-0000-0000D50D0000}"/>
    <cellStyle name="Comma 3 2 5 2 3 3" xfId="25432" xr:uid="{00000000-0005-0000-0000-0000D60D0000}"/>
    <cellStyle name="Comma 3 2 5 2 4" xfId="1906" xr:uid="{00000000-0005-0000-0000-0000D70D0000}"/>
    <cellStyle name="Comma 3 2 5 2 4 2" xfId="25434" xr:uid="{00000000-0005-0000-0000-0000D80D0000}"/>
    <cellStyle name="Comma 3 2 5 2 5" xfId="25427" xr:uid="{00000000-0005-0000-0000-0000D90D0000}"/>
    <cellStyle name="Comma 3 2 5 3" xfId="1907" xr:uid="{00000000-0005-0000-0000-0000DA0D0000}"/>
    <cellStyle name="Comma 3 2 5 3 2" xfId="1908" xr:uid="{00000000-0005-0000-0000-0000DB0D0000}"/>
    <cellStyle name="Comma 3 2 5 3 2 2" xfId="1909" xr:uid="{00000000-0005-0000-0000-0000DC0D0000}"/>
    <cellStyle name="Comma 3 2 5 3 2 2 2" xfId="1910" xr:uid="{00000000-0005-0000-0000-0000DD0D0000}"/>
    <cellStyle name="Comma 3 2 5 3 2 2 2 2" xfId="25438" xr:uid="{00000000-0005-0000-0000-0000DE0D0000}"/>
    <cellStyle name="Comma 3 2 5 3 2 2 3" xfId="25437" xr:uid="{00000000-0005-0000-0000-0000DF0D0000}"/>
    <cellStyle name="Comma 3 2 5 3 2 3" xfId="1911" xr:uid="{00000000-0005-0000-0000-0000E00D0000}"/>
    <cellStyle name="Comma 3 2 5 3 2 3 2" xfId="25439" xr:uid="{00000000-0005-0000-0000-0000E10D0000}"/>
    <cellStyle name="Comma 3 2 5 3 2 4" xfId="25436" xr:uid="{00000000-0005-0000-0000-0000E20D0000}"/>
    <cellStyle name="Comma 3 2 5 3 3" xfId="1912" xr:uid="{00000000-0005-0000-0000-0000E30D0000}"/>
    <cellStyle name="Comma 3 2 5 3 3 2" xfId="1913" xr:uid="{00000000-0005-0000-0000-0000E40D0000}"/>
    <cellStyle name="Comma 3 2 5 3 3 2 2" xfId="25441" xr:uid="{00000000-0005-0000-0000-0000E50D0000}"/>
    <cellStyle name="Comma 3 2 5 3 3 3" xfId="25440" xr:uid="{00000000-0005-0000-0000-0000E60D0000}"/>
    <cellStyle name="Comma 3 2 5 3 4" xfId="1914" xr:uid="{00000000-0005-0000-0000-0000E70D0000}"/>
    <cellStyle name="Comma 3 2 5 3 4 2" xfId="25442" xr:uid="{00000000-0005-0000-0000-0000E80D0000}"/>
    <cellStyle name="Comma 3 2 5 3 5" xfId="25435" xr:uid="{00000000-0005-0000-0000-0000E90D0000}"/>
    <cellStyle name="Comma 3 2 5 4" xfId="1915" xr:uid="{00000000-0005-0000-0000-0000EA0D0000}"/>
    <cellStyle name="Comma 3 2 5 4 2" xfId="1916" xr:uid="{00000000-0005-0000-0000-0000EB0D0000}"/>
    <cellStyle name="Comma 3 2 5 4 2 2" xfId="1917" xr:uid="{00000000-0005-0000-0000-0000EC0D0000}"/>
    <cellStyle name="Comma 3 2 5 4 2 2 2" xfId="25445" xr:uid="{00000000-0005-0000-0000-0000ED0D0000}"/>
    <cellStyle name="Comma 3 2 5 4 2 3" xfId="25444" xr:uid="{00000000-0005-0000-0000-0000EE0D0000}"/>
    <cellStyle name="Comma 3 2 5 4 3" xfId="1918" xr:uid="{00000000-0005-0000-0000-0000EF0D0000}"/>
    <cellStyle name="Comma 3 2 5 4 3 2" xfId="25446" xr:uid="{00000000-0005-0000-0000-0000F00D0000}"/>
    <cellStyle name="Comma 3 2 5 4 4" xfId="25443" xr:uid="{00000000-0005-0000-0000-0000F10D0000}"/>
    <cellStyle name="Comma 3 2 5 5" xfId="1919" xr:uid="{00000000-0005-0000-0000-0000F20D0000}"/>
    <cellStyle name="Comma 3 2 5 5 2" xfId="1920" xr:uid="{00000000-0005-0000-0000-0000F30D0000}"/>
    <cellStyle name="Comma 3 2 5 5 2 2" xfId="25448" xr:uid="{00000000-0005-0000-0000-0000F40D0000}"/>
    <cellStyle name="Comma 3 2 5 5 3" xfId="25447" xr:uid="{00000000-0005-0000-0000-0000F50D0000}"/>
    <cellStyle name="Comma 3 2 5 6" xfId="1921" xr:uid="{00000000-0005-0000-0000-0000F60D0000}"/>
    <cellStyle name="Comma 3 2 5 6 2" xfId="25449" xr:uid="{00000000-0005-0000-0000-0000F70D0000}"/>
    <cellStyle name="Comma 3 2 5 7" xfId="25426" xr:uid="{00000000-0005-0000-0000-0000F80D0000}"/>
    <cellStyle name="Comma 3 2 6" xfId="1922" xr:uid="{00000000-0005-0000-0000-0000F90D0000}"/>
    <cellStyle name="Comma 3 2 6 2" xfId="1923" xr:uid="{00000000-0005-0000-0000-0000FA0D0000}"/>
    <cellStyle name="Comma 3 2 6 2 2" xfId="1924" xr:uid="{00000000-0005-0000-0000-0000FB0D0000}"/>
    <cellStyle name="Comma 3 2 6 2 2 2" xfId="1925" xr:uid="{00000000-0005-0000-0000-0000FC0D0000}"/>
    <cellStyle name="Comma 3 2 6 2 2 2 2" xfId="1926" xr:uid="{00000000-0005-0000-0000-0000FD0D0000}"/>
    <cellStyle name="Comma 3 2 6 2 2 2 2 2" xfId="25454" xr:uid="{00000000-0005-0000-0000-0000FE0D0000}"/>
    <cellStyle name="Comma 3 2 6 2 2 2 3" xfId="25453" xr:uid="{00000000-0005-0000-0000-0000FF0D0000}"/>
    <cellStyle name="Comma 3 2 6 2 2 3" xfId="1927" xr:uid="{00000000-0005-0000-0000-0000000E0000}"/>
    <cellStyle name="Comma 3 2 6 2 2 3 2" xfId="25455" xr:uid="{00000000-0005-0000-0000-0000010E0000}"/>
    <cellStyle name="Comma 3 2 6 2 2 4" xfId="25452" xr:uid="{00000000-0005-0000-0000-0000020E0000}"/>
    <cellStyle name="Comma 3 2 6 2 3" xfId="1928" xr:uid="{00000000-0005-0000-0000-0000030E0000}"/>
    <cellStyle name="Comma 3 2 6 2 3 2" xfId="1929" xr:uid="{00000000-0005-0000-0000-0000040E0000}"/>
    <cellStyle name="Comma 3 2 6 2 3 2 2" xfId="25457" xr:uid="{00000000-0005-0000-0000-0000050E0000}"/>
    <cellStyle name="Comma 3 2 6 2 3 3" xfId="25456" xr:uid="{00000000-0005-0000-0000-0000060E0000}"/>
    <cellStyle name="Comma 3 2 6 2 4" xfId="1930" xr:uid="{00000000-0005-0000-0000-0000070E0000}"/>
    <cellStyle name="Comma 3 2 6 2 4 2" xfId="25458" xr:uid="{00000000-0005-0000-0000-0000080E0000}"/>
    <cellStyle name="Comma 3 2 6 2 5" xfId="25451" xr:uid="{00000000-0005-0000-0000-0000090E0000}"/>
    <cellStyle name="Comma 3 2 6 3" xfId="1931" xr:uid="{00000000-0005-0000-0000-00000A0E0000}"/>
    <cellStyle name="Comma 3 2 6 3 2" xfId="1932" xr:uid="{00000000-0005-0000-0000-00000B0E0000}"/>
    <cellStyle name="Comma 3 2 6 3 2 2" xfId="1933" xr:uid="{00000000-0005-0000-0000-00000C0E0000}"/>
    <cellStyle name="Comma 3 2 6 3 2 2 2" xfId="1934" xr:uid="{00000000-0005-0000-0000-00000D0E0000}"/>
    <cellStyle name="Comma 3 2 6 3 2 2 2 2" xfId="25462" xr:uid="{00000000-0005-0000-0000-00000E0E0000}"/>
    <cellStyle name="Comma 3 2 6 3 2 2 3" xfId="25461" xr:uid="{00000000-0005-0000-0000-00000F0E0000}"/>
    <cellStyle name="Comma 3 2 6 3 2 3" xfId="1935" xr:uid="{00000000-0005-0000-0000-0000100E0000}"/>
    <cellStyle name="Comma 3 2 6 3 2 3 2" xfId="25463" xr:uid="{00000000-0005-0000-0000-0000110E0000}"/>
    <cellStyle name="Comma 3 2 6 3 2 4" xfId="25460" xr:uid="{00000000-0005-0000-0000-0000120E0000}"/>
    <cellStyle name="Comma 3 2 6 3 3" xfId="1936" xr:uid="{00000000-0005-0000-0000-0000130E0000}"/>
    <cellStyle name="Comma 3 2 6 3 3 2" xfId="1937" xr:uid="{00000000-0005-0000-0000-0000140E0000}"/>
    <cellStyle name="Comma 3 2 6 3 3 2 2" xfId="25465" xr:uid="{00000000-0005-0000-0000-0000150E0000}"/>
    <cellStyle name="Comma 3 2 6 3 3 3" xfId="25464" xr:uid="{00000000-0005-0000-0000-0000160E0000}"/>
    <cellStyle name="Comma 3 2 6 3 4" xfId="1938" xr:uid="{00000000-0005-0000-0000-0000170E0000}"/>
    <cellStyle name="Comma 3 2 6 3 4 2" xfId="25466" xr:uid="{00000000-0005-0000-0000-0000180E0000}"/>
    <cellStyle name="Comma 3 2 6 3 5" xfId="25459" xr:uid="{00000000-0005-0000-0000-0000190E0000}"/>
    <cellStyle name="Comma 3 2 6 4" xfId="1939" xr:uid="{00000000-0005-0000-0000-00001A0E0000}"/>
    <cellStyle name="Comma 3 2 6 4 2" xfId="1940" xr:uid="{00000000-0005-0000-0000-00001B0E0000}"/>
    <cellStyle name="Comma 3 2 6 4 2 2" xfId="1941" xr:uid="{00000000-0005-0000-0000-00001C0E0000}"/>
    <cellStyle name="Comma 3 2 6 4 2 2 2" xfId="25469" xr:uid="{00000000-0005-0000-0000-00001D0E0000}"/>
    <cellStyle name="Comma 3 2 6 4 2 3" xfId="25468" xr:uid="{00000000-0005-0000-0000-00001E0E0000}"/>
    <cellStyle name="Comma 3 2 6 4 3" xfId="1942" xr:uid="{00000000-0005-0000-0000-00001F0E0000}"/>
    <cellStyle name="Comma 3 2 6 4 3 2" xfId="25470" xr:uid="{00000000-0005-0000-0000-0000200E0000}"/>
    <cellStyle name="Comma 3 2 6 4 4" xfId="25467" xr:uid="{00000000-0005-0000-0000-0000210E0000}"/>
    <cellStyle name="Comma 3 2 6 5" xfId="1943" xr:uid="{00000000-0005-0000-0000-0000220E0000}"/>
    <cellStyle name="Comma 3 2 6 5 2" xfId="1944" xr:uid="{00000000-0005-0000-0000-0000230E0000}"/>
    <cellStyle name="Comma 3 2 6 5 2 2" xfId="25472" xr:uid="{00000000-0005-0000-0000-0000240E0000}"/>
    <cellStyle name="Comma 3 2 6 5 3" xfId="25471" xr:uid="{00000000-0005-0000-0000-0000250E0000}"/>
    <cellStyle name="Comma 3 2 6 6" xfId="1945" xr:uid="{00000000-0005-0000-0000-0000260E0000}"/>
    <cellStyle name="Comma 3 2 6 6 2" xfId="25473" xr:uid="{00000000-0005-0000-0000-0000270E0000}"/>
    <cellStyle name="Comma 3 2 6 7" xfId="25450" xr:uid="{00000000-0005-0000-0000-0000280E0000}"/>
    <cellStyle name="Comma 3 2 7" xfId="1946" xr:uid="{00000000-0005-0000-0000-0000290E0000}"/>
    <cellStyle name="Comma 3 2 7 2" xfId="1947" xr:uid="{00000000-0005-0000-0000-00002A0E0000}"/>
    <cellStyle name="Comma 3 2 7 2 2" xfId="1948" xr:uid="{00000000-0005-0000-0000-00002B0E0000}"/>
    <cellStyle name="Comma 3 2 7 2 2 2" xfId="1949" xr:uid="{00000000-0005-0000-0000-00002C0E0000}"/>
    <cellStyle name="Comma 3 2 7 2 2 2 2" xfId="1950" xr:uid="{00000000-0005-0000-0000-00002D0E0000}"/>
    <cellStyle name="Comma 3 2 7 2 2 2 2 2" xfId="25478" xr:uid="{00000000-0005-0000-0000-00002E0E0000}"/>
    <cellStyle name="Comma 3 2 7 2 2 2 3" xfId="25477" xr:uid="{00000000-0005-0000-0000-00002F0E0000}"/>
    <cellStyle name="Comma 3 2 7 2 2 3" xfId="1951" xr:uid="{00000000-0005-0000-0000-0000300E0000}"/>
    <cellStyle name="Comma 3 2 7 2 2 3 2" xfId="25479" xr:uid="{00000000-0005-0000-0000-0000310E0000}"/>
    <cellStyle name="Comma 3 2 7 2 2 4" xfId="25476" xr:uid="{00000000-0005-0000-0000-0000320E0000}"/>
    <cellStyle name="Comma 3 2 7 2 3" xfId="1952" xr:uid="{00000000-0005-0000-0000-0000330E0000}"/>
    <cellStyle name="Comma 3 2 7 2 3 2" xfId="1953" xr:uid="{00000000-0005-0000-0000-0000340E0000}"/>
    <cellStyle name="Comma 3 2 7 2 3 2 2" xfId="25481" xr:uid="{00000000-0005-0000-0000-0000350E0000}"/>
    <cellStyle name="Comma 3 2 7 2 3 3" xfId="25480" xr:uid="{00000000-0005-0000-0000-0000360E0000}"/>
    <cellStyle name="Comma 3 2 7 2 4" xfId="1954" xr:uid="{00000000-0005-0000-0000-0000370E0000}"/>
    <cellStyle name="Comma 3 2 7 2 4 2" xfId="25482" xr:uid="{00000000-0005-0000-0000-0000380E0000}"/>
    <cellStyle name="Comma 3 2 7 2 5" xfId="25475" xr:uid="{00000000-0005-0000-0000-0000390E0000}"/>
    <cellStyle name="Comma 3 2 7 3" xfId="1955" xr:uid="{00000000-0005-0000-0000-00003A0E0000}"/>
    <cellStyle name="Comma 3 2 7 3 2" xfId="1956" xr:uid="{00000000-0005-0000-0000-00003B0E0000}"/>
    <cellStyle name="Comma 3 2 7 3 2 2" xfId="1957" xr:uid="{00000000-0005-0000-0000-00003C0E0000}"/>
    <cellStyle name="Comma 3 2 7 3 2 2 2" xfId="1958" xr:uid="{00000000-0005-0000-0000-00003D0E0000}"/>
    <cellStyle name="Comma 3 2 7 3 2 2 2 2" xfId="25486" xr:uid="{00000000-0005-0000-0000-00003E0E0000}"/>
    <cellStyle name="Comma 3 2 7 3 2 2 3" xfId="25485" xr:uid="{00000000-0005-0000-0000-00003F0E0000}"/>
    <cellStyle name="Comma 3 2 7 3 2 3" xfId="1959" xr:uid="{00000000-0005-0000-0000-0000400E0000}"/>
    <cellStyle name="Comma 3 2 7 3 2 3 2" xfId="25487" xr:uid="{00000000-0005-0000-0000-0000410E0000}"/>
    <cellStyle name="Comma 3 2 7 3 2 4" xfId="25484" xr:uid="{00000000-0005-0000-0000-0000420E0000}"/>
    <cellStyle name="Comma 3 2 7 3 3" xfId="1960" xr:uid="{00000000-0005-0000-0000-0000430E0000}"/>
    <cellStyle name="Comma 3 2 7 3 3 2" xfId="1961" xr:uid="{00000000-0005-0000-0000-0000440E0000}"/>
    <cellStyle name="Comma 3 2 7 3 3 2 2" xfId="25489" xr:uid="{00000000-0005-0000-0000-0000450E0000}"/>
    <cellStyle name="Comma 3 2 7 3 3 3" xfId="25488" xr:uid="{00000000-0005-0000-0000-0000460E0000}"/>
    <cellStyle name="Comma 3 2 7 3 4" xfId="1962" xr:uid="{00000000-0005-0000-0000-0000470E0000}"/>
    <cellStyle name="Comma 3 2 7 3 4 2" xfId="25490" xr:uid="{00000000-0005-0000-0000-0000480E0000}"/>
    <cellStyle name="Comma 3 2 7 3 5" xfId="25483" xr:uid="{00000000-0005-0000-0000-0000490E0000}"/>
    <cellStyle name="Comma 3 2 7 4" xfId="1963" xr:uid="{00000000-0005-0000-0000-00004A0E0000}"/>
    <cellStyle name="Comma 3 2 7 4 2" xfId="1964" xr:uid="{00000000-0005-0000-0000-00004B0E0000}"/>
    <cellStyle name="Comma 3 2 7 4 2 2" xfId="1965" xr:uid="{00000000-0005-0000-0000-00004C0E0000}"/>
    <cellStyle name="Comma 3 2 7 4 2 2 2" xfId="25493" xr:uid="{00000000-0005-0000-0000-00004D0E0000}"/>
    <cellStyle name="Comma 3 2 7 4 2 3" xfId="25492" xr:uid="{00000000-0005-0000-0000-00004E0E0000}"/>
    <cellStyle name="Comma 3 2 7 4 3" xfId="1966" xr:uid="{00000000-0005-0000-0000-00004F0E0000}"/>
    <cellStyle name="Comma 3 2 7 4 3 2" xfId="25494" xr:uid="{00000000-0005-0000-0000-0000500E0000}"/>
    <cellStyle name="Comma 3 2 7 4 4" xfId="25491" xr:uid="{00000000-0005-0000-0000-0000510E0000}"/>
    <cellStyle name="Comma 3 2 7 5" xfId="1967" xr:uid="{00000000-0005-0000-0000-0000520E0000}"/>
    <cellStyle name="Comma 3 2 7 5 2" xfId="1968" xr:uid="{00000000-0005-0000-0000-0000530E0000}"/>
    <cellStyle name="Comma 3 2 7 5 2 2" xfId="25496" xr:uid="{00000000-0005-0000-0000-0000540E0000}"/>
    <cellStyle name="Comma 3 2 7 5 3" xfId="25495" xr:uid="{00000000-0005-0000-0000-0000550E0000}"/>
    <cellStyle name="Comma 3 2 7 6" xfId="1969" xr:uid="{00000000-0005-0000-0000-0000560E0000}"/>
    <cellStyle name="Comma 3 2 7 6 2" xfId="25497" xr:uid="{00000000-0005-0000-0000-0000570E0000}"/>
    <cellStyle name="Comma 3 2 7 7" xfId="25474" xr:uid="{00000000-0005-0000-0000-0000580E0000}"/>
    <cellStyle name="Comma 3 2 8" xfId="1970" xr:uid="{00000000-0005-0000-0000-0000590E0000}"/>
    <cellStyle name="Comma 3 2 8 2" xfId="1971" xr:uid="{00000000-0005-0000-0000-00005A0E0000}"/>
    <cellStyle name="Comma 3 2 8 2 2" xfId="1972" xr:uid="{00000000-0005-0000-0000-00005B0E0000}"/>
    <cellStyle name="Comma 3 2 8 2 2 2" xfId="1973" xr:uid="{00000000-0005-0000-0000-00005C0E0000}"/>
    <cellStyle name="Comma 3 2 8 2 2 2 2" xfId="1974" xr:uid="{00000000-0005-0000-0000-00005D0E0000}"/>
    <cellStyle name="Comma 3 2 8 2 2 2 2 2" xfId="25502" xr:uid="{00000000-0005-0000-0000-00005E0E0000}"/>
    <cellStyle name="Comma 3 2 8 2 2 2 3" xfId="25501" xr:uid="{00000000-0005-0000-0000-00005F0E0000}"/>
    <cellStyle name="Comma 3 2 8 2 2 3" xfId="1975" xr:uid="{00000000-0005-0000-0000-0000600E0000}"/>
    <cellStyle name="Comma 3 2 8 2 2 3 2" xfId="25503" xr:uid="{00000000-0005-0000-0000-0000610E0000}"/>
    <cellStyle name="Comma 3 2 8 2 2 4" xfId="25500" xr:uid="{00000000-0005-0000-0000-0000620E0000}"/>
    <cellStyle name="Comma 3 2 8 2 3" xfId="1976" xr:uid="{00000000-0005-0000-0000-0000630E0000}"/>
    <cellStyle name="Comma 3 2 8 2 3 2" xfId="1977" xr:uid="{00000000-0005-0000-0000-0000640E0000}"/>
    <cellStyle name="Comma 3 2 8 2 3 2 2" xfId="25505" xr:uid="{00000000-0005-0000-0000-0000650E0000}"/>
    <cellStyle name="Comma 3 2 8 2 3 3" xfId="25504" xr:uid="{00000000-0005-0000-0000-0000660E0000}"/>
    <cellStyle name="Comma 3 2 8 2 4" xfId="1978" xr:uid="{00000000-0005-0000-0000-0000670E0000}"/>
    <cellStyle name="Comma 3 2 8 2 4 2" xfId="25506" xr:uid="{00000000-0005-0000-0000-0000680E0000}"/>
    <cellStyle name="Comma 3 2 8 2 5" xfId="25499" xr:uid="{00000000-0005-0000-0000-0000690E0000}"/>
    <cellStyle name="Comma 3 2 8 3" xfId="1979" xr:uid="{00000000-0005-0000-0000-00006A0E0000}"/>
    <cellStyle name="Comma 3 2 8 3 2" xfId="1980" xr:uid="{00000000-0005-0000-0000-00006B0E0000}"/>
    <cellStyle name="Comma 3 2 8 3 2 2" xfId="1981" xr:uid="{00000000-0005-0000-0000-00006C0E0000}"/>
    <cellStyle name="Comma 3 2 8 3 2 2 2" xfId="1982" xr:uid="{00000000-0005-0000-0000-00006D0E0000}"/>
    <cellStyle name="Comma 3 2 8 3 2 2 2 2" xfId="25510" xr:uid="{00000000-0005-0000-0000-00006E0E0000}"/>
    <cellStyle name="Comma 3 2 8 3 2 2 3" xfId="25509" xr:uid="{00000000-0005-0000-0000-00006F0E0000}"/>
    <cellStyle name="Comma 3 2 8 3 2 3" xfId="1983" xr:uid="{00000000-0005-0000-0000-0000700E0000}"/>
    <cellStyle name="Comma 3 2 8 3 2 3 2" xfId="25511" xr:uid="{00000000-0005-0000-0000-0000710E0000}"/>
    <cellStyle name="Comma 3 2 8 3 2 4" xfId="25508" xr:uid="{00000000-0005-0000-0000-0000720E0000}"/>
    <cellStyle name="Comma 3 2 8 3 3" xfId="1984" xr:uid="{00000000-0005-0000-0000-0000730E0000}"/>
    <cellStyle name="Comma 3 2 8 3 3 2" xfId="1985" xr:uid="{00000000-0005-0000-0000-0000740E0000}"/>
    <cellStyle name="Comma 3 2 8 3 3 2 2" xfId="25513" xr:uid="{00000000-0005-0000-0000-0000750E0000}"/>
    <cellStyle name="Comma 3 2 8 3 3 3" xfId="25512" xr:uid="{00000000-0005-0000-0000-0000760E0000}"/>
    <cellStyle name="Comma 3 2 8 3 4" xfId="1986" xr:uid="{00000000-0005-0000-0000-0000770E0000}"/>
    <cellStyle name="Comma 3 2 8 3 4 2" xfId="25514" xr:uid="{00000000-0005-0000-0000-0000780E0000}"/>
    <cellStyle name="Comma 3 2 8 3 5" xfId="25507" xr:uid="{00000000-0005-0000-0000-0000790E0000}"/>
    <cellStyle name="Comma 3 2 8 4" xfId="1987" xr:uid="{00000000-0005-0000-0000-00007A0E0000}"/>
    <cellStyle name="Comma 3 2 8 4 2" xfId="1988" xr:uid="{00000000-0005-0000-0000-00007B0E0000}"/>
    <cellStyle name="Comma 3 2 8 4 2 2" xfId="1989" xr:uid="{00000000-0005-0000-0000-00007C0E0000}"/>
    <cellStyle name="Comma 3 2 8 4 2 2 2" xfId="25517" xr:uid="{00000000-0005-0000-0000-00007D0E0000}"/>
    <cellStyle name="Comma 3 2 8 4 2 3" xfId="25516" xr:uid="{00000000-0005-0000-0000-00007E0E0000}"/>
    <cellStyle name="Comma 3 2 8 4 3" xfId="1990" xr:uid="{00000000-0005-0000-0000-00007F0E0000}"/>
    <cellStyle name="Comma 3 2 8 4 3 2" xfId="25518" xr:uid="{00000000-0005-0000-0000-0000800E0000}"/>
    <cellStyle name="Comma 3 2 8 4 4" xfId="25515" xr:uid="{00000000-0005-0000-0000-0000810E0000}"/>
    <cellStyle name="Comma 3 2 8 5" xfId="1991" xr:uid="{00000000-0005-0000-0000-0000820E0000}"/>
    <cellStyle name="Comma 3 2 8 5 2" xfId="1992" xr:uid="{00000000-0005-0000-0000-0000830E0000}"/>
    <cellStyle name="Comma 3 2 8 5 2 2" xfId="25520" xr:uid="{00000000-0005-0000-0000-0000840E0000}"/>
    <cellStyle name="Comma 3 2 8 5 3" xfId="25519" xr:uid="{00000000-0005-0000-0000-0000850E0000}"/>
    <cellStyle name="Comma 3 2 8 6" xfId="1993" xr:uid="{00000000-0005-0000-0000-0000860E0000}"/>
    <cellStyle name="Comma 3 2 8 6 2" xfId="25521" xr:uid="{00000000-0005-0000-0000-0000870E0000}"/>
    <cellStyle name="Comma 3 2 8 7" xfId="25498" xr:uid="{00000000-0005-0000-0000-0000880E0000}"/>
    <cellStyle name="Comma 3 2 9" xfId="1994" xr:uid="{00000000-0005-0000-0000-0000890E0000}"/>
    <cellStyle name="Comma 3 2 9 2" xfId="1995" xr:uid="{00000000-0005-0000-0000-00008A0E0000}"/>
    <cellStyle name="Comma 3 2 9 2 2" xfId="1996" xr:uid="{00000000-0005-0000-0000-00008B0E0000}"/>
    <cellStyle name="Comma 3 2 9 2 2 2" xfId="1997" xr:uid="{00000000-0005-0000-0000-00008C0E0000}"/>
    <cellStyle name="Comma 3 2 9 2 2 2 2" xfId="1998" xr:uid="{00000000-0005-0000-0000-00008D0E0000}"/>
    <cellStyle name="Comma 3 2 9 2 2 2 2 2" xfId="25526" xr:uid="{00000000-0005-0000-0000-00008E0E0000}"/>
    <cellStyle name="Comma 3 2 9 2 2 2 3" xfId="25525" xr:uid="{00000000-0005-0000-0000-00008F0E0000}"/>
    <cellStyle name="Comma 3 2 9 2 2 3" xfId="1999" xr:uid="{00000000-0005-0000-0000-0000900E0000}"/>
    <cellStyle name="Comma 3 2 9 2 2 3 2" xfId="25527" xr:uid="{00000000-0005-0000-0000-0000910E0000}"/>
    <cellStyle name="Comma 3 2 9 2 2 4" xfId="25524" xr:uid="{00000000-0005-0000-0000-0000920E0000}"/>
    <cellStyle name="Comma 3 2 9 2 3" xfId="2000" xr:uid="{00000000-0005-0000-0000-0000930E0000}"/>
    <cellStyle name="Comma 3 2 9 2 3 2" xfId="2001" xr:uid="{00000000-0005-0000-0000-0000940E0000}"/>
    <cellStyle name="Comma 3 2 9 2 3 2 2" xfId="25529" xr:uid="{00000000-0005-0000-0000-0000950E0000}"/>
    <cellStyle name="Comma 3 2 9 2 3 3" xfId="25528" xr:uid="{00000000-0005-0000-0000-0000960E0000}"/>
    <cellStyle name="Comma 3 2 9 2 4" xfId="2002" xr:uid="{00000000-0005-0000-0000-0000970E0000}"/>
    <cellStyle name="Comma 3 2 9 2 4 2" xfId="25530" xr:uid="{00000000-0005-0000-0000-0000980E0000}"/>
    <cellStyle name="Comma 3 2 9 2 5" xfId="25523" xr:uid="{00000000-0005-0000-0000-0000990E0000}"/>
    <cellStyle name="Comma 3 2 9 3" xfId="2003" xr:uid="{00000000-0005-0000-0000-00009A0E0000}"/>
    <cellStyle name="Comma 3 2 9 3 2" xfId="2004" xr:uid="{00000000-0005-0000-0000-00009B0E0000}"/>
    <cellStyle name="Comma 3 2 9 3 2 2" xfId="2005" xr:uid="{00000000-0005-0000-0000-00009C0E0000}"/>
    <cellStyle name="Comma 3 2 9 3 2 2 2" xfId="2006" xr:uid="{00000000-0005-0000-0000-00009D0E0000}"/>
    <cellStyle name="Comma 3 2 9 3 2 2 2 2" xfId="25534" xr:uid="{00000000-0005-0000-0000-00009E0E0000}"/>
    <cellStyle name="Comma 3 2 9 3 2 2 3" xfId="25533" xr:uid="{00000000-0005-0000-0000-00009F0E0000}"/>
    <cellStyle name="Comma 3 2 9 3 2 3" xfId="2007" xr:uid="{00000000-0005-0000-0000-0000A00E0000}"/>
    <cellStyle name="Comma 3 2 9 3 2 3 2" xfId="25535" xr:uid="{00000000-0005-0000-0000-0000A10E0000}"/>
    <cellStyle name="Comma 3 2 9 3 2 4" xfId="25532" xr:uid="{00000000-0005-0000-0000-0000A20E0000}"/>
    <cellStyle name="Comma 3 2 9 3 3" xfId="2008" xr:uid="{00000000-0005-0000-0000-0000A30E0000}"/>
    <cellStyle name="Comma 3 2 9 3 3 2" xfId="2009" xr:uid="{00000000-0005-0000-0000-0000A40E0000}"/>
    <cellStyle name="Comma 3 2 9 3 3 2 2" xfId="25537" xr:uid="{00000000-0005-0000-0000-0000A50E0000}"/>
    <cellStyle name="Comma 3 2 9 3 3 3" xfId="25536" xr:uid="{00000000-0005-0000-0000-0000A60E0000}"/>
    <cellStyle name="Comma 3 2 9 3 4" xfId="2010" xr:uid="{00000000-0005-0000-0000-0000A70E0000}"/>
    <cellStyle name="Comma 3 2 9 3 4 2" xfId="25538" xr:uid="{00000000-0005-0000-0000-0000A80E0000}"/>
    <cellStyle name="Comma 3 2 9 3 5" xfId="25531" xr:uid="{00000000-0005-0000-0000-0000A90E0000}"/>
    <cellStyle name="Comma 3 2 9 4" xfId="2011" xr:uid="{00000000-0005-0000-0000-0000AA0E0000}"/>
    <cellStyle name="Comma 3 2 9 4 2" xfId="2012" xr:uid="{00000000-0005-0000-0000-0000AB0E0000}"/>
    <cellStyle name="Comma 3 2 9 4 2 2" xfId="2013" xr:uid="{00000000-0005-0000-0000-0000AC0E0000}"/>
    <cellStyle name="Comma 3 2 9 4 2 2 2" xfId="25541" xr:uid="{00000000-0005-0000-0000-0000AD0E0000}"/>
    <cellStyle name="Comma 3 2 9 4 2 3" xfId="25540" xr:uid="{00000000-0005-0000-0000-0000AE0E0000}"/>
    <cellStyle name="Comma 3 2 9 4 3" xfId="2014" xr:uid="{00000000-0005-0000-0000-0000AF0E0000}"/>
    <cellStyle name="Comma 3 2 9 4 3 2" xfId="25542" xr:uid="{00000000-0005-0000-0000-0000B00E0000}"/>
    <cellStyle name="Comma 3 2 9 4 4" xfId="25539" xr:uid="{00000000-0005-0000-0000-0000B10E0000}"/>
    <cellStyle name="Comma 3 2 9 5" xfId="2015" xr:uid="{00000000-0005-0000-0000-0000B20E0000}"/>
    <cellStyle name="Comma 3 2 9 5 2" xfId="2016" xr:uid="{00000000-0005-0000-0000-0000B30E0000}"/>
    <cellStyle name="Comma 3 2 9 5 2 2" xfId="25544" xr:uid="{00000000-0005-0000-0000-0000B40E0000}"/>
    <cellStyle name="Comma 3 2 9 5 3" xfId="25543" xr:uid="{00000000-0005-0000-0000-0000B50E0000}"/>
    <cellStyle name="Comma 3 2 9 6" xfId="2017" xr:uid="{00000000-0005-0000-0000-0000B60E0000}"/>
    <cellStyle name="Comma 3 2 9 6 2" xfId="25545" xr:uid="{00000000-0005-0000-0000-0000B70E0000}"/>
    <cellStyle name="Comma 3 2 9 7" xfId="25522" xr:uid="{00000000-0005-0000-0000-0000B80E0000}"/>
    <cellStyle name="Comma 3 3" xfId="39" xr:uid="{00000000-0005-0000-0000-0000B90E0000}"/>
    <cellStyle name="Comma 3 3 10" xfId="2019" xr:uid="{00000000-0005-0000-0000-0000BA0E0000}"/>
    <cellStyle name="Comma 3 3 10 2" xfId="2020" xr:uid="{00000000-0005-0000-0000-0000BB0E0000}"/>
    <cellStyle name="Comma 3 3 10 2 2" xfId="2021" xr:uid="{00000000-0005-0000-0000-0000BC0E0000}"/>
    <cellStyle name="Comma 3 3 10 2 2 2" xfId="25548" xr:uid="{00000000-0005-0000-0000-0000BD0E0000}"/>
    <cellStyle name="Comma 3 3 10 2 3" xfId="25547" xr:uid="{00000000-0005-0000-0000-0000BE0E0000}"/>
    <cellStyle name="Comma 3 3 11" xfId="2022" xr:uid="{00000000-0005-0000-0000-0000BF0E0000}"/>
    <cellStyle name="Comma 3 3 11 2" xfId="2023" xr:uid="{00000000-0005-0000-0000-0000C00E0000}"/>
    <cellStyle name="Comma 3 3 11 2 2" xfId="25550" xr:uid="{00000000-0005-0000-0000-0000C10E0000}"/>
    <cellStyle name="Comma 3 3 11 3" xfId="25549" xr:uid="{00000000-0005-0000-0000-0000C20E0000}"/>
    <cellStyle name="Comma 3 3 12" xfId="2024" xr:uid="{00000000-0005-0000-0000-0000C30E0000}"/>
    <cellStyle name="Comma 3 3 12 2" xfId="25551" xr:uid="{00000000-0005-0000-0000-0000C40E0000}"/>
    <cellStyle name="Comma 3 3 13" xfId="2018" xr:uid="{00000000-0005-0000-0000-0000C50E0000}"/>
    <cellStyle name="Comma 3 3 13 2" xfId="25546" xr:uid="{00000000-0005-0000-0000-0000C60E0000}"/>
    <cellStyle name="Comma 3 3 2" xfId="2025" xr:uid="{00000000-0005-0000-0000-0000C70E0000}"/>
    <cellStyle name="Comma 3 3 2 10" xfId="25552" xr:uid="{00000000-0005-0000-0000-0000C80E0000}"/>
    <cellStyle name="Comma 3 3 2 2" xfId="2026" xr:uid="{00000000-0005-0000-0000-0000C90E0000}"/>
    <cellStyle name="Comma 3 3 2 2 2" xfId="2027" xr:uid="{00000000-0005-0000-0000-0000CA0E0000}"/>
    <cellStyle name="Comma 3 3 2 2 2 2" xfId="2028" xr:uid="{00000000-0005-0000-0000-0000CB0E0000}"/>
    <cellStyle name="Comma 3 3 2 2 2 2 2" xfId="2029" xr:uid="{00000000-0005-0000-0000-0000CC0E0000}"/>
    <cellStyle name="Comma 3 3 2 2 2 2 2 2" xfId="2030" xr:uid="{00000000-0005-0000-0000-0000CD0E0000}"/>
    <cellStyle name="Comma 3 3 2 2 2 2 2 2 2" xfId="25557" xr:uid="{00000000-0005-0000-0000-0000CE0E0000}"/>
    <cellStyle name="Comma 3 3 2 2 2 2 2 3" xfId="25556" xr:uid="{00000000-0005-0000-0000-0000CF0E0000}"/>
    <cellStyle name="Comma 3 3 2 2 2 2 3" xfId="2031" xr:uid="{00000000-0005-0000-0000-0000D00E0000}"/>
    <cellStyle name="Comma 3 3 2 2 2 2 3 2" xfId="25558" xr:uid="{00000000-0005-0000-0000-0000D10E0000}"/>
    <cellStyle name="Comma 3 3 2 2 2 2 4" xfId="25555" xr:uid="{00000000-0005-0000-0000-0000D20E0000}"/>
    <cellStyle name="Comma 3 3 2 2 2 3" xfId="2032" xr:uid="{00000000-0005-0000-0000-0000D30E0000}"/>
    <cellStyle name="Comma 3 3 2 2 2 3 2" xfId="2033" xr:uid="{00000000-0005-0000-0000-0000D40E0000}"/>
    <cellStyle name="Comma 3 3 2 2 2 3 2 2" xfId="25560" xr:uid="{00000000-0005-0000-0000-0000D50E0000}"/>
    <cellStyle name="Comma 3 3 2 2 2 3 3" xfId="25559" xr:uid="{00000000-0005-0000-0000-0000D60E0000}"/>
    <cellStyle name="Comma 3 3 2 2 2 4" xfId="2034" xr:uid="{00000000-0005-0000-0000-0000D70E0000}"/>
    <cellStyle name="Comma 3 3 2 2 2 4 2" xfId="25561" xr:uid="{00000000-0005-0000-0000-0000D80E0000}"/>
    <cellStyle name="Comma 3 3 2 2 2 5" xfId="25554" xr:uid="{00000000-0005-0000-0000-0000D90E0000}"/>
    <cellStyle name="Comma 3 3 2 2 3" xfId="2035" xr:uid="{00000000-0005-0000-0000-0000DA0E0000}"/>
    <cellStyle name="Comma 3 3 2 2 3 2" xfId="2036" xr:uid="{00000000-0005-0000-0000-0000DB0E0000}"/>
    <cellStyle name="Comma 3 3 2 2 3 2 2" xfId="2037" xr:uid="{00000000-0005-0000-0000-0000DC0E0000}"/>
    <cellStyle name="Comma 3 3 2 2 3 2 2 2" xfId="2038" xr:uid="{00000000-0005-0000-0000-0000DD0E0000}"/>
    <cellStyle name="Comma 3 3 2 2 3 2 2 2 2" xfId="25565" xr:uid="{00000000-0005-0000-0000-0000DE0E0000}"/>
    <cellStyle name="Comma 3 3 2 2 3 2 2 3" xfId="25564" xr:uid="{00000000-0005-0000-0000-0000DF0E0000}"/>
    <cellStyle name="Comma 3 3 2 2 3 2 3" xfId="2039" xr:uid="{00000000-0005-0000-0000-0000E00E0000}"/>
    <cellStyle name="Comma 3 3 2 2 3 2 3 2" xfId="25566" xr:uid="{00000000-0005-0000-0000-0000E10E0000}"/>
    <cellStyle name="Comma 3 3 2 2 3 2 4" xfId="25563" xr:uid="{00000000-0005-0000-0000-0000E20E0000}"/>
    <cellStyle name="Comma 3 3 2 2 3 3" xfId="2040" xr:uid="{00000000-0005-0000-0000-0000E30E0000}"/>
    <cellStyle name="Comma 3 3 2 2 3 3 2" xfId="2041" xr:uid="{00000000-0005-0000-0000-0000E40E0000}"/>
    <cellStyle name="Comma 3 3 2 2 3 3 2 2" xfId="25568" xr:uid="{00000000-0005-0000-0000-0000E50E0000}"/>
    <cellStyle name="Comma 3 3 2 2 3 3 3" xfId="25567" xr:uid="{00000000-0005-0000-0000-0000E60E0000}"/>
    <cellStyle name="Comma 3 3 2 2 3 4" xfId="2042" xr:uid="{00000000-0005-0000-0000-0000E70E0000}"/>
    <cellStyle name="Comma 3 3 2 2 3 4 2" xfId="25569" xr:uid="{00000000-0005-0000-0000-0000E80E0000}"/>
    <cellStyle name="Comma 3 3 2 2 3 5" xfId="25562" xr:uid="{00000000-0005-0000-0000-0000E90E0000}"/>
    <cellStyle name="Comma 3 3 2 2 4" xfId="2043" xr:uid="{00000000-0005-0000-0000-0000EA0E0000}"/>
    <cellStyle name="Comma 3 3 2 2 4 2" xfId="2044" xr:uid="{00000000-0005-0000-0000-0000EB0E0000}"/>
    <cellStyle name="Comma 3 3 2 2 4 2 2" xfId="2045" xr:uid="{00000000-0005-0000-0000-0000EC0E0000}"/>
    <cellStyle name="Comma 3 3 2 2 4 2 2 2" xfId="25572" xr:uid="{00000000-0005-0000-0000-0000ED0E0000}"/>
    <cellStyle name="Comma 3 3 2 2 4 2 3" xfId="25571" xr:uid="{00000000-0005-0000-0000-0000EE0E0000}"/>
    <cellStyle name="Comma 3 3 2 2 4 3" xfId="2046" xr:uid="{00000000-0005-0000-0000-0000EF0E0000}"/>
    <cellStyle name="Comma 3 3 2 2 4 3 2" xfId="25573" xr:uid="{00000000-0005-0000-0000-0000F00E0000}"/>
    <cellStyle name="Comma 3 3 2 2 4 4" xfId="25570" xr:uid="{00000000-0005-0000-0000-0000F10E0000}"/>
    <cellStyle name="Comma 3 3 2 2 5" xfId="2047" xr:uid="{00000000-0005-0000-0000-0000F20E0000}"/>
    <cellStyle name="Comma 3 3 2 2 5 2" xfId="2048" xr:uid="{00000000-0005-0000-0000-0000F30E0000}"/>
    <cellStyle name="Comma 3 3 2 2 5 2 2" xfId="25575" xr:uid="{00000000-0005-0000-0000-0000F40E0000}"/>
    <cellStyle name="Comma 3 3 2 2 5 3" xfId="25574" xr:uid="{00000000-0005-0000-0000-0000F50E0000}"/>
    <cellStyle name="Comma 3 3 2 2 6" xfId="2049" xr:uid="{00000000-0005-0000-0000-0000F60E0000}"/>
    <cellStyle name="Comma 3 3 2 2 6 2" xfId="25576" xr:uid="{00000000-0005-0000-0000-0000F70E0000}"/>
    <cellStyle name="Comma 3 3 2 2 7" xfId="25553" xr:uid="{00000000-0005-0000-0000-0000F80E0000}"/>
    <cellStyle name="Comma 3 3 2 3" xfId="2050" xr:uid="{00000000-0005-0000-0000-0000F90E0000}"/>
    <cellStyle name="Comma 3 3 2 3 2" xfId="2051" xr:uid="{00000000-0005-0000-0000-0000FA0E0000}"/>
    <cellStyle name="Comma 3 3 2 3 2 2" xfId="2052" xr:uid="{00000000-0005-0000-0000-0000FB0E0000}"/>
    <cellStyle name="Comma 3 3 2 3 2 2 2" xfId="2053" xr:uid="{00000000-0005-0000-0000-0000FC0E0000}"/>
    <cellStyle name="Comma 3 3 2 3 2 2 2 2" xfId="2054" xr:uid="{00000000-0005-0000-0000-0000FD0E0000}"/>
    <cellStyle name="Comma 3 3 2 3 2 2 2 2 2" xfId="25581" xr:uid="{00000000-0005-0000-0000-0000FE0E0000}"/>
    <cellStyle name="Comma 3 3 2 3 2 2 2 3" xfId="25580" xr:uid="{00000000-0005-0000-0000-0000FF0E0000}"/>
    <cellStyle name="Comma 3 3 2 3 2 2 3" xfId="2055" xr:uid="{00000000-0005-0000-0000-0000000F0000}"/>
    <cellStyle name="Comma 3 3 2 3 2 2 3 2" xfId="25582" xr:uid="{00000000-0005-0000-0000-0000010F0000}"/>
    <cellStyle name="Comma 3 3 2 3 2 2 4" xfId="25579" xr:uid="{00000000-0005-0000-0000-0000020F0000}"/>
    <cellStyle name="Comma 3 3 2 3 2 3" xfId="2056" xr:uid="{00000000-0005-0000-0000-0000030F0000}"/>
    <cellStyle name="Comma 3 3 2 3 2 3 2" xfId="2057" xr:uid="{00000000-0005-0000-0000-0000040F0000}"/>
    <cellStyle name="Comma 3 3 2 3 2 3 2 2" xfId="25584" xr:uid="{00000000-0005-0000-0000-0000050F0000}"/>
    <cellStyle name="Comma 3 3 2 3 2 3 3" xfId="25583" xr:uid="{00000000-0005-0000-0000-0000060F0000}"/>
    <cellStyle name="Comma 3 3 2 3 2 4" xfId="2058" xr:uid="{00000000-0005-0000-0000-0000070F0000}"/>
    <cellStyle name="Comma 3 3 2 3 2 4 2" xfId="25585" xr:uid="{00000000-0005-0000-0000-0000080F0000}"/>
    <cellStyle name="Comma 3 3 2 3 2 5" xfId="25578" xr:uid="{00000000-0005-0000-0000-0000090F0000}"/>
    <cellStyle name="Comma 3 3 2 3 3" xfId="2059" xr:uid="{00000000-0005-0000-0000-00000A0F0000}"/>
    <cellStyle name="Comma 3 3 2 3 3 2" xfId="2060" xr:uid="{00000000-0005-0000-0000-00000B0F0000}"/>
    <cellStyle name="Comma 3 3 2 3 3 2 2" xfId="2061" xr:uid="{00000000-0005-0000-0000-00000C0F0000}"/>
    <cellStyle name="Comma 3 3 2 3 3 2 2 2" xfId="2062" xr:uid="{00000000-0005-0000-0000-00000D0F0000}"/>
    <cellStyle name="Comma 3 3 2 3 3 2 2 2 2" xfId="25589" xr:uid="{00000000-0005-0000-0000-00000E0F0000}"/>
    <cellStyle name="Comma 3 3 2 3 3 2 2 3" xfId="25588" xr:uid="{00000000-0005-0000-0000-00000F0F0000}"/>
    <cellStyle name="Comma 3 3 2 3 3 2 3" xfId="2063" xr:uid="{00000000-0005-0000-0000-0000100F0000}"/>
    <cellStyle name="Comma 3 3 2 3 3 2 3 2" xfId="25590" xr:uid="{00000000-0005-0000-0000-0000110F0000}"/>
    <cellStyle name="Comma 3 3 2 3 3 2 4" xfId="25587" xr:uid="{00000000-0005-0000-0000-0000120F0000}"/>
    <cellStyle name="Comma 3 3 2 3 3 3" xfId="2064" xr:uid="{00000000-0005-0000-0000-0000130F0000}"/>
    <cellStyle name="Comma 3 3 2 3 3 3 2" xfId="2065" xr:uid="{00000000-0005-0000-0000-0000140F0000}"/>
    <cellStyle name="Comma 3 3 2 3 3 3 2 2" xfId="25592" xr:uid="{00000000-0005-0000-0000-0000150F0000}"/>
    <cellStyle name="Comma 3 3 2 3 3 3 3" xfId="25591" xr:uid="{00000000-0005-0000-0000-0000160F0000}"/>
    <cellStyle name="Comma 3 3 2 3 3 4" xfId="2066" xr:uid="{00000000-0005-0000-0000-0000170F0000}"/>
    <cellStyle name="Comma 3 3 2 3 3 4 2" xfId="25593" xr:uid="{00000000-0005-0000-0000-0000180F0000}"/>
    <cellStyle name="Comma 3 3 2 3 3 5" xfId="25586" xr:uid="{00000000-0005-0000-0000-0000190F0000}"/>
    <cellStyle name="Comma 3 3 2 3 4" xfId="2067" xr:uid="{00000000-0005-0000-0000-00001A0F0000}"/>
    <cellStyle name="Comma 3 3 2 3 4 2" xfId="2068" xr:uid="{00000000-0005-0000-0000-00001B0F0000}"/>
    <cellStyle name="Comma 3 3 2 3 4 2 2" xfId="2069" xr:uid="{00000000-0005-0000-0000-00001C0F0000}"/>
    <cellStyle name="Comma 3 3 2 3 4 2 2 2" xfId="25596" xr:uid="{00000000-0005-0000-0000-00001D0F0000}"/>
    <cellStyle name="Comma 3 3 2 3 4 2 3" xfId="25595" xr:uid="{00000000-0005-0000-0000-00001E0F0000}"/>
    <cellStyle name="Comma 3 3 2 3 4 3" xfId="2070" xr:uid="{00000000-0005-0000-0000-00001F0F0000}"/>
    <cellStyle name="Comma 3 3 2 3 4 3 2" xfId="25597" xr:uid="{00000000-0005-0000-0000-0000200F0000}"/>
    <cellStyle name="Comma 3 3 2 3 4 4" xfId="25594" xr:uid="{00000000-0005-0000-0000-0000210F0000}"/>
    <cellStyle name="Comma 3 3 2 3 5" xfId="2071" xr:uid="{00000000-0005-0000-0000-0000220F0000}"/>
    <cellStyle name="Comma 3 3 2 3 5 2" xfId="2072" xr:uid="{00000000-0005-0000-0000-0000230F0000}"/>
    <cellStyle name="Comma 3 3 2 3 5 2 2" xfId="25599" xr:uid="{00000000-0005-0000-0000-0000240F0000}"/>
    <cellStyle name="Comma 3 3 2 3 5 3" xfId="25598" xr:uid="{00000000-0005-0000-0000-0000250F0000}"/>
    <cellStyle name="Comma 3 3 2 3 6" xfId="2073" xr:uid="{00000000-0005-0000-0000-0000260F0000}"/>
    <cellStyle name="Comma 3 3 2 3 6 2" xfId="25600" xr:uid="{00000000-0005-0000-0000-0000270F0000}"/>
    <cellStyle name="Comma 3 3 2 3 7" xfId="25577" xr:uid="{00000000-0005-0000-0000-0000280F0000}"/>
    <cellStyle name="Comma 3 3 2 4" xfId="2074" xr:uid="{00000000-0005-0000-0000-0000290F0000}"/>
    <cellStyle name="Comma 3 3 2 4 2" xfId="2075" xr:uid="{00000000-0005-0000-0000-00002A0F0000}"/>
    <cellStyle name="Comma 3 3 2 4 2 2" xfId="2076" xr:uid="{00000000-0005-0000-0000-00002B0F0000}"/>
    <cellStyle name="Comma 3 3 2 4 2 2 2" xfId="2077" xr:uid="{00000000-0005-0000-0000-00002C0F0000}"/>
    <cellStyle name="Comma 3 3 2 4 2 2 2 2" xfId="2078" xr:uid="{00000000-0005-0000-0000-00002D0F0000}"/>
    <cellStyle name="Comma 3 3 2 4 2 2 2 2 2" xfId="25605" xr:uid="{00000000-0005-0000-0000-00002E0F0000}"/>
    <cellStyle name="Comma 3 3 2 4 2 2 2 3" xfId="25604" xr:uid="{00000000-0005-0000-0000-00002F0F0000}"/>
    <cellStyle name="Comma 3 3 2 4 2 2 3" xfId="2079" xr:uid="{00000000-0005-0000-0000-0000300F0000}"/>
    <cellStyle name="Comma 3 3 2 4 2 2 3 2" xfId="25606" xr:uid="{00000000-0005-0000-0000-0000310F0000}"/>
    <cellStyle name="Comma 3 3 2 4 2 2 4" xfId="25603" xr:uid="{00000000-0005-0000-0000-0000320F0000}"/>
    <cellStyle name="Comma 3 3 2 4 2 3" xfId="2080" xr:uid="{00000000-0005-0000-0000-0000330F0000}"/>
    <cellStyle name="Comma 3 3 2 4 2 3 2" xfId="2081" xr:uid="{00000000-0005-0000-0000-0000340F0000}"/>
    <cellStyle name="Comma 3 3 2 4 2 3 2 2" xfId="25608" xr:uid="{00000000-0005-0000-0000-0000350F0000}"/>
    <cellStyle name="Comma 3 3 2 4 2 3 3" xfId="25607" xr:uid="{00000000-0005-0000-0000-0000360F0000}"/>
    <cellStyle name="Comma 3 3 2 4 2 4" xfId="2082" xr:uid="{00000000-0005-0000-0000-0000370F0000}"/>
    <cellStyle name="Comma 3 3 2 4 2 4 2" xfId="25609" xr:uid="{00000000-0005-0000-0000-0000380F0000}"/>
    <cellStyle name="Comma 3 3 2 4 2 5" xfId="25602" xr:uid="{00000000-0005-0000-0000-0000390F0000}"/>
    <cellStyle name="Comma 3 3 2 4 3" xfId="2083" xr:uid="{00000000-0005-0000-0000-00003A0F0000}"/>
    <cellStyle name="Comma 3 3 2 4 3 2" xfId="2084" xr:uid="{00000000-0005-0000-0000-00003B0F0000}"/>
    <cellStyle name="Comma 3 3 2 4 3 2 2" xfId="2085" xr:uid="{00000000-0005-0000-0000-00003C0F0000}"/>
    <cellStyle name="Comma 3 3 2 4 3 2 2 2" xfId="2086" xr:uid="{00000000-0005-0000-0000-00003D0F0000}"/>
    <cellStyle name="Comma 3 3 2 4 3 2 2 2 2" xfId="25613" xr:uid="{00000000-0005-0000-0000-00003E0F0000}"/>
    <cellStyle name="Comma 3 3 2 4 3 2 2 3" xfId="25612" xr:uid="{00000000-0005-0000-0000-00003F0F0000}"/>
    <cellStyle name="Comma 3 3 2 4 3 2 3" xfId="2087" xr:uid="{00000000-0005-0000-0000-0000400F0000}"/>
    <cellStyle name="Comma 3 3 2 4 3 2 3 2" xfId="25614" xr:uid="{00000000-0005-0000-0000-0000410F0000}"/>
    <cellStyle name="Comma 3 3 2 4 3 2 4" xfId="25611" xr:uid="{00000000-0005-0000-0000-0000420F0000}"/>
    <cellStyle name="Comma 3 3 2 4 3 3" xfId="2088" xr:uid="{00000000-0005-0000-0000-0000430F0000}"/>
    <cellStyle name="Comma 3 3 2 4 3 3 2" xfId="2089" xr:uid="{00000000-0005-0000-0000-0000440F0000}"/>
    <cellStyle name="Comma 3 3 2 4 3 3 2 2" xfId="25616" xr:uid="{00000000-0005-0000-0000-0000450F0000}"/>
    <cellStyle name="Comma 3 3 2 4 3 3 3" xfId="25615" xr:uid="{00000000-0005-0000-0000-0000460F0000}"/>
    <cellStyle name="Comma 3 3 2 4 3 4" xfId="2090" xr:uid="{00000000-0005-0000-0000-0000470F0000}"/>
    <cellStyle name="Comma 3 3 2 4 3 4 2" xfId="25617" xr:uid="{00000000-0005-0000-0000-0000480F0000}"/>
    <cellStyle name="Comma 3 3 2 4 3 5" xfId="25610" xr:uid="{00000000-0005-0000-0000-0000490F0000}"/>
    <cellStyle name="Comma 3 3 2 4 4" xfId="2091" xr:uid="{00000000-0005-0000-0000-00004A0F0000}"/>
    <cellStyle name="Comma 3 3 2 4 4 2" xfId="2092" xr:uid="{00000000-0005-0000-0000-00004B0F0000}"/>
    <cellStyle name="Comma 3 3 2 4 4 2 2" xfId="2093" xr:uid="{00000000-0005-0000-0000-00004C0F0000}"/>
    <cellStyle name="Comma 3 3 2 4 4 2 2 2" xfId="25620" xr:uid="{00000000-0005-0000-0000-00004D0F0000}"/>
    <cellStyle name="Comma 3 3 2 4 4 2 3" xfId="25619" xr:uid="{00000000-0005-0000-0000-00004E0F0000}"/>
    <cellStyle name="Comma 3 3 2 4 4 3" xfId="2094" xr:uid="{00000000-0005-0000-0000-00004F0F0000}"/>
    <cellStyle name="Comma 3 3 2 4 4 3 2" xfId="25621" xr:uid="{00000000-0005-0000-0000-0000500F0000}"/>
    <cellStyle name="Comma 3 3 2 4 4 4" xfId="25618" xr:uid="{00000000-0005-0000-0000-0000510F0000}"/>
    <cellStyle name="Comma 3 3 2 4 5" xfId="2095" xr:uid="{00000000-0005-0000-0000-0000520F0000}"/>
    <cellStyle name="Comma 3 3 2 4 5 2" xfId="2096" xr:uid="{00000000-0005-0000-0000-0000530F0000}"/>
    <cellStyle name="Comma 3 3 2 4 5 2 2" xfId="25623" xr:uid="{00000000-0005-0000-0000-0000540F0000}"/>
    <cellStyle name="Comma 3 3 2 4 5 3" xfId="25622" xr:uid="{00000000-0005-0000-0000-0000550F0000}"/>
    <cellStyle name="Comma 3 3 2 4 6" xfId="2097" xr:uid="{00000000-0005-0000-0000-0000560F0000}"/>
    <cellStyle name="Comma 3 3 2 4 6 2" xfId="25624" xr:uid="{00000000-0005-0000-0000-0000570F0000}"/>
    <cellStyle name="Comma 3 3 2 4 7" xfId="25601" xr:uid="{00000000-0005-0000-0000-0000580F0000}"/>
    <cellStyle name="Comma 3 3 2 5" xfId="2098" xr:uid="{00000000-0005-0000-0000-0000590F0000}"/>
    <cellStyle name="Comma 3 3 2 5 2" xfId="2099" xr:uid="{00000000-0005-0000-0000-00005A0F0000}"/>
    <cellStyle name="Comma 3 3 2 5 2 2" xfId="2100" xr:uid="{00000000-0005-0000-0000-00005B0F0000}"/>
    <cellStyle name="Comma 3 3 2 5 2 2 2" xfId="2101" xr:uid="{00000000-0005-0000-0000-00005C0F0000}"/>
    <cellStyle name="Comma 3 3 2 5 2 2 2 2" xfId="25628" xr:uid="{00000000-0005-0000-0000-00005D0F0000}"/>
    <cellStyle name="Comma 3 3 2 5 2 2 3" xfId="25627" xr:uid="{00000000-0005-0000-0000-00005E0F0000}"/>
    <cellStyle name="Comma 3 3 2 5 2 3" xfId="2102" xr:uid="{00000000-0005-0000-0000-00005F0F0000}"/>
    <cellStyle name="Comma 3 3 2 5 2 3 2" xfId="25629" xr:uid="{00000000-0005-0000-0000-0000600F0000}"/>
    <cellStyle name="Comma 3 3 2 5 2 4" xfId="25626" xr:uid="{00000000-0005-0000-0000-0000610F0000}"/>
    <cellStyle name="Comma 3 3 2 5 3" xfId="2103" xr:uid="{00000000-0005-0000-0000-0000620F0000}"/>
    <cellStyle name="Comma 3 3 2 5 3 2" xfId="2104" xr:uid="{00000000-0005-0000-0000-0000630F0000}"/>
    <cellStyle name="Comma 3 3 2 5 3 2 2" xfId="25631" xr:uid="{00000000-0005-0000-0000-0000640F0000}"/>
    <cellStyle name="Comma 3 3 2 5 3 3" xfId="25630" xr:uid="{00000000-0005-0000-0000-0000650F0000}"/>
    <cellStyle name="Comma 3 3 2 5 4" xfId="2105" xr:uid="{00000000-0005-0000-0000-0000660F0000}"/>
    <cellStyle name="Comma 3 3 2 5 4 2" xfId="25632" xr:uid="{00000000-0005-0000-0000-0000670F0000}"/>
    <cellStyle name="Comma 3 3 2 5 5" xfId="25625" xr:uid="{00000000-0005-0000-0000-0000680F0000}"/>
    <cellStyle name="Comma 3 3 2 6" xfId="2106" xr:uid="{00000000-0005-0000-0000-0000690F0000}"/>
    <cellStyle name="Comma 3 3 2 6 2" xfId="2107" xr:uid="{00000000-0005-0000-0000-00006A0F0000}"/>
    <cellStyle name="Comma 3 3 2 6 2 2" xfId="2108" xr:uid="{00000000-0005-0000-0000-00006B0F0000}"/>
    <cellStyle name="Comma 3 3 2 6 2 2 2" xfId="2109" xr:uid="{00000000-0005-0000-0000-00006C0F0000}"/>
    <cellStyle name="Comma 3 3 2 6 2 2 2 2" xfId="25636" xr:uid="{00000000-0005-0000-0000-00006D0F0000}"/>
    <cellStyle name="Comma 3 3 2 6 2 2 3" xfId="25635" xr:uid="{00000000-0005-0000-0000-00006E0F0000}"/>
    <cellStyle name="Comma 3 3 2 6 2 3" xfId="2110" xr:uid="{00000000-0005-0000-0000-00006F0F0000}"/>
    <cellStyle name="Comma 3 3 2 6 2 3 2" xfId="25637" xr:uid="{00000000-0005-0000-0000-0000700F0000}"/>
    <cellStyle name="Comma 3 3 2 6 2 4" xfId="25634" xr:uid="{00000000-0005-0000-0000-0000710F0000}"/>
    <cellStyle name="Comma 3 3 2 6 3" xfId="2111" xr:uid="{00000000-0005-0000-0000-0000720F0000}"/>
    <cellStyle name="Comma 3 3 2 6 3 2" xfId="2112" xr:uid="{00000000-0005-0000-0000-0000730F0000}"/>
    <cellStyle name="Comma 3 3 2 6 3 2 2" xfId="25639" xr:uid="{00000000-0005-0000-0000-0000740F0000}"/>
    <cellStyle name="Comma 3 3 2 6 3 3" xfId="25638" xr:uid="{00000000-0005-0000-0000-0000750F0000}"/>
    <cellStyle name="Comma 3 3 2 6 4" xfId="2113" xr:uid="{00000000-0005-0000-0000-0000760F0000}"/>
    <cellStyle name="Comma 3 3 2 6 4 2" xfId="25640" xr:uid="{00000000-0005-0000-0000-0000770F0000}"/>
    <cellStyle name="Comma 3 3 2 6 5" xfId="25633" xr:uid="{00000000-0005-0000-0000-0000780F0000}"/>
    <cellStyle name="Comma 3 3 2 7" xfId="2114" xr:uid="{00000000-0005-0000-0000-0000790F0000}"/>
    <cellStyle name="Comma 3 3 2 7 2" xfId="2115" xr:uid="{00000000-0005-0000-0000-00007A0F0000}"/>
    <cellStyle name="Comma 3 3 2 7 2 2" xfId="2116" xr:uid="{00000000-0005-0000-0000-00007B0F0000}"/>
    <cellStyle name="Comma 3 3 2 7 2 2 2" xfId="25643" xr:uid="{00000000-0005-0000-0000-00007C0F0000}"/>
    <cellStyle name="Comma 3 3 2 7 2 3" xfId="25642" xr:uid="{00000000-0005-0000-0000-00007D0F0000}"/>
    <cellStyle name="Comma 3 3 2 7 3" xfId="2117" xr:uid="{00000000-0005-0000-0000-00007E0F0000}"/>
    <cellStyle name="Comma 3 3 2 7 3 2" xfId="25644" xr:uid="{00000000-0005-0000-0000-00007F0F0000}"/>
    <cellStyle name="Comma 3 3 2 7 4" xfId="25641" xr:uid="{00000000-0005-0000-0000-0000800F0000}"/>
    <cellStyle name="Comma 3 3 2 8" xfId="2118" xr:uid="{00000000-0005-0000-0000-0000810F0000}"/>
    <cellStyle name="Comma 3 3 2 8 2" xfId="2119" xr:uid="{00000000-0005-0000-0000-0000820F0000}"/>
    <cellStyle name="Comma 3 3 2 8 2 2" xfId="25646" xr:uid="{00000000-0005-0000-0000-0000830F0000}"/>
    <cellStyle name="Comma 3 3 2 8 3" xfId="25645" xr:uid="{00000000-0005-0000-0000-0000840F0000}"/>
    <cellStyle name="Comma 3 3 2 9" xfId="2120" xr:uid="{00000000-0005-0000-0000-0000850F0000}"/>
    <cellStyle name="Comma 3 3 2 9 2" xfId="25647" xr:uid="{00000000-0005-0000-0000-0000860F0000}"/>
    <cellStyle name="Comma 3 3 3" xfId="2121" xr:uid="{00000000-0005-0000-0000-0000870F0000}"/>
    <cellStyle name="Comma 3 3 3 2" xfId="2122" xr:uid="{00000000-0005-0000-0000-0000880F0000}"/>
    <cellStyle name="Comma 3 3 3 2 2" xfId="2123" xr:uid="{00000000-0005-0000-0000-0000890F0000}"/>
    <cellStyle name="Comma 3 3 3 2 2 2" xfId="2124" xr:uid="{00000000-0005-0000-0000-00008A0F0000}"/>
    <cellStyle name="Comma 3 3 3 2 2 2 2" xfId="2125" xr:uid="{00000000-0005-0000-0000-00008B0F0000}"/>
    <cellStyle name="Comma 3 3 3 2 2 2 2 2" xfId="2126" xr:uid="{00000000-0005-0000-0000-00008C0F0000}"/>
    <cellStyle name="Comma 3 3 3 2 2 2 2 2 2" xfId="25653" xr:uid="{00000000-0005-0000-0000-00008D0F0000}"/>
    <cellStyle name="Comma 3 3 3 2 2 2 2 3" xfId="25652" xr:uid="{00000000-0005-0000-0000-00008E0F0000}"/>
    <cellStyle name="Comma 3 3 3 2 2 2 3" xfId="2127" xr:uid="{00000000-0005-0000-0000-00008F0F0000}"/>
    <cellStyle name="Comma 3 3 3 2 2 2 3 2" xfId="25654" xr:uid="{00000000-0005-0000-0000-0000900F0000}"/>
    <cellStyle name="Comma 3 3 3 2 2 2 4" xfId="25651" xr:uid="{00000000-0005-0000-0000-0000910F0000}"/>
    <cellStyle name="Comma 3 3 3 2 2 3" xfId="2128" xr:uid="{00000000-0005-0000-0000-0000920F0000}"/>
    <cellStyle name="Comma 3 3 3 2 2 3 2" xfId="2129" xr:uid="{00000000-0005-0000-0000-0000930F0000}"/>
    <cellStyle name="Comma 3 3 3 2 2 3 2 2" xfId="25656" xr:uid="{00000000-0005-0000-0000-0000940F0000}"/>
    <cellStyle name="Comma 3 3 3 2 2 3 3" xfId="25655" xr:uid="{00000000-0005-0000-0000-0000950F0000}"/>
    <cellStyle name="Comma 3 3 3 2 2 4" xfId="2130" xr:uid="{00000000-0005-0000-0000-0000960F0000}"/>
    <cellStyle name="Comma 3 3 3 2 2 4 2" xfId="25657" xr:uid="{00000000-0005-0000-0000-0000970F0000}"/>
    <cellStyle name="Comma 3 3 3 2 2 5" xfId="25650" xr:uid="{00000000-0005-0000-0000-0000980F0000}"/>
    <cellStyle name="Comma 3 3 3 2 3" xfId="2131" xr:uid="{00000000-0005-0000-0000-0000990F0000}"/>
    <cellStyle name="Comma 3 3 3 2 3 2" xfId="2132" xr:uid="{00000000-0005-0000-0000-00009A0F0000}"/>
    <cellStyle name="Comma 3 3 3 2 3 2 2" xfId="2133" xr:uid="{00000000-0005-0000-0000-00009B0F0000}"/>
    <cellStyle name="Comma 3 3 3 2 3 2 2 2" xfId="2134" xr:uid="{00000000-0005-0000-0000-00009C0F0000}"/>
    <cellStyle name="Comma 3 3 3 2 3 2 2 2 2" xfId="25661" xr:uid="{00000000-0005-0000-0000-00009D0F0000}"/>
    <cellStyle name="Comma 3 3 3 2 3 2 2 3" xfId="25660" xr:uid="{00000000-0005-0000-0000-00009E0F0000}"/>
    <cellStyle name="Comma 3 3 3 2 3 2 3" xfId="2135" xr:uid="{00000000-0005-0000-0000-00009F0F0000}"/>
    <cellStyle name="Comma 3 3 3 2 3 2 3 2" xfId="25662" xr:uid="{00000000-0005-0000-0000-0000A00F0000}"/>
    <cellStyle name="Comma 3 3 3 2 3 2 4" xfId="25659" xr:uid="{00000000-0005-0000-0000-0000A10F0000}"/>
    <cellStyle name="Comma 3 3 3 2 3 3" xfId="2136" xr:uid="{00000000-0005-0000-0000-0000A20F0000}"/>
    <cellStyle name="Comma 3 3 3 2 3 3 2" xfId="2137" xr:uid="{00000000-0005-0000-0000-0000A30F0000}"/>
    <cellStyle name="Comma 3 3 3 2 3 3 2 2" xfId="25664" xr:uid="{00000000-0005-0000-0000-0000A40F0000}"/>
    <cellStyle name="Comma 3 3 3 2 3 3 3" xfId="25663" xr:uid="{00000000-0005-0000-0000-0000A50F0000}"/>
    <cellStyle name="Comma 3 3 3 2 3 4" xfId="2138" xr:uid="{00000000-0005-0000-0000-0000A60F0000}"/>
    <cellStyle name="Comma 3 3 3 2 3 4 2" xfId="25665" xr:uid="{00000000-0005-0000-0000-0000A70F0000}"/>
    <cellStyle name="Comma 3 3 3 2 3 5" xfId="25658" xr:uid="{00000000-0005-0000-0000-0000A80F0000}"/>
    <cellStyle name="Comma 3 3 3 2 4" xfId="2139" xr:uid="{00000000-0005-0000-0000-0000A90F0000}"/>
    <cellStyle name="Comma 3 3 3 2 4 2" xfId="2140" xr:uid="{00000000-0005-0000-0000-0000AA0F0000}"/>
    <cellStyle name="Comma 3 3 3 2 4 2 2" xfId="2141" xr:uid="{00000000-0005-0000-0000-0000AB0F0000}"/>
    <cellStyle name="Comma 3 3 3 2 4 2 2 2" xfId="25668" xr:uid="{00000000-0005-0000-0000-0000AC0F0000}"/>
    <cellStyle name="Comma 3 3 3 2 4 2 3" xfId="25667" xr:uid="{00000000-0005-0000-0000-0000AD0F0000}"/>
    <cellStyle name="Comma 3 3 3 2 4 3" xfId="2142" xr:uid="{00000000-0005-0000-0000-0000AE0F0000}"/>
    <cellStyle name="Comma 3 3 3 2 4 3 2" xfId="25669" xr:uid="{00000000-0005-0000-0000-0000AF0F0000}"/>
    <cellStyle name="Comma 3 3 3 2 4 4" xfId="25666" xr:uid="{00000000-0005-0000-0000-0000B00F0000}"/>
    <cellStyle name="Comma 3 3 3 2 5" xfId="2143" xr:uid="{00000000-0005-0000-0000-0000B10F0000}"/>
    <cellStyle name="Comma 3 3 3 2 5 2" xfId="2144" xr:uid="{00000000-0005-0000-0000-0000B20F0000}"/>
    <cellStyle name="Comma 3 3 3 2 5 2 2" xfId="25671" xr:uid="{00000000-0005-0000-0000-0000B30F0000}"/>
    <cellStyle name="Comma 3 3 3 2 5 3" xfId="25670" xr:uid="{00000000-0005-0000-0000-0000B40F0000}"/>
    <cellStyle name="Comma 3 3 3 2 6" xfId="2145" xr:uid="{00000000-0005-0000-0000-0000B50F0000}"/>
    <cellStyle name="Comma 3 3 3 2 6 2" xfId="25672" xr:uid="{00000000-0005-0000-0000-0000B60F0000}"/>
    <cellStyle name="Comma 3 3 3 2 7" xfId="25649" xr:uid="{00000000-0005-0000-0000-0000B70F0000}"/>
    <cellStyle name="Comma 3 3 3 3" xfId="2146" xr:uid="{00000000-0005-0000-0000-0000B80F0000}"/>
    <cellStyle name="Comma 3 3 3 3 2" xfId="2147" xr:uid="{00000000-0005-0000-0000-0000B90F0000}"/>
    <cellStyle name="Comma 3 3 3 3 2 2" xfId="2148" xr:uid="{00000000-0005-0000-0000-0000BA0F0000}"/>
    <cellStyle name="Comma 3 3 3 3 2 2 2" xfId="2149" xr:uid="{00000000-0005-0000-0000-0000BB0F0000}"/>
    <cellStyle name="Comma 3 3 3 3 2 2 2 2" xfId="2150" xr:uid="{00000000-0005-0000-0000-0000BC0F0000}"/>
    <cellStyle name="Comma 3 3 3 3 2 2 2 2 2" xfId="25677" xr:uid="{00000000-0005-0000-0000-0000BD0F0000}"/>
    <cellStyle name="Comma 3 3 3 3 2 2 2 3" xfId="25676" xr:uid="{00000000-0005-0000-0000-0000BE0F0000}"/>
    <cellStyle name="Comma 3 3 3 3 2 2 3" xfId="2151" xr:uid="{00000000-0005-0000-0000-0000BF0F0000}"/>
    <cellStyle name="Comma 3 3 3 3 2 2 3 2" xfId="25678" xr:uid="{00000000-0005-0000-0000-0000C00F0000}"/>
    <cellStyle name="Comma 3 3 3 3 2 2 4" xfId="25675" xr:uid="{00000000-0005-0000-0000-0000C10F0000}"/>
    <cellStyle name="Comma 3 3 3 3 2 3" xfId="2152" xr:uid="{00000000-0005-0000-0000-0000C20F0000}"/>
    <cellStyle name="Comma 3 3 3 3 2 3 2" xfId="2153" xr:uid="{00000000-0005-0000-0000-0000C30F0000}"/>
    <cellStyle name="Comma 3 3 3 3 2 3 2 2" xfId="25680" xr:uid="{00000000-0005-0000-0000-0000C40F0000}"/>
    <cellStyle name="Comma 3 3 3 3 2 3 3" xfId="25679" xr:uid="{00000000-0005-0000-0000-0000C50F0000}"/>
    <cellStyle name="Comma 3 3 3 3 2 4" xfId="2154" xr:uid="{00000000-0005-0000-0000-0000C60F0000}"/>
    <cellStyle name="Comma 3 3 3 3 2 4 2" xfId="25681" xr:uid="{00000000-0005-0000-0000-0000C70F0000}"/>
    <cellStyle name="Comma 3 3 3 3 2 5" xfId="25674" xr:uid="{00000000-0005-0000-0000-0000C80F0000}"/>
    <cellStyle name="Comma 3 3 3 3 3" xfId="2155" xr:uid="{00000000-0005-0000-0000-0000C90F0000}"/>
    <cellStyle name="Comma 3 3 3 3 3 2" xfId="2156" xr:uid="{00000000-0005-0000-0000-0000CA0F0000}"/>
    <cellStyle name="Comma 3 3 3 3 3 2 2" xfId="2157" xr:uid="{00000000-0005-0000-0000-0000CB0F0000}"/>
    <cellStyle name="Comma 3 3 3 3 3 2 2 2" xfId="2158" xr:uid="{00000000-0005-0000-0000-0000CC0F0000}"/>
    <cellStyle name="Comma 3 3 3 3 3 2 2 2 2" xfId="25685" xr:uid="{00000000-0005-0000-0000-0000CD0F0000}"/>
    <cellStyle name="Comma 3 3 3 3 3 2 2 3" xfId="25684" xr:uid="{00000000-0005-0000-0000-0000CE0F0000}"/>
    <cellStyle name="Comma 3 3 3 3 3 2 3" xfId="2159" xr:uid="{00000000-0005-0000-0000-0000CF0F0000}"/>
    <cellStyle name="Comma 3 3 3 3 3 2 3 2" xfId="25686" xr:uid="{00000000-0005-0000-0000-0000D00F0000}"/>
    <cellStyle name="Comma 3 3 3 3 3 2 4" xfId="25683" xr:uid="{00000000-0005-0000-0000-0000D10F0000}"/>
    <cellStyle name="Comma 3 3 3 3 3 3" xfId="2160" xr:uid="{00000000-0005-0000-0000-0000D20F0000}"/>
    <cellStyle name="Comma 3 3 3 3 3 3 2" xfId="2161" xr:uid="{00000000-0005-0000-0000-0000D30F0000}"/>
    <cellStyle name="Comma 3 3 3 3 3 3 2 2" xfId="25688" xr:uid="{00000000-0005-0000-0000-0000D40F0000}"/>
    <cellStyle name="Comma 3 3 3 3 3 3 3" xfId="25687" xr:uid="{00000000-0005-0000-0000-0000D50F0000}"/>
    <cellStyle name="Comma 3 3 3 3 3 4" xfId="2162" xr:uid="{00000000-0005-0000-0000-0000D60F0000}"/>
    <cellStyle name="Comma 3 3 3 3 3 4 2" xfId="25689" xr:uid="{00000000-0005-0000-0000-0000D70F0000}"/>
    <cellStyle name="Comma 3 3 3 3 3 5" xfId="25682" xr:uid="{00000000-0005-0000-0000-0000D80F0000}"/>
    <cellStyle name="Comma 3 3 3 3 4" xfId="2163" xr:uid="{00000000-0005-0000-0000-0000D90F0000}"/>
    <cellStyle name="Comma 3 3 3 3 4 2" xfId="2164" xr:uid="{00000000-0005-0000-0000-0000DA0F0000}"/>
    <cellStyle name="Comma 3 3 3 3 4 2 2" xfId="2165" xr:uid="{00000000-0005-0000-0000-0000DB0F0000}"/>
    <cellStyle name="Comma 3 3 3 3 4 2 2 2" xfId="25692" xr:uid="{00000000-0005-0000-0000-0000DC0F0000}"/>
    <cellStyle name="Comma 3 3 3 3 4 2 3" xfId="25691" xr:uid="{00000000-0005-0000-0000-0000DD0F0000}"/>
    <cellStyle name="Comma 3 3 3 3 4 3" xfId="2166" xr:uid="{00000000-0005-0000-0000-0000DE0F0000}"/>
    <cellStyle name="Comma 3 3 3 3 4 3 2" xfId="25693" xr:uid="{00000000-0005-0000-0000-0000DF0F0000}"/>
    <cellStyle name="Comma 3 3 3 3 4 4" xfId="25690" xr:uid="{00000000-0005-0000-0000-0000E00F0000}"/>
    <cellStyle name="Comma 3 3 3 3 5" xfId="2167" xr:uid="{00000000-0005-0000-0000-0000E10F0000}"/>
    <cellStyle name="Comma 3 3 3 3 5 2" xfId="2168" xr:uid="{00000000-0005-0000-0000-0000E20F0000}"/>
    <cellStyle name="Comma 3 3 3 3 5 2 2" xfId="25695" xr:uid="{00000000-0005-0000-0000-0000E30F0000}"/>
    <cellStyle name="Comma 3 3 3 3 5 3" xfId="25694" xr:uid="{00000000-0005-0000-0000-0000E40F0000}"/>
    <cellStyle name="Comma 3 3 3 3 6" xfId="2169" xr:uid="{00000000-0005-0000-0000-0000E50F0000}"/>
    <cellStyle name="Comma 3 3 3 3 6 2" xfId="25696" xr:uid="{00000000-0005-0000-0000-0000E60F0000}"/>
    <cellStyle name="Comma 3 3 3 3 7" xfId="25673" xr:uid="{00000000-0005-0000-0000-0000E70F0000}"/>
    <cellStyle name="Comma 3 3 3 4" xfId="2170" xr:uid="{00000000-0005-0000-0000-0000E80F0000}"/>
    <cellStyle name="Comma 3 3 3 4 2" xfId="2171" xr:uid="{00000000-0005-0000-0000-0000E90F0000}"/>
    <cellStyle name="Comma 3 3 3 4 2 2" xfId="2172" xr:uid="{00000000-0005-0000-0000-0000EA0F0000}"/>
    <cellStyle name="Comma 3 3 3 4 2 2 2" xfId="2173" xr:uid="{00000000-0005-0000-0000-0000EB0F0000}"/>
    <cellStyle name="Comma 3 3 3 4 2 2 2 2" xfId="25700" xr:uid="{00000000-0005-0000-0000-0000EC0F0000}"/>
    <cellStyle name="Comma 3 3 3 4 2 2 3" xfId="25699" xr:uid="{00000000-0005-0000-0000-0000ED0F0000}"/>
    <cellStyle name="Comma 3 3 3 4 2 3" xfId="2174" xr:uid="{00000000-0005-0000-0000-0000EE0F0000}"/>
    <cellStyle name="Comma 3 3 3 4 2 3 2" xfId="25701" xr:uid="{00000000-0005-0000-0000-0000EF0F0000}"/>
    <cellStyle name="Comma 3 3 3 4 2 4" xfId="25698" xr:uid="{00000000-0005-0000-0000-0000F00F0000}"/>
    <cellStyle name="Comma 3 3 3 4 3" xfId="2175" xr:uid="{00000000-0005-0000-0000-0000F10F0000}"/>
    <cellStyle name="Comma 3 3 3 4 3 2" xfId="2176" xr:uid="{00000000-0005-0000-0000-0000F20F0000}"/>
    <cellStyle name="Comma 3 3 3 4 3 2 2" xfId="25703" xr:uid="{00000000-0005-0000-0000-0000F30F0000}"/>
    <cellStyle name="Comma 3 3 3 4 3 3" xfId="25702" xr:uid="{00000000-0005-0000-0000-0000F40F0000}"/>
    <cellStyle name="Comma 3 3 3 4 4" xfId="2177" xr:uid="{00000000-0005-0000-0000-0000F50F0000}"/>
    <cellStyle name="Comma 3 3 3 4 4 2" xfId="25704" xr:uid="{00000000-0005-0000-0000-0000F60F0000}"/>
    <cellStyle name="Comma 3 3 3 4 5" xfId="25697" xr:uid="{00000000-0005-0000-0000-0000F70F0000}"/>
    <cellStyle name="Comma 3 3 3 5" xfId="2178" xr:uid="{00000000-0005-0000-0000-0000F80F0000}"/>
    <cellStyle name="Comma 3 3 3 5 2" xfId="2179" xr:uid="{00000000-0005-0000-0000-0000F90F0000}"/>
    <cellStyle name="Comma 3 3 3 5 2 2" xfId="2180" xr:uid="{00000000-0005-0000-0000-0000FA0F0000}"/>
    <cellStyle name="Comma 3 3 3 5 2 2 2" xfId="2181" xr:uid="{00000000-0005-0000-0000-0000FB0F0000}"/>
    <cellStyle name="Comma 3 3 3 5 2 2 2 2" xfId="25708" xr:uid="{00000000-0005-0000-0000-0000FC0F0000}"/>
    <cellStyle name="Comma 3 3 3 5 2 2 3" xfId="25707" xr:uid="{00000000-0005-0000-0000-0000FD0F0000}"/>
    <cellStyle name="Comma 3 3 3 5 2 3" xfId="2182" xr:uid="{00000000-0005-0000-0000-0000FE0F0000}"/>
    <cellStyle name="Comma 3 3 3 5 2 3 2" xfId="25709" xr:uid="{00000000-0005-0000-0000-0000FF0F0000}"/>
    <cellStyle name="Comma 3 3 3 5 2 4" xfId="25706" xr:uid="{00000000-0005-0000-0000-000000100000}"/>
    <cellStyle name="Comma 3 3 3 5 3" xfId="2183" xr:uid="{00000000-0005-0000-0000-000001100000}"/>
    <cellStyle name="Comma 3 3 3 5 3 2" xfId="2184" xr:uid="{00000000-0005-0000-0000-000002100000}"/>
    <cellStyle name="Comma 3 3 3 5 3 2 2" xfId="25711" xr:uid="{00000000-0005-0000-0000-000003100000}"/>
    <cellStyle name="Comma 3 3 3 5 3 3" xfId="25710" xr:uid="{00000000-0005-0000-0000-000004100000}"/>
    <cellStyle name="Comma 3 3 3 5 4" xfId="2185" xr:uid="{00000000-0005-0000-0000-000005100000}"/>
    <cellStyle name="Comma 3 3 3 5 4 2" xfId="25712" xr:uid="{00000000-0005-0000-0000-000006100000}"/>
    <cellStyle name="Comma 3 3 3 5 5" xfId="25705" xr:uid="{00000000-0005-0000-0000-000007100000}"/>
    <cellStyle name="Comma 3 3 3 6" xfId="2186" xr:uid="{00000000-0005-0000-0000-000008100000}"/>
    <cellStyle name="Comma 3 3 3 6 2" xfId="2187" xr:uid="{00000000-0005-0000-0000-000009100000}"/>
    <cellStyle name="Comma 3 3 3 6 2 2" xfId="2188" xr:uid="{00000000-0005-0000-0000-00000A100000}"/>
    <cellStyle name="Comma 3 3 3 6 2 2 2" xfId="25715" xr:uid="{00000000-0005-0000-0000-00000B100000}"/>
    <cellStyle name="Comma 3 3 3 6 2 3" xfId="25714" xr:uid="{00000000-0005-0000-0000-00000C100000}"/>
    <cellStyle name="Comma 3 3 3 6 3" xfId="2189" xr:uid="{00000000-0005-0000-0000-00000D100000}"/>
    <cellStyle name="Comma 3 3 3 6 3 2" xfId="25716" xr:uid="{00000000-0005-0000-0000-00000E100000}"/>
    <cellStyle name="Comma 3 3 3 6 4" xfId="25713" xr:uid="{00000000-0005-0000-0000-00000F100000}"/>
    <cellStyle name="Comma 3 3 3 7" xfId="2190" xr:uid="{00000000-0005-0000-0000-000010100000}"/>
    <cellStyle name="Comma 3 3 3 7 2" xfId="2191" xr:uid="{00000000-0005-0000-0000-000011100000}"/>
    <cellStyle name="Comma 3 3 3 7 2 2" xfId="25718" xr:uid="{00000000-0005-0000-0000-000012100000}"/>
    <cellStyle name="Comma 3 3 3 7 3" xfId="25717" xr:uid="{00000000-0005-0000-0000-000013100000}"/>
    <cellStyle name="Comma 3 3 3 8" xfId="2192" xr:uid="{00000000-0005-0000-0000-000014100000}"/>
    <cellStyle name="Comma 3 3 3 8 2" xfId="25719" xr:uid="{00000000-0005-0000-0000-000015100000}"/>
    <cellStyle name="Comma 3 3 3 9" xfId="25648" xr:uid="{00000000-0005-0000-0000-000016100000}"/>
    <cellStyle name="Comma 3 3 4" xfId="2193" xr:uid="{00000000-0005-0000-0000-000017100000}"/>
    <cellStyle name="Comma 3 3 4 2" xfId="2194" xr:uid="{00000000-0005-0000-0000-000018100000}"/>
    <cellStyle name="Comma 3 3 4 2 2" xfId="2195" xr:uid="{00000000-0005-0000-0000-000019100000}"/>
    <cellStyle name="Comma 3 3 4 2 2 2" xfId="2196" xr:uid="{00000000-0005-0000-0000-00001A100000}"/>
    <cellStyle name="Comma 3 3 4 2 2 2 2" xfId="2197" xr:uid="{00000000-0005-0000-0000-00001B100000}"/>
    <cellStyle name="Comma 3 3 4 2 2 2 2 2" xfId="25724" xr:uid="{00000000-0005-0000-0000-00001C100000}"/>
    <cellStyle name="Comma 3 3 4 2 2 2 3" xfId="25723" xr:uid="{00000000-0005-0000-0000-00001D100000}"/>
    <cellStyle name="Comma 3 3 4 2 2 3" xfId="2198" xr:uid="{00000000-0005-0000-0000-00001E100000}"/>
    <cellStyle name="Comma 3 3 4 2 2 3 2" xfId="25725" xr:uid="{00000000-0005-0000-0000-00001F100000}"/>
    <cellStyle name="Comma 3 3 4 2 2 4" xfId="25722" xr:uid="{00000000-0005-0000-0000-000020100000}"/>
    <cellStyle name="Comma 3 3 4 2 3" xfId="2199" xr:uid="{00000000-0005-0000-0000-000021100000}"/>
    <cellStyle name="Comma 3 3 4 2 3 2" xfId="2200" xr:uid="{00000000-0005-0000-0000-000022100000}"/>
    <cellStyle name="Comma 3 3 4 2 3 2 2" xfId="25727" xr:uid="{00000000-0005-0000-0000-000023100000}"/>
    <cellStyle name="Comma 3 3 4 2 3 3" xfId="25726" xr:uid="{00000000-0005-0000-0000-000024100000}"/>
    <cellStyle name="Comma 3 3 4 2 4" xfId="2201" xr:uid="{00000000-0005-0000-0000-000025100000}"/>
    <cellStyle name="Comma 3 3 4 2 4 2" xfId="25728" xr:uid="{00000000-0005-0000-0000-000026100000}"/>
    <cellStyle name="Comma 3 3 4 2 5" xfId="25721" xr:uid="{00000000-0005-0000-0000-000027100000}"/>
    <cellStyle name="Comma 3 3 4 3" xfId="2202" xr:uid="{00000000-0005-0000-0000-000028100000}"/>
    <cellStyle name="Comma 3 3 4 3 2" xfId="2203" xr:uid="{00000000-0005-0000-0000-000029100000}"/>
    <cellStyle name="Comma 3 3 4 3 2 2" xfId="2204" xr:uid="{00000000-0005-0000-0000-00002A100000}"/>
    <cellStyle name="Comma 3 3 4 3 2 2 2" xfId="2205" xr:uid="{00000000-0005-0000-0000-00002B100000}"/>
    <cellStyle name="Comma 3 3 4 3 2 2 2 2" xfId="25732" xr:uid="{00000000-0005-0000-0000-00002C100000}"/>
    <cellStyle name="Comma 3 3 4 3 2 2 3" xfId="25731" xr:uid="{00000000-0005-0000-0000-00002D100000}"/>
    <cellStyle name="Comma 3 3 4 3 2 3" xfId="2206" xr:uid="{00000000-0005-0000-0000-00002E100000}"/>
    <cellStyle name="Comma 3 3 4 3 2 3 2" xfId="25733" xr:uid="{00000000-0005-0000-0000-00002F100000}"/>
    <cellStyle name="Comma 3 3 4 3 2 4" xfId="25730" xr:uid="{00000000-0005-0000-0000-000030100000}"/>
    <cellStyle name="Comma 3 3 4 3 3" xfId="2207" xr:uid="{00000000-0005-0000-0000-000031100000}"/>
    <cellStyle name="Comma 3 3 4 3 3 2" xfId="2208" xr:uid="{00000000-0005-0000-0000-000032100000}"/>
    <cellStyle name="Comma 3 3 4 3 3 2 2" xfId="25735" xr:uid="{00000000-0005-0000-0000-000033100000}"/>
    <cellStyle name="Comma 3 3 4 3 3 3" xfId="25734" xr:uid="{00000000-0005-0000-0000-000034100000}"/>
    <cellStyle name="Comma 3 3 4 3 4" xfId="2209" xr:uid="{00000000-0005-0000-0000-000035100000}"/>
    <cellStyle name="Comma 3 3 4 3 4 2" xfId="25736" xr:uid="{00000000-0005-0000-0000-000036100000}"/>
    <cellStyle name="Comma 3 3 4 3 5" xfId="25729" xr:uid="{00000000-0005-0000-0000-000037100000}"/>
    <cellStyle name="Comma 3 3 4 4" xfId="2210" xr:uid="{00000000-0005-0000-0000-000038100000}"/>
    <cellStyle name="Comma 3 3 4 4 2" xfId="2211" xr:uid="{00000000-0005-0000-0000-000039100000}"/>
    <cellStyle name="Comma 3 3 4 4 2 2" xfId="2212" xr:uid="{00000000-0005-0000-0000-00003A100000}"/>
    <cellStyle name="Comma 3 3 4 4 2 2 2" xfId="25739" xr:uid="{00000000-0005-0000-0000-00003B100000}"/>
    <cellStyle name="Comma 3 3 4 4 2 3" xfId="25738" xr:uid="{00000000-0005-0000-0000-00003C100000}"/>
    <cellStyle name="Comma 3 3 4 4 3" xfId="2213" xr:uid="{00000000-0005-0000-0000-00003D100000}"/>
    <cellStyle name="Comma 3 3 4 4 3 2" xfId="25740" xr:uid="{00000000-0005-0000-0000-00003E100000}"/>
    <cellStyle name="Comma 3 3 4 4 4" xfId="25737" xr:uid="{00000000-0005-0000-0000-00003F100000}"/>
    <cellStyle name="Comma 3 3 4 5" xfId="2214" xr:uid="{00000000-0005-0000-0000-000040100000}"/>
    <cellStyle name="Comma 3 3 4 5 2" xfId="2215" xr:uid="{00000000-0005-0000-0000-000041100000}"/>
    <cellStyle name="Comma 3 3 4 5 2 2" xfId="25742" xr:uid="{00000000-0005-0000-0000-000042100000}"/>
    <cellStyle name="Comma 3 3 4 5 3" xfId="25741" xr:uid="{00000000-0005-0000-0000-000043100000}"/>
    <cellStyle name="Comma 3 3 4 6" xfId="2216" xr:uid="{00000000-0005-0000-0000-000044100000}"/>
    <cellStyle name="Comma 3 3 4 6 2" xfId="25743" xr:uid="{00000000-0005-0000-0000-000045100000}"/>
    <cellStyle name="Comma 3 3 4 7" xfId="25720" xr:uid="{00000000-0005-0000-0000-000046100000}"/>
    <cellStyle name="Comma 3 3 5" xfId="2217" xr:uid="{00000000-0005-0000-0000-000047100000}"/>
    <cellStyle name="Comma 3 3 5 2" xfId="2218" xr:uid="{00000000-0005-0000-0000-000048100000}"/>
    <cellStyle name="Comma 3 3 5 2 2" xfId="2219" xr:uid="{00000000-0005-0000-0000-000049100000}"/>
    <cellStyle name="Comma 3 3 5 2 2 2" xfId="2220" xr:uid="{00000000-0005-0000-0000-00004A100000}"/>
    <cellStyle name="Comma 3 3 5 2 2 2 2" xfId="2221" xr:uid="{00000000-0005-0000-0000-00004B100000}"/>
    <cellStyle name="Comma 3 3 5 2 2 2 2 2" xfId="25748" xr:uid="{00000000-0005-0000-0000-00004C100000}"/>
    <cellStyle name="Comma 3 3 5 2 2 2 3" xfId="25747" xr:uid="{00000000-0005-0000-0000-00004D100000}"/>
    <cellStyle name="Comma 3 3 5 2 2 3" xfId="2222" xr:uid="{00000000-0005-0000-0000-00004E100000}"/>
    <cellStyle name="Comma 3 3 5 2 2 3 2" xfId="25749" xr:uid="{00000000-0005-0000-0000-00004F100000}"/>
    <cellStyle name="Comma 3 3 5 2 2 4" xfId="25746" xr:uid="{00000000-0005-0000-0000-000050100000}"/>
    <cellStyle name="Comma 3 3 5 2 3" xfId="2223" xr:uid="{00000000-0005-0000-0000-000051100000}"/>
    <cellStyle name="Comma 3 3 5 2 3 2" xfId="2224" xr:uid="{00000000-0005-0000-0000-000052100000}"/>
    <cellStyle name="Comma 3 3 5 2 3 2 2" xfId="25751" xr:uid="{00000000-0005-0000-0000-000053100000}"/>
    <cellStyle name="Comma 3 3 5 2 3 3" xfId="25750" xr:uid="{00000000-0005-0000-0000-000054100000}"/>
    <cellStyle name="Comma 3 3 5 2 4" xfId="2225" xr:uid="{00000000-0005-0000-0000-000055100000}"/>
    <cellStyle name="Comma 3 3 5 2 4 2" xfId="25752" xr:uid="{00000000-0005-0000-0000-000056100000}"/>
    <cellStyle name="Comma 3 3 5 2 5" xfId="25745" xr:uid="{00000000-0005-0000-0000-000057100000}"/>
    <cellStyle name="Comma 3 3 5 3" xfId="2226" xr:uid="{00000000-0005-0000-0000-000058100000}"/>
    <cellStyle name="Comma 3 3 5 3 2" xfId="2227" xr:uid="{00000000-0005-0000-0000-000059100000}"/>
    <cellStyle name="Comma 3 3 5 3 2 2" xfId="2228" xr:uid="{00000000-0005-0000-0000-00005A100000}"/>
    <cellStyle name="Comma 3 3 5 3 2 2 2" xfId="2229" xr:uid="{00000000-0005-0000-0000-00005B100000}"/>
    <cellStyle name="Comma 3 3 5 3 2 2 2 2" xfId="25756" xr:uid="{00000000-0005-0000-0000-00005C100000}"/>
    <cellStyle name="Comma 3 3 5 3 2 2 3" xfId="25755" xr:uid="{00000000-0005-0000-0000-00005D100000}"/>
    <cellStyle name="Comma 3 3 5 3 2 3" xfId="2230" xr:uid="{00000000-0005-0000-0000-00005E100000}"/>
    <cellStyle name="Comma 3 3 5 3 2 3 2" xfId="25757" xr:uid="{00000000-0005-0000-0000-00005F100000}"/>
    <cellStyle name="Comma 3 3 5 3 2 4" xfId="25754" xr:uid="{00000000-0005-0000-0000-000060100000}"/>
    <cellStyle name="Comma 3 3 5 3 3" xfId="2231" xr:uid="{00000000-0005-0000-0000-000061100000}"/>
    <cellStyle name="Comma 3 3 5 3 3 2" xfId="2232" xr:uid="{00000000-0005-0000-0000-000062100000}"/>
    <cellStyle name="Comma 3 3 5 3 3 2 2" xfId="25759" xr:uid="{00000000-0005-0000-0000-000063100000}"/>
    <cellStyle name="Comma 3 3 5 3 3 3" xfId="25758" xr:uid="{00000000-0005-0000-0000-000064100000}"/>
    <cellStyle name="Comma 3 3 5 3 4" xfId="2233" xr:uid="{00000000-0005-0000-0000-000065100000}"/>
    <cellStyle name="Comma 3 3 5 3 4 2" xfId="25760" xr:uid="{00000000-0005-0000-0000-000066100000}"/>
    <cellStyle name="Comma 3 3 5 3 5" xfId="25753" xr:uid="{00000000-0005-0000-0000-000067100000}"/>
    <cellStyle name="Comma 3 3 5 4" xfId="2234" xr:uid="{00000000-0005-0000-0000-000068100000}"/>
    <cellStyle name="Comma 3 3 5 4 2" xfId="2235" xr:uid="{00000000-0005-0000-0000-000069100000}"/>
    <cellStyle name="Comma 3 3 5 4 2 2" xfId="2236" xr:uid="{00000000-0005-0000-0000-00006A100000}"/>
    <cellStyle name="Comma 3 3 5 4 2 2 2" xfId="25763" xr:uid="{00000000-0005-0000-0000-00006B100000}"/>
    <cellStyle name="Comma 3 3 5 4 2 3" xfId="25762" xr:uid="{00000000-0005-0000-0000-00006C100000}"/>
    <cellStyle name="Comma 3 3 5 4 3" xfId="2237" xr:uid="{00000000-0005-0000-0000-00006D100000}"/>
    <cellStyle name="Comma 3 3 5 4 3 2" xfId="25764" xr:uid="{00000000-0005-0000-0000-00006E100000}"/>
    <cellStyle name="Comma 3 3 5 4 4" xfId="25761" xr:uid="{00000000-0005-0000-0000-00006F100000}"/>
    <cellStyle name="Comma 3 3 5 5" xfId="2238" xr:uid="{00000000-0005-0000-0000-000070100000}"/>
    <cellStyle name="Comma 3 3 5 5 2" xfId="2239" xr:uid="{00000000-0005-0000-0000-000071100000}"/>
    <cellStyle name="Comma 3 3 5 5 2 2" xfId="25766" xr:uid="{00000000-0005-0000-0000-000072100000}"/>
    <cellStyle name="Comma 3 3 5 5 3" xfId="25765" xr:uid="{00000000-0005-0000-0000-000073100000}"/>
    <cellStyle name="Comma 3 3 5 6" xfId="2240" xr:uid="{00000000-0005-0000-0000-000074100000}"/>
    <cellStyle name="Comma 3 3 5 6 2" xfId="25767" xr:uid="{00000000-0005-0000-0000-000075100000}"/>
    <cellStyle name="Comma 3 3 5 7" xfId="25744" xr:uid="{00000000-0005-0000-0000-000076100000}"/>
    <cellStyle name="Comma 3 3 6" xfId="2241" xr:uid="{00000000-0005-0000-0000-000077100000}"/>
    <cellStyle name="Comma 3 3 6 2" xfId="2242" xr:uid="{00000000-0005-0000-0000-000078100000}"/>
    <cellStyle name="Comma 3 3 6 2 2" xfId="2243" xr:uid="{00000000-0005-0000-0000-000079100000}"/>
    <cellStyle name="Comma 3 3 6 2 2 2" xfId="2244" xr:uid="{00000000-0005-0000-0000-00007A100000}"/>
    <cellStyle name="Comma 3 3 6 2 2 2 2" xfId="2245" xr:uid="{00000000-0005-0000-0000-00007B100000}"/>
    <cellStyle name="Comma 3 3 6 2 2 2 2 2" xfId="25772" xr:uid="{00000000-0005-0000-0000-00007C100000}"/>
    <cellStyle name="Comma 3 3 6 2 2 2 3" xfId="25771" xr:uid="{00000000-0005-0000-0000-00007D100000}"/>
    <cellStyle name="Comma 3 3 6 2 2 3" xfId="2246" xr:uid="{00000000-0005-0000-0000-00007E100000}"/>
    <cellStyle name="Comma 3 3 6 2 2 3 2" xfId="25773" xr:uid="{00000000-0005-0000-0000-00007F100000}"/>
    <cellStyle name="Comma 3 3 6 2 2 4" xfId="25770" xr:uid="{00000000-0005-0000-0000-000080100000}"/>
    <cellStyle name="Comma 3 3 6 2 3" xfId="2247" xr:uid="{00000000-0005-0000-0000-000081100000}"/>
    <cellStyle name="Comma 3 3 6 2 3 2" xfId="2248" xr:uid="{00000000-0005-0000-0000-000082100000}"/>
    <cellStyle name="Comma 3 3 6 2 3 2 2" xfId="25775" xr:uid="{00000000-0005-0000-0000-000083100000}"/>
    <cellStyle name="Comma 3 3 6 2 3 3" xfId="25774" xr:uid="{00000000-0005-0000-0000-000084100000}"/>
    <cellStyle name="Comma 3 3 6 2 4" xfId="2249" xr:uid="{00000000-0005-0000-0000-000085100000}"/>
    <cellStyle name="Comma 3 3 6 2 4 2" xfId="25776" xr:uid="{00000000-0005-0000-0000-000086100000}"/>
    <cellStyle name="Comma 3 3 6 2 5" xfId="25769" xr:uid="{00000000-0005-0000-0000-000087100000}"/>
    <cellStyle name="Comma 3 3 6 3" xfId="2250" xr:uid="{00000000-0005-0000-0000-000088100000}"/>
    <cellStyle name="Comma 3 3 6 3 2" xfId="2251" xr:uid="{00000000-0005-0000-0000-000089100000}"/>
    <cellStyle name="Comma 3 3 6 3 2 2" xfId="2252" xr:uid="{00000000-0005-0000-0000-00008A100000}"/>
    <cellStyle name="Comma 3 3 6 3 2 2 2" xfId="2253" xr:uid="{00000000-0005-0000-0000-00008B100000}"/>
    <cellStyle name="Comma 3 3 6 3 2 2 2 2" xfId="25780" xr:uid="{00000000-0005-0000-0000-00008C100000}"/>
    <cellStyle name="Comma 3 3 6 3 2 2 3" xfId="25779" xr:uid="{00000000-0005-0000-0000-00008D100000}"/>
    <cellStyle name="Comma 3 3 6 3 2 3" xfId="2254" xr:uid="{00000000-0005-0000-0000-00008E100000}"/>
    <cellStyle name="Comma 3 3 6 3 2 3 2" xfId="25781" xr:uid="{00000000-0005-0000-0000-00008F100000}"/>
    <cellStyle name="Comma 3 3 6 3 2 4" xfId="25778" xr:uid="{00000000-0005-0000-0000-000090100000}"/>
    <cellStyle name="Comma 3 3 6 3 3" xfId="2255" xr:uid="{00000000-0005-0000-0000-000091100000}"/>
    <cellStyle name="Comma 3 3 6 3 3 2" xfId="2256" xr:uid="{00000000-0005-0000-0000-000092100000}"/>
    <cellStyle name="Comma 3 3 6 3 3 2 2" xfId="25783" xr:uid="{00000000-0005-0000-0000-000093100000}"/>
    <cellStyle name="Comma 3 3 6 3 3 3" xfId="25782" xr:uid="{00000000-0005-0000-0000-000094100000}"/>
    <cellStyle name="Comma 3 3 6 3 4" xfId="2257" xr:uid="{00000000-0005-0000-0000-000095100000}"/>
    <cellStyle name="Comma 3 3 6 3 4 2" xfId="25784" xr:uid="{00000000-0005-0000-0000-000096100000}"/>
    <cellStyle name="Comma 3 3 6 3 5" xfId="25777" xr:uid="{00000000-0005-0000-0000-000097100000}"/>
    <cellStyle name="Comma 3 3 6 4" xfId="2258" xr:uid="{00000000-0005-0000-0000-000098100000}"/>
    <cellStyle name="Comma 3 3 6 4 2" xfId="2259" xr:uid="{00000000-0005-0000-0000-000099100000}"/>
    <cellStyle name="Comma 3 3 6 4 2 2" xfId="2260" xr:uid="{00000000-0005-0000-0000-00009A100000}"/>
    <cellStyle name="Comma 3 3 6 4 2 2 2" xfId="25787" xr:uid="{00000000-0005-0000-0000-00009B100000}"/>
    <cellStyle name="Comma 3 3 6 4 2 3" xfId="25786" xr:uid="{00000000-0005-0000-0000-00009C100000}"/>
    <cellStyle name="Comma 3 3 6 4 3" xfId="2261" xr:uid="{00000000-0005-0000-0000-00009D100000}"/>
    <cellStyle name="Comma 3 3 6 4 3 2" xfId="25788" xr:uid="{00000000-0005-0000-0000-00009E100000}"/>
    <cellStyle name="Comma 3 3 6 4 4" xfId="25785" xr:uid="{00000000-0005-0000-0000-00009F100000}"/>
    <cellStyle name="Comma 3 3 6 5" xfId="2262" xr:uid="{00000000-0005-0000-0000-0000A0100000}"/>
    <cellStyle name="Comma 3 3 6 5 2" xfId="2263" xr:uid="{00000000-0005-0000-0000-0000A1100000}"/>
    <cellStyle name="Comma 3 3 6 5 2 2" xfId="25790" xr:uid="{00000000-0005-0000-0000-0000A2100000}"/>
    <cellStyle name="Comma 3 3 6 5 3" xfId="25789" xr:uid="{00000000-0005-0000-0000-0000A3100000}"/>
    <cellStyle name="Comma 3 3 6 6" xfId="2264" xr:uid="{00000000-0005-0000-0000-0000A4100000}"/>
    <cellStyle name="Comma 3 3 6 6 2" xfId="25791" xr:uid="{00000000-0005-0000-0000-0000A5100000}"/>
    <cellStyle name="Comma 3 3 6 7" xfId="25768" xr:uid="{00000000-0005-0000-0000-0000A6100000}"/>
    <cellStyle name="Comma 3 3 7" xfId="2265" xr:uid="{00000000-0005-0000-0000-0000A7100000}"/>
    <cellStyle name="Comma 3 3 7 2" xfId="2266" xr:uid="{00000000-0005-0000-0000-0000A8100000}"/>
    <cellStyle name="Comma 3 3 7 2 2" xfId="2267" xr:uid="{00000000-0005-0000-0000-0000A9100000}"/>
    <cellStyle name="Comma 3 3 7 2 2 2" xfId="2268" xr:uid="{00000000-0005-0000-0000-0000AA100000}"/>
    <cellStyle name="Comma 3 3 7 2 2 2 2" xfId="2269" xr:uid="{00000000-0005-0000-0000-0000AB100000}"/>
    <cellStyle name="Comma 3 3 7 2 2 2 2 2" xfId="25796" xr:uid="{00000000-0005-0000-0000-0000AC100000}"/>
    <cellStyle name="Comma 3 3 7 2 2 2 3" xfId="25795" xr:uid="{00000000-0005-0000-0000-0000AD100000}"/>
    <cellStyle name="Comma 3 3 7 2 2 3" xfId="2270" xr:uid="{00000000-0005-0000-0000-0000AE100000}"/>
    <cellStyle name="Comma 3 3 7 2 2 3 2" xfId="25797" xr:uid="{00000000-0005-0000-0000-0000AF100000}"/>
    <cellStyle name="Comma 3 3 7 2 2 4" xfId="25794" xr:uid="{00000000-0005-0000-0000-0000B0100000}"/>
    <cellStyle name="Comma 3 3 7 2 3" xfId="2271" xr:uid="{00000000-0005-0000-0000-0000B1100000}"/>
    <cellStyle name="Comma 3 3 7 2 3 2" xfId="2272" xr:uid="{00000000-0005-0000-0000-0000B2100000}"/>
    <cellStyle name="Comma 3 3 7 2 3 2 2" xfId="25799" xr:uid="{00000000-0005-0000-0000-0000B3100000}"/>
    <cellStyle name="Comma 3 3 7 2 3 3" xfId="25798" xr:uid="{00000000-0005-0000-0000-0000B4100000}"/>
    <cellStyle name="Comma 3 3 7 2 4" xfId="2273" xr:uid="{00000000-0005-0000-0000-0000B5100000}"/>
    <cellStyle name="Comma 3 3 7 2 4 2" xfId="25800" xr:uid="{00000000-0005-0000-0000-0000B6100000}"/>
    <cellStyle name="Comma 3 3 7 2 5" xfId="25793" xr:uid="{00000000-0005-0000-0000-0000B7100000}"/>
    <cellStyle name="Comma 3 3 7 3" xfId="2274" xr:uid="{00000000-0005-0000-0000-0000B8100000}"/>
    <cellStyle name="Comma 3 3 7 3 2" xfId="2275" xr:uid="{00000000-0005-0000-0000-0000B9100000}"/>
    <cellStyle name="Comma 3 3 7 3 2 2" xfId="2276" xr:uid="{00000000-0005-0000-0000-0000BA100000}"/>
    <cellStyle name="Comma 3 3 7 3 2 2 2" xfId="2277" xr:uid="{00000000-0005-0000-0000-0000BB100000}"/>
    <cellStyle name="Comma 3 3 7 3 2 2 2 2" xfId="25804" xr:uid="{00000000-0005-0000-0000-0000BC100000}"/>
    <cellStyle name="Comma 3 3 7 3 2 2 3" xfId="25803" xr:uid="{00000000-0005-0000-0000-0000BD100000}"/>
    <cellStyle name="Comma 3 3 7 3 2 3" xfId="2278" xr:uid="{00000000-0005-0000-0000-0000BE100000}"/>
    <cellStyle name="Comma 3 3 7 3 2 3 2" xfId="25805" xr:uid="{00000000-0005-0000-0000-0000BF100000}"/>
    <cellStyle name="Comma 3 3 7 3 2 4" xfId="25802" xr:uid="{00000000-0005-0000-0000-0000C0100000}"/>
    <cellStyle name="Comma 3 3 7 3 3" xfId="2279" xr:uid="{00000000-0005-0000-0000-0000C1100000}"/>
    <cellStyle name="Comma 3 3 7 3 3 2" xfId="2280" xr:uid="{00000000-0005-0000-0000-0000C2100000}"/>
    <cellStyle name="Comma 3 3 7 3 3 2 2" xfId="25807" xr:uid="{00000000-0005-0000-0000-0000C3100000}"/>
    <cellStyle name="Comma 3 3 7 3 3 3" xfId="25806" xr:uid="{00000000-0005-0000-0000-0000C4100000}"/>
    <cellStyle name="Comma 3 3 7 3 4" xfId="2281" xr:uid="{00000000-0005-0000-0000-0000C5100000}"/>
    <cellStyle name="Comma 3 3 7 3 4 2" xfId="25808" xr:uid="{00000000-0005-0000-0000-0000C6100000}"/>
    <cellStyle name="Comma 3 3 7 3 5" xfId="25801" xr:uid="{00000000-0005-0000-0000-0000C7100000}"/>
    <cellStyle name="Comma 3 3 7 4" xfId="2282" xr:uid="{00000000-0005-0000-0000-0000C8100000}"/>
    <cellStyle name="Comma 3 3 7 4 2" xfId="2283" xr:uid="{00000000-0005-0000-0000-0000C9100000}"/>
    <cellStyle name="Comma 3 3 7 4 2 2" xfId="2284" xr:uid="{00000000-0005-0000-0000-0000CA100000}"/>
    <cellStyle name="Comma 3 3 7 4 2 2 2" xfId="25811" xr:uid="{00000000-0005-0000-0000-0000CB100000}"/>
    <cellStyle name="Comma 3 3 7 4 2 3" xfId="25810" xr:uid="{00000000-0005-0000-0000-0000CC100000}"/>
    <cellStyle name="Comma 3 3 7 4 3" xfId="2285" xr:uid="{00000000-0005-0000-0000-0000CD100000}"/>
    <cellStyle name="Comma 3 3 7 4 3 2" xfId="25812" xr:uid="{00000000-0005-0000-0000-0000CE100000}"/>
    <cellStyle name="Comma 3 3 7 4 4" xfId="25809" xr:uid="{00000000-0005-0000-0000-0000CF100000}"/>
    <cellStyle name="Comma 3 3 7 5" xfId="2286" xr:uid="{00000000-0005-0000-0000-0000D0100000}"/>
    <cellStyle name="Comma 3 3 7 5 2" xfId="2287" xr:uid="{00000000-0005-0000-0000-0000D1100000}"/>
    <cellStyle name="Comma 3 3 7 5 2 2" xfId="25814" xr:uid="{00000000-0005-0000-0000-0000D2100000}"/>
    <cellStyle name="Comma 3 3 7 5 3" xfId="25813" xr:uid="{00000000-0005-0000-0000-0000D3100000}"/>
    <cellStyle name="Comma 3 3 7 6" xfId="2288" xr:uid="{00000000-0005-0000-0000-0000D4100000}"/>
    <cellStyle name="Comma 3 3 7 6 2" xfId="25815" xr:uid="{00000000-0005-0000-0000-0000D5100000}"/>
    <cellStyle name="Comma 3 3 7 7" xfId="25792" xr:uid="{00000000-0005-0000-0000-0000D6100000}"/>
    <cellStyle name="Comma 3 3 8" xfId="2289" xr:uid="{00000000-0005-0000-0000-0000D7100000}"/>
    <cellStyle name="Comma 3 3 8 2" xfId="2290" xr:uid="{00000000-0005-0000-0000-0000D8100000}"/>
    <cellStyle name="Comma 3 3 8 2 2" xfId="2291" xr:uid="{00000000-0005-0000-0000-0000D9100000}"/>
    <cellStyle name="Comma 3 3 8 2 2 2" xfId="2292" xr:uid="{00000000-0005-0000-0000-0000DA100000}"/>
    <cellStyle name="Comma 3 3 8 2 2 2 2" xfId="25819" xr:uid="{00000000-0005-0000-0000-0000DB100000}"/>
    <cellStyle name="Comma 3 3 8 2 2 3" xfId="25818" xr:uid="{00000000-0005-0000-0000-0000DC100000}"/>
    <cellStyle name="Comma 3 3 8 2 3" xfId="2293" xr:uid="{00000000-0005-0000-0000-0000DD100000}"/>
    <cellStyle name="Comma 3 3 8 2 3 2" xfId="25820" xr:uid="{00000000-0005-0000-0000-0000DE100000}"/>
    <cellStyle name="Comma 3 3 8 2 4" xfId="25817" xr:uid="{00000000-0005-0000-0000-0000DF100000}"/>
    <cellStyle name="Comma 3 3 8 3" xfId="2294" xr:uid="{00000000-0005-0000-0000-0000E0100000}"/>
    <cellStyle name="Comma 3 3 8 3 2" xfId="2295" xr:uid="{00000000-0005-0000-0000-0000E1100000}"/>
    <cellStyle name="Comma 3 3 8 3 2 2" xfId="25822" xr:uid="{00000000-0005-0000-0000-0000E2100000}"/>
    <cellStyle name="Comma 3 3 8 3 3" xfId="25821" xr:uid="{00000000-0005-0000-0000-0000E3100000}"/>
    <cellStyle name="Comma 3 3 8 4" xfId="2296" xr:uid="{00000000-0005-0000-0000-0000E4100000}"/>
    <cellStyle name="Comma 3 3 8 4 2" xfId="25823" xr:uid="{00000000-0005-0000-0000-0000E5100000}"/>
    <cellStyle name="Comma 3 3 8 5" xfId="25816" xr:uid="{00000000-0005-0000-0000-0000E6100000}"/>
    <cellStyle name="Comma 3 3 9" xfId="2297" xr:uid="{00000000-0005-0000-0000-0000E7100000}"/>
    <cellStyle name="Comma 3 3 9 2" xfId="2298" xr:uid="{00000000-0005-0000-0000-0000E8100000}"/>
    <cellStyle name="Comma 3 3 9 2 2" xfId="2299" xr:uid="{00000000-0005-0000-0000-0000E9100000}"/>
    <cellStyle name="Comma 3 3 9 2 2 2" xfId="2300" xr:uid="{00000000-0005-0000-0000-0000EA100000}"/>
    <cellStyle name="Comma 3 3 9 2 2 2 2" xfId="25827" xr:uid="{00000000-0005-0000-0000-0000EB100000}"/>
    <cellStyle name="Comma 3 3 9 2 2 3" xfId="25826" xr:uid="{00000000-0005-0000-0000-0000EC100000}"/>
    <cellStyle name="Comma 3 3 9 2 3" xfId="2301" xr:uid="{00000000-0005-0000-0000-0000ED100000}"/>
    <cellStyle name="Comma 3 3 9 2 3 2" xfId="25828" xr:uid="{00000000-0005-0000-0000-0000EE100000}"/>
    <cellStyle name="Comma 3 3 9 2 4" xfId="25825" xr:uid="{00000000-0005-0000-0000-0000EF100000}"/>
    <cellStyle name="Comma 3 3 9 3" xfId="2302" xr:uid="{00000000-0005-0000-0000-0000F0100000}"/>
    <cellStyle name="Comma 3 3 9 3 2" xfId="2303" xr:uid="{00000000-0005-0000-0000-0000F1100000}"/>
    <cellStyle name="Comma 3 3 9 3 2 2" xfId="25830" xr:uid="{00000000-0005-0000-0000-0000F2100000}"/>
    <cellStyle name="Comma 3 3 9 3 3" xfId="25829" xr:uid="{00000000-0005-0000-0000-0000F3100000}"/>
    <cellStyle name="Comma 3 3 9 4" xfId="2304" xr:uid="{00000000-0005-0000-0000-0000F4100000}"/>
    <cellStyle name="Comma 3 3 9 4 2" xfId="25831" xr:uid="{00000000-0005-0000-0000-0000F5100000}"/>
    <cellStyle name="Comma 3 3 9 5" xfId="25824" xr:uid="{00000000-0005-0000-0000-0000F6100000}"/>
    <cellStyle name="Comma 3 4" xfId="40" xr:uid="{00000000-0005-0000-0000-0000F7100000}"/>
    <cellStyle name="Comma 3 4 10" xfId="2305" xr:uid="{00000000-0005-0000-0000-0000F8100000}"/>
    <cellStyle name="Comma 3 4 10 2" xfId="25832" xr:uid="{00000000-0005-0000-0000-0000F9100000}"/>
    <cellStyle name="Comma 3 4 2" xfId="2306" xr:uid="{00000000-0005-0000-0000-0000FA100000}"/>
    <cellStyle name="Comma 3 4 2 2" xfId="2307" xr:uid="{00000000-0005-0000-0000-0000FB100000}"/>
    <cellStyle name="Comma 3 4 2 2 2" xfId="2308" xr:uid="{00000000-0005-0000-0000-0000FC100000}"/>
    <cellStyle name="Comma 3 4 2 2 2 2" xfId="2309" xr:uid="{00000000-0005-0000-0000-0000FD100000}"/>
    <cellStyle name="Comma 3 4 2 2 2 2 2" xfId="2310" xr:uid="{00000000-0005-0000-0000-0000FE100000}"/>
    <cellStyle name="Comma 3 4 2 2 2 2 2 2" xfId="25837" xr:uid="{00000000-0005-0000-0000-0000FF100000}"/>
    <cellStyle name="Comma 3 4 2 2 2 2 3" xfId="25836" xr:uid="{00000000-0005-0000-0000-000000110000}"/>
    <cellStyle name="Comma 3 4 2 2 2 3" xfId="2311" xr:uid="{00000000-0005-0000-0000-000001110000}"/>
    <cellStyle name="Comma 3 4 2 2 2 3 2" xfId="25838" xr:uid="{00000000-0005-0000-0000-000002110000}"/>
    <cellStyle name="Comma 3 4 2 2 2 4" xfId="25835" xr:uid="{00000000-0005-0000-0000-000003110000}"/>
    <cellStyle name="Comma 3 4 2 2 3" xfId="2312" xr:uid="{00000000-0005-0000-0000-000004110000}"/>
    <cellStyle name="Comma 3 4 2 2 3 2" xfId="2313" xr:uid="{00000000-0005-0000-0000-000005110000}"/>
    <cellStyle name="Comma 3 4 2 2 3 2 2" xfId="25840" xr:uid="{00000000-0005-0000-0000-000006110000}"/>
    <cellStyle name="Comma 3 4 2 2 3 3" xfId="25839" xr:uid="{00000000-0005-0000-0000-000007110000}"/>
    <cellStyle name="Comma 3 4 2 2 4" xfId="2314" xr:uid="{00000000-0005-0000-0000-000008110000}"/>
    <cellStyle name="Comma 3 4 2 2 4 2" xfId="25841" xr:uid="{00000000-0005-0000-0000-000009110000}"/>
    <cellStyle name="Comma 3 4 2 2 5" xfId="25834" xr:uid="{00000000-0005-0000-0000-00000A110000}"/>
    <cellStyle name="Comma 3 4 2 3" xfId="2315" xr:uid="{00000000-0005-0000-0000-00000B110000}"/>
    <cellStyle name="Comma 3 4 2 3 2" xfId="2316" xr:uid="{00000000-0005-0000-0000-00000C110000}"/>
    <cellStyle name="Comma 3 4 2 3 2 2" xfId="2317" xr:uid="{00000000-0005-0000-0000-00000D110000}"/>
    <cellStyle name="Comma 3 4 2 3 2 2 2" xfId="2318" xr:uid="{00000000-0005-0000-0000-00000E110000}"/>
    <cellStyle name="Comma 3 4 2 3 2 2 2 2" xfId="25845" xr:uid="{00000000-0005-0000-0000-00000F110000}"/>
    <cellStyle name="Comma 3 4 2 3 2 2 3" xfId="25844" xr:uid="{00000000-0005-0000-0000-000010110000}"/>
    <cellStyle name="Comma 3 4 2 3 2 3" xfId="2319" xr:uid="{00000000-0005-0000-0000-000011110000}"/>
    <cellStyle name="Comma 3 4 2 3 2 3 2" xfId="25846" xr:uid="{00000000-0005-0000-0000-000012110000}"/>
    <cellStyle name="Comma 3 4 2 3 2 4" xfId="25843" xr:uid="{00000000-0005-0000-0000-000013110000}"/>
    <cellStyle name="Comma 3 4 2 3 3" xfId="2320" xr:uid="{00000000-0005-0000-0000-000014110000}"/>
    <cellStyle name="Comma 3 4 2 3 3 2" xfId="2321" xr:uid="{00000000-0005-0000-0000-000015110000}"/>
    <cellStyle name="Comma 3 4 2 3 3 2 2" xfId="25848" xr:uid="{00000000-0005-0000-0000-000016110000}"/>
    <cellStyle name="Comma 3 4 2 3 3 3" xfId="25847" xr:uid="{00000000-0005-0000-0000-000017110000}"/>
    <cellStyle name="Comma 3 4 2 3 4" xfId="2322" xr:uid="{00000000-0005-0000-0000-000018110000}"/>
    <cellStyle name="Comma 3 4 2 3 4 2" xfId="25849" xr:uid="{00000000-0005-0000-0000-000019110000}"/>
    <cellStyle name="Comma 3 4 2 3 5" xfId="25842" xr:uid="{00000000-0005-0000-0000-00001A110000}"/>
    <cellStyle name="Comma 3 4 2 4" xfId="2323" xr:uid="{00000000-0005-0000-0000-00001B110000}"/>
    <cellStyle name="Comma 3 4 2 4 2" xfId="2324" xr:uid="{00000000-0005-0000-0000-00001C110000}"/>
    <cellStyle name="Comma 3 4 2 4 2 2" xfId="2325" xr:uid="{00000000-0005-0000-0000-00001D110000}"/>
    <cellStyle name="Comma 3 4 2 4 2 2 2" xfId="25852" xr:uid="{00000000-0005-0000-0000-00001E110000}"/>
    <cellStyle name="Comma 3 4 2 4 2 3" xfId="25851" xr:uid="{00000000-0005-0000-0000-00001F110000}"/>
    <cellStyle name="Comma 3 4 2 4 3" xfId="2326" xr:uid="{00000000-0005-0000-0000-000020110000}"/>
    <cellStyle name="Comma 3 4 2 4 3 2" xfId="25853" xr:uid="{00000000-0005-0000-0000-000021110000}"/>
    <cellStyle name="Comma 3 4 2 4 4" xfId="25850" xr:uid="{00000000-0005-0000-0000-000022110000}"/>
    <cellStyle name="Comma 3 4 2 5" xfId="2327" xr:uid="{00000000-0005-0000-0000-000023110000}"/>
    <cellStyle name="Comma 3 4 2 5 2" xfId="2328" xr:uid="{00000000-0005-0000-0000-000024110000}"/>
    <cellStyle name="Comma 3 4 2 5 2 2" xfId="25855" xr:uid="{00000000-0005-0000-0000-000025110000}"/>
    <cellStyle name="Comma 3 4 2 5 3" xfId="25854" xr:uid="{00000000-0005-0000-0000-000026110000}"/>
    <cellStyle name="Comma 3 4 2 6" xfId="2329" xr:uid="{00000000-0005-0000-0000-000027110000}"/>
    <cellStyle name="Comma 3 4 2 6 2" xfId="25856" xr:uid="{00000000-0005-0000-0000-000028110000}"/>
    <cellStyle name="Comma 3 4 2 7" xfId="25833" xr:uid="{00000000-0005-0000-0000-000029110000}"/>
    <cellStyle name="Comma 3 4 3" xfId="2330" xr:uid="{00000000-0005-0000-0000-00002A110000}"/>
    <cellStyle name="Comma 3 4 3 2" xfId="2331" xr:uid="{00000000-0005-0000-0000-00002B110000}"/>
    <cellStyle name="Comma 3 4 3 2 2" xfId="2332" xr:uid="{00000000-0005-0000-0000-00002C110000}"/>
    <cellStyle name="Comma 3 4 3 2 2 2" xfId="2333" xr:uid="{00000000-0005-0000-0000-00002D110000}"/>
    <cellStyle name="Comma 3 4 3 2 2 2 2" xfId="2334" xr:uid="{00000000-0005-0000-0000-00002E110000}"/>
    <cellStyle name="Comma 3 4 3 2 2 2 2 2" xfId="25861" xr:uid="{00000000-0005-0000-0000-00002F110000}"/>
    <cellStyle name="Comma 3 4 3 2 2 2 3" xfId="25860" xr:uid="{00000000-0005-0000-0000-000030110000}"/>
    <cellStyle name="Comma 3 4 3 2 2 3" xfId="2335" xr:uid="{00000000-0005-0000-0000-000031110000}"/>
    <cellStyle name="Comma 3 4 3 2 2 3 2" xfId="25862" xr:uid="{00000000-0005-0000-0000-000032110000}"/>
    <cellStyle name="Comma 3 4 3 2 2 4" xfId="25859" xr:uid="{00000000-0005-0000-0000-000033110000}"/>
    <cellStyle name="Comma 3 4 3 2 3" xfId="2336" xr:uid="{00000000-0005-0000-0000-000034110000}"/>
    <cellStyle name="Comma 3 4 3 2 3 2" xfId="2337" xr:uid="{00000000-0005-0000-0000-000035110000}"/>
    <cellStyle name="Comma 3 4 3 2 3 2 2" xfId="25864" xr:uid="{00000000-0005-0000-0000-000036110000}"/>
    <cellStyle name="Comma 3 4 3 2 3 3" xfId="25863" xr:uid="{00000000-0005-0000-0000-000037110000}"/>
    <cellStyle name="Comma 3 4 3 2 4" xfId="2338" xr:uid="{00000000-0005-0000-0000-000038110000}"/>
    <cellStyle name="Comma 3 4 3 2 4 2" xfId="25865" xr:uid="{00000000-0005-0000-0000-000039110000}"/>
    <cellStyle name="Comma 3 4 3 2 5" xfId="25858" xr:uid="{00000000-0005-0000-0000-00003A110000}"/>
    <cellStyle name="Comma 3 4 3 3" xfId="2339" xr:uid="{00000000-0005-0000-0000-00003B110000}"/>
    <cellStyle name="Comma 3 4 3 3 2" xfId="2340" xr:uid="{00000000-0005-0000-0000-00003C110000}"/>
    <cellStyle name="Comma 3 4 3 3 2 2" xfId="2341" xr:uid="{00000000-0005-0000-0000-00003D110000}"/>
    <cellStyle name="Comma 3 4 3 3 2 2 2" xfId="2342" xr:uid="{00000000-0005-0000-0000-00003E110000}"/>
    <cellStyle name="Comma 3 4 3 3 2 2 2 2" xfId="25869" xr:uid="{00000000-0005-0000-0000-00003F110000}"/>
    <cellStyle name="Comma 3 4 3 3 2 2 3" xfId="25868" xr:uid="{00000000-0005-0000-0000-000040110000}"/>
    <cellStyle name="Comma 3 4 3 3 2 3" xfId="2343" xr:uid="{00000000-0005-0000-0000-000041110000}"/>
    <cellStyle name="Comma 3 4 3 3 2 3 2" xfId="25870" xr:uid="{00000000-0005-0000-0000-000042110000}"/>
    <cellStyle name="Comma 3 4 3 3 2 4" xfId="25867" xr:uid="{00000000-0005-0000-0000-000043110000}"/>
    <cellStyle name="Comma 3 4 3 3 3" xfId="2344" xr:uid="{00000000-0005-0000-0000-000044110000}"/>
    <cellStyle name="Comma 3 4 3 3 3 2" xfId="2345" xr:uid="{00000000-0005-0000-0000-000045110000}"/>
    <cellStyle name="Comma 3 4 3 3 3 2 2" xfId="25872" xr:uid="{00000000-0005-0000-0000-000046110000}"/>
    <cellStyle name="Comma 3 4 3 3 3 3" xfId="25871" xr:uid="{00000000-0005-0000-0000-000047110000}"/>
    <cellStyle name="Comma 3 4 3 3 4" xfId="2346" xr:uid="{00000000-0005-0000-0000-000048110000}"/>
    <cellStyle name="Comma 3 4 3 3 4 2" xfId="25873" xr:uid="{00000000-0005-0000-0000-000049110000}"/>
    <cellStyle name="Comma 3 4 3 3 5" xfId="25866" xr:uid="{00000000-0005-0000-0000-00004A110000}"/>
    <cellStyle name="Comma 3 4 3 4" xfId="2347" xr:uid="{00000000-0005-0000-0000-00004B110000}"/>
    <cellStyle name="Comma 3 4 3 4 2" xfId="2348" xr:uid="{00000000-0005-0000-0000-00004C110000}"/>
    <cellStyle name="Comma 3 4 3 4 2 2" xfId="2349" xr:uid="{00000000-0005-0000-0000-00004D110000}"/>
    <cellStyle name="Comma 3 4 3 4 2 2 2" xfId="25876" xr:uid="{00000000-0005-0000-0000-00004E110000}"/>
    <cellStyle name="Comma 3 4 3 4 2 3" xfId="25875" xr:uid="{00000000-0005-0000-0000-00004F110000}"/>
    <cellStyle name="Comma 3 4 3 4 3" xfId="2350" xr:uid="{00000000-0005-0000-0000-000050110000}"/>
    <cellStyle name="Comma 3 4 3 4 3 2" xfId="25877" xr:uid="{00000000-0005-0000-0000-000051110000}"/>
    <cellStyle name="Comma 3 4 3 4 4" xfId="25874" xr:uid="{00000000-0005-0000-0000-000052110000}"/>
    <cellStyle name="Comma 3 4 3 5" xfId="2351" xr:uid="{00000000-0005-0000-0000-000053110000}"/>
    <cellStyle name="Comma 3 4 3 5 2" xfId="2352" xr:uid="{00000000-0005-0000-0000-000054110000}"/>
    <cellStyle name="Comma 3 4 3 5 2 2" xfId="25879" xr:uid="{00000000-0005-0000-0000-000055110000}"/>
    <cellStyle name="Comma 3 4 3 5 3" xfId="25878" xr:uid="{00000000-0005-0000-0000-000056110000}"/>
    <cellStyle name="Comma 3 4 3 6" xfId="2353" xr:uid="{00000000-0005-0000-0000-000057110000}"/>
    <cellStyle name="Comma 3 4 3 6 2" xfId="25880" xr:uid="{00000000-0005-0000-0000-000058110000}"/>
    <cellStyle name="Comma 3 4 3 7" xfId="25857" xr:uid="{00000000-0005-0000-0000-000059110000}"/>
    <cellStyle name="Comma 3 4 4" xfId="2354" xr:uid="{00000000-0005-0000-0000-00005A110000}"/>
    <cellStyle name="Comma 3 4 4 2" xfId="2355" xr:uid="{00000000-0005-0000-0000-00005B110000}"/>
    <cellStyle name="Comma 3 4 4 2 2" xfId="2356" xr:uid="{00000000-0005-0000-0000-00005C110000}"/>
    <cellStyle name="Comma 3 4 4 2 2 2" xfId="2357" xr:uid="{00000000-0005-0000-0000-00005D110000}"/>
    <cellStyle name="Comma 3 4 4 2 2 2 2" xfId="2358" xr:uid="{00000000-0005-0000-0000-00005E110000}"/>
    <cellStyle name="Comma 3 4 4 2 2 2 2 2" xfId="25885" xr:uid="{00000000-0005-0000-0000-00005F110000}"/>
    <cellStyle name="Comma 3 4 4 2 2 2 3" xfId="25884" xr:uid="{00000000-0005-0000-0000-000060110000}"/>
    <cellStyle name="Comma 3 4 4 2 2 3" xfId="2359" xr:uid="{00000000-0005-0000-0000-000061110000}"/>
    <cellStyle name="Comma 3 4 4 2 2 3 2" xfId="25886" xr:uid="{00000000-0005-0000-0000-000062110000}"/>
    <cellStyle name="Comma 3 4 4 2 2 4" xfId="25883" xr:uid="{00000000-0005-0000-0000-000063110000}"/>
    <cellStyle name="Comma 3 4 4 2 3" xfId="2360" xr:uid="{00000000-0005-0000-0000-000064110000}"/>
    <cellStyle name="Comma 3 4 4 2 3 2" xfId="2361" xr:uid="{00000000-0005-0000-0000-000065110000}"/>
    <cellStyle name="Comma 3 4 4 2 3 2 2" xfId="25888" xr:uid="{00000000-0005-0000-0000-000066110000}"/>
    <cellStyle name="Comma 3 4 4 2 3 3" xfId="25887" xr:uid="{00000000-0005-0000-0000-000067110000}"/>
    <cellStyle name="Comma 3 4 4 2 4" xfId="2362" xr:uid="{00000000-0005-0000-0000-000068110000}"/>
    <cellStyle name="Comma 3 4 4 2 4 2" xfId="25889" xr:uid="{00000000-0005-0000-0000-000069110000}"/>
    <cellStyle name="Comma 3 4 4 2 5" xfId="25882" xr:uid="{00000000-0005-0000-0000-00006A110000}"/>
    <cellStyle name="Comma 3 4 4 3" xfId="2363" xr:uid="{00000000-0005-0000-0000-00006B110000}"/>
    <cellStyle name="Comma 3 4 4 3 2" xfId="2364" xr:uid="{00000000-0005-0000-0000-00006C110000}"/>
    <cellStyle name="Comma 3 4 4 3 2 2" xfId="2365" xr:uid="{00000000-0005-0000-0000-00006D110000}"/>
    <cellStyle name="Comma 3 4 4 3 2 2 2" xfId="2366" xr:uid="{00000000-0005-0000-0000-00006E110000}"/>
    <cellStyle name="Comma 3 4 4 3 2 2 2 2" xfId="25893" xr:uid="{00000000-0005-0000-0000-00006F110000}"/>
    <cellStyle name="Comma 3 4 4 3 2 2 3" xfId="25892" xr:uid="{00000000-0005-0000-0000-000070110000}"/>
    <cellStyle name="Comma 3 4 4 3 2 3" xfId="2367" xr:uid="{00000000-0005-0000-0000-000071110000}"/>
    <cellStyle name="Comma 3 4 4 3 2 3 2" xfId="25894" xr:uid="{00000000-0005-0000-0000-000072110000}"/>
    <cellStyle name="Comma 3 4 4 3 2 4" xfId="25891" xr:uid="{00000000-0005-0000-0000-000073110000}"/>
    <cellStyle name="Comma 3 4 4 3 3" xfId="2368" xr:uid="{00000000-0005-0000-0000-000074110000}"/>
    <cellStyle name="Comma 3 4 4 3 3 2" xfId="2369" xr:uid="{00000000-0005-0000-0000-000075110000}"/>
    <cellStyle name="Comma 3 4 4 3 3 2 2" xfId="25896" xr:uid="{00000000-0005-0000-0000-000076110000}"/>
    <cellStyle name="Comma 3 4 4 3 3 3" xfId="25895" xr:uid="{00000000-0005-0000-0000-000077110000}"/>
    <cellStyle name="Comma 3 4 4 3 4" xfId="2370" xr:uid="{00000000-0005-0000-0000-000078110000}"/>
    <cellStyle name="Comma 3 4 4 3 4 2" xfId="25897" xr:uid="{00000000-0005-0000-0000-000079110000}"/>
    <cellStyle name="Comma 3 4 4 3 5" xfId="25890" xr:uid="{00000000-0005-0000-0000-00007A110000}"/>
    <cellStyle name="Comma 3 4 4 4" xfId="2371" xr:uid="{00000000-0005-0000-0000-00007B110000}"/>
    <cellStyle name="Comma 3 4 4 4 2" xfId="2372" xr:uid="{00000000-0005-0000-0000-00007C110000}"/>
    <cellStyle name="Comma 3 4 4 4 2 2" xfId="2373" xr:uid="{00000000-0005-0000-0000-00007D110000}"/>
    <cellStyle name="Comma 3 4 4 4 2 2 2" xfId="25900" xr:uid="{00000000-0005-0000-0000-00007E110000}"/>
    <cellStyle name="Comma 3 4 4 4 2 3" xfId="25899" xr:uid="{00000000-0005-0000-0000-00007F110000}"/>
    <cellStyle name="Comma 3 4 4 4 3" xfId="2374" xr:uid="{00000000-0005-0000-0000-000080110000}"/>
    <cellStyle name="Comma 3 4 4 4 3 2" xfId="25901" xr:uid="{00000000-0005-0000-0000-000081110000}"/>
    <cellStyle name="Comma 3 4 4 4 4" xfId="25898" xr:uid="{00000000-0005-0000-0000-000082110000}"/>
    <cellStyle name="Comma 3 4 4 5" xfId="2375" xr:uid="{00000000-0005-0000-0000-000083110000}"/>
    <cellStyle name="Comma 3 4 4 5 2" xfId="2376" xr:uid="{00000000-0005-0000-0000-000084110000}"/>
    <cellStyle name="Comma 3 4 4 5 2 2" xfId="25903" xr:uid="{00000000-0005-0000-0000-000085110000}"/>
    <cellStyle name="Comma 3 4 4 5 3" xfId="25902" xr:uid="{00000000-0005-0000-0000-000086110000}"/>
    <cellStyle name="Comma 3 4 4 6" xfId="2377" xr:uid="{00000000-0005-0000-0000-000087110000}"/>
    <cellStyle name="Comma 3 4 4 6 2" xfId="25904" xr:uid="{00000000-0005-0000-0000-000088110000}"/>
    <cellStyle name="Comma 3 4 4 7" xfId="25881" xr:uid="{00000000-0005-0000-0000-000089110000}"/>
    <cellStyle name="Comma 3 4 5" xfId="2378" xr:uid="{00000000-0005-0000-0000-00008A110000}"/>
    <cellStyle name="Comma 3 4 5 2" xfId="2379" xr:uid="{00000000-0005-0000-0000-00008B110000}"/>
    <cellStyle name="Comma 3 4 5 2 2" xfId="2380" xr:uid="{00000000-0005-0000-0000-00008C110000}"/>
    <cellStyle name="Comma 3 4 5 2 2 2" xfId="2381" xr:uid="{00000000-0005-0000-0000-00008D110000}"/>
    <cellStyle name="Comma 3 4 5 2 2 2 2" xfId="25907" xr:uid="{00000000-0005-0000-0000-00008E110000}"/>
    <cellStyle name="Comma 3 4 5 2 2 3" xfId="25906" xr:uid="{00000000-0005-0000-0000-00008F110000}"/>
    <cellStyle name="Comma 3 4 5 2 3" xfId="2382" xr:uid="{00000000-0005-0000-0000-000090110000}"/>
    <cellStyle name="Comma 3 4 5 2 3 2" xfId="25908" xr:uid="{00000000-0005-0000-0000-000091110000}"/>
    <cellStyle name="Comma 3 4 5 2 4" xfId="25905" xr:uid="{00000000-0005-0000-0000-000092110000}"/>
    <cellStyle name="Comma 3 4 5 3" xfId="2383" xr:uid="{00000000-0005-0000-0000-000093110000}"/>
    <cellStyle name="Comma 3 4 5 3 2" xfId="2384" xr:uid="{00000000-0005-0000-0000-000094110000}"/>
    <cellStyle name="Comma 3 4 5 3 2 2" xfId="25910" xr:uid="{00000000-0005-0000-0000-000095110000}"/>
    <cellStyle name="Comma 3 4 5 3 3" xfId="25909" xr:uid="{00000000-0005-0000-0000-000096110000}"/>
    <cellStyle name="Comma 3 4 6" xfId="2385" xr:uid="{00000000-0005-0000-0000-000097110000}"/>
    <cellStyle name="Comma 3 4 6 2" xfId="2386" xr:uid="{00000000-0005-0000-0000-000098110000}"/>
    <cellStyle name="Comma 3 4 6 2 2" xfId="2387" xr:uid="{00000000-0005-0000-0000-000099110000}"/>
    <cellStyle name="Comma 3 4 6 2 2 2" xfId="2388" xr:uid="{00000000-0005-0000-0000-00009A110000}"/>
    <cellStyle name="Comma 3 4 6 2 2 2 2" xfId="25914" xr:uid="{00000000-0005-0000-0000-00009B110000}"/>
    <cellStyle name="Comma 3 4 6 2 2 3" xfId="25913" xr:uid="{00000000-0005-0000-0000-00009C110000}"/>
    <cellStyle name="Comma 3 4 6 2 3" xfId="2389" xr:uid="{00000000-0005-0000-0000-00009D110000}"/>
    <cellStyle name="Comma 3 4 6 2 3 2" xfId="25915" xr:uid="{00000000-0005-0000-0000-00009E110000}"/>
    <cellStyle name="Comma 3 4 6 2 4" xfId="25912" xr:uid="{00000000-0005-0000-0000-00009F110000}"/>
    <cellStyle name="Comma 3 4 6 3" xfId="2390" xr:uid="{00000000-0005-0000-0000-0000A0110000}"/>
    <cellStyle name="Comma 3 4 6 3 2" xfId="2391" xr:uid="{00000000-0005-0000-0000-0000A1110000}"/>
    <cellStyle name="Comma 3 4 6 3 2 2" xfId="25917" xr:uid="{00000000-0005-0000-0000-0000A2110000}"/>
    <cellStyle name="Comma 3 4 6 3 3" xfId="25916" xr:uid="{00000000-0005-0000-0000-0000A3110000}"/>
    <cellStyle name="Comma 3 4 6 4" xfId="2392" xr:uid="{00000000-0005-0000-0000-0000A4110000}"/>
    <cellStyle name="Comma 3 4 6 4 2" xfId="25918" xr:uid="{00000000-0005-0000-0000-0000A5110000}"/>
    <cellStyle name="Comma 3 4 6 5" xfId="25911" xr:uid="{00000000-0005-0000-0000-0000A6110000}"/>
    <cellStyle name="Comma 3 4 7" xfId="2393" xr:uid="{00000000-0005-0000-0000-0000A7110000}"/>
    <cellStyle name="Comma 3 4 7 2" xfId="2394" xr:uid="{00000000-0005-0000-0000-0000A8110000}"/>
    <cellStyle name="Comma 3 4 7 2 2" xfId="2395" xr:uid="{00000000-0005-0000-0000-0000A9110000}"/>
    <cellStyle name="Comma 3 4 7 2 2 2" xfId="25921" xr:uid="{00000000-0005-0000-0000-0000AA110000}"/>
    <cellStyle name="Comma 3 4 7 2 3" xfId="25920" xr:uid="{00000000-0005-0000-0000-0000AB110000}"/>
    <cellStyle name="Comma 3 4 7 3" xfId="2396" xr:uid="{00000000-0005-0000-0000-0000AC110000}"/>
    <cellStyle name="Comma 3 4 7 3 2" xfId="25922" xr:uid="{00000000-0005-0000-0000-0000AD110000}"/>
    <cellStyle name="Comma 3 4 7 4" xfId="25919" xr:uid="{00000000-0005-0000-0000-0000AE110000}"/>
    <cellStyle name="Comma 3 4 8" xfId="2397" xr:uid="{00000000-0005-0000-0000-0000AF110000}"/>
    <cellStyle name="Comma 3 4 8 2" xfId="2398" xr:uid="{00000000-0005-0000-0000-0000B0110000}"/>
    <cellStyle name="Comma 3 4 8 2 2" xfId="25924" xr:uid="{00000000-0005-0000-0000-0000B1110000}"/>
    <cellStyle name="Comma 3 4 8 3" xfId="25923" xr:uid="{00000000-0005-0000-0000-0000B2110000}"/>
    <cellStyle name="Comma 3 4 9" xfId="2399" xr:uid="{00000000-0005-0000-0000-0000B3110000}"/>
    <cellStyle name="Comma 3 4 9 2" xfId="25925" xr:uid="{00000000-0005-0000-0000-0000B4110000}"/>
    <cellStyle name="Comma 3 5" xfId="2400" xr:uid="{00000000-0005-0000-0000-0000B5110000}"/>
    <cellStyle name="Comma 3 5 10" xfId="25926" xr:uid="{00000000-0005-0000-0000-0000B6110000}"/>
    <cellStyle name="Comma 3 5 2" xfId="2401" xr:uid="{00000000-0005-0000-0000-0000B7110000}"/>
    <cellStyle name="Comma 3 5 2 2" xfId="2402" xr:uid="{00000000-0005-0000-0000-0000B8110000}"/>
    <cellStyle name="Comma 3 5 2 2 2" xfId="2403" xr:uid="{00000000-0005-0000-0000-0000B9110000}"/>
    <cellStyle name="Comma 3 5 2 2 2 2" xfId="2404" xr:uid="{00000000-0005-0000-0000-0000BA110000}"/>
    <cellStyle name="Comma 3 5 2 2 2 2 2" xfId="2405" xr:uid="{00000000-0005-0000-0000-0000BB110000}"/>
    <cellStyle name="Comma 3 5 2 2 2 2 2 2" xfId="25931" xr:uid="{00000000-0005-0000-0000-0000BC110000}"/>
    <cellStyle name="Comma 3 5 2 2 2 2 3" xfId="25930" xr:uid="{00000000-0005-0000-0000-0000BD110000}"/>
    <cellStyle name="Comma 3 5 2 2 2 3" xfId="2406" xr:uid="{00000000-0005-0000-0000-0000BE110000}"/>
    <cellStyle name="Comma 3 5 2 2 2 3 2" xfId="25932" xr:uid="{00000000-0005-0000-0000-0000BF110000}"/>
    <cellStyle name="Comma 3 5 2 2 2 4" xfId="25929" xr:uid="{00000000-0005-0000-0000-0000C0110000}"/>
    <cellStyle name="Comma 3 5 2 2 3" xfId="2407" xr:uid="{00000000-0005-0000-0000-0000C1110000}"/>
    <cellStyle name="Comma 3 5 2 2 3 2" xfId="2408" xr:uid="{00000000-0005-0000-0000-0000C2110000}"/>
    <cellStyle name="Comma 3 5 2 2 3 2 2" xfId="25934" xr:uid="{00000000-0005-0000-0000-0000C3110000}"/>
    <cellStyle name="Comma 3 5 2 2 3 3" xfId="25933" xr:uid="{00000000-0005-0000-0000-0000C4110000}"/>
    <cellStyle name="Comma 3 5 2 2 4" xfId="2409" xr:uid="{00000000-0005-0000-0000-0000C5110000}"/>
    <cellStyle name="Comma 3 5 2 2 4 2" xfId="25935" xr:uid="{00000000-0005-0000-0000-0000C6110000}"/>
    <cellStyle name="Comma 3 5 2 2 5" xfId="25928" xr:uid="{00000000-0005-0000-0000-0000C7110000}"/>
    <cellStyle name="Comma 3 5 2 3" xfId="2410" xr:uid="{00000000-0005-0000-0000-0000C8110000}"/>
    <cellStyle name="Comma 3 5 2 3 2" xfId="2411" xr:uid="{00000000-0005-0000-0000-0000C9110000}"/>
    <cellStyle name="Comma 3 5 2 3 2 2" xfId="2412" xr:uid="{00000000-0005-0000-0000-0000CA110000}"/>
    <cellStyle name="Comma 3 5 2 3 2 2 2" xfId="2413" xr:uid="{00000000-0005-0000-0000-0000CB110000}"/>
    <cellStyle name="Comma 3 5 2 3 2 2 2 2" xfId="25939" xr:uid="{00000000-0005-0000-0000-0000CC110000}"/>
    <cellStyle name="Comma 3 5 2 3 2 2 3" xfId="25938" xr:uid="{00000000-0005-0000-0000-0000CD110000}"/>
    <cellStyle name="Comma 3 5 2 3 2 3" xfId="2414" xr:uid="{00000000-0005-0000-0000-0000CE110000}"/>
    <cellStyle name="Comma 3 5 2 3 2 3 2" xfId="25940" xr:uid="{00000000-0005-0000-0000-0000CF110000}"/>
    <cellStyle name="Comma 3 5 2 3 2 4" xfId="25937" xr:uid="{00000000-0005-0000-0000-0000D0110000}"/>
    <cellStyle name="Comma 3 5 2 3 3" xfId="2415" xr:uid="{00000000-0005-0000-0000-0000D1110000}"/>
    <cellStyle name="Comma 3 5 2 3 3 2" xfId="2416" xr:uid="{00000000-0005-0000-0000-0000D2110000}"/>
    <cellStyle name="Comma 3 5 2 3 3 2 2" xfId="25942" xr:uid="{00000000-0005-0000-0000-0000D3110000}"/>
    <cellStyle name="Comma 3 5 2 3 3 3" xfId="25941" xr:uid="{00000000-0005-0000-0000-0000D4110000}"/>
    <cellStyle name="Comma 3 5 2 3 4" xfId="2417" xr:uid="{00000000-0005-0000-0000-0000D5110000}"/>
    <cellStyle name="Comma 3 5 2 3 4 2" xfId="25943" xr:uid="{00000000-0005-0000-0000-0000D6110000}"/>
    <cellStyle name="Comma 3 5 2 3 5" xfId="25936" xr:uid="{00000000-0005-0000-0000-0000D7110000}"/>
    <cellStyle name="Comma 3 5 2 4" xfId="2418" xr:uid="{00000000-0005-0000-0000-0000D8110000}"/>
    <cellStyle name="Comma 3 5 2 4 2" xfId="2419" xr:uid="{00000000-0005-0000-0000-0000D9110000}"/>
    <cellStyle name="Comma 3 5 2 4 2 2" xfId="2420" xr:uid="{00000000-0005-0000-0000-0000DA110000}"/>
    <cellStyle name="Comma 3 5 2 4 2 2 2" xfId="25946" xr:uid="{00000000-0005-0000-0000-0000DB110000}"/>
    <cellStyle name="Comma 3 5 2 4 2 3" xfId="25945" xr:uid="{00000000-0005-0000-0000-0000DC110000}"/>
    <cellStyle name="Comma 3 5 2 4 3" xfId="2421" xr:uid="{00000000-0005-0000-0000-0000DD110000}"/>
    <cellStyle name="Comma 3 5 2 4 3 2" xfId="25947" xr:uid="{00000000-0005-0000-0000-0000DE110000}"/>
    <cellStyle name="Comma 3 5 2 4 4" xfId="25944" xr:uid="{00000000-0005-0000-0000-0000DF110000}"/>
    <cellStyle name="Comma 3 5 2 5" xfId="2422" xr:uid="{00000000-0005-0000-0000-0000E0110000}"/>
    <cellStyle name="Comma 3 5 2 5 2" xfId="2423" xr:uid="{00000000-0005-0000-0000-0000E1110000}"/>
    <cellStyle name="Comma 3 5 2 5 2 2" xfId="25949" xr:uid="{00000000-0005-0000-0000-0000E2110000}"/>
    <cellStyle name="Comma 3 5 2 5 3" xfId="25948" xr:uid="{00000000-0005-0000-0000-0000E3110000}"/>
    <cellStyle name="Comma 3 5 2 6" xfId="2424" xr:uid="{00000000-0005-0000-0000-0000E4110000}"/>
    <cellStyle name="Comma 3 5 2 6 2" xfId="25950" xr:uid="{00000000-0005-0000-0000-0000E5110000}"/>
    <cellStyle name="Comma 3 5 2 7" xfId="25927" xr:uid="{00000000-0005-0000-0000-0000E6110000}"/>
    <cellStyle name="Comma 3 5 3" xfId="2425" xr:uid="{00000000-0005-0000-0000-0000E7110000}"/>
    <cellStyle name="Comma 3 5 3 2" xfId="2426" xr:uid="{00000000-0005-0000-0000-0000E8110000}"/>
    <cellStyle name="Comma 3 5 3 2 2" xfId="2427" xr:uid="{00000000-0005-0000-0000-0000E9110000}"/>
    <cellStyle name="Comma 3 5 3 2 2 2" xfId="2428" xr:uid="{00000000-0005-0000-0000-0000EA110000}"/>
    <cellStyle name="Comma 3 5 3 2 2 2 2" xfId="2429" xr:uid="{00000000-0005-0000-0000-0000EB110000}"/>
    <cellStyle name="Comma 3 5 3 2 2 2 2 2" xfId="25955" xr:uid="{00000000-0005-0000-0000-0000EC110000}"/>
    <cellStyle name="Comma 3 5 3 2 2 2 3" xfId="25954" xr:uid="{00000000-0005-0000-0000-0000ED110000}"/>
    <cellStyle name="Comma 3 5 3 2 2 3" xfId="2430" xr:uid="{00000000-0005-0000-0000-0000EE110000}"/>
    <cellStyle name="Comma 3 5 3 2 2 3 2" xfId="25956" xr:uid="{00000000-0005-0000-0000-0000EF110000}"/>
    <cellStyle name="Comma 3 5 3 2 2 4" xfId="25953" xr:uid="{00000000-0005-0000-0000-0000F0110000}"/>
    <cellStyle name="Comma 3 5 3 2 3" xfId="2431" xr:uid="{00000000-0005-0000-0000-0000F1110000}"/>
    <cellStyle name="Comma 3 5 3 2 3 2" xfId="2432" xr:uid="{00000000-0005-0000-0000-0000F2110000}"/>
    <cellStyle name="Comma 3 5 3 2 3 2 2" xfId="25958" xr:uid="{00000000-0005-0000-0000-0000F3110000}"/>
    <cellStyle name="Comma 3 5 3 2 3 3" xfId="25957" xr:uid="{00000000-0005-0000-0000-0000F4110000}"/>
    <cellStyle name="Comma 3 5 3 2 4" xfId="2433" xr:uid="{00000000-0005-0000-0000-0000F5110000}"/>
    <cellStyle name="Comma 3 5 3 2 4 2" xfId="25959" xr:uid="{00000000-0005-0000-0000-0000F6110000}"/>
    <cellStyle name="Comma 3 5 3 2 5" xfId="25952" xr:uid="{00000000-0005-0000-0000-0000F7110000}"/>
    <cellStyle name="Comma 3 5 3 3" xfId="2434" xr:uid="{00000000-0005-0000-0000-0000F8110000}"/>
    <cellStyle name="Comma 3 5 3 3 2" xfId="2435" xr:uid="{00000000-0005-0000-0000-0000F9110000}"/>
    <cellStyle name="Comma 3 5 3 3 2 2" xfId="2436" xr:uid="{00000000-0005-0000-0000-0000FA110000}"/>
    <cellStyle name="Comma 3 5 3 3 2 2 2" xfId="2437" xr:uid="{00000000-0005-0000-0000-0000FB110000}"/>
    <cellStyle name="Comma 3 5 3 3 2 2 2 2" xfId="25963" xr:uid="{00000000-0005-0000-0000-0000FC110000}"/>
    <cellStyle name="Comma 3 5 3 3 2 2 3" xfId="25962" xr:uid="{00000000-0005-0000-0000-0000FD110000}"/>
    <cellStyle name="Comma 3 5 3 3 2 3" xfId="2438" xr:uid="{00000000-0005-0000-0000-0000FE110000}"/>
    <cellStyle name="Comma 3 5 3 3 2 3 2" xfId="25964" xr:uid="{00000000-0005-0000-0000-0000FF110000}"/>
    <cellStyle name="Comma 3 5 3 3 2 4" xfId="25961" xr:uid="{00000000-0005-0000-0000-000000120000}"/>
    <cellStyle name="Comma 3 5 3 3 3" xfId="2439" xr:uid="{00000000-0005-0000-0000-000001120000}"/>
    <cellStyle name="Comma 3 5 3 3 3 2" xfId="2440" xr:uid="{00000000-0005-0000-0000-000002120000}"/>
    <cellStyle name="Comma 3 5 3 3 3 2 2" xfId="25966" xr:uid="{00000000-0005-0000-0000-000003120000}"/>
    <cellStyle name="Comma 3 5 3 3 3 3" xfId="25965" xr:uid="{00000000-0005-0000-0000-000004120000}"/>
    <cellStyle name="Comma 3 5 3 3 4" xfId="2441" xr:uid="{00000000-0005-0000-0000-000005120000}"/>
    <cellStyle name="Comma 3 5 3 3 4 2" xfId="25967" xr:uid="{00000000-0005-0000-0000-000006120000}"/>
    <cellStyle name="Comma 3 5 3 3 5" xfId="25960" xr:uid="{00000000-0005-0000-0000-000007120000}"/>
    <cellStyle name="Comma 3 5 3 4" xfId="2442" xr:uid="{00000000-0005-0000-0000-000008120000}"/>
    <cellStyle name="Comma 3 5 3 4 2" xfId="2443" xr:uid="{00000000-0005-0000-0000-000009120000}"/>
    <cellStyle name="Comma 3 5 3 4 2 2" xfId="2444" xr:uid="{00000000-0005-0000-0000-00000A120000}"/>
    <cellStyle name="Comma 3 5 3 4 2 2 2" xfId="25970" xr:uid="{00000000-0005-0000-0000-00000B120000}"/>
    <cellStyle name="Comma 3 5 3 4 2 3" xfId="25969" xr:uid="{00000000-0005-0000-0000-00000C120000}"/>
    <cellStyle name="Comma 3 5 3 4 3" xfId="2445" xr:uid="{00000000-0005-0000-0000-00000D120000}"/>
    <cellStyle name="Comma 3 5 3 4 3 2" xfId="25971" xr:uid="{00000000-0005-0000-0000-00000E120000}"/>
    <cellStyle name="Comma 3 5 3 4 4" xfId="25968" xr:uid="{00000000-0005-0000-0000-00000F120000}"/>
    <cellStyle name="Comma 3 5 3 5" xfId="2446" xr:uid="{00000000-0005-0000-0000-000010120000}"/>
    <cellStyle name="Comma 3 5 3 5 2" xfId="2447" xr:uid="{00000000-0005-0000-0000-000011120000}"/>
    <cellStyle name="Comma 3 5 3 5 2 2" xfId="25973" xr:uid="{00000000-0005-0000-0000-000012120000}"/>
    <cellStyle name="Comma 3 5 3 5 3" xfId="25972" xr:uid="{00000000-0005-0000-0000-000013120000}"/>
    <cellStyle name="Comma 3 5 3 6" xfId="2448" xr:uid="{00000000-0005-0000-0000-000014120000}"/>
    <cellStyle name="Comma 3 5 3 6 2" xfId="25974" xr:uid="{00000000-0005-0000-0000-000015120000}"/>
    <cellStyle name="Comma 3 5 3 7" xfId="25951" xr:uid="{00000000-0005-0000-0000-000016120000}"/>
    <cellStyle name="Comma 3 5 4" xfId="2449" xr:uid="{00000000-0005-0000-0000-000017120000}"/>
    <cellStyle name="Comma 3 5 4 2" xfId="2450" xr:uid="{00000000-0005-0000-0000-000018120000}"/>
    <cellStyle name="Comma 3 5 4 2 2" xfId="2451" xr:uid="{00000000-0005-0000-0000-000019120000}"/>
    <cellStyle name="Comma 3 5 4 2 2 2" xfId="2452" xr:uid="{00000000-0005-0000-0000-00001A120000}"/>
    <cellStyle name="Comma 3 5 4 2 2 2 2" xfId="2453" xr:uid="{00000000-0005-0000-0000-00001B120000}"/>
    <cellStyle name="Comma 3 5 4 2 2 2 2 2" xfId="25979" xr:uid="{00000000-0005-0000-0000-00001C120000}"/>
    <cellStyle name="Comma 3 5 4 2 2 2 3" xfId="25978" xr:uid="{00000000-0005-0000-0000-00001D120000}"/>
    <cellStyle name="Comma 3 5 4 2 2 3" xfId="2454" xr:uid="{00000000-0005-0000-0000-00001E120000}"/>
    <cellStyle name="Comma 3 5 4 2 2 3 2" xfId="25980" xr:uid="{00000000-0005-0000-0000-00001F120000}"/>
    <cellStyle name="Comma 3 5 4 2 2 4" xfId="25977" xr:uid="{00000000-0005-0000-0000-000020120000}"/>
    <cellStyle name="Comma 3 5 4 2 3" xfId="2455" xr:uid="{00000000-0005-0000-0000-000021120000}"/>
    <cellStyle name="Comma 3 5 4 2 3 2" xfId="2456" xr:uid="{00000000-0005-0000-0000-000022120000}"/>
    <cellStyle name="Comma 3 5 4 2 3 2 2" xfId="25982" xr:uid="{00000000-0005-0000-0000-000023120000}"/>
    <cellStyle name="Comma 3 5 4 2 3 3" xfId="25981" xr:uid="{00000000-0005-0000-0000-000024120000}"/>
    <cellStyle name="Comma 3 5 4 2 4" xfId="2457" xr:uid="{00000000-0005-0000-0000-000025120000}"/>
    <cellStyle name="Comma 3 5 4 2 4 2" xfId="25983" xr:uid="{00000000-0005-0000-0000-000026120000}"/>
    <cellStyle name="Comma 3 5 4 2 5" xfId="25976" xr:uid="{00000000-0005-0000-0000-000027120000}"/>
    <cellStyle name="Comma 3 5 4 3" xfId="2458" xr:uid="{00000000-0005-0000-0000-000028120000}"/>
    <cellStyle name="Comma 3 5 4 3 2" xfId="2459" xr:uid="{00000000-0005-0000-0000-000029120000}"/>
    <cellStyle name="Comma 3 5 4 3 2 2" xfId="2460" xr:uid="{00000000-0005-0000-0000-00002A120000}"/>
    <cellStyle name="Comma 3 5 4 3 2 2 2" xfId="2461" xr:uid="{00000000-0005-0000-0000-00002B120000}"/>
    <cellStyle name="Comma 3 5 4 3 2 2 2 2" xfId="25987" xr:uid="{00000000-0005-0000-0000-00002C120000}"/>
    <cellStyle name="Comma 3 5 4 3 2 2 3" xfId="25986" xr:uid="{00000000-0005-0000-0000-00002D120000}"/>
    <cellStyle name="Comma 3 5 4 3 2 3" xfId="2462" xr:uid="{00000000-0005-0000-0000-00002E120000}"/>
    <cellStyle name="Comma 3 5 4 3 2 3 2" xfId="25988" xr:uid="{00000000-0005-0000-0000-00002F120000}"/>
    <cellStyle name="Comma 3 5 4 3 2 4" xfId="25985" xr:uid="{00000000-0005-0000-0000-000030120000}"/>
    <cellStyle name="Comma 3 5 4 3 3" xfId="2463" xr:uid="{00000000-0005-0000-0000-000031120000}"/>
    <cellStyle name="Comma 3 5 4 3 3 2" xfId="2464" xr:uid="{00000000-0005-0000-0000-000032120000}"/>
    <cellStyle name="Comma 3 5 4 3 3 2 2" xfId="25990" xr:uid="{00000000-0005-0000-0000-000033120000}"/>
    <cellStyle name="Comma 3 5 4 3 3 3" xfId="25989" xr:uid="{00000000-0005-0000-0000-000034120000}"/>
    <cellStyle name="Comma 3 5 4 3 4" xfId="2465" xr:uid="{00000000-0005-0000-0000-000035120000}"/>
    <cellStyle name="Comma 3 5 4 3 4 2" xfId="25991" xr:uid="{00000000-0005-0000-0000-000036120000}"/>
    <cellStyle name="Comma 3 5 4 3 5" xfId="25984" xr:uid="{00000000-0005-0000-0000-000037120000}"/>
    <cellStyle name="Comma 3 5 4 4" xfId="2466" xr:uid="{00000000-0005-0000-0000-000038120000}"/>
    <cellStyle name="Comma 3 5 4 4 2" xfId="2467" xr:uid="{00000000-0005-0000-0000-000039120000}"/>
    <cellStyle name="Comma 3 5 4 4 2 2" xfId="2468" xr:uid="{00000000-0005-0000-0000-00003A120000}"/>
    <cellStyle name="Comma 3 5 4 4 2 2 2" xfId="25994" xr:uid="{00000000-0005-0000-0000-00003B120000}"/>
    <cellStyle name="Comma 3 5 4 4 2 3" xfId="25993" xr:uid="{00000000-0005-0000-0000-00003C120000}"/>
    <cellStyle name="Comma 3 5 4 4 3" xfId="2469" xr:uid="{00000000-0005-0000-0000-00003D120000}"/>
    <cellStyle name="Comma 3 5 4 4 3 2" xfId="25995" xr:uid="{00000000-0005-0000-0000-00003E120000}"/>
    <cellStyle name="Comma 3 5 4 4 4" xfId="25992" xr:uid="{00000000-0005-0000-0000-00003F120000}"/>
    <cellStyle name="Comma 3 5 4 5" xfId="2470" xr:uid="{00000000-0005-0000-0000-000040120000}"/>
    <cellStyle name="Comma 3 5 4 5 2" xfId="2471" xr:uid="{00000000-0005-0000-0000-000041120000}"/>
    <cellStyle name="Comma 3 5 4 5 2 2" xfId="25997" xr:uid="{00000000-0005-0000-0000-000042120000}"/>
    <cellStyle name="Comma 3 5 4 5 3" xfId="25996" xr:uid="{00000000-0005-0000-0000-000043120000}"/>
    <cellStyle name="Comma 3 5 4 6" xfId="2472" xr:uid="{00000000-0005-0000-0000-000044120000}"/>
    <cellStyle name="Comma 3 5 4 6 2" xfId="25998" xr:uid="{00000000-0005-0000-0000-000045120000}"/>
    <cellStyle name="Comma 3 5 4 7" xfId="25975" xr:uid="{00000000-0005-0000-0000-000046120000}"/>
    <cellStyle name="Comma 3 5 5" xfId="2473" xr:uid="{00000000-0005-0000-0000-000047120000}"/>
    <cellStyle name="Comma 3 5 5 2" xfId="2474" xr:uid="{00000000-0005-0000-0000-000048120000}"/>
    <cellStyle name="Comma 3 5 5 2 2" xfId="2475" xr:uid="{00000000-0005-0000-0000-000049120000}"/>
    <cellStyle name="Comma 3 5 5 2 2 2" xfId="2476" xr:uid="{00000000-0005-0000-0000-00004A120000}"/>
    <cellStyle name="Comma 3 5 5 2 2 2 2" xfId="26002" xr:uid="{00000000-0005-0000-0000-00004B120000}"/>
    <cellStyle name="Comma 3 5 5 2 2 3" xfId="26001" xr:uid="{00000000-0005-0000-0000-00004C120000}"/>
    <cellStyle name="Comma 3 5 5 2 3" xfId="2477" xr:uid="{00000000-0005-0000-0000-00004D120000}"/>
    <cellStyle name="Comma 3 5 5 2 3 2" xfId="26003" xr:uid="{00000000-0005-0000-0000-00004E120000}"/>
    <cellStyle name="Comma 3 5 5 2 4" xfId="26000" xr:uid="{00000000-0005-0000-0000-00004F120000}"/>
    <cellStyle name="Comma 3 5 5 3" xfId="2478" xr:uid="{00000000-0005-0000-0000-000050120000}"/>
    <cellStyle name="Comma 3 5 5 3 2" xfId="2479" xr:uid="{00000000-0005-0000-0000-000051120000}"/>
    <cellStyle name="Comma 3 5 5 3 2 2" xfId="26005" xr:uid="{00000000-0005-0000-0000-000052120000}"/>
    <cellStyle name="Comma 3 5 5 3 3" xfId="26004" xr:uid="{00000000-0005-0000-0000-000053120000}"/>
    <cellStyle name="Comma 3 5 5 4" xfId="2480" xr:uid="{00000000-0005-0000-0000-000054120000}"/>
    <cellStyle name="Comma 3 5 5 4 2" xfId="26006" xr:uid="{00000000-0005-0000-0000-000055120000}"/>
    <cellStyle name="Comma 3 5 5 5" xfId="25999" xr:uid="{00000000-0005-0000-0000-000056120000}"/>
    <cellStyle name="Comma 3 5 6" xfId="2481" xr:uid="{00000000-0005-0000-0000-000057120000}"/>
    <cellStyle name="Comma 3 5 6 2" xfId="2482" xr:uid="{00000000-0005-0000-0000-000058120000}"/>
    <cellStyle name="Comma 3 5 6 2 2" xfId="2483" xr:uid="{00000000-0005-0000-0000-000059120000}"/>
    <cellStyle name="Comma 3 5 6 2 2 2" xfId="2484" xr:uid="{00000000-0005-0000-0000-00005A120000}"/>
    <cellStyle name="Comma 3 5 6 2 2 2 2" xfId="26010" xr:uid="{00000000-0005-0000-0000-00005B120000}"/>
    <cellStyle name="Comma 3 5 6 2 2 3" xfId="26009" xr:uid="{00000000-0005-0000-0000-00005C120000}"/>
    <cellStyle name="Comma 3 5 6 2 3" xfId="2485" xr:uid="{00000000-0005-0000-0000-00005D120000}"/>
    <cellStyle name="Comma 3 5 6 2 3 2" xfId="26011" xr:uid="{00000000-0005-0000-0000-00005E120000}"/>
    <cellStyle name="Comma 3 5 6 2 4" xfId="26008" xr:uid="{00000000-0005-0000-0000-00005F120000}"/>
    <cellStyle name="Comma 3 5 6 3" xfId="2486" xr:uid="{00000000-0005-0000-0000-000060120000}"/>
    <cellStyle name="Comma 3 5 6 3 2" xfId="2487" xr:uid="{00000000-0005-0000-0000-000061120000}"/>
    <cellStyle name="Comma 3 5 6 3 2 2" xfId="26013" xr:uid="{00000000-0005-0000-0000-000062120000}"/>
    <cellStyle name="Comma 3 5 6 3 3" xfId="26012" xr:uid="{00000000-0005-0000-0000-000063120000}"/>
    <cellStyle name="Comma 3 5 6 4" xfId="2488" xr:uid="{00000000-0005-0000-0000-000064120000}"/>
    <cellStyle name="Comma 3 5 6 4 2" xfId="26014" xr:uid="{00000000-0005-0000-0000-000065120000}"/>
    <cellStyle name="Comma 3 5 6 5" xfId="26007" xr:uid="{00000000-0005-0000-0000-000066120000}"/>
    <cellStyle name="Comma 3 5 7" xfId="2489" xr:uid="{00000000-0005-0000-0000-000067120000}"/>
    <cellStyle name="Comma 3 5 7 2" xfId="2490" xr:uid="{00000000-0005-0000-0000-000068120000}"/>
    <cellStyle name="Comma 3 5 7 2 2" xfId="2491" xr:uid="{00000000-0005-0000-0000-000069120000}"/>
    <cellStyle name="Comma 3 5 7 2 2 2" xfId="26017" xr:uid="{00000000-0005-0000-0000-00006A120000}"/>
    <cellStyle name="Comma 3 5 7 2 3" xfId="26016" xr:uid="{00000000-0005-0000-0000-00006B120000}"/>
    <cellStyle name="Comma 3 5 7 3" xfId="2492" xr:uid="{00000000-0005-0000-0000-00006C120000}"/>
    <cellStyle name="Comma 3 5 7 3 2" xfId="26018" xr:uid="{00000000-0005-0000-0000-00006D120000}"/>
    <cellStyle name="Comma 3 5 7 4" xfId="26015" xr:uid="{00000000-0005-0000-0000-00006E120000}"/>
    <cellStyle name="Comma 3 5 8" xfId="2493" xr:uid="{00000000-0005-0000-0000-00006F120000}"/>
    <cellStyle name="Comma 3 5 8 2" xfId="2494" xr:uid="{00000000-0005-0000-0000-000070120000}"/>
    <cellStyle name="Comma 3 5 8 2 2" xfId="26020" xr:uid="{00000000-0005-0000-0000-000071120000}"/>
    <cellStyle name="Comma 3 5 8 3" xfId="26019" xr:uid="{00000000-0005-0000-0000-000072120000}"/>
    <cellStyle name="Comma 3 5 9" xfId="2495" xr:uid="{00000000-0005-0000-0000-000073120000}"/>
    <cellStyle name="Comma 3 5 9 2" xfId="26021" xr:uid="{00000000-0005-0000-0000-000074120000}"/>
    <cellStyle name="Comma 3 6" xfId="2496" xr:uid="{00000000-0005-0000-0000-000075120000}"/>
    <cellStyle name="Comma 3 6 10" xfId="26022" xr:uid="{00000000-0005-0000-0000-000076120000}"/>
    <cellStyle name="Comma 3 6 2" xfId="2497" xr:uid="{00000000-0005-0000-0000-000077120000}"/>
    <cellStyle name="Comma 3 6 2 2" xfId="2498" xr:uid="{00000000-0005-0000-0000-000078120000}"/>
    <cellStyle name="Comma 3 6 2 2 2" xfId="2499" xr:uid="{00000000-0005-0000-0000-000079120000}"/>
    <cellStyle name="Comma 3 6 2 2 2 2" xfId="2500" xr:uid="{00000000-0005-0000-0000-00007A120000}"/>
    <cellStyle name="Comma 3 6 2 2 2 2 2" xfId="2501" xr:uid="{00000000-0005-0000-0000-00007B120000}"/>
    <cellStyle name="Comma 3 6 2 2 2 2 2 2" xfId="26027" xr:uid="{00000000-0005-0000-0000-00007C120000}"/>
    <cellStyle name="Comma 3 6 2 2 2 2 3" xfId="26026" xr:uid="{00000000-0005-0000-0000-00007D120000}"/>
    <cellStyle name="Comma 3 6 2 2 2 3" xfId="2502" xr:uid="{00000000-0005-0000-0000-00007E120000}"/>
    <cellStyle name="Comma 3 6 2 2 2 3 2" xfId="26028" xr:uid="{00000000-0005-0000-0000-00007F120000}"/>
    <cellStyle name="Comma 3 6 2 2 2 4" xfId="26025" xr:uid="{00000000-0005-0000-0000-000080120000}"/>
    <cellStyle name="Comma 3 6 2 2 3" xfId="2503" xr:uid="{00000000-0005-0000-0000-000081120000}"/>
    <cellStyle name="Comma 3 6 2 2 3 2" xfId="2504" xr:uid="{00000000-0005-0000-0000-000082120000}"/>
    <cellStyle name="Comma 3 6 2 2 3 2 2" xfId="26030" xr:uid="{00000000-0005-0000-0000-000083120000}"/>
    <cellStyle name="Comma 3 6 2 2 3 3" xfId="26029" xr:uid="{00000000-0005-0000-0000-000084120000}"/>
    <cellStyle name="Comma 3 6 2 2 4" xfId="2505" xr:uid="{00000000-0005-0000-0000-000085120000}"/>
    <cellStyle name="Comma 3 6 2 2 4 2" xfId="26031" xr:uid="{00000000-0005-0000-0000-000086120000}"/>
    <cellStyle name="Comma 3 6 2 2 5" xfId="26024" xr:uid="{00000000-0005-0000-0000-000087120000}"/>
    <cellStyle name="Comma 3 6 2 3" xfId="2506" xr:uid="{00000000-0005-0000-0000-000088120000}"/>
    <cellStyle name="Comma 3 6 2 3 2" xfId="2507" xr:uid="{00000000-0005-0000-0000-000089120000}"/>
    <cellStyle name="Comma 3 6 2 3 2 2" xfId="2508" xr:uid="{00000000-0005-0000-0000-00008A120000}"/>
    <cellStyle name="Comma 3 6 2 3 2 2 2" xfId="2509" xr:uid="{00000000-0005-0000-0000-00008B120000}"/>
    <cellStyle name="Comma 3 6 2 3 2 2 2 2" xfId="26035" xr:uid="{00000000-0005-0000-0000-00008C120000}"/>
    <cellStyle name="Comma 3 6 2 3 2 2 3" xfId="26034" xr:uid="{00000000-0005-0000-0000-00008D120000}"/>
    <cellStyle name="Comma 3 6 2 3 2 3" xfId="2510" xr:uid="{00000000-0005-0000-0000-00008E120000}"/>
    <cellStyle name="Comma 3 6 2 3 2 3 2" xfId="26036" xr:uid="{00000000-0005-0000-0000-00008F120000}"/>
    <cellStyle name="Comma 3 6 2 3 2 4" xfId="26033" xr:uid="{00000000-0005-0000-0000-000090120000}"/>
    <cellStyle name="Comma 3 6 2 3 3" xfId="2511" xr:uid="{00000000-0005-0000-0000-000091120000}"/>
    <cellStyle name="Comma 3 6 2 3 3 2" xfId="2512" xr:uid="{00000000-0005-0000-0000-000092120000}"/>
    <cellStyle name="Comma 3 6 2 3 3 2 2" xfId="26038" xr:uid="{00000000-0005-0000-0000-000093120000}"/>
    <cellStyle name="Comma 3 6 2 3 3 3" xfId="26037" xr:uid="{00000000-0005-0000-0000-000094120000}"/>
    <cellStyle name="Comma 3 6 2 3 4" xfId="2513" xr:uid="{00000000-0005-0000-0000-000095120000}"/>
    <cellStyle name="Comma 3 6 2 3 4 2" xfId="26039" xr:uid="{00000000-0005-0000-0000-000096120000}"/>
    <cellStyle name="Comma 3 6 2 3 5" xfId="26032" xr:uid="{00000000-0005-0000-0000-000097120000}"/>
    <cellStyle name="Comma 3 6 2 4" xfId="2514" xr:uid="{00000000-0005-0000-0000-000098120000}"/>
    <cellStyle name="Comma 3 6 2 4 2" xfId="2515" xr:uid="{00000000-0005-0000-0000-000099120000}"/>
    <cellStyle name="Comma 3 6 2 4 2 2" xfId="2516" xr:uid="{00000000-0005-0000-0000-00009A120000}"/>
    <cellStyle name="Comma 3 6 2 4 2 2 2" xfId="26042" xr:uid="{00000000-0005-0000-0000-00009B120000}"/>
    <cellStyle name="Comma 3 6 2 4 2 3" xfId="26041" xr:uid="{00000000-0005-0000-0000-00009C120000}"/>
    <cellStyle name="Comma 3 6 2 4 3" xfId="2517" xr:uid="{00000000-0005-0000-0000-00009D120000}"/>
    <cellStyle name="Comma 3 6 2 4 3 2" xfId="26043" xr:uid="{00000000-0005-0000-0000-00009E120000}"/>
    <cellStyle name="Comma 3 6 2 4 4" xfId="26040" xr:uid="{00000000-0005-0000-0000-00009F120000}"/>
    <cellStyle name="Comma 3 6 2 5" xfId="2518" xr:uid="{00000000-0005-0000-0000-0000A0120000}"/>
    <cellStyle name="Comma 3 6 2 5 2" xfId="2519" xr:uid="{00000000-0005-0000-0000-0000A1120000}"/>
    <cellStyle name="Comma 3 6 2 5 2 2" xfId="26045" xr:uid="{00000000-0005-0000-0000-0000A2120000}"/>
    <cellStyle name="Comma 3 6 2 5 3" xfId="26044" xr:uid="{00000000-0005-0000-0000-0000A3120000}"/>
    <cellStyle name="Comma 3 6 2 6" xfId="2520" xr:uid="{00000000-0005-0000-0000-0000A4120000}"/>
    <cellStyle name="Comma 3 6 2 6 2" xfId="26046" xr:uid="{00000000-0005-0000-0000-0000A5120000}"/>
    <cellStyle name="Comma 3 6 2 7" xfId="26023" xr:uid="{00000000-0005-0000-0000-0000A6120000}"/>
    <cellStyle name="Comma 3 6 3" xfId="2521" xr:uid="{00000000-0005-0000-0000-0000A7120000}"/>
    <cellStyle name="Comma 3 6 3 2" xfId="2522" xr:uid="{00000000-0005-0000-0000-0000A8120000}"/>
    <cellStyle name="Comma 3 6 3 2 2" xfId="2523" xr:uid="{00000000-0005-0000-0000-0000A9120000}"/>
    <cellStyle name="Comma 3 6 3 2 2 2" xfId="2524" xr:uid="{00000000-0005-0000-0000-0000AA120000}"/>
    <cellStyle name="Comma 3 6 3 2 2 2 2" xfId="2525" xr:uid="{00000000-0005-0000-0000-0000AB120000}"/>
    <cellStyle name="Comma 3 6 3 2 2 2 2 2" xfId="26051" xr:uid="{00000000-0005-0000-0000-0000AC120000}"/>
    <cellStyle name="Comma 3 6 3 2 2 2 3" xfId="26050" xr:uid="{00000000-0005-0000-0000-0000AD120000}"/>
    <cellStyle name="Comma 3 6 3 2 2 3" xfId="2526" xr:uid="{00000000-0005-0000-0000-0000AE120000}"/>
    <cellStyle name="Comma 3 6 3 2 2 3 2" xfId="26052" xr:uid="{00000000-0005-0000-0000-0000AF120000}"/>
    <cellStyle name="Comma 3 6 3 2 2 4" xfId="26049" xr:uid="{00000000-0005-0000-0000-0000B0120000}"/>
    <cellStyle name="Comma 3 6 3 2 3" xfId="2527" xr:uid="{00000000-0005-0000-0000-0000B1120000}"/>
    <cellStyle name="Comma 3 6 3 2 3 2" xfId="2528" xr:uid="{00000000-0005-0000-0000-0000B2120000}"/>
    <cellStyle name="Comma 3 6 3 2 3 2 2" xfId="26054" xr:uid="{00000000-0005-0000-0000-0000B3120000}"/>
    <cellStyle name="Comma 3 6 3 2 3 3" xfId="26053" xr:uid="{00000000-0005-0000-0000-0000B4120000}"/>
    <cellStyle name="Comma 3 6 3 2 4" xfId="2529" xr:uid="{00000000-0005-0000-0000-0000B5120000}"/>
    <cellStyle name="Comma 3 6 3 2 4 2" xfId="26055" xr:uid="{00000000-0005-0000-0000-0000B6120000}"/>
    <cellStyle name="Comma 3 6 3 2 5" xfId="26048" xr:uid="{00000000-0005-0000-0000-0000B7120000}"/>
    <cellStyle name="Comma 3 6 3 3" xfId="2530" xr:uid="{00000000-0005-0000-0000-0000B8120000}"/>
    <cellStyle name="Comma 3 6 3 3 2" xfId="2531" xr:uid="{00000000-0005-0000-0000-0000B9120000}"/>
    <cellStyle name="Comma 3 6 3 3 2 2" xfId="2532" xr:uid="{00000000-0005-0000-0000-0000BA120000}"/>
    <cellStyle name="Comma 3 6 3 3 2 2 2" xfId="2533" xr:uid="{00000000-0005-0000-0000-0000BB120000}"/>
    <cellStyle name="Comma 3 6 3 3 2 2 2 2" xfId="26059" xr:uid="{00000000-0005-0000-0000-0000BC120000}"/>
    <cellStyle name="Comma 3 6 3 3 2 2 3" xfId="26058" xr:uid="{00000000-0005-0000-0000-0000BD120000}"/>
    <cellStyle name="Comma 3 6 3 3 2 3" xfId="2534" xr:uid="{00000000-0005-0000-0000-0000BE120000}"/>
    <cellStyle name="Comma 3 6 3 3 2 3 2" xfId="26060" xr:uid="{00000000-0005-0000-0000-0000BF120000}"/>
    <cellStyle name="Comma 3 6 3 3 2 4" xfId="26057" xr:uid="{00000000-0005-0000-0000-0000C0120000}"/>
    <cellStyle name="Comma 3 6 3 3 3" xfId="2535" xr:uid="{00000000-0005-0000-0000-0000C1120000}"/>
    <cellStyle name="Comma 3 6 3 3 3 2" xfId="2536" xr:uid="{00000000-0005-0000-0000-0000C2120000}"/>
    <cellStyle name="Comma 3 6 3 3 3 2 2" xfId="26062" xr:uid="{00000000-0005-0000-0000-0000C3120000}"/>
    <cellStyle name="Comma 3 6 3 3 3 3" xfId="26061" xr:uid="{00000000-0005-0000-0000-0000C4120000}"/>
    <cellStyle name="Comma 3 6 3 3 4" xfId="2537" xr:uid="{00000000-0005-0000-0000-0000C5120000}"/>
    <cellStyle name="Comma 3 6 3 3 4 2" xfId="26063" xr:uid="{00000000-0005-0000-0000-0000C6120000}"/>
    <cellStyle name="Comma 3 6 3 3 5" xfId="26056" xr:uid="{00000000-0005-0000-0000-0000C7120000}"/>
    <cellStyle name="Comma 3 6 3 4" xfId="2538" xr:uid="{00000000-0005-0000-0000-0000C8120000}"/>
    <cellStyle name="Comma 3 6 3 4 2" xfId="2539" xr:uid="{00000000-0005-0000-0000-0000C9120000}"/>
    <cellStyle name="Comma 3 6 3 4 2 2" xfId="2540" xr:uid="{00000000-0005-0000-0000-0000CA120000}"/>
    <cellStyle name="Comma 3 6 3 4 2 2 2" xfId="26066" xr:uid="{00000000-0005-0000-0000-0000CB120000}"/>
    <cellStyle name="Comma 3 6 3 4 2 3" xfId="26065" xr:uid="{00000000-0005-0000-0000-0000CC120000}"/>
    <cellStyle name="Comma 3 6 3 4 3" xfId="2541" xr:uid="{00000000-0005-0000-0000-0000CD120000}"/>
    <cellStyle name="Comma 3 6 3 4 3 2" xfId="26067" xr:uid="{00000000-0005-0000-0000-0000CE120000}"/>
    <cellStyle name="Comma 3 6 3 4 4" xfId="26064" xr:uid="{00000000-0005-0000-0000-0000CF120000}"/>
    <cellStyle name="Comma 3 6 3 5" xfId="2542" xr:uid="{00000000-0005-0000-0000-0000D0120000}"/>
    <cellStyle name="Comma 3 6 3 5 2" xfId="2543" xr:uid="{00000000-0005-0000-0000-0000D1120000}"/>
    <cellStyle name="Comma 3 6 3 5 2 2" xfId="26069" xr:uid="{00000000-0005-0000-0000-0000D2120000}"/>
    <cellStyle name="Comma 3 6 3 5 3" xfId="26068" xr:uid="{00000000-0005-0000-0000-0000D3120000}"/>
    <cellStyle name="Comma 3 6 3 6" xfId="2544" xr:uid="{00000000-0005-0000-0000-0000D4120000}"/>
    <cellStyle name="Comma 3 6 3 6 2" xfId="26070" xr:uid="{00000000-0005-0000-0000-0000D5120000}"/>
    <cellStyle name="Comma 3 6 3 7" xfId="26047" xr:uid="{00000000-0005-0000-0000-0000D6120000}"/>
    <cellStyle name="Comma 3 6 4" xfId="2545" xr:uid="{00000000-0005-0000-0000-0000D7120000}"/>
    <cellStyle name="Comma 3 6 4 2" xfId="2546" xr:uid="{00000000-0005-0000-0000-0000D8120000}"/>
    <cellStyle name="Comma 3 6 4 2 2" xfId="2547" xr:uid="{00000000-0005-0000-0000-0000D9120000}"/>
    <cellStyle name="Comma 3 6 4 2 2 2" xfId="2548" xr:uid="{00000000-0005-0000-0000-0000DA120000}"/>
    <cellStyle name="Comma 3 6 4 2 2 2 2" xfId="2549" xr:uid="{00000000-0005-0000-0000-0000DB120000}"/>
    <cellStyle name="Comma 3 6 4 2 2 2 2 2" xfId="26075" xr:uid="{00000000-0005-0000-0000-0000DC120000}"/>
    <cellStyle name="Comma 3 6 4 2 2 2 3" xfId="26074" xr:uid="{00000000-0005-0000-0000-0000DD120000}"/>
    <cellStyle name="Comma 3 6 4 2 2 3" xfId="2550" xr:uid="{00000000-0005-0000-0000-0000DE120000}"/>
    <cellStyle name="Comma 3 6 4 2 2 3 2" xfId="26076" xr:uid="{00000000-0005-0000-0000-0000DF120000}"/>
    <cellStyle name="Comma 3 6 4 2 2 4" xfId="26073" xr:uid="{00000000-0005-0000-0000-0000E0120000}"/>
    <cellStyle name="Comma 3 6 4 2 3" xfId="2551" xr:uid="{00000000-0005-0000-0000-0000E1120000}"/>
    <cellStyle name="Comma 3 6 4 2 3 2" xfId="2552" xr:uid="{00000000-0005-0000-0000-0000E2120000}"/>
    <cellStyle name="Comma 3 6 4 2 3 2 2" xfId="26078" xr:uid="{00000000-0005-0000-0000-0000E3120000}"/>
    <cellStyle name="Comma 3 6 4 2 3 3" xfId="26077" xr:uid="{00000000-0005-0000-0000-0000E4120000}"/>
    <cellStyle name="Comma 3 6 4 2 4" xfId="2553" xr:uid="{00000000-0005-0000-0000-0000E5120000}"/>
    <cellStyle name="Comma 3 6 4 2 4 2" xfId="26079" xr:uid="{00000000-0005-0000-0000-0000E6120000}"/>
    <cellStyle name="Comma 3 6 4 2 5" xfId="26072" xr:uid="{00000000-0005-0000-0000-0000E7120000}"/>
    <cellStyle name="Comma 3 6 4 3" xfId="2554" xr:uid="{00000000-0005-0000-0000-0000E8120000}"/>
    <cellStyle name="Comma 3 6 4 3 2" xfId="2555" xr:uid="{00000000-0005-0000-0000-0000E9120000}"/>
    <cellStyle name="Comma 3 6 4 3 2 2" xfId="2556" xr:uid="{00000000-0005-0000-0000-0000EA120000}"/>
    <cellStyle name="Comma 3 6 4 3 2 2 2" xfId="2557" xr:uid="{00000000-0005-0000-0000-0000EB120000}"/>
    <cellStyle name="Comma 3 6 4 3 2 2 2 2" xfId="26083" xr:uid="{00000000-0005-0000-0000-0000EC120000}"/>
    <cellStyle name="Comma 3 6 4 3 2 2 3" xfId="26082" xr:uid="{00000000-0005-0000-0000-0000ED120000}"/>
    <cellStyle name="Comma 3 6 4 3 2 3" xfId="2558" xr:uid="{00000000-0005-0000-0000-0000EE120000}"/>
    <cellStyle name="Comma 3 6 4 3 2 3 2" xfId="26084" xr:uid="{00000000-0005-0000-0000-0000EF120000}"/>
    <cellStyle name="Comma 3 6 4 3 2 4" xfId="26081" xr:uid="{00000000-0005-0000-0000-0000F0120000}"/>
    <cellStyle name="Comma 3 6 4 3 3" xfId="2559" xr:uid="{00000000-0005-0000-0000-0000F1120000}"/>
    <cellStyle name="Comma 3 6 4 3 3 2" xfId="2560" xr:uid="{00000000-0005-0000-0000-0000F2120000}"/>
    <cellStyle name="Comma 3 6 4 3 3 2 2" xfId="26086" xr:uid="{00000000-0005-0000-0000-0000F3120000}"/>
    <cellStyle name="Comma 3 6 4 3 3 3" xfId="26085" xr:uid="{00000000-0005-0000-0000-0000F4120000}"/>
    <cellStyle name="Comma 3 6 4 3 4" xfId="2561" xr:uid="{00000000-0005-0000-0000-0000F5120000}"/>
    <cellStyle name="Comma 3 6 4 3 4 2" xfId="26087" xr:uid="{00000000-0005-0000-0000-0000F6120000}"/>
    <cellStyle name="Comma 3 6 4 3 5" xfId="26080" xr:uid="{00000000-0005-0000-0000-0000F7120000}"/>
    <cellStyle name="Comma 3 6 4 4" xfId="2562" xr:uid="{00000000-0005-0000-0000-0000F8120000}"/>
    <cellStyle name="Comma 3 6 4 4 2" xfId="2563" xr:uid="{00000000-0005-0000-0000-0000F9120000}"/>
    <cellStyle name="Comma 3 6 4 4 2 2" xfId="2564" xr:uid="{00000000-0005-0000-0000-0000FA120000}"/>
    <cellStyle name="Comma 3 6 4 4 2 2 2" xfId="26090" xr:uid="{00000000-0005-0000-0000-0000FB120000}"/>
    <cellStyle name="Comma 3 6 4 4 2 3" xfId="26089" xr:uid="{00000000-0005-0000-0000-0000FC120000}"/>
    <cellStyle name="Comma 3 6 4 4 3" xfId="2565" xr:uid="{00000000-0005-0000-0000-0000FD120000}"/>
    <cellStyle name="Comma 3 6 4 4 3 2" xfId="26091" xr:uid="{00000000-0005-0000-0000-0000FE120000}"/>
    <cellStyle name="Comma 3 6 4 4 4" xfId="26088" xr:uid="{00000000-0005-0000-0000-0000FF120000}"/>
    <cellStyle name="Comma 3 6 4 5" xfId="2566" xr:uid="{00000000-0005-0000-0000-000000130000}"/>
    <cellStyle name="Comma 3 6 4 5 2" xfId="2567" xr:uid="{00000000-0005-0000-0000-000001130000}"/>
    <cellStyle name="Comma 3 6 4 5 2 2" xfId="26093" xr:uid="{00000000-0005-0000-0000-000002130000}"/>
    <cellStyle name="Comma 3 6 4 5 3" xfId="26092" xr:uid="{00000000-0005-0000-0000-000003130000}"/>
    <cellStyle name="Comma 3 6 4 6" xfId="2568" xr:uid="{00000000-0005-0000-0000-000004130000}"/>
    <cellStyle name="Comma 3 6 4 6 2" xfId="26094" xr:uid="{00000000-0005-0000-0000-000005130000}"/>
    <cellStyle name="Comma 3 6 4 7" xfId="26071" xr:uid="{00000000-0005-0000-0000-000006130000}"/>
    <cellStyle name="Comma 3 6 5" xfId="2569" xr:uid="{00000000-0005-0000-0000-000007130000}"/>
    <cellStyle name="Comma 3 6 5 2" xfId="2570" xr:uid="{00000000-0005-0000-0000-000008130000}"/>
    <cellStyle name="Comma 3 6 5 2 2" xfId="2571" xr:uid="{00000000-0005-0000-0000-000009130000}"/>
    <cellStyle name="Comma 3 6 5 2 2 2" xfId="2572" xr:uid="{00000000-0005-0000-0000-00000A130000}"/>
    <cellStyle name="Comma 3 6 5 2 2 2 2" xfId="26098" xr:uid="{00000000-0005-0000-0000-00000B130000}"/>
    <cellStyle name="Comma 3 6 5 2 2 3" xfId="26097" xr:uid="{00000000-0005-0000-0000-00000C130000}"/>
    <cellStyle name="Comma 3 6 5 2 3" xfId="2573" xr:uid="{00000000-0005-0000-0000-00000D130000}"/>
    <cellStyle name="Comma 3 6 5 2 3 2" xfId="26099" xr:uid="{00000000-0005-0000-0000-00000E130000}"/>
    <cellStyle name="Comma 3 6 5 2 4" xfId="26096" xr:uid="{00000000-0005-0000-0000-00000F130000}"/>
    <cellStyle name="Comma 3 6 5 3" xfId="2574" xr:uid="{00000000-0005-0000-0000-000010130000}"/>
    <cellStyle name="Comma 3 6 5 3 2" xfId="2575" xr:uid="{00000000-0005-0000-0000-000011130000}"/>
    <cellStyle name="Comma 3 6 5 3 2 2" xfId="26101" xr:uid="{00000000-0005-0000-0000-000012130000}"/>
    <cellStyle name="Comma 3 6 5 3 3" xfId="26100" xr:uid="{00000000-0005-0000-0000-000013130000}"/>
    <cellStyle name="Comma 3 6 5 4" xfId="2576" xr:uid="{00000000-0005-0000-0000-000014130000}"/>
    <cellStyle name="Comma 3 6 5 4 2" xfId="26102" xr:uid="{00000000-0005-0000-0000-000015130000}"/>
    <cellStyle name="Comma 3 6 5 5" xfId="26095" xr:uid="{00000000-0005-0000-0000-000016130000}"/>
    <cellStyle name="Comma 3 6 6" xfId="2577" xr:uid="{00000000-0005-0000-0000-000017130000}"/>
    <cellStyle name="Comma 3 6 6 2" xfId="2578" xr:uid="{00000000-0005-0000-0000-000018130000}"/>
    <cellStyle name="Comma 3 6 6 2 2" xfId="2579" xr:uid="{00000000-0005-0000-0000-000019130000}"/>
    <cellStyle name="Comma 3 6 6 2 2 2" xfId="2580" xr:uid="{00000000-0005-0000-0000-00001A130000}"/>
    <cellStyle name="Comma 3 6 6 2 2 2 2" xfId="26106" xr:uid="{00000000-0005-0000-0000-00001B130000}"/>
    <cellStyle name="Comma 3 6 6 2 2 3" xfId="26105" xr:uid="{00000000-0005-0000-0000-00001C130000}"/>
    <cellStyle name="Comma 3 6 6 2 3" xfId="2581" xr:uid="{00000000-0005-0000-0000-00001D130000}"/>
    <cellStyle name="Comma 3 6 6 2 3 2" xfId="26107" xr:uid="{00000000-0005-0000-0000-00001E130000}"/>
    <cellStyle name="Comma 3 6 6 2 4" xfId="26104" xr:uid="{00000000-0005-0000-0000-00001F130000}"/>
    <cellStyle name="Comma 3 6 6 3" xfId="2582" xr:uid="{00000000-0005-0000-0000-000020130000}"/>
    <cellStyle name="Comma 3 6 6 3 2" xfId="2583" xr:uid="{00000000-0005-0000-0000-000021130000}"/>
    <cellStyle name="Comma 3 6 6 3 2 2" xfId="26109" xr:uid="{00000000-0005-0000-0000-000022130000}"/>
    <cellStyle name="Comma 3 6 6 3 3" xfId="26108" xr:uid="{00000000-0005-0000-0000-000023130000}"/>
    <cellStyle name="Comma 3 6 6 4" xfId="2584" xr:uid="{00000000-0005-0000-0000-000024130000}"/>
    <cellStyle name="Comma 3 6 6 4 2" xfId="26110" xr:uid="{00000000-0005-0000-0000-000025130000}"/>
    <cellStyle name="Comma 3 6 6 5" xfId="26103" xr:uid="{00000000-0005-0000-0000-000026130000}"/>
    <cellStyle name="Comma 3 6 7" xfId="2585" xr:uid="{00000000-0005-0000-0000-000027130000}"/>
    <cellStyle name="Comma 3 6 7 2" xfId="2586" xr:uid="{00000000-0005-0000-0000-000028130000}"/>
    <cellStyle name="Comma 3 6 7 2 2" xfId="2587" xr:uid="{00000000-0005-0000-0000-000029130000}"/>
    <cellStyle name="Comma 3 6 7 2 2 2" xfId="26113" xr:uid="{00000000-0005-0000-0000-00002A130000}"/>
    <cellStyle name="Comma 3 6 7 2 3" xfId="26112" xr:uid="{00000000-0005-0000-0000-00002B130000}"/>
    <cellStyle name="Comma 3 6 7 3" xfId="2588" xr:uid="{00000000-0005-0000-0000-00002C130000}"/>
    <cellStyle name="Comma 3 6 7 3 2" xfId="26114" xr:uid="{00000000-0005-0000-0000-00002D130000}"/>
    <cellStyle name="Comma 3 6 7 4" xfId="26111" xr:uid="{00000000-0005-0000-0000-00002E130000}"/>
    <cellStyle name="Comma 3 6 8" xfId="2589" xr:uid="{00000000-0005-0000-0000-00002F130000}"/>
    <cellStyle name="Comma 3 6 8 2" xfId="2590" xr:uid="{00000000-0005-0000-0000-000030130000}"/>
    <cellStyle name="Comma 3 6 8 2 2" xfId="26116" xr:uid="{00000000-0005-0000-0000-000031130000}"/>
    <cellStyle name="Comma 3 6 8 3" xfId="26115" xr:uid="{00000000-0005-0000-0000-000032130000}"/>
    <cellStyle name="Comma 3 6 9" xfId="2591" xr:uid="{00000000-0005-0000-0000-000033130000}"/>
    <cellStyle name="Comma 3 6 9 2" xfId="26117" xr:uid="{00000000-0005-0000-0000-000034130000}"/>
    <cellStyle name="Comma 3 7" xfId="2592" xr:uid="{00000000-0005-0000-0000-000035130000}"/>
    <cellStyle name="Comma 3 7 2" xfId="2593" xr:uid="{00000000-0005-0000-0000-000036130000}"/>
    <cellStyle name="Comma 3 7 2 2" xfId="2594" xr:uid="{00000000-0005-0000-0000-000037130000}"/>
    <cellStyle name="Comma 3 7 2 2 2" xfId="2595" xr:uid="{00000000-0005-0000-0000-000038130000}"/>
    <cellStyle name="Comma 3 7 2 2 2 2" xfId="2596" xr:uid="{00000000-0005-0000-0000-000039130000}"/>
    <cellStyle name="Comma 3 7 2 2 2 2 2" xfId="26122" xr:uid="{00000000-0005-0000-0000-00003A130000}"/>
    <cellStyle name="Comma 3 7 2 2 2 3" xfId="26121" xr:uid="{00000000-0005-0000-0000-00003B130000}"/>
    <cellStyle name="Comma 3 7 2 2 3" xfId="2597" xr:uid="{00000000-0005-0000-0000-00003C130000}"/>
    <cellStyle name="Comma 3 7 2 2 3 2" xfId="26123" xr:uid="{00000000-0005-0000-0000-00003D130000}"/>
    <cellStyle name="Comma 3 7 2 2 4" xfId="26120" xr:uid="{00000000-0005-0000-0000-00003E130000}"/>
    <cellStyle name="Comma 3 7 2 3" xfId="2598" xr:uid="{00000000-0005-0000-0000-00003F130000}"/>
    <cellStyle name="Comma 3 7 2 3 2" xfId="2599" xr:uid="{00000000-0005-0000-0000-000040130000}"/>
    <cellStyle name="Comma 3 7 2 3 2 2" xfId="26125" xr:uid="{00000000-0005-0000-0000-000041130000}"/>
    <cellStyle name="Comma 3 7 2 3 3" xfId="26124" xr:uid="{00000000-0005-0000-0000-000042130000}"/>
    <cellStyle name="Comma 3 7 2 4" xfId="2600" xr:uid="{00000000-0005-0000-0000-000043130000}"/>
    <cellStyle name="Comma 3 7 2 4 2" xfId="26126" xr:uid="{00000000-0005-0000-0000-000044130000}"/>
    <cellStyle name="Comma 3 7 2 5" xfId="26119" xr:uid="{00000000-0005-0000-0000-000045130000}"/>
    <cellStyle name="Comma 3 7 3" xfId="2601" xr:uid="{00000000-0005-0000-0000-000046130000}"/>
    <cellStyle name="Comma 3 7 3 2" xfId="2602" xr:uid="{00000000-0005-0000-0000-000047130000}"/>
    <cellStyle name="Comma 3 7 3 2 2" xfId="2603" xr:uid="{00000000-0005-0000-0000-000048130000}"/>
    <cellStyle name="Comma 3 7 3 2 2 2" xfId="2604" xr:uid="{00000000-0005-0000-0000-000049130000}"/>
    <cellStyle name="Comma 3 7 3 2 2 2 2" xfId="26130" xr:uid="{00000000-0005-0000-0000-00004A130000}"/>
    <cellStyle name="Comma 3 7 3 2 2 3" xfId="26129" xr:uid="{00000000-0005-0000-0000-00004B130000}"/>
    <cellStyle name="Comma 3 7 3 2 3" xfId="2605" xr:uid="{00000000-0005-0000-0000-00004C130000}"/>
    <cellStyle name="Comma 3 7 3 2 3 2" xfId="26131" xr:uid="{00000000-0005-0000-0000-00004D130000}"/>
    <cellStyle name="Comma 3 7 3 2 4" xfId="26128" xr:uid="{00000000-0005-0000-0000-00004E130000}"/>
    <cellStyle name="Comma 3 7 3 3" xfId="2606" xr:uid="{00000000-0005-0000-0000-00004F130000}"/>
    <cellStyle name="Comma 3 7 3 3 2" xfId="2607" xr:uid="{00000000-0005-0000-0000-000050130000}"/>
    <cellStyle name="Comma 3 7 3 3 2 2" xfId="26133" xr:uid="{00000000-0005-0000-0000-000051130000}"/>
    <cellStyle name="Comma 3 7 3 3 3" xfId="26132" xr:uid="{00000000-0005-0000-0000-000052130000}"/>
    <cellStyle name="Comma 3 7 3 4" xfId="2608" xr:uid="{00000000-0005-0000-0000-000053130000}"/>
    <cellStyle name="Comma 3 7 3 4 2" xfId="26134" xr:uid="{00000000-0005-0000-0000-000054130000}"/>
    <cellStyle name="Comma 3 7 3 5" xfId="26127" xr:uid="{00000000-0005-0000-0000-000055130000}"/>
    <cellStyle name="Comma 3 7 4" xfId="2609" xr:uid="{00000000-0005-0000-0000-000056130000}"/>
    <cellStyle name="Comma 3 7 4 2" xfId="2610" xr:uid="{00000000-0005-0000-0000-000057130000}"/>
    <cellStyle name="Comma 3 7 4 2 2" xfId="2611" xr:uid="{00000000-0005-0000-0000-000058130000}"/>
    <cellStyle name="Comma 3 7 4 2 2 2" xfId="26137" xr:uid="{00000000-0005-0000-0000-000059130000}"/>
    <cellStyle name="Comma 3 7 4 2 3" xfId="26136" xr:uid="{00000000-0005-0000-0000-00005A130000}"/>
    <cellStyle name="Comma 3 7 4 3" xfId="2612" xr:uid="{00000000-0005-0000-0000-00005B130000}"/>
    <cellStyle name="Comma 3 7 4 3 2" xfId="26138" xr:uid="{00000000-0005-0000-0000-00005C130000}"/>
    <cellStyle name="Comma 3 7 4 4" xfId="26135" xr:uid="{00000000-0005-0000-0000-00005D130000}"/>
    <cellStyle name="Comma 3 7 5" xfId="2613" xr:uid="{00000000-0005-0000-0000-00005E130000}"/>
    <cellStyle name="Comma 3 7 5 2" xfId="2614" xr:uid="{00000000-0005-0000-0000-00005F130000}"/>
    <cellStyle name="Comma 3 7 5 2 2" xfId="26140" xr:uid="{00000000-0005-0000-0000-000060130000}"/>
    <cellStyle name="Comma 3 7 5 3" xfId="26139" xr:uid="{00000000-0005-0000-0000-000061130000}"/>
    <cellStyle name="Comma 3 7 6" xfId="2615" xr:uid="{00000000-0005-0000-0000-000062130000}"/>
    <cellStyle name="Comma 3 7 6 2" xfId="26141" xr:uid="{00000000-0005-0000-0000-000063130000}"/>
    <cellStyle name="Comma 3 7 7" xfId="26118" xr:uid="{00000000-0005-0000-0000-000064130000}"/>
    <cellStyle name="Comma 3 8" xfId="2616" xr:uid="{00000000-0005-0000-0000-000065130000}"/>
    <cellStyle name="Comma 3 8 2" xfId="2617" xr:uid="{00000000-0005-0000-0000-000066130000}"/>
    <cellStyle name="Comma 3 8 2 2" xfId="2618" xr:uid="{00000000-0005-0000-0000-000067130000}"/>
    <cellStyle name="Comma 3 8 2 2 2" xfId="2619" xr:uid="{00000000-0005-0000-0000-000068130000}"/>
    <cellStyle name="Comma 3 8 2 2 2 2" xfId="2620" xr:uid="{00000000-0005-0000-0000-000069130000}"/>
    <cellStyle name="Comma 3 8 2 2 2 2 2" xfId="26146" xr:uid="{00000000-0005-0000-0000-00006A130000}"/>
    <cellStyle name="Comma 3 8 2 2 2 3" xfId="26145" xr:uid="{00000000-0005-0000-0000-00006B130000}"/>
    <cellStyle name="Comma 3 8 2 2 3" xfId="2621" xr:uid="{00000000-0005-0000-0000-00006C130000}"/>
    <cellStyle name="Comma 3 8 2 2 3 2" xfId="26147" xr:uid="{00000000-0005-0000-0000-00006D130000}"/>
    <cellStyle name="Comma 3 8 2 2 4" xfId="26144" xr:uid="{00000000-0005-0000-0000-00006E130000}"/>
    <cellStyle name="Comma 3 8 2 3" xfId="2622" xr:uid="{00000000-0005-0000-0000-00006F130000}"/>
    <cellStyle name="Comma 3 8 2 3 2" xfId="2623" xr:uid="{00000000-0005-0000-0000-000070130000}"/>
    <cellStyle name="Comma 3 8 2 3 2 2" xfId="26149" xr:uid="{00000000-0005-0000-0000-000071130000}"/>
    <cellStyle name="Comma 3 8 2 3 3" xfId="26148" xr:uid="{00000000-0005-0000-0000-000072130000}"/>
    <cellStyle name="Comma 3 8 2 4" xfId="2624" xr:uid="{00000000-0005-0000-0000-000073130000}"/>
    <cellStyle name="Comma 3 8 2 4 2" xfId="26150" xr:uid="{00000000-0005-0000-0000-000074130000}"/>
    <cellStyle name="Comma 3 8 2 5" xfId="26143" xr:uid="{00000000-0005-0000-0000-000075130000}"/>
    <cellStyle name="Comma 3 8 3" xfId="2625" xr:uid="{00000000-0005-0000-0000-000076130000}"/>
    <cellStyle name="Comma 3 8 3 2" xfId="2626" xr:uid="{00000000-0005-0000-0000-000077130000}"/>
    <cellStyle name="Comma 3 8 3 2 2" xfId="2627" xr:uid="{00000000-0005-0000-0000-000078130000}"/>
    <cellStyle name="Comma 3 8 3 2 2 2" xfId="2628" xr:uid="{00000000-0005-0000-0000-000079130000}"/>
    <cellStyle name="Comma 3 8 3 2 2 2 2" xfId="26154" xr:uid="{00000000-0005-0000-0000-00007A130000}"/>
    <cellStyle name="Comma 3 8 3 2 2 3" xfId="26153" xr:uid="{00000000-0005-0000-0000-00007B130000}"/>
    <cellStyle name="Comma 3 8 3 2 3" xfId="2629" xr:uid="{00000000-0005-0000-0000-00007C130000}"/>
    <cellStyle name="Comma 3 8 3 2 3 2" xfId="26155" xr:uid="{00000000-0005-0000-0000-00007D130000}"/>
    <cellStyle name="Comma 3 8 3 2 4" xfId="26152" xr:uid="{00000000-0005-0000-0000-00007E130000}"/>
    <cellStyle name="Comma 3 8 3 3" xfId="2630" xr:uid="{00000000-0005-0000-0000-00007F130000}"/>
    <cellStyle name="Comma 3 8 3 3 2" xfId="2631" xr:uid="{00000000-0005-0000-0000-000080130000}"/>
    <cellStyle name="Comma 3 8 3 3 2 2" xfId="26157" xr:uid="{00000000-0005-0000-0000-000081130000}"/>
    <cellStyle name="Comma 3 8 3 3 3" xfId="26156" xr:uid="{00000000-0005-0000-0000-000082130000}"/>
    <cellStyle name="Comma 3 8 3 4" xfId="2632" xr:uid="{00000000-0005-0000-0000-000083130000}"/>
    <cellStyle name="Comma 3 8 3 4 2" xfId="26158" xr:uid="{00000000-0005-0000-0000-000084130000}"/>
    <cellStyle name="Comma 3 8 3 5" xfId="26151" xr:uid="{00000000-0005-0000-0000-000085130000}"/>
    <cellStyle name="Comma 3 8 4" xfId="2633" xr:uid="{00000000-0005-0000-0000-000086130000}"/>
    <cellStyle name="Comma 3 8 4 2" xfId="2634" xr:uid="{00000000-0005-0000-0000-000087130000}"/>
    <cellStyle name="Comma 3 8 4 2 2" xfId="2635" xr:uid="{00000000-0005-0000-0000-000088130000}"/>
    <cellStyle name="Comma 3 8 4 2 2 2" xfId="26161" xr:uid="{00000000-0005-0000-0000-000089130000}"/>
    <cellStyle name="Comma 3 8 4 2 3" xfId="26160" xr:uid="{00000000-0005-0000-0000-00008A130000}"/>
    <cellStyle name="Comma 3 8 4 3" xfId="2636" xr:uid="{00000000-0005-0000-0000-00008B130000}"/>
    <cellStyle name="Comma 3 8 4 3 2" xfId="26162" xr:uid="{00000000-0005-0000-0000-00008C130000}"/>
    <cellStyle name="Comma 3 8 4 4" xfId="26159" xr:uid="{00000000-0005-0000-0000-00008D130000}"/>
    <cellStyle name="Comma 3 8 5" xfId="2637" xr:uid="{00000000-0005-0000-0000-00008E130000}"/>
    <cellStyle name="Comma 3 8 5 2" xfId="2638" xr:uid="{00000000-0005-0000-0000-00008F130000}"/>
    <cellStyle name="Comma 3 8 5 2 2" xfId="26164" xr:uid="{00000000-0005-0000-0000-000090130000}"/>
    <cellStyle name="Comma 3 8 5 3" xfId="26163" xr:uid="{00000000-0005-0000-0000-000091130000}"/>
    <cellStyle name="Comma 3 8 6" xfId="2639" xr:uid="{00000000-0005-0000-0000-000092130000}"/>
    <cellStyle name="Comma 3 8 6 2" xfId="26165" xr:uid="{00000000-0005-0000-0000-000093130000}"/>
    <cellStyle name="Comma 3 8 7" xfId="26142" xr:uid="{00000000-0005-0000-0000-000094130000}"/>
    <cellStyle name="Comma 3 9" xfId="2640" xr:uid="{00000000-0005-0000-0000-000095130000}"/>
    <cellStyle name="Comma 3 9 2" xfId="2641" xr:uid="{00000000-0005-0000-0000-000096130000}"/>
    <cellStyle name="Comma 3 9 2 2" xfId="2642" xr:uid="{00000000-0005-0000-0000-000097130000}"/>
    <cellStyle name="Comma 3 9 2 2 2" xfId="2643" xr:uid="{00000000-0005-0000-0000-000098130000}"/>
    <cellStyle name="Comma 3 9 2 2 2 2" xfId="2644" xr:uid="{00000000-0005-0000-0000-000099130000}"/>
    <cellStyle name="Comma 3 9 2 2 2 2 2" xfId="26170" xr:uid="{00000000-0005-0000-0000-00009A130000}"/>
    <cellStyle name="Comma 3 9 2 2 2 3" xfId="26169" xr:uid="{00000000-0005-0000-0000-00009B130000}"/>
    <cellStyle name="Comma 3 9 2 2 3" xfId="2645" xr:uid="{00000000-0005-0000-0000-00009C130000}"/>
    <cellStyle name="Comma 3 9 2 2 3 2" xfId="26171" xr:uid="{00000000-0005-0000-0000-00009D130000}"/>
    <cellStyle name="Comma 3 9 2 2 4" xfId="26168" xr:uid="{00000000-0005-0000-0000-00009E130000}"/>
    <cellStyle name="Comma 3 9 2 3" xfId="2646" xr:uid="{00000000-0005-0000-0000-00009F130000}"/>
    <cellStyle name="Comma 3 9 2 3 2" xfId="2647" xr:uid="{00000000-0005-0000-0000-0000A0130000}"/>
    <cellStyle name="Comma 3 9 2 3 2 2" xfId="26173" xr:uid="{00000000-0005-0000-0000-0000A1130000}"/>
    <cellStyle name="Comma 3 9 2 3 3" xfId="26172" xr:uid="{00000000-0005-0000-0000-0000A2130000}"/>
    <cellStyle name="Comma 3 9 2 4" xfId="2648" xr:uid="{00000000-0005-0000-0000-0000A3130000}"/>
    <cellStyle name="Comma 3 9 2 4 2" xfId="26174" xr:uid="{00000000-0005-0000-0000-0000A4130000}"/>
    <cellStyle name="Comma 3 9 2 5" xfId="26167" xr:uid="{00000000-0005-0000-0000-0000A5130000}"/>
    <cellStyle name="Comma 3 9 3" xfId="2649" xr:uid="{00000000-0005-0000-0000-0000A6130000}"/>
    <cellStyle name="Comma 3 9 3 2" xfId="2650" xr:uid="{00000000-0005-0000-0000-0000A7130000}"/>
    <cellStyle name="Comma 3 9 3 2 2" xfId="2651" xr:uid="{00000000-0005-0000-0000-0000A8130000}"/>
    <cellStyle name="Comma 3 9 3 2 2 2" xfId="2652" xr:uid="{00000000-0005-0000-0000-0000A9130000}"/>
    <cellStyle name="Comma 3 9 3 2 2 2 2" xfId="26178" xr:uid="{00000000-0005-0000-0000-0000AA130000}"/>
    <cellStyle name="Comma 3 9 3 2 2 3" xfId="26177" xr:uid="{00000000-0005-0000-0000-0000AB130000}"/>
    <cellStyle name="Comma 3 9 3 2 3" xfId="2653" xr:uid="{00000000-0005-0000-0000-0000AC130000}"/>
    <cellStyle name="Comma 3 9 3 2 3 2" xfId="26179" xr:uid="{00000000-0005-0000-0000-0000AD130000}"/>
    <cellStyle name="Comma 3 9 3 2 4" xfId="26176" xr:uid="{00000000-0005-0000-0000-0000AE130000}"/>
    <cellStyle name="Comma 3 9 3 3" xfId="2654" xr:uid="{00000000-0005-0000-0000-0000AF130000}"/>
    <cellStyle name="Comma 3 9 3 3 2" xfId="2655" xr:uid="{00000000-0005-0000-0000-0000B0130000}"/>
    <cellStyle name="Comma 3 9 3 3 2 2" xfId="26181" xr:uid="{00000000-0005-0000-0000-0000B1130000}"/>
    <cellStyle name="Comma 3 9 3 3 3" xfId="26180" xr:uid="{00000000-0005-0000-0000-0000B2130000}"/>
    <cellStyle name="Comma 3 9 3 4" xfId="2656" xr:uid="{00000000-0005-0000-0000-0000B3130000}"/>
    <cellStyle name="Comma 3 9 3 4 2" xfId="26182" xr:uid="{00000000-0005-0000-0000-0000B4130000}"/>
    <cellStyle name="Comma 3 9 3 5" xfId="26175" xr:uid="{00000000-0005-0000-0000-0000B5130000}"/>
    <cellStyle name="Comma 3 9 4" xfId="2657" xr:uid="{00000000-0005-0000-0000-0000B6130000}"/>
    <cellStyle name="Comma 3 9 4 2" xfId="2658" xr:uid="{00000000-0005-0000-0000-0000B7130000}"/>
    <cellStyle name="Comma 3 9 4 2 2" xfId="2659" xr:uid="{00000000-0005-0000-0000-0000B8130000}"/>
    <cellStyle name="Comma 3 9 4 2 2 2" xfId="26185" xr:uid="{00000000-0005-0000-0000-0000B9130000}"/>
    <cellStyle name="Comma 3 9 4 2 3" xfId="26184" xr:uid="{00000000-0005-0000-0000-0000BA130000}"/>
    <cellStyle name="Comma 3 9 4 3" xfId="2660" xr:uid="{00000000-0005-0000-0000-0000BB130000}"/>
    <cellStyle name="Comma 3 9 4 3 2" xfId="26186" xr:uid="{00000000-0005-0000-0000-0000BC130000}"/>
    <cellStyle name="Comma 3 9 4 4" xfId="26183" xr:uid="{00000000-0005-0000-0000-0000BD130000}"/>
    <cellStyle name="Comma 3 9 5" xfId="2661" xr:uid="{00000000-0005-0000-0000-0000BE130000}"/>
    <cellStyle name="Comma 3 9 5 2" xfId="2662" xr:uid="{00000000-0005-0000-0000-0000BF130000}"/>
    <cellStyle name="Comma 3 9 5 2 2" xfId="26188" xr:uid="{00000000-0005-0000-0000-0000C0130000}"/>
    <cellStyle name="Comma 3 9 5 3" xfId="26187" xr:uid="{00000000-0005-0000-0000-0000C1130000}"/>
    <cellStyle name="Comma 3 9 6" xfId="2663" xr:uid="{00000000-0005-0000-0000-0000C2130000}"/>
    <cellStyle name="Comma 3 9 6 2" xfId="26189" xr:uid="{00000000-0005-0000-0000-0000C3130000}"/>
    <cellStyle name="Comma 3 9 7" xfId="26166" xr:uid="{00000000-0005-0000-0000-0000C4130000}"/>
    <cellStyle name="Comma 4" xfId="41" xr:uid="{00000000-0005-0000-0000-0000C5130000}"/>
    <cellStyle name="Comma 4 10" xfId="2665" xr:uid="{00000000-0005-0000-0000-0000C6130000}"/>
    <cellStyle name="Comma 4 10 2" xfId="2666" xr:uid="{00000000-0005-0000-0000-0000C7130000}"/>
    <cellStyle name="Comma 4 10 2 2" xfId="2667" xr:uid="{00000000-0005-0000-0000-0000C8130000}"/>
    <cellStyle name="Comma 4 10 2 2 2" xfId="2668" xr:uid="{00000000-0005-0000-0000-0000C9130000}"/>
    <cellStyle name="Comma 4 10 2 2 2 2" xfId="26194" xr:uid="{00000000-0005-0000-0000-0000CA130000}"/>
    <cellStyle name="Comma 4 10 2 2 3" xfId="26193" xr:uid="{00000000-0005-0000-0000-0000CB130000}"/>
    <cellStyle name="Comma 4 10 2 3" xfId="2669" xr:uid="{00000000-0005-0000-0000-0000CC130000}"/>
    <cellStyle name="Comma 4 10 2 3 2" xfId="26195" xr:uid="{00000000-0005-0000-0000-0000CD130000}"/>
    <cellStyle name="Comma 4 10 2 4" xfId="26192" xr:uid="{00000000-0005-0000-0000-0000CE130000}"/>
    <cellStyle name="Comma 4 10 3" xfId="2670" xr:uid="{00000000-0005-0000-0000-0000CF130000}"/>
    <cellStyle name="Comma 4 10 3 2" xfId="2671" xr:uid="{00000000-0005-0000-0000-0000D0130000}"/>
    <cellStyle name="Comma 4 10 3 2 2" xfId="26197" xr:uid="{00000000-0005-0000-0000-0000D1130000}"/>
    <cellStyle name="Comma 4 10 3 3" xfId="26196" xr:uid="{00000000-0005-0000-0000-0000D2130000}"/>
    <cellStyle name="Comma 4 10 4" xfId="2672" xr:uid="{00000000-0005-0000-0000-0000D3130000}"/>
    <cellStyle name="Comma 4 10 4 2" xfId="26198" xr:uid="{00000000-0005-0000-0000-0000D4130000}"/>
    <cellStyle name="Comma 4 10 5" xfId="26191" xr:uid="{00000000-0005-0000-0000-0000D5130000}"/>
    <cellStyle name="Comma 4 11" xfId="2673" xr:uid="{00000000-0005-0000-0000-0000D6130000}"/>
    <cellStyle name="Comma 4 11 2" xfId="2674" xr:uid="{00000000-0005-0000-0000-0000D7130000}"/>
    <cellStyle name="Comma 4 11 2 2" xfId="2675" xr:uid="{00000000-0005-0000-0000-0000D8130000}"/>
    <cellStyle name="Comma 4 11 2 2 2" xfId="2676" xr:uid="{00000000-0005-0000-0000-0000D9130000}"/>
    <cellStyle name="Comma 4 11 2 2 2 2" xfId="26202" xr:uid="{00000000-0005-0000-0000-0000DA130000}"/>
    <cellStyle name="Comma 4 11 2 2 3" xfId="26201" xr:uid="{00000000-0005-0000-0000-0000DB130000}"/>
    <cellStyle name="Comma 4 11 2 3" xfId="2677" xr:uid="{00000000-0005-0000-0000-0000DC130000}"/>
    <cellStyle name="Comma 4 11 2 3 2" xfId="26203" xr:uid="{00000000-0005-0000-0000-0000DD130000}"/>
    <cellStyle name="Comma 4 11 2 4" xfId="26200" xr:uid="{00000000-0005-0000-0000-0000DE130000}"/>
    <cellStyle name="Comma 4 11 3" xfId="2678" xr:uid="{00000000-0005-0000-0000-0000DF130000}"/>
    <cellStyle name="Comma 4 11 3 2" xfId="2679" xr:uid="{00000000-0005-0000-0000-0000E0130000}"/>
    <cellStyle name="Comma 4 11 3 2 2" xfId="26205" xr:uid="{00000000-0005-0000-0000-0000E1130000}"/>
    <cellStyle name="Comma 4 11 3 3" xfId="26204" xr:uid="{00000000-0005-0000-0000-0000E2130000}"/>
    <cellStyle name="Comma 4 11 4" xfId="2680" xr:uid="{00000000-0005-0000-0000-0000E3130000}"/>
    <cellStyle name="Comma 4 11 4 2" xfId="26206" xr:uid="{00000000-0005-0000-0000-0000E4130000}"/>
    <cellStyle name="Comma 4 11 5" xfId="26199" xr:uid="{00000000-0005-0000-0000-0000E5130000}"/>
    <cellStyle name="Comma 4 12" xfId="2681" xr:uid="{00000000-0005-0000-0000-0000E6130000}"/>
    <cellStyle name="Comma 4 12 2" xfId="2682" xr:uid="{00000000-0005-0000-0000-0000E7130000}"/>
    <cellStyle name="Comma 4 12 2 2" xfId="2683" xr:uid="{00000000-0005-0000-0000-0000E8130000}"/>
    <cellStyle name="Comma 4 12 2 2 2" xfId="26208" xr:uid="{00000000-0005-0000-0000-0000E9130000}"/>
    <cellStyle name="Comma 4 12 2 3" xfId="26207" xr:uid="{00000000-0005-0000-0000-0000EA130000}"/>
    <cellStyle name="Comma 4 13" xfId="2684" xr:uid="{00000000-0005-0000-0000-0000EB130000}"/>
    <cellStyle name="Comma 4 13 2" xfId="2685" xr:uid="{00000000-0005-0000-0000-0000EC130000}"/>
    <cellStyle name="Comma 4 13 2 2" xfId="26210" xr:uid="{00000000-0005-0000-0000-0000ED130000}"/>
    <cellStyle name="Comma 4 13 3" xfId="26209" xr:uid="{00000000-0005-0000-0000-0000EE130000}"/>
    <cellStyle name="Comma 4 14" xfId="2686" xr:uid="{00000000-0005-0000-0000-0000EF130000}"/>
    <cellStyle name="Comma 4 14 2" xfId="26211" xr:uid="{00000000-0005-0000-0000-0000F0130000}"/>
    <cellStyle name="Comma 4 15" xfId="2664" xr:uid="{00000000-0005-0000-0000-0000F1130000}"/>
    <cellStyle name="Comma 4 15 2" xfId="26190" xr:uid="{00000000-0005-0000-0000-0000F2130000}"/>
    <cellStyle name="Comma 4 2" xfId="42" xr:uid="{00000000-0005-0000-0000-0000F3130000}"/>
    <cellStyle name="Comma 4 2 10" xfId="2688" xr:uid="{00000000-0005-0000-0000-0000F4130000}"/>
    <cellStyle name="Comma 4 2 10 2" xfId="26213" xr:uid="{00000000-0005-0000-0000-0000F5130000}"/>
    <cellStyle name="Comma 4 2 11" xfId="2687" xr:uid="{00000000-0005-0000-0000-0000F6130000}"/>
    <cellStyle name="Comma 4 2 11 2" xfId="26212" xr:uid="{00000000-0005-0000-0000-0000F7130000}"/>
    <cellStyle name="Comma 4 2 2" xfId="2689" xr:uid="{00000000-0005-0000-0000-0000F8130000}"/>
    <cellStyle name="Comma 4 2 2 2" xfId="2690" xr:uid="{00000000-0005-0000-0000-0000F9130000}"/>
    <cellStyle name="Comma 4 2 2 2 2" xfId="2691" xr:uid="{00000000-0005-0000-0000-0000FA130000}"/>
    <cellStyle name="Comma 4 2 2 2 2 2" xfId="2692" xr:uid="{00000000-0005-0000-0000-0000FB130000}"/>
    <cellStyle name="Comma 4 2 2 2 2 2 2" xfId="2693" xr:uid="{00000000-0005-0000-0000-0000FC130000}"/>
    <cellStyle name="Comma 4 2 2 2 2 2 2 2" xfId="26218" xr:uid="{00000000-0005-0000-0000-0000FD130000}"/>
    <cellStyle name="Comma 4 2 2 2 2 2 3" xfId="26217" xr:uid="{00000000-0005-0000-0000-0000FE130000}"/>
    <cellStyle name="Comma 4 2 2 2 2 3" xfId="2694" xr:uid="{00000000-0005-0000-0000-0000FF130000}"/>
    <cellStyle name="Comma 4 2 2 2 2 3 2" xfId="26219" xr:uid="{00000000-0005-0000-0000-000000140000}"/>
    <cellStyle name="Comma 4 2 2 2 2 4" xfId="26216" xr:uid="{00000000-0005-0000-0000-000001140000}"/>
    <cellStyle name="Comma 4 2 2 2 3" xfId="2695" xr:uid="{00000000-0005-0000-0000-000002140000}"/>
    <cellStyle name="Comma 4 2 2 2 3 2" xfId="2696" xr:uid="{00000000-0005-0000-0000-000003140000}"/>
    <cellStyle name="Comma 4 2 2 2 3 2 2" xfId="26221" xr:uid="{00000000-0005-0000-0000-000004140000}"/>
    <cellStyle name="Comma 4 2 2 2 3 3" xfId="26220" xr:uid="{00000000-0005-0000-0000-000005140000}"/>
    <cellStyle name="Comma 4 2 2 2 4" xfId="2697" xr:uid="{00000000-0005-0000-0000-000006140000}"/>
    <cellStyle name="Comma 4 2 2 2 4 2" xfId="26222" xr:uid="{00000000-0005-0000-0000-000007140000}"/>
    <cellStyle name="Comma 4 2 2 2 5" xfId="26215" xr:uid="{00000000-0005-0000-0000-000008140000}"/>
    <cellStyle name="Comma 4 2 2 3" xfId="2698" xr:uid="{00000000-0005-0000-0000-000009140000}"/>
    <cellStyle name="Comma 4 2 2 3 2" xfId="2699" xr:uid="{00000000-0005-0000-0000-00000A140000}"/>
    <cellStyle name="Comma 4 2 2 3 2 2" xfId="2700" xr:uid="{00000000-0005-0000-0000-00000B140000}"/>
    <cellStyle name="Comma 4 2 2 3 2 2 2" xfId="2701" xr:uid="{00000000-0005-0000-0000-00000C140000}"/>
    <cellStyle name="Comma 4 2 2 3 2 2 2 2" xfId="26226" xr:uid="{00000000-0005-0000-0000-00000D140000}"/>
    <cellStyle name="Comma 4 2 2 3 2 2 3" xfId="26225" xr:uid="{00000000-0005-0000-0000-00000E140000}"/>
    <cellStyle name="Comma 4 2 2 3 2 3" xfId="2702" xr:uid="{00000000-0005-0000-0000-00000F140000}"/>
    <cellStyle name="Comma 4 2 2 3 2 3 2" xfId="26227" xr:uid="{00000000-0005-0000-0000-000010140000}"/>
    <cellStyle name="Comma 4 2 2 3 2 4" xfId="26224" xr:uid="{00000000-0005-0000-0000-000011140000}"/>
    <cellStyle name="Comma 4 2 2 3 3" xfId="2703" xr:uid="{00000000-0005-0000-0000-000012140000}"/>
    <cellStyle name="Comma 4 2 2 3 3 2" xfId="2704" xr:uid="{00000000-0005-0000-0000-000013140000}"/>
    <cellStyle name="Comma 4 2 2 3 3 2 2" xfId="26229" xr:uid="{00000000-0005-0000-0000-000014140000}"/>
    <cellStyle name="Comma 4 2 2 3 3 3" xfId="26228" xr:uid="{00000000-0005-0000-0000-000015140000}"/>
    <cellStyle name="Comma 4 2 2 3 4" xfId="2705" xr:uid="{00000000-0005-0000-0000-000016140000}"/>
    <cellStyle name="Comma 4 2 2 3 4 2" xfId="26230" xr:uid="{00000000-0005-0000-0000-000017140000}"/>
    <cellStyle name="Comma 4 2 2 3 5" xfId="26223" xr:uid="{00000000-0005-0000-0000-000018140000}"/>
    <cellStyle name="Comma 4 2 2 4" xfId="2706" xr:uid="{00000000-0005-0000-0000-000019140000}"/>
    <cellStyle name="Comma 4 2 2 4 2" xfId="2707" xr:uid="{00000000-0005-0000-0000-00001A140000}"/>
    <cellStyle name="Comma 4 2 2 4 2 2" xfId="2708" xr:uid="{00000000-0005-0000-0000-00001B140000}"/>
    <cellStyle name="Comma 4 2 2 4 2 2 2" xfId="26233" xr:uid="{00000000-0005-0000-0000-00001C140000}"/>
    <cellStyle name="Comma 4 2 2 4 2 3" xfId="26232" xr:uid="{00000000-0005-0000-0000-00001D140000}"/>
    <cellStyle name="Comma 4 2 2 4 3" xfId="2709" xr:uid="{00000000-0005-0000-0000-00001E140000}"/>
    <cellStyle name="Comma 4 2 2 4 3 2" xfId="26234" xr:uid="{00000000-0005-0000-0000-00001F140000}"/>
    <cellStyle name="Comma 4 2 2 4 4" xfId="26231" xr:uid="{00000000-0005-0000-0000-000020140000}"/>
    <cellStyle name="Comma 4 2 2 5" xfId="2710" xr:uid="{00000000-0005-0000-0000-000021140000}"/>
    <cellStyle name="Comma 4 2 2 5 2" xfId="2711" xr:uid="{00000000-0005-0000-0000-000022140000}"/>
    <cellStyle name="Comma 4 2 2 5 2 2" xfId="26236" xr:uid="{00000000-0005-0000-0000-000023140000}"/>
    <cellStyle name="Comma 4 2 2 5 3" xfId="26235" xr:uid="{00000000-0005-0000-0000-000024140000}"/>
    <cellStyle name="Comma 4 2 2 6" xfId="2712" xr:uid="{00000000-0005-0000-0000-000025140000}"/>
    <cellStyle name="Comma 4 2 2 6 2" xfId="26237" xr:uid="{00000000-0005-0000-0000-000026140000}"/>
    <cellStyle name="Comma 4 2 2 7" xfId="26214" xr:uid="{00000000-0005-0000-0000-000027140000}"/>
    <cellStyle name="Comma 4 2 3" xfId="2713" xr:uid="{00000000-0005-0000-0000-000028140000}"/>
    <cellStyle name="Comma 4 2 3 2" xfId="2714" xr:uid="{00000000-0005-0000-0000-000029140000}"/>
    <cellStyle name="Comma 4 2 3 2 2" xfId="2715" xr:uid="{00000000-0005-0000-0000-00002A140000}"/>
    <cellStyle name="Comma 4 2 3 2 2 2" xfId="2716" xr:uid="{00000000-0005-0000-0000-00002B140000}"/>
    <cellStyle name="Comma 4 2 3 2 2 2 2" xfId="2717" xr:uid="{00000000-0005-0000-0000-00002C140000}"/>
    <cellStyle name="Comma 4 2 3 2 2 2 2 2" xfId="26242" xr:uid="{00000000-0005-0000-0000-00002D140000}"/>
    <cellStyle name="Comma 4 2 3 2 2 2 3" xfId="26241" xr:uid="{00000000-0005-0000-0000-00002E140000}"/>
    <cellStyle name="Comma 4 2 3 2 2 3" xfId="2718" xr:uid="{00000000-0005-0000-0000-00002F140000}"/>
    <cellStyle name="Comma 4 2 3 2 2 3 2" xfId="26243" xr:uid="{00000000-0005-0000-0000-000030140000}"/>
    <cellStyle name="Comma 4 2 3 2 2 4" xfId="26240" xr:uid="{00000000-0005-0000-0000-000031140000}"/>
    <cellStyle name="Comma 4 2 3 2 3" xfId="2719" xr:uid="{00000000-0005-0000-0000-000032140000}"/>
    <cellStyle name="Comma 4 2 3 2 3 2" xfId="2720" xr:uid="{00000000-0005-0000-0000-000033140000}"/>
    <cellStyle name="Comma 4 2 3 2 3 2 2" xfId="26245" xr:uid="{00000000-0005-0000-0000-000034140000}"/>
    <cellStyle name="Comma 4 2 3 2 3 3" xfId="26244" xr:uid="{00000000-0005-0000-0000-000035140000}"/>
    <cellStyle name="Comma 4 2 3 2 4" xfId="2721" xr:uid="{00000000-0005-0000-0000-000036140000}"/>
    <cellStyle name="Comma 4 2 3 2 4 2" xfId="26246" xr:uid="{00000000-0005-0000-0000-000037140000}"/>
    <cellStyle name="Comma 4 2 3 2 5" xfId="26239" xr:uid="{00000000-0005-0000-0000-000038140000}"/>
    <cellStyle name="Comma 4 2 3 3" xfId="2722" xr:uid="{00000000-0005-0000-0000-000039140000}"/>
    <cellStyle name="Comma 4 2 3 3 2" xfId="2723" xr:uid="{00000000-0005-0000-0000-00003A140000}"/>
    <cellStyle name="Comma 4 2 3 3 2 2" xfId="2724" xr:uid="{00000000-0005-0000-0000-00003B140000}"/>
    <cellStyle name="Comma 4 2 3 3 2 2 2" xfId="2725" xr:uid="{00000000-0005-0000-0000-00003C140000}"/>
    <cellStyle name="Comma 4 2 3 3 2 2 2 2" xfId="26250" xr:uid="{00000000-0005-0000-0000-00003D140000}"/>
    <cellStyle name="Comma 4 2 3 3 2 2 3" xfId="26249" xr:uid="{00000000-0005-0000-0000-00003E140000}"/>
    <cellStyle name="Comma 4 2 3 3 2 3" xfId="2726" xr:uid="{00000000-0005-0000-0000-00003F140000}"/>
    <cellStyle name="Comma 4 2 3 3 2 3 2" xfId="26251" xr:uid="{00000000-0005-0000-0000-000040140000}"/>
    <cellStyle name="Comma 4 2 3 3 2 4" xfId="26248" xr:uid="{00000000-0005-0000-0000-000041140000}"/>
    <cellStyle name="Comma 4 2 3 3 3" xfId="2727" xr:uid="{00000000-0005-0000-0000-000042140000}"/>
    <cellStyle name="Comma 4 2 3 3 3 2" xfId="2728" xr:uid="{00000000-0005-0000-0000-000043140000}"/>
    <cellStyle name="Comma 4 2 3 3 3 2 2" xfId="26253" xr:uid="{00000000-0005-0000-0000-000044140000}"/>
    <cellStyle name="Comma 4 2 3 3 3 3" xfId="26252" xr:uid="{00000000-0005-0000-0000-000045140000}"/>
    <cellStyle name="Comma 4 2 3 3 4" xfId="2729" xr:uid="{00000000-0005-0000-0000-000046140000}"/>
    <cellStyle name="Comma 4 2 3 3 4 2" xfId="26254" xr:uid="{00000000-0005-0000-0000-000047140000}"/>
    <cellStyle name="Comma 4 2 3 3 5" xfId="26247" xr:uid="{00000000-0005-0000-0000-000048140000}"/>
    <cellStyle name="Comma 4 2 3 4" xfId="2730" xr:uid="{00000000-0005-0000-0000-000049140000}"/>
    <cellStyle name="Comma 4 2 3 4 2" xfId="2731" xr:uid="{00000000-0005-0000-0000-00004A140000}"/>
    <cellStyle name="Comma 4 2 3 4 2 2" xfId="2732" xr:uid="{00000000-0005-0000-0000-00004B140000}"/>
    <cellStyle name="Comma 4 2 3 4 2 2 2" xfId="26257" xr:uid="{00000000-0005-0000-0000-00004C140000}"/>
    <cellStyle name="Comma 4 2 3 4 2 3" xfId="26256" xr:uid="{00000000-0005-0000-0000-00004D140000}"/>
    <cellStyle name="Comma 4 2 3 4 3" xfId="2733" xr:uid="{00000000-0005-0000-0000-00004E140000}"/>
    <cellStyle name="Comma 4 2 3 4 3 2" xfId="26258" xr:uid="{00000000-0005-0000-0000-00004F140000}"/>
    <cellStyle name="Comma 4 2 3 4 4" xfId="26255" xr:uid="{00000000-0005-0000-0000-000050140000}"/>
    <cellStyle name="Comma 4 2 3 5" xfId="2734" xr:uid="{00000000-0005-0000-0000-000051140000}"/>
    <cellStyle name="Comma 4 2 3 5 2" xfId="2735" xr:uid="{00000000-0005-0000-0000-000052140000}"/>
    <cellStyle name="Comma 4 2 3 5 2 2" xfId="26260" xr:uid="{00000000-0005-0000-0000-000053140000}"/>
    <cellStyle name="Comma 4 2 3 5 3" xfId="26259" xr:uid="{00000000-0005-0000-0000-000054140000}"/>
    <cellStyle name="Comma 4 2 3 6" xfId="2736" xr:uid="{00000000-0005-0000-0000-000055140000}"/>
    <cellStyle name="Comma 4 2 3 6 2" xfId="26261" xr:uid="{00000000-0005-0000-0000-000056140000}"/>
    <cellStyle name="Comma 4 2 3 7" xfId="26238" xr:uid="{00000000-0005-0000-0000-000057140000}"/>
    <cellStyle name="Comma 4 2 4" xfId="2737" xr:uid="{00000000-0005-0000-0000-000058140000}"/>
    <cellStyle name="Comma 4 2 4 2" xfId="2738" xr:uid="{00000000-0005-0000-0000-000059140000}"/>
    <cellStyle name="Comma 4 2 4 2 2" xfId="2739" xr:uid="{00000000-0005-0000-0000-00005A140000}"/>
    <cellStyle name="Comma 4 2 4 2 2 2" xfId="2740" xr:uid="{00000000-0005-0000-0000-00005B140000}"/>
    <cellStyle name="Comma 4 2 4 2 2 2 2" xfId="2741" xr:uid="{00000000-0005-0000-0000-00005C140000}"/>
    <cellStyle name="Comma 4 2 4 2 2 2 2 2" xfId="26266" xr:uid="{00000000-0005-0000-0000-00005D140000}"/>
    <cellStyle name="Comma 4 2 4 2 2 2 3" xfId="26265" xr:uid="{00000000-0005-0000-0000-00005E140000}"/>
    <cellStyle name="Comma 4 2 4 2 2 3" xfId="2742" xr:uid="{00000000-0005-0000-0000-00005F140000}"/>
    <cellStyle name="Comma 4 2 4 2 2 3 2" xfId="26267" xr:uid="{00000000-0005-0000-0000-000060140000}"/>
    <cellStyle name="Comma 4 2 4 2 2 4" xfId="26264" xr:uid="{00000000-0005-0000-0000-000061140000}"/>
    <cellStyle name="Comma 4 2 4 2 3" xfId="2743" xr:uid="{00000000-0005-0000-0000-000062140000}"/>
    <cellStyle name="Comma 4 2 4 2 3 2" xfId="2744" xr:uid="{00000000-0005-0000-0000-000063140000}"/>
    <cellStyle name="Comma 4 2 4 2 3 2 2" xfId="26269" xr:uid="{00000000-0005-0000-0000-000064140000}"/>
    <cellStyle name="Comma 4 2 4 2 3 3" xfId="26268" xr:uid="{00000000-0005-0000-0000-000065140000}"/>
    <cellStyle name="Comma 4 2 4 2 4" xfId="2745" xr:uid="{00000000-0005-0000-0000-000066140000}"/>
    <cellStyle name="Comma 4 2 4 2 4 2" xfId="26270" xr:uid="{00000000-0005-0000-0000-000067140000}"/>
    <cellStyle name="Comma 4 2 4 2 5" xfId="26263" xr:uid="{00000000-0005-0000-0000-000068140000}"/>
    <cellStyle name="Comma 4 2 4 3" xfId="2746" xr:uid="{00000000-0005-0000-0000-000069140000}"/>
    <cellStyle name="Comma 4 2 4 3 2" xfId="2747" xr:uid="{00000000-0005-0000-0000-00006A140000}"/>
    <cellStyle name="Comma 4 2 4 3 2 2" xfId="2748" xr:uid="{00000000-0005-0000-0000-00006B140000}"/>
    <cellStyle name="Comma 4 2 4 3 2 2 2" xfId="2749" xr:uid="{00000000-0005-0000-0000-00006C140000}"/>
    <cellStyle name="Comma 4 2 4 3 2 2 2 2" xfId="26274" xr:uid="{00000000-0005-0000-0000-00006D140000}"/>
    <cellStyle name="Comma 4 2 4 3 2 2 3" xfId="26273" xr:uid="{00000000-0005-0000-0000-00006E140000}"/>
    <cellStyle name="Comma 4 2 4 3 2 3" xfId="2750" xr:uid="{00000000-0005-0000-0000-00006F140000}"/>
    <cellStyle name="Comma 4 2 4 3 2 3 2" xfId="26275" xr:uid="{00000000-0005-0000-0000-000070140000}"/>
    <cellStyle name="Comma 4 2 4 3 2 4" xfId="26272" xr:uid="{00000000-0005-0000-0000-000071140000}"/>
    <cellStyle name="Comma 4 2 4 3 3" xfId="2751" xr:uid="{00000000-0005-0000-0000-000072140000}"/>
    <cellStyle name="Comma 4 2 4 3 3 2" xfId="2752" xr:uid="{00000000-0005-0000-0000-000073140000}"/>
    <cellStyle name="Comma 4 2 4 3 3 2 2" xfId="26277" xr:uid="{00000000-0005-0000-0000-000074140000}"/>
    <cellStyle name="Comma 4 2 4 3 3 3" xfId="26276" xr:uid="{00000000-0005-0000-0000-000075140000}"/>
    <cellStyle name="Comma 4 2 4 3 4" xfId="2753" xr:uid="{00000000-0005-0000-0000-000076140000}"/>
    <cellStyle name="Comma 4 2 4 3 4 2" xfId="26278" xr:uid="{00000000-0005-0000-0000-000077140000}"/>
    <cellStyle name="Comma 4 2 4 3 5" xfId="26271" xr:uid="{00000000-0005-0000-0000-000078140000}"/>
    <cellStyle name="Comma 4 2 4 4" xfId="2754" xr:uid="{00000000-0005-0000-0000-000079140000}"/>
    <cellStyle name="Comma 4 2 4 4 2" xfId="2755" xr:uid="{00000000-0005-0000-0000-00007A140000}"/>
    <cellStyle name="Comma 4 2 4 4 2 2" xfId="2756" xr:uid="{00000000-0005-0000-0000-00007B140000}"/>
    <cellStyle name="Comma 4 2 4 4 2 2 2" xfId="26281" xr:uid="{00000000-0005-0000-0000-00007C140000}"/>
    <cellStyle name="Comma 4 2 4 4 2 3" xfId="26280" xr:uid="{00000000-0005-0000-0000-00007D140000}"/>
    <cellStyle name="Comma 4 2 4 4 3" xfId="2757" xr:uid="{00000000-0005-0000-0000-00007E140000}"/>
    <cellStyle name="Comma 4 2 4 4 3 2" xfId="26282" xr:uid="{00000000-0005-0000-0000-00007F140000}"/>
    <cellStyle name="Comma 4 2 4 4 4" xfId="26279" xr:uid="{00000000-0005-0000-0000-000080140000}"/>
    <cellStyle name="Comma 4 2 4 5" xfId="2758" xr:uid="{00000000-0005-0000-0000-000081140000}"/>
    <cellStyle name="Comma 4 2 4 5 2" xfId="2759" xr:uid="{00000000-0005-0000-0000-000082140000}"/>
    <cellStyle name="Comma 4 2 4 5 2 2" xfId="26284" xr:uid="{00000000-0005-0000-0000-000083140000}"/>
    <cellStyle name="Comma 4 2 4 5 3" xfId="26283" xr:uid="{00000000-0005-0000-0000-000084140000}"/>
    <cellStyle name="Comma 4 2 4 6" xfId="2760" xr:uid="{00000000-0005-0000-0000-000085140000}"/>
    <cellStyle name="Comma 4 2 4 6 2" xfId="26285" xr:uid="{00000000-0005-0000-0000-000086140000}"/>
    <cellStyle name="Comma 4 2 4 7" xfId="26262" xr:uid="{00000000-0005-0000-0000-000087140000}"/>
    <cellStyle name="Comma 4 2 5" xfId="2761" xr:uid="{00000000-0005-0000-0000-000088140000}"/>
    <cellStyle name="Comma 4 2 5 2" xfId="2762" xr:uid="{00000000-0005-0000-0000-000089140000}"/>
    <cellStyle name="Comma 4 2 5 2 2" xfId="2763" xr:uid="{00000000-0005-0000-0000-00008A140000}"/>
    <cellStyle name="Comma 4 2 5 2 2 2" xfId="2764" xr:uid="{00000000-0005-0000-0000-00008B140000}"/>
    <cellStyle name="Comma 4 2 5 2 2 2 2" xfId="2765" xr:uid="{00000000-0005-0000-0000-00008C140000}"/>
    <cellStyle name="Comma 4 2 5 2 2 2 2 2" xfId="26290" xr:uid="{00000000-0005-0000-0000-00008D140000}"/>
    <cellStyle name="Comma 4 2 5 2 2 2 3" xfId="26289" xr:uid="{00000000-0005-0000-0000-00008E140000}"/>
    <cellStyle name="Comma 4 2 5 2 2 3" xfId="2766" xr:uid="{00000000-0005-0000-0000-00008F140000}"/>
    <cellStyle name="Comma 4 2 5 2 2 3 2" xfId="26291" xr:uid="{00000000-0005-0000-0000-000090140000}"/>
    <cellStyle name="Comma 4 2 5 2 2 4" xfId="26288" xr:uid="{00000000-0005-0000-0000-000091140000}"/>
    <cellStyle name="Comma 4 2 5 2 3" xfId="2767" xr:uid="{00000000-0005-0000-0000-000092140000}"/>
    <cellStyle name="Comma 4 2 5 2 3 2" xfId="2768" xr:uid="{00000000-0005-0000-0000-000093140000}"/>
    <cellStyle name="Comma 4 2 5 2 3 2 2" xfId="26293" xr:uid="{00000000-0005-0000-0000-000094140000}"/>
    <cellStyle name="Comma 4 2 5 2 3 3" xfId="26292" xr:uid="{00000000-0005-0000-0000-000095140000}"/>
    <cellStyle name="Comma 4 2 5 2 4" xfId="2769" xr:uid="{00000000-0005-0000-0000-000096140000}"/>
    <cellStyle name="Comma 4 2 5 2 4 2" xfId="26294" xr:uid="{00000000-0005-0000-0000-000097140000}"/>
    <cellStyle name="Comma 4 2 5 2 5" xfId="26287" xr:uid="{00000000-0005-0000-0000-000098140000}"/>
    <cellStyle name="Comma 4 2 5 3" xfId="2770" xr:uid="{00000000-0005-0000-0000-000099140000}"/>
    <cellStyle name="Comma 4 2 5 3 2" xfId="2771" xr:uid="{00000000-0005-0000-0000-00009A140000}"/>
    <cellStyle name="Comma 4 2 5 3 2 2" xfId="2772" xr:uid="{00000000-0005-0000-0000-00009B140000}"/>
    <cellStyle name="Comma 4 2 5 3 2 2 2" xfId="2773" xr:uid="{00000000-0005-0000-0000-00009C140000}"/>
    <cellStyle name="Comma 4 2 5 3 2 2 2 2" xfId="26298" xr:uid="{00000000-0005-0000-0000-00009D140000}"/>
    <cellStyle name="Comma 4 2 5 3 2 2 3" xfId="26297" xr:uid="{00000000-0005-0000-0000-00009E140000}"/>
    <cellStyle name="Comma 4 2 5 3 2 3" xfId="2774" xr:uid="{00000000-0005-0000-0000-00009F140000}"/>
    <cellStyle name="Comma 4 2 5 3 2 3 2" xfId="26299" xr:uid="{00000000-0005-0000-0000-0000A0140000}"/>
    <cellStyle name="Comma 4 2 5 3 2 4" xfId="26296" xr:uid="{00000000-0005-0000-0000-0000A1140000}"/>
    <cellStyle name="Comma 4 2 5 3 3" xfId="2775" xr:uid="{00000000-0005-0000-0000-0000A2140000}"/>
    <cellStyle name="Comma 4 2 5 3 3 2" xfId="2776" xr:uid="{00000000-0005-0000-0000-0000A3140000}"/>
    <cellStyle name="Comma 4 2 5 3 3 2 2" xfId="26301" xr:uid="{00000000-0005-0000-0000-0000A4140000}"/>
    <cellStyle name="Comma 4 2 5 3 3 3" xfId="26300" xr:uid="{00000000-0005-0000-0000-0000A5140000}"/>
    <cellStyle name="Comma 4 2 5 3 4" xfId="2777" xr:uid="{00000000-0005-0000-0000-0000A6140000}"/>
    <cellStyle name="Comma 4 2 5 3 4 2" xfId="26302" xr:uid="{00000000-0005-0000-0000-0000A7140000}"/>
    <cellStyle name="Comma 4 2 5 3 5" xfId="26295" xr:uid="{00000000-0005-0000-0000-0000A8140000}"/>
    <cellStyle name="Comma 4 2 5 4" xfId="2778" xr:uid="{00000000-0005-0000-0000-0000A9140000}"/>
    <cellStyle name="Comma 4 2 5 4 2" xfId="2779" xr:uid="{00000000-0005-0000-0000-0000AA140000}"/>
    <cellStyle name="Comma 4 2 5 4 2 2" xfId="2780" xr:uid="{00000000-0005-0000-0000-0000AB140000}"/>
    <cellStyle name="Comma 4 2 5 4 2 2 2" xfId="26305" xr:uid="{00000000-0005-0000-0000-0000AC140000}"/>
    <cellStyle name="Comma 4 2 5 4 2 3" xfId="26304" xr:uid="{00000000-0005-0000-0000-0000AD140000}"/>
    <cellStyle name="Comma 4 2 5 4 3" xfId="2781" xr:uid="{00000000-0005-0000-0000-0000AE140000}"/>
    <cellStyle name="Comma 4 2 5 4 3 2" xfId="26306" xr:uid="{00000000-0005-0000-0000-0000AF140000}"/>
    <cellStyle name="Comma 4 2 5 4 4" xfId="26303" xr:uid="{00000000-0005-0000-0000-0000B0140000}"/>
    <cellStyle name="Comma 4 2 5 5" xfId="2782" xr:uid="{00000000-0005-0000-0000-0000B1140000}"/>
    <cellStyle name="Comma 4 2 5 5 2" xfId="2783" xr:uid="{00000000-0005-0000-0000-0000B2140000}"/>
    <cellStyle name="Comma 4 2 5 5 2 2" xfId="26308" xr:uid="{00000000-0005-0000-0000-0000B3140000}"/>
    <cellStyle name="Comma 4 2 5 5 3" xfId="26307" xr:uid="{00000000-0005-0000-0000-0000B4140000}"/>
    <cellStyle name="Comma 4 2 5 6" xfId="2784" xr:uid="{00000000-0005-0000-0000-0000B5140000}"/>
    <cellStyle name="Comma 4 2 5 6 2" xfId="26309" xr:uid="{00000000-0005-0000-0000-0000B6140000}"/>
    <cellStyle name="Comma 4 2 5 7" xfId="26286" xr:uid="{00000000-0005-0000-0000-0000B7140000}"/>
    <cellStyle name="Comma 4 2 6" xfId="2785" xr:uid="{00000000-0005-0000-0000-0000B8140000}"/>
    <cellStyle name="Comma 4 2 6 2" xfId="2786" xr:uid="{00000000-0005-0000-0000-0000B9140000}"/>
    <cellStyle name="Comma 4 2 6 2 2" xfId="2787" xr:uid="{00000000-0005-0000-0000-0000BA140000}"/>
    <cellStyle name="Comma 4 2 6 2 2 2" xfId="2788" xr:uid="{00000000-0005-0000-0000-0000BB140000}"/>
    <cellStyle name="Comma 4 2 6 2 2 2 2" xfId="26313" xr:uid="{00000000-0005-0000-0000-0000BC140000}"/>
    <cellStyle name="Comma 4 2 6 2 2 3" xfId="26312" xr:uid="{00000000-0005-0000-0000-0000BD140000}"/>
    <cellStyle name="Comma 4 2 6 2 3" xfId="2789" xr:uid="{00000000-0005-0000-0000-0000BE140000}"/>
    <cellStyle name="Comma 4 2 6 2 3 2" xfId="26314" xr:uid="{00000000-0005-0000-0000-0000BF140000}"/>
    <cellStyle name="Comma 4 2 6 2 4" xfId="26311" xr:uid="{00000000-0005-0000-0000-0000C0140000}"/>
    <cellStyle name="Comma 4 2 6 3" xfId="2790" xr:uid="{00000000-0005-0000-0000-0000C1140000}"/>
    <cellStyle name="Comma 4 2 6 3 2" xfId="2791" xr:uid="{00000000-0005-0000-0000-0000C2140000}"/>
    <cellStyle name="Comma 4 2 6 3 2 2" xfId="26316" xr:uid="{00000000-0005-0000-0000-0000C3140000}"/>
    <cellStyle name="Comma 4 2 6 3 3" xfId="26315" xr:uid="{00000000-0005-0000-0000-0000C4140000}"/>
    <cellStyle name="Comma 4 2 6 4" xfId="2792" xr:uid="{00000000-0005-0000-0000-0000C5140000}"/>
    <cellStyle name="Comma 4 2 6 4 2" xfId="26317" xr:uid="{00000000-0005-0000-0000-0000C6140000}"/>
    <cellStyle name="Comma 4 2 6 5" xfId="26310" xr:uid="{00000000-0005-0000-0000-0000C7140000}"/>
    <cellStyle name="Comma 4 2 7" xfId="2793" xr:uid="{00000000-0005-0000-0000-0000C8140000}"/>
    <cellStyle name="Comma 4 2 7 2" xfId="2794" xr:uid="{00000000-0005-0000-0000-0000C9140000}"/>
    <cellStyle name="Comma 4 2 7 2 2" xfId="2795" xr:uid="{00000000-0005-0000-0000-0000CA140000}"/>
    <cellStyle name="Comma 4 2 7 2 2 2" xfId="2796" xr:uid="{00000000-0005-0000-0000-0000CB140000}"/>
    <cellStyle name="Comma 4 2 7 2 2 2 2" xfId="26321" xr:uid="{00000000-0005-0000-0000-0000CC140000}"/>
    <cellStyle name="Comma 4 2 7 2 2 3" xfId="26320" xr:uid="{00000000-0005-0000-0000-0000CD140000}"/>
    <cellStyle name="Comma 4 2 7 2 3" xfId="2797" xr:uid="{00000000-0005-0000-0000-0000CE140000}"/>
    <cellStyle name="Comma 4 2 7 2 3 2" xfId="26322" xr:uid="{00000000-0005-0000-0000-0000CF140000}"/>
    <cellStyle name="Comma 4 2 7 2 4" xfId="26319" xr:uid="{00000000-0005-0000-0000-0000D0140000}"/>
    <cellStyle name="Comma 4 2 7 3" xfId="2798" xr:uid="{00000000-0005-0000-0000-0000D1140000}"/>
    <cellStyle name="Comma 4 2 7 3 2" xfId="2799" xr:uid="{00000000-0005-0000-0000-0000D2140000}"/>
    <cellStyle name="Comma 4 2 7 3 2 2" xfId="26324" xr:uid="{00000000-0005-0000-0000-0000D3140000}"/>
    <cellStyle name="Comma 4 2 7 3 3" xfId="26323" xr:uid="{00000000-0005-0000-0000-0000D4140000}"/>
    <cellStyle name="Comma 4 2 7 4" xfId="2800" xr:uid="{00000000-0005-0000-0000-0000D5140000}"/>
    <cellStyle name="Comma 4 2 7 4 2" xfId="26325" xr:uid="{00000000-0005-0000-0000-0000D6140000}"/>
    <cellStyle name="Comma 4 2 7 5" xfId="26318" xr:uid="{00000000-0005-0000-0000-0000D7140000}"/>
    <cellStyle name="Comma 4 2 8" xfId="2801" xr:uid="{00000000-0005-0000-0000-0000D8140000}"/>
    <cellStyle name="Comma 4 2 8 2" xfId="2802" xr:uid="{00000000-0005-0000-0000-0000D9140000}"/>
    <cellStyle name="Comma 4 2 8 2 2" xfId="2803" xr:uid="{00000000-0005-0000-0000-0000DA140000}"/>
    <cellStyle name="Comma 4 2 8 2 2 2" xfId="26327" xr:uid="{00000000-0005-0000-0000-0000DB140000}"/>
    <cellStyle name="Comma 4 2 8 2 3" xfId="26326" xr:uid="{00000000-0005-0000-0000-0000DC140000}"/>
    <cellStyle name="Comma 4 2 9" xfId="2804" xr:uid="{00000000-0005-0000-0000-0000DD140000}"/>
    <cellStyle name="Comma 4 2 9 2" xfId="2805" xr:uid="{00000000-0005-0000-0000-0000DE140000}"/>
    <cellStyle name="Comma 4 2 9 2 2" xfId="26329" xr:uid="{00000000-0005-0000-0000-0000DF140000}"/>
    <cellStyle name="Comma 4 2 9 3" xfId="26328" xr:uid="{00000000-0005-0000-0000-0000E0140000}"/>
    <cellStyle name="Comma 4 3" xfId="2806" xr:uid="{00000000-0005-0000-0000-0000E1140000}"/>
    <cellStyle name="Comma 4 3 10" xfId="26330" xr:uid="{00000000-0005-0000-0000-0000E2140000}"/>
    <cellStyle name="Comma 4 3 2" xfId="2807" xr:uid="{00000000-0005-0000-0000-0000E3140000}"/>
    <cellStyle name="Comma 4 3 2 2" xfId="2808" xr:uid="{00000000-0005-0000-0000-0000E4140000}"/>
    <cellStyle name="Comma 4 3 2 2 2" xfId="2809" xr:uid="{00000000-0005-0000-0000-0000E5140000}"/>
    <cellStyle name="Comma 4 3 2 2 2 2" xfId="2810" xr:uid="{00000000-0005-0000-0000-0000E6140000}"/>
    <cellStyle name="Comma 4 3 2 2 2 2 2" xfId="2811" xr:uid="{00000000-0005-0000-0000-0000E7140000}"/>
    <cellStyle name="Comma 4 3 2 2 2 2 2 2" xfId="26335" xr:uid="{00000000-0005-0000-0000-0000E8140000}"/>
    <cellStyle name="Comma 4 3 2 2 2 2 3" xfId="26334" xr:uid="{00000000-0005-0000-0000-0000E9140000}"/>
    <cellStyle name="Comma 4 3 2 2 2 3" xfId="2812" xr:uid="{00000000-0005-0000-0000-0000EA140000}"/>
    <cellStyle name="Comma 4 3 2 2 2 3 2" xfId="26336" xr:uid="{00000000-0005-0000-0000-0000EB140000}"/>
    <cellStyle name="Comma 4 3 2 2 2 4" xfId="26333" xr:uid="{00000000-0005-0000-0000-0000EC140000}"/>
    <cellStyle name="Comma 4 3 2 2 3" xfId="2813" xr:uid="{00000000-0005-0000-0000-0000ED140000}"/>
    <cellStyle name="Comma 4 3 2 2 3 2" xfId="2814" xr:uid="{00000000-0005-0000-0000-0000EE140000}"/>
    <cellStyle name="Comma 4 3 2 2 3 2 2" xfId="26338" xr:uid="{00000000-0005-0000-0000-0000EF140000}"/>
    <cellStyle name="Comma 4 3 2 2 3 3" xfId="26337" xr:uid="{00000000-0005-0000-0000-0000F0140000}"/>
    <cellStyle name="Comma 4 3 2 2 4" xfId="2815" xr:uid="{00000000-0005-0000-0000-0000F1140000}"/>
    <cellStyle name="Comma 4 3 2 2 4 2" xfId="26339" xr:uid="{00000000-0005-0000-0000-0000F2140000}"/>
    <cellStyle name="Comma 4 3 2 2 5" xfId="26332" xr:uid="{00000000-0005-0000-0000-0000F3140000}"/>
    <cellStyle name="Comma 4 3 2 3" xfId="2816" xr:uid="{00000000-0005-0000-0000-0000F4140000}"/>
    <cellStyle name="Comma 4 3 2 3 2" xfId="2817" xr:uid="{00000000-0005-0000-0000-0000F5140000}"/>
    <cellStyle name="Comma 4 3 2 3 2 2" xfId="2818" xr:uid="{00000000-0005-0000-0000-0000F6140000}"/>
    <cellStyle name="Comma 4 3 2 3 2 2 2" xfId="2819" xr:uid="{00000000-0005-0000-0000-0000F7140000}"/>
    <cellStyle name="Comma 4 3 2 3 2 2 2 2" xfId="26343" xr:uid="{00000000-0005-0000-0000-0000F8140000}"/>
    <cellStyle name="Comma 4 3 2 3 2 2 3" xfId="26342" xr:uid="{00000000-0005-0000-0000-0000F9140000}"/>
    <cellStyle name="Comma 4 3 2 3 2 3" xfId="2820" xr:uid="{00000000-0005-0000-0000-0000FA140000}"/>
    <cellStyle name="Comma 4 3 2 3 2 3 2" xfId="26344" xr:uid="{00000000-0005-0000-0000-0000FB140000}"/>
    <cellStyle name="Comma 4 3 2 3 2 4" xfId="26341" xr:uid="{00000000-0005-0000-0000-0000FC140000}"/>
    <cellStyle name="Comma 4 3 2 3 3" xfId="2821" xr:uid="{00000000-0005-0000-0000-0000FD140000}"/>
    <cellStyle name="Comma 4 3 2 3 3 2" xfId="2822" xr:uid="{00000000-0005-0000-0000-0000FE140000}"/>
    <cellStyle name="Comma 4 3 2 3 3 2 2" xfId="26346" xr:uid="{00000000-0005-0000-0000-0000FF140000}"/>
    <cellStyle name="Comma 4 3 2 3 3 3" xfId="26345" xr:uid="{00000000-0005-0000-0000-000000150000}"/>
    <cellStyle name="Comma 4 3 2 3 4" xfId="2823" xr:uid="{00000000-0005-0000-0000-000001150000}"/>
    <cellStyle name="Comma 4 3 2 3 4 2" xfId="26347" xr:uid="{00000000-0005-0000-0000-000002150000}"/>
    <cellStyle name="Comma 4 3 2 3 5" xfId="26340" xr:uid="{00000000-0005-0000-0000-000003150000}"/>
    <cellStyle name="Comma 4 3 2 4" xfId="2824" xr:uid="{00000000-0005-0000-0000-000004150000}"/>
    <cellStyle name="Comma 4 3 2 4 2" xfId="2825" xr:uid="{00000000-0005-0000-0000-000005150000}"/>
    <cellStyle name="Comma 4 3 2 4 2 2" xfId="2826" xr:uid="{00000000-0005-0000-0000-000006150000}"/>
    <cellStyle name="Comma 4 3 2 4 2 2 2" xfId="26350" xr:uid="{00000000-0005-0000-0000-000007150000}"/>
    <cellStyle name="Comma 4 3 2 4 2 3" xfId="26349" xr:uid="{00000000-0005-0000-0000-000008150000}"/>
    <cellStyle name="Comma 4 3 2 4 3" xfId="2827" xr:uid="{00000000-0005-0000-0000-000009150000}"/>
    <cellStyle name="Comma 4 3 2 4 3 2" xfId="26351" xr:uid="{00000000-0005-0000-0000-00000A150000}"/>
    <cellStyle name="Comma 4 3 2 4 4" xfId="26348" xr:uid="{00000000-0005-0000-0000-00000B150000}"/>
    <cellStyle name="Comma 4 3 2 5" xfId="2828" xr:uid="{00000000-0005-0000-0000-00000C150000}"/>
    <cellStyle name="Comma 4 3 2 5 2" xfId="2829" xr:uid="{00000000-0005-0000-0000-00000D150000}"/>
    <cellStyle name="Comma 4 3 2 5 2 2" xfId="26353" xr:uid="{00000000-0005-0000-0000-00000E150000}"/>
    <cellStyle name="Comma 4 3 2 5 3" xfId="26352" xr:uid="{00000000-0005-0000-0000-00000F150000}"/>
    <cellStyle name="Comma 4 3 2 6" xfId="2830" xr:uid="{00000000-0005-0000-0000-000010150000}"/>
    <cellStyle name="Comma 4 3 2 6 2" xfId="26354" xr:uid="{00000000-0005-0000-0000-000011150000}"/>
    <cellStyle name="Comma 4 3 2 7" xfId="26331" xr:uid="{00000000-0005-0000-0000-000012150000}"/>
    <cellStyle name="Comma 4 3 3" xfId="2831" xr:uid="{00000000-0005-0000-0000-000013150000}"/>
    <cellStyle name="Comma 4 3 3 2" xfId="2832" xr:uid="{00000000-0005-0000-0000-000014150000}"/>
    <cellStyle name="Comma 4 3 3 2 2" xfId="2833" xr:uid="{00000000-0005-0000-0000-000015150000}"/>
    <cellStyle name="Comma 4 3 3 2 2 2" xfId="2834" xr:uid="{00000000-0005-0000-0000-000016150000}"/>
    <cellStyle name="Comma 4 3 3 2 2 2 2" xfId="2835" xr:uid="{00000000-0005-0000-0000-000017150000}"/>
    <cellStyle name="Comma 4 3 3 2 2 2 2 2" xfId="26359" xr:uid="{00000000-0005-0000-0000-000018150000}"/>
    <cellStyle name="Comma 4 3 3 2 2 2 3" xfId="26358" xr:uid="{00000000-0005-0000-0000-000019150000}"/>
    <cellStyle name="Comma 4 3 3 2 2 3" xfId="2836" xr:uid="{00000000-0005-0000-0000-00001A150000}"/>
    <cellStyle name="Comma 4 3 3 2 2 3 2" xfId="26360" xr:uid="{00000000-0005-0000-0000-00001B150000}"/>
    <cellStyle name="Comma 4 3 3 2 2 4" xfId="26357" xr:uid="{00000000-0005-0000-0000-00001C150000}"/>
    <cellStyle name="Comma 4 3 3 2 3" xfId="2837" xr:uid="{00000000-0005-0000-0000-00001D150000}"/>
    <cellStyle name="Comma 4 3 3 2 3 2" xfId="2838" xr:uid="{00000000-0005-0000-0000-00001E150000}"/>
    <cellStyle name="Comma 4 3 3 2 3 2 2" xfId="26362" xr:uid="{00000000-0005-0000-0000-00001F150000}"/>
    <cellStyle name="Comma 4 3 3 2 3 3" xfId="26361" xr:uid="{00000000-0005-0000-0000-000020150000}"/>
    <cellStyle name="Comma 4 3 3 2 4" xfId="2839" xr:uid="{00000000-0005-0000-0000-000021150000}"/>
    <cellStyle name="Comma 4 3 3 2 4 2" xfId="26363" xr:uid="{00000000-0005-0000-0000-000022150000}"/>
    <cellStyle name="Comma 4 3 3 2 5" xfId="26356" xr:uid="{00000000-0005-0000-0000-000023150000}"/>
    <cellStyle name="Comma 4 3 3 3" xfId="2840" xr:uid="{00000000-0005-0000-0000-000024150000}"/>
    <cellStyle name="Comma 4 3 3 3 2" xfId="2841" xr:uid="{00000000-0005-0000-0000-000025150000}"/>
    <cellStyle name="Comma 4 3 3 3 2 2" xfId="2842" xr:uid="{00000000-0005-0000-0000-000026150000}"/>
    <cellStyle name="Comma 4 3 3 3 2 2 2" xfId="2843" xr:uid="{00000000-0005-0000-0000-000027150000}"/>
    <cellStyle name="Comma 4 3 3 3 2 2 2 2" xfId="26367" xr:uid="{00000000-0005-0000-0000-000028150000}"/>
    <cellStyle name="Comma 4 3 3 3 2 2 3" xfId="26366" xr:uid="{00000000-0005-0000-0000-000029150000}"/>
    <cellStyle name="Comma 4 3 3 3 2 3" xfId="2844" xr:uid="{00000000-0005-0000-0000-00002A150000}"/>
    <cellStyle name="Comma 4 3 3 3 2 3 2" xfId="26368" xr:uid="{00000000-0005-0000-0000-00002B150000}"/>
    <cellStyle name="Comma 4 3 3 3 2 4" xfId="26365" xr:uid="{00000000-0005-0000-0000-00002C150000}"/>
    <cellStyle name="Comma 4 3 3 3 3" xfId="2845" xr:uid="{00000000-0005-0000-0000-00002D150000}"/>
    <cellStyle name="Comma 4 3 3 3 3 2" xfId="2846" xr:uid="{00000000-0005-0000-0000-00002E150000}"/>
    <cellStyle name="Comma 4 3 3 3 3 2 2" xfId="26370" xr:uid="{00000000-0005-0000-0000-00002F150000}"/>
    <cellStyle name="Comma 4 3 3 3 3 3" xfId="26369" xr:uid="{00000000-0005-0000-0000-000030150000}"/>
    <cellStyle name="Comma 4 3 3 3 4" xfId="2847" xr:uid="{00000000-0005-0000-0000-000031150000}"/>
    <cellStyle name="Comma 4 3 3 3 4 2" xfId="26371" xr:uid="{00000000-0005-0000-0000-000032150000}"/>
    <cellStyle name="Comma 4 3 3 3 5" xfId="26364" xr:uid="{00000000-0005-0000-0000-000033150000}"/>
    <cellStyle name="Comma 4 3 3 4" xfId="2848" xr:uid="{00000000-0005-0000-0000-000034150000}"/>
    <cellStyle name="Comma 4 3 3 4 2" xfId="2849" xr:uid="{00000000-0005-0000-0000-000035150000}"/>
    <cellStyle name="Comma 4 3 3 4 2 2" xfId="2850" xr:uid="{00000000-0005-0000-0000-000036150000}"/>
    <cellStyle name="Comma 4 3 3 4 2 2 2" xfId="26374" xr:uid="{00000000-0005-0000-0000-000037150000}"/>
    <cellStyle name="Comma 4 3 3 4 2 3" xfId="26373" xr:uid="{00000000-0005-0000-0000-000038150000}"/>
    <cellStyle name="Comma 4 3 3 4 3" xfId="2851" xr:uid="{00000000-0005-0000-0000-000039150000}"/>
    <cellStyle name="Comma 4 3 3 4 3 2" xfId="26375" xr:uid="{00000000-0005-0000-0000-00003A150000}"/>
    <cellStyle name="Comma 4 3 3 4 4" xfId="26372" xr:uid="{00000000-0005-0000-0000-00003B150000}"/>
    <cellStyle name="Comma 4 3 3 5" xfId="2852" xr:uid="{00000000-0005-0000-0000-00003C150000}"/>
    <cellStyle name="Comma 4 3 3 5 2" xfId="2853" xr:uid="{00000000-0005-0000-0000-00003D150000}"/>
    <cellStyle name="Comma 4 3 3 5 2 2" xfId="26377" xr:uid="{00000000-0005-0000-0000-00003E150000}"/>
    <cellStyle name="Comma 4 3 3 5 3" xfId="26376" xr:uid="{00000000-0005-0000-0000-00003F150000}"/>
    <cellStyle name="Comma 4 3 3 6" xfId="2854" xr:uid="{00000000-0005-0000-0000-000040150000}"/>
    <cellStyle name="Comma 4 3 3 6 2" xfId="26378" xr:uid="{00000000-0005-0000-0000-000041150000}"/>
    <cellStyle name="Comma 4 3 3 7" xfId="26355" xr:uid="{00000000-0005-0000-0000-000042150000}"/>
    <cellStyle name="Comma 4 3 4" xfId="2855" xr:uid="{00000000-0005-0000-0000-000043150000}"/>
    <cellStyle name="Comma 4 3 4 2" xfId="2856" xr:uid="{00000000-0005-0000-0000-000044150000}"/>
    <cellStyle name="Comma 4 3 4 2 2" xfId="2857" xr:uid="{00000000-0005-0000-0000-000045150000}"/>
    <cellStyle name="Comma 4 3 4 2 2 2" xfId="2858" xr:uid="{00000000-0005-0000-0000-000046150000}"/>
    <cellStyle name="Comma 4 3 4 2 2 2 2" xfId="2859" xr:uid="{00000000-0005-0000-0000-000047150000}"/>
    <cellStyle name="Comma 4 3 4 2 2 2 2 2" xfId="26383" xr:uid="{00000000-0005-0000-0000-000048150000}"/>
    <cellStyle name="Comma 4 3 4 2 2 2 3" xfId="26382" xr:uid="{00000000-0005-0000-0000-000049150000}"/>
    <cellStyle name="Comma 4 3 4 2 2 3" xfId="2860" xr:uid="{00000000-0005-0000-0000-00004A150000}"/>
    <cellStyle name="Comma 4 3 4 2 2 3 2" xfId="26384" xr:uid="{00000000-0005-0000-0000-00004B150000}"/>
    <cellStyle name="Comma 4 3 4 2 2 4" xfId="26381" xr:uid="{00000000-0005-0000-0000-00004C150000}"/>
    <cellStyle name="Comma 4 3 4 2 3" xfId="2861" xr:uid="{00000000-0005-0000-0000-00004D150000}"/>
    <cellStyle name="Comma 4 3 4 2 3 2" xfId="2862" xr:uid="{00000000-0005-0000-0000-00004E150000}"/>
    <cellStyle name="Comma 4 3 4 2 3 2 2" xfId="26386" xr:uid="{00000000-0005-0000-0000-00004F150000}"/>
    <cellStyle name="Comma 4 3 4 2 3 3" xfId="26385" xr:uid="{00000000-0005-0000-0000-000050150000}"/>
    <cellStyle name="Comma 4 3 4 2 4" xfId="2863" xr:uid="{00000000-0005-0000-0000-000051150000}"/>
    <cellStyle name="Comma 4 3 4 2 4 2" xfId="26387" xr:uid="{00000000-0005-0000-0000-000052150000}"/>
    <cellStyle name="Comma 4 3 4 2 5" xfId="26380" xr:uid="{00000000-0005-0000-0000-000053150000}"/>
    <cellStyle name="Comma 4 3 4 3" xfId="2864" xr:uid="{00000000-0005-0000-0000-000054150000}"/>
    <cellStyle name="Comma 4 3 4 3 2" xfId="2865" xr:uid="{00000000-0005-0000-0000-000055150000}"/>
    <cellStyle name="Comma 4 3 4 3 2 2" xfId="2866" xr:uid="{00000000-0005-0000-0000-000056150000}"/>
    <cellStyle name="Comma 4 3 4 3 2 2 2" xfId="2867" xr:uid="{00000000-0005-0000-0000-000057150000}"/>
    <cellStyle name="Comma 4 3 4 3 2 2 2 2" xfId="26391" xr:uid="{00000000-0005-0000-0000-000058150000}"/>
    <cellStyle name="Comma 4 3 4 3 2 2 3" xfId="26390" xr:uid="{00000000-0005-0000-0000-000059150000}"/>
    <cellStyle name="Comma 4 3 4 3 2 3" xfId="2868" xr:uid="{00000000-0005-0000-0000-00005A150000}"/>
    <cellStyle name="Comma 4 3 4 3 2 3 2" xfId="26392" xr:uid="{00000000-0005-0000-0000-00005B150000}"/>
    <cellStyle name="Comma 4 3 4 3 2 4" xfId="26389" xr:uid="{00000000-0005-0000-0000-00005C150000}"/>
    <cellStyle name="Comma 4 3 4 3 3" xfId="2869" xr:uid="{00000000-0005-0000-0000-00005D150000}"/>
    <cellStyle name="Comma 4 3 4 3 3 2" xfId="2870" xr:uid="{00000000-0005-0000-0000-00005E150000}"/>
    <cellStyle name="Comma 4 3 4 3 3 2 2" xfId="26394" xr:uid="{00000000-0005-0000-0000-00005F150000}"/>
    <cellStyle name="Comma 4 3 4 3 3 3" xfId="26393" xr:uid="{00000000-0005-0000-0000-000060150000}"/>
    <cellStyle name="Comma 4 3 4 3 4" xfId="2871" xr:uid="{00000000-0005-0000-0000-000061150000}"/>
    <cellStyle name="Comma 4 3 4 3 4 2" xfId="26395" xr:uid="{00000000-0005-0000-0000-000062150000}"/>
    <cellStyle name="Comma 4 3 4 3 5" xfId="26388" xr:uid="{00000000-0005-0000-0000-000063150000}"/>
    <cellStyle name="Comma 4 3 4 4" xfId="2872" xr:uid="{00000000-0005-0000-0000-000064150000}"/>
    <cellStyle name="Comma 4 3 4 4 2" xfId="2873" xr:uid="{00000000-0005-0000-0000-000065150000}"/>
    <cellStyle name="Comma 4 3 4 4 2 2" xfId="2874" xr:uid="{00000000-0005-0000-0000-000066150000}"/>
    <cellStyle name="Comma 4 3 4 4 2 2 2" xfId="26398" xr:uid="{00000000-0005-0000-0000-000067150000}"/>
    <cellStyle name="Comma 4 3 4 4 2 3" xfId="26397" xr:uid="{00000000-0005-0000-0000-000068150000}"/>
    <cellStyle name="Comma 4 3 4 4 3" xfId="2875" xr:uid="{00000000-0005-0000-0000-000069150000}"/>
    <cellStyle name="Comma 4 3 4 4 3 2" xfId="26399" xr:uid="{00000000-0005-0000-0000-00006A150000}"/>
    <cellStyle name="Comma 4 3 4 4 4" xfId="26396" xr:uid="{00000000-0005-0000-0000-00006B150000}"/>
    <cellStyle name="Comma 4 3 4 5" xfId="2876" xr:uid="{00000000-0005-0000-0000-00006C150000}"/>
    <cellStyle name="Comma 4 3 4 5 2" xfId="2877" xr:uid="{00000000-0005-0000-0000-00006D150000}"/>
    <cellStyle name="Comma 4 3 4 5 2 2" xfId="26401" xr:uid="{00000000-0005-0000-0000-00006E150000}"/>
    <cellStyle name="Comma 4 3 4 5 3" xfId="26400" xr:uid="{00000000-0005-0000-0000-00006F150000}"/>
    <cellStyle name="Comma 4 3 4 6" xfId="2878" xr:uid="{00000000-0005-0000-0000-000070150000}"/>
    <cellStyle name="Comma 4 3 4 6 2" xfId="26402" xr:uid="{00000000-0005-0000-0000-000071150000}"/>
    <cellStyle name="Comma 4 3 4 7" xfId="26379" xr:uid="{00000000-0005-0000-0000-000072150000}"/>
    <cellStyle name="Comma 4 3 5" xfId="2879" xr:uid="{00000000-0005-0000-0000-000073150000}"/>
    <cellStyle name="Comma 4 3 5 2" xfId="2880" xr:uid="{00000000-0005-0000-0000-000074150000}"/>
    <cellStyle name="Comma 4 3 5 2 2" xfId="2881" xr:uid="{00000000-0005-0000-0000-000075150000}"/>
    <cellStyle name="Comma 4 3 5 2 2 2" xfId="2882" xr:uid="{00000000-0005-0000-0000-000076150000}"/>
    <cellStyle name="Comma 4 3 5 2 2 2 2" xfId="26406" xr:uid="{00000000-0005-0000-0000-000077150000}"/>
    <cellStyle name="Comma 4 3 5 2 2 3" xfId="26405" xr:uid="{00000000-0005-0000-0000-000078150000}"/>
    <cellStyle name="Comma 4 3 5 2 3" xfId="2883" xr:uid="{00000000-0005-0000-0000-000079150000}"/>
    <cellStyle name="Comma 4 3 5 2 3 2" xfId="26407" xr:uid="{00000000-0005-0000-0000-00007A150000}"/>
    <cellStyle name="Comma 4 3 5 2 4" xfId="26404" xr:uid="{00000000-0005-0000-0000-00007B150000}"/>
    <cellStyle name="Comma 4 3 5 3" xfId="2884" xr:uid="{00000000-0005-0000-0000-00007C150000}"/>
    <cellStyle name="Comma 4 3 5 3 2" xfId="2885" xr:uid="{00000000-0005-0000-0000-00007D150000}"/>
    <cellStyle name="Comma 4 3 5 3 2 2" xfId="26409" xr:uid="{00000000-0005-0000-0000-00007E150000}"/>
    <cellStyle name="Comma 4 3 5 3 3" xfId="26408" xr:uid="{00000000-0005-0000-0000-00007F150000}"/>
    <cellStyle name="Comma 4 3 5 4" xfId="2886" xr:uid="{00000000-0005-0000-0000-000080150000}"/>
    <cellStyle name="Comma 4 3 5 4 2" xfId="26410" xr:uid="{00000000-0005-0000-0000-000081150000}"/>
    <cellStyle name="Comma 4 3 5 5" xfId="26403" xr:uid="{00000000-0005-0000-0000-000082150000}"/>
    <cellStyle name="Comma 4 3 6" xfId="2887" xr:uid="{00000000-0005-0000-0000-000083150000}"/>
    <cellStyle name="Comma 4 3 6 2" xfId="2888" xr:uid="{00000000-0005-0000-0000-000084150000}"/>
    <cellStyle name="Comma 4 3 6 2 2" xfId="2889" xr:uid="{00000000-0005-0000-0000-000085150000}"/>
    <cellStyle name="Comma 4 3 6 2 2 2" xfId="2890" xr:uid="{00000000-0005-0000-0000-000086150000}"/>
    <cellStyle name="Comma 4 3 6 2 2 2 2" xfId="26414" xr:uid="{00000000-0005-0000-0000-000087150000}"/>
    <cellStyle name="Comma 4 3 6 2 2 3" xfId="26413" xr:uid="{00000000-0005-0000-0000-000088150000}"/>
    <cellStyle name="Comma 4 3 6 2 3" xfId="2891" xr:uid="{00000000-0005-0000-0000-000089150000}"/>
    <cellStyle name="Comma 4 3 6 2 3 2" xfId="26415" xr:uid="{00000000-0005-0000-0000-00008A150000}"/>
    <cellStyle name="Comma 4 3 6 2 4" xfId="26412" xr:uid="{00000000-0005-0000-0000-00008B150000}"/>
    <cellStyle name="Comma 4 3 6 3" xfId="2892" xr:uid="{00000000-0005-0000-0000-00008C150000}"/>
    <cellStyle name="Comma 4 3 6 3 2" xfId="2893" xr:uid="{00000000-0005-0000-0000-00008D150000}"/>
    <cellStyle name="Comma 4 3 6 3 2 2" xfId="26417" xr:uid="{00000000-0005-0000-0000-00008E150000}"/>
    <cellStyle name="Comma 4 3 6 3 3" xfId="26416" xr:uid="{00000000-0005-0000-0000-00008F150000}"/>
    <cellStyle name="Comma 4 3 6 4" xfId="2894" xr:uid="{00000000-0005-0000-0000-000090150000}"/>
    <cellStyle name="Comma 4 3 6 4 2" xfId="26418" xr:uid="{00000000-0005-0000-0000-000091150000}"/>
    <cellStyle name="Comma 4 3 6 5" xfId="26411" xr:uid="{00000000-0005-0000-0000-000092150000}"/>
    <cellStyle name="Comma 4 3 7" xfId="2895" xr:uid="{00000000-0005-0000-0000-000093150000}"/>
    <cellStyle name="Comma 4 3 7 2" xfId="2896" xr:uid="{00000000-0005-0000-0000-000094150000}"/>
    <cellStyle name="Comma 4 3 7 2 2" xfId="2897" xr:uid="{00000000-0005-0000-0000-000095150000}"/>
    <cellStyle name="Comma 4 3 7 2 2 2" xfId="26421" xr:uid="{00000000-0005-0000-0000-000096150000}"/>
    <cellStyle name="Comma 4 3 7 2 3" xfId="26420" xr:uid="{00000000-0005-0000-0000-000097150000}"/>
    <cellStyle name="Comma 4 3 7 3" xfId="2898" xr:uid="{00000000-0005-0000-0000-000098150000}"/>
    <cellStyle name="Comma 4 3 7 3 2" xfId="26422" xr:uid="{00000000-0005-0000-0000-000099150000}"/>
    <cellStyle name="Comma 4 3 7 4" xfId="26419" xr:uid="{00000000-0005-0000-0000-00009A150000}"/>
    <cellStyle name="Comma 4 3 8" xfId="2899" xr:uid="{00000000-0005-0000-0000-00009B150000}"/>
    <cellStyle name="Comma 4 3 8 2" xfId="2900" xr:uid="{00000000-0005-0000-0000-00009C150000}"/>
    <cellStyle name="Comma 4 3 8 2 2" xfId="26424" xr:uid="{00000000-0005-0000-0000-00009D150000}"/>
    <cellStyle name="Comma 4 3 8 3" xfId="26423" xr:uid="{00000000-0005-0000-0000-00009E150000}"/>
    <cellStyle name="Comma 4 3 9" xfId="2901" xr:uid="{00000000-0005-0000-0000-00009F150000}"/>
    <cellStyle name="Comma 4 3 9 2" xfId="26425" xr:uid="{00000000-0005-0000-0000-0000A0150000}"/>
    <cellStyle name="Comma 4 4" xfId="2902" xr:uid="{00000000-0005-0000-0000-0000A1150000}"/>
    <cellStyle name="Comma 4 4 10" xfId="26426" xr:uid="{00000000-0005-0000-0000-0000A2150000}"/>
    <cellStyle name="Comma 4 4 2" xfId="2903" xr:uid="{00000000-0005-0000-0000-0000A3150000}"/>
    <cellStyle name="Comma 4 4 2 2" xfId="2904" xr:uid="{00000000-0005-0000-0000-0000A4150000}"/>
    <cellStyle name="Comma 4 4 2 2 2" xfId="2905" xr:uid="{00000000-0005-0000-0000-0000A5150000}"/>
    <cellStyle name="Comma 4 4 2 2 2 2" xfId="2906" xr:uid="{00000000-0005-0000-0000-0000A6150000}"/>
    <cellStyle name="Comma 4 4 2 2 2 2 2" xfId="2907" xr:uid="{00000000-0005-0000-0000-0000A7150000}"/>
    <cellStyle name="Comma 4 4 2 2 2 2 2 2" xfId="26431" xr:uid="{00000000-0005-0000-0000-0000A8150000}"/>
    <cellStyle name="Comma 4 4 2 2 2 2 3" xfId="26430" xr:uid="{00000000-0005-0000-0000-0000A9150000}"/>
    <cellStyle name="Comma 4 4 2 2 2 3" xfId="2908" xr:uid="{00000000-0005-0000-0000-0000AA150000}"/>
    <cellStyle name="Comma 4 4 2 2 2 3 2" xfId="26432" xr:uid="{00000000-0005-0000-0000-0000AB150000}"/>
    <cellStyle name="Comma 4 4 2 2 2 4" xfId="26429" xr:uid="{00000000-0005-0000-0000-0000AC150000}"/>
    <cellStyle name="Comma 4 4 2 2 3" xfId="2909" xr:uid="{00000000-0005-0000-0000-0000AD150000}"/>
    <cellStyle name="Comma 4 4 2 2 3 2" xfId="2910" xr:uid="{00000000-0005-0000-0000-0000AE150000}"/>
    <cellStyle name="Comma 4 4 2 2 3 2 2" xfId="26434" xr:uid="{00000000-0005-0000-0000-0000AF150000}"/>
    <cellStyle name="Comma 4 4 2 2 3 3" xfId="26433" xr:uid="{00000000-0005-0000-0000-0000B0150000}"/>
    <cellStyle name="Comma 4 4 2 2 4" xfId="2911" xr:uid="{00000000-0005-0000-0000-0000B1150000}"/>
    <cellStyle name="Comma 4 4 2 2 4 2" xfId="26435" xr:uid="{00000000-0005-0000-0000-0000B2150000}"/>
    <cellStyle name="Comma 4 4 2 2 5" xfId="26428" xr:uid="{00000000-0005-0000-0000-0000B3150000}"/>
    <cellStyle name="Comma 4 4 2 3" xfId="2912" xr:uid="{00000000-0005-0000-0000-0000B4150000}"/>
    <cellStyle name="Comma 4 4 2 3 2" xfId="2913" xr:uid="{00000000-0005-0000-0000-0000B5150000}"/>
    <cellStyle name="Comma 4 4 2 3 2 2" xfId="2914" xr:uid="{00000000-0005-0000-0000-0000B6150000}"/>
    <cellStyle name="Comma 4 4 2 3 2 2 2" xfId="2915" xr:uid="{00000000-0005-0000-0000-0000B7150000}"/>
    <cellStyle name="Comma 4 4 2 3 2 2 2 2" xfId="26439" xr:uid="{00000000-0005-0000-0000-0000B8150000}"/>
    <cellStyle name="Comma 4 4 2 3 2 2 3" xfId="26438" xr:uid="{00000000-0005-0000-0000-0000B9150000}"/>
    <cellStyle name="Comma 4 4 2 3 2 3" xfId="2916" xr:uid="{00000000-0005-0000-0000-0000BA150000}"/>
    <cellStyle name="Comma 4 4 2 3 2 3 2" xfId="26440" xr:uid="{00000000-0005-0000-0000-0000BB150000}"/>
    <cellStyle name="Comma 4 4 2 3 2 4" xfId="26437" xr:uid="{00000000-0005-0000-0000-0000BC150000}"/>
    <cellStyle name="Comma 4 4 2 3 3" xfId="2917" xr:uid="{00000000-0005-0000-0000-0000BD150000}"/>
    <cellStyle name="Comma 4 4 2 3 3 2" xfId="2918" xr:uid="{00000000-0005-0000-0000-0000BE150000}"/>
    <cellStyle name="Comma 4 4 2 3 3 2 2" xfId="26442" xr:uid="{00000000-0005-0000-0000-0000BF150000}"/>
    <cellStyle name="Comma 4 4 2 3 3 3" xfId="26441" xr:uid="{00000000-0005-0000-0000-0000C0150000}"/>
    <cellStyle name="Comma 4 4 2 3 4" xfId="2919" xr:uid="{00000000-0005-0000-0000-0000C1150000}"/>
    <cellStyle name="Comma 4 4 2 3 4 2" xfId="26443" xr:uid="{00000000-0005-0000-0000-0000C2150000}"/>
    <cellStyle name="Comma 4 4 2 3 5" xfId="26436" xr:uid="{00000000-0005-0000-0000-0000C3150000}"/>
    <cellStyle name="Comma 4 4 2 4" xfId="2920" xr:uid="{00000000-0005-0000-0000-0000C4150000}"/>
    <cellStyle name="Comma 4 4 2 4 2" xfId="2921" xr:uid="{00000000-0005-0000-0000-0000C5150000}"/>
    <cellStyle name="Comma 4 4 2 4 2 2" xfId="2922" xr:uid="{00000000-0005-0000-0000-0000C6150000}"/>
    <cellStyle name="Comma 4 4 2 4 2 2 2" xfId="26446" xr:uid="{00000000-0005-0000-0000-0000C7150000}"/>
    <cellStyle name="Comma 4 4 2 4 2 3" xfId="26445" xr:uid="{00000000-0005-0000-0000-0000C8150000}"/>
    <cellStyle name="Comma 4 4 2 4 3" xfId="2923" xr:uid="{00000000-0005-0000-0000-0000C9150000}"/>
    <cellStyle name="Comma 4 4 2 4 3 2" xfId="26447" xr:uid="{00000000-0005-0000-0000-0000CA150000}"/>
    <cellStyle name="Comma 4 4 2 4 4" xfId="26444" xr:uid="{00000000-0005-0000-0000-0000CB150000}"/>
    <cellStyle name="Comma 4 4 2 5" xfId="2924" xr:uid="{00000000-0005-0000-0000-0000CC150000}"/>
    <cellStyle name="Comma 4 4 2 5 2" xfId="2925" xr:uid="{00000000-0005-0000-0000-0000CD150000}"/>
    <cellStyle name="Comma 4 4 2 5 2 2" xfId="26449" xr:uid="{00000000-0005-0000-0000-0000CE150000}"/>
    <cellStyle name="Comma 4 4 2 5 3" xfId="26448" xr:uid="{00000000-0005-0000-0000-0000CF150000}"/>
    <cellStyle name="Comma 4 4 2 6" xfId="2926" xr:uid="{00000000-0005-0000-0000-0000D0150000}"/>
    <cellStyle name="Comma 4 4 2 6 2" xfId="26450" xr:uid="{00000000-0005-0000-0000-0000D1150000}"/>
    <cellStyle name="Comma 4 4 2 7" xfId="26427" xr:uid="{00000000-0005-0000-0000-0000D2150000}"/>
    <cellStyle name="Comma 4 4 3" xfId="2927" xr:uid="{00000000-0005-0000-0000-0000D3150000}"/>
    <cellStyle name="Comma 4 4 3 2" xfId="2928" xr:uid="{00000000-0005-0000-0000-0000D4150000}"/>
    <cellStyle name="Comma 4 4 3 2 2" xfId="2929" xr:uid="{00000000-0005-0000-0000-0000D5150000}"/>
    <cellStyle name="Comma 4 4 3 2 2 2" xfId="2930" xr:uid="{00000000-0005-0000-0000-0000D6150000}"/>
    <cellStyle name="Comma 4 4 3 2 2 2 2" xfId="2931" xr:uid="{00000000-0005-0000-0000-0000D7150000}"/>
    <cellStyle name="Comma 4 4 3 2 2 2 2 2" xfId="26455" xr:uid="{00000000-0005-0000-0000-0000D8150000}"/>
    <cellStyle name="Comma 4 4 3 2 2 2 3" xfId="26454" xr:uid="{00000000-0005-0000-0000-0000D9150000}"/>
    <cellStyle name="Comma 4 4 3 2 2 3" xfId="2932" xr:uid="{00000000-0005-0000-0000-0000DA150000}"/>
    <cellStyle name="Comma 4 4 3 2 2 3 2" xfId="26456" xr:uid="{00000000-0005-0000-0000-0000DB150000}"/>
    <cellStyle name="Comma 4 4 3 2 2 4" xfId="26453" xr:uid="{00000000-0005-0000-0000-0000DC150000}"/>
    <cellStyle name="Comma 4 4 3 2 3" xfId="2933" xr:uid="{00000000-0005-0000-0000-0000DD150000}"/>
    <cellStyle name="Comma 4 4 3 2 3 2" xfId="2934" xr:uid="{00000000-0005-0000-0000-0000DE150000}"/>
    <cellStyle name="Comma 4 4 3 2 3 2 2" xfId="26458" xr:uid="{00000000-0005-0000-0000-0000DF150000}"/>
    <cellStyle name="Comma 4 4 3 2 3 3" xfId="26457" xr:uid="{00000000-0005-0000-0000-0000E0150000}"/>
    <cellStyle name="Comma 4 4 3 2 4" xfId="2935" xr:uid="{00000000-0005-0000-0000-0000E1150000}"/>
    <cellStyle name="Comma 4 4 3 2 4 2" xfId="26459" xr:uid="{00000000-0005-0000-0000-0000E2150000}"/>
    <cellStyle name="Comma 4 4 3 2 5" xfId="26452" xr:uid="{00000000-0005-0000-0000-0000E3150000}"/>
    <cellStyle name="Comma 4 4 3 3" xfId="2936" xr:uid="{00000000-0005-0000-0000-0000E4150000}"/>
    <cellStyle name="Comma 4 4 3 3 2" xfId="2937" xr:uid="{00000000-0005-0000-0000-0000E5150000}"/>
    <cellStyle name="Comma 4 4 3 3 2 2" xfId="2938" xr:uid="{00000000-0005-0000-0000-0000E6150000}"/>
    <cellStyle name="Comma 4 4 3 3 2 2 2" xfId="2939" xr:uid="{00000000-0005-0000-0000-0000E7150000}"/>
    <cellStyle name="Comma 4 4 3 3 2 2 2 2" xfId="26463" xr:uid="{00000000-0005-0000-0000-0000E8150000}"/>
    <cellStyle name="Comma 4 4 3 3 2 2 3" xfId="26462" xr:uid="{00000000-0005-0000-0000-0000E9150000}"/>
    <cellStyle name="Comma 4 4 3 3 2 3" xfId="2940" xr:uid="{00000000-0005-0000-0000-0000EA150000}"/>
    <cellStyle name="Comma 4 4 3 3 2 3 2" xfId="26464" xr:uid="{00000000-0005-0000-0000-0000EB150000}"/>
    <cellStyle name="Comma 4 4 3 3 2 4" xfId="26461" xr:uid="{00000000-0005-0000-0000-0000EC150000}"/>
    <cellStyle name="Comma 4 4 3 3 3" xfId="2941" xr:uid="{00000000-0005-0000-0000-0000ED150000}"/>
    <cellStyle name="Comma 4 4 3 3 3 2" xfId="2942" xr:uid="{00000000-0005-0000-0000-0000EE150000}"/>
    <cellStyle name="Comma 4 4 3 3 3 2 2" xfId="26466" xr:uid="{00000000-0005-0000-0000-0000EF150000}"/>
    <cellStyle name="Comma 4 4 3 3 3 3" xfId="26465" xr:uid="{00000000-0005-0000-0000-0000F0150000}"/>
    <cellStyle name="Comma 4 4 3 3 4" xfId="2943" xr:uid="{00000000-0005-0000-0000-0000F1150000}"/>
    <cellStyle name="Comma 4 4 3 3 4 2" xfId="26467" xr:uid="{00000000-0005-0000-0000-0000F2150000}"/>
    <cellStyle name="Comma 4 4 3 3 5" xfId="26460" xr:uid="{00000000-0005-0000-0000-0000F3150000}"/>
    <cellStyle name="Comma 4 4 3 4" xfId="2944" xr:uid="{00000000-0005-0000-0000-0000F4150000}"/>
    <cellStyle name="Comma 4 4 3 4 2" xfId="2945" xr:uid="{00000000-0005-0000-0000-0000F5150000}"/>
    <cellStyle name="Comma 4 4 3 4 2 2" xfId="2946" xr:uid="{00000000-0005-0000-0000-0000F6150000}"/>
    <cellStyle name="Comma 4 4 3 4 2 2 2" xfId="26470" xr:uid="{00000000-0005-0000-0000-0000F7150000}"/>
    <cellStyle name="Comma 4 4 3 4 2 3" xfId="26469" xr:uid="{00000000-0005-0000-0000-0000F8150000}"/>
    <cellStyle name="Comma 4 4 3 4 3" xfId="2947" xr:uid="{00000000-0005-0000-0000-0000F9150000}"/>
    <cellStyle name="Comma 4 4 3 4 3 2" xfId="26471" xr:uid="{00000000-0005-0000-0000-0000FA150000}"/>
    <cellStyle name="Comma 4 4 3 4 4" xfId="26468" xr:uid="{00000000-0005-0000-0000-0000FB150000}"/>
    <cellStyle name="Comma 4 4 3 5" xfId="2948" xr:uid="{00000000-0005-0000-0000-0000FC150000}"/>
    <cellStyle name="Comma 4 4 3 5 2" xfId="2949" xr:uid="{00000000-0005-0000-0000-0000FD150000}"/>
    <cellStyle name="Comma 4 4 3 5 2 2" xfId="26473" xr:uid="{00000000-0005-0000-0000-0000FE150000}"/>
    <cellStyle name="Comma 4 4 3 5 3" xfId="26472" xr:uid="{00000000-0005-0000-0000-0000FF150000}"/>
    <cellStyle name="Comma 4 4 3 6" xfId="2950" xr:uid="{00000000-0005-0000-0000-000000160000}"/>
    <cellStyle name="Comma 4 4 3 6 2" xfId="26474" xr:uid="{00000000-0005-0000-0000-000001160000}"/>
    <cellStyle name="Comma 4 4 3 7" xfId="26451" xr:uid="{00000000-0005-0000-0000-000002160000}"/>
    <cellStyle name="Comma 4 4 4" xfId="2951" xr:uid="{00000000-0005-0000-0000-000003160000}"/>
    <cellStyle name="Comma 4 4 4 2" xfId="2952" xr:uid="{00000000-0005-0000-0000-000004160000}"/>
    <cellStyle name="Comma 4 4 4 2 2" xfId="2953" xr:uid="{00000000-0005-0000-0000-000005160000}"/>
    <cellStyle name="Comma 4 4 4 2 2 2" xfId="2954" xr:uid="{00000000-0005-0000-0000-000006160000}"/>
    <cellStyle name="Comma 4 4 4 2 2 2 2" xfId="2955" xr:uid="{00000000-0005-0000-0000-000007160000}"/>
    <cellStyle name="Comma 4 4 4 2 2 2 2 2" xfId="26479" xr:uid="{00000000-0005-0000-0000-000008160000}"/>
    <cellStyle name="Comma 4 4 4 2 2 2 3" xfId="26478" xr:uid="{00000000-0005-0000-0000-000009160000}"/>
    <cellStyle name="Comma 4 4 4 2 2 3" xfId="2956" xr:uid="{00000000-0005-0000-0000-00000A160000}"/>
    <cellStyle name="Comma 4 4 4 2 2 3 2" xfId="26480" xr:uid="{00000000-0005-0000-0000-00000B160000}"/>
    <cellStyle name="Comma 4 4 4 2 2 4" xfId="26477" xr:uid="{00000000-0005-0000-0000-00000C160000}"/>
    <cellStyle name="Comma 4 4 4 2 3" xfId="2957" xr:uid="{00000000-0005-0000-0000-00000D160000}"/>
    <cellStyle name="Comma 4 4 4 2 3 2" xfId="2958" xr:uid="{00000000-0005-0000-0000-00000E160000}"/>
    <cellStyle name="Comma 4 4 4 2 3 2 2" xfId="26482" xr:uid="{00000000-0005-0000-0000-00000F160000}"/>
    <cellStyle name="Comma 4 4 4 2 3 3" xfId="26481" xr:uid="{00000000-0005-0000-0000-000010160000}"/>
    <cellStyle name="Comma 4 4 4 2 4" xfId="2959" xr:uid="{00000000-0005-0000-0000-000011160000}"/>
    <cellStyle name="Comma 4 4 4 2 4 2" xfId="26483" xr:uid="{00000000-0005-0000-0000-000012160000}"/>
    <cellStyle name="Comma 4 4 4 2 5" xfId="26476" xr:uid="{00000000-0005-0000-0000-000013160000}"/>
    <cellStyle name="Comma 4 4 4 3" xfId="2960" xr:uid="{00000000-0005-0000-0000-000014160000}"/>
    <cellStyle name="Comma 4 4 4 3 2" xfId="2961" xr:uid="{00000000-0005-0000-0000-000015160000}"/>
    <cellStyle name="Comma 4 4 4 3 2 2" xfId="2962" xr:uid="{00000000-0005-0000-0000-000016160000}"/>
    <cellStyle name="Comma 4 4 4 3 2 2 2" xfId="2963" xr:uid="{00000000-0005-0000-0000-000017160000}"/>
    <cellStyle name="Comma 4 4 4 3 2 2 2 2" xfId="26487" xr:uid="{00000000-0005-0000-0000-000018160000}"/>
    <cellStyle name="Comma 4 4 4 3 2 2 3" xfId="26486" xr:uid="{00000000-0005-0000-0000-000019160000}"/>
    <cellStyle name="Comma 4 4 4 3 2 3" xfId="2964" xr:uid="{00000000-0005-0000-0000-00001A160000}"/>
    <cellStyle name="Comma 4 4 4 3 2 3 2" xfId="26488" xr:uid="{00000000-0005-0000-0000-00001B160000}"/>
    <cellStyle name="Comma 4 4 4 3 2 4" xfId="26485" xr:uid="{00000000-0005-0000-0000-00001C160000}"/>
    <cellStyle name="Comma 4 4 4 3 3" xfId="2965" xr:uid="{00000000-0005-0000-0000-00001D160000}"/>
    <cellStyle name="Comma 4 4 4 3 3 2" xfId="2966" xr:uid="{00000000-0005-0000-0000-00001E160000}"/>
    <cellStyle name="Comma 4 4 4 3 3 2 2" xfId="26490" xr:uid="{00000000-0005-0000-0000-00001F160000}"/>
    <cellStyle name="Comma 4 4 4 3 3 3" xfId="26489" xr:uid="{00000000-0005-0000-0000-000020160000}"/>
    <cellStyle name="Comma 4 4 4 3 4" xfId="2967" xr:uid="{00000000-0005-0000-0000-000021160000}"/>
    <cellStyle name="Comma 4 4 4 3 4 2" xfId="26491" xr:uid="{00000000-0005-0000-0000-000022160000}"/>
    <cellStyle name="Comma 4 4 4 3 5" xfId="26484" xr:uid="{00000000-0005-0000-0000-000023160000}"/>
    <cellStyle name="Comma 4 4 4 4" xfId="2968" xr:uid="{00000000-0005-0000-0000-000024160000}"/>
    <cellStyle name="Comma 4 4 4 4 2" xfId="2969" xr:uid="{00000000-0005-0000-0000-000025160000}"/>
    <cellStyle name="Comma 4 4 4 4 2 2" xfId="2970" xr:uid="{00000000-0005-0000-0000-000026160000}"/>
    <cellStyle name="Comma 4 4 4 4 2 2 2" xfId="26494" xr:uid="{00000000-0005-0000-0000-000027160000}"/>
    <cellStyle name="Comma 4 4 4 4 2 3" xfId="26493" xr:uid="{00000000-0005-0000-0000-000028160000}"/>
    <cellStyle name="Comma 4 4 4 4 3" xfId="2971" xr:uid="{00000000-0005-0000-0000-000029160000}"/>
    <cellStyle name="Comma 4 4 4 4 3 2" xfId="26495" xr:uid="{00000000-0005-0000-0000-00002A160000}"/>
    <cellStyle name="Comma 4 4 4 4 4" xfId="26492" xr:uid="{00000000-0005-0000-0000-00002B160000}"/>
    <cellStyle name="Comma 4 4 4 5" xfId="2972" xr:uid="{00000000-0005-0000-0000-00002C160000}"/>
    <cellStyle name="Comma 4 4 4 5 2" xfId="2973" xr:uid="{00000000-0005-0000-0000-00002D160000}"/>
    <cellStyle name="Comma 4 4 4 5 2 2" xfId="26497" xr:uid="{00000000-0005-0000-0000-00002E160000}"/>
    <cellStyle name="Comma 4 4 4 5 3" xfId="26496" xr:uid="{00000000-0005-0000-0000-00002F160000}"/>
    <cellStyle name="Comma 4 4 4 6" xfId="2974" xr:uid="{00000000-0005-0000-0000-000030160000}"/>
    <cellStyle name="Comma 4 4 4 6 2" xfId="26498" xr:uid="{00000000-0005-0000-0000-000031160000}"/>
    <cellStyle name="Comma 4 4 4 7" xfId="26475" xr:uid="{00000000-0005-0000-0000-000032160000}"/>
    <cellStyle name="Comma 4 4 5" xfId="2975" xr:uid="{00000000-0005-0000-0000-000033160000}"/>
    <cellStyle name="Comma 4 4 5 2" xfId="2976" xr:uid="{00000000-0005-0000-0000-000034160000}"/>
    <cellStyle name="Comma 4 4 5 2 2" xfId="2977" xr:uid="{00000000-0005-0000-0000-000035160000}"/>
    <cellStyle name="Comma 4 4 5 2 2 2" xfId="2978" xr:uid="{00000000-0005-0000-0000-000036160000}"/>
    <cellStyle name="Comma 4 4 5 2 2 2 2" xfId="26502" xr:uid="{00000000-0005-0000-0000-000037160000}"/>
    <cellStyle name="Comma 4 4 5 2 2 3" xfId="26501" xr:uid="{00000000-0005-0000-0000-000038160000}"/>
    <cellStyle name="Comma 4 4 5 2 3" xfId="2979" xr:uid="{00000000-0005-0000-0000-000039160000}"/>
    <cellStyle name="Comma 4 4 5 2 3 2" xfId="26503" xr:uid="{00000000-0005-0000-0000-00003A160000}"/>
    <cellStyle name="Comma 4 4 5 2 4" xfId="26500" xr:uid="{00000000-0005-0000-0000-00003B160000}"/>
    <cellStyle name="Comma 4 4 5 3" xfId="2980" xr:uid="{00000000-0005-0000-0000-00003C160000}"/>
    <cellStyle name="Comma 4 4 5 3 2" xfId="2981" xr:uid="{00000000-0005-0000-0000-00003D160000}"/>
    <cellStyle name="Comma 4 4 5 3 2 2" xfId="26505" xr:uid="{00000000-0005-0000-0000-00003E160000}"/>
    <cellStyle name="Comma 4 4 5 3 3" xfId="26504" xr:uid="{00000000-0005-0000-0000-00003F160000}"/>
    <cellStyle name="Comma 4 4 5 4" xfId="2982" xr:uid="{00000000-0005-0000-0000-000040160000}"/>
    <cellStyle name="Comma 4 4 5 4 2" xfId="26506" xr:uid="{00000000-0005-0000-0000-000041160000}"/>
    <cellStyle name="Comma 4 4 5 5" xfId="26499" xr:uid="{00000000-0005-0000-0000-000042160000}"/>
    <cellStyle name="Comma 4 4 6" xfId="2983" xr:uid="{00000000-0005-0000-0000-000043160000}"/>
    <cellStyle name="Comma 4 4 6 2" xfId="2984" xr:uid="{00000000-0005-0000-0000-000044160000}"/>
    <cellStyle name="Comma 4 4 6 2 2" xfId="2985" xr:uid="{00000000-0005-0000-0000-000045160000}"/>
    <cellStyle name="Comma 4 4 6 2 2 2" xfId="2986" xr:uid="{00000000-0005-0000-0000-000046160000}"/>
    <cellStyle name="Comma 4 4 6 2 2 2 2" xfId="26510" xr:uid="{00000000-0005-0000-0000-000047160000}"/>
    <cellStyle name="Comma 4 4 6 2 2 3" xfId="26509" xr:uid="{00000000-0005-0000-0000-000048160000}"/>
    <cellStyle name="Comma 4 4 6 2 3" xfId="2987" xr:uid="{00000000-0005-0000-0000-000049160000}"/>
    <cellStyle name="Comma 4 4 6 2 3 2" xfId="26511" xr:uid="{00000000-0005-0000-0000-00004A160000}"/>
    <cellStyle name="Comma 4 4 6 2 4" xfId="26508" xr:uid="{00000000-0005-0000-0000-00004B160000}"/>
    <cellStyle name="Comma 4 4 6 3" xfId="2988" xr:uid="{00000000-0005-0000-0000-00004C160000}"/>
    <cellStyle name="Comma 4 4 6 3 2" xfId="2989" xr:uid="{00000000-0005-0000-0000-00004D160000}"/>
    <cellStyle name="Comma 4 4 6 3 2 2" xfId="26513" xr:uid="{00000000-0005-0000-0000-00004E160000}"/>
    <cellStyle name="Comma 4 4 6 3 3" xfId="26512" xr:uid="{00000000-0005-0000-0000-00004F160000}"/>
    <cellStyle name="Comma 4 4 6 4" xfId="2990" xr:uid="{00000000-0005-0000-0000-000050160000}"/>
    <cellStyle name="Comma 4 4 6 4 2" xfId="26514" xr:uid="{00000000-0005-0000-0000-000051160000}"/>
    <cellStyle name="Comma 4 4 6 5" xfId="26507" xr:uid="{00000000-0005-0000-0000-000052160000}"/>
    <cellStyle name="Comma 4 4 7" xfId="2991" xr:uid="{00000000-0005-0000-0000-000053160000}"/>
    <cellStyle name="Comma 4 4 7 2" xfId="2992" xr:uid="{00000000-0005-0000-0000-000054160000}"/>
    <cellStyle name="Comma 4 4 7 2 2" xfId="2993" xr:uid="{00000000-0005-0000-0000-000055160000}"/>
    <cellStyle name="Comma 4 4 7 2 2 2" xfId="26517" xr:uid="{00000000-0005-0000-0000-000056160000}"/>
    <cellStyle name="Comma 4 4 7 2 3" xfId="26516" xr:uid="{00000000-0005-0000-0000-000057160000}"/>
    <cellStyle name="Comma 4 4 7 3" xfId="2994" xr:uid="{00000000-0005-0000-0000-000058160000}"/>
    <cellStyle name="Comma 4 4 7 3 2" xfId="26518" xr:uid="{00000000-0005-0000-0000-000059160000}"/>
    <cellStyle name="Comma 4 4 7 4" xfId="26515" xr:uid="{00000000-0005-0000-0000-00005A160000}"/>
    <cellStyle name="Comma 4 4 8" xfId="2995" xr:uid="{00000000-0005-0000-0000-00005B160000}"/>
    <cellStyle name="Comma 4 4 8 2" xfId="2996" xr:uid="{00000000-0005-0000-0000-00005C160000}"/>
    <cellStyle name="Comma 4 4 8 2 2" xfId="26520" xr:uid="{00000000-0005-0000-0000-00005D160000}"/>
    <cellStyle name="Comma 4 4 8 3" xfId="26519" xr:uid="{00000000-0005-0000-0000-00005E160000}"/>
    <cellStyle name="Comma 4 4 9" xfId="2997" xr:uid="{00000000-0005-0000-0000-00005F160000}"/>
    <cellStyle name="Comma 4 4 9 2" xfId="26521" xr:uid="{00000000-0005-0000-0000-000060160000}"/>
    <cellStyle name="Comma 4 5" xfId="2998" xr:uid="{00000000-0005-0000-0000-000061160000}"/>
    <cellStyle name="Comma 4 5 2" xfId="2999" xr:uid="{00000000-0005-0000-0000-000062160000}"/>
    <cellStyle name="Comma 4 5 2 2" xfId="3000" xr:uid="{00000000-0005-0000-0000-000063160000}"/>
    <cellStyle name="Comma 4 5 2 2 2" xfId="3001" xr:uid="{00000000-0005-0000-0000-000064160000}"/>
    <cellStyle name="Comma 4 5 2 2 2 2" xfId="3002" xr:uid="{00000000-0005-0000-0000-000065160000}"/>
    <cellStyle name="Comma 4 5 2 2 2 2 2" xfId="3003" xr:uid="{00000000-0005-0000-0000-000066160000}"/>
    <cellStyle name="Comma 4 5 2 2 2 2 2 2" xfId="26527" xr:uid="{00000000-0005-0000-0000-000067160000}"/>
    <cellStyle name="Comma 4 5 2 2 2 2 3" xfId="26526" xr:uid="{00000000-0005-0000-0000-000068160000}"/>
    <cellStyle name="Comma 4 5 2 2 2 3" xfId="3004" xr:uid="{00000000-0005-0000-0000-000069160000}"/>
    <cellStyle name="Comma 4 5 2 2 2 3 2" xfId="26528" xr:uid="{00000000-0005-0000-0000-00006A160000}"/>
    <cellStyle name="Comma 4 5 2 2 2 4" xfId="26525" xr:uid="{00000000-0005-0000-0000-00006B160000}"/>
    <cellStyle name="Comma 4 5 2 2 3" xfId="3005" xr:uid="{00000000-0005-0000-0000-00006C160000}"/>
    <cellStyle name="Comma 4 5 2 2 3 2" xfId="3006" xr:uid="{00000000-0005-0000-0000-00006D160000}"/>
    <cellStyle name="Comma 4 5 2 2 3 2 2" xfId="26530" xr:uid="{00000000-0005-0000-0000-00006E160000}"/>
    <cellStyle name="Comma 4 5 2 2 3 3" xfId="26529" xr:uid="{00000000-0005-0000-0000-00006F160000}"/>
    <cellStyle name="Comma 4 5 2 2 4" xfId="3007" xr:uid="{00000000-0005-0000-0000-000070160000}"/>
    <cellStyle name="Comma 4 5 2 2 4 2" xfId="26531" xr:uid="{00000000-0005-0000-0000-000071160000}"/>
    <cellStyle name="Comma 4 5 2 2 5" xfId="26524" xr:uid="{00000000-0005-0000-0000-000072160000}"/>
    <cellStyle name="Comma 4 5 2 3" xfId="3008" xr:uid="{00000000-0005-0000-0000-000073160000}"/>
    <cellStyle name="Comma 4 5 2 3 2" xfId="3009" xr:uid="{00000000-0005-0000-0000-000074160000}"/>
    <cellStyle name="Comma 4 5 2 3 2 2" xfId="3010" xr:uid="{00000000-0005-0000-0000-000075160000}"/>
    <cellStyle name="Comma 4 5 2 3 2 2 2" xfId="3011" xr:uid="{00000000-0005-0000-0000-000076160000}"/>
    <cellStyle name="Comma 4 5 2 3 2 2 2 2" xfId="26535" xr:uid="{00000000-0005-0000-0000-000077160000}"/>
    <cellStyle name="Comma 4 5 2 3 2 2 3" xfId="26534" xr:uid="{00000000-0005-0000-0000-000078160000}"/>
    <cellStyle name="Comma 4 5 2 3 2 3" xfId="3012" xr:uid="{00000000-0005-0000-0000-000079160000}"/>
    <cellStyle name="Comma 4 5 2 3 2 3 2" xfId="26536" xr:uid="{00000000-0005-0000-0000-00007A160000}"/>
    <cellStyle name="Comma 4 5 2 3 2 4" xfId="26533" xr:uid="{00000000-0005-0000-0000-00007B160000}"/>
    <cellStyle name="Comma 4 5 2 3 3" xfId="3013" xr:uid="{00000000-0005-0000-0000-00007C160000}"/>
    <cellStyle name="Comma 4 5 2 3 3 2" xfId="3014" xr:uid="{00000000-0005-0000-0000-00007D160000}"/>
    <cellStyle name="Comma 4 5 2 3 3 2 2" xfId="26538" xr:uid="{00000000-0005-0000-0000-00007E160000}"/>
    <cellStyle name="Comma 4 5 2 3 3 3" xfId="26537" xr:uid="{00000000-0005-0000-0000-00007F160000}"/>
    <cellStyle name="Comma 4 5 2 3 4" xfId="3015" xr:uid="{00000000-0005-0000-0000-000080160000}"/>
    <cellStyle name="Comma 4 5 2 3 4 2" xfId="26539" xr:uid="{00000000-0005-0000-0000-000081160000}"/>
    <cellStyle name="Comma 4 5 2 3 5" xfId="26532" xr:uid="{00000000-0005-0000-0000-000082160000}"/>
    <cellStyle name="Comma 4 5 2 4" xfId="3016" xr:uid="{00000000-0005-0000-0000-000083160000}"/>
    <cellStyle name="Comma 4 5 2 4 2" xfId="3017" xr:uid="{00000000-0005-0000-0000-000084160000}"/>
    <cellStyle name="Comma 4 5 2 4 2 2" xfId="3018" xr:uid="{00000000-0005-0000-0000-000085160000}"/>
    <cellStyle name="Comma 4 5 2 4 2 2 2" xfId="26542" xr:uid="{00000000-0005-0000-0000-000086160000}"/>
    <cellStyle name="Comma 4 5 2 4 2 3" xfId="26541" xr:uid="{00000000-0005-0000-0000-000087160000}"/>
    <cellStyle name="Comma 4 5 2 4 3" xfId="3019" xr:uid="{00000000-0005-0000-0000-000088160000}"/>
    <cellStyle name="Comma 4 5 2 4 3 2" xfId="26543" xr:uid="{00000000-0005-0000-0000-000089160000}"/>
    <cellStyle name="Comma 4 5 2 4 4" xfId="26540" xr:uid="{00000000-0005-0000-0000-00008A160000}"/>
    <cellStyle name="Comma 4 5 2 5" xfId="3020" xr:uid="{00000000-0005-0000-0000-00008B160000}"/>
    <cellStyle name="Comma 4 5 2 5 2" xfId="3021" xr:uid="{00000000-0005-0000-0000-00008C160000}"/>
    <cellStyle name="Comma 4 5 2 5 2 2" xfId="26545" xr:uid="{00000000-0005-0000-0000-00008D160000}"/>
    <cellStyle name="Comma 4 5 2 5 3" xfId="26544" xr:uid="{00000000-0005-0000-0000-00008E160000}"/>
    <cellStyle name="Comma 4 5 2 6" xfId="3022" xr:uid="{00000000-0005-0000-0000-00008F160000}"/>
    <cellStyle name="Comma 4 5 2 6 2" xfId="26546" xr:uid="{00000000-0005-0000-0000-000090160000}"/>
    <cellStyle name="Comma 4 5 2 7" xfId="26523" xr:uid="{00000000-0005-0000-0000-000091160000}"/>
    <cellStyle name="Comma 4 5 3" xfId="3023" xr:uid="{00000000-0005-0000-0000-000092160000}"/>
    <cellStyle name="Comma 4 5 3 2" xfId="3024" xr:uid="{00000000-0005-0000-0000-000093160000}"/>
    <cellStyle name="Comma 4 5 3 2 2" xfId="3025" xr:uid="{00000000-0005-0000-0000-000094160000}"/>
    <cellStyle name="Comma 4 5 3 2 2 2" xfId="3026" xr:uid="{00000000-0005-0000-0000-000095160000}"/>
    <cellStyle name="Comma 4 5 3 2 2 2 2" xfId="3027" xr:uid="{00000000-0005-0000-0000-000096160000}"/>
    <cellStyle name="Comma 4 5 3 2 2 2 2 2" xfId="26551" xr:uid="{00000000-0005-0000-0000-000097160000}"/>
    <cellStyle name="Comma 4 5 3 2 2 2 3" xfId="26550" xr:uid="{00000000-0005-0000-0000-000098160000}"/>
    <cellStyle name="Comma 4 5 3 2 2 3" xfId="3028" xr:uid="{00000000-0005-0000-0000-000099160000}"/>
    <cellStyle name="Comma 4 5 3 2 2 3 2" xfId="26552" xr:uid="{00000000-0005-0000-0000-00009A160000}"/>
    <cellStyle name="Comma 4 5 3 2 2 4" xfId="26549" xr:uid="{00000000-0005-0000-0000-00009B160000}"/>
    <cellStyle name="Comma 4 5 3 2 3" xfId="3029" xr:uid="{00000000-0005-0000-0000-00009C160000}"/>
    <cellStyle name="Comma 4 5 3 2 3 2" xfId="3030" xr:uid="{00000000-0005-0000-0000-00009D160000}"/>
    <cellStyle name="Comma 4 5 3 2 3 2 2" xfId="26554" xr:uid="{00000000-0005-0000-0000-00009E160000}"/>
    <cellStyle name="Comma 4 5 3 2 3 3" xfId="26553" xr:uid="{00000000-0005-0000-0000-00009F160000}"/>
    <cellStyle name="Comma 4 5 3 2 4" xfId="3031" xr:uid="{00000000-0005-0000-0000-0000A0160000}"/>
    <cellStyle name="Comma 4 5 3 2 4 2" xfId="26555" xr:uid="{00000000-0005-0000-0000-0000A1160000}"/>
    <cellStyle name="Comma 4 5 3 2 5" xfId="26548" xr:uid="{00000000-0005-0000-0000-0000A2160000}"/>
    <cellStyle name="Comma 4 5 3 3" xfId="3032" xr:uid="{00000000-0005-0000-0000-0000A3160000}"/>
    <cellStyle name="Comma 4 5 3 3 2" xfId="3033" xr:uid="{00000000-0005-0000-0000-0000A4160000}"/>
    <cellStyle name="Comma 4 5 3 3 2 2" xfId="3034" xr:uid="{00000000-0005-0000-0000-0000A5160000}"/>
    <cellStyle name="Comma 4 5 3 3 2 2 2" xfId="3035" xr:uid="{00000000-0005-0000-0000-0000A6160000}"/>
    <cellStyle name="Comma 4 5 3 3 2 2 2 2" xfId="26559" xr:uid="{00000000-0005-0000-0000-0000A7160000}"/>
    <cellStyle name="Comma 4 5 3 3 2 2 3" xfId="26558" xr:uid="{00000000-0005-0000-0000-0000A8160000}"/>
    <cellStyle name="Comma 4 5 3 3 2 3" xfId="3036" xr:uid="{00000000-0005-0000-0000-0000A9160000}"/>
    <cellStyle name="Comma 4 5 3 3 2 3 2" xfId="26560" xr:uid="{00000000-0005-0000-0000-0000AA160000}"/>
    <cellStyle name="Comma 4 5 3 3 2 4" xfId="26557" xr:uid="{00000000-0005-0000-0000-0000AB160000}"/>
    <cellStyle name="Comma 4 5 3 3 3" xfId="3037" xr:uid="{00000000-0005-0000-0000-0000AC160000}"/>
    <cellStyle name="Comma 4 5 3 3 3 2" xfId="3038" xr:uid="{00000000-0005-0000-0000-0000AD160000}"/>
    <cellStyle name="Comma 4 5 3 3 3 2 2" xfId="26562" xr:uid="{00000000-0005-0000-0000-0000AE160000}"/>
    <cellStyle name="Comma 4 5 3 3 3 3" xfId="26561" xr:uid="{00000000-0005-0000-0000-0000AF160000}"/>
    <cellStyle name="Comma 4 5 3 3 4" xfId="3039" xr:uid="{00000000-0005-0000-0000-0000B0160000}"/>
    <cellStyle name="Comma 4 5 3 3 4 2" xfId="26563" xr:uid="{00000000-0005-0000-0000-0000B1160000}"/>
    <cellStyle name="Comma 4 5 3 3 5" xfId="26556" xr:uid="{00000000-0005-0000-0000-0000B2160000}"/>
    <cellStyle name="Comma 4 5 3 4" xfId="3040" xr:uid="{00000000-0005-0000-0000-0000B3160000}"/>
    <cellStyle name="Comma 4 5 3 4 2" xfId="3041" xr:uid="{00000000-0005-0000-0000-0000B4160000}"/>
    <cellStyle name="Comma 4 5 3 4 2 2" xfId="3042" xr:uid="{00000000-0005-0000-0000-0000B5160000}"/>
    <cellStyle name="Comma 4 5 3 4 2 2 2" xfId="26566" xr:uid="{00000000-0005-0000-0000-0000B6160000}"/>
    <cellStyle name="Comma 4 5 3 4 2 3" xfId="26565" xr:uid="{00000000-0005-0000-0000-0000B7160000}"/>
    <cellStyle name="Comma 4 5 3 4 3" xfId="3043" xr:uid="{00000000-0005-0000-0000-0000B8160000}"/>
    <cellStyle name="Comma 4 5 3 4 3 2" xfId="26567" xr:uid="{00000000-0005-0000-0000-0000B9160000}"/>
    <cellStyle name="Comma 4 5 3 4 4" xfId="26564" xr:uid="{00000000-0005-0000-0000-0000BA160000}"/>
    <cellStyle name="Comma 4 5 3 5" xfId="3044" xr:uid="{00000000-0005-0000-0000-0000BB160000}"/>
    <cellStyle name="Comma 4 5 3 5 2" xfId="3045" xr:uid="{00000000-0005-0000-0000-0000BC160000}"/>
    <cellStyle name="Comma 4 5 3 5 2 2" xfId="26569" xr:uid="{00000000-0005-0000-0000-0000BD160000}"/>
    <cellStyle name="Comma 4 5 3 5 3" xfId="26568" xr:uid="{00000000-0005-0000-0000-0000BE160000}"/>
    <cellStyle name="Comma 4 5 3 6" xfId="3046" xr:uid="{00000000-0005-0000-0000-0000BF160000}"/>
    <cellStyle name="Comma 4 5 3 6 2" xfId="26570" xr:uid="{00000000-0005-0000-0000-0000C0160000}"/>
    <cellStyle name="Comma 4 5 3 7" xfId="26547" xr:uid="{00000000-0005-0000-0000-0000C1160000}"/>
    <cellStyle name="Comma 4 5 4" xfId="3047" xr:uid="{00000000-0005-0000-0000-0000C2160000}"/>
    <cellStyle name="Comma 4 5 4 2" xfId="3048" xr:uid="{00000000-0005-0000-0000-0000C3160000}"/>
    <cellStyle name="Comma 4 5 4 2 2" xfId="3049" xr:uid="{00000000-0005-0000-0000-0000C4160000}"/>
    <cellStyle name="Comma 4 5 4 2 2 2" xfId="3050" xr:uid="{00000000-0005-0000-0000-0000C5160000}"/>
    <cellStyle name="Comma 4 5 4 2 2 2 2" xfId="26574" xr:uid="{00000000-0005-0000-0000-0000C6160000}"/>
    <cellStyle name="Comma 4 5 4 2 2 3" xfId="26573" xr:uid="{00000000-0005-0000-0000-0000C7160000}"/>
    <cellStyle name="Comma 4 5 4 2 3" xfId="3051" xr:uid="{00000000-0005-0000-0000-0000C8160000}"/>
    <cellStyle name="Comma 4 5 4 2 3 2" xfId="26575" xr:uid="{00000000-0005-0000-0000-0000C9160000}"/>
    <cellStyle name="Comma 4 5 4 2 4" xfId="26572" xr:uid="{00000000-0005-0000-0000-0000CA160000}"/>
    <cellStyle name="Comma 4 5 4 3" xfId="3052" xr:uid="{00000000-0005-0000-0000-0000CB160000}"/>
    <cellStyle name="Comma 4 5 4 3 2" xfId="3053" xr:uid="{00000000-0005-0000-0000-0000CC160000}"/>
    <cellStyle name="Comma 4 5 4 3 2 2" xfId="26577" xr:uid="{00000000-0005-0000-0000-0000CD160000}"/>
    <cellStyle name="Comma 4 5 4 3 3" xfId="26576" xr:uid="{00000000-0005-0000-0000-0000CE160000}"/>
    <cellStyle name="Comma 4 5 4 4" xfId="3054" xr:uid="{00000000-0005-0000-0000-0000CF160000}"/>
    <cellStyle name="Comma 4 5 4 4 2" xfId="26578" xr:uid="{00000000-0005-0000-0000-0000D0160000}"/>
    <cellStyle name="Comma 4 5 4 5" xfId="26571" xr:uid="{00000000-0005-0000-0000-0000D1160000}"/>
    <cellStyle name="Comma 4 5 5" xfId="3055" xr:uid="{00000000-0005-0000-0000-0000D2160000}"/>
    <cellStyle name="Comma 4 5 5 2" xfId="3056" xr:uid="{00000000-0005-0000-0000-0000D3160000}"/>
    <cellStyle name="Comma 4 5 5 2 2" xfId="3057" xr:uid="{00000000-0005-0000-0000-0000D4160000}"/>
    <cellStyle name="Comma 4 5 5 2 2 2" xfId="3058" xr:uid="{00000000-0005-0000-0000-0000D5160000}"/>
    <cellStyle name="Comma 4 5 5 2 2 2 2" xfId="26582" xr:uid="{00000000-0005-0000-0000-0000D6160000}"/>
    <cellStyle name="Comma 4 5 5 2 2 3" xfId="26581" xr:uid="{00000000-0005-0000-0000-0000D7160000}"/>
    <cellStyle name="Comma 4 5 5 2 3" xfId="3059" xr:uid="{00000000-0005-0000-0000-0000D8160000}"/>
    <cellStyle name="Comma 4 5 5 2 3 2" xfId="26583" xr:uid="{00000000-0005-0000-0000-0000D9160000}"/>
    <cellStyle name="Comma 4 5 5 2 4" xfId="26580" xr:uid="{00000000-0005-0000-0000-0000DA160000}"/>
    <cellStyle name="Comma 4 5 5 3" xfId="3060" xr:uid="{00000000-0005-0000-0000-0000DB160000}"/>
    <cellStyle name="Comma 4 5 5 3 2" xfId="3061" xr:uid="{00000000-0005-0000-0000-0000DC160000}"/>
    <cellStyle name="Comma 4 5 5 3 2 2" xfId="26585" xr:uid="{00000000-0005-0000-0000-0000DD160000}"/>
    <cellStyle name="Comma 4 5 5 3 3" xfId="26584" xr:uid="{00000000-0005-0000-0000-0000DE160000}"/>
    <cellStyle name="Comma 4 5 5 4" xfId="3062" xr:uid="{00000000-0005-0000-0000-0000DF160000}"/>
    <cellStyle name="Comma 4 5 5 4 2" xfId="26586" xr:uid="{00000000-0005-0000-0000-0000E0160000}"/>
    <cellStyle name="Comma 4 5 5 5" xfId="26579" xr:uid="{00000000-0005-0000-0000-0000E1160000}"/>
    <cellStyle name="Comma 4 5 6" xfId="3063" xr:uid="{00000000-0005-0000-0000-0000E2160000}"/>
    <cellStyle name="Comma 4 5 6 2" xfId="3064" xr:uid="{00000000-0005-0000-0000-0000E3160000}"/>
    <cellStyle name="Comma 4 5 6 2 2" xfId="3065" xr:uid="{00000000-0005-0000-0000-0000E4160000}"/>
    <cellStyle name="Comma 4 5 6 2 2 2" xfId="26589" xr:uid="{00000000-0005-0000-0000-0000E5160000}"/>
    <cellStyle name="Comma 4 5 6 2 3" xfId="26588" xr:uid="{00000000-0005-0000-0000-0000E6160000}"/>
    <cellStyle name="Comma 4 5 6 3" xfId="3066" xr:uid="{00000000-0005-0000-0000-0000E7160000}"/>
    <cellStyle name="Comma 4 5 6 3 2" xfId="26590" xr:uid="{00000000-0005-0000-0000-0000E8160000}"/>
    <cellStyle name="Comma 4 5 6 4" xfId="26587" xr:uid="{00000000-0005-0000-0000-0000E9160000}"/>
    <cellStyle name="Comma 4 5 7" xfId="3067" xr:uid="{00000000-0005-0000-0000-0000EA160000}"/>
    <cellStyle name="Comma 4 5 7 2" xfId="3068" xr:uid="{00000000-0005-0000-0000-0000EB160000}"/>
    <cellStyle name="Comma 4 5 7 2 2" xfId="26592" xr:uid="{00000000-0005-0000-0000-0000EC160000}"/>
    <cellStyle name="Comma 4 5 7 3" xfId="26591" xr:uid="{00000000-0005-0000-0000-0000ED160000}"/>
    <cellStyle name="Comma 4 5 8" xfId="3069" xr:uid="{00000000-0005-0000-0000-0000EE160000}"/>
    <cellStyle name="Comma 4 5 8 2" xfId="26593" xr:uid="{00000000-0005-0000-0000-0000EF160000}"/>
    <cellStyle name="Comma 4 5 9" xfId="26522" xr:uid="{00000000-0005-0000-0000-0000F0160000}"/>
    <cellStyle name="Comma 4 6" xfId="3070" xr:uid="{00000000-0005-0000-0000-0000F1160000}"/>
    <cellStyle name="Comma 4 6 2" xfId="3071" xr:uid="{00000000-0005-0000-0000-0000F2160000}"/>
    <cellStyle name="Comma 4 6 2 2" xfId="3072" xr:uid="{00000000-0005-0000-0000-0000F3160000}"/>
    <cellStyle name="Comma 4 6 2 2 2" xfId="3073" xr:uid="{00000000-0005-0000-0000-0000F4160000}"/>
    <cellStyle name="Comma 4 6 2 2 2 2" xfId="3074" xr:uid="{00000000-0005-0000-0000-0000F5160000}"/>
    <cellStyle name="Comma 4 6 2 2 2 2 2" xfId="26598" xr:uid="{00000000-0005-0000-0000-0000F6160000}"/>
    <cellStyle name="Comma 4 6 2 2 2 3" xfId="26597" xr:uid="{00000000-0005-0000-0000-0000F7160000}"/>
    <cellStyle name="Comma 4 6 2 2 3" xfId="3075" xr:uid="{00000000-0005-0000-0000-0000F8160000}"/>
    <cellStyle name="Comma 4 6 2 2 3 2" xfId="26599" xr:uid="{00000000-0005-0000-0000-0000F9160000}"/>
    <cellStyle name="Comma 4 6 2 2 4" xfId="26596" xr:uid="{00000000-0005-0000-0000-0000FA160000}"/>
    <cellStyle name="Comma 4 6 2 3" xfId="3076" xr:uid="{00000000-0005-0000-0000-0000FB160000}"/>
    <cellStyle name="Comma 4 6 2 3 2" xfId="3077" xr:uid="{00000000-0005-0000-0000-0000FC160000}"/>
    <cellStyle name="Comma 4 6 2 3 2 2" xfId="26601" xr:uid="{00000000-0005-0000-0000-0000FD160000}"/>
    <cellStyle name="Comma 4 6 2 3 3" xfId="26600" xr:uid="{00000000-0005-0000-0000-0000FE160000}"/>
    <cellStyle name="Comma 4 6 2 4" xfId="3078" xr:uid="{00000000-0005-0000-0000-0000FF160000}"/>
    <cellStyle name="Comma 4 6 2 4 2" xfId="26602" xr:uid="{00000000-0005-0000-0000-000000170000}"/>
    <cellStyle name="Comma 4 6 2 5" xfId="26595" xr:uid="{00000000-0005-0000-0000-000001170000}"/>
    <cellStyle name="Comma 4 6 3" xfId="3079" xr:uid="{00000000-0005-0000-0000-000002170000}"/>
    <cellStyle name="Comma 4 6 3 2" xfId="3080" xr:uid="{00000000-0005-0000-0000-000003170000}"/>
    <cellStyle name="Comma 4 6 3 2 2" xfId="3081" xr:uid="{00000000-0005-0000-0000-000004170000}"/>
    <cellStyle name="Comma 4 6 3 2 2 2" xfId="3082" xr:uid="{00000000-0005-0000-0000-000005170000}"/>
    <cellStyle name="Comma 4 6 3 2 2 2 2" xfId="26606" xr:uid="{00000000-0005-0000-0000-000006170000}"/>
    <cellStyle name="Comma 4 6 3 2 2 3" xfId="26605" xr:uid="{00000000-0005-0000-0000-000007170000}"/>
    <cellStyle name="Comma 4 6 3 2 3" xfId="3083" xr:uid="{00000000-0005-0000-0000-000008170000}"/>
    <cellStyle name="Comma 4 6 3 2 3 2" xfId="26607" xr:uid="{00000000-0005-0000-0000-000009170000}"/>
    <cellStyle name="Comma 4 6 3 2 4" xfId="26604" xr:uid="{00000000-0005-0000-0000-00000A170000}"/>
    <cellStyle name="Comma 4 6 3 3" xfId="3084" xr:uid="{00000000-0005-0000-0000-00000B170000}"/>
    <cellStyle name="Comma 4 6 3 3 2" xfId="3085" xr:uid="{00000000-0005-0000-0000-00000C170000}"/>
    <cellStyle name="Comma 4 6 3 3 2 2" xfId="26609" xr:uid="{00000000-0005-0000-0000-00000D170000}"/>
    <cellStyle name="Comma 4 6 3 3 3" xfId="26608" xr:uid="{00000000-0005-0000-0000-00000E170000}"/>
    <cellStyle name="Comma 4 6 3 4" xfId="3086" xr:uid="{00000000-0005-0000-0000-00000F170000}"/>
    <cellStyle name="Comma 4 6 3 4 2" xfId="26610" xr:uid="{00000000-0005-0000-0000-000010170000}"/>
    <cellStyle name="Comma 4 6 3 5" xfId="26603" xr:uid="{00000000-0005-0000-0000-000011170000}"/>
    <cellStyle name="Comma 4 6 4" xfId="3087" xr:uid="{00000000-0005-0000-0000-000012170000}"/>
    <cellStyle name="Comma 4 6 4 2" xfId="3088" xr:uid="{00000000-0005-0000-0000-000013170000}"/>
    <cellStyle name="Comma 4 6 4 2 2" xfId="3089" xr:uid="{00000000-0005-0000-0000-000014170000}"/>
    <cellStyle name="Comma 4 6 4 2 2 2" xfId="26613" xr:uid="{00000000-0005-0000-0000-000015170000}"/>
    <cellStyle name="Comma 4 6 4 2 3" xfId="26612" xr:uid="{00000000-0005-0000-0000-000016170000}"/>
    <cellStyle name="Comma 4 6 4 3" xfId="3090" xr:uid="{00000000-0005-0000-0000-000017170000}"/>
    <cellStyle name="Comma 4 6 4 3 2" xfId="26614" xr:uid="{00000000-0005-0000-0000-000018170000}"/>
    <cellStyle name="Comma 4 6 4 4" xfId="26611" xr:uid="{00000000-0005-0000-0000-000019170000}"/>
    <cellStyle name="Comma 4 6 5" xfId="3091" xr:uid="{00000000-0005-0000-0000-00001A170000}"/>
    <cellStyle name="Comma 4 6 5 2" xfId="3092" xr:uid="{00000000-0005-0000-0000-00001B170000}"/>
    <cellStyle name="Comma 4 6 5 2 2" xfId="26616" xr:uid="{00000000-0005-0000-0000-00001C170000}"/>
    <cellStyle name="Comma 4 6 5 3" xfId="26615" xr:uid="{00000000-0005-0000-0000-00001D170000}"/>
    <cellStyle name="Comma 4 6 6" xfId="3093" xr:uid="{00000000-0005-0000-0000-00001E170000}"/>
    <cellStyle name="Comma 4 6 6 2" xfId="26617" xr:uid="{00000000-0005-0000-0000-00001F170000}"/>
    <cellStyle name="Comma 4 6 7" xfId="26594" xr:uid="{00000000-0005-0000-0000-000020170000}"/>
    <cellStyle name="Comma 4 7" xfId="3094" xr:uid="{00000000-0005-0000-0000-000021170000}"/>
    <cellStyle name="Comma 4 7 2" xfId="3095" xr:uid="{00000000-0005-0000-0000-000022170000}"/>
    <cellStyle name="Comma 4 7 2 2" xfId="3096" xr:uid="{00000000-0005-0000-0000-000023170000}"/>
    <cellStyle name="Comma 4 7 2 2 2" xfId="3097" xr:uid="{00000000-0005-0000-0000-000024170000}"/>
    <cellStyle name="Comma 4 7 2 2 2 2" xfId="3098" xr:uid="{00000000-0005-0000-0000-000025170000}"/>
    <cellStyle name="Comma 4 7 2 2 2 2 2" xfId="26622" xr:uid="{00000000-0005-0000-0000-000026170000}"/>
    <cellStyle name="Comma 4 7 2 2 2 3" xfId="26621" xr:uid="{00000000-0005-0000-0000-000027170000}"/>
    <cellStyle name="Comma 4 7 2 2 3" xfId="3099" xr:uid="{00000000-0005-0000-0000-000028170000}"/>
    <cellStyle name="Comma 4 7 2 2 3 2" xfId="26623" xr:uid="{00000000-0005-0000-0000-000029170000}"/>
    <cellStyle name="Comma 4 7 2 2 4" xfId="26620" xr:uid="{00000000-0005-0000-0000-00002A170000}"/>
    <cellStyle name="Comma 4 7 2 3" xfId="3100" xr:uid="{00000000-0005-0000-0000-00002B170000}"/>
    <cellStyle name="Comma 4 7 2 3 2" xfId="3101" xr:uid="{00000000-0005-0000-0000-00002C170000}"/>
    <cellStyle name="Comma 4 7 2 3 2 2" xfId="26625" xr:uid="{00000000-0005-0000-0000-00002D170000}"/>
    <cellStyle name="Comma 4 7 2 3 3" xfId="26624" xr:uid="{00000000-0005-0000-0000-00002E170000}"/>
    <cellStyle name="Comma 4 7 2 4" xfId="3102" xr:uid="{00000000-0005-0000-0000-00002F170000}"/>
    <cellStyle name="Comma 4 7 2 4 2" xfId="26626" xr:uid="{00000000-0005-0000-0000-000030170000}"/>
    <cellStyle name="Comma 4 7 2 5" xfId="26619" xr:uid="{00000000-0005-0000-0000-000031170000}"/>
    <cellStyle name="Comma 4 7 3" xfId="3103" xr:uid="{00000000-0005-0000-0000-000032170000}"/>
    <cellStyle name="Comma 4 7 3 2" xfId="3104" xr:uid="{00000000-0005-0000-0000-000033170000}"/>
    <cellStyle name="Comma 4 7 3 2 2" xfId="3105" xr:uid="{00000000-0005-0000-0000-000034170000}"/>
    <cellStyle name="Comma 4 7 3 2 2 2" xfId="3106" xr:uid="{00000000-0005-0000-0000-000035170000}"/>
    <cellStyle name="Comma 4 7 3 2 2 2 2" xfId="26630" xr:uid="{00000000-0005-0000-0000-000036170000}"/>
    <cellStyle name="Comma 4 7 3 2 2 3" xfId="26629" xr:uid="{00000000-0005-0000-0000-000037170000}"/>
    <cellStyle name="Comma 4 7 3 2 3" xfId="3107" xr:uid="{00000000-0005-0000-0000-000038170000}"/>
    <cellStyle name="Comma 4 7 3 2 3 2" xfId="26631" xr:uid="{00000000-0005-0000-0000-000039170000}"/>
    <cellStyle name="Comma 4 7 3 2 4" xfId="26628" xr:uid="{00000000-0005-0000-0000-00003A170000}"/>
    <cellStyle name="Comma 4 7 3 3" xfId="3108" xr:uid="{00000000-0005-0000-0000-00003B170000}"/>
    <cellStyle name="Comma 4 7 3 3 2" xfId="3109" xr:uid="{00000000-0005-0000-0000-00003C170000}"/>
    <cellStyle name="Comma 4 7 3 3 2 2" xfId="26633" xr:uid="{00000000-0005-0000-0000-00003D170000}"/>
    <cellStyle name="Comma 4 7 3 3 3" xfId="26632" xr:uid="{00000000-0005-0000-0000-00003E170000}"/>
    <cellStyle name="Comma 4 7 3 4" xfId="3110" xr:uid="{00000000-0005-0000-0000-00003F170000}"/>
    <cellStyle name="Comma 4 7 3 4 2" xfId="26634" xr:uid="{00000000-0005-0000-0000-000040170000}"/>
    <cellStyle name="Comma 4 7 3 5" xfId="26627" xr:uid="{00000000-0005-0000-0000-000041170000}"/>
    <cellStyle name="Comma 4 7 4" xfId="3111" xr:uid="{00000000-0005-0000-0000-000042170000}"/>
    <cellStyle name="Comma 4 7 4 2" xfId="3112" xr:uid="{00000000-0005-0000-0000-000043170000}"/>
    <cellStyle name="Comma 4 7 4 2 2" xfId="3113" xr:uid="{00000000-0005-0000-0000-000044170000}"/>
    <cellStyle name="Comma 4 7 4 2 2 2" xfId="26637" xr:uid="{00000000-0005-0000-0000-000045170000}"/>
    <cellStyle name="Comma 4 7 4 2 3" xfId="26636" xr:uid="{00000000-0005-0000-0000-000046170000}"/>
    <cellStyle name="Comma 4 7 4 3" xfId="3114" xr:uid="{00000000-0005-0000-0000-000047170000}"/>
    <cellStyle name="Comma 4 7 4 3 2" xfId="26638" xr:uid="{00000000-0005-0000-0000-000048170000}"/>
    <cellStyle name="Comma 4 7 4 4" xfId="26635" xr:uid="{00000000-0005-0000-0000-000049170000}"/>
    <cellStyle name="Comma 4 7 5" xfId="3115" xr:uid="{00000000-0005-0000-0000-00004A170000}"/>
    <cellStyle name="Comma 4 7 5 2" xfId="3116" xr:uid="{00000000-0005-0000-0000-00004B170000}"/>
    <cellStyle name="Comma 4 7 5 2 2" xfId="26640" xr:uid="{00000000-0005-0000-0000-00004C170000}"/>
    <cellStyle name="Comma 4 7 5 3" xfId="26639" xr:uid="{00000000-0005-0000-0000-00004D170000}"/>
    <cellStyle name="Comma 4 7 6" xfId="3117" xr:uid="{00000000-0005-0000-0000-00004E170000}"/>
    <cellStyle name="Comma 4 7 6 2" xfId="26641" xr:uid="{00000000-0005-0000-0000-00004F170000}"/>
    <cellStyle name="Comma 4 7 7" xfId="26618" xr:uid="{00000000-0005-0000-0000-000050170000}"/>
    <cellStyle name="Comma 4 8" xfId="3118" xr:uid="{00000000-0005-0000-0000-000051170000}"/>
    <cellStyle name="Comma 4 8 2" xfId="3119" xr:uid="{00000000-0005-0000-0000-000052170000}"/>
    <cellStyle name="Comma 4 8 2 2" xfId="3120" xr:uid="{00000000-0005-0000-0000-000053170000}"/>
    <cellStyle name="Comma 4 8 2 2 2" xfId="3121" xr:uid="{00000000-0005-0000-0000-000054170000}"/>
    <cellStyle name="Comma 4 8 2 2 2 2" xfId="3122" xr:uid="{00000000-0005-0000-0000-000055170000}"/>
    <cellStyle name="Comma 4 8 2 2 2 2 2" xfId="26646" xr:uid="{00000000-0005-0000-0000-000056170000}"/>
    <cellStyle name="Comma 4 8 2 2 2 3" xfId="26645" xr:uid="{00000000-0005-0000-0000-000057170000}"/>
    <cellStyle name="Comma 4 8 2 2 3" xfId="3123" xr:uid="{00000000-0005-0000-0000-000058170000}"/>
    <cellStyle name="Comma 4 8 2 2 3 2" xfId="26647" xr:uid="{00000000-0005-0000-0000-000059170000}"/>
    <cellStyle name="Comma 4 8 2 2 4" xfId="26644" xr:uid="{00000000-0005-0000-0000-00005A170000}"/>
    <cellStyle name="Comma 4 8 2 3" xfId="3124" xr:uid="{00000000-0005-0000-0000-00005B170000}"/>
    <cellStyle name="Comma 4 8 2 3 2" xfId="3125" xr:uid="{00000000-0005-0000-0000-00005C170000}"/>
    <cellStyle name="Comma 4 8 2 3 2 2" xfId="26649" xr:uid="{00000000-0005-0000-0000-00005D170000}"/>
    <cellStyle name="Comma 4 8 2 3 3" xfId="26648" xr:uid="{00000000-0005-0000-0000-00005E170000}"/>
    <cellStyle name="Comma 4 8 2 4" xfId="3126" xr:uid="{00000000-0005-0000-0000-00005F170000}"/>
    <cellStyle name="Comma 4 8 2 4 2" xfId="26650" xr:uid="{00000000-0005-0000-0000-000060170000}"/>
    <cellStyle name="Comma 4 8 2 5" xfId="26643" xr:uid="{00000000-0005-0000-0000-000061170000}"/>
    <cellStyle name="Comma 4 8 3" xfId="3127" xr:uid="{00000000-0005-0000-0000-000062170000}"/>
    <cellStyle name="Comma 4 8 3 2" xfId="3128" xr:uid="{00000000-0005-0000-0000-000063170000}"/>
    <cellStyle name="Comma 4 8 3 2 2" xfId="3129" xr:uid="{00000000-0005-0000-0000-000064170000}"/>
    <cellStyle name="Comma 4 8 3 2 2 2" xfId="3130" xr:uid="{00000000-0005-0000-0000-000065170000}"/>
    <cellStyle name="Comma 4 8 3 2 2 2 2" xfId="26654" xr:uid="{00000000-0005-0000-0000-000066170000}"/>
    <cellStyle name="Comma 4 8 3 2 2 3" xfId="26653" xr:uid="{00000000-0005-0000-0000-000067170000}"/>
    <cellStyle name="Comma 4 8 3 2 3" xfId="3131" xr:uid="{00000000-0005-0000-0000-000068170000}"/>
    <cellStyle name="Comma 4 8 3 2 3 2" xfId="26655" xr:uid="{00000000-0005-0000-0000-000069170000}"/>
    <cellStyle name="Comma 4 8 3 2 4" xfId="26652" xr:uid="{00000000-0005-0000-0000-00006A170000}"/>
    <cellStyle name="Comma 4 8 3 3" xfId="3132" xr:uid="{00000000-0005-0000-0000-00006B170000}"/>
    <cellStyle name="Comma 4 8 3 3 2" xfId="3133" xr:uid="{00000000-0005-0000-0000-00006C170000}"/>
    <cellStyle name="Comma 4 8 3 3 2 2" xfId="26657" xr:uid="{00000000-0005-0000-0000-00006D170000}"/>
    <cellStyle name="Comma 4 8 3 3 3" xfId="26656" xr:uid="{00000000-0005-0000-0000-00006E170000}"/>
    <cellStyle name="Comma 4 8 3 4" xfId="3134" xr:uid="{00000000-0005-0000-0000-00006F170000}"/>
    <cellStyle name="Comma 4 8 3 4 2" xfId="26658" xr:uid="{00000000-0005-0000-0000-000070170000}"/>
    <cellStyle name="Comma 4 8 3 5" xfId="26651" xr:uid="{00000000-0005-0000-0000-000071170000}"/>
    <cellStyle name="Comma 4 8 4" xfId="3135" xr:uid="{00000000-0005-0000-0000-000072170000}"/>
    <cellStyle name="Comma 4 8 4 2" xfId="3136" xr:uid="{00000000-0005-0000-0000-000073170000}"/>
    <cellStyle name="Comma 4 8 4 2 2" xfId="3137" xr:uid="{00000000-0005-0000-0000-000074170000}"/>
    <cellStyle name="Comma 4 8 4 2 2 2" xfId="26661" xr:uid="{00000000-0005-0000-0000-000075170000}"/>
    <cellStyle name="Comma 4 8 4 2 3" xfId="26660" xr:uid="{00000000-0005-0000-0000-000076170000}"/>
    <cellStyle name="Comma 4 8 4 3" xfId="3138" xr:uid="{00000000-0005-0000-0000-000077170000}"/>
    <cellStyle name="Comma 4 8 4 3 2" xfId="26662" xr:uid="{00000000-0005-0000-0000-000078170000}"/>
    <cellStyle name="Comma 4 8 4 4" xfId="26659" xr:uid="{00000000-0005-0000-0000-000079170000}"/>
    <cellStyle name="Comma 4 8 5" xfId="3139" xr:uid="{00000000-0005-0000-0000-00007A170000}"/>
    <cellStyle name="Comma 4 8 5 2" xfId="3140" xr:uid="{00000000-0005-0000-0000-00007B170000}"/>
    <cellStyle name="Comma 4 8 5 2 2" xfId="26664" xr:uid="{00000000-0005-0000-0000-00007C170000}"/>
    <cellStyle name="Comma 4 8 5 3" xfId="26663" xr:uid="{00000000-0005-0000-0000-00007D170000}"/>
    <cellStyle name="Comma 4 8 6" xfId="3141" xr:uid="{00000000-0005-0000-0000-00007E170000}"/>
    <cellStyle name="Comma 4 8 6 2" xfId="26665" xr:uid="{00000000-0005-0000-0000-00007F170000}"/>
    <cellStyle name="Comma 4 8 7" xfId="26642" xr:uid="{00000000-0005-0000-0000-000080170000}"/>
    <cellStyle name="Comma 4 9" xfId="3142" xr:uid="{00000000-0005-0000-0000-000081170000}"/>
    <cellStyle name="Comma 4 9 2" xfId="3143" xr:uid="{00000000-0005-0000-0000-000082170000}"/>
    <cellStyle name="Comma 4 9 2 2" xfId="3144" xr:uid="{00000000-0005-0000-0000-000083170000}"/>
    <cellStyle name="Comma 4 9 2 2 2" xfId="3145" xr:uid="{00000000-0005-0000-0000-000084170000}"/>
    <cellStyle name="Comma 4 9 2 2 2 2" xfId="3146" xr:uid="{00000000-0005-0000-0000-000085170000}"/>
    <cellStyle name="Comma 4 9 2 2 2 2 2" xfId="26670" xr:uid="{00000000-0005-0000-0000-000086170000}"/>
    <cellStyle name="Comma 4 9 2 2 2 3" xfId="26669" xr:uid="{00000000-0005-0000-0000-000087170000}"/>
    <cellStyle name="Comma 4 9 2 2 3" xfId="3147" xr:uid="{00000000-0005-0000-0000-000088170000}"/>
    <cellStyle name="Comma 4 9 2 2 3 2" xfId="26671" xr:uid="{00000000-0005-0000-0000-000089170000}"/>
    <cellStyle name="Comma 4 9 2 2 4" xfId="26668" xr:uid="{00000000-0005-0000-0000-00008A170000}"/>
    <cellStyle name="Comma 4 9 2 3" xfId="3148" xr:uid="{00000000-0005-0000-0000-00008B170000}"/>
    <cellStyle name="Comma 4 9 2 3 2" xfId="3149" xr:uid="{00000000-0005-0000-0000-00008C170000}"/>
    <cellStyle name="Comma 4 9 2 3 2 2" xfId="26673" xr:uid="{00000000-0005-0000-0000-00008D170000}"/>
    <cellStyle name="Comma 4 9 2 3 3" xfId="26672" xr:uid="{00000000-0005-0000-0000-00008E170000}"/>
    <cellStyle name="Comma 4 9 2 4" xfId="3150" xr:uid="{00000000-0005-0000-0000-00008F170000}"/>
    <cellStyle name="Comma 4 9 2 4 2" xfId="26674" xr:uid="{00000000-0005-0000-0000-000090170000}"/>
    <cellStyle name="Comma 4 9 2 5" xfId="26667" xr:uid="{00000000-0005-0000-0000-000091170000}"/>
    <cellStyle name="Comma 4 9 3" xfId="3151" xr:uid="{00000000-0005-0000-0000-000092170000}"/>
    <cellStyle name="Comma 4 9 3 2" xfId="3152" xr:uid="{00000000-0005-0000-0000-000093170000}"/>
    <cellStyle name="Comma 4 9 3 2 2" xfId="3153" xr:uid="{00000000-0005-0000-0000-000094170000}"/>
    <cellStyle name="Comma 4 9 3 2 2 2" xfId="3154" xr:uid="{00000000-0005-0000-0000-000095170000}"/>
    <cellStyle name="Comma 4 9 3 2 2 2 2" xfId="26678" xr:uid="{00000000-0005-0000-0000-000096170000}"/>
    <cellStyle name="Comma 4 9 3 2 2 3" xfId="26677" xr:uid="{00000000-0005-0000-0000-000097170000}"/>
    <cellStyle name="Comma 4 9 3 2 3" xfId="3155" xr:uid="{00000000-0005-0000-0000-000098170000}"/>
    <cellStyle name="Comma 4 9 3 2 3 2" xfId="26679" xr:uid="{00000000-0005-0000-0000-000099170000}"/>
    <cellStyle name="Comma 4 9 3 2 4" xfId="26676" xr:uid="{00000000-0005-0000-0000-00009A170000}"/>
    <cellStyle name="Comma 4 9 3 3" xfId="3156" xr:uid="{00000000-0005-0000-0000-00009B170000}"/>
    <cellStyle name="Comma 4 9 3 3 2" xfId="3157" xr:uid="{00000000-0005-0000-0000-00009C170000}"/>
    <cellStyle name="Comma 4 9 3 3 2 2" xfId="26681" xr:uid="{00000000-0005-0000-0000-00009D170000}"/>
    <cellStyle name="Comma 4 9 3 3 3" xfId="26680" xr:uid="{00000000-0005-0000-0000-00009E170000}"/>
    <cellStyle name="Comma 4 9 3 4" xfId="3158" xr:uid="{00000000-0005-0000-0000-00009F170000}"/>
    <cellStyle name="Comma 4 9 3 4 2" xfId="26682" xr:uid="{00000000-0005-0000-0000-0000A0170000}"/>
    <cellStyle name="Comma 4 9 3 5" xfId="26675" xr:uid="{00000000-0005-0000-0000-0000A1170000}"/>
    <cellStyle name="Comma 4 9 4" xfId="3159" xr:uid="{00000000-0005-0000-0000-0000A2170000}"/>
    <cellStyle name="Comma 4 9 4 2" xfId="3160" xr:uid="{00000000-0005-0000-0000-0000A3170000}"/>
    <cellStyle name="Comma 4 9 4 2 2" xfId="3161" xr:uid="{00000000-0005-0000-0000-0000A4170000}"/>
    <cellStyle name="Comma 4 9 4 2 2 2" xfId="26685" xr:uid="{00000000-0005-0000-0000-0000A5170000}"/>
    <cellStyle name="Comma 4 9 4 2 3" xfId="26684" xr:uid="{00000000-0005-0000-0000-0000A6170000}"/>
    <cellStyle name="Comma 4 9 4 3" xfId="3162" xr:uid="{00000000-0005-0000-0000-0000A7170000}"/>
    <cellStyle name="Comma 4 9 4 3 2" xfId="26686" xr:uid="{00000000-0005-0000-0000-0000A8170000}"/>
    <cellStyle name="Comma 4 9 4 4" xfId="26683" xr:uid="{00000000-0005-0000-0000-0000A9170000}"/>
    <cellStyle name="Comma 4 9 5" xfId="3163" xr:uid="{00000000-0005-0000-0000-0000AA170000}"/>
    <cellStyle name="Comma 4 9 5 2" xfId="3164" xr:uid="{00000000-0005-0000-0000-0000AB170000}"/>
    <cellStyle name="Comma 4 9 5 2 2" xfId="26688" xr:uid="{00000000-0005-0000-0000-0000AC170000}"/>
    <cellStyle name="Comma 4 9 5 3" xfId="26687" xr:uid="{00000000-0005-0000-0000-0000AD170000}"/>
    <cellStyle name="Comma 4 9 6" xfId="3165" xr:uid="{00000000-0005-0000-0000-0000AE170000}"/>
    <cellStyle name="Comma 4 9 6 2" xfId="26689" xr:uid="{00000000-0005-0000-0000-0000AF170000}"/>
    <cellStyle name="Comma 4 9 7" xfId="26666" xr:uid="{00000000-0005-0000-0000-0000B0170000}"/>
    <cellStyle name="Comma 5" xfId="43" xr:uid="{00000000-0005-0000-0000-0000B1170000}"/>
    <cellStyle name="Comma 5 10" xfId="18122" xr:uid="{00000000-0005-0000-0000-0000B2170000}"/>
    <cellStyle name="Comma 5 10 2" xfId="18123" xr:uid="{00000000-0005-0000-0000-0000B3170000}"/>
    <cellStyle name="Comma 5 10 3" xfId="18124" xr:uid="{00000000-0005-0000-0000-0000B4170000}"/>
    <cellStyle name="Comma 5 10 3 2" xfId="41508" xr:uid="{00000000-0005-0000-0000-0000B5170000}"/>
    <cellStyle name="Comma 5 11" xfId="18125" xr:uid="{00000000-0005-0000-0000-0000B6170000}"/>
    <cellStyle name="Comma 5 11 2" xfId="41509" xr:uid="{00000000-0005-0000-0000-0000B7170000}"/>
    <cellStyle name="Comma 5 12" xfId="18126" xr:uid="{00000000-0005-0000-0000-0000B8170000}"/>
    <cellStyle name="Comma 5 13" xfId="18127" xr:uid="{00000000-0005-0000-0000-0000B9170000}"/>
    <cellStyle name="Comma 5 13 2" xfId="41510" xr:uid="{00000000-0005-0000-0000-0000BA170000}"/>
    <cellStyle name="Comma 5 14" xfId="23631" xr:uid="{00000000-0005-0000-0000-0000BB170000}"/>
    <cellStyle name="Comma 5 2" xfId="44" xr:uid="{00000000-0005-0000-0000-0000BC170000}"/>
    <cellStyle name="Comma 5 2 10" xfId="18128" xr:uid="{00000000-0005-0000-0000-0000BD170000}"/>
    <cellStyle name="Comma 5 2 10 2" xfId="41511" xr:uid="{00000000-0005-0000-0000-0000BE170000}"/>
    <cellStyle name="Comma 5 2 11" xfId="18129" xr:uid="{00000000-0005-0000-0000-0000BF170000}"/>
    <cellStyle name="Comma 5 2 11 2" xfId="41512" xr:uid="{00000000-0005-0000-0000-0000C0170000}"/>
    <cellStyle name="Comma 5 2 12" xfId="23632" xr:uid="{00000000-0005-0000-0000-0000C1170000}"/>
    <cellStyle name="Comma 5 2 2" xfId="45" xr:uid="{00000000-0005-0000-0000-0000C2170000}"/>
    <cellStyle name="Comma 5 2 2 10" xfId="23633" xr:uid="{00000000-0005-0000-0000-0000C3170000}"/>
    <cellStyle name="Comma 5 2 2 2" xfId="3166" xr:uid="{00000000-0005-0000-0000-0000C4170000}"/>
    <cellStyle name="Comma 5 2 2 2 2" xfId="3167" xr:uid="{00000000-0005-0000-0000-0000C5170000}"/>
    <cellStyle name="Comma 5 2 2 2 2 2" xfId="18130" xr:uid="{00000000-0005-0000-0000-0000C6170000}"/>
    <cellStyle name="Comma 5 2 2 2 2 2 2" xfId="18131" xr:uid="{00000000-0005-0000-0000-0000C7170000}"/>
    <cellStyle name="Comma 5 2 2 2 2 2 2 2" xfId="41514" xr:uid="{00000000-0005-0000-0000-0000C8170000}"/>
    <cellStyle name="Comma 5 2 2 2 2 2 3" xfId="18132" xr:uid="{00000000-0005-0000-0000-0000C9170000}"/>
    <cellStyle name="Comma 5 2 2 2 2 2 3 2" xfId="41515" xr:uid="{00000000-0005-0000-0000-0000CA170000}"/>
    <cellStyle name="Comma 5 2 2 2 2 2 4" xfId="41513" xr:uid="{00000000-0005-0000-0000-0000CB170000}"/>
    <cellStyle name="Comma 5 2 2 2 2 3" xfId="18133" xr:uid="{00000000-0005-0000-0000-0000CC170000}"/>
    <cellStyle name="Comma 5 2 2 2 2 3 2" xfId="18134" xr:uid="{00000000-0005-0000-0000-0000CD170000}"/>
    <cellStyle name="Comma 5 2 2 2 2 3 2 2" xfId="41517" xr:uid="{00000000-0005-0000-0000-0000CE170000}"/>
    <cellStyle name="Comma 5 2 2 2 2 3 3" xfId="41516" xr:uid="{00000000-0005-0000-0000-0000CF170000}"/>
    <cellStyle name="Comma 5 2 2 2 2 4" xfId="18135" xr:uid="{00000000-0005-0000-0000-0000D0170000}"/>
    <cellStyle name="Comma 5 2 2 2 2 4 2" xfId="41518" xr:uid="{00000000-0005-0000-0000-0000D1170000}"/>
    <cellStyle name="Comma 5 2 2 2 2 5" xfId="18136" xr:uid="{00000000-0005-0000-0000-0000D2170000}"/>
    <cellStyle name="Comma 5 2 2 2 2 5 2" xfId="41519" xr:uid="{00000000-0005-0000-0000-0000D3170000}"/>
    <cellStyle name="Comma 5 2 2 2 2 6" xfId="18137" xr:uid="{00000000-0005-0000-0000-0000D4170000}"/>
    <cellStyle name="Comma 5 2 2 2 2 6 2" xfId="41520" xr:uid="{00000000-0005-0000-0000-0000D5170000}"/>
    <cellStyle name="Comma 5 2 2 2 2 7" xfId="26691" xr:uid="{00000000-0005-0000-0000-0000D6170000}"/>
    <cellStyle name="Comma 5 2 2 2 3" xfId="18138" xr:uid="{00000000-0005-0000-0000-0000D7170000}"/>
    <cellStyle name="Comma 5 2 2 2 3 2" xfId="18139" xr:uid="{00000000-0005-0000-0000-0000D8170000}"/>
    <cellStyle name="Comma 5 2 2 2 3 2 2" xfId="41522" xr:uid="{00000000-0005-0000-0000-0000D9170000}"/>
    <cellStyle name="Comma 5 2 2 2 3 3" xfId="18140" xr:uid="{00000000-0005-0000-0000-0000DA170000}"/>
    <cellStyle name="Comma 5 2 2 2 3 3 2" xfId="41523" xr:uid="{00000000-0005-0000-0000-0000DB170000}"/>
    <cellStyle name="Comma 5 2 2 2 3 4" xfId="41521" xr:uid="{00000000-0005-0000-0000-0000DC170000}"/>
    <cellStyle name="Comma 5 2 2 2 4" xfId="18141" xr:uid="{00000000-0005-0000-0000-0000DD170000}"/>
    <cellStyle name="Comma 5 2 2 2 4 2" xfId="18142" xr:uid="{00000000-0005-0000-0000-0000DE170000}"/>
    <cellStyle name="Comma 5 2 2 2 4 2 2" xfId="41525" xr:uid="{00000000-0005-0000-0000-0000DF170000}"/>
    <cellStyle name="Comma 5 2 2 2 4 3" xfId="41524" xr:uid="{00000000-0005-0000-0000-0000E0170000}"/>
    <cellStyle name="Comma 5 2 2 2 5" xfId="18143" xr:uid="{00000000-0005-0000-0000-0000E1170000}"/>
    <cellStyle name="Comma 5 2 2 2 5 2" xfId="41526" xr:uid="{00000000-0005-0000-0000-0000E2170000}"/>
    <cellStyle name="Comma 5 2 2 2 6" xfId="18144" xr:uid="{00000000-0005-0000-0000-0000E3170000}"/>
    <cellStyle name="Comma 5 2 2 2 6 2" xfId="41527" xr:uid="{00000000-0005-0000-0000-0000E4170000}"/>
    <cellStyle name="Comma 5 2 2 2 7" xfId="18145" xr:uid="{00000000-0005-0000-0000-0000E5170000}"/>
    <cellStyle name="Comma 5 2 2 2 7 2" xfId="41528" xr:uid="{00000000-0005-0000-0000-0000E6170000}"/>
    <cellStyle name="Comma 5 2 2 2 8" xfId="26690" xr:uid="{00000000-0005-0000-0000-0000E7170000}"/>
    <cellStyle name="Comma 5 2 2 3" xfId="3168" xr:uid="{00000000-0005-0000-0000-0000E8170000}"/>
    <cellStyle name="Comma 5 2 2 3 2" xfId="17978" xr:uid="{00000000-0005-0000-0000-0000E9170000}"/>
    <cellStyle name="Comma 5 2 2 3 2 2" xfId="18146" xr:uid="{00000000-0005-0000-0000-0000EA170000}"/>
    <cellStyle name="Comma 5 2 2 3 2 2 2" xfId="18147" xr:uid="{00000000-0005-0000-0000-0000EB170000}"/>
    <cellStyle name="Comma 5 2 2 3 2 2 2 2" xfId="41530" xr:uid="{00000000-0005-0000-0000-0000EC170000}"/>
    <cellStyle name="Comma 5 2 2 3 2 2 3" xfId="18148" xr:uid="{00000000-0005-0000-0000-0000ED170000}"/>
    <cellStyle name="Comma 5 2 2 3 2 2 3 2" xfId="41531" xr:uid="{00000000-0005-0000-0000-0000EE170000}"/>
    <cellStyle name="Comma 5 2 2 3 2 2 4" xfId="41529" xr:uid="{00000000-0005-0000-0000-0000EF170000}"/>
    <cellStyle name="Comma 5 2 2 3 2 3" xfId="18149" xr:uid="{00000000-0005-0000-0000-0000F0170000}"/>
    <cellStyle name="Comma 5 2 2 3 2 3 2" xfId="18150" xr:uid="{00000000-0005-0000-0000-0000F1170000}"/>
    <cellStyle name="Comma 5 2 2 3 2 3 2 2" xfId="41533" xr:uid="{00000000-0005-0000-0000-0000F2170000}"/>
    <cellStyle name="Comma 5 2 2 3 2 3 3" xfId="41532" xr:uid="{00000000-0005-0000-0000-0000F3170000}"/>
    <cellStyle name="Comma 5 2 2 3 2 4" xfId="18151" xr:uid="{00000000-0005-0000-0000-0000F4170000}"/>
    <cellStyle name="Comma 5 2 2 3 2 4 2" xfId="41534" xr:uid="{00000000-0005-0000-0000-0000F5170000}"/>
    <cellStyle name="Comma 5 2 2 3 2 5" xfId="18152" xr:uid="{00000000-0005-0000-0000-0000F6170000}"/>
    <cellStyle name="Comma 5 2 2 3 2 5 2" xfId="41535" xr:uid="{00000000-0005-0000-0000-0000F7170000}"/>
    <cellStyle name="Comma 5 2 2 3 2 6" xfId="18153" xr:uid="{00000000-0005-0000-0000-0000F8170000}"/>
    <cellStyle name="Comma 5 2 2 3 2 6 2" xfId="41536" xr:uid="{00000000-0005-0000-0000-0000F9170000}"/>
    <cellStyle name="Comma 5 2 2 3 2 7" xfId="41438" xr:uid="{00000000-0005-0000-0000-0000FA170000}"/>
    <cellStyle name="Comma 5 2 2 3 3" xfId="18154" xr:uid="{00000000-0005-0000-0000-0000FB170000}"/>
    <cellStyle name="Comma 5 2 2 3 3 2" xfId="18155" xr:uid="{00000000-0005-0000-0000-0000FC170000}"/>
    <cellStyle name="Comma 5 2 2 3 3 2 2" xfId="41538" xr:uid="{00000000-0005-0000-0000-0000FD170000}"/>
    <cellStyle name="Comma 5 2 2 3 3 3" xfId="18156" xr:uid="{00000000-0005-0000-0000-0000FE170000}"/>
    <cellStyle name="Comma 5 2 2 3 3 3 2" xfId="41539" xr:uid="{00000000-0005-0000-0000-0000FF170000}"/>
    <cellStyle name="Comma 5 2 2 3 3 4" xfId="41537" xr:uid="{00000000-0005-0000-0000-000000180000}"/>
    <cellStyle name="Comma 5 2 2 3 4" xfId="18157" xr:uid="{00000000-0005-0000-0000-000001180000}"/>
    <cellStyle name="Comma 5 2 2 3 4 2" xfId="18158" xr:uid="{00000000-0005-0000-0000-000002180000}"/>
    <cellStyle name="Comma 5 2 2 3 4 2 2" xfId="41541" xr:uid="{00000000-0005-0000-0000-000003180000}"/>
    <cellStyle name="Comma 5 2 2 3 4 3" xfId="41540" xr:uid="{00000000-0005-0000-0000-000004180000}"/>
    <cellStyle name="Comma 5 2 2 3 5" xfId="18159" xr:uid="{00000000-0005-0000-0000-000005180000}"/>
    <cellStyle name="Comma 5 2 2 3 5 2" xfId="41542" xr:uid="{00000000-0005-0000-0000-000006180000}"/>
    <cellStyle name="Comma 5 2 2 3 6" xfId="18160" xr:uid="{00000000-0005-0000-0000-000007180000}"/>
    <cellStyle name="Comma 5 2 2 3 6 2" xfId="41543" xr:uid="{00000000-0005-0000-0000-000008180000}"/>
    <cellStyle name="Comma 5 2 2 3 7" xfId="18161" xr:uid="{00000000-0005-0000-0000-000009180000}"/>
    <cellStyle name="Comma 5 2 2 3 7 2" xfId="41544" xr:uid="{00000000-0005-0000-0000-00000A180000}"/>
    <cellStyle name="Comma 5 2 2 3 8" xfId="26692" xr:uid="{00000000-0005-0000-0000-00000B180000}"/>
    <cellStyle name="Comma 5 2 2 4" xfId="17827" xr:uid="{00000000-0005-0000-0000-00000C180000}"/>
    <cellStyle name="Comma 5 2 2 4 2" xfId="18162" xr:uid="{00000000-0005-0000-0000-00000D180000}"/>
    <cellStyle name="Comma 5 2 2 4 2 2" xfId="18163" xr:uid="{00000000-0005-0000-0000-00000E180000}"/>
    <cellStyle name="Comma 5 2 2 4 2 2 2" xfId="41546" xr:uid="{00000000-0005-0000-0000-00000F180000}"/>
    <cellStyle name="Comma 5 2 2 4 2 3" xfId="18164" xr:uid="{00000000-0005-0000-0000-000010180000}"/>
    <cellStyle name="Comma 5 2 2 4 2 3 2" xfId="41547" xr:uid="{00000000-0005-0000-0000-000011180000}"/>
    <cellStyle name="Comma 5 2 2 4 2 4" xfId="41545" xr:uid="{00000000-0005-0000-0000-000012180000}"/>
    <cellStyle name="Comma 5 2 2 4 3" xfId="18165" xr:uid="{00000000-0005-0000-0000-000013180000}"/>
    <cellStyle name="Comma 5 2 2 4 3 2" xfId="18166" xr:uid="{00000000-0005-0000-0000-000014180000}"/>
    <cellStyle name="Comma 5 2 2 4 3 2 2" xfId="41549" xr:uid="{00000000-0005-0000-0000-000015180000}"/>
    <cellStyle name="Comma 5 2 2 4 3 3" xfId="41548" xr:uid="{00000000-0005-0000-0000-000016180000}"/>
    <cellStyle name="Comma 5 2 2 4 4" xfId="18167" xr:uid="{00000000-0005-0000-0000-000017180000}"/>
    <cellStyle name="Comma 5 2 2 4 4 2" xfId="41550" xr:uid="{00000000-0005-0000-0000-000018180000}"/>
    <cellStyle name="Comma 5 2 2 4 5" xfId="18168" xr:uid="{00000000-0005-0000-0000-000019180000}"/>
    <cellStyle name="Comma 5 2 2 4 5 2" xfId="41551" xr:uid="{00000000-0005-0000-0000-00001A180000}"/>
    <cellStyle name="Comma 5 2 2 4 6" xfId="18169" xr:uid="{00000000-0005-0000-0000-00001B180000}"/>
    <cellStyle name="Comma 5 2 2 4 6 2" xfId="41552" xr:uid="{00000000-0005-0000-0000-00001C180000}"/>
    <cellStyle name="Comma 5 2 2 4 7" xfId="41287" xr:uid="{00000000-0005-0000-0000-00001D180000}"/>
    <cellStyle name="Comma 5 2 2 5" xfId="18170" xr:uid="{00000000-0005-0000-0000-00001E180000}"/>
    <cellStyle name="Comma 5 2 2 5 2" xfId="18171" xr:uid="{00000000-0005-0000-0000-00001F180000}"/>
    <cellStyle name="Comma 5 2 2 5 2 2" xfId="41554" xr:uid="{00000000-0005-0000-0000-000020180000}"/>
    <cellStyle name="Comma 5 2 2 5 3" xfId="18172" xr:uid="{00000000-0005-0000-0000-000021180000}"/>
    <cellStyle name="Comma 5 2 2 5 3 2" xfId="41555" xr:uid="{00000000-0005-0000-0000-000022180000}"/>
    <cellStyle name="Comma 5 2 2 5 4" xfId="41553" xr:uid="{00000000-0005-0000-0000-000023180000}"/>
    <cellStyle name="Comma 5 2 2 6" xfId="18173" xr:uid="{00000000-0005-0000-0000-000024180000}"/>
    <cellStyle name="Comma 5 2 2 6 2" xfId="18174" xr:uid="{00000000-0005-0000-0000-000025180000}"/>
    <cellStyle name="Comma 5 2 2 6 2 2" xfId="41557" xr:uid="{00000000-0005-0000-0000-000026180000}"/>
    <cellStyle name="Comma 5 2 2 6 3" xfId="41556" xr:uid="{00000000-0005-0000-0000-000027180000}"/>
    <cellStyle name="Comma 5 2 2 7" xfId="18175" xr:uid="{00000000-0005-0000-0000-000028180000}"/>
    <cellStyle name="Comma 5 2 2 7 2" xfId="41558" xr:uid="{00000000-0005-0000-0000-000029180000}"/>
    <cellStyle name="Comma 5 2 2 8" xfId="18176" xr:uid="{00000000-0005-0000-0000-00002A180000}"/>
    <cellStyle name="Comma 5 2 2 8 2" xfId="41559" xr:uid="{00000000-0005-0000-0000-00002B180000}"/>
    <cellStyle name="Comma 5 2 2 9" xfId="18177" xr:uid="{00000000-0005-0000-0000-00002C180000}"/>
    <cellStyle name="Comma 5 2 2 9 2" xfId="41560" xr:uid="{00000000-0005-0000-0000-00002D180000}"/>
    <cellStyle name="Comma 5 2 3" xfId="3169" xr:uid="{00000000-0005-0000-0000-00002E180000}"/>
    <cellStyle name="Comma 5 2 3 10" xfId="26693" xr:uid="{00000000-0005-0000-0000-00002F180000}"/>
    <cellStyle name="Comma 5 2 3 2" xfId="3170" xr:uid="{00000000-0005-0000-0000-000030180000}"/>
    <cellStyle name="Comma 5 2 3 2 2" xfId="17938" xr:uid="{00000000-0005-0000-0000-000031180000}"/>
    <cellStyle name="Comma 5 2 3 2 2 2" xfId="18178" xr:uid="{00000000-0005-0000-0000-000032180000}"/>
    <cellStyle name="Comma 5 2 3 2 2 2 2" xfId="18179" xr:uid="{00000000-0005-0000-0000-000033180000}"/>
    <cellStyle name="Comma 5 2 3 2 2 2 2 2" xfId="41562" xr:uid="{00000000-0005-0000-0000-000034180000}"/>
    <cellStyle name="Comma 5 2 3 2 2 2 3" xfId="18180" xr:uid="{00000000-0005-0000-0000-000035180000}"/>
    <cellStyle name="Comma 5 2 3 2 2 2 3 2" xfId="41563" xr:uid="{00000000-0005-0000-0000-000036180000}"/>
    <cellStyle name="Comma 5 2 3 2 2 2 4" xfId="41561" xr:uid="{00000000-0005-0000-0000-000037180000}"/>
    <cellStyle name="Comma 5 2 3 2 2 3" xfId="18181" xr:uid="{00000000-0005-0000-0000-000038180000}"/>
    <cellStyle name="Comma 5 2 3 2 2 3 2" xfId="18182" xr:uid="{00000000-0005-0000-0000-000039180000}"/>
    <cellStyle name="Comma 5 2 3 2 2 3 2 2" xfId="41565" xr:uid="{00000000-0005-0000-0000-00003A180000}"/>
    <cellStyle name="Comma 5 2 3 2 2 3 3" xfId="41564" xr:uid="{00000000-0005-0000-0000-00003B180000}"/>
    <cellStyle name="Comma 5 2 3 2 2 4" xfId="18183" xr:uid="{00000000-0005-0000-0000-00003C180000}"/>
    <cellStyle name="Comma 5 2 3 2 2 4 2" xfId="41566" xr:uid="{00000000-0005-0000-0000-00003D180000}"/>
    <cellStyle name="Comma 5 2 3 2 2 5" xfId="18184" xr:uid="{00000000-0005-0000-0000-00003E180000}"/>
    <cellStyle name="Comma 5 2 3 2 2 5 2" xfId="41567" xr:uid="{00000000-0005-0000-0000-00003F180000}"/>
    <cellStyle name="Comma 5 2 3 2 2 6" xfId="18185" xr:uid="{00000000-0005-0000-0000-000040180000}"/>
    <cellStyle name="Comma 5 2 3 2 2 6 2" xfId="41568" xr:uid="{00000000-0005-0000-0000-000041180000}"/>
    <cellStyle name="Comma 5 2 3 2 2 7" xfId="41398" xr:uid="{00000000-0005-0000-0000-000042180000}"/>
    <cellStyle name="Comma 5 2 3 2 3" xfId="18186" xr:uid="{00000000-0005-0000-0000-000043180000}"/>
    <cellStyle name="Comma 5 2 3 2 3 2" xfId="18187" xr:uid="{00000000-0005-0000-0000-000044180000}"/>
    <cellStyle name="Comma 5 2 3 2 3 2 2" xfId="41570" xr:uid="{00000000-0005-0000-0000-000045180000}"/>
    <cellStyle name="Comma 5 2 3 2 3 3" xfId="18188" xr:uid="{00000000-0005-0000-0000-000046180000}"/>
    <cellStyle name="Comma 5 2 3 2 3 3 2" xfId="41571" xr:uid="{00000000-0005-0000-0000-000047180000}"/>
    <cellStyle name="Comma 5 2 3 2 3 4" xfId="41569" xr:uid="{00000000-0005-0000-0000-000048180000}"/>
    <cellStyle name="Comma 5 2 3 2 4" xfId="18189" xr:uid="{00000000-0005-0000-0000-000049180000}"/>
    <cellStyle name="Comma 5 2 3 2 4 2" xfId="18190" xr:uid="{00000000-0005-0000-0000-00004A180000}"/>
    <cellStyle name="Comma 5 2 3 2 4 2 2" xfId="41573" xr:uid="{00000000-0005-0000-0000-00004B180000}"/>
    <cellStyle name="Comma 5 2 3 2 4 3" xfId="41572" xr:uid="{00000000-0005-0000-0000-00004C180000}"/>
    <cellStyle name="Comma 5 2 3 2 5" xfId="18191" xr:uid="{00000000-0005-0000-0000-00004D180000}"/>
    <cellStyle name="Comma 5 2 3 2 5 2" xfId="41574" xr:uid="{00000000-0005-0000-0000-00004E180000}"/>
    <cellStyle name="Comma 5 2 3 2 6" xfId="18192" xr:uid="{00000000-0005-0000-0000-00004F180000}"/>
    <cellStyle name="Comma 5 2 3 2 6 2" xfId="41575" xr:uid="{00000000-0005-0000-0000-000050180000}"/>
    <cellStyle name="Comma 5 2 3 2 7" xfId="18193" xr:uid="{00000000-0005-0000-0000-000051180000}"/>
    <cellStyle name="Comma 5 2 3 2 7 2" xfId="41576" xr:uid="{00000000-0005-0000-0000-000052180000}"/>
    <cellStyle name="Comma 5 2 3 2 8" xfId="26694" xr:uid="{00000000-0005-0000-0000-000053180000}"/>
    <cellStyle name="Comma 5 2 3 3" xfId="17772" xr:uid="{00000000-0005-0000-0000-000054180000}"/>
    <cellStyle name="Comma 5 2 3 3 2" xfId="18006" xr:uid="{00000000-0005-0000-0000-000055180000}"/>
    <cellStyle name="Comma 5 2 3 3 2 2" xfId="18194" xr:uid="{00000000-0005-0000-0000-000056180000}"/>
    <cellStyle name="Comma 5 2 3 3 2 2 2" xfId="18195" xr:uid="{00000000-0005-0000-0000-000057180000}"/>
    <cellStyle name="Comma 5 2 3 3 2 2 2 2" xfId="41578" xr:uid="{00000000-0005-0000-0000-000058180000}"/>
    <cellStyle name="Comma 5 2 3 3 2 2 3" xfId="18196" xr:uid="{00000000-0005-0000-0000-000059180000}"/>
    <cellStyle name="Comma 5 2 3 3 2 2 3 2" xfId="41579" xr:uid="{00000000-0005-0000-0000-00005A180000}"/>
    <cellStyle name="Comma 5 2 3 3 2 2 4" xfId="41577" xr:uid="{00000000-0005-0000-0000-00005B180000}"/>
    <cellStyle name="Comma 5 2 3 3 2 3" xfId="18197" xr:uid="{00000000-0005-0000-0000-00005C180000}"/>
    <cellStyle name="Comma 5 2 3 3 2 3 2" xfId="18198" xr:uid="{00000000-0005-0000-0000-00005D180000}"/>
    <cellStyle name="Comma 5 2 3 3 2 3 2 2" xfId="41581" xr:uid="{00000000-0005-0000-0000-00005E180000}"/>
    <cellStyle name="Comma 5 2 3 3 2 3 3" xfId="41580" xr:uid="{00000000-0005-0000-0000-00005F180000}"/>
    <cellStyle name="Comma 5 2 3 3 2 4" xfId="18199" xr:uid="{00000000-0005-0000-0000-000060180000}"/>
    <cellStyle name="Comma 5 2 3 3 2 4 2" xfId="41582" xr:uid="{00000000-0005-0000-0000-000061180000}"/>
    <cellStyle name="Comma 5 2 3 3 2 5" xfId="18200" xr:uid="{00000000-0005-0000-0000-000062180000}"/>
    <cellStyle name="Comma 5 2 3 3 2 5 2" xfId="41583" xr:uid="{00000000-0005-0000-0000-000063180000}"/>
    <cellStyle name="Comma 5 2 3 3 2 6" xfId="18201" xr:uid="{00000000-0005-0000-0000-000064180000}"/>
    <cellStyle name="Comma 5 2 3 3 2 6 2" xfId="41584" xr:uid="{00000000-0005-0000-0000-000065180000}"/>
    <cellStyle name="Comma 5 2 3 3 2 7" xfId="41466" xr:uid="{00000000-0005-0000-0000-000066180000}"/>
    <cellStyle name="Comma 5 2 3 3 3" xfId="18202" xr:uid="{00000000-0005-0000-0000-000067180000}"/>
    <cellStyle name="Comma 5 2 3 3 3 2" xfId="18203" xr:uid="{00000000-0005-0000-0000-000068180000}"/>
    <cellStyle name="Comma 5 2 3 3 3 2 2" xfId="41586" xr:uid="{00000000-0005-0000-0000-000069180000}"/>
    <cellStyle name="Comma 5 2 3 3 3 3" xfId="18204" xr:uid="{00000000-0005-0000-0000-00006A180000}"/>
    <cellStyle name="Comma 5 2 3 3 3 3 2" xfId="41587" xr:uid="{00000000-0005-0000-0000-00006B180000}"/>
    <cellStyle name="Comma 5 2 3 3 3 4" xfId="41585" xr:uid="{00000000-0005-0000-0000-00006C180000}"/>
    <cellStyle name="Comma 5 2 3 3 4" xfId="18205" xr:uid="{00000000-0005-0000-0000-00006D180000}"/>
    <cellStyle name="Comma 5 2 3 3 4 2" xfId="18206" xr:uid="{00000000-0005-0000-0000-00006E180000}"/>
    <cellStyle name="Comma 5 2 3 3 4 2 2" xfId="41589" xr:uid="{00000000-0005-0000-0000-00006F180000}"/>
    <cellStyle name="Comma 5 2 3 3 4 3" xfId="41588" xr:uid="{00000000-0005-0000-0000-000070180000}"/>
    <cellStyle name="Comma 5 2 3 3 5" xfId="18207" xr:uid="{00000000-0005-0000-0000-000071180000}"/>
    <cellStyle name="Comma 5 2 3 3 5 2" xfId="41590" xr:uid="{00000000-0005-0000-0000-000072180000}"/>
    <cellStyle name="Comma 5 2 3 3 6" xfId="18208" xr:uid="{00000000-0005-0000-0000-000073180000}"/>
    <cellStyle name="Comma 5 2 3 3 6 2" xfId="41591" xr:uid="{00000000-0005-0000-0000-000074180000}"/>
    <cellStyle name="Comma 5 2 3 3 7" xfId="18209" xr:uid="{00000000-0005-0000-0000-000075180000}"/>
    <cellStyle name="Comma 5 2 3 3 7 2" xfId="41592" xr:uid="{00000000-0005-0000-0000-000076180000}"/>
    <cellStyle name="Comma 5 2 3 3 8" xfId="41232" xr:uid="{00000000-0005-0000-0000-000077180000}"/>
    <cellStyle name="Comma 5 2 3 4" xfId="17866" xr:uid="{00000000-0005-0000-0000-000078180000}"/>
    <cellStyle name="Comma 5 2 3 4 2" xfId="18210" xr:uid="{00000000-0005-0000-0000-000079180000}"/>
    <cellStyle name="Comma 5 2 3 4 2 2" xfId="18211" xr:uid="{00000000-0005-0000-0000-00007A180000}"/>
    <cellStyle name="Comma 5 2 3 4 2 2 2" xfId="41594" xr:uid="{00000000-0005-0000-0000-00007B180000}"/>
    <cellStyle name="Comma 5 2 3 4 2 3" xfId="18212" xr:uid="{00000000-0005-0000-0000-00007C180000}"/>
    <cellStyle name="Comma 5 2 3 4 2 3 2" xfId="41595" xr:uid="{00000000-0005-0000-0000-00007D180000}"/>
    <cellStyle name="Comma 5 2 3 4 2 4" xfId="41593" xr:uid="{00000000-0005-0000-0000-00007E180000}"/>
    <cellStyle name="Comma 5 2 3 4 3" xfId="18213" xr:uid="{00000000-0005-0000-0000-00007F180000}"/>
    <cellStyle name="Comma 5 2 3 4 3 2" xfId="18214" xr:uid="{00000000-0005-0000-0000-000080180000}"/>
    <cellStyle name="Comma 5 2 3 4 3 2 2" xfId="41597" xr:uid="{00000000-0005-0000-0000-000081180000}"/>
    <cellStyle name="Comma 5 2 3 4 3 3" xfId="41596" xr:uid="{00000000-0005-0000-0000-000082180000}"/>
    <cellStyle name="Comma 5 2 3 4 4" xfId="18215" xr:uid="{00000000-0005-0000-0000-000083180000}"/>
    <cellStyle name="Comma 5 2 3 4 4 2" xfId="41598" xr:uid="{00000000-0005-0000-0000-000084180000}"/>
    <cellStyle name="Comma 5 2 3 4 5" xfId="18216" xr:uid="{00000000-0005-0000-0000-000085180000}"/>
    <cellStyle name="Comma 5 2 3 4 5 2" xfId="41599" xr:uid="{00000000-0005-0000-0000-000086180000}"/>
    <cellStyle name="Comma 5 2 3 4 6" xfId="18217" xr:uid="{00000000-0005-0000-0000-000087180000}"/>
    <cellStyle name="Comma 5 2 3 4 6 2" xfId="41600" xr:uid="{00000000-0005-0000-0000-000088180000}"/>
    <cellStyle name="Comma 5 2 3 4 7" xfId="41326" xr:uid="{00000000-0005-0000-0000-000089180000}"/>
    <cellStyle name="Comma 5 2 3 5" xfId="18218" xr:uid="{00000000-0005-0000-0000-00008A180000}"/>
    <cellStyle name="Comma 5 2 3 5 2" xfId="18219" xr:uid="{00000000-0005-0000-0000-00008B180000}"/>
    <cellStyle name="Comma 5 2 3 5 2 2" xfId="41602" xr:uid="{00000000-0005-0000-0000-00008C180000}"/>
    <cellStyle name="Comma 5 2 3 5 3" xfId="18220" xr:uid="{00000000-0005-0000-0000-00008D180000}"/>
    <cellStyle name="Comma 5 2 3 5 3 2" xfId="41603" xr:uid="{00000000-0005-0000-0000-00008E180000}"/>
    <cellStyle name="Comma 5 2 3 5 4" xfId="41601" xr:uid="{00000000-0005-0000-0000-00008F180000}"/>
    <cellStyle name="Comma 5 2 3 6" xfId="18221" xr:uid="{00000000-0005-0000-0000-000090180000}"/>
    <cellStyle name="Comma 5 2 3 6 2" xfId="18222" xr:uid="{00000000-0005-0000-0000-000091180000}"/>
    <cellStyle name="Comma 5 2 3 6 2 2" xfId="41605" xr:uid="{00000000-0005-0000-0000-000092180000}"/>
    <cellStyle name="Comma 5 2 3 6 3" xfId="41604" xr:uid="{00000000-0005-0000-0000-000093180000}"/>
    <cellStyle name="Comma 5 2 3 7" xfId="18223" xr:uid="{00000000-0005-0000-0000-000094180000}"/>
    <cellStyle name="Comma 5 2 3 7 2" xfId="41606" xr:uid="{00000000-0005-0000-0000-000095180000}"/>
    <cellStyle name="Comma 5 2 3 8" xfId="18224" xr:uid="{00000000-0005-0000-0000-000096180000}"/>
    <cellStyle name="Comma 5 2 3 8 2" xfId="41607" xr:uid="{00000000-0005-0000-0000-000097180000}"/>
    <cellStyle name="Comma 5 2 3 9" xfId="18225" xr:uid="{00000000-0005-0000-0000-000098180000}"/>
    <cellStyle name="Comma 5 2 3 9 2" xfId="41608" xr:uid="{00000000-0005-0000-0000-000099180000}"/>
    <cellStyle name="Comma 5 2 4" xfId="3171" xr:uid="{00000000-0005-0000-0000-00009A180000}"/>
    <cellStyle name="Comma 5 2 4 2" xfId="17888" xr:uid="{00000000-0005-0000-0000-00009B180000}"/>
    <cellStyle name="Comma 5 2 4 2 2" xfId="18226" xr:uid="{00000000-0005-0000-0000-00009C180000}"/>
    <cellStyle name="Comma 5 2 4 2 2 2" xfId="18227" xr:uid="{00000000-0005-0000-0000-00009D180000}"/>
    <cellStyle name="Comma 5 2 4 2 2 2 2" xfId="41610" xr:uid="{00000000-0005-0000-0000-00009E180000}"/>
    <cellStyle name="Comma 5 2 4 2 2 3" xfId="18228" xr:uid="{00000000-0005-0000-0000-00009F180000}"/>
    <cellStyle name="Comma 5 2 4 2 2 3 2" xfId="41611" xr:uid="{00000000-0005-0000-0000-0000A0180000}"/>
    <cellStyle name="Comma 5 2 4 2 2 4" xfId="41609" xr:uid="{00000000-0005-0000-0000-0000A1180000}"/>
    <cellStyle name="Comma 5 2 4 2 3" xfId="18229" xr:uid="{00000000-0005-0000-0000-0000A2180000}"/>
    <cellStyle name="Comma 5 2 4 2 3 2" xfId="18230" xr:uid="{00000000-0005-0000-0000-0000A3180000}"/>
    <cellStyle name="Comma 5 2 4 2 3 2 2" xfId="41613" xr:uid="{00000000-0005-0000-0000-0000A4180000}"/>
    <cellStyle name="Comma 5 2 4 2 3 3" xfId="41612" xr:uid="{00000000-0005-0000-0000-0000A5180000}"/>
    <cellStyle name="Comma 5 2 4 2 4" xfId="18231" xr:uid="{00000000-0005-0000-0000-0000A6180000}"/>
    <cellStyle name="Comma 5 2 4 2 4 2" xfId="41614" xr:uid="{00000000-0005-0000-0000-0000A7180000}"/>
    <cellStyle name="Comma 5 2 4 2 5" xfId="18232" xr:uid="{00000000-0005-0000-0000-0000A8180000}"/>
    <cellStyle name="Comma 5 2 4 2 5 2" xfId="41615" xr:uid="{00000000-0005-0000-0000-0000A9180000}"/>
    <cellStyle name="Comma 5 2 4 2 6" xfId="18233" xr:uid="{00000000-0005-0000-0000-0000AA180000}"/>
    <cellStyle name="Comma 5 2 4 2 6 2" xfId="41616" xr:uid="{00000000-0005-0000-0000-0000AB180000}"/>
    <cellStyle name="Comma 5 2 4 2 7" xfId="41348" xr:uid="{00000000-0005-0000-0000-0000AC180000}"/>
    <cellStyle name="Comma 5 2 4 3" xfId="18234" xr:uid="{00000000-0005-0000-0000-0000AD180000}"/>
    <cellStyle name="Comma 5 2 4 3 2" xfId="18235" xr:uid="{00000000-0005-0000-0000-0000AE180000}"/>
    <cellStyle name="Comma 5 2 4 3 2 2" xfId="41618" xr:uid="{00000000-0005-0000-0000-0000AF180000}"/>
    <cellStyle name="Comma 5 2 4 3 3" xfId="18236" xr:uid="{00000000-0005-0000-0000-0000B0180000}"/>
    <cellStyle name="Comma 5 2 4 3 3 2" xfId="41619" xr:uid="{00000000-0005-0000-0000-0000B1180000}"/>
    <cellStyle name="Comma 5 2 4 3 4" xfId="41617" xr:uid="{00000000-0005-0000-0000-0000B2180000}"/>
    <cellStyle name="Comma 5 2 4 4" xfId="18237" xr:uid="{00000000-0005-0000-0000-0000B3180000}"/>
    <cellStyle name="Comma 5 2 4 4 2" xfId="18238" xr:uid="{00000000-0005-0000-0000-0000B4180000}"/>
    <cellStyle name="Comma 5 2 4 4 2 2" xfId="41621" xr:uid="{00000000-0005-0000-0000-0000B5180000}"/>
    <cellStyle name="Comma 5 2 4 4 3" xfId="41620" xr:uid="{00000000-0005-0000-0000-0000B6180000}"/>
    <cellStyle name="Comma 5 2 4 5" xfId="18239" xr:uid="{00000000-0005-0000-0000-0000B7180000}"/>
    <cellStyle name="Comma 5 2 4 5 2" xfId="41622" xr:uid="{00000000-0005-0000-0000-0000B8180000}"/>
    <cellStyle name="Comma 5 2 4 6" xfId="18240" xr:uid="{00000000-0005-0000-0000-0000B9180000}"/>
    <cellStyle name="Comma 5 2 4 6 2" xfId="41623" xr:uid="{00000000-0005-0000-0000-0000BA180000}"/>
    <cellStyle name="Comma 5 2 4 7" xfId="18241" xr:uid="{00000000-0005-0000-0000-0000BB180000}"/>
    <cellStyle name="Comma 5 2 4 7 2" xfId="41624" xr:uid="{00000000-0005-0000-0000-0000BC180000}"/>
    <cellStyle name="Comma 5 2 4 8" xfId="26695" xr:uid="{00000000-0005-0000-0000-0000BD180000}"/>
    <cellStyle name="Comma 5 2 5" xfId="17724" xr:uid="{00000000-0005-0000-0000-0000BE180000}"/>
    <cellStyle name="Comma 5 2 5 2" xfId="17956" xr:uid="{00000000-0005-0000-0000-0000BF180000}"/>
    <cellStyle name="Comma 5 2 5 2 2" xfId="18242" xr:uid="{00000000-0005-0000-0000-0000C0180000}"/>
    <cellStyle name="Comma 5 2 5 2 2 2" xfId="18243" xr:uid="{00000000-0005-0000-0000-0000C1180000}"/>
    <cellStyle name="Comma 5 2 5 2 2 2 2" xfId="41626" xr:uid="{00000000-0005-0000-0000-0000C2180000}"/>
    <cellStyle name="Comma 5 2 5 2 2 3" xfId="18244" xr:uid="{00000000-0005-0000-0000-0000C3180000}"/>
    <cellStyle name="Comma 5 2 5 2 2 3 2" xfId="41627" xr:uid="{00000000-0005-0000-0000-0000C4180000}"/>
    <cellStyle name="Comma 5 2 5 2 2 4" xfId="41625" xr:uid="{00000000-0005-0000-0000-0000C5180000}"/>
    <cellStyle name="Comma 5 2 5 2 3" xfId="18245" xr:uid="{00000000-0005-0000-0000-0000C6180000}"/>
    <cellStyle name="Comma 5 2 5 2 3 2" xfId="18246" xr:uid="{00000000-0005-0000-0000-0000C7180000}"/>
    <cellStyle name="Comma 5 2 5 2 3 2 2" xfId="41629" xr:uid="{00000000-0005-0000-0000-0000C8180000}"/>
    <cellStyle name="Comma 5 2 5 2 3 3" xfId="41628" xr:uid="{00000000-0005-0000-0000-0000C9180000}"/>
    <cellStyle name="Comma 5 2 5 2 4" xfId="18247" xr:uid="{00000000-0005-0000-0000-0000CA180000}"/>
    <cellStyle name="Comma 5 2 5 2 4 2" xfId="41630" xr:uid="{00000000-0005-0000-0000-0000CB180000}"/>
    <cellStyle name="Comma 5 2 5 2 5" xfId="18248" xr:uid="{00000000-0005-0000-0000-0000CC180000}"/>
    <cellStyle name="Comma 5 2 5 2 5 2" xfId="41631" xr:uid="{00000000-0005-0000-0000-0000CD180000}"/>
    <cellStyle name="Comma 5 2 5 2 6" xfId="18249" xr:uid="{00000000-0005-0000-0000-0000CE180000}"/>
    <cellStyle name="Comma 5 2 5 2 6 2" xfId="41632" xr:uid="{00000000-0005-0000-0000-0000CF180000}"/>
    <cellStyle name="Comma 5 2 5 2 7" xfId="41416" xr:uid="{00000000-0005-0000-0000-0000D0180000}"/>
    <cellStyle name="Comma 5 2 5 3" xfId="18250" xr:uid="{00000000-0005-0000-0000-0000D1180000}"/>
    <cellStyle name="Comma 5 2 5 3 2" xfId="18251" xr:uid="{00000000-0005-0000-0000-0000D2180000}"/>
    <cellStyle name="Comma 5 2 5 3 2 2" xfId="41634" xr:uid="{00000000-0005-0000-0000-0000D3180000}"/>
    <cellStyle name="Comma 5 2 5 3 3" xfId="18252" xr:uid="{00000000-0005-0000-0000-0000D4180000}"/>
    <cellStyle name="Comma 5 2 5 3 3 2" xfId="41635" xr:uid="{00000000-0005-0000-0000-0000D5180000}"/>
    <cellStyle name="Comma 5 2 5 3 4" xfId="41633" xr:uid="{00000000-0005-0000-0000-0000D6180000}"/>
    <cellStyle name="Comma 5 2 5 4" xfId="18253" xr:uid="{00000000-0005-0000-0000-0000D7180000}"/>
    <cellStyle name="Comma 5 2 5 4 2" xfId="18254" xr:uid="{00000000-0005-0000-0000-0000D8180000}"/>
    <cellStyle name="Comma 5 2 5 4 2 2" xfId="41637" xr:uid="{00000000-0005-0000-0000-0000D9180000}"/>
    <cellStyle name="Comma 5 2 5 4 3" xfId="41636" xr:uid="{00000000-0005-0000-0000-0000DA180000}"/>
    <cellStyle name="Comma 5 2 5 5" xfId="18255" xr:uid="{00000000-0005-0000-0000-0000DB180000}"/>
    <cellStyle name="Comma 5 2 5 5 2" xfId="41638" xr:uid="{00000000-0005-0000-0000-0000DC180000}"/>
    <cellStyle name="Comma 5 2 5 6" xfId="18256" xr:uid="{00000000-0005-0000-0000-0000DD180000}"/>
    <cellStyle name="Comma 5 2 5 6 2" xfId="41639" xr:uid="{00000000-0005-0000-0000-0000DE180000}"/>
    <cellStyle name="Comma 5 2 5 7" xfId="18257" xr:uid="{00000000-0005-0000-0000-0000DF180000}"/>
    <cellStyle name="Comma 5 2 5 7 2" xfId="41640" xr:uid="{00000000-0005-0000-0000-0000E0180000}"/>
    <cellStyle name="Comma 5 2 5 8" xfId="41184" xr:uid="{00000000-0005-0000-0000-0000E1180000}"/>
    <cellStyle name="Comma 5 2 6" xfId="17811" xr:uid="{00000000-0005-0000-0000-0000E2180000}"/>
    <cellStyle name="Comma 5 2 6 2" xfId="18258" xr:uid="{00000000-0005-0000-0000-0000E3180000}"/>
    <cellStyle name="Comma 5 2 6 2 2" xfId="18259" xr:uid="{00000000-0005-0000-0000-0000E4180000}"/>
    <cellStyle name="Comma 5 2 6 2 2 2" xfId="41642" xr:uid="{00000000-0005-0000-0000-0000E5180000}"/>
    <cellStyle name="Comma 5 2 6 2 3" xfId="18260" xr:uid="{00000000-0005-0000-0000-0000E6180000}"/>
    <cellStyle name="Comma 5 2 6 2 3 2" xfId="41643" xr:uid="{00000000-0005-0000-0000-0000E7180000}"/>
    <cellStyle name="Comma 5 2 6 2 4" xfId="41641" xr:uid="{00000000-0005-0000-0000-0000E8180000}"/>
    <cellStyle name="Comma 5 2 6 3" xfId="18261" xr:uid="{00000000-0005-0000-0000-0000E9180000}"/>
    <cellStyle name="Comma 5 2 6 3 2" xfId="18262" xr:uid="{00000000-0005-0000-0000-0000EA180000}"/>
    <cellStyle name="Comma 5 2 6 3 2 2" xfId="41645" xr:uid="{00000000-0005-0000-0000-0000EB180000}"/>
    <cellStyle name="Comma 5 2 6 3 3" xfId="41644" xr:uid="{00000000-0005-0000-0000-0000EC180000}"/>
    <cellStyle name="Comma 5 2 6 4" xfId="18263" xr:uid="{00000000-0005-0000-0000-0000ED180000}"/>
    <cellStyle name="Comma 5 2 6 4 2" xfId="41646" xr:uid="{00000000-0005-0000-0000-0000EE180000}"/>
    <cellStyle name="Comma 5 2 6 5" xfId="18264" xr:uid="{00000000-0005-0000-0000-0000EF180000}"/>
    <cellStyle name="Comma 5 2 6 5 2" xfId="41647" xr:uid="{00000000-0005-0000-0000-0000F0180000}"/>
    <cellStyle name="Comma 5 2 6 6" xfId="18265" xr:uid="{00000000-0005-0000-0000-0000F1180000}"/>
    <cellStyle name="Comma 5 2 6 6 2" xfId="41648" xr:uid="{00000000-0005-0000-0000-0000F2180000}"/>
    <cellStyle name="Comma 5 2 6 7" xfId="41271" xr:uid="{00000000-0005-0000-0000-0000F3180000}"/>
    <cellStyle name="Comma 5 2 7" xfId="18266" xr:uid="{00000000-0005-0000-0000-0000F4180000}"/>
    <cellStyle name="Comma 5 2 7 2" xfId="18267" xr:uid="{00000000-0005-0000-0000-0000F5180000}"/>
    <cellStyle name="Comma 5 2 7 2 2" xfId="41650" xr:uid="{00000000-0005-0000-0000-0000F6180000}"/>
    <cellStyle name="Comma 5 2 7 3" xfId="18268" xr:uid="{00000000-0005-0000-0000-0000F7180000}"/>
    <cellStyle name="Comma 5 2 7 3 2" xfId="41651" xr:uid="{00000000-0005-0000-0000-0000F8180000}"/>
    <cellStyle name="Comma 5 2 7 4" xfId="41649" xr:uid="{00000000-0005-0000-0000-0000F9180000}"/>
    <cellStyle name="Comma 5 2 8" xfId="18269" xr:uid="{00000000-0005-0000-0000-0000FA180000}"/>
    <cellStyle name="Comma 5 2 8 2" xfId="18270" xr:uid="{00000000-0005-0000-0000-0000FB180000}"/>
    <cellStyle name="Comma 5 2 8 2 2" xfId="41653" xr:uid="{00000000-0005-0000-0000-0000FC180000}"/>
    <cellStyle name="Comma 5 2 8 3" xfId="41652" xr:uid="{00000000-0005-0000-0000-0000FD180000}"/>
    <cellStyle name="Comma 5 2 9" xfId="18271" xr:uid="{00000000-0005-0000-0000-0000FE180000}"/>
    <cellStyle name="Comma 5 2 9 2" xfId="41654" xr:uid="{00000000-0005-0000-0000-0000FF180000}"/>
    <cellStyle name="Comma 5 3" xfId="46" xr:uid="{00000000-0005-0000-0000-000000190000}"/>
    <cellStyle name="Comma 5 3 10" xfId="23634" xr:uid="{00000000-0005-0000-0000-000001190000}"/>
    <cellStyle name="Comma 5 3 2" xfId="3172" xr:uid="{00000000-0005-0000-0000-000002190000}"/>
    <cellStyle name="Comma 5 3 2 2" xfId="3173" xr:uid="{00000000-0005-0000-0000-000003190000}"/>
    <cellStyle name="Comma 5 3 2 2 2" xfId="3174" xr:uid="{00000000-0005-0000-0000-000004190000}"/>
    <cellStyle name="Comma 5 3 2 2 2 2" xfId="18272" xr:uid="{00000000-0005-0000-0000-000005190000}"/>
    <cellStyle name="Comma 5 3 2 2 2 2 2" xfId="41655" xr:uid="{00000000-0005-0000-0000-000006190000}"/>
    <cellStyle name="Comma 5 3 2 2 2 3" xfId="18273" xr:uid="{00000000-0005-0000-0000-000007190000}"/>
    <cellStyle name="Comma 5 3 2 2 2 3 2" xfId="41656" xr:uid="{00000000-0005-0000-0000-000008190000}"/>
    <cellStyle name="Comma 5 3 2 2 2 4" xfId="26698" xr:uid="{00000000-0005-0000-0000-000009190000}"/>
    <cellStyle name="Comma 5 3 2 2 3" xfId="18274" xr:uid="{00000000-0005-0000-0000-00000A190000}"/>
    <cellStyle name="Comma 5 3 2 2 3 2" xfId="18275" xr:uid="{00000000-0005-0000-0000-00000B190000}"/>
    <cellStyle name="Comma 5 3 2 2 3 2 2" xfId="41658" xr:uid="{00000000-0005-0000-0000-00000C190000}"/>
    <cellStyle name="Comma 5 3 2 2 3 3" xfId="41657" xr:uid="{00000000-0005-0000-0000-00000D190000}"/>
    <cellStyle name="Comma 5 3 2 2 4" xfId="18276" xr:uid="{00000000-0005-0000-0000-00000E190000}"/>
    <cellStyle name="Comma 5 3 2 2 4 2" xfId="41659" xr:uid="{00000000-0005-0000-0000-00000F190000}"/>
    <cellStyle name="Comma 5 3 2 2 5" xfId="18277" xr:uid="{00000000-0005-0000-0000-000010190000}"/>
    <cellStyle name="Comma 5 3 2 2 5 2" xfId="41660" xr:uid="{00000000-0005-0000-0000-000011190000}"/>
    <cellStyle name="Comma 5 3 2 2 6" xfId="18278" xr:uid="{00000000-0005-0000-0000-000012190000}"/>
    <cellStyle name="Comma 5 3 2 2 6 2" xfId="41661" xr:uid="{00000000-0005-0000-0000-000013190000}"/>
    <cellStyle name="Comma 5 3 2 2 7" xfId="26697" xr:uid="{00000000-0005-0000-0000-000014190000}"/>
    <cellStyle name="Comma 5 3 2 3" xfId="3175" xr:uid="{00000000-0005-0000-0000-000015190000}"/>
    <cellStyle name="Comma 5 3 2 3 2" xfId="18279" xr:uid="{00000000-0005-0000-0000-000016190000}"/>
    <cellStyle name="Comma 5 3 2 3 2 2" xfId="41662" xr:uid="{00000000-0005-0000-0000-000017190000}"/>
    <cellStyle name="Comma 5 3 2 3 3" xfId="18280" xr:uid="{00000000-0005-0000-0000-000018190000}"/>
    <cellStyle name="Comma 5 3 2 3 3 2" xfId="41663" xr:uid="{00000000-0005-0000-0000-000019190000}"/>
    <cellStyle name="Comma 5 3 2 3 4" xfId="26699" xr:uid="{00000000-0005-0000-0000-00001A190000}"/>
    <cellStyle name="Comma 5 3 2 4" xfId="18281" xr:uid="{00000000-0005-0000-0000-00001B190000}"/>
    <cellStyle name="Comma 5 3 2 4 2" xfId="18282" xr:uid="{00000000-0005-0000-0000-00001C190000}"/>
    <cellStyle name="Comma 5 3 2 4 2 2" xfId="41665" xr:uid="{00000000-0005-0000-0000-00001D190000}"/>
    <cellStyle name="Comma 5 3 2 4 3" xfId="41664" xr:uid="{00000000-0005-0000-0000-00001E190000}"/>
    <cellStyle name="Comma 5 3 2 5" xfId="18283" xr:uid="{00000000-0005-0000-0000-00001F190000}"/>
    <cellStyle name="Comma 5 3 2 5 2" xfId="41666" xr:uid="{00000000-0005-0000-0000-000020190000}"/>
    <cellStyle name="Comma 5 3 2 6" xfId="18284" xr:uid="{00000000-0005-0000-0000-000021190000}"/>
    <cellStyle name="Comma 5 3 2 6 2" xfId="41667" xr:uid="{00000000-0005-0000-0000-000022190000}"/>
    <cellStyle name="Comma 5 3 2 7" xfId="18285" xr:uid="{00000000-0005-0000-0000-000023190000}"/>
    <cellStyle name="Comma 5 3 2 7 2" xfId="41668" xr:uid="{00000000-0005-0000-0000-000024190000}"/>
    <cellStyle name="Comma 5 3 2 8" xfId="26696" xr:uid="{00000000-0005-0000-0000-000025190000}"/>
    <cellStyle name="Comma 5 3 3" xfId="3176" xr:uid="{00000000-0005-0000-0000-000026190000}"/>
    <cellStyle name="Comma 5 3 3 2" xfId="3177" xr:uid="{00000000-0005-0000-0000-000027190000}"/>
    <cellStyle name="Comma 5 3 3 2 2" xfId="18286" xr:uid="{00000000-0005-0000-0000-000028190000}"/>
    <cellStyle name="Comma 5 3 3 2 2 2" xfId="18287" xr:uid="{00000000-0005-0000-0000-000029190000}"/>
    <cellStyle name="Comma 5 3 3 2 2 2 2" xfId="41670" xr:uid="{00000000-0005-0000-0000-00002A190000}"/>
    <cellStyle name="Comma 5 3 3 2 2 3" xfId="18288" xr:uid="{00000000-0005-0000-0000-00002B190000}"/>
    <cellStyle name="Comma 5 3 3 2 2 3 2" xfId="41671" xr:uid="{00000000-0005-0000-0000-00002C190000}"/>
    <cellStyle name="Comma 5 3 3 2 2 4" xfId="41669" xr:uid="{00000000-0005-0000-0000-00002D190000}"/>
    <cellStyle name="Comma 5 3 3 2 3" xfId="18289" xr:uid="{00000000-0005-0000-0000-00002E190000}"/>
    <cellStyle name="Comma 5 3 3 2 3 2" xfId="18290" xr:uid="{00000000-0005-0000-0000-00002F190000}"/>
    <cellStyle name="Comma 5 3 3 2 3 2 2" xfId="41673" xr:uid="{00000000-0005-0000-0000-000030190000}"/>
    <cellStyle name="Comma 5 3 3 2 3 3" xfId="41672" xr:uid="{00000000-0005-0000-0000-000031190000}"/>
    <cellStyle name="Comma 5 3 3 2 4" xfId="18291" xr:uid="{00000000-0005-0000-0000-000032190000}"/>
    <cellStyle name="Comma 5 3 3 2 4 2" xfId="41674" xr:uid="{00000000-0005-0000-0000-000033190000}"/>
    <cellStyle name="Comma 5 3 3 2 5" xfId="18292" xr:uid="{00000000-0005-0000-0000-000034190000}"/>
    <cellStyle name="Comma 5 3 3 2 5 2" xfId="41675" xr:uid="{00000000-0005-0000-0000-000035190000}"/>
    <cellStyle name="Comma 5 3 3 2 6" xfId="18293" xr:uid="{00000000-0005-0000-0000-000036190000}"/>
    <cellStyle name="Comma 5 3 3 2 6 2" xfId="41676" xr:uid="{00000000-0005-0000-0000-000037190000}"/>
    <cellStyle name="Comma 5 3 3 2 7" xfId="26701" xr:uid="{00000000-0005-0000-0000-000038190000}"/>
    <cellStyle name="Comma 5 3 3 3" xfId="18294" xr:uid="{00000000-0005-0000-0000-000039190000}"/>
    <cellStyle name="Comma 5 3 3 3 2" xfId="18295" xr:uid="{00000000-0005-0000-0000-00003A190000}"/>
    <cellStyle name="Comma 5 3 3 3 2 2" xfId="41678" xr:uid="{00000000-0005-0000-0000-00003B190000}"/>
    <cellStyle name="Comma 5 3 3 3 3" xfId="18296" xr:uid="{00000000-0005-0000-0000-00003C190000}"/>
    <cellStyle name="Comma 5 3 3 3 3 2" xfId="41679" xr:uid="{00000000-0005-0000-0000-00003D190000}"/>
    <cellStyle name="Comma 5 3 3 3 4" xfId="41677" xr:uid="{00000000-0005-0000-0000-00003E190000}"/>
    <cellStyle name="Comma 5 3 3 4" xfId="18297" xr:uid="{00000000-0005-0000-0000-00003F190000}"/>
    <cellStyle name="Comma 5 3 3 4 2" xfId="18298" xr:uid="{00000000-0005-0000-0000-000040190000}"/>
    <cellStyle name="Comma 5 3 3 4 2 2" xfId="41681" xr:uid="{00000000-0005-0000-0000-000041190000}"/>
    <cellStyle name="Comma 5 3 3 4 3" xfId="41680" xr:uid="{00000000-0005-0000-0000-000042190000}"/>
    <cellStyle name="Comma 5 3 3 5" xfId="18299" xr:uid="{00000000-0005-0000-0000-000043190000}"/>
    <cellStyle name="Comma 5 3 3 5 2" xfId="41682" xr:uid="{00000000-0005-0000-0000-000044190000}"/>
    <cellStyle name="Comma 5 3 3 6" xfId="18300" xr:uid="{00000000-0005-0000-0000-000045190000}"/>
    <cellStyle name="Comma 5 3 3 6 2" xfId="41683" xr:uid="{00000000-0005-0000-0000-000046190000}"/>
    <cellStyle name="Comma 5 3 3 7" xfId="18301" xr:uid="{00000000-0005-0000-0000-000047190000}"/>
    <cellStyle name="Comma 5 3 3 7 2" xfId="41684" xr:uid="{00000000-0005-0000-0000-000048190000}"/>
    <cellStyle name="Comma 5 3 3 8" xfId="26700" xr:uid="{00000000-0005-0000-0000-000049190000}"/>
    <cellStyle name="Comma 5 3 4" xfId="3178" xr:uid="{00000000-0005-0000-0000-00004A190000}"/>
    <cellStyle name="Comma 5 3 4 2" xfId="18302" xr:uid="{00000000-0005-0000-0000-00004B190000}"/>
    <cellStyle name="Comma 5 3 4 2 2" xfId="18303" xr:uid="{00000000-0005-0000-0000-00004C190000}"/>
    <cellStyle name="Comma 5 3 4 2 2 2" xfId="41686" xr:uid="{00000000-0005-0000-0000-00004D190000}"/>
    <cellStyle name="Comma 5 3 4 2 3" xfId="18304" xr:uid="{00000000-0005-0000-0000-00004E190000}"/>
    <cellStyle name="Comma 5 3 4 2 3 2" xfId="41687" xr:uid="{00000000-0005-0000-0000-00004F190000}"/>
    <cellStyle name="Comma 5 3 4 2 4" xfId="41685" xr:uid="{00000000-0005-0000-0000-000050190000}"/>
    <cellStyle name="Comma 5 3 4 3" xfId="18305" xr:uid="{00000000-0005-0000-0000-000051190000}"/>
    <cellStyle name="Comma 5 3 4 3 2" xfId="18306" xr:uid="{00000000-0005-0000-0000-000052190000}"/>
    <cellStyle name="Comma 5 3 4 3 2 2" xfId="41689" xr:uid="{00000000-0005-0000-0000-000053190000}"/>
    <cellStyle name="Comma 5 3 4 3 3" xfId="41688" xr:uid="{00000000-0005-0000-0000-000054190000}"/>
    <cellStyle name="Comma 5 3 4 4" xfId="18307" xr:uid="{00000000-0005-0000-0000-000055190000}"/>
    <cellStyle name="Comma 5 3 4 4 2" xfId="41690" xr:uid="{00000000-0005-0000-0000-000056190000}"/>
    <cellStyle name="Comma 5 3 4 5" xfId="18308" xr:uid="{00000000-0005-0000-0000-000057190000}"/>
    <cellStyle name="Comma 5 3 4 5 2" xfId="41691" xr:uid="{00000000-0005-0000-0000-000058190000}"/>
    <cellStyle name="Comma 5 3 4 6" xfId="18309" xr:uid="{00000000-0005-0000-0000-000059190000}"/>
    <cellStyle name="Comma 5 3 4 6 2" xfId="41692" xr:uid="{00000000-0005-0000-0000-00005A190000}"/>
    <cellStyle name="Comma 5 3 4 7" xfId="26702" xr:uid="{00000000-0005-0000-0000-00005B190000}"/>
    <cellStyle name="Comma 5 3 5" xfId="18310" xr:uid="{00000000-0005-0000-0000-00005C190000}"/>
    <cellStyle name="Comma 5 3 5 2" xfId="18311" xr:uid="{00000000-0005-0000-0000-00005D190000}"/>
    <cellStyle name="Comma 5 3 5 2 2" xfId="41694" xr:uid="{00000000-0005-0000-0000-00005E190000}"/>
    <cellStyle name="Comma 5 3 5 3" xfId="18312" xr:uid="{00000000-0005-0000-0000-00005F190000}"/>
    <cellStyle name="Comma 5 3 5 3 2" xfId="41695" xr:uid="{00000000-0005-0000-0000-000060190000}"/>
    <cellStyle name="Comma 5 3 5 4" xfId="41693" xr:uid="{00000000-0005-0000-0000-000061190000}"/>
    <cellStyle name="Comma 5 3 6" xfId="18313" xr:uid="{00000000-0005-0000-0000-000062190000}"/>
    <cellStyle name="Comma 5 3 6 2" xfId="18314" xr:uid="{00000000-0005-0000-0000-000063190000}"/>
    <cellStyle name="Comma 5 3 6 2 2" xfId="41697" xr:uid="{00000000-0005-0000-0000-000064190000}"/>
    <cellStyle name="Comma 5 3 6 3" xfId="41696" xr:uid="{00000000-0005-0000-0000-000065190000}"/>
    <cellStyle name="Comma 5 3 7" xfId="18315" xr:uid="{00000000-0005-0000-0000-000066190000}"/>
    <cellStyle name="Comma 5 3 7 2" xfId="41698" xr:uid="{00000000-0005-0000-0000-000067190000}"/>
    <cellStyle name="Comma 5 3 8" xfId="18316" xr:uid="{00000000-0005-0000-0000-000068190000}"/>
    <cellStyle name="Comma 5 3 8 2" xfId="41699" xr:uid="{00000000-0005-0000-0000-000069190000}"/>
    <cellStyle name="Comma 5 3 9" xfId="18317" xr:uid="{00000000-0005-0000-0000-00006A190000}"/>
    <cellStyle name="Comma 5 3 9 2" xfId="41700" xr:uid="{00000000-0005-0000-0000-00006B190000}"/>
    <cellStyle name="Comma 5 4" xfId="3179" xr:uid="{00000000-0005-0000-0000-00006C190000}"/>
    <cellStyle name="Comma 5 4 10" xfId="26703" xr:uid="{00000000-0005-0000-0000-00006D190000}"/>
    <cellStyle name="Comma 5 4 2" xfId="3180" xr:uid="{00000000-0005-0000-0000-00006E190000}"/>
    <cellStyle name="Comma 5 4 2 2" xfId="3181" xr:uid="{00000000-0005-0000-0000-00006F190000}"/>
    <cellStyle name="Comma 5 4 2 2 2" xfId="18318" xr:uid="{00000000-0005-0000-0000-000070190000}"/>
    <cellStyle name="Comma 5 4 2 2 2 2" xfId="18319" xr:uid="{00000000-0005-0000-0000-000071190000}"/>
    <cellStyle name="Comma 5 4 2 2 2 2 2" xfId="41702" xr:uid="{00000000-0005-0000-0000-000072190000}"/>
    <cellStyle name="Comma 5 4 2 2 2 3" xfId="18320" xr:uid="{00000000-0005-0000-0000-000073190000}"/>
    <cellStyle name="Comma 5 4 2 2 2 3 2" xfId="41703" xr:uid="{00000000-0005-0000-0000-000074190000}"/>
    <cellStyle name="Comma 5 4 2 2 2 4" xfId="41701" xr:uid="{00000000-0005-0000-0000-000075190000}"/>
    <cellStyle name="Comma 5 4 2 2 3" xfId="18321" xr:uid="{00000000-0005-0000-0000-000076190000}"/>
    <cellStyle name="Comma 5 4 2 2 3 2" xfId="18322" xr:uid="{00000000-0005-0000-0000-000077190000}"/>
    <cellStyle name="Comma 5 4 2 2 3 2 2" xfId="41705" xr:uid="{00000000-0005-0000-0000-000078190000}"/>
    <cellStyle name="Comma 5 4 2 2 3 3" xfId="41704" xr:uid="{00000000-0005-0000-0000-000079190000}"/>
    <cellStyle name="Comma 5 4 2 2 4" xfId="18323" xr:uid="{00000000-0005-0000-0000-00007A190000}"/>
    <cellStyle name="Comma 5 4 2 2 4 2" xfId="41706" xr:uid="{00000000-0005-0000-0000-00007B190000}"/>
    <cellStyle name="Comma 5 4 2 2 5" xfId="18324" xr:uid="{00000000-0005-0000-0000-00007C190000}"/>
    <cellStyle name="Comma 5 4 2 2 5 2" xfId="41707" xr:uid="{00000000-0005-0000-0000-00007D190000}"/>
    <cellStyle name="Comma 5 4 2 2 6" xfId="18325" xr:uid="{00000000-0005-0000-0000-00007E190000}"/>
    <cellStyle name="Comma 5 4 2 2 6 2" xfId="41708" xr:uid="{00000000-0005-0000-0000-00007F190000}"/>
    <cellStyle name="Comma 5 4 2 2 7" xfId="26705" xr:uid="{00000000-0005-0000-0000-000080190000}"/>
    <cellStyle name="Comma 5 4 2 3" xfId="18326" xr:uid="{00000000-0005-0000-0000-000081190000}"/>
    <cellStyle name="Comma 5 4 2 3 2" xfId="18327" xr:uid="{00000000-0005-0000-0000-000082190000}"/>
    <cellStyle name="Comma 5 4 2 3 2 2" xfId="41710" xr:uid="{00000000-0005-0000-0000-000083190000}"/>
    <cellStyle name="Comma 5 4 2 3 3" xfId="18328" xr:uid="{00000000-0005-0000-0000-000084190000}"/>
    <cellStyle name="Comma 5 4 2 3 3 2" xfId="41711" xr:uid="{00000000-0005-0000-0000-000085190000}"/>
    <cellStyle name="Comma 5 4 2 3 4" xfId="41709" xr:uid="{00000000-0005-0000-0000-000086190000}"/>
    <cellStyle name="Comma 5 4 2 4" xfId="18329" xr:uid="{00000000-0005-0000-0000-000087190000}"/>
    <cellStyle name="Comma 5 4 2 4 2" xfId="18330" xr:uid="{00000000-0005-0000-0000-000088190000}"/>
    <cellStyle name="Comma 5 4 2 4 2 2" xfId="41713" xr:uid="{00000000-0005-0000-0000-000089190000}"/>
    <cellStyle name="Comma 5 4 2 4 3" xfId="41712" xr:uid="{00000000-0005-0000-0000-00008A190000}"/>
    <cellStyle name="Comma 5 4 2 5" xfId="18331" xr:uid="{00000000-0005-0000-0000-00008B190000}"/>
    <cellStyle name="Comma 5 4 2 5 2" xfId="41714" xr:uid="{00000000-0005-0000-0000-00008C190000}"/>
    <cellStyle name="Comma 5 4 2 6" xfId="18332" xr:uid="{00000000-0005-0000-0000-00008D190000}"/>
    <cellStyle name="Comma 5 4 2 6 2" xfId="41715" xr:uid="{00000000-0005-0000-0000-00008E190000}"/>
    <cellStyle name="Comma 5 4 2 7" xfId="18333" xr:uid="{00000000-0005-0000-0000-00008F190000}"/>
    <cellStyle name="Comma 5 4 2 7 2" xfId="41716" xr:uid="{00000000-0005-0000-0000-000090190000}"/>
    <cellStyle name="Comma 5 4 2 8" xfId="26704" xr:uid="{00000000-0005-0000-0000-000091190000}"/>
    <cellStyle name="Comma 5 4 3" xfId="3182" xr:uid="{00000000-0005-0000-0000-000092190000}"/>
    <cellStyle name="Comma 5 4 3 2" xfId="18007" xr:uid="{00000000-0005-0000-0000-000093190000}"/>
    <cellStyle name="Comma 5 4 3 2 2" xfId="18334" xr:uid="{00000000-0005-0000-0000-000094190000}"/>
    <cellStyle name="Comma 5 4 3 2 2 2" xfId="18335" xr:uid="{00000000-0005-0000-0000-000095190000}"/>
    <cellStyle name="Comma 5 4 3 2 2 2 2" xfId="41718" xr:uid="{00000000-0005-0000-0000-000096190000}"/>
    <cellStyle name="Comma 5 4 3 2 2 3" xfId="18336" xr:uid="{00000000-0005-0000-0000-000097190000}"/>
    <cellStyle name="Comma 5 4 3 2 2 3 2" xfId="41719" xr:uid="{00000000-0005-0000-0000-000098190000}"/>
    <cellStyle name="Comma 5 4 3 2 2 4" xfId="41717" xr:uid="{00000000-0005-0000-0000-000099190000}"/>
    <cellStyle name="Comma 5 4 3 2 3" xfId="18337" xr:uid="{00000000-0005-0000-0000-00009A190000}"/>
    <cellStyle name="Comma 5 4 3 2 3 2" xfId="18338" xr:uid="{00000000-0005-0000-0000-00009B190000}"/>
    <cellStyle name="Comma 5 4 3 2 3 2 2" xfId="41721" xr:uid="{00000000-0005-0000-0000-00009C190000}"/>
    <cellStyle name="Comma 5 4 3 2 3 3" xfId="41720" xr:uid="{00000000-0005-0000-0000-00009D190000}"/>
    <cellStyle name="Comma 5 4 3 2 4" xfId="18339" xr:uid="{00000000-0005-0000-0000-00009E190000}"/>
    <cellStyle name="Comma 5 4 3 2 4 2" xfId="41722" xr:uid="{00000000-0005-0000-0000-00009F190000}"/>
    <cellStyle name="Comma 5 4 3 2 5" xfId="18340" xr:uid="{00000000-0005-0000-0000-0000A0190000}"/>
    <cellStyle name="Comma 5 4 3 2 5 2" xfId="41723" xr:uid="{00000000-0005-0000-0000-0000A1190000}"/>
    <cellStyle name="Comma 5 4 3 2 6" xfId="18341" xr:uid="{00000000-0005-0000-0000-0000A2190000}"/>
    <cellStyle name="Comma 5 4 3 2 6 2" xfId="41724" xr:uid="{00000000-0005-0000-0000-0000A3190000}"/>
    <cellStyle name="Comma 5 4 3 2 7" xfId="41467" xr:uid="{00000000-0005-0000-0000-0000A4190000}"/>
    <cellStyle name="Comma 5 4 3 3" xfId="18342" xr:uid="{00000000-0005-0000-0000-0000A5190000}"/>
    <cellStyle name="Comma 5 4 3 3 2" xfId="18343" xr:uid="{00000000-0005-0000-0000-0000A6190000}"/>
    <cellStyle name="Comma 5 4 3 3 2 2" xfId="41726" xr:uid="{00000000-0005-0000-0000-0000A7190000}"/>
    <cellStyle name="Comma 5 4 3 3 3" xfId="18344" xr:uid="{00000000-0005-0000-0000-0000A8190000}"/>
    <cellStyle name="Comma 5 4 3 3 3 2" xfId="41727" xr:uid="{00000000-0005-0000-0000-0000A9190000}"/>
    <cellStyle name="Comma 5 4 3 3 4" xfId="41725" xr:uid="{00000000-0005-0000-0000-0000AA190000}"/>
    <cellStyle name="Comma 5 4 3 4" xfId="18345" xr:uid="{00000000-0005-0000-0000-0000AB190000}"/>
    <cellStyle name="Comma 5 4 3 4 2" xfId="18346" xr:uid="{00000000-0005-0000-0000-0000AC190000}"/>
    <cellStyle name="Comma 5 4 3 4 2 2" xfId="41729" xr:uid="{00000000-0005-0000-0000-0000AD190000}"/>
    <cellStyle name="Comma 5 4 3 4 3" xfId="41728" xr:uid="{00000000-0005-0000-0000-0000AE190000}"/>
    <cellStyle name="Comma 5 4 3 5" xfId="18347" xr:uid="{00000000-0005-0000-0000-0000AF190000}"/>
    <cellStyle name="Comma 5 4 3 5 2" xfId="41730" xr:uid="{00000000-0005-0000-0000-0000B0190000}"/>
    <cellStyle name="Comma 5 4 3 6" xfId="18348" xr:uid="{00000000-0005-0000-0000-0000B1190000}"/>
    <cellStyle name="Comma 5 4 3 6 2" xfId="41731" xr:uid="{00000000-0005-0000-0000-0000B2190000}"/>
    <cellStyle name="Comma 5 4 3 7" xfId="18349" xr:uid="{00000000-0005-0000-0000-0000B3190000}"/>
    <cellStyle name="Comma 5 4 3 7 2" xfId="41732" xr:uid="{00000000-0005-0000-0000-0000B4190000}"/>
    <cellStyle name="Comma 5 4 3 8" xfId="26706" xr:uid="{00000000-0005-0000-0000-0000B5190000}"/>
    <cellStyle name="Comma 5 4 4" xfId="17851" xr:uid="{00000000-0005-0000-0000-0000B6190000}"/>
    <cellStyle name="Comma 5 4 4 2" xfId="18350" xr:uid="{00000000-0005-0000-0000-0000B7190000}"/>
    <cellStyle name="Comma 5 4 4 2 2" xfId="18351" xr:uid="{00000000-0005-0000-0000-0000B8190000}"/>
    <cellStyle name="Comma 5 4 4 2 2 2" xfId="41734" xr:uid="{00000000-0005-0000-0000-0000B9190000}"/>
    <cellStyle name="Comma 5 4 4 2 3" xfId="18352" xr:uid="{00000000-0005-0000-0000-0000BA190000}"/>
    <cellStyle name="Comma 5 4 4 2 3 2" xfId="41735" xr:uid="{00000000-0005-0000-0000-0000BB190000}"/>
    <cellStyle name="Comma 5 4 4 2 4" xfId="41733" xr:uid="{00000000-0005-0000-0000-0000BC190000}"/>
    <cellStyle name="Comma 5 4 4 3" xfId="18353" xr:uid="{00000000-0005-0000-0000-0000BD190000}"/>
    <cellStyle name="Comma 5 4 4 3 2" xfId="18354" xr:uid="{00000000-0005-0000-0000-0000BE190000}"/>
    <cellStyle name="Comma 5 4 4 3 2 2" xfId="41737" xr:uid="{00000000-0005-0000-0000-0000BF190000}"/>
    <cellStyle name="Comma 5 4 4 3 3" xfId="41736" xr:uid="{00000000-0005-0000-0000-0000C0190000}"/>
    <cellStyle name="Comma 5 4 4 4" xfId="18355" xr:uid="{00000000-0005-0000-0000-0000C1190000}"/>
    <cellStyle name="Comma 5 4 4 4 2" xfId="41738" xr:uid="{00000000-0005-0000-0000-0000C2190000}"/>
    <cellStyle name="Comma 5 4 4 5" xfId="18356" xr:uid="{00000000-0005-0000-0000-0000C3190000}"/>
    <cellStyle name="Comma 5 4 4 5 2" xfId="41739" xr:uid="{00000000-0005-0000-0000-0000C4190000}"/>
    <cellStyle name="Comma 5 4 4 6" xfId="18357" xr:uid="{00000000-0005-0000-0000-0000C5190000}"/>
    <cellStyle name="Comma 5 4 4 6 2" xfId="41740" xr:uid="{00000000-0005-0000-0000-0000C6190000}"/>
    <cellStyle name="Comma 5 4 4 7" xfId="41311" xr:uid="{00000000-0005-0000-0000-0000C7190000}"/>
    <cellStyle name="Comma 5 4 5" xfId="18358" xr:uid="{00000000-0005-0000-0000-0000C8190000}"/>
    <cellStyle name="Comma 5 4 5 2" xfId="18359" xr:uid="{00000000-0005-0000-0000-0000C9190000}"/>
    <cellStyle name="Comma 5 4 5 2 2" xfId="41742" xr:uid="{00000000-0005-0000-0000-0000CA190000}"/>
    <cellStyle name="Comma 5 4 5 3" xfId="18360" xr:uid="{00000000-0005-0000-0000-0000CB190000}"/>
    <cellStyle name="Comma 5 4 5 3 2" xfId="41743" xr:uid="{00000000-0005-0000-0000-0000CC190000}"/>
    <cellStyle name="Comma 5 4 5 4" xfId="41741" xr:uid="{00000000-0005-0000-0000-0000CD190000}"/>
    <cellStyle name="Comma 5 4 6" xfId="18361" xr:uid="{00000000-0005-0000-0000-0000CE190000}"/>
    <cellStyle name="Comma 5 4 6 2" xfId="18362" xr:uid="{00000000-0005-0000-0000-0000CF190000}"/>
    <cellStyle name="Comma 5 4 6 2 2" xfId="41745" xr:uid="{00000000-0005-0000-0000-0000D0190000}"/>
    <cellStyle name="Comma 5 4 6 3" xfId="41744" xr:uid="{00000000-0005-0000-0000-0000D1190000}"/>
    <cellStyle name="Comma 5 4 7" xfId="18363" xr:uid="{00000000-0005-0000-0000-0000D2190000}"/>
    <cellStyle name="Comma 5 4 7 2" xfId="41746" xr:uid="{00000000-0005-0000-0000-0000D3190000}"/>
    <cellStyle name="Comma 5 4 8" xfId="18364" xr:uid="{00000000-0005-0000-0000-0000D4190000}"/>
    <cellStyle name="Comma 5 4 8 2" xfId="41747" xr:uid="{00000000-0005-0000-0000-0000D5190000}"/>
    <cellStyle name="Comma 5 4 9" xfId="18365" xr:uid="{00000000-0005-0000-0000-0000D6190000}"/>
    <cellStyle name="Comma 5 4 9 2" xfId="41748" xr:uid="{00000000-0005-0000-0000-0000D7190000}"/>
    <cellStyle name="Comma 5 5" xfId="3183" xr:uid="{00000000-0005-0000-0000-0000D8190000}"/>
    <cellStyle name="Comma 5 5 2" xfId="3184" xr:uid="{00000000-0005-0000-0000-0000D9190000}"/>
    <cellStyle name="Comma 5 5 2 2" xfId="18366" xr:uid="{00000000-0005-0000-0000-0000DA190000}"/>
    <cellStyle name="Comma 5 5 2 2 2" xfId="18367" xr:uid="{00000000-0005-0000-0000-0000DB190000}"/>
    <cellStyle name="Comma 5 5 2 2 2 2" xfId="41750" xr:uid="{00000000-0005-0000-0000-0000DC190000}"/>
    <cellStyle name="Comma 5 5 2 2 3" xfId="18368" xr:uid="{00000000-0005-0000-0000-0000DD190000}"/>
    <cellStyle name="Comma 5 5 2 2 3 2" xfId="41751" xr:uid="{00000000-0005-0000-0000-0000DE190000}"/>
    <cellStyle name="Comma 5 5 2 2 4" xfId="41749" xr:uid="{00000000-0005-0000-0000-0000DF190000}"/>
    <cellStyle name="Comma 5 5 2 3" xfId="18369" xr:uid="{00000000-0005-0000-0000-0000E0190000}"/>
    <cellStyle name="Comma 5 5 2 3 2" xfId="18370" xr:uid="{00000000-0005-0000-0000-0000E1190000}"/>
    <cellStyle name="Comma 5 5 2 3 2 2" xfId="41753" xr:uid="{00000000-0005-0000-0000-0000E2190000}"/>
    <cellStyle name="Comma 5 5 2 3 3" xfId="41752" xr:uid="{00000000-0005-0000-0000-0000E3190000}"/>
    <cellStyle name="Comma 5 5 2 4" xfId="18371" xr:uid="{00000000-0005-0000-0000-0000E4190000}"/>
    <cellStyle name="Comma 5 5 2 4 2" xfId="41754" xr:uid="{00000000-0005-0000-0000-0000E5190000}"/>
    <cellStyle name="Comma 5 5 2 5" xfId="18372" xr:uid="{00000000-0005-0000-0000-0000E6190000}"/>
    <cellStyle name="Comma 5 5 2 5 2" xfId="41755" xr:uid="{00000000-0005-0000-0000-0000E7190000}"/>
    <cellStyle name="Comma 5 5 2 6" xfId="18373" xr:uid="{00000000-0005-0000-0000-0000E8190000}"/>
    <cellStyle name="Comma 5 5 2 6 2" xfId="41756" xr:uid="{00000000-0005-0000-0000-0000E9190000}"/>
    <cellStyle name="Comma 5 5 2 7" xfId="26708" xr:uid="{00000000-0005-0000-0000-0000EA190000}"/>
    <cellStyle name="Comma 5 5 3" xfId="18374" xr:uid="{00000000-0005-0000-0000-0000EB190000}"/>
    <cellStyle name="Comma 5 5 3 2" xfId="18375" xr:uid="{00000000-0005-0000-0000-0000EC190000}"/>
    <cellStyle name="Comma 5 5 3 2 2" xfId="41758" xr:uid="{00000000-0005-0000-0000-0000ED190000}"/>
    <cellStyle name="Comma 5 5 3 3" xfId="18376" xr:uid="{00000000-0005-0000-0000-0000EE190000}"/>
    <cellStyle name="Comma 5 5 3 3 2" xfId="41759" xr:uid="{00000000-0005-0000-0000-0000EF190000}"/>
    <cellStyle name="Comma 5 5 3 4" xfId="41757" xr:uid="{00000000-0005-0000-0000-0000F0190000}"/>
    <cellStyle name="Comma 5 5 4" xfId="18377" xr:uid="{00000000-0005-0000-0000-0000F1190000}"/>
    <cellStyle name="Comma 5 5 4 2" xfId="18378" xr:uid="{00000000-0005-0000-0000-0000F2190000}"/>
    <cellStyle name="Comma 5 5 4 2 2" xfId="41761" xr:uid="{00000000-0005-0000-0000-0000F3190000}"/>
    <cellStyle name="Comma 5 5 4 3" xfId="41760" xr:uid="{00000000-0005-0000-0000-0000F4190000}"/>
    <cellStyle name="Comma 5 5 5" xfId="18379" xr:uid="{00000000-0005-0000-0000-0000F5190000}"/>
    <cellStyle name="Comma 5 5 5 2" xfId="41762" xr:uid="{00000000-0005-0000-0000-0000F6190000}"/>
    <cellStyle name="Comma 5 5 6" xfId="18380" xr:uid="{00000000-0005-0000-0000-0000F7190000}"/>
    <cellStyle name="Comma 5 5 6 2" xfId="41763" xr:uid="{00000000-0005-0000-0000-0000F8190000}"/>
    <cellStyle name="Comma 5 5 7" xfId="18381" xr:uid="{00000000-0005-0000-0000-0000F9190000}"/>
    <cellStyle name="Comma 5 5 7 2" xfId="41764" xr:uid="{00000000-0005-0000-0000-0000FA190000}"/>
    <cellStyle name="Comma 5 5 8" xfId="26707" xr:uid="{00000000-0005-0000-0000-0000FB190000}"/>
    <cellStyle name="Comma 5 6" xfId="3185" xr:uid="{00000000-0005-0000-0000-0000FC190000}"/>
    <cellStyle name="Comma 5 6 2" xfId="17955" xr:uid="{00000000-0005-0000-0000-0000FD190000}"/>
    <cellStyle name="Comma 5 6 2 2" xfId="18382" xr:uid="{00000000-0005-0000-0000-0000FE190000}"/>
    <cellStyle name="Comma 5 6 2 2 2" xfId="18383" xr:uid="{00000000-0005-0000-0000-0000FF190000}"/>
    <cellStyle name="Comma 5 6 2 2 2 2" xfId="41766" xr:uid="{00000000-0005-0000-0000-0000001A0000}"/>
    <cellStyle name="Comma 5 6 2 2 3" xfId="18384" xr:uid="{00000000-0005-0000-0000-0000011A0000}"/>
    <cellStyle name="Comma 5 6 2 2 3 2" xfId="41767" xr:uid="{00000000-0005-0000-0000-0000021A0000}"/>
    <cellStyle name="Comma 5 6 2 2 4" xfId="41765" xr:uid="{00000000-0005-0000-0000-0000031A0000}"/>
    <cellStyle name="Comma 5 6 2 3" xfId="18385" xr:uid="{00000000-0005-0000-0000-0000041A0000}"/>
    <cellStyle name="Comma 5 6 2 3 2" xfId="18386" xr:uid="{00000000-0005-0000-0000-0000051A0000}"/>
    <cellStyle name="Comma 5 6 2 3 2 2" xfId="41769" xr:uid="{00000000-0005-0000-0000-0000061A0000}"/>
    <cellStyle name="Comma 5 6 2 3 3" xfId="41768" xr:uid="{00000000-0005-0000-0000-0000071A0000}"/>
    <cellStyle name="Comma 5 6 2 4" xfId="18387" xr:uid="{00000000-0005-0000-0000-0000081A0000}"/>
    <cellStyle name="Comma 5 6 2 4 2" xfId="41770" xr:uid="{00000000-0005-0000-0000-0000091A0000}"/>
    <cellStyle name="Comma 5 6 2 5" xfId="18388" xr:uid="{00000000-0005-0000-0000-00000A1A0000}"/>
    <cellStyle name="Comma 5 6 2 5 2" xfId="41771" xr:uid="{00000000-0005-0000-0000-00000B1A0000}"/>
    <cellStyle name="Comma 5 6 2 6" xfId="18389" xr:uid="{00000000-0005-0000-0000-00000C1A0000}"/>
    <cellStyle name="Comma 5 6 2 6 2" xfId="41772" xr:uid="{00000000-0005-0000-0000-00000D1A0000}"/>
    <cellStyle name="Comma 5 6 2 7" xfId="41415" xr:uid="{00000000-0005-0000-0000-00000E1A0000}"/>
    <cellStyle name="Comma 5 6 3" xfId="18390" xr:uid="{00000000-0005-0000-0000-00000F1A0000}"/>
    <cellStyle name="Comma 5 6 3 2" xfId="18391" xr:uid="{00000000-0005-0000-0000-0000101A0000}"/>
    <cellStyle name="Comma 5 6 3 2 2" xfId="41774" xr:uid="{00000000-0005-0000-0000-0000111A0000}"/>
    <cellStyle name="Comma 5 6 3 3" xfId="18392" xr:uid="{00000000-0005-0000-0000-0000121A0000}"/>
    <cellStyle name="Comma 5 6 3 3 2" xfId="41775" xr:uid="{00000000-0005-0000-0000-0000131A0000}"/>
    <cellStyle name="Comma 5 6 3 4" xfId="41773" xr:uid="{00000000-0005-0000-0000-0000141A0000}"/>
    <cellStyle name="Comma 5 6 4" xfId="18393" xr:uid="{00000000-0005-0000-0000-0000151A0000}"/>
    <cellStyle name="Comma 5 6 4 2" xfId="18394" xr:uid="{00000000-0005-0000-0000-0000161A0000}"/>
    <cellStyle name="Comma 5 6 4 2 2" xfId="41777" xr:uid="{00000000-0005-0000-0000-0000171A0000}"/>
    <cellStyle name="Comma 5 6 4 3" xfId="41776" xr:uid="{00000000-0005-0000-0000-0000181A0000}"/>
    <cellStyle name="Comma 5 6 5" xfId="18395" xr:uid="{00000000-0005-0000-0000-0000191A0000}"/>
    <cellStyle name="Comma 5 6 5 2" xfId="41778" xr:uid="{00000000-0005-0000-0000-00001A1A0000}"/>
    <cellStyle name="Comma 5 6 6" xfId="18396" xr:uid="{00000000-0005-0000-0000-00001B1A0000}"/>
    <cellStyle name="Comma 5 6 6 2" xfId="41779" xr:uid="{00000000-0005-0000-0000-00001C1A0000}"/>
    <cellStyle name="Comma 5 6 7" xfId="18397" xr:uid="{00000000-0005-0000-0000-00001D1A0000}"/>
    <cellStyle name="Comma 5 6 7 2" xfId="41780" xr:uid="{00000000-0005-0000-0000-00001E1A0000}"/>
    <cellStyle name="Comma 5 6 8" xfId="26709" xr:uid="{00000000-0005-0000-0000-00001F1A0000}"/>
    <cellStyle name="Comma 5 7" xfId="17796" xr:uid="{00000000-0005-0000-0000-0000201A0000}"/>
    <cellStyle name="Comma 5 7 2" xfId="18398" xr:uid="{00000000-0005-0000-0000-0000211A0000}"/>
    <cellStyle name="Comma 5 7 2 2" xfId="18399" xr:uid="{00000000-0005-0000-0000-0000221A0000}"/>
    <cellStyle name="Comma 5 7 2 2 2" xfId="41782" xr:uid="{00000000-0005-0000-0000-0000231A0000}"/>
    <cellStyle name="Comma 5 7 2 3" xfId="18400" xr:uid="{00000000-0005-0000-0000-0000241A0000}"/>
    <cellStyle name="Comma 5 7 2 3 2" xfId="41783" xr:uid="{00000000-0005-0000-0000-0000251A0000}"/>
    <cellStyle name="Comma 5 7 2 4" xfId="41781" xr:uid="{00000000-0005-0000-0000-0000261A0000}"/>
    <cellStyle name="Comma 5 7 3" xfId="18401" xr:uid="{00000000-0005-0000-0000-0000271A0000}"/>
    <cellStyle name="Comma 5 7 3 2" xfId="18402" xr:uid="{00000000-0005-0000-0000-0000281A0000}"/>
    <cellStyle name="Comma 5 7 3 2 2" xfId="41785" xr:uid="{00000000-0005-0000-0000-0000291A0000}"/>
    <cellStyle name="Comma 5 7 3 3" xfId="41784" xr:uid="{00000000-0005-0000-0000-00002A1A0000}"/>
    <cellStyle name="Comma 5 7 4" xfId="18403" xr:uid="{00000000-0005-0000-0000-00002B1A0000}"/>
    <cellStyle name="Comma 5 7 4 2" xfId="41786" xr:uid="{00000000-0005-0000-0000-00002C1A0000}"/>
    <cellStyle name="Comma 5 7 5" xfId="18404" xr:uid="{00000000-0005-0000-0000-00002D1A0000}"/>
    <cellStyle name="Comma 5 7 5 2" xfId="41787" xr:uid="{00000000-0005-0000-0000-00002E1A0000}"/>
    <cellStyle name="Comma 5 7 6" xfId="18405" xr:uid="{00000000-0005-0000-0000-00002F1A0000}"/>
    <cellStyle name="Comma 5 7 6 2" xfId="41788" xr:uid="{00000000-0005-0000-0000-0000301A0000}"/>
    <cellStyle name="Comma 5 7 7" xfId="41256" xr:uid="{00000000-0005-0000-0000-0000311A0000}"/>
    <cellStyle name="Comma 5 8" xfId="18406" xr:uid="{00000000-0005-0000-0000-0000321A0000}"/>
    <cellStyle name="Comma 5 8 2" xfId="18407" xr:uid="{00000000-0005-0000-0000-0000331A0000}"/>
    <cellStyle name="Comma 5 8 2 2" xfId="41790" xr:uid="{00000000-0005-0000-0000-0000341A0000}"/>
    <cellStyle name="Comma 5 8 3" xfId="18408" xr:uid="{00000000-0005-0000-0000-0000351A0000}"/>
    <cellStyle name="Comma 5 8 3 2" xfId="41791" xr:uid="{00000000-0005-0000-0000-0000361A0000}"/>
    <cellStyle name="Comma 5 8 4" xfId="41789" xr:uid="{00000000-0005-0000-0000-0000371A0000}"/>
    <cellStyle name="Comma 5 9" xfId="18409" xr:uid="{00000000-0005-0000-0000-0000381A0000}"/>
    <cellStyle name="Comma 5 9 2" xfId="18410" xr:uid="{00000000-0005-0000-0000-0000391A0000}"/>
    <cellStyle name="Comma 5 9 3" xfId="18411" xr:uid="{00000000-0005-0000-0000-00003A1A0000}"/>
    <cellStyle name="Comma 5 9 3 2" xfId="41793" xr:uid="{00000000-0005-0000-0000-00003B1A0000}"/>
    <cellStyle name="Comma 5 9 4" xfId="41792" xr:uid="{00000000-0005-0000-0000-00003C1A0000}"/>
    <cellStyle name="Comma 6" xfId="47" xr:uid="{00000000-0005-0000-0000-00003D1A0000}"/>
    <cellStyle name="Comma 6 10" xfId="18412" xr:uid="{00000000-0005-0000-0000-00003E1A0000}"/>
    <cellStyle name="Comma 6 10 2" xfId="41794" xr:uid="{00000000-0005-0000-0000-00003F1A0000}"/>
    <cellStyle name="Comma 6 11" xfId="18413" xr:uid="{00000000-0005-0000-0000-0000401A0000}"/>
    <cellStyle name="Comma 6 11 2" xfId="41795" xr:uid="{00000000-0005-0000-0000-0000411A0000}"/>
    <cellStyle name="Comma 6 12" xfId="18414" xr:uid="{00000000-0005-0000-0000-0000421A0000}"/>
    <cellStyle name="Comma 6 12 2" xfId="41796" xr:uid="{00000000-0005-0000-0000-0000431A0000}"/>
    <cellStyle name="Comma 6 13" xfId="23635" xr:uid="{00000000-0005-0000-0000-0000441A0000}"/>
    <cellStyle name="Comma 6 2" xfId="48" xr:uid="{00000000-0005-0000-0000-0000451A0000}"/>
    <cellStyle name="Comma 6 2 10" xfId="18415" xr:uid="{00000000-0005-0000-0000-0000461A0000}"/>
    <cellStyle name="Comma 6 2 10 2" xfId="41797" xr:uid="{00000000-0005-0000-0000-0000471A0000}"/>
    <cellStyle name="Comma 6 2 11" xfId="18416" xr:uid="{00000000-0005-0000-0000-0000481A0000}"/>
    <cellStyle name="Comma 6 2 11 2" xfId="41798" xr:uid="{00000000-0005-0000-0000-0000491A0000}"/>
    <cellStyle name="Comma 6 2 12" xfId="23636" xr:uid="{00000000-0005-0000-0000-00004A1A0000}"/>
    <cellStyle name="Comma 6 2 2" xfId="49" xr:uid="{00000000-0005-0000-0000-00004B1A0000}"/>
    <cellStyle name="Comma 6 2 2 10" xfId="23637" xr:uid="{00000000-0005-0000-0000-00004C1A0000}"/>
    <cellStyle name="Comma 6 2 2 2" xfId="3187" xr:uid="{00000000-0005-0000-0000-00004D1A0000}"/>
    <cellStyle name="Comma 6 2 2 2 2" xfId="17905" xr:uid="{00000000-0005-0000-0000-00004E1A0000}"/>
    <cellStyle name="Comma 6 2 2 2 2 2" xfId="18417" xr:uid="{00000000-0005-0000-0000-00004F1A0000}"/>
    <cellStyle name="Comma 6 2 2 2 2 2 2" xfId="18418" xr:uid="{00000000-0005-0000-0000-0000501A0000}"/>
    <cellStyle name="Comma 6 2 2 2 2 2 2 2" xfId="41800" xr:uid="{00000000-0005-0000-0000-0000511A0000}"/>
    <cellStyle name="Comma 6 2 2 2 2 2 3" xfId="18419" xr:uid="{00000000-0005-0000-0000-0000521A0000}"/>
    <cellStyle name="Comma 6 2 2 2 2 2 3 2" xfId="41801" xr:uid="{00000000-0005-0000-0000-0000531A0000}"/>
    <cellStyle name="Comma 6 2 2 2 2 2 4" xfId="41799" xr:uid="{00000000-0005-0000-0000-0000541A0000}"/>
    <cellStyle name="Comma 6 2 2 2 2 3" xfId="18420" xr:uid="{00000000-0005-0000-0000-0000551A0000}"/>
    <cellStyle name="Comma 6 2 2 2 2 3 2" xfId="18421" xr:uid="{00000000-0005-0000-0000-0000561A0000}"/>
    <cellStyle name="Comma 6 2 2 2 2 3 2 2" xfId="41803" xr:uid="{00000000-0005-0000-0000-0000571A0000}"/>
    <cellStyle name="Comma 6 2 2 2 2 3 3" xfId="41802" xr:uid="{00000000-0005-0000-0000-0000581A0000}"/>
    <cellStyle name="Comma 6 2 2 2 2 4" xfId="18422" xr:uid="{00000000-0005-0000-0000-0000591A0000}"/>
    <cellStyle name="Comma 6 2 2 2 2 4 2" xfId="41804" xr:uid="{00000000-0005-0000-0000-00005A1A0000}"/>
    <cellStyle name="Comma 6 2 2 2 2 5" xfId="18423" xr:uid="{00000000-0005-0000-0000-00005B1A0000}"/>
    <cellStyle name="Comma 6 2 2 2 2 5 2" xfId="41805" xr:uid="{00000000-0005-0000-0000-00005C1A0000}"/>
    <cellStyle name="Comma 6 2 2 2 2 6" xfId="18424" xr:uid="{00000000-0005-0000-0000-00005D1A0000}"/>
    <cellStyle name="Comma 6 2 2 2 2 6 2" xfId="41806" xr:uid="{00000000-0005-0000-0000-00005E1A0000}"/>
    <cellStyle name="Comma 6 2 2 2 2 7" xfId="41365" xr:uid="{00000000-0005-0000-0000-00005F1A0000}"/>
    <cellStyle name="Comma 6 2 2 2 3" xfId="18425" xr:uid="{00000000-0005-0000-0000-0000601A0000}"/>
    <cellStyle name="Comma 6 2 2 2 3 2" xfId="18426" xr:uid="{00000000-0005-0000-0000-0000611A0000}"/>
    <cellStyle name="Comma 6 2 2 2 3 2 2" xfId="41808" xr:uid="{00000000-0005-0000-0000-0000621A0000}"/>
    <cellStyle name="Comma 6 2 2 2 3 3" xfId="18427" xr:uid="{00000000-0005-0000-0000-0000631A0000}"/>
    <cellStyle name="Comma 6 2 2 2 3 3 2" xfId="41809" xr:uid="{00000000-0005-0000-0000-0000641A0000}"/>
    <cellStyle name="Comma 6 2 2 2 3 4" xfId="41807" xr:uid="{00000000-0005-0000-0000-0000651A0000}"/>
    <cellStyle name="Comma 6 2 2 2 4" xfId="18428" xr:uid="{00000000-0005-0000-0000-0000661A0000}"/>
    <cellStyle name="Comma 6 2 2 2 4 2" xfId="18429" xr:uid="{00000000-0005-0000-0000-0000671A0000}"/>
    <cellStyle name="Comma 6 2 2 2 4 2 2" xfId="41811" xr:uid="{00000000-0005-0000-0000-0000681A0000}"/>
    <cellStyle name="Comma 6 2 2 2 4 3" xfId="41810" xr:uid="{00000000-0005-0000-0000-0000691A0000}"/>
    <cellStyle name="Comma 6 2 2 2 5" xfId="18430" xr:uid="{00000000-0005-0000-0000-00006A1A0000}"/>
    <cellStyle name="Comma 6 2 2 2 5 2" xfId="41812" xr:uid="{00000000-0005-0000-0000-00006B1A0000}"/>
    <cellStyle name="Comma 6 2 2 2 6" xfId="18431" xr:uid="{00000000-0005-0000-0000-00006C1A0000}"/>
    <cellStyle name="Comma 6 2 2 2 6 2" xfId="41813" xr:uid="{00000000-0005-0000-0000-00006D1A0000}"/>
    <cellStyle name="Comma 6 2 2 2 7" xfId="18432" xr:uid="{00000000-0005-0000-0000-00006E1A0000}"/>
    <cellStyle name="Comma 6 2 2 2 7 2" xfId="41814" xr:uid="{00000000-0005-0000-0000-00006F1A0000}"/>
    <cellStyle name="Comma 6 2 2 2 8" xfId="26710" xr:uid="{00000000-0005-0000-0000-0000701A0000}"/>
    <cellStyle name="Comma 6 2 2 3" xfId="17746" xr:uid="{00000000-0005-0000-0000-0000711A0000}"/>
    <cellStyle name="Comma 6 2 2 3 2" xfId="17979" xr:uid="{00000000-0005-0000-0000-0000721A0000}"/>
    <cellStyle name="Comma 6 2 2 3 2 2" xfId="18433" xr:uid="{00000000-0005-0000-0000-0000731A0000}"/>
    <cellStyle name="Comma 6 2 2 3 2 2 2" xfId="18434" xr:uid="{00000000-0005-0000-0000-0000741A0000}"/>
    <cellStyle name="Comma 6 2 2 3 2 2 2 2" xfId="41816" xr:uid="{00000000-0005-0000-0000-0000751A0000}"/>
    <cellStyle name="Comma 6 2 2 3 2 2 3" xfId="18435" xr:uid="{00000000-0005-0000-0000-0000761A0000}"/>
    <cellStyle name="Comma 6 2 2 3 2 2 3 2" xfId="41817" xr:uid="{00000000-0005-0000-0000-0000771A0000}"/>
    <cellStyle name="Comma 6 2 2 3 2 2 4" xfId="41815" xr:uid="{00000000-0005-0000-0000-0000781A0000}"/>
    <cellStyle name="Comma 6 2 2 3 2 3" xfId="18436" xr:uid="{00000000-0005-0000-0000-0000791A0000}"/>
    <cellStyle name="Comma 6 2 2 3 2 3 2" xfId="18437" xr:uid="{00000000-0005-0000-0000-00007A1A0000}"/>
    <cellStyle name="Comma 6 2 2 3 2 3 2 2" xfId="41819" xr:uid="{00000000-0005-0000-0000-00007B1A0000}"/>
    <cellStyle name="Comma 6 2 2 3 2 3 3" xfId="41818" xr:uid="{00000000-0005-0000-0000-00007C1A0000}"/>
    <cellStyle name="Comma 6 2 2 3 2 4" xfId="18438" xr:uid="{00000000-0005-0000-0000-00007D1A0000}"/>
    <cellStyle name="Comma 6 2 2 3 2 4 2" xfId="41820" xr:uid="{00000000-0005-0000-0000-00007E1A0000}"/>
    <cellStyle name="Comma 6 2 2 3 2 5" xfId="18439" xr:uid="{00000000-0005-0000-0000-00007F1A0000}"/>
    <cellStyle name="Comma 6 2 2 3 2 5 2" xfId="41821" xr:uid="{00000000-0005-0000-0000-0000801A0000}"/>
    <cellStyle name="Comma 6 2 2 3 2 6" xfId="18440" xr:uid="{00000000-0005-0000-0000-0000811A0000}"/>
    <cellStyle name="Comma 6 2 2 3 2 6 2" xfId="41822" xr:uid="{00000000-0005-0000-0000-0000821A0000}"/>
    <cellStyle name="Comma 6 2 2 3 2 7" xfId="41439" xr:uid="{00000000-0005-0000-0000-0000831A0000}"/>
    <cellStyle name="Comma 6 2 2 3 3" xfId="18441" xr:uid="{00000000-0005-0000-0000-0000841A0000}"/>
    <cellStyle name="Comma 6 2 2 3 3 2" xfId="18442" xr:uid="{00000000-0005-0000-0000-0000851A0000}"/>
    <cellStyle name="Comma 6 2 2 3 3 2 2" xfId="41824" xr:uid="{00000000-0005-0000-0000-0000861A0000}"/>
    <cellStyle name="Comma 6 2 2 3 3 3" xfId="18443" xr:uid="{00000000-0005-0000-0000-0000871A0000}"/>
    <cellStyle name="Comma 6 2 2 3 3 3 2" xfId="41825" xr:uid="{00000000-0005-0000-0000-0000881A0000}"/>
    <cellStyle name="Comma 6 2 2 3 3 4" xfId="41823" xr:uid="{00000000-0005-0000-0000-0000891A0000}"/>
    <cellStyle name="Comma 6 2 2 3 4" xfId="18444" xr:uid="{00000000-0005-0000-0000-00008A1A0000}"/>
    <cellStyle name="Comma 6 2 2 3 4 2" xfId="18445" xr:uid="{00000000-0005-0000-0000-00008B1A0000}"/>
    <cellStyle name="Comma 6 2 2 3 4 2 2" xfId="41827" xr:uid="{00000000-0005-0000-0000-00008C1A0000}"/>
    <cellStyle name="Comma 6 2 2 3 4 3" xfId="41826" xr:uid="{00000000-0005-0000-0000-00008D1A0000}"/>
    <cellStyle name="Comma 6 2 2 3 5" xfId="18446" xr:uid="{00000000-0005-0000-0000-00008E1A0000}"/>
    <cellStyle name="Comma 6 2 2 3 5 2" xfId="41828" xr:uid="{00000000-0005-0000-0000-00008F1A0000}"/>
    <cellStyle name="Comma 6 2 2 3 6" xfId="18447" xr:uid="{00000000-0005-0000-0000-0000901A0000}"/>
    <cellStyle name="Comma 6 2 2 3 6 2" xfId="41829" xr:uid="{00000000-0005-0000-0000-0000911A0000}"/>
    <cellStyle name="Comma 6 2 2 3 7" xfId="18448" xr:uid="{00000000-0005-0000-0000-0000921A0000}"/>
    <cellStyle name="Comma 6 2 2 3 7 2" xfId="41830" xr:uid="{00000000-0005-0000-0000-0000931A0000}"/>
    <cellStyle name="Comma 6 2 2 3 8" xfId="41206" xr:uid="{00000000-0005-0000-0000-0000941A0000}"/>
    <cellStyle name="Comma 6 2 2 4" xfId="17829" xr:uid="{00000000-0005-0000-0000-0000951A0000}"/>
    <cellStyle name="Comma 6 2 2 4 2" xfId="18449" xr:uid="{00000000-0005-0000-0000-0000961A0000}"/>
    <cellStyle name="Comma 6 2 2 4 2 2" xfId="18450" xr:uid="{00000000-0005-0000-0000-0000971A0000}"/>
    <cellStyle name="Comma 6 2 2 4 2 2 2" xfId="41832" xr:uid="{00000000-0005-0000-0000-0000981A0000}"/>
    <cellStyle name="Comma 6 2 2 4 2 3" xfId="18451" xr:uid="{00000000-0005-0000-0000-0000991A0000}"/>
    <cellStyle name="Comma 6 2 2 4 2 3 2" xfId="41833" xr:uid="{00000000-0005-0000-0000-00009A1A0000}"/>
    <cellStyle name="Comma 6 2 2 4 2 4" xfId="41831" xr:uid="{00000000-0005-0000-0000-00009B1A0000}"/>
    <cellStyle name="Comma 6 2 2 4 3" xfId="18452" xr:uid="{00000000-0005-0000-0000-00009C1A0000}"/>
    <cellStyle name="Comma 6 2 2 4 3 2" xfId="18453" xr:uid="{00000000-0005-0000-0000-00009D1A0000}"/>
    <cellStyle name="Comma 6 2 2 4 3 2 2" xfId="41835" xr:uid="{00000000-0005-0000-0000-00009E1A0000}"/>
    <cellStyle name="Comma 6 2 2 4 3 3" xfId="41834" xr:uid="{00000000-0005-0000-0000-00009F1A0000}"/>
    <cellStyle name="Comma 6 2 2 4 4" xfId="18454" xr:uid="{00000000-0005-0000-0000-0000A01A0000}"/>
    <cellStyle name="Comma 6 2 2 4 4 2" xfId="41836" xr:uid="{00000000-0005-0000-0000-0000A11A0000}"/>
    <cellStyle name="Comma 6 2 2 4 5" xfId="18455" xr:uid="{00000000-0005-0000-0000-0000A21A0000}"/>
    <cellStyle name="Comma 6 2 2 4 5 2" xfId="41837" xr:uid="{00000000-0005-0000-0000-0000A31A0000}"/>
    <cellStyle name="Comma 6 2 2 4 6" xfId="18456" xr:uid="{00000000-0005-0000-0000-0000A41A0000}"/>
    <cellStyle name="Comma 6 2 2 4 6 2" xfId="41838" xr:uid="{00000000-0005-0000-0000-0000A51A0000}"/>
    <cellStyle name="Comma 6 2 2 4 7" xfId="41289" xr:uid="{00000000-0005-0000-0000-0000A61A0000}"/>
    <cellStyle name="Comma 6 2 2 5" xfId="18457" xr:uid="{00000000-0005-0000-0000-0000A71A0000}"/>
    <cellStyle name="Comma 6 2 2 5 2" xfId="18458" xr:uid="{00000000-0005-0000-0000-0000A81A0000}"/>
    <cellStyle name="Comma 6 2 2 5 2 2" xfId="41840" xr:uid="{00000000-0005-0000-0000-0000A91A0000}"/>
    <cellStyle name="Comma 6 2 2 5 3" xfId="18459" xr:uid="{00000000-0005-0000-0000-0000AA1A0000}"/>
    <cellStyle name="Comma 6 2 2 5 3 2" xfId="41841" xr:uid="{00000000-0005-0000-0000-0000AB1A0000}"/>
    <cellStyle name="Comma 6 2 2 5 4" xfId="41839" xr:uid="{00000000-0005-0000-0000-0000AC1A0000}"/>
    <cellStyle name="Comma 6 2 2 6" xfId="18460" xr:uid="{00000000-0005-0000-0000-0000AD1A0000}"/>
    <cellStyle name="Comma 6 2 2 6 2" xfId="18461" xr:uid="{00000000-0005-0000-0000-0000AE1A0000}"/>
    <cellStyle name="Comma 6 2 2 6 2 2" xfId="41843" xr:uid="{00000000-0005-0000-0000-0000AF1A0000}"/>
    <cellStyle name="Comma 6 2 2 6 3" xfId="41842" xr:uid="{00000000-0005-0000-0000-0000B01A0000}"/>
    <cellStyle name="Comma 6 2 2 7" xfId="18462" xr:uid="{00000000-0005-0000-0000-0000B11A0000}"/>
    <cellStyle name="Comma 6 2 2 7 2" xfId="41844" xr:uid="{00000000-0005-0000-0000-0000B21A0000}"/>
    <cellStyle name="Comma 6 2 2 8" xfId="18463" xr:uid="{00000000-0005-0000-0000-0000B31A0000}"/>
    <cellStyle name="Comma 6 2 2 8 2" xfId="41845" xr:uid="{00000000-0005-0000-0000-0000B41A0000}"/>
    <cellStyle name="Comma 6 2 2 9" xfId="18464" xr:uid="{00000000-0005-0000-0000-0000B51A0000}"/>
    <cellStyle name="Comma 6 2 2 9 2" xfId="41846" xr:uid="{00000000-0005-0000-0000-0000B61A0000}"/>
    <cellStyle name="Comma 6 2 3" xfId="3188" xr:uid="{00000000-0005-0000-0000-0000B71A0000}"/>
    <cellStyle name="Comma 6 2 3 10" xfId="26711" xr:uid="{00000000-0005-0000-0000-0000B81A0000}"/>
    <cellStyle name="Comma 6 2 3 2" xfId="17716" xr:uid="{00000000-0005-0000-0000-0000B91A0000}"/>
    <cellStyle name="Comma 6 2 3 2 2" xfId="17945" xr:uid="{00000000-0005-0000-0000-0000BA1A0000}"/>
    <cellStyle name="Comma 6 2 3 2 2 2" xfId="18465" xr:uid="{00000000-0005-0000-0000-0000BB1A0000}"/>
    <cellStyle name="Comma 6 2 3 2 2 2 2" xfId="18466" xr:uid="{00000000-0005-0000-0000-0000BC1A0000}"/>
    <cellStyle name="Comma 6 2 3 2 2 2 2 2" xfId="41848" xr:uid="{00000000-0005-0000-0000-0000BD1A0000}"/>
    <cellStyle name="Comma 6 2 3 2 2 2 3" xfId="18467" xr:uid="{00000000-0005-0000-0000-0000BE1A0000}"/>
    <cellStyle name="Comma 6 2 3 2 2 2 3 2" xfId="41849" xr:uid="{00000000-0005-0000-0000-0000BF1A0000}"/>
    <cellStyle name="Comma 6 2 3 2 2 2 4" xfId="41847" xr:uid="{00000000-0005-0000-0000-0000C01A0000}"/>
    <cellStyle name="Comma 6 2 3 2 2 3" xfId="18468" xr:uid="{00000000-0005-0000-0000-0000C11A0000}"/>
    <cellStyle name="Comma 6 2 3 2 2 3 2" xfId="18469" xr:uid="{00000000-0005-0000-0000-0000C21A0000}"/>
    <cellStyle name="Comma 6 2 3 2 2 3 2 2" xfId="41851" xr:uid="{00000000-0005-0000-0000-0000C31A0000}"/>
    <cellStyle name="Comma 6 2 3 2 2 3 3" xfId="41850" xr:uid="{00000000-0005-0000-0000-0000C41A0000}"/>
    <cellStyle name="Comma 6 2 3 2 2 4" xfId="18470" xr:uid="{00000000-0005-0000-0000-0000C51A0000}"/>
    <cellStyle name="Comma 6 2 3 2 2 4 2" xfId="41852" xr:uid="{00000000-0005-0000-0000-0000C61A0000}"/>
    <cellStyle name="Comma 6 2 3 2 2 5" xfId="18471" xr:uid="{00000000-0005-0000-0000-0000C71A0000}"/>
    <cellStyle name="Comma 6 2 3 2 2 5 2" xfId="41853" xr:uid="{00000000-0005-0000-0000-0000C81A0000}"/>
    <cellStyle name="Comma 6 2 3 2 2 6" xfId="18472" xr:uid="{00000000-0005-0000-0000-0000C91A0000}"/>
    <cellStyle name="Comma 6 2 3 2 2 6 2" xfId="41854" xr:uid="{00000000-0005-0000-0000-0000CA1A0000}"/>
    <cellStyle name="Comma 6 2 3 2 2 7" xfId="41405" xr:uid="{00000000-0005-0000-0000-0000CB1A0000}"/>
    <cellStyle name="Comma 6 2 3 2 3" xfId="18473" xr:uid="{00000000-0005-0000-0000-0000CC1A0000}"/>
    <cellStyle name="Comma 6 2 3 2 3 2" xfId="18474" xr:uid="{00000000-0005-0000-0000-0000CD1A0000}"/>
    <cellStyle name="Comma 6 2 3 2 3 2 2" xfId="41856" xr:uid="{00000000-0005-0000-0000-0000CE1A0000}"/>
    <cellStyle name="Comma 6 2 3 2 3 3" xfId="18475" xr:uid="{00000000-0005-0000-0000-0000CF1A0000}"/>
    <cellStyle name="Comma 6 2 3 2 3 3 2" xfId="41857" xr:uid="{00000000-0005-0000-0000-0000D01A0000}"/>
    <cellStyle name="Comma 6 2 3 2 3 4" xfId="41855" xr:uid="{00000000-0005-0000-0000-0000D11A0000}"/>
    <cellStyle name="Comma 6 2 3 2 4" xfId="18476" xr:uid="{00000000-0005-0000-0000-0000D21A0000}"/>
    <cellStyle name="Comma 6 2 3 2 4 2" xfId="18477" xr:uid="{00000000-0005-0000-0000-0000D31A0000}"/>
    <cellStyle name="Comma 6 2 3 2 4 2 2" xfId="41859" xr:uid="{00000000-0005-0000-0000-0000D41A0000}"/>
    <cellStyle name="Comma 6 2 3 2 4 3" xfId="41858" xr:uid="{00000000-0005-0000-0000-0000D51A0000}"/>
    <cellStyle name="Comma 6 2 3 2 5" xfId="18478" xr:uid="{00000000-0005-0000-0000-0000D61A0000}"/>
    <cellStyle name="Comma 6 2 3 2 5 2" xfId="41860" xr:uid="{00000000-0005-0000-0000-0000D71A0000}"/>
    <cellStyle name="Comma 6 2 3 2 6" xfId="18479" xr:uid="{00000000-0005-0000-0000-0000D81A0000}"/>
    <cellStyle name="Comma 6 2 3 2 6 2" xfId="41861" xr:uid="{00000000-0005-0000-0000-0000D91A0000}"/>
    <cellStyle name="Comma 6 2 3 2 7" xfId="18480" xr:uid="{00000000-0005-0000-0000-0000DA1A0000}"/>
    <cellStyle name="Comma 6 2 3 2 7 2" xfId="41862" xr:uid="{00000000-0005-0000-0000-0000DB1A0000}"/>
    <cellStyle name="Comma 6 2 3 2 8" xfId="41176" xr:uid="{00000000-0005-0000-0000-0000DC1A0000}"/>
    <cellStyle name="Comma 6 2 3 3" xfId="17773" xr:uid="{00000000-0005-0000-0000-0000DD1A0000}"/>
    <cellStyle name="Comma 6 2 3 3 2" xfId="18008" xr:uid="{00000000-0005-0000-0000-0000DE1A0000}"/>
    <cellStyle name="Comma 6 2 3 3 2 2" xfId="18481" xr:uid="{00000000-0005-0000-0000-0000DF1A0000}"/>
    <cellStyle name="Comma 6 2 3 3 2 2 2" xfId="18482" xr:uid="{00000000-0005-0000-0000-0000E01A0000}"/>
    <cellStyle name="Comma 6 2 3 3 2 2 2 2" xfId="41864" xr:uid="{00000000-0005-0000-0000-0000E11A0000}"/>
    <cellStyle name="Comma 6 2 3 3 2 2 3" xfId="18483" xr:uid="{00000000-0005-0000-0000-0000E21A0000}"/>
    <cellStyle name="Comma 6 2 3 3 2 2 3 2" xfId="41865" xr:uid="{00000000-0005-0000-0000-0000E31A0000}"/>
    <cellStyle name="Comma 6 2 3 3 2 2 4" xfId="41863" xr:uid="{00000000-0005-0000-0000-0000E41A0000}"/>
    <cellStyle name="Comma 6 2 3 3 2 3" xfId="18484" xr:uid="{00000000-0005-0000-0000-0000E51A0000}"/>
    <cellStyle name="Comma 6 2 3 3 2 3 2" xfId="18485" xr:uid="{00000000-0005-0000-0000-0000E61A0000}"/>
    <cellStyle name="Comma 6 2 3 3 2 3 2 2" xfId="41867" xr:uid="{00000000-0005-0000-0000-0000E71A0000}"/>
    <cellStyle name="Comma 6 2 3 3 2 3 3" xfId="41866" xr:uid="{00000000-0005-0000-0000-0000E81A0000}"/>
    <cellStyle name="Comma 6 2 3 3 2 4" xfId="18486" xr:uid="{00000000-0005-0000-0000-0000E91A0000}"/>
    <cellStyle name="Comma 6 2 3 3 2 4 2" xfId="41868" xr:uid="{00000000-0005-0000-0000-0000EA1A0000}"/>
    <cellStyle name="Comma 6 2 3 3 2 5" xfId="18487" xr:uid="{00000000-0005-0000-0000-0000EB1A0000}"/>
    <cellStyle name="Comma 6 2 3 3 2 5 2" xfId="41869" xr:uid="{00000000-0005-0000-0000-0000EC1A0000}"/>
    <cellStyle name="Comma 6 2 3 3 2 6" xfId="18488" xr:uid="{00000000-0005-0000-0000-0000ED1A0000}"/>
    <cellStyle name="Comma 6 2 3 3 2 6 2" xfId="41870" xr:uid="{00000000-0005-0000-0000-0000EE1A0000}"/>
    <cellStyle name="Comma 6 2 3 3 2 7" xfId="41468" xr:uid="{00000000-0005-0000-0000-0000EF1A0000}"/>
    <cellStyle name="Comma 6 2 3 3 3" xfId="18489" xr:uid="{00000000-0005-0000-0000-0000F01A0000}"/>
    <cellStyle name="Comma 6 2 3 3 3 2" xfId="18490" xr:uid="{00000000-0005-0000-0000-0000F11A0000}"/>
    <cellStyle name="Comma 6 2 3 3 3 2 2" xfId="41872" xr:uid="{00000000-0005-0000-0000-0000F21A0000}"/>
    <cellStyle name="Comma 6 2 3 3 3 3" xfId="18491" xr:uid="{00000000-0005-0000-0000-0000F31A0000}"/>
    <cellStyle name="Comma 6 2 3 3 3 3 2" xfId="41873" xr:uid="{00000000-0005-0000-0000-0000F41A0000}"/>
    <cellStyle name="Comma 6 2 3 3 3 4" xfId="41871" xr:uid="{00000000-0005-0000-0000-0000F51A0000}"/>
    <cellStyle name="Comma 6 2 3 3 4" xfId="18492" xr:uid="{00000000-0005-0000-0000-0000F61A0000}"/>
    <cellStyle name="Comma 6 2 3 3 4 2" xfId="18493" xr:uid="{00000000-0005-0000-0000-0000F71A0000}"/>
    <cellStyle name="Comma 6 2 3 3 4 2 2" xfId="41875" xr:uid="{00000000-0005-0000-0000-0000F81A0000}"/>
    <cellStyle name="Comma 6 2 3 3 4 3" xfId="41874" xr:uid="{00000000-0005-0000-0000-0000F91A0000}"/>
    <cellStyle name="Comma 6 2 3 3 5" xfId="18494" xr:uid="{00000000-0005-0000-0000-0000FA1A0000}"/>
    <cellStyle name="Comma 6 2 3 3 5 2" xfId="41876" xr:uid="{00000000-0005-0000-0000-0000FB1A0000}"/>
    <cellStyle name="Comma 6 2 3 3 6" xfId="18495" xr:uid="{00000000-0005-0000-0000-0000FC1A0000}"/>
    <cellStyle name="Comma 6 2 3 3 6 2" xfId="41877" xr:uid="{00000000-0005-0000-0000-0000FD1A0000}"/>
    <cellStyle name="Comma 6 2 3 3 7" xfId="18496" xr:uid="{00000000-0005-0000-0000-0000FE1A0000}"/>
    <cellStyle name="Comma 6 2 3 3 7 2" xfId="41878" xr:uid="{00000000-0005-0000-0000-0000FF1A0000}"/>
    <cellStyle name="Comma 6 2 3 3 8" xfId="41233" xr:uid="{00000000-0005-0000-0000-0000001B0000}"/>
    <cellStyle name="Comma 6 2 3 4" xfId="17873" xr:uid="{00000000-0005-0000-0000-0000011B0000}"/>
    <cellStyle name="Comma 6 2 3 4 2" xfId="18497" xr:uid="{00000000-0005-0000-0000-0000021B0000}"/>
    <cellStyle name="Comma 6 2 3 4 2 2" xfId="18498" xr:uid="{00000000-0005-0000-0000-0000031B0000}"/>
    <cellStyle name="Comma 6 2 3 4 2 2 2" xfId="41880" xr:uid="{00000000-0005-0000-0000-0000041B0000}"/>
    <cellStyle name="Comma 6 2 3 4 2 3" xfId="18499" xr:uid="{00000000-0005-0000-0000-0000051B0000}"/>
    <cellStyle name="Comma 6 2 3 4 2 3 2" xfId="41881" xr:uid="{00000000-0005-0000-0000-0000061B0000}"/>
    <cellStyle name="Comma 6 2 3 4 2 4" xfId="41879" xr:uid="{00000000-0005-0000-0000-0000071B0000}"/>
    <cellStyle name="Comma 6 2 3 4 3" xfId="18500" xr:uid="{00000000-0005-0000-0000-0000081B0000}"/>
    <cellStyle name="Comma 6 2 3 4 3 2" xfId="18501" xr:uid="{00000000-0005-0000-0000-0000091B0000}"/>
    <cellStyle name="Comma 6 2 3 4 3 2 2" xfId="41883" xr:uid="{00000000-0005-0000-0000-00000A1B0000}"/>
    <cellStyle name="Comma 6 2 3 4 3 3" xfId="41882" xr:uid="{00000000-0005-0000-0000-00000B1B0000}"/>
    <cellStyle name="Comma 6 2 3 4 4" xfId="18502" xr:uid="{00000000-0005-0000-0000-00000C1B0000}"/>
    <cellStyle name="Comma 6 2 3 4 4 2" xfId="41884" xr:uid="{00000000-0005-0000-0000-00000D1B0000}"/>
    <cellStyle name="Comma 6 2 3 4 5" xfId="18503" xr:uid="{00000000-0005-0000-0000-00000E1B0000}"/>
    <cellStyle name="Comma 6 2 3 4 5 2" xfId="41885" xr:uid="{00000000-0005-0000-0000-00000F1B0000}"/>
    <cellStyle name="Comma 6 2 3 4 6" xfId="18504" xr:uid="{00000000-0005-0000-0000-0000101B0000}"/>
    <cellStyle name="Comma 6 2 3 4 6 2" xfId="41886" xr:uid="{00000000-0005-0000-0000-0000111B0000}"/>
    <cellStyle name="Comma 6 2 3 4 7" xfId="41333" xr:uid="{00000000-0005-0000-0000-0000121B0000}"/>
    <cellStyle name="Comma 6 2 3 5" xfId="18505" xr:uid="{00000000-0005-0000-0000-0000131B0000}"/>
    <cellStyle name="Comma 6 2 3 5 2" xfId="18506" xr:uid="{00000000-0005-0000-0000-0000141B0000}"/>
    <cellStyle name="Comma 6 2 3 5 2 2" xfId="41888" xr:uid="{00000000-0005-0000-0000-0000151B0000}"/>
    <cellStyle name="Comma 6 2 3 5 3" xfId="18507" xr:uid="{00000000-0005-0000-0000-0000161B0000}"/>
    <cellStyle name="Comma 6 2 3 5 3 2" xfId="41889" xr:uid="{00000000-0005-0000-0000-0000171B0000}"/>
    <cellStyle name="Comma 6 2 3 5 4" xfId="41887" xr:uid="{00000000-0005-0000-0000-0000181B0000}"/>
    <cellStyle name="Comma 6 2 3 6" xfId="18508" xr:uid="{00000000-0005-0000-0000-0000191B0000}"/>
    <cellStyle name="Comma 6 2 3 6 2" xfId="18509" xr:uid="{00000000-0005-0000-0000-00001A1B0000}"/>
    <cellStyle name="Comma 6 2 3 6 2 2" xfId="41891" xr:uid="{00000000-0005-0000-0000-00001B1B0000}"/>
    <cellStyle name="Comma 6 2 3 6 3" xfId="41890" xr:uid="{00000000-0005-0000-0000-00001C1B0000}"/>
    <cellStyle name="Comma 6 2 3 7" xfId="18510" xr:uid="{00000000-0005-0000-0000-00001D1B0000}"/>
    <cellStyle name="Comma 6 2 3 7 2" xfId="41892" xr:uid="{00000000-0005-0000-0000-00001E1B0000}"/>
    <cellStyle name="Comma 6 2 3 8" xfId="18511" xr:uid="{00000000-0005-0000-0000-00001F1B0000}"/>
    <cellStyle name="Comma 6 2 3 8 2" xfId="41893" xr:uid="{00000000-0005-0000-0000-0000201B0000}"/>
    <cellStyle name="Comma 6 2 3 9" xfId="18512" xr:uid="{00000000-0005-0000-0000-0000211B0000}"/>
    <cellStyle name="Comma 6 2 3 9 2" xfId="41894" xr:uid="{00000000-0005-0000-0000-0000221B0000}"/>
    <cellStyle name="Comma 6 2 4" xfId="17705" xr:uid="{00000000-0005-0000-0000-0000231B0000}"/>
    <cellStyle name="Comma 6 2 4 2" xfId="17895" xr:uid="{00000000-0005-0000-0000-0000241B0000}"/>
    <cellStyle name="Comma 6 2 4 2 2" xfId="18513" xr:uid="{00000000-0005-0000-0000-0000251B0000}"/>
    <cellStyle name="Comma 6 2 4 2 2 2" xfId="18514" xr:uid="{00000000-0005-0000-0000-0000261B0000}"/>
    <cellStyle name="Comma 6 2 4 2 2 2 2" xfId="41896" xr:uid="{00000000-0005-0000-0000-0000271B0000}"/>
    <cellStyle name="Comma 6 2 4 2 2 3" xfId="18515" xr:uid="{00000000-0005-0000-0000-0000281B0000}"/>
    <cellStyle name="Comma 6 2 4 2 2 3 2" xfId="41897" xr:uid="{00000000-0005-0000-0000-0000291B0000}"/>
    <cellStyle name="Comma 6 2 4 2 2 4" xfId="41895" xr:uid="{00000000-0005-0000-0000-00002A1B0000}"/>
    <cellStyle name="Comma 6 2 4 2 3" xfId="18516" xr:uid="{00000000-0005-0000-0000-00002B1B0000}"/>
    <cellStyle name="Comma 6 2 4 2 3 2" xfId="18517" xr:uid="{00000000-0005-0000-0000-00002C1B0000}"/>
    <cellStyle name="Comma 6 2 4 2 3 2 2" xfId="41899" xr:uid="{00000000-0005-0000-0000-00002D1B0000}"/>
    <cellStyle name="Comma 6 2 4 2 3 3" xfId="41898" xr:uid="{00000000-0005-0000-0000-00002E1B0000}"/>
    <cellStyle name="Comma 6 2 4 2 4" xfId="18518" xr:uid="{00000000-0005-0000-0000-00002F1B0000}"/>
    <cellStyle name="Comma 6 2 4 2 4 2" xfId="41900" xr:uid="{00000000-0005-0000-0000-0000301B0000}"/>
    <cellStyle name="Comma 6 2 4 2 5" xfId="18519" xr:uid="{00000000-0005-0000-0000-0000311B0000}"/>
    <cellStyle name="Comma 6 2 4 2 5 2" xfId="41901" xr:uid="{00000000-0005-0000-0000-0000321B0000}"/>
    <cellStyle name="Comma 6 2 4 2 6" xfId="18520" xr:uid="{00000000-0005-0000-0000-0000331B0000}"/>
    <cellStyle name="Comma 6 2 4 2 6 2" xfId="41902" xr:uid="{00000000-0005-0000-0000-0000341B0000}"/>
    <cellStyle name="Comma 6 2 4 2 7" xfId="41355" xr:uid="{00000000-0005-0000-0000-0000351B0000}"/>
    <cellStyle name="Comma 6 2 4 3" xfId="18521" xr:uid="{00000000-0005-0000-0000-0000361B0000}"/>
    <cellStyle name="Comma 6 2 4 3 2" xfId="18522" xr:uid="{00000000-0005-0000-0000-0000371B0000}"/>
    <cellStyle name="Comma 6 2 4 3 2 2" xfId="41904" xr:uid="{00000000-0005-0000-0000-0000381B0000}"/>
    <cellStyle name="Comma 6 2 4 3 3" xfId="18523" xr:uid="{00000000-0005-0000-0000-0000391B0000}"/>
    <cellStyle name="Comma 6 2 4 3 3 2" xfId="41905" xr:uid="{00000000-0005-0000-0000-00003A1B0000}"/>
    <cellStyle name="Comma 6 2 4 3 4" xfId="41903" xr:uid="{00000000-0005-0000-0000-00003B1B0000}"/>
    <cellStyle name="Comma 6 2 4 4" xfId="18524" xr:uid="{00000000-0005-0000-0000-00003C1B0000}"/>
    <cellStyle name="Comma 6 2 4 4 2" xfId="18525" xr:uid="{00000000-0005-0000-0000-00003D1B0000}"/>
    <cellStyle name="Comma 6 2 4 4 2 2" xfId="41907" xr:uid="{00000000-0005-0000-0000-00003E1B0000}"/>
    <cellStyle name="Comma 6 2 4 4 3" xfId="41906" xr:uid="{00000000-0005-0000-0000-00003F1B0000}"/>
    <cellStyle name="Comma 6 2 4 5" xfId="18526" xr:uid="{00000000-0005-0000-0000-0000401B0000}"/>
    <cellStyle name="Comma 6 2 4 5 2" xfId="41908" xr:uid="{00000000-0005-0000-0000-0000411B0000}"/>
    <cellStyle name="Comma 6 2 4 6" xfId="18527" xr:uid="{00000000-0005-0000-0000-0000421B0000}"/>
    <cellStyle name="Comma 6 2 4 6 2" xfId="41909" xr:uid="{00000000-0005-0000-0000-0000431B0000}"/>
    <cellStyle name="Comma 6 2 4 7" xfId="18528" xr:uid="{00000000-0005-0000-0000-0000441B0000}"/>
    <cellStyle name="Comma 6 2 4 7 2" xfId="41910" xr:uid="{00000000-0005-0000-0000-0000451B0000}"/>
    <cellStyle name="Comma 6 2 4 8" xfId="41165" xr:uid="{00000000-0005-0000-0000-0000461B0000}"/>
    <cellStyle name="Comma 6 2 5" xfId="17726" xr:uid="{00000000-0005-0000-0000-0000471B0000}"/>
    <cellStyle name="Comma 6 2 5 2" xfId="17958" xr:uid="{00000000-0005-0000-0000-0000481B0000}"/>
    <cellStyle name="Comma 6 2 5 2 2" xfId="18529" xr:uid="{00000000-0005-0000-0000-0000491B0000}"/>
    <cellStyle name="Comma 6 2 5 2 2 2" xfId="18530" xr:uid="{00000000-0005-0000-0000-00004A1B0000}"/>
    <cellStyle name="Comma 6 2 5 2 2 2 2" xfId="41912" xr:uid="{00000000-0005-0000-0000-00004B1B0000}"/>
    <cellStyle name="Comma 6 2 5 2 2 3" xfId="18531" xr:uid="{00000000-0005-0000-0000-00004C1B0000}"/>
    <cellStyle name="Comma 6 2 5 2 2 3 2" xfId="41913" xr:uid="{00000000-0005-0000-0000-00004D1B0000}"/>
    <cellStyle name="Comma 6 2 5 2 2 4" xfId="41911" xr:uid="{00000000-0005-0000-0000-00004E1B0000}"/>
    <cellStyle name="Comma 6 2 5 2 3" xfId="18532" xr:uid="{00000000-0005-0000-0000-00004F1B0000}"/>
    <cellStyle name="Comma 6 2 5 2 3 2" xfId="18533" xr:uid="{00000000-0005-0000-0000-0000501B0000}"/>
    <cellStyle name="Comma 6 2 5 2 3 2 2" xfId="41915" xr:uid="{00000000-0005-0000-0000-0000511B0000}"/>
    <cellStyle name="Comma 6 2 5 2 3 3" xfId="41914" xr:uid="{00000000-0005-0000-0000-0000521B0000}"/>
    <cellStyle name="Comma 6 2 5 2 4" xfId="18534" xr:uid="{00000000-0005-0000-0000-0000531B0000}"/>
    <cellStyle name="Comma 6 2 5 2 4 2" xfId="41916" xr:uid="{00000000-0005-0000-0000-0000541B0000}"/>
    <cellStyle name="Comma 6 2 5 2 5" xfId="18535" xr:uid="{00000000-0005-0000-0000-0000551B0000}"/>
    <cellStyle name="Comma 6 2 5 2 5 2" xfId="41917" xr:uid="{00000000-0005-0000-0000-0000561B0000}"/>
    <cellStyle name="Comma 6 2 5 2 6" xfId="18536" xr:uid="{00000000-0005-0000-0000-0000571B0000}"/>
    <cellStyle name="Comma 6 2 5 2 6 2" xfId="41918" xr:uid="{00000000-0005-0000-0000-0000581B0000}"/>
    <cellStyle name="Comma 6 2 5 2 7" xfId="41418" xr:uid="{00000000-0005-0000-0000-0000591B0000}"/>
    <cellStyle name="Comma 6 2 5 3" xfId="18537" xr:uid="{00000000-0005-0000-0000-00005A1B0000}"/>
    <cellStyle name="Comma 6 2 5 3 2" xfId="18538" xr:uid="{00000000-0005-0000-0000-00005B1B0000}"/>
    <cellStyle name="Comma 6 2 5 3 2 2" xfId="41920" xr:uid="{00000000-0005-0000-0000-00005C1B0000}"/>
    <cellStyle name="Comma 6 2 5 3 3" xfId="18539" xr:uid="{00000000-0005-0000-0000-00005D1B0000}"/>
    <cellStyle name="Comma 6 2 5 3 3 2" xfId="41921" xr:uid="{00000000-0005-0000-0000-00005E1B0000}"/>
    <cellStyle name="Comma 6 2 5 3 4" xfId="41919" xr:uid="{00000000-0005-0000-0000-00005F1B0000}"/>
    <cellStyle name="Comma 6 2 5 4" xfId="18540" xr:uid="{00000000-0005-0000-0000-0000601B0000}"/>
    <cellStyle name="Comma 6 2 5 4 2" xfId="18541" xr:uid="{00000000-0005-0000-0000-0000611B0000}"/>
    <cellStyle name="Comma 6 2 5 4 2 2" xfId="41923" xr:uid="{00000000-0005-0000-0000-0000621B0000}"/>
    <cellStyle name="Comma 6 2 5 4 3" xfId="41922" xr:uid="{00000000-0005-0000-0000-0000631B0000}"/>
    <cellStyle name="Comma 6 2 5 5" xfId="18542" xr:uid="{00000000-0005-0000-0000-0000641B0000}"/>
    <cellStyle name="Comma 6 2 5 5 2" xfId="41924" xr:uid="{00000000-0005-0000-0000-0000651B0000}"/>
    <cellStyle name="Comma 6 2 5 6" xfId="18543" xr:uid="{00000000-0005-0000-0000-0000661B0000}"/>
    <cellStyle name="Comma 6 2 5 6 2" xfId="41925" xr:uid="{00000000-0005-0000-0000-0000671B0000}"/>
    <cellStyle name="Comma 6 2 5 7" xfId="18544" xr:uid="{00000000-0005-0000-0000-0000681B0000}"/>
    <cellStyle name="Comma 6 2 5 7 2" xfId="41926" xr:uid="{00000000-0005-0000-0000-0000691B0000}"/>
    <cellStyle name="Comma 6 2 5 8" xfId="41186" xr:uid="{00000000-0005-0000-0000-00006A1B0000}"/>
    <cellStyle name="Comma 6 2 6" xfId="17818" xr:uid="{00000000-0005-0000-0000-00006B1B0000}"/>
    <cellStyle name="Comma 6 2 6 2" xfId="18545" xr:uid="{00000000-0005-0000-0000-00006C1B0000}"/>
    <cellStyle name="Comma 6 2 6 2 2" xfId="18546" xr:uid="{00000000-0005-0000-0000-00006D1B0000}"/>
    <cellStyle name="Comma 6 2 6 2 2 2" xfId="41928" xr:uid="{00000000-0005-0000-0000-00006E1B0000}"/>
    <cellStyle name="Comma 6 2 6 2 3" xfId="18547" xr:uid="{00000000-0005-0000-0000-00006F1B0000}"/>
    <cellStyle name="Comma 6 2 6 2 3 2" xfId="41929" xr:uid="{00000000-0005-0000-0000-0000701B0000}"/>
    <cellStyle name="Comma 6 2 6 2 4" xfId="41927" xr:uid="{00000000-0005-0000-0000-0000711B0000}"/>
    <cellStyle name="Comma 6 2 6 3" xfId="18548" xr:uid="{00000000-0005-0000-0000-0000721B0000}"/>
    <cellStyle name="Comma 6 2 6 3 2" xfId="18549" xr:uid="{00000000-0005-0000-0000-0000731B0000}"/>
    <cellStyle name="Comma 6 2 6 3 2 2" xfId="41931" xr:uid="{00000000-0005-0000-0000-0000741B0000}"/>
    <cellStyle name="Comma 6 2 6 3 3" xfId="41930" xr:uid="{00000000-0005-0000-0000-0000751B0000}"/>
    <cellStyle name="Comma 6 2 6 4" xfId="18550" xr:uid="{00000000-0005-0000-0000-0000761B0000}"/>
    <cellStyle name="Comma 6 2 6 4 2" xfId="41932" xr:uid="{00000000-0005-0000-0000-0000771B0000}"/>
    <cellStyle name="Comma 6 2 6 5" xfId="18551" xr:uid="{00000000-0005-0000-0000-0000781B0000}"/>
    <cellStyle name="Comma 6 2 6 5 2" xfId="41933" xr:uid="{00000000-0005-0000-0000-0000791B0000}"/>
    <cellStyle name="Comma 6 2 6 6" xfId="18552" xr:uid="{00000000-0005-0000-0000-00007A1B0000}"/>
    <cellStyle name="Comma 6 2 6 6 2" xfId="41934" xr:uid="{00000000-0005-0000-0000-00007B1B0000}"/>
    <cellStyle name="Comma 6 2 6 7" xfId="41278" xr:uid="{00000000-0005-0000-0000-00007C1B0000}"/>
    <cellStyle name="Comma 6 2 7" xfId="18553" xr:uid="{00000000-0005-0000-0000-00007D1B0000}"/>
    <cellStyle name="Comma 6 2 7 2" xfId="18554" xr:uid="{00000000-0005-0000-0000-00007E1B0000}"/>
    <cellStyle name="Comma 6 2 7 2 2" xfId="41936" xr:uid="{00000000-0005-0000-0000-00007F1B0000}"/>
    <cellStyle name="Comma 6 2 7 3" xfId="18555" xr:uid="{00000000-0005-0000-0000-0000801B0000}"/>
    <cellStyle name="Comma 6 2 7 3 2" xfId="41937" xr:uid="{00000000-0005-0000-0000-0000811B0000}"/>
    <cellStyle name="Comma 6 2 7 4" xfId="41935" xr:uid="{00000000-0005-0000-0000-0000821B0000}"/>
    <cellStyle name="Comma 6 2 8" xfId="18556" xr:uid="{00000000-0005-0000-0000-0000831B0000}"/>
    <cellStyle name="Comma 6 2 8 2" xfId="18557" xr:uid="{00000000-0005-0000-0000-0000841B0000}"/>
    <cellStyle name="Comma 6 2 8 2 2" xfId="41939" xr:uid="{00000000-0005-0000-0000-0000851B0000}"/>
    <cellStyle name="Comma 6 2 8 3" xfId="41938" xr:uid="{00000000-0005-0000-0000-0000861B0000}"/>
    <cellStyle name="Comma 6 2 9" xfId="18558" xr:uid="{00000000-0005-0000-0000-0000871B0000}"/>
    <cellStyle name="Comma 6 2 9 2" xfId="41940" xr:uid="{00000000-0005-0000-0000-0000881B0000}"/>
    <cellStyle name="Comma 6 3" xfId="50" xr:uid="{00000000-0005-0000-0000-0000891B0000}"/>
    <cellStyle name="Comma 6 3 10" xfId="23638" xr:uid="{00000000-0005-0000-0000-00008A1B0000}"/>
    <cellStyle name="Comma 6 3 2" xfId="3189" xr:uid="{00000000-0005-0000-0000-00008B1B0000}"/>
    <cellStyle name="Comma 6 3 2 2" xfId="17904" xr:uid="{00000000-0005-0000-0000-00008C1B0000}"/>
    <cellStyle name="Comma 6 3 2 2 2" xfId="18559" xr:uid="{00000000-0005-0000-0000-00008D1B0000}"/>
    <cellStyle name="Comma 6 3 2 2 2 2" xfId="18560" xr:uid="{00000000-0005-0000-0000-00008E1B0000}"/>
    <cellStyle name="Comma 6 3 2 2 2 2 2" xfId="41942" xr:uid="{00000000-0005-0000-0000-00008F1B0000}"/>
    <cellStyle name="Comma 6 3 2 2 2 3" xfId="18561" xr:uid="{00000000-0005-0000-0000-0000901B0000}"/>
    <cellStyle name="Comma 6 3 2 2 2 3 2" xfId="41943" xr:uid="{00000000-0005-0000-0000-0000911B0000}"/>
    <cellStyle name="Comma 6 3 2 2 2 4" xfId="41941" xr:uid="{00000000-0005-0000-0000-0000921B0000}"/>
    <cellStyle name="Comma 6 3 2 2 3" xfId="18562" xr:uid="{00000000-0005-0000-0000-0000931B0000}"/>
    <cellStyle name="Comma 6 3 2 2 3 2" xfId="18563" xr:uid="{00000000-0005-0000-0000-0000941B0000}"/>
    <cellStyle name="Comma 6 3 2 2 3 2 2" xfId="41945" xr:uid="{00000000-0005-0000-0000-0000951B0000}"/>
    <cellStyle name="Comma 6 3 2 2 3 3" xfId="41944" xr:uid="{00000000-0005-0000-0000-0000961B0000}"/>
    <cellStyle name="Comma 6 3 2 2 4" xfId="18564" xr:uid="{00000000-0005-0000-0000-0000971B0000}"/>
    <cellStyle name="Comma 6 3 2 2 4 2" xfId="41946" xr:uid="{00000000-0005-0000-0000-0000981B0000}"/>
    <cellStyle name="Comma 6 3 2 2 5" xfId="18565" xr:uid="{00000000-0005-0000-0000-0000991B0000}"/>
    <cellStyle name="Comma 6 3 2 2 5 2" xfId="41947" xr:uid="{00000000-0005-0000-0000-00009A1B0000}"/>
    <cellStyle name="Comma 6 3 2 2 6" xfId="18566" xr:uid="{00000000-0005-0000-0000-00009B1B0000}"/>
    <cellStyle name="Comma 6 3 2 2 6 2" xfId="41948" xr:uid="{00000000-0005-0000-0000-00009C1B0000}"/>
    <cellStyle name="Comma 6 3 2 2 7" xfId="41364" xr:uid="{00000000-0005-0000-0000-00009D1B0000}"/>
    <cellStyle name="Comma 6 3 2 3" xfId="18567" xr:uid="{00000000-0005-0000-0000-00009E1B0000}"/>
    <cellStyle name="Comma 6 3 2 3 2" xfId="18568" xr:uid="{00000000-0005-0000-0000-00009F1B0000}"/>
    <cellStyle name="Comma 6 3 2 3 2 2" xfId="41950" xr:uid="{00000000-0005-0000-0000-0000A01B0000}"/>
    <cellStyle name="Comma 6 3 2 3 3" xfId="18569" xr:uid="{00000000-0005-0000-0000-0000A11B0000}"/>
    <cellStyle name="Comma 6 3 2 3 3 2" xfId="41951" xr:uid="{00000000-0005-0000-0000-0000A21B0000}"/>
    <cellStyle name="Comma 6 3 2 3 4" xfId="41949" xr:uid="{00000000-0005-0000-0000-0000A31B0000}"/>
    <cellStyle name="Comma 6 3 2 4" xfId="18570" xr:uid="{00000000-0005-0000-0000-0000A41B0000}"/>
    <cellStyle name="Comma 6 3 2 4 2" xfId="18571" xr:uid="{00000000-0005-0000-0000-0000A51B0000}"/>
    <cellStyle name="Comma 6 3 2 4 2 2" xfId="41953" xr:uid="{00000000-0005-0000-0000-0000A61B0000}"/>
    <cellStyle name="Comma 6 3 2 4 3" xfId="41952" xr:uid="{00000000-0005-0000-0000-0000A71B0000}"/>
    <cellStyle name="Comma 6 3 2 5" xfId="18572" xr:uid="{00000000-0005-0000-0000-0000A81B0000}"/>
    <cellStyle name="Comma 6 3 2 5 2" xfId="41954" xr:uid="{00000000-0005-0000-0000-0000A91B0000}"/>
    <cellStyle name="Comma 6 3 2 6" xfId="18573" xr:uid="{00000000-0005-0000-0000-0000AA1B0000}"/>
    <cellStyle name="Comma 6 3 2 6 2" xfId="41955" xr:uid="{00000000-0005-0000-0000-0000AB1B0000}"/>
    <cellStyle name="Comma 6 3 2 7" xfId="18574" xr:uid="{00000000-0005-0000-0000-0000AC1B0000}"/>
    <cellStyle name="Comma 6 3 2 7 2" xfId="41956" xr:uid="{00000000-0005-0000-0000-0000AD1B0000}"/>
    <cellStyle name="Comma 6 3 2 8" xfId="26712" xr:uid="{00000000-0005-0000-0000-0000AE1B0000}"/>
    <cellStyle name="Comma 6 3 3" xfId="17747" xr:uid="{00000000-0005-0000-0000-0000AF1B0000}"/>
    <cellStyle name="Comma 6 3 3 2" xfId="17980" xr:uid="{00000000-0005-0000-0000-0000B01B0000}"/>
    <cellStyle name="Comma 6 3 3 2 2" xfId="18575" xr:uid="{00000000-0005-0000-0000-0000B11B0000}"/>
    <cellStyle name="Comma 6 3 3 2 2 2" xfId="18576" xr:uid="{00000000-0005-0000-0000-0000B21B0000}"/>
    <cellStyle name="Comma 6 3 3 2 2 2 2" xfId="41958" xr:uid="{00000000-0005-0000-0000-0000B31B0000}"/>
    <cellStyle name="Comma 6 3 3 2 2 3" xfId="18577" xr:uid="{00000000-0005-0000-0000-0000B41B0000}"/>
    <cellStyle name="Comma 6 3 3 2 2 3 2" xfId="41959" xr:uid="{00000000-0005-0000-0000-0000B51B0000}"/>
    <cellStyle name="Comma 6 3 3 2 2 4" xfId="41957" xr:uid="{00000000-0005-0000-0000-0000B61B0000}"/>
    <cellStyle name="Comma 6 3 3 2 3" xfId="18578" xr:uid="{00000000-0005-0000-0000-0000B71B0000}"/>
    <cellStyle name="Comma 6 3 3 2 3 2" xfId="18579" xr:uid="{00000000-0005-0000-0000-0000B81B0000}"/>
    <cellStyle name="Comma 6 3 3 2 3 2 2" xfId="41961" xr:uid="{00000000-0005-0000-0000-0000B91B0000}"/>
    <cellStyle name="Comma 6 3 3 2 3 3" xfId="41960" xr:uid="{00000000-0005-0000-0000-0000BA1B0000}"/>
    <cellStyle name="Comma 6 3 3 2 4" xfId="18580" xr:uid="{00000000-0005-0000-0000-0000BB1B0000}"/>
    <cellStyle name="Comma 6 3 3 2 4 2" xfId="41962" xr:uid="{00000000-0005-0000-0000-0000BC1B0000}"/>
    <cellStyle name="Comma 6 3 3 2 5" xfId="18581" xr:uid="{00000000-0005-0000-0000-0000BD1B0000}"/>
    <cellStyle name="Comma 6 3 3 2 5 2" xfId="41963" xr:uid="{00000000-0005-0000-0000-0000BE1B0000}"/>
    <cellStyle name="Comma 6 3 3 2 6" xfId="18582" xr:uid="{00000000-0005-0000-0000-0000BF1B0000}"/>
    <cellStyle name="Comma 6 3 3 2 6 2" xfId="41964" xr:uid="{00000000-0005-0000-0000-0000C01B0000}"/>
    <cellStyle name="Comma 6 3 3 2 7" xfId="41440" xr:uid="{00000000-0005-0000-0000-0000C11B0000}"/>
    <cellStyle name="Comma 6 3 3 3" xfId="18583" xr:uid="{00000000-0005-0000-0000-0000C21B0000}"/>
    <cellStyle name="Comma 6 3 3 3 2" xfId="18584" xr:uid="{00000000-0005-0000-0000-0000C31B0000}"/>
    <cellStyle name="Comma 6 3 3 3 2 2" xfId="41966" xr:uid="{00000000-0005-0000-0000-0000C41B0000}"/>
    <cellStyle name="Comma 6 3 3 3 3" xfId="18585" xr:uid="{00000000-0005-0000-0000-0000C51B0000}"/>
    <cellStyle name="Comma 6 3 3 3 3 2" xfId="41967" xr:uid="{00000000-0005-0000-0000-0000C61B0000}"/>
    <cellStyle name="Comma 6 3 3 3 4" xfId="41965" xr:uid="{00000000-0005-0000-0000-0000C71B0000}"/>
    <cellStyle name="Comma 6 3 3 4" xfId="18586" xr:uid="{00000000-0005-0000-0000-0000C81B0000}"/>
    <cellStyle name="Comma 6 3 3 4 2" xfId="18587" xr:uid="{00000000-0005-0000-0000-0000C91B0000}"/>
    <cellStyle name="Comma 6 3 3 4 2 2" xfId="41969" xr:uid="{00000000-0005-0000-0000-0000CA1B0000}"/>
    <cellStyle name="Comma 6 3 3 4 3" xfId="41968" xr:uid="{00000000-0005-0000-0000-0000CB1B0000}"/>
    <cellStyle name="Comma 6 3 3 5" xfId="18588" xr:uid="{00000000-0005-0000-0000-0000CC1B0000}"/>
    <cellStyle name="Comma 6 3 3 5 2" xfId="41970" xr:uid="{00000000-0005-0000-0000-0000CD1B0000}"/>
    <cellStyle name="Comma 6 3 3 6" xfId="18589" xr:uid="{00000000-0005-0000-0000-0000CE1B0000}"/>
    <cellStyle name="Comma 6 3 3 6 2" xfId="41971" xr:uid="{00000000-0005-0000-0000-0000CF1B0000}"/>
    <cellStyle name="Comma 6 3 3 7" xfId="18590" xr:uid="{00000000-0005-0000-0000-0000D01B0000}"/>
    <cellStyle name="Comma 6 3 3 7 2" xfId="41972" xr:uid="{00000000-0005-0000-0000-0000D11B0000}"/>
    <cellStyle name="Comma 6 3 3 8" xfId="41207" xr:uid="{00000000-0005-0000-0000-0000D21B0000}"/>
    <cellStyle name="Comma 6 3 4" xfId="17828" xr:uid="{00000000-0005-0000-0000-0000D31B0000}"/>
    <cellStyle name="Comma 6 3 4 2" xfId="18591" xr:uid="{00000000-0005-0000-0000-0000D41B0000}"/>
    <cellStyle name="Comma 6 3 4 2 2" xfId="18592" xr:uid="{00000000-0005-0000-0000-0000D51B0000}"/>
    <cellStyle name="Comma 6 3 4 2 2 2" xfId="41974" xr:uid="{00000000-0005-0000-0000-0000D61B0000}"/>
    <cellStyle name="Comma 6 3 4 2 3" xfId="18593" xr:uid="{00000000-0005-0000-0000-0000D71B0000}"/>
    <cellStyle name="Comma 6 3 4 2 3 2" xfId="41975" xr:uid="{00000000-0005-0000-0000-0000D81B0000}"/>
    <cellStyle name="Comma 6 3 4 2 4" xfId="41973" xr:uid="{00000000-0005-0000-0000-0000D91B0000}"/>
    <cellStyle name="Comma 6 3 4 3" xfId="18594" xr:uid="{00000000-0005-0000-0000-0000DA1B0000}"/>
    <cellStyle name="Comma 6 3 4 3 2" xfId="18595" xr:uid="{00000000-0005-0000-0000-0000DB1B0000}"/>
    <cellStyle name="Comma 6 3 4 3 2 2" xfId="41977" xr:uid="{00000000-0005-0000-0000-0000DC1B0000}"/>
    <cellStyle name="Comma 6 3 4 3 3" xfId="41976" xr:uid="{00000000-0005-0000-0000-0000DD1B0000}"/>
    <cellStyle name="Comma 6 3 4 4" xfId="18596" xr:uid="{00000000-0005-0000-0000-0000DE1B0000}"/>
    <cellStyle name="Comma 6 3 4 4 2" xfId="41978" xr:uid="{00000000-0005-0000-0000-0000DF1B0000}"/>
    <cellStyle name="Comma 6 3 4 5" xfId="18597" xr:uid="{00000000-0005-0000-0000-0000E01B0000}"/>
    <cellStyle name="Comma 6 3 4 5 2" xfId="41979" xr:uid="{00000000-0005-0000-0000-0000E11B0000}"/>
    <cellStyle name="Comma 6 3 4 6" xfId="18598" xr:uid="{00000000-0005-0000-0000-0000E21B0000}"/>
    <cellStyle name="Comma 6 3 4 6 2" xfId="41980" xr:uid="{00000000-0005-0000-0000-0000E31B0000}"/>
    <cellStyle name="Comma 6 3 4 7" xfId="41288" xr:uid="{00000000-0005-0000-0000-0000E41B0000}"/>
    <cellStyle name="Comma 6 3 5" xfId="18599" xr:uid="{00000000-0005-0000-0000-0000E51B0000}"/>
    <cellStyle name="Comma 6 3 5 2" xfId="18600" xr:uid="{00000000-0005-0000-0000-0000E61B0000}"/>
    <cellStyle name="Comma 6 3 5 2 2" xfId="41982" xr:uid="{00000000-0005-0000-0000-0000E71B0000}"/>
    <cellStyle name="Comma 6 3 5 3" xfId="18601" xr:uid="{00000000-0005-0000-0000-0000E81B0000}"/>
    <cellStyle name="Comma 6 3 5 3 2" xfId="41983" xr:uid="{00000000-0005-0000-0000-0000E91B0000}"/>
    <cellStyle name="Comma 6 3 5 4" xfId="41981" xr:uid="{00000000-0005-0000-0000-0000EA1B0000}"/>
    <cellStyle name="Comma 6 3 6" xfId="18602" xr:uid="{00000000-0005-0000-0000-0000EB1B0000}"/>
    <cellStyle name="Comma 6 3 6 2" xfId="18603" xr:uid="{00000000-0005-0000-0000-0000EC1B0000}"/>
    <cellStyle name="Comma 6 3 6 2 2" xfId="41985" xr:uid="{00000000-0005-0000-0000-0000ED1B0000}"/>
    <cellStyle name="Comma 6 3 6 3" xfId="41984" xr:uid="{00000000-0005-0000-0000-0000EE1B0000}"/>
    <cellStyle name="Comma 6 3 7" xfId="18604" xr:uid="{00000000-0005-0000-0000-0000EF1B0000}"/>
    <cellStyle name="Comma 6 3 7 2" xfId="41986" xr:uid="{00000000-0005-0000-0000-0000F01B0000}"/>
    <cellStyle name="Comma 6 3 8" xfId="18605" xr:uid="{00000000-0005-0000-0000-0000F11B0000}"/>
    <cellStyle name="Comma 6 3 8 2" xfId="41987" xr:uid="{00000000-0005-0000-0000-0000F21B0000}"/>
    <cellStyle name="Comma 6 3 9" xfId="18606" xr:uid="{00000000-0005-0000-0000-0000F31B0000}"/>
    <cellStyle name="Comma 6 3 9 2" xfId="41988" xr:uid="{00000000-0005-0000-0000-0000F41B0000}"/>
    <cellStyle name="Comma 6 4" xfId="3190" xr:uid="{00000000-0005-0000-0000-0000F51B0000}"/>
    <cellStyle name="Comma 6 4 10" xfId="26713" xr:uid="{00000000-0005-0000-0000-0000F61B0000}"/>
    <cellStyle name="Comma 6 4 2" xfId="3191" xr:uid="{00000000-0005-0000-0000-0000F71B0000}"/>
    <cellStyle name="Comma 6 4 2 2" xfId="17932" xr:uid="{00000000-0005-0000-0000-0000F81B0000}"/>
    <cellStyle name="Comma 6 4 2 2 2" xfId="18607" xr:uid="{00000000-0005-0000-0000-0000F91B0000}"/>
    <cellStyle name="Comma 6 4 2 2 2 2" xfId="18608" xr:uid="{00000000-0005-0000-0000-0000FA1B0000}"/>
    <cellStyle name="Comma 6 4 2 2 2 2 2" xfId="41990" xr:uid="{00000000-0005-0000-0000-0000FB1B0000}"/>
    <cellStyle name="Comma 6 4 2 2 2 3" xfId="18609" xr:uid="{00000000-0005-0000-0000-0000FC1B0000}"/>
    <cellStyle name="Comma 6 4 2 2 2 3 2" xfId="41991" xr:uid="{00000000-0005-0000-0000-0000FD1B0000}"/>
    <cellStyle name="Comma 6 4 2 2 2 4" xfId="41989" xr:uid="{00000000-0005-0000-0000-0000FE1B0000}"/>
    <cellStyle name="Comma 6 4 2 2 3" xfId="18610" xr:uid="{00000000-0005-0000-0000-0000FF1B0000}"/>
    <cellStyle name="Comma 6 4 2 2 3 2" xfId="18611" xr:uid="{00000000-0005-0000-0000-0000001C0000}"/>
    <cellStyle name="Comma 6 4 2 2 3 2 2" xfId="41993" xr:uid="{00000000-0005-0000-0000-0000011C0000}"/>
    <cellStyle name="Comma 6 4 2 2 3 3" xfId="41992" xr:uid="{00000000-0005-0000-0000-0000021C0000}"/>
    <cellStyle name="Comma 6 4 2 2 4" xfId="18612" xr:uid="{00000000-0005-0000-0000-0000031C0000}"/>
    <cellStyle name="Comma 6 4 2 2 4 2" xfId="41994" xr:uid="{00000000-0005-0000-0000-0000041C0000}"/>
    <cellStyle name="Comma 6 4 2 2 5" xfId="18613" xr:uid="{00000000-0005-0000-0000-0000051C0000}"/>
    <cellStyle name="Comma 6 4 2 2 5 2" xfId="41995" xr:uid="{00000000-0005-0000-0000-0000061C0000}"/>
    <cellStyle name="Comma 6 4 2 2 6" xfId="18614" xr:uid="{00000000-0005-0000-0000-0000071C0000}"/>
    <cellStyle name="Comma 6 4 2 2 6 2" xfId="41996" xr:uid="{00000000-0005-0000-0000-0000081C0000}"/>
    <cellStyle name="Comma 6 4 2 2 7" xfId="41392" xr:uid="{00000000-0005-0000-0000-0000091C0000}"/>
    <cellStyle name="Comma 6 4 2 3" xfId="18615" xr:uid="{00000000-0005-0000-0000-00000A1C0000}"/>
    <cellStyle name="Comma 6 4 2 3 2" xfId="18616" xr:uid="{00000000-0005-0000-0000-00000B1C0000}"/>
    <cellStyle name="Comma 6 4 2 3 2 2" xfId="41998" xr:uid="{00000000-0005-0000-0000-00000C1C0000}"/>
    <cellStyle name="Comma 6 4 2 3 3" xfId="18617" xr:uid="{00000000-0005-0000-0000-00000D1C0000}"/>
    <cellStyle name="Comma 6 4 2 3 3 2" xfId="41999" xr:uid="{00000000-0005-0000-0000-00000E1C0000}"/>
    <cellStyle name="Comma 6 4 2 3 4" xfId="41997" xr:uid="{00000000-0005-0000-0000-00000F1C0000}"/>
    <cellStyle name="Comma 6 4 2 4" xfId="18618" xr:uid="{00000000-0005-0000-0000-0000101C0000}"/>
    <cellStyle name="Comma 6 4 2 4 2" xfId="18619" xr:uid="{00000000-0005-0000-0000-0000111C0000}"/>
    <cellStyle name="Comma 6 4 2 4 2 2" xfId="42001" xr:uid="{00000000-0005-0000-0000-0000121C0000}"/>
    <cellStyle name="Comma 6 4 2 4 3" xfId="42000" xr:uid="{00000000-0005-0000-0000-0000131C0000}"/>
    <cellStyle name="Comma 6 4 2 5" xfId="18620" xr:uid="{00000000-0005-0000-0000-0000141C0000}"/>
    <cellStyle name="Comma 6 4 2 5 2" xfId="42002" xr:uid="{00000000-0005-0000-0000-0000151C0000}"/>
    <cellStyle name="Comma 6 4 2 6" xfId="18621" xr:uid="{00000000-0005-0000-0000-0000161C0000}"/>
    <cellStyle name="Comma 6 4 2 6 2" xfId="42003" xr:uid="{00000000-0005-0000-0000-0000171C0000}"/>
    <cellStyle name="Comma 6 4 2 7" xfId="18622" xr:uid="{00000000-0005-0000-0000-0000181C0000}"/>
    <cellStyle name="Comma 6 4 2 7 2" xfId="42004" xr:uid="{00000000-0005-0000-0000-0000191C0000}"/>
    <cellStyle name="Comma 6 4 2 8" xfId="26714" xr:uid="{00000000-0005-0000-0000-00001A1C0000}"/>
    <cellStyle name="Comma 6 4 3" xfId="17774" xr:uid="{00000000-0005-0000-0000-00001B1C0000}"/>
    <cellStyle name="Comma 6 4 3 2" xfId="18009" xr:uid="{00000000-0005-0000-0000-00001C1C0000}"/>
    <cellStyle name="Comma 6 4 3 2 2" xfId="18623" xr:uid="{00000000-0005-0000-0000-00001D1C0000}"/>
    <cellStyle name="Comma 6 4 3 2 2 2" xfId="18624" xr:uid="{00000000-0005-0000-0000-00001E1C0000}"/>
    <cellStyle name="Comma 6 4 3 2 2 2 2" xfId="42006" xr:uid="{00000000-0005-0000-0000-00001F1C0000}"/>
    <cellStyle name="Comma 6 4 3 2 2 3" xfId="18625" xr:uid="{00000000-0005-0000-0000-0000201C0000}"/>
    <cellStyle name="Comma 6 4 3 2 2 3 2" xfId="42007" xr:uid="{00000000-0005-0000-0000-0000211C0000}"/>
    <cellStyle name="Comma 6 4 3 2 2 4" xfId="42005" xr:uid="{00000000-0005-0000-0000-0000221C0000}"/>
    <cellStyle name="Comma 6 4 3 2 3" xfId="18626" xr:uid="{00000000-0005-0000-0000-0000231C0000}"/>
    <cellStyle name="Comma 6 4 3 2 3 2" xfId="18627" xr:uid="{00000000-0005-0000-0000-0000241C0000}"/>
    <cellStyle name="Comma 6 4 3 2 3 2 2" xfId="42009" xr:uid="{00000000-0005-0000-0000-0000251C0000}"/>
    <cellStyle name="Comma 6 4 3 2 3 3" xfId="42008" xr:uid="{00000000-0005-0000-0000-0000261C0000}"/>
    <cellStyle name="Comma 6 4 3 2 4" xfId="18628" xr:uid="{00000000-0005-0000-0000-0000271C0000}"/>
    <cellStyle name="Comma 6 4 3 2 4 2" xfId="42010" xr:uid="{00000000-0005-0000-0000-0000281C0000}"/>
    <cellStyle name="Comma 6 4 3 2 5" xfId="18629" xr:uid="{00000000-0005-0000-0000-0000291C0000}"/>
    <cellStyle name="Comma 6 4 3 2 5 2" xfId="42011" xr:uid="{00000000-0005-0000-0000-00002A1C0000}"/>
    <cellStyle name="Comma 6 4 3 2 6" xfId="18630" xr:uid="{00000000-0005-0000-0000-00002B1C0000}"/>
    <cellStyle name="Comma 6 4 3 2 6 2" xfId="42012" xr:uid="{00000000-0005-0000-0000-00002C1C0000}"/>
    <cellStyle name="Comma 6 4 3 2 7" xfId="41469" xr:uid="{00000000-0005-0000-0000-00002D1C0000}"/>
    <cellStyle name="Comma 6 4 3 3" xfId="18631" xr:uid="{00000000-0005-0000-0000-00002E1C0000}"/>
    <cellStyle name="Comma 6 4 3 3 2" xfId="18632" xr:uid="{00000000-0005-0000-0000-00002F1C0000}"/>
    <cellStyle name="Comma 6 4 3 3 2 2" xfId="42014" xr:uid="{00000000-0005-0000-0000-0000301C0000}"/>
    <cellStyle name="Comma 6 4 3 3 3" xfId="18633" xr:uid="{00000000-0005-0000-0000-0000311C0000}"/>
    <cellStyle name="Comma 6 4 3 3 3 2" xfId="42015" xr:uid="{00000000-0005-0000-0000-0000321C0000}"/>
    <cellStyle name="Comma 6 4 3 3 4" xfId="42013" xr:uid="{00000000-0005-0000-0000-0000331C0000}"/>
    <cellStyle name="Comma 6 4 3 4" xfId="18634" xr:uid="{00000000-0005-0000-0000-0000341C0000}"/>
    <cellStyle name="Comma 6 4 3 4 2" xfId="18635" xr:uid="{00000000-0005-0000-0000-0000351C0000}"/>
    <cellStyle name="Comma 6 4 3 4 2 2" xfId="42017" xr:uid="{00000000-0005-0000-0000-0000361C0000}"/>
    <cellStyle name="Comma 6 4 3 4 3" xfId="42016" xr:uid="{00000000-0005-0000-0000-0000371C0000}"/>
    <cellStyle name="Comma 6 4 3 5" xfId="18636" xr:uid="{00000000-0005-0000-0000-0000381C0000}"/>
    <cellStyle name="Comma 6 4 3 5 2" xfId="42018" xr:uid="{00000000-0005-0000-0000-0000391C0000}"/>
    <cellStyle name="Comma 6 4 3 6" xfId="18637" xr:uid="{00000000-0005-0000-0000-00003A1C0000}"/>
    <cellStyle name="Comma 6 4 3 6 2" xfId="42019" xr:uid="{00000000-0005-0000-0000-00003B1C0000}"/>
    <cellStyle name="Comma 6 4 3 7" xfId="18638" xr:uid="{00000000-0005-0000-0000-00003C1C0000}"/>
    <cellStyle name="Comma 6 4 3 7 2" xfId="42020" xr:uid="{00000000-0005-0000-0000-00003D1C0000}"/>
    <cellStyle name="Comma 6 4 3 8" xfId="41234" xr:uid="{00000000-0005-0000-0000-00003E1C0000}"/>
    <cellStyle name="Comma 6 4 4" xfId="17859" xr:uid="{00000000-0005-0000-0000-00003F1C0000}"/>
    <cellStyle name="Comma 6 4 4 2" xfId="18639" xr:uid="{00000000-0005-0000-0000-0000401C0000}"/>
    <cellStyle name="Comma 6 4 4 2 2" xfId="18640" xr:uid="{00000000-0005-0000-0000-0000411C0000}"/>
    <cellStyle name="Comma 6 4 4 2 2 2" xfId="42022" xr:uid="{00000000-0005-0000-0000-0000421C0000}"/>
    <cellStyle name="Comma 6 4 4 2 3" xfId="18641" xr:uid="{00000000-0005-0000-0000-0000431C0000}"/>
    <cellStyle name="Comma 6 4 4 2 3 2" xfId="42023" xr:uid="{00000000-0005-0000-0000-0000441C0000}"/>
    <cellStyle name="Comma 6 4 4 2 4" xfId="42021" xr:uid="{00000000-0005-0000-0000-0000451C0000}"/>
    <cellStyle name="Comma 6 4 4 3" xfId="18642" xr:uid="{00000000-0005-0000-0000-0000461C0000}"/>
    <cellStyle name="Comma 6 4 4 3 2" xfId="18643" xr:uid="{00000000-0005-0000-0000-0000471C0000}"/>
    <cellStyle name="Comma 6 4 4 3 2 2" xfId="42025" xr:uid="{00000000-0005-0000-0000-0000481C0000}"/>
    <cellStyle name="Comma 6 4 4 3 3" xfId="42024" xr:uid="{00000000-0005-0000-0000-0000491C0000}"/>
    <cellStyle name="Comma 6 4 4 4" xfId="18644" xr:uid="{00000000-0005-0000-0000-00004A1C0000}"/>
    <cellStyle name="Comma 6 4 4 4 2" xfId="42026" xr:uid="{00000000-0005-0000-0000-00004B1C0000}"/>
    <cellStyle name="Comma 6 4 4 5" xfId="18645" xr:uid="{00000000-0005-0000-0000-00004C1C0000}"/>
    <cellStyle name="Comma 6 4 4 5 2" xfId="42027" xr:uid="{00000000-0005-0000-0000-00004D1C0000}"/>
    <cellStyle name="Comma 6 4 4 6" xfId="18646" xr:uid="{00000000-0005-0000-0000-00004E1C0000}"/>
    <cellStyle name="Comma 6 4 4 6 2" xfId="42028" xr:uid="{00000000-0005-0000-0000-00004F1C0000}"/>
    <cellStyle name="Comma 6 4 4 7" xfId="41319" xr:uid="{00000000-0005-0000-0000-0000501C0000}"/>
    <cellStyle name="Comma 6 4 5" xfId="18647" xr:uid="{00000000-0005-0000-0000-0000511C0000}"/>
    <cellStyle name="Comma 6 4 5 2" xfId="18648" xr:uid="{00000000-0005-0000-0000-0000521C0000}"/>
    <cellStyle name="Comma 6 4 5 2 2" xfId="42030" xr:uid="{00000000-0005-0000-0000-0000531C0000}"/>
    <cellStyle name="Comma 6 4 5 3" xfId="18649" xr:uid="{00000000-0005-0000-0000-0000541C0000}"/>
    <cellStyle name="Comma 6 4 5 3 2" xfId="42031" xr:uid="{00000000-0005-0000-0000-0000551C0000}"/>
    <cellStyle name="Comma 6 4 5 4" xfId="42029" xr:uid="{00000000-0005-0000-0000-0000561C0000}"/>
    <cellStyle name="Comma 6 4 6" xfId="18650" xr:uid="{00000000-0005-0000-0000-0000571C0000}"/>
    <cellStyle name="Comma 6 4 6 2" xfId="18651" xr:uid="{00000000-0005-0000-0000-0000581C0000}"/>
    <cellStyle name="Comma 6 4 6 2 2" xfId="42033" xr:uid="{00000000-0005-0000-0000-0000591C0000}"/>
    <cellStyle name="Comma 6 4 6 3" xfId="42032" xr:uid="{00000000-0005-0000-0000-00005A1C0000}"/>
    <cellStyle name="Comma 6 4 7" xfId="18652" xr:uid="{00000000-0005-0000-0000-00005B1C0000}"/>
    <cellStyle name="Comma 6 4 7 2" xfId="42034" xr:uid="{00000000-0005-0000-0000-00005C1C0000}"/>
    <cellStyle name="Comma 6 4 8" xfId="18653" xr:uid="{00000000-0005-0000-0000-00005D1C0000}"/>
    <cellStyle name="Comma 6 4 8 2" xfId="42035" xr:uid="{00000000-0005-0000-0000-00005E1C0000}"/>
    <cellStyle name="Comma 6 4 9" xfId="18654" xr:uid="{00000000-0005-0000-0000-00005F1C0000}"/>
    <cellStyle name="Comma 6 4 9 2" xfId="42036" xr:uid="{00000000-0005-0000-0000-0000601C0000}"/>
    <cellStyle name="Comma 6 5" xfId="3186" xr:uid="{00000000-0005-0000-0000-0000611C0000}"/>
    <cellStyle name="Comma 6 5 2" xfId="17883" xr:uid="{00000000-0005-0000-0000-0000621C0000}"/>
    <cellStyle name="Comma 6 5 2 2" xfId="18655" xr:uid="{00000000-0005-0000-0000-0000631C0000}"/>
    <cellStyle name="Comma 6 5 2 2 2" xfId="18656" xr:uid="{00000000-0005-0000-0000-0000641C0000}"/>
    <cellStyle name="Comma 6 5 2 2 2 2" xfId="42038" xr:uid="{00000000-0005-0000-0000-0000651C0000}"/>
    <cellStyle name="Comma 6 5 2 2 3" xfId="18657" xr:uid="{00000000-0005-0000-0000-0000661C0000}"/>
    <cellStyle name="Comma 6 5 2 2 3 2" xfId="42039" xr:uid="{00000000-0005-0000-0000-0000671C0000}"/>
    <cellStyle name="Comma 6 5 2 2 4" xfId="42037" xr:uid="{00000000-0005-0000-0000-0000681C0000}"/>
    <cellStyle name="Comma 6 5 2 3" xfId="18658" xr:uid="{00000000-0005-0000-0000-0000691C0000}"/>
    <cellStyle name="Comma 6 5 2 3 2" xfId="18659" xr:uid="{00000000-0005-0000-0000-00006A1C0000}"/>
    <cellStyle name="Comma 6 5 2 3 2 2" xfId="42041" xr:uid="{00000000-0005-0000-0000-00006B1C0000}"/>
    <cellStyle name="Comma 6 5 2 3 3" xfId="42040" xr:uid="{00000000-0005-0000-0000-00006C1C0000}"/>
    <cellStyle name="Comma 6 5 2 4" xfId="18660" xr:uid="{00000000-0005-0000-0000-00006D1C0000}"/>
    <cellStyle name="Comma 6 5 2 4 2" xfId="42042" xr:uid="{00000000-0005-0000-0000-00006E1C0000}"/>
    <cellStyle name="Comma 6 5 2 5" xfId="18661" xr:uid="{00000000-0005-0000-0000-00006F1C0000}"/>
    <cellStyle name="Comma 6 5 2 5 2" xfId="42043" xr:uid="{00000000-0005-0000-0000-0000701C0000}"/>
    <cellStyle name="Comma 6 5 2 6" xfId="18662" xr:uid="{00000000-0005-0000-0000-0000711C0000}"/>
    <cellStyle name="Comma 6 5 2 6 2" xfId="42044" xr:uid="{00000000-0005-0000-0000-0000721C0000}"/>
    <cellStyle name="Comma 6 5 2 7" xfId="41343" xr:uid="{00000000-0005-0000-0000-0000731C0000}"/>
    <cellStyle name="Comma 6 5 3" xfId="18663" xr:uid="{00000000-0005-0000-0000-0000741C0000}"/>
    <cellStyle name="Comma 6 5 3 2" xfId="18664" xr:uid="{00000000-0005-0000-0000-0000751C0000}"/>
    <cellStyle name="Comma 6 5 3 2 2" xfId="42046" xr:uid="{00000000-0005-0000-0000-0000761C0000}"/>
    <cellStyle name="Comma 6 5 3 3" xfId="18665" xr:uid="{00000000-0005-0000-0000-0000771C0000}"/>
    <cellStyle name="Comma 6 5 3 3 2" xfId="42047" xr:uid="{00000000-0005-0000-0000-0000781C0000}"/>
    <cellStyle name="Comma 6 5 3 4" xfId="42045" xr:uid="{00000000-0005-0000-0000-0000791C0000}"/>
    <cellStyle name="Comma 6 5 4" xfId="18666" xr:uid="{00000000-0005-0000-0000-00007A1C0000}"/>
    <cellStyle name="Comma 6 5 4 2" xfId="18667" xr:uid="{00000000-0005-0000-0000-00007B1C0000}"/>
    <cellStyle name="Comma 6 5 4 2 2" xfId="42049" xr:uid="{00000000-0005-0000-0000-00007C1C0000}"/>
    <cellStyle name="Comma 6 5 4 3" xfId="42048" xr:uid="{00000000-0005-0000-0000-00007D1C0000}"/>
    <cellStyle name="Comma 6 5 5" xfId="18668" xr:uid="{00000000-0005-0000-0000-00007E1C0000}"/>
    <cellStyle name="Comma 6 5 5 2" xfId="42050" xr:uid="{00000000-0005-0000-0000-00007F1C0000}"/>
    <cellStyle name="Comma 6 5 6" xfId="18669" xr:uid="{00000000-0005-0000-0000-0000801C0000}"/>
    <cellStyle name="Comma 6 5 6 2" xfId="42051" xr:uid="{00000000-0005-0000-0000-0000811C0000}"/>
    <cellStyle name="Comma 6 5 7" xfId="18670" xr:uid="{00000000-0005-0000-0000-0000821C0000}"/>
    <cellStyle name="Comma 6 5 7 2" xfId="42052" xr:uid="{00000000-0005-0000-0000-0000831C0000}"/>
    <cellStyle name="Comma 6 5 8" xfId="17694" xr:uid="{00000000-0005-0000-0000-0000841C0000}"/>
    <cellStyle name="Comma 6 5 8 2" xfId="41154" xr:uid="{00000000-0005-0000-0000-0000851C0000}"/>
    <cellStyle name="Comma 6 6" xfId="17725" xr:uid="{00000000-0005-0000-0000-0000861C0000}"/>
    <cellStyle name="Comma 6 6 2" xfId="17957" xr:uid="{00000000-0005-0000-0000-0000871C0000}"/>
    <cellStyle name="Comma 6 6 2 2" xfId="18671" xr:uid="{00000000-0005-0000-0000-0000881C0000}"/>
    <cellStyle name="Comma 6 6 2 2 2" xfId="18672" xr:uid="{00000000-0005-0000-0000-0000891C0000}"/>
    <cellStyle name="Comma 6 6 2 2 2 2" xfId="42054" xr:uid="{00000000-0005-0000-0000-00008A1C0000}"/>
    <cellStyle name="Comma 6 6 2 2 3" xfId="18673" xr:uid="{00000000-0005-0000-0000-00008B1C0000}"/>
    <cellStyle name="Comma 6 6 2 2 3 2" xfId="42055" xr:uid="{00000000-0005-0000-0000-00008C1C0000}"/>
    <cellStyle name="Comma 6 6 2 2 4" xfId="42053" xr:uid="{00000000-0005-0000-0000-00008D1C0000}"/>
    <cellStyle name="Comma 6 6 2 3" xfId="18674" xr:uid="{00000000-0005-0000-0000-00008E1C0000}"/>
    <cellStyle name="Comma 6 6 2 3 2" xfId="18675" xr:uid="{00000000-0005-0000-0000-00008F1C0000}"/>
    <cellStyle name="Comma 6 6 2 3 2 2" xfId="42057" xr:uid="{00000000-0005-0000-0000-0000901C0000}"/>
    <cellStyle name="Comma 6 6 2 3 3" xfId="42056" xr:uid="{00000000-0005-0000-0000-0000911C0000}"/>
    <cellStyle name="Comma 6 6 2 4" xfId="18676" xr:uid="{00000000-0005-0000-0000-0000921C0000}"/>
    <cellStyle name="Comma 6 6 2 4 2" xfId="42058" xr:uid="{00000000-0005-0000-0000-0000931C0000}"/>
    <cellStyle name="Comma 6 6 2 5" xfId="18677" xr:uid="{00000000-0005-0000-0000-0000941C0000}"/>
    <cellStyle name="Comma 6 6 2 5 2" xfId="42059" xr:uid="{00000000-0005-0000-0000-0000951C0000}"/>
    <cellStyle name="Comma 6 6 2 6" xfId="18678" xr:uid="{00000000-0005-0000-0000-0000961C0000}"/>
    <cellStyle name="Comma 6 6 2 6 2" xfId="42060" xr:uid="{00000000-0005-0000-0000-0000971C0000}"/>
    <cellStyle name="Comma 6 6 2 7" xfId="41417" xr:uid="{00000000-0005-0000-0000-0000981C0000}"/>
    <cellStyle name="Comma 6 6 3" xfId="18679" xr:uid="{00000000-0005-0000-0000-0000991C0000}"/>
    <cellStyle name="Comma 6 6 3 2" xfId="18680" xr:uid="{00000000-0005-0000-0000-00009A1C0000}"/>
    <cellStyle name="Comma 6 6 3 2 2" xfId="42062" xr:uid="{00000000-0005-0000-0000-00009B1C0000}"/>
    <cellStyle name="Comma 6 6 3 3" xfId="18681" xr:uid="{00000000-0005-0000-0000-00009C1C0000}"/>
    <cellStyle name="Comma 6 6 3 3 2" xfId="42063" xr:uid="{00000000-0005-0000-0000-00009D1C0000}"/>
    <cellStyle name="Comma 6 6 3 4" xfId="42061" xr:uid="{00000000-0005-0000-0000-00009E1C0000}"/>
    <cellStyle name="Comma 6 6 4" xfId="18682" xr:uid="{00000000-0005-0000-0000-00009F1C0000}"/>
    <cellStyle name="Comma 6 6 4 2" xfId="18683" xr:uid="{00000000-0005-0000-0000-0000A01C0000}"/>
    <cellStyle name="Comma 6 6 4 2 2" xfId="42065" xr:uid="{00000000-0005-0000-0000-0000A11C0000}"/>
    <cellStyle name="Comma 6 6 4 3" xfId="42064" xr:uid="{00000000-0005-0000-0000-0000A21C0000}"/>
    <cellStyle name="Comma 6 6 5" xfId="18684" xr:uid="{00000000-0005-0000-0000-0000A31C0000}"/>
    <cellStyle name="Comma 6 6 5 2" xfId="42066" xr:uid="{00000000-0005-0000-0000-0000A41C0000}"/>
    <cellStyle name="Comma 6 6 6" xfId="18685" xr:uid="{00000000-0005-0000-0000-0000A51C0000}"/>
    <cellStyle name="Comma 6 6 6 2" xfId="42067" xr:uid="{00000000-0005-0000-0000-0000A61C0000}"/>
    <cellStyle name="Comma 6 6 7" xfId="18686" xr:uid="{00000000-0005-0000-0000-0000A71C0000}"/>
    <cellStyle name="Comma 6 6 7 2" xfId="42068" xr:uid="{00000000-0005-0000-0000-0000A81C0000}"/>
    <cellStyle name="Comma 6 6 8" xfId="41185" xr:uid="{00000000-0005-0000-0000-0000A91C0000}"/>
    <cellStyle name="Comma 6 7" xfId="17804" xr:uid="{00000000-0005-0000-0000-0000AA1C0000}"/>
    <cellStyle name="Comma 6 7 2" xfId="18687" xr:uid="{00000000-0005-0000-0000-0000AB1C0000}"/>
    <cellStyle name="Comma 6 7 2 2" xfId="18688" xr:uid="{00000000-0005-0000-0000-0000AC1C0000}"/>
    <cellStyle name="Comma 6 7 2 2 2" xfId="42070" xr:uid="{00000000-0005-0000-0000-0000AD1C0000}"/>
    <cellStyle name="Comma 6 7 2 3" xfId="18689" xr:uid="{00000000-0005-0000-0000-0000AE1C0000}"/>
    <cellStyle name="Comma 6 7 2 3 2" xfId="42071" xr:uid="{00000000-0005-0000-0000-0000AF1C0000}"/>
    <cellStyle name="Comma 6 7 2 4" xfId="42069" xr:uid="{00000000-0005-0000-0000-0000B01C0000}"/>
    <cellStyle name="Comma 6 7 3" xfId="18690" xr:uid="{00000000-0005-0000-0000-0000B11C0000}"/>
    <cellStyle name="Comma 6 7 3 2" xfId="18691" xr:uid="{00000000-0005-0000-0000-0000B21C0000}"/>
    <cellStyle name="Comma 6 7 3 2 2" xfId="42073" xr:uid="{00000000-0005-0000-0000-0000B31C0000}"/>
    <cellStyle name="Comma 6 7 3 3" xfId="42072" xr:uid="{00000000-0005-0000-0000-0000B41C0000}"/>
    <cellStyle name="Comma 6 7 4" xfId="18692" xr:uid="{00000000-0005-0000-0000-0000B51C0000}"/>
    <cellStyle name="Comma 6 7 4 2" xfId="42074" xr:uid="{00000000-0005-0000-0000-0000B61C0000}"/>
    <cellStyle name="Comma 6 7 5" xfId="18693" xr:uid="{00000000-0005-0000-0000-0000B71C0000}"/>
    <cellStyle name="Comma 6 7 5 2" xfId="42075" xr:uid="{00000000-0005-0000-0000-0000B81C0000}"/>
    <cellStyle name="Comma 6 7 6" xfId="18694" xr:uid="{00000000-0005-0000-0000-0000B91C0000}"/>
    <cellStyle name="Comma 6 7 6 2" xfId="42076" xr:uid="{00000000-0005-0000-0000-0000BA1C0000}"/>
    <cellStyle name="Comma 6 7 7" xfId="41264" xr:uid="{00000000-0005-0000-0000-0000BB1C0000}"/>
    <cellStyle name="Comma 6 8" xfId="18695" xr:uid="{00000000-0005-0000-0000-0000BC1C0000}"/>
    <cellStyle name="Comma 6 8 2" xfId="18696" xr:uid="{00000000-0005-0000-0000-0000BD1C0000}"/>
    <cellStyle name="Comma 6 8 2 2" xfId="42078" xr:uid="{00000000-0005-0000-0000-0000BE1C0000}"/>
    <cellStyle name="Comma 6 8 3" xfId="18697" xr:uid="{00000000-0005-0000-0000-0000BF1C0000}"/>
    <cellStyle name="Comma 6 8 3 2" xfId="42079" xr:uid="{00000000-0005-0000-0000-0000C01C0000}"/>
    <cellStyle name="Comma 6 8 4" xfId="42077" xr:uid="{00000000-0005-0000-0000-0000C11C0000}"/>
    <cellStyle name="Comma 6 9" xfId="18698" xr:uid="{00000000-0005-0000-0000-0000C21C0000}"/>
    <cellStyle name="Comma 6 9 2" xfId="18699" xr:uid="{00000000-0005-0000-0000-0000C31C0000}"/>
    <cellStyle name="Comma 6 9 2 2" xfId="42081" xr:uid="{00000000-0005-0000-0000-0000C41C0000}"/>
    <cellStyle name="Comma 6 9 3" xfId="42080" xr:uid="{00000000-0005-0000-0000-0000C51C0000}"/>
    <cellStyle name="Comma 7" xfId="51" xr:uid="{00000000-0005-0000-0000-0000C61C0000}"/>
    <cellStyle name="Comma 8" xfId="52" xr:uid="{00000000-0005-0000-0000-0000C71C0000}"/>
    <cellStyle name="Comma 9" xfId="190" xr:uid="{00000000-0005-0000-0000-0000C81C0000}"/>
    <cellStyle name="Comma 9 2" xfId="18701" xr:uid="{00000000-0005-0000-0000-0000C91C0000}"/>
    <cellStyle name="Comma 9 2 2" xfId="42082" xr:uid="{00000000-0005-0000-0000-0000CA1C0000}"/>
    <cellStyle name="Comma 9 3" xfId="18700" xr:uid="{00000000-0005-0000-0000-0000CB1C0000}"/>
    <cellStyle name="Comma0" xfId="2" xr:uid="{00000000-0005-0000-0000-0000CC1C0000}"/>
    <cellStyle name="Comma0 2" xfId="53" xr:uid="{00000000-0005-0000-0000-0000CD1C0000}"/>
    <cellStyle name="Comma0 3" xfId="3193" xr:uid="{00000000-0005-0000-0000-0000CE1C0000}"/>
    <cellStyle name="Comma0 4" xfId="3192" xr:uid="{00000000-0005-0000-0000-0000CF1C0000}"/>
    <cellStyle name="Comma0_0710AttachCSecondNOFOpt1" xfId="3" xr:uid="{00000000-0005-0000-0000-0000D01C0000}"/>
    <cellStyle name="Currency" xfId="4" builtinId="4"/>
    <cellStyle name="Currency 2" xfId="3194" xr:uid="{00000000-0005-0000-0000-0000D21C0000}"/>
    <cellStyle name="Currency 2 2" xfId="18703" xr:uid="{00000000-0005-0000-0000-0000D31C0000}"/>
    <cellStyle name="Currency 2 3" xfId="18702" xr:uid="{00000000-0005-0000-0000-0000D41C0000}"/>
    <cellStyle name="Currency 3" xfId="3195" xr:uid="{00000000-0005-0000-0000-0000D51C0000}"/>
    <cellStyle name="Currency 3 2" xfId="18704" xr:uid="{00000000-0005-0000-0000-0000D61C0000}"/>
    <cellStyle name="Currency 4" xfId="3196" xr:uid="{00000000-0005-0000-0000-0000D71C0000}"/>
    <cellStyle name="Currency 4 2" xfId="3197" xr:uid="{00000000-0005-0000-0000-0000D81C0000}"/>
    <cellStyle name="Currency 4 2 2" xfId="26716" xr:uid="{00000000-0005-0000-0000-0000D91C0000}"/>
    <cellStyle name="Currency 4 3" xfId="26715" xr:uid="{00000000-0005-0000-0000-0000DA1C0000}"/>
    <cellStyle name="Currency 5" xfId="23624" xr:uid="{00000000-0005-0000-0000-0000DB1C0000}"/>
    <cellStyle name="Currency0" xfId="5" xr:uid="{00000000-0005-0000-0000-0000DC1C0000}"/>
    <cellStyle name="Currency0 2" xfId="54" xr:uid="{00000000-0005-0000-0000-0000DD1C0000}"/>
    <cellStyle name="Currency0 2 2" xfId="3200" xr:uid="{00000000-0005-0000-0000-0000DE1C0000}"/>
    <cellStyle name="Currency0 2 3" xfId="3199" xr:uid="{00000000-0005-0000-0000-0000DF1C0000}"/>
    <cellStyle name="Currency0 3" xfId="3198" xr:uid="{00000000-0005-0000-0000-0000E01C0000}"/>
    <cellStyle name="Date" xfId="6" xr:uid="{00000000-0005-0000-0000-0000E11C0000}"/>
    <cellStyle name="Date 2" xfId="55" xr:uid="{00000000-0005-0000-0000-0000E21C0000}"/>
    <cellStyle name="Explanatory Text 2" xfId="18705" xr:uid="{00000000-0005-0000-0000-0000E31C0000}"/>
    <cellStyle name="Explanatory Text 3" xfId="18706" xr:uid="{00000000-0005-0000-0000-0000E41C0000}"/>
    <cellStyle name="Fixed" xfId="7" xr:uid="{00000000-0005-0000-0000-0000E51C0000}"/>
    <cellStyle name="Fixed 2" xfId="56" xr:uid="{00000000-0005-0000-0000-0000E61C0000}"/>
    <cellStyle name="Good 2" xfId="18707" xr:uid="{00000000-0005-0000-0000-0000E71C0000}"/>
    <cellStyle name="Good 3" xfId="18708" xr:uid="{00000000-0005-0000-0000-0000E81C0000}"/>
    <cellStyle name="Heading 1" xfId="8" builtinId="16" customBuiltin="1"/>
    <cellStyle name="Heading 1 2" xfId="178" xr:uid="{00000000-0005-0000-0000-0000EA1C0000}"/>
    <cellStyle name="Heading 1 2 2" xfId="18709" xr:uid="{00000000-0005-0000-0000-0000EB1C0000}"/>
    <cellStyle name="Heading 1 3" xfId="18710" xr:uid="{00000000-0005-0000-0000-0000EC1C0000}"/>
    <cellStyle name="Heading 1 4" xfId="23625" xr:uid="{00000000-0005-0000-0000-0000ED1C0000}"/>
    <cellStyle name="Heading 2" xfId="9" builtinId="17" customBuiltin="1"/>
    <cellStyle name="Heading 2 2" xfId="179" xr:uid="{00000000-0005-0000-0000-0000EF1C0000}"/>
    <cellStyle name="Heading 2 2 2" xfId="18711" xr:uid="{00000000-0005-0000-0000-0000F01C0000}"/>
    <cellStyle name="Heading 2 3" xfId="18712" xr:uid="{00000000-0005-0000-0000-0000F11C0000}"/>
    <cellStyle name="Heading 2 4" xfId="23626" xr:uid="{00000000-0005-0000-0000-0000F21C0000}"/>
    <cellStyle name="Heading 3 2" xfId="18713" xr:uid="{00000000-0005-0000-0000-0000F31C0000}"/>
    <cellStyle name="Heading 3 3" xfId="18714" xr:uid="{00000000-0005-0000-0000-0000F41C0000}"/>
    <cellStyle name="Heading 4 2" xfId="18715" xr:uid="{00000000-0005-0000-0000-0000F51C0000}"/>
    <cellStyle name="Heading 4 3" xfId="18716" xr:uid="{00000000-0005-0000-0000-0000F61C0000}"/>
    <cellStyle name="HEADING1" xfId="57" xr:uid="{00000000-0005-0000-0000-0000F71C0000}"/>
    <cellStyle name="HEADING2" xfId="58" xr:uid="{00000000-0005-0000-0000-0000F81C0000}"/>
    <cellStyle name="Hyperlink" xfId="30" builtinId="8"/>
    <cellStyle name="Input 2" xfId="18717" xr:uid="{00000000-0005-0000-0000-0000FA1C0000}"/>
    <cellStyle name="Input 3" xfId="18718" xr:uid="{00000000-0005-0000-0000-0000FB1C0000}"/>
    <cellStyle name="Input 3 10" xfId="18719" xr:uid="{00000000-0005-0000-0000-0000FC1C0000}"/>
    <cellStyle name="Input 3 11" xfId="18720" xr:uid="{00000000-0005-0000-0000-0000FD1C0000}"/>
    <cellStyle name="Input 3 12" xfId="18721" xr:uid="{00000000-0005-0000-0000-0000FE1C0000}"/>
    <cellStyle name="Input 3 13" xfId="18722" xr:uid="{00000000-0005-0000-0000-0000FF1C0000}"/>
    <cellStyle name="Input 3 14" xfId="18723" xr:uid="{00000000-0005-0000-0000-0000001D0000}"/>
    <cellStyle name="Input 3 15" xfId="18724" xr:uid="{00000000-0005-0000-0000-0000011D0000}"/>
    <cellStyle name="Input 3 2" xfId="18725" xr:uid="{00000000-0005-0000-0000-0000021D0000}"/>
    <cellStyle name="Input 3 3" xfId="18726" xr:uid="{00000000-0005-0000-0000-0000031D0000}"/>
    <cellStyle name="Input 3 4" xfId="18727" xr:uid="{00000000-0005-0000-0000-0000041D0000}"/>
    <cellStyle name="Input 3 5" xfId="18728" xr:uid="{00000000-0005-0000-0000-0000051D0000}"/>
    <cellStyle name="Input 3 6" xfId="18729" xr:uid="{00000000-0005-0000-0000-0000061D0000}"/>
    <cellStyle name="Input 3 7" xfId="18730" xr:uid="{00000000-0005-0000-0000-0000071D0000}"/>
    <cellStyle name="Input 3 8" xfId="18731" xr:uid="{00000000-0005-0000-0000-0000081D0000}"/>
    <cellStyle name="Input 3 9" xfId="18732" xr:uid="{00000000-0005-0000-0000-0000091D0000}"/>
    <cellStyle name="Linked Cell 2" xfId="18733" xr:uid="{00000000-0005-0000-0000-00000A1D0000}"/>
    <cellStyle name="Linked Cell 3" xfId="18734" xr:uid="{00000000-0005-0000-0000-00000B1D0000}"/>
    <cellStyle name="Neutral 2" xfId="18735" xr:uid="{00000000-0005-0000-0000-00000C1D0000}"/>
    <cellStyle name="Neutral 3" xfId="18736" xr:uid="{00000000-0005-0000-0000-00000D1D0000}"/>
    <cellStyle name="Normal" xfId="0" builtinId="0"/>
    <cellStyle name="Normal 10" xfId="59" xr:uid="{00000000-0005-0000-0000-00000F1D0000}"/>
    <cellStyle name="Normal 10 10" xfId="17721" xr:uid="{00000000-0005-0000-0000-0000101D0000}"/>
    <cellStyle name="Normal 10 10 2" xfId="17951" xr:uid="{00000000-0005-0000-0000-0000111D0000}"/>
    <cellStyle name="Normal 10 10 2 2" xfId="18737" xr:uid="{00000000-0005-0000-0000-0000121D0000}"/>
    <cellStyle name="Normal 10 10 2 2 2" xfId="18738" xr:uid="{00000000-0005-0000-0000-0000131D0000}"/>
    <cellStyle name="Normal 10 10 2 2 2 2" xfId="42084" xr:uid="{00000000-0005-0000-0000-0000141D0000}"/>
    <cellStyle name="Normal 10 10 2 2 3" xfId="18739" xr:uid="{00000000-0005-0000-0000-0000151D0000}"/>
    <cellStyle name="Normal 10 10 2 2 3 2" xfId="42085" xr:uid="{00000000-0005-0000-0000-0000161D0000}"/>
    <cellStyle name="Normal 10 10 2 2 4" xfId="42083" xr:uid="{00000000-0005-0000-0000-0000171D0000}"/>
    <cellStyle name="Normal 10 10 2 3" xfId="18740" xr:uid="{00000000-0005-0000-0000-0000181D0000}"/>
    <cellStyle name="Normal 10 10 2 3 2" xfId="18741" xr:uid="{00000000-0005-0000-0000-0000191D0000}"/>
    <cellStyle name="Normal 10 10 2 3 2 2" xfId="42087" xr:uid="{00000000-0005-0000-0000-00001A1D0000}"/>
    <cellStyle name="Normal 10 10 2 3 3" xfId="42086" xr:uid="{00000000-0005-0000-0000-00001B1D0000}"/>
    <cellStyle name="Normal 10 10 2 4" xfId="18742" xr:uid="{00000000-0005-0000-0000-00001C1D0000}"/>
    <cellStyle name="Normal 10 10 2 4 2" xfId="42088" xr:uid="{00000000-0005-0000-0000-00001D1D0000}"/>
    <cellStyle name="Normal 10 10 2 5" xfId="18743" xr:uid="{00000000-0005-0000-0000-00001E1D0000}"/>
    <cellStyle name="Normal 10 10 2 5 2" xfId="42089" xr:uid="{00000000-0005-0000-0000-00001F1D0000}"/>
    <cellStyle name="Normal 10 10 2 6" xfId="18744" xr:uid="{00000000-0005-0000-0000-0000201D0000}"/>
    <cellStyle name="Normal 10 10 2 6 2" xfId="42090" xr:uid="{00000000-0005-0000-0000-0000211D0000}"/>
    <cellStyle name="Normal 10 10 2 7" xfId="41411" xr:uid="{00000000-0005-0000-0000-0000221D0000}"/>
    <cellStyle name="Normal 10 10 3" xfId="18745" xr:uid="{00000000-0005-0000-0000-0000231D0000}"/>
    <cellStyle name="Normal 10 10 3 2" xfId="18746" xr:uid="{00000000-0005-0000-0000-0000241D0000}"/>
    <cellStyle name="Normal 10 10 3 2 2" xfId="42092" xr:uid="{00000000-0005-0000-0000-0000251D0000}"/>
    <cellStyle name="Normal 10 10 3 3" xfId="18747" xr:uid="{00000000-0005-0000-0000-0000261D0000}"/>
    <cellStyle name="Normal 10 10 3 3 2" xfId="42093" xr:uid="{00000000-0005-0000-0000-0000271D0000}"/>
    <cellStyle name="Normal 10 10 3 4" xfId="42091" xr:uid="{00000000-0005-0000-0000-0000281D0000}"/>
    <cellStyle name="Normal 10 10 4" xfId="18748" xr:uid="{00000000-0005-0000-0000-0000291D0000}"/>
    <cellStyle name="Normal 10 10 4 2" xfId="18749" xr:uid="{00000000-0005-0000-0000-00002A1D0000}"/>
    <cellStyle name="Normal 10 10 4 2 2" xfId="42095" xr:uid="{00000000-0005-0000-0000-00002B1D0000}"/>
    <cellStyle name="Normal 10 10 4 3" xfId="42094" xr:uid="{00000000-0005-0000-0000-00002C1D0000}"/>
    <cellStyle name="Normal 10 10 5" xfId="18750" xr:uid="{00000000-0005-0000-0000-00002D1D0000}"/>
    <cellStyle name="Normal 10 10 5 2" xfId="42096" xr:uid="{00000000-0005-0000-0000-00002E1D0000}"/>
    <cellStyle name="Normal 10 10 6" xfId="18751" xr:uid="{00000000-0005-0000-0000-00002F1D0000}"/>
    <cellStyle name="Normal 10 10 6 2" xfId="42097" xr:uid="{00000000-0005-0000-0000-0000301D0000}"/>
    <cellStyle name="Normal 10 10 7" xfId="18752" xr:uid="{00000000-0005-0000-0000-0000311D0000}"/>
    <cellStyle name="Normal 10 10 7 2" xfId="42098" xr:uid="{00000000-0005-0000-0000-0000321D0000}"/>
    <cellStyle name="Normal 10 10 8" xfId="41181" xr:uid="{00000000-0005-0000-0000-0000331D0000}"/>
    <cellStyle name="Normal 10 11" xfId="17797" xr:uid="{00000000-0005-0000-0000-0000341D0000}"/>
    <cellStyle name="Normal 10 11 2" xfId="18753" xr:uid="{00000000-0005-0000-0000-0000351D0000}"/>
    <cellStyle name="Normal 10 11 2 2" xfId="18754" xr:uid="{00000000-0005-0000-0000-0000361D0000}"/>
    <cellStyle name="Normal 10 11 2 2 2" xfId="42100" xr:uid="{00000000-0005-0000-0000-0000371D0000}"/>
    <cellStyle name="Normal 10 11 2 3" xfId="18755" xr:uid="{00000000-0005-0000-0000-0000381D0000}"/>
    <cellStyle name="Normal 10 11 2 3 2" xfId="42101" xr:uid="{00000000-0005-0000-0000-0000391D0000}"/>
    <cellStyle name="Normal 10 11 2 4" xfId="42099" xr:uid="{00000000-0005-0000-0000-00003A1D0000}"/>
    <cellStyle name="Normal 10 11 3" xfId="18756" xr:uid="{00000000-0005-0000-0000-00003B1D0000}"/>
    <cellStyle name="Normal 10 11 3 2" xfId="18757" xr:uid="{00000000-0005-0000-0000-00003C1D0000}"/>
    <cellStyle name="Normal 10 11 3 2 2" xfId="42103" xr:uid="{00000000-0005-0000-0000-00003D1D0000}"/>
    <cellStyle name="Normal 10 11 3 3" xfId="42102" xr:uid="{00000000-0005-0000-0000-00003E1D0000}"/>
    <cellStyle name="Normal 10 11 4" xfId="18758" xr:uid="{00000000-0005-0000-0000-00003F1D0000}"/>
    <cellStyle name="Normal 10 11 4 2" xfId="42104" xr:uid="{00000000-0005-0000-0000-0000401D0000}"/>
    <cellStyle name="Normal 10 11 5" xfId="18759" xr:uid="{00000000-0005-0000-0000-0000411D0000}"/>
    <cellStyle name="Normal 10 11 5 2" xfId="42105" xr:uid="{00000000-0005-0000-0000-0000421D0000}"/>
    <cellStyle name="Normal 10 11 6" xfId="18760" xr:uid="{00000000-0005-0000-0000-0000431D0000}"/>
    <cellStyle name="Normal 10 11 6 2" xfId="42106" xr:uid="{00000000-0005-0000-0000-0000441D0000}"/>
    <cellStyle name="Normal 10 11 7" xfId="41257" xr:uid="{00000000-0005-0000-0000-0000451D0000}"/>
    <cellStyle name="Normal 10 12" xfId="18761" xr:uid="{00000000-0005-0000-0000-0000461D0000}"/>
    <cellStyle name="Normal 10 12 2" xfId="18762" xr:uid="{00000000-0005-0000-0000-0000471D0000}"/>
    <cellStyle name="Normal 10 12 2 2" xfId="42108" xr:uid="{00000000-0005-0000-0000-0000481D0000}"/>
    <cellStyle name="Normal 10 12 3" xfId="18763" xr:uid="{00000000-0005-0000-0000-0000491D0000}"/>
    <cellStyle name="Normal 10 12 3 2" xfId="42109" xr:uid="{00000000-0005-0000-0000-00004A1D0000}"/>
    <cellStyle name="Normal 10 12 4" xfId="42107" xr:uid="{00000000-0005-0000-0000-00004B1D0000}"/>
    <cellStyle name="Normal 10 13" xfId="18764" xr:uid="{00000000-0005-0000-0000-00004C1D0000}"/>
    <cellStyle name="Normal 10 13 2" xfId="18765" xr:uid="{00000000-0005-0000-0000-00004D1D0000}"/>
    <cellStyle name="Normal 10 13 2 2" xfId="42111" xr:uid="{00000000-0005-0000-0000-00004E1D0000}"/>
    <cellStyle name="Normal 10 13 3" xfId="42110" xr:uid="{00000000-0005-0000-0000-00004F1D0000}"/>
    <cellStyle name="Normal 10 14" xfId="18766" xr:uid="{00000000-0005-0000-0000-0000501D0000}"/>
    <cellStyle name="Normal 10 14 2" xfId="18767" xr:uid="{00000000-0005-0000-0000-0000511D0000}"/>
    <cellStyle name="Normal 10 14 2 2" xfId="42113" xr:uid="{00000000-0005-0000-0000-0000521D0000}"/>
    <cellStyle name="Normal 10 14 3" xfId="42112" xr:uid="{00000000-0005-0000-0000-0000531D0000}"/>
    <cellStyle name="Normal 10 15" xfId="18768" xr:uid="{00000000-0005-0000-0000-0000541D0000}"/>
    <cellStyle name="Normal 10 15 2" xfId="42114" xr:uid="{00000000-0005-0000-0000-0000551D0000}"/>
    <cellStyle name="Normal 10 16" xfId="18769" xr:uid="{00000000-0005-0000-0000-0000561D0000}"/>
    <cellStyle name="Normal 10 16 2" xfId="42115" xr:uid="{00000000-0005-0000-0000-0000571D0000}"/>
    <cellStyle name="Normal 10 17" xfId="18770" xr:uid="{00000000-0005-0000-0000-0000581D0000}"/>
    <cellStyle name="Normal 10 17 2" xfId="42116" xr:uid="{00000000-0005-0000-0000-0000591D0000}"/>
    <cellStyle name="Normal 10 18" xfId="23115" xr:uid="{00000000-0005-0000-0000-00005A1D0000}"/>
    <cellStyle name="Normal 10 18 2" xfId="46363" xr:uid="{00000000-0005-0000-0000-00005B1D0000}"/>
    <cellStyle name="Normal 10 19" xfId="23639" xr:uid="{00000000-0005-0000-0000-00005C1D0000}"/>
    <cellStyle name="Normal 10 2" xfId="60" xr:uid="{00000000-0005-0000-0000-00005D1D0000}"/>
    <cellStyle name="Normal 10 2 10" xfId="3202" xr:uid="{00000000-0005-0000-0000-00005E1D0000}"/>
    <cellStyle name="Normal 10 2 10 2" xfId="26717" xr:uid="{00000000-0005-0000-0000-00005F1D0000}"/>
    <cellStyle name="Normal 10 2 11" xfId="18771" xr:uid="{00000000-0005-0000-0000-0000601D0000}"/>
    <cellStyle name="Normal 10 2 11 2" xfId="42117" xr:uid="{00000000-0005-0000-0000-0000611D0000}"/>
    <cellStyle name="Normal 10 2 12" xfId="18772" xr:uid="{00000000-0005-0000-0000-0000621D0000}"/>
    <cellStyle name="Normal 10 2 12 2" xfId="42118" xr:uid="{00000000-0005-0000-0000-0000631D0000}"/>
    <cellStyle name="Normal 10 2 13" xfId="23640" xr:uid="{00000000-0005-0000-0000-0000641D0000}"/>
    <cellStyle name="Normal 10 2 2" xfId="61" xr:uid="{00000000-0005-0000-0000-0000651D0000}"/>
    <cellStyle name="Normal 10 2 2 10" xfId="18773" xr:uid="{00000000-0005-0000-0000-0000661D0000}"/>
    <cellStyle name="Normal 10 2 2 10 2" xfId="42119" xr:uid="{00000000-0005-0000-0000-0000671D0000}"/>
    <cellStyle name="Normal 10 2 2 11" xfId="18774" xr:uid="{00000000-0005-0000-0000-0000681D0000}"/>
    <cellStyle name="Normal 10 2 2 11 2" xfId="42120" xr:uid="{00000000-0005-0000-0000-0000691D0000}"/>
    <cellStyle name="Normal 10 2 2 12" xfId="23641" xr:uid="{00000000-0005-0000-0000-00006A1D0000}"/>
    <cellStyle name="Normal 10 2 2 2" xfId="62" xr:uid="{00000000-0005-0000-0000-00006B1D0000}"/>
    <cellStyle name="Normal 10 2 2 2 10" xfId="23642" xr:uid="{00000000-0005-0000-0000-00006C1D0000}"/>
    <cellStyle name="Normal 10 2 2 2 2" xfId="3203" xr:uid="{00000000-0005-0000-0000-00006D1D0000}"/>
    <cellStyle name="Normal 10 2 2 2 2 2" xfId="3204" xr:uid="{00000000-0005-0000-0000-00006E1D0000}"/>
    <cellStyle name="Normal 10 2 2 2 2 2 2" xfId="3205" xr:uid="{00000000-0005-0000-0000-00006F1D0000}"/>
    <cellStyle name="Normal 10 2 2 2 2 2 2 2" xfId="18775" xr:uid="{00000000-0005-0000-0000-0000701D0000}"/>
    <cellStyle name="Normal 10 2 2 2 2 2 2 2 2" xfId="42121" xr:uid="{00000000-0005-0000-0000-0000711D0000}"/>
    <cellStyle name="Normal 10 2 2 2 2 2 2 3" xfId="18776" xr:uid="{00000000-0005-0000-0000-0000721D0000}"/>
    <cellStyle name="Normal 10 2 2 2 2 2 2 3 2" xfId="42122" xr:uid="{00000000-0005-0000-0000-0000731D0000}"/>
    <cellStyle name="Normal 10 2 2 2 2 2 2 4" xfId="26720" xr:uid="{00000000-0005-0000-0000-0000741D0000}"/>
    <cellStyle name="Normal 10 2 2 2 2 2 3" xfId="18777" xr:uid="{00000000-0005-0000-0000-0000751D0000}"/>
    <cellStyle name="Normal 10 2 2 2 2 2 3 2" xfId="18778" xr:uid="{00000000-0005-0000-0000-0000761D0000}"/>
    <cellStyle name="Normal 10 2 2 2 2 2 3 2 2" xfId="42124" xr:uid="{00000000-0005-0000-0000-0000771D0000}"/>
    <cellStyle name="Normal 10 2 2 2 2 2 3 3" xfId="42123" xr:uid="{00000000-0005-0000-0000-0000781D0000}"/>
    <cellStyle name="Normal 10 2 2 2 2 2 4" xfId="18779" xr:uid="{00000000-0005-0000-0000-0000791D0000}"/>
    <cellStyle name="Normal 10 2 2 2 2 2 4 2" xfId="42125" xr:uid="{00000000-0005-0000-0000-00007A1D0000}"/>
    <cellStyle name="Normal 10 2 2 2 2 2 5" xfId="18780" xr:uid="{00000000-0005-0000-0000-00007B1D0000}"/>
    <cellStyle name="Normal 10 2 2 2 2 2 5 2" xfId="42126" xr:uid="{00000000-0005-0000-0000-00007C1D0000}"/>
    <cellStyle name="Normal 10 2 2 2 2 2 6" xfId="18781" xr:uid="{00000000-0005-0000-0000-00007D1D0000}"/>
    <cellStyle name="Normal 10 2 2 2 2 2 6 2" xfId="42127" xr:uid="{00000000-0005-0000-0000-00007E1D0000}"/>
    <cellStyle name="Normal 10 2 2 2 2 2 7" xfId="26719" xr:uid="{00000000-0005-0000-0000-00007F1D0000}"/>
    <cellStyle name="Normal 10 2 2 2 2 3" xfId="3206" xr:uid="{00000000-0005-0000-0000-0000801D0000}"/>
    <cellStyle name="Normal 10 2 2 2 2 3 2" xfId="18782" xr:uid="{00000000-0005-0000-0000-0000811D0000}"/>
    <cellStyle name="Normal 10 2 2 2 2 3 2 2" xfId="42128" xr:uid="{00000000-0005-0000-0000-0000821D0000}"/>
    <cellStyle name="Normal 10 2 2 2 2 3 3" xfId="18783" xr:uid="{00000000-0005-0000-0000-0000831D0000}"/>
    <cellStyle name="Normal 10 2 2 2 2 3 3 2" xfId="42129" xr:uid="{00000000-0005-0000-0000-0000841D0000}"/>
    <cellStyle name="Normal 10 2 2 2 2 3 4" xfId="26721" xr:uid="{00000000-0005-0000-0000-0000851D0000}"/>
    <cellStyle name="Normal 10 2 2 2 2 4" xfId="18784" xr:uid="{00000000-0005-0000-0000-0000861D0000}"/>
    <cellStyle name="Normal 10 2 2 2 2 4 2" xfId="18785" xr:uid="{00000000-0005-0000-0000-0000871D0000}"/>
    <cellStyle name="Normal 10 2 2 2 2 4 2 2" xfId="42131" xr:uid="{00000000-0005-0000-0000-0000881D0000}"/>
    <cellStyle name="Normal 10 2 2 2 2 4 3" xfId="42130" xr:uid="{00000000-0005-0000-0000-0000891D0000}"/>
    <cellStyle name="Normal 10 2 2 2 2 5" xfId="18786" xr:uid="{00000000-0005-0000-0000-00008A1D0000}"/>
    <cellStyle name="Normal 10 2 2 2 2 5 2" xfId="42132" xr:uid="{00000000-0005-0000-0000-00008B1D0000}"/>
    <cellStyle name="Normal 10 2 2 2 2 6" xfId="18787" xr:uid="{00000000-0005-0000-0000-00008C1D0000}"/>
    <cellStyle name="Normal 10 2 2 2 2 6 2" xfId="42133" xr:uid="{00000000-0005-0000-0000-00008D1D0000}"/>
    <cellStyle name="Normal 10 2 2 2 2 7" xfId="18788" xr:uid="{00000000-0005-0000-0000-00008E1D0000}"/>
    <cellStyle name="Normal 10 2 2 2 2 7 2" xfId="42134" xr:uid="{00000000-0005-0000-0000-00008F1D0000}"/>
    <cellStyle name="Normal 10 2 2 2 2 8" xfId="26718" xr:uid="{00000000-0005-0000-0000-0000901D0000}"/>
    <cellStyle name="Normal 10 2 2 2 3" xfId="3207" xr:uid="{00000000-0005-0000-0000-0000911D0000}"/>
    <cellStyle name="Normal 10 2 2 2 3 2" xfId="3208" xr:uid="{00000000-0005-0000-0000-0000921D0000}"/>
    <cellStyle name="Normal 10 2 2 2 3 2 2" xfId="18789" xr:uid="{00000000-0005-0000-0000-0000931D0000}"/>
    <cellStyle name="Normal 10 2 2 2 3 2 2 2" xfId="18790" xr:uid="{00000000-0005-0000-0000-0000941D0000}"/>
    <cellStyle name="Normal 10 2 2 2 3 2 2 2 2" xfId="42136" xr:uid="{00000000-0005-0000-0000-0000951D0000}"/>
    <cellStyle name="Normal 10 2 2 2 3 2 2 3" xfId="18791" xr:uid="{00000000-0005-0000-0000-0000961D0000}"/>
    <cellStyle name="Normal 10 2 2 2 3 2 2 3 2" xfId="42137" xr:uid="{00000000-0005-0000-0000-0000971D0000}"/>
    <cellStyle name="Normal 10 2 2 2 3 2 2 4" xfId="42135" xr:uid="{00000000-0005-0000-0000-0000981D0000}"/>
    <cellStyle name="Normal 10 2 2 2 3 2 3" xfId="18792" xr:uid="{00000000-0005-0000-0000-0000991D0000}"/>
    <cellStyle name="Normal 10 2 2 2 3 2 3 2" xfId="18793" xr:uid="{00000000-0005-0000-0000-00009A1D0000}"/>
    <cellStyle name="Normal 10 2 2 2 3 2 3 2 2" xfId="42139" xr:uid="{00000000-0005-0000-0000-00009B1D0000}"/>
    <cellStyle name="Normal 10 2 2 2 3 2 3 3" xfId="42138" xr:uid="{00000000-0005-0000-0000-00009C1D0000}"/>
    <cellStyle name="Normal 10 2 2 2 3 2 4" xfId="18794" xr:uid="{00000000-0005-0000-0000-00009D1D0000}"/>
    <cellStyle name="Normal 10 2 2 2 3 2 4 2" xfId="42140" xr:uid="{00000000-0005-0000-0000-00009E1D0000}"/>
    <cellStyle name="Normal 10 2 2 2 3 2 5" xfId="18795" xr:uid="{00000000-0005-0000-0000-00009F1D0000}"/>
    <cellStyle name="Normal 10 2 2 2 3 2 5 2" xfId="42141" xr:uid="{00000000-0005-0000-0000-0000A01D0000}"/>
    <cellStyle name="Normal 10 2 2 2 3 2 6" xfId="18796" xr:uid="{00000000-0005-0000-0000-0000A11D0000}"/>
    <cellStyle name="Normal 10 2 2 2 3 2 6 2" xfId="42142" xr:uid="{00000000-0005-0000-0000-0000A21D0000}"/>
    <cellStyle name="Normal 10 2 2 2 3 2 7" xfId="26723" xr:uid="{00000000-0005-0000-0000-0000A31D0000}"/>
    <cellStyle name="Normal 10 2 2 2 3 3" xfId="18797" xr:uid="{00000000-0005-0000-0000-0000A41D0000}"/>
    <cellStyle name="Normal 10 2 2 2 3 3 2" xfId="18798" xr:uid="{00000000-0005-0000-0000-0000A51D0000}"/>
    <cellStyle name="Normal 10 2 2 2 3 3 2 2" xfId="42144" xr:uid="{00000000-0005-0000-0000-0000A61D0000}"/>
    <cellStyle name="Normal 10 2 2 2 3 3 3" xfId="18799" xr:uid="{00000000-0005-0000-0000-0000A71D0000}"/>
    <cellStyle name="Normal 10 2 2 2 3 3 3 2" xfId="42145" xr:uid="{00000000-0005-0000-0000-0000A81D0000}"/>
    <cellStyle name="Normal 10 2 2 2 3 3 4" xfId="42143" xr:uid="{00000000-0005-0000-0000-0000A91D0000}"/>
    <cellStyle name="Normal 10 2 2 2 3 4" xfId="18800" xr:uid="{00000000-0005-0000-0000-0000AA1D0000}"/>
    <cellStyle name="Normal 10 2 2 2 3 4 2" xfId="18801" xr:uid="{00000000-0005-0000-0000-0000AB1D0000}"/>
    <cellStyle name="Normal 10 2 2 2 3 4 2 2" xfId="42147" xr:uid="{00000000-0005-0000-0000-0000AC1D0000}"/>
    <cellStyle name="Normal 10 2 2 2 3 4 3" xfId="42146" xr:uid="{00000000-0005-0000-0000-0000AD1D0000}"/>
    <cellStyle name="Normal 10 2 2 2 3 5" xfId="18802" xr:uid="{00000000-0005-0000-0000-0000AE1D0000}"/>
    <cellStyle name="Normal 10 2 2 2 3 5 2" xfId="42148" xr:uid="{00000000-0005-0000-0000-0000AF1D0000}"/>
    <cellStyle name="Normal 10 2 2 2 3 6" xfId="18803" xr:uid="{00000000-0005-0000-0000-0000B01D0000}"/>
    <cellStyle name="Normal 10 2 2 2 3 6 2" xfId="42149" xr:uid="{00000000-0005-0000-0000-0000B11D0000}"/>
    <cellStyle name="Normal 10 2 2 2 3 7" xfId="18804" xr:uid="{00000000-0005-0000-0000-0000B21D0000}"/>
    <cellStyle name="Normal 10 2 2 2 3 7 2" xfId="42150" xr:uid="{00000000-0005-0000-0000-0000B31D0000}"/>
    <cellStyle name="Normal 10 2 2 2 3 8" xfId="26722" xr:uid="{00000000-0005-0000-0000-0000B41D0000}"/>
    <cellStyle name="Normal 10 2 2 2 4" xfId="3209" xr:uid="{00000000-0005-0000-0000-0000B51D0000}"/>
    <cellStyle name="Normal 10 2 2 2 4 2" xfId="18805" xr:uid="{00000000-0005-0000-0000-0000B61D0000}"/>
    <cellStyle name="Normal 10 2 2 2 4 2 2" xfId="18806" xr:uid="{00000000-0005-0000-0000-0000B71D0000}"/>
    <cellStyle name="Normal 10 2 2 2 4 2 2 2" xfId="42152" xr:uid="{00000000-0005-0000-0000-0000B81D0000}"/>
    <cellStyle name="Normal 10 2 2 2 4 2 3" xfId="18807" xr:uid="{00000000-0005-0000-0000-0000B91D0000}"/>
    <cellStyle name="Normal 10 2 2 2 4 2 3 2" xfId="42153" xr:uid="{00000000-0005-0000-0000-0000BA1D0000}"/>
    <cellStyle name="Normal 10 2 2 2 4 2 4" xfId="42151" xr:uid="{00000000-0005-0000-0000-0000BB1D0000}"/>
    <cellStyle name="Normal 10 2 2 2 4 3" xfId="18808" xr:uid="{00000000-0005-0000-0000-0000BC1D0000}"/>
    <cellStyle name="Normal 10 2 2 2 4 3 2" xfId="18809" xr:uid="{00000000-0005-0000-0000-0000BD1D0000}"/>
    <cellStyle name="Normal 10 2 2 2 4 3 2 2" xfId="42155" xr:uid="{00000000-0005-0000-0000-0000BE1D0000}"/>
    <cellStyle name="Normal 10 2 2 2 4 3 3" xfId="42154" xr:uid="{00000000-0005-0000-0000-0000BF1D0000}"/>
    <cellStyle name="Normal 10 2 2 2 4 4" xfId="18810" xr:uid="{00000000-0005-0000-0000-0000C01D0000}"/>
    <cellStyle name="Normal 10 2 2 2 4 4 2" xfId="42156" xr:uid="{00000000-0005-0000-0000-0000C11D0000}"/>
    <cellStyle name="Normal 10 2 2 2 4 5" xfId="18811" xr:uid="{00000000-0005-0000-0000-0000C21D0000}"/>
    <cellStyle name="Normal 10 2 2 2 4 5 2" xfId="42157" xr:uid="{00000000-0005-0000-0000-0000C31D0000}"/>
    <cellStyle name="Normal 10 2 2 2 4 6" xfId="18812" xr:uid="{00000000-0005-0000-0000-0000C41D0000}"/>
    <cellStyle name="Normal 10 2 2 2 4 6 2" xfId="42158" xr:uid="{00000000-0005-0000-0000-0000C51D0000}"/>
    <cellStyle name="Normal 10 2 2 2 4 7" xfId="26724" xr:uid="{00000000-0005-0000-0000-0000C61D0000}"/>
    <cellStyle name="Normal 10 2 2 2 5" xfId="18813" xr:uid="{00000000-0005-0000-0000-0000C71D0000}"/>
    <cellStyle name="Normal 10 2 2 2 5 2" xfId="18814" xr:uid="{00000000-0005-0000-0000-0000C81D0000}"/>
    <cellStyle name="Normal 10 2 2 2 5 2 2" xfId="42160" xr:uid="{00000000-0005-0000-0000-0000C91D0000}"/>
    <cellStyle name="Normal 10 2 2 2 5 3" xfId="18815" xr:uid="{00000000-0005-0000-0000-0000CA1D0000}"/>
    <cellStyle name="Normal 10 2 2 2 5 3 2" xfId="42161" xr:uid="{00000000-0005-0000-0000-0000CB1D0000}"/>
    <cellStyle name="Normal 10 2 2 2 5 4" xfId="42159" xr:uid="{00000000-0005-0000-0000-0000CC1D0000}"/>
    <cellStyle name="Normal 10 2 2 2 6" xfId="18816" xr:uid="{00000000-0005-0000-0000-0000CD1D0000}"/>
    <cellStyle name="Normal 10 2 2 2 6 2" xfId="18817" xr:uid="{00000000-0005-0000-0000-0000CE1D0000}"/>
    <cellStyle name="Normal 10 2 2 2 6 2 2" xfId="42163" xr:uid="{00000000-0005-0000-0000-0000CF1D0000}"/>
    <cellStyle name="Normal 10 2 2 2 6 3" xfId="42162" xr:uid="{00000000-0005-0000-0000-0000D01D0000}"/>
    <cellStyle name="Normal 10 2 2 2 7" xfId="18818" xr:uid="{00000000-0005-0000-0000-0000D11D0000}"/>
    <cellStyle name="Normal 10 2 2 2 7 2" xfId="42164" xr:uid="{00000000-0005-0000-0000-0000D21D0000}"/>
    <cellStyle name="Normal 10 2 2 2 8" xfId="18819" xr:uid="{00000000-0005-0000-0000-0000D31D0000}"/>
    <cellStyle name="Normal 10 2 2 2 8 2" xfId="42165" xr:uid="{00000000-0005-0000-0000-0000D41D0000}"/>
    <cellStyle name="Normal 10 2 2 2 9" xfId="18820" xr:uid="{00000000-0005-0000-0000-0000D51D0000}"/>
    <cellStyle name="Normal 10 2 2 2 9 2" xfId="42166" xr:uid="{00000000-0005-0000-0000-0000D61D0000}"/>
    <cellStyle name="Normal 10 2 2 3" xfId="3210" xr:uid="{00000000-0005-0000-0000-0000D71D0000}"/>
    <cellStyle name="Normal 10 2 2 3 10" xfId="26725" xr:uid="{00000000-0005-0000-0000-0000D81D0000}"/>
    <cellStyle name="Normal 10 2 2 3 2" xfId="3211" xr:uid="{00000000-0005-0000-0000-0000D91D0000}"/>
    <cellStyle name="Normal 10 2 2 3 2 2" xfId="3212" xr:uid="{00000000-0005-0000-0000-0000DA1D0000}"/>
    <cellStyle name="Normal 10 2 2 3 2 2 2" xfId="3213" xr:uid="{00000000-0005-0000-0000-0000DB1D0000}"/>
    <cellStyle name="Normal 10 2 2 3 2 2 2 2" xfId="18821" xr:uid="{00000000-0005-0000-0000-0000DC1D0000}"/>
    <cellStyle name="Normal 10 2 2 3 2 2 2 2 2" xfId="42167" xr:uid="{00000000-0005-0000-0000-0000DD1D0000}"/>
    <cellStyle name="Normal 10 2 2 3 2 2 2 3" xfId="18822" xr:uid="{00000000-0005-0000-0000-0000DE1D0000}"/>
    <cellStyle name="Normal 10 2 2 3 2 2 2 3 2" xfId="42168" xr:uid="{00000000-0005-0000-0000-0000DF1D0000}"/>
    <cellStyle name="Normal 10 2 2 3 2 2 2 4" xfId="26728" xr:uid="{00000000-0005-0000-0000-0000E01D0000}"/>
    <cellStyle name="Normal 10 2 2 3 2 2 3" xfId="18823" xr:uid="{00000000-0005-0000-0000-0000E11D0000}"/>
    <cellStyle name="Normal 10 2 2 3 2 2 3 2" xfId="18824" xr:uid="{00000000-0005-0000-0000-0000E21D0000}"/>
    <cellStyle name="Normal 10 2 2 3 2 2 3 2 2" xfId="42170" xr:uid="{00000000-0005-0000-0000-0000E31D0000}"/>
    <cellStyle name="Normal 10 2 2 3 2 2 3 3" xfId="42169" xr:uid="{00000000-0005-0000-0000-0000E41D0000}"/>
    <cellStyle name="Normal 10 2 2 3 2 2 4" xfId="18825" xr:uid="{00000000-0005-0000-0000-0000E51D0000}"/>
    <cellStyle name="Normal 10 2 2 3 2 2 4 2" xfId="42171" xr:uid="{00000000-0005-0000-0000-0000E61D0000}"/>
    <cellStyle name="Normal 10 2 2 3 2 2 5" xfId="18826" xr:uid="{00000000-0005-0000-0000-0000E71D0000}"/>
    <cellStyle name="Normal 10 2 2 3 2 2 5 2" xfId="42172" xr:uid="{00000000-0005-0000-0000-0000E81D0000}"/>
    <cellStyle name="Normal 10 2 2 3 2 2 6" xfId="18827" xr:uid="{00000000-0005-0000-0000-0000E91D0000}"/>
    <cellStyle name="Normal 10 2 2 3 2 2 6 2" xfId="42173" xr:uid="{00000000-0005-0000-0000-0000EA1D0000}"/>
    <cellStyle name="Normal 10 2 2 3 2 2 7" xfId="26727" xr:uid="{00000000-0005-0000-0000-0000EB1D0000}"/>
    <cellStyle name="Normal 10 2 2 3 2 3" xfId="3214" xr:uid="{00000000-0005-0000-0000-0000EC1D0000}"/>
    <cellStyle name="Normal 10 2 2 3 2 3 2" xfId="18828" xr:uid="{00000000-0005-0000-0000-0000ED1D0000}"/>
    <cellStyle name="Normal 10 2 2 3 2 3 2 2" xfId="42174" xr:uid="{00000000-0005-0000-0000-0000EE1D0000}"/>
    <cellStyle name="Normal 10 2 2 3 2 3 3" xfId="18829" xr:uid="{00000000-0005-0000-0000-0000EF1D0000}"/>
    <cellStyle name="Normal 10 2 2 3 2 3 3 2" xfId="42175" xr:uid="{00000000-0005-0000-0000-0000F01D0000}"/>
    <cellStyle name="Normal 10 2 2 3 2 3 4" xfId="26729" xr:uid="{00000000-0005-0000-0000-0000F11D0000}"/>
    <cellStyle name="Normal 10 2 2 3 2 4" xfId="18830" xr:uid="{00000000-0005-0000-0000-0000F21D0000}"/>
    <cellStyle name="Normal 10 2 2 3 2 4 2" xfId="18831" xr:uid="{00000000-0005-0000-0000-0000F31D0000}"/>
    <cellStyle name="Normal 10 2 2 3 2 4 2 2" xfId="42177" xr:uid="{00000000-0005-0000-0000-0000F41D0000}"/>
    <cellStyle name="Normal 10 2 2 3 2 4 3" xfId="42176" xr:uid="{00000000-0005-0000-0000-0000F51D0000}"/>
    <cellStyle name="Normal 10 2 2 3 2 5" xfId="18832" xr:uid="{00000000-0005-0000-0000-0000F61D0000}"/>
    <cellStyle name="Normal 10 2 2 3 2 5 2" xfId="42178" xr:uid="{00000000-0005-0000-0000-0000F71D0000}"/>
    <cellStyle name="Normal 10 2 2 3 2 6" xfId="18833" xr:uid="{00000000-0005-0000-0000-0000F81D0000}"/>
    <cellStyle name="Normal 10 2 2 3 2 6 2" xfId="42179" xr:uid="{00000000-0005-0000-0000-0000F91D0000}"/>
    <cellStyle name="Normal 10 2 2 3 2 7" xfId="18834" xr:uid="{00000000-0005-0000-0000-0000FA1D0000}"/>
    <cellStyle name="Normal 10 2 2 3 2 7 2" xfId="42180" xr:uid="{00000000-0005-0000-0000-0000FB1D0000}"/>
    <cellStyle name="Normal 10 2 2 3 2 8" xfId="26726" xr:uid="{00000000-0005-0000-0000-0000FC1D0000}"/>
    <cellStyle name="Normal 10 2 2 3 3" xfId="3215" xr:uid="{00000000-0005-0000-0000-0000FD1D0000}"/>
    <cellStyle name="Normal 10 2 2 3 3 2" xfId="3216" xr:uid="{00000000-0005-0000-0000-0000FE1D0000}"/>
    <cellStyle name="Normal 10 2 2 3 3 2 2" xfId="18835" xr:uid="{00000000-0005-0000-0000-0000FF1D0000}"/>
    <cellStyle name="Normal 10 2 2 3 3 2 2 2" xfId="18836" xr:uid="{00000000-0005-0000-0000-0000001E0000}"/>
    <cellStyle name="Normal 10 2 2 3 3 2 2 2 2" xfId="42182" xr:uid="{00000000-0005-0000-0000-0000011E0000}"/>
    <cellStyle name="Normal 10 2 2 3 3 2 2 3" xfId="18837" xr:uid="{00000000-0005-0000-0000-0000021E0000}"/>
    <cellStyle name="Normal 10 2 2 3 3 2 2 3 2" xfId="42183" xr:uid="{00000000-0005-0000-0000-0000031E0000}"/>
    <cellStyle name="Normal 10 2 2 3 3 2 2 4" xfId="42181" xr:uid="{00000000-0005-0000-0000-0000041E0000}"/>
    <cellStyle name="Normal 10 2 2 3 3 2 3" xfId="18838" xr:uid="{00000000-0005-0000-0000-0000051E0000}"/>
    <cellStyle name="Normal 10 2 2 3 3 2 3 2" xfId="18839" xr:uid="{00000000-0005-0000-0000-0000061E0000}"/>
    <cellStyle name="Normal 10 2 2 3 3 2 3 2 2" xfId="42185" xr:uid="{00000000-0005-0000-0000-0000071E0000}"/>
    <cellStyle name="Normal 10 2 2 3 3 2 3 3" xfId="42184" xr:uid="{00000000-0005-0000-0000-0000081E0000}"/>
    <cellStyle name="Normal 10 2 2 3 3 2 4" xfId="18840" xr:uid="{00000000-0005-0000-0000-0000091E0000}"/>
    <cellStyle name="Normal 10 2 2 3 3 2 4 2" xfId="42186" xr:uid="{00000000-0005-0000-0000-00000A1E0000}"/>
    <cellStyle name="Normal 10 2 2 3 3 2 5" xfId="18841" xr:uid="{00000000-0005-0000-0000-00000B1E0000}"/>
    <cellStyle name="Normal 10 2 2 3 3 2 5 2" xfId="42187" xr:uid="{00000000-0005-0000-0000-00000C1E0000}"/>
    <cellStyle name="Normal 10 2 2 3 3 2 6" xfId="18842" xr:uid="{00000000-0005-0000-0000-00000D1E0000}"/>
    <cellStyle name="Normal 10 2 2 3 3 2 6 2" xfId="42188" xr:uid="{00000000-0005-0000-0000-00000E1E0000}"/>
    <cellStyle name="Normal 10 2 2 3 3 2 7" xfId="26731" xr:uid="{00000000-0005-0000-0000-00000F1E0000}"/>
    <cellStyle name="Normal 10 2 2 3 3 3" xfId="18843" xr:uid="{00000000-0005-0000-0000-0000101E0000}"/>
    <cellStyle name="Normal 10 2 2 3 3 3 2" xfId="18844" xr:uid="{00000000-0005-0000-0000-0000111E0000}"/>
    <cellStyle name="Normal 10 2 2 3 3 3 2 2" xfId="42190" xr:uid="{00000000-0005-0000-0000-0000121E0000}"/>
    <cellStyle name="Normal 10 2 2 3 3 3 3" xfId="18845" xr:uid="{00000000-0005-0000-0000-0000131E0000}"/>
    <cellStyle name="Normal 10 2 2 3 3 3 3 2" xfId="42191" xr:uid="{00000000-0005-0000-0000-0000141E0000}"/>
    <cellStyle name="Normal 10 2 2 3 3 3 4" xfId="42189" xr:uid="{00000000-0005-0000-0000-0000151E0000}"/>
    <cellStyle name="Normal 10 2 2 3 3 4" xfId="18846" xr:uid="{00000000-0005-0000-0000-0000161E0000}"/>
    <cellStyle name="Normal 10 2 2 3 3 4 2" xfId="18847" xr:uid="{00000000-0005-0000-0000-0000171E0000}"/>
    <cellStyle name="Normal 10 2 2 3 3 4 2 2" xfId="42193" xr:uid="{00000000-0005-0000-0000-0000181E0000}"/>
    <cellStyle name="Normal 10 2 2 3 3 4 3" xfId="42192" xr:uid="{00000000-0005-0000-0000-0000191E0000}"/>
    <cellStyle name="Normal 10 2 2 3 3 5" xfId="18848" xr:uid="{00000000-0005-0000-0000-00001A1E0000}"/>
    <cellStyle name="Normal 10 2 2 3 3 5 2" xfId="42194" xr:uid="{00000000-0005-0000-0000-00001B1E0000}"/>
    <cellStyle name="Normal 10 2 2 3 3 6" xfId="18849" xr:uid="{00000000-0005-0000-0000-00001C1E0000}"/>
    <cellStyle name="Normal 10 2 2 3 3 6 2" xfId="42195" xr:uid="{00000000-0005-0000-0000-00001D1E0000}"/>
    <cellStyle name="Normal 10 2 2 3 3 7" xfId="18850" xr:uid="{00000000-0005-0000-0000-00001E1E0000}"/>
    <cellStyle name="Normal 10 2 2 3 3 7 2" xfId="42196" xr:uid="{00000000-0005-0000-0000-00001F1E0000}"/>
    <cellStyle name="Normal 10 2 2 3 3 8" xfId="26730" xr:uid="{00000000-0005-0000-0000-0000201E0000}"/>
    <cellStyle name="Normal 10 2 2 3 4" xfId="3217" xr:uid="{00000000-0005-0000-0000-0000211E0000}"/>
    <cellStyle name="Normal 10 2 2 3 4 2" xfId="18851" xr:uid="{00000000-0005-0000-0000-0000221E0000}"/>
    <cellStyle name="Normal 10 2 2 3 4 2 2" xfId="18852" xr:uid="{00000000-0005-0000-0000-0000231E0000}"/>
    <cellStyle name="Normal 10 2 2 3 4 2 2 2" xfId="42198" xr:uid="{00000000-0005-0000-0000-0000241E0000}"/>
    <cellStyle name="Normal 10 2 2 3 4 2 3" xfId="18853" xr:uid="{00000000-0005-0000-0000-0000251E0000}"/>
    <cellStyle name="Normal 10 2 2 3 4 2 3 2" xfId="42199" xr:uid="{00000000-0005-0000-0000-0000261E0000}"/>
    <cellStyle name="Normal 10 2 2 3 4 2 4" xfId="42197" xr:uid="{00000000-0005-0000-0000-0000271E0000}"/>
    <cellStyle name="Normal 10 2 2 3 4 3" xfId="18854" xr:uid="{00000000-0005-0000-0000-0000281E0000}"/>
    <cellStyle name="Normal 10 2 2 3 4 3 2" xfId="18855" xr:uid="{00000000-0005-0000-0000-0000291E0000}"/>
    <cellStyle name="Normal 10 2 2 3 4 3 2 2" xfId="42201" xr:uid="{00000000-0005-0000-0000-00002A1E0000}"/>
    <cellStyle name="Normal 10 2 2 3 4 3 3" xfId="42200" xr:uid="{00000000-0005-0000-0000-00002B1E0000}"/>
    <cellStyle name="Normal 10 2 2 3 4 4" xfId="18856" xr:uid="{00000000-0005-0000-0000-00002C1E0000}"/>
    <cellStyle name="Normal 10 2 2 3 4 4 2" xfId="42202" xr:uid="{00000000-0005-0000-0000-00002D1E0000}"/>
    <cellStyle name="Normal 10 2 2 3 4 5" xfId="18857" xr:uid="{00000000-0005-0000-0000-00002E1E0000}"/>
    <cellStyle name="Normal 10 2 2 3 4 5 2" xfId="42203" xr:uid="{00000000-0005-0000-0000-00002F1E0000}"/>
    <cellStyle name="Normal 10 2 2 3 4 6" xfId="18858" xr:uid="{00000000-0005-0000-0000-0000301E0000}"/>
    <cellStyle name="Normal 10 2 2 3 4 6 2" xfId="42204" xr:uid="{00000000-0005-0000-0000-0000311E0000}"/>
    <cellStyle name="Normal 10 2 2 3 4 7" xfId="26732" xr:uid="{00000000-0005-0000-0000-0000321E0000}"/>
    <cellStyle name="Normal 10 2 2 3 5" xfId="18859" xr:uid="{00000000-0005-0000-0000-0000331E0000}"/>
    <cellStyle name="Normal 10 2 2 3 5 2" xfId="18860" xr:uid="{00000000-0005-0000-0000-0000341E0000}"/>
    <cellStyle name="Normal 10 2 2 3 5 2 2" xfId="42206" xr:uid="{00000000-0005-0000-0000-0000351E0000}"/>
    <cellStyle name="Normal 10 2 2 3 5 3" xfId="18861" xr:uid="{00000000-0005-0000-0000-0000361E0000}"/>
    <cellStyle name="Normal 10 2 2 3 5 3 2" xfId="42207" xr:uid="{00000000-0005-0000-0000-0000371E0000}"/>
    <cellStyle name="Normal 10 2 2 3 5 4" xfId="42205" xr:uid="{00000000-0005-0000-0000-0000381E0000}"/>
    <cellStyle name="Normal 10 2 2 3 6" xfId="18862" xr:uid="{00000000-0005-0000-0000-0000391E0000}"/>
    <cellStyle name="Normal 10 2 2 3 6 2" xfId="18863" xr:uid="{00000000-0005-0000-0000-00003A1E0000}"/>
    <cellStyle name="Normal 10 2 2 3 6 2 2" xfId="42209" xr:uid="{00000000-0005-0000-0000-00003B1E0000}"/>
    <cellStyle name="Normal 10 2 2 3 6 3" xfId="42208" xr:uid="{00000000-0005-0000-0000-00003C1E0000}"/>
    <cellStyle name="Normal 10 2 2 3 7" xfId="18864" xr:uid="{00000000-0005-0000-0000-00003D1E0000}"/>
    <cellStyle name="Normal 10 2 2 3 7 2" xfId="42210" xr:uid="{00000000-0005-0000-0000-00003E1E0000}"/>
    <cellStyle name="Normal 10 2 2 3 8" xfId="18865" xr:uid="{00000000-0005-0000-0000-00003F1E0000}"/>
    <cellStyle name="Normal 10 2 2 3 8 2" xfId="42211" xr:uid="{00000000-0005-0000-0000-0000401E0000}"/>
    <cellStyle name="Normal 10 2 2 3 9" xfId="18866" xr:uid="{00000000-0005-0000-0000-0000411E0000}"/>
    <cellStyle name="Normal 10 2 2 3 9 2" xfId="42212" xr:uid="{00000000-0005-0000-0000-0000421E0000}"/>
    <cellStyle name="Normal 10 2 2 4" xfId="3218" xr:uid="{00000000-0005-0000-0000-0000431E0000}"/>
    <cellStyle name="Normal 10 2 2 4 2" xfId="3219" xr:uid="{00000000-0005-0000-0000-0000441E0000}"/>
    <cellStyle name="Normal 10 2 2 4 2 2" xfId="3220" xr:uid="{00000000-0005-0000-0000-0000451E0000}"/>
    <cellStyle name="Normal 10 2 2 4 2 2 2" xfId="18867" xr:uid="{00000000-0005-0000-0000-0000461E0000}"/>
    <cellStyle name="Normal 10 2 2 4 2 2 2 2" xfId="42213" xr:uid="{00000000-0005-0000-0000-0000471E0000}"/>
    <cellStyle name="Normal 10 2 2 4 2 2 3" xfId="18868" xr:uid="{00000000-0005-0000-0000-0000481E0000}"/>
    <cellStyle name="Normal 10 2 2 4 2 2 3 2" xfId="42214" xr:uid="{00000000-0005-0000-0000-0000491E0000}"/>
    <cellStyle name="Normal 10 2 2 4 2 2 4" xfId="26735" xr:uid="{00000000-0005-0000-0000-00004A1E0000}"/>
    <cellStyle name="Normal 10 2 2 4 2 3" xfId="18869" xr:uid="{00000000-0005-0000-0000-00004B1E0000}"/>
    <cellStyle name="Normal 10 2 2 4 2 3 2" xfId="18870" xr:uid="{00000000-0005-0000-0000-00004C1E0000}"/>
    <cellStyle name="Normal 10 2 2 4 2 3 2 2" xfId="42216" xr:uid="{00000000-0005-0000-0000-00004D1E0000}"/>
    <cellStyle name="Normal 10 2 2 4 2 3 3" xfId="42215" xr:uid="{00000000-0005-0000-0000-00004E1E0000}"/>
    <cellStyle name="Normal 10 2 2 4 2 4" xfId="18871" xr:uid="{00000000-0005-0000-0000-00004F1E0000}"/>
    <cellStyle name="Normal 10 2 2 4 2 4 2" xfId="42217" xr:uid="{00000000-0005-0000-0000-0000501E0000}"/>
    <cellStyle name="Normal 10 2 2 4 2 5" xfId="18872" xr:uid="{00000000-0005-0000-0000-0000511E0000}"/>
    <cellStyle name="Normal 10 2 2 4 2 5 2" xfId="42218" xr:uid="{00000000-0005-0000-0000-0000521E0000}"/>
    <cellStyle name="Normal 10 2 2 4 2 6" xfId="18873" xr:uid="{00000000-0005-0000-0000-0000531E0000}"/>
    <cellStyle name="Normal 10 2 2 4 2 6 2" xfId="42219" xr:uid="{00000000-0005-0000-0000-0000541E0000}"/>
    <cellStyle name="Normal 10 2 2 4 2 7" xfId="26734" xr:uid="{00000000-0005-0000-0000-0000551E0000}"/>
    <cellStyle name="Normal 10 2 2 4 3" xfId="3221" xr:uid="{00000000-0005-0000-0000-0000561E0000}"/>
    <cellStyle name="Normal 10 2 2 4 3 2" xfId="18874" xr:uid="{00000000-0005-0000-0000-0000571E0000}"/>
    <cellStyle name="Normal 10 2 2 4 3 2 2" xfId="42220" xr:uid="{00000000-0005-0000-0000-0000581E0000}"/>
    <cellStyle name="Normal 10 2 2 4 3 3" xfId="18875" xr:uid="{00000000-0005-0000-0000-0000591E0000}"/>
    <cellStyle name="Normal 10 2 2 4 3 3 2" xfId="42221" xr:uid="{00000000-0005-0000-0000-00005A1E0000}"/>
    <cellStyle name="Normal 10 2 2 4 3 4" xfId="26736" xr:uid="{00000000-0005-0000-0000-00005B1E0000}"/>
    <cellStyle name="Normal 10 2 2 4 4" xfId="18876" xr:uid="{00000000-0005-0000-0000-00005C1E0000}"/>
    <cellStyle name="Normal 10 2 2 4 4 2" xfId="18877" xr:uid="{00000000-0005-0000-0000-00005D1E0000}"/>
    <cellStyle name="Normal 10 2 2 4 4 2 2" xfId="42223" xr:uid="{00000000-0005-0000-0000-00005E1E0000}"/>
    <cellStyle name="Normal 10 2 2 4 4 3" xfId="42222" xr:uid="{00000000-0005-0000-0000-00005F1E0000}"/>
    <cellStyle name="Normal 10 2 2 4 5" xfId="18878" xr:uid="{00000000-0005-0000-0000-0000601E0000}"/>
    <cellStyle name="Normal 10 2 2 4 5 2" xfId="42224" xr:uid="{00000000-0005-0000-0000-0000611E0000}"/>
    <cellStyle name="Normal 10 2 2 4 6" xfId="18879" xr:uid="{00000000-0005-0000-0000-0000621E0000}"/>
    <cellStyle name="Normal 10 2 2 4 6 2" xfId="42225" xr:uid="{00000000-0005-0000-0000-0000631E0000}"/>
    <cellStyle name="Normal 10 2 2 4 7" xfId="18880" xr:uid="{00000000-0005-0000-0000-0000641E0000}"/>
    <cellStyle name="Normal 10 2 2 4 7 2" xfId="42226" xr:uid="{00000000-0005-0000-0000-0000651E0000}"/>
    <cellStyle name="Normal 10 2 2 4 8" xfId="26733" xr:uid="{00000000-0005-0000-0000-0000661E0000}"/>
    <cellStyle name="Normal 10 2 2 5" xfId="3222" xr:uid="{00000000-0005-0000-0000-0000671E0000}"/>
    <cellStyle name="Normal 10 2 2 5 2" xfId="3223" xr:uid="{00000000-0005-0000-0000-0000681E0000}"/>
    <cellStyle name="Normal 10 2 2 5 2 2" xfId="18881" xr:uid="{00000000-0005-0000-0000-0000691E0000}"/>
    <cellStyle name="Normal 10 2 2 5 2 2 2" xfId="18882" xr:uid="{00000000-0005-0000-0000-00006A1E0000}"/>
    <cellStyle name="Normal 10 2 2 5 2 2 2 2" xfId="42228" xr:uid="{00000000-0005-0000-0000-00006B1E0000}"/>
    <cellStyle name="Normal 10 2 2 5 2 2 3" xfId="18883" xr:uid="{00000000-0005-0000-0000-00006C1E0000}"/>
    <cellStyle name="Normal 10 2 2 5 2 2 3 2" xfId="42229" xr:uid="{00000000-0005-0000-0000-00006D1E0000}"/>
    <cellStyle name="Normal 10 2 2 5 2 2 4" xfId="42227" xr:uid="{00000000-0005-0000-0000-00006E1E0000}"/>
    <cellStyle name="Normal 10 2 2 5 2 3" xfId="18884" xr:uid="{00000000-0005-0000-0000-00006F1E0000}"/>
    <cellStyle name="Normal 10 2 2 5 2 3 2" xfId="18885" xr:uid="{00000000-0005-0000-0000-0000701E0000}"/>
    <cellStyle name="Normal 10 2 2 5 2 3 2 2" xfId="42231" xr:uid="{00000000-0005-0000-0000-0000711E0000}"/>
    <cellStyle name="Normal 10 2 2 5 2 3 3" xfId="42230" xr:uid="{00000000-0005-0000-0000-0000721E0000}"/>
    <cellStyle name="Normal 10 2 2 5 2 4" xfId="18886" xr:uid="{00000000-0005-0000-0000-0000731E0000}"/>
    <cellStyle name="Normal 10 2 2 5 2 4 2" xfId="42232" xr:uid="{00000000-0005-0000-0000-0000741E0000}"/>
    <cellStyle name="Normal 10 2 2 5 2 5" xfId="18887" xr:uid="{00000000-0005-0000-0000-0000751E0000}"/>
    <cellStyle name="Normal 10 2 2 5 2 5 2" xfId="42233" xr:uid="{00000000-0005-0000-0000-0000761E0000}"/>
    <cellStyle name="Normal 10 2 2 5 2 6" xfId="18888" xr:uid="{00000000-0005-0000-0000-0000771E0000}"/>
    <cellStyle name="Normal 10 2 2 5 2 6 2" xfId="42234" xr:uid="{00000000-0005-0000-0000-0000781E0000}"/>
    <cellStyle name="Normal 10 2 2 5 2 7" xfId="26738" xr:uid="{00000000-0005-0000-0000-0000791E0000}"/>
    <cellStyle name="Normal 10 2 2 5 3" xfId="18889" xr:uid="{00000000-0005-0000-0000-00007A1E0000}"/>
    <cellStyle name="Normal 10 2 2 5 3 2" xfId="18890" xr:uid="{00000000-0005-0000-0000-00007B1E0000}"/>
    <cellStyle name="Normal 10 2 2 5 3 2 2" xfId="42236" xr:uid="{00000000-0005-0000-0000-00007C1E0000}"/>
    <cellStyle name="Normal 10 2 2 5 3 3" xfId="18891" xr:uid="{00000000-0005-0000-0000-00007D1E0000}"/>
    <cellStyle name="Normal 10 2 2 5 3 3 2" xfId="42237" xr:uid="{00000000-0005-0000-0000-00007E1E0000}"/>
    <cellStyle name="Normal 10 2 2 5 3 4" xfId="42235" xr:uid="{00000000-0005-0000-0000-00007F1E0000}"/>
    <cellStyle name="Normal 10 2 2 5 4" xfId="18892" xr:uid="{00000000-0005-0000-0000-0000801E0000}"/>
    <cellStyle name="Normal 10 2 2 5 4 2" xfId="18893" xr:uid="{00000000-0005-0000-0000-0000811E0000}"/>
    <cellStyle name="Normal 10 2 2 5 4 2 2" xfId="42239" xr:uid="{00000000-0005-0000-0000-0000821E0000}"/>
    <cellStyle name="Normal 10 2 2 5 4 3" xfId="42238" xr:uid="{00000000-0005-0000-0000-0000831E0000}"/>
    <cellStyle name="Normal 10 2 2 5 5" xfId="18894" xr:uid="{00000000-0005-0000-0000-0000841E0000}"/>
    <cellStyle name="Normal 10 2 2 5 5 2" xfId="42240" xr:uid="{00000000-0005-0000-0000-0000851E0000}"/>
    <cellStyle name="Normal 10 2 2 5 6" xfId="18895" xr:uid="{00000000-0005-0000-0000-0000861E0000}"/>
    <cellStyle name="Normal 10 2 2 5 6 2" xfId="42241" xr:uid="{00000000-0005-0000-0000-0000871E0000}"/>
    <cellStyle name="Normal 10 2 2 5 7" xfId="18896" xr:uid="{00000000-0005-0000-0000-0000881E0000}"/>
    <cellStyle name="Normal 10 2 2 5 7 2" xfId="42242" xr:uid="{00000000-0005-0000-0000-0000891E0000}"/>
    <cellStyle name="Normal 10 2 2 5 8" xfId="26737" xr:uid="{00000000-0005-0000-0000-00008A1E0000}"/>
    <cellStyle name="Normal 10 2 2 6" xfId="3224" xr:uid="{00000000-0005-0000-0000-00008B1E0000}"/>
    <cellStyle name="Normal 10 2 2 6 2" xfId="18897" xr:uid="{00000000-0005-0000-0000-00008C1E0000}"/>
    <cellStyle name="Normal 10 2 2 6 2 2" xfId="18898" xr:uid="{00000000-0005-0000-0000-00008D1E0000}"/>
    <cellStyle name="Normal 10 2 2 6 2 2 2" xfId="42244" xr:uid="{00000000-0005-0000-0000-00008E1E0000}"/>
    <cellStyle name="Normal 10 2 2 6 2 3" xfId="18899" xr:uid="{00000000-0005-0000-0000-00008F1E0000}"/>
    <cellStyle name="Normal 10 2 2 6 2 3 2" xfId="42245" xr:uid="{00000000-0005-0000-0000-0000901E0000}"/>
    <cellStyle name="Normal 10 2 2 6 2 4" xfId="42243" xr:uid="{00000000-0005-0000-0000-0000911E0000}"/>
    <cellStyle name="Normal 10 2 2 6 3" xfId="18900" xr:uid="{00000000-0005-0000-0000-0000921E0000}"/>
    <cellStyle name="Normal 10 2 2 6 3 2" xfId="18901" xr:uid="{00000000-0005-0000-0000-0000931E0000}"/>
    <cellStyle name="Normal 10 2 2 6 3 2 2" xfId="42247" xr:uid="{00000000-0005-0000-0000-0000941E0000}"/>
    <cellStyle name="Normal 10 2 2 6 3 3" xfId="42246" xr:uid="{00000000-0005-0000-0000-0000951E0000}"/>
    <cellStyle name="Normal 10 2 2 6 4" xfId="18902" xr:uid="{00000000-0005-0000-0000-0000961E0000}"/>
    <cellStyle name="Normal 10 2 2 6 4 2" xfId="42248" xr:uid="{00000000-0005-0000-0000-0000971E0000}"/>
    <cellStyle name="Normal 10 2 2 6 5" xfId="18903" xr:uid="{00000000-0005-0000-0000-0000981E0000}"/>
    <cellStyle name="Normal 10 2 2 6 5 2" xfId="42249" xr:uid="{00000000-0005-0000-0000-0000991E0000}"/>
    <cellStyle name="Normal 10 2 2 6 6" xfId="18904" xr:uid="{00000000-0005-0000-0000-00009A1E0000}"/>
    <cellStyle name="Normal 10 2 2 6 6 2" xfId="42250" xr:uid="{00000000-0005-0000-0000-00009B1E0000}"/>
    <cellStyle name="Normal 10 2 2 6 7" xfId="26739" xr:uid="{00000000-0005-0000-0000-00009C1E0000}"/>
    <cellStyle name="Normal 10 2 2 7" xfId="18905" xr:uid="{00000000-0005-0000-0000-00009D1E0000}"/>
    <cellStyle name="Normal 10 2 2 7 2" xfId="18906" xr:uid="{00000000-0005-0000-0000-00009E1E0000}"/>
    <cellStyle name="Normal 10 2 2 7 2 2" xfId="42252" xr:uid="{00000000-0005-0000-0000-00009F1E0000}"/>
    <cellStyle name="Normal 10 2 2 7 3" xfId="18907" xr:uid="{00000000-0005-0000-0000-0000A01E0000}"/>
    <cellStyle name="Normal 10 2 2 7 3 2" xfId="42253" xr:uid="{00000000-0005-0000-0000-0000A11E0000}"/>
    <cellStyle name="Normal 10 2 2 7 4" xfId="42251" xr:uid="{00000000-0005-0000-0000-0000A21E0000}"/>
    <cellStyle name="Normal 10 2 2 8" xfId="18908" xr:uid="{00000000-0005-0000-0000-0000A31E0000}"/>
    <cellStyle name="Normal 10 2 2 8 2" xfId="18909" xr:uid="{00000000-0005-0000-0000-0000A41E0000}"/>
    <cellStyle name="Normal 10 2 2 8 2 2" xfId="42255" xr:uid="{00000000-0005-0000-0000-0000A51E0000}"/>
    <cellStyle name="Normal 10 2 2 8 3" xfId="42254" xr:uid="{00000000-0005-0000-0000-0000A61E0000}"/>
    <cellStyle name="Normal 10 2 2 9" xfId="18910" xr:uid="{00000000-0005-0000-0000-0000A71E0000}"/>
    <cellStyle name="Normal 10 2 2 9 2" xfId="42256" xr:uid="{00000000-0005-0000-0000-0000A81E0000}"/>
    <cellStyle name="Normal 10 2 3" xfId="63" xr:uid="{00000000-0005-0000-0000-0000A91E0000}"/>
    <cellStyle name="Normal 10 2 3 10" xfId="23643" xr:uid="{00000000-0005-0000-0000-0000AA1E0000}"/>
    <cellStyle name="Normal 10 2 3 2" xfId="3225" xr:uid="{00000000-0005-0000-0000-0000AB1E0000}"/>
    <cellStyle name="Normal 10 2 3 2 2" xfId="3226" xr:uid="{00000000-0005-0000-0000-0000AC1E0000}"/>
    <cellStyle name="Normal 10 2 3 2 2 2" xfId="3227" xr:uid="{00000000-0005-0000-0000-0000AD1E0000}"/>
    <cellStyle name="Normal 10 2 3 2 2 2 2" xfId="3228" xr:uid="{00000000-0005-0000-0000-0000AE1E0000}"/>
    <cellStyle name="Normal 10 2 3 2 2 2 2 2" xfId="26743" xr:uid="{00000000-0005-0000-0000-0000AF1E0000}"/>
    <cellStyle name="Normal 10 2 3 2 2 2 3" xfId="18911" xr:uid="{00000000-0005-0000-0000-0000B01E0000}"/>
    <cellStyle name="Normal 10 2 3 2 2 2 3 2" xfId="42257" xr:uid="{00000000-0005-0000-0000-0000B11E0000}"/>
    <cellStyle name="Normal 10 2 3 2 2 2 4" xfId="26742" xr:uid="{00000000-0005-0000-0000-0000B21E0000}"/>
    <cellStyle name="Normal 10 2 3 2 2 3" xfId="3229" xr:uid="{00000000-0005-0000-0000-0000B31E0000}"/>
    <cellStyle name="Normal 10 2 3 2 2 3 2" xfId="18912" xr:uid="{00000000-0005-0000-0000-0000B41E0000}"/>
    <cellStyle name="Normal 10 2 3 2 2 3 2 2" xfId="42258" xr:uid="{00000000-0005-0000-0000-0000B51E0000}"/>
    <cellStyle name="Normal 10 2 3 2 2 3 3" xfId="26744" xr:uid="{00000000-0005-0000-0000-0000B61E0000}"/>
    <cellStyle name="Normal 10 2 3 2 2 4" xfId="18913" xr:uid="{00000000-0005-0000-0000-0000B71E0000}"/>
    <cellStyle name="Normal 10 2 3 2 2 4 2" xfId="42259" xr:uid="{00000000-0005-0000-0000-0000B81E0000}"/>
    <cellStyle name="Normal 10 2 3 2 2 5" xfId="18914" xr:uid="{00000000-0005-0000-0000-0000B91E0000}"/>
    <cellStyle name="Normal 10 2 3 2 2 5 2" xfId="42260" xr:uid="{00000000-0005-0000-0000-0000BA1E0000}"/>
    <cellStyle name="Normal 10 2 3 2 2 6" xfId="18915" xr:uid="{00000000-0005-0000-0000-0000BB1E0000}"/>
    <cellStyle name="Normal 10 2 3 2 2 6 2" xfId="42261" xr:uid="{00000000-0005-0000-0000-0000BC1E0000}"/>
    <cellStyle name="Normal 10 2 3 2 2 7" xfId="26741" xr:uid="{00000000-0005-0000-0000-0000BD1E0000}"/>
    <cellStyle name="Normal 10 2 3 2 3" xfId="3230" xr:uid="{00000000-0005-0000-0000-0000BE1E0000}"/>
    <cellStyle name="Normal 10 2 3 2 3 2" xfId="3231" xr:uid="{00000000-0005-0000-0000-0000BF1E0000}"/>
    <cellStyle name="Normal 10 2 3 2 3 2 2" xfId="26746" xr:uid="{00000000-0005-0000-0000-0000C01E0000}"/>
    <cellStyle name="Normal 10 2 3 2 3 3" xfId="18916" xr:uid="{00000000-0005-0000-0000-0000C11E0000}"/>
    <cellStyle name="Normal 10 2 3 2 3 3 2" xfId="42262" xr:uid="{00000000-0005-0000-0000-0000C21E0000}"/>
    <cellStyle name="Normal 10 2 3 2 3 4" xfId="26745" xr:uid="{00000000-0005-0000-0000-0000C31E0000}"/>
    <cellStyle name="Normal 10 2 3 2 4" xfId="3232" xr:uid="{00000000-0005-0000-0000-0000C41E0000}"/>
    <cellStyle name="Normal 10 2 3 2 4 2" xfId="18917" xr:uid="{00000000-0005-0000-0000-0000C51E0000}"/>
    <cellStyle name="Normal 10 2 3 2 4 2 2" xfId="42263" xr:uid="{00000000-0005-0000-0000-0000C61E0000}"/>
    <cellStyle name="Normal 10 2 3 2 4 3" xfId="26747" xr:uid="{00000000-0005-0000-0000-0000C71E0000}"/>
    <cellStyle name="Normal 10 2 3 2 5" xfId="18918" xr:uid="{00000000-0005-0000-0000-0000C81E0000}"/>
    <cellStyle name="Normal 10 2 3 2 5 2" xfId="42264" xr:uid="{00000000-0005-0000-0000-0000C91E0000}"/>
    <cellStyle name="Normal 10 2 3 2 6" xfId="18919" xr:uid="{00000000-0005-0000-0000-0000CA1E0000}"/>
    <cellStyle name="Normal 10 2 3 2 6 2" xfId="42265" xr:uid="{00000000-0005-0000-0000-0000CB1E0000}"/>
    <cellStyle name="Normal 10 2 3 2 7" xfId="18920" xr:uid="{00000000-0005-0000-0000-0000CC1E0000}"/>
    <cellStyle name="Normal 10 2 3 2 7 2" xfId="42266" xr:uid="{00000000-0005-0000-0000-0000CD1E0000}"/>
    <cellStyle name="Normal 10 2 3 2 8" xfId="26740" xr:uid="{00000000-0005-0000-0000-0000CE1E0000}"/>
    <cellStyle name="Normal 10 2 3 3" xfId="3233" xr:uid="{00000000-0005-0000-0000-0000CF1E0000}"/>
    <cellStyle name="Normal 10 2 3 3 2" xfId="3234" xr:uid="{00000000-0005-0000-0000-0000D01E0000}"/>
    <cellStyle name="Normal 10 2 3 3 2 2" xfId="3235" xr:uid="{00000000-0005-0000-0000-0000D11E0000}"/>
    <cellStyle name="Normal 10 2 3 3 2 2 2" xfId="3236" xr:uid="{00000000-0005-0000-0000-0000D21E0000}"/>
    <cellStyle name="Normal 10 2 3 3 2 2 2 2" xfId="26751" xr:uid="{00000000-0005-0000-0000-0000D31E0000}"/>
    <cellStyle name="Normal 10 2 3 3 2 2 3" xfId="18921" xr:uid="{00000000-0005-0000-0000-0000D41E0000}"/>
    <cellStyle name="Normal 10 2 3 3 2 2 3 2" xfId="42267" xr:uid="{00000000-0005-0000-0000-0000D51E0000}"/>
    <cellStyle name="Normal 10 2 3 3 2 2 4" xfId="26750" xr:uid="{00000000-0005-0000-0000-0000D61E0000}"/>
    <cellStyle name="Normal 10 2 3 3 2 3" xfId="3237" xr:uid="{00000000-0005-0000-0000-0000D71E0000}"/>
    <cellStyle name="Normal 10 2 3 3 2 3 2" xfId="18922" xr:uid="{00000000-0005-0000-0000-0000D81E0000}"/>
    <cellStyle name="Normal 10 2 3 3 2 3 2 2" xfId="42268" xr:uid="{00000000-0005-0000-0000-0000D91E0000}"/>
    <cellStyle name="Normal 10 2 3 3 2 3 3" xfId="26752" xr:uid="{00000000-0005-0000-0000-0000DA1E0000}"/>
    <cellStyle name="Normal 10 2 3 3 2 4" xfId="18923" xr:uid="{00000000-0005-0000-0000-0000DB1E0000}"/>
    <cellStyle name="Normal 10 2 3 3 2 4 2" xfId="42269" xr:uid="{00000000-0005-0000-0000-0000DC1E0000}"/>
    <cellStyle name="Normal 10 2 3 3 2 5" xfId="18924" xr:uid="{00000000-0005-0000-0000-0000DD1E0000}"/>
    <cellStyle name="Normal 10 2 3 3 2 5 2" xfId="42270" xr:uid="{00000000-0005-0000-0000-0000DE1E0000}"/>
    <cellStyle name="Normal 10 2 3 3 2 6" xfId="18925" xr:uid="{00000000-0005-0000-0000-0000DF1E0000}"/>
    <cellStyle name="Normal 10 2 3 3 2 6 2" xfId="42271" xr:uid="{00000000-0005-0000-0000-0000E01E0000}"/>
    <cellStyle name="Normal 10 2 3 3 2 7" xfId="26749" xr:uid="{00000000-0005-0000-0000-0000E11E0000}"/>
    <cellStyle name="Normal 10 2 3 3 3" xfId="3238" xr:uid="{00000000-0005-0000-0000-0000E21E0000}"/>
    <cellStyle name="Normal 10 2 3 3 3 2" xfId="3239" xr:uid="{00000000-0005-0000-0000-0000E31E0000}"/>
    <cellStyle name="Normal 10 2 3 3 3 2 2" xfId="26754" xr:uid="{00000000-0005-0000-0000-0000E41E0000}"/>
    <cellStyle name="Normal 10 2 3 3 3 3" xfId="18926" xr:uid="{00000000-0005-0000-0000-0000E51E0000}"/>
    <cellStyle name="Normal 10 2 3 3 3 3 2" xfId="42272" xr:uid="{00000000-0005-0000-0000-0000E61E0000}"/>
    <cellStyle name="Normal 10 2 3 3 3 4" xfId="26753" xr:uid="{00000000-0005-0000-0000-0000E71E0000}"/>
    <cellStyle name="Normal 10 2 3 3 4" xfId="3240" xr:uid="{00000000-0005-0000-0000-0000E81E0000}"/>
    <cellStyle name="Normal 10 2 3 3 4 2" xfId="18927" xr:uid="{00000000-0005-0000-0000-0000E91E0000}"/>
    <cellStyle name="Normal 10 2 3 3 4 2 2" xfId="42273" xr:uid="{00000000-0005-0000-0000-0000EA1E0000}"/>
    <cellStyle name="Normal 10 2 3 3 4 3" xfId="26755" xr:uid="{00000000-0005-0000-0000-0000EB1E0000}"/>
    <cellStyle name="Normal 10 2 3 3 5" xfId="18928" xr:uid="{00000000-0005-0000-0000-0000EC1E0000}"/>
    <cellStyle name="Normal 10 2 3 3 5 2" xfId="42274" xr:uid="{00000000-0005-0000-0000-0000ED1E0000}"/>
    <cellStyle name="Normal 10 2 3 3 6" xfId="18929" xr:uid="{00000000-0005-0000-0000-0000EE1E0000}"/>
    <cellStyle name="Normal 10 2 3 3 6 2" xfId="42275" xr:uid="{00000000-0005-0000-0000-0000EF1E0000}"/>
    <cellStyle name="Normal 10 2 3 3 7" xfId="18930" xr:uid="{00000000-0005-0000-0000-0000F01E0000}"/>
    <cellStyle name="Normal 10 2 3 3 7 2" xfId="42276" xr:uid="{00000000-0005-0000-0000-0000F11E0000}"/>
    <cellStyle name="Normal 10 2 3 3 8" xfId="26748" xr:uid="{00000000-0005-0000-0000-0000F21E0000}"/>
    <cellStyle name="Normal 10 2 3 4" xfId="3241" xr:uid="{00000000-0005-0000-0000-0000F31E0000}"/>
    <cellStyle name="Normal 10 2 3 4 2" xfId="3242" xr:uid="{00000000-0005-0000-0000-0000F41E0000}"/>
    <cellStyle name="Normal 10 2 3 4 2 2" xfId="3243" xr:uid="{00000000-0005-0000-0000-0000F51E0000}"/>
    <cellStyle name="Normal 10 2 3 4 2 2 2" xfId="26758" xr:uid="{00000000-0005-0000-0000-0000F61E0000}"/>
    <cellStyle name="Normal 10 2 3 4 2 3" xfId="18931" xr:uid="{00000000-0005-0000-0000-0000F71E0000}"/>
    <cellStyle name="Normal 10 2 3 4 2 3 2" xfId="42277" xr:uid="{00000000-0005-0000-0000-0000F81E0000}"/>
    <cellStyle name="Normal 10 2 3 4 2 4" xfId="26757" xr:uid="{00000000-0005-0000-0000-0000F91E0000}"/>
    <cellStyle name="Normal 10 2 3 4 3" xfId="3244" xr:uid="{00000000-0005-0000-0000-0000FA1E0000}"/>
    <cellStyle name="Normal 10 2 3 4 3 2" xfId="18932" xr:uid="{00000000-0005-0000-0000-0000FB1E0000}"/>
    <cellStyle name="Normal 10 2 3 4 3 2 2" xfId="42278" xr:uid="{00000000-0005-0000-0000-0000FC1E0000}"/>
    <cellStyle name="Normal 10 2 3 4 3 3" xfId="26759" xr:uid="{00000000-0005-0000-0000-0000FD1E0000}"/>
    <cellStyle name="Normal 10 2 3 4 4" xfId="18933" xr:uid="{00000000-0005-0000-0000-0000FE1E0000}"/>
    <cellStyle name="Normal 10 2 3 4 4 2" xfId="42279" xr:uid="{00000000-0005-0000-0000-0000FF1E0000}"/>
    <cellStyle name="Normal 10 2 3 4 5" xfId="18934" xr:uid="{00000000-0005-0000-0000-0000001F0000}"/>
    <cellStyle name="Normal 10 2 3 4 5 2" xfId="42280" xr:uid="{00000000-0005-0000-0000-0000011F0000}"/>
    <cellStyle name="Normal 10 2 3 4 6" xfId="18935" xr:uid="{00000000-0005-0000-0000-0000021F0000}"/>
    <cellStyle name="Normal 10 2 3 4 6 2" xfId="42281" xr:uid="{00000000-0005-0000-0000-0000031F0000}"/>
    <cellStyle name="Normal 10 2 3 4 7" xfId="26756" xr:uid="{00000000-0005-0000-0000-0000041F0000}"/>
    <cellStyle name="Normal 10 2 3 5" xfId="3245" xr:uid="{00000000-0005-0000-0000-0000051F0000}"/>
    <cellStyle name="Normal 10 2 3 5 2" xfId="3246" xr:uid="{00000000-0005-0000-0000-0000061F0000}"/>
    <cellStyle name="Normal 10 2 3 5 2 2" xfId="26761" xr:uid="{00000000-0005-0000-0000-0000071F0000}"/>
    <cellStyle name="Normal 10 2 3 5 3" xfId="18936" xr:uid="{00000000-0005-0000-0000-0000081F0000}"/>
    <cellStyle name="Normal 10 2 3 5 3 2" xfId="42282" xr:uid="{00000000-0005-0000-0000-0000091F0000}"/>
    <cellStyle name="Normal 10 2 3 5 4" xfId="26760" xr:uid="{00000000-0005-0000-0000-00000A1F0000}"/>
    <cellStyle name="Normal 10 2 3 6" xfId="3247" xr:uid="{00000000-0005-0000-0000-00000B1F0000}"/>
    <cellStyle name="Normal 10 2 3 6 2" xfId="18937" xr:uid="{00000000-0005-0000-0000-00000C1F0000}"/>
    <cellStyle name="Normal 10 2 3 6 2 2" xfId="42283" xr:uid="{00000000-0005-0000-0000-00000D1F0000}"/>
    <cellStyle name="Normal 10 2 3 6 3" xfId="26762" xr:uid="{00000000-0005-0000-0000-00000E1F0000}"/>
    <cellStyle name="Normal 10 2 3 7" xfId="18938" xr:uid="{00000000-0005-0000-0000-00000F1F0000}"/>
    <cellStyle name="Normal 10 2 3 7 2" xfId="42284" xr:uid="{00000000-0005-0000-0000-0000101F0000}"/>
    <cellStyle name="Normal 10 2 3 8" xfId="18939" xr:uid="{00000000-0005-0000-0000-0000111F0000}"/>
    <cellStyle name="Normal 10 2 3 8 2" xfId="42285" xr:uid="{00000000-0005-0000-0000-0000121F0000}"/>
    <cellStyle name="Normal 10 2 3 9" xfId="18940" xr:uid="{00000000-0005-0000-0000-0000131F0000}"/>
    <cellStyle name="Normal 10 2 3 9 2" xfId="42286" xr:uid="{00000000-0005-0000-0000-0000141F0000}"/>
    <cellStyle name="Normal 10 2 4" xfId="3248" xr:uid="{00000000-0005-0000-0000-0000151F0000}"/>
    <cellStyle name="Normal 10 2 4 10" xfId="26763" xr:uid="{00000000-0005-0000-0000-0000161F0000}"/>
    <cellStyle name="Normal 10 2 4 2" xfId="3249" xr:uid="{00000000-0005-0000-0000-0000171F0000}"/>
    <cellStyle name="Normal 10 2 4 2 2" xfId="3250" xr:uid="{00000000-0005-0000-0000-0000181F0000}"/>
    <cellStyle name="Normal 10 2 4 2 2 2" xfId="3251" xr:uid="{00000000-0005-0000-0000-0000191F0000}"/>
    <cellStyle name="Normal 10 2 4 2 2 2 2" xfId="3252" xr:uid="{00000000-0005-0000-0000-00001A1F0000}"/>
    <cellStyle name="Normal 10 2 4 2 2 2 2 2" xfId="26767" xr:uid="{00000000-0005-0000-0000-00001B1F0000}"/>
    <cellStyle name="Normal 10 2 4 2 2 2 3" xfId="18941" xr:uid="{00000000-0005-0000-0000-00001C1F0000}"/>
    <cellStyle name="Normal 10 2 4 2 2 2 3 2" xfId="42287" xr:uid="{00000000-0005-0000-0000-00001D1F0000}"/>
    <cellStyle name="Normal 10 2 4 2 2 2 4" xfId="26766" xr:uid="{00000000-0005-0000-0000-00001E1F0000}"/>
    <cellStyle name="Normal 10 2 4 2 2 3" xfId="3253" xr:uid="{00000000-0005-0000-0000-00001F1F0000}"/>
    <cellStyle name="Normal 10 2 4 2 2 3 2" xfId="18942" xr:uid="{00000000-0005-0000-0000-0000201F0000}"/>
    <cellStyle name="Normal 10 2 4 2 2 3 2 2" xfId="42288" xr:uid="{00000000-0005-0000-0000-0000211F0000}"/>
    <cellStyle name="Normal 10 2 4 2 2 3 3" xfId="26768" xr:uid="{00000000-0005-0000-0000-0000221F0000}"/>
    <cellStyle name="Normal 10 2 4 2 2 4" xfId="18943" xr:uid="{00000000-0005-0000-0000-0000231F0000}"/>
    <cellStyle name="Normal 10 2 4 2 2 4 2" xfId="42289" xr:uid="{00000000-0005-0000-0000-0000241F0000}"/>
    <cellStyle name="Normal 10 2 4 2 2 5" xfId="18944" xr:uid="{00000000-0005-0000-0000-0000251F0000}"/>
    <cellStyle name="Normal 10 2 4 2 2 5 2" xfId="42290" xr:uid="{00000000-0005-0000-0000-0000261F0000}"/>
    <cellStyle name="Normal 10 2 4 2 2 6" xfId="18945" xr:uid="{00000000-0005-0000-0000-0000271F0000}"/>
    <cellStyle name="Normal 10 2 4 2 2 6 2" xfId="42291" xr:uid="{00000000-0005-0000-0000-0000281F0000}"/>
    <cellStyle name="Normal 10 2 4 2 2 7" xfId="26765" xr:uid="{00000000-0005-0000-0000-0000291F0000}"/>
    <cellStyle name="Normal 10 2 4 2 3" xfId="3254" xr:uid="{00000000-0005-0000-0000-00002A1F0000}"/>
    <cellStyle name="Normal 10 2 4 2 3 2" xfId="3255" xr:uid="{00000000-0005-0000-0000-00002B1F0000}"/>
    <cellStyle name="Normal 10 2 4 2 3 2 2" xfId="26770" xr:uid="{00000000-0005-0000-0000-00002C1F0000}"/>
    <cellStyle name="Normal 10 2 4 2 3 3" xfId="18946" xr:uid="{00000000-0005-0000-0000-00002D1F0000}"/>
    <cellStyle name="Normal 10 2 4 2 3 3 2" xfId="42292" xr:uid="{00000000-0005-0000-0000-00002E1F0000}"/>
    <cellStyle name="Normal 10 2 4 2 3 4" xfId="26769" xr:uid="{00000000-0005-0000-0000-00002F1F0000}"/>
    <cellStyle name="Normal 10 2 4 2 4" xfId="3256" xr:uid="{00000000-0005-0000-0000-0000301F0000}"/>
    <cellStyle name="Normal 10 2 4 2 4 2" xfId="18947" xr:uid="{00000000-0005-0000-0000-0000311F0000}"/>
    <cellStyle name="Normal 10 2 4 2 4 2 2" xfId="42293" xr:uid="{00000000-0005-0000-0000-0000321F0000}"/>
    <cellStyle name="Normal 10 2 4 2 4 3" xfId="26771" xr:uid="{00000000-0005-0000-0000-0000331F0000}"/>
    <cellStyle name="Normal 10 2 4 2 5" xfId="18948" xr:uid="{00000000-0005-0000-0000-0000341F0000}"/>
    <cellStyle name="Normal 10 2 4 2 5 2" xfId="42294" xr:uid="{00000000-0005-0000-0000-0000351F0000}"/>
    <cellStyle name="Normal 10 2 4 2 6" xfId="18949" xr:uid="{00000000-0005-0000-0000-0000361F0000}"/>
    <cellStyle name="Normal 10 2 4 2 6 2" xfId="42295" xr:uid="{00000000-0005-0000-0000-0000371F0000}"/>
    <cellStyle name="Normal 10 2 4 2 7" xfId="18950" xr:uid="{00000000-0005-0000-0000-0000381F0000}"/>
    <cellStyle name="Normal 10 2 4 2 7 2" xfId="42296" xr:uid="{00000000-0005-0000-0000-0000391F0000}"/>
    <cellStyle name="Normal 10 2 4 2 8" xfId="26764" xr:uid="{00000000-0005-0000-0000-00003A1F0000}"/>
    <cellStyle name="Normal 10 2 4 3" xfId="3257" xr:uid="{00000000-0005-0000-0000-00003B1F0000}"/>
    <cellStyle name="Normal 10 2 4 3 2" xfId="3258" xr:uid="{00000000-0005-0000-0000-00003C1F0000}"/>
    <cellStyle name="Normal 10 2 4 3 2 2" xfId="3259" xr:uid="{00000000-0005-0000-0000-00003D1F0000}"/>
    <cellStyle name="Normal 10 2 4 3 2 2 2" xfId="3260" xr:uid="{00000000-0005-0000-0000-00003E1F0000}"/>
    <cellStyle name="Normal 10 2 4 3 2 2 2 2" xfId="26775" xr:uid="{00000000-0005-0000-0000-00003F1F0000}"/>
    <cellStyle name="Normal 10 2 4 3 2 2 3" xfId="18951" xr:uid="{00000000-0005-0000-0000-0000401F0000}"/>
    <cellStyle name="Normal 10 2 4 3 2 2 3 2" xfId="42297" xr:uid="{00000000-0005-0000-0000-0000411F0000}"/>
    <cellStyle name="Normal 10 2 4 3 2 2 4" xfId="26774" xr:uid="{00000000-0005-0000-0000-0000421F0000}"/>
    <cellStyle name="Normal 10 2 4 3 2 3" xfId="3261" xr:uid="{00000000-0005-0000-0000-0000431F0000}"/>
    <cellStyle name="Normal 10 2 4 3 2 3 2" xfId="18952" xr:uid="{00000000-0005-0000-0000-0000441F0000}"/>
    <cellStyle name="Normal 10 2 4 3 2 3 2 2" xfId="42298" xr:uid="{00000000-0005-0000-0000-0000451F0000}"/>
    <cellStyle name="Normal 10 2 4 3 2 3 3" xfId="26776" xr:uid="{00000000-0005-0000-0000-0000461F0000}"/>
    <cellStyle name="Normal 10 2 4 3 2 4" xfId="18953" xr:uid="{00000000-0005-0000-0000-0000471F0000}"/>
    <cellStyle name="Normal 10 2 4 3 2 4 2" xfId="42299" xr:uid="{00000000-0005-0000-0000-0000481F0000}"/>
    <cellStyle name="Normal 10 2 4 3 2 5" xfId="18954" xr:uid="{00000000-0005-0000-0000-0000491F0000}"/>
    <cellStyle name="Normal 10 2 4 3 2 5 2" xfId="42300" xr:uid="{00000000-0005-0000-0000-00004A1F0000}"/>
    <cellStyle name="Normal 10 2 4 3 2 6" xfId="18955" xr:uid="{00000000-0005-0000-0000-00004B1F0000}"/>
    <cellStyle name="Normal 10 2 4 3 2 6 2" xfId="42301" xr:uid="{00000000-0005-0000-0000-00004C1F0000}"/>
    <cellStyle name="Normal 10 2 4 3 2 7" xfId="26773" xr:uid="{00000000-0005-0000-0000-00004D1F0000}"/>
    <cellStyle name="Normal 10 2 4 3 3" xfId="3262" xr:uid="{00000000-0005-0000-0000-00004E1F0000}"/>
    <cellStyle name="Normal 10 2 4 3 3 2" xfId="3263" xr:uid="{00000000-0005-0000-0000-00004F1F0000}"/>
    <cellStyle name="Normal 10 2 4 3 3 2 2" xfId="26778" xr:uid="{00000000-0005-0000-0000-0000501F0000}"/>
    <cellStyle name="Normal 10 2 4 3 3 3" xfId="18956" xr:uid="{00000000-0005-0000-0000-0000511F0000}"/>
    <cellStyle name="Normal 10 2 4 3 3 3 2" xfId="42302" xr:uid="{00000000-0005-0000-0000-0000521F0000}"/>
    <cellStyle name="Normal 10 2 4 3 3 4" xfId="26777" xr:uid="{00000000-0005-0000-0000-0000531F0000}"/>
    <cellStyle name="Normal 10 2 4 3 4" xfId="3264" xr:uid="{00000000-0005-0000-0000-0000541F0000}"/>
    <cellStyle name="Normal 10 2 4 3 4 2" xfId="18957" xr:uid="{00000000-0005-0000-0000-0000551F0000}"/>
    <cellStyle name="Normal 10 2 4 3 4 2 2" xfId="42303" xr:uid="{00000000-0005-0000-0000-0000561F0000}"/>
    <cellStyle name="Normal 10 2 4 3 4 3" xfId="26779" xr:uid="{00000000-0005-0000-0000-0000571F0000}"/>
    <cellStyle name="Normal 10 2 4 3 5" xfId="18958" xr:uid="{00000000-0005-0000-0000-0000581F0000}"/>
    <cellStyle name="Normal 10 2 4 3 5 2" xfId="42304" xr:uid="{00000000-0005-0000-0000-0000591F0000}"/>
    <cellStyle name="Normal 10 2 4 3 6" xfId="18959" xr:uid="{00000000-0005-0000-0000-00005A1F0000}"/>
    <cellStyle name="Normal 10 2 4 3 6 2" xfId="42305" xr:uid="{00000000-0005-0000-0000-00005B1F0000}"/>
    <cellStyle name="Normal 10 2 4 3 7" xfId="18960" xr:uid="{00000000-0005-0000-0000-00005C1F0000}"/>
    <cellStyle name="Normal 10 2 4 3 7 2" xfId="42306" xr:uid="{00000000-0005-0000-0000-00005D1F0000}"/>
    <cellStyle name="Normal 10 2 4 3 8" xfId="26772" xr:uid="{00000000-0005-0000-0000-00005E1F0000}"/>
    <cellStyle name="Normal 10 2 4 4" xfId="3265" xr:uid="{00000000-0005-0000-0000-00005F1F0000}"/>
    <cellStyle name="Normal 10 2 4 4 2" xfId="3266" xr:uid="{00000000-0005-0000-0000-0000601F0000}"/>
    <cellStyle name="Normal 10 2 4 4 2 2" xfId="3267" xr:uid="{00000000-0005-0000-0000-0000611F0000}"/>
    <cellStyle name="Normal 10 2 4 4 2 2 2" xfId="26782" xr:uid="{00000000-0005-0000-0000-0000621F0000}"/>
    <cellStyle name="Normal 10 2 4 4 2 3" xfId="18961" xr:uid="{00000000-0005-0000-0000-0000631F0000}"/>
    <cellStyle name="Normal 10 2 4 4 2 3 2" xfId="42307" xr:uid="{00000000-0005-0000-0000-0000641F0000}"/>
    <cellStyle name="Normal 10 2 4 4 2 4" xfId="26781" xr:uid="{00000000-0005-0000-0000-0000651F0000}"/>
    <cellStyle name="Normal 10 2 4 4 3" xfId="3268" xr:uid="{00000000-0005-0000-0000-0000661F0000}"/>
    <cellStyle name="Normal 10 2 4 4 3 2" xfId="18962" xr:uid="{00000000-0005-0000-0000-0000671F0000}"/>
    <cellStyle name="Normal 10 2 4 4 3 2 2" xfId="42308" xr:uid="{00000000-0005-0000-0000-0000681F0000}"/>
    <cellStyle name="Normal 10 2 4 4 3 3" xfId="26783" xr:uid="{00000000-0005-0000-0000-0000691F0000}"/>
    <cellStyle name="Normal 10 2 4 4 4" xfId="18963" xr:uid="{00000000-0005-0000-0000-00006A1F0000}"/>
    <cellStyle name="Normal 10 2 4 4 4 2" xfId="42309" xr:uid="{00000000-0005-0000-0000-00006B1F0000}"/>
    <cellStyle name="Normal 10 2 4 4 5" xfId="18964" xr:uid="{00000000-0005-0000-0000-00006C1F0000}"/>
    <cellStyle name="Normal 10 2 4 4 5 2" xfId="42310" xr:uid="{00000000-0005-0000-0000-00006D1F0000}"/>
    <cellStyle name="Normal 10 2 4 4 6" xfId="18965" xr:uid="{00000000-0005-0000-0000-00006E1F0000}"/>
    <cellStyle name="Normal 10 2 4 4 6 2" xfId="42311" xr:uid="{00000000-0005-0000-0000-00006F1F0000}"/>
    <cellStyle name="Normal 10 2 4 4 7" xfId="26780" xr:uid="{00000000-0005-0000-0000-0000701F0000}"/>
    <cellStyle name="Normal 10 2 4 5" xfId="3269" xr:uid="{00000000-0005-0000-0000-0000711F0000}"/>
    <cellStyle name="Normal 10 2 4 5 2" xfId="3270" xr:uid="{00000000-0005-0000-0000-0000721F0000}"/>
    <cellStyle name="Normal 10 2 4 5 2 2" xfId="26785" xr:uid="{00000000-0005-0000-0000-0000731F0000}"/>
    <cellStyle name="Normal 10 2 4 5 3" xfId="18966" xr:uid="{00000000-0005-0000-0000-0000741F0000}"/>
    <cellStyle name="Normal 10 2 4 5 3 2" xfId="42312" xr:uid="{00000000-0005-0000-0000-0000751F0000}"/>
    <cellStyle name="Normal 10 2 4 5 4" xfId="26784" xr:uid="{00000000-0005-0000-0000-0000761F0000}"/>
    <cellStyle name="Normal 10 2 4 6" xfId="3271" xr:uid="{00000000-0005-0000-0000-0000771F0000}"/>
    <cellStyle name="Normal 10 2 4 6 2" xfId="18967" xr:uid="{00000000-0005-0000-0000-0000781F0000}"/>
    <cellStyle name="Normal 10 2 4 6 2 2" xfId="42313" xr:uid="{00000000-0005-0000-0000-0000791F0000}"/>
    <cellStyle name="Normal 10 2 4 6 3" xfId="26786" xr:uid="{00000000-0005-0000-0000-00007A1F0000}"/>
    <cellStyle name="Normal 10 2 4 7" xfId="18968" xr:uid="{00000000-0005-0000-0000-00007B1F0000}"/>
    <cellStyle name="Normal 10 2 4 7 2" xfId="42314" xr:uid="{00000000-0005-0000-0000-00007C1F0000}"/>
    <cellStyle name="Normal 10 2 4 8" xfId="18969" xr:uid="{00000000-0005-0000-0000-00007D1F0000}"/>
    <cellStyle name="Normal 10 2 4 8 2" xfId="42315" xr:uid="{00000000-0005-0000-0000-00007E1F0000}"/>
    <cellStyle name="Normal 10 2 4 9" xfId="18970" xr:uid="{00000000-0005-0000-0000-00007F1F0000}"/>
    <cellStyle name="Normal 10 2 4 9 2" xfId="42316" xr:uid="{00000000-0005-0000-0000-0000801F0000}"/>
    <cellStyle name="Normal 10 2 5" xfId="3272" xr:uid="{00000000-0005-0000-0000-0000811F0000}"/>
    <cellStyle name="Normal 10 2 5 2" xfId="3273" xr:uid="{00000000-0005-0000-0000-0000821F0000}"/>
    <cellStyle name="Normal 10 2 5 2 2" xfId="3274" xr:uid="{00000000-0005-0000-0000-0000831F0000}"/>
    <cellStyle name="Normal 10 2 5 2 2 2" xfId="3275" xr:uid="{00000000-0005-0000-0000-0000841F0000}"/>
    <cellStyle name="Normal 10 2 5 2 2 2 2" xfId="3276" xr:uid="{00000000-0005-0000-0000-0000851F0000}"/>
    <cellStyle name="Normal 10 2 5 2 2 2 2 2" xfId="26791" xr:uid="{00000000-0005-0000-0000-0000861F0000}"/>
    <cellStyle name="Normal 10 2 5 2 2 2 3" xfId="26790" xr:uid="{00000000-0005-0000-0000-0000871F0000}"/>
    <cellStyle name="Normal 10 2 5 2 2 3" xfId="3277" xr:uid="{00000000-0005-0000-0000-0000881F0000}"/>
    <cellStyle name="Normal 10 2 5 2 2 3 2" xfId="26792" xr:uid="{00000000-0005-0000-0000-0000891F0000}"/>
    <cellStyle name="Normal 10 2 5 2 2 4" xfId="26789" xr:uid="{00000000-0005-0000-0000-00008A1F0000}"/>
    <cellStyle name="Normal 10 2 5 2 3" xfId="3278" xr:uid="{00000000-0005-0000-0000-00008B1F0000}"/>
    <cellStyle name="Normal 10 2 5 2 3 2" xfId="3279" xr:uid="{00000000-0005-0000-0000-00008C1F0000}"/>
    <cellStyle name="Normal 10 2 5 2 3 2 2" xfId="26794" xr:uid="{00000000-0005-0000-0000-00008D1F0000}"/>
    <cellStyle name="Normal 10 2 5 2 3 3" xfId="26793" xr:uid="{00000000-0005-0000-0000-00008E1F0000}"/>
    <cellStyle name="Normal 10 2 5 2 4" xfId="3280" xr:uid="{00000000-0005-0000-0000-00008F1F0000}"/>
    <cellStyle name="Normal 10 2 5 2 4 2" xfId="26795" xr:uid="{00000000-0005-0000-0000-0000901F0000}"/>
    <cellStyle name="Normal 10 2 5 2 5" xfId="18971" xr:uid="{00000000-0005-0000-0000-0000911F0000}"/>
    <cellStyle name="Normal 10 2 5 2 5 2" xfId="42317" xr:uid="{00000000-0005-0000-0000-0000921F0000}"/>
    <cellStyle name="Normal 10 2 5 2 6" xfId="18972" xr:uid="{00000000-0005-0000-0000-0000931F0000}"/>
    <cellStyle name="Normal 10 2 5 2 6 2" xfId="42318" xr:uid="{00000000-0005-0000-0000-0000941F0000}"/>
    <cellStyle name="Normal 10 2 5 2 7" xfId="26788" xr:uid="{00000000-0005-0000-0000-0000951F0000}"/>
    <cellStyle name="Normal 10 2 5 3" xfId="3281" xr:uid="{00000000-0005-0000-0000-0000961F0000}"/>
    <cellStyle name="Normal 10 2 5 3 2" xfId="3282" xr:uid="{00000000-0005-0000-0000-0000971F0000}"/>
    <cellStyle name="Normal 10 2 5 3 2 2" xfId="3283" xr:uid="{00000000-0005-0000-0000-0000981F0000}"/>
    <cellStyle name="Normal 10 2 5 3 2 2 2" xfId="3284" xr:uid="{00000000-0005-0000-0000-0000991F0000}"/>
    <cellStyle name="Normal 10 2 5 3 2 2 2 2" xfId="26799" xr:uid="{00000000-0005-0000-0000-00009A1F0000}"/>
    <cellStyle name="Normal 10 2 5 3 2 2 3" xfId="26798" xr:uid="{00000000-0005-0000-0000-00009B1F0000}"/>
    <cellStyle name="Normal 10 2 5 3 2 3" xfId="3285" xr:uid="{00000000-0005-0000-0000-00009C1F0000}"/>
    <cellStyle name="Normal 10 2 5 3 2 3 2" xfId="26800" xr:uid="{00000000-0005-0000-0000-00009D1F0000}"/>
    <cellStyle name="Normal 10 2 5 3 2 4" xfId="26797" xr:uid="{00000000-0005-0000-0000-00009E1F0000}"/>
    <cellStyle name="Normal 10 2 5 3 3" xfId="3286" xr:uid="{00000000-0005-0000-0000-00009F1F0000}"/>
    <cellStyle name="Normal 10 2 5 3 3 2" xfId="3287" xr:uid="{00000000-0005-0000-0000-0000A01F0000}"/>
    <cellStyle name="Normal 10 2 5 3 3 2 2" xfId="26802" xr:uid="{00000000-0005-0000-0000-0000A11F0000}"/>
    <cellStyle name="Normal 10 2 5 3 3 3" xfId="26801" xr:uid="{00000000-0005-0000-0000-0000A21F0000}"/>
    <cellStyle name="Normal 10 2 5 3 4" xfId="3288" xr:uid="{00000000-0005-0000-0000-0000A31F0000}"/>
    <cellStyle name="Normal 10 2 5 3 4 2" xfId="26803" xr:uid="{00000000-0005-0000-0000-0000A41F0000}"/>
    <cellStyle name="Normal 10 2 5 3 5" xfId="26796" xr:uid="{00000000-0005-0000-0000-0000A51F0000}"/>
    <cellStyle name="Normal 10 2 5 4" xfId="3289" xr:uid="{00000000-0005-0000-0000-0000A61F0000}"/>
    <cellStyle name="Normal 10 2 5 4 2" xfId="3290" xr:uid="{00000000-0005-0000-0000-0000A71F0000}"/>
    <cellStyle name="Normal 10 2 5 4 2 2" xfId="3291" xr:uid="{00000000-0005-0000-0000-0000A81F0000}"/>
    <cellStyle name="Normal 10 2 5 4 2 2 2" xfId="26806" xr:uid="{00000000-0005-0000-0000-0000A91F0000}"/>
    <cellStyle name="Normal 10 2 5 4 2 3" xfId="26805" xr:uid="{00000000-0005-0000-0000-0000AA1F0000}"/>
    <cellStyle name="Normal 10 2 5 4 3" xfId="3292" xr:uid="{00000000-0005-0000-0000-0000AB1F0000}"/>
    <cellStyle name="Normal 10 2 5 4 3 2" xfId="26807" xr:uid="{00000000-0005-0000-0000-0000AC1F0000}"/>
    <cellStyle name="Normal 10 2 5 4 4" xfId="26804" xr:uid="{00000000-0005-0000-0000-0000AD1F0000}"/>
    <cellStyle name="Normal 10 2 5 5" xfId="3293" xr:uid="{00000000-0005-0000-0000-0000AE1F0000}"/>
    <cellStyle name="Normal 10 2 5 5 2" xfId="3294" xr:uid="{00000000-0005-0000-0000-0000AF1F0000}"/>
    <cellStyle name="Normal 10 2 5 5 2 2" xfId="26809" xr:uid="{00000000-0005-0000-0000-0000B01F0000}"/>
    <cellStyle name="Normal 10 2 5 5 3" xfId="26808" xr:uid="{00000000-0005-0000-0000-0000B11F0000}"/>
    <cellStyle name="Normal 10 2 5 6" xfId="3295" xr:uid="{00000000-0005-0000-0000-0000B21F0000}"/>
    <cellStyle name="Normal 10 2 5 6 2" xfId="26810" xr:uid="{00000000-0005-0000-0000-0000B31F0000}"/>
    <cellStyle name="Normal 10 2 5 7" xfId="18973" xr:uid="{00000000-0005-0000-0000-0000B41F0000}"/>
    <cellStyle name="Normal 10 2 5 7 2" xfId="42319" xr:uid="{00000000-0005-0000-0000-0000B51F0000}"/>
    <cellStyle name="Normal 10 2 5 8" xfId="26787" xr:uid="{00000000-0005-0000-0000-0000B61F0000}"/>
    <cellStyle name="Normal 10 2 6" xfId="3296" xr:uid="{00000000-0005-0000-0000-0000B71F0000}"/>
    <cellStyle name="Normal 10 2 6 2" xfId="3297" xr:uid="{00000000-0005-0000-0000-0000B81F0000}"/>
    <cellStyle name="Normal 10 2 6 2 2" xfId="3298" xr:uid="{00000000-0005-0000-0000-0000B91F0000}"/>
    <cellStyle name="Normal 10 2 6 2 2 2" xfId="3299" xr:uid="{00000000-0005-0000-0000-0000BA1F0000}"/>
    <cellStyle name="Normal 10 2 6 2 2 2 2" xfId="26814" xr:uid="{00000000-0005-0000-0000-0000BB1F0000}"/>
    <cellStyle name="Normal 10 2 6 2 2 3" xfId="18974" xr:uid="{00000000-0005-0000-0000-0000BC1F0000}"/>
    <cellStyle name="Normal 10 2 6 2 2 3 2" xfId="42320" xr:uid="{00000000-0005-0000-0000-0000BD1F0000}"/>
    <cellStyle name="Normal 10 2 6 2 2 4" xfId="26813" xr:uid="{00000000-0005-0000-0000-0000BE1F0000}"/>
    <cellStyle name="Normal 10 2 6 2 3" xfId="3300" xr:uid="{00000000-0005-0000-0000-0000BF1F0000}"/>
    <cellStyle name="Normal 10 2 6 2 3 2" xfId="18975" xr:uid="{00000000-0005-0000-0000-0000C01F0000}"/>
    <cellStyle name="Normal 10 2 6 2 3 2 2" xfId="42321" xr:uid="{00000000-0005-0000-0000-0000C11F0000}"/>
    <cellStyle name="Normal 10 2 6 2 3 3" xfId="26815" xr:uid="{00000000-0005-0000-0000-0000C21F0000}"/>
    <cellStyle name="Normal 10 2 6 2 4" xfId="18976" xr:uid="{00000000-0005-0000-0000-0000C31F0000}"/>
    <cellStyle name="Normal 10 2 6 2 4 2" xfId="42322" xr:uid="{00000000-0005-0000-0000-0000C41F0000}"/>
    <cellStyle name="Normal 10 2 6 2 5" xfId="18977" xr:uid="{00000000-0005-0000-0000-0000C51F0000}"/>
    <cellStyle name="Normal 10 2 6 2 5 2" xfId="42323" xr:uid="{00000000-0005-0000-0000-0000C61F0000}"/>
    <cellStyle name="Normal 10 2 6 2 6" xfId="18978" xr:uid="{00000000-0005-0000-0000-0000C71F0000}"/>
    <cellStyle name="Normal 10 2 6 2 6 2" xfId="42324" xr:uid="{00000000-0005-0000-0000-0000C81F0000}"/>
    <cellStyle name="Normal 10 2 6 2 7" xfId="26812" xr:uid="{00000000-0005-0000-0000-0000C91F0000}"/>
    <cellStyle name="Normal 10 2 6 3" xfId="3301" xr:uid="{00000000-0005-0000-0000-0000CA1F0000}"/>
    <cellStyle name="Normal 10 2 6 3 2" xfId="3302" xr:uid="{00000000-0005-0000-0000-0000CB1F0000}"/>
    <cellStyle name="Normal 10 2 6 3 2 2" xfId="26817" xr:uid="{00000000-0005-0000-0000-0000CC1F0000}"/>
    <cellStyle name="Normal 10 2 6 3 3" xfId="18979" xr:uid="{00000000-0005-0000-0000-0000CD1F0000}"/>
    <cellStyle name="Normal 10 2 6 3 3 2" xfId="42325" xr:uid="{00000000-0005-0000-0000-0000CE1F0000}"/>
    <cellStyle name="Normal 10 2 6 3 4" xfId="26816" xr:uid="{00000000-0005-0000-0000-0000CF1F0000}"/>
    <cellStyle name="Normal 10 2 6 4" xfId="3303" xr:uid="{00000000-0005-0000-0000-0000D01F0000}"/>
    <cellStyle name="Normal 10 2 6 4 2" xfId="18980" xr:uid="{00000000-0005-0000-0000-0000D11F0000}"/>
    <cellStyle name="Normal 10 2 6 4 2 2" xfId="42326" xr:uid="{00000000-0005-0000-0000-0000D21F0000}"/>
    <cellStyle name="Normal 10 2 6 4 3" xfId="26818" xr:uid="{00000000-0005-0000-0000-0000D31F0000}"/>
    <cellStyle name="Normal 10 2 6 5" xfId="18981" xr:uid="{00000000-0005-0000-0000-0000D41F0000}"/>
    <cellStyle name="Normal 10 2 6 5 2" xfId="42327" xr:uid="{00000000-0005-0000-0000-0000D51F0000}"/>
    <cellStyle name="Normal 10 2 6 6" xfId="18982" xr:uid="{00000000-0005-0000-0000-0000D61F0000}"/>
    <cellStyle name="Normal 10 2 6 6 2" xfId="42328" xr:uid="{00000000-0005-0000-0000-0000D71F0000}"/>
    <cellStyle name="Normal 10 2 6 7" xfId="18983" xr:uid="{00000000-0005-0000-0000-0000D81F0000}"/>
    <cellStyle name="Normal 10 2 6 7 2" xfId="42329" xr:uid="{00000000-0005-0000-0000-0000D91F0000}"/>
    <cellStyle name="Normal 10 2 6 8" xfId="26811" xr:uid="{00000000-0005-0000-0000-0000DA1F0000}"/>
    <cellStyle name="Normal 10 2 7" xfId="3304" xr:uid="{00000000-0005-0000-0000-0000DB1F0000}"/>
    <cellStyle name="Normal 10 2 7 2" xfId="3305" xr:uid="{00000000-0005-0000-0000-0000DC1F0000}"/>
    <cellStyle name="Normal 10 2 7 2 2" xfId="3306" xr:uid="{00000000-0005-0000-0000-0000DD1F0000}"/>
    <cellStyle name="Normal 10 2 7 2 2 2" xfId="3307" xr:uid="{00000000-0005-0000-0000-0000DE1F0000}"/>
    <cellStyle name="Normal 10 2 7 2 2 2 2" xfId="26822" xr:uid="{00000000-0005-0000-0000-0000DF1F0000}"/>
    <cellStyle name="Normal 10 2 7 2 2 3" xfId="26821" xr:uid="{00000000-0005-0000-0000-0000E01F0000}"/>
    <cellStyle name="Normal 10 2 7 2 3" xfId="3308" xr:uid="{00000000-0005-0000-0000-0000E11F0000}"/>
    <cellStyle name="Normal 10 2 7 2 3 2" xfId="26823" xr:uid="{00000000-0005-0000-0000-0000E21F0000}"/>
    <cellStyle name="Normal 10 2 7 2 4" xfId="26820" xr:uid="{00000000-0005-0000-0000-0000E31F0000}"/>
    <cellStyle name="Normal 10 2 7 3" xfId="3309" xr:uid="{00000000-0005-0000-0000-0000E41F0000}"/>
    <cellStyle name="Normal 10 2 7 3 2" xfId="3310" xr:uid="{00000000-0005-0000-0000-0000E51F0000}"/>
    <cellStyle name="Normal 10 2 7 3 2 2" xfId="26825" xr:uid="{00000000-0005-0000-0000-0000E61F0000}"/>
    <cellStyle name="Normal 10 2 7 3 3" xfId="26824" xr:uid="{00000000-0005-0000-0000-0000E71F0000}"/>
    <cellStyle name="Normal 10 2 7 4" xfId="3311" xr:uid="{00000000-0005-0000-0000-0000E81F0000}"/>
    <cellStyle name="Normal 10 2 7 4 2" xfId="26826" xr:uid="{00000000-0005-0000-0000-0000E91F0000}"/>
    <cellStyle name="Normal 10 2 7 5" xfId="18984" xr:uid="{00000000-0005-0000-0000-0000EA1F0000}"/>
    <cellStyle name="Normal 10 2 7 5 2" xfId="42330" xr:uid="{00000000-0005-0000-0000-0000EB1F0000}"/>
    <cellStyle name="Normal 10 2 7 6" xfId="18985" xr:uid="{00000000-0005-0000-0000-0000EC1F0000}"/>
    <cellStyle name="Normal 10 2 7 6 2" xfId="42331" xr:uid="{00000000-0005-0000-0000-0000ED1F0000}"/>
    <cellStyle name="Normal 10 2 7 7" xfId="26819" xr:uid="{00000000-0005-0000-0000-0000EE1F0000}"/>
    <cellStyle name="Normal 10 2 8" xfId="3312" xr:uid="{00000000-0005-0000-0000-0000EF1F0000}"/>
    <cellStyle name="Normal 10 2 8 2" xfId="3313" xr:uid="{00000000-0005-0000-0000-0000F01F0000}"/>
    <cellStyle name="Normal 10 2 8 2 2" xfId="3314" xr:uid="{00000000-0005-0000-0000-0000F11F0000}"/>
    <cellStyle name="Normal 10 2 8 2 2 2" xfId="26829" xr:uid="{00000000-0005-0000-0000-0000F21F0000}"/>
    <cellStyle name="Normal 10 2 8 2 3" xfId="26828" xr:uid="{00000000-0005-0000-0000-0000F31F0000}"/>
    <cellStyle name="Normal 10 2 8 3" xfId="3315" xr:uid="{00000000-0005-0000-0000-0000F41F0000}"/>
    <cellStyle name="Normal 10 2 8 3 2" xfId="26830" xr:uid="{00000000-0005-0000-0000-0000F51F0000}"/>
    <cellStyle name="Normal 10 2 8 4" xfId="26827" xr:uid="{00000000-0005-0000-0000-0000F61F0000}"/>
    <cellStyle name="Normal 10 2 9" xfId="3316" xr:uid="{00000000-0005-0000-0000-0000F71F0000}"/>
    <cellStyle name="Normal 10 2 9 2" xfId="3317" xr:uid="{00000000-0005-0000-0000-0000F81F0000}"/>
    <cellStyle name="Normal 10 2 9 2 2" xfId="26832" xr:uid="{00000000-0005-0000-0000-0000F91F0000}"/>
    <cellStyle name="Normal 10 2 9 3" xfId="26831" xr:uid="{00000000-0005-0000-0000-0000FA1F0000}"/>
    <cellStyle name="Normal 10 3" xfId="64" xr:uid="{00000000-0005-0000-0000-0000FB1F0000}"/>
    <cellStyle name="Normal 10 3 10" xfId="18986" xr:uid="{00000000-0005-0000-0000-0000FC1F0000}"/>
    <cellStyle name="Normal 10 3 10 2" xfId="42332" xr:uid="{00000000-0005-0000-0000-0000FD1F0000}"/>
    <cellStyle name="Normal 10 3 11" xfId="18987" xr:uid="{00000000-0005-0000-0000-0000FE1F0000}"/>
    <cellStyle name="Normal 10 3 11 2" xfId="42333" xr:uid="{00000000-0005-0000-0000-0000FF1F0000}"/>
    <cellStyle name="Normal 10 3 12" xfId="18988" xr:uid="{00000000-0005-0000-0000-000000200000}"/>
    <cellStyle name="Normal 10 3 12 2" xfId="42334" xr:uid="{00000000-0005-0000-0000-000001200000}"/>
    <cellStyle name="Normal 10 3 13" xfId="23644" xr:uid="{00000000-0005-0000-0000-000002200000}"/>
    <cellStyle name="Normal 10 3 2" xfId="65" xr:uid="{00000000-0005-0000-0000-000003200000}"/>
    <cellStyle name="Normal 10 3 2 10" xfId="18989" xr:uid="{00000000-0005-0000-0000-000004200000}"/>
    <cellStyle name="Normal 10 3 2 10 2" xfId="42335" xr:uid="{00000000-0005-0000-0000-000005200000}"/>
    <cellStyle name="Normal 10 3 2 11" xfId="18990" xr:uid="{00000000-0005-0000-0000-000006200000}"/>
    <cellStyle name="Normal 10 3 2 11 2" xfId="42336" xr:uid="{00000000-0005-0000-0000-000007200000}"/>
    <cellStyle name="Normal 10 3 2 12" xfId="23645" xr:uid="{00000000-0005-0000-0000-000008200000}"/>
    <cellStyle name="Normal 10 3 2 2" xfId="66" xr:uid="{00000000-0005-0000-0000-000009200000}"/>
    <cellStyle name="Normal 10 3 2 2 10" xfId="23646" xr:uid="{00000000-0005-0000-0000-00000A200000}"/>
    <cellStyle name="Normal 10 3 2 2 2" xfId="3319" xr:uid="{00000000-0005-0000-0000-00000B200000}"/>
    <cellStyle name="Normal 10 3 2 2 2 2" xfId="17907" xr:uid="{00000000-0005-0000-0000-00000C200000}"/>
    <cellStyle name="Normal 10 3 2 2 2 2 2" xfId="18991" xr:uid="{00000000-0005-0000-0000-00000D200000}"/>
    <cellStyle name="Normal 10 3 2 2 2 2 2 2" xfId="18992" xr:uid="{00000000-0005-0000-0000-00000E200000}"/>
    <cellStyle name="Normal 10 3 2 2 2 2 2 2 2" xfId="42338" xr:uid="{00000000-0005-0000-0000-00000F200000}"/>
    <cellStyle name="Normal 10 3 2 2 2 2 2 3" xfId="18993" xr:uid="{00000000-0005-0000-0000-000010200000}"/>
    <cellStyle name="Normal 10 3 2 2 2 2 2 3 2" xfId="42339" xr:uid="{00000000-0005-0000-0000-000011200000}"/>
    <cellStyle name="Normal 10 3 2 2 2 2 2 4" xfId="42337" xr:uid="{00000000-0005-0000-0000-000012200000}"/>
    <cellStyle name="Normal 10 3 2 2 2 2 3" xfId="18994" xr:uid="{00000000-0005-0000-0000-000013200000}"/>
    <cellStyle name="Normal 10 3 2 2 2 2 3 2" xfId="18995" xr:uid="{00000000-0005-0000-0000-000014200000}"/>
    <cellStyle name="Normal 10 3 2 2 2 2 3 2 2" xfId="42341" xr:uid="{00000000-0005-0000-0000-000015200000}"/>
    <cellStyle name="Normal 10 3 2 2 2 2 3 3" xfId="42340" xr:uid="{00000000-0005-0000-0000-000016200000}"/>
    <cellStyle name="Normal 10 3 2 2 2 2 4" xfId="18996" xr:uid="{00000000-0005-0000-0000-000017200000}"/>
    <cellStyle name="Normal 10 3 2 2 2 2 4 2" xfId="42342" xr:uid="{00000000-0005-0000-0000-000018200000}"/>
    <cellStyle name="Normal 10 3 2 2 2 2 5" xfId="18997" xr:uid="{00000000-0005-0000-0000-000019200000}"/>
    <cellStyle name="Normal 10 3 2 2 2 2 5 2" xfId="42343" xr:uid="{00000000-0005-0000-0000-00001A200000}"/>
    <cellStyle name="Normal 10 3 2 2 2 2 6" xfId="18998" xr:uid="{00000000-0005-0000-0000-00001B200000}"/>
    <cellStyle name="Normal 10 3 2 2 2 2 6 2" xfId="42344" xr:uid="{00000000-0005-0000-0000-00001C200000}"/>
    <cellStyle name="Normal 10 3 2 2 2 2 7" xfId="41367" xr:uid="{00000000-0005-0000-0000-00001D200000}"/>
    <cellStyle name="Normal 10 3 2 2 2 3" xfId="18999" xr:uid="{00000000-0005-0000-0000-00001E200000}"/>
    <cellStyle name="Normal 10 3 2 2 2 3 2" xfId="19000" xr:uid="{00000000-0005-0000-0000-00001F200000}"/>
    <cellStyle name="Normal 10 3 2 2 2 3 2 2" xfId="42346" xr:uid="{00000000-0005-0000-0000-000020200000}"/>
    <cellStyle name="Normal 10 3 2 2 2 3 3" xfId="19001" xr:uid="{00000000-0005-0000-0000-000021200000}"/>
    <cellStyle name="Normal 10 3 2 2 2 3 3 2" xfId="42347" xr:uid="{00000000-0005-0000-0000-000022200000}"/>
    <cellStyle name="Normal 10 3 2 2 2 3 4" xfId="42345" xr:uid="{00000000-0005-0000-0000-000023200000}"/>
    <cellStyle name="Normal 10 3 2 2 2 4" xfId="19002" xr:uid="{00000000-0005-0000-0000-000024200000}"/>
    <cellStyle name="Normal 10 3 2 2 2 4 2" xfId="19003" xr:uid="{00000000-0005-0000-0000-000025200000}"/>
    <cellStyle name="Normal 10 3 2 2 2 4 2 2" xfId="42349" xr:uid="{00000000-0005-0000-0000-000026200000}"/>
    <cellStyle name="Normal 10 3 2 2 2 4 3" xfId="42348" xr:uid="{00000000-0005-0000-0000-000027200000}"/>
    <cellStyle name="Normal 10 3 2 2 2 5" xfId="19004" xr:uid="{00000000-0005-0000-0000-000028200000}"/>
    <cellStyle name="Normal 10 3 2 2 2 5 2" xfId="42350" xr:uid="{00000000-0005-0000-0000-000029200000}"/>
    <cellStyle name="Normal 10 3 2 2 2 6" xfId="19005" xr:uid="{00000000-0005-0000-0000-00002A200000}"/>
    <cellStyle name="Normal 10 3 2 2 2 6 2" xfId="42351" xr:uid="{00000000-0005-0000-0000-00002B200000}"/>
    <cellStyle name="Normal 10 3 2 2 2 7" xfId="19006" xr:uid="{00000000-0005-0000-0000-00002C200000}"/>
    <cellStyle name="Normal 10 3 2 2 2 7 2" xfId="42352" xr:uid="{00000000-0005-0000-0000-00002D200000}"/>
    <cellStyle name="Normal 10 3 2 2 2 8" xfId="26833" xr:uid="{00000000-0005-0000-0000-00002E200000}"/>
    <cellStyle name="Normal 10 3 2 2 3" xfId="17748" xr:uid="{00000000-0005-0000-0000-00002F200000}"/>
    <cellStyle name="Normal 10 3 2 2 3 2" xfId="17981" xr:uid="{00000000-0005-0000-0000-000030200000}"/>
    <cellStyle name="Normal 10 3 2 2 3 2 2" xfId="19007" xr:uid="{00000000-0005-0000-0000-000031200000}"/>
    <cellStyle name="Normal 10 3 2 2 3 2 2 2" xfId="19008" xr:uid="{00000000-0005-0000-0000-000032200000}"/>
    <cellStyle name="Normal 10 3 2 2 3 2 2 2 2" xfId="42354" xr:uid="{00000000-0005-0000-0000-000033200000}"/>
    <cellStyle name="Normal 10 3 2 2 3 2 2 3" xfId="19009" xr:uid="{00000000-0005-0000-0000-000034200000}"/>
    <cellStyle name="Normal 10 3 2 2 3 2 2 3 2" xfId="42355" xr:uid="{00000000-0005-0000-0000-000035200000}"/>
    <cellStyle name="Normal 10 3 2 2 3 2 2 4" xfId="42353" xr:uid="{00000000-0005-0000-0000-000036200000}"/>
    <cellStyle name="Normal 10 3 2 2 3 2 3" xfId="19010" xr:uid="{00000000-0005-0000-0000-000037200000}"/>
    <cellStyle name="Normal 10 3 2 2 3 2 3 2" xfId="19011" xr:uid="{00000000-0005-0000-0000-000038200000}"/>
    <cellStyle name="Normal 10 3 2 2 3 2 3 2 2" xfId="42357" xr:uid="{00000000-0005-0000-0000-000039200000}"/>
    <cellStyle name="Normal 10 3 2 2 3 2 3 3" xfId="42356" xr:uid="{00000000-0005-0000-0000-00003A200000}"/>
    <cellStyle name="Normal 10 3 2 2 3 2 4" xfId="19012" xr:uid="{00000000-0005-0000-0000-00003B200000}"/>
    <cellStyle name="Normal 10 3 2 2 3 2 4 2" xfId="42358" xr:uid="{00000000-0005-0000-0000-00003C200000}"/>
    <cellStyle name="Normal 10 3 2 2 3 2 5" xfId="19013" xr:uid="{00000000-0005-0000-0000-00003D200000}"/>
    <cellStyle name="Normal 10 3 2 2 3 2 5 2" xfId="42359" xr:uid="{00000000-0005-0000-0000-00003E200000}"/>
    <cellStyle name="Normal 10 3 2 2 3 2 6" xfId="19014" xr:uid="{00000000-0005-0000-0000-00003F200000}"/>
    <cellStyle name="Normal 10 3 2 2 3 2 6 2" xfId="42360" xr:uid="{00000000-0005-0000-0000-000040200000}"/>
    <cellStyle name="Normal 10 3 2 2 3 2 7" xfId="41441" xr:uid="{00000000-0005-0000-0000-000041200000}"/>
    <cellStyle name="Normal 10 3 2 2 3 3" xfId="19015" xr:uid="{00000000-0005-0000-0000-000042200000}"/>
    <cellStyle name="Normal 10 3 2 2 3 3 2" xfId="19016" xr:uid="{00000000-0005-0000-0000-000043200000}"/>
    <cellStyle name="Normal 10 3 2 2 3 3 2 2" xfId="42362" xr:uid="{00000000-0005-0000-0000-000044200000}"/>
    <cellStyle name="Normal 10 3 2 2 3 3 3" xfId="19017" xr:uid="{00000000-0005-0000-0000-000045200000}"/>
    <cellStyle name="Normal 10 3 2 2 3 3 3 2" xfId="42363" xr:uid="{00000000-0005-0000-0000-000046200000}"/>
    <cellStyle name="Normal 10 3 2 2 3 3 4" xfId="42361" xr:uid="{00000000-0005-0000-0000-000047200000}"/>
    <cellStyle name="Normal 10 3 2 2 3 4" xfId="19018" xr:uid="{00000000-0005-0000-0000-000048200000}"/>
    <cellStyle name="Normal 10 3 2 2 3 4 2" xfId="19019" xr:uid="{00000000-0005-0000-0000-000049200000}"/>
    <cellStyle name="Normal 10 3 2 2 3 4 2 2" xfId="42365" xr:uid="{00000000-0005-0000-0000-00004A200000}"/>
    <cellStyle name="Normal 10 3 2 2 3 4 3" xfId="42364" xr:uid="{00000000-0005-0000-0000-00004B200000}"/>
    <cellStyle name="Normal 10 3 2 2 3 5" xfId="19020" xr:uid="{00000000-0005-0000-0000-00004C200000}"/>
    <cellStyle name="Normal 10 3 2 2 3 5 2" xfId="42366" xr:uid="{00000000-0005-0000-0000-00004D200000}"/>
    <cellStyle name="Normal 10 3 2 2 3 6" xfId="19021" xr:uid="{00000000-0005-0000-0000-00004E200000}"/>
    <cellStyle name="Normal 10 3 2 2 3 6 2" xfId="42367" xr:uid="{00000000-0005-0000-0000-00004F200000}"/>
    <cellStyle name="Normal 10 3 2 2 3 7" xfId="19022" xr:uid="{00000000-0005-0000-0000-000050200000}"/>
    <cellStyle name="Normal 10 3 2 2 3 7 2" xfId="42368" xr:uid="{00000000-0005-0000-0000-000051200000}"/>
    <cellStyle name="Normal 10 3 2 2 3 8" xfId="41208" xr:uid="{00000000-0005-0000-0000-000052200000}"/>
    <cellStyle name="Normal 10 3 2 2 4" xfId="17831" xr:uid="{00000000-0005-0000-0000-000053200000}"/>
    <cellStyle name="Normal 10 3 2 2 4 2" xfId="19023" xr:uid="{00000000-0005-0000-0000-000054200000}"/>
    <cellStyle name="Normal 10 3 2 2 4 2 2" xfId="19024" xr:uid="{00000000-0005-0000-0000-000055200000}"/>
    <cellStyle name="Normal 10 3 2 2 4 2 2 2" xfId="42370" xr:uid="{00000000-0005-0000-0000-000056200000}"/>
    <cellStyle name="Normal 10 3 2 2 4 2 3" xfId="19025" xr:uid="{00000000-0005-0000-0000-000057200000}"/>
    <cellStyle name="Normal 10 3 2 2 4 2 3 2" xfId="42371" xr:uid="{00000000-0005-0000-0000-000058200000}"/>
    <cellStyle name="Normal 10 3 2 2 4 2 4" xfId="42369" xr:uid="{00000000-0005-0000-0000-000059200000}"/>
    <cellStyle name="Normal 10 3 2 2 4 3" xfId="19026" xr:uid="{00000000-0005-0000-0000-00005A200000}"/>
    <cellStyle name="Normal 10 3 2 2 4 3 2" xfId="19027" xr:uid="{00000000-0005-0000-0000-00005B200000}"/>
    <cellStyle name="Normal 10 3 2 2 4 3 2 2" xfId="42373" xr:uid="{00000000-0005-0000-0000-00005C200000}"/>
    <cellStyle name="Normal 10 3 2 2 4 3 3" xfId="42372" xr:uid="{00000000-0005-0000-0000-00005D200000}"/>
    <cellStyle name="Normal 10 3 2 2 4 4" xfId="19028" xr:uid="{00000000-0005-0000-0000-00005E200000}"/>
    <cellStyle name="Normal 10 3 2 2 4 4 2" xfId="42374" xr:uid="{00000000-0005-0000-0000-00005F200000}"/>
    <cellStyle name="Normal 10 3 2 2 4 5" xfId="19029" xr:uid="{00000000-0005-0000-0000-000060200000}"/>
    <cellStyle name="Normal 10 3 2 2 4 5 2" xfId="42375" xr:uid="{00000000-0005-0000-0000-000061200000}"/>
    <cellStyle name="Normal 10 3 2 2 4 6" xfId="19030" xr:uid="{00000000-0005-0000-0000-000062200000}"/>
    <cellStyle name="Normal 10 3 2 2 4 6 2" xfId="42376" xr:uid="{00000000-0005-0000-0000-000063200000}"/>
    <cellStyle name="Normal 10 3 2 2 4 7" xfId="41291" xr:uid="{00000000-0005-0000-0000-000064200000}"/>
    <cellStyle name="Normal 10 3 2 2 5" xfId="19031" xr:uid="{00000000-0005-0000-0000-000065200000}"/>
    <cellStyle name="Normal 10 3 2 2 5 2" xfId="19032" xr:uid="{00000000-0005-0000-0000-000066200000}"/>
    <cellStyle name="Normal 10 3 2 2 5 2 2" xfId="42378" xr:uid="{00000000-0005-0000-0000-000067200000}"/>
    <cellStyle name="Normal 10 3 2 2 5 3" xfId="19033" xr:uid="{00000000-0005-0000-0000-000068200000}"/>
    <cellStyle name="Normal 10 3 2 2 5 3 2" xfId="42379" xr:uid="{00000000-0005-0000-0000-000069200000}"/>
    <cellStyle name="Normal 10 3 2 2 5 4" xfId="42377" xr:uid="{00000000-0005-0000-0000-00006A200000}"/>
    <cellStyle name="Normal 10 3 2 2 6" xfId="19034" xr:uid="{00000000-0005-0000-0000-00006B200000}"/>
    <cellStyle name="Normal 10 3 2 2 6 2" xfId="19035" xr:uid="{00000000-0005-0000-0000-00006C200000}"/>
    <cellStyle name="Normal 10 3 2 2 6 2 2" xfId="42381" xr:uid="{00000000-0005-0000-0000-00006D200000}"/>
    <cellStyle name="Normal 10 3 2 2 6 3" xfId="42380" xr:uid="{00000000-0005-0000-0000-00006E200000}"/>
    <cellStyle name="Normal 10 3 2 2 7" xfId="19036" xr:uid="{00000000-0005-0000-0000-00006F200000}"/>
    <cellStyle name="Normal 10 3 2 2 7 2" xfId="42382" xr:uid="{00000000-0005-0000-0000-000070200000}"/>
    <cellStyle name="Normal 10 3 2 2 8" xfId="19037" xr:uid="{00000000-0005-0000-0000-000071200000}"/>
    <cellStyle name="Normal 10 3 2 2 8 2" xfId="42383" xr:uid="{00000000-0005-0000-0000-000072200000}"/>
    <cellStyle name="Normal 10 3 2 2 9" xfId="19038" xr:uid="{00000000-0005-0000-0000-000073200000}"/>
    <cellStyle name="Normal 10 3 2 2 9 2" xfId="42384" xr:uid="{00000000-0005-0000-0000-000074200000}"/>
    <cellStyle name="Normal 10 3 2 3" xfId="3320" xr:uid="{00000000-0005-0000-0000-000075200000}"/>
    <cellStyle name="Normal 10 3 2 3 10" xfId="26834" xr:uid="{00000000-0005-0000-0000-000076200000}"/>
    <cellStyle name="Normal 10 3 2 3 2" xfId="17717" xr:uid="{00000000-0005-0000-0000-000077200000}"/>
    <cellStyle name="Normal 10 3 2 3 2 2" xfId="17946" xr:uid="{00000000-0005-0000-0000-000078200000}"/>
    <cellStyle name="Normal 10 3 2 3 2 2 2" xfId="19039" xr:uid="{00000000-0005-0000-0000-000079200000}"/>
    <cellStyle name="Normal 10 3 2 3 2 2 2 2" xfId="19040" xr:uid="{00000000-0005-0000-0000-00007A200000}"/>
    <cellStyle name="Normal 10 3 2 3 2 2 2 2 2" xfId="42386" xr:uid="{00000000-0005-0000-0000-00007B200000}"/>
    <cellStyle name="Normal 10 3 2 3 2 2 2 3" xfId="19041" xr:uid="{00000000-0005-0000-0000-00007C200000}"/>
    <cellStyle name="Normal 10 3 2 3 2 2 2 3 2" xfId="42387" xr:uid="{00000000-0005-0000-0000-00007D200000}"/>
    <cellStyle name="Normal 10 3 2 3 2 2 2 4" xfId="42385" xr:uid="{00000000-0005-0000-0000-00007E200000}"/>
    <cellStyle name="Normal 10 3 2 3 2 2 3" xfId="19042" xr:uid="{00000000-0005-0000-0000-00007F200000}"/>
    <cellStyle name="Normal 10 3 2 3 2 2 3 2" xfId="19043" xr:uid="{00000000-0005-0000-0000-000080200000}"/>
    <cellStyle name="Normal 10 3 2 3 2 2 3 2 2" xfId="42389" xr:uid="{00000000-0005-0000-0000-000081200000}"/>
    <cellStyle name="Normal 10 3 2 3 2 2 3 3" xfId="42388" xr:uid="{00000000-0005-0000-0000-000082200000}"/>
    <cellStyle name="Normal 10 3 2 3 2 2 4" xfId="19044" xr:uid="{00000000-0005-0000-0000-000083200000}"/>
    <cellStyle name="Normal 10 3 2 3 2 2 4 2" xfId="42390" xr:uid="{00000000-0005-0000-0000-000084200000}"/>
    <cellStyle name="Normal 10 3 2 3 2 2 5" xfId="19045" xr:uid="{00000000-0005-0000-0000-000085200000}"/>
    <cellStyle name="Normal 10 3 2 3 2 2 5 2" xfId="42391" xr:uid="{00000000-0005-0000-0000-000086200000}"/>
    <cellStyle name="Normal 10 3 2 3 2 2 6" xfId="19046" xr:uid="{00000000-0005-0000-0000-000087200000}"/>
    <cellStyle name="Normal 10 3 2 3 2 2 6 2" xfId="42392" xr:uid="{00000000-0005-0000-0000-000088200000}"/>
    <cellStyle name="Normal 10 3 2 3 2 2 7" xfId="41406" xr:uid="{00000000-0005-0000-0000-000089200000}"/>
    <cellStyle name="Normal 10 3 2 3 2 3" xfId="19047" xr:uid="{00000000-0005-0000-0000-00008A200000}"/>
    <cellStyle name="Normal 10 3 2 3 2 3 2" xfId="19048" xr:uid="{00000000-0005-0000-0000-00008B200000}"/>
    <cellStyle name="Normal 10 3 2 3 2 3 2 2" xfId="42394" xr:uid="{00000000-0005-0000-0000-00008C200000}"/>
    <cellStyle name="Normal 10 3 2 3 2 3 3" xfId="19049" xr:uid="{00000000-0005-0000-0000-00008D200000}"/>
    <cellStyle name="Normal 10 3 2 3 2 3 3 2" xfId="42395" xr:uid="{00000000-0005-0000-0000-00008E200000}"/>
    <cellStyle name="Normal 10 3 2 3 2 3 4" xfId="42393" xr:uid="{00000000-0005-0000-0000-00008F200000}"/>
    <cellStyle name="Normal 10 3 2 3 2 4" xfId="19050" xr:uid="{00000000-0005-0000-0000-000090200000}"/>
    <cellStyle name="Normal 10 3 2 3 2 4 2" xfId="19051" xr:uid="{00000000-0005-0000-0000-000091200000}"/>
    <cellStyle name="Normal 10 3 2 3 2 4 2 2" xfId="42397" xr:uid="{00000000-0005-0000-0000-000092200000}"/>
    <cellStyle name="Normal 10 3 2 3 2 4 3" xfId="42396" xr:uid="{00000000-0005-0000-0000-000093200000}"/>
    <cellStyle name="Normal 10 3 2 3 2 5" xfId="19052" xr:uid="{00000000-0005-0000-0000-000094200000}"/>
    <cellStyle name="Normal 10 3 2 3 2 5 2" xfId="42398" xr:uid="{00000000-0005-0000-0000-000095200000}"/>
    <cellStyle name="Normal 10 3 2 3 2 6" xfId="19053" xr:uid="{00000000-0005-0000-0000-000096200000}"/>
    <cellStyle name="Normal 10 3 2 3 2 6 2" xfId="42399" xr:uid="{00000000-0005-0000-0000-000097200000}"/>
    <cellStyle name="Normal 10 3 2 3 2 7" xfId="19054" xr:uid="{00000000-0005-0000-0000-000098200000}"/>
    <cellStyle name="Normal 10 3 2 3 2 7 2" xfId="42400" xr:uid="{00000000-0005-0000-0000-000099200000}"/>
    <cellStyle name="Normal 10 3 2 3 2 8" xfId="41177" xr:uid="{00000000-0005-0000-0000-00009A200000}"/>
    <cellStyle name="Normal 10 3 2 3 3" xfId="17775" xr:uid="{00000000-0005-0000-0000-00009B200000}"/>
    <cellStyle name="Normal 10 3 2 3 3 2" xfId="18010" xr:uid="{00000000-0005-0000-0000-00009C200000}"/>
    <cellStyle name="Normal 10 3 2 3 3 2 2" xfId="19055" xr:uid="{00000000-0005-0000-0000-00009D200000}"/>
    <cellStyle name="Normal 10 3 2 3 3 2 2 2" xfId="19056" xr:uid="{00000000-0005-0000-0000-00009E200000}"/>
    <cellStyle name="Normal 10 3 2 3 3 2 2 2 2" xfId="42402" xr:uid="{00000000-0005-0000-0000-00009F200000}"/>
    <cellStyle name="Normal 10 3 2 3 3 2 2 3" xfId="19057" xr:uid="{00000000-0005-0000-0000-0000A0200000}"/>
    <cellStyle name="Normal 10 3 2 3 3 2 2 3 2" xfId="42403" xr:uid="{00000000-0005-0000-0000-0000A1200000}"/>
    <cellStyle name="Normal 10 3 2 3 3 2 2 4" xfId="42401" xr:uid="{00000000-0005-0000-0000-0000A2200000}"/>
    <cellStyle name="Normal 10 3 2 3 3 2 3" xfId="19058" xr:uid="{00000000-0005-0000-0000-0000A3200000}"/>
    <cellStyle name="Normal 10 3 2 3 3 2 3 2" xfId="19059" xr:uid="{00000000-0005-0000-0000-0000A4200000}"/>
    <cellStyle name="Normal 10 3 2 3 3 2 3 2 2" xfId="42405" xr:uid="{00000000-0005-0000-0000-0000A5200000}"/>
    <cellStyle name="Normal 10 3 2 3 3 2 3 3" xfId="42404" xr:uid="{00000000-0005-0000-0000-0000A6200000}"/>
    <cellStyle name="Normal 10 3 2 3 3 2 4" xfId="19060" xr:uid="{00000000-0005-0000-0000-0000A7200000}"/>
    <cellStyle name="Normal 10 3 2 3 3 2 4 2" xfId="42406" xr:uid="{00000000-0005-0000-0000-0000A8200000}"/>
    <cellStyle name="Normal 10 3 2 3 3 2 5" xfId="19061" xr:uid="{00000000-0005-0000-0000-0000A9200000}"/>
    <cellStyle name="Normal 10 3 2 3 3 2 5 2" xfId="42407" xr:uid="{00000000-0005-0000-0000-0000AA200000}"/>
    <cellStyle name="Normal 10 3 2 3 3 2 6" xfId="19062" xr:uid="{00000000-0005-0000-0000-0000AB200000}"/>
    <cellStyle name="Normal 10 3 2 3 3 2 6 2" xfId="42408" xr:uid="{00000000-0005-0000-0000-0000AC200000}"/>
    <cellStyle name="Normal 10 3 2 3 3 2 7" xfId="41470" xr:uid="{00000000-0005-0000-0000-0000AD200000}"/>
    <cellStyle name="Normal 10 3 2 3 3 3" xfId="19063" xr:uid="{00000000-0005-0000-0000-0000AE200000}"/>
    <cellStyle name="Normal 10 3 2 3 3 3 2" xfId="19064" xr:uid="{00000000-0005-0000-0000-0000AF200000}"/>
    <cellStyle name="Normal 10 3 2 3 3 3 2 2" xfId="42410" xr:uid="{00000000-0005-0000-0000-0000B0200000}"/>
    <cellStyle name="Normal 10 3 2 3 3 3 3" xfId="19065" xr:uid="{00000000-0005-0000-0000-0000B1200000}"/>
    <cellStyle name="Normal 10 3 2 3 3 3 3 2" xfId="42411" xr:uid="{00000000-0005-0000-0000-0000B2200000}"/>
    <cellStyle name="Normal 10 3 2 3 3 3 4" xfId="42409" xr:uid="{00000000-0005-0000-0000-0000B3200000}"/>
    <cellStyle name="Normal 10 3 2 3 3 4" xfId="19066" xr:uid="{00000000-0005-0000-0000-0000B4200000}"/>
    <cellStyle name="Normal 10 3 2 3 3 4 2" xfId="19067" xr:uid="{00000000-0005-0000-0000-0000B5200000}"/>
    <cellStyle name="Normal 10 3 2 3 3 4 2 2" xfId="42413" xr:uid="{00000000-0005-0000-0000-0000B6200000}"/>
    <cellStyle name="Normal 10 3 2 3 3 4 3" xfId="42412" xr:uid="{00000000-0005-0000-0000-0000B7200000}"/>
    <cellStyle name="Normal 10 3 2 3 3 5" xfId="19068" xr:uid="{00000000-0005-0000-0000-0000B8200000}"/>
    <cellStyle name="Normal 10 3 2 3 3 5 2" xfId="42414" xr:uid="{00000000-0005-0000-0000-0000B9200000}"/>
    <cellStyle name="Normal 10 3 2 3 3 6" xfId="19069" xr:uid="{00000000-0005-0000-0000-0000BA200000}"/>
    <cellStyle name="Normal 10 3 2 3 3 6 2" xfId="42415" xr:uid="{00000000-0005-0000-0000-0000BB200000}"/>
    <cellStyle name="Normal 10 3 2 3 3 7" xfId="19070" xr:uid="{00000000-0005-0000-0000-0000BC200000}"/>
    <cellStyle name="Normal 10 3 2 3 3 7 2" xfId="42416" xr:uid="{00000000-0005-0000-0000-0000BD200000}"/>
    <cellStyle name="Normal 10 3 2 3 3 8" xfId="41235" xr:uid="{00000000-0005-0000-0000-0000BE200000}"/>
    <cellStyle name="Normal 10 3 2 3 4" xfId="17874" xr:uid="{00000000-0005-0000-0000-0000BF200000}"/>
    <cellStyle name="Normal 10 3 2 3 4 2" xfId="19071" xr:uid="{00000000-0005-0000-0000-0000C0200000}"/>
    <cellStyle name="Normal 10 3 2 3 4 2 2" xfId="19072" xr:uid="{00000000-0005-0000-0000-0000C1200000}"/>
    <cellStyle name="Normal 10 3 2 3 4 2 2 2" xfId="42418" xr:uid="{00000000-0005-0000-0000-0000C2200000}"/>
    <cellStyle name="Normal 10 3 2 3 4 2 3" xfId="19073" xr:uid="{00000000-0005-0000-0000-0000C3200000}"/>
    <cellStyle name="Normal 10 3 2 3 4 2 3 2" xfId="42419" xr:uid="{00000000-0005-0000-0000-0000C4200000}"/>
    <cellStyle name="Normal 10 3 2 3 4 2 4" xfId="42417" xr:uid="{00000000-0005-0000-0000-0000C5200000}"/>
    <cellStyle name="Normal 10 3 2 3 4 3" xfId="19074" xr:uid="{00000000-0005-0000-0000-0000C6200000}"/>
    <cellStyle name="Normal 10 3 2 3 4 3 2" xfId="19075" xr:uid="{00000000-0005-0000-0000-0000C7200000}"/>
    <cellStyle name="Normal 10 3 2 3 4 3 2 2" xfId="42421" xr:uid="{00000000-0005-0000-0000-0000C8200000}"/>
    <cellStyle name="Normal 10 3 2 3 4 3 3" xfId="42420" xr:uid="{00000000-0005-0000-0000-0000C9200000}"/>
    <cellStyle name="Normal 10 3 2 3 4 4" xfId="19076" xr:uid="{00000000-0005-0000-0000-0000CA200000}"/>
    <cellStyle name="Normal 10 3 2 3 4 4 2" xfId="42422" xr:uid="{00000000-0005-0000-0000-0000CB200000}"/>
    <cellStyle name="Normal 10 3 2 3 4 5" xfId="19077" xr:uid="{00000000-0005-0000-0000-0000CC200000}"/>
    <cellStyle name="Normal 10 3 2 3 4 5 2" xfId="42423" xr:uid="{00000000-0005-0000-0000-0000CD200000}"/>
    <cellStyle name="Normal 10 3 2 3 4 6" xfId="19078" xr:uid="{00000000-0005-0000-0000-0000CE200000}"/>
    <cellStyle name="Normal 10 3 2 3 4 6 2" xfId="42424" xr:uid="{00000000-0005-0000-0000-0000CF200000}"/>
    <cellStyle name="Normal 10 3 2 3 4 7" xfId="41334" xr:uid="{00000000-0005-0000-0000-0000D0200000}"/>
    <cellStyle name="Normal 10 3 2 3 5" xfId="19079" xr:uid="{00000000-0005-0000-0000-0000D1200000}"/>
    <cellStyle name="Normal 10 3 2 3 5 2" xfId="19080" xr:uid="{00000000-0005-0000-0000-0000D2200000}"/>
    <cellStyle name="Normal 10 3 2 3 5 2 2" xfId="42426" xr:uid="{00000000-0005-0000-0000-0000D3200000}"/>
    <cellStyle name="Normal 10 3 2 3 5 3" xfId="19081" xr:uid="{00000000-0005-0000-0000-0000D4200000}"/>
    <cellStyle name="Normal 10 3 2 3 5 3 2" xfId="42427" xr:uid="{00000000-0005-0000-0000-0000D5200000}"/>
    <cellStyle name="Normal 10 3 2 3 5 4" xfId="42425" xr:uid="{00000000-0005-0000-0000-0000D6200000}"/>
    <cellStyle name="Normal 10 3 2 3 6" xfId="19082" xr:uid="{00000000-0005-0000-0000-0000D7200000}"/>
    <cellStyle name="Normal 10 3 2 3 6 2" xfId="19083" xr:uid="{00000000-0005-0000-0000-0000D8200000}"/>
    <cellStyle name="Normal 10 3 2 3 6 2 2" xfId="42429" xr:uid="{00000000-0005-0000-0000-0000D9200000}"/>
    <cellStyle name="Normal 10 3 2 3 6 3" xfId="42428" xr:uid="{00000000-0005-0000-0000-0000DA200000}"/>
    <cellStyle name="Normal 10 3 2 3 7" xfId="19084" xr:uid="{00000000-0005-0000-0000-0000DB200000}"/>
    <cellStyle name="Normal 10 3 2 3 7 2" xfId="42430" xr:uid="{00000000-0005-0000-0000-0000DC200000}"/>
    <cellStyle name="Normal 10 3 2 3 8" xfId="19085" xr:uid="{00000000-0005-0000-0000-0000DD200000}"/>
    <cellStyle name="Normal 10 3 2 3 8 2" xfId="42431" xr:uid="{00000000-0005-0000-0000-0000DE200000}"/>
    <cellStyle name="Normal 10 3 2 3 9" xfId="19086" xr:uid="{00000000-0005-0000-0000-0000DF200000}"/>
    <cellStyle name="Normal 10 3 2 3 9 2" xfId="42432" xr:uid="{00000000-0005-0000-0000-0000E0200000}"/>
    <cellStyle name="Normal 10 3 2 4" xfId="17706" xr:uid="{00000000-0005-0000-0000-0000E1200000}"/>
    <cellStyle name="Normal 10 3 2 4 2" xfId="17896" xr:uid="{00000000-0005-0000-0000-0000E2200000}"/>
    <cellStyle name="Normal 10 3 2 4 2 2" xfId="19087" xr:uid="{00000000-0005-0000-0000-0000E3200000}"/>
    <cellStyle name="Normal 10 3 2 4 2 2 2" xfId="19088" xr:uid="{00000000-0005-0000-0000-0000E4200000}"/>
    <cellStyle name="Normal 10 3 2 4 2 2 2 2" xfId="42434" xr:uid="{00000000-0005-0000-0000-0000E5200000}"/>
    <cellStyle name="Normal 10 3 2 4 2 2 3" xfId="19089" xr:uid="{00000000-0005-0000-0000-0000E6200000}"/>
    <cellStyle name="Normal 10 3 2 4 2 2 3 2" xfId="42435" xr:uid="{00000000-0005-0000-0000-0000E7200000}"/>
    <cellStyle name="Normal 10 3 2 4 2 2 4" xfId="42433" xr:uid="{00000000-0005-0000-0000-0000E8200000}"/>
    <cellStyle name="Normal 10 3 2 4 2 3" xfId="19090" xr:uid="{00000000-0005-0000-0000-0000E9200000}"/>
    <cellStyle name="Normal 10 3 2 4 2 3 2" xfId="19091" xr:uid="{00000000-0005-0000-0000-0000EA200000}"/>
    <cellStyle name="Normal 10 3 2 4 2 3 2 2" xfId="42437" xr:uid="{00000000-0005-0000-0000-0000EB200000}"/>
    <cellStyle name="Normal 10 3 2 4 2 3 3" xfId="42436" xr:uid="{00000000-0005-0000-0000-0000EC200000}"/>
    <cellStyle name="Normal 10 3 2 4 2 4" xfId="19092" xr:uid="{00000000-0005-0000-0000-0000ED200000}"/>
    <cellStyle name="Normal 10 3 2 4 2 4 2" xfId="42438" xr:uid="{00000000-0005-0000-0000-0000EE200000}"/>
    <cellStyle name="Normal 10 3 2 4 2 5" xfId="19093" xr:uid="{00000000-0005-0000-0000-0000EF200000}"/>
    <cellStyle name="Normal 10 3 2 4 2 5 2" xfId="42439" xr:uid="{00000000-0005-0000-0000-0000F0200000}"/>
    <cellStyle name="Normal 10 3 2 4 2 6" xfId="19094" xr:uid="{00000000-0005-0000-0000-0000F1200000}"/>
    <cellStyle name="Normal 10 3 2 4 2 6 2" xfId="42440" xr:uid="{00000000-0005-0000-0000-0000F2200000}"/>
    <cellStyle name="Normal 10 3 2 4 2 7" xfId="41356" xr:uid="{00000000-0005-0000-0000-0000F3200000}"/>
    <cellStyle name="Normal 10 3 2 4 3" xfId="19095" xr:uid="{00000000-0005-0000-0000-0000F4200000}"/>
    <cellStyle name="Normal 10 3 2 4 3 2" xfId="19096" xr:uid="{00000000-0005-0000-0000-0000F5200000}"/>
    <cellStyle name="Normal 10 3 2 4 3 2 2" xfId="42442" xr:uid="{00000000-0005-0000-0000-0000F6200000}"/>
    <cellStyle name="Normal 10 3 2 4 3 3" xfId="19097" xr:uid="{00000000-0005-0000-0000-0000F7200000}"/>
    <cellStyle name="Normal 10 3 2 4 3 3 2" xfId="42443" xr:uid="{00000000-0005-0000-0000-0000F8200000}"/>
    <cellStyle name="Normal 10 3 2 4 3 4" xfId="42441" xr:uid="{00000000-0005-0000-0000-0000F9200000}"/>
    <cellStyle name="Normal 10 3 2 4 4" xfId="19098" xr:uid="{00000000-0005-0000-0000-0000FA200000}"/>
    <cellStyle name="Normal 10 3 2 4 4 2" xfId="19099" xr:uid="{00000000-0005-0000-0000-0000FB200000}"/>
    <cellStyle name="Normal 10 3 2 4 4 2 2" xfId="42445" xr:uid="{00000000-0005-0000-0000-0000FC200000}"/>
    <cellStyle name="Normal 10 3 2 4 4 3" xfId="42444" xr:uid="{00000000-0005-0000-0000-0000FD200000}"/>
    <cellStyle name="Normal 10 3 2 4 5" xfId="19100" xr:uid="{00000000-0005-0000-0000-0000FE200000}"/>
    <cellStyle name="Normal 10 3 2 4 5 2" xfId="42446" xr:uid="{00000000-0005-0000-0000-0000FF200000}"/>
    <cellStyle name="Normal 10 3 2 4 6" xfId="19101" xr:uid="{00000000-0005-0000-0000-000000210000}"/>
    <cellStyle name="Normal 10 3 2 4 6 2" xfId="42447" xr:uid="{00000000-0005-0000-0000-000001210000}"/>
    <cellStyle name="Normal 10 3 2 4 7" xfId="19102" xr:uid="{00000000-0005-0000-0000-000002210000}"/>
    <cellStyle name="Normal 10 3 2 4 7 2" xfId="42448" xr:uid="{00000000-0005-0000-0000-000003210000}"/>
    <cellStyle name="Normal 10 3 2 4 8" xfId="41166" xr:uid="{00000000-0005-0000-0000-000004210000}"/>
    <cellStyle name="Normal 10 3 2 5" xfId="17728" xr:uid="{00000000-0005-0000-0000-000005210000}"/>
    <cellStyle name="Normal 10 3 2 5 2" xfId="17960" xr:uid="{00000000-0005-0000-0000-000006210000}"/>
    <cellStyle name="Normal 10 3 2 5 2 2" xfId="19103" xr:uid="{00000000-0005-0000-0000-000007210000}"/>
    <cellStyle name="Normal 10 3 2 5 2 2 2" xfId="19104" xr:uid="{00000000-0005-0000-0000-000008210000}"/>
    <cellStyle name="Normal 10 3 2 5 2 2 2 2" xfId="42450" xr:uid="{00000000-0005-0000-0000-000009210000}"/>
    <cellStyle name="Normal 10 3 2 5 2 2 3" xfId="19105" xr:uid="{00000000-0005-0000-0000-00000A210000}"/>
    <cellStyle name="Normal 10 3 2 5 2 2 3 2" xfId="42451" xr:uid="{00000000-0005-0000-0000-00000B210000}"/>
    <cellStyle name="Normal 10 3 2 5 2 2 4" xfId="42449" xr:uid="{00000000-0005-0000-0000-00000C210000}"/>
    <cellStyle name="Normal 10 3 2 5 2 3" xfId="19106" xr:uid="{00000000-0005-0000-0000-00000D210000}"/>
    <cellStyle name="Normal 10 3 2 5 2 3 2" xfId="19107" xr:uid="{00000000-0005-0000-0000-00000E210000}"/>
    <cellStyle name="Normal 10 3 2 5 2 3 2 2" xfId="42453" xr:uid="{00000000-0005-0000-0000-00000F210000}"/>
    <cellStyle name="Normal 10 3 2 5 2 3 3" xfId="42452" xr:uid="{00000000-0005-0000-0000-000010210000}"/>
    <cellStyle name="Normal 10 3 2 5 2 4" xfId="19108" xr:uid="{00000000-0005-0000-0000-000011210000}"/>
    <cellStyle name="Normal 10 3 2 5 2 4 2" xfId="42454" xr:uid="{00000000-0005-0000-0000-000012210000}"/>
    <cellStyle name="Normal 10 3 2 5 2 5" xfId="19109" xr:uid="{00000000-0005-0000-0000-000013210000}"/>
    <cellStyle name="Normal 10 3 2 5 2 5 2" xfId="42455" xr:uid="{00000000-0005-0000-0000-000014210000}"/>
    <cellStyle name="Normal 10 3 2 5 2 6" xfId="19110" xr:uid="{00000000-0005-0000-0000-000015210000}"/>
    <cellStyle name="Normal 10 3 2 5 2 6 2" xfId="42456" xr:uid="{00000000-0005-0000-0000-000016210000}"/>
    <cellStyle name="Normal 10 3 2 5 2 7" xfId="41420" xr:uid="{00000000-0005-0000-0000-000017210000}"/>
    <cellStyle name="Normal 10 3 2 5 3" xfId="19111" xr:uid="{00000000-0005-0000-0000-000018210000}"/>
    <cellStyle name="Normal 10 3 2 5 3 2" xfId="19112" xr:uid="{00000000-0005-0000-0000-000019210000}"/>
    <cellStyle name="Normal 10 3 2 5 3 2 2" xfId="42458" xr:uid="{00000000-0005-0000-0000-00001A210000}"/>
    <cellStyle name="Normal 10 3 2 5 3 3" xfId="19113" xr:uid="{00000000-0005-0000-0000-00001B210000}"/>
    <cellStyle name="Normal 10 3 2 5 3 3 2" xfId="42459" xr:uid="{00000000-0005-0000-0000-00001C210000}"/>
    <cellStyle name="Normal 10 3 2 5 3 4" xfId="42457" xr:uid="{00000000-0005-0000-0000-00001D210000}"/>
    <cellStyle name="Normal 10 3 2 5 4" xfId="19114" xr:uid="{00000000-0005-0000-0000-00001E210000}"/>
    <cellStyle name="Normal 10 3 2 5 4 2" xfId="19115" xr:uid="{00000000-0005-0000-0000-00001F210000}"/>
    <cellStyle name="Normal 10 3 2 5 4 2 2" xfId="42461" xr:uid="{00000000-0005-0000-0000-000020210000}"/>
    <cellStyle name="Normal 10 3 2 5 4 3" xfId="42460" xr:uid="{00000000-0005-0000-0000-000021210000}"/>
    <cellStyle name="Normal 10 3 2 5 5" xfId="19116" xr:uid="{00000000-0005-0000-0000-000022210000}"/>
    <cellStyle name="Normal 10 3 2 5 5 2" xfId="42462" xr:uid="{00000000-0005-0000-0000-000023210000}"/>
    <cellStyle name="Normal 10 3 2 5 6" xfId="19117" xr:uid="{00000000-0005-0000-0000-000024210000}"/>
    <cellStyle name="Normal 10 3 2 5 6 2" xfId="42463" xr:uid="{00000000-0005-0000-0000-000025210000}"/>
    <cellStyle name="Normal 10 3 2 5 7" xfId="19118" xr:uid="{00000000-0005-0000-0000-000026210000}"/>
    <cellStyle name="Normal 10 3 2 5 7 2" xfId="42464" xr:uid="{00000000-0005-0000-0000-000027210000}"/>
    <cellStyle name="Normal 10 3 2 5 8" xfId="41188" xr:uid="{00000000-0005-0000-0000-000028210000}"/>
    <cellStyle name="Normal 10 3 2 6" xfId="17819" xr:uid="{00000000-0005-0000-0000-000029210000}"/>
    <cellStyle name="Normal 10 3 2 6 2" xfId="19119" xr:uid="{00000000-0005-0000-0000-00002A210000}"/>
    <cellStyle name="Normal 10 3 2 6 2 2" xfId="19120" xr:uid="{00000000-0005-0000-0000-00002B210000}"/>
    <cellStyle name="Normal 10 3 2 6 2 2 2" xfId="42466" xr:uid="{00000000-0005-0000-0000-00002C210000}"/>
    <cellStyle name="Normal 10 3 2 6 2 3" xfId="19121" xr:uid="{00000000-0005-0000-0000-00002D210000}"/>
    <cellStyle name="Normal 10 3 2 6 2 3 2" xfId="42467" xr:uid="{00000000-0005-0000-0000-00002E210000}"/>
    <cellStyle name="Normal 10 3 2 6 2 4" xfId="42465" xr:uid="{00000000-0005-0000-0000-00002F210000}"/>
    <cellStyle name="Normal 10 3 2 6 3" xfId="19122" xr:uid="{00000000-0005-0000-0000-000030210000}"/>
    <cellStyle name="Normal 10 3 2 6 3 2" xfId="19123" xr:uid="{00000000-0005-0000-0000-000031210000}"/>
    <cellStyle name="Normal 10 3 2 6 3 2 2" xfId="42469" xr:uid="{00000000-0005-0000-0000-000032210000}"/>
    <cellStyle name="Normal 10 3 2 6 3 3" xfId="42468" xr:uid="{00000000-0005-0000-0000-000033210000}"/>
    <cellStyle name="Normal 10 3 2 6 4" xfId="19124" xr:uid="{00000000-0005-0000-0000-000034210000}"/>
    <cellStyle name="Normal 10 3 2 6 4 2" xfId="42470" xr:uid="{00000000-0005-0000-0000-000035210000}"/>
    <cellStyle name="Normal 10 3 2 6 5" xfId="19125" xr:uid="{00000000-0005-0000-0000-000036210000}"/>
    <cellStyle name="Normal 10 3 2 6 5 2" xfId="42471" xr:uid="{00000000-0005-0000-0000-000037210000}"/>
    <cellStyle name="Normal 10 3 2 6 6" xfId="19126" xr:uid="{00000000-0005-0000-0000-000038210000}"/>
    <cellStyle name="Normal 10 3 2 6 6 2" xfId="42472" xr:uid="{00000000-0005-0000-0000-000039210000}"/>
    <cellStyle name="Normal 10 3 2 6 7" xfId="41279" xr:uid="{00000000-0005-0000-0000-00003A210000}"/>
    <cellStyle name="Normal 10 3 2 7" xfId="19127" xr:uid="{00000000-0005-0000-0000-00003B210000}"/>
    <cellStyle name="Normal 10 3 2 7 2" xfId="19128" xr:uid="{00000000-0005-0000-0000-00003C210000}"/>
    <cellStyle name="Normal 10 3 2 7 2 2" xfId="42474" xr:uid="{00000000-0005-0000-0000-00003D210000}"/>
    <cellStyle name="Normal 10 3 2 7 3" xfId="19129" xr:uid="{00000000-0005-0000-0000-00003E210000}"/>
    <cellStyle name="Normal 10 3 2 7 3 2" xfId="42475" xr:uid="{00000000-0005-0000-0000-00003F210000}"/>
    <cellStyle name="Normal 10 3 2 7 4" xfId="42473" xr:uid="{00000000-0005-0000-0000-000040210000}"/>
    <cellStyle name="Normal 10 3 2 8" xfId="19130" xr:uid="{00000000-0005-0000-0000-000041210000}"/>
    <cellStyle name="Normal 10 3 2 8 2" xfId="19131" xr:uid="{00000000-0005-0000-0000-000042210000}"/>
    <cellStyle name="Normal 10 3 2 8 2 2" xfId="42477" xr:uid="{00000000-0005-0000-0000-000043210000}"/>
    <cellStyle name="Normal 10 3 2 8 3" xfId="42476" xr:uid="{00000000-0005-0000-0000-000044210000}"/>
    <cellStyle name="Normal 10 3 2 9" xfId="19132" xr:uid="{00000000-0005-0000-0000-000045210000}"/>
    <cellStyle name="Normal 10 3 2 9 2" xfId="42478" xr:uid="{00000000-0005-0000-0000-000046210000}"/>
    <cellStyle name="Normal 10 3 3" xfId="67" xr:uid="{00000000-0005-0000-0000-000047210000}"/>
    <cellStyle name="Normal 10 3 3 10" xfId="23647" xr:uid="{00000000-0005-0000-0000-000048210000}"/>
    <cellStyle name="Normal 10 3 3 2" xfId="3321" xr:uid="{00000000-0005-0000-0000-000049210000}"/>
    <cellStyle name="Normal 10 3 3 2 2" xfId="17906" xr:uid="{00000000-0005-0000-0000-00004A210000}"/>
    <cellStyle name="Normal 10 3 3 2 2 2" xfId="19133" xr:uid="{00000000-0005-0000-0000-00004B210000}"/>
    <cellStyle name="Normal 10 3 3 2 2 2 2" xfId="19134" xr:uid="{00000000-0005-0000-0000-00004C210000}"/>
    <cellStyle name="Normal 10 3 3 2 2 2 2 2" xfId="42480" xr:uid="{00000000-0005-0000-0000-00004D210000}"/>
    <cellStyle name="Normal 10 3 3 2 2 2 3" xfId="19135" xr:uid="{00000000-0005-0000-0000-00004E210000}"/>
    <cellStyle name="Normal 10 3 3 2 2 2 3 2" xfId="42481" xr:uid="{00000000-0005-0000-0000-00004F210000}"/>
    <cellStyle name="Normal 10 3 3 2 2 2 4" xfId="42479" xr:uid="{00000000-0005-0000-0000-000050210000}"/>
    <cellStyle name="Normal 10 3 3 2 2 3" xfId="19136" xr:uid="{00000000-0005-0000-0000-000051210000}"/>
    <cellStyle name="Normal 10 3 3 2 2 3 2" xfId="19137" xr:uid="{00000000-0005-0000-0000-000052210000}"/>
    <cellStyle name="Normal 10 3 3 2 2 3 2 2" xfId="42483" xr:uid="{00000000-0005-0000-0000-000053210000}"/>
    <cellStyle name="Normal 10 3 3 2 2 3 3" xfId="42482" xr:uid="{00000000-0005-0000-0000-000054210000}"/>
    <cellStyle name="Normal 10 3 3 2 2 4" xfId="19138" xr:uid="{00000000-0005-0000-0000-000055210000}"/>
    <cellStyle name="Normal 10 3 3 2 2 4 2" xfId="42484" xr:uid="{00000000-0005-0000-0000-000056210000}"/>
    <cellStyle name="Normal 10 3 3 2 2 5" xfId="19139" xr:uid="{00000000-0005-0000-0000-000057210000}"/>
    <cellStyle name="Normal 10 3 3 2 2 5 2" xfId="42485" xr:uid="{00000000-0005-0000-0000-000058210000}"/>
    <cellStyle name="Normal 10 3 3 2 2 6" xfId="19140" xr:uid="{00000000-0005-0000-0000-000059210000}"/>
    <cellStyle name="Normal 10 3 3 2 2 6 2" xfId="42486" xr:uid="{00000000-0005-0000-0000-00005A210000}"/>
    <cellStyle name="Normal 10 3 3 2 2 7" xfId="41366" xr:uid="{00000000-0005-0000-0000-00005B210000}"/>
    <cellStyle name="Normal 10 3 3 2 3" xfId="19141" xr:uid="{00000000-0005-0000-0000-00005C210000}"/>
    <cellStyle name="Normal 10 3 3 2 3 2" xfId="19142" xr:uid="{00000000-0005-0000-0000-00005D210000}"/>
    <cellStyle name="Normal 10 3 3 2 3 2 2" xfId="42488" xr:uid="{00000000-0005-0000-0000-00005E210000}"/>
    <cellStyle name="Normal 10 3 3 2 3 3" xfId="19143" xr:uid="{00000000-0005-0000-0000-00005F210000}"/>
    <cellStyle name="Normal 10 3 3 2 3 3 2" xfId="42489" xr:uid="{00000000-0005-0000-0000-000060210000}"/>
    <cellStyle name="Normal 10 3 3 2 3 4" xfId="42487" xr:uid="{00000000-0005-0000-0000-000061210000}"/>
    <cellStyle name="Normal 10 3 3 2 4" xfId="19144" xr:uid="{00000000-0005-0000-0000-000062210000}"/>
    <cellStyle name="Normal 10 3 3 2 4 2" xfId="19145" xr:uid="{00000000-0005-0000-0000-000063210000}"/>
    <cellStyle name="Normal 10 3 3 2 4 2 2" xfId="42491" xr:uid="{00000000-0005-0000-0000-000064210000}"/>
    <cellStyle name="Normal 10 3 3 2 4 3" xfId="42490" xr:uid="{00000000-0005-0000-0000-000065210000}"/>
    <cellStyle name="Normal 10 3 3 2 5" xfId="19146" xr:uid="{00000000-0005-0000-0000-000066210000}"/>
    <cellStyle name="Normal 10 3 3 2 5 2" xfId="42492" xr:uid="{00000000-0005-0000-0000-000067210000}"/>
    <cellStyle name="Normal 10 3 3 2 6" xfId="19147" xr:uid="{00000000-0005-0000-0000-000068210000}"/>
    <cellStyle name="Normal 10 3 3 2 6 2" xfId="42493" xr:uid="{00000000-0005-0000-0000-000069210000}"/>
    <cellStyle name="Normal 10 3 3 2 7" xfId="19148" xr:uid="{00000000-0005-0000-0000-00006A210000}"/>
    <cellStyle name="Normal 10 3 3 2 7 2" xfId="42494" xr:uid="{00000000-0005-0000-0000-00006B210000}"/>
    <cellStyle name="Normal 10 3 3 2 8" xfId="26835" xr:uid="{00000000-0005-0000-0000-00006C210000}"/>
    <cellStyle name="Normal 10 3 3 3" xfId="17749" xr:uid="{00000000-0005-0000-0000-00006D210000}"/>
    <cellStyle name="Normal 10 3 3 3 2" xfId="17982" xr:uid="{00000000-0005-0000-0000-00006E210000}"/>
    <cellStyle name="Normal 10 3 3 3 2 2" xfId="19149" xr:uid="{00000000-0005-0000-0000-00006F210000}"/>
    <cellStyle name="Normal 10 3 3 3 2 2 2" xfId="19150" xr:uid="{00000000-0005-0000-0000-000070210000}"/>
    <cellStyle name="Normal 10 3 3 3 2 2 2 2" xfId="42496" xr:uid="{00000000-0005-0000-0000-000071210000}"/>
    <cellStyle name="Normal 10 3 3 3 2 2 3" xfId="19151" xr:uid="{00000000-0005-0000-0000-000072210000}"/>
    <cellStyle name="Normal 10 3 3 3 2 2 3 2" xfId="42497" xr:uid="{00000000-0005-0000-0000-000073210000}"/>
    <cellStyle name="Normal 10 3 3 3 2 2 4" xfId="42495" xr:uid="{00000000-0005-0000-0000-000074210000}"/>
    <cellStyle name="Normal 10 3 3 3 2 3" xfId="19152" xr:uid="{00000000-0005-0000-0000-000075210000}"/>
    <cellStyle name="Normal 10 3 3 3 2 3 2" xfId="19153" xr:uid="{00000000-0005-0000-0000-000076210000}"/>
    <cellStyle name="Normal 10 3 3 3 2 3 2 2" xfId="42499" xr:uid="{00000000-0005-0000-0000-000077210000}"/>
    <cellStyle name="Normal 10 3 3 3 2 3 3" xfId="42498" xr:uid="{00000000-0005-0000-0000-000078210000}"/>
    <cellStyle name="Normal 10 3 3 3 2 4" xfId="19154" xr:uid="{00000000-0005-0000-0000-000079210000}"/>
    <cellStyle name="Normal 10 3 3 3 2 4 2" xfId="42500" xr:uid="{00000000-0005-0000-0000-00007A210000}"/>
    <cellStyle name="Normal 10 3 3 3 2 5" xfId="19155" xr:uid="{00000000-0005-0000-0000-00007B210000}"/>
    <cellStyle name="Normal 10 3 3 3 2 5 2" xfId="42501" xr:uid="{00000000-0005-0000-0000-00007C210000}"/>
    <cellStyle name="Normal 10 3 3 3 2 6" xfId="19156" xr:uid="{00000000-0005-0000-0000-00007D210000}"/>
    <cellStyle name="Normal 10 3 3 3 2 6 2" xfId="42502" xr:uid="{00000000-0005-0000-0000-00007E210000}"/>
    <cellStyle name="Normal 10 3 3 3 2 7" xfId="41442" xr:uid="{00000000-0005-0000-0000-00007F210000}"/>
    <cellStyle name="Normal 10 3 3 3 3" xfId="19157" xr:uid="{00000000-0005-0000-0000-000080210000}"/>
    <cellStyle name="Normal 10 3 3 3 3 2" xfId="19158" xr:uid="{00000000-0005-0000-0000-000081210000}"/>
    <cellStyle name="Normal 10 3 3 3 3 2 2" xfId="42504" xr:uid="{00000000-0005-0000-0000-000082210000}"/>
    <cellStyle name="Normal 10 3 3 3 3 3" xfId="19159" xr:uid="{00000000-0005-0000-0000-000083210000}"/>
    <cellStyle name="Normal 10 3 3 3 3 3 2" xfId="42505" xr:uid="{00000000-0005-0000-0000-000084210000}"/>
    <cellStyle name="Normal 10 3 3 3 3 4" xfId="42503" xr:uid="{00000000-0005-0000-0000-000085210000}"/>
    <cellStyle name="Normal 10 3 3 3 4" xfId="19160" xr:uid="{00000000-0005-0000-0000-000086210000}"/>
    <cellStyle name="Normal 10 3 3 3 4 2" xfId="19161" xr:uid="{00000000-0005-0000-0000-000087210000}"/>
    <cellStyle name="Normal 10 3 3 3 4 2 2" xfId="42507" xr:uid="{00000000-0005-0000-0000-000088210000}"/>
    <cellStyle name="Normal 10 3 3 3 4 3" xfId="42506" xr:uid="{00000000-0005-0000-0000-000089210000}"/>
    <cellStyle name="Normal 10 3 3 3 5" xfId="19162" xr:uid="{00000000-0005-0000-0000-00008A210000}"/>
    <cellStyle name="Normal 10 3 3 3 5 2" xfId="42508" xr:uid="{00000000-0005-0000-0000-00008B210000}"/>
    <cellStyle name="Normal 10 3 3 3 6" xfId="19163" xr:uid="{00000000-0005-0000-0000-00008C210000}"/>
    <cellStyle name="Normal 10 3 3 3 6 2" xfId="42509" xr:uid="{00000000-0005-0000-0000-00008D210000}"/>
    <cellStyle name="Normal 10 3 3 3 7" xfId="19164" xr:uid="{00000000-0005-0000-0000-00008E210000}"/>
    <cellStyle name="Normal 10 3 3 3 7 2" xfId="42510" xr:uid="{00000000-0005-0000-0000-00008F210000}"/>
    <cellStyle name="Normal 10 3 3 3 8" xfId="41209" xr:uid="{00000000-0005-0000-0000-000090210000}"/>
    <cellStyle name="Normal 10 3 3 4" xfId="17830" xr:uid="{00000000-0005-0000-0000-000091210000}"/>
    <cellStyle name="Normal 10 3 3 4 2" xfId="19165" xr:uid="{00000000-0005-0000-0000-000092210000}"/>
    <cellStyle name="Normal 10 3 3 4 2 2" xfId="19166" xr:uid="{00000000-0005-0000-0000-000093210000}"/>
    <cellStyle name="Normal 10 3 3 4 2 2 2" xfId="42512" xr:uid="{00000000-0005-0000-0000-000094210000}"/>
    <cellStyle name="Normal 10 3 3 4 2 3" xfId="19167" xr:uid="{00000000-0005-0000-0000-000095210000}"/>
    <cellStyle name="Normal 10 3 3 4 2 3 2" xfId="42513" xr:uid="{00000000-0005-0000-0000-000096210000}"/>
    <cellStyle name="Normal 10 3 3 4 2 4" xfId="42511" xr:uid="{00000000-0005-0000-0000-000097210000}"/>
    <cellStyle name="Normal 10 3 3 4 3" xfId="19168" xr:uid="{00000000-0005-0000-0000-000098210000}"/>
    <cellStyle name="Normal 10 3 3 4 3 2" xfId="19169" xr:uid="{00000000-0005-0000-0000-000099210000}"/>
    <cellStyle name="Normal 10 3 3 4 3 2 2" xfId="42515" xr:uid="{00000000-0005-0000-0000-00009A210000}"/>
    <cellStyle name="Normal 10 3 3 4 3 3" xfId="42514" xr:uid="{00000000-0005-0000-0000-00009B210000}"/>
    <cellStyle name="Normal 10 3 3 4 4" xfId="19170" xr:uid="{00000000-0005-0000-0000-00009C210000}"/>
    <cellStyle name="Normal 10 3 3 4 4 2" xfId="42516" xr:uid="{00000000-0005-0000-0000-00009D210000}"/>
    <cellStyle name="Normal 10 3 3 4 5" xfId="19171" xr:uid="{00000000-0005-0000-0000-00009E210000}"/>
    <cellStyle name="Normal 10 3 3 4 5 2" xfId="42517" xr:uid="{00000000-0005-0000-0000-00009F210000}"/>
    <cellStyle name="Normal 10 3 3 4 6" xfId="19172" xr:uid="{00000000-0005-0000-0000-0000A0210000}"/>
    <cellStyle name="Normal 10 3 3 4 6 2" xfId="42518" xr:uid="{00000000-0005-0000-0000-0000A1210000}"/>
    <cellStyle name="Normal 10 3 3 4 7" xfId="41290" xr:uid="{00000000-0005-0000-0000-0000A2210000}"/>
    <cellStyle name="Normal 10 3 3 5" xfId="19173" xr:uid="{00000000-0005-0000-0000-0000A3210000}"/>
    <cellStyle name="Normal 10 3 3 5 2" xfId="19174" xr:uid="{00000000-0005-0000-0000-0000A4210000}"/>
    <cellStyle name="Normal 10 3 3 5 2 2" xfId="42520" xr:uid="{00000000-0005-0000-0000-0000A5210000}"/>
    <cellStyle name="Normal 10 3 3 5 3" xfId="19175" xr:uid="{00000000-0005-0000-0000-0000A6210000}"/>
    <cellStyle name="Normal 10 3 3 5 3 2" xfId="42521" xr:uid="{00000000-0005-0000-0000-0000A7210000}"/>
    <cellStyle name="Normal 10 3 3 5 4" xfId="42519" xr:uid="{00000000-0005-0000-0000-0000A8210000}"/>
    <cellStyle name="Normal 10 3 3 6" xfId="19176" xr:uid="{00000000-0005-0000-0000-0000A9210000}"/>
    <cellStyle name="Normal 10 3 3 6 2" xfId="19177" xr:uid="{00000000-0005-0000-0000-0000AA210000}"/>
    <cellStyle name="Normal 10 3 3 6 2 2" xfId="42523" xr:uid="{00000000-0005-0000-0000-0000AB210000}"/>
    <cellStyle name="Normal 10 3 3 6 3" xfId="42522" xr:uid="{00000000-0005-0000-0000-0000AC210000}"/>
    <cellStyle name="Normal 10 3 3 7" xfId="19178" xr:uid="{00000000-0005-0000-0000-0000AD210000}"/>
    <cellStyle name="Normal 10 3 3 7 2" xfId="42524" xr:uid="{00000000-0005-0000-0000-0000AE210000}"/>
    <cellStyle name="Normal 10 3 3 8" xfId="19179" xr:uid="{00000000-0005-0000-0000-0000AF210000}"/>
    <cellStyle name="Normal 10 3 3 8 2" xfId="42525" xr:uid="{00000000-0005-0000-0000-0000B0210000}"/>
    <cellStyle name="Normal 10 3 3 9" xfId="19180" xr:uid="{00000000-0005-0000-0000-0000B1210000}"/>
    <cellStyle name="Normal 10 3 3 9 2" xfId="42526" xr:uid="{00000000-0005-0000-0000-0000B2210000}"/>
    <cellStyle name="Normal 10 3 4" xfId="3322" xr:uid="{00000000-0005-0000-0000-0000B3210000}"/>
    <cellStyle name="Normal 10 3 4 10" xfId="26836" xr:uid="{00000000-0005-0000-0000-0000B4210000}"/>
    <cellStyle name="Normal 10 3 4 2" xfId="3323" xr:uid="{00000000-0005-0000-0000-0000B5210000}"/>
    <cellStyle name="Normal 10 3 4 2 2" xfId="17933" xr:uid="{00000000-0005-0000-0000-0000B6210000}"/>
    <cellStyle name="Normal 10 3 4 2 2 2" xfId="19181" xr:uid="{00000000-0005-0000-0000-0000B7210000}"/>
    <cellStyle name="Normal 10 3 4 2 2 2 2" xfId="19182" xr:uid="{00000000-0005-0000-0000-0000B8210000}"/>
    <cellStyle name="Normal 10 3 4 2 2 2 2 2" xfId="42528" xr:uid="{00000000-0005-0000-0000-0000B9210000}"/>
    <cellStyle name="Normal 10 3 4 2 2 2 3" xfId="19183" xr:uid="{00000000-0005-0000-0000-0000BA210000}"/>
    <cellStyle name="Normal 10 3 4 2 2 2 3 2" xfId="42529" xr:uid="{00000000-0005-0000-0000-0000BB210000}"/>
    <cellStyle name="Normal 10 3 4 2 2 2 4" xfId="42527" xr:uid="{00000000-0005-0000-0000-0000BC210000}"/>
    <cellStyle name="Normal 10 3 4 2 2 3" xfId="19184" xr:uid="{00000000-0005-0000-0000-0000BD210000}"/>
    <cellStyle name="Normal 10 3 4 2 2 3 2" xfId="19185" xr:uid="{00000000-0005-0000-0000-0000BE210000}"/>
    <cellStyle name="Normal 10 3 4 2 2 3 2 2" xfId="42531" xr:uid="{00000000-0005-0000-0000-0000BF210000}"/>
    <cellStyle name="Normal 10 3 4 2 2 3 3" xfId="42530" xr:uid="{00000000-0005-0000-0000-0000C0210000}"/>
    <cellStyle name="Normal 10 3 4 2 2 4" xfId="19186" xr:uid="{00000000-0005-0000-0000-0000C1210000}"/>
    <cellStyle name="Normal 10 3 4 2 2 4 2" xfId="42532" xr:uid="{00000000-0005-0000-0000-0000C2210000}"/>
    <cellStyle name="Normal 10 3 4 2 2 5" xfId="19187" xr:uid="{00000000-0005-0000-0000-0000C3210000}"/>
    <cellStyle name="Normal 10 3 4 2 2 5 2" xfId="42533" xr:uid="{00000000-0005-0000-0000-0000C4210000}"/>
    <cellStyle name="Normal 10 3 4 2 2 6" xfId="19188" xr:uid="{00000000-0005-0000-0000-0000C5210000}"/>
    <cellStyle name="Normal 10 3 4 2 2 6 2" xfId="42534" xr:uid="{00000000-0005-0000-0000-0000C6210000}"/>
    <cellStyle name="Normal 10 3 4 2 2 7" xfId="41393" xr:uid="{00000000-0005-0000-0000-0000C7210000}"/>
    <cellStyle name="Normal 10 3 4 2 3" xfId="19189" xr:uid="{00000000-0005-0000-0000-0000C8210000}"/>
    <cellStyle name="Normal 10 3 4 2 3 2" xfId="19190" xr:uid="{00000000-0005-0000-0000-0000C9210000}"/>
    <cellStyle name="Normal 10 3 4 2 3 2 2" xfId="42536" xr:uid="{00000000-0005-0000-0000-0000CA210000}"/>
    <cellStyle name="Normal 10 3 4 2 3 3" xfId="19191" xr:uid="{00000000-0005-0000-0000-0000CB210000}"/>
    <cellStyle name="Normal 10 3 4 2 3 3 2" xfId="42537" xr:uid="{00000000-0005-0000-0000-0000CC210000}"/>
    <cellStyle name="Normal 10 3 4 2 3 4" xfId="42535" xr:uid="{00000000-0005-0000-0000-0000CD210000}"/>
    <cellStyle name="Normal 10 3 4 2 4" xfId="19192" xr:uid="{00000000-0005-0000-0000-0000CE210000}"/>
    <cellStyle name="Normal 10 3 4 2 4 2" xfId="19193" xr:uid="{00000000-0005-0000-0000-0000CF210000}"/>
    <cellStyle name="Normal 10 3 4 2 4 2 2" xfId="42539" xr:uid="{00000000-0005-0000-0000-0000D0210000}"/>
    <cellStyle name="Normal 10 3 4 2 4 3" xfId="42538" xr:uid="{00000000-0005-0000-0000-0000D1210000}"/>
    <cellStyle name="Normal 10 3 4 2 5" xfId="19194" xr:uid="{00000000-0005-0000-0000-0000D2210000}"/>
    <cellStyle name="Normal 10 3 4 2 5 2" xfId="42540" xr:uid="{00000000-0005-0000-0000-0000D3210000}"/>
    <cellStyle name="Normal 10 3 4 2 6" xfId="19195" xr:uid="{00000000-0005-0000-0000-0000D4210000}"/>
    <cellStyle name="Normal 10 3 4 2 6 2" xfId="42541" xr:uid="{00000000-0005-0000-0000-0000D5210000}"/>
    <cellStyle name="Normal 10 3 4 2 7" xfId="19196" xr:uid="{00000000-0005-0000-0000-0000D6210000}"/>
    <cellStyle name="Normal 10 3 4 2 7 2" xfId="42542" xr:uid="{00000000-0005-0000-0000-0000D7210000}"/>
    <cellStyle name="Normal 10 3 4 2 8" xfId="26837" xr:uid="{00000000-0005-0000-0000-0000D8210000}"/>
    <cellStyle name="Normal 10 3 4 3" xfId="17776" xr:uid="{00000000-0005-0000-0000-0000D9210000}"/>
    <cellStyle name="Normal 10 3 4 3 2" xfId="18011" xr:uid="{00000000-0005-0000-0000-0000DA210000}"/>
    <cellStyle name="Normal 10 3 4 3 2 2" xfId="19197" xr:uid="{00000000-0005-0000-0000-0000DB210000}"/>
    <cellStyle name="Normal 10 3 4 3 2 2 2" xfId="19198" xr:uid="{00000000-0005-0000-0000-0000DC210000}"/>
    <cellStyle name="Normal 10 3 4 3 2 2 2 2" xfId="42544" xr:uid="{00000000-0005-0000-0000-0000DD210000}"/>
    <cellStyle name="Normal 10 3 4 3 2 2 3" xfId="19199" xr:uid="{00000000-0005-0000-0000-0000DE210000}"/>
    <cellStyle name="Normal 10 3 4 3 2 2 3 2" xfId="42545" xr:uid="{00000000-0005-0000-0000-0000DF210000}"/>
    <cellStyle name="Normal 10 3 4 3 2 2 4" xfId="42543" xr:uid="{00000000-0005-0000-0000-0000E0210000}"/>
    <cellStyle name="Normal 10 3 4 3 2 3" xfId="19200" xr:uid="{00000000-0005-0000-0000-0000E1210000}"/>
    <cellStyle name="Normal 10 3 4 3 2 3 2" xfId="19201" xr:uid="{00000000-0005-0000-0000-0000E2210000}"/>
    <cellStyle name="Normal 10 3 4 3 2 3 2 2" xfId="42547" xr:uid="{00000000-0005-0000-0000-0000E3210000}"/>
    <cellStyle name="Normal 10 3 4 3 2 3 3" xfId="42546" xr:uid="{00000000-0005-0000-0000-0000E4210000}"/>
    <cellStyle name="Normal 10 3 4 3 2 4" xfId="19202" xr:uid="{00000000-0005-0000-0000-0000E5210000}"/>
    <cellStyle name="Normal 10 3 4 3 2 4 2" xfId="42548" xr:uid="{00000000-0005-0000-0000-0000E6210000}"/>
    <cellStyle name="Normal 10 3 4 3 2 5" xfId="19203" xr:uid="{00000000-0005-0000-0000-0000E7210000}"/>
    <cellStyle name="Normal 10 3 4 3 2 5 2" xfId="42549" xr:uid="{00000000-0005-0000-0000-0000E8210000}"/>
    <cellStyle name="Normal 10 3 4 3 2 6" xfId="19204" xr:uid="{00000000-0005-0000-0000-0000E9210000}"/>
    <cellStyle name="Normal 10 3 4 3 2 6 2" xfId="42550" xr:uid="{00000000-0005-0000-0000-0000EA210000}"/>
    <cellStyle name="Normal 10 3 4 3 2 7" xfId="41471" xr:uid="{00000000-0005-0000-0000-0000EB210000}"/>
    <cellStyle name="Normal 10 3 4 3 3" xfId="19205" xr:uid="{00000000-0005-0000-0000-0000EC210000}"/>
    <cellStyle name="Normal 10 3 4 3 3 2" xfId="19206" xr:uid="{00000000-0005-0000-0000-0000ED210000}"/>
    <cellStyle name="Normal 10 3 4 3 3 2 2" xfId="42552" xr:uid="{00000000-0005-0000-0000-0000EE210000}"/>
    <cellStyle name="Normal 10 3 4 3 3 3" xfId="19207" xr:uid="{00000000-0005-0000-0000-0000EF210000}"/>
    <cellStyle name="Normal 10 3 4 3 3 3 2" xfId="42553" xr:uid="{00000000-0005-0000-0000-0000F0210000}"/>
    <cellStyle name="Normal 10 3 4 3 3 4" xfId="42551" xr:uid="{00000000-0005-0000-0000-0000F1210000}"/>
    <cellStyle name="Normal 10 3 4 3 4" xfId="19208" xr:uid="{00000000-0005-0000-0000-0000F2210000}"/>
    <cellStyle name="Normal 10 3 4 3 4 2" xfId="19209" xr:uid="{00000000-0005-0000-0000-0000F3210000}"/>
    <cellStyle name="Normal 10 3 4 3 4 2 2" xfId="42555" xr:uid="{00000000-0005-0000-0000-0000F4210000}"/>
    <cellStyle name="Normal 10 3 4 3 4 3" xfId="42554" xr:uid="{00000000-0005-0000-0000-0000F5210000}"/>
    <cellStyle name="Normal 10 3 4 3 5" xfId="19210" xr:uid="{00000000-0005-0000-0000-0000F6210000}"/>
    <cellStyle name="Normal 10 3 4 3 5 2" xfId="42556" xr:uid="{00000000-0005-0000-0000-0000F7210000}"/>
    <cellStyle name="Normal 10 3 4 3 6" xfId="19211" xr:uid="{00000000-0005-0000-0000-0000F8210000}"/>
    <cellStyle name="Normal 10 3 4 3 6 2" xfId="42557" xr:uid="{00000000-0005-0000-0000-0000F9210000}"/>
    <cellStyle name="Normal 10 3 4 3 7" xfId="19212" xr:uid="{00000000-0005-0000-0000-0000FA210000}"/>
    <cellStyle name="Normal 10 3 4 3 7 2" xfId="42558" xr:uid="{00000000-0005-0000-0000-0000FB210000}"/>
    <cellStyle name="Normal 10 3 4 3 8" xfId="41236" xr:uid="{00000000-0005-0000-0000-0000FC210000}"/>
    <cellStyle name="Normal 10 3 4 4" xfId="17860" xr:uid="{00000000-0005-0000-0000-0000FD210000}"/>
    <cellStyle name="Normal 10 3 4 4 2" xfId="19213" xr:uid="{00000000-0005-0000-0000-0000FE210000}"/>
    <cellStyle name="Normal 10 3 4 4 2 2" xfId="19214" xr:uid="{00000000-0005-0000-0000-0000FF210000}"/>
    <cellStyle name="Normal 10 3 4 4 2 2 2" xfId="42560" xr:uid="{00000000-0005-0000-0000-000000220000}"/>
    <cellStyle name="Normal 10 3 4 4 2 3" xfId="19215" xr:uid="{00000000-0005-0000-0000-000001220000}"/>
    <cellStyle name="Normal 10 3 4 4 2 3 2" xfId="42561" xr:uid="{00000000-0005-0000-0000-000002220000}"/>
    <cellStyle name="Normal 10 3 4 4 2 4" xfId="42559" xr:uid="{00000000-0005-0000-0000-000003220000}"/>
    <cellStyle name="Normal 10 3 4 4 3" xfId="19216" xr:uid="{00000000-0005-0000-0000-000004220000}"/>
    <cellStyle name="Normal 10 3 4 4 3 2" xfId="19217" xr:uid="{00000000-0005-0000-0000-000005220000}"/>
    <cellStyle name="Normal 10 3 4 4 3 2 2" xfId="42563" xr:uid="{00000000-0005-0000-0000-000006220000}"/>
    <cellStyle name="Normal 10 3 4 4 3 3" xfId="42562" xr:uid="{00000000-0005-0000-0000-000007220000}"/>
    <cellStyle name="Normal 10 3 4 4 4" xfId="19218" xr:uid="{00000000-0005-0000-0000-000008220000}"/>
    <cellStyle name="Normal 10 3 4 4 4 2" xfId="42564" xr:uid="{00000000-0005-0000-0000-000009220000}"/>
    <cellStyle name="Normal 10 3 4 4 5" xfId="19219" xr:uid="{00000000-0005-0000-0000-00000A220000}"/>
    <cellStyle name="Normal 10 3 4 4 5 2" xfId="42565" xr:uid="{00000000-0005-0000-0000-00000B220000}"/>
    <cellStyle name="Normal 10 3 4 4 6" xfId="19220" xr:uid="{00000000-0005-0000-0000-00000C220000}"/>
    <cellStyle name="Normal 10 3 4 4 6 2" xfId="42566" xr:uid="{00000000-0005-0000-0000-00000D220000}"/>
    <cellStyle name="Normal 10 3 4 4 7" xfId="41320" xr:uid="{00000000-0005-0000-0000-00000E220000}"/>
    <cellStyle name="Normal 10 3 4 5" xfId="19221" xr:uid="{00000000-0005-0000-0000-00000F220000}"/>
    <cellStyle name="Normal 10 3 4 5 2" xfId="19222" xr:uid="{00000000-0005-0000-0000-000010220000}"/>
    <cellStyle name="Normal 10 3 4 5 2 2" xfId="42568" xr:uid="{00000000-0005-0000-0000-000011220000}"/>
    <cellStyle name="Normal 10 3 4 5 3" xfId="19223" xr:uid="{00000000-0005-0000-0000-000012220000}"/>
    <cellStyle name="Normal 10 3 4 5 3 2" xfId="42569" xr:uid="{00000000-0005-0000-0000-000013220000}"/>
    <cellStyle name="Normal 10 3 4 5 4" xfId="42567" xr:uid="{00000000-0005-0000-0000-000014220000}"/>
    <cellStyle name="Normal 10 3 4 6" xfId="19224" xr:uid="{00000000-0005-0000-0000-000015220000}"/>
    <cellStyle name="Normal 10 3 4 6 2" xfId="19225" xr:uid="{00000000-0005-0000-0000-000016220000}"/>
    <cellStyle name="Normal 10 3 4 6 2 2" xfId="42571" xr:uid="{00000000-0005-0000-0000-000017220000}"/>
    <cellStyle name="Normal 10 3 4 6 3" xfId="42570" xr:uid="{00000000-0005-0000-0000-000018220000}"/>
    <cellStyle name="Normal 10 3 4 7" xfId="19226" xr:uid="{00000000-0005-0000-0000-000019220000}"/>
    <cellStyle name="Normal 10 3 4 7 2" xfId="42572" xr:uid="{00000000-0005-0000-0000-00001A220000}"/>
    <cellStyle name="Normal 10 3 4 8" xfId="19227" xr:uid="{00000000-0005-0000-0000-00001B220000}"/>
    <cellStyle name="Normal 10 3 4 8 2" xfId="42573" xr:uid="{00000000-0005-0000-0000-00001C220000}"/>
    <cellStyle name="Normal 10 3 4 9" xfId="19228" xr:uid="{00000000-0005-0000-0000-00001D220000}"/>
    <cellStyle name="Normal 10 3 4 9 2" xfId="42574" xr:uid="{00000000-0005-0000-0000-00001E220000}"/>
    <cellStyle name="Normal 10 3 5" xfId="3318" xr:uid="{00000000-0005-0000-0000-00001F220000}"/>
    <cellStyle name="Normal 10 3 5 2" xfId="17884" xr:uid="{00000000-0005-0000-0000-000020220000}"/>
    <cellStyle name="Normal 10 3 5 2 2" xfId="19229" xr:uid="{00000000-0005-0000-0000-000021220000}"/>
    <cellStyle name="Normal 10 3 5 2 2 2" xfId="19230" xr:uid="{00000000-0005-0000-0000-000022220000}"/>
    <cellStyle name="Normal 10 3 5 2 2 2 2" xfId="42576" xr:uid="{00000000-0005-0000-0000-000023220000}"/>
    <cellStyle name="Normal 10 3 5 2 2 3" xfId="19231" xr:uid="{00000000-0005-0000-0000-000024220000}"/>
    <cellStyle name="Normal 10 3 5 2 2 3 2" xfId="42577" xr:uid="{00000000-0005-0000-0000-000025220000}"/>
    <cellStyle name="Normal 10 3 5 2 2 4" xfId="42575" xr:uid="{00000000-0005-0000-0000-000026220000}"/>
    <cellStyle name="Normal 10 3 5 2 3" xfId="19232" xr:uid="{00000000-0005-0000-0000-000027220000}"/>
    <cellStyle name="Normal 10 3 5 2 3 2" xfId="19233" xr:uid="{00000000-0005-0000-0000-000028220000}"/>
    <cellStyle name="Normal 10 3 5 2 3 2 2" xfId="42579" xr:uid="{00000000-0005-0000-0000-000029220000}"/>
    <cellStyle name="Normal 10 3 5 2 3 3" xfId="42578" xr:uid="{00000000-0005-0000-0000-00002A220000}"/>
    <cellStyle name="Normal 10 3 5 2 4" xfId="19234" xr:uid="{00000000-0005-0000-0000-00002B220000}"/>
    <cellStyle name="Normal 10 3 5 2 4 2" xfId="42580" xr:uid="{00000000-0005-0000-0000-00002C220000}"/>
    <cellStyle name="Normal 10 3 5 2 5" xfId="19235" xr:uid="{00000000-0005-0000-0000-00002D220000}"/>
    <cellStyle name="Normal 10 3 5 2 5 2" xfId="42581" xr:uid="{00000000-0005-0000-0000-00002E220000}"/>
    <cellStyle name="Normal 10 3 5 2 6" xfId="19236" xr:uid="{00000000-0005-0000-0000-00002F220000}"/>
    <cellStyle name="Normal 10 3 5 2 6 2" xfId="42582" xr:uid="{00000000-0005-0000-0000-000030220000}"/>
    <cellStyle name="Normal 10 3 5 2 7" xfId="41344" xr:uid="{00000000-0005-0000-0000-000031220000}"/>
    <cellStyle name="Normal 10 3 5 3" xfId="19237" xr:uid="{00000000-0005-0000-0000-000032220000}"/>
    <cellStyle name="Normal 10 3 5 3 2" xfId="19238" xr:uid="{00000000-0005-0000-0000-000033220000}"/>
    <cellStyle name="Normal 10 3 5 3 2 2" xfId="42584" xr:uid="{00000000-0005-0000-0000-000034220000}"/>
    <cellStyle name="Normal 10 3 5 3 3" xfId="19239" xr:uid="{00000000-0005-0000-0000-000035220000}"/>
    <cellStyle name="Normal 10 3 5 3 3 2" xfId="42585" xr:uid="{00000000-0005-0000-0000-000036220000}"/>
    <cellStyle name="Normal 10 3 5 3 4" xfId="42583" xr:uid="{00000000-0005-0000-0000-000037220000}"/>
    <cellStyle name="Normal 10 3 5 4" xfId="19240" xr:uid="{00000000-0005-0000-0000-000038220000}"/>
    <cellStyle name="Normal 10 3 5 4 2" xfId="19241" xr:uid="{00000000-0005-0000-0000-000039220000}"/>
    <cellStyle name="Normal 10 3 5 4 2 2" xfId="42587" xr:uid="{00000000-0005-0000-0000-00003A220000}"/>
    <cellStyle name="Normal 10 3 5 4 3" xfId="42586" xr:uid="{00000000-0005-0000-0000-00003B220000}"/>
    <cellStyle name="Normal 10 3 5 5" xfId="19242" xr:uid="{00000000-0005-0000-0000-00003C220000}"/>
    <cellStyle name="Normal 10 3 5 5 2" xfId="42588" xr:uid="{00000000-0005-0000-0000-00003D220000}"/>
    <cellStyle name="Normal 10 3 5 6" xfId="19243" xr:uid="{00000000-0005-0000-0000-00003E220000}"/>
    <cellStyle name="Normal 10 3 5 6 2" xfId="42589" xr:uid="{00000000-0005-0000-0000-00003F220000}"/>
    <cellStyle name="Normal 10 3 5 7" xfId="19244" xr:uid="{00000000-0005-0000-0000-000040220000}"/>
    <cellStyle name="Normal 10 3 5 7 2" xfId="42590" xr:uid="{00000000-0005-0000-0000-000041220000}"/>
    <cellStyle name="Normal 10 3 5 8" xfId="17695" xr:uid="{00000000-0005-0000-0000-000042220000}"/>
    <cellStyle name="Normal 10 3 5 8 2" xfId="41155" xr:uid="{00000000-0005-0000-0000-000043220000}"/>
    <cellStyle name="Normal 10 3 6" xfId="17727" xr:uid="{00000000-0005-0000-0000-000044220000}"/>
    <cellStyle name="Normal 10 3 6 2" xfId="17959" xr:uid="{00000000-0005-0000-0000-000045220000}"/>
    <cellStyle name="Normal 10 3 6 2 2" xfId="19245" xr:uid="{00000000-0005-0000-0000-000046220000}"/>
    <cellStyle name="Normal 10 3 6 2 2 2" xfId="19246" xr:uid="{00000000-0005-0000-0000-000047220000}"/>
    <cellStyle name="Normal 10 3 6 2 2 2 2" xfId="42592" xr:uid="{00000000-0005-0000-0000-000048220000}"/>
    <cellStyle name="Normal 10 3 6 2 2 3" xfId="19247" xr:uid="{00000000-0005-0000-0000-000049220000}"/>
    <cellStyle name="Normal 10 3 6 2 2 3 2" xfId="42593" xr:uid="{00000000-0005-0000-0000-00004A220000}"/>
    <cellStyle name="Normal 10 3 6 2 2 4" xfId="42591" xr:uid="{00000000-0005-0000-0000-00004B220000}"/>
    <cellStyle name="Normal 10 3 6 2 3" xfId="19248" xr:uid="{00000000-0005-0000-0000-00004C220000}"/>
    <cellStyle name="Normal 10 3 6 2 3 2" xfId="19249" xr:uid="{00000000-0005-0000-0000-00004D220000}"/>
    <cellStyle name="Normal 10 3 6 2 3 2 2" xfId="42595" xr:uid="{00000000-0005-0000-0000-00004E220000}"/>
    <cellStyle name="Normal 10 3 6 2 3 3" xfId="42594" xr:uid="{00000000-0005-0000-0000-00004F220000}"/>
    <cellStyle name="Normal 10 3 6 2 4" xfId="19250" xr:uid="{00000000-0005-0000-0000-000050220000}"/>
    <cellStyle name="Normal 10 3 6 2 4 2" xfId="42596" xr:uid="{00000000-0005-0000-0000-000051220000}"/>
    <cellStyle name="Normal 10 3 6 2 5" xfId="19251" xr:uid="{00000000-0005-0000-0000-000052220000}"/>
    <cellStyle name="Normal 10 3 6 2 5 2" xfId="42597" xr:uid="{00000000-0005-0000-0000-000053220000}"/>
    <cellStyle name="Normal 10 3 6 2 6" xfId="19252" xr:uid="{00000000-0005-0000-0000-000054220000}"/>
    <cellStyle name="Normal 10 3 6 2 6 2" xfId="42598" xr:uid="{00000000-0005-0000-0000-000055220000}"/>
    <cellStyle name="Normal 10 3 6 2 7" xfId="41419" xr:uid="{00000000-0005-0000-0000-000056220000}"/>
    <cellStyle name="Normal 10 3 6 3" xfId="19253" xr:uid="{00000000-0005-0000-0000-000057220000}"/>
    <cellStyle name="Normal 10 3 6 3 2" xfId="19254" xr:uid="{00000000-0005-0000-0000-000058220000}"/>
    <cellStyle name="Normal 10 3 6 3 2 2" xfId="42600" xr:uid="{00000000-0005-0000-0000-000059220000}"/>
    <cellStyle name="Normal 10 3 6 3 3" xfId="19255" xr:uid="{00000000-0005-0000-0000-00005A220000}"/>
    <cellStyle name="Normal 10 3 6 3 3 2" xfId="42601" xr:uid="{00000000-0005-0000-0000-00005B220000}"/>
    <cellStyle name="Normal 10 3 6 3 4" xfId="42599" xr:uid="{00000000-0005-0000-0000-00005C220000}"/>
    <cellStyle name="Normal 10 3 6 4" xfId="19256" xr:uid="{00000000-0005-0000-0000-00005D220000}"/>
    <cellStyle name="Normal 10 3 6 4 2" xfId="19257" xr:uid="{00000000-0005-0000-0000-00005E220000}"/>
    <cellStyle name="Normal 10 3 6 4 2 2" xfId="42603" xr:uid="{00000000-0005-0000-0000-00005F220000}"/>
    <cellStyle name="Normal 10 3 6 4 3" xfId="42602" xr:uid="{00000000-0005-0000-0000-000060220000}"/>
    <cellStyle name="Normal 10 3 6 5" xfId="19258" xr:uid="{00000000-0005-0000-0000-000061220000}"/>
    <cellStyle name="Normal 10 3 6 5 2" xfId="42604" xr:uid="{00000000-0005-0000-0000-000062220000}"/>
    <cellStyle name="Normal 10 3 6 6" xfId="19259" xr:uid="{00000000-0005-0000-0000-000063220000}"/>
    <cellStyle name="Normal 10 3 6 6 2" xfId="42605" xr:uid="{00000000-0005-0000-0000-000064220000}"/>
    <cellStyle name="Normal 10 3 6 7" xfId="19260" xr:uid="{00000000-0005-0000-0000-000065220000}"/>
    <cellStyle name="Normal 10 3 6 7 2" xfId="42606" xr:uid="{00000000-0005-0000-0000-000066220000}"/>
    <cellStyle name="Normal 10 3 6 8" xfId="41187" xr:uid="{00000000-0005-0000-0000-000067220000}"/>
    <cellStyle name="Normal 10 3 7" xfId="17805" xr:uid="{00000000-0005-0000-0000-000068220000}"/>
    <cellStyle name="Normal 10 3 7 2" xfId="19261" xr:uid="{00000000-0005-0000-0000-000069220000}"/>
    <cellStyle name="Normal 10 3 7 2 2" xfId="19262" xr:uid="{00000000-0005-0000-0000-00006A220000}"/>
    <cellStyle name="Normal 10 3 7 2 2 2" xfId="42608" xr:uid="{00000000-0005-0000-0000-00006B220000}"/>
    <cellStyle name="Normal 10 3 7 2 3" xfId="19263" xr:uid="{00000000-0005-0000-0000-00006C220000}"/>
    <cellStyle name="Normal 10 3 7 2 3 2" xfId="42609" xr:uid="{00000000-0005-0000-0000-00006D220000}"/>
    <cellStyle name="Normal 10 3 7 2 4" xfId="42607" xr:uid="{00000000-0005-0000-0000-00006E220000}"/>
    <cellStyle name="Normal 10 3 7 3" xfId="19264" xr:uid="{00000000-0005-0000-0000-00006F220000}"/>
    <cellStyle name="Normal 10 3 7 3 2" xfId="19265" xr:uid="{00000000-0005-0000-0000-000070220000}"/>
    <cellStyle name="Normal 10 3 7 3 2 2" xfId="42611" xr:uid="{00000000-0005-0000-0000-000071220000}"/>
    <cellStyle name="Normal 10 3 7 3 3" xfId="42610" xr:uid="{00000000-0005-0000-0000-000072220000}"/>
    <cellStyle name="Normal 10 3 7 4" xfId="19266" xr:uid="{00000000-0005-0000-0000-000073220000}"/>
    <cellStyle name="Normal 10 3 7 4 2" xfId="42612" xr:uid="{00000000-0005-0000-0000-000074220000}"/>
    <cellStyle name="Normal 10 3 7 5" xfId="19267" xr:uid="{00000000-0005-0000-0000-000075220000}"/>
    <cellStyle name="Normal 10 3 7 5 2" xfId="42613" xr:uid="{00000000-0005-0000-0000-000076220000}"/>
    <cellStyle name="Normal 10 3 7 6" xfId="19268" xr:uid="{00000000-0005-0000-0000-000077220000}"/>
    <cellStyle name="Normal 10 3 7 6 2" xfId="42614" xr:uid="{00000000-0005-0000-0000-000078220000}"/>
    <cellStyle name="Normal 10 3 7 7" xfId="41265" xr:uid="{00000000-0005-0000-0000-000079220000}"/>
    <cellStyle name="Normal 10 3 8" xfId="19269" xr:uid="{00000000-0005-0000-0000-00007A220000}"/>
    <cellStyle name="Normal 10 3 8 2" xfId="19270" xr:uid="{00000000-0005-0000-0000-00007B220000}"/>
    <cellStyle name="Normal 10 3 8 2 2" xfId="42616" xr:uid="{00000000-0005-0000-0000-00007C220000}"/>
    <cellStyle name="Normal 10 3 8 3" xfId="19271" xr:uid="{00000000-0005-0000-0000-00007D220000}"/>
    <cellStyle name="Normal 10 3 8 3 2" xfId="42617" xr:uid="{00000000-0005-0000-0000-00007E220000}"/>
    <cellStyle name="Normal 10 3 8 4" xfId="42615" xr:uid="{00000000-0005-0000-0000-00007F220000}"/>
    <cellStyle name="Normal 10 3 9" xfId="19272" xr:uid="{00000000-0005-0000-0000-000080220000}"/>
    <cellStyle name="Normal 10 3 9 2" xfId="19273" xr:uid="{00000000-0005-0000-0000-000081220000}"/>
    <cellStyle name="Normal 10 3 9 2 2" xfId="42619" xr:uid="{00000000-0005-0000-0000-000082220000}"/>
    <cellStyle name="Normal 10 3 9 3" xfId="42618" xr:uid="{00000000-0005-0000-0000-000083220000}"/>
    <cellStyle name="Normal 10 4" xfId="68" xr:uid="{00000000-0005-0000-0000-000084220000}"/>
    <cellStyle name="Normal 10 4 10" xfId="19274" xr:uid="{00000000-0005-0000-0000-000085220000}"/>
    <cellStyle name="Normal 10 4 10 2" xfId="42620" xr:uid="{00000000-0005-0000-0000-000086220000}"/>
    <cellStyle name="Normal 10 4 11" xfId="19275" xr:uid="{00000000-0005-0000-0000-000087220000}"/>
    <cellStyle name="Normal 10 4 11 2" xfId="42621" xr:uid="{00000000-0005-0000-0000-000088220000}"/>
    <cellStyle name="Normal 10 4 12" xfId="23648" xr:uid="{00000000-0005-0000-0000-000089220000}"/>
    <cellStyle name="Normal 10 4 2" xfId="69" xr:uid="{00000000-0005-0000-0000-00008A220000}"/>
    <cellStyle name="Normal 10 4 2 10" xfId="23649" xr:uid="{00000000-0005-0000-0000-00008B220000}"/>
    <cellStyle name="Normal 10 4 2 2" xfId="3325" xr:uid="{00000000-0005-0000-0000-00008C220000}"/>
    <cellStyle name="Normal 10 4 2 2 2" xfId="17908" xr:uid="{00000000-0005-0000-0000-00008D220000}"/>
    <cellStyle name="Normal 10 4 2 2 2 2" xfId="19276" xr:uid="{00000000-0005-0000-0000-00008E220000}"/>
    <cellStyle name="Normal 10 4 2 2 2 2 2" xfId="19277" xr:uid="{00000000-0005-0000-0000-00008F220000}"/>
    <cellStyle name="Normal 10 4 2 2 2 2 2 2" xfId="42623" xr:uid="{00000000-0005-0000-0000-000090220000}"/>
    <cellStyle name="Normal 10 4 2 2 2 2 3" xfId="19278" xr:uid="{00000000-0005-0000-0000-000091220000}"/>
    <cellStyle name="Normal 10 4 2 2 2 2 3 2" xfId="42624" xr:uid="{00000000-0005-0000-0000-000092220000}"/>
    <cellStyle name="Normal 10 4 2 2 2 2 4" xfId="42622" xr:uid="{00000000-0005-0000-0000-000093220000}"/>
    <cellStyle name="Normal 10 4 2 2 2 3" xfId="19279" xr:uid="{00000000-0005-0000-0000-000094220000}"/>
    <cellStyle name="Normal 10 4 2 2 2 3 2" xfId="19280" xr:uid="{00000000-0005-0000-0000-000095220000}"/>
    <cellStyle name="Normal 10 4 2 2 2 3 2 2" xfId="42626" xr:uid="{00000000-0005-0000-0000-000096220000}"/>
    <cellStyle name="Normal 10 4 2 2 2 3 3" xfId="42625" xr:uid="{00000000-0005-0000-0000-000097220000}"/>
    <cellStyle name="Normal 10 4 2 2 2 4" xfId="19281" xr:uid="{00000000-0005-0000-0000-000098220000}"/>
    <cellStyle name="Normal 10 4 2 2 2 4 2" xfId="42627" xr:uid="{00000000-0005-0000-0000-000099220000}"/>
    <cellStyle name="Normal 10 4 2 2 2 5" xfId="19282" xr:uid="{00000000-0005-0000-0000-00009A220000}"/>
    <cellStyle name="Normal 10 4 2 2 2 5 2" xfId="42628" xr:uid="{00000000-0005-0000-0000-00009B220000}"/>
    <cellStyle name="Normal 10 4 2 2 2 6" xfId="19283" xr:uid="{00000000-0005-0000-0000-00009C220000}"/>
    <cellStyle name="Normal 10 4 2 2 2 6 2" xfId="42629" xr:uid="{00000000-0005-0000-0000-00009D220000}"/>
    <cellStyle name="Normal 10 4 2 2 2 7" xfId="41368" xr:uid="{00000000-0005-0000-0000-00009E220000}"/>
    <cellStyle name="Normal 10 4 2 2 3" xfId="19284" xr:uid="{00000000-0005-0000-0000-00009F220000}"/>
    <cellStyle name="Normal 10 4 2 2 3 2" xfId="19285" xr:uid="{00000000-0005-0000-0000-0000A0220000}"/>
    <cellStyle name="Normal 10 4 2 2 3 2 2" xfId="42631" xr:uid="{00000000-0005-0000-0000-0000A1220000}"/>
    <cellStyle name="Normal 10 4 2 2 3 3" xfId="19286" xr:uid="{00000000-0005-0000-0000-0000A2220000}"/>
    <cellStyle name="Normal 10 4 2 2 3 3 2" xfId="42632" xr:uid="{00000000-0005-0000-0000-0000A3220000}"/>
    <cellStyle name="Normal 10 4 2 2 3 4" xfId="42630" xr:uid="{00000000-0005-0000-0000-0000A4220000}"/>
    <cellStyle name="Normal 10 4 2 2 4" xfId="19287" xr:uid="{00000000-0005-0000-0000-0000A5220000}"/>
    <cellStyle name="Normal 10 4 2 2 4 2" xfId="19288" xr:uid="{00000000-0005-0000-0000-0000A6220000}"/>
    <cellStyle name="Normal 10 4 2 2 4 2 2" xfId="42634" xr:uid="{00000000-0005-0000-0000-0000A7220000}"/>
    <cellStyle name="Normal 10 4 2 2 4 3" xfId="42633" xr:uid="{00000000-0005-0000-0000-0000A8220000}"/>
    <cellStyle name="Normal 10 4 2 2 5" xfId="19289" xr:uid="{00000000-0005-0000-0000-0000A9220000}"/>
    <cellStyle name="Normal 10 4 2 2 5 2" xfId="42635" xr:uid="{00000000-0005-0000-0000-0000AA220000}"/>
    <cellStyle name="Normal 10 4 2 2 6" xfId="19290" xr:uid="{00000000-0005-0000-0000-0000AB220000}"/>
    <cellStyle name="Normal 10 4 2 2 6 2" xfId="42636" xr:uid="{00000000-0005-0000-0000-0000AC220000}"/>
    <cellStyle name="Normal 10 4 2 2 7" xfId="19291" xr:uid="{00000000-0005-0000-0000-0000AD220000}"/>
    <cellStyle name="Normal 10 4 2 2 7 2" xfId="42637" xr:uid="{00000000-0005-0000-0000-0000AE220000}"/>
    <cellStyle name="Normal 10 4 2 2 8" xfId="26838" xr:uid="{00000000-0005-0000-0000-0000AF220000}"/>
    <cellStyle name="Normal 10 4 2 3" xfId="17750" xr:uid="{00000000-0005-0000-0000-0000B0220000}"/>
    <cellStyle name="Normal 10 4 2 3 2" xfId="17983" xr:uid="{00000000-0005-0000-0000-0000B1220000}"/>
    <cellStyle name="Normal 10 4 2 3 2 2" xfId="19292" xr:uid="{00000000-0005-0000-0000-0000B2220000}"/>
    <cellStyle name="Normal 10 4 2 3 2 2 2" xfId="19293" xr:uid="{00000000-0005-0000-0000-0000B3220000}"/>
    <cellStyle name="Normal 10 4 2 3 2 2 2 2" xfId="42639" xr:uid="{00000000-0005-0000-0000-0000B4220000}"/>
    <cellStyle name="Normal 10 4 2 3 2 2 3" xfId="19294" xr:uid="{00000000-0005-0000-0000-0000B5220000}"/>
    <cellStyle name="Normal 10 4 2 3 2 2 3 2" xfId="42640" xr:uid="{00000000-0005-0000-0000-0000B6220000}"/>
    <cellStyle name="Normal 10 4 2 3 2 2 4" xfId="42638" xr:uid="{00000000-0005-0000-0000-0000B7220000}"/>
    <cellStyle name="Normal 10 4 2 3 2 3" xfId="19295" xr:uid="{00000000-0005-0000-0000-0000B8220000}"/>
    <cellStyle name="Normal 10 4 2 3 2 3 2" xfId="19296" xr:uid="{00000000-0005-0000-0000-0000B9220000}"/>
    <cellStyle name="Normal 10 4 2 3 2 3 2 2" xfId="42642" xr:uid="{00000000-0005-0000-0000-0000BA220000}"/>
    <cellStyle name="Normal 10 4 2 3 2 3 3" xfId="42641" xr:uid="{00000000-0005-0000-0000-0000BB220000}"/>
    <cellStyle name="Normal 10 4 2 3 2 4" xfId="19297" xr:uid="{00000000-0005-0000-0000-0000BC220000}"/>
    <cellStyle name="Normal 10 4 2 3 2 4 2" xfId="42643" xr:uid="{00000000-0005-0000-0000-0000BD220000}"/>
    <cellStyle name="Normal 10 4 2 3 2 5" xfId="19298" xr:uid="{00000000-0005-0000-0000-0000BE220000}"/>
    <cellStyle name="Normal 10 4 2 3 2 5 2" xfId="42644" xr:uid="{00000000-0005-0000-0000-0000BF220000}"/>
    <cellStyle name="Normal 10 4 2 3 2 6" xfId="19299" xr:uid="{00000000-0005-0000-0000-0000C0220000}"/>
    <cellStyle name="Normal 10 4 2 3 2 6 2" xfId="42645" xr:uid="{00000000-0005-0000-0000-0000C1220000}"/>
    <cellStyle name="Normal 10 4 2 3 2 7" xfId="41443" xr:uid="{00000000-0005-0000-0000-0000C2220000}"/>
    <cellStyle name="Normal 10 4 2 3 3" xfId="19300" xr:uid="{00000000-0005-0000-0000-0000C3220000}"/>
    <cellStyle name="Normal 10 4 2 3 3 2" xfId="19301" xr:uid="{00000000-0005-0000-0000-0000C4220000}"/>
    <cellStyle name="Normal 10 4 2 3 3 2 2" xfId="42647" xr:uid="{00000000-0005-0000-0000-0000C5220000}"/>
    <cellStyle name="Normal 10 4 2 3 3 3" xfId="19302" xr:uid="{00000000-0005-0000-0000-0000C6220000}"/>
    <cellStyle name="Normal 10 4 2 3 3 3 2" xfId="42648" xr:uid="{00000000-0005-0000-0000-0000C7220000}"/>
    <cellStyle name="Normal 10 4 2 3 3 4" xfId="42646" xr:uid="{00000000-0005-0000-0000-0000C8220000}"/>
    <cellStyle name="Normal 10 4 2 3 4" xfId="19303" xr:uid="{00000000-0005-0000-0000-0000C9220000}"/>
    <cellStyle name="Normal 10 4 2 3 4 2" xfId="19304" xr:uid="{00000000-0005-0000-0000-0000CA220000}"/>
    <cellStyle name="Normal 10 4 2 3 4 2 2" xfId="42650" xr:uid="{00000000-0005-0000-0000-0000CB220000}"/>
    <cellStyle name="Normal 10 4 2 3 4 3" xfId="42649" xr:uid="{00000000-0005-0000-0000-0000CC220000}"/>
    <cellStyle name="Normal 10 4 2 3 5" xfId="19305" xr:uid="{00000000-0005-0000-0000-0000CD220000}"/>
    <cellStyle name="Normal 10 4 2 3 5 2" xfId="42651" xr:uid="{00000000-0005-0000-0000-0000CE220000}"/>
    <cellStyle name="Normal 10 4 2 3 6" xfId="19306" xr:uid="{00000000-0005-0000-0000-0000CF220000}"/>
    <cellStyle name="Normal 10 4 2 3 6 2" xfId="42652" xr:uid="{00000000-0005-0000-0000-0000D0220000}"/>
    <cellStyle name="Normal 10 4 2 3 7" xfId="19307" xr:uid="{00000000-0005-0000-0000-0000D1220000}"/>
    <cellStyle name="Normal 10 4 2 3 7 2" xfId="42653" xr:uid="{00000000-0005-0000-0000-0000D2220000}"/>
    <cellStyle name="Normal 10 4 2 3 8" xfId="41210" xr:uid="{00000000-0005-0000-0000-0000D3220000}"/>
    <cellStyle name="Normal 10 4 2 4" xfId="17832" xr:uid="{00000000-0005-0000-0000-0000D4220000}"/>
    <cellStyle name="Normal 10 4 2 4 2" xfId="19308" xr:uid="{00000000-0005-0000-0000-0000D5220000}"/>
    <cellStyle name="Normal 10 4 2 4 2 2" xfId="19309" xr:uid="{00000000-0005-0000-0000-0000D6220000}"/>
    <cellStyle name="Normal 10 4 2 4 2 2 2" xfId="42655" xr:uid="{00000000-0005-0000-0000-0000D7220000}"/>
    <cellStyle name="Normal 10 4 2 4 2 3" xfId="19310" xr:uid="{00000000-0005-0000-0000-0000D8220000}"/>
    <cellStyle name="Normal 10 4 2 4 2 3 2" xfId="42656" xr:uid="{00000000-0005-0000-0000-0000D9220000}"/>
    <cellStyle name="Normal 10 4 2 4 2 4" xfId="42654" xr:uid="{00000000-0005-0000-0000-0000DA220000}"/>
    <cellStyle name="Normal 10 4 2 4 3" xfId="19311" xr:uid="{00000000-0005-0000-0000-0000DB220000}"/>
    <cellStyle name="Normal 10 4 2 4 3 2" xfId="19312" xr:uid="{00000000-0005-0000-0000-0000DC220000}"/>
    <cellStyle name="Normal 10 4 2 4 3 2 2" xfId="42658" xr:uid="{00000000-0005-0000-0000-0000DD220000}"/>
    <cellStyle name="Normal 10 4 2 4 3 3" xfId="42657" xr:uid="{00000000-0005-0000-0000-0000DE220000}"/>
    <cellStyle name="Normal 10 4 2 4 4" xfId="19313" xr:uid="{00000000-0005-0000-0000-0000DF220000}"/>
    <cellStyle name="Normal 10 4 2 4 4 2" xfId="42659" xr:uid="{00000000-0005-0000-0000-0000E0220000}"/>
    <cellStyle name="Normal 10 4 2 4 5" xfId="19314" xr:uid="{00000000-0005-0000-0000-0000E1220000}"/>
    <cellStyle name="Normal 10 4 2 4 5 2" xfId="42660" xr:uid="{00000000-0005-0000-0000-0000E2220000}"/>
    <cellStyle name="Normal 10 4 2 4 6" xfId="19315" xr:uid="{00000000-0005-0000-0000-0000E3220000}"/>
    <cellStyle name="Normal 10 4 2 4 6 2" xfId="42661" xr:uid="{00000000-0005-0000-0000-0000E4220000}"/>
    <cellStyle name="Normal 10 4 2 4 7" xfId="41292" xr:uid="{00000000-0005-0000-0000-0000E5220000}"/>
    <cellStyle name="Normal 10 4 2 5" xfId="19316" xr:uid="{00000000-0005-0000-0000-0000E6220000}"/>
    <cellStyle name="Normal 10 4 2 5 2" xfId="19317" xr:uid="{00000000-0005-0000-0000-0000E7220000}"/>
    <cellStyle name="Normal 10 4 2 5 2 2" xfId="42663" xr:uid="{00000000-0005-0000-0000-0000E8220000}"/>
    <cellStyle name="Normal 10 4 2 5 3" xfId="19318" xr:uid="{00000000-0005-0000-0000-0000E9220000}"/>
    <cellStyle name="Normal 10 4 2 5 3 2" xfId="42664" xr:uid="{00000000-0005-0000-0000-0000EA220000}"/>
    <cellStyle name="Normal 10 4 2 5 4" xfId="42662" xr:uid="{00000000-0005-0000-0000-0000EB220000}"/>
    <cellStyle name="Normal 10 4 2 6" xfId="19319" xr:uid="{00000000-0005-0000-0000-0000EC220000}"/>
    <cellStyle name="Normal 10 4 2 6 2" xfId="19320" xr:uid="{00000000-0005-0000-0000-0000ED220000}"/>
    <cellStyle name="Normal 10 4 2 6 2 2" xfId="42666" xr:uid="{00000000-0005-0000-0000-0000EE220000}"/>
    <cellStyle name="Normal 10 4 2 6 3" xfId="42665" xr:uid="{00000000-0005-0000-0000-0000EF220000}"/>
    <cellStyle name="Normal 10 4 2 7" xfId="19321" xr:uid="{00000000-0005-0000-0000-0000F0220000}"/>
    <cellStyle name="Normal 10 4 2 7 2" xfId="42667" xr:uid="{00000000-0005-0000-0000-0000F1220000}"/>
    <cellStyle name="Normal 10 4 2 8" xfId="19322" xr:uid="{00000000-0005-0000-0000-0000F2220000}"/>
    <cellStyle name="Normal 10 4 2 8 2" xfId="42668" xr:uid="{00000000-0005-0000-0000-0000F3220000}"/>
    <cellStyle name="Normal 10 4 2 9" xfId="19323" xr:uid="{00000000-0005-0000-0000-0000F4220000}"/>
    <cellStyle name="Normal 10 4 2 9 2" xfId="42669" xr:uid="{00000000-0005-0000-0000-0000F5220000}"/>
    <cellStyle name="Normal 10 4 3" xfId="3326" xr:uid="{00000000-0005-0000-0000-0000F6220000}"/>
    <cellStyle name="Normal 10 4 3 10" xfId="26839" xr:uid="{00000000-0005-0000-0000-0000F7220000}"/>
    <cellStyle name="Normal 10 4 3 2" xfId="3327" xr:uid="{00000000-0005-0000-0000-0000F8220000}"/>
    <cellStyle name="Normal 10 4 3 2 2" xfId="17937" xr:uid="{00000000-0005-0000-0000-0000F9220000}"/>
    <cellStyle name="Normal 10 4 3 2 2 2" xfId="19324" xr:uid="{00000000-0005-0000-0000-0000FA220000}"/>
    <cellStyle name="Normal 10 4 3 2 2 2 2" xfId="19325" xr:uid="{00000000-0005-0000-0000-0000FB220000}"/>
    <cellStyle name="Normal 10 4 3 2 2 2 2 2" xfId="42671" xr:uid="{00000000-0005-0000-0000-0000FC220000}"/>
    <cellStyle name="Normal 10 4 3 2 2 2 3" xfId="19326" xr:uid="{00000000-0005-0000-0000-0000FD220000}"/>
    <cellStyle name="Normal 10 4 3 2 2 2 3 2" xfId="42672" xr:uid="{00000000-0005-0000-0000-0000FE220000}"/>
    <cellStyle name="Normal 10 4 3 2 2 2 4" xfId="42670" xr:uid="{00000000-0005-0000-0000-0000FF220000}"/>
    <cellStyle name="Normal 10 4 3 2 2 3" xfId="19327" xr:uid="{00000000-0005-0000-0000-000000230000}"/>
    <cellStyle name="Normal 10 4 3 2 2 3 2" xfId="19328" xr:uid="{00000000-0005-0000-0000-000001230000}"/>
    <cellStyle name="Normal 10 4 3 2 2 3 2 2" xfId="42674" xr:uid="{00000000-0005-0000-0000-000002230000}"/>
    <cellStyle name="Normal 10 4 3 2 2 3 3" xfId="42673" xr:uid="{00000000-0005-0000-0000-000003230000}"/>
    <cellStyle name="Normal 10 4 3 2 2 4" xfId="19329" xr:uid="{00000000-0005-0000-0000-000004230000}"/>
    <cellStyle name="Normal 10 4 3 2 2 4 2" xfId="42675" xr:uid="{00000000-0005-0000-0000-000005230000}"/>
    <cellStyle name="Normal 10 4 3 2 2 5" xfId="19330" xr:uid="{00000000-0005-0000-0000-000006230000}"/>
    <cellStyle name="Normal 10 4 3 2 2 5 2" xfId="42676" xr:uid="{00000000-0005-0000-0000-000007230000}"/>
    <cellStyle name="Normal 10 4 3 2 2 6" xfId="19331" xr:uid="{00000000-0005-0000-0000-000008230000}"/>
    <cellStyle name="Normal 10 4 3 2 2 6 2" xfId="42677" xr:uid="{00000000-0005-0000-0000-000009230000}"/>
    <cellStyle name="Normal 10 4 3 2 2 7" xfId="41397" xr:uid="{00000000-0005-0000-0000-00000A230000}"/>
    <cellStyle name="Normal 10 4 3 2 3" xfId="19332" xr:uid="{00000000-0005-0000-0000-00000B230000}"/>
    <cellStyle name="Normal 10 4 3 2 3 2" xfId="19333" xr:uid="{00000000-0005-0000-0000-00000C230000}"/>
    <cellStyle name="Normal 10 4 3 2 3 2 2" xfId="42679" xr:uid="{00000000-0005-0000-0000-00000D230000}"/>
    <cellStyle name="Normal 10 4 3 2 3 3" xfId="19334" xr:uid="{00000000-0005-0000-0000-00000E230000}"/>
    <cellStyle name="Normal 10 4 3 2 3 3 2" xfId="42680" xr:uid="{00000000-0005-0000-0000-00000F230000}"/>
    <cellStyle name="Normal 10 4 3 2 3 4" xfId="42678" xr:uid="{00000000-0005-0000-0000-000010230000}"/>
    <cellStyle name="Normal 10 4 3 2 4" xfId="19335" xr:uid="{00000000-0005-0000-0000-000011230000}"/>
    <cellStyle name="Normal 10 4 3 2 4 2" xfId="19336" xr:uid="{00000000-0005-0000-0000-000012230000}"/>
    <cellStyle name="Normal 10 4 3 2 4 2 2" xfId="42682" xr:uid="{00000000-0005-0000-0000-000013230000}"/>
    <cellStyle name="Normal 10 4 3 2 4 3" xfId="42681" xr:uid="{00000000-0005-0000-0000-000014230000}"/>
    <cellStyle name="Normal 10 4 3 2 5" xfId="19337" xr:uid="{00000000-0005-0000-0000-000015230000}"/>
    <cellStyle name="Normal 10 4 3 2 5 2" xfId="42683" xr:uid="{00000000-0005-0000-0000-000016230000}"/>
    <cellStyle name="Normal 10 4 3 2 6" xfId="19338" xr:uid="{00000000-0005-0000-0000-000017230000}"/>
    <cellStyle name="Normal 10 4 3 2 6 2" xfId="42684" xr:uid="{00000000-0005-0000-0000-000018230000}"/>
    <cellStyle name="Normal 10 4 3 2 7" xfId="19339" xr:uid="{00000000-0005-0000-0000-000019230000}"/>
    <cellStyle name="Normal 10 4 3 2 7 2" xfId="42685" xr:uid="{00000000-0005-0000-0000-00001A230000}"/>
    <cellStyle name="Normal 10 4 3 2 8" xfId="26840" xr:uid="{00000000-0005-0000-0000-00001B230000}"/>
    <cellStyle name="Normal 10 4 3 3" xfId="17777" xr:uid="{00000000-0005-0000-0000-00001C230000}"/>
    <cellStyle name="Normal 10 4 3 3 2" xfId="18012" xr:uid="{00000000-0005-0000-0000-00001D230000}"/>
    <cellStyle name="Normal 10 4 3 3 2 2" xfId="19340" xr:uid="{00000000-0005-0000-0000-00001E230000}"/>
    <cellStyle name="Normal 10 4 3 3 2 2 2" xfId="19341" xr:uid="{00000000-0005-0000-0000-00001F230000}"/>
    <cellStyle name="Normal 10 4 3 3 2 2 2 2" xfId="42687" xr:uid="{00000000-0005-0000-0000-000020230000}"/>
    <cellStyle name="Normal 10 4 3 3 2 2 3" xfId="19342" xr:uid="{00000000-0005-0000-0000-000021230000}"/>
    <cellStyle name="Normal 10 4 3 3 2 2 3 2" xfId="42688" xr:uid="{00000000-0005-0000-0000-000022230000}"/>
    <cellStyle name="Normal 10 4 3 3 2 2 4" xfId="42686" xr:uid="{00000000-0005-0000-0000-000023230000}"/>
    <cellStyle name="Normal 10 4 3 3 2 3" xfId="19343" xr:uid="{00000000-0005-0000-0000-000024230000}"/>
    <cellStyle name="Normal 10 4 3 3 2 3 2" xfId="19344" xr:uid="{00000000-0005-0000-0000-000025230000}"/>
    <cellStyle name="Normal 10 4 3 3 2 3 2 2" xfId="42690" xr:uid="{00000000-0005-0000-0000-000026230000}"/>
    <cellStyle name="Normal 10 4 3 3 2 3 3" xfId="42689" xr:uid="{00000000-0005-0000-0000-000027230000}"/>
    <cellStyle name="Normal 10 4 3 3 2 4" xfId="19345" xr:uid="{00000000-0005-0000-0000-000028230000}"/>
    <cellStyle name="Normal 10 4 3 3 2 4 2" xfId="42691" xr:uid="{00000000-0005-0000-0000-000029230000}"/>
    <cellStyle name="Normal 10 4 3 3 2 5" xfId="19346" xr:uid="{00000000-0005-0000-0000-00002A230000}"/>
    <cellStyle name="Normal 10 4 3 3 2 5 2" xfId="42692" xr:uid="{00000000-0005-0000-0000-00002B230000}"/>
    <cellStyle name="Normal 10 4 3 3 2 6" xfId="19347" xr:uid="{00000000-0005-0000-0000-00002C230000}"/>
    <cellStyle name="Normal 10 4 3 3 2 6 2" xfId="42693" xr:uid="{00000000-0005-0000-0000-00002D230000}"/>
    <cellStyle name="Normal 10 4 3 3 2 7" xfId="41472" xr:uid="{00000000-0005-0000-0000-00002E230000}"/>
    <cellStyle name="Normal 10 4 3 3 3" xfId="19348" xr:uid="{00000000-0005-0000-0000-00002F230000}"/>
    <cellStyle name="Normal 10 4 3 3 3 2" xfId="19349" xr:uid="{00000000-0005-0000-0000-000030230000}"/>
    <cellStyle name="Normal 10 4 3 3 3 2 2" xfId="42695" xr:uid="{00000000-0005-0000-0000-000031230000}"/>
    <cellStyle name="Normal 10 4 3 3 3 3" xfId="19350" xr:uid="{00000000-0005-0000-0000-000032230000}"/>
    <cellStyle name="Normal 10 4 3 3 3 3 2" xfId="42696" xr:uid="{00000000-0005-0000-0000-000033230000}"/>
    <cellStyle name="Normal 10 4 3 3 3 4" xfId="42694" xr:uid="{00000000-0005-0000-0000-000034230000}"/>
    <cellStyle name="Normal 10 4 3 3 4" xfId="19351" xr:uid="{00000000-0005-0000-0000-000035230000}"/>
    <cellStyle name="Normal 10 4 3 3 4 2" xfId="19352" xr:uid="{00000000-0005-0000-0000-000036230000}"/>
    <cellStyle name="Normal 10 4 3 3 4 2 2" xfId="42698" xr:uid="{00000000-0005-0000-0000-000037230000}"/>
    <cellStyle name="Normal 10 4 3 3 4 3" xfId="42697" xr:uid="{00000000-0005-0000-0000-000038230000}"/>
    <cellStyle name="Normal 10 4 3 3 5" xfId="19353" xr:uid="{00000000-0005-0000-0000-000039230000}"/>
    <cellStyle name="Normal 10 4 3 3 5 2" xfId="42699" xr:uid="{00000000-0005-0000-0000-00003A230000}"/>
    <cellStyle name="Normal 10 4 3 3 6" xfId="19354" xr:uid="{00000000-0005-0000-0000-00003B230000}"/>
    <cellStyle name="Normal 10 4 3 3 6 2" xfId="42700" xr:uid="{00000000-0005-0000-0000-00003C230000}"/>
    <cellStyle name="Normal 10 4 3 3 7" xfId="19355" xr:uid="{00000000-0005-0000-0000-00003D230000}"/>
    <cellStyle name="Normal 10 4 3 3 7 2" xfId="42701" xr:uid="{00000000-0005-0000-0000-00003E230000}"/>
    <cellStyle name="Normal 10 4 3 3 8" xfId="41237" xr:uid="{00000000-0005-0000-0000-00003F230000}"/>
    <cellStyle name="Normal 10 4 3 4" xfId="17865" xr:uid="{00000000-0005-0000-0000-000040230000}"/>
    <cellStyle name="Normal 10 4 3 4 2" xfId="19356" xr:uid="{00000000-0005-0000-0000-000041230000}"/>
    <cellStyle name="Normal 10 4 3 4 2 2" xfId="19357" xr:uid="{00000000-0005-0000-0000-000042230000}"/>
    <cellStyle name="Normal 10 4 3 4 2 2 2" xfId="42703" xr:uid="{00000000-0005-0000-0000-000043230000}"/>
    <cellStyle name="Normal 10 4 3 4 2 3" xfId="19358" xr:uid="{00000000-0005-0000-0000-000044230000}"/>
    <cellStyle name="Normal 10 4 3 4 2 3 2" xfId="42704" xr:uid="{00000000-0005-0000-0000-000045230000}"/>
    <cellStyle name="Normal 10 4 3 4 2 4" xfId="42702" xr:uid="{00000000-0005-0000-0000-000046230000}"/>
    <cellStyle name="Normal 10 4 3 4 3" xfId="19359" xr:uid="{00000000-0005-0000-0000-000047230000}"/>
    <cellStyle name="Normal 10 4 3 4 3 2" xfId="19360" xr:uid="{00000000-0005-0000-0000-000048230000}"/>
    <cellStyle name="Normal 10 4 3 4 3 2 2" xfId="42706" xr:uid="{00000000-0005-0000-0000-000049230000}"/>
    <cellStyle name="Normal 10 4 3 4 3 3" xfId="42705" xr:uid="{00000000-0005-0000-0000-00004A230000}"/>
    <cellStyle name="Normal 10 4 3 4 4" xfId="19361" xr:uid="{00000000-0005-0000-0000-00004B230000}"/>
    <cellStyle name="Normal 10 4 3 4 4 2" xfId="42707" xr:uid="{00000000-0005-0000-0000-00004C230000}"/>
    <cellStyle name="Normal 10 4 3 4 5" xfId="19362" xr:uid="{00000000-0005-0000-0000-00004D230000}"/>
    <cellStyle name="Normal 10 4 3 4 5 2" xfId="42708" xr:uid="{00000000-0005-0000-0000-00004E230000}"/>
    <cellStyle name="Normal 10 4 3 4 6" xfId="19363" xr:uid="{00000000-0005-0000-0000-00004F230000}"/>
    <cellStyle name="Normal 10 4 3 4 6 2" xfId="42709" xr:uid="{00000000-0005-0000-0000-000050230000}"/>
    <cellStyle name="Normal 10 4 3 4 7" xfId="41325" xr:uid="{00000000-0005-0000-0000-000051230000}"/>
    <cellStyle name="Normal 10 4 3 5" xfId="19364" xr:uid="{00000000-0005-0000-0000-000052230000}"/>
    <cellStyle name="Normal 10 4 3 5 2" xfId="19365" xr:uid="{00000000-0005-0000-0000-000053230000}"/>
    <cellStyle name="Normal 10 4 3 5 2 2" xfId="42711" xr:uid="{00000000-0005-0000-0000-000054230000}"/>
    <cellStyle name="Normal 10 4 3 5 3" xfId="19366" xr:uid="{00000000-0005-0000-0000-000055230000}"/>
    <cellStyle name="Normal 10 4 3 5 3 2" xfId="42712" xr:uid="{00000000-0005-0000-0000-000056230000}"/>
    <cellStyle name="Normal 10 4 3 5 4" xfId="42710" xr:uid="{00000000-0005-0000-0000-000057230000}"/>
    <cellStyle name="Normal 10 4 3 6" xfId="19367" xr:uid="{00000000-0005-0000-0000-000058230000}"/>
    <cellStyle name="Normal 10 4 3 6 2" xfId="19368" xr:uid="{00000000-0005-0000-0000-000059230000}"/>
    <cellStyle name="Normal 10 4 3 6 2 2" xfId="42714" xr:uid="{00000000-0005-0000-0000-00005A230000}"/>
    <cellStyle name="Normal 10 4 3 6 3" xfId="42713" xr:uid="{00000000-0005-0000-0000-00005B230000}"/>
    <cellStyle name="Normal 10 4 3 7" xfId="19369" xr:uid="{00000000-0005-0000-0000-00005C230000}"/>
    <cellStyle name="Normal 10 4 3 7 2" xfId="42715" xr:uid="{00000000-0005-0000-0000-00005D230000}"/>
    <cellStyle name="Normal 10 4 3 8" xfId="19370" xr:uid="{00000000-0005-0000-0000-00005E230000}"/>
    <cellStyle name="Normal 10 4 3 8 2" xfId="42716" xr:uid="{00000000-0005-0000-0000-00005F230000}"/>
    <cellStyle name="Normal 10 4 3 9" xfId="19371" xr:uid="{00000000-0005-0000-0000-000060230000}"/>
    <cellStyle name="Normal 10 4 3 9 2" xfId="42717" xr:uid="{00000000-0005-0000-0000-000061230000}"/>
    <cellStyle name="Normal 10 4 4" xfId="3324" xr:uid="{00000000-0005-0000-0000-000062230000}"/>
    <cellStyle name="Normal 10 4 4 2" xfId="17887" xr:uid="{00000000-0005-0000-0000-000063230000}"/>
    <cellStyle name="Normal 10 4 4 2 2" xfId="19372" xr:uid="{00000000-0005-0000-0000-000064230000}"/>
    <cellStyle name="Normal 10 4 4 2 2 2" xfId="19373" xr:uid="{00000000-0005-0000-0000-000065230000}"/>
    <cellStyle name="Normal 10 4 4 2 2 2 2" xfId="42719" xr:uid="{00000000-0005-0000-0000-000066230000}"/>
    <cellStyle name="Normal 10 4 4 2 2 3" xfId="19374" xr:uid="{00000000-0005-0000-0000-000067230000}"/>
    <cellStyle name="Normal 10 4 4 2 2 3 2" xfId="42720" xr:uid="{00000000-0005-0000-0000-000068230000}"/>
    <cellStyle name="Normal 10 4 4 2 2 4" xfId="42718" xr:uid="{00000000-0005-0000-0000-000069230000}"/>
    <cellStyle name="Normal 10 4 4 2 3" xfId="19375" xr:uid="{00000000-0005-0000-0000-00006A230000}"/>
    <cellStyle name="Normal 10 4 4 2 3 2" xfId="19376" xr:uid="{00000000-0005-0000-0000-00006B230000}"/>
    <cellStyle name="Normal 10 4 4 2 3 2 2" xfId="42722" xr:uid="{00000000-0005-0000-0000-00006C230000}"/>
    <cellStyle name="Normal 10 4 4 2 3 3" xfId="42721" xr:uid="{00000000-0005-0000-0000-00006D230000}"/>
    <cellStyle name="Normal 10 4 4 2 4" xfId="19377" xr:uid="{00000000-0005-0000-0000-00006E230000}"/>
    <cellStyle name="Normal 10 4 4 2 4 2" xfId="42723" xr:uid="{00000000-0005-0000-0000-00006F230000}"/>
    <cellStyle name="Normal 10 4 4 2 5" xfId="19378" xr:uid="{00000000-0005-0000-0000-000070230000}"/>
    <cellStyle name="Normal 10 4 4 2 5 2" xfId="42724" xr:uid="{00000000-0005-0000-0000-000071230000}"/>
    <cellStyle name="Normal 10 4 4 2 6" xfId="19379" xr:uid="{00000000-0005-0000-0000-000072230000}"/>
    <cellStyle name="Normal 10 4 4 2 6 2" xfId="42725" xr:uid="{00000000-0005-0000-0000-000073230000}"/>
    <cellStyle name="Normal 10 4 4 2 7" xfId="41347" xr:uid="{00000000-0005-0000-0000-000074230000}"/>
    <cellStyle name="Normal 10 4 4 3" xfId="19380" xr:uid="{00000000-0005-0000-0000-000075230000}"/>
    <cellStyle name="Normal 10 4 4 3 2" xfId="19381" xr:uid="{00000000-0005-0000-0000-000076230000}"/>
    <cellStyle name="Normal 10 4 4 3 2 2" xfId="42727" xr:uid="{00000000-0005-0000-0000-000077230000}"/>
    <cellStyle name="Normal 10 4 4 3 3" xfId="19382" xr:uid="{00000000-0005-0000-0000-000078230000}"/>
    <cellStyle name="Normal 10 4 4 3 3 2" xfId="42728" xr:uid="{00000000-0005-0000-0000-000079230000}"/>
    <cellStyle name="Normal 10 4 4 3 4" xfId="42726" xr:uid="{00000000-0005-0000-0000-00007A230000}"/>
    <cellStyle name="Normal 10 4 4 4" xfId="19383" xr:uid="{00000000-0005-0000-0000-00007B230000}"/>
    <cellStyle name="Normal 10 4 4 4 2" xfId="19384" xr:uid="{00000000-0005-0000-0000-00007C230000}"/>
    <cellStyle name="Normal 10 4 4 4 2 2" xfId="42730" xr:uid="{00000000-0005-0000-0000-00007D230000}"/>
    <cellStyle name="Normal 10 4 4 4 3" xfId="42729" xr:uid="{00000000-0005-0000-0000-00007E230000}"/>
    <cellStyle name="Normal 10 4 4 5" xfId="19385" xr:uid="{00000000-0005-0000-0000-00007F230000}"/>
    <cellStyle name="Normal 10 4 4 5 2" xfId="42731" xr:uid="{00000000-0005-0000-0000-000080230000}"/>
    <cellStyle name="Normal 10 4 4 6" xfId="19386" xr:uid="{00000000-0005-0000-0000-000081230000}"/>
    <cellStyle name="Normal 10 4 4 6 2" xfId="42732" xr:uid="{00000000-0005-0000-0000-000082230000}"/>
    <cellStyle name="Normal 10 4 4 7" xfId="19387" xr:uid="{00000000-0005-0000-0000-000083230000}"/>
    <cellStyle name="Normal 10 4 4 7 2" xfId="42733" xr:uid="{00000000-0005-0000-0000-000084230000}"/>
    <cellStyle name="Normal 10 4 4 8" xfId="17698" xr:uid="{00000000-0005-0000-0000-000085230000}"/>
    <cellStyle name="Normal 10 4 4 8 2" xfId="41158" xr:uid="{00000000-0005-0000-0000-000086230000}"/>
    <cellStyle name="Normal 10 4 5" xfId="17729" xr:uid="{00000000-0005-0000-0000-000087230000}"/>
    <cellStyle name="Normal 10 4 5 2" xfId="17961" xr:uid="{00000000-0005-0000-0000-000088230000}"/>
    <cellStyle name="Normal 10 4 5 2 2" xfId="19388" xr:uid="{00000000-0005-0000-0000-000089230000}"/>
    <cellStyle name="Normal 10 4 5 2 2 2" xfId="19389" xr:uid="{00000000-0005-0000-0000-00008A230000}"/>
    <cellStyle name="Normal 10 4 5 2 2 2 2" xfId="42735" xr:uid="{00000000-0005-0000-0000-00008B230000}"/>
    <cellStyle name="Normal 10 4 5 2 2 3" xfId="19390" xr:uid="{00000000-0005-0000-0000-00008C230000}"/>
    <cellStyle name="Normal 10 4 5 2 2 3 2" xfId="42736" xr:uid="{00000000-0005-0000-0000-00008D230000}"/>
    <cellStyle name="Normal 10 4 5 2 2 4" xfId="42734" xr:uid="{00000000-0005-0000-0000-00008E230000}"/>
    <cellStyle name="Normal 10 4 5 2 3" xfId="19391" xr:uid="{00000000-0005-0000-0000-00008F230000}"/>
    <cellStyle name="Normal 10 4 5 2 3 2" xfId="19392" xr:uid="{00000000-0005-0000-0000-000090230000}"/>
    <cellStyle name="Normal 10 4 5 2 3 2 2" xfId="42738" xr:uid="{00000000-0005-0000-0000-000091230000}"/>
    <cellStyle name="Normal 10 4 5 2 3 3" xfId="42737" xr:uid="{00000000-0005-0000-0000-000092230000}"/>
    <cellStyle name="Normal 10 4 5 2 4" xfId="19393" xr:uid="{00000000-0005-0000-0000-000093230000}"/>
    <cellStyle name="Normal 10 4 5 2 4 2" xfId="42739" xr:uid="{00000000-0005-0000-0000-000094230000}"/>
    <cellStyle name="Normal 10 4 5 2 5" xfId="19394" xr:uid="{00000000-0005-0000-0000-000095230000}"/>
    <cellStyle name="Normal 10 4 5 2 5 2" xfId="42740" xr:uid="{00000000-0005-0000-0000-000096230000}"/>
    <cellStyle name="Normal 10 4 5 2 6" xfId="19395" xr:uid="{00000000-0005-0000-0000-000097230000}"/>
    <cellStyle name="Normal 10 4 5 2 6 2" xfId="42741" xr:uid="{00000000-0005-0000-0000-000098230000}"/>
    <cellStyle name="Normal 10 4 5 2 7" xfId="41421" xr:uid="{00000000-0005-0000-0000-000099230000}"/>
    <cellStyle name="Normal 10 4 5 3" xfId="19396" xr:uid="{00000000-0005-0000-0000-00009A230000}"/>
    <cellStyle name="Normal 10 4 5 3 2" xfId="19397" xr:uid="{00000000-0005-0000-0000-00009B230000}"/>
    <cellStyle name="Normal 10 4 5 3 2 2" xfId="42743" xr:uid="{00000000-0005-0000-0000-00009C230000}"/>
    <cellStyle name="Normal 10 4 5 3 3" xfId="19398" xr:uid="{00000000-0005-0000-0000-00009D230000}"/>
    <cellStyle name="Normal 10 4 5 3 3 2" xfId="42744" xr:uid="{00000000-0005-0000-0000-00009E230000}"/>
    <cellStyle name="Normal 10 4 5 3 4" xfId="42742" xr:uid="{00000000-0005-0000-0000-00009F230000}"/>
    <cellStyle name="Normal 10 4 5 4" xfId="19399" xr:uid="{00000000-0005-0000-0000-0000A0230000}"/>
    <cellStyle name="Normal 10 4 5 4 2" xfId="19400" xr:uid="{00000000-0005-0000-0000-0000A1230000}"/>
    <cellStyle name="Normal 10 4 5 4 2 2" xfId="42746" xr:uid="{00000000-0005-0000-0000-0000A2230000}"/>
    <cellStyle name="Normal 10 4 5 4 3" xfId="42745" xr:uid="{00000000-0005-0000-0000-0000A3230000}"/>
    <cellStyle name="Normal 10 4 5 5" xfId="19401" xr:uid="{00000000-0005-0000-0000-0000A4230000}"/>
    <cellStyle name="Normal 10 4 5 5 2" xfId="42747" xr:uid="{00000000-0005-0000-0000-0000A5230000}"/>
    <cellStyle name="Normal 10 4 5 6" xfId="19402" xr:uid="{00000000-0005-0000-0000-0000A6230000}"/>
    <cellStyle name="Normal 10 4 5 6 2" xfId="42748" xr:uid="{00000000-0005-0000-0000-0000A7230000}"/>
    <cellStyle name="Normal 10 4 5 7" xfId="19403" xr:uid="{00000000-0005-0000-0000-0000A8230000}"/>
    <cellStyle name="Normal 10 4 5 7 2" xfId="42749" xr:uid="{00000000-0005-0000-0000-0000A9230000}"/>
    <cellStyle name="Normal 10 4 5 8" xfId="41189" xr:uid="{00000000-0005-0000-0000-0000AA230000}"/>
    <cellStyle name="Normal 10 4 6" xfId="17810" xr:uid="{00000000-0005-0000-0000-0000AB230000}"/>
    <cellStyle name="Normal 10 4 6 2" xfId="19404" xr:uid="{00000000-0005-0000-0000-0000AC230000}"/>
    <cellStyle name="Normal 10 4 6 2 2" xfId="19405" xr:uid="{00000000-0005-0000-0000-0000AD230000}"/>
    <cellStyle name="Normal 10 4 6 2 2 2" xfId="42751" xr:uid="{00000000-0005-0000-0000-0000AE230000}"/>
    <cellStyle name="Normal 10 4 6 2 3" xfId="19406" xr:uid="{00000000-0005-0000-0000-0000AF230000}"/>
    <cellStyle name="Normal 10 4 6 2 3 2" xfId="42752" xr:uid="{00000000-0005-0000-0000-0000B0230000}"/>
    <cellStyle name="Normal 10 4 6 2 4" xfId="42750" xr:uid="{00000000-0005-0000-0000-0000B1230000}"/>
    <cellStyle name="Normal 10 4 6 3" xfId="19407" xr:uid="{00000000-0005-0000-0000-0000B2230000}"/>
    <cellStyle name="Normal 10 4 6 3 2" xfId="19408" xr:uid="{00000000-0005-0000-0000-0000B3230000}"/>
    <cellStyle name="Normal 10 4 6 3 2 2" xfId="42754" xr:uid="{00000000-0005-0000-0000-0000B4230000}"/>
    <cellStyle name="Normal 10 4 6 3 3" xfId="42753" xr:uid="{00000000-0005-0000-0000-0000B5230000}"/>
    <cellStyle name="Normal 10 4 6 4" xfId="19409" xr:uid="{00000000-0005-0000-0000-0000B6230000}"/>
    <cellStyle name="Normal 10 4 6 4 2" xfId="42755" xr:uid="{00000000-0005-0000-0000-0000B7230000}"/>
    <cellStyle name="Normal 10 4 6 5" xfId="19410" xr:uid="{00000000-0005-0000-0000-0000B8230000}"/>
    <cellStyle name="Normal 10 4 6 5 2" xfId="42756" xr:uid="{00000000-0005-0000-0000-0000B9230000}"/>
    <cellStyle name="Normal 10 4 6 6" xfId="19411" xr:uid="{00000000-0005-0000-0000-0000BA230000}"/>
    <cellStyle name="Normal 10 4 6 6 2" xfId="42757" xr:uid="{00000000-0005-0000-0000-0000BB230000}"/>
    <cellStyle name="Normal 10 4 6 7" xfId="41270" xr:uid="{00000000-0005-0000-0000-0000BC230000}"/>
    <cellStyle name="Normal 10 4 7" xfId="19412" xr:uid="{00000000-0005-0000-0000-0000BD230000}"/>
    <cellStyle name="Normal 10 4 7 2" xfId="19413" xr:uid="{00000000-0005-0000-0000-0000BE230000}"/>
    <cellStyle name="Normal 10 4 7 2 2" xfId="42759" xr:uid="{00000000-0005-0000-0000-0000BF230000}"/>
    <cellStyle name="Normal 10 4 7 3" xfId="19414" xr:uid="{00000000-0005-0000-0000-0000C0230000}"/>
    <cellStyle name="Normal 10 4 7 3 2" xfId="42760" xr:uid="{00000000-0005-0000-0000-0000C1230000}"/>
    <cellStyle name="Normal 10 4 7 4" xfId="42758" xr:uid="{00000000-0005-0000-0000-0000C2230000}"/>
    <cellStyle name="Normal 10 4 8" xfId="19415" xr:uid="{00000000-0005-0000-0000-0000C3230000}"/>
    <cellStyle name="Normal 10 4 8 2" xfId="19416" xr:uid="{00000000-0005-0000-0000-0000C4230000}"/>
    <cellStyle name="Normal 10 4 8 2 2" xfId="42762" xr:uid="{00000000-0005-0000-0000-0000C5230000}"/>
    <cellStyle name="Normal 10 4 8 3" xfId="42761" xr:uid="{00000000-0005-0000-0000-0000C6230000}"/>
    <cellStyle name="Normal 10 4 9" xfId="19417" xr:uid="{00000000-0005-0000-0000-0000C7230000}"/>
    <cellStyle name="Normal 10 4 9 2" xfId="42763" xr:uid="{00000000-0005-0000-0000-0000C8230000}"/>
    <cellStyle name="Normal 10 5" xfId="70" xr:uid="{00000000-0005-0000-0000-0000C9230000}"/>
    <cellStyle name="Normal 10 5 10" xfId="19418" xr:uid="{00000000-0005-0000-0000-0000CA230000}"/>
    <cellStyle name="Normal 10 5 10 2" xfId="42764" xr:uid="{00000000-0005-0000-0000-0000CB230000}"/>
    <cellStyle name="Normal 10 5 11" xfId="19419" xr:uid="{00000000-0005-0000-0000-0000CC230000}"/>
    <cellStyle name="Normal 10 5 11 2" xfId="42765" xr:uid="{00000000-0005-0000-0000-0000CD230000}"/>
    <cellStyle name="Normal 10 5 12" xfId="19420" xr:uid="{00000000-0005-0000-0000-0000CE230000}"/>
    <cellStyle name="Normal 10 5 12 2" xfId="42766" xr:uid="{00000000-0005-0000-0000-0000CF230000}"/>
    <cellStyle name="Normal 10 5 13" xfId="23650" xr:uid="{00000000-0005-0000-0000-0000D0230000}"/>
    <cellStyle name="Normal 10 5 2" xfId="71" xr:uid="{00000000-0005-0000-0000-0000D1230000}"/>
    <cellStyle name="Normal 10 5 2 10" xfId="19421" xr:uid="{00000000-0005-0000-0000-0000D2230000}"/>
    <cellStyle name="Normal 10 5 2 10 2" xfId="42767" xr:uid="{00000000-0005-0000-0000-0000D3230000}"/>
    <cellStyle name="Normal 10 5 2 11" xfId="19422" xr:uid="{00000000-0005-0000-0000-0000D4230000}"/>
    <cellStyle name="Normal 10 5 2 11 2" xfId="42768" xr:uid="{00000000-0005-0000-0000-0000D5230000}"/>
    <cellStyle name="Normal 10 5 2 12" xfId="23651" xr:uid="{00000000-0005-0000-0000-0000D6230000}"/>
    <cellStyle name="Normal 10 5 2 2" xfId="72" xr:uid="{00000000-0005-0000-0000-0000D7230000}"/>
    <cellStyle name="Normal 10 5 2 2 10" xfId="23652" xr:uid="{00000000-0005-0000-0000-0000D8230000}"/>
    <cellStyle name="Normal 10 5 2 2 2" xfId="3328" xr:uid="{00000000-0005-0000-0000-0000D9230000}"/>
    <cellStyle name="Normal 10 5 2 2 2 2" xfId="3329" xr:uid="{00000000-0005-0000-0000-0000DA230000}"/>
    <cellStyle name="Normal 10 5 2 2 2 2 2" xfId="19423" xr:uid="{00000000-0005-0000-0000-0000DB230000}"/>
    <cellStyle name="Normal 10 5 2 2 2 2 2 2" xfId="19424" xr:uid="{00000000-0005-0000-0000-0000DC230000}"/>
    <cellStyle name="Normal 10 5 2 2 2 2 2 2 2" xfId="42770" xr:uid="{00000000-0005-0000-0000-0000DD230000}"/>
    <cellStyle name="Normal 10 5 2 2 2 2 2 3" xfId="19425" xr:uid="{00000000-0005-0000-0000-0000DE230000}"/>
    <cellStyle name="Normal 10 5 2 2 2 2 2 3 2" xfId="42771" xr:uid="{00000000-0005-0000-0000-0000DF230000}"/>
    <cellStyle name="Normal 10 5 2 2 2 2 2 4" xfId="42769" xr:uid="{00000000-0005-0000-0000-0000E0230000}"/>
    <cellStyle name="Normal 10 5 2 2 2 2 3" xfId="19426" xr:uid="{00000000-0005-0000-0000-0000E1230000}"/>
    <cellStyle name="Normal 10 5 2 2 2 2 3 2" xfId="19427" xr:uid="{00000000-0005-0000-0000-0000E2230000}"/>
    <cellStyle name="Normal 10 5 2 2 2 2 3 2 2" xfId="42773" xr:uid="{00000000-0005-0000-0000-0000E3230000}"/>
    <cellStyle name="Normal 10 5 2 2 2 2 3 3" xfId="42772" xr:uid="{00000000-0005-0000-0000-0000E4230000}"/>
    <cellStyle name="Normal 10 5 2 2 2 2 4" xfId="19428" xr:uid="{00000000-0005-0000-0000-0000E5230000}"/>
    <cellStyle name="Normal 10 5 2 2 2 2 4 2" xfId="42774" xr:uid="{00000000-0005-0000-0000-0000E6230000}"/>
    <cellStyle name="Normal 10 5 2 2 2 2 5" xfId="19429" xr:uid="{00000000-0005-0000-0000-0000E7230000}"/>
    <cellStyle name="Normal 10 5 2 2 2 2 5 2" xfId="42775" xr:uid="{00000000-0005-0000-0000-0000E8230000}"/>
    <cellStyle name="Normal 10 5 2 2 2 2 6" xfId="19430" xr:uid="{00000000-0005-0000-0000-0000E9230000}"/>
    <cellStyle name="Normal 10 5 2 2 2 2 6 2" xfId="42776" xr:uid="{00000000-0005-0000-0000-0000EA230000}"/>
    <cellStyle name="Normal 10 5 2 2 2 2 7" xfId="26842" xr:uid="{00000000-0005-0000-0000-0000EB230000}"/>
    <cellStyle name="Normal 10 5 2 2 2 3" xfId="19431" xr:uid="{00000000-0005-0000-0000-0000EC230000}"/>
    <cellStyle name="Normal 10 5 2 2 2 3 2" xfId="19432" xr:uid="{00000000-0005-0000-0000-0000ED230000}"/>
    <cellStyle name="Normal 10 5 2 2 2 3 2 2" xfId="42778" xr:uid="{00000000-0005-0000-0000-0000EE230000}"/>
    <cellStyle name="Normal 10 5 2 2 2 3 3" xfId="19433" xr:uid="{00000000-0005-0000-0000-0000EF230000}"/>
    <cellStyle name="Normal 10 5 2 2 2 3 3 2" xfId="42779" xr:uid="{00000000-0005-0000-0000-0000F0230000}"/>
    <cellStyle name="Normal 10 5 2 2 2 3 4" xfId="42777" xr:uid="{00000000-0005-0000-0000-0000F1230000}"/>
    <cellStyle name="Normal 10 5 2 2 2 4" xfId="19434" xr:uid="{00000000-0005-0000-0000-0000F2230000}"/>
    <cellStyle name="Normal 10 5 2 2 2 4 2" xfId="19435" xr:uid="{00000000-0005-0000-0000-0000F3230000}"/>
    <cellStyle name="Normal 10 5 2 2 2 4 2 2" xfId="42781" xr:uid="{00000000-0005-0000-0000-0000F4230000}"/>
    <cellStyle name="Normal 10 5 2 2 2 4 3" xfId="42780" xr:uid="{00000000-0005-0000-0000-0000F5230000}"/>
    <cellStyle name="Normal 10 5 2 2 2 5" xfId="19436" xr:uid="{00000000-0005-0000-0000-0000F6230000}"/>
    <cellStyle name="Normal 10 5 2 2 2 5 2" xfId="42782" xr:uid="{00000000-0005-0000-0000-0000F7230000}"/>
    <cellStyle name="Normal 10 5 2 2 2 6" xfId="19437" xr:uid="{00000000-0005-0000-0000-0000F8230000}"/>
    <cellStyle name="Normal 10 5 2 2 2 6 2" xfId="42783" xr:uid="{00000000-0005-0000-0000-0000F9230000}"/>
    <cellStyle name="Normal 10 5 2 2 2 7" xfId="19438" xr:uid="{00000000-0005-0000-0000-0000FA230000}"/>
    <cellStyle name="Normal 10 5 2 2 2 7 2" xfId="42784" xr:uid="{00000000-0005-0000-0000-0000FB230000}"/>
    <cellStyle name="Normal 10 5 2 2 2 8" xfId="26841" xr:uid="{00000000-0005-0000-0000-0000FC230000}"/>
    <cellStyle name="Normal 10 5 2 2 3" xfId="3330" xr:uid="{00000000-0005-0000-0000-0000FD230000}"/>
    <cellStyle name="Normal 10 5 2 2 3 2" xfId="17984" xr:uid="{00000000-0005-0000-0000-0000FE230000}"/>
    <cellStyle name="Normal 10 5 2 2 3 2 2" xfId="19439" xr:uid="{00000000-0005-0000-0000-0000FF230000}"/>
    <cellStyle name="Normal 10 5 2 2 3 2 2 2" xfId="19440" xr:uid="{00000000-0005-0000-0000-000000240000}"/>
    <cellStyle name="Normal 10 5 2 2 3 2 2 2 2" xfId="42786" xr:uid="{00000000-0005-0000-0000-000001240000}"/>
    <cellStyle name="Normal 10 5 2 2 3 2 2 3" xfId="19441" xr:uid="{00000000-0005-0000-0000-000002240000}"/>
    <cellStyle name="Normal 10 5 2 2 3 2 2 3 2" xfId="42787" xr:uid="{00000000-0005-0000-0000-000003240000}"/>
    <cellStyle name="Normal 10 5 2 2 3 2 2 4" xfId="42785" xr:uid="{00000000-0005-0000-0000-000004240000}"/>
    <cellStyle name="Normal 10 5 2 2 3 2 3" xfId="19442" xr:uid="{00000000-0005-0000-0000-000005240000}"/>
    <cellStyle name="Normal 10 5 2 2 3 2 3 2" xfId="19443" xr:uid="{00000000-0005-0000-0000-000006240000}"/>
    <cellStyle name="Normal 10 5 2 2 3 2 3 2 2" xfId="42789" xr:uid="{00000000-0005-0000-0000-000007240000}"/>
    <cellStyle name="Normal 10 5 2 2 3 2 3 3" xfId="42788" xr:uid="{00000000-0005-0000-0000-000008240000}"/>
    <cellStyle name="Normal 10 5 2 2 3 2 4" xfId="19444" xr:uid="{00000000-0005-0000-0000-000009240000}"/>
    <cellStyle name="Normal 10 5 2 2 3 2 4 2" xfId="42790" xr:uid="{00000000-0005-0000-0000-00000A240000}"/>
    <cellStyle name="Normal 10 5 2 2 3 2 5" xfId="19445" xr:uid="{00000000-0005-0000-0000-00000B240000}"/>
    <cellStyle name="Normal 10 5 2 2 3 2 5 2" xfId="42791" xr:uid="{00000000-0005-0000-0000-00000C240000}"/>
    <cellStyle name="Normal 10 5 2 2 3 2 6" xfId="19446" xr:uid="{00000000-0005-0000-0000-00000D240000}"/>
    <cellStyle name="Normal 10 5 2 2 3 2 6 2" xfId="42792" xr:uid="{00000000-0005-0000-0000-00000E240000}"/>
    <cellStyle name="Normal 10 5 2 2 3 2 7" xfId="41444" xr:uid="{00000000-0005-0000-0000-00000F240000}"/>
    <cellStyle name="Normal 10 5 2 2 3 3" xfId="19447" xr:uid="{00000000-0005-0000-0000-000010240000}"/>
    <cellStyle name="Normal 10 5 2 2 3 3 2" xfId="19448" xr:uid="{00000000-0005-0000-0000-000011240000}"/>
    <cellStyle name="Normal 10 5 2 2 3 3 2 2" xfId="42794" xr:uid="{00000000-0005-0000-0000-000012240000}"/>
    <cellStyle name="Normal 10 5 2 2 3 3 3" xfId="19449" xr:uid="{00000000-0005-0000-0000-000013240000}"/>
    <cellStyle name="Normal 10 5 2 2 3 3 3 2" xfId="42795" xr:uid="{00000000-0005-0000-0000-000014240000}"/>
    <cellStyle name="Normal 10 5 2 2 3 3 4" xfId="42793" xr:uid="{00000000-0005-0000-0000-000015240000}"/>
    <cellStyle name="Normal 10 5 2 2 3 4" xfId="19450" xr:uid="{00000000-0005-0000-0000-000016240000}"/>
    <cellStyle name="Normal 10 5 2 2 3 4 2" xfId="19451" xr:uid="{00000000-0005-0000-0000-000017240000}"/>
    <cellStyle name="Normal 10 5 2 2 3 4 2 2" xfId="42797" xr:uid="{00000000-0005-0000-0000-000018240000}"/>
    <cellStyle name="Normal 10 5 2 2 3 4 3" xfId="42796" xr:uid="{00000000-0005-0000-0000-000019240000}"/>
    <cellStyle name="Normal 10 5 2 2 3 5" xfId="19452" xr:uid="{00000000-0005-0000-0000-00001A240000}"/>
    <cellStyle name="Normal 10 5 2 2 3 5 2" xfId="42798" xr:uid="{00000000-0005-0000-0000-00001B240000}"/>
    <cellStyle name="Normal 10 5 2 2 3 6" xfId="19453" xr:uid="{00000000-0005-0000-0000-00001C240000}"/>
    <cellStyle name="Normal 10 5 2 2 3 6 2" xfId="42799" xr:uid="{00000000-0005-0000-0000-00001D240000}"/>
    <cellStyle name="Normal 10 5 2 2 3 7" xfId="19454" xr:uid="{00000000-0005-0000-0000-00001E240000}"/>
    <cellStyle name="Normal 10 5 2 2 3 7 2" xfId="42800" xr:uid="{00000000-0005-0000-0000-00001F240000}"/>
    <cellStyle name="Normal 10 5 2 2 3 8" xfId="26843" xr:uid="{00000000-0005-0000-0000-000020240000}"/>
    <cellStyle name="Normal 10 5 2 2 4" xfId="17833" xr:uid="{00000000-0005-0000-0000-000021240000}"/>
    <cellStyle name="Normal 10 5 2 2 4 2" xfId="19455" xr:uid="{00000000-0005-0000-0000-000022240000}"/>
    <cellStyle name="Normal 10 5 2 2 4 2 2" xfId="19456" xr:uid="{00000000-0005-0000-0000-000023240000}"/>
    <cellStyle name="Normal 10 5 2 2 4 2 2 2" xfId="42802" xr:uid="{00000000-0005-0000-0000-000024240000}"/>
    <cellStyle name="Normal 10 5 2 2 4 2 3" xfId="19457" xr:uid="{00000000-0005-0000-0000-000025240000}"/>
    <cellStyle name="Normal 10 5 2 2 4 2 3 2" xfId="42803" xr:uid="{00000000-0005-0000-0000-000026240000}"/>
    <cellStyle name="Normal 10 5 2 2 4 2 4" xfId="42801" xr:uid="{00000000-0005-0000-0000-000027240000}"/>
    <cellStyle name="Normal 10 5 2 2 4 3" xfId="19458" xr:uid="{00000000-0005-0000-0000-000028240000}"/>
    <cellStyle name="Normal 10 5 2 2 4 3 2" xfId="19459" xr:uid="{00000000-0005-0000-0000-000029240000}"/>
    <cellStyle name="Normal 10 5 2 2 4 3 2 2" xfId="42805" xr:uid="{00000000-0005-0000-0000-00002A240000}"/>
    <cellStyle name="Normal 10 5 2 2 4 3 3" xfId="42804" xr:uid="{00000000-0005-0000-0000-00002B240000}"/>
    <cellStyle name="Normal 10 5 2 2 4 4" xfId="19460" xr:uid="{00000000-0005-0000-0000-00002C240000}"/>
    <cellStyle name="Normal 10 5 2 2 4 4 2" xfId="42806" xr:uid="{00000000-0005-0000-0000-00002D240000}"/>
    <cellStyle name="Normal 10 5 2 2 4 5" xfId="19461" xr:uid="{00000000-0005-0000-0000-00002E240000}"/>
    <cellStyle name="Normal 10 5 2 2 4 5 2" xfId="42807" xr:uid="{00000000-0005-0000-0000-00002F240000}"/>
    <cellStyle name="Normal 10 5 2 2 4 6" xfId="19462" xr:uid="{00000000-0005-0000-0000-000030240000}"/>
    <cellStyle name="Normal 10 5 2 2 4 6 2" xfId="42808" xr:uid="{00000000-0005-0000-0000-000031240000}"/>
    <cellStyle name="Normal 10 5 2 2 4 7" xfId="41293" xr:uid="{00000000-0005-0000-0000-000032240000}"/>
    <cellStyle name="Normal 10 5 2 2 5" xfId="19463" xr:uid="{00000000-0005-0000-0000-000033240000}"/>
    <cellStyle name="Normal 10 5 2 2 5 2" xfId="19464" xr:uid="{00000000-0005-0000-0000-000034240000}"/>
    <cellStyle name="Normal 10 5 2 2 5 2 2" xfId="42810" xr:uid="{00000000-0005-0000-0000-000035240000}"/>
    <cellStyle name="Normal 10 5 2 2 5 3" xfId="19465" xr:uid="{00000000-0005-0000-0000-000036240000}"/>
    <cellStyle name="Normal 10 5 2 2 5 3 2" xfId="42811" xr:uid="{00000000-0005-0000-0000-000037240000}"/>
    <cellStyle name="Normal 10 5 2 2 5 4" xfId="42809" xr:uid="{00000000-0005-0000-0000-000038240000}"/>
    <cellStyle name="Normal 10 5 2 2 6" xfId="19466" xr:uid="{00000000-0005-0000-0000-000039240000}"/>
    <cellStyle name="Normal 10 5 2 2 6 2" xfId="19467" xr:uid="{00000000-0005-0000-0000-00003A240000}"/>
    <cellStyle name="Normal 10 5 2 2 6 2 2" xfId="42813" xr:uid="{00000000-0005-0000-0000-00003B240000}"/>
    <cellStyle name="Normal 10 5 2 2 6 3" xfId="42812" xr:uid="{00000000-0005-0000-0000-00003C240000}"/>
    <cellStyle name="Normal 10 5 2 2 7" xfId="19468" xr:uid="{00000000-0005-0000-0000-00003D240000}"/>
    <cellStyle name="Normal 10 5 2 2 7 2" xfId="42814" xr:uid="{00000000-0005-0000-0000-00003E240000}"/>
    <cellStyle name="Normal 10 5 2 2 8" xfId="19469" xr:uid="{00000000-0005-0000-0000-00003F240000}"/>
    <cellStyle name="Normal 10 5 2 2 8 2" xfId="42815" xr:uid="{00000000-0005-0000-0000-000040240000}"/>
    <cellStyle name="Normal 10 5 2 2 9" xfId="19470" xr:uid="{00000000-0005-0000-0000-000041240000}"/>
    <cellStyle name="Normal 10 5 2 2 9 2" xfId="42816" xr:uid="{00000000-0005-0000-0000-000042240000}"/>
    <cellStyle name="Normal 10 5 2 3" xfId="3331" xr:uid="{00000000-0005-0000-0000-000043240000}"/>
    <cellStyle name="Normal 10 5 2 3 10" xfId="26844" xr:uid="{00000000-0005-0000-0000-000044240000}"/>
    <cellStyle name="Normal 10 5 2 3 2" xfId="3332" xr:uid="{00000000-0005-0000-0000-000045240000}"/>
    <cellStyle name="Normal 10 5 2 3 2 2" xfId="17947" xr:uid="{00000000-0005-0000-0000-000046240000}"/>
    <cellStyle name="Normal 10 5 2 3 2 2 2" xfId="19471" xr:uid="{00000000-0005-0000-0000-000047240000}"/>
    <cellStyle name="Normal 10 5 2 3 2 2 2 2" xfId="19472" xr:uid="{00000000-0005-0000-0000-000048240000}"/>
    <cellStyle name="Normal 10 5 2 3 2 2 2 2 2" xfId="42818" xr:uid="{00000000-0005-0000-0000-000049240000}"/>
    <cellStyle name="Normal 10 5 2 3 2 2 2 3" xfId="19473" xr:uid="{00000000-0005-0000-0000-00004A240000}"/>
    <cellStyle name="Normal 10 5 2 3 2 2 2 3 2" xfId="42819" xr:uid="{00000000-0005-0000-0000-00004B240000}"/>
    <cellStyle name="Normal 10 5 2 3 2 2 2 4" xfId="42817" xr:uid="{00000000-0005-0000-0000-00004C240000}"/>
    <cellStyle name="Normal 10 5 2 3 2 2 3" xfId="19474" xr:uid="{00000000-0005-0000-0000-00004D240000}"/>
    <cellStyle name="Normal 10 5 2 3 2 2 3 2" xfId="19475" xr:uid="{00000000-0005-0000-0000-00004E240000}"/>
    <cellStyle name="Normal 10 5 2 3 2 2 3 2 2" xfId="42821" xr:uid="{00000000-0005-0000-0000-00004F240000}"/>
    <cellStyle name="Normal 10 5 2 3 2 2 3 3" xfId="42820" xr:uid="{00000000-0005-0000-0000-000050240000}"/>
    <cellStyle name="Normal 10 5 2 3 2 2 4" xfId="19476" xr:uid="{00000000-0005-0000-0000-000051240000}"/>
    <cellStyle name="Normal 10 5 2 3 2 2 4 2" xfId="42822" xr:uid="{00000000-0005-0000-0000-000052240000}"/>
    <cellStyle name="Normal 10 5 2 3 2 2 5" xfId="19477" xr:uid="{00000000-0005-0000-0000-000053240000}"/>
    <cellStyle name="Normal 10 5 2 3 2 2 5 2" xfId="42823" xr:uid="{00000000-0005-0000-0000-000054240000}"/>
    <cellStyle name="Normal 10 5 2 3 2 2 6" xfId="19478" xr:uid="{00000000-0005-0000-0000-000055240000}"/>
    <cellStyle name="Normal 10 5 2 3 2 2 6 2" xfId="42824" xr:uid="{00000000-0005-0000-0000-000056240000}"/>
    <cellStyle name="Normal 10 5 2 3 2 2 7" xfId="41407" xr:uid="{00000000-0005-0000-0000-000057240000}"/>
    <cellStyle name="Normal 10 5 2 3 2 3" xfId="19479" xr:uid="{00000000-0005-0000-0000-000058240000}"/>
    <cellStyle name="Normal 10 5 2 3 2 3 2" xfId="19480" xr:uid="{00000000-0005-0000-0000-000059240000}"/>
    <cellStyle name="Normal 10 5 2 3 2 3 2 2" xfId="42826" xr:uid="{00000000-0005-0000-0000-00005A240000}"/>
    <cellStyle name="Normal 10 5 2 3 2 3 3" xfId="19481" xr:uid="{00000000-0005-0000-0000-00005B240000}"/>
    <cellStyle name="Normal 10 5 2 3 2 3 3 2" xfId="42827" xr:uid="{00000000-0005-0000-0000-00005C240000}"/>
    <cellStyle name="Normal 10 5 2 3 2 3 4" xfId="42825" xr:uid="{00000000-0005-0000-0000-00005D240000}"/>
    <cellStyle name="Normal 10 5 2 3 2 4" xfId="19482" xr:uid="{00000000-0005-0000-0000-00005E240000}"/>
    <cellStyle name="Normal 10 5 2 3 2 4 2" xfId="19483" xr:uid="{00000000-0005-0000-0000-00005F240000}"/>
    <cellStyle name="Normal 10 5 2 3 2 4 2 2" xfId="42829" xr:uid="{00000000-0005-0000-0000-000060240000}"/>
    <cellStyle name="Normal 10 5 2 3 2 4 3" xfId="42828" xr:uid="{00000000-0005-0000-0000-000061240000}"/>
    <cellStyle name="Normal 10 5 2 3 2 5" xfId="19484" xr:uid="{00000000-0005-0000-0000-000062240000}"/>
    <cellStyle name="Normal 10 5 2 3 2 5 2" xfId="42830" xr:uid="{00000000-0005-0000-0000-000063240000}"/>
    <cellStyle name="Normal 10 5 2 3 2 6" xfId="19485" xr:uid="{00000000-0005-0000-0000-000064240000}"/>
    <cellStyle name="Normal 10 5 2 3 2 6 2" xfId="42831" xr:uid="{00000000-0005-0000-0000-000065240000}"/>
    <cellStyle name="Normal 10 5 2 3 2 7" xfId="19486" xr:uid="{00000000-0005-0000-0000-000066240000}"/>
    <cellStyle name="Normal 10 5 2 3 2 7 2" xfId="42832" xr:uid="{00000000-0005-0000-0000-000067240000}"/>
    <cellStyle name="Normal 10 5 2 3 2 8" xfId="26845" xr:uid="{00000000-0005-0000-0000-000068240000}"/>
    <cellStyle name="Normal 10 5 2 3 3" xfId="17778" xr:uid="{00000000-0005-0000-0000-000069240000}"/>
    <cellStyle name="Normal 10 5 2 3 3 2" xfId="18013" xr:uid="{00000000-0005-0000-0000-00006A240000}"/>
    <cellStyle name="Normal 10 5 2 3 3 2 2" xfId="19487" xr:uid="{00000000-0005-0000-0000-00006B240000}"/>
    <cellStyle name="Normal 10 5 2 3 3 2 2 2" xfId="19488" xr:uid="{00000000-0005-0000-0000-00006C240000}"/>
    <cellStyle name="Normal 10 5 2 3 3 2 2 2 2" xfId="42834" xr:uid="{00000000-0005-0000-0000-00006D240000}"/>
    <cellStyle name="Normal 10 5 2 3 3 2 2 3" xfId="19489" xr:uid="{00000000-0005-0000-0000-00006E240000}"/>
    <cellStyle name="Normal 10 5 2 3 3 2 2 3 2" xfId="42835" xr:uid="{00000000-0005-0000-0000-00006F240000}"/>
    <cellStyle name="Normal 10 5 2 3 3 2 2 4" xfId="42833" xr:uid="{00000000-0005-0000-0000-000070240000}"/>
    <cellStyle name="Normal 10 5 2 3 3 2 3" xfId="19490" xr:uid="{00000000-0005-0000-0000-000071240000}"/>
    <cellStyle name="Normal 10 5 2 3 3 2 3 2" xfId="19491" xr:uid="{00000000-0005-0000-0000-000072240000}"/>
    <cellStyle name="Normal 10 5 2 3 3 2 3 2 2" xfId="42837" xr:uid="{00000000-0005-0000-0000-000073240000}"/>
    <cellStyle name="Normal 10 5 2 3 3 2 3 3" xfId="42836" xr:uid="{00000000-0005-0000-0000-000074240000}"/>
    <cellStyle name="Normal 10 5 2 3 3 2 4" xfId="19492" xr:uid="{00000000-0005-0000-0000-000075240000}"/>
    <cellStyle name="Normal 10 5 2 3 3 2 4 2" xfId="42838" xr:uid="{00000000-0005-0000-0000-000076240000}"/>
    <cellStyle name="Normal 10 5 2 3 3 2 5" xfId="19493" xr:uid="{00000000-0005-0000-0000-000077240000}"/>
    <cellStyle name="Normal 10 5 2 3 3 2 5 2" xfId="42839" xr:uid="{00000000-0005-0000-0000-000078240000}"/>
    <cellStyle name="Normal 10 5 2 3 3 2 6" xfId="19494" xr:uid="{00000000-0005-0000-0000-000079240000}"/>
    <cellStyle name="Normal 10 5 2 3 3 2 6 2" xfId="42840" xr:uid="{00000000-0005-0000-0000-00007A240000}"/>
    <cellStyle name="Normal 10 5 2 3 3 2 7" xfId="41473" xr:uid="{00000000-0005-0000-0000-00007B240000}"/>
    <cellStyle name="Normal 10 5 2 3 3 3" xfId="19495" xr:uid="{00000000-0005-0000-0000-00007C240000}"/>
    <cellStyle name="Normal 10 5 2 3 3 3 2" xfId="19496" xr:uid="{00000000-0005-0000-0000-00007D240000}"/>
    <cellStyle name="Normal 10 5 2 3 3 3 2 2" xfId="42842" xr:uid="{00000000-0005-0000-0000-00007E240000}"/>
    <cellStyle name="Normal 10 5 2 3 3 3 3" xfId="19497" xr:uid="{00000000-0005-0000-0000-00007F240000}"/>
    <cellStyle name="Normal 10 5 2 3 3 3 3 2" xfId="42843" xr:uid="{00000000-0005-0000-0000-000080240000}"/>
    <cellStyle name="Normal 10 5 2 3 3 3 4" xfId="42841" xr:uid="{00000000-0005-0000-0000-000081240000}"/>
    <cellStyle name="Normal 10 5 2 3 3 4" xfId="19498" xr:uid="{00000000-0005-0000-0000-000082240000}"/>
    <cellStyle name="Normal 10 5 2 3 3 4 2" xfId="19499" xr:uid="{00000000-0005-0000-0000-000083240000}"/>
    <cellStyle name="Normal 10 5 2 3 3 4 2 2" xfId="42845" xr:uid="{00000000-0005-0000-0000-000084240000}"/>
    <cellStyle name="Normal 10 5 2 3 3 4 3" xfId="42844" xr:uid="{00000000-0005-0000-0000-000085240000}"/>
    <cellStyle name="Normal 10 5 2 3 3 5" xfId="19500" xr:uid="{00000000-0005-0000-0000-000086240000}"/>
    <cellStyle name="Normal 10 5 2 3 3 5 2" xfId="42846" xr:uid="{00000000-0005-0000-0000-000087240000}"/>
    <cellStyle name="Normal 10 5 2 3 3 6" xfId="19501" xr:uid="{00000000-0005-0000-0000-000088240000}"/>
    <cellStyle name="Normal 10 5 2 3 3 6 2" xfId="42847" xr:uid="{00000000-0005-0000-0000-000089240000}"/>
    <cellStyle name="Normal 10 5 2 3 3 7" xfId="19502" xr:uid="{00000000-0005-0000-0000-00008A240000}"/>
    <cellStyle name="Normal 10 5 2 3 3 7 2" xfId="42848" xr:uid="{00000000-0005-0000-0000-00008B240000}"/>
    <cellStyle name="Normal 10 5 2 3 3 8" xfId="41238" xr:uid="{00000000-0005-0000-0000-00008C240000}"/>
    <cellStyle name="Normal 10 5 2 3 4" xfId="17875" xr:uid="{00000000-0005-0000-0000-00008D240000}"/>
    <cellStyle name="Normal 10 5 2 3 4 2" xfId="19503" xr:uid="{00000000-0005-0000-0000-00008E240000}"/>
    <cellStyle name="Normal 10 5 2 3 4 2 2" xfId="19504" xr:uid="{00000000-0005-0000-0000-00008F240000}"/>
    <cellStyle name="Normal 10 5 2 3 4 2 2 2" xfId="42850" xr:uid="{00000000-0005-0000-0000-000090240000}"/>
    <cellStyle name="Normal 10 5 2 3 4 2 3" xfId="19505" xr:uid="{00000000-0005-0000-0000-000091240000}"/>
    <cellStyle name="Normal 10 5 2 3 4 2 3 2" xfId="42851" xr:uid="{00000000-0005-0000-0000-000092240000}"/>
    <cellStyle name="Normal 10 5 2 3 4 2 4" xfId="42849" xr:uid="{00000000-0005-0000-0000-000093240000}"/>
    <cellStyle name="Normal 10 5 2 3 4 3" xfId="19506" xr:uid="{00000000-0005-0000-0000-000094240000}"/>
    <cellStyle name="Normal 10 5 2 3 4 3 2" xfId="19507" xr:uid="{00000000-0005-0000-0000-000095240000}"/>
    <cellStyle name="Normal 10 5 2 3 4 3 2 2" xfId="42853" xr:uid="{00000000-0005-0000-0000-000096240000}"/>
    <cellStyle name="Normal 10 5 2 3 4 3 3" xfId="42852" xr:uid="{00000000-0005-0000-0000-000097240000}"/>
    <cellStyle name="Normal 10 5 2 3 4 4" xfId="19508" xr:uid="{00000000-0005-0000-0000-000098240000}"/>
    <cellStyle name="Normal 10 5 2 3 4 4 2" xfId="42854" xr:uid="{00000000-0005-0000-0000-000099240000}"/>
    <cellStyle name="Normal 10 5 2 3 4 5" xfId="19509" xr:uid="{00000000-0005-0000-0000-00009A240000}"/>
    <cellStyle name="Normal 10 5 2 3 4 5 2" xfId="42855" xr:uid="{00000000-0005-0000-0000-00009B240000}"/>
    <cellStyle name="Normal 10 5 2 3 4 6" xfId="19510" xr:uid="{00000000-0005-0000-0000-00009C240000}"/>
    <cellStyle name="Normal 10 5 2 3 4 6 2" xfId="42856" xr:uid="{00000000-0005-0000-0000-00009D240000}"/>
    <cellStyle name="Normal 10 5 2 3 4 7" xfId="41335" xr:uid="{00000000-0005-0000-0000-00009E240000}"/>
    <cellStyle name="Normal 10 5 2 3 5" xfId="19511" xr:uid="{00000000-0005-0000-0000-00009F240000}"/>
    <cellStyle name="Normal 10 5 2 3 5 2" xfId="19512" xr:uid="{00000000-0005-0000-0000-0000A0240000}"/>
    <cellStyle name="Normal 10 5 2 3 5 2 2" xfId="42858" xr:uid="{00000000-0005-0000-0000-0000A1240000}"/>
    <cellStyle name="Normal 10 5 2 3 5 3" xfId="19513" xr:uid="{00000000-0005-0000-0000-0000A2240000}"/>
    <cellStyle name="Normal 10 5 2 3 5 3 2" xfId="42859" xr:uid="{00000000-0005-0000-0000-0000A3240000}"/>
    <cellStyle name="Normal 10 5 2 3 5 4" xfId="42857" xr:uid="{00000000-0005-0000-0000-0000A4240000}"/>
    <cellStyle name="Normal 10 5 2 3 6" xfId="19514" xr:uid="{00000000-0005-0000-0000-0000A5240000}"/>
    <cellStyle name="Normal 10 5 2 3 6 2" xfId="19515" xr:uid="{00000000-0005-0000-0000-0000A6240000}"/>
    <cellStyle name="Normal 10 5 2 3 6 2 2" xfId="42861" xr:uid="{00000000-0005-0000-0000-0000A7240000}"/>
    <cellStyle name="Normal 10 5 2 3 6 3" xfId="42860" xr:uid="{00000000-0005-0000-0000-0000A8240000}"/>
    <cellStyle name="Normal 10 5 2 3 7" xfId="19516" xr:uid="{00000000-0005-0000-0000-0000A9240000}"/>
    <cellStyle name="Normal 10 5 2 3 7 2" xfId="42862" xr:uid="{00000000-0005-0000-0000-0000AA240000}"/>
    <cellStyle name="Normal 10 5 2 3 8" xfId="19517" xr:uid="{00000000-0005-0000-0000-0000AB240000}"/>
    <cellStyle name="Normal 10 5 2 3 8 2" xfId="42863" xr:uid="{00000000-0005-0000-0000-0000AC240000}"/>
    <cellStyle name="Normal 10 5 2 3 9" xfId="19518" xr:uid="{00000000-0005-0000-0000-0000AD240000}"/>
    <cellStyle name="Normal 10 5 2 3 9 2" xfId="42864" xr:uid="{00000000-0005-0000-0000-0000AE240000}"/>
    <cellStyle name="Normal 10 5 2 4" xfId="3333" xr:uid="{00000000-0005-0000-0000-0000AF240000}"/>
    <cellStyle name="Normal 10 5 2 4 2" xfId="17897" xr:uid="{00000000-0005-0000-0000-0000B0240000}"/>
    <cellStyle name="Normal 10 5 2 4 2 2" xfId="19519" xr:uid="{00000000-0005-0000-0000-0000B1240000}"/>
    <cellStyle name="Normal 10 5 2 4 2 2 2" xfId="19520" xr:uid="{00000000-0005-0000-0000-0000B2240000}"/>
    <cellStyle name="Normal 10 5 2 4 2 2 2 2" xfId="42866" xr:uid="{00000000-0005-0000-0000-0000B3240000}"/>
    <cellStyle name="Normal 10 5 2 4 2 2 3" xfId="19521" xr:uid="{00000000-0005-0000-0000-0000B4240000}"/>
    <cellStyle name="Normal 10 5 2 4 2 2 3 2" xfId="42867" xr:uid="{00000000-0005-0000-0000-0000B5240000}"/>
    <cellStyle name="Normal 10 5 2 4 2 2 4" xfId="42865" xr:uid="{00000000-0005-0000-0000-0000B6240000}"/>
    <cellStyle name="Normal 10 5 2 4 2 3" xfId="19522" xr:uid="{00000000-0005-0000-0000-0000B7240000}"/>
    <cellStyle name="Normal 10 5 2 4 2 3 2" xfId="19523" xr:uid="{00000000-0005-0000-0000-0000B8240000}"/>
    <cellStyle name="Normal 10 5 2 4 2 3 2 2" xfId="42869" xr:uid="{00000000-0005-0000-0000-0000B9240000}"/>
    <cellStyle name="Normal 10 5 2 4 2 3 3" xfId="42868" xr:uid="{00000000-0005-0000-0000-0000BA240000}"/>
    <cellStyle name="Normal 10 5 2 4 2 4" xfId="19524" xr:uid="{00000000-0005-0000-0000-0000BB240000}"/>
    <cellStyle name="Normal 10 5 2 4 2 4 2" xfId="42870" xr:uid="{00000000-0005-0000-0000-0000BC240000}"/>
    <cellStyle name="Normal 10 5 2 4 2 5" xfId="19525" xr:uid="{00000000-0005-0000-0000-0000BD240000}"/>
    <cellStyle name="Normal 10 5 2 4 2 5 2" xfId="42871" xr:uid="{00000000-0005-0000-0000-0000BE240000}"/>
    <cellStyle name="Normal 10 5 2 4 2 6" xfId="19526" xr:uid="{00000000-0005-0000-0000-0000BF240000}"/>
    <cellStyle name="Normal 10 5 2 4 2 6 2" xfId="42872" xr:uid="{00000000-0005-0000-0000-0000C0240000}"/>
    <cellStyle name="Normal 10 5 2 4 2 7" xfId="41357" xr:uid="{00000000-0005-0000-0000-0000C1240000}"/>
    <cellStyle name="Normal 10 5 2 4 3" xfId="19527" xr:uid="{00000000-0005-0000-0000-0000C2240000}"/>
    <cellStyle name="Normal 10 5 2 4 3 2" xfId="19528" xr:uid="{00000000-0005-0000-0000-0000C3240000}"/>
    <cellStyle name="Normal 10 5 2 4 3 2 2" xfId="42874" xr:uid="{00000000-0005-0000-0000-0000C4240000}"/>
    <cellStyle name="Normal 10 5 2 4 3 3" xfId="19529" xr:uid="{00000000-0005-0000-0000-0000C5240000}"/>
    <cellStyle name="Normal 10 5 2 4 3 3 2" xfId="42875" xr:uid="{00000000-0005-0000-0000-0000C6240000}"/>
    <cellStyle name="Normal 10 5 2 4 3 4" xfId="42873" xr:uid="{00000000-0005-0000-0000-0000C7240000}"/>
    <cellStyle name="Normal 10 5 2 4 4" xfId="19530" xr:uid="{00000000-0005-0000-0000-0000C8240000}"/>
    <cellStyle name="Normal 10 5 2 4 4 2" xfId="19531" xr:uid="{00000000-0005-0000-0000-0000C9240000}"/>
    <cellStyle name="Normal 10 5 2 4 4 2 2" xfId="42877" xr:uid="{00000000-0005-0000-0000-0000CA240000}"/>
    <cellStyle name="Normal 10 5 2 4 4 3" xfId="42876" xr:uid="{00000000-0005-0000-0000-0000CB240000}"/>
    <cellStyle name="Normal 10 5 2 4 5" xfId="19532" xr:uid="{00000000-0005-0000-0000-0000CC240000}"/>
    <cellStyle name="Normal 10 5 2 4 5 2" xfId="42878" xr:uid="{00000000-0005-0000-0000-0000CD240000}"/>
    <cellStyle name="Normal 10 5 2 4 6" xfId="19533" xr:uid="{00000000-0005-0000-0000-0000CE240000}"/>
    <cellStyle name="Normal 10 5 2 4 6 2" xfId="42879" xr:uid="{00000000-0005-0000-0000-0000CF240000}"/>
    <cellStyle name="Normal 10 5 2 4 7" xfId="19534" xr:uid="{00000000-0005-0000-0000-0000D0240000}"/>
    <cellStyle name="Normal 10 5 2 4 7 2" xfId="42880" xr:uid="{00000000-0005-0000-0000-0000D1240000}"/>
    <cellStyle name="Normal 10 5 2 4 8" xfId="26846" xr:uid="{00000000-0005-0000-0000-0000D2240000}"/>
    <cellStyle name="Normal 10 5 2 5" xfId="17730" xr:uid="{00000000-0005-0000-0000-0000D3240000}"/>
    <cellStyle name="Normal 10 5 2 5 2" xfId="17962" xr:uid="{00000000-0005-0000-0000-0000D4240000}"/>
    <cellStyle name="Normal 10 5 2 5 2 2" xfId="19535" xr:uid="{00000000-0005-0000-0000-0000D5240000}"/>
    <cellStyle name="Normal 10 5 2 5 2 2 2" xfId="19536" xr:uid="{00000000-0005-0000-0000-0000D6240000}"/>
    <cellStyle name="Normal 10 5 2 5 2 2 2 2" xfId="42882" xr:uid="{00000000-0005-0000-0000-0000D7240000}"/>
    <cellStyle name="Normal 10 5 2 5 2 2 3" xfId="19537" xr:uid="{00000000-0005-0000-0000-0000D8240000}"/>
    <cellStyle name="Normal 10 5 2 5 2 2 3 2" xfId="42883" xr:uid="{00000000-0005-0000-0000-0000D9240000}"/>
    <cellStyle name="Normal 10 5 2 5 2 2 4" xfId="42881" xr:uid="{00000000-0005-0000-0000-0000DA240000}"/>
    <cellStyle name="Normal 10 5 2 5 2 3" xfId="19538" xr:uid="{00000000-0005-0000-0000-0000DB240000}"/>
    <cellStyle name="Normal 10 5 2 5 2 3 2" xfId="19539" xr:uid="{00000000-0005-0000-0000-0000DC240000}"/>
    <cellStyle name="Normal 10 5 2 5 2 3 2 2" xfId="42885" xr:uid="{00000000-0005-0000-0000-0000DD240000}"/>
    <cellStyle name="Normal 10 5 2 5 2 3 3" xfId="42884" xr:uid="{00000000-0005-0000-0000-0000DE240000}"/>
    <cellStyle name="Normal 10 5 2 5 2 4" xfId="19540" xr:uid="{00000000-0005-0000-0000-0000DF240000}"/>
    <cellStyle name="Normal 10 5 2 5 2 4 2" xfId="42886" xr:uid="{00000000-0005-0000-0000-0000E0240000}"/>
    <cellStyle name="Normal 10 5 2 5 2 5" xfId="19541" xr:uid="{00000000-0005-0000-0000-0000E1240000}"/>
    <cellStyle name="Normal 10 5 2 5 2 5 2" xfId="42887" xr:uid="{00000000-0005-0000-0000-0000E2240000}"/>
    <cellStyle name="Normal 10 5 2 5 2 6" xfId="19542" xr:uid="{00000000-0005-0000-0000-0000E3240000}"/>
    <cellStyle name="Normal 10 5 2 5 2 6 2" xfId="42888" xr:uid="{00000000-0005-0000-0000-0000E4240000}"/>
    <cellStyle name="Normal 10 5 2 5 2 7" xfId="41422" xr:uid="{00000000-0005-0000-0000-0000E5240000}"/>
    <cellStyle name="Normal 10 5 2 5 3" xfId="19543" xr:uid="{00000000-0005-0000-0000-0000E6240000}"/>
    <cellStyle name="Normal 10 5 2 5 3 2" xfId="19544" xr:uid="{00000000-0005-0000-0000-0000E7240000}"/>
    <cellStyle name="Normal 10 5 2 5 3 2 2" xfId="42890" xr:uid="{00000000-0005-0000-0000-0000E8240000}"/>
    <cellStyle name="Normal 10 5 2 5 3 3" xfId="19545" xr:uid="{00000000-0005-0000-0000-0000E9240000}"/>
    <cellStyle name="Normal 10 5 2 5 3 3 2" xfId="42891" xr:uid="{00000000-0005-0000-0000-0000EA240000}"/>
    <cellStyle name="Normal 10 5 2 5 3 4" xfId="42889" xr:uid="{00000000-0005-0000-0000-0000EB240000}"/>
    <cellStyle name="Normal 10 5 2 5 4" xfId="19546" xr:uid="{00000000-0005-0000-0000-0000EC240000}"/>
    <cellStyle name="Normal 10 5 2 5 4 2" xfId="19547" xr:uid="{00000000-0005-0000-0000-0000ED240000}"/>
    <cellStyle name="Normal 10 5 2 5 4 2 2" xfId="42893" xr:uid="{00000000-0005-0000-0000-0000EE240000}"/>
    <cellStyle name="Normal 10 5 2 5 4 3" xfId="42892" xr:uid="{00000000-0005-0000-0000-0000EF240000}"/>
    <cellStyle name="Normal 10 5 2 5 5" xfId="19548" xr:uid="{00000000-0005-0000-0000-0000F0240000}"/>
    <cellStyle name="Normal 10 5 2 5 5 2" xfId="42894" xr:uid="{00000000-0005-0000-0000-0000F1240000}"/>
    <cellStyle name="Normal 10 5 2 5 6" xfId="19549" xr:uid="{00000000-0005-0000-0000-0000F2240000}"/>
    <cellStyle name="Normal 10 5 2 5 6 2" xfId="42895" xr:uid="{00000000-0005-0000-0000-0000F3240000}"/>
    <cellStyle name="Normal 10 5 2 5 7" xfId="19550" xr:uid="{00000000-0005-0000-0000-0000F4240000}"/>
    <cellStyle name="Normal 10 5 2 5 7 2" xfId="42896" xr:uid="{00000000-0005-0000-0000-0000F5240000}"/>
    <cellStyle name="Normal 10 5 2 5 8" xfId="41190" xr:uid="{00000000-0005-0000-0000-0000F6240000}"/>
    <cellStyle name="Normal 10 5 2 6" xfId="17820" xr:uid="{00000000-0005-0000-0000-0000F7240000}"/>
    <cellStyle name="Normal 10 5 2 6 2" xfId="19551" xr:uid="{00000000-0005-0000-0000-0000F8240000}"/>
    <cellStyle name="Normal 10 5 2 6 2 2" xfId="19552" xr:uid="{00000000-0005-0000-0000-0000F9240000}"/>
    <cellStyle name="Normal 10 5 2 6 2 2 2" xfId="42898" xr:uid="{00000000-0005-0000-0000-0000FA240000}"/>
    <cellStyle name="Normal 10 5 2 6 2 3" xfId="19553" xr:uid="{00000000-0005-0000-0000-0000FB240000}"/>
    <cellStyle name="Normal 10 5 2 6 2 3 2" xfId="42899" xr:uid="{00000000-0005-0000-0000-0000FC240000}"/>
    <cellStyle name="Normal 10 5 2 6 2 4" xfId="42897" xr:uid="{00000000-0005-0000-0000-0000FD240000}"/>
    <cellStyle name="Normal 10 5 2 6 3" xfId="19554" xr:uid="{00000000-0005-0000-0000-0000FE240000}"/>
    <cellStyle name="Normal 10 5 2 6 3 2" xfId="19555" xr:uid="{00000000-0005-0000-0000-0000FF240000}"/>
    <cellStyle name="Normal 10 5 2 6 3 2 2" xfId="42901" xr:uid="{00000000-0005-0000-0000-000000250000}"/>
    <cellStyle name="Normal 10 5 2 6 3 3" xfId="42900" xr:uid="{00000000-0005-0000-0000-000001250000}"/>
    <cellStyle name="Normal 10 5 2 6 4" xfId="19556" xr:uid="{00000000-0005-0000-0000-000002250000}"/>
    <cellStyle name="Normal 10 5 2 6 4 2" xfId="42902" xr:uid="{00000000-0005-0000-0000-000003250000}"/>
    <cellStyle name="Normal 10 5 2 6 5" xfId="19557" xr:uid="{00000000-0005-0000-0000-000004250000}"/>
    <cellStyle name="Normal 10 5 2 6 5 2" xfId="42903" xr:uid="{00000000-0005-0000-0000-000005250000}"/>
    <cellStyle name="Normal 10 5 2 6 6" xfId="19558" xr:uid="{00000000-0005-0000-0000-000006250000}"/>
    <cellStyle name="Normal 10 5 2 6 6 2" xfId="42904" xr:uid="{00000000-0005-0000-0000-000007250000}"/>
    <cellStyle name="Normal 10 5 2 6 7" xfId="41280" xr:uid="{00000000-0005-0000-0000-000008250000}"/>
    <cellStyle name="Normal 10 5 2 7" xfId="19559" xr:uid="{00000000-0005-0000-0000-000009250000}"/>
    <cellStyle name="Normal 10 5 2 7 2" xfId="19560" xr:uid="{00000000-0005-0000-0000-00000A250000}"/>
    <cellStyle name="Normal 10 5 2 7 2 2" xfId="42906" xr:uid="{00000000-0005-0000-0000-00000B250000}"/>
    <cellStyle name="Normal 10 5 2 7 3" xfId="19561" xr:uid="{00000000-0005-0000-0000-00000C250000}"/>
    <cellStyle name="Normal 10 5 2 7 3 2" xfId="42907" xr:uid="{00000000-0005-0000-0000-00000D250000}"/>
    <cellStyle name="Normal 10 5 2 7 4" xfId="42905" xr:uid="{00000000-0005-0000-0000-00000E250000}"/>
    <cellStyle name="Normal 10 5 2 8" xfId="19562" xr:uid="{00000000-0005-0000-0000-00000F250000}"/>
    <cellStyle name="Normal 10 5 2 8 2" xfId="19563" xr:uid="{00000000-0005-0000-0000-000010250000}"/>
    <cellStyle name="Normal 10 5 2 8 2 2" xfId="42909" xr:uid="{00000000-0005-0000-0000-000011250000}"/>
    <cellStyle name="Normal 10 5 2 8 3" xfId="42908" xr:uid="{00000000-0005-0000-0000-000012250000}"/>
    <cellStyle name="Normal 10 5 2 9" xfId="19564" xr:uid="{00000000-0005-0000-0000-000013250000}"/>
    <cellStyle name="Normal 10 5 2 9 2" xfId="42910" xr:uid="{00000000-0005-0000-0000-000014250000}"/>
    <cellStyle name="Normal 10 5 3" xfId="73" xr:uid="{00000000-0005-0000-0000-000015250000}"/>
    <cellStyle name="Normal 10 5 3 10" xfId="23653" xr:uid="{00000000-0005-0000-0000-000016250000}"/>
    <cellStyle name="Normal 10 5 3 2" xfId="3334" xr:uid="{00000000-0005-0000-0000-000017250000}"/>
    <cellStyle name="Normal 10 5 3 2 2" xfId="3335" xr:uid="{00000000-0005-0000-0000-000018250000}"/>
    <cellStyle name="Normal 10 5 3 2 2 2" xfId="3336" xr:uid="{00000000-0005-0000-0000-000019250000}"/>
    <cellStyle name="Normal 10 5 3 2 2 2 2" xfId="19565" xr:uid="{00000000-0005-0000-0000-00001A250000}"/>
    <cellStyle name="Normal 10 5 3 2 2 2 2 2" xfId="42911" xr:uid="{00000000-0005-0000-0000-00001B250000}"/>
    <cellStyle name="Normal 10 5 3 2 2 2 3" xfId="19566" xr:uid="{00000000-0005-0000-0000-00001C250000}"/>
    <cellStyle name="Normal 10 5 3 2 2 2 3 2" xfId="42912" xr:uid="{00000000-0005-0000-0000-00001D250000}"/>
    <cellStyle name="Normal 10 5 3 2 2 2 4" xfId="26849" xr:uid="{00000000-0005-0000-0000-00001E250000}"/>
    <cellStyle name="Normal 10 5 3 2 2 3" xfId="19567" xr:uid="{00000000-0005-0000-0000-00001F250000}"/>
    <cellStyle name="Normal 10 5 3 2 2 3 2" xfId="19568" xr:uid="{00000000-0005-0000-0000-000020250000}"/>
    <cellStyle name="Normal 10 5 3 2 2 3 2 2" xfId="42914" xr:uid="{00000000-0005-0000-0000-000021250000}"/>
    <cellStyle name="Normal 10 5 3 2 2 3 3" xfId="42913" xr:uid="{00000000-0005-0000-0000-000022250000}"/>
    <cellStyle name="Normal 10 5 3 2 2 4" xfId="19569" xr:uid="{00000000-0005-0000-0000-000023250000}"/>
    <cellStyle name="Normal 10 5 3 2 2 4 2" xfId="42915" xr:uid="{00000000-0005-0000-0000-000024250000}"/>
    <cellStyle name="Normal 10 5 3 2 2 5" xfId="19570" xr:uid="{00000000-0005-0000-0000-000025250000}"/>
    <cellStyle name="Normal 10 5 3 2 2 5 2" xfId="42916" xr:uid="{00000000-0005-0000-0000-000026250000}"/>
    <cellStyle name="Normal 10 5 3 2 2 6" xfId="19571" xr:uid="{00000000-0005-0000-0000-000027250000}"/>
    <cellStyle name="Normal 10 5 3 2 2 6 2" xfId="42917" xr:uid="{00000000-0005-0000-0000-000028250000}"/>
    <cellStyle name="Normal 10 5 3 2 2 7" xfId="26848" xr:uid="{00000000-0005-0000-0000-000029250000}"/>
    <cellStyle name="Normal 10 5 3 2 3" xfId="3337" xr:uid="{00000000-0005-0000-0000-00002A250000}"/>
    <cellStyle name="Normal 10 5 3 2 3 2" xfId="19572" xr:uid="{00000000-0005-0000-0000-00002B250000}"/>
    <cellStyle name="Normal 10 5 3 2 3 2 2" xfId="42918" xr:uid="{00000000-0005-0000-0000-00002C250000}"/>
    <cellStyle name="Normal 10 5 3 2 3 3" xfId="19573" xr:uid="{00000000-0005-0000-0000-00002D250000}"/>
    <cellStyle name="Normal 10 5 3 2 3 3 2" xfId="42919" xr:uid="{00000000-0005-0000-0000-00002E250000}"/>
    <cellStyle name="Normal 10 5 3 2 3 4" xfId="26850" xr:uid="{00000000-0005-0000-0000-00002F250000}"/>
    <cellStyle name="Normal 10 5 3 2 4" xfId="19574" xr:uid="{00000000-0005-0000-0000-000030250000}"/>
    <cellStyle name="Normal 10 5 3 2 4 2" xfId="19575" xr:uid="{00000000-0005-0000-0000-000031250000}"/>
    <cellStyle name="Normal 10 5 3 2 4 2 2" xfId="42921" xr:uid="{00000000-0005-0000-0000-000032250000}"/>
    <cellStyle name="Normal 10 5 3 2 4 3" xfId="42920" xr:uid="{00000000-0005-0000-0000-000033250000}"/>
    <cellStyle name="Normal 10 5 3 2 5" xfId="19576" xr:uid="{00000000-0005-0000-0000-000034250000}"/>
    <cellStyle name="Normal 10 5 3 2 5 2" xfId="42922" xr:uid="{00000000-0005-0000-0000-000035250000}"/>
    <cellStyle name="Normal 10 5 3 2 6" xfId="19577" xr:uid="{00000000-0005-0000-0000-000036250000}"/>
    <cellStyle name="Normal 10 5 3 2 6 2" xfId="42923" xr:uid="{00000000-0005-0000-0000-000037250000}"/>
    <cellStyle name="Normal 10 5 3 2 7" xfId="19578" xr:uid="{00000000-0005-0000-0000-000038250000}"/>
    <cellStyle name="Normal 10 5 3 2 7 2" xfId="42924" xr:uid="{00000000-0005-0000-0000-000039250000}"/>
    <cellStyle name="Normal 10 5 3 2 8" xfId="26847" xr:uid="{00000000-0005-0000-0000-00003A250000}"/>
    <cellStyle name="Normal 10 5 3 3" xfId="3338" xr:uid="{00000000-0005-0000-0000-00003B250000}"/>
    <cellStyle name="Normal 10 5 3 3 2" xfId="3339" xr:uid="{00000000-0005-0000-0000-00003C250000}"/>
    <cellStyle name="Normal 10 5 3 3 2 2" xfId="19579" xr:uid="{00000000-0005-0000-0000-00003D250000}"/>
    <cellStyle name="Normal 10 5 3 3 2 2 2" xfId="19580" xr:uid="{00000000-0005-0000-0000-00003E250000}"/>
    <cellStyle name="Normal 10 5 3 3 2 2 2 2" xfId="42926" xr:uid="{00000000-0005-0000-0000-00003F250000}"/>
    <cellStyle name="Normal 10 5 3 3 2 2 3" xfId="19581" xr:uid="{00000000-0005-0000-0000-000040250000}"/>
    <cellStyle name="Normal 10 5 3 3 2 2 3 2" xfId="42927" xr:uid="{00000000-0005-0000-0000-000041250000}"/>
    <cellStyle name="Normal 10 5 3 3 2 2 4" xfId="42925" xr:uid="{00000000-0005-0000-0000-000042250000}"/>
    <cellStyle name="Normal 10 5 3 3 2 3" xfId="19582" xr:uid="{00000000-0005-0000-0000-000043250000}"/>
    <cellStyle name="Normal 10 5 3 3 2 3 2" xfId="19583" xr:uid="{00000000-0005-0000-0000-000044250000}"/>
    <cellStyle name="Normal 10 5 3 3 2 3 2 2" xfId="42929" xr:uid="{00000000-0005-0000-0000-000045250000}"/>
    <cellStyle name="Normal 10 5 3 3 2 3 3" xfId="42928" xr:uid="{00000000-0005-0000-0000-000046250000}"/>
    <cellStyle name="Normal 10 5 3 3 2 4" xfId="19584" xr:uid="{00000000-0005-0000-0000-000047250000}"/>
    <cellStyle name="Normal 10 5 3 3 2 4 2" xfId="42930" xr:uid="{00000000-0005-0000-0000-000048250000}"/>
    <cellStyle name="Normal 10 5 3 3 2 5" xfId="19585" xr:uid="{00000000-0005-0000-0000-000049250000}"/>
    <cellStyle name="Normal 10 5 3 3 2 5 2" xfId="42931" xr:uid="{00000000-0005-0000-0000-00004A250000}"/>
    <cellStyle name="Normal 10 5 3 3 2 6" xfId="19586" xr:uid="{00000000-0005-0000-0000-00004B250000}"/>
    <cellStyle name="Normal 10 5 3 3 2 6 2" xfId="42932" xr:uid="{00000000-0005-0000-0000-00004C250000}"/>
    <cellStyle name="Normal 10 5 3 3 2 7" xfId="26852" xr:uid="{00000000-0005-0000-0000-00004D250000}"/>
    <cellStyle name="Normal 10 5 3 3 3" xfId="19587" xr:uid="{00000000-0005-0000-0000-00004E250000}"/>
    <cellStyle name="Normal 10 5 3 3 3 2" xfId="19588" xr:uid="{00000000-0005-0000-0000-00004F250000}"/>
    <cellStyle name="Normal 10 5 3 3 3 2 2" xfId="42934" xr:uid="{00000000-0005-0000-0000-000050250000}"/>
    <cellStyle name="Normal 10 5 3 3 3 3" xfId="19589" xr:uid="{00000000-0005-0000-0000-000051250000}"/>
    <cellStyle name="Normal 10 5 3 3 3 3 2" xfId="42935" xr:uid="{00000000-0005-0000-0000-000052250000}"/>
    <cellStyle name="Normal 10 5 3 3 3 4" xfId="42933" xr:uid="{00000000-0005-0000-0000-000053250000}"/>
    <cellStyle name="Normal 10 5 3 3 4" xfId="19590" xr:uid="{00000000-0005-0000-0000-000054250000}"/>
    <cellStyle name="Normal 10 5 3 3 4 2" xfId="19591" xr:uid="{00000000-0005-0000-0000-000055250000}"/>
    <cellStyle name="Normal 10 5 3 3 4 2 2" xfId="42937" xr:uid="{00000000-0005-0000-0000-000056250000}"/>
    <cellStyle name="Normal 10 5 3 3 4 3" xfId="42936" xr:uid="{00000000-0005-0000-0000-000057250000}"/>
    <cellStyle name="Normal 10 5 3 3 5" xfId="19592" xr:uid="{00000000-0005-0000-0000-000058250000}"/>
    <cellStyle name="Normal 10 5 3 3 5 2" xfId="42938" xr:uid="{00000000-0005-0000-0000-000059250000}"/>
    <cellStyle name="Normal 10 5 3 3 6" xfId="19593" xr:uid="{00000000-0005-0000-0000-00005A250000}"/>
    <cellStyle name="Normal 10 5 3 3 6 2" xfId="42939" xr:uid="{00000000-0005-0000-0000-00005B250000}"/>
    <cellStyle name="Normal 10 5 3 3 7" xfId="19594" xr:uid="{00000000-0005-0000-0000-00005C250000}"/>
    <cellStyle name="Normal 10 5 3 3 7 2" xfId="42940" xr:uid="{00000000-0005-0000-0000-00005D250000}"/>
    <cellStyle name="Normal 10 5 3 3 8" xfId="26851" xr:uid="{00000000-0005-0000-0000-00005E250000}"/>
    <cellStyle name="Normal 10 5 3 4" xfId="3340" xr:uid="{00000000-0005-0000-0000-00005F250000}"/>
    <cellStyle name="Normal 10 5 3 4 2" xfId="19595" xr:uid="{00000000-0005-0000-0000-000060250000}"/>
    <cellStyle name="Normal 10 5 3 4 2 2" xfId="19596" xr:uid="{00000000-0005-0000-0000-000061250000}"/>
    <cellStyle name="Normal 10 5 3 4 2 2 2" xfId="42942" xr:uid="{00000000-0005-0000-0000-000062250000}"/>
    <cellStyle name="Normal 10 5 3 4 2 3" xfId="19597" xr:uid="{00000000-0005-0000-0000-000063250000}"/>
    <cellStyle name="Normal 10 5 3 4 2 3 2" xfId="42943" xr:uid="{00000000-0005-0000-0000-000064250000}"/>
    <cellStyle name="Normal 10 5 3 4 2 4" xfId="42941" xr:uid="{00000000-0005-0000-0000-000065250000}"/>
    <cellStyle name="Normal 10 5 3 4 3" xfId="19598" xr:uid="{00000000-0005-0000-0000-000066250000}"/>
    <cellStyle name="Normal 10 5 3 4 3 2" xfId="19599" xr:uid="{00000000-0005-0000-0000-000067250000}"/>
    <cellStyle name="Normal 10 5 3 4 3 2 2" xfId="42945" xr:uid="{00000000-0005-0000-0000-000068250000}"/>
    <cellStyle name="Normal 10 5 3 4 3 3" xfId="42944" xr:uid="{00000000-0005-0000-0000-000069250000}"/>
    <cellStyle name="Normal 10 5 3 4 4" xfId="19600" xr:uid="{00000000-0005-0000-0000-00006A250000}"/>
    <cellStyle name="Normal 10 5 3 4 4 2" xfId="42946" xr:uid="{00000000-0005-0000-0000-00006B250000}"/>
    <cellStyle name="Normal 10 5 3 4 5" xfId="19601" xr:uid="{00000000-0005-0000-0000-00006C250000}"/>
    <cellStyle name="Normal 10 5 3 4 5 2" xfId="42947" xr:uid="{00000000-0005-0000-0000-00006D250000}"/>
    <cellStyle name="Normal 10 5 3 4 6" xfId="19602" xr:uid="{00000000-0005-0000-0000-00006E250000}"/>
    <cellStyle name="Normal 10 5 3 4 6 2" xfId="42948" xr:uid="{00000000-0005-0000-0000-00006F250000}"/>
    <cellStyle name="Normal 10 5 3 4 7" xfId="26853" xr:uid="{00000000-0005-0000-0000-000070250000}"/>
    <cellStyle name="Normal 10 5 3 5" xfId="19603" xr:uid="{00000000-0005-0000-0000-000071250000}"/>
    <cellStyle name="Normal 10 5 3 5 2" xfId="19604" xr:uid="{00000000-0005-0000-0000-000072250000}"/>
    <cellStyle name="Normal 10 5 3 5 2 2" xfId="42950" xr:uid="{00000000-0005-0000-0000-000073250000}"/>
    <cellStyle name="Normal 10 5 3 5 3" xfId="19605" xr:uid="{00000000-0005-0000-0000-000074250000}"/>
    <cellStyle name="Normal 10 5 3 5 3 2" xfId="42951" xr:uid="{00000000-0005-0000-0000-000075250000}"/>
    <cellStyle name="Normal 10 5 3 5 4" xfId="42949" xr:uid="{00000000-0005-0000-0000-000076250000}"/>
    <cellStyle name="Normal 10 5 3 6" xfId="19606" xr:uid="{00000000-0005-0000-0000-000077250000}"/>
    <cellStyle name="Normal 10 5 3 6 2" xfId="19607" xr:uid="{00000000-0005-0000-0000-000078250000}"/>
    <cellStyle name="Normal 10 5 3 6 2 2" xfId="42953" xr:uid="{00000000-0005-0000-0000-000079250000}"/>
    <cellStyle name="Normal 10 5 3 6 3" xfId="42952" xr:uid="{00000000-0005-0000-0000-00007A250000}"/>
    <cellStyle name="Normal 10 5 3 7" xfId="19608" xr:uid="{00000000-0005-0000-0000-00007B250000}"/>
    <cellStyle name="Normal 10 5 3 7 2" xfId="42954" xr:uid="{00000000-0005-0000-0000-00007C250000}"/>
    <cellStyle name="Normal 10 5 3 8" xfId="19609" xr:uid="{00000000-0005-0000-0000-00007D250000}"/>
    <cellStyle name="Normal 10 5 3 8 2" xfId="42955" xr:uid="{00000000-0005-0000-0000-00007E250000}"/>
    <cellStyle name="Normal 10 5 3 9" xfId="19610" xr:uid="{00000000-0005-0000-0000-00007F250000}"/>
    <cellStyle name="Normal 10 5 3 9 2" xfId="42956" xr:uid="{00000000-0005-0000-0000-000080250000}"/>
    <cellStyle name="Normal 10 5 4" xfId="3341" xr:uid="{00000000-0005-0000-0000-000081250000}"/>
    <cellStyle name="Normal 10 5 4 10" xfId="26854" xr:uid="{00000000-0005-0000-0000-000082250000}"/>
    <cellStyle name="Normal 10 5 4 2" xfId="3342" xr:uid="{00000000-0005-0000-0000-000083250000}"/>
    <cellStyle name="Normal 10 5 4 2 2" xfId="3343" xr:uid="{00000000-0005-0000-0000-000084250000}"/>
    <cellStyle name="Normal 10 5 4 2 2 2" xfId="19611" xr:uid="{00000000-0005-0000-0000-000085250000}"/>
    <cellStyle name="Normal 10 5 4 2 2 2 2" xfId="19612" xr:uid="{00000000-0005-0000-0000-000086250000}"/>
    <cellStyle name="Normal 10 5 4 2 2 2 2 2" xfId="42958" xr:uid="{00000000-0005-0000-0000-000087250000}"/>
    <cellStyle name="Normal 10 5 4 2 2 2 3" xfId="19613" xr:uid="{00000000-0005-0000-0000-000088250000}"/>
    <cellStyle name="Normal 10 5 4 2 2 2 3 2" xfId="42959" xr:uid="{00000000-0005-0000-0000-000089250000}"/>
    <cellStyle name="Normal 10 5 4 2 2 2 4" xfId="42957" xr:uid="{00000000-0005-0000-0000-00008A250000}"/>
    <cellStyle name="Normal 10 5 4 2 2 3" xfId="19614" xr:uid="{00000000-0005-0000-0000-00008B250000}"/>
    <cellStyle name="Normal 10 5 4 2 2 3 2" xfId="19615" xr:uid="{00000000-0005-0000-0000-00008C250000}"/>
    <cellStyle name="Normal 10 5 4 2 2 3 2 2" xfId="42961" xr:uid="{00000000-0005-0000-0000-00008D250000}"/>
    <cellStyle name="Normal 10 5 4 2 2 3 3" xfId="42960" xr:uid="{00000000-0005-0000-0000-00008E250000}"/>
    <cellStyle name="Normal 10 5 4 2 2 4" xfId="19616" xr:uid="{00000000-0005-0000-0000-00008F250000}"/>
    <cellStyle name="Normal 10 5 4 2 2 4 2" xfId="42962" xr:uid="{00000000-0005-0000-0000-000090250000}"/>
    <cellStyle name="Normal 10 5 4 2 2 5" xfId="19617" xr:uid="{00000000-0005-0000-0000-000091250000}"/>
    <cellStyle name="Normal 10 5 4 2 2 5 2" xfId="42963" xr:uid="{00000000-0005-0000-0000-000092250000}"/>
    <cellStyle name="Normal 10 5 4 2 2 6" xfId="19618" xr:uid="{00000000-0005-0000-0000-000093250000}"/>
    <cellStyle name="Normal 10 5 4 2 2 6 2" xfId="42964" xr:uid="{00000000-0005-0000-0000-000094250000}"/>
    <cellStyle name="Normal 10 5 4 2 2 7" xfId="26856" xr:uid="{00000000-0005-0000-0000-000095250000}"/>
    <cellStyle name="Normal 10 5 4 2 3" xfId="19619" xr:uid="{00000000-0005-0000-0000-000096250000}"/>
    <cellStyle name="Normal 10 5 4 2 3 2" xfId="19620" xr:uid="{00000000-0005-0000-0000-000097250000}"/>
    <cellStyle name="Normal 10 5 4 2 3 2 2" xfId="42966" xr:uid="{00000000-0005-0000-0000-000098250000}"/>
    <cellStyle name="Normal 10 5 4 2 3 3" xfId="19621" xr:uid="{00000000-0005-0000-0000-000099250000}"/>
    <cellStyle name="Normal 10 5 4 2 3 3 2" xfId="42967" xr:uid="{00000000-0005-0000-0000-00009A250000}"/>
    <cellStyle name="Normal 10 5 4 2 3 4" xfId="42965" xr:uid="{00000000-0005-0000-0000-00009B250000}"/>
    <cellStyle name="Normal 10 5 4 2 4" xfId="19622" xr:uid="{00000000-0005-0000-0000-00009C250000}"/>
    <cellStyle name="Normal 10 5 4 2 4 2" xfId="19623" xr:uid="{00000000-0005-0000-0000-00009D250000}"/>
    <cellStyle name="Normal 10 5 4 2 4 2 2" xfId="42969" xr:uid="{00000000-0005-0000-0000-00009E250000}"/>
    <cellStyle name="Normal 10 5 4 2 4 3" xfId="42968" xr:uid="{00000000-0005-0000-0000-00009F250000}"/>
    <cellStyle name="Normal 10 5 4 2 5" xfId="19624" xr:uid="{00000000-0005-0000-0000-0000A0250000}"/>
    <cellStyle name="Normal 10 5 4 2 5 2" xfId="42970" xr:uid="{00000000-0005-0000-0000-0000A1250000}"/>
    <cellStyle name="Normal 10 5 4 2 6" xfId="19625" xr:uid="{00000000-0005-0000-0000-0000A2250000}"/>
    <cellStyle name="Normal 10 5 4 2 6 2" xfId="42971" xr:uid="{00000000-0005-0000-0000-0000A3250000}"/>
    <cellStyle name="Normal 10 5 4 2 7" xfId="19626" xr:uid="{00000000-0005-0000-0000-0000A4250000}"/>
    <cellStyle name="Normal 10 5 4 2 7 2" xfId="42972" xr:uid="{00000000-0005-0000-0000-0000A5250000}"/>
    <cellStyle name="Normal 10 5 4 2 8" xfId="26855" xr:uid="{00000000-0005-0000-0000-0000A6250000}"/>
    <cellStyle name="Normal 10 5 4 3" xfId="3344" xr:uid="{00000000-0005-0000-0000-0000A7250000}"/>
    <cellStyle name="Normal 10 5 4 3 2" xfId="18014" xr:uid="{00000000-0005-0000-0000-0000A8250000}"/>
    <cellStyle name="Normal 10 5 4 3 2 2" xfId="19627" xr:uid="{00000000-0005-0000-0000-0000A9250000}"/>
    <cellStyle name="Normal 10 5 4 3 2 2 2" xfId="19628" xr:uid="{00000000-0005-0000-0000-0000AA250000}"/>
    <cellStyle name="Normal 10 5 4 3 2 2 2 2" xfId="42974" xr:uid="{00000000-0005-0000-0000-0000AB250000}"/>
    <cellStyle name="Normal 10 5 4 3 2 2 3" xfId="19629" xr:uid="{00000000-0005-0000-0000-0000AC250000}"/>
    <cellStyle name="Normal 10 5 4 3 2 2 3 2" xfId="42975" xr:uid="{00000000-0005-0000-0000-0000AD250000}"/>
    <cellStyle name="Normal 10 5 4 3 2 2 4" xfId="42973" xr:uid="{00000000-0005-0000-0000-0000AE250000}"/>
    <cellStyle name="Normal 10 5 4 3 2 3" xfId="19630" xr:uid="{00000000-0005-0000-0000-0000AF250000}"/>
    <cellStyle name="Normal 10 5 4 3 2 3 2" xfId="19631" xr:uid="{00000000-0005-0000-0000-0000B0250000}"/>
    <cellStyle name="Normal 10 5 4 3 2 3 2 2" xfId="42977" xr:uid="{00000000-0005-0000-0000-0000B1250000}"/>
    <cellStyle name="Normal 10 5 4 3 2 3 3" xfId="42976" xr:uid="{00000000-0005-0000-0000-0000B2250000}"/>
    <cellStyle name="Normal 10 5 4 3 2 4" xfId="19632" xr:uid="{00000000-0005-0000-0000-0000B3250000}"/>
    <cellStyle name="Normal 10 5 4 3 2 4 2" xfId="42978" xr:uid="{00000000-0005-0000-0000-0000B4250000}"/>
    <cellStyle name="Normal 10 5 4 3 2 5" xfId="19633" xr:uid="{00000000-0005-0000-0000-0000B5250000}"/>
    <cellStyle name="Normal 10 5 4 3 2 5 2" xfId="42979" xr:uid="{00000000-0005-0000-0000-0000B6250000}"/>
    <cellStyle name="Normal 10 5 4 3 2 6" xfId="19634" xr:uid="{00000000-0005-0000-0000-0000B7250000}"/>
    <cellStyle name="Normal 10 5 4 3 2 6 2" xfId="42980" xr:uid="{00000000-0005-0000-0000-0000B8250000}"/>
    <cellStyle name="Normal 10 5 4 3 2 7" xfId="41474" xr:uid="{00000000-0005-0000-0000-0000B9250000}"/>
    <cellStyle name="Normal 10 5 4 3 3" xfId="19635" xr:uid="{00000000-0005-0000-0000-0000BA250000}"/>
    <cellStyle name="Normal 10 5 4 3 3 2" xfId="19636" xr:uid="{00000000-0005-0000-0000-0000BB250000}"/>
    <cellStyle name="Normal 10 5 4 3 3 2 2" xfId="42982" xr:uid="{00000000-0005-0000-0000-0000BC250000}"/>
    <cellStyle name="Normal 10 5 4 3 3 3" xfId="19637" xr:uid="{00000000-0005-0000-0000-0000BD250000}"/>
    <cellStyle name="Normal 10 5 4 3 3 3 2" xfId="42983" xr:uid="{00000000-0005-0000-0000-0000BE250000}"/>
    <cellStyle name="Normal 10 5 4 3 3 4" xfId="42981" xr:uid="{00000000-0005-0000-0000-0000BF250000}"/>
    <cellStyle name="Normal 10 5 4 3 4" xfId="19638" xr:uid="{00000000-0005-0000-0000-0000C0250000}"/>
    <cellStyle name="Normal 10 5 4 3 4 2" xfId="19639" xr:uid="{00000000-0005-0000-0000-0000C1250000}"/>
    <cellStyle name="Normal 10 5 4 3 4 2 2" xfId="42985" xr:uid="{00000000-0005-0000-0000-0000C2250000}"/>
    <cellStyle name="Normal 10 5 4 3 4 3" xfId="42984" xr:uid="{00000000-0005-0000-0000-0000C3250000}"/>
    <cellStyle name="Normal 10 5 4 3 5" xfId="19640" xr:uid="{00000000-0005-0000-0000-0000C4250000}"/>
    <cellStyle name="Normal 10 5 4 3 5 2" xfId="42986" xr:uid="{00000000-0005-0000-0000-0000C5250000}"/>
    <cellStyle name="Normal 10 5 4 3 6" xfId="19641" xr:uid="{00000000-0005-0000-0000-0000C6250000}"/>
    <cellStyle name="Normal 10 5 4 3 6 2" xfId="42987" xr:uid="{00000000-0005-0000-0000-0000C7250000}"/>
    <cellStyle name="Normal 10 5 4 3 7" xfId="19642" xr:uid="{00000000-0005-0000-0000-0000C8250000}"/>
    <cellStyle name="Normal 10 5 4 3 7 2" xfId="42988" xr:uid="{00000000-0005-0000-0000-0000C9250000}"/>
    <cellStyle name="Normal 10 5 4 3 8" xfId="26857" xr:uid="{00000000-0005-0000-0000-0000CA250000}"/>
    <cellStyle name="Normal 10 5 4 4" xfId="17861" xr:uid="{00000000-0005-0000-0000-0000CB250000}"/>
    <cellStyle name="Normal 10 5 4 4 2" xfId="19643" xr:uid="{00000000-0005-0000-0000-0000CC250000}"/>
    <cellStyle name="Normal 10 5 4 4 2 2" xfId="19644" xr:uid="{00000000-0005-0000-0000-0000CD250000}"/>
    <cellStyle name="Normal 10 5 4 4 2 2 2" xfId="42990" xr:uid="{00000000-0005-0000-0000-0000CE250000}"/>
    <cellStyle name="Normal 10 5 4 4 2 3" xfId="19645" xr:uid="{00000000-0005-0000-0000-0000CF250000}"/>
    <cellStyle name="Normal 10 5 4 4 2 3 2" xfId="42991" xr:uid="{00000000-0005-0000-0000-0000D0250000}"/>
    <cellStyle name="Normal 10 5 4 4 2 4" xfId="42989" xr:uid="{00000000-0005-0000-0000-0000D1250000}"/>
    <cellStyle name="Normal 10 5 4 4 3" xfId="19646" xr:uid="{00000000-0005-0000-0000-0000D2250000}"/>
    <cellStyle name="Normal 10 5 4 4 3 2" xfId="19647" xr:uid="{00000000-0005-0000-0000-0000D3250000}"/>
    <cellStyle name="Normal 10 5 4 4 3 2 2" xfId="42993" xr:uid="{00000000-0005-0000-0000-0000D4250000}"/>
    <cellStyle name="Normal 10 5 4 4 3 3" xfId="42992" xr:uid="{00000000-0005-0000-0000-0000D5250000}"/>
    <cellStyle name="Normal 10 5 4 4 4" xfId="19648" xr:uid="{00000000-0005-0000-0000-0000D6250000}"/>
    <cellStyle name="Normal 10 5 4 4 4 2" xfId="42994" xr:uid="{00000000-0005-0000-0000-0000D7250000}"/>
    <cellStyle name="Normal 10 5 4 4 5" xfId="19649" xr:uid="{00000000-0005-0000-0000-0000D8250000}"/>
    <cellStyle name="Normal 10 5 4 4 5 2" xfId="42995" xr:uid="{00000000-0005-0000-0000-0000D9250000}"/>
    <cellStyle name="Normal 10 5 4 4 6" xfId="19650" xr:uid="{00000000-0005-0000-0000-0000DA250000}"/>
    <cellStyle name="Normal 10 5 4 4 6 2" xfId="42996" xr:uid="{00000000-0005-0000-0000-0000DB250000}"/>
    <cellStyle name="Normal 10 5 4 4 7" xfId="41321" xr:uid="{00000000-0005-0000-0000-0000DC250000}"/>
    <cellStyle name="Normal 10 5 4 5" xfId="19651" xr:uid="{00000000-0005-0000-0000-0000DD250000}"/>
    <cellStyle name="Normal 10 5 4 5 2" xfId="19652" xr:uid="{00000000-0005-0000-0000-0000DE250000}"/>
    <cellStyle name="Normal 10 5 4 5 2 2" xfId="42998" xr:uid="{00000000-0005-0000-0000-0000DF250000}"/>
    <cellStyle name="Normal 10 5 4 5 3" xfId="19653" xr:uid="{00000000-0005-0000-0000-0000E0250000}"/>
    <cellStyle name="Normal 10 5 4 5 3 2" xfId="42999" xr:uid="{00000000-0005-0000-0000-0000E1250000}"/>
    <cellStyle name="Normal 10 5 4 5 4" xfId="42997" xr:uid="{00000000-0005-0000-0000-0000E2250000}"/>
    <cellStyle name="Normal 10 5 4 6" xfId="19654" xr:uid="{00000000-0005-0000-0000-0000E3250000}"/>
    <cellStyle name="Normal 10 5 4 6 2" xfId="19655" xr:uid="{00000000-0005-0000-0000-0000E4250000}"/>
    <cellStyle name="Normal 10 5 4 6 2 2" xfId="43001" xr:uid="{00000000-0005-0000-0000-0000E5250000}"/>
    <cellStyle name="Normal 10 5 4 6 3" xfId="43000" xr:uid="{00000000-0005-0000-0000-0000E6250000}"/>
    <cellStyle name="Normal 10 5 4 7" xfId="19656" xr:uid="{00000000-0005-0000-0000-0000E7250000}"/>
    <cellStyle name="Normal 10 5 4 7 2" xfId="43002" xr:uid="{00000000-0005-0000-0000-0000E8250000}"/>
    <cellStyle name="Normal 10 5 4 8" xfId="19657" xr:uid="{00000000-0005-0000-0000-0000E9250000}"/>
    <cellStyle name="Normal 10 5 4 8 2" xfId="43003" xr:uid="{00000000-0005-0000-0000-0000EA250000}"/>
    <cellStyle name="Normal 10 5 4 9" xfId="19658" xr:uid="{00000000-0005-0000-0000-0000EB250000}"/>
    <cellStyle name="Normal 10 5 4 9 2" xfId="43004" xr:uid="{00000000-0005-0000-0000-0000EC250000}"/>
    <cellStyle name="Normal 10 5 5" xfId="3345" xr:uid="{00000000-0005-0000-0000-0000ED250000}"/>
    <cellStyle name="Normal 10 5 5 2" xfId="3346" xr:uid="{00000000-0005-0000-0000-0000EE250000}"/>
    <cellStyle name="Normal 10 5 5 2 2" xfId="19659" xr:uid="{00000000-0005-0000-0000-0000EF250000}"/>
    <cellStyle name="Normal 10 5 5 2 2 2" xfId="19660" xr:uid="{00000000-0005-0000-0000-0000F0250000}"/>
    <cellStyle name="Normal 10 5 5 2 2 2 2" xfId="43006" xr:uid="{00000000-0005-0000-0000-0000F1250000}"/>
    <cellStyle name="Normal 10 5 5 2 2 3" xfId="19661" xr:uid="{00000000-0005-0000-0000-0000F2250000}"/>
    <cellStyle name="Normal 10 5 5 2 2 3 2" xfId="43007" xr:uid="{00000000-0005-0000-0000-0000F3250000}"/>
    <cellStyle name="Normal 10 5 5 2 2 4" xfId="43005" xr:uid="{00000000-0005-0000-0000-0000F4250000}"/>
    <cellStyle name="Normal 10 5 5 2 3" xfId="19662" xr:uid="{00000000-0005-0000-0000-0000F5250000}"/>
    <cellStyle name="Normal 10 5 5 2 3 2" xfId="19663" xr:uid="{00000000-0005-0000-0000-0000F6250000}"/>
    <cellStyle name="Normal 10 5 5 2 3 2 2" xfId="43009" xr:uid="{00000000-0005-0000-0000-0000F7250000}"/>
    <cellStyle name="Normal 10 5 5 2 3 3" xfId="43008" xr:uid="{00000000-0005-0000-0000-0000F8250000}"/>
    <cellStyle name="Normal 10 5 5 2 4" xfId="19664" xr:uid="{00000000-0005-0000-0000-0000F9250000}"/>
    <cellStyle name="Normal 10 5 5 2 4 2" xfId="43010" xr:uid="{00000000-0005-0000-0000-0000FA250000}"/>
    <cellStyle name="Normal 10 5 5 2 5" xfId="19665" xr:uid="{00000000-0005-0000-0000-0000FB250000}"/>
    <cellStyle name="Normal 10 5 5 2 5 2" xfId="43011" xr:uid="{00000000-0005-0000-0000-0000FC250000}"/>
    <cellStyle name="Normal 10 5 5 2 6" xfId="19666" xr:uid="{00000000-0005-0000-0000-0000FD250000}"/>
    <cellStyle name="Normal 10 5 5 2 6 2" xfId="43012" xr:uid="{00000000-0005-0000-0000-0000FE250000}"/>
    <cellStyle name="Normal 10 5 5 2 7" xfId="26859" xr:uid="{00000000-0005-0000-0000-0000FF250000}"/>
    <cellStyle name="Normal 10 5 5 3" xfId="19667" xr:uid="{00000000-0005-0000-0000-000000260000}"/>
    <cellStyle name="Normal 10 5 5 3 2" xfId="19668" xr:uid="{00000000-0005-0000-0000-000001260000}"/>
    <cellStyle name="Normal 10 5 5 3 2 2" xfId="43014" xr:uid="{00000000-0005-0000-0000-000002260000}"/>
    <cellStyle name="Normal 10 5 5 3 3" xfId="19669" xr:uid="{00000000-0005-0000-0000-000003260000}"/>
    <cellStyle name="Normal 10 5 5 3 3 2" xfId="43015" xr:uid="{00000000-0005-0000-0000-000004260000}"/>
    <cellStyle name="Normal 10 5 5 3 4" xfId="43013" xr:uid="{00000000-0005-0000-0000-000005260000}"/>
    <cellStyle name="Normal 10 5 5 4" xfId="19670" xr:uid="{00000000-0005-0000-0000-000006260000}"/>
    <cellStyle name="Normal 10 5 5 4 2" xfId="19671" xr:uid="{00000000-0005-0000-0000-000007260000}"/>
    <cellStyle name="Normal 10 5 5 4 2 2" xfId="43017" xr:uid="{00000000-0005-0000-0000-000008260000}"/>
    <cellStyle name="Normal 10 5 5 4 3" xfId="43016" xr:uid="{00000000-0005-0000-0000-000009260000}"/>
    <cellStyle name="Normal 10 5 5 5" xfId="19672" xr:uid="{00000000-0005-0000-0000-00000A260000}"/>
    <cellStyle name="Normal 10 5 5 5 2" xfId="43018" xr:uid="{00000000-0005-0000-0000-00000B260000}"/>
    <cellStyle name="Normal 10 5 5 6" xfId="19673" xr:uid="{00000000-0005-0000-0000-00000C260000}"/>
    <cellStyle name="Normal 10 5 5 6 2" xfId="43019" xr:uid="{00000000-0005-0000-0000-00000D260000}"/>
    <cellStyle name="Normal 10 5 5 7" xfId="19674" xr:uid="{00000000-0005-0000-0000-00000E260000}"/>
    <cellStyle name="Normal 10 5 5 7 2" xfId="43020" xr:uid="{00000000-0005-0000-0000-00000F260000}"/>
    <cellStyle name="Normal 10 5 5 8" xfId="26858" xr:uid="{00000000-0005-0000-0000-000010260000}"/>
    <cellStyle name="Normal 10 5 6" xfId="3347" xr:uid="{00000000-0005-0000-0000-000011260000}"/>
    <cellStyle name="Normal 10 5 6 2" xfId="17952" xr:uid="{00000000-0005-0000-0000-000012260000}"/>
    <cellStyle name="Normal 10 5 6 2 2" xfId="19675" xr:uid="{00000000-0005-0000-0000-000013260000}"/>
    <cellStyle name="Normal 10 5 6 2 2 2" xfId="19676" xr:uid="{00000000-0005-0000-0000-000014260000}"/>
    <cellStyle name="Normal 10 5 6 2 2 2 2" xfId="43022" xr:uid="{00000000-0005-0000-0000-000015260000}"/>
    <cellStyle name="Normal 10 5 6 2 2 3" xfId="19677" xr:uid="{00000000-0005-0000-0000-000016260000}"/>
    <cellStyle name="Normal 10 5 6 2 2 3 2" xfId="43023" xr:uid="{00000000-0005-0000-0000-000017260000}"/>
    <cellStyle name="Normal 10 5 6 2 2 4" xfId="43021" xr:uid="{00000000-0005-0000-0000-000018260000}"/>
    <cellStyle name="Normal 10 5 6 2 3" xfId="19678" xr:uid="{00000000-0005-0000-0000-000019260000}"/>
    <cellStyle name="Normal 10 5 6 2 3 2" xfId="19679" xr:uid="{00000000-0005-0000-0000-00001A260000}"/>
    <cellStyle name="Normal 10 5 6 2 3 2 2" xfId="43025" xr:uid="{00000000-0005-0000-0000-00001B260000}"/>
    <cellStyle name="Normal 10 5 6 2 3 3" xfId="43024" xr:uid="{00000000-0005-0000-0000-00001C260000}"/>
    <cellStyle name="Normal 10 5 6 2 4" xfId="19680" xr:uid="{00000000-0005-0000-0000-00001D260000}"/>
    <cellStyle name="Normal 10 5 6 2 4 2" xfId="43026" xr:uid="{00000000-0005-0000-0000-00001E260000}"/>
    <cellStyle name="Normal 10 5 6 2 5" xfId="19681" xr:uid="{00000000-0005-0000-0000-00001F260000}"/>
    <cellStyle name="Normal 10 5 6 2 5 2" xfId="43027" xr:uid="{00000000-0005-0000-0000-000020260000}"/>
    <cellStyle name="Normal 10 5 6 2 6" xfId="19682" xr:uid="{00000000-0005-0000-0000-000021260000}"/>
    <cellStyle name="Normal 10 5 6 2 6 2" xfId="43028" xr:uid="{00000000-0005-0000-0000-000022260000}"/>
    <cellStyle name="Normal 10 5 6 2 7" xfId="41412" xr:uid="{00000000-0005-0000-0000-000023260000}"/>
    <cellStyle name="Normal 10 5 6 3" xfId="19683" xr:uid="{00000000-0005-0000-0000-000024260000}"/>
    <cellStyle name="Normal 10 5 6 3 2" xfId="19684" xr:uid="{00000000-0005-0000-0000-000025260000}"/>
    <cellStyle name="Normal 10 5 6 3 2 2" xfId="43030" xr:uid="{00000000-0005-0000-0000-000026260000}"/>
    <cellStyle name="Normal 10 5 6 3 3" xfId="19685" xr:uid="{00000000-0005-0000-0000-000027260000}"/>
    <cellStyle name="Normal 10 5 6 3 3 2" xfId="43031" xr:uid="{00000000-0005-0000-0000-000028260000}"/>
    <cellStyle name="Normal 10 5 6 3 4" xfId="43029" xr:uid="{00000000-0005-0000-0000-000029260000}"/>
    <cellStyle name="Normal 10 5 6 4" xfId="19686" xr:uid="{00000000-0005-0000-0000-00002A260000}"/>
    <cellStyle name="Normal 10 5 6 4 2" xfId="19687" xr:uid="{00000000-0005-0000-0000-00002B260000}"/>
    <cellStyle name="Normal 10 5 6 4 2 2" xfId="43033" xr:uid="{00000000-0005-0000-0000-00002C260000}"/>
    <cellStyle name="Normal 10 5 6 4 3" xfId="43032" xr:uid="{00000000-0005-0000-0000-00002D260000}"/>
    <cellStyle name="Normal 10 5 6 5" xfId="19688" xr:uid="{00000000-0005-0000-0000-00002E260000}"/>
    <cellStyle name="Normal 10 5 6 5 2" xfId="43034" xr:uid="{00000000-0005-0000-0000-00002F260000}"/>
    <cellStyle name="Normal 10 5 6 6" xfId="19689" xr:uid="{00000000-0005-0000-0000-000030260000}"/>
    <cellStyle name="Normal 10 5 6 6 2" xfId="43035" xr:uid="{00000000-0005-0000-0000-000031260000}"/>
    <cellStyle name="Normal 10 5 6 7" xfId="19690" xr:uid="{00000000-0005-0000-0000-000032260000}"/>
    <cellStyle name="Normal 10 5 6 7 2" xfId="43036" xr:uid="{00000000-0005-0000-0000-000033260000}"/>
    <cellStyle name="Normal 10 5 6 8" xfId="26860" xr:uid="{00000000-0005-0000-0000-000034260000}"/>
    <cellStyle name="Normal 10 5 7" xfId="17806" xr:uid="{00000000-0005-0000-0000-000035260000}"/>
    <cellStyle name="Normal 10 5 7 2" xfId="19691" xr:uid="{00000000-0005-0000-0000-000036260000}"/>
    <cellStyle name="Normal 10 5 7 2 2" xfId="19692" xr:uid="{00000000-0005-0000-0000-000037260000}"/>
    <cellStyle name="Normal 10 5 7 2 2 2" xfId="43038" xr:uid="{00000000-0005-0000-0000-000038260000}"/>
    <cellStyle name="Normal 10 5 7 2 3" xfId="19693" xr:uid="{00000000-0005-0000-0000-000039260000}"/>
    <cellStyle name="Normal 10 5 7 2 3 2" xfId="43039" xr:uid="{00000000-0005-0000-0000-00003A260000}"/>
    <cellStyle name="Normal 10 5 7 2 4" xfId="43037" xr:uid="{00000000-0005-0000-0000-00003B260000}"/>
    <cellStyle name="Normal 10 5 7 3" xfId="19694" xr:uid="{00000000-0005-0000-0000-00003C260000}"/>
    <cellStyle name="Normal 10 5 7 3 2" xfId="19695" xr:uid="{00000000-0005-0000-0000-00003D260000}"/>
    <cellStyle name="Normal 10 5 7 3 2 2" xfId="43041" xr:uid="{00000000-0005-0000-0000-00003E260000}"/>
    <cellStyle name="Normal 10 5 7 3 3" xfId="43040" xr:uid="{00000000-0005-0000-0000-00003F260000}"/>
    <cellStyle name="Normal 10 5 7 4" xfId="19696" xr:uid="{00000000-0005-0000-0000-000040260000}"/>
    <cellStyle name="Normal 10 5 7 4 2" xfId="43042" xr:uid="{00000000-0005-0000-0000-000041260000}"/>
    <cellStyle name="Normal 10 5 7 5" xfId="19697" xr:uid="{00000000-0005-0000-0000-000042260000}"/>
    <cellStyle name="Normal 10 5 7 5 2" xfId="43043" xr:uid="{00000000-0005-0000-0000-000043260000}"/>
    <cellStyle name="Normal 10 5 7 6" xfId="19698" xr:uid="{00000000-0005-0000-0000-000044260000}"/>
    <cellStyle name="Normal 10 5 7 6 2" xfId="43044" xr:uid="{00000000-0005-0000-0000-000045260000}"/>
    <cellStyle name="Normal 10 5 7 7" xfId="41266" xr:uid="{00000000-0005-0000-0000-000046260000}"/>
    <cellStyle name="Normal 10 5 8" xfId="19699" xr:uid="{00000000-0005-0000-0000-000047260000}"/>
    <cellStyle name="Normal 10 5 8 2" xfId="19700" xr:uid="{00000000-0005-0000-0000-000048260000}"/>
    <cellStyle name="Normal 10 5 8 2 2" xfId="43046" xr:uid="{00000000-0005-0000-0000-000049260000}"/>
    <cellStyle name="Normal 10 5 8 3" xfId="19701" xr:uid="{00000000-0005-0000-0000-00004A260000}"/>
    <cellStyle name="Normal 10 5 8 3 2" xfId="43047" xr:uid="{00000000-0005-0000-0000-00004B260000}"/>
    <cellStyle name="Normal 10 5 8 4" xfId="43045" xr:uid="{00000000-0005-0000-0000-00004C260000}"/>
    <cellStyle name="Normal 10 5 9" xfId="19702" xr:uid="{00000000-0005-0000-0000-00004D260000}"/>
    <cellStyle name="Normal 10 5 9 2" xfId="19703" xr:uid="{00000000-0005-0000-0000-00004E260000}"/>
    <cellStyle name="Normal 10 5 9 2 2" xfId="43049" xr:uid="{00000000-0005-0000-0000-00004F260000}"/>
    <cellStyle name="Normal 10 5 9 3" xfId="43048" xr:uid="{00000000-0005-0000-0000-000050260000}"/>
    <cellStyle name="Normal 10 6" xfId="74" xr:uid="{00000000-0005-0000-0000-000051260000}"/>
    <cellStyle name="Normal 10 6 10" xfId="19704" xr:uid="{00000000-0005-0000-0000-000052260000}"/>
    <cellStyle name="Normal 10 6 10 2" xfId="43050" xr:uid="{00000000-0005-0000-0000-000053260000}"/>
    <cellStyle name="Normal 10 6 11" xfId="19705" xr:uid="{00000000-0005-0000-0000-000054260000}"/>
    <cellStyle name="Normal 10 6 11 2" xfId="43051" xr:uid="{00000000-0005-0000-0000-000055260000}"/>
    <cellStyle name="Normal 10 6 12" xfId="23654" xr:uid="{00000000-0005-0000-0000-000056260000}"/>
    <cellStyle name="Normal 10 6 2" xfId="75" xr:uid="{00000000-0005-0000-0000-000057260000}"/>
    <cellStyle name="Normal 10 6 2 10" xfId="23655" xr:uid="{00000000-0005-0000-0000-000058260000}"/>
    <cellStyle name="Normal 10 6 2 2" xfId="3348" xr:uid="{00000000-0005-0000-0000-000059260000}"/>
    <cellStyle name="Normal 10 6 2 2 2" xfId="17909" xr:uid="{00000000-0005-0000-0000-00005A260000}"/>
    <cellStyle name="Normal 10 6 2 2 2 2" xfId="19706" xr:uid="{00000000-0005-0000-0000-00005B260000}"/>
    <cellStyle name="Normal 10 6 2 2 2 2 2" xfId="19707" xr:uid="{00000000-0005-0000-0000-00005C260000}"/>
    <cellStyle name="Normal 10 6 2 2 2 2 2 2" xfId="43053" xr:uid="{00000000-0005-0000-0000-00005D260000}"/>
    <cellStyle name="Normal 10 6 2 2 2 2 3" xfId="19708" xr:uid="{00000000-0005-0000-0000-00005E260000}"/>
    <cellStyle name="Normal 10 6 2 2 2 2 3 2" xfId="43054" xr:uid="{00000000-0005-0000-0000-00005F260000}"/>
    <cellStyle name="Normal 10 6 2 2 2 2 4" xfId="43052" xr:uid="{00000000-0005-0000-0000-000060260000}"/>
    <cellStyle name="Normal 10 6 2 2 2 3" xfId="19709" xr:uid="{00000000-0005-0000-0000-000061260000}"/>
    <cellStyle name="Normal 10 6 2 2 2 3 2" xfId="19710" xr:uid="{00000000-0005-0000-0000-000062260000}"/>
    <cellStyle name="Normal 10 6 2 2 2 3 2 2" xfId="43056" xr:uid="{00000000-0005-0000-0000-000063260000}"/>
    <cellStyle name="Normal 10 6 2 2 2 3 3" xfId="43055" xr:uid="{00000000-0005-0000-0000-000064260000}"/>
    <cellStyle name="Normal 10 6 2 2 2 4" xfId="19711" xr:uid="{00000000-0005-0000-0000-000065260000}"/>
    <cellStyle name="Normal 10 6 2 2 2 4 2" xfId="43057" xr:uid="{00000000-0005-0000-0000-000066260000}"/>
    <cellStyle name="Normal 10 6 2 2 2 5" xfId="19712" xr:uid="{00000000-0005-0000-0000-000067260000}"/>
    <cellStyle name="Normal 10 6 2 2 2 5 2" xfId="43058" xr:uid="{00000000-0005-0000-0000-000068260000}"/>
    <cellStyle name="Normal 10 6 2 2 2 6" xfId="19713" xr:uid="{00000000-0005-0000-0000-000069260000}"/>
    <cellStyle name="Normal 10 6 2 2 2 6 2" xfId="43059" xr:uid="{00000000-0005-0000-0000-00006A260000}"/>
    <cellStyle name="Normal 10 6 2 2 2 7" xfId="41369" xr:uid="{00000000-0005-0000-0000-00006B260000}"/>
    <cellStyle name="Normal 10 6 2 2 3" xfId="19714" xr:uid="{00000000-0005-0000-0000-00006C260000}"/>
    <cellStyle name="Normal 10 6 2 2 3 2" xfId="19715" xr:uid="{00000000-0005-0000-0000-00006D260000}"/>
    <cellStyle name="Normal 10 6 2 2 3 2 2" xfId="43061" xr:uid="{00000000-0005-0000-0000-00006E260000}"/>
    <cellStyle name="Normal 10 6 2 2 3 3" xfId="19716" xr:uid="{00000000-0005-0000-0000-00006F260000}"/>
    <cellStyle name="Normal 10 6 2 2 3 3 2" xfId="43062" xr:uid="{00000000-0005-0000-0000-000070260000}"/>
    <cellStyle name="Normal 10 6 2 2 3 4" xfId="43060" xr:uid="{00000000-0005-0000-0000-000071260000}"/>
    <cellStyle name="Normal 10 6 2 2 4" xfId="19717" xr:uid="{00000000-0005-0000-0000-000072260000}"/>
    <cellStyle name="Normal 10 6 2 2 4 2" xfId="19718" xr:uid="{00000000-0005-0000-0000-000073260000}"/>
    <cellStyle name="Normal 10 6 2 2 4 2 2" xfId="43064" xr:uid="{00000000-0005-0000-0000-000074260000}"/>
    <cellStyle name="Normal 10 6 2 2 4 3" xfId="43063" xr:uid="{00000000-0005-0000-0000-000075260000}"/>
    <cellStyle name="Normal 10 6 2 2 5" xfId="19719" xr:uid="{00000000-0005-0000-0000-000076260000}"/>
    <cellStyle name="Normal 10 6 2 2 5 2" xfId="43065" xr:uid="{00000000-0005-0000-0000-000077260000}"/>
    <cellStyle name="Normal 10 6 2 2 6" xfId="19720" xr:uid="{00000000-0005-0000-0000-000078260000}"/>
    <cellStyle name="Normal 10 6 2 2 6 2" xfId="43066" xr:uid="{00000000-0005-0000-0000-000079260000}"/>
    <cellStyle name="Normal 10 6 2 2 7" xfId="19721" xr:uid="{00000000-0005-0000-0000-00007A260000}"/>
    <cellStyle name="Normal 10 6 2 2 7 2" xfId="43067" xr:uid="{00000000-0005-0000-0000-00007B260000}"/>
    <cellStyle name="Normal 10 6 2 2 8" xfId="26861" xr:uid="{00000000-0005-0000-0000-00007C260000}"/>
    <cellStyle name="Normal 10 6 2 3" xfId="17751" xr:uid="{00000000-0005-0000-0000-00007D260000}"/>
    <cellStyle name="Normal 10 6 2 3 2" xfId="17985" xr:uid="{00000000-0005-0000-0000-00007E260000}"/>
    <cellStyle name="Normal 10 6 2 3 2 2" xfId="19722" xr:uid="{00000000-0005-0000-0000-00007F260000}"/>
    <cellStyle name="Normal 10 6 2 3 2 2 2" xfId="19723" xr:uid="{00000000-0005-0000-0000-000080260000}"/>
    <cellStyle name="Normal 10 6 2 3 2 2 2 2" xfId="43069" xr:uid="{00000000-0005-0000-0000-000081260000}"/>
    <cellStyle name="Normal 10 6 2 3 2 2 3" xfId="19724" xr:uid="{00000000-0005-0000-0000-000082260000}"/>
    <cellStyle name="Normal 10 6 2 3 2 2 3 2" xfId="43070" xr:uid="{00000000-0005-0000-0000-000083260000}"/>
    <cellStyle name="Normal 10 6 2 3 2 2 4" xfId="43068" xr:uid="{00000000-0005-0000-0000-000084260000}"/>
    <cellStyle name="Normal 10 6 2 3 2 3" xfId="19725" xr:uid="{00000000-0005-0000-0000-000085260000}"/>
    <cellStyle name="Normal 10 6 2 3 2 3 2" xfId="19726" xr:uid="{00000000-0005-0000-0000-000086260000}"/>
    <cellStyle name="Normal 10 6 2 3 2 3 2 2" xfId="43072" xr:uid="{00000000-0005-0000-0000-000087260000}"/>
    <cellStyle name="Normal 10 6 2 3 2 3 3" xfId="43071" xr:uid="{00000000-0005-0000-0000-000088260000}"/>
    <cellStyle name="Normal 10 6 2 3 2 4" xfId="19727" xr:uid="{00000000-0005-0000-0000-000089260000}"/>
    <cellStyle name="Normal 10 6 2 3 2 4 2" xfId="43073" xr:uid="{00000000-0005-0000-0000-00008A260000}"/>
    <cellStyle name="Normal 10 6 2 3 2 5" xfId="19728" xr:uid="{00000000-0005-0000-0000-00008B260000}"/>
    <cellStyle name="Normal 10 6 2 3 2 5 2" xfId="43074" xr:uid="{00000000-0005-0000-0000-00008C260000}"/>
    <cellStyle name="Normal 10 6 2 3 2 6" xfId="19729" xr:uid="{00000000-0005-0000-0000-00008D260000}"/>
    <cellStyle name="Normal 10 6 2 3 2 6 2" xfId="43075" xr:uid="{00000000-0005-0000-0000-00008E260000}"/>
    <cellStyle name="Normal 10 6 2 3 2 7" xfId="41445" xr:uid="{00000000-0005-0000-0000-00008F260000}"/>
    <cellStyle name="Normal 10 6 2 3 3" xfId="19730" xr:uid="{00000000-0005-0000-0000-000090260000}"/>
    <cellStyle name="Normal 10 6 2 3 3 2" xfId="19731" xr:uid="{00000000-0005-0000-0000-000091260000}"/>
    <cellStyle name="Normal 10 6 2 3 3 2 2" xfId="43077" xr:uid="{00000000-0005-0000-0000-000092260000}"/>
    <cellStyle name="Normal 10 6 2 3 3 3" xfId="19732" xr:uid="{00000000-0005-0000-0000-000093260000}"/>
    <cellStyle name="Normal 10 6 2 3 3 3 2" xfId="43078" xr:uid="{00000000-0005-0000-0000-000094260000}"/>
    <cellStyle name="Normal 10 6 2 3 3 4" xfId="43076" xr:uid="{00000000-0005-0000-0000-000095260000}"/>
    <cellStyle name="Normal 10 6 2 3 4" xfId="19733" xr:uid="{00000000-0005-0000-0000-000096260000}"/>
    <cellStyle name="Normal 10 6 2 3 4 2" xfId="19734" xr:uid="{00000000-0005-0000-0000-000097260000}"/>
    <cellStyle name="Normal 10 6 2 3 4 2 2" xfId="43080" xr:uid="{00000000-0005-0000-0000-000098260000}"/>
    <cellStyle name="Normal 10 6 2 3 4 3" xfId="43079" xr:uid="{00000000-0005-0000-0000-000099260000}"/>
    <cellStyle name="Normal 10 6 2 3 5" xfId="19735" xr:uid="{00000000-0005-0000-0000-00009A260000}"/>
    <cellStyle name="Normal 10 6 2 3 5 2" xfId="43081" xr:uid="{00000000-0005-0000-0000-00009B260000}"/>
    <cellStyle name="Normal 10 6 2 3 6" xfId="19736" xr:uid="{00000000-0005-0000-0000-00009C260000}"/>
    <cellStyle name="Normal 10 6 2 3 6 2" xfId="43082" xr:uid="{00000000-0005-0000-0000-00009D260000}"/>
    <cellStyle name="Normal 10 6 2 3 7" xfId="19737" xr:uid="{00000000-0005-0000-0000-00009E260000}"/>
    <cellStyle name="Normal 10 6 2 3 7 2" xfId="43083" xr:uid="{00000000-0005-0000-0000-00009F260000}"/>
    <cellStyle name="Normal 10 6 2 3 8" xfId="41211" xr:uid="{00000000-0005-0000-0000-0000A0260000}"/>
    <cellStyle name="Normal 10 6 2 4" xfId="17834" xr:uid="{00000000-0005-0000-0000-0000A1260000}"/>
    <cellStyle name="Normal 10 6 2 4 2" xfId="19738" xr:uid="{00000000-0005-0000-0000-0000A2260000}"/>
    <cellStyle name="Normal 10 6 2 4 2 2" xfId="19739" xr:uid="{00000000-0005-0000-0000-0000A3260000}"/>
    <cellStyle name="Normal 10 6 2 4 2 2 2" xfId="43085" xr:uid="{00000000-0005-0000-0000-0000A4260000}"/>
    <cellStyle name="Normal 10 6 2 4 2 3" xfId="19740" xr:uid="{00000000-0005-0000-0000-0000A5260000}"/>
    <cellStyle name="Normal 10 6 2 4 2 3 2" xfId="43086" xr:uid="{00000000-0005-0000-0000-0000A6260000}"/>
    <cellStyle name="Normal 10 6 2 4 2 4" xfId="43084" xr:uid="{00000000-0005-0000-0000-0000A7260000}"/>
    <cellStyle name="Normal 10 6 2 4 3" xfId="19741" xr:uid="{00000000-0005-0000-0000-0000A8260000}"/>
    <cellStyle name="Normal 10 6 2 4 3 2" xfId="19742" xr:uid="{00000000-0005-0000-0000-0000A9260000}"/>
    <cellStyle name="Normal 10 6 2 4 3 2 2" xfId="43088" xr:uid="{00000000-0005-0000-0000-0000AA260000}"/>
    <cellStyle name="Normal 10 6 2 4 3 3" xfId="43087" xr:uid="{00000000-0005-0000-0000-0000AB260000}"/>
    <cellStyle name="Normal 10 6 2 4 4" xfId="19743" xr:uid="{00000000-0005-0000-0000-0000AC260000}"/>
    <cellStyle name="Normal 10 6 2 4 4 2" xfId="43089" xr:uid="{00000000-0005-0000-0000-0000AD260000}"/>
    <cellStyle name="Normal 10 6 2 4 5" xfId="19744" xr:uid="{00000000-0005-0000-0000-0000AE260000}"/>
    <cellStyle name="Normal 10 6 2 4 5 2" xfId="43090" xr:uid="{00000000-0005-0000-0000-0000AF260000}"/>
    <cellStyle name="Normal 10 6 2 4 6" xfId="19745" xr:uid="{00000000-0005-0000-0000-0000B0260000}"/>
    <cellStyle name="Normal 10 6 2 4 6 2" xfId="43091" xr:uid="{00000000-0005-0000-0000-0000B1260000}"/>
    <cellStyle name="Normal 10 6 2 4 7" xfId="41294" xr:uid="{00000000-0005-0000-0000-0000B2260000}"/>
    <cellStyle name="Normal 10 6 2 5" xfId="19746" xr:uid="{00000000-0005-0000-0000-0000B3260000}"/>
    <cellStyle name="Normal 10 6 2 5 2" xfId="19747" xr:uid="{00000000-0005-0000-0000-0000B4260000}"/>
    <cellStyle name="Normal 10 6 2 5 2 2" xfId="43093" xr:uid="{00000000-0005-0000-0000-0000B5260000}"/>
    <cellStyle name="Normal 10 6 2 5 3" xfId="19748" xr:uid="{00000000-0005-0000-0000-0000B6260000}"/>
    <cellStyle name="Normal 10 6 2 5 3 2" xfId="43094" xr:uid="{00000000-0005-0000-0000-0000B7260000}"/>
    <cellStyle name="Normal 10 6 2 5 4" xfId="43092" xr:uid="{00000000-0005-0000-0000-0000B8260000}"/>
    <cellStyle name="Normal 10 6 2 6" xfId="19749" xr:uid="{00000000-0005-0000-0000-0000B9260000}"/>
    <cellStyle name="Normal 10 6 2 6 2" xfId="19750" xr:uid="{00000000-0005-0000-0000-0000BA260000}"/>
    <cellStyle name="Normal 10 6 2 6 2 2" xfId="43096" xr:uid="{00000000-0005-0000-0000-0000BB260000}"/>
    <cellStyle name="Normal 10 6 2 6 3" xfId="43095" xr:uid="{00000000-0005-0000-0000-0000BC260000}"/>
    <cellStyle name="Normal 10 6 2 7" xfId="19751" xr:uid="{00000000-0005-0000-0000-0000BD260000}"/>
    <cellStyle name="Normal 10 6 2 7 2" xfId="43097" xr:uid="{00000000-0005-0000-0000-0000BE260000}"/>
    <cellStyle name="Normal 10 6 2 8" xfId="19752" xr:uid="{00000000-0005-0000-0000-0000BF260000}"/>
    <cellStyle name="Normal 10 6 2 8 2" xfId="43098" xr:uid="{00000000-0005-0000-0000-0000C0260000}"/>
    <cellStyle name="Normal 10 6 2 9" xfId="19753" xr:uid="{00000000-0005-0000-0000-0000C1260000}"/>
    <cellStyle name="Normal 10 6 2 9 2" xfId="43099" xr:uid="{00000000-0005-0000-0000-0000C2260000}"/>
    <cellStyle name="Normal 10 6 3" xfId="3349" xr:uid="{00000000-0005-0000-0000-0000C3260000}"/>
    <cellStyle name="Normal 10 6 3 10" xfId="26862" xr:uid="{00000000-0005-0000-0000-0000C4260000}"/>
    <cellStyle name="Normal 10 6 3 2" xfId="17712" xr:uid="{00000000-0005-0000-0000-0000C5260000}"/>
    <cellStyle name="Normal 10 6 3 2 2" xfId="17939" xr:uid="{00000000-0005-0000-0000-0000C6260000}"/>
    <cellStyle name="Normal 10 6 3 2 2 2" xfId="19754" xr:uid="{00000000-0005-0000-0000-0000C7260000}"/>
    <cellStyle name="Normal 10 6 3 2 2 2 2" xfId="19755" xr:uid="{00000000-0005-0000-0000-0000C8260000}"/>
    <cellStyle name="Normal 10 6 3 2 2 2 2 2" xfId="43101" xr:uid="{00000000-0005-0000-0000-0000C9260000}"/>
    <cellStyle name="Normal 10 6 3 2 2 2 3" xfId="19756" xr:uid="{00000000-0005-0000-0000-0000CA260000}"/>
    <cellStyle name="Normal 10 6 3 2 2 2 3 2" xfId="43102" xr:uid="{00000000-0005-0000-0000-0000CB260000}"/>
    <cellStyle name="Normal 10 6 3 2 2 2 4" xfId="43100" xr:uid="{00000000-0005-0000-0000-0000CC260000}"/>
    <cellStyle name="Normal 10 6 3 2 2 3" xfId="19757" xr:uid="{00000000-0005-0000-0000-0000CD260000}"/>
    <cellStyle name="Normal 10 6 3 2 2 3 2" xfId="19758" xr:uid="{00000000-0005-0000-0000-0000CE260000}"/>
    <cellStyle name="Normal 10 6 3 2 2 3 2 2" xfId="43104" xr:uid="{00000000-0005-0000-0000-0000CF260000}"/>
    <cellStyle name="Normal 10 6 3 2 2 3 3" xfId="43103" xr:uid="{00000000-0005-0000-0000-0000D0260000}"/>
    <cellStyle name="Normal 10 6 3 2 2 4" xfId="19759" xr:uid="{00000000-0005-0000-0000-0000D1260000}"/>
    <cellStyle name="Normal 10 6 3 2 2 4 2" xfId="43105" xr:uid="{00000000-0005-0000-0000-0000D2260000}"/>
    <cellStyle name="Normal 10 6 3 2 2 5" xfId="19760" xr:uid="{00000000-0005-0000-0000-0000D3260000}"/>
    <cellStyle name="Normal 10 6 3 2 2 5 2" xfId="43106" xr:uid="{00000000-0005-0000-0000-0000D4260000}"/>
    <cellStyle name="Normal 10 6 3 2 2 6" xfId="19761" xr:uid="{00000000-0005-0000-0000-0000D5260000}"/>
    <cellStyle name="Normal 10 6 3 2 2 6 2" xfId="43107" xr:uid="{00000000-0005-0000-0000-0000D6260000}"/>
    <cellStyle name="Normal 10 6 3 2 2 7" xfId="41399" xr:uid="{00000000-0005-0000-0000-0000D7260000}"/>
    <cellStyle name="Normal 10 6 3 2 3" xfId="19762" xr:uid="{00000000-0005-0000-0000-0000D8260000}"/>
    <cellStyle name="Normal 10 6 3 2 3 2" xfId="19763" xr:uid="{00000000-0005-0000-0000-0000D9260000}"/>
    <cellStyle name="Normal 10 6 3 2 3 2 2" xfId="43109" xr:uid="{00000000-0005-0000-0000-0000DA260000}"/>
    <cellStyle name="Normal 10 6 3 2 3 3" xfId="19764" xr:uid="{00000000-0005-0000-0000-0000DB260000}"/>
    <cellStyle name="Normal 10 6 3 2 3 3 2" xfId="43110" xr:uid="{00000000-0005-0000-0000-0000DC260000}"/>
    <cellStyle name="Normal 10 6 3 2 3 4" xfId="43108" xr:uid="{00000000-0005-0000-0000-0000DD260000}"/>
    <cellStyle name="Normal 10 6 3 2 4" xfId="19765" xr:uid="{00000000-0005-0000-0000-0000DE260000}"/>
    <cellStyle name="Normal 10 6 3 2 4 2" xfId="19766" xr:uid="{00000000-0005-0000-0000-0000DF260000}"/>
    <cellStyle name="Normal 10 6 3 2 4 2 2" xfId="43112" xr:uid="{00000000-0005-0000-0000-0000E0260000}"/>
    <cellStyle name="Normal 10 6 3 2 4 3" xfId="43111" xr:uid="{00000000-0005-0000-0000-0000E1260000}"/>
    <cellStyle name="Normal 10 6 3 2 5" xfId="19767" xr:uid="{00000000-0005-0000-0000-0000E2260000}"/>
    <cellStyle name="Normal 10 6 3 2 5 2" xfId="43113" xr:uid="{00000000-0005-0000-0000-0000E3260000}"/>
    <cellStyle name="Normal 10 6 3 2 6" xfId="19768" xr:uid="{00000000-0005-0000-0000-0000E4260000}"/>
    <cellStyle name="Normal 10 6 3 2 6 2" xfId="43114" xr:uid="{00000000-0005-0000-0000-0000E5260000}"/>
    <cellStyle name="Normal 10 6 3 2 7" xfId="19769" xr:uid="{00000000-0005-0000-0000-0000E6260000}"/>
    <cellStyle name="Normal 10 6 3 2 7 2" xfId="43115" xr:uid="{00000000-0005-0000-0000-0000E7260000}"/>
    <cellStyle name="Normal 10 6 3 2 8" xfId="41172" xr:uid="{00000000-0005-0000-0000-0000E8260000}"/>
    <cellStyle name="Normal 10 6 3 3" xfId="17779" xr:uid="{00000000-0005-0000-0000-0000E9260000}"/>
    <cellStyle name="Normal 10 6 3 3 2" xfId="18015" xr:uid="{00000000-0005-0000-0000-0000EA260000}"/>
    <cellStyle name="Normal 10 6 3 3 2 2" xfId="19770" xr:uid="{00000000-0005-0000-0000-0000EB260000}"/>
    <cellStyle name="Normal 10 6 3 3 2 2 2" xfId="19771" xr:uid="{00000000-0005-0000-0000-0000EC260000}"/>
    <cellStyle name="Normal 10 6 3 3 2 2 2 2" xfId="43117" xr:uid="{00000000-0005-0000-0000-0000ED260000}"/>
    <cellStyle name="Normal 10 6 3 3 2 2 3" xfId="19772" xr:uid="{00000000-0005-0000-0000-0000EE260000}"/>
    <cellStyle name="Normal 10 6 3 3 2 2 3 2" xfId="43118" xr:uid="{00000000-0005-0000-0000-0000EF260000}"/>
    <cellStyle name="Normal 10 6 3 3 2 2 4" xfId="43116" xr:uid="{00000000-0005-0000-0000-0000F0260000}"/>
    <cellStyle name="Normal 10 6 3 3 2 3" xfId="19773" xr:uid="{00000000-0005-0000-0000-0000F1260000}"/>
    <cellStyle name="Normal 10 6 3 3 2 3 2" xfId="19774" xr:uid="{00000000-0005-0000-0000-0000F2260000}"/>
    <cellStyle name="Normal 10 6 3 3 2 3 2 2" xfId="43120" xr:uid="{00000000-0005-0000-0000-0000F3260000}"/>
    <cellStyle name="Normal 10 6 3 3 2 3 3" xfId="43119" xr:uid="{00000000-0005-0000-0000-0000F4260000}"/>
    <cellStyle name="Normal 10 6 3 3 2 4" xfId="19775" xr:uid="{00000000-0005-0000-0000-0000F5260000}"/>
    <cellStyle name="Normal 10 6 3 3 2 4 2" xfId="43121" xr:uid="{00000000-0005-0000-0000-0000F6260000}"/>
    <cellStyle name="Normal 10 6 3 3 2 5" xfId="19776" xr:uid="{00000000-0005-0000-0000-0000F7260000}"/>
    <cellStyle name="Normal 10 6 3 3 2 5 2" xfId="43122" xr:uid="{00000000-0005-0000-0000-0000F8260000}"/>
    <cellStyle name="Normal 10 6 3 3 2 6" xfId="19777" xr:uid="{00000000-0005-0000-0000-0000F9260000}"/>
    <cellStyle name="Normal 10 6 3 3 2 6 2" xfId="43123" xr:uid="{00000000-0005-0000-0000-0000FA260000}"/>
    <cellStyle name="Normal 10 6 3 3 2 7" xfId="41475" xr:uid="{00000000-0005-0000-0000-0000FB260000}"/>
    <cellStyle name="Normal 10 6 3 3 3" xfId="19778" xr:uid="{00000000-0005-0000-0000-0000FC260000}"/>
    <cellStyle name="Normal 10 6 3 3 3 2" xfId="19779" xr:uid="{00000000-0005-0000-0000-0000FD260000}"/>
    <cellStyle name="Normal 10 6 3 3 3 2 2" xfId="43125" xr:uid="{00000000-0005-0000-0000-0000FE260000}"/>
    <cellStyle name="Normal 10 6 3 3 3 3" xfId="19780" xr:uid="{00000000-0005-0000-0000-0000FF260000}"/>
    <cellStyle name="Normal 10 6 3 3 3 3 2" xfId="43126" xr:uid="{00000000-0005-0000-0000-000000270000}"/>
    <cellStyle name="Normal 10 6 3 3 3 4" xfId="43124" xr:uid="{00000000-0005-0000-0000-000001270000}"/>
    <cellStyle name="Normal 10 6 3 3 4" xfId="19781" xr:uid="{00000000-0005-0000-0000-000002270000}"/>
    <cellStyle name="Normal 10 6 3 3 4 2" xfId="19782" xr:uid="{00000000-0005-0000-0000-000003270000}"/>
    <cellStyle name="Normal 10 6 3 3 4 2 2" xfId="43128" xr:uid="{00000000-0005-0000-0000-000004270000}"/>
    <cellStyle name="Normal 10 6 3 3 4 3" xfId="43127" xr:uid="{00000000-0005-0000-0000-000005270000}"/>
    <cellStyle name="Normal 10 6 3 3 5" xfId="19783" xr:uid="{00000000-0005-0000-0000-000006270000}"/>
    <cellStyle name="Normal 10 6 3 3 5 2" xfId="43129" xr:uid="{00000000-0005-0000-0000-000007270000}"/>
    <cellStyle name="Normal 10 6 3 3 6" xfId="19784" xr:uid="{00000000-0005-0000-0000-000008270000}"/>
    <cellStyle name="Normal 10 6 3 3 6 2" xfId="43130" xr:uid="{00000000-0005-0000-0000-000009270000}"/>
    <cellStyle name="Normal 10 6 3 3 7" xfId="19785" xr:uid="{00000000-0005-0000-0000-00000A270000}"/>
    <cellStyle name="Normal 10 6 3 3 7 2" xfId="43131" xr:uid="{00000000-0005-0000-0000-00000B270000}"/>
    <cellStyle name="Normal 10 6 3 3 8" xfId="41239" xr:uid="{00000000-0005-0000-0000-00000C270000}"/>
    <cellStyle name="Normal 10 6 3 4" xfId="17867" xr:uid="{00000000-0005-0000-0000-00000D270000}"/>
    <cellStyle name="Normal 10 6 3 4 2" xfId="19786" xr:uid="{00000000-0005-0000-0000-00000E270000}"/>
    <cellStyle name="Normal 10 6 3 4 2 2" xfId="19787" xr:uid="{00000000-0005-0000-0000-00000F270000}"/>
    <cellStyle name="Normal 10 6 3 4 2 2 2" xfId="43133" xr:uid="{00000000-0005-0000-0000-000010270000}"/>
    <cellStyle name="Normal 10 6 3 4 2 3" xfId="19788" xr:uid="{00000000-0005-0000-0000-000011270000}"/>
    <cellStyle name="Normal 10 6 3 4 2 3 2" xfId="43134" xr:uid="{00000000-0005-0000-0000-000012270000}"/>
    <cellStyle name="Normal 10 6 3 4 2 4" xfId="43132" xr:uid="{00000000-0005-0000-0000-000013270000}"/>
    <cellStyle name="Normal 10 6 3 4 3" xfId="19789" xr:uid="{00000000-0005-0000-0000-000014270000}"/>
    <cellStyle name="Normal 10 6 3 4 3 2" xfId="19790" xr:uid="{00000000-0005-0000-0000-000015270000}"/>
    <cellStyle name="Normal 10 6 3 4 3 2 2" xfId="43136" xr:uid="{00000000-0005-0000-0000-000016270000}"/>
    <cellStyle name="Normal 10 6 3 4 3 3" xfId="43135" xr:uid="{00000000-0005-0000-0000-000017270000}"/>
    <cellStyle name="Normal 10 6 3 4 4" xfId="19791" xr:uid="{00000000-0005-0000-0000-000018270000}"/>
    <cellStyle name="Normal 10 6 3 4 4 2" xfId="43137" xr:uid="{00000000-0005-0000-0000-000019270000}"/>
    <cellStyle name="Normal 10 6 3 4 5" xfId="19792" xr:uid="{00000000-0005-0000-0000-00001A270000}"/>
    <cellStyle name="Normal 10 6 3 4 5 2" xfId="43138" xr:uid="{00000000-0005-0000-0000-00001B270000}"/>
    <cellStyle name="Normal 10 6 3 4 6" xfId="19793" xr:uid="{00000000-0005-0000-0000-00001C270000}"/>
    <cellStyle name="Normal 10 6 3 4 6 2" xfId="43139" xr:uid="{00000000-0005-0000-0000-00001D270000}"/>
    <cellStyle name="Normal 10 6 3 4 7" xfId="41327" xr:uid="{00000000-0005-0000-0000-00001E270000}"/>
    <cellStyle name="Normal 10 6 3 5" xfId="19794" xr:uid="{00000000-0005-0000-0000-00001F270000}"/>
    <cellStyle name="Normal 10 6 3 5 2" xfId="19795" xr:uid="{00000000-0005-0000-0000-000020270000}"/>
    <cellStyle name="Normal 10 6 3 5 2 2" xfId="43141" xr:uid="{00000000-0005-0000-0000-000021270000}"/>
    <cellStyle name="Normal 10 6 3 5 3" xfId="19796" xr:uid="{00000000-0005-0000-0000-000022270000}"/>
    <cellStyle name="Normal 10 6 3 5 3 2" xfId="43142" xr:uid="{00000000-0005-0000-0000-000023270000}"/>
    <cellStyle name="Normal 10 6 3 5 4" xfId="43140" xr:uid="{00000000-0005-0000-0000-000024270000}"/>
    <cellStyle name="Normal 10 6 3 6" xfId="19797" xr:uid="{00000000-0005-0000-0000-000025270000}"/>
    <cellStyle name="Normal 10 6 3 6 2" xfId="19798" xr:uid="{00000000-0005-0000-0000-000026270000}"/>
    <cellStyle name="Normal 10 6 3 6 2 2" xfId="43144" xr:uid="{00000000-0005-0000-0000-000027270000}"/>
    <cellStyle name="Normal 10 6 3 6 3" xfId="43143" xr:uid="{00000000-0005-0000-0000-000028270000}"/>
    <cellStyle name="Normal 10 6 3 7" xfId="19799" xr:uid="{00000000-0005-0000-0000-000029270000}"/>
    <cellStyle name="Normal 10 6 3 7 2" xfId="43145" xr:uid="{00000000-0005-0000-0000-00002A270000}"/>
    <cellStyle name="Normal 10 6 3 8" xfId="19800" xr:uid="{00000000-0005-0000-0000-00002B270000}"/>
    <cellStyle name="Normal 10 6 3 8 2" xfId="43146" xr:uid="{00000000-0005-0000-0000-00002C270000}"/>
    <cellStyle name="Normal 10 6 3 9" xfId="19801" xr:uid="{00000000-0005-0000-0000-00002D270000}"/>
    <cellStyle name="Normal 10 6 3 9 2" xfId="43147" xr:uid="{00000000-0005-0000-0000-00002E270000}"/>
    <cellStyle name="Normal 10 6 4" xfId="17699" xr:uid="{00000000-0005-0000-0000-00002F270000}"/>
    <cellStyle name="Normal 10 6 4 2" xfId="17889" xr:uid="{00000000-0005-0000-0000-000030270000}"/>
    <cellStyle name="Normal 10 6 4 2 2" xfId="19802" xr:uid="{00000000-0005-0000-0000-000031270000}"/>
    <cellStyle name="Normal 10 6 4 2 2 2" xfId="19803" xr:uid="{00000000-0005-0000-0000-000032270000}"/>
    <cellStyle name="Normal 10 6 4 2 2 2 2" xfId="43149" xr:uid="{00000000-0005-0000-0000-000033270000}"/>
    <cellStyle name="Normal 10 6 4 2 2 3" xfId="19804" xr:uid="{00000000-0005-0000-0000-000034270000}"/>
    <cellStyle name="Normal 10 6 4 2 2 3 2" xfId="43150" xr:uid="{00000000-0005-0000-0000-000035270000}"/>
    <cellStyle name="Normal 10 6 4 2 2 4" xfId="43148" xr:uid="{00000000-0005-0000-0000-000036270000}"/>
    <cellStyle name="Normal 10 6 4 2 3" xfId="19805" xr:uid="{00000000-0005-0000-0000-000037270000}"/>
    <cellStyle name="Normal 10 6 4 2 3 2" xfId="19806" xr:uid="{00000000-0005-0000-0000-000038270000}"/>
    <cellStyle name="Normal 10 6 4 2 3 2 2" xfId="43152" xr:uid="{00000000-0005-0000-0000-000039270000}"/>
    <cellStyle name="Normal 10 6 4 2 3 3" xfId="43151" xr:uid="{00000000-0005-0000-0000-00003A270000}"/>
    <cellStyle name="Normal 10 6 4 2 4" xfId="19807" xr:uid="{00000000-0005-0000-0000-00003B270000}"/>
    <cellStyle name="Normal 10 6 4 2 4 2" xfId="43153" xr:uid="{00000000-0005-0000-0000-00003C270000}"/>
    <cellStyle name="Normal 10 6 4 2 5" xfId="19808" xr:uid="{00000000-0005-0000-0000-00003D270000}"/>
    <cellStyle name="Normal 10 6 4 2 5 2" xfId="43154" xr:uid="{00000000-0005-0000-0000-00003E270000}"/>
    <cellStyle name="Normal 10 6 4 2 6" xfId="19809" xr:uid="{00000000-0005-0000-0000-00003F270000}"/>
    <cellStyle name="Normal 10 6 4 2 6 2" xfId="43155" xr:uid="{00000000-0005-0000-0000-000040270000}"/>
    <cellStyle name="Normal 10 6 4 2 7" xfId="41349" xr:uid="{00000000-0005-0000-0000-000041270000}"/>
    <cellStyle name="Normal 10 6 4 3" xfId="19810" xr:uid="{00000000-0005-0000-0000-000042270000}"/>
    <cellStyle name="Normal 10 6 4 3 2" xfId="19811" xr:uid="{00000000-0005-0000-0000-000043270000}"/>
    <cellStyle name="Normal 10 6 4 3 2 2" xfId="43157" xr:uid="{00000000-0005-0000-0000-000044270000}"/>
    <cellStyle name="Normal 10 6 4 3 3" xfId="19812" xr:uid="{00000000-0005-0000-0000-000045270000}"/>
    <cellStyle name="Normal 10 6 4 3 3 2" xfId="43158" xr:uid="{00000000-0005-0000-0000-000046270000}"/>
    <cellStyle name="Normal 10 6 4 3 4" xfId="43156" xr:uid="{00000000-0005-0000-0000-000047270000}"/>
    <cellStyle name="Normal 10 6 4 4" xfId="19813" xr:uid="{00000000-0005-0000-0000-000048270000}"/>
    <cellStyle name="Normal 10 6 4 4 2" xfId="19814" xr:uid="{00000000-0005-0000-0000-000049270000}"/>
    <cellStyle name="Normal 10 6 4 4 2 2" xfId="43160" xr:uid="{00000000-0005-0000-0000-00004A270000}"/>
    <cellStyle name="Normal 10 6 4 4 3" xfId="43159" xr:uid="{00000000-0005-0000-0000-00004B270000}"/>
    <cellStyle name="Normal 10 6 4 5" xfId="19815" xr:uid="{00000000-0005-0000-0000-00004C270000}"/>
    <cellStyle name="Normal 10 6 4 5 2" xfId="43161" xr:uid="{00000000-0005-0000-0000-00004D270000}"/>
    <cellStyle name="Normal 10 6 4 6" xfId="19816" xr:uid="{00000000-0005-0000-0000-00004E270000}"/>
    <cellStyle name="Normal 10 6 4 6 2" xfId="43162" xr:uid="{00000000-0005-0000-0000-00004F270000}"/>
    <cellStyle name="Normal 10 6 4 7" xfId="19817" xr:uid="{00000000-0005-0000-0000-000050270000}"/>
    <cellStyle name="Normal 10 6 4 7 2" xfId="43163" xr:uid="{00000000-0005-0000-0000-000051270000}"/>
    <cellStyle name="Normal 10 6 4 8" xfId="41159" xr:uid="{00000000-0005-0000-0000-000052270000}"/>
    <cellStyle name="Normal 10 6 5" xfId="17731" xr:uid="{00000000-0005-0000-0000-000053270000}"/>
    <cellStyle name="Normal 10 6 5 2" xfId="17963" xr:uid="{00000000-0005-0000-0000-000054270000}"/>
    <cellStyle name="Normal 10 6 5 2 2" xfId="19818" xr:uid="{00000000-0005-0000-0000-000055270000}"/>
    <cellStyle name="Normal 10 6 5 2 2 2" xfId="19819" xr:uid="{00000000-0005-0000-0000-000056270000}"/>
    <cellStyle name="Normal 10 6 5 2 2 2 2" xfId="43165" xr:uid="{00000000-0005-0000-0000-000057270000}"/>
    <cellStyle name="Normal 10 6 5 2 2 3" xfId="19820" xr:uid="{00000000-0005-0000-0000-000058270000}"/>
    <cellStyle name="Normal 10 6 5 2 2 3 2" xfId="43166" xr:uid="{00000000-0005-0000-0000-000059270000}"/>
    <cellStyle name="Normal 10 6 5 2 2 4" xfId="43164" xr:uid="{00000000-0005-0000-0000-00005A270000}"/>
    <cellStyle name="Normal 10 6 5 2 3" xfId="19821" xr:uid="{00000000-0005-0000-0000-00005B270000}"/>
    <cellStyle name="Normal 10 6 5 2 3 2" xfId="19822" xr:uid="{00000000-0005-0000-0000-00005C270000}"/>
    <cellStyle name="Normal 10 6 5 2 3 2 2" xfId="43168" xr:uid="{00000000-0005-0000-0000-00005D270000}"/>
    <cellStyle name="Normal 10 6 5 2 3 3" xfId="43167" xr:uid="{00000000-0005-0000-0000-00005E270000}"/>
    <cellStyle name="Normal 10 6 5 2 4" xfId="19823" xr:uid="{00000000-0005-0000-0000-00005F270000}"/>
    <cellStyle name="Normal 10 6 5 2 4 2" xfId="43169" xr:uid="{00000000-0005-0000-0000-000060270000}"/>
    <cellStyle name="Normal 10 6 5 2 5" xfId="19824" xr:uid="{00000000-0005-0000-0000-000061270000}"/>
    <cellStyle name="Normal 10 6 5 2 5 2" xfId="43170" xr:uid="{00000000-0005-0000-0000-000062270000}"/>
    <cellStyle name="Normal 10 6 5 2 6" xfId="19825" xr:uid="{00000000-0005-0000-0000-000063270000}"/>
    <cellStyle name="Normal 10 6 5 2 6 2" xfId="43171" xr:uid="{00000000-0005-0000-0000-000064270000}"/>
    <cellStyle name="Normal 10 6 5 2 7" xfId="41423" xr:uid="{00000000-0005-0000-0000-000065270000}"/>
    <cellStyle name="Normal 10 6 5 3" xfId="19826" xr:uid="{00000000-0005-0000-0000-000066270000}"/>
    <cellStyle name="Normal 10 6 5 3 2" xfId="19827" xr:uid="{00000000-0005-0000-0000-000067270000}"/>
    <cellStyle name="Normal 10 6 5 3 2 2" xfId="43173" xr:uid="{00000000-0005-0000-0000-000068270000}"/>
    <cellStyle name="Normal 10 6 5 3 3" xfId="19828" xr:uid="{00000000-0005-0000-0000-000069270000}"/>
    <cellStyle name="Normal 10 6 5 3 3 2" xfId="43174" xr:uid="{00000000-0005-0000-0000-00006A270000}"/>
    <cellStyle name="Normal 10 6 5 3 4" xfId="43172" xr:uid="{00000000-0005-0000-0000-00006B270000}"/>
    <cellStyle name="Normal 10 6 5 4" xfId="19829" xr:uid="{00000000-0005-0000-0000-00006C270000}"/>
    <cellStyle name="Normal 10 6 5 4 2" xfId="19830" xr:uid="{00000000-0005-0000-0000-00006D270000}"/>
    <cellStyle name="Normal 10 6 5 4 2 2" xfId="43176" xr:uid="{00000000-0005-0000-0000-00006E270000}"/>
    <cellStyle name="Normal 10 6 5 4 3" xfId="43175" xr:uid="{00000000-0005-0000-0000-00006F270000}"/>
    <cellStyle name="Normal 10 6 5 5" xfId="19831" xr:uid="{00000000-0005-0000-0000-000070270000}"/>
    <cellStyle name="Normal 10 6 5 5 2" xfId="43177" xr:uid="{00000000-0005-0000-0000-000071270000}"/>
    <cellStyle name="Normal 10 6 5 6" xfId="19832" xr:uid="{00000000-0005-0000-0000-000072270000}"/>
    <cellStyle name="Normal 10 6 5 6 2" xfId="43178" xr:uid="{00000000-0005-0000-0000-000073270000}"/>
    <cellStyle name="Normal 10 6 5 7" xfId="19833" xr:uid="{00000000-0005-0000-0000-000074270000}"/>
    <cellStyle name="Normal 10 6 5 7 2" xfId="43179" xr:uid="{00000000-0005-0000-0000-000075270000}"/>
    <cellStyle name="Normal 10 6 5 8" xfId="41191" xr:uid="{00000000-0005-0000-0000-000076270000}"/>
    <cellStyle name="Normal 10 6 6" xfId="17812" xr:uid="{00000000-0005-0000-0000-000077270000}"/>
    <cellStyle name="Normal 10 6 6 2" xfId="19834" xr:uid="{00000000-0005-0000-0000-000078270000}"/>
    <cellStyle name="Normal 10 6 6 2 2" xfId="19835" xr:uid="{00000000-0005-0000-0000-000079270000}"/>
    <cellStyle name="Normal 10 6 6 2 2 2" xfId="43181" xr:uid="{00000000-0005-0000-0000-00007A270000}"/>
    <cellStyle name="Normal 10 6 6 2 3" xfId="19836" xr:uid="{00000000-0005-0000-0000-00007B270000}"/>
    <cellStyle name="Normal 10 6 6 2 3 2" xfId="43182" xr:uid="{00000000-0005-0000-0000-00007C270000}"/>
    <cellStyle name="Normal 10 6 6 2 4" xfId="43180" xr:uid="{00000000-0005-0000-0000-00007D270000}"/>
    <cellStyle name="Normal 10 6 6 3" xfId="19837" xr:uid="{00000000-0005-0000-0000-00007E270000}"/>
    <cellStyle name="Normal 10 6 6 3 2" xfId="19838" xr:uid="{00000000-0005-0000-0000-00007F270000}"/>
    <cellStyle name="Normal 10 6 6 3 2 2" xfId="43184" xr:uid="{00000000-0005-0000-0000-000080270000}"/>
    <cellStyle name="Normal 10 6 6 3 3" xfId="43183" xr:uid="{00000000-0005-0000-0000-000081270000}"/>
    <cellStyle name="Normal 10 6 6 4" xfId="19839" xr:uid="{00000000-0005-0000-0000-000082270000}"/>
    <cellStyle name="Normal 10 6 6 4 2" xfId="43185" xr:uid="{00000000-0005-0000-0000-000083270000}"/>
    <cellStyle name="Normal 10 6 6 5" xfId="19840" xr:uid="{00000000-0005-0000-0000-000084270000}"/>
    <cellStyle name="Normal 10 6 6 5 2" xfId="43186" xr:uid="{00000000-0005-0000-0000-000085270000}"/>
    <cellStyle name="Normal 10 6 6 6" xfId="19841" xr:uid="{00000000-0005-0000-0000-000086270000}"/>
    <cellStyle name="Normal 10 6 6 6 2" xfId="43187" xr:uid="{00000000-0005-0000-0000-000087270000}"/>
    <cellStyle name="Normal 10 6 6 7" xfId="41272" xr:uid="{00000000-0005-0000-0000-000088270000}"/>
    <cellStyle name="Normal 10 6 7" xfId="19842" xr:uid="{00000000-0005-0000-0000-000089270000}"/>
    <cellStyle name="Normal 10 6 7 2" xfId="19843" xr:uid="{00000000-0005-0000-0000-00008A270000}"/>
    <cellStyle name="Normal 10 6 7 2 2" xfId="43189" xr:uid="{00000000-0005-0000-0000-00008B270000}"/>
    <cellStyle name="Normal 10 6 7 3" xfId="19844" xr:uid="{00000000-0005-0000-0000-00008C270000}"/>
    <cellStyle name="Normal 10 6 7 3 2" xfId="43190" xr:uid="{00000000-0005-0000-0000-00008D270000}"/>
    <cellStyle name="Normal 10 6 7 4" xfId="43188" xr:uid="{00000000-0005-0000-0000-00008E270000}"/>
    <cellStyle name="Normal 10 6 8" xfId="19845" xr:uid="{00000000-0005-0000-0000-00008F270000}"/>
    <cellStyle name="Normal 10 6 8 2" xfId="19846" xr:uid="{00000000-0005-0000-0000-000090270000}"/>
    <cellStyle name="Normal 10 6 8 2 2" xfId="43192" xr:uid="{00000000-0005-0000-0000-000091270000}"/>
    <cellStyle name="Normal 10 6 8 3" xfId="43191" xr:uid="{00000000-0005-0000-0000-000092270000}"/>
    <cellStyle name="Normal 10 6 9" xfId="19847" xr:uid="{00000000-0005-0000-0000-000093270000}"/>
    <cellStyle name="Normal 10 6 9 2" xfId="43193" xr:uid="{00000000-0005-0000-0000-000094270000}"/>
    <cellStyle name="Normal 10 7" xfId="76" xr:uid="{00000000-0005-0000-0000-000095270000}"/>
    <cellStyle name="Normal 10 7 10" xfId="23656" xr:uid="{00000000-0005-0000-0000-000096270000}"/>
    <cellStyle name="Normal 10 7 2" xfId="3350" xr:uid="{00000000-0005-0000-0000-000097270000}"/>
    <cellStyle name="Normal 10 7 2 2" xfId="17901" xr:uid="{00000000-0005-0000-0000-000098270000}"/>
    <cellStyle name="Normal 10 7 2 2 2" xfId="19848" xr:uid="{00000000-0005-0000-0000-000099270000}"/>
    <cellStyle name="Normal 10 7 2 2 2 2" xfId="19849" xr:uid="{00000000-0005-0000-0000-00009A270000}"/>
    <cellStyle name="Normal 10 7 2 2 2 2 2" xfId="43195" xr:uid="{00000000-0005-0000-0000-00009B270000}"/>
    <cellStyle name="Normal 10 7 2 2 2 3" xfId="19850" xr:uid="{00000000-0005-0000-0000-00009C270000}"/>
    <cellStyle name="Normal 10 7 2 2 2 3 2" xfId="43196" xr:uid="{00000000-0005-0000-0000-00009D270000}"/>
    <cellStyle name="Normal 10 7 2 2 2 4" xfId="43194" xr:uid="{00000000-0005-0000-0000-00009E270000}"/>
    <cellStyle name="Normal 10 7 2 2 3" xfId="19851" xr:uid="{00000000-0005-0000-0000-00009F270000}"/>
    <cellStyle name="Normal 10 7 2 2 3 2" xfId="19852" xr:uid="{00000000-0005-0000-0000-0000A0270000}"/>
    <cellStyle name="Normal 10 7 2 2 3 2 2" xfId="43198" xr:uid="{00000000-0005-0000-0000-0000A1270000}"/>
    <cellStyle name="Normal 10 7 2 2 3 3" xfId="43197" xr:uid="{00000000-0005-0000-0000-0000A2270000}"/>
    <cellStyle name="Normal 10 7 2 2 4" xfId="19853" xr:uid="{00000000-0005-0000-0000-0000A3270000}"/>
    <cellStyle name="Normal 10 7 2 2 4 2" xfId="43199" xr:uid="{00000000-0005-0000-0000-0000A4270000}"/>
    <cellStyle name="Normal 10 7 2 2 5" xfId="19854" xr:uid="{00000000-0005-0000-0000-0000A5270000}"/>
    <cellStyle name="Normal 10 7 2 2 5 2" xfId="43200" xr:uid="{00000000-0005-0000-0000-0000A6270000}"/>
    <cellStyle name="Normal 10 7 2 2 6" xfId="19855" xr:uid="{00000000-0005-0000-0000-0000A7270000}"/>
    <cellStyle name="Normal 10 7 2 2 6 2" xfId="43201" xr:uid="{00000000-0005-0000-0000-0000A8270000}"/>
    <cellStyle name="Normal 10 7 2 2 7" xfId="41361" xr:uid="{00000000-0005-0000-0000-0000A9270000}"/>
    <cellStyle name="Normal 10 7 2 3" xfId="19856" xr:uid="{00000000-0005-0000-0000-0000AA270000}"/>
    <cellStyle name="Normal 10 7 2 3 2" xfId="19857" xr:uid="{00000000-0005-0000-0000-0000AB270000}"/>
    <cellStyle name="Normal 10 7 2 3 2 2" xfId="43203" xr:uid="{00000000-0005-0000-0000-0000AC270000}"/>
    <cellStyle name="Normal 10 7 2 3 3" xfId="19858" xr:uid="{00000000-0005-0000-0000-0000AD270000}"/>
    <cellStyle name="Normal 10 7 2 3 3 2" xfId="43204" xr:uid="{00000000-0005-0000-0000-0000AE270000}"/>
    <cellStyle name="Normal 10 7 2 3 4" xfId="43202" xr:uid="{00000000-0005-0000-0000-0000AF270000}"/>
    <cellStyle name="Normal 10 7 2 4" xfId="19859" xr:uid="{00000000-0005-0000-0000-0000B0270000}"/>
    <cellStyle name="Normal 10 7 2 4 2" xfId="19860" xr:uid="{00000000-0005-0000-0000-0000B1270000}"/>
    <cellStyle name="Normal 10 7 2 4 2 2" xfId="43206" xr:uid="{00000000-0005-0000-0000-0000B2270000}"/>
    <cellStyle name="Normal 10 7 2 4 3" xfId="43205" xr:uid="{00000000-0005-0000-0000-0000B3270000}"/>
    <cellStyle name="Normal 10 7 2 5" xfId="19861" xr:uid="{00000000-0005-0000-0000-0000B4270000}"/>
    <cellStyle name="Normal 10 7 2 5 2" xfId="43207" xr:uid="{00000000-0005-0000-0000-0000B5270000}"/>
    <cellStyle name="Normal 10 7 2 6" xfId="19862" xr:uid="{00000000-0005-0000-0000-0000B6270000}"/>
    <cellStyle name="Normal 10 7 2 6 2" xfId="43208" xr:uid="{00000000-0005-0000-0000-0000B7270000}"/>
    <cellStyle name="Normal 10 7 2 7" xfId="19863" xr:uid="{00000000-0005-0000-0000-0000B8270000}"/>
    <cellStyle name="Normal 10 7 2 7 2" xfId="43209" xr:uid="{00000000-0005-0000-0000-0000B9270000}"/>
    <cellStyle name="Normal 10 7 2 8" xfId="26863" xr:uid="{00000000-0005-0000-0000-0000BA270000}"/>
    <cellStyle name="Normal 10 7 3" xfId="17752" xr:uid="{00000000-0005-0000-0000-0000BB270000}"/>
    <cellStyle name="Normal 10 7 3 2" xfId="17986" xr:uid="{00000000-0005-0000-0000-0000BC270000}"/>
    <cellStyle name="Normal 10 7 3 2 2" xfId="19864" xr:uid="{00000000-0005-0000-0000-0000BD270000}"/>
    <cellStyle name="Normal 10 7 3 2 2 2" xfId="19865" xr:uid="{00000000-0005-0000-0000-0000BE270000}"/>
    <cellStyle name="Normal 10 7 3 2 2 2 2" xfId="43211" xr:uid="{00000000-0005-0000-0000-0000BF270000}"/>
    <cellStyle name="Normal 10 7 3 2 2 3" xfId="19866" xr:uid="{00000000-0005-0000-0000-0000C0270000}"/>
    <cellStyle name="Normal 10 7 3 2 2 3 2" xfId="43212" xr:uid="{00000000-0005-0000-0000-0000C1270000}"/>
    <cellStyle name="Normal 10 7 3 2 2 4" xfId="43210" xr:uid="{00000000-0005-0000-0000-0000C2270000}"/>
    <cellStyle name="Normal 10 7 3 2 3" xfId="19867" xr:uid="{00000000-0005-0000-0000-0000C3270000}"/>
    <cellStyle name="Normal 10 7 3 2 3 2" xfId="19868" xr:uid="{00000000-0005-0000-0000-0000C4270000}"/>
    <cellStyle name="Normal 10 7 3 2 3 2 2" xfId="43214" xr:uid="{00000000-0005-0000-0000-0000C5270000}"/>
    <cellStyle name="Normal 10 7 3 2 3 3" xfId="43213" xr:uid="{00000000-0005-0000-0000-0000C6270000}"/>
    <cellStyle name="Normal 10 7 3 2 4" xfId="19869" xr:uid="{00000000-0005-0000-0000-0000C7270000}"/>
    <cellStyle name="Normal 10 7 3 2 4 2" xfId="43215" xr:uid="{00000000-0005-0000-0000-0000C8270000}"/>
    <cellStyle name="Normal 10 7 3 2 5" xfId="19870" xr:uid="{00000000-0005-0000-0000-0000C9270000}"/>
    <cellStyle name="Normal 10 7 3 2 5 2" xfId="43216" xr:uid="{00000000-0005-0000-0000-0000CA270000}"/>
    <cellStyle name="Normal 10 7 3 2 6" xfId="19871" xr:uid="{00000000-0005-0000-0000-0000CB270000}"/>
    <cellStyle name="Normal 10 7 3 2 6 2" xfId="43217" xr:uid="{00000000-0005-0000-0000-0000CC270000}"/>
    <cellStyle name="Normal 10 7 3 2 7" xfId="41446" xr:uid="{00000000-0005-0000-0000-0000CD270000}"/>
    <cellStyle name="Normal 10 7 3 3" xfId="19872" xr:uid="{00000000-0005-0000-0000-0000CE270000}"/>
    <cellStyle name="Normal 10 7 3 3 2" xfId="19873" xr:uid="{00000000-0005-0000-0000-0000CF270000}"/>
    <cellStyle name="Normal 10 7 3 3 2 2" xfId="43219" xr:uid="{00000000-0005-0000-0000-0000D0270000}"/>
    <cellStyle name="Normal 10 7 3 3 3" xfId="19874" xr:uid="{00000000-0005-0000-0000-0000D1270000}"/>
    <cellStyle name="Normal 10 7 3 3 3 2" xfId="43220" xr:uid="{00000000-0005-0000-0000-0000D2270000}"/>
    <cellStyle name="Normal 10 7 3 3 4" xfId="43218" xr:uid="{00000000-0005-0000-0000-0000D3270000}"/>
    <cellStyle name="Normal 10 7 3 4" xfId="19875" xr:uid="{00000000-0005-0000-0000-0000D4270000}"/>
    <cellStyle name="Normal 10 7 3 4 2" xfId="19876" xr:uid="{00000000-0005-0000-0000-0000D5270000}"/>
    <cellStyle name="Normal 10 7 3 4 2 2" xfId="43222" xr:uid="{00000000-0005-0000-0000-0000D6270000}"/>
    <cellStyle name="Normal 10 7 3 4 3" xfId="43221" xr:uid="{00000000-0005-0000-0000-0000D7270000}"/>
    <cellStyle name="Normal 10 7 3 5" xfId="19877" xr:uid="{00000000-0005-0000-0000-0000D8270000}"/>
    <cellStyle name="Normal 10 7 3 5 2" xfId="43223" xr:uid="{00000000-0005-0000-0000-0000D9270000}"/>
    <cellStyle name="Normal 10 7 3 6" xfId="19878" xr:uid="{00000000-0005-0000-0000-0000DA270000}"/>
    <cellStyle name="Normal 10 7 3 6 2" xfId="43224" xr:uid="{00000000-0005-0000-0000-0000DB270000}"/>
    <cellStyle name="Normal 10 7 3 7" xfId="19879" xr:uid="{00000000-0005-0000-0000-0000DC270000}"/>
    <cellStyle name="Normal 10 7 3 7 2" xfId="43225" xr:uid="{00000000-0005-0000-0000-0000DD270000}"/>
    <cellStyle name="Normal 10 7 3 8" xfId="41212" xr:uid="{00000000-0005-0000-0000-0000DE270000}"/>
    <cellStyle name="Normal 10 7 4" xfId="17824" xr:uid="{00000000-0005-0000-0000-0000DF270000}"/>
    <cellStyle name="Normal 10 7 4 2" xfId="19880" xr:uid="{00000000-0005-0000-0000-0000E0270000}"/>
    <cellStyle name="Normal 10 7 4 2 2" xfId="19881" xr:uid="{00000000-0005-0000-0000-0000E1270000}"/>
    <cellStyle name="Normal 10 7 4 2 2 2" xfId="43227" xr:uid="{00000000-0005-0000-0000-0000E2270000}"/>
    <cellStyle name="Normal 10 7 4 2 3" xfId="19882" xr:uid="{00000000-0005-0000-0000-0000E3270000}"/>
    <cellStyle name="Normal 10 7 4 2 3 2" xfId="43228" xr:uid="{00000000-0005-0000-0000-0000E4270000}"/>
    <cellStyle name="Normal 10 7 4 2 4" xfId="43226" xr:uid="{00000000-0005-0000-0000-0000E5270000}"/>
    <cellStyle name="Normal 10 7 4 3" xfId="19883" xr:uid="{00000000-0005-0000-0000-0000E6270000}"/>
    <cellStyle name="Normal 10 7 4 3 2" xfId="19884" xr:uid="{00000000-0005-0000-0000-0000E7270000}"/>
    <cellStyle name="Normal 10 7 4 3 2 2" xfId="43230" xr:uid="{00000000-0005-0000-0000-0000E8270000}"/>
    <cellStyle name="Normal 10 7 4 3 3" xfId="43229" xr:uid="{00000000-0005-0000-0000-0000E9270000}"/>
    <cellStyle name="Normal 10 7 4 4" xfId="19885" xr:uid="{00000000-0005-0000-0000-0000EA270000}"/>
    <cellStyle name="Normal 10 7 4 4 2" xfId="43231" xr:uid="{00000000-0005-0000-0000-0000EB270000}"/>
    <cellStyle name="Normal 10 7 4 5" xfId="19886" xr:uid="{00000000-0005-0000-0000-0000EC270000}"/>
    <cellStyle name="Normal 10 7 4 5 2" xfId="43232" xr:uid="{00000000-0005-0000-0000-0000ED270000}"/>
    <cellStyle name="Normal 10 7 4 6" xfId="19887" xr:uid="{00000000-0005-0000-0000-0000EE270000}"/>
    <cellStyle name="Normal 10 7 4 6 2" xfId="43233" xr:uid="{00000000-0005-0000-0000-0000EF270000}"/>
    <cellStyle name="Normal 10 7 4 7" xfId="41284" xr:uid="{00000000-0005-0000-0000-0000F0270000}"/>
    <cellStyle name="Normal 10 7 5" xfId="19888" xr:uid="{00000000-0005-0000-0000-0000F1270000}"/>
    <cellStyle name="Normal 10 7 5 2" xfId="19889" xr:uid="{00000000-0005-0000-0000-0000F2270000}"/>
    <cellStyle name="Normal 10 7 5 2 2" xfId="43235" xr:uid="{00000000-0005-0000-0000-0000F3270000}"/>
    <cellStyle name="Normal 10 7 5 3" xfId="19890" xr:uid="{00000000-0005-0000-0000-0000F4270000}"/>
    <cellStyle name="Normal 10 7 5 3 2" xfId="43236" xr:uid="{00000000-0005-0000-0000-0000F5270000}"/>
    <cellStyle name="Normal 10 7 5 4" xfId="43234" xr:uid="{00000000-0005-0000-0000-0000F6270000}"/>
    <cellStyle name="Normal 10 7 6" xfId="19891" xr:uid="{00000000-0005-0000-0000-0000F7270000}"/>
    <cellStyle name="Normal 10 7 6 2" xfId="19892" xr:uid="{00000000-0005-0000-0000-0000F8270000}"/>
    <cellStyle name="Normal 10 7 6 2 2" xfId="43238" xr:uid="{00000000-0005-0000-0000-0000F9270000}"/>
    <cellStyle name="Normal 10 7 6 3" xfId="43237" xr:uid="{00000000-0005-0000-0000-0000FA270000}"/>
    <cellStyle name="Normal 10 7 7" xfId="19893" xr:uid="{00000000-0005-0000-0000-0000FB270000}"/>
    <cellStyle name="Normal 10 7 7 2" xfId="43239" xr:uid="{00000000-0005-0000-0000-0000FC270000}"/>
    <cellStyle name="Normal 10 7 8" xfId="19894" xr:uid="{00000000-0005-0000-0000-0000FD270000}"/>
    <cellStyle name="Normal 10 7 8 2" xfId="43240" xr:uid="{00000000-0005-0000-0000-0000FE270000}"/>
    <cellStyle name="Normal 10 7 9" xfId="19895" xr:uid="{00000000-0005-0000-0000-0000FF270000}"/>
    <cellStyle name="Normal 10 7 9 2" xfId="43241" xr:uid="{00000000-0005-0000-0000-000000280000}"/>
    <cellStyle name="Normal 10 8" xfId="3351" xr:uid="{00000000-0005-0000-0000-000001280000}"/>
    <cellStyle name="Normal 10 8 10" xfId="26864" xr:uid="{00000000-0005-0000-0000-000002280000}"/>
    <cellStyle name="Normal 10 8 2" xfId="3352" xr:uid="{00000000-0005-0000-0000-000003280000}"/>
    <cellStyle name="Normal 10 8 2 2" xfId="17926" xr:uid="{00000000-0005-0000-0000-000004280000}"/>
    <cellStyle name="Normal 10 8 2 2 2" xfId="19896" xr:uid="{00000000-0005-0000-0000-000005280000}"/>
    <cellStyle name="Normal 10 8 2 2 2 2" xfId="19897" xr:uid="{00000000-0005-0000-0000-000006280000}"/>
    <cellStyle name="Normal 10 8 2 2 2 2 2" xfId="43243" xr:uid="{00000000-0005-0000-0000-000007280000}"/>
    <cellStyle name="Normal 10 8 2 2 2 3" xfId="19898" xr:uid="{00000000-0005-0000-0000-000008280000}"/>
    <cellStyle name="Normal 10 8 2 2 2 3 2" xfId="43244" xr:uid="{00000000-0005-0000-0000-000009280000}"/>
    <cellStyle name="Normal 10 8 2 2 2 4" xfId="43242" xr:uid="{00000000-0005-0000-0000-00000A280000}"/>
    <cellStyle name="Normal 10 8 2 2 3" xfId="19899" xr:uid="{00000000-0005-0000-0000-00000B280000}"/>
    <cellStyle name="Normal 10 8 2 2 3 2" xfId="19900" xr:uid="{00000000-0005-0000-0000-00000C280000}"/>
    <cellStyle name="Normal 10 8 2 2 3 2 2" xfId="43246" xr:uid="{00000000-0005-0000-0000-00000D280000}"/>
    <cellStyle name="Normal 10 8 2 2 3 3" xfId="43245" xr:uid="{00000000-0005-0000-0000-00000E280000}"/>
    <cellStyle name="Normal 10 8 2 2 4" xfId="19901" xr:uid="{00000000-0005-0000-0000-00000F280000}"/>
    <cellStyle name="Normal 10 8 2 2 4 2" xfId="43247" xr:uid="{00000000-0005-0000-0000-000010280000}"/>
    <cellStyle name="Normal 10 8 2 2 5" xfId="19902" xr:uid="{00000000-0005-0000-0000-000011280000}"/>
    <cellStyle name="Normal 10 8 2 2 5 2" xfId="43248" xr:uid="{00000000-0005-0000-0000-000012280000}"/>
    <cellStyle name="Normal 10 8 2 2 6" xfId="19903" xr:uid="{00000000-0005-0000-0000-000013280000}"/>
    <cellStyle name="Normal 10 8 2 2 6 2" xfId="43249" xr:uid="{00000000-0005-0000-0000-000014280000}"/>
    <cellStyle name="Normal 10 8 2 2 7" xfId="41386" xr:uid="{00000000-0005-0000-0000-000015280000}"/>
    <cellStyle name="Normal 10 8 2 3" xfId="19904" xr:uid="{00000000-0005-0000-0000-000016280000}"/>
    <cellStyle name="Normal 10 8 2 3 2" xfId="19905" xr:uid="{00000000-0005-0000-0000-000017280000}"/>
    <cellStyle name="Normal 10 8 2 3 2 2" xfId="43251" xr:uid="{00000000-0005-0000-0000-000018280000}"/>
    <cellStyle name="Normal 10 8 2 3 3" xfId="19906" xr:uid="{00000000-0005-0000-0000-000019280000}"/>
    <cellStyle name="Normal 10 8 2 3 3 2" xfId="43252" xr:uid="{00000000-0005-0000-0000-00001A280000}"/>
    <cellStyle name="Normal 10 8 2 3 4" xfId="43250" xr:uid="{00000000-0005-0000-0000-00001B280000}"/>
    <cellStyle name="Normal 10 8 2 4" xfId="19907" xr:uid="{00000000-0005-0000-0000-00001C280000}"/>
    <cellStyle name="Normal 10 8 2 4 2" xfId="19908" xr:uid="{00000000-0005-0000-0000-00001D280000}"/>
    <cellStyle name="Normal 10 8 2 4 2 2" xfId="43254" xr:uid="{00000000-0005-0000-0000-00001E280000}"/>
    <cellStyle name="Normal 10 8 2 4 3" xfId="43253" xr:uid="{00000000-0005-0000-0000-00001F280000}"/>
    <cellStyle name="Normal 10 8 2 5" xfId="19909" xr:uid="{00000000-0005-0000-0000-000020280000}"/>
    <cellStyle name="Normal 10 8 2 5 2" xfId="43255" xr:uid="{00000000-0005-0000-0000-000021280000}"/>
    <cellStyle name="Normal 10 8 2 6" xfId="19910" xr:uid="{00000000-0005-0000-0000-000022280000}"/>
    <cellStyle name="Normal 10 8 2 6 2" xfId="43256" xr:uid="{00000000-0005-0000-0000-000023280000}"/>
    <cellStyle name="Normal 10 8 2 7" xfId="19911" xr:uid="{00000000-0005-0000-0000-000024280000}"/>
    <cellStyle name="Normal 10 8 2 7 2" xfId="43257" xr:uid="{00000000-0005-0000-0000-000025280000}"/>
    <cellStyle name="Normal 10 8 2 8" xfId="26865" xr:uid="{00000000-0005-0000-0000-000026280000}"/>
    <cellStyle name="Normal 10 8 3" xfId="17780" xr:uid="{00000000-0005-0000-0000-000027280000}"/>
    <cellStyle name="Normal 10 8 3 2" xfId="18016" xr:uid="{00000000-0005-0000-0000-000028280000}"/>
    <cellStyle name="Normal 10 8 3 2 2" xfId="19912" xr:uid="{00000000-0005-0000-0000-000029280000}"/>
    <cellStyle name="Normal 10 8 3 2 2 2" xfId="19913" xr:uid="{00000000-0005-0000-0000-00002A280000}"/>
    <cellStyle name="Normal 10 8 3 2 2 2 2" xfId="43259" xr:uid="{00000000-0005-0000-0000-00002B280000}"/>
    <cellStyle name="Normal 10 8 3 2 2 3" xfId="19914" xr:uid="{00000000-0005-0000-0000-00002C280000}"/>
    <cellStyle name="Normal 10 8 3 2 2 3 2" xfId="43260" xr:uid="{00000000-0005-0000-0000-00002D280000}"/>
    <cellStyle name="Normal 10 8 3 2 2 4" xfId="43258" xr:uid="{00000000-0005-0000-0000-00002E280000}"/>
    <cellStyle name="Normal 10 8 3 2 3" xfId="19915" xr:uid="{00000000-0005-0000-0000-00002F280000}"/>
    <cellStyle name="Normal 10 8 3 2 3 2" xfId="19916" xr:uid="{00000000-0005-0000-0000-000030280000}"/>
    <cellStyle name="Normal 10 8 3 2 3 2 2" xfId="43262" xr:uid="{00000000-0005-0000-0000-000031280000}"/>
    <cellStyle name="Normal 10 8 3 2 3 3" xfId="43261" xr:uid="{00000000-0005-0000-0000-000032280000}"/>
    <cellStyle name="Normal 10 8 3 2 4" xfId="19917" xr:uid="{00000000-0005-0000-0000-000033280000}"/>
    <cellStyle name="Normal 10 8 3 2 4 2" xfId="43263" xr:uid="{00000000-0005-0000-0000-000034280000}"/>
    <cellStyle name="Normal 10 8 3 2 5" xfId="19918" xr:uid="{00000000-0005-0000-0000-000035280000}"/>
    <cellStyle name="Normal 10 8 3 2 5 2" xfId="43264" xr:uid="{00000000-0005-0000-0000-000036280000}"/>
    <cellStyle name="Normal 10 8 3 2 6" xfId="19919" xr:uid="{00000000-0005-0000-0000-000037280000}"/>
    <cellStyle name="Normal 10 8 3 2 6 2" xfId="43265" xr:uid="{00000000-0005-0000-0000-000038280000}"/>
    <cellStyle name="Normal 10 8 3 2 7" xfId="41476" xr:uid="{00000000-0005-0000-0000-000039280000}"/>
    <cellStyle name="Normal 10 8 3 3" xfId="19920" xr:uid="{00000000-0005-0000-0000-00003A280000}"/>
    <cellStyle name="Normal 10 8 3 3 2" xfId="19921" xr:uid="{00000000-0005-0000-0000-00003B280000}"/>
    <cellStyle name="Normal 10 8 3 3 2 2" xfId="43267" xr:uid="{00000000-0005-0000-0000-00003C280000}"/>
    <cellStyle name="Normal 10 8 3 3 3" xfId="19922" xr:uid="{00000000-0005-0000-0000-00003D280000}"/>
    <cellStyle name="Normal 10 8 3 3 3 2" xfId="43268" xr:uid="{00000000-0005-0000-0000-00003E280000}"/>
    <cellStyle name="Normal 10 8 3 3 4" xfId="43266" xr:uid="{00000000-0005-0000-0000-00003F280000}"/>
    <cellStyle name="Normal 10 8 3 4" xfId="19923" xr:uid="{00000000-0005-0000-0000-000040280000}"/>
    <cellStyle name="Normal 10 8 3 4 2" xfId="19924" xr:uid="{00000000-0005-0000-0000-000041280000}"/>
    <cellStyle name="Normal 10 8 3 4 2 2" xfId="43270" xr:uid="{00000000-0005-0000-0000-000042280000}"/>
    <cellStyle name="Normal 10 8 3 4 3" xfId="43269" xr:uid="{00000000-0005-0000-0000-000043280000}"/>
    <cellStyle name="Normal 10 8 3 5" xfId="19925" xr:uid="{00000000-0005-0000-0000-000044280000}"/>
    <cellStyle name="Normal 10 8 3 5 2" xfId="43271" xr:uid="{00000000-0005-0000-0000-000045280000}"/>
    <cellStyle name="Normal 10 8 3 6" xfId="19926" xr:uid="{00000000-0005-0000-0000-000046280000}"/>
    <cellStyle name="Normal 10 8 3 6 2" xfId="43272" xr:uid="{00000000-0005-0000-0000-000047280000}"/>
    <cellStyle name="Normal 10 8 3 7" xfId="19927" xr:uid="{00000000-0005-0000-0000-000048280000}"/>
    <cellStyle name="Normal 10 8 3 7 2" xfId="43273" xr:uid="{00000000-0005-0000-0000-000049280000}"/>
    <cellStyle name="Normal 10 8 3 8" xfId="41240" xr:uid="{00000000-0005-0000-0000-00004A280000}"/>
    <cellStyle name="Normal 10 8 4" xfId="17852" xr:uid="{00000000-0005-0000-0000-00004B280000}"/>
    <cellStyle name="Normal 10 8 4 2" xfId="19928" xr:uid="{00000000-0005-0000-0000-00004C280000}"/>
    <cellStyle name="Normal 10 8 4 2 2" xfId="19929" xr:uid="{00000000-0005-0000-0000-00004D280000}"/>
    <cellStyle name="Normal 10 8 4 2 2 2" xfId="43275" xr:uid="{00000000-0005-0000-0000-00004E280000}"/>
    <cellStyle name="Normal 10 8 4 2 3" xfId="19930" xr:uid="{00000000-0005-0000-0000-00004F280000}"/>
    <cellStyle name="Normal 10 8 4 2 3 2" xfId="43276" xr:uid="{00000000-0005-0000-0000-000050280000}"/>
    <cellStyle name="Normal 10 8 4 2 4" xfId="43274" xr:uid="{00000000-0005-0000-0000-000051280000}"/>
    <cellStyle name="Normal 10 8 4 3" xfId="19931" xr:uid="{00000000-0005-0000-0000-000052280000}"/>
    <cellStyle name="Normal 10 8 4 3 2" xfId="19932" xr:uid="{00000000-0005-0000-0000-000053280000}"/>
    <cellStyle name="Normal 10 8 4 3 2 2" xfId="43278" xr:uid="{00000000-0005-0000-0000-000054280000}"/>
    <cellStyle name="Normal 10 8 4 3 3" xfId="43277" xr:uid="{00000000-0005-0000-0000-000055280000}"/>
    <cellStyle name="Normal 10 8 4 4" xfId="19933" xr:uid="{00000000-0005-0000-0000-000056280000}"/>
    <cellStyle name="Normal 10 8 4 4 2" xfId="43279" xr:uid="{00000000-0005-0000-0000-000057280000}"/>
    <cellStyle name="Normal 10 8 4 5" xfId="19934" xr:uid="{00000000-0005-0000-0000-000058280000}"/>
    <cellStyle name="Normal 10 8 4 5 2" xfId="43280" xr:uid="{00000000-0005-0000-0000-000059280000}"/>
    <cellStyle name="Normal 10 8 4 6" xfId="19935" xr:uid="{00000000-0005-0000-0000-00005A280000}"/>
    <cellStyle name="Normal 10 8 4 6 2" xfId="43281" xr:uid="{00000000-0005-0000-0000-00005B280000}"/>
    <cellStyle name="Normal 10 8 4 7" xfId="41312" xr:uid="{00000000-0005-0000-0000-00005C280000}"/>
    <cellStyle name="Normal 10 8 5" xfId="19936" xr:uid="{00000000-0005-0000-0000-00005D280000}"/>
    <cellStyle name="Normal 10 8 5 2" xfId="19937" xr:uid="{00000000-0005-0000-0000-00005E280000}"/>
    <cellStyle name="Normal 10 8 5 2 2" xfId="43283" xr:uid="{00000000-0005-0000-0000-00005F280000}"/>
    <cellStyle name="Normal 10 8 5 3" xfId="19938" xr:uid="{00000000-0005-0000-0000-000060280000}"/>
    <cellStyle name="Normal 10 8 5 3 2" xfId="43284" xr:uid="{00000000-0005-0000-0000-000061280000}"/>
    <cellStyle name="Normal 10 8 5 4" xfId="43282" xr:uid="{00000000-0005-0000-0000-000062280000}"/>
    <cellStyle name="Normal 10 8 6" xfId="19939" xr:uid="{00000000-0005-0000-0000-000063280000}"/>
    <cellStyle name="Normal 10 8 6 2" xfId="19940" xr:uid="{00000000-0005-0000-0000-000064280000}"/>
    <cellStyle name="Normal 10 8 6 2 2" xfId="43286" xr:uid="{00000000-0005-0000-0000-000065280000}"/>
    <cellStyle name="Normal 10 8 6 3" xfId="43285" xr:uid="{00000000-0005-0000-0000-000066280000}"/>
    <cellStyle name="Normal 10 8 7" xfId="19941" xr:uid="{00000000-0005-0000-0000-000067280000}"/>
    <cellStyle name="Normal 10 8 7 2" xfId="43287" xr:uid="{00000000-0005-0000-0000-000068280000}"/>
    <cellStyle name="Normal 10 8 8" xfId="19942" xr:uid="{00000000-0005-0000-0000-000069280000}"/>
    <cellStyle name="Normal 10 8 8 2" xfId="43288" xr:uid="{00000000-0005-0000-0000-00006A280000}"/>
    <cellStyle name="Normal 10 8 9" xfId="19943" xr:uid="{00000000-0005-0000-0000-00006B280000}"/>
    <cellStyle name="Normal 10 8 9 2" xfId="43289" xr:uid="{00000000-0005-0000-0000-00006C280000}"/>
    <cellStyle name="Normal 10 9" xfId="3201" xr:uid="{00000000-0005-0000-0000-00006D280000}"/>
    <cellStyle name="Normal 10 9 2" xfId="17877" xr:uid="{00000000-0005-0000-0000-00006E280000}"/>
    <cellStyle name="Normal 10 9 2 2" xfId="19944" xr:uid="{00000000-0005-0000-0000-00006F280000}"/>
    <cellStyle name="Normal 10 9 2 2 2" xfId="19945" xr:uid="{00000000-0005-0000-0000-000070280000}"/>
    <cellStyle name="Normal 10 9 2 2 2 2" xfId="43291" xr:uid="{00000000-0005-0000-0000-000071280000}"/>
    <cellStyle name="Normal 10 9 2 2 3" xfId="19946" xr:uid="{00000000-0005-0000-0000-000072280000}"/>
    <cellStyle name="Normal 10 9 2 2 3 2" xfId="43292" xr:uid="{00000000-0005-0000-0000-000073280000}"/>
    <cellStyle name="Normal 10 9 2 2 4" xfId="43290" xr:uid="{00000000-0005-0000-0000-000074280000}"/>
    <cellStyle name="Normal 10 9 2 3" xfId="19947" xr:uid="{00000000-0005-0000-0000-000075280000}"/>
    <cellStyle name="Normal 10 9 2 3 2" xfId="19948" xr:uid="{00000000-0005-0000-0000-000076280000}"/>
    <cellStyle name="Normal 10 9 2 3 2 2" xfId="43294" xr:uid="{00000000-0005-0000-0000-000077280000}"/>
    <cellStyle name="Normal 10 9 2 3 3" xfId="43293" xr:uid="{00000000-0005-0000-0000-000078280000}"/>
    <cellStyle name="Normal 10 9 2 4" xfId="19949" xr:uid="{00000000-0005-0000-0000-000079280000}"/>
    <cellStyle name="Normal 10 9 2 4 2" xfId="43295" xr:uid="{00000000-0005-0000-0000-00007A280000}"/>
    <cellStyle name="Normal 10 9 2 5" xfId="19950" xr:uid="{00000000-0005-0000-0000-00007B280000}"/>
    <cellStyle name="Normal 10 9 2 5 2" xfId="43296" xr:uid="{00000000-0005-0000-0000-00007C280000}"/>
    <cellStyle name="Normal 10 9 2 6" xfId="19951" xr:uid="{00000000-0005-0000-0000-00007D280000}"/>
    <cellStyle name="Normal 10 9 2 6 2" xfId="43297" xr:uid="{00000000-0005-0000-0000-00007E280000}"/>
    <cellStyle name="Normal 10 9 2 7" xfId="41337" xr:uid="{00000000-0005-0000-0000-00007F280000}"/>
    <cellStyle name="Normal 10 9 3" xfId="19952" xr:uid="{00000000-0005-0000-0000-000080280000}"/>
    <cellStyle name="Normal 10 9 3 2" xfId="19953" xr:uid="{00000000-0005-0000-0000-000081280000}"/>
    <cellStyle name="Normal 10 9 3 2 2" xfId="43299" xr:uid="{00000000-0005-0000-0000-000082280000}"/>
    <cellStyle name="Normal 10 9 3 3" xfId="19954" xr:uid="{00000000-0005-0000-0000-000083280000}"/>
    <cellStyle name="Normal 10 9 3 3 2" xfId="43300" xr:uid="{00000000-0005-0000-0000-000084280000}"/>
    <cellStyle name="Normal 10 9 3 4" xfId="43298" xr:uid="{00000000-0005-0000-0000-000085280000}"/>
    <cellStyle name="Normal 10 9 4" xfId="19955" xr:uid="{00000000-0005-0000-0000-000086280000}"/>
    <cellStyle name="Normal 10 9 4 2" xfId="19956" xr:uid="{00000000-0005-0000-0000-000087280000}"/>
    <cellStyle name="Normal 10 9 4 2 2" xfId="43302" xr:uid="{00000000-0005-0000-0000-000088280000}"/>
    <cellStyle name="Normal 10 9 4 3" xfId="43301" xr:uid="{00000000-0005-0000-0000-000089280000}"/>
    <cellStyle name="Normal 10 9 5" xfId="19957" xr:uid="{00000000-0005-0000-0000-00008A280000}"/>
    <cellStyle name="Normal 10 9 5 2" xfId="43303" xr:uid="{00000000-0005-0000-0000-00008B280000}"/>
    <cellStyle name="Normal 10 9 6" xfId="19958" xr:uid="{00000000-0005-0000-0000-00008C280000}"/>
    <cellStyle name="Normal 10 9 6 2" xfId="43304" xr:uid="{00000000-0005-0000-0000-00008D280000}"/>
    <cellStyle name="Normal 10 9 7" xfId="19959" xr:uid="{00000000-0005-0000-0000-00008E280000}"/>
    <cellStyle name="Normal 10 9 7 2" xfId="43305" xr:uid="{00000000-0005-0000-0000-00008F280000}"/>
    <cellStyle name="Normal 10 9 8" xfId="17688" xr:uid="{00000000-0005-0000-0000-000090280000}"/>
    <cellStyle name="Normal 10 9 8 2" xfId="41148" xr:uid="{00000000-0005-0000-0000-000091280000}"/>
    <cellStyle name="Normal 11" xfId="28" xr:uid="{00000000-0005-0000-0000-000092280000}"/>
    <cellStyle name="Normal 12" xfId="77" xr:uid="{00000000-0005-0000-0000-000093280000}"/>
    <cellStyle name="Normal 12 10" xfId="19960" xr:uid="{00000000-0005-0000-0000-000094280000}"/>
    <cellStyle name="Normal 12 10 2" xfId="43306" xr:uid="{00000000-0005-0000-0000-000095280000}"/>
    <cellStyle name="Normal 12 11" xfId="19961" xr:uid="{00000000-0005-0000-0000-000096280000}"/>
    <cellStyle name="Normal 12 11 2" xfId="43307" xr:uid="{00000000-0005-0000-0000-000097280000}"/>
    <cellStyle name="Normal 12 12" xfId="19962" xr:uid="{00000000-0005-0000-0000-000098280000}"/>
    <cellStyle name="Normal 12 12 2" xfId="43308" xr:uid="{00000000-0005-0000-0000-000099280000}"/>
    <cellStyle name="Normal 12 13" xfId="23657" xr:uid="{00000000-0005-0000-0000-00009A280000}"/>
    <cellStyle name="Normal 12 2" xfId="78" xr:uid="{00000000-0005-0000-0000-00009B280000}"/>
    <cellStyle name="Normal 12 2 10" xfId="19963" xr:uid="{00000000-0005-0000-0000-00009C280000}"/>
    <cellStyle name="Normal 12 2 10 2" xfId="43309" xr:uid="{00000000-0005-0000-0000-00009D280000}"/>
    <cellStyle name="Normal 12 2 11" xfId="19964" xr:uid="{00000000-0005-0000-0000-00009E280000}"/>
    <cellStyle name="Normal 12 2 11 2" xfId="43310" xr:uid="{00000000-0005-0000-0000-00009F280000}"/>
    <cellStyle name="Normal 12 2 12" xfId="23658" xr:uid="{00000000-0005-0000-0000-0000A0280000}"/>
    <cellStyle name="Normal 12 2 2" xfId="79" xr:uid="{00000000-0005-0000-0000-0000A1280000}"/>
    <cellStyle name="Normal 12 2 2 10" xfId="23659" xr:uid="{00000000-0005-0000-0000-0000A2280000}"/>
    <cellStyle name="Normal 12 2 2 2" xfId="3354" xr:uid="{00000000-0005-0000-0000-0000A3280000}"/>
    <cellStyle name="Normal 12 2 2 2 2" xfId="3355" xr:uid="{00000000-0005-0000-0000-0000A4280000}"/>
    <cellStyle name="Normal 12 2 2 2 2 2" xfId="3356" xr:uid="{00000000-0005-0000-0000-0000A5280000}"/>
    <cellStyle name="Normal 12 2 2 2 2 2 2" xfId="19965" xr:uid="{00000000-0005-0000-0000-0000A6280000}"/>
    <cellStyle name="Normal 12 2 2 2 2 2 2 2" xfId="43311" xr:uid="{00000000-0005-0000-0000-0000A7280000}"/>
    <cellStyle name="Normal 12 2 2 2 2 2 3" xfId="19966" xr:uid="{00000000-0005-0000-0000-0000A8280000}"/>
    <cellStyle name="Normal 12 2 2 2 2 2 3 2" xfId="43312" xr:uid="{00000000-0005-0000-0000-0000A9280000}"/>
    <cellStyle name="Normal 12 2 2 2 2 2 4" xfId="26868" xr:uid="{00000000-0005-0000-0000-0000AA280000}"/>
    <cellStyle name="Normal 12 2 2 2 2 3" xfId="19967" xr:uid="{00000000-0005-0000-0000-0000AB280000}"/>
    <cellStyle name="Normal 12 2 2 2 2 3 2" xfId="19968" xr:uid="{00000000-0005-0000-0000-0000AC280000}"/>
    <cellStyle name="Normal 12 2 2 2 2 3 2 2" xfId="43314" xr:uid="{00000000-0005-0000-0000-0000AD280000}"/>
    <cellStyle name="Normal 12 2 2 2 2 3 3" xfId="43313" xr:uid="{00000000-0005-0000-0000-0000AE280000}"/>
    <cellStyle name="Normal 12 2 2 2 2 4" xfId="19969" xr:uid="{00000000-0005-0000-0000-0000AF280000}"/>
    <cellStyle name="Normal 12 2 2 2 2 4 2" xfId="43315" xr:uid="{00000000-0005-0000-0000-0000B0280000}"/>
    <cellStyle name="Normal 12 2 2 2 2 5" xfId="19970" xr:uid="{00000000-0005-0000-0000-0000B1280000}"/>
    <cellStyle name="Normal 12 2 2 2 2 5 2" xfId="43316" xr:uid="{00000000-0005-0000-0000-0000B2280000}"/>
    <cellStyle name="Normal 12 2 2 2 2 6" xfId="19971" xr:uid="{00000000-0005-0000-0000-0000B3280000}"/>
    <cellStyle name="Normal 12 2 2 2 2 6 2" xfId="43317" xr:uid="{00000000-0005-0000-0000-0000B4280000}"/>
    <cellStyle name="Normal 12 2 2 2 2 7" xfId="26867" xr:uid="{00000000-0005-0000-0000-0000B5280000}"/>
    <cellStyle name="Normal 12 2 2 2 3" xfId="3357" xr:uid="{00000000-0005-0000-0000-0000B6280000}"/>
    <cellStyle name="Normal 12 2 2 2 3 2" xfId="19972" xr:uid="{00000000-0005-0000-0000-0000B7280000}"/>
    <cellStyle name="Normal 12 2 2 2 3 2 2" xfId="43318" xr:uid="{00000000-0005-0000-0000-0000B8280000}"/>
    <cellStyle name="Normal 12 2 2 2 3 3" xfId="19973" xr:uid="{00000000-0005-0000-0000-0000B9280000}"/>
    <cellStyle name="Normal 12 2 2 2 3 3 2" xfId="43319" xr:uid="{00000000-0005-0000-0000-0000BA280000}"/>
    <cellStyle name="Normal 12 2 2 2 3 4" xfId="26869" xr:uid="{00000000-0005-0000-0000-0000BB280000}"/>
    <cellStyle name="Normal 12 2 2 2 4" xfId="19974" xr:uid="{00000000-0005-0000-0000-0000BC280000}"/>
    <cellStyle name="Normal 12 2 2 2 4 2" xfId="19975" xr:uid="{00000000-0005-0000-0000-0000BD280000}"/>
    <cellStyle name="Normal 12 2 2 2 4 2 2" xfId="43321" xr:uid="{00000000-0005-0000-0000-0000BE280000}"/>
    <cellStyle name="Normal 12 2 2 2 4 3" xfId="43320" xr:uid="{00000000-0005-0000-0000-0000BF280000}"/>
    <cellStyle name="Normal 12 2 2 2 5" xfId="19976" xr:uid="{00000000-0005-0000-0000-0000C0280000}"/>
    <cellStyle name="Normal 12 2 2 2 5 2" xfId="43322" xr:uid="{00000000-0005-0000-0000-0000C1280000}"/>
    <cellStyle name="Normal 12 2 2 2 6" xfId="19977" xr:uid="{00000000-0005-0000-0000-0000C2280000}"/>
    <cellStyle name="Normal 12 2 2 2 6 2" xfId="43323" xr:uid="{00000000-0005-0000-0000-0000C3280000}"/>
    <cellStyle name="Normal 12 2 2 2 7" xfId="19978" xr:uid="{00000000-0005-0000-0000-0000C4280000}"/>
    <cellStyle name="Normal 12 2 2 2 7 2" xfId="43324" xr:uid="{00000000-0005-0000-0000-0000C5280000}"/>
    <cellStyle name="Normal 12 2 2 2 8" xfId="26866" xr:uid="{00000000-0005-0000-0000-0000C6280000}"/>
    <cellStyle name="Normal 12 2 2 3" xfId="3358" xr:uid="{00000000-0005-0000-0000-0000C7280000}"/>
    <cellStyle name="Normal 12 2 2 3 2" xfId="3359" xr:uid="{00000000-0005-0000-0000-0000C8280000}"/>
    <cellStyle name="Normal 12 2 2 3 2 2" xfId="19979" xr:uid="{00000000-0005-0000-0000-0000C9280000}"/>
    <cellStyle name="Normal 12 2 2 3 2 2 2" xfId="19980" xr:uid="{00000000-0005-0000-0000-0000CA280000}"/>
    <cellStyle name="Normal 12 2 2 3 2 2 2 2" xfId="43326" xr:uid="{00000000-0005-0000-0000-0000CB280000}"/>
    <cellStyle name="Normal 12 2 2 3 2 2 3" xfId="19981" xr:uid="{00000000-0005-0000-0000-0000CC280000}"/>
    <cellStyle name="Normal 12 2 2 3 2 2 3 2" xfId="43327" xr:uid="{00000000-0005-0000-0000-0000CD280000}"/>
    <cellStyle name="Normal 12 2 2 3 2 2 4" xfId="43325" xr:uid="{00000000-0005-0000-0000-0000CE280000}"/>
    <cellStyle name="Normal 12 2 2 3 2 3" xfId="19982" xr:uid="{00000000-0005-0000-0000-0000CF280000}"/>
    <cellStyle name="Normal 12 2 2 3 2 3 2" xfId="19983" xr:uid="{00000000-0005-0000-0000-0000D0280000}"/>
    <cellStyle name="Normal 12 2 2 3 2 3 2 2" xfId="43329" xr:uid="{00000000-0005-0000-0000-0000D1280000}"/>
    <cellStyle name="Normal 12 2 2 3 2 3 3" xfId="43328" xr:uid="{00000000-0005-0000-0000-0000D2280000}"/>
    <cellStyle name="Normal 12 2 2 3 2 4" xfId="19984" xr:uid="{00000000-0005-0000-0000-0000D3280000}"/>
    <cellStyle name="Normal 12 2 2 3 2 4 2" xfId="43330" xr:uid="{00000000-0005-0000-0000-0000D4280000}"/>
    <cellStyle name="Normal 12 2 2 3 2 5" xfId="19985" xr:uid="{00000000-0005-0000-0000-0000D5280000}"/>
    <cellStyle name="Normal 12 2 2 3 2 5 2" xfId="43331" xr:uid="{00000000-0005-0000-0000-0000D6280000}"/>
    <cellStyle name="Normal 12 2 2 3 2 6" xfId="19986" xr:uid="{00000000-0005-0000-0000-0000D7280000}"/>
    <cellStyle name="Normal 12 2 2 3 2 6 2" xfId="43332" xr:uid="{00000000-0005-0000-0000-0000D8280000}"/>
    <cellStyle name="Normal 12 2 2 3 2 7" xfId="26871" xr:uid="{00000000-0005-0000-0000-0000D9280000}"/>
    <cellStyle name="Normal 12 2 2 3 3" xfId="19987" xr:uid="{00000000-0005-0000-0000-0000DA280000}"/>
    <cellStyle name="Normal 12 2 2 3 3 2" xfId="19988" xr:uid="{00000000-0005-0000-0000-0000DB280000}"/>
    <cellStyle name="Normal 12 2 2 3 3 2 2" xfId="43334" xr:uid="{00000000-0005-0000-0000-0000DC280000}"/>
    <cellStyle name="Normal 12 2 2 3 3 3" xfId="19989" xr:uid="{00000000-0005-0000-0000-0000DD280000}"/>
    <cellStyle name="Normal 12 2 2 3 3 3 2" xfId="43335" xr:uid="{00000000-0005-0000-0000-0000DE280000}"/>
    <cellStyle name="Normal 12 2 2 3 3 4" xfId="43333" xr:uid="{00000000-0005-0000-0000-0000DF280000}"/>
    <cellStyle name="Normal 12 2 2 3 4" xfId="19990" xr:uid="{00000000-0005-0000-0000-0000E0280000}"/>
    <cellStyle name="Normal 12 2 2 3 4 2" xfId="19991" xr:uid="{00000000-0005-0000-0000-0000E1280000}"/>
    <cellStyle name="Normal 12 2 2 3 4 2 2" xfId="43337" xr:uid="{00000000-0005-0000-0000-0000E2280000}"/>
    <cellStyle name="Normal 12 2 2 3 4 3" xfId="43336" xr:uid="{00000000-0005-0000-0000-0000E3280000}"/>
    <cellStyle name="Normal 12 2 2 3 5" xfId="19992" xr:uid="{00000000-0005-0000-0000-0000E4280000}"/>
    <cellStyle name="Normal 12 2 2 3 5 2" xfId="43338" xr:uid="{00000000-0005-0000-0000-0000E5280000}"/>
    <cellStyle name="Normal 12 2 2 3 6" xfId="19993" xr:uid="{00000000-0005-0000-0000-0000E6280000}"/>
    <cellStyle name="Normal 12 2 2 3 6 2" xfId="43339" xr:uid="{00000000-0005-0000-0000-0000E7280000}"/>
    <cellStyle name="Normal 12 2 2 3 7" xfId="19994" xr:uid="{00000000-0005-0000-0000-0000E8280000}"/>
    <cellStyle name="Normal 12 2 2 3 7 2" xfId="43340" xr:uid="{00000000-0005-0000-0000-0000E9280000}"/>
    <cellStyle name="Normal 12 2 2 3 8" xfId="26870" xr:uid="{00000000-0005-0000-0000-0000EA280000}"/>
    <cellStyle name="Normal 12 2 2 4" xfId="3360" xr:uid="{00000000-0005-0000-0000-0000EB280000}"/>
    <cellStyle name="Normal 12 2 2 4 2" xfId="19995" xr:uid="{00000000-0005-0000-0000-0000EC280000}"/>
    <cellStyle name="Normal 12 2 2 4 2 2" xfId="19996" xr:uid="{00000000-0005-0000-0000-0000ED280000}"/>
    <cellStyle name="Normal 12 2 2 4 2 2 2" xfId="43342" xr:uid="{00000000-0005-0000-0000-0000EE280000}"/>
    <cellStyle name="Normal 12 2 2 4 2 3" xfId="19997" xr:uid="{00000000-0005-0000-0000-0000EF280000}"/>
    <cellStyle name="Normal 12 2 2 4 2 3 2" xfId="43343" xr:uid="{00000000-0005-0000-0000-0000F0280000}"/>
    <cellStyle name="Normal 12 2 2 4 2 4" xfId="43341" xr:uid="{00000000-0005-0000-0000-0000F1280000}"/>
    <cellStyle name="Normal 12 2 2 4 3" xfId="19998" xr:uid="{00000000-0005-0000-0000-0000F2280000}"/>
    <cellStyle name="Normal 12 2 2 4 3 2" xfId="19999" xr:uid="{00000000-0005-0000-0000-0000F3280000}"/>
    <cellStyle name="Normal 12 2 2 4 3 2 2" xfId="43345" xr:uid="{00000000-0005-0000-0000-0000F4280000}"/>
    <cellStyle name="Normal 12 2 2 4 3 3" xfId="43344" xr:uid="{00000000-0005-0000-0000-0000F5280000}"/>
    <cellStyle name="Normal 12 2 2 4 4" xfId="20000" xr:uid="{00000000-0005-0000-0000-0000F6280000}"/>
    <cellStyle name="Normal 12 2 2 4 4 2" xfId="43346" xr:uid="{00000000-0005-0000-0000-0000F7280000}"/>
    <cellStyle name="Normal 12 2 2 4 5" xfId="20001" xr:uid="{00000000-0005-0000-0000-0000F8280000}"/>
    <cellStyle name="Normal 12 2 2 4 5 2" xfId="43347" xr:uid="{00000000-0005-0000-0000-0000F9280000}"/>
    <cellStyle name="Normal 12 2 2 4 6" xfId="20002" xr:uid="{00000000-0005-0000-0000-0000FA280000}"/>
    <cellStyle name="Normal 12 2 2 4 6 2" xfId="43348" xr:uid="{00000000-0005-0000-0000-0000FB280000}"/>
    <cellStyle name="Normal 12 2 2 4 7" xfId="26872" xr:uid="{00000000-0005-0000-0000-0000FC280000}"/>
    <cellStyle name="Normal 12 2 2 5" xfId="20003" xr:uid="{00000000-0005-0000-0000-0000FD280000}"/>
    <cellStyle name="Normal 12 2 2 5 2" xfId="20004" xr:uid="{00000000-0005-0000-0000-0000FE280000}"/>
    <cellStyle name="Normal 12 2 2 5 2 2" xfId="43350" xr:uid="{00000000-0005-0000-0000-0000FF280000}"/>
    <cellStyle name="Normal 12 2 2 5 3" xfId="20005" xr:uid="{00000000-0005-0000-0000-000000290000}"/>
    <cellStyle name="Normal 12 2 2 5 3 2" xfId="43351" xr:uid="{00000000-0005-0000-0000-000001290000}"/>
    <cellStyle name="Normal 12 2 2 5 4" xfId="43349" xr:uid="{00000000-0005-0000-0000-000002290000}"/>
    <cellStyle name="Normal 12 2 2 6" xfId="20006" xr:uid="{00000000-0005-0000-0000-000003290000}"/>
    <cellStyle name="Normal 12 2 2 6 2" xfId="20007" xr:uid="{00000000-0005-0000-0000-000004290000}"/>
    <cellStyle name="Normal 12 2 2 6 2 2" xfId="43353" xr:uid="{00000000-0005-0000-0000-000005290000}"/>
    <cellStyle name="Normal 12 2 2 6 3" xfId="43352" xr:uid="{00000000-0005-0000-0000-000006290000}"/>
    <cellStyle name="Normal 12 2 2 7" xfId="20008" xr:uid="{00000000-0005-0000-0000-000007290000}"/>
    <cellStyle name="Normal 12 2 2 7 2" xfId="43354" xr:uid="{00000000-0005-0000-0000-000008290000}"/>
    <cellStyle name="Normal 12 2 2 8" xfId="20009" xr:uid="{00000000-0005-0000-0000-000009290000}"/>
    <cellStyle name="Normal 12 2 2 8 2" xfId="43355" xr:uid="{00000000-0005-0000-0000-00000A290000}"/>
    <cellStyle name="Normal 12 2 2 9" xfId="20010" xr:uid="{00000000-0005-0000-0000-00000B290000}"/>
    <cellStyle name="Normal 12 2 2 9 2" xfId="43356" xr:uid="{00000000-0005-0000-0000-00000C290000}"/>
    <cellStyle name="Normal 12 2 3" xfId="3361" xr:uid="{00000000-0005-0000-0000-00000D290000}"/>
    <cellStyle name="Normal 12 2 3 10" xfId="26873" xr:uid="{00000000-0005-0000-0000-00000E290000}"/>
    <cellStyle name="Normal 12 2 3 2" xfId="3362" xr:uid="{00000000-0005-0000-0000-00000F290000}"/>
    <cellStyle name="Normal 12 2 3 2 2" xfId="3363" xr:uid="{00000000-0005-0000-0000-000010290000}"/>
    <cellStyle name="Normal 12 2 3 2 2 2" xfId="3364" xr:uid="{00000000-0005-0000-0000-000011290000}"/>
    <cellStyle name="Normal 12 2 3 2 2 2 2" xfId="20011" xr:uid="{00000000-0005-0000-0000-000012290000}"/>
    <cellStyle name="Normal 12 2 3 2 2 2 2 2" xfId="43357" xr:uid="{00000000-0005-0000-0000-000013290000}"/>
    <cellStyle name="Normal 12 2 3 2 2 2 3" xfId="20012" xr:uid="{00000000-0005-0000-0000-000014290000}"/>
    <cellStyle name="Normal 12 2 3 2 2 2 3 2" xfId="43358" xr:uid="{00000000-0005-0000-0000-000015290000}"/>
    <cellStyle name="Normal 12 2 3 2 2 2 4" xfId="26876" xr:uid="{00000000-0005-0000-0000-000016290000}"/>
    <cellStyle name="Normal 12 2 3 2 2 3" xfId="20013" xr:uid="{00000000-0005-0000-0000-000017290000}"/>
    <cellStyle name="Normal 12 2 3 2 2 3 2" xfId="20014" xr:uid="{00000000-0005-0000-0000-000018290000}"/>
    <cellStyle name="Normal 12 2 3 2 2 3 2 2" xfId="43360" xr:uid="{00000000-0005-0000-0000-000019290000}"/>
    <cellStyle name="Normal 12 2 3 2 2 3 3" xfId="43359" xr:uid="{00000000-0005-0000-0000-00001A290000}"/>
    <cellStyle name="Normal 12 2 3 2 2 4" xfId="20015" xr:uid="{00000000-0005-0000-0000-00001B290000}"/>
    <cellStyle name="Normal 12 2 3 2 2 4 2" xfId="43361" xr:uid="{00000000-0005-0000-0000-00001C290000}"/>
    <cellStyle name="Normal 12 2 3 2 2 5" xfId="20016" xr:uid="{00000000-0005-0000-0000-00001D290000}"/>
    <cellStyle name="Normal 12 2 3 2 2 5 2" xfId="43362" xr:uid="{00000000-0005-0000-0000-00001E290000}"/>
    <cellStyle name="Normal 12 2 3 2 2 6" xfId="20017" xr:uid="{00000000-0005-0000-0000-00001F290000}"/>
    <cellStyle name="Normal 12 2 3 2 2 6 2" xfId="43363" xr:uid="{00000000-0005-0000-0000-000020290000}"/>
    <cellStyle name="Normal 12 2 3 2 2 7" xfId="26875" xr:uid="{00000000-0005-0000-0000-000021290000}"/>
    <cellStyle name="Normal 12 2 3 2 3" xfId="3365" xr:uid="{00000000-0005-0000-0000-000022290000}"/>
    <cellStyle name="Normal 12 2 3 2 3 2" xfId="20018" xr:uid="{00000000-0005-0000-0000-000023290000}"/>
    <cellStyle name="Normal 12 2 3 2 3 2 2" xfId="43364" xr:uid="{00000000-0005-0000-0000-000024290000}"/>
    <cellStyle name="Normal 12 2 3 2 3 3" xfId="20019" xr:uid="{00000000-0005-0000-0000-000025290000}"/>
    <cellStyle name="Normal 12 2 3 2 3 3 2" xfId="43365" xr:uid="{00000000-0005-0000-0000-000026290000}"/>
    <cellStyle name="Normal 12 2 3 2 3 4" xfId="26877" xr:uid="{00000000-0005-0000-0000-000027290000}"/>
    <cellStyle name="Normal 12 2 3 2 4" xfId="20020" xr:uid="{00000000-0005-0000-0000-000028290000}"/>
    <cellStyle name="Normal 12 2 3 2 4 2" xfId="20021" xr:uid="{00000000-0005-0000-0000-000029290000}"/>
    <cellStyle name="Normal 12 2 3 2 4 2 2" xfId="43367" xr:uid="{00000000-0005-0000-0000-00002A290000}"/>
    <cellStyle name="Normal 12 2 3 2 4 3" xfId="43366" xr:uid="{00000000-0005-0000-0000-00002B290000}"/>
    <cellStyle name="Normal 12 2 3 2 5" xfId="20022" xr:uid="{00000000-0005-0000-0000-00002C290000}"/>
    <cellStyle name="Normal 12 2 3 2 5 2" xfId="43368" xr:uid="{00000000-0005-0000-0000-00002D290000}"/>
    <cellStyle name="Normal 12 2 3 2 6" xfId="20023" xr:uid="{00000000-0005-0000-0000-00002E290000}"/>
    <cellStyle name="Normal 12 2 3 2 6 2" xfId="43369" xr:uid="{00000000-0005-0000-0000-00002F290000}"/>
    <cellStyle name="Normal 12 2 3 2 7" xfId="20024" xr:uid="{00000000-0005-0000-0000-000030290000}"/>
    <cellStyle name="Normal 12 2 3 2 7 2" xfId="43370" xr:uid="{00000000-0005-0000-0000-000031290000}"/>
    <cellStyle name="Normal 12 2 3 2 8" xfId="26874" xr:uid="{00000000-0005-0000-0000-000032290000}"/>
    <cellStyle name="Normal 12 2 3 3" xfId="3366" xr:uid="{00000000-0005-0000-0000-000033290000}"/>
    <cellStyle name="Normal 12 2 3 3 2" xfId="3367" xr:uid="{00000000-0005-0000-0000-000034290000}"/>
    <cellStyle name="Normal 12 2 3 3 2 2" xfId="20025" xr:uid="{00000000-0005-0000-0000-000035290000}"/>
    <cellStyle name="Normal 12 2 3 3 2 2 2" xfId="20026" xr:uid="{00000000-0005-0000-0000-000036290000}"/>
    <cellStyle name="Normal 12 2 3 3 2 2 2 2" xfId="43372" xr:uid="{00000000-0005-0000-0000-000037290000}"/>
    <cellStyle name="Normal 12 2 3 3 2 2 3" xfId="20027" xr:uid="{00000000-0005-0000-0000-000038290000}"/>
    <cellStyle name="Normal 12 2 3 3 2 2 3 2" xfId="43373" xr:uid="{00000000-0005-0000-0000-000039290000}"/>
    <cellStyle name="Normal 12 2 3 3 2 2 4" xfId="43371" xr:uid="{00000000-0005-0000-0000-00003A290000}"/>
    <cellStyle name="Normal 12 2 3 3 2 3" xfId="20028" xr:uid="{00000000-0005-0000-0000-00003B290000}"/>
    <cellStyle name="Normal 12 2 3 3 2 3 2" xfId="20029" xr:uid="{00000000-0005-0000-0000-00003C290000}"/>
    <cellStyle name="Normal 12 2 3 3 2 3 2 2" xfId="43375" xr:uid="{00000000-0005-0000-0000-00003D290000}"/>
    <cellStyle name="Normal 12 2 3 3 2 3 3" xfId="43374" xr:uid="{00000000-0005-0000-0000-00003E290000}"/>
    <cellStyle name="Normal 12 2 3 3 2 4" xfId="20030" xr:uid="{00000000-0005-0000-0000-00003F290000}"/>
    <cellStyle name="Normal 12 2 3 3 2 4 2" xfId="43376" xr:uid="{00000000-0005-0000-0000-000040290000}"/>
    <cellStyle name="Normal 12 2 3 3 2 5" xfId="20031" xr:uid="{00000000-0005-0000-0000-000041290000}"/>
    <cellStyle name="Normal 12 2 3 3 2 5 2" xfId="43377" xr:uid="{00000000-0005-0000-0000-000042290000}"/>
    <cellStyle name="Normal 12 2 3 3 2 6" xfId="20032" xr:uid="{00000000-0005-0000-0000-000043290000}"/>
    <cellStyle name="Normal 12 2 3 3 2 6 2" xfId="43378" xr:uid="{00000000-0005-0000-0000-000044290000}"/>
    <cellStyle name="Normal 12 2 3 3 2 7" xfId="26879" xr:uid="{00000000-0005-0000-0000-000045290000}"/>
    <cellStyle name="Normal 12 2 3 3 3" xfId="20033" xr:uid="{00000000-0005-0000-0000-000046290000}"/>
    <cellStyle name="Normal 12 2 3 3 3 2" xfId="20034" xr:uid="{00000000-0005-0000-0000-000047290000}"/>
    <cellStyle name="Normal 12 2 3 3 3 2 2" xfId="43380" xr:uid="{00000000-0005-0000-0000-000048290000}"/>
    <cellStyle name="Normal 12 2 3 3 3 3" xfId="20035" xr:uid="{00000000-0005-0000-0000-000049290000}"/>
    <cellStyle name="Normal 12 2 3 3 3 3 2" xfId="43381" xr:uid="{00000000-0005-0000-0000-00004A290000}"/>
    <cellStyle name="Normal 12 2 3 3 3 4" xfId="43379" xr:uid="{00000000-0005-0000-0000-00004B290000}"/>
    <cellStyle name="Normal 12 2 3 3 4" xfId="20036" xr:uid="{00000000-0005-0000-0000-00004C290000}"/>
    <cellStyle name="Normal 12 2 3 3 4 2" xfId="20037" xr:uid="{00000000-0005-0000-0000-00004D290000}"/>
    <cellStyle name="Normal 12 2 3 3 4 2 2" xfId="43383" xr:uid="{00000000-0005-0000-0000-00004E290000}"/>
    <cellStyle name="Normal 12 2 3 3 4 3" xfId="43382" xr:uid="{00000000-0005-0000-0000-00004F290000}"/>
    <cellStyle name="Normal 12 2 3 3 5" xfId="20038" xr:uid="{00000000-0005-0000-0000-000050290000}"/>
    <cellStyle name="Normal 12 2 3 3 5 2" xfId="43384" xr:uid="{00000000-0005-0000-0000-000051290000}"/>
    <cellStyle name="Normal 12 2 3 3 6" xfId="20039" xr:uid="{00000000-0005-0000-0000-000052290000}"/>
    <cellStyle name="Normal 12 2 3 3 6 2" xfId="43385" xr:uid="{00000000-0005-0000-0000-000053290000}"/>
    <cellStyle name="Normal 12 2 3 3 7" xfId="20040" xr:uid="{00000000-0005-0000-0000-000054290000}"/>
    <cellStyle name="Normal 12 2 3 3 7 2" xfId="43386" xr:uid="{00000000-0005-0000-0000-000055290000}"/>
    <cellStyle name="Normal 12 2 3 3 8" xfId="26878" xr:uid="{00000000-0005-0000-0000-000056290000}"/>
    <cellStyle name="Normal 12 2 3 4" xfId="3368" xr:uid="{00000000-0005-0000-0000-000057290000}"/>
    <cellStyle name="Normal 12 2 3 4 2" xfId="20041" xr:uid="{00000000-0005-0000-0000-000058290000}"/>
    <cellStyle name="Normal 12 2 3 4 2 2" xfId="20042" xr:uid="{00000000-0005-0000-0000-000059290000}"/>
    <cellStyle name="Normal 12 2 3 4 2 2 2" xfId="43388" xr:uid="{00000000-0005-0000-0000-00005A290000}"/>
    <cellStyle name="Normal 12 2 3 4 2 3" xfId="20043" xr:uid="{00000000-0005-0000-0000-00005B290000}"/>
    <cellStyle name="Normal 12 2 3 4 2 3 2" xfId="43389" xr:uid="{00000000-0005-0000-0000-00005C290000}"/>
    <cellStyle name="Normal 12 2 3 4 2 4" xfId="43387" xr:uid="{00000000-0005-0000-0000-00005D290000}"/>
    <cellStyle name="Normal 12 2 3 4 3" xfId="20044" xr:uid="{00000000-0005-0000-0000-00005E290000}"/>
    <cellStyle name="Normal 12 2 3 4 3 2" xfId="20045" xr:uid="{00000000-0005-0000-0000-00005F290000}"/>
    <cellStyle name="Normal 12 2 3 4 3 2 2" xfId="43391" xr:uid="{00000000-0005-0000-0000-000060290000}"/>
    <cellStyle name="Normal 12 2 3 4 3 3" xfId="43390" xr:uid="{00000000-0005-0000-0000-000061290000}"/>
    <cellStyle name="Normal 12 2 3 4 4" xfId="20046" xr:uid="{00000000-0005-0000-0000-000062290000}"/>
    <cellStyle name="Normal 12 2 3 4 4 2" xfId="43392" xr:uid="{00000000-0005-0000-0000-000063290000}"/>
    <cellStyle name="Normal 12 2 3 4 5" xfId="20047" xr:uid="{00000000-0005-0000-0000-000064290000}"/>
    <cellStyle name="Normal 12 2 3 4 5 2" xfId="43393" xr:uid="{00000000-0005-0000-0000-000065290000}"/>
    <cellStyle name="Normal 12 2 3 4 6" xfId="20048" xr:uid="{00000000-0005-0000-0000-000066290000}"/>
    <cellStyle name="Normal 12 2 3 4 6 2" xfId="43394" xr:uid="{00000000-0005-0000-0000-000067290000}"/>
    <cellStyle name="Normal 12 2 3 4 7" xfId="26880" xr:uid="{00000000-0005-0000-0000-000068290000}"/>
    <cellStyle name="Normal 12 2 3 5" xfId="20049" xr:uid="{00000000-0005-0000-0000-000069290000}"/>
    <cellStyle name="Normal 12 2 3 5 2" xfId="20050" xr:uid="{00000000-0005-0000-0000-00006A290000}"/>
    <cellStyle name="Normal 12 2 3 5 2 2" xfId="43396" xr:uid="{00000000-0005-0000-0000-00006B290000}"/>
    <cellStyle name="Normal 12 2 3 5 3" xfId="20051" xr:uid="{00000000-0005-0000-0000-00006C290000}"/>
    <cellStyle name="Normal 12 2 3 5 3 2" xfId="43397" xr:uid="{00000000-0005-0000-0000-00006D290000}"/>
    <cellStyle name="Normal 12 2 3 5 4" xfId="43395" xr:uid="{00000000-0005-0000-0000-00006E290000}"/>
    <cellStyle name="Normal 12 2 3 6" xfId="20052" xr:uid="{00000000-0005-0000-0000-00006F290000}"/>
    <cellStyle name="Normal 12 2 3 6 2" xfId="20053" xr:uid="{00000000-0005-0000-0000-000070290000}"/>
    <cellStyle name="Normal 12 2 3 6 2 2" xfId="43399" xr:uid="{00000000-0005-0000-0000-000071290000}"/>
    <cellStyle name="Normal 12 2 3 6 3" xfId="43398" xr:uid="{00000000-0005-0000-0000-000072290000}"/>
    <cellStyle name="Normal 12 2 3 7" xfId="20054" xr:uid="{00000000-0005-0000-0000-000073290000}"/>
    <cellStyle name="Normal 12 2 3 7 2" xfId="43400" xr:uid="{00000000-0005-0000-0000-000074290000}"/>
    <cellStyle name="Normal 12 2 3 8" xfId="20055" xr:uid="{00000000-0005-0000-0000-000075290000}"/>
    <cellStyle name="Normal 12 2 3 8 2" xfId="43401" xr:uid="{00000000-0005-0000-0000-000076290000}"/>
    <cellStyle name="Normal 12 2 3 9" xfId="20056" xr:uid="{00000000-0005-0000-0000-000077290000}"/>
    <cellStyle name="Normal 12 2 3 9 2" xfId="43402" xr:uid="{00000000-0005-0000-0000-000078290000}"/>
    <cellStyle name="Normal 12 2 4" xfId="3369" xr:uid="{00000000-0005-0000-0000-000079290000}"/>
    <cellStyle name="Normal 12 2 4 2" xfId="3370" xr:uid="{00000000-0005-0000-0000-00007A290000}"/>
    <cellStyle name="Normal 12 2 4 2 2" xfId="3371" xr:uid="{00000000-0005-0000-0000-00007B290000}"/>
    <cellStyle name="Normal 12 2 4 2 2 2" xfId="20057" xr:uid="{00000000-0005-0000-0000-00007C290000}"/>
    <cellStyle name="Normal 12 2 4 2 2 2 2" xfId="43403" xr:uid="{00000000-0005-0000-0000-00007D290000}"/>
    <cellStyle name="Normal 12 2 4 2 2 3" xfId="20058" xr:uid="{00000000-0005-0000-0000-00007E290000}"/>
    <cellStyle name="Normal 12 2 4 2 2 3 2" xfId="43404" xr:uid="{00000000-0005-0000-0000-00007F290000}"/>
    <cellStyle name="Normal 12 2 4 2 2 4" xfId="26883" xr:uid="{00000000-0005-0000-0000-000080290000}"/>
    <cellStyle name="Normal 12 2 4 2 3" xfId="20059" xr:uid="{00000000-0005-0000-0000-000081290000}"/>
    <cellStyle name="Normal 12 2 4 2 3 2" xfId="20060" xr:uid="{00000000-0005-0000-0000-000082290000}"/>
    <cellStyle name="Normal 12 2 4 2 3 2 2" xfId="43406" xr:uid="{00000000-0005-0000-0000-000083290000}"/>
    <cellStyle name="Normal 12 2 4 2 3 3" xfId="43405" xr:uid="{00000000-0005-0000-0000-000084290000}"/>
    <cellStyle name="Normal 12 2 4 2 4" xfId="20061" xr:uid="{00000000-0005-0000-0000-000085290000}"/>
    <cellStyle name="Normal 12 2 4 2 4 2" xfId="43407" xr:uid="{00000000-0005-0000-0000-000086290000}"/>
    <cellStyle name="Normal 12 2 4 2 5" xfId="20062" xr:uid="{00000000-0005-0000-0000-000087290000}"/>
    <cellStyle name="Normal 12 2 4 2 5 2" xfId="43408" xr:uid="{00000000-0005-0000-0000-000088290000}"/>
    <cellStyle name="Normal 12 2 4 2 6" xfId="20063" xr:uid="{00000000-0005-0000-0000-000089290000}"/>
    <cellStyle name="Normal 12 2 4 2 6 2" xfId="43409" xr:uid="{00000000-0005-0000-0000-00008A290000}"/>
    <cellStyle name="Normal 12 2 4 2 7" xfId="26882" xr:uid="{00000000-0005-0000-0000-00008B290000}"/>
    <cellStyle name="Normal 12 2 4 3" xfId="3372" xr:uid="{00000000-0005-0000-0000-00008C290000}"/>
    <cellStyle name="Normal 12 2 4 3 2" xfId="20064" xr:uid="{00000000-0005-0000-0000-00008D290000}"/>
    <cellStyle name="Normal 12 2 4 3 2 2" xfId="43410" xr:uid="{00000000-0005-0000-0000-00008E290000}"/>
    <cellStyle name="Normal 12 2 4 3 3" xfId="20065" xr:uid="{00000000-0005-0000-0000-00008F290000}"/>
    <cellStyle name="Normal 12 2 4 3 3 2" xfId="43411" xr:uid="{00000000-0005-0000-0000-000090290000}"/>
    <cellStyle name="Normal 12 2 4 3 4" xfId="26884" xr:uid="{00000000-0005-0000-0000-000091290000}"/>
    <cellStyle name="Normal 12 2 4 4" xfId="20066" xr:uid="{00000000-0005-0000-0000-000092290000}"/>
    <cellStyle name="Normal 12 2 4 4 2" xfId="20067" xr:uid="{00000000-0005-0000-0000-000093290000}"/>
    <cellStyle name="Normal 12 2 4 4 2 2" xfId="43413" xr:uid="{00000000-0005-0000-0000-000094290000}"/>
    <cellStyle name="Normal 12 2 4 4 3" xfId="43412" xr:uid="{00000000-0005-0000-0000-000095290000}"/>
    <cellStyle name="Normal 12 2 4 5" xfId="20068" xr:uid="{00000000-0005-0000-0000-000096290000}"/>
    <cellStyle name="Normal 12 2 4 5 2" xfId="43414" xr:uid="{00000000-0005-0000-0000-000097290000}"/>
    <cellStyle name="Normal 12 2 4 6" xfId="20069" xr:uid="{00000000-0005-0000-0000-000098290000}"/>
    <cellStyle name="Normal 12 2 4 6 2" xfId="43415" xr:uid="{00000000-0005-0000-0000-000099290000}"/>
    <cellStyle name="Normal 12 2 4 7" xfId="20070" xr:uid="{00000000-0005-0000-0000-00009A290000}"/>
    <cellStyle name="Normal 12 2 4 7 2" xfId="43416" xr:uid="{00000000-0005-0000-0000-00009B290000}"/>
    <cellStyle name="Normal 12 2 4 8" xfId="26881" xr:uid="{00000000-0005-0000-0000-00009C290000}"/>
    <cellStyle name="Normal 12 2 5" xfId="3373" xr:uid="{00000000-0005-0000-0000-00009D290000}"/>
    <cellStyle name="Normal 12 2 5 2" xfId="3374" xr:uid="{00000000-0005-0000-0000-00009E290000}"/>
    <cellStyle name="Normal 12 2 5 2 2" xfId="20071" xr:uid="{00000000-0005-0000-0000-00009F290000}"/>
    <cellStyle name="Normal 12 2 5 2 2 2" xfId="20072" xr:uid="{00000000-0005-0000-0000-0000A0290000}"/>
    <cellStyle name="Normal 12 2 5 2 2 2 2" xfId="43418" xr:uid="{00000000-0005-0000-0000-0000A1290000}"/>
    <cellStyle name="Normal 12 2 5 2 2 3" xfId="20073" xr:uid="{00000000-0005-0000-0000-0000A2290000}"/>
    <cellStyle name="Normal 12 2 5 2 2 3 2" xfId="43419" xr:uid="{00000000-0005-0000-0000-0000A3290000}"/>
    <cellStyle name="Normal 12 2 5 2 2 4" xfId="43417" xr:uid="{00000000-0005-0000-0000-0000A4290000}"/>
    <cellStyle name="Normal 12 2 5 2 3" xfId="20074" xr:uid="{00000000-0005-0000-0000-0000A5290000}"/>
    <cellStyle name="Normal 12 2 5 2 3 2" xfId="20075" xr:uid="{00000000-0005-0000-0000-0000A6290000}"/>
    <cellStyle name="Normal 12 2 5 2 3 2 2" xfId="43421" xr:uid="{00000000-0005-0000-0000-0000A7290000}"/>
    <cellStyle name="Normal 12 2 5 2 3 3" xfId="43420" xr:uid="{00000000-0005-0000-0000-0000A8290000}"/>
    <cellStyle name="Normal 12 2 5 2 4" xfId="20076" xr:uid="{00000000-0005-0000-0000-0000A9290000}"/>
    <cellStyle name="Normal 12 2 5 2 4 2" xfId="43422" xr:uid="{00000000-0005-0000-0000-0000AA290000}"/>
    <cellStyle name="Normal 12 2 5 2 5" xfId="20077" xr:uid="{00000000-0005-0000-0000-0000AB290000}"/>
    <cellStyle name="Normal 12 2 5 2 5 2" xfId="43423" xr:uid="{00000000-0005-0000-0000-0000AC290000}"/>
    <cellStyle name="Normal 12 2 5 2 6" xfId="20078" xr:uid="{00000000-0005-0000-0000-0000AD290000}"/>
    <cellStyle name="Normal 12 2 5 2 6 2" xfId="43424" xr:uid="{00000000-0005-0000-0000-0000AE290000}"/>
    <cellStyle name="Normal 12 2 5 2 7" xfId="26886" xr:uid="{00000000-0005-0000-0000-0000AF290000}"/>
    <cellStyle name="Normal 12 2 5 3" xfId="20079" xr:uid="{00000000-0005-0000-0000-0000B0290000}"/>
    <cellStyle name="Normal 12 2 5 3 2" xfId="20080" xr:uid="{00000000-0005-0000-0000-0000B1290000}"/>
    <cellStyle name="Normal 12 2 5 3 2 2" xfId="43426" xr:uid="{00000000-0005-0000-0000-0000B2290000}"/>
    <cellStyle name="Normal 12 2 5 3 3" xfId="20081" xr:uid="{00000000-0005-0000-0000-0000B3290000}"/>
    <cellStyle name="Normal 12 2 5 3 3 2" xfId="43427" xr:uid="{00000000-0005-0000-0000-0000B4290000}"/>
    <cellStyle name="Normal 12 2 5 3 4" xfId="43425" xr:uid="{00000000-0005-0000-0000-0000B5290000}"/>
    <cellStyle name="Normal 12 2 5 4" xfId="20082" xr:uid="{00000000-0005-0000-0000-0000B6290000}"/>
    <cellStyle name="Normal 12 2 5 4 2" xfId="20083" xr:uid="{00000000-0005-0000-0000-0000B7290000}"/>
    <cellStyle name="Normal 12 2 5 4 2 2" xfId="43429" xr:uid="{00000000-0005-0000-0000-0000B8290000}"/>
    <cellStyle name="Normal 12 2 5 4 3" xfId="43428" xr:uid="{00000000-0005-0000-0000-0000B9290000}"/>
    <cellStyle name="Normal 12 2 5 5" xfId="20084" xr:uid="{00000000-0005-0000-0000-0000BA290000}"/>
    <cellStyle name="Normal 12 2 5 5 2" xfId="43430" xr:uid="{00000000-0005-0000-0000-0000BB290000}"/>
    <cellStyle name="Normal 12 2 5 6" xfId="20085" xr:uid="{00000000-0005-0000-0000-0000BC290000}"/>
    <cellStyle name="Normal 12 2 5 6 2" xfId="43431" xr:uid="{00000000-0005-0000-0000-0000BD290000}"/>
    <cellStyle name="Normal 12 2 5 7" xfId="20086" xr:uid="{00000000-0005-0000-0000-0000BE290000}"/>
    <cellStyle name="Normal 12 2 5 7 2" xfId="43432" xr:uid="{00000000-0005-0000-0000-0000BF290000}"/>
    <cellStyle name="Normal 12 2 5 8" xfId="26885" xr:uid="{00000000-0005-0000-0000-0000C0290000}"/>
    <cellStyle name="Normal 12 2 6" xfId="3375" xr:uid="{00000000-0005-0000-0000-0000C1290000}"/>
    <cellStyle name="Normal 12 2 6 2" xfId="20087" xr:uid="{00000000-0005-0000-0000-0000C2290000}"/>
    <cellStyle name="Normal 12 2 6 2 2" xfId="20088" xr:uid="{00000000-0005-0000-0000-0000C3290000}"/>
    <cellStyle name="Normal 12 2 6 2 2 2" xfId="43434" xr:uid="{00000000-0005-0000-0000-0000C4290000}"/>
    <cellStyle name="Normal 12 2 6 2 3" xfId="20089" xr:uid="{00000000-0005-0000-0000-0000C5290000}"/>
    <cellStyle name="Normal 12 2 6 2 3 2" xfId="43435" xr:uid="{00000000-0005-0000-0000-0000C6290000}"/>
    <cellStyle name="Normal 12 2 6 2 4" xfId="43433" xr:uid="{00000000-0005-0000-0000-0000C7290000}"/>
    <cellStyle name="Normal 12 2 6 3" xfId="20090" xr:uid="{00000000-0005-0000-0000-0000C8290000}"/>
    <cellStyle name="Normal 12 2 6 3 2" xfId="20091" xr:uid="{00000000-0005-0000-0000-0000C9290000}"/>
    <cellStyle name="Normal 12 2 6 3 2 2" xfId="43437" xr:uid="{00000000-0005-0000-0000-0000CA290000}"/>
    <cellStyle name="Normal 12 2 6 3 3" xfId="43436" xr:uid="{00000000-0005-0000-0000-0000CB290000}"/>
    <cellStyle name="Normal 12 2 6 4" xfId="20092" xr:uid="{00000000-0005-0000-0000-0000CC290000}"/>
    <cellStyle name="Normal 12 2 6 4 2" xfId="43438" xr:uid="{00000000-0005-0000-0000-0000CD290000}"/>
    <cellStyle name="Normal 12 2 6 5" xfId="20093" xr:uid="{00000000-0005-0000-0000-0000CE290000}"/>
    <cellStyle name="Normal 12 2 6 5 2" xfId="43439" xr:uid="{00000000-0005-0000-0000-0000CF290000}"/>
    <cellStyle name="Normal 12 2 6 6" xfId="20094" xr:uid="{00000000-0005-0000-0000-0000D0290000}"/>
    <cellStyle name="Normal 12 2 6 6 2" xfId="43440" xr:uid="{00000000-0005-0000-0000-0000D1290000}"/>
    <cellStyle name="Normal 12 2 6 7" xfId="26887" xr:uid="{00000000-0005-0000-0000-0000D2290000}"/>
    <cellStyle name="Normal 12 2 7" xfId="20095" xr:uid="{00000000-0005-0000-0000-0000D3290000}"/>
    <cellStyle name="Normal 12 2 7 2" xfId="20096" xr:uid="{00000000-0005-0000-0000-0000D4290000}"/>
    <cellStyle name="Normal 12 2 7 2 2" xfId="43442" xr:uid="{00000000-0005-0000-0000-0000D5290000}"/>
    <cellStyle name="Normal 12 2 7 3" xfId="20097" xr:uid="{00000000-0005-0000-0000-0000D6290000}"/>
    <cellStyle name="Normal 12 2 7 3 2" xfId="43443" xr:uid="{00000000-0005-0000-0000-0000D7290000}"/>
    <cellStyle name="Normal 12 2 7 4" xfId="43441" xr:uid="{00000000-0005-0000-0000-0000D8290000}"/>
    <cellStyle name="Normal 12 2 8" xfId="20098" xr:uid="{00000000-0005-0000-0000-0000D9290000}"/>
    <cellStyle name="Normal 12 2 8 2" xfId="20099" xr:uid="{00000000-0005-0000-0000-0000DA290000}"/>
    <cellStyle name="Normal 12 2 8 2 2" xfId="43445" xr:uid="{00000000-0005-0000-0000-0000DB290000}"/>
    <cellStyle name="Normal 12 2 8 3" xfId="43444" xr:uid="{00000000-0005-0000-0000-0000DC290000}"/>
    <cellStyle name="Normal 12 2 9" xfId="20100" xr:uid="{00000000-0005-0000-0000-0000DD290000}"/>
    <cellStyle name="Normal 12 2 9 2" xfId="43446" xr:uid="{00000000-0005-0000-0000-0000DE290000}"/>
    <cellStyle name="Normal 12 3" xfId="80" xr:uid="{00000000-0005-0000-0000-0000DF290000}"/>
    <cellStyle name="Normal 12 3 10" xfId="23660" xr:uid="{00000000-0005-0000-0000-0000E0290000}"/>
    <cellStyle name="Normal 12 3 2" xfId="3376" xr:uid="{00000000-0005-0000-0000-0000E1290000}"/>
    <cellStyle name="Normal 12 3 2 2" xfId="17910" xr:uid="{00000000-0005-0000-0000-0000E2290000}"/>
    <cellStyle name="Normal 12 3 2 2 2" xfId="20101" xr:uid="{00000000-0005-0000-0000-0000E3290000}"/>
    <cellStyle name="Normal 12 3 2 2 2 2" xfId="20102" xr:uid="{00000000-0005-0000-0000-0000E4290000}"/>
    <cellStyle name="Normal 12 3 2 2 2 2 2" xfId="43448" xr:uid="{00000000-0005-0000-0000-0000E5290000}"/>
    <cellStyle name="Normal 12 3 2 2 2 3" xfId="20103" xr:uid="{00000000-0005-0000-0000-0000E6290000}"/>
    <cellStyle name="Normal 12 3 2 2 2 3 2" xfId="43449" xr:uid="{00000000-0005-0000-0000-0000E7290000}"/>
    <cellStyle name="Normal 12 3 2 2 2 4" xfId="43447" xr:uid="{00000000-0005-0000-0000-0000E8290000}"/>
    <cellStyle name="Normal 12 3 2 2 3" xfId="20104" xr:uid="{00000000-0005-0000-0000-0000E9290000}"/>
    <cellStyle name="Normal 12 3 2 2 3 2" xfId="20105" xr:uid="{00000000-0005-0000-0000-0000EA290000}"/>
    <cellStyle name="Normal 12 3 2 2 3 2 2" xfId="43451" xr:uid="{00000000-0005-0000-0000-0000EB290000}"/>
    <cellStyle name="Normal 12 3 2 2 3 3" xfId="43450" xr:uid="{00000000-0005-0000-0000-0000EC290000}"/>
    <cellStyle name="Normal 12 3 2 2 4" xfId="20106" xr:uid="{00000000-0005-0000-0000-0000ED290000}"/>
    <cellStyle name="Normal 12 3 2 2 4 2" xfId="43452" xr:uid="{00000000-0005-0000-0000-0000EE290000}"/>
    <cellStyle name="Normal 12 3 2 2 5" xfId="20107" xr:uid="{00000000-0005-0000-0000-0000EF290000}"/>
    <cellStyle name="Normal 12 3 2 2 5 2" xfId="43453" xr:uid="{00000000-0005-0000-0000-0000F0290000}"/>
    <cellStyle name="Normal 12 3 2 2 6" xfId="20108" xr:uid="{00000000-0005-0000-0000-0000F1290000}"/>
    <cellStyle name="Normal 12 3 2 2 6 2" xfId="43454" xr:uid="{00000000-0005-0000-0000-0000F2290000}"/>
    <cellStyle name="Normal 12 3 2 2 7" xfId="41370" xr:uid="{00000000-0005-0000-0000-0000F3290000}"/>
    <cellStyle name="Normal 12 3 2 3" xfId="20109" xr:uid="{00000000-0005-0000-0000-0000F4290000}"/>
    <cellStyle name="Normal 12 3 2 3 2" xfId="20110" xr:uid="{00000000-0005-0000-0000-0000F5290000}"/>
    <cellStyle name="Normal 12 3 2 3 2 2" xfId="43456" xr:uid="{00000000-0005-0000-0000-0000F6290000}"/>
    <cellStyle name="Normal 12 3 2 3 3" xfId="20111" xr:uid="{00000000-0005-0000-0000-0000F7290000}"/>
    <cellStyle name="Normal 12 3 2 3 3 2" xfId="43457" xr:uid="{00000000-0005-0000-0000-0000F8290000}"/>
    <cellStyle name="Normal 12 3 2 3 4" xfId="43455" xr:uid="{00000000-0005-0000-0000-0000F9290000}"/>
    <cellStyle name="Normal 12 3 2 4" xfId="20112" xr:uid="{00000000-0005-0000-0000-0000FA290000}"/>
    <cellStyle name="Normal 12 3 2 4 2" xfId="20113" xr:uid="{00000000-0005-0000-0000-0000FB290000}"/>
    <cellStyle name="Normal 12 3 2 4 2 2" xfId="43459" xr:uid="{00000000-0005-0000-0000-0000FC290000}"/>
    <cellStyle name="Normal 12 3 2 4 3" xfId="43458" xr:uid="{00000000-0005-0000-0000-0000FD290000}"/>
    <cellStyle name="Normal 12 3 2 5" xfId="20114" xr:uid="{00000000-0005-0000-0000-0000FE290000}"/>
    <cellStyle name="Normal 12 3 2 5 2" xfId="43460" xr:uid="{00000000-0005-0000-0000-0000FF290000}"/>
    <cellStyle name="Normal 12 3 2 6" xfId="20115" xr:uid="{00000000-0005-0000-0000-0000002A0000}"/>
    <cellStyle name="Normal 12 3 2 6 2" xfId="43461" xr:uid="{00000000-0005-0000-0000-0000012A0000}"/>
    <cellStyle name="Normal 12 3 2 7" xfId="20116" xr:uid="{00000000-0005-0000-0000-0000022A0000}"/>
    <cellStyle name="Normal 12 3 2 7 2" xfId="43462" xr:uid="{00000000-0005-0000-0000-0000032A0000}"/>
    <cellStyle name="Normal 12 3 2 8" xfId="26888" xr:uid="{00000000-0005-0000-0000-0000042A0000}"/>
    <cellStyle name="Normal 12 3 3" xfId="17753" xr:uid="{00000000-0005-0000-0000-0000052A0000}"/>
    <cellStyle name="Normal 12 3 3 2" xfId="17987" xr:uid="{00000000-0005-0000-0000-0000062A0000}"/>
    <cellStyle name="Normal 12 3 3 2 2" xfId="20117" xr:uid="{00000000-0005-0000-0000-0000072A0000}"/>
    <cellStyle name="Normal 12 3 3 2 2 2" xfId="20118" xr:uid="{00000000-0005-0000-0000-0000082A0000}"/>
    <cellStyle name="Normal 12 3 3 2 2 2 2" xfId="43464" xr:uid="{00000000-0005-0000-0000-0000092A0000}"/>
    <cellStyle name="Normal 12 3 3 2 2 3" xfId="20119" xr:uid="{00000000-0005-0000-0000-00000A2A0000}"/>
    <cellStyle name="Normal 12 3 3 2 2 3 2" xfId="43465" xr:uid="{00000000-0005-0000-0000-00000B2A0000}"/>
    <cellStyle name="Normal 12 3 3 2 2 4" xfId="43463" xr:uid="{00000000-0005-0000-0000-00000C2A0000}"/>
    <cellStyle name="Normal 12 3 3 2 3" xfId="20120" xr:uid="{00000000-0005-0000-0000-00000D2A0000}"/>
    <cellStyle name="Normal 12 3 3 2 3 2" xfId="20121" xr:uid="{00000000-0005-0000-0000-00000E2A0000}"/>
    <cellStyle name="Normal 12 3 3 2 3 2 2" xfId="43467" xr:uid="{00000000-0005-0000-0000-00000F2A0000}"/>
    <cellStyle name="Normal 12 3 3 2 3 3" xfId="43466" xr:uid="{00000000-0005-0000-0000-0000102A0000}"/>
    <cellStyle name="Normal 12 3 3 2 4" xfId="20122" xr:uid="{00000000-0005-0000-0000-0000112A0000}"/>
    <cellStyle name="Normal 12 3 3 2 4 2" xfId="43468" xr:uid="{00000000-0005-0000-0000-0000122A0000}"/>
    <cellStyle name="Normal 12 3 3 2 5" xfId="20123" xr:uid="{00000000-0005-0000-0000-0000132A0000}"/>
    <cellStyle name="Normal 12 3 3 2 5 2" xfId="43469" xr:uid="{00000000-0005-0000-0000-0000142A0000}"/>
    <cellStyle name="Normal 12 3 3 2 6" xfId="20124" xr:uid="{00000000-0005-0000-0000-0000152A0000}"/>
    <cellStyle name="Normal 12 3 3 2 6 2" xfId="43470" xr:uid="{00000000-0005-0000-0000-0000162A0000}"/>
    <cellStyle name="Normal 12 3 3 2 7" xfId="41447" xr:uid="{00000000-0005-0000-0000-0000172A0000}"/>
    <cellStyle name="Normal 12 3 3 3" xfId="20125" xr:uid="{00000000-0005-0000-0000-0000182A0000}"/>
    <cellStyle name="Normal 12 3 3 3 2" xfId="20126" xr:uid="{00000000-0005-0000-0000-0000192A0000}"/>
    <cellStyle name="Normal 12 3 3 3 2 2" xfId="43472" xr:uid="{00000000-0005-0000-0000-00001A2A0000}"/>
    <cellStyle name="Normal 12 3 3 3 3" xfId="20127" xr:uid="{00000000-0005-0000-0000-00001B2A0000}"/>
    <cellStyle name="Normal 12 3 3 3 3 2" xfId="43473" xr:uid="{00000000-0005-0000-0000-00001C2A0000}"/>
    <cellStyle name="Normal 12 3 3 3 4" xfId="43471" xr:uid="{00000000-0005-0000-0000-00001D2A0000}"/>
    <cellStyle name="Normal 12 3 3 4" xfId="20128" xr:uid="{00000000-0005-0000-0000-00001E2A0000}"/>
    <cellStyle name="Normal 12 3 3 4 2" xfId="20129" xr:uid="{00000000-0005-0000-0000-00001F2A0000}"/>
    <cellStyle name="Normal 12 3 3 4 2 2" xfId="43475" xr:uid="{00000000-0005-0000-0000-0000202A0000}"/>
    <cellStyle name="Normal 12 3 3 4 3" xfId="43474" xr:uid="{00000000-0005-0000-0000-0000212A0000}"/>
    <cellStyle name="Normal 12 3 3 5" xfId="20130" xr:uid="{00000000-0005-0000-0000-0000222A0000}"/>
    <cellStyle name="Normal 12 3 3 5 2" xfId="43476" xr:uid="{00000000-0005-0000-0000-0000232A0000}"/>
    <cellStyle name="Normal 12 3 3 6" xfId="20131" xr:uid="{00000000-0005-0000-0000-0000242A0000}"/>
    <cellStyle name="Normal 12 3 3 6 2" xfId="43477" xr:uid="{00000000-0005-0000-0000-0000252A0000}"/>
    <cellStyle name="Normal 12 3 3 7" xfId="20132" xr:uid="{00000000-0005-0000-0000-0000262A0000}"/>
    <cellStyle name="Normal 12 3 3 7 2" xfId="43478" xr:uid="{00000000-0005-0000-0000-0000272A0000}"/>
    <cellStyle name="Normal 12 3 3 8" xfId="41213" xr:uid="{00000000-0005-0000-0000-0000282A0000}"/>
    <cellStyle name="Normal 12 3 4" xfId="17835" xr:uid="{00000000-0005-0000-0000-0000292A0000}"/>
    <cellStyle name="Normal 12 3 4 2" xfId="20133" xr:uid="{00000000-0005-0000-0000-00002A2A0000}"/>
    <cellStyle name="Normal 12 3 4 2 2" xfId="20134" xr:uid="{00000000-0005-0000-0000-00002B2A0000}"/>
    <cellStyle name="Normal 12 3 4 2 2 2" xfId="43480" xr:uid="{00000000-0005-0000-0000-00002C2A0000}"/>
    <cellStyle name="Normal 12 3 4 2 3" xfId="20135" xr:uid="{00000000-0005-0000-0000-00002D2A0000}"/>
    <cellStyle name="Normal 12 3 4 2 3 2" xfId="43481" xr:uid="{00000000-0005-0000-0000-00002E2A0000}"/>
    <cellStyle name="Normal 12 3 4 2 4" xfId="43479" xr:uid="{00000000-0005-0000-0000-00002F2A0000}"/>
    <cellStyle name="Normal 12 3 4 3" xfId="20136" xr:uid="{00000000-0005-0000-0000-0000302A0000}"/>
    <cellStyle name="Normal 12 3 4 3 2" xfId="20137" xr:uid="{00000000-0005-0000-0000-0000312A0000}"/>
    <cellStyle name="Normal 12 3 4 3 2 2" xfId="43483" xr:uid="{00000000-0005-0000-0000-0000322A0000}"/>
    <cellStyle name="Normal 12 3 4 3 3" xfId="43482" xr:uid="{00000000-0005-0000-0000-0000332A0000}"/>
    <cellStyle name="Normal 12 3 4 4" xfId="20138" xr:uid="{00000000-0005-0000-0000-0000342A0000}"/>
    <cellStyle name="Normal 12 3 4 4 2" xfId="43484" xr:uid="{00000000-0005-0000-0000-0000352A0000}"/>
    <cellStyle name="Normal 12 3 4 5" xfId="20139" xr:uid="{00000000-0005-0000-0000-0000362A0000}"/>
    <cellStyle name="Normal 12 3 4 5 2" xfId="43485" xr:uid="{00000000-0005-0000-0000-0000372A0000}"/>
    <cellStyle name="Normal 12 3 4 6" xfId="20140" xr:uid="{00000000-0005-0000-0000-0000382A0000}"/>
    <cellStyle name="Normal 12 3 4 6 2" xfId="43486" xr:uid="{00000000-0005-0000-0000-0000392A0000}"/>
    <cellStyle name="Normal 12 3 4 7" xfId="41295" xr:uid="{00000000-0005-0000-0000-00003A2A0000}"/>
    <cellStyle name="Normal 12 3 5" xfId="20141" xr:uid="{00000000-0005-0000-0000-00003B2A0000}"/>
    <cellStyle name="Normal 12 3 5 2" xfId="20142" xr:uid="{00000000-0005-0000-0000-00003C2A0000}"/>
    <cellStyle name="Normal 12 3 5 2 2" xfId="43488" xr:uid="{00000000-0005-0000-0000-00003D2A0000}"/>
    <cellStyle name="Normal 12 3 5 3" xfId="20143" xr:uid="{00000000-0005-0000-0000-00003E2A0000}"/>
    <cellStyle name="Normal 12 3 5 3 2" xfId="43489" xr:uid="{00000000-0005-0000-0000-00003F2A0000}"/>
    <cellStyle name="Normal 12 3 5 4" xfId="43487" xr:uid="{00000000-0005-0000-0000-0000402A0000}"/>
    <cellStyle name="Normal 12 3 6" xfId="20144" xr:uid="{00000000-0005-0000-0000-0000412A0000}"/>
    <cellStyle name="Normal 12 3 6 2" xfId="20145" xr:uid="{00000000-0005-0000-0000-0000422A0000}"/>
    <cellStyle name="Normal 12 3 6 2 2" xfId="43491" xr:uid="{00000000-0005-0000-0000-0000432A0000}"/>
    <cellStyle name="Normal 12 3 6 3" xfId="43490" xr:uid="{00000000-0005-0000-0000-0000442A0000}"/>
    <cellStyle name="Normal 12 3 7" xfId="20146" xr:uid="{00000000-0005-0000-0000-0000452A0000}"/>
    <cellStyle name="Normal 12 3 7 2" xfId="43492" xr:uid="{00000000-0005-0000-0000-0000462A0000}"/>
    <cellStyle name="Normal 12 3 8" xfId="20147" xr:uid="{00000000-0005-0000-0000-0000472A0000}"/>
    <cellStyle name="Normal 12 3 8 2" xfId="43493" xr:uid="{00000000-0005-0000-0000-0000482A0000}"/>
    <cellStyle name="Normal 12 3 9" xfId="20148" xr:uid="{00000000-0005-0000-0000-0000492A0000}"/>
    <cellStyle name="Normal 12 3 9 2" xfId="43494" xr:uid="{00000000-0005-0000-0000-00004A2A0000}"/>
    <cellStyle name="Normal 12 4" xfId="3377" xr:uid="{00000000-0005-0000-0000-00004B2A0000}"/>
    <cellStyle name="Normal 12 4 10" xfId="26889" xr:uid="{00000000-0005-0000-0000-00004C2A0000}"/>
    <cellStyle name="Normal 12 4 2" xfId="3378" xr:uid="{00000000-0005-0000-0000-00004D2A0000}"/>
    <cellStyle name="Normal 12 4 2 2" xfId="17929" xr:uid="{00000000-0005-0000-0000-00004E2A0000}"/>
    <cellStyle name="Normal 12 4 2 2 2" xfId="20149" xr:uid="{00000000-0005-0000-0000-00004F2A0000}"/>
    <cellStyle name="Normal 12 4 2 2 2 2" xfId="20150" xr:uid="{00000000-0005-0000-0000-0000502A0000}"/>
    <cellStyle name="Normal 12 4 2 2 2 2 2" xfId="43496" xr:uid="{00000000-0005-0000-0000-0000512A0000}"/>
    <cellStyle name="Normal 12 4 2 2 2 3" xfId="20151" xr:uid="{00000000-0005-0000-0000-0000522A0000}"/>
    <cellStyle name="Normal 12 4 2 2 2 3 2" xfId="43497" xr:uid="{00000000-0005-0000-0000-0000532A0000}"/>
    <cellStyle name="Normal 12 4 2 2 2 4" xfId="43495" xr:uid="{00000000-0005-0000-0000-0000542A0000}"/>
    <cellStyle name="Normal 12 4 2 2 3" xfId="20152" xr:uid="{00000000-0005-0000-0000-0000552A0000}"/>
    <cellStyle name="Normal 12 4 2 2 3 2" xfId="20153" xr:uid="{00000000-0005-0000-0000-0000562A0000}"/>
    <cellStyle name="Normal 12 4 2 2 3 2 2" xfId="43499" xr:uid="{00000000-0005-0000-0000-0000572A0000}"/>
    <cellStyle name="Normal 12 4 2 2 3 3" xfId="43498" xr:uid="{00000000-0005-0000-0000-0000582A0000}"/>
    <cellStyle name="Normal 12 4 2 2 4" xfId="20154" xr:uid="{00000000-0005-0000-0000-0000592A0000}"/>
    <cellStyle name="Normal 12 4 2 2 4 2" xfId="43500" xr:uid="{00000000-0005-0000-0000-00005A2A0000}"/>
    <cellStyle name="Normal 12 4 2 2 5" xfId="20155" xr:uid="{00000000-0005-0000-0000-00005B2A0000}"/>
    <cellStyle name="Normal 12 4 2 2 5 2" xfId="43501" xr:uid="{00000000-0005-0000-0000-00005C2A0000}"/>
    <cellStyle name="Normal 12 4 2 2 6" xfId="20156" xr:uid="{00000000-0005-0000-0000-00005D2A0000}"/>
    <cellStyle name="Normal 12 4 2 2 6 2" xfId="43502" xr:uid="{00000000-0005-0000-0000-00005E2A0000}"/>
    <cellStyle name="Normal 12 4 2 2 7" xfId="41389" xr:uid="{00000000-0005-0000-0000-00005F2A0000}"/>
    <cellStyle name="Normal 12 4 2 3" xfId="20157" xr:uid="{00000000-0005-0000-0000-0000602A0000}"/>
    <cellStyle name="Normal 12 4 2 3 2" xfId="20158" xr:uid="{00000000-0005-0000-0000-0000612A0000}"/>
    <cellStyle name="Normal 12 4 2 3 2 2" xfId="43504" xr:uid="{00000000-0005-0000-0000-0000622A0000}"/>
    <cellStyle name="Normal 12 4 2 3 3" xfId="20159" xr:uid="{00000000-0005-0000-0000-0000632A0000}"/>
    <cellStyle name="Normal 12 4 2 3 3 2" xfId="43505" xr:uid="{00000000-0005-0000-0000-0000642A0000}"/>
    <cellStyle name="Normal 12 4 2 3 4" xfId="43503" xr:uid="{00000000-0005-0000-0000-0000652A0000}"/>
    <cellStyle name="Normal 12 4 2 4" xfId="20160" xr:uid="{00000000-0005-0000-0000-0000662A0000}"/>
    <cellStyle name="Normal 12 4 2 4 2" xfId="20161" xr:uid="{00000000-0005-0000-0000-0000672A0000}"/>
    <cellStyle name="Normal 12 4 2 4 2 2" xfId="43507" xr:uid="{00000000-0005-0000-0000-0000682A0000}"/>
    <cellStyle name="Normal 12 4 2 4 3" xfId="43506" xr:uid="{00000000-0005-0000-0000-0000692A0000}"/>
    <cellStyle name="Normal 12 4 2 5" xfId="20162" xr:uid="{00000000-0005-0000-0000-00006A2A0000}"/>
    <cellStyle name="Normal 12 4 2 5 2" xfId="43508" xr:uid="{00000000-0005-0000-0000-00006B2A0000}"/>
    <cellStyle name="Normal 12 4 2 6" xfId="20163" xr:uid="{00000000-0005-0000-0000-00006C2A0000}"/>
    <cellStyle name="Normal 12 4 2 6 2" xfId="43509" xr:uid="{00000000-0005-0000-0000-00006D2A0000}"/>
    <cellStyle name="Normal 12 4 2 7" xfId="20164" xr:uid="{00000000-0005-0000-0000-00006E2A0000}"/>
    <cellStyle name="Normal 12 4 2 7 2" xfId="43510" xr:uid="{00000000-0005-0000-0000-00006F2A0000}"/>
    <cellStyle name="Normal 12 4 2 8" xfId="26890" xr:uid="{00000000-0005-0000-0000-0000702A0000}"/>
    <cellStyle name="Normal 12 4 3" xfId="17781" xr:uid="{00000000-0005-0000-0000-0000712A0000}"/>
    <cellStyle name="Normal 12 4 3 2" xfId="18017" xr:uid="{00000000-0005-0000-0000-0000722A0000}"/>
    <cellStyle name="Normal 12 4 3 2 2" xfId="20165" xr:uid="{00000000-0005-0000-0000-0000732A0000}"/>
    <cellStyle name="Normal 12 4 3 2 2 2" xfId="20166" xr:uid="{00000000-0005-0000-0000-0000742A0000}"/>
    <cellStyle name="Normal 12 4 3 2 2 2 2" xfId="43512" xr:uid="{00000000-0005-0000-0000-0000752A0000}"/>
    <cellStyle name="Normal 12 4 3 2 2 3" xfId="20167" xr:uid="{00000000-0005-0000-0000-0000762A0000}"/>
    <cellStyle name="Normal 12 4 3 2 2 3 2" xfId="43513" xr:uid="{00000000-0005-0000-0000-0000772A0000}"/>
    <cellStyle name="Normal 12 4 3 2 2 4" xfId="43511" xr:uid="{00000000-0005-0000-0000-0000782A0000}"/>
    <cellStyle name="Normal 12 4 3 2 3" xfId="20168" xr:uid="{00000000-0005-0000-0000-0000792A0000}"/>
    <cellStyle name="Normal 12 4 3 2 3 2" xfId="20169" xr:uid="{00000000-0005-0000-0000-00007A2A0000}"/>
    <cellStyle name="Normal 12 4 3 2 3 2 2" xfId="43515" xr:uid="{00000000-0005-0000-0000-00007B2A0000}"/>
    <cellStyle name="Normal 12 4 3 2 3 3" xfId="43514" xr:uid="{00000000-0005-0000-0000-00007C2A0000}"/>
    <cellStyle name="Normal 12 4 3 2 4" xfId="20170" xr:uid="{00000000-0005-0000-0000-00007D2A0000}"/>
    <cellStyle name="Normal 12 4 3 2 4 2" xfId="43516" xr:uid="{00000000-0005-0000-0000-00007E2A0000}"/>
    <cellStyle name="Normal 12 4 3 2 5" xfId="20171" xr:uid="{00000000-0005-0000-0000-00007F2A0000}"/>
    <cellStyle name="Normal 12 4 3 2 5 2" xfId="43517" xr:uid="{00000000-0005-0000-0000-0000802A0000}"/>
    <cellStyle name="Normal 12 4 3 2 6" xfId="20172" xr:uid="{00000000-0005-0000-0000-0000812A0000}"/>
    <cellStyle name="Normal 12 4 3 2 6 2" xfId="43518" xr:uid="{00000000-0005-0000-0000-0000822A0000}"/>
    <cellStyle name="Normal 12 4 3 2 7" xfId="41477" xr:uid="{00000000-0005-0000-0000-0000832A0000}"/>
    <cellStyle name="Normal 12 4 3 3" xfId="20173" xr:uid="{00000000-0005-0000-0000-0000842A0000}"/>
    <cellStyle name="Normal 12 4 3 3 2" xfId="20174" xr:uid="{00000000-0005-0000-0000-0000852A0000}"/>
    <cellStyle name="Normal 12 4 3 3 2 2" xfId="43520" xr:uid="{00000000-0005-0000-0000-0000862A0000}"/>
    <cellStyle name="Normal 12 4 3 3 3" xfId="20175" xr:uid="{00000000-0005-0000-0000-0000872A0000}"/>
    <cellStyle name="Normal 12 4 3 3 3 2" xfId="43521" xr:uid="{00000000-0005-0000-0000-0000882A0000}"/>
    <cellStyle name="Normal 12 4 3 3 4" xfId="43519" xr:uid="{00000000-0005-0000-0000-0000892A0000}"/>
    <cellStyle name="Normal 12 4 3 4" xfId="20176" xr:uid="{00000000-0005-0000-0000-00008A2A0000}"/>
    <cellStyle name="Normal 12 4 3 4 2" xfId="20177" xr:uid="{00000000-0005-0000-0000-00008B2A0000}"/>
    <cellStyle name="Normal 12 4 3 4 2 2" xfId="43523" xr:uid="{00000000-0005-0000-0000-00008C2A0000}"/>
    <cellStyle name="Normal 12 4 3 4 3" xfId="43522" xr:uid="{00000000-0005-0000-0000-00008D2A0000}"/>
    <cellStyle name="Normal 12 4 3 5" xfId="20178" xr:uid="{00000000-0005-0000-0000-00008E2A0000}"/>
    <cellStyle name="Normal 12 4 3 5 2" xfId="43524" xr:uid="{00000000-0005-0000-0000-00008F2A0000}"/>
    <cellStyle name="Normal 12 4 3 6" xfId="20179" xr:uid="{00000000-0005-0000-0000-0000902A0000}"/>
    <cellStyle name="Normal 12 4 3 6 2" xfId="43525" xr:uid="{00000000-0005-0000-0000-0000912A0000}"/>
    <cellStyle name="Normal 12 4 3 7" xfId="20180" xr:uid="{00000000-0005-0000-0000-0000922A0000}"/>
    <cellStyle name="Normal 12 4 3 7 2" xfId="43526" xr:uid="{00000000-0005-0000-0000-0000932A0000}"/>
    <cellStyle name="Normal 12 4 3 8" xfId="41241" xr:uid="{00000000-0005-0000-0000-0000942A0000}"/>
    <cellStyle name="Normal 12 4 4" xfId="17856" xr:uid="{00000000-0005-0000-0000-0000952A0000}"/>
    <cellStyle name="Normal 12 4 4 2" xfId="20181" xr:uid="{00000000-0005-0000-0000-0000962A0000}"/>
    <cellStyle name="Normal 12 4 4 2 2" xfId="20182" xr:uid="{00000000-0005-0000-0000-0000972A0000}"/>
    <cellStyle name="Normal 12 4 4 2 2 2" xfId="43528" xr:uid="{00000000-0005-0000-0000-0000982A0000}"/>
    <cellStyle name="Normal 12 4 4 2 3" xfId="20183" xr:uid="{00000000-0005-0000-0000-0000992A0000}"/>
    <cellStyle name="Normal 12 4 4 2 3 2" xfId="43529" xr:uid="{00000000-0005-0000-0000-00009A2A0000}"/>
    <cellStyle name="Normal 12 4 4 2 4" xfId="43527" xr:uid="{00000000-0005-0000-0000-00009B2A0000}"/>
    <cellStyle name="Normal 12 4 4 3" xfId="20184" xr:uid="{00000000-0005-0000-0000-00009C2A0000}"/>
    <cellStyle name="Normal 12 4 4 3 2" xfId="20185" xr:uid="{00000000-0005-0000-0000-00009D2A0000}"/>
    <cellStyle name="Normal 12 4 4 3 2 2" xfId="43531" xr:uid="{00000000-0005-0000-0000-00009E2A0000}"/>
    <cellStyle name="Normal 12 4 4 3 3" xfId="43530" xr:uid="{00000000-0005-0000-0000-00009F2A0000}"/>
    <cellStyle name="Normal 12 4 4 4" xfId="20186" xr:uid="{00000000-0005-0000-0000-0000A02A0000}"/>
    <cellStyle name="Normal 12 4 4 4 2" xfId="43532" xr:uid="{00000000-0005-0000-0000-0000A12A0000}"/>
    <cellStyle name="Normal 12 4 4 5" xfId="20187" xr:uid="{00000000-0005-0000-0000-0000A22A0000}"/>
    <cellStyle name="Normal 12 4 4 5 2" xfId="43533" xr:uid="{00000000-0005-0000-0000-0000A32A0000}"/>
    <cellStyle name="Normal 12 4 4 6" xfId="20188" xr:uid="{00000000-0005-0000-0000-0000A42A0000}"/>
    <cellStyle name="Normal 12 4 4 6 2" xfId="43534" xr:uid="{00000000-0005-0000-0000-0000A52A0000}"/>
    <cellStyle name="Normal 12 4 4 7" xfId="41316" xr:uid="{00000000-0005-0000-0000-0000A62A0000}"/>
    <cellStyle name="Normal 12 4 5" xfId="20189" xr:uid="{00000000-0005-0000-0000-0000A72A0000}"/>
    <cellStyle name="Normal 12 4 5 2" xfId="20190" xr:uid="{00000000-0005-0000-0000-0000A82A0000}"/>
    <cellStyle name="Normal 12 4 5 2 2" xfId="43536" xr:uid="{00000000-0005-0000-0000-0000A92A0000}"/>
    <cellStyle name="Normal 12 4 5 3" xfId="20191" xr:uid="{00000000-0005-0000-0000-0000AA2A0000}"/>
    <cellStyle name="Normal 12 4 5 3 2" xfId="43537" xr:uid="{00000000-0005-0000-0000-0000AB2A0000}"/>
    <cellStyle name="Normal 12 4 5 4" xfId="43535" xr:uid="{00000000-0005-0000-0000-0000AC2A0000}"/>
    <cellStyle name="Normal 12 4 6" xfId="20192" xr:uid="{00000000-0005-0000-0000-0000AD2A0000}"/>
    <cellStyle name="Normal 12 4 6 2" xfId="20193" xr:uid="{00000000-0005-0000-0000-0000AE2A0000}"/>
    <cellStyle name="Normal 12 4 6 2 2" xfId="43539" xr:uid="{00000000-0005-0000-0000-0000AF2A0000}"/>
    <cellStyle name="Normal 12 4 6 3" xfId="43538" xr:uid="{00000000-0005-0000-0000-0000B02A0000}"/>
    <cellStyle name="Normal 12 4 7" xfId="20194" xr:uid="{00000000-0005-0000-0000-0000B12A0000}"/>
    <cellStyle name="Normal 12 4 7 2" xfId="43540" xr:uid="{00000000-0005-0000-0000-0000B22A0000}"/>
    <cellStyle name="Normal 12 4 8" xfId="20195" xr:uid="{00000000-0005-0000-0000-0000B32A0000}"/>
    <cellStyle name="Normal 12 4 8 2" xfId="43541" xr:uid="{00000000-0005-0000-0000-0000B42A0000}"/>
    <cellStyle name="Normal 12 4 9" xfId="20196" xr:uid="{00000000-0005-0000-0000-0000B52A0000}"/>
    <cellStyle name="Normal 12 4 9 2" xfId="43542" xr:uid="{00000000-0005-0000-0000-0000B62A0000}"/>
    <cellStyle name="Normal 12 5" xfId="3353" xr:uid="{00000000-0005-0000-0000-0000B72A0000}"/>
    <cellStyle name="Normal 12 5 2" xfId="17880" xr:uid="{00000000-0005-0000-0000-0000B82A0000}"/>
    <cellStyle name="Normal 12 5 2 2" xfId="20197" xr:uid="{00000000-0005-0000-0000-0000B92A0000}"/>
    <cellStyle name="Normal 12 5 2 2 2" xfId="20198" xr:uid="{00000000-0005-0000-0000-0000BA2A0000}"/>
    <cellStyle name="Normal 12 5 2 2 2 2" xfId="43544" xr:uid="{00000000-0005-0000-0000-0000BB2A0000}"/>
    <cellStyle name="Normal 12 5 2 2 3" xfId="20199" xr:uid="{00000000-0005-0000-0000-0000BC2A0000}"/>
    <cellStyle name="Normal 12 5 2 2 3 2" xfId="43545" xr:uid="{00000000-0005-0000-0000-0000BD2A0000}"/>
    <cellStyle name="Normal 12 5 2 2 4" xfId="43543" xr:uid="{00000000-0005-0000-0000-0000BE2A0000}"/>
    <cellStyle name="Normal 12 5 2 3" xfId="20200" xr:uid="{00000000-0005-0000-0000-0000BF2A0000}"/>
    <cellStyle name="Normal 12 5 2 3 2" xfId="20201" xr:uid="{00000000-0005-0000-0000-0000C02A0000}"/>
    <cellStyle name="Normal 12 5 2 3 2 2" xfId="43547" xr:uid="{00000000-0005-0000-0000-0000C12A0000}"/>
    <cellStyle name="Normal 12 5 2 3 3" xfId="43546" xr:uid="{00000000-0005-0000-0000-0000C22A0000}"/>
    <cellStyle name="Normal 12 5 2 4" xfId="20202" xr:uid="{00000000-0005-0000-0000-0000C32A0000}"/>
    <cellStyle name="Normal 12 5 2 4 2" xfId="43548" xr:uid="{00000000-0005-0000-0000-0000C42A0000}"/>
    <cellStyle name="Normal 12 5 2 5" xfId="20203" xr:uid="{00000000-0005-0000-0000-0000C52A0000}"/>
    <cellStyle name="Normal 12 5 2 5 2" xfId="43549" xr:uid="{00000000-0005-0000-0000-0000C62A0000}"/>
    <cellStyle name="Normal 12 5 2 6" xfId="20204" xr:uid="{00000000-0005-0000-0000-0000C72A0000}"/>
    <cellStyle name="Normal 12 5 2 6 2" xfId="43550" xr:uid="{00000000-0005-0000-0000-0000C82A0000}"/>
    <cellStyle name="Normal 12 5 2 7" xfId="41340" xr:uid="{00000000-0005-0000-0000-0000C92A0000}"/>
    <cellStyle name="Normal 12 5 3" xfId="20205" xr:uid="{00000000-0005-0000-0000-0000CA2A0000}"/>
    <cellStyle name="Normal 12 5 3 2" xfId="20206" xr:uid="{00000000-0005-0000-0000-0000CB2A0000}"/>
    <cellStyle name="Normal 12 5 3 2 2" xfId="43552" xr:uid="{00000000-0005-0000-0000-0000CC2A0000}"/>
    <cellStyle name="Normal 12 5 3 3" xfId="20207" xr:uid="{00000000-0005-0000-0000-0000CD2A0000}"/>
    <cellStyle name="Normal 12 5 3 3 2" xfId="43553" xr:uid="{00000000-0005-0000-0000-0000CE2A0000}"/>
    <cellStyle name="Normal 12 5 3 4" xfId="43551" xr:uid="{00000000-0005-0000-0000-0000CF2A0000}"/>
    <cellStyle name="Normal 12 5 4" xfId="20208" xr:uid="{00000000-0005-0000-0000-0000D02A0000}"/>
    <cellStyle name="Normal 12 5 4 2" xfId="20209" xr:uid="{00000000-0005-0000-0000-0000D12A0000}"/>
    <cellStyle name="Normal 12 5 4 2 2" xfId="43555" xr:uid="{00000000-0005-0000-0000-0000D22A0000}"/>
    <cellStyle name="Normal 12 5 4 3" xfId="43554" xr:uid="{00000000-0005-0000-0000-0000D32A0000}"/>
    <cellStyle name="Normal 12 5 5" xfId="20210" xr:uid="{00000000-0005-0000-0000-0000D42A0000}"/>
    <cellStyle name="Normal 12 5 5 2" xfId="43556" xr:uid="{00000000-0005-0000-0000-0000D52A0000}"/>
    <cellStyle name="Normal 12 5 6" xfId="20211" xr:uid="{00000000-0005-0000-0000-0000D62A0000}"/>
    <cellStyle name="Normal 12 5 6 2" xfId="43557" xr:uid="{00000000-0005-0000-0000-0000D72A0000}"/>
    <cellStyle name="Normal 12 5 7" xfId="20212" xr:uid="{00000000-0005-0000-0000-0000D82A0000}"/>
    <cellStyle name="Normal 12 5 7 2" xfId="43558" xr:uid="{00000000-0005-0000-0000-0000D92A0000}"/>
    <cellStyle name="Normal 12 5 8" xfId="17691" xr:uid="{00000000-0005-0000-0000-0000DA2A0000}"/>
    <cellStyle name="Normal 12 5 8 2" xfId="41151" xr:uid="{00000000-0005-0000-0000-0000DB2A0000}"/>
    <cellStyle name="Normal 12 6" xfId="17732" xr:uid="{00000000-0005-0000-0000-0000DC2A0000}"/>
    <cellStyle name="Normal 12 6 2" xfId="17964" xr:uid="{00000000-0005-0000-0000-0000DD2A0000}"/>
    <cellStyle name="Normal 12 6 2 2" xfId="20213" xr:uid="{00000000-0005-0000-0000-0000DE2A0000}"/>
    <cellStyle name="Normal 12 6 2 2 2" xfId="20214" xr:uid="{00000000-0005-0000-0000-0000DF2A0000}"/>
    <cellStyle name="Normal 12 6 2 2 2 2" xfId="43560" xr:uid="{00000000-0005-0000-0000-0000E02A0000}"/>
    <cellStyle name="Normal 12 6 2 2 3" xfId="20215" xr:uid="{00000000-0005-0000-0000-0000E12A0000}"/>
    <cellStyle name="Normal 12 6 2 2 3 2" xfId="43561" xr:uid="{00000000-0005-0000-0000-0000E22A0000}"/>
    <cellStyle name="Normal 12 6 2 2 4" xfId="43559" xr:uid="{00000000-0005-0000-0000-0000E32A0000}"/>
    <cellStyle name="Normal 12 6 2 3" xfId="20216" xr:uid="{00000000-0005-0000-0000-0000E42A0000}"/>
    <cellStyle name="Normal 12 6 2 3 2" xfId="20217" xr:uid="{00000000-0005-0000-0000-0000E52A0000}"/>
    <cellStyle name="Normal 12 6 2 3 2 2" xfId="43563" xr:uid="{00000000-0005-0000-0000-0000E62A0000}"/>
    <cellStyle name="Normal 12 6 2 3 3" xfId="43562" xr:uid="{00000000-0005-0000-0000-0000E72A0000}"/>
    <cellStyle name="Normal 12 6 2 4" xfId="20218" xr:uid="{00000000-0005-0000-0000-0000E82A0000}"/>
    <cellStyle name="Normal 12 6 2 4 2" xfId="43564" xr:uid="{00000000-0005-0000-0000-0000E92A0000}"/>
    <cellStyle name="Normal 12 6 2 5" xfId="20219" xr:uid="{00000000-0005-0000-0000-0000EA2A0000}"/>
    <cellStyle name="Normal 12 6 2 5 2" xfId="43565" xr:uid="{00000000-0005-0000-0000-0000EB2A0000}"/>
    <cellStyle name="Normal 12 6 2 6" xfId="20220" xr:uid="{00000000-0005-0000-0000-0000EC2A0000}"/>
    <cellStyle name="Normal 12 6 2 6 2" xfId="43566" xr:uid="{00000000-0005-0000-0000-0000ED2A0000}"/>
    <cellStyle name="Normal 12 6 2 7" xfId="41424" xr:uid="{00000000-0005-0000-0000-0000EE2A0000}"/>
    <cellStyle name="Normal 12 6 3" xfId="20221" xr:uid="{00000000-0005-0000-0000-0000EF2A0000}"/>
    <cellStyle name="Normal 12 6 3 2" xfId="20222" xr:uid="{00000000-0005-0000-0000-0000F02A0000}"/>
    <cellStyle name="Normal 12 6 3 2 2" xfId="43568" xr:uid="{00000000-0005-0000-0000-0000F12A0000}"/>
    <cellStyle name="Normal 12 6 3 3" xfId="20223" xr:uid="{00000000-0005-0000-0000-0000F22A0000}"/>
    <cellStyle name="Normal 12 6 3 3 2" xfId="43569" xr:uid="{00000000-0005-0000-0000-0000F32A0000}"/>
    <cellStyle name="Normal 12 6 3 4" xfId="43567" xr:uid="{00000000-0005-0000-0000-0000F42A0000}"/>
    <cellStyle name="Normal 12 6 4" xfId="20224" xr:uid="{00000000-0005-0000-0000-0000F52A0000}"/>
    <cellStyle name="Normal 12 6 4 2" xfId="20225" xr:uid="{00000000-0005-0000-0000-0000F62A0000}"/>
    <cellStyle name="Normal 12 6 4 2 2" xfId="43571" xr:uid="{00000000-0005-0000-0000-0000F72A0000}"/>
    <cellStyle name="Normal 12 6 4 3" xfId="43570" xr:uid="{00000000-0005-0000-0000-0000F82A0000}"/>
    <cellStyle name="Normal 12 6 5" xfId="20226" xr:uid="{00000000-0005-0000-0000-0000F92A0000}"/>
    <cellStyle name="Normal 12 6 5 2" xfId="43572" xr:uid="{00000000-0005-0000-0000-0000FA2A0000}"/>
    <cellStyle name="Normal 12 6 6" xfId="20227" xr:uid="{00000000-0005-0000-0000-0000FB2A0000}"/>
    <cellStyle name="Normal 12 6 6 2" xfId="43573" xr:uid="{00000000-0005-0000-0000-0000FC2A0000}"/>
    <cellStyle name="Normal 12 6 7" xfId="20228" xr:uid="{00000000-0005-0000-0000-0000FD2A0000}"/>
    <cellStyle name="Normal 12 6 7 2" xfId="43574" xr:uid="{00000000-0005-0000-0000-0000FE2A0000}"/>
    <cellStyle name="Normal 12 6 8" xfId="41192" xr:uid="{00000000-0005-0000-0000-0000FF2A0000}"/>
    <cellStyle name="Normal 12 7" xfId="17801" xr:uid="{00000000-0005-0000-0000-0000002B0000}"/>
    <cellStyle name="Normal 12 7 2" xfId="20229" xr:uid="{00000000-0005-0000-0000-0000012B0000}"/>
    <cellStyle name="Normal 12 7 2 2" xfId="20230" xr:uid="{00000000-0005-0000-0000-0000022B0000}"/>
    <cellStyle name="Normal 12 7 2 2 2" xfId="43576" xr:uid="{00000000-0005-0000-0000-0000032B0000}"/>
    <cellStyle name="Normal 12 7 2 3" xfId="20231" xr:uid="{00000000-0005-0000-0000-0000042B0000}"/>
    <cellStyle name="Normal 12 7 2 3 2" xfId="43577" xr:uid="{00000000-0005-0000-0000-0000052B0000}"/>
    <cellStyle name="Normal 12 7 2 4" xfId="43575" xr:uid="{00000000-0005-0000-0000-0000062B0000}"/>
    <cellStyle name="Normal 12 7 3" xfId="20232" xr:uid="{00000000-0005-0000-0000-0000072B0000}"/>
    <cellStyle name="Normal 12 7 3 2" xfId="20233" xr:uid="{00000000-0005-0000-0000-0000082B0000}"/>
    <cellStyle name="Normal 12 7 3 2 2" xfId="43579" xr:uid="{00000000-0005-0000-0000-0000092B0000}"/>
    <cellStyle name="Normal 12 7 3 3" xfId="43578" xr:uid="{00000000-0005-0000-0000-00000A2B0000}"/>
    <cellStyle name="Normal 12 7 4" xfId="20234" xr:uid="{00000000-0005-0000-0000-00000B2B0000}"/>
    <cellStyle name="Normal 12 7 4 2" xfId="43580" xr:uid="{00000000-0005-0000-0000-00000C2B0000}"/>
    <cellStyle name="Normal 12 7 5" xfId="20235" xr:uid="{00000000-0005-0000-0000-00000D2B0000}"/>
    <cellStyle name="Normal 12 7 5 2" xfId="43581" xr:uid="{00000000-0005-0000-0000-00000E2B0000}"/>
    <cellStyle name="Normal 12 7 6" xfId="20236" xr:uid="{00000000-0005-0000-0000-00000F2B0000}"/>
    <cellStyle name="Normal 12 7 6 2" xfId="43582" xr:uid="{00000000-0005-0000-0000-0000102B0000}"/>
    <cellStyle name="Normal 12 7 7" xfId="41261" xr:uid="{00000000-0005-0000-0000-0000112B0000}"/>
    <cellStyle name="Normal 12 8" xfId="20237" xr:uid="{00000000-0005-0000-0000-0000122B0000}"/>
    <cellStyle name="Normal 12 8 2" xfId="20238" xr:uid="{00000000-0005-0000-0000-0000132B0000}"/>
    <cellStyle name="Normal 12 8 2 2" xfId="43584" xr:uid="{00000000-0005-0000-0000-0000142B0000}"/>
    <cellStyle name="Normal 12 8 3" xfId="20239" xr:uid="{00000000-0005-0000-0000-0000152B0000}"/>
    <cellStyle name="Normal 12 8 3 2" xfId="43585" xr:uid="{00000000-0005-0000-0000-0000162B0000}"/>
    <cellStyle name="Normal 12 8 4" xfId="43583" xr:uid="{00000000-0005-0000-0000-0000172B0000}"/>
    <cellStyle name="Normal 12 9" xfId="20240" xr:uid="{00000000-0005-0000-0000-0000182B0000}"/>
    <cellStyle name="Normal 12 9 2" xfId="20241" xr:uid="{00000000-0005-0000-0000-0000192B0000}"/>
    <cellStyle name="Normal 12 9 2 2" xfId="43587" xr:uid="{00000000-0005-0000-0000-00001A2B0000}"/>
    <cellStyle name="Normal 12 9 3" xfId="43586" xr:uid="{00000000-0005-0000-0000-00001B2B0000}"/>
    <cellStyle name="Normal 13" xfId="81" xr:uid="{00000000-0005-0000-0000-00001C2B0000}"/>
    <cellStyle name="Normal 13 10" xfId="20242" xr:uid="{00000000-0005-0000-0000-00001D2B0000}"/>
    <cellStyle name="Normal 13 10 2" xfId="43588" xr:uid="{00000000-0005-0000-0000-00001E2B0000}"/>
    <cellStyle name="Normal 13 11" xfId="20243" xr:uid="{00000000-0005-0000-0000-00001F2B0000}"/>
    <cellStyle name="Normal 13 11 2" xfId="43589" xr:uid="{00000000-0005-0000-0000-0000202B0000}"/>
    <cellStyle name="Normal 13 12" xfId="20244" xr:uid="{00000000-0005-0000-0000-0000212B0000}"/>
    <cellStyle name="Normal 13 12 2" xfId="43590" xr:uid="{00000000-0005-0000-0000-0000222B0000}"/>
    <cellStyle name="Normal 13 13" xfId="23661" xr:uid="{00000000-0005-0000-0000-0000232B0000}"/>
    <cellStyle name="Normal 13 2" xfId="82" xr:uid="{00000000-0005-0000-0000-0000242B0000}"/>
    <cellStyle name="Normal 13 2 10" xfId="20245" xr:uid="{00000000-0005-0000-0000-0000252B0000}"/>
    <cellStyle name="Normal 13 2 10 2" xfId="43591" xr:uid="{00000000-0005-0000-0000-0000262B0000}"/>
    <cellStyle name="Normal 13 2 11" xfId="20246" xr:uid="{00000000-0005-0000-0000-0000272B0000}"/>
    <cellStyle name="Normal 13 2 11 2" xfId="43592" xr:uid="{00000000-0005-0000-0000-0000282B0000}"/>
    <cellStyle name="Normal 13 2 12" xfId="23662" xr:uid="{00000000-0005-0000-0000-0000292B0000}"/>
    <cellStyle name="Normal 13 2 2" xfId="83" xr:uid="{00000000-0005-0000-0000-00002A2B0000}"/>
    <cellStyle name="Normal 13 2 2 10" xfId="23663" xr:uid="{00000000-0005-0000-0000-00002B2B0000}"/>
    <cellStyle name="Normal 13 2 2 2" xfId="3380" xr:uid="{00000000-0005-0000-0000-00002C2B0000}"/>
    <cellStyle name="Normal 13 2 2 2 2" xfId="17912" xr:uid="{00000000-0005-0000-0000-00002D2B0000}"/>
    <cellStyle name="Normal 13 2 2 2 2 2" xfId="20247" xr:uid="{00000000-0005-0000-0000-00002E2B0000}"/>
    <cellStyle name="Normal 13 2 2 2 2 2 2" xfId="20248" xr:uid="{00000000-0005-0000-0000-00002F2B0000}"/>
    <cellStyle name="Normal 13 2 2 2 2 2 2 2" xfId="43594" xr:uid="{00000000-0005-0000-0000-0000302B0000}"/>
    <cellStyle name="Normal 13 2 2 2 2 2 3" xfId="20249" xr:uid="{00000000-0005-0000-0000-0000312B0000}"/>
    <cellStyle name="Normal 13 2 2 2 2 2 3 2" xfId="43595" xr:uid="{00000000-0005-0000-0000-0000322B0000}"/>
    <cellStyle name="Normal 13 2 2 2 2 2 4" xfId="43593" xr:uid="{00000000-0005-0000-0000-0000332B0000}"/>
    <cellStyle name="Normal 13 2 2 2 2 3" xfId="20250" xr:uid="{00000000-0005-0000-0000-0000342B0000}"/>
    <cellStyle name="Normal 13 2 2 2 2 3 2" xfId="20251" xr:uid="{00000000-0005-0000-0000-0000352B0000}"/>
    <cellStyle name="Normal 13 2 2 2 2 3 2 2" xfId="43597" xr:uid="{00000000-0005-0000-0000-0000362B0000}"/>
    <cellStyle name="Normal 13 2 2 2 2 3 3" xfId="43596" xr:uid="{00000000-0005-0000-0000-0000372B0000}"/>
    <cellStyle name="Normal 13 2 2 2 2 4" xfId="20252" xr:uid="{00000000-0005-0000-0000-0000382B0000}"/>
    <cellStyle name="Normal 13 2 2 2 2 4 2" xfId="43598" xr:uid="{00000000-0005-0000-0000-0000392B0000}"/>
    <cellStyle name="Normal 13 2 2 2 2 5" xfId="20253" xr:uid="{00000000-0005-0000-0000-00003A2B0000}"/>
    <cellStyle name="Normal 13 2 2 2 2 5 2" xfId="43599" xr:uid="{00000000-0005-0000-0000-00003B2B0000}"/>
    <cellStyle name="Normal 13 2 2 2 2 6" xfId="20254" xr:uid="{00000000-0005-0000-0000-00003C2B0000}"/>
    <cellStyle name="Normal 13 2 2 2 2 6 2" xfId="43600" xr:uid="{00000000-0005-0000-0000-00003D2B0000}"/>
    <cellStyle name="Normal 13 2 2 2 2 7" xfId="41372" xr:uid="{00000000-0005-0000-0000-00003E2B0000}"/>
    <cellStyle name="Normal 13 2 2 2 3" xfId="20255" xr:uid="{00000000-0005-0000-0000-00003F2B0000}"/>
    <cellStyle name="Normal 13 2 2 2 3 2" xfId="20256" xr:uid="{00000000-0005-0000-0000-0000402B0000}"/>
    <cellStyle name="Normal 13 2 2 2 3 2 2" xfId="43602" xr:uid="{00000000-0005-0000-0000-0000412B0000}"/>
    <cellStyle name="Normal 13 2 2 2 3 3" xfId="20257" xr:uid="{00000000-0005-0000-0000-0000422B0000}"/>
    <cellStyle name="Normal 13 2 2 2 3 3 2" xfId="43603" xr:uid="{00000000-0005-0000-0000-0000432B0000}"/>
    <cellStyle name="Normal 13 2 2 2 3 4" xfId="43601" xr:uid="{00000000-0005-0000-0000-0000442B0000}"/>
    <cellStyle name="Normal 13 2 2 2 4" xfId="20258" xr:uid="{00000000-0005-0000-0000-0000452B0000}"/>
    <cellStyle name="Normal 13 2 2 2 4 2" xfId="20259" xr:uid="{00000000-0005-0000-0000-0000462B0000}"/>
    <cellStyle name="Normal 13 2 2 2 4 2 2" xfId="43605" xr:uid="{00000000-0005-0000-0000-0000472B0000}"/>
    <cellStyle name="Normal 13 2 2 2 4 3" xfId="43604" xr:uid="{00000000-0005-0000-0000-0000482B0000}"/>
    <cellStyle name="Normal 13 2 2 2 5" xfId="20260" xr:uid="{00000000-0005-0000-0000-0000492B0000}"/>
    <cellStyle name="Normal 13 2 2 2 5 2" xfId="43606" xr:uid="{00000000-0005-0000-0000-00004A2B0000}"/>
    <cellStyle name="Normal 13 2 2 2 6" xfId="20261" xr:uid="{00000000-0005-0000-0000-00004B2B0000}"/>
    <cellStyle name="Normal 13 2 2 2 6 2" xfId="43607" xr:uid="{00000000-0005-0000-0000-00004C2B0000}"/>
    <cellStyle name="Normal 13 2 2 2 7" xfId="20262" xr:uid="{00000000-0005-0000-0000-00004D2B0000}"/>
    <cellStyle name="Normal 13 2 2 2 7 2" xfId="43608" xr:uid="{00000000-0005-0000-0000-00004E2B0000}"/>
    <cellStyle name="Normal 13 2 2 2 8" xfId="26891" xr:uid="{00000000-0005-0000-0000-00004F2B0000}"/>
    <cellStyle name="Normal 13 2 2 3" xfId="17754" xr:uid="{00000000-0005-0000-0000-0000502B0000}"/>
    <cellStyle name="Normal 13 2 2 3 2" xfId="17988" xr:uid="{00000000-0005-0000-0000-0000512B0000}"/>
    <cellStyle name="Normal 13 2 2 3 2 2" xfId="20263" xr:uid="{00000000-0005-0000-0000-0000522B0000}"/>
    <cellStyle name="Normal 13 2 2 3 2 2 2" xfId="20264" xr:uid="{00000000-0005-0000-0000-0000532B0000}"/>
    <cellStyle name="Normal 13 2 2 3 2 2 2 2" xfId="43610" xr:uid="{00000000-0005-0000-0000-0000542B0000}"/>
    <cellStyle name="Normal 13 2 2 3 2 2 3" xfId="20265" xr:uid="{00000000-0005-0000-0000-0000552B0000}"/>
    <cellStyle name="Normal 13 2 2 3 2 2 3 2" xfId="43611" xr:uid="{00000000-0005-0000-0000-0000562B0000}"/>
    <cellStyle name="Normal 13 2 2 3 2 2 4" xfId="43609" xr:uid="{00000000-0005-0000-0000-0000572B0000}"/>
    <cellStyle name="Normal 13 2 2 3 2 3" xfId="20266" xr:uid="{00000000-0005-0000-0000-0000582B0000}"/>
    <cellStyle name="Normal 13 2 2 3 2 3 2" xfId="20267" xr:uid="{00000000-0005-0000-0000-0000592B0000}"/>
    <cellStyle name="Normal 13 2 2 3 2 3 2 2" xfId="43613" xr:uid="{00000000-0005-0000-0000-00005A2B0000}"/>
    <cellStyle name="Normal 13 2 2 3 2 3 3" xfId="43612" xr:uid="{00000000-0005-0000-0000-00005B2B0000}"/>
    <cellStyle name="Normal 13 2 2 3 2 4" xfId="20268" xr:uid="{00000000-0005-0000-0000-00005C2B0000}"/>
    <cellStyle name="Normal 13 2 2 3 2 4 2" xfId="43614" xr:uid="{00000000-0005-0000-0000-00005D2B0000}"/>
    <cellStyle name="Normal 13 2 2 3 2 5" xfId="20269" xr:uid="{00000000-0005-0000-0000-00005E2B0000}"/>
    <cellStyle name="Normal 13 2 2 3 2 5 2" xfId="43615" xr:uid="{00000000-0005-0000-0000-00005F2B0000}"/>
    <cellStyle name="Normal 13 2 2 3 2 6" xfId="20270" xr:uid="{00000000-0005-0000-0000-0000602B0000}"/>
    <cellStyle name="Normal 13 2 2 3 2 6 2" xfId="43616" xr:uid="{00000000-0005-0000-0000-0000612B0000}"/>
    <cellStyle name="Normal 13 2 2 3 2 7" xfId="41448" xr:uid="{00000000-0005-0000-0000-0000622B0000}"/>
    <cellStyle name="Normal 13 2 2 3 3" xfId="20271" xr:uid="{00000000-0005-0000-0000-0000632B0000}"/>
    <cellStyle name="Normal 13 2 2 3 3 2" xfId="20272" xr:uid="{00000000-0005-0000-0000-0000642B0000}"/>
    <cellStyle name="Normal 13 2 2 3 3 2 2" xfId="43618" xr:uid="{00000000-0005-0000-0000-0000652B0000}"/>
    <cellStyle name="Normal 13 2 2 3 3 3" xfId="20273" xr:uid="{00000000-0005-0000-0000-0000662B0000}"/>
    <cellStyle name="Normal 13 2 2 3 3 3 2" xfId="43619" xr:uid="{00000000-0005-0000-0000-0000672B0000}"/>
    <cellStyle name="Normal 13 2 2 3 3 4" xfId="43617" xr:uid="{00000000-0005-0000-0000-0000682B0000}"/>
    <cellStyle name="Normal 13 2 2 3 4" xfId="20274" xr:uid="{00000000-0005-0000-0000-0000692B0000}"/>
    <cellStyle name="Normal 13 2 2 3 4 2" xfId="20275" xr:uid="{00000000-0005-0000-0000-00006A2B0000}"/>
    <cellStyle name="Normal 13 2 2 3 4 2 2" xfId="43621" xr:uid="{00000000-0005-0000-0000-00006B2B0000}"/>
    <cellStyle name="Normal 13 2 2 3 4 3" xfId="43620" xr:uid="{00000000-0005-0000-0000-00006C2B0000}"/>
    <cellStyle name="Normal 13 2 2 3 5" xfId="20276" xr:uid="{00000000-0005-0000-0000-00006D2B0000}"/>
    <cellStyle name="Normal 13 2 2 3 5 2" xfId="43622" xr:uid="{00000000-0005-0000-0000-00006E2B0000}"/>
    <cellStyle name="Normal 13 2 2 3 6" xfId="20277" xr:uid="{00000000-0005-0000-0000-00006F2B0000}"/>
    <cellStyle name="Normal 13 2 2 3 6 2" xfId="43623" xr:uid="{00000000-0005-0000-0000-0000702B0000}"/>
    <cellStyle name="Normal 13 2 2 3 7" xfId="20278" xr:uid="{00000000-0005-0000-0000-0000712B0000}"/>
    <cellStyle name="Normal 13 2 2 3 7 2" xfId="43624" xr:uid="{00000000-0005-0000-0000-0000722B0000}"/>
    <cellStyle name="Normal 13 2 2 3 8" xfId="41214" xr:uid="{00000000-0005-0000-0000-0000732B0000}"/>
    <cellStyle name="Normal 13 2 2 4" xfId="17837" xr:uid="{00000000-0005-0000-0000-0000742B0000}"/>
    <cellStyle name="Normal 13 2 2 4 2" xfId="20279" xr:uid="{00000000-0005-0000-0000-0000752B0000}"/>
    <cellStyle name="Normal 13 2 2 4 2 2" xfId="20280" xr:uid="{00000000-0005-0000-0000-0000762B0000}"/>
    <cellStyle name="Normal 13 2 2 4 2 2 2" xfId="43626" xr:uid="{00000000-0005-0000-0000-0000772B0000}"/>
    <cellStyle name="Normal 13 2 2 4 2 3" xfId="20281" xr:uid="{00000000-0005-0000-0000-0000782B0000}"/>
    <cellStyle name="Normal 13 2 2 4 2 3 2" xfId="43627" xr:uid="{00000000-0005-0000-0000-0000792B0000}"/>
    <cellStyle name="Normal 13 2 2 4 2 4" xfId="43625" xr:uid="{00000000-0005-0000-0000-00007A2B0000}"/>
    <cellStyle name="Normal 13 2 2 4 3" xfId="20282" xr:uid="{00000000-0005-0000-0000-00007B2B0000}"/>
    <cellStyle name="Normal 13 2 2 4 3 2" xfId="20283" xr:uid="{00000000-0005-0000-0000-00007C2B0000}"/>
    <cellStyle name="Normal 13 2 2 4 3 2 2" xfId="43629" xr:uid="{00000000-0005-0000-0000-00007D2B0000}"/>
    <cellStyle name="Normal 13 2 2 4 3 3" xfId="43628" xr:uid="{00000000-0005-0000-0000-00007E2B0000}"/>
    <cellStyle name="Normal 13 2 2 4 4" xfId="20284" xr:uid="{00000000-0005-0000-0000-00007F2B0000}"/>
    <cellStyle name="Normal 13 2 2 4 4 2" xfId="43630" xr:uid="{00000000-0005-0000-0000-0000802B0000}"/>
    <cellStyle name="Normal 13 2 2 4 5" xfId="20285" xr:uid="{00000000-0005-0000-0000-0000812B0000}"/>
    <cellStyle name="Normal 13 2 2 4 5 2" xfId="43631" xr:uid="{00000000-0005-0000-0000-0000822B0000}"/>
    <cellStyle name="Normal 13 2 2 4 6" xfId="20286" xr:uid="{00000000-0005-0000-0000-0000832B0000}"/>
    <cellStyle name="Normal 13 2 2 4 6 2" xfId="43632" xr:uid="{00000000-0005-0000-0000-0000842B0000}"/>
    <cellStyle name="Normal 13 2 2 4 7" xfId="41297" xr:uid="{00000000-0005-0000-0000-0000852B0000}"/>
    <cellStyle name="Normal 13 2 2 5" xfId="20287" xr:uid="{00000000-0005-0000-0000-0000862B0000}"/>
    <cellStyle name="Normal 13 2 2 5 2" xfId="20288" xr:uid="{00000000-0005-0000-0000-0000872B0000}"/>
    <cellStyle name="Normal 13 2 2 5 2 2" xfId="43634" xr:uid="{00000000-0005-0000-0000-0000882B0000}"/>
    <cellStyle name="Normal 13 2 2 5 3" xfId="20289" xr:uid="{00000000-0005-0000-0000-0000892B0000}"/>
    <cellStyle name="Normal 13 2 2 5 3 2" xfId="43635" xr:uid="{00000000-0005-0000-0000-00008A2B0000}"/>
    <cellStyle name="Normal 13 2 2 5 4" xfId="43633" xr:uid="{00000000-0005-0000-0000-00008B2B0000}"/>
    <cellStyle name="Normal 13 2 2 6" xfId="20290" xr:uid="{00000000-0005-0000-0000-00008C2B0000}"/>
    <cellStyle name="Normal 13 2 2 6 2" xfId="20291" xr:uid="{00000000-0005-0000-0000-00008D2B0000}"/>
    <cellStyle name="Normal 13 2 2 6 2 2" xfId="43637" xr:uid="{00000000-0005-0000-0000-00008E2B0000}"/>
    <cellStyle name="Normal 13 2 2 6 3" xfId="43636" xr:uid="{00000000-0005-0000-0000-00008F2B0000}"/>
    <cellStyle name="Normal 13 2 2 7" xfId="20292" xr:uid="{00000000-0005-0000-0000-0000902B0000}"/>
    <cellStyle name="Normal 13 2 2 7 2" xfId="43638" xr:uid="{00000000-0005-0000-0000-0000912B0000}"/>
    <cellStyle name="Normal 13 2 2 8" xfId="20293" xr:uid="{00000000-0005-0000-0000-0000922B0000}"/>
    <cellStyle name="Normal 13 2 2 8 2" xfId="43639" xr:uid="{00000000-0005-0000-0000-0000932B0000}"/>
    <cellStyle name="Normal 13 2 2 9" xfId="20294" xr:uid="{00000000-0005-0000-0000-0000942B0000}"/>
    <cellStyle name="Normal 13 2 2 9 2" xfId="43640" xr:uid="{00000000-0005-0000-0000-0000952B0000}"/>
    <cellStyle name="Normal 13 2 3" xfId="3381" xr:uid="{00000000-0005-0000-0000-0000962B0000}"/>
    <cellStyle name="Normal 13 2 3 10" xfId="26892" xr:uid="{00000000-0005-0000-0000-0000972B0000}"/>
    <cellStyle name="Normal 13 2 3 2" xfId="17715" xr:uid="{00000000-0005-0000-0000-0000982B0000}"/>
    <cellStyle name="Normal 13 2 3 2 2" xfId="17944" xr:uid="{00000000-0005-0000-0000-0000992B0000}"/>
    <cellStyle name="Normal 13 2 3 2 2 2" xfId="20295" xr:uid="{00000000-0005-0000-0000-00009A2B0000}"/>
    <cellStyle name="Normal 13 2 3 2 2 2 2" xfId="20296" xr:uid="{00000000-0005-0000-0000-00009B2B0000}"/>
    <cellStyle name="Normal 13 2 3 2 2 2 2 2" xfId="43642" xr:uid="{00000000-0005-0000-0000-00009C2B0000}"/>
    <cellStyle name="Normal 13 2 3 2 2 2 3" xfId="20297" xr:uid="{00000000-0005-0000-0000-00009D2B0000}"/>
    <cellStyle name="Normal 13 2 3 2 2 2 3 2" xfId="43643" xr:uid="{00000000-0005-0000-0000-00009E2B0000}"/>
    <cellStyle name="Normal 13 2 3 2 2 2 4" xfId="43641" xr:uid="{00000000-0005-0000-0000-00009F2B0000}"/>
    <cellStyle name="Normal 13 2 3 2 2 3" xfId="20298" xr:uid="{00000000-0005-0000-0000-0000A02B0000}"/>
    <cellStyle name="Normal 13 2 3 2 2 3 2" xfId="20299" xr:uid="{00000000-0005-0000-0000-0000A12B0000}"/>
    <cellStyle name="Normal 13 2 3 2 2 3 2 2" xfId="43645" xr:uid="{00000000-0005-0000-0000-0000A22B0000}"/>
    <cellStyle name="Normal 13 2 3 2 2 3 3" xfId="43644" xr:uid="{00000000-0005-0000-0000-0000A32B0000}"/>
    <cellStyle name="Normal 13 2 3 2 2 4" xfId="20300" xr:uid="{00000000-0005-0000-0000-0000A42B0000}"/>
    <cellStyle name="Normal 13 2 3 2 2 4 2" xfId="43646" xr:uid="{00000000-0005-0000-0000-0000A52B0000}"/>
    <cellStyle name="Normal 13 2 3 2 2 5" xfId="20301" xr:uid="{00000000-0005-0000-0000-0000A62B0000}"/>
    <cellStyle name="Normal 13 2 3 2 2 5 2" xfId="43647" xr:uid="{00000000-0005-0000-0000-0000A72B0000}"/>
    <cellStyle name="Normal 13 2 3 2 2 6" xfId="20302" xr:uid="{00000000-0005-0000-0000-0000A82B0000}"/>
    <cellStyle name="Normal 13 2 3 2 2 6 2" xfId="43648" xr:uid="{00000000-0005-0000-0000-0000A92B0000}"/>
    <cellStyle name="Normal 13 2 3 2 2 7" xfId="41404" xr:uid="{00000000-0005-0000-0000-0000AA2B0000}"/>
    <cellStyle name="Normal 13 2 3 2 3" xfId="20303" xr:uid="{00000000-0005-0000-0000-0000AB2B0000}"/>
    <cellStyle name="Normal 13 2 3 2 3 2" xfId="20304" xr:uid="{00000000-0005-0000-0000-0000AC2B0000}"/>
    <cellStyle name="Normal 13 2 3 2 3 2 2" xfId="43650" xr:uid="{00000000-0005-0000-0000-0000AD2B0000}"/>
    <cellStyle name="Normal 13 2 3 2 3 3" xfId="20305" xr:uid="{00000000-0005-0000-0000-0000AE2B0000}"/>
    <cellStyle name="Normal 13 2 3 2 3 3 2" xfId="43651" xr:uid="{00000000-0005-0000-0000-0000AF2B0000}"/>
    <cellStyle name="Normal 13 2 3 2 3 4" xfId="43649" xr:uid="{00000000-0005-0000-0000-0000B02B0000}"/>
    <cellStyle name="Normal 13 2 3 2 4" xfId="20306" xr:uid="{00000000-0005-0000-0000-0000B12B0000}"/>
    <cellStyle name="Normal 13 2 3 2 4 2" xfId="20307" xr:uid="{00000000-0005-0000-0000-0000B22B0000}"/>
    <cellStyle name="Normal 13 2 3 2 4 2 2" xfId="43653" xr:uid="{00000000-0005-0000-0000-0000B32B0000}"/>
    <cellStyle name="Normal 13 2 3 2 4 3" xfId="43652" xr:uid="{00000000-0005-0000-0000-0000B42B0000}"/>
    <cellStyle name="Normal 13 2 3 2 5" xfId="20308" xr:uid="{00000000-0005-0000-0000-0000B52B0000}"/>
    <cellStyle name="Normal 13 2 3 2 5 2" xfId="43654" xr:uid="{00000000-0005-0000-0000-0000B62B0000}"/>
    <cellStyle name="Normal 13 2 3 2 6" xfId="20309" xr:uid="{00000000-0005-0000-0000-0000B72B0000}"/>
    <cellStyle name="Normal 13 2 3 2 6 2" xfId="43655" xr:uid="{00000000-0005-0000-0000-0000B82B0000}"/>
    <cellStyle name="Normal 13 2 3 2 7" xfId="20310" xr:uid="{00000000-0005-0000-0000-0000B92B0000}"/>
    <cellStyle name="Normal 13 2 3 2 7 2" xfId="43656" xr:uid="{00000000-0005-0000-0000-0000BA2B0000}"/>
    <cellStyle name="Normal 13 2 3 2 8" xfId="41175" xr:uid="{00000000-0005-0000-0000-0000BB2B0000}"/>
    <cellStyle name="Normal 13 2 3 3" xfId="17782" xr:uid="{00000000-0005-0000-0000-0000BC2B0000}"/>
    <cellStyle name="Normal 13 2 3 3 2" xfId="18018" xr:uid="{00000000-0005-0000-0000-0000BD2B0000}"/>
    <cellStyle name="Normal 13 2 3 3 2 2" xfId="20311" xr:uid="{00000000-0005-0000-0000-0000BE2B0000}"/>
    <cellStyle name="Normal 13 2 3 3 2 2 2" xfId="20312" xr:uid="{00000000-0005-0000-0000-0000BF2B0000}"/>
    <cellStyle name="Normal 13 2 3 3 2 2 2 2" xfId="43658" xr:uid="{00000000-0005-0000-0000-0000C02B0000}"/>
    <cellStyle name="Normal 13 2 3 3 2 2 3" xfId="20313" xr:uid="{00000000-0005-0000-0000-0000C12B0000}"/>
    <cellStyle name="Normal 13 2 3 3 2 2 3 2" xfId="43659" xr:uid="{00000000-0005-0000-0000-0000C22B0000}"/>
    <cellStyle name="Normal 13 2 3 3 2 2 4" xfId="43657" xr:uid="{00000000-0005-0000-0000-0000C32B0000}"/>
    <cellStyle name="Normal 13 2 3 3 2 3" xfId="20314" xr:uid="{00000000-0005-0000-0000-0000C42B0000}"/>
    <cellStyle name="Normal 13 2 3 3 2 3 2" xfId="20315" xr:uid="{00000000-0005-0000-0000-0000C52B0000}"/>
    <cellStyle name="Normal 13 2 3 3 2 3 2 2" xfId="43661" xr:uid="{00000000-0005-0000-0000-0000C62B0000}"/>
    <cellStyle name="Normal 13 2 3 3 2 3 3" xfId="43660" xr:uid="{00000000-0005-0000-0000-0000C72B0000}"/>
    <cellStyle name="Normal 13 2 3 3 2 4" xfId="20316" xr:uid="{00000000-0005-0000-0000-0000C82B0000}"/>
    <cellStyle name="Normal 13 2 3 3 2 4 2" xfId="43662" xr:uid="{00000000-0005-0000-0000-0000C92B0000}"/>
    <cellStyle name="Normal 13 2 3 3 2 5" xfId="20317" xr:uid="{00000000-0005-0000-0000-0000CA2B0000}"/>
    <cellStyle name="Normal 13 2 3 3 2 5 2" xfId="43663" xr:uid="{00000000-0005-0000-0000-0000CB2B0000}"/>
    <cellStyle name="Normal 13 2 3 3 2 6" xfId="20318" xr:uid="{00000000-0005-0000-0000-0000CC2B0000}"/>
    <cellStyle name="Normal 13 2 3 3 2 6 2" xfId="43664" xr:uid="{00000000-0005-0000-0000-0000CD2B0000}"/>
    <cellStyle name="Normal 13 2 3 3 2 7" xfId="41478" xr:uid="{00000000-0005-0000-0000-0000CE2B0000}"/>
    <cellStyle name="Normal 13 2 3 3 3" xfId="20319" xr:uid="{00000000-0005-0000-0000-0000CF2B0000}"/>
    <cellStyle name="Normal 13 2 3 3 3 2" xfId="20320" xr:uid="{00000000-0005-0000-0000-0000D02B0000}"/>
    <cellStyle name="Normal 13 2 3 3 3 2 2" xfId="43666" xr:uid="{00000000-0005-0000-0000-0000D12B0000}"/>
    <cellStyle name="Normal 13 2 3 3 3 3" xfId="20321" xr:uid="{00000000-0005-0000-0000-0000D22B0000}"/>
    <cellStyle name="Normal 13 2 3 3 3 3 2" xfId="43667" xr:uid="{00000000-0005-0000-0000-0000D32B0000}"/>
    <cellStyle name="Normal 13 2 3 3 3 4" xfId="43665" xr:uid="{00000000-0005-0000-0000-0000D42B0000}"/>
    <cellStyle name="Normal 13 2 3 3 4" xfId="20322" xr:uid="{00000000-0005-0000-0000-0000D52B0000}"/>
    <cellStyle name="Normal 13 2 3 3 4 2" xfId="20323" xr:uid="{00000000-0005-0000-0000-0000D62B0000}"/>
    <cellStyle name="Normal 13 2 3 3 4 2 2" xfId="43669" xr:uid="{00000000-0005-0000-0000-0000D72B0000}"/>
    <cellStyle name="Normal 13 2 3 3 4 3" xfId="43668" xr:uid="{00000000-0005-0000-0000-0000D82B0000}"/>
    <cellStyle name="Normal 13 2 3 3 5" xfId="20324" xr:uid="{00000000-0005-0000-0000-0000D92B0000}"/>
    <cellStyle name="Normal 13 2 3 3 5 2" xfId="43670" xr:uid="{00000000-0005-0000-0000-0000DA2B0000}"/>
    <cellStyle name="Normal 13 2 3 3 6" xfId="20325" xr:uid="{00000000-0005-0000-0000-0000DB2B0000}"/>
    <cellStyle name="Normal 13 2 3 3 6 2" xfId="43671" xr:uid="{00000000-0005-0000-0000-0000DC2B0000}"/>
    <cellStyle name="Normal 13 2 3 3 7" xfId="20326" xr:uid="{00000000-0005-0000-0000-0000DD2B0000}"/>
    <cellStyle name="Normal 13 2 3 3 7 2" xfId="43672" xr:uid="{00000000-0005-0000-0000-0000DE2B0000}"/>
    <cellStyle name="Normal 13 2 3 3 8" xfId="41242" xr:uid="{00000000-0005-0000-0000-0000DF2B0000}"/>
    <cellStyle name="Normal 13 2 3 4" xfId="17872" xr:uid="{00000000-0005-0000-0000-0000E02B0000}"/>
    <cellStyle name="Normal 13 2 3 4 2" xfId="20327" xr:uid="{00000000-0005-0000-0000-0000E12B0000}"/>
    <cellStyle name="Normal 13 2 3 4 2 2" xfId="20328" xr:uid="{00000000-0005-0000-0000-0000E22B0000}"/>
    <cellStyle name="Normal 13 2 3 4 2 2 2" xfId="43674" xr:uid="{00000000-0005-0000-0000-0000E32B0000}"/>
    <cellStyle name="Normal 13 2 3 4 2 3" xfId="20329" xr:uid="{00000000-0005-0000-0000-0000E42B0000}"/>
    <cellStyle name="Normal 13 2 3 4 2 3 2" xfId="43675" xr:uid="{00000000-0005-0000-0000-0000E52B0000}"/>
    <cellStyle name="Normal 13 2 3 4 2 4" xfId="43673" xr:uid="{00000000-0005-0000-0000-0000E62B0000}"/>
    <cellStyle name="Normal 13 2 3 4 3" xfId="20330" xr:uid="{00000000-0005-0000-0000-0000E72B0000}"/>
    <cellStyle name="Normal 13 2 3 4 3 2" xfId="20331" xr:uid="{00000000-0005-0000-0000-0000E82B0000}"/>
    <cellStyle name="Normal 13 2 3 4 3 2 2" xfId="43677" xr:uid="{00000000-0005-0000-0000-0000E92B0000}"/>
    <cellStyle name="Normal 13 2 3 4 3 3" xfId="43676" xr:uid="{00000000-0005-0000-0000-0000EA2B0000}"/>
    <cellStyle name="Normal 13 2 3 4 4" xfId="20332" xr:uid="{00000000-0005-0000-0000-0000EB2B0000}"/>
    <cellStyle name="Normal 13 2 3 4 4 2" xfId="43678" xr:uid="{00000000-0005-0000-0000-0000EC2B0000}"/>
    <cellStyle name="Normal 13 2 3 4 5" xfId="20333" xr:uid="{00000000-0005-0000-0000-0000ED2B0000}"/>
    <cellStyle name="Normal 13 2 3 4 5 2" xfId="43679" xr:uid="{00000000-0005-0000-0000-0000EE2B0000}"/>
    <cellStyle name="Normal 13 2 3 4 6" xfId="20334" xr:uid="{00000000-0005-0000-0000-0000EF2B0000}"/>
    <cellStyle name="Normal 13 2 3 4 6 2" xfId="43680" xr:uid="{00000000-0005-0000-0000-0000F02B0000}"/>
    <cellStyle name="Normal 13 2 3 4 7" xfId="41332" xr:uid="{00000000-0005-0000-0000-0000F12B0000}"/>
    <cellStyle name="Normal 13 2 3 5" xfId="20335" xr:uid="{00000000-0005-0000-0000-0000F22B0000}"/>
    <cellStyle name="Normal 13 2 3 5 2" xfId="20336" xr:uid="{00000000-0005-0000-0000-0000F32B0000}"/>
    <cellStyle name="Normal 13 2 3 5 2 2" xfId="43682" xr:uid="{00000000-0005-0000-0000-0000F42B0000}"/>
    <cellStyle name="Normal 13 2 3 5 3" xfId="20337" xr:uid="{00000000-0005-0000-0000-0000F52B0000}"/>
    <cellStyle name="Normal 13 2 3 5 3 2" xfId="43683" xr:uid="{00000000-0005-0000-0000-0000F62B0000}"/>
    <cellStyle name="Normal 13 2 3 5 4" xfId="43681" xr:uid="{00000000-0005-0000-0000-0000F72B0000}"/>
    <cellStyle name="Normal 13 2 3 6" xfId="20338" xr:uid="{00000000-0005-0000-0000-0000F82B0000}"/>
    <cellStyle name="Normal 13 2 3 6 2" xfId="20339" xr:uid="{00000000-0005-0000-0000-0000F92B0000}"/>
    <cellStyle name="Normal 13 2 3 6 2 2" xfId="43685" xr:uid="{00000000-0005-0000-0000-0000FA2B0000}"/>
    <cellStyle name="Normal 13 2 3 6 3" xfId="43684" xr:uid="{00000000-0005-0000-0000-0000FB2B0000}"/>
    <cellStyle name="Normal 13 2 3 7" xfId="20340" xr:uid="{00000000-0005-0000-0000-0000FC2B0000}"/>
    <cellStyle name="Normal 13 2 3 7 2" xfId="43686" xr:uid="{00000000-0005-0000-0000-0000FD2B0000}"/>
    <cellStyle name="Normal 13 2 3 8" xfId="20341" xr:uid="{00000000-0005-0000-0000-0000FE2B0000}"/>
    <cellStyle name="Normal 13 2 3 8 2" xfId="43687" xr:uid="{00000000-0005-0000-0000-0000FF2B0000}"/>
    <cellStyle name="Normal 13 2 3 9" xfId="20342" xr:uid="{00000000-0005-0000-0000-0000002C0000}"/>
    <cellStyle name="Normal 13 2 3 9 2" xfId="43688" xr:uid="{00000000-0005-0000-0000-0000012C0000}"/>
    <cellStyle name="Normal 13 2 4" xfId="17704" xr:uid="{00000000-0005-0000-0000-0000022C0000}"/>
    <cellStyle name="Normal 13 2 4 2" xfId="17894" xr:uid="{00000000-0005-0000-0000-0000032C0000}"/>
    <cellStyle name="Normal 13 2 4 2 2" xfId="20343" xr:uid="{00000000-0005-0000-0000-0000042C0000}"/>
    <cellStyle name="Normal 13 2 4 2 2 2" xfId="20344" xr:uid="{00000000-0005-0000-0000-0000052C0000}"/>
    <cellStyle name="Normal 13 2 4 2 2 2 2" xfId="43690" xr:uid="{00000000-0005-0000-0000-0000062C0000}"/>
    <cellStyle name="Normal 13 2 4 2 2 3" xfId="20345" xr:uid="{00000000-0005-0000-0000-0000072C0000}"/>
    <cellStyle name="Normal 13 2 4 2 2 3 2" xfId="43691" xr:uid="{00000000-0005-0000-0000-0000082C0000}"/>
    <cellStyle name="Normal 13 2 4 2 2 4" xfId="43689" xr:uid="{00000000-0005-0000-0000-0000092C0000}"/>
    <cellStyle name="Normal 13 2 4 2 3" xfId="20346" xr:uid="{00000000-0005-0000-0000-00000A2C0000}"/>
    <cellStyle name="Normal 13 2 4 2 3 2" xfId="20347" xr:uid="{00000000-0005-0000-0000-00000B2C0000}"/>
    <cellStyle name="Normal 13 2 4 2 3 2 2" xfId="43693" xr:uid="{00000000-0005-0000-0000-00000C2C0000}"/>
    <cellStyle name="Normal 13 2 4 2 3 3" xfId="43692" xr:uid="{00000000-0005-0000-0000-00000D2C0000}"/>
    <cellStyle name="Normal 13 2 4 2 4" xfId="20348" xr:uid="{00000000-0005-0000-0000-00000E2C0000}"/>
    <cellStyle name="Normal 13 2 4 2 4 2" xfId="43694" xr:uid="{00000000-0005-0000-0000-00000F2C0000}"/>
    <cellStyle name="Normal 13 2 4 2 5" xfId="20349" xr:uid="{00000000-0005-0000-0000-0000102C0000}"/>
    <cellStyle name="Normal 13 2 4 2 5 2" xfId="43695" xr:uid="{00000000-0005-0000-0000-0000112C0000}"/>
    <cellStyle name="Normal 13 2 4 2 6" xfId="20350" xr:uid="{00000000-0005-0000-0000-0000122C0000}"/>
    <cellStyle name="Normal 13 2 4 2 6 2" xfId="43696" xr:uid="{00000000-0005-0000-0000-0000132C0000}"/>
    <cellStyle name="Normal 13 2 4 2 7" xfId="41354" xr:uid="{00000000-0005-0000-0000-0000142C0000}"/>
    <cellStyle name="Normal 13 2 4 3" xfId="20351" xr:uid="{00000000-0005-0000-0000-0000152C0000}"/>
    <cellStyle name="Normal 13 2 4 3 2" xfId="20352" xr:uid="{00000000-0005-0000-0000-0000162C0000}"/>
    <cellStyle name="Normal 13 2 4 3 2 2" xfId="43698" xr:uid="{00000000-0005-0000-0000-0000172C0000}"/>
    <cellStyle name="Normal 13 2 4 3 3" xfId="20353" xr:uid="{00000000-0005-0000-0000-0000182C0000}"/>
    <cellStyle name="Normal 13 2 4 3 3 2" xfId="43699" xr:uid="{00000000-0005-0000-0000-0000192C0000}"/>
    <cellStyle name="Normal 13 2 4 3 4" xfId="43697" xr:uid="{00000000-0005-0000-0000-00001A2C0000}"/>
    <cellStyle name="Normal 13 2 4 4" xfId="20354" xr:uid="{00000000-0005-0000-0000-00001B2C0000}"/>
    <cellStyle name="Normal 13 2 4 4 2" xfId="20355" xr:uid="{00000000-0005-0000-0000-00001C2C0000}"/>
    <cellStyle name="Normal 13 2 4 4 2 2" xfId="43701" xr:uid="{00000000-0005-0000-0000-00001D2C0000}"/>
    <cellStyle name="Normal 13 2 4 4 3" xfId="43700" xr:uid="{00000000-0005-0000-0000-00001E2C0000}"/>
    <cellStyle name="Normal 13 2 4 5" xfId="20356" xr:uid="{00000000-0005-0000-0000-00001F2C0000}"/>
    <cellStyle name="Normal 13 2 4 5 2" xfId="43702" xr:uid="{00000000-0005-0000-0000-0000202C0000}"/>
    <cellStyle name="Normal 13 2 4 6" xfId="20357" xr:uid="{00000000-0005-0000-0000-0000212C0000}"/>
    <cellStyle name="Normal 13 2 4 6 2" xfId="43703" xr:uid="{00000000-0005-0000-0000-0000222C0000}"/>
    <cellStyle name="Normal 13 2 4 7" xfId="20358" xr:uid="{00000000-0005-0000-0000-0000232C0000}"/>
    <cellStyle name="Normal 13 2 4 7 2" xfId="43704" xr:uid="{00000000-0005-0000-0000-0000242C0000}"/>
    <cellStyle name="Normal 13 2 4 8" xfId="41164" xr:uid="{00000000-0005-0000-0000-0000252C0000}"/>
    <cellStyle name="Normal 13 2 5" xfId="17734" xr:uid="{00000000-0005-0000-0000-0000262C0000}"/>
    <cellStyle name="Normal 13 2 5 2" xfId="17966" xr:uid="{00000000-0005-0000-0000-0000272C0000}"/>
    <cellStyle name="Normal 13 2 5 2 2" xfId="20359" xr:uid="{00000000-0005-0000-0000-0000282C0000}"/>
    <cellStyle name="Normal 13 2 5 2 2 2" xfId="20360" xr:uid="{00000000-0005-0000-0000-0000292C0000}"/>
    <cellStyle name="Normal 13 2 5 2 2 2 2" xfId="43706" xr:uid="{00000000-0005-0000-0000-00002A2C0000}"/>
    <cellStyle name="Normal 13 2 5 2 2 3" xfId="20361" xr:uid="{00000000-0005-0000-0000-00002B2C0000}"/>
    <cellStyle name="Normal 13 2 5 2 2 3 2" xfId="43707" xr:uid="{00000000-0005-0000-0000-00002C2C0000}"/>
    <cellStyle name="Normal 13 2 5 2 2 4" xfId="43705" xr:uid="{00000000-0005-0000-0000-00002D2C0000}"/>
    <cellStyle name="Normal 13 2 5 2 3" xfId="20362" xr:uid="{00000000-0005-0000-0000-00002E2C0000}"/>
    <cellStyle name="Normal 13 2 5 2 3 2" xfId="20363" xr:uid="{00000000-0005-0000-0000-00002F2C0000}"/>
    <cellStyle name="Normal 13 2 5 2 3 2 2" xfId="43709" xr:uid="{00000000-0005-0000-0000-0000302C0000}"/>
    <cellStyle name="Normal 13 2 5 2 3 3" xfId="43708" xr:uid="{00000000-0005-0000-0000-0000312C0000}"/>
    <cellStyle name="Normal 13 2 5 2 4" xfId="20364" xr:uid="{00000000-0005-0000-0000-0000322C0000}"/>
    <cellStyle name="Normal 13 2 5 2 4 2" xfId="43710" xr:uid="{00000000-0005-0000-0000-0000332C0000}"/>
    <cellStyle name="Normal 13 2 5 2 5" xfId="20365" xr:uid="{00000000-0005-0000-0000-0000342C0000}"/>
    <cellStyle name="Normal 13 2 5 2 5 2" xfId="43711" xr:uid="{00000000-0005-0000-0000-0000352C0000}"/>
    <cellStyle name="Normal 13 2 5 2 6" xfId="20366" xr:uid="{00000000-0005-0000-0000-0000362C0000}"/>
    <cellStyle name="Normal 13 2 5 2 6 2" xfId="43712" xr:uid="{00000000-0005-0000-0000-0000372C0000}"/>
    <cellStyle name="Normal 13 2 5 2 7" xfId="41426" xr:uid="{00000000-0005-0000-0000-0000382C0000}"/>
    <cellStyle name="Normal 13 2 5 3" xfId="20367" xr:uid="{00000000-0005-0000-0000-0000392C0000}"/>
    <cellStyle name="Normal 13 2 5 3 2" xfId="20368" xr:uid="{00000000-0005-0000-0000-00003A2C0000}"/>
    <cellStyle name="Normal 13 2 5 3 2 2" xfId="43714" xr:uid="{00000000-0005-0000-0000-00003B2C0000}"/>
    <cellStyle name="Normal 13 2 5 3 3" xfId="20369" xr:uid="{00000000-0005-0000-0000-00003C2C0000}"/>
    <cellStyle name="Normal 13 2 5 3 3 2" xfId="43715" xr:uid="{00000000-0005-0000-0000-00003D2C0000}"/>
    <cellStyle name="Normal 13 2 5 3 4" xfId="43713" xr:uid="{00000000-0005-0000-0000-00003E2C0000}"/>
    <cellStyle name="Normal 13 2 5 4" xfId="20370" xr:uid="{00000000-0005-0000-0000-00003F2C0000}"/>
    <cellStyle name="Normal 13 2 5 4 2" xfId="20371" xr:uid="{00000000-0005-0000-0000-0000402C0000}"/>
    <cellStyle name="Normal 13 2 5 4 2 2" xfId="43717" xr:uid="{00000000-0005-0000-0000-0000412C0000}"/>
    <cellStyle name="Normal 13 2 5 4 3" xfId="43716" xr:uid="{00000000-0005-0000-0000-0000422C0000}"/>
    <cellStyle name="Normal 13 2 5 5" xfId="20372" xr:uid="{00000000-0005-0000-0000-0000432C0000}"/>
    <cellStyle name="Normal 13 2 5 5 2" xfId="43718" xr:uid="{00000000-0005-0000-0000-0000442C0000}"/>
    <cellStyle name="Normal 13 2 5 6" xfId="20373" xr:uid="{00000000-0005-0000-0000-0000452C0000}"/>
    <cellStyle name="Normal 13 2 5 6 2" xfId="43719" xr:uid="{00000000-0005-0000-0000-0000462C0000}"/>
    <cellStyle name="Normal 13 2 5 7" xfId="20374" xr:uid="{00000000-0005-0000-0000-0000472C0000}"/>
    <cellStyle name="Normal 13 2 5 7 2" xfId="43720" xr:uid="{00000000-0005-0000-0000-0000482C0000}"/>
    <cellStyle name="Normal 13 2 5 8" xfId="41194" xr:uid="{00000000-0005-0000-0000-0000492C0000}"/>
    <cellStyle name="Normal 13 2 6" xfId="17817" xr:uid="{00000000-0005-0000-0000-00004A2C0000}"/>
    <cellStyle name="Normal 13 2 6 2" xfId="20375" xr:uid="{00000000-0005-0000-0000-00004B2C0000}"/>
    <cellStyle name="Normal 13 2 6 2 2" xfId="20376" xr:uid="{00000000-0005-0000-0000-00004C2C0000}"/>
    <cellStyle name="Normal 13 2 6 2 2 2" xfId="43722" xr:uid="{00000000-0005-0000-0000-00004D2C0000}"/>
    <cellStyle name="Normal 13 2 6 2 3" xfId="20377" xr:uid="{00000000-0005-0000-0000-00004E2C0000}"/>
    <cellStyle name="Normal 13 2 6 2 3 2" xfId="43723" xr:uid="{00000000-0005-0000-0000-00004F2C0000}"/>
    <cellStyle name="Normal 13 2 6 2 4" xfId="43721" xr:uid="{00000000-0005-0000-0000-0000502C0000}"/>
    <cellStyle name="Normal 13 2 6 3" xfId="20378" xr:uid="{00000000-0005-0000-0000-0000512C0000}"/>
    <cellStyle name="Normal 13 2 6 3 2" xfId="20379" xr:uid="{00000000-0005-0000-0000-0000522C0000}"/>
    <cellStyle name="Normal 13 2 6 3 2 2" xfId="43725" xr:uid="{00000000-0005-0000-0000-0000532C0000}"/>
    <cellStyle name="Normal 13 2 6 3 3" xfId="43724" xr:uid="{00000000-0005-0000-0000-0000542C0000}"/>
    <cellStyle name="Normal 13 2 6 4" xfId="20380" xr:uid="{00000000-0005-0000-0000-0000552C0000}"/>
    <cellStyle name="Normal 13 2 6 4 2" xfId="43726" xr:uid="{00000000-0005-0000-0000-0000562C0000}"/>
    <cellStyle name="Normal 13 2 6 5" xfId="20381" xr:uid="{00000000-0005-0000-0000-0000572C0000}"/>
    <cellStyle name="Normal 13 2 6 5 2" xfId="43727" xr:uid="{00000000-0005-0000-0000-0000582C0000}"/>
    <cellStyle name="Normal 13 2 6 6" xfId="20382" xr:uid="{00000000-0005-0000-0000-0000592C0000}"/>
    <cellStyle name="Normal 13 2 6 6 2" xfId="43728" xr:uid="{00000000-0005-0000-0000-00005A2C0000}"/>
    <cellStyle name="Normal 13 2 6 7" xfId="41277" xr:uid="{00000000-0005-0000-0000-00005B2C0000}"/>
    <cellStyle name="Normal 13 2 7" xfId="20383" xr:uid="{00000000-0005-0000-0000-00005C2C0000}"/>
    <cellStyle name="Normal 13 2 7 2" xfId="20384" xr:uid="{00000000-0005-0000-0000-00005D2C0000}"/>
    <cellStyle name="Normal 13 2 7 2 2" xfId="43730" xr:uid="{00000000-0005-0000-0000-00005E2C0000}"/>
    <cellStyle name="Normal 13 2 7 3" xfId="20385" xr:uid="{00000000-0005-0000-0000-00005F2C0000}"/>
    <cellStyle name="Normal 13 2 7 3 2" xfId="43731" xr:uid="{00000000-0005-0000-0000-0000602C0000}"/>
    <cellStyle name="Normal 13 2 7 4" xfId="43729" xr:uid="{00000000-0005-0000-0000-0000612C0000}"/>
    <cellStyle name="Normal 13 2 8" xfId="20386" xr:uid="{00000000-0005-0000-0000-0000622C0000}"/>
    <cellStyle name="Normal 13 2 8 2" xfId="20387" xr:uid="{00000000-0005-0000-0000-0000632C0000}"/>
    <cellStyle name="Normal 13 2 8 2 2" xfId="43733" xr:uid="{00000000-0005-0000-0000-0000642C0000}"/>
    <cellStyle name="Normal 13 2 8 3" xfId="43732" xr:uid="{00000000-0005-0000-0000-0000652C0000}"/>
    <cellStyle name="Normal 13 2 9" xfId="20388" xr:uid="{00000000-0005-0000-0000-0000662C0000}"/>
    <cellStyle name="Normal 13 2 9 2" xfId="43734" xr:uid="{00000000-0005-0000-0000-0000672C0000}"/>
    <cellStyle name="Normal 13 3" xfId="84" xr:uid="{00000000-0005-0000-0000-0000682C0000}"/>
    <cellStyle name="Normal 13 3 10" xfId="23664" xr:uid="{00000000-0005-0000-0000-0000692C0000}"/>
    <cellStyle name="Normal 13 3 2" xfId="3382" xr:uid="{00000000-0005-0000-0000-00006A2C0000}"/>
    <cellStyle name="Normal 13 3 2 2" xfId="17911" xr:uid="{00000000-0005-0000-0000-00006B2C0000}"/>
    <cellStyle name="Normal 13 3 2 2 2" xfId="20389" xr:uid="{00000000-0005-0000-0000-00006C2C0000}"/>
    <cellStyle name="Normal 13 3 2 2 2 2" xfId="20390" xr:uid="{00000000-0005-0000-0000-00006D2C0000}"/>
    <cellStyle name="Normal 13 3 2 2 2 2 2" xfId="43736" xr:uid="{00000000-0005-0000-0000-00006E2C0000}"/>
    <cellStyle name="Normal 13 3 2 2 2 3" xfId="20391" xr:uid="{00000000-0005-0000-0000-00006F2C0000}"/>
    <cellStyle name="Normal 13 3 2 2 2 3 2" xfId="43737" xr:uid="{00000000-0005-0000-0000-0000702C0000}"/>
    <cellStyle name="Normal 13 3 2 2 2 4" xfId="43735" xr:uid="{00000000-0005-0000-0000-0000712C0000}"/>
    <cellStyle name="Normal 13 3 2 2 3" xfId="20392" xr:uid="{00000000-0005-0000-0000-0000722C0000}"/>
    <cellStyle name="Normal 13 3 2 2 3 2" xfId="20393" xr:uid="{00000000-0005-0000-0000-0000732C0000}"/>
    <cellStyle name="Normal 13 3 2 2 3 2 2" xfId="43739" xr:uid="{00000000-0005-0000-0000-0000742C0000}"/>
    <cellStyle name="Normal 13 3 2 2 3 3" xfId="43738" xr:uid="{00000000-0005-0000-0000-0000752C0000}"/>
    <cellStyle name="Normal 13 3 2 2 4" xfId="20394" xr:uid="{00000000-0005-0000-0000-0000762C0000}"/>
    <cellStyle name="Normal 13 3 2 2 4 2" xfId="43740" xr:uid="{00000000-0005-0000-0000-0000772C0000}"/>
    <cellStyle name="Normal 13 3 2 2 5" xfId="20395" xr:uid="{00000000-0005-0000-0000-0000782C0000}"/>
    <cellStyle name="Normal 13 3 2 2 5 2" xfId="43741" xr:uid="{00000000-0005-0000-0000-0000792C0000}"/>
    <cellStyle name="Normal 13 3 2 2 6" xfId="20396" xr:uid="{00000000-0005-0000-0000-00007A2C0000}"/>
    <cellStyle name="Normal 13 3 2 2 6 2" xfId="43742" xr:uid="{00000000-0005-0000-0000-00007B2C0000}"/>
    <cellStyle name="Normal 13 3 2 2 7" xfId="41371" xr:uid="{00000000-0005-0000-0000-00007C2C0000}"/>
    <cellStyle name="Normal 13 3 2 3" xfId="20397" xr:uid="{00000000-0005-0000-0000-00007D2C0000}"/>
    <cellStyle name="Normal 13 3 2 3 2" xfId="20398" xr:uid="{00000000-0005-0000-0000-00007E2C0000}"/>
    <cellStyle name="Normal 13 3 2 3 2 2" xfId="43744" xr:uid="{00000000-0005-0000-0000-00007F2C0000}"/>
    <cellStyle name="Normal 13 3 2 3 3" xfId="20399" xr:uid="{00000000-0005-0000-0000-0000802C0000}"/>
    <cellStyle name="Normal 13 3 2 3 3 2" xfId="43745" xr:uid="{00000000-0005-0000-0000-0000812C0000}"/>
    <cellStyle name="Normal 13 3 2 3 4" xfId="43743" xr:uid="{00000000-0005-0000-0000-0000822C0000}"/>
    <cellStyle name="Normal 13 3 2 4" xfId="20400" xr:uid="{00000000-0005-0000-0000-0000832C0000}"/>
    <cellStyle name="Normal 13 3 2 4 2" xfId="20401" xr:uid="{00000000-0005-0000-0000-0000842C0000}"/>
    <cellStyle name="Normal 13 3 2 4 2 2" xfId="43747" xr:uid="{00000000-0005-0000-0000-0000852C0000}"/>
    <cellStyle name="Normal 13 3 2 4 3" xfId="43746" xr:uid="{00000000-0005-0000-0000-0000862C0000}"/>
    <cellStyle name="Normal 13 3 2 5" xfId="20402" xr:uid="{00000000-0005-0000-0000-0000872C0000}"/>
    <cellStyle name="Normal 13 3 2 5 2" xfId="43748" xr:uid="{00000000-0005-0000-0000-0000882C0000}"/>
    <cellStyle name="Normal 13 3 2 6" xfId="20403" xr:uid="{00000000-0005-0000-0000-0000892C0000}"/>
    <cellStyle name="Normal 13 3 2 6 2" xfId="43749" xr:uid="{00000000-0005-0000-0000-00008A2C0000}"/>
    <cellStyle name="Normal 13 3 2 7" xfId="20404" xr:uid="{00000000-0005-0000-0000-00008B2C0000}"/>
    <cellStyle name="Normal 13 3 2 7 2" xfId="43750" xr:uid="{00000000-0005-0000-0000-00008C2C0000}"/>
    <cellStyle name="Normal 13 3 2 8" xfId="26893" xr:uid="{00000000-0005-0000-0000-00008D2C0000}"/>
    <cellStyle name="Normal 13 3 3" xfId="17755" xr:uid="{00000000-0005-0000-0000-00008E2C0000}"/>
    <cellStyle name="Normal 13 3 3 2" xfId="17989" xr:uid="{00000000-0005-0000-0000-00008F2C0000}"/>
    <cellStyle name="Normal 13 3 3 2 2" xfId="20405" xr:uid="{00000000-0005-0000-0000-0000902C0000}"/>
    <cellStyle name="Normal 13 3 3 2 2 2" xfId="20406" xr:uid="{00000000-0005-0000-0000-0000912C0000}"/>
    <cellStyle name="Normal 13 3 3 2 2 2 2" xfId="43752" xr:uid="{00000000-0005-0000-0000-0000922C0000}"/>
    <cellStyle name="Normal 13 3 3 2 2 3" xfId="20407" xr:uid="{00000000-0005-0000-0000-0000932C0000}"/>
    <cellStyle name="Normal 13 3 3 2 2 3 2" xfId="43753" xr:uid="{00000000-0005-0000-0000-0000942C0000}"/>
    <cellStyle name="Normal 13 3 3 2 2 4" xfId="43751" xr:uid="{00000000-0005-0000-0000-0000952C0000}"/>
    <cellStyle name="Normal 13 3 3 2 3" xfId="20408" xr:uid="{00000000-0005-0000-0000-0000962C0000}"/>
    <cellStyle name="Normal 13 3 3 2 3 2" xfId="20409" xr:uid="{00000000-0005-0000-0000-0000972C0000}"/>
    <cellStyle name="Normal 13 3 3 2 3 2 2" xfId="43755" xr:uid="{00000000-0005-0000-0000-0000982C0000}"/>
    <cellStyle name="Normal 13 3 3 2 3 3" xfId="43754" xr:uid="{00000000-0005-0000-0000-0000992C0000}"/>
    <cellStyle name="Normal 13 3 3 2 4" xfId="20410" xr:uid="{00000000-0005-0000-0000-00009A2C0000}"/>
    <cellStyle name="Normal 13 3 3 2 4 2" xfId="43756" xr:uid="{00000000-0005-0000-0000-00009B2C0000}"/>
    <cellStyle name="Normal 13 3 3 2 5" xfId="20411" xr:uid="{00000000-0005-0000-0000-00009C2C0000}"/>
    <cellStyle name="Normal 13 3 3 2 5 2" xfId="43757" xr:uid="{00000000-0005-0000-0000-00009D2C0000}"/>
    <cellStyle name="Normal 13 3 3 2 6" xfId="20412" xr:uid="{00000000-0005-0000-0000-00009E2C0000}"/>
    <cellStyle name="Normal 13 3 3 2 6 2" xfId="43758" xr:uid="{00000000-0005-0000-0000-00009F2C0000}"/>
    <cellStyle name="Normal 13 3 3 2 7" xfId="41449" xr:uid="{00000000-0005-0000-0000-0000A02C0000}"/>
    <cellStyle name="Normal 13 3 3 3" xfId="20413" xr:uid="{00000000-0005-0000-0000-0000A12C0000}"/>
    <cellStyle name="Normal 13 3 3 3 2" xfId="20414" xr:uid="{00000000-0005-0000-0000-0000A22C0000}"/>
    <cellStyle name="Normal 13 3 3 3 2 2" xfId="43760" xr:uid="{00000000-0005-0000-0000-0000A32C0000}"/>
    <cellStyle name="Normal 13 3 3 3 3" xfId="20415" xr:uid="{00000000-0005-0000-0000-0000A42C0000}"/>
    <cellStyle name="Normal 13 3 3 3 3 2" xfId="43761" xr:uid="{00000000-0005-0000-0000-0000A52C0000}"/>
    <cellStyle name="Normal 13 3 3 3 4" xfId="43759" xr:uid="{00000000-0005-0000-0000-0000A62C0000}"/>
    <cellStyle name="Normal 13 3 3 4" xfId="20416" xr:uid="{00000000-0005-0000-0000-0000A72C0000}"/>
    <cellStyle name="Normal 13 3 3 4 2" xfId="20417" xr:uid="{00000000-0005-0000-0000-0000A82C0000}"/>
    <cellStyle name="Normal 13 3 3 4 2 2" xfId="43763" xr:uid="{00000000-0005-0000-0000-0000A92C0000}"/>
    <cellStyle name="Normal 13 3 3 4 3" xfId="43762" xr:uid="{00000000-0005-0000-0000-0000AA2C0000}"/>
    <cellStyle name="Normal 13 3 3 5" xfId="20418" xr:uid="{00000000-0005-0000-0000-0000AB2C0000}"/>
    <cellStyle name="Normal 13 3 3 5 2" xfId="43764" xr:uid="{00000000-0005-0000-0000-0000AC2C0000}"/>
    <cellStyle name="Normal 13 3 3 6" xfId="20419" xr:uid="{00000000-0005-0000-0000-0000AD2C0000}"/>
    <cellStyle name="Normal 13 3 3 6 2" xfId="43765" xr:uid="{00000000-0005-0000-0000-0000AE2C0000}"/>
    <cellStyle name="Normal 13 3 3 7" xfId="20420" xr:uid="{00000000-0005-0000-0000-0000AF2C0000}"/>
    <cellStyle name="Normal 13 3 3 7 2" xfId="43766" xr:uid="{00000000-0005-0000-0000-0000B02C0000}"/>
    <cellStyle name="Normal 13 3 3 8" xfId="41215" xr:uid="{00000000-0005-0000-0000-0000B12C0000}"/>
    <cellStyle name="Normal 13 3 4" xfId="17836" xr:uid="{00000000-0005-0000-0000-0000B22C0000}"/>
    <cellStyle name="Normal 13 3 4 2" xfId="20421" xr:uid="{00000000-0005-0000-0000-0000B32C0000}"/>
    <cellStyle name="Normal 13 3 4 2 2" xfId="20422" xr:uid="{00000000-0005-0000-0000-0000B42C0000}"/>
    <cellStyle name="Normal 13 3 4 2 2 2" xfId="43768" xr:uid="{00000000-0005-0000-0000-0000B52C0000}"/>
    <cellStyle name="Normal 13 3 4 2 3" xfId="20423" xr:uid="{00000000-0005-0000-0000-0000B62C0000}"/>
    <cellStyle name="Normal 13 3 4 2 3 2" xfId="43769" xr:uid="{00000000-0005-0000-0000-0000B72C0000}"/>
    <cellStyle name="Normal 13 3 4 2 4" xfId="43767" xr:uid="{00000000-0005-0000-0000-0000B82C0000}"/>
    <cellStyle name="Normal 13 3 4 3" xfId="20424" xr:uid="{00000000-0005-0000-0000-0000B92C0000}"/>
    <cellStyle name="Normal 13 3 4 3 2" xfId="20425" xr:uid="{00000000-0005-0000-0000-0000BA2C0000}"/>
    <cellStyle name="Normal 13 3 4 3 2 2" xfId="43771" xr:uid="{00000000-0005-0000-0000-0000BB2C0000}"/>
    <cellStyle name="Normal 13 3 4 3 3" xfId="43770" xr:uid="{00000000-0005-0000-0000-0000BC2C0000}"/>
    <cellStyle name="Normal 13 3 4 4" xfId="20426" xr:uid="{00000000-0005-0000-0000-0000BD2C0000}"/>
    <cellStyle name="Normal 13 3 4 4 2" xfId="43772" xr:uid="{00000000-0005-0000-0000-0000BE2C0000}"/>
    <cellStyle name="Normal 13 3 4 5" xfId="20427" xr:uid="{00000000-0005-0000-0000-0000BF2C0000}"/>
    <cellStyle name="Normal 13 3 4 5 2" xfId="43773" xr:uid="{00000000-0005-0000-0000-0000C02C0000}"/>
    <cellStyle name="Normal 13 3 4 6" xfId="20428" xr:uid="{00000000-0005-0000-0000-0000C12C0000}"/>
    <cellStyle name="Normal 13 3 4 6 2" xfId="43774" xr:uid="{00000000-0005-0000-0000-0000C22C0000}"/>
    <cellStyle name="Normal 13 3 4 7" xfId="41296" xr:uid="{00000000-0005-0000-0000-0000C32C0000}"/>
    <cellStyle name="Normal 13 3 5" xfId="20429" xr:uid="{00000000-0005-0000-0000-0000C42C0000}"/>
    <cellStyle name="Normal 13 3 5 2" xfId="20430" xr:uid="{00000000-0005-0000-0000-0000C52C0000}"/>
    <cellStyle name="Normal 13 3 5 2 2" xfId="43776" xr:uid="{00000000-0005-0000-0000-0000C62C0000}"/>
    <cellStyle name="Normal 13 3 5 3" xfId="20431" xr:uid="{00000000-0005-0000-0000-0000C72C0000}"/>
    <cellStyle name="Normal 13 3 5 3 2" xfId="43777" xr:uid="{00000000-0005-0000-0000-0000C82C0000}"/>
    <cellStyle name="Normal 13 3 5 4" xfId="43775" xr:uid="{00000000-0005-0000-0000-0000C92C0000}"/>
    <cellStyle name="Normal 13 3 6" xfId="20432" xr:uid="{00000000-0005-0000-0000-0000CA2C0000}"/>
    <cellStyle name="Normal 13 3 6 2" xfId="20433" xr:uid="{00000000-0005-0000-0000-0000CB2C0000}"/>
    <cellStyle name="Normal 13 3 6 2 2" xfId="43779" xr:uid="{00000000-0005-0000-0000-0000CC2C0000}"/>
    <cellStyle name="Normal 13 3 6 3" xfId="43778" xr:uid="{00000000-0005-0000-0000-0000CD2C0000}"/>
    <cellStyle name="Normal 13 3 7" xfId="20434" xr:uid="{00000000-0005-0000-0000-0000CE2C0000}"/>
    <cellStyle name="Normal 13 3 7 2" xfId="43780" xr:uid="{00000000-0005-0000-0000-0000CF2C0000}"/>
    <cellStyle name="Normal 13 3 8" xfId="20435" xr:uid="{00000000-0005-0000-0000-0000D02C0000}"/>
    <cellStyle name="Normal 13 3 8 2" xfId="43781" xr:uid="{00000000-0005-0000-0000-0000D12C0000}"/>
    <cellStyle name="Normal 13 3 9" xfId="20436" xr:uid="{00000000-0005-0000-0000-0000D22C0000}"/>
    <cellStyle name="Normal 13 3 9 2" xfId="43782" xr:uid="{00000000-0005-0000-0000-0000D32C0000}"/>
    <cellStyle name="Normal 13 4" xfId="3383" xr:uid="{00000000-0005-0000-0000-0000D42C0000}"/>
    <cellStyle name="Normal 13 4 10" xfId="26894" xr:uid="{00000000-0005-0000-0000-0000D52C0000}"/>
    <cellStyle name="Normal 13 4 2" xfId="3384" xr:uid="{00000000-0005-0000-0000-0000D62C0000}"/>
    <cellStyle name="Normal 13 4 2 2" xfId="17931" xr:uid="{00000000-0005-0000-0000-0000D72C0000}"/>
    <cellStyle name="Normal 13 4 2 2 2" xfId="20437" xr:uid="{00000000-0005-0000-0000-0000D82C0000}"/>
    <cellStyle name="Normal 13 4 2 2 2 2" xfId="20438" xr:uid="{00000000-0005-0000-0000-0000D92C0000}"/>
    <cellStyle name="Normal 13 4 2 2 2 2 2" xfId="43784" xr:uid="{00000000-0005-0000-0000-0000DA2C0000}"/>
    <cellStyle name="Normal 13 4 2 2 2 3" xfId="20439" xr:uid="{00000000-0005-0000-0000-0000DB2C0000}"/>
    <cellStyle name="Normal 13 4 2 2 2 3 2" xfId="43785" xr:uid="{00000000-0005-0000-0000-0000DC2C0000}"/>
    <cellStyle name="Normal 13 4 2 2 2 4" xfId="43783" xr:uid="{00000000-0005-0000-0000-0000DD2C0000}"/>
    <cellStyle name="Normal 13 4 2 2 3" xfId="20440" xr:uid="{00000000-0005-0000-0000-0000DE2C0000}"/>
    <cellStyle name="Normal 13 4 2 2 3 2" xfId="20441" xr:uid="{00000000-0005-0000-0000-0000DF2C0000}"/>
    <cellStyle name="Normal 13 4 2 2 3 2 2" xfId="43787" xr:uid="{00000000-0005-0000-0000-0000E02C0000}"/>
    <cellStyle name="Normal 13 4 2 2 3 3" xfId="43786" xr:uid="{00000000-0005-0000-0000-0000E12C0000}"/>
    <cellStyle name="Normal 13 4 2 2 4" xfId="20442" xr:uid="{00000000-0005-0000-0000-0000E22C0000}"/>
    <cellStyle name="Normal 13 4 2 2 4 2" xfId="43788" xr:uid="{00000000-0005-0000-0000-0000E32C0000}"/>
    <cellStyle name="Normal 13 4 2 2 5" xfId="20443" xr:uid="{00000000-0005-0000-0000-0000E42C0000}"/>
    <cellStyle name="Normal 13 4 2 2 5 2" xfId="43789" xr:uid="{00000000-0005-0000-0000-0000E52C0000}"/>
    <cellStyle name="Normal 13 4 2 2 6" xfId="20444" xr:uid="{00000000-0005-0000-0000-0000E62C0000}"/>
    <cellStyle name="Normal 13 4 2 2 6 2" xfId="43790" xr:uid="{00000000-0005-0000-0000-0000E72C0000}"/>
    <cellStyle name="Normal 13 4 2 2 7" xfId="41391" xr:uid="{00000000-0005-0000-0000-0000E82C0000}"/>
    <cellStyle name="Normal 13 4 2 3" xfId="20445" xr:uid="{00000000-0005-0000-0000-0000E92C0000}"/>
    <cellStyle name="Normal 13 4 2 3 2" xfId="20446" xr:uid="{00000000-0005-0000-0000-0000EA2C0000}"/>
    <cellStyle name="Normal 13 4 2 3 2 2" xfId="43792" xr:uid="{00000000-0005-0000-0000-0000EB2C0000}"/>
    <cellStyle name="Normal 13 4 2 3 3" xfId="20447" xr:uid="{00000000-0005-0000-0000-0000EC2C0000}"/>
    <cellStyle name="Normal 13 4 2 3 3 2" xfId="43793" xr:uid="{00000000-0005-0000-0000-0000ED2C0000}"/>
    <cellStyle name="Normal 13 4 2 3 4" xfId="43791" xr:uid="{00000000-0005-0000-0000-0000EE2C0000}"/>
    <cellStyle name="Normal 13 4 2 4" xfId="20448" xr:uid="{00000000-0005-0000-0000-0000EF2C0000}"/>
    <cellStyle name="Normal 13 4 2 4 2" xfId="20449" xr:uid="{00000000-0005-0000-0000-0000F02C0000}"/>
    <cellStyle name="Normal 13 4 2 4 2 2" xfId="43795" xr:uid="{00000000-0005-0000-0000-0000F12C0000}"/>
    <cellStyle name="Normal 13 4 2 4 3" xfId="43794" xr:uid="{00000000-0005-0000-0000-0000F22C0000}"/>
    <cellStyle name="Normal 13 4 2 5" xfId="20450" xr:uid="{00000000-0005-0000-0000-0000F32C0000}"/>
    <cellStyle name="Normal 13 4 2 5 2" xfId="43796" xr:uid="{00000000-0005-0000-0000-0000F42C0000}"/>
    <cellStyle name="Normal 13 4 2 6" xfId="20451" xr:uid="{00000000-0005-0000-0000-0000F52C0000}"/>
    <cellStyle name="Normal 13 4 2 6 2" xfId="43797" xr:uid="{00000000-0005-0000-0000-0000F62C0000}"/>
    <cellStyle name="Normal 13 4 2 7" xfId="20452" xr:uid="{00000000-0005-0000-0000-0000F72C0000}"/>
    <cellStyle name="Normal 13 4 2 7 2" xfId="43798" xr:uid="{00000000-0005-0000-0000-0000F82C0000}"/>
    <cellStyle name="Normal 13 4 2 8" xfId="26895" xr:uid="{00000000-0005-0000-0000-0000F92C0000}"/>
    <cellStyle name="Normal 13 4 3" xfId="17783" xr:uid="{00000000-0005-0000-0000-0000FA2C0000}"/>
    <cellStyle name="Normal 13 4 3 2" xfId="18019" xr:uid="{00000000-0005-0000-0000-0000FB2C0000}"/>
    <cellStyle name="Normal 13 4 3 2 2" xfId="20453" xr:uid="{00000000-0005-0000-0000-0000FC2C0000}"/>
    <cellStyle name="Normal 13 4 3 2 2 2" xfId="20454" xr:uid="{00000000-0005-0000-0000-0000FD2C0000}"/>
    <cellStyle name="Normal 13 4 3 2 2 2 2" xfId="43800" xr:uid="{00000000-0005-0000-0000-0000FE2C0000}"/>
    <cellStyle name="Normal 13 4 3 2 2 3" xfId="20455" xr:uid="{00000000-0005-0000-0000-0000FF2C0000}"/>
    <cellStyle name="Normal 13 4 3 2 2 3 2" xfId="43801" xr:uid="{00000000-0005-0000-0000-0000002D0000}"/>
    <cellStyle name="Normal 13 4 3 2 2 4" xfId="43799" xr:uid="{00000000-0005-0000-0000-0000012D0000}"/>
    <cellStyle name="Normal 13 4 3 2 3" xfId="20456" xr:uid="{00000000-0005-0000-0000-0000022D0000}"/>
    <cellStyle name="Normal 13 4 3 2 3 2" xfId="20457" xr:uid="{00000000-0005-0000-0000-0000032D0000}"/>
    <cellStyle name="Normal 13 4 3 2 3 2 2" xfId="43803" xr:uid="{00000000-0005-0000-0000-0000042D0000}"/>
    <cellStyle name="Normal 13 4 3 2 3 3" xfId="43802" xr:uid="{00000000-0005-0000-0000-0000052D0000}"/>
    <cellStyle name="Normal 13 4 3 2 4" xfId="20458" xr:uid="{00000000-0005-0000-0000-0000062D0000}"/>
    <cellStyle name="Normal 13 4 3 2 4 2" xfId="43804" xr:uid="{00000000-0005-0000-0000-0000072D0000}"/>
    <cellStyle name="Normal 13 4 3 2 5" xfId="20459" xr:uid="{00000000-0005-0000-0000-0000082D0000}"/>
    <cellStyle name="Normal 13 4 3 2 5 2" xfId="43805" xr:uid="{00000000-0005-0000-0000-0000092D0000}"/>
    <cellStyle name="Normal 13 4 3 2 6" xfId="20460" xr:uid="{00000000-0005-0000-0000-00000A2D0000}"/>
    <cellStyle name="Normal 13 4 3 2 6 2" xfId="43806" xr:uid="{00000000-0005-0000-0000-00000B2D0000}"/>
    <cellStyle name="Normal 13 4 3 2 7" xfId="41479" xr:uid="{00000000-0005-0000-0000-00000C2D0000}"/>
    <cellStyle name="Normal 13 4 3 3" xfId="20461" xr:uid="{00000000-0005-0000-0000-00000D2D0000}"/>
    <cellStyle name="Normal 13 4 3 3 2" xfId="20462" xr:uid="{00000000-0005-0000-0000-00000E2D0000}"/>
    <cellStyle name="Normal 13 4 3 3 2 2" xfId="43808" xr:uid="{00000000-0005-0000-0000-00000F2D0000}"/>
    <cellStyle name="Normal 13 4 3 3 3" xfId="20463" xr:uid="{00000000-0005-0000-0000-0000102D0000}"/>
    <cellStyle name="Normal 13 4 3 3 3 2" xfId="43809" xr:uid="{00000000-0005-0000-0000-0000112D0000}"/>
    <cellStyle name="Normal 13 4 3 3 4" xfId="43807" xr:uid="{00000000-0005-0000-0000-0000122D0000}"/>
    <cellStyle name="Normal 13 4 3 4" xfId="20464" xr:uid="{00000000-0005-0000-0000-0000132D0000}"/>
    <cellStyle name="Normal 13 4 3 4 2" xfId="20465" xr:uid="{00000000-0005-0000-0000-0000142D0000}"/>
    <cellStyle name="Normal 13 4 3 4 2 2" xfId="43811" xr:uid="{00000000-0005-0000-0000-0000152D0000}"/>
    <cellStyle name="Normal 13 4 3 4 3" xfId="43810" xr:uid="{00000000-0005-0000-0000-0000162D0000}"/>
    <cellStyle name="Normal 13 4 3 5" xfId="20466" xr:uid="{00000000-0005-0000-0000-0000172D0000}"/>
    <cellStyle name="Normal 13 4 3 5 2" xfId="43812" xr:uid="{00000000-0005-0000-0000-0000182D0000}"/>
    <cellStyle name="Normal 13 4 3 6" xfId="20467" xr:uid="{00000000-0005-0000-0000-0000192D0000}"/>
    <cellStyle name="Normal 13 4 3 6 2" xfId="43813" xr:uid="{00000000-0005-0000-0000-00001A2D0000}"/>
    <cellStyle name="Normal 13 4 3 7" xfId="20468" xr:uid="{00000000-0005-0000-0000-00001B2D0000}"/>
    <cellStyle name="Normal 13 4 3 7 2" xfId="43814" xr:uid="{00000000-0005-0000-0000-00001C2D0000}"/>
    <cellStyle name="Normal 13 4 3 8" xfId="41243" xr:uid="{00000000-0005-0000-0000-00001D2D0000}"/>
    <cellStyle name="Normal 13 4 4" xfId="17858" xr:uid="{00000000-0005-0000-0000-00001E2D0000}"/>
    <cellStyle name="Normal 13 4 4 2" xfId="20469" xr:uid="{00000000-0005-0000-0000-00001F2D0000}"/>
    <cellStyle name="Normal 13 4 4 2 2" xfId="20470" xr:uid="{00000000-0005-0000-0000-0000202D0000}"/>
    <cellStyle name="Normal 13 4 4 2 2 2" xfId="43816" xr:uid="{00000000-0005-0000-0000-0000212D0000}"/>
    <cellStyle name="Normal 13 4 4 2 3" xfId="20471" xr:uid="{00000000-0005-0000-0000-0000222D0000}"/>
    <cellStyle name="Normal 13 4 4 2 3 2" xfId="43817" xr:uid="{00000000-0005-0000-0000-0000232D0000}"/>
    <cellStyle name="Normal 13 4 4 2 4" xfId="43815" xr:uid="{00000000-0005-0000-0000-0000242D0000}"/>
    <cellStyle name="Normal 13 4 4 3" xfId="20472" xr:uid="{00000000-0005-0000-0000-0000252D0000}"/>
    <cellStyle name="Normal 13 4 4 3 2" xfId="20473" xr:uid="{00000000-0005-0000-0000-0000262D0000}"/>
    <cellStyle name="Normal 13 4 4 3 2 2" xfId="43819" xr:uid="{00000000-0005-0000-0000-0000272D0000}"/>
    <cellStyle name="Normal 13 4 4 3 3" xfId="43818" xr:uid="{00000000-0005-0000-0000-0000282D0000}"/>
    <cellStyle name="Normal 13 4 4 4" xfId="20474" xr:uid="{00000000-0005-0000-0000-0000292D0000}"/>
    <cellStyle name="Normal 13 4 4 4 2" xfId="43820" xr:uid="{00000000-0005-0000-0000-00002A2D0000}"/>
    <cellStyle name="Normal 13 4 4 5" xfId="20475" xr:uid="{00000000-0005-0000-0000-00002B2D0000}"/>
    <cellStyle name="Normal 13 4 4 5 2" xfId="43821" xr:uid="{00000000-0005-0000-0000-00002C2D0000}"/>
    <cellStyle name="Normal 13 4 4 6" xfId="20476" xr:uid="{00000000-0005-0000-0000-00002D2D0000}"/>
    <cellStyle name="Normal 13 4 4 6 2" xfId="43822" xr:uid="{00000000-0005-0000-0000-00002E2D0000}"/>
    <cellStyle name="Normal 13 4 4 7" xfId="41318" xr:uid="{00000000-0005-0000-0000-00002F2D0000}"/>
    <cellStyle name="Normal 13 4 5" xfId="20477" xr:uid="{00000000-0005-0000-0000-0000302D0000}"/>
    <cellStyle name="Normal 13 4 5 2" xfId="20478" xr:uid="{00000000-0005-0000-0000-0000312D0000}"/>
    <cellStyle name="Normal 13 4 5 2 2" xfId="43824" xr:uid="{00000000-0005-0000-0000-0000322D0000}"/>
    <cellStyle name="Normal 13 4 5 3" xfId="20479" xr:uid="{00000000-0005-0000-0000-0000332D0000}"/>
    <cellStyle name="Normal 13 4 5 3 2" xfId="43825" xr:uid="{00000000-0005-0000-0000-0000342D0000}"/>
    <cellStyle name="Normal 13 4 5 4" xfId="43823" xr:uid="{00000000-0005-0000-0000-0000352D0000}"/>
    <cellStyle name="Normal 13 4 6" xfId="20480" xr:uid="{00000000-0005-0000-0000-0000362D0000}"/>
    <cellStyle name="Normal 13 4 6 2" xfId="20481" xr:uid="{00000000-0005-0000-0000-0000372D0000}"/>
    <cellStyle name="Normal 13 4 6 2 2" xfId="43827" xr:uid="{00000000-0005-0000-0000-0000382D0000}"/>
    <cellStyle name="Normal 13 4 6 3" xfId="43826" xr:uid="{00000000-0005-0000-0000-0000392D0000}"/>
    <cellStyle name="Normal 13 4 7" xfId="20482" xr:uid="{00000000-0005-0000-0000-00003A2D0000}"/>
    <cellStyle name="Normal 13 4 7 2" xfId="43828" xr:uid="{00000000-0005-0000-0000-00003B2D0000}"/>
    <cellStyle name="Normal 13 4 8" xfId="20483" xr:uid="{00000000-0005-0000-0000-00003C2D0000}"/>
    <cellStyle name="Normal 13 4 8 2" xfId="43829" xr:uid="{00000000-0005-0000-0000-00003D2D0000}"/>
    <cellStyle name="Normal 13 4 9" xfId="20484" xr:uid="{00000000-0005-0000-0000-00003E2D0000}"/>
    <cellStyle name="Normal 13 4 9 2" xfId="43830" xr:uid="{00000000-0005-0000-0000-00003F2D0000}"/>
    <cellStyle name="Normal 13 5" xfId="3385" xr:uid="{00000000-0005-0000-0000-0000402D0000}"/>
    <cellStyle name="Normal 13 5 2" xfId="17882" xr:uid="{00000000-0005-0000-0000-0000412D0000}"/>
    <cellStyle name="Normal 13 5 2 2" xfId="20485" xr:uid="{00000000-0005-0000-0000-0000422D0000}"/>
    <cellStyle name="Normal 13 5 2 2 2" xfId="20486" xr:uid="{00000000-0005-0000-0000-0000432D0000}"/>
    <cellStyle name="Normal 13 5 2 2 2 2" xfId="43832" xr:uid="{00000000-0005-0000-0000-0000442D0000}"/>
    <cellStyle name="Normal 13 5 2 2 3" xfId="20487" xr:uid="{00000000-0005-0000-0000-0000452D0000}"/>
    <cellStyle name="Normal 13 5 2 2 3 2" xfId="43833" xr:uid="{00000000-0005-0000-0000-0000462D0000}"/>
    <cellStyle name="Normal 13 5 2 2 4" xfId="43831" xr:uid="{00000000-0005-0000-0000-0000472D0000}"/>
    <cellStyle name="Normal 13 5 2 3" xfId="20488" xr:uid="{00000000-0005-0000-0000-0000482D0000}"/>
    <cellStyle name="Normal 13 5 2 3 2" xfId="20489" xr:uid="{00000000-0005-0000-0000-0000492D0000}"/>
    <cellStyle name="Normal 13 5 2 3 2 2" xfId="43835" xr:uid="{00000000-0005-0000-0000-00004A2D0000}"/>
    <cellStyle name="Normal 13 5 2 3 3" xfId="43834" xr:uid="{00000000-0005-0000-0000-00004B2D0000}"/>
    <cellStyle name="Normal 13 5 2 4" xfId="20490" xr:uid="{00000000-0005-0000-0000-00004C2D0000}"/>
    <cellStyle name="Normal 13 5 2 4 2" xfId="43836" xr:uid="{00000000-0005-0000-0000-00004D2D0000}"/>
    <cellStyle name="Normal 13 5 2 5" xfId="20491" xr:uid="{00000000-0005-0000-0000-00004E2D0000}"/>
    <cellStyle name="Normal 13 5 2 5 2" xfId="43837" xr:uid="{00000000-0005-0000-0000-00004F2D0000}"/>
    <cellStyle name="Normal 13 5 2 6" xfId="20492" xr:uid="{00000000-0005-0000-0000-0000502D0000}"/>
    <cellStyle name="Normal 13 5 2 6 2" xfId="43838" xr:uid="{00000000-0005-0000-0000-0000512D0000}"/>
    <cellStyle name="Normal 13 5 2 7" xfId="41342" xr:uid="{00000000-0005-0000-0000-0000522D0000}"/>
    <cellStyle name="Normal 13 5 3" xfId="20493" xr:uid="{00000000-0005-0000-0000-0000532D0000}"/>
    <cellStyle name="Normal 13 5 3 2" xfId="20494" xr:uid="{00000000-0005-0000-0000-0000542D0000}"/>
    <cellStyle name="Normal 13 5 3 2 2" xfId="43840" xr:uid="{00000000-0005-0000-0000-0000552D0000}"/>
    <cellStyle name="Normal 13 5 3 3" xfId="20495" xr:uid="{00000000-0005-0000-0000-0000562D0000}"/>
    <cellStyle name="Normal 13 5 3 3 2" xfId="43841" xr:uid="{00000000-0005-0000-0000-0000572D0000}"/>
    <cellStyle name="Normal 13 5 3 4" xfId="43839" xr:uid="{00000000-0005-0000-0000-0000582D0000}"/>
    <cellStyle name="Normal 13 5 4" xfId="20496" xr:uid="{00000000-0005-0000-0000-0000592D0000}"/>
    <cellStyle name="Normal 13 5 4 2" xfId="20497" xr:uid="{00000000-0005-0000-0000-00005A2D0000}"/>
    <cellStyle name="Normal 13 5 4 2 2" xfId="43843" xr:uid="{00000000-0005-0000-0000-00005B2D0000}"/>
    <cellStyle name="Normal 13 5 4 3" xfId="43842" xr:uid="{00000000-0005-0000-0000-00005C2D0000}"/>
    <cellStyle name="Normal 13 5 5" xfId="20498" xr:uid="{00000000-0005-0000-0000-00005D2D0000}"/>
    <cellStyle name="Normal 13 5 5 2" xfId="43844" xr:uid="{00000000-0005-0000-0000-00005E2D0000}"/>
    <cellStyle name="Normal 13 5 6" xfId="20499" xr:uid="{00000000-0005-0000-0000-00005F2D0000}"/>
    <cellStyle name="Normal 13 5 6 2" xfId="43845" xr:uid="{00000000-0005-0000-0000-0000602D0000}"/>
    <cellStyle name="Normal 13 5 7" xfId="20500" xr:uid="{00000000-0005-0000-0000-0000612D0000}"/>
    <cellStyle name="Normal 13 5 7 2" xfId="43846" xr:uid="{00000000-0005-0000-0000-0000622D0000}"/>
    <cellStyle name="Normal 13 5 8" xfId="17693" xr:uid="{00000000-0005-0000-0000-0000632D0000}"/>
    <cellStyle name="Normal 13 5 8 2" xfId="41153" xr:uid="{00000000-0005-0000-0000-0000642D0000}"/>
    <cellStyle name="Normal 13 6" xfId="3379" xr:uid="{00000000-0005-0000-0000-0000652D0000}"/>
    <cellStyle name="Normal 13 6 2" xfId="17965" xr:uid="{00000000-0005-0000-0000-0000662D0000}"/>
    <cellStyle name="Normal 13 6 2 2" xfId="20501" xr:uid="{00000000-0005-0000-0000-0000672D0000}"/>
    <cellStyle name="Normal 13 6 2 2 2" xfId="20502" xr:uid="{00000000-0005-0000-0000-0000682D0000}"/>
    <cellStyle name="Normal 13 6 2 2 2 2" xfId="43848" xr:uid="{00000000-0005-0000-0000-0000692D0000}"/>
    <cellStyle name="Normal 13 6 2 2 3" xfId="20503" xr:uid="{00000000-0005-0000-0000-00006A2D0000}"/>
    <cellStyle name="Normal 13 6 2 2 3 2" xfId="43849" xr:uid="{00000000-0005-0000-0000-00006B2D0000}"/>
    <cellStyle name="Normal 13 6 2 2 4" xfId="43847" xr:uid="{00000000-0005-0000-0000-00006C2D0000}"/>
    <cellStyle name="Normal 13 6 2 3" xfId="20504" xr:uid="{00000000-0005-0000-0000-00006D2D0000}"/>
    <cellStyle name="Normal 13 6 2 3 2" xfId="20505" xr:uid="{00000000-0005-0000-0000-00006E2D0000}"/>
    <cellStyle name="Normal 13 6 2 3 2 2" xfId="43851" xr:uid="{00000000-0005-0000-0000-00006F2D0000}"/>
    <cellStyle name="Normal 13 6 2 3 3" xfId="43850" xr:uid="{00000000-0005-0000-0000-0000702D0000}"/>
    <cellStyle name="Normal 13 6 2 4" xfId="20506" xr:uid="{00000000-0005-0000-0000-0000712D0000}"/>
    <cellStyle name="Normal 13 6 2 4 2" xfId="43852" xr:uid="{00000000-0005-0000-0000-0000722D0000}"/>
    <cellStyle name="Normal 13 6 2 5" xfId="20507" xr:uid="{00000000-0005-0000-0000-0000732D0000}"/>
    <cellStyle name="Normal 13 6 2 5 2" xfId="43853" xr:uid="{00000000-0005-0000-0000-0000742D0000}"/>
    <cellStyle name="Normal 13 6 2 6" xfId="20508" xr:uid="{00000000-0005-0000-0000-0000752D0000}"/>
    <cellStyle name="Normal 13 6 2 6 2" xfId="43854" xr:uid="{00000000-0005-0000-0000-0000762D0000}"/>
    <cellStyle name="Normal 13 6 2 7" xfId="41425" xr:uid="{00000000-0005-0000-0000-0000772D0000}"/>
    <cellStyle name="Normal 13 6 3" xfId="20509" xr:uid="{00000000-0005-0000-0000-0000782D0000}"/>
    <cellStyle name="Normal 13 6 3 2" xfId="20510" xr:uid="{00000000-0005-0000-0000-0000792D0000}"/>
    <cellStyle name="Normal 13 6 3 2 2" xfId="43856" xr:uid="{00000000-0005-0000-0000-00007A2D0000}"/>
    <cellStyle name="Normal 13 6 3 3" xfId="20511" xr:uid="{00000000-0005-0000-0000-00007B2D0000}"/>
    <cellStyle name="Normal 13 6 3 3 2" xfId="43857" xr:uid="{00000000-0005-0000-0000-00007C2D0000}"/>
    <cellStyle name="Normal 13 6 3 4" xfId="43855" xr:uid="{00000000-0005-0000-0000-00007D2D0000}"/>
    <cellStyle name="Normal 13 6 4" xfId="20512" xr:uid="{00000000-0005-0000-0000-00007E2D0000}"/>
    <cellStyle name="Normal 13 6 4 2" xfId="20513" xr:uid="{00000000-0005-0000-0000-00007F2D0000}"/>
    <cellStyle name="Normal 13 6 4 2 2" xfId="43859" xr:uid="{00000000-0005-0000-0000-0000802D0000}"/>
    <cellStyle name="Normal 13 6 4 3" xfId="43858" xr:uid="{00000000-0005-0000-0000-0000812D0000}"/>
    <cellStyle name="Normal 13 6 5" xfId="20514" xr:uid="{00000000-0005-0000-0000-0000822D0000}"/>
    <cellStyle name="Normal 13 6 5 2" xfId="43860" xr:uid="{00000000-0005-0000-0000-0000832D0000}"/>
    <cellStyle name="Normal 13 6 6" xfId="20515" xr:uid="{00000000-0005-0000-0000-0000842D0000}"/>
    <cellStyle name="Normal 13 6 6 2" xfId="43861" xr:uid="{00000000-0005-0000-0000-0000852D0000}"/>
    <cellStyle name="Normal 13 6 7" xfId="20516" xr:uid="{00000000-0005-0000-0000-0000862D0000}"/>
    <cellStyle name="Normal 13 6 7 2" xfId="43862" xr:uid="{00000000-0005-0000-0000-0000872D0000}"/>
    <cellStyle name="Normal 13 6 8" xfId="17733" xr:uid="{00000000-0005-0000-0000-0000882D0000}"/>
    <cellStyle name="Normal 13 6 8 2" xfId="41193" xr:uid="{00000000-0005-0000-0000-0000892D0000}"/>
    <cellStyle name="Normal 13 7" xfId="17803" xr:uid="{00000000-0005-0000-0000-00008A2D0000}"/>
    <cellStyle name="Normal 13 7 2" xfId="20517" xr:uid="{00000000-0005-0000-0000-00008B2D0000}"/>
    <cellStyle name="Normal 13 7 2 2" xfId="20518" xr:uid="{00000000-0005-0000-0000-00008C2D0000}"/>
    <cellStyle name="Normal 13 7 2 2 2" xfId="43864" xr:uid="{00000000-0005-0000-0000-00008D2D0000}"/>
    <cellStyle name="Normal 13 7 2 3" xfId="20519" xr:uid="{00000000-0005-0000-0000-00008E2D0000}"/>
    <cellStyle name="Normal 13 7 2 3 2" xfId="43865" xr:uid="{00000000-0005-0000-0000-00008F2D0000}"/>
    <cellStyle name="Normal 13 7 2 4" xfId="43863" xr:uid="{00000000-0005-0000-0000-0000902D0000}"/>
    <cellStyle name="Normal 13 7 3" xfId="20520" xr:uid="{00000000-0005-0000-0000-0000912D0000}"/>
    <cellStyle name="Normal 13 7 3 2" xfId="20521" xr:uid="{00000000-0005-0000-0000-0000922D0000}"/>
    <cellStyle name="Normal 13 7 3 2 2" xfId="43867" xr:uid="{00000000-0005-0000-0000-0000932D0000}"/>
    <cellStyle name="Normal 13 7 3 3" xfId="43866" xr:uid="{00000000-0005-0000-0000-0000942D0000}"/>
    <cellStyle name="Normal 13 7 4" xfId="20522" xr:uid="{00000000-0005-0000-0000-0000952D0000}"/>
    <cellStyle name="Normal 13 7 4 2" xfId="43868" xr:uid="{00000000-0005-0000-0000-0000962D0000}"/>
    <cellStyle name="Normal 13 7 5" xfId="20523" xr:uid="{00000000-0005-0000-0000-0000972D0000}"/>
    <cellStyle name="Normal 13 7 5 2" xfId="43869" xr:uid="{00000000-0005-0000-0000-0000982D0000}"/>
    <cellStyle name="Normal 13 7 6" xfId="20524" xr:uid="{00000000-0005-0000-0000-0000992D0000}"/>
    <cellStyle name="Normal 13 7 6 2" xfId="43870" xr:uid="{00000000-0005-0000-0000-00009A2D0000}"/>
    <cellStyle name="Normal 13 7 7" xfId="41263" xr:uid="{00000000-0005-0000-0000-00009B2D0000}"/>
    <cellStyle name="Normal 13 8" xfId="20525" xr:uid="{00000000-0005-0000-0000-00009C2D0000}"/>
    <cellStyle name="Normal 13 8 2" xfId="20526" xr:uid="{00000000-0005-0000-0000-00009D2D0000}"/>
    <cellStyle name="Normal 13 8 2 2" xfId="43872" xr:uid="{00000000-0005-0000-0000-00009E2D0000}"/>
    <cellStyle name="Normal 13 8 3" xfId="20527" xr:uid="{00000000-0005-0000-0000-00009F2D0000}"/>
    <cellStyle name="Normal 13 8 3 2" xfId="43873" xr:uid="{00000000-0005-0000-0000-0000A02D0000}"/>
    <cellStyle name="Normal 13 8 4" xfId="43871" xr:uid="{00000000-0005-0000-0000-0000A12D0000}"/>
    <cellStyle name="Normal 13 9" xfId="20528" xr:uid="{00000000-0005-0000-0000-0000A22D0000}"/>
    <cellStyle name="Normal 13 9 2" xfId="20529" xr:uid="{00000000-0005-0000-0000-0000A32D0000}"/>
    <cellStyle name="Normal 13 9 2 2" xfId="43875" xr:uid="{00000000-0005-0000-0000-0000A42D0000}"/>
    <cellStyle name="Normal 13 9 3" xfId="43874" xr:uid="{00000000-0005-0000-0000-0000A52D0000}"/>
    <cellStyle name="Normal 14" xfId="85" xr:uid="{00000000-0005-0000-0000-0000A62D0000}"/>
    <cellStyle name="Normal 14 10" xfId="20530" xr:uid="{00000000-0005-0000-0000-0000A72D0000}"/>
    <cellStyle name="Normal 14 10 2" xfId="43876" xr:uid="{00000000-0005-0000-0000-0000A82D0000}"/>
    <cellStyle name="Normal 14 11" xfId="20531" xr:uid="{00000000-0005-0000-0000-0000A92D0000}"/>
    <cellStyle name="Normal 14 11 2" xfId="43877" xr:uid="{00000000-0005-0000-0000-0000AA2D0000}"/>
    <cellStyle name="Normal 14 12" xfId="23665" xr:uid="{00000000-0005-0000-0000-0000AB2D0000}"/>
    <cellStyle name="Normal 14 2" xfId="86" xr:uid="{00000000-0005-0000-0000-0000AC2D0000}"/>
    <cellStyle name="Normal 14 2 10" xfId="23666" xr:uid="{00000000-0005-0000-0000-0000AD2D0000}"/>
    <cellStyle name="Normal 14 2 2" xfId="3387" xr:uid="{00000000-0005-0000-0000-0000AE2D0000}"/>
    <cellStyle name="Normal 14 2 2 2" xfId="17913" xr:uid="{00000000-0005-0000-0000-0000AF2D0000}"/>
    <cellStyle name="Normal 14 2 2 2 2" xfId="20532" xr:uid="{00000000-0005-0000-0000-0000B02D0000}"/>
    <cellStyle name="Normal 14 2 2 2 2 2" xfId="20533" xr:uid="{00000000-0005-0000-0000-0000B12D0000}"/>
    <cellStyle name="Normal 14 2 2 2 2 2 2" xfId="43879" xr:uid="{00000000-0005-0000-0000-0000B22D0000}"/>
    <cellStyle name="Normal 14 2 2 2 2 3" xfId="20534" xr:uid="{00000000-0005-0000-0000-0000B32D0000}"/>
    <cellStyle name="Normal 14 2 2 2 2 3 2" xfId="43880" xr:uid="{00000000-0005-0000-0000-0000B42D0000}"/>
    <cellStyle name="Normal 14 2 2 2 2 4" xfId="43878" xr:uid="{00000000-0005-0000-0000-0000B52D0000}"/>
    <cellStyle name="Normal 14 2 2 2 3" xfId="20535" xr:uid="{00000000-0005-0000-0000-0000B62D0000}"/>
    <cellStyle name="Normal 14 2 2 2 3 2" xfId="20536" xr:uid="{00000000-0005-0000-0000-0000B72D0000}"/>
    <cellStyle name="Normal 14 2 2 2 3 2 2" xfId="43882" xr:uid="{00000000-0005-0000-0000-0000B82D0000}"/>
    <cellStyle name="Normal 14 2 2 2 3 3" xfId="43881" xr:uid="{00000000-0005-0000-0000-0000B92D0000}"/>
    <cellStyle name="Normal 14 2 2 2 4" xfId="20537" xr:uid="{00000000-0005-0000-0000-0000BA2D0000}"/>
    <cellStyle name="Normal 14 2 2 2 4 2" xfId="43883" xr:uid="{00000000-0005-0000-0000-0000BB2D0000}"/>
    <cellStyle name="Normal 14 2 2 2 5" xfId="20538" xr:uid="{00000000-0005-0000-0000-0000BC2D0000}"/>
    <cellStyle name="Normal 14 2 2 2 5 2" xfId="43884" xr:uid="{00000000-0005-0000-0000-0000BD2D0000}"/>
    <cellStyle name="Normal 14 2 2 2 6" xfId="20539" xr:uid="{00000000-0005-0000-0000-0000BE2D0000}"/>
    <cellStyle name="Normal 14 2 2 2 6 2" xfId="43885" xr:uid="{00000000-0005-0000-0000-0000BF2D0000}"/>
    <cellStyle name="Normal 14 2 2 2 7" xfId="41373" xr:uid="{00000000-0005-0000-0000-0000C02D0000}"/>
    <cellStyle name="Normal 14 2 2 3" xfId="20540" xr:uid="{00000000-0005-0000-0000-0000C12D0000}"/>
    <cellStyle name="Normal 14 2 2 3 2" xfId="20541" xr:uid="{00000000-0005-0000-0000-0000C22D0000}"/>
    <cellStyle name="Normal 14 2 2 3 2 2" xfId="43887" xr:uid="{00000000-0005-0000-0000-0000C32D0000}"/>
    <cellStyle name="Normal 14 2 2 3 3" xfId="20542" xr:uid="{00000000-0005-0000-0000-0000C42D0000}"/>
    <cellStyle name="Normal 14 2 2 3 3 2" xfId="43888" xr:uid="{00000000-0005-0000-0000-0000C52D0000}"/>
    <cellStyle name="Normal 14 2 2 3 4" xfId="43886" xr:uid="{00000000-0005-0000-0000-0000C62D0000}"/>
    <cellStyle name="Normal 14 2 2 4" xfId="20543" xr:uid="{00000000-0005-0000-0000-0000C72D0000}"/>
    <cellStyle name="Normal 14 2 2 4 2" xfId="20544" xr:uid="{00000000-0005-0000-0000-0000C82D0000}"/>
    <cellStyle name="Normal 14 2 2 4 2 2" xfId="43890" xr:uid="{00000000-0005-0000-0000-0000C92D0000}"/>
    <cellStyle name="Normal 14 2 2 4 3" xfId="43889" xr:uid="{00000000-0005-0000-0000-0000CA2D0000}"/>
    <cellStyle name="Normal 14 2 2 5" xfId="20545" xr:uid="{00000000-0005-0000-0000-0000CB2D0000}"/>
    <cellStyle name="Normal 14 2 2 5 2" xfId="43891" xr:uid="{00000000-0005-0000-0000-0000CC2D0000}"/>
    <cellStyle name="Normal 14 2 2 6" xfId="20546" xr:uid="{00000000-0005-0000-0000-0000CD2D0000}"/>
    <cellStyle name="Normal 14 2 2 6 2" xfId="43892" xr:uid="{00000000-0005-0000-0000-0000CE2D0000}"/>
    <cellStyle name="Normal 14 2 2 7" xfId="20547" xr:uid="{00000000-0005-0000-0000-0000CF2D0000}"/>
    <cellStyle name="Normal 14 2 2 7 2" xfId="43893" xr:uid="{00000000-0005-0000-0000-0000D02D0000}"/>
    <cellStyle name="Normal 14 2 2 8" xfId="26896" xr:uid="{00000000-0005-0000-0000-0000D12D0000}"/>
    <cellStyle name="Normal 14 2 3" xfId="17756" xr:uid="{00000000-0005-0000-0000-0000D22D0000}"/>
    <cellStyle name="Normal 14 2 3 2" xfId="17990" xr:uid="{00000000-0005-0000-0000-0000D32D0000}"/>
    <cellStyle name="Normal 14 2 3 2 2" xfId="20548" xr:uid="{00000000-0005-0000-0000-0000D42D0000}"/>
    <cellStyle name="Normal 14 2 3 2 2 2" xfId="20549" xr:uid="{00000000-0005-0000-0000-0000D52D0000}"/>
    <cellStyle name="Normal 14 2 3 2 2 2 2" xfId="43895" xr:uid="{00000000-0005-0000-0000-0000D62D0000}"/>
    <cellStyle name="Normal 14 2 3 2 2 3" xfId="20550" xr:uid="{00000000-0005-0000-0000-0000D72D0000}"/>
    <cellStyle name="Normal 14 2 3 2 2 3 2" xfId="43896" xr:uid="{00000000-0005-0000-0000-0000D82D0000}"/>
    <cellStyle name="Normal 14 2 3 2 2 4" xfId="43894" xr:uid="{00000000-0005-0000-0000-0000D92D0000}"/>
    <cellStyle name="Normal 14 2 3 2 3" xfId="20551" xr:uid="{00000000-0005-0000-0000-0000DA2D0000}"/>
    <cellStyle name="Normal 14 2 3 2 3 2" xfId="20552" xr:uid="{00000000-0005-0000-0000-0000DB2D0000}"/>
    <cellStyle name="Normal 14 2 3 2 3 2 2" xfId="43898" xr:uid="{00000000-0005-0000-0000-0000DC2D0000}"/>
    <cellStyle name="Normal 14 2 3 2 3 3" xfId="43897" xr:uid="{00000000-0005-0000-0000-0000DD2D0000}"/>
    <cellStyle name="Normal 14 2 3 2 4" xfId="20553" xr:uid="{00000000-0005-0000-0000-0000DE2D0000}"/>
    <cellStyle name="Normal 14 2 3 2 4 2" xfId="43899" xr:uid="{00000000-0005-0000-0000-0000DF2D0000}"/>
    <cellStyle name="Normal 14 2 3 2 5" xfId="20554" xr:uid="{00000000-0005-0000-0000-0000E02D0000}"/>
    <cellStyle name="Normal 14 2 3 2 5 2" xfId="43900" xr:uid="{00000000-0005-0000-0000-0000E12D0000}"/>
    <cellStyle name="Normal 14 2 3 2 6" xfId="20555" xr:uid="{00000000-0005-0000-0000-0000E22D0000}"/>
    <cellStyle name="Normal 14 2 3 2 6 2" xfId="43901" xr:uid="{00000000-0005-0000-0000-0000E32D0000}"/>
    <cellStyle name="Normal 14 2 3 2 7" xfId="41450" xr:uid="{00000000-0005-0000-0000-0000E42D0000}"/>
    <cellStyle name="Normal 14 2 3 3" xfId="20556" xr:uid="{00000000-0005-0000-0000-0000E52D0000}"/>
    <cellStyle name="Normal 14 2 3 3 2" xfId="20557" xr:uid="{00000000-0005-0000-0000-0000E62D0000}"/>
    <cellStyle name="Normal 14 2 3 3 2 2" xfId="43903" xr:uid="{00000000-0005-0000-0000-0000E72D0000}"/>
    <cellStyle name="Normal 14 2 3 3 3" xfId="20558" xr:uid="{00000000-0005-0000-0000-0000E82D0000}"/>
    <cellStyle name="Normal 14 2 3 3 3 2" xfId="43904" xr:uid="{00000000-0005-0000-0000-0000E92D0000}"/>
    <cellStyle name="Normal 14 2 3 3 4" xfId="43902" xr:uid="{00000000-0005-0000-0000-0000EA2D0000}"/>
    <cellStyle name="Normal 14 2 3 4" xfId="20559" xr:uid="{00000000-0005-0000-0000-0000EB2D0000}"/>
    <cellStyle name="Normal 14 2 3 4 2" xfId="20560" xr:uid="{00000000-0005-0000-0000-0000EC2D0000}"/>
    <cellStyle name="Normal 14 2 3 4 2 2" xfId="43906" xr:uid="{00000000-0005-0000-0000-0000ED2D0000}"/>
    <cellStyle name="Normal 14 2 3 4 3" xfId="43905" xr:uid="{00000000-0005-0000-0000-0000EE2D0000}"/>
    <cellStyle name="Normal 14 2 3 5" xfId="20561" xr:uid="{00000000-0005-0000-0000-0000EF2D0000}"/>
    <cellStyle name="Normal 14 2 3 5 2" xfId="43907" xr:uid="{00000000-0005-0000-0000-0000F02D0000}"/>
    <cellStyle name="Normal 14 2 3 6" xfId="20562" xr:uid="{00000000-0005-0000-0000-0000F12D0000}"/>
    <cellStyle name="Normal 14 2 3 6 2" xfId="43908" xr:uid="{00000000-0005-0000-0000-0000F22D0000}"/>
    <cellStyle name="Normal 14 2 3 7" xfId="20563" xr:uid="{00000000-0005-0000-0000-0000F32D0000}"/>
    <cellStyle name="Normal 14 2 3 7 2" xfId="43909" xr:uid="{00000000-0005-0000-0000-0000F42D0000}"/>
    <cellStyle name="Normal 14 2 3 8" xfId="41216" xr:uid="{00000000-0005-0000-0000-0000F52D0000}"/>
    <cellStyle name="Normal 14 2 4" xfId="17838" xr:uid="{00000000-0005-0000-0000-0000F62D0000}"/>
    <cellStyle name="Normal 14 2 4 2" xfId="20564" xr:uid="{00000000-0005-0000-0000-0000F72D0000}"/>
    <cellStyle name="Normal 14 2 4 2 2" xfId="20565" xr:uid="{00000000-0005-0000-0000-0000F82D0000}"/>
    <cellStyle name="Normal 14 2 4 2 2 2" xfId="43911" xr:uid="{00000000-0005-0000-0000-0000F92D0000}"/>
    <cellStyle name="Normal 14 2 4 2 3" xfId="20566" xr:uid="{00000000-0005-0000-0000-0000FA2D0000}"/>
    <cellStyle name="Normal 14 2 4 2 3 2" xfId="43912" xr:uid="{00000000-0005-0000-0000-0000FB2D0000}"/>
    <cellStyle name="Normal 14 2 4 2 4" xfId="43910" xr:uid="{00000000-0005-0000-0000-0000FC2D0000}"/>
    <cellStyle name="Normal 14 2 4 3" xfId="20567" xr:uid="{00000000-0005-0000-0000-0000FD2D0000}"/>
    <cellStyle name="Normal 14 2 4 3 2" xfId="20568" xr:uid="{00000000-0005-0000-0000-0000FE2D0000}"/>
    <cellStyle name="Normal 14 2 4 3 2 2" xfId="43914" xr:uid="{00000000-0005-0000-0000-0000FF2D0000}"/>
    <cellStyle name="Normal 14 2 4 3 3" xfId="43913" xr:uid="{00000000-0005-0000-0000-0000002E0000}"/>
    <cellStyle name="Normal 14 2 4 4" xfId="20569" xr:uid="{00000000-0005-0000-0000-0000012E0000}"/>
    <cellStyle name="Normal 14 2 4 4 2" xfId="43915" xr:uid="{00000000-0005-0000-0000-0000022E0000}"/>
    <cellStyle name="Normal 14 2 4 5" xfId="20570" xr:uid="{00000000-0005-0000-0000-0000032E0000}"/>
    <cellStyle name="Normal 14 2 4 5 2" xfId="43916" xr:uid="{00000000-0005-0000-0000-0000042E0000}"/>
    <cellStyle name="Normal 14 2 4 6" xfId="20571" xr:uid="{00000000-0005-0000-0000-0000052E0000}"/>
    <cellStyle name="Normal 14 2 4 6 2" xfId="43917" xr:uid="{00000000-0005-0000-0000-0000062E0000}"/>
    <cellStyle name="Normal 14 2 4 7" xfId="41298" xr:uid="{00000000-0005-0000-0000-0000072E0000}"/>
    <cellStyle name="Normal 14 2 5" xfId="20572" xr:uid="{00000000-0005-0000-0000-0000082E0000}"/>
    <cellStyle name="Normal 14 2 5 2" xfId="20573" xr:uid="{00000000-0005-0000-0000-0000092E0000}"/>
    <cellStyle name="Normal 14 2 5 2 2" xfId="43919" xr:uid="{00000000-0005-0000-0000-00000A2E0000}"/>
    <cellStyle name="Normal 14 2 5 3" xfId="20574" xr:uid="{00000000-0005-0000-0000-00000B2E0000}"/>
    <cellStyle name="Normal 14 2 5 3 2" xfId="43920" xr:uid="{00000000-0005-0000-0000-00000C2E0000}"/>
    <cellStyle name="Normal 14 2 5 4" xfId="43918" xr:uid="{00000000-0005-0000-0000-00000D2E0000}"/>
    <cellStyle name="Normal 14 2 6" xfId="20575" xr:uid="{00000000-0005-0000-0000-00000E2E0000}"/>
    <cellStyle name="Normal 14 2 6 2" xfId="20576" xr:uid="{00000000-0005-0000-0000-00000F2E0000}"/>
    <cellStyle name="Normal 14 2 6 2 2" xfId="43922" xr:uid="{00000000-0005-0000-0000-0000102E0000}"/>
    <cellStyle name="Normal 14 2 6 3" xfId="43921" xr:uid="{00000000-0005-0000-0000-0000112E0000}"/>
    <cellStyle name="Normal 14 2 7" xfId="20577" xr:uid="{00000000-0005-0000-0000-0000122E0000}"/>
    <cellStyle name="Normal 14 2 7 2" xfId="43923" xr:uid="{00000000-0005-0000-0000-0000132E0000}"/>
    <cellStyle name="Normal 14 2 8" xfId="20578" xr:uid="{00000000-0005-0000-0000-0000142E0000}"/>
    <cellStyle name="Normal 14 2 8 2" xfId="43924" xr:uid="{00000000-0005-0000-0000-0000152E0000}"/>
    <cellStyle name="Normal 14 2 9" xfId="20579" xr:uid="{00000000-0005-0000-0000-0000162E0000}"/>
    <cellStyle name="Normal 14 2 9 2" xfId="43925" xr:uid="{00000000-0005-0000-0000-0000172E0000}"/>
    <cellStyle name="Normal 14 3" xfId="3388" xr:uid="{00000000-0005-0000-0000-0000182E0000}"/>
    <cellStyle name="Normal 14 3 10" xfId="26897" xr:uid="{00000000-0005-0000-0000-0000192E0000}"/>
    <cellStyle name="Normal 14 3 2" xfId="3389" xr:uid="{00000000-0005-0000-0000-00001A2E0000}"/>
    <cellStyle name="Normal 14 3 2 2" xfId="17935" xr:uid="{00000000-0005-0000-0000-00001B2E0000}"/>
    <cellStyle name="Normal 14 3 2 2 2" xfId="20580" xr:uid="{00000000-0005-0000-0000-00001C2E0000}"/>
    <cellStyle name="Normal 14 3 2 2 2 2" xfId="20581" xr:uid="{00000000-0005-0000-0000-00001D2E0000}"/>
    <cellStyle name="Normal 14 3 2 2 2 2 2" xfId="43927" xr:uid="{00000000-0005-0000-0000-00001E2E0000}"/>
    <cellStyle name="Normal 14 3 2 2 2 3" xfId="20582" xr:uid="{00000000-0005-0000-0000-00001F2E0000}"/>
    <cellStyle name="Normal 14 3 2 2 2 3 2" xfId="43928" xr:uid="{00000000-0005-0000-0000-0000202E0000}"/>
    <cellStyle name="Normal 14 3 2 2 2 4" xfId="43926" xr:uid="{00000000-0005-0000-0000-0000212E0000}"/>
    <cellStyle name="Normal 14 3 2 2 3" xfId="20583" xr:uid="{00000000-0005-0000-0000-0000222E0000}"/>
    <cellStyle name="Normal 14 3 2 2 3 2" xfId="20584" xr:uid="{00000000-0005-0000-0000-0000232E0000}"/>
    <cellStyle name="Normal 14 3 2 2 3 2 2" xfId="43930" xr:uid="{00000000-0005-0000-0000-0000242E0000}"/>
    <cellStyle name="Normal 14 3 2 2 3 3" xfId="43929" xr:uid="{00000000-0005-0000-0000-0000252E0000}"/>
    <cellStyle name="Normal 14 3 2 2 4" xfId="20585" xr:uid="{00000000-0005-0000-0000-0000262E0000}"/>
    <cellStyle name="Normal 14 3 2 2 4 2" xfId="43931" xr:uid="{00000000-0005-0000-0000-0000272E0000}"/>
    <cellStyle name="Normal 14 3 2 2 5" xfId="20586" xr:uid="{00000000-0005-0000-0000-0000282E0000}"/>
    <cellStyle name="Normal 14 3 2 2 5 2" xfId="43932" xr:uid="{00000000-0005-0000-0000-0000292E0000}"/>
    <cellStyle name="Normal 14 3 2 2 6" xfId="20587" xr:uid="{00000000-0005-0000-0000-00002A2E0000}"/>
    <cellStyle name="Normal 14 3 2 2 6 2" xfId="43933" xr:uid="{00000000-0005-0000-0000-00002B2E0000}"/>
    <cellStyle name="Normal 14 3 2 2 7" xfId="41395" xr:uid="{00000000-0005-0000-0000-00002C2E0000}"/>
    <cellStyle name="Normal 14 3 2 3" xfId="20588" xr:uid="{00000000-0005-0000-0000-00002D2E0000}"/>
    <cellStyle name="Normal 14 3 2 3 2" xfId="20589" xr:uid="{00000000-0005-0000-0000-00002E2E0000}"/>
    <cellStyle name="Normal 14 3 2 3 2 2" xfId="43935" xr:uid="{00000000-0005-0000-0000-00002F2E0000}"/>
    <cellStyle name="Normal 14 3 2 3 3" xfId="20590" xr:uid="{00000000-0005-0000-0000-0000302E0000}"/>
    <cellStyle name="Normal 14 3 2 3 3 2" xfId="43936" xr:uid="{00000000-0005-0000-0000-0000312E0000}"/>
    <cellStyle name="Normal 14 3 2 3 4" xfId="43934" xr:uid="{00000000-0005-0000-0000-0000322E0000}"/>
    <cellStyle name="Normal 14 3 2 4" xfId="20591" xr:uid="{00000000-0005-0000-0000-0000332E0000}"/>
    <cellStyle name="Normal 14 3 2 4 2" xfId="20592" xr:uid="{00000000-0005-0000-0000-0000342E0000}"/>
    <cellStyle name="Normal 14 3 2 4 2 2" xfId="43938" xr:uid="{00000000-0005-0000-0000-0000352E0000}"/>
    <cellStyle name="Normal 14 3 2 4 3" xfId="43937" xr:uid="{00000000-0005-0000-0000-0000362E0000}"/>
    <cellStyle name="Normal 14 3 2 5" xfId="20593" xr:uid="{00000000-0005-0000-0000-0000372E0000}"/>
    <cellStyle name="Normal 14 3 2 5 2" xfId="43939" xr:uid="{00000000-0005-0000-0000-0000382E0000}"/>
    <cellStyle name="Normal 14 3 2 6" xfId="20594" xr:uid="{00000000-0005-0000-0000-0000392E0000}"/>
    <cellStyle name="Normal 14 3 2 6 2" xfId="43940" xr:uid="{00000000-0005-0000-0000-00003A2E0000}"/>
    <cellStyle name="Normal 14 3 2 7" xfId="20595" xr:uid="{00000000-0005-0000-0000-00003B2E0000}"/>
    <cellStyle name="Normal 14 3 2 7 2" xfId="43941" xr:uid="{00000000-0005-0000-0000-00003C2E0000}"/>
    <cellStyle name="Normal 14 3 2 8" xfId="26898" xr:uid="{00000000-0005-0000-0000-00003D2E0000}"/>
    <cellStyle name="Normal 14 3 3" xfId="17784" xr:uid="{00000000-0005-0000-0000-00003E2E0000}"/>
    <cellStyle name="Normal 14 3 3 2" xfId="18020" xr:uid="{00000000-0005-0000-0000-00003F2E0000}"/>
    <cellStyle name="Normal 14 3 3 2 2" xfId="20596" xr:uid="{00000000-0005-0000-0000-0000402E0000}"/>
    <cellStyle name="Normal 14 3 3 2 2 2" xfId="20597" xr:uid="{00000000-0005-0000-0000-0000412E0000}"/>
    <cellStyle name="Normal 14 3 3 2 2 2 2" xfId="43943" xr:uid="{00000000-0005-0000-0000-0000422E0000}"/>
    <cellStyle name="Normal 14 3 3 2 2 3" xfId="20598" xr:uid="{00000000-0005-0000-0000-0000432E0000}"/>
    <cellStyle name="Normal 14 3 3 2 2 3 2" xfId="43944" xr:uid="{00000000-0005-0000-0000-0000442E0000}"/>
    <cellStyle name="Normal 14 3 3 2 2 4" xfId="43942" xr:uid="{00000000-0005-0000-0000-0000452E0000}"/>
    <cellStyle name="Normal 14 3 3 2 3" xfId="20599" xr:uid="{00000000-0005-0000-0000-0000462E0000}"/>
    <cellStyle name="Normal 14 3 3 2 3 2" xfId="20600" xr:uid="{00000000-0005-0000-0000-0000472E0000}"/>
    <cellStyle name="Normal 14 3 3 2 3 2 2" xfId="43946" xr:uid="{00000000-0005-0000-0000-0000482E0000}"/>
    <cellStyle name="Normal 14 3 3 2 3 3" xfId="43945" xr:uid="{00000000-0005-0000-0000-0000492E0000}"/>
    <cellStyle name="Normal 14 3 3 2 4" xfId="20601" xr:uid="{00000000-0005-0000-0000-00004A2E0000}"/>
    <cellStyle name="Normal 14 3 3 2 4 2" xfId="43947" xr:uid="{00000000-0005-0000-0000-00004B2E0000}"/>
    <cellStyle name="Normal 14 3 3 2 5" xfId="20602" xr:uid="{00000000-0005-0000-0000-00004C2E0000}"/>
    <cellStyle name="Normal 14 3 3 2 5 2" xfId="43948" xr:uid="{00000000-0005-0000-0000-00004D2E0000}"/>
    <cellStyle name="Normal 14 3 3 2 6" xfId="20603" xr:uid="{00000000-0005-0000-0000-00004E2E0000}"/>
    <cellStyle name="Normal 14 3 3 2 6 2" xfId="43949" xr:uid="{00000000-0005-0000-0000-00004F2E0000}"/>
    <cellStyle name="Normal 14 3 3 2 7" xfId="41480" xr:uid="{00000000-0005-0000-0000-0000502E0000}"/>
    <cellStyle name="Normal 14 3 3 3" xfId="20604" xr:uid="{00000000-0005-0000-0000-0000512E0000}"/>
    <cellStyle name="Normal 14 3 3 3 2" xfId="20605" xr:uid="{00000000-0005-0000-0000-0000522E0000}"/>
    <cellStyle name="Normal 14 3 3 3 2 2" xfId="43951" xr:uid="{00000000-0005-0000-0000-0000532E0000}"/>
    <cellStyle name="Normal 14 3 3 3 3" xfId="20606" xr:uid="{00000000-0005-0000-0000-0000542E0000}"/>
    <cellStyle name="Normal 14 3 3 3 3 2" xfId="43952" xr:uid="{00000000-0005-0000-0000-0000552E0000}"/>
    <cellStyle name="Normal 14 3 3 3 4" xfId="43950" xr:uid="{00000000-0005-0000-0000-0000562E0000}"/>
    <cellStyle name="Normal 14 3 3 4" xfId="20607" xr:uid="{00000000-0005-0000-0000-0000572E0000}"/>
    <cellStyle name="Normal 14 3 3 4 2" xfId="20608" xr:uid="{00000000-0005-0000-0000-0000582E0000}"/>
    <cellStyle name="Normal 14 3 3 4 2 2" xfId="43954" xr:uid="{00000000-0005-0000-0000-0000592E0000}"/>
    <cellStyle name="Normal 14 3 3 4 3" xfId="43953" xr:uid="{00000000-0005-0000-0000-00005A2E0000}"/>
    <cellStyle name="Normal 14 3 3 5" xfId="20609" xr:uid="{00000000-0005-0000-0000-00005B2E0000}"/>
    <cellStyle name="Normal 14 3 3 5 2" xfId="43955" xr:uid="{00000000-0005-0000-0000-00005C2E0000}"/>
    <cellStyle name="Normal 14 3 3 6" xfId="20610" xr:uid="{00000000-0005-0000-0000-00005D2E0000}"/>
    <cellStyle name="Normal 14 3 3 6 2" xfId="43956" xr:uid="{00000000-0005-0000-0000-00005E2E0000}"/>
    <cellStyle name="Normal 14 3 3 7" xfId="20611" xr:uid="{00000000-0005-0000-0000-00005F2E0000}"/>
    <cellStyle name="Normal 14 3 3 7 2" xfId="43957" xr:uid="{00000000-0005-0000-0000-0000602E0000}"/>
    <cellStyle name="Normal 14 3 3 8" xfId="41244" xr:uid="{00000000-0005-0000-0000-0000612E0000}"/>
    <cellStyle name="Normal 14 3 4" xfId="17863" xr:uid="{00000000-0005-0000-0000-0000622E0000}"/>
    <cellStyle name="Normal 14 3 4 2" xfId="20612" xr:uid="{00000000-0005-0000-0000-0000632E0000}"/>
    <cellStyle name="Normal 14 3 4 2 2" xfId="20613" xr:uid="{00000000-0005-0000-0000-0000642E0000}"/>
    <cellStyle name="Normal 14 3 4 2 2 2" xfId="43959" xr:uid="{00000000-0005-0000-0000-0000652E0000}"/>
    <cellStyle name="Normal 14 3 4 2 3" xfId="20614" xr:uid="{00000000-0005-0000-0000-0000662E0000}"/>
    <cellStyle name="Normal 14 3 4 2 3 2" xfId="43960" xr:uid="{00000000-0005-0000-0000-0000672E0000}"/>
    <cellStyle name="Normal 14 3 4 2 4" xfId="43958" xr:uid="{00000000-0005-0000-0000-0000682E0000}"/>
    <cellStyle name="Normal 14 3 4 3" xfId="20615" xr:uid="{00000000-0005-0000-0000-0000692E0000}"/>
    <cellStyle name="Normal 14 3 4 3 2" xfId="20616" xr:uid="{00000000-0005-0000-0000-00006A2E0000}"/>
    <cellStyle name="Normal 14 3 4 3 2 2" xfId="43962" xr:uid="{00000000-0005-0000-0000-00006B2E0000}"/>
    <cellStyle name="Normal 14 3 4 3 3" xfId="43961" xr:uid="{00000000-0005-0000-0000-00006C2E0000}"/>
    <cellStyle name="Normal 14 3 4 4" xfId="20617" xr:uid="{00000000-0005-0000-0000-00006D2E0000}"/>
    <cellStyle name="Normal 14 3 4 4 2" xfId="43963" xr:uid="{00000000-0005-0000-0000-00006E2E0000}"/>
    <cellStyle name="Normal 14 3 4 5" xfId="20618" xr:uid="{00000000-0005-0000-0000-00006F2E0000}"/>
    <cellStyle name="Normal 14 3 4 5 2" xfId="43964" xr:uid="{00000000-0005-0000-0000-0000702E0000}"/>
    <cellStyle name="Normal 14 3 4 6" xfId="20619" xr:uid="{00000000-0005-0000-0000-0000712E0000}"/>
    <cellStyle name="Normal 14 3 4 6 2" xfId="43965" xr:uid="{00000000-0005-0000-0000-0000722E0000}"/>
    <cellStyle name="Normal 14 3 4 7" xfId="41323" xr:uid="{00000000-0005-0000-0000-0000732E0000}"/>
    <cellStyle name="Normal 14 3 5" xfId="20620" xr:uid="{00000000-0005-0000-0000-0000742E0000}"/>
    <cellStyle name="Normal 14 3 5 2" xfId="20621" xr:uid="{00000000-0005-0000-0000-0000752E0000}"/>
    <cellStyle name="Normal 14 3 5 2 2" xfId="43967" xr:uid="{00000000-0005-0000-0000-0000762E0000}"/>
    <cellStyle name="Normal 14 3 5 3" xfId="20622" xr:uid="{00000000-0005-0000-0000-0000772E0000}"/>
    <cellStyle name="Normal 14 3 5 3 2" xfId="43968" xr:uid="{00000000-0005-0000-0000-0000782E0000}"/>
    <cellStyle name="Normal 14 3 5 4" xfId="43966" xr:uid="{00000000-0005-0000-0000-0000792E0000}"/>
    <cellStyle name="Normal 14 3 6" xfId="20623" xr:uid="{00000000-0005-0000-0000-00007A2E0000}"/>
    <cellStyle name="Normal 14 3 6 2" xfId="20624" xr:uid="{00000000-0005-0000-0000-00007B2E0000}"/>
    <cellStyle name="Normal 14 3 6 2 2" xfId="43970" xr:uid="{00000000-0005-0000-0000-00007C2E0000}"/>
    <cellStyle name="Normal 14 3 6 3" xfId="43969" xr:uid="{00000000-0005-0000-0000-00007D2E0000}"/>
    <cellStyle name="Normal 14 3 7" xfId="20625" xr:uid="{00000000-0005-0000-0000-00007E2E0000}"/>
    <cellStyle name="Normal 14 3 7 2" xfId="43971" xr:uid="{00000000-0005-0000-0000-00007F2E0000}"/>
    <cellStyle name="Normal 14 3 8" xfId="20626" xr:uid="{00000000-0005-0000-0000-0000802E0000}"/>
    <cellStyle name="Normal 14 3 8 2" xfId="43972" xr:uid="{00000000-0005-0000-0000-0000812E0000}"/>
    <cellStyle name="Normal 14 3 9" xfId="20627" xr:uid="{00000000-0005-0000-0000-0000822E0000}"/>
    <cellStyle name="Normal 14 3 9 2" xfId="43973" xr:uid="{00000000-0005-0000-0000-0000832E0000}"/>
    <cellStyle name="Normal 14 4" xfId="3390" xr:uid="{00000000-0005-0000-0000-0000842E0000}"/>
    <cellStyle name="Normal 14 4 2" xfId="3391" xr:uid="{00000000-0005-0000-0000-0000852E0000}"/>
    <cellStyle name="Normal 14 4 2 2" xfId="20628" xr:uid="{00000000-0005-0000-0000-0000862E0000}"/>
    <cellStyle name="Normal 14 4 2 2 2" xfId="20629" xr:uid="{00000000-0005-0000-0000-0000872E0000}"/>
    <cellStyle name="Normal 14 4 2 2 2 2" xfId="43975" xr:uid="{00000000-0005-0000-0000-0000882E0000}"/>
    <cellStyle name="Normal 14 4 2 2 3" xfId="20630" xr:uid="{00000000-0005-0000-0000-0000892E0000}"/>
    <cellStyle name="Normal 14 4 2 2 3 2" xfId="43976" xr:uid="{00000000-0005-0000-0000-00008A2E0000}"/>
    <cellStyle name="Normal 14 4 2 2 4" xfId="43974" xr:uid="{00000000-0005-0000-0000-00008B2E0000}"/>
    <cellStyle name="Normal 14 4 2 3" xfId="20631" xr:uid="{00000000-0005-0000-0000-00008C2E0000}"/>
    <cellStyle name="Normal 14 4 2 3 2" xfId="20632" xr:uid="{00000000-0005-0000-0000-00008D2E0000}"/>
    <cellStyle name="Normal 14 4 2 3 2 2" xfId="43978" xr:uid="{00000000-0005-0000-0000-00008E2E0000}"/>
    <cellStyle name="Normal 14 4 2 3 3" xfId="43977" xr:uid="{00000000-0005-0000-0000-00008F2E0000}"/>
    <cellStyle name="Normal 14 4 2 4" xfId="20633" xr:uid="{00000000-0005-0000-0000-0000902E0000}"/>
    <cellStyle name="Normal 14 4 2 4 2" xfId="43979" xr:uid="{00000000-0005-0000-0000-0000912E0000}"/>
    <cellStyle name="Normal 14 4 2 5" xfId="20634" xr:uid="{00000000-0005-0000-0000-0000922E0000}"/>
    <cellStyle name="Normal 14 4 2 5 2" xfId="43980" xr:uid="{00000000-0005-0000-0000-0000932E0000}"/>
    <cellStyle name="Normal 14 4 2 6" xfId="20635" xr:uid="{00000000-0005-0000-0000-0000942E0000}"/>
    <cellStyle name="Normal 14 4 2 6 2" xfId="43981" xr:uid="{00000000-0005-0000-0000-0000952E0000}"/>
    <cellStyle name="Normal 14 4 2 7" xfId="26900" xr:uid="{00000000-0005-0000-0000-0000962E0000}"/>
    <cellStyle name="Normal 14 4 3" xfId="20636" xr:uid="{00000000-0005-0000-0000-0000972E0000}"/>
    <cellStyle name="Normal 14 4 3 2" xfId="20637" xr:uid="{00000000-0005-0000-0000-0000982E0000}"/>
    <cellStyle name="Normal 14 4 3 2 2" xfId="43983" xr:uid="{00000000-0005-0000-0000-0000992E0000}"/>
    <cellStyle name="Normal 14 4 3 3" xfId="20638" xr:uid="{00000000-0005-0000-0000-00009A2E0000}"/>
    <cellStyle name="Normal 14 4 3 3 2" xfId="43984" xr:uid="{00000000-0005-0000-0000-00009B2E0000}"/>
    <cellStyle name="Normal 14 4 3 4" xfId="43982" xr:uid="{00000000-0005-0000-0000-00009C2E0000}"/>
    <cellStyle name="Normal 14 4 4" xfId="20639" xr:uid="{00000000-0005-0000-0000-00009D2E0000}"/>
    <cellStyle name="Normal 14 4 4 2" xfId="20640" xr:uid="{00000000-0005-0000-0000-00009E2E0000}"/>
    <cellStyle name="Normal 14 4 4 2 2" xfId="43986" xr:uid="{00000000-0005-0000-0000-00009F2E0000}"/>
    <cellStyle name="Normal 14 4 4 3" xfId="43985" xr:uid="{00000000-0005-0000-0000-0000A02E0000}"/>
    <cellStyle name="Normal 14 4 5" xfId="20641" xr:uid="{00000000-0005-0000-0000-0000A12E0000}"/>
    <cellStyle name="Normal 14 4 5 2" xfId="43987" xr:uid="{00000000-0005-0000-0000-0000A22E0000}"/>
    <cellStyle name="Normal 14 4 6" xfId="20642" xr:uid="{00000000-0005-0000-0000-0000A32E0000}"/>
    <cellStyle name="Normal 14 4 6 2" xfId="43988" xr:uid="{00000000-0005-0000-0000-0000A42E0000}"/>
    <cellStyle name="Normal 14 4 7" xfId="20643" xr:uid="{00000000-0005-0000-0000-0000A52E0000}"/>
    <cellStyle name="Normal 14 4 7 2" xfId="43989" xr:uid="{00000000-0005-0000-0000-0000A62E0000}"/>
    <cellStyle name="Normal 14 4 8" xfId="26899" xr:uid="{00000000-0005-0000-0000-0000A72E0000}"/>
    <cellStyle name="Normal 14 5" xfId="3386" xr:uid="{00000000-0005-0000-0000-0000A82E0000}"/>
    <cellStyle name="Normal 14 5 2" xfId="17967" xr:uid="{00000000-0005-0000-0000-0000A92E0000}"/>
    <cellStyle name="Normal 14 5 2 2" xfId="20644" xr:uid="{00000000-0005-0000-0000-0000AA2E0000}"/>
    <cellStyle name="Normal 14 5 2 2 2" xfId="20645" xr:uid="{00000000-0005-0000-0000-0000AB2E0000}"/>
    <cellStyle name="Normal 14 5 2 2 2 2" xfId="43991" xr:uid="{00000000-0005-0000-0000-0000AC2E0000}"/>
    <cellStyle name="Normal 14 5 2 2 3" xfId="20646" xr:uid="{00000000-0005-0000-0000-0000AD2E0000}"/>
    <cellStyle name="Normal 14 5 2 2 3 2" xfId="43992" xr:uid="{00000000-0005-0000-0000-0000AE2E0000}"/>
    <cellStyle name="Normal 14 5 2 2 4" xfId="43990" xr:uid="{00000000-0005-0000-0000-0000AF2E0000}"/>
    <cellStyle name="Normal 14 5 2 3" xfId="20647" xr:uid="{00000000-0005-0000-0000-0000B02E0000}"/>
    <cellStyle name="Normal 14 5 2 3 2" xfId="20648" xr:uid="{00000000-0005-0000-0000-0000B12E0000}"/>
    <cellStyle name="Normal 14 5 2 3 2 2" xfId="43994" xr:uid="{00000000-0005-0000-0000-0000B22E0000}"/>
    <cellStyle name="Normal 14 5 2 3 3" xfId="43993" xr:uid="{00000000-0005-0000-0000-0000B32E0000}"/>
    <cellStyle name="Normal 14 5 2 4" xfId="20649" xr:uid="{00000000-0005-0000-0000-0000B42E0000}"/>
    <cellStyle name="Normal 14 5 2 4 2" xfId="43995" xr:uid="{00000000-0005-0000-0000-0000B52E0000}"/>
    <cellStyle name="Normal 14 5 2 5" xfId="20650" xr:uid="{00000000-0005-0000-0000-0000B62E0000}"/>
    <cellStyle name="Normal 14 5 2 5 2" xfId="43996" xr:uid="{00000000-0005-0000-0000-0000B72E0000}"/>
    <cellStyle name="Normal 14 5 2 6" xfId="20651" xr:uid="{00000000-0005-0000-0000-0000B82E0000}"/>
    <cellStyle name="Normal 14 5 2 6 2" xfId="43997" xr:uid="{00000000-0005-0000-0000-0000B92E0000}"/>
    <cellStyle name="Normal 14 5 2 7" xfId="41427" xr:uid="{00000000-0005-0000-0000-0000BA2E0000}"/>
    <cellStyle name="Normal 14 5 3" xfId="20652" xr:uid="{00000000-0005-0000-0000-0000BB2E0000}"/>
    <cellStyle name="Normal 14 5 3 2" xfId="20653" xr:uid="{00000000-0005-0000-0000-0000BC2E0000}"/>
    <cellStyle name="Normal 14 5 3 2 2" xfId="43999" xr:uid="{00000000-0005-0000-0000-0000BD2E0000}"/>
    <cellStyle name="Normal 14 5 3 3" xfId="20654" xr:uid="{00000000-0005-0000-0000-0000BE2E0000}"/>
    <cellStyle name="Normal 14 5 3 3 2" xfId="44000" xr:uid="{00000000-0005-0000-0000-0000BF2E0000}"/>
    <cellStyle name="Normal 14 5 3 4" xfId="43998" xr:uid="{00000000-0005-0000-0000-0000C02E0000}"/>
    <cellStyle name="Normal 14 5 4" xfId="20655" xr:uid="{00000000-0005-0000-0000-0000C12E0000}"/>
    <cellStyle name="Normal 14 5 4 2" xfId="20656" xr:uid="{00000000-0005-0000-0000-0000C22E0000}"/>
    <cellStyle name="Normal 14 5 4 2 2" xfId="44002" xr:uid="{00000000-0005-0000-0000-0000C32E0000}"/>
    <cellStyle name="Normal 14 5 4 3" xfId="44001" xr:uid="{00000000-0005-0000-0000-0000C42E0000}"/>
    <cellStyle name="Normal 14 5 5" xfId="20657" xr:uid="{00000000-0005-0000-0000-0000C52E0000}"/>
    <cellStyle name="Normal 14 5 5 2" xfId="44003" xr:uid="{00000000-0005-0000-0000-0000C62E0000}"/>
    <cellStyle name="Normal 14 5 6" xfId="20658" xr:uid="{00000000-0005-0000-0000-0000C72E0000}"/>
    <cellStyle name="Normal 14 5 6 2" xfId="44004" xr:uid="{00000000-0005-0000-0000-0000C82E0000}"/>
    <cellStyle name="Normal 14 5 7" xfId="20659" xr:uid="{00000000-0005-0000-0000-0000C92E0000}"/>
    <cellStyle name="Normal 14 5 7 2" xfId="44005" xr:uid="{00000000-0005-0000-0000-0000CA2E0000}"/>
    <cellStyle name="Normal 14 5 8" xfId="17735" xr:uid="{00000000-0005-0000-0000-0000CB2E0000}"/>
    <cellStyle name="Normal 14 5 8 2" xfId="41195" xr:uid="{00000000-0005-0000-0000-0000CC2E0000}"/>
    <cellStyle name="Normal 14 6" xfId="17808" xr:uid="{00000000-0005-0000-0000-0000CD2E0000}"/>
    <cellStyle name="Normal 14 6 2" xfId="20660" xr:uid="{00000000-0005-0000-0000-0000CE2E0000}"/>
    <cellStyle name="Normal 14 6 2 2" xfId="20661" xr:uid="{00000000-0005-0000-0000-0000CF2E0000}"/>
    <cellStyle name="Normal 14 6 2 2 2" xfId="44007" xr:uid="{00000000-0005-0000-0000-0000D02E0000}"/>
    <cellStyle name="Normal 14 6 2 3" xfId="20662" xr:uid="{00000000-0005-0000-0000-0000D12E0000}"/>
    <cellStyle name="Normal 14 6 2 3 2" xfId="44008" xr:uid="{00000000-0005-0000-0000-0000D22E0000}"/>
    <cellStyle name="Normal 14 6 2 4" xfId="44006" xr:uid="{00000000-0005-0000-0000-0000D32E0000}"/>
    <cellStyle name="Normal 14 6 3" xfId="20663" xr:uid="{00000000-0005-0000-0000-0000D42E0000}"/>
    <cellStyle name="Normal 14 6 3 2" xfId="20664" xr:uid="{00000000-0005-0000-0000-0000D52E0000}"/>
    <cellStyle name="Normal 14 6 3 2 2" xfId="44010" xr:uid="{00000000-0005-0000-0000-0000D62E0000}"/>
    <cellStyle name="Normal 14 6 3 3" xfId="44009" xr:uid="{00000000-0005-0000-0000-0000D72E0000}"/>
    <cellStyle name="Normal 14 6 4" xfId="20665" xr:uid="{00000000-0005-0000-0000-0000D82E0000}"/>
    <cellStyle name="Normal 14 6 4 2" xfId="44011" xr:uid="{00000000-0005-0000-0000-0000D92E0000}"/>
    <cellStyle name="Normal 14 6 5" xfId="20666" xr:uid="{00000000-0005-0000-0000-0000DA2E0000}"/>
    <cellStyle name="Normal 14 6 5 2" xfId="44012" xr:uid="{00000000-0005-0000-0000-0000DB2E0000}"/>
    <cellStyle name="Normal 14 6 6" xfId="20667" xr:uid="{00000000-0005-0000-0000-0000DC2E0000}"/>
    <cellStyle name="Normal 14 6 6 2" xfId="44013" xr:uid="{00000000-0005-0000-0000-0000DD2E0000}"/>
    <cellStyle name="Normal 14 6 7" xfId="41268" xr:uid="{00000000-0005-0000-0000-0000DE2E0000}"/>
    <cellStyle name="Normal 14 7" xfId="20668" xr:uid="{00000000-0005-0000-0000-0000DF2E0000}"/>
    <cellStyle name="Normal 14 7 2" xfId="20669" xr:uid="{00000000-0005-0000-0000-0000E02E0000}"/>
    <cellStyle name="Normal 14 7 2 2" xfId="44015" xr:uid="{00000000-0005-0000-0000-0000E12E0000}"/>
    <cellStyle name="Normal 14 7 3" xfId="20670" xr:uid="{00000000-0005-0000-0000-0000E22E0000}"/>
    <cellStyle name="Normal 14 7 3 2" xfId="44016" xr:uid="{00000000-0005-0000-0000-0000E32E0000}"/>
    <cellStyle name="Normal 14 7 4" xfId="44014" xr:uid="{00000000-0005-0000-0000-0000E42E0000}"/>
    <cellStyle name="Normal 14 8" xfId="20671" xr:uid="{00000000-0005-0000-0000-0000E52E0000}"/>
    <cellStyle name="Normal 14 8 2" xfId="20672" xr:uid="{00000000-0005-0000-0000-0000E62E0000}"/>
    <cellStyle name="Normal 14 8 2 2" xfId="44018" xr:uid="{00000000-0005-0000-0000-0000E72E0000}"/>
    <cellStyle name="Normal 14 8 3" xfId="44017" xr:uid="{00000000-0005-0000-0000-0000E82E0000}"/>
    <cellStyle name="Normal 14 9" xfId="20673" xr:uid="{00000000-0005-0000-0000-0000E92E0000}"/>
    <cellStyle name="Normal 14 9 2" xfId="44019" xr:uid="{00000000-0005-0000-0000-0000EA2E0000}"/>
    <cellStyle name="Normal 15" xfId="87" xr:uid="{00000000-0005-0000-0000-0000EB2E0000}"/>
    <cellStyle name="Normal 15 2" xfId="3393" xr:uid="{00000000-0005-0000-0000-0000EC2E0000}"/>
    <cellStyle name="Normal 15 3" xfId="3394" xr:uid="{00000000-0005-0000-0000-0000ED2E0000}"/>
    <cellStyle name="Normal 15 3 2" xfId="26902" xr:uid="{00000000-0005-0000-0000-0000EE2E0000}"/>
    <cellStyle name="Normal 15 4" xfId="3392" xr:uid="{00000000-0005-0000-0000-0000EF2E0000}"/>
    <cellStyle name="Normal 15 4 2" xfId="26901" xr:uid="{00000000-0005-0000-0000-0000F02E0000}"/>
    <cellStyle name="Normal 16" xfId="88" xr:uid="{00000000-0005-0000-0000-0000F12E0000}"/>
    <cellStyle name="Normal 16 2" xfId="3396" xr:uid="{00000000-0005-0000-0000-0000F22E0000}"/>
    <cellStyle name="Normal 16 2 2" xfId="17976" xr:uid="{00000000-0005-0000-0000-0000F32E0000}"/>
    <cellStyle name="Normal 16 2 2 2" xfId="20674" xr:uid="{00000000-0005-0000-0000-0000F42E0000}"/>
    <cellStyle name="Normal 16 2 2 2 2" xfId="20675" xr:uid="{00000000-0005-0000-0000-0000F52E0000}"/>
    <cellStyle name="Normal 16 2 2 2 2 2" xfId="44021" xr:uid="{00000000-0005-0000-0000-0000F62E0000}"/>
    <cellStyle name="Normal 16 2 2 2 3" xfId="20676" xr:uid="{00000000-0005-0000-0000-0000F72E0000}"/>
    <cellStyle name="Normal 16 2 2 2 3 2" xfId="44022" xr:uid="{00000000-0005-0000-0000-0000F82E0000}"/>
    <cellStyle name="Normal 16 2 2 2 4" xfId="44020" xr:uid="{00000000-0005-0000-0000-0000F92E0000}"/>
    <cellStyle name="Normal 16 2 2 3" xfId="20677" xr:uid="{00000000-0005-0000-0000-0000FA2E0000}"/>
    <cellStyle name="Normal 16 2 2 3 2" xfId="20678" xr:uid="{00000000-0005-0000-0000-0000FB2E0000}"/>
    <cellStyle name="Normal 16 2 2 3 2 2" xfId="44024" xr:uid="{00000000-0005-0000-0000-0000FC2E0000}"/>
    <cellStyle name="Normal 16 2 2 3 3" xfId="44023" xr:uid="{00000000-0005-0000-0000-0000FD2E0000}"/>
    <cellStyle name="Normal 16 2 2 4" xfId="20679" xr:uid="{00000000-0005-0000-0000-0000FE2E0000}"/>
    <cellStyle name="Normal 16 2 2 4 2" xfId="44025" xr:uid="{00000000-0005-0000-0000-0000FF2E0000}"/>
    <cellStyle name="Normal 16 2 2 5" xfId="20680" xr:uid="{00000000-0005-0000-0000-0000002F0000}"/>
    <cellStyle name="Normal 16 2 2 5 2" xfId="44026" xr:uid="{00000000-0005-0000-0000-0000012F0000}"/>
    <cellStyle name="Normal 16 2 2 6" xfId="20681" xr:uid="{00000000-0005-0000-0000-0000022F0000}"/>
    <cellStyle name="Normal 16 2 2 6 2" xfId="44027" xr:uid="{00000000-0005-0000-0000-0000032F0000}"/>
    <cellStyle name="Normal 16 2 2 7" xfId="41436" xr:uid="{00000000-0005-0000-0000-0000042F0000}"/>
    <cellStyle name="Normal 16 2 3" xfId="20682" xr:uid="{00000000-0005-0000-0000-0000052F0000}"/>
    <cellStyle name="Normal 16 2 3 2" xfId="20683" xr:uid="{00000000-0005-0000-0000-0000062F0000}"/>
    <cellStyle name="Normal 16 2 3 2 2" xfId="44029" xr:uid="{00000000-0005-0000-0000-0000072F0000}"/>
    <cellStyle name="Normal 16 2 3 3" xfId="20684" xr:uid="{00000000-0005-0000-0000-0000082F0000}"/>
    <cellStyle name="Normal 16 2 3 3 2" xfId="44030" xr:uid="{00000000-0005-0000-0000-0000092F0000}"/>
    <cellStyle name="Normal 16 2 3 4" xfId="44028" xr:uid="{00000000-0005-0000-0000-00000A2F0000}"/>
    <cellStyle name="Normal 16 2 4" xfId="20685" xr:uid="{00000000-0005-0000-0000-00000B2F0000}"/>
    <cellStyle name="Normal 16 2 4 2" xfId="20686" xr:uid="{00000000-0005-0000-0000-00000C2F0000}"/>
    <cellStyle name="Normal 16 2 4 2 2" xfId="44032" xr:uid="{00000000-0005-0000-0000-00000D2F0000}"/>
    <cellStyle name="Normal 16 2 4 3" xfId="44031" xr:uid="{00000000-0005-0000-0000-00000E2F0000}"/>
    <cellStyle name="Normal 16 2 5" xfId="20687" xr:uid="{00000000-0005-0000-0000-00000F2F0000}"/>
    <cellStyle name="Normal 16 2 5 2" xfId="44033" xr:uid="{00000000-0005-0000-0000-0000102F0000}"/>
    <cellStyle name="Normal 16 2 6" xfId="20688" xr:uid="{00000000-0005-0000-0000-0000112F0000}"/>
    <cellStyle name="Normal 16 2 6 2" xfId="44034" xr:uid="{00000000-0005-0000-0000-0000122F0000}"/>
    <cellStyle name="Normal 16 2 7" xfId="20689" xr:uid="{00000000-0005-0000-0000-0000132F0000}"/>
    <cellStyle name="Normal 16 2 7 2" xfId="44035" xr:uid="{00000000-0005-0000-0000-0000142F0000}"/>
    <cellStyle name="Normal 16 2 8" xfId="17744" xr:uid="{00000000-0005-0000-0000-0000152F0000}"/>
    <cellStyle name="Normal 16 2 8 2" xfId="41204" xr:uid="{00000000-0005-0000-0000-0000162F0000}"/>
    <cellStyle name="Normal 16 3" xfId="3397" xr:uid="{00000000-0005-0000-0000-0000172F0000}"/>
    <cellStyle name="Normal 16 4" xfId="3395" xr:uid="{00000000-0005-0000-0000-0000182F0000}"/>
    <cellStyle name="Normal 17" xfId="89" xr:uid="{00000000-0005-0000-0000-0000192F0000}"/>
    <cellStyle name="Normal 17 10" xfId="23667" xr:uid="{00000000-0005-0000-0000-00001A2F0000}"/>
    <cellStyle name="Normal 17 2" xfId="3398" xr:uid="{00000000-0005-0000-0000-00001B2F0000}"/>
    <cellStyle name="Normal 17 2 2" xfId="17922" xr:uid="{00000000-0005-0000-0000-00001C2F0000}"/>
    <cellStyle name="Normal 17 2 2 2" xfId="20690" xr:uid="{00000000-0005-0000-0000-00001D2F0000}"/>
    <cellStyle name="Normal 17 2 2 2 2" xfId="20691" xr:uid="{00000000-0005-0000-0000-00001E2F0000}"/>
    <cellStyle name="Normal 17 2 2 2 2 2" xfId="44037" xr:uid="{00000000-0005-0000-0000-00001F2F0000}"/>
    <cellStyle name="Normal 17 2 2 2 3" xfId="20692" xr:uid="{00000000-0005-0000-0000-0000202F0000}"/>
    <cellStyle name="Normal 17 2 2 2 3 2" xfId="44038" xr:uid="{00000000-0005-0000-0000-0000212F0000}"/>
    <cellStyle name="Normal 17 2 2 2 4" xfId="44036" xr:uid="{00000000-0005-0000-0000-0000222F0000}"/>
    <cellStyle name="Normal 17 2 2 3" xfId="20693" xr:uid="{00000000-0005-0000-0000-0000232F0000}"/>
    <cellStyle name="Normal 17 2 2 3 2" xfId="20694" xr:uid="{00000000-0005-0000-0000-0000242F0000}"/>
    <cellStyle name="Normal 17 2 2 3 2 2" xfId="44040" xr:uid="{00000000-0005-0000-0000-0000252F0000}"/>
    <cellStyle name="Normal 17 2 2 3 3" xfId="44039" xr:uid="{00000000-0005-0000-0000-0000262F0000}"/>
    <cellStyle name="Normal 17 2 2 4" xfId="20695" xr:uid="{00000000-0005-0000-0000-0000272F0000}"/>
    <cellStyle name="Normal 17 2 2 4 2" xfId="44041" xr:uid="{00000000-0005-0000-0000-0000282F0000}"/>
    <cellStyle name="Normal 17 2 2 5" xfId="20696" xr:uid="{00000000-0005-0000-0000-0000292F0000}"/>
    <cellStyle name="Normal 17 2 2 5 2" xfId="44042" xr:uid="{00000000-0005-0000-0000-00002A2F0000}"/>
    <cellStyle name="Normal 17 2 2 6" xfId="20697" xr:uid="{00000000-0005-0000-0000-00002B2F0000}"/>
    <cellStyle name="Normal 17 2 2 6 2" xfId="44043" xr:uid="{00000000-0005-0000-0000-00002C2F0000}"/>
    <cellStyle name="Normal 17 2 2 7" xfId="41382" xr:uid="{00000000-0005-0000-0000-00002D2F0000}"/>
    <cellStyle name="Normal 17 2 3" xfId="20698" xr:uid="{00000000-0005-0000-0000-00002E2F0000}"/>
    <cellStyle name="Normal 17 2 3 2" xfId="20699" xr:uid="{00000000-0005-0000-0000-00002F2F0000}"/>
    <cellStyle name="Normal 17 2 3 2 2" xfId="44045" xr:uid="{00000000-0005-0000-0000-0000302F0000}"/>
    <cellStyle name="Normal 17 2 3 3" xfId="20700" xr:uid="{00000000-0005-0000-0000-0000312F0000}"/>
    <cellStyle name="Normal 17 2 3 3 2" xfId="44046" xr:uid="{00000000-0005-0000-0000-0000322F0000}"/>
    <cellStyle name="Normal 17 2 3 4" xfId="44044" xr:uid="{00000000-0005-0000-0000-0000332F0000}"/>
    <cellStyle name="Normal 17 2 4" xfId="20701" xr:uid="{00000000-0005-0000-0000-0000342F0000}"/>
    <cellStyle name="Normal 17 2 4 2" xfId="20702" xr:uid="{00000000-0005-0000-0000-0000352F0000}"/>
    <cellStyle name="Normal 17 2 4 2 2" xfId="44048" xr:uid="{00000000-0005-0000-0000-0000362F0000}"/>
    <cellStyle name="Normal 17 2 4 3" xfId="44047" xr:uid="{00000000-0005-0000-0000-0000372F0000}"/>
    <cellStyle name="Normal 17 2 5" xfId="20703" xr:uid="{00000000-0005-0000-0000-0000382F0000}"/>
    <cellStyle name="Normal 17 2 5 2" xfId="44049" xr:uid="{00000000-0005-0000-0000-0000392F0000}"/>
    <cellStyle name="Normal 17 2 6" xfId="20704" xr:uid="{00000000-0005-0000-0000-00003A2F0000}"/>
    <cellStyle name="Normal 17 2 6 2" xfId="44050" xr:uid="{00000000-0005-0000-0000-00003B2F0000}"/>
    <cellStyle name="Normal 17 2 7" xfId="20705" xr:uid="{00000000-0005-0000-0000-00003C2F0000}"/>
    <cellStyle name="Normal 17 2 7 2" xfId="44051" xr:uid="{00000000-0005-0000-0000-00003D2F0000}"/>
    <cellStyle name="Normal 17 2 8" xfId="26903" xr:uid="{00000000-0005-0000-0000-00003E2F0000}"/>
    <cellStyle name="Normal 17 3" xfId="17757" xr:uid="{00000000-0005-0000-0000-00003F2F0000}"/>
    <cellStyle name="Normal 17 3 2" xfId="17991" xr:uid="{00000000-0005-0000-0000-0000402F0000}"/>
    <cellStyle name="Normal 17 3 2 2" xfId="20706" xr:uid="{00000000-0005-0000-0000-0000412F0000}"/>
    <cellStyle name="Normal 17 3 2 2 2" xfId="20707" xr:uid="{00000000-0005-0000-0000-0000422F0000}"/>
    <cellStyle name="Normal 17 3 2 2 2 2" xfId="44053" xr:uid="{00000000-0005-0000-0000-0000432F0000}"/>
    <cellStyle name="Normal 17 3 2 2 3" xfId="20708" xr:uid="{00000000-0005-0000-0000-0000442F0000}"/>
    <cellStyle name="Normal 17 3 2 2 3 2" xfId="44054" xr:uid="{00000000-0005-0000-0000-0000452F0000}"/>
    <cellStyle name="Normal 17 3 2 2 4" xfId="44052" xr:uid="{00000000-0005-0000-0000-0000462F0000}"/>
    <cellStyle name="Normal 17 3 2 3" xfId="20709" xr:uid="{00000000-0005-0000-0000-0000472F0000}"/>
    <cellStyle name="Normal 17 3 2 3 2" xfId="20710" xr:uid="{00000000-0005-0000-0000-0000482F0000}"/>
    <cellStyle name="Normal 17 3 2 3 2 2" xfId="44056" xr:uid="{00000000-0005-0000-0000-0000492F0000}"/>
    <cellStyle name="Normal 17 3 2 3 3" xfId="44055" xr:uid="{00000000-0005-0000-0000-00004A2F0000}"/>
    <cellStyle name="Normal 17 3 2 4" xfId="20711" xr:uid="{00000000-0005-0000-0000-00004B2F0000}"/>
    <cellStyle name="Normal 17 3 2 4 2" xfId="44057" xr:uid="{00000000-0005-0000-0000-00004C2F0000}"/>
    <cellStyle name="Normal 17 3 2 5" xfId="20712" xr:uid="{00000000-0005-0000-0000-00004D2F0000}"/>
    <cellStyle name="Normal 17 3 2 5 2" xfId="44058" xr:uid="{00000000-0005-0000-0000-00004E2F0000}"/>
    <cellStyle name="Normal 17 3 2 6" xfId="20713" xr:uid="{00000000-0005-0000-0000-00004F2F0000}"/>
    <cellStyle name="Normal 17 3 2 6 2" xfId="44059" xr:uid="{00000000-0005-0000-0000-0000502F0000}"/>
    <cellStyle name="Normal 17 3 2 7" xfId="41451" xr:uid="{00000000-0005-0000-0000-0000512F0000}"/>
    <cellStyle name="Normal 17 3 3" xfId="20714" xr:uid="{00000000-0005-0000-0000-0000522F0000}"/>
    <cellStyle name="Normal 17 3 3 2" xfId="20715" xr:uid="{00000000-0005-0000-0000-0000532F0000}"/>
    <cellStyle name="Normal 17 3 3 2 2" xfId="44061" xr:uid="{00000000-0005-0000-0000-0000542F0000}"/>
    <cellStyle name="Normal 17 3 3 3" xfId="20716" xr:uid="{00000000-0005-0000-0000-0000552F0000}"/>
    <cellStyle name="Normal 17 3 3 3 2" xfId="44062" xr:uid="{00000000-0005-0000-0000-0000562F0000}"/>
    <cellStyle name="Normal 17 3 3 4" xfId="44060" xr:uid="{00000000-0005-0000-0000-0000572F0000}"/>
    <cellStyle name="Normal 17 3 4" xfId="20717" xr:uid="{00000000-0005-0000-0000-0000582F0000}"/>
    <cellStyle name="Normal 17 3 4 2" xfId="20718" xr:uid="{00000000-0005-0000-0000-0000592F0000}"/>
    <cellStyle name="Normal 17 3 4 2 2" xfId="44064" xr:uid="{00000000-0005-0000-0000-00005A2F0000}"/>
    <cellStyle name="Normal 17 3 4 3" xfId="44063" xr:uid="{00000000-0005-0000-0000-00005B2F0000}"/>
    <cellStyle name="Normal 17 3 5" xfId="20719" xr:uid="{00000000-0005-0000-0000-00005C2F0000}"/>
    <cellStyle name="Normal 17 3 5 2" xfId="44065" xr:uid="{00000000-0005-0000-0000-00005D2F0000}"/>
    <cellStyle name="Normal 17 3 6" xfId="20720" xr:uid="{00000000-0005-0000-0000-00005E2F0000}"/>
    <cellStyle name="Normal 17 3 6 2" xfId="44066" xr:uid="{00000000-0005-0000-0000-00005F2F0000}"/>
    <cellStyle name="Normal 17 3 7" xfId="20721" xr:uid="{00000000-0005-0000-0000-0000602F0000}"/>
    <cellStyle name="Normal 17 3 7 2" xfId="44067" xr:uid="{00000000-0005-0000-0000-0000612F0000}"/>
    <cellStyle name="Normal 17 3 8" xfId="41217" xr:uid="{00000000-0005-0000-0000-0000622F0000}"/>
    <cellStyle name="Normal 17 4" xfId="17847" xr:uid="{00000000-0005-0000-0000-0000632F0000}"/>
    <cellStyle name="Normal 17 4 2" xfId="20722" xr:uid="{00000000-0005-0000-0000-0000642F0000}"/>
    <cellStyle name="Normal 17 4 2 2" xfId="20723" xr:uid="{00000000-0005-0000-0000-0000652F0000}"/>
    <cellStyle name="Normal 17 4 2 2 2" xfId="44069" xr:uid="{00000000-0005-0000-0000-0000662F0000}"/>
    <cellStyle name="Normal 17 4 2 3" xfId="20724" xr:uid="{00000000-0005-0000-0000-0000672F0000}"/>
    <cellStyle name="Normal 17 4 2 3 2" xfId="44070" xr:uid="{00000000-0005-0000-0000-0000682F0000}"/>
    <cellStyle name="Normal 17 4 2 4" xfId="44068" xr:uid="{00000000-0005-0000-0000-0000692F0000}"/>
    <cellStyle name="Normal 17 4 3" xfId="20725" xr:uid="{00000000-0005-0000-0000-00006A2F0000}"/>
    <cellStyle name="Normal 17 4 3 2" xfId="20726" xr:uid="{00000000-0005-0000-0000-00006B2F0000}"/>
    <cellStyle name="Normal 17 4 3 2 2" xfId="44072" xr:uid="{00000000-0005-0000-0000-00006C2F0000}"/>
    <cellStyle name="Normal 17 4 3 3" xfId="44071" xr:uid="{00000000-0005-0000-0000-00006D2F0000}"/>
    <cellStyle name="Normal 17 4 4" xfId="20727" xr:uid="{00000000-0005-0000-0000-00006E2F0000}"/>
    <cellStyle name="Normal 17 4 4 2" xfId="44073" xr:uid="{00000000-0005-0000-0000-00006F2F0000}"/>
    <cellStyle name="Normal 17 4 5" xfId="20728" xr:uid="{00000000-0005-0000-0000-0000702F0000}"/>
    <cellStyle name="Normal 17 4 5 2" xfId="44074" xr:uid="{00000000-0005-0000-0000-0000712F0000}"/>
    <cellStyle name="Normal 17 4 6" xfId="20729" xr:uid="{00000000-0005-0000-0000-0000722F0000}"/>
    <cellStyle name="Normal 17 4 6 2" xfId="44075" xr:uid="{00000000-0005-0000-0000-0000732F0000}"/>
    <cellStyle name="Normal 17 4 7" xfId="41307" xr:uid="{00000000-0005-0000-0000-0000742F0000}"/>
    <cellStyle name="Normal 17 5" xfId="20730" xr:uid="{00000000-0005-0000-0000-0000752F0000}"/>
    <cellStyle name="Normal 17 5 2" xfId="20731" xr:uid="{00000000-0005-0000-0000-0000762F0000}"/>
    <cellStyle name="Normal 17 5 2 2" xfId="44077" xr:uid="{00000000-0005-0000-0000-0000772F0000}"/>
    <cellStyle name="Normal 17 5 3" xfId="20732" xr:uid="{00000000-0005-0000-0000-0000782F0000}"/>
    <cellStyle name="Normal 17 5 3 2" xfId="44078" xr:uid="{00000000-0005-0000-0000-0000792F0000}"/>
    <cellStyle name="Normal 17 5 4" xfId="44076" xr:uid="{00000000-0005-0000-0000-00007A2F0000}"/>
    <cellStyle name="Normal 17 6" xfId="20733" xr:uid="{00000000-0005-0000-0000-00007B2F0000}"/>
    <cellStyle name="Normal 17 6 2" xfId="20734" xr:uid="{00000000-0005-0000-0000-00007C2F0000}"/>
    <cellStyle name="Normal 17 6 2 2" xfId="44080" xr:uid="{00000000-0005-0000-0000-00007D2F0000}"/>
    <cellStyle name="Normal 17 6 3" xfId="44079" xr:uid="{00000000-0005-0000-0000-00007E2F0000}"/>
    <cellStyle name="Normal 17 7" xfId="20735" xr:uid="{00000000-0005-0000-0000-00007F2F0000}"/>
    <cellStyle name="Normal 17 7 2" xfId="44081" xr:uid="{00000000-0005-0000-0000-0000802F0000}"/>
    <cellStyle name="Normal 17 8" xfId="20736" xr:uid="{00000000-0005-0000-0000-0000812F0000}"/>
    <cellStyle name="Normal 17 8 2" xfId="44082" xr:uid="{00000000-0005-0000-0000-0000822F0000}"/>
    <cellStyle name="Normal 17 9" xfId="20737" xr:uid="{00000000-0005-0000-0000-0000832F0000}"/>
    <cellStyle name="Normal 17 9 2" xfId="44083" xr:uid="{00000000-0005-0000-0000-0000842F0000}"/>
    <cellStyle name="Normal 18" xfId="90" xr:uid="{00000000-0005-0000-0000-0000852F0000}"/>
    <cellStyle name="Normal 18 10" xfId="23668" xr:uid="{00000000-0005-0000-0000-0000862F0000}"/>
    <cellStyle name="Normal 18 2" xfId="3399" xr:uid="{00000000-0005-0000-0000-0000872F0000}"/>
    <cellStyle name="Normal 18 2 2" xfId="17924" xr:uid="{00000000-0005-0000-0000-0000882F0000}"/>
    <cellStyle name="Normal 18 2 2 2" xfId="20738" xr:uid="{00000000-0005-0000-0000-0000892F0000}"/>
    <cellStyle name="Normal 18 2 2 2 2" xfId="20739" xr:uid="{00000000-0005-0000-0000-00008A2F0000}"/>
    <cellStyle name="Normal 18 2 2 2 2 2" xfId="44085" xr:uid="{00000000-0005-0000-0000-00008B2F0000}"/>
    <cellStyle name="Normal 18 2 2 2 3" xfId="20740" xr:uid="{00000000-0005-0000-0000-00008C2F0000}"/>
    <cellStyle name="Normal 18 2 2 2 3 2" xfId="44086" xr:uid="{00000000-0005-0000-0000-00008D2F0000}"/>
    <cellStyle name="Normal 18 2 2 2 4" xfId="44084" xr:uid="{00000000-0005-0000-0000-00008E2F0000}"/>
    <cellStyle name="Normal 18 2 2 3" xfId="20741" xr:uid="{00000000-0005-0000-0000-00008F2F0000}"/>
    <cellStyle name="Normal 18 2 2 3 2" xfId="20742" xr:uid="{00000000-0005-0000-0000-0000902F0000}"/>
    <cellStyle name="Normal 18 2 2 3 2 2" xfId="44088" xr:uid="{00000000-0005-0000-0000-0000912F0000}"/>
    <cellStyle name="Normal 18 2 2 3 3" xfId="44087" xr:uid="{00000000-0005-0000-0000-0000922F0000}"/>
    <cellStyle name="Normal 18 2 2 4" xfId="20743" xr:uid="{00000000-0005-0000-0000-0000932F0000}"/>
    <cellStyle name="Normal 18 2 2 4 2" xfId="44089" xr:uid="{00000000-0005-0000-0000-0000942F0000}"/>
    <cellStyle name="Normal 18 2 2 5" xfId="20744" xr:uid="{00000000-0005-0000-0000-0000952F0000}"/>
    <cellStyle name="Normal 18 2 2 5 2" xfId="44090" xr:uid="{00000000-0005-0000-0000-0000962F0000}"/>
    <cellStyle name="Normal 18 2 2 6" xfId="20745" xr:uid="{00000000-0005-0000-0000-0000972F0000}"/>
    <cellStyle name="Normal 18 2 2 6 2" xfId="44091" xr:uid="{00000000-0005-0000-0000-0000982F0000}"/>
    <cellStyle name="Normal 18 2 2 7" xfId="41384" xr:uid="{00000000-0005-0000-0000-0000992F0000}"/>
    <cellStyle name="Normal 18 2 3" xfId="20746" xr:uid="{00000000-0005-0000-0000-00009A2F0000}"/>
    <cellStyle name="Normal 18 2 3 2" xfId="20747" xr:uid="{00000000-0005-0000-0000-00009B2F0000}"/>
    <cellStyle name="Normal 18 2 3 2 2" xfId="44093" xr:uid="{00000000-0005-0000-0000-00009C2F0000}"/>
    <cellStyle name="Normal 18 2 3 3" xfId="20748" xr:uid="{00000000-0005-0000-0000-00009D2F0000}"/>
    <cellStyle name="Normal 18 2 3 3 2" xfId="44094" xr:uid="{00000000-0005-0000-0000-00009E2F0000}"/>
    <cellStyle name="Normal 18 2 3 4" xfId="44092" xr:uid="{00000000-0005-0000-0000-00009F2F0000}"/>
    <cellStyle name="Normal 18 2 4" xfId="20749" xr:uid="{00000000-0005-0000-0000-0000A02F0000}"/>
    <cellStyle name="Normal 18 2 4 2" xfId="20750" xr:uid="{00000000-0005-0000-0000-0000A12F0000}"/>
    <cellStyle name="Normal 18 2 4 2 2" xfId="44096" xr:uid="{00000000-0005-0000-0000-0000A22F0000}"/>
    <cellStyle name="Normal 18 2 4 3" xfId="44095" xr:uid="{00000000-0005-0000-0000-0000A32F0000}"/>
    <cellStyle name="Normal 18 2 5" xfId="20751" xr:uid="{00000000-0005-0000-0000-0000A42F0000}"/>
    <cellStyle name="Normal 18 2 5 2" xfId="44097" xr:uid="{00000000-0005-0000-0000-0000A52F0000}"/>
    <cellStyle name="Normal 18 2 6" xfId="20752" xr:uid="{00000000-0005-0000-0000-0000A62F0000}"/>
    <cellStyle name="Normal 18 2 6 2" xfId="44098" xr:uid="{00000000-0005-0000-0000-0000A72F0000}"/>
    <cellStyle name="Normal 18 2 7" xfId="20753" xr:uid="{00000000-0005-0000-0000-0000A82F0000}"/>
    <cellStyle name="Normal 18 2 7 2" xfId="44099" xr:uid="{00000000-0005-0000-0000-0000A92F0000}"/>
    <cellStyle name="Normal 18 2 8" xfId="26904" xr:uid="{00000000-0005-0000-0000-0000AA2F0000}"/>
    <cellStyle name="Normal 18 3" xfId="17758" xr:uid="{00000000-0005-0000-0000-0000AB2F0000}"/>
    <cellStyle name="Normal 18 3 2" xfId="17992" xr:uid="{00000000-0005-0000-0000-0000AC2F0000}"/>
    <cellStyle name="Normal 18 3 2 2" xfId="20754" xr:uid="{00000000-0005-0000-0000-0000AD2F0000}"/>
    <cellStyle name="Normal 18 3 2 2 2" xfId="20755" xr:uid="{00000000-0005-0000-0000-0000AE2F0000}"/>
    <cellStyle name="Normal 18 3 2 2 2 2" xfId="44101" xr:uid="{00000000-0005-0000-0000-0000AF2F0000}"/>
    <cellStyle name="Normal 18 3 2 2 3" xfId="20756" xr:uid="{00000000-0005-0000-0000-0000B02F0000}"/>
    <cellStyle name="Normal 18 3 2 2 3 2" xfId="44102" xr:uid="{00000000-0005-0000-0000-0000B12F0000}"/>
    <cellStyle name="Normal 18 3 2 2 4" xfId="44100" xr:uid="{00000000-0005-0000-0000-0000B22F0000}"/>
    <cellStyle name="Normal 18 3 2 3" xfId="20757" xr:uid="{00000000-0005-0000-0000-0000B32F0000}"/>
    <cellStyle name="Normal 18 3 2 3 2" xfId="20758" xr:uid="{00000000-0005-0000-0000-0000B42F0000}"/>
    <cellStyle name="Normal 18 3 2 3 2 2" xfId="44104" xr:uid="{00000000-0005-0000-0000-0000B52F0000}"/>
    <cellStyle name="Normal 18 3 2 3 3" xfId="44103" xr:uid="{00000000-0005-0000-0000-0000B62F0000}"/>
    <cellStyle name="Normal 18 3 2 4" xfId="20759" xr:uid="{00000000-0005-0000-0000-0000B72F0000}"/>
    <cellStyle name="Normal 18 3 2 4 2" xfId="44105" xr:uid="{00000000-0005-0000-0000-0000B82F0000}"/>
    <cellStyle name="Normal 18 3 2 5" xfId="20760" xr:uid="{00000000-0005-0000-0000-0000B92F0000}"/>
    <cellStyle name="Normal 18 3 2 5 2" xfId="44106" xr:uid="{00000000-0005-0000-0000-0000BA2F0000}"/>
    <cellStyle name="Normal 18 3 2 6" xfId="20761" xr:uid="{00000000-0005-0000-0000-0000BB2F0000}"/>
    <cellStyle name="Normal 18 3 2 6 2" xfId="44107" xr:uid="{00000000-0005-0000-0000-0000BC2F0000}"/>
    <cellStyle name="Normal 18 3 2 7" xfId="41452" xr:uid="{00000000-0005-0000-0000-0000BD2F0000}"/>
    <cellStyle name="Normal 18 3 3" xfId="20762" xr:uid="{00000000-0005-0000-0000-0000BE2F0000}"/>
    <cellStyle name="Normal 18 3 3 2" xfId="20763" xr:uid="{00000000-0005-0000-0000-0000BF2F0000}"/>
    <cellStyle name="Normal 18 3 3 2 2" xfId="44109" xr:uid="{00000000-0005-0000-0000-0000C02F0000}"/>
    <cellStyle name="Normal 18 3 3 3" xfId="20764" xr:uid="{00000000-0005-0000-0000-0000C12F0000}"/>
    <cellStyle name="Normal 18 3 3 3 2" xfId="44110" xr:uid="{00000000-0005-0000-0000-0000C22F0000}"/>
    <cellStyle name="Normal 18 3 3 4" xfId="44108" xr:uid="{00000000-0005-0000-0000-0000C32F0000}"/>
    <cellStyle name="Normal 18 3 4" xfId="20765" xr:uid="{00000000-0005-0000-0000-0000C42F0000}"/>
    <cellStyle name="Normal 18 3 4 2" xfId="20766" xr:uid="{00000000-0005-0000-0000-0000C52F0000}"/>
    <cellStyle name="Normal 18 3 4 2 2" xfId="44112" xr:uid="{00000000-0005-0000-0000-0000C62F0000}"/>
    <cellStyle name="Normal 18 3 4 3" xfId="44111" xr:uid="{00000000-0005-0000-0000-0000C72F0000}"/>
    <cellStyle name="Normal 18 3 5" xfId="20767" xr:uid="{00000000-0005-0000-0000-0000C82F0000}"/>
    <cellStyle name="Normal 18 3 5 2" xfId="44113" xr:uid="{00000000-0005-0000-0000-0000C92F0000}"/>
    <cellStyle name="Normal 18 3 6" xfId="20768" xr:uid="{00000000-0005-0000-0000-0000CA2F0000}"/>
    <cellStyle name="Normal 18 3 6 2" xfId="44114" xr:uid="{00000000-0005-0000-0000-0000CB2F0000}"/>
    <cellStyle name="Normal 18 3 7" xfId="20769" xr:uid="{00000000-0005-0000-0000-0000CC2F0000}"/>
    <cellStyle name="Normal 18 3 7 2" xfId="44115" xr:uid="{00000000-0005-0000-0000-0000CD2F0000}"/>
    <cellStyle name="Normal 18 3 8" xfId="41218" xr:uid="{00000000-0005-0000-0000-0000CE2F0000}"/>
    <cellStyle name="Normal 18 4" xfId="17849" xr:uid="{00000000-0005-0000-0000-0000CF2F0000}"/>
    <cellStyle name="Normal 18 4 2" xfId="20770" xr:uid="{00000000-0005-0000-0000-0000D02F0000}"/>
    <cellStyle name="Normal 18 4 2 2" xfId="20771" xr:uid="{00000000-0005-0000-0000-0000D12F0000}"/>
    <cellStyle name="Normal 18 4 2 2 2" xfId="44117" xr:uid="{00000000-0005-0000-0000-0000D22F0000}"/>
    <cellStyle name="Normal 18 4 2 3" xfId="20772" xr:uid="{00000000-0005-0000-0000-0000D32F0000}"/>
    <cellStyle name="Normal 18 4 2 3 2" xfId="44118" xr:uid="{00000000-0005-0000-0000-0000D42F0000}"/>
    <cellStyle name="Normal 18 4 2 4" xfId="44116" xr:uid="{00000000-0005-0000-0000-0000D52F0000}"/>
    <cellStyle name="Normal 18 4 3" xfId="20773" xr:uid="{00000000-0005-0000-0000-0000D62F0000}"/>
    <cellStyle name="Normal 18 4 3 2" xfId="20774" xr:uid="{00000000-0005-0000-0000-0000D72F0000}"/>
    <cellStyle name="Normal 18 4 3 2 2" xfId="44120" xr:uid="{00000000-0005-0000-0000-0000D82F0000}"/>
    <cellStyle name="Normal 18 4 3 3" xfId="44119" xr:uid="{00000000-0005-0000-0000-0000D92F0000}"/>
    <cellStyle name="Normal 18 4 4" xfId="20775" xr:uid="{00000000-0005-0000-0000-0000DA2F0000}"/>
    <cellStyle name="Normal 18 4 4 2" xfId="44121" xr:uid="{00000000-0005-0000-0000-0000DB2F0000}"/>
    <cellStyle name="Normal 18 4 5" xfId="20776" xr:uid="{00000000-0005-0000-0000-0000DC2F0000}"/>
    <cellStyle name="Normal 18 4 5 2" xfId="44122" xr:uid="{00000000-0005-0000-0000-0000DD2F0000}"/>
    <cellStyle name="Normal 18 4 6" xfId="20777" xr:uid="{00000000-0005-0000-0000-0000DE2F0000}"/>
    <cellStyle name="Normal 18 4 6 2" xfId="44123" xr:uid="{00000000-0005-0000-0000-0000DF2F0000}"/>
    <cellStyle name="Normal 18 4 7" xfId="41309" xr:uid="{00000000-0005-0000-0000-0000E02F0000}"/>
    <cellStyle name="Normal 18 5" xfId="20778" xr:uid="{00000000-0005-0000-0000-0000E12F0000}"/>
    <cellStyle name="Normal 18 5 2" xfId="20779" xr:uid="{00000000-0005-0000-0000-0000E22F0000}"/>
    <cellStyle name="Normal 18 5 2 2" xfId="44125" xr:uid="{00000000-0005-0000-0000-0000E32F0000}"/>
    <cellStyle name="Normal 18 5 3" xfId="20780" xr:uid="{00000000-0005-0000-0000-0000E42F0000}"/>
    <cellStyle name="Normal 18 5 3 2" xfId="44126" xr:uid="{00000000-0005-0000-0000-0000E52F0000}"/>
    <cellStyle name="Normal 18 5 4" xfId="44124" xr:uid="{00000000-0005-0000-0000-0000E62F0000}"/>
    <cellStyle name="Normal 18 6" xfId="20781" xr:uid="{00000000-0005-0000-0000-0000E72F0000}"/>
    <cellStyle name="Normal 18 6 2" xfId="20782" xr:uid="{00000000-0005-0000-0000-0000E82F0000}"/>
    <cellStyle name="Normal 18 6 2 2" xfId="44128" xr:uid="{00000000-0005-0000-0000-0000E92F0000}"/>
    <cellStyle name="Normal 18 6 3" xfId="44127" xr:uid="{00000000-0005-0000-0000-0000EA2F0000}"/>
    <cellStyle name="Normal 18 7" xfId="20783" xr:uid="{00000000-0005-0000-0000-0000EB2F0000}"/>
    <cellStyle name="Normal 18 7 2" xfId="44129" xr:uid="{00000000-0005-0000-0000-0000EC2F0000}"/>
    <cellStyle name="Normal 18 8" xfId="20784" xr:uid="{00000000-0005-0000-0000-0000ED2F0000}"/>
    <cellStyle name="Normal 18 8 2" xfId="44130" xr:uid="{00000000-0005-0000-0000-0000EE2F0000}"/>
    <cellStyle name="Normal 18 9" xfId="20785" xr:uid="{00000000-0005-0000-0000-0000EF2F0000}"/>
    <cellStyle name="Normal 18 9 2" xfId="44131" xr:uid="{00000000-0005-0000-0000-0000F02F0000}"/>
    <cellStyle name="Normal 19" xfId="180" xr:uid="{00000000-0005-0000-0000-0000F12F0000}"/>
    <cellStyle name="Normal 19 2" xfId="183" xr:uid="{00000000-0005-0000-0000-0000F22F0000}"/>
    <cellStyle name="Normal 19 2 10" xfId="23280" xr:uid="{00000000-0005-0000-0000-0000F32F0000}"/>
    <cellStyle name="Normal 19 2 10 2" xfId="46524" xr:uid="{00000000-0005-0000-0000-0000F42F0000}"/>
    <cellStyle name="Normal 19 2 11" xfId="23449" xr:uid="{00000000-0005-0000-0000-0000F52F0000}"/>
    <cellStyle name="Normal 19 2 11 2" xfId="46692" xr:uid="{00000000-0005-0000-0000-0000F62F0000}"/>
    <cellStyle name="Normal 19 2 12" xfId="23719" xr:uid="{00000000-0005-0000-0000-0000F72F0000}"/>
    <cellStyle name="Normal 19 2 2" xfId="3400" xr:uid="{00000000-0005-0000-0000-0000F82F0000}"/>
    <cellStyle name="Normal 19 2 2 2" xfId="26905" xr:uid="{00000000-0005-0000-0000-0000F92F0000}"/>
    <cellStyle name="Normal 19 2 3" xfId="20787" xr:uid="{00000000-0005-0000-0000-0000FA2F0000}"/>
    <cellStyle name="Normal 19 2 4" xfId="23127" xr:uid="{00000000-0005-0000-0000-0000FB2F0000}"/>
    <cellStyle name="Normal 19 2 4 2" xfId="23141" xr:uid="{00000000-0005-0000-0000-0000FC2F0000}"/>
    <cellStyle name="Normal 19 2 4 2 2" xfId="23155" xr:uid="{00000000-0005-0000-0000-0000FD2F0000}"/>
    <cellStyle name="Normal 19 2 4 2 2 2" xfId="23239" xr:uid="{00000000-0005-0000-0000-0000FE2F0000}"/>
    <cellStyle name="Normal 19 2 4 2 2 2 2" xfId="23284" xr:uid="{00000000-0005-0000-0000-0000FF2F0000}"/>
    <cellStyle name="Normal 19 2 4 2 2 2 2 2" xfId="46528" xr:uid="{00000000-0005-0000-0000-000000300000}"/>
    <cellStyle name="Normal 19 2 4 2 2 2 3" xfId="23453" xr:uid="{00000000-0005-0000-0000-000001300000}"/>
    <cellStyle name="Normal 19 2 4 2 2 2 3 2" xfId="46696" xr:uid="{00000000-0005-0000-0000-000002300000}"/>
    <cellStyle name="Normal 19 2 4 2 2 2 4" xfId="46484" xr:uid="{00000000-0005-0000-0000-000003300000}"/>
    <cellStyle name="Normal 19 2 4 2 2 3" xfId="23283" xr:uid="{00000000-0005-0000-0000-000004300000}"/>
    <cellStyle name="Normal 19 2 4 2 2 3 2" xfId="46527" xr:uid="{00000000-0005-0000-0000-000005300000}"/>
    <cellStyle name="Normal 19 2 4 2 2 4" xfId="23452" xr:uid="{00000000-0005-0000-0000-000006300000}"/>
    <cellStyle name="Normal 19 2 4 2 2 4 2" xfId="46695" xr:uid="{00000000-0005-0000-0000-000007300000}"/>
    <cellStyle name="Normal 19 2 4 2 2 5" xfId="46401" xr:uid="{00000000-0005-0000-0000-000008300000}"/>
    <cellStyle name="Normal 19 2 4 2 3" xfId="23225" xr:uid="{00000000-0005-0000-0000-000009300000}"/>
    <cellStyle name="Normal 19 2 4 2 3 2" xfId="23285" xr:uid="{00000000-0005-0000-0000-00000A300000}"/>
    <cellStyle name="Normal 19 2 4 2 3 2 2" xfId="46529" xr:uid="{00000000-0005-0000-0000-00000B300000}"/>
    <cellStyle name="Normal 19 2 4 2 3 3" xfId="23454" xr:uid="{00000000-0005-0000-0000-00000C300000}"/>
    <cellStyle name="Normal 19 2 4 2 3 3 2" xfId="46697" xr:uid="{00000000-0005-0000-0000-00000D300000}"/>
    <cellStyle name="Normal 19 2 4 2 3 4" xfId="46470" xr:uid="{00000000-0005-0000-0000-00000E300000}"/>
    <cellStyle name="Normal 19 2 4 2 4" xfId="23282" xr:uid="{00000000-0005-0000-0000-00000F300000}"/>
    <cellStyle name="Normal 19 2 4 2 4 2" xfId="46526" xr:uid="{00000000-0005-0000-0000-000010300000}"/>
    <cellStyle name="Normal 19 2 4 2 5" xfId="23451" xr:uid="{00000000-0005-0000-0000-000011300000}"/>
    <cellStyle name="Normal 19 2 4 2 5 2" xfId="46694" xr:uid="{00000000-0005-0000-0000-000012300000}"/>
    <cellStyle name="Normal 19 2 4 2 6" xfId="46387" xr:uid="{00000000-0005-0000-0000-000013300000}"/>
    <cellStyle name="Normal 19 2 4 3" xfId="23154" xr:uid="{00000000-0005-0000-0000-000014300000}"/>
    <cellStyle name="Normal 19 2 4 3 2" xfId="23238" xr:uid="{00000000-0005-0000-0000-000015300000}"/>
    <cellStyle name="Normal 19 2 4 3 2 2" xfId="23287" xr:uid="{00000000-0005-0000-0000-000016300000}"/>
    <cellStyle name="Normal 19 2 4 3 2 2 2" xfId="46531" xr:uid="{00000000-0005-0000-0000-000017300000}"/>
    <cellStyle name="Normal 19 2 4 3 2 3" xfId="23456" xr:uid="{00000000-0005-0000-0000-000018300000}"/>
    <cellStyle name="Normal 19 2 4 3 2 3 2" xfId="46699" xr:uid="{00000000-0005-0000-0000-000019300000}"/>
    <cellStyle name="Normal 19 2 4 3 2 4" xfId="46483" xr:uid="{00000000-0005-0000-0000-00001A300000}"/>
    <cellStyle name="Normal 19 2 4 3 3" xfId="23286" xr:uid="{00000000-0005-0000-0000-00001B300000}"/>
    <cellStyle name="Normal 19 2 4 3 3 2" xfId="46530" xr:uid="{00000000-0005-0000-0000-00001C300000}"/>
    <cellStyle name="Normal 19 2 4 3 4" xfId="23455" xr:uid="{00000000-0005-0000-0000-00001D300000}"/>
    <cellStyle name="Normal 19 2 4 3 4 2" xfId="46698" xr:uid="{00000000-0005-0000-0000-00001E300000}"/>
    <cellStyle name="Normal 19 2 4 3 5" xfId="46400" xr:uid="{00000000-0005-0000-0000-00001F300000}"/>
    <cellStyle name="Normal 19 2 4 4" xfId="23211" xr:uid="{00000000-0005-0000-0000-000020300000}"/>
    <cellStyle name="Normal 19 2 4 4 2" xfId="23288" xr:uid="{00000000-0005-0000-0000-000021300000}"/>
    <cellStyle name="Normal 19 2 4 4 2 2" xfId="46532" xr:uid="{00000000-0005-0000-0000-000022300000}"/>
    <cellStyle name="Normal 19 2 4 4 3" xfId="23457" xr:uid="{00000000-0005-0000-0000-000023300000}"/>
    <cellStyle name="Normal 19 2 4 4 3 2" xfId="46700" xr:uid="{00000000-0005-0000-0000-000024300000}"/>
    <cellStyle name="Normal 19 2 4 4 4" xfId="46456" xr:uid="{00000000-0005-0000-0000-000025300000}"/>
    <cellStyle name="Normal 19 2 4 5" xfId="23281" xr:uid="{00000000-0005-0000-0000-000026300000}"/>
    <cellStyle name="Normal 19 2 4 5 2" xfId="46525" xr:uid="{00000000-0005-0000-0000-000027300000}"/>
    <cellStyle name="Normal 19 2 4 6" xfId="23450" xr:uid="{00000000-0005-0000-0000-000028300000}"/>
    <cellStyle name="Normal 19 2 4 6 2" xfId="46693" xr:uid="{00000000-0005-0000-0000-000029300000}"/>
    <cellStyle name="Normal 19 2 4 7" xfId="46373" xr:uid="{00000000-0005-0000-0000-00002A300000}"/>
    <cellStyle name="Normal 19 2 5" xfId="23120" xr:uid="{00000000-0005-0000-0000-00002B300000}"/>
    <cellStyle name="Normal 19 2 5 2" xfId="23156" xr:uid="{00000000-0005-0000-0000-00002C300000}"/>
    <cellStyle name="Normal 19 2 5 2 2" xfId="23240" xr:uid="{00000000-0005-0000-0000-00002D300000}"/>
    <cellStyle name="Normal 19 2 5 2 2 2" xfId="23291" xr:uid="{00000000-0005-0000-0000-00002E300000}"/>
    <cellStyle name="Normal 19 2 5 2 2 2 2" xfId="46535" xr:uid="{00000000-0005-0000-0000-00002F300000}"/>
    <cellStyle name="Normal 19 2 5 2 2 3" xfId="23460" xr:uid="{00000000-0005-0000-0000-000030300000}"/>
    <cellStyle name="Normal 19 2 5 2 2 3 2" xfId="46703" xr:uid="{00000000-0005-0000-0000-000031300000}"/>
    <cellStyle name="Normal 19 2 5 2 2 4" xfId="46485" xr:uid="{00000000-0005-0000-0000-000032300000}"/>
    <cellStyle name="Normal 19 2 5 2 3" xfId="23290" xr:uid="{00000000-0005-0000-0000-000033300000}"/>
    <cellStyle name="Normal 19 2 5 2 3 2" xfId="46534" xr:uid="{00000000-0005-0000-0000-000034300000}"/>
    <cellStyle name="Normal 19 2 5 2 4" xfId="23459" xr:uid="{00000000-0005-0000-0000-000035300000}"/>
    <cellStyle name="Normal 19 2 5 2 4 2" xfId="46702" xr:uid="{00000000-0005-0000-0000-000036300000}"/>
    <cellStyle name="Normal 19 2 5 2 5" xfId="46402" xr:uid="{00000000-0005-0000-0000-000037300000}"/>
    <cellStyle name="Normal 19 2 5 3" xfId="23204" xr:uid="{00000000-0005-0000-0000-000038300000}"/>
    <cellStyle name="Normal 19 2 5 3 2" xfId="23292" xr:uid="{00000000-0005-0000-0000-000039300000}"/>
    <cellStyle name="Normal 19 2 5 3 2 2" xfId="46536" xr:uid="{00000000-0005-0000-0000-00003A300000}"/>
    <cellStyle name="Normal 19 2 5 3 3" xfId="23461" xr:uid="{00000000-0005-0000-0000-00003B300000}"/>
    <cellStyle name="Normal 19 2 5 3 3 2" xfId="46704" xr:uid="{00000000-0005-0000-0000-00003C300000}"/>
    <cellStyle name="Normal 19 2 5 3 4" xfId="46449" xr:uid="{00000000-0005-0000-0000-00003D300000}"/>
    <cellStyle name="Normal 19 2 5 4" xfId="23289" xr:uid="{00000000-0005-0000-0000-00003E300000}"/>
    <cellStyle name="Normal 19 2 5 4 2" xfId="46533" xr:uid="{00000000-0005-0000-0000-00003F300000}"/>
    <cellStyle name="Normal 19 2 5 5" xfId="23458" xr:uid="{00000000-0005-0000-0000-000040300000}"/>
    <cellStyle name="Normal 19 2 5 5 2" xfId="46701" xr:uid="{00000000-0005-0000-0000-000041300000}"/>
    <cellStyle name="Normal 19 2 5 6" xfId="46366" xr:uid="{00000000-0005-0000-0000-000042300000}"/>
    <cellStyle name="Normal 19 2 6" xfId="23134" xr:uid="{00000000-0005-0000-0000-000043300000}"/>
    <cellStyle name="Normal 19 2 6 2" xfId="23157" xr:uid="{00000000-0005-0000-0000-000044300000}"/>
    <cellStyle name="Normal 19 2 6 2 2" xfId="23241" xr:uid="{00000000-0005-0000-0000-000045300000}"/>
    <cellStyle name="Normal 19 2 6 2 2 2" xfId="23295" xr:uid="{00000000-0005-0000-0000-000046300000}"/>
    <cellStyle name="Normal 19 2 6 2 2 2 2" xfId="46539" xr:uid="{00000000-0005-0000-0000-000047300000}"/>
    <cellStyle name="Normal 19 2 6 2 2 3" xfId="23464" xr:uid="{00000000-0005-0000-0000-000048300000}"/>
    <cellStyle name="Normal 19 2 6 2 2 3 2" xfId="46707" xr:uid="{00000000-0005-0000-0000-000049300000}"/>
    <cellStyle name="Normal 19 2 6 2 2 4" xfId="46486" xr:uid="{00000000-0005-0000-0000-00004A300000}"/>
    <cellStyle name="Normal 19 2 6 2 3" xfId="23294" xr:uid="{00000000-0005-0000-0000-00004B300000}"/>
    <cellStyle name="Normal 19 2 6 2 3 2" xfId="46538" xr:uid="{00000000-0005-0000-0000-00004C300000}"/>
    <cellStyle name="Normal 19 2 6 2 4" xfId="23463" xr:uid="{00000000-0005-0000-0000-00004D300000}"/>
    <cellStyle name="Normal 19 2 6 2 4 2" xfId="46706" xr:uid="{00000000-0005-0000-0000-00004E300000}"/>
    <cellStyle name="Normal 19 2 6 2 5" xfId="46403" xr:uid="{00000000-0005-0000-0000-00004F300000}"/>
    <cellStyle name="Normal 19 2 6 3" xfId="23218" xr:uid="{00000000-0005-0000-0000-000050300000}"/>
    <cellStyle name="Normal 19 2 6 3 2" xfId="23296" xr:uid="{00000000-0005-0000-0000-000051300000}"/>
    <cellStyle name="Normal 19 2 6 3 2 2" xfId="46540" xr:uid="{00000000-0005-0000-0000-000052300000}"/>
    <cellStyle name="Normal 19 2 6 3 3" xfId="23465" xr:uid="{00000000-0005-0000-0000-000053300000}"/>
    <cellStyle name="Normal 19 2 6 3 3 2" xfId="46708" xr:uid="{00000000-0005-0000-0000-000054300000}"/>
    <cellStyle name="Normal 19 2 6 3 4" xfId="46463" xr:uid="{00000000-0005-0000-0000-000055300000}"/>
    <cellStyle name="Normal 19 2 6 4" xfId="23293" xr:uid="{00000000-0005-0000-0000-000056300000}"/>
    <cellStyle name="Normal 19 2 6 4 2" xfId="46537" xr:uid="{00000000-0005-0000-0000-000057300000}"/>
    <cellStyle name="Normal 19 2 6 5" xfId="23462" xr:uid="{00000000-0005-0000-0000-000058300000}"/>
    <cellStyle name="Normal 19 2 6 5 2" xfId="46705" xr:uid="{00000000-0005-0000-0000-000059300000}"/>
    <cellStyle name="Normal 19 2 6 6" xfId="46380" xr:uid="{00000000-0005-0000-0000-00005A300000}"/>
    <cellStyle name="Normal 19 2 7" xfId="23148" xr:uid="{00000000-0005-0000-0000-00005B300000}"/>
    <cellStyle name="Normal 19 2 7 2" xfId="23158" xr:uid="{00000000-0005-0000-0000-00005C300000}"/>
    <cellStyle name="Normal 19 2 7 2 2" xfId="23242" xr:uid="{00000000-0005-0000-0000-00005D300000}"/>
    <cellStyle name="Normal 19 2 7 2 2 2" xfId="23299" xr:uid="{00000000-0005-0000-0000-00005E300000}"/>
    <cellStyle name="Normal 19 2 7 2 2 2 2" xfId="46543" xr:uid="{00000000-0005-0000-0000-00005F300000}"/>
    <cellStyle name="Normal 19 2 7 2 2 3" xfId="23468" xr:uid="{00000000-0005-0000-0000-000060300000}"/>
    <cellStyle name="Normal 19 2 7 2 2 3 2" xfId="46711" xr:uid="{00000000-0005-0000-0000-000061300000}"/>
    <cellStyle name="Normal 19 2 7 2 2 4" xfId="46487" xr:uid="{00000000-0005-0000-0000-000062300000}"/>
    <cellStyle name="Normal 19 2 7 2 3" xfId="23298" xr:uid="{00000000-0005-0000-0000-000063300000}"/>
    <cellStyle name="Normal 19 2 7 2 3 2" xfId="46542" xr:uid="{00000000-0005-0000-0000-000064300000}"/>
    <cellStyle name="Normal 19 2 7 2 4" xfId="23467" xr:uid="{00000000-0005-0000-0000-000065300000}"/>
    <cellStyle name="Normal 19 2 7 2 4 2" xfId="46710" xr:uid="{00000000-0005-0000-0000-000066300000}"/>
    <cellStyle name="Normal 19 2 7 2 5" xfId="46404" xr:uid="{00000000-0005-0000-0000-000067300000}"/>
    <cellStyle name="Normal 19 2 7 3" xfId="23232" xr:uid="{00000000-0005-0000-0000-000068300000}"/>
    <cellStyle name="Normal 19 2 7 3 2" xfId="23300" xr:uid="{00000000-0005-0000-0000-000069300000}"/>
    <cellStyle name="Normal 19 2 7 3 2 2" xfId="46544" xr:uid="{00000000-0005-0000-0000-00006A300000}"/>
    <cellStyle name="Normal 19 2 7 3 3" xfId="23469" xr:uid="{00000000-0005-0000-0000-00006B300000}"/>
    <cellStyle name="Normal 19 2 7 3 3 2" xfId="46712" xr:uid="{00000000-0005-0000-0000-00006C300000}"/>
    <cellStyle name="Normal 19 2 7 3 4" xfId="46477" xr:uid="{00000000-0005-0000-0000-00006D300000}"/>
    <cellStyle name="Normal 19 2 7 4" xfId="23297" xr:uid="{00000000-0005-0000-0000-00006E300000}"/>
    <cellStyle name="Normal 19 2 7 4 2" xfId="46541" xr:uid="{00000000-0005-0000-0000-00006F300000}"/>
    <cellStyle name="Normal 19 2 7 5" xfId="23466" xr:uid="{00000000-0005-0000-0000-000070300000}"/>
    <cellStyle name="Normal 19 2 7 5 2" xfId="46709" xr:uid="{00000000-0005-0000-0000-000071300000}"/>
    <cellStyle name="Normal 19 2 7 6" xfId="46394" xr:uid="{00000000-0005-0000-0000-000072300000}"/>
    <cellStyle name="Normal 19 2 8" xfId="23153" xr:uid="{00000000-0005-0000-0000-000073300000}"/>
    <cellStyle name="Normal 19 2 8 2" xfId="23237" xr:uid="{00000000-0005-0000-0000-000074300000}"/>
    <cellStyle name="Normal 19 2 8 2 2" xfId="23302" xr:uid="{00000000-0005-0000-0000-000075300000}"/>
    <cellStyle name="Normal 19 2 8 2 2 2" xfId="46546" xr:uid="{00000000-0005-0000-0000-000076300000}"/>
    <cellStyle name="Normal 19 2 8 2 3" xfId="23471" xr:uid="{00000000-0005-0000-0000-000077300000}"/>
    <cellStyle name="Normal 19 2 8 2 3 2" xfId="46714" xr:uid="{00000000-0005-0000-0000-000078300000}"/>
    <cellStyle name="Normal 19 2 8 2 4" xfId="46482" xr:uid="{00000000-0005-0000-0000-000079300000}"/>
    <cellStyle name="Normal 19 2 8 3" xfId="23301" xr:uid="{00000000-0005-0000-0000-00007A300000}"/>
    <cellStyle name="Normal 19 2 8 3 2" xfId="46545" xr:uid="{00000000-0005-0000-0000-00007B300000}"/>
    <cellStyle name="Normal 19 2 8 4" xfId="23470" xr:uid="{00000000-0005-0000-0000-00007C300000}"/>
    <cellStyle name="Normal 19 2 8 4 2" xfId="46713" xr:uid="{00000000-0005-0000-0000-00007D300000}"/>
    <cellStyle name="Normal 19 2 8 5" xfId="46399" xr:uid="{00000000-0005-0000-0000-00007E300000}"/>
    <cellStyle name="Normal 19 2 9" xfId="23197" xr:uid="{00000000-0005-0000-0000-00007F300000}"/>
    <cellStyle name="Normal 19 2 9 2" xfId="23303" xr:uid="{00000000-0005-0000-0000-000080300000}"/>
    <cellStyle name="Normal 19 2 9 2 2" xfId="46547" xr:uid="{00000000-0005-0000-0000-000081300000}"/>
    <cellStyle name="Normal 19 2 9 3" xfId="23472" xr:uid="{00000000-0005-0000-0000-000082300000}"/>
    <cellStyle name="Normal 19 2 9 3 2" xfId="46715" xr:uid="{00000000-0005-0000-0000-000083300000}"/>
    <cellStyle name="Normal 19 2 9 4" xfId="46442" xr:uid="{00000000-0005-0000-0000-000084300000}"/>
    <cellStyle name="Normal 19 3" xfId="185" xr:uid="{00000000-0005-0000-0000-000085300000}"/>
    <cellStyle name="Normal 19 3 2" xfId="23720" xr:uid="{00000000-0005-0000-0000-000086300000}"/>
    <cellStyle name="Normal 19 4" xfId="188" xr:uid="{00000000-0005-0000-0000-000087300000}"/>
    <cellStyle name="Normal 19 4 10" xfId="23723" xr:uid="{00000000-0005-0000-0000-000088300000}"/>
    <cellStyle name="Normal 19 4 2" xfId="23130" xr:uid="{00000000-0005-0000-0000-000089300000}"/>
    <cellStyle name="Normal 19 4 2 2" xfId="23144" xr:uid="{00000000-0005-0000-0000-00008A300000}"/>
    <cellStyle name="Normal 19 4 2 2 2" xfId="23161" xr:uid="{00000000-0005-0000-0000-00008B300000}"/>
    <cellStyle name="Normal 19 4 2 2 2 2" xfId="23245" xr:uid="{00000000-0005-0000-0000-00008C300000}"/>
    <cellStyle name="Normal 19 4 2 2 2 2 2" xfId="23308" xr:uid="{00000000-0005-0000-0000-00008D300000}"/>
    <cellStyle name="Normal 19 4 2 2 2 2 2 2" xfId="46552" xr:uid="{00000000-0005-0000-0000-00008E300000}"/>
    <cellStyle name="Normal 19 4 2 2 2 2 3" xfId="23477" xr:uid="{00000000-0005-0000-0000-00008F300000}"/>
    <cellStyle name="Normal 19 4 2 2 2 2 3 2" xfId="46720" xr:uid="{00000000-0005-0000-0000-000090300000}"/>
    <cellStyle name="Normal 19 4 2 2 2 2 4" xfId="46490" xr:uid="{00000000-0005-0000-0000-000091300000}"/>
    <cellStyle name="Normal 19 4 2 2 2 3" xfId="23307" xr:uid="{00000000-0005-0000-0000-000092300000}"/>
    <cellStyle name="Normal 19 4 2 2 2 3 2" xfId="46551" xr:uid="{00000000-0005-0000-0000-000093300000}"/>
    <cellStyle name="Normal 19 4 2 2 2 4" xfId="23476" xr:uid="{00000000-0005-0000-0000-000094300000}"/>
    <cellStyle name="Normal 19 4 2 2 2 4 2" xfId="46719" xr:uid="{00000000-0005-0000-0000-000095300000}"/>
    <cellStyle name="Normal 19 4 2 2 2 5" xfId="46407" xr:uid="{00000000-0005-0000-0000-000096300000}"/>
    <cellStyle name="Normal 19 4 2 2 3" xfId="23228" xr:uid="{00000000-0005-0000-0000-000097300000}"/>
    <cellStyle name="Normal 19 4 2 2 3 2" xfId="23309" xr:uid="{00000000-0005-0000-0000-000098300000}"/>
    <cellStyle name="Normal 19 4 2 2 3 2 2" xfId="46553" xr:uid="{00000000-0005-0000-0000-000099300000}"/>
    <cellStyle name="Normal 19 4 2 2 3 3" xfId="23478" xr:uid="{00000000-0005-0000-0000-00009A300000}"/>
    <cellStyle name="Normal 19 4 2 2 3 3 2" xfId="46721" xr:uid="{00000000-0005-0000-0000-00009B300000}"/>
    <cellStyle name="Normal 19 4 2 2 3 4" xfId="46473" xr:uid="{00000000-0005-0000-0000-00009C300000}"/>
    <cellStyle name="Normal 19 4 2 2 4" xfId="23306" xr:uid="{00000000-0005-0000-0000-00009D300000}"/>
    <cellStyle name="Normal 19 4 2 2 4 2" xfId="46550" xr:uid="{00000000-0005-0000-0000-00009E300000}"/>
    <cellStyle name="Normal 19 4 2 2 5" xfId="23475" xr:uid="{00000000-0005-0000-0000-00009F300000}"/>
    <cellStyle name="Normal 19 4 2 2 5 2" xfId="46718" xr:uid="{00000000-0005-0000-0000-0000A0300000}"/>
    <cellStyle name="Normal 19 4 2 2 6" xfId="46390" xr:uid="{00000000-0005-0000-0000-0000A1300000}"/>
    <cellStyle name="Normal 19 4 2 3" xfId="23160" xr:uid="{00000000-0005-0000-0000-0000A2300000}"/>
    <cellStyle name="Normal 19 4 2 3 2" xfId="23244" xr:uid="{00000000-0005-0000-0000-0000A3300000}"/>
    <cellStyle name="Normal 19 4 2 3 2 2" xfId="23311" xr:uid="{00000000-0005-0000-0000-0000A4300000}"/>
    <cellStyle name="Normal 19 4 2 3 2 2 2" xfId="46555" xr:uid="{00000000-0005-0000-0000-0000A5300000}"/>
    <cellStyle name="Normal 19 4 2 3 2 3" xfId="23480" xr:uid="{00000000-0005-0000-0000-0000A6300000}"/>
    <cellStyle name="Normal 19 4 2 3 2 3 2" xfId="46723" xr:uid="{00000000-0005-0000-0000-0000A7300000}"/>
    <cellStyle name="Normal 19 4 2 3 2 4" xfId="46489" xr:uid="{00000000-0005-0000-0000-0000A8300000}"/>
    <cellStyle name="Normal 19 4 2 3 3" xfId="23310" xr:uid="{00000000-0005-0000-0000-0000A9300000}"/>
    <cellStyle name="Normal 19 4 2 3 3 2" xfId="46554" xr:uid="{00000000-0005-0000-0000-0000AA300000}"/>
    <cellStyle name="Normal 19 4 2 3 4" xfId="23479" xr:uid="{00000000-0005-0000-0000-0000AB300000}"/>
    <cellStyle name="Normal 19 4 2 3 4 2" xfId="46722" xr:uid="{00000000-0005-0000-0000-0000AC300000}"/>
    <cellStyle name="Normal 19 4 2 3 5" xfId="46406" xr:uid="{00000000-0005-0000-0000-0000AD300000}"/>
    <cellStyle name="Normal 19 4 2 4" xfId="23214" xr:uid="{00000000-0005-0000-0000-0000AE300000}"/>
    <cellStyle name="Normal 19 4 2 4 2" xfId="23312" xr:uid="{00000000-0005-0000-0000-0000AF300000}"/>
    <cellStyle name="Normal 19 4 2 4 2 2" xfId="46556" xr:uid="{00000000-0005-0000-0000-0000B0300000}"/>
    <cellStyle name="Normal 19 4 2 4 3" xfId="23481" xr:uid="{00000000-0005-0000-0000-0000B1300000}"/>
    <cellStyle name="Normal 19 4 2 4 3 2" xfId="46724" xr:uid="{00000000-0005-0000-0000-0000B2300000}"/>
    <cellStyle name="Normal 19 4 2 4 4" xfId="46459" xr:uid="{00000000-0005-0000-0000-0000B3300000}"/>
    <cellStyle name="Normal 19 4 2 5" xfId="23305" xr:uid="{00000000-0005-0000-0000-0000B4300000}"/>
    <cellStyle name="Normal 19 4 2 5 2" xfId="46549" xr:uid="{00000000-0005-0000-0000-0000B5300000}"/>
    <cellStyle name="Normal 19 4 2 6" xfId="23474" xr:uid="{00000000-0005-0000-0000-0000B6300000}"/>
    <cellStyle name="Normal 19 4 2 6 2" xfId="46717" xr:uid="{00000000-0005-0000-0000-0000B7300000}"/>
    <cellStyle name="Normal 19 4 2 7" xfId="46376" xr:uid="{00000000-0005-0000-0000-0000B8300000}"/>
    <cellStyle name="Normal 19 4 3" xfId="23123" xr:uid="{00000000-0005-0000-0000-0000B9300000}"/>
    <cellStyle name="Normal 19 4 3 2" xfId="23162" xr:uid="{00000000-0005-0000-0000-0000BA300000}"/>
    <cellStyle name="Normal 19 4 3 2 2" xfId="23246" xr:uid="{00000000-0005-0000-0000-0000BB300000}"/>
    <cellStyle name="Normal 19 4 3 2 2 2" xfId="23315" xr:uid="{00000000-0005-0000-0000-0000BC300000}"/>
    <cellStyle name="Normal 19 4 3 2 2 2 2" xfId="46559" xr:uid="{00000000-0005-0000-0000-0000BD300000}"/>
    <cellStyle name="Normal 19 4 3 2 2 3" xfId="23484" xr:uid="{00000000-0005-0000-0000-0000BE300000}"/>
    <cellStyle name="Normal 19 4 3 2 2 3 2" xfId="46727" xr:uid="{00000000-0005-0000-0000-0000BF300000}"/>
    <cellStyle name="Normal 19 4 3 2 2 4" xfId="46491" xr:uid="{00000000-0005-0000-0000-0000C0300000}"/>
    <cellStyle name="Normal 19 4 3 2 3" xfId="23314" xr:uid="{00000000-0005-0000-0000-0000C1300000}"/>
    <cellStyle name="Normal 19 4 3 2 3 2" xfId="46558" xr:uid="{00000000-0005-0000-0000-0000C2300000}"/>
    <cellStyle name="Normal 19 4 3 2 4" xfId="23483" xr:uid="{00000000-0005-0000-0000-0000C3300000}"/>
    <cellStyle name="Normal 19 4 3 2 4 2" xfId="46726" xr:uid="{00000000-0005-0000-0000-0000C4300000}"/>
    <cellStyle name="Normal 19 4 3 2 5" xfId="46408" xr:uid="{00000000-0005-0000-0000-0000C5300000}"/>
    <cellStyle name="Normal 19 4 3 3" xfId="23207" xr:uid="{00000000-0005-0000-0000-0000C6300000}"/>
    <cellStyle name="Normal 19 4 3 3 2" xfId="23316" xr:uid="{00000000-0005-0000-0000-0000C7300000}"/>
    <cellStyle name="Normal 19 4 3 3 2 2" xfId="46560" xr:uid="{00000000-0005-0000-0000-0000C8300000}"/>
    <cellStyle name="Normal 19 4 3 3 3" xfId="23485" xr:uid="{00000000-0005-0000-0000-0000C9300000}"/>
    <cellStyle name="Normal 19 4 3 3 3 2" xfId="46728" xr:uid="{00000000-0005-0000-0000-0000CA300000}"/>
    <cellStyle name="Normal 19 4 3 3 4" xfId="46452" xr:uid="{00000000-0005-0000-0000-0000CB300000}"/>
    <cellStyle name="Normal 19 4 3 4" xfId="23313" xr:uid="{00000000-0005-0000-0000-0000CC300000}"/>
    <cellStyle name="Normal 19 4 3 4 2" xfId="46557" xr:uid="{00000000-0005-0000-0000-0000CD300000}"/>
    <cellStyle name="Normal 19 4 3 5" xfId="23482" xr:uid="{00000000-0005-0000-0000-0000CE300000}"/>
    <cellStyle name="Normal 19 4 3 5 2" xfId="46725" xr:uid="{00000000-0005-0000-0000-0000CF300000}"/>
    <cellStyle name="Normal 19 4 3 6" xfId="46369" xr:uid="{00000000-0005-0000-0000-0000D0300000}"/>
    <cellStyle name="Normal 19 4 4" xfId="23137" xr:uid="{00000000-0005-0000-0000-0000D1300000}"/>
    <cellStyle name="Normal 19 4 4 2" xfId="23163" xr:uid="{00000000-0005-0000-0000-0000D2300000}"/>
    <cellStyle name="Normal 19 4 4 2 2" xfId="23247" xr:uid="{00000000-0005-0000-0000-0000D3300000}"/>
    <cellStyle name="Normal 19 4 4 2 2 2" xfId="23319" xr:uid="{00000000-0005-0000-0000-0000D4300000}"/>
    <cellStyle name="Normal 19 4 4 2 2 2 2" xfId="46563" xr:uid="{00000000-0005-0000-0000-0000D5300000}"/>
    <cellStyle name="Normal 19 4 4 2 2 3" xfId="23488" xr:uid="{00000000-0005-0000-0000-0000D6300000}"/>
    <cellStyle name="Normal 19 4 4 2 2 3 2" xfId="46731" xr:uid="{00000000-0005-0000-0000-0000D7300000}"/>
    <cellStyle name="Normal 19 4 4 2 2 4" xfId="46492" xr:uid="{00000000-0005-0000-0000-0000D8300000}"/>
    <cellStyle name="Normal 19 4 4 2 3" xfId="23318" xr:uid="{00000000-0005-0000-0000-0000D9300000}"/>
    <cellStyle name="Normal 19 4 4 2 3 2" xfId="46562" xr:uid="{00000000-0005-0000-0000-0000DA300000}"/>
    <cellStyle name="Normal 19 4 4 2 4" xfId="23487" xr:uid="{00000000-0005-0000-0000-0000DB300000}"/>
    <cellStyle name="Normal 19 4 4 2 4 2" xfId="46730" xr:uid="{00000000-0005-0000-0000-0000DC300000}"/>
    <cellStyle name="Normal 19 4 4 2 5" xfId="46409" xr:uid="{00000000-0005-0000-0000-0000DD300000}"/>
    <cellStyle name="Normal 19 4 4 3" xfId="23221" xr:uid="{00000000-0005-0000-0000-0000DE300000}"/>
    <cellStyle name="Normal 19 4 4 3 2" xfId="23320" xr:uid="{00000000-0005-0000-0000-0000DF300000}"/>
    <cellStyle name="Normal 19 4 4 3 2 2" xfId="46564" xr:uid="{00000000-0005-0000-0000-0000E0300000}"/>
    <cellStyle name="Normal 19 4 4 3 3" xfId="23489" xr:uid="{00000000-0005-0000-0000-0000E1300000}"/>
    <cellStyle name="Normal 19 4 4 3 3 2" xfId="46732" xr:uid="{00000000-0005-0000-0000-0000E2300000}"/>
    <cellStyle name="Normal 19 4 4 3 4" xfId="46466" xr:uid="{00000000-0005-0000-0000-0000E3300000}"/>
    <cellStyle name="Normal 19 4 4 4" xfId="23317" xr:uid="{00000000-0005-0000-0000-0000E4300000}"/>
    <cellStyle name="Normal 19 4 4 4 2" xfId="46561" xr:uid="{00000000-0005-0000-0000-0000E5300000}"/>
    <cellStyle name="Normal 19 4 4 5" xfId="23486" xr:uid="{00000000-0005-0000-0000-0000E6300000}"/>
    <cellStyle name="Normal 19 4 4 5 2" xfId="46729" xr:uid="{00000000-0005-0000-0000-0000E7300000}"/>
    <cellStyle name="Normal 19 4 4 6" xfId="46383" xr:uid="{00000000-0005-0000-0000-0000E8300000}"/>
    <cellStyle name="Normal 19 4 5" xfId="23151" xr:uid="{00000000-0005-0000-0000-0000E9300000}"/>
    <cellStyle name="Normal 19 4 5 2" xfId="23164" xr:uid="{00000000-0005-0000-0000-0000EA300000}"/>
    <cellStyle name="Normal 19 4 5 2 2" xfId="23248" xr:uid="{00000000-0005-0000-0000-0000EB300000}"/>
    <cellStyle name="Normal 19 4 5 2 2 2" xfId="23323" xr:uid="{00000000-0005-0000-0000-0000EC300000}"/>
    <cellStyle name="Normal 19 4 5 2 2 2 2" xfId="46567" xr:uid="{00000000-0005-0000-0000-0000ED300000}"/>
    <cellStyle name="Normal 19 4 5 2 2 3" xfId="23492" xr:uid="{00000000-0005-0000-0000-0000EE300000}"/>
    <cellStyle name="Normal 19 4 5 2 2 3 2" xfId="46735" xr:uid="{00000000-0005-0000-0000-0000EF300000}"/>
    <cellStyle name="Normal 19 4 5 2 2 4" xfId="46493" xr:uid="{00000000-0005-0000-0000-0000F0300000}"/>
    <cellStyle name="Normal 19 4 5 2 3" xfId="23322" xr:uid="{00000000-0005-0000-0000-0000F1300000}"/>
    <cellStyle name="Normal 19 4 5 2 3 2" xfId="46566" xr:uid="{00000000-0005-0000-0000-0000F2300000}"/>
    <cellStyle name="Normal 19 4 5 2 4" xfId="23491" xr:uid="{00000000-0005-0000-0000-0000F3300000}"/>
    <cellStyle name="Normal 19 4 5 2 4 2" xfId="46734" xr:uid="{00000000-0005-0000-0000-0000F4300000}"/>
    <cellStyle name="Normal 19 4 5 2 5" xfId="46410" xr:uid="{00000000-0005-0000-0000-0000F5300000}"/>
    <cellStyle name="Normal 19 4 5 3" xfId="23235" xr:uid="{00000000-0005-0000-0000-0000F6300000}"/>
    <cellStyle name="Normal 19 4 5 3 2" xfId="23324" xr:uid="{00000000-0005-0000-0000-0000F7300000}"/>
    <cellStyle name="Normal 19 4 5 3 2 2" xfId="46568" xr:uid="{00000000-0005-0000-0000-0000F8300000}"/>
    <cellStyle name="Normal 19 4 5 3 3" xfId="23493" xr:uid="{00000000-0005-0000-0000-0000F9300000}"/>
    <cellStyle name="Normal 19 4 5 3 3 2" xfId="46736" xr:uid="{00000000-0005-0000-0000-0000FA300000}"/>
    <cellStyle name="Normal 19 4 5 3 4" xfId="46480" xr:uid="{00000000-0005-0000-0000-0000FB300000}"/>
    <cellStyle name="Normal 19 4 5 4" xfId="23321" xr:uid="{00000000-0005-0000-0000-0000FC300000}"/>
    <cellStyle name="Normal 19 4 5 4 2" xfId="46565" xr:uid="{00000000-0005-0000-0000-0000FD300000}"/>
    <cellStyle name="Normal 19 4 5 5" xfId="23490" xr:uid="{00000000-0005-0000-0000-0000FE300000}"/>
    <cellStyle name="Normal 19 4 5 5 2" xfId="46733" xr:uid="{00000000-0005-0000-0000-0000FF300000}"/>
    <cellStyle name="Normal 19 4 5 6" xfId="46397" xr:uid="{00000000-0005-0000-0000-000000310000}"/>
    <cellStyle name="Normal 19 4 6" xfId="23159" xr:uid="{00000000-0005-0000-0000-000001310000}"/>
    <cellStyle name="Normal 19 4 6 2" xfId="23243" xr:uid="{00000000-0005-0000-0000-000002310000}"/>
    <cellStyle name="Normal 19 4 6 2 2" xfId="23326" xr:uid="{00000000-0005-0000-0000-000003310000}"/>
    <cellStyle name="Normal 19 4 6 2 2 2" xfId="46570" xr:uid="{00000000-0005-0000-0000-000004310000}"/>
    <cellStyle name="Normal 19 4 6 2 3" xfId="23495" xr:uid="{00000000-0005-0000-0000-000005310000}"/>
    <cellStyle name="Normal 19 4 6 2 3 2" xfId="46738" xr:uid="{00000000-0005-0000-0000-000006310000}"/>
    <cellStyle name="Normal 19 4 6 2 4" xfId="46488" xr:uid="{00000000-0005-0000-0000-000007310000}"/>
    <cellStyle name="Normal 19 4 6 3" xfId="23325" xr:uid="{00000000-0005-0000-0000-000008310000}"/>
    <cellStyle name="Normal 19 4 6 3 2" xfId="46569" xr:uid="{00000000-0005-0000-0000-000009310000}"/>
    <cellStyle name="Normal 19 4 6 4" xfId="23494" xr:uid="{00000000-0005-0000-0000-00000A310000}"/>
    <cellStyle name="Normal 19 4 6 4 2" xfId="46737" xr:uid="{00000000-0005-0000-0000-00000B310000}"/>
    <cellStyle name="Normal 19 4 6 5" xfId="46405" xr:uid="{00000000-0005-0000-0000-00000C310000}"/>
    <cellStyle name="Normal 19 4 7" xfId="23200" xr:uid="{00000000-0005-0000-0000-00000D310000}"/>
    <cellStyle name="Normal 19 4 7 2" xfId="23327" xr:uid="{00000000-0005-0000-0000-00000E310000}"/>
    <cellStyle name="Normal 19 4 7 2 2" xfId="46571" xr:uid="{00000000-0005-0000-0000-00000F310000}"/>
    <cellStyle name="Normal 19 4 7 3" xfId="23496" xr:uid="{00000000-0005-0000-0000-000010310000}"/>
    <cellStyle name="Normal 19 4 7 3 2" xfId="46739" xr:uid="{00000000-0005-0000-0000-000011310000}"/>
    <cellStyle name="Normal 19 4 7 4" xfId="46445" xr:uid="{00000000-0005-0000-0000-000012310000}"/>
    <cellStyle name="Normal 19 4 8" xfId="23304" xr:uid="{00000000-0005-0000-0000-000013310000}"/>
    <cellStyle name="Normal 19 4 8 2" xfId="46548" xr:uid="{00000000-0005-0000-0000-000014310000}"/>
    <cellStyle name="Normal 19 4 9" xfId="23473" xr:uid="{00000000-0005-0000-0000-000015310000}"/>
    <cellStyle name="Normal 19 4 9 2" xfId="46716" xr:uid="{00000000-0005-0000-0000-000016310000}"/>
    <cellStyle name="Normal 19 5" xfId="20786" xr:uid="{00000000-0005-0000-0000-000017310000}"/>
    <cellStyle name="Normal 19 6" xfId="23279" xr:uid="{00000000-0005-0000-0000-000018310000}"/>
    <cellStyle name="Normal 19 6 2" xfId="46523" xr:uid="{00000000-0005-0000-0000-000019310000}"/>
    <cellStyle name="Normal 19 7" xfId="23448" xr:uid="{00000000-0005-0000-0000-00001A310000}"/>
    <cellStyle name="Normal 19 7 2" xfId="46691" xr:uid="{00000000-0005-0000-0000-00001B310000}"/>
    <cellStyle name="Normal 19 8" xfId="23717" xr:uid="{00000000-0005-0000-0000-00001C310000}"/>
    <cellStyle name="Normal 2" xfId="10" xr:uid="{00000000-0005-0000-0000-00001D310000}"/>
    <cellStyle name="Normal 2 10" xfId="3402" xr:uid="{00000000-0005-0000-0000-00001E310000}"/>
    <cellStyle name="Normal 2 10 2" xfId="3403" xr:uid="{00000000-0005-0000-0000-00001F310000}"/>
    <cellStyle name="Normal 2 10 2 2" xfId="3404" xr:uid="{00000000-0005-0000-0000-000020310000}"/>
    <cellStyle name="Normal 2 10 2 2 2" xfId="3405" xr:uid="{00000000-0005-0000-0000-000021310000}"/>
    <cellStyle name="Normal 2 10 2 2 2 2" xfId="26910" xr:uid="{00000000-0005-0000-0000-000022310000}"/>
    <cellStyle name="Normal 2 10 2 2 3" xfId="26909" xr:uid="{00000000-0005-0000-0000-000023310000}"/>
    <cellStyle name="Normal 2 10 2 3" xfId="3406" xr:uid="{00000000-0005-0000-0000-000024310000}"/>
    <cellStyle name="Normal 2 10 2 3 2" xfId="26911" xr:uid="{00000000-0005-0000-0000-000025310000}"/>
    <cellStyle name="Normal 2 10 2 4" xfId="26908" xr:uid="{00000000-0005-0000-0000-000026310000}"/>
    <cellStyle name="Normal 2 10 3" xfId="3407" xr:uid="{00000000-0005-0000-0000-000027310000}"/>
    <cellStyle name="Normal 2 10 3 2" xfId="3408" xr:uid="{00000000-0005-0000-0000-000028310000}"/>
    <cellStyle name="Normal 2 10 3 2 2" xfId="26913" xr:uid="{00000000-0005-0000-0000-000029310000}"/>
    <cellStyle name="Normal 2 10 3 3" xfId="26912" xr:uid="{00000000-0005-0000-0000-00002A310000}"/>
    <cellStyle name="Normal 2 10 4" xfId="3409" xr:uid="{00000000-0005-0000-0000-00002B310000}"/>
    <cellStyle name="Normal 2 10 4 2" xfId="26914" xr:uid="{00000000-0005-0000-0000-00002C310000}"/>
    <cellStyle name="Normal 2 10 5" xfId="26907" xr:uid="{00000000-0005-0000-0000-00002D310000}"/>
    <cellStyle name="Normal 2 11" xfId="3410" xr:uid="{00000000-0005-0000-0000-00002E310000}"/>
    <cellStyle name="Normal 2 11 2" xfId="3411" xr:uid="{00000000-0005-0000-0000-00002F310000}"/>
    <cellStyle name="Normal 2 11 2 2" xfId="3412" xr:uid="{00000000-0005-0000-0000-000030310000}"/>
    <cellStyle name="Normal 2 11 2 2 2" xfId="26917" xr:uid="{00000000-0005-0000-0000-000031310000}"/>
    <cellStyle name="Normal 2 11 2 3" xfId="26916" xr:uid="{00000000-0005-0000-0000-000032310000}"/>
    <cellStyle name="Normal 2 11 3" xfId="3413" xr:uid="{00000000-0005-0000-0000-000033310000}"/>
    <cellStyle name="Normal 2 11 3 2" xfId="26918" xr:uid="{00000000-0005-0000-0000-000034310000}"/>
    <cellStyle name="Normal 2 11 4" xfId="26915" xr:uid="{00000000-0005-0000-0000-000035310000}"/>
    <cellStyle name="Normal 2 12" xfId="3414" xr:uid="{00000000-0005-0000-0000-000036310000}"/>
    <cellStyle name="Normal 2 12 2" xfId="3415" xr:uid="{00000000-0005-0000-0000-000037310000}"/>
    <cellStyle name="Normal 2 12 2 2" xfId="26920" xr:uid="{00000000-0005-0000-0000-000038310000}"/>
    <cellStyle name="Normal 2 12 3" xfId="26919" xr:uid="{00000000-0005-0000-0000-000039310000}"/>
    <cellStyle name="Normal 2 13" xfId="3416" xr:uid="{00000000-0005-0000-0000-00003A310000}"/>
    <cellStyle name="Normal 2 13 2" xfId="26921" xr:uid="{00000000-0005-0000-0000-00003B310000}"/>
    <cellStyle name="Normal 2 14" xfId="3401" xr:uid="{00000000-0005-0000-0000-00003C310000}"/>
    <cellStyle name="Normal 2 14 2" xfId="26906" xr:uid="{00000000-0005-0000-0000-00003D310000}"/>
    <cellStyle name="Normal 2 15" xfId="22020" xr:uid="{00000000-0005-0000-0000-00003E310000}"/>
    <cellStyle name="Normal 2 16" xfId="23617" xr:uid="{00000000-0005-0000-0000-00003F310000}"/>
    <cellStyle name="Normal 2 2" xfId="91" xr:uid="{00000000-0005-0000-0000-000040310000}"/>
    <cellStyle name="Normal 2 2 10" xfId="92" xr:uid="{00000000-0005-0000-0000-000041310000}"/>
    <cellStyle name="Normal 2 2 11" xfId="3417" xr:uid="{00000000-0005-0000-0000-000042310000}"/>
    <cellStyle name="Normal 2 2 11 2" xfId="20788" xr:uid="{00000000-0005-0000-0000-000043310000}"/>
    <cellStyle name="Normal 2 2 12" xfId="20789" xr:uid="{00000000-0005-0000-0000-000044310000}"/>
    <cellStyle name="Normal 2 2 2" xfId="23" xr:uid="{00000000-0005-0000-0000-000045310000}"/>
    <cellStyle name="Normal 2 2 2 2" xfId="29" xr:uid="{00000000-0005-0000-0000-000046310000}"/>
    <cellStyle name="Normal 2 2 2 3" xfId="20790" xr:uid="{00000000-0005-0000-0000-000047310000}"/>
    <cellStyle name="normal 2 2 2 4" xfId="17681" xr:uid="{00000000-0005-0000-0000-000048310000}"/>
    <cellStyle name="normal 2 2 2 5" xfId="17686" xr:uid="{00000000-0005-0000-0000-000049310000}"/>
    <cellStyle name="Normal 2 2 3" xfId="93" xr:uid="{00000000-0005-0000-0000-00004A310000}"/>
    <cellStyle name="Normal 2 2 3 2" xfId="20791" xr:uid="{00000000-0005-0000-0000-00004B310000}"/>
    <cellStyle name="Normal 2 2 4" xfId="94" xr:uid="{00000000-0005-0000-0000-00004C310000}"/>
    <cellStyle name="Normal 2 2 5" xfId="95" xr:uid="{00000000-0005-0000-0000-00004D310000}"/>
    <cellStyle name="Normal 2 2 6" xfId="96" xr:uid="{00000000-0005-0000-0000-00004E310000}"/>
    <cellStyle name="Normal 2 2 7" xfId="97" xr:uid="{00000000-0005-0000-0000-00004F310000}"/>
    <cellStyle name="Normal 2 2 8" xfId="98" xr:uid="{00000000-0005-0000-0000-000050310000}"/>
    <cellStyle name="Normal 2 2 9" xfId="99" xr:uid="{00000000-0005-0000-0000-000051310000}"/>
    <cellStyle name="Normal 2 3" xfId="100" xr:uid="{00000000-0005-0000-0000-000052310000}"/>
    <cellStyle name="Normal 2 3 10" xfId="3419" xr:uid="{00000000-0005-0000-0000-000053310000}"/>
    <cellStyle name="Normal 2 3 10 2" xfId="3420" xr:uid="{00000000-0005-0000-0000-000054310000}"/>
    <cellStyle name="Normal 2 3 10 2 2" xfId="3421" xr:uid="{00000000-0005-0000-0000-000055310000}"/>
    <cellStyle name="Normal 2 3 10 2 2 2" xfId="26925" xr:uid="{00000000-0005-0000-0000-000056310000}"/>
    <cellStyle name="Normal 2 3 10 2 3" xfId="26924" xr:uid="{00000000-0005-0000-0000-000057310000}"/>
    <cellStyle name="Normal 2 3 10 3" xfId="3422" xr:uid="{00000000-0005-0000-0000-000058310000}"/>
    <cellStyle name="Normal 2 3 10 3 2" xfId="26926" xr:uid="{00000000-0005-0000-0000-000059310000}"/>
    <cellStyle name="Normal 2 3 10 4" xfId="26923" xr:uid="{00000000-0005-0000-0000-00005A310000}"/>
    <cellStyle name="Normal 2 3 11" xfId="3423" xr:uid="{00000000-0005-0000-0000-00005B310000}"/>
    <cellStyle name="Normal 2 3 11 2" xfId="3424" xr:uid="{00000000-0005-0000-0000-00005C310000}"/>
    <cellStyle name="Normal 2 3 11 2 2" xfId="26928" xr:uid="{00000000-0005-0000-0000-00005D310000}"/>
    <cellStyle name="Normal 2 3 11 3" xfId="26927" xr:uid="{00000000-0005-0000-0000-00005E310000}"/>
    <cellStyle name="Normal 2 3 12" xfId="3425" xr:uid="{00000000-0005-0000-0000-00005F310000}"/>
    <cellStyle name="Normal 2 3 12 2" xfId="26929" xr:uid="{00000000-0005-0000-0000-000060310000}"/>
    <cellStyle name="Normal 2 3 13" xfId="3418" xr:uid="{00000000-0005-0000-0000-000061310000}"/>
    <cellStyle name="Normal 2 3 13 2" xfId="26922" xr:uid="{00000000-0005-0000-0000-000062310000}"/>
    <cellStyle name="Normal 2 3 2" xfId="3426" xr:uid="{00000000-0005-0000-0000-000063310000}"/>
    <cellStyle name="Normal 2 3 2 2" xfId="20792" xr:uid="{00000000-0005-0000-0000-000064310000}"/>
    <cellStyle name="Normal 2 3 3" xfId="3427" xr:uid="{00000000-0005-0000-0000-000065310000}"/>
    <cellStyle name="Normal 2 3 3 10" xfId="26930" xr:uid="{00000000-0005-0000-0000-000066310000}"/>
    <cellStyle name="Normal 2 3 3 2" xfId="3428" xr:uid="{00000000-0005-0000-0000-000067310000}"/>
    <cellStyle name="Normal 2 3 3 2 2" xfId="3429" xr:uid="{00000000-0005-0000-0000-000068310000}"/>
    <cellStyle name="Normal 2 3 3 2 2 2" xfId="3430" xr:uid="{00000000-0005-0000-0000-000069310000}"/>
    <cellStyle name="Normal 2 3 3 2 2 2 2" xfId="3431" xr:uid="{00000000-0005-0000-0000-00006A310000}"/>
    <cellStyle name="Normal 2 3 3 2 2 2 2 2" xfId="3432" xr:uid="{00000000-0005-0000-0000-00006B310000}"/>
    <cellStyle name="Normal 2 3 3 2 2 2 2 2 2" xfId="26935" xr:uid="{00000000-0005-0000-0000-00006C310000}"/>
    <cellStyle name="Normal 2 3 3 2 2 2 2 3" xfId="26934" xr:uid="{00000000-0005-0000-0000-00006D310000}"/>
    <cellStyle name="Normal 2 3 3 2 2 2 3" xfId="3433" xr:uid="{00000000-0005-0000-0000-00006E310000}"/>
    <cellStyle name="Normal 2 3 3 2 2 2 3 2" xfId="26936" xr:uid="{00000000-0005-0000-0000-00006F310000}"/>
    <cellStyle name="Normal 2 3 3 2 2 2 4" xfId="26933" xr:uid="{00000000-0005-0000-0000-000070310000}"/>
    <cellStyle name="Normal 2 3 3 2 2 3" xfId="3434" xr:uid="{00000000-0005-0000-0000-000071310000}"/>
    <cellStyle name="Normal 2 3 3 2 2 3 2" xfId="3435" xr:uid="{00000000-0005-0000-0000-000072310000}"/>
    <cellStyle name="Normal 2 3 3 2 2 3 2 2" xfId="26938" xr:uid="{00000000-0005-0000-0000-000073310000}"/>
    <cellStyle name="Normal 2 3 3 2 2 3 3" xfId="26937" xr:uid="{00000000-0005-0000-0000-000074310000}"/>
    <cellStyle name="Normal 2 3 3 2 2 4" xfId="3436" xr:uid="{00000000-0005-0000-0000-000075310000}"/>
    <cellStyle name="Normal 2 3 3 2 2 4 2" xfId="26939" xr:uid="{00000000-0005-0000-0000-000076310000}"/>
    <cellStyle name="Normal 2 3 3 2 2 5" xfId="26932" xr:uid="{00000000-0005-0000-0000-000077310000}"/>
    <cellStyle name="Normal 2 3 3 2 3" xfId="3437" xr:uid="{00000000-0005-0000-0000-000078310000}"/>
    <cellStyle name="Normal 2 3 3 2 3 2" xfId="3438" xr:uid="{00000000-0005-0000-0000-000079310000}"/>
    <cellStyle name="Normal 2 3 3 2 3 2 2" xfId="3439" xr:uid="{00000000-0005-0000-0000-00007A310000}"/>
    <cellStyle name="Normal 2 3 3 2 3 2 2 2" xfId="3440" xr:uid="{00000000-0005-0000-0000-00007B310000}"/>
    <cellStyle name="Normal 2 3 3 2 3 2 2 2 2" xfId="26943" xr:uid="{00000000-0005-0000-0000-00007C310000}"/>
    <cellStyle name="Normal 2 3 3 2 3 2 2 3" xfId="26942" xr:uid="{00000000-0005-0000-0000-00007D310000}"/>
    <cellStyle name="Normal 2 3 3 2 3 2 3" xfId="3441" xr:uid="{00000000-0005-0000-0000-00007E310000}"/>
    <cellStyle name="Normal 2 3 3 2 3 2 3 2" xfId="26944" xr:uid="{00000000-0005-0000-0000-00007F310000}"/>
    <cellStyle name="Normal 2 3 3 2 3 2 4" xfId="26941" xr:uid="{00000000-0005-0000-0000-000080310000}"/>
    <cellStyle name="Normal 2 3 3 2 3 3" xfId="3442" xr:uid="{00000000-0005-0000-0000-000081310000}"/>
    <cellStyle name="Normal 2 3 3 2 3 3 2" xfId="3443" xr:uid="{00000000-0005-0000-0000-000082310000}"/>
    <cellStyle name="Normal 2 3 3 2 3 3 2 2" xfId="26946" xr:uid="{00000000-0005-0000-0000-000083310000}"/>
    <cellStyle name="Normal 2 3 3 2 3 3 3" xfId="26945" xr:uid="{00000000-0005-0000-0000-000084310000}"/>
    <cellStyle name="Normal 2 3 3 2 3 4" xfId="3444" xr:uid="{00000000-0005-0000-0000-000085310000}"/>
    <cellStyle name="Normal 2 3 3 2 3 4 2" xfId="26947" xr:uid="{00000000-0005-0000-0000-000086310000}"/>
    <cellStyle name="Normal 2 3 3 2 3 5" xfId="26940" xr:uid="{00000000-0005-0000-0000-000087310000}"/>
    <cellStyle name="Normal 2 3 3 2 4" xfId="3445" xr:uid="{00000000-0005-0000-0000-000088310000}"/>
    <cellStyle name="Normal 2 3 3 2 4 2" xfId="3446" xr:uid="{00000000-0005-0000-0000-000089310000}"/>
    <cellStyle name="Normal 2 3 3 2 4 2 2" xfId="3447" xr:uid="{00000000-0005-0000-0000-00008A310000}"/>
    <cellStyle name="Normal 2 3 3 2 4 2 2 2" xfId="26950" xr:uid="{00000000-0005-0000-0000-00008B310000}"/>
    <cellStyle name="Normal 2 3 3 2 4 2 3" xfId="26949" xr:uid="{00000000-0005-0000-0000-00008C310000}"/>
    <cellStyle name="Normal 2 3 3 2 4 3" xfId="3448" xr:uid="{00000000-0005-0000-0000-00008D310000}"/>
    <cellStyle name="Normal 2 3 3 2 4 3 2" xfId="26951" xr:uid="{00000000-0005-0000-0000-00008E310000}"/>
    <cellStyle name="Normal 2 3 3 2 4 4" xfId="26948" xr:uid="{00000000-0005-0000-0000-00008F310000}"/>
    <cellStyle name="Normal 2 3 3 2 5" xfId="3449" xr:uid="{00000000-0005-0000-0000-000090310000}"/>
    <cellStyle name="Normal 2 3 3 2 5 2" xfId="3450" xr:uid="{00000000-0005-0000-0000-000091310000}"/>
    <cellStyle name="Normal 2 3 3 2 5 2 2" xfId="26953" xr:uid="{00000000-0005-0000-0000-000092310000}"/>
    <cellStyle name="Normal 2 3 3 2 5 3" xfId="26952" xr:uid="{00000000-0005-0000-0000-000093310000}"/>
    <cellStyle name="Normal 2 3 3 2 6" xfId="3451" xr:uid="{00000000-0005-0000-0000-000094310000}"/>
    <cellStyle name="Normal 2 3 3 2 6 2" xfId="26954" xr:uid="{00000000-0005-0000-0000-000095310000}"/>
    <cellStyle name="Normal 2 3 3 2 7" xfId="26931" xr:uid="{00000000-0005-0000-0000-000096310000}"/>
    <cellStyle name="Normal 2 3 3 3" xfId="3452" xr:uid="{00000000-0005-0000-0000-000097310000}"/>
    <cellStyle name="Normal 2 3 3 3 2" xfId="3453" xr:uid="{00000000-0005-0000-0000-000098310000}"/>
    <cellStyle name="Normal 2 3 3 3 2 2" xfId="3454" xr:uid="{00000000-0005-0000-0000-000099310000}"/>
    <cellStyle name="Normal 2 3 3 3 2 2 2" xfId="3455" xr:uid="{00000000-0005-0000-0000-00009A310000}"/>
    <cellStyle name="Normal 2 3 3 3 2 2 2 2" xfId="3456" xr:uid="{00000000-0005-0000-0000-00009B310000}"/>
    <cellStyle name="Normal 2 3 3 3 2 2 2 2 2" xfId="26959" xr:uid="{00000000-0005-0000-0000-00009C310000}"/>
    <cellStyle name="Normal 2 3 3 3 2 2 2 3" xfId="26958" xr:uid="{00000000-0005-0000-0000-00009D310000}"/>
    <cellStyle name="Normal 2 3 3 3 2 2 3" xfId="3457" xr:uid="{00000000-0005-0000-0000-00009E310000}"/>
    <cellStyle name="Normal 2 3 3 3 2 2 3 2" xfId="26960" xr:uid="{00000000-0005-0000-0000-00009F310000}"/>
    <cellStyle name="Normal 2 3 3 3 2 2 4" xfId="26957" xr:uid="{00000000-0005-0000-0000-0000A0310000}"/>
    <cellStyle name="Normal 2 3 3 3 2 3" xfId="3458" xr:uid="{00000000-0005-0000-0000-0000A1310000}"/>
    <cellStyle name="Normal 2 3 3 3 2 3 2" xfId="3459" xr:uid="{00000000-0005-0000-0000-0000A2310000}"/>
    <cellStyle name="Normal 2 3 3 3 2 3 2 2" xfId="26962" xr:uid="{00000000-0005-0000-0000-0000A3310000}"/>
    <cellStyle name="Normal 2 3 3 3 2 3 3" xfId="26961" xr:uid="{00000000-0005-0000-0000-0000A4310000}"/>
    <cellStyle name="Normal 2 3 3 3 2 4" xfId="3460" xr:uid="{00000000-0005-0000-0000-0000A5310000}"/>
    <cellStyle name="Normal 2 3 3 3 2 4 2" xfId="26963" xr:uid="{00000000-0005-0000-0000-0000A6310000}"/>
    <cellStyle name="Normal 2 3 3 3 2 5" xfId="26956" xr:uid="{00000000-0005-0000-0000-0000A7310000}"/>
    <cellStyle name="Normal 2 3 3 3 3" xfId="3461" xr:uid="{00000000-0005-0000-0000-0000A8310000}"/>
    <cellStyle name="Normal 2 3 3 3 3 2" xfId="3462" xr:uid="{00000000-0005-0000-0000-0000A9310000}"/>
    <cellStyle name="Normal 2 3 3 3 3 2 2" xfId="3463" xr:uid="{00000000-0005-0000-0000-0000AA310000}"/>
    <cellStyle name="Normal 2 3 3 3 3 2 2 2" xfId="3464" xr:uid="{00000000-0005-0000-0000-0000AB310000}"/>
    <cellStyle name="Normal 2 3 3 3 3 2 2 2 2" xfId="26967" xr:uid="{00000000-0005-0000-0000-0000AC310000}"/>
    <cellStyle name="Normal 2 3 3 3 3 2 2 3" xfId="26966" xr:uid="{00000000-0005-0000-0000-0000AD310000}"/>
    <cellStyle name="Normal 2 3 3 3 3 2 3" xfId="3465" xr:uid="{00000000-0005-0000-0000-0000AE310000}"/>
    <cellStyle name="Normal 2 3 3 3 3 2 3 2" xfId="26968" xr:uid="{00000000-0005-0000-0000-0000AF310000}"/>
    <cellStyle name="Normal 2 3 3 3 3 2 4" xfId="26965" xr:uid="{00000000-0005-0000-0000-0000B0310000}"/>
    <cellStyle name="Normal 2 3 3 3 3 3" xfId="3466" xr:uid="{00000000-0005-0000-0000-0000B1310000}"/>
    <cellStyle name="Normal 2 3 3 3 3 3 2" xfId="3467" xr:uid="{00000000-0005-0000-0000-0000B2310000}"/>
    <cellStyle name="Normal 2 3 3 3 3 3 2 2" xfId="26970" xr:uid="{00000000-0005-0000-0000-0000B3310000}"/>
    <cellStyle name="Normal 2 3 3 3 3 3 3" xfId="26969" xr:uid="{00000000-0005-0000-0000-0000B4310000}"/>
    <cellStyle name="Normal 2 3 3 3 3 4" xfId="3468" xr:uid="{00000000-0005-0000-0000-0000B5310000}"/>
    <cellStyle name="Normal 2 3 3 3 3 4 2" xfId="26971" xr:uid="{00000000-0005-0000-0000-0000B6310000}"/>
    <cellStyle name="Normal 2 3 3 3 3 5" xfId="26964" xr:uid="{00000000-0005-0000-0000-0000B7310000}"/>
    <cellStyle name="Normal 2 3 3 3 4" xfId="3469" xr:uid="{00000000-0005-0000-0000-0000B8310000}"/>
    <cellStyle name="Normal 2 3 3 3 4 2" xfId="3470" xr:uid="{00000000-0005-0000-0000-0000B9310000}"/>
    <cellStyle name="Normal 2 3 3 3 4 2 2" xfId="3471" xr:uid="{00000000-0005-0000-0000-0000BA310000}"/>
    <cellStyle name="Normal 2 3 3 3 4 2 2 2" xfId="26974" xr:uid="{00000000-0005-0000-0000-0000BB310000}"/>
    <cellStyle name="Normal 2 3 3 3 4 2 3" xfId="26973" xr:uid="{00000000-0005-0000-0000-0000BC310000}"/>
    <cellStyle name="Normal 2 3 3 3 4 3" xfId="3472" xr:uid="{00000000-0005-0000-0000-0000BD310000}"/>
    <cellStyle name="Normal 2 3 3 3 4 3 2" xfId="26975" xr:uid="{00000000-0005-0000-0000-0000BE310000}"/>
    <cellStyle name="Normal 2 3 3 3 4 4" xfId="26972" xr:uid="{00000000-0005-0000-0000-0000BF310000}"/>
    <cellStyle name="Normal 2 3 3 3 5" xfId="3473" xr:uid="{00000000-0005-0000-0000-0000C0310000}"/>
    <cellStyle name="Normal 2 3 3 3 5 2" xfId="3474" xr:uid="{00000000-0005-0000-0000-0000C1310000}"/>
    <cellStyle name="Normal 2 3 3 3 5 2 2" xfId="26977" xr:uid="{00000000-0005-0000-0000-0000C2310000}"/>
    <cellStyle name="Normal 2 3 3 3 5 3" xfId="26976" xr:uid="{00000000-0005-0000-0000-0000C3310000}"/>
    <cellStyle name="Normal 2 3 3 3 6" xfId="3475" xr:uid="{00000000-0005-0000-0000-0000C4310000}"/>
    <cellStyle name="Normal 2 3 3 3 6 2" xfId="26978" xr:uid="{00000000-0005-0000-0000-0000C5310000}"/>
    <cellStyle name="Normal 2 3 3 3 7" xfId="26955" xr:uid="{00000000-0005-0000-0000-0000C6310000}"/>
    <cellStyle name="Normal 2 3 3 4" xfId="3476" xr:uid="{00000000-0005-0000-0000-0000C7310000}"/>
    <cellStyle name="Normal 2 3 3 4 2" xfId="3477" xr:uid="{00000000-0005-0000-0000-0000C8310000}"/>
    <cellStyle name="Normal 2 3 3 4 2 2" xfId="3478" xr:uid="{00000000-0005-0000-0000-0000C9310000}"/>
    <cellStyle name="Normal 2 3 3 4 2 2 2" xfId="3479" xr:uid="{00000000-0005-0000-0000-0000CA310000}"/>
    <cellStyle name="Normal 2 3 3 4 2 2 2 2" xfId="3480" xr:uid="{00000000-0005-0000-0000-0000CB310000}"/>
    <cellStyle name="Normal 2 3 3 4 2 2 2 2 2" xfId="26983" xr:uid="{00000000-0005-0000-0000-0000CC310000}"/>
    <cellStyle name="Normal 2 3 3 4 2 2 2 3" xfId="26982" xr:uid="{00000000-0005-0000-0000-0000CD310000}"/>
    <cellStyle name="Normal 2 3 3 4 2 2 3" xfId="3481" xr:uid="{00000000-0005-0000-0000-0000CE310000}"/>
    <cellStyle name="Normal 2 3 3 4 2 2 3 2" xfId="26984" xr:uid="{00000000-0005-0000-0000-0000CF310000}"/>
    <cellStyle name="Normal 2 3 3 4 2 2 4" xfId="26981" xr:uid="{00000000-0005-0000-0000-0000D0310000}"/>
    <cellStyle name="Normal 2 3 3 4 2 3" xfId="3482" xr:uid="{00000000-0005-0000-0000-0000D1310000}"/>
    <cellStyle name="Normal 2 3 3 4 2 3 2" xfId="3483" xr:uid="{00000000-0005-0000-0000-0000D2310000}"/>
    <cellStyle name="Normal 2 3 3 4 2 3 2 2" xfId="26986" xr:uid="{00000000-0005-0000-0000-0000D3310000}"/>
    <cellStyle name="Normal 2 3 3 4 2 3 3" xfId="26985" xr:uid="{00000000-0005-0000-0000-0000D4310000}"/>
    <cellStyle name="Normal 2 3 3 4 2 4" xfId="3484" xr:uid="{00000000-0005-0000-0000-0000D5310000}"/>
    <cellStyle name="Normal 2 3 3 4 2 4 2" xfId="26987" xr:uid="{00000000-0005-0000-0000-0000D6310000}"/>
    <cellStyle name="Normal 2 3 3 4 2 5" xfId="26980" xr:uid="{00000000-0005-0000-0000-0000D7310000}"/>
    <cellStyle name="Normal 2 3 3 4 3" xfId="3485" xr:uid="{00000000-0005-0000-0000-0000D8310000}"/>
    <cellStyle name="Normal 2 3 3 4 3 2" xfId="3486" xr:uid="{00000000-0005-0000-0000-0000D9310000}"/>
    <cellStyle name="Normal 2 3 3 4 3 2 2" xfId="3487" xr:uid="{00000000-0005-0000-0000-0000DA310000}"/>
    <cellStyle name="Normal 2 3 3 4 3 2 2 2" xfId="3488" xr:uid="{00000000-0005-0000-0000-0000DB310000}"/>
    <cellStyle name="Normal 2 3 3 4 3 2 2 2 2" xfId="26991" xr:uid="{00000000-0005-0000-0000-0000DC310000}"/>
    <cellStyle name="Normal 2 3 3 4 3 2 2 3" xfId="26990" xr:uid="{00000000-0005-0000-0000-0000DD310000}"/>
    <cellStyle name="Normal 2 3 3 4 3 2 3" xfId="3489" xr:uid="{00000000-0005-0000-0000-0000DE310000}"/>
    <cellStyle name="Normal 2 3 3 4 3 2 3 2" xfId="26992" xr:uid="{00000000-0005-0000-0000-0000DF310000}"/>
    <cellStyle name="Normal 2 3 3 4 3 2 4" xfId="26989" xr:uid="{00000000-0005-0000-0000-0000E0310000}"/>
    <cellStyle name="Normal 2 3 3 4 3 3" xfId="3490" xr:uid="{00000000-0005-0000-0000-0000E1310000}"/>
    <cellStyle name="Normal 2 3 3 4 3 3 2" xfId="3491" xr:uid="{00000000-0005-0000-0000-0000E2310000}"/>
    <cellStyle name="Normal 2 3 3 4 3 3 2 2" xfId="26994" xr:uid="{00000000-0005-0000-0000-0000E3310000}"/>
    <cellStyle name="Normal 2 3 3 4 3 3 3" xfId="26993" xr:uid="{00000000-0005-0000-0000-0000E4310000}"/>
    <cellStyle name="Normal 2 3 3 4 3 4" xfId="3492" xr:uid="{00000000-0005-0000-0000-0000E5310000}"/>
    <cellStyle name="Normal 2 3 3 4 3 4 2" xfId="26995" xr:uid="{00000000-0005-0000-0000-0000E6310000}"/>
    <cellStyle name="Normal 2 3 3 4 3 5" xfId="26988" xr:uid="{00000000-0005-0000-0000-0000E7310000}"/>
    <cellStyle name="Normal 2 3 3 4 4" xfId="3493" xr:uid="{00000000-0005-0000-0000-0000E8310000}"/>
    <cellStyle name="Normal 2 3 3 4 4 2" xfId="3494" xr:uid="{00000000-0005-0000-0000-0000E9310000}"/>
    <cellStyle name="Normal 2 3 3 4 4 2 2" xfId="3495" xr:uid="{00000000-0005-0000-0000-0000EA310000}"/>
    <cellStyle name="Normal 2 3 3 4 4 2 2 2" xfId="26998" xr:uid="{00000000-0005-0000-0000-0000EB310000}"/>
    <cellStyle name="Normal 2 3 3 4 4 2 3" xfId="26997" xr:uid="{00000000-0005-0000-0000-0000EC310000}"/>
    <cellStyle name="Normal 2 3 3 4 4 3" xfId="3496" xr:uid="{00000000-0005-0000-0000-0000ED310000}"/>
    <cellStyle name="Normal 2 3 3 4 4 3 2" xfId="26999" xr:uid="{00000000-0005-0000-0000-0000EE310000}"/>
    <cellStyle name="Normal 2 3 3 4 4 4" xfId="26996" xr:uid="{00000000-0005-0000-0000-0000EF310000}"/>
    <cellStyle name="Normal 2 3 3 4 5" xfId="3497" xr:uid="{00000000-0005-0000-0000-0000F0310000}"/>
    <cellStyle name="Normal 2 3 3 4 5 2" xfId="3498" xr:uid="{00000000-0005-0000-0000-0000F1310000}"/>
    <cellStyle name="Normal 2 3 3 4 5 2 2" xfId="27001" xr:uid="{00000000-0005-0000-0000-0000F2310000}"/>
    <cellStyle name="Normal 2 3 3 4 5 3" xfId="27000" xr:uid="{00000000-0005-0000-0000-0000F3310000}"/>
    <cellStyle name="Normal 2 3 3 4 6" xfId="3499" xr:uid="{00000000-0005-0000-0000-0000F4310000}"/>
    <cellStyle name="Normal 2 3 3 4 6 2" xfId="27002" xr:uid="{00000000-0005-0000-0000-0000F5310000}"/>
    <cellStyle name="Normal 2 3 3 4 7" xfId="26979" xr:uid="{00000000-0005-0000-0000-0000F6310000}"/>
    <cellStyle name="Normal 2 3 3 5" xfId="3500" xr:uid="{00000000-0005-0000-0000-0000F7310000}"/>
    <cellStyle name="Normal 2 3 3 5 2" xfId="3501" xr:uid="{00000000-0005-0000-0000-0000F8310000}"/>
    <cellStyle name="Normal 2 3 3 5 2 2" xfId="3502" xr:uid="{00000000-0005-0000-0000-0000F9310000}"/>
    <cellStyle name="Normal 2 3 3 5 2 2 2" xfId="3503" xr:uid="{00000000-0005-0000-0000-0000FA310000}"/>
    <cellStyle name="Normal 2 3 3 5 2 2 2 2" xfId="27006" xr:uid="{00000000-0005-0000-0000-0000FB310000}"/>
    <cellStyle name="Normal 2 3 3 5 2 2 3" xfId="27005" xr:uid="{00000000-0005-0000-0000-0000FC310000}"/>
    <cellStyle name="Normal 2 3 3 5 2 3" xfId="3504" xr:uid="{00000000-0005-0000-0000-0000FD310000}"/>
    <cellStyle name="Normal 2 3 3 5 2 3 2" xfId="27007" xr:uid="{00000000-0005-0000-0000-0000FE310000}"/>
    <cellStyle name="Normal 2 3 3 5 2 4" xfId="27004" xr:uid="{00000000-0005-0000-0000-0000FF310000}"/>
    <cellStyle name="Normal 2 3 3 5 3" xfId="3505" xr:uid="{00000000-0005-0000-0000-000000320000}"/>
    <cellStyle name="Normal 2 3 3 5 3 2" xfId="3506" xr:uid="{00000000-0005-0000-0000-000001320000}"/>
    <cellStyle name="Normal 2 3 3 5 3 2 2" xfId="27009" xr:uid="{00000000-0005-0000-0000-000002320000}"/>
    <cellStyle name="Normal 2 3 3 5 3 3" xfId="27008" xr:uid="{00000000-0005-0000-0000-000003320000}"/>
    <cellStyle name="Normal 2 3 3 5 4" xfId="3507" xr:uid="{00000000-0005-0000-0000-000004320000}"/>
    <cellStyle name="Normal 2 3 3 5 4 2" xfId="27010" xr:uid="{00000000-0005-0000-0000-000005320000}"/>
    <cellStyle name="Normal 2 3 3 5 5" xfId="27003" xr:uid="{00000000-0005-0000-0000-000006320000}"/>
    <cellStyle name="Normal 2 3 3 6" xfId="3508" xr:uid="{00000000-0005-0000-0000-000007320000}"/>
    <cellStyle name="Normal 2 3 3 6 2" xfId="3509" xr:uid="{00000000-0005-0000-0000-000008320000}"/>
    <cellStyle name="Normal 2 3 3 6 2 2" xfId="3510" xr:uid="{00000000-0005-0000-0000-000009320000}"/>
    <cellStyle name="Normal 2 3 3 6 2 2 2" xfId="3511" xr:uid="{00000000-0005-0000-0000-00000A320000}"/>
    <cellStyle name="Normal 2 3 3 6 2 2 2 2" xfId="27014" xr:uid="{00000000-0005-0000-0000-00000B320000}"/>
    <cellStyle name="Normal 2 3 3 6 2 2 3" xfId="27013" xr:uid="{00000000-0005-0000-0000-00000C320000}"/>
    <cellStyle name="Normal 2 3 3 6 2 3" xfId="3512" xr:uid="{00000000-0005-0000-0000-00000D320000}"/>
    <cellStyle name="Normal 2 3 3 6 2 3 2" xfId="27015" xr:uid="{00000000-0005-0000-0000-00000E320000}"/>
    <cellStyle name="Normal 2 3 3 6 2 4" xfId="27012" xr:uid="{00000000-0005-0000-0000-00000F320000}"/>
    <cellStyle name="Normal 2 3 3 6 3" xfId="3513" xr:uid="{00000000-0005-0000-0000-000010320000}"/>
    <cellStyle name="Normal 2 3 3 6 3 2" xfId="3514" xr:uid="{00000000-0005-0000-0000-000011320000}"/>
    <cellStyle name="Normal 2 3 3 6 3 2 2" xfId="27017" xr:uid="{00000000-0005-0000-0000-000012320000}"/>
    <cellStyle name="Normal 2 3 3 6 3 3" xfId="27016" xr:uid="{00000000-0005-0000-0000-000013320000}"/>
    <cellStyle name="Normal 2 3 3 6 4" xfId="3515" xr:uid="{00000000-0005-0000-0000-000014320000}"/>
    <cellStyle name="Normal 2 3 3 6 4 2" xfId="27018" xr:uid="{00000000-0005-0000-0000-000015320000}"/>
    <cellStyle name="Normal 2 3 3 6 5" xfId="27011" xr:uid="{00000000-0005-0000-0000-000016320000}"/>
    <cellStyle name="Normal 2 3 3 7" xfId="3516" xr:uid="{00000000-0005-0000-0000-000017320000}"/>
    <cellStyle name="Normal 2 3 3 7 2" xfId="3517" xr:uid="{00000000-0005-0000-0000-000018320000}"/>
    <cellStyle name="Normal 2 3 3 7 2 2" xfId="3518" xr:uid="{00000000-0005-0000-0000-000019320000}"/>
    <cellStyle name="Normal 2 3 3 7 2 2 2" xfId="27021" xr:uid="{00000000-0005-0000-0000-00001A320000}"/>
    <cellStyle name="Normal 2 3 3 7 2 3" xfId="27020" xr:uid="{00000000-0005-0000-0000-00001B320000}"/>
    <cellStyle name="Normal 2 3 3 7 3" xfId="3519" xr:uid="{00000000-0005-0000-0000-00001C320000}"/>
    <cellStyle name="Normal 2 3 3 7 3 2" xfId="27022" xr:uid="{00000000-0005-0000-0000-00001D320000}"/>
    <cellStyle name="Normal 2 3 3 7 4" xfId="27019" xr:uid="{00000000-0005-0000-0000-00001E320000}"/>
    <cellStyle name="Normal 2 3 3 8" xfId="3520" xr:uid="{00000000-0005-0000-0000-00001F320000}"/>
    <cellStyle name="Normal 2 3 3 8 2" xfId="3521" xr:uid="{00000000-0005-0000-0000-000020320000}"/>
    <cellStyle name="Normal 2 3 3 8 2 2" xfId="27024" xr:uid="{00000000-0005-0000-0000-000021320000}"/>
    <cellStyle name="Normal 2 3 3 8 3" xfId="27023" xr:uid="{00000000-0005-0000-0000-000022320000}"/>
    <cellStyle name="Normal 2 3 3 9" xfId="3522" xr:uid="{00000000-0005-0000-0000-000023320000}"/>
    <cellStyle name="Normal 2 3 3 9 2" xfId="27025" xr:uid="{00000000-0005-0000-0000-000024320000}"/>
    <cellStyle name="Normal 2 3 4" xfId="3523" xr:uid="{00000000-0005-0000-0000-000025320000}"/>
    <cellStyle name="Normal 2 3 4 10" xfId="27026" xr:uid="{00000000-0005-0000-0000-000026320000}"/>
    <cellStyle name="Normal 2 3 4 2" xfId="3524" xr:uid="{00000000-0005-0000-0000-000027320000}"/>
    <cellStyle name="Normal 2 3 4 2 2" xfId="3525" xr:uid="{00000000-0005-0000-0000-000028320000}"/>
    <cellStyle name="Normal 2 3 4 2 2 2" xfId="3526" xr:uid="{00000000-0005-0000-0000-000029320000}"/>
    <cellStyle name="Normal 2 3 4 2 2 2 2" xfId="3527" xr:uid="{00000000-0005-0000-0000-00002A320000}"/>
    <cellStyle name="Normal 2 3 4 2 2 2 2 2" xfId="3528" xr:uid="{00000000-0005-0000-0000-00002B320000}"/>
    <cellStyle name="Normal 2 3 4 2 2 2 2 2 2" xfId="27031" xr:uid="{00000000-0005-0000-0000-00002C320000}"/>
    <cellStyle name="Normal 2 3 4 2 2 2 2 3" xfId="27030" xr:uid="{00000000-0005-0000-0000-00002D320000}"/>
    <cellStyle name="Normal 2 3 4 2 2 2 3" xfId="3529" xr:uid="{00000000-0005-0000-0000-00002E320000}"/>
    <cellStyle name="Normal 2 3 4 2 2 2 3 2" xfId="27032" xr:uid="{00000000-0005-0000-0000-00002F320000}"/>
    <cellStyle name="Normal 2 3 4 2 2 2 4" xfId="27029" xr:uid="{00000000-0005-0000-0000-000030320000}"/>
    <cellStyle name="Normal 2 3 4 2 2 3" xfId="3530" xr:uid="{00000000-0005-0000-0000-000031320000}"/>
    <cellStyle name="Normal 2 3 4 2 2 3 2" xfId="3531" xr:uid="{00000000-0005-0000-0000-000032320000}"/>
    <cellStyle name="Normal 2 3 4 2 2 3 2 2" xfId="27034" xr:uid="{00000000-0005-0000-0000-000033320000}"/>
    <cellStyle name="Normal 2 3 4 2 2 3 3" xfId="27033" xr:uid="{00000000-0005-0000-0000-000034320000}"/>
    <cellStyle name="Normal 2 3 4 2 2 4" xfId="3532" xr:uid="{00000000-0005-0000-0000-000035320000}"/>
    <cellStyle name="Normal 2 3 4 2 2 4 2" xfId="27035" xr:uid="{00000000-0005-0000-0000-000036320000}"/>
    <cellStyle name="Normal 2 3 4 2 2 5" xfId="27028" xr:uid="{00000000-0005-0000-0000-000037320000}"/>
    <cellStyle name="Normal 2 3 4 2 3" xfId="3533" xr:uid="{00000000-0005-0000-0000-000038320000}"/>
    <cellStyle name="Normal 2 3 4 2 3 2" xfId="3534" xr:uid="{00000000-0005-0000-0000-000039320000}"/>
    <cellStyle name="Normal 2 3 4 2 3 2 2" xfId="3535" xr:uid="{00000000-0005-0000-0000-00003A320000}"/>
    <cellStyle name="Normal 2 3 4 2 3 2 2 2" xfId="3536" xr:uid="{00000000-0005-0000-0000-00003B320000}"/>
    <cellStyle name="Normal 2 3 4 2 3 2 2 2 2" xfId="27039" xr:uid="{00000000-0005-0000-0000-00003C320000}"/>
    <cellStyle name="Normal 2 3 4 2 3 2 2 3" xfId="27038" xr:uid="{00000000-0005-0000-0000-00003D320000}"/>
    <cellStyle name="Normal 2 3 4 2 3 2 3" xfId="3537" xr:uid="{00000000-0005-0000-0000-00003E320000}"/>
    <cellStyle name="Normal 2 3 4 2 3 2 3 2" xfId="27040" xr:uid="{00000000-0005-0000-0000-00003F320000}"/>
    <cellStyle name="Normal 2 3 4 2 3 2 4" xfId="27037" xr:uid="{00000000-0005-0000-0000-000040320000}"/>
    <cellStyle name="Normal 2 3 4 2 3 3" xfId="3538" xr:uid="{00000000-0005-0000-0000-000041320000}"/>
    <cellStyle name="Normal 2 3 4 2 3 3 2" xfId="3539" xr:uid="{00000000-0005-0000-0000-000042320000}"/>
    <cellStyle name="Normal 2 3 4 2 3 3 2 2" xfId="27042" xr:uid="{00000000-0005-0000-0000-000043320000}"/>
    <cellStyle name="Normal 2 3 4 2 3 3 3" xfId="27041" xr:uid="{00000000-0005-0000-0000-000044320000}"/>
    <cellStyle name="Normal 2 3 4 2 3 4" xfId="3540" xr:uid="{00000000-0005-0000-0000-000045320000}"/>
    <cellStyle name="Normal 2 3 4 2 3 4 2" xfId="27043" xr:uid="{00000000-0005-0000-0000-000046320000}"/>
    <cellStyle name="Normal 2 3 4 2 3 5" xfId="27036" xr:uid="{00000000-0005-0000-0000-000047320000}"/>
    <cellStyle name="Normal 2 3 4 2 4" xfId="3541" xr:uid="{00000000-0005-0000-0000-000048320000}"/>
    <cellStyle name="Normal 2 3 4 2 4 2" xfId="3542" xr:uid="{00000000-0005-0000-0000-000049320000}"/>
    <cellStyle name="Normal 2 3 4 2 4 2 2" xfId="3543" xr:uid="{00000000-0005-0000-0000-00004A320000}"/>
    <cellStyle name="Normal 2 3 4 2 4 2 2 2" xfId="27046" xr:uid="{00000000-0005-0000-0000-00004B320000}"/>
    <cellStyle name="Normal 2 3 4 2 4 2 3" xfId="27045" xr:uid="{00000000-0005-0000-0000-00004C320000}"/>
    <cellStyle name="Normal 2 3 4 2 4 3" xfId="3544" xr:uid="{00000000-0005-0000-0000-00004D320000}"/>
    <cellStyle name="Normal 2 3 4 2 4 3 2" xfId="27047" xr:uid="{00000000-0005-0000-0000-00004E320000}"/>
    <cellStyle name="Normal 2 3 4 2 4 4" xfId="27044" xr:uid="{00000000-0005-0000-0000-00004F320000}"/>
    <cellStyle name="Normal 2 3 4 2 5" xfId="3545" xr:uid="{00000000-0005-0000-0000-000050320000}"/>
    <cellStyle name="Normal 2 3 4 2 5 2" xfId="3546" xr:uid="{00000000-0005-0000-0000-000051320000}"/>
    <cellStyle name="Normal 2 3 4 2 5 2 2" xfId="27049" xr:uid="{00000000-0005-0000-0000-000052320000}"/>
    <cellStyle name="Normal 2 3 4 2 5 3" xfId="27048" xr:uid="{00000000-0005-0000-0000-000053320000}"/>
    <cellStyle name="Normal 2 3 4 2 6" xfId="3547" xr:uid="{00000000-0005-0000-0000-000054320000}"/>
    <cellStyle name="Normal 2 3 4 2 6 2" xfId="27050" xr:uid="{00000000-0005-0000-0000-000055320000}"/>
    <cellStyle name="Normal 2 3 4 2 7" xfId="27027" xr:uid="{00000000-0005-0000-0000-000056320000}"/>
    <cellStyle name="Normal 2 3 4 3" xfId="3548" xr:uid="{00000000-0005-0000-0000-000057320000}"/>
    <cellStyle name="Normal 2 3 4 3 2" xfId="3549" xr:uid="{00000000-0005-0000-0000-000058320000}"/>
    <cellStyle name="Normal 2 3 4 3 2 2" xfId="3550" xr:uid="{00000000-0005-0000-0000-000059320000}"/>
    <cellStyle name="Normal 2 3 4 3 2 2 2" xfId="3551" xr:uid="{00000000-0005-0000-0000-00005A320000}"/>
    <cellStyle name="Normal 2 3 4 3 2 2 2 2" xfId="3552" xr:uid="{00000000-0005-0000-0000-00005B320000}"/>
    <cellStyle name="Normal 2 3 4 3 2 2 2 2 2" xfId="27055" xr:uid="{00000000-0005-0000-0000-00005C320000}"/>
    <cellStyle name="Normal 2 3 4 3 2 2 2 3" xfId="27054" xr:uid="{00000000-0005-0000-0000-00005D320000}"/>
    <cellStyle name="Normal 2 3 4 3 2 2 3" xfId="3553" xr:uid="{00000000-0005-0000-0000-00005E320000}"/>
    <cellStyle name="Normal 2 3 4 3 2 2 3 2" xfId="27056" xr:uid="{00000000-0005-0000-0000-00005F320000}"/>
    <cellStyle name="Normal 2 3 4 3 2 2 4" xfId="27053" xr:uid="{00000000-0005-0000-0000-000060320000}"/>
    <cellStyle name="Normal 2 3 4 3 2 3" xfId="3554" xr:uid="{00000000-0005-0000-0000-000061320000}"/>
    <cellStyle name="Normal 2 3 4 3 2 3 2" xfId="3555" xr:uid="{00000000-0005-0000-0000-000062320000}"/>
    <cellStyle name="Normal 2 3 4 3 2 3 2 2" xfId="27058" xr:uid="{00000000-0005-0000-0000-000063320000}"/>
    <cellStyle name="Normal 2 3 4 3 2 3 3" xfId="27057" xr:uid="{00000000-0005-0000-0000-000064320000}"/>
    <cellStyle name="Normal 2 3 4 3 2 4" xfId="3556" xr:uid="{00000000-0005-0000-0000-000065320000}"/>
    <cellStyle name="Normal 2 3 4 3 2 4 2" xfId="27059" xr:uid="{00000000-0005-0000-0000-000066320000}"/>
    <cellStyle name="Normal 2 3 4 3 2 5" xfId="27052" xr:uid="{00000000-0005-0000-0000-000067320000}"/>
    <cellStyle name="Normal 2 3 4 3 3" xfId="3557" xr:uid="{00000000-0005-0000-0000-000068320000}"/>
    <cellStyle name="Normal 2 3 4 3 3 2" xfId="3558" xr:uid="{00000000-0005-0000-0000-000069320000}"/>
    <cellStyle name="Normal 2 3 4 3 3 2 2" xfId="3559" xr:uid="{00000000-0005-0000-0000-00006A320000}"/>
    <cellStyle name="Normal 2 3 4 3 3 2 2 2" xfId="3560" xr:uid="{00000000-0005-0000-0000-00006B320000}"/>
    <cellStyle name="Normal 2 3 4 3 3 2 2 2 2" xfId="27063" xr:uid="{00000000-0005-0000-0000-00006C320000}"/>
    <cellStyle name="Normal 2 3 4 3 3 2 2 3" xfId="27062" xr:uid="{00000000-0005-0000-0000-00006D320000}"/>
    <cellStyle name="Normal 2 3 4 3 3 2 3" xfId="3561" xr:uid="{00000000-0005-0000-0000-00006E320000}"/>
    <cellStyle name="Normal 2 3 4 3 3 2 3 2" xfId="27064" xr:uid="{00000000-0005-0000-0000-00006F320000}"/>
    <cellStyle name="Normal 2 3 4 3 3 2 4" xfId="27061" xr:uid="{00000000-0005-0000-0000-000070320000}"/>
    <cellStyle name="Normal 2 3 4 3 3 3" xfId="3562" xr:uid="{00000000-0005-0000-0000-000071320000}"/>
    <cellStyle name="Normal 2 3 4 3 3 3 2" xfId="3563" xr:uid="{00000000-0005-0000-0000-000072320000}"/>
    <cellStyle name="Normal 2 3 4 3 3 3 2 2" xfId="27066" xr:uid="{00000000-0005-0000-0000-000073320000}"/>
    <cellStyle name="Normal 2 3 4 3 3 3 3" xfId="27065" xr:uid="{00000000-0005-0000-0000-000074320000}"/>
    <cellStyle name="Normal 2 3 4 3 3 4" xfId="3564" xr:uid="{00000000-0005-0000-0000-000075320000}"/>
    <cellStyle name="Normal 2 3 4 3 3 4 2" xfId="27067" xr:uid="{00000000-0005-0000-0000-000076320000}"/>
    <cellStyle name="Normal 2 3 4 3 3 5" xfId="27060" xr:uid="{00000000-0005-0000-0000-000077320000}"/>
    <cellStyle name="Normal 2 3 4 3 4" xfId="3565" xr:uid="{00000000-0005-0000-0000-000078320000}"/>
    <cellStyle name="Normal 2 3 4 3 4 2" xfId="3566" xr:uid="{00000000-0005-0000-0000-000079320000}"/>
    <cellStyle name="Normal 2 3 4 3 4 2 2" xfId="3567" xr:uid="{00000000-0005-0000-0000-00007A320000}"/>
    <cellStyle name="Normal 2 3 4 3 4 2 2 2" xfId="27070" xr:uid="{00000000-0005-0000-0000-00007B320000}"/>
    <cellStyle name="Normal 2 3 4 3 4 2 3" xfId="27069" xr:uid="{00000000-0005-0000-0000-00007C320000}"/>
    <cellStyle name="Normal 2 3 4 3 4 3" xfId="3568" xr:uid="{00000000-0005-0000-0000-00007D320000}"/>
    <cellStyle name="Normal 2 3 4 3 4 3 2" xfId="27071" xr:uid="{00000000-0005-0000-0000-00007E320000}"/>
    <cellStyle name="Normal 2 3 4 3 4 4" xfId="27068" xr:uid="{00000000-0005-0000-0000-00007F320000}"/>
    <cellStyle name="Normal 2 3 4 3 5" xfId="3569" xr:uid="{00000000-0005-0000-0000-000080320000}"/>
    <cellStyle name="Normal 2 3 4 3 5 2" xfId="3570" xr:uid="{00000000-0005-0000-0000-000081320000}"/>
    <cellStyle name="Normal 2 3 4 3 5 2 2" xfId="27073" xr:uid="{00000000-0005-0000-0000-000082320000}"/>
    <cellStyle name="Normal 2 3 4 3 5 3" xfId="27072" xr:uid="{00000000-0005-0000-0000-000083320000}"/>
    <cellStyle name="Normal 2 3 4 3 6" xfId="3571" xr:uid="{00000000-0005-0000-0000-000084320000}"/>
    <cellStyle name="Normal 2 3 4 3 6 2" xfId="27074" xr:uid="{00000000-0005-0000-0000-000085320000}"/>
    <cellStyle name="Normal 2 3 4 3 7" xfId="27051" xr:uid="{00000000-0005-0000-0000-000086320000}"/>
    <cellStyle name="Normal 2 3 4 4" xfId="3572" xr:uid="{00000000-0005-0000-0000-000087320000}"/>
    <cellStyle name="Normal 2 3 4 4 2" xfId="3573" xr:uid="{00000000-0005-0000-0000-000088320000}"/>
    <cellStyle name="Normal 2 3 4 4 2 2" xfId="3574" xr:uid="{00000000-0005-0000-0000-000089320000}"/>
    <cellStyle name="Normal 2 3 4 4 2 2 2" xfId="3575" xr:uid="{00000000-0005-0000-0000-00008A320000}"/>
    <cellStyle name="Normal 2 3 4 4 2 2 2 2" xfId="3576" xr:uid="{00000000-0005-0000-0000-00008B320000}"/>
    <cellStyle name="Normal 2 3 4 4 2 2 2 2 2" xfId="27079" xr:uid="{00000000-0005-0000-0000-00008C320000}"/>
    <cellStyle name="Normal 2 3 4 4 2 2 2 3" xfId="27078" xr:uid="{00000000-0005-0000-0000-00008D320000}"/>
    <cellStyle name="Normal 2 3 4 4 2 2 3" xfId="3577" xr:uid="{00000000-0005-0000-0000-00008E320000}"/>
    <cellStyle name="Normal 2 3 4 4 2 2 3 2" xfId="27080" xr:uid="{00000000-0005-0000-0000-00008F320000}"/>
    <cellStyle name="Normal 2 3 4 4 2 2 4" xfId="27077" xr:uid="{00000000-0005-0000-0000-000090320000}"/>
    <cellStyle name="Normal 2 3 4 4 2 3" xfId="3578" xr:uid="{00000000-0005-0000-0000-000091320000}"/>
    <cellStyle name="Normal 2 3 4 4 2 3 2" xfId="3579" xr:uid="{00000000-0005-0000-0000-000092320000}"/>
    <cellStyle name="Normal 2 3 4 4 2 3 2 2" xfId="27082" xr:uid="{00000000-0005-0000-0000-000093320000}"/>
    <cellStyle name="Normal 2 3 4 4 2 3 3" xfId="27081" xr:uid="{00000000-0005-0000-0000-000094320000}"/>
    <cellStyle name="Normal 2 3 4 4 2 4" xfId="3580" xr:uid="{00000000-0005-0000-0000-000095320000}"/>
    <cellStyle name="Normal 2 3 4 4 2 4 2" xfId="27083" xr:uid="{00000000-0005-0000-0000-000096320000}"/>
    <cellStyle name="Normal 2 3 4 4 2 5" xfId="27076" xr:uid="{00000000-0005-0000-0000-000097320000}"/>
    <cellStyle name="Normal 2 3 4 4 3" xfId="3581" xr:uid="{00000000-0005-0000-0000-000098320000}"/>
    <cellStyle name="Normal 2 3 4 4 3 2" xfId="3582" xr:uid="{00000000-0005-0000-0000-000099320000}"/>
    <cellStyle name="Normal 2 3 4 4 3 2 2" xfId="3583" xr:uid="{00000000-0005-0000-0000-00009A320000}"/>
    <cellStyle name="Normal 2 3 4 4 3 2 2 2" xfId="3584" xr:uid="{00000000-0005-0000-0000-00009B320000}"/>
    <cellStyle name="Normal 2 3 4 4 3 2 2 2 2" xfId="27087" xr:uid="{00000000-0005-0000-0000-00009C320000}"/>
    <cellStyle name="Normal 2 3 4 4 3 2 2 3" xfId="27086" xr:uid="{00000000-0005-0000-0000-00009D320000}"/>
    <cellStyle name="Normal 2 3 4 4 3 2 3" xfId="3585" xr:uid="{00000000-0005-0000-0000-00009E320000}"/>
    <cellStyle name="Normal 2 3 4 4 3 2 3 2" xfId="27088" xr:uid="{00000000-0005-0000-0000-00009F320000}"/>
    <cellStyle name="Normal 2 3 4 4 3 2 4" xfId="27085" xr:uid="{00000000-0005-0000-0000-0000A0320000}"/>
    <cellStyle name="Normal 2 3 4 4 3 3" xfId="3586" xr:uid="{00000000-0005-0000-0000-0000A1320000}"/>
    <cellStyle name="Normal 2 3 4 4 3 3 2" xfId="3587" xr:uid="{00000000-0005-0000-0000-0000A2320000}"/>
    <cellStyle name="Normal 2 3 4 4 3 3 2 2" xfId="27090" xr:uid="{00000000-0005-0000-0000-0000A3320000}"/>
    <cellStyle name="Normal 2 3 4 4 3 3 3" xfId="27089" xr:uid="{00000000-0005-0000-0000-0000A4320000}"/>
    <cellStyle name="Normal 2 3 4 4 3 4" xfId="3588" xr:uid="{00000000-0005-0000-0000-0000A5320000}"/>
    <cellStyle name="Normal 2 3 4 4 3 4 2" xfId="27091" xr:uid="{00000000-0005-0000-0000-0000A6320000}"/>
    <cellStyle name="Normal 2 3 4 4 3 5" xfId="27084" xr:uid="{00000000-0005-0000-0000-0000A7320000}"/>
    <cellStyle name="Normal 2 3 4 4 4" xfId="3589" xr:uid="{00000000-0005-0000-0000-0000A8320000}"/>
    <cellStyle name="Normal 2 3 4 4 4 2" xfId="3590" xr:uid="{00000000-0005-0000-0000-0000A9320000}"/>
    <cellStyle name="Normal 2 3 4 4 4 2 2" xfId="3591" xr:uid="{00000000-0005-0000-0000-0000AA320000}"/>
    <cellStyle name="Normal 2 3 4 4 4 2 2 2" xfId="27094" xr:uid="{00000000-0005-0000-0000-0000AB320000}"/>
    <cellStyle name="Normal 2 3 4 4 4 2 3" xfId="27093" xr:uid="{00000000-0005-0000-0000-0000AC320000}"/>
    <cellStyle name="Normal 2 3 4 4 4 3" xfId="3592" xr:uid="{00000000-0005-0000-0000-0000AD320000}"/>
    <cellStyle name="Normal 2 3 4 4 4 3 2" xfId="27095" xr:uid="{00000000-0005-0000-0000-0000AE320000}"/>
    <cellStyle name="Normal 2 3 4 4 4 4" xfId="27092" xr:uid="{00000000-0005-0000-0000-0000AF320000}"/>
    <cellStyle name="Normal 2 3 4 4 5" xfId="3593" xr:uid="{00000000-0005-0000-0000-0000B0320000}"/>
    <cellStyle name="Normal 2 3 4 4 5 2" xfId="3594" xr:uid="{00000000-0005-0000-0000-0000B1320000}"/>
    <cellStyle name="Normal 2 3 4 4 5 2 2" xfId="27097" xr:uid="{00000000-0005-0000-0000-0000B2320000}"/>
    <cellStyle name="Normal 2 3 4 4 5 3" xfId="27096" xr:uid="{00000000-0005-0000-0000-0000B3320000}"/>
    <cellStyle name="Normal 2 3 4 4 6" xfId="3595" xr:uid="{00000000-0005-0000-0000-0000B4320000}"/>
    <cellStyle name="Normal 2 3 4 4 6 2" xfId="27098" xr:uid="{00000000-0005-0000-0000-0000B5320000}"/>
    <cellStyle name="Normal 2 3 4 4 7" xfId="27075" xr:uid="{00000000-0005-0000-0000-0000B6320000}"/>
    <cellStyle name="Normal 2 3 4 5" xfId="3596" xr:uid="{00000000-0005-0000-0000-0000B7320000}"/>
    <cellStyle name="Normal 2 3 4 5 2" xfId="3597" xr:uid="{00000000-0005-0000-0000-0000B8320000}"/>
    <cellStyle name="Normal 2 3 4 5 2 2" xfId="3598" xr:uid="{00000000-0005-0000-0000-0000B9320000}"/>
    <cellStyle name="Normal 2 3 4 5 2 2 2" xfId="3599" xr:uid="{00000000-0005-0000-0000-0000BA320000}"/>
    <cellStyle name="Normal 2 3 4 5 2 2 2 2" xfId="27102" xr:uid="{00000000-0005-0000-0000-0000BB320000}"/>
    <cellStyle name="Normal 2 3 4 5 2 2 3" xfId="27101" xr:uid="{00000000-0005-0000-0000-0000BC320000}"/>
    <cellStyle name="Normal 2 3 4 5 2 3" xfId="3600" xr:uid="{00000000-0005-0000-0000-0000BD320000}"/>
    <cellStyle name="Normal 2 3 4 5 2 3 2" xfId="27103" xr:uid="{00000000-0005-0000-0000-0000BE320000}"/>
    <cellStyle name="Normal 2 3 4 5 2 4" xfId="27100" xr:uid="{00000000-0005-0000-0000-0000BF320000}"/>
    <cellStyle name="Normal 2 3 4 5 3" xfId="3601" xr:uid="{00000000-0005-0000-0000-0000C0320000}"/>
    <cellStyle name="Normal 2 3 4 5 3 2" xfId="3602" xr:uid="{00000000-0005-0000-0000-0000C1320000}"/>
    <cellStyle name="Normal 2 3 4 5 3 2 2" xfId="27105" xr:uid="{00000000-0005-0000-0000-0000C2320000}"/>
    <cellStyle name="Normal 2 3 4 5 3 3" xfId="27104" xr:uid="{00000000-0005-0000-0000-0000C3320000}"/>
    <cellStyle name="Normal 2 3 4 5 4" xfId="3603" xr:uid="{00000000-0005-0000-0000-0000C4320000}"/>
    <cellStyle name="Normal 2 3 4 5 4 2" xfId="27106" xr:uid="{00000000-0005-0000-0000-0000C5320000}"/>
    <cellStyle name="Normal 2 3 4 5 5" xfId="27099" xr:uid="{00000000-0005-0000-0000-0000C6320000}"/>
    <cellStyle name="Normal 2 3 4 6" xfId="3604" xr:uid="{00000000-0005-0000-0000-0000C7320000}"/>
    <cellStyle name="Normal 2 3 4 6 2" xfId="3605" xr:uid="{00000000-0005-0000-0000-0000C8320000}"/>
    <cellStyle name="Normal 2 3 4 6 2 2" xfId="3606" xr:uid="{00000000-0005-0000-0000-0000C9320000}"/>
    <cellStyle name="Normal 2 3 4 6 2 2 2" xfId="3607" xr:uid="{00000000-0005-0000-0000-0000CA320000}"/>
    <cellStyle name="Normal 2 3 4 6 2 2 2 2" xfId="27110" xr:uid="{00000000-0005-0000-0000-0000CB320000}"/>
    <cellStyle name="Normal 2 3 4 6 2 2 3" xfId="27109" xr:uid="{00000000-0005-0000-0000-0000CC320000}"/>
    <cellStyle name="Normal 2 3 4 6 2 3" xfId="3608" xr:uid="{00000000-0005-0000-0000-0000CD320000}"/>
    <cellStyle name="Normal 2 3 4 6 2 3 2" xfId="27111" xr:uid="{00000000-0005-0000-0000-0000CE320000}"/>
    <cellStyle name="Normal 2 3 4 6 2 4" xfId="27108" xr:uid="{00000000-0005-0000-0000-0000CF320000}"/>
    <cellStyle name="Normal 2 3 4 6 3" xfId="3609" xr:uid="{00000000-0005-0000-0000-0000D0320000}"/>
    <cellStyle name="Normal 2 3 4 6 3 2" xfId="3610" xr:uid="{00000000-0005-0000-0000-0000D1320000}"/>
    <cellStyle name="Normal 2 3 4 6 3 2 2" xfId="27113" xr:uid="{00000000-0005-0000-0000-0000D2320000}"/>
    <cellStyle name="Normal 2 3 4 6 3 3" xfId="27112" xr:uid="{00000000-0005-0000-0000-0000D3320000}"/>
    <cellStyle name="Normal 2 3 4 6 4" xfId="3611" xr:uid="{00000000-0005-0000-0000-0000D4320000}"/>
    <cellStyle name="Normal 2 3 4 6 4 2" xfId="27114" xr:uid="{00000000-0005-0000-0000-0000D5320000}"/>
    <cellStyle name="Normal 2 3 4 6 5" xfId="27107" xr:uid="{00000000-0005-0000-0000-0000D6320000}"/>
    <cellStyle name="Normal 2 3 4 7" xfId="3612" xr:uid="{00000000-0005-0000-0000-0000D7320000}"/>
    <cellStyle name="Normal 2 3 4 7 2" xfId="3613" xr:uid="{00000000-0005-0000-0000-0000D8320000}"/>
    <cellStyle name="Normal 2 3 4 7 2 2" xfId="3614" xr:uid="{00000000-0005-0000-0000-0000D9320000}"/>
    <cellStyle name="Normal 2 3 4 7 2 2 2" xfId="27117" xr:uid="{00000000-0005-0000-0000-0000DA320000}"/>
    <cellStyle name="Normal 2 3 4 7 2 3" xfId="27116" xr:uid="{00000000-0005-0000-0000-0000DB320000}"/>
    <cellStyle name="Normal 2 3 4 7 3" xfId="3615" xr:uid="{00000000-0005-0000-0000-0000DC320000}"/>
    <cellStyle name="Normal 2 3 4 7 3 2" xfId="27118" xr:uid="{00000000-0005-0000-0000-0000DD320000}"/>
    <cellStyle name="Normal 2 3 4 7 4" xfId="27115" xr:uid="{00000000-0005-0000-0000-0000DE320000}"/>
    <cellStyle name="Normal 2 3 4 8" xfId="3616" xr:uid="{00000000-0005-0000-0000-0000DF320000}"/>
    <cellStyle name="Normal 2 3 4 8 2" xfId="3617" xr:uid="{00000000-0005-0000-0000-0000E0320000}"/>
    <cellStyle name="Normal 2 3 4 8 2 2" xfId="27120" xr:uid="{00000000-0005-0000-0000-0000E1320000}"/>
    <cellStyle name="Normal 2 3 4 8 3" xfId="27119" xr:uid="{00000000-0005-0000-0000-0000E2320000}"/>
    <cellStyle name="Normal 2 3 4 9" xfId="3618" xr:uid="{00000000-0005-0000-0000-0000E3320000}"/>
    <cellStyle name="Normal 2 3 4 9 2" xfId="27121" xr:uid="{00000000-0005-0000-0000-0000E4320000}"/>
    <cellStyle name="Normal 2 3 5" xfId="3619" xr:uid="{00000000-0005-0000-0000-0000E5320000}"/>
    <cellStyle name="Normal 2 3 5 2" xfId="3620" xr:uid="{00000000-0005-0000-0000-0000E6320000}"/>
    <cellStyle name="Normal 2 3 5 2 2" xfId="3621" xr:uid="{00000000-0005-0000-0000-0000E7320000}"/>
    <cellStyle name="Normal 2 3 5 2 2 2" xfId="3622" xr:uid="{00000000-0005-0000-0000-0000E8320000}"/>
    <cellStyle name="Normal 2 3 5 2 2 2 2" xfId="3623" xr:uid="{00000000-0005-0000-0000-0000E9320000}"/>
    <cellStyle name="Normal 2 3 5 2 2 2 2 2" xfId="27126" xr:uid="{00000000-0005-0000-0000-0000EA320000}"/>
    <cellStyle name="Normal 2 3 5 2 2 2 3" xfId="27125" xr:uid="{00000000-0005-0000-0000-0000EB320000}"/>
    <cellStyle name="Normal 2 3 5 2 2 3" xfId="3624" xr:uid="{00000000-0005-0000-0000-0000EC320000}"/>
    <cellStyle name="Normal 2 3 5 2 2 3 2" xfId="27127" xr:uid="{00000000-0005-0000-0000-0000ED320000}"/>
    <cellStyle name="Normal 2 3 5 2 2 4" xfId="27124" xr:uid="{00000000-0005-0000-0000-0000EE320000}"/>
    <cellStyle name="Normal 2 3 5 2 3" xfId="3625" xr:uid="{00000000-0005-0000-0000-0000EF320000}"/>
    <cellStyle name="Normal 2 3 5 2 3 2" xfId="3626" xr:uid="{00000000-0005-0000-0000-0000F0320000}"/>
    <cellStyle name="Normal 2 3 5 2 3 2 2" xfId="27129" xr:uid="{00000000-0005-0000-0000-0000F1320000}"/>
    <cellStyle name="Normal 2 3 5 2 3 3" xfId="27128" xr:uid="{00000000-0005-0000-0000-0000F2320000}"/>
    <cellStyle name="Normal 2 3 5 2 4" xfId="3627" xr:uid="{00000000-0005-0000-0000-0000F3320000}"/>
    <cellStyle name="Normal 2 3 5 2 4 2" xfId="27130" xr:uid="{00000000-0005-0000-0000-0000F4320000}"/>
    <cellStyle name="Normal 2 3 5 2 5" xfId="27123" xr:uid="{00000000-0005-0000-0000-0000F5320000}"/>
    <cellStyle name="Normal 2 3 5 3" xfId="3628" xr:uid="{00000000-0005-0000-0000-0000F6320000}"/>
    <cellStyle name="Normal 2 3 5 3 2" xfId="3629" xr:uid="{00000000-0005-0000-0000-0000F7320000}"/>
    <cellStyle name="Normal 2 3 5 3 2 2" xfId="3630" xr:uid="{00000000-0005-0000-0000-0000F8320000}"/>
    <cellStyle name="Normal 2 3 5 3 2 2 2" xfId="3631" xr:uid="{00000000-0005-0000-0000-0000F9320000}"/>
    <cellStyle name="Normal 2 3 5 3 2 2 2 2" xfId="27134" xr:uid="{00000000-0005-0000-0000-0000FA320000}"/>
    <cellStyle name="Normal 2 3 5 3 2 2 3" xfId="27133" xr:uid="{00000000-0005-0000-0000-0000FB320000}"/>
    <cellStyle name="Normal 2 3 5 3 2 3" xfId="3632" xr:uid="{00000000-0005-0000-0000-0000FC320000}"/>
    <cellStyle name="Normal 2 3 5 3 2 3 2" xfId="27135" xr:uid="{00000000-0005-0000-0000-0000FD320000}"/>
    <cellStyle name="Normal 2 3 5 3 2 4" xfId="27132" xr:uid="{00000000-0005-0000-0000-0000FE320000}"/>
    <cellStyle name="Normal 2 3 5 3 3" xfId="3633" xr:uid="{00000000-0005-0000-0000-0000FF320000}"/>
    <cellStyle name="Normal 2 3 5 3 3 2" xfId="3634" xr:uid="{00000000-0005-0000-0000-000000330000}"/>
    <cellStyle name="Normal 2 3 5 3 3 2 2" xfId="27137" xr:uid="{00000000-0005-0000-0000-000001330000}"/>
    <cellStyle name="Normal 2 3 5 3 3 3" xfId="27136" xr:uid="{00000000-0005-0000-0000-000002330000}"/>
    <cellStyle name="Normal 2 3 5 3 4" xfId="3635" xr:uid="{00000000-0005-0000-0000-000003330000}"/>
    <cellStyle name="Normal 2 3 5 3 4 2" xfId="27138" xr:uid="{00000000-0005-0000-0000-000004330000}"/>
    <cellStyle name="Normal 2 3 5 3 5" xfId="27131" xr:uid="{00000000-0005-0000-0000-000005330000}"/>
    <cellStyle name="Normal 2 3 5 4" xfId="3636" xr:uid="{00000000-0005-0000-0000-000006330000}"/>
    <cellStyle name="Normal 2 3 5 4 2" xfId="3637" xr:uid="{00000000-0005-0000-0000-000007330000}"/>
    <cellStyle name="Normal 2 3 5 4 2 2" xfId="3638" xr:uid="{00000000-0005-0000-0000-000008330000}"/>
    <cellStyle name="Normal 2 3 5 4 2 2 2" xfId="27141" xr:uid="{00000000-0005-0000-0000-000009330000}"/>
    <cellStyle name="Normal 2 3 5 4 2 3" xfId="27140" xr:uid="{00000000-0005-0000-0000-00000A330000}"/>
    <cellStyle name="Normal 2 3 5 4 3" xfId="3639" xr:uid="{00000000-0005-0000-0000-00000B330000}"/>
    <cellStyle name="Normal 2 3 5 4 3 2" xfId="27142" xr:uid="{00000000-0005-0000-0000-00000C330000}"/>
    <cellStyle name="Normal 2 3 5 4 4" xfId="27139" xr:uid="{00000000-0005-0000-0000-00000D330000}"/>
    <cellStyle name="Normal 2 3 5 5" xfId="3640" xr:uid="{00000000-0005-0000-0000-00000E330000}"/>
    <cellStyle name="Normal 2 3 5 5 2" xfId="3641" xr:uid="{00000000-0005-0000-0000-00000F330000}"/>
    <cellStyle name="Normal 2 3 5 5 2 2" xfId="27144" xr:uid="{00000000-0005-0000-0000-000010330000}"/>
    <cellStyle name="Normal 2 3 5 5 3" xfId="27143" xr:uid="{00000000-0005-0000-0000-000011330000}"/>
    <cellStyle name="Normal 2 3 5 6" xfId="3642" xr:uid="{00000000-0005-0000-0000-000012330000}"/>
    <cellStyle name="Normal 2 3 5 6 2" xfId="27145" xr:uid="{00000000-0005-0000-0000-000013330000}"/>
    <cellStyle name="Normal 2 3 5 7" xfId="27122" xr:uid="{00000000-0005-0000-0000-000014330000}"/>
    <cellStyle name="Normal 2 3 6" xfId="3643" xr:uid="{00000000-0005-0000-0000-000015330000}"/>
    <cellStyle name="Normal 2 3 6 2" xfId="3644" xr:uid="{00000000-0005-0000-0000-000016330000}"/>
    <cellStyle name="Normal 2 3 6 2 2" xfId="3645" xr:uid="{00000000-0005-0000-0000-000017330000}"/>
    <cellStyle name="Normal 2 3 6 2 2 2" xfId="3646" xr:uid="{00000000-0005-0000-0000-000018330000}"/>
    <cellStyle name="Normal 2 3 6 2 2 2 2" xfId="3647" xr:uid="{00000000-0005-0000-0000-000019330000}"/>
    <cellStyle name="Normal 2 3 6 2 2 2 2 2" xfId="27150" xr:uid="{00000000-0005-0000-0000-00001A330000}"/>
    <cellStyle name="Normal 2 3 6 2 2 2 3" xfId="27149" xr:uid="{00000000-0005-0000-0000-00001B330000}"/>
    <cellStyle name="Normal 2 3 6 2 2 3" xfId="3648" xr:uid="{00000000-0005-0000-0000-00001C330000}"/>
    <cellStyle name="Normal 2 3 6 2 2 3 2" xfId="27151" xr:uid="{00000000-0005-0000-0000-00001D330000}"/>
    <cellStyle name="Normal 2 3 6 2 2 4" xfId="27148" xr:uid="{00000000-0005-0000-0000-00001E330000}"/>
    <cellStyle name="Normal 2 3 6 2 3" xfId="3649" xr:uid="{00000000-0005-0000-0000-00001F330000}"/>
    <cellStyle name="Normal 2 3 6 2 3 2" xfId="3650" xr:uid="{00000000-0005-0000-0000-000020330000}"/>
    <cellStyle name="Normal 2 3 6 2 3 2 2" xfId="27153" xr:uid="{00000000-0005-0000-0000-000021330000}"/>
    <cellStyle name="Normal 2 3 6 2 3 3" xfId="27152" xr:uid="{00000000-0005-0000-0000-000022330000}"/>
    <cellStyle name="Normal 2 3 6 2 4" xfId="3651" xr:uid="{00000000-0005-0000-0000-000023330000}"/>
    <cellStyle name="Normal 2 3 6 2 4 2" xfId="27154" xr:uid="{00000000-0005-0000-0000-000024330000}"/>
    <cellStyle name="Normal 2 3 6 2 5" xfId="27147" xr:uid="{00000000-0005-0000-0000-000025330000}"/>
    <cellStyle name="Normal 2 3 6 3" xfId="3652" xr:uid="{00000000-0005-0000-0000-000026330000}"/>
    <cellStyle name="Normal 2 3 6 3 2" xfId="3653" xr:uid="{00000000-0005-0000-0000-000027330000}"/>
    <cellStyle name="Normal 2 3 6 3 2 2" xfId="3654" xr:uid="{00000000-0005-0000-0000-000028330000}"/>
    <cellStyle name="Normal 2 3 6 3 2 2 2" xfId="3655" xr:uid="{00000000-0005-0000-0000-000029330000}"/>
    <cellStyle name="Normal 2 3 6 3 2 2 2 2" xfId="27158" xr:uid="{00000000-0005-0000-0000-00002A330000}"/>
    <cellStyle name="Normal 2 3 6 3 2 2 3" xfId="27157" xr:uid="{00000000-0005-0000-0000-00002B330000}"/>
    <cellStyle name="Normal 2 3 6 3 2 3" xfId="3656" xr:uid="{00000000-0005-0000-0000-00002C330000}"/>
    <cellStyle name="Normal 2 3 6 3 2 3 2" xfId="27159" xr:uid="{00000000-0005-0000-0000-00002D330000}"/>
    <cellStyle name="Normal 2 3 6 3 2 4" xfId="27156" xr:uid="{00000000-0005-0000-0000-00002E330000}"/>
    <cellStyle name="Normal 2 3 6 3 3" xfId="3657" xr:uid="{00000000-0005-0000-0000-00002F330000}"/>
    <cellStyle name="Normal 2 3 6 3 3 2" xfId="3658" xr:uid="{00000000-0005-0000-0000-000030330000}"/>
    <cellStyle name="Normal 2 3 6 3 3 2 2" xfId="27161" xr:uid="{00000000-0005-0000-0000-000031330000}"/>
    <cellStyle name="Normal 2 3 6 3 3 3" xfId="27160" xr:uid="{00000000-0005-0000-0000-000032330000}"/>
    <cellStyle name="Normal 2 3 6 3 4" xfId="3659" xr:uid="{00000000-0005-0000-0000-000033330000}"/>
    <cellStyle name="Normal 2 3 6 3 4 2" xfId="27162" xr:uid="{00000000-0005-0000-0000-000034330000}"/>
    <cellStyle name="Normal 2 3 6 3 5" xfId="27155" xr:uid="{00000000-0005-0000-0000-000035330000}"/>
    <cellStyle name="Normal 2 3 6 4" xfId="3660" xr:uid="{00000000-0005-0000-0000-000036330000}"/>
    <cellStyle name="Normal 2 3 6 4 2" xfId="3661" xr:uid="{00000000-0005-0000-0000-000037330000}"/>
    <cellStyle name="Normal 2 3 6 4 2 2" xfId="3662" xr:uid="{00000000-0005-0000-0000-000038330000}"/>
    <cellStyle name="Normal 2 3 6 4 2 2 2" xfId="27165" xr:uid="{00000000-0005-0000-0000-000039330000}"/>
    <cellStyle name="Normal 2 3 6 4 2 3" xfId="27164" xr:uid="{00000000-0005-0000-0000-00003A330000}"/>
    <cellStyle name="Normal 2 3 6 4 3" xfId="3663" xr:uid="{00000000-0005-0000-0000-00003B330000}"/>
    <cellStyle name="Normal 2 3 6 4 3 2" xfId="27166" xr:uid="{00000000-0005-0000-0000-00003C330000}"/>
    <cellStyle name="Normal 2 3 6 4 4" xfId="27163" xr:uid="{00000000-0005-0000-0000-00003D330000}"/>
    <cellStyle name="Normal 2 3 6 5" xfId="3664" xr:uid="{00000000-0005-0000-0000-00003E330000}"/>
    <cellStyle name="Normal 2 3 6 5 2" xfId="3665" xr:uid="{00000000-0005-0000-0000-00003F330000}"/>
    <cellStyle name="Normal 2 3 6 5 2 2" xfId="27168" xr:uid="{00000000-0005-0000-0000-000040330000}"/>
    <cellStyle name="Normal 2 3 6 5 3" xfId="27167" xr:uid="{00000000-0005-0000-0000-000041330000}"/>
    <cellStyle name="Normal 2 3 6 6" xfId="3666" xr:uid="{00000000-0005-0000-0000-000042330000}"/>
    <cellStyle name="Normal 2 3 6 6 2" xfId="27169" xr:uid="{00000000-0005-0000-0000-000043330000}"/>
    <cellStyle name="Normal 2 3 6 7" xfId="27146" xr:uid="{00000000-0005-0000-0000-000044330000}"/>
    <cellStyle name="Normal 2 3 7" xfId="3667" xr:uid="{00000000-0005-0000-0000-000045330000}"/>
    <cellStyle name="Normal 2 3 7 2" xfId="3668" xr:uid="{00000000-0005-0000-0000-000046330000}"/>
    <cellStyle name="Normal 2 3 7 2 2" xfId="3669" xr:uid="{00000000-0005-0000-0000-000047330000}"/>
    <cellStyle name="Normal 2 3 7 2 2 2" xfId="3670" xr:uid="{00000000-0005-0000-0000-000048330000}"/>
    <cellStyle name="Normal 2 3 7 2 2 2 2" xfId="3671" xr:uid="{00000000-0005-0000-0000-000049330000}"/>
    <cellStyle name="Normal 2 3 7 2 2 2 2 2" xfId="27174" xr:uid="{00000000-0005-0000-0000-00004A330000}"/>
    <cellStyle name="Normal 2 3 7 2 2 2 3" xfId="27173" xr:uid="{00000000-0005-0000-0000-00004B330000}"/>
    <cellStyle name="Normal 2 3 7 2 2 3" xfId="3672" xr:uid="{00000000-0005-0000-0000-00004C330000}"/>
    <cellStyle name="Normal 2 3 7 2 2 3 2" xfId="27175" xr:uid="{00000000-0005-0000-0000-00004D330000}"/>
    <cellStyle name="Normal 2 3 7 2 2 4" xfId="27172" xr:uid="{00000000-0005-0000-0000-00004E330000}"/>
    <cellStyle name="Normal 2 3 7 2 3" xfId="3673" xr:uid="{00000000-0005-0000-0000-00004F330000}"/>
    <cellStyle name="Normal 2 3 7 2 3 2" xfId="3674" xr:uid="{00000000-0005-0000-0000-000050330000}"/>
    <cellStyle name="Normal 2 3 7 2 3 2 2" xfId="27177" xr:uid="{00000000-0005-0000-0000-000051330000}"/>
    <cellStyle name="Normal 2 3 7 2 3 3" xfId="27176" xr:uid="{00000000-0005-0000-0000-000052330000}"/>
    <cellStyle name="Normal 2 3 7 2 4" xfId="3675" xr:uid="{00000000-0005-0000-0000-000053330000}"/>
    <cellStyle name="Normal 2 3 7 2 4 2" xfId="27178" xr:uid="{00000000-0005-0000-0000-000054330000}"/>
    <cellStyle name="Normal 2 3 7 2 5" xfId="27171" xr:uid="{00000000-0005-0000-0000-000055330000}"/>
    <cellStyle name="Normal 2 3 7 3" xfId="3676" xr:uid="{00000000-0005-0000-0000-000056330000}"/>
    <cellStyle name="Normal 2 3 7 3 2" xfId="3677" xr:uid="{00000000-0005-0000-0000-000057330000}"/>
    <cellStyle name="Normal 2 3 7 3 2 2" xfId="3678" xr:uid="{00000000-0005-0000-0000-000058330000}"/>
    <cellStyle name="Normal 2 3 7 3 2 2 2" xfId="3679" xr:uid="{00000000-0005-0000-0000-000059330000}"/>
    <cellStyle name="Normal 2 3 7 3 2 2 2 2" xfId="27182" xr:uid="{00000000-0005-0000-0000-00005A330000}"/>
    <cellStyle name="Normal 2 3 7 3 2 2 3" xfId="27181" xr:uid="{00000000-0005-0000-0000-00005B330000}"/>
    <cellStyle name="Normal 2 3 7 3 2 3" xfId="3680" xr:uid="{00000000-0005-0000-0000-00005C330000}"/>
    <cellStyle name="Normal 2 3 7 3 2 3 2" xfId="27183" xr:uid="{00000000-0005-0000-0000-00005D330000}"/>
    <cellStyle name="Normal 2 3 7 3 2 4" xfId="27180" xr:uid="{00000000-0005-0000-0000-00005E330000}"/>
    <cellStyle name="Normal 2 3 7 3 3" xfId="3681" xr:uid="{00000000-0005-0000-0000-00005F330000}"/>
    <cellStyle name="Normal 2 3 7 3 3 2" xfId="3682" xr:uid="{00000000-0005-0000-0000-000060330000}"/>
    <cellStyle name="Normal 2 3 7 3 3 2 2" xfId="27185" xr:uid="{00000000-0005-0000-0000-000061330000}"/>
    <cellStyle name="Normal 2 3 7 3 3 3" xfId="27184" xr:uid="{00000000-0005-0000-0000-000062330000}"/>
    <cellStyle name="Normal 2 3 7 3 4" xfId="3683" xr:uid="{00000000-0005-0000-0000-000063330000}"/>
    <cellStyle name="Normal 2 3 7 3 4 2" xfId="27186" xr:uid="{00000000-0005-0000-0000-000064330000}"/>
    <cellStyle name="Normal 2 3 7 3 5" xfId="27179" xr:uid="{00000000-0005-0000-0000-000065330000}"/>
    <cellStyle name="Normal 2 3 7 4" xfId="3684" xr:uid="{00000000-0005-0000-0000-000066330000}"/>
    <cellStyle name="Normal 2 3 7 4 2" xfId="3685" xr:uid="{00000000-0005-0000-0000-000067330000}"/>
    <cellStyle name="Normal 2 3 7 4 2 2" xfId="3686" xr:uid="{00000000-0005-0000-0000-000068330000}"/>
    <cellStyle name="Normal 2 3 7 4 2 2 2" xfId="27189" xr:uid="{00000000-0005-0000-0000-000069330000}"/>
    <cellStyle name="Normal 2 3 7 4 2 3" xfId="27188" xr:uid="{00000000-0005-0000-0000-00006A330000}"/>
    <cellStyle name="Normal 2 3 7 4 3" xfId="3687" xr:uid="{00000000-0005-0000-0000-00006B330000}"/>
    <cellStyle name="Normal 2 3 7 4 3 2" xfId="27190" xr:uid="{00000000-0005-0000-0000-00006C330000}"/>
    <cellStyle name="Normal 2 3 7 4 4" xfId="27187" xr:uid="{00000000-0005-0000-0000-00006D330000}"/>
    <cellStyle name="Normal 2 3 7 5" xfId="3688" xr:uid="{00000000-0005-0000-0000-00006E330000}"/>
    <cellStyle name="Normal 2 3 7 5 2" xfId="3689" xr:uid="{00000000-0005-0000-0000-00006F330000}"/>
    <cellStyle name="Normal 2 3 7 5 2 2" xfId="27192" xr:uid="{00000000-0005-0000-0000-000070330000}"/>
    <cellStyle name="Normal 2 3 7 5 3" xfId="27191" xr:uid="{00000000-0005-0000-0000-000071330000}"/>
    <cellStyle name="Normal 2 3 7 6" xfId="3690" xr:uid="{00000000-0005-0000-0000-000072330000}"/>
    <cellStyle name="Normal 2 3 7 6 2" xfId="27193" xr:uid="{00000000-0005-0000-0000-000073330000}"/>
    <cellStyle name="Normal 2 3 7 7" xfId="27170" xr:uid="{00000000-0005-0000-0000-000074330000}"/>
    <cellStyle name="Normal 2 3 8" xfId="3691" xr:uid="{00000000-0005-0000-0000-000075330000}"/>
    <cellStyle name="Normal 2 3 8 2" xfId="3692" xr:uid="{00000000-0005-0000-0000-000076330000}"/>
    <cellStyle name="Normal 2 3 8 2 2" xfId="3693" xr:uid="{00000000-0005-0000-0000-000077330000}"/>
    <cellStyle name="Normal 2 3 8 2 2 2" xfId="3694" xr:uid="{00000000-0005-0000-0000-000078330000}"/>
    <cellStyle name="Normal 2 3 8 2 2 2 2" xfId="27196" xr:uid="{00000000-0005-0000-0000-000079330000}"/>
    <cellStyle name="Normal 2 3 8 2 2 3" xfId="27195" xr:uid="{00000000-0005-0000-0000-00007A330000}"/>
    <cellStyle name="Normal 2 3 8 2 3" xfId="3695" xr:uid="{00000000-0005-0000-0000-00007B330000}"/>
    <cellStyle name="Normal 2 3 8 2 3 2" xfId="27197" xr:uid="{00000000-0005-0000-0000-00007C330000}"/>
    <cellStyle name="Normal 2 3 8 2 4" xfId="27194" xr:uid="{00000000-0005-0000-0000-00007D330000}"/>
    <cellStyle name="Normal 2 3 8 3" xfId="3696" xr:uid="{00000000-0005-0000-0000-00007E330000}"/>
    <cellStyle name="Normal 2 3 8 3 2" xfId="3697" xr:uid="{00000000-0005-0000-0000-00007F330000}"/>
    <cellStyle name="Normal 2 3 8 3 2 2" xfId="27199" xr:uid="{00000000-0005-0000-0000-000080330000}"/>
    <cellStyle name="Normal 2 3 8 3 3" xfId="27198" xr:uid="{00000000-0005-0000-0000-000081330000}"/>
    <cellStyle name="Normal 2 3 9" xfId="3698" xr:uid="{00000000-0005-0000-0000-000082330000}"/>
    <cellStyle name="Normal 2 3 9 2" xfId="3699" xr:uid="{00000000-0005-0000-0000-000083330000}"/>
    <cellStyle name="Normal 2 3 9 2 2" xfId="3700" xr:uid="{00000000-0005-0000-0000-000084330000}"/>
    <cellStyle name="Normal 2 3 9 2 2 2" xfId="3701" xr:uid="{00000000-0005-0000-0000-000085330000}"/>
    <cellStyle name="Normal 2 3 9 2 2 2 2" xfId="27203" xr:uid="{00000000-0005-0000-0000-000086330000}"/>
    <cellStyle name="Normal 2 3 9 2 2 3" xfId="27202" xr:uid="{00000000-0005-0000-0000-000087330000}"/>
    <cellStyle name="Normal 2 3 9 2 3" xfId="3702" xr:uid="{00000000-0005-0000-0000-000088330000}"/>
    <cellStyle name="Normal 2 3 9 2 3 2" xfId="27204" xr:uid="{00000000-0005-0000-0000-000089330000}"/>
    <cellStyle name="Normal 2 3 9 2 4" xfId="27201" xr:uid="{00000000-0005-0000-0000-00008A330000}"/>
    <cellStyle name="Normal 2 3 9 3" xfId="3703" xr:uid="{00000000-0005-0000-0000-00008B330000}"/>
    <cellStyle name="Normal 2 3 9 3 2" xfId="3704" xr:uid="{00000000-0005-0000-0000-00008C330000}"/>
    <cellStyle name="Normal 2 3 9 3 2 2" xfId="27206" xr:uid="{00000000-0005-0000-0000-00008D330000}"/>
    <cellStyle name="Normal 2 3 9 3 3" xfId="27205" xr:uid="{00000000-0005-0000-0000-00008E330000}"/>
    <cellStyle name="Normal 2 3 9 4" xfId="3705" xr:uid="{00000000-0005-0000-0000-00008F330000}"/>
    <cellStyle name="Normal 2 3 9 4 2" xfId="27207" xr:uid="{00000000-0005-0000-0000-000090330000}"/>
    <cellStyle name="Normal 2 3 9 5" xfId="27200" xr:uid="{00000000-0005-0000-0000-000091330000}"/>
    <cellStyle name="Normal 2 4" xfId="101" xr:uid="{00000000-0005-0000-0000-000092330000}"/>
    <cellStyle name="Normal 2 4 10" xfId="3706" xr:uid="{00000000-0005-0000-0000-000093330000}"/>
    <cellStyle name="Normal 2 4 10 2" xfId="27208" xr:uid="{00000000-0005-0000-0000-000094330000}"/>
    <cellStyle name="Normal 2 4 2" xfId="3707" xr:uid="{00000000-0005-0000-0000-000095330000}"/>
    <cellStyle name="Normal 2 4 2 2" xfId="3708" xr:uid="{00000000-0005-0000-0000-000096330000}"/>
    <cellStyle name="Normal 2 4 2 2 2" xfId="3709" xr:uid="{00000000-0005-0000-0000-000097330000}"/>
    <cellStyle name="Normal 2 4 2 2 2 2" xfId="3710" xr:uid="{00000000-0005-0000-0000-000098330000}"/>
    <cellStyle name="Normal 2 4 2 2 2 2 2" xfId="3711" xr:uid="{00000000-0005-0000-0000-000099330000}"/>
    <cellStyle name="Normal 2 4 2 2 2 2 2 2" xfId="27213" xr:uid="{00000000-0005-0000-0000-00009A330000}"/>
    <cellStyle name="Normal 2 4 2 2 2 2 3" xfId="27212" xr:uid="{00000000-0005-0000-0000-00009B330000}"/>
    <cellStyle name="Normal 2 4 2 2 2 3" xfId="3712" xr:uid="{00000000-0005-0000-0000-00009C330000}"/>
    <cellStyle name="Normal 2 4 2 2 2 3 2" xfId="27214" xr:uid="{00000000-0005-0000-0000-00009D330000}"/>
    <cellStyle name="Normal 2 4 2 2 2 4" xfId="27211" xr:uid="{00000000-0005-0000-0000-00009E330000}"/>
    <cellStyle name="Normal 2 4 2 2 3" xfId="3713" xr:uid="{00000000-0005-0000-0000-00009F330000}"/>
    <cellStyle name="Normal 2 4 2 2 3 2" xfId="3714" xr:uid="{00000000-0005-0000-0000-0000A0330000}"/>
    <cellStyle name="Normal 2 4 2 2 3 2 2" xfId="27216" xr:uid="{00000000-0005-0000-0000-0000A1330000}"/>
    <cellStyle name="Normal 2 4 2 2 3 3" xfId="27215" xr:uid="{00000000-0005-0000-0000-0000A2330000}"/>
    <cellStyle name="Normal 2 4 2 2 4" xfId="3715" xr:uid="{00000000-0005-0000-0000-0000A3330000}"/>
    <cellStyle name="Normal 2 4 2 2 4 2" xfId="27217" xr:uid="{00000000-0005-0000-0000-0000A4330000}"/>
    <cellStyle name="Normal 2 4 2 2 5" xfId="27210" xr:uid="{00000000-0005-0000-0000-0000A5330000}"/>
    <cellStyle name="Normal 2 4 2 3" xfId="3716" xr:uid="{00000000-0005-0000-0000-0000A6330000}"/>
    <cellStyle name="Normal 2 4 2 3 2" xfId="3717" xr:uid="{00000000-0005-0000-0000-0000A7330000}"/>
    <cellStyle name="Normal 2 4 2 3 2 2" xfId="3718" xr:uid="{00000000-0005-0000-0000-0000A8330000}"/>
    <cellStyle name="Normal 2 4 2 3 2 2 2" xfId="3719" xr:uid="{00000000-0005-0000-0000-0000A9330000}"/>
    <cellStyle name="Normal 2 4 2 3 2 2 2 2" xfId="27221" xr:uid="{00000000-0005-0000-0000-0000AA330000}"/>
    <cellStyle name="Normal 2 4 2 3 2 2 3" xfId="27220" xr:uid="{00000000-0005-0000-0000-0000AB330000}"/>
    <cellStyle name="Normal 2 4 2 3 2 3" xfId="3720" xr:uid="{00000000-0005-0000-0000-0000AC330000}"/>
    <cellStyle name="Normal 2 4 2 3 2 3 2" xfId="27222" xr:uid="{00000000-0005-0000-0000-0000AD330000}"/>
    <cellStyle name="Normal 2 4 2 3 2 4" xfId="27219" xr:uid="{00000000-0005-0000-0000-0000AE330000}"/>
    <cellStyle name="Normal 2 4 2 3 3" xfId="3721" xr:uid="{00000000-0005-0000-0000-0000AF330000}"/>
    <cellStyle name="Normal 2 4 2 3 3 2" xfId="3722" xr:uid="{00000000-0005-0000-0000-0000B0330000}"/>
    <cellStyle name="Normal 2 4 2 3 3 2 2" xfId="27224" xr:uid="{00000000-0005-0000-0000-0000B1330000}"/>
    <cellStyle name="Normal 2 4 2 3 3 3" xfId="27223" xr:uid="{00000000-0005-0000-0000-0000B2330000}"/>
    <cellStyle name="Normal 2 4 2 3 4" xfId="3723" xr:uid="{00000000-0005-0000-0000-0000B3330000}"/>
    <cellStyle name="Normal 2 4 2 3 4 2" xfId="27225" xr:uid="{00000000-0005-0000-0000-0000B4330000}"/>
    <cellStyle name="Normal 2 4 2 3 5" xfId="27218" xr:uid="{00000000-0005-0000-0000-0000B5330000}"/>
    <cellStyle name="Normal 2 4 2 4" xfId="3724" xr:uid="{00000000-0005-0000-0000-0000B6330000}"/>
    <cellStyle name="Normal 2 4 2 4 2" xfId="3725" xr:uid="{00000000-0005-0000-0000-0000B7330000}"/>
    <cellStyle name="Normal 2 4 2 4 2 2" xfId="3726" xr:uid="{00000000-0005-0000-0000-0000B8330000}"/>
    <cellStyle name="Normal 2 4 2 4 2 2 2" xfId="27228" xr:uid="{00000000-0005-0000-0000-0000B9330000}"/>
    <cellStyle name="Normal 2 4 2 4 2 3" xfId="27227" xr:uid="{00000000-0005-0000-0000-0000BA330000}"/>
    <cellStyle name="Normal 2 4 2 4 3" xfId="3727" xr:uid="{00000000-0005-0000-0000-0000BB330000}"/>
    <cellStyle name="Normal 2 4 2 4 3 2" xfId="27229" xr:uid="{00000000-0005-0000-0000-0000BC330000}"/>
    <cellStyle name="Normal 2 4 2 4 4" xfId="27226" xr:uid="{00000000-0005-0000-0000-0000BD330000}"/>
    <cellStyle name="Normal 2 4 2 5" xfId="3728" xr:uid="{00000000-0005-0000-0000-0000BE330000}"/>
    <cellStyle name="Normal 2 4 2 5 2" xfId="3729" xr:uid="{00000000-0005-0000-0000-0000BF330000}"/>
    <cellStyle name="Normal 2 4 2 5 2 2" xfId="27231" xr:uid="{00000000-0005-0000-0000-0000C0330000}"/>
    <cellStyle name="Normal 2 4 2 5 3" xfId="27230" xr:uid="{00000000-0005-0000-0000-0000C1330000}"/>
    <cellStyle name="Normal 2 4 2 6" xfId="3730" xr:uid="{00000000-0005-0000-0000-0000C2330000}"/>
    <cellStyle name="Normal 2 4 2 6 2" xfId="27232" xr:uid="{00000000-0005-0000-0000-0000C3330000}"/>
    <cellStyle name="Normal 2 4 2 7" xfId="27209" xr:uid="{00000000-0005-0000-0000-0000C4330000}"/>
    <cellStyle name="Normal 2 4 3" xfId="3731" xr:uid="{00000000-0005-0000-0000-0000C5330000}"/>
    <cellStyle name="Normal 2 4 3 2" xfId="3732" xr:uid="{00000000-0005-0000-0000-0000C6330000}"/>
    <cellStyle name="Normal 2 4 3 2 2" xfId="3733" xr:uid="{00000000-0005-0000-0000-0000C7330000}"/>
    <cellStyle name="Normal 2 4 3 2 2 2" xfId="3734" xr:uid="{00000000-0005-0000-0000-0000C8330000}"/>
    <cellStyle name="Normal 2 4 3 2 2 2 2" xfId="3735" xr:uid="{00000000-0005-0000-0000-0000C9330000}"/>
    <cellStyle name="Normal 2 4 3 2 2 2 2 2" xfId="27237" xr:uid="{00000000-0005-0000-0000-0000CA330000}"/>
    <cellStyle name="Normal 2 4 3 2 2 2 3" xfId="27236" xr:uid="{00000000-0005-0000-0000-0000CB330000}"/>
    <cellStyle name="Normal 2 4 3 2 2 3" xfId="3736" xr:uid="{00000000-0005-0000-0000-0000CC330000}"/>
    <cellStyle name="Normal 2 4 3 2 2 3 2" xfId="27238" xr:uid="{00000000-0005-0000-0000-0000CD330000}"/>
    <cellStyle name="Normal 2 4 3 2 2 4" xfId="27235" xr:uid="{00000000-0005-0000-0000-0000CE330000}"/>
    <cellStyle name="Normal 2 4 3 2 3" xfId="3737" xr:uid="{00000000-0005-0000-0000-0000CF330000}"/>
    <cellStyle name="Normal 2 4 3 2 3 2" xfId="3738" xr:uid="{00000000-0005-0000-0000-0000D0330000}"/>
    <cellStyle name="Normal 2 4 3 2 3 2 2" xfId="27240" xr:uid="{00000000-0005-0000-0000-0000D1330000}"/>
    <cellStyle name="Normal 2 4 3 2 3 3" xfId="27239" xr:uid="{00000000-0005-0000-0000-0000D2330000}"/>
    <cellStyle name="Normal 2 4 3 2 4" xfId="3739" xr:uid="{00000000-0005-0000-0000-0000D3330000}"/>
    <cellStyle name="Normal 2 4 3 2 4 2" xfId="27241" xr:uid="{00000000-0005-0000-0000-0000D4330000}"/>
    <cellStyle name="Normal 2 4 3 2 5" xfId="27234" xr:uid="{00000000-0005-0000-0000-0000D5330000}"/>
    <cellStyle name="Normal 2 4 3 3" xfId="3740" xr:uid="{00000000-0005-0000-0000-0000D6330000}"/>
    <cellStyle name="Normal 2 4 3 3 2" xfId="3741" xr:uid="{00000000-0005-0000-0000-0000D7330000}"/>
    <cellStyle name="Normal 2 4 3 3 2 2" xfId="3742" xr:uid="{00000000-0005-0000-0000-0000D8330000}"/>
    <cellStyle name="Normal 2 4 3 3 2 2 2" xfId="3743" xr:uid="{00000000-0005-0000-0000-0000D9330000}"/>
    <cellStyle name="Normal 2 4 3 3 2 2 2 2" xfId="27245" xr:uid="{00000000-0005-0000-0000-0000DA330000}"/>
    <cellStyle name="Normal 2 4 3 3 2 2 3" xfId="27244" xr:uid="{00000000-0005-0000-0000-0000DB330000}"/>
    <cellStyle name="Normal 2 4 3 3 2 3" xfId="3744" xr:uid="{00000000-0005-0000-0000-0000DC330000}"/>
    <cellStyle name="Normal 2 4 3 3 2 3 2" xfId="27246" xr:uid="{00000000-0005-0000-0000-0000DD330000}"/>
    <cellStyle name="Normal 2 4 3 3 2 4" xfId="27243" xr:uid="{00000000-0005-0000-0000-0000DE330000}"/>
    <cellStyle name="Normal 2 4 3 3 3" xfId="3745" xr:uid="{00000000-0005-0000-0000-0000DF330000}"/>
    <cellStyle name="Normal 2 4 3 3 3 2" xfId="3746" xr:uid="{00000000-0005-0000-0000-0000E0330000}"/>
    <cellStyle name="Normal 2 4 3 3 3 2 2" xfId="27248" xr:uid="{00000000-0005-0000-0000-0000E1330000}"/>
    <cellStyle name="Normal 2 4 3 3 3 3" xfId="27247" xr:uid="{00000000-0005-0000-0000-0000E2330000}"/>
    <cellStyle name="Normal 2 4 3 3 4" xfId="3747" xr:uid="{00000000-0005-0000-0000-0000E3330000}"/>
    <cellStyle name="Normal 2 4 3 3 4 2" xfId="27249" xr:uid="{00000000-0005-0000-0000-0000E4330000}"/>
    <cellStyle name="Normal 2 4 3 3 5" xfId="27242" xr:uid="{00000000-0005-0000-0000-0000E5330000}"/>
    <cellStyle name="Normal 2 4 3 4" xfId="3748" xr:uid="{00000000-0005-0000-0000-0000E6330000}"/>
    <cellStyle name="Normal 2 4 3 4 2" xfId="3749" xr:uid="{00000000-0005-0000-0000-0000E7330000}"/>
    <cellStyle name="Normal 2 4 3 4 2 2" xfId="3750" xr:uid="{00000000-0005-0000-0000-0000E8330000}"/>
    <cellStyle name="Normal 2 4 3 4 2 2 2" xfId="27252" xr:uid="{00000000-0005-0000-0000-0000E9330000}"/>
    <cellStyle name="Normal 2 4 3 4 2 3" xfId="27251" xr:uid="{00000000-0005-0000-0000-0000EA330000}"/>
    <cellStyle name="Normal 2 4 3 4 3" xfId="3751" xr:uid="{00000000-0005-0000-0000-0000EB330000}"/>
    <cellStyle name="Normal 2 4 3 4 3 2" xfId="27253" xr:uid="{00000000-0005-0000-0000-0000EC330000}"/>
    <cellStyle name="Normal 2 4 3 4 4" xfId="27250" xr:uid="{00000000-0005-0000-0000-0000ED330000}"/>
    <cellStyle name="Normal 2 4 3 5" xfId="3752" xr:uid="{00000000-0005-0000-0000-0000EE330000}"/>
    <cellStyle name="Normal 2 4 3 5 2" xfId="3753" xr:uid="{00000000-0005-0000-0000-0000EF330000}"/>
    <cellStyle name="Normal 2 4 3 5 2 2" xfId="27255" xr:uid="{00000000-0005-0000-0000-0000F0330000}"/>
    <cellStyle name="Normal 2 4 3 5 3" xfId="27254" xr:uid="{00000000-0005-0000-0000-0000F1330000}"/>
    <cellStyle name="Normal 2 4 3 6" xfId="3754" xr:uid="{00000000-0005-0000-0000-0000F2330000}"/>
    <cellStyle name="Normal 2 4 3 6 2" xfId="27256" xr:uid="{00000000-0005-0000-0000-0000F3330000}"/>
    <cellStyle name="Normal 2 4 3 7" xfId="27233" xr:uid="{00000000-0005-0000-0000-0000F4330000}"/>
    <cellStyle name="Normal 2 4 4" xfId="3755" xr:uid="{00000000-0005-0000-0000-0000F5330000}"/>
    <cellStyle name="Normal 2 4 4 2" xfId="3756" xr:uid="{00000000-0005-0000-0000-0000F6330000}"/>
    <cellStyle name="Normal 2 4 4 2 2" xfId="3757" xr:uid="{00000000-0005-0000-0000-0000F7330000}"/>
    <cellStyle name="Normal 2 4 4 2 2 2" xfId="3758" xr:uid="{00000000-0005-0000-0000-0000F8330000}"/>
    <cellStyle name="Normal 2 4 4 2 2 2 2" xfId="3759" xr:uid="{00000000-0005-0000-0000-0000F9330000}"/>
    <cellStyle name="Normal 2 4 4 2 2 2 2 2" xfId="27261" xr:uid="{00000000-0005-0000-0000-0000FA330000}"/>
    <cellStyle name="Normal 2 4 4 2 2 2 3" xfId="27260" xr:uid="{00000000-0005-0000-0000-0000FB330000}"/>
    <cellStyle name="Normal 2 4 4 2 2 3" xfId="3760" xr:uid="{00000000-0005-0000-0000-0000FC330000}"/>
    <cellStyle name="Normal 2 4 4 2 2 3 2" xfId="27262" xr:uid="{00000000-0005-0000-0000-0000FD330000}"/>
    <cellStyle name="Normal 2 4 4 2 2 4" xfId="27259" xr:uid="{00000000-0005-0000-0000-0000FE330000}"/>
    <cellStyle name="Normal 2 4 4 2 3" xfId="3761" xr:uid="{00000000-0005-0000-0000-0000FF330000}"/>
    <cellStyle name="Normal 2 4 4 2 3 2" xfId="3762" xr:uid="{00000000-0005-0000-0000-000000340000}"/>
    <cellStyle name="Normal 2 4 4 2 3 2 2" xfId="27264" xr:uid="{00000000-0005-0000-0000-000001340000}"/>
    <cellStyle name="Normal 2 4 4 2 3 3" xfId="27263" xr:uid="{00000000-0005-0000-0000-000002340000}"/>
    <cellStyle name="Normal 2 4 4 2 4" xfId="3763" xr:uid="{00000000-0005-0000-0000-000003340000}"/>
    <cellStyle name="Normal 2 4 4 2 4 2" xfId="27265" xr:uid="{00000000-0005-0000-0000-000004340000}"/>
    <cellStyle name="Normal 2 4 4 2 5" xfId="27258" xr:uid="{00000000-0005-0000-0000-000005340000}"/>
    <cellStyle name="Normal 2 4 4 3" xfId="3764" xr:uid="{00000000-0005-0000-0000-000006340000}"/>
    <cellStyle name="Normal 2 4 4 3 2" xfId="3765" xr:uid="{00000000-0005-0000-0000-000007340000}"/>
    <cellStyle name="Normal 2 4 4 3 2 2" xfId="3766" xr:uid="{00000000-0005-0000-0000-000008340000}"/>
    <cellStyle name="Normal 2 4 4 3 2 2 2" xfId="3767" xr:uid="{00000000-0005-0000-0000-000009340000}"/>
    <cellStyle name="Normal 2 4 4 3 2 2 2 2" xfId="27269" xr:uid="{00000000-0005-0000-0000-00000A340000}"/>
    <cellStyle name="Normal 2 4 4 3 2 2 3" xfId="27268" xr:uid="{00000000-0005-0000-0000-00000B340000}"/>
    <cellStyle name="Normal 2 4 4 3 2 3" xfId="3768" xr:uid="{00000000-0005-0000-0000-00000C340000}"/>
    <cellStyle name="Normal 2 4 4 3 2 3 2" xfId="27270" xr:uid="{00000000-0005-0000-0000-00000D340000}"/>
    <cellStyle name="Normal 2 4 4 3 2 4" xfId="27267" xr:uid="{00000000-0005-0000-0000-00000E340000}"/>
    <cellStyle name="Normal 2 4 4 3 3" xfId="3769" xr:uid="{00000000-0005-0000-0000-00000F340000}"/>
    <cellStyle name="Normal 2 4 4 3 3 2" xfId="3770" xr:uid="{00000000-0005-0000-0000-000010340000}"/>
    <cellStyle name="Normal 2 4 4 3 3 2 2" xfId="27272" xr:uid="{00000000-0005-0000-0000-000011340000}"/>
    <cellStyle name="Normal 2 4 4 3 3 3" xfId="27271" xr:uid="{00000000-0005-0000-0000-000012340000}"/>
    <cellStyle name="Normal 2 4 4 3 4" xfId="3771" xr:uid="{00000000-0005-0000-0000-000013340000}"/>
    <cellStyle name="Normal 2 4 4 3 4 2" xfId="27273" xr:uid="{00000000-0005-0000-0000-000014340000}"/>
    <cellStyle name="Normal 2 4 4 3 5" xfId="27266" xr:uid="{00000000-0005-0000-0000-000015340000}"/>
    <cellStyle name="Normal 2 4 4 4" xfId="3772" xr:uid="{00000000-0005-0000-0000-000016340000}"/>
    <cellStyle name="Normal 2 4 4 4 2" xfId="3773" xr:uid="{00000000-0005-0000-0000-000017340000}"/>
    <cellStyle name="Normal 2 4 4 4 2 2" xfId="3774" xr:uid="{00000000-0005-0000-0000-000018340000}"/>
    <cellStyle name="Normal 2 4 4 4 2 2 2" xfId="27276" xr:uid="{00000000-0005-0000-0000-000019340000}"/>
    <cellStyle name="Normal 2 4 4 4 2 3" xfId="27275" xr:uid="{00000000-0005-0000-0000-00001A340000}"/>
    <cellStyle name="Normal 2 4 4 4 3" xfId="3775" xr:uid="{00000000-0005-0000-0000-00001B340000}"/>
    <cellStyle name="Normal 2 4 4 4 3 2" xfId="27277" xr:uid="{00000000-0005-0000-0000-00001C340000}"/>
    <cellStyle name="Normal 2 4 4 4 4" xfId="27274" xr:uid="{00000000-0005-0000-0000-00001D340000}"/>
    <cellStyle name="Normal 2 4 4 5" xfId="3776" xr:uid="{00000000-0005-0000-0000-00001E340000}"/>
    <cellStyle name="Normal 2 4 4 5 2" xfId="3777" xr:uid="{00000000-0005-0000-0000-00001F340000}"/>
    <cellStyle name="Normal 2 4 4 5 2 2" xfId="27279" xr:uid="{00000000-0005-0000-0000-000020340000}"/>
    <cellStyle name="Normal 2 4 4 5 3" xfId="27278" xr:uid="{00000000-0005-0000-0000-000021340000}"/>
    <cellStyle name="Normal 2 4 4 6" xfId="3778" xr:uid="{00000000-0005-0000-0000-000022340000}"/>
    <cellStyle name="Normal 2 4 4 6 2" xfId="27280" xr:uid="{00000000-0005-0000-0000-000023340000}"/>
    <cellStyle name="Normal 2 4 4 7" xfId="27257" xr:uid="{00000000-0005-0000-0000-000024340000}"/>
    <cellStyle name="Normal 2 4 5" xfId="3779" xr:uid="{00000000-0005-0000-0000-000025340000}"/>
    <cellStyle name="Normal 2 4 5 2" xfId="3780" xr:uid="{00000000-0005-0000-0000-000026340000}"/>
    <cellStyle name="Normal 2 4 5 2 2" xfId="3781" xr:uid="{00000000-0005-0000-0000-000027340000}"/>
    <cellStyle name="Normal 2 4 5 2 2 2" xfId="3782" xr:uid="{00000000-0005-0000-0000-000028340000}"/>
    <cellStyle name="Normal 2 4 5 2 2 2 2" xfId="27283" xr:uid="{00000000-0005-0000-0000-000029340000}"/>
    <cellStyle name="Normal 2 4 5 2 2 3" xfId="27282" xr:uid="{00000000-0005-0000-0000-00002A340000}"/>
    <cellStyle name="Normal 2 4 5 2 3" xfId="3783" xr:uid="{00000000-0005-0000-0000-00002B340000}"/>
    <cellStyle name="Normal 2 4 5 2 3 2" xfId="27284" xr:uid="{00000000-0005-0000-0000-00002C340000}"/>
    <cellStyle name="Normal 2 4 5 2 4" xfId="27281" xr:uid="{00000000-0005-0000-0000-00002D340000}"/>
    <cellStyle name="Normal 2 4 5 3" xfId="3784" xr:uid="{00000000-0005-0000-0000-00002E340000}"/>
    <cellStyle name="Normal 2 4 5 3 2" xfId="3785" xr:uid="{00000000-0005-0000-0000-00002F340000}"/>
    <cellStyle name="Normal 2 4 5 3 2 2" xfId="27286" xr:uid="{00000000-0005-0000-0000-000030340000}"/>
    <cellStyle name="Normal 2 4 5 3 3" xfId="27285" xr:uid="{00000000-0005-0000-0000-000031340000}"/>
    <cellStyle name="Normal 2 4 6" xfId="3786" xr:uid="{00000000-0005-0000-0000-000032340000}"/>
    <cellStyle name="Normal 2 4 6 2" xfId="3787" xr:uid="{00000000-0005-0000-0000-000033340000}"/>
    <cellStyle name="Normal 2 4 6 2 2" xfId="3788" xr:uid="{00000000-0005-0000-0000-000034340000}"/>
    <cellStyle name="Normal 2 4 6 2 2 2" xfId="3789" xr:uid="{00000000-0005-0000-0000-000035340000}"/>
    <cellStyle name="Normal 2 4 6 2 2 2 2" xfId="27290" xr:uid="{00000000-0005-0000-0000-000036340000}"/>
    <cellStyle name="Normal 2 4 6 2 2 3" xfId="27289" xr:uid="{00000000-0005-0000-0000-000037340000}"/>
    <cellStyle name="Normal 2 4 6 2 3" xfId="3790" xr:uid="{00000000-0005-0000-0000-000038340000}"/>
    <cellStyle name="Normal 2 4 6 2 3 2" xfId="27291" xr:uid="{00000000-0005-0000-0000-000039340000}"/>
    <cellStyle name="Normal 2 4 6 2 4" xfId="27288" xr:uid="{00000000-0005-0000-0000-00003A340000}"/>
    <cellStyle name="Normal 2 4 6 3" xfId="3791" xr:uid="{00000000-0005-0000-0000-00003B340000}"/>
    <cellStyle name="Normal 2 4 6 3 2" xfId="3792" xr:uid="{00000000-0005-0000-0000-00003C340000}"/>
    <cellStyle name="Normal 2 4 6 3 2 2" xfId="27293" xr:uid="{00000000-0005-0000-0000-00003D340000}"/>
    <cellStyle name="Normal 2 4 6 3 3" xfId="27292" xr:uid="{00000000-0005-0000-0000-00003E340000}"/>
    <cellStyle name="Normal 2 4 6 4" xfId="3793" xr:uid="{00000000-0005-0000-0000-00003F340000}"/>
    <cellStyle name="Normal 2 4 6 4 2" xfId="27294" xr:uid="{00000000-0005-0000-0000-000040340000}"/>
    <cellStyle name="Normal 2 4 6 5" xfId="27287" xr:uid="{00000000-0005-0000-0000-000041340000}"/>
    <cellStyle name="Normal 2 4 7" xfId="3794" xr:uid="{00000000-0005-0000-0000-000042340000}"/>
    <cellStyle name="Normal 2 4 7 2" xfId="3795" xr:uid="{00000000-0005-0000-0000-000043340000}"/>
    <cellStyle name="Normal 2 4 7 2 2" xfId="3796" xr:uid="{00000000-0005-0000-0000-000044340000}"/>
    <cellStyle name="Normal 2 4 7 2 2 2" xfId="27297" xr:uid="{00000000-0005-0000-0000-000045340000}"/>
    <cellStyle name="Normal 2 4 7 2 3" xfId="27296" xr:uid="{00000000-0005-0000-0000-000046340000}"/>
    <cellStyle name="Normal 2 4 7 3" xfId="3797" xr:uid="{00000000-0005-0000-0000-000047340000}"/>
    <cellStyle name="Normal 2 4 7 3 2" xfId="27298" xr:uid="{00000000-0005-0000-0000-000048340000}"/>
    <cellStyle name="Normal 2 4 7 4" xfId="27295" xr:uid="{00000000-0005-0000-0000-000049340000}"/>
    <cellStyle name="Normal 2 4 8" xfId="3798" xr:uid="{00000000-0005-0000-0000-00004A340000}"/>
    <cellStyle name="Normal 2 4 8 2" xfId="3799" xr:uid="{00000000-0005-0000-0000-00004B340000}"/>
    <cellStyle name="Normal 2 4 8 2 2" xfId="27300" xr:uid="{00000000-0005-0000-0000-00004C340000}"/>
    <cellStyle name="Normal 2 4 8 3" xfId="27299" xr:uid="{00000000-0005-0000-0000-00004D340000}"/>
    <cellStyle name="Normal 2 4 9" xfId="3800" xr:uid="{00000000-0005-0000-0000-00004E340000}"/>
    <cellStyle name="Normal 2 4 9 2" xfId="27301" xr:uid="{00000000-0005-0000-0000-00004F340000}"/>
    <cellStyle name="Normal 2 5" xfId="102" xr:uid="{00000000-0005-0000-0000-000050340000}"/>
    <cellStyle name="Normal 2 5 10" xfId="3801" xr:uid="{00000000-0005-0000-0000-000051340000}"/>
    <cellStyle name="Normal 2 5 10 2" xfId="27302" xr:uid="{00000000-0005-0000-0000-000052340000}"/>
    <cellStyle name="Normal 2 5 2" xfId="3802" xr:uid="{00000000-0005-0000-0000-000053340000}"/>
    <cellStyle name="Normal 2 5 2 2" xfId="3803" xr:uid="{00000000-0005-0000-0000-000054340000}"/>
    <cellStyle name="Normal 2 5 2 2 2" xfId="3804" xr:uid="{00000000-0005-0000-0000-000055340000}"/>
    <cellStyle name="Normal 2 5 2 2 2 2" xfId="3805" xr:uid="{00000000-0005-0000-0000-000056340000}"/>
    <cellStyle name="Normal 2 5 2 2 2 2 2" xfId="3806" xr:uid="{00000000-0005-0000-0000-000057340000}"/>
    <cellStyle name="Normal 2 5 2 2 2 2 2 2" xfId="27307" xr:uid="{00000000-0005-0000-0000-000058340000}"/>
    <cellStyle name="Normal 2 5 2 2 2 2 3" xfId="27306" xr:uid="{00000000-0005-0000-0000-000059340000}"/>
    <cellStyle name="Normal 2 5 2 2 2 3" xfId="3807" xr:uid="{00000000-0005-0000-0000-00005A340000}"/>
    <cellStyle name="Normal 2 5 2 2 2 3 2" xfId="27308" xr:uid="{00000000-0005-0000-0000-00005B340000}"/>
    <cellStyle name="Normal 2 5 2 2 2 4" xfId="27305" xr:uid="{00000000-0005-0000-0000-00005C340000}"/>
    <cellStyle name="Normal 2 5 2 2 3" xfId="3808" xr:uid="{00000000-0005-0000-0000-00005D340000}"/>
    <cellStyle name="Normal 2 5 2 2 3 2" xfId="3809" xr:uid="{00000000-0005-0000-0000-00005E340000}"/>
    <cellStyle name="Normal 2 5 2 2 3 2 2" xfId="27310" xr:uid="{00000000-0005-0000-0000-00005F340000}"/>
    <cellStyle name="Normal 2 5 2 2 3 3" xfId="27309" xr:uid="{00000000-0005-0000-0000-000060340000}"/>
    <cellStyle name="Normal 2 5 2 2 4" xfId="3810" xr:uid="{00000000-0005-0000-0000-000061340000}"/>
    <cellStyle name="Normal 2 5 2 2 4 2" xfId="27311" xr:uid="{00000000-0005-0000-0000-000062340000}"/>
    <cellStyle name="Normal 2 5 2 2 5" xfId="27304" xr:uid="{00000000-0005-0000-0000-000063340000}"/>
    <cellStyle name="Normal 2 5 2 3" xfId="3811" xr:uid="{00000000-0005-0000-0000-000064340000}"/>
    <cellStyle name="Normal 2 5 2 3 2" xfId="3812" xr:uid="{00000000-0005-0000-0000-000065340000}"/>
    <cellStyle name="Normal 2 5 2 3 2 2" xfId="3813" xr:uid="{00000000-0005-0000-0000-000066340000}"/>
    <cellStyle name="Normal 2 5 2 3 2 2 2" xfId="3814" xr:uid="{00000000-0005-0000-0000-000067340000}"/>
    <cellStyle name="Normal 2 5 2 3 2 2 2 2" xfId="27315" xr:uid="{00000000-0005-0000-0000-000068340000}"/>
    <cellStyle name="Normal 2 5 2 3 2 2 3" xfId="27314" xr:uid="{00000000-0005-0000-0000-000069340000}"/>
    <cellStyle name="Normal 2 5 2 3 2 3" xfId="3815" xr:uid="{00000000-0005-0000-0000-00006A340000}"/>
    <cellStyle name="Normal 2 5 2 3 2 3 2" xfId="27316" xr:uid="{00000000-0005-0000-0000-00006B340000}"/>
    <cellStyle name="Normal 2 5 2 3 2 4" xfId="27313" xr:uid="{00000000-0005-0000-0000-00006C340000}"/>
    <cellStyle name="Normal 2 5 2 3 3" xfId="3816" xr:uid="{00000000-0005-0000-0000-00006D340000}"/>
    <cellStyle name="Normal 2 5 2 3 3 2" xfId="3817" xr:uid="{00000000-0005-0000-0000-00006E340000}"/>
    <cellStyle name="Normal 2 5 2 3 3 2 2" xfId="27318" xr:uid="{00000000-0005-0000-0000-00006F340000}"/>
    <cellStyle name="Normal 2 5 2 3 3 3" xfId="27317" xr:uid="{00000000-0005-0000-0000-000070340000}"/>
    <cellStyle name="Normal 2 5 2 3 4" xfId="3818" xr:uid="{00000000-0005-0000-0000-000071340000}"/>
    <cellStyle name="Normal 2 5 2 3 4 2" xfId="27319" xr:uid="{00000000-0005-0000-0000-000072340000}"/>
    <cellStyle name="Normal 2 5 2 3 5" xfId="27312" xr:uid="{00000000-0005-0000-0000-000073340000}"/>
    <cellStyle name="Normal 2 5 2 4" xfId="3819" xr:uid="{00000000-0005-0000-0000-000074340000}"/>
    <cellStyle name="Normal 2 5 2 4 2" xfId="3820" xr:uid="{00000000-0005-0000-0000-000075340000}"/>
    <cellStyle name="Normal 2 5 2 4 2 2" xfId="3821" xr:uid="{00000000-0005-0000-0000-000076340000}"/>
    <cellStyle name="Normal 2 5 2 4 2 2 2" xfId="27322" xr:uid="{00000000-0005-0000-0000-000077340000}"/>
    <cellStyle name="Normal 2 5 2 4 2 3" xfId="27321" xr:uid="{00000000-0005-0000-0000-000078340000}"/>
    <cellStyle name="Normal 2 5 2 4 3" xfId="3822" xr:uid="{00000000-0005-0000-0000-000079340000}"/>
    <cellStyle name="Normal 2 5 2 4 3 2" xfId="27323" xr:uid="{00000000-0005-0000-0000-00007A340000}"/>
    <cellStyle name="Normal 2 5 2 4 4" xfId="27320" xr:uid="{00000000-0005-0000-0000-00007B340000}"/>
    <cellStyle name="Normal 2 5 2 5" xfId="3823" xr:uid="{00000000-0005-0000-0000-00007C340000}"/>
    <cellStyle name="Normal 2 5 2 5 2" xfId="3824" xr:uid="{00000000-0005-0000-0000-00007D340000}"/>
    <cellStyle name="Normal 2 5 2 5 2 2" xfId="27325" xr:uid="{00000000-0005-0000-0000-00007E340000}"/>
    <cellStyle name="Normal 2 5 2 5 3" xfId="27324" xr:uid="{00000000-0005-0000-0000-00007F340000}"/>
    <cellStyle name="Normal 2 5 2 6" xfId="3825" xr:uid="{00000000-0005-0000-0000-000080340000}"/>
    <cellStyle name="Normal 2 5 2 6 2" xfId="27326" xr:uid="{00000000-0005-0000-0000-000081340000}"/>
    <cellStyle name="Normal 2 5 2 7" xfId="20793" xr:uid="{00000000-0005-0000-0000-000082340000}"/>
    <cellStyle name="Normal 2 5 2 8" xfId="27303" xr:uid="{00000000-0005-0000-0000-000083340000}"/>
    <cellStyle name="Normal 2 5 3" xfId="3826" xr:uid="{00000000-0005-0000-0000-000084340000}"/>
    <cellStyle name="Normal 2 5 3 2" xfId="3827" xr:uid="{00000000-0005-0000-0000-000085340000}"/>
    <cellStyle name="Normal 2 5 3 2 2" xfId="3828" xr:uid="{00000000-0005-0000-0000-000086340000}"/>
    <cellStyle name="Normal 2 5 3 2 2 2" xfId="3829" xr:uid="{00000000-0005-0000-0000-000087340000}"/>
    <cellStyle name="Normal 2 5 3 2 2 2 2" xfId="3830" xr:uid="{00000000-0005-0000-0000-000088340000}"/>
    <cellStyle name="Normal 2 5 3 2 2 2 2 2" xfId="27331" xr:uid="{00000000-0005-0000-0000-000089340000}"/>
    <cellStyle name="Normal 2 5 3 2 2 2 3" xfId="27330" xr:uid="{00000000-0005-0000-0000-00008A340000}"/>
    <cellStyle name="Normal 2 5 3 2 2 3" xfId="3831" xr:uid="{00000000-0005-0000-0000-00008B340000}"/>
    <cellStyle name="Normal 2 5 3 2 2 3 2" xfId="27332" xr:uid="{00000000-0005-0000-0000-00008C340000}"/>
    <cellStyle name="Normal 2 5 3 2 2 4" xfId="27329" xr:uid="{00000000-0005-0000-0000-00008D340000}"/>
    <cellStyle name="Normal 2 5 3 2 3" xfId="3832" xr:uid="{00000000-0005-0000-0000-00008E340000}"/>
    <cellStyle name="Normal 2 5 3 2 3 2" xfId="3833" xr:uid="{00000000-0005-0000-0000-00008F340000}"/>
    <cellStyle name="Normal 2 5 3 2 3 2 2" xfId="27334" xr:uid="{00000000-0005-0000-0000-000090340000}"/>
    <cellStyle name="Normal 2 5 3 2 3 3" xfId="27333" xr:uid="{00000000-0005-0000-0000-000091340000}"/>
    <cellStyle name="Normal 2 5 3 2 4" xfId="3834" xr:uid="{00000000-0005-0000-0000-000092340000}"/>
    <cellStyle name="Normal 2 5 3 2 4 2" xfId="27335" xr:uid="{00000000-0005-0000-0000-000093340000}"/>
    <cellStyle name="Normal 2 5 3 2 5" xfId="27328" xr:uid="{00000000-0005-0000-0000-000094340000}"/>
    <cellStyle name="Normal 2 5 3 3" xfId="3835" xr:uid="{00000000-0005-0000-0000-000095340000}"/>
    <cellStyle name="Normal 2 5 3 3 2" xfId="3836" xr:uid="{00000000-0005-0000-0000-000096340000}"/>
    <cellStyle name="Normal 2 5 3 3 2 2" xfId="3837" xr:uid="{00000000-0005-0000-0000-000097340000}"/>
    <cellStyle name="Normal 2 5 3 3 2 2 2" xfId="3838" xr:uid="{00000000-0005-0000-0000-000098340000}"/>
    <cellStyle name="Normal 2 5 3 3 2 2 2 2" xfId="27339" xr:uid="{00000000-0005-0000-0000-000099340000}"/>
    <cellStyle name="Normal 2 5 3 3 2 2 3" xfId="27338" xr:uid="{00000000-0005-0000-0000-00009A340000}"/>
    <cellStyle name="Normal 2 5 3 3 2 3" xfId="3839" xr:uid="{00000000-0005-0000-0000-00009B340000}"/>
    <cellStyle name="Normal 2 5 3 3 2 3 2" xfId="27340" xr:uid="{00000000-0005-0000-0000-00009C340000}"/>
    <cellStyle name="Normal 2 5 3 3 2 4" xfId="27337" xr:uid="{00000000-0005-0000-0000-00009D340000}"/>
    <cellStyle name="Normal 2 5 3 3 3" xfId="3840" xr:uid="{00000000-0005-0000-0000-00009E340000}"/>
    <cellStyle name="Normal 2 5 3 3 3 2" xfId="3841" xr:uid="{00000000-0005-0000-0000-00009F340000}"/>
    <cellStyle name="Normal 2 5 3 3 3 2 2" xfId="27342" xr:uid="{00000000-0005-0000-0000-0000A0340000}"/>
    <cellStyle name="Normal 2 5 3 3 3 3" xfId="27341" xr:uid="{00000000-0005-0000-0000-0000A1340000}"/>
    <cellStyle name="Normal 2 5 3 3 4" xfId="3842" xr:uid="{00000000-0005-0000-0000-0000A2340000}"/>
    <cellStyle name="Normal 2 5 3 3 4 2" xfId="27343" xr:uid="{00000000-0005-0000-0000-0000A3340000}"/>
    <cellStyle name="Normal 2 5 3 3 5" xfId="27336" xr:uid="{00000000-0005-0000-0000-0000A4340000}"/>
    <cellStyle name="Normal 2 5 3 4" xfId="3843" xr:uid="{00000000-0005-0000-0000-0000A5340000}"/>
    <cellStyle name="Normal 2 5 3 4 2" xfId="3844" xr:uid="{00000000-0005-0000-0000-0000A6340000}"/>
    <cellStyle name="Normal 2 5 3 4 2 2" xfId="3845" xr:uid="{00000000-0005-0000-0000-0000A7340000}"/>
    <cellStyle name="Normal 2 5 3 4 2 2 2" xfId="27346" xr:uid="{00000000-0005-0000-0000-0000A8340000}"/>
    <cellStyle name="Normal 2 5 3 4 2 3" xfId="27345" xr:uid="{00000000-0005-0000-0000-0000A9340000}"/>
    <cellStyle name="Normal 2 5 3 4 3" xfId="3846" xr:uid="{00000000-0005-0000-0000-0000AA340000}"/>
    <cellStyle name="Normal 2 5 3 4 3 2" xfId="27347" xr:uid="{00000000-0005-0000-0000-0000AB340000}"/>
    <cellStyle name="Normal 2 5 3 4 4" xfId="27344" xr:uid="{00000000-0005-0000-0000-0000AC340000}"/>
    <cellStyle name="Normal 2 5 3 5" xfId="3847" xr:uid="{00000000-0005-0000-0000-0000AD340000}"/>
    <cellStyle name="Normal 2 5 3 5 2" xfId="3848" xr:uid="{00000000-0005-0000-0000-0000AE340000}"/>
    <cellStyle name="Normal 2 5 3 5 2 2" xfId="27349" xr:uid="{00000000-0005-0000-0000-0000AF340000}"/>
    <cellStyle name="Normal 2 5 3 5 3" xfId="27348" xr:uid="{00000000-0005-0000-0000-0000B0340000}"/>
    <cellStyle name="Normal 2 5 3 6" xfId="3849" xr:uid="{00000000-0005-0000-0000-0000B1340000}"/>
    <cellStyle name="Normal 2 5 3 6 2" xfId="27350" xr:uid="{00000000-0005-0000-0000-0000B2340000}"/>
    <cellStyle name="Normal 2 5 3 7" xfId="27327" xr:uid="{00000000-0005-0000-0000-0000B3340000}"/>
    <cellStyle name="Normal 2 5 4" xfId="3850" xr:uid="{00000000-0005-0000-0000-0000B4340000}"/>
    <cellStyle name="Normal 2 5 4 2" xfId="3851" xr:uid="{00000000-0005-0000-0000-0000B5340000}"/>
    <cellStyle name="Normal 2 5 4 2 2" xfId="3852" xr:uid="{00000000-0005-0000-0000-0000B6340000}"/>
    <cellStyle name="Normal 2 5 4 2 2 2" xfId="3853" xr:uid="{00000000-0005-0000-0000-0000B7340000}"/>
    <cellStyle name="Normal 2 5 4 2 2 2 2" xfId="3854" xr:uid="{00000000-0005-0000-0000-0000B8340000}"/>
    <cellStyle name="Normal 2 5 4 2 2 2 2 2" xfId="27355" xr:uid="{00000000-0005-0000-0000-0000B9340000}"/>
    <cellStyle name="Normal 2 5 4 2 2 2 3" xfId="27354" xr:uid="{00000000-0005-0000-0000-0000BA340000}"/>
    <cellStyle name="Normal 2 5 4 2 2 3" xfId="3855" xr:uid="{00000000-0005-0000-0000-0000BB340000}"/>
    <cellStyle name="Normal 2 5 4 2 2 3 2" xfId="27356" xr:uid="{00000000-0005-0000-0000-0000BC340000}"/>
    <cellStyle name="Normal 2 5 4 2 2 4" xfId="27353" xr:uid="{00000000-0005-0000-0000-0000BD340000}"/>
    <cellStyle name="Normal 2 5 4 2 3" xfId="3856" xr:uid="{00000000-0005-0000-0000-0000BE340000}"/>
    <cellStyle name="Normal 2 5 4 2 3 2" xfId="3857" xr:uid="{00000000-0005-0000-0000-0000BF340000}"/>
    <cellStyle name="Normal 2 5 4 2 3 2 2" xfId="27358" xr:uid="{00000000-0005-0000-0000-0000C0340000}"/>
    <cellStyle name="Normal 2 5 4 2 3 3" xfId="27357" xr:uid="{00000000-0005-0000-0000-0000C1340000}"/>
    <cellStyle name="Normal 2 5 4 2 4" xfId="3858" xr:uid="{00000000-0005-0000-0000-0000C2340000}"/>
    <cellStyle name="Normal 2 5 4 2 4 2" xfId="27359" xr:uid="{00000000-0005-0000-0000-0000C3340000}"/>
    <cellStyle name="Normal 2 5 4 2 5" xfId="27352" xr:uid="{00000000-0005-0000-0000-0000C4340000}"/>
    <cellStyle name="Normal 2 5 4 3" xfId="3859" xr:uid="{00000000-0005-0000-0000-0000C5340000}"/>
    <cellStyle name="Normal 2 5 4 3 2" xfId="3860" xr:uid="{00000000-0005-0000-0000-0000C6340000}"/>
    <cellStyle name="Normal 2 5 4 3 2 2" xfId="3861" xr:uid="{00000000-0005-0000-0000-0000C7340000}"/>
    <cellStyle name="Normal 2 5 4 3 2 2 2" xfId="3862" xr:uid="{00000000-0005-0000-0000-0000C8340000}"/>
    <cellStyle name="Normal 2 5 4 3 2 2 2 2" xfId="27363" xr:uid="{00000000-0005-0000-0000-0000C9340000}"/>
    <cellStyle name="Normal 2 5 4 3 2 2 3" xfId="27362" xr:uid="{00000000-0005-0000-0000-0000CA340000}"/>
    <cellStyle name="Normal 2 5 4 3 2 3" xfId="3863" xr:uid="{00000000-0005-0000-0000-0000CB340000}"/>
    <cellStyle name="Normal 2 5 4 3 2 3 2" xfId="27364" xr:uid="{00000000-0005-0000-0000-0000CC340000}"/>
    <cellStyle name="Normal 2 5 4 3 2 4" xfId="27361" xr:uid="{00000000-0005-0000-0000-0000CD340000}"/>
    <cellStyle name="Normal 2 5 4 3 3" xfId="3864" xr:uid="{00000000-0005-0000-0000-0000CE340000}"/>
    <cellStyle name="Normal 2 5 4 3 3 2" xfId="3865" xr:uid="{00000000-0005-0000-0000-0000CF340000}"/>
    <cellStyle name="Normal 2 5 4 3 3 2 2" xfId="27366" xr:uid="{00000000-0005-0000-0000-0000D0340000}"/>
    <cellStyle name="Normal 2 5 4 3 3 3" xfId="27365" xr:uid="{00000000-0005-0000-0000-0000D1340000}"/>
    <cellStyle name="Normal 2 5 4 3 4" xfId="3866" xr:uid="{00000000-0005-0000-0000-0000D2340000}"/>
    <cellStyle name="Normal 2 5 4 3 4 2" xfId="27367" xr:uid="{00000000-0005-0000-0000-0000D3340000}"/>
    <cellStyle name="Normal 2 5 4 3 5" xfId="27360" xr:uid="{00000000-0005-0000-0000-0000D4340000}"/>
    <cellStyle name="Normal 2 5 4 4" xfId="3867" xr:uid="{00000000-0005-0000-0000-0000D5340000}"/>
    <cellStyle name="Normal 2 5 4 4 2" xfId="3868" xr:uid="{00000000-0005-0000-0000-0000D6340000}"/>
    <cellStyle name="Normal 2 5 4 4 2 2" xfId="3869" xr:uid="{00000000-0005-0000-0000-0000D7340000}"/>
    <cellStyle name="Normal 2 5 4 4 2 2 2" xfId="27370" xr:uid="{00000000-0005-0000-0000-0000D8340000}"/>
    <cellStyle name="Normal 2 5 4 4 2 3" xfId="27369" xr:uid="{00000000-0005-0000-0000-0000D9340000}"/>
    <cellStyle name="Normal 2 5 4 4 3" xfId="3870" xr:uid="{00000000-0005-0000-0000-0000DA340000}"/>
    <cellStyle name="Normal 2 5 4 4 3 2" xfId="27371" xr:uid="{00000000-0005-0000-0000-0000DB340000}"/>
    <cellStyle name="Normal 2 5 4 4 4" xfId="27368" xr:uid="{00000000-0005-0000-0000-0000DC340000}"/>
    <cellStyle name="Normal 2 5 4 5" xfId="3871" xr:uid="{00000000-0005-0000-0000-0000DD340000}"/>
    <cellStyle name="Normal 2 5 4 5 2" xfId="3872" xr:uid="{00000000-0005-0000-0000-0000DE340000}"/>
    <cellStyle name="Normal 2 5 4 5 2 2" xfId="27373" xr:uid="{00000000-0005-0000-0000-0000DF340000}"/>
    <cellStyle name="Normal 2 5 4 5 3" xfId="27372" xr:uid="{00000000-0005-0000-0000-0000E0340000}"/>
    <cellStyle name="Normal 2 5 4 6" xfId="3873" xr:uid="{00000000-0005-0000-0000-0000E1340000}"/>
    <cellStyle name="Normal 2 5 4 6 2" xfId="27374" xr:uid="{00000000-0005-0000-0000-0000E2340000}"/>
    <cellStyle name="Normal 2 5 4 7" xfId="27351" xr:uid="{00000000-0005-0000-0000-0000E3340000}"/>
    <cellStyle name="Normal 2 5 5" xfId="3874" xr:uid="{00000000-0005-0000-0000-0000E4340000}"/>
    <cellStyle name="Normal 2 5 5 2" xfId="3875" xr:uid="{00000000-0005-0000-0000-0000E5340000}"/>
    <cellStyle name="Normal 2 5 5 2 2" xfId="3876" xr:uid="{00000000-0005-0000-0000-0000E6340000}"/>
    <cellStyle name="Normal 2 5 5 2 2 2" xfId="3877" xr:uid="{00000000-0005-0000-0000-0000E7340000}"/>
    <cellStyle name="Normal 2 5 5 2 2 2 2" xfId="27377" xr:uid="{00000000-0005-0000-0000-0000E8340000}"/>
    <cellStyle name="Normal 2 5 5 2 2 3" xfId="27376" xr:uid="{00000000-0005-0000-0000-0000E9340000}"/>
    <cellStyle name="Normal 2 5 5 2 3" xfId="3878" xr:uid="{00000000-0005-0000-0000-0000EA340000}"/>
    <cellStyle name="Normal 2 5 5 2 3 2" xfId="27378" xr:uid="{00000000-0005-0000-0000-0000EB340000}"/>
    <cellStyle name="Normal 2 5 5 2 4" xfId="27375" xr:uid="{00000000-0005-0000-0000-0000EC340000}"/>
    <cellStyle name="Normal 2 5 5 3" xfId="3879" xr:uid="{00000000-0005-0000-0000-0000ED340000}"/>
    <cellStyle name="Normal 2 5 5 3 2" xfId="3880" xr:uid="{00000000-0005-0000-0000-0000EE340000}"/>
    <cellStyle name="Normal 2 5 5 3 2 2" xfId="27380" xr:uid="{00000000-0005-0000-0000-0000EF340000}"/>
    <cellStyle name="Normal 2 5 5 3 3" xfId="27379" xr:uid="{00000000-0005-0000-0000-0000F0340000}"/>
    <cellStyle name="Normal 2 5 6" xfId="3881" xr:uid="{00000000-0005-0000-0000-0000F1340000}"/>
    <cellStyle name="Normal 2 5 6 2" xfId="3882" xr:uid="{00000000-0005-0000-0000-0000F2340000}"/>
    <cellStyle name="Normal 2 5 6 2 2" xfId="3883" xr:uid="{00000000-0005-0000-0000-0000F3340000}"/>
    <cellStyle name="Normal 2 5 6 2 2 2" xfId="3884" xr:uid="{00000000-0005-0000-0000-0000F4340000}"/>
    <cellStyle name="Normal 2 5 6 2 2 2 2" xfId="27384" xr:uid="{00000000-0005-0000-0000-0000F5340000}"/>
    <cellStyle name="Normal 2 5 6 2 2 3" xfId="27383" xr:uid="{00000000-0005-0000-0000-0000F6340000}"/>
    <cellStyle name="Normal 2 5 6 2 3" xfId="3885" xr:uid="{00000000-0005-0000-0000-0000F7340000}"/>
    <cellStyle name="Normal 2 5 6 2 3 2" xfId="27385" xr:uid="{00000000-0005-0000-0000-0000F8340000}"/>
    <cellStyle name="Normal 2 5 6 2 4" xfId="27382" xr:uid="{00000000-0005-0000-0000-0000F9340000}"/>
    <cellStyle name="Normal 2 5 6 3" xfId="3886" xr:uid="{00000000-0005-0000-0000-0000FA340000}"/>
    <cellStyle name="Normal 2 5 6 3 2" xfId="3887" xr:uid="{00000000-0005-0000-0000-0000FB340000}"/>
    <cellStyle name="Normal 2 5 6 3 2 2" xfId="27387" xr:uid="{00000000-0005-0000-0000-0000FC340000}"/>
    <cellStyle name="Normal 2 5 6 3 3" xfId="27386" xr:uid="{00000000-0005-0000-0000-0000FD340000}"/>
    <cellStyle name="Normal 2 5 6 4" xfId="3888" xr:uid="{00000000-0005-0000-0000-0000FE340000}"/>
    <cellStyle name="Normal 2 5 6 4 2" xfId="27388" xr:uid="{00000000-0005-0000-0000-0000FF340000}"/>
    <cellStyle name="Normal 2 5 6 5" xfId="27381" xr:uid="{00000000-0005-0000-0000-000000350000}"/>
    <cellStyle name="Normal 2 5 7" xfId="3889" xr:uid="{00000000-0005-0000-0000-000001350000}"/>
    <cellStyle name="Normal 2 5 7 2" xfId="3890" xr:uid="{00000000-0005-0000-0000-000002350000}"/>
    <cellStyle name="Normal 2 5 7 2 2" xfId="3891" xr:uid="{00000000-0005-0000-0000-000003350000}"/>
    <cellStyle name="Normal 2 5 7 2 2 2" xfId="27391" xr:uid="{00000000-0005-0000-0000-000004350000}"/>
    <cellStyle name="Normal 2 5 7 2 3" xfId="27390" xr:uid="{00000000-0005-0000-0000-000005350000}"/>
    <cellStyle name="Normal 2 5 7 3" xfId="3892" xr:uid="{00000000-0005-0000-0000-000006350000}"/>
    <cellStyle name="Normal 2 5 7 3 2" xfId="27392" xr:uid="{00000000-0005-0000-0000-000007350000}"/>
    <cellStyle name="Normal 2 5 7 4" xfId="27389" xr:uid="{00000000-0005-0000-0000-000008350000}"/>
    <cellStyle name="Normal 2 5 8" xfId="3893" xr:uid="{00000000-0005-0000-0000-000009350000}"/>
    <cellStyle name="Normal 2 5 8 2" xfId="3894" xr:uid="{00000000-0005-0000-0000-00000A350000}"/>
    <cellStyle name="Normal 2 5 8 2 2" xfId="27394" xr:uid="{00000000-0005-0000-0000-00000B350000}"/>
    <cellStyle name="Normal 2 5 8 3" xfId="27393" xr:uid="{00000000-0005-0000-0000-00000C350000}"/>
    <cellStyle name="Normal 2 5 9" xfId="3895" xr:uid="{00000000-0005-0000-0000-00000D350000}"/>
    <cellStyle name="Normal 2 5 9 2" xfId="27395" xr:uid="{00000000-0005-0000-0000-00000E350000}"/>
    <cellStyle name="Normal 2 6" xfId="103" xr:uid="{00000000-0005-0000-0000-00000F350000}"/>
    <cellStyle name="Normal 2 6 2" xfId="3897" xr:uid="{00000000-0005-0000-0000-000010350000}"/>
    <cellStyle name="Normal 2 6 2 2" xfId="3898" xr:uid="{00000000-0005-0000-0000-000011350000}"/>
    <cellStyle name="Normal 2 6 2 2 2" xfId="3899" xr:uid="{00000000-0005-0000-0000-000012350000}"/>
    <cellStyle name="Normal 2 6 2 2 2 2" xfId="3900" xr:uid="{00000000-0005-0000-0000-000013350000}"/>
    <cellStyle name="Normal 2 6 2 2 2 2 2" xfId="27399" xr:uid="{00000000-0005-0000-0000-000014350000}"/>
    <cellStyle name="Normal 2 6 2 2 2 3" xfId="27398" xr:uid="{00000000-0005-0000-0000-000015350000}"/>
    <cellStyle name="Normal 2 6 2 2 3" xfId="3901" xr:uid="{00000000-0005-0000-0000-000016350000}"/>
    <cellStyle name="Normal 2 6 2 2 3 2" xfId="27400" xr:uid="{00000000-0005-0000-0000-000017350000}"/>
    <cellStyle name="Normal 2 6 2 2 4" xfId="27397" xr:uid="{00000000-0005-0000-0000-000018350000}"/>
    <cellStyle name="Normal 2 6 2 3" xfId="3902" xr:uid="{00000000-0005-0000-0000-000019350000}"/>
    <cellStyle name="Normal 2 6 2 3 2" xfId="3903" xr:uid="{00000000-0005-0000-0000-00001A350000}"/>
    <cellStyle name="Normal 2 6 2 3 2 2" xfId="27402" xr:uid="{00000000-0005-0000-0000-00001B350000}"/>
    <cellStyle name="Normal 2 6 2 3 3" xfId="27401" xr:uid="{00000000-0005-0000-0000-00001C350000}"/>
    <cellStyle name="Normal 2 6 2 4" xfId="20794" xr:uid="{00000000-0005-0000-0000-00001D350000}"/>
    <cellStyle name="Normal 2 6 3" xfId="3904" xr:uid="{00000000-0005-0000-0000-00001E350000}"/>
    <cellStyle name="Normal 2 6 3 2" xfId="3905" xr:uid="{00000000-0005-0000-0000-00001F350000}"/>
    <cellStyle name="Normal 2 6 3 2 2" xfId="3906" xr:uid="{00000000-0005-0000-0000-000020350000}"/>
    <cellStyle name="Normal 2 6 3 2 2 2" xfId="3907" xr:uid="{00000000-0005-0000-0000-000021350000}"/>
    <cellStyle name="Normal 2 6 3 2 2 2 2" xfId="27406" xr:uid="{00000000-0005-0000-0000-000022350000}"/>
    <cellStyle name="Normal 2 6 3 2 2 3" xfId="27405" xr:uid="{00000000-0005-0000-0000-000023350000}"/>
    <cellStyle name="Normal 2 6 3 2 3" xfId="3908" xr:uid="{00000000-0005-0000-0000-000024350000}"/>
    <cellStyle name="Normal 2 6 3 2 3 2" xfId="27407" xr:uid="{00000000-0005-0000-0000-000025350000}"/>
    <cellStyle name="Normal 2 6 3 2 4" xfId="27404" xr:uid="{00000000-0005-0000-0000-000026350000}"/>
    <cellStyle name="Normal 2 6 3 3" xfId="3909" xr:uid="{00000000-0005-0000-0000-000027350000}"/>
    <cellStyle name="Normal 2 6 3 3 2" xfId="3910" xr:uid="{00000000-0005-0000-0000-000028350000}"/>
    <cellStyle name="Normal 2 6 3 3 2 2" xfId="27409" xr:uid="{00000000-0005-0000-0000-000029350000}"/>
    <cellStyle name="Normal 2 6 3 3 3" xfId="27408" xr:uid="{00000000-0005-0000-0000-00002A350000}"/>
    <cellStyle name="Normal 2 6 3 4" xfId="3911" xr:uid="{00000000-0005-0000-0000-00002B350000}"/>
    <cellStyle name="Normal 2 6 3 4 2" xfId="27410" xr:uid="{00000000-0005-0000-0000-00002C350000}"/>
    <cellStyle name="Normal 2 6 3 5" xfId="27403" xr:uid="{00000000-0005-0000-0000-00002D350000}"/>
    <cellStyle name="Normal 2 6 4" xfId="3912" xr:uid="{00000000-0005-0000-0000-00002E350000}"/>
    <cellStyle name="Normal 2 6 4 2" xfId="3913" xr:uid="{00000000-0005-0000-0000-00002F350000}"/>
    <cellStyle name="Normal 2 6 4 2 2" xfId="3914" xr:uid="{00000000-0005-0000-0000-000030350000}"/>
    <cellStyle name="Normal 2 6 4 2 2 2" xfId="27413" xr:uid="{00000000-0005-0000-0000-000031350000}"/>
    <cellStyle name="Normal 2 6 4 2 3" xfId="27412" xr:uid="{00000000-0005-0000-0000-000032350000}"/>
    <cellStyle name="Normal 2 6 4 3" xfId="3915" xr:uid="{00000000-0005-0000-0000-000033350000}"/>
    <cellStyle name="Normal 2 6 4 3 2" xfId="27414" xr:uid="{00000000-0005-0000-0000-000034350000}"/>
    <cellStyle name="Normal 2 6 4 4" xfId="27411" xr:uid="{00000000-0005-0000-0000-000035350000}"/>
    <cellStyle name="Normal 2 6 5" xfId="3916" xr:uid="{00000000-0005-0000-0000-000036350000}"/>
    <cellStyle name="Normal 2 6 5 2" xfId="3917" xr:uid="{00000000-0005-0000-0000-000037350000}"/>
    <cellStyle name="Normal 2 6 5 2 2" xfId="27416" xr:uid="{00000000-0005-0000-0000-000038350000}"/>
    <cellStyle name="Normal 2 6 5 3" xfId="27415" xr:uid="{00000000-0005-0000-0000-000039350000}"/>
    <cellStyle name="Normal 2 6 6" xfId="3918" xr:uid="{00000000-0005-0000-0000-00003A350000}"/>
    <cellStyle name="Normal 2 6 6 2" xfId="27417" xr:uid="{00000000-0005-0000-0000-00003B350000}"/>
    <cellStyle name="Normal 2 6 7" xfId="3896" xr:uid="{00000000-0005-0000-0000-00003C350000}"/>
    <cellStyle name="Normal 2 6 7 2" xfId="27396" xr:uid="{00000000-0005-0000-0000-00003D350000}"/>
    <cellStyle name="Normal 2 7" xfId="3919" xr:uid="{00000000-0005-0000-0000-00003E350000}"/>
    <cellStyle name="Normal 2 7 2" xfId="3920" xr:uid="{00000000-0005-0000-0000-00003F350000}"/>
    <cellStyle name="Normal 2 7 2 2" xfId="3921" xr:uid="{00000000-0005-0000-0000-000040350000}"/>
    <cellStyle name="Normal 2 7 2 2 2" xfId="3922" xr:uid="{00000000-0005-0000-0000-000041350000}"/>
    <cellStyle name="Normal 2 7 2 2 2 2" xfId="3923" xr:uid="{00000000-0005-0000-0000-000042350000}"/>
    <cellStyle name="Normal 2 7 2 2 2 2 2" xfId="27422" xr:uid="{00000000-0005-0000-0000-000043350000}"/>
    <cellStyle name="Normal 2 7 2 2 2 3" xfId="27421" xr:uid="{00000000-0005-0000-0000-000044350000}"/>
    <cellStyle name="Normal 2 7 2 2 3" xfId="3924" xr:uid="{00000000-0005-0000-0000-000045350000}"/>
    <cellStyle name="Normal 2 7 2 2 3 2" xfId="27423" xr:uid="{00000000-0005-0000-0000-000046350000}"/>
    <cellStyle name="Normal 2 7 2 2 4" xfId="27420" xr:uid="{00000000-0005-0000-0000-000047350000}"/>
    <cellStyle name="Normal 2 7 2 3" xfId="3925" xr:uid="{00000000-0005-0000-0000-000048350000}"/>
    <cellStyle name="Normal 2 7 2 3 2" xfId="3926" xr:uid="{00000000-0005-0000-0000-000049350000}"/>
    <cellStyle name="Normal 2 7 2 3 2 2" xfId="27425" xr:uid="{00000000-0005-0000-0000-00004A350000}"/>
    <cellStyle name="Normal 2 7 2 3 3" xfId="27424" xr:uid="{00000000-0005-0000-0000-00004B350000}"/>
    <cellStyle name="Normal 2 7 2 4" xfId="3927" xr:uid="{00000000-0005-0000-0000-00004C350000}"/>
    <cellStyle name="Normal 2 7 2 4 2" xfId="27426" xr:uid="{00000000-0005-0000-0000-00004D350000}"/>
    <cellStyle name="Normal 2 7 2 5" xfId="20796" xr:uid="{00000000-0005-0000-0000-00004E350000}"/>
    <cellStyle name="Normal 2 7 2 6" xfId="27419" xr:uid="{00000000-0005-0000-0000-00004F350000}"/>
    <cellStyle name="Normal 2 7 3" xfId="3928" xr:uid="{00000000-0005-0000-0000-000050350000}"/>
    <cellStyle name="Normal 2 7 3 2" xfId="3929" xr:uid="{00000000-0005-0000-0000-000051350000}"/>
    <cellStyle name="Normal 2 7 3 2 2" xfId="3930" xr:uid="{00000000-0005-0000-0000-000052350000}"/>
    <cellStyle name="Normal 2 7 3 2 2 2" xfId="3931" xr:uid="{00000000-0005-0000-0000-000053350000}"/>
    <cellStyle name="Normal 2 7 3 2 2 2 2" xfId="27430" xr:uid="{00000000-0005-0000-0000-000054350000}"/>
    <cellStyle name="Normal 2 7 3 2 2 3" xfId="27429" xr:uid="{00000000-0005-0000-0000-000055350000}"/>
    <cellStyle name="Normal 2 7 3 2 3" xfId="3932" xr:uid="{00000000-0005-0000-0000-000056350000}"/>
    <cellStyle name="Normal 2 7 3 2 3 2" xfId="27431" xr:uid="{00000000-0005-0000-0000-000057350000}"/>
    <cellStyle name="Normal 2 7 3 2 4" xfId="27428" xr:uid="{00000000-0005-0000-0000-000058350000}"/>
    <cellStyle name="Normal 2 7 3 3" xfId="3933" xr:uid="{00000000-0005-0000-0000-000059350000}"/>
    <cellStyle name="Normal 2 7 3 3 2" xfId="3934" xr:uid="{00000000-0005-0000-0000-00005A350000}"/>
    <cellStyle name="Normal 2 7 3 3 2 2" xfId="27433" xr:uid="{00000000-0005-0000-0000-00005B350000}"/>
    <cellStyle name="Normal 2 7 3 3 3" xfId="27432" xr:uid="{00000000-0005-0000-0000-00005C350000}"/>
    <cellStyle name="Normal 2 7 3 4" xfId="3935" xr:uid="{00000000-0005-0000-0000-00005D350000}"/>
    <cellStyle name="Normal 2 7 3 4 2" xfId="27434" xr:uid="{00000000-0005-0000-0000-00005E350000}"/>
    <cellStyle name="Normal 2 7 3 5" xfId="20797" xr:uid="{00000000-0005-0000-0000-00005F350000}"/>
    <cellStyle name="Normal 2 7 3 6" xfId="27427" xr:uid="{00000000-0005-0000-0000-000060350000}"/>
    <cellStyle name="Normal 2 7 4" xfId="3936" xr:uid="{00000000-0005-0000-0000-000061350000}"/>
    <cellStyle name="Normal 2 7 4 2" xfId="3937" xr:uid="{00000000-0005-0000-0000-000062350000}"/>
    <cellStyle name="Normal 2 7 4 2 2" xfId="3938" xr:uid="{00000000-0005-0000-0000-000063350000}"/>
    <cellStyle name="Normal 2 7 4 2 2 2" xfId="27437" xr:uid="{00000000-0005-0000-0000-000064350000}"/>
    <cellStyle name="Normal 2 7 4 2 3" xfId="27436" xr:uid="{00000000-0005-0000-0000-000065350000}"/>
    <cellStyle name="Normal 2 7 4 3" xfId="3939" xr:uid="{00000000-0005-0000-0000-000066350000}"/>
    <cellStyle name="Normal 2 7 4 3 2" xfId="27438" xr:uid="{00000000-0005-0000-0000-000067350000}"/>
    <cellStyle name="Normal 2 7 4 4" xfId="27435" xr:uid="{00000000-0005-0000-0000-000068350000}"/>
    <cellStyle name="Normal 2 7 5" xfId="3940" xr:uid="{00000000-0005-0000-0000-000069350000}"/>
    <cellStyle name="Normal 2 7 5 2" xfId="3941" xr:uid="{00000000-0005-0000-0000-00006A350000}"/>
    <cellStyle name="Normal 2 7 5 2 2" xfId="27440" xr:uid="{00000000-0005-0000-0000-00006B350000}"/>
    <cellStyle name="Normal 2 7 5 3" xfId="27439" xr:uid="{00000000-0005-0000-0000-00006C350000}"/>
    <cellStyle name="Normal 2 7 6" xfId="3942" xr:uid="{00000000-0005-0000-0000-00006D350000}"/>
    <cellStyle name="Normal 2 7 6 2" xfId="27441" xr:uid="{00000000-0005-0000-0000-00006E350000}"/>
    <cellStyle name="Normal 2 7 7" xfId="20795" xr:uid="{00000000-0005-0000-0000-00006F350000}"/>
    <cellStyle name="Normal 2 7 8" xfId="27418" xr:uid="{00000000-0005-0000-0000-000070350000}"/>
    <cellStyle name="Normal 2 8" xfId="3943" xr:uid="{00000000-0005-0000-0000-000071350000}"/>
    <cellStyle name="Normal 2 8 2" xfId="3944" xr:uid="{00000000-0005-0000-0000-000072350000}"/>
    <cellStyle name="Normal 2 8 2 2" xfId="3945" xr:uid="{00000000-0005-0000-0000-000073350000}"/>
    <cellStyle name="Normal 2 8 2 2 2" xfId="3946" xr:uid="{00000000-0005-0000-0000-000074350000}"/>
    <cellStyle name="Normal 2 8 2 2 2 2" xfId="3947" xr:uid="{00000000-0005-0000-0000-000075350000}"/>
    <cellStyle name="Normal 2 8 2 2 2 2 2" xfId="27446" xr:uid="{00000000-0005-0000-0000-000076350000}"/>
    <cellStyle name="Normal 2 8 2 2 2 3" xfId="27445" xr:uid="{00000000-0005-0000-0000-000077350000}"/>
    <cellStyle name="Normal 2 8 2 2 3" xfId="3948" xr:uid="{00000000-0005-0000-0000-000078350000}"/>
    <cellStyle name="Normal 2 8 2 2 3 2" xfId="27447" xr:uid="{00000000-0005-0000-0000-000079350000}"/>
    <cellStyle name="Normal 2 8 2 2 4" xfId="27444" xr:uid="{00000000-0005-0000-0000-00007A350000}"/>
    <cellStyle name="Normal 2 8 2 3" xfId="3949" xr:uid="{00000000-0005-0000-0000-00007B350000}"/>
    <cellStyle name="Normal 2 8 2 3 2" xfId="3950" xr:uid="{00000000-0005-0000-0000-00007C350000}"/>
    <cellStyle name="Normal 2 8 2 3 2 2" xfId="27449" xr:uid="{00000000-0005-0000-0000-00007D350000}"/>
    <cellStyle name="Normal 2 8 2 3 3" xfId="27448" xr:uid="{00000000-0005-0000-0000-00007E350000}"/>
    <cellStyle name="Normal 2 8 2 4" xfId="3951" xr:uid="{00000000-0005-0000-0000-00007F350000}"/>
    <cellStyle name="Normal 2 8 2 4 2" xfId="27450" xr:uid="{00000000-0005-0000-0000-000080350000}"/>
    <cellStyle name="Normal 2 8 2 5" xfId="20799" xr:uid="{00000000-0005-0000-0000-000081350000}"/>
    <cellStyle name="Normal 2 8 2 6" xfId="27443" xr:uid="{00000000-0005-0000-0000-000082350000}"/>
    <cellStyle name="Normal 2 8 3" xfId="3952" xr:uid="{00000000-0005-0000-0000-000083350000}"/>
    <cellStyle name="Normal 2 8 3 2" xfId="3953" xr:uid="{00000000-0005-0000-0000-000084350000}"/>
    <cellStyle name="Normal 2 8 3 2 2" xfId="3954" xr:uid="{00000000-0005-0000-0000-000085350000}"/>
    <cellStyle name="Normal 2 8 3 2 2 2" xfId="3955" xr:uid="{00000000-0005-0000-0000-000086350000}"/>
    <cellStyle name="Normal 2 8 3 2 2 2 2" xfId="27454" xr:uid="{00000000-0005-0000-0000-000087350000}"/>
    <cellStyle name="Normal 2 8 3 2 2 3" xfId="27453" xr:uid="{00000000-0005-0000-0000-000088350000}"/>
    <cellStyle name="Normal 2 8 3 2 3" xfId="3956" xr:uid="{00000000-0005-0000-0000-000089350000}"/>
    <cellStyle name="Normal 2 8 3 2 3 2" xfId="27455" xr:uid="{00000000-0005-0000-0000-00008A350000}"/>
    <cellStyle name="Normal 2 8 3 2 4" xfId="27452" xr:uid="{00000000-0005-0000-0000-00008B350000}"/>
    <cellStyle name="Normal 2 8 3 3" xfId="3957" xr:uid="{00000000-0005-0000-0000-00008C350000}"/>
    <cellStyle name="Normal 2 8 3 3 2" xfId="3958" xr:uid="{00000000-0005-0000-0000-00008D350000}"/>
    <cellStyle name="Normal 2 8 3 3 2 2" xfId="27457" xr:uid="{00000000-0005-0000-0000-00008E350000}"/>
    <cellStyle name="Normal 2 8 3 3 3" xfId="27456" xr:uid="{00000000-0005-0000-0000-00008F350000}"/>
    <cellStyle name="Normal 2 8 3 4" xfId="3959" xr:uid="{00000000-0005-0000-0000-000090350000}"/>
    <cellStyle name="Normal 2 8 3 4 2" xfId="27458" xr:uid="{00000000-0005-0000-0000-000091350000}"/>
    <cellStyle name="Normal 2 8 3 5" xfId="27451" xr:uid="{00000000-0005-0000-0000-000092350000}"/>
    <cellStyle name="Normal 2 8 4" xfId="3960" xr:uid="{00000000-0005-0000-0000-000093350000}"/>
    <cellStyle name="Normal 2 8 4 2" xfId="3961" xr:uid="{00000000-0005-0000-0000-000094350000}"/>
    <cellStyle name="Normal 2 8 4 2 2" xfId="3962" xr:uid="{00000000-0005-0000-0000-000095350000}"/>
    <cellStyle name="Normal 2 8 4 2 2 2" xfId="27461" xr:uid="{00000000-0005-0000-0000-000096350000}"/>
    <cellStyle name="Normal 2 8 4 2 3" xfId="27460" xr:uid="{00000000-0005-0000-0000-000097350000}"/>
    <cellStyle name="Normal 2 8 4 3" xfId="3963" xr:uid="{00000000-0005-0000-0000-000098350000}"/>
    <cellStyle name="Normal 2 8 4 3 2" xfId="27462" xr:uid="{00000000-0005-0000-0000-000099350000}"/>
    <cellStyle name="Normal 2 8 4 4" xfId="27459" xr:uid="{00000000-0005-0000-0000-00009A350000}"/>
    <cellStyle name="Normal 2 8 5" xfId="3964" xr:uid="{00000000-0005-0000-0000-00009B350000}"/>
    <cellStyle name="Normal 2 8 5 2" xfId="3965" xr:uid="{00000000-0005-0000-0000-00009C350000}"/>
    <cellStyle name="Normal 2 8 5 2 2" xfId="27464" xr:uid="{00000000-0005-0000-0000-00009D350000}"/>
    <cellStyle name="Normal 2 8 5 3" xfId="27463" xr:uid="{00000000-0005-0000-0000-00009E350000}"/>
    <cellStyle name="Normal 2 8 6" xfId="3966" xr:uid="{00000000-0005-0000-0000-00009F350000}"/>
    <cellStyle name="Normal 2 8 6 2" xfId="27465" xr:uid="{00000000-0005-0000-0000-0000A0350000}"/>
    <cellStyle name="Normal 2 8 7" xfId="20798" xr:uid="{00000000-0005-0000-0000-0000A1350000}"/>
    <cellStyle name="Normal 2 8 8" xfId="27442" xr:uid="{00000000-0005-0000-0000-0000A2350000}"/>
    <cellStyle name="Normal 2 9" xfId="3967" xr:uid="{00000000-0005-0000-0000-0000A3350000}"/>
    <cellStyle name="Normal 2 9 2" xfId="3968" xr:uid="{00000000-0005-0000-0000-0000A4350000}"/>
    <cellStyle name="Normal 2 9 2 2" xfId="3969" xr:uid="{00000000-0005-0000-0000-0000A5350000}"/>
    <cellStyle name="Normal 2 9 2 2 2" xfId="3970" xr:uid="{00000000-0005-0000-0000-0000A6350000}"/>
    <cellStyle name="Normal 2 9 2 2 2 2" xfId="27469" xr:uid="{00000000-0005-0000-0000-0000A7350000}"/>
    <cellStyle name="Normal 2 9 2 2 3" xfId="27468" xr:uid="{00000000-0005-0000-0000-0000A8350000}"/>
    <cellStyle name="Normal 2 9 2 3" xfId="3971" xr:uid="{00000000-0005-0000-0000-0000A9350000}"/>
    <cellStyle name="Normal 2 9 2 3 2" xfId="27470" xr:uid="{00000000-0005-0000-0000-0000AA350000}"/>
    <cellStyle name="Normal 2 9 2 4" xfId="20801" xr:uid="{00000000-0005-0000-0000-0000AB350000}"/>
    <cellStyle name="Normal 2 9 2 5" xfId="27467" xr:uid="{00000000-0005-0000-0000-0000AC350000}"/>
    <cellStyle name="Normal 2 9 3" xfId="3972" xr:uid="{00000000-0005-0000-0000-0000AD350000}"/>
    <cellStyle name="Normal 2 9 3 2" xfId="3973" xr:uid="{00000000-0005-0000-0000-0000AE350000}"/>
    <cellStyle name="Normal 2 9 3 2 2" xfId="27472" xr:uid="{00000000-0005-0000-0000-0000AF350000}"/>
    <cellStyle name="Normal 2 9 3 3" xfId="20802" xr:uid="{00000000-0005-0000-0000-0000B0350000}"/>
    <cellStyle name="Normal 2 9 3 4" xfId="27471" xr:uid="{00000000-0005-0000-0000-0000B1350000}"/>
    <cellStyle name="Normal 2 9 4" xfId="3974" xr:uid="{00000000-0005-0000-0000-0000B2350000}"/>
    <cellStyle name="Normal 2 9 4 2" xfId="27473" xr:uid="{00000000-0005-0000-0000-0000B3350000}"/>
    <cellStyle name="Normal 2 9 5" xfId="20800" xr:uid="{00000000-0005-0000-0000-0000B4350000}"/>
    <cellStyle name="Normal 2 9 6" xfId="27466" xr:uid="{00000000-0005-0000-0000-0000B5350000}"/>
    <cellStyle name="Normal 20" xfId="181" xr:uid="{00000000-0005-0000-0000-0000B6350000}"/>
    <cellStyle name="Normal 20 10" xfId="23165" xr:uid="{00000000-0005-0000-0000-0000B7350000}"/>
    <cellStyle name="Normal 20 10 2" xfId="23249" xr:uid="{00000000-0005-0000-0000-0000B8350000}"/>
    <cellStyle name="Normal 20 10 2 2" xfId="23330" xr:uid="{00000000-0005-0000-0000-0000B9350000}"/>
    <cellStyle name="Normal 20 10 2 2 2" xfId="23619" xr:uid="{00000000-0005-0000-0000-0000BA350000}"/>
    <cellStyle name="Normal 20 10 2 3" xfId="23499" xr:uid="{00000000-0005-0000-0000-0000BB350000}"/>
    <cellStyle name="Normal 20 10 2 3 2" xfId="46742" xr:uid="{00000000-0005-0000-0000-0000BC350000}"/>
    <cellStyle name="Normal 20 10 3" xfId="23329" xr:uid="{00000000-0005-0000-0000-0000BD350000}"/>
    <cellStyle name="Normal 20 10 3 2" xfId="46573" xr:uid="{00000000-0005-0000-0000-0000BE350000}"/>
    <cellStyle name="Normal 20 10 4" xfId="23498" xr:uid="{00000000-0005-0000-0000-0000BF350000}"/>
    <cellStyle name="Normal 20 10 4 2" xfId="46741" xr:uid="{00000000-0005-0000-0000-0000C0350000}"/>
    <cellStyle name="Normal 20 11" xfId="23195" xr:uid="{00000000-0005-0000-0000-0000C1350000}"/>
    <cellStyle name="Normal 20 11 2" xfId="23331" xr:uid="{00000000-0005-0000-0000-0000C2350000}"/>
    <cellStyle name="Normal 20 11 2 2" xfId="46574" xr:uid="{00000000-0005-0000-0000-0000C3350000}"/>
    <cellStyle name="Normal 20 11 3" xfId="23500" xr:uid="{00000000-0005-0000-0000-0000C4350000}"/>
    <cellStyle name="Normal 20 11 3 2" xfId="46743" xr:uid="{00000000-0005-0000-0000-0000C5350000}"/>
    <cellStyle name="Normal 20 11 4" xfId="46440" xr:uid="{00000000-0005-0000-0000-0000C6350000}"/>
    <cellStyle name="Normal 20 12" xfId="23328" xr:uid="{00000000-0005-0000-0000-0000C7350000}"/>
    <cellStyle name="Normal 20 12 2" xfId="46572" xr:uid="{00000000-0005-0000-0000-0000C8350000}"/>
    <cellStyle name="Normal 20 13" xfId="23497" xr:uid="{00000000-0005-0000-0000-0000C9350000}"/>
    <cellStyle name="Normal 20 13 2" xfId="46740" xr:uid="{00000000-0005-0000-0000-0000CA350000}"/>
    <cellStyle name="Normal 20 2" xfId="182" xr:uid="{00000000-0005-0000-0000-0000CB350000}"/>
    <cellStyle name="Normal 20 2 10" xfId="23501" xr:uid="{00000000-0005-0000-0000-0000CC350000}"/>
    <cellStyle name="Normal 20 2 10 2" xfId="46744" xr:uid="{00000000-0005-0000-0000-0000CD350000}"/>
    <cellStyle name="Normal 20 2 11" xfId="23718" xr:uid="{00000000-0005-0000-0000-0000CE350000}"/>
    <cellStyle name="Normal 20 2 2" xfId="187" xr:uid="{00000000-0005-0000-0000-0000CF350000}"/>
    <cellStyle name="Normal 20 2 2 10" xfId="23722" xr:uid="{00000000-0005-0000-0000-0000D0350000}"/>
    <cellStyle name="Normal 20 2 2 2" xfId="23129" xr:uid="{00000000-0005-0000-0000-0000D1350000}"/>
    <cellStyle name="Normal 20 2 2 2 2" xfId="23143" xr:uid="{00000000-0005-0000-0000-0000D2350000}"/>
    <cellStyle name="Normal 20 2 2 2 2 2" xfId="23169" xr:uid="{00000000-0005-0000-0000-0000D3350000}"/>
    <cellStyle name="Normal 20 2 2 2 2 2 2" xfId="23253" xr:uid="{00000000-0005-0000-0000-0000D4350000}"/>
    <cellStyle name="Normal 20 2 2 2 2 2 2 2" xfId="23337" xr:uid="{00000000-0005-0000-0000-0000D5350000}"/>
    <cellStyle name="Normal 20 2 2 2 2 2 2 2 2" xfId="46580" xr:uid="{00000000-0005-0000-0000-0000D6350000}"/>
    <cellStyle name="Normal 20 2 2 2 2 2 2 3" xfId="23506" xr:uid="{00000000-0005-0000-0000-0000D7350000}"/>
    <cellStyle name="Normal 20 2 2 2 2 2 2 3 2" xfId="46749" xr:uid="{00000000-0005-0000-0000-0000D8350000}"/>
    <cellStyle name="Normal 20 2 2 2 2 2 2 4" xfId="46497" xr:uid="{00000000-0005-0000-0000-0000D9350000}"/>
    <cellStyle name="Normal 20 2 2 2 2 2 3" xfId="23336" xr:uid="{00000000-0005-0000-0000-0000DA350000}"/>
    <cellStyle name="Normal 20 2 2 2 2 2 3 2" xfId="46579" xr:uid="{00000000-0005-0000-0000-0000DB350000}"/>
    <cellStyle name="Normal 20 2 2 2 2 2 4" xfId="23505" xr:uid="{00000000-0005-0000-0000-0000DC350000}"/>
    <cellStyle name="Normal 20 2 2 2 2 2 4 2" xfId="46748" xr:uid="{00000000-0005-0000-0000-0000DD350000}"/>
    <cellStyle name="Normal 20 2 2 2 2 2 5" xfId="46414" xr:uid="{00000000-0005-0000-0000-0000DE350000}"/>
    <cellStyle name="Normal 20 2 2 2 2 3" xfId="23227" xr:uid="{00000000-0005-0000-0000-0000DF350000}"/>
    <cellStyle name="Normal 20 2 2 2 2 3 2" xfId="23338" xr:uid="{00000000-0005-0000-0000-0000E0350000}"/>
    <cellStyle name="Normal 20 2 2 2 2 3 2 2" xfId="46581" xr:uid="{00000000-0005-0000-0000-0000E1350000}"/>
    <cellStyle name="Normal 20 2 2 2 2 3 3" xfId="23507" xr:uid="{00000000-0005-0000-0000-0000E2350000}"/>
    <cellStyle name="Normal 20 2 2 2 2 3 3 2" xfId="46750" xr:uid="{00000000-0005-0000-0000-0000E3350000}"/>
    <cellStyle name="Normal 20 2 2 2 2 3 4" xfId="46472" xr:uid="{00000000-0005-0000-0000-0000E4350000}"/>
    <cellStyle name="Normal 20 2 2 2 2 4" xfId="23335" xr:uid="{00000000-0005-0000-0000-0000E5350000}"/>
    <cellStyle name="Normal 20 2 2 2 2 4 2" xfId="46578" xr:uid="{00000000-0005-0000-0000-0000E6350000}"/>
    <cellStyle name="Normal 20 2 2 2 2 5" xfId="23504" xr:uid="{00000000-0005-0000-0000-0000E7350000}"/>
    <cellStyle name="Normal 20 2 2 2 2 5 2" xfId="46747" xr:uid="{00000000-0005-0000-0000-0000E8350000}"/>
    <cellStyle name="Normal 20 2 2 2 2 6" xfId="46389" xr:uid="{00000000-0005-0000-0000-0000E9350000}"/>
    <cellStyle name="Normal 20 2 2 2 3" xfId="23168" xr:uid="{00000000-0005-0000-0000-0000EA350000}"/>
    <cellStyle name="Normal 20 2 2 2 3 2" xfId="23252" xr:uid="{00000000-0005-0000-0000-0000EB350000}"/>
    <cellStyle name="Normal 20 2 2 2 3 2 2" xfId="23340" xr:uid="{00000000-0005-0000-0000-0000EC350000}"/>
    <cellStyle name="Normal 20 2 2 2 3 2 2 2" xfId="46583" xr:uid="{00000000-0005-0000-0000-0000ED350000}"/>
    <cellStyle name="Normal 20 2 2 2 3 2 3" xfId="23509" xr:uid="{00000000-0005-0000-0000-0000EE350000}"/>
    <cellStyle name="Normal 20 2 2 2 3 2 3 2" xfId="46752" xr:uid="{00000000-0005-0000-0000-0000EF350000}"/>
    <cellStyle name="Normal 20 2 2 2 3 2 4" xfId="46496" xr:uid="{00000000-0005-0000-0000-0000F0350000}"/>
    <cellStyle name="Normal 20 2 2 2 3 3" xfId="23339" xr:uid="{00000000-0005-0000-0000-0000F1350000}"/>
    <cellStyle name="Normal 20 2 2 2 3 3 2" xfId="46582" xr:uid="{00000000-0005-0000-0000-0000F2350000}"/>
    <cellStyle name="Normal 20 2 2 2 3 4" xfId="23508" xr:uid="{00000000-0005-0000-0000-0000F3350000}"/>
    <cellStyle name="Normal 20 2 2 2 3 4 2" xfId="46751" xr:uid="{00000000-0005-0000-0000-0000F4350000}"/>
    <cellStyle name="Normal 20 2 2 2 3 5" xfId="46413" xr:uid="{00000000-0005-0000-0000-0000F5350000}"/>
    <cellStyle name="Normal 20 2 2 2 4" xfId="23213" xr:uid="{00000000-0005-0000-0000-0000F6350000}"/>
    <cellStyle name="Normal 20 2 2 2 4 2" xfId="23341" xr:uid="{00000000-0005-0000-0000-0000F7350000}"/>
    <cellStyle name="Normal 20 2 2 2 4 2 2" xfId="46584" xr:uid="{00000000-0005-0000-0000-0000F8350000}"/>
    <cellStyle name="Normal 20 2 2 2 4 3" xfId="23510" xr:uid="{00000000-0005-0000-0000-0000F9350000}"/>
    <cellStyle name="Normal 20 2 2 2 4 3 2" xfId="46753" xr:uid="{00000000-0005-0000-0000-0000FA350000}"/>
    <cellStyle name="Normal 20 2 2 2 4 4" xfId="46458" xr:uid="{00000000-0005-0000-0000-0000FB350000}"/>
    <cellStyle name="Normal 20 2 2 2 5" xfId="23334" xr:uid="{00000000-0005-0000-0000-0000FC350000}"/>
    <cellStyle name="Normal 20 2 2 2 5 2" xfId="46577" xr:uid="{00000000-0005-0000-0000-0000FD350000}"/>
    <cellStyle name="Normal 20 2 2 2 6" xfId="23503" xr:uid="{00000000-0005-0000-0000-0000FE350000}"/>
    <cellStyle name="Normal 20 2 2 2 6 2" xfId="46746" xr:uid="{00000000-0005-0000-0000-0000FF350000}"/>
    <cellStyle name="Normal 20 2 2 2 7" xfId="46375" xr:uid="{00000000-0005-0000-0000-000000360000}"/>
    <cellStyle name="Normal 20 2 2 3" xfId="23122" xr:uid="{00000000-0005-0000-0000-000001360000}"/>
    <cellStyle name="Normal 20 2 2 3 2" xfId="23170" xr:uid="{00000000-0005-0000-0000-000002360000}"/>
    <cellStyle name="Normal 20 2 2 3 2 2" xfId="23254" xr:uid="{00000000-0005-0000-0000-000003360000}"/>
    <cellStyle name="Normal 20 2 2 3 2 2 2" xfId="23344" xr:uid="{00000000-0005-0000-0000-000004360000}"/>
    <cellStyle name="Normal 20 2 2 3 2 2 2 2" xfId="46587" xr:uid="{00000000-0005-0000-0000-000005360000}"/>
    <cellStyle name="Normal 20 2 2 3 2 2 3" xfId="23513" xr:uid="{00000000-0005-0000-0000-000006360000}"/>
    <cellStyle name="Normal 20 2 2 3 2 2 3 2" xfId="46756" xr:uid="{00000000-0005-0000-0000-000007360000}"/>
    <cellStyle name="Normal 20 2 2 3 2 2 4" xfId="46498" xr:uid="{00000000-0005-0000-0000-000008360000}"/>
    <cellStyle name="Normal 20 2 2 3 2 3" xfId="23343" xr:uid="{00000000-0005-0000-0000-000009360000}"/>
    <cellStyle name="Normal 20 2 2 3 2 3 2" xfId="46586" xr:uid="{00000000-0005-0000-0000-00000A360000}"/>
    <cellStyle name="Normal 20 2 2 3 2 4" xfId="23512" xr:uid="{00000000-0005-0000-0000-00000B360000}"/>
    <cellStyle name="Normal 20 2 2 3 2 4 2" xfId="46755" xr:uid="{00000000-0005-0000-0000-00000C360000}"/>
    <cellStyle name="Normal 20 2 2 3 2 5" xfId="46415" xr:uid="{00000000-0005-0000-0000-00000D360000}"/>
    <cellStyle name="Normal 20 2 2 3 3" xfId="23206" xr:uid="{00000000-0005-0000-0000-00000E360000}"/>
    <cellStyle name="Normal 20 2 2 3 3 2" xfId="23345" xr:uid="{00000000-0005-0000-0000-00000F360000}"/>
    <cellStyle name="Normal 20 2 2 3 3 2 2" xfId="46588" xr:uid="{00000000-0005-0000-0000-000010360000}"/>
    <cellStyle name="Normal 20 2 2 3 3 3" xfId="23514" xr:uid="{00000000-0005-0000-0000-000011360000}"/>
    <cellStyle name="Normal 20 2 2 3 3 3 2" xfId="46757" xr:uid="{00000000-0005-0000-0000-000012360000}"/>
    <cellStyle name="Normal 20 2 2 3 3 4" xfId="46451" xr:uid="{00000000-0005-0000-0000-000013360000}"/>
    <cellStyle name="Normal 20 2 2 3 4" xfId="23342" xr:uid="{00000000-0005-0000-0000-000014360000}"/>
    <cellStyle name="Normal 20 2 2 3 4 2" xfId="46585" xr:uid="{00000000-0005-0000-0000-000015360000}"/>
    <cellStyle name="Normal 20 2 2 3 5" xfId="23511" xr:uid="{00000000-0005-0000-0000-000016360000}"/>
    <cellStyle name="Normal 20 2 2 3 5 2" xfId="46754" xr:uid="{00000000-0005-0000-0000-000017360000}"/>
    <cellStyle name="Normal 20 2 2 3 6" xfId="46368" xr:uid="{00000000-0005-0000-0000-000018360000}"/>
    <cellStyle name="Normal 20 2 2 4" xfId="23136" xr:uid="{00000000-0005-0000-0000-000019360000}"/>
    <cellStyle name="Normal 20 2 2 4 2" xfId="23171" xr:uid="{00000000-0005-0000-0000-00001A360000}"/>
    <cellStyle name="Normal 20 2 2 4 2 2" xfId="23255" xr:uid="{00000000-0005-0000-0000-00001B360000}"/>
    <cellStyle name="Normal 20 2 2 4 2 2 2" xfId="23348" xr:uid="{00000000-0005-0000-0000-00001C360000}"/>
    <cellStyle name="Normal 20 2 2 4 2 2 2 2" xfId="46591" xr:uid="{00000000-0005-0000-0000-00001D360000}"/>
    <cellStyle name="Normal 20 2 2 4 2 2 3" xfId="23517" xr:uid="{00000000-0005-0000-0000-00001E360000}"/>
    <cellStyle name="Normal 20 2 2 4 2 2 3 2" xfId="46760" xr:uid="{00000000-0005-0000-0000-00001F360000}"/>
    <cellStyle name="Normal 20 2 2 4 2 2 4" xfId="46499" xr:uid="{00000000-0005-0000-0000-000020360000}"/>
    <cellStyle name="Normal 20 2 2 4 2 3" xfId="23347" xr:uid="{00000000-0005-0000-0000-000021360000}"/>
    <cellStyle name="Normal 20 2 2 4 2 3 2" xfId="46590" xr:uid="{00000000-0005-0000-0000-000022360000}"/>
    <cellStyle name="Normal 20 2 2 4 2 4" xfId="23516" xr:uid="{00000000-0005-0000-0000-000023360000}"/>
    <cellStyle name="Normal 20 2 2 4 2 4 2" xfId="46759" xr:uid="{00000000-0005-0000-0000-000024360000}"/>
    <cellStyle name="Normal 20 2 2 4 2 5" xfId="46416" xr:uid="{00000000-0005-0000-0000-000025360000}"/>
    <cellStyle name="Normal 20 2 2 4 3" xfId="23220" xr:uid="{00000000-0005-0000-0000-000026360000}"/>
    <cellStyle name="Normal 20 2 2 4 3 2" xfId="23349" xr:uid="{00000000-0005-0000-0000-000027360000}"/>
    <cellStyle name="Normal 20 2 2 4 3 2 2" xfId="46592" xr:uid="{00000000-0005-0000-0000-000028360000}"/>
    <cellStyle name="Normal 20 2 2 4 3 3" xfId="23518" xr:uid="{00000000-0005-0000-0000-000029360000}"/>
    <cellStyle name="Normal 20 2 2 4 3 3 2" xfId="46761" xr:uid="{00000000-0005-0000-0000-00002A360000}"/>
    <cellStyle name="Normal 20 2 2 4 3 4" xfId="46465" xr:uid="{00000000-0005-0000-0000-00002B360000}"/>
    <cellStyle name="Normal 20 2 2 4 4" xfId="23346" xr:uid="{00000000-0005-0000-0000-00002C360000}"/>
    <cellStyle name="Normal 20 2 2 4 4 2" xfId="46589" xr:uid="{00000000-0005-0000-0000-00002D360000}"/>
    <cellStyle name="Normal 20 2 2 4 5" xfId="23515" xr:uid="{00000000-0005-0000-0000-00002E360000}"/>
    <cellStyle name="Normal 20 2 2 4 5 2" xfId="46758" xr:uid="{00000000-0005-0000-0000-00002F360000}"/>
    <cellStyle name="Normal 20 2 2 4 6" xfId="46382" xr:uid="{00000000-0005-0000-0000-000030360000}"/>
    <cellStyle name="Normal 20 2 2 5" xfId="23150" xr:uid="{00000000-0005-0000-0000-000031360000}"/>
    <cellStyle name="Normal 20 2 2 5 2" xfId="23172" xr:uid="{00000000-0005-0000-0000-000032360000}"/>
    <cellStyle name="Normal 20 2 2 5 2 2" xfId="23256" xr:uid="{00000000-0005-0000-0000-000033360000}"/>
    <cellStyle name="Normal 20 2 2 5 2 2 2" xfId="23352" xr:uid="{00000000-0005-0000-0000-000034360000}"/>
    <cellStyle name="Normal 20 2 2 5 2 2 2 2" xfId="46595" xr:uid="{00000000-0005-0000-0000-000035360000}"/>
    <cellStyle name="Normal 20 2 2 5 2 2 3" xfId="23521" xr:uid="{00000000-0005-0000-0000-000036360000}"/>
    <cellStyle name="Normal 20 2 2 5 2 2 3 2" xfId="46764" xr:uid="{00000000-0005-0000-0000-000037360000}"/>
    <cellStyle name="Normal 20 2 2 5 2 2 4" xfId="46500" xr:uid="{00000000-0005-0000-0000-000038360000}"/>
    <cellStyle name="Normal 20 2 2 5 2 3" xfId="23351" xr:uid="{00000000-0005-0000-0000-000039360000}"/>
    <cellStyle name="Normal 20 2 2 5 2 3 2" xfId="46594" xr:uid="{00000000-0005-0000-0000-00003A360000}"/>
    <cellStyle name="Normal 20 2 2 5 2 4" xfId="23520" xr:uid="{00000000-0005-0000-0000-00003B360000}"/>
    <cellStyle name="Normal 20 2 2 5 2 4 2" xfId="46763" xr:uid="{00000000-0005-0000-0000-00003C360000}"/>
    <cellStyle name="Normal 20 2 2 5 2 5" xfId="46417" xr:uid="{00000000-0005-0000-0000-00003D360000}"/>
    <cellStyle name="Normal 20 2 2 5 3" xfId="23234" xr:uid="{00000000-0005-0000-0000-00003E360000}"/>
    <cellStyle name="Normal 20 2 2 5 3 2" xfId="23353" xr:uid="{00000000-0005-0000-0000-00003F360000}"/>
    <cellStyle name="Normal 20 2 2 5 3 2 2" xfId="46596" xr:uid="{00000000-0005-0000-0000-000040360000}"/>
    <cellStyle name="Normal 20 2 2 5 3 3" xfId="23522" xr:uid="{00000000-0005-0000-0000-000041360000}"/>
    <cellStyle name="Normal 20 2 2 5 3 3 2" xfId="46765" xr:uid="{00000000-0005-0000-0000-000042360000}"/>
    <cellStyle name="Normal 20 2 2 5 3 4" xfId="46479" xr:uid="{00000000-0005-0000-0000-000043360000}"/>
    <cellStyle name="Normal 20 2 2 5 4" xfId="23350" xr:uid="{00000000-0005-0000-0000-000044360000}"/>
    <cellStyle name="Normal 20 2 2 5 4 2" xfId="46593" xr:uid="{00000000-0005-0000-0000-000045360000}"/>
    <cellStyle name="Normal 20 2 2 5 5" xfId="23519" xr:uid="{00000000-0005-0000-0000-000046360000}"/>
    <cellStyle name="Normal 20 2 2 5 5 2" xfId="46762" xr:uid="{00000000-0005-0000-0000-000047360000}"/>
    <cellStyle name="Normal 20 2 2 5 6" xfId="46396" xr:uid="{00000000-0005-0000-0000-000048360000}"/>
    <cellStyle name="Normal 20 2 2 6" xfId="23167" xr:uid="{00000000-0005-0000-0000-000049360000}"/>
    <cellStyle name="Normal 20 2 2 6 2" xfId="23251" xr:uid="{00000000-0005-0000-0000-00004A360000}"/>
    <cellStyle name="Normal 20 2 2 6 2 2" xfId="23355" xr:uid="{00000000-0005-0000-0000-00004B360000}"/>
    <cellStyle name="Normal 20 2 2 6 2 2 2" xfId="46598" xr:uid="{00000000-0005-0000-0000-00004C360000}"/>
    <cellStyle name="Normal 20 2 2 6 2 3" xfId="23524" xr:uid="{00000000-0005-0000-0000-00004D360000}"/>
    <cellStyle name="Normal 20 2 2 6 2 3 2" xfId="46767" xr:uid="{00000000-0005-0000-0000-00004E360000}"/>
    <cellStyle name="Normal 20 2 2 6 2 4" xfId="46495" xr:uid="{00000000-0005-0000-0000-00004F360000}"/>
    <cellStyle name="Normal 20 2 2 6 3" xfId="23354" xr:uid="{00000000-0005-0000-0000-000050360000}"/>
    <cellStyle name="Normal 20 2 2 6 3 2" xfId="46597" xr:uid="{00000000-0005-0000-0000-000051360000}"/>
    <cellStyle name="Normal 20 2 2 6 4" xfId="23523" xr:uid="{00000000-0005-0000-0000-000052360000}"/>
    <cellStyle name="Normal 20 2 2 6 4 2" xfId="46766" xr:uid="{00000000-0005-0000-0000-000053360000}"/>
    <cellStyle name="Normal 20 2 2 6 5" xfId="46412" xr:uid="{00000000-0005-0000-0000-000054360000}"/>
    <cellStyle name="Normal 20 2 2 7" xfId="23199" xr:uid="{00000000-0005-0000-0000-000055360000}"/>
    <cellStyle name="Normal 20 2 2 7 2" xfId="23356" xr:uid="{00000000-0005-0000-0000-000056360000}"/>
    <cellStyle name="Normal 20 2 2 7 2 2" xfId="46599" xr:uid="{00000000-0005-0000-0000-000057360000}"/>
    <cellStyle name="Normal 20 2 2 7 3" xfId="23525" xr:uid="{00000000-0005-0000-0000-000058360000}"/>
    <cellStyle name="Normal 20 2 2 7 3 2" xfId="46768" xr:uid="{00000000-0005-0000-0000-000059360000}"/>
    <cellStyle name="Normal 20 2 2 7 4" xfId="46444" xr:uid="{00000000-0005-0000-0000-00005A360000}"/>
    <cellStyle name="Normal 20 2 2 8" xfId="23333" xr:uid="{00000000-0005-0000-0000-00005B360000}"/>
    <cellStyle name="Normal 20 2 2 8 2" xfId="46576" xr:uid="{00000000-0005-0000-0000-00005C360000}"/>
    <cellStyle name="Normal 20 2 2 9" xfId="23502" xr:uid="{00000000-0005-0000-0000-00005D360000}"/>
    <cellStyle name="Normal 20 2 2 9 2" xfId="46745" xr:uid="{00000000-0005-0000-0000-00005E360000}"/>
    <cellStyle name="Normal 20 2 3" xfId="23126" xr:uid="{00000000-0005-0000-0000-00005F360000}"/>
    <cellStyle name="Normal 20 2 3 2" xfId="23140" xr:uid="{00000000-0005-0000-0000-000060360000}"/>
    <cellStyle name="Normal 20 2 3 2 2" xfId="23174" xr:uid="{00000000-0005-0000-0000-000061360000}"/>
    <cellStyle name="Normal 20 2 3 2 2 2" xfId="23258" xr:uid="{00000000-0005-0000-0000-000062360000}"/>
    <cellStyle name="Normal 20 2 3 2 2 2 2" xfId="23360" xr:uid="{00000000-0005-0000-0000-000063360000}"/>
    <cellStyle name="Normal 20 2 3 2 2 2 2 2" xfId="46603" xr:uid="{00000000-0005-0000-0000-000064360000}"/>
    <cellStyle name="Normal 20 2 3 2 2 2 3" xfId="23529" xr:uid="{00000000-0005-0000-0000-000065360000}"/>
    <cellStyle name="Normal 20 2 3 2 2 2 3 2" xfId="46772" xr:uid="{00000000-0005-0000-0000-000066360000}"/>
    <cellStyle name="Normal 20 2 3 2 2 2 4" xfId="46502" xr:uid="{00000000-0005-0000-0000-000067360000}"/>
    <cellStyle name="Normal 20 2 3 2 2 3" xfId="23359" xr:uid="{00000000-0005-0000-0000-000068360000}"/>
    <cellStyle name="Normal 20 2 3 2 2 3 2" xfId="46602" xr:uid="{00000000-0005-0000-0000-000069360000}"/>
    <cellStyle name="Normal 20 2 3 2 2 4" xfId="23528" xr:uid="{00000000-0005-0000-0000-00006A360000}"/>
    <cellStyle name="Normal 20 2 3 2 2 4 2" xfId="46771" xr:uid="{00000000-0005-0000-0000-00006B360000}"/>
    <cellStyle name="Normal 20 2 3 2 2 5" xfId="46419" xr:uid="{00000000-0005-0000-0000-00006C360000}"/>
    <cellStyle name="Normal 20 2 3 2 3" xfId="23224" xr:uid="{00000000-0005-0000-0000-00006D360000}"/>
    <cellStyle name="Normal 20 2 3 2 3 2" xfId="23361" xr:uid="{00000000-0005-0000-0000-00006E360000}"/>
    <cellStyle name="Normal 20 2 3 2 3 2 2" xfId="46604" xr:uid="{00000000-0005-0000-0000-00006F360000}"/>
    <cellStyle name="Normal 20 2 3 2 3 3" xfId="23530" xr:uid="{00000000-0005-0000-0000-000070360000}"/>
    <cellStyle name="Normal 20 2 3 2 3 3 2" xfId="46773" xr:uid="{00000000-0005-0000-0000-000071360000}"/>
    <cellStyle name="Normal 20 2 3 2 3 4" xfId="46469" xr:uid="{00000000-0005-0000-0000-000072360000}"/>
    <cellStyle name="Normal 20 2 3 2 4" xfId="23358" xr:uid="{00000000-0005-0000-0000-000073360000}"/>
    <cellStyle name="Normal 20 2 3 2 4 2" xfId="46601" xr:uid="{00000000-0005-0000-0000-000074360000}"/>
    <cellStyle name="Normal 20 2 3 2 5" xfId="23527" xr:uid="{00000000-0005-0000-0000-000075360000}"/>
    <cellStyle name="Normal 20 2 3 2 5 2" xfId="46770" xr:uid="{00000000-0005-0000-0000-000076360000}"/>
    <cellStyle name="Normal 20 2 3 2 6" xfId="46386" xr:uid="{00000000-0005-0000-0000-000077360000}"/>
    <cellStyle name="Normal 20 2 3 3" xfId="23173" xr:uid="{00000000-0005-0000-0000-000078360000}"/>
    <cellStyle name="Normal 20 2 3 3 2" xfId="23257" xr:uid="{00000000-0005-0000-0000-000079360000}"/>
    <cellStyle name="Normal 20 2 3 3 2 2" xfId="23363" xr:uid="{00000000-0005-0000-0000-00007A360000}"/>
    <cellStyle name="Normal 20 2 3 3 2 2 2" xfId="46606" xr:uid="{00000000-0005-0000-0000-00007B360000}"/>
    <cellStyle name="Normal 20 2 3 3 2 3" xfId="23532" xr:uid="{00000000-0005-0000-0000-00007C360000}"/>
    <cellStyle name="Normal 20 2 3 3 2 3 2" xfId="46775" xr:uid="{00000000-0005-0000-0000-00007D360000}"/>
    <cellStyle name="Normal 20 2 3 3 2 4" xfId="46501" xr:uid="{00000000-0005-0000-0000-00007E360000}"/>
    <cellStyle name="Normal 20 2 3 3 3" xfId="23362" xr:uid="{00000000-0005-0000-0000-00007F360000}"/>
    <cellStyle name="Normal 20 2 3 3 3 2" xfId="46605" xr:uid="{00000000-0005-0000-0000-000080360000}"/>
    <cellStyle name="Normal 20 2 3 3 4" xfId="23531" xr:uid="{00000000-0005-0000-0000-000081360000}"/>
    <cellStyle name="Normal 20 2 3 3 4 2" xfId="46774" xr:uid="{00000000-0005-0000-0000-000082360000}"/>
    <cellStyle name="Normal 20 2 3 3 5" xfId="46418" xr:uid="{00000000-0005-0000-0000-000083360000}"/>
    <cellStyle name="Normal 20 2 3 4" xfId="23210" xr:uid="{00000000-0005-0000-0000-000084360000}"/>
    <cellStyle name="Normal 20 2 3 4 2" xfId="23364" xr:uid="{00000000-0005-0000-0000-000085360000}"/>
    <cellStyle name="Normal 20 2 3 4 2 2" xfId="46607" xr:uid="{00000000-0005-0000-0000-000086360000}"/>
    <cellStyle name="Normal 20 2 3 4 3" xfId="23533" xr:uid="{00000000-0005-0000-0000-000087360000}"/>
    <cellStyle name="Normal 20 2 3 4 3 2" xfId="46776" xr:uid="{00000000-0005-0000-0000-000088360000}"/>
    <cellStyle name="Normal 20 2 3 4 4" xfId="46455" xr:uid="{00000000-0005-0000-0000-000089360000}"/>
    <cellStyle name="Normal 20 2 3 5" xfId="23357" xr:uid="{00000000-0005-0000-0000-00008A360000}"/>
    <cellStyle name="Normal 20 2 3 5 2" xfId="46600" xr:uid="{00000000-0005-0000-0000-00008B360000}"/>
    <cellStyle name="Normal 20 2 3 6" xfId="23526" xr:uid="{00000000-0005-0000-0000-00008C360000}"/>
    <cellStyle name="Normal 20 2 3 6 2" xfId="46769" xr:uid="{00000000-0005-0000-0000-00008D360000}"/>
    <cellStyle name="Normal 20 2 3 7" xfId="46372" xr:uid="{00000000-0005-0000-0000-00008E360000}"/>
    <cellStyle name="Normal 20 2 4" xfId="23119" xr:uid="{00000000-0005-0000-0000-00008F360000}"/>
    <cellStyle name="Normal 20 2 4 2" xfId="23175" xr:uid="{00000000-0005-0000-0000-000090360000}"/>
    <cellStyle name="Normal 20 2 4 2 2" xfId="23259" xr:uid="{00000000-0005-0000-0000-000091360000}"/>
    <cellStyle name="Normal 20 2 4 2 2 2" xfId="23367" xr:uid="{00000000-0005-0000-0000-000092360000}"/>
    <cellStyle name="Normal 20 2 4 2 2 2 2" xfId="46610" xr:uid="{00000000-0005-0000-0000-000093360000}"/>
    <cellStyle name="Normal 20 2 4 2 2 3" xfId="23536" xr:uid="{00000000-0005-0000-0000-000094360000}"/>
    <cellStyle name="Normal 20 2 4 2 2 3 2" xfId="46779" xr:uid="{00000000-0005-0000-0000-000095360000}"/>
    <cellStyle name="Normal 20 2 4 2 2 4" xfId="46503" xr:uid="{00000000-0005-0000-0000-000096360000}"/>
    <cellStyle name="Normal 20 2 4 2 3" xfId="23366" xr:uid="{00000000-0005-0000-0000-000097360000}"/>
    <cellStyle name="Normal 20 2 4 2 3 2" xfId="46609" xr:uid="{00000000-0005-0000-0000-000098360000}"/>
    <cellStyle name="Normal 20 2 4 2 4" xfId="23535" xr:uid="{00000000-0005-0000-0000-000099360000}"/>
    <cellStyle name="Normal 20 2 4 2 4 2" xfId="46778" xr:uid="{00000000-0005-0000-0000-00009A360000}"/>
    <cellStyle name="Normal 20 2 4 2 5" xfId="46420" xr:uid="{00000000-0005-0000-0000-00009B360000}"/>
    <cellStyle name="Normal 20 2 4 3" xfId="23203" xr:uid="{00000000-0005-0000-0000-00009C360000}"/>
    <cellStyle name="Normal 20 2 4 3 2" xfId="23368" xr:uid="{00000000-0005-0000-0000-00009D360000}"/>
    <cellStyle name="Normal 20 2 4 3 2 2" xfId="46611" xr:uid="{00000000-0005-0000-0000-00009E360000}"/>
    <cellStyle name="Normal 20 2 4 3 3" xfId="23537" xr:uid="{00000000-0005-0000-0000-00009F360000}"/>
    <cellStyle name="Normal 20 2 4 3 3 2" xfId="46780" xr:uid="{00000000-0005-0000-0000-0000A0360000}"/>
    <cellStyle name="Normal 20 2 4 3 4" xfId="46448" xr:uid="{00000000-0005-0000-0000-0000A1360000}"/>
    <cellStyle name="Normal 20 2 4 4" xfId="23365" xr:uid="{00000000-0005-0000-0000-0000A2360000}"/>
    <cellStyle name="Normal 20 2 4 4 2" xfId="46608" xr:uid="{00000000-0005-0000-0000-0000A3360000}"/>
    <cellStyle name="Normal 20 2 4 5" xfId="23534" xr:uid="{00000000-0005-0000-0000-0000A4360000}"/>
    <cellStyle name="Normal 20 2 4 5 2" xfId="46777" xr:uid="{00000000-0005-0000-0000-0000A5360000}"/>
    <cellStyle name="Normal 20 2 4 6" xfId="46365" xr:uid="{00000000-0005-0000-0000-0000A6360000}"/>
    <cellStyle name="Normal 20 2 5" xfId="23133" xr:uid="{00000000-0005-0000-0000-0000A7360000}"/>
    <cellStyle name="Normal 20 2 5 2" xfId="23176" xr:uid="{00000000-0005-0000-0000-0000A8360000}"/>
    <cellStyle name="Normal 20 2 5 2 2" xfId="23260" xr:uid="{00000000-0005-0000-0000-0000A9360000}"/>
    <cellStyle name="Normal 20 2 5 2 2 2" xfId="23371" xr:uid="{00000000-0005-0000-0000-0000AA360000}"/>
    <cellStyle name="Normal 20 2 5 2 2 2 2" xfId="46614" xr:uid="{00000000-0005-0000-0000-0000AB360000}"/>
    <cellStyle name="Normal 20 2 5 2 2 3" xfId="23540" xr:uid="{00000000-0005-0000-0000-0000AC360000}"/>
    <cellStyle name="Normal 20 2 5 2 2 3 2" xfId="46783" xr:uid="{00000000-0005-0000-0000-0000AD360000}"/>
    <cellStyle name="Normal 20 2 5 2 2 4" xfId="46504" xr:uid="{00000000-0005-0000-0000-0000AE360000}"/>
    <cellStyle name="Normal 20 2 5 2 3" xfId="23370" xr:uid="{00000000-0005-0000-0000-0000AF360000}"/>
    <cellStyle name="Normal 20 2 5 2 3 2" xfId="46613" xr:uid="{00000000-0005-0000-0000-0000B0360000}"/>
    <cellStyle name="Normal 20 2 5 2 4" xfId="23539" xr:uid="{00000000-0005-0000-0000-0000B1360000}"/>
    <cellStyle name="Normal 20 2 5 2 4 2" xfId="46782" xr:uid="{00000000-0005-0000-0000-0000B2360000}"/>
    <cellStyle name="Normal 20 2 5 2 5" xfId="46421" xr:uid="{00000000-0005-0000-0000-0000B3360000}"/>
    <cellStyle name="Normal 20 2 5 3" xfId="23217" xr:uid="{00000000-0005-0000-0000-0000B4360000}"/>
    <cellStyle name="Normal 20 2 5 3 2" xfId="23372" xr:uid="{00000000-0005-0000-0000-0000B5360000}"/>
    <cellStyle name="Normal 20 2 5 3 2 2" xfId="46615" xr:uid="{00000000-0005-0000-0000-0000B6360000}"/>
    <cellStyle name="Normal 20 2 5 3 3" xfId="23541" xr:uid="{00000000-0005-0000-0000-0000B7360000}"/>
    <cellStyle name="Normal 20 2 5 3 3 2" xfId="46784" xr:uid="{00000000-0005-0000-0000-0000B8360000}"/>
    <cellStyle name="Normal 20 2 5 3 4" xfId="46462" xr:uid="{00000000-0005-0000-0000-0000B9360000}"/>
    <cellStyle name="Normal 20 2 5 4" xfId="23369" xr:uid="{00000000-0005-0000-0000-0000BA360000}"/>
    <cellStyle name="Normal 20 2 5 4 2" xfId="46612" xr:uid="{00000000-0005-0000-0000-0000BB360000}"/>
    <cellStyle name="Normal 20 2 5 5" xfId="23538" xr:uid="{00000000-0005-0000-0000-0000BC360000}"/>
    <cellStyle name="Normal 20 2 5 5 2" xfId="46781" xr:uid="{00000000-0005-0000-0000-0000BD360000}"/>
    <cellStyle name="Normal 20 2 5 6" xfId="46379" xr:uid="{00000000-0005-0000-0000-0000BE360000}"/>
    <cellStyle name="Normal 20 2 6" xfId="23147" xr:uid="{00000000-0005-0000-0000-0000BF360000}"/>
    <cellStyle name="Normal 20 2 6 2" xfId="23177" xr:uid="{00000000-0005-0000-0000-0000C0360000}"/>
    <cellStyle name="Normal 20 2 6 2 2" xfId="23261" xr:uid="{00000000-0005-0000-0000-0000C1360000}"/>
    <cellStyle name="Normal 20 2 6 2 2 2" xfId="23375" xr:uid="{00000000-0005-0000-0000-0000C2360000}"/>
    <cellStyle name="Normal 20 2 6 2 2 2 2" xfId="46618" xr:uid="{00000000-0005-0000-0000-0000C3360000}"/>
    <cellStyle name="Normal 20 2 6 2 2 3" xfId="23544" xr:uid="{00000000-0005-0000-0000-0000C4360000}"/>
    <cellStyle name="Normal 20 2 6 2 2 3 2" xfId="46787" xr:uid="{00000000-0005-0000-0000-0000C5360000}"/>
    <cellStyle name="Normal 20 2 6 2 2 4" xfId="46505" xr:uid="{00000000-0005-0000-0000-0000C6360000}"/>
    <cellStyle name="Normal 20 2 6 2 3" xfId="23374" xr:uid="{00000000-0005-0000-0000-0000C7360000}"/>
    <cellStyle name="Normal 20 2 6 2 3 2" xfId="46617" xr:uid="{00000000-0005-0000-0000-0000C8360000}"/>
    <cellStyle name="Normal 20 2 6 2 4" xfId="23543" xr:uid="{00000000-0005-0000-0000-0000C9360000}"/>
    <cellStyle name="Normal 20 2 6 2 4 2" xfId="46786" xr:uid="{00000000-0005-0000-0000-0000CA360000}"/>
    <cellStyle name="Normal 20 2 6 2 5" xfId="46422" xr:uid="{00000000-0005-0000-0000-0000CB360000}"/>
    <cellStyle name="Normal 20 2 6 3" xfId="23231" xr:uid="{00000000-0005-0000-0000-0000CC360000}"/>
    <cellStyle name="Normal 20 2 6 3 2" xfId="23376" xr:uid="{00000000-0005-0000-0000-0000CD360000}"/>
    <cellStyle name="Normal 20 2 6 3 2 2" xfId="46619" xr:uid="{00000000-0005-0000-0000-0000CE360000}"/>
    <cellStyle name="Normal 20 2 6 3 3" xfId="23545" xr:uid="{00000000-0005-0000-0000-0000CF360000}"/>
    <cellStyle name="Normal 20 2 6 3 3 2" xfId="46788" xr:uid="{00000000-0005-0000-0000-0000D0360000}"/>
    <cellStyle name="Normal 20 2 6 3 4" xfId="46476" xr:uid="{00000000-0005-0000-0000-0000D1360000}"/>
    <cellStyle name="Normal 20 2 6 4" xfId="23373" xr:uid="{00000000-0005-0000-0000-0000D2360000}"/>
    <cellStyle name="Normal 20 2 6 4 2" xfId="46616" xr:uid="{00000000-0005-0000-0000-0000D3360000}"/>
    <cellStyle name="Normal 20 2 6 5" xfId="23542" xr:uid="{00000000-0005-0000-0000-0000D4360000}"/>
    <cellStyle name="Normal 20 2 6 5 2" xfId="46785" xr:uid="{00000000-0005-0000-0000-0000D5360000}"/>
    <cellStyle name="Normal 20 2 6 6" xfId="46393" xr:uid="{00000000-0005-0000-0000-0000D6360000}"/>
    <cellStyle name="Normal 20 2 7" xfId="23166" xr:uid="{00000000-0005-0000-0000-0000D7360000}"/>
    <cellStyle name="Normal 20 2 7 2" xfId="23250" xr:uid="{00000000-0005-0000-0000-0000D8360000}"/>
    <cellStyle name="Normal 20 2 7 2 2" xfId="23378" xr:uid="{00000000-0005-0000-0000-0000D9360000}"/>
    <cellStyle name="Normal 20 2 7 2 2 2" xfId="46621" xr:uid="{00000000-0005-0000-0000-0000DA360000}"/>
    <cellStyle name="Normal 20 2 7 2 3" xfId="23547" xr:uid="{00000000-0005-0000-0000-0000DB360000}"/>
    <cellStyle name="Normal 20 2 7 2 3 2" xfId="46790" xr:uid="{00000000-0005-0000-0000-0000DC360000}"/>
    <cellStyle name="Normal 20 2 7 2 4" xfId="46494" xr:uid="{00000000-0005-0000-0000-0000DD360000}"/>
    <cellStyle name="Normal 20 2 7 3" xfId="23377" xr:uid="{00000000-0005-0000-0000-0000DE360000}"/>
    <cellStyle name="Normal 20 2 7 3 2" xfId="46620" xr:uid="{00000000-0005-0000-0000-0000DF360000}"/>
    <cellStyle name="Normal 20 2 7 4" xfId="23546" xr:uid="{00000000-0005-0000-0000-0000E0360000}"/>
    <cellStyle name="Normal 20 2 7 4 2" xfId="46789" xr:uid="{00000000-0005-0000-0000-0000E1360000}"/>
    <cellStyle name="Normal 20 2 7 5" xfId="46411" xr:uid="{00000000-0005-0000-0000-0000E2360000}"/>
    <cellStyle name="Normal 20 2 8" xfId="23196" xr:uid="{00000000-0005-0000-0000-0000E3360000}"/>
    <cellStyle name="Normal 20 2 8 2" xfId="23379" xr:uid="{00000000-0005-0000-0000-0000E4360000}"/>
    <cellStyle name="Normal 20 2 8 2 2" xfId="46622" xr:uid="{00000000-0005-0000-0000-0000E5360000}"/>
    <cellStyle name="Normal 20 2 8 3" xfId="23548" xr:uid="{00000000-0005-0000-0000-0000E6360000}"/>
    <cellStyle name="Normal 20 2 8 3 2" xfId="46791" xr:uid="{00000000-0005-0000-0000-0000E7360000}"/>
    <cellStyle name="Normal 20 2 8 4" xfId="46441" xr:uid="{00000000-0005-0000-0000-0000E8360000}"/>
    <cellStyle name="Normal 20 2 9" xfId="23332" xr:uid="{00000000-0005-0000-0000-0000E9360000}"/>
    <cellStyle name="Normal 20 2 9 2" xfId="46575" xr:uid="{00000000-0005-0000-0000-0000EA360000}"/>
    <cellStyle name="Normal 20 3" xfId="186" xr:uid="{00000000-0005-0000-0000-0000EB360000}"/>
    <cellStyle name="Normal 20 3 10" xfId="23721" xr:uid="{00000000-0005-0000-0000-0000EC360000}"/>
    <cellStyle name="Normal 20 3 2" xfId="23128" xr:uid="{00000000-0005-0000-0000-0000ED360000}"/>
    <cellStyle name="Normal 20 3 2 2" xfId="23142" xr:uid="{00000000-0005-0000-0000-0000EE360000}"/>
    <cellStyle name="Normal 20 3 2 2 2" xfId="23180" xr:uid="{00000000-0005-0000-0000-0000EF360000}"/>
    <cellStyle name="Normal 20 3 2 2 2 2" xfId="23264" xr:uid="{00000000-0005-0000-0000-0000F0360000}"/>
    <cellStyle name="Normal 20 3 2 2 2 2 2" xfId="23384" xr:uid="{00000000-0005-0000-0000-0000F1360000}"/>
    <cellStyle name="Normal 20 3 2 2 2 2 2 2" xfId="46627" xr:uid="{00000000-0005-0000-0000-0000F2360000}"/>
    <cellStyle name="Normal 20 3 2 2 2 2 3" xfId="23553" xr:uid="{00000000-0005-0000-0000-0000F3360000}"/>
    <cellStyle name="Normal 20 3 2 2 2 2 3 2" xfId="46796" xr:uid="{00000000-0005-0000-0000-0000F4360000}"/>
    <cellStyle name="Normal 20 3 2 2 2 2 4" xfId="46508" xr:uid="{00000000-0005-0000-0000-0000F5360000}"/>
    <cellStyle name="Normal 20 3 2 2 2 3" xfId="23383" xr:uid="{00000000-0005-0000-0000-0000F6360000}"/>
    <cellStyle name="Normal 20 3 2 2 2 3 2" xfId="46626" xr:uid="{00000000-0005-0000-0000-0000F7360000}"/>
    <cellStyle name="Normal 20 3 2 2 2 4" xfId="23552" xr:uid="{00000000-0005-0000-0000-0000F8360000}"/>
    <cellStyle name="Normal 20 3 2 2 2 4 2" xfId="46795" xr:uid="{00000000-0005-0000-0000-0000F9360000}"/>
    <cellStyle name="Normal 20 3 2 2 2 5" xfId="46425" xr:uid="{00000000-0005-0000-0000-0000FA360000}"/>
    <cellStyle name="Normal 20 3 2 2 3" xfId="23226" xr:uid="{00000000-0005-0000-0000-0000FB360000}"/>
    <cellStyle name="Normal 20 3 2 2 3 2" xfId="23385" xr:uid="{00000000-0005-0000-0000-0000FC360000}"/>
    <cellStyle name="Normal 20 3 2 2 3 2 2" xfId="46628" xr:uid="{00000000-0005-0000-0000-0000FD360000}"/>
    <cellStyle name="Normal 20 3 2 2 3 3" xfId="23554" xr:uid="{00000000-0005-0000-0000-0000FE360000}"/>
    <cellStyle name="Normal 20 3 2 2 3 3 2" xfId="46797" xr:uid="{00000000-0005-0000-0000-0000FF360000}"/>
    <cellStyle name="Normal 20 3 2 2 3 4" xfId="46471" xr:uid="{00000000-0005-0000-0000-000000370000}"/>
    <cellStyle name="Normal 20 3 2 2 4" xfId="23382" xr:uid="{00000000-0005-0000-0000-000001370000}"/>
    <cellStyle name="Normal 20 3 2 2 4 2" xfId="46625" xr:uid="{00000000-0005-0000-0000-000002370000}"/>
    <cellStyle name="Normal 20 3 2 2 5" xfId="23551" xr:uid="{00000000-0005-0000-0000-000003370000}"/>
    <cellStyle name="Normal 20 3 2 2 5 2" xfId="46794" xr:uid="{00000000-0005-0000-0000-000004370000}"/>
    <cellStyle name="Normal 20 3 2 2 6" xfId="46388" xr:uid="{00000000-0005-0000-0000-000005370000}"/>
    <cellStyle name="Normal 20 3 2 3" xfId="23179" xr:uid="{00000000-0005-0000-0000-000006370000}"/>
    <cellStyle name="Normal 20 3 2 3 2" xfId="23263" xr:uid="{00000000-0005-0000-0000-000007370000}"/>
    <cellStyle name="Normal 20 3 2 3 2 2" xfId="23387" xr:uid="{00000000-0005-0000-0000-000008370000}"/>
    <cellStyle name="Normal 20 3 2 3 2 2 2" xfId="46630" xr:uid="{00000000-0005-0000-0000-000009370000}"/>
    <cellStyle name="Normal 20 3 2 3 2 3" xfId="23556" xr:uid="{00000000-0005-0000-0000-00000A370000}"/>
    <cellStyle name="Normal 20 3 2 3 2 3 2" xfId="46799" xr:uid="{00000000-0005-0000-0000-00000B370000}"/>
    <cellStyle name="Normal 20 3 2 3 2 4" xfId="46507" xr:uid="{00000000-0005-0000-0000-00000C370000}"/>
    <cellStyle name="Normal 20 3 2 3 3" xfId="23386" xr:uid="{00000000-0005-0000-0000-00000D370000}"/>
    <cellStyle name="Normal 20 3 2 3 3 2" xfId="46629" xr:uid="{00000000-0005-0000-0000-00000E370000}"/>
    <cellStyle name="Normal 20 3 2 3 4" xfId="23555" xr:uid="{00000000-0005-0000-0000-00000F370000}"/>
    <cellStyle name="Normal 20 3 2 3 4 2" xfId="46798" xr:uid="{00000000-0005-0000-0000-000010370000}"/>
    <cellStyle name="Normal 20 3 2 3 5" xfId="46424" xr:uid="{00000000-0005-0000-0000-000011370000}"/>
    <cellStyle name="Normal 20 3 2 4" xfId="23212" xr:uid="{00000000-0005-0000-0000-000012370000}"/>
    <cellStyle name="Normal 20 3 2 4 2" xfId="23388" xr:uid="{00000000-0005-0000-0000-000013370000}"/>
    <cellStyle name="Normal 20 3 2 4 2 2" xfId="46631" xr:uid="{00000000-0005-0000-0000-000014370000}"/>
    <cellStyle name="Normal 20 3 2 4 3" xfId="23557" xr:uid="{00000000-0005-0000-0000-000015370000}"/>
    <cellStyle name="Normal 20 3 2 4 3 2" xfId="46800" xr:uid="{00000000-0005-0000-0000-000016370000}"/>
    <cellStyle name="Normal 20 3 2 4 4" xfId="46457" xr:uid="{00000000-0005-0000-0000-000017370000}"/>
    <cellStyle name="Normal 20 3 2 5" xfId="23381" xr:uid="{00000000-0005-0000-0000-000018370000}"/>
    <cellStyle name="Normal 20 3 2 5 2" xfId="46624" xr:uid="{00000000-0005-0000-0000-000019370000}"/>
    <cellStyle name="Normal 20 3 2 6" xfId="23550" xr:uid="{00000000-0005-0000-0000-00001A370000}"/>
    <cellStyle name="Normal 20 3 2 6 2" xfId="46793" xr:uid="{00000000-0005-0000-0000-00001B370000}"/>
    <cellStyle name="Normal 20 3 2 7" xfId="46374" xr:uid="{00000000-0005-0000-0000-00001C370000}"/>
    <cellStyle name="Normal 20 3 3" xfId="23121" xr:uid="{00000000-0005-0000-0000-00001D370000}"/>
    <cellStyle name="Normal 20 3 3 2" xfId="23181" xr:uid="{00000000-0005-0000-0000-00001E370000}"/>
    <cellStyle name="Normal 20 3 3 2 2" xfId="23265" xr:uid="{00000000-0005-0000-0000-00001F370000}"/>
    <cellStyle name="Normal 20 3 3 2 2 2" xfId="23391" xr:uid="{00000000-0005-0000-0000-000020370000}"/>
    <cellStyle name="Normal 20 3 3 2 2 2 2" xfId="46634" xr:uid="{00000000-0005-0000-0000-000021370000}"/>
    <cellStyle name="Normal 20 3 3 2 2 3" xfId="23560" xr:uid="{00000000-0005-0000-0000-000022370000}"/>
    <cellStyle name="Normal 20 3 3 2 2 3 2" xfId="46803" xr:uid="{00000000-0005-0000-0000-000023370000}"/>
    <cellStyle name="Normal 20 3 3 2 2 4" xfId="46509" xr:uid="{00000000-0005-0000-0000-000024370000}"/>
    <cellStyle name="Normal 20 3 3 2 3" xfId="23390" xr:uid="{00000000-0005-0000-0000-000025370000}"/>
    <cellStyle name="Normal 20 3 3 2 3 2" xfId="46633" xr:uid="{00000000-0005-0000-0000-000026370000}"/>
    <cellStyle name="Normal 20 3 3 2 4" xfId="23559" xr:uid="{00000000-0005-0000-0000-000027370000}"/>
    <cellStyle name="Normal 20 3 3 2 4 2" xfId="46802" xr:uid="{00000000-0005-0000-0000-000028370000}"/>
    <cellStyle name="Normal 20 3 3 2 5" xfId="46426" xr:uid="{00000000-0005-0000-0000-000029370000}"/>
    <cellStyle name="Normal 20 3 3 3" xfId="23205" xr:uid="{00000000-0005-0000-0000-00002A370000}"/>
    <cellStyle name="Normal 20 3 3 3 2" xfId="23392" xr:uid="{00000000-0005-0000-0000-00002B370000}"/>
    <cellStyle name="Normal 20 3 3 3 2 2" xfId="46635" xr:uid="{00000000-0005-0000-0000-00002C370000}"/>
    <cellStyle name="Normal 20 3 3 3 3" xfId="23561" xr:uid="{00000000-0005-0000-0000-00002D370000}"/>
    <cellStyle name="Normal 20 3 3 3 3 2" xfId="46804" xr:uid="{00000000-0005-0000-0000-00002E370000}"/>
    <cellStyle name="Normal 20 3 3 3 4" xfId="46450" xr:uid="{00000000-0005-0000-0000-00002F370000}"/>
    <cellStyle name="Normal 20 3 3 4" xfId="23389" xr:uid="{00000000-0005-0000-0000-000030370000}"/>
    <cellStyle name="Normal 20 3 3 4 2" xfId="46632" xr:uid="{00000000-0005-0000-0000-000031370000}"/>
    <cellStyle name="Normal 20 3 3 5" xfId="23558" xr:uid="{00000000-0005-0000-0000-000032370000}"/>
    <cellStyle name="Normal 20 3 3 5 2" xfId="46801" xr:uid="{00000000-0005-0000-0000-000033370000}"/>
    <cellStyle name="Normal 20 3 3 6" xfId="46367" xr:uid="{00000000-0005-0000-0000-000034370000}"/>
    <cellStyle name="Normal 20 3 4" xfId="23135" xr:uid="{00000000-0005-0000-0000-000035370000}"/>
    <cellStyle name="Normal 20 3 4 2" xfId="23182" xr:uid="{00000000-0005-0000-0000-000036370000}"/>
    <cellStyle name="Normal 20 3 4 2 2" xfId="23266" xr:uid="{00000000-0005-0000-0000-000037370000}"/>
    <cellStyle name="Normal 20 3 4 2 2 2" xfId="23395" xr:uid="{00000000-0005-0000-0000-000038370000}"/>
    <cellStyle name="Normal 20 3 4 2 2 2 2" xfId="46638" xr:uid="{00000000-0005-0000-0000-000039370000}"/>
    <cellStyle name="Normal 20 3 4 2 2 3" xfId="23564" xr:uid="{00000000-0005-0000-0000-00003A370000}"/>
    <cellStyle name="Normal 20 3 4 2 2 3 2" xfId="46807" xr:uid="{00000000-0005-0000-0000-00003B370000}"/>
    <cellStyle name="Normal 20 3 4 2 2 4" xfId="46510" xr:uid="{00000000-0005-0000-0000-00003C370000}"/>
    <cellStyle name="Normal 20 3 4 2 3" xfId="23394" xr:uid="{00000000-0005-0000-0000-00003D370000}"/>
    <cellStyle name="Normal 20 3 4 2 3 2" xfId="46637" xr:uid="{00000000-0005-0000-0000-00003E370000}"/>
    <cellStyle name="Normal 20 3 4 2 4" xfId="23563" xr:uid="{00000000-0005-0000-0000-00003F370000}"/>
    <cellStyle name="Normal 20 3 4 2 4 2" xfId="46806" xr:uid="{00000000-0005-0000-0000-000040370000}"/>
    <cellStyle name="Normal 20 3 4 2 5" xfId="46427" xr:uid="{00000000-0005-0000-0000-000041370000}"/>
    <cellStyle name="Normal 20 3 4 3" xfId="23219" xr:uid="{00000000-0005-0000-0000-000042370000}"/>
    <cellStyle name="Normal 20 3 4 3 2" xfId="23396" xr:uid="{00000000-0005-0000-0000-000043370000}"/>
    <cellStyle name="Normal 20 3 4 3 2 2" xfId="46639" xr:uid="{00000000-0005-0000-0000-000044370000}"/>
    <cellStyle name="Normal 20 3 4 3 3" xfId="23565" xr:uid="{00000000-0005-0000-0000-000045370000}"/>
    <cellStyle name="Normal 20 3 4 3 3 2" xfId="46808" xr:uid="{00000000-0005-0000-0000-000046370000}"/>
    <cellStyle name="Normal 20 3 4 3 4" xfId="46464" xr:uid="{00000000-0005-0000-0000-000047370000}"/>
    <cellStyle name="Normal 20 3 4 4" xfId="23393" xr:uid="{00000000-0005-0000-0000-000048370000}"/>
    <cellStyle name="Normal 20 3 4 4 2" xfId="46636" xr:uid="{00000000-0005-0000-0000-000049370000}"/>
    <cellStyle name="Normal 20 3 4 5" xfId="23562" xr:uid="{00000000-0005-0000-0000-00004A370000}"/>
    <cellStyle name="Normal 20 3 4 5 2" xfId="46805" xr:uid="{00000000-0005-0000-0000-00004B370000}"/>
    <cellStyle name="Normal 20 3 4 6" xfId="46381" xr:uid="{00000000-0005-0000-0000-00004C370000}"/>
    <cellStyle name="Normal 20 3 5" xfId="23149" xr:uid="{00000000-0005-0000-0000-00004D370000}"/>
    <cellStyle name="Normal 20 3 5 2" xfId="23183" xr:uid="{00000000-0005-0000-0000-00004E370000}"/>
    <cellStyle name="Normal 20 3 5 2 2" xfId="23267" xr:uid="{00000000-0005-0000-0000-00004F370000}"/>
    <cellStyle name="Normal 20 3 5 2 2 2" xfId="23399" xr:uid="{00000000-0005-0000-0000-000050370000}"/>
    <cellStyle name="Normal 20 3 5 2 2 2 2" xfId="46642" xr:uid="{00000000-0005-0000-0000-000051370000}"/>
    <cellStyle name="Normal 20 3 5 2 2 3" xfId="23568" xr:uid="{00000000-0005-0000-0000-000052370000}"/>
    <cellStyle name="Normal 20 3 5 2 2 3 2" xfId="46811" xr:uid="{00000000-0005-0000-0000-000053370000}"/>
    <cellStyle name="Normal 20 3 5 2 2 4" xfId="46511" xr:uid="{00000000-0005-0000-0000-000054370000}"/>
    <cellStyle name="Normal 20 3 5 2 3" xfId="23398" xr:uid="{00000000-0005-0000-0000-000055370000}"/>
    <cellStyle name="Normal 20 3 5 2 3 2" xfId="46641" xr:uid="{00000000-0005-0000-0000-000056370000}"/>
    <cellStyle name="Normal 20 3 5 2 4" xfId="23567" xr:uid="{00000000-0005-0000-0000-000057370000}"/>
    <cellStyle name="Normal 20 3 5 2 4 2" xfId="46810" xr:uid="{00000000-0005-0000-0000-000058370000}"/>
    <cellStyle name="Normal 20 3 5 2 5" xfId="46428" xr:uid="{00000000-0005-0000-0000-000059370000}"/>
    <cellStyle name="Normal 20 3 5 3" xfId="23233" xr:uid="{00000000-0005-0000-0000-00005A370000}"/>
    <cellStyle name="Normal 20 3 5 3 2" xfId="23400" xr:uid="{00000000-0005-0000-0000-00005B370000}"/>
    <cellStyle name="Normal 20 3 5 3 2 2" xfId="46643" xr:uid="{00000000-0005-0000-0000-00005C370000}"/>
    <cellStyle name="Normal 20 3 5 3 3" xfId="23569" xr:uid="{00000000-0005-0000-0000-00005D370000}"/>
    <cellStyle name="Normal 20 3 5 3 3 2" xfId="46812" xr:uid="{00000000-0005-0000-0000-00005E370000}"/>
    <cellStyle name="Normal 20 3 5 3 4" xfId="46478" xr:uid="{00000000-0005-0000-0000-00005F370000}"/>
    <cellStyle name="Normal 20 3 5 4" xfId="23397" xr:uid="{00000000-0005-0000-0000-000060370000}"/>
    <cellStyle name="Normal 20 3 5 4 2" xfId="46640" xr:uid="{00000000-0005-0000-0000-000061370000}"/>
    <cellStyle name="Normal 20 3 5 5" xfId="23566" xr:uid="{00000000-0005-0000-0000-000062370000}"/>
    <cellStyle name="Normal 20 3 5 5 2" xfId="46809" xr:uid="{00000000-0005-0000-0000-000063370000}"/>
    <cellStyle name="Normal 20 3 5 6" xfId="46395" xr:uid="{00000000-0005-0000-0000-000064370000}"/>
    <cellStyle name="Normal 20 3 6" xfId="23178" xr:uid="{00000000-0005-0000-0000-000065370000}"/>
    <cellStyle name="Normal 20 3 6 2" xfId="23262" xr:uid="{00000000-0005-0000-0000-000066370000}"/>
    <cellStyle name="Normal 20 3 6 2 2" xfId="23402" xr:uid="{00000000-0005-0000-0000-000067370000}"/>
    <cellStyle name="Normal 20 3 6 2 2 2" xfId="46645" xr:uid="{00000000-0005-0000-0000-000068370000}"/>
    <cellStyle name="Normal 20 3 6 2 3" xfId="23571" xr:uid="{00000000-0005-0000-0000-000069370000}"/>
    <cellStyle name="Normal 20 3 6 2 3 2" xfId="46814" xr:uid="{00000000-0005-0000-0000-00006A370000}"/>
    <cellStyle name="Normal 20 3 6 2 4" xfId="46506" xr:uid="{00000000-0005-0000-0000-00006B370000}"/>
    <cellStyle name="Normal 20 3 6 3" xfId="23401" xr:uid="{00000000-0005-0000-0000-00006C370000}"/>
    <cellStyle name="Normal 20 3 6 3 2" xfId="46644" xr:uid="{00000000-0005-0000-0000-00006D370000}"/>
    <cellStyle name="Normal 20 3 6 4" xfId="23570" xr:uid="{00000000-0005-0000-0000-00006E370000}"/>
    <cellStyle name="Normal 20 3 6 4 2" xfId="46813" xr:uid="{00000000-0005-0000-0000-00006F370000}"/>
    <cellStyle name="Normal 20 3 6 5" xfId="46423" xr:uid="{00000000-0005-0000-0000-000070370000}"/>
    <cellStyle name="Normal 20 3 7" xfId="23198" xr:uid="{00000000-0005-0000-0000-000071370000}"/>
    <cellStyle name="Normal 20 3 7 2" xfId="23403" xr:uid="{00000000-0005-0000-0000-000072370000}"/>
    <cellStyle name="Normal 20 3 7 2 2" xfId="46646" xr:uid="{00000000-0005-0000-0000-000073370000}"/>
    <cellStyle name="Normal 20 3 7 3" xfId="23572" xr:uid="{00000000-0005-0000-0000-000074370000}"/>
    <cellStyle name="Normal 20 3 7 3 2" xfId="46815" xr:uid="{00000000-0005-0000-0000-000075370000}"/>
    <cellStyle name="Normal 20 3 7 4" xfId="46443" xr:uid="{00000000-0005-0000-0000-000076370000}"/>
    <cellStyle name="Normal 20 3 8" xfId="23380" xr:uid="{00000000-0005-0000-0000-000077370000}"/>
    <cellStyle name="Normal 20 3 8 2" xfId="46623" xr:uid="{00000000-0005-0000-0000-000078370000}"/>
    <cellStyle name="Normal 20 3 9" xfId="23549" xr:uid="{00000000-0005-0000-0000-000079370000}"/>
    <cellStyle name="Normal 20 3 9 2" xfId="46792" xr:uid="{00000000-0005-0000-0000-00007A370000}"/>
    <cellStyle name="Normal 20 4" xfId="189" xr:uid="{00000000-0005-0000-0000-00007B370000}"/>
    <cellStyle name="Normal 20 4 10" xfId="23724" xr:uid="{00000000-0005-0000-0000-00007C370000}"/>
    <cellStyle name="Normal 20 4 2" xfId="23131" xr:uid="{00000000-0005-0000-0000-00007D370000}"/>
    <cellStyle name="Normal 20 4 2 2" xfId="23145" xr:uid="{00000000-0005-0000-0000-00007E370000}"/>
    <cellStyle name="Normal 20 4 2 2 2" xfId="23186" xr:uid="{00000000-0005-0000-0000-00007F370000}"/>
    <cellStyle name="Normal 20 4 2 2 2 2" xfId="23270" xr:uid="{00000000-0005-0000-0000-000080370000}"/>
    <cellStyle name="Normal 20 4 2 2 2 2 2" xfId="23408" xr:uid="{00000000-0005-0000-0000-000081370000}"/>
    <cellStyle name="Normal 20 4 2 2 2 2 2 2" xfId="46651" xr:uid="{00000000-0005-0000-0000-000082370000}"/>
    <cellStyle name="Normal 20 4 2 2 2 2 3" xfId="23577" xr:uid="{00000000-0005-0000-0000-000083370000}"/>
    <cellStyle name="Normal 20 4 2 2 2 2 3 2" xfId="46820" xr:uid="{00000000-0005-0000-0000-000084370000}"/>
    <cellStyle name="Normal 20 4 2 2 2 2 4" xfId="46514" xr:uid="{00000000-0005-0000-0000-000085370000}"/>
    <cellStyle name="Normal 20 4 2 2 2 3" xfId="23407" xr:uid="{00000000-0005-0000-0000-000086370000}"/>
    <cellStyle name="Normal 20 4 2 2 2 3 2" xfId="46650" xr:uid="{00000000-0005-0000-0000-000087370000}"/>
    <cellStyle name="Normal 20 4 2 2 2 4" xfId="23576" xr:uid="{00000000-0005-0000-0000-000088370000}"/>
    <cellStyle name="Normal 20 4 2 2 2 4 2" xfId="46819" xr:uid="{00000000-0005-0000-0000-000089370000}"/>
    <cellStyle name="Normal 20 4 2 2 2 5" xfId="46431" xr:uid="{00000000-0005-0000-0000-00008A370000}"/>
    <cellStyle name="Normal 20 4 2 2 3" xfId="23229" xr:uid="{00000000-0005-0000-0000-00008B370000}"/>
    <cellStyle name="Normal 20 4 2 2 3 2" xfId="23409" xr:uid="{00000000-0005-0000-0000-00008C370000}"/>
    <cellStyle name="Normal 20 4 2 2 3 2 2" xfId="46652" xr:uid="{00000000-0005-0000-0000-00008D370000}"/>
    <cellStyle name="Normal 20 4 2 2 3 3" xfId="23578" xr:uid="{00000000-0005-0000-0000-00008E370000}"/>
    <cellStyle name="Normal 20 4 2 2 3 3 2" xfId="46821" xr:uid="{00000000-0005-0000-0000-00008F370000}"/>
    <cellStyle name="Normal 20 4 2 2 3 4" xfId="46474" xr:uid="{00000000-0005-0000-0000-000090370000}"/>
    <cellStyle name="Normal 20 4 2 2 4" xfId="23406" xr:uid="{00000000-0005-0000-0000-000091370000}"/>
    <cellStyle name="Normal 20 4 2 2 4 2" xfId="46649" xr:uid="{00000000-0005-0000-0000-000092370000}"/>
    <cellStyle name="Normal 20 4 2 2 5" xfId="23575" xr:uid="{00000000-0005-0000-0000-000093370000}"/>
    <cellStyle name="Normal 20 4 2 2 5 2" xfId="46818" xr:uid="{00000000-0005-0000-0000-000094370000}"/>
    <cellStyle name="Normal 20 4 2 2 6" xfId="46391" xr:uid="{00000000-0005-0000-0000-000095370000}"/>
    <cellStyle name="Normal 20 4 2 3" xfId="23185" xr:uid="{00000000-0005-0000-0000-000096370000}"/>
    <cellStyle name="Normal 20 4 2 3 2" xfId="23269" xr:uid="{00000000-0005-0000-0000-000097370000}"/>
    <cellStyle name="Normal 20 4 2 3 2 2" xfId="23411" xr:uid="{00000000-0005-0000-0000-000098370000}"/>
    <cellStyle name="Normal 20 4 2 3 2 2 2" xfId="46654" xr:uid="{00000000-0005-0000-0000-000099370000}"/>
    <cellStyle name="Normal 20 4 2 3 2 3" xfId="23580" xr:uid="{00000000-0005-0000-0000-00009A370000}"/>
    <cellStyle name="Normal 20 4 2 3 2 3 2" xfId="46823" xr:uid="{00000000-0005-0000-0000-00009B370000}"/>
    <cellStyle name="Normal 20 4 2 3 2 4" xfId="46513" xr:uid="{00000000-0005-0000-0000-00009C370000}"/>
    <cellStyle name="Normal 20 4 2 3 3" xfId="23410" xr:uid="{00000000-0005-0000-0000-00009D370000}"/>
    <cellStyle name="Normal 20 4 2 3 3 2" xfId="46653" xr:uid="{00000000-0005-0000-0000-00009E370000}"/>
    <cellStyle name="Normal 20 4 2 3 4" xfId="23579" xr:uid="{00000000-0005-0000-0000-00009F370000}"/>
    <cellStyle name="Normal 20 4 2 3 4 2" xfId="46822" xr:uid="{00000000-0005-0000-0000-0000A0370000}"/>
    <cellStyle name="Normal 20 4 2 3 5" xfId="46430" xr:uid="{00000000-0005-0000-0000-0000A1370000}"/>
    <cellStyle name="Normal 20 4 2 4" xfId="23215" xr:uid="{00000000-0005-0000-0000-0000A2370000}"/>
    <cellStyle name="Normal 20 4 2 4 2" xfId="23412" xr:uid="{00000000-0005-0000-0000-0000A3370000}"/>
    <cellStyle name="Normal 20 4 2 4 2 2" xfId="46655" xr:uid="{00000000-0005-0000-0000-0000A4370000}"/>
    <cellStyle name="Normal 20 4 2 4 3" xfId="23581" xr:uid="{00000000-0005-0000-0000-0000A5370000}"/>
    <cellStyle name="Normal 20 4 2 4 3 2" xfId="46824" xr:uid="{00000000-0005-0000-0000-0000A6370000}"/>
    <cellStyle name="Normal 20 4 2 4 4" xfId="46460" xr:uid="{00000000-0005-0000-0000-0000A7370000}"/>
    <cellStyle name="Normal 20 4 2 5" xfId="23405" xr:uid="{00000000-0005-0000-0000-0000A8370000}"/>
    <cellStyle name="Normal 20 4 2 5 2" xfId="46648" xr:uid="{00000000-0005-0000-0000-0000A9370000}"/>
    <cellStyle name="Normal 20 4 2 6" xfId="23574" xr:uid="{00000000-0005-0000-0000-0000AA370000}"/>
    <cellStyle name="Normal 20 4 2 6 2" xfId="46817" xr:uid="{00000000-0005-0000-0000-0000AB370000}"/>
    <cellStyle name="Normal 20 4 2 7" xfId="46377" xr:uid="{00000000-0005-0000-0000-0000AC370000}"/>
    <cellStyle name="Normal 20 4 3" xfId="23124" xr:uid="{00000000-0005-0000-0000-0000AD370000}"/>
    <cellStyle name="Normal 20 4 3 2" xfId="23187" xr:uid="{00000000-0005-0000-0000-0000AE370000}"/>
    <cellStyle name="Normal 20 4 3 2 2" xfId="23271" xr:uid="{00000000-0005-0000-0000-0000AF370000}"/>
    <cellStyle name="Normal 20 4 3 2 2 2" xfId="23415" xr:uid="{00000000-0005-0000-0000-0000B0370000}"/>
    <cellStyle name="Normal 20 4 3 2 2 2 2" xfId="46658" xr:uid="{00000000-0005-0000-0000-0000B1370000}"/>
    <cellStyle name="Normal 20 4 3 2 2 3" xfId="23584" xr:uid="{00000000-0005-0000-0000-0000B2370000}"/>
    <cellStyle name="Normal 20 4 3 2 2 3 2" xfId="46827" xr:uid="{00000000-0005-0000-0000-0000B3370000}"/>
    <cellStyle name="Normal 20 4 3 2 2 4" xfId="46515" xr:uid="{00000000-0005-0000-0000-0000B4370000}"/>
    <cellStyle name="Normal 20 4 3 2 3" xfId="23414" xr:uid="{00000000-0005-0000-0000-0000B5370000}"/>
    <cellStyle name="Normal 20 4 3 2 3 2" xfId="46657" xr:uid="{00000000-0005-0000-0000-0000B6370000}"/>
    <cellStyle name="Normal 20 4 3 2 4" xfId="23583" xr:uid="{00000000-0005-0000-0000-0000B7370000}"/>
    <cellStyle name="Normal 20 4 3 2 4 2" xfId="46826" xr:uid="{00000000-0005-0000-0000-0000B8370000}"/>
    <cellStyle name="Normal 20 4 3 2 5" xfId="46432" xr:uid="{00000000-0005-0000-0000-0000B9370000}"/>
    <cellStyle name="Normal 20 4 3 3" xfId="23208" xr:uid="{00000000-0005-0000-0000-0000BA370000}"/>
    <cellStyle name="Normal 20 4 3 3 2" xfId="23416" xr:uid="{00000000-0005-0000-0000-0000BB370000}"/>
    <cellStyle name="Normal 20 4 3 3 2 2" xfId="46659" xr:uid="{00000000-0005-0000-0000-0000BC370000}"/>
    <cellStyle name="Normal 20 4 3 3 3" xfId="23585" xr:uid="{00000000-0005-0000-0000-0000BD370000}"/>
    <cellStyle name="Normal 20 4 3 3 3 2" xfId="46828" xr:uid="{00000000-0005-0000-0000-0000BE370000}"/>
    <cellStyle name="Normal 20 4 3 3 4" xfId="46453" xr:uid="{00000000-0005-0000-0000-0000BF370000}"/>
    <cellStyle name="Normal 20 4 3 4" xfId="23413" xr:uid="{00000000-0005-0000-0000-0000C0370000}"/>
    <cellStyle name="Normal 20 4 3 4 2" xfId="46656" xr:uid="{00000000-0005-0000-0000-0000C1370000}"/>
    <cellStyle name="Normal 20 4 3 5" xfId="23582" xr:uid="{00000000-0005-0000-0000-0000C2370000}"/>
    <cellStyle name="Normal 20 4 3 5 2" xfId="46825" xr:uid="{00000000-0005-0000-0000-0000C3370000}"/>
    <cellStyle name="Normal 20 4 3 6" xfId="46370" xr:uid="{00000000-0005-0000-0000-0000C4370000}"/>
    <cellStyle name="Normal 20 4 4" xfId="23138" xr:uid="{00000000-0005-0000-0000-0000C5370000}"/>
    <cellStyle name="Normal 20 4 4 2" xfId="23188" xr:uid="{00000000-0005-0000-0000-0000C6370000}"/>
    <cellStyle name="Normal 20 4 4 2 2" xfId="23272" xr:uid="{00000000-0005-0000-0000-0000C7370000}"/>
    <cellStyle name="Normal 20 4 4 2 2 2" xfId="23419" xr:uid="{00000000-0005-0000-0000-0000C8370000}"/>
    <cellStyle name="Normal 20 4 4 2 2 2 2" xfId="46662" xr:uid="{00000000-0005-0000-0000-0000C9370000}"/>
    <cellStyle name="Normal 20 4 4 2 2 3" xfId="23588" xr:uid="{00000000-0005-0000-0000-0000CA370000}"/>
    <cellStyle name="Normal 20 4 4 2 2 3 2" xfId="46831" xr:uid="{00000000-0005-0000-0000-0000CB370000}"/>
    <cellStyle name="Normal 20 4 4 2 2 4" xfId="46516" xr:uid="{00000000-0005-0000-0000-0000CC370000}"/>
    <cellStyle name="Normal 20 4 4 2 3" xfId="23418" xr:uid="{00000000-0005-0000-0000-0000CD370000}"/>
    <cellStyle name="Normal 20 4 4 2 3 2" xfId="46661" xr:uid="{00000000-0005-0000-0000-0000CE370000}"/>
    <cellStyle name="Normal 20 4 4 2 4" xfId="23587" xr:uid="{00000000-0005-0000-0000-0000CF370000}"/>
    <cellStyle name="Normal 20 4 4 2 4 2" xfId="46830" xr:uid="{00000000-0005-0000-0000-0000D0370000}"/>
    <cellStyle name="Normal 20 4 4 2 5" xfId="46433" xr:uid="{00000000-0005-0000-0000-0000D1370000}"/>
    <cellStyle name="Normal 20 4 4 3" xfId="23222" xr:uid="{00000000-0005-0000-0000-0000D2370000}"/>
    <cellStyle name="Normal 20 4 4 3 2" xfId="23420" xr:uid="{00000000-0005-0000-0000-0000D3370000}"/>
    <cellStyle name="Normal 20 4 4 3 2 2" xfId="46663" xr:uid="{00000000-0005-0000-0000-0000D4370000}"/>
    <cellStyle name="Normal 20 4 4 3 3" xfId="23589" xr:uid="{00000000-0005-0000-0000-0000D5370000}"/>
    <cellStyle name="Normal 20 4 4 3 3 2" xfId="46832" xr:uid="{00000000-0005-0000-0000-0000D6370000}"/>
    <cellStyle name="Normal 20 4 4 3 4" xfId="46467" xr:uid="{00000000-0005-0000-0000-0000D7370000}"/>
    <cellStyle name="Normal 20 4 4 4" xfId="23417" xr:uid="{00000000-0005-0000-0000-0000D8370000}"/>
    <cellStyle name="Normal 20 4 4 4 2" xfId="46660" xr:uid="{00000000-0005-0000-0000-0000D9370000}"/>
    <cellStyle name="Normal 20 4 4 5" xfId="23586" xr:uid="{00000000-0005-0000-0000-0000DA370000}"/>
    <cellStyle name="Normal 20 4 4 5 2" xfId="46829" xr:uid="{00000000-0005-0000-0000-0000DB370000}"/>
    <cellStyle name="Normal 20 4 4 6" xfId="46384" xr:uid="{00000000-0005-0000-0000-0000DC370000}"/>
    <cellStyle name="Normal 20 4 5" xfId="23152" xr:uid="{00000000-0005-0000-0000-0000DD370000}"/>
    <cellStyle name="Normal 20 4 5 2" xfId="23189" xr:uid="{00000000-0005-0000-0000-0000DE370000}"/>
    <cellStyle name="Normal 20 4 5 2 2" xfId="23273" xr:uid="{00000000-0005-0000-0000-0000DF370000}"/>
    <cellStyle name="Normal 20 4 5 2 2 2" xfId="23423" xr:uid="{00000000-0005-0000-0000-0000E0370000}"/>
    <cellStyle name="Normal 20 4 5 2 2 2 2" xfId="46666" xr:uid="{00000000-0005-0000-0000-0000E1370000}"/>
    <cellStyle name="Normal 20 4 5 2 2 3" xfId="23592" xr:uid="{00000000-0005-0000-0000-0000E2370000}"/>
    <cellStyle name="Normal 20 4 5 2 2 3 2" xfId="46835" xr:uid="{00000000-0005-0000-0000-0000E3370000}"/>
    <cellStyle name="Normal 20 4 5 2 2 4" xfId="46517" xr:uid="{00000000-0005-0000-0000-0000E4370000}"/>
    <cellStyle name="Normal 20 4 5 2 3" xfId="23422" xr:uid="{00000000-0005-0000-0000-0000E5370000}"/>
    <cellStyle name="Normal 20 4 5 2 3 2" xfId="46665" xr:uid="{00000000-0005-0000-0000-0000E6370000}"/>
    <cellStyle name="Normal 20 4 5 2 4" xfId="23591" xr:uid="{00000000-0005-0000-0000-0000E7370000}"/>
    <cellStyle name="Normal 20 4 5 2 4 2" xfId="46834" xr:uid="{00000000-0005-0000-0000-0000E8370000}"/>
    <cellStyle name="Normal 20 4 5 2 5" xfId="46434" xr:uid="{00000000-0005-0000-0000-0000E9370000}"/>
    <cellStyle name="Normal 20 4 5 3" xfId="23236" xr:uid="{00000000-0005-0000-0000-0000EA370000}"/>
    <cellStyle name="Normal 20 4 5 3 2" xfId="23424" xr:uid="{00000000-0005-0000-0000-0000EB370000}"/>
    <cellStyle name="Normal 20 4 5 3 2 2" xfId="46667" xr:uid="{00000000-0005-0000-0000-0000EC370000}"/>
    <cellStyle name="Normal 20 4 5 3 3" xfId="23593" xr:uid="{00000000-0005-0000-0000-0000ED370000}"/>
    <cellStyle name="Normal 20 4 5 3 3 2" xfId="46836" xr:uid="{00000000-0005-0000-0000-0000EE370000}"/>
    <cellStyle name="Normal 20 4 5 3 4" xfId="46481" xr:uid="{00000000-0005-0000-0000-0000EF370000}"/>
    <cellStyle name="Normal 20 4 5 4" xfId="23421" xr:uid="{00000000-0005-0000-0000-0000F0370000}"/>
    <cellStyle name="Normal 20 4 5 4 2" xfId="46664" xr:uid="{00000000-0005-0000-0000-0000F1370000}"/>
    <cellStyle name="Normal 20 4 5 5" xfId="23590" xr:uid="{00000000-0005-0000-0000-0000F2370000}"/>
    <cellStyle name="Normal 20 4 5 5 2" xfId="46833" xr:uid="{00000000-0005-0000-0000-0000F3370000}"/>
    <cellStyle name="Normal 20 4 5 6" xfId="46398" xr:uid="{00000000-0005-0000-0000-0000F4370000}"/>
    <cellStyle name="Normal 20 4 6" xfId="23184" xr:uid="{00000000-0005-0000-0000-0000F5370000}"/>
    <cellStyle name="Normal 20 4 6 2" xfId="23268" xr:uid="{00000000-0005-0000-0000-0000F6370000}"/>
    <cellStyle name="Normal 20 4 6 2 2" xfId="23426" xr:uid="{00000000-0005-0000-0000-0000F7370000}"/>
    <cellStyle name="Normal 20 4 6 2 2 2" xfId="46669" xr:uid="{00000000-0005-0000-0000-0000F8370000}"/>
    <cellStyle name="Normal 20 4 6 2 3" xfId="23595" xr:uid="{00000000-0005-0000-0000-0000F9370000}"/>
    <cellStyle name="Normal 20 4 6 2 3 2" xfId="46838" xr:uid="{00000000-0005-0000-0000-0000FA370000}"/>
    <cellStyle name="Normal 20 4 6 2 4" xfId="46512" xr:uid="{00000000-0005-0000-0000-0000FB370000}"/>
    <cellStyle name="Normal 20 4 6 3" xfId="23425" xr:uid="{00000000-0005-0000-0000-0000FC370000}"/>
    <cellStyle name="Normal 20 4 6 3 2" xfId="46668" xr:uid="{00000000-0005-0000-0000-0000FD370000}"/>
    <cellStyle name="Normal 20 4 6 4" xfId="23594" xr:uid="{00000000-0005-0000-0000-0000FE370000}"/>
    <cellStyle name="Normal 20 4 6 4 2" xfId="46837" xr:uid="{00000000-0005-0000-0000-0000FF370000}"/>
    <cellStyle name="Normal 20 4 6 5" xfId="46429" xr:uid="{00000000-0005-0000-0000-000000380000}"/>
    <cellStyle name="Normal 20 4 7" xfId="23201" xr:uid="{00000000-0005-0000-0000-000001380000}"/>
    <cellStyle name="Normal 20 4 7 2" xfId="23427" xr:uid="{00000000-0005-0000-0000-000002380000}"/>
    <cellStyle name="Normal 20 4 7 2 2" xfId="46670" xr:uid="{00000000-0005-0000-0000-000003380000}"/>
    <cellStyle name="Normal 20 4 7 3" xfId="23596" xr:uid="{00000000-0005-0000-0000-000004380000}"/>
    <cellStyle name="Normal 20 4 7 3 2" xfId="46839" xr:uid="{00000000-0005-0000-0000-000005380000}"/>
    <cellStyle name="Normal 20 4 7 4" xfId="46446" xr:uid="{00000000-0005-0000-0000-000006380000}"/>
    <cellStyle name="Normal 20 4 8" xfId="23404" xr:uid="{00000000-0005-0000-0000-000007380000}"/>
    <cellStyle name="Normal 20 4 8 2" xfId="46647" xr:uid="{00000000-0005-0000-0000-000008380000}"/>
    <cellStyle name="Normal 20 4 9" xfId="23573" xr:uid="{00000000-0005-0000-0000-000009380000}"/>
    <cellStyle name="Normal 20 4 9 2" xfId="46816" xr:uid="{00000000-0005-0000-0000-00000A380000}"/>
    <cellStyle name="Normal 20 5" xfId="20803" xr:uid="{00000000-0005-0000-0000-00000B380000}"/>
    <cellStyle name="Normal 20 6" xfId="23125" xr:uid="{00000000-0005-0000-0000-00000C380000}"/>
    <cellStyle name="Normal 20 6 2" xfId="23139" xr:uid="{00000000-0005-0000-0000-00000D380000}"/>
    <cellStyle name="Normal 20 6 2 2" xfId="23191" xr:uid="{00000000-0005-0000-0000-00000E380000}"/>
    <cellStyle name="Normal 20 6 2 2 2" xfId="23275" xr:uid="{00000000-0005-0000-0000-00000F380000}"/>
    <cellStyle name="Normal 20 6 2 2 2 2" xfId="23431" xr:uid="{00000000-0005-0000-0000-000010380000}"/>
    <cellStyle name="Normal 20 6 2 2 2 2 2" xfId="46674" xr:uid="{00000000-0005-0000-0000-000011380000}"/>
    <cellStyle name="Normal 20 6 2 2 2 3" xfId="23600" xr:uid="{00000000-0005-0000-0000-000012380000}"/>
    <cellStyle name="Normal 20 6 2 2 2 3 2" xfId="46843" xr:uid="{00000000-0005-0000-0000-000013380000}"/>
    <cellStyle name="Normal 20 6 2 2 2 4" xfId="46519" xr:uid="{00000000-0005-0000-0000-000014380000}"/>
    <cellStyle name="Normal 20 6 2 2 3" xfId="23430" xr:uid="{00000000-0005-0000-0000-000015380000}"/>
    <cellStyle name="Normal 20 6 2 2 3 2" xfId="46673" xr:uid="{00000000-0005-0000-0000-000016380000}"/>
    <cellStyle name="Normal 20 6 2 2 4" xfId="23599" xr:uid="{00000000-0005-0000-0000-000017380000}"/>
    <cellStyle name="Normal 20 6 2 2 4 2" xfId="46842" xr:uid="{00000000-0005-0000-0000-000018380000}"/>
    <cellStyle name="Normal 20 6 2 2 5" xfId="46436" xr:uid="{00000000-0005-0000-0000-000019380000}"/>
    <cellStyle name="Normal 20 6 2 3" xfId="23223" xr:uid="{00000000-0005-0000-0000-00001A380000}"/>
    <cellStyle name="Normal 20 6 2 3 2" xfId="23432" xr:uid="{00000000-0005-0000-0000-00001B380000}"/>
    <cellStyle name="Normal 20 6 2 3 2 2" xfId="46675" xr:uid="{00000000-0005-0000-0000-00001C380000}"/>
    <cellStyle name="Normal 20 6 2 3 3" xfId="23601" xr:uid="{00000000-0005-0000-0000-00001D380000}"/>
    <cellStyle name="Normal 20 6 2 3 3 2" xfId="46844" xr:uid="{00000000-0005-0000-0000-00001E380000}"/>
    <cellStyle name="Normal 20 6 2 3 4" xfId="46468" xr:uid="{00000000-0005-0000-0000-00001F380000}"/>
    <cellStyle name="Normal 20 6 2 4" xfId="23429" xr:uid="{00000000-0005-0000-0000-000020380000}"/>
    <cellStyle name="Normal 20 6 2 4 2" xfId="46672" xr:uid="{00000000-0005-0000-0000-000021380000}"/>
    <cellStyle name="Normal 20 6 2 5" xfId="23598" xr:uid="{00000000-0005-0000-0000-000022380000}"/>
    <cellStyle name="Normal 20 6 2 5 2" xfId="46841" xr:uid="{00000000-0005-0000-0000-000023380000}"/>
    <cellStyle name="Normal 20 6 2 6" xfId="46385" xr:uid="{00000000-0005-0000-0000-000024380000}"/>
    <cellStyle name="Normal 20 6 3" xfId="23190" xr:uid="{00000000-0005-0000-0000-000025380000}"/>
    <cellStyle name="Normal 20 6 3 2" xfId="23274" xr:uid="{00000000-0005-0000-0000-000026380000}"/>
    <cellStyle name="Normal 20 6 3 2 2" xfId="23434" xr:uid="{00000000-0005-0000-0000-000027380000}"/>
    <cellStyle name="Normal 20 6 3 2 2 2" xfId="46677" xr:uid="{00000000-0005-0000-0000-000028380000}"/>
    <cellStyle name="Normal 20 6 3 2 3" xfId="23603" xr:uid="{00000000-0005-0000-0000-000029380000}"/>
    <cellStyle name="Normal 20 6 3 2 3 2" xfId="46846" xr:uid="{00000000-0005-0000-0000-00002A380000}"/>
    <cellStyle name="Normal 20 6 3 2 4" xfId="46518" xr:uid="{00000000-0005-0000-0000-00002B380000}"/>
    <cellStyle name="Normal 20 6 3 3" xfId="23433" xr:uid="{00000000-0005-0000-0000-00002C380000}"/>
    <cellStyle name="Normal 20 6 3 3 2" xfId="46676" xr:uid="{00000000-0005-0000-0000-00002D380000}"/>
    <cellStyle name="Normal 20 6 3 4" xfId="23602" xr:uid="{00000000-0005-0000-0000-00002E380000}"/>
    <cellStyle name="Normal 20 6 3 4 2" xfId="46845" xr:uid="{00000000-0005-0000-0000-00002F380000}"/>
    <cellStyle name="Normal 20 6 3 5" xfId="46435" xr:uid="{00000000-0005-0000-0000-000030380000}"/>
    <cellStyle name="Normal 20 6 4" xfId="23209" xr:uid="{00000000-0005-0000-0000-000031380000}"/>
    <cellStyle name="Normal 20 6 4 2" xfId="23435" xr:uid="{00000000-0005-0000-0000-000032380000}"/>
    <cellStyle name="Normal 20 6 4 2 2" xfId="46678" xr:uid="{00000000-0005-0000-0000-000033380000}"/>
    <cellStyle name="Normal 20 6 4 3" xfId="23604" xr:uid="{00000000-0005-0000-0000-000034380000}"/>
    <cellStyle name="Normal 20 6 4 3 2" xfId="46847" xr:uid="{00000000-0005-0000-0000-000035380000}"/>
    <cellStyle name="Normal 20 6 4 4" xfId="46454" xr:uid="{00000000-0005-0000-0000-000036380000}"/>
    <cellStyle name="Normal 20 6 5" xfId="23428" xr:uid="{00000000-0005-0000-0000-000037380000}"/>
    <cellStyle name="Normal 20 6 5 2" xfId="46671" xr:uid="{00000000-0005-0000-0000-000038380000}"/>
    <cellStyle name="Normal 20 6 6" xfId="23597" xr:uid="{00000000-0005-0000-0000-000039380000}"/>
    <cellStyle name="Normal 20 6 6 2" xfId="46840" xr:uid="{00000000-0005-0000-0000-00003A380000}"/>
    <cellStyle name="Normal 20 6 7" xfId="46371" xr:uid="{00000000-0005-0000-0000-00003B380000}"/>
    <cellStyle name="Normal 20 7" xfId="23118" xr:uid="{00000000-0005-0000-0000-00003C380000}"/>
    <cellStyle name="Normal 20 7 2" xfId="23192" xr:uid="{00000000-0005-0000-0000-00003D380000}"/>
    <cellStyle name="Normal 20 7 2 2" xfId="23276" xr:uid="{00000000-0005-0000-0000-00003E380000}"/>
    <cellStyle name="Normal 20 7 2 2 2" xfId="23438" xr:uid="{00000000-0005-0000-0000-00003F380000}"/>
    <cellStyle name="Normal 20 7 2 2 2 2" xfId="46681" xr:uid="{00000000-0005-0000-0000-000040380000}"/>
    <cellStyle name="Normal 20 7 2 2 3" xfId="23607" xr:uid="{00000000-0005-0000-0000-000041380000}"/>
    <cellStyle name="Normal 20 7 2 2 3 2" xfId="46850" xr:uid="{00000000-0005-0000-0000-000042380000}"/>
    <cellStyle name="Normal 20 7 2 2 4" xfId="46520" xr:uid="{00000000-0005-0000-0000-000043380000}"/>
    <cellStyle name="Normal 20 7 2 3" xfId="23437" xr:uid="{00000000-0005-0000-0000-000044380000}"/>
    <cellStyle name="Normal 20 7 2 3 2" xfId="46680" xr:uid="{00000000-0005-0000-0000-000045380000}"/>
    <cellStyle name="Normal 20 7 2 4" xfId="23606" xr:uid="{00000000-0005-0000-0000-000046380000}"/>
    <cellStyle name="Normal 20 7 2 4 2" xfId="46849" xr:uid="{00000000-0005-0000-0000-000047380000}"/>
    <cellStyle name="Normal 20 7 2 5" xfId="46437" xr:uid="{00000000-0005-0000-0000-000048380000}"/>
    <cellStyle name="Normal 20 7 3" xfId="23202" xr:uid="{00000000-0005-0000-0000-000049380000}"/>
    <cellStyle name="Normal 20 7 3 2" xfId="23439" xr:uid="{00000000-0005-0000-0000-00004A380000}"/>
    <cellStyle name="Normal 20 7 3 2 2" xfId="46682" xr:uid="{00000000-0005-0000-0000-00004B380000}"/>
    <cellStyle name="Normal 20 7 3 3" xfId="23608" xr:uid="{00000000-0005-0000-0000-00004C380000}"/>
    <cellStyle name="Normal 20 7 3 3 2" xfId="46851" xr:uid="{00000000-0005-0000-0000-00004D380000}"/>
    <cellStyle name="Normal 20 7 3 4" xfId="46447" xr:uid="{00000000-0005-0000-0000-00004E380000}"/>
    <cellStyle name="Normal 20 7 4" xfId="23436" xr:uid="{00000000-0005-0000-0000-00004F380000}"/>
    <cellStyle name="Normal 20 7 4 2" xfId="46679" xr:uid="{00000000-0005-0000-0000-000050380000}"/>
    <cellStyle name="Normal 20 7 5" xfId="23605" xr:uid="{00000000-0005-0000-0000-000051380000}"/>
    <cellStyle name="Normal 20 7 5 2" xfId="46848" xr:uid="{00000000-0005-0000-0000-000052380000}"/>
    <cellStyle name="Normal 20 7 6" xfId="46364" xr:uid="{00000000-0005-0000-0000-000053380000}"/>
    <cellStyle name="Normal 20 8" xfId="23132" xr:uid="{00000000-0005-0000-0000-000054380000}"/>
    <cellStyle name="Normal 20 8 2" xfId="23193" xr:uid="{00000000-0005-0000-0000-000055380000}"/>
    <cellStyle name="Normal 20 8 2 2" xfId="23277" xr:uid="{00000000-0005-0000-0000-000056380000}"/>
    <cellStyle name="Normal 20 8 2 2 2" xfId="23442" xr:uid="{00000000-0005-0000-0000-000057380000}"/>
    <cellStyle name="Normal 20 8 2 2 2 2" xfId="46685" xr:uid="{00000000-0005-0000-0000-000058380000}"/>
    <cellStyle name="Normal 20 8 2 2 3" xfId="23611" xr:uid="{00000000-0005-0000-0000-000059380000}"/>
    <cellStyle name="Normal 20 8 2 2 3 2" xfId="46854" xr:uid="{00000000-0005-0000-0000-00005A380000}"/>
    <cellStyle name="Normal 20 8 2 2 4" xfId="46521" xr:uid="{00000000-0005-0000-0000-00005B380000}"/>
    <cellStyle name="Normal 20 8 2 3" xfId="23441" xr:uid="{00000000-0005-0000-0000-00005C380000}"/>
    <cellStyle name="Normal 20 8 2 3 2" xfId="46684" xr:uid="{00000000-0005-0000-0000-00005D380000}"/>
    <cellStyle name="Normal 20 8 2 4" xfId="23610" xr:uid="{00000000-0005-0000-0000-00005E380000}"/>
    <cellStyle name="Normal 20 8 2 4 2" xfId="46853" xr:uid="{00000000-0005-0000-0000-00005F380000}"/>
    <cellStyle name="Normal 20 8 2 5" xfId="46438" xr:uid="{00000000-0005-0000-0000-000060380000}"/>
    <cellStyle name="Normal 20 8 3" xfId="23216" xr:uid="{00000000-0005-0000-0000-000061380000}"/>
    <cellStyle name="Normal 20 8 3 2" xfId="23443" xr:uid="{00000000-0005-0000-0000-000062380000}"/>
    <cellStyle name="Normal 20 8 3 2 2" xfId="46686" xr:uid="{00000000-0005-0000-0000-000063380000}"/>
    <cellStyle name="Normal 20 8 3 3" xfId="23612" xr:uid="{00000000-0005-0000-0000-000064380000}"/>
    <cellStyle name="Normal 20 8 3 3 2" xfId="46855" xr:uid="{00000000-0005-0000-0000-000065380000}"/>
    <cellStyle name="Normal 20 8 3 4" xfId="46461" xr:uid="{00000000-0005-0000-0000-000066380000}"/>
    <cellStyle name="Normal 20 8 4" xfId="23440" xr:uid="{00000000-0005-0000-0000-000067380000}"/>
    <cellStyle name="Normal 20 8 4 2" xfId="46683" xr:uid="{00000000-0005-0000-0000-000068380000}"/>
    <cellStyle name="Normal 20 8 5" xfId="23609" xr:uid="{00000000-0005-0000-0000-000069380000}"/>
    <cellStyle name="Normal 20 8 5 2" xfId="46852" xr:uid="{00000000-0005-0000-0000-00006A380000}"/>
    <cellStyle name="Normal 20 8 6" xfId="46378" xr:uid="{00000000-0005-0000-0000-00006B380000}"/>
    <cellStyle name="Normal 20 9" xfId="23146" xr:uid="{00000000-0005-0000-0000-00006C380000}"/>
    <cellStyle name="Normal 20 9 2" xfId="23194" xr:uid="{00000000-0005-0000-0000-00006D380000}"/>
    <cellStyle name="Normal 20 9 2 2" xfId="23278" xr:uid="{00000000-0005-0000-0000-00006E380000}"/>
    <cellStyle name="Normal 20 9 2 2 2" xfId="23446" xr:uid="{00000000-0005-0000-0000-00006F380000}"/>
    <cellStyle name="Normal 20 9 2 2 2 2" xfId="46689" xr:uid="{00000000-0005-0000-0000-000070380000}"/>
    <cellStyle name="Normal 20 9 2 2 3" xfId="23615" xr:uid="{00000000-0005-0000-0000-000071380000}"/>
    <cellStyle name="Normal 20 9 2 2 3 2" xfId="46858" xr:uid="{00000000-0005-0000-0000-000072380000}"/>
    <cellStyle name="Normal 20 9 2 2 4" xfId="46522" xr:uid="{00000000-0005-0000-0000-000073380000}"/>
    <cellStyle name="Normal 20 9 2 3" xfId="23445" xr:uid="{00000000-0005-0000-0000-000074380000}"/>
    <cellStyle name="Normal 20 9 2 3 2" xfId="46688" xr:uid="{00000000-0005-0000-0000-000075380000}"/>
    <cellStyle name="Normal 20 9 2 4" xfId="23614" xr:uid="{00000000-0005-0000-0000-000076380000}"/>
    <cellStyle name="Normal 20 9 2 4 2" xfId="46857" xr:uid="{00000000-0005-0000-0000-000077380000}"/>
    <cellStyle name="Normal 20 9 2 5" xfId="46439" xr:uid="{00000000-0005-0000-0000-000078380000}"/>
    <cellStyle name="Normal 20 9 3" xfId="23230" xr:uid="{00000000-0005-0000-0000-000079380000}"/>
    <cellStyle name="Normal 20 9 3 2" xfId="23447" xr:uid="{00000000-0005-0000-0000-00007A380000}"/>
    <cellStyle name="Normal 20 9 3 2 2" xfId="46690" xr:uid="{00000000-0005-0000-0000-00007B380000}"/>
    <cellStyle name="Normal 20 9 3 3" xfId="23616" xr:uid="{00000000-0005-0000-0000-00007C380000}"/>
    <cellStyle name="Normal 20 9 3 3 2" xfId="46859" xr:uid="{00000000-0005-0000-0000-00007D380000}"/>
    <cellStyle name="Normal 20 9 3 4" xfId="46475" xr:uid="{00000000-0005-0000-0000-00007E380000}"/>
    <cellStyle name="Normal 20 9 4" xfId="23444" xr:uid="{00000000-0005-0000-0000-00007F380000}"/>
    <cellStyle name="Normal 20 9 4 2" xfId="46687" xr:uid="{00000000-0005-0000-0000-000080380000}"/>
    <cellStyle name="Normal 20 9 5" xfId="23613" xr:uid="{00000000-0005-0000-0000-000081380000}"/>
    <cellStyle name="Normal 20 9 5 2" xfId="46856" xr:uid="{00000000-0005-0000-0000-000082380000}"/>
    <cellStyle name="Normal 20 9 6" xfId="46392" xr:uid="{00000000-0005-0000-0000-000083380000}"/>
    <cellStyle name="Normal 21" xfId="20804" xr:uid="{00000000-0005-0000-0000-000084380000}"/>
    <cellStyle name="Normal 22" xfId="20805" xr:uid="{00000000-0005-0000-0000-000085380000}"/>
    <cellStyle name="Normal 22 2" xfId="20806" xr:uid="{00000000-0005-0000-0000-000086380000}"/>
    <cellStyle name="Normal 22 2 2" xfId="44132" xr:uid="{00000000-0005-0000-0000-000087380000}"/>
    <cellStyle name="Normal 23" xfId="20807" xr:uid="{00000000-0005-0000-0000-000088380000}"/>
    <cellStyle name="Normal 23 2" xfId="20808" xr:uid="{00000000-0005-0000-0000-000089380000}"/>
    <cellStyle name="Normal 23 3" xfId="20809" xr:uid="{00000000-0005-0000-0000-00008A380000}"/>
    <cellStyle name="Normal 23 3 2" xfId="44134" xr:uid="{00000000-0005-0000-0000-00008B380000}"/>
    <cellStyle name="Normal 23 4" xfId="44133" xr:uid="{00000000-0005-0000-0000-00008C380000}"/>
    <cellStyle name="Normal 24" xfId="20810" xr:uid="{00000000-0005-0000-0000-00008D380000}"/>
    <cellStyle name="Normal 24 2" xfId="20811" xr:uid="{00000000-0005-0000-0000-00008E380000}"/>
    <cellStyle name="Normal 24 3" xfId="44135" xr:uid="{00000000-0005-0000-0000-00008F380000}"/>
    <cellStyle name="Normal 25" xfId="20812" xr:uid="{00000000-0005-0000-0000-000090380000}"/>
    <cellStyle name="Normal 26" xfId="20813" xr:uid="{00000000-0005-0000-0000-000091380000}"/>
    <cellStyle name="Normal 26 2" xfId="44136" xr:uid="{00000000-0005-0000-0000-000092380000}"/>
    <cellStyle name="Normal 27" xfId="20814" xr:uid="{00000000-0005-0000-0000-000093380000}"/>
    <cellStyle name="Normal 27 2" xfId="44137" xr:uid="{00000000-0005-0000-0000-000094380000}"/>
    <cellStyle name="Normal 28" xfId="20815" xr:uid="{00000000-0005-0000-0000-000095380000}"/>
    <cellStyle name="Normal 28 2" xfId="44138" xr:uid="{00000000-0005-0000-0000-000096380000}"/>
    <cellStyle name="Normal 29" xfId="20816" xr:uid="{00000000-0005-0000-0000-000097380000}"/>
    <cellStyle name="Normal 29 2" xfId="44139" xr:uid="{00000000-0005-0000-0000-000098380000}"/>
    <cellStyle name="Normal 3" xfId="17" xr:uid="{00000000-0005-0000-0000-000099380000}"/>
    <cellStyle name="Normal 3 10" xfId="3975" xr:uid="{00000000-0005-0000-0000-00009A380000}"/>
    <cellStyle name="Normal 3 10 2" xfId="3976" xr:uid="{00000000-0005-0000-0000-00009B380000}"/>
    <cellStyle name="Normal 3 10 2 2" xfId="20817" xr:uid="{00000000-0005-0000-0000-00009C380000}"/>
    <cellStyle name="Normal 3 10 2 2 2" xfId="20818" xr:uid="{00000000-0005-0000-0000-00009D380000}"/>
    <cellStyle name="Normal 3 10 2 2 2 2" xfId="44141" xr:uid="{00000000-0005-0000-0000-00009E380000}"/>
    <cellStyle name="Normal 3 10 2 2 3" xfId="20819" xr:uid="{00000000-0005-0000-0000-00009F380000}"/>
    <cellStyle name="Normal 3 10 2 2 3 2" xfId="44142" xr:uid="{00000000-0005-0000-0000-0000A0380000}"/>
    <cellStyle name="Normal 3 10 2 2 4" xfId="44140" xr:uid="{00000000-0005-0000-0000-0000A1380000}"/>
    <cellStyle name="Normal 3 10 2 3" xfId="20820" xr:uid="{00000000-0005-0000-0000-0000A2380000}"/>
    <cellStyle name="Normal 3 10 2 3 2" xfId="20821" xr:uid="{00000000-0005-0000-0000-0000A3380000}"/>
    <cellStyle name="Normal 3 10 2 3 2 2" xfId="44144" xr:uid="{00000000-0005-0000-0000-0000A4380000}"/>
    <cellStyle name="Normal 3 10 2 3 3" xfId="44143" xr:uid="{00000000-0005-0000-0000-0000A5380000}"/>
    <cellStyle name="Normal 3 10 2 4" xfId="20822" xr:uid="{00000000-0005-0000-0000-0000A6380000}"/>
    <cellStyle name="Normal 3 10 2 4 2" xfId="44145" xr:uid="{00000000-0005-0000-0000-0000A7380000}"/>
    <cellStyle name="Normal 3 10 2 5" xfId="20823" xr:uid="{00000000-0005-0000-0000-0000A8380000}"/>
    <cellStyle name="Normal 3 10 2 5 2" xfId="44146" xr:uid="{00000000-0005-0000-0000-0000A9380000}"/>
    <cellStyle name="Normal 3 10 2 6" xfId="20824" xr:uid="{00000000-0005-0000-0000-0000AA380000}"/>
    <cellStyle name="Normal 3 10 2 6 2" xfId="44147" xr:uid="{00000000-0005-0000-0000-0000AB380000}"/>
    <cellStyle name="Normal 3 10 2 7" xfId="27475" xr:uid="{00000000-0005-0000-0000-0000AC380000}"/>
    <cellStyle name="Normal 3 10 3" xfId="20825" xr:uid="{00000000-0005-0000-0000-0000AD380000}"/>
    <cellStyle name="Normal 3 10 3 2" xfId="20826" xr:uid="{00000000-0005-0000-0000-0000AE380000}"/>
    <cellStyle name="Normal 3 10 3 2 2" xfId="44149" xr:uid="{00000000-0005-0000-0000-0000AF380000}"/>
    <cellStyle name="Normal 3 10 3 3" xfId="20827" xr:uid="{00000000-0005-0000-0000-0000B0380000}"/>
    <cellStyle name="Normal 3 10 3 3 2" xfId="44150" xr:uid="{00000000-0005-0000-0000-0000B1380000}"/>
    <cellStyle name="Normal 3 10 3 4" xfId="44148" xr:uid="{00000000-0005-0000-0000-0000B2380000}"/>
    <cellStyle name="Normal 3 10 4" xfId="20828" xr:uid="{00000000-0005-0000-0000-0000B3380000}"/>
    <cellStyle name="Normal 3 10 4 2" xfId="20829" xr:uid="{00000000-0005-0000-0000-0000B4380000}"/>
    <cellStyle name="Normal 3 10 4 2 2" xfId="44152" xr:uid="{00000000-0005-0000-0000-0000B5380000}"/>
    <cellStyle name="Normal 3 10 4 3" xfId="44151" xr:uid="{00000000-0005-0000-0000-0000B6380000}"/>
    <cellStyle name="Normal 3 10 5" xfId="20830" xr:uid="{00000000-0005-0000-0000-0000B7380000}"/>
    <cellStyle name="Normal 3 10 5 2" xfId="44153" xr:uid="{00000000-0005-0000-0000-0000B8380000}"/>
    <cellStyle name="Normal 3 10 6" xfId="20831" xr:uid="{00000000-0005-0000-0000-0000B9380000}"/>
    <cellStyle name="Normal 3 10 6 2" xfId="44154" xr:uid="{00000000-0005-0000-0000-0000BA380000}"/>
    <cellStyle name="Normal 3 10 7" xfId="20832" xr:uid="{00000000-0005-0000-0000-0000BB380000}"/>
    <cellStyle name="Normal 3 10 7 2" xfId="44155" xr:uid="{00000000-0005-0000-0000-0000BC380000}"/>
    <cellStyle name="Normal 3 10 8" xfId="27474" xr:uid="{00000000-0005-0000-0000-0000BD380000}"/>
    <cellStyle name="Normal 3 11" xfId="17798" xr:uid="{00000000-0005-0000-0000-0000BE380000}"/>
    <cellStyle name="Normal 3 11 2" xfId="20833" xr:uid="{00000000-0005-0000-0000-0000BF380000}"/>
    <cellStyle name="Normal 3 11 2 2" xfId="20834" xr:uid="{00000000-0005-0000-0000-0000C0380000}"/>
    <cellStyle name="Normal 3 11 2 2 2" xfId="44157" xr:uid="{00000000-0005-0000-0000-0000C1380000}"/>
    <cellStyle name="Normal 3 11 2 3" xfId="20835" xr:uid="{00000000-0005-0000-0000-0000C2380000}"/>
    <cellStyle name="Normal 3 11 2 3 2" xfId="44158" xr:uid="{00000000-0005-0000-0000-0000C3380000}"/>
    <cellStyle name="Normal 3 11 2 4" xfId="44156" xr:uid="{00000000-0005-0000-0000-0000C4380000}"/>
    <cellStyle name="Normal 3 11 3" xfId="20836" xr:uid="{00000000-0005-0000-0000-0000C5380000}"/>
    <cellStyle name="Normal 3 11 3 2" xfId="20837" xr:uid="{00000000-0005-0000-0000-0000C6380000}"/>
    <cellStyle name="Normal 3 11 3 2 2" xfId="44160" xr:uid="{00000000-0005-0000-0000-0000C7380000}"/>
    <cellStyle name="Normal 3 11 3 3" xfId="44159" xr:uid="{00000000-0005-0000-0000-0000C8380000}"/>
    <cellStyle name="Normal 3 11 4" xfId="20838" xr:uid="{00000000-0005-0000-0000-0000C9380000}"/>
    <cellStyle name="Normal 3 11 4 2" xfId="44161" xr:uid="{00000000-0005-0000-0000-0000CA380000}"/>
    <cellStyle name="Normal 3 11 5" xfId="20839" xr:uid="{00000000-0005-0000-0000-0000CB380000}"/>
    <cellStyle name="Normal 3 11 5 2" xfId="44162" xr:uid="{00000000-0005-0000-0000-0000CC380000}"/>
    <cellStyle name="Normal 3 11 6" xfId="20840" xr:uid="{00000000-0005-0000-0000-0000CD380000}"/>
    <cellStyle name="Normal 3 11 6 2" xfId="44163" xr:uid="{00000000-0005-0000-0000-0000CE380000}"/>
    <cellStyle name="Normal 3 11 7" xfId="41258" xr:uid="{00000000-0005-0000-0000-0000CF380000}"/>
    <cellStyle name="Normal 3 12" xfId="20841" xr:uid="{00000000-0005-0000-0000-0000D0380000}"/>
    <cellStyle name="Normal 3 12 2" xfId="20842" xr:uid="{00000000-0005-0000-0000-0000D1380000}"/>
    <cellStyle name="Normal 3 12 2 2" xfId="44165" xr:uid="{00000000-0005-0000-0000-0000D2380000}"/>
    <cellStyle name="Normal 3 12 3" xfId="20843" xr:uid="{00000000-0005-0000-0000-0000D3380000}"/>
    <cellStyle name="Normal 3 12 3 2" xfId="44166" xr:uid="{00000000-0005-0000-0000-0000D4380000}"/>
    <cellStyle name="Normal 3 12 4" xfId="44164" xr:uid="{00000000-0005-0000-0000-0000D5380000}"/>
    <cellStyle name="Normal 3 13" xfId="20844" xr:uid="{00000000-0005-0000-0000-0000D6380000}"/>
    <cellStyle name="Normal 3 13 2" xfId="20845" xr:uid="{00000000-0005-0000-0000-0000D7380000}"/>
    <cellStyle name="Normal 3 13 3" xfId="20846" xr:uid="{00000000-0005-0000-0000-0000D8380000}"/>
    <cellStyle name="Normal 3 13 3 2" xfId="44168" xr:uid="{00000000-0005-0000-0000-0000D9380000}"/>
    <cellStyle name="Normal 3 13 4" xfId="44167" xr:uid="{00000000-0005-0000-0000-0000DA380000}"/>
    <cellStyle name="Normal 3 14" xfId="20847" xr:uid="{00000000-0005-0000-0000-0000DB380000}"/>
    <cellStyle name="Normal 3 14 2" xfId="20848" xr:uid="{00000000-0005-0000-0000-0000DC380000}"/>
    <cellStyle name="Normal 3 14 3" xfId="20849" xr:uid="{00000000-0005-0000-0000-0000DD380000}"/>
    <cellStyle name="Normal 3 14 3 2" xfId="44169" xr:uid="{00000000-0005-0000-0000-0000DE380000}"/>
    <cellStyle name="Normal 3 15" xfId="20850" xr:uid="{00000000-0005-0000-0000-0000DF380000}"/>
    <cellStyle name="Normal 3 15 2" xfId="44170" xr:uid="{00000000-0005-0000-0000-0000E0380000}"/>
    <cellStyle name="Normal 3 16" xfId="20851" xr:uid="{00000000-0005-0000-0000-0000E1380000}"/>
    <cellStyle name="Normal 3 17" xfId="20852" xr:uid="{00000000-0005-0000-0000-0000E2380000}"/>
    <cellStyle name="Normal 3 17 2" xfId="44171" xr:uid="{00000000-0005-0000-0000-0000E3380000}"/>
    <cellStyle name="Normal 3 2" xfId="22" xr:uid="{00000000-0005-0000-0000-0000E4380000}"/>
    <cellStyle name="Normal 3 2 10" xfId="3977" xr:uid="{00000000-0005-0000-0000-0000E5380000}"/>
    <cellStyle name="Normal 3 2 10 2" xfId="3978" xr:uid="{00000000-0005-0000-0000-0000E6380000}"/>
    <cellStyle name="Normal 3 2 10 2 2" xfId="3979" xr:uid="{00000000-0005-0000-0000-0000E7380000}"/>
    <cellStyle name="Normal 3 2 10 2 2 2" xfId="3980" xr:uid="{00000000-0005-0000-0000-0000E8380000}"/>
    <cellStyle name="Normal 3 2 10 2 2 2 2" xfId="3981" xr:uid="{00000000-0005-0000-0000-0000E9380000}"/>
    <cellStyle name="Normal 3 2 10 2 2 2 2 2" xfId="27480" xr:uid="{00000000-0005-0000-0000-0000EA380000}"/>
    <cellStyle name="Normal 3 2 10 2 2 2 3" xfId="27479" xr:uid="{00000000-0005-0000-0000-0000EB380000}"/>
    <cellStyle name="Normal 3 2 10 2 2 3" xfId="3982" xr:uid="{00000000-0005-0000-0000-0000EC380000}"/>
    <cellStyle name="Normal 3 2 10 2 2 3 2" xfId="27481" xr:uid="{00000000-0005-0000-0000-0000ED380000}"/>
    <cellStyle name="Normal 3 2 10 2 2 4" xfId="27478" xr:uid="{00000000-0005-0000-0000-0000EE380000}"/>
    <cellStyle name="Normal 3 2 10 2 3" xfId="3983" xr:uid="{00000000-0005-0000-0000-0000EF380000}"/>
    <cellStyle name="Normal 3 2 10 2 3 2" xfId="3984" xr:uid="{00000000-0005-0000-0000-0000F0380000}"/>
    <cellStyle name="Normal 3 2 10 2 3 2 2" xfId="27483" xr:uid="{00000000-0005-0000-0000-0000F1380000}"/>
    <cellStyle name="Normal 3 2 10 2 3 3" xfId="27482" xr:uid="{00000000-0005-0000-0000-0000F2380000}"/>
    <cellStyle name="Normal 3 2 10 2 4" xfId="3985" xr:uid="{00000000-0005-0000-0000-0000F3380000}"/>
    <cellStyle name="Normal 3 2 10 2 4 2" xfId="27484" xr:uid="{00000000-0005-0000-0000-0000F4380000}"/>
    <cellStyle name="Normal 3 2 10 2 5" xfId="27477" xr:uid="{00000000-0005-0000-0000-0000F5380000}"/>
    <cellStyle name="Normal 3 2 10 3" xfId="3986" xr:uid="{00000000-0005-0000-0000-0000F6380000}"/>
    <cellStyle name="Normal 3 2 10 3 2" xfId="3987" xr:uid="{00000000-0005-0000-0000-0000F7380000}"/>
    <cellStyle name="Normal 3 2 10 3 2 2" xfId="3988" xr:uid="{00000000-0005-0000-0000-0000F8380000}"/>
    <cellStyle name="Normal 3 2 10 3 2 2 2" xfId="3989" xr:uid="{00000000-0005-0000-0000-0000F9380000}"/>
    <cellStyle name="Normal 3 2 10 3 2 2 2 2" xfId="27488" xr:uid="{00000000-0005-0000-0000-0000FA380000}"/>
    <cellStyle name="Normal 3 2 10 3 2 2 3" xfId="27487" xr:uid="{00000000-0005-0000-0000-0000FB380000}"/>
    <cellStyle name="Normal 3 2 10 3 2 3" xfId="3990" xr:uid="{00000000-0005-0000-0000-0000FC380000}"/>
    <cellStyle name="Normal 3 2 10 3 2 3 2" xfId="27489" xr:uid="{00000000-0005-0000-0000-0000FD380000}"/>
    <cellStyle name="Normal 3 2 10 3 2 4" xfId="27486" xr:uid="{00000000-0005-0000-0000-0000FE380000}"/>
    <cellStyle name="Normal 3 2 10 3 3" xfId="3991" xr:uid="{00000000-0005-0000-0000-0000FF380000}"/>
    <cellStyle name="Normal 3 2 10 3 3 2" xfId="3992" xr:uid="{00000000-0005-0000-0000-000000390000}"/>
    <cellStyle name="Normal 3 2 10 3 3 2 2" xfId="27491" xr:uid="{00000000-0005-0000-0000-000001390000}"/>
    <cellStyle name="Normal 3 2 10 3 3 3" xfId="27490" xr:uid="{00000000-0005-0000-0000-000002390000}"/>
    <cellStyle name="Normal 3 2 10 3 4" xfId="3993" xr:uid="{00000000-0005-0000-0000-000003390000}"/>
    <cellStyle name="Normal 3 2 10 3 4 2" xfId="27492" xr:uid="{00000000-0005-0000-0000-000004390000}"/>
    <cellStyle name="Normal 3 2 10 3 5" xfId="27485" xr:uid="{00000000-0005-0000-0000-000005390000}"/>
    <cellStyle name="Normal 3 2 10 4" xfId="3994" xr:uid="{00000000-0005-0000-0000-000006390000}"/>
    <cellStyle name="Normal 3 2 10 4 2" xfId="3995" xr:uid="{00000000-0005-0000-0000-000007390000}"/>
    <cellStyle name="Normal 3 2 10 4 2 2" xfId="3996" xr:uid="{00000000-0005-0000-0000-000008390000}"/>
    <cellStyle name="Normal 3 2 10 4 2 2 2" xfId="27495" xr:uid="{00000000-0005-0000-0000-000009390000}"/>
    <cellStyle name="Normal 3 2 10 4 2 3" xfId="27494" xr:uid="{00000000-0005-0000-0000-00000A390000}"/>
    <cellStyle name="Normal 3 2 10 4 3" xfId="3997" xr:uid="{00000000-0005-0000-0000-00000B390000}"/>
    <cellStyle name="Normal 3 2 10 4 3 2" xfId="27496" xr:uid="{00000000-0005-0000-0000-00000C390000}"/>
    <cellStyle name="Normal 3 2 10 4 4" xfId="27493" xr:uid="{00000000-0005-0000-0000-00000D390000}"/>
    <cellStyle name="Normal 3 2 10 5" xfId="3998" xr:uid="{00000000-0005-0000-0000-00000E390000}"/>
    <cellStyle name="Normal 3 2 10 5 2" xfId="3999" xr:uid="{00000000-0005-0000-0000-00000F390000}"/>
    <cellStyle name="Normal 3 2 10 5 2 2" xfId="27498" xr:uid="{00000000-0005-0000-0000-000010390000}"/>
    <cellStyle name="Normal 3 2 10 5 3" xfId="27497" xr:uid="{00000000-0005-0000-0000-000011390000}"/>
    <cellStyle name="Normal 3 2 10 6" xfId="4000" xr:uid="{00000000-0005-0000-0000-000012390000}"/>
    <cellStyle name="Normal 3 2 10 6 2" xfId="27499" xr:uid="{00000000-0005-0000-0000-000013390000}"/>
    <cellStyle name="Normal 3 2 10 7" xfId="27476" xr:uid="{00000000-0005-0000-0000-000014390000}"/>
    <cellStyle name="Normal 3 2 11" xfId="4001" xr:uid="{00000000-0005-0000-0000-000015390000}"/>
    <cellStyle name="Normal 3 2 11 2" xfId="4002" xr:uid="{00000000-0005-0000-0000-000016390000}"/>
    <cellStyle name="Normal 3 2 11 2 2" xfId="4003" xr:uid="{00000000-0005-0000-0000-000017390000}"/>
    <cellStyle name="Normal 3 2 11 2 2 2" xfId="4004" xr:uid="{00000000-0005-0000-0000-000018390000}"/>
    <cellStyle name="Normal 3 2 11 2 2 2 2" xfId="4005" xr:uid="{00000000-0005-0000-0000-000019390000}"/>
    <cellStyle name="Normal 3 2 11 2 2 2 2 2" xfId="27504" xr:uid="{00000000-0005-0000-0000-00001A390000}"/>
    <cellStyle name="Normal 3 2 11 2 2 2 3" xfId="27503" xr:uid="{00000000-0005-0000-0000-00001B390000}"/>
    <cellStyle name="Normal 3 2 11 2 2 3" xfId="4006" xr:uid="{00000000-0005-0000-0000-00001C390000}"/>
    <cellStyle name="Normal 3 2 11 2 2 3 2" xfId="27505" xr:uid="{00000000-0005-0000-0000-00001D390000}"/>
    <cellStyle name="Normal 3 2 11 2 2 4" xfId="27502" xr:uid="{00000000-0005-0000-0000-00001E390000}"/>
    <cellStyle name="Normal 3 2 11 2 3" xfId="4007" xr:uid="{00000000-0005-0000-0000-00001F390000}"/>
    <cellStyle name="Normal 3 2 11 2 3 2" xfId="4008" xr:uid="{00000000-0005-0000-0000-000020390000}"/>
    <cellStyle name="Normal 3 2 11 2 3 2 2" xfId="27507" xr:uid="{00000000-0005-0000-0000-000021390000}"/>
    <cellStyle name="Normal 3 2 11 2 3 3" xfId="27506" xr:uid="{00000000-0005-0000-0000-000022390000}"/>
    <cellStyle name="Normal 3 2 11 2 4" xfId="4009" xr:uid="{00000000-0005-0000-0000-000023390000}"/>
    <cellStyle name="Normal 3 2 11 2 4 2" xfId="27508" xr:uid="{00000000-0005-0000-0000-000024390000}"/>
    <cellStyle name="Normal 3 2 11 2 5" xfId="27501" xr:uid="{00000000-0005-0000-0000-000025390000}"/>
    <cellStyle name="Normal 3 2 11 3" xfId="4010" xr:uid="{00000000-0005-0000-0000-000026390000}"/>
    <cellStyle name="Normal 3 2 11 3 2" xfId="4011" xr:uid="{00000000-0005-0000-0000-000027390000}"/>
    <cellStyle name="Normal 3 2 11 3 2 2" xfId="4012" xr:uid="{00000000-0005-0000-0000-000028390000}"/>
    <cellStyle name="Normal 3 2 11 3 2 2 2" xfId="4013" xr:uid="{00000000-0005-0000-0000-000029390000}"/>
    <cellStyle name="Normal 3 2 11 3 2 2 2 2" xfId="27512" xr:uid="{00000000-0005-0000-0000-00002A390000}"/>
    <cellStyle name="Normal 3 2 11 3 2 2 3" xfId="27511" xr:uid="{00000000-0005-0000-0000-00002B390000}"/>
    <cellStyle name="Normal 3 2 11 3 2 3" xfId="4014" xr:uid="{00000000-0005-0000-0000-00002C390000}"/>
    <cellStyle name="Normal 3 2 11 3 2 3 2" xfId="27513" xr:uid="{00000000-0005-0000-0000-00002D390000}"/>
    <cellStyle name="Normal 3 2 11 3 2 4" xfId="27510" xr:uid="{00000000-0005-0000-0000-00002E390000}"/>
    <cellStyle name="Normal 3 2 11 3 3" xfId="4015" xr:uid="{00000000-0005-0000-0000-00002F390000}"/>
    <cellStyle name="Normal 3 2 11 3 3 2" xfId="4016" xr:uid="{00000000-0005-0000-0000-000030390000}"/>
    <cellStyle name="Normal 3 2 11 3 3 2 2" xfId="27515" xr:uid="{00000000-0005-0000-0000-000031390000}"/>
    <cellStyle name="Normal 3 2 11 3 3 3" xfId="27514" xr:uid="{00000000-0005-0000-0000-000032390000}"/>
    <cellStyle name="Normal 3 2 11 3 4" xfId="4017" xr:uid="{00000000-0005-0000-0000-000033390000}"/>
    <cellStyle name="Normal 3 2 11 3 4 2" xfId="27516" xr:uid="{00000000-0005-0000-0000-000034390000}"/>
    <cellStyle name="Normal 3 2 11 3 5" xfId="27509" xr:uid="{00000000-0005-0000-0000-000035390000}"/>
    <cellStyle name="Normal 3 2 11 4" xfId="4018" xr:uid="{00000000-0005-0000-0000-000036390000}"/>
    <cellStyle name="Normal 3 2 11 4 2" xfId="4019" xr:uid="{00000000-0005-0000-0000-000037390000}"/>
    <cellStyle name="Normal 3 2 11 4 2 2" xfId="4020" xr:uid="{00000000-0005-0000-0000-000038390000}"/>
    <cellStyle name="Normal 3 2 11 4 2 2 2" xfId="27519" xr:uid="{00000000-0005-0000-0000-000039390000}"/>
    <cellStyle name="Normal 3 2 11 4 2 3" xfId="27518" xr:uid="{00000000-0005-0000-0000-00003A390000}"/>
    <cellStyle name="Normal 3 2 11 4 3" xfId="4021" xr:uid="{00000000-0005-0000-0000-00003B390000}"/>
    <cellStyle name="Normal 3 2 11 4 3 2" xfId="27520" xr:uid="{00000000-0005-0000-0000-00003C390000}"/>
    <cellStyle name="Normal 3 2 11 4 4" xfId="27517" xr:uid="{00000000-0005-0000-0000-00003D390000}"/>
    <cellStyle name="Normal 3 2 11 5" xfId="4022" xr:uid="{00000000-0005-0000-0000-00003E390000}"/>
    <cellStyle name="Normal 3 2 11 5 2" xfId="4023" xr:uid="{00000000-0005-0000-0000-00003F390000}"/>
    <cellStyle name="Normal 3 2 11 5 2 2" xfId="27522" xr:uid="{00000000-0005-0000-0000-000040390000}"/>
    <cellStyle name="Normal 3 2 11 5 3" xfId="27521" xr:uid="{00000000-0005-0000-0000-000041390000}"/>
    <cellStyle name="Normal 3 2 11 6" xfId="4024" xr:uid="{00000000-0005-0000-0000-000042390000}"/>
    <cellStyle name="Normal 3 2 11 6 2" xfId="27523" xr:uid="{00000000-0005-0000-0000-000043390000}"/>
    <cellStyle name="Normal 3 2 11 7" xfId="27500" xr:uid="{00000000-0005-0000-0000-000044390000}"/>
    <cellStyle name="Normal 3 2 12" xfId="4025" xr:uid="{00000000-0005-0000-0000-000045390000}"/>
    <cellStyle name="Normal 3 2 12 2" xfId="4026" xr:uid="{00000000-0005-0000-0000-000046390000}"/>
    <cellStyle name="Normal 3 2 12 2 2" xfId="4027" xr:uid="{00000000-0005-0000-0000-000047390000}"/>
    <cellStyle name="Normal 3 2 12 2 2 2" xfId="4028" xr:uid="{00000000-0005-0000-0000-000048390000}"/>
    <cellStyle name="Normal 3 2 12 2 2 2 2" xfId="27527" xr:uid="{00000000-0005-0000-0000-000049390000}"/>
    <cellStyle name="Normal 3 2 12 2 2 3" xfId="27526" xr:uid="{00000000-0005-0000-0000-00004A390000}"/>
    <cellStyle name="Normal 3 2 12 2 3" xfId="4029" xr:uid="{00000000-0005-0000-0000-00004B390000}"/>
    <cellStyle name="Normal 3 2 12 2 3 2" xfId="27528" xr:uid="{00000000-0005-0000-0000-00004C390000}"/>
    <cellStyle name="Normal 3 2 12 2 4" xfId="27525" xr:uid="{00000000-0005-0000-0000-00004D390000}"/>
    <cellStyle name="Normal 3 2 12 3" xfId="4030" xr:uid="{00000000-0005-0000-0000-00004E390000}"/>
    <cellStyle name="Normal 3 2 12 3 2" xfId="4031" xr:uid="{00000000-0005-0000-0000-00004F390000}"/>
    <cellStyle name="Normal 3 2 12 3 2 2" xfId="27530" xr:uid="{00000000-0005-0000-0000-000050390000}"/>
    <cellStyle name="Normal 3 2 12 3 3" xfId="27529" xr:uid="{00000000-0005-0000-0000-000051390000}"/>
    <cellStyle name="Normal 3 2 12 4" xfId="4032" xr:uid="{00000000-0005-0000-0000-000052390000}"/>
    <cellStyle name="Normal 3 2 12 4 2" xfId="27531" xr:uid="{00000000-0005-0000-0000-000053390000}"/>
    <cellStyle name="Normal 3 2 12 5" xfId="27524" xr:uid="{00000000-0005-0000-0000-000054390000}"/>
    <cellStyle name="Normal 3 2 13" xfId="4033" xr:uid="{00000000-0005-0000-0000-000055390000}"/>
    <cellStyle name="Normal 3 2 13 2" xfId="4034" xr:uid="{00000000-0005-0000-0000-000056390000}"/>
    <cellStyle name="Normal 3 2 13 2 2" xfId="4035" xr:uid="{00000000-0005-0000-0000-000057390000}"/>
    <cellStyle name="Normal 3 2 13 2 2 2" xfId="4036" xr:uid="{00000000-0005-0000-0000-000058390000}"/>
    <cellStyle name="Normal 3 2 13 2 2 2 2" xfId="27535" xr:uid="{00000000-0005-0000-0000-000059390000}"/>
    <cellStyle name="Normal 3 2 13 2 2 3" xfId="27534" xr:uid="{00000000-0005-0000-0000-00005A390000}"/>
    <cellStyle name="Normal 3 2 13 2 3" xfId="4037" xr:uid="{00000000-0005-0000-0000-00005B390000}"/>
    <cellStyle name="Normal 3 2 13 2 3 2" xfId="27536" xr:uid="{00000000-0005-0000-0000-00005C390000}"/>
    <cellStyle name="Normal 3 2 13 2 4" xfId="27533" xr:uid="{00000000-0005-0000-0000-00005D390000}"/>
    <cellStyle name="Normal 3 2 13 3" xfId="4038" xr:uid="{00000000-0005-0000-0000-00005E390000}"/>
    <cellStyle name="Normal 3 2 13 3 2" xfId="4039" xr:uid="{00000000-0005-0000-0000-00005F390000}"/>
    <cellStyle name="Normal 3 2 13 3 2 2" xfId="27538" xr:uid="{00000000-0005-0000-0000-000060390000}"/>
    <cellStyle name="Normal 3 2 13 3 3" xfId="27537" xr:uid="{00000000-0005-0000-0000-000061390000}"/>
    <cellStyle name="Normal 3 2 13 4" xfId="4040" xr:uid="{00000000-0005-0000-0000-000062390000}"/>
    <cellStyle name="Normal 3 2 13 4 2" xfId="27539" xr:uid="{00000000-0005-0000-0000-000063390000}"/>
    <cellStyle name="Normal 3 2 13 5" xfId="27532" xr:uid="{00000000-0005-0000-0000-000064390000}"/>
    <cellStyle name="Normal 3 2 14" xfId="4041" xr:uid="{00000000-0005-0000-0000-000065390000}"/>
    <cellStyle name="Normal 3 2 14 2" xfId="4042" xr:uid="{00000000-0005-0000-0000-000066390000}"/>
    <cellStyle name="Normal 3 2 14 2 2" xfId="4043" xr:uid="{00000000-0005-0000-0000-000067390000}"/>
    <cellStyle name="Normal 3 2 14 2 2 2" xfId="27542" xr:uid="{00000000-0005-0000-0000-000068390000}"/>
    <cellStyle name="Normal 3 2 14 2 3" xfId="27541" xr:uid="{00000000-0005-0000-0000-000069390000}"/>
    <cellStyle name="Normal 3 2 14 3" xfId="4044" xr:uid="{00000000-0005-0000-0000-00006A390000}"/>
    <cellStyle name="Normal 3 2 14 3 2" xfId="27543" xr:uid="{00000000-0005-0000-0000-00006B390000}"/>
    <cellStyle name="Normal 3 2 14 4" xfId="27540" xr:uid="{00000000-0005-0000-0000-00006C390000}"/>
    <cellStyle name="Normal 3 2 15" xfId="4045" xr:uid="{00000000-0005-0000-0000-00006D390000}"/>
    <cellStyle name="Normal 3 2 15 2" xfId="4046" xr:uid="{00000000-0005-0000-0000-00006E390000}"/>
    <cellStyle name="Normal 3 2 15 2 2" xfId="27545" xr:uid="{00000000-0005-0000-0000-00006F390000}"/>
    <cellStyle name="Normal 3 2 15 3" xfId="27544" xr:uid="{00000000-0005-0000-0000-000070390000}"/>
    <cellStyle name="Normal 3 2 16" xfId="4047" xr:uid="{00000000-0005-0000-0000-000071390000}"/>
    <cellStyle name="Normal 3 2 16 2" xfId="27546" xr:uid="{00000000-0005-0000-0000-000072390000}"/>
    <cellStyle name="Normal 3 2 2" xfId="104" xr:uid="{00000000-0005-0000-0000-000073390000}"/>
    <cellStyle name="Normal 3 2 2 10" xfId="4048" xr:uid="{00000000-0005-0000-0000-000074390000}"/>
    <cellStyle name="Normal 3 2 2 10 2" xfId="4049" xr:uid="{00000000-0005-0000-0000-000075390000}"/>
    <cellStyle name="Normal 3 2 2 10 2 2" xfId="4050" xr:uid="{00000000-0005-0000-0000-000076390000}"/>
    <cellStyle name="Normal 3 2 2 10 2 2 2" xfId="4051" xr:uid="{00000000-0005-0000-0000-000077390000}"/>
    <cellStyle name="Normal 3 2 2 10 2 2 2 2" xfId="27550" xr:uid="{00000000-0005-0000-0000-000078390000}"/>
    <cellStyle name="Normal 3 2 2 10 2 2 3" xfId="27549" xr:uid="{00000000-0005-0000-0000-000079390000}"/>
    <cellStyle name="Normal 3 2 2 10 2 3" xfId="4052" xr:uid="{00000000-0005-0000-0000-00007A390000}"/>
    <cellStyle name="Normal 3 2 2 10 2 3 2" xfId="27551" xr:uid="{00000000-0005-0000-0000-00007B390000}"/>
    <cellStyle name="Normal 3 2 2 10 2 4" xfId="20854" xr:uid="{00000000-0005-0000-0000-00007C390000}"/>
    <cellStyle name="Normal 3 2 2 10 2 5" xfId="27548" xr:uid="{00000000-0005-0000-0000-00007D390000}"/>
    <cellStyle name="Normal 3 2 2 10 3" xfId="4053" xr:uid="{00000000-0005-0000-0000-00007E390000}"/>
    <cellStyle name="Normal 3 2 2 10 3 2" xfId="4054" xr:uid="{00000000-0005-0000-0000-00007F390000}"/>
    <cellStyle name="Normal 3 2 2 10 3 2 2" xfId="27553" xr:uid="{00000000-0005-0000-0000-000080390000}"/>
    <cellStyle name="Normal 3 2 2 10 3 3" xfId="27552" xr:uid="{00000000-0005-0000-0000-000081390000}"/>
    <cellStyle name="Normal 3 2 2 10 4" xfId="4055" xr:uid="{00000000-0005-0000-0000-000082390000}"/>
    <cellStyle name="Normal 3 2 2 10 4 2" xfId="27554" xr:uid="{00000000-0005-0000-0000-000083390000}"/>
    <cellStyle name="Normal 3 2 2 10 5" xfId="20853" xr:uid="{00000000-0005-0000-0000-000084390000}"/>
    <cellStyle name="Normal 3 2 2 10 6" xfId="27547" xr:uid="{00000000-0005-0000-0000-000085390000}"/>
    <cellStyle name="Normal 3 2 2 11" xfId="4056" xr:uid="{00000000-0005-0000-0000-000086390000}"/>
    <cellStyle name="Normal 3 2 2 11 2" xfId="4057" xr:uid="{00000000-0005-0000-0000-000087390000}"/>
    <cellStyle name="Normal 3 2 2 11 2 2" xfId="4058" xr:uid="{00000000-0005-0000-0000-000088390000}"/>
    <cellStyle name="Normal 3 2 2 11 2 2 2" xfId="4059" xr:uid="{00000000-0005-0000-0000-000089390000}"/>
    <cellStyle name="Normal 3 2 2 11 2 2 2 2" xfId="27558" xr:uid="{00000000-0005-0000-0000-00008A390000}"/>
    <cellStyle name="Normal 3 2 2 11 2 2 3" xfId="27557" xr:uid="{00000000-0005-0000-0000-00008B390000}"/>
    <cellStyle name="Normal 3 2 2 11 2 3" xfId="4060" xr:uid="{00000000-0005-0000-0000-00008C390000}"/>
    <cellStyle name="Normal 3 2 2 11 2 3 2" xfId="27559" xr:uid="{00000000-0005-0000-0000-00008D390000}"/>
    <cellStyle name="Normal 3 2 2 11 2 4" xfId="27556" xr:uid="{00000000-0005-0000-0000-00008E390000}"/>
    <cellStyle name="Normal 3 2 2 11 3" xfId="4061" xr:uid="{00000000-0005-0000-0000-00008F390000}"/>
    <cellStyle name="Normal 3 2 2 11 3 2" xfId="4062" xr:uid="{00000000-0005-0000-0000-000090390000}"/>
    <cellStyle name="Normal 3 2 2 11 3 2 2" xfId="27561" xr:uid="{00000000-0005-0000-0000-000091390000}"/>
    <cellStyle name="Normal 3 2 2 11 3 3" xfId="27560" xr:uid="{00000000-0005-0000-0000-000092390000}"/>
    <cellStyle name="Normal 3 2 2 11 4" xfId="4063" xr:uid="{00000000-0005-0000-0000-000093390000}"/>
    <cellStyle name="Normal 3 2 2 11 4 2" xfId="27562" xr:uid="{00000000-0005-0000-0000-000094390000}"/>
    <cellStyle name="Normal 3 2 2 11 5" xfId="27555" xr:uid="{00000000-0005-0000-0000-000095390000}"/>
    <cellStyle name="Normal 3 2 2 12" xfId="4064" xr:uid="{00000000-0005-0000-0000-000096390000}"/>
    <cellStyle name="Normal 3 2 2 12 2" xfId="4065" xr:uid="{00000000-0005-0000-0000-000097390000}"/>
    <cellStyle name="Normal 3 2 2 12 2 2" xfId="4066" xr:uid="{00000000-0005-0000-0000-000098390000}"/>
    <cellStyle name="Normal 3 2 2 12 2 2 2" xfId="27565" xr:uid="{00000000-0005-0000-0000-000099390000}"/>
    <cellStyle name="Normal 3 2 2 12 2 3" xfId="27564" xr:uid="{00000000-0005-0000-0000-00009A390000}"/>
    <cellStyle name="Normal 3 2 2 12 3" xfId="4067" xr:uid="{00000000-0005-0000-0000-00009B390000}"/>
    <cellStyle name="Normal 3 2 2 12 3 2" xfId="27566" xr:uid="{00000000-0005-0000-0000-00009C390000}"/>
    <cellStyle name="Normal 3 2 2 12 4" xfId="20855" xr:uid="{00000000-0005-0000-0000-00009D390000}"/>
    <cellStyle name="Normal 3 2 2 12 5" xfId="27563" xr:uid="{00000000-0005-0000-0000-00009E390000}"/>
    <cellStyle name="Normal 3 2 2 13" xfId="4068" xr:uid="{00000000-0005-0000-0000-00009F390000}"/>
    <cellStyle name="Normal 3 2 2 13 2" xfId="4069" xr:uid="{00000000-0005-0000-0000-0000A0390000}"/>
    <cellStyle name="Normal 3 2 2 13 2 2" xfId="27568" xr:uid="{00000000-0005-0000-0000-0000A1390000}"/>
    <cellStyle name="Normal 3 2 2 13 3" xfId="27567" xr:uid="{00000000-0005-0000-0000-0000A2390000}"/>
    <cellStyle name="Normal 3 2 2 14" xfId="4070" xr:uid="{00000000-0005-0000-0000-0000A3390000}"/>
    <cellStyle name="Normal 3 2 2 14 2" xfId="27569" xr:uid="{00000000-0005-0000-0000-0000A4390000}"/>
    <cellStyle name="Normal 3 2 2 15" xfId="23669" xr:uid="{00000000-0005-0000-0000-0000A5390000}"/>
    <cellStyle name="Normal 3 2 2 2" xfId="105" xr:uid="{00000000-0005-0000-0000-0000A6390000}"/>
    <cellStyle name="Normal 3 2 2 2 10" xfId="4071" xr:uid="{00000000-0005-0000-0000-0000A7390000}"/>
    <cellStyle name="Normal 3 2 2 2 10 2" xfId="4072" xr:uid="{00000000-0005-0000-0000-0000A8390000}"/>
    <cellStyle name="Normal 3 2 2 2 10 2 2" xfId="4073" xr:uid="{00000000-0005-0000-0000-0000A9390000}"/>
    <cellStyle name="Normal 3 2 2 2 10 2 2 2" xfId="4074" xr:uid="{00000000-0005-0000-0000-0000AA390000}"/>
    <cellStyle name="Normal 3 2 2 2 10 2 2 2 2" xfId="27573" xr:uid="{00000000-0005-0000-0000-0000AB390000}"/>
    <cellStyle name="Normal 3 2 2 2 10 2 2 3" xfId="27572" xr:uid="{00000000-0005-0000-0000-0000AC390000}"/>
    <cellStyle name="Normal 3 2 2 2 10 2 3" xfId="4075" xr:uid="{00000000-0005-0000-0000-0000AD390000}"/>
    <cellStyle name="Normal 3 2 2 2 10 2 3 2" xfId="27574" xr:uid="{00000000-0005-0000-0000-0000AE390000}"/>
    <cellStyle name="Normal 3 2 2 2 10 2 4" xfId="27571" xr:uid="{00000000-0005-0000-0000-0000AF390000}"/>
    <cellStyle name="Normal 3 2 2 2 10 3" xfId="4076" xr:uid="{00000000-0005-0000-0000-0000B0390000}"/>
    <cellStyle name="Normal 3 2 2 2 10 3 2" xfId="4077" xr:uid="{00000000-0005-0000-0000-0000B1390000}"/>
    <cellStyle name="Normal 3 2 2 2 10 3 2 2" xfId="27576" xr:uid="{00000000-0005-0000-0000-0000B2390000}"/>
    <cellStyle name="Normal 3 2 2 2 10 3 3" xfId="27575" xr:uid="{00000000-0005-0000-0000-0000B3390000}"/>
    <cellStyle name="Normal 3 2 2 2 10 4" xfId="4078" xr:uid="{00000000-0005-0000-0000-0000B4390000}"/>
    <cellStyle name="Normal 3 2 2 2 10 4 2" xfId="27577" xr:uid="{00000000-0005-0000-0000-0000B5390000}"/>
    <cellStyle name="Normal 3 2 2 2 10 5" xfId="27570" xr:uid="{00000000-0005-0000-0000-0000B6390000}"/>
    <cellStyle name="Normal 3 2 2 2 11" xfId="4079" xr:uid="{00000000-0005-0000-0000-0000B7390000}"/>
    <cellStyle name="Normal 3 2 2 2 11 2" xfId="4080" xr:uid="{00000000-0005-0000-0000-0000B8390000}"/>
    <cellStyle name="Normal 3 2 2 2 11 2 2" xfId="4081" xr:uid="{00000000-0005-0000-0000-0000B9390000}"/>
    <cellStyle name="Normal 3 2 2 2 11 2 2 2" xfId="27580" xr:uid="{00000000-0005-0000-0000-0000BA390000}"/>
    <cellStyle name="Normal 3 2 2 2 11 2 3" xfId="27579" xr:uid="{00000000-0005-0000-0000-0000BB390000}"/>
    <cellStyle name="Normal 3 2 2 2 11 3" xfId="4082" xr:uid="{00000000-0005-0000-0000-0000BC390000}"/>
    <cellStyle name="Normal 3 2 2 2 11 3 2" xfId="27581" xr:uid="{00000000-0005-0000-0000-0000BD390000}"/>
    <cellStyle name="Normal 3 2 2 2 11 4" xfId="27578" xr:uid="{00000000-0005-0000-0000-0000BE390000}"/>
    <cellStyle name="Normal 3 2 2 2 12" xfId="4083" xr:uid="{00000000-0005-0000-0000-0000BF390000}"/>
    <cellStyle name="Normal 3 2 2 2 12 2" xfId="4084" xr:uid="{00000000-0005-0000-0000-0000C0390000}"/>
    <cellStyle name="Normal 3 2 2 2 12 2 2" xfId="27583" xr:uid="{00000000-0005-0000-0000-0000C1390000}"/>
    <cellStyle name="Normal 3 2 2 2 12 3" xfId="27582" xr:uid="{00000000-0005-0000-0000-0000C2390000}"/>
    <cellStyle name="Normal 3 2 2 2 13" xfId="4085" xr:uid="{00000000-0005-0000-0000-0000C3390000}"/>
    <cellStyle name="Normal 3 2 2 2 13 2" xfId="27584" xr:uid="{00000000-0005-0000-0000-0000C4390000}"/>
    <cellStyle name="Normal 3 2 2 2 14" xfId="23670" xr:uid="{00000000-0005-0000-0000-0000C5390000}"/>
    <cellStyle name="Normal 3 2 2 2 2" xfId="106" xr:uid="{00000000-0005-0000-0000-0000C6390000}"/>
    <cellStyle name="Normal 3 2 2 2 2 10" xfId="4086" xr:uid="{00000000-0005-0000-0000-0000C7390000}"/>
    <cellStyle name="Normal 3 2 2 2 2 10 2" xfId="27585" xr:uid="{00000000-0005-0000-0000-0000C8390000}"/>
    <cellStyle name="Normal 3 2 2 2 2 11" xfId="23671" xr:uid="{00000000-0005-0000-0000-0000C9390000}"/>
    <cellStyle name="Normal 3 2 2 2 2 2" xfId="4087" xr:uid="{00000000-0005-0000-0000-0000CA390000}"/>
    <cellStyle name="Normal 3 2 2 2 2 2 2" xfId="4088" xr:uid="{00000000-0005-0000-0000-0000CB390000}"/>
    <cellStyle name="Normal 3 2 2 2 2 2 2 2" xfId="4089" xr:uid="{00000000-0005-0000-0000-0000CC390000}"/>
    <cellStyle name="Normal 3 2 2 2 2 2 2 2 2" xfId="4090" xr:uid="{00000000-0005-0000-0000-0000CD390000}"/>
    <cellStyle name="Normal 3 2 2 2 2 2 2 2 2 2" xfId="4091" xr:uid="{00000000-0005-0000-0000-0000CE390000}"/>
    <cellStyle name="Normal 3 2 2 2 2 2 2 2 2 2 2" xfId="27590" xr:uid="{00000000-0005-0000-0000-0000CF390000}"/>
    <cellStyle name="Normal 3 2 2 2 2 2 2 2 2 3" xfId="27589" xr:uid="{00000000-0005-0000-0000-0000D0390000}"/>
    <cellStyle name="Normal 3 2 2 2 2 2 2 2 3" xfId="4092" xr:uid="{00000000-0005-0000-0000-0000D1390000}"/>
    <cellStyle name="Normal 3 2 2 2 2 2 2 2 3 2" xfId="27591" xr:uid="{00000000-0005-0000-0000-0000D2390000}"/>
    <cellStyle name="Normal 3 2 2 2 2 2 2 2 4" xfId="27588" xr:uid="{00000000-0005-0000-0000-0000D3390000}"/>
    <cellStyle name="Normal 3 2 2 2 2 2 2 3" xfId="4093" xr:uid="{00000000-0005-0000-0000-0000D4390000}"/>
    <cellStyle name="Normal 3 2 2 2 2 2 2 3 2" xfId="4094" xr:uid="{00000000-0005-0000-0000-0000D5390000}"/>
    <cellStyle name="Normal 3 2 2 2 2 2 2 3 2 2" xfId="27593" xr:uid="{00000000-0005-0000-0000-0000D6390000}"/>
    <cellStyle name="Normal 3 2 2 2 2 2 2 3 3" xfId="27592" xr:uid="{00000000-0005-0000-0000-0000D7390000}"/>
    <cellStyle name="Normal 3 2 2 2 2 2 2 4" xfId="4095" xr:uid="{00000000-0005-0000-0000-0000D8390000}"/>
    <cellStyle name="Normal 3 2 2 2 2 2 2 4 2" xfId="27594" xr:uid="{00000000-0005-0000-0000-0000D9390000}"/>
    <cellStyle name="Normal 3 2 2 2 2 2 2 5" xfId="20856" xr:uid="{00000000-0005-0000-0000-0000DA390000}"/>
    <cellStyle name="Normal 3 2 2 2 2 2 2 5 2" xfId="44172" xr:uid="{00000000-0005-0000-0000-0000DB390000}"/>
    <cellStyle name="Normal 3 2 2 2 2 2 2 6" xfId="20857" xr:uid="{00000000-0005-0000-0000-0000DC390000}"/>
    <cellStyle name="Normal 3 2 2 2 2 2 2 6 2" xfId="44173" xr:uid="{00000000-0005-0000-0000-0000DD390000}"/>
    <cellStyle name="Normal 3 2 2 2 2 2 2 7" xfId="27587" xr:uid="{00000000-0005-0000-0000-0000DE390000}"/>
    <cellStyle name="Normal 3 2 2 2 2 2 3" xfId="4096" xr:uid="{00000000-0005-0000-0000-0000DF390000}"/>
    <cellStyle name="Normal 3 2 2 2 2 2 3 2" xfId="4097" xr:uid="{00000000-0005-0000-0000-0000E0390000}"/>
    <cellStyle name="Normal 3 2 2 2 2 2 3 2 2" xfId="4098" xr:uid="{00000000-0005-0000-0000-0000E1390000}"/>
    <cellStyle name="Normal 3 2 2 2 2 2 3 2 2 2" xfId="4099" xr:uid="{00000000-0005-0000-0000-0000E2390000}"/>
    <cellStyle name="Normal 3 2 2 2 2 2 3 2 2 2 2" xfId="27598" xr:uid="{00000000-0005-0000-0000-0000E3390000}"/>
    <cellStyle name="Normal 3 2 2 2 2 2 3 2 2 3" xfId="27597" xr:uid="{00000000-0005-0000-0000-0000E4390000}"/>
    <cellStyle name="Normal 3 2 2 2 2 2 3 2 3" xfId="4100" xr:uid="{00000000-0005-0000-0000-0000E5390000}"/>
    <cellStyle name="Normal 3 2 2 2 2 2 3 2 3 2" xfId="27599" xr:uid="{00000000-0005-0000-0000-0000E6390000}"/>
    <cellStyle name="Normal 3 2 2 2 2 2 3 2 4" xfId="27596" xr:uid="{00000000-0005-0000-0000-0000E7390000}"/>
    <cellStyle name="Normal 3 2 2 2 2 2 3 3" xfId="4101" xr:uid="{00000000-0005-0000-0000-0000E8390000}"/>
    <cellStyle name="Normal 3 2 2 2 2 2 3 3 2" xfId="4102" xr:uid="{00000000-0005-0000-0000-0000E9390000}"/>
    <cellStyle name="Normal 3 2 2 2 2 2 3 3 2 2" xfId="27601" xr:uid="{00000000-0005-0000-0000-0000EA390000}"/>
    <cellStyle name="Normal 3 2 2 2 2 2 3 3 3" xfId="27600" xr:uid="{00000000-0005-0000-0000-0000EB390000}"/>
    <cellStyle name="Normal 3 2 2 2 2 2 3 4" xfId="4103" xr:uid="{00000000-0005-0000-0000-0000EC390000}"/>
    <cellStyle name="Normal 3 2 2 2 2 2 3 4 2" xfId="27602" xr:uid="{00000000-0005-0000-0000-0000ED390000}"/>
    <cellStyle name="Normal 3 2 2 2 2 2 3 5" xfId="27595" xr:uid="{00000000-0005-0000-0000-0000EE390000}"/>
    <cellStyle name="Normal 3 2 2 2 2 2 4" xfId="4104" xr:uid="{00000000-0005-0000-0000-0000EF390000}"/>
    <cellStyle name="Normal 3 2 2 2 2 2 4 2" xfId="4105" xr:uid="{00000000-0005-0000-0000-0000F0390000}"/>
    <cellStyle name="Normal 3 2 2 2 2 2 4 2 2" xfId="4106" xr:uid="{00000000-0005-0000-0000-0000F1390000}"/>
    <cellStyle name="Normal 3 2 2 2 2 2 4 2 2 2" xfId="27605" xr:uid="{00000000-0005-0000-0000-0000F2390000}"/>
    <cellStyle name="Normal 3 2 2 2 2 2 4 2 3" xfId="27604" xr:uid="{00000000-0005-0000-0000-0000F3390000}"/>
    <cellStyle name="Normal 3 2 2 2 2 2 4 3" xfId="4107" xr:uid="{00000000-0005-0000-0000-0000F4390000}"/>
    <cellStyle name="Normal 3 2 2 2 2 2 4 3 2" xfId="27606" xr:uid="{00000000-0005-0000-0000-0000F5390000}"/>
    <cellStyle name="Normal 3 2 2 2 2 2 4 4" xfId="27603" xr:uid="{00000000-0005-0000-0000-0000F6390000}"/>
    <cellStyle name="Normal 3 2 2 2 2 2 5" xfId="4108" xr:uid="{00000000-0005-0000-0000-0000F7390000}"/>
    <cellStyle name="Normal 3 2 2 2 2 2 5 2" xfId="4109" xr:uid="{00000000-0005-0000-0000-0000F8390000}"/>
    <cellStyle name="Normal 3 2 2 2 2 2 5 2 2" xfId="27608" xr:uid="{00000000-0005-0000-0000-0000F9390000}"/>
    <cellStyle name="Normal 3 2 2 2 2 2 5 3" xfId="27607" xr:uid="{00000000-0005-0000-0000-0000FA390000}"/>
    <cellStyle name="Normal 3 2 2 2 2 2 6" xfId="4110" xr:uid="{00000000-0005-0000-0000-0000FB390000}"/>
    <cellStyle name="Normal 3 2 2 2 2 2 6 2" xfId="27609" xr:uid="{00000000-0005-0000-0000-0000FC390000}"/>
    <cellStyle name="Normal 3 2 2 2 2 2 7" xfId="20858" xr:uid="{00000000-0005-0000-0000-0000FD390000}"/>
    <cellStyle name="Normal 3 2 2 2 2 2 7 2" xfId="44174" xr:uid="{00000000-0005-0000-0000-0000FE390000}"/>
    <cellStyle name="Normal 3 2 2 2 2 2 8" xfId="27586" xr:uid="{00000000-0005-0000-0000-0000FF390000}"/>
    <cellStyle name="Normal 3 2 2 2 2 3" xfId="4111" xr:uid="{00000000-0005-0000-0000-0000003A0000}"/>
    <cellStyle name="Normal 3 2 2 2 2 3 2" xfId="4112" xr:uid="{00000000-0005-0000-0000-0000013A0000}"/>
    <cellStyle name="Normal 3 2 2 2 2 3 2 2" xfId="4113" xr:uid="{00000000-0005-0000-0000-0000023A0000}"/>
    <cellStyle name="Normal 3 2 2 2 2 3 2 2 2" xfId="4114" xr:uid="{00000000-0005-0000-0000-0000033A0000}"/>
    <cellStyle name="Normal 3 2 2 2 2 3 2 2 2 2" xfId="4115" xr:uid="{00000000-0005-0000-0000-0000043A0000}"/>
    <cellStyle name="Normal 3 2 2 2 2 3 2 2 2 2 2" xfId="27614" xr:uid="{00000000-0005-0000-0000-0000053A0000}"/>
    <cellStyle name="Normal 3 2 2 2 2 3 2 2 2 3" xfId="27613" xr:uid="{00000000-0005-0000-0000-0000063A0000}"/>
    <cellStyle name="Normal 3 2 2 2 2 3 2 2 3" xfId="4116" xr:uid="{00000000-0005-0000-0000-0000073A0000}"/>
    <cellStyle name="Normal 3 2 2 2 2 3 2 2 3 2" xfId="27615" xr:uid="{00000000-0005-0000-0000-0000083A0000}"/>
    <cellStyle name="Normal 3 2 2 2 2 3 2 2 4" xfId="27612" xr:uid="{00000000-0005-0000-0000-0000093A0000}"/>
    <cellStyle name="Normal 3 2 2 2 2 3 2 3" xfId="4117" xr:uid="{00000000-0005-0000-0000-00000A3A0000}"/>
    <cellStyle name="Normal 3 2 2 2 2 3 2 3 2" xfId="4118" xr:uid="{00000000-0005-0000-0000-00000B3A0000}"/>
    <cellStyle name="Normal 3 2 2 2 2 3 2 3 2 2" xfId="27617" xr:uid="{00000000-0005-0000-0000-00000C3A0000}"/>
    <cellStyle name="Normal 3 2 2 2 2 3 2 3 3" xfId="27616" xr:uid="{00000000-0005-0000-0000-00000D3A0000}"/>
    <cellStyle name="Normal 3 2 2 2 2 3 2 4" xfId="4119" xr:uid="{00000000-0005-0000-0000-00000E3A0000}"/>
    <cellStyle name="Normal 3 2 2 2 2 3 2 4 2" xfId="27618" xr:uid="{00000000-0005-0000-0000-00000F3A0000}"/>
    <cellStyle name="Normal 3 2 2 2 2 3 2 5" xfId="20859" xr:uid="{00000000-0005-0000-0000-0000103A0000}"/>
    <cellStyle name="Normal 3 2 2 2 2 3 2 5 2" xfId="44175" xr:uid="{00000000-0005-0000-0000-0000113A0000}"/>
    <cellStyle name="Normal 3 2 2 2 2 3 2 6" xfId="20860" xr:uid="{00000000-0005-0000-0000-0000123A0000}"/>
    <cellStyle name="Normal 3 2 2 2 2 3 2 6 2" xfId="44176" xr:uid="{00000000-0005-0000-0000-0000133A0000}"/>
    <cellStyle name="Normal 3 2 2 2 2 3 2 7" xfId="27611" xr:uid="{00000000-0005-0000-0000-0000143A0000}"/>
    <cellStyle name="Normal 3 2 2 2 2 3 3" xfId="4120" xr:uid="{00000000-0005-0000-0000-0000153A0000}"/>
    <cellStyle name="Normal 3 2 2 2 2 3 3 2" xfId="4121" xr:uid="{00000000-0005-0000-0000-0000163A0000}"/>
    <cellStyle name="Normal 3 2 2 2 2 3 3 2 2" xfId="4122" xr:uid="{00000000-0005-0000-0000-0000173A0000}"/>
    <cellStyle name="Normal 3 2 2 2 2 3 3 2 2 2" xfId="4123" xr:uid="{00000000-0005-0000-0000-0000183A0000}"/>
    <cellStyle name="Normal 3 2 2 2 2 3 3 2 2 2 2" xfId="27622" xr:uid="{00000000-0005-0000-0000-0000193A0000}"/>
    <cellStyle name="Normal 3 2 2 2 2 3 3 2 2 3" xfId="27621" xr:uid="{00000000-0005-0000-0000-00001A3A0000}"/>
    <cellStyle name="Normal 3 2 2 2 2 3 3 2 3" xfId="4124" xr:uid="{00000000-0005-0000-0000-00001B3A0000}"/>
    <cellStyle name="Normal 3 2 2 2 2 3 3 2 3 2" xfId="27623" xr:uid="{00000000-0005-0000-0000-00001C3A0000}"/>
    <cellStyle name="Normal 3 2 2 2 2 3 3 2 4" xfId="27620" xr:uid="{00000000-0005-0000-0000-00001D3A0000}"/>
    <cellStyle name="Normal 3 2 2 2 2 3 3 3" xfId="4125" xr:uid="{00000000-0005-0000-0000-00001E3A0000}"/>
    <cellStyle name="Normal 3 2 2 2 2 3 3 3 2" xfId="4126" xr:uid="{00000000-0005-0000-0000-00001F3A0000}"/>
    <cellStyle name="Normal 3 2 2 2 2 3 3 3 2 2" xfId="27625" xr:uid="{00000000-0005-0000-0000-0000203A0000}"/>
    <cellStyle name="Normal 3 2 2 2 2 3 3 3 3" xfId="27624" xr:uid="{00000000-0005-0000-0000-0000213A0000}"/>
    <cellStyle name="Normal 3 2 2 2 2 3 3 4" xfId="4127" xr:uid="{00000000-0005-0000-0000-0000223A0000}"/>
    <cellStyle name="Normal 3 2 2 2 2 3 3 4 2" xfId="27626" xr:uid="{00000000-0005-0000-0000-0000233A0000}"/>
    <cellStyle name="Normal 3 2 2 2 2 3 3 5" xfId="27619" xr:uid="{00000000-0005-0000-0000-0000243A0000}"/>
    <cellStyle name="Normal 3 2 2 2 2 3 4" xfId="4128" xr:uid="{00000000-0005-0000-0000-0000253A0000}"/>
    <cellStyle name="Normal 3 2 2 2 2 3 4 2" xfId="4129" xr:uid="{00000000-0005-0000-0000-0000263A0000}"/>
    <cellStyle name="Normal 3 2 2 2 2 3 4 2 2" xfId="4130" xr:uid="{00000000-0005-0000-0000-0000273A0000}"/>
    <cellStyle name="Normal 3 2 2 2 2 3 4 2 2 2" xfId="27629" xr:uid="{00000000-0005-0000-0000-0000283A0000}"/>
    <cellStyle name="Normal 3 2 2 2 2 3 4 2 3" xfId="27628" xr:uid="{00000000-0005-0000-0000-0000293A0000}"/>
    <cellStyle name="Normal 3 2 2 2 2 3 4 3" xfId="4131" xr:uid="{00000000-0005-0000-0000-00002A3A0000}"/>
    <cellStyle name="Normal 3 2 2 2 2 3 4 3 2" xfId="27630" xr:uid="{00000000-0005-0000-0000-00002B3A0000}"/>
    <cellStyle name="Normal 3 2 2 2 2 3 4 4" xfId="27627" xr:uid="{00000000-0005-0000-0000-00002C3A0000}"/>
    <cellStyle name="Normal 3 2 2 2 2 3 5" xfId="4132" xr:uid="{00000000-0005-0000-0000-00002D3A0000}"/>
    <cellStyle name="Normal 3 2 2 2 2 3 5 2" xfId="4133" xr:uid="{00000000-0005-0000-0000-00002E3A0000}"/>
    <cellStyle name="Normal 3 2 2 2 2 3 5 2 2" xfId="27632" xr:uid="{00000000-0005-0000-0000-00002F3A0000}"/>
    <cellStyle name="Normal 3 2 2 2 2 3 5 3" xfId="27631" xr:uid="{00000000-0005-0000-0000-0000303A0000}"/>
    <cellStyle name="Normal 3 2 2 2 2 3 6" xfId="4134" xr:uid="{00000000-0005-0000-0000-0000313A0000}"/>
    <cellStyle name="Normal 3 2 2 2 2 3 6 2" xfId="27633" xr:uid="{00000000-0005-0000-0000-0000323A0000}"/>
    <cellStyle name="Normal 3 2 2 2 2 3 7" xfId="20861" xr:uid="{00000000-0005-0000-0000-0000333A0000}"/>
    <cellStyle name="Normal 3 2 2 2 2 3 7 2" xfId="44177" xr:uid="{00000000-0005-0000-0000-0000343A0000}"/>
    <cellStyle name="Normal 3 2 2 2 2 3 8" xfId="27610" xr:uid="{00000000-0005-0000-0000-0000353A0000}"/>
    <cellStyle name="Normal 3 2 2 2 2 4" xfId="4135" xr:uid="{00000000-0005-0000-0000-0000363A0000}"/>
    <cellStyle name="Normal 3 2 2 2 2 4 2" xfId="4136" xr:uid="{00000000-0005-0000-0000-0000373A0000}"/>
    <cellStyle name="Normal 3 2 2 2 2 4 2 2" xfId="4137" xr:uid="{00000000-0005-0000-0000-0000383A0000}"/>
    <cellStyle name="Normal 3 2 2 2 2 4 2 2 2" xfId="4138" xr:uid="{00000000-0005-0000-0000-0000393A0000}"/>
    <cellStyle name="Normal 3 2 2 2 2 4 2 2 2 2" xfId="4139" xr:uid="{00000000-0005-0000-0000-00003A3A0000}"/>
    <cellStyle name="Normal 3 2 2 2 2 4 2 2 2 2 2" xfId="27638" xr:uid="{00000000-0005-0000-0000-00003B3A0000}"/>
    <cellStyle name="Normal 3 2 2 2 2 4 2 2 2 3" xfId="27637" xr:uid="{00000000-0005-0000-0000-00003C3A0000}"/>
    <cellStyle name="Normal 3 2 2 2 2 4 2 2 3" xfId="4140" xr:uid="{00000000-0005-0000-0000-00003D3A0000}"/>
    <cellStyle name="Normal 3 2 2 2 2 4 2 2 3 2" xfId="27639" xr:uid="{00000000-0005-0000-0000-00003E3A0000}"/>
    <cellStyle name="Normal 3 2 2 2 2 4 2 2 4" xfId="27636" xr:uid="{00000000-0005-0000-0000-00003F3A0000}"/>
    <cellStyle name="Normal 3 2 2 2 2 4 2 3" xfId="4141" xr:uid="{00000000-0005-0000-0000-0000403A0000}"/>
    <cellStyle name="Normal 3 2 2 2 2 4 2 3 2" xfId="4142" xr:uid="{00000000-0005-0000-0000-0000413A0000}"/>
    <cellStyle name="Normal 3 2 2 2 2 4 2 3 2 2" xfId="27641" xr:uid="{00000000-0005-0000-0000-0000423A0000}"/>
    <cellStyle name="Normal 3 2 2 2 2 4 2 3 3" xfId="27640" xr:uid="{00000000-0005-0000-0000-0000433A0000}"/>
    <cellStyle name="Normal 3 2 2 2 2 4 2 4" xfId="4143" xr:uid="{00000000-0005-0000-0000-0000443A0000}"/>
    <cellStyle name="Normal 3 2 2 2 2 4 2 4 2" xfId="27642" xr:uid="{00000000-0005-0000-0000-0000453A0000}"/>
    <cellStyle name="Normal 3 2 2 2 2 4 2 5" xfId="27635" xr:uid="{00000000-0005-0000-0000-0000463A0000}"/>
    <cellStyle name="Normal 3 2 2 2 2 4 3" xfId="4144" xr:uid="{00000000-0005-0000-0000-0000473A0000}"/>
    <cellStyle name="Normal 3 2 2 2 2 4 3 2" xfId="4145" xr:uid="{00000000-0005-0000-0000-0000483A0000}"/>
    <cellStyle name="Normal 3 2 2 2 2 4 3 2 2" xfId="4146" xr:uid="{00000000-0005-0000-0000-0000493A0000}"/>
    <cellStyle name="Normal 3 2 2 2 2 4 3 2 2 2" xfId="4147" xr:uid="{00000000-0005-0000-0000-00004A3A0000}"/>
    <cellStyle name="Normal 3 2 2 2 2 4 3 2 2 2 2" xfId="27646" xr:uid="{00000000-0005-0000-0000-00004B3A0000}"/>
    <cellStyle name="Normal 3 2 2 2 2 4 3 2 2 3" xfId="27645" xr:uid="{00000000-0005-0000-0000-00004C3A0000}"/>
    <cellStyle name="Normal 3 2 2 2 2 4 3 2 3" xfId="4148" xr:uid="{00000000-0005-0000-0000-00004D3A0000}"/>
    <cellStyle name="Normal 3 2 2 2 2 4 3 2 3 2" xfId="27647" xr:uid="{00000000-0005-0000-0000-00004E3A0000}"/>
    <cellStyle name="Normal 3 2 2 2 2 4 3 2 4" xfId="27644" xr:uid="{00000000-0005-0000-0000-00004F3A0000}"/>
    <cellStyle name="Normal 3 2 2 2 2 4 3 3" xfId="4149" xr:uid="{00000000-0005-0000-0000-0000503A0000}"/>
    <cellStyle name="Normal 3 2 2 2 2 4 3 3 2" xfId="4150" xr:uid="{00000000-0005-0000-0000-0000513A0000}"/>
    <cellStyle name="Normal 3 2 2 2 2 4 3 3 2 2" xfId="27649" xr:uid="{00000000-0005-0000-0000-0000523A0000}"/>
    <cellStyle name="Normal 3 2 2 2 2 4 3 3 3" xfId="27648" xr:uid="{00000000-0005-0000-0000-0000533A0000}"/>
    <cellStyle name="Normal 3 2 2 2 2 4 3 4" xfId="4151" xr:uid="{00000000-0005-0000-0000-0000543A0000}"/>
    <cellStyle name="Normal 3 2 2 2 2 4 3 4 2" xfId="27650" xr:uid="{00000000-0005-0000-0000-0000553A0000}"/>
    <cellStyle name="Normal 3 2 2 2 2 4 3 5" xfId="27643" xr:uid="{00000000-0005-0000-0000-0000563A0000}"/>
    <cellStyle name="Normal 3 2 2 2 2 4 4" xfId="4152" xr:uid="{00000000-0005-0000-0000-0000573A0000}"/>
    <cellStyle name="Normal 3 2 2 2 2 4 4 2" xfId="4153" xr:uid="{00000000-0005-0000-0000-0000583A0000}"/>
    <cellStyle name="Normal 3 2 2 2 2 4 4 2 2" xfId="4154" xr:uid="{00000000-0005-0000-0000-0000593A0000}"/>
    <cellStyle name="Normal 3 2 2 2 2 4 4 2 2 2" xfId="27653" xr:uid="{00000000-0005-0000-0000-00005A3A0000}"/>
    <cellStyle name="Normal 3 2 2 2 2 4 4 2 3" xfId="27652" xr:uid="{00000000-0005-0000-0000-00005B3A0000}"/>
    <cellStyle name="Normal 3 2 2 2 2 4 4 3" xfId="4155" xr:uid="{00000000-0005-0000-0000-00005C3A0000}"/>
    <cellStyle name="Normal 3 2 2 2 2 4 4 3 2" xfId="27654" xr:uid="{00000000-0005-0000-0000-00005D3A0000}"/>
    <cellStyle name="Normal 3 2 2 2 2 4 4 4" xfId="27651" xr:uid="{00000000-0005-0000-0000-00005E3A0000}"/>
    <cellStyle name="Normal 3 2 2 2 2 4 5" xfId="4156" xr:uid="{00000000-0005-0000-0000-00005F3A0000}"/>
    <cellStyle name="Normal 3 2 2 2 2 4 5 2" xfId="4157" xr:uid="{00000000-0005-0000-0000-0000603A0000}"/>
    <cellStyle name="Normal 3 2 2 2 2 4 5 2 2" xfId="27656" xr:uid="{00000000-0005-0000-0000-0000613A0000}"/>
    <cellStyle name="Normal 3 2 2 2 2 4 5 3" xfId="27655" xr:uid="{00000000-0005-0000-0000-0000623A0000}"/>
    <cellStyle name="Normal 3 2 2 2 2 4 6" xfId="4158" xr:uid="{00000000-0005-0000-0000-0000633A0000}"/>
    <cellStyle name="Normal 3 2 2 2 2 4 6 2" xfId="27657" xr:uid="{00000000-0005-0000-0000-0000643A0000}"/>
    <cellStyle name="Normal 3 2 2 2 2 4 7" xfId="27634" xr:uid="{00000000-0005-0000-0000-0000653A0000}"/>
    <cellStyle name="Normal 3 2 2 2 2 5" xfId="4159" xr:uid="{00000000-0005-0000-0000-0000663A0000}"/>
    <cellStyle name="Normal 3 2 2 2 2 5 2" xfId="4160" xr:uid="{00000000-0005-0000-0000-0000673A0000}"/>
    <cellStyle name="Normal 3 2 2 2 2 5 2 2" xfId="4161" xr:uid="{00000000-0005-0000-0000-0000683A0000}"/>
    <cellStyle name="Normal 3 2 2 2 2 5 2 2 2" xfId="4162" xr:uid="{00000000-0005-0000-0000-0000693A0000}"/>
    <cellStyle name="Normal 3 2 2 2 2 5 2 2 2 2" xfId="4163" xr:uid="{00000000-0005-0000-0000-00006A3A0000}"/>
    <cellStyle name="Normal 3 2 2 2 2 5 2 2 2 2 2" xfId="27662" xr:uid="{00000000-0005-0000-0000-00006B3A0000}"/>
    <cellStyle name="Normal 3 2 2 2 2 5 2 2 2 3" xfId="27661" xr:uid="{00000000-0005-0000-0000-00006C3A0000}"/>
    <cellStyle name="Normal 3 2 2 2 2 5 2 2 3" xfId="4164" xr:uid="{00000000-0005-0000-0000-00006D3A0000}"/>
    <cellStyle name="Normal 3 2 2 2 2 5 2 2 3 2" xfId="27663" xr:uid="{00000000-0005-0000-0000-00006E3A0000}"/>
    <cellStyle name="Normal 3 2 2 2 2 5 2 2 4" xfId="27660" xr:uid="{00000000-0005-0000-0000-00006F3A0000}"/>
    <cellStyle name="Normal 3 2 2 2 2 5 2 3" xfId="4165" xr:uid="{00000000-0005-0000-0000-0000703A0000}"/>
    <cellStyle name="Normal 3 2 2 2 2 5 2 3 2" xfId="4166" xr:uid="{00000000-0005-0000-0000-0000713A0000}"/>
    <cellStyle name="Normal 3 2 2 2 2 5 2 3 2 2" xfId="27665" xr:uid="{00000000-0005-0000-0000-0000723A0000}"/>
    <cellStyle name="Normal 3 2 2 2 2 5 2 3 3" xfId="27664" xr:uid="{00000000-0005-0000-0000-0000733A0000}"/>
    <cellStyle name="Normal 3 2 2 2 2 5 2 4" xfId="4167" xr:uid="{00000000-0005-0000-0000-0000743A0000}"/>
    <cellStyle name="Normal 3 2 2 2 2 5 2 4 2" xfId="27666" xr:uid="{00000000-0005-0000-0000-0000753A0000}"/>
    <cellStyle name="Normal 3 2 2 2 2 5 2 5" xfId="27659" xr:uid="{00000000-0005-0000-0000-0000763A0000}"/>
    <cellStyle name="Normal 3 2 2 2 2 5 3" xfId="4168" xr:uid="{00000000-0005-0000-0000-0000773A0000}"/>
    <cellStyle name="Normal 3 2 2 2 2 5 3 2" xfId="4169" xr:uid="{00000000-0005-0000-0000-0000783A0000}"/>
    <cellStyle name="Normal 3 2 2 2 2 5 3 2 2" xfId="4170" xr:uid="{00000000-0005-0000-0000-0000793A0000}"/>
    <cellStyle name="Normal 3 2 2 2 2 5 3 2 2 2" xfId="4171" xr:uid="{00000000-0005-0000-0000-00007A3A0000}"/>
    <cellStyle name="Normal 3 2 2 2 2 5 3 2 2 2 2" xfId="27670" xr:uid="{00000000-0005-0000-0000-00007B3A0000}"/>
    <cellStyle name="Normal 3 2 2 2 2 5 3 2 2 3" xfId="27669" xr:uid="{00000000-0005-0000-0000-00007C3A0000}"/>
    <cellStyle name="Normal 3 2 2 2 2 5 3 2 3" xfId="4172" xr:uid="{00000000-0005-0000-0000-00007D3A0000}"/>
    <cellStyle name="Normal 3 2 2 2 2 5 3 2 3 2" xfId="27671" xr:uid="{00000000-0005-0000-0000-00007E3A0000}"/>
    <cellStyle name="Normal 3 2 2 2 2 5 3 2 4" xfId="27668" xr:uid="{00000000-0005-0000-0000-00007F3A0000}"/>
    <cellStyle name="Normal 3 2 2 2 2 5 3 3" xfId="4173" xr:uid="{00000000-0005-0000-0000-0000803A0000}"/>
    <cellStyle name="Normal 3 2 2 2 2 5 3 3 2" xfId="4174" xr:uid="{00000000-0005-0000-0000-0000813A0000}"/>
    <cellStyle name="Normal 3 2 2 2 2 5 3 3 2 2" xfId="27673" xr:uid="{00000000-0005-0000-0000-0000823A0000}"/>
    <cellStyle name="Normal 3 2 2 2 2 5 3 3 3" xfId="27672" xr:uid="{00000000-0005-0000-0000-0000833A0000}"/>
    <cellStyle name="Normal 3 2 2 2 2 5 3 4" xfId="4175" xr:uid="{00000000-0005-0000-0000-0000843A0000}"/>
    <cellStyle name="Normal 3 2 2 2 2 5 3 4 2" xfId="27674" xr:uid="{00000000-0005-0000-0000-0000853A0000}"/>
    <cellStyle name="Normal 3 2 2 2 2 5 3 5" xfId="27667" xr:uid="{00000000-0005-0000-0000-0000863A0000}"/>
    <cellStyle name="Normal 3 2 2 2 2 5 4" xfId="4176" xr:uid="{00000000-0005-0000-0000-0000873A0000}"/>
    <cellStyle name="Normal 3 2 2 2 2 5 4 2" xfId="4177" xr:uid="{00000000-0005-0000-0000-0000883A0000}"/>
    <cellStyle name="Normal 3 2 2 2 2 5 4 2 2" xfId="4178" xr:uid="{00000000-0005-0000-0000-0000893A0000}"/>
    <cellStyle name="Normal 3 2 2 2 2 5 4 2 2 2" xfId="27677" xr:uid="{00000000-0005-0000-0000-00008A3A0000}"/>
    <cellStyle name="Normal 3 2 2 2 2 5 4 2 3" xfId="27676" xr:uid="{00000000-0005-0000-0000-00008B3A0000}"/>
    <cellStyle name="Normal 3 2 2 2 2 5 4 3" xfId="4179" xr:uid="{00000000-0005-0000-0000-00008C3A0000}"/>
    <cellStyle name="Normal 3 2 2 2 2 5 4 3 2" xfId="27678" xr:uid="{00000000-0005-0000-0000-00008D3A0000}"/>
    <cellStyle name="Normal 3 2 2 2 2 5 4 4" xfId="27675" xr:uid="{00000000-0005-0000-0000-00008E3A0000}"/>
    <cellStyle name="Normal 3 2 2 2 2 5 5" xfId="4180" xr:uid="{00000000-0005-0000-0000-00008F3A0000}"/>
    <cellStyle name="Normal 3 2 2 2 2 5 5 2" xfId="4181" xr:uid="{00000000-0005-0000-0000-0000903A0000}"/>
    <cellStyle name="Normal 3 2 2 2 2 5 5 2 2" xfId="27680" xr:uid="{00000000-0005-0000-0000-0000913A0000}"/>
    <cellStyle name="Normal 3 2 2 2 2 5 5 3" xfId="27679" xr:uid="{00000000-0005-0000-0000-0000923A0000}"/>
    <cellStyle name="Normal 3 2 2 2 2 5 6" xfId="4182" xr:uid="{00000000-0005-0000-0000-0000933A0000}"/>
    <cellStyle name="Normal 3 2 2 2 2 5 6 2" xfId="27681" xr:uid="{00000000-0005-0000-0000-0000943A0000}"/>
    <cellStyle name="Normal 3 2 2 2 2 5 7" xfId="27658" xr:uid="{00000000-0005-0000-0000-0000953A0000}"/>
    <cellStyle name="Normal 3 2 2 2 2 6" xfId="4183" xr:uid="{00000000-0005-0000-0000-0000963A0000}"/>
    <cellStyle name="Normal 3 2 2 2 2 6 2" xfId="4184" xr:uid="{00000000-0005-0000-0000-0000973A0000}"/>
    <cellStyle name="Normal 3 2 2 2 2 6 2 2" xfId="4185" xr:uid="{00000000-0005-0000-0000-0000983A0000}"/>
    <cellStyle name="Normal 3 2 2 2 2 6 2 2 2" xfId="4186" xr:uid="{00000000-0005-0000-0000-0000993A0000}"/>
    <cellStyle name="Normal 3 2 2 2 2 6 2 2 2 2" xfId="27685" xr:uid="{00000000-0005-0000-0000-00009A3A0000}"/>
    <cellStyle name="Normal 3 2 2 2 2 6 2 2 3" xfId="27684" xr:uid="{00000000-0005-0000-0000-00009B3A0000}"/>
    <cellStyle name="Normal 3 2 2 2 2 6 2 3" xfId="4187" xr:uid="{00000000-0005-0000-0000-00009C3A0000}"/>
    <cellStyle name="Normal 3 2 2 2 2 6 2 3 2" xfId="27686" xr:uid="{00000000-0005-0000-0000-00009D3A0000}"/>
    <cellStyle name="Normal 3 2 2 2 2 6 2 4" xfId="27683" xr:uid="{00000000-0005-0000-0000-00009E3A0000}"/>
    <cellStyle name="Normal 3 2 2 2 2 6 3" xfId="4188" xr:uid="{00000000-0005-0000-0000-00009F3A0000}"/>
    <cellStyle name="Normal 3 2 2 2 2 6 3 2" xfId="4189" xr:uid="{00000000-0005-0000-0000-0000A03A0000}"/>
    <cellStyle name="Normal 3 2 2 2 2 6 3 2 2" xfId="27688" xr:uid="{00000000-0005-0000-0000-0000A13A0000}"/>
    <cellStyle name="Normal 3 2 2 2 2 6 3 3" xfId="27687" xr:uid="{00000000-0005-0000-0000-0000A23A0000}"/>
    <cellStyle name="Normal 3 2 2 2 2 6 4" xfId="4190" xr:uid="{00000000-0005-0000-0000-0000A33A0000}"/>
    <cellStyle name="Normal 3 2 2 2 2 6 4 2" xfId="27689" xr:uid="{00000000-0005-0000-0000-0000A43A0000}"/>
    <cellStyle name="Normal 3 2 2 2 2 6 5" xfId="27682" xr:uid="{00000000-0005-0000-0000-0000A53A0000}"/>
    <cellStyle name="Normal 3 2 2 2 2 7" xfId="4191" xr:uid="{00000000-0005-0000-0000-0000A63A0000}"/>
    <cellStyle name="Normal 3 2 2 2 2 7 2" xfId="4192" xr:uid="{00000000-0005-0000-0000-0000A73A0000}"/>
    <cellStyle name="Normal 3 2 2 2 2 7 2 2" xfId="4193" xr:uid="{00000000-0005-0000-0000-0000A83A0000}"/>
    <cellStyle name="Normal 3 2 2 2 2 7 2 2 2" xfId="4194" xr:uid="{00000000-0005-0000-0000-0000A93A0000}"/>
    <cellStyle name="Normal 3 2 2 2 2 7 2 2 2 2" xfId="27693" xr:uid="{00000000-0005-0000-0000-0000AA3A0000}"/>
    <cellStyle name="Normal 3 2 2 2 2 7 2 2 3" xfId="27692" xr:uid="{00000000-0005-0000-0000-0000AB3A0000}"/>
    <cellStyle name="Normal 3 2 2 2 2 7 2 3" xfId="4195" xr:uid="{00000000-0005-0000-0000-0000AC3A0000}"/>
    <cellStyle name="Normal 3 2 2 2 2 7 2 3 2" xfId="27694" xr:uid="{00000000-0005-0000-0000-0000AD3A0000}"/>
    <cellStyle name="Normal 3 2 2 2 2 7 2 4" xfId="27691" xr:uid="{00000000-0005-0000-0000-0000AE3A0000}"/>
    <cellStyle name="Normal 3 2 2 2 2 7 3" xfId="4196" xr:uid="{00000000-0005-0000-0000-0000AF3A0000}"/>
    <cellStyle name="Normal 3 2 2 2 2 7 3 2" xfId="4197" xr:uid="{00000000-0005-0000-0000-0000B03A0000}"/>
    <cellStyle name="Normal 3 2 2 2 2 7 3 2 2" xfId="27696" xr:uid="{00000000-0005-0000-0000-0000B13A0000}"/>
    <cellStyle name="Normal 3 2 2 2 2 7 3 3" xfId="27695" xr:uid="{00000000-0005-0000-0000-0000B23A0000}"/>
    <cellStyle name="Normal 3 2 2 2 2 7 4" xfId="4198" xr:uid="{00000000-0005-0000-0000-0000B33A0000}"/>
    <cellStyle name="Normal 3 2 2 2 2 7 4 2" xfId="27697" xr:uid="{00000000-0005-0000-0000-0000B43A0000}"/>
    <cellStyle name="Normal 3 2 2 2 2 7 5" xfId="27690" xr:uid="{00000000-0005-0000-0000-0000B53A0000}"/>
    <cellStyle name="Normal 3 2 2 2 2 8" xfId="4199" xr:uid="{00000000-0005-0000-0000-0000B63A0000}"/>
    <cellStyle name="Normal 3 2 2 2 2 8 2" xfId="4200" xr:uid="{00000000-0005-0000-0000-0000B73A0000}"/>
    <cellStyle name="Normal 3 2 2 2 2 8 2 2" xfId="4201" xr:uid="{00000000-0005-0000-0000-0000B83A0000}"/>
    <cellStyle name="Normal 3 2 2 2 2 8 2 2 2" xfId="27700" xr:uid="{00000000-0005-0000-0000-0000B93A0000}"/>
    <cellStyle name="Normal 3 2 2 2 2 8 2 3" xfId="27699" xr:uid="{00000000-0005-0000-0000-0000BA3A0000}"/>
    <cellStyle name="Normal 3 2 2 2 2 8 3" xfId="4202" xr:uid="{00000000-0005-0000-0000-0000BB3A0000}"/>
    <cellStyle name="Normal 3 2 2 2 2 8 3 2" xfId="27701" xr:uid="{00000000-0005-0000-0000-0000BC3A0000}"/>
    <cellStyle name="Normal 3 2 2 2 2 8 4" xfId="27698" xr:uid="{00000000-0005-0000-0000-0000BD3A0000}"/>
    <cellStyle name="Normal 3 2 2 2 2 9" xfId="4203" xr:uid="{00000000-0005-0000-0000-0000BE3A0000}"/>
    <cellStyle name="Normal 3 2 2 2 2 9 2" xfId="4204" xr:uid="{00000000-0005-0000-0000-0000BF3A0000}"/>
    <cellStyle name="Normal 3 2 2 2 2 9 2 2" xfId="27703" xr:uid="{00000000-0005-0000-0000-0000C03A0000}"/>
    <cellStyle name="Normal 3 2 2 2 2 9 3" xfId="27702" xr:uid="{00000000-0005-0000-0000-0000C13A0000}"/>
    <cellStyle name="Normal 3 2 2 2 3" xfId="4205" xr:uid="{00000000-0005-0000-0000-0000C23A0000}"/>
    <cellStyle name="Normal 3 2 2 2 3 10" xfId="27704" xr:uid="{00000000-0005-0000-0000-0000C33A0000}"/>
    <cellStyle name="Normal 3 2 2 2 3 2" xfId="4206" xr:uid="{00000000-0005-0000-0000-0000C43A0000}"/>
    <cellStyle name="Normal 3 2 2 2 3 2 2" xfId="4207" xr:uid="{00000000-0005-0000-0000-0000C53A0000}"/>
    <cellStyle name="Normal 3 2 2 2 3 2 2 2" xfId="4208" xr:uid="{00000000-0005-0000-0000-0000C63A0000}"/>
    <cellStyle name="Normal 3 2 2 2 3 2 2 2 2" xfId="4209" xr:uid="{00000000-0005-0000-0000-0000C73A0000}"/>
    <cellStyle name="Normal 3 2 2 2 3 2 2 2 2 2" xfId="4210" xr:uid="{00000000-0005-0000-0000-0000C83A0000}"/>
    <cellStyle name="Normal 3 2 2 2 3 2 2 2 2 2 2" xfId="27709" xr:uid="{00000000-0005-0000-0000-0000C93A0000}"/>
    <cellStyle name="Normal 3 2 2 2 3 2 2 2 2 3" xfId="27708" xr:uid="{00000000-0005-0000-0000-0000CA3A0000}"/>
    <cellStyle name="Normal 3 2 2 2 3 2 2 2 3" xfId="4211" xr:uid="{00000000-0005-0000-0000-0000CB3A0000}"/>
    <cellStyle name="Normal 3 2 2 2 3 2 2 2 3 2" xfId="27710" xr:uid="{00000000-0005-0000-0000-0000CC3A0000}"/>
    <cellStyle name="Normal 3 2 2 2 3 2 2 2 4" xfId="27707" xr:uid="{00000000-0005-0000-0000-0000CD3A0000}"/>
    <cellStyle name="Normal 3 2 2 2 3 2 2 3" xfId="4212" xr:uid="{00000000-0005-0000-0000-0000CE3A0000}"/>
    <cellStyle name="Normal 3 2 2 2 3 2 2 3 2" xfId="4213" xr:uid="{00000000-0005-0000-0000-0000CF3A0000}"/>
    <cellStyle name="Normal 3 2 2 2 3 2 2 3 2 2" xfId="27712" xr:uid="{00000000-0005-0000-0000-0000D03A0000}"/>
    <cellStyle name="Normal 3 2 2 2 3 2 2 3 3" xfId="27711" xr:uid="{00000000-0005-0000-0000-0000D13A0000}"/>
    <cellStyle name="Normal 3 2 2 2 3 2 2 4" xfId="4214" xr:uid="{00000000-0005-0000-0000-0000D23A0000}"/>
    <cellStyle name="Normal 3 2 2 2 3 2 2 4 2" xfId="27713" xr:uid="{00000000-0005-0000-0000-0000D33A0000}"/>
    <cellStyle name="Normal 3 2 2 2 3 2 2 5" xfId="20862" xr:uid="{00000000-0005-0000-0000-0000D43A0000}"/>
    <cellStyle name="Normal 3 2 2 2 3 2 2 5 2" xfId="44178" xr:uid="{00000000-0005-0000-0000-0000D53A0000}"/>
    <cellStyle name="Normal 3 2 2 2 3 2 2 6" xfId="20863" xr:uid="{00000000-0005-0000-0000-0000D63A0000}"/>
    <cellStyle name="Normal 3 2 2 2 3 2 2 6 2" xfId="44179" xr:uid="{00000000-0005-0000-0000-0000D73A0000}"/>
    <cellStyle name="Normal 3 2 2 2 3 2 2 7" xfId="27706" xr:uid="{00000000-0005-0000-0000-0000D83A0000}"/>
    <cellStyle name="Normal 3 2 2 2 3 2 3" xfId="4215" xr:uid="{00000000-0005-0000-0000-0000D93A0000}"/>
    <cellStyle name="Normal 3 2 2 2 3 2 3 2" xfId="4216" xr:uid="{00000000-0005-0000-0000-0000DA3A0000}"/>
    <cellStyle name="Normal 3 2 2 2 3 2 3 2 2" xfId="4217" xr:uid="{00000000-0005-0000-0000-0000DB3A0000}"/>
    <cellStyle name="Normal 3 2 2 2 3 2 3 2 2 2" xfId="4218" xr:uid="{00000000-0005-0000-0000-0000DC3A0000}"/>
    <cellStyle name="Normal 3 2 2 2 3 2 3 2 2 2 2" xfId="27717" xr:uid="{00000000-0005-0000-0000-0000DD3A0000}"/>
    <cellStyle name="Normal 3 2 2 2 3 2 3 2 2 3" xfId="27716" xr:uid="{00000000-0005-0000-0000-0000DE3A0000}"/>
    <cellStyle name="Normal 3 2 2 2 3 2 3 2 3" xfId="4219" xr:uid="{00000000-0005-0000-0000-0000DF3A0000}"/>
    <cellStyle name="Normal 3 2 2 2 3 2 3 2 3 2" xfId="27718" xr:uid="{00000000-0005-0000-0000-0000E03A0000}"/>
    <cellStyle name="Normal 3 2 2 2 3 2 3 2 4" xfId="27715" xr:uid="{00000000-0005-0000-0000-0000E13A0000}"/>
    <cellStyle name="Normal 3 2 2 2 3 2 3 3" xfId="4220" xr:uid="{00000000-0005-0000-0000-0000E23A0000}"/>
    <cellStyle name="Normal 3 2 2 2 3 2 3 3 2" xfId="4221" xr:uid="{00000000-0005-0000-0000-0000E33A0000}"/>
    <cellStyle name="Normal 3 2 2 2 3 2 3 3 2 2" xfId="27720" xr:uid="{00000000-0005-0000-0000-0000E43A0000}"/>
    <cellStyle name="Normal 3 2 2 2 3 2 3 3 3" xfId="27719" xr:uid="{00000000-0005-0000-0000-0000E53A0000}"/>
    <cellStyle name="Normal 3 2 2 2 3 2 3 4" xfId="4222" xr:uid="{00000000-0005-0000-0000-0000E63A0000}"/>
    <cellStyle name="Normal 3 2 2 2 3 2 3 4 2" xfId="27721" xr:uid="{00000000-0005-0000-0000-0000E73A0000}"/>
    <cellStyle name="Normal 3 2 2 2 3 2 3 5" xfId="27714" xr:uid="{00000000-0005-0000-0000-0000E83A0000}"/>
    <cellStyle name="Normal 3 2 2 2 3 2 4" xfId="4223" xr:uid="{00000000-0005-0000-0000-0000E93A0000}"/>
    <cellStyle name="Normal 3 2 2 2 3 2 4 2" xfId="4224" xr:uid="{00000000-0005-0000-0000-0000EA3A0000}"/>
    <cellStyle name="Normal 3 2 2 2 3 2 4 2 2" xfId="4225" xr:uid="{00000000-0005-0000-0000-0000EB3A0000}"/>
    <cellStyle name="Normal 3 2 2 2 3 2 4 2 2 2" xfId="27724" xr:uid="{00000000-0005-0000-0000-0000EC3A0000}"/>
    <cellStyle name="Normal 3 2 2 2 3 2 4 2 3" xfId="27723" xr:uid="{00000000-0005-0000-0000-0000ED3A0000}"/>
    <cellStyle name="Normal 3 2 2 2 3 2 4 3" xfId="4226" xr:uid="{00000000-0005-0000-0000-0000EE3A0000}"/>
    <cellStyle name="Normal 3 2 2 2 3 2 4 3 2" xfId="27725" xr:uid="{00000000-0005-0000-0000-0000EF3A0000}"/>
    <cellStyle name="Normal 3 2 2 2 3 2 4 4" xfId="27722" xr:uid="{00000000-0005-0000-0000-0000F03A0000}"/>
    <cellStyle name="Normal 3 2 2 2 3 2 5" xfId="4227" xr:uid="{00000000-0005-0000-0000-0000F13A0000}"/>
    <cellStyle name="Normal 3 2 2 2 3 2 5 2" xfId="4228" xr:uid="{00000000-0005-0000-0000-0000F23A0000}"/>
    <cellStyle name="Normal 3 2 2 2 3 2 5 2 2" xfId="27727" xr:uid="{00000000-0005-0000-0000-0000F33A0000}"/>
    <cellStyle name="Normal 3 2 2 2 3 2 5 3" xfId="27726" xr:uid="{00000000-0005-0000-0000-0000F43A0000}"/>
    <cellStyle name="Normal 3 2 2 2 3 2 6" xfId="4229" xr:uid="{00000000-0005-0000-0000-0000F53A0000}"/>
    <cellStyle name="Normal 3 2 2 2 3 2 6 2" xfId="27728" xr:uid="{00000000-0005-0000-0000-0000F63A0000}"/>
    <cellStyle name="Normal 3 2 2 2 3 2 7" xfId="20864" xr:uid="{00000000-0005-0000-0000-0000F73A0000}"/>
    <cellStyle name="Normal 3 2 2 2 3 2 7 2" xfId="44180" xr:uid="{00000000-0005-0000-0000-0000F83A0000}"/>
    <cellStyle name="Normal 3 2 2 2 3 2 8" xfId="27705" xr:uid="{00000000-0005-0000-0000-0000F93A0000}"/>
    <cellStyle name="Normal 3 2 2 2 3 3" xfId="4230" xr:uid="{00000000-0005-0000-0000-0000FA3A0000}"/>
    <cellStyle name="Normal 3 2 2 2 3 3 2" xfId="4231" xr:uid="{00000000-0005-0000-0000-0000FB3A0000}"/>
    <cellStyle name="Normal 3 2 2 2 3 3 2 2" xfId="4232" xr:uid="{00000000-0005-0000-0000-0000FC3A0000}"/>
    <cellStyle name="Normal 3 2 2 2 3 3 2 2 2" xfId="4233" xr:uid="{00000000-0005-0000-0000-0000FD3A0000}"/>
    <cellStyle name="Normal 3 2 2 2 3 3 2 2 2 2" xfId="4234" xr:uid="{00000000-0005-0000-0000-0000FE3A0000}"/>
    <cellStyle name="Normal 3 2 2 2 3 3 2 2 2 2 2" xfId="27733" xr:uid="{00000000-0005-0000-0000-0000FF3A0000}"/>
    <cellStyle name="Normal 3 2 2 2 3 3 2 2 2 3" xfId="27732" xr:uid="{00000000-0005-0000-0000-0000003B0000}"/>
    <cellStyle name="Normal 3 2 2 2 3 3 2 2 3" xfId="4235" xr:uid="{00000000-0005-0000-0000-0000013B0000}"/>
    <cellStyle name="Normal 3 2 2 2 3 3 2 2 3 2" xfId="27734" xr:uid="{00000000-0005-0000-0000-0000023B0000}"/>
    <cellStyle name="Normal 3 2 2 2 3 3 2 2 4" xfId="27731" xr:uid="{00000000-0005-0000-0000-0000033B0000}"/>
    <cellStyle name="Normal 3 2 2 2 3 3 2 3" xfId="4236" xr:uid="{00000000-0005-0000-0000-0000043B0000}"/>
    <cellStyle name="Normal 3 2 2 2 3 3 2 3 2" xfId="4237" xr:uid="{00000000-0005-0000-0000-0000053B0000}"/>
    <cellStyle name="Normal 3 2 2 2 3 3 2 3 2 2" xfId="27736" xr:uid="{00000000-0005-0000-0000-0000063B0000}"/>
    <cellStyle name="Normal 3 2 2 2 3 3 2 3 3" xfId="27735" xr:uid="{00000000-0005-0000-0000-0000073B0000}"/>
    <cellStyle name="Normal 3 2 2 2 3 3 2 4" xfId="4238" xr:uid="{00000000-0005-0000-0000-0000083B0000}"/>
    <cellStyle name="Normal 3 2 2 2 3 3 2 4 2" xfId="27737" xr:uid="{00000000-0005-0000-0000-0000093B0000}"/>
    <cellStyle name="Normal 3 2 2 2 3 3 2 5" xfId="20865" xr:uid="{00000000-0005-0000-0000-00000A3B0000}"/>
    <cellStyle name="Normal 3 2 2 2 3 3 2 5 2" xfId="44181" xr:uid="{00000000-0005-0000-0000-00000B3B0000}"/>
    <cellStyle name="Normal 3 2 2 2 3 3 2 6" xfId="20866" xr:uid="{00000000-0005-0000-0000-00000C3B0000}"/>
    <cellStyle name="Normal 3 2 2 2 3 3 2 6 2" xfId="44182" xr:uid="{00000000-0005-0000-0000-00000D3B0000}"/>
    <cellStyle name="Normal 3 2 2 2 3 3 2 7" xfId="27730" xr:uid="{00000000-0005-0000-0000-00000E3B0000}"/>
    <cellStyle name="Normal 3 2 2 2 3 3 3" xfId="4239" xr:uid="{00000000-0005-0000-0000-00000F3B0000}"/>
    <cellStyle name="Normal 3 2 2 2 3 3 3 2" xfId="4240" xr:uid="{00000000-0005-0000-0000-0000103B0000}"/>
    <cellStyle name="Normal 3 2 2 2 3 3 3 2 2" xfId="4241" xr:uid="{00000000-0005-0000-0000-0000113B0000}"/>
    <cellStyle name="Normal 3 2 2 2 3 3 3 2 2 2" xfId="4242" xr:uid="{00000000-0005-0000-0000-0000123B0000}"/>
    <cellStyle name="Normal 3 2 2 2 3 3 3 2 2 2 2" xfId="27741" xr:uid="{00000000-0005-0000-0000-0000133B0000}"/>
    <cellStyle name="Normal 3 2 2 2 3 3 3 2 2 3" xfId="27740" xr:uid="{00000000-0005-0000-0000-0000143B0000}"/>
    <cellStyle name="Normal 3 2 2 2 3 3 3 2 3" xfId="4243" xr:uid="{00000000-0005-0000-0000-0000153B0000}"/>
    <cellStyle name="Normal 3 2 2 2 3 3 3 2 3 2" xfId="27742" xr:uid="{00000000-0005-0000-0000-0000163B0000}"/>
    <cellStyle name="Normal 3 2 2 2 3 3 3 2 4" xfId="27739" xr:uid="{00000000-0005-0000-0000-0000173B0000}"/>
    <cellStyle name="Normal 3 2 2 2 3 3 3 3" xfId="4244" xr:uid="{00000000-0005-0000-0000-0000183B0000}"/>
    <cellStyle name="Normal 3 2 2 2 3 3 3 3 2" xfId="4245" xr:uid="{00000000-0005-0000-0000-0000193B0000}"/>
    <cellStyle name="Normal 3 2 2 2 3 3 3 3 2 2" xfId="27744" xr:uid="{00000000-0005-0000-0000-00001A3B0000}"/>
    <cellStyle name="Normal 3 2 2 2 3 3 3 3 3" xfId="27743" xr:uid="{00000000-0005-0000-0000-00001B3B0000}"/>
    <cellStyle name="Normal 3 2 2 2 3 3 3 4" xfId="4246" xr:uid="{00000000-0005-0000-0000-00001C3B0000}"/>
    <cellStyle name="Normal 3 2 2 2 3 3 3 4 2" xfId="27745" xr:uid="{00000000-0005-0000-0000-00001D3B0000}"/>
    <cellStyle name="Normal 3 2 2 2 3 3 3 5" xfId="27738" xr:uid="{00000000-0005-0000-0000-00001E3B0000}"/>
    <cellStyle name="Normal 3 2 2 2 3 3 4" xfId="4247" xr:uid="{00000000-0005-0000-0000-00001F3B0000}"/>
    <cellStyle name="Normal 3 2 2 2 3 3 4 2" xfId="4248" xr:uid="{00000000-0005-0000-0000-0000203B0000}"/>
    <cellStyle name="Normal 3 2 2 2 3 3 4 2 2" xfId="4249" xr:uid="{00000000-0005-0000-0000-0000213B0000}"/>
    <cellStyle name="Normal 3 2 2 2 3 3 4 2 2 2" xfId="27748" xr:uid="{00000000-0005-0000-0000-0000223B0000}"/>
    <cellStyle name="Normal 3 2 2 2 3 3 4 2 3" xfId="27747" xr:uid="{00000000-0005-0000-0000-0000233B0000}"/>
    <cellStyle name="Normal 3 2 2 2 3 3 4 3" xfId="4250" xr:uid="{00000000-0005-0000-0000-0000243B0000}"/>
    <cellStyle name="Normal 3 2 2 2 3 3 4 3 2" xfId="27749" xr:uid="{00000000-0005-0000-0000-0000253B0000}"/>
    <cellStyle name="Normal 3 2 2 2 3 3 4 4" xfId="27746" xr:uid="{00000000-0005-0000-0000-0000263B0000}"/>
    <cellStyle name="Normal 3 2 2 2 3 3 5" xfId="4251" xr:uid="{00000000-0005-0000-0000-0000273B0000}"/>
    <cellStyle name="Normal 3 2 2 2 3 3 5 2" xfId="4252" xr:uid="{00000000-0005-0000-0000-0000283B0000}"/>
    <cellStyle name="Normal 3 2 2 2 3 3 5 2 2" xfId="27751" xr:uid="{00000000-0005-0000-0000-0000293B0000}"/>
    <cellStyle name="Normal 3 2 2 2 3 3 5 3" xfId="27750" xr:uid="{00000000-0005-0000-0000-00002A3B0000}"/>
    <cellStyle name="Normal 3 2 2 2 3 3 6" xfId="4253" xr:uid="{00000000-0005-0000-0000-00002B3B0000}"/>
    <cellStyle name="Normal 3 2 2 2 3 3 6 2" xfId="27752" xr:uid="{00000000-0005-0000-0000-00002C3B0000}"/>
    <cellStyle name="Normal 3 2 2 2 3 3 7" xfId="20867" xr:uid="{00000000-0005-0000-0000-00002D3B0000}"/>
    <cellStyle name="Normal 3 2 2 2 3 3 7 2" xfId="44183" xr:uid="{00000000-0005-0000-0000-00002E3B0000}"/>
    <cellStyle name="Normal 3 2 2 2 3 3 8" xfId="27729" xr:uid="{00000000-0005-0000-0000-00002F3B0000}"/>
    <cellStyle name="Normal 3 2 2 2 3 4" xfId="4254" xr:uid="{00000000-0005-0000-0000-0000303B0000}"/>
    <cellStyle name="Normal 3 2 2 2 3 4 2" xfId="4255" xr:uid="{00000000-0005-0000-0000-0000313B0000}"/>
    <cellStyle name="Normal 3 2 2 2 3 4 2 2" xfId="4256" xr:uid="{00000000-0005-0000-0000-0000323B0000}"/>
    <cellStyle name="Normal 3 2 2 2 3 4 2 2 2" xfId="4257" xr:uid="{00000000-0005-0000-0000-0000333B0000}"/>
    <cellStyle name="Normal 3 2 2 2 3 4 2 2 2 2" xfId="4258" xr:uid="{00000000-0005-0000-0000-0000343B0000}"/>
    <cellStyle name="Normal 3 2 2 2 3 4 2 2 2 2 2" xfId="27757" xr:uid="{00000000-0005-0000-0000-0000353B0000}"/>
    <cellStyle name="Normal 3 2 2 2 3 4 2 2 2 3" xfId="27756" xr:uid="{00000000-0005-0000-0000-0000363B0000}"/>
    <cellStyle name="Normal 3 2 2 2 3 4 2 2 3" xfId="4259" xr:uid="{00000000-0005-0000-0000-0000373B0000}"/>
    <cellStyle name="Normal 3 2 2 2 3 4 2 2 3 2" xfId="27758" xr:uid="{00000000-0005-0000-0000-0000383B0000}"/>
    <cellStyle name="Normal 3 2 2 2 3 4 2 2 4" xfId="27755" xr:uid="{00000000-0005-0000-0000-0000393B0000}"/>
    <cellStyle name="Normal 3 2 2 2 3 4 2 3" xfId="4260" xr:uid="{00000000-0005-0000-0000-00003A3B0000}"/>
    <cellStyle name="Normal 3 2 2 2 3 4 2 3 2" xfId="4261" xr:uid="{00000000-0005-0000-0000-00003B3B0000}"/>
    <cellStyle name="Normal 3 2 2 2 3 4 2 3 2 2" xfId="27760" xr:uid="{00000000-0005-0000-0000-00003C3B0000}"/>
    <cellStyle name="Normal 3 2 2 2 3 4 2 3 3" xfId="27759" xr:uid="{00000000-0005-0000-0000-00003D3B0000}"/>
    <cellStyle name="Normal 3 2 2 2 3 4 2 4" xfId="4262" xr:uid="{00000000-0005-0000-0000-00003E3B0000}"/>
    <cellStyle name="Normal 3 2 2 2 3 4 2 4 2" xfId="27761" xr:uid="{00000000-0005-0000-0000-00003F3B0000}"/>
    <cellStyle name="Normal 3 2 2 2 3 4 2 5" xfId="27754" xr:uid="{00000000-0005-0000-0000-0000403B0000}"/>
    <cellStyle name="Normal 3 2 2 2 3 4 3" xfId="4263" xr:uid="{00000000-0005-0000-0000-0000413B0000}"/>
    <cellStyle name="Normal 3 2 2 2 3 4 3 2" xfId="4264" xr:uid="{00000000-0005-0000-0000-0000423B0000}"/>
    <cellStyle name="Normal 3 2 2 2 3 4 3 2 2" xfId="4265" xr:uid="{00000000-0005-0000-0000-0000433B0000}"/>
    <cellStyle name="Normal 3 2 2 2 3 4 3 2 2 2" xfId="4266" xr:uid="{00000000-0005-0000-0000-0000443B0000}"/>
    <cellStyle name="Normal 3 2 2 2 3 4 3 2 2 2 2" xfId="27765" xr:uid="{00000000-0005-0000-0000-0000453B0000}"/>
    <cellStyle name="Normal 3 2 2 2 3 4 3 2 2 3" xfId="27764" xr:uid="{00000000-0005-0000-0000-0000463B0000}"/>
    <cellStyle name="Normal 3 2 2 2 3 4 3 2 3" xfId="4267" xr:uid="{00000000-0005-0000-0000-0000473B0000}"/>
    <cellStyle name="Normal 3 2 2 2 3 4 3 2 3 2" xfId="27766" xr:uid="{00000000-0005-0000-0000-0000483B0000}"/>
    <cellStyle name="Normal 3 2 2 2 3 4 3 2 4" xfId="27763" xr:uid="{00000000-0005-0000-0000-0000493B0000}"/>
    <cellStyle name="Normal 3 2 2 2 3 4 3 3" xfId="4268" xr:uid="{00000000-0005-0000-0000-00004A3B0000}"/>
    <cellStyle name="Normal 3 2 2 2 3 4 3 3 2" xfId="4269" xr:uid="{00000000-0005-0000-0000-00004B3B0000}"/>
    <cellStyle name="Normal 3 2 2 2 3 4 3 3 2 2" xfId="27768" xr:uid="{00000000-0005-0000-0000-00004C3B0000}"/>
    <cellStyle name="Normal 3 2 2 2 3 4 3 3 3" xfId="27767" xr:uid="{00000000-0005-0000-0000-00004D3B0000}"/>
    <cellStyle name="Normal 3 2 2 2 3 4 3 4" xfId="4270" xr:uid="{00000000-0005-0000-0000-00004E3B0000}"/>
    <cellStyle name="Normal 3 2 2 2 3 4 3 4 2" xfId="27769" xr:uid="{00000000-0005-0000-0000-00004F3B0000}"/>
    <cellStyle name="Normal 3 2 2 2 3 4 3 5" xfId="27762" xr:uid="{00000000-0005-0000-0000-0000503B0000}"/>
    <cellStyle name="Normal 3 2 2 2 3 4 4" xfId="4271" xr:uid="{00000000-0005-0000-0000-0000513B0000}"/>
    <cellStyle name="Normal 3 2 2 2 3 4 4 2" xfId="4272" xr:uid="{00000000-0005-0000-0000-0000523B0000}"/>
    <cellStyle name="Normal 3 2 2 2 3 4 4 2 2" xfId="4273" xr:uid="{00000000-0005-0000-0000-0000533B0000}"/>
    <cellStyle name="Normal 3 2 2 2 3 4 4 2 2 2" xfId="27772" xr:uid="{00000000-0005-0000-0000-0000543B0000}"/>
    <cellStyle name="Normal 3 2 2 2 3 4 4 2 3" xfId="27771" xr:uid="{00000000-0005-0000-0000-0000553B0000}"/>
    <cellStyle name="Normal 3 2 2 2 3 4 4 3" xfId="4274" xr:uid="{00000000-0005-0000-0000-0000563B0000}"/>
    <cellStyle name="Normal 3 2 2 2 3 4 4 3 2" xfId="27773" xr:uid="{00000000-0005-0000-0000-0000573B0000}"/>
    <cellStyle name="Normal 3 2 2 2 3 4 4 4" xfId="27770" xr:uid="{00000000-0005-0000-0000-0000583B0000}"/>
    <cellStyle name="Normal 3 2 2 2 3 4 5" xfId="4275" xr:uid="{00000000-0005-0000-0000-0000593B0000}"/>
    <cellStyle name="Normal 3 2 2 2 3 4 5 2" xfId="4276" xr:uid="{00000000-0005-0000-0000-00005A3B0000}"/>
    <cellStyle name="Normal 3 2 2 2 3 4 5 2 2" xfId="27775" xr:uid="{00000000-0005-0000-0000-00005B3B0000}"/>
    <cellStyle name="Normal 3 2 2 2 3 4 5 3" xfId="27774" xr:uid="{00000000-0005-0000-0000-00005C3B0000}"/>
    <cellStyle name="Normal 3 2 2 2 3 4 6" xfId="4277" xr:uid="{00000000-0005-0000-0000-00005D3B0000}"/>
    <cellStyle name="Normal 3 2 2 2 3 4 6 2" xfId="27776" xr:uid="{00000000-0005-0000-0000-00005E3B0000}"/>
    <cellStyle name="Normal 3 2 2 2 3 4 7" xfId="27753" xr:uid="{00000000-0005-0000-0000-00005F3B0000}"/>
    <cellStyle name="Normal 3 2 2 2 3 5" xfId="4278" xr:uid="{00000000-0005-0000-0000-0000603B0000}"/>
    <cellStyle name="Normal 3 2 2 2 3 5 2" xfId="4279" xr:uid="{00000000-0005-0000-0000-0000613B0000}"/>
    <cellStyle name="Normal 3 2 2 2 3 5 2 2" xfId="4280" xr:uid="{00000000-0005-0000-0000-0000623B0000}"/>
    <cellStyle name="Normal 3 2 2 2 3 5 2 2 2" xfId="4281" xr:uid="{00000000-0005-0000-0000-0000633B0000}"/>
    <cellStyle name="Normal 3 2 2 2 3 5 2 2 2 2" xfId="27780" xr:uid="{00000000-0005-0000-0000-0000643B0000}"/>
    <cellStyle name="Normal 3 2 2 2 3 5 2 2 3" xfId="27779" xr:uid="{00000000-0005-0000-0000-0000653B0000}"/>
    <cellStyle name="Normal 3 2 2 2 3 5 2 3" xfId="4282" xr:uid="{00000000-0005-0000-0000-0000663B0000}"/>
    <cellStyle name="Normal 3 2 2 2 3 5 2 3 2" xfId="27781" xr:uid="{00000000-0005-0000-0000-0000673B0000}"/>
    <cellStyle name="Normal 3 2 2 2 3 5 2 4" xfId="27778" xr:uid="{00000000-0005-0000-0000-0000683B0000}"/>
    <cellStyle name="Normal 3 2 2 2 3 5 3" xfId="4283" xr:uid="{00000000-0005-0000-0000-0000693B0000}"/>
    <cellStyle name="Normal 3 2 2 2 3 5 3 2" xfId="4284" xr:uid="{00000000-0005-0000-0000-00006A3B0000}"/>
    <cellStyle name="Normal 3 2 2 2 3 5 3 2 2" xfId="27783" xr:uid="{00000000-0005-0000-0000-00006B3B0000}"/>
    <cellStyle name="Normal 3 2 2 2 3 5 3 3" xfId="27782" xr:uid="{00000000-0005-0000-0000-00006C3B0000}"/>
    <cellStyle name="Normal 3 2 2 2 3 5 4" xfId="4285" xr:uid="{00000000-0005-0000-0000-00006D3B0000}"/>
    <cellStyle name="Normal 3 2 2 2 3 5 4 2" xfId="27784" xr:uid="{00000000-0005-0000-0000-00006E3B0000}"/>
    <cellStyle name="Normal 3 2 2 2 3 5 5" xfId="27777" xr:uid="{00000000-0005-0000-0000-00006F3B0000}"/>
    <cellStyle name="Normal 3 2 2 2 3 6" xfId="4286" xr:uid="{00000000-0005-0000-0000-0000703B0000}"/>
    <cellStyle name="Normal 3 2 2 2 3 6 2" xfId="4287" xr:uid="{00000000-0005-0000-0000-0000713B0000}"/>
    <cellStyle name="Normal 3 2 2 2 3 6 2 2" xfId="4288" xr:uid="{00000000-0005-0000-0000-0000723B0000}"/>
    <cellStyle name="Normal 3 2 2 2 3 6 2 2 2" xfId="4289" xr:uid="{00000000-0005-0000-0000-0000733B0000}"/>
    <cellStyle name="Normal 3 2 2 2 3 6 2 2 2 2" xfId="27788" xr:uid="{00000000-0005-0000-0000-0000743B0000}"/>
    <cellStyle name="Normal 3 2 2 2 3 6 2 2 3" xfId="27787" xr:uid="{00000000-0005-0000-0000-0000753B0000}"/>
    <cellStyle name="Normal 3 2 2 2 3 6 2 3" xfId="4290" xr:uid="{00000000-0005-0000-0000-0000763B0000}"/>
    <cellStyle name="Normal 3 2 2 2 3 6 2 3 2" xfId="27789" xr:uid="{00000000-0005-0000-0000-0000773B0000}"/>
    <cellStyle name="Normal 3 2 2 2 3 6 2 4" xfId="27786" xr:uid="{00000000-0005-0000-0000-0000783B0000}"/>
    <cellStyle name="Normal 3 2 2 2 3 6 3" xfId="4291" xr:uid="{00000000-0005-0000-0000-0000793B0000}"/>
    <cellStyle name="Normal 3 2 2 2 3 6 3 2" xfId="4292" xr:uid="{00000000-0005-0000-0000-00007A3B0000}"/>
    <cellStyle name="Normal 3 2 2 2 3 6 3 2 2" xfId="27791" xr:uid="{00000000-0005-0000-0000-00007B3B0000}"/>
    <cellStyle name="Normal 3 2 2 2 3 6 3 3" xfId="27790" xr:uid="{00000000-0005-0000-0000-00007C3B0000}"/>
    <cellStyle name="Normal 3 2 2 2 3 6 4" xfId="4293" xr:uid="{00000000-0005-0000-0000-00007D3B0000}"/>
    <cellStyle name="Normal 3 2 2 2 3 6 4 2" xfId="27792" xr:uid="{00000000-0005-0000-0000-00007E3B0000}"/>
    <cellStyle name="Normal 3 2 2 2 3 6 5" xfId="27785" xr:uid="{00000000-0005-0000-0000-00007F3B0000}"/>
    <cellStyle name="Normal 3 2 2 2 3 7" xfId="4294" xr:uid="{00000000-0005-0000-0000-0000803B0000}"/>
    <cellStyle name="Normal 3 2 2 2 3 7 2" xfId="4295" xr:uid="{00000000-0005-0000-0000-0000813B0000}"/>
    <cellStyle name="Normal 3 2 2 2 3 7 2 2" xfId="4296" xr:uid="{00000000-0005-0000-0000-0000823B0000}"/>
    <cellStyle name="Normal 3 2 2 2 3 7 2 2 2" xfId="27795" xr:uid="{00000000-0005-0000-0000-0000833B0000}"/>
    <cellStyle name="Normal 3 2 2 2 3 7 2 3" xfId="27794" xr:uid="{00000000-0005-0000-0000-0000843B0000}"/>
    <cellStyle name="Normal 3 2 2 2 3 7 3" xfId="4297" xr:uid="{00000000-0005-0000-0000-0000853B0000}"/>
    <cellStyle name="Normal 3 2 2 2 3 7 3 2" xfId="27796" xr:uid="{00000000-0005-0000-0000-0000863B0000}"/>
    <cellStyle name="Normal 3 2 2 2 3 7 4" xfId="27793" xr:uid="{00000000-0005-0000-0000-0000873B0000}"/>
    <cellStyle name="Normal 3 2 2 2 3 8" xfId="4298" xr:uid="{00000000-0005-0000-0000-0000883B0000}"/>
    <cellStyle name="Normal 3 2 2 2 3 8 2" xfId="4299" xr:uid="{00000000-0005-0000-0000-0000893B0000}"/>
    <cellStyle name="Normal 3 2 2 2 3 8 2 2" xfId="27798" xr:uid="{00000000-0005-0000-0000-00008A3B0000}"/>
    <cellStyle name="Normal 3 2 2 2 3 8 3" xfId="27797" xr:uid="{00000000-0005-0000-0000-00008B3B0000}"/>
    <cellStyle name="Normal 3 2 2 2 3 9" xfId="4300" xr:uid="{00000000-0005-0000-0000-00008C3B0000}"/>
    <cellStyle name="Normal 3 2 2 2 3 9 2" xfId="27799" xr:uid="{00000000-0005-0000-0000-00008D3B0000}"/>
    <cellStyle name="Normal 3 2 2 2 4" xfId="4301" xr:uid="{00000000-0005-0000-0000-00008E3B0000}"/>
    <cellStyle name="Normal 3 2 2 2 4 10" xfId="27800" xr:uid="{00000000-0005-0000-0000-00008F3B0000}"/>
    <cellStyle name="Normal 3 2 2 2 4 2" xfId="4302" xr:uid="{00000000-0005-0000-0000-0000903B0000}"/>
    <cellStyle name="Normal 3 2 2 2 4 2 2" xfId="4303" xr:uid="{00000000-0005-0000-0000-0000913B0000}"/>
    <cellStyle name="Normal 3 2 2 2 4 2 2 2" xfId="4304" xr:uid="{00000000-0005-0000-0000-0000923B0000}"/>
    <cellStyle name="Normal 3 2 2 2 4 2 2 2 2" xfId="4305" xr:uid="{00000000-0005-0000-0000-0000933B0000}"/>
    <cellStyle name="Normal 3 2 2 2 4 2 2 2 2 2" xfId="4306" xr:uid="{00000000-0005-0000-0000-0000943B0000}"/>
    <cellStyle name="Normal 3 2 2 2 4 2 2 2 2 2 2" xfId="27805" xr:uid="{00000000-0005-0000-0000-0000953B0000}"/>
    <cellStyle name="Normal 3 2 2 2 4 2 2 2 2 3" xfId="27804" xr:uid="{00000000-0005-0000-0000-0000963B0000}"/>
    <cellStyle name="Normal 3 2 2 2 4 2 2 2 3" xfId="4307" xr:uid="{00000000-0005-0000-0000-0000973B0000}"/>
    <cellStyle name="Normal 3 2 2 2 4 2 2 2 3 2" xfId="27806" xr:uid="{00000000-0005-0000-0000-0000983B0000}"/>
    <cellStyle name="Normal 3 2 2 2 4 2 2 2 4" xfId="27803" xr:uid="{00000000-0005-0000-0000-0000993B0000}"/>
    <cellStyle name="Normal 3 2 2 2 4 2 2 3" xfId="4308" xr:uid="{00000000-0005-0000-0000-00009A3B0000}"/>
    <cellStyle name="Normal 3 2 2 2 4 2 2 3 2" xfId="4309" xr:uid="{00000000-0005-0000-0000-00009B3B0000}"/>
    <cellStyle name="Normal 3 2 2 2 4 2 2 3 2 2" xfId="27808" xr:uid="{00000000-0005-0000-0000-00009C3B0000}"/>
    <cellStyle name="Normal 3 2 2 2 4 2 2 3 3" xfId="27807" xr:uid="{00000000-0005-0000-0000-00009D3B0000}"/>
    <cellStyle name="Normal 3 2 2 2 4 2 2 4" xfId="4310" xr:uid="{00000000-0005-0000-0000-00009E3B0000}"/>
    <cellStyle name="Normal 3 2 2 2 4 2 2 4 2" xfId="27809" xr:uid="{00000000-0005-0000-0000-00009F3B0000}"/>
    <cellStyle name="Normal 3 2 2 2 4 2 2 5" xfId="27802" xr:uid="{00000000-0005-0000-0000-0000A03B0000}"/>
    <cellStyle name="Normal 3 2 2 2 4 2 3" xfId="4311" xr:uid="{00000000-0005-0000-0000-0000A13B0000}"/>
    <cellStyle name="Normal 3 2 2 2 4 2 3 2" xfId="4312" xr:uid="{00000000-0005-0000-0000-0000A23B0000}"/>
    <cellStyle name="Normal 3 2 2 2 4 2 3 2 2" xfId="4313" xr:uid="{00000000-0005-0000-0000-0000A33B0000}"/>
    <cellStyle name="Normal 3 2 2 2 4 2 3 2 2 2" xfId="4314" xr:uid="{00000000-0005-0000-0000-0000A43B0000}"/>
    <cellStyle name="Normal 3 2 2 2 4 2 3 2 2 2 2" xfId="27813" xr:uid="{00000000-0005-0000-0000-0000A53B0000}"/>
    <cellStyle name="Normal 3 2 2 2 4 2 3 2 2 3" xfId="27812" xr:uid="{00000000-0005-0000-0000-0000A63B0000}"/>
    <cellStyle name="Normal 3 2 2 2 4 2 3 2 3" xfId="4315" xr:uid="{00000000-0005-0000-0000-0000A73B0000}"/>
    <cellStyle name="Normal 3 2 2 2 4 2 3 2 3 2" xfId="27814" xr:uid="{00000000-0005-0000-0000-0000A83B0000}"/>
    <cellStyle name="Normal 3 2 2 2 4 2 3 2 4" xfId="27811" xr:uid="{00000000-0005-0000-0000-0000A93B0000}"/>
    <cellStyle name="Normal 3 2 2 2 4 2 3 3" xfId="4316" xr:uid="{00000000-0005-0000-0000-0000AA3B0000}"/>
    <cellStyle name="Normal 3 2 2 2 4 2 3 3 2" xfId="4317" xr:uid="{00000000-0005-0000-0000-0000AB3B0000}"/>
    <cellStyle name="Normal 3 2 2 2 4 2 3 3 2 2" xfId="27816" xr:uid="{00000000-0005-0000-0000-0000AC3B0000}"/>
    <cellStyle name="Normal 3 2 2 2 4 2 3 3 3" xfId="27815" xr:uid="{00000000-0005-0000-0000-0000AD3B0000}"/>
    <cellStyle name="Normal 3 2 2 2 4 2 3 4" xfId="4318" xr:uid="{00000000-0005-0000-0000-0000AE3B0000}"/>
    <cellStyle name="Normal 3 2 2 2 4 2 3 4 2" xfId="27817" xr:uid="{00000000-0005-0000-0000-0000AF3B0000}"/>
    <cellStyle name="Normal 3 2 2 2 4 2 3 5" xfId="27810" xr:uid="{00000000-0005-0000-0000-0000B03B0000}"/>
    <cellStyle name="Normal 3 2 2 2 4 2 4" xfId="4319" xr:uid="{00000000-0005-0000-0000-0000B13B0000}"/>
    <cellStyle name="Normal 3 2 2 2 4 2 4 2" xfId="4320" xr:uid="{00000000-0005-0000-0000-0000B23B0000}"/>
    <cellStyle name="Normal 3 2 2 2 4 2 4 2 2" xfId="4321" xr:uid="{00000000-0005-0000-0000-0000B33B0000}"/>
    <cellStyle name="Normal 3 2 2 2 4 2 4 2 2 2" xfId="27820" xr:uid="{00000000-0005-0000-0000-0000B43B0000}"/>
    <cellStyle name="Normal 3 2 2 2 4 2 4 2 3" xfId="27819" xr:uid="{00000000-0005-0000-0000-0000B53B0000}"/>
    <cellStyle name="Normal 3 2 2 2 4 2 4 3" xfId="4322" xr:uid="{00000000-0005-0000-0000-0000B63B0000}"/>
    <cellStyle name="Normal 3 2 2 2 4 2 4 3 2" xfId="27821" xr:uid="{00000000-0005-0000-0000-0000B73B0000}"/>
    <cellStyle name="Normal 3 2 2 2 4 2 4 4" xfId="27818" xr:uid="{00000000-0005-0000-0000-0000B83B0000}"/>
    <cellStyle name="Normal 3 2 2 2 4 2 5" xfId="4323" xr:uid="{00000000-0005-0000-0000-0000B93B0000}"/>
    <cellStyle name="Normal 3 2 2 2 4 2 5 2" xfId="4324" xr:uid="{00000000-0005-0000-0000-0000BA3B0000}"/>
    <cellStyle name="Normal 3 2 2 2 4 2 5 2 2" xfId="27823" xr:uid="{00000000-0005-0000-0000-0000BB3B0000}"/>
    <cellStyle name="Normal 3 2 2 2 4 2 5 3" xfId="27822" xr:uid="{00000000-0005-0000-0000-0000BC3B0000}"/>
    <cellStyle name="Normal 3 2 2 2 4 2 6" xfId="4325" xr:uid="{00000000-0005-0000-0000-0000BD3B0000}"/>
    <cellStyle name="Normal 3 2 2 2 4 2 6 2" xfId="27824" xr:uid="{00000000-0005-0000-0000-0000BE3B0000}"/>
    <cellStyle name="Normal 3 2 2 2 4 2 7" xfId="27801" xr:uid="{00000000-0005-0000-0000-0000BF3B0000}"/>
    <cellStyle name="Normal 3 2 2 2 4 3" xfId="4326" xr:uid="{00000000-0005-0000-0000-0000C03B0000}"/>
    <cellStyle name="Normal 3 2 2 2 4 3 2" xfId="4327" xr:uid="{00000000-0005-0000-0000-0000C13B0000}"/>
    <cellStyle name="Normal 3 2 2 2 4 3 2 2" xfId="4328" xr:uid="{00000000-0005-0000-0000-0000C23B0000}"/>
    <cellStyle name="Normal 3 2 2 2 4 3 2 2 2" xfId="4329" xr:uid="{00000000-0005-0000-0000-0000C33B0000}"/>
    <cellStyle name="Normal 3 2 2 2 4 3 2 2 2 2" xfId="4330" xr:uid="{00000000-0005-0000-0000-0000C43B0000}"/>
    <cellStyle name="Normal 3 2 2 2 4 3 2 2 2 2 2" xfId="27829" xr:uid="{00000000-0005-0000-0000-0000C53B0000}"/>
    <cellStyle name="Normal 3 2 2 2 4 3 2 2 2 3" xfId="27828" xr:uid="{00000000-0005-0000-0000-0000C63B0000}"/>
    <cellStyle name="Normal 3 2 2 2 4 3 2 2 3" xfId="4331" xr:uid="{00000000-0005-0000-0000-0000C73B0000}"/>
    <cellStyle name="Normal 3 2 2 2 4 3 2 2 3 2" xfId="27830" xr:uid="{00000000-0005-0000-0000-0000C83B0000}"/>
    <cellStyle name="Normal 3 2 2 2 4 3 2 2 4" xfId="27827" xr:uid="{00000000-0005-0000-0000-0000C93B0000}"/>
    <cellStyle name="Normal 3 2 2 2 4 3 2 3" xfId="4332" xr:uid="{00000000-0005-0000-0000-0000CA3B0000}"/>
    <cellStyle name="Normal 3 2 2 2 4 3 2 3 2" xfId="4333" xr:uid="{00000000-0005-0000-0000-0000CB3B0000}"/>
    <cellStyle name="Normal 3 2 2 2 4 3 2 3 2 2" xfId="27832" xr:uid="{00000000-0005-0000-0000-0000CC3B0000}"/>
    <cellStyle name="Normal 3 2 2 2 4 3 2 3 3" xfId="27831" xr:uid="{00000000-0005-0000-0000-0000CD3B0000}"/>
    <cellStyle name="Normal 3 2 2 2 4 3 2 4" xfId="4334" xr:uid="{00000000-0005-0000-0000-0000CE3B0000}"/>
    <cellStyle name="Normal 3 2 2 2 4 3 2 4 2" xfId="27833" xr:uid="{00000000-0005-0000-0000-0000CF3B0000}"/>
    <cellStyle name="Normal 3 2 2 2 4 3 2 5" xfId="27826" xr:uid="{00000000-0005-0000-0000-0000D03B0000}"/>
    <cellStyle name="Normal 3 2 2 2 4 3 3" xfId="4335" xr:uid="{00000000-0005-0000-0000-0000D13B0000}"/>
    <cellStyle name="Normal 3 2 2 2 4 3 3 2" xfId="4336" xr:uid="{00000000-0005-0000-0000-0000D23B0000}"/>
    <cellStyle name="Normal 3 2 2 2 4 3 3 2 2" xfId="4337" xr:uid="{00000000-0005-0000-0000-0000D33B0000}"/>
    <cellStyle name="Normal 3 2 2 2 4 3 3 2 2 2" xfId="4338" xr:uid="{00000000-0005-0000-0000-0000D43B0000}"/>
    <cellStyle name="Normal 3 2 2 2 4 3 3 2 2 2 2" xfId="27837" xr:uid="{00000000-0005-0000-0000-0000D53B0000}"/>
    <cellStyle name="Normal 3 2 2 2 4 3 3 2 2 3" xfId="27836" xr:uid="{00000000-0005-0000-0000-0000D63B0000}"/>
    <cellStyle name="Normal 3 2 2 2 4 3 3 2 3" xfId="4339" xr:uid="{00000000-0005-0000-0000-0000D73B0000}"/>
    <cellStyle name="Normal 3 2 2 2 4 3 3 2 3 2" xfId="27838" xr:uid="{00000000-0005-0000-0000-0000D83B0000}"/>
    <cellStyle name="Normal 3 2 2 2 4 3 3 2 4" xfId="27835" xr:uid="{00000000-0005-0000-0000-0000D93B0000}"/>
    <cellStyle name="Normal 3 2 2 2 4 3 3 3" xfId="4340" xr:uid="{00000000-0005-0000-0000-0000DA3B0000}"/>
    <cellStyle name="Normal 3 2 2 2 4 3 3 3 2" xfId="4341" xr:uid="{00000000-0005-0000-0000-0000DB3B0000}"/>
    <cellStyle name="Normal 3 2 2 2 4 3 3 3 2 2" xfId="27840" xr:uid="{00000000-0005-0000-0000-0000DC3B0000}"/>
    <cellStyle name="Normal 3 2 2 2 4 3 3 3 3" xfId="27839" xr:uid="{00000000-0005-0000-0000-0000DD3B0000}"/>
    <cellStyle name="Normal 3 2 2 2 4 3 3 4" xfId="4342" xr:uid="{00000000-0005-0000-0000-0000DE3B0000}"/>
    <cellStyle name="Normal 3 2 2 2 4 3 3 4 2" xfId="27841" xr:uid="{00000000-0005-0000-0000-0000DF3B0000}"/>
    <cellStyle name="Normal 3 2 2 2 4 3 3 5" xfId="27834" xr:uid="{00000000-0005-0000-0000-0000E03B0000}"/>
    <cellStyle name="Normal 3 2 2 2 4 3 4" xfId="4343" xr:uid="{00000000-0005-0000-0000-0000E13B0000}"/>
    <cellStyle name="Normal 3 2 2 2 4 3 4 2" xfId="4344" xr:uid="{00000000-0005-0000-0000-0000E23B0000}"/>
    <cellStyle name="Normal 3 2 2 2 4 3 4 2 2" xfId="4345" xr:uid="{00000000-0005-0000-0000-0000E33B0000}"/>
    <cellStyle name="Normal 3 2 2 2 4 3 4 2 2 2" xfId="27844" xr:uid="{00000000-0005-0000-0000-0000E43B0000}"/>
    <cellStyle name="Normal 3 2 2 2 4 3 4 2 3" xfId="27843" xr:uid="{00000000-0005-0000-0000-0000E53B0000}"/>
    <cellStyle name="Normal 3 2 2 2 4 3 4 3" xfId="4346" xr:uid="{00000000-0005-0000-0000-0000E63B0000}"/>
    <cellStyle name="Normal 3 2 2 2 4 3 4 3 2" xfId="27845" xr:uid="{00000000-0005-0000-0000-0000E73B0000}"/>
    <cellStyle name="Normal 3 2 2 2 4 3 4 4" xfId="27842" xr:uid="{00000000-0005-0000-0000-0000E83B0000}"/>
    <cellStyle name="Normal 3 2 2 2 4 3 5" xfId="4347" xr:uid="{00000000-0005-0000-0000-0000E93B0000}"/>
    <cellStyle name="Normal 3 2 2 2 4 3 5 2" xfId="4348" xr:uid="{00000000-0005-0000-0000-0000EA3B0000}"/>
    <cellStyle name="Normal 3 2 2 2 4 3 5 2 2" xfId="27847" xr:uid="{00000000-0005-0000-0000-0000EB3B0000}"/>
    <cellStyle name="Normal 3 2 2 2 4 3 5 3" xfId="27846" xr:uid="{00000000-0005-0000-0000-0000EC3B0000}"/>
    <cellStyle name="Normal 3 2 2 2 4 3 6" xfId="4349" xr:uid="{00000000-0005-0000-0000-0000ED3B0000}"/>
    <cellStyle name="Normal 3 2 2 2 4 3 6 2" xfId="27848" xr:uid="{00000000-0005-0000-0000-0000EE3B0000}"/>
    <cellStyle name="Normal 3 2 2 2 4 3 7" xfId="27825" xr:uid="{00000000-0005-0000-0000-0000EF3B0000}"/>
    <cellStyle name="Normal 3 2 2 2 4 4" xfId="4350" xr:uid="{00000000-0005-0000-0000-0000F03B0000}"/>
    <cellStyle name="Normal 3 2 2 2 4 4 2" xfId="4351" xr:uid="{00000000-0005-0000-0000-0000F13B0000}"/>
    <cellStyle name="Normal 3 2 2 2 4 4 2 2" xfId="4352" xr:uid="{00000000-0005-0000-0000-0000F23B0000}"/>
    <cellStyle name="Normal 3 2 2 2 4 4 2 2 2" xfId="4353" xr:uid="{00000000-0005-0000-0000-0000F33B0000}"/>
    <cellStyle name="Normal 3 2 2 2 4 4 2 2 2 2" xfId="4354" xr:uid="{00000000-0005-0000-0000-0000F43B0000}"/>
    <cellStyle name="Normal 3 2 2 2 4 4 2 2 2 2 2" xfId="27853" xr:uid="{00000000-0005-0000-0000-0000F53B0000}"/>
    <cellStyle name="Normal 3 2 2 2 4 4 2 2 2 3" xfId="27852" xr:uid="{00000000-0005-0000-0000-0000F63B0000}"/>
    <cellStyle name="Normal 3 2 2 2 4 4 2 2 3" xfId="4355" xr:uid="{00000000-0005-0000-0000-0000F73B0000}"/>
    <cellStyle name="Normal 3 2 2 2 4 4 2 2 3 2" xfId="27854" xr:uid="{00000000-0005-0000-0000-0000F83B0000}"/>
    <cellStyle name="Normal 3 2 2 2 4 4 2 2 4" xfId="27851" xr:uid="{00000000-0005-0000-0000-0000F93B0000}"/>
    <cellStyle name="Normal 3 2 2 2 4 4 2 3" xfId="4356" xr:uid="{00000000-0005-0000-0000-0000FA3B0000}"/>
    <cellStyle name="Normal 3 2 2 2 4 4 2 3 2" xfId="4357" xr:uid="{00000000-0005-0000-0000-0000FB3B0000}"/>
    <cellStyle name="Normal 3 2 2 2 4 4 2 3 2 2" xfId="27856" xr:uid="{00000000-0005-0000-0000-0000FC3B0000}"/>
    <cellStyle name="Normal 3 2 2 2 4 4 2 3 3" xfId="27855" xr:uid="{00000000-0005-0000-0000-0000FD3B0000}"/>
    <cellStyle name="Normal 3 2 2 2 4 4 2 4" xfId="4358" xr:uid="{00000000-0005-0000-0000-0000FE3B0000}"/>
    <cellStyle name="Normal 3 2 2 2 4 4 2 4 2" xfId="27857" xr:uid="{00000000-0005-0000-0000-0000FF3B0000}"/>
    <cellStyle name="Normal 3 2 2 2 4 4 2 5" xfId="27850" xr:uid="{00000000-0005-0000-0000-0000003C0000}"/>
    <cellStyle name="Normal 3 2 2 2 4 4 3" xfId="4359" xr:uid="{00000000-0005-0000-0000-0000013C0000}"/>
    <cellStyle name="Normal 3 2 2 2 4 4 3 2" xfId="4360" xr:uid="{00000000-0005-0000-0000-0000023C0000}"/>
    <cellStyle name="Normal 3 2 2 2 4 4 3 2 2" xfId="4361" xr:uid="{00000000-0005-0000-0000-0000033C0000}"/>
    <cellStyle name="Normal 3 2 2 2 4 4 3 2 2 2" xfId="4362" xr:uid="{00000000-0005-0000-0000-0000043C0000}"/>
    <cellStyle name="Normal 3 2 2 2 4 4 3 2 2 2 2" xfId="27861" xr:uid="{00000000-0005-0000-0000-0000053C0000}"/>
    <cellStyle name="Normal 3 2 2 2 4 4 3 2 2 3" xfId="27860" xr:uid="{00000000-0005-0000-0000-0000063C0000}"/>
    <cellStyle name="Normal 3 2 2 2 4 4 3 2 3" xfId="4363" xr:uid="{00000000-0005-0000-0000-0000073C0000}"/>
    <cellStyle name="Normal 3 2 2 2 4 4 3 2 3 2" xfId="27862" xr:uid="{00000000-0005-0000-0000-0000083C0000}"/>
    <cellStyle name="Normal 3 2 2 2 4 4 3 2 4" xfId="27859" xr:uid="{00000000-0005-0000-0000-0000093C0000}"/>
    <cellStyle name="Normal 3 2 2 2 4 4 3 3" xfId="4364" xr:uid="{00000000-0005-0000-0000-00000A3C0000}"/>
    <cellStyle name="Normal 3 2 2 2 4 4 3 3 2" xfId="4365" xr:uid="{00000000-0005-0000-0000-00000B3C0000}"/>
    <cellStyle name="Normal 3 2 2 2 4 4 3 3 2 2" xfId="27864" xr:uid="{00000000-0005-0000-0000-00000C3C0000}"/>
    <cellStyle name="Normal 3 2 2 2 4 4 3 3 3" xfId="27863" xr:uid="{00000000-0005-0000-0000-00000D3C0000}"/>
    <cellStyle name="Normal 3 2 2 2 4 4 3 4" xfId="4366" xr:uid="{00000000-0005-0000-0000-00000E3C0000}"/>
    <cellStyle name="Normal 3 2 2 2 4 4 3 4 2" xfId="27865" xr:uid="{00000000-0005-0000-0000-00000F3C0000}"/>
    <cellStyle name="Normal 3 2 2 2 4 4 3 5" xfId="27858" xr:uid="{00000000-0005-0000-0000-0000103C0000}"/>
    <cellStyle name="Normal 3 2 2 2 4 4 4" xfId="4367" xr:uid="{00000000-0005-0000-0000-0000113C0000}"/>
    <cellStyle name="Normal 3 2 2 2 4 4 4 2" xfId="4368" xr:uid="{00000000-0005-0000-0000-0000123C0000}"/>
    <cellStyle name="Normal 3 2 2 2 4 4 4 2 2" xfId="4369" xr:uid="{00000000-0005-0000-0000-0000133C0000}"/>
    <cellStyle name="Normal 3 2 2 2 4 4 4 2 2 2" xfId="27868" xr:uid="{00000000-0005-0000-0000-0000143C0000}"/>
    <cellStyle name="Normal 3 2 2 2 4 4 4 2 3" xfId="27867" xr:uid="{00000000-0005-0000-0000-0000153C0000}"/>
    <cellStyle name="Normal 3 2 2 2 4 4 4 3" xfId="4370" xr:uid="{00000000-0005-0000-0000-0000163C0000}"/>
    <cellStyle name="Normal 3 2 2 2 4 4 4 3 2" xfId="27869" xr:uid="{00000000-0005-0000-0000-0000173C0000}"/>
    <cellStyle name="Normal 3 2 2 2 4 4 4 4" xfId="27866" xr:uid="{00000000-0005-0000-0000-0000183C0000}"/>
    <cellStyle name="Normal 3 2 2 2 4 4 5" xfId="4371" xr:uid="{00000000-0005-0000-0000-0000193C0000}"/>
    <cellStyle name="Normal 3 2 2 2 4 4 5 2" xfId="4372" xr:uid="{00000000-0005-0000-0000-00001A3C0000}"/>
    <cellStyle name="Normal 3 2 2 2 4 4 5 2 2" xfId="27871" xr:uid="{00000000-0005-0000-0000-00001B3C0000}"/>
    <cellStyle name="Normal 3 2 2 2 4 4 5 3" xfId="27870" xr:uid="{00000000-0005-0000-0000-00001C3C0000}"/>
    <cellStyle name="Normal 3 2 2 2 4 4 6" xfId="4373" xr:uid="{00000000-0005-0000-0000-00001D3C0000}"/>
    <cellStyle name="Normal 3 2 2 2 4 4 6 2" xfId="27872" xr:uid="{00000000-0005-0000-0000-00001E3C0000}"/>
    <cellStyle name="Normal 3 2 2 2 4 4 7" xfId="27849" xr:uid="{00000000-0005-0000-0000-00001F3C0000}"/>
    <cellStyle name="Normal 3 2 2 2 4 5" xfId="4374" xr:uid="{00000000-0005-0000-0000-0000203C0000}"/>
    <cellStyle name="Normal 3 2 2 2 4 5 2" xfId="4375" xr:uid="{00000000-0005-0000-0000-0000213C0000}"/>
    <cellStyle name="Normal 3 2 2 2 4 5 2 2" xfId="4376" xr:uid="{00000000-0005-0000-0000-0000223C0000}"/>
    <cellStyle name="Normal 3 2 2 2 4 5 2 2 2" xfId="4377" xr:uid="{00000000-0005-0000-0000-0000233C0000}"/>
    <cellStyle name="Normal 3 2 2 2 4 5 2 2 2 2" xfId="27876" xr:uid="{00000000-0005-0000-0000-0000243C0000}"/>
    <cellStyle name="Normal 3 2 2 2 4 5 2 2 3" xfId="27875" xr:uid="{00000000-0005-0000-0000-0000253C0000}"/>
    <cellStyle name="Normal 3 2 2 2 4 5 2 3" xfId="4378" xr:uid="{00000000-0005-0000-0000-0000263C0000}"/>
    <cellStyle name="Normal 3 2 2 2 4 5 2 3 2" xfId="27877" xr:uid="{00000000-0005-0000-0000-0000273C0000}"/>
    <cellStyle name="Normal 3 2 2 2 4 5 2 4" xfId="27874" xr:uid="{00000000-0005-0000-0000-0000283C0000}"/>
    <cellStyle name="Normal 3 2 2 2 4 5 3" xfId="4379" xr:uid="{00000000-0005-0000-0000-0000293C0000}"/>
    <cellStyle name="Normal 3 2 2 2 4 5 3 2" xfId="4380" xr:uid="{00000000-0005-0000-0000-00002A3C0000}"/>
    <cellStyle name="Normal 3 2 2 2 4 5 3 2 2" xfId="27879" xr:uid="{00000000-0005-0000-0000-00002B3C0000}"/>
    <cellStyle name="Normal 3 2 2 2 4 5 3 3" xfId="27878" xr:uid="{00000000-0005-0000-0000-00002C3C0000}"/>
    <cellStyle name="Normal 3 2 2 2 4 5 4" xfId="4381" xr:uid="{00000000-0005-0000-0000-00002D3C0000}"/>
    <cellStyle name="Normal 3 2 2 2 4 5 4 2" xfId="27880" xr:uid="{00000000-0005-0000-0000-00002E3C0000}"/>
    <cellStyle name="Normal 3 2 2 2 4 5 5" xfId="27873" xr:uid="{00000000-0005-0000-0000-00002F3C0000}"/>
    <cellStyle name="Normal 3 2 2 2 4 6" xfId="4382" xr:uid="{00000000-0005-0000-0000-0000303C0000}"/>
    <cellStyle name="Normal 3 2 2 2 4 6 2" xfId="4383" xr:uid="{00000000-0005-0000-0000-0000313C0000}"/>
    <cellStyle name="Normal 3 2 2 2 4 6 2 2" xfId="4384" xr:uid="{00000000-0005-0000-0000-0000323C0000}"/>
    <cellStyle name="Normal 3 2 2 2 4 6 2 2 2" xfId="4385" xr:uid="{00000000-0005-0000-0000-0000333C0000}"/>
    <cellStyle name="Normal 3 2 2 2 4 6 2 2 2 2" xfId="27884" xr:uid="{00000000-0005-0000-0000-0000343C0000}"/>
    <cellStyle name="Normal 3 2 2 2 4 6 2 2 3" xfId="27883" xr:uid="{00000000-0005-0000-0000-0000353C0000}"/>
    <cellStyle name="Normal 3 2 2 2 4 6 2 3" xfId="4386" xr:uid="{00000000-0005-0000-0000-0000363C0000}"/>
    <cellStyle name="Normal 3 2 2 2 4 6 2 3 2" xfId="27885" xr:uid="{00000000-0005-0000-0000-0000373C0000}"/>
    <cellStyle name="Normal 3 2 2 2 4 6 2 4" xfId="27882" xr:uid="{00000000-0005-0000-0000-0000383C0000}"/>
    <cellStyle name="Normal 3 2 2 2 4 6 3" xfId="4387" xr:uid="{00000000-0005-0000-0000-0000393C0000}"/>
    <cellStyle name="Normal 3 2 2 2 4 6 3 2" xfId="4388" xr:uid="{00000000-0005-0000-0000-00003A3C0000}"/>
    <cellStyle name="Normal 3 2 2 2 4 6 3 2 2" xfId="27887" xr:uid="{00000000-0005-0000-0000-00003B3C0000}"/>
    <cellStyle name="Normal 3 2 2 2 4 6 3 3" xfId="27886" xr:uid="{00000000-0005-0000-0000-00003C3C0000}"/>
    <cellStyle name="Normal 3 2 2 2 4 6 4" xfId="4389" xr:uid="{00000000-0005-0000-0000-00003D3C0000}"/>
    <cellStyle name="Normal 3 2 2 2 4 6 4 2" xfId="27888" xr:uid="{00000000-0005-0000-0000-00003E3C0000}"/>
    <cellStyle name="Normal 3 2 2 2 4 6 5" xfId="27881" xr:uid="{00000000-0005-0000-0000-00003F3C0000}"/>
    <cellStyle name="Normal 3 2 2 2 4 7" xfId="4390" xr:uid="{00000000-0005-0000-0000-0000403C0000}"/>
    <cellStyle name="Normal 3 2 2 2 4 7 2" xfId="4391" xr:uid="{00000000-0005-0000-0000-0000413C0000}"/>
    <cellStyle name="Normal 3 2 2 2 4 7 2 2" xfId="4392" xr:uid="{00000000-0005-0000-0000-0000423C0000}"/>
    <cellStyle name="Normal 3 2 2 2 4 7 2 2 2" xfId="27891" xr:uid="{00000000-0005-0000-0000-0000433C0000}"/>
    <cellStyle name="Normal 3 2 2 2 4 7 2 3" xfId="27890" xr:uid="{00000000-0005-0000-0000-0000443C0000}"/>
    <cellStyle name="Normal 3 2 2 2 4 7 3" xfId="4393" xr:uid="{00000000-0005-0000-0000-0000453C0000}"/>
    <cellStyle name="Normal 3 2 2 2 4 7 3 2" xfId="27892" xr:uid="{00000000-0005-0000-0000-0000463C0000}"/>
    <cellStyle name="Normal 3 2 2 2 4 7 4" xfId="27889" xr:uid="{00000000-0005-0000-0000-0000473C0000}"/>
    <cellStyle name="Normal 3 2 2 2 4 8" xfId="4394" xr:uid="{00000000-0005-0000-0000-0000483C0000}"/>
    <cellStyle name="Normal 3 2 2 2 4 8 2" xfId="4395" xr:uid="{00000000-0005-0000-0000-0000493C0000}"/>
    <cellStyle name="Normal 3 2 2 2 4 8 2 2" xfId="27894" xr:uid="{00000000-0005-0000-0000-00004A3C0000}"/>
    <cellStyle name="Normal 3 2 2 2 4 8 3" xfId="27893" xr:uid="{00000000-0005-0000-0000-00004B3C0000}"/>
    <cellStyle name="Normal 3 2 2 2 4 9" xfId="4396" xr:uid="{00000000-0005-0000-0000-00004C3C0000}"/>
    <cellStyle name="Normal 3 2 2 2 4 9 2" xfId="27895" xr:uid="{00000000-0005-0000-0000-00004D3C0000}"/>
    <cellStyle name="Normal 3 2 2 2 5" xfId="4397" xr:uid="{00000000-0005-0000-0000-00004E3C0000}"/>
    <cellStyle name="Normal 3 2 2 2 5 2" xfId="4398" xr:uid="{00000000-0005-0000-0000-00004F3C0000}"/>
    <cellStyle name="Normal 3 2 2 2 5 2 2" xfId="4399" xr:uid="{00000000-0005-0000-0000-0000503C0000}"/>
    <cellStyle name="Normal 3 2 2 2 5 2 2 2" xfId="4400" xr:uid="{00000000-0005-0000-0000-0000513C0000}"/>
    <cellStyle name="Normal 3 2 2 2 5 2 2 2 2" xfId="4401" xr:uid="{00000000-0005-0000-0000-0000523C0000}"/>
    <cellStyle name="Normal 3 2 2 2 5 2 2 2 2 2" xfId="27900" xr:uid="{00000000-0005-0000-0000-0000533C0000}"/>
    <cellStyle name="Normal 3 2 2 2 5 2 2 2 3" xfId="27899" xr:uid="{00000000-0005-0000-0000-0000543C0000}"/>
    <cellStyle name="Normal 3 2 2 2 5 2 2 3" xfId="4402" xr:uid="{00000000-0005-0000-0000-0000553C0000}"/>
    <cellStyle name="Normal 3 2 2 2 5 2 2 3 2" xfId="27901" xr:uid="{00000000-0005-0000-0000-0000563C0000}"/>
    <cellStyle name="Normal 3 2 2 2 5 2 2 4" xfId="27898" xr:uid="{00000000-0005-0000-0000-0000573C0000}"/>
    <cellStyle name="Normal 3 2 2 2 5 2 3" xfId="4403" xr:uid="{00000000-0005-0000-0000-0000583C0000}"/>
    <cellStyle name="Normal 3 2 2 2 5 2 3 2" xfId="4404" xr:uid="{00000000-0005-0000-0000-0000593C0000}"/>
    <cellStyle name="Normal 3 2 2 2 5 2 3 2 2" xfId="27903" xr:uid="{00000000-0005-0000-0000-00005A3C0000}"/>
    <cellStyle name="Normal 3 2 2 2 5 2 3 3" xfId="27902" xr:uid="{00000000-0005-0000-0000-00005B3C0000}"/>
    <cellStyle name="Normal 3 2 2 2 5 2 4" xfId="4405" xr:uid="{00000000-0005-0000-0000-00005C3C0000}"/>
    <cellStyle name="Normal 3 2 2 2 5 2 4 2" xfId="27904" xr:uid="{00000000-0005-0000-0000-00005D3C0000}"/>
    <cellStyle name="Normal 3 2 2 2 5 2 5" xfId="20868" xr:uid="{00000000-0005-0000-0000-00005E3C0000}"/>
    <cellStyle name="Normal 3 2 2 2 5 2 5 2" xfId="44184" xr:uid="{00000000-0005-0000-0000-00005F3C0000}"/>
    <cellStyle name="Normal 3 2 2 2 5 2 6" xfId="20869" xr:uid="{00000000-0005-0000-0000-0000603C0000}"/>
    <cellStyle name="Normal 3 2 2 2 5 2 6 2" xfId="44185" xr:uid="{00000000-0005-0000-0000-0000613C0000}"/>
    <cellStyle name="Normal 3 2 2 2 5 2 7" xfId="27897" xr:uid="{00000000-0005-0000-0000-0000623C0000}"/>
    <cellStyle name="Normal 3 2 2 2 5 3" xfId="4406" xr:uid="{00000000-0005-0000-0000-0000633C0000}"/>
    <cellStyle name="Normal 3 2 2 2 5 3 2" xfId="4407" xr:uid="{00000000-0005-0000-0000-0000643C0000}"/>
    <cellStyle name="Normal 3 2 2 2 5 3 2 2" xfId="4408" xr:uid="{00000000-0005-0000-0000-0000653C0000}"/>
    <cellStyle name="Normal 3 2 2 2 5 3 2 2 2" xfId="4409" xr:uid="{00000000-0005-0000-0000-0000663C0000}"/>
    <cellStyle name="Normal 3 2 2 2 5 3 2 2 2 2" xfId="27908" xr:uid="{00000000-0005-0000-0000-0000673C0000}"/>
    <cellStyle name="Normal 3 2 2 2 5 3 2 2 3" xfId="27907" xr:uid="{00000000-0005-0000-0000-0000683C0000}"/>
    <cellStyle name="Normal 3 2 2 2 5 3 2 3" xfId="4410" xr:uid="{00000000-0005-0000-0000-0000693C0000}"/>
    <cellStyle name="Normal 3 2 2 2 5 3 2 3 2" xfId="27909" xr:uid="{00000000-0005-0000-0000-00006A3C0000}"/>
    <cellStyle name="Normal 3 2 2 2 5 3 2 4" xfId="27906" xr:uid="{00000000-0005-0000-0000-00006B3C0000}"/>
    <cellStyle name="Normal 3 2 2 2 5 3 3" xfId="4411" xr:uid="{00000000-0005-0000-0000-00006C3C0000}"/>
    <cellStyle name="Normal 3 2 2 2 5 3 3 2" xfId="4412" xr:uid="{00000000-0005-0000-0000-00006D3C0000}"/>
    <cellStyle name="Normal 3 2 2 2 5 3 3 2 2" xfId="27911" xr:uid="{00000000-0005-0000-0000-00006E3C0000}"/>
    <cellStyle name="Normal 3 2 2 2 5 3 3 3" xfId="27910" xr:uid="{00000000-0005-0000-0000-00006F3C0000}"/>
    <cellStyle name="Normal 3 2 2 2 5 3 4" xfId="4413" xr:uid="{00000000-0005-0000-0000-0000703C0000}"/>
    <cellStyle name="Normal 3 2 2 2 5 3 4 2" xfId="27912" xr:uid="{00000000-0005-0000-0000-0000713C0000}"/>
    <cellStyle name="Normal 3 2 2 2 5 3 5" xfId="27905" xr:uid="{00000000-0005-0000-0000-0000723C0000}"/>
    <cellStyle name="Normal 3 2 2 2 5 4" xfId="4414" xr:uid="{00000000-0005-0000-0000-0000733C0000}"/>
    <cellStyle name="Normal 3 2 2 2 5 4 2" xfId="4415" xr:uid="{00000000-0005-0000-0000-0000743C0000}"/>
    <cellStyle name="Normal 3 2 2 2 5 4 2 2" xfId="4416" xr:uid="{00000000-0005-0000-0000-0000753C0000}"/>
    <cellStyle name="Normal 3 2 2 2 5 4 2 2 2" xfId="27915" xr:uid="{00000000-0005-0000-0000-0000763C0000}"/>
    <cellStyle name="Normal 3 2 2 2 5 4 2 3" xfId="27914" xr:uid="{00000000-0005-0000-0000-0000773C0000}"/>
    <cellStyle name="Normal 3 2 2 2 5 4 3" xfId="4417" xr:uid="{00000000-0005-0000-0000-0000783C0000}"/>
    <cellStyle name="Normal 3 2 2 2 5 4 3 2" xfId="27916" xr:uid="{00000000-0005-0000-0000-0000793C0000}"/>
    <cellStyle name="Normal 3 2 2 2 5 4 4" xfId="27913" xr:uid="{00000000-0005-0000-0000-00007A3C0000}"/>
    <cellStyle name="Normal 3 2 2 2 5 5" xfId="4418" xr:uid="{00000000-0005-0000-0000-00007B3C0000}"/>
    <cellStyle name="Normal 3 2 2 2 5 5 2" xfId="4419" xr:uid="{00000000-0005-0000-0000-00007C3C0000}"/>
    <cellStyle name="Normal 3 2 2 2 5 5 2 2" xfId="27918" xr:uid="{00000000-0005-0000-0000-00007D3C0000}"/>
    <cellStyle name="Normal 3 2 2 2 5 5 3" xfId="27917" xr:uid="{00000000-0005-0000-0000-00007E3C0000}"/>
    <cellStyle name="Normal 3 2 2 2 5 6" xfId="4420" xr:uid="{00000000-0005-0000-0000-00007F3C0000}"/>
    <cellStyle name="Normal 3 2 2 2 5 6 2" xfId="27919" xr:uid="{00000000-0005-0000-0000-0000803C0000}"/>
    <cellStyle name="Normal 3 2 2 2 5 7" xfId="20870" xr:uid="{00000000-0005-0000-0000-0000813C0000}"/>
    <cellStyle name="Normal 3 2 2 2 5 7 2" xfId="44186" xr:uid="{00000000-0005-0000-0000-0000823C0000}"/>
    <cellStyle name="Normal 3 2 2 2 5 8" xfId="27896" xr:uid="{00000000-0005-0000-0000-0000833C0000}"/>
    <cellStyle name="Normal 3 2 2 2 6" xfId="4421" xr:uid="{00000000-0005-0000-0000-0000843C0000}"/>
    <cellStyle name="Normal 3 2 2 2 6 2" xfId="4422" xr:uid="{00000000-0005-0000-0000-0000853C0000}"/>
    <cellStyle name="Normal 3 2 2 2 6 2 2" xfId="4423" xr:uid="{00000000-0005-0000-0000-0000863C0000}"/>
    <cellStyle name="Normal 3 2 2 2 6 2 2 2" xfId="4424" xr:uid="{00000000-0005-0000-0000-0000873C0000}"/>
    <cellStyle name="Normal 3 2 2 2 6 2 2 2 2" xfId="4425" xr:uid="{00000000-0005-0000-0000-0000883C0000}"/>
    <cellStyle name="Normal 3 2 2 2 6 2 2 2 2 2" xfId="27924" xr:uid="{00000000-0005-0000-0000-0000893C0000}"/>
    <cellStyle name="Normal 3 2 2 2 6 2 2 2 3" xfId="27923" xr:uid="{00000000-0005-0000-0000-00008A3C0000}"/>
    <cellStyle name="Normal 3 2 2 2 6 2 2 3" xfId="4426" xr:uid="{00000000-0005-0000-0000-00008B3C0000}"/>
    <cellStyle name="Normal 3 2 2 2 6 2 2 3 2" xfId="27925" xr:uid="{00000000-0005-0000-0000-00008C3C0000}"/>
    <cellStyle name="Normal 3 2 2 2 6 2 2 4" xfId="27922" xr:uid="{00000000-0005-0000-0000-00008D3C0000}"/>
    <cellStyle name="Normal 3 2 2 2 6 2 3" xfId="4427" xr:uid="{00000000-0005-0000-0000-00008E3C0000}"/>
    <cellStyle name="Normal 3 2 2 2 6 2 3 2" xfId="4428" xr:uid="{00000000-0005-0000-0000-00008F3C0000}"/>
    <cellStyle name="Normal 3 2 2 2 6 2 3 2 2" xfId="27927" xr:uid="{00000000-0005-0000-0000-0000903C0000}"/>
    <cellStyle name="Normal 3 2 2 2 6 2 3 3" xfId="27926" xr:uid="{00000000-0005-0000-0000-0000913C0000}"/>
    <cellStyle name="Normal 3 2 2 2 6 2 4" xfId="4429" xr:uid="{00000000-0005-0000-0000-0000923C0000}"/>
    <cellStyle name="Normal 3 2 2 2 6 2 4 2" xfId="27928" xr:uid="{00000000-0005-0000-0000-0000933C0000}"/>
    <cellStyle name="Normal 3 2 2 2 6 2 5" xfId="27921" xr:uid="{00000000-0005-0000-0000-0000943C0000}"/>
    <cellStyle name="Normal 3 2 2 2 6 3" xfId="4430" xr:uid="{00000000-0005-0000-0000-0000953C0000}"/>
    <cellStyle name="Normal 3 2 2 2 6 3 2" xfId="4431" xr:uid="{00000000-0005-0000-0000-0000963C0000}"/>
    <cellStyle name="Normal 3 2 2 2 6 3 2 2" xfId="4432" xr:uid="{00000000-0005-0000-0000-0000973C0000}"/>
    <cellStyle name="Normal 3 2 2 2 6 3 2 2 2" xfId="4433" xr:uid="{00000000-0005-0000-0000-0000983C0000}"/>
    <cellStyle name="Normal 3 2 2 2 6 3 2 2 2 2" xfId="27932" xr:uid="{00000000-0005-0000-0000-0000993C0000}"/>
    <cellStyle name="Normal 3 2 2 2 6 3 2 2 3" xfId="27931" xr:uid="{00000000-0005-0000-0000-00009A3C0000}"/>
    <cellStyle name="Normal 3 2 2 2 6 3 2 3" xfId="4434" xr:uid="{00000000-0005-0000-0000-00009B3C0000}"/>
    <cellStyle name="Normal 3 2 2 2 6 3 2 3 2" xfId="27933" xr:uid="{00000000-0005-0000-0000-00009C3C0000}"/>
    <cellStyle name="Normal 3 2 2 2 6 3 2 4" xfId="27930" xr:uid="{00000000-0005-0000-0000-00009D3C0000}"/>
    <cellStyle name="Normal 3 2 2 2 6 3 3" xfId="4435" xr:uid="{00000000-0005-0000-0000-00009E3C0000}"/>
    <cellStyle name="Normal 3 2 2 2 6 3 3 2" xfId="4436" xr:uid="{00000000-0005-0000-0000-00009F3C0000}"/>
    <cellStyle name="Normal 3 2 2 2 6 3 3 2 2" xfId="27935" xr:uid="{00000000-0005-0000-0000-0000A03C0000}"/>
    <cellStyle name="Normal 3 2 2 2 6 3 3 3" xfId="27934" xr:uid="{00000000-0005-0000-0000-0000A13C0000}"/>
    <cellStyle name="Normal 3 2 2 2 6 3 4" xfId="4437" xr:uid="{00000000-0005-0000-0000-0000A23C0000}"/>
    <cellStyle name="Normal 3 2 2 2 6 3 4 2" xfId="27936" xr:uid="{00000000-0005-0000-0000-0000A33C0000}"/>
    <cellStyle name="Normal 3 2 2 2 6 3 5" xfId="27929" xr:uid="{00000000-0005-0000-0000-0000A43C0000}"/>
    <cellStyle name="Normal 3 2 2 2 6 4" xfId="4438" xr:uid="{00000000-0005-0000-0000-0000A53C0000}"/>
    <cellStyle name="Normal 3 2 2 2 6 4 2" xfId="4439" xr:uid="{00000000-0005-0000-0000-0000A63C0000}"/>
    <cellStyle name="Normal 3 2 2 2 6 4 2 2" xfId="4440" xr:uid="{00000000-0005-0000-0000-0000A73C0000}"/>
    <cellStyle name="Normal 3 2 2 2 6 4 2 2 2" xfId="27939" xr:uid="{00000000-0005-0000-0000-0000A83C0000}"/>
    <cellStyle name="Normal 3 2 2 2 6 4 2 3" xfId="27938" xr:uid="{00000000-0005-0000-0000-0000A93C0000}"/>
    <cellStyle name="Normal 3 2 2 2 6 4 3" xfId="4441" xr:uid="{00000000-0005-0000-0000-0000AA3C0000}"/>
    <cellStyle name="Normal 3 2 2 2 6 4 3 2" xfId="27940" xr:uid="{00000000-0005-0000-0000-0000AB3C0000}"/>
    <cellStyle name="Normal 3 2 2 2 6 4 4" xfId="27937" xr:uid="{00000000-0005-0000-0000-0000AC3C0000}"/>
    <cellStyle name="Normal 3 2 2 2 6 5" xfId="4442" xr:uid="{00000000-0005-0000-0000-0000AD3C0000}"/>
    <cellStyle name="Normal 3 2 2 2 6 5 2" xfId="4443" xr:uid="{00000000-0005-0000-0000-0000AE3C0000}"/>
    <cellStyle name="Normal 3 2 2 2 6 5 2 2" xfId="27942" xr:uid="{00000000-0005-0000-0000-0000AF3C0000}"/>
    <cellStyle name="Normal 3 2 2 2 6 5 3" xfId="27941" xr:uid="{00000000-0005-0000-0000-0000B03C0000}"/>
    <cellStyle name="Normal 3 2 2 2 6 6" xfId="4444" xr:uid="{00000000-0005-0000-0000-0000B13C0000}"/>
    <cellStyle name="Normal 3 2 2 2 6 6 2" xfId="27943" xr:uid="{00000000-0005-0000-0000-0000B23C0000}"/>
    <cellStyle name="Normal 3 2 2 2 6 7" xfId="27920" xr:uid="{00000000-0005-0000-0000-0000B33C0000}"/>
    <cellStyle name="Normal 3 2 2 2 7" xfId="4445" xr:uid="{00000000-0005-0000-0000-0000B43C0000}"/>
    <cellStyle name="Normal 3 2 2 2 7 2" xfId="4446" xr:uid="{00000000-0005-0000-0000-0000B53C0000}"/>
    <cellStyle name="Normal 3 2 2 2 7 2 2" xfId="4447" xr:uid="{00000000-0005-0000-0000-0000B63C0000}"/>
    <cellStyle name="Normal 3 2 2 2 7 2 2 2" xfId="4448" xr:uid="{00000000-0005-0000-0000-0000B73C0000}"/>
    <cellStyle name="Normal 3 2 2 2 7 2 2 2 2" xfId="4449" xr:uid="{00000000-0005-0000-0000-0000B83C0000}"/>
    <cellStyle name="Normal 3 2 2 2 7 2 2 2 2 2" xfId="27948" xr:uid="{00000000-0005-0000-0000-0000B93C0000}"/>
    <cellStyle name="Normal 3 2 2 2 7 2 2 2 3" xfId="27947" xr:uid="{00000000-0005-0000-0000-0000BA3C0000}"/>
    <cellStyle name="Normal 3 2 2 2 7 2 2 3" xfId="4450" xr:uid="{00000000-0005-0000-0000-0000BB3C0000}"/>
    <cellStyle name="Normal 3 2 2 2 7 2 2 3 2" xfId="27949" xr:uid="{00000000-0005-0000-0000-0000BC3C0000}"/>
    <cellStyle name="Normal 3 2 2 2 7 2 2 4" xfId="27946" xr:uid="{00000000-0005-0000-0000-0000BD3C0000}"/>
    <cellStyle name="Normal 3 2 2 2 7 2 3" xfId="4451" xr:uid="{00000000-0005-0000-0000-0000BE3C0000}"/>
    <cellStyle name="Normal 3 2 2 2 7 2 3 2" xfId="4452" xr:uid="{00000000-0005-0000-0000-0000BF3C0000}"/>
    <cellStyle name="Normal 3 2 2 2 7 2 3 2 2" xfId="27951" xr:uid="{00000000-0005-0000-0000-0000C03C0000}"/>
    <cellStyle name="Normal 3 2 2 2 7 2 3 3" xfId="27950" xr:uid="{00000000-0005-0000-0000-0000C13C0000}"/>
    <cellStyle name="Normal 3 2 2 2 7 2 4" xfId="4453" xr:uid="{00000000-0005-0000-0000-0000C23C0000}"/>
    <cellStyle name="Normal 3 2 2 2 7 2 4 2" xfId="27952" xr:uid="{00000000-0005-0000-0000-0000C33C0000}"/>
    <cellStyle name="Normal 3 2 2 2 7 2 5" xfId="27945" xr:uid="{00000000-0005-0000-0000-0000C43C0000}"/>
    <cellStyle name="Normal 3 2 2 2 7 3" xfId="4454" xr:uid="{00000000-0005-0000-0000-0000C53C0000}"/>
    <cellStyle name="Normal 3 2 2 2 7 3 2" xfId="4455" xr:uid="{00000000-0005-0000-0000-0000C63C0000}"/>
    <cellStyle name="Normal 3 2 2 2 7 3 2 2" xfId="4456" xr:uid="{00000000-0005-0000-0000-0000C73C0000}"/>
    <cellStyle name="Normal 3 2 2 2 7 3 2 2 2" xfId="4457" xr:uid="{00000000-0005-0000-0000-0000C83C0000}"/>
    <cellStyle name="Normal 3 2 2 2 7 3 2 2 2 2" xfId="27956" xr:uid="{00000000-0005-0000-0000-0000C93C0000}"/>
    <cellStyle name="Normal 3 2 2 2 7 3 2 2 3" xfId="27955" xr:uid="{00000000-0005-0000-0000-0000CA3C0000}"/>
    <cellStyle name="Normal 3 2 2 2 7 3 2 3" xfId="4458" xr:uid="{00000000-0005-0000-0000-0000CB3C0000}"/>
    <cellStyle name="Normal 3 2 2 2 7 3 2 3 2" xfId="27957" xr:uid="{00000000-0005-0000-0000-0000CC3C0000}"/>
    <cellStyle name="Normal 3 2 2 2 7 3 2 4" xfId="27954" xr:uid="{00000000-0005-0000-0000-0000CD3C0000}"/>
    <cellStyle name="Normal 3 2 2 2 7 3 3" xfId="4459" xr:uid="{00000000-0005-0000-0000-0000CE3C0000}"/>
    <cellStyle name="Normal 3 2 2 2 7 3 3 2" xfId="4460" xr:uid="{00000000-0005-0000-0000-0000CF3C0000}"/>
    <cellStyle name="Normal 3 2 2 2 7 3 3 2 2" xfId="27959" xr:uid="{00000000-0005-0000-0000-0000D03C0000}"/>
    <cellStyle name="Normal 3 2 2 2 7 3 3 3" xfId="27958" xr:uid="{00000000-0005-0000-0000-0000D13C0000}"/>
    <cellStyle name="Normal 3 2 2 2 7 3 4" xfId="4461" xr:uid="{00000000-0005-0000-0000-0000D23C0000}"/>
    <cellStyle name="Normal 3 2 2 2 7 3 4 2" xfId="27960" xr:uid="{00000000-0005-0000-0000-0000D33C0000}"/>
    <cellStyle name="Normal 3 2 2 2 7 3 5" xfId="27953" xr:uid="{00000000-0005-0000-0000-0000D43C0000}"/>
    <cellStyle name="Normal 3 2 2 2 7 4" xfId="4462" xr:uid="{00000000-0005-0000-0000-0000D53C0000}"/>
    <cellStyle name="Normal 3 2 2 2 7 4 2" xfId="4463" xr:uid="{00000000-0005-0000-0000-0000D63C0000}"/>
    <cellStyle name="Normal 3 2 2 2 7 4 2 2" xfId="4464" xr:uid="{00000000-0005-0000-0000-0000D73C0000}"/>
    <cellStyle name="Normal 3 2 2 2 7 4 2 2 2" xfId="27963" xr:uid="{00000000-0005-0000-0000-0000D83C0000}"/>
    <cellStyle name="Normal 3 2 2 2 7 4 2 3" xfId="27962" xr:uid="{00000000-0005-0000-0000-0000D93C0000}"/>
    <cellStyle name="Normal 3 2 2 2 7 4 3" xfId="4465" xr:uid="{00000000-0005-0000-0000-0000DA3C0000}"/>
    <cellStyle name="Normal 3 2 2 2 7 4 3 2" xfId="27964" xr:uid="{00000000-0005-0000-0000-0000DB3C0000}"/>
    <cellStyle name="Normal 3 2 2 2 7 4 4" xfId="27961" xr:uid="{00000000-0005-0000-0000-0000DC3C0000}"/>
    <cellStyle name="Normal 3 2 2 2 7 5" xfId="4466" xr:uid="{00000000-0005-0000-0000-0000DD3C0000}"/>
    <cellStyle name="Normal 3 2 2 2 7 5 2" xfId="4467" xr:uid="{00000000-0005-0000-0000-0000DE3C0000}"/>
    <cellStyle name="Normal 3 2 2 2 7 5 2 2" xfId="27966" xr:uid="{00000000-0005-0000-0000-0000DF3C0000}"/>
    <cellStyle name="Normal 3 2 2 2 7 5 3" xfId="27965" xr:uid="{00000000-0005-0000-0000-0000E03C0000}"/>
    <cellStyle name="Normal 3 2 2 2 7 6" xfId="4468" xr:uid="{00000000-0005-0000-0000-0000E13C0000}"/>
    <cellStyle name="Normal 3 2 2 2 7 6 2" xfId="27967" xr:uid="{00000000-0005-0000-0000-0000E23C0000}"/>
    <cellStyle name="Normal 3 2 2 2 7 7" xfId="27944" xr:uid="{00000000-0005-0000-0000-0000E33C0000}"/>
    <cellStyle name="Normal 3 2 2 2 8" xfId="4469" xr:uid="{00000000-0005-0000-0000-0000E43C0000}"/>
    <cellStyle name="Normal 3 2 2 2 8 2" xfId="4470" xr:uid="{00000000-0005-0000-0000-0000E53C0000}"/>
    <cellStyle name="Normal 3 2 2 2 8 2 2" xfId="4471" xr:uid="{00000000-0005-0000-0000-0000E63C0000}"/>
    <cellStyle name="Normal 3 2 2 2 8 2 2 2" xfId="4472" xr:uid="{00000000-0005-0000-0000-0000E73C0000}"/>
    <cellStyle name="Normal 3 2 2 2 8 2 2 2 2" xfId="4473" xr:uid="{00000000-0005-0000-0000-0000E83C0000}"/>
    <cellStyle name="Normal 3 2 2 2 8 2 2 2 2 2" xfId="27972" xr:uid="{00000000-0005-0000-0000-0000E93C0000}"/>
    <cellStyle name="Normal 3 2 2 2 8 2 2 2 3" xfId="27971" xr:uid="{00000000-0005-0000-0000-0000EA3C0000}"/>
    <cellStyle name="Normal 3 2 2 2 8 2 2 3" xfId="4474" xr:uid="{00000000-0005-0000-0000-0000EB3C0000}"/>
    <cellStyle name="Normal 3 2 2 2 8 2 2 3 2" xfId="27973" xr:uid="{00000000-0005-0000-0000-0000EC3C0000}"/>
    <cellStyle name="Normal 3 2 2 2 8 2 2 4" xfId="27970" xr:uid="{00000000-0005-0000-0000-0000ED3C0000}"/>
    <cellStyle name="Normal 3 2 2 2 8 2 3" xfId="4475" xr:uid="{00000000-0005-0000-0000-0000EE3C0000}"/>
    <cellStyle name="Normal 3 2 2 2 8 2 3 2" xfId="4476" xr:uid="{00000000-0005-0000-0000-0000EF3C0000}"/>
    <cellStyle name="Normal 3 2 2 2 8 2 3 2 2" xfId="27975" xr:uid="{00000000-0005-0000-0000-0000F03C0000}"/>
    <cellStyle name="Normal 3 2 2 2 8 2 3 3" xfId="27974" xr:uid="{00000000-0005-0000-0000-0000F13C0000}"/>
    <cellStyle name="Normal 3 2 2 2 8 2 4" xfId="4477" xr:uid="{00000000-0005-0000-0000-0000F23C0000}"/>
    <cellStyle name="Normal 3 2 2 2 8 2 4 2" xfId="27976" xr:uid="{00000000-0005-0000-0000-0000F33C0000}"/>
    <cellStyle name="Normal 3 2 2 2 8 2 5" xfId="27969" xr:uid="{00000000-0005-0000-0000-0000F43C0000}"/>
    <cellStyle name="Normal 3 2 2 2 8 3" xfId="4478" xr:uid="{00000000-0005-0000-0000-0000F53C0000}"/>
    <cellStyle name="Normal 3 2 2 2 8 3 2" xfId="4479" xr:uid="{00000000-0005-0000-0000-0000F63C0000}"/>
    <cellStyle name="Normal 3 2 2 2 8 3 2 2" xfId="4480" xr:uid="{00000000-0005-0000-0000-0000F73C0000}"/>
    <cellStyle name="Normal 3 2 2 2 8 3 2 2 2" xfId="4481" xr:uid="{00000000-0005-0000-0000-0000F83C0000}"/>
    <cellStyle name="Normal 3 2 2 2 8 3 2 2 2 2" xfId="27980" xr:uid="{00000000-0005-0000-0000-0000F93C0000}"/>
    <cellStyle name="Normal 3 2 2 2 8 3 2 2 3" xfId="27979" xr:uid="{00000000-0005-0000-0000-0000FA3C0000}"/>
    <cellStyle name="Normal 3 2 2 2 8 3 2 3" xfId="4482" xr:uid="{00000000-0005-0000-0000-0000FB3C0000}"/>
    <cellStyle name="Normal 3 2 2 2 8 3 2 3 2" xfId="27981" xr:uid="{00000000-0005-0000-0000-0000FC3C0000}"/>
    <cellStyle name="Normal 3 2 2 2 8 3 2 4" xfId="27978" xr:uid="{00000000-0005-0000-0000-0000FD3C0000}"/>
    <cellStyle name="Normal 3 2 2 2 8 3 3" xfId="4483" xr:uid="{00000000-0005-0000-0000-0000FE3C0000}"/>
    <cellStyle name="Normal 3 2 2 2 8 3 3 2" xfId="4484" xr:uid="{00000000-0005-0000-0000-0000FF3C0000}"/>
    <cellStyle name="Normal 3 2 2 2 8 3 3 2 2" xfId="27983" xr:uid="{00000000-0005-0000-0000-0000003D0000}"/>
    <cellStyle name="Normal 3 2 2 2 8 3 3 3" xfId="27982" xr:uid="{00000000-0005-0000-0000-0000013D0000}"/>
    <cellStyle name="Normal 3 2 2 2 8 3 4" xfId="4485" xr:uid="{00000000-0005-0000-0000-0000023D0000}"/>
    <cellStyle name="Normal 3 2 2 2 8 3 4 2" xfId="27984" xr:uid="{00000000-0005-0000-0000-0000033D0000}"/>
    <cellStyle name="Normal 3 2 2 2 8 3 5" xfId="27977" xr:uid="{00000000-0005-0000-0000-0000043D0000}"/>
    <cellStyle name="Normal 3 2 2 2 8 4" xfId="4486" xr:uid="{00000000-0005-0000-0000-0000053D0000}"/>
    <cellStyle name="Normal 3 2 2 2 8 4 2" xfId="4487" xr:uid="{00000000-0005-0000-0000-0000063D0000}"/>
    <cellStyle name="Normal 3 2 2 2 8 4 2 2" xfId="4488" xr:uid="{00000000-0005-0000-0000-0000073D0000}"/>
    <cellStyle name="Normal 3 2 2 2 8 4 2 2 2" xfId="27987" xr:uid="{00000000-0005-0000-0000-0000083D0000}"/>
    <cellStyle name="Normal 3 2 2 2 8 4 2 3" xfId="27986" xr:uid="{00000000-0005-0000-0000-0000093D0000}"/>
    <cellStyle name="Normal 3 2 2 2 8 4 3" xfId="4489" xr:uid="{00000000-0005-0000-0000-00000A3D0000}"/>
    <cellStyle name="Normal 3 2 2 2 8 4 3 2" xfId="27988" xr:uid="{00000000-0005-0000-0000-00000B3D0000}"/>
    <cellStyle name="Normal 3 2 2 2 8 4 4" xfId="27985" xr:uid="{00000000-0005-0000-0000-00000C3D0000}"/>
    <cellStyle name="Normal 3 2 2 2 8 5" xfId="4490" xr:uid="{00000000-0005-0000-0000-00000D3D0000}"/>
    <cellStyle name="Normal 3 2 2 2 8 5 2" xfId="4491" xr:uid="{00000000-0005-0000-0000-00000E3D0000}"/>
    <cellStyle name="Normal 3 2 2 2 8 5 2 2" xfId="27990" xr:uid="{00000000-0005-0000-0000-00000F3D0000}"/>
    <cellStyle name="Normal 3 2 2 2 8 5 3" xfId="27989" xr:uid="{00000000-0005-0000-0000-0000103D0000}"/>
    <cellStyle name="Normal 3 2 2 2 8 6" xfId="4492" xr:uid="{00000000-0005-0000-0000-0000113D0000}"/>
    <cellStyle name="Normal 3 2 2 2 8 6 2" xfId="27991" xr:uid="{00000000-0005-0000-0000-0000123D0000}"/>
    <cellStyle name="Normal 3 2 2 2 8 7" xfId="27968" xr:uid="{00000000-0005-0000-0000-0000133D0000}"/>
    <cellStyle name="Normal 3 2 2 2 9" xfId="4493" xr:uid="{00000000-0005-0000-0000-0000143D0000}"/>
    <cellStyle name="Normal 3 2 2 2 9 2" xfId="4494" xr:uid="{00000000-0005-0000-0000-0000153D0000}"/>
    <cellStyle name="Normal 3 2 2 2 9 2 2" xfId="4495" xr:uid="{00000000-0005-0000-0000-0000163D0000}"/>
    <cellStyle name="Normal 3 2 2 2 9 2 2 2" xfId="4496" xr:uid="{00000000-0005-0000-0000-0000173D0000}"/>
    <cellStyle name="Normal 3 2 2 2 9 2 2 2 2" xfId="27995" xr:uid="{00000000-0005-0000-0000-0000183D0000}"/>
    <cellStyle name="Normal 3 2 2 2 9 2 2 3" xfId="27994" xr:uid="{00000000-0005-0000-0000-0000193D0000}"/>
    <cellStyle name="Normal 3 2 2 2 9 2 3" xfId="4497" xr:uid="{00000000-0005-0000-0000-00001A3D0000}"/>
    <cellStyle name="Normal 3 2 2 2 9 2 3 2" xfId="27996" xr:uid="{00000000-0005-0000-0000-00001B3D0000}"/>
    <cellStyle name="Normal 3 2 2 2 9 2 4" xfId="27993" xr:uid="{00000000-0005-0000-0000-00001C3D0000}"/>
    <cellStyle name="Normal 3 2 2 2 9 3" xfId="4498" xr:uid="{00000000-0005-0000-0000-00001D3D0000}"/>
    <cellStyle name="Normal 3 2 2 2 9 3 2" xfId="4499" xr:uid="{00000000-0005-0000-0000-00001E3D0000}"/>
    <cellStyle name="Normal 3 2 2 2 9 3 2 2" xfId="27998" xr:uid="{00000000-0005-0000-0000-00001F3D0000}"/>
    <cellStyle name="Normal 3 2 2 2 9 3 3" xfId="27997" xr:uid="{00000000-0005-0000-0000-0000203D0000}"/>
    <cellStyle name="Normal 3 2 2 2 9 4" xfId="4500" xr:uid="{00000000-0005-0000-0000-0000213D0000}"/>
    <cellStyle name="Normal 3 2 2 2 9 4 2" xfId="27999" xr:uid="{00000000-0005-0000-0000-0000223D0000}"/>
    <cellStyle name="Normal 3 2 2 2 9 5" xfId="27992" xr:uid="{00000000-0005-0000-0000-0000233D0000}"/>
    <cellStyle name="Normal 3 2 2 3" xfId="107" xr:uid="{00000000-0005-0000-0000-0000243D0000}"/>
    <cellStyle name="Normal 3 2 2 3 10" xfId="4501" xr:uid="{00000000-0005-0000-0000-0000253D0000}"/>
    <cellStyle name="Normal 3 2 2 3 10 2" xfId="28000" xr:uid="{00000000-0005-0000-0000-0000263D0000}"/>
    <cellStyle name="Normal 3 2 2 3 11" xfId="23672" xr:uid="{00000000-0005-0000-0000-0000273D0000}"/>
    <cellStyle name="Normal 3 2 2 3 2" xfId="4502" xr:uid="{00000000-0005-0000-0000-0000283D0000}"/>
    <cellStyle name="Normal 3 2 2 3 2 2" xfId="4503" xr:uid="{00000000-0005-0000-0000-0000293D0000}"/>
    <cellStyle name="Normal 3 2 2 3 2 2 2" xfId="4504" xr:uid="{00000000-0005-0000-0000-00002A3D0000}"/>
    <cellStyle name="Normal 3 2 2 3 2 2 2 2" xfId="4505" xr:uid="{00000000-0005-0000-0000-00002B3D0000}"/>
    <cellStyle name="Normal 3 2 2 3 2 2 2 2 2" xfId="4506" xr:uid="{00000000-0005-0000-0000-00002C3D0000}"/>
    <cellStyle name="Normal 3 2 2 3 2 2 2 2 2 2" xfId="28005" xr:uid="{00000000-0005-0000-0000-00002D3D0000}"/>
    <cellStyle name="Normal 3 2 2 3 2 2 2 2 3" xfId="28004" xr:uid="{00000000-0005-0000-0000-00002E3D0000}"/>
    <cellStyle name="Normal 3 2 2 3 2 2 2 3" xfId="4507" xr:uid="{00000000-0005-0000-0000-00002F3D0000}"/>
    <cellStyle name="Normal 3 2 2 3 2 2 2 3 2" xfId="28006" xr:uid="{00000000-0005-0000-0000-0000303D0000}"/>
    <cellStyle name="Normal 3 2 2 3 2 2 2 4" xfId="28003" xr:uid="{00000000-0005-0000-0000-0000313D0000}"/>
    <cellStyle name="Normal 3 2 2 3 2 2 3" xfId="4508" xr:uid="{00000000-0005-0000-0000-0000323D0000}"/>
    <cellStyle name="Normal 3 2 2 3 2 2 3 2" xfId="4509" xr:uid="{00000000-0005-0000-0000-0000333D0000}"/>
    <cellStyle name="Normal 3 2 2 3 2 2 3 2 2" xfId="28008" xr:uid="{00000000-0005-0000-0000-0000343D0000}"/>
    <cellStyle name="Normal 3 2 2 3 2 2 3 3" xfId="28007" xr:uid="{00000000-0005-0000-0000-0000353D0000}"/>
    <cellStyle name="Normal 3 2 2 3 2 2 4" xfId="4510" xr:uid="{00000000-0005-0000-0000-0000363D0000}"/>
    <cellStyle name="Normal 3 2 2 3 2 2 4 2" xfId="28009" xr:uid="{00000000-0005-0000-0000-0000373D0000}"/>
    <cellStyle name="Normal 3 2 2 3 2 2 5" xfId="20871" xr:uid="{00000000-0005-0000-0000-0000383D0000}"/>
    <cellStyle name="Normal 3 2 2 3 2 2 5 2" xfId="44187" xr:uid="{00000000-0005-0000-0000-0000393D0000}"/>
    <cellStyle name="Normal 3 2 2 3 2 2 6" xfId="20872" xr:uid="{00000000-0005-0000-0000-00003A3D0000}"/>
    <cellStyle name="Normal 3 2 2 3 2 2 6 2" xfId="44188" xr:uid="{00000000-0005-0000-0000-00003B3D0000}"/>
    <cellStyle name="Normal 3 2 2 3 2 2 7" xfId="28002" xr:uid="{00000000-0005-0000-0000-00003C3D0000}"/>
    <cellStyle name="Normal 3 2 2 3 2 3" xfId="4511" xr:uid="{00000000-0005-0000-0000-00003D3D0000}"/>
    <cellStyle name="Normal 3 2 2 3 2 3 2" xfId="4512" xr:uid="{00000000-0005-0000-0000-00003E3D0000}"/>
    <cellStyle name="Normal 3 2 2 3 2 3 2 2" xfId="4513" xr:uid="{00000000-0005-0000-0000-00003F3D0000}"/>
    <cellStyle name="Normal 3 2 2 3 2 3 2 2 2" xfId="4514" xr:uid="{00000000-0005-0000-0000-0000403D0000}"/>
    <cellStyle name="Normal 3 2 2 3 2 3 2 2 2 2" xfId="28013" xr:uid="{00000000-0005-0000-0000-0000413D0000}"/>
    <cellStyle name="Normal 3 2 2 3 2 3 2 2 3" xfId="28012" xr:uid="{00000000-0005-0000-0000-0000423D0000}"/>
    <cellStyle name="Normal 3 2 2 3 2 3 2 3" xfId="4515" xr:uid="{00000000-0005-0000-0000-0000433D0000}"/>
    <cellStyle name="Normal 3 2 2 3 2 3 2 3 2" xfId="28014" xr:uid="{00000000-0005-0000-0000-0000443D0000}"/>
    <cellStyle name="Normal 3 2 2 3 2 3 2 4" xfId="28011" xr:uid="{00000000-0005-0000-0000-0000453D0000}"/>
    <cellStyle name="Normal 3 2 2 3 2 3 3" xfId="4516" xr:uid="{00000000-0005-0000-0000-0000463D0000}"/>
    <cellStyle name="Normal 3 2 2 3 2 3 3 2" xfId="4517" xr:uid="{00000000-0005-0000-0000-0000473D0000}"/>
    <cellStyle name="Normal 3 2 2 3 2 3 3 2 2" xfId="28016" xr:uid="{00000000-0005-0000-0000-0000483D0000}"/>
    <cellStyle name="Normal 3 2 2 3 2 3 3 3" xfId="28015" xr:uid="{00000000-0005-0000-0000-0000493D0000}"/>
    <cellStyle name="Normal 3 2 2 3 2 3 4" xfId="4518" xr:uid="{00000000-0005-0000-0000-00004A3D0000}"/>
    <cellStyle name="Normal 3 2 2 3 2 3 4 2" xfId="28017" xr:uid="{00000000-0005-0000-0000-00004B3D0000}"/>
    <cellStyle name="Normal 3 2 2 3 2 3 5" xfId="28010" xr:uid="{00000000-0005-0000-0000-00004C3D0000}"/>
    <cellStyle name="Normal 3 2 2 3 2 4" xfId="4519" xr:uid="{00000000-0005-0000-0000-00004D3D0000}"/>
    <cellStyle name="Normal 3 2 2 3 2 4 2" xfId="4520" xr:uid="{00000000-0005-0000-0000-00004E3D0000}"/>
    <cellStyle name="Normal 3 2 2 3 2 4 2 2" xfId="4521" xr:uid="{00000000-0005-0000-0000-00004F3D0000}"/>
    <cellStyle name="Normal 3 2 2 3 2 4 2 2 2" xfId="28020" xr:uid="{00000000-0005-0000-0000-0000503D0000}"/>
    <cellStyle name="Normal 3 2 2 3 2 4 2 3" xfId="28019" xr:uid="{00000000-0005-0000-0000-0000513D0000}"/>
    <cellStyle name="Normal 3 2 2 3 2 4 3" xfId="4522" xr:uid="{00000000-0005-0000-0000-0000523D0000}"/>
    <cellStyle name="Normal 3 2 2 3 2 4 3 2" xfId="28021" xr:uid="{00000000-0005-0000-0000-0000533D0000}"/>
    <cellStyle name="Normal 3 2 2 3 2 4 4" xfId="28018" xr:uid="{00000000-0005-0000-0000-0000543D0000}"/>
    <cellStyle name="Normal 3 2 2 3 2 5" xfId="4523" xr:uid="{00000000-0005-0000-0000-0000553D0000}"/>
    <cellStyle name="Normal 3 2 2 3 2 5 2" xfId="4524" xr:uid="{00000000-0005-0000-0000-0000563D0000}"/>
    <cellStyle name="Normal 3 2 2 3 2 5 2 2" xfId="28023" xr:uid="{00000000-0005-0000-0000-0000573D0000}"/>
    <cellStyle name="Normal 3 2 2 3 2 5 3" xfId="28022" xr:uid="{00000000-0005-0000-0000-0000583D0000}"/>
    <cellStyle name="Normal 3 2 2 3 2 6" xfId="4525" xr:uid="{00000000-0005-0000-0000-0000593D0000}"/>
    <cellStyle name="Normal 3 2 2 3 2 6 2" xfId="28024" xr:uid="{00000000-0005-0000-0000-00005A3D0000}"/>
    <cellStyle name="Normal 3 2 2 3 2 7" xfId="20873" xr:uid="{00000000-0005-0000-0000-00005B3D0000}"/>
    <cellStyle name="Normal 3 2 2 3 2 7 2" xfId="44189" xr:uid="{00000000-0005-0000-0000-00005C3D0000}"/>
    <cellStyle name="Normal 3 2 2 3 2 8" xfId="28001" xr:uid="{00000000-0005-0000-0000-00005D3D0000}"/>
    <cellStyle name="Normal 3 2 2 3 3" xfId="4526" xr:uid="{00000000-0005-0000-0000-00005E3D0000}"/>
    <cellStyle name="Normal 3 2 2 3 3 2" xfId="4527" xr:uid="{00000000-0005-0000-0000-00005F3D0000}"/>
    <cellStyle name="Normal 3 2 2 3 3 2 2" xfId="4528" xr:uid="{00000000-0005-0000-0000-0000603D0000}"/>
    <cellStyle name="Normal 3 2 2 3 3 2 2 2" xfId="4529" xr:uid="{00000000-0005-0000-0000-0000613D0000}"/>
    <cellStyle name="Normal 3 2 2 3 3 2 2 2 2" xfId="4530" xr:uid="{00000000-0005-0000-0000-0000623D0000}"/>
    <cellStyle name="Normal 3 2 2 3 3 2 2 2 2 2" xfId="28029" xr:uid="{00000000-0005-0000-0000-0000633D0000}"/>
    <cellStyle name="Normal 3 2 2 3 3 2 2 2 3" xfId="28028" xr:uid="{00000000-0005-0000-0000-0000643D0000}"/>
    <cellStyle name="Normal 3 2 2 3 3 2 2 3" xfId="4531" xr:uid="{00000000-0005-0000-0000-0000653D0000}"/>
    <cellStyle name="Normal 3 2 2 3 3 2 2 3 2" xfId="28030" xr:uid="{00000000-0005-0000-0000-0000663D0000}"/>
    <cellStyle name="Normal 3 2 2 3 3 2 2 4" xfId="28027" xr:uid="{00000000-0005-0000-0000-0000673D0000}"/>
    <cellStyle name="Normal 3 2 2 3 3 2 3" xfId="4532" xr:uid="{00000000-0005-0000-0000-0000683D0000}"/>
    <cellStyle name="Normal 3 2 2 3 3 2 3 2" xfId="4533" xr:uid="{00000000-0005-0000-0000-0000693D0000}"/>
    <cellStyle name="Normal 3 2 2 3 3 2 3 2 2" xfId="28032" xr:uid="{00000000-0005-0000-0000-00006A3D0000}"/>
    <cellStyle name="Normal 3 2 2 3 3 2 3 3" xfId="28031" xr:uid="{00000000-0005-0000-0000-00006B3D0000}"/>
    <cellStyle name="Normal 3 2 2 3 3 2 4" xfId="4534" xr:uid="{00000000-0005-0000-0000-00006C3D0000}"/>
    <cellStyle name="Normal 3 2 2 3 3 2 4 2" xfId="28033" xr:uid="{00000000-0005-0000-0000-00006D3D0000}"/>
    <cellStyle name="Normal 3 2 2 3 3 2 5" xfId="20874" xr:uid="{00000000-0005-0000-0000-00006E3D0000}"/>
    <cellStyle name="Normal 3 2 2 3 3 2 5 2" xfId="44190" xr:uid="{00000000-0005-0000-0000-00006F3D0000}"/>
    <cellStyle name="Normal 3 2 2 3 3 2 6" xfId="20875" xr:uid="{00000000-0005-0000-0000-0000703D0000}"/>
    <cellStyle name="Normal 3 2 2 3 3 2 6 2" xfId="44191" xr:uid="{00000000-0005-0000-0000-0000713D0000}"/>
    <cellStyle name="Normal 3 2 2 3 3 2 7" xfId="28026" xr:uid="{00000000-0005-0000-0000-0000723D0000}"/>
    <cellStyle name="Normal 3 2 2 3 3 3" xfId="4535" xr:uid="{00000000-0005-0000-0000-0000733D0000}"/>
    <cellStyle name="Normal 3 2 2 3 3 3 2" xfId="4536" xr:uid="{00000000-0005-0000-0000-0000743D0000}"/>
    <cellStyle name="Normal 3 2 2 3 3 3 2 2" xfId="4537" xr:uid="{00000000-0005-0000-0000-0000753D0000}"/>
    <cellStyle name="Normal 3 2 2 3 3 3 2 2 2" xfId="4538" xr:uid="{00000000-0005-0000-0000-0000763D0000}"/>
    <cellStyle name="Normal 3 2 2 3 3 3 2 2 2 2" xfId="28037" xr:uid="{00000000-0005-0000-0000-0000773D0000}"/>
    <cellStyle name="Normal 3 2 2 3 3 3 2 2 3" xfId="28036" xr:uid="{00000000-0005-0000-0000-0000783D0000}"/>
    <cellStyle name="Normal 3 2 2 3 3 3 2 3" xfId="4539" xr:uid="{00000000-0005-0000-0000-0000793D0000}"/>
    <cellStyle name="Normal 3 2 2 3 3 3 2 3 2" xfId="28038" xr:uid="{00000000-0005-0000-0000-00007A3D0000}"/>
    <cellStyle name="Normal 3 2 2 3 3 3 2 4" xfId="28035" xr:uid="{00000000-0005-0000-0000-00007B3D0000}"/>
    <cellStyle name="Normal 3 2 2 3 3 3 3" xfId="4540" xr:uid="{00000000-0005-0000-0000-00007C3D0000}"/>
    <cellStyle name="Normal 3 2 2 3 3 3 3 2" xfId="4541" xr:uid="{00000000-0005-0000-0000-00007D3D0000}"/>
    <cellStyle name="Normal 3 2 2 3 3 3 3 2 2" xfId="28040" xr:uid="{00000000-0005-0000-0000-00007E3D0000}"/>
    <cellStyle name="Normal 3 2 2 3 3 3 3 3" xfId="28039" xr:uid="{00000000-0005-0000-0000-00007F3D0000}"/>
    <cellStyle name="Normal 3 2 2 3 3 3 4" xfId="4542" xr:uid="{00000000-0005-0000-0000-0000803D0000}"/>
    <cellStyle name="Normal 3 2 2 3 3 3 4 2" xfId="28041" xr:uid="{00000000-0005-0000-0000-0000813D0000}"/>
    <cellStyle name="Normal 3 2 2 3 3 3 5" xfId="28034" xr:uid="{00000000-0005-0000-0000-0000823D0000}"/>
    <cellStyle name="Normal 3 2 2 3 3 4" xfId="4543" xr:uid="{00000000-0005-0000-0000-0000833D0000}"/>
    <cellStyle name="Normal 3 2 2 3 3 4 2" xfId="4544" xr:uid="{00000000-0005-0000-0000-0000843D0000}"/>
    <cellStyle name="Normal 3 2 2 3 3 4 2 2" xfId="4545" xr:uid="{00000000-0005-0000-0000-0000853D0000}"/>
    <cellStyle name="Normal 3 2 2 3 3 4 2 2 2" xfId="28044" xr:uid="{00000000-0005-0000-0000-0000863D0000}"/>
    <cellStyle name="Normal 3 2 2 3 3 4 2 3" xfId="28043" xr:uid="{00000000-0005-0000-0000-0000873D0000}"/>
    <cellStyle name="Normal 3 2 2 3 3 4 3" xfId="4546" xr:uid="{00000000-0005-0000-0000-0000883D0000}"/>
    <cellStyle name="Normal 3 2 2 3 3 4 3 2" xfId="28045" xr:uid="{00000000-0005-0000-0000-0000893D0000}"/>
    <cellStyle name="Normal 3 2 2 3 3 4 4" xfId="28042" xr:uid="{00000000-0005-0000-0000-00008A3D0000}"/>
    <cellStyle name="Normal 3 2 2 3 3 5" xfId="4547" xr:uid="{00000000-0005-0000-0000-00008B3D0000}"/>
    <cellStyle name="Normal 3 2 2 3 3 5 2" xfId="4548" xr:uid="{00000000-0005-0000-0000-00008C3D0000}"/>
    <cellStyle name="Normal 3 2 2 3 3 5 2 2" xfId="28047" xr:uid="{00000000-0005-0000-0000-00008D3D0000}"/>
    <cellStyle name="Normal 3 2 2 3 3 5 3" xfId="28046" xr:uid="{00000000-0005-0000-0000-00008E3D0000}"/>
    <cellStyle name="Normal 3 2 2 3 3 6" xfId="4549" xr:uid="{00000000-0005-0000-0000-00008F3D0000}"/>
    <cellStyle name="Normal 3 2 2 3 3 6 2" xfId="28048" xr:uid="{00000000-0005-0000-0000-0000903D0000}"/>
    <cellStyle name="Normal 3 2 2 3 3 7" xfId="20876" xr:uid="{00000000-0005-0000-0000-0000913D0000}"/>
    <cellStyle name="Normal 3 2 2 3 3 7 2" xfId="44192" xr:uid="{00000000-0005-0000-0000-0000923D0000}"/>
    <cellStyle name="Normal 3 2 2 3 3 8" xfId="28025" xr:uid="{00000000-0005-0000-0000-0000933D0000}"/>
    <cellStyle name="Normal 3 2 2 3 4" xfId="4550" xr:uid="{00000000-0005-0000-0000-0000943D0000}"/>
    <cellStyle name="Normal 3 2 2 3 4 2" xfId="4551" xr:uid="{00000000-0005-0000-0000-0000953D0000}"/>
    <cellStyle name="Normal 3 2 2 3 4 2 2" xfId="4552" xr:uid="{00000000-0005-0000-0000-0000963D0000}"/>
    <cellStyle name="Normal 3 2 2 3 4 2 2 2" xfId="4553" xr:uid="{00000000-0005-0000-0000-0000973D0000}"/>
    <cellStyle name="Normal 3 2 2 3 4 2 2 2 2" xfId="4554" xr:uid="{00000000-0005-0000-0000-0000983D0000}"/>
    <cellStyle name="Normal 3 2 2 3 4 2 2 2 2 2" xfId="28053" xr:uid="{00000000-0005-0000-0000-0000993D0000}"/>
    <cellStyle name="Normal 3 2 2 3 4 2 2 2 3" xfId="28052" xr:uid="{00000000-0005-0000-0000-00009A3D0000}"/>
    <cellStyle name="Normal 3 2 2 3 4 2 2 3" xfId="4555" xr:uid="{00000000-0005-0000-0000-00009B3D0000}"/>
    <cellStyle name="Normal 3 2 2 3 4 2 2 3 2" xfId="28054" xr:uid="{00000000-0005-0000-0000-00009C3D0000}"/>
    <cellStyle name="Normal 3 2 2 3 4 2 2 4" xfId="28051" xr:uid="{00000000-0005-0000-0000-00009D3D0000}"/>
    <cellStyle name="Normal 3 2 2 3 4 2 3" xfId="4556" xr:uid="{00000000-0005-0000-0000-00009E3D0000}"/>
    <cellStyle name="Normal 3 2 2 3 4 2 3 2" xfId="4557" xr:uid="{00000000-0005-0000-0000-00009F3D0000}"/>
    <cellStyle name="Normal 3 2 2 3 4 2 3 2 2" xfId="28056" xr:uid="{00000000-0005-0000-0000-0000A03D0000}"/>
    <cellStyle name="Normal 3 2 2 3 4 2 3 3" xfId="28055" xr:uid="{00000000-0005-0000-0000-0000A13D0000}"/>
    <cellStyle name="Normal 3 2 2 3 4 2 4" xfId="4558" xr:uid="{00000000-0005-0000-0000-0000A23D0000}"/>
    <cellStyle name="Normal 3 2 2 3 4 2 4 2" xfId="28057" xr:uid="{00000000-0005-0000-0000-0000A33D0000}"/>
    <cellStyle name="Normal 3 2 2 3 4 2 5" xfId="28050" xr:uid="{00000000-0005-0000-0000-0000A43D0000}"/>
    <cellStyle name="Normal 3 2 2 3 4 3" xfId="4559" xr:uid="{00000000-0005-0000-0000-0000A53D0000}"/>
    <cellStyle name="Normal 3 2 2 3 4 3 2" xfId="4560" xr:uid="{00000000-0005-0000-0000-0000A63D0000}"/>
    <cellStyle name="Normal 3 2 2 3 4 3 2 2" xfId="4561" xr:uid="{00000000-0005-0000-0000-0000A73D0000}"/>
    <cellStyle name="Normal 3 2 2 3 4 3 2 2 2" xfId="4562" xr:uid="{00000000-0005-0000-0000-0000A83D0000}"/>
    <cellStyle name="Normal 3 2 2 3 4 3 2 2 2 2" xfId="28061" xr:uid="{00000000-0005-0000-0000-0000A93D0000}"/>
    <cellStyle name="Normal 3 2 2 3 4 3 2 2 3" xfId="28060" xr:uid="{00000000-0005-0000-0000-0000AA3D0000}"/>
    <cellStyle name="Normal 3 2 2 3 4 3 2 3" xfId="4563" xr:uid="{00000000-0005-0000-0000-0000AB3D0000}"/>
    <cellStyle name="Normal 3 2 2 3 4 3 2 3 2" xfId="28062" xr:uid="{00000000-0005-0000-0000-0000AC3D0000}"/>
    <cellStyle name="Normal 3 2 2 3 4 3 2 4" xfId="28059" xr:uid="{00000000-0005-0000-0000-0000AD3D0000}"/>
    <cellStyle name="Normal 3 2 2 3 4 3 3" xfId="4564" xr:uid="{00000000-0005-0000-0000-0000AE3D0000}"/>
    <cellStyle name="Normal 3 2 2 3 4 3 3 2" xfId="4565" xr:uid="{00000000-0005-0000-0000-0000AF3D0000}"/>
    <cellStyle name="Normal 3 2 2 3 4 3 3 2 2" xfId="28064" xr:uid="{00000000-0005-0000-0000-0000B03D0000}"/>
    <cellStyle name="Normal 3 2 2 3 4 3 3 3" xfId="28063" xr:uid="{00000000-0005-0000-0000-0000B13D0000}"/>
    <cellStyle name="Normal 3 2 2 3 4 3 4" xfId="4566" xr:uid="{00000000-0005-0000-0000-0000B23D0000}"/>
    <cellStyle name="Normal 3 2 2 3 4 3 4 2" xfId="28065" xr:uid="{00000000-0005-0000-0000-0000B33D0000}"/>
    <cellStyle name="Normal 3 2 2 3 4 3 5" xfId="28058" xr:uid="{00000000-0005-0000-0000-0000B43D0000}"/>
    <cellStyle name="Normal 3 2 2 3 4 4" xfId="4567" xr:uid="{00000000-0005-0000-0000-0000B53D0000}"/>
    <cellStyle name="Normal 3 2 2 3 4 4 2" xfId="4568" xr:uid="{00000000-0005-0000-0000-0000B63D0000}"/>
    <cellStyle name="Normal 3 2 2 3 4 4 2 2" xfId="4569" xr:uid="{00000000-0005-0000-0000-0000B73D0000}"/>
    <cellStyle name="Normal 3 2 2 3 4 4 2 2 2" xfId="28068" xr:uid="{00000000-0005-0000-0000-0000B83D0000}"/>
    <cellStyle name="Normal 3 2 2 3 4 4 2 3" xfId="28067" xr:uid="{00000000-0005-0000-0000-0000B93D0000}"/>
    <cellStyle name="Normal 3 2 2 3 4 4 3" xfId="4570" xr:uid="{00000000-0005-0000-0000-0000BA3D0000}"/>
    <cellStyle name="Normal 3 2 2 3 4 4 3 2" xfId="28069" xr:uid="{00000000-0005-0000-0000-0000BB3D0000}"/>
    <cellStyle name="Normal 3 2 2 3 4 4 4" xfId="28066" xr:uid="{00000000-0005-0000-0000-0000BC3D0000}"/>
    <cellStyle name="Normal 3 2 2 3 4 5" xfId="4571" xr:uid="{00000000-0005-0000-0000-0000BD3D0000}"/>
    <cellStyle name="Normal 3 2 2 3 4 5 2" xfId="4572" xr:uid="{00000000-0005-0000-0000-0000BE3D0000}"/>
    <cellStyle name="Normal 3 2 2 3 4 5 2 2" xfId="28071" xr:uid="{00000000-0005-0000-0000-0000BF3D0000}"/>
    <cellStyle name="Normal 3 2 2 3 4 5 3" xfId="28070" xr:uid="{00000000-0005-0000-0000-0000C03D0000}"/>
    <cellStyle name="Normal 3 2 2 3 4 6" xfId="4573" xr:uid="{00000000-0005-0000-0000-0000C13D0000}"/>
    <cellStyle name="Normal 3 2 2 3 4 6 2" xfId="28072" xr:uid="{00000000-0005-0000-0000-0000C23D0000}"/>
    <cellStyle name="Normal 3 2 2 3 4 7" xfId="28049" xr:uid="{00000000-0005-0000-0000-0000C33D0000}"/>
    <cellStyle name="Normal 3 2 2 3 5" xfId="4574" xr:uid="{00000000-0005-0000-0000-0000C43D0000}"/>
    <cellStyle name="Normal 3 2 2 3 5 2" xfId="4575" xr:uid="{00000000-0005-0000-0000-0000C53D0000}"/>
    <cellStyle name="Normal 3 2 2 3 5 2 2" xfId="4576" xr:uid="{00000000-0005-0000-0000-0000C63D0000}"/>
    <cellStyle name="Normal 3 2 2 3 5 2 2 2" xfId="4577" xr:uid="{00000000-0005-0000-0000-0000C73D0000}"/>
    <cellStyle name="Normal 3 2 2 3 5 2 2 2 2" xfId="4578" xr:uid="{00000000-0005-0000-0000-0000C83D0000}"/>
    <cellStyle name="Normal 3 2 2 3 5 2 2 2 2 2" xfId="28077" xr:uid="{00000000-0005-0000-0000-0000C93D0000}"/>
    <cellStyle name="Normal 3 2 2 3 5 2 2 2 3" xfId="28076" xr:uid="{00000000-0005-0000-0000-0000CA3D0000}"/>
    <cellStyle name="Normal 3 2 2 3 5 2 2 3" xfId="4579" xr:uid="{00000000-0005-0000-0000-0000CB3D0000}"/>
    <cellStyle name="Normal 3 2 2 3 5 2 2 3 2" xfId="28078" xr:uid="{00000000-0005-0000-0000-0000CC3D0000}"/>
    <cellStyle name="Normal 3 2 2 3 5 2 2 4" xfId="28075" xr:uid="{00000000-0005-0000-0000-0000CD3D0000}"/>
    <cellStyle name="Normal 3 2 2 3 5 2 3" xfId="4580" xr:uid="{00000000-0005-0000-0000-0000CE3D0000}"/>
    <cellStyle name="Normal 3 2 2 3 5 2 3 2" xfId="4581" xr:uid="{00000000-0005-0000-0000-0000CF3D0000}"/>
    <cellStyle name="Normal 3 2 2 3 5 2 3 2 2" xfId="28080" xr:uid="{00000000-0005-0000-0000-0000D03D0000}"/>
    <cellStyle name="Normal 3 2 2 3 5 2 3 3" xfId="28079" xr:uid="{00000000-0005-0000-0000-0000D13D0000}"/>
    <cellStyle name="Normal 3 2 2 3 5 2 4" xfId="4582" xr:uid="{00000000-0005-0000-0000-0000D23D0000}"/>
    <cellStyle name="Normal 3 2 2 3 5 2 4 2" xfId="28081" xr:uid="{00000000-0005-0000-0000-0000D33D0000}"/>
    <cellStyle name="Normal 3 2 2 3 5 2 5" xfId="28074" xr:uid="{00000000-0005-0000-0000-0000D43D0000}"/>
    <cellStyle name="Normal 3 2 2 3 5 3" xfId="4583" xr:uid="{00000000-0005-0000-0000-0000D53D0000}"/>
    <cellStyle name="Normal 3 2 2 3 5 3 2" xfId="4584" xr:uid="{00000000-0005-0000-0000-0000D63D0000}"/>
    <cellStyle name="Normal 3 2 2 3 5 3 2 2" xfId="4585" xr:uid="{00000000-0005-0000-0000-0000D73D0000}"/>
    <cellStyle name="Normal 3 2 2 3 5 3 2 2 2" xfId="4586" xr:uid="{00000000-0005-0000-0000-0000D83D0000}"/>
    <cellStyle name="Normal 3 2 2 3 5 3 2 2 2 2" xfId="28085" xr:uid="{00000000-0005-0000-0000-0000D93D0000}"/>
    <cellStyle name="Normal 3 2 2 3 5 3 2 2 3" xfId="28084" xr:uid="{00000000-0005-0000-0000-0000DA3D0000}"/>
    <cellStyle name="Normal 3 2 2 3 5 3 2 3" xfId="4587" xr:uid="{00000000-0005-0000-0000-0000DB3D0000}"/>
    <cellStyle name="Normal 3 2 2 3 5 3 2 3 2" xfId="28086" xr:uid="{00000000-0005-0000-0000-0000DC3D0000}"/>
    <cellStyle name="Normal 3 2 2 3 5 3 2 4" xfId="28083" xr:uid="{00000000-0005-0000-0000-0000DD3D0000}"/>
    <cellStyle name="Normal 3 2 2 3 5 3 3" xfId="4588" xr:uid="{00000000-0005-0000-0000-0000DE3D0000}"/>
    <cellStyle name="Normal 3 2 2 3 5 3 3 2" xfId="4589" xr:uid="{00000000-0005-0000-0000-0000DF3D0000}"/>
    <cellStyle name="Normal 3 2 2 3 5 3 3 2 2" xfId="28088" xr:uid="{00000000-0005-0000-0000-0000E03D0000}"/>
    <cellStyle name="Normal 3 2 2 3 5 3 3 3" xfId="28087" xr:uid="{00000000-0005-0000-0000-0000E13D0000}"/>
    <cellStyle name="Normal 3 2 2 3 5 3 4" xfId="4590" xr:uid="{00000000-0005-0000-0000-0000E23D0000}"/>
    <cellStyle name="Normal 3 2 2 3 5 3 4 2" xfId="28089" xr:uid="{00000000-0005-0000-0000-0000E33D0000}"/>
    <cellStyle name="Normal 3 2 2 3 5 3 5" xfId="28082" xr:uid="{00000000-0005-0000-0000-0000E43D0000}"/>
    <cellStyle name="Normal 3 2 2 3 5 4" xfId="4591" xr:uid="{00000000-0005-0000-0000-0000E53D0000}"/>
    <cellStyle name="Normal 3 2 2 3 5 4 2" xfId="4592" xr:uid="{00000000-0005-0000-0000-0000E63D0000}"/>
    <cellStyle name="Normal 3 2 2 3 5 4 2 2" xfId="4593" xr:uid="{00000000-0005-0000-0000-0000E73D0000}"/>
    <cellStyle name="Normal 3 2 2 3 5 4 2 2 2" xfId="28092" xr:uid="{00000000-0005-0000-0000-0000E83D0000}"/>
    <cellStyle name="Normal 3 2 2 3 5 4 2 3" xfId="28091" xr:uid="{00000000-0005-0000-0000-0000E93D0000}"/>
    <cellStyle name="Normal 3 2 2 3 5 4 3" xfId="4594" xr:uid="{00000000-0005-0000-0000-0000EA3D0000}"/>
    <cellStyle name="Normal 3 2 2 3 5 4 3 2" xfId="28093" xr:uid="{00000000-0005-0000-0000-0000EB3D0000}"/>
    <cellStyle name="Normal 3 2 2 3 5 4 4" xfId="28090" xr:uid="{00000000-0005-0000-0000-0000EC3D0000}"/>
    <cellStyle name="Normal 3 2 2 3 5 5" xfId="4595" xr:uid="{00000000-0005-0000-0000-0000ED3D0000}"/>
    <cellStyle name="Normal 3 2 2 3 5 5 2" xfId="4596" xr:uid="{00000000-0005-0000-0000-0000EE3D0000}"/>
    <cellStyle name="Normal 3 2 2 3 5 5 2 2" xfId="28095" xr:uid="{00000000-0005-0000-0000-0000EF3D0000}"/>
    <cellStyle name="Normal 3 2 2 3 5 5 3" xfId="28094" xr:uid="{00000000-0005-0000-0000-0000F03D0000}"/>
    <cellStyle name="Normal 3 2 2 3 5 6" xfId="4597" xr:uid="{00000000-0005-0000-0000-0000F13D0000}"/>
    <cellStyle name="Normal 3 2 2 3 5 6 2" xfId="28096" xr:uid="{00000000-0005-0000-0000-0000F23D0000}"/>
    <cellStyle name="Normal 3 2 2 3 5 7" xfId="28073" xr:uid="{00000000-0005-0000-0000-0000F33D0000}"/>
    <cellStyle name="Normal 3 2 2 3 6" xfId="4598" xr:uid="{00000000-0005-0000-0000-0000F43D0000}"/>
    <cellStyle name="Normal 3 2 2 3 6 2" xfId="4599" xr:uid="{00000000-0005-0000-0000-0000F53D0000}"/>
    <cellStyle name="Normal 3 2 2 3 6 2 2" xfId="4600" xr:uid="{00000000-0005-0000-0000-0000F63D0000}"/>
    <cellStyle name="Normal 3 2 2 3 6 2 2 2" xfId="4601" xr:uid="{00000000-0005-0000-0000-0000F73D0000}"/>
    <cellStyle name="Normal 3 2 2 3 6 2 2 2 2" xfId="28100" xr:uid="{00000000-0005-0000-0000-0000F83D0000}"/>
    <cellStyle name="Normal 3 2 2 3 6 2 2 3" xfId="28099" xr:uid="{00000000-0005-0000-0000-0000F93D0000}"/>
    <cellStyle name="Normal 3 2 2 3 6 2 3" xfId="4602" xr:uid="{00000000-0005-0000-0000-0000FA3D0000}"/>
    <cellStyle name="Normal 3 2 2 3 6 2 3 2" xfId="28101" xr:uid="{00000000-0005-0000-0000-0000FB3D0000}"/>
    <cellStyle name="Normal 3 2 2 3 6 2 4" xfId="28098" xr:uid="{00000000-0005-0000-0000-0000FC3D0000}"/>
    <cellStyle name="Normal 3 2 2 3 6 3" xfId="4603" xr:uid="{00000000-0005-0000-0000-0000FD3D0000}"/>
    <cellStyle name="Normal 3 2 2 3 6 3 2" xfId="4604" xr:uid="{00000000-0005-0000-0000-0000FE3D0000}"/>
    <cellStyle name="Normal 3 2 2 3 6 3 2 2" xfId="28103" xr:uid="{00000000-0005-0000-0000-0000FF3D0000}"/>
    <cellStyle name="Normal 3 2 2 3 6 3 3" xfId="28102" xr:uid="{00000000-0005-0000-0000-0000003E0000}"/>
    <cellStyle name="Normal 3 2 2 3 6 4" xfId="4605" xr:uid="{00000000-0005-0000-0000-0000013E0000}"/>
    <cellStyle name="Normal 3 2 2 3 6 4 2" xfId="28104" xr:uid="{00000000-0005-0000-0000-0000023E0000}"/>
    <cellStyle name="Normal 3 2 2 3 6 5" xfId="28097" xr:uid="{00000000-0005-0000-0000-0000033E0000}"/>
    <cellStyle name="Normal 3 2 2 3 7" xfId="4606" xr:uid="{00000000-0005-0000-0000-0000043E0000}"/>
    <cellStyle name="Normal 3 2 2 3 7 2" xfId="4607" xr:uid="{00000000-0005-0000-0000-0000053E0000}"/>
    <cellStyle name="Normal 3 2 2 3 7 2 2" xfId="4608" xr:uid="{00000000-0005-0000-0000-0000063E0000}"/>
    <cellStyle name="Normal 3 2 2 3 7 2 2 2" xfId="4609" xr:uid="{00000000-0005-0000-0000-0000073E0000}"/>
    <cellStyle name="Normal 3 2 2 3 7 2 2 2 2" xfId="28108" xr:uid="{00000000-0005-0000-0000-0000083E0000}"/>
    <cellStyle name="Normal 3 2 2 3 7 2 2 3" xfId="28107" xr:uid="{00000000-0005-0000-0000-0000093E0000}"/>
    <cellStyle name="Normal 3 2 2 3 7 2 3" xfId="4610" xr:uid="{00000000-0005-0000-0000-00000A3E0000}"/>
    <cellStyle name="Normal 3 2 2 3 7 2 3 2" xfId="28109" xr:uid="{00000000-0005-0000-0000-00000B3E0000}"/>
    <cellStyle name="Normal 3 2 2 3 7 2 4" xfId="28106" xr:uid="{00000000-0005-0000-0000-00000C3E0000}"/>
    <cellStyle name="Normal 3 2 2 3 7 3" xfId="4611" xr:uid="{00000000-0005-0000-0000-00000D3E0000}"/>
    <cellStyle name="Normal 3 2 2 3 7 3 2" xfId="4612" xr:uid="{00000000-0005-0000-0000-00000E3E0000}"/>
    <cellStyle name="Normal 3 2 2 3 7 3 2 2" xfId="28111" xr:uid="{00000000-0005-0000-0000-00000F3E0000}"/>
    <cellStyle name="Normal 3 2 2 3 7 3 3" xfId="28110" xr:uid="{00000000-0005-0000-0000-0000103E0000}"/>
    <cellStyle name="Normal 3 2 2 3 7 4" xfId="4613" xr:uid="{00000000-0005-0000-0000-0000113E0000}"/>
    <cellStyle name="Normal 3 2 2 3 7 4 2" xfId="28112" xr:uid="{00000000-0005-0000-0000-0000123E0000}"/>
    <cellStyle name="Normal 3 2 2 3 7 5" xfId="28105" xr:uid="{00000000-0005-0000-0000-0000133E0000}"/>
    <cellStyle name="Normal 3 2 2 3 8" xfId="4614" xr:uid="{00000000-0005-0000-0000-0000143E0000}"/>
    <cellStyle name="Normal 3 2 2 3 8 2" xfId="4615" xr:uid="{00000000-0005-0000-0000-0000153E0000}"/>
    <cellStyle name="Normal 3 2 2 3 8 2 2" xfId="4616" xr:uid="{00000000-0005-0000-0000-0000163E0000}"/>
    <cellStyle name="Normal 3 2 2 3 8 2 2 2" xfId="28115" xr:uid="{00000000-0005-0000-0000-0000173E0000}"/>
    <cellStyle name="Normal 3 2 2 3 8 2 3" xfId="28114" xr:uid="{00000000-0005-0000-0000-0000183E0000}"/>
    <cellStyle name="Normal 3 2 2 3 8 3" xfId="4617" xr:uid="{00000000-0005-0000-0000-0000193E0000}"/>
    <cellStyle name="Normal 3 2 2 3 8 3 2" xfId="28116" xr:uid="{00000000-0005-0000-0000-00001A3E0000}"/>
    <cellStyle name="Normal 3 2 2 3 8 4" xfId="28113" xr:uid="{00000000-0005-0000-0000-00001B3E0000}"/>
    <cellStyle name="Normal 3 2 2 3 9" xfId="4618" xr:uid="{00000000-0005-0000-0000-00001C3E0000}"/>
    <cellStyle name="Normal 3 2 2 3 9 2" xfId="4619" xr:uid="{00000000-0005-0000-0000-00001D3E0000}"/>
    <cellStyle name="Normal 3 2 2 3 9 2 2" xfId="28118" xr:uid="{00000000-0005-0000-0000-00001E3E0000}"/>
    <cellStyle name="Normal 3 2 2 3 9 3" xfId="28117" xr:uid="{00000000-0005-0000-0000-00001F3E0000}"/>
    <cellStyle name="Normal 3 2 2 4" xfId="4620" xr:uid="{00000000-0005-0000-0000-0000203E0000}"/>
    <cellStyle name="Normal 3 2 2 4 10" xfId="28119" xr:uid="{00000000-0005-0000-0000-0000213E0000}"/>
    <cellStyle name="Normal 3 2 2 4 2" xfId="4621" xr:uid="{00000000-0005-0000-0000-0000223E0000}"/>
    <cellStyle name="Normal 3 2 2 4 2 2" xfId="4622" xr:uid="{00000000-0005-0000-0000-0000233E0000}"/>
    <cellStyle name="Normal 3 2 2 4 2 2 2" xfId="4623" xr:uid="{00000000-0005-0000-0000-0000243E0000}"/>
    <cellStyle name="Normal 3 2 2 4 2 2 2 2" xfId="4624" xr:uid="{00000000-0005-0000-0000-0000253E0000}"/>
    <cellStyle name="Normal 3 2 2 4 2 2 2 2 2" xfId="4625" xr:uid="{00000000-0005-0000-0000-0000263E0000}"/>
    <cellStyle name="Normal 3 2 2 4 2 2 2 2 2 2" xfId="28124" xr:uid="{00000000-0005-0000-0000-0000273E0000}"/>
    <cellStyle name="Normal 3 2 2 4 2 2 2 2 3" xfId="28123" xr:uid="{00000000-0005-0000-0000-0000283E0000}"/>
    <cellStyle name="Normal 3 2 2 4 2 2 2 3" xfId="4626" xr:uid="{00000000-0005-0000-0000-0000293E0000}"/>
    <cellStyle name="Normal 3 2 2 4 2 2 2 3 2" xfId="28125" xr:uid="{00000000-0005-0000-0000-00002A3E0000}"/>
    <cellStyle name="Normal 3 2 2 4 2 2 2 4" xfId="28122" xr:uid="{00000000-0005-0000-0000-00002B3E0000}"/>
    <cellStyle name="Normal 3 2 2 4 2 2 3" xfId="4627" xr:uid="{00000000-0005-0000-0000-00002C3E0000}"/>
    <cellStyle name="Normal 3 2 2 4 2 2 3 2" xfId="4628" xr:uid="{00000000-0005-0000-0000-00002D3E0000}"/>
    <cellStyle name="Normal 3 2 2 4 2 2 3 2 2" xfId="28127" xr:uid="{00000000-0005-0000-0000-00002E3E0000}"/>
    <cellStyle name="Normal 3 2 2 4 2 2 3 3" xfId="28126" xr:uid="{00000000-0005-0000-0000-00002F3E0000}"/>
    <cellStyle name="Normal 3 2 2 4 2 2 4" xfId="4629" xr:uid="{00000000-0005-0000-0000-0000303E0000}"/>
    <cellStyle name="Normal 3 2 2 4 2 2 4 2" xfId="28128" xr:uid="{00000000-0005-0000-0000-0000313E0000}"/>
    <cellStyle name="Normal 3 2 2 4 2 2 5" xfId="20877" xr:uid="{00000000-0005-0000-0000-0000323E0000}"/>
    <cellStyle name="Normal 3 2 2 4 2 2 5 2" xfId="44193" xr:uid="{00000000-0005-0000-0000-0000333E0000}"/>
    <cellStyle name="Normal 3 2 2 4 2 2 6" xfId="20878" xr:uid="{00000000-0005-0000-0000-0000343E0000}"/>
    <cellStyle name="Normal 3 2 2 4 2 2 6 2" xfId="44194" xr:uid="{00000000-0005-0000-0000-0000353E0000}"/>
    <cellStyle name="Normal 3 2 2 4 2 2 7" xfId="28121" xr:uid="{00000000-0005-0000-0000-0000363E0000}"/>
    <cellStyle name="Normal 3 2 2 4 2 3" xfId="4630" xr:uid="{00000000-0005-0000-0000-0000373E0000}"/>
    <cellStyle name="Normal 3 2 2 4 2 3 2" xfId="4631" xr:uid="{00000000-0005-0000-0000-0000383E0000}"/>
    <cellStyle name="Normal 3 2 2 4 2 3 2 2" xfId="4632" xr:uid="{00000000-0005-0000-0000-0000393E0000}"/>
    <cellStyle name="Normal 3 2 2 4 2 3 2 2 2" xfId="4633" xr:uid="{00000000-0005-0000-0000-00003A3E0000}"/>
    <cellStyle name="Normal 3 2 2 4 2 3 2 2 2 2" xfId="28132" xr:uid="{00000000-0005-0000-0000-00003B3E0000}"/>
    <cellStyle name="Normal 3 2 2 4 2 3 2 2 3" xfId="28131" xr:uid="{00000000-0005-0000-0000-00003C3E0000}"/>
    <cellStyle name="Normal 3 2 2 4 2 3 2 3" xfId="4634" xr:uid="{00000000-0005-0000-0000-00003D3E0000}"/>
    <cellStyle name="Normal 3 2 2 4 2 3 2 3 2" xfId="28133" xr:uid="{00000000-0005-0000-0000-00003E3E0000}"/>
    <cellStyle name="Normal 3 2 2 4 2 3 2 4" xfId="28130" xr:uid="{00000000-0005-0000-0000-00003F3E0000}"/>
    <cellStyle name="Normal 3 2 2 4 2 3 3" xfId="4635" xr:uid="{00000000-0005-0000-0000-0000403E0000}"/>
    <cellStyle name="Normal 3 2 2 4 2 3 3 2" xfId="4636" xr:uid="{00000000-0005-0000-0000-0000413E0000}"/>
    <cellStyle name="Normal 3 2 2 4 2 3 3 2 2" xfId="28135" xr:uid="{00000000-0005-0000-0000-0000423E0000}"/>
    <cellStyle name="Normal 3 2 2 4 2 3 3 3" xfId="28134" xr:uid="{00000000-0005-0000-0000-0000433E0000}"/>
    <cellStyle name="Normal 3 2 2 4 2 3 4" xfId="4637" xr:uid="{00000000-0005-0000-0000-0000443E0000}"/>
    <cellStyle name="Normal 3 2 2 4 2 3 4 2" xfId="28136" xr:uid="{00000000-0005-0000-0000-0000453E0000}"/>
    <cellStyle name="Normal 3 2 2 4 2 3 5" xfId="28129" xr:uid="{00000000-0005-0000-0000-0000463E0000}"/>
    <cellStyle name="Normal 3 2 2 4 2 4" xfId="4638" xr:uid="{00000000-0005-0000-0000-0000473E0000}"/>
    <cellStyle name="Normal 3 2 2 4 2 4 2" xfId="4639" xr:uid="{00000000-0005-0000-0000-0000483E0000}"/>
    <cellStyle name="Normal 3 2 2 4 2 4 2 2" xfId="4640" xr:uid="{00000000-0005-0000-0000-0000493E0000}"/>
    <cellStyle name="Normal 3 2 2 4 2 4 2 2 2" xfId="28139" xr:uid="{00000000-0005-0000-0000-00004A3E0000}"/>
    <cellStyle name="Normal 3 2 2 4 2 4 2 3" xfId="28138" xr:uid="{00000000-0005-0000-0000-00004B3E0000}"/>
    <cellStyle name="Normal 3 2 2 4 2 4 3" xfId="4641" xr:uid="{00000000-0005-0000-0000-00004C3E0000}"/>
    <cellStyle name="Normal 3 2 2 4 2 4 3 2" xfId="28140" xr:uid="{00000000-0005-0000-0000-00004D3E0000}"/>
    <cellStyle name="Normal 3 2 2 4 2 4 4" xfId="28137" xr:uid="{00000000-0005-0000-0000-00004E3E0000}"/>
    <cellStyle name="Normal 3 2 2 4 2 5" xfId="4642" xr:uid="{00000000-0005-0000-0000-00004F3E0000}"/>
    <cellStyle name="Normal 3 2 2 4 2 5 2" xfId="4643" xr:uid="{00000000-0005-0000-0000-0000503E0000}"/>
    <cellStyle name="Normal 3 2 2 4 2 5 2 2" xfId="28142" xr:uid="{00000000-0005-0000-0000-0000513E0000}"/>
    <cellStyle name="Normal 3 2 2 4 2 5 3" xfId="28141" xr:uid="{00000000-0005-0000-0000-0000523E0000}"/>
    <cellStyle name="Normal 3 2 2 4 2 6" xfId="4644" xr:uid="{00000000-0005-0000-0000-0000533E0000}"/>
    <cellStyle name="Normal 3 2 2 4 2 6 2" xfId="28143" xr:uid="{00000000-0005-0000-0000-0000543E0000}"/>
    <cellStyle name="Normal 3 2 2 4 2 7" xfId="20879" xr:uid="{00000000-0005-0000-0000-0000553E0000}"/>
    <cellStyle name="Normal 3 2 2 4 2 7 2" xfId="44195" xr:uid="{00000000-0005-0000-0000-0000563E0000}"/>
    <cellStyle name="Normal 3 2 2 4 2 8" xfId="28120" xr:uid="{00000000-0005-0000-0000-0000573E0000}"/>
    <cellStyle name="Normal 3 2 2 4 3" xfId="4645" xr:uid="{00000000-0005-0000-0000-0000583E0000}"/>
    <cellStyle name="Normal 3 2 2 4 3 2" xfId="4646" xr:uid="{00000000-0005-0000-0000-0000593E0000}"/>
    <cellStyle name="Normal 3 2 2 4 3 2 2" xfId="4647" xr:uid="{00000000-0005-0000-0000-00005A3E0000}"/>
    <cellStyle name="Normal 3 2 2 4 3 2 2 2" xfId="4648" xr:uid="{00000000-0005-0000-0000-00005B3E0000}"/>
    <cellStyle name="Normal 3 2 2 4 3 2 2 2 2" xfId="4649" xr:uid="{00000000-0005-0000-0000-00005C3E0000}"/>
    <cellStyle name="Normal 3 2 2 4 3 2 2 2 2 2" xfId="28148" xr:uid="{00000000-0005-0000-0000-00005D3E0000}"/>
    <cellStyle name="Normal 3 2 2 4 3 2 2 2 3" xfId="28147" xr:uid="{00000000-0005-0000-0000-00005E3E0000}"/>
    <cellStyle name="Normal 3 2 2 4 3 2 2 3" xfId="4650" xr:uid="{00000000-0005-0000-0000-00005F3E0000}"/>
    <cellStyle name="Normal 3 2 2 4 3 2 2 3 2" xfId="28149" xr:uid="{00000000-0005-0000-0000-0000603E0000}"/>
    <cellStyle name="Normal 3 2 2 4 3 2 2 4" xfId="28146" xr:uid="{00000000-0005-0000-0000-0000613E0000}"/>
    <cellStyle name="Normal 3 2 2 4 3 2 3" xfId="4651" xr:uid="{00000000-0005-0000-0000-0000623E0000}"/>
    <cellStyle name="Normal 3 2 2 4 3 2 3 2" xfId="4652" xr:uid="{00000000-0005-0000-0000-0000633E0000}"/>
    <cellStyle name="Normal 3 2 2 4 3 2 3 2 2" xfId="28151" xr:uid="{00000000-0005-0000-0000-0000643E0000}"/>
    <cellStyle name="Normal 3 2 2 4 3 2 3 3" xfId="28150" xr:uid="{00000000-0005-0000-0000-0000653E0000}"/>
    <cellStyle name="Normal 3 2 2 4 3 2 4" xfId="4653" xr:uid="{00000000-0005-0000-0000-0000663E0000}"/>
    <cellStyle name="Normal 3 2 2 4 3 2 4 2" xfId="28152" xr:uid="{00000000-0005-0000-0000-0000673E0000}"/>
    <cellStyle name="Normal 3 2 2 4 3 2 5" xfId="20880" xr:uid="{00000000-0005-0000-0000-0000683E0000}"/>
    <cellStyle name="Normal 3 2 2 4 3 2 5 2" xfId="44196" xr:uid="{00000000-0005-0000-0000-0000693E0000}"/>
    <cellStyle name="Normal 3 2 2 4 3 2 6" xfId="20881" xr:uid="{00000000-0005-0000-0000-00006A3E0000}"/>
    <cellStyle name="Normal 3 2 2 4 3 2 6 2" xfId="44197" xr:uid="{00000000-0005-0000-0000-00006B3E0000}"/>
    <cellStyle name="Normal 3 2 2 4 3 2 7" xfId="28145" xr:uid="{00000000-0005-0000-0000-00006C3E0000}"/>
    <cellStyle name="Normal 3 2 2 4 3 3" xfId="4654" xr:uid="{00000000-0005-0000-0000-00006D3E0000}"/>
    <cellStyle name="Normal 3 2 2 4 3 3 2" xfId="4655" xr:uid="{00000000-0005-0000-0000-00006E3E0000}"/>
    <cellStyle name="Normal 3 2 2 4 3 3 2 2" xfId="4656" xr:uid="{00000000-0005-0000-0000-00006F3E0000}"/>
    <cellStyle name="Normal 3 2 2 4 3 3 2 2 2" xfId="4657" xr:uid="{00000000-0005-0000-0000-0000703E0000}"/>
    <cellStyle name="Normal 3 2 2 4 3 3 2 2 2 2" xfId="28156" xr:uid="{00000000-0005-0000-0000-0000713E0000}"/>
    <cellStyle name="Normal 3 2 2 4 3 3 2 2 3" xfId="28155" xr:uid="{00000000-0005-0000-0000-0000723E0000}"/>
    <cellStyle name="Normal 3 2 2 4 3 3 2 3" xfId="4658" xr:uid="{00000000-0005-0000-0000-0000733E0000}"/>
    <cellStyle name="Normal 3 2 2 4 3 3 2 3 2" xfId="28157" xr:uid="{00000000-0005-0000-0000-0000743E0000}"/>
    <cellStyle name="Normal 3 2 2 4 3 3 2 4" xfId="28154" xr:uid="{00000000-0005-0000-0000-0000753E0000}"/>
    <cellStyle name="Normal 3 2 2 4 3 3 3" xfId="4659" xr:uid="{00000000-0005-0000-0000-0000763E0000}"/>
    <cellStyle name="Normal 3 2 2 4 3 3 3 2" xfId="4660" xr:uid="{00000000-0005-0000-0000-0000773E0000}"/>
    <cellStyle name="Normal 3 2 2 4 3 3 3 2 2" xfId="28159" xr:uid="{00000000-0005-0000-0000-0000783E0000}"/>
    <cellStyle name="Normal 3 2 2 4 3 3 3 3" xfId="28158" xr:uid="{00000000-0005-0000-0000-0000793E0000}"/>
    <cellStyle name="Normal 3 2 2 4 3 3 4" xfId="4661" xr:uid="{00000000-0005-0000-0000-00007A3E0000}"/>
    <cellStyle name="Normal 3 2 2 4 3 3 4 2" xfId="28160" xr:uid="{00000000-0005-0000-0000-00007B3E0000}"/>
    <cellStyle name="Normal 3 2 2 4 3 3 5" xfId="28153" xr:uid="{00000000-0005-0000-0000-00007C3E0000}"/>
    <cellStyle name="Normal 3 2 2 4 3 4" xfId="4662" xr:uid="{00000000-0005-0000-0000-00007D3E0000}"/>
    <cellStyle name="Normal 3 2 2 4 3 4 2" xfId="4663" xr:uid="{00000000-0005-0000-0000-00007E3E0000}"/>
    <cellStyle name="Normal 3 2 2 4 3 4 2 2" xfId="4664" xr:uid="{00000000-0005-0000-0000-00007F3E0000}"/>
    <cellStyle name="Normal 3 2 2 4 3 4 2 2 2" xfId="28163" xr:uid="{00000000-0005-0000-0000-0000803E0000}"/>
    <cellStyle name="Normal 3 2 2 4 3 4 2 3" xfId="28162" xr:uid="{00000000-0005-0000-0000-0000813E0000}"/>
    <cellStyle name="Normal 3 2 2 4 3 4 3" xfId="4665" xr:uid="{00000000-0005-0000-0000-0000823E0000}"/>
    <cellStyle name="Normal 3 2 2 4 3 4 3 2" xfId="28164" xr:uid="{00000000-0005-0000-0000-0000833E0000}"/>
    <cellStyle name="Normal 3 2 2 4 3 4 4" xfId="28161" xr:uid="{00000000-0005-0000-0000-0000843E0000}"/>
    <cellStyle name="Normal 3 2 2 4 3 5" xfId="4666" xr:uid="{00000000-0005-0000-0000-0000853E0000}"/>
    <cellStyle name="Normal 3 2 2 4 3 5 2" xfId="4667" xr:uid="{00000000-0005-0000-0000-0000863E0000}"/>
    <cellStyle name="Normal 3 2 2 4 3 5 2 2" xfId="28166" xr:uid="{00000000-0005-0000-0000-0000873E0000}"/>
    <cellStyle name="Normal 3 2 2 4 3 5 3" xfId="28165" xr:uid="{00000000-0005-0000-0000-0000883E0000}"/>
    <cellStyle name="Normal 3 2 2 4 3 6" xfId="4668" xr:uid="{00000000-0005-0000-0000-0000893E0000}"/>
    <cellStyle name="Normal 3 2 2 4 3 6 2" xfId="28167" xr:uid="{00000000-0005-0000-0000-00008A3E0000}"/>
    <cellStyle name="Normal 3 2 2 4 3 7" xfId="20882" xr:uid="{00000000-0005-0000-0000-00008B3E0000}"/>
    <cellStyle name="Normal 3 2 2 4 3 7 2" xfId="44198" xr:uid="{00000000-0005-0000-0000-00008C3E0000}"/>
    <cellStyle name="Normal 3 2 2 4 3 8" xfId="28144" xr:uid="{00000000-0005-0000-0000-00008D3E0000}"/>
    <cellStyle name="Normal 3 2 2 4 4" xfId="4669" xr:uid="{00000000-0005-0000-0000-00008E3E0000}"/>
    <cellStyle name="Normal 3 2 2 4 4 2" xfId="4670" xr:uid="{00000000-0005-0000-0000-00008F3E0000}"/>
    <cellStyle name="Normal 3 2 2 4 4 2 2" xfId="4671" xr:uid="{00000000-0005-0000-0000-0000903E0000}"/>
    <cellStyle name="Normal 3 2 2 4 4 2 2 2" xfId="4672" xr:uid="{00000000-0005-0000-0000-0000913E0000}"/>
    <cellStyle name="Normal 3 2 2 4 4 2 2 2 2" xfId="4673" xr:uid="{00000000-0005-0000-0000-0000923E0000}"/>
    <cellStyle name="Normal 3 2 2 4 4 2 2 2 2 2" xfId="28172" xr:uid="{00000000-0005-0000-0000-0000933E0000}"/>
    <cellStyle name="Normal 3 2 2 4 4 2 2 2 3" xfId="28171" xr:uid="{00000000-0005-0000-0000-0000943E0000}"/>
    <cellStyle name="Normal 3 2 2 4 4 2 2 3" xfId="4674" xr:uid="{00000000-0005-0000-0000-0000953E0000}"/>
    <cellStyle name="Normal 3 2 2 4 4 2 2 3 2" xfId="28173" xr:uid="{00000000-0005-0000-0000-0000963E0000}"/>
    <cellStyle name="Normal 3 2 2 4 4 2 2 4" xfId="28170" xr:uid="{00000000-0005-0000-0000-0000973E0000}"/>
    <cellStyle name="Normal 3 2 2 4 4 2 3" xfId="4675" xr:uid="{00000000-0005-0000-0000-0000983E0000}"/>
    <cellStyle name="Normal 3 2 2 4 4 2 3 2" xfId="4676" xr:uid="{00000000-0005-0000-0000-0000993E0000}"/>
    <cellStyle name="Normal 3 2 2 4 4 2 3 2 2" xfId="28175" xr:uid="{00000000-0005-0000-0000-00009A3E0000}"/>
    <cellStyle name="Normal 3 2 2 4 4 2 3 3" xfId="28174" xr:uid="{00000000-0005-0000-0000-00009B3E0000}"/>
    <cellStyle name="Normal 3 2 2 4 4 2 4" xfId="4677" xr:uid="{00000000-0005-0000-0000-00009C3E0000}"/>
    <cellStyle name="Normal 3 2 2 4 4 2 4 2" xfId="28176" xr:uid="{00000000-0005-0000-0000-00009D3E0000}"/>
    <cellStyle name="Normal 3 2 2 4 4 2 5" xfId="28169" xr:uid="{00000000-0005-0000-0000-00009E3E0000}"/>
    <cellStyle name="Normal 3 2 2 4 4 3" xfId="4678" xr:uid="{00000000-0005-0000-0000-00009F3E0000}"/>
    <cellStyle name="Normal 3 2 2 4 4 3 2" xfId="4679" xr:uid="{00000000-0005-0000-0000-0000A03E0000}"/>
    <cellStyle name="Normal 3 2 2 4 4 3 2 2" xfId="4680" xr:uid="{00000000-0005-0000-0000-0000A13E0000}"/>
    <cellStyle name="Normal 3 2 2 4 4 3 2 2 2" xfId="4681" xr:uid="{00000000-0005-0000-0000-0000A23E0000}"/>
    <cellStyle name="Normal 3 2 2 4 4 3 2 2 2 2" xfId="28180" xr:uid="{00000000-0005-0000-0000-0000A33E0000}"/>
    <cellStyle name="Normal 3 2 2 4 4 3 2 2 3" xfId="28179" xr:uid="{00000000-0005-0000-0000-0000A43E0000}"/>
    <cellStyle name="Normal 3 2 2 4 4 3 2 3" xfId="4682" xr:uid="{00000000-0005-0000-0000-0000A53E0000}"/>
    <cellStyle name="Normal 3 2 2 4 4 3 2 3 2" xfId="28181" xr:uid="{00000000-0005-0000-0000-0000A63E0000}"/>
    <cellStyle name="Normal 3 2 2 4 4 3 2 4" xfId="28178" xr:uid="{00000000-0005-0000-0000-0000A73E0000}"/>
    <cellStyle name="Normal 3 2 2 4 4 3 3" xfId="4683" xr:uid="{00000000-0005-0000-0000-0000A83E0000}"/>
    <cellStyle name="Normal 3 2 2 4 4 3 3 2" xfId="4684" xr:uid="{00000000-0005-0000-0000-0000A93E0000}"/>
    <cellStyle name="Normal 3 2 2 4 4 3 3 2 2" xfId="28183" xr:uid="{00000000-0005-0000-0000-0000AA3E0000}"/>
    <cellStyle name="Normal 3 2 2 4 4 3 3 3" xfId="28182" xr:uid="{00000000-0005-0000-0000-0000AB3E0000}"/>
    <cellStyle name="Normal 3 2 2 4 4 3 4" xfId="4685" xr:uid="{00000000-0005-0000-0000-0000AC3E0000}"/>
    <cellStyle name="Normal 3 2 2 4 4 3 4 2" xfId="28184" xr:uid="{00000000-0005-0000-0000-0000AD3E0000}"/>
    <cellStyle name="Normal 3 2 2 4 4 3 5" xfId="28177" xr:uid="{00000000-0005-0000-0000-0000AE3E0000}"/>
    <cellStyle name="Normal 3 2 2 4 4 4" xfId="4686" xr:uid="{00000000-0005-0000-0000-0000AF3E0000}"/>
    <cellStyle name="Normal 3 2 2 4 4 4 2" xfId="4687" xr:uid="{00000000-0005-0000-0000-0000B03E0000}"/>
    <cellStyle name="Normal 3 2 2 4 4 4 2 2" xfId="4688" xr:uid="{00000000-0005-0000-0000-0000B13E0000}"/>
    <cellStyle name="Normal 3 2 2 4 4 4 2 2 2" xfId="28187" xr:uid="{00000000-0005-0000-0000-0000B23E0000}"/>
    <cellStyle name="Normal 3 2 2 4 4 4 2 3" xfId="28186" xr:uid="{00000000-0005-0000-0000-0000B33E0000}"/>
    <cellStyle name="Normal 3 2 2 4 4 4 3" xfId="4689" xr:uid="{00000000-0005-0000-0000-0000B43E0000}"/>
    <cellStyle name="Normal 3 2 2 4 4 4 3 2" xfId="28188" xr:uid="{00000000-0005-0000-0000-0000B53E0000}"/>
    <cellStyle name="Normal 3 2 2 4 4 4 4" xfId="28185" xr:uid="{00000000-0005-0000-0000-0000B63E0000}"/>
    <cellStyle name="Normal 3 2 2 4 4 5" xfId="4690" xr:uid="{00000000-0005-0000-0000-0000B73E0000}"/>
    <cellStyle name="Normal 3 2 2 4 4 5 2" xfId="4691" xr:uid="{00000000-0005-0000-0000-0000B83E0000}"/>
    <cellStyle name="Normal 3 2 2 4 4 5 2 2" xfId="28190" xr:uid="{00000000-0005-0000-0000-0000B93E0000}"/>
    <cellStyle name="Normal 3 2 2 4 4 5 3" xfId="28189" xr:uid="{00000000-0005-0000-0000-0000BA3E0000}"/>
    <cellStyle name="Normal 3 2 2 4 4 6" xfId="4692" xr:uid="{00000000-0005-0000-0000-0000BB3E0000}"/>
    <cellStyle name="Normal 3 2 2 4 4 6 2" xfId="28191" xr:uid="{00000000-0005-0000-0000-0000BC3E0000}"/>
    <cellStyle name="Normal 3 2 2 4 4 7" xfId="28168" xr:uid="{00000000-0005-0000-0000-0000BD3E0000}"/>
    <cellStyle name="Normal 3 2 2 4 5" xfId="4693" xr:uid="{00000000-0005-0000-0000-0000BE3E0000}"/>
    <cellStyle name="Normal 3 2 2 4 5 2" xfId="4694" xr:uid="{00000000-0005-0000-0000-0000BF3E0000}"/>
    <cellStyle name="Normal 3 2 2 4 5 2 2" xfId="4695" xr:uid="{00000000-0005-0000-0000-0000C03E0000}"/>
    <cellStyle name="Normal 3 2 2 4 5 2 2 2" xfId="4696" xr:uid="{00000000-0005-0000-0000-0000C13E0000}"/>
    <cellStyle name="Normal 3 2 2 4 5 2 2 2 2" xfId="28195" xr:uid="{00000000-0005-0000-0000-0000C23E0000}"/>
    <cellStyle name="Normal 3 2 2 4 5 2 2 3" xfId="28194" xr:uid="{00000000-0005-0000-0000-0000C33E0000}"/>
    <cellStyle name="Normal 3 2 2 4 5 2 3" xfId="4697" xr:uid="{00000000-0005-0000-0000-0000C43E0000}"/>
    <cellStyle name="Normal 3 2 2 4 5 2 3 2" xfId="28196" xr:uid="{00000000-0005-0000-0000-0000C53E0000}"/>
    <cellStyle name="Normal 3 2 2 4 5 2 4" xfId="28193" xr:uid="{00000000-0005-0000-0000-0000C63E0000}"/>
    <cellStyle name="Normal 3 2 2 4 5 3" xfId="4698" xr:uid="{00000000-0005-0000-0000-0000C73E0000}"/>
    <cellStyle name="Normal 3 2 2 4 5 3 2" xfId="4699" xr:uid="{00000000-0005-0000-0000-0000C83E0000}"/>
    <cellStyle name="Normal 3 2 2 4 5 3 2 2" xfId="28198" xr:uid="{00000000-0005-0000-0000-0000C93E0000}"/>
    <cellStyle name="Normal 3 2 2 4 5 3 3" xfId="28197" xr:uid="{00000000-0005-0000-0000-0000CA3E0000}"/>
    <cellStyle name="Normal 3 2 2 4 5 4" xfId="4700" xr:uid="{00000000-0005-0000-0000-0000CB3E0000}"/>
    <cellStyle name="Normal 3 2 2 4 5 4 2" xfId="28199" xr:uid="{00000000-0005-0000-0000-0000CC3E0000}"/>
    <cellStyle name="Normal 3 2 2 4 5 5" xfId="28192" xr:uid="{00000000-0005-0000-0000-0000CD3E0000}"/>
    <cellStyle name="Normal 3 2 2 4 6" xfId="4701" xr:uid="{00000000-0005-0000-0000-0000CE3E0000}"/>
    <cellStyle name="Normal 3 2 2 4 6 2" xfId="4702" xr:uid="{00000000-0005-0000-0000-0000CF3E0000}"/>
    <cellStyle name="Normal 3 2 2 4 6 2 2" xfId="4703" xr:uid="{00000000-0005-0000-0000-0000D03E0000}"/>
    <cellStyle name="Normal 3 2 2 4 6 2 2 2" xfId="4704" xr:uid="{00000000-0005-0000-0000-0000D13E0000}"/>
    <cellStyle name="Normal 3 2 2 4 6 2 2 2 2" xfId="28203" xr:uid="{00000000-0005-0000-0000-0000D23E0000}"/>
    <cellStyle name="Normal 3 2 2 4 6 2 2 3" xfId="28202" xr:uid="{00000000-0005-0000-0000-0000D33E0000}"/>
    <cellStyle name="Normal 3 2 2 4 6 2 3" xfId="4705" xr:uid="{00000000-0005-0000-0000-0000D43E0000}"/>
    <cellStyle name="Normal 3 2 2 4 6 2 3 2" xfId="28204" xr:uid="{00000000-0005-0000-0000-0000D53E0000}"/>
    <cellStyle name="Normal 3 2 2 4 6 2 4" xfId="28201" xr:uid="{00000000-0005-0000-0000-0000D63E0000}"/>
    <cellStyle name="Normal 3 2 2 4 6 3" xfId="4706" xr:uid="{00000000-0005-0000-0000-0000D73E0000}"/>
    <cellStyle name="Normal 3 2 2 4 6 3 2" xfId="4707" xr:uid="{00000000-0005-0000-0000-0000D83E0000}"/>
    <cellStyle name="Normal 3 2 2 4 6 3 2 2" xfId="28206" xr:uid="{00000000-0005-0000-0000-0000D93E0000}"/>
    <cellStyle name="Normal 3 2 2 4 6 3 3" xfId="28205" xr:uid="{00000000-0005-0000-0000-0000DA3E0000}"/>
    <cellStyle name="Normal 3 2 2 4 6 4" xfId="4708" xr:uid="{00000000-0005-0000-0000-0000DB3E0000}"/>
    <cellStyle name="Normal 3 2 2 4 6 4 2" xfId="28207" xr:uid="{00000000-0005-0000-0000-0000DC3E0000}"/>
    <cellStyle name="Normal 3 2 2 4 6 5" xfId="28200" xr:uid="{00000000-0005-0000-0000-0000DD3E0000}"/>
    <cellStyle name="Normal 3 2 2 4 7" xfId="4709" xr:uid="{00000000-0005-0000-0000-0000DE3E0000}"/>
    <cellStyle name="Normal 3 2 2 4 7 2" xfId="4710" xr:uid="{00000000-0005-0000-0000-0000DF3E0000}"/>
    <cellStyle name="Normal 3 2 2 4 7 2 2" xfId="4711" xr:uid="{00000000-0005-0000-0000-0000E03E0000}"/>
    <cellStyle name="Normal 3 2 2 4 7 2 2 2" xfId="28210" xr:uid="{00000000-0005-0000-0000-0000E13E0000}"/>
    <cellStyle name="Normal 3 2 2 4 7 2 3" xfId="28209" xr:uid="{00000000-0005-0000-0000-0000E23E0000}"/>
    <cellStyle name="Normal 3 2 2 4 7 3" xfId="4712" xr:uid="{00000000-0005-0000-0000-0000E33E0000}"/>
    <cellStyle name="Normal 3 2 2 4 7 3 2" xfId="28211" xr:uid="{00000000-0005-0000-0000-0000E43E0000}"/>
    <cellStyle name="Normal 3 2 2 4 7 4" xfId="28208" xr:uid="{00000000-0005-0000-0000-0000E53E0000}"/>
    <cellStyle name="Normal 3 2 2 4 8" xfId="4713" xr:uid="{00000000-0005-0000-0000-0000E63E0000}"/>
    <cellStyle name="Normal 3 2 2 4 8 2" xfId="4714" xr:uid="{00000000-0005-0000-0000-0000E73E0000}"/>
    <cellStyle name="Normal 3 2 2 4 8 2 2" xfId="28213" xr:uid="{00000000-0005-0000-0000-0000E83E0000}"/>
    <cellStyle name="Normal 3 2 2 4 8 3" xfId="28212" xr:uid="{00000000-0005-0000-0000-0000E93E0000}"/>
    <cellStyle name="Normal 3 2 2 4 9" xfId="4715" xr:uid="{00000000-0005-0000-0000-0000EA3E0000}"/>
    <cellStyle name="Normal 3 2 2 4 9 2" xfId="28214" xr:uid="{00000000-0005-0000-0000-0000EB3E0000}"/>
    <cellStyle name="Normal 3 2 2 5" xfId="4716" xr:uid="{00000000-0005-0000-0000-0000EC3E0000}"/>
    <cellStyle name="Normal 3 2 2 5 10" xfId="28215" xr:uid="{00000000-0005-0000-0000-0000ED3E0000}"/>
    <cellStyle name="Normal 3 2 2 5 2" xfId="4717" xr:uid="{00000000-0005-0000-0000-0000EE3E0000}"/>
    <cellStyle name="Normal 3 2 2 5 2 2" xfId="4718" xr:uid="{00000000-0005-0000-0000-0000EF3E0000}"/>
    <cellStyle name="Normal 3 2 2 5 2 2 2" xfId="4719" xr:uid="{00000000-0005-0000-0000-0000F03E0000}"/>
    <cellStyle name="Normal 3 2 2 5 2 2 2 2" xfId="4720" xr:uid="{00000000-0005-0000-0000-0000F13E0000}"/>
    <cellStyle name="Normal 3 2 2 5 2 2 2 2 2" xfId="4721" xr:uid="{00000000-0005-0000-0000-0000F23E0000}"/>
    <cellStyle name="Normal 3 2 2 5 2 2 2 2 2 2" xfId="28220" xr:uid="{00000000-0005-0000-0000-0000F33E0000}"/>
    <cellStyle name="Normal 3 2 2 5 2 2 2 2 3" xfId="28219" xr:uid="{00000000-0005-0000-0000-0000F43E0000}"/>
    <cellStyle name="Normal 3 2 2 5 2 2 2 3" xfId="4722" xr:uid="{00000000-0005-0000-0000-0000F53E0000}"/>
    <cellStyle name="Normal 3 2 2 5 2 2 2 3 2" xfId="28221" xr:uid="{00000000-0005-0000-0000-0000F63E0000}"/>
    <cellStyle name="Normal 3 2 2 5 2 2 2 4" xfId="28218" xr:uid="{00000000-0005-0000-0000-0000F73E0000}"/>
    <cellStyle name="Normal 3 2 2 5 2 2 3" xfId="4723" xr:uid="{00000000-0005-0000-0000-0000F83E0000}"/>
    <cellStyle name="Normal 3 2 2 5 2 2 3 2" xfId="4724" xr:uid="{00000000-0005-0000-0000-0000F93E0000}"/>
    <cellStyle name="Normal 3 2 2 5 2 2 3 2 2" xfId="28223" xr:uid="{00000000-0005-0000-0000-0000FA3E0000}"/>
    <cellStyle name="Normal 3 2 2 5 2 2 3 3" xfId="28222" xr:uid="{00000000-0005-0000-0000-0000FB3E0000}"/>
    <cellStyle name="Normal 3 2 2 5 2 2 4" xfId="4725" xr:uid="{00000000-0005-0000-0000-0000FC3E0000}"/>
    <cellStyle name="Normal 3 2 2 5 2 2 4 2" xfId="28224" xr:uid="{00000000-0005-0000-0000-0000FD3E0000}"/>
    <cellStyle name="Normal 3 2 2 5 2 2 5" xfId="28217" xr:uid="{00000000-0005-0000-0000-0000FE3E0000}"/>
    <cellStyle name="Normal 3 2 2 5 2 3" xfId="4726" xr:uid="{00000000-0005-0000-0000-0000FF3E0000}"/>
    <cellStyle name="Normal 3 2 2 5 2 3 2" xfId="4727" xr:uid="{00000000-0005-0000-0000-0000003F0000}"/>
    <cellStyle name="Normal 3 2 2 5 2 3 2 2" xfId="4728" xr:uid="{00000000-0005-0000-0000-0000013F0000}"/>
    <cellStyle name="Normal 3 2 2 5 2 3 2 2 2" xfId="4729" xr:uid="{00000000-0005-0000-0000-0000023F0000}"/>
    <cellStyle name="Normal 3 2 2 5 2 3 2 2 2 2" xfId="28228" xr:uid="{00000000-0005-0000-0000-0000033F0000}"/>
    <cellStyle name="Normal 3 2 2 5 2 3 2 2 3" xfId="28227" xr:uid="{00000000-0005-0000-0000-0000043F0000}"/>
    <cellStyle name="Normal 3 2 2 5 2 3 2 3" xfId="4730" xr:uid="{00000000-0005-0000-0000-0000053F0000}"/>
    <cellStyle name="Normal 3 2 2 5 2 3 2 3 2" xfId="28229" xr:uid="{00000000-0005-0000-0000-0000063F0000}"/>
    <cellStyle name="Normal 3 2 2 5 2 3 2 4" xfId="28226" xr:uid="{00000000-0005-0000-0000-0000073F0000}"/>
    <cellStyle name="Normal 3 2 2 5 2 3 3" xfId="4731" xr:uid="{00000000-0005-0000-0000-0000083F0000}"/>
    <cellStyle name="Normal 3 2 2 5 2 3 3 2" xfId="4732" xr:uid="{00000000-0005-0000-0000-0000093F0000}"/>
    <cellStyle name="Normal 3 2 2 5 2 3 3 2 2" xfId="28231" xr:uid="{00000000-0005-0000-0000-00000A3F0000}"/>
    <cellStyle name="Normal 3 2 2 5 2 3 3 3" xfId="28230" xr:uid="{00000000-0005-0000-0000-00000B3F0000}"/>
    <cellStyle name="Normal 3 2 2 5 2 3 4" xfId="4733" xr:uid="{00000000-0005-0000-0000-00000C3F0000}"/>
    <cellStyle name="Normal 3 2 2 5 2 3 4 2" xfId="28232" xr:uid="{00000000-0005-0000-0000-00000D3F0000}"/>
    <cellStyle name="Normal 3 2 2 5 2 3 5" xfId="28225" xr:uid="{00000000-0005-0000-0000-00000E3F0000}"/>
    <cellStyle name="Normal 3 2 2 5 2 4" xfId="4734" xr:uid="{00000000-0005-0000-0000-00000F3F0000}"/>
    <cellStyle name="Normal 3 2 2 5 2 4 2" xfId="4735" xr:uid="{00000000-0005-0000-0000-0000103F0000}"/>
    <cellStyle name="Normal 3 2 2 5 2 4 2 2" xfId="4736" xr:uid="{00000000-0005-0000-0000-0000113F0000}"/>
    <cellStyle name="Normal 3 2 2 5 2 4 2 2 2" xfId="28235" xr:uid="{00000000-0005-0000-0000-0000123F0000}"/>
    <cellStyle name="Normal 3 2 2 5 2 4 2 3" xfId="28234" xr:uid="{00000000-0005-0000-0000-0000133F0000}"/>
    <cellStyle name="Normal 3 2 2 5 2 4 3" xfId="4737" xr:uid="{00000000-0005-0000-0000-0000143F0000}"/>
    <cellStyle name="Normal 3 2 2 5 2 4 3 2" xfId="28236" xr:uid="{00000000-0005-0000-0000-0000153F0000}"/>
    <cellStyle name="Normal 3 2 2 5 2 4 4" xfId="28233" xr:uid="{00000000-0005-0000-0000-0000163F0000}"/>
    <cellStyle name="Normal 3 2 2 5 2 5" xfId="4738" xr:uid="{00000000-0005-0000-0000-0000173F0000}"/>
    <cellStyle name="Normal 3 2 2 5 2 5 2" xfId="4739" xr:uid="{00000000-0005-0000-0000-0000183F0000}"/>
    <cellStyle name="Normal 3 2 2 5 2 5 2 2" xfId="28238" xr:uid="{00000000-0005-0000-0000-0000193F0000}"/>
    <cellStyle name="Normal 3 2 2 5 2 5 3" xfId="28237" xr:uid="{00000000-0005-0000-0000-00001A3F0000}"/>
    <cellStyle name="Normal 3 2 2 5 2 6" xfId="4740" xr:uid="{00000000-0005-0000-0000-00001B3F0000}"/>
    <cellStyle name="Normal 3 2 2 5 2 6 2" xfId="28239" xr:uid="{00000000-0005-0000-0000-00001C3F0000}"/>
    <cellStyle name="Normal 3 2 2 5 2 7" xfId="28216" xr:uid="{00000000-0005-0000-0000-00001D3F0000}"/>
    <cellStyle name="Normal 3 2 2 5 3" xfId="4741" xr:uid="{00000000-0005-0000-0000-00001E3F0000}"/>
    <cellStyle name="Normal 3 2 2 5 3 2" xfId="4742" xr:uid="{00000000-0005-0000-0000-00001F3F0000}"/>
    <cellStyle name="Normal 3 2 2 5 3 2 2" xfId="4743" xr:uid="{00000000-0005-0000-0000-0000203F0000}"/>
    <cellStyle name="Normal 3 2 2 5 3 2 2 2" xfId="4744" xr:uid="{00000000-0005-0000-0000-0000213F0000}"/>
    <cellStyle name="Normal 3 2 2 5 3 2 2 2 2" xfId="4745" xr:uid="{00000000-0005-0000-0000-0000223F0000}"/>
    <cellStyle name="Normal 3 2 2 5 3 2 2 2 2 2" xfId="28244" xr:uid="{00000000-0005-0000-0000-0000233F0000}"/>
    <cellStyle name="Normal 3 2 2 5 3 2 2 2 3" xfId="28243" xr:uid="{00000000-0005-0000-0000-0000243F0000}"/>
    <cellStyle name="Normal 3 2 2 5 3 2 2 3" xfId="4746" xr:uid="{00000000-0005-0000-0000-0000253F0000}"/>
    <cellStyle name="Normal 3 2 2 5 3 2 2 3 2" xfId="28245" xr:uid="{00000000-0005-0000-0000-0000263F0000}"/>
    <cellStyle name="Normal 3 2 2 5 3 2 2 4" xfId="28242" xr:uid="{00000000-0005-0000-0000-0000273F0000}"/>
    <cellStyle name="Normal 3 2 2 5 3 2 3" xfId="4747" xr:uid="{00000000-0005-0000-0000-0000283F0000}"/>
    <cellStyle name="Normal 3 2 2 5 3 2 3 2" xfId="4748" xr:uid="{00000000-0005-0000-0000-0000293F0000}"/>
    <cellStyle name="Normal 3 2 2 5 3 2 3 2 2" xfId="28247" xr:uid="{00000000-0005-0000-0000-00002A3F0000}"/>
    <cellStyle name="Normal 3 2 2 5 3 2 3 3" xfId="28246" xr:uid="{00000000-0005-0000-0000-00002B3F0000}"/>
    <cellStyle name="Normal 3 2 2 5 3 2 4" xfId="4749" xr:uid="{00000000-0005-0000-0000-00002C3F0000}"/>
    <cellStyle name="Normal 3 2 2 5 3 2 4 2" xfId="28248" xr:uid="{00000000-0005-0000-0000-00002D3F0000}"/>
    <cellStyle name="Normal 3 2 2 5 3 2 5" xfId="28241" xr:uid="{00000000-0005-0000-0000-00002E3F0000}"/>
    <cellStyle name="Normal 3 2 2 5 3 3" xfId="4750" xr:uid="{00000000-0005-0000-0000-00002F3F0000}"/>
    <cellStyle name="Normal 3 2 2 5 3 3 2" xfId="4751" xr:uid="{00000000-0005-0000-0000-0000303F0000}"/>
    <cellStyle name="Normal 3 2 2 5 3 3 2 2" xfId="4752" xr:uid="{00000000-0005-0000-0000-0000313F0000}"/>
    <cellStyle name="Normal 3 2 2 5 3 3 2 2 2" xfId="4753" xr:uid="{00000000-0005-0000-0000-0000323F0000}"/>
    <cellStyle name="Normal 3 2 2 5 3 3 2 2 2 2" xfId="28252" xr:uid="{00000000-0005-0000-0000-0000333F0000}"/>
    <cellStyle name="Normal 3 2 2 5 3 3 2 2 3" xfId="28251" xr:uid="{00000000-0005-0000-0000-0000343F0000}"/>
    <cellStyle name="Normal 3 2 2 5 3 3 2 3" xfId="4754" xr:uid="{00000000-0005-0000-0000-0000353F0000}"/>
    <cellStyle name="Normal 3 2 2 5 3 3 2 3 2" xfId="28253" xr:uid="{00000000-0005-0000-0000-0000363F0000}"/>
    <cellStyle name="Normal 3 2 2 5 3 3 2 4" xfId="28250" xr:uid="{00000000-0005-0000-0000-0000373F0000}"/>
    <cellStyle name="Normal 3 2 2 5 3 3 3" xfId="4755" xr:uid="{00000000-0005-0000-0000-0000383F0000}"/>
    <cellStyle name="Normal 3 2 2 5 3 3 3 2" xfId="4756" xr:uid="{00000000-0005-0000-0000-0000393F0000}"/>
    <cellStyle name="Normal 3 2 2 5 3 3 3 2 2" xfId="28255" xr:uid="{00000000-0005-0000-0000-00003A3F0000}"/>
    <cellStyle name="Normal 3 2 2 5 3 3 3 3" xfId="28254" xr:uid="{00000000-0005-0000-0000-00003B3F0000}"/>
    <cellStyle name="Normal 3 2 2 5 3 3 4" xfId="4757" xr:uid="{00000000-0005-0000-0000-00003C3F0000}"/>
    <cellStyle name="Normal 3 2 2 5 3 3 4 2" xfId="28256" xr:uid="{00000000-0005-0000-0000-00003D3F0000}"/>
    <cellStyle name="Normal 3 2 2 5 3 3 5" xfId="28249" xr:uid="{00000000-0005-0000-0000-00003E3F0000}"/>
    <cellStyle name="Normal 3 2 2 5 3 4" xfId="4758" xr:uid="{00000000-0005-0000-0000-00003F3F0000}"/>
    <cellStyle name="Normal 3 2 2 5 3 4 2" xfId="4759" xr:uid="{00000000-0005-0000-0000-0000403F0000}"/>
    <cellStyle name="Normal 3 2 2 5 3 4 2 2" xfId="4760" xr:uid="{00000000-0005-0000-0000-0000413F0000}"/>
    <cellStyle name="Normal 3 2 2 5 3 4 2 2 2" xfId="28259" xr:uid="{00000000-0005-0000-0000-0000423F0000}"/>
    <cellStyle name="Normal 3 2 2 5 3 4 2 3" xfId="28258" xr:uid="{00000000-0005-0000-0000-0000433F0000}"/>
    <cellStyle name="Normal 3 2 2 5 3 4 3" xfId="4761" xr:uid="{00000000-0005-0000-0000-0000443F0000}"/>
    <cellStyle name="Normal 3 2 2 5 3 4 3 2" xfId="28260" xr:uid="{00000000-0005-0000-0000-0000453F0000}"/>
    <cellStyle name="Normal 3 2 2 5 3 4 4" xfId="28257" xr:uid="{00000000-0005-0000-0000-0000463F0000}"/>
    <cellStyle name="Normal 3 2 2 5 3 5" xfId="4762" xr:uid="{00000000-0005-0000-0000-0000473F0000}"/>
    <cellStyle name="Normal 3 2 2 5 3 5 2" xfId="4763" xr:uid="{00000000-0005-0000-0000-0000483F0000}"/>
    <cellStyle name="Normal 3 2 2 5 3 5 2 2" xfId="28262" xr:uid="{00000000-0005-0000-0000-0000493F0000}"/>
    <cellStyle name="Normal 3 2 2 5 3 5 3" xfId="28261" xr:uid="{00000000-0005-0000-0000-00004A3F0000}"/>
    <cellStyle name="Normal 3 2 2 5 3 6" xfId="4764" xr:uid="{00000000-0005-0000-0000-00004B3F0000}"/>
    <cellStyle name="Normal 3 2 2 5 3 6 2" xfId="28263" xr:uid="{00000000-0005-0000-0000-00004C3F0000}"/>
    <cellStyle name="Normal 3 2 2 5 3 7" xfId="28240" xr:uid="{00000000-0005-0000-0000-00004D3F0000}"/>
    <cellStyle name="Normal 3 2 2 5 4" xfId="4765" xr:uid="{00000000-0005-0000-0000-00004E3F0000}"/>
    <cellStyle name="Normal 3 2 2 5 4 2" xfId="4766" xr:uid="{00000000-0005-0000-0000-00004F3F0000}"/>
    <cellStyle name="Normal 3 2 2 5 4 2 2" xfId="4767" xr:uid="{00000000-0005-0000-0000-0000503F0000}"/>
    <cellStyle name="Normal 3 2 2 5 4 2 2 2" xfId="4768" xr:uid="{00000000-0005-0000-0000-0000513F0000}"/>
    <cellStyle name="Normal 3 2 2 5 4 2 2 2 2" xfId="4769" xr:uid="{00000000-0005-0000-0000-0000523F0000}"/>
    <cellStyle name="Normal 3 2 2 5 4 2 2 2 2 2" xfId="28268" xr:uid="{00000000-0005-0000-0000-0000533F0000}"/>
    <cellStyle name="Normal 3 2 2 5 4 2 2 2 3" xfId="28267" xr:uid="{00000000-0005-0000-0000-0000543F0000}"/>
    <cellStyle name="Normal 3 2 2 5 4 2 2 3" xfId="4770" xr:uid="{00000000-0005-0000-0000-0000553F0000}"/>
    <cellStyle name="Normal 3 2 2 5 4 2 2 3 2" xfId="28269" xr:uid="{00000000-0005-0000-0000-0000563F0000}"/>
    <cellStyle name="Normal 3 2 2 5 4 2 2 4" xfId="28266" xr:uid="{00000000-0005-0000-0000-0000573F0000}"/>
    <cellStyle name="Normal 3 2 2 5 4 2 3" xfId="4771" xr:uid="{00000000-0005-0000-0000-0000583F0000}"/>
    <cellStyle name="Normal 3 2 2 5 4 2 3 2" xfId="4772" xr:uid="{00000000-0005-0000-0000-0000593F0000}"/>
    <cellStyle name="Normal 3 2 2 5 4 2 3 2 2" xfId="28271" xr:uid="{00000000-0005-0000-0000-00005A3F0000}"/>
    <cellStyle name="Normal 3 2 2 5 4 2 3 3" xfId="28270" xr:uid="{00000000-0005-0000-0000-00005B3F0000}"/>
    <cellStyle name="Normal 3 2 2 5 4 2 4" xfId="4773" xr:uid="{00000000-0005-0000-0000-00005C3F0000}"/>
    <cellStyle name="Normal 3 2 2 5 4 2 4 2" xfId="28272" xr:uid="{00000000-0005-0000-0000-00005D3F0000}"/>
    <cellStyle name="Normal 3 2 2 5 4 2 5" xfId="28265" xr:uid="{00000000-0005-0000-0000-00005E3F0000}"/>
    <cellStyle name="Normal 3 2 2 5 4 3" xfId="4774" xr:uid="{00000000-0005-0000-0000-00005F3F0000}"/>
    <cellStyle name="Normal 3 2 2 5 4 3 2" xfId="4775" xr:uid="{00000000-0005-0000-0000-0000603F0000}"/>
    <cellStyle name="Normal 3 2 2 5 4 3 2 2" xfId="4776" xr:uid="{00000000-0005-0000-0000-0000613F0000}"/>
    <cellStyle name="Normal 3 2 2 5 4 3 2 2 2" xfId="4777" xr:uid="{00000000-0005-0000-0000-0000623F0000}"/>
    <cellStyle name="Normal 3 2 2 5 4 3 2 2 2 2" xfId="28276" xr:uid="{00000000-0005-0000-0000-0000633F0000}"/>
    <cellStyle name="Normal 3 2 2 5 4 3 2 2 3" xfId="28275" xr:uid="{00000000-0005-0000-0000-0000643F0000}"/>
    <cellStyle name="Normal 3 2 2 5 4 3 2 3" xfId="4778" xr:uid="{00000000-0005-0000-0000-0000653F0000}"/>
    <cellStyle name="Normal 3 2 2 5 4 3 2 3 2" xfId="28277" xr:uid="{00000000-0005-0000-0000-0000663F0000}"/>
    <cellStyle name="Normal 3 2 2 5 4 3 2 4" xfId="28274" xr:uid="{00000000-0005-0000-0000-0000673F0000}"/>
    <cellStyle name="Normal 3 2 2 5 4 3 3" xfId="4779" xr:uid="{00000000-0005-0000-0000-0000683F0000}"/>
    <cellStyle name="Normal 3 2 2 5 4 3 3 2" xfId="4780" xr:uid="{00000000-0005-0000-0000-0000693F0000}"/>
    <cellStyle name="Normal 3 2 2 5 4 3 3 2 2" xfId="28279" xr:uid="{00000000-0005-0000-0000-00006A3F0000}"/>
    <cellStyle name="Normal 3 2 2 5 4 3 3 3" xfId="28278" xr:uid="{00000000-0005-0000-0000-00006B3F0000}"/>
    <cellStyle name="Normal 3 2 2 5 4 3 4" xfId="4781" xr:uid="{00000000-0005-0000-0000-00006C3F0000}"/>
    <cellStyle name="Normal 3 2 2 5 4 3 4 2" xfId="28280" xr:uid="{00000000-0005-0000-0000-00006D3F0000}"/>
    <cellStyle name="Normal 3 2 2 5 4 3 5" xfId="28273" xr:uid="{00000000-0005-0000-0000-00006E3F0000}"/>
    <cellStyle name="Normal 3 2 2 5 4 4" xfId="4782" xr:uid="{00000000-0005-0000-0000-00006F3F0000}"/>
    <cellStyle name="Normal 3 2 2 5 4 4 2" xfId="4783" xr:uid="{00000000-0005-0000-0000-0000703F0000}"/>
    <cellStyle name="Normal 3 2 2 5 4 4 2 2" xfId="4784" xr:uid="{00000000-0005-0000-0000-0000713F0000}"/>
    <cellStyle name="Normal 3 2 2 5 4 4 2 2 2" xfId="28283" xr:uid="{00000000-0005-0000-0000-0000723F0000}"/>
    <cellStyle name="Normal 3 2 2 5 4 4 2 3" xfId="28282" xr:uid="{00000000-0005-0000-0000-0000733F0000}"/>
    <cellStyle name="Normal 3 2 2 5 4 4 3" xfId="4785" xr:uid="{00000000-0005-0000-0000-0000743F0000}"/>
    <cellStyle name="Normal 3 2 2 5 4 4 3 2" xfId="28284" xr:uid="{00000000-0005-0000-0000-0000753F0000}"/>
    <cellStyle name="Normal 3 2 2 5 4 4 4" xfId="28281" xr:uid="{00000000-0005-0000-0000-0000763F0000}"/>
    <cellStyle name="Normal 3 2 2 5 4 5" xfId="4786" xr:uid="{00000000-0005-0000-0000-0000773F0000}"/>
    <cellStyle name="Normal 3 2 2 5 4 5 2" xfId="4787" xr:uid="{00000000-0005-0000-0000-0000783F0000}"/>
    <cellStyle name="Normal 3 2 2 5 4 5 2 2" xfId="28286" xr:uid="{00000000-0005-0000-0000-0000793F0000}"/>
    <cellStyle name="Normal 3 2 2 5 4 5 3" xfId="28285" xr:uid="{00000000-0005-0000-0000-00007A3F0000}"/>
    <cellStyle name="Normal 3 2 2 5 4 6" xfId="4788" xr:uid="{00000000-0005-0000-0000-00007B3F0000}"/>
    <cellStyle name="Normal 3 2 2 5 4 6 2" xfId="28287" xr:uid="{00000000-0005-0000-0000-00007C3F0000}"/>
    <cellStyle name="Normal 3 2 2 5 4 7" xfId="28264" xr:uid="{00000000-0005-0000-0000-00007D3F0000}"/>
    <cellStyle name="Normal 3 2 2 5 5" xfId="4789" xr:uid="{00000000-0005-0000-0000-00007E3F0000}"/>
    <cellStyle name="Normal 3 2 2 5 5 2" xfId="4790" xr:uid="{00000000-0005-0000-0000-00007F3F0000}"/>
    <cellStyle name="Normal 3 2 2 5 5 2 2" xfId="4791" xr:uid="{00000000-0005-0000-0000-0000803F0000}"/>
    <cellStyle name="Normal 3 2 2 5 5 2 2 2" xfId="4792" xr:uid="{00000000-0005-0000-0000-0000813F0000}"/>
    <cellStyle name="Normal 3 2 2 5 5 2 2 2 2" xfId="28291" xr:uid="{00000000-0005-0000-0000-0000823F0000}"/>
    <cellStyle name="Normal 3 2 2 5 5 2 2 3" xfId="28290" xr:uid="{00000000-0005-0000-0000-0000833F0000}"/>
    <cellStyle name="Normal 3 2 2 5 5 2 3" xfId="4793" xr:uid="{00000000-0005-0000-0000-0000843F0000}"/>
    <cellStyle name="Normal 3 2 2 5 5 2 3 2" xfId="28292" xr:uid="{00000000-0005-0000-0000-0000853F0000}"/>
    <cellStyle name="Normal 3 2 2 5 5 2 4" xfId="28289" xr:uid="{00000000-0005-0000-0000-0000863F0000}"/>
    <cellStyle name="Normal 3 2 2 5 5 3" xfId="4794" xr:uid="{00000000-0005-0000-0000-0000873F0000}"/>
    <cellStyle name="Normal 3 2 2 5 5 3 2" xfId="4795" xr:uid="{00000000-0005-0000-0000-0000883F0000}"/>
    <cellStyle name="Normal 3 2 2 5 5 3 2 2" xfId="28294" xr:uid="{00000000-0005-0000-0000-0000893F0000}"/>
    <cellStyle name="Normal 3 2 2 5 5 3 3" xfId="28293" xr:uid="{00000000-0005-0000-0000-00008A3F0000}"/>
    <cellStyle name="Normal 3 2 2 5 5 4" xfId="4796" xr:uid="{00000000-0005-0000-0000-00008B3F0000}"/>
    <cellStyle name="Normal 3 2 2 5 5 4 2" xfId="28295" xr:uid="{00000000-0005-0000-0000-00008C3F0000}"/>
    <cellStyle name="Normal 3 2 2 5 5 5" xfId="28288" xr:uid="{00000000-0005-0000-0000-00008D3F0000}"/>
    <cellStyle name="Normal 3 2 2 5 6" xfId="4797" xr:uid="{00000000-0005-0000-0000-00008E3F0000}"/>
    <cellStyle name="Normal 3 2 2 5 6 2" xfId="4798" xr:uid="{00000000-0005-0000-0000-00008F3F0000}"/>
    <cellStyle name="Normal 3 2 2 5 6 2 2" xfId="4799" xr:uid="{00000000-0005-0000-0000-0000903F0000}"/>
    <cellStyle name="Normal 3 2 2 5 6 2 2 2" xfId="4800" xr:uid="{00000000-0005-0000-0000-0000913F0000}"/>
    <cellStyle name="Normal 3 2 2 5 6 2 2 2 2" xfId="28299" xr:uid="{00000000-0005-0000-0000-0000923F0000}"/>
    <cellStyle name="Normal 3 2 2 5 6 2 2 3" xfId="28298" xr:uid="{00000000-0005-0000-0000-0000933F0000}"/>
    <cellStyle name="Normal 3 2 2 5 6 2 3" xfId="4801" xr:uid="{00000000-0005-0000-0000-0000943F0000}"/>
    <cellStyle name="Normal 3 2 2 5 6 2 3 2" xfId="28300" xr:uid="{00000000-0005-0000-0000-0000953F0000}"/>
    <cellStyle name="Normal 3 2 2 5 6 2 4" xfId="28297" xr:uid="{00000000-0005-0000-0000-0000963F0000}"/>
    <cellStyle name="Normal 3 2 2 5 6 3" xfId="4802" xr:uid="{00000000-0005-0000-0000-0000973F0000}"/>
    <cellStyle name="Normal 3 2 2 5 6 3 2" xfId="4803" xr:uid="{00000000-0005-0000-0000-0000983F0000}"/>
    <cellStyle name="Normal 3 2 2 5 6 3 2 2" xfId="28302" xr:uid="{00000000-0005-0000-0000-0000993F0000}"/>
    <cellStyle name="Normal 3 2 2 5 6 3 3" xfId="28301" xr:uid="{00000000-0005-0000-0000-00009A3F0000}"/>
    <cellStyle name="Normal 3 2 2 5 6 4" xfId="4804" xr:uid="{00000000-0005-0000-0000-00009B3F0000}"/>
    <cellStyle name="Normal 3 2 2 5 6 4 2" xfId="28303" xr:uid="{00000000-0005-0000-0000-00009C3F0000}"/>
    <cellStyle name="Normal 3 2 2 5 6 5" xfId="28296" xr:uid="{00000000-0005-0000-0000-00009D3F0000}"/>
    <cellStyle name="Normal 3 2 2 5 7" xfId="4805" xr:uid="{00000000-0005-0000-0000-00009E3F0000}"/>
    <cellStyle name="Normal 3 2 2 5 7 2" xfId="4806" xr:uid="{00000000-0005-0000-0000-00009F3F0000}"/>
    <cellStyle name="Normal 3 2 2 5 7 2 2" xfId="4807" xr:uid="{00000000-0005-0000-0000-0000A03F0000}"/>
    <cellStyle name="Normal 3 2 2 5 7 2 2 2" xfId="28306" xr:uid="{00000000-0005-0000-0000-0000A13F0000}"/>
    <cellStyle name="Normal 3 2 2 5 7 2 3" xfId="28305" xr:uid="{00000000-0005-0000-0000-0000A23F0000}"/>
    <cellStyle name="Normal 3 2 2 5 7 3" xfId="4808" xr:uid="{00000000-0005-0000-0000-0000A33F0000}"/>
    <cellStyle name="Normal 3 2 2 5 7 3 2" xfId="28307" xr:uid="{00000000-0005-0000-0000-0000A43F0000}"/>
    <cellStyle name="Normal 3 2 2 5 7 4" xfId="28304" xr:uid="{00000000-0005-0000-0000-0000A53F0000}"/>
    <cellStyle name="Normal 3 2 2 5 8" xfId="4809" xr:uid="{00000000-0005-0000-0000-0000A63F0000}"/>
    <cellStyle name="Normal 3 2 2 5 8 2" xfId="4810" xr:uid="{00000000-0005-0000-0000-0000A73F0000}"/>
    <cellStyle name="Normal 3 2 2 5 8 2 2" xfId="28309" xr:uid="{00000000-0005-0000-0000-0000A83F0000}"/>
    <cellStyle name="Normal 3 2 2 5 8 3" xfId="28308" xr:uid="{00000000-0005-0000-0000-0000A93F0000}"/>
    <cellStyle name="Normal 3 2 2 5 9" xfId="4811" xr:uid="{00000000-0005-0000-0000-0000AA3F0000}"/>
    <cellStyle name="Normal 3 2 2 5 9 2" xfId="28310" xr:uid="{00000000-0005-0000-0000-0000AB3F0000}"/>
    <cellStyle name="Normal 3 2 2 6" xfId="4812" xr:uid="{00000000-0005-0000-0000-0000AC3F0000}"/>
    <cellStyle name="Normal 3 2 2 6 2" xfId="4813" xr:uid="{00000000-0005-0000-0000-0000AD3F0000}"/>
    <cellStyle name="Normal 3 2 2 6 2 2" xfId="4814" xr:uid="{00000000-0005-0000-0000-0000AE3F0000}"/>
    <cellStyle name="Normal 3 2 2 6 2 2 2" xfId="4815" xr:uid="{00000000-0005-0000-0000-0000AF3F0000}"/>
    <cellStyle name="Normal 3 2 2 6 2 2 2 2" xfId="4816" xr:uid="{00000000-0005-0000-0000-0000B03F0000}"/>
    <cellStyle name="Normal 3 2 2 6 2 2 2 2 2" xfId="28315" xr:uid="{00000000-0005-0000-0000-0000B13F0000}"/>
    <cellStyle name="Normal 3 2 2 6 2 2 2 3" xfId="28314" xr:uid="{00000000-0005-0000-0000-0000B23F0000}"/>
    <cellStyle name="Normal 3 2 2 6 2 2 3" xfId="4817" xr:uid="{00000000-0005-0000-0000-0000B33F0000}"/>
    <cellStyle name="Normal 3 2 2 6 2 2 3 2" xfId="28316" xr:uid="{00000000-0005-0000-0000-0000B43F0000}"/>
    <cellStyle name="Normal 3 2 2 6 2 2 4" xfId="28313" xr:uid="{00000000-0005-0000-0000-0000B53F0000}"/>
    <cellStyle name="Normal 3 2 2 6 2 3" xfId="4818" xr:uid="{00000000-0005-0000-0000-0000B63F0000}"/>
    <cellStyle name="Normal 3 2 2 6 2 3 2" xfId="4819" xr:uid="{00000000-0005-0000-0000-0000B73F0000}"/>
    <cellStyle name="Normal 3 2 2 6 2 3 2 2" xfId="28318" xr:uid="{00000000-0005-0000-0000-0000B83F0000}"/>
    <cellStyle name="Normal 3 2 2 6 2 3 3" xfId="28317" xr:uid="{00000000-0005-0000-0000-0000B93F0000}"/>
    <cellStyle name="Normal 3 2 2 6 2 4" xfId="4820" xr:uid="{00000000-0005-0000-0000-0000BA3F0000}"/>
    <cellStyle name="Normal 3 2 2 6 2 4 2" xfId="28319" xr:uid="{00000000-0005-0000-0000-0000BB3F0000}"/>
    <cellStyle name="Normal 3 2 2 6 2 5" xfId="20883" xr:uid="{00000000-0005-0000-0000-0000BC3F0000}"/>
    <cellStyle name="Normal 3 2 2 6 2 5 2" xfId="44199" xr:uid="{00000000-0005-0000-0000-0000BD3F0000}"/>
    <cellStyle name="Normal 3 2 2 6 2 6" xfId="20884" xr:uid="{00000000-0005-0000-0000-0000BE3F0000}"/>
    <cellStyle name="Normal 3 2 2 6 2 6 2" xfId="44200" xr:uid="{00000000-0005-0000-0000-0000BF3F0000}"/>
    <cellStyle name="Normal 3 2 2 6 2 7" xfId="28312" xr:uid="{00000000-0005-0000-0000-0000C03F0000}"/>
    <cellStyle name="Normal 3 2 2 6 3" xfId="4821" xr:uid="{00000000-0005-0000-0000-0000C13F0000}"/>
    <cellStyle name="Normal 3 2 2 6 3 2" xfId="4822" xr:uid="{00000000-0005-0000-0000-0000C23F0000}"/>
    <cellStyle name="Normal 3 2 2 6 3 2 2" xfId="4823" xr:uid="{00000000-0005-0000-0000-0000C33F0000}"/>
    <cellStyle name="Normal 3 2 2 6 3 2 2 2" xfId="4824" xr:uid="{00000000-0005-0000-0000-0000C43F0000}"/>
    <cellStyle name="Normal 3 2 2 6 3 2 2 2 2" xfId="28323" xr:uid="{00000000-0005-0000-0000-0000C53F0000}"/>
    <cellStyle name="Normal 3 2 2 6 3 2 2 3" xfId="28322" xr:uid="{00000000-0005-0000-0000-0000C63F0000}"/>
    <cellStyle name="Normal 3 2 2 6 3 2 3" xfId="4825" xr:uid="{00000000-0005-0000-0000-0000C73F0000}"/>
    <cellStyle name="Normal 3 2 2 6 3 2 3 2" xfId="28324" xr:uid="{00000000-0005-0000-0000-0000C83F0000}"/>
    <cellStyle name="Normal 3 2 2 6 3 2 4" xfId="28321" xr:uid="{00000000-0005-0000-0000-0000C93F0000}"/>
    <cellStyle name="Normal 3 2 2 6 3 3" xfId="4826" xr:uid="{00000000-0005-0000-0000-0000CA3F0000}"/>
    <cellStyle name="Normal 3 2 2 6 3 3 2" xfId="4827" xr:uid="{00000000-0005-0000-0000-0000CB3F0000}"/>
    <cellStyle name="Normal 3 2 2 6 3 3 2 2" xfId="28326" xr:uid="{00000000-0005-0000-0000-0000CC3F0000}"/>
    <cellStyle name="Normal 3 2 2 6 3 3 3" xfId="28325" xr:uid="{00000000-0005-0000-0000-0000CD3F0000}"/>
    <cellStyle name="Normal 3 2 2 6 3 4" xfId="4828" xr:uid="{00000000-0005-0000-0000-0000CE3F0000}"/>
    <cellStyle name="Normal 3 2 2 6 3 4 2" xfId="28327" xr:uid="{00000000-0005-0000-0000-0000CF3F0000}"/>
    <cellStyle name="Normal 3 2 2 6 3 5" xfId="28320" xr:uid="{00000000-0005-0000-0000-0000D03F0000}"/>
    <cellStyle name="Normal 3 2 2 6 4" xfId="4829" xr:uid="{00000000-0005-0000-0000-0000D13F0000}"/>
    <cellStyle name="Normal 3 2 2 6 4 2" xfId="4830" xr:uid="{00000000-0005-0000-0000-0000D23F0000}"/>
    <cellStyle name="Normal 3 2 2 6 4 2 2" xfId="4831" xr:uid="{00000000-0005-0000-0000-0000D33F0000}"/>
    <cellStyle name="Normal 3 2 2 6 4 2 2 2" xfId="28330" xr:uid="{00000000-0005-0000-0000-0000D43F0000}"/>
    <cellStyle name="Normal 3 2 2 6 4 2 3" xfId="28329" xr:uid="{00000000-0005-0000-0000-0000D53F0000}"/>
    <cellStyle name="Normal 3 2 2 6 4 3" xfId="4832" xr:uid="{00000000-0005-0000-0000-0000D63F0000}"/>
    <cellStyle name="Normal 3 2 2 6 4 3 2" xfId="28331" xr:uid="{00000000-0005-0000-0000-0000D73F0000}"/>
    <cellStyle name="Normal 3 2 2 6 4 4" xfId="28328" xr:uid="{00000000-0005-0000-0000-0000D83F0000}"/>
    <cellStyle name="Normal 3 2 2 6 5" xfId="4833" xr:uid="{00000000-0005-0000-0000-0000D93F0000}"/>
    <cellStyle name="Normal 3 2 2 6 5 2" xfId="4834" xr:uid="{00000000-0005-0000-0000-0000DA3F0000}"/>
    <cellStyle name="Normal 3 2 2 6 5 2 2" xfId="28333" xr:uid="{00000000-0005-0000-0000-0000DB3F0000}"/>
    <cellStyle name="Normal 3 2 2 6 5 3" xfId="28332" xr:uid="{00000000-0005-0000-0000-0000DC3F0000}"/>
    <cellStyle name="Normal 3 2 2 6 6" xfId="4835" xr:uid="{00000000-0005-0000-0000-0000DD3F0000}"/>
    <cellStyle name="Normal 3 2 2 6 6 2" xfId="28334" xr:uid="{00000000-0005-0000-0000-0000DE3F0000}"/>
    <cellStyle name="Normal 3 2 2 6 7" xfId="20885" xr:uid="{00000000-0005-0000-0000-0000DF3F0000}"/>
    <cellStyle name="Normal 3 2 2 6 7 2" xfId="44201" xr:uid="{00000000-0005-0000-0000-0000E03F0000}"/>
    <cellStyle name="Normal 3 2 2 6 8" xfId="28311" xr:uid="{00000000-0005-0000-0000-0000E13F0000}"/>
    <cellStyle name="Normal 3 2 2 7" xfId="4836" xr:uid="{00000000-0005-0000-0000-0000E23F0000}"/>
    <cellStyle name="Normal 3 2 2 7 2" xfId="4837" xr:uid="{00000000-0005-0000-0000-0000E33F0000}"/>
    <cellStyle name="Normal 3 2 2 7 2 2" xfId="4838" xr:uid="{00000000-0005-0000-0000-0000E43F0000}"/>
    <cellStyle name="Normal 3 2 2 7 2 2 2" xfId="4839" xr:uid="{00000000-0005-0000-0000-0000E53F0000}"/>
    <cellStyle name="Normal 3 2 2 7 2 2 2 2" xfId="4840" xr:uid="{00000000-0005-0000-0000-0000E63F0000}"/>
    <cellStyle name="Normal 3 2 2 7 2 2 2 2 2" xfId="28339" xr:uid="{00000000-0005-0000-0000-0000E73F0000}"/>
    <cellStyle name="Normal 3 2 2 7 2 2 2 3" xfId="28338" xr:uid="{00000000-0005-0000-0000-0000E83F0000}"/>
    <cellStyle name="Normal 3 2 2 7 2 2 3" xfId="4841" xr:uid="{00000000-0005-0000-0000-0000E93F0000}"/>
    <cellStyle name="Normal 3 2 2 7 2 2 3 2" xfId="28340" xr:uid="{00000000-0005-0000-0000-0000EA3F0000}"/>
    <cellStyle name="Normal 3 2 2 7 2 2 4" xfId="28337" xr:uid="{00000000-0005-0000-0000-0000EB3F0000}"/>
    <cellStyle name="Normal 3 2 2 7 2 3" xfId="4842" xr:uid="{00000000-0005-0000-0000-0000EC3F0000}"/>
    <cellStyle name="Normal 3 2 2 7 2 3 2" xfId="4843" xr:uid="{00000000-0005-0000-0000-0000ED3F0000}"/>
    <cellStyle name="Normal 3 2 2 7 2 3 2 2" xfId="28342" xr:uid="{00000000-0005-0000-0000-0000EE3F0000}"/>
    <cellStyle name="Normal 3 2 2 7 2 3 3" xfId="28341" xr:uid="{00000000-0005-0000-0000-0000EF3F0000}"/>
    <cellStyle name="Normal 3 2 2 7 2 4" xfId="4844" xr:uid="{00000000-0005-0000-0000-0000F03F0000}"/>
    <cellStyle name="Normal 3 2 2 7 2 4 2" xfId="28343" xr:uid="{00000000-0005-0000-0000-0000F13F0000}"/>
    <cellStyle name="Normal 3 2 2 7 2 5" xfId="28336" xr:uid="{00000000-0005-0000-0000-0000F23F0000}"/>
    <cellStyle name="Normal 3 2 2 7 3" xfId="4845" xr:uid="{00000000-0005-0000-0000-0000F33F0000}"/>
    <cellStyle name="Normal 3 2 2 7 3 2" xfId="4846" xr:uid="{00000000-0005-0000-0000-0000F43F0000}"/>
    <cellStyle name="Normal 3 2 2 7 3 2 2" xfId="4847" xr:uid="{00000000-0005-0000-0000-0000F53F0000}"/>
    <cellStyle name="Normal 3 2 2 7 3 2 2 2" xfId="4848" xr:uid="{00000000-0005-0000-0000-0000F63F0000}"/>
    <cellStyle name="Normal 3 2 2 7 3 2 2 2 2" xfId="28347" xr:uid="{00000000-0005-0000-0000-0000F73F0000}"/>
    <cellStyle name="Normal 3 2 2 7 3 2 2 3" xfId="28346" xr:uid="{00000000-0005-0000-0000-0000F83F0000}"/>
    <cellStyle name="Normal 3 2 2 7 3 2 3" xfId="4849" xr:uid="{00000000-0005-0000-0000-0000F93F0000}"/>
    <cellStyle name="Normal 3 2 2 7 3 2 3 2" xfId="28348" xr:uid="{00000000-0005-0000-0000-0000FA3F0000}"/>
    <cellStyle name="Normal 3 2 2 7 3 2 4" xfId="28345" xr:uid="{00000000-0005-0000-0000-0000FB3F0000}"/>
    <cellStyle name="Normal 3 2 2 7 3 3" xfId="4850" xr:uid="{00000000-0005-0000-0000-0000FC3F0000}"/>
    <cellStyle name="Normal 3 2 2 7 3 3 2" xfId="4851" xr:uid="{00000000-0005-0000-0000-0000FD3F0000}"/>
    <cellStyle name="Normal 3 2 2 7 3 3 2 2" xfId="28350" xr:uid="{00000000-0005-0000-0000-0000FE3F0000}"/>
    <cellStyle name="Normal 3 2 2 7 3 3 3" xfId="28349" xr:uid="{00000000-0005-0000-0000-0000FF3F0000}"/>
    <cellStyle name="Normal 3 2 2 7 3 4" xfId="4852" xr:uid="{00000000-0005-0000-0000-000000400000}"/>
    <cellStyle name="Normal 3 2 2 7 3 4 2" xfId="28351" xr:uid="{00000000-0005-0000-0000-000001400000}"/>
    <cellStyle name="Normal 3 2 2 7 3 5" xfId="28344" xr:uid="{00000000-0005-0000-0000-000002400000}"/>
    <cellStyle name="Normal 3 2 2 7 4" xfId="4853" xr:uid="{00000000-0005-0000-0000-000003400000}"/>
    <cellStyle name="Normal 3 2 2 7 4 2" xfId="4854" xr:uid="{00000000-0005-0000-0000-000004400000}"/>
    <cellStyle name="Normal 3 2 2 7 4 2 2" xfId="4855" xr:uid="{00000000-0005-0000-0000-000005400000}"/>
    <cellStyle name="Normal 3 2 2 7 4 2 2 2" xfId="28354" xr:uid="{00000000-0005-0000-0000-000006400000}"/>
    <cellStyle name="Normal 3 2 2 7 4 2 3" xfId="28353" xr:uid="{00000000-0005-0000-0000-000007400000}"/>
    <cellStyle name="Normal 3 2 2 7 4 3" xfId="4856" xr:uid="{00000000-0005-0000-0000-000008400000}"/>
    <cellStyle name="Normal 3 2 2 7 4 3 2" xfId="28355" xr:uid="{00000000-0005-0000-0000-000009400000}"/>
    <cellStyle name="Normal 3 2 2 7 4 4" xfId="28352" xr:uid="{00000000-0005-0000-0000-00000A400000}"/>
    <cellStyle name="Normal 3 2 2 7 5" xfId="4857" xr:uid="{00000000-0005-0000-0000-00000B400000}"/>
    <cellStyle name="Normal 3 2 2 7 5 2" xfId="4858" xr:uid="{00000000-0005-0000-0000-00000C400000}"/>
    <cellStyle name="Normal 3 2 2 7 5 2 2" xfId="28357" xr:uid="{00000000-0005-0000-0000-00000D400000}"/>
    <cellStyle name="Normal 3 2 2 7 5 3" xfId="28356" xr:uid="{00000000-0005-0000-0000-00000E400000}"/>
    <cellStyle name="Normal 3 2 2 7 6" xfId="4859" xr:uid="{00000000-0005-0000-0000-00000F400000}"/>
    <cellStyle name="Normal 3 2 2 7 6 2" xfId="28358" xr:uid="{00000000-0005-0000-0000-000010400000}"/>
    <cellStyle name="Normal 3 2 2 7 7" xfId="28335" xr:uid="{00000000-0005-0000-0000-000011400000}"/>
    <cellStyle name="Normal 3 2 2 8" xfId="4860" xr:uid="{00000000-0005-0000-0000-000012400000}"/>
    <cellStyle name="Normal 3 2 2 8 2" xfId="4861" xr:uid="{00000000-0005-0000-0000-000013400000}"/>
    <cellStyle name="Normal 3 2 2 8 2 2" xfId="4862" xr:uid="{00000000-0005-0000-0000-000014400000}"/>
    <cellStyle name="Normal 3 2 2 8 2 2 2" xfId="4863" xr:uid="{00000000-0005-0000-0000-000015400000}"/>
    <cellStyle name="Normal 3 2 2 8 2 2 2 2" xfId="4864" xr:uid="{00000000-0005-0000-0000-000016400000}"/>
    <cellStyle name="Normal 3 2 2 8 2 2 2 2 2" xfId="28363" xr:uid="{00000000-0005-0000-0000-000017400000}"/>
    <cellStyle name="Normal 3 2 2 8 2 2 2 3" xfId="28362" xr:uid="{00000000-0005-0000-0000-000018400000}"/>
    <cellStyle name="Normal 3 2 2 8 2 2 3" xfId="4865" xr:uid="{00000000-0005-0000-0000-000019400000}"/>
    <cellStyle name="Normal 3 2 2 8 2 2 3 2" xfId="28364" xr:uid="{00000000-0005-0000-0000-00001A400000}"/>
    <cellStyle name="Normal 3 2 2 8 2 2 4" xfId="28361" xr:uid="{00000000-0005-0000-0000-00001B400000}"/>
    <cellStyle name="Normal 3 2 2 8 2 3" xfId="4866" xr:uid="{00000000-0005-0000-0000-00001C400000}"/>
    <cellStyle name="Normal 3 2 2 8 2 3 2" xfId="4867" xr:uid="{00000000-0005-0000-0000-00001D400000}"/>
    <cellStyle name="Normal 3 2 2 8 2 3 2 2" xfId="28366" xr:uid="{00000000-0005-0000-0000-00001E400000}"/>
    <cellStyle name="Normal 3 2 2 8 2 3 3" xfId="28365" xr:uid="{00000000-0005-0000-0000-00001F400000}"/>
    <cellStyle name="Normal 3 2 2 8 2 4" xfId="4868" xr:uid="{00000000-0005-0000-0000-000020400000}"/>
    <cellStyle name="Normal 3 2 2 8 2 4 2" xfId="28367" xr:uid="{00000000-0005-0000-0000-000021400000}"/>
    <cellStyle name="Normal 3 2 2 8 2 5" xfId="28360" xr:uid="{00000000-0005-0000-0000-000022400000}"/>
    <cellStyle name="Normal 3 2 2 8 3" xfId="4869" xr:uid="{00000000-0005-0000-0000-000023400000}"/>
    <cellStyle name="Normal 3 2 2 8 3 2" xfId="4870" xr:uid="{00000000-0005-0000-0000-000024400000}"/>
    <cellStyle name="Normal 3 2 2 8 3 2 2" xfId="4871" xr:uid="{00000000-0005-0000-0000-000025400000}"/>
    <cellStyle name="Normal 3 2 2 8 3 2 2 2" xfId="4872" xr:uid="{00000000-0005-0000-0000-000026400000}"/>
    <cellStyle name="Normal 3 2 2 8 3 2 2 2 2" xfId="28371" xr:uid="{00000000-0005-0000-0000-000027400000}"/>
    <cellStyle name="Normal 3 2 2 8 3 2 2 3" xfId="28370" xr:uid="{00000000-0005-0000-0000-000028400000}"/>
    <cellStyle name="Normal 3 2 2 8 3 2 3" xfId="4873" xr:uid="{00000000-0005-0000-0000-000029400000}"/>
    <cellStyle name="Normal 3 2 2 8 3 2 3 2" xfId="28372" xr:uid="{00000000-0005-0000-0000-00002A400000}"/>
    <cellStyle name="Normal 3 2 2 8 3 2 4" xfId="28369" xr:uid="{00000000-0005-0000-0000-00002B400000}"/>
    <cellStyle name="Normal 3 2 2 8 3 3" xfId="4874" xr:uid="{00000000-0005-0000-0000-00002C400000}"/>
    <cellStyle name="Normal 3 2 2 8 3 3 2" xfId="4875" xr:uid="{00000000-0005-0000-0000-00002D400000}"/>
    <cellStyle name="Normal 3 2 2 8 3 3 2 2" xfId="28374" xr:uid="{00000000-0005-0000-0000-00002E400000}"/>
    <cellStyle name="Normal 3 2 2 8 3 3 3" xfId="28373" xr:uid="{00000000-0005-0000-0000-00002F400000}"/>
    <cellStyle name="Normal 3 2 2 8 3 4" xfId="4876" xr:uid="{00000000-0005-0000-0000-000030400000}"/>
    <cellStyle name="Normal 3 2 2 8 3 4 2" xfId="28375" xr:uid="{00000000-0005-0000-0000-000031400000}"/>
    <cellStyle name="Normal 3 2 2 8 3 5" xfId="28368" xr:uid="{00000000-0005-0000-0000-000032400000}"/>
    <cellStyle name="Normal 3 2 2 8 4" xfId="4877" xr:uid="{00000000-0005-0000-0000-000033400000}"/>
    <cellStyle name="Normal 3 2 2 8 4 2" xfId="4878" xr:uid="{00000000-0005-0000-0000-000034400000}"/>
    <cellStyle name="Normal 3 2 2 8 4 2 2" xfId="4879" xr:uid="{00000000-0005-0000-0000-000035400000}"/>
    <cellStyle name="Normal 3 2 2 8 4 2 2 2" xfId="28378" xr:uid="{00000000-0005-0000-0000-000036400000}"/>
    <cellStyle name="Normal 3 2 2 8 4 2 3" xfId="28377" xr:uid="{00000000-0005-0000-0000-000037400000}"/>
    <cellStyle name="Normal 3 2 2 8 4 3" xfId="4880" xr:uid="{00000000-0005-0000-0000-000038400000}"/>
    <cellStyle name="Normal 3 2 2 8 4 3 2" xfId="28379" xr:uid="{00000000-0005-0000-0000-000039400000}"/>
    <cellStyle name="Normal 3 2 2 8 4 4" xfId="28376" xr:uid="{00000000-0005-0000-0000-00003A400000}"/>
    <cellStyle name="Normal 3 2 2 8 5" xfId="4881" xr:uid="{00000000-0005-0000-0000-00003B400000}"/>
    <cellStyle name="Normal 3 2 2 8 5 2" xfId="4882" xr:uid="{00000000-0005-0000-0000-00003C400000}"/>
    <cellStyle name="Normal 3 2 2 8 5 2 2" xfId="28381" xr:uid="{00000000-0005-0000-0000-00003D400000}"/>
    <cellStyle name="Normal 3 2 2 8 5 3" xfId="28380" xr:uid="{00000000-0005-0000-0000-00003E400000}"/>
    <cellStyle name="Normal 3 2 2 8 6" xfId="4883" xr:uid="{00000000-0005-0000-0000-00003F400000}"/>
    <cellStyle name="Normal 3 2 2 8 6 2" xfId="28382" xr:uid="{00000000-0005-0000-0000-000040400000}"/>
    <cellStyle name="Normal 3 2 2 8 7" xfId="28359" xr:uid="{00000000-0005-0000-0000-000041400000}"/>
    <cellStyle name="Normal 3 2 2 9" xfId="4884" xr:uid="{00000000-0005-0000-0000-000042400000}"/>
    <cellStyle name="Normal 3 2 2 9 2" xfId="4885" xr:uid="{00000000-0005-0000-0000-000043400000}"/>
    <cellStyle name="Normal 3 2 2 9 2 2" xfId="4886" xr:uid="{00000000-0005-0000-0000-000044400000}"/>
    <cellStyle name="Normal 3 2 2 9 2 2 2" xfId="4887" xr:uid="{00000000-0005-0000-0000-000045400000}"/>
    <cellStyle name="Normal 3 2 2 9 2 2 2 2" xfId="4888" xr:uid="{00000000-0005-0000-0000-000046400000}"/>
    <cellStyle name="Normal 3 2 2 9 2 2 2 2 2" xfId="28387" xr:uid="{00000000-0005-0000-0000-000047400000}"/>
    <cellStyle name="Normal 3 2 2 9 2 2 2 3" xfId="28386" xr:uid="{00000000-0005-0000-0000-000048400000}"/>
    <cellStyle name="Normal 3 2 2 9 2 2 3" xfId="4889" xr:uid="{00000000-0005-0000-0000-000049400000}"/>
    <cellStyle name="Normal 3 2 2 9 2 2 3 2" xfId="28388" xr:uid="{00000000-0005-0000-0000-00004A400000}"/>
    <cellStyle name="Normal 3 2 2 9 2 2 4" xfId="28385" xr:uid="{00000000-0005-0000-0000-00004B400000}"/>
    <cellStyle name="Normal 3 2 2 9 2 3" xfId="4890" xr:uid="{00000000-0005-0000-0000-00004C400000}"/>
    <cellStyle name="Normal 3 2 2 9 2 3 2" xfId="4891" xr:uid="{00000000-0005-0000-0000-00004D400000}"/>
    <cellStyle name="Normal 3 2 2 9 2 3 2 2" xfId="28390" xr:uid="{00000000-0005-0000-0000-00004E400000}"/>
    <cellStyle name="Normal 3 2 2 9 2 3 3" xfId="28389" xr:uid="{00000000-0005-0000-0000-00004F400000}"/>
    <cellStyle name="Normal 3 2 2 9 2 4" xfId="4892" xr:uid="{00000000-0005-0000-0000-000050400000}"/>
    <cellStyle name="Normal 3 2 2 9 2 4 2" xfId="28391" xr:uid="{00000000-0005-0000-0000-000051400000}"/>
    <cellStyle name="Normal 3 2 2 9 2 5" xfId="20886" xr:uid="{00000000-0005-0000-0000-000052400000}"/>
    <cellStyle name="Normal 3 2 2 9 2 6" xfId="28384" xr:uid="{00000000-0005-0000-0000-000053400000}"/>
    <cellStyle name="Normal 3 2 2 9 3" xfId="4893" xr:uid="{00000000-0005-0000-0000-000054400000}"/>
    <cellStyle name="Normal 3 2 2 9 3 2" xfId="4894" xr:uid="{00000000-0005-0000-0000-000055400000}"/>
    <cellStyle name="Normal 3 2 2 9 3 2 2" xfId="4895" xr:uid="{00000000-0005-0000-0000-000056400000}"/>
    <cellStyle name="Normal 3 2 2 9 3 2 2 2" xfId="4896" xr:uid="{00000000-0005-0000-0000-000057400000}"/>
    <cellStyle name="Normal 3 2 2 9 3 2 2 2 2" xfId="28395" xr:uid="{00000000-0005-0000-0000-000058400000}"/>
    <cellStyle name="Normal 3 2 2 9 3 2 2 3" xfId="28394" xr:uid="{00000000-0005-0000-0000-000059400000}"/>
    <cellStyle name="Normal 3 2 2 9 3 2 3" xfId="4897" xr:uid="{00000000-0005-0000-0000-00005A400000}"/>
    <cellStyle name="Normal 3 2 2 9 3 2 3 2" xfId="28396" xr:uid="{00000000-0005-0000-0000-00005B400000}"/>
    <cellStyle name="Normal 3 2 2 9 3 2 4" xfId="28393" xr:uid="{00000000-0005-0000-0000-00005C400000}"/>
    <cellStyle name="Normal 3 2 2 9 3 3" xfId="4898" xr:uid="{00000000-0005-0000-0000-00005D400000}"/>
    <cellStyle name="Normal 3 2 2 9 3 3 2" xfId="4899" xr:uid="{00000000-0005-0000-0000-00005E400000}"/>
    <cellStyle name="Normal 3 2 2 9 3 3 2 2" xfId="28398" xr:uid="{00000000-0005-0000-0000-00005F400000}"/>
    <cellStyle name="Normal 3 2 2 9 3 3 3" xfId="28397" xr:uid="{00000000-0005-0000-0000-000060400000}"/>
    <cellStyle name="Normal 3 2 2 9 3 4" xfId="4900" xr:uid="{00000000-0005-0000-0000-000061400000}"/>
    <cellStyle name="Normal 3 2 2 9 3 4 2" xfId="28399" xr:uid="{00000000-0005-0000-0000-000062400000}"/>
    <cellStyle name="Normal 3 2 2 9 3 5" xfId="28392" xr:uid="{00000000-0005-0000-0000-000063400000}"/>
    <cellStyle name="Normal 3 2 2 9 4" xfId="4901" xr:uid="{00000000-0005-0000-0000-000064400000}"/>
    <cellStyle name="Normal 3 2 2 9 4 2" xfId="4902" xr:uid="{00000000-0005-0000-0000-000065400000}"/>
    <cellStyle name="Normal 3 2 2 9 4 2 2" xfId="4903" xr:uid="{00000000-0005-0000-0000-000066400000}"/>
    <cellStyle name="Normal 3 2 2 9 4 2 2 2" xfId="28402" xr:uid="{00000000-0005-0000-0000-000067400000}"/>
    <cellStyle name="Normal 3 2 2 9 4 2 3" xfId="28401" xr:uid="{00000000-0005-0000-0000-000068400000}"/>
    <cellStyle name="Normal 3 2 2 9 4 3" xfId="4904" xr:uid="{00000000-0005-0000-0000-000069400000}"/>
    <cellStyle name="Normal 3 2 2 9 4 3 2" xfId="28403" xr:uid="{00000000-0005-0000-0000-00006A400000}"/>
    <cellStyle name="Normal 3 2 2 9 4 4" xfId="28400" xr:uid="{00000000-0005-0000-0000-00006B400000}"/>
    <cellStyle name="Normal 3 2 2 9 5" xfId="4905" xr:uid="{00000000-0005-0000-0000-00006C400000}"/>
    <cellStyle name="Normal 3 2 2 9 5 2" xfId="4906" xr:uid="{00000000-0005-0000-0000-00006D400000}"/>
    <cellStyle name="Normal 3 2 2 9 5 2 2" xfId="28405" xr:uid="{00000000-0005-0000-0000-00006E400000}"/>
    <cellStyle name="Normal 3 2 2 9 5 3" xfId="28404" xr:uid="{00000000-0005-0000-0000-00006F400000}"/>
    <cellStyle name="Normal 3 2 2 9 6" xfId="4907" xr:uid="{00000000-0005-0000-0000-000070400000}"/>
    <cellStyle name="Normal 3 2 2 9 6 2" xfId="28406" xr:uid="{00000000-0005-0000-0000-000071400000}"/>
    <cellStyle name="Normal 3 2 2 9 7" xfId="28383" xr:uid="{00000000-0005-0000-0000-000072400000}"/>
    <cellStyle name="Normal 3 2 3" xfId="108" xr:uid="{00000000-0005-0000-0000-000073400000}"/>
    <cellStyle name="Normal 3 2 3 10" xfId="4908" xr:uid="{00000000-0005-0000-0000-000074400000}"/>
    <cellStyle name="Normal 3 2 3 10 2" xfId="4909" xr:uid="{00000000-0005-0000-0000-000075400000}"/>
    <cellStyle name="Normal 3 2 3 10 2 2" xfId="4910" xr:uid="{00000000-0005-0000-0000-000076400000}"/>
    <cellStyle name="Normal 3 2 3 10 2 2 2" xfId="4911" xr:uid="{00000000-0005-0000-0000-000077400000}"/>
    <cellStyle name="Normal 3 2 3 10 2 2 2 2" xfId="28410" xr:uid="{00000000-0005-0000-0000-000078400000}"/>
    <cellStyle name="Normal 3 2 3 10 2 2 3" xfId="28409" xr:uid="{00000000-0005-0000-0000-000079400000}"/>
    <cellStyle name="Normal 3 2 3 10 2 3" xfId="4912" xr:uid="{00000000-0005-0000-0000-00007A400000}"/>
    <cellStyle name="Normal 3 2 3 10 2 3 2" xfId="28411" xr:uid="{00000000-0005-0000-0000-00007B400000}"/>
    <cellStyle name="Normal 3 2 3 10 2 4" xfId="28408" xr:uid="{00000000-0005-0000-0000-00007C400000}"/>
    <cellStyle name="Normal 3 2 3 10 3" xfId="4913" xr:uid="{00000000-0005-0000-0000-00007D400000}"/>
    <cellStyle name="Normal 3 2 3 10 3 2" xfId="4914" xr:uid="{00000000-0005-0000-0000-00007E400000}"/>
    <cellStyle name="Normal 3 2 3 10 3 2 2" xfId="28413" xr:uid="{00000000-0005-0000-0000-00007F400000}"/>
    <cellStyle name="Normal 3 2 3 10 3 3" xfId="28412" xr:uid="{00000000-0005-0000-0000-000080400000}"/>
    <cellStyle name="Normal 3 2 3 10 4" xfId="4915" xr:uid="{00000000-0005-0000-0000-000081400000}"/>
    <cellStyle name="Normal 3 2 3 10 4 2" xfId="28414" xr:uid="{00000000-0005-0000-0000-000082400000}"/>
    <cellStyle name="Normal 3 2 3 10 5" xfId="28407" xr:uid="{00000000-0005-0000-0000-000083400000}"/>
    <cellStyle name="Normal 3 2 3 11" xfId="4916" xr:uid="{00000000-0005-0000-0000-000084400000}"/>
    <cellStyle name="Normal 3 2 3 11 2" xfId="4917" xr:uid="{00000000-0005-0000-0000-000085400000}"/>
    <cellStyle name="Normal 3 2 3 11 2 2" xfId="4918" xr:uid="{00000000-0005-0000-0000-000086400000}"/>
    <cellStyle name="Normal 3 2 3 11 2 2 2" xfId="28417" xr:uid="{00000000-0005-0000-0000-000087400000}"/>
    <cellStyle name="Normal 3 2 3 11 2 3" xfId="28416" xr:uid="{00000000-0005-0000-0000-000088400000}"/>
    <cellStyle name="Normal 3 2 3 11 3" xfId="4919" xr:uid="{00000000-0005-0000-0000-000089400000}"/>
    <cellStyle name="Normal 3 2 3 11 3 2" xfId="28418" xr:uid="{00000000-0005-0000-0000-00008A400000}"/>
    <cellStyle name="Normal 3 2 3 11 4" xfId="28415" xr:uid="{00000000-0005-0000-0000-00008B400000}"/>
    <cellStyle name="Normal 3 2 3 12" xfId="4920" xr:uid="{00000000-0005-0000-0000-00008C400000}"/>
    <cellStyle name="Normal 3 2 3 12 2" xfId="4921" xr:uid="{00000000-0005-0000-0000-00008D400000}"/>
    <cellStyle name="Normal 3 2 3 12 2 2" xfId="28420" xr:uid="{00000000-0005-0000-0000-00008E400000}"/>
    <cellStyle name="Normal 3 2 3 12 3" xfId="28419" xr:uid="{00000000-0005-0000-0000-00008F400000}"/>
    <cellStyle name="Normal 3 2 3 13" xfId="4922" xr:uid="{00000000-0005-0000-0000-000090400000}"/>
    <cellStyle name="Normal 3 2 3 13 2" xfId="28421" xr:uid="{00000000-0005-0000-0000-000091400000}"/>
    <cellStyle name="Normal 3 2 3 14" xfId="23673" xr:uid="{00000000-0005-0000-0000-000092400000}"/>
    <cellStyle name="Normal 3 2 3 2" xfId="109" xr:uid="{00000000-0005-0000-0000-000093400000}"/>
    <cellStyle name="Normal 3 2 3 2 10" xfId="4923" xr:uid="{00000000-0005-0000-0000-000094400000}"/>
    <cellStyle name="Normal 3 2 3 2 10 2" xfId="28422" xr:uid="{00000000-0005-0000-0000-000095400000}"/>
    <cellStyle name="Normal 3 2 3 2 11" xfId="20887" xr:uid="{00000000-0005-0000-0000-000096400000}"/>
    <cellStyle name="Normal 3 2 3 2 11 2" xfId="44202" xr:uid="{00000000-0005-0000-0000-000097400000}"/>
    <cellStyle name="Normal 3 2 3 2 12" xfId="23674" xr:uid="{00000000-0005-0000-0000-000098400000}"/>
    <cellStyle name="Normal 3 2 3 2 2" xfId="110" xr:uid="{00000000-0005-0000-0000-000099400000}"/>
    <cellStyle name="Normal 3 2 3 2 2 10" xfId="23675" xr:uid="{00000000-0005-0000-0000-00009A400000}"/>
    <cellStyle name="Normal 3 2 3 2 2 2" xfId="4924" xr:uid="{00000000-0005-0000-0000-00009B400000}"/>
    <cellStyle name="Normal 3 2 3 2 2 2 2" xfId="4925" xr:uid="{00000000-0005-0000-0000-00009C400000}"/>
    <cellStyle name="Normal 3 2 3 2 2 2 2 2" xfId="4926" xr:uid="{00000000-0005-0000-0000-00009D400000}"/>
    <cellStyle name="Normal 3 2 3 2 2 2 2 2 2" xfId="4927" xr:uid="{00000000-0005-0000-0000-00009E400000}"/>
    <cellStyle name="Normal 3 2 3 2 2 2 2 2 2 2" xfId="28426" xr:uid="{00000000-0005-0000-0000-00009F400000}"/>
    <cellStyle name="Normal 3 2 3 2 2 2 2 2 3" xfId="20888" xr:uid="{00000000-0005-0000-0000-0000A0400000}"/>
    <cellStyle name="Normal 3 2 3 2 2 2 2 2 3 2" xfId="44203" xr:uid="{00000000-0005-0000-0000-0000A1400000}"/>
    <cellStyle name="Normal 3 2 3 2 2 2 2 2 4" xfId="28425" xr:uid="{00000000-0005-0000-0000-0000A2400000}"/>
    <cellStyle name="Normal 3 2 3 2 2 2 2 3" xfId="4928" xr:uid="{00000000-0005-0000-0000-0000A3400000}"/>
    <cellStyle name="Normal 3 2 3 2 2 2 2 3 2" xfId="20889" xr:uid="{00000000-0005-0000-0000-0000A4400000}"/>
    <cellStyle name="Normal 3 2 3 2 2 2 2 3 2 2" xfId="44204" xr:uid="{00000000-0005-0000-0000-0000A5400000}"/>
    <cellStyle name="Normal 3 2 3 2 2 2 2 3 3" xfId="28427" xr:uid="{00000000-0005-0000-0000-0000A6400000}"/>
    <cellStyle name="Normal 3 2 3 2 2 2 2 4" xfId="20890" xr:uid="{00000000-0005-0000-0000-0000A7400000}"/>
    <cellStyle name="Normal 3 2 3 2 2 2 2 4 2" xfId="44205" xr:uid="{00000000-0005-0000-0000-0000A8400000}"/>
    <cellStyle name="Normal 3 2 3 2 2 2 2 5" xfId="20891" xr:uid="{00000000-0005-0000-0000-0000A9400000}"/>
    <cellStyle name="Normal 3 2 3 2 2 2 2 5 2" xfId="44206" xr:uid="{00000000-0005-0000-0000-0000AA400000}"/>
    <cellStyle name="Normal 3 2 3 2 2 2 2 6" xfId="20892" xr:uid="{00000000-0005-0000-0000-0000AB400000}"/>
    <cellStyle name="Normal 3 2 3 2 2 2 2 6 2" xfId="44207" xr:uid="{00000000-0005-0000-0000-0000AC400000}"/>
    <cellStyle name="Normal 3 2 3 2 2 2 2 7" xfId="28424" xr:uid="{00000000-0005-0000-0000-0000AD400000}"/>
    <cellStyle name="Normal 3 2 3 2 2 2 3" xfId="4929" xr:uid="{00000000-0005-0000-0000-0000AE400000}"/>
    <cellStyle name="Normal 3 2 3 2 2 2 3 2" xfId="4930" xr:uid="{00000000-0005-0000-0000-0000AF400000}"/>
    <cellStyle name="Normal 3 2 3 2 2 2 3 2 2" xfId="28429" xr:uid="{00000000-0005-0000-0000-0000B0400000}"/>
    <cellStyle name="Normal 3 2 3 2 2 2 3 3" xfId="20893" xr:uid="{00000000-0005-0000-0000-0000B1400000}"/>
    <cellStyle name="Normal 3 2 3 2 2 2 3 3 2" xfId="44208" xr:uid="{00000000-0005-0000-0000-0000B2400000}"/>
    <cellStyle name="Normal 3 2 3 2 2 2 3 4" xfId="28428" xr:uid="{00000000-0005-0000-0000-0000B3400000}"/>
    <cellStyle name="Normal 3 2 3 2 2 2 4" xfId="4931" xr:uid="{00000000-0005-0000-0000-0000B4400000}"/>
    <cellStyle name="Normal 3 2 3 2 2 2 4 2" xfId="20894" xr:uid="{00000000-0005-0000-0000-0000B5400000}"/>
    <cellStyle name="Normal 3 2 3 2 2 2 4 2 2" xfId="44209" xr:uid="{00000000-0005-0000-0000-0000B6400000}"/>
    <cellStyle name="Normal 3 2 3 2 2 2 4 3" xfId="28430" xr:uid="{00000000-0005-0000-0000-0000B7400000}"/>
    <cellStyle name="Normal 3 2 3 2 2 2 5" xfId="20895" xr:uid="{00000000-0005-0000-0000-0000B8400000}"/>
    <cellStyle name="Normal 3 2 3 2 2 2 5 2" xfId="44210" xr:uid="{00000000-0005-0000-0000-0000B9400000}"/>
    <cellStyle name="Normal 3 2 3 2 2 2 6" xfId="20896" xr:uid="{00000000-0005-0000-0000-0000BA400000}"/>
    <cellStyle name="Normal 3 2 3 2 2 2 6 2" xfId="44211" xr:uid="{00000000-0005-0000-0000-0000BB400000}"/>
    <cellStyle name="Normal 3 2 3 2 2 2 7" xfId="20897" xr:uid="{00000000-0005-0000-0000-0000BC400000}"/>
    <cellStyle name="Normal 3 2 3 2 2 2 7 2" xfId="44212" xr:uid="{00000000-0005-0000-0000-0000BD400000}"/>
    <cellStyle name="Normal 3 2 3 2 2 2 8" xfId="28423" xr:uid="{00000000-0005-0000-0000-0000BE400000}"/>
    <cellStyle name="Normal 3 2 3 2 2 3" xfId="4932" xr:uid="{00000000-0005-0000-0000-0000BF400000}"/>
    <cellStyle name="Normal 3 2 3 2 2 3 2" xfId="4933" xr:uid="{00000000-0005-0000-0000-0000C0400000}"/>
    <cellStyle name="Normal 3 2 3 2 2 3 2 2" xfId="4934" xr:uid="{00000000-0005-0000-0000-0000C1400000}"/>
    <cellStyle name="Normal 3 2 3 2 2 3 2 2 2" xfId="4935" xr:uid="{00000000-0005-0000-0000-0000C2400000}"/>
    <cellStyle name="Normal 3 2 3 2 2 3 2 2 2 2" xfId="28434" xr:uid="{00000000-0005-0000-0000-0000C3400000}"/>
    <cellStyle name="Normal 3 2 3 2 2 3 2 2 3" xfId="20898" xr:uid="{00000000-0005-0000-0000-0000C4400000}"/>
    <cellStyle name="Normal 3 2 3 2 2 3 2 2 3 2" xfId="44213" xr:uid="{00000000-0005-0000-0000-0000C5400000}"/>
    <cellStyle name="Normal 3 2 3 2 2 3 2 2 4" xfId="28433" xr:uid="{00000000-0005-0000-0000-0000C6400000}"/>
    <cellStyle name="Normal 3 2 3 2 2 3 2 3" xfId="4936" xr:uid="{00000000-0005-0000-0000-0000C7400000}"/>
    <cellStyle name="Normal 3 2 3 2 2 3 2 3 2" xfId="20899" xr:uid="{00000000-0005-0000-0000-0000C8400000}"/>
    <cellStyle name="Normal 3 2 3 2 2 3 2 3 2 2" xfId="44214" xr:uid="{00000000-0005-0000-0000-0000C9400000}"/>
    <cellStyle name="Normal 3 2 3 2 2 3 2 3 3" xfId="28435" xr:uid="{00000000-0005-0000-0000-0000CA400000}"/>
    <cellStyle name="Normal 3 2 3 2 2 3 2 4" xfId="20900" xr:uid="{00000000-0005-0000-0000-0000CB400000}"/>
    <cellStyle name="Normal 3 2 3 2 2 3 2 4 2" xfId="44215" xr:uid="{00000000-0005-0000-0000-0000CC400000}"/>
    <cellStyle name="Normal 3 2 3 2 2 3 2 5" xfId="20901" xr:uid="{00000000-0005-0000-0000-0000CD400000}"/>
    <cellStyle name="Normal 3 2 3 2 2 3 2 5 2" xfId="44216" xr:uid="{00000000-0005-0000-0000-0000CE400000}"/>
    <cellStyle name="Normal 3 2 3 2 2 3 2 6" xfId="20902" xr:uid="{00000000-0005-0000-0000-0000CF400000}"/>
    <cellStyle name="Normal 3 2 3 2 2 3 2 6 2" xfId="44217" xr:uid="{00000000-0005-0000-0000-0000D0400000}"/>
    <cellStyle name="Normal 3 2 3 2 2 3 2 7" xfId="28432" xr:uid="{00000000-0005-0000-0000-0000D1400000}"/>
    <cellStyle name="Normal 3 2 3 2 2 3 3" xfId="4937" xr:uid="{00000000-0005-0000-0000-0000D2400000}"/>
    <cellStyle name="Normal 3 2 3 2 2 3 3 2" xfId="4938" xr:uid="{00000000-0005-0000-0000-0000D3400000}"/>
    <cellStyle name="Normal 3 2 3 2 2 3 3 2 2" xfId="28437" xr:uid="{00000000-0005-0000-0000-0000D4400000}"/>
    <cellStyle name="Normal 3 2 3 2 2 3 3 3" xfId="20903" xr:uid="{00000000-0005-0000-0000-0000D5400000}"/>
    <cellStyle name="Normal 3 2 3 2 2 3 3 3 2" xfId="44218" xr:uid="{00000000-0005-0000-0000-0000D6400000}"/>
    <cellStyle name="Normal 3 2 3 2 2 3 3 4" xfId="28436" xr:uid="{00000000-0005-0000-0000-0000D7400000}"/>
    <cellStyle name="Normal 3 2 3 2 2 3 4" xfId="4939" xr:uid="{00000000-0005-0000-0000-0000D8400000}"/>
    <cellStyle name="Normal 3 2 3 2 2 3 4 2" xfId="20904" xr:uid="{00000000-0005-0000-0000-0000D9400000}"/>
    <cellStyle name="Normal 3 2 3 2 2 3 4 2 2" xfId="44219" xr:uid="{00000000-0005-0000-0000-0000DA400000}"/>
    <cellStyle name="Normal 3 2 3 2 2 3 4 3" xfId="28438" xr:uid="{00000000-0005-0000-0000-0000DB400000}"/>
    <cellStyle name="Normal 3 2 3 2 2 3 5" xfId="20905" xr:uid="{00000000-0005-0000-0000-0000DC400000}"/>
    <cellStyle name="Normal 3 2 3 2 2 3 5 2" xfId="44220" xr:uid="{00000000-0005-0000-0000-0000DD400000}"/>
    <cellStyle name="Normal 3 2 3 2 2 3 6" xfId="20906" xr:uid="{00000000-0005-0000-0000-0000DE400000}"/>
    <cellStyle name="Normal 3 2 3 2 2 3 6 2" xfId="44221" xr:uid="{00000000-0005-0000-0000-0000DF400000}"/>
    <cellStyle name="Normal 3 2 3 2 2 3 7" xfId="20907" xr:uid="{00000000-0005-0000-0000-0000E0400000}"/>
    <cellStyle name="Normal 3 2 3 2 2 3 7 2" xfId="44222" xr:uid="{00000000-0005-0000-0000-0000E1400000}"/>
    <cellStyle name="Normal 3 2 3 2 2 3 8" xfId="28431" xr:uid="{00000000-0005-0000-0000-0000E2400000}"/>
    <cellStyle name="Normal 3 2 3 2 2 4" xfId="4940" xr:uid="{00000000-0005-0000-0000-0000E3400000}"/>
    <cellStyle name="Normal 3 2 3 2 2 4 2" xfId="4941" xr:uid="{00000000-0005-0000-0000-0000E4400000}"/>
    <cellStyle name="Normal 3 2 3 2 2 4 2 2" xfId="4942" xr:uid="{00000000-0005-0000-0000-0000E5400000}"/>
    <cellStyle name="Normal 3 2 3 2 2 4 2 2 2" xfId="28441" xr:uid="{00000000-0005-0000-0000-0000E6400000}"/>
    <cellStyle name="Normal 3 2 3 2 2 4 2 3" xfId="20908" xr:uid="{00000000-0005-0000-0000-0000E7400000}"/>
    <cellStyle name="Normal 3 2 3 2 2 4 2 3 2" xfId="44223" xr:uid="{00000000-0005-0000-0000-0000E8400000}"/>
    <cellStyle name="Normal 3 2 3 2 2 4 2 4" xfId="28440" xr:uid="{00000000-0005-0000-0000-0000E9400000}"/>
    <cellStyle name="Normal 3 2 3 2 2 4 3" xfId="4943" xr:uid="{00000000-0005-0000-0000-0000EA400000}"/>
    <cellStyle name="Normal 3 2 3 2 2 4 3 2" xfId="20909" xr:uid="{00000000-0005-0000-0000-0000EB400000}"/>
    <cellStyle name="Normal 3 2 3 2 2 4 3 2 2" xfId="44224" xr:uid="{00000000-0005-0000-0000-0000EC400000}"/>
    <cellStyle name="Normal 3 2 3 2 2 4 3 3" xfId="28442" xr:uid="{00000000-0005-0000-0000-0000ED400000}"/>
    <cellStyle name="Normal 3 2 3 2 2 4 4" xfId="20910" xr:uid="{00000000-0005-0000-0000-0000EE400000}"/>
    <cellStyle name="Normal 3 2 3 2 2 4 4 2" xfId="44225" xr:uid="{00000000-0005-0000-0000-0000EF400000}"/>
    <cellStyle name="Normal 3 2 3 2 2 4 5" xfId="20911" xr:uid="{00000000-0005-0000-0000-0000F0400000}"/>
    <cellStyle name="Normal 3 2 3 2 2 4 5 2" xfId="44226" xr:uid="{00000000-0005-0000-0000-0000F1400000}"/>
    <cellStyle name="Normal 3 2 3 2 2 4 6" xfId="20912" xr:uid="{00000000-0005-0000-0000-0000F2400000}"/>
    <cellStyle name="Normal 3 2 3 2 2 4 6 2" xfId="44227" xr:uid="{00000000-0005-0000-0000-0000F3400000}"/>
    <cellStyle name="Normal 3 2 3 2 2 4 7" xfId="28439" xr:uid="{00000000-0005-0000-0000-0000F4400000}"/>
    <cellStyle name="Normal 3 2 3 2 2 5" xfId="4944" xr:uid="{00000000-0005-0000-0000-0000F5400000}"/>
    <cellStyle name="Normal 3 2 3 2 2 5 2" xfId="4945" xr:uid="{00000000-0005-0000-0000-0000F6400000}"/>
    <cellStyle name="Normal 3 2 3 2 2 5 2 2" xfId="28444" xr:uid="{00000000-0005-0000-0000-0000F7400000}"/>
    <cellStyle name="Normal 3 2 3 2 2 5 3" xfId="20913" xr:uid="{00000000-0005-0000-0000-0000F8400000}"/>
    <cellStyle name="Normal 3 2 3 2 2 5 3 2" xfId="44228" xr:uid="{00000000-0005-0000-0000-0000F9400000}"/>
    <cellStyle name="Normal 3 2 3 2 2 5 4" xfId="28443" xr:uid="{00000000-0005-0000-0000-0000FA400000}"/>
    <cellStyle name="Normal 3 2 3 2 2 6" xfId="4946" xr:uid="{00000000-0005-0000-0000-0000FB400000}"/>
    <cellStyle name="Normal 3 2 3 2 2 6 2" xfId="20914" xr:uid="{00000000-0005-0000-0000-0000FC400000}"/>
    <cellStyle name="Normal 3 2 3 2 2 6 2 2" xfId="44229" xr:uid="{00000000-0005-0000-0000-0000FD400000}"/>
    <cellStyle name="Normal 3 2 3 2 2 6 3" xfId="28445" xr:uid="{00000000-0005-0000-0000-0000FE400000}"/>
    <cellStyle name="Normal 3 2 3 2 2 7" xfId="20915" xr:uid="{00000000-0005-0000-0000-0000FF400000}"/>
    <cellStyle name="Normal 3 2 3 2 2 7 2" xfId="44230" xr:uid="{00000000-0005-0000-0000-000000410000}"/>
    <cellStyle name="Normal 3 2 3 2 2 8" xfId="20916" xr:uid="{00000000-0005-0000-0000-000001410000}"/>
    <cellStyle name="Normal 3 2 3 2 2 8 2" xfId="44231" xr:uid="{00000000-0005-0000-0000-000002410000}"/>
    <cellStyle name="Normal 3 2 3 2 2 9" xfId="20917" xr:uid="{00000000-0005-0000-0000-000003410000}"/>
    <cellStyle name="Normal 3 2 3 2 2 9 2" xfId="44232" xr:uid="{00000000-0005-0000-0000-000004410000}"/>
    <cellStyle name="Normal 3 2 3 2 3" xfId="4947" xr:uid="{00000000-0005-0000-0000-000005410000}"/>
    <cellStyle name="Normal 3 2 3 2 3 10" xfId="28446" xr:uid="{00000000-0005-0000-0000-000006410000}"/>
    <cellStyle name="Normal 3 2 3 2 3 2" xfId="4948" xr:uid="{00000000-0005-0000-0000-000007410000}"/>
    <cellStyle name="Normal 3 2 3 2 3 2 2" xfId="4949" xr:uid="{00000000-0005-0000-0000-000008410000}"/>
    <cellStyle name="Normal 3 2 3 2 3 2 2 2" xfId="4950" xr:uid="{00000000-0005-0000-0000-000009410000}"/>
    <cellStyle name="Normal 3 2 3 2 3 2 2 2 2" xfId="4951" xr:uid="{00000000-0005-0000-0000-00000A410000}"/>
    <cellStyle name="Normal 3 2 3 2 3 2 2 2 2 2" xfId="28450" xr:uid="{00000000-0005-0000-0000-00000B410000}"/>
    <cellStyle name="Normal 3 2 3 2 3 2 2 2 3" xfId="20918" xr:uid="{00000000-0005-0000-0000-00000C410000}"/>
    <cellStyle name="Normal 3 2 3 2 3 2 2 2 3 2" xfId="44233" xr:uid="{00000000-0005-0000-0000-00000D410000}"/>
    <cellStyle name="Normal 3 2 3 2 3 2 2 2 4" xfId="28449" xr:uid="{00000000-0005-0000-0000-00000E410000}"/>
    <cellStyle name="Normal 3 2 3 2 3 2 2 3" xfId="4952" xr:uid="{00000000-0005-0000-0000-00000F410000}"/>
    <cellStyle name="Normal 3 2 3 2 3 2 2 3 2" xfId="20919" xr:uid="{00000000-0005-0000-0000-000010410000}"/>
    <cellStyle name="Normal 3 2 3 2 3 2 2 3 2 2" xfId="44234" xr:uid="{00000000-0005-0000-0000-000011410000}"/>
    <cellStyle name="Normal 3 2 3 2 3 2 2 3 3" xfId="28451" xr:uid="{00000000-0005-0000-0000-000012410000}"/>
    <cellStyle name="Normal 3 2 3 2 3 2 2 4" xfId="20920" xr:uid="{00000000-0005-0000-0000-000013410000}"/>
    <cellStyle name="Normal 3 2 3 2 3 2 2 4 2" xfId="44235" xr:uid="{00000000-0005-0000-0000-000014410000}"/>
    <cellStyle name="Normal 3 2 3 2 3 2 2 5" xfId="20921" xr:uid="{00000000-0005-0000-0000-000015410000}"/>
    <cellStyle name="Normal 3 2 3 2 3 2 2 5 2" xfId="44236" xr:uid="{00000000-0005-0000-0000-000016410000}"/>
    <cellStyle name="Normal 3 2 3 2 3 2 2 6" xfId="20922" xr:uid="{00000000-0005-0000-0000-000017410000}"/>
    <cellStyle name="Normal 3 2 3 2 3 2 2 6 2" xfId="44237" xr:uid="{00000000-0005-0000-0000-000018410000}"/>
    <cellStyle name="Normal 3 2 3 2 3 2 2 7" xfId="28448" xr:uid="{00000000-0005-0000-0000-000019410000}"/>
    <cellStyle name="Normal 3 2 3 2 3 2 3" xfId="4953" xr:uid="{00000000-0005-0000-0000-00001A410000}"/>
    <cellStyle name="Normal 3 2 3 2 3 2 3 2" xfId="4954" xr:uid="{00000000-0005-0000-0000-00001B410000}"/>
    <cellStyle name="Normal 3 2 3 2 3 2 3 2 2" xfId="28453" xr:uid="{00000000-0005-0000-0000-00001C410000}"/>
    <cellStyle name="Normal 3 2 3 2 3 2 3 3" xfId="20923" xr:uid="{00000000-0005-0000-0000-00001D410000}"/>
    <cellStyle name="Normal 3 2 3 2 3 2 3 3 2" xfId="44238" xr:uid="{00000000-0005-0000-0000-00001E410000}"/>
    <cellStyle name="Normal 3 2 3 2 3 2 3 4" xfId="28452" xr:uid="{00000000-0005-0000-0000-00001F410000}"/>
    <cellStyle name="Normal 3 2 3 2 3 2 4" xfId="4955" xr:uid="{00000000-0005-0000-0000-000020410000}"/>
    <cellStyle name="Normal 3 2 3 2 3 2 4 2" xfId="20924" xr:uid="{00000000-0005-0000-0000-000021410000}"/>
    <cellStyle name="Normal 3 2 3 2 3 2 4 2 2" xfId="44239" xr:uid="{00000000-0005-0000-0000-000022410000}"/>
    <cellStyle name="Normal 3 2 3 2 3 2 4 3" xfId="28454" xr:uid="{00000000-0005-0000-0000-000023410000}"/>
    <cellStyle name="Normal 3 2 3 2 3 2 5" xfId="20925" xr:uid="{00000000-0005-0000-0000-000024410000}"/>
    <cellStyle name="Normal 3 2 3 2 3 2 5 2" xfId="44240" xr:uid="{00000000-0005-0000-0000-000025410000}"/>
    <cellStyle name="Normal 3 2 3 2 3 2 6" xfId="20926" xr:uid="{00000000-0005-0000-0000-000026410000}"/>
    <cellStyle name="Normal 3 2 3 2 3 2 6 2" xfId="44241" xr:uid="{00000000-0005-0000-0000-000027410000}"/>
    <cellStyle name="Normal 3 2 3 2 3 2 7" xfId="20927" xr:uid="{00000000-0005-0000-0000-000028410000}"/>
    <cellStyle name="Normal 3 2 3 2 3 2 7 2" xfId="44242" xr:uid="{00000000-0005-0000-0000-000029410000}"/>
    <cellStyle name="Normal 3 2 3 2 3 2 8" xfId="28447" xr:uid="{00000000-0005-0000-0000-00002A410000}"/>
    <cellStyle name="Normal 3 2 3 2 3 3" xfId="4956" xr:uid="{00000000-0005-0000-0000-00002B410000}"/>
    <cellStyle name="Normal 3 2 3 2 3 3 2" xfId="4957" xr:uid="{00000000-0005-0000-0000-00002C410000}"/>
    <cellStyle name="Normal 3 2 3 2 3 3 2 2" xfId="4958" xr:uid="{00000000-0005-0000-0000-00002D410000}"/>
    <cellStyle name="Normal 3 2 3 2 3 3 2 2 2" xfId="4959" xr:uid="{00000000-0005-0000-0000-00002E410000}"/>
    <cellStyle name="Normal 3 2 3 2 3 3 2 2 2 2" xfId="28458" xr:uid="{00000000-0005-0000-0000-00002F410000}"/>
    <cellStyle name="Normal 3 2 3 2 3 3 2 2 3" xfId="20928" xr:uid="{00000000-0005-0000-0000-000030410000}"/>
    <cellStyle name="Normal 3 2 3 2 3 3 2 2 3 2" xfId="44243" xr:uid="{00000000-0005-0000-0000-000031410000}"/>
    <cellStyle name="Normal 3 2 3 2 3 3 2 2 4" xfId="28457" xr:uid="{00000000-0005-0000-0000-000032410000}"/>
    <cellStyle name="Normal 3 2 3 2 3 3 2 3" xfId="4960" xr:uid="{00000000-0005-0000-0000-000033410000}"/>
    <cellStyle name="Normal 3 2 3 2 3 3 2 3 2" xfId="20929" xr:uid="{00000000-0005-0000-0000-000034410000}"/>
    <cellStyle name="Normal 3 2 3 2 3 3 2 3 2 2" xfId="44244" xr:uid="{00000000-0005-0000-0000-000035410000}"/>
    <cellStyle name="Normal 3 2 3 2 3 3 2 3 3" xfId="28459" xr:uid="{00000000-0005-0000-0000-000036410000}"/>
    <cellStyle name="Normal 3 2 3 2 3 3 2 4" xfId="20930" xr:uid="{00000000-0005-0000-0000-000037410000}"/>
    <cellStyle name="Normal 3 2 3 2 3 3 2 4 2" xfId="44245" xr:uid="{00000000-0005-0000-0000-000038410000}"/>
    <cellStyle name="Normal 3 2 3 2 3 3 2 5" xfId="20931" xr:uid="{00000000-0005-0000-0000-000039410000}"/>
    <cellStyle name="Normal 3 2 3 2 3 3 2 5 2" xfId="44246" xr:uid="{00000000-0005-0000-0000-00003A410000}"/>
    <cellStyle name="Normal 3 2 3 2 3 3 2 6" xfId="20932" xr:uid="{00000000-0005-0000-0000-00003B410000}"/>
    <cellStyle name="Normal 3 2 3 2 3 3 2 6 2" xfId="44247" xr:uid="{00000000-0005-0000-0000-00003C410000}"/>
    <cellStyle name="Normal 3 2 3 2 3 3 2 7" xfId="28456" xr:uid="{00000000-0005-0000-0000-00003D410000}"/>
    <cellStyle name="Normal 3 2 3 2 3 3 3" xfId="4961" xr:uid="{00000000-0005-0000-0000-00003E410000}"/>
    <cellStyle name="Normal 3 2 3 2 3 3 3 2" xfId="4962" xr:uid="{00000000-0005-0000-0000-00003F410000}"/>
    <cellStyle name="Normal 3 2 3 2 3 3 3 2 2" xfId="28461" xr:uid="{00000000-0005-0000-0000-000040410000}"/>
    <cellStyle name="Normal 3 2 3 2 3 3 3 3" xfId="20933" xr:uid="{00000000-0005-0000-0000-000041410000}"/>
    <cellStyle name="Normal 3 2 3 2 3 3 3 3 2" xfId="44248" xr:uid="{00000000-0005-0000-0000-000042410000}"/>
    <cellStyle name="Normal 3 2 3 2 3 3 3 4" xfId="28460" xr:uid="{00000000-0005-0000-0000-000043410000}"/>
    <cellStyle name="Normal 3 2 3 2 3 3 4" xfId="4963" xr:uid="{00000000-0005-0000-0000-000044410000}"/>
    <cellStyle name="Normal 3 2 3 2 3 3 4 2" xfId="20934" xr:uid="{00000000-0005-0000-0000-000045410000}"/>
    <cellStyle name="Normal 3 2 3 2 3 3 4 2 2" xfId="44249" xr:uid="{00000000-0005-0000-0000-000046410000}"/>
    <cellStyle name="Normal 3 2 3 2 3 3 4 3" xfId="28462" xr:uid="{00000000-0005-0000-0000-000047410000}"/>
    <cellStyle name="Normal 3 2 3 2 3 3 5" xfId="20935" xr:uid="{00000000-0005-0000-0000-000048410000}"/>
    <cellStyle name="Normal 3 2 3 2 3 3 5 2" xfId="44250" xr:uid="{00000000-0005-0000-0000-000049410000}"/>
    <cellStyle name="Normal 3 2 3 2 3 3 6" xfId="20936" xr:uid="{00000000-0005-0000-0000-00004A410000}"/>
    <cellStyle name="Normal 3 2 3 2 3 3 6 2" xfId="44251" xr:uid="{00000000-0005-0000-0000-00004B410000}"/>
    <cellStyle name="Normal 3 2 3 2 3 3 7" xfId="20937" xr:uid="{00000000-0005-0000-0000-00004C410000}"/>
    <cellStyle name="Normal 3 2 3 2 3 3 7 2" xfId="44252" xr:uid="{00000000-0005-0000-0000-00004D410000}"/>
    <cellStyle name="Normal 3 2 3 2 3 3 8" xfId="28455" xr:uid="{00000000-0005-0000-0000-00004E410000}"/>
    <cellStyle name="Normal 3 2 3 2 3 4" xfId="4964" xr:uid="{00000000-0005-0000-0000-00004F410000}"/>
    <cellStyle name="Normal 3 2 3 2 3 4 2" xfId="4965" xr:uid="{00000000-0005-0000-0000-000050410000}"/>
    <cellStyle name="Normal 3 2 3 2 3 4 2 2" xfId="4966" xr:uid="{00000000-0005-0000-0000-000051410000}"/>
    <cellStyle name="Normal 3 2 3 2 3 4 2 2 2" xfId="28465" xr:uid="{00000000-0005-0000-0000-000052410000}"/>
    <cellStyle name="Normal 3 2 3 2 3 4 2 3" xfId="20938" xr:uid="{00000000-0005-0000-0000-000053410000}"/>
    <cellStyle name="Normal 3 2 3 2 3 4 2 3 2" xfId="44253" xr:uid="{00000000-0005-0000-0000-000054410000}"/>
    <cellStyle name="Normal 3 2 3 2 3 4 2 4" xfId="28464" xr:uid="{00000000-0005-0000-0000-000055410000}"/>
    <cellStyle name="Normal 3 2 3 2 3 4 3" xfId="4967" xr:uid="{00000000-0005-0000-0000-000056410000}"/>
    <cellStyle name="Normal 3 2 3 2 3 4 3 2" xfId="20939" xr:uid="{00000000-0005-0000-0000-000057410000}"/>
    <cellStyle name="Normal 3 2 3 2 3 4 3 2 2" xfId="44254" xr:uid="{00000000-0005-0000-0000-000058410000}"/>
    <cellStyle name="Normal 3 2 3 2 3 4 3 3" xfId="28466" xr:uid="{00000000-0005-0000-0000-000059410000}"/>
    <cellStyle name="Normal 3 2 3 2 3 4 4" xfId="20940" xr:uid="{00000000-0005-0000-0000-00005A410000}"/>
    <cellStyle name="Normal 3 2 3 2 3 4 4 2" xfId="44255" xr:uid="{00000000-0005-0000-0000-00005B410000}"/>
    <cellStyle name="Normal 3 2 3 2 3 4 5" xfId="20941" xr:uid="{00000000-0005-0000-0000-00005C410000}"/>
    <cellStyle name="Normal 3 2 3 2 3 4 5 2" xfId="44256" xr:uid="{00000000-0005-0000-0000-00005D410000}"/>
    <cellStyle name="Normal 3 2 3 2 3 4 6" xfId="20942" xr:uid="{00000000-0005-0000-0000-00005E410000}"/>
    <cellStyle name="Normal 3 2 3 2 3 4 6 2" xfId="44257" xr:uid="{00000000-0005-0000-0000-00005F410000}"/>
    <cellStyle name="Normal 3 2 3 2 3 4 7" xfId="28463" xr:uid="{00000000-0005-0000-0000-000060410000}"/>
    <cellStyle name="Normal 3 2 3 2 3 5" xfId="4968" xr:uid="{00000000-0005-0000-0000-000061410000}"/>
    <cellStyle name="Normal 3 2 3 2 3 5 2" xfId="4969" xr:uid="{00000000-0005-0000-0000-000062410000}"/>
    <cellStyle name="Normal 3 2 3 2 3 5 2 2" xfId="28468" xr:uid="{00000000-0005-0000-0000-000063410000}"/>
    <cellStyle name="Normal 3 2 3 2 3 5 3" xfId="20943" xr:uid="{00000000-0005-0000-0000-000064410000}"/>
    <cellStyle name="Normal 3 2 3 2 3 5 3 2" xfId="44258" xr:uid="{00000000-0005-0000-0000-000065410000}"/>
    <cellStyle name="Normal 3 2 3 2 3 5 4" xfId="28467" xr:uid="{00000000-0005-0000-0000-000066410000}"/>
    <cellStyle name="Normal 3 2 3 2 3 6" xfId="4970" xr:uid="{00000000-0005-0000-0000-000067410000}"/>
    <cellStyle name="Normal 3 2 3 2 3 6 2" xfId="20944" xr:uid="{00000000-0005-0000-0000-000068410000}"/>
    <cellStyle name="Normal 3 2 3 2 3 6 2 2" xfId="44259" xr:uid="{00000000-0005-0000-0000-000069410000}"/>
    <cellStyle name="Normal 3 2 3 2 3 6 3" xfId="28469" xr:uid="{00000000-0005-0000-0000-00006A410000}"/>
    <cellStyle name="Normal 3 2 3 2 3 7" xfId="20945" xr:uid="{00000000-0005-0000-0000-00006B410000}"/>
    <cellStyle name="Normal 3 2 3 2 3 7 2" xfId="44260" xr:uid="{00000000-0005-0000-0000-00006C410000}"/>
    <cellStyle name="Normal 3 2 3 2 3 8" xfId="20946" xr:uid="{00000000-0005-0000-0000-00006D410000}"/>
    <cellStyle name="Normal 3 2 3 2 3 8 2" xfId="44261" xr:uid="{00000000-0005-0000-0000-00006E410000}"/>
    <cellStyle name="Normal 3 2 3 2 3 9" xfId="20947" xr:uid="{00000000-0005-0000-0000-00006F410000}"/>
    <cellStyle name="Normal 3 2 3 2 3 9 2" xfId="44262" xr:uid="{00000000-0005-0000-0000-000070410000}"/>
    <cellStyle name="Normal 3 2 3 2 4" xfId="4971" xr:uid="{00000000-0005-0000-0000-000071410000}"/>
    <cellStyle name="Normal 3 2 3 2 4 2" xfId="4972" xr:uid="{00000000-0005-0000-0000-000072410000}"/>
    <cellStyle name="Normal 3 2 3 2 4 2 2" xfId="4973" xr:uid="{00000000-0005-0000-0000-000073410000}"/>
    <cellStyle name="Normal 3 2 3 2 4 2 2 2" xfId="4974" xr:uid="{00000000-0005-0000-0000-000074410000}"/>
    <cellStyle name="Normal 3 2 3 2 4 2 2 2 2" xfId="4975" xr:uid="{00000000-0005-0000-0000-000075410000}"/>
    <cellStyle name="Normal 3 2 3 2 4 2 2 2 2 2" xfId="28474" xr:uid="{00000000-0005-0000-0000-000076410000}"/>
    <cellStyle name="Normal 3 2 3 2 4 2 2 2 3" xfId="28473" xr:uid="{00000000-0005-0000-0000-000077410000}"/>
    <cellStyle name="Normal 3 2 3 2 4 2 2 3" xfId="4976" xr:uid="{00000000-0005-0000-0000-000078410000}"/>
    <cellStyle name="Normal 3 2 3 2 4 2 2 3 2" xfId="28475" xr:uid="{00000000-0005-0000-0000-000079410000}"/>
    <cellStyle name="Normal 3 2 3 2 4 2 2 4" xfId="28472" xr:uid="{00000000-0005-0000-0000-00007A410000}"/>
    <cellStyle name="Normal 3 2 3 2 4 2 3" xfId="4977" xr:uid="{00000000-0005-0000-0000-00007B410000}"/>
    <cellStyle name="Normal 3 2 3 2 4 2 3 2" xfId="4978" xr:uid="{00000000-0005-0000-0000-00007C410000}"/>
    <cellStyle name="Normal 3 2 3 2 4 2 3 2 2" xfId="28477" xr:uid="{00000000-0005-0000-0000-00007D410000}"/>
    <cellStyle name="Normal 3 2 3 2 4 2 3 3" xfId="28476" xr:uid="{00000000-0005-0000-0000-00007E410000}"/>
    <cellStyle name="Normal 3 2 3 2 4 2 4" xfId="4979" xr:uid="{00000000-0005-0000-0000-00007F410000}"/>
    <cellStyle name="Normal 3 2 3 2 4 2 4 2" xfId="28478" xr:uid="{00000000-0005-0000-0000-000080410000}"/>
    <cellStyle name="Normal 3 2 3 2 4 2 5" xfId="20948" xr:uid="{00000000-0005-0000-0000-000081410000}"/>
    <cellStyle name="Normal 3 2 3 2 4 2 5 2" xfId="44263" xr:uid="{00000000-0005-0000-0000-000082410000}"/>
    <cellStyle name="Normal 3 2 3 2 4 2 6" xfId="20949" xr:uid="{00000000-0005-0000-0000-000083410000}"/>
    <cellStyle name="Normal 3 2 3 2 4 2 6 2" xfId="44264" xr:uid="{00000000-0005-0000-0000-000084410000}"/>
    <cellStyle name="Normal 3 2 3 2 4 2 7" xfId="28471" xr:uid="{00000000-0005-0000-0000-000085410000}"/>
    <cellStyle name="Normal 3 2 3 2 4 3" xfId="4980" xr:uid="{00000000-0005-0000-0000-000086410000}"/>
    <cellStyle name="Normal 3 2 3 2 4 3 2" xfId="4981" xr:uid="{00000000-0005-0000-0000-000087410000}"/>
    <cellStyle name="Normal 3 2 3 2 4 3 2 2" xfId="4982" xr:uid="{00000000-0005-0000-0000-000088410000}"/>
    <cellStyle name="Normal 3 2 3 2 4 3 2 2 2" xfId="4983" xr:uid="{00000000-0005-0000-0000-000089410000}"/>
    <cellStyle name="Normal 3 2 3 2 4 3 2 2 2 2" xfId="28482" xr:uid="{00000000-0005-0000-0000-00008A410000}"/>
    <cellStyle name="Normal 3 2 3 2 4 3 2 2 3" xfId="28481" xr:uid="{00000000-0005-0000-0000-00008B410000}"/>
    <cellStyle name="Normal 3 2 3 2 4 3 2 3" xfId="4984" xr:uid="{00000000-0005-0000-0000-00008C410000}"/>
    <cellStyle name="Normal 3 2 3 2 4 3 2 3 2" xfId="28483" xr:uid="{00000000-0005-0000-0000-00008D410000}"/>
    <cellStyle name="Normal 3 2 3 2 4 3 2 4" xfId="28480" xr:uid="{00000000-0005-0000-0000-00008E410000}"/>
    <cellStyle name="Normal 3 2 3 2 4 3 3" xfId="4985" xr:uid="{00000000-0005-0000-0000-00008F410000}"/>
    <cellStyle name="Normal 3 2 3 2 4 3 3 2" xfId="4986" xr:uid="{00000000-0005-0000-0000-000090410000}"/>
    <cellStyle name="Normal 3 2 3 2 4 3 3 2 2" xfId="28485" xr:uid="{00000000-0005-0000-0000-000091410000}"/>
    <cellStyle name="Normal 3 2 3 2 4 3 3 3" xfId="28484" xr:uid="{00000000-0005-0000-0000-000092410000}"/>
    <cellStyle name="Normal 3 2 3 2 4 3 4" xfId="4987" xr:uid="{00000000-0005-0000-0000-000093410000}"/>
    <cellStyle name="Normal 3 2 3 2 4 3 4 2" xfId="28486" xr:uid="{00000000-0005-0000-0000-000094410000}"/>
    <cellStyle name="Normal 3 2 3 2 4 3 5" xfId="28479" xr:uid="{00000000-0005-0000-0000-000095410000}"/>
    <cellStyle name="Normal 3 2 3 2 4 4" xfId="4988" xr:uid="{00000000-0005-0000-0000-000096410000}"/>
    <cellStyle name="Normal 3 2 3 2 4 4 2" xfId="4989" xr:uid="{00000000-0005-0000-0000-000097410000}"/>
    <cellStyle name="Normal 3 2 3 2 4 4 2 2" xfId="4990" xr:uid="{00000000-0005-0000-0000-000098410000}"/>
    <cellStyle name="Normal 3 2 3 2 4 4 2 2 2" xfId="28489" xr:uid="{00000000-0005-0000-0000-000099410000}"/>
    <cellStyle name="Normal 3 2 3 2 4 4 2 3" xfId="28488" xr:uid="{00000000-0005-0000-0000-00009A410000}"/>
    <cellStyle name="Normal 3 2 3 2 4 4 3" xfId="4991" xr:uid="{00000000-0005-0000-0000-00009B410000}"/>
    <cellStyle name="Normal 3 2 3 2 4 4 3 2" xfId="28490" xr:uid="{00000000-0005-0000-0000-00009C410000}"/>
    <cellStyle name="Normal 3 2 3 2 4 4 4" xfId="28487" xr:uid="{00000000-0005-0000-0000-00009D410000}"/>
    <cellStyle name="Normal 3 2 3 2 4 5" xfId="4992" xr:uid="{00000000-0005-0000-0000-00009E410000}"/>
    <cellStyle name="Normal 3 2 3 2 4 5 2" xfId="4993" xr:uid="{00000000-0005-0000-0000-00009F410000}"/>
    <cellStyle name="Normal 3 2 3 2 4 5 2 2" xfId="28492" xr:uid="{00000000-0005-0000-0000-0000A0410000}"/>
    <cellStyle name="Normal 3 2 3 2 4 5 3" xfId="28491" xr:uid="{00000000-0005-0000-0000-0000A1410000}"/>
    <cellStyle name="Normal 3 2 3 2 4 6" xfId="4994" xr:uid="{00000000-0005-0000-0000-0000A2410000}"/>
    <cellStyle name="Normal 3 2 3 2 4 6 2" xfId="28493" xr:uid="{00000000-0005-0000-0000-0000A3410000}"/>
    <cellStyle name="Normal 3 2 3 2 4 7" xfId="20950" xr:uid="{00000000-0005-0000-0000-0000A4410000}"/>
    <cellStyle name="Normal 3 2 3 2 4 7 2" xfId="44265" xr:uid="{00000000-0005-0000-0000-0000A5410000}"/>
    <cellStyle name="Normal 3 2 3 2 4 8" xfId="28470" xr:uid="{00000000-0005-0000-0000-0000A6410000}"/>
    <cellStyle name="Normal 3 2 3 2 5" xfId="4995" xr:uid="{00000000-0005-0000-0000-0000A7410000}"/>
    <cellStyle name="Normal 3 2 3 2 5 2" xfId="4996" xr:uid="{00000000-0005-0000-0000-0000A8410000}"/>
    <cellStyle name="Normal 3 2 3 2 5 2 2" xfId="4997" xr:uid="{00000000-0005-0000-0000-0000A9410000}"/>
    <cellStyle name="Normal 3 2 3 2 5 2 2 2" xfId="4998" xr:uid="{00000000-0005-0000-0000-0000AA410000}"/>
    <cellStyle name="Normal 3 2 3 2 5 2 2 2 2" xfId="4999" xr:uid="{00000000-0005-0000-0000-0000AB410000}"/>
    <cellStyle name="Normal 3 2 3 2 5 2 2 2 2 2" xfId="28498" xr:uid="{00000000-0005-0000-0000-0000AC410000}"/>
    <cellStyle name="Normal 3 2 3 2 5 2 2 2 3" xfId="28497" xr:uid="{00000000-0005-0000-0000-0000AD410000}"/>
    <cellStyle name="Normal 3 2 3 2 5 2 2 3" xfId="5000" xr:uid="{00000000-0005-0000-0000-0000AE410000}"/>
    <cellStyle name="Normal 3 2 3 2 5 2 2 3 2" xfId="28499" xr:uid="{00000000-0005-0000-0000-0000AF410000}"/>
    <cellStyle name="Normal 3 2 3 2 5 2 2 4" xfId="28496" xr:uid="{00000000-0005-0000-0000-0000B0410000}"/>
    <cellStyle name="Normal 3 2 3 2 5 2 3" xfId="5001" xr:uid="{00000000-0005-0000-0000-0000B1410000}"/>
    <cellStyle name="Normal 3 2 3 2 5 2 3 2" xfId="5002" xr:uid="{00000000-0005-0000-0000-0000B2410000}"/>
    <cellStyle name="Normal 3 2 3 2 5 2 3 2 2" xfId="28501" xr:uid="{00000000-0005-0000-0000-0000B3410000}"/>
    <cellStyle name="Normal 3 2 3 2 5 2 3 3" xfId="28500" xr:uid="{00000000-0005-0000-0000-0000B4410000}"/>
    <cellStyle name="Normal 3 2 3 2 5 2 4" xfId="5003" xr:uid="{00000000-0005-0000-0000-0000B5410000}"/>
    <cellStyle name="Normal 3 2 3 2 5 2 4 2" xfId="28502" xr:uid="{00000000-0005-0000-0000-0000B6410000}"/>
    <cellStyle name="Normal 3 2 3 2 5 2 5" xfId="20951" xr:uid="{00000000-0005-0000-0000-0000B7410000}"/>
    <cellStyle name="Normal 3 2 3 2 5 2 5 2" xfId="44266" xr:uid="{00000000-0005-0000-0000-0000B8410000}"/>
    <cellStyle name="Normal 3 2 3 2 5 2 6" xfId="20952" xr:uid="{00000000-0005-0000-0000-0000B9410000}"/>
    <cellStyle name="Normal 3 2 3 2 5 2 6 2" xfId="44267" xr:uid="{00000000-0005-0000-0000-0000BA410000}"/>
    <cellStyle name="Normal 3 2 3 2 5 2 7" xfId="28495" xr:uid="{00000000-0005-0000-0000-0000BB410000}"/>
    <cellStyle name="Normal 3 2 3 2 5 3" xfId="5004" xr:uid="{00000000-0005-0000-0000-0000BC410000}"/>
    <cellStyle name="Normal 3 2 3 2 5 3 2" xfId="5005" xr:uid="{00000000-0005-0000-0000-0000BD410000}"/>
    <cellStyle name="Normal 3 2 3 2 5 3 2 2" xfId="5006" xr:uid="{00000000-0005-0000-0000-0000BE410000}"/>
    <cellStyle name="Normal 3 2 3 2 5 3 2 2 2" xfId="5007" xr:uid="{00000000-0005-0000-0000-0000BF410000}"/>
    <cellStyle name="Normal 3 2 3 2 5 3 2 2 2 2" xfId="28506" xr:uid="{00000000-0005-0000-0000-0000C0410000}"/>
    <cellStyle name="Normal 3 2 3 2 5 3 2 2 3" xfId="28505" xr:uid="{00000000-0005-0000-0000-0000C1410000}"/>
    <cellStyle name="Normal 3 2 3 2 5 3 2 3" xfId="5008" xr:uid="{00000000-0005-0000-0000-0000C2410000}"/>
    <cellStyle name="Normal 3 2 3 2 5 3 2 3 2" xfId="28507" xr:uid="{00000000-0005-0000-0000-0000C3410000}"/>
    <cellStyle name="Normal 3 2 3 2 5 3 2 4" xfId="28504" xr:uid="{00000000-0005-0000-0000-0000C4410000}"/>
    <cellStyle name="Normal 3 2 3 2 5 3 3" xfId="5009" xr:uid="{00000000-0005-0000-0000-0000C5410000}"/>
    <cellStyle name="Normal 3 2 3 2 5 3 3 2" xfId="5010" xr:uid="{00000000-0005-0000-0000-0000C6410000}"/>
    <cellStyle name="Normal 3 2 3 2 5 3 3 2 2" xfId="28509" xr:uid="{00000000-0005-0000-0000-0000C7410000}"/>
    <cellStyle name="Normal 3 2 3 2 5 3 3 3" xfId="28508" xr:uid="{00000000-0005-0000-0000-0000C8410000}"/>
    <cellStyle name="Normal 3 2 3 2 5 3 4" xfId="5011" xr:uid="{00000000-0005-0000-0000-0000C9410000}"/>
    <cellStyle name="Normal 3 2 3 2 5 3 4 2" xfId="28510" xr:uid="{00000000-0005-0000-0000-0000CA410000}"/>
    <cellStyle name="Normal 3 2 3 2 5 3 5" xfId="28503" xr:uid="{00000000-0005-0000-0000-0000CB410000}"/>
    <cellStyle name="Normal 3 2 3 2 5 4" xfId="5012" xr:uid="{00000000-0005-0000-0000-0000CC410000}"/>
    <cellStyle name="Normal 3 2 3 2 5 4 2" xfId="5013" xr:uid="{00000000-0005-0000-0000-0000CD410000}"/>
    <cellStyle name="Normal 3 2 3 2 5 4 2 2" xfId="5014" xr:uid="{00000000-0005-0000-0000-0000CE410000}"/>
    <cellStyle name="Normal 3 2 3 2 5 4 2 2 2" xfId="28513" xr:uid="{00000000-0005-0000-0000-0000CF410000}"/>
    <cellStyle name="Normal 3 2 3 2 5 4 2 3" xfId="28512" xr:uid="{00000000-0005-0000-0000-0000D0410000}"/>
    <cellStyle name="Normal 3 2 3 2 5 4 3" xfId="5015" xr:uid="{00000000-0005-0000-0000-0000D1410000}"/>
    <cellStyle name="Normal 3 2 3 2 5 4 3 2" xfId="28514" xr:uid="{00000000-0005-0000-0000-0000D2410000}"/>
    <cellStyle name="Normal 3 2 3 2 5 4 4" xfId="28511" xr:uid="{00000000-0005-0000-0000-0000D3410000}"/>
    <cellStyle name="Normal 3 2 3 2 5 5" xfId="5016" xr:uid="{00000000-0005-0000-0000-0000D4410000}"/>
    <cellStyle name="Normal 3 2 3 2 5 5 2" xfId="5017" xr:uid="{00000000-0005-0000-0000-0000D5410000}"/>
    <cellStyle name="Normal 3 2 3 2 5 5 2 2" xfId="28516" xr:uid="{00000000-0005-0000-0000-0000D6410000}"/>
    <cellStyle name="Normal 3 2 3 2 5 5 3" xfId="28515" xr:uid="{00000000-0005-0000-0000-0000D7410000}"/>
    <cellStyle name="Normal 3 2 3 2 5 6" xfId="5018" xr:uid="{00000000-0005-0000-0000-0000D8410000}"/>
    <cellStyle name="Normal 3 2 3 2 5 6 2" xfId="28517" xr:uid="{00000000-0005-0000-0000-0000D9410000}"/>
    <cellStyle name="Normal 3 2 3 2 5 7" xfId="20953" xr:uid="{00000000-0005-0000-0000-0000DA410000}"/>
    <cellStyle name="Normal 3 2 3 2 5 7 2" xfId="44268" xr:uid="{00000000-0005-0000-0000-0000DB410000}"/>
    <cellStyle name="Normal 3 2 3 2 5 8" xfId="28494" xr:uid="{00000000-0005-0000-0000-0000DC410000}"/>
    <cellStyle name="Normal 3 2 3 2 6" xfId="5019" xr:uid="{00000000-0005-0000-0000-0000DD410000}"/>
    <cellStyle name="Normal 3 2 3 2 6 2" xfId="5020" xr:uid="{00000000-0005-0000-0000-0000DE410000}"/>
    <cellStyle name="Normal 3 2 3 2 6 2 2" xfId="5021" xr:uid="{00000000-0005-0000-0000-0000DF410000}"/>
    <cellStyle name="Normal 3 2 3 2 6 2 2 2" xfId="5022" xr:uid="{00000000-0005-0000-0000-0000E0410000}"/>
    <cellStyle name="Normal 3 2 3 2 6 2 2 2 2" xfId="28521" xr:uid="{00000000-0005-0000-0000-0000E1410000}"/>
    <cellStyle name="Normal 3 2 3 2 6 2 2 3" xfId="28520" xr:uid="{00000000-0005-0000-0000-0000E2410000}"/>
    <cellStyle name="Normal 3 2 3 2 6 2 3" xfId="5023" xr:uid="{00000000-0005-0000-0000-0000E3410000}"/>
    <cellStyle name="Normal 3 2 3 2 6 2 3 2" xfId="28522" xr:uid="{00000000-0005-0000-0000-0000E4410000}"/>
    <cellStyle name="Normal 3 2 3 2 6 2 4" xfId="28519" xr:uid="{00000000-0005-0000-0000-0000E5410000}"/>
    <cellStyle name="Normal 3 2 3 2 6 3" xfId="5024" xr:uid="{00000000-0005-0000-0000-0000E6410000}"/>
    <cellStyle name="Normal 3 2 3 2 6 3 2" xfId="5025" xr:uid="{00000000-0005-0000-0000-0000E7410000}"/>
    <cellStyle name="Normal 3 2 3 2 6 3 2 2" xfId="28524" xr:uid="{00000000-0005-0000-0000-0000E8410000}"/>
    <cellStyle name="Normal 3 2 3 2 6 3 3" xfId="28523" xr:uid="{00000000-0005-0000-0000-0000E9410000}"/>
    <cellStyle name="Normal 3 2 3 2 6 4" xfId="5026" xr:uid="{00000000-0005-0000-0000-0000EA410000}"/>
    <cellStyle name="Normal 3 2 3 2 6 4 2" xfId="28525" xr:uid="{00000000-0005-0000-0000-0000EB410000}"/>
    <cellStyle name="Normal 3 2 3 2 6 5" xfId="20954" xr:uid="{00000000-0005-0000-0000-0000EC410000}"/>
    <cellStyle name="Normal 3 2 3 2 6 5 2" xfId="44269" xr:uid="{00000000-0005-0000-0000-0000ED410000}"/>
    <cellStyle name="Normal 3 2 3 2 6 6" xfId="20955" xr:uid="{00000000-0005-0000-0000-0000EE410000}"/>
    <cellStyle name="Normal 3 2 3 2 6 6 2" xfId="44270" xr:uid="{00000000-0005-0000-0000-0000EF410000}"/>
    <cellStyle name="Normal 3 2 3 2 6 7" xfId="28518" xr:uid="{00000000-0005-0000-0000-0000F0410000}"/>
    <cellStyle name="Normal 3 2 3 2 7" xfId="5027" xr:uid="{00000000-0005-0000-0000-0000F1410000}"/>
    <cellStyle name="Normal 3 2 3 2 7 2" xfId="5028" xr:uid="{00000000-0005-0000-0000-0000F2410000}"/>
    <cellStyle name="Normal 3 2 3 2 7 2 2" xfId="5029" xr:uid="{00000000-0005-0000-0000-0000F3410000}"/>
    <cellStyle name="Normal 3 2 3 2 7 2 2 2" xfId="5030" xr:uid="{00000000-0005-0000-0000-0000F4410000}"/>
    <cellStyle name="Normal 3 2 3 2 7 2 2 2 2" xfId="28529" xr:uid="{00000000-0005-0000-0000-0000F5410000}"/>
    <cellStyle name="Normal 3 2 3 2 7 2 2 3" xfId="28528" xr:uid="{00000000-0005-0000-0000-0000F6410000}"/>
    <cellStyle name="Normal 3 2 3 2 7 2 3" xfId="5031" xr:uid="{00000000-0005-0000-0000-0000F7410000}"/>
    <cellStyle name="Normal 3 2 3 2 7 2 3 2" xfId="28530" xr:uid="{00000000-0005-0000-0000-0000F8410000}"/>
    <cellStyle name="Normal 3 2 3 2 7 2 4" xfId="28527" xr:uid="{00000000-0005-0000-0000-0000F9410000}"/>
    <cellStyle name="Normal 3 2 3 2 7 3" xfId="5032" xr:uid="{00000000-0005-0000-0000-0000FA410000}"/>
    <cellStyle name="Normal 3 2 3 2 7 3 2" xfId="5033" xr:uid="{00000000-0005-0000-0000-0000FB410000}"/>
    <cellStyle name="Normal 3 2 3 2 7 3 2 2" xfId="28532" xr:uid="{00000000-0005-0000-0000-0000FC410000}"/>
    <cellStyle name="Normal 3 2 3 2 7 3 3" xfId="28531" xr:uid="{00000000-0005-0000-0000-0000FD410000}"/>
    <cellStyle name="Normal 3 2 3 2 7 4" xfId="5034" xr:uid="{00000000-0005-0000-0000-0000FE410000}"/>
    <cellStyle name="Normal 3 2 3 2 7 4 2" xfId="28533" xr:uid="{00000000-0005-0000-0000-0000FF410000}"/>
    <cellStyle name="Normal 3 2 3 2 7 5" xfId="28526" xr:uid="{00000000-0005-0000-0000-000000420000}"/>
    <cellStyle name="Normal 3 2 3 2 8" xfId="5035" xr:uid="{00000000-0005-0000-0000-000001420000}"/>
    <cellStyle name="Normal 3 2 3 2 8 2" xfId="5036" xr:uid="{00000000-0005-0000-0000-000002420000}"/>
    <cellStyle name="Normal 3 2 3 2 8 2 2" xfId="5037" xr:uid="{00000000-0005-0000-0000-000003420000}"/>
    <cellStyle name="Normal 3 2 3 2 8 2 2 2" xfId="28536" xr:uid="{00000000-0005-0000-0000-000004420000}"/>
    <cellStyle name="Normal 3 2 3 2 8 2 3" xfId="28535" xr:uid="{00000000-0005-0000-0000-000005420000}"/>
    <cellStyle name="Normal 3 2 3 2 8 3" xfId="5038" xr:uid="{00000000-0005-0000-0000-000006420000}"/>
    <cellStyle name="Normal 3 2 3 2 8 3 2" xfId="28537" xr:uid="{00000000-0005-0000-0000-000007420000}"/>
    <cellStyle name="Normal 3 2 3 2 8 4" xfId="28534" xr:uid="{00000000-0005-0000-0000-000008420000}"/>
    <cellStyle name="Normal 3 2 3 2 9" xfId="5039" xr:uid="{00000000-0005-0000-0000-000009420000}"/>
    <cellStyle name="Normal 3 2 3 2 9 2" xfId="5040" xr:uid="{00000000-0005-0000-0000-00000A420000}"/>
    <cellStyle name="Normal 3 2 3 2 9 2 2" xfId="28539" xr:uid="{00000000-0005-0000-0000-00000B420000}"/>
    <cellStyle name="Normal 3 2 3 2 9 3" xfId="28538" xr:uid="{00000000-0005-0000-0000-00000C420000}"/>
    <cellStyle name="Normal 3 2 3 3" xfId="111" xr:uid="{00000000-0005-0000-0000-00000D420000}"/>
    <cellStyle name="Normal 3 2 3 3 10" xfId="23676" xr:uid="{00000000-0005-0000-0000-00000E420000}"/>
    <cellStyle name="Normal 3 2 3 3 2" xfId="5041" xr:uid="{00000000-0005-0000-0000-00000F420000}"/>
    <cellStyle name="Normal 3 2 3 3 2 2" xfId="5042" xr:uid="{00000000-0005-0000-0000-000010420000}"/>
    <cellStyle name="Normal 3 2 3 3 2 2 2" xfId="5043" xr:uid="{00000000-0005-0000-0000-000011420000}"/>
    <cellStyle name="Normal 3 2 3 3 2 2 2 2" xfId="5044" xr:uid="{00000000-0005-0000-0000-000012420000}"/>
    <cellStyle name="Normal 3 2 3 3 2 2 2 2 2" xfId="5045" xr:uid="{00000000-0005-0000-0000-000013420000}"/>
    <cellStyle name="Normal 3 2 3 3 2 2 2 2 2 2" xfId="28544" xr:uid="{00000000-0005-0000-0000-000014420000}"/>
    <cellStyle name="Normal 3 2 3 3 2 2 2 2 3" xfId="28543" xr:uid="{00000000-0005-0000-0000-000015420000}"/>
    <cellStyle name="Normal 3 2 3 3 2 2 2 3" xfId="5046" xr:uid="{00000000-0005-0000-0000-000016420000}"/>
    <cellStyle name="Normal 3 2 3 3 2 2 2 3 2" xfId="28545" xr:uid="{00000000-0005-0000-0000-000017420000}"/>
    <cellStyle name="Normal 3 2 3 3 2 2 2 4" xfId="28542" xr:uid="{00000000-0005-0000-0000-000018420000}"/>
    <cellStyle name="Normal 3 2 3 3 2 2 3" xfId="5047" xr:uid="{00000000-0005-0000-0000-000019420000}"/>
    <cellStyle name="Normal 3 2 3 3 2 2 3 2" xfId="5048" xr:uid="{00000000-0005-0000-0000-00001A420000}"/>
    <cellStyle name="Normal 3 2 3 3 2 2 3 2 2" xfId="28547" xr:uid="{00000000-0005-0000-0000-00001B420000}"/>
    <cellStyle name="Normal 3 2 3 3 2 2 3 3" xfId="28546" xr:uid="{00000000-0005-0000-0000-00001C420000}"/>
    <cellStyle name="Normal 3 2 3 3 2 2 4" xfId="5049" xr:uid="{00000000-0005-0000-0000-00001D420000}"/>
    <cellStyle name="Normal 3 2 3 3 2 2 4 2" xfId="28548" xr:uid="{00000000-0005-0000-0000-00001E420000}"/>
    <cellStyle name="Normal 3 2 3 3 2 2 5" xfId="20956" xr:uid="{00000000-0005-0000-0000-00001F420000}"/>
    <cellStyle name="Normal 3 2 3 3 2 2 5 2" xfId="44271" xr:uid="{00000000-0005-0000-0000-000020420000}"/>
    <cellStyle name="Normal 3 2 3 3 2 2 6" xfId="20957" xr:uid="{00000000-0005-0000-0000-000021420000}"/>
    <cellStyle name="Normal 3 2 3 3 2 2 6 2" xfId="44272" xr:uid="{00000000-0005-0000-0000-000022420000}"/>
    <cellStyle name="Normal 3 2 3 3 2 2 7" xfId="28541" xr:uid="{00000000-0005-0000-0000-000023420000}"/>
    <cellStyle name="Normal 3 2 3 3 2 3" xfId="5050" xr:uid="{00000000-0005-0000-0000-000024420000}"/>
    <cellStyle name="Normal 3 2 3 3 2 3 2" xfId="5051" xr:uid="{00000000-0005-0000-0000-000025420000}"/>
    <cellStyle name="Normal 3 2 3 3 2 3 2 2" xfId="5052" xr:uid="{00000000-0005-0000-0000-000026420000}"/>
    <cellStyle name="Normal 3 2 3 3 2 3 2 2 2" xfId="5053" xr:uid="{00000000-0005-0000-0000-000027420000}"/>
    <cellStyle name="Normal 3 2 3 3 2 3 2 2 2 2" xfId="28552" xr:uid="{00000000-0005-0000-0000-000028420000}"/>
    <cellStyle name="Normal 3 2 3 3 2 3 2 2 3" xfId="28551" xr:uid="{00000000-0005-0000-0000-000029420000}"/>
    <cellStyle name="Normal 3 2 3 3 2 3 2 3" xfId="5054" xr:uid="{00000000-0005-0000-0000-00002A420000}"/>
    <cellStyle name="Normal 3 2 3 3 2 3 2 3 2" xfId="28553" xr:uid="{00000000-0005-0000-0000-00002B420000}"/>
    <cellStyle name="Normal 3 2 3 3 2 3 2 4" xfId="28550" xr:uid="{00000000-0005-0000-0000-00002C420000}"/>
    <cellStyle name="Normal 3 2 3 3 2 3 3" xfId="5055" xr:uid="{00000000-0005-0000-0000-00002D420000}"/>
    <cellStyle name="Normal 3 2 3 3 2 3 3 2" xfId="5056" xr:uid="{00000000-0005-0000-0000-00002E420000}"/>
    <cellStyle name="Normal 3 2 3 3 2 3 3 2 2" xfId="28555" xr:uid="{00000000-0005-0000-0000-00002F420000}"/>
    <cellStyle name="Normal 3 2 3 3 2 3 3 3" xfId="28554" xr:uid="{00000000-0005-0000-0000-000030420000}"/>
    <cellStyle name="Normal 3 2 3 3 2 3 4" xfId="5057" xr:uid="{00000000-0005-0000-0000-000031420000}"/>
    <cellStyle name="Normal 3 2 3 3 2 3 4 2" xfId="28556" xr:uid="{00000000-0005-0000-0000-000032420000}"/>
    <cellStyle name="Normal 3 2 3 3 2 3 5" xfId="28549" xr:uid="{00000000-0005-0000-0000-000033420000}"/>
    <cellStyle name="Normal 3 2 3 3 2 4" xfId="5058" xr:uid="{00000000-0005-0000-0000-000034420000}"/>
    <cellStyle name="Normal 3 2 3 3 2 4 2" xfId="5059" xr:uid="{00000000-0005-0000-0000-000035420000}"/>
    <cellStyle name="Normal 3 2 3 3 2 4 2 2" xfId="5060" xr:uid="{00000000-0005-0000-0000-000036420000}"/>
    <cellStyle name="Normal 3 2 3 3 2 4 2 2 2" xfId="28559" xr:uid="{00000000-0005-0000-0000-000037420000}"/>
    <cellStyle name="Normal 3 2 3 3 2 4 2 3" xfId="28558" xr:uid="{00000000-0005-0000-0000-000038420000}"/>
    <cellStyle name="Normal 3 2 3 3 2 4 3" xfId="5061" xr:uid="{00000000-0005-0000-0000-000039420000}"/>
    <cellStyle name="Normal 3 2 3 3 2 4 3 2" xfId="28560" xr:uid="{00000000-0005-0000-0000-00003A420000}"/>
    <cellStyle name="Normal 3 2 3 3 2 4 4" xfId="28557" xr:uid="{00000000-0005-0000-0000-00003B420000}"/>
    <cellStyle name="Normal 3 2 3 3 2 5" xfId="5062" xr:uid="{00000000-0005-0000-0000-00003C420000}"/>
    <cellStyle name="Normal 3 2 3 3 2 5 2" xfId="5063" xr:uid="{00000000-0005-0000-0000-00003D420000}"/>
    <cellStyle name="Normal 3 2 3 3 2 5 2 2" xfId="28562" xr:uid="{00000000-0005-0000-0000-00003E420000}"/>
    <cellStyle name="Normal 3 2 3 3 2 5 3" xfId="28561" xr:uid="{00000000-0005-0000-0000-00003F420000}"/>
    <cellStyle name="Normal 3 2 3 3 2 6" xfId="5064" xr:uid="{00000000-0005-0000-0000-000040420000}"/>
    <cellStyle name="Normal 3 2 3 3 2 6 2" xfId="28563" xr:uid="{00000000-0005-0000-0000-000041420000}"/>
    <cellStyle name="Normal 3 2 3 3 2 7" xfId="20958" xr:uid="{00000000-0005-0000-0000-000042420000}"/>
    <cellStyle name="Normal 3 2 3 3 2 7 2" xfId="44273" xr:uid="{00000000-0005-0000-0000-000043420000}"/>
    <cellStyle name="Normal 3 2 3 3 2 8" xfId="28540" xr:uid="{00000000-0005-0000-0000-000044420000}"/>
    <cellStyle name="Normal 3 2 3 3 3" xfId="5065" xr:uid="{00000000-0005-0000-0000-000045420000}"/>
    <cellStyle name="Normal 3 2 3 3 3 2" xfId="5066" xr:uid="{00000000-0005-0000-0000-000046420000}"/>
    <cellStyle name="Normal 3 2 3 3 3 2 2" xfId="5067" xr:uid="{00000000-0005-0000-0000-000047420000}"/>
    <cellStyle name="Normal 3 2 3 3 3 2 2 2" xfId="5068" xr:uid="{00000000-0005-0000-0000-000048420000}"/>
    <cellStyle name="Normal 3 2 3 3 3 2 2 2 2" xfId="5069" xr:uid="{00000000-0005-0000-0000-000049420000}"/>
    <cellStyle name="Normal 3 2 3 3 3 2 2 2 2 2" xfId="28568" xr:uid="{00000000-0005-0000-0000-00004A420000}"/>
    <cellStyle name="Normal 3 2 3 3 3 2 2 2 3" xfId="28567" xr:uid="{00000000-0005-0000-0000-00004B420000}"/>
    <cellStyle name="Normal 3 2 3 3 3 2 2 3" xfId="5070" xr:uid="{00000000-0005-0000-0000-00004C420000}"/>
    <cellStyle name="Normal 3 2 3 3 3 2 2 3 2" xfId="28569" xr:uid="{00000000-0005-0000-0000-00004D420000}"/>
    <cellStyle name="Normal 3 2 3 3 3 2 2 4" xfId="28566" xr:uid="{00000000-0005-0000-0000-00004E420000}"/>
    <cellStyle name="Normal 3 2 3 3 3 2 3" xfId="5071" xr:uid="{00000000-0005-0000-0000-00004F420000}"/>
    <cellStyle name="Normal 3 2 3 3 3 2 3 2" xfId="5072" xr:uid="{00000000-0005-0000-0000-000050420000}"/>
    <cellStyle name="Normal 3 2 3 3 3 2 3 2 2" xfId="28571" xr:uid="{00000000-0005-0000-0000-000051420000}"/>
    <cellStyle name="Normal 3 2 3 3 3 2 3 3" xfId="28570" xr:uid="{00000000-0005-0000-0000-000052420000}"/>
    <cellStyle name="Normal 3 2 3 3 3 2 4" xfId="5073" xr:uid="{00000000-0005-0000-0000-000053420000}"/>
    <cellStyle name="Normal 3 2 3 3 3 2 4 2" xfId="28572" xr:uid="{00000000-0005-0000-0000-000054420000}"/>
    <cellStyle name="Normal 3 2 3 3 3 2 5" xfId="20959" xr:uid="{00000000-0005-0000-0000-000055420000}"/>
    <cellStyle name="Normal 3 2 3 3 3 2 5 2" xfId="44274" xr:uid="{00000000-0005-0000-0000-000056420000}"/>
    <cellStyle name="Normal 3 2 3 3 3 2 6" xfId="20960" xr:uid="{00000000-0005-0000-0000-000057420000}"/>
    <cellStyle name="Normal 3 2 3 3 3 2 6 2" xfId="44275" xr:uid="{00000000-0005-0000-0000-000058420000}"/>
    <cellStyle name="Normal 3 2 3 3 3 2 7" xfId="28565" xr:uid="{00000000-0005-0000-0000-000059420000}"/>
    <cellStyle name="Normal 3 2 3 3 3 3" xfId="5074" xr:uid="{00000000-0005-0000-0000-00005A420000}"/>
    <cellStyle name="Normal 3 2 3 3 3 3 2" xfId="5075" xr:uid="{00000000-0005-0000-0000-00005B420000}"/>
    <cellStyle name="Normal 3 2 3 3 3 3 2 2" xfId="5076" xr:uid="{00000000-0005-0000-0000-00005C420000}"/>
    <cellStyle name="Normal 3 2 3 3 3 3 2 2 2" xfId="5077" xr:uid="{00000000-0005-0000-0000-00005D420000}"/>
    <cellStyle name="Normal 3 2 3 3 3 3 2 2 2 2" xfId="28576" xr:uid="{00000000-0005-0000-0000-00005E420000}"/>
    <cellStyle name="Normal 3 2 3 3 3 3 2 2 3" xfId="28575" xr:uid="{00000000-0005-0000-0000-00005F420000}"/>
    <cellStyle name="Normal 3 2 3 3 3 3 2 3" xfId="5078" xr:uid="{00000000-0005-0000-0000-000060420000}"/>
    <cellStyle name="Normal 3 2 3 3 3 3 2 3 2" xfId="28577" xr:uid="{00000000-0005-0000-0000-000061420000}"/>
    <cellStyle name="Normal 3 2 3 3 3 3 2 4" xfId="28574" xr:uid="{00000000-0005-0000-0000-000062420000}"/>
    <cellStyle name="Normal 3 2 3 3 3 3 3" xfId="5079" xr:uid="{00000000-0005-0000-0000-000063420000}"/>
    <cellStyle name="Normal 3 2 3 3 3 3 3 2" xfId="5080" xr:uid="{00000000-0005-0000-0000-000064420000}"/>
    <cellStyle name="Normal 3 2 3 3 3 3 3 2 2" xfId="28579" xr:uid="{00000000-0005-0000-0000-000065420000}"/>
    <cellStyle name="Normal 3 2 3 3 3 3 3 3" xfId="28578" xr:uid="{00000000-0005-0000-0000-000066420000}"/>
    <cellStyle name="Normal 3 2 3 3 3 3 4" xfId="5081" xr:uid="{00000000-0005-0000-0000-000067420000}"/>
    <cellStyle name="Normal 3 2 3 3 3 3 4 2" xfId="28580" xr:uid="{00000000-0005-0000-0000-000068420000}"/>
    <cellStyle name="Normal 3 2 3 3 3 3 5" xfId="28573" xr:uid="{00000000-0005-0000-0000-000069420000}"/>
    <cellStyle name="Normal 3 2 3 3 3 4" xfId="5082" xr:uid="{00000000-0005-0000-0000-00006A420000}"/>
    <cellStyle name="Normal 3 2 3 3 3 4 2" xfId="5083" xr:uid="{00000000-0005-0000-0000-00006B420000}"/>
    <cellStyle name="Normal 3 2 3 3 3 4 2 2" xfId="5084" xr:uid="{00000000-0005-0000-0000-00006C420000}"/>
    <cellStyle name="Normal 3 2 3 3 3 4 2 2 2" xfId="28583" xr:uid="{00000000-0005-0000-0000-00006D420000}"/>
    <cellStyle name="Normal 3 2 3 3 3 4 2 3" xfId="28582" xr:uid="{00000000-0005-0000-0000-00006E420000}"/>
    <cellStyle name="Normal 3 2 3 3 3 4 3" xfId="5085" xr:uid="{00000000-0005-0000-0000-00006F420000}"/>
    <cellStyle name="Normal 3 2 3 3 3 4 3 2" xfId="28584" xr:uid="{00000000-0005-0000-0000-000070420000}"/>
    <cellStyle name="Normal 3 2 3 3 3 4 4" xfId="28581" xr:uid="{00000000-0005-0000-0000-000071420000}"/>
    <cellStyle name="Normal 3 2 3 3 3 5" xfId="5086" xr:uid="{00000000-0005-0000-0000-000072420000}"/>
    <cellStyle name="Normal 3 2 3 3 3 5 2" xfId="5087" xr:uid="{00000000-0005-0000-0000-000073420000}"/>
    <cellStyle name="Normal 3 2 3 3 3 5 2 2" xfId="28586" xr:uid="{00000000-0005-0000-0000-000074420000}"/>
    <cellStyle name="Normal 3 2 3 3 3 5 3" xfId="28585" xr:uid="{00000000-0005-0000-0000-000075420000}"/>
    <cellStyle name="Normal 3 2 3 3 3 6" xfId="5088" xr:uid="{00000000-0005-0000-0000-000076420000}"/>
    <cellStyle name="Normal 3 2 3 3 3 6 2" xfId="28587" xr:uid="{00000000-0005-0000-0000-000077420000}"/>
    <cellStyle name="Normal 3 2 3 3 3 7" xfId="20961" xr:uid="{00000000-0005-0000-0000-000078420000}"/>
    <cellStyle name="Normal 3 2 3 3 3 7 2" xfId="44276" xr:uid="{00000000-0005-0000-0000-000079420000}"/>
    <cellStyle name="Normal 3 2 3 3 3 8" xfId="28564" xr:uid="{00000000-0005-0000-0000-00007A420000}"/>
    <cellStyle name="Normal 3 2 3 3 4" xfId="5089" xr:uid="{00000000-0005-0000-0000-00007B420000}"/>
    <cellStyle name="Normal 3 2 3 3 4 2" xfId="5090" xr:uid="{00000000-0005-0000-0000-00007C420000}"/>
    <cellStyle name="Normal 3 2 3 3 4 2 2" xfId="5091" xr:uid="{00000000-0005-0000-0000-00007D420000}"/>
    <cellStyle name="Normal 3 2 3 3 4 2 2 2" xfId="5092" xr:uid="{00000000-0005-0000-0000-00007E420000}"/>
    <cellStyle name="Normal 3 2 3 3 4 2 2 2 2" xfId="5093" xr:uid="{00000000-0005-0000-0000-00007F420000}"/>
    <cellStyle name="Normal 3 2 3 3 4 2 2 2 2 2" xfId="28592" xr:uid="{00000000-0005-0000-0000-000080420000}"/>
    <cellStyle name="Normal 3 2 3 3 4 2 2 2 3" xfId="28591" xr:uid="{00000000-0005-0000-0000-000081420000}"/>
    <cellStyle name="Normal 3 2 3 3 4 2 2 3" xfId="5094" xr:uid="{00000000-0005-0000-0000-000082420000}"/>
    <cellStyle name="Normal 3 2 3 3 4 2 2 3 2" xfId="28593" xr:uid="{00000000-0005-0000-0000-000083420000}"/>
    <cellStyle name="Normal 3 2 3 3 4 2 2 4" xfId="28590" xr:uid="{00000000-0005-0000-0000-000084420000}"/>
    <cellStyle name="Normal 3 2 3 3 4 2 3" xfId="5095" xr:uid="{00000000-0005-0000-0000-000085420000}"/>
    <cellStyle name="Normal 3 2 3 3 4 2 3 2" xfId="5096" xr:uid="{00000000-0005-0000-0000-000086420000}"/>
    <cellStyle name="Normal 3 2 3 3 4 2 3 2 2" xfId="28595" xr:uid="{00000000-0005-0000-0000-000087420000}"/>
    <cellStyle name="Normal 3 2 3 3 4 2 3 3" xfId="28594" xr:uid="{00000000-0005-0000-0000-000088420000}"/>
    <cellStyle name="Normal 3 2 3 3 4 2 4" xfId="5097" xr:uid="{00000000-0005-0000-0000-000089420000}"/>
    <cellStyle name="Normal 3 2 3 3 4 2 4 2" xfId="28596" xr:uid="{00000000-0005-0000-0000-00008A420000}"/>
    <cellStyle name="Normal 3 2 3 3 4 2 5" xfId="28589" xr:uid="{00000000-0005-0000-0000-00008B420000}"/>
    <cellStyle name="Normal 3 2 3 3 4 3" xfId="5098" xr:uid="{00000000-0005-0000-0000-00008C420000}"/>
    <cellStyle name="Normal 3 2 3 3 4 3 2" xfId="5099" xr:uid="{00000000-0005-0000-0000-00008D420000}"/>
    <cellStyle name="Normal 3 2 3 3 4 3 2 2" xfId="5100" xr:uid="{00000000-0005-0000-0000-00008E420000}"/>
    <cellStyle name="Normal 3 2 3 3 4 3 2 2 2" xfId="5101" xr:uid="{00000000-0005-0000-0000-00008F420000}"/>
    <cellStyle name="Normal 3 2 3 3 4 3 2 2 2 2" xfId="28600" xr:uid="{00000000-0005-0000-0000-000090420000}"/>
    <cellStyle name="Normal 3 2 3 3 4 3 2 2 3" xfId="28599" xr:uid="{00000000-0005-0000-0000-000091420000}"/>
    <cellStyle name="Normal 3 2 3 3 4 3 2 3" xfId="5102" xr:uid="{00000000-0005-0000-0000-000092420000}"/>
    <cellStyle name="Normal 3 2 3 3 4 3 2 3 2" xfId="28601" xr:uid="{00000000-0005-0000-0000-000093420000}"/>
    <cellStyle name="Normal 3 2 3 3 4 3 2 4" xfId="28598" xr:uid="{00000000-0005-0000-0000-000094420000}"/>
    <cellStyle name="Normal 3 2 3 3 4 3 3" xfId="5103" xr:uid="{00000000-0005-0000-0000-000095420000}"/>
    <cellStyle name="Normal 3 2 3 3 4 3 3 2" xfId="5104" xr:uid="{00000000-0005-0000-0000-000096420000}"/>
    <cellStyle name="Normal 3 2 3 3 4 3 3 2 2" xfId="28603" xr:uid="{00000000-0005-0000-0000-000097420000}"/>
    <cellStyle name="Normal 3 2 3 3 4 3 3 3" xfId="28602" xr:uid="{00000000-0005-0000-0000-000098420000}"/>
    <cellStyle name="Normal 3 2 3 3 4 3 4" xfId="5105" xr:uid="{00000000-0005-0000-0000-000099420000}"/>
    <cellStyle name="Normal 3 2 3 3 4 3 4 2" xfId="28604" xr:uid="{00000000-0005-0000-0000-00009A420000}"/>
    <cellStyle name="Normal 3 2 3 3 4 3 5" xfId="28597" xr:uid="{00000000-0005-0000-0000-00009B420000}"/>
    <cellStyle name="Normal 3 2 3 3 4 4" xfId="5106" xr:uid="{00000000-0005-0000-0000-00009C420000}"/>
    <cellStyle name="Normal 3 2 3 3 4 4 2" xfId="5107" xr:uid="{00000000-0005-0000-0000-00009D420000}"/>
    <cellStyle name="Normal 3 2 3 3 4 4 2 2" xfId="5108" xr:uid="{00000000-0005-0000-0000-00009E420000}"/>
    <cellStyle name="Normal 3 2 3 3 4 4 2 2 2" xfId="28607" xr:uid="{00000000-0005-0000-0000-00009F420000}"/>
    <cellStyle name="Normal 3 2 3 3 4 4 2 3" xfId="28606" xr:uid="{00000000-0005-0000-0000-0000A0420000}"/>
    <cellStyle name="Normal 3 2 3 3 4 4 3" xfId="5109" xr:uid="{00000000-0005-0000-0000-0000A1420000}"/>
    <cellStyle name="Normal 3 2 3 3 4 4 3 2" xfId="28608" xr:uid="{00000000-0005-0000-0000-0000A2420000}"/>
    <cellStyle name="Normal 3 2 3 3 4 4 4" xfId="28605" xr:uid="{00000000-0005-0000-0000-0000A3420000}"/>
    <cellStyle name="Normal 3 2 3 3 4 5" xfId="5110" xr:uid="{00000000-0005-0000-0000-0000A4420000}"/>
    <cellStyle name="Normal 3 2 3 3 4 5 2" xfId="5111" xr:uid="{00000000-0005-0000-0000-0000A5420000}"/>
    <cellStyle name="Normal 3 2 3 3 4 5 2 2" xfId="28610" xr:uid="{00000000-0005-0000-0000-0000A6420000}"/>
    <cellStyle name="Normal 3 2 3 3 4 5 3" xfId="28609" xr:uid="{00000000-0005-0000-0000-0000A7420000}"/>
    <cellStyle name="Normal 3 2 3 3 4 6" xfId="5112" xr:uid="{00000000-0005-0000-0000-0000A8420000}"/>
    <cellStyle name="Normal 3 2 3 3 4 6 2" xfId="28611" xr:uid="{00000000-0005-0000-0000-0000A9420000}"/>
    <cellStyle name="Normal 3 2 3 3 4 7" xfId="28588" xr:uid="{00000000-0005-0000-0000-0000AA420000}"/>
    <cellStyle name="Normal 3 2 3 3 5" xfId="5113" xr:uid="{00000000-0005-0000-0000-0000AB420000}"/>
    <cellStyle name="Normal 3 2 3 3 5 2" xfId="5114" xr:uid="{00000000-0005-0000-0000-0000AC420000}"/>
    <cellStyle name="Normal 3 2 3 3 5 2 2" xfId="5115" xr:uid="{00000000-0005-0000-0000-0000AD420000}"/>
    <cellStyle name="Normal 3 2 3 3 5 2 2 2" xfId="5116" xr:uid="{00000000-0005-0000-0000-0000AE420000}"/>
    <cellStyle name="Normal 3 2 3 3 5 2 2 2 2" xfId="28615" xr:uid="{00000000-0005-0000-0000-0000AF420000}"/>
    <cellStyle name="Normal 3 2 3 3 5 2 2 3" xfId="28614" xr:uid="{00000000-0005-0000-0000-0000B0420000}"/>
    <cellStyle name="Normal 3 2 3 3 5 2 3" xfId="5117" xr:uid="{00000000-0005-0000-0000-0000B1420000}"/>
    <cellStyle name="Normal 3 2 3 3 5 2 3 2" xfId="28616" xr:uid="{00000000-0005-0000-0000-0000B2420000}"/>
    <cellStyle name="Normal 3 2 3 3 5 2 4" xfId="28613" xr:uid="{00000000-0005-0000-0000-0000B3420000}"/>
    <cellStyle name="Normal 3 2 3 3 5 3" xfId="5118" xr:uid="{00000000-0005-0000-0000-0000B4420000}"/>
    <cellStyle name="Normal 3 2 3 3 5 3 2" xfId="5119" xr:uid="{00000000-0005-0000-0000-0000B5420000}"/>
    <cellStyle name="Normal 3 2 3 3 5 3 2 2" xfId="28618" xr:uid="{00000000-0005-0000-0000-0000B6420000}"/>
    <cellStyle name="Normal 3 2 3 3 5 3 3" xfId="28617" xr:uid="{00000000-0005-0000-0000-0000B7420000}"/>
    <cellStyle name="Normal 3 2 3 3 5 4" xfId="5120" xr:uid="{00000000-0005-0000-0000-0000B8420000}"/>
    <cellStyle name="Normal 3 2 3 3 5 4 2" xfId="28619" xr:uid="{00000000-0005-0000-0000-0000B9420000}"/>
    <cellStyle name="Normal 3 2 3 3 5 5" xfId="28612" xr:uid="{00000000-0005-0000-0000-0000BA420000}"/>
    <cellStyle name="Normal 3 2 3 3 6" xfId="5121" xr:uid="{00000000-0005-0000-0000-0000BB420000}"/>
    <cellStyle name="Normal 3 2 3 3 6 2" xfId="5122" xr:uid="{00000000-0005-0000-0000-0000BC420000}"/>
    <cellStyle name="Normal 3 2 3 3 6 2 2" xfId="5123" xr:uid="{00000000-0005-0000-0000-0000BD420000}"/>
    <cellStyle name="Normal 3 2 3 3 6 2 2 2" xfId="5124" xr:uid="{00000000-0005-0000-0000-0000BE420000}"/>
    <cellStyle name="Normal 3 2 3 3 6 2 2 2 2" xfId="28623" xr:uid="{00000000-0005-0000-0000-0000BF420000}"/>
    <cellStyle name="Normal 3 2 3 3 6 2 2 3" xfId="28622" xr:uid="{00000000-0005-0000-0000-0000C0420000}"/>
    <cellStyle name="Normal 3 2 3 3 6 2 3" xfId="5125" xr:uid="{00000000-0005-0000-0000-0000C1420000}"/>
    <cellStyle name="Normal 3 2 3 3 6 2 3 2" xfId="28624" xr:uid="{00000000-0005-0000-0000-0000C2420000}"/>
    <cellStyle name="Normal 3 2 3 3 6 2 4" xfId="28621" xr:uid="{00000000-0005-0000-0000-0000C3420000}"/>
    <cellStyle name="Normal 3 2 3 3 6 3" xfId="5126" xr:uid="{00000000-0005-0000-0000-0000C4420000}"/>
    <cellStyle name="Normal 3 2 3 3 6 3 2" xfId="5127" xr:uid="{00000000-0005-0000-0000-0000C5420000}"/>
    <cellStyle name="Normal 3 2 3 3 6 3 2 2" xfId="28626" xr:uid="{00000000-0005-0000-0000-0000C6420000}"/>
    <cellStyle name="Normal 3 2 3 3 6 3 3" xfId="28625" xr:uid="{00000000-0005-0000-0000-0000C7420000}"/>
    <cellStyle name="Normal 3 2 3 3 6 4" xfId="5128" xr:uid="{00000000-0005-0000-0000-0000C8420000}"/>
    <cellStyle name="Normal 3 2 3 3 6 4 2" xfId="28627" xr:uid="{00000000-0005-0000-0000-0000C9420000}"/>
    <cellStyle name="Normal 3 2 3 3 6 5" xfId="28620" xr:uid="{00000000-0005-0000-0000-0000CA420000}"/>
    <cellStyle name="Normal 3 2 3 3 7" xfId="5129" xr:uid="{00000000-0005-0000-0000-0000CB420000}"/>
    <cellStyle name="Normal 3 2 3 3 7 2" xfId="5130" xr:uid="{00000000-0005-0000-0000-0000CC420000}"/>
    <cellStyle name="Normal 3 2 3 3 7 2 2" xfId="5131" xr:uid="{00000000-0005-0000-0000-0000CD420000}"/>
    <cellStyle name="Normal 3 2 3 3 7 2 2 2" xfId="28630" xr:uid="{00000000-0005-0000-0000-0000CE420000}"/>
    <cellStyle name="Normal 3 2 3 3 7 2 3" xfId="28629" xr:uid="{00000000-0005-0000-0000-0000CF420000}"/>
    <cellStyle name="Normal 3 2 3 3 7 3" xfId="5132" xr:uid="{00000000-0005-0000-0000-0000D0420000}"/>
    <cellStyle name="Normal 3 2 3 3 7 3 2" xfId="28631" xr:uid="{00000000-0005-0000-0000-0000D1420000}"/>
    <cellStyle name="Normal 3 2 3 3 7 4" xfId="28628" xr:uid="{00000000-0005-0000-0000-0000D2420000}"/>
    <cellStyle name="Normal 3 2 3 3 8" xfId="5133" xr:uid="{00000000-0005-0000-0000-0000D3420000}"/>
    <cellStyle name="Normal 3 2 3 3 8 2" xfId="5134" xr:uid="{00000000-0005-0000-0000-0000D4420000}"/>
    <cellStyle name="Normal 3 2 3 3 8 2 2" xfId="28633" xr:uid="{00000000-0005-0000-0000-0000D5420000}"/>
    <cellStyle name="Normal 3 2 3 3 8 3" xfId="28632" xr:uid="{00000000-0005-0000-0000-0000D6420000}"/>
    <cellStyle name="Normal 3 2 3 3 9" xfId="5135" xr:uid="{00000000-0005-0000-0000-0000D7420000}"/>
    <cellStyle name="Normal 3 2 3 3 9 2" xfId="28634" xr:uid="{00000000-0005-0000-0000-0000D8420000}"/>
    <cellStyle name="Normal 3 2 3 4" xfId="5136" xr:uid="{00000000-0005-0000-0000-0000D9420000}"/>
    <cellStyle name="Normal 3 2 3 4 10" xfId="28635" xr:uid="{00000000-0005-0000-0000-0000DA420000}"/>
    <cellStyle name="Normal 3 2 3 4 2" xfId="5137" xr:uid="{00000000-0005-0000-0000-0000DB420000}"/>
    <cellStyle name="Normal 3 2 3 4 2 2" xfId="5138" xr:uid="{00000000-0005-0000-0000-0000DC420000}"/>
    <cellStyle name="Normal 3 2 3 4 2 2 2" xfId="5139" xr:uid="{00000000-0005-0000-0000-0000DD420000}"/>
    <cellStyle name="Normal 3 2 3 4 2 2 2 2" xfId="5140" xr:uid="{00000000-0005-0000-0000-0000DE420000}"/>
    <cellStyle name="Normal 3 2 3 4 2 2 2 2 2" xfId="5141" xr:uid="{00000000-0005-0000-0000-0000DF420000}"/>
    <cellStyle name="Normal 3 2 3 4 2 2 2 2 2 2" xfId="28640" xr:uid="{00000000-0005-0000-0000-0000E0420000}"/>
    <cellStyle name="Normal 3 2 3 4 2 2 2 2 3" xfId="28639" xr:uid="{00000000-0005-0000-0000-0000E1420000}"/>
    <cellStyle name="Normal 3 2 3 4 2 2 2 3" xfId="5142" xr:uid="{00000000-0005-0000-0000-0000E2420000}"/>
    <cellStyle name="Normal 3 2 3 4 2 2 2 3 2" xfId="28641" xr:uid="{00000000-0005-0000-0000-0000E3420000}"/>
    <cellStyle name="Normal 3 2 3 4 2 2 2 4" xfId="28638" xr:uid="{00000000-0005-0000-0000-0000E4420000}"/>
    <cellStyle name="Normal 3 2 3 4 2 2 3" xfId="5143" xr:uid="{00000000-0005-0000-0000-0000E5420000}"/>
    <cellStyle name="Normal 3 2 3 4 2 2 3 2" xfId="5144" xr:uid="{00000000-0005-0000-0000-0000E6420000}"/>
    <cellStyle name="Normal 3 2 3 4 2 2 3 2 2" xfId="28643" xr:uid="{00000000-0005-0000-0000-0000E7420000}"/>
    <cellStyle name="Normal 3 2 3 4 2 2 3 3" xfId="28642" xr:uid="{00000000-0005-0000-0000-0000E8420000}"/>
    <cellStyle name="Normal 3 2 3 4 2 2 4" xfId="5145" xr:uid="{00000000-0005-0000-0000-0000E9420000}"/>
    <cellStyle name="Normal 3 2 3 4 2 2 4 2" xfId="28644" xr:uid="{00000000-0005-0000-0000-0000EA420000}"/>
    <cellStyle name="Normal 3 2 3 4 2 2 5" xfId="20962" xr:uid="{00000000-0005-0000-0000-0000EB420000}"/>
    <cellStyle name="Normal 3 2 3 4 2 2 5 2" xfId="44277" xr:uid="{00000000-0005-0000-0000-0000EC420000}"/>
    <cellStyle name="Normal 3 2 3 4 2 2 6" xfId="20963" xr:uid="{00000000-0005-0000-0000-0000ED420000}"/>
    <cellStyle name="Normal 3 2 3 4 2 2 6 2" xfId="44278" xr:uid="{00000000-0005-0000-0000-0000EE420000}"/>
    <cellStyle name="Normal 3 2 3 4 2 2 7" xfId="28637" xr:uid="{00000000-0005-0000-0000-0000EF420000}"/>
    <cellStyle name="Normal 3 2 3 4 2 3" xfId="5146" xr:uid="{00000000-0005-0000-0000-0000F0420000}"/>
    <cellStyle name="Normal 3 2 3 4 2 3 2" xfId="5147" xr:uid="{00000000-0005-0000-0000-0000F1420000}"/>
    <cellStyle name="Normal 3 2 3 4 2 3 2 2" xfId="5148" xr:uid="{00000000-0005-0000-0000-0000F2420000}"/>
    <cellStyle name="Normal 3 2 3 4 2 3 2 2 2" xfId="5149" xr:uid="{00000000-0005-0000-0000-0000F3420000}"/>
    <cellStyle name="Normal 3 2 3 4 2 3 2 2 2 2" xfId="28648" xr:uid="{00000000-0005-0000-0000-0000F4420000}"/>
    <cellStyle name="Normal 3 2 3 4 2 3 2 2 3" xfId="28647" xr:uid="{00000000-0005-0000-0000-0000F5420000}"/>
    <cellStyle name="Normal 3 2 3 4 2 3 2 3" xfId="5150" xr:uid="{00000000-0005-0000-0000-0000F6420000}"/>
    <cellStyle name="Normal 3 2 3 4 2 3 2 3 2" xfId="28649" xr:uid="{00000000-0005-0000-0000-0000F7420000}"/>
    <cellStyle name="Normal 3 2 3 4 2 3 2 4" xfId="28646" xr:uid="{00000000-0005-0000-0000-0000F8420000}"/>
    <cellStyle name="Normal 3 2 3 4 2 3 3" xfId="5151" xr:uid="{00000000-0005-0000-0000-0000F9420000}"/>
    <cellStyle name="Normal 3 2 3 4 2 3 3 2" xfId="5152" xr:uid="{00000000-0005-0000-0000-0000FA420000}"/>
    <cellStyle name="Normal 3 2 3 4 2 3 3 2 2" xfId="28651" xr:uid="{00000000-0005-0000-0000-0000FB420000}"/>
    <cellStyle name="Normal 3 2 3 4 2 3 3 3" xfId="28650" xr:uid="{00000000-0005-0000-0000-0000FC420000}"/>
    <cellStyle name="Normal 3 2 3 4 2 3 4" xfId="5153" xr:uid="{00000000-0005-0000-0000-0000FD420000}"/>
    <cellStyle name="Normal 3 2 3 4 2 3 4 2" xfId="28652" xr:uid="{00000000-0005-0000-0000-0000FE420000}"/>
    <cellStyle name="Normal 3 2 3 4 2 3 5" xfId="28645" xr:uid="{00000000-0005-0000-0000-0000FF420000}"/>
    <cellStyle name="Normal 3 2 3 4 2 4" xfId="5154" xr:uid="{00000000-0005-0000-0000-000000430000}"/>
    <cellStyle name="Normal 3 2 3 4 2 4 2" xfId="5155" xr:uid="{00000000-0005-0000-0000-000001430000}"/>
    <cellStyle name="Normal 3 2 3 4 2 4 2 2" xfId="5156" xr:uid="{00000000-0005-0000-0000-000002430000}"/>
    <cellStyle name="Normal 3 2 3 4 2 4 2 2 2" xfId="28655" xr:uid="{00000000-0005-0000-0000-000003430000}"/>
    <cellStyle name="Normal 3 2 3 4 2 4 2 3" xfId="28654" xr:uid="{00000000-0005-0000-0000-000004430000}"/>
    <cellStyle name="Normal 3 2 3 4 2 4 3" xfId="5157" xr:uid="{00000000-0005-0000-0000-000005430000}"/>
    <cellStyle name="Normal 3 2 3 4 2 4 3 2" xfId="28656" xr:uid="{00000000-0005-0000-0000-000006430000}"/>
    <cellStyle name="Normal 3 2 3 4 2 4 4" xfId="28653" xr:uid="{00000000-0005-0000-0000-000007430000}"/>
    <cellStyle name="Normal 3 2 3 4 2 5" xfId="5158" xr:uid="{00000000-0005-0000-0000-000008430000}"/>
    <cellStyle name="Normal 3 2 3 4 2 5 2" xfId="5159" xr:uid="{00000000-0005-0000-0000-000009430000}"/>
    <cellStyle name="Normal 3 2 3 4 2 5 2 2" xfId="28658" xr:uid="{00000000-0005-0000-0000-00000A430000}"/>
    <cellStyle name="Normal 3 2 3 4 2 5 3" xfId="28657" xr:uid="{00000000-0005-0000-0000-00000B430000}"/>
    <cellStyle name="Normal 3 2 3 4 2 6" xfId="5160" xr:uid="{00000000-0005-0000-0000-00000C430000}"/>
    <cellStyle name="Normal 3 2 3 4 2 6 2" xfId="28659" xr:uid="{00000000-0005-0000-0000-00000D430000}"/>
    <cellStyle name="Normal 3 2 3 4 2 7" xfId="20964" xr:uid="{00000000-0005-0000-0000-00000E430000}"/>
    <cellStyle name="Normal 3 2 3 4 2 7 2" xfId="44279" xr:uid="{00000000-0005-0000-0000-00000F430000}"/>
    <cellStyle name="Normal 3 2 3 4 2 8" xfId="28636" xr:uid="{00000000-0005-0000-0000-000010430000}"/>
    <cellStyle name="Normal 3 2 3 4 3" xfId="5161" xr:uid="{00000000-0005-0000-0000-000011430000}"/>
    <cellStyle name="Normal 3 2 3 4 3 2" xfId="5162" xr:uid="{00000000-0005-0000-0000-000012430000}"/>
    <cellStyle name="Normal 3 2 3 4 3 2 2" xfId="5163" xr:uid="{00000000-0005-0000-0000-000013430000}"/>
    <cellStyle name="Normal 3 2 3 4 3 2 2 2" xfId="5164" xr:uid="{00000000-0005-0000-0000-000014430000}"/>
    <cellStyle name="Normal 3 2 3 4 3 2 2 2 2" xfId="5165" xr:uid="{00000000-0005-0000-0000-000015430000}"/>
    <cellStyle name="Normal 3 2 3 4 3 2 2 2 2 2" xfId="28664" xr:uid="{00000000-0005-0000-0000-000016430000}"/>
    <cellStyle name="Normal 3 2 3 4 3 2 2 2 3" xfId="28663" xr:uid="{00000000-0005-0000-0000-000017430000}"/>
    <cellStyle name="Normal 3 2 3 4 3 2 2 3" xfId="5166" xr:uid="{00000000-0005-0000-0000-000018430000}"/>
    <cellStyle name="Normal 3 2 3 4 3 2 2 3 2" xfId="28665" xr:uid="{00000000-0005-0000-0000-000019430000}"/>
    <cellStyle name="Normal 3 2 3 4 3 2 2 4" xfId="28662" xr:uid="{00000000-0005-0000-0000-00001A430000}"/>
    <cellStyle name="Normal 3 2 3 4 3 2 3" xfId="5167" xr:uid="{00000000-0005-0000-0000-00001B430000}"/>
    <cellStyle name="Normal 3 2 3 4 3 2 3 2" xfId="5168" xr:uid="{00000000-0005-0000-0000-00001C430000}"/>
    <cellStyle name="Normal 3 2 3 4 3 2 3 2 2" xfId="28667" xr:uid="{00000000-0005-0000-0000-00001D430000}"/>
    <cellStyle name="Normal 3 2 3 4 3 2 3 3" xfId="28666" xr:uid="{00000000-0005-0000-0000-00001E430000}"/>
    <cellStyle name="Normal 3 2 3 4 3 2 4" xfId="5169" xr:uid="{00000000-0005-0000-0000-00001F430000}"/>
    <cellStyle name="Normal 3 2 3 4 3 2 4 2" xfId="28668" xr:uid="{00000000-0005-0000-0000-000020430000}"/>
    <cellStyle name="Normal 3 2 3 4 3 2 5" xfId="20965" xr:uid="{00000000-0005-0000-0000-000021430000}"/>
    <cellStyle name="Normal 3 2 3 4 3 2 5 2" xfId="44280" xr:uid="{00000000-0005-0000-0000-000022430000}"/>
    <cellStyle name="Normal 3 2 3 4 3 2 6" xfId="20966" xr:uid="{00000000-0005-0000-0000-000023430000}"/>
    <cellStyle name="Normal 3 2 3 4 3 2 6 2" xfId="44281" xr:uid="{00000000-0005-0000-0000-000024430000}"/>
    <cellStyle name="Normal 3 2 3 4 3 2 7" xfId="28661" xr:uid="{00000000-0005-0000-0000-000025430000}"/>
    <cellStyle name="Normal 3 2 3 4 3 3" xfId="5170" xr:uid="{00000000-0005-0000-0000-000026430000}"/>
    <cellStyle name="Normal 3 2 3 4 3 3 2" xfId="5171" xr:uid="{00000000-0005-0000-0000-000027430000}"/>
    <cellStyle name="Normal 3 2 3 4 3 3 2 2" xfId="5172" xr:uid="{00000000-0005-0000-0000-000028430000}"/>
    <cellStyle name="Normal 3 2 3 4 3 3 2 2 2" xfId="5173" xr:uid="{00000000-0005-0000-0000-000029430000}"/>
    <cellStyle name="Normal 3 2 3 4 3 3 2 2 2 2" xfId="28672" xr:uid="{00000000-0005-0000-0000-00002A430000}"/>
    <cellStyle name="Normal 3 2 3 4 3 3 2 2 3" xfId="28671" xr:uid="{00000000-0005-0000-0000-00002B430000}"/>
    <cellStyle name="Normal 3 2 3 4 3 3 2 3" xfId="5174" xr:uid="{00000000-0005-0000-0000-00002C430000}"/>
    <cellStyle name="Normal 3 2 3 4 3 3 2 3 2" xfId="28673" xr:uid="{00000000-0005-0000-0000-00002D430000}"/>
    <cellStyle name="Normal 3 2 3 4 3 3 2 4" xfId="28670" xr:uid="{00000000-0005-0000-0000-00002E430000}"/>
    <cellStyle name="Normal 3 2 3 4 3 3 3" xfId="5175" xr:uid="{00000000-0005-0000-0000-00002F430000}"/>
    <cellStyle name="Normal 3 2 3 4 3 3 3 2" xfId="5176" xr:uid="{00000000-0005-0000-0000-000030430000}"/>
    <cellStyle name="Normal 3 2 3 4 3 3 3 2 2" xfId="28675" xr:uid="{00000000-0005-0000-0000-000031430000}"/>
    <cellStyle name="Normal 3 2 3 4 3 3 3 3" xfId="28674" xr:uid="{00000000-0005-0000-0000-000032430000}"/>
    <cellStyle name="Normal 3 2 3 4 3 3 4" xfId="5177" xr:uid="{00000000-0005-0000-0000-000033430000}"/>
    <cellStyle name="Normal 3 2 3 4 3 3 4 2" xfId="28676" xr:uid="{00000000-0005-0000-0000-000034430000}"/>
    <cellStyle name="Normal 3 2 3 4 3 3 5" xfId="28669" xr:uid="{00000000-0005-0000-0000-000035430000}"/>
    <cellStyle name="Normal 3 2 3 4 3 4" xfId="5178" xr:uid="{00000000-0005-0000-0000-000036430000}"/>
    <cellStyle name="Normal 3 2 3 4 3 4 2" xfId="5179" xr:uid="{00000000-0005-0000-0000-000037430000}"/>
    <cellStyle name="Normal 3 2 3 4 3 4 2 2" xfId="5180" xr:uid="{00000000-0005-0000-0000-000038430000}"/>
    <cellStyle name="Normal 3 2 3 4 3 4 2 2 2" xfId="28679" xr:uid="{00000000-0005-0000-0000-000039430000}"/>
    <cellStyle name="Normal 3 2 3 4 3 4 2 3" xfId="28678" xr:uid="{00000000-0005-0000-0000-00003A430000}"/>
    <cellStyle name="Normal 3 2 3 4 3 4 3" xfId="5181" xr:uid="{00000000-0005-0000-0000-00003B430000}"/>
    <cellStyle name="Normal 3 2 3 4 3 4 3 2" xfId="28680" xr:uid="{00000000-0005-0000-0000-00003C430000}"/>
    <cellStyle name="Normal 3 2 3 4 3 4 4" xfId="28677" xr:uid="{00000000-0005-0000-0000-00003D430000}"/>
    <cellStyle name="Normal 3 2 3 4 3 5" xfId="5182" xr:uid="{00000000-0005-0000-0000-00003E430000}"/>
    <cellStyle name="Normal 3 2 3 4 3 5 2" xfId="5183" xr:uid="{00000000-0005-0000-0000-00003F430000}"/>
    <cellStyle name="Normal 3 2 3 4 3 5 2 2" xfId="28682" xr:uid="{00000000-0005-0000-0000-000040430000}"/>
    <cellStyle name="Normal 3 2 3 4 3 5 3" xfId="28681" xr:uid="{00000000-0005-0000-0000-000041430000}"/>
    <cellStyle name="Normal 3 2 3 4 3 6" xfId="5184" xr:uid="{00000000-0005-0000-0000-000042430000}"/>
    <cellStyle name="Normal 3 2 3 4 3 6 2" xfId="28683" xr:uid="{00000000-0005-0000-0000-000043430000}"/>
    <cellStyle name="Normal 3 2 3 4 3 7" xfId="20967" xr:uid="{00000000-0005-0000-0000-000044430000}"/>
    <cellStyle name="Normal 3 2 3 4 3 7 2" xfId="44282" xr:uid="{00000000-0005-0000-0000-000045430000}"/>
    <cellStyle name="Normal 3 2 3 4 3 8" xfId="28660" xr:uid="{00000000-0005-0000-0000-000046430000}"/>
    <cellStyle name="Normal 3 2 3 4 4" xfId="5185" xr:uid="{00000000-0005-0000-0000-000047430000}"/>
    <cellStyle name="Normal 3 2 3 4 4 2" xfId="5186" xr:uid="{00000000-0005-0000-0000-000048430000}"/>
    <cellStyle name="Normal 3 2 3 4 4 2 2" xfId="5187" xr:uid="{00000000-0005-0000-0000-000049430000}"/>
    <cellStyle name="Normal 3 2 3 4 4 2 2 2" xfId="5188" xr:uid="{00000000-0005-0000-0000-00004A430000}"/>
    <cellStyle name="Normal 3 2 3 4 4 2 2 2 2" xfId="5189" xr:uid="{00000000-0005-0000-0000-00004B430000}"/>
    <cellStyle name="Normal 3 2 3 4 4 2 2 2 2 2" xfId="28688" xr:uid="{00000000-0005-0000-0000-00004C430000}"/>
    <cellStyle name="Normal 3 2 3 4 4 2 2 2 3" xfId="28687" xr:uid="{00000000-0005-0000-0000-00004D430000}"/>
    <cellStyle name="Normal 3 2 3 4 4 2 2 3" xfId="5190" xr:uid="{00000000-0005-0000-0000-00004E430000}"/>
    <cellStyle name="Normal 3 2 3 4 4 2 2 3 2" xfId="28689" xr:uid="{00000000-0005-0000-0000-00004F430000}"/>
    <cellStyle name="Normal 3 2 3 4 4 2 2 4" xfId="28686" xr:uid="{00000000-0005-0000-0000-000050430000}"/>
    <cellStyle name="Normal 3 2 3 4 4 2 3" xfId="5191" xr:uid="{00000000-0005-0000-0000-000051430000}"/>
    <cellStyle name="Normal 3 2 3 4 4 2 3 2" xfId="5192" xr:uid="{00000000-0005-0000-0000-000052430000}"/>
    <cellStyle name="Normal 3 2 3 4 4 2 3 2 2" xfId="28691" xr:uid="{00000000-0005-0000-0000-000053430000}"/>
    <cellStyle name="Normal 3 2 3 4 4 2 3 3" xfId="28690" xr:uid="{00000000-0005-0000-0000-000054430000}"/>
    <cellStyle name="Normal 3 2 3 4 4 2 4" xfId="5193" xr:uid="{00000000-0005-0000-0000-000055430000}"/>
    <cellStyle name="Normal 3 2 3 4 4 2 4 2" xfId="28692" xr:uid="{00000000-0005-0000-0000-000056430000}"/>
    <cellStyle name="Normal 3 2 3 4 4 2 5" xfId="28685" xr:uid="{00000000-0005-0000-0000-000057430000}"/>
    <cellStyle name="Normal 3 2 3 4 4 3" xfId="5194" xr:uid="{00000000-0005-0000-0000-000058430000}"/>
    <cellStyle name="Normal 3 2 3 4 4 3 2" xfId="5195" xr:uid="{00000000-0005-0000-0000-000059430000}"/>
    <cellStyle name="Normal 3 2 3 4 4 3 2 2" xfId="5196" xr:uid="{00000000-0005-0000-0000-00005A430000}"/>
    <cellStyle name="Normal 3 2 3 4 4 3 2 2 2" xfId="5197" xr:uid="{00000000-0005-0000-0000-00005B430000}"/>
    <cellStyle name="Normal 3 2 3 4 4 3 2 2 2 2" xfId="28696" xr:uid="{00000000-0005-0000-0000-00005C430000}"/>
    <cellStyle name="Normal 3 2 3 4 4 3 2 2 3" xfId="28695" xr:uid="{00000000-0005-0000-0000-00005D430000}"/>
    <cellStyle name="Normal 3 2 3 4 4 3 2 3" xfId="5198" xr:uid="{00000000-0005-0000-0000-00005E430000}"/>
    <cellStyle name="Normal 3 2 3 4 4 3 2 3 2" xfId="28697" xr:uid="{00000000-0005-0000-0000-00005F430000}"/>
    <cellStyle name="Normal 3 2 3 4 4 3 2 4" xfId="28694" xr:uid="{00000000-0005-0000-0000-000060430000}"/>
    <cellStyle name="Normal 3 2 3 4 4 3 3" xfId="5199" xr:uid="{00000000-0005-0000-0000-000061430000}"/>
    <cellStyle name="Normal 3 2 3 4 4 3 3 2" xfId="5200" xr:uid="{00000000-0005-0000-0000-000062430000}"/>
    <cellStyle name="Normal 3 2 3 4 4 3 3 2 2" xfId="28699" xr:uid="{00000000-0005-0000-0000-000063430000}"/>
    <cellStyle name="Normal 3 2 3 4 4 3 3 3" xfId="28698" xr:uid="{00000000-0005-0000-0000-000064430000}"/>
    <cellStyle name="Normal 3 2 3 4 4 3 4" xfId="5201" xr:uid="{00000000-0005-0000-0000-000065430000}"/>
    <cellStyle name="Normal 3 2 3 4 4 3 4 2" xfId="28700" xr:uid="{00000000-0005-0000-0000-000066430000}"/>
    <cellStyle name="Normal 3 2 3 4 4 3 5" xfId="28693" xr:uid="{00000000-0005-0000-0000-000067430000}"/>
    <cellStyle name="Normal 3 2 3 4 4 4" xfId="5202" xr:uid="{00000000-0005-0000-0000-000068430000}"/>
    <cellStyle name="Normal 3 2 3 4 4 4 2" xfId="5203" xr:uid="{00000000-0005-0000-0000-000069430000}"/>
    <cellStyle name="Normal 3 2 3 4 4 4 2 2" xfId="5204" xr:uid="{00000000-0005-0000-0000-00006A430000}"/>
    <cellStyle name="Normal 3 2 3 4 4 4 2 2 2" xfId="28703" xr:uid="{00000000-0005-0000-0000-00006B430000}"/>
    <cellStyle name="Normal 3 2 3 4 4 4 2 3" xfId="28702" xr:uid="{00000000-0005-0000-0000-00006C430000}"/>
    <cellStyle name="Normal 3 2 3 4 4 4 3" xfId="5205" xr:uid="{00000000-0005-0000-0000-00006D430000}"/>
    <cellStyle name="Normal 3 2 3 4 4 4 3 2" xfId="28704" xr:uid="{00000000-0005-0000-0000-00006E430000}"/>
    <cellStyle name="Normal 3 2 3 4 4 4 4" xfId="28701" xr:uid="{00000000-0005-0000-0000-00006F430000}"/>
    <cellStyle name="Normal 3 2 3 4 4 5" xfId="5206" xr:uid="{00000000-0005-0000-0000-000070430000}"/>
    <cellStyle name="Normal 3 2 3 4 4 5 2" xfId="5207" xr:uid="{00000000-0005-0000-0000-000071430000}"/>
    <cellStyle name="Normal 3 2 3 4 4 5 2 2" xfId="28706" xr:uid="{00000000-0005-0000-0000-000072430000}"/>
    <cellStyle name="Normal 3 2 3 4 4 5 3" xfId="28705" xr:uid="{00000000-0005-0000-0000-000073430000}"/>
    <cellStyle name="Normal 3 2 3 4 4 6" xfId="5208" xr:uid="{00000000-0005-0000-0000-000074430000}"/>
    <cellStyle name="Normal 3 2 3 4 4 6 2" xfId="28707" xr:uid="{00000000-0005-0000-0000-000075430000}"/>
    <cellStyle name="Normal 3 2 3 4 4 7" xfId="28684" xr:uid="{00000000-0005-0000-0000-000076430000}"/>
    <cellStyle name="Normal 3 2 3 4 5" xfId="5209" xr:uid="{00000000-0005-0000-0000-000077430000}"/>
    <cellStyle name="Normal 3 2 3 4 5 2" xfId="5210" xr:uid="{00000000-0005-0000-0000-000078430000}"/>
    <cellStyle name="Normal 3 2 3 4 5 2 2" xfId="5211" xr:uid="{00000000-0005-0000-0000-000079430000}"/>
    <cellStyle name="Normal 3 2 3 4 5 2 2 2" xfId="5212" xr:uid="{00000000-0005-0000-0000-00007A430000}"/>
    <cellStyle name="Normal 3 2 3 4 5 2 2 2 2" xfId="28711" xr:uid="{00000000-0005-0000-0000-00007B430000}"/>
    <cellStyle name="Normal 3 2 3 4 5 2 2 3" xfId="28710" xr:uid="{00000000-0005-0000-0000-00007C430000}"/>
    <cellStyle name="Normal 3 2 3 4 5 2 3" xfId="5213" xr:uid="{00000000-0005-0000-0000-00007D430000}"/>
    <cellStyle name="Normal 3 2 3 4 5 2 3 2" xfId="28712" xr:uid="{00000000-0005-0000-0000-00007E430000}"/>
    <cellStyle name="Normal 3 2 3 4 5 2 4" xfId="28709" xr:uid="{00000000-0005-0000-0000-00007F430000}"/>
    <cellStyle name="Normal 3 2 3 4 5 3" xfId="5214" xr:uid="{00000000-0005-0000-0000-000080430000}"/>
    <cellStyle name="Normal 3 2 3 4 5 3 2" xfId="5215" xr:uid="{00000000-0005-0000-0000-000081430000}"/>
    <cellStyle name="Normal 3 2 3 4 5 3 2 2" xfId="28714" xr:uid="{00000000-0005-0000-0000-000082430000}"/>
    <cellStyle name="Normal 3 2 3 4 5 3 3" xfId="28713" xr:uid="{00000000-0005-0000-0000-000083430000}"/>
    <cellStyle name="Normal 3 2 3 4 5 4" xfId="5216" xr:uid="{00000000-0005-0000-0000-000084430000}"/>
    <cellStyle name="Normal 3 2 3 4 5 4 2" xfId="28715" xr:uid="{00000000-0005-0000-0000-000085430000}"/>
    <cellStyle name="Normal 3 2 3 4 5 5" xfId="28708" xr:uid="{00000000-0005-0000-0000-000086430000}"/>
    <cellStyle name="Normal 3 2 3 4 6" xfId="5217" xr:uid="{00000000-0005-0000-0000-000087430000}"/>
    <cellStyle name="Normal 3 2 3 4 6 2" xfId="5218" xr:uid="{00000000-0005-0000-0000-000088430000}"/>
    <cellStyle name="Normal 3 2 3 4 6 2 2" xfId="5219" xr:uid="{00000000-0005-0000-0000-000089430000}"/>
    <cellStyle name="Normal 3 2 3 4 6 2 2 2" xfId="5220" xr:uid="{00000000-0005-0000-0000-00008A430000}"/>
    <cellStyle name="Normal 3 2 3 4 6 2 2 2 2" xfId="28719" xr:uid="{00000000-0005-0000-0000-00008B430000}"/>
    <cellStyle name="Normal 3 2 3 4 6 2 2 3" xfId="28718" xr:uid="{00000000-0005-0000-0000-00008C430000}"/>
    <cellStyle name="Normal 3 2 3 4 6 2 3" xfId="5221" xr:uid="{00000000-0005-0000-0000-00008D430000}"/>
    <cellStyle name="Normal 3 2 3 4 6 2 3 2" xfId="28720" xr:uid="{00000000-0005-0000-0000-00008E430000}"/>
    <cellStyle name="Normal 3 2 3 4 6 2 4" xfId="28717" xr:uid="{00000000-0005-0000-0000-00008F430000}"/>
    <cellStyle name="Normal 3 2 3 4 6 3" xfId="5222" xr:uid="{00000000-0005-0000-0000-000090430000}"/>
    <cellStyle name="Normal 3 2 3 4 6 3 2" xfId="5223" xr:uid="{00000000-0005-0000-0000-000091430000}"/>
    <cellStyle name="Normal 3 2 3 4 6 3 2 2" xfId="28722" xr:uid="{00000000-0005-0000-0000-000092430000}"/>
    <cellStyle name="Normal 3 2 3 4 6 3 3" xfId="28721" xr:uid="{00000000-0005-0000-0000-000093430000}"/>
    <cellStyle name="Normal 3 2 3 4 6 4" xfId="5224" xr:uid="{00000000-0005-0000-0000-000094430000}"/>
    <cellStyle name="Normal 3 2 3 4 6 4 2" xfId="28723" xr:uid="{00000000-0005-0000-0000-000095430000}"/>
    <cellStyle name="Normal 3 2 3 4 6 5" xfId="28716" xr:uid="{00000000-0005-0000-0000-000096430000}"/>
    <cellStyle name="Normal 3 2 3 4 7" xfId="5225" xr:uid="{00000000-0005-0000-0000-000097430000}"/>
    <cellStyle name="Normal 3 2 3 4 7 2" xfId="5226" xr:uid="{00000000-0005-0000-0000-000098430000}"/>
    <cellStyle name="Normal 3 2 3 4 7 2 2" xfId="5227" xr:uid="{00000000-0005-0000-0000-000099430000}"/>
    <cellStyle name="Normal 3 2 3 4 7 2 2 2" xfId="28726" xr:uid="{00000000-0005-0000-0000-00009A430000}"/>
    <cellStyle name="Normal 3 2 3 4 7 2 3" xfId="28725" xr:uid="{00000000-0005-0000-0000-00009B430000}"/>
    <cellStyle name="Normal 3 2 3 4 7 3" xfId="5228" xr:uid="{00000000-0005-0000-0000-00009C430000}"/>
    <cellStyle name="Normal 3 2 3 4 7 3 2" xfId="28727" xr:uid="{00000000-0005-0000-0000-00009D430000}"/>
    <cellStyle name="Normal 3 2 3 4 7 4" xfId="28724" xr:uid="{00000000-0005-0000-0000-00009E430000}"/>
    <cellStyle name="Normal 3 2 3 4 8" xfId="5229" xr:uid="{00000000-0005-0000-0000-00009F430000}"/>
    <cellStyle name="Normal 3 2 3 4 8 2" xfId="5230" xr:uid="{00000000-0005-0000-0000-0000A0430000}"/>
    <cellStyle name="Normal 3 2 3 4 8 2 2" xfId="28729" xr:uid="{00000000-0005-0000-0000-0000A1430000}"/>
    <cellStyle name="Normal 3 2 3 4 8 3" xfId="28728" xr:uid="{00000000-0005-0000-0000-0000A2430000}"/>
    <cellStyle name="Normal 3 2 3 4 9" xfId="5231" xr:uid="{00000000-0005-0000-0000-0000A3430000}"/>
    <cellStyle name="Normal 3 2 3 4 9 2" xfId="28730" xr:uid="{00000000-0005-0000-0000-0000A4430000}"/>
    <cellStyle name="Normal 3 2 3 5" xfId="5232" xr:uid="{00000000-0005-0000-0000-0000A5430000}"/>
    <cellStyle name="Normal 3 2 3 5 2" xfId="5233" xr:uid="{00000000-0005-0000-0000-0000A6430000}"/>
    <cellStyle name="Normal 3 2 3 5 2 2" xfId="5234" xr:uid="{00000000-0005-0000-0000-0000A7430000}"/>
    <cellStyle name="Normal 3 2 3 5 2 2 2" xfId="5235" xr:uid="{00000000-0005-0000-0000-0000A8430000}"/>
    <cellStyle name="Normal 3 2 3 5 2 2 2 2" xfId="5236" xr:uid="{00000000-0005-0000-0000-0000A9430000}"/>
    <cellStyle name="Normal 3 2 3 5 2 2 2 2 2" xfId="28735" xr:uid="{00000000-0005-0000-0000-0000AA430000}"/>
    <cellStyle name="Normal 3 2 3 5 2 2 2 3" xfId="28734" xr:uid="{00000000-0005-0000-0000-0000AB430000}"/>
    <cellStyle name="Normal 3 2 3 5 2 2 3" xfId="5237" xr:uid="{00000000-0005-0000-0000-0000AC430000}"/>
    <cellStyle name="Normal 3 2 3 5 2 2 3 2" xfId="28736" xr:uid="{00000000-0005-0000-0000-0000AD430000}"/>
    <cellStyle name="Normal 3 2 3 5 2 2 4" xfId="28733" xr:uid="{00000000-0005-0000-0000-0000AE430000}"/>
    <cellStyle name="Normal 3 2 3 5 2 3" xfId="5238" xr:uid="{00000000-0005-0000-0000-0000AF430000}"/>
    <cellStyle name="Normal 3 2 3 5 2 3 2" xfId="5239" xr:uid="{00000000-0005-0000-0000-0000B0430000}"/>
    <cellStyle name="Normal 3 2 3 5 2 3 2 2" xfId="28738" xr:uid="{00000000-0005-0000-0000-0000B1430000}"/>
    <cellStyle name="Normal 3 2 3 5 2 3 3" xfId="28737" xr:uid="{00000000-0005-0000-0000-0000B2430000}"/>
    <cellStyle name="Normal 3 2 3 5 2 4" xfId="5240" xr:uid="{00000000-0005-0000-0000-0000B3430000}"/>
    <cellStyle name="Normal 3 2 3 5 2 4 2" xfId="28739" xr:uid="{00000000-0005-0000-0000-0000B4430000}"/>
    <cellStyle name="Normal 3 2 3 5 2 5" xfId="20968" xr:uid="{00000000-0005-0000-0000-0000B5430000}"/>
    <cellStyle name="Normal 3 2 3 5 2 5 2" xfId="44283" xr:uid="{00000000-0005-0000-0000-0000B6430000}"/>
    <cellStyle name="Normal 3 2 3 5 2 6" xfId="20969" xr:uid="{00000000-0005-0000-0000-0000B7430000}"/>
    <cellStyle name="Normal 3 2 3 5 2 6 2" xfId="44284" xr:uid="{00000000-0005-0000-0000-0000B8430000}"/>
    <cellStyle name="Normal 3 2 3 5 2 7" xfId="28732" xr:uid="{00000000-0005-0000-0000-0000B9430000}"/>
    <cellStyle name="Normal 3 2 3 5 3" xfId="5241" xr:uid="{00000000-0005-0000-0000-0000BA430000}"/>
    <cellStyle name="Normal 3 2 3 5 3 2" xfId="5242" xr:uid="{00000000-0005-0000-0000-0000BB430000}"/>
    <cellStyle name="Normal 3 2 3 5 3 2 2" xfId="5243" xr:uid="{00000000-0005-0000-0000-0000BC430000}"/>
    <cellStyle name="Normal 3 2 3 5 3 2 2 2" xfId="5244" xr:uid="{00000000-0005-0000-0000-0000BD430000}"/>
    <cellStyle name="Normal 3 2 3 5 3 2 2 2 2" xfId="28743" xr:uid="{00000000-0005-0000-0000-0000BE430000}"/>
    <cellStyle name="Normal 3 2 3 5 3 2 2 3" xfId="28742" xr:uid="{00000000-0005-0000-0000-0000BF430000}"/>
    <cellStyle name="Normal 3 2 3 5 3 2 3" xfId="5245" xr:uid="{00000000-0005-0000-0000-0000C0430000}"/>
    <cellStyle name="Normal 3 2 3 5 3 2 3 2" xfId="28744" xr:uid="{00000000-0005-0000-0000-0000C1430000}"/>
    <cellStyle name="Normal 3 2 3 5 3 2 4" xfId="28741" xr:uid="{00000000-0005-0000-0000-0000C2430000}"/>
    <cellStyle name="Normal 3 2 3 5 3 3" xfId="5246" xr:uid="{00000000-0005-0000-0000-0000C3430000}"/>
    <cellStyle name="Normal 3 2 3 5 3 3 2" xfId="5247" xr:uid="{00000000-0005-0000-0000-0000C4430000}"/>
    <cellStyle name="Normal 3 2 3 5 3 3 2 2" xfId="28746" xr:uid="{00000000-0005-0000-0000-0000C5430000}"/>
    <cellStyle name="Normal 3 2 3 5 3 3 3" xfId="28745" xr:uid="{00000000-0005-0000-0000-0000C6430000}"/>
    <cellStyle name="Normal 3 2 3 5 3 4" xfId="5248" xr:uid="{00000000-0005-0000-0000-0000C7430000}"/>
    <cellStyle name="Normal 3 2 3 5 3 4 2" xfId="28747" xr:uid="{00000000-0005-0000-0000-0000C8430000}"/>
    <cellStyle name="Normal 3 2 3 5 3 5" xfId="28740" xr:uid="{00000000-0005-0000-0000-0000C9430000}"/>
    <cellStyle name="Normal 3 2 3 5 4" xfId="5249" xr:uid="{00000000-0005-0000-0000-0000CA430000}"/>
    <cellStyle name="Normal 3 2 3 5 4 2" xfId="5250" xr:uid="{00000000-0005-0000-0000-0000CB430000}"/>
    <cellStyle name="Normal 3 2 3 5 4 2 2" xfId="5251" xr:uid="{00000000-0005-0000-0000-0000CC430000}"/>
    <cellStyle name="Normal 3 2 3 5 4 2 2 2" xfId="28750" xr:uid="{00000000-0005-0000-0000-0000CD430000}"/>
    <cellStyle name="Normal 3 2 3 5 4 2 3" xfId="28749" xr:uid="{00000000-0005-0000-0000-0000CE430000}"/>
    <cellStyle name="Normal 3 2 3 5 4 3" xfId="5252" xr:uid="{00000000-0005-0000-0000-0000CF430000}"/>
    <cellStyle name="Normal 3 2 3 5 4 3 2" xfId="28751" xr:uid="{00000000-0005-0000-0000-0000D0430000}"/>
    <cellStyle name="Normal 3 2 3 5 4 4" xfId="28748" xr:uid="{00000000-0005-0000-0000-0000D1430000}"/>
    <cellStyle name="Normal 3 2 3 5 5" xfId="5253" xr:uid="{00000000-0005-0000-0000-0000D2430000}"/>
    <cellStyle name="Normal 3 2 3 5 5 2" xfId="5254" xr:uid="{00000000-0005-0000-0000-0000D3430000}"/>
    <cellStyle name="Normal 3 2 3 5 5 2 2" xfId="28753" xr:uid="{00000000-0005-0000-0000-0000D4430000}"/>
    <cellStyle name="Normal 3 2 3 5 5 3" xfId="28752" xr:uid="{00000000-0005-0000-0000-0000D5430000}"/>
    <cellStyle name="Normal 3 2 3 5 6" xfId="5255" xr:uid="{00000000-0005-0000-0000-0000D6430000}"/>
    <cellStyle name="Normal 3 2 3 5 6 2" xfId="28754" xr:uid="{00000000-0005-0000-0000-0000D7430000}"/>
    <cellStyle name="Normal 3 2 3 5 7" xfId="20970" xr:uid="{00000000-0005-0000-0000-0000D8430000}"/>
    <cellStyle name="Normal 3 2 3 5 7 2" xfId="44285" xr:uid="{00000000-0005-0000-0000-0000D9430000}"/>
    <cellStyle name="Normal 3 2 3 5 8" xfId="28731" xr:uid="{00000000-0005-0000-0000-0000DA430000}"/>
    <cellStyle name="Normal 3 2 3 6" xfId="5256" xr:uid="{00000000-0005-0000-0000-0000DB430000}"/>
    <cellStyle name="Normal 3 2 3 6 2" xfId="5257" xr:uid="{00000000-0005-0000-0000-0000DC430000}"/>
    <cellStyle name="Normal 3 2 3 6 2 2" xfId="5258" xr:uid="{00000000-0005-0000-0000-0000DD430000}"/>
    <cellStyle name="Normal 3 2 3 6 2 2 2" xfId="5259" xr:uid="{00000000-0005-0000-0000-0000DE430000}"/>
    <cellStyle name="Normal 3 2 3 6 2 2 2 2" xfId="5260" xr:uid="{00000000-0005-0000-0000-0000DF430000}"/>
    <cellStyle name="Normal 3 2 3 6 2 2 2 2 2" xfId="28759" xr:uid="{00000000-0005-0000-0000-0000E0430000}"/>
    <cellStyle name="Normal 3 2 3 6 2 2 2 3" xfId="28758" xr:uid="{00000000-0005-0000-0000-0000E1430000}"/>
    <cellStyle name="Normal 3 2 3 6 2 2 3" xfId="5261" xr:uid="{00000000-0005-0000-0000-0000E2430000}"/>
    <cellStyle name="Normal 3 2 3 6 2 2 3 2" xfId="28760" xr:uid="{00000000-0005-0000-0000-0000E3430000}"/>
    <cellStyle name="Normal 3 2 3 6 2 2 4" xfId="28757" xr:uid="{00000000-0005-0000-0000-0000E4430000}"/>
    <cellStyle name="Normal 3 2 3 6 2 3" xfId="5262" xr:uid="{00000000-0005-0000-0000-0000E5430000}"/>
    <cellStyle name="Normal 3 2 3 6 2 3 2" xfId="5263" xr:uid="{00000000-0005-0000-0000-0000E6430000}"/>
    <cellStyle name="Normal 3 2 3 6 2 3 2 2" xfId="28762" xr:uid="{00000000-0005-0000-0000-0000E7430000}"/>
    <cellStyle name="Normal 3 2 3 6 2 3 3" xfId="28761" xr:uid="{00000000-0005-0000-0000-0000E8430000}"/>
    <cellStyle name="Normal 3 2 3 6 2 4" xfId="5264" xr:uid="{00000000-0005-0000-0000-0000E9430000}"/>
    <cellStyle name="Normal 3 2 3 6 2 4 2" xfId="28763" xr:uid="{00000000-0005-0000-0000-0000EA430000}"/>
    <cellStyle name="Normal 3 2 3 6 2 5" xfId="20971" xr:uid="{00000000-0005-0000-0000-0000EB430000}"/>
    <cellStyle name="Normal 3 2 3 6 2 5 2" xfId="44286" xr:uid="{00000000-0005-0000-0000-0000EC430000}"/>
    <cellStyle name="Normal 3 2 3 6 2 6" xfId="20972" xr:uid="{00000000-0005-0000-0000-0000ED430000}"/>
    <cellStyle name="Normal 3 2 3 6 2 6 2" xfId="44287" xr:uid="{00000000-0005-0000-0000-0000EE430000}"/>
    <cellStyle name="Normal 3 2 3 6 2 7" xfId="28756" xr:uid="{00000000-0005-0000-0000-0000EF430000}"/>
    <cellStyle name="Normal 3 2 3 6 3" xfId="5265" xr:uid="{00000000-0005-0000-0000-0000F0430000}"/>
    <cellStyle name="Normal 3 2 3 6 3 2" xfId="5266" xr:uid="{00000000-0005-0000-0000-0000F1430000}"/>
    <cellStyle name="Normal 3 2 3 6 3 2 2" xfId="5267" xr:uid="{00000000-0005-0000-0000-0000F2430000}"/>
    <cellStyle name="Normal 3 2 3 6 3 2 2 2" xfId="5268" xr:uid="{00000000-0005-0000-0000-0000F3430000}"/>
    <cellStyle name="Normal 3 2 3 6 3 2 2 2 2" xfId="28767" xr:uid="{00000000-0005-0000-0000-0000F4430000}"/>
    <cellStyle name="Normal 3 2 3 6 3 2 2 3" xfId="28766" xr:uid="{00000000-0005-0000-0000-0000F5430000}"/>
    <cellStyle name="Normal 3 2 3 6 3 2 3" xfId="5269" xr:uid="{00000000-0005-0000-0000-0000F6430000}"/>
    <cellStyle name="Normal 3 2 3 6 3 2 3 2" xfId="28768" xr:uid="{00000000-0005-0000-0000-0000F7430000}"/>
    <cellStyle name="Normal 3 2 3 6 3 2 4" xfId="28765" xr:uid="{00000000-0005-0000-0000-0000F8430000}"/>
    <cellStyle name="Normal 3 2 3 6 3 3" xfId="5270" xr:uid="{00000000-0005-0000-0000-0000F9430000}"/>
    <cellStyle name="Normal 3 2 3 6 3 3 2" xfId="5271" xr:uid="{00000000-0005-0000-0000-0000FA430000}"/>
    <cellStyle name="Normal 3 2 3 6 3 3 2 2" xfId="28770" xr:uid="{00000000-0005-0000-0000-0000FB430000}"/>
    <cellStyle name="Normal 3 2 3 6 3 3 3" xfId="28769" xr:uid="{00000000-0005-0000-0000-0000FC430000}"/>
    <cellStyle name="Normal 3 2 3 6 3 4" xfId="5272" xr:uid="{00000000-0005-0000-0000-0000FD430000}"/>
    <cellStyle name="Normal 3 2 3 6 3 4 2" xfId="28771" xr:uid="{00000000-0005-0000-0000-0000FE430000}"/>
    <cellStyle name="Normal 3 2 3 6 3 5" xfId="28764" xr:uid="{00000000-0005-0000-0000-0000FF430000}"/>
    <cellStyle name="Normal 3 2 3 6 4" xfId="5273" xr:uid="{00000000-0005-0000-0000-000000440000}"/>
    <cellStyle name="Normal 3 2 3 6 4 2" xfId="5274" xr:uid="{00000000-0005-0000-0000-000001440000}"/>
    <cellStyle name="Normal 3 2 3 6 4 2 2" xfId="5275" xr:uid="{00000000-0005-0000-0000-000002440000}"/>
    <cellStyle name="Normal 3 2 3 6 4 2 2 2" xfId="28774" xr:uid="{00000000-0005-0000-0000-000003440000}"/>
    <cellStyle name="Normal 3 2 3 6 4 2 3" xfId="28773" xr:uid="{00000000-0005-0000-0000-000004440000}"/>
    <cellStyle name="Normal 3 2 3 6 4 3" xfId="5276" xr:uid="{00000000-0005-0000-0000-000005440000}"/>
    <cellStyle name="Normal 3 2 3 6 4 3 2" xfId="28775" xr:uid="{00000000-0005-0000-0000-000006440000}"/>
    <cellStyle name="Normal 3 2 3 6 4 4" xfId="28772" xr:uid="{00000000-0005-0000-0000-000007440000}"/>
    <cellStyle name="Normal 3 2 3 6 5" xfId="5277" xr:uid="{00000000-0005-0000-0000-000008440000}"/>
    <cellStyle name="Normal 3 2 3 6 5 2" xfId="5278" xr:uid="{00000000-0005-0000-0000-000009440000}"/>
    <cellStyle name="Normal 3 2 3 6 5 2 2" xfId="28777" xr:uid="{00000000-0005-0000-0000-00000A440000}"/>
    <cellStyle name="Normal 3 2 3 6 5 3" xfId="28776" xr:uid="{00000000-0005-0000-0000-00000B440000}"/>
    <cellStyle name="Normal 3 2 3 6 6" xfId="5279" xr:uid="{00000000-0005-0000-0000-00000C440000}"/>
    <cellStyle name="Normal 3 2 3 6 6 2" xfId="28778" xr:uid="{00000000-0005-0000-0000-00000D440000}"/>
    <cellStyle name="Normal 3 2 3 6 7" xfId="20973" xr:uid="{00000000-0005-0000-0000-00000E440000}"/>
    <cellStyle name="Normal 3 2 3 6 7 2" xfId="44288" xr:uid="{00000000-0005-0000-0000-00000F440000}"/>
    <cellStyle name="Normal 3 2 3 6 8" xfId="28755" xr:uid="{00000000-0005-0000-0000-000010440000}"/>
    <cellStyle name="Normal 3 2 3 7" xfId="5280" xr:uid="{00000000-0005-0000-0000-000011440000}"/>
    <cellStyle name="Normal 3 2 3 7 2" xfId="5281" xr:uid="{00000000-0005-0000-0000-000012440000}"/>
    <cellStyle name="Normal 3 2 3 7 2 2" xfId="5282" xr:uid="{00000000-0005-0000-0000-000013440000}"/>
    <cellStyle name="Normal 3 2 3 7 2 2 2" xfId="5283" xr:uid="{00000000-0005-0000-0000-000014440000}"/>
    <cellStyle name="Normal 3 2 3 7 2 2 2 2" xfId="5284" xr:uid="{00000000-0005-0000-0000-000015440000}"/>
    <cellStyle name="Normal 3 2 3 7 2 2 2 2 2" xfId="28783" xr:uid="{00000000-0005-0000-0000-000016440000}"/>
    <cellStyle name="Normal 3 2 3 7 2 2 2 3" xfId="28782" xr:uid="{00000000-0005-0000-0000-000017440000}"/>
    <cellStyle name="Normal 3 2 3 7 2 2 3" xfId="5285" xr:uid="{00000000-0005-0000-0000-000018440000}"/>
    <cellStyle name="Normal 3 2 3 7 2 2 3 2" xfId="28784" xr:uid="{00000000-0005-0000-0000-000019440000}"/>
    <cellStyle name="Normal 3 2 3 7 2 2 4" xfId="28781" xr:uid="{00000000-0005-0000-0000-00001A440000}"/>
    <cellStyle name="Normal 3 2 3 7 2 3" xfId="5286" xr:uid="{00000000-0005-0000-0000-00001B440000}"/>
    <cellStyle name="Normal 3 2 3 7 2 3 2" xfId="5287" xr:uid="{00000000-0005-0000-0000-00001C440000}"/>
    <cellStyle name="Normal 3 2 3 7 2 3 2 2" xfId="28786" xr:uid="{00000000-0005-0000-0000-00001D440000}"/>
    <cellStyle name="Normal 3 2 3 7 2 3 3" xfId="28785" xr:uid="{00000000-0005-0000-0000-00001E440000}"/>
    <cellStyle name="Normal 3 2 3 7 2 4" xfId="5288" xr:uid="{00000000-0005-0000-0000-00001F440000}"/>
    <cellStyle name="Normal 3 2 3 7 2 4 2" xfId="28787" xr:uid="{00000000-0005-0000-0000-000020440000}"/>
    <cellStyle name="Normal 3 2 3 7 2 5" xfId="28780" xr:uid="{00000000-0005-0000-0000-000021440000}"/>
    <cellStyle name="Normal 3 2 3 7 3" xfId="5289" xr:uid="{00000000-0005-0000-0000-000022440000}"/>
    <cellStyle name="Normal 3 2 3 7 3 2" xfId="5290" xr:uid="{00000000-0005-0000-0000-000023440000}"/>
    <cellStyle name="Normal 3 2 3 7 3 2 2" xfId="5291" xr:uid="{00000000-0005-0000-0000-000024440000}"/>
    <cellStyle name="Normal 3 2 3 7 3 2 2 2" xfId="5292" xr:uid="{00000000-0005-0000-0000-000025440000}"/>
    <cellStyle name="Normal 3 2 3 7 3 2 2 2 2" xfId="28791" xr:uid="{00000000-0005-0000-0000-000026440000}"/>
    <cellStyle name="Normal 3 2 3 7 3 2 2 3" xfId="28790" xr:uid="{00000000-0005-0000-0000-000027440000}"/>
    <cellStyle name="Normal 3 2 3 7 3 2 3" xfId="5293" xr:uid="{00000000-0005-0000-0000-000028440000}"/>
    <cellStyle name="Normal 3 2 3 7 3 2 3 2" xfId="28792" xr:uid="{00000000-0005-0000-0000-000029440000}"/>
    <cellStyle name="Normal 3 2 3 7 3 2 4" xfId="28789" xr:uid="{00000000-0005-0000-0000-00002A440000}"/>
    <cellStyle name="Normal 3 2 3 7 3 3" xfId="5294" xr:uid="{00000000-0005-0000-0000-00002B440000}"/>
    <cellStyle name="Normal 3 2 3 7 3 3 2" xfId="5295" xr:uid="{00000000-0005-0000-0000-00002C440000}"/>
    <cellStyle name="Normal 3 2 3 7 3 3 2 2" xfId="28794" xr:uid="{00000000-0005-0000-0000-00002D440000}"/>
    <cellStyle name="Normal 3 2 3 7 3 3 3" xfId="28793" xr:uid="{00000000-0005-0000-0000-00002E440000}"/>
    <cellStyle name="Normal 3 2 3 7 3 4" xfId="5296" xr:uid="{00000000-0005-0000-0000-00002F440000}"/>
    <cellStyle name="Normal 3 2 3 7 3 4 2" xfId="28795" xr:uid="{00000000-0005-0000-0000-000030440000}"/>
    <cellStyle name="Normal 3 2 3 7 3 5" xfId="28788" xr:uid="{00000000-0005-0000-0000-000031440000}"/>
    <cellStyle name="Normal 3 2 3 7 4" xfId="5297" xr:uid="{00000000-0005-0000-0000-000032440000}"/>
    <cellStyle name="Normal 3 2 3 7 4 2" xfId="5298" xr:uid="{00000000-0005-0000-0000-000033440000}"/>
    <cellStyle name="Normal 3 2 3 7 4 2 2" xfId="5299" xr:uid="{00000000-0005-0000-0000-000034440000}"/>
    <cellStyle name="Normal 3 2 3 7 4 2 2 2" xfId="28798" xr:uid="{00000000-0005-0000-0000-000035440000}"/>
    <cellStyle name="Normal 3 2 3 7 4 2 3" xfId="28797" xr:uid="{00000000-0005-0000-0000-000036440000}"/>
    <cellStyle name="Normal 3 2 3 7 4 3" xfId="5300" xr:uid="{00000000-0005-0000-0000-000037440000}"/>
    <cellStyle name="Normal 3 2 3 7 4 3 2" xfId="28799" xr:uid="{00000000-0005-0000-0000-000038440000}"/>
    <cellStyle name="Normal 3 2 3 7 4 4" xfId="28796" xr:uid="{00000000-0005-0000-0000-000039440000}"/>
    <cellStyle name="Normal 3 2 3 7 5" xfId="5301" xr:uid="{00000000-0005-0000-0000-00003A440000}"/>
    <cellStyle name="Normal 3 2 3 7 5 2" xfId="5302" xr:uid="{00000000-0005-0000-0000-00003B440000}"/>
    <cellStyle name="Normal 3 2 3 7 5 2 2" xfId="28801" xr:uid="{00000000-0005-0000-0000-00003C440000}"/>
    <cellStyle name="Normal 3 2 3 7 5 3" xfId="28800" xr:uid="{00000000-0005-0000-0000-00003D440000}"/>
    <cellStyle name="Normal 3 2 3 7 6" xfId="5303" xr:uid="{00000000-0005-0000-0000-00003E440000}"/>
    <cellStyle name="Normal 3 2 3 7 6 2" xfId="28802" xr:uid="{00000000-0005-0000-0000-00003F440000}"/>
    <cellStyle name="Normal 3 2 3 7 7" xfId="28779" xr:uid="{00000000-0005-0000-0000-000040440000}"/>
    <cellStyle name="Normal 3 2 3 8" xfId="5304" xr:uid="{00000000-0005-0000-0000-000041440000}"/>
    <cellStyle name="Normal 3 2 3 8 2" xfId="5305" xr:uid="{00000000-0005-0000-0000-000042440000}"/>
    <cellStyle name="Normal 3 2 3 8 2 2" xfId="5306" xr:uid="{00000000-0005-0000-0000-000043440000}"/>
    <cellStyle name="Normal 3 2 3 8 2 2 2" xfId="5307" xr:uid="{00000000-0005-0000-0000-000044440000}"/>
    <cellStyle name="Normal 3 2 3 8 2 2 2 2" xfId="5308" xr:uid="{00000000-0005-0000-0000-000045440000}"/>
    <cellStyle name="Normal 3 2 3 8 2 2 2 2 2" xfId="28807" xr:uid="{00000000-0005-0000-0000-000046440000}"/>
    <cellStyle name="Normal 3 2 3 8 2 2 2 3" xfId="28806" xr:uid="{00000000-0005-0000-0000-000047440000}"/>
    <cellStyle name="Normal 3 2 3 8 2 2 3" xfId="5309" xr:uid="{00000000-0005-0000-0000-000048440000}"/>
    <cellStyle name="Normal 3 2 3 8 2 2 3 2" xfId="28808" xr:uid="{00000000-0005-0000-0000-000049440000}"/>
    <cellStyle name="Normal 3 2 3 8 2 2 4" xfId="28805" xr:uid="{00000000-0005-0000-0000-00004A440000}"/>
    <cellStyle name="Normal 3 2 3 8 2 3" xfId="5310" xr:uid="{00000000-0005-0000-0000-00004B440000}"/>
    <cellStyle name="Normal 3 2 3 8 2 3 2" xfId="5311" xr:uid="{00000000-0005-0000-0000-00004C440000}"/>
    <cellStyle name="Normal 3 2 3 8 2 3 2 2" xfId="28810" xr:uid="{00000000-0005-0000-0000-00004D440000}"/>
    <cellStyle name="Normal 3 2 3 8 2 3 3" xfId="28809" xr:uid="{00000000-0005-0000-0000-00004E440000}"/>
    <cellStyle name="Normal 3 2 3 8 2 4" xfId="5312" xr:uid="{00000000-0005-0000-0000-00004F440000}"/>
    <cellStyle name="Normal 3 2 3 8 2 4 2" xfId="28811" xr:uid="{00000000-0005-0000-0000-000050440000}"/>
    <cellStyle name="Normal 3 2 3 8 2 5" xfId="28804" xr:uid="{00000000-0005-0000-0000-000051440000}"/>
    <cellStyle name="Normal 3 2 3 8 3" xfId="5313" xr:uid="{00000000-0005-0000-0000-000052440000}"/>
    <cellStyle name="Normal 3 2 3 8 3 2" xfId="5314" xr:uid="{00000000-0005-0000-0000-000053440000}"/>
    <cellStyle name="Normal 3 2 3 8 3 2 2" xfId="5315" xr:uid="{00000000-0005-0000-0000-000054440000}"/>
    <cellStyle name="Normal 3 2 3 8 3 2 2 2" xfId="5316" xr:uid="{00000000-0005-0000-0000-000055440000}"/>
    <cellStyle name="Normal 3 2 3 8 3 2 2 2 2" xfId="28815" xr:uid="{00000000-0005-0000-0000-000056440000}"/>
    <cellStyle name="Normal 3 2 3 8 3 2 2 3" xfId="28814" xr:uid="{00000000-0005-0000-0000-000057440000}"/>
    <cellStyle name="Normal 3 2 3 8 3 2 3" xfId="5317" xr:uid="{00000000-0005-0000-0000-000058440000}"/>
    <cellStyle name="Normal 3 2 3 8 3 2 3 2" xfId="28816" xr:uid="{00000000-0005-0000-0000-000059440000}"/>
    <cellStyle name="Normal 3 2 3 8 3 2 4" xfId="28813" xr:uid="{00000000-0005-0000-0000-00005A440000}"/>
    <cellStyle name="Normal 3 2 3 8 3 3" xfId="5318" xr:uid="{00000000-0005-0000-0000-00005B440000}"/>
    <cellStyle name="Normal 3 2 3 8 3 3 2" xfId="5319" xr:uid="{00000000-0005-0000-0000-00005C440000}"/>
    <cellStyle name="Normal 3 2 3 8 3 3 2 2" xfId="28818" xr:uid="{00000000-0005-0000-0000-00005D440000}"/>
    <cellStyle name="Normal 3 2 3 8 3 3 3" xfId="28817" xr:uid="{00000000-0005-0000-0000-00005E440000}"/>
    <cellStyle name="Normal 3 2 3 8 3 4" xfId="5320" xr:uid="{00000000-0005-0000-0000-00005F440000}"/>
    <cellStyle name="Normal 3 2 3 8 3 4 2" xfId="28819" xr:uid="{00000000-0005-0000-0000-000060440000}"/>
    <cellStyle name="Normal 3 2 3 8 3 5" xfId="28812" xr:uid="{00000000-0005-0000-0000-000061440000}"/>
    <cellStyle name="Normal 3 2 3 8 4" xfId="5321" xr:uid="{00000000-0005-0000-0000-000062440000}"/>
    <cellStyle name="Normal 3 2 3 8 4 2" xfId="5322" xr:uid="{00000000-0005-0000-0000-000063440000}"/>
    <cellStyle name="Normal 3 2 3 8 4 2 2" xfId="5323" xr:uid="{00000000-0005-0000-0000-000064440000}"/>
    <cellStyle name="Normal 3 2 3 8 4 2 2 2" xfId="28822" xr:uid="{00000000-0005-0000-0000-000065440000}"/>
    <cellStyle name="Normal 3 2 3 8 4 2 3" xfId="28821" xr:uid="{00000000-0005-0000-0000-000066440000}"/>
    <cellStyle name="Normal 3 2 3 8 4 3" xfId="5324" xr:uid="{00000000-0005-0000-0000-000067440000}"/>
    <cellStyle name="Normal 3 2 3 8 4 3 2" xfId="28823" xr:uid="{00000000-0005-0000-0000-000068440000}"/>
    <cellStyle name="Normal 3 2 3 8 4 4" xfId="28820" xr:uid="{00000000-0005-0000-0000-000069440000}"/>
    <cellStyle name="Normal 3 2 3 8 5" xfId="5325" xr:uid="{00000000-0005-0000-0000-00006A440000}"/>
    <cellStyle name="Normal 3 2 3 8 5 2" xfId="5326" xr:uid="{00000000-0005-0000-0000-00006B440000}"/>
    <cellStyle name="Normal 3 2 3 8 5 2 2" xfId="28825" xr:uid="{00000000-0005-0000-0000-00006C440000}"/>
    <cellStyle name="Normal 3 2 3 8 5 3" xfId="28824" xr:uid="{00000000-0005-0000-0000-00006D440000}"/>
    <cellStyle name="Normal 3 2 3 8 6" xfId="5327" xr:uid="{00000000-0005-0000-0000-00006E440000}"/>
    <cellStyle name="Normal 3 2 3 8 6 2" xfId="28826" xr:uid="{00000000-0005-0000-0000-00006F440000}"/>
    <cellStyle name="Normal 3 2 3 8 7" xfId="28803" xr:uid="{00000000-0005-0000-0000-000070440000}"/>
    <cellStyle name="Normal 3 2 3 9" xfId="5328" xr:uid="{00000000-0005-0000-0000-000071440000}"/>
    <cellStyle name="Normal 3 2 3 9 2" xfId="5329" xr:uid="{00000000-0005-0000-0000-000072440000}"/>
    <cellStyle name="Normal 3 2 3 9 2 2" xfId="5330" xr:uid="{00000000-0005-0000-0000-000073440000}"/>
    <cellStyle name="Normal 3 2 3 9 2 2 2" xfId="5331" xr:uid="{00000000-0005-0000-0000-000074440000}"/>
    <cellStyle name="Normal 3 2 3 9 2 2 2 2" xfId="28830" xr:uid="{00000000-0005-0000-0000-000075440000}"/>
    <cellStyle name="Normal 3 2 3 9 2 2 3" xfId="28829" xr:uid="{00000000-0005-0000-0000-000076440000}"/>
    <cellStyle name="Normal 3 2 3 9 2 3" xfId="5332" xr:uid="{00000000-0005-0000-0000-000077440000}"/>
    <cellStyle name="Normal 3 2 3 9 2 3 2" xfId="28831" xr:uid="{00000000-0005-0000-0000-000078440000}"/>
    <cellStyle name="Normal 3 2 3 9 2 4" xfId="28828" xr:uid="{00000000-0005-0000-0000-000079440000}"/>
    <cellStyle name="Normal 3 2 3 9 3" xfId="5333" xr:uid="{00000000-0005-0000-0000-00007A440000}"/>
    <cellStyle name="Normal 3 2 3 9 3 2" xfId="5334" xr:uid="{00000000-0005-0000-0000-00007B440000}"/>
    <cellStyle name="Normal 3 2 3 9 3 2 2" xfId="28833" xr:uid="{00000000-0005-0000-0000-00007C440000}"/>
    <cellStyle name="Normal 3 2 3 9 3 3" xfId="28832" xr:uid="{00000000-0005-0000-0000-00007D440000}"/>
    <cellStyle name="Normal 3 2 3 9 4" xfId="5335" xr:uid="{00000000-0005-0000-0000-00007E440000}"/>
    <cellStyle name="Normal 3 2 3 9 4 2" xfId="28834" xr:uid="{00000000-0005-0000-0000-00007F440000}"/>
    <cellStyle name="Normal 3 2 3 9 5" xfId="28827" xr:uid="{00000000-0005-0000-0000-000080440000}"/>
    <cellStyle name="Normal 3 2 4" xfId="112" xr:uid="{00000000-0005-0000-0000-000081440000}"/>
    <cellStyle name="Normal 3 2 4 10" xfId="5336" xr:uid="{00000000-0005-0000-0000-000082440000}"/>
    <cellStyle name="Normal 3 2 4 10 2" xfId="28835" xr:uid="{00000000-0005-0000-0000-000083440000}"/>
    <cellStyle name="Normal 3 2 4 11" xfId="20974" xr:uid="{00000000-0005-0000-0000-000084440000}"/>
    <cellStyle name="Normal 3 2 4 11 2" xfId="44289" xr:uid="{00000000-0005-0000-0000-000085440000}"/>
    <cellStyle name="Normal 3 2 4 12" xfId="23677" xr:uid="{00000000-0005-0000-0000-000086440000}"/>
    <cellStyle name="Normal 3 2 4 2" xfId="113" xr:uid="{00000000-0005-0000-0000-000087440000}"/>
    <cellStyle name="Normal 3 2 4 2 10" xfId="23678" xr:uid="{00000000-0005-0000-0000-000088440000}"/>
    <cellStyle name="Normal 3 2 4 2 2" xfId="5337" xr:uid="{00000000-0005-0000-0000-000089440000}"/>
    <cellStyle name="Normal 3 2 4 2 2 2" xfId="5338" xr:uid="{00000000-0005-0000-0000-00008A440000}"/>
    <cellStyle name="Normal 3 2 4 2 2 2 2" xfId="5339" xr:uid="{00000000-0005-0000-0000-00008B440000}"/>
    <cellStyle name="Normal 3 2 4 2 2 2 2 2" xfId="5340" xr:uid="{00000000-0005-0000-0000-00008C440000}"/>
    <cellStyle name="Normal 3 2 4 2 2 2 2 2 2" xfId="28839" xr:uid="{00000000-0005-0000-0000-00008D440000}"/>
    <cellStyle name="Normal 3 2 4 2 2 2 2 3" xfId="20975" xr:uid="{00000000-0005-0000-0000-00008E440000}"/>
    <cellStyle name="Normal 3 2 4 2 2 2 2 3 2" xfId="44290" xr:uid="{00000000-0005-0000-0000-00008F440000}"/>
    <cellStyle name="Normal 3 2 4 2 2 2 2 4" xfId="28838" xr:uid="{00000000-0005-0000-0000-000090440000}"/>
    <cellStyle name="Normal 3 2 4 2 2 2 3" xfId="5341" xr:uid="{00000000-0005-0000-0000-000091440000}"/>
    <cellStyle name="Normal 3 2 4 2 2 2 3 2" xfId="20976" xr:uid="{00000000-0005-0000-0000-000092440000}"/>
    <cellStyle name="Normal 3 2 4 2 2 2 3 2 2" xfId="44291" xr:uid="{00000000-0005-0000-0000-000093440000}"/>
    <cellStyle name="Normal 3 2 4 2 2 2 3 3" xfId="28840" xr:uid="{00000000-0005-0000-0000-000094440000}"/>
    <cellStyle name="Normal 3 2 4 2 2 2 4" xfId="20977" xr:uid="{00000000-0005-0000-0000-000095440000}"/>
    <cellStyle name="Normal 3 2 4 2 2 2 4 2" xfId="44292" xr:uid="{00000000-0005-0000-0000-000096440000}"/>
    <cellStyle name="Normal 3 2 4 2 2 2 5" xfId="20978" xr:uid="{00000000-0005-0000-0000-000097440000}"/>
    <cellStyle name="Normal 3 2 4 2 2 2 5 2" xfId="44293" xr:uid="{00000000-0005-0000-0000-000098440000}"/>
    <cellStyle name="Normal 3 2 4 2 2 2 6" xfId="20979" xr:uid="{00000000-0005-0000-0000-000099440000}"/>
    <cellStyle name="Normal 3 2 4 2 2 2 6 2" xfId="44294" xr:uid="{00000000-0005-0000-0000-00009A440000}"/>
    <cellStyle name="Normal 3 2 4 2 2 2 7" xfId="28837" xr:uid="{00000000-0005-0000-0000-00009B440000}"/>
    <cellStyle name="Normal 3 2 4 2 2 3" xfId="5342" xr:uid="{00000000-0005-0000-0000-00009C440000}"/>
    <cellStyle name="Normal 3 2 4 2 2 3 2" xfId="5343" xr:uid="{00000000-0005-0000-0000-00009D440000}"/>
    <cellStyle name="Normal 3 2 4 2 2 3 2 2" xfId="28842" xr:uid="{00000000-0005-0000-0000-00009E440000}"/>
    <cellStyle name="Normal 3 2 4 2 2 3 3" xfId="20980" xr:uid="{00000000-0005-0000-0000-00009F440000}"/>
    <cellStyle name="Normal 3 2 4 2 2 3 3 2" xfId="44295" xr:uid="{00000000-0005-0000-0000-0000A0440000}"/>
    <cellStyle name="Normal 3 2 4 2 2 3 4" xfId="28841" xr:uid="{00000000-0005-0000-0000-0000A1440000}"/>
    <cellStyle name="Normal 3 2 4 2 2 4" xfId="5344" xr:uid="{00000000-0005-0000-0000-0000A2440000}"/>
    <cellStyle name="Normal 3 2 4 2 2 4 2" xfId="20981" xr:uid="{00000000-0005-0000-0000-0000A3440000}"/>
    <cellStyle name="Normal 3 2 4 2 2 4 2 2" xfId="44296" xr:uid="{00000000-0005-0000-0000-0000A4440000}"/>
    <cellStyle name="Normal 3 2 4 2 2 4 3" xfId="28843" xr:uid="{00000000-0005-0000-0000-0000A5440000}"/>
    <cellStyle name="Normal 3 2 4 2 2 5" xfId="20982" xr:uid="{00000000-0005-0000-0000-0000A6440000}"/>
    <cellStyle name="Normal 3 2 4 2 2 5 2" xfId="44297" xr:uid="{00000000-0005-0000-0000-0000A7440000}"/>
    <cellStyle name="Normal 3 2 4 2 2 6" xfId="20983" xr:uid="{00000000-0005-0000-0000-0000A8440000}"/>
    <cellStyle name="Normal 3 2 4 2 2 6 2" xfId="44298" xr:uid="{00000000-0005-0000-0000-0000A9440000}"/>
    <cellStyle name="Normal 3 2 4 2 2 7" xfId="20984" xr:uid="{00000000-0005-0000-0000-0000AA440000}"/>
    <cellStyle name="Normal 3 2 4 2 2 7 2" xfId="44299" xr:uid="{00000000-0005-0000-0000-0000AB440000}"/>
    <cellStyle name="Normal 3 2 4 2 2 8" xfId="28836" xr:uid="{00000000-0005-0000-0000-0000AC440000}"/>
    <cellStyle name="Normal 3 2 4 2 3" xfId="5345" xr:uid="{00000000-0005-0000-0000-0000AD440000}"/>
    <cellStyle name="Normal 3 2 4 2 3 2" xfId="5346" xr:uid="{00000000-0005-0000-0000-0000AE440000}"/>
    <cellStyle name="Normal 3 2 4 2 3 2 2" xfId="5347" xr:uid="{00000000-0005-0000-0000-0000AF440000}"/>
    <cellStyle name="Normal 3 2 4 2 3 2 2 2" xfId="5348" xr:uid="{00000000-0005-0000-0000-0000B0440000}"/>
    <cellStyle name="Normal 3 2 4 2 3 2 2 2 2" xfId="28847" xr:uid="{00000000-0005-0000-0000-0000B1440000}"/>
    <cellStyle name="Normal 3 2 4 2 3 2 2 3" xfId="20985" xr:uid="{00000000-0005-0000-0000-0000B2440000}"/>
    <cellStyle name="Normal 3 2 4 2 3 2 2 3 2" xfId="44300" xr:uid="{00000000-0005-0000-0000-0000B3440000}"/>
    <cellStyle name="Normal 3 2 4 2 3 2 2 4" xfId="28846" xr:uid="{00000000-0005-0000-0000-0000B4440000}"/>
    <cellStyle name="Normal 3 2 4 2 3 2 3" xfId="5349" xr:uid="{00000000-0005-0000-0000-0000B5440000}"/>
    <cellStyle name="Normal 3 2 4 2 3 2 3 2" xfId="20986" xr:uid="{00000000-0005-0000-0000-0000B6440000}"/>
    <cellStyle name="Normal 3 2 4 2 3 2 3 2 2" xfId="44301" xr:uid="{00000000-0005-0000-0000-0000B7440000}"/>
    <cellStyle name="Normal 3 2 4 2 3 2 3 3" xfId="28848" xr:uid="{00000000-0005-0000-0000-0000B8440000}"/>
    <cellStyle name="Normal 3 2 4 2 3 2 4" xfId="20987" xr:uid="{00000000-0005-0000-0000-0000B9440000}"/>
    <cellStyle name="Normal 3 2 4 2 3 2 4 2" xfId="44302" xr:uid="{00000000-0005-0000-0000-0000BA440000}"/>
    <cellStyle name="Normal 3 2 4 2 3 2 5" xfId="20988" xr:uid="{00000000-0005-0000-0000-0000BB440000}"/>
    <cellStyle name="Normal 3 2 4 2 3 2 5 2" xfId="44303" xr:uid="{00000000-0005-0000-0000-0000BC440000}"/>
    <cellStyle name="Normal 3 2 4 2 3 2 6" xfId="20989" xr:uid="{00000000-0005-0000-0000-0000BD440000}"/>
    <cellStyle name="Normal 3 2 4 2 3 2 6 2" xfId="44304" xr:uid="{00000000-0005-0000-0000-0000BE440000}"/>
    <cellStyle name="Normal 3 2 4 2 3 2 7" xfId="28845" xr:uid="{00000000-0005-0000-0000-0000BF440000}"/>
    <cellStyle name="Normal 3 2 4 2 3 3" xfId="5350" xr:uid="{00000000-0005-0000-0000-0000C0440000}"/>
    <cellStyle name="Normal 3 2 4 2 3 3 2" xfId="5351" xr:uid="{00000000-0005-0000-0000-0000C1440000}"/>
    <cellStyle name="Normal 3 2 4 2 3 3 2 2" xfId="28850" xr:uid="{00000000-0005-0000-0000-0000C2440000}"/>
    <cellStyle name="Normal 3 2 4 2 3 3 3" xfId="20990" xr:uid="{00000000-0005-0000-0000-0000C3440000}"/>
    <cellStyle name="Normal 3 2 4 2 3 3 3 2" xfId="44305" xr:uid="{00000000-0005-0000-0000-0000C4440000}"/>
    <cellStyle name="Normal 3 2 4 2 3 3 4" xfId="28849" xr:uid="{00000000-0005-0000-0000-0000C5440000}"/>
    <cellStyle name="Normal 3 2 4 2 3 4" xfId="5352" xr:uid="{00000000-0005-0000-0000-0000C6440000}"/>
    <cellStyle name="Normal 3 2 4 2 3 4 2" xfId="20991" xr:uid="{00000000-0005-0000-0000-0000C7440000}"/>
    <cellStyle name="Normal 3 2 4 2 3 4 2 2" xfId="44306" xr:uid="{00000000-0005-0000-0000-0000C8440000}"/>
    <cellStyle name="Normal 3 2 4 2 3 4 3" xfId="28851" xr:uid="{00000000-0005-0000-0000-0000C9440000}"/>
    <cellStyle name="Normal 3 2 4 2 3 5" xfId="20992" xr:uid="{00000000-0005-0000-0000-0000CA440000}"/>
    <cellStyle name="Normal 3 2 4 2 3 5 2" xfId="44307" xr:uid="{00000000-0005-0000-0000-0000CB440000}"/>
    <cellStyle name="Normal 3 2 4 2 3 6" xfId="20993" xr:uid="{00000000-0005-0000-0000-0000CC440000}"/>
    <cellStyle name="Normal 3 2 4 2 3 6 2" xfId="44308" xr:uid="{00000000-0005-0000-0000-0000CD440000}"/>
    <cellStyle name="Normal 3 2 4 2 3 7" xfId="20994" xr:uid="{00000000-0005-0000-0000-0000CE440000}"/>
    <cellStyle name="Normal 3 2 4 2 3 7 2" xfId="44309" xr:uid="{00000000-0005-0000-0000-0000CF440000}"/>
    <cellStyle name="Normal 3 2 4 2 3 8" xfId="28844" xr:uid="{00000000-0005-0000-0000-0000D0440000}"/>
    <cellStyle name="Normal 3 2 4 2 4" xfId="5353" xr:uid="{00000000-0005-0000-0000-0000D1440000}"/>
    <cellStyle name="Normal 3 2 4 2 4 2" xfId="5354" xr:uid="{00000000-0005-0000-0000-0000D2440000}"/>
    <cellStyle name="Normal 3 2 4 2 4 2 2" xfId="5355" xr:uid="{00000000-0005-0000-0000-0000D3440000}"/>
    <cellStyle name="Normal 3 2 4 2 4 2 2 2" xfId="28854" xr:uid="{00000000-0005-0000-0000-0000D4440000}"/>
    <cellStyle name="Normal 3 2 4 2 4 2 3" xfId="20995" xr:uid="{00000000-0005-0000-0000-0000D5440000}"/>
    <cellStyle name="Normal 3 2 4 2 4 2 3 2" xfId="44310" xr:uid="{00000000-0005-0000-0000-0000D6440000}"/>
    <cellStyle name="Normal 3 2 4 2 4 2 4" xfId="28853" xr:uid="{00000000-0005-0000-0000-0000D7440000}"/>
    <cellStyle name="Normal 3 2 4 2 4 3" xfId="5356" xr:uid="{00000000-0005-0000-0000-0000D8440000}"/>
    <cellStyle name="Normal 3 2 4 2 4 3 2" xfId="20996" xr:uid="{00000000-0005-0000-0000-0000D9440000}"/>
    <cellStyle name="Normal 3 2 4 2 4 3 2 2" xfId="44311" xr:uid="{00000000-0005-0000-0000-0000DA440000}"/>
    <cellStyle name="Normal 3 2 4 2 4 3 3" xfId="28855" xr:uid="{00000000-0005-0000-0000-0000DB440000}"/>
    <cellStyle name="Normal 3 2 4 2 4 4" xfId="20997" xr:uid="{00000000-0005-0000-0000-0000DC440000}"/>
    <cellStyle name="Normal 3 2 4 2 4 4 2" xfId="44312" xr:uid="{00000000-0005-0000-0000-0000DD440000}"/>
    <cellStyle name="Normal 3 2 4 2 4 5" xfId="20998" xr:uid="{00000000-0005-0000-0000-0000DE440000}"/>
    <cellStyle name="Normal 3 2 4 2 4 5 2" xfId="44313" xr:uid="{00000000-0005-0000-0000-0000DF440000}"/>
    <cellStyle name="Normal 3 2 4 2 4 6" xfId="20999" xr:uid="{00000000-0005-0000-0000-0000E0440000}"/>
    <cellStyle name="Normal 3 2 4 2 4 6 2" xfId="44314" xr:uid="{00000000-0005-0000-0000-0000E1440000}"/>
    <cellStyle name="Normal 3 2 4 2 4 7" xfId="28852" xr:uid="{00000000-0005-0000-0000-0000E2440000}"/>
    <cellStyle name="Normal 3 2 4 2 5" xfId="5357" xr:uid="{00000000-0005-0000-0000-0000E3440000}"/>
    <cellStyle name="Normal 3 2 4 2 5 2" xfId="5358" xr:uid="{00000000-0005-0000-0000-0000E4440000}"/>
    <cellStyle name="Normal 3 2 4 2 5 2 2" xfId="28857" xr:uid="{00000000-0005-0000-0000-0000E5440000}"/>
    <cellStyle name="Normal 3 2 4 2 5 3" xfId="21000" xr:uid="{00000000-0005-0000-0000-0000E6440000}"/>
    <cellStyle name="Normal 3 2 4 2 5 3 2" xfId="44315" xr:uid="{00000000-0005-0000-0000-0000E7440000}"/>
    <cellStyle name="Normal 3 2 4 2 5 4" xfId="28856" xr:uid="{00000000-0005-0000-0000-0000E8440000}"/>
    <cellStyle name="Normal 3 2 4 2 6" xfId="5359" xr:uid="{00000000-0005-0000-0000-0000E9440000}"/>
    <cellStyle name="Normal 3 2 4 2 6 2" xfId="21001" xr:uid="{00000000-0005-0000-0000-0000EA440000}"/>
    <cellStyle name="Normal 3 2 4 2 6 2 2" xfId="44316" xr:uid="{00000000-0005-0000-0000-0000EB440000}"/>
    <cellStyle name="Normal 3 2 4 2 6 3" xfId="28858" xr:uid="{00000000-0005-0000-0000-0000EC440000}"/>
    <cellStyle name="Normal 3 2 4 2 7" xfId="21002" xr:uid="{00000000-0005-0000-0000-0000ED440000}"/>
    <cellStyle name="Normal 3 2 4 2 7 2" xfId="44317" xr:uid="{00000000-0005-0000-0000-0000EE440000}"/>
    <cellStyle name="Normal 3 2 4 2 8" xfId="21003" xr:uid="{00000000-0005-0000-0000-0000EF440000}"/>
    <cellStyle name="Normal 3 2 4 2 8 2" xfId="44318" xr:uid="{00000000-0005-0000-0000-0000F0440000}"/>
    <cellStyle name="Normal 3 2 4 2 9" xfId="21004" xr:uid="{00000000-0005-0000-0000-0000F1440000}"/>
    <cellStyle name="Normal 3 2 4 2 9 2" xfId="44319" xr:uid="{00000000-0005-0000-0000-0000F2440000}"/>
    <cellStyle name="Normal 3 2 4 3" xfId="5360" xr:uid="{00000000-0005-0000-0000-0000F3440000}"/>
    <cellStyle name="Normal 3 2 4 3 10" xfId="28859" xr:uid="{00000000-0005-0000-0000-0000F4440000}"/>
    <cellStyle name="Normal 3 2 4 3 2" xfId="5361" xr:uid="{00000000-0005-0000-0000-0000F5440000}"/>
    <cellStyle name="Normal 3 2 4 3 2 2" xfId="5362" xr:uid="{00000000-0005-0000-0000-0000F6440000}"/>
    <cellStyle name="Normal 3 2 4 3 2 2 2" xfId="5363" xr:uid="{00000000-0005-0000-0000-0000F7440000}"/>
    <cellStyle name="Normal 3 2 4 3 2 2 2 2" xfId="5364" xr:uid="{00000000-0005-0000-0000-0000F8440000}"/>
    <cellStyle name="Normal 3 2 4 3 2 2 2 2 2" xfId="28863" xr:uid="{00000000-0005-0000-0000-0000F9440000}"/>
    <cellStyle name="Normal 3 2 4 3 2 2 2 3" xfId="21005" xr:uid="{00000000-0005-0000-0000-0000FA440000}"/>
    <cellStyle name="Normal 3 2 4 3 2 2 2 3 2" xfId="44320" xr:uid="{00000000-0005-0000-0000-0000FB440000}"/>
    <cellStyle name="Normal 3 2 4 3 2 2 2 4" xfId="28862" xr:uid="{00000000-0005-0000-0000-0000FC440000}"/>
    <cellStyle name="Normal 3 2 4 3 2 2 3" xfId="5365" xr:uid="{00000000-0005-0000-0000-0000FD440000}"/>
    <cellStyle name="Normal 3 2 4 3 2 2 3 2" xfId="21006" xr:uid="{00000000-0005-0000-0000-0000FE440000}"/>
    <cellStyle name="Normal 3 2 4 3 2 2 3 2 2" xfId="44321" xr:uid="{00000000-0005-0000-0000-0000FF440000}"/>
    <cellStyle name="Normal 3 2 4 3 2 2 3 3" xfId="28864" xr:uid="{00000000-0005-0000-0000-000000450000}"/>
    <cellStyle name="Normal 3 2 4 3 2 2 4" xfId="21007" xr:uid="{00000000-0005-0000-0000-000001450000}"/>
    <cellStyle name="Normal 3 2 4 3 2 2 4 2" xfId="44322" xr:uid="{00000000-0005-0000-0000-000002450000}"/>
    <cellStyle name="Normal 3 2 4 3 2 2 5" xfId="21008" xr:uid="{00000000-0005-0000-0000-000003450000}"/>
    <cellStyle name="Normal 3 2 4 3 2 2 5 2" xfId="44323" xr:uid="{00000000-0005-0000-0000-000004450000}"/>
    <cellStyle name="Normal 3 2 4 3 2 2 6" xfId="21009" xr:uid="{00000000-0005-0000-0000-000005450000}"/>
    <cellStyle name="Normal 3 2 4 3 2 2 6 2" xfId="44324" xr:uid="{00000000-0005-0000-0000-000006450000}"/>
    <cellStyle name="Normal 3 2 4 3 2 2 7" xfId="28861" xr:uid="{00000000-0005-0000-0000-000007450000}"/>
    <cellStyle name="Normal 3 2 4 3 2 3" xfId="5366" xr:uid="{00000000-0005-0000-0000-000008450000}"/>
    <cellStyle name="Normal 3 2 4 3 2 3 2" xfId="5367" xr:uid="{00000000-0005-0000-0000-000009450000}"/>
    <cellStyle name="Normal 3 2 4 3 2 3 2 2" xfId="28866" xr:uid="{00000000-0005-0000-0000-00000A450000}"/>
    <cellStyle name="Normal 3 2 4 3 2 3 3" xfId="21010" xr:uid="{00000000-0005-0000-0000-00000B450000}"/>
    <cellStyle name="Normal 3 2 4 3 2 3 3 2" xfId="44325" xr:uid="{00000000-0005-0000-0000-00000C450000}"/>
    <cellStyle name="Normal 3 2 4 3 2 3 4" xfId="28865" xr:uid="{00000000-0005-0000-0000-00000D450000}"/>
    <cellStyle name="Normal 3 2 4 3 2 4" xfId="5368" xr:uid="{00000000-0005-0000-0000-00000E450000}"/>
    <cellStyle name="Normal 3 2 4 3 2 4 2" xfId="21011" xr:uid="{00000000-0005-0000-0000-00000F450000}"/>
    <cellStyle name="Normal 3 2 4 3 2 4 2 2" xfId="44326" xr:uid="{00000000-0005-0000-0000-000010450000}"/>
    <cellStyle name="Normal 3 2 4 3 2 4 3" xfId="28867" xr:uid="{00000000-0005-0000-0000-000011450000}"/>
    <cellStyle name="Normal 3 2 4 3 2 5" xfId="21012" xr:uid="{00000000-0005-0000-0000-000012450000}"/>
    <cellStyle name="Normal 3 2 4 3 2 5 2" xfId="44327" xr:uid="{00000000-0005-0000-0000-000013450000}"/>
    <cellStyle name="Normal 3 2 4 3 2 6" xfId="21013" xr:uid="{00000000-0005-0000-0000-000014450000}"/>
    <cellStyle name="Normal 3 2 4 3 2 6 2" xfId="44328" xr:uid="{00000000-0005-0000-0000-000015450000}"/>
    <cellStyle name="Normal 3 2 4 3 2 7" xfId="21014" xr:uid="{00000000-0005-0000-0000-000016450000}"/>
    <cellStyle name="Normal 3 2 4 3 2 7 2" xfId="44329" xr:uid="{00000000-0005-0000-0000-000017450000}"/>
    <cellStyle name="Normal 3 2 4 3 2 8" xfId="28860" xr:uid="{00000000-0005-0000-0000-000018450000}"/>
    <cellStyle name="Normal 3 2 4 3 3" xfId="5369" xr:uid="{00000000-0005-0000-0000-000019450000}"/>
    <cellStyle name="Normal 3 2 4 3 3 2" xfId="5370" xr:uid="{00000000-0005-0000-0000-00001A450000}"/>
    <cellStyle name="Normal 3 2 4 3 3 2 2" xfId="5371" xr:uid="{00000000-0005-0000-0000-00001B450000}"/>
    <cellStyle name="Normal 3 2 4 3 3 2 2 2" xfId="5372" xr:uid="{00000000-0005-0000-0000-00001C450000}"/>
    <cellStyle name="Normal 3 2 4 3 3 2 2 2 2" xfId="28871" xr:uid="{00000000-0005-0000-0000-00001D450000}"/>
    <cellStyle name="Normal 3 2 4 3 3 2 2 3" xfId="21015" xr:uid="{00000000-0005-0000-0000-00001E450000}"/>
    <cellStyle name="Normal 3 2 4 3 3 2 2 3 2" xfId="44330" xr:uid="{00000000-0005-0000-0000-00001F450000}"/>
    <cellStyle name="Normal 3 2 4 3 3 2 2 4" xfId="28870" xr:uid="{00000000-0005-0000-0000-000020450000}"/>
    <cellStyle name="Normal 3 2 4 3 3 2 3" xfId="5373" xr:uid="{00000000-0005-0000-0000-000021450000}"/>
    <cellStyle name="Normal 3 2 4 3 3 2 3 2" xfId="21016" xr:uid="{00000000-0005-0000-0000-000022450000}"/>
    <cellStyle name="Normal 3 2 4 3 3 2 3 2 2" xfId="44331" xr:uid="{00000000-0005-0000-0000-000023450000}"/>
    <cellStyle name="Normal 3 2 4 3 3 2 3 3" xfId="28872" xr:uid="{00000000-0005-0000-0000-000024450000}"/>
    <cellStyle name="Normal 3 2 4 3 3 2 4" xfId="21017" xr:uid="{00000000-0005-0000-0000-000025450000}"/>
    <cellStyle name="Normal 3 2 4 3 3 2 4 2" xfId="44332" xr:uid="{00000000-0005-0000-0000-000026450000}"/>
    <cellStyle name="Normal 3 2 4 3 3 2 5" xfId="21018" xr:uid="{00000000-0005-0000-0000-000027450000}"/>
    <cellStyle name="Normal 3 2 4 3 3 2 5 2" xfId="44333" xr:uid="{00000000-0005-0000-0000-000028450000}"/>
    <cellStyle name="Normal 3 2 4 3 3 2 6" xfId="21019" xr:uid="{00000000-0005-0000-0000-000029450000}"/>
    <cellStyle name="Normal 3 2 4 3 3 2 6 2" xfId="44334" xr:uid="{00000000-0005-0000-0000-00002A450000}"/>
    <cellStyle name="Normal 3 2 4 3 3 2 7" xfId="28869" xr:uid="{00000000-0005-0000-0000-00002B450000}"/>
    <cellStyle name="Normal 3 2 4 3 3 3" xfId="5374" xr:uid="{00000000-0005-0000-0000-00002C450000}"/>
    <cellStyle name="Normal 3 2 4 3 3 3 2" xfId="5375" xr:uid="{00000000-0005-0000-0000-00002D450000}"/>
    <cellStyle name="Normal 3 2 4 3 3 3 2 2" xfId="28874" xr:uid="{00000000-0005-0000-0000-00002E450000}"/>
    <cellStyle name="Normal 3 2 4 3 3 3 3" xfId="21020" xr:uid="{00000000-0005-0000-0000-00002F450000}"/>
    <cellStyle name="Normal 3 2 4 3 3 3 3 2" xfId="44335" xr:uid="{00000000-0005-0000-0000-000030450000}"/>
    <cellStyle name="Normal 3 2 4 3 3 3 4" xfId="28873" xr:uid="{00000000-0005-0000-0000-000031450000}"/>
    <cellStyle name="Normal 3 2 4 3 3 4" xfId="5376" xr:uid="{00000000-0005-0000-0000-000032450000}"/>
    <cellStyle name="Normal 3 2 4 3 3 4 2" xfId="21021" xr:uid="{00000000-0005-0000-0000-000033450000}"/>
    <cellStyle name="Normal 3 2 4 3 3 4 2 2" xfId="44336" xr:uid="{00000000-0005-0000-0000-000034450000}"/>
    <cellStyle name="Normal 3 2 4 3 3 4 3" xfId="28875" xr:uid="{00000000-0005-0000-0000-000035450000}"/>
    <cellStyle name="Normal 3 2 4 3 3 5" xfId="21022" xr:uid="{00000000-0005-0000-0000-000036450000}"/>
    <cellStyle name="Normal 3 2 4 3 3 5 2" xfId="44337" xr:uid="{00000000-0005-0000-0000-000037450000}"/>
    <cellStyle name="Normal 3 2 4 3 3 6" xfId="21023" xr:uid="{00000000-0005-0000-0000-000038450000}"/>
    <cellStyle name="Normal 3 2 4 3 3 6 2" xfId="44338" xr:uid="{00000000-0005-0000-0000-000039450000}"/>
    <cellStyle name="Normal 3 2 4 3 3 7" xfId="21024" xr:uid="{00000000-0005-0000-0000-00003A450000}"/>
    <cellStyle name="Normal 3 2 4 3 3 7 2" xfId="44339" xr:uid="{00000000-0005-0000-0000-00003B450000}"/>
    <cellStyle name="Normal 3 2 4 3 3 8" xfId="28868" xr:uid="{00000000-0005-0000-0000-00003C450000}"/>
    <cellStyle name="Normal 3 2 4 3 4" xfId="5377" xr:uid="{00000000-0005-0000-0000-00003D450000}"/>
    <cellStyle name="Normal 3 2 4 3 4 2" xfId="5378" xr:uid="{00000000-0005-0000-0000-00003E450000}"/>
    <cellStyle name="Normal 3 2 4 3 4 2 2" xfId="5379" xr:uid="{00000000-0005-0000-0000-00003F450000}"/>
    <cellStyle name="Normal 3 2 4 3 4 2 2 2" xfId="28878" xr:uid="{00000000-0005-0000-0000-000040450000}"/>
    <cellStyle name="Normal 3 2 4 3 4 2 3" xfId="21025" xr:uid="{00000000-0005-0000-0000-000041450000}"/>
    <cellStyle name="Normal 3 2 4 3 4 2 3 2" xfId="44340" xr:uid="{00000000-0005-0000-0000-000042450000}"/>
    <cellStyle name="Normal 3 2 4 3 4 2 4" xfId="28877" xr:uid="{00000000-0005-0000-0000-000043450000}"/>
    <cellStyle name="Normal 3 2 4 3 4 3" xfId="5380" xr:uid="{00000000-0005-0000-0000-000044450000}"/>
    <cellStyle name="Normal 3 2 4 3 4 3 2" xfId="21026" xr:uid="{00000000-0005-0000-0000-000045450000}"/>
    <cellStyle name="Normal 3 2 4 3 4 3 2 2" xfId="44341" xr:uid="{00000000-0005-0000-0000-000046450000}"/>
    <cellStyle name="Normal 3 2 4 3 4 3 3" xfId="28879" xr:uid="{00000000-0005-0000-0000-000047450000}"/>
    <cellStyle name="Normal 3 2 4 3 4 4" xfId="21027" xr:uid="{00000000-0005-0000-0000-000048450000}"/>
    <cellStyle name="Normal 3 2 4 3 4 4 2" xfId="44342" xr:uid="{00000000-0005-0000-0000-000049450000}"/>
    <cellStyle name="Normal 3 2 4 3 4 5" xfId="21028" xr:uid="{00000000-0005-0000-0000-00004A450000}"/>
    <cellStyle name="Normal 3 2 4 3 4 5 2" xfId="44343" xr:uid="{00000000-0005-0000-0000-00004B450000}"/>
    <cellStyle name="Normal 3 2 4 3 4 6" xfId="21029" xr:uid="{00000000-0005-0000-0000-00004C450000}"/>
    <cellStyle name="Normal 3 2 4 3 4 6 2" xfId="44344" xr:uid="{00000000-0005-0000-0000-00004D450000}"/>
    <cellStyle name="Normal 3 2 4 3 4 7" xfId="28876" xr:uid="{00000000-0005-0000-0000-00004E450000}"/>
    <cellStyle name="Normal 3 2 4 3 5" xfId="5381" xr:uid="{00000000-0005-0000-0000-00004F450000}"/>
    <cellStyle name="Normal 3 2 4 3 5 2" xfId="5382" xr:uid="{00000000-0005-0000-0000-000050450000}"/>
    <cellStyle name="Normal 3 2 4 3 5 2 2" xfId="28881" xr:uid="{00000000-0005-0000-0000-000051450000}"/>
    <cellStyle name="Normal 3 2 4 3 5 3" xfId="21030" xr:uid="{00000000-0005-0000-0000-000052450000}"/>
    <cellStyle name="Normal 3 2 4 3 5 3 2" xfId="44345" xr:uid="{00000000-0005-0000-0000-000053450000}"/>
    <cellStyle name="Normal 3 2 4 3 5 4" xfId="28880" xr:uid="{00000000-0005-0000-0000-000054450000}"/>
    <cellStyle name="Normal 3 2 4 3 6" xfId="5383" xr:uid="{00000000-0005-0000-0000-000055450000}"/>
    <cellStyle name="Normal 3 2 4 3 6 2" xfId="21031" xr:uid="{00000000-0005-0000-0000-000056450000}"/>
    <cellStyle name="Normal 3 2 4 3 6 2 2" xfId="44346" xr:uid="{00000000-0005-0000-0000-000057450000}"/>
    <cellStyle name="Normal 3 2 4 3 6 3" xfId="28882" xr:uid="{00000000-0005-0000-0000-000058450000}"/>
    <cellStyle name="Normal 3 2 4 3 7" xfId="21032" xr:uid="{00000000-0005-0000-0000-000059450000}"/>
    <cellStyle name="Normal 3 2 4 3 7 2" xfId="44347" xr:uid="{00000000-0005-0000-0000-00005A450000}"/>
    <cellStyle name="Normal 3 2 4 3 8" xfId="21033" xr:uid="{00000000-0005-0000-0000-00005B450000}"/>
    <cellStyle name="Normal 3 2 4 3 8 2" xfId="44348" xr:uid="{00000000-0005-0000-0000-00005C450000}"/>
    <cellStyle name="Normal 3 2 4 3 9" xfId="21034" xr:uid="{00000000-0005-0000-0000-00005D450000}"/>
    <cellStyle name="Normal 3 2 4 3 9 2" xfId="44349" xr:uid="{00000000-0005-0000-0000-00005E450000}"/>
    <cellStyle name="Normal 3 2 4 4" xfId="5384" xr:uid="{00000000-0005-0000-0000-00005F450000}"/>
    <cellStyle name="Normal 3 2 4 4 2" xfId="5385" xr:uid="{00000000-0005-0000-0000-000060450000}"/>
    <cellStyle name="Normal 3 2 4 4 2 2" xfId="5386" xr:uid="{00000000-0005-0000-0000-000061450000}"/>
    <cellStyle name="Normal 3 2 4 4 2 2 2" xfId="5387" xr:uid="{00000000-0005-0000-0000-000062450000}"/>
    <cellStyle name="Normal 3 2 4 4 2 2 2 2" xfId="5388" xr:uid="{00000000-0005-0000-0000-000063450000}"/>
    <cellStyle name="Normal 3 2 4 4 2 2 2 2 2" xfId="28887" xr:uid="{00000000-0005-0000-0000-000064450000}"/>
    <cellStyle name="Normal 3 2 4 4 2 2 2 3" xfId="28886" xr:uid="{00000000-0005-0000-0000-000065450000}"/>
    <cellStyle name="Normal 3 2 4 4 2 2 3" xfId="5389" xr:uid="{00000000-0005-0000-0000-000066450000}"/>
    <cellStyle name="Normal 3 2 4 4 2 2 3 2" xfId="28888" xr:uid="{00000000-0005-0000-0000-000067450000}"/>
    <cellStyle name="Normal 3 2 4 4 2 2 4" xfId="28885" xr:uid="{00000000-0005-0000-0000-000068450000}"/>
    <cellStyle name="Normal 3 2 4 4 2 3" xfId="5390" xr:uid="{00000000-0005-0000-0000-000069450000}"/>
    <cellStyle name="Normal 3 2 4 4 2 3 2" xfId="5391" xr:uid="{00000000-0005-0000-0000-00006A450000}"/>
    <cellStyle name="Normal 3 2 4 4 2 3 2 2" xfId="28890" xr:uid="{00000000-0005-0000-0000-00006B450000}"/>
    <cellStyle name="Normal 3 2 4 4 2 3 3" xfId="28889" xr:uid="{00000000-0005-0000-0000-00006C450000}"/>
    <cellStyle name="Normal 3 2 4 4 2 4" xfId="5392" xr:uid="{00000000-0005-0000-0000-00006D450000}"/>
    <cellStyle name="Normal 3 2 4 4 2 4 2" xfId="28891" xr:uid="{00000000-0005-0000-0000-00006E450000}"/>
    <cellStyle name="Normal 3 2 4 4 2 5" xfId="21035" xr:uid="{00000000-0005-0000-0000-00006F450000}"/>
    <cellStyle name="Normal 3 2 4 4 2 5 2" xfId="44350" xr:uid="{00000000-0005-0000-0000-000070450000}"/>
    <cellStyle name="Normal 3 2 4 4 2 6" xfId="21036" xr:uid="{00000000-0005-0000-0000-000071450000}"/>
    <cellStyle name="Normal 3 2 4 4 2 6 2" xfId="44351" xr:uid="{00000000-0005-0000-0000-000072450000}"/>
    <cellStyle name="Normal 3 2 4 4 2 7" xfId="28884" xr:uid="{00000000-0005-0000-0000-000073450000}"/>
    <cellStyle name="Normal 3 2 4 4 3" xfId="5393" xr:uid="{00000000-0005-0000-0000-000074450000}"/>
    <cellStyle name="Normal 3 2 4 4 3 2" xfId="5394" xr:uid="{00000000-0005-0000-0000-000075450000}"/>
    <cellStyle name="Normal 3 2 4 4 3 2 2" xfId="5395" xr:uid="{00000000-0005-0000-0000-000076450000}"/>
    <cellStyle name="Normal 3 2 4 4 3 2 2 2" xfId="5396" xr:uid="{00000000-0005-0000-0000-000077450000}"/>
    <cellStyle name="Normal 3 2 4 4 3 2 2 2 2" xfId="28895" xr:uid="{00000000-0005-0000-0000-000078450000}"/>
    <cellStyle name="Normal 3 2 4 4 3 2 2 3" xfId="28894" xr:uid="{00000000-0005-0000-0000-000079450000}"/>
    <cellStyle name="Normal 3 2 4 4 3 2 3" xfId="5397" xr:uid="{00000000-0005-0000-0000-00007A450000}"/>
    <cellStyle name="Normal 3 2 4 4 3 2 3 2" xfId="28896" xr:uid="{00000000-0005-0000-0000-00007B450000}"/>
    <cellStyle name="Normal 3 2 4 4 3 2 4" xfId="28893" xr:uid="{00000000-0005-0000-0000-00007C450000}"/>
    <cellStyle name="Normal 3 2 4 4 3 3" xfId="5398" xr:uid="{00000000-0005-0000-0000-00007D450000}"/>
    <cellStyle name="Normal 3 2 4 4 3 3 2" xfId="5399" xr:uid="{00000000-0005-0000-0000-00007E450000}"/>
    <cellStyle name="Normal 3 2 4 4 3 3 2 2" xfId="28898" xr:uid="{00000000-0005-0000-0000-00007F450000}"/>
    <cellStyle name="Normal 3 2 4 4 3 3 3" xfId="28897" xr:uid="{00000000-0005-0000-0000-000080450000}"/>
    <cellStyle name="Normal 3 2 4 4 3 4" xfId="5400" xr:uid="{00000000-0005-0000-0000-000081450000}"/>
    <cellStyle name="Normal 3 2 4 4 3 4 2" xfId="28899" xr:uid="{00000000-0005-0000-0000-000082450000}"/>
    <cellStyle name="Normal 3 2 4 4 3 5" xfId="28892" xr:uid="{00000000-0005-0000-0000-000083450000}"/>
    <cellStyle name="Normal 3 2 4 4 4" xfId="5401" xr:uid="{00000000-0005-0000-0000-000084450000}"/>
    <cellStyle name="Normal 3 2 4 4 4 2" xfId="5402" xr:uid="{00000000-0005-0000-0000-000085450000}"/>
    <cellStyle name="Normal 3 2 4 4 4 2 2" xfId="5403" xr:uid="{00000000-0005-0000-0000-000086450000}"/>
    <cellStyle name="Normal 3 2 4 4 4 2 2 2" xfId="28902" xr:uid="{00000000-0005-0000-0000-000087450000}"/>
    <cellStyle name="Normal 3 2 4 4 4 2 3" xfId="28901" xr:uid="{00000000-0005-0000-0000-000088450000}"/>
    <cellStyle name="Normal 3 2 4 4 4 3" xfId="5404" xr:uid="{00000000-0005-0000-0000-000089450000}"/>
    <cellStyle name="Normal 3 2 4 4 4 3 2" xfId="28903" xr:uid="{00000000-0005-0000-0000-00008A450000}"/>
    <cellStyle name="Normal 3 2 4 4 4 4" xfId="28900" xr:uid="{00000000-0005-0000-0000-00008B450000}"/>
    <cellStyle name="Normal 3 2 4 4 5" xfId="5405" xr:uid="{00000000-0005-0000-0000-00008C450000}"/>
    <cellStyle name="Normal 3 2 4 4 5 2" xfId="5406" xr:uid="{00000000-0005-0000-0000-00008D450000}"/>
    <cellStyle name="Normal 3 2 4 4 5 2 2" xfId="28905" xr:uid="{00000000-0005-0000-0000-00008E450000}"/>
    <cellStyle name="Normal 3 2 4 4 5 3" xfId="28904" xr:uid="{00000000-0005-0000-0000-00008F450000}"/>
    <cellStyle name="Normal 3 2 4 4 6" xfId="5407" xr:uid="{00000000-0005-0000-0000-000090450000}"/>
    <cellStyle name="Normal 3 2 4 4 6 2" xfId="28906" xr:uid="{00000000-0005-0000-0000-000091450000}"/>
    <cellStyle name="Normal 3 2 4 4 7" xfId="21037" xr:uid="{00000000-0005-0000-0000-000092450000}"/>
    <cellStyle name="Normal 3 2 4 4 7 2" xfId="44352" xr:uid="{00000000-0005-0000-0000-000093450000}"/>
    <cellStyle name="Normal 3 2 4 4 8" xfId="28883" xr:uid="{00000000-0005-0000-0000-000094450000}"/>
    <cellStyle name="Normal 3 2 4 5" xfId="5408" xr:uid="{00000000-0005-0000-0000-000095450000}"/>
    <cellStyle name="Normal 3 2 4 5 2" xfId="5409" xr:uid="{00000000-0005-0000-0000-000096450000}"/>
    <cellStyle name="Normal 3 2 4 5 2 2" xfId="5410" xr:uid="{00000000-0005-0000-0000-000097450000}"/>
    <cellStyle name="Normal 3 2 4 5 2 2 2" xfId="5411" xr:uid="{00000000-0005-0000-0000-000098450000}"/>
    <cellStyle name="Normal 3 2 4 5 2 2 2 2" xfId="5412" xr:uid="{00000000-0005-0000-0000-000099450000}"/>
    <cellStyle name="Normal 3 2 4 5 2 2 2 2 2" xfId="28911" xr:uid="{00000000-0005-0000-0000-00009A450000}"/>
    <cellStyle name="Normal 3 2 4 5 2 2 2 3" xfId="28910" xr:uid="{00000000-0005-0000-0000-00009B450000}"/>
    <cellStyle name="Normal 3 2 4 5 2 2 3" xfId="5413" xr:uid="{00000000-0005-0000-0000-00009C450000}"/>
    <cellStyle name="Normal 3 2 4 5 2 2 3 2" xfId="28912" xr:uid="{00000000-0005-0000-0000-00009D450000}"/>
    <cellStyle name="Normal 3 2 4 5 2 2 4" xfId="28909" xr:uid="{00000000-0005-0000-0000-00009E450000}"/>
    <cellStyle name="Normal 3 2 4 5 2 3" xfId="5414" xr:uid="{00000000-0005-0000-0000-00009F450000}"/>
    <cellStyle name="Normal 3 2 4 5 2 3 2" xfId="5415" xr:uid="{00000000-0005-0000-0000-0000A0450000}"/>
    <cellStyle name="Normal 3 2 4 5 2 3 2 2" xfId="28914" xr:uid="{00000000-0005-0000-0000-0000A1450000}"/>
    <cellStyle name="Normal 3 2 4 5 2 3 3" xfId="28913" xr:uid="{00000000-0005-0000-0000-0000A2450000}"/>
    <cellStyle name="Normal 3 2 4 5 2 4" xfId="5416" xr:uid="{00000000-0005-0000-0000-0000A3450000}"/>
    <cellStyle name="Normal 3 2 4 5 2 4 2" xfId="28915" xr:uid="{00000000-0005-0000-0000-0000A4450000}"/>
    <cellStyle name="Normal 3 2 4 5 2 5" xfId="21038" xr:uid="{00000000-0005-0000-0000-0000A5450000}"/>
    <cellStyle name="Normal 3 2 4 5 2 5 2" xfId="44353" xr:uid="{00000000-0005-0000-0000-0000A6450000}"/>
    <cellStyle name="Normal 3 2 4 5 2 6" xfId="21039" xr:uid="{00000000-0005-0000-0000-0000A7450000}"/>
    <cellStyle name="Normal 3 2 4 5 2 6 2" xfId="44354" xr:uid="{00000000-0005-0000-0000-0000A8450000}"/>
    <cellStyle name="Normal 3 2 4 5 2 7" xfId="28908" xr:uid="{00000000-0005-0000-0000-0000A9450000}"/>
    <cellStyle name="Normal 3 2 4 5 3" xfId="5417" xr:uid="{00000000-0005-0000-0000-0000AA450000}"/>
    <cellStyle name="Normal 3 2 4 5 3 2" xfId="5418" xr:uid="{00000000-0005-0000-0000-0000AB450000}"/>
    <cellStyle name="Normal 3 2 4 5 3 2 2" xfId="5419" xr:uid="{00000000-0005-0000-0000-0000AC450000}"/>
    <cellStyle name="Normal 3 2 4 5 3 2 2 2" xfId="5420" xr:uid="{00000000-0005-0000-0000-0000AD450000}"/>
    <cellStyle name="Normal 3 2 4 5 3 2 2 2 2" xfId="28919" xr:uid="{00000000-0005-0000-0000-0000AE450000}"/>
    <cellStyle name="Normal 3 2 4 5 3 2 2 3" xfId="28918" xr:uid="{00000000-0005-0000-0000-0000AF450000}"/>
    <cellStyle name="Normal 3 2 4 5 3 2 3" xfId="5421" xr:uid="{00000000-0005-0000-0000-0000B0450000}"/>
    <cellStyle name="Normal 3 2 4 5 3 2 3 2" xfId="28920" xr:uid="{00000000-0005-0000-0000-0000B1450000}"/>
    <cellStyle name="Normal 3 2 4 5 3 2 4" xfId="28917" xr:uid="{00000000-0005-0000-0000-0000B2450000}"/>
    <cellStyle name="Normal 3 2 4 5 3 3" xfId="5422" xr:uid="{00000000-0005-0000-0000-0000B3450000}"/>
    <cellStyle name="Normal 3 2 4 5 3 3 2" xfId="5423" xr:uid="{00000000-0005-0000-0000-0000B4450000}"/>
    <cellStyle name="Normal 3 2 4 5 3 3 2 2" xfId="28922" xr:uid="{00000000-0005-0000-0000-0000B5450000}"/>
    <cellStyle name="Normal 3 2 4 5 3 3 3" xfId="28921" xr:uid="{00000000-0005-0000-0000-0000B6450000}"/>
    <cellStyle name="Normal 3 2 4 5 3 4" xfId="5424" xr:uid="{00000000-0005-0000-0000-0000B7450000}"/>
    <cellStyle name="Normal 3 2 4 5 3 4 2" xfId="28923" xr:uid="{00000000-0005-0000-0000-0000B8450000}"/>
    <cellStyle name="Normal 3 2 4 5 3 5" xfId="28916" xr:uid="{00000000-0005-0000-0000-0000B9450000}"/>
    <cellStyle name="Normal 3 2 4 5 4" xfId="5425" xr:uid="{00000000-0005-0000-0000-0000BA450000}"/>
    <cellStyle name="Normal 3 2 4 5 4 2" xfId="5426" xr:uid="{00000000-0005-0000-0000-0000BB450000}"/>
    <cellStyle name="Normal 3 2 4 5 4 2 2" xfId="5427" xr:uid="{00000000-0005-0000-0000-0000BC450000}"/>
    <cellStyle name="Normal 3 2 4 5 4 2 2 2" xfId="28926" xr:uid="{00000000-0005-0000-0000-0000BD450000}"/>
    <cellStyle name="Normal 3 2 4 5 4 2 3" xfId="28925" xr:uid="{00000000-0005-0000-0000-0000BE450000}"/>
    <cellStyle name="Normal 3 2 4 5 4 3" xfId="5428" xr:uid="{00000000-0005-0000-0000-0000BF450000}"/>
    <cellStyle name="Normal 3 2 4 5 4 3 2" xfId="28927" xr:uid="{00000000-0005-0000-0000-0000C0450000}"/>
    <cellStyle name="Normal 3 2 4 5 4 4" xfId="28924" xr:uid="{00000000-0005-0000-0000-0000C1450000}"/>
    <cellStyle name="Normal 3 2 4 5 5" xfId="5429" xr:uid="{00000000-0005-0000-0000-0000C2450000}"/>
    <cellStyle name="Normal 3 2 4 5 5 2" xfId="5430" xr:uid="{00000000-0005-0000-0000-0000C3450000}"/>
    <cellStyle name="Normal 3 2 4 5 5 2 2" xfId="28929" xr:uid="{00000000-0005-0000-0000-0000C4450000}"/>
    <cellStyle name="Normal 3 2 4 5 5 3" xfId="28928" xr:uid="{00000000-0005-0000-0000-0000C5450000}"/>
    <cellStyle name="Normal 3 2 4 5 6" xfId="5431" xr:uid="{00000000-0005-0000-0000-0000C6450000}"/>
    <cellStyle name="Normal 3 2 4 5 6 2" xfId="28930" xr:uid="{00000000-0005-0000-0000-0000C7450000}"/>
    <cellStyle name="Normal 3 2 4 5 7" xfId="21040" xr:uid="{00000000-0005-0000-0000-0000C8450000}"/>
    <cellStyle name="Normal 3 2 4 5 7 2" xfId="44355" xr:uid="{00000000-0005-0000-0000-0000C9450000}"/>
    <cellStyle name="Normal 3 2 4 5 8" xfId="28907" xr:uid="{00000000-0005-0000-0000-0000CA450000}"/>
    <cellStyle name="Normal 3 2 4 6" xfId="5432" xr:uid="{00000000-0005-0000-0000-0000CB450000}"/>
    <cellStyle name="Normal 3 2 4 6 2" xfId="5433" xr:uid="{00000000-0005-0000-0000-0000CC450000}"/>
    <cellStyle name="Normal 3 2 4 6 2 2" xfId="5434" xr:uid="{00000000-0005-0000-0000-0000CD450000}"/>
    <cellStyle name="Normal 3 2 4 6 2 2 2" xfId="5435" xr:uid="{00000000-0005-0000-0000-0000CE450000}"/>
    <cellStyle name="Normal 3 2 4 6 2 2 2 2" xfId="28934" xr:uid="{00000000-0005-0000-0000-0000CF450000}"/>
    <cellStyle name="Normal 3 2 4 6 2 2 3" xfId="28933" xr:uid="{00000000-0005-0000-0000-0000D0450000}"/>
    <cellStyle name="Normal 3 2 4 6 2 3" xfId="5436" xr:uid="{00000000-0005-0000-0000-0000D1450000}"/>
    <cellStyle name="Normal 3 2 4 6 2 3 2" xfId="28935" xr:uid="{00000000-0005-0000-0000-0000D2450000}"/>
    <cellStyle name="Normal 3 2 4 6 2 4" xfId="28932" xr:uid="{00000000-0005-0000-0000-0000D3450000}"/>
    <cellStyle name="Normal 3 2 4 6 3" xfId="5437" xr:uid="{00000000-0005-0000-0000-0000D4450000}"/>
    <cellStyle name="Normal 3 2 4 6 3 2" xfId="5438" xr:uid="{00000000-0005-0000-0000-0000D5450000}"/>
    <cellStyle name="Normal 3 2 4 6 3 2 2" xfId="28937" xr:uid="{00000000-0005-0000-0000-0000D6450000}"/>
    <cellStyle name="Normal 3 2 4 6 3 3" xfId="28936" xr:uid="{00000000-0005-0000-0000-0000D7450000}"/>
    <cellStyle name="Normal 3 2 4 6 4" xfId="5439" xr:uid="{00000000-0005-0000-0000-0000D8450000}"/>
    <cellStyle name="Normal 3 2 4 6 4 2" xfId="28938" xr:uid="{00000000-0005-0000-0000-0000D9450000}"/>
    <cellStyle name="Normal 3 2 4 6 5" xfId="21041" xr:uid="{00000000-0005-0000-0000-0000DA450000}"/>
    <cellStyle name="Normal 3 2 4 6 5 2" xfId="44356" xr:uid="{00000000-0005-0000-0000-0000DB450000}"/>
    <cellStyle name="Normal 3 2 4 6 6" xfId="21042" xr:uid="{00000000-0005-0000-0000-0000DC450000}"/>
    <cellStyle name="Normal 3 2 4 6 6 2" xfId="44357" xr:uid="{00000000-0005-0000-0000-0000DD450000}"/>
    <cellStyle name="Normal 3 2 4 6 7" xfId="28931" xr:uid="{00000000-0005-0000-0000-0000DE450000}"/>
    <cellStyle name="Normal 3 2 4 7" xfId="5440" xr:uid="{00000000-0005-0000-0000-0000DF450000}"/>
    <cellStyle name="Normal 3 2 4 7 2" xfId="5441" xr:uid="{00000000-0005-0000-0000-0000E0450000}"/>
    <cellStyle name="Normal 3 2 4 7 2 2" xfId="5442" xr:uid="{00000000-0005-0000-0000-0000E1450000}"/>
    <cellStyle name="Normal 3 2 4 7 2 2 2" xfId="5443" xr:uid="{00000000-0005-0000-0000-0000E2450000}"/>
    <cellStyle name="Normal 3 2 4 7 2 2 2 2" xfId="28942" xr:uid="{00000000-0005-0000-0000-0000E3450000}"/>
    <cellStyle name="Normal 3 2 4 7 2 2 3" xfId="28941" xr:uid="{00000000-0005-0000-0000-0000E4450000}"/>
    <cellStyle name="Normal 3 2 4 7 2 3" xfId="5444" xr:uid="{00000000-0005-0000-0000-0000E5450000}"/>
    <cellStyle name="Normal 3 2 4 7 2 3 2" xfId="28943" xr:uid="{00000000-0005-0000-0000-0000E6450000}"/>
    <cellStyle name="Normal 3 2 4 7 2 4" xfId="28940" xr:uid="{00000000-0005-0000-0000-0000E7450000}"/>
    <cellStyle name="Normal 3 2 4 7 3" xfId="5445" xr:uid="{00000000-0005-0000-0000-0000E8450000}"/>
    <cellStyle name="Normal 3 2 4 7 3 2" xfId="5446" xr:uid="{00000000-0005-0000-0000-0000E9450000}"/>
    <cellStyle name="Normal 3 2 4 7 3 2 2" xfId="28945" xr:uid="{00000000-0005-0000-0000-0000EA450000}"/>
    <cellStyle name="Normal 3 2 4 7 3 3" xfId="28944" xr:uid="{00000000-0005-0000-0000-0000EB450000}"/>
    <cellStyle name="Normal 3 2 4 7 4" xfId="5447" xr:uid="{00000000-0005-0000-0000-0000EC450000}"/>
    <cellStyle name="Normal 3 2 4 7 4 2" xfId="28946" xr:uid="{00000000-0005-0000-0000-0000ED450000}"/>
    <cellStyle name="Normal 3 2 4 7 5" xfId="28939" xr:uid="{00000000-0005-0000-0000-0000EE450000}"/>
    <cellStyle name="Normal 3 2 4 8" xfId="5448" xr:uid="{00000000-0005-0000-0000-0000EF450000}"/>
    <cellStyle name="Normal 3 2 4 8 2" xfId="5449" xr:uid="{00000000-0005-0000-0000-0000F0450000}"/>
    <cellStyle name="Normal 3 2 4 8 2 2" xfId="5450" xr:uid="{00000000-0005-0000-0000-0000F1450000}"/>
    <cellStyle name="Normal 3 2 4 8 2 2 2" xfId="28949" xr:uid="{00000000-0005-0000-0000-0000F2450000}"/>
    <cellStyle name="Normal 3 2 4 8 2 3" xfId="28948" xr:uid="{00000000-0005-0000-0000-0000F3450000}"/>
    <cellStyle name="Normal 3 2 4 8 3" xfId="5451" xr:uid="{00000000-0005-0000-0000-0000F4450000}"/>
    <cellStyle name="Normal 3 2 4 8 3 2" xfId="28950" xr:uid="{00000000-0005-0000-0000-0000F5450000}"/>
    <cellStyle name="Normal 3 2 4 8 4" xfId="28947" xr:uid="{00000000-0005-0000-0000-0000F6450000}"/>
    <cellStyle name="Normal 3 2 4 9" xfId="5452" xr:uid="{00000000-0005-0000-0000-0000F7450000}"/>
    <cellStyle name="Normal 3 2 4 9 2" xfId="5453" xr:uid="{00000000-0005-0000-0000-0000F8450000}"/>
    <cellStyle name="Normal 3 2 4 9 2 2" xfId="28952" xr:uid="{00000000-0005-0000-0000-0000F9450000}"/>
    <cellStyle name="Normal 3 2 4 9 3" xfId="28951" xr:uid="{00000000-0005-0000-0000-0000FA450000}"/>
    <cellStyle name="Normal 3 2 5" xfId="114" xr:uid="{00000000-0005-0000-0000-0000FB450000}"/>
    <cellStyle name="Normal 3 2 5 10" xfId="21043" xr:uid="{00000000-0005-0000-0000-0000FC450000}"/>
    <cellStyle name="Normal 3 2 5 10 2" xfId="44358" xr:uid="{00000000-0005-0000-0000-0000FD450000}"/>
    <cellStyle name="Normal 3 2 5 11" xfId="21044" xr:uid="{00000000-0005-0000-0000-0000FE450000}"/>
    <cellStyle name="Normal 3 2 5 11 2" xfId="44359" xr:uid="{00000000-0005-0000-0000-0000FF450000}"/>
    <cellStyle name="Normal 3 2 5 12" xfId="23679" xr:uid="{00000000-0005-0000-0000-000000460000}"/>
    <cellStyle name="Normal 3 2 5 2" xfId="115" xr:uid="{00000000-0005-0000-0000-000001460000}"/>
    <cellStyle name="Normal 3 2 5 2 10" xfId="23680" xr:uid="{00000000-0005-0000-0000-000002460000}"/>
    <cellStyle name="Normal 3 2 5 2 2" xfId="5454" xr:uid="{00000000-0005-0000-0000-000003460000}"/>
    <cellStyle name="Normal 3 2 5 2 2 2" xfId="5455" xr:uid="{00000000-0005-0000-0000-000004460000}"/>
    <cellStyle name="Normal 3 2 5 2 2 2 2" xfId="5456" xr:uid="{00000000-0005-0000-0000-000005460000}"/>
    <cellStyle name="Normal 3 2 5 2 2 2 2 2" xfId="5457" xr:uid="{00000000-0005-0000-0000-000006460000}"/>
    <cellStyle name="Normal 3 2 5 2 2 2 2 2 2" xfId="28956" xr:uid="{00000000-0005-0000-0000-000007460000}"/>
    <cellStyle name="Normal 3 2 5 2 2 2 2 3" xfId="21045" xr:uid="{00000000-0005-0000-0000-000008460000}"/>
    <cellStyle name="Normal 3 2 5 2 2 2 2 3 2" xfId="44360" xr:uid="{00000000-0005-0000-0000-000009460000}"/>
    <cellStyle name="Normal 3 2 5 2 2 2 2 4" xfId="28955" xr:uid="{00000000-0005-0000-0000-00000A460000}"/>
    <cellStyle name="Normal 3 2 5 2 2 2 3" xfId="5458" xr:uid="{00000000-0005-0000-0000-00000B460000}"/>
    <cellStyle name="Normal 3 2 5 2 2 2 3 2" xfId="21046" xr:uid="{00000000-0005-0000-0000-00000C460000}"/>
    <cellStyle name="Normal 3 2 5 2 2 2 3 2 2" xfId="44361" xr:uid="{00000000-0005-0000-0000-00000D460000}"/>
    <cellStyle name="Normal 3 2 5 2 2 2 3 3" xfId="28957" xr:uid="{00000000-0005-0000-0000-00000E460000}"/>
    <cellStyle name="Normal 3 2 5 2 2 2 4" xfId="21047" xr:uid="{00000000-0005-0000-0000-00000F460000}"/>
    <cellStyle name="Normal 3 2 5 2 2 2 4 2" xfId="44362" xr:uid="{00000000-0005-0000-0000-000010460000}"/>
    <cellStyle name="Normal 3 2 5 2 2 2 5" xfId="21048" xr:uid="{00000000-0005-0000-0000-000011460000}"/>
    <cellStyle name="Normal 3 2 5 2 2 2 5 2" xfId="44363" xr:uid="{00000000-0005-0000-0000-000012460000}"/>
    <cellStyle name="Normal 3 2 5 2 2 2 6" xfId="21049" xr:uid="{00000000-0005-0000-0000-000013460000}"/>
    <cellStyle name="Normal 3 2 5 2 2 2 6 2" xfId="44364" xr:uid="{00000000-0005-0000-0000-000014460000}"/>
    <cellStyle name="Normal 3 2 5 2 2 2 7" xfId="28954" xr:uid="{00000000-0005-0000-0000-000015460000}"/>
    <cellStyle name="Normal 3 2 5 2 2 3" xfId="5459" xr:uid="{00000000-0005-0000-0000-000016460000}"/>
    <cellStyle name="Normal 3 2 5 2 2 3 2" xfId="5460" xr:uid="{00000000-0005-0000-0000-000017460000}"/>
    <cellStyle name="Normal 3 2 5 2 2 3 2 2" xfId="28959" xr:uid="{00000000-0005-0000-0000-000018460000}"/>
    <cellStyle name="Normal 3 2 5 2 2 3 3" xfId="21050" xr:uid="{00000000-0005-0000-0000-000019460000}"/>
    <cellStyle name="Normal 3 2 5 2 2 3 3 2" xfId="44365" xr:uid="{00000000-0005-0000-0000-00001A460000}"/>
    <cellStyle name="Normal 3 2 5 2 2 3 4" xfId="28958" xr:uid="{00000000-0005-0000-0000-00001B460000}"/>
    <cellStyle name="Normal 3 2 5 2 2 4" xfId="5461" xr:uid="{00000000-0005-0000-0000-00001C460000}"/>
    <cellStyle name="Normal 3 2 5 2 2 4 2" xfId="21051" xr:uid="{00000000-0005-0000-0000-00001D460000}"/>
    <cellStyle name="Normal 3 2 5 2 2 4 2 2" xfId="44366" xr:uid="{00000000-0005-0000-0000-00001E460000}"/>
    <cellStyle name="Normal 3 2 5 2 2 4 3" xfId="28960" xr:uid="{00000000-0005-0000-0000-00001F460000}"/>
    <cellStyle name="Normal 3 2 5 2 2 5" xfId="21052" xr:uid="{00000000-0005-0000-0000-000020460000}"/>
    <cellStyle name="Normal 3 2 5 2 2 5 2" xfId="44367" xr:uid="{00000000-0005-0000-0000-000021460000}"/>
    <cellStyle name="Normal 3 2 5 2 2 6" xfId="21053" xr:uid="{00000000-0005-0000-0000-000022460000}"/>
    <cellStyle name="Normal 3 2 5 2 2 6 2" xfId="44368" xr:uid="{00000000-0005-0000-0000-000023460000}"/>
    <cellStyle name="Normal 3 2 5 2 2 7" xfId="21054" xr:uid="{00000000-0005-0000-0000-000024460000}"/>
    <cellStyle name="Normal 3 2 5 2 2 7 2" xfId="44369" xr:uid="{00000000-0005-0000-0000-000025460000}"/>
    <cellStyle name="Normal 3 2 5 2 2 8" xfId="28953" xr:uid="{00000000-0005-0000-0000-000026460000}"/>
    <cellStyle name="Normal 3 2 5 2 3" xfId="5462" xr:uid="{00000000-0005-0000-0000-000027460000}"/>
    <cellStyle name="Normal 3 2 5 2 3 2" xfId="5463" xr:uid="{00000000-0005-0000-0000-000028460000}"/>
    <cellStyle name="Normal 3 2 5 2 3 2 2" xfId="5464" xr:uid="{00000000-0005-0000-0000-000029460000}"/>
    <cellStyle name="Normal 3 2 5 2 3 2 2 2" xfId="5465" xr:uid="{00000000-0005-0000-0000-00002A460000}"/>
    <cellStyle name="Normal 3 2 5 2 3 2 2 2 2" xfId="28964" xr:uid="{00000000-0005-0000-0000-00002B460000}"/>
    <cellStyle name="Normal 3 2 5 2 3 2 2 3" xfId="21055" xr:uid="{00000000-0005-0000-0000-00002C460000}"/>
    <cellStyle name="Normal 3 2 5 2 3 2 2 3 2" xfId="44370" xr:uid="{00000000-0005-0000-0000-00002D460000}"/>
    <cellStyle name="Normal 3 2 5 2 3 2 2 4" xfId="28963" xr:uid="{00000000-0005-0000-0000-00002E460000}"/>
    <cellStyle name="Normal 3 2 5 2 3 2 3" xfId="5466" xr:uid="{00000000-0005-0000-0000-00002F460000}"/>
    <cellStyle name="Normal 3 2 5 2 3 2 3 2" xfId="21056" xr:uid="{00000000-0005-0000-0000-000030460000}"/>
    <cellStyle name="Normal 3 2 5 2 3 2 3 2 2" xfId="44371" xr:uid="{00000000-0005-0000-0000-000031460000}"/>
    <cellStyle name="Normal 3 2 5 2 3 2 3 3" xfId="28965" xr:uid="{00000000-0005-0000-0000-000032460000}"/>
    <cellStyle name="Normal 3 2 5 2 3 2 4" xfId="21057" xr:uid="{00000000-0005-0000-0000-000033460000}"/>
    <cellStyle name="Normal 3 2 5 2 3 2 4 2" xfId="44372" xr:uid="{00000000-0005-0000-0000-000034460000}"/>
    <cellStyle name="Normal 3 2 5 2 3 2 5" xfId="21058" xr:uid="{00000000-0005-0000-0000-000035460000}"/>
    <cellStyle name="Normal 3 2 5 2 3 2 5 2" xfId="44373" xr:uid="{00000000-0005-0000-0000-000036460000}"/>
    <cellStyle name="Normal 3 2 5 2 3 2 6" xfId="21059" xr:uid="{00000000-0005-0000-0000-000037460000}"/>
    <cellStyle name="Normal 3 2 5 2 3 2 6 2" xfId="44374" xr:uid="{00000000-0005-0000-0000-000038460000}"/>
    <cellStyle name="Normal 3 2 5 2 3 2 7" xfId="28962" xr:uid="{00000000-0005-0000-0000-000039460000}"/>
    <cellStyle name="Normal 3 2 5 2 3 3" xfId="5467" xr:uid="{00000000-0005-0000-0000-00003A460000}"/>
    <cellStyle name="Normal 3 2 5 2 3 3 2" xfId="5468" xr:uid="{00000000-0005-0000-0000-00003B460000}"/>
    <cellStyle name="Normal 3 2 5 2 3 3 2 2" xfId="28967" xr:uid="{00000000-0005-0000-0000-00003C460000}"/>
    <cellStyle name="Normal 3 2 5 2 3 3 3" xfId="21060" xr:uid="{00000000-0005-0000-0000-00003D460000}"/>
    <cellStyle name="Normal 3 2 5 2 3 3 3 2" xfId="44375" xr:uid="{00000000-0005-0000-0000-00003E460000}"/>
    <cellStyle name="Normal 3 2 5 2 3 3 4" xfId="28966" xr:uid="{00000000-0005-0000-0000-00003F460000}"/>
    <cellStyle name="Normal 3 2 5 2 3 4" xfId="5469" xr:uid="{00000000-0005-0000-0000-000040460000}"/>
    <cellStyle name="Normal 3 2 5 2 3 4 2" xfId="21061" xr:uid="{00000000-0005-0000-0000-000041460000}"/>
    <cellStyle name="Normal 3 2 5 2 3 4 2 2" xfId="44376" xr:uid="{00000000-0005-0000-0000-000042460000}"/>
    <cellStyle name="Normal 3 2 5 2 3 4 3" xfId="28968" xr:uid="{00000000-0005-0000-0000-000043460000}"/>
    <cellStyle name="Normal 3 2 5 2 3 5" xfId="21062" xr:uid="{00000000-0005-0000-0000-000044460000}"/>
    <cellStyle name="Normal 3 2 5 2 3 5 2" xfId="44377" xr:uid="{00000000-0005-0000-0000-000045460000}"/>
    <cellStyle name="Normal 3 2 5 2 3 6" xfId="21063" xr:uid="{00000000-0005-0000-0000-000046460000}"/>
    <cellStyle name="Normal 3 2 5 2 3 6 2" xfId="44378" xr:uid="{00000000-0005-0000-0000-000047460000}"/>
    <cellStyle name="Normal 3 2 5 2 3 7" xfId="21064" xr:uid="{00000000-0005-0000-0000-000048460000}"/>
    <cellStyle name="Normal 3 2 5 2 3 7 2" xfId="44379" xr:uid="{00000000-0005-0000-0000-000049460000}"/>
    <cellStyle name="Normal 3 2 5 2 3 8" xfId="28961" xr:uid="{00000000-0005-0000-0000-00004A460000}"/>
    <cellStyle name="Normal 3 2 5 2 4" xfId="5470" xr:uid="{00000000-0005-0000-0000-00004B460000}"/>
    <cellStyle name="Normal 3 2 5 2 4 2" xfId="5471" xr:uid="{00000000-0005-0000-0000-00004C460000}"/>
    <cellStyle name="Normal 3 2 5 2 4 2 2" xfId="5472" xr:uid="{00000000-0005-0000-0000-00004D460000}"/>
    <cellStyle name="Normal 3 2 5 2 4 2 2 2" xfId="28971" xr:uid="{00000000-0005-0000-0000-00004E460000}"/>
    <cellStyle name="Normal 3 2 5 2 4 2 3" xfId="21065" xr:uid="{00000000-0005-0000-0000-00004F460000}"/>
    <cellStyle name="Normal 3 2 5 2 4 2 3 2" xfId="44380" xr:uid="{00000000-0005-0000-0000-000050460000}"/>
    <cellStyle name="Normal 3 2 5 2 4 2 4" xfId="28970" xr:uid="{00000000-0005-0000-0000-000051460000}"/>
    <cellStyle name="Normal 3 2 5 2 4 3" xfId="5473" xr:uid="{00000000-0005-0000-0000-000052460000}"/>
    <cellStyle name="Normal 3 2 5 2 4 3 2" xfId="21066" xr:uid="{00000000-0005-0000-0000-000053460000}"/>
    <cellStyle name="Normal 3 2 5 2 4 3 2 2" xfId="44381" xr:uid="{00000000-0005-0000-0000-000054460000}"/>
    <cellStyle name="Normal 3 2 5 2 4 3 3" xfId="28972" xr:uid="{00000000-0005-0000-0000-000055460000}"/>
    <cellStyle name="Normal 3 2 5 2 4 4" xfId="21067" xr:uid="{00000000-0005-0000-0000-000056460000}"/>
    <cellStyle name="Normal 3 2 5 2 4 4 2" xfId="44382" xr:uid="{00000000-0005-0000-0000-000057460000}"/>
    <cellStyle name="Normal 3 2 5 2 4 5" xfId="21068" xr:uid="{00000000-0005-0000-0000-000058460000}"/>
    <cellStyle name="Normal 3 2 5 2 4 5 2" xfId="44383" xr:uid="{00000000-0005-0000-0000-000059460000}"/>
    <cellStyle name="Normal 3 2 5 2 4 6" xfId="21069" xr:uid="{00000000-0005-0000-0000-00005A460000}"/>
    <cellStyle name="Normal 3 2 5 2 4 6 2" xfId="44384" xr:uid="{00000000-0005-0000-0000-00005B460000}"/>
    <cellStyle name="Normal 3 2 5 2 4 7" xfId="28969" xr:uid="{00000000-0005-0000-0000-00005C460000}"/>
    <cellStyle name="Normal 3 2 5 2 5" xfId="5474" xr:uid="{00000000-0005-0000-0000-00005D460000}"/>
    <cellStyle name="Normal 3 2 5 2 5 2" xfId="5475" xr:uid="{00000000-0005-0000-0000-00005E460000}"/>
    <cellStyle name="Normal 3 2 5 2 5 2 2" xfId="28974" xr:uid="{00000000-0005-0000-0000-00005F460000}"/>
    <cellStyle name="Normal 3 2 5 2 5 3" xfId="21070" xr:uid="{00000000-0005-0000-0000-000060460000}"/>
    <cellStyle name="Normal 3 2 5 2 5 3 2" xfId="44385" xr:uid="{00000000-0005-0000-0000-000061460000}"/>
    <cellStyle name="Normal 3 2 5 2 5 4" xfId="28973" xr:uid="{00000000-0005-0000-0000-000062460000}"/>
    <cellStyle name="Normal 3 2 5 2 6" xfId="5476" xr:uid="{00000000-0005-0000-0000-000063460000}"/>
    <cellStyle name="Normal 3 2 5 2 6 2" xfId="21071" xr:uid="{00000000-0005-0000-0000-000064460000}"/>
    <cellStyle name="Normal 3 2 5 2 6 2 2" xfId="44386" xr:uid="{00000000-0005-0000-0000-000065460000}"/>
    <cellStyle name="Normal 3 2 5 2 6 3" xfId="28975" xr:uid="{00000000-0005-0000-0000-000066460000}"/>
    <cellStyle name="Normal 3 2 5 2 7" xfId="21072" xr:uid="{00000000-0005-0000-0000-000067460000}"/>
    <cellStyle name="Normal 3 2 5 2 7 2" xfId="44387" xr:uid="{00000000-0005-0000-0000-000068460000}"/>
    <cellStyle name="Normal 3 2 5 2 8" xfId="21073" xr:uid="{00000000-0005-0000-0000-000069460000}"/>
    <cellStyle name="Normal 3 2 5 2 8 2" xfId="44388" xr:uid="{00000000-0005-0000-0000-00006A460000}"/>
    <cellStyle name="Normal 3 2 5 2 9" xfId="21074" xr:uid="{00000000-0005-0000-0000-00006B460000}"/>
    <cellStyle name="Normal 3 2 5 2 9 2" xfId="44389" xr:uid="{00000000-0005-0000-0000-00006C460000}"/>
    <cellStyle name="Normal 3 2 5 3" xfId="5477" xr:uid="{00000000-0005-0000-0000-00006D460000}"/>
    <cellStyle name="Normal 3 2 5 3 10" xfId="28976" xr:uid="{00000000-0005-0000-0000-00006E460000}"/>
    <cellStyle name="Normal 3 2 5 3 2" xfId="5478" xr:uid="{00000000-0005-0000-0000-00006F460000}"/>
    <cellStyle name="Normal 3 2 5 3 2 2" xfId="5479" xr:uid="{00000000-0005-0000-0000-000070460000}"/>
    <cellStyle name="Normal 3 2 5 3 2 2 2" xfId="5480" xr:uid="{00000000-0005-0000-0000-000071460000}"/>
    <cellStyle name="Normal 3 2 5 3 2 2 2 2" xfId="5481" xr:uid="{00000000-0005-0000-0000-000072460000}"/>
    <cellStyle name="Normal 3 2 5 3 2 2 2 2 2" xfId="28980" xr:uid="{00000000-0005-0000-0000-000073460000}"/>
    <cellStyle name="Normal 3 2 5 3 2 2 2 3" xfId="21075" xr:uid="{00000000-0005-0000-0000-000074460000}"/>
    <cellStyle name="Normal 3 2 5 3 2 2 2 3 2" xfId="44390" xr:uid="{00000000-0005-0000-0000-000075460000}"/>
    <cellStyle name="Normal 3 2 5 3 2 2 2 4" xfId="28979" xr:uid="{00000000-0005-0000-0000-000076460000}"/>
    <cellStyle name="Normal 3 2 5 3 2 2 3" xfId="5482" xr:uid="{00000000-0005-0000-0000-000077460000}"/>
    <cellStyle name="Normal 3 2 5 3 2 2 3 2" xfId="21076" xr:uid="{00000000-0005-0000-0000-000078460000}"/>
    <cellStyle name="Normal 3 2 5 3 2 2 3 2 2" xfId="44391" xr:uid="{00000000-0005-0000-0000-000079460000}"/>
    <cellStyle name="Normal 3 2 5 3 2 2 3 3" xfId="28981" xr:uid="{00000000-0005-0000-0000-00007A460000}"/>
    <cellStyle name="Normal 3 2 5 3 2 2 4" xfId="21077" xr:uid="{00000000-0005-0000-0000-00007B460000}"/>
    <cellStyle name="Normal 3 2 5 3 2 2 4 2" xfId="44392" xr:uid="{00000000-0005-0000-0000-00007C460000}"/>
    <cellStyle name="Normal 3 2 5 3 2 2 5" xfId="21078" xr:uid="{00000000-0005-0000-0000-00007D460000}"/>
    <cellStyle name="Normal 3 2 5 3 2 2 5 2" xfId="44393" xr:uid="{00000000-0005-0000-0000-00007E460000}"/>
    <cellStyle name="Normal 3 2 5 3 2 2 6" xfId="21079" xr:uid="{00000000-0005-0000-0000-00007F460000}"/>
    <cellStyle name="Normal 3 2 5 3 2 2 6 2" xfId="44394" xr:uid="{00000000-0005-0000-0000-000080460000}"/>
    <cellStyle name="Normal 3 2 5 3 2 2 7" xfId="28978" xr:uid="{00000000-0005-0000-0000-000081460000}"/>
    <cellStyle name="Normal 3 2 5 3 2 3" xfId="5483" xr:uid="{00000000-0005-0000-0000-000082460000}"/>
    <cellStyle name="Normal 3 2 5 3 2 3 2" xfId="5484" xr:uid="{00000000-0005-0000-0000-000083460000}"/>
    <cellStyle name="Normal 3 2 5 3 2 3 2 2" xfId="28983" xr:uid="{00000000-0005-0000-0000-000084460000}"/>
    <cellStyle name="Normal 3 2 5 3 2 3 3" xfId="21080" xr:uid="{00000000-0005-0000-0000-000085460000}"/>
    <cellStyle name="Normal 3 2 5 3 2 3 3 2" xfId="44395" xr:uid="{00000000-0005-0000-0000-000086460000}"/>
    <cellStyle name="Normal 3 2 5 3 2 3 4" xfId="28982" xr:uid="{00000000-0005-0000-0000-000087460000}"/>
    <cellStyle name="Normal 3 2 5 3 2 4" xfId="5485" xr:uid="{00000000-0005-0000-0000-000088460000}"/>
    <cellStyle name="Normal 3 2 5 3 2 4 2" xfId="21081" xr:uid="{00000000-0005-0000-0000-000089460000}"/>
    <cellStyle name="Normal 3 2 5 3 2 4 2 2" xfId="44396" xr:uid="{00000000-0005-0000-0000-00008A460000}"/>
    <cellStyle name="Normal 3 2 5 3 2 4 3" xfId="28984" xr:uid="{00000000-0005-0000-0000-00008B460000}"/>
    <cellStyle name="Normal 3 2 5 3 2 5" xfId="21082" xr:uid="{00000000-0005-0000-0000-00008C460000}"/>
    <cellStyle name="Normal 3 2 5 3 2 5 2" xfId="44397" xr:uid="{00000000-0005-0000-0000-00008D460000}"/>
    <cellStyle name="Normal 3 2 5 3 2 6" xfId="21083" xr:uid="{00000000-0005-0000-0000-00008E460000}"/>
    <cellStyle name="Normal 3 2 5 3 2 6 2" xfId="44398" xr:uid="{00000000-0005-0000-0000-00008F460000}"/>
    <cellStyle name="Normal 3 2 5 3 2 7" xfId="21084" xr:uid="{00000000-0005-0000-0000-000090460000}"/>
    <cellStyle name="Normal 3 2 5 3 2 7 2" xfId="44399" xr:uid="{00000000-0005-0000-0000-000091460000}"/>
    <cellStyle name="Normal 3 2 5 3 2 8" xfId="28977" xr:uid="{00000000-0005-0000-0000-000092460000}"/>
    <cellStyle name="Normal 3 2 5 3 3" xfId="5486" xr:uid="{00000000-0005-0000-0000-000093460000}"/>
    <cellStyle name="Normal 3 2 5 3 3 2" xfId="5487" xr:uid="{00000000-0005-0000-0000-000094460000}"/>
    <cellStyle name="Normal 3 2 5 3 3 2 2" xfId="5488" xr:uid="{00000000-0005-0000-0000-000095460000}"/>
    <cellStyle name="Normal 3 2 5 3 3 2 2 2" xfId="5489" xr:uid="{00000000-0005-0000-0000-000096460000}"/>
    <cellStyle name="Normal 3 2 5 3 3 2 2 2 2" xfId="28988" xr:uid="{00000000-0005-0000-0000-000097460000}"/>
    <cellStyle name="Normal 3 2 5 3 3 2 2 3" xfId="21085" xr:uid="{00000000-0005-0000-0000-000098460000}"/>
    <cellStyle name="Normal 3 2 5 3 3 2 2 3 2" xfId="44400" xr:uid="{00000000-0005-0000-0000-000099460000}"/>
    <cellStyle name="Normal 3 2 5 3 3 2 2 4" xfId="28987" xr:uid="{00000000-0005-0000-0000-00009A460000}"/>
    <cellStyle name="Normal 3 2 5 3 3 2 3" xfId="5490" xr:uid="{00000000-0005-0000-0000-00009B460000}"/>
    <cellStyle name="Normal 3 2 5 3 3 2 3 2" xfId="21086" xr:uid="{00000000-0005-0000-0000-00009C460000}"/>
    <cellStyle name="Normal 3 2 5 3 3 2 3 2 2" xfId="44401" xr:uid="{00000000-0005-0000-0000-00009D460000}"/>
    <cellStyle name="Normal 3 2 5 3 3 2 3 3" xfId="28989" xr:uid="{00000000-0005-0000-0000-00009E460000}"/>
    <cellStyle name="Normal 3 2 5 3 3 2 4" xfId="21087" xr:uid="{00000000-0005-0000-0000-00009F460000}"/>
    <cellStyle name="Normal 3 2 5 3 3 2 4 2" xfId="44402" xr:uid="{00000000-0005-0000-0000-0000A0460000}"/>
    <cellStyle name="Normal 3 2 5 3 3 2 5" xfId="21088" xr:uid="{00000000-0005-0000-0000-0000A1460000}"/>
    <cellStyle name="Normal 3 2 5 3 3 2 5 2" xfId="44403" xr:uid="{00000000-0005-0000-0000-0000A2460000}"/>
    <cellStyle name="Normal 3 2 5 3 3 2 6" xfId="21089" xr:uid="{00000000-0005-0000-0000-0000A3460000}"/>
    <cellStyle name="Normal 3 2 5 3 3 2 6 2" xfId="44404" xr:uid="{00000000-0005-0000-0000-0000A4460000}"/>
    <cellStyle name="Normal 3 2 5 3 3 2 7" xfId="28986" xr:uid="{00000000-0005-0000-0000-0000A5460000}"/>
    <cellStyle name="Normal 3 2 5 3 3 3" xfId="5491" xr:uid="{00000000-0005-0000-0000-0000A6460000}"/>
    <cellStyle name="Normal 3 2 5 3 3 3 2" xfId="5492" xr:uid="{00000000-0005-0000-0000-0000A7460000}"/>
    <cellStyle name="Normal 3 2 5 3 3 3 2 2" xfId="28991" xr:uid="{00000000-0005-0000-0000-0000A8460000}"/>
    <cellStyle name="Normal 3 2 5 3 3 3 3" xfId="21090" xr:uid="{00000000-0005-0000-0000-0000A9460000}"/>
    <cellStyle name="Normal 3 2 5 3 3 3 3 2" xfId="44405" xr:uid="{00000000-0005-0000-0000-0000AA460000}"/>
    <cellStyle name="Normal 3 2 5 3 3 3 4" xfId="28990" xr:uid="{00000000-0005-0000-0000-0000AB460000}"/>
    <cellStyle name="Normal 3 2 5 3 3 4" xfId="5493" xr:uid="{00000000-0005-0000-0000-0000AC460000}"/>
    <cellStyle name="Normal 3 2 5 3 3 4 2" xfId="21091" xr:uid="{00000000-0005-0000-0000-0000AD460000}"/>
    <cellStyle name="Normal 3 2 5 3 3 4 2 2" xfId="44406" xr:uid="{00000000-0005-0000-0000-0000AE460000}"/>
    <cellStyle name="Normal 3 2 5 3 3 4 3" xfId="28992" xr:uid="{00000000-0005-0000-0000-0000AF460000}"/>
    <cellStyle name="Normal 3 2 5 3 3 5" xfId="21092" xr:uid="{00000000-0005-0000-0000-0000B0460000}"/>
    <cellStyle name="Normal 3 2 5 3 3 5 2" xfId="44407" xr:uid="{00000000-0005-0000-0000-0000B1460000}"/>
    <cellStyle name="Normal 3 2 5 3 3 6" xfId="21093" xr:uid="{00000000-0005-0000-0000-0000B2460000}"/>
    <cellStyle name="Normal 3 2 5 3 3 6 2" xfId="44408" xr:uid="{00000000-0005-0000-0000-0000B3460000}"/>
    <cellStyle name="Normal 3 2 5 3 3 7" xfId="21094" xr:uid="{00000000-0005-0000-0000-0000B4460000}"/>
    <cellStyle name="Normal 3 2 5 3 3 7 2" xfId="44409" xr:uid="{00000000-0005-0000-0000-0000B5460000}"/>
    <cellStyle name="Normal 3 2 5 3 3 8" xfId="28985" xr:uid="{00000000-0005-0000-0000-0000B6460000}"/>
    <cellStyle name="Normal 3 2 5 3 4" xfId="5494" xr:uid="{00000000-0005-0000-0000-0000B7460000}"/>
    <cellStyle name="Normal 3 2 5 3 4 2" xfId="5495" xr:uid="{00000000-0005-0000-0000-0000B8460000}"/>
    <cellStyle name="Normal 3 2 5 3 4 2 2" xfId="5496" xr:uid="{00000000-0005-0000-0000-0000B9460000}"/>
    <cellStyle name="Normal 3 2 5 3 4 2 2 2" xfId="28995" xr:uid="{00000000-0005-0000-0000-0000BA460000}"/>
    <cellStyle name="Normal 3 2 5 3 4 2 3" xfId="21095" xr:uid="{00000000-0005-0000-0000-0000BB460000}"/>
    <cellStyle name="Normal 3 2 5 3 4 2 3 2" xfId="44410" xr:uid="{00000000-0005-0000-0000-0000BC460000}"/>
    <cellStyle name="Normal 3 2 5 3 4 2 4" xfId="28994" xr:uid="{00000000-0005-0000-0000-0000BD460000}"/>
    <cellStyle name="Normal 3 2 5 3 4 3" xfId="5497" xr:uid="{00000000-0005-0000-0000-0000BE460000}"/>
    <cellStyle name="Normal 3 2 5 3 4 3 2" xfId="21096" xr:uid="{00000000-0005-0000-0000-0000BF460000}"/>
    <cellStyle name="Normal 3 2 5 3 4 3 2 2" xfId="44411" xr:uid="{00000000-0005-0000-0000-0000C0460000}"/>
    <cellStyle name="Normal 3 2 5 3 4 3 3" xfId="28996" xr:uid="{00000000-0005-0000-0000-0000C1460000}"/>
    <cellStyle name="Normal 3 2 5 3 4 4" xfId="21097" xr:uid="{00000000-0005-0000-0000-0000C2460000}"/>
    <cellStyle name="Normal 3 2 5 3 4 4 2" xfId="44412" xr:uid="{00000000-0005-0000-0000-0000C3460000}"/>
    <cellStyle name="Normal 3 2 5 3 4 5" xfId="21098" xr:uid="{00000000-0005-0000-0000-0000C4460000}"/>
    <cellStyle name="Normal 3 2 5 3 4 5 2" xfId="44413" xr:uid="{00000000-0005-0000-0000-0000C5460000}"/>
    <cellStyle name="Normal 3 2 5 3 4 6" xfId="21099" xr:uid="{00000000-0005-0000-0000-0000C6460000}"/>
    <cellStyle name="Normal 3 2 5 3 4 6 2" xfId="44414" xr:uid="{00000000-0005-0000-0000-0000C7460000}"/>
    <cellStyle name="Normal 3 2 5 3 4 7" xfId="28993" xr:uid="{00000000-0005-0000-0000-0000C8460000}"/>
    <cellStyle name="Normal 3 2 5 3 5" xfId="5498" xr:uid="{00000000-0005-0000-0000-0000C9460000}"/>
    <cellStyle name="Normal 3 2 5 3 5 2" xfId="5499" xr:uid="{00000000-0005-0000-0000-0000CA460000}"/>
    <cellStyle name="Normal 3 2 5 3 5 2 2" xfId="28998" xr:uid="{00000000-0005-0000-0000-0000CB460000}"/>
    <cellStyle name="Normal 3 2 5 3 5 3" xfId="21100" xr:uid="{00000000-0005-0000-0000-0000CC460000}"/>
    <cellStyle name="Normal 3 2 5 3 5 3 2" xfId="44415" xr:uid="{00000000-0005-0000-0000-0000CD460000}"/>
    <cellStyle name="Normal 3 2 5 3 5 4" xfId="28997" xr:uid="{00000000-0005-0000-0000-0000CE460000}"/>
    <cellStyle name="Normal 3 2 5 3 6" xfId="5500" xr:uid="{00000000-0005-0000-0000-0000CF460000}"/>
    <cellStyle name="Normal 3 2 5 3 6 2" xfId="21101" xr:uid="{00000000-0005-0000-0000-0000D0460000}"/>
    <cellStyle name="Normal 3 2 5 3 6 2 2" xfId="44416" xr:uid="{00000000-0005-0000-0000-0000D1460000}"/>
    <cellStyle name="Normal 3 2 5 3 6 3" xfId="28999" xr:uid="{00000000-0005-0000-0000-0000D2460000}"/>
    <cellStyle name="Normal 3 2 5 3 7" xfId="21102" xr:uid="{00000000-0005-0000-0000-0000D3460000}"/>
    <cellStyle name="Normal 3 2 5 3 7 2" xfId="44417" xr:uid="{00000000-0005-0000-0000-0000D4460000}"/>
    <cellStyle name="Normal 3 2 5 3 8" xfId="21103" xr:uid="{00000000-0005-0000-0000-0000D5460000}"/>
    <cellStyle name="Normal 3 2 5 3 8 2" xfId="44418" xr:uid="{00000000-0005-0000-0000-0000D6460000}"/>
    <cellStyle name="Normal 3 2 5 3 9" xfId="21104" xr:uid="{00000000-0005-0000-0000-0000D7460000}"/>
    <cellStyle name="Normal 3 2 5 3 9 2" xfId="44419" xr:uid="{00000000-0005-0000-0000-0000D8460000}"/>
    <cellStyle name="Normal 3 2 5 4" xfId="5501" xr:uid="{00000000-0005-0000-0000-0000D9460000}"/>
    <cellStyle name="Normal 3 2 5 4 2" xfId="5502" xr:uid="{00000000-0005-0000-0000-0000DA460000}"/>
    <cellStyle name="Normal 3 2 5 4 2 2" xfId="5503" xr:uid="{00000000-0005-0000-0000-0000DB460000}"/>
    <cellStyle name="Normal 3 2 5 4 2 2 2" xfId="5504" xr:uid="{00000000-0005-0000-0000-0000DC460000}"/>
    <cellStyle name="Normal 3 2 5 4 2 2 2 2" xfId="5505" xr:uid="{00000000-0005-0000-0000-0000DD460000}"/>
    <cellStyle name="Normal 3 2 5 4 2 2 2 2 2" xfId="29004" xr:uid="{00000000-0005-0000-0000-0000DE460000}"/>
    <cellStyle name="Normal 3 2 5 4 2 2 2 3" xfId="29003" xr:uid="{00000000-0005-0000-0000-0000DF460000}"/>
    <cellStyle name="Normal 3 2 5 4 2 2 3" xfId="5506" xr:uid="{00000000-0005-0000-0000-0000E0460000}"/>
    <cellStyle name="Normal 3 2 5 4 2 2 3 2" xfId="29005" xr:uid="{00000000-0005-0000-0000-0000E1460000}"/>
    <cellStyle name="Normal 3 2 5 4 2 2 4" xfId="29002" xr:uid="{00000000-0005-0000-0000-0000E2460000}"/>
    <cellStyle name="Normal 3 2 5 4 2 3" xfId="5507" xr:uid="{00000000-0005-0000-0000-0000E3460000}"/>
    <cellStyle name="Normal 3 2 5 4 2 3 2" xfId="5508" xr:uid="{00000000-0005-0000-0000-0000E4460000}"/>
    <cellStyle name="Normal 3 2 5 4 2 3 2 2" xfId="29007" xr:uid="{00000000-0005-0000-0000-0000E5460000}"/>
    <cellStyle name="Normal 3 2 5 4 2 3 3" xfId="29006" xr:uid="{00000000-0005-0000-0000-0000E6460000}"/>
    <cellStyle name="Normal 3 2 5 4 2 4" xfId="5509" xr:uid="{00000000-0005-0000-0000-0000E7460000}"/>
    <cellStyle name="Normal 3 2 5 4 2 4 2" xfId="29008" xr:uid="{00000000-0005-0000-0000-0000E8460000}"/>
    <cellStyle name="Normal 3 2 5 4 2 5" xfId="21105" xr:uid="{00000000-0005-0000-0000-0000E9460000}"/>
    <cellStyle name="Normal 3 2 5 4 2 5 2" xfId="44420" xr:uid="{00000000-0005-0000-0000-0000EA460000}"/>
    <cellStyle name="Normal 3 2 5 4 2 6" xfId="21106" xr:uid="{00000000-0005-0000-0000-0000EB460000}"/>
    <cellStyle name="Normal 3 2 5 4 2 6 2" xfId="44421" xr:uid="{00000000-0005-0000-0000-0000EC460000}"/>
    <cellStyle name="Normal 3 2 5 4 2 7" xfId="29001" xr:uid="{00000000-0005-0000-0000-0000ED460000}"/>
    <cellStyle name="Normal 3 2 5 4 3" xfId="5510" xr:uid="{00000000-0005-0000-0000-0000EE460000}"/>
    <cellStyle name="Normal 3 2 5 4 3 2" xfId="5511" xr:uid="{00000000-0005-0000-0000-0000EF460000}"/>
    <cellStyle name="Normal 3 2 5 4 3 2 2" xfId="5512" xr:uid="{00000000-0005-0000-0000-0000F0460000}"/>
    <cellStyle name="Normal 3 2 5 4 3 2 2 2" xfId="5513" xr:uid="{00000000-0005-0000-0000-0000F1460000}"/>
    <cellStyle name="Normal 3 2 5 4 3 2 2 2 2" xfId="29012" xr:uid="{00000000-0005-0000-0000-0000F2460000}"/>
    <cellStyle name="Normal 3 2 5 4 3 2 2 3" xfId="29011" xr:uid="{00000000-0005-0000-0000-0000F3460000}"/>
    <cellStyle name="Normal 3 2 5 4 3 2 3" xfId="5514" xr:uid="{00000000-0005-0000-0000-0000F4460000}"/>
    <cellStyle name="Normal 3 2 5 4 3 2 3 2" xfId="29013" xr:uid="{00000000-0005-0000-0000-0000F5460000}"/>
    <cellStyle name="Normal 3 2 5 4 3 2 4" xfId="29010" xr:uid="{00000000-0005-0000-0000-0000F6460000}"/>
    <cellStyle name="Normal 3 2 5 4 3 3" xfId="5515" xr:uid="{00000000-0005-0000-0000-0000F7460000}"/>
    <cellStyle name="Normal 3 2 5 4 3 3 2" xfId="5516" xr:uid="{00000000-0005-0000-0000-0000F8460000}"/>
    <cellStyle name="Normal 3 2 5 4 3 3 2 2" xfId="29015" xr:uid="{00000000-0005-0000-0000-0000F9460000}"/>
    <cellStyle name="Normal 3 2 5 4 3 3 3" xfId="29014" xr:uid="{00000000-0005-0000-0000-0000FA460000}"/>
    <cellStyle name="Normal 3 2 5 4 3 4" xfId="5517" xr:uid="{00000000-0005-0000-0000-0000FB460000}"/>
    <cellStyle name="Normal 3 2 5 4 3 4 2" xfId="29016" xr:uid="{00000000-0005-0000-0000-0000FC460000}"/>
    <cellStyle name="Normal 3 2 5 4 3 5" xfId="29009" xr:uid="{00000000-0005-0000-0000-0000FD460000}"/>
    <cellStyle name="Normal 3 2 5 4 4" xfId="5518" xr:uid="{00000000-0005-0000-0000-0000FE460000}"/>
    <cellStyle name="Normal 3 2 5 4 4 2" xfId="5519" xr:uid="{00000000-0005-0000-0000-0000FF460000}"/>
    <cellStyle name="Normal 3 2 5 4 4 2 2" xfId="5520" xr:uid="{00000000-0005-0000-0000-000000470000}"/>
    <cellStyle name="Normal 3 2 5 4 4 2 2 2" xfId="29019" xr:uid="{00000000-0005-0000-0000-000001470000}"/>
    <cellStyle name="Normal 3 2 5 4 4 2 3" xfId="29018" xr:uid="{00000000-0005-0000-0000-000002470000}"/>
    <cellStyle name="Normal 3 2 5 4 4 3" xfId="5521" xr:uid="{00000000-0005-0000-0000-000003470000}"/>
    <cellStyle name="Normal 3 2 5 4 4 3 2" xfId="29020" xr:uid="{00000000-0005-0000-0000-000004470000}"/>
    <cellStyle name="Normal 3 2 5 4 4 4" xfId="29017" xr:uid="{00000000-0005-0000-0000-000005470000}"/>
    <cellStyle name="Normal 3 2 5 4 5" xfId="5522" xr:uid="{00000000-0005-0000-0000-000006470000}"/>
    <cellStyle name="Normal 3 2 5 4 5 2" xfId="5523" xr:uid="{00000000-0005-0000-0000-000007470000}"/>
    <cellStyle name="Normal 3 2 5 4 5 2 2" xfId="29022" xr:uid="{00000000-0005-0000-0000-000008470000}"/>
    <cellStyle name="Normal 3 2 5 4 5 3" xfId="29021" xr:uid="{00000000-0005-0000-0000-000009470000}"/>
    <cellStyle name="Normal 3 2 5 4 6" xfId="5524" xr:uid="{00000000-0005-0000-0000-00000A470000}"/>
    <cellStyle name="Normal 3 2 5 4 6 2" xfId="29023" xr:uid="{00000000-0005-0000-0000-00000B470000}"/>
    <cellStyle name="Normal 3 2 5 4 7" xfId="21107" xr:uid="{00000000-0005-0000-0000-00000C470000}"/>
    <cellStyle name="Normal 3 2 5 4 7 2" xfId="44422" xr:uid="{00000000-0005-0000-0000-00000D470000}"/>
    <cellStyle name="Normal 3 2 5 4 8" xfId="29000" xr:uid="{00000000-0005-0000-0000-00000E470000}"/>
    <cellStyle name="Normal 3 2 5 5" xfId="5525" xr:uid="{00000000-0005-0000-0000-00000F470000}"/>
    <cellStyle name="Normal 3 2 5 5 2" xfId="5526" xr:uid="{00000000-0005-0000-0000-000010470000}"/>
    <cellStyle name="Normal 3 2 5 5 2 2" xfId="5527" xr:uid="{00000000-0005-0000-0000-000011470000}"/>
    <cellStyle name="Normal 3 2 5 5 2 2 2" xfId="5528" xr:uid="{00000000-0005-0000-0000-000012470000}"/>
    <cellStyle name="Normal 3 2 5 5 2 2 2 2" xfId="29027" xr:uid="{00000000-0005-0000-0000-000013470000}"/>
    <cellStyle name="Normal 3 2 5 5 2 2 3" xfId="21108" xr:uid="{00000000-0005-0000-0000-000014470000}"/>
    <cellStyle name="Normal 3 2 5 5 2 2 3 2" xfId="44423" xr:uid="{00000000-0005-0000-0000-000015470000}"/>
    <cellStyle name="Normal 3 2 5 5 2 2 4" xfId="29026" xr:uid="{00000000-0005-0000-0000-000016470000}"/>
    <cellStyle name="Normal 3 2 5 5 2 3" xfId="5529" xr:uid="{00000000-0005-0000-0000-000017470000}"/>
    <cellStyle name="Normal 3 2 5 5 2 3 2" xfId="21109" xr:uid="{00000000-0005-0000-0000-000018470000}"/>
    <cellStyle name="Normal 3 2 5 5 2 3 2 2" xfId="44424" xr:uid="{00000000-0005-0000-0000-000019470000}"/>
    <cellStyle name="Normal 3 2 5 5 2 3 3" xfId="29028" xr:uid="{00000000-0005-0000-0000-00001A470000}"/>
    <cellStyle name="Normal 3 2 5 5 2 4" xfId="21110" xr:uid="{00000000-0005-0000-0000-00001B470000}"/>
    <cellStyle name="Normal 3 2 5 5 2 4 2" xfId="44425" xr:uid="{00000000-0005-0000-0000-00001C470000}"/>
    <cellStyle name="Normal 3 2 5 5 2 5" xfId="21111" xr:uid="{00000000-0005-0000-0000-00001D470000}"/>
    <cellStyle name="Normal 3 2 5 5 2 5 2" xfId="44426" xr:uid="{00000000-0005-0000-0000-00001E470000}"/>
    <cellStyle name="Normal 3 2 5 5 2 6" xfId="21112" xr:uid="{00000000-0005-0000-0000-00001F470000}"/>
    <cellStyle name="Normal 3 2 5 5 2 6 2" xfId="44427" xr:uid="{00000000-0005-0000-0000-000020470000}"/>
    <cellStyle name="Normal 3 2 5 5 2 7" xfId="29025" xr:uid="{00000000-0005-0000-0000-000021470000}"/>
    <cellStyle name="Normal 3 2 5 5 3" xfId="5530" xr:uid="{00000000-0005-0000-0000-000022470000}"/>
    <cellStyle name="Normal 3 2 5 5 3 2" xfId="5531" xr:uid="{00000000-0005-0000-0000-000023470000}"/>
    <cellStyle name="Normal 3 2 5 5 3 2 2" xfId="29030" xr:uid="{00000000-0005-0000-0000-000024470000}"/>
    <cellStyle name="Normal 3 2 5 5 3 3" xfId="21113" xr:uid="{00000000-0005-0000-0000-000025470000}"/>
    <cellStyle name="Normal 3 2 5 5 3 3 2" xfId="44428" xr:uid="{00000000-0005-0000-0000-000026470000}"/>
    <cellStyle name="Normal 3 2 5 5 3 4" xfId="29029" xr:uid="{00000000-0005-0000-0000-000027470000}"/>
    <cellStyle name="Normal 3 2 5 5 4" xfId="5532" xr:uid="{00000000-0005-0000-0000-000028470000}"/>
    <cellStyle name="Normal 3 2 5 5 4 2" xfId="21114" xr:uid="{00000000-0005-0000-0000-000029470000}"/>
    <cellStyle name="Normal 3 2 5 5 4 2 2" xfId="44429" xr:uid="{00000000-0005-0000-0000-00002A470000}"/>
    <cellStyle name="Normal 3 2 5 5 4 3" xfId="29031" xr:uid="{00000000-0005-0000-0000-00002B470000}"/>
    <cellStyle name="Normal 3 2 5 5 5" xfId="21115" xr:uid="{00000000-0005-0000-0000-00002C470000}"/>
    <cellStyle name="Normal 3 2 5 5 5 2" xfId="44430" xr:uid="{00000000-0005-0000-0000-00002D470000}"/>
    <cellStyle name="Normal 3 2 5 5 6" xfId="21116" xr:uid="{00000000-0005-0000-0000-00002E470000}"/>
    <cellStyle name="Normal 3 2 5 5 6 2" xfId="44431" xr:uid="{00000000-0005-0000-0000-00002F470000}"/>
    <cellStyle name="Normal 3 2 5 5 7" xfId="21117" xr:uid="{00000000-0005-0000-0000-000030470000}"/>
    <cellStyle name="Normal 3 2 5 5 7 2" xfId="44432" xr:uid="{00000000-0005-0000-0000-000031470000}"/>
    <cellStyle name="Normal 3 2 5 5 8" xfId="29024" xr:uid="{00000000-0005-0000-0000-000032470000}"/>
    <cellStyle name="Normal 3 2 5 6" xfId="5533" xr:uid="{00000000-0005-0000-0000-000033470000}"/>
    <cellStyle name="Normal 3 2 5 6 2" xfId="5534" xr:uid="{00000000-0005-0000-0000-000034470000}"/>
    <cellStyle name="Normal 3 2 5 6 2 2" xfId="5535" xr:uid="{00000000-0005-0000-0000-000035470000}"/>
    <cellStyle name="Normal 3 2 5 6 2 2 2" xfId="5536" xr:uid="{00000000-0005-0000-0000-000036470000}"/>
    <cellStyle name="Normal 3 2 5 6 2 2 2 2" xfId="29035" xr:uid="{00000000-0005-0000-0000-000037470000}"/>
    <cellStyle name="Normal 3 2 5 6 2 2 3" xfId="29034" xr:uid="{00000000-0005-0000-0000-000038470000}"/>
    <cellStyle name="Normal 3 2 5 6 2 3" xfId="5537" xr:uid="{00000000-0005-0000-0000-000039470000}"/>
    <cellStyle name="Normal 3 2 5 6 2 3 2" xfId="29036" xr:uid="{00000000-0005-0000-0000-00003A470000}"/>
    <cellStyle name="Normal 3 2 5 6 2 4" xfId="29033" xr:uid="{00000000-0005-0000-0000-00003B470000}"/>
    <cellStyle name="Normal 3 2 5 6 3" xfId="5538" xr:uid="{00000000-0005-0000-0000-00003C470000}"/>
    <cellStyle name="Normal 3 2 5 6 3 2" xfId="5539" xr:uid="{00000000-0005-0000-0000-00003D470000}"/>
    <cellStyle name="Normal 3 2 5 6 3 2 2" xfId="29038" xr:uid="{00000000-0005-0000-0000-00003E470000}"/>
    <cellStyle name="Normal 3 2 5 6 3 3" xfId="29037" xr:uid="{00000000-0005-0000-0000-00003F470000}"/>
    <cellStyle name="Normal 3 2 5 6 4" xfId="5540" xr:uid="{00000000-0005-0000-0000-000040470000}"/>
    <cellStyle name="Normal 3 2 5 6 4 2" xfId="29039" xr:uid="{00000000-0005-0000-0000-000041470000}"/>
    <cellStyle name="Normal 3 2 5 6 5" xfId="21118" xr:uid="{00000000-0005-0000-0000-000042470000}"/>
    <cellStyle name="Normal 3 2 5 6 5 2" xfId="44433" xr:uid="{00000000-0005-0000-0000-000043470000}"/>
    <cellStyle name="Normal 3 2 5 6 6" xfId="21119" xr:uid="{00000000-0005-0000-0000-000044470000}"/>
    <cellStyle name="Normal 3 2 5 6 6 2" xfId="44434" xr:uid="{00000000-0005-0000-0000-000045470000}"/>
    <cellStyle name="Normal 3 2 5 6 7" xfId="29032" xr:uid="{00000000-0005-0000-0000-000046470000}"/>
    <cellStyle name="Normal 3 2 5 7" xfId="5541" xr:uid="{00000000-0005-0000-0000-000047470000}"/>
    <cellStyle name="Normal 3 2 5 7 2" xfId="5542" xr:uid="{00000000-0005-0000-0000-000048470000}"/>
    <cellStyle name="Normal 3 2 5 7 2 2" xfId="5543" xr:uid="{00000000-0005-0000-0000-000049470000}"/>
    <cellStyle name="Normal 3 2 5 7 2 2 2" xfId="29042" xr:uid="{00000000-0005-0000-0000-00004A470000}"/>
    <cellStyle name="Normal 3 2 5 7 2 3" xfId="29041" xr:uid="{00000000-0005-0000-0000-00004B470000}"/>
    <cellStyle name="Normal 3 2 5 7 3" xfId="5544" xr:uid="{00000000-0005-0000-0000-00004C470000}"/>
    <cellStyle name="Normal 3 2 5 7 3 2" xfId="29043" xr:uid="{00000000-0005-0000-0000-00004D470000}"/>
    <cellStyle name="Normal 3 2 5 7 4" xfId="29040" xr:uid="{00000000-0005-0000-0000-00004E470000}"/>
    <cellStyle name="Normal 3 2 5 8" xfId="5545" xr:uid="{00000000-0005-0000-0000-00004F470000}"/>
    <cellStyle name="Normal 3 2 5 8 2" xfId="5546" xr:uid="{00000000-0005-0000-0000-000050470000}"/>
    <cellStyle name="Normal 3 2 5 8 2 2" xfId="29045" xr:uid="{00000000-0005-0000-0000-000051470000}"/>
    <cellStyle name="Normal 3 2 5 8 3" xfId="29044" xr:uid="{00000000-0005-0000-0000-000052470000}"/>
    <cellStyle name="Normal 3 2 5 9" xfId="5547" xr:uid="{00000000-0005-0000-0000-000053470000}"/>
    <cellStyle name="Normal 3 2 5 9 2" xfId="29046" xr:uid="{00000000-0005-0000-0000-000054470000}"/>
    <cellStyle name="Normal 3 2 6" xfId="116" xr:uid="{00000000-0005-0000-0000-000055470000}"/>
    <cellStyle name="Normal 3 2 6 10" xfId="23681" xr:uid="{00000000-0005-0000-0000-000056470000}"/>
    <cellStyle name="Normal 3 2 6 2" xfId="5548" xr:uid="{00000000-0005-0000-0000-000057470000}"/>
    <cellStyle name="Normal 3 2 6 2 2" xfId="5549" xr:uid="{00000000-0005-0000-0000-000058470000}"/>
    <cellStyle name="Normal 3 2 6 2 2 2" xfId="5550" xr:uid="{00000000-0005-0000-0000-000059470000}"/>
    <cellStyle name="Normal 3 2 6 2 2 2 2" xfId="5551" xr:uid="{00000000-0005-0000-0000-00005A470000}"/>
    <cellStyle name="Normal 3 2 6 2 2 2 2 2" xfId="5552" xr:uid="{00000000-0005-0000-0000-00005B470000}"/>
    <cellStyle name="Normal 3 2 6 2 2 2 2 2 2" xfId="29051" xr:uid="{00000000-0005-0000-0000-00005C470000}"/>
    <cellStyle name="Normal 3 2 6 2 2 2 2 3" xfId="29050" xr:uid="{00000000-0005-0000-0000-00005D470000}"/>
    <cellStyle name="Normal 3 2 6 2 2 2 3" xfId="5553" xr:uid="{00000000-0005-0000-0000-00005E470000}"/>
    <cellStyle name="Normal 3 2 6 2 2 2 3 2" xfId="29052" xr:uid="{00000000-0005-0000-0000-00005F470000}"/>
    <cellStyle name="Normal 3 2 6 2 2 2 4" xfId="29049" xr:uid="{00000000-0005-0000-0000-000060470000}"/>
    <cellStyle name="Normal 3 2 6 2 2 3" xfId="5554" xr:uid="{00000000-0005-0000-0000-000061470000}"/>
    <cellStyle name="Normal 3 2 6 2 2 3 2" xfId="5555" xr:uid="{00000000-0005-0000-0000-000062470000}"/>
    <cellStyle name="Normal 3 2 6 2 2 3 2 2" xfId="29054" xr:uid="{00000000-0005-0000-0000-000063470000}"/>
    <cellStyle name="Normal 3 2 6 2 2 3 3" xfId="29053" xr:uid="{00000000-0005-0000-0000-000064470000}"/>
    <cellStyle name="Normal 3 2 6 2 2 4" xfId="5556" xr:uid="{00000000-0005-0000-0000-000065470000}"/>
    <cellStyle name="Normal 3 2 6 2 2 4 2" xfId="29055" xr:uid="{00000000-0005-0000-0000-000066470000}"/>
    <cellStyle name="Normal 3 2 6 2 2 5" xfId="21120" xr:uid="{00000000-0005-0000-0000-000067470000}"/>
    <cellStyle name="Normal 3 2 6 2 2 5 2" xfId="44435" xr:uid="{00000000-0005-0000-0000-000068470000}"/>
    <cellStyle name="Normal 3 2 6 2 2 6" xfId="21121" xr:uid="{00000000-0005-0000-0000-000069470000}"/>
    <cellStyle name="Normal 3 2 6 2 2 6 2" xfId="44436" xr:uid="{00000000-0005-0000-0000-00006A470000}"/>
    <cellStyle name="Normal 3 2 6 2 2 7" xfId="29048" xr:uid="{00000000-0005-0000-0000-00006B470000}"/>
    <cellStyle name="Normal 3 2 6 2 3" xfId="5557" xr:uid="{00000000-0005-0000-0000-00006C470000}"/>
    <cellStyle name="Normal 3 2 6 2 3 2" xfId="5558" xr:uid="{00000000-0005-0000-0000-00006D470000}"/>
    <cellStyle name="Normal 3 2 6 2 3 2 2" xfId="5559" xr:uid="{00000000-0005-0000-0000-00006E470000}"/>
    <cellStyle name="Normal 3 2 6 2 3 2 2 2" xfId="5560" xr:uid="{00000000-0005-0000-0000-00006F470000}"/>
    <cellStyle name="Normal 3 2 6 2 3 2 2 2 2" xfId="29059" xr:uid="{00000000-0005-0000-0000-000070470000}"/>
    <cellStyle name="Normal 3 2 6 2 3 2 2 3" xfId="29058" xr:uid="{00000000-0005-0000-0000-000071470000}"/>
    <cellStyle name="Normal 3 2 6 2 3 2 3" xfId="5561" xr:uid="{00000000-0005-0000-0000-000072470000}"/>
    <cellStyle name="Normal 3 2 6 2 3 2 3 2" xfId="29060" xr:uid="{00000000-0005-0000-0000-000073470000}"/>
    <cellStyle name="Normal 3 2 6 2 3 2 4" xfId="29057" xr:uid="{00000000-0005-0000-0000-000074470000}"/>
    <cellStyle name="Normal 3 2 6 2 3 3" xfId="5562" xr:uid="{00000000-0005-0000-0000-000075470000}"/>
    <cellStyle name="Normal 3 2 6 2 3 3 2" xfId="5563" xr:uid="{00000000-0005-0000-0000-000076470000}"/>
    <cellStyle name="Normal 3 2 6 2 3 3 2 2" xfId="29062" xr:uid="{00000000-0005-0000-0000-000077470000}"/>
    <cellStyle name="Normal 3 2 6 2 3 3 3" xfId="29061" xr:uid="{00000000-0005-0000-0000-000078470000}"/>
    <cellStyle name="Normal 3 2 6 2 3 4" xfId="5564" xr:uid="{00000000-0005-0000-0000-000079470000}"/>
    <cellStyle name="Normal 3 2 6 2 3 4 2" xfId="29063" xr:uid="{00000000-0005-0000-0000-00007A470000}"/>
    <cellStyle name="Normal 3 2 6 2 3 5" xfId="29056" xr:uid="{00000000-0005-0000-0000-00007B470000}"/>
    <cellStyle name="Normal 3 2 6 2 4" xfId="5565" xr:uid="{00000000-0005-0000-0000-00007C470000}"/>
    <cellStyle name="Normal 3 2 6 2 4 2" xfId="5566" xr:uid="{00000000-0005-0000-0000-00007D470000}"/>
    <cellStyle name="Normal 3 2 6 2 4 2 2" xfId="5567" xr:uid="{00000000-0005-0000-0000-00007E470000}"/>
    <cellStyle name="Normal 3 2 6 2 4 2 2 2" xfId="29066" xr:uid="{00000000-0005-0000-0000-00007F470000}"/>
    <cellStyle name="Normal 3 2 6 2 4 2 3" xfId="29065" xr:uid="{00000000-0005-0000-0000-000080470000}"/>
    <cellStyle name="Normal 3 2 6 2 4 3" xfId="5568" xr:uid="{00000000-0005-0000-0000-000081470000}"/>
    <cellStyle name="Normal 3 2 6 2 4 3 2" xfId="29067" xr:uid="{00000000-0005-0000-0000-000082470000}"/>
    <cellStyle name="Normal 3 2 6 2 4 4" xfId="29064" xr:uid="{00000000-0005-0000-0000-000083470000}"/>
    <cellStyle name="Normal 3 2 6 2 5" xfId="5569" xr:uid="{00000000-0005-0000-0000-000084470000}"/>
    <cellStyle name="Normal 3 2 6 2 5 2" xfId="5570" xr:uid="{00000000-0005-0000-0000-000085470000}"/>
    <cellStyle name="Normal 3 2 6 2 5 2 2" xfId="29069" xr:uid="{00000000-0005-0000-0000-000086470000}"/>
    <cellStyle name="Normal 3 2 6 2 5 3" xfId="29068" xr:uid="{00000000-0005-0000-0000-000087470000}"/>
    <cellStyle name="Normal 3 2 6 2 6" xfId="5571" xr:uid="{00000000-0005-0000-0000-000088470000}"/>
    <cellStyle name="Normal 3 2 6 2 6 2" xfId="29070" xr:uid="{00000000-0005-0000-0000-000089470000}"/>
    <cellStyle name="Normal 3 2 6 2 7" xfId="21122" xr:uid="{00000000-0005-0000-0000-00008A470000}"/>
    <cellStyle name="Normal 3 2 6 2 7 2" xfId="44437" xr:uid="{00000000-0005-0000-0000-00008B470000}"/>
    <cellStyle name="Normal 3 2 6 2 8" xfId="29047" xr:uid="{00000000-0005-0000-0000-00008C470000}"/>
    <cellStyle name="Normal 3 2 6 3" xfId="5572" xr:uid="{00000000-0005-0000-0000-00008D470000}"/>
    <cellStyle name="Normal 3 2 6 3 2" xfId="5573" xr:uid="{00000000-0005-0000-0000-00008E470000}"/>
    <cellStyle name="Normal 3 2 6 3 2 2" xfId="5574" xr:uid="{00000000-0005-0000-0000-00008F470000}"/>
    <cellStyle name="Normal 3 2 6 3 2 2 2" xfId="5575" xr:uid="{00000000-0005-0000-0000-000090470000}"/>
    <cellStyle name="Normal 3 2 6 3 2 2 2 2" xfId="5576" xr:uid="{00000000-0005-0000-0000-000091470000}"/>
    <cellStyle name="Normal 3 2 6 3 2 2 2 2 2" xfId="29075" xr:uid="{00000000-0005-0000-0000-000092470000}"/>
    <cellStyle name="Normal 3 2 6 3 2 2 2 3" xfId="29074" xr:uid="{00000000-0005-0000-0000-000093470000}"/>
    <cellStyle name="Normal 3 2 6 3 2 2 3" xfId="5577" xr:uid="{00000000-0005-0000-0000-000094470000}"/>
    <cellStyle name="Normal 3 2 6 3 2 2 3 2" xfId="29076" xr:uid="{00000000-0005-0000-0000-000095470000}"/>
    <cellStyle name="Normal 3 2 6 3 2 2 4" xfId="29073" xr:uid="{00000000-0005-0000-0000-000096470000}"/>
    <cellStyle name="Normal 3 2 6 3 2 3" xfId="5578" xr:uid="{00000000-0005-0000-0000-000097470000}"/>
    <cellStyle name="Normal 3 2 6 3 2 3 2" xfId="5579" xr:uid="{00000000-0005-0000-0000-000098470000}"/>
    <cellStyle name="Normal 3 2 6 3 2 3 2 2" xfId="29078" xr:uid="{00000000-0005-0000-0000-000099470000}"/>
    <cellStyle name="Normal 3 2 6 3 2 3 3" xfId="29077" xr:uid="{00000000-0005-0000-0000-00009A470000}"/>
    <cellStyle name="Normal 3 2 6 3 2 4" xfId="5580" xr:uid="{00000000-0005-0000-0000-00009B470000}"/>
    <cellStyle name="Normal 3 2 6 3 2 4 2" xfId="29079" xr:uid="{00000000-0005-0000-0000-00009C470000}"/>
    <cellStyle name="Normal 3 2 6 3 2 5" xfId="21123" xr:uid="{00000000-0005-0000-0000-00009D470000}"/>
    <cellStyle name="Normal 3 2 6 3 2 5 2" xfId="44438" xr:uid="{00000000-0005-0000-0000-00009E470000}"/>
    <cellStyle name="Normal 3 2 6 3 2 6" xfId="21124" xr:uid="{00000000-0005-0000-0000-00009F470000}"/>
    <cellStyle name="Normal 3 2 6 3 2 6 2" xfId="44439" xr:uid="{00000000-0005-0000-0000-0000A0470000}"/>
    <cellStyle name="Normal 3 2 6 3 2 7" xfId="29072" xr:uid="{00000000-0005-0000-0000-0000A1470000}"/>
    <cellStyle name="Normal 3 2 6 3 3" xfId="5581" xr:uid="{00000000-0005-0000-0000-0000A2470000}"/>
    <cellStyle name="Normal 3 2 6 3 3 2" xfId="5582" xr:uid="{00000000-0005-0000-0000-0000A3470000}"/>
    <cellStyle name="Normal 3 2 6 3 3 2 2" xfId="5583" xr:uid="{00000000-0005-0000-0000-0000A4470000}"/>
    <cellStyle name="Normal 3 2 6 3 3 2 2 2" xfId="5584" xr:uid="{00000000-0005-0000-0000-0000A5470000}"/>
    <cellStyle name="Normal 3 2 6 3 3 2 2 2 2" xfId="29083" xr:uid="{00000000-0005-0000-0000-0000A6470000}"/>
    <cellStyle name="Normal 3 2 6 3 3 2 2 3" xfId="29082" xr:uid="{00000000-0005-0000-0000-0000A7470000}"/>
    <cellStyle name="Normal 3 2 6 3 3 2 3" xfId="5585" xr:uid="{00000000-0005-0000-0000-0000A8470000}"/>
    <cellStyle name="Normal 3 2 6 3 3 2 3 2" xfId="29084" xr:uid="{00000000-0005-0000-0000-0000A9470000}"/>
    <cellStyle name="Normal 3 2 6 3 3 2 4" xfId="29081" xr:uid="{00000000-0005-0000-0000-0000AA470000}"/>
    <cellStyle name="Normal 3 2 6 3 3 3" xfId="5586" xr:uid="{00000000-0005-0000-0000-0000AB470000}"/>
    <cellStyle name="Normal 3 2 6 3 3 3 2" xfId="5587" xr:uid="{00000000-0005-0000-0000-0000AC470000}"/>
    <cellStyle name="Normal 3 2 6 3 3 3 2 2" xfId="29086" xr:uid="{00000000-0005-0000-0000-0000AD470000}"/>
    <cellStyle name="Normal 3 2 6 3 3 3 3" xfId="29085" xr:uid="{00000000-0005-0000-0000-0000AE470000}"/>
    <cellStyle name="Normal 3 2 6 3 3 4" xfId="5588" xr:uid="{00000000-0005-0000-0000-0000AF470000}"/>
    <cellStyle name="Normal 3 2 6 3 3 4 2" xfId="29087" xr:uid="{00000000-0005-0000-0000-0000B0470000}"/>
    <cellStyle name="Normal 3 2 6 3 3 5" xfId="29080" xr:uid="{00000000-0005-0000-0000-0000B1470000}"/>
    <cellStyle name="Normal 3 2 6 3 4" xfId="5589" xr:uid="{00000000-0005-0000-0000-0000B2470000}"/>
    <cellStyle name="Normal 3 2 6 3 4 2" xfId="5590" xr:uid="{00000000-0005-0000-0000-0000B3470000}"/>
    <cellStyle name="Normal 3 2 6 3 4 2 2" xfId="5591" xr:uid="{00000000-0005-0000-0000-0000B4470000}"/>
    <cellStyle name="Normal 3 2 6 3 4 2 2 2" xfId="29090" xr:uid="{00000000-0005-0000-0000-0000B5470000}"/>
    <cellStyle name="Normal 3 2 6 3 4 2 3" xfId="29089" xr:uid="{00000000-0005-0000-0000-0000B6470000}"/>
    <cellStyle name="Normal 3 2 6 3 4 3" xfId="5592" xr:uid="{00000000-0005-0000-0000-0000B7470000}"/>
    <cellStyle name="Normal 3 2 6 3 4 3 2" xfId="29091" xr:uid="{00000000-0005-0000-0000-0000B8470000}"/>
    <cellStyle name="Normal 3 2 6 3 4 4" xfId="29088" xr:uid="{00000000-0005-0000-0000-0000B9470000}"/>
    <cellStyle name="Normal 3 2 6 3 5" xfId="5593" xr:uid="{00000000-0005-0000-0000-0000BA470000}"/>
    <cellStyle name="Normal 3 2 6 3 5 2" xfId="5594" xr:uid="{00000000-0005-0000-0000-0000BB470000}"/>
    <cellStyle name="Normal 3 2 6 3 5 2 2" xfId="29093" xr:uid="{00000000-0005-0000-0000-0000BC470000}"/>
    <cellStyle name="Normal 3 2 6 3 5 3" xfId="29092" xr:uid="{00000000-0005-0000-0000-0000BD470000}"/>
    <cellStyle name="Normal 3 2 6 3 6" xfId="5595" xr:uid="{00000000-0005-0000-0000-0000BE470000}"/>
    <cellStyle name="Normal 3 2 6 3 6 2" xfId="29094" xr:uid="{00000000-0005-0000-0000-0000BF470000}"/>
    <cellStyle name="Normal 3 2 6 3 7" xfId="21125" xr:uid="{00000000-0005-0000-0000-0000C0470000}"/>
    <cellStyle name="Normal 3 2 6 3 7 2" xfId="44440" xr:uid="{00000000-0005-0000-0000-0000C1470000}"/>
    <cellStyle name="Normal 3 2 6 3 8" xfId="29071" xr:uid="{00000000-0005-0000-0000-0000C2470000}"/>
    <cellStyle name="Normal 3 2 6 4" xfId="5596" xr:uid="{00000000-0005-0000-0000-0000C3470000}"/>
    <cellStyle name="Normal 3 2 6 4 2" xfId="5597" xr:uid="{00000000-0005-0000-0000-0000C4470000}"/>
    <cellStyle name="Normal 3 2 6 4 2 2" xfId="5598" xr:uid="{00000000-0005-0000-0000-0000C5470000}"/>
    <cellStyle name="Normal 3 2 6 4 2 2 2" xfId="5599" xr:uid="{00000000-0005-0000-0000-0000C6470000}"/>
    <cellStyle name="Normal 3 2 6 4 2 2 2 2" xfId="5600" xr:uid="{00000000-0005-0000-0000-0000C7470000}"/>
    <cellStyle name="Normal 3 2 6 4 2 2 2 2 2" xfId="29099" xr:uid="{00000000-0005-0000-0000-0000C8470000}"/>
    <cellStyle name="Normal 3 2 6 4 2 2 2 3" xfId="29098" xr:uid="{00000000-0005-0000-0000-0000C9470000}"/>
    <cellStyle name="Normal 3 2 6 4 2 2 3" xfId="5601" xr:uid="{00000000-0005-0000-0000-0000CA470000}"/>
    <cellStyle name="Normal 3 2 6 4 2 2 3 2" xfId="29100" xr:uid="{00000000-0005-0000-0000-0000CB470000}"/>
    <cellStyle name="Normal 3 2 6 4 2 2 4" xfId="29097" xr:uid="{00000000-0005-0000-0000-0000CC470000}"/>
    <cellStyle name="Normal 3 2 6 4 2 3" xfId="5602" xr:uid="{00000000-0005-0000-0000-0000CD470000}"/>
    <cellStyle name="Normal 3 2 6 4 2 3 2" xfId="5603" xr:uid="{00000000-0005-0000-0000-0000CE470000}"/>
    <cellStyle name="Normal 3 2 6 4 2 3 2 2" xfId="29102" xr:uid="{00000000-0005-0000-0000-0000CF470000}"/>
    <cellStyle name="Normal 3 2 6 4 2 3 3" xfId="29101" xr:uid="{00000000-0005-0000-0000-0000D0470000}"/>
    <cellStyle name="Normal 3 2 6 4 2 4" xfId="5604" xr:uid="{00000000-0005-0000-0000-0000D1470000}"/>
    <cellStyle name="Normal 3 2 6 4 2 4 2" xfId="29103" xr:uid="{00000000-0005-0000-0000-0000D2470000}"/>
    <cellStyle name="Normal 3 2 6 4 2 5" xfId="29096" xr:uid="{00000000-0005-0000-0000-0000D3470000}"/>
    <cellStyle name="Normal 3 2 6 4 3" xfId="5605" xr:uid="{00000000-0005-0000-0000-0000D4470000}"/>
    <cellStyle name="Normal 3 2 6 4 3 2" xfId="5606" xr:uid="{00000000-0005-0000-0000-0000D5470000}"/>
    <cellStyle name="Normal 3 2 6 4 3 2 2" xfId="5607" xr:uid="{00000000-0005-0000-0000-0000D6470000}"/>
    <cellStyle name="Normal 3 2 6 4 3 2 2 2" xfId="5608" xr:uid="{00000000-0005-0000-0000-0000D7470000}"/>
    <cellStyle name="Normal 3 2 6 4 3 2 2 2 2" xfId="29107" xr:uid="{00000000-0005-0000-0000-0000D8470000}"/>
    <cellStyle name="Normal 3 2 6 4 3 2 2 3" xfId="29106" xr:uid="{00000000-0005-0000-0000-0000D9470000}"/>
    <cellStyle name="Normal 3 2 6 4 3 2 3" xfId="5609" xr:uid="{00000000-0005-0000-0000-0000DA470000}"/>
    <cellStyle name="Normal 3 2 6 4 3 2 3 2" xfId="29108" xr:uid="{00000000-0005-0000-0000-0000DB470000}"/>
    <cellStyle name="Normal 3 2 6 4 3 2 4" xfId="29105" xr:uid="{00000000-0005-0000-0000-0000DC470000}"/>
    <cellStyle name="Normal 3 2 6 4 3 3" xfId="5610" xr:uid="{00000000-0005-0000-0000-0000DD470000}"/>
    <cellStyle name="Normal 3 2 6 4 3 3 2" xfId="5611" xr:uid="{00000000-0005-0000-0000-0000DE470000}"/>
    <cellStyle name="Normal 3 2 6 4 3 3 2 2" xfId="29110" xr:uid="{00000000-0005-0000-0000-0000DF470000}"/>
    <cellStyle name="Normal 3 2 6 4 3 3 3" xfId="29109" xr:uid="{00000000-0005-0000-0000-0000E0470000}"/>
    <cellStyle name="Normal 3 2 6 4 3 4" xfId="5612" xr:uid="{00000000-0005-0000-0000-0000E1470000}"/>
    <cellStyle name="Normal 3 2 6 4 3 4 2" xfId="29111" xr:uid="{00000000-0005-0000-0000-0000E2470000}"/>
    <cellStyle name="Normal 3 2 6 4 3 5" xfId="29104" xr:uid="{00000000-0005-0000-0000-0000E3470000}"/>
    <cellStyle name="Normal 3 2 6 4 4" xfId="5613" xr:uid="{00000000-0005-0000-0000-0000E4470000}"/>
    <cellStyle name="Normal 3 2 6 4 4 2" xfId="5614" xr:uid="{00000000-0005-0000-0000-0000E5470000}"/>
    <cellStyle name="Normal 3 2 6 4 4 2 2" xfId="5615" xr:uid="{00000000-0005-0000-0000-0000E6470000}"/>
    <cellStyle name="Normal 3 2 6 4 4 2 2 2" xfId="29114" xr:uid="{00000000-0005-0000-0000-0000E7470000}"/>
    <cellStyle name="Normal 3 2 6 4 4 2 3" xfId="29113" xr:uid="{00000000-0005-0000-0000-0000E8470000}"/>
    <cellStyle name="Normal 3 2 6 4 4 3" xfId="5616" xr:uid="{00000000-0005-0000-0000-0000E9470000}"/>
    <cellStyle name="Normal 3 2 6 4 4 3 2" xfId="29115" xr:uid="{00000000-0005-0000-0000-0000EA470000}"/>
    <cellStyle name="Normal 3 2 6 4 4 4" xfId="29112" xr:uid="{00000000-0005-0000-0000-0000EB470000}"/>
    <cellStyle name="Normal 3 2 6 4 5" xfId="5617" xr:uid="{00000000-0005-0000-0000-0000EC470000}"/>
    <cellStyle name="Normal 3 2 6 4 5 2" xfId="5618" xr:uid="{00000000-0005-0000-0000-0000ED470000}"/>
    <cellStyle name="Normal 3 2 6 4 5 2 2" xfId="29117" xr:uid="{00000000-0005-0000-0000-0000EE470000}"/>
    <cellStyle name="Normal 3 2 6 4 5 3" xfId="29116" xr:uid="{00000000-0005-0000-0000-0000EF470000}"/>
    <cellStyle name="Normal 3 2 6 4 6" xfId="5619" xr:uid="{00000000-0005-0000-0000-0000F0470000}"/>
    <cellStyle name="Normal 3 2 6 4 6 2" xfId="29118" xr:uid="{00000000-0005-0000-0000-0000F1470000}"/>
    <cellStyle name="Normal 3 2 6 4 7" xfId="29095" xr:uid="{00000000-0005-0000-0000-0000F2470000}"/>
    <cellStyle name="Normal 3 2 6 5" xfId="5620" xr:uid="{00000000-0005-0000-0000-0000F3470000}"/>
    <cellStyle name="Normal 3 2 6 5 2" xfId="5621" xr:uid="{00000000-0005-0000-0000-0000F4470000}"/>
    <cellStyle name="Normal 3 2 6 5 2 2" xfId="5622" xr:uid="{00000000-0005-0000-0000-0000F5470000}"/>
    <cellStyle name="Normal 3 2 6 5 2 2 2" xfId="5623" xr:uid="{00000000-0005-0000-0000-0000F6470000}"/>
    <cellStyle name="Normal 3 2 6 5 2 2 2 2" xfId="29122" xr:uid="{00000000-0005-0000-0000-0000F7470000}"/>
    <cellStyle name="Normal 3 2 6 5 2 2 3" xfId="29121" xr:uid="{00000000-0005-0000-0000-0000F8470000}"/>
    <cellStyle name="Normal 3 2 6 5 2 3" xfId="5624" xr:uid="{00000000-0005-0000-0000-0000F9470000}"/>
    <cellStyle name="Normal 3 2 6 5 2 3 2" xfId="29123" xr:uid="{00000000-0005-0000-0000-0000FA470000}"/>
    <cellStyle name="Normal 3 2 6 5 2 4" xfId="29120" xr:uid="{00000000-0005-0000-0000-0000FB470000}"/>
    <cellStyle name="Normal 3 2 6 5 3" xfId="5625" xr:uid="{00000000-0005-0000-0000-0000FC470000}"/>
    <cellStyle name="Normal 3 2 6 5 3 2" xfId="5626" xr:uid="{00000000-0005-0000-0000-0000FD470000}"/>
    <cellStyle name="Normal 3 2 6 5 3 2 2" xfId="29125" xr:uid="{00000000-0005-0000-0000-0000FE470000}"/>
    <cellStyle name="Normal 3 2 6 5 3 3" xfId="29124" xr:uid="{00000000-0005-0000-0000-0000FF470000}"/>
    <cellStyle name="Normal 3 2 6 5 4" xfId="5627" xr:uid="{00000000-0005-0000-0000-000000480000}"/>
    <cellStyle name="Normal 3 2 6 5 4 2" xfId="29126" xr:uid="{00000000-0005-0000-0000-000001480000}"/>
    <cellStyle name="Normal 3 2 6 5 5" xfId="29119" xr:uid="{00000000-0005-0000-0000-000002480000}"/>
    <cellStyle name="Normal 3 2 6 6" xfId="5628" xr:uid="{00000000-0005-0000-0000-000003480000}"/>
    <cellStyle name="Normal 3 2 6 6 2" xfId="5629" xr:uid="{00000000-0005-0000-0000-000004480000}"/>
    <cellStyle name="Normal 3 2 6 6 2 2" xfId="5630" xr:uid="{00000000-0005-0000-0000-000005480000}"/>
    <cellStyle name="Normal 3 2 6 6 2 2 2" xfId="5631" xr:uid="{00000000-0005-0000-0000-000006480000}"/>
    <cellStyle name="Normal 3 2 6 6 2 2 2 2" xfId="29130" xr:uid="{00000000-0005-0000-0000-000007480000}"/>
    <cellStyle name="Normal 3 2 6 6 2 2 3" xfId="29129" xr:uid="{00000000-0005-0000-0000-000008480000}"/>
    <cellStyle name="Normal 3 2 6 6 2 3" xfId="5632" xr:uid="{00000000-0005-0000-0000-000009480000}"/>
    <cellStyle name="Normal 3 2 6 6 2 3 2" xfId="29131" xr:uid="{00000000-0005-0000-0000-00000A480000}"/>
    <cellStyle name="Normal 3 2 6 6 2 4" xfId="29128" xr:uid="{00000000-0005-0000-0000-00000B480000}"/>
    <cellStyle name="Normal 3 2 6 6 3" xfId="5633" xr:uid="{00000000-0005-0000-0000-00000C480000}"/>
    <cellStyle name="Normal 3 2 6 6 3 2" xfId="5634" xr:uid="{00000000-0005-0000-0000-00000D480000}"/>
    <cellStyle name="Normal 3 2 6 6 3 2 2" xfId="29133" xr:uid="{00000000-0005-0000-0000-00000E480000}"/>
    <cellStyle name="Normal 3 2 6 6 3 3" xfId="29132" xr:uid="{00000000-0005-0000-0000-00000F480000}"/>
    <cellStyle name="Normal 3 2 6 6 4" xfId="5635" xr:uid="{00000000-0005-0000-0000-000010480000}"/>
    <cellStyle name="Normal 3 2 6 6 4 2" xfId="29134" xr:uid="{00000000-0005-0000-0000-000011480000}"/>
    <cellStyle name="Normal 3 2 6 6 5" xfId="29127" xr:uid="{00000000-0005-0000-0000-000012480000}"/>
    <cellStyle name="Normal 3 2 6 7" xfId="5636" xr:uid="{00000000-0005-0000-0000-000013480000}"/>
    <cellStyle name="Normal 3 2 6 7 2" xfId="5637" xr:uid="{00000000-0005-0000-0000-000014480000}"/>
    <cellStyle name="Normal 3 2 6 7 2 2" xfId="5638" xr:uid="{00000000-0005-0000-0000-000015480000}"/>
    <cellStyle name="Normal 3 2 6 7 2 2 2" xfId="29137" xr:uid="{00000000-0005-0000-0000-000016480000}"/>
    <cellStyle name="Normal 3 2 6 7 2 3" xfId="29136" xr:uid="{00000000-0005-0000-0000-000017480000}"/>
    <cellStyle name="Normal 3 2 6 7 3" xfId="5639" xr:uid="{00000000-0005-0000-0000-000018480000}"/>
    <cellStyle name="Normal 3 2 6 7 3 2" xfId="29138" xr:uid="{00000000-0005-0000-0000-000019480000}"/>
    <cellStyle name="Normal 3 2 6 7 4" xfId="29135" xr:uid="{00000000-0005-0000-0000-00001A480000}"/>
    <cellStyle name="Normal 3 2 6 8" xfId="5640" xr:uid="{00000000-0005-0000-0000-00001B480000}"/>
    <cellStyle name="Normal 3 2 6 8 2" xfId="5641" xr:uid="{00000000-0005-0000-0000-00001C480000}"/>
    <cellStyle name="Normal 3 2 6 8 2 2" xfId="29140" xr:uid="{00000000-0005-0000-0000-00001D480000}"/>
    <cellStyle name="Normal 3 2 6 8 3" xfId="29139" xr:uid="{00000000-0005-0000-0000-00001E480000}"/>
    <cellStyle name="Normal 3 2 6 9" xfId="5642" xr:uid="{00000000-0005-0000-0000-00001F480000}"/>
    <cellStyle name="Normal 3 2 6 9 2" xfId="29141" xr:uid="{00000000-0005-0000-0000-000020480000}"/>
    <cellStyle name="Normal 3 2 7" xfId="5643" xr:uid="{00000000-0005-0000-0000-000021480000}"/>
    <cellStyle name="Normal 3 2 7 2" xfId="5644" xr:uid="{00000000-0005-0000-0000-000022480000}"/>
    <cellStyle name="Normal 3 2 7 2 2" xfId="5645" xr:uid="{00000000-0005-0000-0000-000023480000}"/>
    <cellStyle name="Normal 3 2 7 2 2 2" xfId="5646" xr:uid="{00000000-0005-0000-0000-000024480000}"/>
    <cellStyle name="Normal 3 2 7 2 2 2 2" xfId="5647" xr:uid="{00000000-0005-0000-0000-000025480000}"/>
    <cellStyle name="Normal 3 2 7 2 2 2 2 2" xfId="5648" xr:uid="{00000000-0005-0000-0000-000026480000}"/>
    <cellStyle name="Normal 3 2 7 2 2 2 2 2 2" xfId="29146" xr:uid="{00000000-0005-0000-0000-000027480000}"/>
    <cellStyle name="Normal 3 2 7 2 2 2 2 3" xfId="29145" xr:uid="{00000000-0005-0000-0000-000028480000}"/>
    <cellStyle name="Normal 3 2 7 2 2 2 3" xfId="5649" xr:uid="{00000000-0005-0000-0000-000029480000}"/>
    <cellStyle name="Normal 3 2 7 2 2 2 3 2" xfId="29147" xr:uid="{00000000-0005-0000-0000-00002A480000}"/>
    <cellStyle name="Normal 3 2 7 2 2 2 4" xfId="29144" xr:uid="{00000000-0005-0000-0000-00002B480000}"/>
    <cellStyle name="Normal 3 2 7 2 2 3" xfId="5650" xr:uid="{00000000-0005-0000-0000-00002C480000}"/>
    <cellStyle name="Normal 3 2 7 2 2 3 2" xfId="5651" xr:uid="{00000000-0005-0000-0000-00002D480000}"/>
    <cellStyle name="Normal 3 2 7 2 2 3 2 2" xfId="29149" xr:uid="{00000000-0005-0000-0000-00002E480000}"/>
    <cellStyle name="Normal 3 2 7 2 2 3 3" xfId="29148" xr:uid="{00000000-0005-0000-0000-00002F480000}"/>
    <cellStyle name="Normal 3 2 7 2 2 4" xfId="5652" xr:uid="{00000000-0005-0000-0000-000030480000}"/>
    <cellStyle name="Normal 3 2 7 2 2 4 2" xfId="29150" xr:uid="{00000000-0005-0000-0000-000031480000}"/>
    <cellStyle name="Normal 3 2 7 2 2 5" xfId="21126" xr:uid="{00000000-0005-0000-0000-000032480000}"/>
    <cellStyle name="Normal 3 2 7 2 2 5 2" xfId="44441" xr:uid="{00000000-0005-0000-0000-000033480000}"/>
    <cellStyle name="Normal 3 2 7 2 2 6" xfId="21127" xr:uid="{00000000-0005-0000-0000-000034480000}"/>
    <cellStyle name="Normal 3 2 7 2 2 6 2" xfId="44442" xr:uid="{00000000-0005-0000-0000-000035480000}"/>
    <cellStyle name="Normal 3 2 7 2 2 7" xfId="29143" xr:uid="{00000000-0005-0000-0000-000036480000}"/>
    <cellStyle name="Normal 3 2 7 2 3" xfId="5653" xr:uid="{00000000-0005-0000-0000-000037480000}"/>
    <cellStyle name="Normal 3 2 7 2 3 2" xfId="5654" xr:uid="{00000000-0005-0000-0000-000038480000}"/>
    <cellStyle name="Normal 3 2 7 2 3 2 2" xfId="5655" xr:uid="{00000000-0005-0000-0000-000039480000}"/>
    <cellStyle name="Normal 3 2 7 2 3 2 2 2" xfId="5656" xr:uid="{00000000-0005-0000-0000-00003A480000}"/>
    <cellStyle name="Normal 3 2 7 2 3 2 2 2 2" xfId="29154" xr:uid="{00000000-0005-0000-0000-00003B480000}"/>
    <cellStyle name="Normal 3 2 7 2 3 2 2 3" xfId="29153" xr:uid="{00000000-0005-0000-0000-00003C480000}"/>
    <cellStyle name="Normal 3 2 7 2 3 2 3" xfId="5657" xr:uid="{00000000-0005-0000-0000-00003D480000}"/>
    <cellStyle name="Normal 3 2 7 2 3 2 3 2" xfId="29155" xr:uid="{00000000-0005-0000-0000-00003E480000}"/>
    <cellStyle name="Normal 3 2 7 2 3 2 4" xfId="29152" xr:uid="{00000000-0005-0000-0000-00003F480000}"/>
    <cellStyle name="Normal 3 2 7 2 3 3" xfId="5658" xr:uid="{00000000-0005-0000-0000-000040480000}"/>
    <cellStyle name="Normal 3 2 7 2 3 3 2" xfId="5659" xr:uid="{00000000-0005-0000-0000-000041480000}"/>
    <cellStyle name="Normal 3 2 7 2 3 3 2 2" xfId="29157" xr:uid="{00000000-0005-0000-0000-000042480000}"/>
    <cellStyle name="Normal 3 2 7 2 3 3 3" xfId="29156" xr:uid="{00000000-0005-0000-0000-000043480000}"/>
    <cellStyle name="Normal 3 2 7 2 3 4" xfId="5660" xr:uid="{00000000-0005-0000-0000-000044480000}"/>
    <cellStyle name="Normal 3 2 7 2 3 4 2" xfId="29158" xr:uid="{00000000-0005-0000-0000-000045480000}"/>
    <cellStyle name="Normal 3 2 7 2 3 5" xfId="29151" xr:uid="{00000000-0005-0000-0000-000046480000}"/>
    <cellStyle name="Normal 3 2 7 2 4" xfId="5661" xr:uid="{00000000-0005-0000-0000-000047480000}"/>
    <cellStyle name="Normal 3 2 7 2 4 2" xfId="5662" xr:uid="{00000000-0005-0000-0000-000048480000}"/>
    <cellStyle name="Normal 3 2 7 2 4 2 2" xfId="5663" xr:uid="{00000000-0005-0000-0000-000049480000}"/>
    <cellStyle name="Normal 3 2 7 2 4 2 2 2" xfId="29161" xr:uid="{00000000-0005-0000-0000-00004A480000}"/>
    <cellStyle name="Normal 3 2 7 2 4 2 3" xfId="29160" xr:uid="{00000000-0005-0000-0000-00004B480000}"/>
    <cellStyle name="Normal 3 2 7 2 4 3" xfId="5664" xr:uid="{00000000-0005-0000-0000-00004C480000}"/>
    <cellStyle name="Normal 3 2 7 2 4 3 2" xfId="29162" xr:uid="{00000000-0005-0000-0000-00004D480000}"/>
    <cellStyle name="Normal 3 2 7 2 4 4" xfId="29159" xr:uid="{00000000-0005-0000-0000-00004E480000}"/>
    <cellStyle name="Normal 3 2 7 2 5" xfId="5665" xr:uid="{00000000-0005-0000-0000-00004F480000}"/>
    <cellStyle name="Normal 3 2 7 2 5 2" xfId="5666" xr:uid="{00000000-0005-0000-0000-000050480000}"/>
    <cellStyle name="Normal 3 2 7 2 5 2 2" xfId="29164" xr:uid="{00000000-0005-0000-0000-000051480000}"/>
    <cellStyle name="Normal 3 2 7 2 5 3" xfId="29163" xr:uid="{00000000-0005-0000-0000-000052480000}"/>
    <cellStyle name="Normal 3 2 7 2 6" xfId="5667" xr:uid="{00000000-0005-0000-0000-000053480000}"/>
    <cellStyle name="Normal 3 2 7 2 6 2" xfId="29165" xr:uid="{00000000-0005-0000-0000-000054480000}"/>
    <cellStyle name="Normal 3 2 7 2 7" xfId="21128" xr:uid="{00000000-0005-0000-0000-000055480000}"/>
    <cellStyle name="Normal 3 2 7 2 7 2" xfId="44443" xr:uid="{00000000-0005-0000-0000-000056480000}"/>
    <cellStyle name="Normal 3 2 7 2 8" xfId="29142" xr:uid="{00000000-0005-0000-0000-000057480000}"/>
    <cellStyle name="Normal 3 2 7 3" xfId="17785" xr:uid="{00000000-0005-0000-0000-000058480000}"/>
    <cellStyle name="Normal 3 2 7 3 2" xfId="18021" xr:uid="{00000000-0005-0000-0000-000059480000}"/>
    <cellStyle name="Normal 3 2 7 3 2 2" xfId="21129" xr:uid="{00000000-0005-0000-0000-00005A480000}"/>
    <cellStyle name="Normal 3 2 7 3 2 2 2" xfId="21130" xr:uid="{00000000-0005-0000-0000-00005B480000}"/>
    <cellStyle name="Normal 3 2 7 3 2 2 2 2" xfId="44445" xr:uid="{00000000-0005-0000-0000-00005C480000}"/>
    <cellStyle name="Normal 3 2 7 3 2 2 3" xfId="21131" xr:uid="{00000000-0005-0000-0000-00005D480000}"/>
    <cellStyle name="Normal 3 2 7 3 2 2 3 2" xfId="44446" xr:uid="{00000000-0005-0000-0000-00005E480000}"/>
    <cellStyle name="Normal 3 2 7 3 2 2 4" xfId="44444" xr:uid="{00000000-0005-0000-0000-00005F480000}"/>
    <cellStyle name="Normal 3 2 7 3 2 3" xfId="21132" xr:uid="{00000000-0005-0000-0000-000060480000}"/>
    <cellStyle name="Normal 3 2 7 3 2 3 2" xfId="21133" xr:uid="{00000000-0005-0000-0000-000061480000}"/>
    <cellStyle name="Normal 3 2 7 3 2 3 2 2" xfId="44448" xr:uid="{00000000-0005-0000-0000-000062480000}"/>
    <cellStyle name="Normal 3 2 7 3 2 3 3" xfId="44447" xr:uid="{00000000-0005-0000-0000-000063480000}"/>
    <cellStyle name="Normal 3 2 7 3 2 4" xfId="21134" xr:uid="{00000000-0005-0000-0000-000064480000}"/>
    <cellStyle name="Normal 3 2 7 3 2 4 2" xfId="44449" xr:uid="{00000000-0005-0000-0000-000065480000}"/>
    <cellStyle name="Normal 3 2 7 3 2 5" xfId="21135" xr:uid="{00000000-0005-0000-0000-000066480000}"/>
    <cellStyle name="Normal 3 2 7 3 2 5 2" xfId="44450" xr:uid="{00000000-0005-0000-0000-000067480000}"/>
    <cellStyle name="Normal 3 2 7 3 2 6" xfId="21136" xr:uid="{00000000-0005-0000-0000-000068480000}"/>
    <cellStyle name="Normal 3 2 7 3 2 6 2" xfId="44451" xr:uid="{00000000-0005-0000-0000-000069480000}"/>
    <cellStyle name="Normal 3 2 7 3 2 7" xfId="41481" xr:uid="{00000000-0005-0000-0000-00006A480000}"/>
    <cellStyle name="Normal 3 2 7 3 3" xfId="21137" xr:uid="{00000000-0005-0000-0000-00006B480000}"/>
    <cellStyle name="Normal 3 2 7 3 3 2" xfId="21138" xr:uid="{00000000-0005-0000-0000-00006C480000}"/>
    <cellStyle name="Normal 3 2 7 3 3 2 2" xfId="44453" xr:uid="{00000000-0005-0000-0000-00006D480000}"/>
    <cellStyle name="Normal 3 2 7 3 3 3" xfId="21139" xr:uid="{00000000-0005-0000-0000-00006E480000}"/>
    <cellStyle name="Normal 3 2 7 3 3 3 2" xfId="44454" xr:uid="{00000000-0005-0000-0000-00006F480000}"/>
    <cellStyle name="Normal 3 2 7 3 3 4" xfId="44452" xr:uid="{00000000-0005-0000-0000-000070480000}"/>
    <cellStyle name="Normal 3 2 7 3 4" xfId="21140" xr:uid="{00000000-0005-0000-0000-000071480000}"/>
    <cellStyle name="Normal 3 2 7 3 4 2" xfId="21141" xr:uid="{00000000-0005-0000-0000-000072480000}"/>
    <cellStyle name="Normal 3 2 7 3 4 2 2" xfId="44456" xr:uid="{00000000-0005-0000-0000-000073480000}"/>
    <cellStyle name="Normal 3 2 7 3 4 3" xfId="44455" xr:uid="{00000000-0005-0000-0000-000074480000}"/>
    <cellStyle name="Normal 3 2 7 3 5" xfId="21142" xr:uid="{00000000-0005-0000-0000-000075480000}"/>
    <cellStyle name="Normal 3 2 7 3 5 2" xfId="44457" xr:uid="{00000000-0005-0000-0000-000076480000}"/>
    <cellStyle name="Normal 3 2 7 3 6" xfId="21143" xr:uid="{00000000-0005-0000-0000-000077480000}"/>
    <cellStyle name="Normal 3 2 7 3 6 2" xfId="44458" xr:uid="{00000000-0005-0000-0000-000078480000}"/>
    <cellStyle name="Normal 3 2 7 3 7" xfId="21144" xr:uid="{00000000-0005-0000-0000-000079480000}"/>
    <cellStyle name="Normal 3 2 7 3 7 2" xfId="44459" xr:uid="{00000000-0005-0000-0000-00007A480000}"/>
    <cellStyle name="Normal 3 2 7 3 8" xfId="41245" xr:uid="{00000000-0005-0000-0000-00007B480000}"/>
    <cellStyle name="Normal 3 2 7 4" xfId="17853" xr:uid="{00000000-0005-0000-0000-00007C480000}"/>
    <cellStyle name="Normal 3 2 7 4 2" xfId="21145" xr:uid="{00000000-0005-0000-0000-00007D480000}"/>
    <cellStyle name="Normal 3 2 7 4 2 2" xfId="21146" xr:uid="{00000000-0005-0000-0000-00007E480000}"/>
    <cellStyle name="Normal 3 2 7 4 2 2 2" xfId="44461" xr:uid="{00000000-0005-0000-0000-00007F480000}"/>
    <cellStyle name="Normal 3 2 7 4 2 3" xfId="21147" xr:uid="{00000000-0005-0000-0000-000080480000}"/>
    <cellStyle name="Normal 3 2 7 4 2 3 2" xfId="44462" xr:uid="{00000000-0005-0000-0000-000081480000}"/>
    <cellStyle name="Normal 3 2 7 4 2 4" xfId="44460" xr:uid="{00000000-0005-0000-0000-000082480000}"/>
    <cellStyle name="Normal 3 2 7 4 3" xfId="21148" xr:uid="{00000000-0005-0000-0000-000083480000}"/>
    <cellStyle name="Normal 3 2 7 4 3 2" xfId="21149" xr:uid="{00000000-0005-0000-0000-000084480000}"/>
    <cellStyle name="Normal 3 2 7 4 3 2 2" xfId="44464" xr:uid="{00000000-0005-0000-0000-000085480000}"/>
    <cellStyle name="Normal 3 2 7 4 3 3" xfId="44463" xr:uid="{00000000-0005-0000-0000-000086480000}"/>
    <cellStyle name="Normal 3 2 7 4 4" xfId="21150" xr:uid="{00000000-0005-0000-0000-000087480000}"/>
    <cellStyle name="Normal 3 2 7 4 4 2" xfId="44465" xr:uid="{00000000-0005-0000-0000-000088480000}"/>
    <cellStyle name="Normal 3 2 7 4 5" xfId="21151" xr:uid="{00000000-0005-0000-0000-000089480000}"/>
    <cellStyle name="Normal 3 2 7 4 5 2" xfId="44466" xr:uid="{00000000-0005-0000-0000-00008A480000}"/>
    <cellStyle name="Normal 3 2 7 4 6" xfId="21152" xr:uid="{00000000-0005-0000-0000-00008B480000}"/>
    <cellStyle name="Normal 3 2 7 4 6 2" xfId="44467" xr:uid="{00000000-0005-0000-0000-00008C480000}"/>
    <cellStyle name="Normal 3 2 7 4 7" xfId="41313" xr:uid="{00000000-0005-0000-0000-00008D480000}"/>
    <cellStyle name="Normal 3 2 7 5" xfId="21153" xr:uid="{00000000-0005-0000-0000-00008E480000}"/>
    <cellStyle name="Normal 3 2 7 5 2" xfId="21154" xr:uid="{00000000-0005-0000-0000-00008F480000}"/>
    <cellStyle name="Normal 3 2 7 5 2 2" xfId="44469" xr:uid="{00000000-0005-0000-0000-000090480000}"/>
    <cellStyle name="Normal 3 2 7 5 3" xfId="21155" xr:uid="{00000000-0005-0000-0000-000091480000}"/>
    <cellStyle name="Normal 3 2 7 5 3 2" xfId="44470" xr:uid="{00000000-0005-0000-0000-000092480000}"/>
    <cellStyle name="Normal 3 2 7 5 4" xfId="44468" xr:uid="{00000000-0005-0000-0000-000093480000}"/>
    <cellStyle name="Normal 3 2 7 6" xfId="21156" xr:uid="{00000000-0005-0000-0000-000094480000}"/>
    <cellStyle name="Normal 3 2 7 6 2" xfId="21157" xr:uid="{00000000-0005-0000-0000-000095480000}"/>
    <cellStyle name="Normal 3 2 7 6 2 2" xfId="44472" xr:uid="{00000000-0005-0000-0000-000096480000}"/>
    <cellStyle name="Normal 3 2 7 6 3" xfId="44471" xr:uid="{00000000-0005-0000-0000-000097480000}"/>
    <cellStyle name="Normal 3 2 7 7" xfId="21158" xr:uid="{00000000-0005-0000-0000-000098480000}"/>
    <cellStyle name="Normal 3 2 7 7 2" xfId="44473" xr:uid="{00000000-0005-0000-0000-000099480000}"/>
    <cellStyle name="Normal 3 2 7 8" xfId="21159" xr:uid="{00000000-0005-0000-0000-00009A480000}"/>
    <cellStyle name="Normal 3 2 7 8 2" xfId="44474" xr:uid="{00000000-0005-0000-0000-00009B480000}"/>
    <cellStyle name="Normal 3 2 7 9" xfId="21160" xr:uid="{00000000-0005-0000-0000-00009C480000}"/>
    <cellStyle name="Normal 3 2 7 9 2" xfId="44475" xr:uid="{00000000-0005-0000-0000-00009D480000}"/>
    <cellStyle name="Normal 3 2 8" xfId="5668" xr:uid="{00000000-0005-0000-0000-00009E480000}"/>
    <cellStyle name="Normal 3 2 8 2" xfId="5669" xr:uid="{00000000-0005-0000-0000-00009F480000}"/>
    <cellStyle name="Normal 3 2 8 2 2" xfId="5670" xr:uid="{00000000-0005-0000-0000-0000A0480000}"/>
    <cellStyle name="Normal 3 2 8 2 2 2" xfId="5671" xr:uid="{00000000-0005-0000-0000-0000A1480000}"/>
    <cellStyle name="Normal 3 2 8 2 2 2 2" xfId="5672" xr:uid="{00000000-0005-0000-0000-0000A2480000}"/>
    <cellStyle name="Normal 3 2 8 2 2 2 2 2" xfId="29170" xr:uid="{00000000-0005-0000-0000-0000A3480000}"/>
    <cellStyle name="Normal 3 2 8 2 2 2 3" xfId="29169" xr:uid="{00000000-0005-0000-0000-0000A4480000}"/>
    <cellStyle name="Normal 3 2 8 2 2 3" xfId="5673" xr:uid="{00000000-0005-0000-0000-0000A5480000}"/>
    <cellStyle name="Normal 3 2 8 2 2 3 2" xfId="29171" xr:uid="{00000000-0005-0000-0000-0000A6480000}"/>
    <cellStyle name="Normal 3 2 8 2 2 4" xfId="29168" xr:uid="{00000000-0005-0000-0000-0000A7480000}"/>
    <cellStyle name="Normal 3 2 8 2 3" xfId="5674" xr:uid="{00000000-0005-0000-0000-0000A8480000}"/>
    <cellStyle name="Normal 3 2 8 2 3 2" xfId="5675" xr:uid="{00000000-0005-0000-0000-0000A9480000}"/>
    <cellStyle name="Normal 3 2 8 2 3 2 2" xfId="29173" xr:uid="{00000000-0005-0000-0000-0000AA480000}"/>
    <cellStyle name="Normal 3 2 8 2 3 3" xfId="29172" xr:uid="{00000000-0005-0000-0000-0000AB480000}"/>
    <cellStyle name="Normal 3 2 8 2 4" xfId="5676" xr:uid="{00000000-0005-0000-0000-0000AC480000}"/>
    <cellStyle name="Normal 3 2 8 2 4 2" xfId="29174" xr:uid="{00000000-0005-0000-0000-0000AD480000}"/>
    <cellStyle name="Normal 3 2 8 2 5" xfId="21161" xr:uid="{00000000-0005-0000-0000-0000AE480000}"/>
    <cellStyle name="Normal 3 2 8 2 5 2" xfId="44476" xr:uid="{00000000-0005-0000-0000-0000AF480000}"/>
    <cellStyle name="Normal 3 2 8 2 6" xfId="21162" xr:uid="{00000000-0005-0000-0000-0000B0480000}"/>
    <cellStyle name="Normal 3 2 8 2 6 2" xfId="44477" xr:uid="{00000000-0005-0000-0000-0000B1480000}"/>
    <cellStyle name="Normal 3 2 8 2 7" xfId="29167" xr:uid="{00000000-0005-0000-0000-0000B2480000}"/>
    <cellStyle name="Normal 3 2 8 3" xfId="5677" xr:uid="{00000000-0005-0000-0000-0000B3480000}"/>
    <cellStyle name="Normal 3 2 8 3 2" xfId="5678" xr:uid="{00000000-0005-0000-0000-0000B4480000}"/>
    <cellStyle name="Normal 3 2 8 3 2 2" xfId="5679" xr:uid="{00000000-0005-0000-0000-0000B5480000}"/>
    <cellStyle name="Normal 3 2 8 3 2 2 2" xfId="5680" xr:uid="{00000000-0005-0000-0000-0000B6480000}"/>
    <cellStyle name="Normal 3 2 8 3 2 2 2 2" xfId="29178" xr:uid="{00000000-0005-0000-0000-0000B7480000}"/>
    <cellStyle name="Normal 3 2 8 3 2 2 3" xfId="29177" xr:uid="{00000000-0005-0000-0000-0000B8480000}"/>
    <cellStyle name="Normal 3 2 8 3 2 3" xfId="5681" xr:uid="{00000000-0005-0000-0000-0000B9480000}"/>
    <cellStyle name="Normal 3 2 8 3 2 3 2" xfId="29179" xr:uid="{00000000-0005-0000-0000-0000BA480000}"/>
    <cellStyle name="Normal 3 2 8 3 2 4" xfId="29176" xr:uid="{00000000-0005-0000-0000-0000BB480000}"/>
    <cellStyle name="Normal 3 2 8 3 3" xfId="5682" xr:uid="{00000000-0005-0000-0000-0000BC480000}"/>
    <cellStyle name="Normal 3 2 8 3 3 2" xfId="5683" xr:uid="{00000000-0005-0000-0000-0000BD480000}"/>
    <cellStyle name="Normal 3 2 8 3 3 2 2" xfId="29181" xr:uid="{00000000-0005-0000-0000-0000BE480000}"/>
    <cellStyle name="Normal 3 2 8 3 3 3" xfId="29180" xr:uid="{00000000-0005-0000-0000-0000BF480000}"/>
    <cellStyle name="Normal 3 2 8 3 4" xfId="5684" xr:uid="{00000000-0005-0000-0000-0000C0480000}"/>
    <cellStyle name="Normal 3 2 8 3 4 2" xfId="29182" xr:uid="{00000000-0005-0000-0000-0000C1480000}"/>
    <cellStyle name="Normal 3 2 8 3 5" xfId="29175" xr:uid="{00000000-0005-0000-0000-0000C2480000}"/>
    <cellStyle name="Normal 3 2 8 4" xfId="5685" xr:uid="{00000000-0005-0000-0000-0000C3480000}"/>
    <cellStyle name="Normal 3 2 8 4 2" xfId="5686" xr:uid="{00000000-0005-0000-0000-0000C4480000}"/>
    <cellStyle name="Normal 3 2 8 4 2 2" xfId="5687" xr:uid="{00000000-0005-0000-0000-0000C5480000}"/>
    <cellStyle name="Normal 3 2 8 4 2 2 2" xfId="29185" xr:uid="{00000000-0005-0000-0000-0000C6480000}"/>
    <cellStyle name="Normal 3 2 8 4 2 3" xfId="29184" xr:uid="{00000000-0005-0000-0000-0000C7480000}"/>
    <cellStyle name="Normal 3 2 8 4 3" xfId="5688" xr:uid="{00000000-0005-0000-0000-0000C8480000}"/>
    <cellStyle name="Normal 3 2 8 4 3 2" xfId="29186" xr:uid="{00000000-0005-0000-0000-0000C9480000}"/>
    <cellStyle name="Normal 3 2 8 4 4" xfId="29183" xr:uid="{00000000-0005-0000-0000-0000CA480000}"/>
    <cellStyle name="Normal 3 2 8 5" xfId="5689" xr:uid="{00000000-0005-0000-0000-0000CB480000}"/>
    <cellStyle name="Normal 3 2 8 5 2" xfId="5690" xr:uid="{00000000-0005-0000-0000-0000CC480000}"/>
    <cellStyle name="Normal 3 2 8 5 2 2" xfId="29188" xr:uid="{00000000-0005-0000-0000-0000CD480000}"/>
    <cellStyle name="Normal 3 2 8 5 3" xfId="29187" xr:uid="{00000000-0005-0000-0000-0000CE480000}"/>
    <cellStyle name="Normal 3 2 8 6" xfId="5691" xr:uid="{00000000-0005-0000-0000-0000CF480000}"/>
    <cellStyle name="Normal 3 2 8 6 2" xfId="29189" xr:uid="{00000000-0005-0000-0000-0000D0480000}"/>
    <cellStyle name="Normal 3 2 8 7" xfId="21163" xr:uid="{00000000-0005-0000-0000-0000D1480000}"/>
    <cellStyle name="Normal 3 2 8 7 2" xfId="44478" xr:uid="{00000000-0005-0000-0000-0000D2480000}"/>
    <cellStyle name="Normal 3 2 8 8" xfId="29166" xr:uid="{00000000-0005-0000-0000-0000D3480000}"/>
    <cellStyle name="Normal 3 2 9" xfId="5692" xr:uid="{00000000-0005-0000-0000-0000D4480000}"/>
    <cellStyle name="Normal 3 2 9 2" xfId="5693" xr:uid="{00000000-0005-0000-0000-0000D5480000}"/>
    <cellStyle name="Normal 3 2 9 2 2" xfId="5694" xr:uid="{00000000-0005-0000-0000-0000D6480000}"/>
    <cellStyle name="Normal 3 2 9 2 2 2" xfId="5695" xr:uid="{00000000-0005-0000-0000-0000D7480000}"/>
    <cellStyle name="Normal 3 2 9 2 2 2 2" xfId="5696" xr:uid="{00000000-0005-0000-0000-0000D8480000}"/>
    <cellStyle name="Normal 3 2 9 2 2 2 2 2" xfId="29194" xr:uid="{00000000-0005-0000-0000-0000D9480000}"/>
    <cellStyle name="Normal 3 2 9 2 2 2 3" xfId="29193" xr:uid="{00000000-0005-0000-0000-0000DA480000}"/>
    <cellStyle name="Normal 3 2 9 2 2 3" xfId="5697" xr:uid="{00000000-0005-0000-0000-0000DB480000}"/>
    <cellStyle name="Normal 3 2 9 2 2 3 2" xfId="29195" xr:uid="{00000000-0005-0000-0000-0000DC480000}"/>
    <cellStyle name="Normal 3 2 9 2 2 4" xfId="29192" xr:uid="{00000000-0005-0000-0000-0000DD480000}"/>
    <cellStyle name="Normal 3 2 9 2 3" xfId="5698" xr:uid="{00000000-0005-0000-0000-0000DE480000}"/>
    <cellStyle name="Normal 3 2 9 2 3 2" xfId="5699" xr:uid="{00000000-0005-0000-0000-0000DF480000}"/>
    <cellStyle name="Normal 3 2 9 2 3 2 2" xfId="29197" xr:uid="{00000000-0005-0000-0000-0000E0480000}"/>
    <cellStyle name="Normal 3 2 9 2 3 3" xfId="29196" xr:uid="{00000000-0005-0000-0000-0000E1480000}"/>
    <cellStyle name="Normal 3 2 9 2 4" xfId="5700" xr:uid="{00000000-0005-0000-0000-0000E2480000}"/>
    <cellStyle name="Normal 3 2 9 2 4 2" xfId="29198" xr:uid="{00000000-0005-0000-0000-0000E3480000}"/>
    <cellStyle name="Normal 3 2 9 2 5" xfId="21164" xr:uid="{00000000-0005-0000-0000-0000E4480000}"/>
    <cellStyle name="Normal 3 2 9 2 5 2" xfId="44479" xr:uid="{00000000-0005-0000-0000-0000E5480000}"/>
    <cellStyle name="Normal 3 2 9 2 6" xfId="21165" xr:uid="{00000000-0005-0000-0000-0000E6480000}"/>
    <cellStyle name="Normal 3 2 9 2 6 2" xfId="44480" xr:uid="{00000000-0005-0000-0000-0000E7480000}"/>
    <cellStyle name="Normal 3 2 9 2 7" xfId="29191" xr:uid="{00000000-0005-0000-0000-0000E8480000}"/>
    <cellStyle name="Normal 3 2 9 3" xfId="5701" xr:uid="{00000000-0005-0000-0000-0000E9480000}"/>
    <cellStyle name="Normal 3 2 9 3 2" xfId="5702" xr:uid="{00000000-0005-0000-0000-0000EA480000}"/>
    <cellStyle name="Normal 3 2 9 3 2 2" xfId="5703" xr:uid="{00000000-0005-0000-0000-0000EB480000}"/>
    <cellStyle name="Normal 3 2 9 3 2 2 2" xfId="5704" xr:uid="{00000000-0005-0000-0000-0000EC480000}"/>
    <cellStyle name="Normal 3 2 9 3 2 2 2 2" xfId="29202" xr:uid="{00000000-0005-0000-0000-0000ED480000}"/>
    <cellStyle name="Normal 3 2 9 3 2 2 3" xfId="29201" xr:uid="{00000000-0005-0000-0000-0000EE480000}"/>
    <cellStyle name="Normal 3 2 9 3 2 3" xfId="5705" xr:uid="{00000000-0005-0000-0000-0000EF480000}"/>
    <cellStyle name="Normal 3 2 9 3 2 3 2" xfId="29203" xr:uid="{00000000-0005-0000-0000-0000F0480000}"/>
    <cellStyle name="Normal 3 2 9 3 2 4" xfId="29200" xr:uid="{00000000-0005-0000-0000-0000F1480000}"/>
    <cellStyle name="Normal 3 2 9 3 3" xfId="5706" xr:uid="{00000000-0005-0000-0000-0000F2480000}"/>
    <cellStyle name="Normal 3 2 9 3 3 2" xfId="5707" xr:uid="{00000000-0005-0000-0000-0000F3480000}"/>
    <cellStyle name="Normal 3 2 9 3 3 2 2" xfId="29205" xr:uid="{00000000-0005-0000-0000-0000F4480000}"/>
    <cellStyle name="Normal 3 2 9 3 3 3" xfId="29204" xr:uid="{00000000-0005-0000-0000-0000F5480000}"/>
    <cellStyle name="Normal 3 2 9 3 4" xfId="5708" xr:uid="{00000000-0005-0000-0000-0000F6480000}"/>
    <cellStyle name="Normal 3 2 9 3 4 2" xfId="29206" xr:uid="{00000000-0005-0000-0000-0000F7480000}"/>
    <cellStyle name="Normal 3 2 9 3 5" xfId="29199" xr:uid="{00000000-0005-0000-0000-0000F8480000}"/>
    <cellStyle name="Normal 3 2 9 4" xfId="5709" xr:uid="{00000000-0005-0000-0000-0000F9480000}"/>
    <cellStyle name="Normal 3 2 9 4 2" xfId="5710" xr:uid="{00000000-0005-0000-0000-0000FA480000}"/>
    <cellStyle name="Normal 3 2 9 4 2 2" xfId="5711" xr:uid="{00000000-0005-0000-0000-0000FB480000}"/>
    <cellStyle name="Normal 3 2 9 4 2 2 2" xfId="29209" xr:uid="{00000000-0005-0000-0000-0000FC480000}"/>
    <cellStyle name="Normal 3 2 9 4 2 3" xfId="29208" xr:uid="{00000000-0005-0000-0000-0000FD480000}"/>
    <cellStyle name="Normal 3 2 9 4 3" xfId="5712" xr:uid="{00000000-0005-0000-0000-0000FE480000}"/>
    <cellStyle name="Normal 3 2 9 4 3 2" xfId="29210" xr:uid="{00000000-0005-0000-0000-0000FF480000}"/>
    <cellStyle name="Normal 3 2 9 4 4" xfId="29207" xr:uid="{00000000-0005-0000-0000-000000490000}"/>
    <cellStyle name="Normal 3 2 9 5" xfId="5713" xr:uid="{00000000-0005-0000-0000-000001490000}"/>
    <cellStyle name="Normal 3 2 9 5 2" xfId="5714" xr:uid="{00000000-0005-0000-0000-000002490000}"/>
    <cellStyle name="Normal 3 2 9 5 2 2" xfId="29212" xr:uid="{00000000-0005-0000-0000-000003490000}"/>
    <cellStyle name="Normal 3 2 9 5 3" xfId="29211" xr:uid="{00000000-0005-0000-0000-000004490000}"/>
    <cellStyle name="Normal 3 2 9 6" xfId="5715" xr:uid="{00000000-0005-0000-0000-000005490000}"/>
    <cellStyle name="Normal 3 2 9 6 2" xfId="29213" xr:uid="{00000000-0005-0000-0000-000006490000}"/>
    <cellStyle name="Normal 3 2 9 7" xfId="21166" xr:uid="{00000000-0005-0000-0000-000007490000}"/>
    <cellStyle name="Normal 3 2 9 7 2" xfId="44481" xr:uid="{00000000-0005-0000-0000-000008490000}"/>
    <cellStyle name="Normal 3 2 9 8" xfId="29190" xr:uid="{00000000-0005-0000-0000-000009490000}"/>
    <cellStyle name="Normal 3 3" xfId="24" xr:uid="{00000000-0005-0000-0000-00000A490000}"/>
    <cellStyle name="Normal 3 3 10" xfId="5717" xr:uid="{00000000-0005-0000-0000-00000B490000}"/>
    <cellStyle name="Normal 3 3 10 2" xfId="5718" xr:uid="{00000000-0005-0000-0000-00000C490000}"/>
    <cellStyle name="Normal 3 3 10 2 2" xfId="5719" xr:uid="{00000000-0005-0000-0000-00000D490000}"/>
    <cellStyle name="Normal 3 3 10 2 2 2" xfId="5720" xr:uid="{00000000-0005-0000-0000-00000E490000}"/>
    <cellStyle name="Normal 3 3 10 2 2 2 2" xfId="29218" xr:uid="{00000000-0005-0000-0000-00000F490000}"/>
    <cellStyle name="Normal 3 3 10 2 2 3" xfId="29217" xr:uid="{00000000-0005-0000-0000-000010490000}"/>
    <cellStyle name="Normal 3 3 10 2 3" xfId="5721" xr:uid="{00000000-0005-0000-0000-000011490000}"/>
    <cellStyle name="Normal 3 3 10 2 3 2" xfId="29219" xr:uid="{00000000-0005-0000-0000-000012490000}"/>
    <cellStyle name="Normal 3 3 10 2 4" xfId="29216" xr:uid="{00000000-0005-0000-0000-000013490000}"/>
    <cellStyle name="Normal 3 3 10 3" xfId="5722" xr:uid="{00000000-0005-0000-0000-000014490000}"/>
    <cellStyle name="Normal 3 3 10 3 2" xfId="5723" xr:uid="{00000000-0005-0000-0000-000015490000}"/>
    <cellStyle name="Normal 3 3 10 3 2 2" xfId="29221" xr:uid="{00000000-0005-0000-0000-000016490000}"/>
    <cellStyle name="Normal 3 3 10 3 3" xfId="29220" xr:uid="{00000000-0005-0000-0000-000017490000}"/>
    <cellStyle name="Normal 3 3 10 4" xfId="5724" xr:uid="{00000000-0005-0000-0000-000018490000}"/>
    <cellStyle name="Normal 3 3 10 4 2" xfId="29222" xr:uid="{00000000-0005-0000-0000-000019490000}"/>
    <cellStyle name="Normal 3 3 10 5" xfId="29215" xr:uid="{00000000-0005-0000-0000-00001A490000}"/>
    <cellStyle name="Normal 3 3 11" xfId="5725" xr:uid="{00000000-0005-0000-0000-00001B490000}"/>
    <cellStyle name="Normal 3 3 11 2" xfId="5726" xr:uid="{00000000-0005-0000-0000-00001C490000}"/>
    <cellStyle name="Normal 3 3 11 2 2" xfId="5727" xr:uid="{00000000-0005-0000-0000-00001D490000}"/>
    <cellStyle name="Normal 3 3 11 2 2 2" xfId="5728" xr:uid="{00000000-0005-0000-0000-00001E490000}"/>
    <cellStyle name="Normal 3 3 11 2 2 2 2" xfId="29226" xr:uid="{00000000-0005-0000-0000-00001F490000}"/>
    <cellStyle name="Normal 3 3 11 2 2 3" xfId="29225" xr:uid="{00000000-0005-0000-0000-000020490000}"/>
    <cellStyle name="Normal 3 3 11 2 3" xfId="5729" xr:uid="{00000000-0005-0000-0000-000021490000}"/>
    <cellStyle name="Normal 3 3 11 2 3 2" xfId="29227" xr:uid="{00000000-0005-0000-0000-000022490000}"/>
    <cellStyle name="Normal 3 3 11 2 4" xfId="29224" xr:uid="{00000000-0005-0000-0000-000023490000}"/>
    <cellStyle name="Normal 3 3 11 3" xfId="5730" xr:uid="{00000000-0005-0000-0000-000024490000}"/>
    <cellStyle name="Normal 3 3 11 3 2" xfId="5731" xr:uid="{00000000-0005-0000-0000-000025490000}"/>
    <cellStyle name="Normal 3 3 11 3 2 2" xfId="29229" xr:uid="{00000000-0005-0000-0000-000026490000}"/>
    <cellStyle name="Normal 3 3 11 3 3" xfId="29228" xr:uid="{00000000-0005-0000-0000-000027490000}"/>
    <cellStyle name="Normal 3 3 11 4" xfId="5732" xr:uid="{00000000-0005-0000-0000-000028490000}"/>
    <cellStyle name="Normal 3 3 11 4 2" xfId="29230" xr:uid="{00000000-0005-0000-0000-000029490000}"/>
    <cellStyle name="Normal 3 3 11 5" xfId="29223" xr:uid="{00000000-0005-0000-0000-00002A490000}"/>
    <cellStyle name="Normal 3 3 12" xfId="5733" xr:uid="{00000000-0005-0000-0000-00002B490000}"/>
    <cellStyle name="Normal 3 3 12 2" xfId="5734" xr:uid="{00000000-0005-0000-0000-00002C490000}"/>
    <cellStyle name="Normal 3 3 12 2 2" xfId="5735" xr:uid="{00000000-0005-0000-0000-00002D490000}"/>
    <cellStyle name="Normal 3 3 12 2 2 2" xfId="29233" xr:uid="{00000000-0005-0000-0000-00002E490000}"/>
    <cellStyle name="Normal 3 3 12 2 3" xfId="29232" xr:uid="{00000000-0005-0000-0000-00002F490000}"/>
    <cellStyle name="Normal 3 3 12 3" xfId="5736" xr:uid="{00000000-0005-0000-0000-000030490000}"/>
    <cellStyle name="Normal 3 3 12 3 2" xfId="29234" xr:uid="{00000000-0005-0000-0000-000031490000}"/>
    <cellStyle name="Normal 3 3 12 4" xfId="29231" xr:uid="{00000000-0005-0000-0000-000032490000}"/>
    <cellStyle name="Normal 3 3 13" xfId="5737" xr:uid="{00000000-0005-0000-0000-000033490000}"/>
    <cellStyle name="Normal 3 3 13 2" xfId="5738" xr:uid="{00000000-0005-0000-0000-000034490000}"/>
    <cellStyle name="Normal 3 3 13 2 2" xfId="29236" xr:uid="{00000000-0005-0000-0000-000035490000}"/>
    <cellStyle name="Normal 3 3 13 3" xfId="29235" xr:uid="{00000000-0005-0000-0000-000036490000}"/>
    <cellStyle name="Normal 3 3 14" xfId="5739" xr:uid="{00000000-0005-0000-0000-000037490000}"/>
    <cellStyle name="Normal 3 3 14 2" xfId="29237" xr:uid="{00000000-0005-0000-0000-000038490000}"/>
    <cellStyle name="Normal 3 3 15" xfId="5716" xr:uid="{00000000-0005-0000-0000-000039490000}"/>
    <cellStyle name="Normal 3 3 15 2" xfId="29214" xr:uid="{00000000-0005-0000-0000-00003A490000}"/>
    <cellStyle name="Normal 3 3 2" xfId="117" xr:uid="{00000000-0005-0000-0000-00003B490000}"/>
    <cellStyle name="Normal 3 3 2 10" xfId="5741" xr:uid="{00000000-0005-0000-0000-00003C490000}"/>
    <cellStyle name="Normal 3 3 2 10 2" xfId="5742" xr:uid="{00000000-0005-0000-0000-00003D490000}"/>
    <cellStyle name="Normal 3 3 2 10 2 2" xfId="5743" xr:uid="{00000000-0005-0000-0000-00003E490000}"/>
    <cellStyle name="Normal 3 3 2 10 2 2 2" xfId="5744" xr:uid="{00000000-0005-0000-0000-00003F490000}"/>
    <cellStyle name="Normal 3 3 2 10 2 2 2 2" xfId="29242" xr:uid="{00000000-0005-0000-0000-000040490000}"/>
    <cellStyle name="Normal 3 3 2 10 2 2 3" xfId="29241" xr:uid="{00000000-0005-0000-0000-000041490000}"/>
    <cellStyle name="Normal 3 3 2 10 2 3" xfId="5745" xr:uid="{00000000-0005-0000-0000-000042490000}"/>
    <cellStyle name="Normal 3 3 2 10 2 3 2" xfId="29243" xr:uid="{00000000-0005-0000-0000-000043490000}"/>
    <cellStyle name="Normal 3 3 2 10 2 4" xfId="29240" xr:uid="{00000000-0005-0000-0000-000044490000}"/>
    <cellStyle name="Normal 3 3 2 10 3" xfId="5746" xr:uid="{00000000-0005-0000-0000-000045490000}"/>
    <cellStyle name="Normal 3 3 2 10 3 2" xfId="5747" xr:uid="{00000000-0005-0000-0000-000046490000}"/>
    <cellStyle name="Normal 3 3 2 10 3 2 2" xfId="29245" xr:uid="{00000000-0005-0000-0000-000047490000}"/>
    <cellStyle name="Normal 3 3 2 10 3 3" xfId="29244" xr:uid="{00000000-0005-0000-0000-000048490000}"/>
    <cellStyle name="Normal 3 3 2 10 4" xfId="5748" xr:uid="{00000000-0005-0000-0000-000049490000}"/>
    <cellStyle name="Normal 3 3 2 10 4 2" xfId="29246" xr:uid="{00000000-0005-0000-0000-00004A490000}"/>
    <cellStyle name="Normal 3 3 2 10 5" xfId="29239" xr:uid="{00000000-0005-0000-0000-00004B490000}"/>
    <cellStyle name="Normal 3 3 2 11" xfId="5749" xr:uid="{00000000-0005-0000-0000-00004C490000}"/>
    <cellStyle name="Normal 3 3 2 11 2" xfId="5750" xr:uid="{00000000-0005-0000-0000-00004D490000}"/>
    <cellStyle name="Normal 3 3 2 11 2 2" xfId="5751" xr:uid="{00000000-0005-0000-0000-00004E490000}"/>
    <cellStyle name="Normal 3 3 2 11 2 2 2" xfId="29249" xr:uid="{00000000-0005-0000-0000-00004F490000}"/>
    <cellStyle name="Normal 3 3 2 11 2 3" xfId="29248" xr:uid="{00000000-0005-0000-0000-000050490000}"/>
    <cellStyle name="Normal 3 3 2 11 3" xfId="5752" xr:uid="{00000000-0005-0000-0000-000051490000}"/>
    <cellStyle name="Normal 3 3 2 11 3 2" xfId="29250" xr:uid="{00000000-0005-0000-0000-000052490000}"/>
    <cellStyle name="Normal 3 3 2 11 4" xfId="29247" xr:uid="{00000000-0005-0000-0000-000053490000}"/>
    <cellStyle name="Normal 3 3 2 12" xfId="5753" xr:uid="{00000000-0005-0000-0000-000054490000}"/>
    <cellStyle name="Normal 3 3 2 12 2" xfId="5754" xr:uid="{00000000-0005-0000-0000-000055490000}"/>
    <cellStyle name="Normal 3 3 2 12 2 2" xfId="29252" xr:uid="{00000000-0005-0000-0000-000056490000}"/>
    <cellStyle name="Normal 3 3 2 12 3" xfId="29251" xr:uid="{00000000-0005-0000-0000-000057490000}"/>
    <cellStyle name="Normal 3 3 2 13" xfId="5755" xr:uid="{00000000-0005-0000-0000-000058490000}"/>
    <cellStyle name="Normal 3 3 2 13 2" xfId="29253" xr:uid="{00000000-0005-0000-0000-000059490000}"/>
    <cellStyle name="Normal 3 3 2 14" xfId="5740" xr:uid="{00000000-0005-0000-0000-00005A490000}"/>
    <cellStyle name="Normal 3 3 2 14 2" xfId="29238" xr:uid="{00000000-0005-0000-0000-00005B490000}"/>
    <cellStyle name="Normal 3 3 2 2" xfId="5756" xr:uid="{00000000-0005-0000-0000-00005C490000}"/>
    <cellStyle name="Normal 3 3 2 2 10" xfId="5757" xr:uid="{00000000-0005-0000-0000-00005D490000}"/>
    <cellStyle name="Normal 3 3 2 2 10 2" xfId="29255" xr:uid="{00000000-0005-0000-0000-00005E490000}"/>
    <cellStyle name="Normal 3 3 2 2 11" xfId="29254" xr:uid="{00000000-0005-0000-0000-00005F490000}"/>
    <cellStyle name="Normal 3 3 2 2 2" xfId="5758" xr:uid="{00000000-0005-0000-0000-000060490000}"/>
    <cellStyle name="Normal 3 3 2 2 2 2" xfId="5759" xr:uid="{00000000-0005-0000-0000-000061490000}"/>
    <cellStyle name="Normal 3 3 2 2 2 2 2" xfId="5760" xr:uid="{00000000-0005-0000-0000-000062490000}"/>
    <cellStyle name="Normal 3 3 2 2 2 2 2 2" xfId="5761" xr:uid="{00000000-0005-0000-0000-000063490000}"/>
    <cellStyle name="Normal 3 3 2 2 2 2 2 2 2" xfId="5762" xr:uid="{00000000-0005-0000-0000-000064490000}"/>
    <cellStyle name="Normal 3 3 2 2 2 2 2 2 2 2" xfId="29260" xr:uid="{00000000-0005-0000-0000-000065490000}"/>
    <cellStyle name="Normal 3 3 2 2 2 2 2 2 3" xfId="29259" xr:uid="{00000000-0005-0000-0000-000066490000}"/>
    <cellStyle name="Normal 3 3 2 2 2 2 2 3" xfId="5763" xr:uid="{00000000-0005-0000-0000-000067490000}"/>
    <cellStyle name="Normal 3 3 2 2 2 2 2 3 2" xfId="29261" xr:uid="{00000000-0005-0000-0000-000068490000}"/>
    <cellStyle name="Normal 3 3 2 2 2 2 2 4" xfId="29258" xr:uid="{00000000-0005-0000-0000-000069490000}"/>
    <cellStyle name="Normal 3 3 2 2 2 2 3" xfId="5764" xr:uid="{00000000-0005-0000-0000-00006A490000}"/>
    <cellStyle name="Normal 3 3 2 2 2 2 3 2" xfId="5765" xr:uid="{00000000-0005-0000-0000-00006B490000}"/>
    <cellStyle name="Normal 3 3 2 2 2 2 3 2 2" xfId="29263" xr:uid="{00000000-0005-0000-0000-00006C490000}"/>
    <cellStyle name="Normal 3 3 2 2 2 2 3 3" xfId="29262" xr:uid="{00000000-0005-0000-0000-00006D490000}"/>
    <cellStyle name="Normal 3 3 2 2 2 2 4" xfId="5766" xr:uid="{00000000-0005-0000-0000-00006E490000}"/>
    <cellStyle name="Normal 3 3 2 2 2 2 4 2" xfId="29264" xr:uid="{00000000-0005-0000-0000-00006F490000}"/>
    <cellStyle name="Normal 3 3 2 2 2 2 5" xfId="29257" xr:uid="{00000000-0005-0000-0000-000070490000}"/>
    <cellStyle name="Normal 3 3 2 2 2 3" xfId="5767" xr:uid="{00000000-0005-0000-0000-000071490000}"/>
    <cellStyle name="Normal 3 3 2 2 2 3 2" xfId="5768" xr:uid="{00000000-0005-0000-0000-000072490000}"/>
    <cellStyle name="Normal 3 3 2 2 2 3 2 2" xfId="5769" xr:uid="{00000000-0005-0000-0000-000073490000}"/>
    <cellStyle name="Normal 3 3 2 2 2 3 2 2 2" xfId="5770" xr:uid="{00000000-0005-0000-0000-000074490000}"/>
    <cellStyle name="Normal 3 3 2 2 2 3 2 2 2 2" xfId="29268" xr:uid="{00000000-0005-0000-0000-000075490000}"/>
    <cellStyle name="Normal 3 3 2 2 2 3 2 2 3" xfId="29267" xr:uid="{00000000-0005-0000-0000-000076490000}"/>
    <cellStyle name="Normal 3 3 2 2 2 3 2 3" xfId="5771" xr:uid="{00000000-0005-0000-0000-000077490000}"/>
    <cellStyle name="Normal 3 3 2 2 2 3 2 3 2" xfId="29269" xr:uid="{00000000-0005-0000-0000-000078490000}"/>
    <cellStyle name="Normal 3 3 2 2 2 3 2 4" xfId="29266" xr:uid="{00000000-0005-0000-0000-000079490000}"/>
    <cellStyle name="Normal 3 3 2 2 2 3 3" xfId="5772" xr:uid="{00000000-0005-0000-0000-00007A490000}"/>
    <cellStyle name="Normal 3 3 2 2 2 3 3 2" xfId="5773" xr:uid="{00000000-0005-0000-0000-00007B490000}"/>
    <cellStyle name="Normal 3 3 2 2 2 3 3 2 2" xfId="29271" xr:uid="{00000000-0005-0000-0000-00007C490000}"/>
    <cellStyle name="Normal 3 3 2 2 2 3 3 3" xfId="29270" xr:uid="{00000000-0005-0000-0000-00007D490000}"/>
    <cellStyle name="Normal 3 3 2 2 2 3 4" xfId="5774" xr:uid="{00000000-0005-0000-0000-00007E490000}"/>
    <cellStyle name="Normal 3 3 2 2 2 3 4 2" xfId="29272" xr:uid="{00000000-0005-0000-0000-00007F490000}"/>
    <cellStyle name="Normal 3 3 2 2 2 3 5" xfId="29265" xr:uid="{00000000-0005-0000-0000-000080490000}"/>
    <cellStyle name="Normal 3 3 2 2 2 4" xfId="5775" xr:uid="{00000000-0005-0000-0000-000081490000}"/>
    <cellStyle name="Normal 3 3 2 2 2 4 2" xfId="5776" xr:uid="{00000000-0005-0000-0000-000082490000}"/>
    <cellStyle name="Normal 3 3 2 2 2 4 2 2" xfId="5777" xr:uid="{00000000-0005-0000-0000-000083490000}"/>
    <cellStyle name="Normal 3 3 2 2 2 4 2 2 2" xfId="29275" xr:uid="{00000000-0005-0000-0000-000084490000}"/>
    <cellStyle name="Normal 3 3 2 2 2 4 2 3" xfId="29274" xr:uid="{00000000-0005-0000-0000-000085490000}"/>
    <cellStyle name="Normal 3 3 2 2 2 4 3" xfId="5778" xr:uid="{00000000-0005-0000-0000-000086490000}"/>
    <cellStyle name="Normal 3 3 2 2 2 4 3 2" xfId="29276" xr:uid="{00000000-0005-0000-0000-000087490000}"/>
    <cellStyle name="Normal 3 3 2 2 2 4 4" xfId="29273" xr:uid="{00000000-0005-0000-0000-000088490000}"/>
    <cellStyle name="Normal 3 3 2 2 2 5" xfId="5779" xr:uid="{00000000-0005-0000-0000-000089490000}"/>
    <cellStyle name="Normal 3 3 2 2 2 5 2" xfId="5780" xr:uid="{00000000-0005-0000-0000-00008A490000}"/>
    <cellStyle name="Normal 3 3 2 2 2 5 2 2" xfId="29278" xr:uid="{00000000-0005-0000-0000-00008B490000}"/>
    <cellStyle name="Normal 3 3 2 2 2 5 3" xfId="29277" xr:uid="{00000000-0005-0000-0000-00008C490000}"/>
    <cellStyle name="Normal 3 3 2 2 2 6" xfId="5781" xr:uid="{00000000-0005-0000-0000-00008D490000}"/>
    <cellStyle name="Normal 3 3 2 2 2 6 2" xfId="29279" xr:uid="{00000000-0005-0000-0000-00008E490000}"/>
    <cellStyle name="Normal 3 3 2 2 2 7" xfId="29256" xr:uid="{00000000-0005-0000-0000-00008F490000}"/>
    <cellStyle name="Normal 3 3 2 2 3" xfId="5782" xr:uid="{00000000-0005-0000-0000-000090490000}"/>
    <cellStyle name="Normal 3 3 2 2 3 2" xfId="5783" xr:uid="{00000000-0005-0000-0000-000091490000}"/>
    <cellStyle name="Normal 3 3 2 2 3 2 2" xfId="5784" xr:uid="{00000000-0005-0000-0000-000092490000}"/>
    <cellStyle name="Normal 3 3 2 2 3 2 2 2" xfId="5785" xr:uid="{00000000-0005-0000-0000-000093490000}"/>
    <cellStyle name="Normal 3 3 2 2 3 2 2 2 2" xfId="5786" xr:uid="{00000000-0005-0000-0000-000094490000}"/>
    <cellStyle name="Normal 3 3 2 2 3 2 2 2 2 2" xfId="29284" xr:uid="{00000000-0005-0000-0000-000095490000}"/>
    <cellStyle name="Normal 3 3 2 2 3 2 2 2 3" xfId="29283" xr:uid="{00000000-0005-0000-0000-000096490000}"/>
    <cellStyle name="Normal 3 3 2 2 3 2 2 3" xfId="5787" xr:uid="{00000000-0005-0000-0000-000097490000}"/>
    <cellStyle name="Normal 3 3 2 2 3 2 2 3 2" xfId="29285" xr:uid="{00000000-0005-0000-0000-000098490000}"/>
    <cellStyle name="Normal 3 3 2 2 3 2 2 4" xfId="29282" xr:uid="{00000000-0005-0000-0000-000099490000}"/>
    <cellStyle name="Normal 3 3 2 2 3 2 3" xfId="5788" xr:uid="{00000000-0005-0000-0000-00009A490000}"/>
    <cellStyle name="Normal 3 3 2 2 3 2 3 2" xfId="5789" xr:uid="{00000000-0005-0000-0000-00009B490000}"/>
    <cellStyle name="Normal 3 3 2 2 3 2 3 2 2" xfId="29287" xr:uid="{00000000-0005-0000-0000-00009C490000}"/>
    <cellStyle name="Normal 3 3 2 2 3 2 3 3" xfId="29286" xr:uid="{00000000-0005-0000-0000-00009D490000}"/>
    <cellStyle name="Normal 3 3 2 2 3 2 4" xfId="5790" xr:uid="{00000000-0005-0000-0000-00009E490000}"/>
    <cellStyle name="Normal 3 3 2 2 3 2 4 2" xfId="29288" xr:uid="{00000000-0005-0000-0000-00009F490000}"/>
    <cellStyle name="Normal 3 3 2 2 3 2 5" xfId="29281" xr:uid="{00000000-0005-0000-0000-0000A0490000}"/>
    <cellStyle name="Normal 3 3 2 2 3 3" xfId="5791" xr:uid="{00000000-0005-0000-0000-0000A1490000}"/>
    <cellStyle name="Normal 3 3 2 2 3 3 2" xfId="5792" xr:uid="{00000000-0005-0000-0000-0000A2490000}"/>
    <cellStyle name="Normal 3 3 2 2 3 3 2 2" xfId="5793" xr:uid="{00000000-0005-0000-0000-0000A3490000}"/>
    <cellStyle name="Normal 3 3 2 2 3 3 2 2 2" xfId="5794" xr:uid="{00000000-0005-0000-0000-0000A4490000}"/>
    <cellStyle name="Normal 3 3 2 2 3 3 2 2 2 2" xfId="29292" xr:uid="{00000000-0005-0000-0000-0000A5490000}"/>
    <cellStyle name="Normal 3 3 2 2 3 3 2 2 3" xfId="29291" xr:uid="{00000000-0005-0000-0000-0000A6490000}"/>
    <cellStyle name="Normal 3 3 2 2 3 3 2 3" xfId="5795" xr:uid="{00000000-0005-0000-0000-0000A7490000}"/>
    <cellStyle name="Normal 3 3 2 2 3 3 2 3 2" xfId="29293" xr:uid="{00000000-0005-0000-0000-0000A8490000}"/>
    <cellStyle name="Normal 3 3 2 2 3 3 2 4" xfId="29290" xr:uid="{00000000-0005-0000-0000-0000A9490000}"/>
    <cellStyle name="Normal 3 3 2 2 3 3 3" xfId="5796" xr:uid="{00000000-0005-0000-0000-0000AA490000}"/>
    <cellStyle name="Normal 3 3 2 2 3 3 3 2" xfId="5797" xr:uid="{00000000-0005-0000-0000-0000AB490000}"/>
    <cellStyle name="Normal 3 3 2 2 3 3 3 2 2" xfId="29295" xr:uid="{00000000-0005-0000-0000-0000AC490000}"/>
    <cellStyle name="Normal 3 3 2 2 3 3 3 3" xfId="29294" xr:uid="{00000000-0005-0000-0000-0000AD490000}"/>
    <cellStyle name="Normal 3 3 2 2 3 3 4" xfId="5798" xr:uid="{00000000-0005-0000-0000-0000AE490000}"/>
    <cellStyle name="Normal 3 3 2 2 3 3 4 2" xfId="29296" xr:uid="{00000000-0005-0000-0000-0000AF490000}"/>
    <cellStyle name="Normal 3 3 2 2 3 3 5" xfId="29289" xr:uid="{00000000-0005-0000-0000-0000B0490000}"/>
    <cellStyle name="Normal 3 3 2 2 3 4" xfId="5799" xr:uid="{00000000-0005-0000-0000-0000B1490000}"/>
    <cellStyle name="Normal 3 3 2 2 3 4 2" xfId="5800" xr:uid="{00000000-0005-0000-0000-0000B2490000}"/>
    <cellStyle name="Normal 3 3 2 2 3 4 2 2" xfId="5801" xr:uid="{00000000-0005-0000-0000-0000B3490000}"/>
    <cellStyle name="Normal 3 3 2 2 3 4 2 2 2" xfId="29299" xr:uid="{00000000-0005-0000-0000-0000B4490000}"/>
    <cellStyle name="Normal 3 3 2 2 3 4 2 3" xfId="29298" xr:uid="{00000000-0005-0000-0000-0000B5490000}"/>
    <cellStyle name="Normal 3 3 2 2 3 4 3" xfId="5802" xr:uid="{00000000-0005-0000-0000-0000B6490000}"/>
    <cellStyle name="Normal 3 3 2 2 3 4 3 2" xfId="29300" xr:uid="{00000000-0005-0000-0000-0000B7490000}"/>
    <cellStyle name="Normal 3 3 2 2 3 4 4" xfId="29297" xr:uid="{00000000-0005-0000-0000-0000B8490000}"/>
    <cellStyle name="Normal 3 3 2 2 3 5" xfId="5803" xr:uid="{00000000-0005-0000-0000-0000B9490000}"/>
    <cellStyle name="Normal 3 3 2 2 3 5 2" xfId="5804" xr:uid="{00000000-0005-0000-0000-0000BA490000}"/>
    <cellStyle name="Normal 3 3 2 2 3 5 2 2" xfId="29302" xr:uid="{00000000-0005-0000-0000-0000BB490000}"/>
    <cellStyle name="Normal 3 3 2 2 3 5 3" xfId="29301" xr:uid="{00000000-0005-0000-0000-0000BC490000}"/>
    <cellStyle name="Normal 3 3 2 2 3 6" xfId="5805" xr:uid="{00000000-0005-0000-0000-0000BD490000}"/>
    <cellStyle name="Normal 3 3 2 2 3 6 2" xfId="29303" xr:uid="{00000000-0005-0000-0000-0000BE490000}"/>
    <cellStyle name="Normal 3 3 2 2 3 7" xfId="29280" xr:uid="{00000000-0005-0000-0000-0000BF490000}"/>
    <cellStyle name="Normal 3 3 2 2 4" xfId="5806" xr:uid="{00000000-0005-0000-0000-0000C0490000}"/>
    <cellStyle name="Normal 3 3 2 2 4 2" xfId="5807" xr:uid="{00000000-0005-0000-0000-0000C1490000}"/>
    <cellStyle name="Normal 3 3 2 2 4 2 2" xfId="5808" xr:uid="{00000000-0005-0000-0000-0000C2490000}"/>
    <cellStyle name="Normal 3 3 2 2 4 2 2 2" xfId="5809" xr:uid="{00000000-0005-0000-0000-0000C3490000}"/>
    <cellStyle name="Normal 3 3 2 2 4 2 2 2 2" xfId="5810" xr:uid="{00000000-0005-0000-0000-0000C4490000}"/>
    <cellStyle name="Normal 3 3 2 2 4 2 2 2 2 2" xfId="29308" xr:uid="{00000000-0005-0000-0000-0000C5490000}"/>
    <cellStyle name="Normal 3 3 2 2 4 2 2 2 3" xfId="29307" xr:uid="{00000000-0005-0000-0000-0000C6490000}"/>
    <cellStyle name="Normal 3 3 2 2 4 2 2 3" xfId="5811" xr:uid="{00000000-0005-0000-0000-0000C7490000}"/>
    <cellStyle name="Normal 3 3 2 2 4 2 2 3 2" xfId="29309" xr:uid="{00000000-0005-0000-0000-0000C8490000}"/>
    <cellStyle name="Normal 3 3 2 2 4 2 2 4" xfId="29306" xr:uid="{00000000-0005-0000-0000-0000C9490000}"/>
    <cellStyle name="Normal 3 3 2 2 4 2 3" xfId="5812" xr:uid="{00000000-0005-0000-0000-0000CA490000}"/>
    <cellStyle name="Normal 3 3 2 2 4 2 3 2" xfId="5813" xr:uid="{00000000-0005-0000-0000-0000CB490000}"/>
    <cellStyle name="Normal 3 3 2 2 4 2 3 2 2" xfId="29311" xr:uid="{00000000-0005-0000-0000-0000CC490000}"/>
    <cellStyle name="Normal 3 3 2 2 4 2 3 3" xfId="29310" xr:uid="{00000000-0005-0000-0000-0000CD490000}"/>
    <cellStyle name="Normal 3 3 2 2 4 2 4" xfId="5814" xr:uid="{00000000-0005-0000-0000-0000CE490000}"/>
    <cellStyle name="Normal 3 3 2 2 4 2 4 2" xfId="29312" xr:uid="{00000000-0005-0000-0000-0000CF490000}"/>
    <cellStyle name="Normal 3 3 2 2 4 2 5" xfId="29305" xr:uid="{00000000-0005-0000-0000-0000D0490000}"/>
    <cellStyle name="Normal 3 3 2 2 4 3" xfId="5815" xr:uid="{00000000-0005-0000-0000-0000D1490000}"/>
    <cellStyle name="Normal 3 3 2 2 4 3 2" xfId="5816" xr:uid="{00000000-0005-0000-0000-0000D2490000}"/>
    <cellStyle name="Normal 3 3 2 2 4 3 2 2" xfId="5817" xr:uid="{00000000-0005-0000-0000-0000D3490000}"/>
    <cellStyle name="Normal 3 3 2 2 4 3 2 2 2" xfId="5818" xr:uid="{00000000-0005-0000-0000-0000D4490000}"/>
    <cellStyle name="Normal 3 3 2 2 4 3 2 2 2 2" xfId="29316" xr:uid="{00000000-0005-0000-0000-0000D5490000}"/>
    <cellStyle name="Normal 3 3 2 2 4 3 2 2 3" xfId="29315" xr:uid="{00000000-0005-0000-0000-0000D6490000}"/>
    <cellStyle name="Normal 3 3 2 2 4 3 2 3" xfId="5819" xr:uid="{00000000-0005-0000-0000-0000D7490000}"/>
    <cellStyle name="Normal 3 3 2 2 4 3 2 3 2" xfId="29317" xr:uid="{00000000-0005-0000-0000-0000D8490000}"/>
    <cellStyle name="Normal 3 3 2 2 4 3 2 4" xfId="29314" xr:uid="{00000000-0005-0000-0000-0000D9490000}"/>
    <cellStyle name="Normal 3 3 2 2 4 3 3" xfId="5820" xr:uid="{00000000-0005-0000-0000-0000DA490000}"/>
    <cellStyle name="Normal 3 3 2 2 4 3 3 2" xfId="5821" xr:uid="{00000000-0005-0000-0000-0000DB490000}"/>
    <cellStyle name="Normal 3 3 2 2 4 3 3 2 2" xfId="29319" xr:uid="{00000000-0005-0000-0000-0000DC490000}"/>
    <cellStyle name="Normal 3 3 2 2 4 3 3 3" xfId="29318" xr:uid="{00000000-0005-0000-0000-0000DD490000}"/>
    <cellStyle name="Normal 3 3 2 2 4 3 4" xfId="5822" xr:uid="{00000000-0005-0000-0000-0000DE490000}"/>
    <cellStyle name="Normal 3 3 2 2 4 3 4 2" xfId="29320" xr:uid="{00000000-0005-0000-0000-0000DF490000}"/>
    <cellStyle name="Normal 3 3 2 2 4 3 5" xfId="29313" xr:uid="{00000000-0005-0000-0000-0000E0490000}"/>
    <cellStyle name="Normal 3 3 2 2 4 4" xfId="5823" xr:uid="{00000000-0005-0000-0000-0000E1490000}"/>
    <cellStyle name="Normal 3 3 2 2 4 4 2" xfId="5824" xr:uid="{00000000-0005-0000-0000-0000E2490000}"/>
    <cellStyle name="Normal 3 3 2 2 4 4 2 2" xfId="5825" xr:uid="{00000000-0005-0000-0000-0000E3490000}"/>
    <cellStyle name="Normal 3 3 2 2 4 4 2 2 2" xfId="29323" xr:uid="{00000000-0005-0000-0000-0000E4490000}"/>
    <cellStyle name="Normal 3 3 2 2 4 4 2 3" xfId="29322" xr:uid="{00000000-0005-0000-0000-0000E5490000}"/>
    <cellStyle name="Normal 3 3 2 2 4 4 3" xfId="5826" xr:uid="{00000000-0005-0000-0000-0000E6490000}"/>
    <cellStyle name="Normal 3 3 2 2 4 4 3 2" xfId="29324" xr:uid="{00000000-0005-0000-0000-0000E7490000}"/>
    <cellStyle name="Normal 3 3 2 2 4 4 4" xfId="29321" xr:uid="{00000000-0005-0000-0000-0000E8490000}"/>
    <cellStyle name="Normal 3 3 2 2 4 5" xfId="5827" xr:uid="{00000000-0005-0000-0000-0000E9490000}"/>
    <cellStyle name="Normal 3 3 2 2 4 5 2" xfId="5828" xr:uid="{00000000-0005-0000-0000-0000EA490000}"/>
    <cellStyle name="Normal 3 3 2 2 4 5 2 2" xfId="29326" xr:uid="{00000000-0005-0000-0000-0000EB490000}"/>
    <cellStyle name="Normal 3 3 2 2 4 5 3" xfId="29325" xr:uid="{00000000-0005-0000-0000-0000EC490000}"/>
    <cellStyle name="Normal 3 3 2 2 4 6" xfId="5829" xr:uid="{00000000-0005-0000-0000-0000ED490000}"/>
    <cellStyle name="Normal 3 3 2 2 4 6 2" xfId="29327" xr:uid="{00000000-0005-0000-0000-0000EE490000}"/>
    <cellStyle name="Normal 3 3 2 2 4 7" xfId="29304" xr:uid="{00000000-0005-0000-0000-0000EF490000}"/>
    <cellStyle name="Normal 3 3 2 2 5" xfId="5830" xr:uid="{00000000-0005-0000-0000-0000F0490000}"/>
    <cellStyle name="Normal 3 3 2 2 5 2" xfId="5831" xr:uid="{00000000-0005-0000-0000-0000F1490000}"/>
    <cellStyle name="Normal 3 3 2 2 5 2 2" xfId="5832" xr:uid="{00000000-0005-0000-0000-0000F2490000}"/>
    <cellStyle name="Normal 3 3 2 2 5 2 2 2" xfId="5833" xr:uid="{00000000-0005-0000-0000-0000F3490000}"/>
    <cellStyle name="Normal 3 3 2 2 5 2 2 2 2" xfId="5834" xr:uid="{00000000-0005-0000-0000-0000F4490000}"/>
    <cellStyle name="Normal 3 3 2 2 5 2 2 2 2 2" xfId="29332" xr:uid="{00000000-0005-0000-0000-0000F5490000}"/>
    <cellStyle name="Normal 3 3 2 2 5 2 2 2 3" xfId="29331" xr:uid="{00000000-0005-0000-0000-0000F6490000}"/>
    <cellStyle name="Normal 3 3 2 2 5 2 2 3" xfId="5835" xr:uid="{00000000-0005-0000-0000-0000F7490000}"/>
    <cellStyle name="Normal 3 3 2 2 5 2 2 3 2" xfId="29333" xr:uid="{00000000-0005-0000-0000-0000F8490000}"/>
    <cellStyle name="Normal 3 3 2 2 5 2 2 4" xfId="29330" xr:uid="{00000000-0005-0000-0000-0000F9490000}"/>
    <cellStyle name="Normal 3 3 2 2 5 2 3" xfId="5836" xr:uid="{00000000-0005-0000-0000-0000FA490000}"/>
    <cellStyle name="Normal 3 3 2 2 5 2 3 2" xfId="5837" xr:uid="{00000000-0005-0000-0000-0000FB490000}"/>
    <cellStyle name="Normal 3 3 2 2 5 2 3 2 2" xfId="29335" xr:uid="{00000000-0005-0000-0000-0000FC490000}"/>
    <cellStyle name="Normal 3 3 2 2 5 2 3 3" xfId="29334" xr:uid="{00000000-0005-0000-0000-0000FD490000}"/>
    <cellStyle name="Normal 3 3 2 2 5 2 4" xfId="5838" xr:uid="{00000000-0005-0000-0000-0000FE490000}"/>
    <cellStyle name="Normal 3 3 2 2 5 2 4 2" xfId="29336" xr:uid="{00000000-0005-0000-0000-0000FF490000}"/>
    <cellStyle name="Normal 3 3 2 2 5 2 5" xfId="29329" xr:uid="{00000000-0005-0000-0000-0000004A0000}"/>
    <cellStyle name="Normal 3 3 2 2 5 3" xfId="5839" xr:uid="{00000000-0005-0000-0000-0000014A0000}"/>
    <cellStyle name="Normal 3 3 2 2 5 3 2" xfId="5840" xr:uid="{00000000-0005-0000-0000-0000024A0000}"/>
    <cellStyle name="Normal 3 3 2 2 5 3 2 2" xfId="5841" xr:uid="{00000000-0005-0000-0000-0000034A0000}"/>
    <cellStyle name="Normal 3 3 2 2 5 3 2 2 2" xfId="5842" xr:uid="{00000000-0005-0000-0000-0000044A0000}"/>
    <cellStyle name="Normal 3 3 2 2 5 3 2 2 2 2" xfId="29340" xr:uid="{00000000-0005-0000-0000-0000054A0000}"/>
    <cellStyle name="Normal 3 3 2 2 5 3 2 2 3" xfId="29339" xr:uid="{00000000-0005-0000-0000-0000064A0000}"/>
    <cellStyle name="Normal 3 3 2 2 5 3 2 3" xfId="5843" xr:uid="{00000000-0005-0000-0000-0000074A0000}"/>
    <cellStyle name="Normal 3 3 2 2 5 3 2 3 2" xfId="29341" xr:uid="{00000000-0005-0000-0000-0000084A0000}"/>
    <cellStyle name="Normal 3 3 2 2 5 3 2 4" xfId="29338" xr:uid="{00000000-0005-0000-0000-0000094A0000}"/>
    <cellStyle name="Normal 3 3 2 2 5 3 3" xfId="5844" xr:uid="{00000000-0005-0000-0000-00000A4A0000}"/>
    <cellStyle name="Normal 3 3 2 2 5 3 3 2" xfId="5845" xr:uid="{00000000-0005-0000-0000-00000B4A0000}"/>
    <cellStyle name="Normal 3 3 2 2 5 3 3 2 2" xfId="29343" xr:uid="{00000000-0005-0000-0000-00000C4A0000}"/>
    <cellStyle name="Normal 3 3 2 2 5 3 3 3" xfId="29342" xr:uid="{00000000-0005-0000-0000-00000D4A0000}"/>
    <cellStyle name="Normal 3 3 2 2 5 3 4" xfId="5846" xr:uid="{00000000-0005-0000-0000-00000E4A0000}"/>
    <cellStyle name="Normal 3 3 2 2 5 3 4 2" xfId="29344" xr:uid="{00000000-0005-0000-0000-00000F4A0000}"/>
    <cellStyle name="Normal 3 3 2 2 5 3 5" xfId="29337" xr:uid="{00000000-0005-0000-0000-0000104A0000}"/>
    <cellStyle name="Normal 3 3 2 2 5 4" xfId="5847" xr:uid="{00000000-0005-0000-0000-0000114A0000}"/>
    <cellStyle name="Normal 3 3 2 2 5 4 2" xfId="5848" xr:uid="{00000000-0005-0000-0000-0000124A0000}"/>
    <cellStyle name="Normal 3 3 2 2 5 4 2 2" xfId="5849" xr:uid="{00000000-0005-0000-0000-0000134A0000}"/>
    <cellStyle name="Normal 3 3 2 2 5 4 2 2 2" xfId="29347" xr:uid="{00000000-0005-0000-0000-0000144A0000}"/>
    <cellStyle name="Normal 3 3 2 2 5 4 2 3" xfId="29346" xr:uid="{00000000-0005-0000-0000-0000154A0000}"/>
    <cellStyle name="Normal 3 3 2 2 5 4 3" xfId="5850" xr:uid="{00000000-0005-0000-0000-0000164A0000}"/>
    <cellStyle name="Normal 3 3 2 2 5 4 3 2" xfId="29348" xr:uid="{00000000-0005-0000-0000-0000174A0000}"/>
    <cellStyle name="Normal 3 3 2 2 5 4 4" xfId="29345" xr:uid="{00000000-0005-0000-0000-0000184A0000}"/>
    <cellStyle name="Normal 3 3 2 2 5 5" xfId="5851" xr:uid="{00000000-0005-0000-0000-0000194A0000}"/>
    <cellStyle name="Normal 3 3 2 2 5 5 2" xfId="5852" xr:uid="{00000000-0005-0000-0000-00001A4A0000}"/>
    <cellStyle name="Normal 3 3 2 2 5 5 2 2" xfId="29350" xr:uid="{00000000-0005-0000-0000-00001B4A0000}"/>
    <cellStyle name="Normal 3 3 2 2 5 5 3" xfId="29349" xr:uid="{00000000-0005-0000-0000-00001C4A0000}"/>
    <cellStyle name="Normal 3 3 2 2 5 6" xfId="5853" xr:uid="{00000000-0005-0000-0000-00001D4A0000}"/>
    <cellStyle name="Normal 3 3 2 2 5 6 2" xfId="29351" xr:uid="{00000000-0005-0000-0000-00001E4A0000}"/>
    <cellStyle name="Normal 3 3 2 2 5 7" xfId="29328" xr:uid="{00000000-0005-0000-0000-00001F4A0000}"/>
    <cellStyle name="Normal 3 3 2 2 6" xfId="5854" xr:uid="{00000000-0005-0000-0000-0000204A0000}"/>
    <cellStyle name="Normal 3 3 2 2 6 2" xfId="5855" xr:uid="{00000000-0005-0000-0000-0000214A0000}"/>
    <cellStyle name="Normal 3 3 2 2 6 2 2" xfId="5856" xr:uid="{00000000-0005-0000-0000-0000224A0000}"/>
    <cellStyle name="Normal 3 3 2 2 6 2 2 2" xfId="5857" xr:uid="{00000000-0005-0000-0000-0000234A0000}"/>
    <cellStyle name="Normal 3 3 2 2 6 2 2 2 2" xfId="29355" xr:uid="{00000000-0005-0000-0000-0000244A0000}"/>
    <cellStyle name="Normal 3 3 2 2 6 2 2 3" xfId="29354" xr:uid="{00000000-0005-0000-0000-0000254A0000}"/>
    <cellStyle name="Normal 3 3 2 2 6 2 3" xfId="5858" xr:uid="{00000000-0005-0000-0000-0000264A0000}"/>
    <cellStyle name="Normal 3 3 2 2 6 2 3 2" xfId="29356" xr:uid="{00000000-0005-0000-0000-0000274A0000}"/>
    <cellStyle name="Normal 3 3 2 2 6 2 4" xfId="29353" xr:uid="{00000000-0005-0000-0000-0000284A0000}"/>
    <cellStyle name="Normal 3 3 2 2 6 3" xfId="5859" xr:uid="{00000000-0005-0000-0000-0000294A0000}"/>
    <cellStyle name="Normal 3 3 2 2 6 3 2" xfId="5860" xr:uid="{00000000-0005-0000-0000-00002A4A0000}"/>
    <cellStyle name="Normal 3 3 2 2 6 3 2 2" xfId="29358" xr:uid="{00000000-0005-0000-0000-00002B4A0000}"/>
    <cellStyle name="Normal 3 3 2 2 6 3 3" xfId="29357" xr:uid="{00000000-0005-0000-0000-00002C4A0000}"/>
    <cellStyle name="Normal 3 3 2 2 6 4" xfId="5861" xr:uid="{00000000-0005-0000-0000-00002D4A0000}"/>
    <cellStyle name="Normal 3 3 2 2 6 4 2" xfId="29359" xr:uid="{00000000-0005-0000-0000-00002E4A0000}"/>
    <cellStyle name="Normal 3 3 2 2 6 5" xfId="29352" xr:uid="{00000000-0005-0000-0000-00002F4A0000}"/>
    <cellStyle name="Normal 3 3 2 2 7" xfId="5862" xr:uid="{00000000-0005-0000-0000-0000304A0000}"/>
    <cellStyle name="Normal 3 3 2 2 7 2" xfId="5863" xr:uid="{00000000-0005-0000-0000-0000314A0000}"/>
    <cellStyle name="Normal 3 3 2 2 7 2 2" xfId="5864" xr:uid="{00000000-0005-0000-0000-0000324A0000}"/>
    <cellStyle name="Normal 3 3 2 2 7 2 2 2" xfId="5865" xr:uid="{00000000-0005-0000-0000-0000334A0000}"/>
    <cellStyle name="Normal 3 3 2 2 7 2 2 2 2" xfId="29363" xr:uid="{00000000-0005-0000-0000-0000344A0000}"/>
    <cellStyle name="Normal 3 3 2 2 7 2 2 3" xfId="29362" xr:uid="{00000000-0005-0000-0000-0000354A0000}"/>
    <cellStyle name="Normal 3 3 2 2 7 2 3" xfId="5866" xr:uid="{00000000-0005-0000-0000-0000364A0000}"/>
    <cellStyle name="Normal 3 3 2 2 7 2 3 2" xfId="29364" xr:uid="{00000000-0005-0000-0000-0000374A0000}"/>
    <cellStyle name="Normal 3 3 2 2 7 2 4" xfId="29361" xr:uid="{00000000-0005-0000-0000-0000384A0000}"/>
    <cellStyle name="Normal 3 3 2 2 7 3" xfId="5867" xr:uid="{00000000-0005-0000-0000-0000394A0000}"/>
    <cellStyle name="Normal 3 3 2 2 7 3 2" xfId="5868" xr:uid="{00000000-0005-0000-0000-00003A4A0000}"/>
    <cellStyle name="Normal 3 3 2 2 7 3 2 2" xfId="29366" xr:uid="{00000000-0005-0000-0000-00003B4A0000}"/>
    <cellStyle name="Normal 3 3 2 2 7 3 3" xfId="29365" xr:uid="{00000000-0005-0000-0000-00003C4A0000}"/>
    <cellStyle name="Normal 3 3 2 2 7 4" xfId="5869" xr:uid="{00000000-0005-0000-0000-00003D4A0000}"/>
    <cellStyle name="Normal 3 3 2 2 7 4 2" xfId="29367" xr:uid="{00000000-0005-0000-0000-00003E4A0000}"/>
    <cellStyle name="Normal 3 3 2 2 7 5" xfId="29360" xr:uid="{00000000-0005-0000-0000-00003F4A0000}"/>
    <cellStyle name="Normal 3 3 2 2 8" xfId="5870" xr:uid="{00000000-0005-0000-0000-0000404A0000}"/>
    <cellStyle name="Normal 3 3 2 2 8 2" xfId="5871" xr:uid="{00000000-0005-0000-0000-0000414A0000}"/>
    <cellStyle name="Normal 3 3 2 2 8 2 2" xfId="5872" xr:uid="{00000000-0005-0000-0000-0000424A0000}"/>
    <cellStyle name="Normal 3 3 2 2 8 2 2 2" xfId="29370" xr:uid="{00000000-0005-0000-0000-0000434A0000}"/>
    <cellStyle name="Normal 3 3 2 2 8 2 3" xfId="29369" xr:uid="{00000000-0005-0000-0000-0000444A0000}"/>
    <cellStyle name="Normal 3 3 2 2 8 3" xfId="5873" xr:uid="{00000000-0005-0000-0000-0000454A0000}"/>
    <cellStyle name="Normal 3 3 2 2 8 3 2" xfId="29371" xr:uid="{00000000-0005-0000-0000-0000464A0000}"/>
    <cellStyle name="Normal 3 3 2 2 8 4" xfId="29368" xr:uid="{00000000-0005-0000-0000-0000474A0000}"/>
    <cellStyle name="Normal 3 3 2 2 9" xfId="5874" xr:uid="{00000000-0005-0000-0000-0000484A0000}"/>
    <cellStyle name="Normal 3 3 2 2 9 2" xfId="5875" xr:uid="{00000000-0005-0000-0000-0000494A0000}"/>
    <cellStyle name="Normal 3 3 2 2 9 2 2" xfId="29373" xr:uid="{00000000-0005-0000-0000-00004A4A0000}"/>
    <cellStyle name="Normal 3 3 2 2 9 3" xfId="29372" xr:uid="{00000000-0005-0000-0000-00004B4A0000}"/>
    <cellStyle name="Normal 3 3 2 3" xfId="5876" xr:uid="{00000000-0005-0000-0000-00004C4A0000}"/>
    <cellStyle name="Normal 3 3 2 3 10" xfId="29374" xr:uid="{00000000-0005-0000-0000-00004D4A0000}"/>
    <cellStyle name="Normal 3 3 2 3 2" xfId="5877" xr:uid="{00000000-0005-0000-0000-00004E4A0000}"/>
    <cellStyle name="Normal 3 3 2 3 2 2" xfId="5878" xr:uid="{00000000-0005-0000-0000-00004F4A0000}"/>
    <cellStyle name="Normal 3 3 2 3 2 2 2" xfId="5879" xr:uid="{00000000-0005-0000-0000-0000504A0000}"/>
    <cellStyle name="Normal 3 3 2 3 2 2 2 2" xfId="5880" xr:uid="{00000000-0005-0000-0000-0000514A0000}"/>
    <cellStyle name="Normal 3 3 2 3 2 2 2 2 2" xfId="5881" xr:uid="{00000000-0005-0000-0000-0000524A0000}"/>
    <cellStyle name="Normal 3 3 2 3 2 2 2 2 2 2" xfId="29379" xr:uid="{00000000-0005-0000-0000-0000534A0000}"/>
    <cellStyle name="Normal 3 3 2 3 2 2 2 2 3" xfId="29378" xr:uid="{00000000-0005-0000-0000-0000544A0000}"/>
    <cellStyle name="Normal 3 3 2 3 2 2 2 3" xfId="5882" xr:uid="{00000000-0005-0000-0000-0000554A0000}"/>
    <cellStyle name="Normal 3 3 2 3 2 2 2 3 2" xfId="29380" xr:uid="{00000000-0005-0000-0000-0000564A0000}"/>
    <cellStyle name="Normal 3 3 2 3 2 2 2 4" xfId="29377" xr:uid="{00000000-0005-0000-0000-0000574A0000}"/>
    <cellStyle name="Normal 3 3 2 3 2 2 3" xfId="5883" xr:uid="{00000000-0005-0000-0000-0000584A0000}"/>
    <cellStyle name="Normal 3 3 2 3 2 2 3 2" xfId="5884" xr:uid="{00000000-0005-0000-0000-0000594A0000}"/>
    <cellStyle name="Normal 3 3 2 3 2 2 3 2 2" xfId="29382" xr:uid="{00000000-0005-0000-0000-00005A4A0000}"/>
    <cellStyle name="Normal 3 3 2 3 2 2 3 3" xfId="29381" xr:uid="{00000000-0005-0000-0000-00005B4A0000}"/>
    <cellStyle name="Normal 3 3 2 3 2 2 4" xfId="5885" xr:uid="{00000000-0005-0000-0000-00005C4A0000}"/>
    <cellStyle name="Normal 3 3 2 3 2 2 4 2" xfId="29383" xr:uid="{00000000-0005-0000-0000-00005D4A0000}"/>
    <cellStyle name="Normal 3 3 2 3 2 2 5" xfId="29376" xr:uid="{00000000-0005-0000-0000-00005E4A0000}"/>
    <cellStyle name="Normal 3 3 2 3 2 3" xfId="5886" xr:uid="{00000000-0005-0000-0000-00005F4A0000}"/>
    <cellStyle name="Normal 3 3 2 3 2 3 2" xfId="5887" xr:uid="{00000000-0005-0000-0000-0000604A0000}"/>
    <cellStyle name="Normal 3 3 2 3 2 3 2 2" xfId="5888" xr:uid="{00000000-0005-0000-0000-0000614A0000}"/>
    <cellStyle name="Normal 3 3 2 3 2 3 2 2 2" xfId="5889" xr:uid="{00000000-0005-0000-0000-0000624A0000}"/>
    <cellStyle name="Normal 3 3 2 3 2 3 2 2 2 2" xfId="29387" xr:uid="{00000000-0005-0000-0000-0000634A0000}"/>
    <cellStyle name="Normal 3 3 2 3 2 3 2 2 3" xfId="29386" xr:uid="{00000000-0005-0000-0000-0000644A0000}"/>
    <cellStyle name="Normal 3 3 2 3 2 3 2 3" xfId="5890" xr:uid="{00000000-0005-0000-0000-0000654A0000}"/>
    <cellStyle name="Normal 3 3 2 3 2 3 2 3 2" xfId="29388" xr:uid="{00000000-0005-0000-0000-0000664A0000}"/>
    <cellStyle name="Normal 3 3 2 3 2 3 2 4" xfId="29385" xr:uid="{00000000-0005-0000-0000-0000674A0000}"/>
    <cellStyle name="Normal 3 3 2 3 2 3 3" xfId="5891" xr:uid="{00000000-0005-0000-0000-0000684A0000}"/>
    <cellStyle name="Normal 3 3 2 3 2 3 3 2" xfId="5892" xr:uid="{00000000-0005-0000-0000-0000694A0000}"/>
    <cellStyle name="Normal 3 3 2 3 2 3 3 2 2" xfId="29390" xr:uid="{00000000-0005-0000-0000-00006A4A0000}"/>
    <cellStyle name="Normal 3 3 2 3 2 3 3 3" xfId="29389" xr:uid="{00000000-0005-0000-0000-00006B4A0000}"/>
    <cellStyle name="Normal 3 3 2 3 2 3 4" xfId="5893" xr:uid="{00000000-0005-0000-0000-00006C4A0000}"/>
    <cellStyle name="Normal 3 3 2 3 2 3 4 2" xfId="29391" xr:uid="{00000000-0005-0000-0000-00006D4A0000}"/>
    <cellStyle name="Normal 3 3 2 3 2 3 5" xfId="29384" xr:uid="{00000000-0005-0000-0000-00006E4A0000}"/>
    <cellStyle name="Normal 3 3 2 3 2 4" xfId="5894" xr:uid="{00000000-0005-0000-0000-00006F4A0000}"/>
    <cellStyle name="Normal 3 3 2 3 2 4 2" xfId="5895" xr:uid="{00000000-0005-0000-0000-0000704A0000}"/>
    <cellStyle name="Normal 3 3 2 3 2 4 2 2" xfId="5896" xr:uid="{00000000-0005-0000-0000-0000714A0000}"/>
    <cellStyle name="Normal 3 3 2 3 2 4 2 2 2" xfId="29394" xr:uid="{00000000-0005-0000-0000-0000724A0000}"/>
    <cellStyle name="Normal 3 3 2 3 2 4 2 3" xfId="29393" xr:uid="{00000000-0005-0000-0000-0000734A0000}"/>
    <cellStyle name="Normal 3 3 2 3 2 4 3" xfId="5897" xr:uid="{00000000-0005-0000-0000-0000744A0000}"/>
    <cellStyle name="Normal 3 3 2 3 2 4 3 2" xfId="29395" xr:uid="{00000000-0005-0000-0000-0000754A0000}"/>
    <cellStyle name="Normal 3 3 2 3 2 4 4" xfId="29392" xr:uid="{00000000-0005-0000-0000-0000764A0000}"/>
    <cellStyle name="Normal 3 3 2 3 2 5" xfId="5898" xr:uid="{00000000-0005-0000-0000-0000774A0000}"/>
    <cellStyle name="Normal 3 3 2 3 2 5 2" xfId="5899" xr:uid="{00000000-0005-0000-0000-0000784A0000}"/>
    <cellStyle name="Normal 3 3 2 3 2 5 2 2" xfId="29397" xr:uid="{00000000-0005-0000-0000-0000794A0000}"/>
    <cellStyle name="Normal 3 3 2 3 2 5 3" xfId="29396" xr:uid="{00000000-0005-0000-0000-00007A4A0000}"/>
    <cellStyle name="Normal 3 3 2 3 2 6" xfId="5900" xr:uid="{00000000-0005-0000-0000-00007B4A0000}"/>
    <cellStyle name="Normal 3 3 2 3 2 6 2" xfId="29398" xr:uid="{00000000-0005-0000-0000-00007C4A0000}"/>
    <cellStyle name="Normal 3 3 2 3 2 7" xfId="29375" xr:uid="{00000000-0005-0000-0000-00007D4A0000}"/>
    <cellStyle name="Normal 3 3 2 3 3" xfId="5901" xr:uid="{00000000-0005-0000-0000-00007E4A0000}"/>
    <cellStyle name="Normal 3 3 2 3 3 2" xfId="5902" xr:uid="{00000000-0005-0000-0000-00007F4A0000}"/>
    <cellStyle name="Normal 3 3 2 3 3 2 2" xfId="5903" xr:uid="{00000000-0005-0000-0000-0000804A0000}"/>
    <cellStyle name="Normal 3 3 2 3 3 2 2 2" xfId="5904" xr:uid="{00000000-0005-0000-0000-0000814A0000}"/>
    <cellStyle name="Normal 3 3 2 3 3 2 2 2 2" xfId="5905" xr:uid="{00000000-0005-0000-0000-0000824A0000}"/>
    <cellStyle name="Normal 3 3 2 3 3 2 2 2 2 2" xfId="29403" xr:uid="{00000000-0005-0000-0000-0000834A0000}"/>
    <cellStyle name="Normal 3 3 2 3 3 2 2 2 3" xfId="29402" xr:uid="{00000000-0005-0000-0000-0000844A0000}"/>
    <cellStyle name="Normal 3 3 2 3 3 2 2 3" xfId="5906" xr:uid="{00000000-0005-0000-0000-0000854A0000}"/>
    <cellStyle name="Normal 3 3 2 3 3 2 2 3 2" xfId="29404" xr:uid="{00000000-0005-0000-0000-0000864A0000}"/>
    <cellStyle name="Normal 3 3 2 3 3 2 2 4" xfId="29401" xr:uid="{00000000-0005-0000-0000-0000874A0000}"/>
    <cellStyle name="Normal 3 3 2 3 3 2 3" xfId="5907" xr:uid="{00000000-0005-0000-0000-0000884A0000}"/>
    <cellStyle name="Normal 3 3 2 3 3 2 3 2" xfId="5908" xr:uid="{00000000-0005-0000-0000-0000894A0000}"/>
    <cellStyle name="Normal 3 3 2 3 3 2 3 2 2" xfId="29406" xr:uid="{00000000-0005-0000-0000-00008A4A0000}"/>
    <cellStyle name="Normal 3 3 2 3 3 2 3 3" xfId="29405" xr:uid="{00000000-0005-0000-0000-00008B4A0000}"/>
    <cellStyle name="Normal 3 3 2 3 3 2 4" xfId="5909" xr:uid="{00000000-0005-0000-0000-00008C4A0000}"/>
    <cellStyle name="Normal 3 3 2 3 3 2 4 2" xfId="29407" xr:uid="{00000000-0005-0000-0000-00008D4A0000}"/>
    <cellStyle name="Normal 3 3 2 3 3 2 5" xfId="29400" xr:uid="{00000000-0005-0000-0000-00008E4A0000}"/>
    <cellStyle name="Normal 3 3 2 3 3 3" xfId="5910" xr:uid="{00000000-0005-0000-0000-00008F4A0000}"/>
    <cellStyle name="Normal 3 3 2 3 3 3 2" xfId="5911" xr:uid="{00000000-0005-0000-0000-0000904A0000}"/>
    <cellStyle name="Normal 3 3 2 3 3 3 2 2" xfId="5912" xr:uid="{00000000-0005-0000-0000-0000914A0000}"/>
    <cellStyle name="Normal 3 3 2 3 3 3 2 2 2" xfId="5913" xr:uid="{00000000-0005-0000-0000-0000924A0000}"/>
    <cellStyle name="Normal 3 3 2 3 3 3 2 2 2 2" xfId="29411" xr:uid="{00000000-0005-0000-0000-0000934A0000}"/>
    <cellStyle name="Normal 3 3 2 3 3 3 2 2 3" xfId="29410" xr:uid="{00000000-0005-0000-0000-0000944A0000}"/>
    <cellStyle name="Normal 3 3 2 3 3 3 2 3" xfId="5914" xr:uid="{00000000-0005-0000-0000-0000954A0000}"/>
    <cellStyle name="Normal 3 3 2 3 3 3 2 3 2" xfId="29412" xr:uid="{00000000-0005-0000-0000-0000964A0000}"/>
    <cellStyle name="Normal 3 3 2 3 3 3 2 4" xfId="29409" xr:uid="{00000000-0005-0000-0000-0000974A0000}"/>
    <cellStyle name="Normal 3 3 2 3 3 3 3" xfId="5915" xr:uid="{00000000-0005-0000-0000-0000984A0000}"/>
    <cellStyle name="Normal 3 3 2 3 3 3 3 2" xfId="5916" xr:uid="{00000000-0005-0000-0000-0000994A0000}"/>
    <cellStyle name="Normal 3 3 2 3 3 3 3 2 2" xfId="29414" xr:uid="{00000000-0005-0000-0000-00009A4A0000}"/>
    <cellStyle name="Normal 3 3 2 3 3 3 3 3" xfId="29413" xr:uid="{00000000-0005-0000-0000-00009B4A0000}"/>
    <cellStyle name="Normal 3 3 2 3 3 3 4" xfId="5917" xr:uid="{00000000-0005-0000-0000-00009C4A0000}"/>
    <cellStyle name="Normal 3 3 2 3 3 3 4 2" xfId="29415" xr:uid="{00000000-0005-0000-0000-00009D4A0000}"/>
    <cellStyle name="Normal 3 3 2 3 3 3 5" xfId="29408" xr:uid="{00000000-0005-0000-0000-00009E4A0000}"/>
    <cellStyle name="Normal 3 3 2 3 3 4" xfId="5918" xr:uid="{00000000-0005-0000-0000-00009F4A0000}"/>
    <cellStyle name="Normal 3 3 2 3 3 4 2" xfId="5919" xr:uid="{00000000-0005-0000-0000-0000A04A0000}"/>
    <cellStyle name="Normal 3 3 2 3 3 4 2 2" xfId="5920" xr:uid="{00000000-0005-0000-0000-0000A14A0000}"/>
    <cellStyle name="Normal 3 3 2 3 3 4 2 2 2" xfId="29418" xr:uid="{00000000-0005-0000-0000-0000A24A0000}"/>
    <cellStyle name="Normal 3 3 2 3 3 4 2 3" xfId="29417" xr:uid="{00000000-0005-0000-0000-0000A34A0000}"/>
    <cellStyle name="Normal 3 3 2 3 3 4 3" xfId="5921" xr:uid="{00000000-0005-0000-0000-0000A44A0000}"/>
    <cellStyle name="Normal 3 3 2 3 3 4 3 2" xfId="29419" xr:uid="{00000000-0005-0000-0000-0000A54A0000}"/>
    <cellStyle name="Normal 3 3 2 3 3 4 4" xfId="29416" xr:uid="{00000000-0005-0000-0000-0000A64A0000}"/>
    <cellStyle name="Normal 3 3 2 3 3 5" xfId="5922" xr:uid="{00000000-0005-0000-0000-0000A74A0000}"/>
    <cellStyle name="Normal 3 3 2 3 3 5 2" xfId="5923" xr:uid="{00000000-0005-0000-0000-0000A84A0000}"/>
    <cellStyle name="Normal 3 3 2 3 3 5 2 2" xfId="29421" xr:uid="{00000000-0005-0000-0000-0000A94A0000}"/>
    <cellStyle name="Normal 3 3 2 3 3 5 3" xfId="29420" xr:uid="{00000000-0005-0000-0000-0000AA4A0000}"/>
    <cellStyle name="Normal 3 3 2 3 3 6" xfId="5924" xr:uid="{00000000-0005-0000-0000-0000AB4A0000}"/>
    <cellStyle name="Normal 3 3 2 3 3 6 2" xfId="29422" xr:uid="{00000000-0005-0000-0000-0000AC4A0000}"/>
    <cellStyle name="Normal 3 3 2 3 3 7" xfId="29399" xr:uid="{00000000-0005-0000-0000-0000AD4A0000}"/>
    <cellStyle name="Normal 3 3 2 3 4" xfId="5925" xr:uid="{00000000-0005-0000-0000-0000AE4A0000}"/>
    <cellStyle name="Normal 3 3 2 3 4 2" xfId="5926" xr:uid="{00000000-0005-0000-0000-0000AF4A0000}"/>
    <cellStyle name="Normal 3 3 2 3 4 2 2" xfId="5927" xr:uid="{00000000-0005-0000-0000-0000B04A0000}"/>
    <cellStyle name="Normal 3 3 2 3 4 2 2 2" xfId="5928" xr:uid="{00000000-0005-0000-0000-0000B14A0000}"/>
    <cellStyle name="Normal 3 3 2 3 4 2 2 2 2" xfId="5929" xr:uid="{00000000-0005-0000-0000-0000B24A0000}"/>
    <cellStyle name="Normal 3 3 2 3 4 2 2 2 2 2" xfId="29427" xr:uid="{00000000-0005-0000-0000-0000B34A0000}"/>
    <cellStyle name="Normal 3 3 2 3 4 2 2 2 3" xfId="29426" xr:uid="{00000000-0005-0000-0000-0000B44A0000}"/>
    <cellStyle name="Normal 3 3 2 3 4 2 2 3" xfId="5930" xr:uid="{00000000-0005-0000-0000-0000B54A0000}"/>
    <cellStyle name="Normal 3 3 2 3 4 2 2 3 2" xfId="29428" xr:uid="{00000000-0005-0000-0000-0000B64A0000}"/>
    <cellStyle name="Normal 3 3 2 3 4 2 2 4" xfId="29425" xr:uid="{00000000-0005-0000-0000-0000B74A0000}"/>
    <cellStyle name="Normal 3 3 2 3 4 2 3" xfId="5931" xr:uid="{00000000-0005-0000-0000-0000B84A0000}"/>
    <cellStyle name="Normal 3 3 2 3 4 2 3 2" xfId="5932" xr:uid="{00000000-0005-0000-0000-0000B94A0000}"/>
    <cellStyle name="Normal 3 3 2 3 4 2 3 2 2" xfId="29430" xr:uid="{00000000-0005-0000-0000-0000BA4A0000}"/>
    <cellStyle name="Normal 3 3 2 3 4 2 3 3" xfId="29429" xr:uid="{00000000-0005-0000-0000-0000BB4A0000}"/>
    <cellStyle name="Normal 3 3 2 3 4 2 4" xfId="5933" xr:uid="{00000000-0005-0000-0000-0000BC4A0000}"/>
    <cellStyle name="Normal 3 3 2 3 4 2 4 2" xfId="29431" xr:uid="{00000000-0005-0000-0000-0000BD4A0000}"/>
    <cellStyle name="Normal 3 3 2 3 4 2 5" xfId="29424" xr:uid="{00000000-0005-0000-0000-0000BE4A0000}"/>
    <cellStyle name="Normal 3 3 2 3 4 3" xfId="5934" xr:uid="{00000000-0005-0000-0000-0000BF4A0000}"/>
    <cellStyle name="Normal 3 3 2 3 4 3 2" xfId="5935" xr:uid="{00000000-0005-0000-0000-0000C04A0000}"/>
    <cellStyle name="Normal 3 3 2 3 4 3 2 2" xfId="5936" xr:uid="{00000000-0005-0000-0000-0000C14A0000}"/>
    <cellStyle name="Normal 3 3 2 3 4 3 2 2 2" xfId="5937" xr:uid="{00000000-0005-0000-0000-0000C24A0000}"/>
    <cellStyle name="Normal 3 3 2 3 4 3 2 2 2 2" xfId="29435" xr:uid="{00000000-0005-0000-0000-0000C34A0000}"/>
    <cellStyle name="Normal 3 3 2 3 4 3 2 2 3" xfId="29434" xr:uid="{00000000-0005-0000-0000-0000C44A0000}"/>
    <cellStyle name="Normal 3 3 2 3 4 3 2 3" xfId="5938" xr:uid="{00000000-0005-0000-0000-0000C54A0000}"/>
    <cellStyle name="Normal 3 3 2 3 4 3 2 3 2" xfId="29436" xr:uid="{00000000-0005-0000-0000-0000C64A0000}"/>
    <cellStyle name="Normal 3 3 2 3 4 3 2 4" xfId="29433" xr:uid="{00000000-0005-0000-0000-0000C74A0000}"/>
    <cellStyle name="Normal 3 3 2 3 4 3 3" xfId="5939" xr:uid="{00000000-0005-0000-0000-0000C84A0000}"/>
    <cellStyle name="Normal 3 3 2 3 4 3 3 2" xfId="5940" xr:uid="{00000000-0005-0000-0000-0000C94A0000}"/>
    <cellStyle name="Normal 3 3 2 3 4 3 3 2 2" xfId="29438" xr:uid="{00000000-0005-0000-0000-0000CA4A0000}"/>
    <cellStyle name="Normal 3 3 2 3 4 3 3 3" xfId="29437" xr:uid="{00000000-0005-0000-0000-0000CB4A0000}"/>
    <cellStyle name="Normal 3 3 2 3 4 3 4" xfId="5941" xr:uid="{00000000-0005-0000-0000-0000CC4A0000}"/>
    <cellStyle name="Normal 3 3 2 3 4 3 4 2" xfId="29439" xr:uid="{00000000-0005-0000-0000-0000CD4A0000}"/>
    <cellStyle name="Normal 3 3 2 3 4 3 5" xfId="29432" xr:uid="{00000000-0005-0000-0000-0000CE4A0000}"/>
    <cellStyle name="Normal 3 3 2 3 4 4" xfId="5942" xr:uid="{00000000-0005-0000-0000-0000CF4A0000}"/>
    <cellStyle name="Normal 3 3 2 3 4 4 2" xfId="5943" xr:uid="{00000000-0005-0000-0000-0000D04A0000}"/>
    <cellStyle name="Normal 3 3 2 3 4 4 2 2" xfId="5944" xr:uid="{00000000-0005-0000-0000-0000D14A0000}"/>
    <cellStyle name="Normal 3 3 2 3 4 4 2 2 2" xfId="29442" xr:uid="{00000000-0005-0000-0000-0000D24A0000}"/>
    <cellStyle name="Normal 3 3 2 3 4 4 2 3" xfId="29441" xr:uid="{00000000-0005-0000-0000-0000D34A0000}"/>
    <cellStyle name="Normal 3 3 2 3 4 4 3" xfId="5945" xr:uid="{00000000-0005-0000-0000-0000D44A0000}"/>
    <cellStyle name="Normal 3 3 2 3 4 4 3 2" xfId="29443" xr:uid="{00000000-0005-0000-0000-0000D54A0000}"/>
    <cellStyle name="Normal 3 3 2 3 4 4 4" xfId="29440" xr:uid="{00000000-0005-0000-0000-0000D64A0000}"/>
    <cellStyle name="Normal 3 3 2 3 4 5" xfId="5946" xr:uid="{00000000-0005-0000-0000-0000D74A0000}"/>
    <cellStyle name="Normal 3 3 2 3 4 5 2" xfId="5947" xr:uid="{00000000-0005-0000-0000-0000D84A0000}"/>
    <cellStyle name="Normal 3 3 2 3 4 5 2 2" xfId="29445" xr:uid="{00000000-0005-0000-0000-0000D94A0000}"/>
    <cellStyle name="Normal 3 3 2 3 4 5 3" xfId="29444" xr:uid="{00000000-0005-0000-0000-0000DA4A0000}"/>
    <cellStyle name="Normal 3 3 2 3 4 6" xfId="5948" xr:uid="{00000000-0005-0000-0000-0000DB4A0000}"/>
    <cellStyle name="Normal 3 3 2 3 4 6 2" xfId="29446" xr:uid="{00000000-0005-0000-0000-0000DC4A0000}"/>
    <cellStyle name="Normal 3 3 2 3 4 7" xfId="29423" xr:uid="{00000000-0005-0000-0000-0000DD4A0000}"/>
    <cellStyle name="Normal 3 3 2 3 5" xfId="5949" xr:uid="{00000000-0005-0000-0000-0000DE4A0000}"/>
    <cellStyle name="Normal 3 3 2 3 5 2" xfId="5950" xr:uid="{00000000-0005-0000-0000-0000DF4A0000}"/>
    <cellStyle name="Normal 3 3 2 3 5 2 2" xfId="5951" xr:uid="{00000000-0005-0000-0000-0000E04A0000}"/>
    <cellStyle name="Normal 3 3 2 3 5 2 2 2" xfId="5952" xr:uid="{00000000-0005-0000-0000-0000E14A0000}"/>
    <cellStyle name="Normal 3 3 2 3 5 2 2 2 2" xfId="29450" xr:uid="{00000000-0005-0000-0000-0000E24A0000}"/>
    <cellStyle name="Normal 3 3 2 3 5 2 2 3" xfId="29449" xr:uid="{00000000-0005-0000-0000-0000E34A0000}"/>
    <cellStyle name="Normal 3 3 2 3 5 2 3" xfId="5953" xr:uid="{00000000-0005-0000-0000-0000E44A0000}"/>
    <cellStyle name="Normal 3 3 2 3 5 2 3 2" xfId="29451" xr:uid="{00000000-0005-0000-0000-0000E54A0000}"/>
    <cellStyle name="Normal 3 3 2 3 5 2 4" xfId="29448" xr:uid="{00000000-0005-0000-0000-0000E64A0000}"/>
    <cellStyle name="Normal 3 3 2 3 5 3" xfId="5954" xr:uid="{00000000-0005-0000-0000-0000E74A0000}"/>
    <cellStyle name="Normal 3 3 2 3 5 3 2" xfId="5955" xr:uid="{00000000-0005-0000-0000-0000E84A0000}"/>
    <cellStyle name="Normal 3 3 2 3 5 3 2 2" xfId="29453" xr:uid="{00000000-0005-0000-0000-0000E94A0000}"/>
    <cellStyle name="Normal 3 3 2 3 5 3 3" xfId="29452" xr:uid="{00000000-0005-0000-0000-0000EA4A0000}"/>
    <cellStyle name="Normal 3 3 2 3 5 4" xfId="5956" xr:uid="{00000000-0005-0000-0000-0000EB4A0000}"/>
    <cellStyle name="Normal 3 3 2 3 5 4 2" xfId="29454" xr:uid="{00000000-0005-0000-0000-0000EC4A0000}"/>
    <cellStyle name="Normal 3 3 2 3 5 5" xfId="29447" xr:uid="{00000000-0005-0000-0000-0000ED4A0000}"/>
    <cellStyle name="Normal 3 3 2 3 6" xfId="5957" xr:uid="{00000000-0005-0000-0000-0000EE4A0000}"/>
    <cellStyle name="Normal 3 3 2 3 6 2" xfId="5958" xr:uid="{00000000-0005-0000-0000-0000EF4A0000}"/>
    <cellStyle name="Normal 3 3 2 3 6 2 2" xfId="5959" xr:uid="{00000000-0005-0000-0000-0000F04A0000}"/>
    <cellStyle name="Normal 3 3 2 3 6 2 2 2" xfId="5960" xr:uid="{00000000-0005-0000-0000-0000F14A0000}"/>
    <cellStyle name="Normal 3 3 2 3 6 2 2 2 2" xfId="29458" xr:uid="{00000000-0005-0000-0000-0000F24A0000}"/>
    <cellStyle name="Normal 3 3 2 3 6 2 2 3" xfId="29457" xr:uid="{00000000-0005-0000-0000-0000F34A0000}"/>
    <cellStyle name="Normal 3 3 2 3 6 2 3" xfId="5961" xr:uid="{00000000-0005-0000-0000-0000F44A0000}"/>
    <cellStyle name="Normal 3 3 2 3 6 2 3 2" xfId="29459" xr:uid="{00000000-0005-0000-0000-0000F54A0000}"/>
    <cellStyle name="Normal 3 3 2 3 6 2 4" xfId="29456" xr:uid="{00000000-0005-0000-0000-0000F64A0000}"/>
    <cellStyle name="Normal 3 3 2 3 6 3" xfId="5962" xr:uid="{00000000-0005-0000-0000-0000F74A0000}"/>
    <cellStyle name="Normal 3 3 2 3 6 3 2" xfId="5963" xr:uid="{00000000-0005-0000-0000-0000F84A0000}"/>
    <cellStyle name="Normal 3 3 2 3 6 3 2 2" xfId="29461" xr:uid="{00000000-0005-0000-0000-0000F94A0000}"/>
    <cellStyle name="Normal 3 3 2 3 6 3 3" xfId="29460" xr:uid="{00000000-0005-0000-0000-0000FA4A0000}"/>
    <cellStyle name="Normal 3 3 2 3 6 4" xfId="5964" xr:uid="{00000000-0005-0000-0000-0000FB4A0000}"/>
    <cellStyle name="Normal 3 3 2 3 6 4 2" xfId="29462" xr:uid="{00000000-0005-0000-0000-0000FC4A0000}"/>
    <cellStyle name="Normal 3 3 2 3 6 5" xfId="29455" xr:uid="{00000000-0005-0000-0000-0000FD4A0000}"/>
    <cellStyle name="Normal 3 3 2 3 7" xfId="5965" xr:uid="{00000000-0005-0000-0000-0000FE4A0000}"/>
    <cellStyle name="Normal 3 3 2 3 7 2" xfId="5966" xr:uid="{00000000-0005-0000-0000-0000FF4A0000}"/>
    <cellStyle name="Normal 3 3 2 3 7 2 2" xfId="5967" xr:uid="{00000000-0005-0000-0000-0000004B0000}"/>
    <cellStyle name="Normal 3 3 2 3 7 2 2 2" xfId="29465" xr:uid="{00000000-0005-0000-0000-0000014B0000}"/>
    <cellStyle name="Normal 3 3 2 3 7 2 3" xfId="29464" xr:uid="{00000000-0005-0000-0000-0000024B0000}"/>
    <cellStyle name="Normal 3 3 2 3 7 3" xfId="5968" xr:uid="{00000000-0005-0000-0000-0000034B0000}"/>
    <cellStyle name="Normal 3 3 2 3 7 3 2" xfId="29466" xr:uid="{00000000-0005-0000-0000-0000044B0000}"/>
    <cellStyle name="Normal 3 3 2 3 7 4" xfId="29463" xr:uid="{00000000-0005-0000-0000-0000054B0000}"/>
    <cellStyle name="Normal 3 3 2 3 8" xfId="5969" xr:uid="{00000000-0005-0000-0000-0000064B0000}"/>
    <cellStyle name="Normal 3 3 2 3 8 2" xfId="5970" xr:uid="{00000000-0005-0000-0000-0000074B0000}"/>
    <cellStyle name="Normal 3 3 2 3 8 2 2" xfId="29468" xr:uid="{00000000-0005-0000-0000-0000084B0000}"/>
    <cellStyle name="Normal 3 3 2 3 8 3" xfId="29467" xr:uid="{00000000-0005-0000-0000-0000094B0000}"/>
    <cellStyle name="Normal 3 3 2 3 9" xfId="5971" xr:uid="{00000000-0005-0000-0000-00000A4B0000}"/>
    <cellStyle name="Normal 3 3 2 3 9 2" xfId="29469" xr:uid="{00000000-0005-0000-0000-00000B4B0000}"/>
    <cellStyle name="Normal 3 3 2 4" xfId="5972" xr:uid="{00000000-0005-0000-0000-00000C4B0000}"/>
    <cellStyle name="Normal 3 3 2 4 10" xfId="29470" xr:uid="{00000000-0005-0000-0000-00000D4B0000}"/>
    <cellStyle name="Normal 3 3 2 4 2" xfId="5973" xr:uid="{00000000-0005-0000-0000-00000E4B0000}"/>
    <cellStyle name="Normal 3 3 2 4 2 2" xfId="5974" xr:uid="{00000000-0005-0000-0000-00000F4B0000}"/>
    <cellStyle name="Normal 3 3 2 4 2 2 2" xfId="5975" xr:uid="{00000000-0005-0000-0000-0000104B0000}"/>
    <cellStyle name="Normal 3 3 2 4 2 2 2 2" xfId="5976" xr:uid="{00000000-0005-0000-0000-0000114B0000}"/>
    <cellStyle name="Normal 3 3 2 4 2 2 2 2 2" xfId="5977" xr:uid="{00000000-0005-0000-0000-0000124B0000}"/>
    <cellStyle name="Normal 3 3 2 4 2 2 2 2 2 2" xfId="29475" xr:uid="{00000000-0005-0000-0000-0000134B0000}"/>
    <cellStyle name="Normal 3 3 2 4 2 2 2 2 3" xfId="29474" xr:uid="{00000000-0005-0000-0000-0000144B0000}"/>
    <cellStyle name="Normal 3 3 2 4 2 2 2 3" xfId="5978" xr:uid="{00000000-0005-0000-0000-0000154B0000}"/>
    <cellStyle name="Normal 3 3 2 4 2 2 2 3 2" xfId="29476" xr:uid="{00000000-0005-0000-0000-0000164B0000}"/>
    <cellStyle name="Normal 3 3 2 4 2 2 2 4" xfId="29473" xr:uid="{00000000-0005-0000-0000-0000174B0000}"/>
    <cellStyle name="Normal 3 3 2 4 2 2 3" xfId="5979" xr:uid="{00000000-0005-0000-0000-0000184B0000}"/>
    <cellStyle name="Normal 3 3 2 4 2 2 3 2" xfId="5980" xr:uid="{00000000-0005-0000-0000-0000194B0000}"/>
    <cellStyle name="Normal 3 3 2 4 2 2 3 2 2" xfId="29478" xr:uid="{00000000-0005-0000-0000-00001A4B0000}"/>
    <cellStyle name="Normal 3 3 2 4 2 2 3 3" xfId="29477" xr:uid="{00000000-0005-0000-0000-00001B4B0000}"/>
    <cellStyle name="Normal 3 3 2 4 2 2 4" xfId="5981" xr:uid="{00000000-0005-0000-0000-00001C4B0000}"/>
    <cellStyle name="Normal 3 3 2 4 2 2 4 2" xfId="29479" xr:uid="{00000000-0005-0000-0000-00001D4B0000}"/>
    <cellStyle name="Normal 3 3 2 4 2 2 5" xfId="29472" xr:uid="{00000000-0005-0000-0000-00001E4B0000}"/>
    <cellStyle name="Normal 3 3 2 4 2 3" xfId="5982" xr:uid="{00000000-0005-0000-0000-00001F4B0000}"/>
    <cellStyle name="Normal 3 3 2 4 2 3 2" xfId="5983" xr:uid="{00000000-0005-0000-0000-0000204B0000}"/>
    <cellStyle name="Normal 3 3 2 4 2 3 2 2" xfId="5984" xr:uid="{00000000-0005-0000-0000-0000214B0000}"/>
    <cellStyle name="Normal 3 3 2 4 2 3 2 2 2" xfId="5985" xr:uid="{00000000-0005-0000-0000-0000224B0000}"/>
    <cellStyle name="Normal 3 3 2 4 2 3 2 2 2 2" xfId="29483" xr:uid="{00000000-0005-0000-0000-0000234B0000}"/>
    <cellStyle name="Normal 3 3 2 4 2 3 2 2 3" xfId="29482" xr:uid="{00000000-0005-0000-0000-0000244B0000}"/>
    <cellStyle name="Normal 3 3 2 4 2 3 2 3" xfId="5986" xr:uid="{00000000-0005-0000-0000-0000254B0000}"/>
    <cellStyle name="Normal 3 3 2 4 2 3 2 3 2" xfId="29484" xr:uid="{00000000-0005-0000-0000-0000264B0000}"/>
    <cellStyle name="Normal 3 3 2 4 2 3 2 4" xfId="29481" xr:uid="{00000000-0005-0000-0000-0000274B0000}"/>
    <cellStyle name="Normal 3 3 2 4 2 3 3" xfId="5987" xr:uid="{00000000-0005-0000-0000-0000284B0000}"/>
    <cellStyle name="Normal 3 3 2 4 2 3 3 2" xfId="5988" xr:uid="{00000000-0005-0000-0000-0000294B0000}"/>
    <cellStyle name="Normal 3 3 2 4 2 3 3 2 2" xfId="29486" xr:uid="{00000000-0005-0000-0000-00002A4B0000}"/>
    <cellStyle name="Normal 3 3 2 4 2 3 3 3" xfId="29485" xr:uid="{00000000-0005-0000-0000-00002B4B0000}"/>
    <cellStyle name="Normal 3 3 2 4 2 3 4" xfId="5989" xr:uid="{00000000-0005-0000-0000-00002C4B0000}"/>
    <cellStyle name="Normal 3 3 2 4 2 3 4 2" xfId="29487" xr:uid="{00000000-0005-0000-0000-00002D4B0000}"/>
    <cellStyle name="Normal 3 3 2 4 2 3 5" xfId="29480" xr:uid="{00000000-0005-0000-0000-00002E4B0000}"/>
    <cellStyle name="Normal 3 3 2 4 2 4" xfId="5990" xr:uid="{00000000-0005-0000-0000-00002F4B0000}"/>
    <cellStyle name="Normal 3 3 2 4 2 4 2" xfId="5991" xr:uid="{00000000-0005-0000-0000-0000304B0000}"/>
    <cellStyle name="Normal 3 3 2 4 2 4 2 2" xfId="5992" xr:uid="{00000000-0005-0000-0000-0000314B0000}"/>
    <cellStyle name="Normal 3 3 2 4 2 4 2 2 2" xfId="29490" xr:uid="{00000000-0005-0000-0000-0000324B0000}"/>
    <cellStyle name="Normal 3 3 2 4 2 4 2 3" xfId="29489" xr:uid="{00000000-0005-0000-0000-0000334B0000}"/>
    <cellStyle name="Normal 3 3 2 4 2 4 3" xfId="5993" xr:uid="{00000000-0005-0000-0000-0000344B0000}"/>
    <cellStyle name="Normal 3 3 2 4 2 4 3 2" xfId="29491" xr:uid="{00000000-0005-0000-0000-0000354B0000}"/>
    <cellStyle name="Normal 3 3 2 4 2 4 4" xfId="29488" xr:uid="{00000000-0005-0000-0000-0000364B0000}"/>
    <cellStyle name="Normal 3 3 2 4 2 5" xfId="5994" xr:uid="{00000000-0005-0000-0000-0000374B0000}"/>
    <cellStyle name="Normal 3 3 2 4 2 5 2" xfId="5995" xr:uid="{00000000-0005-0000-0000-0000384B0000}"/>
    <cellStyle name="Normal 3 3 2 4 2 5 2 2" xfId="29493" xr:uid="{00000000-0005-0000-0000-0000394B0000}"/>
    <cellStyle name="Normal 3 3 2 4 2 5 3" xfId="29492" xr:uid="{00000000-0005-0000-0000-00003A4B0000}"/>
    <cellStyle name="Normal 3 3 2 4 2 6" xfId="5996" xr:uid="{00000000-0005-0000-0000-00003B4B0000}"/>
    <cellStyle name="Normal 3 3 2 4 2 6 2" xfId="29494" xr:uid="{00000000-0005-0000-0000-00003C4B0000}"/>
    <cellStyle name="Normal 3 3 2 4 2 7" xfId="29471" xr:uid="{00000000-0005-0000-0000-00003D4B0000}"/>
    <cellStyle name="Normal 3 3 2 4 3" xfId="5997" xr:uid="{00000000-0005-0000-0000-00003E4B0000}"/>
    <cellStyle name="Normal 3 3 2 4 3 2" xfId="5998" xr:uid="{00000000-0005-0000-0000-00003F4B0000}"/>
    <cellStyle name="Normal 3 3 2 4 3 2 2" xfId="5999" xr:uid="{00000000-0005-0000-0000-0000404B0000}"/>
    <cellStyle name="Normal 3 3 2 4 3 2 2 2" xfId="6000" xr:uid="{00000000-0005-0000-0000-0000414B0000}"/>
    <cellStyle name="Normal 3 3 2 4 3 2 2 2 2" xfId="6001" xr:uid="{00000000-0005-0000-0000-0000424B0000}"/>
    <cellStyle name="Normal 3 3 2 4 3 2 2 2 2 2" xfId="29499" xr:uid="{00000000-0005-0000-0000-0000434B0000}"/>
    <cellStyle name="Normal 3 3 2 4 3 2 2 2 3" xfId="29498" xr:uid="{00000000-0005-0000-0000-0000444B0000}"/>
    <cellStyle name="Normal 3 3 2 4 3 2 2 3" xfId="6002" xr:uid="{00000000-0005-0000-0000-0000454B0000}"/>
    <cellStyle name="Normal 3 3 2 4 3 2 2 3 2" xfId="29500" xr:uid="{00000000-0005-0000-0000-0000464B0000}"/>
    <cellStyle name="Normal 3 3 2 4 3 2 2 4" xfId="29497" xr:uid="{00000000-0005-0000-0000-0000474B0000}"/>
    <cellStyle name="Normal 3 3 2 4 3 2 3" xfId="6003" xr:uid="{00000000-0005-0000-0000-0000484B0000}"/>
    <cellStyle name="Normal 3 3 2 4 3 2 3 2" xfId="6004" xr:uid="{00000000-0005-0000-0000-0000494B0000}"/>
    <cellStyle name="Normal 3 3 2 4 3 2 3 2 2" xfId="29502" xr:uid="{00000000-0005-0000-0000-00004A4B0000}"/>
    <cellStyle name="Normal 3 3 2 4 3 2 3 3" xfId="29501" xr:uid="{00000000-0005-0000-0000-00004B4B0000}"/>
    <cellStyle name="Normal 3 3 2 4 3 2 4" xfId="6005" xr:uid="{00000000-0005-0000-0000-00004C4B0000}"/>
    <cellStyle name="Normal 3 3 2 4 3 2 4 2" xfId="29503" xr:uid="{00000000-0005-0000-0000-00004D4B0000}"/>
    <cellStyle name="Normal 3 3 2 4 3 2 5" xfId="29496" xr:uid="{00000000-0005-0000-0000-00004E4B0000}"/>
    <cellStyle name="Normal 3 3 2 4 3 3" xfId="6006" xr:uid="{00000000-0005-0000-0000-00004F4B0000}"/>
    <cellStyle name="Normal 3 3 2 4 3 3 2" xfId="6007" xr:uid="{00000000-0005-0000-0000-0000504B0000}"/>
    <cellStyle name="Normal 3 3 2 4 3 3 2 2" xfId="6008" xr:uid="{00000000-0005-0000-0000-0000514B0000}"/>
    <cellStyle name="Normal 3 3 2 4 3 3 2 2 2" xfId="6009" xr:uid="{00000000-0005-0000-0000-0000524B0000}"/>
    <cellStyle name="Normal 3 3 2 4 3 3 2 2 2 2" xfId="29507" xr:uid="{00000000-0005-0000-0000-0000534B0000}"/>
    <cellStyle name="Normal 3 3 2 4 3 3 2 2 3" xfId="29506" xr:uid="{00000000-0005-0000-0000-0000544B0000}"/>
    <cellStyle name="Normal 3 3 2 4 3 3 2 3" xfId="6010" xr:uid="{00000000-0005-0000-0000-0000554B0000}"/>
    <cellStyle name="Normal 3 3 2 4 3 3 2 3 2" xfId="29508" xr:uid="{00000000-0005-0000-0000-0000564B0000}"/>
    <cellStyle name="Normal 3 3 2 4 3 3 2 4" xfId="29505" xr:uid="{00000000-0005-0000-0000-0000574B0000}"/>
    <cellStyle name="Normal 3 3 2 4 3 3 3" xfId="6011" xr:uid="{00000000-0005-0000-0000-0000584B0000}"/>
    <cellStyle name="Normal 3 3 2 4 3 3 3 2" xfId="6012" xr:uid="{00000000-0005-0000-0000-0000594B0000}"/>
    <cellStyle name="Normal 3 3 2 4 3 3 3 2 2" xfId="29510" xr:uid="{00000000-0005-0000-0000-00005A4B0000}"/>
    <cellStyle name="Normal 3 3 2 4 3 3 3 3" xfId="29509" xr:uid="{00000000-0005-0000-0000-00005B4B0000}"/>
    <cellStyle name="Normal 3 3 2 4 3 3 4" xfId="6013" xr:uid="{00000000-0005-0000-0000-00005C4B0000}"/>
    <cellStyle name="Normal 3 3 2 4 3 3 4 2" xfId="29511" xr:uid="{00000000-0005-0000-0000-00005D4B0000}"/>
    <cellStyle name="Normal 3 3 2 4 3 3 5" xfId="29504" xr:uid="{00000000-0005-0000-0000-00005E4B0000}"/>
    <cellStyle name="Normal 3 3 2 4 3 4" xfId="6014" xr:uid="{00000000-0005-0000-0000-00005F4B0000}"/>
    <cellStyle name="Normal 3 3 2 4 3 4 2" xfId="6015" xr:uid="{00000000-0005-0000-0000-0000604B0000}"/>
    <cellStyle name="Normal 3 3 2 4 3 4 2 2" xfId="6016" xr:uid="{00000000-0005-0000-0000-0000614B0000}"/>
    <cellStyle name="Normal 3 3 2 4 3 4 2 2 2" xfId="29514" xr:uid="{00000000-0005-0000-0000-0000624B0000}"/>
    <cellStyle name="Normal 3 3 2 4 3 4 2 3" xfId="29513" xr:uid="{00000000-0005-0000-0000-0000634B0000}"/>
    <cellStyle name="Normal 3 3 2 4 3 4 3" xfId="6017" xr:uid="{00000000-0005-0000-0000-0000644B0000}"/>
    <cellStyle name="Normal 3 3 2 4 3 4 3 2" xfId="29515" xr:uid="{00000000-0005-0000-0000-0000654B0000}"/>
    <cellStyle name="Normal 3 3 2 4 3 4 4" xfId="29512" xr:uid="{00000000-0005-0000-0000-0000664B0000}"/>
    <cellStyle name="Normal 3 3 2 4 3 5" xfId="6018" xr:uid="{00000000-0005-0000-0000-0000674B0000}"/>
    <cellStyle name="Normal 3 3 2 4 3 5 2" xfId="6019" xr:uid="{00000000-0005-0000-0000-0000684B0000}"/>
    <cellStyle name="Normal 3 3 2 4 3 5 2 2" xfId="29517" xr:uid="{00000000-0005-0000-0000-0000694B0000}"/>
    <cellStyle name="Normal 3 3 2 4 3 5 3" xfId="29516" xr:uid="{00000000-0005-0000-0000-00006A4B0000}"/>
    <cellStyle name="Normal 3 3 2 4 3 6" xfId="6020" xr:uid="{00000000-0005-0000-0000-00006B4B0000}"/>
    <cellStyle name="Normal 3 3 2 4 3 6 2" xfId="29518" xr:uid="{00000000-0005-0000-0000-00006C4B0000}"/>
    <cellStyle name="Normal 3 3 2 4 3 7" xfId="29495" xr:uid="{00000000-0005-0000-0000-00006D4B0000}"/>
    <cellStyle name="Normal 3 3 2 4 4" xfId="6021" xr:uid="{00000000-0005-0000-0000-00006E4B0000}"/>
    <cellStyle name="Normal 3 3 2 4 4 2" xfId="6022" xr:uid="{00000000-0005-0000-0000-00006F4B0000}"/>
    <cellStyle name="Normal 3 3 2 4 4 2 2" xfId="6023" xr:uid="{00000000-0005-0000-0000-0000704B0000}"/>
    <cellStyle name="Normal 3 3 2 4 4 2 2 2" xfId="6024" xr:uid="{00000000-0005-0000-0000-0000714B0000}"/>
    <cellStyle name="Normal 3 3 2 4 4 2 2 2 2" xfId="6025" xr:uid="{00000000-0005-0000-0000-0000724B0000}"/>
    <cellStyle name="Normal 3 3 2 4 4 2 2 2 2 2" xfId="29523" xr:uid="{00000000-0005-0000-0000-0000734B0000}"/>
    <cellStyle name="Normal 3 3 2 4 4 2 2 2 3" xfId="29522" xr:uid="{00000000-0005-0000-0000-0000744B0000}"/>
    <cellStyle name="Normal 3 3 2 4 4 2 2 3" xfId="6026" xr:uid="{00000000-0005-0000-0000-0000754B0000}"/>
    <cellStyle name="Normal 3 3 2 4 4 2 2 3 2" xfId="29524" xr:uid="{00000000-0005-0000-0000-0000764B0000}"/>
    <cellStyle name="Normal 3 3 2 4 4 2 2 4" xfId="29521" xr:uid="{00000000-0005-0000-0000-0000774B0000}"/>
    <cellStyle name="Normal 3 3 2 4 4 2 3" xfId="6027" xr:uid="{00000000-0005-0000-0000-0000784B0000}"/>
    <cellStyle name="Normal 3 3 2 4 4 2 3 2" xfId="6028" xr:uid="{00000000-0005-0000-0000-0000794B0000}"/>
    <cellStyle name="Normal 3 3 2 4 4 2 3 2 2" xfId="29526" xr:uid="{00000000-0005-0000-0000-00007A4B0000}"/>
    <cellStyle name="Normal 3 3 2 4 4 2 3 3" xfId="29525" xr:uid="{00000000-0005-0000-0000-00007B4B0000}"/>
    <cellStyle name="Normal 3 3 2 4 4 2 4" xfId="6029" xr:uid="{00000000-0005-0000-0000-00007C4B0000}"/>
    <cellStyle name="Normal 3 3 2 4 4 2 4 2" xfId="29527" xr:uid="{00000000-0005-0000-0000-00007D4B0000}"/>
    <cellStyle name="Normal 3 3 2 4 4 2 5" xfId="29520" xr:uid="{00000000-0005-0000-0000-00007E4B0000}"/>
    <cellStyle name="Normal 3 3 2 4 4 3" xfId="6030" xr:uid="{00000000-0005-0000-0000-00007F4B0000}"/>
    <cellStyle name="Normal 3 3 2 4 4 3 2" xfId="6031" xr:uid="{00000000-0005-0000-0000-0000804B0000}"/>
    <cellStyle name="Normal 3 3 2 4 4 3 2 2" xfId="6032" xr:uid="{00000000-0005-0000-0000-0000814B0000}"/>
    <cellStyle name="Normal 3 3 2 4 4 3 2 2 2" xfId="6033" xr:uid="{00000000-0005-0000-0000-0000824B0000}"/>
    <cellStyle name="Normal 3 3 2 4 4 3 2 2 2 2" xfId="29531" xr:uid="{00000000-0005-0000-0000-0000834B0000}"/>
    <cellStyle name="Normal 3 3 2 4 4 3 2 2 3" xfId="29530" xr:uid="{00000000-0005-0000-0000-0000844B0000}"/>
    <cellStyle name="Normal 3 3 2 4 4 3 2 3" xfId="6034" xr:uid="{00000000-0005-0000-0000-0000854B0000}"/>
    <cellStyle name="Normal 3 3 2 4 4 3 2 3 2" xfId="29532" xr:uid="{00000000-0005-0000-0000-0000864B0000}"/>
    <cellStyle name="Normal 3 3 2 4 4 3 2 4" xfId="29529" xr:uid="{00000000-0005-0000-0000-0000874B0000}"/>
    <cellStyle name="Normal 3 3 2 4 4 3 3" xfId="6035" xr:uid="{00000000-0005-0000-0000-0000884B0000}"/>
    <cellStyle name="Normal 3 3 2 4 4 3 3 2" xfId="6036" xr:uid="{00000000-0005-0000-0000-0000894B0000}"/>
    <cellStyle name="Normal 3 3 2 4 4 3 3 2 2" xfId="29534" xr:uid="{00000000-0005-0000-0000-00008A4B0000}"/>
    <cellStyle name="Normal 3 3 2 4 4 3 3 3" xfId="29533" xr:uid="{00000000-0005-0000-0000-00008B4B0000}"/>
    <cellStyle name="Normal 3 3 2 4 4 3 4" xfId="6037" xr:uid="{00000000-0005-0000-0000-00008C4B0000}"/>
    <cellStyle name="Normal 3 3 2 4 4 3 4 2" xfId="29535" xr:uid="{00000000-0005-0000-0000-00008D4B0000}"/>
    <cellStyle name="Normal 3 3 2 4 4 3 5" xfId="29528" xr:uid="{00000000-0005-0000-0000-00008E4B0000}"/>
    <cellStyle name="Normal 3 3 2 4 4 4" xfId="6038" xr:uid="{00000000-0005-0000-0000-00008F4B0000}"/>
    <cellStyle name="Normal 3 3 2 4 4 4 2" xfId="6039" xr:uid="{00000000-0005-0000-0000-0000904B0000}"/>
    <cellStyle name="Normal 3 3 2 4 4 4 2 2" xfId="6040" xr:uid="{00000000-0005-0000-0000-0000914B0000}"/>
    <cellStyle name="Normal 3 3 2 4 4 4 2 2 2" xfId="29538" xr:uid="{00000000-0005-0000-0000-0000924B0000}"/>
    <cellStyle name="Normal 3 3 2 4 4 4 2 3" xfId="29537" xr:uid="{00000000-0005-0000-0000-0000934B0000}"/>
    <cellStyle name="Normal 3 3 2 4 4 4 3" xfId="6041" xr:uid="{00000000-0005-0000-0000-0000944B0000}"/>
    <cellStyle name="Normal 3 3 2 4 4 4 3 2" xfId="29539" xr:uid="{00000000-0005-0000-0000-0000954B0000}"/>
    <cellStyle name="Normal 3 3 2 4 4 4 4" xfId="29536" xr:uid="{00000000-0005-0000-0000-0000964B0000}"/>
    <cellStyle name="Normal 3 3 2 4 4 5" xfId="6042" xr:uid="{00000000-0005-0000-0000-0000974B0000}"/>
    <cellStyle name="Normal 3 3 2 4 4 5 2" xfId="6043" xr:uid="{00000000-0005-0000-0000-0000984B0000}"/>
    <cellStyle name="Normal 3 3 2 4 4 5 2 2" xfId="29541" xr:uid="{00000000-0005-0000-0000-0000994B0000}"/>
    <cellStyle name="Normal 3 3 2 4 4 5 3" xfId="29540" xr:uid="{00000000-0005-0000-0000-00009A4B0000}"/>
    <cellStyle name="Normal 3 3 2 4 4 6" xfId="6044" xr:uid="{00000000-0005-0000-0000-00009B4B0000}"/>
    <cellStyle name="Normal 3 3 2 4 4 6 2" xfId="29542" xr:uid="{00000000-0005-0000-0000-00009C4B0000}"/>
    <cellStyle name="Normal 3 3 2 4 4 7" xfId="29519" xr:uid="{00000000-0005-0000-0000-00009D4B0000}"/>
    <cellStyle name="Normal 3 3 2 4 5" xfId="6045" xr:uid="{00000000-0005-0000-0000-00009E4B0000}"/>
    <cellStyle name="Normal 3 3 2 4 5 2" xfId="6046" xr:uid="{00000000-0005-0000-0000-00009F4B0000}"/>
    <cellStyle name="Normal 3 3 2 4 5 2 2" xfId="6047" xr:uid="{00000000-0005-0000-0000-0000A04B0000}"/>
    <cellStyle name="Normal 3 3 2 4 5 2 2 2" xfId="6048" xr:uid="{00000000-0005-0000-0000-0000A14B0000}"/>
    <cellStyle name="Normal 3 3 2 4 5 2 2 2 2" xfId="29546" xr:uid="{00000000-0005-0000-0000-0000A24B0000}"/>
    <cellStyle name="Normal 3 3 2 4 5 2 2 3" xfId="29545" xr:uid="{00000000-0005-0000-0000-0000A34B0000}"/>
    <cellStyle name="Normal 3 3 2 4 5 2 3" xfId="6049" xr:uid="{00000000-0005-0000-0000-0000A44B0000}"/>
    <cellStyle name="Normal 3 3 2 4 5 2 3 2" xfId="29547" xr:uid="{00000000-0005-0000-0000-0000A54B0000}"/>
    <cellStyle name="Normal 3 3 2 4 5 2 4" xfId="29544" xr:uid="{00000000-0005-0000-0000-0000A64B0000}"/>
    <cellStyle name="Normal 3 3 2 4 5 3" xfId="6050" xr:uid="{00000000-0005-0000-0000-0000A74B0000}"/>
    <cellStyle name="Normal 3 3 2 4 5 3 2" xfId="6051" xr:uid="{00000000-0005-0000-0000-0000A84B0000}"/>
    <cellStyle name="Normal 3 3 2 4 5 3 2 2" xfId="29549" xr:uid="{00000000-0005-0000-0000-0000A94B0000}"/>
    <cellStyle name="Normal 3 3 2 4 5 3 3" xfId="29548" xr:uid="{00000000-0005-0000-0000-0000AA4B0000}"/>
    <cellStyle name="Normal 3 3 2 4 5 4" xfId="6052" xr:uid="{00000000-0005-0000-0000-0000AB4B0000}"/>
    <cellStyle name="Normal 3 3 2 4 5 4 2" xfId="29550" xr:uid="{00000000-0005-0000-0000-0000AC4B0000}"/>
    <cellStyle name="Normal 3 3 2 4 5 5" xfId="29543" xr:uid="{00000000-0005-0000-0000-0000AD4B0000}"/>
    <cellStyle name="Normal 3 3 2 4 6" xfId="6053" xr:uid="{00000000-0005-0000-0000-0000AE4B0000}"/>
    <cellStyle name="Normal 3 3 2 4 6 2" xfId="6054" xr:uid="{00000000-0005-0000-0000-0000AF4B0000}"/>
    <cellStyle name="Normal 3 3 2 4 6 2 2" xfId="6055" xr:uid="{00000000-0005-0000-0000-0000B04B0000}"/>
    <cellStyle name="Normal 3 3 2 4 6 2 2 2" xfId="6056" xr:uid="{00000000-0005-0000-0000-0000B14B0000}"/>
    <cellStyle name="Normal 3 3 2 4 6 2 2 2 2" xfId="29554" xr:uid="{00000000-0005-0000-0000-0000B24B0000}"/>
    <cellStyle name="Normal 3 3 2 4 6 2 2 3" xfId="29553" xr:uid="{00000000-0005-0000-0000-0000B34B0000}"/>
    <cellStyle name="Normal 3 3 2 4 6 2 3" xfId="6057" xr:uid="{00000000-0005-0000-0000-0000B44B0000}"/>
    <cellStyle name="Normal 3 3 2 4 6 2 3 2" xfId="29555" xr:uid="{00000000-0005-0000-0000-0000B54B0000}"/>
    <cellStyle name="Normal 3 3 2 4 6 2 4" xfId="29552" xr:uid="{00000000-0005-0000-0000-0000B64B0000}"/>
    <cellStyle name="Normal 3 3 2 4 6 3" xfId="6058" xr:uid="{00000000-0005-0000-0000-0000B74B0000}"/>
    <cellStyle name="Normal 3 3 2 4 6 3 2" xfId="6059" xr:uid="{00000000-0005-0000-0000-0000B84B0000}"/>
    <cellStyle name="Normal 3 3 2 4 6 3 2 2" xfId="29557" xr:uid="{00000000-0005-0000-0000-0000B94B0000}"/>
    <cellStyle name="Normal 3 3 2 4 6 3 3" xfId="29556" xr:uid="{00000000-0005-0000-0000-0000BA4B0000}"/>
    <cellStyle name="Normal 3 3 2 4 6 4" xfId="6060" xr:uid="{00000000-0005-0000-0000-0000BB4B0000}"/>
    <cellStyle name="Normal 3 3 2 4 6 4 2" xfId="29558" xr:uid="{00000000-0005-0000-0000-0000BC4B0000}"/>
    <cellStyle name="Normal 3 3 2 4 6 5" xfId="29551" xr:uid="{00000000-0005-0000-0000-0000BD4B0000}"/>
    <cellStyle name="Normal 3 3 2 4 7" xfId="6061" xr:uid="{00000000-0005-0000-0000-0000BE4B0000}"/>
    <cellStyle name="Normal 3 3 2 4 7 2" xfId="6062" xr:uid="{00000000-0005-0000-0000-0000BF4B0000}"/>
    <cellStyle name="Normal 3 3 2 4 7 2 2" xfId="6063" xr:uid="{00000000-0005-0000-0000-0000C04B0000}"/>
    <cellStyle name="Normal 3 3 2 4 7 2 2 2" xfId="29561" xr:uid="{00000000-0005-0000-0000-0000C14B0000}"/>
    <cellStyle name="Normal 3 3 2 4 7 2 3" xfId="29560" xr:uid="{00000000-0005-0000-0000-0000C24B0000}"/>
    <cellStyle name="Normal 3 3 2 4 7 3" xfId="6064" xr:uid="{00000000-0005-0000-0000-0000C34B0000}"/>
    <cellStyle name="Normal 3 3 2 4 7 3 2" xfId="29562" xr:uid="{00000000-0005-0000-0000-0000C44B0000}"/>
    <cellStyle name="Normal 3 3 2 4 7 4" xfId="29559" xr:uid="{00000000-0005-0000-0000-0000C54B0000}"/>
    <cellStyle name="Normal 3 3 2 4 8" xfId="6065" xr:uid="{00000000-0005-0000-0000-0000C64B0000}"/>
    <cellStyle name="Normal 3 3 2 4 8 2" xfId="6066" xr:uid="{00000000-0005-0000-0000-0000C74B0000}"/>
    <cellStyle name="Normal 3 3 2 4 8 2 2" xfId="29564" xr:uid="{00000000-0005-0000-0000-0000C84B0000}"/>
    <cellStyle name="Normal 3 3 2 4 8 3" xfId="29563" xr:uid="{00000000-0005-0000-0000-0000C94B0000}"/>
    <cellStyle name="Normal 3 3 2 4 9" xfId="6067" xr:uid="{00000000-0005-0000-0000-0000CA4B0000}"/>
    <cellStyle name="Normal 3 3 2 4 9 2" xfId="29565" xr:uid="{00000000-0005-0000-0000-0000CB4B0000}"/>
    <cellStyle name="Normal 3 3 2 5" xfId="6068" xr:uid="{00000000-0005-0000-0000-0000CC4B0000}"/>
    <cellStyle name="Normal 3 3 2 5 2" xfId="6069" xr:uid="{00000000-0005-0000-0000-0000CD4B0000}"/>
    <cellStyle name="Normal 3 3 2 5 2 2" xfId="6070" xr:uid="{00000000-0005-0000-0000-0000CE4B0000}"/>
    <cellStyle name="Normal 3 3 2 5 2 2 2" xfId="6071" xr:uid="{00000000-0005-0000-0000-0000CF4B0000}"/>
    <cellStyle name="Normal 3 3 2 5 2 2 2 2" xfId="6072" xr:uid="{00000000-0005-0000-0000-0000D04B0000}"/>
    <cellStyle name="Normal 3 3 2 5 2 2 2 2 2" xfId="29570" xr:uid="{00000000-0005-0000-0000-0000D14B0000}"/>
    <cellStyle name="Normal 3 3 2 5 2 2 2 3" xfId="29569" xr:uid="{00000000-0005-0000-0000-0000D24B0000}"/>
    <cellStyle name="Normal 3 3 2 5 2 2 3" xfId="6073" xr:uid="{00000000-0005-0000-0000-0000D34B0000}"/>
    <cellStyle name="Normal 3 3 2 5 2 2 3 2" xfId="29571" xr:uid="{00000000-0005-0000-0000-0000D44B0000}"/>
    <cellStyle name="Normal 3 3 2 5 2 2 4" xfId="29568" xr:uid="{00000000-0005-0000-0000-0000D54B0000}"/>
    <cellStyle name="Normal 3 3 2 5 2 3" xfId="6074" xr:uid="{00000000-0005-0000-0000-0000D64B0000}"/>
    <cellStyle name="Normal 3 3 2 5 2 3 2" xfId="6075" xr:uid="{00000000-0005-0000-0000-0000D74B0000}"/>
    <cellStyle name="Normal 3 3 2 5 2 3 2 2" xfId="29573" xr:uid="{00000000-0005-0000-0000-0000D84B0000}"/>
    <cellStyle name="Normal 3 3 2 5 2 3 3" xfId="29572" xr:uid="{00000000-0005-0000-0000-0000D94B0000}"/>
    <cellStyle name="Normal 3 3 2 5 2 4" xfId="6076" xr:uid="{00000000-0005-0000-0000-0000DA4B0000}"/>
    <cellStyle name="Normal 3 3 2 5 2 4 2" xfId="29574" xr:uid="{00000000-0005-0000-0000-0000DB4B0000}"/>
    <cellStyle name="Normal 3 3 2 5 2 5" xfId="29567" xr:uid="{00000000-0005-0000-0000-0000DC4B0000}"/>
    <cellStyle name="Normal 3 3 2 5 3" xfId="6077" xr:uid="{00000000-0005-0000-0000-0000DD4B0000}"/>
    <cellStyle name="Normal 3 3 2 5 3 2" xfId="6078" xr:uid="{00000000-0005-0000-0000-0000DE4B0000}"/>
    <cellStyle name="Normal 3 3 2 5 3 2 2" xfId="6079" xr:uid="{00000000-0005-0000-0000-0000DF4B0000}"/>
    <cellStyle name="Normal 3 3 2 5 3 2 2 2" xfId="6080" xr:uid="{00000000-0005-0000-0000-0000E04B0000}"/>
    <cellStyle name="Normal 3 3 2 5 3 2 2 2 2" xfId="29578" xr:uid="{00000000-0005-0000-0000-0000E14B0000}"/>
    <cellStyle name="Normal 3 3 2 5 3 2 2 3" xfId="29577" xr:uid="{00000000-0005-0000-0000-0000E24B0000}"/>
    <cellStyle name="Normal 3 3 2 5 3 2 3" xfId="6081" xr:uid="{00000000-0005-0000-0000-0000E34B0000}"/>
    <cellStyle name="Normal 3 3 2 5 3 2 3 2" xfId="29579" xr:uid="{00000000-0005-0000-0000-0000E44B0000}"/>
    <cellStyle name="Normal 3 3 2 5 3 2 4" xfId="29576" xr:uid="{00000000-0005-0000-0000-0000E54B0000}"/>
    <cellStyle name="Normal 3 3 2 5 3 3" xfId="6082" xr:uid="{00000000-0005-0000-0000-0000E64B0000}"/>
    <cellStyle name="Normal 3 3 2 5 3 3 2" xfId="6083" xr:uid="{00000000-0005-0000-0000-0000E74B0000}"/>
    <cellStyle name="Normal 3 3 2 5 3 3 2 2" xfId="29581" xr:uid="{00000000-0005-0000-0000-0000E84B0000}"/>
    <cellStyle name="Normal 3 3 2 5 3 3 3" xfId="29580" xr:uid="{00000000-0005-0000-0000-0000E94B0000}"/>
    <cellStyle name="Normal 3 3 2 5 3 4" xfId="6084" xr:uid="{00000000-0005-0000-0000-0000EA4B0000}"/>
    <cellStyle name="Normal 3 3 2 5 3 4 2" xfId="29582" xr:uid="{00000000-0005-0000-0000-0000EB4B0000}"/>
    <cellStyle name="Normal 3 3 2 5 3 5" xfId="29575" xr:uid="{00000000-0005-0000-0000-0000EC4B0000}"/>
    <cellStyle name="Normal 3 3 2 5 4" xfId="6085" xr:uid="{00000000-0005-0000-0000-0000ED4B0000}"/>
    <cellStyle name="Normal 3 3 2 5 4 2" xfId="6086" xr:uid="{00000000-0005-0000-0000-0000EE4B0000}"/>
    <cellStyle name="Normal 3 3 2 5 4 2 2" xfId="6087" xr:uid="{00000000-0005-0000-0000-0000EF4B0000}"/>
    <cellStyle name="Normal 3 3 2 5 4 2 2 2" xfId="29585" xr:uid="{00000000-0005-0000-0000-0000F04B0000}"/>
    <cellStyle name="Normal 3 3 2 5 4 2 3" xfId="29584" xr:uid="{00000000-0005-0000-0000-0000F14B0000}"/>
    <cellStyle name="Normal 3 3 2 5 4 3" xfId="6088" xr:uid="{00000000-0005-0000-0000-0000F24B0000}"/>
    <cellStyle name="Normal 3 3 2 5 4 3 2" xfId="29586" xr:uid="{00000000-0005-0000-0000-0000F34B0000}"/>
    <cellStyle name="Normal 3 3 2 5 4 4" xfId="29583" xr:uid="{00000000-0005-0000-0000-0000F44B0000}"/>
    <cellStyle name="Normal 3 3 2 5 5" xfId="6089" xr:uid="{00000000-0005-0000-0000-0000F54B0000}"/>
    <cellStyle name="Normal 3 3 2 5 5 2" xfId="6090" xr:uid="{00000000-0005-0000-0000-0000F64B0000}"/>
    <cellStyle name="Normal 3 3 2 5 5 2 2" xfId="29588" xr:uid="{00000000-0005-0000-0000-0000F74B0000}"/>
    <cellStyle name="Normal 3 3 2 5 5 3" xfId="29587" xr:uid="{00000000-0005-0000-0000-0000F84B0000}"/>
    <cellStyle name="Normal 3 3 2 5 6" xfId="6091" xr:uid="{00000000-0005-0000-0000-0000F94B0000}"/>
    <cellStyle name="Normal 3 3 2 5 6 2" xfId="29589" xr:uid="{00000000-0005-0000-0000-0000FA4B0000}"/>
    <cellStyle name="Normal 3 3 2 5 7" xfId="29566" xr:uid="{00000000-0005-0000-0000-0000FB4B0000}"/>
    <cellStyle name="Normal 3 3 2 6" xfId="6092" xr:uid="{00000000-0005-0000-0000-0000FC4B0000}"/>
    <cellStyle name="Normal 3 3 2 6 2" xfId="6093" xr:uid="{00000000-0005-0000-0000-0000FD4B0000}"/>
    <cellStyle name="Normal 3 3 2 6 2 2" xfId="6094" xr:uid="{00000000-0005-0000-0000-0000FE4B0000}"/>
    <cellStyle name="Normal 3 3 2 6 2 2 2" xfId="6095" xr:uid="{00000000-0005-0000-0000-0000FF4B0000}"/>
    <cellStyle name="Normal 3 3 2 6 2 2 2 2" xfId="6096" xr:uid="{00000000-0005-0000-0000-0000004C0000}"/>
    <cellStyle name="Normal 3 3 2 6 2 2 2 2 2" xfId="29594" xr:uid="{00000000-0005-0000-0000-0000014C0000}"/>
    <cellStyle name="Normal 3 3 2 6 2 2 2 3" xfId="29593" xr:uid="{00000000-0005-0000-0000-0000024C0000}"/>
    <cellStyle name="Normal 3 3 2 6 2 2 3" xfId="6097" xr:uid="{00000000-0005-0000-0000-0000034C0000}"/>
    <cellStyle name="Normal 3 3 2 6 2 2 3 2" xfId="29595" xr:uid="{00000000-0005-0000-0000-0000044C0000}"/>
    <cellStyle name="Normal 3 3 2 6 2 2 4" xfId="29592" xr:uid="{00000000-0005-0000-0000-0000054C0000}"/>
    <cellStyle name="Normal 3 3 2 6 2 3" xfId="6098" xr:uid="{00000000-0005-0000-0000-0000064C0000}"/>
    <cellStyle name="Normal 3 3 2 6 2 3 2" xfId="6099" xr:uid="{00000000-0005-0000-0000-0000074C0000}"/>
    <cellStyle name="Normal 3 3 2 6 2 3 2 2" xfId="29597" xr:uid="{00000000-0005-0000-0000-0000084C0000}"/>
    <cellStyle name="Normal 3 3 2 6 2 3 3" xfId="29596" xr:uid="{00000000-0005-0000-0000-0000094C0000}"/>
    <cellStyle name="Normal 3 3 2 6 2 4" xfId="6100" xr:uid="{00000000-0005-0000-0000-00000A4C0000}"/>
    <cellStyle name="Normal 3 3 2 6 2 4 2" xfId="29598" xr:uid="{00000000-0005-0000-0000-00000B4C0000}"/>
    <cellStyle name="Normal 3 3 2 6 2 5" xfId="29591" xr:uid="{00000000-0005-0000-0000-00000C4C0000}"/>
    <cellStyle name="Normal 3 3 2 6 3" xfId="6101" xr:uid="{00000000-0005-0000-0000-00000D4C0000}"/>
    <cellStyle name="Normal 3 3 2 6 3 2" xfId="6102" xr:uid="{00000000-0005-0000-0000-00000E4C0000}"/>
    <cellStyle name="Normal 3 3 2 6 3 2 2" xfId="6103" xr:uid="{00000000-0005-0000-0000-00000F4C0000}"/>
    <cellStyle name="Normal 3 3 2 6 3 2 2 2" xfId="6104" xr:uid="{00000000-0005-0000-0000-0000104C0000}"/>
    <cellStyle name="Normal 3 3 2 6 3 2 2 2 2" xfId="29602" xr:uid="{00000000-0005-0000-0000-0000114C0000}"/>
    <cellStyle name="Normal 3 3 2 6 3 2 2 3" xfId="29601" xr:uid="{00000000-0005-0000-0000-0000124C0000}"/>
    <cellStyle name="Normal 3 3 2 6 3 2 3" xfId="6105" xr:uid="{00000000-0005-0000-0000-0000134C0000}"/>
    <cellStyle name="Normal 3 3 2 6 3 2 3 2" xfId="29603" xr:uid="{00000000-0005-0000-0000-0000144C0000}"/>
    <cellStyle name="Normal 3 3 2 6 3 2 4" xfId="29600" xr:uid="{00000000-0005-0000-0000-0000154C0000}"/>
    <cellStyle name="Normal 3 3 2 6 3 3" xfId="6106" xr:uid="{00000000-0005-0000-0000-0000164C0000}"/>
    <cellStyle name="Normal 3 3 2 6 3 3 2" xfId="6107" xr:uid="{00000000-0005-0000-0000-0000174C0000}"/>
    <cellStyle name="Normal 3 3 2 6 3 3 2 2" xfId="29605" xr:uid="{00000000-0005-0000-0000-0000184C0000}"/>
    <cellStyle name="Normal 3 3 2 6 3 3 3" xfId="29604" xr:uid="{00000000-0005-0000-0000-0000194C0000}"/>
    <cellStyle name="Normal 3 3 2 6 3 4" xfId="6108" xr:uid="{00000000-0005-0000-0000-00001A4C0000}"/>
    <cellStyle name="Normal 3 3 2 6 3 4 2" xfId="29606" xr:uid="{00000000-0005-0000-0000-00001B4C0000}"/>
    <cellStyle name="Normal 3 3 2 6 3 5" xfId="29599" xr:uid="{00000000-0005-0000-0000-00001C4C0000}"/>
    <cellStyle name="Normal 3 3 2 6 4" xfId="6109" xr:uid="{00000000-0005-0000-0000-00001D4C0000}"/>
    <cellStyle name="Normal 3 3 2 6 4 2" xfId="6110" xr:uid="{00000000-0005-0000-0000-00001E4C0000}"/>
    <cellStyle name="Normal 3 3 2 6 4 2 2" xfId="6111" xr:uid="{00000000-0005-0000-0000-00001F4C0000}"/>
    <cellStyle name="Normal 3 3 2 6 4 2 2 2" xfId="29609" xr:uid="{00000000-0005-0000-0000-0000204C0000}"/>
    <cellStyle name="Normal 3 3 2 6 4 2 3" xfId="29608" xr:uid="{00000000-0005-0000-0000-0000214C0000}"/>
    <cellStyle name="Normal 3 3 2 6 4 3" xfId="6112" xr:uid="{00000000-0005-0000-0000-0000224C0000}"/>
    <cellStyle name="Normal 3 3 2 6 4 3 2" xfId="29610" xr:uid="{00000000-0005-0000-0000-0000234C0000}"/>
    <cellStyle name="Normal 3 3 2 6 4 4" xfId="29607" xr:uid="{00000000-0005-0000-0000-0000244C0000}"/>
    <cellStyle name="Normal 3 3 2 6 5" xfId="6113" xr:uid="{00000000-0005-0000-0000-0000254C0000}"/>
    <cellStyle name="Normal 3 3 2 6 5 2" xfId="6114" xr:uid="{00000000-0005-0000-0000-0000264C0000}"/>
    <cellStyle name="Normal 3 3 2 6 5 2 2" xfId="29612" xr:uid="{00000000-0005-0000-0000-0000274C0000}"/>
    <cellStyle name="Normal 3 3 2 6 5 3" xfId="29611" xr:uid="{00000000-0005-0000-0000-0000284C0000}"/>
    <cellStyle name="Normal 3 3 2 6 6" xfId="6115" xr:uid="{00000000-0005-0000-0000-0000294C0000}"/>
    <cellStyle name="Normal 3 3 2 6 6 2" xfId="29613" xr:uid="{00000000-0005-0000-0000-00002A4C0000}"/>
    <cellStyle name="Normal 3 3 2 6 7" xfId="29590" xr:uid="{00000000-0005-0000-0000-00002B4C0000}"/>
    <cellStyle name="Normal 3 3 2 7" xfId="6116" xr:uid="{00000000-0005-0000-0000-00002C4C0000}"/>
    <cellStyle name="Normal 3 3 2 7 2" xfId="6117" xr:uid="{00000000-0005-0000-0000-00002D4C0000}"/>
    <cellStyle name="Normal 3 3 2 7 2 2" xfId="6118" xr:uid="{00000000-0005-0000-0000-00002E4C0000}"/>
    <cellStyle name="Normal 3 3 2 7 2 2 2" xfId="6119" xr:uid="{00000000-0005-0000-0000-00002F4C0000}"/>
    <cellStyle name="Normal 3 3 2 7 2 2 2 2" xfId="6120" xr:uid="{00000000-0005-0000-0000-0000304C0000}"/>
    <cellStyle name="Normal 3 3 2 7 2 2 2 2 2" xfId="29618" xr:uid="{00000000-0005-0000-0000-0000314C0000}"/>
    <cellStyle name="Normal 3 3 2 7 2 2 2 3" xfId="29617" xr:uid="{00000000-0005-0000-0000-0000324C0000}"/>
    <cellStyle name="Normal 3 3 2 7 2 2 3" xfId="6121" xr:uid="{00000000-0005-0000-0000-0000334C0000}"/>
    <cellStyle name="Normal 3 3 2 7 2 2 3 2" xfId="29619" xr:uid="{00000000-0005-0000-0000-0000344C0000}"/>
    <cellStyle name="Normal 3 3 2 7 2 2 4" xfId="29616" xr:uid="{00000000-0005-0000-0000-0000354C0000}"/>
    <cellStyle name="Normal 3 3 2 7 2 3" xfId="6122" xr:uid="{00000000-0005-0000-0000-0000364C0000}"/>
    <cellStyle name="Normal 3 3 2 7 2 3 2" xfId="6123" xr:uid="{00000000-0005-0000-0000-0000374C0000}"/>
    <cellStyle name="Normal 3 3 2 7 2 3 2 2" xfId="29621" xr:uid="{00000000-0005-0000-0000-0000384C0000}"/>
    <cellStyle name="Normal 3 3 2 7 2 3 3" xfId="29620" xr:uid="{00000000-0005-0000-0000-0000394C0000}"/>
    <cellStyle name="Normal 3 3 2 7 2 4" xfId="6124" xr:uid="{00000000-0005-0000-0000-00003A4C0000}"/>
    <cellStyle name="Normal 3 3 2 7 2 4 2" xfId="29622" xr:uid="{00000000-0005-0000-0000-00003B4C0000}"/>
    <cellStyle name="Normal 3 3 2 7 2 5" xfId="29615" xr:uid="{00000000-0005-0000-0000-00003C4C0000}"/>
    <cellStyle name="Normal 3 3 2 7 3" xfId="6125" xr:uid="{00000000-0005-0000-0000-00003D4C0000}"/>
    <cellStyle name="Normal 3 3 2 7 3 2" xfId="6126" xr:uid="{00000000-0005-0000-0000-00003E4C0000}"/>
    <cellStyle name="Normal 3 3 2 7 3 2 2" xfId="6127" xr:uid="{00000000-0005-0000-0000-00003F4C0000}"/>
    <cellStyle name="Normal 3 3 2 7 3 2 2 2" xfId="6128" xr:uid="{00000000-0005-0000-0000-0000404C0000}"/>
    <cellStyle name="Normal 3 3 2 7 3 2 2 2 2" xfId="29626" xr:uid="{00000000-0005-0000-0000-0000414C0000}"/>
    <cellStyle name="Normal 3 3 2 7 3 2 2 3" xfId="29625" xr:uid="{00000000-0005-0000-0000-0000424C0000}"/>
    <cellStyle name="Normal 3 3 2 7 3 2 3" xfId="6129" xr:uid="{00000000-0005-0000-0000-0000434C0000}"/>
    <cellStyle name="Normal 3 3 2 7 3 2 3 2" xfId="29627" xr:uid="{00000000-0005-0000-0000-0000444C0000}"/>
    <cellStyle name="Normal 3 3 2 7 3 2 4" xfId="29624" xr:uid="{00000000-0005-0000-0000-0000454C0000}"/>
    <cellStyle name="Normal 3 3 2 7 3 3" xfId="6130" xr:uid="{00000000-0005-0000-0000-0000464C0000}"/>
    <cellStyle name="Normal 3 3 2 7 3 3 2" xfId="6131" xr:uid="{00000000-0005-0000-0000-0000474C0000}"/>
    <cellStyle name="Normal 3 3 2 7 3 3 2 2" xfId="29629" xr:uid="{00000000-0005-0000-0000-0000484C0000}"/>
    <cellStyle name="Normal 3 3 2 7 3 3 3" xfId="29628" xr:uid="{00000000-0005-0000-0000-0000494C0000}"/>
    <cellStyle name="Normal 3 3 2 7 3 4" xfId="6132" xr:uid="{00000000-0005-0000-0000-00004A4C0000}"/>
    <cellStyle name="Normal 3 3 2 7 3 4 2" xfId="29630" xr:uid="{00000000-0005-0000-0000-00004B4C0000}"/>
    <cellStyle name="Normal 3 3 2 7 3 5" xfId="29623" xr:uid="{00000000-0005-0000-0000-00004C4C0000}"/>
    <cellStyle name="Normal 3 3 2 7 4" xfId="6133" xr:uid="{00000000-0005-0000-0000-00004D4C0000}"/>
    <cellStyle name="Normal 3 3 2 7 4 2" xfId="6134" xr:uid="{00000000-0005-0000-0000-00004E4C0000}"/>
    <cellStyle name="Normal 3 3 2 7 4 2 2" xfId="6135" xr:uid="{00000000-0005-0000-0000-00004F4C0000}"/>
    <cellStyle name="Normal 3 3 2 7 4 2 2 2" xfId="29633" xr:uid="{00000000-0005-0000-0000-0000504C0000}"/>
    <cellStyle name="Normal 3 3 2 7 4 2 3" xfId="29632" xr:uid="{00000000-0005-0000-0000-0000514C0000}"/>
    <cellStyle name="Normal 3 3 2 7 4 3" xfId="6136" xr:uid="{00000000-0005-0000-0000-0000524C0000}"/>
    <cellStyle name="Normal 3 3 2 7 4 3 2" xfId="29634" xr:uid="{00000000-0005-0000-0000-0000534C0000}"/>
    <cellStyle name="Normal 3 3 2 7 4 4" xfId="29631" xr:uid="{00000000-0005-0000-0000-0000544C0000}"/>
    <cellStyle name="Normal 3 3 2 7 5" xfId="6137" xr:uid="{00000000-0005-0000-0000-0000554C0000}"/>
    <cellStyle name="Normal 3 3 2 7 5 2" xfId="6138" xr:uid="{00000000-0005-0000-0000-0000564C0000}"/>
    <cellStyle name="Normal 3 3 2 7 5 2 2" xfId="29636" xr:uid="{00000000-0005-0000-0000-0000574C0000}"/>
    <cellStyle name="Normal 3 3 2 7 5 3" xfId="29635" xr:uid="{00000000-0005-0000-0000-0000584C0000}"/>
    <cellStyle name="Normal 3 3 2 7 6" xfId="6139" xr:uid="{00000000-0005-0000-0000-0000594C0000}"/>
    <cellStyle name="Normal 3 3 2 7 6 2" xfId="29637" xr:uid="{00000000-0005-0000-0000-00005A4C0000}"/>
    <cellStyle name="Normal 3 3 2 7 7" xfId="29614" xr:uid="{00000000-0005-0000-0000-00005B4C0000}"/>
    <cellStyle name="Normal 3 3 2 8" xfId="6140" xr:uid="{00000000-0005-0000-0000-00005C4C0000}"/>
    <cellStyle name="Normal 3 3 2 8 2" xfId="6141" xr:uid="{00000000-0005-0000-0000-00005D4C0000}"/>
    <cellStyle name="Normal 3 3 2 8 2 2" xfId="6142" xr:uid="{00000000-0005-0000-0000-00005E4C0000}"/>
    <cellStyle name="Normal 3 3 2 8 2 2 2" xfId="6143" xr:uid="{00000000-0005-0000-0000-00005F4C0000}"/>
    <cellStyle name="Normal 3 3 2 8 2 2 2 2" xfId="6144" xr:uid="{00000000-0005-0000-0000-0000604C0000}"/>
    <cellStyle name="Normal 3 3 2 8 2 2 2 2 2" xfId="29642" xr:uid="{00000000-0005-0000-0000-0000614C0000}"/>
    <cellStyle name="Normal 3 3 2 8 2 2 2 3" xfId="29641" xr:uid="{00000000-0005-0000-0000-0000624C0000}"/>
    <cellStyle name="Normal 3 3 2 8 2 2 3" xfId="6145" xr:uid="{00000000-0005-0000-0000-0000634C0000}"/>
    <cellStyle name="Normal 3 3 2 8 2 2 3 2" xfId="29643" xr:uid="{00000000-0005-0000-0000-0000644C0000}"/>
    <cellStyle name="Normal 3 3 2 8 2 2 4" xfId="29640" xr:uid="{00000000-0005-0000-0000-0000654C0000}"/>
    <cellStyle name="Normal 3 3 2 8 2 3" xfId="6146" xr:uid="{00000000-0005-0000-0000-0000664C0000}"/>
    <cellStyle name="Normal 3 3 2 8 2 3 2" xfId="6147" xr:uid="{00000000-0005-0000-0000-0000674C0000}"/>
    <cellStyle name="Normal 3 3 2 8 2 3 2 2" xfId="29645" xr:uid="{00000000-0005-0000-0000-0000684C0000}"/>
    <cellStyle name="Normal 3 3 2 8 2 3 3" xfId="29644" xr:uid="{00000000-0005-0000-0000-0000694C0000}"/>
    <cellStyle name="Normal 3 3 2 8 2 4" xfId="6148" xr:uid="{00000000-0005-0000-0000-00006A4C0000}"/>
    <cellStyle name="Normal 3 3 2 8 2 4 2" xfId="29646" xr:uid="{00000000-0005-0000-0000-00006B4C0000}"/>
    <cellStyle name="Normal 3 3 2 8 2 5" xfId="29639" xr:uid="{00000000-0005-0000-0000-00006C4C0000}"/>
    <cellStyle name="Normal 3 3 2 8 3" xfId="6149" xr:uid="{00000000-0005-0000-0000-00006D4C0000}"/>
    <cellStyle name="Normal 3 3 2 8 3 2" xfId="6150" xr:uid="{00000000-0005-0000-0000-00006E4C0000}"/>
    <cellStyle name="Normal 3 3 2 8 3 2 2" xfId="6151" xr:uid="{00000000-0005-0000-0000-00006F4C0000}"/>
    <cellStyle name="Normal 3 3 2 8 3 2 2 2" xfId="6152" xr:uid="{00000000-0005-0000-0000-0000704C0000}"/>
    <cellStyle name="Normal 3 3 2 8 3 2 2 2 2" xfId="29650" xr:uid="{00000000-0005-0000-0000-0000714C0000}"/>
    <cellStyle name="Normal 3 3 2 8 3 2 2 3" xfId="29649" xr:uid="{00000000-0005-0000-0000-0000724C0000}"/>
    <cellStyle name="Normal 3 3 2 8 3 2 3" xfId="6153" xr:uid="{00000000-0005-0000-0000-0000734C0000}"/>
    <cellStyle name="Normal 3 3 2 8 3 2 3 2" xfId="29651" xr:uid="{00000000-0005-0000-0000-0000744C0000}"/>
    <cellStyle name="Normal 3 3 2 8 3 2 4" xfId="29648" xr:uid="{00000000-0005-0000-0000-0000754C0000}"/>
    <cellStyle name="Normal 3 3 2 8 3 3" xfId="6154" xr:uid="{00000000-0005-0000-0000-0000764C0000}"/>
    <cellStyle name="Normal 3 3 2 8 3 3 2" xfId="6155" xr:uid="{00000000-0005-0000-0000-0000774C0000}"/>
    <cellStyle name="Normal 3 3 2 8 3 3 2 2" xfId="29653" xr:uid="{00000000-0005-0000-0000-0000784C0000}"/>
    <cellStyle name="Normal 3 3 2 8 3 3 3" xfId="29652" xr:uid="{00000000-0005-0000-0000-0000794C0000}"/>
    <cellStyle name="Normal 3 3 2 8 3 4" xfId="6156" xr:uid="{00000000-0005-0000-0000-00007A4C0000}"/>
    <cellStyle name="Normal 3 3 2 8 3 4 2" xfId="29654" xr:uid="{00000000-0005-0000-0000-00007B4C0000}"/>
    <cellStyle name="Normal 3 3 2 8 3 5" xfId="29647" xr:uid="{00000000-0005-0000-0000-00007C4C0000}"/>
    <cellStyle name="Normal 3 3 2 8 4" xfId="6157" xr:uid="{00000000-0005-0000-0000-00007D4C0000}"/>
    <cellStyle name="Normal 3 3 2 8 4 2" xfId="6158" xr:uid="{00000000-0005-0000-0000-00007E4C0000}"/>
    <cellStyle name="Normal 3 3 2 8 4 2 2" xfId="6159" xr:uid="{00000000-0005-0000-0000-00007F4C0000}"/>
    <cellStyle name="Normal 3 3 2 8 4 2 2 2" xfId="29657" xr:uid="{00000000-0005-0000-0000-0000804C0000}"/>
    <cellStyle name="Normal 3 3 2 8 4 2 3" xfId="29656" xr:uid="{00000000-0005-0000-0000-0000814C0000}"/>
    <cellStyle name="Normal 3 3 2 8 4 3" xfId="6160" xr:uid="{00000000-0005-0000-0000-0000824C0000}"/>
    <cellStyle name="Normal 3 3 2 8 4 3 2" xfId="29658" xr:uid="{00000000-0005-0000-0000-0000834C0000}"/>
    <cellStyle name="Normal 3 3 2 8 4 4" xfId="29655" xr:uid="{00000000-0005-0000-0000-0000844C0000}"/>
    <cellStyle name="Normal 3 3 2 8 5" xfId="6161" xr:uid="{00000000-0005-0000-0000-0000854C0000}"/>
    <cellStyle name="Normal 3 3 2 8 5 2" xfId="6162" xr:uid="{00000000-0005-0000-0000-0000864C0000}"/>
    <cellStyle name="Normal 3 3 2 8 5 2 2" xfId="29660" xr:uid="{00000000-0005-0000-0000-0000874C0000}"/>
    <cellStyle name="Normal 3 3 2 8 5 3" xfId="29659" xr:uid="{00000000-0005-0000-0000-0000884C0000}"/>
    <cellStyle name="Normal 3 3 2 8 6" xfId="6163" xr:uid="{00000000-0005-0000-0000-0000894C0000}"/>
    <cellStyle name="Normal 3 3 2 8 6 2" xfId="29661" xr:uid="{00000000-0005-0000-0000-00008A4C0000}"/>
    <cellStyle name="Normal 3 3 2 8 7" xfId="29638" xr:uid="{00000000-0005-0000-0000-00008B4C0000}"/>
    <cellStyle name="Normal 3 3 2 9" xfId="6164" xr:uid="{00000000-0005-0000-0000-00008C4C0000}"/>
    <cellStyle name="Normal 3 3 2 9 2" xfId="6165" xr:uid="{00000000-0005-0000-0000-00008D4C0000}"/>
    <cellStyle name="Normal 3 3 2 9 2 2" xfId="6166" xr:uid="{00000000-0005-0000-0000-00008E4C0000}"/>
    <cellStyle name="Normal 3 3 2 9 2 2 2" xfId="6167" xr:uid="{00000000-0005-0000-0000-00008F4C0000}"/>
    <cellStyle name="Normal 3 3 2 9 2 2 2 2" xfId="29664" xr:uid="{00000000-0005-0000-0000-0000904C0000}"/>
    <cellStyle name="Normal 3 3 2 9 2 2 3" xfId="29663" xr:uid="{00000000-0005-0000-0000-0000914C0000}"/>
    <cellStyle name="Normal 3 3 2 9 2 3" xfId="6168" xr:uid="{00000000-0005-0000-0000-0000924C0000}"/>
    <cellStyle name="Normal 3 3 2 9 2 3 2" xfId="29665" xr:uid="{00000000-0005-0000-0000-0000934C0000}"/>
    <cellStyle name="Normal 3 3 2 9 2 4" xfId="29662" xr:uid="{00000000-0005-0000-0000-0000944C0000}"/>
    <cellStyle name="Normal 3 3 2 9 3" xfId="6169" xr:uid="{00000000-0005-0000-0000-0000954C0000}"/>
    <cellStyle name="Normal 3 3 2 9 3 2" xfId="6170" xr:uid="{00000000-0005-0000-0000-0000964C0000}"/>
    <cellStyle name="Normal 3 3 2 9 3 2 2" xfId="29667" xr:uid="{00000000-0005-0000-0000-0000974C0000}"/>
    <cellStyle name="Normal 3 3 2 9 3 3" xfId="29666" xr:uid="{00000000-0005-0000-0000-0000984C0000}"/>
    <cellStyle name="Normal 3 3 3" xfId="6171" xr:uid="{00000000-0005-0000-0000-0000994C0000}"/>
    <cellStyle name="Normal 3 3 3 10" xfId="6172" xr:uid="{00000000-0005-0000-0000-00009A4C0000}"/>
    <cellStyle name="Normal 3 3 3 10 2" xfId="29669" xr:uid="{00000000-0005-0000-0000-00009B4C0000}"/>
    <cellStyle name="Normal 3 3 3 11" xfId="29668" xr:uid="{00000000-0005-0000-0000-00009C4C0000}"/>
    <cellStyle name="Normal 3 3 3 2" xfId="6173" xr:uid="{00000000-0005-0000-0000-00009D4C0000}"/>
    <cellStyle name="Normal 3 3 3 2 2" xfId="6174" xr:uid="{00000000-0005-0000-0000-00009E4C0000}"/>
    <cellStyle name="Normal 3 3 3 2 2 2" xfId="6175" xr:uid="{00000000-0005-0000-0000-00009F4C0000}"/>
    <cellStyle name="Normal 3 3 3 2 2 2 2" xfId="6176" xr:uid="{00000000-0005-0000-0000-0000A04C0000}"/>
    <cellStyle name="Normal 3 3 3 2 2 2 2 2" xfId="6177" xr:uid="{00000000-0005-0000-0000-0000A14C0000}"/>
    <cellStyle name="Normal 3 3 3 2 2 2 2 2 2" xfId="29674" xr:uid="{00000000-0005-0000-0000-0000A24C0000}"/>
    <cellStyle name="Normal 3 3 3 2 2 2 2 3" xfId="29673" xr:uid="{00000000-0005-0000-0000-0000A34C0000}"/>
    <cellStyle name="Normal 3 3 3 2 2 2 3" xfId="6178" xr:uid="{00000000-0005-0000-0000-0000A44C0000}"/>
    <cellStyle name="Normal 3 3 3 2 2 2 3 2" xfId="29675" xr:uid="{00000000-0005-0000-0000-0000A54C0000}"/>
    <cellStyle name="Normal 3 3 3 2 2 2 4" xfId="29672" xr:uid="{00000000-0005-0000-0000-0000A64C0000}"/>
    <cellStyle name="Normal 3 3 3 2 2 3" xfId="6179" xr:uid="{00000000-0005-0000-0000-0000A74C0000}"/>
    <cellStyle name="Normal 3 3 3 2 2 3 2" xfId="6180" xr:uid="{00000000-0005-0000-0000-0000A84C0000}"/>
    <cellStyle name="Normal 3 3 3 2 2 3 2 2" xfId="29677" xr:uid="{00000000-0005-0000-0000-0000A94C0000}"/>
    <cellStyle name="Normal 3 3 3 2 2 3 3" xfId="29676" xr:uid="{00000000-0005-0000-0000-0000AA4C0000}"/>
    <cellStyle name="Normal 3 3 3 2 2 4" xfId="6181" xr:uid="{00000000-0005-0000-0000-0000AB4C0000}"/>
    <cellStyle name="Normal 3 3 3 2 2 4 2" xfId="29678" xr:uid="{00000000-0005-0000-0000-0000AC4C0000}"/>
    <cellStyle name="Normal 3 3 3 2 2 5" xfId="29671" xr:uid="{00000000-0005-0000-0000-0000AD4C0000}"/>
    <cellStyle name="Normal 3 3 3 2 3" xfId="6182" xr:uid="{00000000-0005-0000-0000-0000AE4C0000}"/>
    <cellStyle name="Normal 3 3 3 2 3 2" xfId="6183" xr:uid="{00000000-0005-0000-0000-0000AF4C0000}"/>
    <cellStyle name="Normal 3 3 3 2 3 2 2" xfId="6184" xr:uid="{00000000-0005-0000-0000-0000B04C0000}"/>
    <cellStyle name="Normal 3 3 3 2 3 2 2 2" xfId="6185" xr:uid="{00000000-0005-0000-0000-0000B14C0000}"/>
    <cellStyle name="Normal 3 3 3 2 3 2 2 2 2" xfId="29682" xr:uid="{00000000-0005-0000-0000-0000B24C0000}"/>
    <cellStyle name="Normal 3 3 3 2 3 2 2 3" xfId="29681" xr:uid="{00000000-0005-0000-0000-0000B34C0000}"/>
    <cellStyle name="Normal 3 3 3 2 3 2 3" xfId="6186" xr:uid="{00000000-0005-0000-0000-0000B44C0000}"/>
    <cellStyle name="Normal 3 3 3 2 3 2 3 2" xfId="29683" xr:uid="{00000000-0005-0000-0000-0000B54C0000}"/>
    <cellStyle name="Normal 3 3 3 2 3 2 4" xfId="29680" xr:uid="{00000000-0005-0000-0000-0000B64C0000}"/>
    <cellStyle name="Normal 3 3 3 2 3 3" xfId="6187" xr:uid="{00000000-0005-0000-0000-0000B74C0000}"/>
    <cellStyle name="Normal 3 3 3 2 3 3 2" xfId="6188" xr:uid="{00000000-0005-0000-0000-0000B84C0000}"/>
    <cellStyle name="Normal 3 3 3 2 3 3 2 2" xfId="29685" xr:uid="{00000000-0005-0000-0000-0000B94C0000}"/>
    <cellStyle name="Normal 3 3 3 2 3 3 3" xfId="29684" xr:uid="{00000000-0005-0000-0000-0000BA4C0000}"/>
    <cellStyle name="Normal 3 3 3 2 3 4" xfId="6189" xr:uid="{00000000-0005-0000-0000-0000BB4C0000}"/>
    <cellStyle name="Normal 3 3 3 2 3 4 2" xfId="29686" xr:uid="{00000000-0005-0000-0000-0000BC4C0000}"/>
    <cellStyle name="Normal 3 3 3 2 3 5" xfId="29679" xr:uid="{00000000-0005-0000-0000-0000BD4C0000}"/>
    <cellStyle name="Normal 3 3 3 2 4" xfId="6190" xr:uid="{00000000-0005-0000-0000-0000BE4C0000}"/>
    <cellStyle name="Normal 3 3 3 2 4 2" xfId="6191" xr:uid="{00000000-0005-0000-0000-0000BF4C0000}"/>
    <cellStyle name="Normal 3 3 3 2 4 2 2" xfId="6192" xr:uid="{00000000-0005-0000-0000-0000C04C0000}"/>
    <cellStyle name="Normal 3 3 3 2 4 2 2 2" xfId="29689" xr:uid="{00000000-0005-0000-0000-0000C14C0000}"/>
    <cellStyle name="Normal 3 3 3 2 4 2 3" xfId="29688" xr:uid="{00000000-0005-0000-0000-0000C24C0000}"/>
    <cellStyle name="Normal 3 3 3 2 4 3" xfId="6193" xr:uid="{00000000-0005-0000-0000-0000C34C0000}"/>
    <cellStyle name="Normal 3 3 3 2 4 3 2" xfId="29690" xr:uid="{00000000-0005-0000-0000-0000C44C0000}"/>
    <cellStyle name="Normal 3 3 3 2 4 4" xfId="29687" xr:uid="{00000000-0005-0000-0000-0000C54C0000}"/>
    <cellStyle name="Normal 3 3 3 2 5" xfId="6194" xr:uid="{00000000-0005-0000-0000-0000C64C0000}"/>
    <cellStyle name="Normal 3 3 3 2 5 2" xfId="6195" xr:uid="{00000000-0005-0000-0000-0000C74C0000}"/>
    <cellStyle name="Normal 3 3 3 2 5 2 2" xfId="29692" xr:uid="{00000000-0005-0000-0000-0000C84C0000}"/>
    <cellStyle name="Normal 3 3 3 2 5 3" xfId="29691" xr:uid="{00000000-0005-0000-0000-0000C94C0000}"/>
    <cellStyle name="Normal 3 3 3 2 6" xfId="6196" xr:uid="{00000000-0005-0000-0000-0000CA4C0000}"/>
    <cellStyle name="Normal 3 3 3 2 6 2" xfId="29693" xr:uid="{00000000-0005-0000-0000-0000CB4C0000}"/>
    <cellStyle name="Normal 3 3 3 2 7" xfId="29670" xr:uid="{00000000-0005-0000-0000-0000CC4C0000}"/>
    <cellStyle name="Normal 3 3 3 3" xfId="6197" xr:uid="{00000000-0005-0000-0000-0000CD4C0000}"/>
    <cellStyle name="Normal 3 3 3 3 2" xfId="6198" xr:uid="{00000000-0005-0000-0000-0000CE4C0000}"/>
    <cellStyle name="Normal 3 3 3 3 2 2" xfId="6199" xr:uid="{00000000-0005-0000-0000-0000CF4C0000}"/>
    <cellStyle name="Normal 3 3 3 3 2 2 2" xfId="6200" xr:uid="{00000000-0005-0000-0000-0000D04C0000}"/>
    <cellStyle name="Normal 3 3 3 3 2 2 2 2" xfId="6201" xr:uid="{00000000-0005-0000-0000-0000D14C0000}"/>
    <cellStyle name="Normal 3 3 3 3 2 2 2 2 2" xfId="29698" xr:uid="{00000000-0005-0000-0000-0000D24C0000}"/>
    <cellStyle name="Normal 3 3 3 3 2 2 2 3" xfId="29697" xr:uid="{00000000-0005-0000-0000-0000D34C0000}"/>
    <cellStyle name="Normal 3 3 3 3 2 2 3" xfId="6202" xr:uid="{00000000-0005-0000-0000-0000D44C0000}"/>
    <cellStyle name="Normal 3 3 3 3 2 2 3 2" xfId="29699" xr:uid="{00000000-0005-0000-0000-0000D54C0000}"/>
    <cellStyle name="Normal 3 3 3 3 2 2 4" xfId="29696" xr:uid="{00000000-0005-0000-0000-0000D64C0000}"/>
    <cellStyle name="Normal 3 3 3 3 2 3" xfId="6203" xr:uid="{00000000-0005-0000-0000-0000D74C0000}"/>
    <cellStyle name="Normal 3 3 3 3 2 3 2" xfId="6204" xr:uid="{00000000-0005-0000-0000-0000D84C0000}"/>
    <cellStyle name="Normal 3 3 3 3 2 3 2 2" xfId="29701" xr:uid="{00000000-0005-0000-0000-0000D94C0000}"/>
    <cellStyle name="Normal 3 3 3 3 2 3 3" xfId="29700" xr:uid="{00000000-0005-0000-0000-0000DA4C0000}"/>
    <cellStyle name="Normal 3 3 3 3 2 4" xfId="6205" xr:uid="{00000000-0005-0000-0000-0000DB4C0000}"/>
    <cellStyle name="Normal 3 3 3 3 2 4 2" xfId="29702" xr:uid="{00000000-0005-0000-0000-0000DC4C0000}"/>
    <cellStyle name="Normal 3 3 3 3 2 5" xfId="29695" xr:uid="{00000000-0005-0000-0000-0000DD4C0000}"/>
    <cellStyle name="Normal 3 3 3 3 3" xfId="6206" xr:uid="{00000000-0005-0000-0000-0000DE4C0000}"/>
    <cellStyle name="Normal 3 3 3 3 3 2" xfId="6207" xr:uid="{00000000-0005-0000-0000-0000DF4C0000}"/>
    <cellStyle name="Normal 3 3 3 3 3 2 2" xfId="6208" xr:uid="{00000000-0005-0000-0000-0000E04C0000}"/>
    <cellStyle name="Normal 3 3 3 3 3 2 2 2" xfId="6209" xr:uid="{00000000-0005-0000-0000-0000E14C0000}"/>
    <cellStyle name="Normal 3 3 3 3 3 2 2 2 2" xfId="29706" xr:uid="{00000000-0005-0000-0000-0000E24C0000}"/>
    <cellStyle name="Normal 3 3 3 3 3 2 2 3" xfId="29705" xr:uid="{00000000-0005-0000-0000-0000E34C0000}"/>
    <cellStyle name="Normal 3 3 3 3 3 2 3" xfId="6210" xr:uid="{00000000-0005-0000-0000-0000E44C0000}"/>
    <cellStyle name="Normal 3 3 3 3 3 2 3 2" xfId="29707" xr:uid="{00000000-0005-0000-0000-0000E54C0000}"/>
    <cellStyle name="Normal 3 3 3 3 3 2 4" xfId="29704" xr:uid="{00000000-0005-0000-0000-0000E64C0000}"/>
    <cellStyle name="Normal 3 3 3 3 3 3" xfId="6211" xr:uid="{00000000-0005-0000-0000-0000E74C0000}"/>
    <cellStyle name="Normal 3 3 3 3 3 3 2" xfId="6212" xr:uid="{00000000-0005-0000-0000-0000E84C0000}"/>
    <cellStyle name="Normal 3 3 3 3 3 3 2 2" xfId="29709" xr:uid="{00000000-0005-0000-0000-0000E94C0000}"/>
    <cellStyle name="Normal 3 3 3 3 3 3 3" xfId="29708" xr:uid="{00000000-0005-0000-0000-0000EA4C0000}"/>
    <cellStyle name="Normal 3 3 3 3 3 4" xfId="6213" xr:uid="{00000000-0005-0000-0000-0000EB4C0000}"/>
    <cellStyle name="Normal 3 3 3 3 3 4 2" xfId="29710" xr:uid="{00000000-0005-0000-0000-0000EC4C0000}"/>
    <cellStyle name="Normal 3 3 3 3 3 5" xfId="29703" xr:uid="{00000000-0005-0000-0000-0000ED4C0000}"/>
    <cellStyle name="Normal 3 3 3 3 4" xfId="6214" xr:uid="{00000000-0005-0000-0000-0000EE4C0000}"/>
    <cellStyle name="Normal 3 3 3 3 4 2" xfId="6215" xr:uid="{00000000-0005-0000-0000-0000EF4C0000}"/>
    <cellStyle name="Normal 3 3 3 3 4 2 2" xfId="6216" xr:uid="{00000000-0005-0000-0000-0000F04C0000}"/>
    <cellStyle name="Normal 3 3 3 3 4 2 2 2" xfId="29713" xr:uid="{00000000-0005-0000-0000-0000F14C0000}"/>
    <cellStyle name="Normal 3 3 3 3 4 2 3" xfId="29712" xr:uid="{00000000-0005-0000-0000-0000F24C0000}"/>
    <cellStyle name="Normal 3 3 3 3 4 3" xfId="6217" xr:uid="{00000000-0005-0000-0000-0000F34C0000}"/>
    <cellStyle name="Normal 3 3 3 3 4 3 2" xfId="29714" xr:uid="{00000000-0005-0000-0000-0000F44C0000}"/>
    <cellStyle name="Normal 3 3 3 3 4 4" xfId="29711" xr:uid="{00000000-0005-0000-0000-0000F54C0000}"/>
    <cellStyle name="Normal 3 3 3 3 5" xfId="6218" xr:uid="{00000000-0005-0000-0000-0000F64C0000}"/>
    <cellStyle name="Normal 3 3 3 3 5 2" xfId="6219" xr:uid="{00000000-0005-0000-0000-0000F74C0000}"/>
    <cellStyle name="Normal 3 3 3 3 5 2 2" xfId="29716" xr:uid="{00000000-0005-0000-0000-0000F84C0000}"/>
    <cellStyle name="Normal 3 3 3 3 5 3" xfId="29715" xr:uid="{00000000-0005-0000-0000-0000F94C0000}"/>
    <cellStyle name="Normal 3 3 3 3 6" xfId="6220" xr:uid="{00000000-0005-0000-0000-0000FA4C0000}"/>
    <cellStyle name="Normal 3 3 3 3 6 2" xfId="29717" xr:uid="{00000000-0005-0000-0000-0000FB4C0000}"/>
    <cellStyle name="Normal 3 3 3 3 7" xfId="29694" xr:uid="{00000000-0005-0000-0000-0000FC4C0000}"/>
    <cellStyle name="Normal 3 3 3 4" xfId="6221" xr:uid="{00000000-0005-0000-0000-0000FD4C0000}"/>
    <cellStyle name="Normal 3 3 3 4 2" xfId="6222" xr:uid="{00000000-0005-0000-0000-0000FE4C0000}"/>
    <cellStyle name="Normal 3 3 3 4 2 2" xfId="6223" xr:uid="{00000000-0005-0000-0000-0000FF4C0000}"/>
    <cellStyle name="Normal 3 3 3 4 2 2 2" xfId="6224" xr:uid="{00000000-0005-0000-0000-0000004D0000}"/>
    <cellStyle name="Normal 3 3 3 4 2 2 2 2" xfId="6225" xr:uid="{00000000-0005-0000-0000-0000014D0000}"/>
    <cellStyle name="Normal 3 3 3 4 2 2 2 2 2" xfId="29722" xr:uid="{00000000-0005-0000-0000-0000024D0000}"/>
    <cellStyle name="Normal 3 3 3 4 2 2 2 3" xfId="29721" xr:uid="{00000000-0005-0000-0000-0000034D0000}"/>
    <cellStyle name="Normal 3 3 3 4 2 2 3" xfId="6226" xr:uid="{00000000-0005-0000-0000-0000044D0000}"/>
    <cellStyle name="Normal 3 3 3 4 2 2 3 2" xfId="29723" xr:uid="{00000000-0005-0000-0000-0000054D0000}"/>
    <cellStyle name="Normal 3 3 3 4 2 2 4" xfId="29720" xr:uid="{00000000-0005-0000-0000-0000064D0000}"/>
    <cellStyle name="Normal 3 3 3 4 2 3" xfId="6227" xr:uid="{00000000-0005-0000-0000-0000074D0000}"/>
    <cellStyle name="Normal 3 3 3 4 2 3 2" xfId="6228" xr:uid="{00000000-0005-0000-0000-0000084D0000}"/>
    <cellStyle name="Normal 3 3 3 4 2 3 2 2" xfId="29725" xr:uid="{00000000-0005-0000-0000-0000094D0000}"/>
    <cellStyle name="Normal 3 3 3 4 2 3 3" xfId="29724" xr:uid="{00000000-0005-0000-0000-00000A4D0000}"/>
    <cellStyle name="Normal 3 3 3 4 2 4" xfId="6229" xr:uid="{00000000-0005-0000-0000-00000B4D0000}"/>
    <cellStyle name="Normal 3 3 3 4 2 4 2" xfId="29726" xr:uid="{00000000-0005-0000-0000-00000C4D0000}"/>
    <cellStyle name="Normal 3 3 3 4 2 5" xfId="29719" xr:uid="{00000000-0005-0000-0000-00000D4D0000}"/>
    <cellStyle name="Normal 3 3 3 4 3" xfId="6230" xr:uid="{00000000-0005-0000-0000-00000E4D0000}"/>
    <cellStyle name="Normal 3 3 3 4 3 2" xfId="6231" xr:uid="{00000000-0005-0000-0000-00000F4D0000}"/>
    <cellStyle name="Normal 3 3 3 4 3 2 2" xfId="6232" xr:uid="{00000000-0005-0000-0000-0000104D0000}"/>
    <cellStyle name="Normal 3 3 3 4 3 2 2 2" xfId="6233" xr:uid="{00000000-0005-0000-0000-0000114D0000}"/>
    <cellStyle name="Normal 3 3 3 4 3 2 2 2 2" xfId="29730" xr:uid="{00000000-0005-0000-0000-0000124D0000}"/>
    <cellStyle name="Normal 3 3 3 4 3 2 2 3" xfId="29729" xr:uid="{00000000-0005-0000-0000-0000134D0000}"/>
    <cellStyle name="Normal 3 3 3 4 3 2 3" xfId="6234" xr:uid="{00000000-0005-0000-0000-0000144D0000}"/>
    <cellStyle name="Normal 3 3 3 4 3 2 3 2" xfId="29731" xr:uid="{00000000-0005-0000-0000-0000154D0000}"/>
    <cellStyle name="Normal 3 3 3 4 3 2 4" xfId="29728" xr:uid="{00000000-0005-0000-0000-0000164D0000}"/>
    <cellStyle name="Normal 3 3 3 4 3 3" xfId="6235" xr:uid="{00000000-0005-0000-0000-0000174D0000}"/>
    <cellStyle name="Normal 3 3 3 4 3 3 2" xfId="6236" xr:uid="{00000000-0005-0000-0000-0000184D0000}"/>
    <cellStyle name="Normal 3 3 3 4 3 3 2 2" xfId="29733" xr:uid="{00000000-0005-0000-0000-0000194D0000}"/>
    <cellStyle name="Normal 3 3 3 4 3 3 3" xfId="29732" xr:uid="{00000000-0005-0000-0000-00001A4D0000}"/>
    <cellStyle name="Normal 3 3 3 4 3 4" xfId="6237" xr:uid="{00000000-0005-0000-0000-00001B4D0000}"/>
    <cellStyle name="Normal 3 3 3 4 3 4 2" xfId="29734" xr:uid="{00000000-0005-0000-0000-00001C4D0000}"/>
    <cellStyle name="Normal 3 3 3 4 3 5" xfId="29727" xr:uid="{00000000-0005-0000-0000-00001D4D0000}"/>
    <cellStyle name="Normal 3 3 3 4 4" xfId="6238" xr:uid="{00000000-0005-0000-0000-00001E4D0000}"/>
    <cellStyle name="Normal 3 3 3 4 4 2" xfId="6239" xr:uid="{00000000-0005-0000-0000-00001F4D0000}"/>
    <cellStyle name="Normal 3 3 3 4 4 2 2" xfId="6240" xr:uid="{00000000-0005-0000-0000-0000204D0000}"/>
    <cellStyle name="Normal 3 3 3 4 4 2 2 2" xfId="29737" xr:uid="{00000000-0005-0000-0000-0000214D0000}"/>
    <cellStyle name="Normal 3 3 3 4 4 2 3" xfId="29736" xr:uid="{00000000-0005-0000-0000-0000224D0000}"/>
    <cellStyle name="Normal 3 3 3 4 4 3" xfId="6241" xr:uid="{00000000-0005-0000-0000-0000234D0000}"/>
    <cellStyle name="Normal 3 3 3 4 4 3 2" xfId="29738" xr:uid="{00000000-0005-0000-0000-0000244D0000}"/>
    <cellStyle name="Normal 3 3 3 4 4 4" xfId="29735" xr:uid="{00000000-0005-0000-0000-0000254D0000}"/>
    <cellStyle name="Normal 3 3 3 4 5" xfId="6242" xr:uid="{00000000-0005-0000-0000-0000264D0000}"/>
    <cellStyle name="Normal 3 3 3 4 5 2" xfId="6243" xr:uid="{00000000-0005-0000-0000-0000274D0000}"/>
    <cellStyle name="Normal 3 3 3 4 5 2 2" xfId="29740" xr:uid="{00000000-0005-0000-0000-0000284D0000}"/>
    <cellStyle name="Normal 3 3 3 4 5 3" xfId="29739" xr:uid="{00000000-0005-0000-0000-0000294D0000}"/>
    <cellStyle name="Normal 3 3 3 4 6" xfId="6244" xr:uid="{00000000-0005-0000-0000-00002A4D0000}"/>
    <cellStyle name="Normal 3 3 3 4 6 2" xfId="29741" xr:uid="{00000000-0005-0000-0000-00002B4D0000}"/>
    <cellStyle name="Normal 3 3 3 4 7" xfId="29718" xr:uid="{00000000-0005-0000-0000-00002C4D0000}"/>
    <cellStyle name="Normal 3 3 3 5" xfId="6245" xr:uid="{00000000-0005-0000-0000-00002D4D0000}"/>
    <cellStyle name="Normal 3 3 3 5 2" xfId="6246" xr:uid="{00000000-0005-0000-0000-00002E4D0000}"/>
    <cellStyle name="Normal 3 3 3 5 2 2" xfId="6247" xr:uid="{00000000-0005-0000-0000-00002F4D0000}"/>
    <cellStyle name="Normal 3 3 3 5 2 2 2" xfId="6248" xr:uid="{00000000-0005-0000-0000-0000304D0000}"/>
    <cellStyle name="Normal 3 3 3 5 2 2 2 2" xfId="6249" xr:uid="{00000000-0005-0000-0000-0000314D0000}"/>
    <cellStyle name="Normal 3 3 3 5 2 2 2 2 2" xfId="29746" xr:uid="{00000000-0005-0000-0000-0000324D0000}"/>
    <cellStyle name="Normal 3 3 3 5 2 2 2 3" xfId="29745" xr:uid="{00000000-0005-0000-0000-0000334D0000}"/>
    <cellStyle name="Normal 3 3 3 5 2 2 3" xfId="6250" xr:uid="{00000000-0005-0000-0000-0000344D0000}"/>
    <cellStyle name="Normal 3 3 3 5 2 2 3 2" xfId="29747" xr:uid="{00000000-0005-0000-0000-0000354D0000}"/>
    <cellStyle name="Normal 3 3 3 5 2 2 4" xfId="29744" xr:uid="{00000000-0005-0000-0000-0000364D0000}"/>
    <cellStyle name="Normal 3 3 3 5 2 3" xfId="6251" xr:uid="{00000000-0005-0000-0000-0000374D0000}"/>
    <cellStyle name="Normal 3 3 3 5 2 3 2" xfId="6252" xr:uid="{00000000-0005-0000-0000-0000384D0000}"/>
    <cellStyle name="Normal 3 3 3 5 2 3 2 2" xfId="29749" xr:uid="{00000000-0005-0000-0000-0000394D0000}"/>
    <cellStyle name="Normal 3 3 3 5 2 3 3" xfId="29748" xr:uid="{00000000-0005-0000-0000-00003A4D0000}"/>
    <cellStyle name="Normal 3 3 3 5 2 4" xfId="6253" xr:uid="{00000000-0005-0000-0000-00003B4D0000}"/>
    <cellStyle name="Normal 3 3 3 5 2 4 2" xfId="29750" xr:uid="{00000000-0005-0000-0000-00003C4D0000}"/>
    <cellStyle name="Normal 3 3 3 5 2 5" xfId="29743" xr:uid="{00000000-0005-0000-0000-00003D4D0000}"/>
    <cellStyle name="Normal 3 3 3 5 3" xfId="6254" xr:uid="{00000000-0005-0000-0000-00003E4D0000}"/>
    <cellStyle name="Normal 3 3 3 5 3 2" xfId="6255" xr:uid="{00000000-0005-0000-0000-00003F4D0000}"/>
    <cellStyle name="Normal 3 3 3 5 3 2 2" xfId="6256" xr:uid="{00000000-0005-0000-0000-0000404D0000}"/>
    <cellStyle name="Normal 3 3 3 5 3 2 2 2" xfId="6257" xr:uid="{00000000-0005-0000-0000-0000414D0000}"/>
    <cellStyle name="Normal 3 3 3 5 3 2 2 2 2" xfId="29754" xr:uid="{00000000-0005-0000-0000-0000424D0000}"/>
    <cellStyle name="Normal 3 3 3 5 3 2 2 3" xfId="29753" xr:uid="{00000000-0005-0000-0000-0000434D0000}"/>
    <cellStyle name="Normal 3 3 3 5 3 2 3" xfId="6258" xr:uid="{00000000-0005-0000-0000-0000444D0000}"/>
    <cellStyle name="Normal 3 3 3 5 3 2 3 2" xfId="29755" xr:uid="{00000000-0005-0000-0000-0000454D0000}"/>
    <cellStyle name="Normal 3 3 3 5 3 2 4" xfId="29752" xr:uid="{00000000-0005-0000-0000-0000464D0000}"/>
    <cellStyle name="Normal 3 3 3 5 3 3" xfId="6259" xr:uid="{00000000-0005-0000-0000-0000474D0000}"/>
    <cellStyle name="Normal 3 3 3 5 3 3 2" xfId="6260" xr:uid="{00000000-0005-0000-0000-0000484D0000}"/>
    <cellStyle name="Normal 3 3 3 5 3 3 2 2" xfId="29757" xr:uid="{00000000-0005-0000-0000-0000494D0000}"/>
    <cellStyle name="Normal 3 3 3 5 3 3 3" xfId="29756" xr:uid="{00000000-0005-0000-0000-00004A4D0000}"/>
    <cellStyle name="Normal 3 3 3 5 3 4" xfId="6261" xr:uid="{00000000-0005-0000-0000-00004B4D0000}"/>
    <cellStyle name="Normal 3 3 3 5 3 4 2" xfId="29758" xr:uid="{00000000-0005-0000-0000-00004C4D0000}"/>
    <cellStyle name="Normal 3 3 3 5 3 5" xfId="29751" xr:uid="{00000000-0005-0000-0000-00004D4D0000}"/>
    <cellStyle name="Normal 3 3 3 5 4" xfId="6262" xr:uid="{00000000-0005-0000-0000-00004E4D0000}"/>
    <cellStyle name="Normal 3 3 3 5 4 2" xfId="6263" xr:uid="{00000000-0005-0000-0000-00004F4D0000}"/>
    <cellStyle name="Normal 3 3 3 5 4 2 2" xfId="6264" xr:uid="{00000000-0005-0000-0000-0000504D0000}"/>
    <cellStyle name="Normal 3 3 3 5 4 2 2 2" xfId="29761" xr:uid="{00000000-0005-0000-0000-0000514D0000}"/>
    <cellStyle name="Normal 3 3 3 5 4 2 3" xfId="29760" xr:uid="{00000000-0005-0000-0000-0000524D0000}"/>
    <cellStyle name="Normal 3 3 3 5 4 3" xfId="6265" xr:uid="{00000000-0005-0000-0000-0000534D0000}"/>
    <cellStyle name="Normal 3 3 3 5 4 3 2" xfId="29762" xr:uid="{00000000-0005-0000-0000-0000544D0000}"/>
    <cellStyle name="Normal 3 3 3 5 4 4" xfId="29759" xr:uid="{00000000-0005-0000-0000-0000554D0000}"/>
    <cellStyle name="Normal 3 3 3 5 5" xfId="6266" xr:uid="{00000000-0005-0000-0000-0000564D0000}"/>
    <cellStyle name="Normal 3 3 3 5 5 2" xfId="6267" xr:uid="{00000000-0005-0000-0000-0000574D0000}"/>
    <cellStyle name="Normal 3 3 3 5 5 2 2" xfId="29764" xr:uid="{00000000-0005-0000-0000-0000584D0000}"/>
    <cellStyle name="Normal 3 3 3 5 5 3" xfId="29763" xr:uid="{00000000-0005-0000-0000-0000594D0000}"/>
    <cellStyle name="Normal 3 3 3 5 6" xfId="6268" xr:uid="{00000000-0005-0000-0000-00005A4D0000}"/>
    <cellStyle name="Normal 3 3 3 5 6 2" xfId="29765" xr:uid="{00000000-0005-0000-0000-00005B4D0000}"/>
    <cellStyle name="Normal 3 3 3 5 7" xfId="29742" xr:uid="{00000000-0005-0000-0000-00005C4D0000}"/>
    <cellStyle name="Normal 3 3 3 6" xfId="6269" xr:uid="{00000000-0005-0000-0000-00005D4D0000}"/>
    <cellStyle name="Normal 3 3 3 6 2" xfId="6270" xr:uid="{00000000-0005-0000-0000-00005E4D0000}"/>
    <cellStyle name="Normal 3 3 3 6 2 2" xfId="6271" xr:uid="{00000000-0005-0000-0000-00005F4D0000}"/>
    <cellStyle name="Normal 3 3 3 6 2 2 2" xfId="6272" xr:uid="{00000000-0005-0000-0000-0000604D0000}"/>
    <cellStyle name="Normal 3 3 3 6 2 2 2 2" xfId="29769" xr:uid="{00000000-0005-0000-0000-0000614D0000}"/>
    <cellStyle name="Normal 3 3 3 6 2 2 3" xfId="29768" xr:uid="{00000000-0005-0000-0000-0000624D0000}"/>
    <cellStyle name="Normal 3 3 3 6 2 3" xfId="6273" xr:uid="{00000000-0005-0000-0000-0000634D0000}"/>
    <cellStyle name="Normal 3 3 3 6 2 3 2" xfId="29770" xr:uid="{00000000-0005-0000-0000-0000644D0000}"/>
    <cellStyle name="Normal 3 3 3 6 2 4" xfId="29767" xr:uid="{00000000-0005-0000-0000-0000654D0000}"/>
    <cellStyle name="Normal 3 3 3 6 3" xfId="6274" xr:uid="{00000000-0005-0000-0000-0000664D0000}"/>
    <cellStyle name="Normal 3 3 3 6 3 2" xfId="6275" xr:uid="{00000000-0005-0000-0000-0000674D0000}"/>
    <cellStyle name="Normal 3 3 3 6 3 2 2" xfId="29772" xr:uid="{00000000-0005-0000-0000-0000684D0000}"/>
    <cellStyle name="Normal 3 3 3 6 3 3" xfId="29771" xr:uid="{00000000-0005-0000-0000-0000694D0000}"/>
    <cellStyle name="Normal 3 3 3 6 4" xfId="6276" xr:uid="{00000000-0005-0000-0000-00006A4D0000}"/>
    <cellStyle name="Normal 3 3 3 6 4 2" xfId="29773" xr:uid="{00000000-0005-0000-0000-00006B4D0000}"/>
    <cellStyle name="Normal 3 3 3 6 5" xfId="29766" xr:uid="{00000000-0005-0000-0000-00006C4D0000}"/>
    <cellStyle name="Normal 3 3 3 7" xfId="6277" xr:uid="{00000000-0005-0000-0000-00006D4D0000}"/>
    <cellStyle name="Normal 3 3 3 7 2" xfId="6278" xr:uid="{00000000-0005-0000-0000-00006E4D0000}"/>
    <cellStyle name="Normal 3 3 3 7 2 2" xfId="6279" xr:uid="{00000000-0005-0000-0000-00006F4D0000}"/>
    <cellStyle name="Normal 3 3 3 7 2 2 2" xfId="6280" xr:uid="{00000000-0005-0000-0000-0000704D0000}"/>
    <cellStyle name="Normal 3 3 3 7 2 2 2 2" xfId="29777" xr:uid="{00000000-0005-0000-0000-0000714D0000}"/>
    <cellStyle name="Normal 3 3 3 7 2 2 3" xfId="29776" xr:uid="{00000000-0005-0000-0000-0000724D0000}"/>
    <cellStyle name="Normal 3 3 3 7 2 3" xfId="6281" xr:uid="{00000000-0005-0000-0000-0000734D0000}"/>
    <cellStyle name="Normal 3 3 3 7 2 3 2" xfId="29778" xr:uid="{00000000-0005-0000-0000-0000744D0000}"/>
    <cellStyle name="Normal 3 3 3 7 2 4" xfId="29775" xr:uid="{00000000-0005-0000-0000-0000754D0000}"/>
    <cellStyle name="Normal 3 3 3 7 3" xfId="6282" xr:uid="{00000000-0005-0000-0000-0000764D0000}"/>
    <cellStyle name="Normal 3 3 3 7 3 2" xfId="6283" xr:uid="{00000000-0005-0000-0000-0000774D0000}"/>
    <cellStyle name="Normal 3 3 3 7 3 2 2" xfId="29780" xr:uid="{00000000-0005-0000-0000-0000784D0000}"/>
    <cellStyle name="Normal 3 3 3 7 3 3" xfId="29779" xr:uid="{00000000-0005-0000-0000-0000794D0000}"/>
    <cellStyle name="Normal 3 3 3 7 4" xfId="6284" xr:uid="{00000000-0005-0000-0000-00007A4D0000}"/>
    <cellStyle name="Normal 3 3 3 7 4 2" xfId="29781" xr:uid="{00000000-0005-0000-0000-00007B4D0000}"/>
    <cellStyle name="Normal 3 3 3 7 5" xfId="29774" xr:uid="{00000000-0005-0000-0000-00007C4D0000}"/>
    <cellStyle name="Normal 3 3 3 8" xfId="6285" xr:uid="{00000000-0005-0000-0000-00007D4D0000}"/>
    <cellStyle name="Normal 3 3 3 8 2" xfId="6286" xr:uid="{00000000-0005-0000-0000-00007E4D0000}"/>
    <cellStyle name="Normal 3 3 3 8 2 2" xfId="6287" xr:uid="{00000000-0005-0000-0000-00007F4D0000}"/>
    <cellStyle name="Normal 3 3 3 8 2 2 2" xfId="29784" xr:uid="{00000000-0005-0000-0000-0000804D0000}"/>
    <cellStyle name="Normal 3 3 3 8 2 3" xfId="29783" xr:uid="{00000000-0005-0000-0000-0000814D0000}"/>
    <cellStyle name="Normal 3 3 3 8 3" xfId="6288" xr:uid="{00000000-0005-0000-0000-0000824D0000}"/>
    <cellStyle name="Normal 3 3 3 8 3 2" xfId="29785" xr:uid="{00000000-0005-0000-0000-0000834D0000}"/>
    <cellStyle name="Normal 3 3 3 8 4" xfId="29782" xr:uid="{00000000-0005-0000-0000-0000844D0000}"/>
    <cellStyle name="Normal 3 3 3 9" xfId="6289" xr:uid="{00000000-0005-0000-0000-0000854D0000}"/>
    <cellStyle name="Normal 3 3 3 9 2" xfId="6290" xr:uid="{00000000-0005-0000-0000-0000864D0000}"/>
    <cellStyle name="Normal 3 3 3 9 2 2" xfId="29787" xr:uid="{00000000-0005-0000-0000-0000874D0000}"/>
    <cellStyle name="Normal 3 3 3 9 3" xfId="29786" xr:uid="{00000000-0005-0000-0000-0000884D0000}"/>
    <cellStyle name="Normal 3 3 4" xfId="6291" xr:uid="{00000000-0005-0000-0000-0000894D0000}"/>
    <cellStyle name="Normal 3 3 4 10" xfId="29788" xr:uid="{00000000-0005-0000-0000-00008A4D0000}"/>
    <cellStyle name="Normal 3 3 4 2" xfId="6292" xr:uid="{00000000-0005-0000-0000-00008B4D0000}"/>
    <cellStyle name="Normal 3 3 4 2 2" xfId="6293" xr:uid="{00000000-0005-0000-0000-00008C4D0000}"/>
    <cellStyle name="Normal 3 3 4 2 2 2" xfId="6294" xr:uid="{00000000-0005-0000-0000-00008D4D0000}"/>
    <cellStyle name="Normal 3 3 4 2 2 2 2" xfId="6295" xr:uid="{00000000-0005-0000-0000-00008E4D0000}"/>
    <cellStyle name="Normal 3 3 4 2 2 2 2 2" xfId="6296" xr:uid="{00000000-0005-0000-0000-00008F4D0000}"/>
    <cellStyle name="Normal 3 3 4 2 2 2 2 2 2" xfId="29793" xr:uid="{00000000-0005-0000-0000-0000904D0000}"/>
    <cellStyle name="Normal 3 3 4 2 2 2 2 3" xfId="29792" xr:uid="{00000000-0005-0000-0000-0000914D0000}"/>
    <cellStyle name="Normal 3 3 4 2 2 2 3" xfId="6297" xr:uid="{00000000-0005-0000-0000-0000924D0000}"/>
    <cellStyle name="Normal 3 3 4 2 2 2 3 2" xfId="29794" xr:uid="{00000000-0005-0000-0000-0000934D0000}"/>
    <cellStyle name="Normal 3 3 4 2 2 2 4" xfId="29791" xr:uid="{00000000-0005-0000-0000-0000944D0000}"/>
    <cellStyle name="Normal 3 3 4 2 2 3" xfId="6298" xr:uid="{00000000-0005-0000-0000-0000954D0000}"/>
    <cellStyle name="Normal 3 3 4 2 2 3 2" xfId="6299" xr:uid="{00000000-0005-0000-0000-0000964D0000}"/>
    <cellStyle name="Normal 3 3 4 2 2 3 2 2" xfId="29796" xr:uid="{00000000-0005-0000-0000-0000974D0000}"/>
    <cellStyle name="Normal 3 3 4 2 2 3 3" xfId="29795" xr:uid="{00000000-0005-0000-0000-0000984D0000}"/>
    <cellStyle name="Normal 3 3 4 2 2 4" xfId="6300" xr:uid="{00000000-0005-0000-0000-0000994D0000}"/>
    <cellStyle name="Normal 3 3 4 2 2 4 2" xfId="29797" xr:uid="{00000000-0005-0000-0000-00009A4D0000}"/>
    <cellStyle name="Normal 3 3 4 2 2 5" xfId="29790" xr:uid="{00000000-0005-0000-0000-00009B4D0000}"/>
    <cellStyle name="Normal 3 3 4 2 3" xfId="6301" xr:uid="{00000000-0005-0000-0000-00009C4D0000}"/>
    <cellStyle name="Normal 3 3 4 2 3 2" xfId="6302" xr:uid="{00000000-0005-0000-0000-00009D4D0000}"/>
    <cellStyle name="Normal 3 3 4 2 3 2 2" xfId="6303" xr:uid="{00000000-0005-0000-0000-00009E4D0000}"/>
    <cellStyle name="Normal 3 3 4 2 3 2 2 2" xfId="6304" xr:uid="{00000000-0005-0000-0000-00009F4D0000}"/>
    <cellStyle name="Normal 3 3 4 2 3 2 2 2 2" xfId="29801" xr:uid="{00000000-0005-0000-0000-0000A04D0000}"/>
    <cellStyle name="Normal 3 3 4 2 3 2 2 3" xfId="29800" xr:uid="{00000000-0005-0000-0000-0000A14D0000}"/>
    <cellStyle name="Normal 3 3 4 2 3 2 3" xfId="6305" xr:uid="{00000000-0005-0000-0000-0000A24D0000}"/>
    <cellStyle name="Normal 3 3 4 2 3 2 3 2" xfId="29802" xr:uid="{00000000-0005-0000-0000-0000A34D0000}"/>
    <cellStyle name="Normal 3 3 4 2 3 2 4" xfId="29799" xr:uid="{00000000-0005-0000-0000-0000A44D0000}"/>
    <cellStyle name="Normal 3 3 4 2 3 3" xfId="6306" xr:uid="{00000000-0005-0000-0000-0000A54D0000}"/>
    <cellStyle name="Normal 3 3 4 2 3 3 2" xfId="6307" xr:uid="{00000000-0005-0000-0000-0000A64D0000}"/>
    <cellStyle name="Normal 3 3 4 2 3 3 2 2" xfId="29804" xr:uid="{00000000-0005-0000-0000-0000A74D0000}"/>
    <cellStyle name="Normal 3 3 4 2 3 3 3" xfId="29803" xr:uid="{00000000-0005-0000-0000-0000A84D0000}"/>
    <cellStyle name="Normal 3 3 4 2 3 4" xfId="6308" xr:uid="{00000000-0005-0000-0000-0000A94D0000}"/>
    <cellStyle name="Normal 3 3 4 2 3 4 2" xfId="29805" xr:uid="{00000000-0005-0000-0000-0000AA4D0000}"/>
    <cellStyle name="Normal 3 3 4 2 3 5" xfId="29798" xr:uid="{00000000-0005-0000-0000-0000AB4D0000}"/>
    <cellStyle name="Normal 3 3 4 2 4" xfId="6309" xr:uid="{00000000-0005-0000-0000-0000AC4D0000}"/>
    <cellStyle name="Normal 3 3 4 2 4 2" xfId="6310" xr:uid="{00000000-0005-0000-0000-0000AD4D0000}"/>
    <cellStyle name="Normal 3 3 4 2 4 2 2" xfId="6311" xr:uid="{00000000-0005-0000-0000-0000AE4D0000}"/>
    <cellStyle name="Normal 3 3 4 2 4 2 2 2" xfId="29808" xr:uid="{00000000-0005-0000-0000-0000AF4D0000}"/>
    <cellStyle name="Normal 3 3 4 2 4 2 3" xfId="29807" xr:uid="{00000000-0005-0000-0000-0000B04D0000}"/>
    <cellStyle name="Normal 3 3 4 2 4 3" xfId="6312" xr:uid="{00000000-0005-0000-0000-0000B14D0000}"/>
    <cellStyle name="Normal 3 3 4 2 4 3 2" xfId="29809" xr:uid="{00000000-0005-0000-0000-0000B24D0000}"/>
    <cellStyle name="Normal 3 3 4 2 4 4" xfId="29806" xr:uid="{00000000-0005-0000-0000-0000B34D0000}"/>
    <cellStyle name="Normal 3 3 4 2 5" xfId="6313" xr:uid="{00000000-0005-0000-0000-0000B44D0000}"/>
    <cellStyle name="Normal 3 3 4 2 5 2" xfId="6314" xr:uid="{00000000-0005-0000-0000-0000B54D0000}"/>
    <cellStyle name="Normal 3 3 4 2 5 2 2" xfId="29811" xr:uid="{00000000-0005-0000-0000-0000B64D0000}"/>
    <cellStyle name="Normal 3 3 4 2 5 3" xfId="29810" xr:uid="{00000000-0005-0000-0000-0000B74D0000}"/>
    <cellStyle name="Normal 3 3 4 2 6" xfId="6315" xr:uid="{00000000-0005-0000-0000-0000B84D0000}"/>
    <cellStyle name="Normal 3 3 4 2 6 2" xfId="29812" xr:uid="{00000000-0005-0000-0000-0000B94D0000}"/>
    <cellStyle name="Normal 3 3 4 2 7" xfId="29789" xr:uid="{00000000-0005-0000-0000-0000BA4D0000}"/>
    <cellStyle name="Normal 3 3 4 3" xfId="6316" xr:uid="{00000000-0005-0000-0000-0000BB4D0000}"/>
    <cellStyle name="Normal 3 3 4 3 2" xfId="6317" xr:uid="{00000000-0005-0000-0000-0000BC4D0000}"/>
    <cellStyle name="Normal 3 3 4 3 2 2" xfId="6318" xr:uid="{00000000-0005-0000-0000-0000BD4D0000}"/>
    <cellStyle name="Normal 3 3 4 3 2 2 2" xfId="6319" xr:uid="{00000000-0005-0000-0000-0000BE4D0000}"/>
    <cellStyle name="Normal 3 3 4 3 2 2 2 2" xfId="6320" xr:uid="{00000000-0005-0000-0000-0000BF4D0000}"/>
    <cellStyle name="Normal 3 3 4 3 2 2 2 2 2" xfId="29817" xr:uid="{00000000-0005-0000-0000-0000C04D0000}"/>
    <cellStyle name="Normal 3 3 4 3 2 2 2 3" xfId="29816" xr:uid="{00000000-0005-0000-0000-0000C14D0000}"/>
    <cellStyle name="Normal 3 3 4 3 2 2 3" xfId="6321" xr:uid="{00000000-0005-0000-0000-0000C24D0000}"/>
    <cellStyle name="Normal 3 3 4 3 2 2 3 2" xfId="29818" xr:uid="{00000000-0005-0000-0000-0000C34D0000}"/>
    <cellStyle name="Normal 3 3 4 3 2 2 4" xfId="29815" xr:uid="{00000000-0005-0000-0000-0000C44D0000}"/>
    <cellStyle name="Normal 3 3 4 3 2 3" xfId="6322" xr:uid="{00000000-0005-0000-0000-0000C54D0000}"/>
    <cellStyle name="Normal 3 3 4 3 2 3 2" xfId="6323" xr:uid="{00000000-0005-0000-0000-0000C64D0000}"/>
    <cellStyle name="Normal 3 3 4 3 2 3 2 2" xfId="29820" xr:uid="{00000000-0005-0000-0000-0000C74D0000}"/>
    <cellStyle name="Normal 3 3 4 3 2 3 3" xfId="29819" xr:uid="{00000000-0005-0000-0000-0000C84D0000}"/>
    <cellStyle name="Normal 3 3 4 3 2 4" xfId="6324" xr:uid="{00000000-0005-0000-0000-0000C94D0000}"/>
    <cellStyle name="Normal 3 3 4 3 2 4 2" xfId="29821" xr:uid="{00000000-0005-0000-0000-0000CA4D0000}"/>
    <cellStyle name="Normal 3 3 4 3 2 5" xfId="29814" xr:uid="{00000000-0005-0000-0000-0000CB4D0000}"/>
    <cellStyle name="Normal 3 3 4 3 3" xfId="6325" xr:uid="{00000000-0005-0000-0000-0000CC4D0000}"/>
    <cellStyle name="Normal 3 3 4 3 3 2" xfId="6326" xr:uid="{00000000-0005-0000-0000-0000CD4D0000}"/>
    <cellStyle name="Normal 3 3 4 3 3 2 2" xfId="6327" xr:uid="{00000000-0005-0000-0000-0000CE4D0000}"/>
    <cellStyle name="Normal 3 3 4 3 3 2 2 2" xfId="6328" xr:uid="{00000000-0005-0000-0000-0000CF4D0000}"/>
    <cellStyle name="Normal 3 3 4 3 3 2 2 2 2" xfId="29825" xr:uid="{00000000-0005-0000-0000-0000D04D0000}"/>
    <cellStyle name="Normal 3 3 4 3 3 2 2 3" xfId="29824" xr:uid="{00000000-0005-0000-0000-0000D14D0000}"/>
    <cellStyle name="Normal 3 3 4 3 3 2 3" xfId="6329" xr:uid="{00000000-0005-0000-0000-0000D24D0000}"/>
    <cellStyle name="Normal 3 3 4 3 3 2 3 2" xfId="29826" xr:uid="{00000000-0005-0000-0000-0000D34D0000}"/>
    <cellStyle name="Normal 3 3 4 3 3 2 4" xfId="29823" xr:uid="{00000000-0005-0000-0000-0000D44D0000}"/>
    <cellStyle name="Normal 3 3 4 3 3 3" xfId="6330" xr:uid="{00000000-0005-0000-0000-0000D54D0000}"/>
    <cellStyle name="Normal 3 3 4 3 3 3 2" xfId="6331" xr:uid="{00000000-0005-0000-0000-0000D64D0000}"/>
    <cellStyle name="Normal 3 3 4 3 3 3 2 2" xfId="29828" xr:uid="{00000000-0005-0000-0000-0000D74D0000}"/>
    <cellStyle name="Normal 3 3 4 3 3 3 3" xfId="29827" xr:uid="{00000000-0005-0000-0000-0000D84D0000}"/>
    <cellStyle name="Normal 3 3 4 3 3 4" xfId="6332" xr:uid="{00000000-0005-0000-0000-0000D94D0000}"/>
    <cellStyle name="Normal 3 3 4 3 3 4 2" xfId="29829" xr:uid="{00000000-0005-0000-0000-0000DA4D0000}"/>
    <cellStyle name="Normal 3 3 4 3 3 5" xfId="29822" xr:uid="{00000000-0005-0000-0000-0000DB4D0000}"/>
    <cellStyle name="Normal 3 3 4 3 4" xfId="6333" xr:uid="{00000000-0005-0000-0000-0000DC4D0000}"/>
    <cellStyle name="Normal 3 3 4 3 4 2" xfId="6334" xr:uid="{00000000-0005-0000-0000-0000DD4D0000}"/>
    <cellStyle name="Normal 3 3 4 3 4 2 2" xfId="6335" xr:uid="{00000000-0005-0000-0000-0000DE4D0000}"/>
    <cellStyle name="Normal 3 3 4 3 4 2 2 2" xfId="29832" xr:uid="{00000000-0005-0000-0000-0000DF4D0000}"/>
    <cellStyle name="Normal 3 3 4 3 4 2 3" xfId="29831" xr:uid="{00000000-0005-0000-0000-0000E04D0000}"/>
    <cellStyle name="Normal 3 3 4 3 4 3" xfId="6336" xr:uid="{00000000-0005-0000-0000-0000E14D0000}"/>
    <cellStyle name="Normal 3 3 4 3 4 3 2" xfId="29833" xr:uid="{00000000-0005-0000-0000-0000E24D0000}"/>
    <cellStyle name="Normal 3 3 4 3 4 4" xfId="29830" xr:uid="{00000000-0005-0000-0000-0000E34D0000}"/>
    <cellStyle name="Normal 3 3 4 3 5" xfId="6337" xr:uid="{00000000-0005-0000-0000-0000E44D0000}"/>
    <cellStyle name="Normal 3 3 4 3 5 2" xfId="6338" xr:uid="{00000000-0005-0000-0000-0000E54D0000}"/>
    <cellStyle name="Normal 3 3 4 3 5 2 2" xfId="29835" xr:uid="{00000000-0005-0000-0000-0000E64D0000}"/>
    <cellStyle name="Normal 3 3 4 3 5 3" xfId="29834" xr:uid="{00000000-0005-0000-0000-0000E74D0000}"/>
    <cellStyle name="Normal 3 3 4 3 6" xfId="6339" xr:uid="{00000000-0005-0000-0000-0000E84D0000}"/>
    <cellStyle name="Normal 3 3 4 3 6 2" xfId="29836" xr:uid="{00000000-0005-0000-0000-0000E94D0000}"/>
    <cellStyle name="Normal 3 3 4 3 7" xfId="29813" xr:uid="{00000000-0005-0000-0000-0000EA4D0000}"/>
    <cellStyle name="Normal 3 3 4 4" xfId="6340" xr:uid="{00000000-0005-0000-0000-0000EB4D0000}"/>
    <cellStyle name="Normal 3 3 4 4 2" xfId="6341" xr:uid="{00000000-0005-0000-0000-0000EC4D0000}"/>
    <cellStyle name="Normal 3 3 4 4 2 2" xfId="6342" xr:uid="{00000000-0005-0000-0000-0000ED4D0000}"/>
    <cellStyle name="Normal 3 3 4 4 2 2 2" xfId="6343" xr:uid="{00000000-0005-0000-0000-0000EE4D0000}"/>
    <cellStyle name="Normal 3 3 4 4 2 2 2 2" xfId="6344" xr:uid="{00000000-0005-0000-0000-0000EF4D0000}"/>
    <cellStyle name="Normal 3 3 4 4 2 2 2 2 2" xfId="29841" xr:uid="{00000000-0005-0000-0000-0000F04D0000}"/>
    <cellStyle name="Normal 3 3 4 4 2 2 2 3" xfId="29840" xr:uid="{00000000-0005-0000-0000-0000F14D0000}"/>
    <cellStyle name="Normal 3 3 4 4 2 2 3" xfId="6345" xr:uid="{00000000-0005-0000-0000-0000F24D0000}"/>
    <cellStyle name="Normal 3 3 4 4 2 2 3 2" xfId="29842" xr:uid="{00000000-0005-0000-0000-0000F34D0000}"/>
    <cellStyle name="Normal 3 3 4 4 2 2 4" xfId="29839" xr:uid="{00000000-0005-0000-0000-0000F44D0000}"/>
    <cellStyle name="Normal 3 3 4 4 2 3" xfId="6346" xr:uid="{00000000-0005-0000-0000-0000F54D0000}"/>
    <cellStyle name="Normal 3 3 4 4 2 3 2" xfId="6347" xr:uid="{00000000-0005-0000-0000-0000F64D0000}"/>
    <cellStyle name="Normal 3 3 4 4 2 3 2 2" xfId="29844" xr:uid="{00000000-0005-0000-0000-0000F74D0000}"/>
    <cellStyle name="Normal 3 3 4 4 2 3 3" xfId="29843" xr:uid="{00000000-0005-0000-0000-0000F84D0000}"/>
    <cellStyle name="Normal 3 3 4 4 2 4" xfId="6348" xr:uid="{00000000-0005-0000-0000-0000F94D0000}"/>
    <cellStyle name="Normal 3 3 4 4 2 4 2" xfId="29845" xr:uid="{00000000-0005-0000-0000-0000FA4D0000}"/>
    <cellStyle name="Normal 3 3 4 4 2 5" xfId="29838" xr:uid="{00000000-0005-0000-0000-0000FB4D0000}"/>
    <cellStyle name="Normal 3 3 4 4 3" xfId="6349" xr:uid="{00000000-0005-0000-0000-0000FC4D0000}"/>
    <cellStyle name="Normal 3 3 4 4 3 2" xfId="6350" xr:uid="{00000000-0005-0000-0000-0000FD4D0000}"/>
    <cellStyle name="Normal 3 3 4 4 3 2 2" xfId="6351" xr:uid="{00000000-0005-0000-0000-0000FE4D0000}"/>
    <cellStyle name="Normal 3 3 4 4 3 2 2 2" xfId="6352" xr:uid="{00000000-0005-0000-0000-0000FF4D0000}"/>
    <cellStyle name="Normal 3 3 4 4 3 2 2 2 2" xfId="29849" xr:uid="{00000000-0005-0000-0000-0000004E0000}"/>
    <cellStyle name="Normal 3 3 4 4 3 2 2 3" xfId="29848" xr:uid="{00000000-0005-0000-0000-0000014E0000}"/>
    <cellStyle name="Normal 3 3 4 4 3 2 3" xfId="6353" xr:uid="{00000000-0005-0000-0000-0000024E0000}"/>
    <cellStyle name="Normal 3 3 4 4 3 2 3 2" xfId="29850" xr:uid="{00000000-0005-0000-0000-0000034E0000}"/>
    <cellStyle name="Normal 3 3 4 4 3 2 4" xfId="29847" xr:uid="{00000000-0005-0000-0000-0000044E0000}"/>
    <cellStyle name="Normal 3 3 4 4 3 3" xfId="6354" xr:uid="{00000000-0005-0000-0000-0000054E0000}"/>
    <cellStyle name="Normal 3 3 4 4 3 3 2" xfId="6355" xr:uid="{00000000-0005-0000-0000-0000064E0000}"/>
    <cellStyle name="Normal 3 3 4 4 3 3 2 2" xfId="29852" xr:uid="{00000000-0005-0000-0000-0000074E0000}"/>
    <cellStyle name="Normal 3 3 4 4 3 3 3" xfId="29851" xr:uid="{00000000-0005-0000-0000-0000084E0000}"/>
    <cellStyle name="Normal 3 3 4 4 3 4" xfId="6356" xr:uid="{00000000-0005-0000-0000-0000094E0000}"/>
    <cellStyle name="Normal 3 3 4 4 3 4 2" xfId="29853" xr:uid="{00000000-0005-0000-0000-00000A4E0000}"/>
    <cellStyle name="Normal 3 3 4 4 3 5" xfId="29846" xr:uid="{00000000-0005-0000-0000-00000B4E0000}"/>
    <cellStyle name="Normal 3 3 4 4 4" xfId="6357" xr:uid="{00000000-0005-0000-0000-00000C4E0000}"/>
    <cellStyle name="Normal 3 3 4 4 4 2" xfId="6358" xr:uid="{00000000-0005-0000-0000-00000D4E0000}"/>
    <cellStyle name="Normal 3 3 4 4 4 2 2" xfId="6359" xr:uid="{00000000-0005-0000-0000-00000E4E0000}"/>
    <cellStyle name="Normal 3 3 4 4 4 2 2 2" xfId="29856" xr:uid="{00000000-0005-0000-0000-00000F4E0000}"/>
    <cellStyle name="Normal 3 3 4 4 4 2 3" xfId="29855" xr:uid="{00000000-0005-0000-0000-0000104E0000}"/>
    <cellStyle name="Normal 3 3 4 4 4 3" xfId="6360" xr:uid="{00000000-0005-0000-0000-0000114E0000}"/>
    <cellStyle name="Normal 3 3 4 4 4 3 2" xfId="29857" xr:uid="{00000000-0005-0000-0000-0000124E0000}"/>
    <cellStyle name="Normal 3 3 4 4 4 4" xfId="29854" xr:uid="{00000000-0005-0000-0000-0000134E0000}"/>
    <cellStyle name="Normal 3 3 4 4 5" xfId="6361" xr:uid="{00000000-0005-0000-0000-0000144E0000}"/>
    <cellStyle name="Normal 3 3 4 4 5 2" xfId="6362" xr:uid="{00000000-0005-0000-0000-0000154E0000}"/>
    <cellStyle name="Normal 3 3 4 4 5 2 2" xfId="29859" xr:uid="{00000000-0005-0000-0000-0000164E0000}"/>
    <cellStyle name="Normal 3 3 4 4 5 3" xfId="29858" xr:uid="{00000000-0005-0000-0000-0000174E0000}"/>
    <cellStyle name="Normal 3 3 4 4 6" xfId="6363" xr:uid="{00000000-0005-0000-0000-0000184E0000}"/>
    <cellStyle name="Normal 3 3 4 4 6 2" xfId="29860" xr:uid="{00000000-0005-0000-0000-0000194E0000}"/>
    <cellStyle name="Normal 3 3 4 4 7" xfId="29837" xr:uid="{00000000-0005-0000-0000-00001A4E0000}"/>
    <cellStyle name="Normal 3 3 4 5" xfId="6364" xr:uid="{00000000-0005-0000-0000-00001B4E0000}"/>
    <cellStyle name="Normal 3 3 4 5 2" xfId="6365" xr:uid="{00000000-0005-0000-0000-00001C4E0000}"/>
    <cellStyle name="Normal 3 3 4 5 2 2" xfId="6366" xr:uid="{00000000-0005-0000-0000-00001D4E0000}"/>
    <cellStyle name="Normal 3 3 4 5 2 2 2" xfId="6367" xr:uid="{00000000-0005-0000-0000-00001E4E0000}"/>
    <cellStyle name="Normal 3 3 4 5 2 2 2 2" xfId="29864" xr:uid="{00000000-0005-0000-0000-00001F4E0000}"/>
    <cellStyle name="Normal 3 3 4 5 2 2 3" xfId="29863" xr:uid="{00000000-0005-0000-0000-0000204E0000}"/>
    <cellStyle name="Normal 3 3 4 5 2 3" xfId="6368" xr:uid="{00000000-0005-0000-0000-0000214E0000}"/>
    <cellStyle name="Normal 3 3 4 5 2 3 2" xfId="29865" xr:uid="{00000000-0005-0000-0000-0000224E0000}"/>
    <cellStyle name="Normal 3 3 4 5 2 4" xfId="29862" xr:uid="{00000000-0005-0000-0000-0000234E0000}"/>
    <cellStyle name="Normal 3 3 4 5 3" xfId="6369" xr:uid="{00000000-0005-0000-0000-0000244E0000}"/>
    <cellStyle name="Normal 3 3 4 5 3 2" xfId="6370" xr:uid="{00000000-0005-0000-0000-0000254E0000}"/>
    <cellStyle name="Normal 3 3 4 5 3 2 2" xfId="29867" xr:uid="{00000000-0005-0000-0000-0000264E0000}"/>
    <cellStyle name="Normal 3 3 4 5 3 3" xfId="29866" xr:uid="{00000000-0005-0000-0000-0000274E0000}"/>
    <cellStyle name="Normal 3 3 4 5 4" xfId="6371" xr:uid="{00000000-0005-0000-0000-0000284E0000}"/>
    <cellStyle name="Normal 3 3 4 5 4 2" xfId="29868" xr:uid="{00000000-0005-0000-0000-0000294E0000}"/>
    <cellStyle name="Normal 3 3 4 5 5" xfId="29861" xr:uid="{00000000-0005-0000-0000-00002A4E0000}"/>
    <cellStyle name="Normal 3 3 4 6" xfId="6372" xr:uid="{00000000-0005-0000-0000-00002B4E0000}"/>
    <cellStyle name="Normal 3 3 4 6 2" xfId="6373" xr:uid="{00000000-0005-0000-0000-00002C4E0000}"/>
    <cellStyle name="Normal 3 3 4 6 2 2" xfId="6374" xr:uid="{00000000-0005-0000-0000-00002D4E0000}"/>
    <cellStyle name="Normal 3 3 4 6 2 2 2" xfId="6375" xr:uid="{00000000-0005-0000-0000-00002E4E0000}"/>
    <cellStyle name="Normal 3 3 4 6 2 2 2 2" xfId="29872" xr:uid="{00000000-0005-0000-0000-00002F4E0000}"/>
    <cellStyle name="Normal 3 3 4 6 2 2 3" xfId="29871" xr:uid="{00000000-0005-0000-0000-0000304E0000}"/>
    <cellStyle name="Normal 3 3 4 6 2 3" xfId="6376" xr:uid="{00000000-0005-0000-0000-0000314E0000}"/>
    <cellStyle name="Normal 3 3 4 6 2 3 2" xfId="29873" xr:uid="{00000000-0005-0000-0000-0000324E0000}"/>
    <cellStyle name="Normal 3 3 4 6 2 4" xfId="29870" xr:uid="{00000000-0005-0000-0000-0000334E0000}"/>
    <cellStyle name="Normal 3 3 4 6 3" xfId="6377" xr:uid="{00000000-0005-0000-0000-0000344E0000}"/>
    <cellStyle name="Normal 3 3 4 6 3 2" xfId="6378" xr:uid="{00000000-0005-0000-0000-0000354E0000}"/>
    <cellStyle name="Normal 3 3 4 6 3 2 2" xfId="29875" xr:uid="{00000000-0005-0000-0000-0000364E0000}"/>
    <cellStyle name="Normal 3 3 4 6 3 3" xfId="29874" xr:uid="{00000000-0005-0000-0000-0000374E0000}"/>
    <cellStyle name="Normal 3 3 4 6 4" xfId="6379" xr:uid="{00000000-0005-0000-0000-0000384E0000}"/>
    <cellStyle name="Normal 3 3 4 6 4 2" xfId="29876" xr:uid="{00000000-0005-0000-0000-0000394E0000}"/>
    <cellStyle name="Normal 3 3 4 6 5" xfId="29869" xr:uid="{00000000-0005-0000-0000-00003A4E0000}"/>
    <cellStyle name="Normal 3 3 4 7" xfId="6380" xr:uid="{00000000-0005-0000-0000-00003B4E0000}"/>
    <cellStyle name="Normal 3 3 4 7 2" xfId="6381" xr:uid="{00000000-0005-0000-0000-00003C4E0000}"/>
    <cellStyle name="Normal 3 3 4 7 2 2" xfId="6382" xr:uid="{00000000-0005-0000-0000-00003D4E0000}"/>
    <cellStyle name="Normal 3 3 4 7 2 2 2" xfId="29879" xr:uid="{00000000-0005-0000-0000-00003E4E0000}"/>
    <cellStyle name="Normal 3 3 4 7 2 3" xfId="29878" xr:uid="{00000000-0005-0000-0000-00003F4E0000}"/>
    <cellStyle name="Normal 3 3 4 7 3" xfId="6383" xr:uid="{00000000-0005-0000-0000-0000404E0000}"/>
    <cellStyle name="Normal 3 3 4 7 3 2" xfId="29880" xr:uid="{00000000-0005-0000-0000-0000414E0000}"/>
    <cellStyle name="Normal 3 3 4 7 4" xfId="29877" xr:uid="{00000000-0005-0000-0000-0000424E0000}"/>
    <cellStyle name="Normal 3 3 4 8" xfId="6384" xr:uid="{00000000-0005-0000-0000-0000434E0000}"/>
    <cellStyle name="Normal 3 3 4 8 2" xfId="6385" xr:uid="{00000000-0005-0000-0000-0000444E0000}"/>
    <cellStyle name="Normal 3 3 4 8 2 2" xfId="29882" xr:uid="{00000000-0005-0000-0000-0000454E0000}"/>
    <cellStyle name="Normal 3 3 4 8 3" xfId="29881" xr:uid="{00000000-0005-0000-0000-0000464E0000}"/>
    <cellStyle name="Normal 3 3 4 9" xfId="6386" xr:uid="{00000000-0005-0000-0000-0000474E0000}"/>
    <cellStyle name="Normal 3 3 4 9 2" xfId="29883" xr:uid="{00000000-0005-0000-0000-0000484E0000}"/>
    <cellStyle name="Normal 3 3 5" xfId="6387" xr:uid="{00000000-0005-0000-0000-0000494E0000}"/>
    <cellStyle name="Normal 3 3 5 10" xfId="29884" xr:uid="{00000000-0005-0000-0000-00004A4E0000}"/>
    <cellStyle name="Normal 3 3 5 2" xfId="6388" xr:uid="{00000000-0005-0000-0000-00004B4E0000}"/>
    <cellStyle name="Normal 3 3 5 2 2" xfId="6389" xr:uid="{00000000-0005-0000-0000-00004C4E0000}"/>
    <cellStyle name="Normal 3 3 5 2 2 2" xfId="6390" xr:uid="{00000000-0005-0000-0000-00004D4E0000}"/>
    <cellStyle name="Normal 3 3 5 2 2 2 2" xfId="6391" xr:uid="{00000000-0005-0000-0000-00004E4E0000}"/>
    <cellStyle name="Normal 3 3 5 2 2 2 2 2" xfId="6392" xr:uid="{00000000-0005-0000-0000-00004F4E0000}"/>
    <cellStyle name="Normal 3 3 5 2 2 2 2 2 2" xfId="29889" xr:uid="{00000000-0005-0000-0000-0000504E0000}"/>
    <cellStyle name="Normal 3 3 5 2 2 2 2 3" xfId="29888" xr:uid="{00000000-0005-0000-0000-0000514E0000}"/>
    <cellStyle name="Normal 3 3 5 2 2 2 3" xfId="6393" xr:uid="{00000000-0005-0000-0000-0000524E0000}"/>
    <cellStyle name="Normal 3 3 5 2 2 2 3 2" xfId="29890" xr:uid="{00000000-0005-0000-0000-0000534E0000}"/>
    <cellStyle name="Normal 3 3 5 2 2 2 4" xfId="29887" xr:uid="{00000000-0005-0000-0000-0000544E0000}"/>
    <cellStyle name="Normal 3 3 5 2 2 3" xfId="6394" xr:uid="{00000000-0005-0000-0000-0000554E0000}"/>
    <cellStyle name="Normal 3 3 5 2 2 3 2" xfId="6395" xr:uid="{00000000-0005-0000-0000-0000564E0000}"/>
    <cellStyle name="Normal 3 3 5 2 2 3 2 2" xfId="29892" xr:uid="{00000000-0005-0000-0000-0000574E0000}"/>
    <cellStyle name="Normal 3 3 5 2 2 3 3" xfId="29891" xr:uid="{00000000-0005-0000-0000-0000584E0000}"/>
    <cellStyle name="Normal 3 3 5 2 2 4" xfId="6396" xr:uid="{00000000-0005-0000-0000-0000594E0000}"/>
    <cellStyle name="Normal 3 3 5 2 2 4 2" xfId="29893" xr:uid="{00000000-0005-0000-0000-00005A4E0000}"/>
    <cellStyle name="Normal 3 3 5 2 2 5" xfId="29886" xr:uid="{00000000-0005-0000-0000-00005B4E0000}"/>
    <cellStyle name="Normal 3 3 5 2 3" xfId="6397" xr:uid="{00000000-0005-0000-0000-00005C4E0000}"/>
    <cellStyle name="Normal 3 3 5 2 3 2" xfId="6398" xr:uid="{00000000-0005-0000-0000-00005D4E0000}"/>
    <cellStyle name="Normal 3 3 5 2 3 2 2" xfId="6399" xr:uid="{00000000-0005-0000-0000-00005E4E0000}"/>
    <cellStyle name="Normal 3 3 5 2 3 2 2 2" xfId="6400" xr:uid="{00000000-0005-0000-0000-00005F4E0000}"/>
    <cellStyle name="Normal 3 3 5 2 3 2 2 2 2" xfId="29897" xr:uid="{00000000-0005-0000-0000-0000604E0000}"/>
    <cellStyle name="Normal 3 3 5 2 3 2 2 3" xfId="29896" xr:uid="{00000000-0005-0000-0000-0000614E0000}"/>
    <cellStyle name="Normal 3 3 5 2 3 2 3" xfId="6401" xr:uid="{00000000-0005-0000-0000-0000624E0000}"/>
    <cellStyle name="Normal 3 3 5 2 3 2 3 2" xfId="29898" xr:uid="{00000000-0005-0000-0000-0000634E0000}"/>
    <cellStyle name="Normal 3 3 5 2 3 2 4" xfId="29895" xr:uid="{00000000-0005-0000-0000-0000644E0000}"/>
    <cellStyle name="Normal 3 3 5 2 3 3" xfId="6402" xr:uid="{00000000-0005-0000-0000-0000654E0000}"/>
    <cellStyle name="Normal 3 3 5 2 3 3 2" xfId="6403" xr:uid="{00000000-0005-0000-0000-0000664E0000}"/>
    <cellStyle name="Normal 3 3 5 2 3 3 2 2" xfId="29900" xr:uid="{00000000-0005-0000-0000-0000674E0000}"/>
    <cellStyle name="Normal 3 3 5 2 3 3 3" xfId="29899" xr:uid="{00000000-0005-0000-0000-0000684E0000}"/>
    <cellStyle name="Normal 3 3 5 2 3 4" xfId="6404" xr:uid="{00000000-0005-0000-0000-0000694E0000}"/>
    <cellStyle name="Normal 3 3 5 2 3 4 2" xfId="29901" xr:uid="{00000000-0005-0000-0000-00006A4E0000}"/>
    <cellStyle name="Normal 3 3 5 2 3 5" xfId="29894" xr:uid="{00000000-0005-0000-0000-00006B4E0000}"/>
    <cellStyle name="Normal 3 3 5 2 4" xfId="6405" xr:uid="{00000000-0005-0000-0000-00006C4E0000}"/>
    <cellStyle name="Normal 3 3 5 2 4 2" xfId="6406" xr:uid="{00000000-0005-0000-0000-00006D4E0000}"/>
    <cellStyle name="Normal 3 3 5 2 4 2 2" xfId="6407" xr:uid="{00000000-0005-0000-0000-00006E4E0000}"/>
    <cellStyle name="Normal 3 3 5 2 4 2 2 2" xfId="29904" xr:uid="{00000000-0005-0000-0000-00006F4E0000}"/>
    <cellStyle name="Normal 3 3 5 2 4 2 3" xfId="29903" xr:uid="{00000000-0005-0000-0000-0000704E0000}"/>
    <cellStyle name="Normal 3 3 5 2 4 3" xfId="6408" xr:uid="{00000000-0005-0000-0000-0000714E0000}"/>
    <cellStyle name="Normal 3 3 5 2 4 3 2" xfId="29905" xr:uid="{00000000-0005-0000-0000-0000724E0000}"/>
    <cellStyle name="Normal 3 3 5 2 4 4" xfId="29902" xr:uid="{00000000-0005-0000-0000-0000734E0000}"/>
    <cellStyle name="Normal 3 3 5 2 5" xfId="6409" xr:uid="{00000000-0005-0000-0000-0000744E0000}"/>
    <cellStyle name="Normal 3 3 5 2 5 2" xfId="6410" xr:uid="{00000000-0005-0000-0000-0000754E0000}"/>
    <cellStyle name="Normal 3 3 5 2 5 2 2" xfId="29907" xr:uid="{00000000-0005-0000-0000-0000764E0000}"/>
    <cellStyle name="Normal 3 3 5 2 5 3" xfId="29906" xr:uid="{00000000-0005-0000-0000-0000774E0000}"/>
    <cellStyle name="Normal 3 3 5 2 6" xfId="6411" xr:uid="{00000000-0005-0000-0000-0000784E0000}"/>
    <cellStyle name="Normal 3 3 5 2 6 2" xfId="29908" xr:uid="{00000000-0005-0000-0000-0000794E0000}"/>
    <cellStyle name="Normal 3 3 5 2 7" xfId="29885" xr:uid="{00000000-0005-0000-0000-00007A4E0000}"/>
    <cellStyle name="Normal 3 3 5 3" xfId="6412" xr:uid="{00000000-0005-0000-0000-00007B4E0000}"/>
    <cellStyle name="Normal 3 3 5 3 2" xfId="6413" xr:uid="{00000000-0005-0000-0000-00007C4E0000}"/>
    <cellStyle name="Normal 3 3 5 3 2 2" xfId="6414" xr:uid="{00000000-0005-0000-0000-00007D4E0000}"/>
    <cellStyle name="Normal 3 3 5 3 2 2 2" xfId="6415" xr:uid="{00000000-0005-0000-0000-00007E4E0000}"/>
    <cellStyle name="Normal 3 3 5 3 2 2 2 2" xfId="6416" xr:uid="{00000000-0005-0000-0000-00007F4E0000}"/>
    <cellStyle name="Normal 3 3 5 3 2 2 2 2 2" xfId="29913" xr:uid="{00000000-0005-0000-0000-0000804E0000}"/>
    <cellStyle name="Normal 3 3 5 3 2 2 2 3" xfId="29912" xr:uid="{00000000-0005-0000-0000-0000814E0000}"/>
    <cellStyle name="Normal 3 3 5 3 2 2 3" xfId="6417" xr:uid="{00000000-0005-0000-0000-0000824E0000}"/>
    <cellStyle name="Normal 3 3 5 3 2 2 3 2" xfId="29914" xr:uid="{00000000-0005-0000-0000-0000834E0000}"/>
    <cellStyle name="Normal 3 3 5 3 2 2 4" xfId="29911" xr:uid="{00000000-0005-0000-0000-0000844E0000}"/>
    <cellStyle name="Normal 3 3 5 3 2 3" xfId="6418" xr:uid="{00000000-0005-0000-0000-0000854E0000}"/>
    <cellStyle name="Normal 3 3 5 3 2 3 2" xfId="6419" xr:uid="{00000000-0005-0000-0000-0000864E0000}"/>
    <cellStyle name="Normal 3 3 5 3 2 3 2 2" xfId="29916" xr:uid="{00000000-0005-0000-0000-0000874E0000}"/>
    <cellStyle name="Normal 3 3 5 3 2 3 3" xfId="29915" xr:uid="{00000000-0005-0000-0000-0000884E0000}"/>
    <cellStyle name="Normal 3 3 5 3 2 4" xfId="6420" xr:uid="{00000000-0005-0000-0000-0000894E0000}"/>
    <cellStyle name="Normal 3 3 5 3 2 4 2" xfId="29917" xr:uid="{00000000-0005-0000-0000-00008A4E0000}"/>
    <cellStyle name="Normal 3 3 5 3 2 5" xfId="29910" xr:uid="{00000000-0005-0000-0000-00008B4E0000}"/>
    <cellStyle name="Normal 3 3 5 3 3" xfId="6421" xr:uid="{00000000-0005-0000-0000-00008C4E0000}"/>
    <cellStyle name="Normal 3 3 5 3 3 2" xfId="6422" xr:uid="{00000000-0005-0000-0000-00008D4E0000}"/>
    <cellStyle name="Normal 3 3 5 3 3 2 2" xfId="6423" xr:uid="{00000000-0005-0000-0000-00008E4E0000}"/>
    <cellStyle name="Normal 3 3 5 3 3 2 2 2" xfId="6424" xr:uid="{00000000-0005-0000-0000-00008F4E0000}"/>
    <cellStyle name="Normal 3 3 5 3 3 2 2 2 2" xfId="29921" xr:uid="{00000000-0005-0000-0000-0000904E0000}"/>
    <cellStyle name="Normal 3 3 5 3 3 2 2 3" xfId="29920" xr:uid="{00000000-0005-0000-0000-0000914E0000}"/>
    <cellStyle name="Normal 3 3 5 3 3 2 3" xfId="6425" xr:uid="{00000000-0005-0000-0000-0000924E0000}"/>
    <cellStyle name="Normal 3 3 5 3 3 2 3 2" xfId="29922" xr:uid="{00000000-0005-0000-0000-0000934E0000}"/>
    <cellStyle name="Normal 3 3 5 3 3 2 4" xfId="29919" xr:uid="{00000000-0005-0000-0000-0000944E0000}"/>
    <cellStyle name="Normal 3 3 5 3 3 3" xfId="6426" xr:uid="{00000000-0005-0000-0000-0000954E0000}"/>
    <cellStyle name="Normal 3 3 5 3 3 3 2" xfId="6427" xr:uid="{00000000-0005-0000-0000-0000964E0000}"/>
    <cellStyle name="Normal 3 3 5 3 3 3 2 2" xfId="29924" xr:uid="{00000000-0005-0000-0000-0000974E0000}"/>
    <cellStyle name="Normal 3 3 5 3 3 3 3" xfId="29923" xr:uid="{00000000-0005-0000-0000-0000984E0000}"/>
    <cellStyle name="Normal 3 3 5 3 3 4" xfId="6428" xr:uid="{00000000-0005-0000-0000-0000994E0000}"/>
    <cellStyle name="Normal 3 3 5 3 3 4 2" xfId="29925" xr:uid="{00000000-0005-0000-0000-00009A4E0000}"/>
    <cellStyle name="Normal 3 3 5 3 3 5" xfId="29918" xr:uid="{00000000-0005-0000-0000-00009B4E0000}"/>
    <cellStyle name="Normal 3 3 5 3 4" xfId="6429" xr:uid="{00000000-0005-0000-0000-00009C4E0000}"/>
    <cellStyle name="Normal 3 3 5 3 4 2" xfId="6430" xr:uid="{00000000-0005-0000-0000-00009D4E0000}"/>
    <cellStyle name="Normal 3 3 5 3 4 2 2" xfId="6431" xr:uid="{00000000-0005-0000-0000-00009E4E0000}"/>
    <cellStyle name="Normal 3 3 5 3 4 2 2 2" xfId="29928" xr:uid="{00000000-0005-0000-0000-00009F4E0000}"/>
    <cellStyle name="Normal 3 3 5 3 4 2 3" xfId="29927" xr:uid="{00000000-0005-0000-0000-0000A04E0000}"/>
    <cellStyle name="Normal 3 3 5 3 4 3" xfId="6432" xr:uid="{00000000-0005-0000-0000-0000A14E0000}"/>
    <cellStyle name="Normal 3 3 5 3 4 3 2" xfId="29929" xr:uid="{00000000-0005-0000-0000-0000A24E0000}"/>
    <cellStyle name="Normal 3 3 5 3 4 4" xfId="29926" xr:uid="{00000000-0005-0000-0000-0000A34E0000}"/>
    <cellStyle name="Normal 3 3 5 3 5" xfId="6433" xr:uid="{00000000-0005-0000-0000-0000A44E0000}"/>
    <cellStyle name="Normal 3 3 5 3 5 2" xfId="6434" xr:uid="{00000000-0005-0000-0000-0000A54E0000}"/>
    <cellStyle name="Normal 3 3 5 3 5 2 2" xfId="29931" xr:uid="{00000000-0005-0000-0000-0000A64E0000}"/>
    <cellStyle name="Normal 3 3 5 3 5 3" xfId="29930" xr:uid="{00000000-0005-0000-0000-0000A74E0000}"/>
    <cellStyle name="Normal 3 3 5 3 6" xfId="6435" xr:uid="{00000000-0005-0000-0000-0000A84E0000}"/>
    <cellStyle name="Normal 3 3 5 3 6 2" xfId="29932" xr:uid="{00000000-0005-0000-0000-0000A94E0000}"/>
    <cellStyle name="Normal 3 3 5 3 7" xfId="29909" xr:uid="{00000000-0005-0000-0000-0000AA4E0000}"/>
    <cellStyle name="Normal 3 3 5 4" xfId="6436" xr:uid="{00000000-0005-0000-0000-0000AB4E0000}"/>
    <cellStyle name="Normal 3 3 5 4 2" xfId="6437" xr:uid="{00000000-0005-0000-0000-0000AC4E0000}"/>
    <cellStyle name="Normal 3 3 5 4 2 2" xfId="6438" xr:uid="{00000000-0005-0000-0000-0000AD4E0000}"/>
    <cellStyle name="Normal 3 3 5 4 2 2 2" xfId="6439" xr:uid="{00000000-0005-0000-0000-0000AE4E0000}"/>
    <cellStyle name="Normal 3 3 5 4 2 2 2 2" xfId="6440" xr:uid="{00000000-0005-0000-0000-0000AF4E0000}"/>
    <cellStyle name="Normal 3 3 5 4 2 2 2 2 2" xfId="29937" xr:uid="{00000000-0005-0000-0000-0000B04E0000}"/>
    <cellStyle name="Normal 3 3 5 4 2 2 2 3" xfId="29936" xr:uid="{00000000-0005-0000-0000-0000B14E0000}"/>
    <cellStyle name="Normal 3 3 5 4 2 2 3" xfId="6441" xr:uid="{00000000-0005-0000-0000-0000B24E0000}"/>
    <cellStyle name="Normal 3 3 5 4 2 2 3 2" xfId="29938" xr:uid="{00000000-0005-0000-0000-0000B34E0000}"/>
    <cellStyle name="Normal 3 3 5 4 2 2 4" xfId="29935" xr:uid="{00000000-0005-0000-0000-0000B44E0000}"/>
    <cellStyle name="Normal 3 3 5 4 2 3" xfId="6442" xr:uid="{00000000-0005-0000-0000-0000B54E0000}"/>
    <cellStyle name="Normal 3 3 5 4 2 3 2" xfId="6443" xr:uid="{00000000-0005-0000-0000-0000B64E0000}"/>
    <cellStyle name="Normal 3 3 5 4 2 3 2 2" xfId="29940" xr:uid="{00000000-0005-0000-0000-0000B74E0000}"/>
    <cellStyle name="Normal 3 3 5 4 2 3 3" xfId="29939" xr:uid="{00000000-0005-0000-0000-0000B84E0000}"/>
    <cellStyle name="Normal 3 3 5 4 2 4" xfId="6444" xr:uid="{00000000-0005-0000-0000-0000B94E0000}"/>
    <cellStyle name="Normal 3 3 5 4 2 4 2" xfId="29941" xr:uid="{00000000-0005-0000-0000-0000BA4E0000}"/>
    <cellStyle name="Normal 3 3 5 4 2 5" xfId="29934" xr:uid="{00000000-0005-0000-0000-0000BB4E0000}"/>
    <cellStyle name="Normal 3 3 5 4 3" xfId="6445" xr:uid="{00000000-0005-0000-0000-0000BC4E0000}"/>
    <cellStyle name="Normal 3 3 5 4 3 2" xfId="6446" xr:uid="{00000000-0005-0000-0000-0000BD4E0000}"/>
    <cellStyle name="Normal 3 3 5 4 3 2 2" xfId="6447" xr:uid="{00000000-0005-0000-0000-0000BE4E0000}"/>
    <cellStyle name="Normal 3 3 5 4 3 2 2 2" xfId="6448" xr:uid="{00000000-0005-0000-0000-0000BF4E0000}"/>
    <cellStyle name="Normal 3 3 5 4 3 2 2 2 2" xfId="29945" xr:uid="{00000000-0005-0000-0000-0000C04E0000}"/>
    <cellStyle name="Normal 3 3 5 4 3 2 2 3" xfId="29944" xr:uid="{00000000-0005-0000-0000-0000C14E0000}"/>
    <cellStyle name="Normal 3 3 5 4 3 2 3" xfId="6449" xr:uid="{00000000-0005-0000-0000-0000C24E0000}"/>
    <cellStyle name="Normal 3 3 5 4 3 2 3 2" xfId="29946" xr:uid="{00000000-0005-0000-0000-0000C34E0000}"/>
    <cellStyle name="Normal 3 3 5 4 3 2 4" xfId="29943" xr:uid="{00000000-0005-0000-0000-0000C44E0000}"/>
    <cellStyle name="Normal 3 3 5 4 3 3" xfId="6450" xr:uid="{00000000-0005-0000-0000-0000C54E0000}"/>
    <cellStyle name="Normal 3 3 5 4 3 3 2" xfId="6451" xr:uid="{00000000-0005-0000-0000-0000C64E0000}"/>
    <cellStyle name="Normal 3 3 5 4 3 3 2 2" xfId="29948" xr:uid="{00000000-0005-0000-0000-0000C74E0000}"/>
    <cellStyle name="Normal 3 3 5 4 3 3 3" xfId="29947" xr:uid="{00000000-0005-0000-0000-0000C84E0000}"/>
    <cellStyle name="Normal 3 3 5 4 3 4" xfId="6452" xr:uid="{00000000-0005-0000-0000-0000C94E0000}"/>
    <cellStyle name="Normal 3 3 5 4 3 4 2" xfId="29949" xr:uid="{00000000-0005-0000-0000-0000CA4E0000}"/>
    <cellStyle name="Normal 3 3 5 4 3 5" xfId="29942" xr:uid="{00000000-0005-0000-0000-0000CB4E0000}"/>
    <cellStyle name="Normal 3 3 5 4 4" xfId="6453" xr:uid="{00000000-0005-0000-0000-0000CC4E0000}"/>
    <cellStyle name="Normal 3 3 5 4 4 2" xfId="6454" xr:uid="{00000000-0005-0000-0000-0000CD4E0000}"/>
    <cellStyle name="Normal 3 3 5 4 4 2 2" xfId="6455" xr:uid="{00000000-0005-0000-0000-0000CE4E0000}"/>
    <cellStyle name="Normal 3 3 5 4 4 2 2 2" xfId="29952" xr:uid="{00000000-0005-0000-0000-0000CF4E0000}"/>
    <cellStyle name="Normal 3 3 5 4 4 2 3" xfId="29951" xr:uid="{00000000-0005-0000-0000-0000D04E0000}"/>
    <cellStyle name="Normal 3 3 5 4 4 3" xfId="6456" xr:uid="{00000000-0005-0000-0000-0000D14E0000}"/>
    <cellStyle name="Normal 3 3 5 4 4 3 2" xfId="29953" xr:uid="{00000000-0005-0000-0000-0000D24E0000}"/>
    <cellStyle name="Normal 3 3 5 4 4 4" xfId="29950" xr:uid="{00000000-0005-0000-0000-0000D34E0000}"/>
    <cellStyle name="Normal 3 3 5 4 5" xfId="6457" xr:uid="{00000000-0005-0000-0000-0000D44E0000}"/>
    <cellStyle name="Normal 3 3 5 4 5 2" xfId="6458" xr:uid="{00000000-0005-0000-0000-0000D54E0000}"/>
    <cellStyle name="Normal 3 3 5 4 5 2 2" xfId="29955" xr:uid="{00000000-0005-0000-0000-0000D64E0000}"/>
    <cellStyle name="Normal 3 3 5 4 5 3" xfId="29954" xr:uid="{00000000-0005-0000-0000-0000D74E0000}"/>
    <cellStyle name="Normal 3 3 5 4 6" xfId="6459" xr:uid="{00000000-0005-0000-0000-0000D84E0000}"/>
    <cellStyle name="Normal 3 3 5 4 6 2" xfId="29956" xr:uid="{00000000-0005-0000-0000-0000D94E0000}"/>
    <cellStyle name="Normal 3 3 5 4 7" xfId="29933" xr:uid="{00000000-0005-0000-0000-0000DA4E0000}"/>
    <cellStyle name="Normal 3 3 5 5" xfId="6460" xr:uid="{00000000-0005-0000-0000-0000DB4E0000}"/>
    <cellStyle name="Normal 3 3 5 5 2" xfId="6461" xr:uid="{00000000-0005-0000-0000-0000DC4E0000}"/>
    <cellStyle name="Normal 3 3 5 5 2 2" xfId="6462" xr:uid="{00000000-0005-0000-0000-0000DD4E0000}"/>
    <cellStyle name="Normal 3 3 5 5 2 2 2" xfId="6463" xr:uid="{00000000-0005-0000-0000-0000DE4E0000}"/>
    <cellStyle name="Normal 3 3 5 5 2 2 2 2" xfId="29960" xr:uid="{00000000-0005-0000-0000-0000DF4E0000}"/>
    <cellStyle name="Normal 3 3 5 5 2 2 3" xfId="29959" xr:uid="{00000000-0005-0000-0000-0000E04E0000}"/>
    <cellStyle name="Normal 3 3 5 5 2 3" xfId="6464" xr:uid="{00000000-0005-0000-0000-0000E14E0000}"/>
    <cellStyle name="Normal 3 3 5 5 2 3 2" xfId="29961" xr:uid="{00000000-0005-0000-0000-0000E24E0000}"/>
    <cellStyle name="Normal 3 3 5 5 2 4" xfId="29958" xr:uid="{00000000-0005-0000-0000-0000E34E0000}"/>
    <cellStyle name="Normal 3 3 5 5 3" xfId="6465" xr:uid="{00000000-0005-0000-0000-0000E44E0000}"/>
    <cellStyle name="Normal 3 3 5 5 3 2" xfId="6466" xr:uid="{00000000-0005-0000-0000-0000E54E0000}"/>
    <cellStyle name="Normal 3 3 5 5 3 2 2" xfId="29963" xr:uid="{00000000-0005-0000-0000-0000E64E0000}"/>
    <cellStyle name="Normal 3 3 5 5 3 3" xfId="29962" xr:uid="{00000000-0005-0000-0000-0000E74E0000}"/>
    <cellStyle name="Normal 3 3 5 5 4" xfId="6467" xr:uid="{00000000-0005-0000-0000-0000E84E0000}"/>
    <cellStyle name="Normal 3 3 5 5 4 2" xfId="29964" xr:uid="{00000000-0005-0000-0000-0000E94E0000}"/>
    <cellStyle name="Normal 3 3 5 5 5" xfId="29957" xr:uid="{00000000-0005-0000-0000-0000EA4E0000}"/>
    <cellStyle name="Normal 3 3 5 6" xfId="6468" xr:uid="{00000000-0005-0000-0000-0000EB4E0000}"/>
    <cellStyle name="Normal 3 3 5 6 2" xfId="6469" xr:uid="{00000000-0005-0000-0000-0000EC4E0000}"/>
    <cellStyle name="Normal 3 3 5 6 2 2" xfId="6470" xr:uid="{00000000-0005-0000-0000-0000ED4E0000}"/>
    <cellStyle name="Normal 3 3 5 6 2 2 2" xfId="6471" xr:uid="{00000000-0005-0000-0000-0000EE4E0000}"/>
    <cellStyle name="Normal 3 3 5 6 2 2 2 2" xfId="29968" xr:uid="{00000000-0005-0000-0000-0000EF4E0000}"/>
    <cellStyle name="Normal 3 3 5 6 2 2 3" xfId="29967" xr:uid="{00000000-0005-0000-0000-0000F04E0000}"/>
    <cellStyle name="Normal 3 3 5 6 2 3" xfId="6472" xr:uid="{00000000-0005-0000-0000-0000F14E0000}"/>
    <cellStyle name="Normal 3 3 5 6 2 3 2" xfId="29969" xr:uid="{00000000-0005-0000-0000-0000F24E0000}"/>
    <cellStyle name="Normal 3 3 5 6 2 4" xfId="29966" xr:uid="{00000000-0005-0000-0000-0000F34E0000}"/>
    <cellStyle name="Normal 3 3 5 6 3" xfId="6473" xr:uid="{00000000-0005-0000-0000-0000F44E0000}"/>
    <cellStyle name="Normal 3 3 5 6 3 2" xfId="6474" xr:uid="{00000000-0005-0000-0000-0000F54E0000}"/>
    <cellStyle name="Normal 3 3 5 6 3 2 2" xfId="29971" xr:uid="{00000000-0005-0000-0000-0000F64E0000}"/>
    <cellStyle name="Normal 3 3 5 6 3 3" xfId="29970" xr:uid="{00000000-0005-0000-0000-0000F74E0000}"/>
    <cellStyle name="Normal 3 3 5 6 4" xfId="6475" xr:uid="{00000000-0005-0000-0000-0000F84E0000}"/>
    <cellStyle name="Normal 3 3 5 6 4 2" xfId="29972" xr:uid="{00000000-0005-0000-0000-0000F94E0000}"/>
    <cellStyle name="Normal 3 3 5 6 5" xfId="29965" xr:uid="{00000000-0005-0000-0000-0000FA4E0000}"/>
    <cellStyle name="Normal 3 3 5 7" xfId="6476" xr:uid="{00000000-0005-0000-0000-0000FB4E0000}"/>
    <cellStyle name="Normal 3 3 5 7 2" xfId="6477" xr:uid="{00000000-0005-0000-0000-0000FC4E0000}"/>
    <cellStyle name="Normal 3 3 5 7 2 2" xfId="6478" xr:uid="{00000000-0005-0000-0000-0000FD4E0000}"/>
    <cellStyle name="Normal 3 3 5 7 2 2 2" xfId="29975" xr:uid="{00000000-0005-0000-0000-0000FE4E0000}"/>
    <cellStyle name="Normal 3 3 5 7 2 3" xfId="29974" xr:uid="{00000000-0005-0000-0000-0000FF4E0000}"/>
    <cellStyle name="Normal 3 3 5 7 3" xfId="6479" xr:uid="{00000000-0005-0000-0000-0000004F0000}"/>
    <cellStyle name="Normal 3 3 5 7 3 2" xfId="29976" xr:uid="{00000000-0005-0000-0000-0000014F0000}"/>
    <cellStyle name="Normal 3 3 5 7 4" xfId="29973" xr:uid="{00000000-0005-0000-0000-0000024F0000}"/>
    <cellStyle name="Normal 3 3 5 8" xfId="6480" xr:uid="{00000000-0005-0000-0000-0000034F0000}"/>
    <cellStyle name="Normal 3 3 5 8 2" xfId="6481" xr:uid="{00000000-0005-0000-0000-0000044F0000}"/>
    <cellStyle name="Normal 3 3 5 8 2 2" xfId="29978" xr:uid="{00000000-0005-0000-0000-0000054F0000}"/>
    <cellStyle name="Normal 3 3 5 8 3" xfId="29977" xr:uid="{00000000-0005-0000-0000-0000064F0000}"/>
    <cellStyle name="Normal 3 3 5 9" xfId="6482" xr:uid="{00000000-0005-0000-0000-0000074F0000}"/>
    <cellStyle name="Normal 3 3 5 9 2" xfId="29979" xr:uid="{00000000-0005-0000-0000-0000084F0000}"/>
    <cellStyle name="Normal 3 3 6" xfId="6483" xr:uid="{00000000-0005-0000-0000-0000094F0000}"/>
    <cellStyle name="Normal 3 3 6 2" xfId="6484" xr:uid="{00000000-0005-0000-0000-00000A4F0000}"/>
    <cellStyle name="Normal 3 3 6 2 2" xfId="6485" xr:uid="{00000000-0005-0000-0000-00000B4F0000}"/>
    <cellStyle name="Normal 3 3 6 2 2 2" xfId="6486" xr:uid="{00000000-0005-0000-0000-00000C4F0000}"/>
    <cellStyle name="Normal 3 3 6 2 2 2 2" xfId="6487" xr:uid="{00000000-0005-0000-0000-00000D4F0000}"/>
    <cellStyle name="Normal 3 3 6 2 2 2 2 2" xfId="6488" xr:uid="{00000000-0005-0000-0000-00000E4F0000}"/>
    <cellStyle name="Normal 3 3 6 2 2 2 2 2 2" xfId="29984" xr:uid="{00000000-0005-0000-0000-00000F4F0000}"/>
    <cellStyle name="Normal 3 3 6 2 2 2 2 3" xfId="29983" xr:uid="{00000000-0005-0000-0000-0000104F0000}"/>
    <cellStyle name="Normal 3 3 6 2 2 2 3" xfId="6489" xr:uid="{00000000-0005-0000-0000-0000114F0000}"/>
    <cellStyle name="Normal 3 3 6 2 2 2 3 2" xfId="29985" xr:uid="{00000000-0005-0000-0000-0000124F0000}"/>
    <cellStyle name="Normal 3 3 6 2 2 2 4" xfId="29982" xr:uid="{00000000-0005-0000-0000-0000134F0000}"/>
    <cellStyle name="Normal 3 3 6 2 2 3" xfId="6490" xr:uid="{00000000-0005-0000-0000-0000144F0000}"/>
    <cellStyle name="Normal 3 3 6 2 2 3 2" xfId="6491" xr:uid="{00000000-0005-0000-0000-0000154F0000}"/>
    <cellStyle name="Normal 3 3 6 2 2 3 2 2" xfId="29987" xr:uid="{00000000-0005-0000-0000-0000164F0000}"/>
    <cellStyle name="Normal 3 3 6 2 2 3 3" xfId="29986" xr:uid="{00000000-0005-0000-0000-0000174F0000}"/>
    <cellStyle name="Normal 3 3 6 2 2 4" xfId="6492" xr:uid="{00000000-0005-0000-0000-0000184F0000}"/>
    <cellStyle name="Normal 3 3 6 2 2 4 2" xfId="29988" xr:uid="{00000000-0005-0000-0000-0000194F0000}"/>
    <cellStyle name="Normal 3 3 6 2 2 5" xfId="29981" xr:uid="{00000000-0005-0000-0000-00001A4F0000}"/>
    <cellStyle name="Normal 3 3 6 2 3" xfId="6493" xr:uid="{00000000-0005-0000-0000-00001B4F0000}"/>
    <cellStyle name="Normal 3 3 6 2 3 2" xfId="6494" xr:uid="{00000000-0005-0000-0000-00001C4F0000}"/>
    <cellStyle name="Normal 3 3 6 2 3 2 2" xfId="6495" xr:uid="{00000000-0005-0000-0000-00001D4F0000}"/>
    <cellStyle name="Normal 3 3 6 2 3 2 2 2" xfId="6496" xr:uid="{00000000-0005-0000-0000-00001E4F0000}"/>
    <cellStyle name="Normal 3 3 6 2 3 2 2 2 2" xfId="29992" xr:uid="{00000000-0005-0000-0000-00001F4F0000}"/>
    <cellStyle name="Normal 3 3 6 2 3 2 2 3" xfId="29991" xr:uid="{00000000-0005-0000-0000-0000204F0000}"/>
    <cellStyle name="Normal 3 3 6 2 3 2 3" xfId="6497" xr:uid="{00000000-0005-0000-0000-0000214F0000}"/>
    <cellStyle name="Normal 3 3 6 2 3 2 3 2" xfId="29993" xr:uid="{00000000-0005-0000-0000-0000224F0000}"/>
    <cellStyle name="Normal 3 3 6 2 3 2 4" xfId="29990" xr:uid="{00000000-0005-0000-0000-0000234F0000}"/>
    <cellStyle name="Normal 3 3 6 2 3 3" xfId="6498" xr:uid="{00000000-0005-0000-0000-0000244F0000}"/>
    <cellStyle name="Normal 3 3 6 2 3 3 2" xfId="6499" xr:uid="{00000000-0005-0000-0000-0000254F0000}"/>
    <cellStyle name="Normal 3 3 6 2 3 3 2 2" xfId="29995" xr:uid="{00000000-0005-0000-0000-0000264F0000}"/>
    <cellStyle name="Normal 3 3 6 2 3 3 3" xfId="29994" xr:uid="{00000000-0005-0000-0000-0000274F0000}"/>
    <cellStyle name="Normal 3 3 6 2 3 4" xfId="6500" xr:uid="{00000000-0005-0000-0000-0000284F0000}"/>
    <cellStyle name="Normal 3 3 6 2 3 4 2" xfId="29996" xr:uid="{00000000-0005-0000-0000-0000294F0000}"/>
    <cellStyle name="Normal 3 3 6 2 3 5" xfId="29989" xr:uid="{00000000-0005-0000-0000-00002A4F0000}"/>
    <cellStyle name="Normal 3 3 6 2 4" xfId="6501" xr:uid="{00000000-0005-0000-0000-00002B4F0000}"/>
    <cellStyle name="Normal 3 3 6 2 4 2" xfId="6502" xr:uid="{00000000-0005-0000-0000-00002C4F0000}"/>
    <cellStyle name="Normal 3 3 6 2 4 2 2" xfId="6503" xr:uid="{00000000-0005-0000-0000-00002D4F0000}"/>
    <cellStyle name="Normal 3 3 6 2 4 2 2 2" xfId="29999" xr:uid="{00000000-0005-0000-0000-00002E4F0000}"/>
    <cellStyle name="Normal 3 3 6 2 4 2 3" xfId="29998" xr:uid="{00000000-0005-0000-0000-00002F4F0000}"/>
    <cellStyle name="Normal 3 3 6 2 4 3" xfId="6504" xr:uid="{00000000-0005-0000-0000-0000304F0000}"/>
    <cellStyle name="Normal 3 3 6 2 4 3 2" xfId="30000" xr:uid="{00000000-0005-0000-0000-0000314F0000}"/>
    <cellStyle name="Normal 3 3 6 2 4 4" xfId="29997" xr:uid="{00000000-0005-0000-0000-0000324F0000}"/>
    <cellStyle name="Normal 3 3 6 2 5" xfId="6505" xr:uid="{00000000-0005-0000-0000-0000334F0000}"/>
    <cellStyle name="Normal 3 3 6 2 5 2" xfId="6506" xr:uid="{00000000-0005-0000-0000-0000344F0000}"/>
    <cellStyle name="Normal 3 3 6 2 5 2 2" xfId="30002" xr:uid="{00000000-0005-0000-0000-0000354F0000}"/>
    <cellStyle name="Normal 3 3 6 2 5 3" xfId="30001" xr:uid="{00000000-0005-0000-0000-0000364F0000}"/>
    <cellStyle name="Normal 3 3 6 2 6" xfId="6507" xr:uid="{00000000-0005-0000-0000-0000374F0000}"/>
    <cellStyle name="Normal 3 3 6 2 6 2" xfId="30003" xr:uid="{00000000-0005-0000-0000-0000384F0000}"/>
    <cellStyle name="Normal 3 3 6 2 7" xfId="29980" xr:uid="{00000000-0005-0000-0000-0000394F0000}"/>
    <cellStyle name="Normal 3 3 7" xfId="6508" xr:uid="{00000000-0005-0000-0000-00003A4F0000}"/>
    <cellStyle name="Normal 3 3 7 2" xfId="6509" xr:uid="{00000000-0005-0000-0000-00003B4F0000}"/>
    <cellStyle name="Normal 3 3 7 2 2" xfId="6510" xr:uid="{00000000-0005-0000-0000-00003C4F0000}"/>
    <cellStyle name="Normal 3 3 7 2 2 2" xfId="6511" xr:uid="{00000000-0005-0000-0000-00003D4F0000}"/>
    <cellStyle name="Normal 3 3 7 2 2 2 2" xfId="6512" xr:uid="{00000000-0005-0000-0000-00003E4F0000}"/>
    <cellStyle name="Normal 3 3 7 2 2 2 2 2" xfId="30008" xr:uid="{00000000-0005-0000-0000-00003F4F0000}"/>
    <cellStyle name="Normal 3 3 7 2 2 2 3" xfId="30007" xr:uid="{00000000-0005-0000-0000-0000404F0000}"/>
    <cellStyle name="Normal 3 3 7 2 2 3" xfId="6513" xr:uid="{00000000-0005-0000-0000-0000414F0000}"/>
    <cellStyle name="Normal 3 3 7 2 2 3 2" xfId="30009" xr:uid="{00000000-0005-0000-0000-0000424F0000}"/>
    <cellStyle name="Normal 3 3 7 2 2 4" xfId="30006" xr:uid="{00000000-0005-0000-0000-0000434F0000}"/>
    <cellStyle name="Normal 3 3 7 2 3" xfId="6514" xr:uid="{00000000-0005-0000-0000-0000444F0000}"/>
    <cellStyle name="Normal 3 3 7 2 3 2" xfId="6515" xr:uid="{00000000-0005-0000-0000-0000454F0000}"/>
    <cellStyle name="Normal 3 3 7 2 3 2 2" xfId="30011" xr:uid="{00000000-0005-0000-0000-0000464F0000}"/>
    <cellStyle name="Normal 3 3 7 2 3 3" xfId="30010" xr:uid="{00000000-0005-0000-0000-0000474F0000}"/>
    <cellStyle name="Normal 3 3 7 2 4" xfId="6516" xr:uid="{00000000-0005-0000-0000-0000484F0000}"/>
    <cellStyle name="Normal 3 3 7 2 4 2" xfId="30012" xr:uid="{00000000-0005-0000-0000-0000494F0000}"/>
    <cellStyle name="Normal 3 3 7 2 5" xfId="30005" xr:uid="{00000000-0005-0000-0000-00004A4F0000}"/>
    <cellStyle name="Normal 3 3 7 3" xfId="6517" xr:uid="{00000000-0005-0000-0000-00004B4F0000}"/>
    <cellStyle name="Normal 3 3 7 3 2" xfId="6518" xr:uid="{00000000-0005-0000-0000-00004C4F0000}"/>
    <cellStyle name="Normal 3 3 7 3 2 2" xfId="6519" xr:uid="{00000000-0005-0000-0000-00004D4F0000}"/>
    <cellStyle name="Normal 3 3 7 3 2 2 2" xfId="6520" xr:uid="{00000000-0005-0000-0000-00004E4F0000}"/>
    <cellStyle name="Normal 3 3 7 3 2 2 2 2" xfId="30016" xr:uid="{00000000-0005-0000-0000-00004F4F0000}"/>
    <cellStyle name="Normal 3 3 7 3 2 2 3" xfId="30015" xr:uid="{00000000-0005-0000-0000-0000504F0000}"/>
    <cellStyle name="Normal 3 3 7 3 2 3" xfId="6521" xr:uid="{00000000-0005-0000-0000-0000514F0000}"/>
    <cellStyle name="Normal 3 3 7 3 2 3 2" xfId="30017" xr:uid="{00000000-0005-0000-0000-0000524F0000}"/>
    <cellStyle name="Normal 3 3 7 3 2 4" xfId="30014" xr:uid="{00000000-0005-0000-0000-0000534F0000}"/>
    <cellStyle name="Normal 3 3 7 3 3" xfId="6522" xr:uid="{00000000-0005-0000-0000-0000544F0000}"/>
    <cellStyle name="Normal 3 3 7 3 3 2" xfId="6523" xr:uid="{00000000-0005-0000-0000-0000554F0000}"/>
    <cellStyle name="Normal 3 3 7 3 3 2 2" xfId="30019" xr:uid="{00000000-0005-0000-0000-0000564F0000}"/>
    <cellStyle name="Normal 3 3 7 3 3 3" xfId="30018" xr:uid="{00000000-0005-0000-0000-0000574F0000}"/>
    <cellStyle name="Normal 3 3 7 3 4" xfId="6524" xr:uid="{00000000-0005-0000-0000-0000584F0000}"/>
    <cellStyle name="Normal 3 3 7 3 4 2" xfId="30020" xr:uid="{00000000-0005-0000-0000-0000594F0000}"/>
    <cellStyle name="Normal 3 3 7 3 5" xfId="30013" xr:uid="{00000000-0005-0000-0000-00005A4F0000}"/>
    <cellStyle name="Normal 3 3 7 4" xfId="6525" xr:uid="{00000000-0005-0000-0000-00005B4F0000}"/>
    <cellStyle name="Normal 3 3 7 4 2" xfId="6526" xr:uid="{00000000-0005-0000-0000-00005C4F0000}"/>
    <cellStyle name="Normal 3 3 7 4 2 2" xfId="6527" xr:uid="{00000000-0005-0000-0000-00005D4F0000}"/>
    <cellStyle name="Normal 3 3 7 4 2 2 2" xfId="30023" xr:uid="{00000000-0005-0000-0000-00005E4F0000}"/>
    <cellStyle name="Normal 3 3 7 4 2 3" xfId="30022" xr:uid="{00000000-0005-0000-0000-00005F4F0000}"/>
    <cellStyle name="Normal 3 3 7 4 3" xfId="6528" xr:uid="{00000000-0005-0000-0000-0000604F0000}"/>
    <cellStyle name="Normal 3 3 7 4 3 2" xfId="30024" xr:uid="{00000000-0005-0000-0000-0000614F0000}"/>
    <cellStyle name="Normal 3 3 7 4 4" xfId="30021" xr:uid="{00000000-0005-0000-0000-0000624F0000}"/>
    <cellStyle name="Normal 3 3 7 5" xfId="6529" xr:uid="{00000000-0005-0000-0000-0000634F0000}"/>
    <cellStyle name="Normal 3 3 7 5 2" xfId="6530" xr:uid="{00000000-0005-0000-0000-0000644F0000}"/>
    <cellStyle name="Normal 3 3 7 5 2 2" xfId="30026" xr:uid="{00000000-0005-0000-0000-0000654F0000}"/>
    <cellStyle name="Normal 3 3 7 5 3" xfId="30025" xr:uid="{00000000-0005-0000-0000-0000664F0000}"/>
    <cellStyle name="Normal 3 3 7 6" xfId="6531" xr:uid="{00000000-0005-0000-0000-0000674F0000}"/>
    <cellStyle name="Normal 3 3 7 6 2" xfId="30027" xr:uid="{00000000-0005-0000-0000-0000684F0000}"/>
    <cellStyle name="Normal 3 3 7 7" xfId="30004" xr:uid="{00000000-0005-0000-0000-0000694F0000}"/>
    <cellStyle name="Normal 3 3 8" xfId="6532" xr:uid="{00000000-0005-0000-0000-00006A4F0000}"/>
    <cellStyle name="Normal 3 3 8 2" xfId="6533" xr:uid="{00000000-0005-0000-0000-00006B4F0000}"/>
    <cellStyle name="Normal 3 3 8 2 2" xfId="6534" xr:uid="{00000000-0005-0000-0000-00006C4F0000}"/>
    <cellStyle name="Normal 3 3 8 2 2 2" xfId="6535" xr:uid="{00000000-0005-0000-0000-00006D4F0000}"/>
    <cellStyle name="Normal 3 3 8 2 2 2 2" xfId="6536" xr:uid="{00000000-0005-0000-0000-00006E4F0000}"/>
    <cellStyle name="Normal 3 3 8 2 2 2 2 2" xfId="30032" xr:uid="{00000000-0005-0000-0000-00006F4F0000}"/>
    <cellStyle name="Normal 3 3 8 2 2 2 3" xfId="30031" xr:uid="{00000000-0005-0000-0000-0000704F0000}"/>
    <cellStyle name="Normal 3 3 8 2 2 3" xfId="6537" xr:uid="{00000000-0005-0000-0000-0000714F0000}"/>
    <cellStyle name="Normal 3 3 8 2 2 3 2" xfId="30033" xr:uid="{00000000-0005-0000-0000-0000724F0000}"/>
    <cellStyle name="Normal 3 3 8 2 2 4" xfId="30030" xr:uid="{00000000-0005-0000-0000-0000734F0000}"/>
    <cellStyle name="Normal 3 3 8 2 3" xfId="6538" xr:uid="{00000000-0005-0000-0000-0000744F0000}"/>
    <cellStyle name="Normal 3 3 8 2 3 2" xfId="6539" xr:uid="{00000000-0005-0000-0000-0000754F0000}"/>
    <cellStyle name="Normal 3 3 8 2 3 2 2" xfId="30035" xr:uid="{00000000-0005-0000-0000-0000764F0000}"/>
    <cellStyle name="Normal 3 3 8 2 3 3" xfId="30034" xr:uid="{00000000-0005-0000-0000-0000774F0000}"/>
    <cellStyle name="Normal 3 3 8 2 4" xfId="6540" xr:uid="{00000000-0005-0000-0000-0000784F0000}"/>
    <cellStyle name="Normal 3 3 8 2 4 2" xfId="30036" xr:uid="{00000000-0005-0000-0000-0000794F0000}"/>
    <cellStyle name="Normal 3 3 8 2 5" xfId="30029" xr:uid="{00000000-0005-0000-0000-00007A4F0000}"/>
    <cellStyle name="Normal 3 3 8 3" xfId="6541" xr:uid="{00000000-0005-0000-0000-00007B4F0000}"/>
    <cellStyle name="Normal 3 3 8 3 2" xfId="6542" xr:uid="{00000000-0005-0000-0000-00007C4F0000}"/>
    <cellStyle name="Normal 3 3 8 3 2 2" xfId="6543" xr:uid="{00000000-0005-0000-0000-00007D4F0000}"/>
    <cellStyle name="Normal 3 3 8 3 2 2 2" xfId="6544" xr:uid="{00000000-0005-0000-0000-00007E4F0000}"/>
    <cellStyle name="Normal 3 3 8 3 2 2 2 2" xfId="30040" xr:uid="{00000000-0005-0000-0000-00007F4F0000}"/>
    <cellStyle name="Normal 3 3 8 3 2 2 3" xfId="30039" xr:uid="{00000000-0005-0000-0000-0000804F0000}"/>
    <cellStyle name="Normal 3 3 8 3 2 3" xfId="6545" xr:uid="{00000000-0005-0000-0000-0000814F0000}"/>
    <cellStyle name="Normal 3 3 8 3 2 3 2" xfId="30041" xr:uid="{00000000-0005-0000-0000-0000824F0000}"/>
    <cellStyle name="Normal 3 3 8 3 2 4" xfId="30038" xr:uid="{00000000-0005-0000-0000-0000834F0000}"/>
    <cellStyle name="Normal 3 3 8 3 3" xfId="6546" xr:uid="{00000000-0005-0000-0000-0000844F0000}"/>
    <cellStyle name="Normal 3 3 8 3 3 2" xfId="6547" xr:uid="{00000000-0005-0000-0000-0000854F0000}"/>
    <cellStyle name="Normal 3 3 8 3 3 2 2" xfId="30043" xr:uid="{00000000-0005-0000-0000-0000864F0000}"/>
    <cellStyle name="Normal 3 3 8 3 3 3" xfId="30042" xr:uid="{00000000-0005-0000-0000-0000874F0000}"/>
    <cellStyle name="Normal 3 3 8 3 4" xfId="6548" xr:uid="{00000000-0005-0000-0000-0000884F0000}"/>
    <cellStyle name="Normal 3 3 8 3 4 2" xfId="30044" xr:uid="{00000000-0005-0000-0000-0000894F0000}"/>
    <cellStyle name="Normal 3 3 8 3 5" xfId="30037" xr:uid="{00000000-0005-0000-0000-00008A4F0000}"/>
    <cellStyle name="Normal 3 3 8 4" xfId="6549" xr:uid="{00000000-0005-0000-0000-00008B4F0000}"/>
    <cellStyle name="Normal 3 3 8 4 2" xfId="6550" xr:uid="{00000000-0005-0000-0000-00008C4F0000}"/>
    <cellStyle name="Normal 3 3 8 4 2 2" xfId="6551" xr:uid="{00000000-0005-0000-0000-00008D4F0000}"/>
    <cellStyle name="Normal 3 3 8 4 2 2 2" xfId="30047" xr:uid="{00000000-0005-0000-0000-00008E4F0000}"/>
    <cellStyle name="Normal 3 3 8 4 2 3" xfId="30046" xr:uid="{00000000-0005-0000-0000-00008F4F0000}"/>
    <cellStyle name="Normal 3 3 8 4 3" xfId="6552" xr:uid="{00000000-0005-0000-0000-0000904F0000}"/>
    <cellStyle name="Normal 3 3 8 4 3 2" xfId="30048" xr:uid="{00000000-0005-0000-0000-0000914F0000}"/>
    <cellStyle name="Normal 3 3 8 4 4" xfId="30045" xr:uid="{00000000-0005-0000-0000-0000924F0000}"/>
    <cellStyle name="Normal 3 3 8 5" xfId="6553" xr:uid="{00000000-0005-0000-0000-0000934F0000}"/>
    <cellStyle name="Normal 3 3 8 5 2" xfId="6554" xr:uid="{00000000-0005-0000-0000-0000944F0000}"/>
    <cellStyle name="Normal 3 3 8 5 2 2" xfId="30050" xr:uid="{00000000-0005-0000-0000-0000954F0000}"/>
    <cellStyle name="Normal 3 3 8 5 3" xfId="30049" xr:uid="{00000000-0005-0000-0000-0000964F0000}"/>
    <cellStyle name="Normal 3 3 8 6" xfId="6555" xr:uid="{00000000-0005-0000-0000-0000974F0000}"/>
    <cellStyle name="Normal 3 3 8 6 2" xfId="30051" xr:uid="{00000000-0005-0000-0000-0000984F0000}"/>
    <cellStyle name="Normal 3 3 8 7" xfId="30028" xr:uid="{00000000-0005-0000-0000-0000994F0000}"/>
    <cellStyle name="Normal 3 3 9" xfId="6556" xr:uid="{00000000-0005-0000-0000-00009A4F0000}"/>
    <cellStyle name="Normal 3 3 9 2" xfId="6557" xr:uid="{00000000-0005-0000-0000-00009B4F0000}"/>
    <cellStyle name="Normal 3 3 9 2 2" xfId="6558" xr:uid="{00000000-0005-0000-0000-00009C4F0000}"/>
    <cellStyle name="Normal 3 3 9 2 2 2" xfId="6559" xr:uid="{00000000-0005-0000-0000-00009D4F0000}"/>
    <cellStyle name="Normal 3 3 9 2 2 2 2" xfId="6560" xr:uid="{00000000-0005-0000-0000-00009E4F0000}"/>
    <cellStyle name="Normal 3 3 9 2 2 2 2 2" xfId="30056" xr:uid="{00000000-0005-0000-0000-00009F4F0000}"/>
    <cellStyle name="Normal 3 3 9 2 2 2 3" xfId="30055" xr:uid="{00000000-0005-0000-0000-0000A04F0000}"/>
    <cellStyle name="Normal 3 3 9 2 2 3" xfId="6561" xr:uid="{00000000-0005-0000-0000-0000A14F0000}"/>
    <cellStyle name="Normal 3 3 9 2 2 3 2" xfId="30057" xr:uid="{00000000-0005-0000-0000-0000A24F0000}"/>
    <cellStyle name="Normal 3 3 9 2 2 4" xfId="30054" xr:uid="{00000000-0005-0000-0000-0000A34F0000}"/>
    <cellStyle name="Normal 3 3 9 2 3" xfId="6562" xr:uid="{00000000-0005-0000-0000-0000A44F0000}"/>
    <cellStyle name="Normal 3 3 9 2 3 2" xfId="6563" xr:uid="{00000000-0005-0000-0000-0000A54F0000}"/>
    <cellStyle name="Normal 3 3 9 2 3 2 2" xfId="30059" xr:uid="{00000000-0005-0000-0000-0000A64F0000}"/>
    <cellStyle name="Normal 3 3 9 2 3 3" xfId="30058" xr:uid="{00000000-0005-0000-0000-0000A74F0000}"/>
    <cellStyle name="Normal 3 3 9 2 4" xfId="6564" xr:uid="{00000000-0005-0000-0000-0000A84F0000}"/>
    <cellStyle name="Normal 3 3 9 2 4 2" xfId="30060" xr:uid="{00000000-0005-0000-0000-0000A94F0000}"/>
    <cellStyle name="Normal 3 3 9 2 5" xfId="30053" xr:uid="{00000000-0005-0000-0000-0000AA4F0000}"/>
    <cellStyle name="Normal 3 3 9 3" xfId="6565" xr:uid="{00000000-0005-0000-0000-0000AB4F0000}"/>
    <cellStyle name="Normal 3 3 9 3 2" xfId="6566" xr:uid="{00000000-0005-0000-0000-0000AC4F0000}"/>
    <cellStyle name="Normal 3 3 9 3 2 2" xfId="6567" xr:uid="{00000000-0005-0000-0000-0000AD4F0000}"/>
    <cellStyle name="Normal 3 3 9 3 2 2 2" xfId="6568" xr:uid="{00000000-0005-0000-0000-0000AE4F0000}"/>
    <cellStyle name="Normal 3 3 9 3 2 2 2 2" xfId="30064" xr:uid="{00000000-0005-0000-0000-0000AF4F0000}"/>
    <cellStyle name="Normal 3 3 9 3 2 2 3" xfId="30063" xr:uid="{00000000-0005-0000-0000-0000B04F0000}"/>
    <cellStyle name="Normal 3 3 9 3 2 3" xfId="6569" xr:uid="{00000000-0005-0000-0000-0000B14F0000}"/>
    <cellStyle name="Normal 3 3 9 3 2 3 2" xfId="30065" xr:uid="{00000000-0005-0000-0000-0000B24F0000}"/>
    <cellStyle name="Normal 3 3 9 3 2 4" xfId="30062" xr:uid="{00000000-0005-0000-0000-0000B34F0000}"/>
    <cellStyle name="Normal 3 3 9 3 3" xfId="6570" xr:uid="{00000000-0005-0000-0000-0000B44F0000}"/>
    <cellStyle name="Normal 3 3 9 3 3 2" xfId="6571" xr:uid="{00000000-0005-0000-0000-0000B54F0000}"/>
    <cellStyle name="Normal 3 3 9 3 3 2 2" xfId="30067" xr:uid="{00000000-0005-0000-0000-0000B64F0000}"/>
    <cellStyle name="Normal 3 3 9 3 3 3" xfId="30066" xr:uid="{00000000-0005-0000-0000-0000B74F0000}"/>
    <cellStyle name="Normal 3 3 9 3 4" xfId="6572" xr:uid="{00000000-0005-0000-0000-0000B84F0000}"/>
    <cellStyle name="Normal 3 3 9 3 4 2" xfId="30068" xr:uid="{00000000-0005-0000-0000-0000B94F0000}"/>
    <cellStyle name="Normal 3 3 9 3 5" xfId="30061" xr:uid="{00000000-0005-0000-0000-0000BA4F0000}"/>
    <cellStyle name="Normal 3 3 9 4" xfId="6573" xr:uid="{00000000-0005-0000-0000-0000BB4F0000}"/>
    <cellStyle name="Normal 3 3 9 4 2" xfId="6574" xr:uid="{00000000-0005-0000-0000-0000BC4F0000}"/>
    <cellStyle name="Normal 3 3 9 4 2 2" xfId="6575" xr:uid="{00000000-0005-0000-0000-0000BD4F0000}"/>
    <cellStyle name="Normal 3 3 9 4 2 2 2" xfId="30071" xr:uid="{00000000-0005-0000-0000-0000BE4F0000}"/>
    <cellStyle name="Normal 3 3 9 4 2 3" xfId="30070" xr:uid="{00000000-0005-0000-0000-0000BF4F0000}"/>
    <cellStyle name="Normal 3 3 9 4 3" xfId="6576" xr:uid="{00000000-0005-0000-0000-0000C04F0000}"/>
    <cellStyle name="Normal 3 3 9 4 3 2" xfId="30072" xr:uid="{00000000-0005-0000-0000-0000C14F0000}"/>
    <cellStyle name="Normal 3 3 9 4 4" xfId="30069" xr:uid="{00000000-0005-0000-0000-0000C24F0000}"/>
    <cellStyle name="Normal 3 3 9 5" xfId="6577" xr:uid="{00000000-0005-0000-0000-0000C34F0000}"/>
    <cellStyle name="Normal 3 3 9 5 2" xfId="6578" xr:uid="{00000000-0005-0000-0000-0000C44F0000}"/>
    <cellStyle name="Normal 3 3 9 5 2 2" xfId="30074" xr:uid="{00000000-0005-0000-0000-0000C54F0000}"/>
    <cellStyle name="Normal 3 3 9 5 3" xfId="30073" xr:uid="{00000000-0005-0000-0000-0000C64F0000}"/>
    <cellStyle name="Normal 3 3 9 6" xfId="6579" xr:uid="{00000000-0005-0000-0000-0000C74F0000}"/>
    <cellStyle name="Normal 3 3 9 6 2" xfId="30075" xr:uid="{00000000-0005-0000-0000-0000C84F0000}"/>
    <cellStyle name="Normal 3 3 9 7" xfId="30052" xr:uid="{00000000-0005-0000-0000-0000C94F0000}"/>
    <cellStyle name="Normal 3 4" xfId="26" xr:uid="{00000000-0005-0000-0000-0000CA4F0000}"/>
    <cellStyle name="Normal 3 4 10" xfId="6580" xr:uid="{00000000-0005-0000-0000-0000CB4F0000}"/>
    <cellStyle name="Normal 3 4 10 2" xfId="6581" xr:uid="{00000000-0005-0000-0000-0000CC4F0000}"/>
    <cellStyle name="Normal 3 4 10 2 2" xfId="6582" xr:uid="{00000000-0005-0000-0000-0000CD4F0000}"/>
    <cellStyle name="Normal 3 4 10 2 2 2" xfId="30078" xr:uid="{00000000-0005-0000-0000-0000CE4F0000}"/>
    <cellStyle name="Normal 3 4 10 2 3" xfId="30077" xr:uid="{00000000-0005-0000-0000-0000CF4F0000}"/>
    <cellStyle name="Normal 3 4 10 3" xfId="6583" xr:uid="{00000000-0005-0000-0000-0000D04F0000}"/>
    <cellStyle name="Normal 3 4 10 3 2" xfId="30079" xr:uid="{00000000-0005-0000-0000-0000D14F0000}"/>
    <cellStyle name="Normal 3 4 10 4" xfId="30076" xr:uid="{00000000-0005-0000-0000-0000D24F0000}"/>
    <cellStyle name="Normal 3 4 11" xfId="6584" xr:uid="{00000000-0005-0000-0000-0000D34F0000}"/>
    <cellStyle name="Normal 3 4 11 2" xfId="6585" xr:uid="{00000000-0005-0000-0000-0000D44F0000}"/>
    <cellStyle name="Normal 3 4 11 2 2" xfId="30081" xr:uid="{00000000-0005-0000-0000-0000D54F0000}"/>
    <cellStyle name="Normal 3 4 11 3" xfId="30080" xr:uid="{00000000-0005-0000-0000-0000D64F0000}"/>
    <cellStyle name="Normal 3 4 12" xfId="6586" xr:uid="{00000000-0005-0000-0000-0000D74F0000}"/>
    <cellStyle name="Normal 3 4 12 2" xfId="30082" xr:uid="{00000000-0005-0000-0000-0000D84F0000}"/>
    <cellStyle name="Normal 3 4 13" xfId="17682" xr:uid="{00000000-0005-0000-0000-0000D94F0000}"/>
    <cellStyle name="Normal 3 4 14" xfId="23629" xr:uid="{00000000-0005-0000-0000-0000DA4F0000}"/>
    <cellStyle name="Normal 3 4 2" xfId="6587" xr:uid="{00000000-0005-0000-0000-0000DB4F0000}"/>
    <cellStyle name="Normal 3 4 2 10" xfId="30083" xr:uid="{00000000-0005-0000-0000-0000DC4F0000}"/>
    <cellStyle name="Normal 3 4 2 2" xfId="6588" xr:uid="{00000000-0005-0000-0000-0000DD4F0000}"/>
    <cellStyle name="Normal 3 4 2 2 2" xfId="6589" xr:uid="{00000000-0005-0000-0000-0000DE4F0000}"/>
    <cellStyle name="Normal 3 4 2 2 2 2" xfId="6590" xr:uid="{00000000-0005-0000-0000-0000DF4F0000}"/>
    <cellStyle name="Normal 3 4 2 2 2 2 2" xfId="6591" xr:uid="{00000000-0005-0000-0000-0000E04F0000}"/>
    <cellStyle name="Normal 3 4 2 2 2 2 2 2" xfId="6592" xr:uid="{00000000-0005-0000-0000-0000E14F0000}"/>
    <cellStyle name="Normal 3 4 2 2 2 2 2 2 2" xfId="30088" xr:uid="{00000000-0005-0000-0000-0000E24F0000}"/>
    <cellStyle name="Normal 3 4 2 2 2 2 2 3" xfId="30087" xr:uid="{00000000-0005-0000-0000-0000E34F0000}"/>
    <cellStyle name="Normal 3 4 2 2 2 2 3" xfId="6593" xr:uid="{00000000-0005-0000-0000-0000E44F0000}"/>
    <cellStyle name="Normal 3 4 2 2 2 2 3 2" xfId="30089" xr:uid="{00000000-0005-0000-0000-0000E54F0000}"/>
    <cellStyle name="Normal 3 4 2 2 2 2 4" xfId="30086" xr:uid="{00000000-0005-0000-0000-0000E64F0000}"/>
    <cellStyle name="Normal 3 4 2 2 2 3" xfId="6594" xr:uid="{00000000-0005-0000-0000-0000E74F0000}"/>
    <cellStyle name="Normal 3 4 2 2 2 3 2" xfId="6595" xr:uid="{00000000-0005-0000-0000-0000E84F0000}"/>
    <cellStyle name="Normal 3 4 2 2 2 3 2 2" xfId="30091" xr:uid="{00000000-0005-0000-0000-0000E94F0000}"/>
    <cellStyle name="Normal 3 4 2 2 2 3 3" xfId="30090" xr:uid="{00000000-0005-0000-0000-0000EA4F0000}"/>
    <cellStyle name="Normal 3 4 2 2 2 4" xfId="6596" xr:uid="{00000000-0005-0000-0000-0000EB4F0000}"/>
    <cellStyle name="Normal 3 4 2 2 2 4 2" xfId="30092" xr:uid="{00000000-0005-0000-0000-0000EC4F0000}"/>
    <cellStyle name="Normal 3 4 2 2 2 5" xfId="30085" xr:uid="{00000000-0005-0000-0000-0000ED4F0000}"/>
    <cellStyle name="Normal 3 4 2 2 3" xfId="6597" xr:uid="{00000000-0005-0000-0000-0000EE4F0000}"/>
    <cellStyle name="Normal 3 4 2 2 3 2" xfId="6598" xr:uid="{00000000-0005-0000-0000-0000EF4F0000}"/>
    <cellStyle name="Normal 3 4 2 2 3 2 2" xfId="6599" xr:uid="{00000000-0005-0000-0000-0000F04F0000}"/>
    <cellStyle name="Normal 3 4 2 2 3 2 2 2" xfId="6600" xr:uid="{00000000-0005-0000-0000-0000F14F0000}"/>
    <cellStyle name="Normal 3 4 2 2 3 2 2 2 2" xfId="30096" xr:uid="{00000000-0005-0000-0000-0000F24F0000}"/>
    <cellStyle name="Normal 3 4 2 2 3 2 2 3" xfId="30095" xr:uid="{00000000-0005-0000-0000-0000F34F0000}"/>
    <cellStyle name="Normal 3 4 2 2 3 2 3" xfId="6601" xr:uid="{00000000-0005-0000-0000-0000F44F0000}"/>
    <cellStyle name="Normal 3 4 2 2 3 2 3 2" xfId="30097" xr:uid="{00000000-0005-0000-0000-0000F54F0000}"/>
    <cellStyle name="Normal 3 4 2 2 3 2 4" xfId="30094" xr:uid="{00000000-0005-0000-0000-0000F64F0000}"/>
    <cellStyle name="Normal 3 4 2 2 3 3" xfId="6602" xr:uid="{00000000-0005-0000-0000-0000F74F0000}"/>
    <cellStyle name="Normal 3 4 2 2 3 3 2" xfId="6603" xr:uid="{00000000-0005-0000-0000-0000F84F0000}"/>
    <cellStyle name="Normal 3 4 2 2 3 3 2 2" xfId="30099" xr:uid="{00000000-0005-0000-0000-0000F94F0000}"/>
    <cellStyle name="Normal 3 4 2 2 3 3 3" xfId="30098" xr:uid="{00000000-0005-0000-0000-0000FA4F0000}"/>
    <cellStyle name="Normal 3 4 2 2 3 4" xfId="6604" xr:uid="{00000000-0005-0000-0000-0000FB4F0000}"/>
    <cellStyle name="Normal 3 4 2 2 3 4 2" xfId="30100" xr:uid="{00000000-0005-0000-0000-0000FC4F0000}"/>
    <cellStyle name="Normal 3 4 2 2 3 5" xfId="30093" xr:uid="{00000000-0005-0000-0000-0000FD4F0000}"/>
    <cellStyle name="Normal 3 4 2 2 4" xfId="6605" xr:uid="{00000000-0005-0000-0000-0000FE4F0000}"/>
    <cellStyle name="Normal 3 4 2 2 4 2" xfId="6606" xr:uid="{00000000-0005-0000-0000-0000FF4F0000}"/>
    <cellStyle name="Normal 3 4 2 2 4 2 2" xfId="6607" xr:uid="{00000000-0005-0000-0000-000000500000}"/>
    <cellStyle name="Normal 3 4 2 2 4 2 2 2" xfId="30103" xr:uid="{00000000-0005-0000-0000-000001500000}"/>
    <cellStyle name="Normal 3 4 2 2 4 2 3" xfId="30102" xr:uid="{00000000-0005-0000-0000-000002500000}"/>
    <cellStyle name="Normal 3 4 2 2 4 3" xfId="6608" xr:uid="{00000000-0005-0000-0000-000003500000}"/>
    <cellStyle name="Normal 3 4 2 2 4 3 2" xfId="30104" xr:uid="{00000000-0005-0000-0000-000004500000}"/>
    <cellStyle name="Normal 3 4 2 2 4 4" xfId="30101" xr:uid="{00000000-0005-0000-0000-000005500000}"/>
    <cellStyle name="Normal 3 4 2 2 5" xfId="6609" xr:uid="{00000000-0005-0000-0000-000006500000}"/>
    <cellStyle name="Normal 3 4 2 2 5 2" xfId="6610" xr:uid="{00000000-0005-0000-0000-000007500000}"/>
    <cellStyle name="Normal 3 4 2 2 5 2 2" xfId="30106" xr:uid="{00000000-0005-0000-0000-000008500000}"/>
    <cellStyle name="Normal 3 4 2 2 5 3" xfId="30105" xr:uid="{00000000-0005-0000-0000-000009500000}"/>
    <cellStyle name="Normal 3 4 2 2 6" xfId="6611" xr:uid="{00000000-0005-0000-0000-00000A500000}"/>
    <cellStyle name="Normal 3 4 2 2 6 2" xfId="30107" xr:uid="{00000000-0005-0000-0000-00000B500000}"/>
    <cellStyle name="Normal 3 4 2 2 7" xfId="30084" xr:uid="{00000000-0005-0000-0000-00000C500000}"/>
    <cellStyle name="Normal 3 4 2 3" xfId="6612" xr:uid="{00000000-0005-0000-0000-00000D500000}"/>
    <cellStyle name="Normal 3 4 2 3 2" xfId="6613" xr:uid="{00000000-0005-0000-0000-00000E500000}"/>
    <cellStyle name="Normal 3 4 2 3 2 2" xfId="6614" xr:uid="{00000000-0005-0000-0000-00000F500000}"/>
    <cellStyle name="Normal 3 4 2 3 2 2 2" xfId="6615" xr:uid="{00000000-0005-0000-0000-000010500000}"/>
    <cellStyle name="Normal 3 4 2 3 2 2 2 2" xfId="6616" xr:uid="{00000000-0005-0000-0000-000011500000}"/>
    <cellStyle name="Normal 3 4 2 3 2 2 2 2 2" xfId="30112" xr:uid="{00000000-0005-0000-0000-000012500000}"/>
    <cellStyle name="Normal 3 4 2 3 2 2 2 3" xfId="30111" xr:uid="{00000000-0005-0000-0000-000013500000}"/>
    <cellStyle name="Normal 3 4 2 3 2 2 3" xfId="6617" xr:uid="{00000000-0005-0000-0000-000014500000}"/>
    <cellStyle name="Normal 3 4 2 3 2 2 3 2" xfId="30113" xr:uid="{00000000-0005-0000-0000-000015500000}"/>
    <cellStyle name="Normal 3 4 2 3 2 2 4" xfId="30110" xr:uid="{00000000-0005-0000-0000-000016500000}"/>
    <cellStyle name="Normal 3 4 2 3 2 3" xfId="6618" xr:uid="{00000000-0005-0000-0000-000017500000}"/>
    <cellStyle name="Normal 3 4 2 3 2 3 2" xfId="6619" xr:uid="{00000000-0005-0000-0000-000018500000}"/>
    <cellStyle name="Normal 3 4 2 3 2 3 2 2" xfId="30115" xr:uid="{00000000-0005-0000-0000-000019500000}"/>
    <cellStyle name="Normal 3 4 2 3 2 3 3" xfId="30114" xr:uid="{00000000-0005-0000-0000-00001A500000}"/>
    <cellStyle name="Normal 3 4 2 3 2 4" xfId="6620" xr:uid="{00000000-0005-0000-0000-00001B500000}"/>
    <cellStyle name="Normal 3 4 2 3 2 4 2" xfId="30116" xr:uid="{00000000-0005-0000-0000-00001C500000}"/>
    <cellStyle name="Normal 3 4 2 3 2 5" xfId="30109" xr:uid="{00000000-0005-0000-0000-00001D500000}"/>
    <cellStyle name="Normal 3 4 2 3 3" xfId="6621" xr:uid="{00000000-0005-0000-0000-00001E500000}"/>
    <cellStyle name="Normal 3 4 2 3 3 2" xfId="6622" xr:uid="{00000000-0005-0000-0000-00001F500000}"/>
    <cellStyle name="Normal 3 4 2 3 3 2 2" xfId="6623" xr:uid="{00000000-0005-0000-0000-000020500000}"/>
    <cellStyle name="Normal 3 4 2 3 3 2 2 2" xfId="6624" xr:uid="{00000000-0005-0000-0000-000021500000}"/>
    <cellStyle name="Normal 3 4 2 3 3 2 2 2 2" xfId="30120" xr:uid="{00000000-0005-0000-0000-000022500000}"/>
    <cellStyle name="Normal 3 4 2 3 3 2 2 3" xfId="30119" xr:uid="{00000000-0005-0000-0000-000023500000}"/>
    <cellStyle name="Normal 3 4 2 3 3 2 3" xfId="6625" xr:uid="{00000000-0005-0000-0000-000024500000}"/>
    <cellStyle name="Normal 3 4 2 3 3 2 3 2" xfId="30121" xr:uid="{00000000-0005-0000-0000-000025500000}"/>
    <cellStyle name="Normal 3 4 2 3 3 2 4" xfId="30118" xr:uid="{00000000-0005-0000-0000-000026500000}"/>
    <cellStyle name="Normal 3 4 2 3 3 3" xfId="6626" xr:uid="{00000000-0005-0000-0000-000027500000}"/>
    <cellStyle name="Normal 3 4 2 3 3 3 2" xfId="6627" xr:uid="{00000000-0005-0000-0000-000028500000}"/>
    <cellStyle name="Normal 3 4 2 3 3 3 2 2" xfId="30123" xr:uid="{00000000-0005-0000-0000-000029500000}"/>
    <cellStyle name="Normal 3 4 2 3 3 3 3" xfId="30122" xr:uid="{00000000-0005-0000-0000-00002A500000}"/>
    <cellStyle name="Normal 3 4 2 3 3 4" xfId="6628" xr:uid="{00000000-0005-0000-0000-00002B500000}"/>
    <cellStyle name="Normal 3 4 2 3 3 4 2" xfId="30124" xr:uid="{00000000-0005-0000-0000-00002C500000}"/>
    <cellStyle name="Normal 3 4 2 3 3 5" xfId="30117" xr:uid="{00000000-0005-0000-0000-00002D500000}"/>
    <cellStyle name="Normal 3 4 2 3 4" xfId="6629" xr:uid="{00000000-0005-0000-0000-00002E500000}"/>
    <cellStyle name="Normal 3 4 2 3 4 2" xfId="6630" xr:uid="{00000000-0005-0000-0000-00002F500000}"/>
    <cellStyle name="Normal 3 4 2 3 4 2 2" xfId="6631" xr:uid="{00000000-0005-0000-0000-000030500000}"/>
    <cellStyle name="Normal 3 4 2 3 4 2 2 2" xfId="30127" xr:uid="{00000000-0005-0000-0000-000031500000}"/>
    <cellStyle name="Normal 3 4 2 3 4 2 3" xfId="30126" xr:uid="{00000000-0005-0000-0000-000032500000}"/>
    <cellStyle name="Normal 3 4 2 3 4 3" xfId="6632" xr:uid="{00000000-0005-0000-0000-000033500000}"/>
    <cellStyle name="Normal 3 4 2 3 4 3 2" xfId="30128" xr:uid="{00000000-0005-0000-0000-000034500000}"/>
    <cellStyle name="Normal 3 4 2 3 4 4" xfId="30125" xr:uid="{00000000-0005-0000-0000-000035500000}"/>
    <cellStyle name="Normal 3 4 2 3 5" xfId="6633" xr:uid="{00000000-0005-0000-0000-000036500000}"/>
    <cellStyle name="Normal 3 4 2 3 5 2" xfId="6634" xr:uid="{00000000-0005-0000-0000-000037500000}"/>
    <cellStyle name="Normal 3 4 2 3 5 2 2" xfId="30130" xr:uid="{00000000-0005-0000-0000-000038500000}"/>
    <cellStyle name="Normal 3 4 2 3 5 3" xfId="30129" xr:uid="{00000000-0005-0000-0000-000039500000}"/>
    <cellStyle name="Normal 3 4 2 3 6" xfId="6635" xr:uid="{00000000-0005-0000-0000-00003A500000}"/>
    <cellStyle name="Normal 3 4 2 3 6 2" xfId="30131" xr:uid="{00000000-0005-0000-0000-00003B500000}"/>
    <cellStyle name="Normal 3 4 2 3 7" xfId="30108" xr:uid="{00000000-0005-0000-0000-00003C500000}"/>
    <cellStyle name="Normal 3 4 2 4" xfId="6636" xr:uid="{00000000-0005-0000-0000-00003D500000}"/>
    <cellStyle name="Normal 3 4 2 4 2" xfId="6637" xr:uid="{00000000-0005-0000-0000-00003E500000}"/>
    <cellStyle name="Normal 3 4 2 4 2 2" xfId="6638" xr:uid="{00000000-0005-0000-0000-00003F500000}"/>
    <cellStyle name="Normal 3 4 2 4 2 2 2" xfId="6639" xr:uid="{00000000-0005-0000-0000-000040500000}"/>
    <cellStyle name="Normal 3 4 2 4 2 2 2 2" xfId="6640" xr:uid="{00000000-0005-0000-0000-000041500000}"/>
    <cellStyle name="Normal 3 4 2 4 2 2 2 2 2" xfId="30136" xr:uid="{00000000-0005-0000-0000-000042500000}"/>
    <cellStyle name="Normal 3 4 2 4 2 2 2 3" xfId="30135" xr:uid="{00000000-0005-0000-0000-000043500000}"/>
    <cellStyle name="Normal 3 4 2 4 2 2 3" xfId="6641" xr:uid="{00000000-0005-0000-0000-000044500000}"/>
    <cellStyle name="Normal 3 4 2 4 2 2 3 2" xfId="30137" xr:uid="{00000000-0005-0000-0000-000045500000}"/>
    <cellStyle name="Normal 3 4 2 4 2 2 4" xfId="30134" xr:uid="{00000000-0005-0000-0000-000046500000}"/>
    <cellStyle name="Normal 3 4 2 4 2 3" xfId="6642" xr:uid="{00000000-0005-0000-0000-000047500000}"/>
    <cellStyle name="Normal 3 4 2 4 2 3 2" xfId="6643" xr:uid="{00000000-0005-0000-0000-000048500000}"/>
    <cellStyle name="Normal 3 4 2 4 2 3 2 2" xfId="30139" xr:uid="{00000000-0005-0000-0000-000049500000}"/>
    <cellStyle name="Normal 3 4 2 4 2 3 3" xfId="30138" xr:uid="{00000000-0005-0000-0000-00004A500000}"/>
    <cellStyle name="Normal 3 4 2 4 2 4" xfId="6644" xr:uid="{00000000-0005-0000-0000-00004B500000}"/>
    <cellStyle name="Normal 3 4 2 4 2 4 2" xfId="30140" xr:uid="{00000000-0005-0000-0000-00004C500000}"/>
    <cellStyle name="Normal 3 4 2 4 2 5" xfId="30133" xr:uid="{00000000-0005-0000-0000-00004D500000}"/>
    <cellStyle name="Normal 3 4 2 4 3" xfId="6645" xr:uid="{00000000-0005-0000-0000-00004E500000}"/>
    <cellStyle name="Normal 3 4 2 4 3 2" xfId="6646" xr:uid="{00000000-0005-0000-0000-00004F500000}"/>
    <cellStyle name="Normal 3 4 2 4 3 2 2" xfId="6647" xr:uid="{00000000-0005-0000-0000-000050500000}"/>
    <cellStyle name="Normal 3 4 2 4 3 2 2 2" xfId="6648" xr:uid="{00000000-0005-0000-0000-000051500000}"/>
    <cellStyle name="Normal 3 4 2 4 3 2 2 2 2" xfId="30144" xr:uid="{00000000-0005-0000-0000-000052500000}"/>
    <cellStyle name="Normal 3 4 2 4 3 2 2 3" xfId="30143" xr:uid="{00000000-0005-0000-0000-000053500000}"/>
    <cellStyle name="Normal 3 4 2 4 3 2 3" xfId="6649" xr:uid="{00000000-0005-0000-0000-000054500000}"/>
    <cellStyle name="Normal 3 4 2 4 3 2 3 2" xfId="30145" xr:uid="{00000000-0005-0000-0000-000055500000}"/>
    <cellStyle name="Normal 3 4 2 4 3 2 4" xfId="30142" xr:uid="{00000000-0005-0000-0000-000056500000}"/>
    <cellStyle name="Normal 3 4 2 4 3 3" xfId="6650" xr:uid="{00000000-0005-0000-0000-000057500000}"/>
    <cellStyle name="Normal 3 4 2 4 3 3 2" xfId="6651" xr:uid="{00000000-0005-0000-0000-000058500000}"/>
    <cellStyle name="Normal 3 4 2 4 3 3 2 2" xfId="30147" xr:uid="{00000000-0005-0000-0000-000059500000}"/>
    <cellStyle name="Normal 3 4 2 4 3 3 3" xfId="30146" xr:uid="{00000000-0005-0000-0000-00005A500000}"/>
    <cellStyle name="Normal 3 4 2 4 3 4" xfId="6652" xr:uid="{00000000-0005-0000-0000-00005B500000}"/>
    <cellStyle name="Normal 3 4 2 4 3 4 2" xfId="30148" xr:uid="{00000000-0005-0000-0000-00005C500000}"/>
    <cellStyle name="Normal 3 4 2 4 3 5" xfId="30141" xr:uid="{00000000-0005-0000-0000-00005D500000}"/>
    <cellStyle name="Normal 3 4 2 4 4" xfId="6653" xr:uid="{00000000-0005-0000-0000-00005E500000}"/>
    <cellStyle name="Normal 3 4 2 4 4 2" xfId="6654" xr:uid="{00000000-0005-0000-0000-00005F500000}"/>
    <cellStyle name="Normal 3 4 2 4 4 2 2" xfId="6655" xr:uid="{00000000-0005-0000-0000-000060500000}"/>
    <cellStyle name="Normal 3 4 2 4 4 2 2 2" xfId="30151" xr:uid="{00000000-0005-0000-0000-000061500000}"/>
    <cellStyle name="Normal 3 4 2 4 4 2 3" xfId="30150" xr:uid="{00000000-0005-0000-0000-000062500000}"/>
    <cellStyle name="Normal 3 4 2 4 4 3" xfId="6656" xr:uid="{00000000-0005-0000-0000-000063500000}"/>
    <cellStyle name="Normal 3 4 2 4 4 3 2" xfId="30152" xr:uid="{00000000-0005-0000-0000-000064500000}"/>
    <cellStyle name="Normal 3 4 2 4 4 4" xfId="30149" xr:uid="{00000000-0005-0000-0000-000065500000}"/>
    <cellStyle name="Normal 3 4 2 4 5" xfId="6657" xr:uid="{00000000-0005-0000-0000-000066500000}"/>
    <cellStyle name="Normal 3 4 2 4 5 2" xfId="6658" xr:uid="{00000000-0005-0000-0000-000067500000}"/>
    <cellStyle name="Normal 3 4 2 4 5 2 2" xfId="30154" xr:uid="{00000000-0005-0000-0000-000068500000}"/>
    <cellStyle name="Normal 3 4 2 4 5 3" xfId="30153" xr:uid="{00000000-0005-0000-0000-000069500000}"/>
    <cellStyle name="Normal 3 4 2 4 6" xfId="6659" xr:uid="{00000000-0005-0000-0000-00006A500000}"/>
    <cellStyle name="Normal 3 4 2 4 6 2" xfId="30155" xr:uid="{00000000-0005-0000-0000-00006B500000}"/>
    <cellStyle name="Normal 3 4 2 4 7" xfId="30132" xr:uid="{00000000-0005-0000-0000-00006C500000}"/>
    <cellStyle name="Normal 3 4 2 5" xfId="6660" xr:uid="{00000000-0005-0000-0000-00006D500000}"/>
    <cellStyle name="Normal 3 4 2 5 2" xfId="6661" xr:uid="{00000000-0005-0000-0000-00006E500000}"/>
    <cellStyle name="Normal 3 4 2 5 2 2" xfId="6662" xr:uid="{00000000-0005-0000-0000-00006F500000}"/>
    <cellStyle name="Normal 3 4 2 5 2 2 2" xfId="6663" xr:uid="{00000000-0005-0000-0000-000070500000}"/>
    <cellStyle name="Normal 3 4 2 5 2 2 2 2" xfId="30159" xr:uid="{00000000-0005-0000-0000-000071500000}"/>
    <cellStyle name="Normal 3 4 2 5 2 2 3" xfId="30158" xr:uid="{00000000-0005-0000-0000-000072500000}"/>
    <cellStyle name="Normal 3 4 2 5 2 3" xfId="6664" xr:uid="{00000000-0005-0000-0000-000073500000}"/>
    <cellStyle name="Normal 3 4 2 5 2 3 2" xfId="30160" xr:uid="{00000000-0005-0000-0000-000074500000}"/>
    <cellStyle name="Normal 3 4 2 5 2 4" xfId="30157" xr:uid="{00000000-0005-0000-0000-000075500000}"/>
    <cellStyle name="Normal 3 4 2 5 3" xfId="6665" xr:uid="{00000000-0005-0000-0000-000076500000}"/>
    <cellStyle name="Normal 3 4 2 5 3 2" xfId="6666" xr:uid="{00000000-0005-0000-0000-000077500000}"/>
    <cellStyle name="Normal 3 4 2 5 3 2 2" xfId="30162" xr:uid="{00000000-0005-0000-0000-000078500000}"/>
    <cellStyle name="Normal 3 4 2 5 3 3" xfId="30161" xr:uid="{00000000-0005-0000-0000-000079500000}"/>
    <cellStyle name="Normal 3 4 2 5 4" xfId="6667" xr:uid="{00000000-0005-0000-0000-00007A500000}"/>
    <cellStyle name="Normal 3 4 2 5 4 2" xfId="30163" xr:uid="{00000000-0005-0000-0000-00007B500000}"/>
    <cellStyle name="Normal 3 4 2 5 5" xfId="30156" xr:uid="{00000000-0005-0000-0000-00007C500000}"/>
    <cellStyle name="Normal 3 4 2 6" xfId="6668" xr:uid="{00000000-0005-0000-0000-00007D500000}"/>
    <cellStyle name="Normal 3 4 2 6 2" xfId="6669" xr:uid="{00000000-0005-0000-0000-00007E500000}"/>
    <cellStyle name="Normal 3 4 2 6 2 2" xfId="6670" xr:uid="{00000000-0005-0000-0000-00007F500000}"/>
    <cellStyle name="Normal 3 4 2 6 2 2 2" xfId="6671" xr:uid="{00000000-0005-0000-0000-000080500000}"/>
    <cellStyle name="Normal 3 4 2 6 2 2 2 2" xfId="30167" xr:uid="{00000000-0005-0000-0000-000081500000}"/>
    <cellStyle name="Normal 3 4 2 6 2 2 3" xfId="30166" xr:uid="{00000000-0005-0000-0000-000082500000}"/>
    <cellStyle name="Normal 3 4 2 6 2 3" xfId="6672" xr:uid="{00000000-0005-0000-0000-000083500000}"/>
    <cellStyle name="Normal 3 4 2 6 2 3 2" xfId="30168" xr:uid="{00000000-0005-0000-0000-000084500000}"/>
    <cellStyle name="Normal 3 4 2 6 2 4" xfId="30165" xr:uid="{00000000-0005-0000-0000-000085500000}"/>
    <cellStyle name="Normal 3 4 2 6 3" xfId="6673" xr:uid="{00000000-0005-0000-0000-000086500000}"/>
    <cellStyle name="Normal 3 4 2 6 3 2" xfId="6674" xr:uid="{00000000-0005-0000-0000-000087500000}"/>
    <cellStyle name="Normal 3 4 2 6 3 2 2" xfId="30170" xr:uid="{00000000-0005-0000-0000-000088500000}"/>
    <cellStyle name="Normal 3 4 2 6 3 3" xfId="30169" xr:uid="{00000000-0005-0000-0000-000089500000}"/>
    <cellStyle name="Normal 3 4 2 6 4" xfId="6675" xr:uid="{00000000-0005-0000-0000-00008A500000}"/>
    <cellStyle name="Normal 3 4 2 6 4 2" xfId="30171" xr:uid="{00000000-0005-0000-0000-00008B500000}"/>
    <cellStyle name="Normal 3 4 2 6 5" xfId="30164" xr:uid="{00000000-0005-0000-0000-00008C500000}"/>
    <cellStyle name="Normal 3 4 2 7" xfId="6676" xr:uid="{00000000-0005-0000-0000-00008D500000}"/>
    <cellStyle name="Normal 3 4 2 7 2" xfId="6677" xr:uid="{00000000-0005-0000-0000-00008E500000}"/>
    <cellStyle name="Normal 3 4 2 7 2 2" xfId="6678" xr:uid="{00000000-0005-0000-0000-00008F500000}"/>
    <cellStyle name="Normal 3 4 2 7 2 2 2" xfId="30174" xr:uid="{00000000-0005-0000-0000-000090500000}"/>
    <cellStyle name="Normal 3 4 2 7 2 3" xfId="30173" xr:uid="{00000000-0005-0000-0000-000091500000}"/>
    <cellStyle name="Normal 3 4 2 7 3" xfId="6679" xr:uid="{00000000-0005-0000-0000-000092500000}"/>
    <cellStyle name="Normal 3 4 2 7 3 2" xfId="30175" xr:uid="{00000000-0005-0000-0000-000093500000}"/>
    <cellStyle name="Normal 3 4 2 7 4" xfId="30172" xr:uid="{00000000-0005-0000-0000-000094500000}"/>
    <cellStyle name="Normal 3 4 2 8" xfId="6680" xr:uid="{00000000-0005-0000-0000-000095500000}"/>
    <cellStyle name="Normal 3 4 2 8 2" xfId="6681" xr:uid="{00000000-0005-0000-0000-000096500000}"/>
    <cellStyle name="Normal 3 4 2 8 2 2" xfId="30177" xr:uid="{00000000-0005-0000-0000-000097500000}"/>
    <cellStyle name="Normal 3 4 2 8 3" xfId="30176" xr:uid="{00000000-0005-0000-0000-000098500000}"/>
    <cellStyle name="Normal 3 4 2 9" xfId="6682" xr:uid="{00000000-0005-0000-0000-000099500000}"/>
    <cellStyle name="Normal 3 4 2 9 2" xfId="30178" xr:uid="{00000000-0005-0000-0000-00009A500000}"/>
    <cellStyle name="Normal 3 4 3" xfId="6683" xr:uid="{00000000-0005-0000-0000-00009B500000}"/>
    <cellStyle name="Normal 3 4 3 2" xfId="6684" xr:uid="{00000000-0005-0000-0000-00009C500000}"/>
    <cellStyle name="Normal 3 4 3 2 2" xfId="6685" xr:uid="{00000000-0005-0000-0000-00009D500000}"/>
    <cellStyle name="Normal 3 4 3 2 2 2" xfId="6686" xr:uid="{00000000-0005-0000-0000-00009E500000}"/>
    <cellStyle name="Normal 3 4 3 2 2 2 2" xfId="6687" xr:uid="{00000000-0005-0000-0000-00009F500000}"/>
    <cellStyle name="Normal 3 4 3 2 2 2 2 2" xfId="6688" xr:uid="{00000000-0005-0000-0000-0000A0500000}"/>
    <cellStyle name="Normal 3 4 3 2 2 2 2 2 2" xfId="30184" xr:uid="{00000000-0005-0000-0000-0000A1500000}"/>
    <cellStyle name="Normal 3 4 3 2 2 2 2 3" xfId="30183" xr:uid="{00000000-0005-0000-0000-0000A2500000}"/>
    <cellStyle name="Normal 3 4 3 2 2 2 3" xfId="6689" xr:uid="{00000000-0005-0000-0000-0000A3500000}"/>
    <cellStyle name="Normal 3 4 3 2 2 2 3 2" xfId="30185" xr:uid="{00000000-0005-0000-0000-0000A4500000}"/>
    <cellStyle name="Normal 3 4 3 2 2 2 4" xfId="30182" xr:uid="{00000000-0005-0000-0000-0000A5500000}"/>
    <cellStyle name="Normal 3 4 3 2 2 3" xfId="6690" xr:uid="{00000000-0005-0000-0000-0000A6500000}"/>
    <cellStyle name="Normal 3 4 3 2 2 3 2" xfId="6691" xr:uid="{00000000-0005-0000-0000-0000A7500000}"/>
    <cellStyle name="Normal 3 4 3 2 2 3 2 2" xfId="30187" xr:uid="{00000000-0005-0000-0000-0000A8500000}"/>
    <cellStyle name="Normal 3 4 3 2 2 3 3" xfId="30186" xr:uid="{00000000-0005-0000-0000-0000A9500000}"/>
    <cellStyle name="Normal 3 4 3 2 2 4" xfId="6692" xr:uid="{00000000-0005-0000-0000-0000AA500000}"/>
    <cellStyle name="Normal 3 4 3 2 2 4 2" xfId="30188" xr:uid="{00000000-0005-0000-0000-0000AB500000}"/>
    <cellStyle name="Normal 3 4 3 2 2 5" xfId="30181" xr:uid="{00000000-0005-0000-0000-0000AC500000}"/>
    <cellStyle name="Normal 3 4 3 2 3" xfId="6693" xr:uid="{00000000-0005-0000-0000-0000AD500000}"/>
    <cellStyle name="Normal 3 4 3 2 3 2" xfId="6694" xr:uid="{00000000-0005-0000-0000-0000AE500000}"/>
    <cellStyle name="Normal 3 4 3 2 3 2 2" xfId="6695" xr:uid="{00000000-0005-0000-0000-0000AF500000}"/>
    <cellStyle name="Normal 3 4 3 2 3 2 2 2" xfId="6696" xr:uid="{00000000-0005-0000-0000-0000B0500000}"/>
    <cellStyle name="Normal 3 4 3 2 3 2 2 2 2" xfId="30192" xr:uid="{00000000-0005-0000-0000-0000B1500000}"/>
    <cellStyle name="Normal 3 4 3 2 3 2 2 3" xfId="30191" xr:uid="{00000000-0005-0000-0000-0000B2500000}"/>
    <cellStyle name="Normal 3 4 3 2 3 2 3" xfId="6697" xr:uid="{00000000-0005-0000-0000-0000B3500000}"/>
    <cellStyle name="Normal 3 4 3 2 3 2 3 2" xfId="30193" xr:uid="{00000000-0005-0000-0000-0000B4500000}"/>
    <cellStyle name="Normal 3 4 3 2 3 2 4" xfId="30190" xr:uid="{00000000-0005-0000-0000-0000B5500000}"/>
    <cellStyle name="Normal 3 4 3 2 3 3" xfId="6698" xr:uid="{00000000-0005-0000-0000-0000B6500000}"/>
    <cellStyle name="Normal 3 4 3 2 3 3 2" xfId="6699" xr:uid="{00000000-0005-0000-0000-0000B7500000}"/>
    <cellStyle name="Normal 3 4 3 2 3 3 2 2" xfId="30195" xr:uid="{00000000-0005-0000-0000-0000B8500000}"/>
    <cellStyle name="Normal 3 4 3 2 3 3 3" xfId="30194" xr:uid="{00000000-0005-0000-0000-0000B9500000}"/>
    <cellStyle name="Normal 3 4 3 2 3 4" xfId="6700" xr:uid="{00000000-0005-0000-0000-0000BA500000}"/>
    <cellStyle name="Normal 3 4 3 2 3 4 2" xfId="30196" xr:uid="{00000000-0005-0000-0000-0000BB500000}"/>
    <cellStyle name="Normal 3 4 3 2 3 5" xfId="30189" xr:uid="{00000000-0005-0000-0000-0000BC500000}"/>
    <cellStyle name="Normal 3 4 3 2 4" xfId="6701" xr:uid="{00000000-0005-0000-0000-0000BD500000}"/>
    <cellStyle name="Normal 3 4 3 2 4 2" xfId="6702" xr:uid="{00000000-0005-0000-0000-0000BE500000}"/>
    <cellStyle name="Normal 3 4 3 2 4 2 2" xfId="6703" xr:uid="{00000000-0005-0000-0000-0000BF500000}"/>
    <cellStyle name="Normal 3 4 3 2 4 2 2 2" xfId="30199" xr:uid="{00000000-0005-0000-0000-0000C0500000}"/>
    <cellStyle name="Normal 3 4 3 2 4 2 3" xfId="30198" xr:uid="{00000000-0005-0000-0000-0000C1500000}"/>
    <cellStyle name="Normal 3 4 3 2 4 3" xfId="6704" xr:uid="{00000000-0005-0000-0000-0000C2500000}"/>
    <cellStyle name="Normal 3 4 3 2 4 3 2" xfId="30200" xr:uid="{00000000-0005-0000-0000-0000C3500000}"/>
    <cellStyle name="Normal 3 4 3 2 4 4" xfId="30197" xr:uid="{00000000-0005-0000-0000-0000C4500000}"/>
    <cellStyle name="Normal 3 4 3 2 5" xfId="6705" xr:uid="{00000000-0005-0000-0000-0000C5500000}"/>
    <cellStyle name="Normal 3 4 3 2 5 2" xfId="6706" xr:uid="{00000000-0005-0000-0000-0000C6500000}"/>
    <cellStyle name="Normal 3 4 3 2 5 2 2" xfId="30202" xr:uid="{00000000-0005-0000-0000-0000C7500000}"/>
    <cellStyle name="Normal 3 4 3 2 5 3" xfId="30201" xr:uid="{00000000-0005-0000-0000-0000C8500000}"/>
    <cellStyle name="Normal 3 4 3 2 6" xfId="6707" xr:uid="{00000000-0005-0000-0000-0000C9500000}"/>
    <cellStyle name="Normal 3 4 3 2 6 2" xfId="30203" xr:uid="{00000000-0005-0000-0000-0000CA500000}"/>
    <cellStyle name="Normal 3 4 3 2 7" xfId="30180" xr:uid="{00000000-0005-0000-0000-0000CB500000}"/>
    <cellStyle name="Normal 3 4 3 3" xfId="6708" xr:uid="{00000000-0005-0000-0000-0000CC500000}"/>
    <cellStyle name="Normal 3 4 3 3 2" xfId="6709" xr:uid="{00000000-0005-0000-0000-0000CD500000}"/>
    <cellStyle name="Normal 3 4 3 3 2 2" xfId="6710" xr:uid="{00000000-0005-0000-0000-0000CE500000}"/>
    <cellStyle name="Normal 3 4 3 3 2 2 2" xfId="6711" xr:uid="{00000000-0005-0000-0000-0000CF500000}"/>
    <cellStyle name="Normal 3 4 3 3 2 2 2 2" xfId="6712" xr:uid="{00000000-0005-0000-0000-0000D0500000}"/>
    <cellStyle name="Normal 3 4 3 3 2 2 2 2 2" xfId="30208" xr:uid="{00000000-0005-0000-0000-0000D1500000}"/>
    <cellStyle name="Normal 3 4 3 3 2 2 2 3" xfId="30207" xr:uid="{00000000-0005-0000-0000-0000D2500000}"/>
    <cellStyle name="Normal 3 4 3 3 2 2 3" xfId="6713" xr:uid="{00000000-0005-0000-0000-0000D3500000}"/>
    <cellStyle name="Normal 3 4 3 3 2 2 3 2" xfId="30209" xr:uid="{00000000-0005-0000-0000-0000D4500000}"/>
    <cellStyle name="Normal 3 4 3 3 2 2 4" xfId="30206" xr:uid="{00000000-0005-0000-0000-0000D5500000}"/>
    <cellStyle name="Normal 3 4 3 3 2 3" xfId="6714" xr:uid="{00000000-0005-0000-0000-0000D6500000}"/>
    <cellStyle name="Normal 3 4 3 3 2 3 2" xfId="6715" xr:uid="{00000000-0005-0000-0000-0000D7500000}"/>
    <cellStyle name="Normal 3 4 3 3 2 3 2 2" xfId="30211" xr:uid="{00000000-0005-0000-0000-0000D8500000}"/>
    <cellStyle name="Normal 3 4 3 3 2 3 3" xfId="30210" xr:uid="{00000000-0005-0000-0000-0000D9500000}"/>
    <cellStyle name="Normal 3 4 3 3 2 4" xfId="6716" xr:uid="{00000000-0005-0000-0000-0000DA500000}"/>
    <cellStyle name="Normal 3 4 3 3 2 4 2" xfId="30212" xr:uid="{00000000-0005-0000-0000-0000DB500000}"/>
    <cellStyle name="Normal 3 4 3 3 2 5" xfId="30205" xr:uid="{00000000-0005-0000-0000-0000DC500000}"/>
    <cellStyle name="Normal 3 4 3 3 3" xfId="6717" xr:uid="{00000000-0005-0000-0000-0000DD500000}"/>
    <cellStyle name="Normal 3 4 3 3 3 2" xfId="6718" xr:uid="{00000000-0005-0000-0000-0000DE500000}"/>
    <cellStyle name="Normal 3 4 3 3 3 2 2" xfId="6719" xr:uid="{00000000-0005-0000-0000-0000DF500000}"/>
    <cellStyle name="Normal 3 4 3 3 3 2 2 2" xfId="6720" xr:uid="{00000000-0005-0000-0000-0000E0500000}"/>
    <cellStyle name="Normal 3 4 3 3 3 2 2 2 2" xfId="30216" xr:uid="{00000000-0005-0000-0000-0000E1500000}"/>
    <cellStyle name="Normal 3 4 3 3 3 2 2 3" xfId="30215" xr:uid="{00000000-0005-0000-0000-0000E2500000}"/>
    <cellStyle name="Normal 3 4 3 3 3 2 3" xfId="6721" xr:uid="{00000000-0005-0000-0000-0000E3500000}"/>
    <cellStyle name="Normal 3 4 3 3 3 2 3 2" xfId="30217" xr:uid="{00000000-0005-0000-0000-0000E4500000}"/>
    <cellStyle name="Normal 3 4 3 3 3 2 4" xfId="30214" xr:uid="{00000000-0005-0000-0000-0000E5500000}"/>
    <cellStyle name="Normal 3 4 3 3 3 3" xfId="6722" xr:uid="{00000000-0005-0000-0000-0000E6500000}"/>
    <cellStyle name="Normal 3 4 3 3 3 3 2" xfId="6723" xr:uid="{00000000-0005-0000-0000-0000E7500000}"/>
    <cellStyle name="Normal 3 4 3 3 3 3 2 2" xfId="30219" xr:uid="{00000000-0005-0000-0000-0000E8500000}"/>
    <cellStyle name="Normal 3 4 3 3 3 3 3" xfId="30218" xr:uid="{00000000-0005-0000-0000-0000E9500000}"/>
    <cellStyle name="Normal 3 4 3 3 3 4" xfId="6724" xr:uid="{00000000-0005-0000-0000-0000EA500000}"/>
    <cellStyle name="Normal 3 4 3 3 3 4 2" xfId="30220" xr:uid="{00000000-0005-0000-0000-0000EB500000}"/>
    <cellStyle name="Normal 3 4 3 3 3 5" xfId="30213" xr:uid="{00000000-0005-0000-0000-0000EC500000}"/>
    <cellStyle name="Normal 3 4 3 3 4" xfId="6725" xr:uid="{00000000-0005-0000-0000-0000ED500000}"/>
    <cellStyle name="Normal 3 4 3 3 4 2" xfId="6726" xr:uid="{00000000-0005-0000-0000-0000EE500000}"/>
    <cellStyle name="Normal 3 4 3 3 4 2 2" xfId="6727" xr:uid="{00000000-0005-0000-0000-0000EF500000}"/>
    <cellStyle name="Normal 3 4 3 3 4 2 2 2" xfId="30223" xr:uid="{00000000-0005-0000-0000-0000F0500000}"/>
    <cellStyle name="Normal 3 4 3 3 4 2 3" xfId="30222" xr:uid="{00000000-0005-0000-0000-0000F1500000}"/>
    <cellStyle name="Normal 3 4 3 3 4 3" xfId="6728" xr:uid="{00000000-0005-0000-0000-0000F2500000}"/>
    <cellStyle name="Normal 3 4 3 3 4 3 2" xfId="30224" xr:uid="{00000000-0005-0000-0000-0000F3500000}"/>
    <cellStyle name="Normal 3 4 3 3 4 4" xfId="30221" xr:uid="{00000000-0005-0000-0000-0000F4500000}"/>
    <cellStyle name="Normal 3 4 3 3 5" xfId="6729" xr:uid="{00000000-0005-0000-0000-0000F5500000}"/>
    <cellStyle name="Normal 3 4 3 3 5 2" xfId="6730" xr:uid="{00000000-0005-0000-0000-0000F6500000}"/>
    <cellStyle name="Normal 3 4 3 3 5 2 2" xfId="30226" xr:uid="{00000000-0005-0000-0000-0000F7500000}"/>
    <cellStyle name="Normal 3 4 3 3 5 3" xfId="30225" xr:uid="{00000000-0005-0000-0000-0000F8500000}"/>
    <cellStyle name="Normal 3 4 3 3 6" xfId="6731" xr:uid="{00000000-0005-0000-0000-0000F9500000}"/>
    <cellStyle name="Normal 3 4 3 3 6 2" xfId="30227" xr:uid="{00000000-0005-0000-0000-0000FA500000}"/>
    <cellStyle name="Normal 3 4 3 3 7" xfId="30204" xr:uid="{00000000-0005-0000-0000-0000FB500000}"/>
    <cellStyle name="Normal 3 4 3 4" xfId="6732" xr:uid="{00000000-0005-0000-0000-0000FC500000}"/>
    <cellStyle name="Normal 3 4 3 4 2" xfId="6733" xr:uid="{00000000-0005-0000-0000-0000FD500000}"/>
    <cellStyle name="Normal 3 4 3 4 2 2" xfId="6734" xr:uid="{00000000-0005-0000-0000-0000FE500000}"/>
    <cellStyle name="Normal 3 4 3 4 2 2 2" xfId="6735" xr:uid="{00000000-0005-0000-0000-0000FF500000}"/>
    <cellStyle name="Normal 3 4 3 4 2 2 2 2" xfId="30231" xr:uid="{00000000-0005-0000-0000-000000510000}"/>
    <cellStyle name="Normal 3 4 3 4 2 2 3" xfId="30230" xr:uid="{00000000-0005-0000-0000-000001510000}"/>
    <cellStyle name="Normal 3 4 3 4 2 3" xfId="6736" xr:uid="{00000000-0005-0000-0000-000002510000}"/>
    <cellStyle name="Normal 3 4 3 4 2 3 2" xfId="30232" xr:uid="{00000000-0005-0000-0000-000003510000}"/>
    <cellStyle name="Normal 3 4 3 4 2 4" xfId="30229" xr:uid="{00000000-0005-0000-0000-000004510000}"/>
    <cellStyle name="Normal 3 4 3 4 3" xfId="6737" xr:uid="{00000000-0005-0000-0000-000005510000}"/>
    <cellStyle name="Normal 3 4 3 4 3 2" xfId="6738" xr:uid="{00000000-0005-0000-0000-000006510000}"/>
    <cellStyle name="Normal 3 4 3 4 3 2 2" xfId="30234" xr:uid="{00000000-0005-0000-0000-000007510000}"/>
    <cellStyle name="Normal 3 4 3 4 3 3" xfId="30233" xr:uid="{00000000-0005-0000-0000-000008510000}"/>
    <cellStyle name="Normal 3 4 3 4 4" xfId="6739" xr:uid="{00000000-0005-0000-0000-000009510000}"/>
    <cellStyle name="Normal 3 4 3 4 4 2" xfId="30235" xr:uid="{00000000-0005-0000-0000-00000A510000}"/>
    <cellStyle name="Normal 3 4 3 4 5" xfId="30228" xr:uid="{00000000-0005-0000-0000-00000B510000}"/>
    <cellStyle name="Normal 3 4 3 5" xfId="6740" xr:uid="{00000000-0005-0000-0000-00000C510000}"/>
    <cellStyle name="Normal 3 4 3 5 2" xfId="6741" xr:uid="{00000000-0005-0000-0000-00000D510000}"/>
    <cellStyle name="Normal 3 4 3 5 2 2" xfId="6742" xr:uid="{00000000-0005-0000-0000-00000E510000}"/>
    <cellStyle name="Normal 3 4 3 5 2 2 2" xfId="6743" xr:uid="{00000000-0005-0000-0000-00000F510000}"/>
    <cellStyle name="Normal 3 4 3 5 2 2 2 2" xfId="30239" xr:uid="{00000000-0005-0000-0000-000010510000}"/>
    <cellStyle name="Normal 3 4 3 5 2 2 3" xfId="30238" xr:uid="{00000000-0005-0000-0000-000011510000}"/>
    <cellStyle name="Normal 3 4 3 5 2 3" xfId="6744" xr:uid="{00000000-0005-0000-0000-000012510000}"/>
    <cellStyle name="Normal 3 4 3 5 2 3 2" xfId="30240" xr:uid="{00000000-0005-0000-0000-000013510000}"/>
    <cellStyle name="Normal 3 4 3 5 2 4" xfId="30237" xr:uid="{00000000-0005-0000-0000-000014510000}"/>
    <cellStyle name="Normal 3 4 3 5 3" xfId="6745" xr:uid="{00000000-0005-0000-0000-000015510000}"/>
    <cellStyle name="Normal 3 4 3 5 3 2" xfId="6746" xr:uid="{00000000-0005-0000-0000-000016510000}"/>
    <cellStyle name="Normal 3 4 3 5 3 2 2" xfId="30242" xr:uid="{00000000-0005-0000-0000-000017510000}"/>
    <cellStyle name="Normal 3 4 3 5 3 3" xfId="30241" xr:uid="{00000000-0005-0000-0000-000018510000}"/>
    <cellStyle name="Normal 3 4 3 5 4" xfId="6747" xr:uid="{00000000-0005-0000-0000-000019510000}"/>
    <cellStyle name="Normal 3 4 3 5 4 2" xfId="30243" xr:uid="{00000000-0005-0000-0000-00001A510000}"/>
    <cellStyle name="Normal 3 4 3 5 5" xfId="30236" xr:uid="{00000000-0005-0000-0000-00001B510000}"/>
    <cellStyle name="Normal 3 4 3 6" xfId="6748" xr:uid="{00000000-0005-0000-0000-00001C510000}"/>
    <cellStyle name="Normal 3 4 3 6 2" xfId="6749" xr:uid="{00000000-0005-0000-0000-00001D510000}"/>
    <cellStyle name="Normal 3 4 3 6 2 2" xfId="6750" xr:uid="{00000000-0005-0000-0000-00001E510000}"/>
    <cellStyle name="Normal 3 4 3 6 2 2 2" xfId="30246" xr:uid="{00000000-0005-0000-0000-00001F510000}"/>
    <cellStyle name="Normal 3 4 3 6 2 3" xfId="30245" xr:uid="{00000000-0005-0000-0000-000020510000}"/>
    <cellStyle name="Normal 3 4 3 6 3" xfId="6751" xr:uid="{00000000-0005-0000-0000-000021510000}"/>
    <cellStyle name="Normal 3 4 3 6 3 2" xfId="30247" xr:uid="{00000000-0005-0000-0000-000022510000}"/>
    <cellStyle name="Normal 3 4 3 6 4" xfId="30244" xr:uid="{00000000-0005-0000-0000-000023510000}"/>
    <cellStyle name="Normal 3 4 3 7" xfId="6752" xr:uid="{00000000-0005-0000-0000-000024510000}"/>
    <cellStyle name="Normal 3 4 3 7 2" xfId="6753" xr:uid="{00000000-0005-0000-0000-000025510000}"/>
    <cellStyle name="Normal 3 4 3 7 2 2" xfId="30249" xr:uid="{00000000-0005-0000-0000-000026510000}"/>
    <cellStyle name="Normal 3 4 3 7 3" xfId="30248" xr:uid="{00000000-0005-0000-0000-000027510000}"/>
    <cellStyle name="Normal 3 4 3 8" xfId="6754" xr:uid="{00000000-0005-0000-0000-000028510000}"/>
    <cellStyle name="Normal 3 4 3 8 2" xfId="30250" xr:uid="{00000000-0005-0000-0000-000029510000}"/>
    <cellStyle name="Normal 3 4 3 9" xfId="30179" xr:uid="{00000000-0005-0000-0000-00002A510000}"/>
    <cellStyle name="Normal 3 4 4" xfId="6755" xr:uid="{00000000-0005-0000-0000-00002B510000}"/>
    <cellStyle name="Normal 3 4 4 2" xfId="6756" xr:uid="{00000000-0005-0000-0000-00002C510000}"/>
    <cellStyle name="Normal 3 4 4 2 2" xfId="6757" xr:uid="{00000000-0005-0000-0000-00002D510000}"/>
    <cellStyle name="Normal 3 4 4 2 2 2" xfId="6758" xr:uid="{00000000-0005-0000-0000-00002E510000}"/>
    <cellStyle name="Normal 3 4 4 2 2 2 2" xfId="6759" xr:uid="{00000000-0005-0000-0000-00002F510000}"/>
    <cellStyle name="Normal 3 4 4 2 2 2 2 2" xfId="30255" xr:uid="{00000000-0005-0000-0000-000030510000}"/>
    <cellStyle name="Normal 3 4 4 2 2 2 3" xfId="30254" xr:uid="{00000000-0005-0000-0000-000031510000}"/>
    <cellStyle name="Normal 3 4 4 2 2 3" xfId="6760" xr:uid="{00000000-0005-0000-0000-000032510000}"/>
    <cellStyle name="Normal 3 4 4 2 2 3 2" xfId="30256" xr:uid="{00000000-0005-0000-0000-000033510000}"/>
    <cellStyle name="Normal 3 4 4 2 2 4" xfId="30253" xr:uid="{00000000-0005-0000-0000-000034510000}"/>
    <cellStyle name="Normal 3 4 4 2 3" xfId="6761" xr:uid="{00000000-0005-0000-0000-000035510000}"/>
    <cellStyle name="Normal 3 4 4 2 3 2" xfId="6762" xr:uid="{00000000-0005-0000-0000-000036510000}"/>
    <cellStyle name="Normal 3 4 4 2 3 2 2" xfId="30258" xr:uid="{00000000-0005-0000-0000-000037510000}"/>
    <cellStyle name="Normal 3 4 4 2 3 3" xfId="30257" xr:uid="{00000000-0005-0000-0000-000038510000}"/>
    <cellStyle name="Normal 3 4 4 2 4" xfId="6763" xr:uid="{00000000-0005-0000-0000-000039510000}"/>
    <cellStyle name="Normal 3 4 4 2 4 2" xfId="30259" xr:uid="{00000000-0005-0000-0000-00003A510000}"/>
    <cellStyle name="Normal 3 4 4 2 5" xfId="30252" xr:uid="{00000000-0005-0000-0000-00003B510000}"/>
    <cellStyle name="Normal 3 4 4 3" xfId="6764" xr:uid="{00000000-0005-0000-0000-00003C510000}"/>
    <cellStyle name="Normal 3 4 4 3 2" xfId="6765" xr:uid="{00000000-0005-0000-0000-00003D510000}"/>
    <cellStyle name="Normal 3 4 4 3 2 2" xfId="6766" xr:uid="{00000000-0005-0000-0000-00003E510000}"/>
    <cellStyle name="Normal 3 4 4 3 2 2 2" xfId="6767" xr:uid="{00000000-0005-0000-0000-00003F510000}"/>
    <cellStyle name="Normal 3 4 4 3 2 2 2 2" xfId="30263" xr:uid="{00000000-0005-0000-0000-000040510000}"/>
    <cellStyle name="Normal 3 4 4 3 2 2 3" xfId="30262" xr:uid="{00000000-0005-0000-0000-000041510000}"/>
    <cellStyle name="Normal 3 4 4 3 2 3" xfId="6768" xr:uid="{00000000-0005-0000-0000-000042510000}"/>
    <cellStyle name="Normal 3 4 4 3 2 3 2" xfId="30264" xr:uid="{00000000-0005-0000-0000-000043510000}"/>
    <cellStyle name="Normal 3 4 4 3 2 4" xfId="30261" xr:uid="{00000000-0005-0000-0000-000044510000}"/>
    <cellStyle name="Normal 3 4 4 3 3" xfId="6769" xr:uid="{00000000-0005-0000-0000-000045510000}"/>
    <cellStyle name="Normal 3 4 4 3 3 2" xfId="6770" xr:uid="{00000000-0005-0000-0000-000046510000}"/>
    <cellStyle name="Normal 3 4 4 3 3 2 2" xfId="30266" xr:uid="{00000000-0005-0000-0000-000047510000}"/>
    <cellStyle name="Normal 3 4 4 3 3 3" xfId="30265" xr:uid="{00000000-0005-0000-0000-000048510000}"/>
    <cellStyle name="Normal 3 4 4 3 4" xfId="6771" xr:uid="{00000000-0005-0000-0000-000049510000}"/>
    <cellStyle name="Normal 3 4 4 3 4 2" xfId="30267" xr:uid="{00000000-0005-0000-0000-00004A510000}"/>
    <cellStyle name="Normal 3 4 4 3 5" xfId="30260" xr:uid="{00000000-0005-0000-0000-00004B510000}"/>
    <cellStyle name="Normal 3 4 4 4" xfId="6772" xr:uid="{00000000-0005-0000-0000-00004C510000}"/>
    <cellStyle name="Normal 3 4 4 4 2" xfId="6773" xr:uid="{00000000-0005-0000-0000-00004D510000}"/>
    <cellStyle name="Normal 3 4 4 4 2 2" xfId="6774" xr:uid="{00000000-0005-0000-0000-00004E510000}"/>
    <cellStyle name="Normal 3 4 4 4 2 2 2" xfId="30270" xr:uid="{00000000-0005-0000-0000-00004F510000}"/>
    <cellStyle name="Normal 3 4 4 4 2 3" xfId="30269" xr:uid="{00000000-0005-0000-0000-000050510000}"/>
    <cellStyle name="Normal 3 4 4 4 3" xfId="6775" xr:uid="{00000000-0005-0000-0000-000051510000}"/>
    <cellStyle name="Normal 3 4 4 4 3 2" xfId="30271" xr:uid="{00000000-0005-0000-0000-000052510000}"/>
    <cellStyle name="Normal 3 4 4 4 4" xfId="30268" xr:uid="{00000000-0005-0000-0000-000053510000}"/>
    <cellStyle name="Normal 3 4 4 5" xfId="6776" xr:uid="{00000000-0005-0000-0000-000054510000}"/>
    <cellStyle name="Normal 3 4 4 5 2" xfId="6777" xr:uid="{00000000-0005-0000-0000-000055510000}"/>
    <cellStyle name="Normal 3 4 4 5 2 2" xfId="30273" xr:uid="{00000000-0005-0000-0000-000056510000}"/>
    <cellStyle name="Normal 3 4 4 5 3" xfId="30272" xr:uid="{00000000-0005-0000-0000-000057510000}"/>
    <cellStyle name="Normal 3 4 4 6" xfId="6778" xr:uid="{00000000-0005-0000-0000-000058510000}"/>
    <cellStyle name="Normal 3 4 4 6 2" xfId="30274" xr:uid="{00000000-0005-0000-0000-000059510000}"/>
    <cellStyle name="Normal 3 4 4 7" xfId="30251" xr:uid="{00000000-0005-0000-0000-00005A510000}"/>
    <cellStyle name="Normal 3 4 5" xfId="6779" xr:uid="{00000000-0005-0000-0000-00005B510000}"/>
    <cellStyle name="Normal 3 4 5 2" xfId="6780" xr:uid="{00000000-0005-0000-0000-00005C510000}"/>
    <cellStyle name="Normal 3 4 5 2 2" xfId="6781" xr:uid="{00000000-0005-0000-0000-00005D510000}"/>
    <cellStyle name="Normal 3 4 5 2 2 2" xfId="6782" xr:uid="{00000000-0005-0000-0000-00005E510000}"/>
    <cellStyle name="Normal 3 4 5 2 2 2 2" xfId="6783" xr:uid="{00000000-0005-0000-0000-00005F510000}"/>
    <cellStyle name="Normal 3 4 5 2 2 2 2 2" xfId="30279" xr:uid="{00000000-0005-0000-0000-000060510000}"/>
    <cellStyle name="Normal 3 4 5 2 2 2 3" xfId="30278" xr:uid="{00000000-0005-0000-0000-000061510000}"/>
    <cellStyle name="Normal 3 4 5 2 2 3" xfId="6784" xr:uid="{00000000-0005-0000-0000-000062510000}"/>
    <cellStyle name="Normal 3 4 5 2 2 3 2" xfId="30280" xr:uid="{00000000-0005-0000-0000-000063510000}"/>
    <cellStyle name="Normal 3 4 5 2 2 4" xfId="30277" xr:uid="{00000000-0005-0000-0000-000064510000}"/>
    <cellStyle name="Normal 3 4 5 2 3" xfId="6785" xr:uid="{00000000-0005-0000-0000-000065510000}"/>
    <cellStyle name="Normal 3 4 5 2 3 2" xfId="6786" xr:uid="{00000000-0005-0000-0000-000066510000}"/>
    <cellStyle name="Normal 3 4 5 2 3 2 2" xfId="30282" xr:uid="{00000000-0005-0000-0000-000067510000}"/>
    <cellStyle name="Normal 3 4 5 2 3 3" xfId="30281" xr:uid="{00000000-0005-0000-0000-000068510000}"/>
    <cellStyle name="Normal 3 4 5 2 4" xfId="6787" xr:uid="{00000000-0005-0000-0000-000069510000}"/>
    <cellStyle name="Normal 3 4 5 2 4 2" xfId="30283" xr:uid="{00000000-0005-0000-0000-00006A510000}"/>
    <cellStyle name="Normal 3 4 5 2 5" xfId="30276" xr:uid="{00000000-0005-0000-0000-00006B510000}"/>
    <cellStyle name="Normal 3 4 5 3" xfId="6788" xr:uid="{00000000-0005-0000-0000-00006C510000}"/>
    <cellStyle name="Normal 3 4 5 3 2" xfId="6789" xr:uid="{00000000-0005-0000-0000-00006D510000}"/>
    <cellStyle name="Normal 3 4 5 3 2 2" xfId="6790" xr:uid="{00000000-0005-0000-0000-00006E510000}"/>
    <cellStyle name="Normal 3 4 5 3 2 2 2" xfId="6791" xr:uid="{00000000-0005-0000-0000-00006F510000}"/>
    <cellStyle name="Normal 3 4 5 3 2 2 2 2" xfId="30287" xr:uid="{00000000-0005-0000-0000-000070510000}"/>
    <cellStyle name="Normal 3 4 5 3 2 2 3" xfId="30286" xr:uid="{00000000-0005-0000-0000-000071510000}"/>
    <cellStyle name="Normal 3 4 5 3 2 3" xfId="6792" xr:uid="{00000000-0005-0000-0000-000072510000}"/>
    <cellStyle name="Normal 3 4 5 3 2 3 2" xfId="30288" xr:uid="{00000000-0005-0000-0000-000073510000}"/>
    <cellStyle name="Normal 3 4 5 3 2 4" xfId="30285" xr:uid="{00000000-0005-0000-0000-000074510000}"/>
    <cellStyle name="Normal 3 4 5 3 3" xfId="6793" xr:uid="{00000000-0005-0000-0000-000075510000}"/>
    <cellStyle name="Normal 3 4 5 3 3 2" xfId="6794" xr:uid="{00000000-0005-0000-0000-000076510000}"/>
    <cellStyle name="Normal 3 4 5 3 3 2 2" xfId="30290" xr:uid="{00000000-0005-0000-0000-000077510000}"/>
    <cellStyle name="Normal 3 4 5 3 3 3" xfId="30289" xr:uid="{00000000-0005-0000-0000-000078510000}"/>
    <cellStyle name="Normal 3 4 5 3 4" xfId="6795" xr:uid="{00000000-0005-0000-0000-000079510000}"/>
    <cellStyle name="Normal 3 4 5 3 4 2" xfId="30291" xr:uid="{00000000-0005-0000-0000-00007A510000}"/>
    <cellStyle name="Normal 3 4 5 3 5" xfId="30284" xr:uid="{00000000-0005-0000-0000-00007B510000}"/>
    <cellStyle name="Normal 3 4 5 4" xfId="6796" xr:uid="{00000000-0005-0000-0000-00007C510000}"/>
    <cellStyle name="Normal 3 4 5 4 2" xfId="6797" xr:uid="{00000000-0005-0000-0000-00007D510000}"/>
    <cellStyle name="Normal 3 4 5 4 2 2" xfId="6798" xr:uid="{00000000-0005-0000-0000-00007E510000}"/>
    <cellStyle name="Normal 3 4 5 4 2 2 2" xfId="30294" xr:uid="{00000000-0005-0000-0000-00007F510000}"/>
    <cellStyle name="Normal 3 4 5 4 2 3" xfId="30293" xr:uid="{00000000-0005-0000-0000-000080510000}"/>
    <cellStyle name="Normal 3 4 5 4 3" xfId="6799" xr:uid="{00000000-0005-0000-0000-000081510000}"/>
    <cellStyle name="Normal 3 4 5 4 3 2" xfId="30295" xr:uid="{00000000-0005-0000-0000-000082510000}"/>
    <cellStyle name="Normal 3 4 5 4 4" xfId="30292" xr:uid="{00000000-0005-0000-0000-000083510000}"/>
    <cellStyle name="Normal 3 4 5 5" xfId="6800" xr:uid="{00000000-0005-0000-0000-000084510000}"/>
    <cellStyle name="Normal 3 4 5 5 2" xfId="6801" xr:uid="{00000000-0005-0000-0000-000085510000}"/>
    <cellStyle name="Normal 3 4 5 5 2 2" xfId="30297" xr:uid="{00000000-0005-0000-0000-000086510000}"/>
    <cellStyle name="Normal 3 4 5 5 3" xfId="30296" xr:uid="{00000000-0005-0000-0000-000087510000}"/>
    <cellStyle name="Normal 3 4 5 6" xfId="6802" xr:uid="{00000000-0005-0000-0000-000088510000}"/>
    <cellStyle name="Normal 3 4 5 6 2" xfId="30298" xr:uid="{00000000-0005-0000-0000-000089510000}"/>
    <cellStyle name="Normal 3 4 5 7" xfId="30275" xr:uid="{00000000-0005-0000-0000-00008A510000}"/>
    <cellStyle name="Normal 3 4 6" xfId="6803" xr:uid="{00000000-0005-0000-0000-00008B510000}"/>
    <cellStyle name="Normal 3 4 6 2" xfId="6804" xr:uid="{00000000-0005-0000-0000-00008C510000}"/>
    <cellStyle name="Normal 3 4 6 2 2" xfId="6805" xr:uid="{00000000-0005-0000-0000-00008D510000}"/>
    <cellStyle name="Normal 3 4 6 2 2 2" xfId="6806" xr:uid="{00000000-0005-0000-0000-00008E510000}"/>
    <cellStyle name="Normal 3 4 6 2 2 2 2" xfId="6807" xr:uid="{00000000-0005-0000-0000-00008F510000}"/>
    <cellStyle name="Normal 3 4 6 2 2 2 2 2" xfId="30303" xr:uid="{00000000-0005-0000-0000-000090510000}"/>
    <cellStyle name="Normal 3 4 6 2 2 2 3" xfId="30302" xr:uid="{00000000-0005-0000-0000-000091510000}"/>
    <cellStyle name="Normal 3 4 6 2 2 3" xfId="6808" xr:uid="{00000000-0005-0000-0000-000092510000}"/>
    <cellStyle name="Normal 3 4 6 2 2 3 2" xfId="30304" xr:uid="{00000000-0005-0000-0000-000093510000}"/>
    <cellStyle name="Normal 3 4 6 2 2 4" xfId="30301" xr:uid="{00000000-0005-0000-0000-000094510000}"/>
    <cellStyle name="Normal 3 4 6 2 3" xfId="6809" xr:uid="{00000000-0005-0000-0000-000095510000}"/>
    <cellStyle name="Normal 3 4 6 2 3 2" xfId="6810" xr:uid="{00000000-0005-0000-0000-000096510000}"/>
    <cellStyle name="Normal 3 4 6 2 3 2 2" xfId="30306" xr:uid="{00000000-0005-0000-0000-000097510000}"/>
    <cellStyle name="Normal 3 4 6 2 3 3" xfId="30305" xr:uid="{00000000-0005-0000-0000-000098510000}"/>
    <cellStyle name="Normal 3 4 6 2 4" xfId="6811" xr:uid="{00000000-0005-0000-0000-000099510000}"/>
    <cellStyle name="Normal 3 4 6 2 4 2" xfId="30307" xr:uid="{00000000-0005-0000-0000-00009A510000}"/>
    <cellStyle name="Normal 3 4 6 2 5" xfId="30300" xr:uid="{00000000-0005-0000-0000-00009B510000}"/>
    <cellStyle name="Normal 3 4 6 3" xfId="6812" xr:uid="{00000000-0005-0000-0000-00009C510000}"/>
    <cellStyle name="Normal 3 4 6 3 2" xfId="6813" xr:uid="{00000000-0005-0000-0000-00009D510000}"/>
    <cellStyle name="Normal 3 4 6 3 2 2" xfId="6814" xr:uid="{00000000-0005-0000-0000-00009E510000}"/>
    <cellStyle name="Normal 3 4 6 3 2 2 2" xfId="6815" xr:uid="{00000000-0005-0000-0000-00009F510000}"/>
    <cellStyle name="Normal 3 4 6 3 2 2 2 2" xfId="30311" xr:uid="{00000000-0005-0000-0000-0000A0510000}"/>
    <cellStyle name="Normal 3 4 6 3 2 2 3" xfId="30310" xr:uid="{00000000-0005-0000-0000-0000A1510000}"/>
    <cellStyle name="Normal 3 4 6 3 2 3" xfId="6816" xr:uid="{00000000-0005-0000-0000-0000A2510000}"/>
    <cellStyle name="Normal 3 4 6 3 2 3 2" xfId="30312" xr:uid="{00000000-0005-0000-0000-0000A3510000}"/>
    <cellStyle name="Normal 3 4 6 3 2 4" xfId="30309" xr:uid="{00000000-0005-0000-0000-0000A4510000}"/>
    <cellStyle name="Normal 3 4 6 3 3" xfId="6817" xr:uid="{00000000-0005-0000-0000-0000A5510000}"/>
    <cellStyle name="Normal 3 4 6 3 3 2" xfId="6818" xr:uid="{00000000-0005-0000-0000-0000A6510000}"/>
    <cellStyle name="Normal 3 4 6 3 3 2 2" xfId="30314" xr:uid="{00000000-0005-0000-0000-0000A7510000}"/>
    <cellStyle name="Normal 3 4 6 3 3 3" xfId="30313" xr:uid="{00000000-0005-0000-0000-0000A8510000}"/>
    <cellStyle name="Normal 3 4 6 3 4" xfId="6819" xr:uid="{00000000-0005-0000-0000-0000A9510000}"/>
    <cellStyle name="Normal 3 4 6 3 4 2" xfId="30315" xr:uid="{00000000-0005-0000-0000-0000AA510000}"/>
    <cellStyle name="Normal 3 4 6 3 5" xfId="30308" xr:uid="{00000000-0005-0000-0000-0000AB510000}"/>
    <cellStyle name="Normal 3 4 6 4" xfId="6820" xr:uid="{00000000-0005-0000-0000-0000AC510000}"/>
    <cellStyle name="Normal 3 4 6 4 2" xfId="6821" xr:uid="{00000000-0005-0000-0000-0000AD510000}"/>
    <cellStyle name="Normal 3 4 6 4 2 2" xfId="6822" xr:uid="{00000000-0005-0000-0000-0000AE510000}"/>
    <cellStyle name="Normal 3 4 6 4 2 2 2" xfId="30318" xr:uid="{00000000-0005-0000-0000-0000AF510000}"/>
    <cellStyle name="Normal 3 4 6 4 2 3" xfId="30317" xr:uid="{00000000-0005-0000-0000-0000B0510000}"/>
    <cellStyle name="Normal 3 4 6 4 3" xfId="6823" xr:uid="{00000000-0005-0000-0000-0000B1510000}"/>
    <cellStyle name="Normal 3 4 6 4 3 2" xfId="30319" xr:uid="{00000000-0005-0000-0000-0000B2510000}"/>
    <cellStyle name="Normal 3 4 6 4 4" xfId="30316" xr:uid="{00000000-0005-0000-0000-0000B3510000}"/>
    <cellStyle name="Normal 3 4 6 5" xfId="6824" xr:uid="{00000000-0005-0000-0000-0000B4510000}"/>
    <cellStyle name="Normal 3 4 6 5 2" xfId="6825" xr:uid="{00000000-0005-0000-0000-0000B5510000}"/>
    <cellStyle name="Normal 3 4 6 5 2 2" xfId="30321" xr:uid="{00000000-0005-0000-0000-0000B6510000}"/>
    <cellStyle name="Normal 3 4 6 5 3" xfId="30320" xr:uid="{00000000-0005-0000-0000-0000B7510000}"/>
    <cellStyle name="Normal 3 4 6 6" xfId="6826" xr:uid="{00000000-0005-0000-0000-0000B8510000}"/>
    <cellStyle name="Normal 3 4 6 6 2" xfId="30322" xr:uid="{00000000-0005-0000-0000-0000B9510000}"/>
    <cellStyle name="Normal 3 4 6 7" xfId="30299" xr:uid="{00000000-0005-0000-0000-0000BA510000}"/>
    <cellStyle name="Normal 3 4 7" xfId="6827" xr:uid="{00000000-0005-0000-0000-0000BB510000}"/>
    <cellStyle name="Normal 3 4 7 2" xfId="6828" xr:uid="{00000000-0005-0000-0000-0000BC510000}"/>
    <cellStyle name="Normal 3 4 7 2 2" xfId="6829" xr:uid="{00000000-0005-0000-0000-0000BD510000}"/>
    <cellStyle name="Normal 3 4 7 2 2 2" xfId="6830" xr:uid="{00000000-0005-0000-0000-0000BE510000}"/>
    <cellStyle name="Normal 3 4 7 2 2 2 2" xfId="6831" xr:uid="{00000000-0005-0000-0000-0000BF510000}"/>
    <cellStyle name="Normal 3 4 7 2 2 2 2 2" xfId="30327" xr:uid="{00000000-0005-0000-0000-0000C0510000}"/>
    <cellStyle name="Normal 3 4 7 2 2 2 3" xfId="30326" xr:uid="{00000000-0005-0000-0000-0000C1510000}"/>
    <cellStyle name="Normal 3 4 7 2 2 3" xfId="6832" xr:uid="{00000000-0005-0000-0000-0000C2510000}"/>
    <cellStyle name="Normal 3 4 7 2 2 3 2" xfId="30328" xr:uid="{00000000-0005-0000-0000-0000C3510000}"/>
    <cellStyle name="Normal 3 4 7 2 2 4" xfId="30325" xr:uid="{00000000-0005-0000-0000-0000C4510000}"/>
    <cellStyle name="Normal 3 4 7 2 3" xfId="6833" xr:uid="{00000000-0005-0000-0000-0000C5510000}"/>
    <cellStyle name="Normal 3 4 7 2 3 2" xfId="6834" xr:uid="{00000000-0005-0000-0000-0000C6510000}"/>
    <cellStyle name="Normal 3 4 7 2 3 2 2" xfId="30330" xr:uid="{00000000-0005-0000-0000-0000C7510000}"/>
    <cellStyle name="Normal 3 4 7 2 3 3" xfId="30329" xr:uid="{00000000-0005-0000-0000-0000C8510000}"/>
    <cellStyle name="Normal 3 4 7 2 4" xfId="6835" xr:uid="{00000000-0005-0000-0000-0000C9510000}"/>
    <cellStyle name="Normal 3 4 7 2 4 2" xfId="30331" xr:uid="{00000000-0005-0000-0000-0000CA510000}"/>
    <cellStyle name="Normal 3 4 7 2 5" xfId="30324" xr:uid="{00000000-0005-0000-0000-0000CB510000}"/>
    <cellStyle name="Normal 3 4 7 3" xfId="6836" xr:uid="{00000000-0005-0000-0000-0000CC510000}"/>
    <cellStyle name="Normal 3 4 7 3 2" xfId="6837" xr:uid="{00000000-0005-0000-0000-0000CD510000}"/>
    <cellStyle name="Normal 3 4 7 3 2 2" xfId="6838" xr:uid="{00000000-0005-0000-0000-0000CE510000}"/>
    <cellStyle name="Normal 3 4 7 3 2 2 2" xfId="6839" xr:uid="{00000000-0005-0000-0000-0000CF510000}"/>
    <cellStyle name="Normal 3 4 7 3 2 2 2 2" xfId="30335" xr:uid="{00000000-0005-0000-0000-0000D0510000}"/>
    <cellStyle name="Normal 3 4 7 3 2 2 3" xfId="30334" xr:uid="{00000000-0005-0000-0000-0000D1510000}"/>
    <cellStyle name="Normal 3 4 7 3 2 3" xfId="6840" xr:uid="{00000000-0005-0000-0000-0000D2510000}"/>
    <cellStyle name="Normal 3 4 7 3 2 3 2" xfId="30336" xr:uid="{00000000-0005-0000-0000-0000D3510000}"/>
    <cellStyle name="Normal 3 4 7 3 2 4" xfId="30333" xr:uid="{00000000-0005-0000-0000-0000D4510000}"/>
    <cellStyle name="Normal 3 4 7 3 3" xfId="6841" xr:uid="{00000000-0005-0000-0000-0000D5510000}"/>
    <cellStyle name="Normal 3 4 7 3 3 2" xfId="6842" xr:uid="{00000000-0005-0000-0000-0000D6510000}"/>
    <cellStyle name="Normal 3 4 7 3 3 2 2" xfId="30338" xr:uid="{00000000-0005-0000-0000-0000D7510000}"/>
    <cellStyle name="Normal 3 4 7 3 3 3" xfId="30337" xr:uid="{00000000-0005-0000-0000-0000D8510000}"/>
    <cellStyle name="Normal 3 4 7 3 4" xfId="6843" xr:uid="{00000000-0005-0000-0000-0000D9510000}"/>
    <cellStyle name="Normal 3 4 7 3 4 2" xfId="30339" xr:uid="{00000000-0005-0000-0000-0000DA510000}"/>
    <cellStyle name="Normal 3 4 7 3 5" xfId="30332" xr:uid="{00000000-0005-0000-0000-0000DB510000}"/>
    <cellStyle name="Normal 3 4 7 4" xfId="6844" xr:uid="{00000000-0005-0000-0000-0000DC510000}"/>
    <cellStyle name="Normal 3 4 7 4 2" xfId="6845" xr:uid="{00000000-0005-0000-0000-0000DD510000}"/>
    <cellStyle name="Normal 3 4 7 4 2 2" xfId="6846" xr:uid="{00000000-0005-0000-0000-0000DE510000}"/>
    <cellStyle name="Normal 3 4 7 4 2 2 2" xfId="30342" xr:uid="{00000000-0005-0000-0000-0000DF510000}"/>
    <cellStyle name="Normal 3 4 7 4 2 3" xfId="30341" xr:uid="{00000000-0005-0000-0000-0000E0510000}"/>
    <cellStyle name="Normal 3 4 7 4 3" xfId="6847" xr:uid="{00000000-0005-0000-0000-0000E1510000}"/>
    <cellStyle name="Normal 3 4 7 4 3 2" xfId="30343" xr:uid="{00000000-0005-0000-0000-0000E2510000}"/>
    <cellStyle name="Normal 3 4 7 4 4" xfId="30340" xr:uid="{00000000-0005-0000-0000-0000E3510000}"/>
    <cellStyle name="Normal 3 4 7 5" xfId="6848" xr:uid="{00000000-0005-0000-0000-0000E4510000}"/>
    <cellStyle name="Normal 3 4 7 5 2" xfId="6849" xr:uid="{00000000-0005-0000-0000-0000E5510000}"/>
    <cellStyle name="Normal 3 4 7 5 2 2" xfId="30345" xr:uid="{00000000-0005-0000-0000-0000E6510000}"/>
    <cellStyle name="Normal 3 4 7 5 3" xfId="30344" xr:uid="{00000000-0005-0000-0000-0000E7510000}"/>
    <cellStyle name="Normal 3 4 7 6" xfId="6850" xr:uid="{00000000-0005-0000-0000-0000E8510000}"/>
    <cellStyle name="Normal 3 4 7 6 2" xfId="30346" xr:uid="{00000000-0005-0000-0000-0000E9510000}"/>
    <cellStyle name="Normal 3 4 7 7" xfId="30323" xr:uid="{00000000-0005-0000-0000-0000EA510000}"/>
    <cellStyle name="Normal 3 4 8" xfId="6851" xr:uid="{00000000-0005-0000-0000-0000EB510000}"/>
    <cellStyle name="Normal 3 4 8 2" xfId="6852" xr:uid="{00000000-0005-0000-0000-0000EC510000}"/>
    <cellStyle name="Normal 3 4 8 2 2" xfId="6853" xr:uid="{00000000-0005-0000-0000-0000ED510000}"/>
    <cellStyle name="Normal 3 4 8 2 2 2" xfId="6854" xr:uid="{00000000-0005-0000-0000-0000EE510000}"/>
    <cellStyle name="Normal 3 4 8 2 2 2 2" xfId="30350" xr:uid="{00000000-0005-0000-0000-0000EF510000}"/>
    <cellStyle name="Normal 3 4 8 2 2 3" xfId="30349" xr:uid="{00000000-0005-0000-0000-0000F0510000}"/>
    <cellStyle name="Normal 3 4 8 2 3" xfId="6855" xr:uid="{00000000-0005-0000-0000-0000F1510000}"/>
    <cellStyle name="Normal 3 4 8 2 3 2" xfId="30351" xr:uid="{00000000-0005-0000-0000-0000F2510000}"/>
    <cellStyle name="Normal 3 4 8 2 4" xfId="30348" xr:uid="{00000000-0005-0000-0000-0000F3510000}"/>
    <cellStyle name="Normal 3 4 8 3" xfId="6856" xr:uid="{00000000-0005-0000-0000-0000F4510000}"/>
    <cellStyle name="Normal 3 4 8 3 2" xfId="6857" xr:uid="{00000000-0005-0000-0000-0000F5510000}"/>
    <cellStyle name="Normal 3 4 8 3 2 2" xfId="30353" xr:uid="{00000000-0005-0000-0000-0000F6510000}"/>
    <cellStyle name="Normal 3 4 8 3 3" xfId="30352" xr:uid="{00000000-0005-0000-0000-0000F7510000}"/>
    <cellStyle name="Normal 3 4 8 4" xfId="6858" xr:uid="{00000000-0005-0000-0000-0000F8510000}"/>
    <cellStyle name="Normal 3 4 8 4 2" xfId="30354" xr:uid="{00000000-0005-0000-0000-0000F9510000}"/>
    <cellStyle name="Normal 3 4 8 5" xfId="30347" xr:uid="{00000000-0005-0000-0000-0000FA510000}"/>
    <cellStyle name="Normal 3 4 9" xfId="6859" xr:uid="{00000000-0005-0000-0000-0000FB510000}"/>
    <cellStyle name="Normal 3 4 9 2" xfId="6860" xr:uid="{00000000-0005-0000-0000-0000FC510000}"/>
    <cellStyle name="Normal 3 4 9 2 2" xfId="6861" xr:uid="{00000000-0005-0000-0000-0000FD510000}"/>
    <cellStyle name="Normal 3 4 9 2 2 2" xfId="6862" xr:uid="{00000000-0005-0000-0000-0000FE510000}"/>
    <cellStyle name="Normal 3 4 9 2 2 2 2" xfId="30358" xr:uid="{00000000-0005-0000-0000-0000FF510000}"/>
    <cellStyle name="Normal 3 4 9 2 2 3" xfId="30357" xr:uid="{00000000-0005-0000-0000-000000520000}"/>
    <cellStyle name="Normal 3 4 9 2 3" xfId="6863" xr:uid="{00000000-0005-0000-0000-000001520000}"/>
    <cellStyle name="Normal 3 4 9 2 3 2" xfId="30359" xr:uid="{00000000-0005-0000-0000-000002520000}"/>
    <cellStyle name="Normal 3 4 9 2 4" xfId="30356" xr:uid="{00000000-0005-0000-0000-000003520000}"/>
    <cellStyle name="Normal 3 4 9 3" xfId="6864" xr:uid="{00000000-0005-0000-0000-000004520000}"/>
    <cellStyle name="Normal 3 4 9 3 2" xfId="6865" xr:uid="{00000000-0005-0000-0000-000005520000}"/>
    <cellStyle name="Normal 3 4 9 3 2 2" xfId="30361" xr:uid="{00000000-0005-0000-0000-000006520000}"/>
    <cellStyle name="Normal 3 4 9 3 3" xfId="30360" xr:uid="{00000000-0005-0000-0000-000007520000}"/>
    <cellStyle name="Normal 3 4 9 4" xfId="6866" xr:uid="{00000000-0005-0000-0000-000008520000}"/>
    <cellStyle name="Normal 3 4 9 4 2" xfId="30362" xr:uid="{00000000-0005-0000-0000-000009520000}"/>
    <cellStyle name="Normal 3 4 9 5" xfId="30355" xr:uid="{00000000-0005-0000-0000-00000A520000}"/>
    <cellStyle name="Normal 3 5" xfId="118" xr:uid="{00000000-0005-0000-0000-00000B520000}"/>
    <cellStyle name="Normal 3 5 10" xfId="6867" xr:uid="{00000000-0005-0000-0000-00000C520000}"/>
    <cellStyle name="Normal 3 5 10 2" xfId="30363" xr:uid="{00000000-0005-0000-0000-00000D520000}"/>
    <cellStyle name="Normal 3 5 2" xfId="6868" xr:uid="{00000000-0005-0000-0000-00000E520000}"/>
    <cellStyle name="Normal 3 5 2 2" xfId="6869" xr:uid="{00000000-0005-0000-0000-00000F520000}"/>
    <cellStyle name="Normal 3 5 2 2 2" xfId="6870" xr:uid="{00000000-0005-0000-0000-000010520000}"/>
    <cellStyle name="Normal 3 5 2 2 2 2" xfId="6871" xr:uid="{00000000-0005-0000-0000-000011520000}"/>
    <cellStyle name="Normal 3 5 2 2 2 2 2" xfId="6872" xr:uid="{00000000-0005-0000-0000-000012520000}"/>
    <cellStyle name="Normal 3 5 2 2 2 2 2 2" xfId="30368" xr:uid="{00000000-0005-0000-0000-000013520000}"/>
    <cellStyle name="Normal 3 5 2 2 2 2 3" xfId="30367" xr:uid="{00000000-0005-0000-0000-000014520000}"/>
    <cellStyle name="Normal 3 5 2 2 2 3" xfId="6873" xr:uid="{00000000-0005-0000-0000-000015520000}"/>
    <cellStyle name="Normal 3 5 2 2 2 3 2" xfId="30369" xr:uid="{00000000-0005-0000-0000-000016520000}"/>
    <cellStyle name="Normal 3 5 2 2 2 4" xfId="30366" xr:uid="{00000000-0005-0000-0000-000017520000}"/>
    <cellStyle name="Normal 3 5 2 2 3" xfId="6874" xr:uid="{00000000-0005-0000-0000-000018520000}"/>
    <cellStyle name="Normal 3 5 2 2 3 2" xfId="6875" xr:uid="{00000000-0005-0000-0000-000019520000}"/>
    <cellStyle name="Normal 3 5 2 2 3 2 2" xfId="30371" xr:uid="{00000000-0005-0000-0000-00001A520000}"/>
    <cellStyle name="Normal 3 5 2 2 3 3" xfId="30370" xr:uid="{00000000-0005-0000-0000-00001B520000}"/>
    <cellStyle name="Normal 3 5 2 2 4" xfId="6876" xr:uid="{00000000-0005-0000-0000-00001C520000}"/>
    <cellStyle name="Normal 3 5 2 2 4 2" xfId="30372" xr:uid="{00000000-0005-0000-0000-00001D520000}"/>
    <cellStyle name="Normal 3 5 2 2 5" xfId="30365" xr:uid="{00000000-0005-0000-0000-00001E520000}"/>
    <cellStyle name="Normal 3 5 2 3" xfId="6877" xr:uid="{00000000-0005-0000-0000-00001F520000}"/>
    <cellStyle name="Normal 3 5 2 3 2" xfId="6878" xr:uid="{00000000-0005-0000-0000-000020520000}"/>
    <cellStyle name="Normal 3 5 2 3 2 2" xfId="6879" xr:uid="{00000000-0005-0000-0000-000021520000}"/>
    <cellStyle name="Normal 3 5 2 3 2 2 2" xfId="6880" xr:uid="{00000000-0005-0000-0000-000022520000}"/>
    <cellStyle name="Normal 3 5 2 3 2 2 2 2" xfId="30376" xr:uid="{00000000-0005-0000-0000-000023520000}"/>
    <cellStyle name="Normal 3 5 2 3 2 2 3" xfId="30375" xr:uid="{00000000-0005-0000-0000-000024520000}"/>
    <cellStyle name="Normal 3 5 2 3 2 3" xfId="6881" xr:uid="{00000000-0005-0000-0000-000025520000}"/>
    <cellStyle name="Normal 3 5 2 3 2 3 2" xfId="30377" xr:uid="{00000000-0005-0000-0000-000026520000}"/>
    <cellStyle name="Normal 3 5 2 3 2 4" xfId="30374" xr:uid="{00000000-0005-0000-0000-000027520000}"/>
    <cellStyle name="Normal 3 5 2 3 3" xfId="6882" xr:uid="{00000000-0005-0000-0000-000028520000}"/>
    <cellStyle name="Normal 3 5 2 3 3 2" xfId="6883" xr:uid="{00000000-0005-0000-0000-000029520000}"/>
    <cellStyle name="Normal 3 5 2 3 3 2 2" xfId="30379" xr:uid="{00000000-0005-0000-0000-00002A520000}"/>
    <cellStyle name="Normal 3 5 2 3 3 3" xfId="30378" xr:uid="{00000000-0005-0000-0000-00002B520000}"/>
    <cellStyle name="Normal 3 5 2 3 4" xfId="6884" xr:uid="{00000000-0005-0000-0000-00002C520000}"/>
    <cellStyle name="Normal 3 5 2 3 4 2" xfId="30380" xr:uid="{00000000-0005-0000-0000-00002D520000}"/>
    <cellStyle name="Normal 3 5 2 3 5" xfId="30373" xr:uid="{00000000-0005-0000-0000-00002E520000}"/>
    <cellStyle name="Normal 3 5 2 4" xfId="6885" xr:uid="{00000000-0005-0000-0000-00002F520000}"/>
    <cellStyle name="Normal 3 5 2 4 2" xfId="6886" xr:uid="{00000000-0005-0000-0000-000030520000}"/>
    <cellStyle name="Normal 3 5 2 4 2 2" xfId="6887" xr:uid="{00000000-0005-0000-0000-000031520000}"/>
    <cellStyle name="Normal 3 5 2 4 2 2 2" xfId="30383" xr:uid="{00000000-0005-0000-0000-000032520000}"/>
    <cellStyle name="Normal 3 5 2 4 2 3" xfId="30382" xr:uid="{00000000-0005-0000-0000-000033520000}"/>
    <cellStyle name="Normal 3 5 2 4 3" xfId="6888" xr:uid="{00000000-0005-0000-0000-000034520000}"/>
    <cellStyle name="Normal 3 5 2 4 3 2" xfId="30384" xr:uid="{00000000-0005-0000-0000-000035520000}"/>
    <cellStyle name="Normal 3 5 2 4 4" xfId="30381" xr:uid="{00000000-0005-0000-0000-000036520000}"/>
    <cellStyle name="Normal 3 5 2 5" xfId="6889" xr:uid="{00000000-0005-0000-0000-000037520000}"/>
    <cellStyle name="Normal 3 5 2 5 2" xfId="6890" xr:uid="{00000000-0005-0000-0000-000038520000}"/>
    <cellStyle name="Normal 3 5 2 5 2 2" xfId="30386" xr:uid="{00000000-0005-0000-0000-000039520000}"/>
    <cellStyle name="Normal 3 5 2 5 3" xfId="30385" xr:uid="{00000000-0005-0000-0000-00003A520000}"/>
    <cellStyle name="Normal 3 5 2 6" xfId="6891" xr:uid="{00000000-0005-0000-0000-00003B520000}"/>
    <cellStyle name="Normal 3 5 2 6 2" xfId="30387" xr:uid="{00000000-0005-0000-0000-00003C520000}"/>
    <cellStyle name="Normal 3 5 2 7" xfId="30364" xr:uid="{00000000-0005-0000-0000-00003D520000}"/>
    <cellStyle name="Normal 3 5 3" xfId="6892" xr:uid="{00000000-0005-0000-0000-00003E520000}"/>
    <cellStyle name="Normal 3 5 3 2" xfId="6893" xr:uid="{00000000-0005-0000-0000-00003F520000}"/>
    <cellStyle name="Normal 3 5 3 2 2" xfId="6894" xr:uid="{00000000-0005-0000-0000-000040520000}"/>
    <cellStyle name="Normal 3 5 3 2 2 2" xfId="6895" xr:uid="{00000000-0005-0000-0000-000041520000}"/>
    <cellStyle name="Normal 3 5 3 2 2 2 2" xfId="6896" xr:uid="{00000000-0005-0000-0000-000042520000}"/>
    <cellStyle name="Normal 3 5 3 2 2 2 2 2" xfId="30392" xr:uid="{00000000-0005-0000-0000-000043520000}"/>
    <cellStyle name="Normal 3 5 3 2 2 2 3" xfId="30391" xr:uid="{00000000-0005-0000-0000-000044520000}"/>
    <cellStyle name="Normal 3 5 3 2 2 3" xfId="6897" xr:uid="{00000000-0005-0000-0000-000045520000}"/>
    <cellStyle name="Normal 3 5 3 2 2 3 2" xfId="30393" xr:uid="{00000000-0005-0000-0000-000046520000}"/>
    <cellStyle name="Normal 3 5 3 2 2 4" xfId="30390" xr:uid="{00000000-0005-0000-0000-000047520000}"/>
    <cellStyle name="Normal 3 5 3 2 3" xfId="6898" xr:uid="{00000000-0005-0000-0000-000048520000}"/>
    <cellStyle name="Normal 3 5 3 2 3 2" xfId="6899" xr:uid="{00000000-0005-0000-0000-000049520000}"/>
    <cellStyle name="Normal 3 5 3 2 3 2 2" xfId="30395" xr:uid="{00000000-0005-0000-0000-00004A520000}"/>
    <cellStyle name="Normal 3 5 3 2 3 3" xfId="30394" xr:uid="{00000000-0005-0000-0000-00004B520000}"/>
    <cellStyle name="Normal 3 5 3 2 4" xfId="6900" xr:uid="{00000000-0005-0000-0000-00004C520000}"/>
    <cellStyle name="Normal 3 5 3 2 4 2" xfId="30396" xr:uid="{00000000-0005-0000-0000-00004D520000}"/>
    <cellStyle name="Normal 3 5 3 2 5" xfId="30389" xr:uid="{00000000-0005-0000-0000-00004E520000}"/>
    <cellStyle name="Normal 3 5 3 3" xfId="6901" xr:uid="{00000000-0005-0000-0000-00004F520000}"/>
    <cellStyle name="Normal 3 5 3 3 2" xfId="6902" xr:uid="{00000000-0005-0000-0000-000050520000}"/>
    <cellStyle name="Normal 3 5 3 3 2 2" xfId="6903" xr:uid="{00000000-0005-0000-0000-000051520000}"/>
    <cellStyle name="Normal 3 5 3 3 2 2 2" xfId="6904" xr:uid="{00000000-0005-0000-0000-000052520000}"/>
    <cellStyle name="Normal 3 5 3 3 2 2 2 2" xfId="30400" xr:uid="{00000000-0005-0000-0000-000053520000}"/>
    <cellStyle name="Normal 3 5 3 3 2 2 3" xfId="30399" xr:uid="{00000000-0005-0000-0000-000054520000}"/>
    <cellStyle name="Normal 3 5 3 3 2 3" xfId="6905" xr:uid="{00000000-0005-0000-0000-000055520000}"/>
    <cellStyle name="Normal 3 5 3 3 2 3 2" xfId="30401" xr:uid="{00000000-0005-0000-0000-000056520000}"/>
    <cellStyle name="Normal 3 5 3 3 2 4" xfId="30398" xr:uid="{00000000-0005-0000-0000-000057520000}"/>
    <cellStyle name="Normal 3 5 3 3 3" xfId="6906" xr:uid="{00000000-0005-0000-0000-000058520000}"/>
    <cellStyle name="Normal 3 5 3 3 3 2" xfId="6907" xr:uid="{00000000-0005-0000-0000-000059520000}"/>
    <cellStyle name="Normal 3 5 3 3 3 2 2" xfId="30403" xr:uid="{00000000-0005-0000-0000-00005A520000}"/>
    <cellStyle name="Normal 3 5 3 3 3 3" xfId="30402" xr:uid="{00000000-0005-0000-0000-00005B520000}"/>
    <cellStyle name="Normal 3 5 3 3 4" xfId="6908" xr:uid="{00000000-0005-0000-0000-00005C520000}"/>
    <cellStyle name="Normal 3 5 3 3 4 2" xfId="30404" xr:uid="{00000000-0005-0000-0000-00005D520000}"/>
    <cellStyle name="Normal 3 5 3 3 5" xfId="30397" xr:uid="{00000000-0005-0000-0000-00005E520000}"/>
    <cellStyle name="Normal 3 5 3 4" xfId="6909" xr:uid="{00000000-0005-0000-0000-00005F520000}"/>
    <cellStyle name="Normal 3 5 3 4 2" xfId="6910" xr:uid="{00000000-0005-0000-0000-000060520000}"/>
    <cellStyle name="Normal 3 5 3 4 2 2" xfId="6911" xr:uid="{00000000-0005-0000-0000-000061520000}"/>
    <cellStyle name="Normal 3 5 3 4 2 2 2" xfId="30407" xr:uid="{00000000-0005-0000-0000-000062520000}"/>
    <cellStyle name="Normal 3 5 3 4 2 3" xfId="30406" xr:uid="{00000000-0005-0000-0000-000063520000}"/>
    <cellStyle name="Normal 3 5 3 4 3" xfId="6912" xr:uid="{00000000-0005-0000-0000-000064520000}"/>
    <cellStyle name="Normal 3 5 3 4 3 2" xfId="30408" xr:uid="{00000000-0005-0000-0000-000065520000}"/>
    <cellStyle name="Normal 3 5 3 4 4" xfId="30405" xr:uid="{00000000-0005-0000-0000-000066520000}"/>
    <cellStyle name="Normal 3 5 3 5" xfId="6913" xr:uid="{00000000-0005-0000-0000-000067520000}"/>
    <cellStyle name="Normal 3 5 3 5 2" xfId="6914" xr:uid="{00000000-0005-0000-0000-000068520000}"/>
    <cellStyle name="Normal 3 5 3 5 2 2" xfId="30410" xr:uid="{00000000-0005-0000-0000-000069520000}"/>
    <cellStyle name="Normal 3 5 3 5 3" xfId="30409" xr:uid="{00000000-0005-0000-0000-00006A520000}"/>
    <cellStyle name="Normal 3 5 3 6" xfId="6915" xr:uid="{00000000-0005-0000-0000-00006B520000}"/>
    <cellStyle name="Normal 3 5 3 6 2" xfId="30411" xr:uid="{00000000-0005-0000-0000-00006C520000}"/>
    <cellStyle name="Normal 3 5 3 7" xfId="30388" xr:uid="{00000000-0005-0000-0000-00006D520000}"/>
    <cellStyle name="Normal 3 5 4" xfId="6916" xr:uid="{00000000-0005-0000-0000-00006E520000}"/>
    <cellStyle name="Normal 3 5 4 2" xfId="6917" xr:uid="{00000000-0005-0000-0000-00006F520000}"/>
    <cellStyle name="Normal 3 5 4 2 2" xfId="6918" xr:uid="{00000000-0005-0000-0000-000070520000}"/>
    <cellStyle name="Normal 3 5 4 2 2 2" xfId="6919" xr:uid="{00000000-0005-0000-0000-000071520000}"/>
    <cellStyle name="Normal 3 5 4 2 2 2 2" xfId="6920" xr:uid="{00000000-0005-0000-0000-000072520000}"/>
    <cellStyle name="Normal 3 5 4 2 2 2 2 2" xfId="30416" xr:uid="{00000000-0005-0000-0000-000073520000}"/>
    <cellStyle name="Normal 3 5 4 2 2 2 3" xfId="30415" xr:uid="{00000000-0005-0000-0000-000074520000}"/>
    <cellStyle name="Normal 3 5 4 2 2 3" xfId="6921" xr:uid="{00000000-0005-0000-0000-000075520000}"/>
    <cellStyle name="Normal 3 5 4 2 2 3 2" xfId="30417" xr:uid="{00000000-0005-0000-0000-000076520000}"/>
    <cellStyle name="Normal 3 5 4 2 2 4" xfId="30414" xr:uid="{00000000-0005-0000-0000-000077520000}"/>
    <cellStyle name="Normal 3 5 4 2 3" xfId="6922" xr:uid="{00000000-0005-0000-0000-000078520000}"/>
    <cellStyle name="Normal 3 5 4 2 3 2" xfId="6923" xr:uid="{00000000-0005-0000-0000-000079520000}"/>
    <cellStyle name="Normal 3 5 4 2 3 2 2" xfId="30419" xr:uid="{00000000-0005-0000-0000-00007A520000}"/>
    <cellStyle name="Normal 3 5 4 2 3 3" xfId="30418" xr:uid="{00000000-0005-0000-0000-00007B520000}"/>
    <cellStyle name="Normal 3 5 4 2 4" xfId="6924" xr:uid="{00000000-0005-0000-0000-00007C520000}"/>
    <cellStyle name="Normal 3 5 4 2 4 2" xfId="30420" xr:uid="{00000000-0005-0000-0000-00007D520000}"/>
    <cellStyle name="Normal 3 5 4 2 5" xfId="30413" xr:uid="{00000000-0005-0000-0000-00007E520000}"/>
    <cellStyle name="Normal 3 5 4 3" xfId="6925" xr:uid="{00000000-0005-0000-0000-00007F520000}"/>
    <cellStyle name="Normal 3 5 4 3 2" xfId="6926" xr:uid="{00000000-0005-0000-0000-000080520000}"/>
    <cellStyle name="Normal 3 5 4 3 2 2" xfId="6927" xr:uid="{00000000-0005-0000-0000-000081520000}"/>
    <cellStyle name="Normal 3 5 4 3 2 2 2" xfId="6928" xr:uid="{00000000-0005-0000-0000-000082520000}"/>
    <cellStyle name="Normal 3 5 4 3 2 2 2 2" xfId="30424" xr:uid="{00000000-0005-0000-0000-000083520000}"/>
    <cellStyle name="Normal 3 5 4 3 2 2 3" xfId="30423" xr:uid="{00000000-0005-0000-0000-000084520000}"/>
    <cellStyle name="Normal 3 5 4 3 2 3" xfId="6929" xr:uid="{00000000-0005-0000-0000-000085520000}"/>
    <cellStyle name="Normal 3 5 4 3 2 3 2" xfId="30425" xr:uid="{00000000-0005-0000-0000-000086520000}"/>
    <cellStyle name="Normal 3 5 4 3 2 4" xfId="30422" xr:uid="{00000000-0005-0000-0000-000087520000}"/>
    <cellStyle name="Normal 3 5 4 3 3" xfId="6930" xr:uid="{00000000-0005-0000-0000-000088520000}"/>
    <cellStyle name="Normal 3 5 4 3 3 2" xfId="6931" xr:uid="{00000000-0005-0000-0000-000089520000}"/>
    <cellStyle name="Normal 3 5 4 3 3 2 2" xfId="30427" xr:uid="{00000000-0005-0000-0000-00008A520000}"/>
    <cellStyle name="Normal 3 5 4 3 3 3" xfId="30426" xr:uid="{00000000-0005-0000-0000-00008B520000}"/>
    <cellStyle name="Normal 3 5 4 3 4" xfId="6932" xr:uid="{00000000-0005-0000-0000-00008C520000}"/>
    <cellStyle name="Normal 3 5 4 3 4 2" xfId="30428" xr:uid="{00000000-0005-0000-0000-00008D520000}"/>
    <cellStyle name="Normal 3 5 4 3 5" xfId="30421" xr:uid="{00000000-0005-0000-0000-00008E520000}"/>
    <cellStyle name="Normal 3 5 4 4" xfId="6933" xr:uid="{00000000-0005-0000-0000-00008F520000}"/>
    <cellStyle name="Normal 3 5 4 4 2" xfId="6934" xr:uid="{00000000-0005-0000-0000-000090520000}"/>
    <cellStyle name="Normal 3 5 4 4 2 2" xfId="6935" xr:uid="{00000000-0005-0000-0000-000091520000}"/>
    <cellStyle name="Normal 3 5 4 4 2 2 2" xfId="30431" xr:uid="{00000000-0005-0000-0000-000092520000}"/>
    <cellStyle name="Normal 3 5 4 4 2 3" xfId="30430" xr:uid="{00000000-0005-0000-0000-000093520000}"/>
    <cellStyle name="Normal 3 5 4 4 3" xfId="6936" xr:uid="{00000000-0005-0000-0000-000094520000}"/>
    <cellStyle name="Normal 3 5 4 4 3 2" xfId="30432" xr:uid="{00000000-0005-0000-0000-000095520000}"/>
    <cellStyle name="Normal 3 5 4 4 4" xfId="30429" xr:uid="{00000000-0005-0000-0000-000096520000}"/>
    <cellStyle name="Normal 3 5 4 5" xfId="6937" xr:uid="{00000000-0005-0000-0000-000097520000}"/>
    <cellStyle name="Normal 3 5 4 5 2" xfId="6938" xr:uid="{00000000-0005-0000-0000-000098520000}"/>
    <cellStyle name="Normal 3 5 4 5 2 2" xfId="30434" xr:uid="{00000000-0005-0000-0000-000099520000}"/>
    <cellStyle name="Normal 3 5 4 5 3" xfId="30433" xr:uid="{00000000-0005-0000-0000-00009A520000}"/>
    <cellStyle name="Normal 3 5 4 6" xfId="6939" xr:uid="{00000000-0005-0000-0000-00009B520000}"/>
    <cellStyle name="Normal 3 5 4 6 2" xfId="30435" xr:uid="{00000000-0005-0000-0000-00009C520000}"/>
    <cellStyle name="Normal 3 5 4 7" xfId="30412" xr:uid="{00000000-0005-0000-0000-00009D520000}"/>
    <cellStyle name="Normal 3 5 5" xfId="6940" xr:uid="{00000000-0005-0000-0000-00009E520000}"/>
    <cellStyle name="Normal 3 5 5 2" xfId="6941" xr:uid="{00000000-0005-0000-0000-00009F520000}"/>
    <cellStyle name="Normal 3 5 5 2 2" xfId="6942" xr:uid="{00000000-0005-0000-0000-0000A0520000}"/>
    <cellStyle name="Normal 3 5 5 2 2 2" xfId="6943" xr:uid="{00000000-0005-0000-0000-0000A1520000}"/>
    <cellStyle name="Normal 3 5 5 2 2 2 2" xfId="30438" xr:uid="{00000000-0005-0000-0000-0000A2520000}"/>
    <cellStyle name="Normal 3 5 5 2 2 3" xfId="30437" xr:uid="{00000000-0005-0000-0000-0000A3520000}"/>
    <cellStyle name="Normal 3 5 5 2 3" xfId="6944" xr:uid="{00000000-0005-0000-0000-0000A4520000}"/>
    <cellStyle name="Normal 3 5 5 2 3 2" xfId="30439" xr:uid="{00000000-0005-0000-0000-0000A5520000}"/>
    <cellStyle name="Normal 3 5 5 2 4" xfId="30436" xr:uid="{00000000-0005-0000-0000-0000A6520000}"/>
    <cellStyle name="Normal 3 5 5 3" xfId="6945" xr:uid="{00000000-0005-0000-0000-0000A7520000}"/>
    <cellStyle name="Normal 3 5 5 3 2" xfId="6946" xr:uid="{00000000-0005-0000-0000-0000A8520000}"/>
    <cellStyle name="Normal 3 5 5 3 2 2" xfId="30441" xr:uid="{00000000-0005-0000-0000-0000A9520000}"/>
    <cellStyle name="Normal 3 5 5 3 3" xfId="30440" xr:uid="{00000000-0005-0000-0000-0000AA520000}"/>
    <cellStyle name="Normal 3 5 6" xfId="6947" xr:uid="{00000000-0005-0000-0000-0000AB520000}"/>
    <cellStyle name="Normal 3 5 6 2" xfId="6948" xr:uid="{00000000-0005-0000-0000-0000AC520000}"/>
    <cellStyle name="Normal 3 5 6 2 2" xfId="6949" xr:uid="{00000000-0005-0000-0000-0000AD520000}"/>
    <cellStyle name="Normal 3 5 6 2 2 2" xfId="6950" xr:uid="{00000000-0005-0000-0000-0000AE520000}"/>
    <cellStyle name="Normal 3 5 6 2 2 2 2" xfId="30445" xr:uid="{00000000-0005-0000-0000-0000AF520000}"/>
    <cellStyle name="Normal 3 5 6 2 2 3" xfId="30444" xr:uid="{00000000-0005-0000-0000-0000B0520000}"/>
    <cellStyle name="Normal 3 5 6 2 3" xfId="6951" xr:uid="{00000000-0005-0000-0000-0000B1520000}"/>
    <cellStyle name="Normal 3 5 6 2 3 2" xfId="30446" xr:uid="{00000000-0005-0000-0000-0000B2520000}"/>
    <cellStyle name="Normal 3 5 6 2 4" xfId="30443" xr:uid="{00000000-0005-0000-0000-0000B3520000}"/>
    <cellStyle name="Normal 3 5 6 3" xfId="6952" xr:uid="{00000000-0005-0000-0000-0000B4520000}"/>
    <cellStyle name="Normal 3 5 6 3 2" xfId="6953" xr:uid="{00000000-0005-0000-0000-0000B5520000}"/>
    <cellStyle name="Normal 3 5 6 3 2 2" xfId="30448" xr:uid="{00000000-0005-0000-0000-0000B6520000}"/>
    <cellStyle name="Normal 3 5 6 3 3" xfId="30447" xr:uid="{00000000-0005-0000-0000-0000B7520000}"/>
    <cellStyle name="Normal 3 5 6 4" xfId="6954" xr:uid="{00000000-0005-0000-0000-0000B8520000}"/>
    <cellStyle name="Normal 3 5 6 4 2" xfId="30449" xr:uid="{00000000-0005-0000-0000-0000B9520000}"/>
    <cellStyle name="Normal 3 5 6 5" xfId="30442" xr:uid="{00000000-0005-0000-0000-0000BA520000}"/>
    <cellStyle name="Normal 3 5 7" xfId="6955" xr:uid="{00000000-0005-0000-0000-0000BB520000}"/>
    <cellStyle name="Normal 3 5 7 2" xfId="6956" xr:uid="{00000000-0005-0000-0000-0000BC520000}"/>
    <cellStyle name="Normal 3 5 7 2 2" xfId="6957" xr:uid="{00000000-0005-0000-0000-0000BD520000}"/>
    <cellStyle name="Normal 3 5 7 2 2 2" xfId="30452" xr:uid="{00000000-0005-0000-0000-0000BE520000}"/>
    <cellStyle name="Normal 3 5 7 2 3" xfId="30451" xr:uid="{00000000-0005-0000-0000-0000BF520000}"/>
    <cellStyle name="Normal 3 5 7 3" xfId="6958" xr:uid="{00000000-0005-0000-0000-0000C0520000}"/>
    <cellStyle name="Normal 3 5 7 3 2" xfId="30453" xr:uid="{00000000-0005-0000-0000-0000C1520000}"/>
    <cellStyle name="Normal 3 5 7 4" xfId="30450" xr:uid="{00000000-0005-0000-0000-0000C2520000}"/>
    <cellStyle name="Normal 3 5 8" xfId="6959" xr:uid="{00000000-0005-0000-0000-0000C3520000}"/>
    <cellStyle name="Normal 3 5 8 2" xfId="6960" xr:uid="{00000000-0005-0000-0000-0000C4520000}"/>
    <cellStyle name="Normal 3 5 8 2 2" xfId="30455" xr:uid="{00000000-0005-0000-0000-0000C5520000}"/>
    <cellStyle name="Normal 3 5 8 3" xfId="30454" xr:uid="{00000000-0005-0000-0000-0000C6520000}"/>
    <cellStyle name="Normal 3 5 9" xfId="6961" xr:uid="{00000000-0005-0000-0000-0000C7520000}"/>
    <cellStyle name="Normal 3 5 9 2" xfId="30456" xr:uid="{00000000-0005-0000-0000-0000C8520000}"/>
    <cellStyle name="Normal 3 6" xfId="119" xr:uid="{00000000-0005-0000-0000-0000C9520000}"/>
    <cellStyle name="Normal 3 6 10" xfId="21167" xr:uid="{00000000-0005-0000-0000-0000CA520000}"/>
    <cellStyle name="Normal 3 6 10 2" xfId="44482" xr:uid="{00000000-0005-0000-0000-0000CB520000}"/>
    <cellStyle name="Normal 3 6 11" xfId="21168" xr:uid="{00000000-0005-0000-0000-0000CC520000}"/>
    <cellStyle name="Normal 3 6 11 2" xfId="44483" xr:uid="{00000000-0005-0000-0000-0000CD520000}"/>
    <cellStyle name="Normal 3 6 12" xfId="23682" xr:uid="{00000000-0005-0000-0000-0000CE520000}"/>
    <cellStyle name="Normal 3 6 2" xfId="120" xr:uid="{00000000-0005-0000-0000-0000CF520000}"/>
    <cellStyle name="Normal 3 6 2 10" xfId="23683" xr:uid="{00000000-0005-0000-0000-0000D0520000}"/>
    <cellStyle name="Normal 3 6 2 2" xfId="6963" xr:uid="{00000000-0005-0000-0000-0000D1520000}"/>
    <cellStyle name="Normal 3 6 2 2 2" xfId="17914" xr:uid="{00000000-0005-0000-0000-0000D2520000}"/>
    <cellStyle name="Normal 3 6 2 2 2 2" xfId="21169" xr:uid="{00000000-0005-0000-0000-0000D3520000}"/>
    <cellStyle name="Normal 3 6 2 2 2 2 2" xfId="21170" xr:uid="{00000000-0005-0000-0000-0000D4520000}"/>
    <cellStyle name="Normal 3 6 2 2 2 2 2 2" xfId="44485" xr:uid="{00000000-0005-0000-0000-0000D5520000}"/>
    <cellStyle name="Normal 3 6 2 2 2 2 3" xfId="21171" xr:uid="{00000000-0005-0000-0000-0000D6520000}"/>
    <cellStyle name="Normal 3 6 2 2 2 2 3 2" xfId="44486" xr:uid="{00000000-0005-0000-0000-0000D7520000}"/>
    <cellStyle name="Normal 3 6 2 2 2 2 4" xfId="44484" xr:uid="{00000000-0005-0000-0000-0000D8520000}"/>
    <cellStyle name="Normal 3 6 2 2 2 3" xfId="21172" xr:uid="{00000000-0005-0000-0000-0000D9520000}"/>
    <cellStyle name="Normal 3 6 2 2 2 3 2" xfId="21173" xr:uid="{00000000-0005-0000-0000-0000DA520000}"/>
    <cellStyle name="Normal 3 6 2 2 2 3 2 2" xfId="44488" xr:uid="{00000000-0005-0000-0000-0000DB520000}"/>
    <cellStyle name="Normal 3 6 2 2 2 3 3" xfId="44487" xr:uid="{00000000-0005-0000-0000-0000DC520000}"/>
    <cellStyle name="Normal 3 6 2 2 2 4" xfId="21174" xr:uid="{00000000-0005-0000-0000-0000DD520000}"/>
    <cellStyle name="Normal 3 6 2 2 2 4 2" xfId="44489" xr:uid="{00000000-0005-0000-0000-0000DE520000}"/>
    <cellStyle name="Normal 3 6 2 2 2 5" xfId="21175" xr:uid="{00000000-0005-0000-0000-0000DF520000}"/>
    <cellStyle name="Normal 3 6 2 2 2 5 2" xfId="44490" xr:uid="{00000000-0005-0000-0000-0000E0520000}"/>
    <cellStyle name="Normal 3 6 2 2 2 6" xfId="21176" xr:uid="{00000000-0005-0000-0000-0000E1520000}"/>
    <cellStyle name="Normal 3 6 2 2 2 6 2" xfId="44491" xr:uid="{00000000-0005-0000-0000-0000E2520000}"/>
    <cellStyle name="Normal 3 6 2 2 2 7" xfId="41374" xr:uid="{00000000-0005-0000-0000-0000E3520000}"/>
    <cellStyle name="Normal 3 6 2 2 3" xfId="21177" xr:uid="{00000000-0005-0000-0000-0000E4520000}"/>
    <cellStyle name="Normal 3 6 2 2 3 2" xfId="21178" xr:uid="{00000000-0005-0000-0000-0000E5520000}"/>
    <cellStyle name="Normal 3 6 2 2 3 2 2" xfId="44493" xr:uid="{00000000-0005-0000-0000-0000E6520000}"/>
    <cellStyle name="Normal 3 6 2 2 3 3" xfId="21179" xr:uid="{00000000-0005-0000-0000-0000E7520000}"/>
    <cellStyle name="Normal 3 6 2 2 3 3 2" xfId="44494" xr:uid="{00000000-0005-0000-0000-0000E8520000}"/>
    <cellStyle name="Normal 3 6 2 2 3 4" xfId="44492" xr:uid="{00000000-0005-0000-0000-0000E9520000}"/>
    <cellStyle name="Normal 3 6 2 2 4" xfId="21180" xr:uid="{00000000-0005-0000-0000-0000EA520000}"/>
    <cellStyle name="Normal 3 6 2 2 4 2" xfId="21181" xr:uid="{00000000-0005-0000-0000-0000EB520000}"/>
    <cellStyle name="Normal 3 6 2 2 4 2 2" xfId="44496" xr:uid="{00000000-0005-0000-0000-0000EC520000}"/>
    <cellStyle name="Normal 3 6 2 2 4 3" xfId="44495" xr:uid="{00000000-0005-0000-0000-0000ED520000}"/>
    <cellStyle name="Normal 3 6 2 2 5" xfId="21182" xr:uid="{00000000-0005-0000-0000-0000EE520000}"/>
    <cellStyle name="Normal 3 6 2 2 5 2" xfId="44497" xr:uid="{00000000-0005-0000-0000-0000EF520000}"/>
    <cellStyle name="Normal 3 6 2 2 6" xfId="21183" xr:uid="{00000000-0005-0000-0000-0000F0520000}"/>
    <cellStyle name="Normal 3 6 2 2 6 2" xfId="44498" xr:uid="{00000000-0005-0000-0000-0000F1520000}"/>
    <cellStyle name="Normal 3 6 2 2 7" xfId="21184" xr:uid="{00000000-0005-0000-0000-0000F2520000}"/>
    <cellStyle name="Normal 3 6 2 2 7 2" xfId="44499" xr:uid="{00000000-0005-0000-0000-0000F3520000}"/>
    <cellStyle name="Normal 3 6 2 2 8" xfId="30457" xr:uid="{00000000-0005-0000-0000-0000F4520000}"/>
    <cellStyle name="Normal 3 6 2 3" xfId="17759" xr:uid="{00000000-0005-0000-0000-0000F5520000}"/>
    <cellStyle name="Normal 3 6 2 3 2" xfId="17993" xr:uid="{00000000-0005-0000-0000-0000F6520000}"/>
    <cellStyle name="Normal 3 6 2 3 2 2" xfId="21185" xr:uid="{00000000-0005-0000-0000-0000F7520000}"/>
    <cellStyle name="Normal 3 6 2 3 2 2 2" xfId="21186" xr:uid="{00000000-0005-0000-0000-0000F8520000}"/>
    <cellStyle name="Normal 3 6 2 3 2 2 2 2" xfId="44501" xr:uid="{00000000-0005-0000-0000-0000F9520000}"/>
    <cellStyle name="Normal 3 6 2 3 2 2 3" xfId="21187" xr:uid="{00000000-0005-0000-0000-0000FA520000}"/>
    <cellStyle name="Normal 3 6 2 3 2 2 3 2" xfId="44502" xr:uid="{00000000-0005-0000-0000-0000FB520000}"/>
    <cellStyle name="Normal 3 6 2 3 2 2 4" xfId="44500" xr:uid="{00000000-0005-0000-0000-0000FC520000}"/>
    <cellStyle name="Normal 3 6 2 3 2 3" xfId="21188" xr:uid="{00000000-0005-0000-0000-0000FD520000}"/>
    <cellStyle name="Normal 3 6 2 3 2 3 2" xfId="21189" xr:uid="{00000000-0005-0000-0000-0000FE520000}"/>
    <cellStyle name="Normal 3 6 2 3 2 3 2 2" xfId="44504" xr:uid="{00000000-0005-0000-0000-0000FF520000}"/>
    <cellStyle name="Normal 3 6 2 3 2 3 3" xfId="44503" xr:uid="{00000000-0005-0000-0000-000000530000}"/>
    <cellStyle name="Normal 3 6 2 3 2 4" xfId="21190" xr:uid="{00000000-0005-0000-0000-000001530000}"/>
    <cellStyle name="Normal 3 6 2 3 2 4 2" xfId="44505" xr:uid="{00000000-0005-0000-0000-000002530000}"/>
    <cellStyle name="Normal 3 6 2 3 2 5" xfId="21191" xr:uid="{00000000-0005-0000-0000-000003530000}"/>
    <cellStyle name="Normal 3 6 2 3 2 5 2" xfId="44506" xr:uid="{00000000-0005-0000-0000-000004530000}"/>
    <cellStyle name="Normal 3 6 2 3 2 6" xfId="21192" xr:uid="{00000000-0005-0000-0000-000005530000}"/>
    <cellStyle name="Normal 3 6 2 3 2 6 2" xfId="44507" xr:uid="{00000000-0005-0000-0000-000006530000}"/>
    <cellStyle name="Normal 3 6 2 3 2 7" xfId="41453" xr:uid="{00000000-0005-0000-0000-000007530000}"/>
    <cellStyle name="Normal 3 6 2 3 3" xfId="21193" xr:uid="{00000000-0005-0000-0000-000008530000}"/>
    <cellStyle name="Normal 3 6 2 3 3 2" xfId="21194" xr:uid="{00000000-0005-0000-0000-000009530000}"/>
    <cellStyle name="Normal 3 6 2 3 3 2 2" xfId="44509" xr:uid="{00000000-0005-0000-0000-00000A530000}"/>
    <cellStyle name="Normal 3 6 2 3 3 3" xfId="21195" xr:uid="{00000000-0005-0000-0000-00000B530000}"/>
    <cellStyle name="Normal 3 6 2 3 3 3 2" xfId="44510" xr:uid="{00000000-0005-0000-0000-00000C530000}"/>
    <cellStyle name="Normal 3 6 2 3 3 4" xfId="44508" xr:uid="{00000000-0005-0000-0000-00000D530000}"/>
    <cellStyle name="Normal 3 6 2 3 4" xfId="21196" xr:uid="{00000000-0005-0000-0000-00000E530000}"/>
    <cellStyle name="Normal 3 6 2 3 4 2" xfId="21197" xr:uid="{00000000-0005-0000-0000-00000F530000}"/>
    <cellStyle name="Normal 3 6 2 3 4 2 2" xfId="44512" xr:uid="{00000000-0005-0000-0000-000010530000}"/>
    <cellStyle name="Normal 3 6 2 3 4 3" xfId="44511" xr:uid="{00000000-0005-0000-0000-000011530000}"/>
    <cellStyle name="Normal 3 6 2 3 5" xfId="21198" xr:uid="{00000000-0005-0000-0000-000012530000}"/>
    <cellStyle name="Normal 3 6 2 3 5 2" xfId="44513" xr:uid="{00000000-0005-0000-0000-000013530000}"/>
    <cellStyle name="Normal 3 6 2 3 6" xfId="21199" xr:uid="{00000000-0005-0000-0000-000014530000}"/>
    <cellStyle name="Normal 3 6 2 3 6 2" xfId="44514" xr:uid="{00000000-0005-0000-0000-000015530000}"/>
    <cellStyle name="Normal 3 6 2 3 7" xfId="21200" xr:uid="{00000000-0005-0000-0000-000016530000}"/>
    <cellStyle name="Normal 3 6 2 3 7 2" xfId="44515" xr:uid="{00000000-0005-0000-0000-000017530000}"/>
    <cellStyle name="Normal 3 6 2 3 8" xfId="41219" xr:uid="{00000000-0005-0000-0000-000018530000}"/>
    <cellStyle name="Normal 3 6 2 4" xfId="17839" xr:uid="{00000000-0005-0000-0000-000019530000}"/>
    <cellStyle name="Normal 3 6 2 4 2" xfId="21201" xr:uid="{00000000-0005-0000-0000-00001A530000}"/>
    <cellStyle name="Normal 3 6 2 4 2 2" xfId="21202" xr:uid="{00000000-0005-0000-0000-00001B530000}"/>
    <cellStyle name="Normal 3 6 2 4 2 2 2" xfId="44517" xr:uid="{00000000-0005-0000-0000-00001C530000}"/>
    <cellStyle name="Normal 3 6 2 4 2 3" xfId="21203" xr:uid="{00000000-0005-0000-0000-00001D530000}"/>
    <cellStyle name="Normal 3 6 2 4 2 3 2" xfId="44518" xr:uid="{00000000-0005-0000-0000-00001E530000}"/>
    <cellStyle name="Normal 3 6 2 4 2 4" xfId="44516" xr:uid="{00000000-0005-0000-0000-00001F530000}"/>
    <cellStyle name="Normal 3 6 2 4 3" xfId="21204" xr:uid="{00000000-0005-0000-0000-000020530000}"/>
    <cellStyle name="Normal 3 6 2 4 3 2" xfId="21205" xr:uid="{00000000-0005-0000-0000-000021530000}"/>
    <cellStyle name="Normal 3 6 2 4 3 2 2" xfId="44520" xr:uid="{00000000-0005-0000-0000-000022530000}"/>
    <cellStyle name="Normal 3 6 2 4 3 3" xfId="44519" xr:uid="{00000000-0005-0000-0000-000023530000}"/>
    <cellStyle name="Normal 3 6 2 4 4" xfId="21206" xr:uid="{00000000-0005-0000-0000-000024530000}"/>
    <cellStyle name="Normal 3 6 2 4 4 2" xfId="44521" xr:uid="{00000000-0005-0000-0000-000025530000}"/>
    <cellStyle name="Normal 3 6 2 4 5" xfId="21207" xr:uid="{00000000-0005-0000-0000-000026530000}"/>
    <cellStyle name="Normal 3 6 2 4 5 2" xfId="44522" xr:uid="{00000000-0005-0000-0000-000027530000}"/>
    <cellStyle name="Normal 3 6 2 4 6" xfId="21208" xr:uid="{00000000-0005-0000-0000-000028530000}"/>
    <cellStyle name="Normal 3 6 2 4 6 2" xfId="44523" xr:uid="{00000000-0005-0000-0000-000029530000}"/>
    <cellStyle name="Normal 3 6 2 4 7" xfId="41299" xr:uid="{00000000-0005-0000-0000-00002A530000}"/>
    <cellStyle name="Normal 3 6 2 5" xfId="21209" xr:uid="{00000000-0005-0000-0000-00002B530000}"/>
    <cellStyle name="Normal 3 6 2 5 2" xfId="21210" xr:uid="{00000000-0005-0000-0000-00002C530000}"/>
    <cellStyle name="Normal 3 6 2 5 2 2" xfId="44525" xr:uid="{00000000-0005-0000-0000-00002D530000}"/>
    <cellStyle name="Normal 3 6 2 5 3" xfId="21211" xr:uid="{00000000-0005-0000-0000-00002E530000}"/>
    <cellStyle name="Normal 3 6 2 5 3 2" xfId="44526" xr:uid="{00000000-0005-0000-0000-00002F530000}"/>
    <cellStyle name="Normal 3 6 2 5 4" xfId="44524" xr:uid="{00000000-0005-0000-0000-000030530000}"/>
    <cellStyle name="Normal 3 6 2 6" xfId="21212" xr:uid="{00000000-0005-0000-0000-000031530000}"/>
    <cellStyle name="Normal 3 6 2 6 2" xfId="21213" xr:uid="{00000000-0005-0000-0000-000032530000}"/>
    <cellStyle name="Normal 3 6 2 6 2 2" xfId="44528" xr:uid="{00000000-0005-0000-0000-000033530000}"/>
    <cellStyle name="Normal 3 6 2 6 3" xfId="44527" xr:uid="{00000000-0005-0000-0000-000034530000}"/>
    <cellStyle name="Normal 3 6 2 7" xfId="21214" xr:uid="{00000000-0005-0000-0000-000035530000}"/>
    <cellStyle name="Normal 3 6 2 7 2" xfId="44529" xr:uid="{00000000-0005-0000-0000-000036530000}"/>
    <cellStyle name="Normal 3 6 2 8" xfId="21215" xr:uid="{00000000-0005-0000-0000-000037530000}"/>
    <cellStyle name="Normal 3 6 2 8 2" xfId="44530" xr:uid="{00000000-0005-0000-0000-000038530000}"/>
    <cellStyle name="Normal 3 6 2 9" xfId="21216" xr:uid="{00000000-0005-0000-0000-000039530000}"/>
    <cellStyle name="Normal 3 6 2 9 2" xfId="44531" xr:uid="{00000000-0005-0000-0000-00003A530000}"/>
    <cellStyle name="Normal 3 6 3" xfId="6964" xr:uid="{00000000-0005-0000-0000-00003B530000}"/>
    <cellStyle name="Normal 3 6 3 10" xfId="30458" xr:uid="{00000000-0005-0000-0000-00003C530000}"/>
    <cellStyle name="Normal 3 6 3 2" xfId="6965" xr:uid="{00000000-0005-0000-0000-00003D530000}"/>
    <cellStyle name="Normal 3 6 3 2 2" xfId="17940" xr:uid="{00000000-0005-0000-0000-00003E530000}"/>
    <cellStyle name="Normal 3 6 3 2 2 2" xfId="21217" xr:uid="{00000000-0005-0000-0000-00003F530000}"/>
    <cellStyle name="Normal 3 6 3 2 2 2 2" xfId="21218" xr:uid="{00000000-0005-0000-0000-000040530000}"/>
    <cellStyle name="Normal 3 6 3 2 2 2 2 2" xfId="44533" xr:uid="{00000000-0005-0000-0000-000041530000}"/>
    <cellStyle name="Normal 3 6 3 2 2 2 3" xfId="21219" xr:uid="{00000000-0005-0000-0000-000042530000}"/>
    <cellStyle name="Normal 3 6 3 2 2 2 3 2" xfId="44534" xr:uid="{00000000-0005-0000-0000-000043530000}"/>
    <cellStyle name="Normal 3 6 3 2 2 2 4" xfId="44532" xr:uid="{00000000-0005-0000-0000-000044530000}"/>
    <cellStyle name="Normal 3 6 3 2 2 3" xfId="21220" xr:uid="{00000000-0005-0000-0000-000045530000}"/>
    <cellStyle name="Normal 3 6 3 2 2 3 2" xfId="21221" xr:uid="{00000000-0005-0000-0000-000046530000}"/>
    <cellStyle name="Normal 3 6 3 2 2 3 2 2" xfId="44536" xr:uid="{00000000-0005-0000-0000-000047530000}"/>
    <cellStyle name="Normal 3 6 3 2 2 3 3" xfId="44535" xr:uid="{00000000-0005-0000-0000-000048530000}"/>
    <cellStyle name="Normal 3 6 3 2 2 4" xfId="21222" xr:uid="{00000000-0005-0000-0000-000049530000}"/>
    <cellStyle name="Normal 3 6 3 2 2 4 2" xfId="44537" xr:uid="{00000000-0005-0000-0000-00004A530000}"/>
    <cellStyle name="Normal 3 6 3 2 2 5" xfId="21223" xr:uid="{00000000-0005-0000-0000-00004B530000}"/>
    <cellStyle name="Normal 3 6 3 2 2 5 2" xfId="44538" xr:uid="{00000000-0005-0000-0000-00004C530000}"/>
    <cellStyle name="Normal 3 6 3 2 2 6" xfId="21224" xr:uid="{00000000-0005-0000-0000-00004D530000}"/>
    <cellStyle name="Normal 3 6 3 2 2 6 2" xfId="44539" xr:uid="{00000000-0005-0000-0000-00004E530000}"/>
    <cellStyle name="Normal 3 6 3 2 2 7" xfId="41400" xr:uid="{00000000-0005-0000-0000-00004F530000}"/>
    <cellStyle name="Normal 3 6 3 2 3" xfId="21225" xr:uid="{00000000-0005-0000-0000-000050530000}"/>
    <cellStyle name="Normal 3 6 3 2 3 2" xfId="21226" xr:uid="{00000000-0005-0000-0000-000051530000}"/>
    <cellStyle name="Normal 3 6 3 2 3 2 2" xfId="44541" xr:uid="{00000000-0005-0000-0000-000052530000}"/>
    <cellStyle name="Normal 3 6 3 2 3 3" xfId="21227" xr:uid="{00000000-0005-0000-0000-000053530000}"/>
    <cellStyle name="Normal 3 6 3 2 3 3 2" xfId="44542" xr:uid="{00000000-0005-0000-0000-000054530000}"/>
    <cellStyle name="Normal 3 6 3 2 3 4" xfId="44540" xr:uid="{00000000-0005-0000-0000-000055530000}"/>
    <cellStyle name="Normal 3 6 3 2 4" xfId="21228" xr:uid="{00000000-0005-0000-0000-000056530000}"/>
    <cellStyle name="Normal 3 6 3 2 4 2" xfId="21229" xr:uid="{00000000-0005-0000-0000-000057530000}"/>
    <cellStyle name="Normal 3 6 3 2 4 2 2" xfId="44544" xr:uid="{00000000-0005-0000-0000-000058530000}"/>
    <cellStyle name="Normal 3 6 3 2 4 3" xfId="44543" xr:uid="{00000000-0005-0000-0000-000059530000}"/>
    <cellStyle name="Normal 3 6 3 2 5" xfId="21230" xr:uid="{00000000-0005-0000-0000-00005A530000}"/>
    <cellStyle name="Normal 3 6 3 2 5 2" xfId="44545" xr:uid="{00000000-0005-0000-0000-00005B530000}"/>
    <cellStyle name="Normal 3 6 3 2 6" xfId="21231" xr:uid="{00000000-0005-0000-0000-00005C530000}"/>
    <cellStyle name="Normal 3 6 3 2 6 2" xfId="44546" xr:uid="{00000000-0005-0000-0000-00005D530000}"/>
    <cellStyle name="Normal 3 6 3 2 7" xfId="21232" xr:uid="{00000000-0005-0000-0000-00005E530000}"/>
    <cellStyle name="Normal 3 6 3 2 7 2" xfId="44547" xr:uid="{00000000-0005-0000-0000-00005F530000}"/>
    <cellStyle name="Normal 3 6 3 2 8" xfId="30459" xr:uid="{00000000-0005-0000-0000-000060530000}"/>
    <cellStyle name="Normal 3 6 3 3" xfId="17786" xr:uid="{00000000-0005-0000-0000-000061530000}"/>
    <cellStyle name="Normal 3 6 3 3 2" xfId="18022" xr:uid="{00000000-0005-0000-0000-000062530000}"/>
    <cellStyle name="Normal 3 6 3 3 2 2" xfId="21233" xr:uid="{00000000-0005-0000-0000-000063530000}"/>
    <cellStyle name="Normal 3 6 3 3 2 2 2" xfId="21234" xr:uid="{00000000-0005-0000-0000-000064530000}"/>
    <cellStyle name="Normal 3 6 3 3 2 2 2 2" xfId="44549" xr:uid="{00000000-0005-0000-0000-000065530000}"/>
    <cellStyle name="Normal 3 6 3 3 2 2 3" xfId="21235" xr:uid="{00000000-0005-0000-0000-000066530000}"/>
    <cellStyle name="Normal 3 6 3 3 2 2 3 2" xfId="44550" xr:uid="{00000000-0005-0000-0000-000067530000}"/>
    <cellStyle name="Normal 3 6 3 3 2 2 4" xfId="44548" xr:uid="{00000000-0005-0000-0000-000068530000}"/>
    <cellStyle name="Normal 3 6 3 3 2 3" xfId="21236" xr:uid="{00000000-0005-0000-0000-000069530000}"/>
    <cellStyle name="Normal 3 6 3 3 2 3 2" xfId="21237" xr:uid="{00000000-0005-0000-0000-00006A530000}"/>
    <cellStyle name="Normal 3 6 3 3 2 3 2 2" xfId="44552" xr:uid="{00000000-0005-0000-0000-00006B530000}"/>
    <cellStyle name="Normal 3 6 3 3 2 3 3" xfId="44551" xr:uid="{00000000-0005-0000-0000-00006C530000}"/>
    <cellStyle name="Normal 3 6 3 3 2 4" xfId="21238" xr:uid="{00000000-0005-0000-0000-00006D530000}"/>
    <cellStyle name="Normal 3 6 3 3 2 4 2" xfId="44553" xr:uid="{00000000-0005-0000-0000-00006E530000}"/>
    <cellStyle name="Normal 3 6 3 3 2 5" xfId="21239" xr:uid="{00000000-0005-0000-0000-00006F530000}"/>
    <cellStyle name="Normal 3 6 3 3 2 5 2" xfId="44554" xr:uid="{00000000-0005-0000-0000-000070530000}"/>
    <cellStyle name="Normal 3 6 3 3 2 6" xfId="21240" xr:uid="{00000000-0005-0000-0000-000071530000}"/>
    <cellStyle name="Normal 3 6 3 3 2 6 2" xfId="44555" xr:uid="{00000000-0005-0000-0000-000072530000}"/>
    <cellStyle name="Normal 3 6 3 3 2 7" xfId="41482" xr:uid="{00000000-0005-0000-0000-000073530000}"/>
    <cellStyle name="Normal 3 6 3 3 3" xfId="21241" xr:uid="{00000000-0005-0000-0000-000074530000}"/>
    <cellStyle name="Normal 3 6 3 3 3 2" xfId="21242" xr:uid="{00000000-0005-0000-0000-000075530000}"/>
    <cellStyle name="Normal 3 6 3 3 3 2 2" xfId="44557" xr:uid="{00000000-0005-0000-0000-000076530000}"/>
    <cellStyle name="Normal 3 6 3 3 3 3" xfId="21243" xr:uid="{00000000-0005-0000-0000-000077530000}"/>
    <cellStyle name="Normal 3 6 3 3 3 3 2" xfId="44558" xr:uid="{00000000-0005-0000-0000-000078530000}"/>
    <cellStyle name="Normal 3 6 3 3 3 4" xfId="44556" xr:uid="{00000000-0005-0000-0000-000079530000}"/>
    <cellStyle name="Normal 3 6 3 3 4" xfId="21244" xr:uid="{00000000-0005-0000-0000-00007A530000}"/>
    <cellStyle name="Normal 3 6 3 3 4 2" xfId="21245" xr:uid="{00000000-0005-0000-0000-00007B530000}"/>
    <cellStyle name="Normal 3 6 3 3 4 2 2" xfId="44560" xr:uid="{00000000-0005-0000-0000-00007C530000}"/>
    <cellStyle name="Normal 3 6 3 3 4 3" xfId="44559" xr:uid="{00000000-0005-0000-0000-00007D530000}"/>
    <cellStyle name="Normal 3 6 3 3 5" xfId="21246" xr:uid="{00000000-0005-0000-0000-00007E530000}"/>
    <cellStyle name="Normal 3 6 3 3 5 2" xfId="44561" xr:uid="{00000000-0005-0000-0000-00007F530000}"/>
    <cellStyle name="Normal 3 6 3 3 6" xfId="21247" xr:uid="{00000000-0005-0000-0000-000080530000}"/>
    <cellStyle name="Normal 3 6 3 3 6 2" xfId="44562" xr:uid="{00000000-0005-0000-0000-000081530000}"/>
    <cellStyle name="Normal 3 6 3 3 7" xfId="21248" xr:uid="{00000000-0005-0000-0000-000082530000}"/>
    <cellStyle name="Normal 3 6 3 3 7 2" xfId="44563" xr:uid="{00000000-0005-0000-0000-000083530000}"/>
    <cellStyle name="Normal 3 6 3 3 8" xfId="41246" xr:uid="{00000000-0005-0000-0000-000084530000}"/>
    <cellStyle name="Normal 3 6 3 4" xfId="17868" xr:uid="{00000000-0005-0000-0000-000085530000}"/>
    <cellStyle name="Normal 3 6 3 4 2" xfId="21249" xr:uid="{00000000-0005-0000-0000-000086530000}"/>
    <cellStyle name="Normal 3 6 3 4 2 2" xfId="21250" xr:uid="{00000000-0005-0000-0000-000087530000}"/>
    <cellStyle name="Normal 3 6 3 4 2 2 2" xfId="44565" xr:uid="{00000000-0005-0000-0000-000088530000}"/>
    <cellStyle name="Normal 3 6 3 4 2 3" xfId="21251" xr:uid="{00000000-0005-0000-0000-000089530000}"/>
    <cellStyle name="Normal 3 6 3 4 2 3 2" xfId="44566" xr:uid="{00000000-0005-0000-0000-00008A530000}"/>
    <cellStyle name="Normal 3 6 3 4 2 4" xfId="44564" xr:uid="{00000000-0005-0000-0000-00008B530000}"/>
    <cellStyle name="Normal 3 6 3 4 3" xfId="21252" xr:uid="{00000000-0005-0000-0000-00008C530000}"/>
    <cellStyle name="Normal 3 6 3 4 3 2" xfId="21253" xr:uid="{00000000-0005-0000-0000-00008D530000}"/>
    <cellStyle name="Normal 3 6 3 4 3 2 2" xfId="44568" xr:uid="{00000000-0005-0000-0000-00008E530000}"/>
    <cellStyle name="Normal 3 6 3 4 3 3" xfId="44567" xr:uid="{00000000-0005-0000-0000-00008F530000}"/>
    <cellStyle name="Normal 3 6 3 4 4" xfId="21254" xr:uid="{00000000-0005-0000-0000-000090530000}"/>
    <cellStyle name="Normal 3 6 3 4 4 2" xfId="44569" xr:uid="{00000000-0005-0000-0000-000091530000}"/>
    <cellStyle name="Normal 3 6 3 4 5" xfId="21255" xr:uid="{00000000-0005-0000-0000-000092530000}"/>
    <cellStyle name="Normal 3 6 3 4 5 2" xfId="44570" xr:uid="{00000000-0005-0000-0000-000093530000}"/>
    <cellStyle name="Normal 3 6 3 4 6" xfId="21256" xr:uid="{00000000-0005-0000-0000-000094530000}"/>
    <cellStyle name="Normal 3 6 3 4 6 2" xfId="44571" xr:uid="{00000000-0005-0000-0000-000095530000}"/>
    <cellStyle name="Normal 3 6 3 4 7" xfId="41328" xr:uid="{00000000-0005-0000-0000-000096530000}"/>
    <cellStyle name="Normal 3 6 3 5" xfId="21257" xr:uid="{00000000-0005-0000-0000-000097530000}"/>
    <cellStyle name="Normal 3 6 3 5 2" xfId="21258" xr:uid="{00000000-0005-0000-0000-000098530000}"/>
    <cellStyle name="Normal 3 6 3 5 2 2" xfId="44573" xr:uid="{00000000-0005-0000-0000-000099530000}"/>
    <cellStyle name="Normal 3 6 3 5 3" xfId="21259" xr:uid="{00000000-0005-0000-0000-00009A530000}"/>
    <cellStyle name="Normal 3 6 3 5 3 2" xfId="44574" xr:uid="{00000000-0005-0000-0000-00009B530000}"/>
    <cellStyle name="Normal 3 6 3 5 4" xfId="44572" xr:uid="{00000000-0005-0000-0000-00009C530000}"/>
    <cellStyle name="Normal 3 6 3 6" xfId="21260" xr:uid="{00000000-0005-0000-0000-00009D530000}"/>
    <cellStyle name="Normal 3 6 3 6 2" xfId="21261" xr:uid="{00000000-0005-0000-0000-00009E530000}"/>
    <cellStyle name="Normal 3 6 3 6 2 2" xfId="44576" xr:uid="{00000000-0005-0000-0000-00009F530000}"/>
    <cellStyle name="Normal 3 6 3 6 3" xfId="44575" xr:uid="{00000000-0005-0000-0000-0000A0530000}"/>
    <cellStyle name="Normal 3 6 3 7" xfId="21262" xr:uid="{00000000-0005-0000-0000-0000A1530000}"/>
    <cellStyle name="Normal 3 6 3 7 2" xfId="44577" xr:uid="{00000000-0005-0000-0000-0000A2530000}"/>
    <cellStyle name="Normal 3 6 3 8" xfId="21263" xr:uid="{00000000-0005-0000-0000-0000A3530000}"/>
    <cellStyle name="Normal 3 6 3 8 2" xfId="44578" xr:uid="{00000000-0005-0000-0000-0000A4530000}"/>
    <cellStyle name="Normal 3 6 3 9" xfId="21264" xr:uid="{00000000-0005-0000-0000-0000A5530000}"/>
    <cellStyle name="Normal 3 6 3 9 2" xfId="44579" xr:uid="{00000000-0005-0000-0000-0000A6530000}"/>
    <cellStyle name="Normal 3 6 4" xfId="6962" xr:uid="{00000000-0005-0000-0000-0000A7530000}"/>
    <cellStyle name="Normal 3 6 4 2" xfId="17890" xr:uid="{00000000-0005-0000-0000-0000A8530000}"/>
    <cellStyle name="Normal 3 6 4 2 2" xfId="21265" xr:uid="{00000000-0005-0000-0000-0000A9530000}"/>
    <cellStyle name="Normal 3 6 4 2 2 2" xfId="21266" xr:uid="{00000000-0005-0000-0000-0000AA530000}"/>
    <cellStyle name="Normal 3 6 4 2 2 2 2" xfId="44581" xr:uid="{00000000-0005-0000-0000-0000AB530000}"/>
    <cellStyle name="Normal 3 6 4 2 2 3" xfId="21267" xr:uid="{00000000-0005-0000-0000-0000AC530000}"/>
    <cellStyle name="Normal 3 6 4 2 2 3 2" xfId="44582" xr:uid="{00000000-0005-0000-0000-0000AD530000}"/>
    <cellStyle name="Normal 3 6 4 2 2 4" xfId="44580" xr:uid="{00000000-0005-0000-0000-0000AE530000}"/>
    <cellStyle name="Normal 3 6 4 2 3" xfId="21268" xr:uid="{00000000-0005-0000-0000-0000AF530000}"/>
    <cellStyle name="Normal 3 6 4 2 3 2" xfId="21269" xr:uid="{00000000-0005-0000-0000-0000B0530000}"/>
    <cellStyle name="Normal 3 6 4 2 3 2 2" xfId="44584" xr:uid="{00000000-0005-0000-0000-0000B1530000}"/>
    <cellStyle name="Normal 3 6 4 2 3 3" xfId="44583" xr:uid="{00000000-0005-0000-0000-0000B2530000}"/>
    <cellStyle name="Normal 3 6 4 2 4" xfId="21270" xr:uid="{00000000-0005-0000-0000-0000B3530000}"/>
    <cellStyle name="Normal 3 6 4 2 4 2" xfId="44585" xr:uid="{00000000-0005-0000-0000-0000B4530000}"/>
    <cellStyle name="Normal 3 6 4 2 5" xfId="21271" xr:uid="{00000000-0005-0000-0000-0000B5530000}"/>
    <cellStyle name="Normal 3 6 4 2 5 2" xfId="44586" xr:uid="{00000000-0005-0000-0000-0000B6530000}"/>
    <cellStyle name="Normal 3 6 4 2 6" xfId="21272" xr:uid="{00000000-0005-0000-0000-0000B7530000}"/>
    <cellStyle name="Normal 3 6 4 2 6 2" xfId="44587" xr:uid="{00000000-0005-0000-0000-0000B8530000}"/>
    <cellStyle name="Normal 3 6 4 2 7" xfId="41350" xr:uid="{00000000-0005-0000-0000-0000B9530000}"/>
    <cellStyle name="Normal 3 6 4 3" xfId="21273" xr:uid="{00000000-0005-0000-0000-0000BA530000}"/>
    <cellStyle name="Normal 3 6 4 3 2" xfId="21274" xr:uid="{00000000-0005-0000-0000-0000BB530000}"/>
    <cellStyle name="Normal 3 6 4 3 2 2" xfId="44589" xr:uid="{00000000-0005-0000-0000-0000BC530000}"/>
    <cellStyle name="Normal 3 6 4 3 3" xfId="21275" xr:uid="{00000000-0005-0000-0000-0000BD530000}"/>
    <cellStyle name="Normal 3 6 4 3 3 2" xfId="44590" xr:uid="{00000000-0005-0000-0000-0000BE530000}"/>
    <cellStyle name="Normal 3 6 4 3 4" xfId="44588" xr:uid="{00000000-0005-0000-0000-0000BF530000}"/>
    <cellStyle name="Normal 3 6 4 4" xfId="21276" xr:uid="{00000000-0005-0000-0000-0000C0530000}"/>
    <cellStyle name="Normal 3 6 4 4 2" xfId="21277" xr:uid="{00000000-0005-0000-0000-0000C1530000}"/>
    <cellStyle name="Normal 3 6 4 4 2 2" xfId="44592" xr:uid="{00000000-0005-0000-0000-0000C2530000}"/>
    <cellStyle name="Normal 3 6 4 4 3" xfId="44591" xr:uid="{00000000-0005-0000-0000-0000C3530000}"/>
    <cellStyle name="Normal 3 6 4 5" xfId="21278" xr:uid="{00000000-0005-0000-0000-0000C4530000}"/>
    <cellStyle name="Normal 3 6 4 5 2" xfId="44593" xr:uid="{00000000-0005-0000-0000-0000C5530000}"/>
    <cellStyle name="Normal 3 6 4 6" xfId="21279" xr:uid="{00000000-0005-0000-0000-0000C6530000}"/>
    <cellStyle name="Normal 3 6 4 6 2" xfId="44594" xr:uid="{00000000-0005-0000-0000-0000C7530000}"/>
    <cellStyle name="Normal 3 6 4 7" xfId="21280" xr:uid="{00000000-0005-0000-0000-0000C8530000}"/>
    <cellStyle name="Normal 3 6 4 7 2" xfId="44595" xr:uid="{00000000-0005-0000-0000-0000C9530000}"/>
    <cellStyle name="Normal 3 6 4 8" xfId="17700" xr:uid="{00000000-0005-0000-0000-0000CA530000}"/>
    <cellStyle name="Normal 3 6 4 8 2" xfId="41160" xr:uid="{00000000-0005-0000-0000-0000CB530000}"/>
    <cellStyle name="Normal 3 6 5" xfId="17736" xr:uid="{00000000-0005-0000-0000-0000CC530000}"/>
    <cellStyle name="Normal 3 6 5 2" xfId="17968" xr:uid="{00000000-0005-0000-0000-0000CD530000}"/>
    <cellStyle name="Normal 3 6 5 2 2" xfId="21281" xr:uid="{00000000-0005-0000-0000-0000CE530000}"/>
    <cellStyle name="Normal 3 6 5 2 2 2" xfId="21282" xr:uid="{00000000-0005-0000-0000-0000CF530000}"/>
    <cellStyle name="Normal 3 6 5 2 2 2 2" xfId="44597" xr:uid="{00000000-0005-0000-0000-0000D0530000}"/>
    <cellStyle name="Normal 3 6 5 2 2 3" xfId="21283" xr:uid="{00000000-0005-0000-0000-0000D1530000}"/>
    <cellStyle name="Normal 3 6 5 2 2 3 2" xfId="44598" xr:uid="{00000000-0005-0000-0000-0000D2530000}"/>
    <cellStyle name="Normal 3 6 5 2 2 4" xfId="44596" xr:uid="{00000000-0005-0000-0000-0000D3530000}"/>
    <cellStyle name="Normal 3 6 5 2 3" xfId="21284" xr:uid="{00000000-0005-0000-0000-0000D4530000}"/>
    <cellStyle name="Normal 3 6 5 2 3 2" xfId="21285" xr:uid="{00000000-0005-0000-0000-0000D5530000}"/>
    <cellStyle name="Normal 3 6 5 2 3 2 2" xfId="44600" xr:uid="{00000000-0005-0000-0000-0000D6530000}"/>
    <cellStyle name="Normal 3 6 5 2 3 3" xfId="44599" xr:uid="{00000000-0005-0000-0000-0000D7530000}"/>
    <cellStyle name="Normal 3 6 5 2 4" xfId="21286" xr:uid="{00000000-0005-0000-0000-0000D8530000}"/>
    <cellStyle name="Normal 3 6 5 2 4 2" xfId="44601" xr:uid="{00000000-0005-0000-0000-0000D9530000}"/>
    <cellStyle name="Normal 3 6 5 2 5" xfId="21287" xr:uid="{00000000-0005-0000-0000-0000DA530000}"/>
    <cellStyle name="Normal 3 6 5 2 5 2" xfId="44602" xr:uid="{00000000-0005-0000-0000-0000DB530000}"/>
    <cellStyle name="Normal 3 6 5 2 6" xfId="21288" xr:uid="{00000000-0005-0000-0000-0000DC530000}"/>
    <cellStyle name="Normal 3 6 5 2 6 2" xfId="44603" xr:uid="{00000000-0005-0000-0000-0000DD530000}"/>
    <cellStyle name="Normal 3 6 5 2 7" xfId="41428" xr:uid="{00000000-0005-0000-0000-0000DE530000}"/>
    <cellStyle name="Normal 3 6 5 3" xfId="21289" xr:uid="{00000000-0005-0000-0000-0000DF530000}"/>
    <cellStyle name="Normal 3 6 5 3 2" xfId="21290" xr:uid="{00000000-0005-0000-0000-0000E0530000}"/>
    <cellStyle name="Normal 3 6 5 3 2 2" xfId="44605" xr:uid="{00000000-0005-0000-0000-0000E1530000}"/>
    <cellStyle name="Normal 3 6 5 3 3" xfId="21291" xr:uid="{00000000-0005-0000-0000-0000E2530000}"/>
    <cellStyle name="Normal 3 6 5 3 3 2" xfId="44606" xr:uid="{00000000-0005-0000-0000-0000E3530000}"/>
    <cellStyle name="Normal 3 6 5 3 4" xfId="44604" xr:uid="{00000000-0005-0000-0000-0000E4530000}"/>
    <cellStyle name="Normal 3 6 5 4" xfId="21292" xr:uid="{00000000-0005-0000-0000-0000E5530000}"/>
    <cellStyle name="Normal 3 6 5 4 2" xfId="21293" xr:uid="{00000000-0005-0000-0000-0000E6530000}"/>
    <cellStyle name="Normal 3 6 5 4 2 2" xfId="44608" xr:uid="{00000000-0005-0000-0000-0000E7530000}"/>
    <cellStyle name="Normal 3 6 5 4 3" xfId="44607" xr:uid="{00000000-0005-0000-0000-0000E8530000}"/>
    <cellStyle name="Normal 3 6 5 5" xfId="21294" xr:uid="{00000000-0005-0000-0000-0000E9530000}"/>
    <cellStyle name="Normal 3 6 5 5 2" xfId="44609" xr:uid="{00000000-0005-0000-0000-0000EA530000}"/>
    <cellStyle name="Normal 3 6 5 6" xfId="21295" xr:uid="{00000000-0005-0000-0000-0000EB530000}"/>
    <cellStyle name="Normal 3 6 5 6 2" xfId="44610" xr:uid="{00000000-0005-0000-0000-0000EC530000}"/>
    <cellStyle name="Normal 3 6 5 7" xfId="21296" xr:uid="{00000000-0005-0000-0000-0000ED530000}"/>
    <cellStyle name="Normal 3 6 5 7 2" xfId="44611" xr:uid="{00000000-0005-0000-0000-0000EE530000}"/>
    <cellStyle name="Normal 3 6 5 8" xfId="41196" xr:uid="{00000000-0005-0000-0000-0000EF530000}"/>
    <cellStyle name="Normal 3 6 6" xfId="17813" xr:uid="{00000000-0005-0000-0000-0000F0530000}"/>
    <cellStyle name="Normal 3 6 6 2" xfId="21297" xr:uid="{00000000-0005-0000-0000-0000F1530000}"/>
    <cellStyle name="Normal 3 6 6 2 2" xfId="21298" xr:uid="{00000000-0005-0000-0000-0000F2530000}"/>
    <cellStyle name="Normal 3 6 6 2 2 2" xfId="44613" xr:uid="{00000000-0005-0000-0000-0000F3530000}"/>
    <cellStyle name="Normal 3 6 6 2 3" xfId="21299" xr:uid="{00000000-0005-0000-0000-0000F4530000}"/>
    <cellStyle name="Normal 3 6 6 2 3 2" xfId="44614" xr:uid="{00000000-0005-0000-0000-0000F5530000}"/>
    <cellStyle name="Normal 3 6 6 2 4" xfId="44612" xr:uid="{00000000-0005-0000-0000-0000F6530000}"/>
    <cellStyle name="Normal 3 6 6 3" xfId="21300" xr:uid="{00000000-0005-0000-0000-0000F7530000}"/>
    <cellStyle name="Normal 3 6 6 3 2" xfId="21301" xr:uid="{00000000-0005-0000-0000-0000F8530000}"/>
    <cellStyle name="Normal 3 6 6 3 2 2" xfId="44616" xr:uid="{00000000-0005-0000-0000-0000F9530000}"/>
    <cellStyle name="Normal 3 6 6 3 3" xfId="44615" xr:uid="{00000000-0005-0000-0000-0000FA530000}"/>
    <cellStyle name="Normal 3 6 6 4" xfId="21302" xr:uid="{00000000-0005-0000-0000-0000FB530000}"/>
    <cellStyle name="Normal 3 6 6 4 2" xfId="44617" xr:uid="{00000000-0005-0000-0000-0000FC530000}"/>
    <cellStyle name="Normal 3 6 6 5" xfId="21303" xr:uid="{00000000-0005-0000-0000-0000FD530000}"/>
    <cellStyle name="Normal 3 6 6 5 2" xfId="44618" xr:uid="{00000000-0005-0000-0000-0000FE530000}"/>
    <cellStyle name="Normal 3 6 6 6" xfId="21304" xr:uid="{00000000-0005-0000-0000-0000FF530000}"/>
    <cellStyle name="Normal 3 6 6 6 2" xfId="44619" xr:uid="{00000000-0005-0000-0000-000000540000}"/>
    <cellStyle name="Normal 3 6 6 7" xfId="41273" xr:uid="{00000000-0005-0000-0000-000001540000}"/>
    <cellStyle name="Normal 3 6 7" xfId="21305" xr:uid="{00000000-0005-0000-0000-000002540000}"/>
    <cellStyle name="Normal 3 6 7 2" xfId="21306" xr:uid="{00000000-0005-0000-0000-000003540000}"/>
    <cellStyle name="Normal 3 6 7 2 2" xfId="44621" xr:uid="{00000000-0005-0000-0000-000004540000}"/>
    <cellStyle name="Normal 3 6 7 3" xfId="21307" xr:uid="{00000000-0005-0000-0000-000005540000}"/>
    <cellStyle name="Normal 3 6 7 3 2" xfId="44622" xr:uid="{00000000-0005-0000-0000-000006540000}"/>
    <cellStyle name="Normal 3 6 7 4" xfId="44620" xr:uid="{00000000-0005-0000-0000-000007540000}"/>
    <cellStyle name="Normal 3 6 8" xfId="21308" xr:uid="{00000000-0005-0000-0000-000008540000}"/>
    <cellStyle name="Normal 3 6 8 2" xfId="21309" xr:uid="{00000000-0005-0000-0000-000009540000}"/>
    <cellStyle name="Normal 3 6 8 2 2" xfId="44624" xr:uid="{00000000-0005-0000-0000-00000A540000}"/>
    <cellStyle name="Normal 3 6 8 3" xfId="44623" xr:uid="{00000000-0005-0000-0000-00000B540000}"/>
    <cellStyle name="Normal 3 6 9" xfId="21310" xr:uid="{00000000-0005-0000-0000-00000C540000}"/>
    <cellStyle name="Normal 3 6 9 2" xfId="44625" xr:uid="{00000000-0005-0000-0000-00000D540000}"/>
    <cellStyle name="Normal 3 7" xfId="121" xr:uid="{00000000-0005-0000-0000-00000E540000}"/>
    <cellStyle name="Normal 3 7 10" xfId="23684" xr:uid="{00000000-0005-0000-0000-00000F540000}"/>
    <cellStyle name="Normal 3 7 2" xfId="6966" xr:uid="{00000000-0005-0000-0000-000010540000}"/>
    <cellStyle name="Normal 3 7 2 2" xfId="6967" xr:uid="{00000000-0005-0000-0000-000011540000}"/>
    <cellStyle name="Normal 3 7 2 2 2" xfId="6968" xr:uid="{00000000-0005-0000-0000-000012540000}"/>
    <cellStyle name="Normal 3 7 2 2 2 2" xfId="6969" xr:uid="{00000000-0005-0000-0000-000013540000}"/>
    <cellStyle name="Normal 3 7 2 2 2 2 2" xfId="30463" xr:uid="{00000000-0005-0000-0000-000014540000}"/>
    <cellStyle name="Normal 3 7 2 2 2 3" xfId="21311" xr:uid="{00000000-0005-0000-0000-000015540000}"/>
    <cellStyle name="Normal 3 7 2 2 2 3 2" xfId="44626" xr:uid="{00000000-0005-0000-0000-000016540000}"/>
    <cellStyle name="Normal 3 7 2 2 2 4" xfId="30462" xr:uid="{00000000-0005-0000-0000-000017540000}"/>
    <cellStyle name="Normal 3 7 2 2 3" xfId="6970" xr:uid="{00000000-0005-0000-0000-000018540000}"/>
    <cellStyle name="Normal 3 7 2 2 3 2" xfId="21312" xr:uid="{00000000-0005-0000-0000-000019540000}"/>
    <cellStyle name="Normal 3 7 2 2 3 2 2" xfId="44627" xr:uid="{00000000-0005-0000-0000-00001A540000}"/>
    <cellStyle name="Normal 3 7 2 2 3 3" xfId="30464" xr:uid="{00000000-0005-0000-0000-00001B540000}"/>
    <cellStyle name="Normal 3 7 2 2 4" xfId="21313" xr:uid="{00000000-0005-0000-0000-00001C540000}"/>
    <cellStyle name="Normal 3 7 2 2 4 2" xfId="44628" xr:uid="{00000000-0005-0000-0000-00001D540000}"/>
    <cellStyle name="Normal 3 7 2 2 5" xfId="21314" xr:uid="{00000000-0005-0000-0000-00001E540000}"/>
    <cellStyle name="Normal 3 7 2 2 5 2" xfId="44629" xr:uid="{00000000-0005-0000-0000-00001F540000}"/>
    <cellStyle name="Normal 3 7 2 2 6" xfId="21315" xr:uid="{00000000-0005-0000-0000-000020540000}"/>
    <cellStyle name="Normal 3 7 2 2 6 2" xfId="44630" xr:uid="{00000000-0005-0000-0000-000021540000}"/>
    <cellStyle name="Normal 3 7 2 2 7" xfId="30461" xr:uid="{00000000-0005-0000-0000-000022540000}"/>
    <cellStyle name="Normal 3 7 2 3" xfId="6971" xr:uid="{00000000-0005-0000-0000-000023540000}"/>
    <cellStyle name="Normal 3 7 2 3 2" xfId="6972" xr:uid="{00000000-0005-0000-0000-000024540000}"/>
    <cellStyle name="Normal 3 7 2 3 2 2" xfId="30466" xr:uid="{00000000-0005-0000-0000-000025540000}"/>
    <cellStyle name="Normal 3 7 2 3 3" xfId="21316" xr:uid="{00000000-0005-0000-0000-000026540000}"/>
    <cellStyle name="Normal 3 7 2 3 3 2" xfId="44631" xr:uid="{00000000-0005-0000-0000-000027540000}"/>
    <cellStyle name="Normal 3 7 2 3 4" xfId="30465" xr:uid="{00000000-0005-0000-0000-000028540000}"/>
    <cellStyle name="Normal 3 7 2 4" xfId="6973" xr:uid="{00000000-0005-0000-0000-000029540000}"/>
    <cellStyle name="Normal 3 7 2 4 2" xfId="21317" xr:uid="{00000000-0005-0000-0000-00002A540000}"/>
    <cellStyle name="Normal 3 7 2 4 2 2" xfId="44632" xr:uid="{00000000-0005-0000-0000-00002B540000}"/>
    <cellStyle name="Normal 3 7 2 4 3" xfId="30467" xr:uid="{00000000-0005-0000-0000-00002C540000}"/>
    <cellStyle name="Normal 3 7 2 5" xfId="21318" xr:uid="{00000000-0005-0000-0000-00002D540000}"/>
    <cellStyle name="Normal 3 7 2 5 2" xfId="44633" xr:uid="{00000000-0005-0000-0000-00002E540000}"/>
    <cellStyle name="Normal 3 7 2 6" xfId="21319" xr:uid="{00000000-0005-0000-0000-00002F540000}"/>
    <cellStyle name="Normal 3 7 2 6 2" xfId="44634" xr:uid="{00000000-0005-0000-0000-000030540000}"/>
    <cellStyle name="Normal 3 7 2 7" xfId="21320" xr:uid="{00000000-0005-0000-0000-000031540000}"/>
    <cellStyle name="Normal 3 7 2 7 2" xfId="44635" xr:uid="{00000000-0005-0000-0000-000032540000}"/>
    <cellStyle name="Normal 3 7 2 8" xfId="30460" xr:uid="{00000000-0005-0000-0000-000033540000}"/>
    <cellStyle name="Normal 3 7 3" xfId="6974" xr:uid="{00000000-0005-0000-0000-000034540000}"/>
    <cellStyle name="Normal 3 7 3 2" xfId="6975" xr:uid="{00000000-0005-0000-0000-000035540000}"/>
    <cellStyle name="Normal 3 7 3 2 2" xfId="6976" xr:uid="{00000000-0005-0000-0000-000036540000}"/>
    <cellStyle name="Normal 3 7 3 2 2 2" xfId="6977" xr:uid="{00000000-0005-0000-0000-000037540000}"/>
    <cellStyle name="Normal 3 7 3 2 2 2 2" xfId="30471" xr:uid="{00000000-0005-0000-0000-000038540000}"/>
    <cellStyle name="Normal 3 7 3 2 2 3" xfId="21321" xr:uid="{00000000-0005-0000-0000-000039540000}"/>
    <cellStyle name="Normal 3 7 3 2 2 3 2" xfId="44636" xr:uid="{00000000-0005-0000-0000-00003A540000}"/>
    <cellStyle name="Normal 3 7 3 2 2 4" xfId="30470" xr:uid="{00000000-0005-0000-0000-00003B540000}"/>
    <cellStyle name="Normal 3 7 3 2 3" xfId="6978" xr:uid="{00000000-0005-0000-0000-00003C540000}"/>
    <cellStyle name="Normal 3 7 3 2 3 2" xfId="21322" xr:uid="{00000000-0005-0000-0000-00003D540000}"/>
    <cellStyle name="Normal 3 7 3 2 3 2 2" xfId="44637" xr:uid="{00000000-0005-0000-0000-00003E540000}"/>
    <cellStyle name="Normal 3 7 3 2 3 3" xfId="30472" xr:uid="{00000000-0005-0000-0000-00003F540000}"/>
    <cellStyle name="Normal 3 7 3 2 4" xfId="21323" xr:uid="{00000000-0005-0000-0000-000040540000}"/>
    <cellStyle name="Normal 3 7 3 2 4 2" xfId="44638" xr:uid="{00000000-0005-0000-0000-000041540000}"/>
    <cellStyle name="Normal 3 7 3 2 5" xfId="21324" xr:uid="{00000000-0005-0000-0000-000042540000}"/>
    <cellStyle name="Normal 3 7 3 2 5 2" xfId="44639" xr:uid="{00000000-0005-0000-0000-000043540000}"/>
    <cellStyle name="Normal 3 7 3 2 6" xfId="21325" xr:uid="{00000000-0005-0000-0000-000044540000}"/>
    <cellStyle name="Normal 3 7 3 2 6 2" xfId="44640" xr:uid="{00000000-0005-0000-0000-000045540000}"/>
    <cellStyle name="Normal 3 7 3 2 7" xfId="30469" xr:uid="{00000000-0005-0000-0000-000046540000}"/>
    <cellStyle name="Normal 3 7 3 3" xfId="6979" xr:uid="{00000000-0005-0000-0000-000047540000}"/>
    <cellStyle name="Normal 3 7 3 3 2" xfId="6980" xr:uid="{00000000-0005-0000-0000-000048540000}"/>
    <cellStyle name="Normal 3 7 3 3 2 2" xfId="30474" xr:uid="{00000000-0005-0000-0000-000049540000}"/>
    <cellStyle name="Normal 3 7 3 3 3" xfId="21326" xr:uid="{00000000-0005-0000-0000-00004A540000}"/>
    <cellStyle name="Normal 3 7 3 3 3 2" xfId="44641" xr:uid="{00000000-0005-0000-0000-00004B540000}"/>
    <cellStyle name="Normal 3 7 3 3 4" xfId="30473" xr:uid="{00000000-0005-0000-0000-00004C540000}"/>
    <cellStyle name="Normal 3 7 3 4" xfId="6981" xr:uid="{00000000-0005-0000-0000-00004D540000}"/>
    <cellStyle name="Normal 3 7 3 4 2" xfId="21327" xr:uid="{00000000-0005-0000-0000-00004E540000}"/>
    <cellStyle name="Normal 3 7 3 4 2 2" xfId="44642" xr:uid="{00000000-0005-0000-0000-00004F540000}"/>
    <cellStyle name="Normal 3 7 3 4 3" xfId="30475" xr:uid="{00000000-0005-0000-0000-000050540000}"/>
    <cellStyle name="Normal 3 7 3 5" xfId="21328" xr:uid="{00000000-0005-0000-0000-000051540000}"/>
    <cellStyle name="Normal 3 7 3 5 2" xfId="44643" xr:uid="{00000000-0005-0000-0000-000052540000}"/>
    <cellStyle name="Normal 3 7 3 6" xfId="21329" xr:uid="{00000000-0005-0000-0000-000053540000}"/>
    <cellStyle name="Normal 3 7 3 6 2" xfId="44644" xr:uid="{00000000-0005-0000-0000-000054540000}"/>
    <cellStyle name="Normal 3 7 3 7" xfId="21330" xr:uid="{00000000-0005-0000-0000-000055540000}"/>
    <cellStyle name="Normal 3 7 3 7 2" xfId="44645" xr:uid="{00000000-0005-0000-0000-000056540000}"/>
    <cellStyle name="Normal 3 7 3 8" xfId="30468" xr:uid="{00000000-0005-0000-0000-000057540000}"/>
    <cellStyle name="Normal 3 7 4" xfId="6982" xr:uid="{00000000-0005-0000-0000-000058540000}"/>
    <cellStyle name="Normal 3 7 4 2" xfId="6983" xr:uid="{00000000-0005-0000-0000-000059540000}"/>
    <cellStyle name="Normal 3 7 4 2 2" xfId="6984" xr:uid="{00000000-0005-0000-0000-00005A540000}"/>
    <cellStyle name="Normal 3 7 4 2 2 2" xfId="30478" xr:uid="{00000000-0005-0000-0000-00005B540000}"/>
    <cellStyle name="Normal 3 7 4 2 3" xfId="21331" xr:uid="{00000000-0005-0000-0000-00005C540000}"/>
    <cellStyle name="Normal 3 7 4 2 3 2" xfId="44646" xr:uid="{00000000-0005-0000-0000-00005D540000}"/>
    <cellStyle name="Normal 3 7 4 2 4" xfId="30477" xr:uid="{00000000-0005-0000-0000-00005E540000}"/>
    <cellStyle name="Normal 3 7 4 3" xfId="6985" xr:uid="{00000000-0005-0000-0000-00005F540000}"/>
    <cellStyle name="Normal 3 7 4 3 2" xfId="21332" xr:uid="{00000000-0005-0000-0000-000060540000}"/>
    <cellStyle name="Normal 3 7 4 3 2 2" xfId="44647" xr:uid="{00000000-0005-0000-0000-000061540000}"/>
    <cellStyle name="Normal 3 7 4 3 3" xfId="30479" xr:uid="{00000000-0005-0000-0000-000062540000}"/>
    <cellStyle name="Normal 3 7 4 4" xfId="21333" xr:uid="{00000000-0005-0000-0000-000063540000}"/>
    <cellStyle name="Normal 3 7 4 4 2" xfId="44648" xr:uid="{00000000-0005-0000-0000-000064540000}"/>
    <cellStyle name="Normal 3 7 4 5" xfId="21334" xr:uid="{00000000-0005-0000-0000-000065540000}"/>
    <cellStyle name="Normal 3 7 4 5 2" xfId="44649" xr:uid="{00000000-0005-0000-0000-000066540000}"/>
    <cellStyle name="Normal 3 7 4 6" xfId="21335" xr:uid="{00000000-0005-0000-0000-000067540000}"/>
    <cellStyle name="Normal 3 7 4 6 2" xfId="44650" xr:uid="{00000000-0005-0000-0000-000068540000}"/>
    <cellStyle name="Normal 3 7 4 7" xfId="30476" xr:uid="{00000000-0005-0000-0000-000069540000}"/>
    <cellStyle name="Normal 3 7 5" xfId="6986" xr:uid="{00000000-0005-0000-0000-00006A540000}"/>
    <cellStyle name="Normal 3 7 5 2" xfId="6987" xr:uid="{00000000-0005-0000-0000-00006B540000}"/>
    <cellStyle name="Normal 3 7 5 2 2" xfId="30481" xr:uid="{00000000-0005-0000-0000-00006C540000}"/>
    <cellStyle name="Normal 3 7 5 3" xfId="21336" xr:uid="{00000000-0005-0000-0000-00006D540000}"/>
    <cellStyle name="Normal 3 7 5 3 2" xfId="44651" xr:uid="{00000000-0005-0000-0000-00006E540000}"/>
    <cellStyle name="Normal 3 7 5 4" xfId="30480" xr:uid="{00000000-0005-0000-0000-00006F540000}"/>
    <cellStyle name="Normal 3 7 6" xfId="6988" xr:uid="{00000000-0005-0000-0000-000070540000}"/>
    <cellStyle name="Normal 3 7 6 2" xfId="21337" xr:uid="{00000000-0005-0000-0000-000071540000}"/>
    <cellStyle name="Normal 3 7 6 2 2" xfId="44652" xr:uid="{00000000-0005-0000-0000-000072540000}"/>
    <cellStyle name="Normal 3 7 6 3" xfId="30482" xr:uid="{00000000-0005-0000-0000-000073540000}"/>
    <cellStyle name="Normal 3 7 7" xfId="21338" xr:uid="{00000000-0005-0000-0000-000074540000}"/>
    <cellStyle name="Normal 3 7 7 2" xfId="44653" xr:uid="{00000000-0005-0000-0000-000075540000}"/>
    <cellStyle name="Normal 3 7 8" xfId="21339" xr:uid="{00000000-0005-0000-0000-000076540000}"/>
    <cellStyle name="Normal 3 7 8 2" xfId="44654" xr:uid="{00000000-0005-0000-0000-000077540000}"/>
    <cellStyle name="Normal 3 7 9" xfId="21340" xr:uid="{00000000-0005-0000-0000-000078540000}"/>
    <cellStyle name="Normal 3 7 9 2" xfId="44655" xr:uid="{00000000-0005-0000-0000-000079540000}"/>
    <cellStyle name="Normal 3 8" xfId="6989" xr:uid="{00000000-0005-0000-0000-00007A540000}"/>
    <cellStyle name="Normal 3 8 10" xfId="30483" xr:uid="{00000000-0005-0000-0000-00007B540000}"/>
    <cellStyle name="Normal 3 8 2" xfId="6990" xr:uid="{00000000-0005-0000-0000-00007C540000}"/>
    <cellStyle name="Normal 3 8 2 2" xfId="6991" xr:uid="{00000000-0005-0000-0000-00007D540000}"/>
    <cellStyle name="Normal 3 8 2 2 2" xfId="6992" xr:uid="{00000000-0005-0000-0000-00007E540000}"/>
    <cellStyle name="Normal 3 8 2 2 2 2" xfId="6993" xr:uid="{00000000-0005-0000-0000-00007F540000}"/>
    <cellStyle name="Normal 3 8 2 2 2 2 2" xfId="30487" xr:uid="{00000000-0005-0000-0000-000080540000}"/>
    <cellStyle name="Normal 3 8 2 2 2 3" xfId="21341" xr:uid="{00000000-0005-0000-0000-000081540000}"/>
    <cellStyle name="Normal 3 8 2 2 2 3 2" xfId="44656" xr:uid="{00000000-0005-0000-0000-000082540000}"/>
    <cellStyle name="Normal 3 8 2 2 2 4" xfId="30486" xr:uid="{00000000-0005-0000-0000-000083540000}"/>
    <cellStyle name="Normal 3 8 2 2 3" xfId="6994" xr:uid="{00000000-0005-0000-0000-000084540000}"/>
    <cellStyle name="Normal 3 8 2 2 3 2" xfId="21342" xr:uid="{00000000-0005-0000-0000-000085540000}"/>
    <cellStyle name="Normal 3 8 2 2 3 2 2" xfId="44657" xr:uid="{00000000-0005-0000-0000-000086540000}"/>
    <cellStyle name="Normal 3 8 2 2 3 3" xfId="30488" xr:uid="{00000000-0005-0000-0000-000087540000}"/>
    <cellStyle name="Normal 3 8 2 2 4" xfId="21343" xr:uid="{00000000-0005-0000-0000-000088540000}"/>
    <cellStyle name="Normal 3 8 2 2 4 2" xfId="44658" xr:uid="{00000000-0005-0000-0000-000089540000}"/>
    <cellStyle name="Normal 3 8 2 2 5" xfId="21344" xr:uid="{00000000-0005-0000-0000-00008A540000}"/>
    <cellStyle name="Normal 3 8 2 2 5 2" xfId="44659" xr:uid="{00000000-0005-0000-0000-00008B540000}"/>
    <cellStyle name="Normal 3 8 2 2 6" xfId="21345" xr:uid="{00000000-0005-0000-0000-00008C540000}"/>
    <cellStyle name="Normal 3 8 2 2 6 2" xfId="44660" xr:uid="{00000000-0005-0000-0000-00008D540000}"/>
    <cellStyle name="Normal 3 8 2 2 7" xfId="30485" xr:uid="{00000000-0005-0000-0000-00008E540000}"/>
    <cellStyle name="Normal 3 8 2 3" xfId="6995" xr:uid="{00000000-0005-0000-0000-00008F540000}"/>
    <cellStyle name="Normal 3 8 2 3 2" xfId="6996" xr:uid="{00000000-0005-0000-0000-000090540000}"/>
    <cellStyle name="Normal 3 8 2 3 2 2" xfId="30490" xr:uid="{00000000-0005-0000-0000-000091540000}"/>
    <cellStyle name="Normal 3 8 2 3 3" xfId="21346" xr:uid="{00000000-0005-0000-0000-000092540000}"/>
    <cellStyle name="Normal 3 8 2 3 3 2" xfId="44661" xr:uid="{00000000-0005-0000-0000-000093540000}"/>
    <cellStyle name="Normal 3 8 2 3 4" xfId="30489" xr:uid="{00000000-0005-0000-0000-000094540000}"/>
    <cellStyle name="Normal 3 8 2 4" xfId="6997" xr:uid="{00000000-0005-0000-0000-000095540000}"/>
    <cellStyle name="Normal 3 8 2 4 2" xfId="21347" xr:uid="{00000000-0005-0000-0000-000096540000}"/>
    <cellStyle name="Normal 3 8 2 4 2 2" xfId="44662" xr:uid="{00000000-0005-0000-0000-000097540000}"/>
    <cellStyle name="Normal 3 8 2 4 3" xfId="30491" xr:uid="{00000000-0005-0000-0000-000098540000}"/>
    <cellStyle name="Normal 3 8 2 5" xfId="21348" xr:uid="{00000000-0005-0000-0000-000099540000}"/>
    <cellStyle name="Normal 3 8 2 5 2" xfId="44663" xr:uid="{00000000-0005-0000-0000-00009A540000}"/>
    <cellStyle name="Normal 3 8 2 6" xfId="21349" xr:uid="{00000000-0005-0000-0000-00009B540000}"/>
    <cellStyle name="Normal 3 8 2 6 2" xfId="44664" xr:uid="{00000000-0005-0000-0000-00009C540000}"/>
    <cellStyle name="Normal 3 8 2 7" xfId="21350" xr:uid="{00000000-0005-0000-0000-00009D540000}"/>
    <cellStyle name="Normal 3 8 2 7 2" xfId="44665" xr:uid="{00000000-0005-0000-0000-00009E540000}"/>
    <cellStyle name="Normal 3 8 2 8" xfId="30484" xr:uid="{00000000-0005-0000-0000-00009F540000}"/>
    <cellStyle name="Normal 3 8 3" xfId="6998" xr:uid="{00000000-0005-0000-0000-0000A0540000}"/>
    <cellStyle name="Normal 3 8 3 2" xfId="6999" xr:uid="{00000000-0005-0000-0000-0000A1540000}"/>
    <cellStyle name="Normal 3 8 3 2 2" xfId="7000" xr:uid="{00000000-0005-0000-0000-0000A2540000}"/>
    <cellStyle name="Normal 3 8 3 2 2 2" xfId="7001" xr:uid="{00000000-0005-0000-0000-0000A3540000}"/>
    <cellStyle name="Normal 3 8 3 2 2 2 2" xfId="30495" xr:uid="{00000000-0005-0000-0000-0000A4540000}"/>
    <cellStyle name="Normal 3 8 3 2 2 3" xfId="21351" xr:uid="{00000000-0005-0000-0000-0000A5540000}"/>
    <cellStyle name="Normal 3 8 3 2 2 3 2" xfId="44666" xr:uid="{00000000-0005-0000-0000-0000A6540000}"/>
    <cellStyle name="Normal 3 8 3 2 2 4" xfId="30494" xr:uid="{00000000-0005-0000-0000-0000A7540000}"/>
    <cellStyle name="Normal 3 8 3 2 3" xfId="7002" xr:uid="{00000000-0005-0000-0000-0000A8540000}"/>
    <cellStyle name="Normal 3 8 3 2 3 2" xfId="21352" xr:uid="{00000000-0005-0000-0000-0000A9540000}"/>
    <cellStyle name="Normal 3 8 3 2 3 2 2" xfId="44667" xr:uid="{00000000-0005-0000-0000-0000AA540000}"/>
    <cellStyle name="Normal 3 8 3 2 3 3" xfId="30496" xr:uid="{00000000-0005-0000-0000-0000AB540000}"/>
    <cellStyle name="Normal 3 8 3 2 4" xfId="21353" xr:uid="{00000000-0005-0000-0000-0000AC540000}"/>
    <cellStyle name="Normal 3 8 3 2 4 2" xfId="44668" xr:uid="{00000000-0005-0000-0000-0000AD540000}"/>
    <cellStyle name="Normal 3 8 3 2 5" xfId="21354" xr:uid="{00000000-0005-0000-0000-0000AE540000}"/>
    <cellStyle name="Normal 3 8 3 2 5 2" xfId="44669" xr:uid="{00000000-0005-0000-0000-0000AF540000}"/>
    <cellStyle name="Normal 3 8 3 2 6" xfId="21355" xr:uid="{00000000-0005-0000-0000-0000B0540000}"/>
    <cellStyle name="Normal 3 8 3 2 6 2" xfId="44670" xr:uid="{00000000-0005-0000-0000-0000B1540000}"/>
    <cellStyle name="Normal 3 8 3 2 7" xfId="30493" xr:uid="{00000000-0005-0000-0000-0000B2540000}"/>
    <cellStyle name="Normal 3 8 3 3" xfId="7003" xr:uid="{00000000-0005-0000-0000-0000B3540000}"/>
    <cellStyle name="Normal 3 8 3 3 2" xfId="7004" xr:uid="{00000000-0005-0000-0000-0000B4540000}"/>
    <cellStyle name="Normal 3 8 3 3 2 2" xfId="30498" xr:uid="{00000000-0005-0000-0000-0000B5540000}"/>
    <cellStyle name="Normal 3 8 3 3 3" xfId="21356" xr:uid="{00000000-0005-0000-0000-0000B6540000}"/>
    <cellStyle name="Normal 3 8 3 3 3 2" xfId="44671" xr:uid="{00000000-0005-0000-0000-0000B7540000}"/>
    <cellStyle name="Normal 3 8 3 3 4" xfId="30497" xr:uid="{00000000-0005-0000-0000-0000B8540000}"/>
    <cellStyle name="Normal 3 8 3 4" xfId="7005" xr:uid="{00000000-0005-0000-0000-0000B9540000}"/>
    <cellStyle name="Normal 3 8 3 4 2" xfId="21357" xr:uid="{00000000-0005-0000-0000-0000BA540000}"/>
    <cellStyle name="Normal 3 8 3 4 2 2" xfId="44672" xr:uid="{00000000-0005-0000-0000-0000BB540000}"/>
    <cellStyle name="Normal 3 8 3 4 3" xfId="30499" xr:uid="{00000000-0005-0000-0000-0000BC540000}"/>
    <cellStyle name="Normal 3 8 3 5" xfId="21358" xr:uid="{00000000-0005-0000-0000-0000BD540000}"/>
    <cellStyle name="Normal 3 8 3 5 2" xfId="44673" xr:uid="{00000000-0005-0000-0000-0000BE540000}"/>
    <cellStyle name="Normal 3 8 3 6" xfId="21359" xr:uid="{00000000-0005-0000-0000-0000BF540000}"/>
    <cellStyle name="Normal 3 8 3 6 2" xfId="44674" xr:uid="{00000000-0005-0000-0000-0000C0540000}"/>
    <cellStyle name="Normal 3 8 3 7" xfId="21360" xr:uid="{00000000-0005-0000-0000-0000C1540000}"/>
    <cellStyle name="Normal 3 8 3 7 2" xfId="44675" xr:uid="{00000000-0005-0000-0000-0000C2540000}"/>
    <cellStyle name="Normal 3 8 3 8" xfId="30492" xr:uid="{00000000-0005-0000-0000-0000C3540000}"/>
    <cellStyle name="Normal 3 8 4" xfId="7006" xr:uid="{00000000-0005-0000-0000-0000C4540000}"/>
    <cellStyle name="Normal 3 8 4 2" xfId="7007" xr:uid="{00000000-0005-0000-0000-0000C5540000}"/>
    <cellStyle name="Normal 3 8 4 2 2" xfId="7008" xr:uid="{00000000-0005-0000-0000-0000C6540000}"/>
    <cellStyle name="Normal 3 8 4 2 2 2" xfId="30502" xr:uid="{00000000-0005-0000-0000-0000C7540000}"/>
    <cellStyle name="Normal 3 8 4 2 3" xfId="21361" xr:uid="{00000000-0005-0000-0000-0000C8540000}"/>
    <cellStyle name="Normal 3 8 4 2 3 2" xfId="44676" xr:uid="{00000000-0005-0000-0000-0000C9540000}"/>
    <cellStyle name="Normal 3 8 4 2 4" xfId="30501" xr:uid="{00000000-0005-0000-0000-0000CA540000}"/>
    <cellStyle name="Normal 3 8 4 3" xfId="7009" xr:uid="{00000000-0005-0000-0000-0000CB540000}"/>
    <cellStyle name="Normal 3 8 4 3 2" xfId="21362" xr:uid="{00000000-0005-0000-0000-0000CC540000}"/>
    <cellStyle name="Normal 3 8 4 3 2 2" xfId="44677" xr:uid="{00000000-0005-0000-0000-0000CD540000}"/>
    <cellStyle name="Normal 3 8 4 3 3" xfId="30503" xr:uid="{00000000-0005-0000-0000-0000CE540000}"/>
    <cellStyle name="Normal 3 8 4 4" xfId="21363" xr:uid="{00000000-0005-0000-0000-0000CF540000}"/>
    <cellStyle name="Normal 3 8 4 4 2" xfId="44678" xr:uid="{00000000-0005-0000-0000-0000D0540000}"/>
    <cellStyle name="Normal 3 8 4 5" xfId="21364" xr:uid="{00000000-0005-0000-0000-0000D1540000}"/>
    <cellStyle name="Normal 3 8 4 5 2" xfId="44679" xr:uid="{00000000-0005-0000-0000-0000D2540000}"/>
    <cellStyle name="Normal 3 8 4 6" xfId="21365" xr:uid="{00000000-0005-0000-0000-0000D3540000}"/>
    <cellStyle name="Normal 3 8 4 6 2" xfId="44680" xr:uid="{00000000-0005-0000-0000-0000D4540000}"/>
    <cellStyle name="Normal 3 8 4 7" xfId="30500" xr:uid="{00000000-0005-0000-0000-0000D5540000}"/>
    <cellStyle name="Normal 3 8 5" xfId="7010" xr:uid="{00000000-0005-0000-0000-0000D6540000}"/>
    <cellStyle name="Normal 3 8 5 2" xfId="7011" xr:uid="{00000000-0005-0000-0000-0000D7540000}"/>
    <cellStyle name="Normal 3 8 5 2 2" xfId="30505" xr:uid="{00000000-0005-0000-0000-0000D8540000}"/>
    <cellStyle name="Normal 3 8 5 3" xfId="21366" xr:uid="{00000000-0005-0000-0000-0000D9540000}"/>
    <cellStyle name="Normal 3 8 5 3 2" xfId="44681" xr:uid="{00000000-0005-0000-0000-0000DA540000}"/>
    <cellStyle name="Normal 3 8 5 4" xfId="30504" xr:uid="{00000000-0005-0000-0000-0000DB540000}"/>
    <cellStyle name="Normal 3 8 6" xfId="7012" xr:uid="{00000000-0005-0000-0000-0000DC540000}"/>
    <cellStyle name="Normal 3 8 6 2" xfId="21367" xr:uid="{00000000-0005-0000-0000-0000DD540000}"/>
    <cellStyle name="Normal 3 8 6 2 2" xfId="44682" xr:uid="{00000000-0005-0000-0000-0000DE540000}"/>
    <cellStyle name="Normal 3 8 6 3" xfId="30506" xr:uid="{00000000-0005-0000-0000-0000DF540000}"/>
    <cellStyle name="Normal 3 8 7" xfId="21368" xr:uid="{00000000-0005-0000-0000-0000E0540000}"/>
    <cellStyle name="Normal 3 8 7 2" xfId="44683" xr:uid="{00000000-0005-0000-0000-0000E1540000}"/>
    <cellStyle name="Normal 3 8 8" xfId="21369" xr:uid="{00000000-0005-0000-0000-0000E2540000}"/>
    <cellStyle name="Normal 3 8 8 2" xfId="44684" xr:uid="{00000000-0005-0000-0000-0000E3540000}"/>
    <cellStyle name="Normal 3 8 9" xfId="21370" xr:uid="{00000000-0005-0000-0000-0000E4540000}"/>
    <cellStyle name="Normal 3 8 9 2" xfId="44685" xr:uid="{00000000-0005-0000-0000-0000E5540000}"/>
    <cellStyle name="Normal 3 9" xfId="7013" xr:uid="{00000000-0005-0000-0000-0000E6540000}"/>
    <cellStyle name="Normal 3 9 2" xfId="7014" xr:uid="{00000000-0005-0000-0000-0000E7540000}"/>
    <cellStyle name="Normal 3 9 2 2" xfId="21371" xr:uid="{00000000-0005-0000-0000-0000E8540000}"/>
    <cellStyle name="Normal 3 9 2 2 2" xfId="21372" xr:uid="{00000000-0005-0000-0000-0000E9540000}"/>
    <cellStyle name="Normal 3 9 2 2 2 2" xfId="44687" xr:uid="{00000000-0005-0000-0000-0000EA540000}"/>
    <cellStyle name="Normal 3 9 2 2 3" xfId="21373" xr:uid="{00000000-0005-0000-0000-0000EB540000}"/>
    <cellStyle name="Normal 3 9 2 2 3 2" xfId="44688" xr:uid="{00000000-0005-0000-0000-0000EC540000}"/>
    <cellStyle name="Normal 3 9 2 2 4" xfId="44686" xr:uid="{00000000-0005-0000-0000-0000ED540000}"/>
    <cellStyle name="Normal 3 9 2 3" xfId="21374" xr:uid="{00000000-0005-0000-0000-0000EE540000}"/>
    <cellStyle name="Normal 3 9 2 3 2" xfId="21375" xr:uid="{00000000-0005-0000-0000-0000EF540000}"/>
    <cellStyle name="Normal 3 9 2 3 2 2" xfId="44690" xr:uid="{00000000-0005-0000-0000-0000F0540000}"/>
    <cellStyle name="Normal 3 9 2 3 3" xfId="44689" xr:uid="{00000000-0005-0000-0000-0000F1540000}"/>
    <cellStyle name="Normal 3 9 2 4" xfId="21376" xr:uid="{00000000-0005-0000-0000-0000F2540000}"/>
    <cellStyle name="Normal 3 9 2 4 2" xfId="44691" xr:uid="{00000000-0005-0000-0000-0000F3540000}"/>
    <cellStyle name="Normal 3 9 2 5" xfId="21377" xr:uid="{00000000-0005-0000-0000-0000F4540000}"/>
    <cellStyle name="Normal 3 9 2 5 2" xfId="44692" xr:uid="{00000000-0005-0000-0000-0000F5540000}"/>
    <cellStyle name="Normal 3 9 2 6" xfId="21378" xr:uid="{00000000-0005-0000-0000-0000F6540000}"/>
    <cellStyle name="Normal 3 9 2 6 2" xfId="44693" xr:uid="{00000000-0005-0000-0000-0000F7540000}"/>
    <cellStyle name="Normal 3 9 2 7" xfId="30508" xr:uid="{00000000-0005-0000-0000-0000F8540000}"/>
    <cellStyle name="Normal 3 9 3" xfId="21379" xr:uid="{00000000-0005-0000-0000-0000F9540000}"/>
    <cellStyle name="Normal 3 9 3 2" xfId="21380" xr:uid="{00000000-0005-0000-0000-0000FA540000}"/>
    <cellStyle name="Normal 3 9 3 2 2" xfId="44695" xr:uid="{00000000-0005-0000-0000-0000FB540000}"/>
    <cellStyle name="Normal 3 9 3 3" xfId="21381" xr:uid="{00000000-0005-0000-0000-0000FC540000}"/>
    <cellStyle name="Normal 3 9 3 3 2" xfId="44696" xr:uid="{00000000-0005-0000-0000-0000FD540000}"/>
    <cellStyle name="Normal 3 9 3 4" xfId="44694" xr:uid="{00000000-0005-0000-0000-0000FE540000}"/>
    <cellStyle name="Normal 3 9 4" xfId="21382" xr:uid="{00000000-0005-0000-0000-0000FF540000}"/>
    <cellStyle name="Normal 3 9 4 2" xfId="21383" xr:uid="{00000000-0005-0000-0000-000000550000}"/>
    <cellStyle name="Normal 3 9 4 2 2" xfId="44698" xr:uid="{00000000-0005-0000-0000-000001550000}"/>
    <cellStyle name="Normal 3 9 4 3" xfId="44697" xr:uid="{00000000-0005-0000-0000-000002550000}"/>
    <cellStyle name="Normal 3 9 5" xfId="21384" xr:uid="{00000000-0005-0000-0000-000003550000}"/>
    <cellStyle name="Normal 3 9 5 2" xfId="44699" xr:uid="{00000000-0005-0000-0000-000004550000}"/>
    <cellStyle name="Normal 3 9 6" xfId="21385" xr:uid="{00000000-0005-0000-0000-000005550000}"/>
    <cellStyle name="Normal 3 9 6 2" xfId="44700" xr:uid="{00000000-0005-0000-0000-000006550000}"/>
    <cellStyle name="Normal 3 9 7" xfId="21386" xr:uid="{00000000-0005-0000-0000-000007550000}"/>
    <cellStyle name="Normal 3 9 7 2" xfId="44701" xr:uid="{00000000-0005-0000-0000-000008550000}"/>
    <cellStyle name="Normal 3 9 8" xfId="30507" xr:uid="{00000000-0005-0000-0000-000009550000}"/>
    <cellStyle name="Normal 30" xfId="23618" xr:uid="{00000000-0005-0000-0000-00000A550000}"/>
    <cellStyle name="Normal 31" xfId="23622" xr:uid="{00000000-0005-0000-0000-00000B550000}"/>
    <cellStyle name="Normal 32" xfId="23620" xr:uid="{00000000-0005-0000-0000-00000C550000}"/>
    <cellStyle name="Normal 4" xfId="18" xr:uid="{00000000-0005-0000-0000-00000D550000}"/>
    <cellStyle name="Normal 4 10" xfId="7015" xr:uid="{00000000-0005-0000-0000-00000E550000}"/>
    <cellStyle name="Normal 4 10 2" xfId="7016" xr:uid="{00000000-0005-0000-0000-00000F550000}"/>
    <cellStyle name="Normal 4 10 2 2" xfId="7017" xr:uid="{00000000-0005-0000-0000-000010550000}"/>
    <cellStyle name="Normal 4 10 2 2 2" xfId="7018" xr:uid="{00000000-0005-0000-0000-000011550000}"/>
    <cellStyle name="Normal 4 10 2 2 2 2" xfId="7019" xr:uid="{00000000-0005-0000-0000-000012550000}"/>
    <cellStyle name="Normal 4 10 2 2 2 2 2" xfId="30513" xr:uid="{00000000-0005-0000-0000-000013550000}"/>
    <cellStyle name="Normal 4 10 2 2 2 3" xfId="30512" xr:uid="{00000000-0005-0000-0000-000014550000}"/>
    <cellStyle name="Normal 4 10 2 2 3" xfId="7020" xr:uid="{00000000-0005-0000-0000-000015550000}"/>
    <cellStyle name="Normal 4 10 2 2 3 2" xfId="30514" xr:uid="{00000000-0005-0000-0000-000016550000}"/>
    <cellStyle name="Normal 4 10 2 2 4" xfId="30511" xr:uid="{00000000-0005-0000-0000-000017550000}"/>
    <cellStyle name="Normal 4 10 2 3" xfId="7021" xr:uid="{00000000-0005-0000-0000-000018550000}"/>
    <cellStyle name="Normal 4 10 2 3 2" xfId="7022" xr:uid="{00000000-0005-0000-0000-000019550000}"/>
    <cellStyle name="Normal 4 10 2 3 2 2" xfId="30516" xr:uid="{00000000-0005-0000-0000-00001A550000}"/>
    <cellStyle name="Normal 4 10 2 3 3" xfId="30515" xr:uid="{00000000-0005-0000-0000-00001B550000}"/>
    <cellStyle name="Normal 4 10 2 4" xfId="7023" xr:uid="{00000000-0005-0000-0000-00001C550000}"/>
    <cellStyle name="Normal 4 10 2 4 2" xfId="30517" xr:uid="{00000000-0005-0000-0000-00001D550000}"/>
    <cellStyle name="Normal 4 10 2 5" xfId="30510" xr:uid="{00000000-0005-0000-0000-00001E550000}"/>
    <cellStyle name="Normal 4 10 3" xfId="7024" xr:uid="{00000000-0005-0000-0000-00001F550000}"/>
    <cellStyle name="Normal 4 10 3 2" xfId="7025" xr:uid="{00000000-0005-0000-0000-000020550000}"/>
    <cellStyle name="Normal 4 10 3 2 2" xfId="7026" xr:uid="{00000000-0005-0000-0000-000021550000}"/>
    <cellStyle name="Normal 4 10 3 2 2 2" xfId="7027" xr:uid="{00000000-0005-0000-0000-000022550000}"/>
    <cellStyle name="Normal 4 10 3 2 2 2 2" xfId="30521" xr:uid="{00000000-0005-0000-0000-000023550000}"/>
    <cellStyle name="Normal 4 10 3 2 2 3" xfId="30520" xr:uid="{00000000-0005-0000-0000-000024550000}"/>
    <cellStyle name="Normal 4 10 3 2 3" xfId="7028" xr:uid="{00000000-0005-0000-0000-000025550000}"/>
    <cellStyle name="Normal 4 10 3 2 3 2" xfId="30522" xr:uid="{00000000-0005-0000-0000-000026550000}"/>
    <cellStyle name="Normal 4 10 3 2 4" xfId="30519" xr:uid="{00000000-0005-0000-0000-000027550000}"/>
    <cellStyle name="Normal 4 10 3 3" xfId="7029" xr:uid="{00000000-0005-0000-0000-000028550000}"/>
    <cellStyle name="Normal 4 10 3 3 2" xfId="7030" xr:uid="{00000000-0005-0000-0000-000029550000}"/>
    <cellStyle name="Normal 4 10 3 3 2 2" xfId="30524" xr:uid="{00000000-0005-0000-0000-00002A550000}"/>
    <cellStyle name="Normal 4 10 3 3 3" xfId="30523" xr:uid="{00000000-0005-0000-0000-00002B550000}"/>
    <cellStyle name="Normal 4 10 3 4" xfId="7031" xr:uid="{00000000-0005-0000-0000-00002C550000}"/>
    <cellStyle name="Normal 4 10 3 4 2" xfId="30525" xr:uid="{00000000-0005-0000-0000-00002D550000}"/>
    <cellStyle name="Normal 4 10 3 5" xfId="30518" xr:uid="{00000000-0005-0000-0000-00002E550000}"/>
    <cellStyle name="Normal 4 10 4" xfId="7032" xr:uid="{00000000-0005-0000-0000-00002F550000}"/>
    <cellStyle name="Normal 4 10 4 2" xfId="7033" xr:uid="{00000000-0005-0000-0000-000030550000}"/>
    <cellStyle name="Normal 4 10 4 2 2" xfId="7034" xr:uid="{00000000-0005-0000-0000-000031550000}"/>
    <cellStyle name="Normal 4 10 4 2 2 2" xfId="30528" xr:uid="{00000000-0005-0000-0000-000032550000}"/>
    <cellStyle name="Normal 4 10 4 2 3" xfId="30527" xr:uid="{00000000-0005-0000-0000-000033550000}"/>
    <cellStyle name="Normal 4 10 4 3" xfId="7035" xr:uid="{00000000-0005-0000-0000-000034550000}"/>
    <cellStyle name="Normal 4 10 4 3 2" xfId="30529" xr:uid="{00000000-0005-0000-0000-000035550000}"/>
    <cellStyle name="Normal 4 10 4 4" xfId="30526" xr:uid="{00000000-0005-0000-0000-000036550000}"/>
    <cellStyle name="Normal 4 10 5" xfId="7036" xr:uid="{00000000-0005-0000-0000-000037550000}"/>
    <cellStyle name="Normal 4 10 5 2" xfId="7037" xr:uid="{00000000-0005-0000-0000-000038550000}"/>
    <cellStyle name="Normal 4 10 5 2 2" xfId="30531" xr:uid="{00000000-0005-0000-0000-000039550000}"/>
    <cellStyle name="Normal 4 10 5 3" xfId="30530" xr:uid="{00000000-0005-0000-0000-00003A550000}"/>
    <cellStyle name="Normal 4 10 6" xfId="7038" xr:uid="{00000000-0005-0000-0000-00003B550000}"/>
    <cellStyle name="Normal 4 10 6 2" xfId="30532" xr:uid="{00000000-0005-0000-0000-00003C550000}"/>
    <cellStyle name="Normal 4 10 7" xfId="30509" xr:uid="{00000000-0005-0000-0000-00003D550000}"/>
    <cellStyle name="Normal 4 11" xfId="7039" xr:uid="{00000000-0005-0000-0000-00003E550000}"/>
    <cellStyle name="Normal 4 11 2" xfId="7040" xr:uid="{00000000-0005-0000-0000-00003F550000}"/>
    <cellStyle name="Normal 4 11 2 2" xfId="7041" xr:uid="{00000000-0005-0000-0000-000040550000}"/>
    <cellStyle name="Normal 4 11 2 2 2" xfId="7042" xr:uid="{00000000-0005-0000-0000-000041550000}"/>
    <cellStyle name="Normal 4 11 2 2 2 2" xfId="7043" xr:uid="{00000000-0005-0000-0000-000042550000}"/>
    <cellStyle name="Normal 4 11 2 2 2 2 2" xfId="30537" xr:uid="{00000000-0005-0000-0000-000043550000}"/>
    <cellStyle name="Normal 4 11 2 2 2 3" xfId="30536" xr:uid="{00000000-0005-0000-0000-000044550000}"/>
    <cellStyle name="Normal 4 11 2 2 3" xfId="7044" xr:uid="{00000000-0005-0000-0000-000045550000}"/>
    <cellStyle name="Normal 4 11 2 2 3 2" xfId="30538" xr:uid="{00000000-0005-0000-0000-000046550000}"/>
    <cellStyle name="Normal 4 11 2 2 4" xfId="30535" xr:uid="{00000000-0005-0000-0000-000047550000}"/>
    <cellStyle name="Normal 4 11 2 3" xfId="7045" xr:uid="{00000000-0005-0000-0000-000048550000}"/>
    <cellStyle name="Normal 4 11 2 3 2" xfId="7046" xr:uid="{00000000-0005-0000-0000-000049550000}"/>
    <cellStyle name="Normal 4 11 2 3 2 2" xfId="30540" xr:uid="{00000000-0005-0000-0000-00004A550000}"/>
    <cellStyle name="Normal 4 11 2 3 3" xfId="30539" xr:uid="{00000000-0005-0000-0000-00004B550000}"/>
    <cellStyle name="Normal 4 11 2 4" xfId="7047" xr:uid="{00000000-0005-0000-0000-00004C550000}"/>
    <cellStyle name="Normal 4 11 2 4 2" xfId="30541" xr:uid="{00000000-0005-0000-0000-00004D550000}"/>
    <cellStyle name="Normal 4 11 2 5" xfId="30534" xr:uid="{00000000-0005-0000-0000-00004E550000}"/>
    <cellStyle name="Normal 4 11 3" xfId="7048" xr:uid="{00000000-0005-0000-0000-00004F550000}"/>
    <cellStyle name="Normal 4 11 3 2" xfId="7049" xr:uid="{00000000-0005-0000-0000-000050550000}"/>
    <cellStyle name="Normal 4 11 3 2 2" xfId="7050" xr:uid="{00000000-0005-0000-0000-000051550000}"/>
    <cellStyle name="Normal 4 11 3 2 2 2" xfId="7051" xr:uid="{00000000-0005-0000-0000-000052550000}"/>
    <cellStyle name="Normal 4 11 3 2 2 2 2" xfId="30545" xr:uid="{00000000-0005-0000-0000-000053550000}"/>
    <cellStyle name="Normal 4 11 3 2 2 3" xfId="30544" xr:uid="{00000000-0005-0000-0000-000054550000}"/>
    <cellStyle name="Normal 4 11 3 2 3" xfId="7052" xr:uid="{00000000-0005-0000-0000-000055550000}"/>
    <cellStyle name="Normal 4 11 3 2 3 2" xfId="30546" xr:uid="{00000000-0005-0000-0000-000056550000}"/>
    <cellStyle name="Normal 4 11 3 2 4" xfId="30543" xr:uid="{00000000-0005-0000-0000-000057550000}"/>
    <cellStyle name="Normal 4 11 3 3" xfId="7053" xr:uid="{00000000-0005-0000-0000-000058550000}"/>
    <cellStyle name="Normal 4 11 3 3 2" xfId="7054" xr:uid="{00000000-0005-0000-0000-000059550000}"/>
    <cellStyle name="Normal 4 11 3 3 2 2" xfId="30548" xr:uid="{00000000-0005-0000-0000-00005A550000}"/>
    <cellStyle name="Normal 4 11 3 3 3" xfId="30547" xr:uid="{00000000-0005-0000-0000-00005B550000}"/>
    <cellStyle name="Normal 4 11 3 4" xfId="7055" xr:uid="{00000000-0005-0000-0000-00005C550000}"/>
    <cellStyle name="Normal 4 11 3 4 2" xfId="30549" xr:uid="{00000000-0005-0000-0000-00005D550000}"/>
    <cellStyle name="Normal 4 11 3 5" xfId="30542" xr:uid="{00000000-0005-0000-0000-00005E550000}"/>
    <cellStyle name="Normal 4 11 4" xfId="7056" xr:uid="{00000000-0005-0000-0000-00005F550000}"/>
    <cellStyle name="Normal 4 11 4 2" xfId="7057" xr:uid="{00000000-0005-0000-0000-000060550000}"/>
    <cellStyle name="Normal 4 11 4 2 2" xfId="7058" xr:uid="{00000000-0005-0000-0000-000061550000}"/>
    <cellStyle name="Normal 4 11 4 2 2 2" xfId="30552" xr:uid="{00000000-0005-0000-0000-000062550000}"/>
    <cellStyle name="Normal 4 11 4 2 3" xfId="30551" xr:uid="{00000000-0005-0000-0000-000063550000}"/>
    <cellStyle name="Normal 4 11 4 3" xfId="7059" xr:uid="{00000000-0005-0000-0000-000064550000}"/>
    <cellStyle name="Normal 4 11 4 3 2" xfId="30553" xr:uid="{00000000-0005-0000-0000-000065550000}"/>
    <cellStyle name="Normal 4 11 4 4" xfId="30550" xr:uid="{00000000-0005-0000-0000-000066550000}"/>
    <cellStyle name="Normal 4 11 5" xfId="7060" xr:uid="{00000000-0005-0000-0000-000067550000}"/>
    <cellStyle name="Normal 4 11 5 2" xfId="7061" xr:uid="{00000000-0005-0000-0000-000068550000}"/>
    <cellStyle name="Normal 4 11 5 2 2" xfId="30555" xr:uid="{00000000-0005-0000-0000-000069550000}"/>
    <cellStyle name="Normal 4 11 5 3" xfId="30554" xr:uid="{00000000-0005-0000-0000-00006A550000}"/>
    <cellStyle name="Normal 4 11 6" xfId="7062" xr:uid="{00000000-0005-0000-0000-00006B550000}"/>
    <cellStyle name="Normal 4 11 6 2" xfId="30556" xr:uid="{00000000-0005-0000-0000-00006C550000}"/>
    <cellStyle name="Normal 4 11 7" xfId="30533" xr:uid="{00000000-0005-0000-0000-00006D550000}"/>
    <cellStyle name="Normal 4 12" xfId="7063" xr:uid="{00000000-0005-0000-0000-00006E550000}"/>
    <cellStyle name="Normal 4 12 2" xfId="7064" xr:uid="{00000000-0005-0000-0000-00006F550000}"/>
    <cellStyle name="Normal 4 12 2 2" xfId="7065" xr:uid="{00000000-0005-0000-0000-000070550000}"/>
    <cellStyle name="Normal 4 12 2 2 2" xfId="7066" xr:uid="{00000000-0005-0000-0000-000071550000}"/>
    <cellStyle name="Normal 4 12 2 2 2 2" xfId="7067" xr:uid="{00000000-0005-0000-0000-000072550000}"/>
    <cellStyle name="Normal 4 12 2 2 2 2 2" xfId="30561" xr:uid="{00000000-0005-0000-0000-000073550000}"/>
    <cellStyle name="Normal 4 12 2 2 2 3" xfId="30560" xr:uid="{00000000-0005-0000-0000-000074550000}"/>
    <cellStyle name="Normal 4 12 2 2 3" xfId="7068" xr:uid="{00000000-0005-0000-0000-000075550000}"/>
    <cellStyle name="Normal 4 12 2 2 3 2" xfId="30562" xr:uid="{00000000-0005-0000-0000-000076550000}"/>
    <cellStyle name="Normal 4 12 2 2 4" xfId="30559" xr:uid="{00000000-0005-0000-0000-000077550000}"/>
    <cellStyle name="Normal 4 12 2 3" xfId="7069" xr:uid="{00000000-0005-0000-0000-000078550000}"/>
    <cellStyle name="Normal 4 12 2 3 2" xfId="7070" xr:uid="{00000000-0005-0000-0000-000079550000}"/>
    <cellStyle name="Normal 4 12 2 3 2 2" xfId="30564" xr:uid="{00000000-0005-0000-0000-00007A550000}"/>
    <cellStyle name="Normal 4 12 2 3 3" xfId="30563" xr:uid="{00000000-0005-0000-0000-00007B550000}"/>
    <cellStyle name="Normal 4 12 2 4" xfId="7071" xr:uid="{00000000-0005-0000-0000-00007C550000}"/>
    <cellStyle name="Normal 4 12 2 4 2" xfId="30565" xr:uid="{00000000-0005-0000-0000-00007D550000}"/>
    <cellStyle name="Normal 4 12 2 5" xfId="30558" xr:uid="{00000000-0005-0000-0000-00007E550000}"/>
    <cellStyle name="Normal 4 12 3" xfId="7072" xr:uid="{00000000-0005-0000-0000-00007F550000}"/>
    <cellStyle name="Normal 4 12 3 2" xfId="7073" xr:uid="{00000000-0005-0000-0000-000080550000}"/>
    <cellStyle name="Normal 4 12 3 2 2" xfId="7074" xr:uid="{00000000-0005-0000-0000-000081550000}"/>
    <cellStyle name="Normal 4 12 3 2 2 2" xfId="7075" xr:uid="{00000000-0005-0000-0000-000082550000}"/>
    <cellStyle name="Normal 4 12 3 2 2 2 2" xfId="30569" xr:uid="{00000000-0005-0000-0000-000083550000}"/>
    <cellStyle name="Normal 4 12 3 2 2 3" xfId="30568" xr:uid="{00000000-0005-0000-0000-000084550000}"/>
    <cellStyle name="Normal 4 12 3 2 3" xfId="7076" xr:uid="{00000000-0005-0000-0000-000085550000}"/>
    <cellStyle name="Normal 4 12 3 2 3 2" xfId="30570" xr:uid="{00000000-0005-0000-0000-000086550000}"/>
    <cellStyle name="Normal 4 12 3 2 4" xfId="30567" xr:uid="{00000000-0005-0000-0000-000087550000}"/>
    <cellStyle name="Normal 4 12 3 3" xfId="7077" xr:uid="{00000000-0005-0000-0000-000088550000}"/>
    <cellStyle name="Normal 4 12 3 3 2" xfId="7078" xr:uid="{00000000-0005-0000-0000-000089550000}"/>
    <cellStyle name="Normal 4 12 3 3 2 2" xfId="30572" xr:uid="{00000000-0005-0000-0000-00008A550000}"/>
    <cellStyle name="Normal 4 12 3 3 3" xfId="30571" xr:uid="{00000000-0005-0000-0000-00008B550000}"/>
    <cellStyle name="Normal 4 12 3 4" xfId="7079" xr:uid="{00000000-0005-0000-0000-00008C550000}"/>
    <cellStyle name="Normal 4 12 3 4 2" xfId="30573" xr:uid="{00000000-0005-0000-0000-00008D550000}"/>
    <cellStyle name="Normal 4 12 3 5" xfId="30566" xr:uid="{00000000-0005-0000-0000-00008E550000}"/>
    <cellStyle name="Normal 4 12 4" xfId="7080" xr:uid="{00000000-0005-0000-0000-00008F550000}"/>
    <cellStyle name="Normal 4 12 4 2" xfId="7081" xr:uid="{00000000-0005-0000-0000-000090550000}"/>
    <cellStyle name="Normal 4 12 4 2 2" xfId="7082" xr:uid="{00000000-0005-0000-0000-000091550000}"/>
    <cellStyle name="Normal 4 12 4 2 2 2" xfId="30576" xr:uid="{00000000-0005-0000-0000-000092550000}"/>
    <cellStyle name="Normal 4 12 4 2 3" xfId="30575" xr:uid="{00000000-0005-0000-0000-000093550000}"/>
    <cellStyle name="Normal 4 12 4 3" xfId="7083" xr:uid="{00000000-0005-0000-0000-000094550000}"/>
    <cellStyle name="Normal 4 12 4 3 2" xfId="30577" xr:uid="{00000000-0005-0000-0000-000095550000}"/>
    <cellStyle name="Normal 4 12 4 4" xfId="30574" xr:uid="{00000000-0005-0000-0000-000096550000}"/>
    <cellStyle name="Normal 4 12 5" xfId="7084" xr:uid="{00000000-0005-0000-0000-000097550000}"/>
    <cellStyle name="Normal 4 12 5 2" xfId="7085" xr:uid="{00000000-0005-0000-0000-000098550000}"/>
    <cellStyle name="Normal 4 12 5 2 2" xfId="30579" xr:uid="{00000000-0005-0000-0000-000099550000}"/>
    <cellStyle name="Normal 4 12 5 3" xfId="30578" xr:uid="{00000000-0005-0000-0000-00009A550000}"/>
    <cellStyle name="Normal 4 12 6" xfId="7086" xr:uid="{00000000-0005-0000-0000-00009B550000}"/>
    <cellStyle name="Normal 4 12 6 2" xfId="30580" xr:uid="{00000000-0005-0000-0000-00009C550000}"/>
    <cellStyle name="Normal 4 12 7" xfId="30557" xr:uid="{00000000-0005-0000-0000-00009D550000}"/>
    <cellStyle name="Normal 4 13" xfId="7087" xr:uid="{00000000-0005-0000-0000-00009E550000}"/>
    <cellStyle name="Normal 4 13 2" xfId="7088" xr:uid="{00000000-0005-0000-0000-00009F550000}"/>
    <cellStyle name="Normal 4 13 2 2" xfId="7089" xr:uid="{00000000-0005-0000-0000-0000A0550000}"/>
    <cellStyle name="Normal 4 13 2 2 2" xfId="7090" xr:uid="{00000000-0005-0000-0000-0000A1550000}"/>
    <cellStyle name="Normal 4 13 2 2 2 2" xfId="7091" xr:uid="{00000000-0005-0000-0000-0000A2550000}"/>
    <cellStyle name="Normal 4 13 2 2 2 2 2" xfId="30585" xr:uid="{00000000-0005-0000-0000-0000A3550000}"/>
    <cellStyle name="Normal 4 13 2 2 2 3" xfId="30584" xr:uid="{00000000-0005-0000-0000-0000A4550000}"/>
    <cellStyle name="Normal 4 13 2 2 3" xfId="7092" xr:uid="{00000000-0005-0000-0000-0000A5550000}"/>
    <cellStyle name="Normal 4 13 2 2 3 2" xfId="30586" xr:uid="{00000000-0005-0000-0000-0000A6550000}"/>
    <cellStyle name="Normal 4 13 2 2 4" xfId="30583" xr:uid="{00000000-0005-0000-0000-0000A7550000}"/>
    <cellStyle name="Normal 4 13 2 3" xfId="7093" xr:uid="{00000000-0005-0000-0000-0000A8550000}"/>
    <cellStyle name="Normal 4 13 2 3 2" xfId="7094" xr:uid="{00000000-0005-0000-0000-0000A9550000}"/>
    <cellStyle name="Normal 4 13 2 3 2 2" xfId="30588" xr:uid="{00000000-0005-0000-0000-0000AA550000}"/>
    <cellStyle name="Normal 4 13 2 3 3" xfId="30587" xr:uid="{00000000-0005-0000-0000-0000AB550000}"/>
    <cellStyle name="Normal 4 13 2 4" xfId="7095" xr:uid="{00000000-0005-0000-0000-0000AC550000}"/>
    <cellStyle name="Normal 4 13 2 4 2" xfId="30589" xr:uid="{00000000-0005-0000-0000-0000AD550000}"/>
    <cellStyle name="Normal 4 13 2 5" xfId="30582" xr:uid="{00000000-0005-0000-0000-0000AE550000}"/>
    <cellStyle name="Normal 4 13 3" xfId="7096" xr:uid="{00000000-0005-0000-0000-0000AF550000}"/>
    <cellStyle name="Normal 4 13 3 2" xfId="7097" xr:uid="{00000000-0005-0000-0000-0000B0550000}"/>
    <cellStyle name="Normal 4 13 3 2 2" xfId="7098" xr:uid="{00000000-0005-0000-0000-0000B1550000}"/>
    <cellStyle name="Normal 4 13 3 2 2 2" xfId="7099" xr:uid="{00000000-0005-0000-0000-0000B2550000}"/>
    <cellStyle name="Normal 4 13 3 2 2 2 2" xfId="30593" xr:uid="{00000000-0005-0000-0000-0000B3550000}"/>
    <cellStyle name="Normal 4 13 3 2 2 3" xfId="30592" xr:uid="{00000000-0005-0000-0000-0000B4550000}"/>
    <cellStyle name="Normal 4 13 3 2 3" xfId="7100" xr:uid="{00000000-0005-0000-0000-0000B5550000}"/>
    <cellStyle name="Normal 4 13 3 2 3 2" xfId="30594" xr:uid="{00000000-0005-0000-0000-0000B6550000}"/>
    <cellStyle name="Normal 4 13 3 2 4" xfId="30591" xr:uid="{00000000-0005-0000-0000-0000B7550000}"/>
    <cellStyle name="Normal 4 13 3 3" xfId="7101" xr:uid="{00000000-0005-0000-0000-0000B8550000}"/>
    <cellStyle name="Normal 4 13 3 3 2" xfId="7102" xr:uid="{00000000-0005-0000-0000-0000B9550000}"/>
    <cellStyle name="Normal 4 13 3 3 2 2" xfId="30596" xr:uid="{00000000-0005-0000-0000-0000BA550000}"/>
    <cellStyle name="Normal 4 13 3 3 3" xfId="30595" xr:uid="{00000000-0005-0000-0000-0000BB550000}"/>
    <cellStyle name="Normal 4 13 3 4" xfId="7103" xr:uid="{00000000-0005-0000-0000-0000BC550000}"/>
    <cellStyle name="Normal 4 13 3 4 2" xfId="30597" xr:uid="{00000000-0005-0000-0000-0000BD550000}"/>
    <cellStyle name="Normal 4 13 3 5" xfId="30590" xr:uid="{00000000-0005-0000-0000-0000BE550000}"/>
    <cellStyle name="Normal 4 13 4" xfId="7104" xr:uid="{00000000-0005-0000-0000-0000BF550000}"/>
    <cellStyle name="Normal 4 13 4 2" xfId="7105" xr:uid="{00000000-0005-0000-0000-0000C0550000}"/>
    <cellStyle name="Normal 4 13 4 2 2" xfId="7106" xr:uid="{00000000-0005-0000-0000-0000C1550000}"/>
    <cellStyle name="Normal 4 13 4 2 2 2" xfId="30600" xr:uid="{00000000-0005-0000-0000-0000C2550000}"/>
    <cellStyle name="Normal 4 13 4 2 3" xfId="30599" xr:uid="{00000000-0005-0000-0000-0000C3550000}"/>
    <cellStyle name="Normal 4 13 4 3" xfId="7107" xr:uid="{00000000-0005-0000-0000-0000C4550000}"/>
    <cellStyle name="Normal 4 13 4 3 2" xfId="30601" xr:uid="{00000000-0005-0000-0000-0000C5550000}"/>
    <cellStyle name="Normal 4 13 4 4" xfId="30598" xr:uid="{00000000-0005-0000-0000-0000C6550000}"/>
    <cellStyle name="Normal 4 13 5" xfId="7108" xr:uid="{00000000-0005-0000-0000-0000C7550000}"/>
    <cellStyle name="Normal 4 13 5 2" xfId="7109" xr:uid="{00000000-0005-0000-0000-0000C8550000}"/>
    <cellStyle name="Normal 4 13 5 2 2" xfId="30603" xr:uid="{00000000-0005-0000-0000-0000C9550000}"/>
    <cellStyle name="Normal 4 13 5 3" xfId="30602" xr:uid="{00000000-0005-0000-0000-0000CA550000}"/>
    <cellStyle name="Normal 4 13 6" xfId="7110" xr:uid="{00000000-0005-0000-0000-0000CB550000}"/>
    <cellStyle name="Normal 4 13 6 2" xfId="30604" xr:uid="{00000000-0005-0000-0000-0000CC550000}"/>
    <cellStyle name="Normal 4 13 7" xfId="30581" xr:uid="{00000000-0005-0000-0000-0000CD550000}"/>
    <cellStyle name="Normal 4 14" xfId="7111" xr:uid="{00000000-0005-0000-0000-0000CE550000}"/>
    <cellStyle name="Normal 4 14 2" xfId="7112" xr:uid="{00000000-0005-0000-0000-0000CF550000}"/>
    <cellStyle name="Normal 4 14 2 2" xfId="7113" xr:uid="{00000000-0005-0000-0000-0000D0550000}"/>
    <cellStyle name="Normal 4 14 2 2 2" xfId="7114" xr:uid="{00000000-0005-0000-0000-0000D1550000}"/>
    <cellStyle name="Normal 4 14 2 2 2 2" xfId="30608" xr:uid="{00000000-0005-0000-0000-0000D2550000}"/>
    <cellStyle name="Normal 4 14 2 2 3" xfId="30607" xr:uid="{00000000-0005-0000-0000-0000D3550000}"/>
    <cellStyle name="Normal 4 14 2 3" xfId="7115" xr:uid="{00000000-0005-0000-0000-0000D4550000}"/>
    <cellStyle name="Normal 4 14 2 3 2" xfId="30609" xr:uid="{00000000-0005-0000-0000-0000D5550000}"/>
    <cellStyle name="Normal 4 14 2 4" xfId="30606" xr:uid="{00000000-0005-0000-0000-0000D6550000}"/>
    <cellStyle name="Normal 4 14 3" xfId="7116" xr:uid="{00000000-0005-0000-0000-0000D7550000}"/>
    <cellStyle name="Normal 4 14 3 2" xfId="7117" xr:uid="{00000000-0005-0000-0000-0000D8550000}"/>
    <cellStyle name="Normal 4 14 3 2 2" xfId="30611" xr:uid="{00000000-0005-0000-0000-0000D9550000}"/>
    <cellStyle name="Normal 4 14 3 3" xfId="30610" xr:uid="{00000000-0005-0000-0000-0000DA550000}"/>
    <cellStyle name="Normal 4 14 4" xfId="7118" xr:uid="{00000000-0005-0000-0000-0000DB550000}"/>
    <cellStyle name="Normal 4 14 4 2" xfId="30612" xr:uid="{00000000-0005-0000-0000-0000DC550000}"/>
    <cellStyle name="Normal 4 14 5" xfId="30605" xr:uid="{00000000-0005-0000-0000-0000DD550000}"/>
    <cellStyle name="Normal 4 15" xfId="7119" xr:uid="{00000000-0005-0000-0000-0000DE550000}"/>
    <cellStyle name="Normal 4 15 2" xfId="7120" xr:uid="{00000000-0005-0000-0000-0000DF550000}"/>
    <cellStyle name="Normal 4 15 2 2" xfId="7121" xr:uid="{00000000-0005-0000-0000-0000E0550000}"/>
    <cellStyle name="Normal 4 15 2 2 2" xfId="7122" xr:uid="{00000000-0005-0000-0000-0000E1550000}"/>
    <cellStyle name="Normal 4 15 2 2 2 2" xfId="30616" xr:uid="{00000000-0005-0000-0000-0000E2550000}"/>
    <cellStyle name="Normal 4 15 2 2 3" xfId="30615" xr:uid="{00000000-0005-0000-0000-0000E3550000}"/>
    <cellStyle name="Normal 4 15 2 3" xfId="7123" xr:uid="{00000000-0005-0000-0000-0000E4550000}"/>
    <cellStyle name="Normal 4 15 2 3 2" xfId="30617" xr:uid="{00000000-0005-0000-0000-0000E5550000}"/>
    <cellStyle name="Normal 4 15 2 4" xfId="30614" xr:uid="{00000000-0005-0000-0000-0000E6550000}"/>
    <cellStyle name="Normal 4 15 3" xfId="7124" xr:uid="{00000000-0005-0000-0000-0000E7550000}"/>
    <cellStyle name="Normal 4 15 3 2" xfId="7125" xr:uid="{00000000-0005-0000-0000-0000E8550000}"/>
    <cellStyle name="Normal 4 15 3 2 2" xfId="30619" xr:uid="{00000000-0005-0000-0000-0000E9550000}"/>
    <cellStyle name="Normal 4 15 3 3" xfId="30618" xr:uid="{00000000-0005-0000-0000-0000EA550000}"/>
    <cellStyle name="Normal 4 15 4" xfId="7126" xr:uid="{00000000-0005-0000-0000-0000EB550000}"/>
    <cellStyle name="Normal 4 15 4 2" xfId="30620" xr:uid="{00000000-0005-0000-0000-0000EC550000}"/>
    <cellStyle name="Normal 4 15 5" xfId="30613" xr:uid="{00000000-0005-0000-0000-0000ED550000}"/>
    <cellStyle name="Normal 4 16" xfId="7127" xr:uid="{00000000-0005-0000-0000-0000EE550000}"/>
    <cellStyle name="Normal 4 16 2" xfId="7128" xr:uid="{00000000-0005-0000-0000-0000EF550000}"/>
    <cellStyle name="Normal 4 16 2 2" xfId="7129" xr:uid="{00000000-0005-0000-0000-0000F0550000}"/>
    <cellStyle name="Normal 4 16 2 2 2" xfId="30623" xr:uid="{00000000-0005-0000-0000-0000F1550000}"/>
    <cellStyle name="Normal 4 16 2 3" xfId="30622" xr:uid="{00000000-0005-0000-0000-0000F2550000}"/>
    <cellStyle name="Normal 4 16 3" xfId="7130" xr:uid="{00000000-0005-0000-0000-0000F3550000}"/>
    <cellStyle name="Normal 4 16 3 2" xfId="30624" xr:uid="{00000000-0005-0000-0000-0000F4550000}"/>
    <cellStyle name="Normal 4 16 4" xfId="30621" xr:uid="{00000000-0005-0000-0000-0000F5550000}"/>
    <cellStyle name="Normal 4 17" xfId="7131" xr:uid="{00000000-0005-0000-0000-0000F6550000}"/>
    <cellStyle name="Normal 4 17 2" xfId="7132" xr:uid="{00000000-0005-0000-0000-0000F7550000}"/>
    <cellStyle name="Normal 4 17 2 2" xfId="30626" xr:uid="{00000000-0005-0000-0000-0000F8550000}"/>
    <cellStyle name="Normal 4 17 3" xfId="30625" xr:uid="{00000000-0005-0000-0000-0000F9550000}"/>
    <cellStyle name="Normal 4 18" xfId="7133" xr:uid="{00000000-0005-0000-0000-0000FA550000}"/>
    <cellStyle name="Normal 4 18 2" xfId="30627" xr:uid="{00000000-0005-0000-0000-0000FB550000}"/>
    <cellStyle name="Normal 4 2" xfId="122" xr:uid="{00000000-0005-0000-0000-0000FC550000}"/>
    <cellStyle name="Normal 4 2 10" xfId="7134" xr:uid="{00000000-0005-0000-0000-0000FD550000}"/>
    <cellStyle name="Normal 4 2 10 2" xfId="7135" xr:uid="{00000000-0005-0000-0000-0000FE550000}"/>
    <cellStyle name="Normal 4 2 10 2 2" xfId="7136" xr:uid="{00000000-0005-0000-0000-0000FF550000}"/>
    <cellStyle name="Normal 4 2 10 2 2 2" xfId="7137" xr:uid="{00000000-0005-0000-0000-000000560000}"/>
    <cellStyle name="Normal 4 2 10 2 2 2 2" xfId="7138" xr:uid="{00000000-0005-0000-0000-000001560000}"/>
    <cellStyle name="Normal 4 2 10 2 2 2 2 2" xfId="30632" xr:uid="{00000000-0005-0000-0000-000002560000}"/>
    <cellStyle name="Normal 4 2 10 2 2 2 3" xfId="30631" xr:uid="{00000000-0005-0000-0000-000003560000}"/>
    <cellStyle name="Normal 4 2 10 2 2 3" xfId="7139" xr:uid="{00000000-0005-0000-0000-000004560000}"/>
    <cellStyle name="Normal 4 2 10 2 2 3 2" xfId="30633" xr:uid="{00000000-0005-0000-0000-000005560000}"/>
    <cellStyle name="Normal 4 2 10 2 2 4" xfId="30630" xr:uid="{00000000-0005-0000-0000-000006560000}"/>
    <cellStyle name="Normal 4 2 10 2 3" xfId="7140" xr:uid="{00000000-0005-0000-0000-000007560000}"/>
    <cellStyle name="Normal 4 2 10 2 3 2" xfId="7141" xr:uid="{00000000-0005-0000-0000-000008560000}"/>
    <cellStyle name="Normal 4 2 10 2 3 2 2" xfId="30635" xr:uid="{00000000-0005-0000-0000-000009560000}"/>
    <cellStyle name="Normal 4 2 10 2 3 3" xfId="30634" xr:uid="{00000000-0005-0000-0000-00000A560000}"/>
    <cellStyle name="Normal 4 2 10 2 4" xfId="7142" xr:uid="{00000000-0005-0000-0000-00000B560000}"/>
    <cellStyle name="Normal 4 2 10 2 4 2" xfId="30636" xr:uid="{00000000-0005-0000-0000-00000C560000}"/>
    <cellStyle name="Normal 4 2 10 2 5" xfId="30629" xr:uid="{00000000-0005-0000-0000-00000D560000}"/>
    <cellStyle name="Normal 4 2 10 3" xfId="7143" xr:uid="{00000000-0005-0000-0000-00000E560000}"/>
    <cellStyle name="Normal 4 2 10 3 2" xfId="7144" xr:uid="{00000000-0005-0000-0000-00000F560000}"/>
    <cellStyle name="Normal 4 2 10 3 2 2" xfId="7145" xr:uid="{00000000-0005-0000-0000-000010560000}"/>
    <cellStyle name="Normal 4 2 10 3 2 2 2" xfId="7146" xr:uid="{00000000-0005-0000-0000-000011560000}"/>
    <cellStyle name="Normal 4 2 10 3 2 2 2 2" xfId="30640" xr:uid="{00000000-0005-0000-0000-000012560000}"/>
    <cellStyle name="Normal 4 2 10 3 2 2 3" xfId="30639" xr:uid="{00000000-0005-0000-0000-000013560000}"/>
    <cellStyle name="Normal 4 2 10 3 2 3" xfId="7147" xr:uid="{00000000-0005-0000-0000-000014560000}"/>
    <cellStyle name="Normal 4 2 10 3 2 3 2" xfId="30641" xr:uid="{00000000-0005-0000-0000-000015560000}"/>
    <cellStyle name="Normal 4 2 10 3 2 4" xfId="30638" xr:uid="{00000000-0005-0000-0000-000016560000}"/>
    <cellStyle name="Normal 4 2 10 3 3" xfId="7148" xr:uid="{00000000-0005-0000-0000-000017560000}"/>
    <cellStyle name="Normal 4 2 10 3 3 2" xfId="7149" xr:uid="{00000000-0005-0000-0000-000018560000}"/>
    <cellStyle name="Normal 4 2 10 3 3 2 2" xfId="30643" xr:uid="{00000000-0005-0000-0000-000019560000}"/>
    <cellStyle name="Normal 4 2 10 3 3 3" xfId="30642" xr:uid="{00000000-0005-0000-0000-00001A560000}"/>
    <cellStyle name="Normal 4 2 10 3 4" xfId="7150" xr:uid="{00000000-0005-0000-0000-00001B560000}"/>
    <cellStyle name="Normal 4 2 10 3 4 2" xfId="30644" xr:uid="{00000000-0005-0000-0000-00001C560000}"/>
    <cellStyle name="Normal 4 2 10 3 5" xfId="30637" xr:uid="{00000000-0005-0000-0000-00001D560000}"/>
    <cellStyle name="Normal 4 2 10 4" xfId="7151" xr:uid="{00000000-0005-0000-0000-00001E560000}"/>
    <cellStyle name="Normal 4 2 10 4 2" xfId="7152" xr:uid="{00000000-0005-0000-0000-00001F560000}"/>
    <cellStyle name="Normal 4 2 10 4 2 2" xfId="7153" xr:uid="{00000000-0005-0000-0000-000020560000}"/>
    <cellStyle name="Normal 4 2 10 4 2 2 2" xfId="30647" xr:uid="{00000000-0005-0000-0000-000021560000}"/>
    <cellStyle name="Normal 4 2 10 4 2 3" xfId="30646" xr:uid="{00000000-0005-0000-0000-000022560000}"/>
    <cellStyle name="Normal 4 2 10 4 3" xfId="7154" xr:uid="{00000000-0005-0000-0000-000023560000}"/>
    <cellStyle name="Normal 4 2 10 4 3 2" xfId="30648" xr:uid="{00000000-0005-0000-0000-000024560000}"/>
    <cellStyle name="Normal 4 2 10 4 4" xfId="30645" xr:uid="{00000000-0005-0000-0000-000025560000}"/>
    <cellStyle name="Normal 4 2 10 5" xfId="7155" xr:uid="{00000000-0005-0000-0000-000026560000}"/>
    <cellStyle name="Normal 4 2 10 5 2" xfId="7156" xr:uid="{00000000-0005-0000-0000-000027560000}"/>
    <cellStyle name="Normal 4 2 10 5 2 2" xfId="30650" xr:uid="{00000000-0005-0000-0000-000028560000}"/>
    <cellStyle name="Normal 4 2 10 5 3" xfId="30649" xr:uid="{00000000-0005-0000-0000-000029560000}"/>
    <cellStyle name="Normal 4 2 10 6" xfId="7157" xr:uid="{00000000-0005-0000-0000-00002A560000}"/>
    <cellStyle name="Normal 4 2 10 6 2" xfId="30651" xr:uid="{00000000-0005-0000-0000-00002B560000}"/>
    <cellStyle name="Normal 4 2 10 7" xfId="30628" xr:uid="{00000000-0005-0000-0000-00002C560000}"/>
    <cellStyle name="Normal 4 2 11" xfId="7158" xr:uid="{00000000-0005-0000-0000-00002D560000}"/>
    <cellStyle name="Normal 4 2 11 2" xfId="7159" xr:uid="{00000000-0005-0000-0000-00002E560000}"/>
    <cellStyle name="Normal 4 2 11 2 2" xfId="7160" xr:uid="{00000000-0005-0000-0000-00002F560000}"/>
    <cellStyle name="Normal 4 2 11 2 2 2" xfId="7161" xr:uid="{00000000-0005-0000-0000-000030560000}"/>
    <cellStyle name="Normal 4 2 11 2 2 2 2" xfId="30655" xr:uid="{00000000-0005-0000-0000-000031560000}"/>
    <cellStyle name="Normal 4 2 11 2 2 3" xfId="30654" xr:uid="{00000000-0005-0000-0000-000032560000}"/>
    <cellStyle name="Normal 4 2 11 2 3" xfId="7162" xr:uid="{00000000-0005-0000-0000-000033560000}"/>
    <cellStyle name="Normal 4 2 11 2 3 2" xfId="30656" xr:uid="{00000000-0005-0000-0000-000034560000}"/>
    <cellStyle name="Normal 4 2 11 2 4" xfId="30653" xr:uid="{00000000-0005-0000-0000-000035560000}"/>
    <cellStyle name="Normal 4 2 11 3" xfId="7163" xr:uid="{00000000-0005-0000-0000-000036560000}"/>
    <cellStyle name="Normal 4 2 11 3 2" xfId="7164" xr:uid="{00000000-0005-0000-0000-000037560000}"/>
    <cellStyle name="Normal 4 2 11 3 2 2" xfId="30658" xr:uid="{00000000-0005-0000-0000-000038560000}"/>
    <cellStyle name="Normal 4 2 11 3 3" xfId="30657" xr:uid="{00000000-0005-0000-0000-000039560000}"/>
    <cellStyle name="Normal 4 2 11 4" xfId="7165" xr:uid="{00000000-0005-0000-0000-00003A560000}"/>
    <cellStyle name="Normal 4 2 11 4 2" xfId="30659" xr:uid="{00000000-0005-0000-0000-00003B560000}"/>
    <cellStyle name="Normal 4 2 11 5" xfId="30652" xr:uid="{00000000-0005-0000-0000-00003C560000}"/>
    <cellStyle name="Normal 4 2 12" xfId="7166" xr:uid="{00000000-0005-0000-0000-00003D560000}"/>
    <cellStyle name="Normal 4 2 12 2" xfId="7167" xr:uid="{00000000-0005-0000-0000-00003E560000}"/>
    <cellStyle name="Normal 4 2 12 2 2" xfId="7168" xr:uid="{00000000-0005-0000-0000-00003F560000}"/>
    <cellStyle name="Normal 4 2 12 2 2 2" xfId="7169" xr:uid="{00000000-0005-0000-0000-000040560000}"/>
    <cellStyle name="Normal 4 2 12 2 2 2 2" xfId="30663" xr:uid="{00000000-0005-0000-0000-000041560000}"/>
    <cellStyle name="Normal 4 2 12 2 2 3" xfId="30662" xr:uid="{00000000-0005-0000-0000-000042560000}"/>
    <cellStyle name="Normal 4 2 12 2 3" xfId="7170" xr:uid="{00000000-0005-0000-0000-000043560000}"/>
    <cellStyle name="Normal 4 2 12 2 3 2" xfId="30664" xr:uid="{00000000-0005-0000-0000-000044560000}"/>
    <cellStyle name="Normal 4 2 12 2 4" xfId="30661" xr:uid="{00000000-0005-0000-0000-000045560000}"/>
    <cellStyle name="Normal 4 2 12 3" xfId="7171" xr:uid="{00000000-0005-0000-0000-000046560000}"/>
    <cellStyle name="Normal 4 2 12 3 2" xfId="7172" xr:uid="{00000000-0005-0000-0000-000047560000}"/>
    <cellStyle name="Normal 4 2 12 3 2 2" xfId="30666" xr:uid="{00000000-0005-0000-0000-000048560000}"/>
    <cellStyle name="Normal 4 2 12 3 3" xfId="30665" xr:uid="{00000000-0005-0000-0000-000049560000}"/>
    <cellStyle name="Normal 4 2 12 4" xfId="7173" xr:uid="{00000000-0005-0000-0000-00004A560000}"/>
    <cellStyle name="Normal 4 2 12 4 2" xfId="30667" xr:uid="{00000000-0005-0000-0000-00004B560000}"/>
    <cellStyle name="Normal 4 2 12 5" xfId="30660" xr:uid="{00000000-0005-0000-0000-00004C560000}"/>
    <cellStyle name="Normal 4 2 13" xfId="7174" xr:uid="{00000000-0005-0000-0000-00004D560000}"/>
    <cellStyle name="Normal 4 2 13 2" xfId="7175" xr:uid="{00000000-0005-0000-0000-00004E560000}"/>
    <cellStyle name="Normal 4 2 13 2 2" xfId="7176" xr:uid="{00000000-0005-0000-0000-00004F560000}"/>
    <cellStyle name="Normal 4 2 13 2 2 2" xfId="30669" xr:uid="{00000000-0005-0000-0000-000050560000}"/>
    <cellStyle name="Normal 4 2 13 2 3" xfId="30668" xr:uid="{00000000-0005-0000-0000-000051560000}"/>
    <cellStyle name="Normal 4 2 14" xfId="7177" xr:uid="{00000000-0005-0000-0000-000052560000}"/>
    <cellStyle name="Normal 4 2 14 2" xfId="7178" xr:uid="{00000000-0005-0000-0000-000053560000}"/>
    <cellStyle name="Normal 4 2 14 2 2" xfId="30671" xr:uid="{00000000-0005-0000-0000-000054560000}"/>
    <cellStyle name="Normal 4 2 14 3" xfId="30670" xr:uid="{00000000-0005-0000-0000-000055560000}"/>
    <cellStyle name="Normal 4 2 15" xfId="7179" xr:uid="{00000000-0005-0000-0000-000056560000}"/>
    <cellStyle name="Normal 4 2 15 2" xfId="30672" xr:uid="{00000000-0005-0000-0000-000057560000}"/>
    <cellStyle name="Normal 4 2 2" xfId="123" xr:uid="{00000000-0005-0000-0000-000058560000}"/>
    <cellStyle name="Normal 4 2 2 10" xfId="7180" xr:uid="{00000000-0005-0000-0000-000059560000}"/>
    <cellStyle name="Normal 4 2 2 10 2" xfId="7181" xr:uid="{00000000-0005-0000-0000-00005A560000}"/>
    <cellStyle name="Normal 4 2 2 10 2 2" xfId="7182" xr:uid="{00000000-0005-0000-0000-00005B560000}"/>
    <cellStyle name="Normal 4 2 2 10 2 2 2" xfId="7183" xr:uid="{00000000-0005-0000-0000-00005C560000}"/>
    <cellStyle name="Normal 4 2 2 10 2 2 2 2" xfId="30676" xr:uid="{00000000-0005-0000-0000-00005D560000}"/>
    <cellStyle name="Normal 4 2 2 10 2 2 3" xfId="30675" xr:uid="{00000000-0005-0000-0000-00005E560000}"/>
    <cellStyle name="Normal 4 2 2 10 2 3" xfId="7184" xr:uid="{00000000-0005-0000-0000-00005F560000}"/>
    <cellStyle name="Normal 4 2 2 10 2 3 2" xfId="30677" xr:uid="{00000000-0005-0000-0000-000060560000}"/>
    <cellStyle name="Normal 4 2 2 10 2 4" xfId="30674" xr:uid="{00000000-0005-0000-0000-000061560000}"/>
    <cellStyle name="Normal 4 2 2 10 3" xfId="7185" xr:uid="{00000000-0005-0000-0000-000062560000}"/>
    <cellStyle name="Normal 4 2 2 10 3 2" xfId="7186" xr:uid="{00000000-0005-0000-0000-000063560000}"/>
    <cellStyle name="Normal 4 2 2 10 3 2 2" xfId="30679" xr:uid="{00000000-0005-0000-0000-000064560000}"/>
    <cellStyle name="Normal 4 2 2 10 3 3" xfId="30678" xr:uid="{00000000-0005-0000-0000-000065560000}"/>
    <cellStyle name="Normal 4 2 2 10 4" xfId="7187" xr:uid="{00000000-0005-0000-0000-000066560000}"/>
    <cellStyle name="Normal 4 2 2 10 4 2" xfId="30680" xr:uid="{00000000-0005-0000-0000-000067560000}"/>
    <cellStyle name="Normal 4 2 2 10 5" xfId="30673" xr:uid="{00000000-0005-0000-0000-000068560000}"/>
    <cellStyle name="Normal 4 2 2 11" xfId="7188" xr:uid="{00000000-0005-0000-0000-000069560000}"/>
    <cellStyle name="Normal 4 2 2 11 2" xfId="7189" xr:uid="{00000000-0005-0000-0000-00006A560000}"/>
    <cellStyle name="Normal 4 2 2 11 2 2" xfId="7190" xr:uid="{00000000-0005-0000-0000-00006B560000}"/>
    <cellStyle name="Normal 4 2 2 11 2 2 2" xfId="30683" xr:uid="{00000000-0005-0000-0000-00006C560000}"/>
    <cellStyle name="Normal 4 2 2 11 2 3" xfId="30682" xr:uid="{00000000-0005-0000-0000-00006D560000}"/>
    <cellStyle name="Normal 4 2 2 11 3" xfId="7191" xr:uid="{00000000-0005-0000-0000-00006E560000}"/>
    <cellStyle name="Normal 4 2 2 11 3 2" xfId="30684" xr:uid="{00000000-0005-0000-0000-00006F560000}"/>
    <cellStyle name="Normal 4 2 2 11 4" xfId="30681" xr:uid="{00000000-0005-0000-0000-000070560000}"/>
    <cellStyle name="Normal 4 2 2 12" xfId="7192" xr:uid="{00000000-0005-0000-0000-000071560000}"/>
    <cellStyle name="Normal 4 2 2 12 2" xfId="7193" xr:uid="{00000000-0005-0000-0000-000072560000}"/>
    <cellStyle name="Normal 4 2 2 12 2 2" xfId="30686" xr:uid="{00000000-0005-0000-0000-000073560000}"/>
    <cellStyle name="Normal 4 2 2 12 3" xfId="30685" xr:uid="{00000000-0005-0000-0000-000074560000}"/>
    <cellStyle name="Normal 4 2 2 13" xfId="7194" xr:uid="{00000000-0005-0000-0000-000075560000}"/>
    <cellStyle name="Normal 4 2 2 13 2" xfId="30687" xr:uid="{00000000-0005-0000-0000-000076560000}"/>
    <cellStyle name="Normal 4 2 2 14" xfId="23685" xr:uid="{00000000-0005-0000-0000-000077560000}"/>
    <cellStyle name="Normal 4 2 2 2" xfId="124" xr:uid="{00000000-0005-0000-0000-000078560000}"/>
    <cellStyle name="Normal 4 2 2 2 10" xfId="7195" xr:uid="{00000000-0005-0000-0000-000079560000}"/>
    <cellStyle name="Normal 4 2 2 2 10 2" xfId="30688" xr:uid="{00000000-0005-0000-0000-00007A560000}"/>
    <cellStyle name="Normal 4 2 2 2 11" xfId="21387" xr:uid="{00000000-0005-0000-0000-00007B560000}"/>
    <cellStyle name="Normal 4 2 2 2 11 2" xfId="44702" xr:uid="{00000000-0005-0000-0000-00007C560000}"/>
    <cellStyle name="Normal 4 2 2 2 12" xfId="23686" xr:uid="{00000000-0005-0000-0000-00007D560000}"/>
    <cellStyle name="Normal 4 2 2 2 2" xfId="125" xr:uid="{00000000-0005-0000-0000-00007E560000}"/>
    <cellStyle name="Normal 4 2 2 2 2 10" xfId="23687" xr:uid="{00000000-0005-0000-0000-00007F560000}"/>
    <cellStyle name="Normal 4 2 2 2 2 2" xfId="7196" xr:uid="{00000000-0005-0000-0000-000080560000}"/>
    <cellStyle name="Normal 4 2 2 2 2 2 2" xfId="7197" xr:uid="{00000000-0005-0000-0000-000081560000}"/>
    <cellStyle name="Normal 4 2 2 2 2 2 2 2" xfId="7198" xr:uid="{00000000-0005-0000-0000-000082560000}"/>
    <cellStyle name="Normal 4 2 2 2 2 2 2 2 2" xfId="7199" xr:uid="{00000000-0005-0000-0000-000083560000}"/>
    <cellStyle name="Normal 4 2 2 2 2 2 2 2 2 2" xfId="30692" xr:uid="{00000000-0005-0000-0000-000084560000}"/>
    <cellStyle name="Normal 4 2 2 2 2 2 2 2 3" xfId="21388" xr:uid="{00000000-0005-0000-0000-000085560000}"/>
    <cellStyle name="Normal 4 2 2 2 2 2 2 2 3 2" xfId="44703" xr:uid="{00000000-0005-0000-0000-000086560000}"/>
    <cellStyle name="Normal 4 2 2 2 2 2 2 2 4" xfId="30691" xr:uid="{00000000-0005-0000-0000-000087560000}"/>
    <cellStyle name="Normal 4 2 2 2 2 2 2 3" xfId="7200" xr:uid="{00000000-0005-0000-0000-000088560000}"/>
    <cellStyle name="Normal 4 2 2 2 2 2 2 3 2" xfId="21389" xr:uid="{00000000-0005-0000-0000-000089560000}"/>
    <cellStyle name="Normal 4 2 2 2 2 2 2 3 2 2" xfId="44704" xr:uid="{00000000-0005-0000-0000-00008A560000}"/>
    <cellStyle name="Normal 4 2 2 2 2 2 2 3 3" xfId="30693" xr:uid="{00000000-0005-0000-0000-00008B560000}"/>
    <cellStyle name="Normal 4 2 2 2 2 2 2 4" xfId="21390" xr:uid="{00000000-0005-0000-0000-00008C560000}"/>
    <cellStyle name="Normal 4 2 2 2 2 2 2 4 2" xfId="44705" xr:uid="{00000000-0005-0000-0000-00008D560000}"/>
    <cellStyle name="Normal 4 2 2 2 2 2 2 5" xfId="21391" xr:uid="{00000000-0005-0000-0000-00008E560000}"/>
    <cellStyle name="Normal 4 2 2 2 2 2 2 5 2" xfId="44706" xr:uid="{00000000-0005-0000-0000-00008F560000}"/>
    <cellStyle name="Normal 4 2 2 2 2 2 2 6" xfId="21392" xr:uid="{00000000-0005-0000-0000-000090560000}"/>
    <cellStyle name="Normal 4 2 2 2 2 2 2 6 2" xfId="44707" xr:uid="{00000000-0005-0000-0000-000091560000}"/>
    <cellStyle name="Normal 4 2 2 2 2 2 2 7" xfId="30690" xr:uid="{00000000-0005-0000-0000-000092560000}"/>
    <cellStyle name="Normal 4 2 2 2 2 2 3" xfId="7201" xr:uid="{00000000-0005-0000-0000-000093560000}"/>
    <cellStyle name="Normal 4 2 2 2 2 2 3 2" xfId="7202" xr:uid="{00000000-0005-0000-0000-000094560000}"/>
    <cellStyle name="Normal 4 2 2 2 2 2 3 2 2" xfId="30695" xr:uid="{00000000-0005-0000-0000-000095560000}"/>
    <cellStyle name="Normal 4 2 2 2 2 2 3 3" xfId="21393" xr:uid="{00000000-0005-0000-0000-000096560000}"/>
    <cellStyle name="Normal 4 2 2 2 2 2 3 3 2" xfId="44708" xr:uid="{00000000-0005-0000-0000-000097560000}"/>
    <cellStyle name="Normal 4 2 2 2 2 2 3 4" xfId="30694" xr:uid="{00000000-0005-0000-0000-000098560000}"/>
    <cellStyle name="Normal 4 2 2 2 2 2 4" xfId="7203" xr:uid="{00000000-0005-0000-0000-000099560000}"/>
    <cellStyle name="Normal 4 2 2 2 2 2 4 2" xfId="21394" xr:uid="{00000000-0005-0000-0000-00009A560000}"/>
    <cellStyle name="Normal 4 2 2 2 2 2 4 2 2" xfId="44709" xr:uid="{00000000-0005-0000-0000-00009B560000}"/>
    <cellStyle name="Normal 4 2 2 2 2 2 4 3" xfId="30696" xr:uid="{00000000-0005-0000-0000-00009C560000}"/>
    <cellStyle name="Normal 4 2 2 2 2 2 5" xfId="21395" xr:uid="{00000000-0005-0000-0000-00009D560000}"/>
    <cellStyle name="Normal 4 2 2 2 2 2 5 2" xfId="44710" xr:uid="{00000000-0005-0000-0000-00009E560000}"/>
    <cellStyle name="Normal 4 2 2 2 2 2 6" xfId="21396" xr:uid="{00000000-0005-0000-0000-00009F560000}"/>
    <cellStyle name="Normal 4 2 2 2 2 2 6 2" xfId="44711" xr:uid="{00000000-0005-0000-0000-0000A0560000}"/>
    <cellStyle name="Normal 4 2 2 2 2 2 7" xfId="21397" xr:uid="{00000000-0005-0000-0000-0000A1560000}"/>
    <cellStyle name="Normal 4 2 2 2 2 2 7 2" xfId="44712" xr:uid="{00000000-0005-0000-0000-0000A2560000}"/>
    <cellStyle name="Normal 4 2 2 2 2 2 8" xfId="30689" xr:uid="{00000000-0005-0000-0000-0000A3560000}"/>
    <cellStyle name="Normal 4 2 2 2 2 3" xfId="7204" xr:uid="{00000000-0005-0000-0000-0000A4560000}"/>
    <cellStyle name="Normal 4 2 2 2 2 3 2" xfId="7205" xr:uid="{00000000-0005-0000-0000-0000A5560000}"/>
    <cellStyle name="Normal 4 2 2 2 2 3 2 2" xfId="7206" xr:uid="{00000000-0005-0000-0000-0000A6560000}"/>
    <cellStyle name="Normal 4 2 2 2 2 3 2 2 2" xfId="7207" xr:uid="{00000000-0005-0000-0000-0000A7560000}"/>
    <cellStyle name="Normal 4 2 2 2 2 3 2 2 2 2" xfId="30700" xr:uid="{00000000-0005-0000-0000-0000A8560000}"/>
    <cellStyle name="Normal 4 2 2 2 2 3 2 2 3" xfId="21398" xr:uid="{00000000-0005-0000-0000-0000A9560000}"/>
    <cellStyle name="Normal 4 2 2 2 2 3 2 2 3 2" xfId="44713" xr:uid="{00000000-0005-0000-0000-0000AA560000}"/>
    <cellStyle name="Normal 4 2 2 2 2 3 2 2 4" xfId="30699" xr:uid="{00000000-0005-0000-0000-0000AB560000}"/>
    <cellStyle name="Normal 4 2 2 2 2 3 2 3" xfId="7208" xr:uid="{00000000-0005-0000-0000-0000AC560000}"/>
    <cellStyle name="Normal 4 2 2 2 2 3 2 3 2" xfId="21399" xr:uid="{00000000-0005-0000-0000-0000AD560000}"/>
    <cellStyle name="Normal 4 2 2 2 2 3 2 3 2 2" xfId="44714" xr:uid="{00000000-0005-0000-0000-0000AE560000}"/>
    <cellStyle name="Normal 4 2 2 2 2 3 2 3 3" xfId="30701" xr:uid="{00000000-0005-0000-0000-0000AF560000}"/>
    <cellStyle name="Normal 4 2 2 2 2 3 2 4" xfId="21400" xr:uid="{00000000-0005-0000-0000-0000B0560000}"/>
    <cellStyle name="Normal 4 2 2 2 2 3 2 4 2" xfId="44715" xr:uid="{00000000-0005-0000-0000-0000B1560000}"/>
    <cellStyle name="Normal 4 2 2 2 2 3 2 5" xfId="21401" xr:uid="{00000000-0005-0000-0000-0000B2560000}"/>
    <cellStyle name="Normal 4 2 2 2 2 3 2 5 2" xfId="44716" xr:uid="{00000000-0005-0000-0000-0000B3560000}"/>
    <cellStyle name="Normal 4 2 2 2 2 3 2 6" xfId="21402" xr:uid="{00000000-0005-0000-0000-0000B4560000}"/>
    <cellStyle name="Normal 4 2 2 2 2 3 2 6 2" xfId="44717" xr:uid="{00000000-0005-0000-0000-0000B5560000}"/>
    <cellStyle name="Normal 4 2 2 2 2 3 2 7" xfId="30698" xr:uid="{00000000-0005-0000-0000-0000B6560000}"/>
    <cellStyle name="Normal 4 2 2 2 2 3 3" xfId="7209" xr:uid="{00000000-0005-0000-0000-0000B7560000}"/>
    <cellStyle name="Normal 4 2 2 2 2 3 3 2" xfId="7210" xr:uid="{00000000-0005-0000-0000-0000B8560000}"/>
    <cellStyle name="Normal 4 2 2 2 2 3 3 2 2" xfId="30703" xr:uid="{00000000-0005-0000-0000-0000B9560000}"/>
    <cellStyle name="Normal 4 2 2 2 2 3 3 3" xfId="21403" xr:uid="{00000000-0005-0000-0000-0000BA560000}"/>
    <cellStyle name="Normal 4 2 2 2 2 3 3 3 2" xfId="44718" xr:uid="{00000000-0005-0000-0000-0000BB560000}"/>
    <cellStyle name="Normal 4 2 2 2 2 3 3 4" xfId="30702" xr:uid="{00000000-0005-0000-0000-0000BC560000}"/>
    <cellStyle name="Normal 4 2 2 2 2 3 4" xfId="7211" xr:uid="{00000000-0005-0000-0000-0000BD560000}"/>
    <cellStyle name="Normal 4 2 2 2 2 3 4 2" xfId="21404" xr:uid="{00000000-0005-0000-0000-0000BE560000}"/>
    <cellStyle name="Normal 4 2 2 2 2 3 4 2 2" xfId="44719" xr:uid="{00000000-0005-0000-0000-0000BF560000}"/>
    <cellStyle name="Normal 4 2 2 2 2 3 4 3" xfId="30704" xr:uid="{00000000-0005-0000-0000-0000C0560000}"/>
    <cellStyle name="Normal 4 2 2 2 2 3 5" xfId="21405" xr:uid="{00000000-0005-0000-0000-0000C1560000}"/>
    <cellStyle name="Normal 4 2 2 2 2 3 5 2" xfId="44720" xr:uid="{00000000-0005-0000-0000-0000C2560000}"/>
    <cellStyle name="Normal 4 2 2 2 2 3 6" xfId="21406" xr:uid="{00000000-0005-0000-0000-0000C3560000}"/>
    <cellStyle name="Normal 4 2 2 2 2 3 6 2" xfId="44721" xr:uid="{00000000-0005-0000-0000-0000C4560000}"/>
    <cellStyle name="Normal 4 2 2 2 2 3 7" xfId="21407" xr:uid="{00000000-0005-0000-0000-0000C5560000}"/>
    <cellStyle name="Normal 4 2 2 2 2 3 7 2" xfId="44722" xr:uid="{00000000-0005-0000-0000-0000C6560000}"/>
    <cellStyle name="Normal 4 2 2 2 2 3 8" xfId="30697" xr:uid="{00000000-0005-0000-0000-0000C7560000}"/>
    <cellStyle name="Normal 4 2 2 2 2 4" xfId="7212" xr:uid="{00000000-0005-0000-0000-0000C8560000}"/>
    <cellStyle name="Normal 4 2 2 2 2 4 2" xfId="7213" xr:uid="{00000000-0005-0000-0000-0000C9560000}"/>
    <cellStyle name="Normal 4 2 2 2 2 4 2 2" xfId="7214" xr:uid="{00000000-0005-0000-0000-0000CA560000}"/>
    <cellStyle name="Normal 4 2 2 2 2 4 2 2 2" xfId="30707" xr:uid="{00000000-0005-0000-0000-0000CB560000}"/>
    <cellStyle name="Normal 4 2 2 2 2 4 2 3" xfId="21408" xr:uid="{00000000-0005-0000-0000-0000CC560000}"/>
    <cellStyle name="Normal 4 2 2 2 2 4 2 3 2" xfId="44723" xr:uid="{00000000-0005-0000-0000-0000CD560000}"/>
    <cellStyle name="Normal 4 2 2 2 2 4 2 4" xfId="30706" xr:uid="{00000000-0005-0000-0000-0000CE560000}"/>
    <cellStyle name="Normal 4 2 2 2 2 4 3" xfId="7215" xr:uid="{00000000-0005-0000-0000-0000CF560000}"/>
    <cellStyle name="Normal 4 2 2 2 2 4 3 2" xfId="21409" xr:uid="{00000000-0005-0000-0000-0000D0560000}"/>
    <cellStyle name="Normal 4 2 2 2 2 4 3 2 2" xfId="44724" xr:uid="{00000000-0005-0000-0000-0000D1560000}"/>
    <cellStyle name="Normal 4 2 2 2 2 4 3 3" xfId="30708" xr:uid="{00000000-0005-0000-0000-0000D2560000}"/>
    <cellStyle name="Normal 4 2 2 2 2 4 4" xfId="21410" xr:uid="{00000000-0005-0000-0000-0000D3560000}"/>
    <cellStyle name="Normal 4 2 2 2 2 4 4 2" xfId="44725" xr:uid="{00000000-0005-0000-0000-0000D4560000}"/>
    <cellStyle name="Normal 4 2 2 2 2 4 5" xfId="21411" xr:uid="{00000000-0005-0000-0000-0000D5560000}"/>
    <cellStyle name="Normal 4 2 2 2 2 4 5 2" xfId="44726" xr:uid="{00000000-0005-0000-0000-0000D6560000}"/>
    <cellStyle name="Normal 4 2 2 2 2 4 6" xfId="21412" xr:uid="{00000000-0005-0000-0000-0000D7560000}"/>
    <cellStyle name="Normal 4 2 2 2 2 4 6 2" xfId="44727" xr:uid="{00000000-0005-0000-0000-0000D8560000}"/>
    <cellStyle name="Normal 4 2 2 2 2 4 7" xfId="30705" xr:uid="{00000000-0005-0000-0000-0000D9560000}"/>
    <cellStyle name="Normal 4 2 2 2 2 5" xfId="7216" xr:uid="{00000000-0005-0000-0000-0000DA560000}"/>
    <cellStyle name="Normal 4 2 2 2 2 5 2" xfId="7217" xr:uid="{00000000-0005-0000-0000-0000DB560000}"/>
    <cellStyle name="Normal 4 2 2 2 2 5 2 2" xfId="30710" xr:uid="{00000000-0005-0000-0000-0000DC560000}"/>
    <cellStyle name="Normal 4 2 2 2 2 5 3" xfId="21413" xr:uid="{00000000-0005-0000-0000-0000DD560000}"/>
    <cellStyle name="Normal 4 2 2 2 2 5 3 2" xfId="44728" xr:uid="{00000000-0005-0000-0000-0000DE560000}"/>
    <cellStyle name="Normal 4 2 2 2 2 5 4" xfId="30709" xr:uid="{00000000-0005-0000-0000-0000DF560000}"/>
    <cellStyle name="Normal 4 2 2 2 2 6" xfId="7218" xr:uid="{00000000-0005-0000-0000-0000E0560000}"/>
    <cellStyle name="Normal 4 2 2 2 2 6 2" xfId="21414" xr:uid="{00000000-0005-0000-0000-0000E1560000}"/>
    <cellStyle name="Normal 4 2 2 2 2 6 2 2" xfId="44729" xr:uid="{00000000-0005-0000-0000-0000E2560000}"/>
    <cellStyle name="Normal 4 2 2 2 2 6 3" xfId="30711" xr:uid="{00000000-0005-0000-0000-0000E3560000}"/>
    <cellStyle name="Normal 4 2 2 2 2 7" xfId="21415" xr:uid="{00000000-0005-0000-0000-0000E4560000}"/>
    <cellStyle name="Normal 4 2 2 2 2 7 2" xfId="44730" xr:uid="{00000000-0005-0000-0000-0000E5560000}"/>
    <cellStyle name="Normal 4 2 2 2 2 8" xfId="21416" xr:uid="{00000000-0005-0000-0000-0000E6560000}"/>
    <cellStyle name="Normal 4 2 2 2 2 8 2" xfId="44731" xr:uid="{00000000-0005-0000-0000-0000E7560000}"/>
    <cellStyle name="Normal 4 2 2 2 2 9" xfId="21417" xr:uid="{00000000-0005-0000-0000-0000E8560000}"/>
    <cellStyle name="Normal 4 2 2 2 2 9 2" xfId="44732" xr:uid="{00000000-0005-0000-0000-0000E9560000}"/>
    <cellStyle name="Normal 4 2 2 2 3" xfId="7219" xr:uid="{00000000-0005-0000-0000-0000EA560000}"/>
    <cellStyle name="Normal 4 2 2 2 3 10" xfId="30712" xr:uid="{00000000-0005-0000-0000-0000EB560000}"/>
    <cellStyle name="Normal 4 2 2 2 3 2" xfId="7220" xr:uid="{00000000-0005-0000-0000-0000EC560000}"/>
    <cellStyle name="Normal 4 2 2 2 3 2 2" xfId="7221" xr:uid="{00000000-0005-0000-0000-0000ED560000}"/>
    <cellStyle name="Normal 4 2 2 2 3 2 2 2" xfId="7222" xr:uid="{00000000-0005-0000-0000-0000EE560000}"/>
    <cellStyle name="Normal 4 2 2 2 3 2 2 2 2" xfId="7223" xr:uid="{00000000-0005-0000-0000-0000EF560000}"/>
    <cellStyle name="Normal 4 2 2 2 3 2 2 2 2 2" xfId="30716" xr:uid="{00000000-0005-0000-0000-0000F0560000}"/>
    <cellStyle name="Normal 4 2 2 2 3 2 2 2 3" xfId="21418" xr:uid="{00000000-0005-0000-0000-0000F1560000}"/>
    <cellStyle name="Normal 4 2 2 2 3 2 2 2 3 2" xfId="44733" xr:uid="{00000000-0005-0000-0000-0000F2560000}"/>
    <cellStyle name="Normal 4 2 2 2 3 2 2 2 4" xfId="30715" xr:uid="{00000000-0005-0000-0000-0000F3560000}"/>
    <cellStyle name="Normal 4 2 2 2 3 2 2 3" xfId="7224" xr:uid="{00000000-0005-0000-0000-0000F4560000}"/>
    <cellStyle name="Normal 4 2 2 2 3 2 2 3 2" xfId="21419" xr:uid="{00000000-0005-0000-0000-0000F5560000}"/>
    <cellStyle name="Normal 4 2 2 2 3 2 2 3 2 2" xfId="44734" xr:uid="{00000000-0005-0000-0000-0000F6560000}"/>
    <cellStyle name="Normal 4 2 2 2 3 2 2 3 3" xfId="30717" xr:uid="{00000000-0005-0000-0000-0000F7560000}"/>
    <cellStyle name="Normal 4 2 2 2 3 2 2 4" xfId="21420" xr:uid="{00000000-0005-0000-0000-0000F8560000}"/>
    <cellStyle name="Normal 4 2 2 2 3 2 2 4 2" xfId="44735" xr:uid="{00000000-0005-0000-0000-0000F9560000}"/>
    <cellStyle name="Normal 4 2 2 2 3 2 2 5" xfId="21421" xr:uid="{00000000-0005-0000-0000-0000FA560000}"/>
    <cellStyle name="Normal 4 2 2 2 3 2 2 5 2" xfId="44736" xr:uid="{00000000-0005-0000-0000-0000FB560000}"/>
    <cellStyle name="Normal 4 2 2 2 3 2 2 6" xfId="21422" xr:uid="{00000000-0005-0000-0000-0000FC560000}"/>
    <cellStyle name="Normal 4 2 2 2 3 2 2 6 2" xfId="44737" xr:uid="{00000000-0005-0000-0000-0000FD560000}"/>
    <cellStyle name="Normal 4 2 2 2 3 2 2 7" xfId="30714" xr:uid="{00000000-0005-0000-0000-0000FE560000}"/>
    <cellStyle name="Normal 4 2 2 2 3 2 3" xfId="7225" xr:uid="{00000000-0005-0000-0000-0000FF560000}"/>
    <cellStyle name="Normal 4 2 2 2 3 2 3 2" xfId="7226" xr:uid="{00000000-0005-0000-0000-000000570000}"/>
    <cellStyle name="Normal 4 2 2 2 3 2 3 2 2" xfId="30719" xr:uid="{00000000-0005-0000-0000-000001570000}"/>
    <cellStyle name="Normal 4 2 2 2 3 2 3 3" xfId="21423" xr:uid="{00000000-0005-0000-0000-000002570000}"/>
    <cellStyle name="Normal 4 2 2 2 3 2 3 3 2" xfId="44738" xr:uid="{00000000-0005-0000-0000-000003570000}"/>
    <cellStyle name="Normal 4 2 2 2 3 2 3 4" xfId="30718" xr:uid="{00000000-0005-0000-0000-000004570000}"/>
    <cellStyle name="Normal 4 2 2 2 3 2 4" xfId="7227" xr:uid="{00000000-0005-0000-0000-000005570000}"/>
    <cellStyle name="Normal 4 2 2 2 3 2 4 2" xfId="21424" xr:uid="{00000000-0005-0000-0000-000006570000}"/>
    <cellStyle name="Normal 4 2 2 2 3 2 4 2 2" xfId="44739" xr:uid="{00000000-0005-0000-0000-000007570000}"/>
    <cellStyle name="Normal 4 2 2 2 3 2 4 3" xfId="30720" xr:uid="{00000000-0005-0000-0000-000008570000}"/>
    <cellStyle name="Normal 4 2 2 2 3 2 5" xfId="21425" xr:uid="{00000000-0005-0000-0000-000009570000}"/>
    <cellStyle name="Normal 4 2 2 2 3 2 5 2" xfId="44740" xr:uid="{00000000-0005-0000-0000-00000A570000}"/>
    <cellStyle name="Normal 4 2 2 2 3 2 6" xfId="21426" xr:uid="{00000000-0005-0000-0000-00000B570000}"/>
    <cellStyle name="Normal 4 2 2 2 3 2 6 2" xfId="44741" xr:uid="{00000000-0005-0000-0000-00000C570000}"/>
    <cellStyle name="Normal 4 2 2 2 3 2 7" xfId="21427" xr:uid="{00000000-0005-0000-0000-00000D570000}"/>
    <cellStyle name="Normal 4 2 2 2 3 2 7 2" xfId="44742" xr:uid="{00000000-0005-0000-0000-00000E570000}"/>
    <cellStyle name="Normal 4 2 2 2 3 2 8" xfId="30713" xr:uid="{00000000-0005-0000-0000-00000F570000}"/>
    <cellStyle name="Normal 4 2 2 2 3 3" xfId="7228" xr:uid="{00000000-0005-0000-0000-000010570000}"/>
    <cellStyle name="Normal 4 2 2 2 3 3 2" xfId="7229" xr:uid="{00000000-0005-0000-0000-000011570000}"/>
    <cellStyle name="Normal 4 2 2 2 3 3 2 2" xfId="7230" xr:uid="{00000000-0005-0000-0000-000012570000}"/>
    <cellStyle name="Normal 4 2 2 2 3 3 2 2 2" xfId="7231" xr:uid="{00000000-0005-0000-0000-000013570000}"/>
    <cellStyle name="Normal 4 2 2 2 3 3 2 2 2 2" xfId="30724" xr:uid="{00000000-0005-0000-0000-000014570000}"/>
    <cellStyle name="Normal 4 2 2 2 3 3 2 2 3" xfId="21428" xr:uid="{00000000-0005-0000-0000-000015570000}"/>
    <cellStyle name="Normal 4 2 2 2 3 3 2 2 3 2" xfId="44743" xr:uid="{00000000-0005-0000-0000-000016570000}"/>
    <cellStyle name="Normal 4 2 2 2 3 3 2 2 4" xfId="30723" xr:uid="{00000000-0005-0000-0000-000017570000}"/>
    <cellStyle name="Normal 4 2 2 2 3 3 2 3" xfId="7232" xr:uid="{00000000-0005-0000-0000-000018570000}"/>
    <cellStyle name="Normal 4 2 2 2 3 3 2 3 2" xfId="21429" xr:uid="{00000000-0005-0000-0000-000019570000}"/>
    <cellStyle name="Normal 4 2 2 2 3 3 2 3 2 2" xfId="44744" xr:uid="{00000000-0005-0000-0000-00001A570000}"/>
    <cellStyle name="Normal 4 2 2 2 3 3 2 3 3" xfId="30725" xr:uid="{00000000-0005-0000-0000-00001B570000}"/>
    <cellStyle name="Normal 4 2 2 2 3 3 2 4" xfId="21430" xr:uid="{00000000-0005-0000-0000-00001C570000}"/>
    <cellStyle name="Normal 4 2 2 2 3 3 2 4 2" xfId="44745" xr:uid="{00000000-0005-0000-0000-00001D570000}"/>
    <cellStyle name="Normal 4 2 2 2 3 3 2 5" xfId="21431" xr:uid="{00000000-0005-0000-0000-00001E570000}"/>
    <cellStyle name="Normal 4 2 2 2 3 3 2 5 2" xfId="44746" xr:uid="{00000000-0005-0000-0000-00001F570000}"/>
    <cellStyle name="Normal 4 2 2 2 3 3 2 6" xfId="21432" xr:uid="{00000000-0005-0000-0000-000020570000}"/>
    <cellStyle name="Normal 4 2 2 2 3 3 2 6 2" xfId="44747" xr:uid="{00000000-0005-0000-0000-000021570000}"/>
    <cellStyle name="Normal 4 2 2 2 3 3 2 7" xfId="30722" xr:uid="{00000000-0005-0000-0000-000022570000}"/>
    <cellStyle name="Normal 4 2 2 2 3 3 3" xfId="7233" xr:uid="{00000000-0005-0000-0000-000023570000}"/>
    <cellStyle name="Normal 4 2 2 2 3 3 3 2" xfId="7234" xr:uid="{00000000-0005-0000-0000-000024570000}"/>
    <cellStyle name="Normal 4 2 2 2 3 3 3 2 2" xfId="30727" xr:uid="{00000000-0005-0000-0000-000025570000}"/>
    <cellStyle name="Normal 4 2 2 2 3 3 3 3" xfId="21433" xr:uid="{00000000-0005-0000-0000-000026570000}"/>
    <cellStyle name="Normal 4 2 2 2 3 3 3 3 2" xfId="44748" xr:uid="{00000000-0005-0000-0000-000027570000}"/>
    <cellStyle name="Normal 4 2 2 2 3 3 3 4" xfId="30726" xr:uid="{00000000-0005-0000-0000-000028570000}"/>
    <cellStyle name="Normal 4 2 2 2 3 3 4" xfId="7235" xr:uid="{00000000-0005-0000-0000-000029570000}"/>
    <cellStyle name="Normal 4 2 2 2 3 3 4 2" xfId="21434" xr:uid="{00000000-0005-0000-0000-00002A570000}"/>
    <cellStyle name="Normal 4 2 2 2 3 3 4 2 2" xfId="44749" xr:uid="{00000000-0005-0000-0000-00002B570000}"/>
    <cellStyle name="Normal 4 2 2 2 3 3 4 3" xfId="30728" xr:uid="{00000000-0005-0000-0000-00002C570000}"/>
    <cellStyle name="Normal 4 2 2 2 3 3 5" xfId="21435" xr:uid="{00000000-0005-0000-0000-00002D570000}"/>
    <cellStyle name="Normal 4 2 2 2 3 3 5 2" xfId="44750" xr:uid="{00000000-0005-0000-0000-00002E570000}"/>
    <cellStyle name="Normal 4 2 2 2 3 3 6" xfId="21436" xr:uid="{00000000-0005-0000-0000-00002F570000}"/>
    <cellStyle name="Normal 4 2 2 2 3 3 6 2" xfId="44751" xr:uid="{00000000-0005-0000-0000-000030570000}"/>
    <cellStyle name="Normal 4 2 2 2 3 3 7" xfId="21437" xr:uid="{00000000-0005-0000-0000-000031570000}"/>
    <cellStyle name="Normal 4 2 2 2 3 3 7 2" xfId="44752" xr:uid="{00000000-0005-0000-0000-000032570000}"/>
    <cellStyle name="Normal 4 2 2 2 3 3 8" xfId="30721" xr:uid="{00000000-0005-0000-0000-000033570000}"/>
    <cellStyle name="Normal 4 2 2 2 3 4" xfId="7236" xr:uid="{00000000-0005-0000-0000-000034570000}"/>
    <cellStyle name="Normal 4 2 2 2 3 4 2" xfId="7237" xr:uid="{00000000-0005-0000-0000-000035570000}"/>
    <cellStyle name="Normal 4 2 2 2 3 4 2 2" xfId="7238" xr:uid="{00000000-0005-0000-0000-000036570000}"/>
    <cellStyle name="Normal 4 2 2 2 3 4 2 2 2" xfId="30731" xr:uid="{00000000-0005-0000-0000-000037570000}"/>
    <cellStyle name="Normal 4 2 2 2 3 4 2 3" xfId="21438" xr:uid="{00000000-0005-0000-0000-000038570000}"/>
    <cellStyle name="Normal 4 2 2 2 3 4 2 3 2" xfId="44753" xr:uid="{00000000-0005-0000-0000-000039570000}"/>
    <cellStyle name="Normal 4 2 2 2 3 4 2 4" xfId="30730" xr:uid="{00000000-0005-0000-0000-00003A570000}"/>
    <cellStyle name="Normal 4 2 2 2 3 4 3" xfId="7239" xr:uid="{00000000-0005-0000-0000-00003B570000}"/>
    <cellStyle name="Normal 4 2 2 2 3 4 3 2" xfId="21439" xr:uid="{00000000-0005-0000-0000-00003C570000}"/>
    <cellStyle name="Normal 4 2 2 2 3 4 3 2 2" xfId="44754" xr:uid="{00000000-0005-0000-0000-00003D570000}"/>
    <cellStyle name="Normal 4 2 2 2 3 4 3 3" xfId="30732" xr:uid="{00000000-0005-0000-0000-00003E570000}"/>
    <cellStyle name="Normal 4 2 2 2 3 4 4" xfId="21440" xr:uid="{00000000-0005-0000-0000-00003F570000}"/>
    <cellStyle name="Normal 4 2 2 2 3 4 4 2" xfId="44755" xr:uid="{00000000-0005-0000-0000-000040570000}"/>
    <cellStyle name="Normal 4 2 2 2 3 4 5" xfId="21441" xr:uid="{00000000-0005-0000-0000-000041570000}"/>
    <cellStyle name="Normal 4 2 2 2 3 4 5 2" xfId="44756" xr:uid="{00000000-0005-0000-0000-000042570000}"/>
    <cellStyle name="Normal 4 2 2 2 3 4 6" xfId="21442" xr:uid="{00000000-0005-0000-0000-000043570000}"/>
    <cellStyle name="Normal 4 2 2 2 3 4 6 2" xfId="44757" xr:uid="{00000000-0005-0000-0000-000044570000}"/>
    <cellStyle name="Normal 4 2 2 2 3 4 7" xfId="30729" xr:uid="{00000000-0005-0000-0000-000045570000}"/>
    <cellStyle name="Normal 4 2 2 2 3 5" xfId="7240" xr:uid="{00000000-0005-0000-0000-000046570000}"/>
    <cellStyle name="Normal 4 2 2 2 3 5 2" xfId="7241" xr:uid="{00000000-0005-0000-0000-000047570000}"/>
    <cellStyle name="Normal 4 2 2 2 3 5 2 2" xfId="30734" xr:uid="{00000000-0005-0000-0000-000048570000}"/>
    <cellStyle name="Normal 4 2 2 2 3 5 3" xfId="21443" xr:uid="{00000000-0005-0000-0000-000049570000}"/>
    <cellStyle name="Normal 4 2 2 2 3 5 3 2" xfId="44758" xr:uid="{00000000-0005-0000-0000-00004A570000}"/>
    <cellStyle name="Normal 4 2 2 2 3 5 4" xfId="30733" xr:uid="{00000000-0005-0000-0000-00004B570000}"/>
    <cellStyle name="Normal 4 2 2 2 3 6" xfId="7242" xr:uid="{00000000-0005-0000-0000-00004C570000}"/>
    <cellStyle name="Normal 4 2 2 2 3 6 2" xfId="21444" xr:uid="{00000000-0005-0000-0000-00004D570000}"/>
    <cellStyle name="Normal 4 2 2 2 3 6 2 2" xfId="44759" xr:uid="{00000000-0005-0000-0000-00004E570000}"/>
    <cellStyle name="Normal 4 2 2 2 3 6 3" xfId="30735" xr:uid="{00000000-0005-0000-0000-00004F570000}"/>
    <cellStyle name="Normal 4 2 2 2 3 7" xfId="21445" xr:uid="{00000000-0005-0000-0000-000050570000}"/>
    <cellStyle name="Normal 4 2 2 2 3 7 2" xfId="44760" xr:uid="{00000000-0005-0000-0000-000051570000}"/>
    <cellStyle name="Normal 4 2 2 2 3 8" xfId="21446" xr:uid="{00000000-0005-0000-0000-000052570000}"/>
    <cellStyle name="Normal 4 2 2 2 3 8 2" xfId="44761" xr:uid="{00000000-0005-0000-0000-000053570000}"/>
    <cellStyle name="Normal 4 2 2 2 3 9" xfId="21447" xr:uid="{00000000-0005-0000-0000-000054570000}"/>
    <cellStyle name="Normal 4 2 2 2 3 9 2" xfId="44762" xr:uid="{00000000-0005-0000-0000-000055570000}"/>
    <cellStyle name="Normal 4 2 2 2 4" xfId="7243" xr:uid="{00000000-0005-0000-0000-000056570000}"/>
    <cellStyle name="Normal 4 2 2 2 4 2" xfId="7244" xr:uid="{00000000-0005-0000-0000-000057570000}"/>
    <cellStyle name="Normal 4 2 2 2 4 2 2" xfId="7245" xr:uid="{00000000-0005-0000-0000-000058570000}"/>
    <cellStyle name="Normal 4 2 2 2 4 2 2 2" xfId="7246" xr:uid="{00000000-0005-0000-0000-000059570000}"/>
    <cellStyle name="Normal 4 2 2 2 4 2 2 2 2" xfId="7247" xr:uid="{00000000-0005-0000-0000-00005A570000}"/>
    <cellStyle name="Normal 4 2 2 2 4 2 2 2 2 2" xfId="30740" xr:uid="{00000000-0005-0000-0000-00005B570000}"/>
    <cellStyle name="Normal 4 2 2 2 4 2 2 2 3" xfId="30739" xr:uid="{00000000-0005-0000-0000-00005C570000}"/>
    <cellStyle name="Normal 4 2 2 2 4 2 2 3" xfId="7248" xr:uid="{00000000-0005-0000-0000-00005D570000}"/>
    <cellStyle name="Normal 4 2 2 2 4 2 2 3 2" xfId="30741" xr:uid="{00000000-0005-0000-0000-00005E570000}"/>
    <cellStyle name="Normal 4 2 2 2 4 2 2 4" xfId="30738" xr:uid="{00000000-0005-0000-0000-00005F570000}"/>
    <cellStyle name="Normal 4 2 2 2 4 2 3" xfId="7249" xr:uid="{00000000-0005-0000-0000-000060570000}"/>
    <cellStyle name="Normal 4 2 2 2 4 2 3 2" xfId="7250" xr:uid="{00000000-0005-0000-0000-000061570000}"/>
    <cellStyle name="Normal 4 2 2 2 4 2 3 2 2" xfId="30743" xr:uid="{00000000-0005-0000-0000-000062570000}"/>
    <cellStyle name="Normal 4 2 2 2 4 2 3 3" xfId="30742" xr:uid="{00000000-0005-0000-0000-000063570000}"/>
    <cellStyle name="Normal 4 2 2 2 4 2 4" xfId="7251" xr:uid="{00000000-0005-0000-0000-000064570000}"/>
    <cellStyle name="Normal 4 2 2 2 4 2 4 2" xfId="30744" xr:uid="{00000000-0005-0000-0000-000065570000}"/>
    <cellStyle name="Normal 4 2 2 2 4 2 5" xfId="21448" xr:uid="{00000000-0005-0000-0000-000066570000}"/>
    <cellStyle name="Normal 4 2 2 2 4 2 5 2" xfId="44763" xr:uid="{00000000-0005-0000-0000-000067570000}"/>
    <cellStyle name="Normal 4 2 2 2 4 2 6" xfId="21449" xr:uid="{00000000-0005-0000-0000-000068570000}"/>
    <cellStyle name="Normal 4 2 2 2 4 2 6 2" xfId="44764" xr:uid="{00000000-0005-0000-0000-000069570000}"/>
    <cellStyle name="Normal 4 2 2 2 4 2 7" xfId="30737" xr:uid="{00000000-0005-0000-0000-00006A570000}"/>
    <cellStyle name="Normal 4 2 2 2 4 3" xfId="7252" xr:uid="{00000000-0005-0000-0000-00006B570000}"/>
    <cellStyle name="Normal 4 2 2 2 4 3 2" xfId="7253" xr:uid="{00000000-0005-0000-0000-00006C570000}"/>
    <cellStyle name="Normal 4 2 2 2 4 3 2 2" xfId="7254" xr:uid="{00000000-0005-0000-0000-00006D570000}"/>
    <cellStyle name="Normal 4 2 2 2 4 3 2 2 2" xfId="7255" xr:uid="{00000000-0005-0000-0000-00006E570000}"/>
    <cellStyle name="Normal 4 2 2 2 4 3 2 2 2 2" xfId="30748" xr:uid="{00000000-0005-0000-0000-00006F570000}"/>
    <cellStyle name="Normal 4 2 2 2 4 3 2 2 3" xfId="30747" xr:uid="{00000000-0005-0000-0000-000070570000}"/>
    <cellStyle name="Normal 4 2 2 2 4 3 2 3" xfId="7256" xr:uid="{00000000-0005-0000-0000-000071570000}"/>
    <cellStyle name="Normal 4 2 2 2 4 3 2 3 2" xfId="30749" xr:uid="{00000000-0005-0000-0000-000072570000}"/>
    <cellStyle name="Normal 4 2 2 2 4 3 2 4" xfId="30746" xr:uid="{00000000-0005-0000-0000-000073570000}"/>
    <cellStyle name="Normal 4 2 2 2 4 3 3" xfId="7257" xr:uid="{00000000-0005-0000-0000-000074570000}"/>
    <cellStyle name="Normal 4 2 2 2 4 3 3 2" xfId="7258" xr:uid="{00000000-0005-0000-0000-000075570000}"/>
    <cellStyle name="Normal 4 2 2 2 4 3 3 2 2" xfId="30751" xr:uid="{00000000-0005-0000-0000-000076570000}"/>
    <cellStyle name="Normal 4 2 2 2 4 3 3 3" xfId="30750" xr:uid="{00000000-0005-0000-0000-000077570000}"/>
    <cellStyle name="Normal 4 2 2 2 4 3 4" xfId="7259" xr:uid="{00000000-0005-0000-0000-000078570000}"/>
    <cellStyle name="Normal 4 2 2 2 4 3 4 2" xfId="30752" xr:uid="{00000000-0005-0000-0000-000079570000}"/>
    <cellStyle name="Normal 4 2 2 2 4 3 5" xfId="30745" xr:uid="{00000000-0005-0000-0000-00007A570000}"/>
    <cellStyle name="Normal 4 2 2 2 4 4" xfId="7260" xr:uid="{00000000-0005-0000-0000-00007B570000}"/>
    <cellStyle name="Normal 4 2 2 2 4 4 2" xfId="7261" xr:uid="{00000000-0005-0000-0000-00007C570000}"/>
    <cellStyle name="Normal 4 2 2 2 4 4 2 2" xfId="7262" xr:uid="{00000000-0005-0000-0000-00007D570000}"/>
    <cellStyle name="Normal 4 2 2 2 4 4 2 2 2" xfId="30755" xr:uid="{00000000-0005-0000-0000-00007E570000}"/>
    <cellStyle name="Normal 4 2 2 2 4 4 2 3" xfId="30754" xr:uid="{00000000-0005-0000-0000-00007F570000}"/>
    <cellStyle name="Normal 4 2 2 2 4 4 3" xfId="7263" xr:uid="{00000000-0005-0000-0000-000080570000}"/>
    <cellStyle name="Normal 4 2 2 2 4 4 3 2" xfId="30756" xr:uid="{00000000-0005-0000-0000-000081570000}"/>
    <cellStyle name="Normal 4 2 2 2 4 4 4" xfId="30753" xr:uid="{00000000-0005-0000-0000-000082570000}"/>
    <cellStyle name="Normal 4 2 2 2 4 5" xfId="7264" xr:uid="{00000000-0005-0000-0000-000083570000}"/>
    <cellStyle name="Normal 4 2 2 2 4 5 2" xfId="7265" xr:uid="{00000000-0005-0000-0000-000084570000}"/>
    <cellStyle name="Normal 4 2 2 2 4 5 2 2" xfId="30758" xr:uid="{00000000-0005-0000-0000-000085570000}"/>
    <cellStyle name="Normal 4 2 2 2 4 5 3" xfId="30757" xr:uid="{00000000-0005-0000-0000-000086570000}"/>
    <cellStyle name="Normal 4 2 2 2 4 6" xfId="7266" xr:uid="{00000000-0005-0000-0000-000087570000}"/>
    <cellStyle name="Normal 4 2 2 2 4 6 2" xfId="30759" xr:uid="{00000000-0005-0000-0000-000088570000}"/>
    <cellStyle name="Normal 4 2 2 2 4 7" xfId="21450" xr:uid="{00000000-0005-0000-0000-000089570000}"/>
    <cellStyle name="Normal 4 2 2 2 4 7 2" xfId="44765" xr:uid="{00000000-0005-0000-0000-00008A570000}"/>
    <cellStyle name="Normal 4 2 2 2 4 8" xfId="30736" xr:uid="{00000000-0005-0000-0000-00008B570000}"/>
    <cellStyle name="Normal 4 2 2 2 5" xfId="7267" xr:uid="{00000000-0005-0000-0000-00008C570000}"/>
    <cellStyle name="Normal 4 2 2 2 5 2" xfId="7268" xr:uid="{00000000-0005-0000-0000-00008D570000}"/>
    <cellStyle name="Normal 4 2 2 2 5 2 2" xfId="7269" xr:uid="{00000000-0005-0000-0000-00008E570000}"/>
    <cellStyle name="Normal 4 2 2 2 5 2 2 2" xfId="7270" xr:uid="{00000000-0005-0000-0000-00008F570000}"/>
    <cellStyle name="Normal 4 2 2 2 5 2 2 2 2" xfId="7271" xr:uid="{00000000-0005-0000-0000-000090570000}"/>
    <cellStyle name="Normal 4 2 2 2 5 2 2 2 2 2" xfId="30764" xr:uid="{00000000-0005-0000-0000-000091570000}"/>
    <cellStyle name="Normal 4 2 2 2 5 2 2 2 3" xfId="30763" xr:uid="{00000000-0005-0000-0000-000092570000}"/>
    <cellStyle name="Normal 4 2 2 2 5 2 2 3" xfId="7272" xr:uid="{00000000-0005-0000-0000-000093570000}"/>
    <cellStyle name="Normal 4 2 2 2 5 2 2 3 2" xfId="30765" xr:uid="{00000000-0005-0000-0000-000094570000}"/>
    <cellStyle name="Normal 4 2 2 2 5 2 2 4" xfId="30762" xr:uid="{00000000-0005-0000-0000-000095570000}"/>
    <cellStyle name="Normal 4 2 2 2 5 2 3" xfId="7273" xr:uid="{00000000-0005-0000-0000-000096570000}"/>
    <cellStyle name="Normal 4 2 2 2 5 2 3 2" xfId="7274" xr:uid="{00000000-0005-0000-0000-000097570000}"/>
    <cellStyle name="Normal 4 2 2 2 5 2 3 2 2" xfId="30767" xr:uid="{00000000-0005-0000-0000-000098570000}"/>
    <cellStyle name="Normal 4 2 2 2 5 2 3 3" xfId="30766" xr:uid="{00000000-0005-0000-0000-000099570000}"/>
    <cellStyle name="Normal 4 2 2 2 5 2 4" xfId="7275" xr:uid="{00000000-0005-0000-0000-00009A570000}"/>
    <cellStyle name="Normal 4 2 2 2 5 2 4 2" xfId="30768" xr:uid="{00000000-0005-0000-0000-00009B570000}"/>
    <cellStyle name="Normal 4 2 2 2 5 2 5" xfId="21451" xr:uid="{00000000-0005-0000-0000-00009C570000}"/>
    <cellStyle name="Normal 4 2 2 2 5 2 5 2" xfId="44766" xr:uid="{00000000-0005-0000-0000-00009D570000}"/>
    <cellStyle name="Normal 4 2 2 2 5 2 6" xfId="21452" xr:uid="{00000000-0005-0000-0000-00009E570000}"/>
    <cellStyle name="Normal 4 2 2 2 5 2 6 2" xfId="44767" xr:uid="{00000000-0005-0000-0000-00009F570000}"/>
    <cellStyle name="Normal 4 2 2 2 5 2 7" xfId="30761" xr:uid="{00000000-0005-0000-0000-0000A0570000}"/>
    <cellStyle name="Normal 4 2 2 2 5 3" xfId="7276" xr:uid="{00000000-0005-0000-0000-0000A1570000}"/>
    <cellStyle name="Normal 4 2 2 2 5 3 2" xfId="7277" xr:uid="{00000000-0005-0000-0000-0000A2570000}"/>
    <cellStyle name="Normal 4 2 2 2 5 3 2 2" xfId="7278" xr:uid="{00000000-0005-0000-0000-0000A3570000}"/>
    <cellStyle name="Normal 4 2 2 2 5 3 2 2 2" xfId="7279" xr:uid="{00000000-0005-0000-0000-0000A4570000}"/>
    <cellStyle name="Normal 4 2 2 2 5 3 2 2 2 2" xfId="30772" xr:uid="{00000000-0005-0000-0000-0000A5570000}"/>
    <cellStyle name="Normal 4 2 2 2 5 3 2 2 3" xfId="30771" xr:uid="{00000000-0005-0000-0000-0000A6570000}"/>
    <cellStyle name="Normal 4 2 2 2 5 3 2 3" xfId="7280" xr:uid="{00000000-0005-0000-0000-0000A7570000}"/>
    <cellStyle name="Normal 4 2 2 2 5 3 2 3 2" xfId="30773" xr:uid="{00000000-0005-0000-0000-0000A8570000}"/>
    <cellStyle name="Normal 4 2 2 2 5 3 2 4" xfId="30770" xr:uid="{00000000-0005-0000-0000-0000A9570000}"/>
    <cellStyle name="Normal 4 2 2 2 5 3 3" xfId="7281" xr:uid="{00000000-0005-0000-0000-0000AA570000}"/>
    <cellStyle name="Normal 4 2 2 2 5 3 3 2" xfId="7282" xr:uid="{00000000-0005-0000-0000-0000AB570000}"/>
    <cellStyle name="Normal 4 2 2 2 5 3 3 2 2" xfId="30775" xr:uid="{00000000-0005-0000-0000-0000AC570000}"/>
    <cellStyle name="Normal 4 2 2 2 5 3 3 3" xfId="30774" xr:uid="{00000000-0005-0000-0000-0000AD570000}"/>
    <cellStyle name="Normal 4 2 2 2 5 3 4" xfId="7283" xr:uid="{00000000-0005-0000-0000-0000AE570000}"/>
    <cellStyle name="Normal 4 2 2 2 5 3 4 2" xfId="30776" xr:uid="{00000000-0005-0000-0000-0000AF570000}"/>
    <cellStyle name="Normal 4 2 2 2 5 3 5" xfId="30769" xr:uid="{00000000-0005-0000-0000-0000B0570000}"/>
    <cellStyle name="Normal 4 2 2 2 5 4" xfId="7284" xr:uid="{00000000-0005-0000-0000-0000B1570000}"/>
    <cellStyle name="Normal 4 2 2 2 5 4 2" xfId="7285" xr:uid="{00000000-0005-0000-0000-0000B2570000}"/>
    <cellStyle name="Normal 4 2 2 2 5 4 2 2" xfId="7286" xr:uid="{00000000-0005-0000-0000-0000B3570000}"/>
    <cellStyle name="Normal 4 2 2 2 5 4 2 2 2" xfId="30779" xr:uid="{00000000-0005-0000-0000-0000B4570000}"/>
    <cellStyle name="Normal 4 2 2 2 5 4 2 3" xfId="30778" xr:uid="{00000000-0005-0000-0000-0000B5570000}"/>
    <cellStyle name="Normal 4 2 2 2 5 4 3" xfId="7287" xr:uid="{00000000-0005-0000-0000-0000B6570000}"/>
    <cellStyle name="Normal 4 2 2 2 5 4 3 2" xfId="30780" xr:uid="{00000000-0005-0000-0000-0000B7570000}"/>
    <cellStyle name="Normal 4 2 2 2 5 4 4" xfId="30777" xr:uid="{00000000-0005-0000-0000-0000B8570000}"/>
    <cellStyle name="Normal 4 2 2 2 5 5" xfId="7288" xr:uid="{00000000-0005-0000-0000-0000B9570000}"/>
    <cellStyle name="Normal 4 2 2 2 5 5 2" xfId="7289" xr:uid="{00000000-0005-0000-0000-0000BA570000}"/>
    <cellStyle name="Normal 4 2 2 2 5 5 2 2" xfId="30782" xr:uid="{00000000-0005-0000-0000-0000BB570000}"/>
    <cellStyle name="Normal 4 2 2 2 5 5 3" xfId="30781" xr:uid="{00000000-0005-0000-0000-0000BC570000}"/>
    <cellStyle name="Normal 4 2 2 2 5 6" xfId="7290" xr:uid="{00000000-0005-0000-0000-0000BD570000}"/>
    <cellStyle name="Normal 4 2 2 2 5 6 2" xfId="30783" xr:uid="{00000000-0005-0000-0000-0000BE570000}"/>
    <cellStyle name="Normal 4 2 2 2 5 7" xfId="21453" xr:uid="{00000000-0005-0000-0000-0000BF570000}"/>
    <cellStyle name="Normal 4 2 2 2 5 7 2" xfId="44768" xr:uid="{00000000-0005-0000-0000-0000C0570000}"/>
    <cellStyle name="Normal 4 2 2 2 5 8" xfId="30760" xr:uid="{00000000-0005-0000-0000-0000C1570000}"/>
    <cellStyle name="Normal 4 2 2 2 6" xfId="7291" xr:uid="{00000000-0005-0000-0000-0000C2570000}"/>
    <cellStyle name="Normal 4 2 2 2 6 2" xfId="7292" xr:uid="{00000000-0005-0000-0000-0000C3570000}"/>
    <cellStyle name="Normal 4 2 2 2 6 2 2" xfId="7293" xr:uid="{00000000-0005-0000-0000-0000C4570000}"/>
    <cellStyle name="Normal 4 2 2 2 6 2 2 2" xfId="7294" xr:uid="{00000000-0005-0000-0000-0000C5570000}"/>
    <cellStyle name="Normal 4 2 2 2 6 2 2 2 2" xfId="30787" xr:uid="{00000000-0005-0000-0000-0000C6570000}"/>
    <cellStyle name="Normal 4 2 2 2 6 2 2 3" xfId="30786" xr:uid="{00000000-0005-0000-0000-0000C7570000}"/>
    <cellStyle name="Normal 4 2 2 2 6 2 3" xfId="7295" xr:uid="{00000000-0005-0000-0000-0000C8570000}"/>
    <cellStyle name="Normal 4 2 2 2 6 2 3 2" xfId="30788" xr:uid="{00000000-0005-0000-0000-0000C9570000}"/>
    <cellStyle name="Normal 4 2 2 2 6 2 4" xfId="30785" xr:uid="{00000000-0005-0000-0000-0000CA570000}"/>
    <cellStyle name="Normal 4 2 2 2 6 3" xfId="7296" xr:uid="{00000000-0005-0000-0000-0000CB570000}"/>
    <cellStyle name="Normal 4 2 2 2 6 3 2" xfId="7297" xr:uid="{00000000-0005-0000-0000-0000CC570000}"/>
    <cellStyle name="Normal 4 2 2 2 6 3 2 2" xfId="30790" xr:uid="{00000000-0005-0000-0000-0000CD570000}"/>
    <cellStyle name="Normal 4 2 2 2 6 3 3" xfId="30789" xr:uid="{00000000-0005-0000-0000-0000CE570000}"/>
    <cellStyle name="Normal 4 2 2 2 6 4" xfId="7298" xr:uid="{00000000-0005-0000-0000-0000CF570000}"/>
    <cellStyle name="Normal 4 2 2 2 6 4 2" xfId="30791" xr:uid="{00000000-0005-0000-0000-0000D0570000}"/>
    <cellStyle name="Normal 4 2 2 2 6 5" xfId="21454" xr:uid="{00000000-0005-0000-0000-0000D1570000}"/>
    <cellStyle name="Normal 4 2 2 2 6 5 2" xfId="44769" xr:uid="{00000000-0005-0000-0000-0000D2570000}"/>
    <cellStyle name="Normal 4 2 2 2 6 6" xfId="21455" xr:uid="{00000000-0005-0000-0000-0000D3570000}"/>
    <cellStyle name="Normal 4 2 2 2 6 6 2" xfId="44770" xr:uid="{00000000-0005-0000-0000-0000D4570000}"/>
    <cellStyle name="Normal 4 2 2 2 6 7" xfId="30784" xr:uid="{00000000-0005-0000-0000-0000D5570000}"/>
    <cellStyle name="Normal 4 2 2 2 7" xfId="7299" xr:uid="{00000000-0005-0000-0000-0000D6570000}"/>
    <cellStyle name="Normal 4 2 2 2 7 2" xfId="7300" xr:uid="{00000000-0005-0000-0000-0000D7570000}"/>
    <cellStyle name="Normal 4 2 2 2 7 2 2" xfId="7301" xr:uid="{00000000-0005-0000-0000-0000D8570000}"/>
    <cellStyle name="Normal 4 2 2 2 7 2 2 2" xfId="7302" xr:uid="{00000000-0005-0000-0000-0000D9570000}"/>
    <cellStyle name="Normal 4 2 2 2 7 2 2 2 2" xfId="30795" xr:uid="{00000000-0005-0000-0000-0000DA570000}"/>
    <cellStyle name="Normal 4 2 2 2 7 2 2 3" xfId="30794" xr:uid="{00000000-0005-0000-0000-0000DB570000}"/>
    <cellStyle name="Normal 4 2 2 2 7 2 3" xfId="7303" xr:uid="{00000000-0005-0000-0000-0000DC570000}"/>
    <cellStyle name="Normal 4 2 2 2 7 2 3 2" xfId="30796" xr:uid="{00000000-0005-0000-0000-0000DD570000}"/>
    <cellStyle name="Normal 4 2 2 2 7 2 4" xfId="30793" xr:uid="{00000000-0005-0000-0000-0000DE570000}"/>
    <cellStyle name="Normal 4 2 2 2 7 3" xfId="7304" xr:uid="{00000000-0005-0000-0000-0000DF570000}"/>
    <cellStyle name="Normal 4 2 2 2 7 3 2" xfId="7305" xr:uid="{00000000-0005-0000-0000-0000E0570000}"/>
    <cellStyle name="Normal 4 2 2 2 7 3 2 2" xfId="30798" xr:uid="{00000000-0005-0000-0000-0000E1570000}"/>
    <cellStyle name="Normal 4 2 2 2 7 3 3" xfId="30797" xr:uid="{00000000-0005-0000-0000-0000E2570000}"/>
    <cellStyle name="Normal 4 2 2 2 7 4" xfId="7306" xr:uid="{00000000-0005-0000-0000-0000E3570000}"/>
    <cellStyle name="Normal 4 2 2 2 7 4 2" xfId="30799" xr:uid="{00000000-0005-0000-0000-0000E4570000}"/>
    <cellStyle name="Normal 4 2 2 2 7 5" xfId="30792" xr:uid="{00000000-0005-0000-0000-0000E5570000}"/>
    <cellStyle name="Normal 4 2 2 2 8" xfId="7307" xr:uid="{00000000-0005-0000-0000-0000E6570000}"/>
    <cellStyle name="Normal 4 2 2 2 8 2" xfId="7308" xr:uid="{00000000-0005-0000-0000-0000E7570000}"/>
    <cellStyle name="Normal 4 2 2 2 8 2 2" xfId="7309" xr:uid="{00000000-0005-0000-0000-0000E8570000}"/>
    <cellStyle name="Normal 4 2 2 2 8 2 2 2" xfId="30802" xr:uid="{00000000-0005-0000-0000-0000E9570000}"/>
    <cellStyle name="Normal 4 2 2 2 8 2 3" xfId="30801" xr:uid="{00000000-0005-0000-0000-0000EA570000}"/>
    <cellStyle name="Normal 4 2 2 2 8 3" xfId="7310" xr:uid="{00000000-0005-0000-0000-0000EB570000}"/>
    <cellStyle name="Normal 4 2 2 2 8 3 2" xfId="30803" xr:uid="{00000000-0005-0000-0000-0000EC570000}"/>
    <cellStyle name="Normal 4 2 2 2 8 4" xfId="30800" xr:uid="{00000000-0005-0000-0000-0000ED570000}"/>
    <cellStyle name="Normal 4 2 2 2 9" xfId="7311" xr:uid="{00000000-0005-0000-0000-0000EE570000}"/>
    <cellStyle name="Normal 4 2 2 2 9 2" xfId="7312" xr:uid="{00000000-0005-0000-0000-0000EF570000}"/>
    <cellStyle name="Normal 4 2 2 2 9 2 2" xfId="30805" xr:uid="{00000000-0005-0000-0000-0000F0570000}"/>
    <cellStyle name="Normal 4 2 2 2 9 3" xfId="30804" xr:uid="{00000000-0005-0000-0000-0000F1570000}"/>
    <cellStyle name="Normal 4 2 2 3" xfId="126" xr:uid="{00000000-0005-0000-0000-0000F2570000}"/>
    <cellStyle name="Normal 4 2 2 3 10" xfId="23688" xr:uid="{00000000-0005-0000-0000-0000F3570000}"/>
    <cellStyle name="Normal 4 2 2 3 2" xfId="7313" xr:uid="{00000000-0005-0000-0000-0000F4570000}"/>
    <cellStyle name="Normal 4 2 2 3 2 2" xfId="7314" xr:uid="{00000000-0005-0000-0000-0000F5570000}"/>
    <cellStyle name="Normal 4 2 2 3 2 2 2" xfId="7315" xr:uid="{00000000-0005-0000-0000-0000F6570000}"/>
    <cellStyle name="Normal 4 2 2 3 2 2 2 2" xfId="7316" xr:uid="{00000000-0005-0000-0000-0000F7570000}"/>
    <cellStyle name="Normal 4 2 2 3 2 2 2 2 2" xfId="7317" xr:uid="{00000000-0005-0000-0000-0000F8570000}"/>
    <cellStyle name="Normal 4 2 2 3 2 2 2 2 2 2" xfId="30810" xr:uid="{00000000-0005-0000-0000-0000F9570000}"/>
    <cellStyle name="Normal 4 2 2 3 2 2 2 2 3" xfId="30809" xr:uid="{00000000-0005-0000-0000-0000FA570000}"/>
    <cellStyle name="Normal 4 2 2 3 2 2 2 3" xfId="7318" xr:uid="{00000000-0005-0000-0000-0000FB570000}"/>
    <cellStyle name="Normal 4 2 2 3 2 2 2 3 2" xfId="30811" xr:uid="{00000000-0005-0000-0000-0000FC570000}"/>
    <cellStyle name="Normal 4 2 2 3 2 2 2 4" xfId="30808" xr:uid="{00000000-0005-0000-0000-0000FD570000}"/>
    <cellStyle name="Normal 4 2 2 3 2 2 3" xfId="7319" xr:uid="{00000000-0005-0000-0000-0000FE570000}"/>
    <cellStyle name="Normal 4 2 2 3 2 2 3 2" xfId="7320" xr:uid="{00000000-0005-0000-0000-0000FF570000}"/>
    <cellStyle name="Normal 4 2 2 3 2 2 3 2 2" xfId="30813" xr:uid="{00000000-0005-0000-0000-000000580000}"/>
    <cellStyle name="Normal 4 2 2 3 2 2 3 3" xfId="30812" xr:uid="{00000000-0005-0000-0000-000001580000}"/>
    <cellStyle name="Normal 4 2 2 3 2 2 4" xfId="7321" xr:uid="{00000000-0005-0000-0000-000002580000}"/>
    <cellStyle name="Normal 4 2 2 3 2 2 4 2" xfId="30814" xr:uid="{00000000-0005-0000-0000-000003580000}"/>
    <cellStyle name="Normal 4 2 2 3 2 2 5" xfId="21456" xr:uid="{00000000-0005-0000-0000-000004580000}"/>
    <cellStyle name="Normal 4 2 2 3 2 2 5 2" xfId="44771" xr:uid="{00000000-0005-0000-0000-000005580000}"/>
    <cellStyle name="Normal 4 2 2 3 2 2 6" xfId="21457" xr:uid="{00000000-0005-0000-0000-000006580000}"/>
    <cellStyle name="Normal 4 2 2 3 2 2 6 2" xfId="44772" xr:uid="{00000000-0005-0000-0000-000007580000}"/>
    <cellStyle name="Normal 4 2 2 3 2 2 7" xfId="30807" xr:uid="{00000000-0005-0000-0000-000008580000}"/>
    <cellStyle name="Normal 4 2 2 3 2 3" xfId="7322" xr:uid="{00000000-0005-0000-0000-000009580000}"/>
    <cellStyle name="Normal 4 2 2 3 2 3 2" xfId="7323" xr:uid="{00000000-0005-0000-0000-00000A580000}"/>
    <cellStyle name="Normal 4 2 2 3 2 3 2 2" xfId="7324" xr:uid="{00000000-0005-0000-0000-00000B580000}"/>
    <cellStyle name="Normal 4 2 2 3 2 3 2 2 2" xfId="7325" xr:uid="{00000000-0005-0000-0000-00000C580000}"/>
    <cellStyle name="Normal 4 2 2 3 2 3 2 2 2 2" xfId="30818" xr:uid="{00000000-0005-0000-0000-00000D580000}"/>
    <cellStyle name="Normal 4 2 2 3 2 3 2 2 3" xfId="30817" xr:uid="{00000000-0005-0000-0000-00000E580000}"/>
    <cellStyle name="Normal 4 2 2 3 2 3 2 3" xfId="7326" xr:uid="{00000000-0005-0000-0000-00000F580000}"/>
    <cellStyle name="Normal 4 2 2 3 2 3 2 3 2" xfId="30819" xr:uid="{00000000-0005-0000-0000-000010580000}"/>
    <cellStyle name="Normal 4 2 2 3 2 3 2 4" xfId="30816" xr:uid="{00000000-0005-0000-0000-000011580000}"/>
    <cellStyle name="Normal 4 2 2 3 2 3 3" xfId="7327" xr:uid="{00000000-0005-0000-0000-000012580000}"/>
    <cellStyle name="Normal 4 2 2 3 2 3 3 2" xfId="7328" xr:uid="{00000000-0005-0000-0000-000013580000}"/>
    <cellStyle name="Normal 4 2 2 3 2 3 3 2 2" xfId="30821" xr:uid="{00000000-0005-0000-0000-000014580000}"/>
    <cellStyle name="Normal 4 2 2 3 2 3 3 3" xfId="30820" xr:uid="{00000000-0005-0000-0000-000015580000}"/>
    <cellStyle name="Normal 4 2 2 3 2 3 4" xfId="7329" xr:uid="{00000000-0005-0000-0000-000016580000}"/>
    <cellStyle name="Normal 4 2 2 3 2 3 4 2" xfId="30822" xr:uid="{00000000-0005-0000-0000-000017580000}"/>
    <cellStyle name="Normal 4 2 2 3 2 3 5" xfId="30815" xr:uid="{00000000-0005-0000-0000-000018580000}"/>
    <cellStyle name="Normal 4 2 2 3 2 4" xfId="7330" xr:uid="{00000000-0005-0000-0000-000019580000}"/>
    <cellStyle name="Normal 4 2 2 3 2 4 2" xfId="7331" xr:uid="{00000000-0005-0000-0000-00001A580000}"/>
    <cellStyle name="Normal 4 2 2 3 2 4 2 2" xfId="7332" xr:uid="{00000000-0005-0000-0000-00001B580000}"/>
    <cellStyle name="Normal 4 2 2 3 2 4 2 2 2" xfId="30825" xr:uid="{00000000-0005-0000-0000-00001C580000}"/>
    <cellStyle name="Normal 4 2 2 3 2 4 2 3" xfId="30824" xr:uid="{00000000-0005-0000-0000-00001D580000}"/>
    <cellStyle name="Normal 4 2 2 3 2 4 3" xfId="7333" xr:uid="{00000000-0005-0000-0000-00001E580000}"/>
    <cellStyle name="Normal 4 2 2 3 2 4 3 2" xfId="30826" xr:uid="{00000000-0005-0000-0000-00001F580000}"/>
    <cellStyle name="Normal 4 2 2 3 2 4 4" xfId="30823" xr:uid="{00000000-0005-0000-0000-000020580000}"/>
    <cellStyle name="Normal 4 2 2 3 2 5" xfId="7334" xr:uid="{00000000-0005-0000-0000-000021580000}"/>
    <cellStyle name="Normal 4 2 2 3 2 5 2" xfId="7335" xr:uid="{00000000-0005-0000-0000-000022580000}"/>
    <cellStyle name="Normal 4 2 2 3 2 5 2 2" xfId="30828" xr:uid="{00000000-0005-0000-0000-000023580000}"/>
    <cellStyle name="Normal 4 2 2 3 2 5 3" xfId="30827" xr:uid="{00000000-0005-0000-0000-000024580000}"/>
    <cellStyle name="Normal 4 2 2 3 2 6" xfId="7336" xr:uid="{00000000-0005-0000-0000-000025580000}"/>
    <cellStyle name="Normal 4 2 2 3 2 6 2" xfId="30829" xr:uid="{00000000-0005-0000-0000-000026580000}"/>
    <cellStyle name="Normal 4 2 2 3 2 7" xfId="21458" xr:uid="{00000000-0005-0000-0000-000027580000}"/>
    <cellStyle name="Normal 4 2 2 3 2 7 2" xfId="44773" xr:uid="{00000000-0005-0000-0000-000028580000}"/>
    <cellStyle name="Normal 4 2 2 3 2 8" xfId="30806" xr:uid="{00000000-0005-0000-0000-000029580000}"/>
    <cellStyle name="Normal 4 2 2 3 3" xfId="7337" xr:uid="{00000000-0005-0000-0000-00002A580000}"/>
    <cellStyle name="Normal 4 2 2 3 3 2" xfId="7338" xr:uid="{00000000-0005-0000-0000-00002B580000}"/>
    <cellStyle name="Normal 4 2 2 3 3 2 2" xfId="7339" xr:uid="{00000000-0005-0000-0000-00002C580000}"/>
    <cellStyle name="Normal 4 2 2 3 3 2 2 2" xfId="7340" xr:uid="{00000000-0005-0000-0000-00002D580000}"/>
    <cellStyle name="Normal 4 2 2 3 3 2 2 2 2" xfId="7341" xr:uid="{00000000-0005-0000-0000-00002E580000}"/>
    <cellStyle name="Normal 4 2 2 3 3 2 2 2 2 2" xfId="30834" xr:uid="{00000000-0005-0000-0000-00002F580000}"/>
    <cellStyle name="Normal 4 2 2 3 3 2 2 2 3" xfId="30833" xr:uid="{00000000-0005-0000-0000-000030580000}"/>
    <cellStyle name="Normal 4 2 2 3 3 2 2 3" xfId="7342" xr:uid="{00000000-0005-0000-0000-000031580000}"/>
    <cellStyle name="Normal 4 2 2 3 3 2 2 3 2" xfId="30835" xr:uid="{00000000-0005-0000-0000-000032580000}"/>
    <cellStyle name="Normal 4 2 2 3 3 2 2 4" xfId="30832" xr:uid="{00000000-0005-0000-0000-000033580000}"/>
    <cellStyle name="Normal 4 2 2 3 3 2 3" xfId="7343" xr:uid="{00000000-0005-0000-0000-000034580000}"/>
    <cellStyle name="Normal 4 2 2 3 3 2 3 2" xfId="7344" xr:uid="{00000000-0005-0000-0000-000035580000}"/>
    <cellStyle name="Normal 4 2 2 3 3 2 3 2 2" xfId="30837" xr:uid="{00000000-0005-0000-0000-000036580000}"/>
    <cellStyle name="Normal 4 2 2 3 3 2 3 3" xfId="30836" xr:uid="{00000000-0005-0000-0000-000037580000}"/>
    <cellStyle name="Normal 4 2 2 3 3 2 4" xfId="7345" xr:uid="{00000000-0005-0000-0000-000038580000}"/>
    <cellStyle name="Normal 4 2 2 3 3 2 4 2" xfId="30838" xr:uid="{00000000-0005-0000-0000-000039580000}"/>
    <cellStyle name="Normal 4 2 2 3 3 2 5" xfId="21459" xr:uid="{00000000-0005-0000-0000-00003A580000}"/>
    <cellStyle name="Normal 4 2 2 3 3 2 5 2" xfId="44774" xr:uid="{00000000-0005-0000-0000-00003B580000}"/>
    <cellStyle name="Normal 4 2 2 3 3 2 6" xfId="21460" xr:uid="{00000000-0005-0000-0000-00003C580000}"/>
    <cellStyle name="Normal 4 2 2 3 3 2 6 2" xfId="44775" xr:uid="{00000000-0005-0000-0000-00003D580000}"/>
    <cellStyle name="Normal 4 2 2 3 3 2 7" xfId="30831" xr:uid="{00000000-0005-0000-0000-00003E580000}"/>
    <cellStyle name="Normal 4 2 2 3 3 3" xfId="7346" xr:uid="{00000000-0005-0000-0000-00003F580000}"/>
    <cellStyle name="Normal 4 2 2 3 3 3 2" xfId="7347" xr:uid="{00000000-0005-0000-0000-000040580000}"/>
    <cellStyle name="Normal 4 2 2 3 3 3 2 2" xfId="7348" xr:uid="{00000000-0005-0000-0000-000041580000}"/>
    <cellStyle name="Normal 4 2 2 3 3 3 2 2 2" xfId="7349" xr:uid="{00000000-0005-0000-0000-000042580000}"/>
    <cellStyle name="Normal 4 2 2 3 3 3 2 2 2 2" xfId="30842" xr:uid="{00000000-0005-0000-0000-000043580000}"/>
    <cellStyle name="Normal 4 2 2 3 3 3 2 2 3" xfId="30841" xr:uid="{00000000-0005-0000-0000-000044580000}"/>
    <cellStyle name="Normal 4 2 2 3 3 3 2 3" xfId="7350" xr:uid="{00000000-0005-0000-0000-000045580000}"/>
    <cellStyle name="Normal 4 2 2 3 3 3 2 3 2" xfId="30843" xr:uid="{00000000-0005-0000-0000-000046580000}"/>
    <cellStyle name="Normal 4 2 2 3 3 3 2 4" xfId="30840" xr:uid="{00000000-0005-0000-0000-000047580000}"/>
    <cellStyle name="Normal 4 2 2 3 3 3 3" xfId="7351" xr:uid="{00000000-0005-0000-0000-000048580000}"/>
    <cellStyle name="Normal 4 2 2 3 3 3 3 2" xfId="7352" xr:uid="{00000000-0005-0000-0000-000049580000}"/>
    <cellStyle name="Normal 4 2 2 3 3 3 3 2 2" xfId="30845" xr:uid="{00000000-0005-0000-0000-00004A580000}"/>
    <cellStyle name="Normal 4 2 2 3 3 3 3 3" xfId="30844" xr:uid="{00000000-0005-0000-0000-00004B580000}"/>
    <cellStyle name="Normal 4 2 2 3 3 3 4" xfId="7353" xr:uid="{00000000-0005-0000-0000-00004C580000}"/>
    <cellStyle name="Normal 4 2 2 3 3 3 4 2" xfId="30846" xr:uid="{00000000-0005-0000-0000-00004D580000}"/>
    <cellStyle name="Normal 4 2 2 3 3 3 5" xfId="30839" xr:uid="{00000000-0005-0000-0000-00004E580000}"/>
    <cellStyle name="Normal 4 2 2 3 3 4" xfId="7354" xr:uid="{00000000-0005-0000-0000-00004F580000}"/>
    <cellStyle name="Normal 4 2 2 3 3 4 2" xfId="7355" xr:uid="{00000000-0005-0000-0000-000050580000}"/>
    <cellStyle name="Normal 4 2 2 3 3 4 2 2" xfId="7356" xr:uid="{00000000-0005-0000-0000-000051580000}"/>
    <cellStyle name="Normal 4 2 2 3 3 4 2 2 2" xfId="30849" xr:uid="{00000000-0005-0000-0000-000052580000}"/>
    <cellStyle name="Normal 4 2 2 3 3 4 2 3" xfId="30848" xr:uid="{00000000-0005-0000-0000-000053580000}"/>
    <cellStyle name="Normal 4 2 2 3 3 4 3" xfId="7357" xr:uid="{00000000-0005-0000-0000-000054580000}"/>
    <cellStyle name="Normal 4 2 2 3 3 4 3 2" xfId="30850" xr:uid="{00000000-0005-0000-0000-000055580000}"/>
    <cellStyle name="Normal 4 2 2 3 3 4 4" xfId="30847" xr:uid="{00000000-0005-0000-0000-000056580000}"/>
    <cellStyle name="Normal 4 2 2 3 3 5" xfId="7358" xr:uid="{00000000-0005-0000-0000-000057580000}"/>
    <cellStyle name="Normal 4 2 2 3 3 5 2" xfId="7359" xr:uid="{00000000-0005-0000-0000-000058580000}"/>
    <cellStyle name="Normal 4 2 2 3 3 5 2 2" xfId="30852" xr:uid="{00000000-0005-0000-0000-000059580000}"/>
    <cellStyle name="Normal 4 2 2 3 3 5 3" xfId="30851" xr:uid="{00000000-0005-0000-0000-00005A580000}"/>
    <cellStyle name="Normal 4 2 2 3 3 6" xfId="7360" xr:uid="{00000000-0005-0000-0000-00005B580000}"/>
    <cellStyle name="Normal 4 2 2 3 3 6 2" xfId="30853" xr:uid="{00000000-0005-0000-0000-00005C580000}"/>
    <cellStyle name="Normal 4 2 2 3 3 7" xfId="21461" xr:uid="{00000000-0005-0000-0000-00005D580000}"/>
    <cellStyle name="Normal 4 2 2 3 3 7 2" xfId="44776" xr:uid="{00000000-0005-0000-0000-00005E580000}"/>
    <cellStyle name="Normal 4 2 2 3 3 8" xfId="30830" xr:uid="{00000000-0005-0000-0000-00005F580000}"/>
    <cellStyle name="Normal 4 2 2 3 4" xfId="7361" xr:uid="{00000000-0005-0000-0000-000060580000}"/>
    <cellStyle name="Normal 4 2 2 3 4 2" xfId="7362" xr:uid="{00000000-0005-0000-0000-000061580000}"/>
    <cellStyle name="Normal 4 2 2 3 4 2 2" xfId="7363" xr:uid="{00000000-0005-0000-0000-000062580000}"/>
    <cellStyle name="Normal 4 2 2 3 4 2 2 2" xfId="7364" xr:uid="{00000000-0005-0000-0000-000063580000}"/>
    <cellStyle name="Normal 4 2 2 3 4 2 2 2 2" xfId="7365" xr:uid="{00000000-0005-0000-0000-000064580000}"/>
    <cellStyle name="Normal 4 2 2 3 4 2 2 2 2 2" xfId="30858" xr:uid="{00000000-0005-0000-0000-000065580000}"/>
    <cellStyle name="Normal 4 2 2 3 4 2 2 2 3" xfId="30857" xr:uid="{00000000-0005-0000-0000-000066580000}"/>
    <cellStyle name="Normal 4 2 2 3 4 2 2 3" xfId="7366" xr:uid="{00000000-0005-0000-0000-000067580000}"/>
    <cellStyle name="Normal 4 2 2 3 4 2 2 3 2" xfId="30859" xr:uid="{00000000-0005-0000-0000-000068580000}"/>
    <cellStyle name="Normal 4 2 2 3 4 2 2 4" xfId="30856" xr:uid="{00000000-0005-0000-0000-000069580000}"/>
    <cellStyle name="Normal 4 2 2 3 4 2 3" xfId="7367" xr:uid="{00000000-0005-0000-0000-00006A580000}"/>
    <cellStyle name="Normal 4 2 2 3 4 2 3 2" xfId="7368" xr:uid="{00000000-0005-0000-0000-00006B580000}"/>
    <cellStyle name="Normal 4 2 2 3 4 2 3 2 2" xfId="30861" xr:uid="{00000000-0005-0000-0000-00006C580000}"/>
    <cellStyle name="Normal 4 2 2 3 4 2 3 3" xfId="30860" xr:uid="{00000000-0005-0000-0000-00006D580000}"/>
    <cellStyle name="Normal 4 2 2 3 4 2 4" xfId="7369" xr:uid="{00000000-0005-0000-0000-00006E580000}"/>
    <cellStyle name="Normal 4 2 2 3 4 2 4 2" xfId="30862" xr:uid="{00000000-0005-0000-0000-00006F580000}"/>
    <cellStyle name="Normal 4 2 2 3 4 2 5" xfId="30855" xr:uid="{00000000-0005-0000-0000-000070580000}"/>
    <cellStyle name="Normal 4 2 2 3 4 3" xfId="7370" xr:uid="{00000000-0005-0000-0000-000071580000}"/>
    <cellStyle name="Normal 4 2 2 3 4 3 2" xfId="7371" xr:uid="{00000000-0005-0000-0000-000072580000}"/>
    <cellStyle name="Normal 4 2 2 3 4 3 2 2" xfId="7372" xr:uid="{00000000-0005-0000-0000-000073580000}"/>
    <cellStyle name="Normal 4 2 2 3 4 3 2 2 2" xfId="7373" xr:uid="{00000000-0005-0000-0000-000074580000}"/>
    <cellStyle name="Normal 4 2 2 3 4 3 2 2 2 2" xfId="30866" xr:uid="{00000000-0005-0000-0000-000075580000}"/>
    <cellStyle name="Normal 4 2 2 3 4 3 2 2 3" xfId="30865" xr:uid="{00000000-0005-0000-0000-000076580000}"/>
    <cellStyle name="Normal 4 2 2 3 4 3 2 3" xfId="7374" xr:uid="{00000000-0005-0000-0000-000077580000}"/>
    <cellStyle name="Normal 4 2 2 3 4 3 2 3 2" xfId="30867" xr:uid="{00000000-0005-0000-0000-000078580000}"/>
    <cellStyle name="Normal 4 2 2 3 4 3 2 4" xfId="30864" xr:uid="{00000000-0005-0000-0000-000079580000}"/>
    <cellStyle name="Normal 4 2 2 3 4 3 3" xfId="7375" xr:uid="{00000000-0005-0000-0000-00007A580000}"/>
    <cellStyle name="Normal 4 2 2 3 4 3 3 2" xfId="7376" xr:uid="{00000000-0005-0000-0000-00007B580000}"/>
    <cellStyle name="Normal 4 2 2 3 4 3 3 2 2" xfId="30869" xr:uid="{00000000-0005-0000-0000-00007C580000}"/>
    <cellStyle name="Normal 4 2 2 3 4 3 3 3" xfId="30868" xr:uid="{00000000-0005-0000-0000-00007D580000}"/>
    <cellStyle name="Normal 4 2 2 3 4 3 4" xfId="7377" xr:uid="{00000000-0005-0000-0000-00007E580000}"/>
    <cellStyle name="Normal 4 2 2 3 4 3 4 2" xfId="30870" xr:uid="{00000000-0005-0000-0000-00007F580000}"/>
    <cellStyle name="Normal 4 2 2 3 4 3 5" xfId="30863" xr:uid="{00000000-0005-0000-0000-000080580000}"/>
    <cellStyle name="Normal 4 2 2 3 4 4" xfId="7378" xr:uid="{00000000-0005-0000-0000-000081580000}"/>
    <cellStyle name="Normal 4 2 2 3 4 4 2" xfId="7379" xr:uid="{00000000-0005-0000-0000-000082580000}"/>
    <cellStyle name="Normal 4 2 2 3 4 4 2 2" xfId="7380" xr:uid="{00000000-0005-0000-0000-000083580000}"/>
    <cellStyle name="Normal 4 2 2 3 4 4 2 2 2" xfId="30873" xr:uid="{00000000-0005-0000-0000-000084580000}"/>
    <cellStyle name="Normal 4 2 2 3 4 4 2 3" xfId="30872" xr:uid="{00000000-0005-0000-0000-000085580000}"/>
    <cellStyle name="Normal 4 2 2 3 4 4 3" xfId="7381" xr:uid="{00000000-0005-0000-0000-000086580000}"/>
    <cellStyle name="Normal 4 2 2 3 4 4 3 2" xfId="30874" xr:uid="{00000000-0005-0000-0000-000087580000}"/>
    <cellStyle name="Normal 4 2 2 3 4 4 4" xfId="30871" xr:uid="{00000000-0005-0000-0000-000088580000}"/>
    <cellStyle name="Normal 4 2 2 3 4 5" xfId="7382" xr:uid="{00000000-0005-0000-0000-000089580000}"/>
    <cellStyle name="Normal 4 2 2 3 4 5 2" xfId="7383" xr:uid="{00000000-0005-0000-0000-00008A580000}"/>
    <cellStyle name="Normal 4 2 2 3 4 5 2 2" xfId="30876" xr:uid="{00000000-0005-0000-0000-00008B580000}"/>
    <cellStyle name="Normal 4 2 2 3 4 5 3" xfId="30875" xr:uid="{00000000-0005-0000-0000-00008C580000}"/>
    <cellStyle name="Normal 4 2 2 3 4 6" xfId="7384" xr:uid="{00000000-0005-0000-0000-00008D580000}"/>
    <cellStyle name="Normal 4 2 2 3 4 6 2" xfId="30877" xr:uid="{00000000-0005-0000-0000-00008E580000}"/>
    <cellStyle name="Normal 4 2 2 3 4 7" xfId="30854" xr:uid="{00000000-0005-0000-0000-00008F580000}"/>
    <cellStyle name="Normal 4 2 2 3 5" xfId="7385" xr:uid="{00000000-0005-0000-0000-000090580000}"/>
    <cellStyle name="Normal 4 2 2 3 5 2" xfId="7386" xr:uid="{00000000-0005-0000-0000-000091580000}"/>
    <cellStyle name="Normal 4 2 2 3 5 2 2" xfId="7387" xr:uid="{00000000-0005-0000-0000-000092580000}"/>
    <cellStyle name="Normal 4 2 2 3 5 2 2 2" xfId="7388" xr:uid="{00000000-0005-0000-0000-000093580000}"/>
    <cellStyle name="Normal 4 2 2 3 5 2 2 2 2" xfId="30881" xr:uid="{00000000-0005-0000-0000-000094580000}"/>
    <cellStyle name="Normal 4 2 2 3 5 2 2 3" xfId="30880" xr:uid="{00000000-0005-0000-0000-000095580000}"/>
    <cellStyle name="Normal 4 2 2 3 5 2 3" xfId="7389" xr:uid="{00000000-0005-0000-0000-000096580000}"/>
    <cellStyle name="Normal 4 2 2 3 5 2 3 2" xfId="30882" xr:uid="{00000000-0005-0000-0000-000097580000}"/>
    <cellStyle name="Normal 4 2 2 3 5 2 4" xfId="30879" xr:uid="{00000000-0005-0000-0000-000098580000}"/>
    <cellStyle name="Normal 4 2 2 3 5 3" xfId="7390" xr:uid="{00000000-0005-0000-0000-000099580000}"/>
    <cellStyle name="Normal 4 2 2 3 5 3 2" xfId="7391" xr:uid="{00000000-0005-0000-0000-00009A580000}"/>
    <cellStyle name="Normal 4 2 2 3 5 3 2 2" xfId="30884" xr:uid="{00000000-0005-0000-0000-00009B580000}"/>
    <cellStyle name="Normal 4 2 2 3 5 3 3" xfId="30883" xr:uid="{00000000-0005-0000-0000-00009C580000}"/>
    <cellStyle name="Normal 4 2 2 3 5 4" xfId="7392" xr:uid="{00000000-0005-0000-0000-00009D580000}"/>
    <cellStyle name="Normal 4 2 2 3 5 4 2" xfId="30885" xr:uid="{00000000-0005-0000-0000-00009E580000}"/>
    <cellStyle name="Normal 4 2 2 3 5 5" xfId="30878" xr:uid="{00000000-0005-0000-0000-00009F580000}"/>
    <cellStyle name="Normal 4 2 2 3 6" xfId="7393" xr:uid="{00000000-0005-0000-0000-0000A0580000}"/>
    <cellStyle name="Normal 4 2 2 3 6 2" xfId="7394" xr:uid="{00000000-0005-0000-0000-0000A1580000}"/>
    <cellStyle name="Normal 4 2 2 3 6 2 2" xfId="7395" xr:uid="{00000000-0005-0000-0000-0000A2580000}"/>
    <cellStyle name="Normal 4 2 2 3 6 2 2 2" xfId="7396" xr:uid="{00000000-0005-0000-0000-0000A3580000}"/>
    <cellStyle name="Normal 4 2 2 3 6 2 2 2 2" xfId="30889" xr:uid="{00000000-0005-0000-0000-0000A4580000}"/>
    <cellStyle name="Normal 4 2 2 3 6 2 2 3" xfId="30888" xr:uid="{00000000-0005-0000-0000-0000A5580000}"/>
    <cellStyle name="Normal 4 2 2 3 6 2 3" xfId="7397" xr:uid="{00000000-0005-0000-0000-0000A6580000}"/>
    <cellStyle name="Normal 4 2 2 3 6 2 3 2" xfId="30890" xr:uid="{00000000-0005-0000-0000-0000A7580000}"/>
    <cellStyle name="Normal 4 2 2 3 6 2 4" xfId="30887" xr:uid="{00000000-0005-0000-0000-0000A8580000}"/>
    <cellStyle name="Normal 4 2 2 3 6 3" xfId="7398" xr:uid="{00000000-0005-0000-0000-0000A9580000}"/>
    <cellStyle name="Normal 4 2 2 3 6 3 2" xfId="7399" xr:uid="{00000000-0005-0000-0000-0000AA580000}"/>
    <cellStyle name="Normal 4 2 2 3 6 3 2 2" xfId="30892" xr:uid="{00000000-0005-0000-0000-0000AB580000}"/>
    <cellStyle name="Normal 4 2 2 3 6 3 3" xfId="30891" xr:uid="{00000000-0005-0000-0000-0000AC580000}"/>
    <cellStyle name="Normal 4 2 2 3 6 4" xfId="7400" xr:uid="{00000000-0005-0000-0000-0000AD580000}"/>
    <cellStyle name="Normal 4 2 2 3 6 4 2" xfId="30893" xr:uid="{00000000-0005-0000-0000-0000AE580000}"/>
    <cellStyle name="Normal 4 2 2 3 6 5" xfId="30886" xr:uid="{00000000-0005-0000-0000-0000AF580000}"/>
    <cellStyle name="Normal 4 2 2 3 7" xfId="7401" xr:uid="{00000000-0005-0000-0000-0000B0580000}"/>
    <cellStyle name="Normal 4 2 2 3 7 2" xfId="7402" xr:uid="{00000000-0005-0000-0000-0000B1580000}"/>
    <cellStyle name="Normal 4 2 2 3 7 2 2" xfId="7403" xr:uid="{00000000-0005-0000-0000-0000B2580000}"/>
    <cellStyle name="Normal 4 2 2 3 7 2 2 2" xfId="30896" xr:uid="{00000000-0005-0000-0000-0000B3580000}"/>
    <cellStyle name="Normal 4 2 2 3 7 2 3" xfId="30895" xr:uid="{00000000-0005-0000-0000-0000B4580000}"/>
    <cellStyle name="Normal 4 2 2 3 7 3" xfId="7404" xr:uid="{00000000-0005-0000-0000-0000B5580000}"/>
    <cellStyle name="Normal 4 2 2 3 7 3 2" xfId="30897" xr:uid="{00000000-0005-0000-0000-0000B6580000}"/>
    <cellStyle name="Normal 4 2 2 3 7 4" xfId="30894" xr:uid="{00000000-0005-0000-0000-0000B7580000}"/>
    <cellStyle name="Normal 4 2 2 3 8" xfId="7405" xr:uid="{00000000-0005-0000-0000-0000B8580000}"/>
    <cellStyle name="Normal 4 2 2 3 8 2" xfId="7406" xr:uid="{00000000-0005-0000-0000-0000B9580000}"/>
    <cellStyle name="Normal 4 2 2 3 8 2 2" xfId="30899" xr:uid="{00000000-0005-0000-0000-0000BA580000}"/>
    <cellStyle name="Normal 4 2 2 3 8 3" xfId="30898" xr:uid="{00000000-0005-0000-0000-0000BB580000}"/>
    <cellStyle name="Normal 4 2 2 3 9" xfId="7407" xr:uid="{00000000-0005-0000-0000-0000BC580000}"/>
    <cellStyle name="Normal 4 2 2 3 9 2" xfId="30900" xr:uid="{00000000-0005-0000-0000-0000BD580000}"/>
    <cellStyle name="Normal 4 2 2 4" xfId="7408" xr:uid="{00000000-0005-0000-0000-0000BE580000}"/>
    <cellStyle name="Normal 4 2 2 4 10" xfId="30901" xr:uid="{00000000-0005-0000-0000-0000BF580000}"/>
    <cellStyle name="Normal 4 2 2 4 2" xfId="7409" xr:uid="{00000000-0005-0000-0000-0000C0580000}"/>
    <cellStyle name="Normal 4 2 2 4 2 2" xfId="7410" xr:uid="{00000000-0005-0000-0000-0000C1580000}"/>
    <cellStyle name="Normal 4 2 2 4 2 2 2" xfId="7411" xr:uid="{00000000-0005-0000-0000-0000C2580000}"/>
    <cellStyle name="Normal 4 2 2 4 2 2 2 2" xfId="7412" xr:uid="{00000000-0005-0000-0000-0000C3580000}"/>
    <cellStyle name="Normal 4 2 2 4 2 2 2 2 2" xfId="7413" xr:uid="{00000000-0005-0000-0000-0000C4580000}"/>
    <cellStyle name="Normal 4 2 2 4 2 2 2 2 2 2" xfId="30906" xr:uid="{00000000-0005-0000-0000-0000C5580000}"/>
    <cellStyle name="Normal 4 2 2 4 2 2 2 2 3" xfId="30905" xr:uid="{00000000-0005-0000-0000-0000C6580000}"/>
    <cellStyle name="Normal 4 2 2 4 2 2 2 3" xfId="7414" xr:uid="{00000000-0005-0000-0000-0000C7580000}"/>
    <cellStyle name="Normal 4 2 2 4 2 2 2 3 2" xfId="30907" xr:uid="{00000000-0005-0000-0000-0000C8580000}"/>
    <cellStyle name="Normal 4 2 2 4 2 2 2 4" xfId="30904" xr:uid="{00000000-0005-0000-0000-0000C9580000}"/>
    <cellStyle name="Normal 4 2 2 4 2 2 3" xfId="7415" xr:uid="{00000000-0005-0000-0000-0000CA580000}"/>
    <cellStyle name="Normal 4 2 2 4 2 2 3 2" xfId="7416" xr:uid="{00000000-0005-0000-0000-0000CB580000}"/>
    <cellStyle name="Normal 4 2 2 4 2 2 3 2 2" xfId="30909" xr:uid="{00000000-0005-0000-0000-0000CC580000}"/>
    <cellStyle name="Normal 4 2 2 4 2 2 3 3" xfId="30908" xr:uid="{00000000-0005-0000-0000-0000CD580000}"/>
    <cellStyle name="Normal 4 2 2 4 2 2 4" xfId="7417" xr:uid="{00000000-0005-0000-0000-0000CE580000}"/>
    <cellStyle name="Normal 4 2 2 4 2 2 4 2" xfId="30910" xr:uid="{00000000-0005-0000-0000-0000CF580000}"/>
    <cellStyle name="Normal 4 2 2 4 2 2 5" xfId="21462" xr:uid="{00000000-0005-0000-0000-0000D0580000}"/>
    <cellStyle name="Normal 4 2 2 4 2 2 5 2" xfId="44777" xr:uid="{00000000-0005-0000-0000-0000D1580000}"/>
    <cellStyle name="Normal 4 2 2 4 2 2 6" xfId="21463" xr:uid="{00000000-0005-0000-0000-0000D2580000}"/>
    <cellStyle name="Normal 4 2 2 4 2 2 6 2" xfId="44778" xr:uid="{00000000-0005-0000-0000-0000D3580000}"/>
    <cellStyle name="Normal 4 2 2 4 2 2 7" xfId="30903" xr:uid="{00000000-0005-0000-0000-0000D4580000}"/>
    <cellStyle name="Normal 4 2 2 4 2 3" xfId="7418" xr:uid="{00000000-0005-0000-0000-0000D5580000}"/>
    <cellStyle name="Normal 4 2 2 4 2 3 2" xfId="7419" xr:uid="{00000000-0005-0000-0000-0000D6580000}"/>
    <cellStyle name="Normal 4 2 2 4 2 3 2 2" xfId="7420" xr:uid="{00000000-0005-0000-0000-0000D7580000}"/>
    <cellStyle name="Normal 4 2 2 4 2 3 2 2 2" xfId="7421" xr:uid="{00000000-0005-0000-0000-0000D8580000}"/>
    <cellStyle name="Normal 4 2 2 4 2 3 2 2 2 2" xfId="30914" xr:uid="{00000000-0005-0000-0000-0000D9580000}"/>
    <cellStyle name="Normal 4 2 2 4 2 3 2 2 3" xfId="30913" xr:uid="{00000000-0005-0000-0000-0000DA580000}"/>
    <cellStyle name="Normal 4 2 2 4 2 3 2 3" xfId="7422" xr:uid="{00000000-0005-0000-0000-0000DB580000}"/>
    <cellStyle name="Normal 4 2 2 4 2 3 2 3 2" xfId="30915" xr:uid="{00000000-0005-0000-0000-0000DC580000}"/>
    <cellStyle name="Normal 4 2 2 4 2 3 2 4" xfId="30912" xr:uid="{00000000-0005-0000-0000-0000DD580000}"/>
    <cellStyle name="Normal 4 2 2 4 2 3 3" xfId="7423" xr:uid="{00000000-0005-0000-0000-0000DE580000}"/>
    <cellStyle name="Normal 4 2 2 4 2 3 3 2" xfId="7424" xr:uid="{00000000-0005-0000-0000-0000DF580000}"/>
    <cellStyle name="Normal 4 2 2 4 2 3 3 2 2" xfId="30917" xr:uid="{00000000-0005-0000-0000-0000E0580000}"/>
    <cellStyle name="Normal 4 2 2 4 2 3 3 3" xfId="30916" xr:uid="{00000000-0005-0000-0000-0000E1580000}"/>
    <cellStyle name="Normal 4 2 2 4 2 3 4" xfId="7425" xr:uid="{00000000-0005-0000-0000-0000E2580000}"/>
    <cellStyle name="Normal 4 2 2 4 2 3 4 2" xfId="30918" xr:uid="{00000000-0005-0000-0000-0000E3580000}"/>
    <cellStyle name="Normal 4 2 2 4 2 3 5" xfId="30911" xr:uid="{00000000-0005-0000-0000-0000E4580000}"/>
    <cellStyle name="Normal 4 2 2 4 2 4" xfId="7426" xr:uid="{00000000-0005-0000-0000-0000E5580000}"/>
    <cellStyle name="Normal 4 2 2 4 2 4 2" xfId="7427" xr:uid="{00000000-0005-0000-0000-0000E6580000}"/>
    <cellStyle name="Normal 4 2 2 4 2 4 2 2" xfId="7428" xr:uid="{00000000-0005-0000-0000-0000E7580000}"/>
    <cellStyle name="Normal 4 2 2 4 2 4 2 2 2" xfId="30921" xr:uid="{00000000-0005-0000-0000-0000E8580000}"/>
    <cellStyle name="Normal 4 2 2 4 2 4 2 3" xfId="30920" xr:uid="{00000000-0005-0000-0000-0000E9580000}"/>
    <cellStyle name="Normal 4 2 2 4 2 4 3" xfId="7429" xr:uid="{00000000-0005-0000-0000-0000EA580000}"/>
    <cellStyle name="Normal 4 2 2 4 2 4 3 2" xfId="30922" xr:uid="{00000000-0005-0000-0000-0000EB580000}"/>
    <cellStyle name="Normal 4 2 2 4 2 4 4" xfId="30919" xr:uid="{00000000-0005-0000-0000-0000EC580000}"/>
    <cellStyle name="Normal 4 2 2 4 2 5" xfId="7430" xr:uid="{00000000-0005-0000-0000-0000ED580000}"/>
    <cellStyle name="Normal 4 2 2 4 2 5 2" xfId="7431" xr:uid="{00000000-0005-0000-0000-0000EE580000}"/>
    <cellStyle name="Normal 4 2 2 4 2 5 2 2" xfId="30924" xr:uid="{00000000-0005-0000-0000-0000EF580000}"/>
    <cellStyle name="Normal 4 2 2 4 2 5 3" xfId="30923" xr:uid="{00000000-0005-0000-0000-0000F0580000}"/>
    <cellStyle name="Normal 4 2 2 4 2 6" xfId="7432" xr:uid="{00000000-0005-0000-0000-0000F1580000}"/>
    <cellStyle name="Normal 4 2 2 4 2 6 2" xfId="30925" xr:uid="{00000000-0005-0000-0000-0000F2580000}"/>
    <cellStyle name="Normal 4 2 2 4 2 7" xfId="21464" xr:uid="{00000000-0005-0000-0000-0000F3580000}"/>
    <cellStyle name="Normal 4 2 2 4 2 7 2" xfId="44779" xr:uid="{00000000-0005-0000-0000-0000F4580000}"/>
    <cellStyle name="Normal 4 2 2 4 2 8" xfId="30902" xr:uid="{00000000-0005-0000-0000-0000F5580000}"/>
    <cellStyle name="Normal 4 2 2 4 3" xfId="7433" xr:uid="{00000000-0005-0000-0000-0000F6580000}"/>
    <cellStyle name="Normal 4 2 2 4 3 2" xfId="7434" xr:uid="{00000000-0005-0000-0000-0000F7580000}"/>
    <cellStyle name="Normal 4 2 2 4 3 2 2" xfId="7435" xr:uid="{00000000-0005-0000-0000-0000F8580000}"/>
    <cellStyle name="Normal 4 2 2 4 3 2 2 2" xfId="7436" xr:uid="{00000000-0005-0000-0000-0000F9580000}"/>
    <cellStyle name="Normal 4 2 2 4 3 2 2 2 2" xfId="7437" xr:uid="{00000000-0005-0000-0000-0000FA580000}"/>
    <cellStyle name="Normal 4 2 2 4 3 2 2 2 2 2" xfId="30930" xr:uid="{00000000-0005-0000-0000-0000FB580000}"/>
    <cellStyle name="Normal 4 2 2 4 3 2 2 2 3" xfId="30929" xr:uid="{00000000-0005-0000-0000-0000FC580000}"/>
    <cellStyle name="Normal 4 2 2 4 3 2 2 3" xfId="7438" xr:uid="{00000000-0005-0000-0000-0000FD580000}"/>
    <cellStyle name="Normal 4 2 2 4 3 2 2 3 2" xfId="30931" xr:uid="{00000000-0005-0000-0000-0000FE580000}"/>
    <cellStyle name="Normal 4 2 2 4 3 2 2 4" xfId="30928" xr:uid="{00000000-0005-0000-0000-0000FF580000}"/>
    <cellStyle name="Normal 4 2 2 4 3 2 3" xfId="7439" xr:uid="{00000000-0005-0000-0000-000000590000}"/>
    <cellStyle name="Normal 4 2 2 4 3 2 3 2" xfId="7440" xr:uid="{00000000-0005-0000-0000-000001590000}"/>
    <cellStyle name="Normal 4 2 2 4 3 2 3 2 2" xfId="30933" xr:uid="{00000000-0005-0000-0000-000002590000}"/>
    <cellStyle name="Normal 4 2 2 4 3 2 3 3" xfId="30932" xr:uid="{00000000-0005-0000-0000-000003590000}"/>
    <cellStyle name="Normal 4 2 2 4 3 2 4" xfId="7441" xr:uid="{00000000-0005-0000-0000-000004590000}"/>
    <cellStyle name="Normal 4 2 2 4 3 2 4 2" xfId="30934" xr:uid="{00000000-0005-0000-0000-000005590000}"/>
    <cellStyle name="Normal 4 2 2 4 3 2 5" xfId="21465" xr:uid="{00000000-0005-0000-0000-000006590000}"/>
    <cellStyle name="Normal 4 2 2 4 3 2 5 2" xfId="44780" xr:uid="{00000000-0005-0000-0000-000007590000}"/>
    <cellStyle name="Normal 4 2 2 4 3 2 6" xfId="21466" xr:uid="{00000000-0005-0000-0000-000008590000}"/>
    <cellStyle name="Normal 4 2 2 4 3 2 6 2" xfId="44781" xr:uid="{00000000-0005-0000-0000-000009590000}"/>
    <cellStyle name="Normal 4 2 2 4 3 2 7" xfId="30927" xr:uid="{00000000-0005-0000-0000-00000A590000}"/>
    <cellStyle name="Normal 4 2 2 4 3 3" xfId="7442" xr:uid="{00000000-0005-0000-0000-00000B590000}"/>
    <cellStyle name="Normal 4 2 2 4 3 3 2" xfId="7443" xr:uid="{00000000-0005-0000-0000-00000C590000}"/>
    <cellStyle name="Normal 4 2 2 4 3 3 2 2" xfId="7444" xr:uid="{00000000-0005-0000-0000-00000D590000}"/>
    <cellStyle name="Normal 4 2 2 4 3 3 2 2 2" xfId="7445" xr:uid="{00000000-0005-0000-0000-00000E590000}"/>
    <cellStyle name="Normal 4 2 2 4 3 3 2 2 2 2" xfId="30938" xr:uid="{00000000-0005-0000-0000-00000F590000}"/>
    <cellStyle name="Normal 4 2 2 4 3 3 2 2 3" xfId="30937" xr:uid="{00000000-0005-0000-0000-000010590000}"/>
    <cellStyle name="Normal 4 2 2 4 3 3 2 3" xfId="7446" xr:uid="{00000000-0005-0000-0000-000011590000}"/>
    <cellStyle name="Normal 4 2 2 4 3 3 2 3 2" xfId="30939" xr:uid="{00000000-0005-0000-0000-000012590000}"/>
    <cellStyle name="Normal 4 2 2 4 3 3 2 4" xfId="30936" xr:uid="{00000000-0005-0000-0000-000013590000}"/>
    <cellStyle name="Normal 4 2 2 4 3 3 3" xfId="7447" xr:uid="{00000000-0005-0000-0000-000014590000}"/>
    <cellStyle name="Normal 4 2 2 4 3 3 3 2" xfId="7448" xr:uid="{00000000-0005-0000-0000-000015590000}"/>
    <cellStyle name="Normal 4 2 2 4 3 3 3 2 2" xfId="30941" xr:uid="{00000000-0005-0000-0000-000016590000}"/>
    <cellStyle name="Normal 4 2 2 4 3 3 3 3" xfId="30940" xr:uid="{00000000-0005-0000-0000-000017590000}"/>
    <cellStyle name="Normal 4 2 2 4 3 3 4" xfId="7449" xr:uid="{00000000-0005-0000-0000-000018590000}"/>
    <cellStyle name="Normal 4 2 2 4 3 3 4 2" xfId="30942" xr:uid="{00000000-0005-0000-0000-000019590000}"/>
    <cellStyle name="Normal 4 2 2 4 3 3 5" xfId="30935" xr:uid="{00000000-0005-0000-0000-00001A590000}"/>
    <cellStyle name="Normal 4 2 2 4 3 4" xfId="7450" xr:uid="{00000000-0005-0000-0000-00001B590000}"/>
    <cellStyle name="Normal 4 2 2 4 3 4 2" xfId="7451" xr:uid="{00000000-0005-0000-0000-00001C590000}"/>
    <cellStyle name="Normal 4 2 2 4 3 4 2 2" xfId="7452" xr:uid="{00000000-0005-0000-0000-00001D590000}"/>
    <cellStyle name="Normal 4 2 2 4 3 4 2 2 2" xfId="30945" xr:uid="{00000000-0005-0000-0000-00001E590000}"/>
    <cellStyle name="Normal 4 2 2 4 3 4 2 3" xfId="30944" xr:uid="{00000000-0005-0000-0000-00001F590000}"/>
    <cellStyle name="Normal 4 2 2 4 3 4 3" xfId="7453" xr:uid="{00000000-0005-0000-0000-000020590000}"/>
    <cellStyle name="Normal 4 2 2 4 3 4 3 2" xfId="30946" xr:uid="{00000000-0005-0000-0000-000021590000}"/>
    <cellStyle name="Normal 4 2 2 4 3 4 4" xfId="30943" xr:uid="{00000000-0005-0000-0000-000022590000}"/>
    <cellStyle name="Normal 4 2 2 4 3 5" xfId="7454" xr:uid="{00000000-0005-0000-0000-000023590000}"/>
    <cellStyle name="Normal 4 2 2 4 3 5 2" xfId="7455" xr:uid="{00000000-0005-0000-0000-000024590000}"/>
    <cellStyle name="Normal 4 2 2 4 3 5 2 2" xfId="30948" xr:uid="{00000000-0005-0000-0000-000025590000}"/>
    <cellStyle name="Normal 4 2 2 4 3 5 3" xfId="30947" xr:uid="{00000000-0005-0000-0000-000026590000}"/>
    <cellStyle name="Normal 4 2 2 4 3 6" xfId="7456" xr:uid="{00000000-0005-0000-0000-000027590000}"/>
    <cellStyle name="Normal 4 2 2 4 3 6 2" xfId="30949" xr:uid="{00000000-0005-0000-0000-000028590000}"/>
    <cellStyle name="Normal 4 2 2 4 3 7" xfId="21467" xr:uid="{00000000-0005-0000-0000-000029590000}"/>
    <cellStyle name="Normal 4 2 2 4 3 7 2" xfId="44782" xr:uid="{00000000-0005-0000-0000-00002A590000}"/>
    <cellStyle name="Normal 4 2 2 4 3 8" xfId="30926" xr:uid="{00000000-0005-0000-0000-00002B590000}"/>
    <cellStyle name="Normal 4 2 2 4 4" xfId="7457" xr:uid="{00000000-0005-0000-0000-00002C590000}"/>
    <cellStyle name="Normal 4 2 2 4 4 2" xfId="7458" xr:uid="{00000000-0005-0000-0000-00002D590000}"/>
    <cellStyle name="Normal 4 2 2 4 4 2 2" xfId="7459" xr:uid="{00000000-0005-0000-0000-00002E590000}"/>
    <cellStyle name="Normal 4 2 2 4 4 2 2 2" xfId="7460" xr:uid="{00000000-0005-0000-0000-00002F590000}"/>
    <cellStyle name="Normal 4 2 2 4 4 2 2 2 2" xfId="7461" xr:uid="{00000000-0005-0000-0000-000030590000}"/>
    <cellStyle name="Normal 4 2 2 4 4 2 2 2 2 2" xfId="30954" xr:uid="{00000000-0005-0000-0000-000031590000}"/>
    <cellStyle name="Normal 4 2 2 4 4 2 2 2 3" xfId="30953" xr:uid="{00000000-0005-0000-0000-000032590000}"/>
    <cellStyle name="Normal 4 2 2 4 4 2 2 3" xfId="7462" xr:uid="{00000000-0005-0000-0000-000033590000}"/>
    <cellStyle name="Normal 4 2 2 4 4 2 2 3 2" xfId="30955" xr:uid="{00000000-0005-0000-0000-000034590000}"/>
    <cellStyle name="Normal 4 2 2 4 4 2 2 4" xfId="30952" xr:uid="{00000000-0005-0000-0000-000035590000}"/>
    <cellStyle name="Normal 4 2 2 4 4 2 3" xfId="7463" xr:uid="{00000000-0005-0000-0000-000036590000}"/>
    <cellStyle name="Normal 4 2 2 4 4 2 3 2" xfId="7464" xr:uid="{00000000-0005-0000-0000-000037590000}"/>
    <cellStyle name="Normal 4 2 2 4 4 2 3 2 2" xfId="30957" xr:uid="{00000000-0005-0000-0000-000038590000}"/>
    <cellStyle name="Normal 4 2 2 4 4 2 3 3" xfId="30956" xr:uid="{00000000-0005-0000-0000-000039590000}"/>
    <cellStyle name="Normal 4 2 2 4 4 2 4" xfId="7465" xr:uid="{00000000-0005-0000-0000-00003A590000}"/>
    <cellStyle name="Normal 4 2 2 4 4 2 4 2" xfId="30958" xr:uid="{00000000-0005-0000-0000-00003B590000}"/>
    <cellStyle name="Normal 4 2 2 4 4 2 5" xfId="30951" xr:uid="{00000000-0005-0000-0000-00003C590000}"/>
    <cellStyle name="Normal 4 2 2 4 4 3" xfId="7466" xr:uid="{00000000-0005-0000-0000-00003D590000}"/>
    <cellStyle name="Normal 4 2 2 4 4 3 2" xfId="7467" xr:uid="{00000000-0005-0000-0000-00003E590000}"/>
    <cellStyle name="Normal 4 2 2 4 4 3 2 2" xfId="7468" xr:uid="{00000000-0005-0000-0000-00003F590000}"/>
    <cellStyle name="Normal 4 2 2 4 4 3 2 2 2" xfId="7469" xr:uid="{00000000-0005-0000-0000-000040590000}"/>
    <cellStyle name="Normal 4 2 2 4 4 3 2 2 2 2" xfId="30962" xr:uid="{00000000-0005-0000-0000-000041590000}"/>
    <cellStyle name="Normal 4 2 2 4 4 3 2 2 3" xfId="30961" xr:uid="{00000000-0005-0000-0000-000042590000}"/>
    <cellStyle name="Normal 4 2 2 4 4 3 2 3" xfId="7470" xr:uid="{00000000-0005-0000-0000-000043590000}"/>
    <cellStyle name="Normal 4 2 2 4 4 3 2 3 2" xfId="30963" xr:uid="{00000000-0005-0000-0000-000044590000}"/>
    <cellStyle name="Normal 4 2 2 4 4 3 2 4" xfId="30960" xr:uid="{00000000-0005-0000-0000-000045590000}"/>
    <cellStyle name="Normal 4 2 2 4 4 3 3" xfId="7471" xr:uid="{00000000-0005-0000-0000-000046590000}"/>
    <cellStyle name="Normal 4 2 2 4 4 3 3 2" xfId="7472" xr:uid="{00000000-0005-0000-0000-000047590000}"/>
    <cellStyle name="Normal 4 2 2 4 4 3 3 2 2" xfId="30965" xr:uid="{00000000-0005-0000-0000-000048590000}"/>
    <cellStyle name="Normal 4 2 2 4 4 3 3 3" xfId="30964" xr:uid="{00000000-0005-0000-0000-000049590000}"/>
    <cellStyle name="Normal 4 2 2 4 4 3 4" xfId="7473" xr:uid="{00000000-0005-0000-0000-00004A590000}"/>
    <cellStyle name="Normal 4 2 2 4 4 3 4 2" xfId="30966" xr:uid="{00000000-0005-0000-0000-00004B590000}"/>
    <cellStyle name="Normal 4 2 2 4 4 3 5" xfId="30959" xr:uid="{00000000-0005-0000-0000-00004C590000}"/>
    <cellStyle name="Normal 4 2 2 4 4 4" xfId="7474" xr:uid="{00000000-0005-0000-0000-00004D590000}"/>
    <cellStyle name="Normal 4 2 2 4 4 4 2" xfId="7475" xr:uid="{00000000-0005-0000-0000-00004E590000}"/>
    <cellStyle name="Normal 4 2 2 4 4 4 2 2" xfId="7476" xr:uid="{00000000-0005-0000-0000-00004F590000}"/>
    <cellStyle name="Normal 4 2 2 4 4 4 2 2 2" xfId="30969" xr:uid="{00000000-0005-0000-0000-000050590000}"/>
    <cellStyle name="Normal 4 2 2 4 4 4 2 3" xfId="30968" xr:uid="{00000000-0005-0000-0000-000051590000}"/>
    <cellStyle name="Normal 4 2 2 4 4 4 3" xfId="7477" xr:uid="{00000000-0005-0000-0000-000052590000}"/>
    <cellStyle name="Normal 4 2 2 4 4 4 3 2" xfId="30970" xr:uid="{00000000-0005-0000-0000-000053590000}"/>
    <cellStyle name="Normal 4 2 2 4 4 4 4" xfId="30967" xr:uid="{00000000-0005-0000-0000-000054590000}"/>
    <cellStyle name="Normal 4 2 2 4 4 5" xfId="7478" xr:uid="{00000000-0005-0000-0000-000055590000}"/>
    <cellStyle name="Normal 4 2 2 4 4 5 2" xfId="7479" xr:uid="{00000000-0005-0000-0000-000056590000}"/>
    <cellStyle name="Normal 4 2 2 4 4 5 2 2" xfId="30972" xr:uid="{00000000-0005-0000-0000-000057590000}"/>
    <cellStyle name="Normal 4 2 2 4 4 5 3" xfId="30971" xr:uid="{00000000-0005-0000-0000-000058590000}"/>
    <cellStyle name="Normal 4 2 2 4 4 6" xfId="7480" xr:uid="{00000000-0005-0000-0000-000059590000}"/>
    <cellStyle name="Normal 4 2 2 4 4 6 2" xfId="30973" xr:uid="{00000000-0005-0000-0000-00005A590000}"/>
    <cellStyle name="Normal 4 2 2 4 4 7" xfId="30950" xr:uid="{00000000-0005-0000-0000-00005B590000}"/>
    <cellStyle name="Normal 4 2 2 4 5" xfId="7481" xr:uid="{00000000-0005-0000-0000-00005C590000}"/>
    <cellStyle name="Normal 4 2 2 4 5 2" xfId="7482" xr:uid="{00000000-0005-0000-0000-00005D590000}"/>
    <cellStyle name="Normal 4 2 2 4 5 2 2" xfId="7483" xr:uid="{00000000-0005-0000-0000-00005E590000}"/>
    <cellStyle name="Normal 4 2 2 4 5 2 2 2" xfId="7484" xr:uid="{00000000-0005-0000-0000-00005F590000}"/>
    <cellStyle name="Normal 4 2 2 4 5 2 2 2 2" xfId="30977" xr:uid="{00000000-0005-0000-0000-000060590000}"/>
    <cellStyle name="Normal 4 2 2 4 5 2 2 3" xfId="30976" xr:uid="{00000000-0005-0000-0000-000061590000}"/>
    <cellStyle name="Normal 4 2 2 4 5 2 3" xfId="7485" xr:uid="{00000000-0005-0000-0000-000062590000}"/>
    <cellStyle name="Normal 4 2 2 4 5 2 3 2" xfId="30978" xr:uid="{00000000-0005-0000-0000-000063590000}"/>
    <cellStyle name="Normal 4 2 2 4 5 2 4" xfId="30975" xr:uid="{00000000-0005-0000-0000-000064590000}"/>
    <cellStyle name="Normal 4 2 2 4 5 3" xfId="7486" xr:uid="{00000000-0005-0000-0000-000065590000}"/>
    <cellStyle name="Normal 4 2 2 4 5 3 2" xfId="7487" xr:uid="{00000000-0005-0000-0000-000066590000}"/>
    <cellStyle name="Normal 4 2 2 4 5 3 2 2" xfId="30980" xr:uid="{00000000-0005-0000-0000-000067590000}"/>
    <cellStyle name="Normal 4 2 2 4 5 3 3" xfId="30979" xr:uid="{00000000-0005-0000-0000-000068590000}"/>
    <cellStyle name="Normal 4 2 2 4 5 4" xfId="7488" xr:uid="{00000000-0005-0000-0000-000069590000}"/>
    <cellStyle name="Normal 4 2 2 4 5 4 2" xfId="30981" xr:uid="{00000000-0005-0000-0000-00006A590000}"/>
    <cellStyle name="Normal 4 2 2 4 5 5" xfId="30974" xr:uid="{00000000-0005-0000-0000-00006B590000}"/>
    <cellStyle name="Normal 4 2 2 4 6" xfId="7489" xr:uid="{00000000-0005-0000-0000-00006C590000}"/>
    <cellStyle name="Normal 4 2 2 4 6 2" xfId="7490" xr:uid="{00000000-0005-0000-0000-00006D590000}"/>
    <cellStyle name="Normal 4 2 2 4 6 2 2" xfId="7491" xr:uid="{00000000-0005-0000-0000-00006E590000}"/>
    <cellStyle name="Normal 4 2 2 4 6 2 2 2" xfId="7492" xr:uid="{00000000-0005-0000-0000-00006F590000}"/>
    <cellStyle name="Normal 4 2 2 4 6 2 2 2 2" xfId="30985" xr:uid="{00000000-0005-0000-0000-000070590000}"/>
    <cellStyle name="Normal 4 2 2 4 6 2 2 3" xfId="30984" xr:uid="{00000000-0005-0000-0000-000071590000}"/>
    <cellStyle name="Normal 4 2 2 4 6 2 3" xfId="7493" xr:uid="{00000000-0005-0000-0000-000072590000}"/>
    <cellStyle name="Normal 4 2 2 4 6 2 3 2" xfId="30986" xr:uid="{00000000-0005-0000-0000-000073590000}"/>
    <cellStyle name="Normal 4 2 2 4 6 2 4" xfId="30983" xr:uid="{00000000-0005-0000-0000-000074590000}"/>
    <cellStyle name="Normal 4 2 2 4 6 3" xfId="7494" xr:uid="{00000000-0005-0000-0000-000075590000}"/>
    <cellStyle name="Normal 4 2 2 4 6 3 2" xfId="7495" xr:uid="{00000000-0005-0000-0000-000076590000}"/>
    <cellStyle name="Normal 4 2 2 4 6 3 2 2" xfId="30988" xr:uid="{00000000-0005-0000-0000-000077590000}"/>
    <cellStyle name="Normal 4 2 2 4 6 3 3" xfId="30987" xr:uid="{00000000-0005-0000-0000-000078590000}"/>
    <cellStyle name="Normal 4 2 2 4 6 4" xfId="7496" xr:uid="{00000000-0005-0000-0000-000079590000}"/>
    <cellStyle name="Normal 4 2 2 4 6 4 2" xfId="30989" xr:uid="{00000000-0005-0000-0000-00007A590000}"/>
    <cellStyle name="Normal 4 2 2 4 6 5" xfId="30982" xr:uid="{00000000-0005-0000-0000-00007B590000}"/>
    <cellStyle name="Normal 4 2 2 4 7" xfId="7497" xr:uid="{00000000-0005-0000-0000-00007C590000}"/>
    <cellStyle name="Normal 4 2 2 4 7 2" xfId="7498" xr:uid="{00000000-0005-0000-0000-00007D590000}"/>
    <cellStyle name="Normal 4 2 2 4 7 2 2" xfId="7499" xr:uid="{00000000-0005-0000-0000-00007E590000}"/>
    <cellStyle name="Normal 4 2 2 4 7 2 2 2" xfId="30992" xr:uid="{00000000-0005-0000-0000-00007F590000}"/>
    <cellStyle name="Normal 4 2 2 4 7 2 3" xfId="30991" xr:uid="{00000000-0005-0000-0000-000080590000}"/>
    <cellStyle name="Normal 4 2 2 4 7 3" xfId="7500" xr:uid="{00000000-0005-0000-0000-000081590000}"/>
    <cellStyle name="Normal 4 2 2 4 7 3 2" xfId="30993" xr:uid="{00000000-0005-0000-0000-000082590000}"/>
    <cellStyle name="Normal 4 2 2 4 7 4" xfId="30990" xr:uid="{00000000-0005-0000-0000-000083590000}"/>
    <cellStyle name="Normal 4 2 2 4 8" xfId="7501" xr:uid="{00000000-0005-0000-0000-000084590000}"/>
    <cellStyle name="Normal 4 2 2 4 8 2" xfId="7502" xr:uid="{00000000-0005-0000-0000-000085590000}"/>
    <cellStyle name="Normal 4 2 2 4 8 2 2" xfId="30995" xr:uid="{00000000-0005-0000-0000-000086590000}"/>
    <cellStyle name="Normal 4 2 2 4 8 3" xfId="30994" xr:uid="{00000000-0005-0000-0000-000087590000}"/>
    <cellStyle name="Normal 4 2 2 4 9" xfId="7503" xr:uid="{00000000-0005-0000-0000-000088590000}"/>
    <cellStyle name="Normal 4 2 2 4 9 2" xfId="30996" xr:uid="{00000000-0005-0000-0000-000089590000}"/>
    <cellStyle name="Normal 4 2 2 5" xfId="7504" xr:uid="{00000000-0005-0000-0000-00008A590000}"/>
    <cellStyle name="Normal 4 2 2 5 2" xfId="7505" xr:uid="{00000000-0005-0000-0000-00008B590000}"/>
    <cellStyle name="Normal 4 2 2 5 2 2" xfId="7506" xr:uid="{00000000-0005-0000-0000-00008C590000}"/>
    <cellStyle name="Normal 4 2 2 5 2 2 2" xfId="7507" xr:uid="{00000000-0005-0000-0000-00008D590000}"/>
    <cellStyle name="Normal 4 2 2 5 2 2 2 2" xfId="7508" xr:uid="{00000000-0005-0000-0000-00008E590000}"/>
    <cellStyle name="Normal 4 2 2 5 2 2 2 2 2" xfId="31001" xr:uid="{00000000-0005-0000-0000-00008F590000}"/>
    <cellStyle name="Normal 4 2 2 5 2 2 2 3" xfId="31000" xr:uid="{00000000-0005-0000-0000-000090590000}"/>
    <cellStyle name="Normal 4 2 2 5 2 2 3" xfId="7509" xr:uid="{00000000-0005-0000-0000-000091590000}"/>
    <cellStyle name="Normal 4 2 2 5 2 2 3 2" xfId="31002" xr:uid="{00000000-0005-0000-0000-000092590000}"/>
    <cellStyle name="Normal 4 2 2 5 2 2 4" xfId="30999" xr:uid="{00000000-0005-0000-0000-000093590000}"/>
    <cellStyle name="Normal 4 2 2 5 2 3" xfId="7510" xr:uid="{00000000-0005-0000-0000-000094590000}"/>
    <cellStyle name="Normal 4 2 2 5 2 3 2" xfId="7511" xr:uid="{00000000-0005-0000-0000-000095590000}"/>
    <cellStyle name="Normal 4 2 2 5 2 3 2 2" xfId="31004" xr:uid="{00000000-0005-0000-0000-000096590000}"/>
    <cellStyle name="Normal 4 2 2 5 2 3 3" xfId="31003" xr:uid="{00000000-0005-0000-0000-000097590000}"/>
    <cellStyle name="Normal 4 2 2 5 2 4" xfId="7512" xr:uid="{00000000-0005-0000-0000-000098590000}"/>
    <cellStyle name="Normal 4 2 2 5 2 4 2" xfId="31005" xr:uid="{00000000-0005-0000-0000-000099590000}"/>
    <cellStyle name="Normal 4 2 2 5 2 5" xfId="21468" xr:uid="{00000000-0005-0000-0000-00009A590000}"/>
    <cellStyle name="Normal 4 2 2 5 2 5 2" xfId="44783" xr:uid="{00000000-0005-0000-0000-00009B590000}"/>
    <cellStyle name="Normal 4 2 2 5 2 6" xfId="21469" xr:uid="{00000000-0005-0000-0000-00009C590000}"/>
    <cellStyle name="Normal 4 2 2 5 2 6 2" xfId="44784" xr:uid="{00000000-0005-0000-0000-00009D590000}"/>
    <cellStyle name="Normal 4 2 2 5 2 7" xfId="30998" xr:uid="{00000000-0005-0000-0000-00009E590000}"/>
    <cellStyle name="Normal 4 2 2 5 3" xfId="7513" xr:uid="{00000000-0005-0000-0000-00009F590000}"/>
    <cellStyle name="Normal 4 2 2 5 3 2" xfId="7514" xr:uid="{00000000-0005-0000-0000-0000A0590000}"/>
    <cellStyle name="Normal 4 2 2 5 3 2 2" xfId="7515" xr:uid="{00000000-0005-0000-0000-0000A1590000}"/>
    <cellStyle name="Normal 4 2 2 5 3 2 2 2" xfId="7516" xr:uid="{00000000-0005-0000-0000-0000A2590000}"/>
    <cellStyle name="Normal 4 2 2 5 3 2 2 2 2" xfId="31009" xr:uid="{00000000-0005-0000-0000-0000A3590000}"/>
    <cellStyle name="Normal 4 2 2 5 3 2 2 3" xfId="31008" xr:uid="{00000000-0005-0000-0000-0000A4590000}"/>
    <cellStyle name="Normal 4 2 2 5 3 2 3" xfId="7517" xr:uid="{00000000-0005-0000-0000-0000A5590000}"/>
    <cellStyle name="Normal 4 2 2 5 3 2 3 2" xfId="31010" xr:uid="{00000000-0005-0000-0000-0000A6590000}"/>
    <cellStyle name="Normal 4 2 2 5 3 2 4" xfId="31007" xr:uid="{00000000-0005-0000-0000-0000A7590000}"/>
    <cellStyle name="Normal 4 2 2 5 3 3" xfId="7518" xr:uid="{00000000-0005-0000-0000-0000A8590000}"/>
    <cellStyle name="Normal 4 2 2 5 3 3 2" xfId="7519" xr:uid="{00000000-0005-0000-0000-0000A9590000}"/>
    <cellStyle name="Normal 4 2 2 5 3 3 2 2" xfId="31012" xr:uid="{00000000-0005-0000-0000-0000AA590000}"/>
    <cellStyle name="Normal 4 2 2 5 3 3 3" xfId="31011" xr:uid="{00000000-0005-0000-0000-0000AB590000}"/>
    <cellStyle name="Normal 4 2 2 5 3 4" xfId="7520" xr:uid="{00000000-0005-0000-0000-0000AC590000}"/>
    <cellStyle name="Normal 4 2 2 5 3 4 2" xfId="31013" xr:uid="{00000000-0005-0000-0000-0000AD590000}"/>
    <cellStyle name="Normal 4 2 2 5 3 5" xfId="31006" xr:uid="{00000000-0005-0000-0000-0000AE590000}"/>
    <cellStyle name="Normal 4 2 2 5 4" xfId="7521" xr:uid="{00000000-0005-0000-0000-0000AF590000}"/>
    <cellStyle name="Normal 4 2 2 5 4 2" xfId="7522" xr:uid="{00000000-0005-0000-0000-0000B0590000}"/>
    <cellStyle name="Normal 4 2 2 5 4 2 2" xfId="7523" xr:uid="{00000000-0005-0000-0000-0000B1590000}"/>
    <cellStyle name="Normal 4 2 2 5 4 2 2 2" xfId="31016" xr:uid="{00000000-0005-0000-0000-0000B2590000}"/>
    <cellStyle name="Normal 4 2 2 5 4 2 3" xfId="31015" xr:uid="{00000000-0005-0000-0000-0000B3590000}"/>
    <cellStyle name="Normal 4 2 2 5 4 3" xfId="7524" xr:uid="{00000000-0005-0000-0000-0000B4590000}"/>
    <cellStyle name="Normal 4 2 2 5 4 3 2" xfId="31017" xr:uid="{00000000-0005-0000-0000-0000B5590000}"/>
    <cellStyle name="Normal 4 2 2 5 4 4" xfId="31014" xr:uid="{00000000-0005-0000-0000-0000B6590000}"/>
    <cellStyle name="Normal 4 2 2 5 5" xfId="7525" xr:uid="{00000000-0005-0000-0000-0000B7590000}"/>
    <cellStyle name="Normal 4 2 2 5 5 2" xfId="7526" xr:uid="{00000000-0005-0000-0000-0000B8590000}"/>
    <cellStyle name="Normal 4 2 2 5 5 2 2" xfId="31019" xr:uid="{00000000-0005-0000-0000-0000B9590000}"/>
    <cellStyle name="Normal 4 2 2 5 5 3" xfId="31018" xr:uid="{00000000-0005-0000-0000-0000BA590000}"/>
    <cellStyle name="Normal 4 2 2 5 6" xfId="7527" xr:uid="{00000000-0005-0000-0000-0000BB590000}"/>
    <cellStyle name="Normal 4 2 2 5 6 2" xfId="31020" xr:uid="{00000000-0005-0000-0000-0000BC590000}"/>
    <cellStyle name="Normal 4 2 2 5 7" xfId="21470" xr:uid="{00000000-0005-0000-0000-0000BD590000}"/>
    <cellStyle name="Normal 4 2 2 5 7 2" xfId="44785" xr:uid="{00000000-0005-0000-0000-0000BE590000}"/>
    <cellStyle name="Normal 4 2 2 5 8" xfId="30997" xr:uid="{00000000-0005-0000-0000-0000BF590000}"/>
    <cellStyle name="Normal 4 2 2 6" xfId="7528" xr:uid="{00000000-0005-0000-0000-0000C0590000}"/>
    <cellStyle name="Normal 4 2 2 6 2" xfId="7529" xr:uid="{00000000-0005-0000-0000-0000C1590000}"/>
    <cellStyle name="Normal 4 2 2 6 2 2" xfId="7530" xr:uid="{00000000-0005-0000-0000-0000C2590000}"/>
    <cellStyle name="Normal 4 2 2 6 2 2 2" xfId="7531" xr:uid="{00000000-0005-0000-0000-0000C3590000}"/>
    <cellStyle name="Normal 4 2 2 6 2 2 2 2" xfId="7532" xr:uid="{00000000-0005-0000-0000-0000C4590000}"/>
    <cellStyle name="Normal 4 2 2 6 2 2 2 2 2" xfId="31025" xr:uid="{00000000-0005-0000-0000-0000C5590000}"/>
    <cellStyle name="Normal 4 2 2 6 2 2 2 3" xfId="31024" xr:uid="{00000000-0005-0000-0000-0000C6590000}"/>
    <cellStyle name="Normal 4 2 2 6 2 2 3" xfId="7533" xr:uid="{00000000-0005-0000-0000-0000C7590000}"/>
    <cellStyle name="Normal 4 2 2 6 2 2 3 2" xfId="31026" xr:uid="{00000000-0005-0000-0000-0000C8590000}"/>
    <cellStyle name="Normal 4 2 2 6 2 2 4" xfId="31023" xr:uid="{00000000-0005-0000-0000-0000C9590000}"/>
    <cellStyle name="Normal 4 2 2 6 2 3" xfId="7534" xr:uid="{00000000-0005-0000-0000-0000CA590000}"/>
    <cellStyle name="Normal 4 2 2 6 2 3 2" xfId="7535" xr:uid="{00000000-0005-0000-0000-0000CB590000}"/>
    <cellStyle name="Normal 4 2 2 6 2 3 2 2" xfId="31028" xr:uid="{00000000-0005-0000-0000-0000CC590000}"/>
    <cellStyle name="Normal 4 2 2 6 2 3 3" xfId="31027" xr:uid="{00000000-0005-0000-0000-0000CD590000}"/>
    <cellStyle name="Normal 4 2 2 6 2 4" xfId="7536" xr:uid="{00000000-0005-0000-0000-0000CE590000}"/>
    <cellStyle name="Normal 4 2 2 6 2 4 2" xfId="31029" xr:uid="{00000000-0005-0000-0000-0000CF590000}"/>
    <cellStyle name="Normal 4 2 2 6 2 5" xfId="21471" xr:uid="{00000000-0005-0000-0000-0000D0590000}"/>
    <cellStyle name="Normal 4 2 2 6 2 5 2" xfId="44786" xr:uid="{00000000-0005-0000-0000-0000D1590000}"/>
    <cellStyle name="Normal 4 2 2 6 2 6" xfId="21472" xr:uid="{00000000-0005-0000-0000-0000D2590000}"/>
    <cellStyle name="Normal 4 2 2 6 2 6 2" xfId="44787" xr:uid="{00000000-0005-0000-0000-0000D3590000}"/>
    <cellStyle name="Normal 4 2 2 6 2 7" xfId="31022" xr:uid="{00000000-0005-0000-0000-0000D4590000}"/>
    <cellStyle name="Normal 4 2 2 6 3" xfId="7537" xr:uid="{00000000-0005-0000-0000-0000D5590000}"/>
    <cellStyle name="Normal 4 2 2 6 3 2" xfId="7538" xr:uid="{00000000-0005-0000-0000-0000D6590000}"/>
    <cellStyle name="Normal 4 2 2 6 3 2 2" xfId="7539" xr:uid="{00000000-0005-0000-0000-0000D7590000}"/>
    <cellStyle name="Normal 4 2 2 6 3 2 2 2" xfId="7540" xr:uid="{00000000-0005-0000-0000-0000D8590000}"/>
    <cellStyle name="Normal 4 2 2 6 3 2 2 2 2" xfId="31033" xr:uid="{00000000-0005-0000-0000-0000D9590000}"/>
    <cellStyle name="Normal 4 2 2 6 3 2 2 3" xfId="31032" xr:uid="{00000000-0005-0000-0000-0000DA590000}"/>
    <cellStyle name="Normal 4 2 2 6 3 2 3" xfId="7541" xr:uid="{00000000-0005-0000-0000-0000DB590000}"/>
    <cellStyle name="Normal 4 2 2 6 3 2 3 2" xfId="31034" xr:uid="{00000000-0005-0000-0000-0000DC590000}"/>
    <cellStyle name="Normal 4 2 2 6 3 2 4" xfId="31031" xr:uid="{00000000-0005-0000-0000-0000DD590000}"/>
    <cellStyle name="Normal 4 2 2 6 3 3" xfId="7542" xr:uid="{00000000-0005-0000-0000-0000DE590000}"/>
    <cellStyle name="Normal 4 2 2 6 3 3 2" xfId="7543" xr:uid="{00000000-0005-0000-0000-0000DF590000}"/>
    <cellStyle name="Normal 4 2 2 6 3 3 2 2" xfId="31036" xr:uid="{00000000-0005-0000-0000-0000E0590000}"/>
    <cellStyle name="Normal 4 2 2 6 3 3 3" xfId="31035" xr:uid="{00000000-0005-0000-0000-0000E1590000}"/>
    <cellStyle name="Normal 4 2 2 6 3 4" xfId="7544" xr:uid="{00000000-0005-0000-0000-0000E2590000}"/>
    <cellStyle name="Normal 4 2 2 6 3 4 2" xfId="31037" xr:uid="{00000000-0005-0000-0000-0000E3590000}"/>
    <cellStyle name="Normal 4 2 2 6 3 5" xfId="31030" xr:uid="{00000000-0005-0000-0000-0000E4590000}"/>
    <cellStyle name="Normal 4 2 2 6 4" xfId="7545" xr:uid="{00000000-0005-0000-0000-0000E5590000}"/>
    <cellStyle name="Normal 4 2 2 6 4 2" xfId="7546" xr:uid="{00000000-0005-0000-0000-0000E6590000}"/>
    <cellStyle name="Normal 4 2 2 6 4 2 2" xfId="7547" xr:uid="{00000000-0005-0000-0000-0000E7590000}"/>
    <cellStyle name="Normal 4 2 2 6 4 2 2 2" xfId="31040" xr:uid="{00000000-0005-0000-0000-0000E8590000}"/>
    <cellStyle name="Normal 4 2 2 6 4 2 3" xfId="31039" xr:uid="{00000000-0005-0000-0000-0000E9590000}"/>
    <cellStyle name="Normal 4 2 2 6 4 3" xfId="7548" xr:uid="{00000000-0005-0000-0000-0000EA590000}"/>
    <cellStyle name="Normal 4 2 2 6 4 3 2" xfId="31041" xr:uid="{00000000-0005-0000-0000-0000EB590000}"/>
    <cellStyle name="Normal 4 2 2 6 4 4" xfId="31038" xr:uid="{00000000-0005-0000-0000-0000EC590000}"/>
    <cellStyle name="Normal 4 2 2 6 5" xfId="7549" xr:uid="{00000000-0005-0000-0000-0000ED590000}"/>
    <cellStyle name="Normal 4 2 2 6 5 2" xfId="7550" xr:uid="{00000000-0005-0000-0000-0000EE590000}"/>
    <cellStyle name="Normal 4 2 2 6 5 2 2" xfId="31043" xr:uid="{00000000-0005-0000-0000-0000EF590000}"/>
    <cellStyle name="Normal 4 2 2 6 5 3" xfId="31042" xr:uid="{00000000-0005-0000-0000-0000F0590000}"/>
    <cellStyle name="Normal 4 2 2 6 6" xfId="7551" xr:uid="{00000000-0005-0000-0000-0000F1590000}"/>
    <cellStyle name="Normal 4 2 2 6 6 2" xfId="31044" xr:uid="{00000000-0005-0000-0000-0000F2590000}"/>
    <cellStyle name="Normal 4 2 2 6 7" xfId="21473" xr:uid="{00000000-0005-0000-0000-0000F3590000}"/>
    <cellStyle name="Normal 4 2 2 6 7 2" xfId="44788" xr:uid="{00000000-0005-0000-0000-0000F4590000}"/>
    <cellStyle name="Normal 4 2 2 6 8" xfId="31021" xr:uid="{00000000-0005-0000-0000-0000F5590000}"/>
    <cellStyle name="Normal 4 2 2 7" xfId="7552" xr:uid="{00000000-0005-0000-0000-0000F6590000}"/>
    <cellStyle name="Normal 4 2 2 7 2" xfId="7553" xr:uid="{00000000-0005-0000-0000-0000F7590000}"/>
    <cellStyle name="Normal 4 2 2 7 2 2" xfId="7554" xr:uid="{00000000-0005-0000-0000-0000F8590000}"/>
    <cellStyle name="Normal 4 2 2 7 2 2 2" xfId="7555" xr:uid="{00000000-0005-0000-0000-0000F9590000}"/>
    <cellStyle name="Normal 4 2 2 7 2 2 2 2" xfId="7556" xr:uid="{00000000-0005-0000-0000-0000FA590000}"/>
    <cellStyle name="Normal 4 2 2 7 2 2 2 2 2" xfId="31049" xr:uid="{00000000-0005-0000-0000-0000FB590000}"/>
    <cellStyle name="Normal 4 2 2 7 2 2 2 3" xfId="31048" xr:uid="{00000000-0005-0000-0000-0000FC590000}"/>
    <cellStyle name="Normal 4 2 2 7 2 2 3" xfId="7557" xr:uid="{00000000-0005-0000-0000-0000FD590000}"/>
    <cellStyle name="Normal 4 2 2 7 2 2 3 2" xfId="31050" xr:uid="{00000000-0005-0000-0000-0000FE590000}"/>
    <cellStyle name="Normal 4 2 2 7 2 2 4" xfId="31047" xr:uid="{00000000-0005-0000-0000-0000FF590000}"/>
    <cellStyle name="Normal 4 2 2 7 2 3" xfId="7558" xr:uid="{00000000-0005-0000-0000-0000005A0000}"/>
    <cellStyle name="Normal 4 2 2 7 2 3 2" xfId="7559" xr:uid="{00000000-0005-0000-0000-0000015A0000}"/>
    <cellStyle name="Normal 4 2 2 7 2 3 2 2" xfId="31052" xr:uid="{00000000-0005-0000-0000-0000025A0000}"/>
    <cellStyle name="Normal 4 2 2 7 2 3 3" xfId="31051" xr:uid="{00000000-0005-0000-0000-0000035A0000}"/>
    <cellStyle name="Normal 4 2 2 7 2 4" xfId="7560" xr:uid="{00000000-0005-0000-0000-0000045A0000}"/>
    <cellStyle name="Normal 4 2 2 7 2 4 2" xfId="31053" xr:uid="{00000000-0005-0000-0000-0000055A0000}"/>
    <cellStyle name="Normal 4 2 2 7 2 5" xfId="31046" xr:uid="{00000000-0005-0000-0000-0000065A0000}"/>
    <cellStyle name="Normal 4 2 2 7 3" xfId="7561" xr:uid="{00000000-0005-0000-0000-0000075A0000}"/>
    <cellStyle name="Normal 4 2 2 7 3 2" xfId="7562" xr:uid="{00000000-0005-0000-0000-0000085A0000}"/>
    <cellStyle name="Normal 4 2 2 7 3 2 2" xfId="7563" xr:uid="{00000000-0005-0000-0000-0000095A0000}"/>
    <cellStyle name="Normal 4 2 2 7 3 2 2 2" xfId="7564" xr:uid="{00000000-0005-0000-0000-00000A5A0000}"/>
    <cellStyle name="Normal 4 2 2 7 3 2 2 2 2" xfId="31057" xr:uid="{00000000-0005-0000-0000-00000B5A0000}"/>
    <cellStyle name="Normal 4 2 2 7 3 2 2 3" xfId="31056" xr:uid="{00000000-0005-0000-0000-00000C5A0000}"/>
    <cellStyle name="Normal 4 2 2 7 3 2 3" xfId="7565" xr:uid="{00000000-0005-0000-0000-00000D5A0000}"/>
    <cellStyle name="Normal 4 2 2 7 3 2 3 2" xfId="31058" xr:uid="{00000000-0005-0000-0000-00000E5A0000}"/>
    <cellStyle name="Normal 4 2 2 7 3 2 4" xfId="31055" xr:uid="{00000000-0005-0000-0000-00000F5A0000}"/>
    <cellStyle name="Normal 4 2 2 7 3 3" xfId="7566" xr:uid="{00000000-0005-0000-0000-0000105A0000}"/>
    <cellStyle name="Normal 4 2 2 7 3 3 2" xfId="7567" xr:uid="{00000000-0005-0000-0000-0000115A0000}"/>
    <cellStyle name="Normal 4 2 2 7 3 3 2 2" xfId="31060" xr:uid="{00000000-0005-0000-0000-0000125A0000}"/>
    <cellStyle name="Normal 4 2 2 7 3 3 3" xfId="31059" xr:uid="{00000000-0005-0000-0000-0000135A0000}"/>
    <cellStyle name="Normal 4 2 2 7 3 4" xfId="7568" xr:uid="{00000000-0005-0000-0000-0000145A0000}"/>
    <cellStyle name="Normal 4 2 2 7 3 4 2" xfId="31061" xr:uid="{00000000-0005-0000-0000-0000155A0000}"/>
    <cellStyle name="Normal 4 2 2 7 3 5" xfId="31054" xr:uid="{00000000-0005-0000-0000-0000165A0000}"/>
    <cellStyle name="Normal 4 2 2 7 4" xfId="7569" xr:uid="{00000000-0005-0000-0000-0000175A0000}"/>
    <cellStyle name="Normal 4 2 2 7 4 2" xfId="7570" xr:uid="{00000000-0005-0000-0000-0000185A0000}"/>
    <cellStyle name="Normal 4 2 2 7 4 2 2" xfId="7571" xr:uid="{00000000-0005-0000-0000-0000195A0000}"/>
    <cellStyle name="Normal 4 2 2 7 4 2 2 2" xfId="31064" xr:uid="{00000000-0005-0000-0000-00001A5A0000}"/>
    <cellStyle name="Normal 4 2 2 7 4 2 3" xfId="31063" xr:uid="{00000000-0005-0000-0000-00001B5A0000}"/>
    <cellStyle name="Normal 4 2 2 7 4 3" xfId="7572" xr:uid="{00000000-0005-0000-0000-00001C5A0000}"/>
    <cellStyle name="Normal 4 2 2 7 4 3 2" xfId="31065" xr:uid="{00000000-0005-0000-0000-00001D5A0000}"/>
    <cellStyle name="Normal 4 2 2 7 4 4" xfId="31062" xr:uid="{00000000-0005-0000-0000-00001E5A0000}"/>
    <cellStyle name="Normal 4 2 2 7 5" xfId="7573" xr:uid="{00000000-0005-0000-0000-00001F5A0000}"/>
    <cellStyle name="Normal 4 2 2 7 5 2" xfId="7574" xr:uid="{00000000-0005-0000-0000-0000205A0000}"/>
    <cellStyle name="Normal 4 2 2 7 5 2 2" xfId="31067" xr:uid="{00000000-0005-0000-0000-0000215A0000}"/>
    <cellStyle name="Normal 4 2 2 7 5 3" xfId="31066" xr:uid="{00000000-0005-0000-0000-0000225A0000}"/>
    <cellStyle name="Normal 4 2 2 7 6" xfId="7575" xr:uid="{00000000-0005-0000-0000-0000235A0000}"/>
    <cellStyle name="Normal 4 2 2 7 6 2" xfId="31068" xr:uid="{00000000-0005-0000-0000-0000245A0000}"/>
    <cellStyle name="Normal 4 2 2 7 7" xfId="31045" xr:uid="{00000000-0005-0000-0000-0000255A0000}"/>
    <cellStyle name="Normal 4 2 2 8" xfId="7576" xr:uid="{00000000-0005-0000-0000-0000265A0000}"/>
    <cellStyle name="Normal 4 2 2 8 2" xfId="7577" xr:uid="{00000000-0005-0000-0000-0000275A0000}"/>
    <cellStyle name="Normal 4 2 2 8 2 2" xfId="7578" xr:uid="{00000000-0005-0000-0000-0000285A0000}"/>
    <cellStyle name="Normal 4 2 2 8 2 2 2" xfId="7579" xr:uid="{00000000-0005-0000-0000-0000295A0000}"/>
    <cellStyle name="Normal 4 2 2 8 2 2 2 2" xfId="7580" xr:uid="{00000000-0005-0000-0000-00002A5A0000}"/>
    <cellStyle name="Normal 4 2 2 8 2 2 2 2 2" xfId="31073" xr:uid="{00000000-0005-0000-0000-00002B5A0000}"/>
    <cellStyle name="Normal 4 2 2 8 2 2 2 3" xfId="31072" xr:uid="{00000000-0005-0000-0000-00002C5A0000}"/>
    <cellStyle name="Normal 4 2 2 8 2 2 3" xfId="7581" xr:uid="{00000000-0005-0000-0000-00002D5A0000}"/>
    <cellStyle name="Normal 4 2 2 8 2 2 3 2" xfId="31074" xr:uid="{00000000-0005-0000-0000-00002E5A0000}"/>
    <cellStyle name="Normal 4 2 2 8 2 2 4" xfId="31071" xr:uid="{00000000-0005-0000-0000-00002F5A0000}"/>
    <cellStyle name="Normal 4 2 2 8 2 3" xfId="7582" xr:uid="{00000000-0005-0000-0000-0000305A0000}"/>
    <cellStyle name="Normal 4 2 2 8 2 3 2" xfId="7583" xr:uid="{00000000-0005-0000-0000-0000315A0000}"/>
    <cellStyle name="Normal 4 2 2 8 2 3 2 2" xfId="31076" xr:uid="{00000000-0005-0000-0000-0000325A0000}"/>
    <cellStyle name="Normal 4 2 2 8 2 3 3" xfId="31075" xr:uid="{00000000-0005-0000-0000-0000335A0000}"/>
    <cellStyle name="Normal 4 2 2 8 2 4" xfId="7584" xr:uid="{00000000-0005-0000-0000-0000345A0000}"/>
    <cellStyle name="Normal 4 2 2 8 2 4 2" xfId="31077" xr:uid="{00000000-0005-0000-0000-0000355A0000}"/>
    <cellStyle name="Normal 4 2 2 8 2 5" xfId="31070" xr:uid="{00000000-0005-0000-0000-0000365A0000}"/>
    <cellStyle name="Normal 4 2 2 8 3" xfId="7585" xr:uid="{00000000-0005-0000-0000-0000375A0000}"/>
    <cellStyle name="Normal 4 2 2 8 3 2" xfId="7586" xr:uid="{00000000-0005-0000-0000-0000385A0000}"/>
    <cellStyle name="Normal 4 2 2 8 3 2 2" xfId="7587" xr:uid="{00000000-0005-0000-0000-0000395A0000}"/>
    <cellStyle name="Normal 4 2 2 8 3 2 2 2" xfId="7588" xr:uid="{00000000-0005-0000-0000-00003A5A0000}"/>
    <cellStyle name="Normal 4 2 2 8 3 2 2 2 2" xfId="31081" xr:uid="{00000000-0005-0000-0000-00003B5A0000}"/>
    <cellStyle name="Normal 4 2 2 8 3 2 2 3" xfId="31080" xr:uid="{00000000-0005-0000-0000-00003C5A0000}"/>
    <cellStyle name="Normal 4 2 2 8 3 2 3" xfId="7589" xr:uid="{00000000-0005-0000-0000-00003D5A0000}"/>
    <cellStyle name="Normal 4 2 2 8 3 2 3 2" xfId="31082" xr:uid="{00000000-0005-0000-0000-00003E5A0000}"/>
    <cellStyle name="Normal 4 2 2 8 3 2 4" xfId="31079" xr:uid="{00000000-0005-0000-0000-00003F5A0000}"/>
    <cellStyle name="Normal 4 2 2 8 3 3" xfId="7590" xr:uid="{00000000-0005-0000-0000-0000405A0000}"/>
    <cellStyle name="Normal 4 2 2 8 3 3 2" xfId="7591" xr:uid="{00000000-0005-0000-0000-0000415A0000}"/>
    <cellStyle name="Normal 4 2 2 8 3 3 2 2" xfId="31084" xr:uid="{00000000-0005-0000-0000-0000425A0000}"/>
    <cellStyle name="Normal 4 2 2 8 3 3 3" xfId="31083" xr:uid="{00000000-0005-0000-0000-0000435A0000}"/>
    <cellStyle name="Normal 4 2 2 8 3 4" xfId="7592" xr:uid="{00000000-0005-0000-0000-0000445A0000}"/>
    <cellStyle name="Normal 4 2 2 8 3 4 2" xfId="31085" xr:uid="{00000000-0005-0000-0000-0000455A0000}"/>
    <cellStyle name="Normal 4 2 2 8 3 5" xfId="31078" xr:uid="{00000000-0005-0000-0000-0000465A0000}"/>
    <cellStyle name="Normal 4 2 2 8 4" xfId="7593" xr:uid="{00000000-0005-0000-0000-0000475A0000}"/>
    <cellStyle name="Normal 4 2 2 8 4 2" xfId="7594" xr:uid="{00000000-0005-0000-0000-0000485A0000}"/>
    <cellStyle name="Normal 4 2 2 8 4 2 2" xfId="7595" xr:uid="{00000000-0005-0000-0000-0000495A0000}"/>
    <cellStyle name="Normal 4 2 2 8 4 2 2 2" xfId="31088" xr:uid="{00000000-0005-0000-0000-00004A5A0000}"/>
    <cellStyle name="Normal 4 2 2 8 4 2 3" xfId="31087" xr:uid="{00000000-0005-0000-0000-00004B5A0000}"/>
    <cellStyle name="Normal 4 2 2 8 4 3" xfId="7596" xr:uid="{00000000-0005-0000-0000-00004C5A0000}"/>
    <cellStyle name="Normal 4 2 2 8 4 3 2" xfId="31089" xr:uid="{00000000-0005-0000-0000-00004D5A0000}"/>
    <cellStyle name="Normal 4 2 2 8 4 4" xfId="31086" xr:uid="{00000000-0005-0000-0000-00004E5A0000}"/>
    <cellStyle name="Normal 4 2 2 8 5" xfId="7597" xr:uid="{00000000-0005-0000-0000-00004F5A0000}"/>
    <cellStyle name="Normal 4 2 2 8 5 2" xfId="7598" xr:uid="{00000000-0005-0000-0000-0000505A0000}"/>
    <cellStyle name="Normal 4 2 2 8 5 2 2" xfId="31091" xr:uid="{00000000-0005-0000-0000-0000515A0000}"/>
    <cellStyle name="Normal 4 2 2 8 5 3" xfId="31090" xr:uid="{00000000-0005-0000-0000-0000525A0000}"/>
    <cellStyle name="Normal 4 2 2 8 6" xfId="7599" xr:uid="{00000000-0005-0000-0000-0000535A0000}"/>
    <cellStyle name="Normal 4 2 2 8 6 2" xfId="31092" xr:uid="{00000000-0005-0000-0000-0000545A0000}"/>
    <cellStyle name="Normal 4 2 2 8 7" xfId="31069" xr:uid="{00000000-0005-0000-0000-0000555A0000}"/>
    <cellStyle name="Normal 4 2 2 9" xfId="7600" xr:uid="{00000000-0005-0000-0000-0000565A0000}"/>
    <cellStyle name="Normal 4 2 2 9 2" xfId="7601" xr:uid="{00000000-0005-0000-0000-0000575A0000}"/>
    <cellStyle name="Normal 4 2 2 9 2 2" xfId="7602" xr:uid="{00000000-0005-0000-0000-0000585A0000}"/>
    <cellStyle name="Normal 4 2 2 9 2 2 2" xfId="7603" xr:uid="{00000000-0005-0000-0000-0000595A0000}"/>
    <cellStyle name="Normal 4 2 2 9 2 2 2 2" xfId="31096" xr:uid="{00000000-0005-0000-0000-00005A5A0000}"/>
    <cellStyle name="Normal 4 2 2 9 2 2 3" xfId="31095" xr:uid="{00000000-0005-0000-0000-00005B5A0000}"/>
    <cellStyle name="Normal 4 2 2 9 2 3" xfId="7604" xr:uid="{00000000-0005-0000-0000-00005C5A0000}"/>
    <cellStyle name="Normal 4 2 2 9 2 3 2" xfId="31097" xr:uid="{00000000-0005-0000-0000-00005D5A0000}"/>
    <cellStyle name="Normal 4 2 2 9 2 4" xfId="31094" xr:uid="{00000000-0005-0000-0000-00005E5A0000}"/>
    <cellStyle name="Normal 4 2 2 9 3" xfId="7605" xr:uid="{00000000-0005-0000-0000-00005F5A0000}"/>
    <cellStyle name="Normal 4 2 2 9 3 2" xfId="7606" xr:uid="{00000000-0005-0000-0000-0000605A0000}"/>
    <cellStyle name="Normal 4 2 2 9 3 2 2" xfId="31099" xr:uid="{00000000-0005-0000-0000-0000615A0000}"/>
    <cellStyle name="Normal 4 2 2 9 3 3" xfId="31098" xr:uid="{00000000-0005-0000-0000-0000625A0000}"/>
    <cellStyle name="Normal 4 2 2 9 4" xfId="7607" xr:uid="{00000000-0005-0000-0000-0000635A0000}"/>
    <cellStyle name="Normal 4 2 2 9 4 2" xfId="31100" xr:uid="{00000000-0005-0000-0000-0000645A0000}"/>
    <cellStyle name="Normal 4 2 2 9 5" xfId="31093" xr:uid="{00000000-0005-0000-0000-0000655A0000}"/>
    <cellStyle name="Normal 4 2 3" xfId="127" xr:uid="{00000000-0005-0000-0000-0000665A0000}"/>
    <cellStyle name="Normal 4 2 3 10" xfId="7609" xr:uid="{00000000-0005-0000-0000-0000675A0000}"/>
    <cellStyle name="Normal 4 2 3 10 2" xfId="31102" xr:uid="{00000000-0005-0000-0000-0000685A0000}"/>
    <cellStyle name="Normal 4 2 3 11" xfId="7608" xr:uid="{00000000-0005-0000-0000-0000695A0000}"/>
    <cellStyle name="Normal 4 2 3 11 2" xfId="31101" xr:uid="{00000000-0005-0000-0000-00006A5A0000}"/>
    <cellStyle name="Normal 4 2 3 2" xfId="7610" xr:uid="{00000000-0005-0000-0000-00006B5A0000}"/>
    <cellStyle name="Normal 4 2 3 2 2" xfId="7611" xr:uid="{00000000-0005-0000-0000-00006C5A0000}"/>
    <cellStyle name="Normal 4 2 3 2 2 2" xfId="7612" xr:uid="{00000000-0005-0000-0000-00006D5A0000}"/>
    <cellStyle name="Normal 4 2 3 2 2 2 2" xfId="7613" xr:uid="{00000000-0005-0000-0000-00006E5A0000}"/>
    <cellStyle name="Normal 4 2 3 2 2 2 2 2" xfId="7614" xr:uid="{00000000-0005-0000-0000-00006F5A0000}"/>
    <cellStyle name="Normal 4 2 3 2 2 2 2 2 2" xfId="31107" xr:uid="{00000000-0005-0000-0000-0000705A0000}"/>
    <cellStyle name="Normal 4 2 3 2 2 2 2 3" xfId="31106" xr:uid="{00000000-0005-0000-0000-0000715A0000}"/>
    <cellStyle name="Normal 4 2 3 2 2 2 3" xfId="7615" xr:uid="{00000000-0005-0000-0000-0000725A0000}"/>
    <cellStyle name="Normal 4 2 3 2 2 2 3 2" xfId="31108" xr:uid="{00000000-0005-0000-0000-0000735A0000}"/>
    <cellStyle name="Normal 4 2 3 2 2 2 4" xfId="31105" xr:uid="{00000000-0005-0000-0000-0000745A0000}"/>
    <cellStyle name="Normal 4 2 3 2 2 3" xfId="7616" xr:uid="{00000000-0005-0000-0000-0000755A0000}"/>
    <cellStyle name="Normal 4 2 3 2 2 3 2" xfId="7617" xr:uid="{00000000-0005-0000-0000-0000765A0000}"/>
    <cellStyle name="Normal 4 2 3 2 2 3 2 2" xfId="31110" xr:uid="{00000000-0005-0000-0000-0000775A0000}"/>
    <cellStyle name="Normal 4 2 3 2 2 3 3" xfId="31109" xr:uid="{00000000-0005-0000-0000-0000785A0000}"/>
    <cellStyle name="Normal 4 2 3 2 2 4" xfId="7618" xr:uid="{00000000-0005-0000-0000-0000795A0000}"/>
    <cellStyle name="Normal 4 2 3 2 2 4 2" xfId="31111" xr:uid="{00000000-0005-0000-0000-00007A5A0000}"/>
    <cellStyle name="Normal 4 2 3 2 2 5" xfId="31104" xr:uid="{00000000-0005-0000-0000-00007B5A0000}"/>
    <cellStyle name="Normal 4 2 3 2 3" xfId="7619" xr:uid="{00000000-0005-0000-0000-00007C5A0000}"/>
    <cellStyle name="Normal 4 2 3 2 3 2" xfId="7620" xr:uid="{00000000-0005-0000-0000-00007D5A0000}"/>
    <cellStyle name="Normal 4 2 3 2 3 2 2" xfId="7621" xr:uid="{00000000-0005-0000-0000-00007E5A0000}"/>
    <cellStyle name="Normal 4 2 3 2 3 2 2 2" xfId="7622" xr:uid="{00000000-0005-0000-0000-00007F5A0000}"/>
    <cellStyle name="Normal 4 2 3 2 3 2 2 2 2" xfId="31115" xr:uid="{00000000-0005-0000-0000-0000805A0000}"/>
    <cellStyle name="Normal 4 2 3 2 3 2 2 3" xfId="31114" xr:uid="{00000000-0005-0000-0000-0000815A0000}"/>
    <cellStyle name="Normal 4 2 3 2 3 2 3" xfId="7623" xr:uid="{00000000-0005-0000-0000-0000825A0000}"/>
    <cellStyle name="Normal 4 2 3 2 3 2 3 2" xfId="31116" xr:uid="{00000000-0005-0000-0000-0000835A0000}"/>
    <cellStyle name="Normal 4 2 3 2 3 2 4" xfId="31113" xr:uid="{00000000-0005-0000-0000-0000845A0000}"/>
    <cellStyle name="Normal 4 2 3 2 3 3" xfId="7624" xr:uid="{00000000-0005-0000-0000-0000855A0000}"/>
    <cellStyle name="Normal 4 2 3 2 3 3 2" xfId="7625" xr:uid="{00000000-0005-0000-0000-0000865A0000}"/>
    <cellStyle name="Normal 4 2 3 2 3 3 2 2" xfId="31118" xr:uid="{00000000-0005-0000-0000-0000875A0000}"/>
    <cellStyle name="Normal 4 2 3 2 3 3 3" xfId="31117" xr:uid="{00000000-0005-0000-0000-0000885A0000}"/>
    <cellStyle name="Normal 4 2 3 2 3 4" xfId="7626" xr:uid="{00000000-0005-0000-0000-0000895A0000}"/>
    <cellStyle name="Normal 4 2 3 2 3 4 2" xfId="31119" xr:uid="{00000000-0005-0000-0000-00008A5A0000}"/>
    <cellStyle name="Normal 4 2 3 2 3 5" xfId="31112" xr:uid="{00000000-0005-0000-0000-00008B5A0000}"/>
    <cellStyle name="Normal 4 2 3 2 4" xfId="7627" xr:uid="{00000000-0005-0000-0000-00008C5A0000}"/>
    <cellStyle name="Normal 4 2 3 2 4 2" xfId="7628" xr:uid="{00000000-0005-0000-0000-00008D5A0000}"/>
    <cellStyle name="Normal 4 2 3 2 4 2 2" xfId="7629" xr:uid="{00000000-0005-0000-0000-00008E5A0000}"/>
    <cellStyle name="Normal 4 2 3 2 4 2 2 2" xfId="31122" xr:uid="{00000000-0005-0000-0000-00008F5A0000}"/>
    <cellStyle name="Normal 4 2 3 2 4 2 3" xfId="31121" xr:uid="{00000000-0005-0000-0000-0000905A0000}"/>
    <cellStyle name="Normal 4 2 3 2 4 3" xfId="7630" xr:uid="{00000000-0005-0000-0000-0000915A0000}"/>
    <cellStyle name="Normal 4 2 3 2 4 3 2" xfId="31123" xr:uid="{00000000-0005-0000-0000-0000925A0000}"/>
    <cellStyle name="Normal 4 2 3 2 4 4" xfId="31120" xr:uid="{00000000-0005-0000-0000-0000935A0000}"/>
    <cellStyle name="Normal 4 2 3 2 5" xfId="7631" xr:uid="{00000000-0005-0000-0000-0000945A0000}"/>
    <cellStyle name="Normal 4 2 3 2 5 2" xfId="7632" xr:uid="{00000000-0005-0000-0000-0000955A0000}"/>
    <cellStyle name="Normal 4 2 3 2 5 2 2" xfId="31125" xr:uid="{00000000-0005-0000-0000-0000965A0000}"/>
    <cellStyle name="Normal 4 2 3 2 5 3" xfId="31124" xr:uid="{00000000-0005-0000-0000-0000975A0000}"/>
    <cellStyle name="Normal 4 2 3 2 6" xfId="7633" xr:uid="{00000000-0005-0000-0000-0000985A0000}"/>
    <cellStyle name="Normal 4 2 3 2 6 2" xfId="31126" xr:uid="{00000000-0005-0000-0000-0000995A0000}"/>
    <cellStyle name="Normal 4 2 3 2 7" xfId="31103" xr:uid="{00000000-0005-0000-0000-00009A5A0000}"/>
    <cellStyle name="Normal 4 2 3 3" xfId="7634" xr:uid="{00000000-0005-0000-0000-00009B5A0000}"/>
    <cellStyle name="Normal 4 2 3 3 2" xfId="7635" xr:uid="{00000000-0005-0000-0000-00009C5A0000}"/>
    <cellStyle name="Normal 4 2 3 3 2 2" xfId="7636" xr:uid="{00000000-0005-0000-0000-00009D5A0000}"/>
    <cellStyle name="Normal 4 2 3 3 2 2 2" xfId="7637" xr:uid="{00000000-0005-0000-0000-00009E5A0000}"/>
    <cellStyle name="Normal 4 2 3 3 2 2 2 2" xfId="7638" xr:uid="{00000000-0005-0000-0000-00009F5A0000}"/>
    <cellStyle name="Normal 4 2 3 3 2 2 2 2 2" xfId="31131" xr:uid="{00000000-0005-0000-0000-0000A05A0000}"/>
    <cellStyle name="Normal 4 2 3 3 2 2 2 3" xfId="31130" xr:uid="{00000000-0005-0000-0000-0000A15A0000}"/>
    <cellStyle name="Normal 4 2 3 3 2 2 3" xfId="7639" xr:uid="{00000000-0005-0000-0000-0000A25A0000}"/>
    <cellStyle name="Normal 4 2 3 3 2 2 3 2" xfId="31132" xr:uid="{00000000-0005-0000-0000-0000A35A0000}"/>
    <cellStyle name="Normal 4 2 3 3 2 2 4" xfId="31129" xr:uid="{00000000-0005-0000-0000-0000A45A0000}"/>
    <cellStyle name="Normal 4 2 3 3 2 3" xfId="7640" xr:uid="{00000000-0005-0000-0000-0000A55A0000}"/>
    <cellStyle name="Normal 4 2 3 3 2 3 2" xfId="7641" xr:uid="{00000000-0005-0000-0000-0000A65A0000}"/>
    <cellStyle name="Normal 4 2 3 3 2 3 2 2" xfId="31134" xr:uid="{00000000-0005-0000-0000-0000A75A0000}"/>
    <cellStyle name="Normal 4 2 3 3 2 3 3" xfId="31133" xr:uid="{00000000-0005-0000-0000-0000A85A0000}"/>
    <cellStyle name="Normal 4 2 3 3 2 4" xfId="7642" xr:uid="{00000000-0005-0000-0000-0000A95A0000}"/>
    <cellStyle name="Normal 4 2 3 3 2 4 2" xfId="31135" xr:uid="{00000000-0005-0000-0000-0000AA5A0000}"/>
    <cellStyle name="Normal 4 2 3 3 2 5" xfId="31128" xr:uid="{00000000-0005-0000-0000-0000AB5A0000}"/>
    <cellStyle name="Normal 4 2 3 3 3" xfId="7643" xr:uid="{00000000-0005-0000-0000-0000AC5A0000}"/>
    <cellStyle name="Normal 4 2 3 3 3 2" xfId="7644" xr:uid="{00000000-0005-0000-0000-0000AD5A0000}"/>
    <cellStyle name="Normal 4 2 3 3 3 2 2" xfId="7645" xr:uid="{00000000-0005-0000-0000-0000AE5A0000}"/>
    <cellStyle name="Normal 4 2 3 3 3 2 2 2" xfId="7646" xr:uid="{00000000-0005-0000-0000-0000AF5A0000}"/>
    <cellStyle name="Normal 4 2 3 3 3 2 2 2 2" xfId="31139" xr:uid="{00000000-0005-0000-0000-0000B05A0000}"/>
    <cellStyle name="Normal 4 2 3 3 3 2 2 3" xfId="31138" xr:uid="{00000000-0005-0000-0000-0000B15A0000}"/>
    <cellStyle name="Normal 4 2 3 3 3 2 3" xfId="7647" xr:uid="{00000000-0005-0000-0000-0000B25A0000}"/>
    <cellStyle name="Normal 4 2 3 3 3 2 3 2" xfId="31140" xr:uid="{00000000-0005-0000-0000-0000B35A0000}"/>
    <cellStyle name="Normal 4 2 3 3 3 2 4" xfId="31137" xr:uid="{00000000-0005-0000-0000-0000B45A0000}"/>
    <cellStyle name="Normal 4 2 3 3 3 3" xfId="7648" xr:uid="{00000000-0005-0000-0000-0000B55A0000}"/>
    <cellStyle name="Normal 4 2 3 3 3 3 2" xfId="7649" xr:uid="{00000000-0005-0000-0000-0000B65A0000}"/>
    <cellStyle name="Normal 4 2 3 3 3 3 2 2" xfId="31142" xr:uid="{00000000-0005-0000-0000-0000B75A0000}"/>
    <cellStyle name="Normal 4 2 3 3 3 3 3" xfId="31141" xr:uid="{00000000-0005-0000-0000-0000B85A0000}"/>
    <cellStyle name="Normal 4 2 3 3 3 4" xfId="7650" xr:uid="{00000000-0005-0000-0000-0000B95A0000}"/>
    <cellStyle name="Normal 4 2 3 3 3 4 2" xfId="31143" xr:uid="{00000000-0005-0000-0000-0000BA5A0000}"/>
    <cellStyle name="Normal 4 2 3 3 3 5" xfId="31136" xr:uid="{00000000-0005-0000-0000-0000BB5A0000}"/>
    <cellStyle name="Normal 4 2 3 3 4" xfId="7651" xr:uid="{00000000-0005-0000-0000-0000BC5A0000}"/>
    <cellStyle name="Normal 4 2 3 3 4 2" xfId="7652" xr:uid="{00000000-0005-0000-0000-0000BD5A0000}"/>
    <cellStyle name="Normal 4 2 3 3 4 2 2" xfId="7653" xr:uid="{00000000-0005-0000-0000-0000BE5A0000}"/>
    <cellStyle name="Normal 4 2 3 3 4 2 2 2" xfId="31146" xr:uid="{00000000-0005-0000-0000-0000BF5A0000}"/>
    <cellStyle name="Normal 4 2 3 3 4 2 3" xfId="31145" xr:uid="{00000000-0005-0000-0000-0000C05A0000}"/>
    <cellStyle name="Normal 4 2 3 3 4 3" xfId="7654" xr:uid="{00000000-0005-0000-0000-0000C15A0000}"/>
    <cellStyle name="Normal 4 2 3 3 4 3 2" xfId="31147" xr:uid="{00000000-0005-0000-0000-0000C25A0000}"/>
    <cellStyle name="Normal 4 2 3 3 4 4" xfId="31144" xr:uid="{00000000-0005-0000-0000-0000C35A0000}"/>
    <cellStyle name="Normal 4 2 3 3 5" xfId="7655" xr:uid="{00000000-0005-0000-0000-0000C45A0000}"/>
    <cellStyle name="Normal 4 2 3 3 5 2" xfId="7656" xr:uid="{00000000-0005-0000-0000-0000C55A0000}"/>
    <cellStyle name="Normal 4 2 3 3 5 2 2" xfId="31149" xr:uid="{00000000-0005-0000-0000-0000C65A0000}"/>
    <cellStyle name="Normal 4 2 3 3 5 3" xfId="31148" xr:uid="{00000000-0005-0000-0000-0000C75A0000}"/>
    <cellStyle name="Normal 4 2 3 3 6" xfId="7657" xr:uid="{00000000-0005-0000-0000-0000C85A0000}"/>
    <cellStyle name="Normal 4 2 3 3 6 2" xfId="31150" xr:uid="{00000000-0005-0000-0000-0000C95A0000}"/>
    <cellStyle name="Normal 4 2 3 3 7" xfId="31127" xr:uid="{00000000-0005-0000-0000-0000CA5A0000}"/>
    <cellStyle name="Normal 4 2 3 4" xfId="7658" xr:uid="{00000000-0005-0000-0000-0000CB5A0000}"/>
    <cellStyle name="Normal 4 2 3 4 2" xfId="7659" xr:uid="{00000000-0005-0000-0000-0000CC5A0000}"/>
    <cellStyle name="Normal 4 2 3 4 2 2" xfId="7660" xr:uid="{00000000-0005-0000-0000-0000CD5A0000}"/>
    <cellStyle name="Normal 4 2 3 4 2 2 2" xfId="7661" xr:uid="{00000000-0005-0000-0000-0000CE5A0000}"/>
    <cellStyle name="Normal 4 2 3 4 2 2 2 2" xfId="7662" xr:uid="{00000000-0005-0000-0000-0000CF5A0000}"/>
    <cellStyle name="Normal 4 2 3 4 2 2 2 2 2" xfId="31155" xr:uid="{00000000-0005-0000-0000-0000D05A0000}"/>
    <cellStyle name="Normal 4 2 3 4 2 2 2 3" xfId="31154" xr:uid="{00000000-0005-0000-0000-0000D15A0000}"/>
    <cellStyle name="Normal 4 2 3 4 2 2 3" xfId="7663" xr:uid="{00000000-0005-0000-0000-0000D25A0000}"/>
    <cellStyle name="Normal 4 2 3 4 2 2 3 2" xfId="31156" xr:uid="{00000000-0005-0000-0000-0000D35A0000}"/>
    <cellStyle name="Normal 4 2 3 4 2 2 4" xfId="31153" xr:uid="{00000000-0005-0000-0000-0000D45A0000}"/>
    <cellStyle name="Normal 4 2 3 4 2 3" xfId="7664" xr:uid="{00000000-0005-0000-0000-0000D55A0000}"/>
    <cellStyle name="Normal 4 2 3 4 2 3 2" xfId="7665" xr:uid="{00000000-0005-0000-0000-0000D65A0000}"/>
    <cellStyle name="Normal 4 2 3 4 2 3 2 2" xfId="31158" xr:uid="{00000000-0005-0000-0000-0000D75A0000}"/>
    <cellStyle name="Normal 4 2 3 4 2 3 3" xfId="31157" xr:uid="{00000000-0005-0000-0000-0000D85A0000}"/>
    <cellStyle name="Normal 4 2 3 4 2 4" xfId="7666" xr:uid="{00000000-0005-0000-0000-0000D95A0000}"/>
    <cellStyle name="Normal 4 2 3 4 2 4 2" xfId="31159" xr:uid="{00000000-0005-0000-0000-0000DA5A0000}"/>
    <cellStyle name="Normal 4 2 3 4 2 5" xfId="31152" xr:uid="{00000000-0005-0000-0000-0000DB5A0000}"/>
    <cellStyle name="Normal 4 2 3 4 3" xfId="7667" xr:uid="{00000000-0005-0000-0000-0000DC5A0000}"/>
    <cellStyle name="Normal 4 2 3 4 3 2" xfId="7668" xr:uid="{00000000-0005-0000-0000-0000DD5A0000}"/>
    <cellStyle name="Normal 4 2 3 4 3 2 2" xfId="7669" xr:uid="{00000000-0005-0000-0000-0000DE5A0000}"/>
    <cellStyle name="Normal 4 2 3 4 3 2 2 2" xfId="7670" xr:uid="{00000000-0005-0000-0000-0000DF5A0000}"/>
    <cellStyle name="Normal 4 2 3 4 3 2 2 2 2" xfId="31163" xr:uid="{00000000-0005-0000-0000-0000E05A0000}"/>
    <cellStyle name="Normal 4 2 3 4 3 2 2 3" xfId="31162" xr:uid="{00000000-0005-0000-0000-0000E15A0000}"/>
    <cellStyle name="Normal 4 2 3 4 3 2 3" xfId="7671" xr:uid="{00000000-0005-0000-0000-0000E25A0000}"/>
    <cellStyle name="Normal 4 2 3 4 3 2 3 2" xfId="31164" xr:uid="{00000000-0005-0000-0000-0000E35A0000}"/>
    <cellStyle name="Normal 4 2 3 4 3 2 4" xfId="31161" xr:uid="{00000000-0005-0000-0000-0000E45A0000}"/>
    <cellStyle name="Normal 4 2 3 4 3 3" xfId="7672" xr:uid="{00000000-0005-0000-0000-0000E55A0000}"/>
    <cellStyle name="Normal 4 2 3 4 3 3 2" xfId="7673" xr:uid="{00000000-0005-0000-0000-0000E65A0000}"/>
    <cellStyle name="Normal 4 2 3 4 3 3 2 2" xfId="31166" xr:uid="{00000000-0005-0000-0000-0000E75A0000}"/>
    <cellStyle name="Normal 4 2 3 4 3 3 3" xfId="31165" xr:uid="{00000000-0005-0000-0000-0000E85A0000}"/>
    <cellStyle name="Normal 4 2 3 4 3 4" xfId="7674" xr:uid="{00000000-0005-0000-0000-0000E95A0000}"/>
    <cellStyle name="Normal 4 2 3 4 3 4 2" xfId="31167" xr:uid="{00000000-0005-0000-0000-0000EA5A0000}"/>
    <cellStyle name="Normal 4 2 3 4 3 5" xfId="31160" xr:uid="{00000000-0005-0000-0000-0000EB5A0000}"/>
    <cellStyle name="Normal 4 2 3 4 4" xfId="7675" xr:uid="{00000000-0005-0000-0000-0000EC5A0000}"/>
    <cellStyle name="Normal 4 2 3 4 4 2" xfId="7676" xr:uid="{00000000-0005-0000-0000-0000ED5A0000}"/>
    <cellStyle name="Normal 4 2 3 4 4 2 2" xfId="7677" xr:uid="{00000000-0005-0000-0000-0000EE5A0000}"/>
    <cellStyle name="Normal 4 2 3 4 4 2 2 2" xfId="31170" xr:uid="{00000000-0005-0000-0000-0000EF5A0000}"/>
    <cellStyle name="Normal 4 2 3 4 4 2 3" xfId="31169" xr:uid="{00000000-0005-0000-0000-0000F05A0000}"/>
    <cellStyle name="Normal 4 2 3 4 4 3" xfId="7678" xr:uid="{00000000-0005-0000-0000-0000F15A0000}"/>
    <cellStyle name="Normal 4 2 3 4 4 3 2" xfId="31171" xr:uid="{00000000-0005-0000-0000-0000F25A0000}"/>
    <cellStyle name="Normal 4 2 3 4 4 4" xfId="31168" xr:uid="{00000000-0005-0000-0000-0000F35A0000}"/>
    <cellStyle name="Normal 4 2 3 4 5" xfId="7679" xr:uid="{00000000-0005-0000-0000-0000F45A0000}"/>
    <cellStyle name="Normal 4 2 3 4 5 2" xfId="7680" xr:uid="{00000000-0005-0000-0000-0000F55A0000}"/>
    <cellStyle name="Normal 4 2 3 4 5 2 2" xfId="31173" xr:uid="{00000000-0005-0000-0000-0000F65A0000}"/>
    <cellStyle name="Normal 4 2 3 4 5 3" xfId="31172" xr:uid="{00000000-0005-0000-0000-0000F75A0000}"/>
    <cellStyle name="Normal 4 2 3 4 6" xfId="7681" xr:uid="{00000000-0005-0000-0000-0000F85A0000}"/>
    <cellStyle name="Normal 4 2 3 4 6 2" xfId="31174" xr:uid="{00000000-0005-0000-0000-0000F95A0000}"/>
    <cellStyle name="Normal 4 2 3 4 7" xfId="31151" xr:uid="{00000000-0005-0000-0000-0000FA5A0000}"/>
    <cellStyle name="Normal 4 2 3 5" xfId="7682" xr:uid="{00000000-0005-0000-0000-0000FB5A0000}"/>
    <cellStyle name="Normal 4 2 3 5 2" xfId="7683" xr:uid="{00000000-0005-0000-0000-0000FC5A0000}"/>
    <cellStyle name="Normal 4 2 3 5 2 2" xfId="7684" xr:uid="{00000000-0005-0000-0000-0000FD5A0000}"/>
    <cellStyle name="Normal 4 2 3 5 2 2 2" xfId="7685" xr:uid="{00000000-0005-0000-0000-0000FE5A0000}"/>
    <cellStyle name="Normal 4 2 3 5 2 2 2 2" xfId="7686" xr:uid="{00000000-0005-0000-0000-0000FF5A0000}"/>
    <cellStyle name="Normal 4 2 3 5 2 2 2 2 2" xfId="31179" xr:uid="{00000000-0005-0000-0000-0000005B0000}"/>
    <cellStyle name="Normal 4 2 3 5 2 2 2 3" xfId="31178" xr:uid="{00000000-0005-0000-0000-0000015B0000}"/>
    <cellStyle name="Normal 4 2 3 5 2 2 3" xfId="7687" xr:uid="{00000000-0005-0000-0000-0000025B0000}"/>
    <cellStyle name="Normal 4 2 3 5 2 2 3 2" xfId="31180" xr:uid="{00000000-0005-0000-0000-0000035B0000}"/>
    <cellStyle name="Normal 4 2 3 5 2 2 4" xfId="31177" xr:uid="{00000000-0005-0000-0000-0000045B0000}"/>
    <cellStyle name="Normal 4 2 3 5 2 3" xfId="7688" xr:uid="{00000000-0005-0000-0000-0000055B0000}"/>
    <cellStyle name="Normal 4 2 3 5 2 3 2" xfId="7689" xr:uid="{00000000-0005-0000-0000-0000065B0000}"/>
    <cellStyle name="Normal 4 2 3 5 2 3 2 2" xfId="31182" xr:uid="{00000000-0005-0000-0000-0000075B0000}"/>
    <cellStyle name="Normal 4 2 3 5 2 3 3" xfId="31181" xr:uid="{00000000-0005-0000-0000-0000085B0000}"/>
    <cellStyle name="Normal 4 2 3 5 2 4" xfId="7690" xr:uid="{00000000-0005-0000-0000-0000095B0000}"/>
    <cellStyle name="Normal 4 2 3 5 2 4 2" xfId="31183" xr:uid="{00000000-0005-0000-0000-00000A5B0000}"/>
    <cellStyle name="Normal 4 2 3 5 2 5" xfId="31176" xr:uid="{00000000-0005-0000-0000-00000B5B0000}"/>
    <cellStyle name="Normal 4 2 3 5 3" xfId="7691" xr:uid="{00000000-0005-0000-0000-00000C5B0000}"/>
    <cellStyle name="Normal 4 2 3 5 3 2" xfId="7692" xr:uid="{00000000-0005-0000-0000-00000D5B0000}"/>
    <cellStyle name="Normal 4 2 3 5 3 2 2" xfId="7693" xr:uid="{00000000-0005-0000-0000-00000E5B0000}"/>
    <cellStyle name="Normal 4 2 3 5 3 2 2 2" xfId="7694" xr:uid="{00000000-0005-0000-0000-00000F5B0000}"/>
    <cellStyle name="Normal 4 2 3 5 3 2 2 2 2" xfId="31187" xr:uid="{00000000-0005-0000-0000-0000105B0000}"/>
    <cellStyle name="Normal 4 2 3 5 3 2 2 3" xfId="31186" xr:uid="{00000000-0005-0000-0000-0000115B0000}"/>
    <cellStyle name="Normal 4 2 3 5 3 2 3" xfId="7695" xr:uid="{00000000-0005-0000-0000-0000125B0000}"/>
    <cellStyle name="Normal 4 2 3 5 3 2 3 2" xfId="31188" xr:uid="{00000000-0005-0000-0000-0000135B0000}"/>
    <cellStyle name="Normal 4 2 3 5 3 2 4" xfId="31185" xr:uid="{00000000-0005-0000-0000-0000145B0000}"/>
    <cellStyle name="Normal 4 2 3 5 3 3" xfId="7696" xr:uid="{00000000-0005-0000-0000-0000155B0000}"/>
    <cellStyle name="Normal 4 2 3 5 3 3 2" xfId="7697" xr:uid="{00000000-0005-0000-0000-0000165B0000}"/>
    <cellStyle name="Normal 4 2 3 5 3 3 2 2" xfId="31190" xr:uid="{00000000-0005-0000-0000-0000175B0000}"/>
    <cellStyle name="Normal 4 2 3 5 3 3 3" xfId="31189" xr:uid="{00000000-0005-0000-0000-0000185B0000}"/>
    <cellStyle name="Normal 4 2 3 5 3 4" xfId="7698" xr:uid="{00000000-0005-0000-0000-0000195B0000}"/>
    <cellStyle name="Normal 4 2 3 5 3 4 2" xfId="31191" xr:uid="{00000000-0005-0000-0000-00001A5B0000}"/>
    <cellStyle name="Normal 4 2 3 5 3 5" xfId="31184" xr:uid="{00000000-0005-0000-0000-00001B5B0000}"/>
    <cellStyle name="Normal 4 2 3 5 4" xfId="7699" xr:uid="{00000000-0005-0000-0000-00001C5B0000}"/>
    <cellStyle name="Normal 4 2 3 5 4 2" xfId="7700" xr:uid="{00000000-0005-0000-0000-00001D5B0000}"/>
    <cellStyle name="Normal 4 2 3 5 4 2 2" xfId="7701" xr:uid="{00000000-0005-0000-0000-00001E5B0000}"/>
    <cellStyle name="Normal 4 2 3 5 4 2 2 2" xfId="31194" xr:uid="{00000000-0005-0000-0000-00001F5B0000}"/>
    <cellStyle name="Normal 4 2 3 5 4 2 3" xfId="31193" xr:uid="{00000000-0005-0000-0000-0000205B0000}"/>
    <cellStyle name="Normal 4 2 3 5 4 3" xfId="7702" xr:uid="{00000000-0005-0000-0000-0000215B0000}"/>
    <cellStyle name="Normal 4 2 3 5 4 3 2" xfId="31195" xr:uid="{00000000-0005-0000-0000-0000225B0000}"/>
    <cellStyle name="Normal 4 2 3 5 4 4" xfId="31192" xr:uid="{00000000-0005-0000-0000-0000235B0000}"/>
    <cellStyle name="Normal 4 2 3 5 5" xfId="7703" xr:uid="{00000000-0005-0000-0000-0000245B0000}"/>
    <cellStyle name="Normal 4 2 3 5 5 2" xfId="7704" xr:uid="{00000000-0005-0000-0000-0000255B0000}"/>
    <cellStyle name="Normal 4 2 3 5 5 2 2" xfId="31197" xr:uid="{00000000-0005-0000-0000-0000265B0000}"/>
    <cellStyle name="Normal 4 2 3 5 5 3" xfId="31196" xr:uid="{00000000-0005-0000-0000-0000275B0000}"/>
    <cellStyle name="Normal 4 2 3 5 6" xfId="7705" xr:uid="{00000000-0005-0000-0000-0000285B0000}"/>
    <cellStyle name="Normal 4 2 3 5 6 2" xfId="31198" xr:uid="{00000000-0005-0000-0000-0000295B0000}"/>
    <cellStyle name="Normal 4 2 3 5 7" xfId="31175" xr:uid="{00000000-0005-0000-0000-00002A5B0000}"/>
    <cellStyle name="Normal 4 2 3 6" xfId="7706" xr:uid="{00000000-0005-0000-0000-00002B5B0000}"/>
    <cellStyle name="Normal 4 2 3 6 2" xfId="7707" xr:uid="{00000000-0005-0000-0000-00002C5B0000}"/>
    <cellStyle name="Normal 4 2 3 6 2 2" xfId="7708" xr:uid="{00000000-0005-0000-0000-00002D5B0000}"/>
    <cellStyle name="Normal 4 2 3 6 2 2 2" xfId="7709" xr:uid="{00000000-0005-0000-0000-00002E5B0000}"/>
    <cellStyle name="Normal 4 2 3 6 2 2 2 2" xfId="31201" xr:uid="{00000000-0005-0000-0000-00002F5B0000}"/>
    <cellStyle name="Normal 4 2 3 6 2 2 3" xfId="31200" xr:uid="{00000000-0005-0000-0000-0000305B0000}"/>
    <cellStyle name="Normal 4 2 3 6 2 3" xfId="7710" xr:uid="{00000000-0005-0000-0000-0000315B0000}"/>
    <cellStyle name="Normal 4 2 3 6 2 3 2" xfId="31202" xr:uid="{00000000-0005-0000-0000-0000325B0000}"/>
    <cellStyle name="Normal 4 2 3 6 2 4" xfId="31199" xr:uid="{00000000-0005-0000-0000-0000335B0000}"/>
    <cellStyle name="Normal 4 2 3 6 3" xfId="7711" xr:uid="{00000000-0005-0000-0000-0000345B0000}"/>
    <cellStyle name="Normal 4 2 3 6 3 2" xfId="7712" xr:uid="{00000000-0005-0000-0000-0000355B0000}"/>
    <cellStyle name="Normal 4 2 3 6 3 2 2" xfId="31204" xr:uid="{00000000-0005-0000-0000-0000365B0000}"/>
    <cellStyle name="Normal 4 2 3 6 3 3" xfId="31203" xr:uid="{00000000-0005-0000-0000-0000375B0000}"/>
    <cellStyle name="Normal 4 2 3 7" xfId="7713" xr:uid="{00000000-0005-0000-0000-0000385B0000}"/>
    <cellStyle name="Normal 4 2 3 7 2" xfId="7714" xr:uid="{00000000-0005-0000-0000-0000395B0000}"/>
    <cellStyle name="Normal 4 2 3 7 2 2" xfId="7715" xr:uid="{00000000-0005-0000-0000-00003A5B0000}"/>
    <cellStyle name="Normal 4 2 3 7 2 2 2" xfId="7716" xr:uid="{00000000-0005-0000-0000-00003B5B0000}"/>
    <cellStyle name="Normal 4 2 3 7 2 2 2 2" xfId="31208" xr:uid="{00000000-0005-0000-0000-00003C5B0000}"/>
    <cellStyle name="Normal 4 2 3 7 2 2 3" xfId="31207" xr:uid="{00000000-0005-0000-0000-00003D5B0000}"/>
    <cellStyle name="Normal 4 2 3 7 2 3" xfId="7717" xr:uid="{00000000-0005-0000-0000-00003E5B0000}"/>
    <cellStyle name="Normal 4 2 3 7 2 3 2" xfId="31209" xr:uid="{00000000-0005-0000-0000-00003F5B0000}"/>
    <cellStyle name="Normal 4 2 3 7 2 4" xfId="31206" xr:uid="{00000000-0005-0000-0000-0000405B0000}"/>
    <cellStyle name="Normal 4 2 3 7 3" xfId="7718" xr:uid="{00000000-0005-0000-0000-0000415B0000}"/>
    <cellStyle name="Normal 4 2 3 7 3 2" xfId="7719" xr:uid="{00000000-0005-0000-0000-0000425B0000}"/>
    <cellStyle name="Normal 4 2 3 7 3 2 2" xfId="31211" xr:uid="{00000000-0005-0000-0000-0000435B0000}"/>
    <cellStyle name="Normal 4 2 3 7 3 3" xfId="31210" xr:uid="{00000000-0005-0000-0000-0000445B0000}"/>
    <cellStyle name="Normal 4 2 3 7 4" xfId="7720" xr:uid="{00000000-0005-0000-0000-0000455B0000}"/>
    <cellStyle name="Normal 4 2 3 7 4 2" xfId="31212" xr:uid="{00000000-0005-0000-0000-0000465B0000}"/>
    <cellStyle name="Normal 4 2 3 7 5" xfId="31205" xr:uid="{00000000-0005-0000-0000-0000475B0000}"/>
    <cellStyle name="Normal 4 2 3 8" xfId="7721" xr:uid="{00000000-0005-0000-0000-0000485B0000}"/>
    <cellStyle name="Normal 4 2 3 8 2" xfId="7722" xr:uid="{00000000-0005-0000-0000-0000495B0000}"/>
    <cellStyle name="Normal 4 2 3 8 2 2" xfId="7723" xr:uid="{00000000-0005-0000-0000-00004A5B0000}"/>
    <cellStyle name="Normal 4 2 3 8 2 2 2" xfId="31215" xr:uid="{00000000-0005-0000-0000-00004B5B0000}"/>
    <cellStyle name="Normal 4 2 3 8 2 3" xfId="31214" xr:uid="{00000000-0005-0000-0000-00004C5B0000}"/>
    <cellStyle name="Normal 4 2 3 8 3" xfId="7724" xr:uid="{00000000-0005-0000-0000-00004D5B0000}"/>
    <cellStyle name="Normal 4 2 3 8 3 2" xfId="31216" xr:uid="{00000000-0005-0000-0000-00004E5B0000}"/>
    <cellStyle name="Normal 4 2 3 8 4" xfId="31213" xr:uid="{00000000-0005-0000-0000-00004F5B0000}"/>
    <cellStyle name="Normal 4 2 3 9" xfId="7725" xr:uid="{00000000-0005-0000-0000-0000505B0000}"/>
    <cellStyle name="Normal 4 2 3 9 2" xfId="7726" xr:uid="{00000000-0005-0000-0000-0000515B0000}"/>
    <cellStyle name="Normal 4 2 3 9 2 2" xfId="31218" xr:uid="{00000000-0005-0000-0000-0000525B0000}"/>
    <cellStyle name="Normal 4 2 3 9 3" xfId="31217" xr:uid="{00000000-0005-0000-0000-0000535B0000}"/>
    <cellStyle name="Normal 4 2 4" xfId="7727" xr:uid="{00000000-0005-0000-0000-0000545B0000}"/>
    <cellStyle name="Normal 4 2 4 10" xfId="21474" xr:uid="{00000000-0005-0000-0000-0000555B0000}"/>
    <cellStyle name="Normal 4 2 4 11" xfId="31219" xr:uid="{00000000-0005-0000-0000-0000565B0000}"/>
    <cellStyle name="Normal 4 2 4 2" xfId="7728" xr:uid="{00000000-0005-0000-0000-0000575B0000}"/>
    <cellStyle name="Normal 4 2 4 2 2" xfId="7729" xr:uid="{00000000-0005-0000-0000-0000585B0000}"/>
    <cellStyle name="Normal 4 2 4 2 2 2" xfId="7730" xr:uid="{00000000-0005-0000-0000-0000595B0000}"/>
    <cellStyle name="Normal 4 2 4 2 2 2 2" xfId="7731" xr:uid="{00000000-0005-0000-0000-00005A5B0000}"/>
    <cellStyle name="Normal 4 2 4 2 2 2 2 2" xfId="7732" xr:uid="{00000000-0005-0000-0000-00005B5B0000}"/>
    <cellStyle name="Normal 4 2 4 2 2 2 2 2 2" xfId="31224" xr:uid="{00000000-0005-0000-0000-00005C5B0000}"/>
    <cellStyle name="Normal 4 2 4 2 2 2 2 3" xfId="31223" xr:uid="{00000000-0005-0000-0000-00005D5B0000}"/>
    <cellStyle name="Normal 4 2 4 2 2 2 3" xfId="7733" xr:uid="{00000000-0005-0000-0000-00005E5B0000}"/>
    <cellStyle name="Normal 4 2 4 2 2 2 3 2" xfId="31225" xr:uid="{00000000-0005-0000-0000-00005F5B0000}"/>
    <cellStyle name="Normal 4 2 4 2 2 2 4" xfId="31222" xr:uid="{00000000-0005-0000-0000-0000605B0000}"/>
    <cellStyle name="Normal 4 2 4 2 2 3" xfId="7734" xr:uid="{00000000-0005-0000-0000-0000615B0000}"/>
    <cellStyle name="Normal 4 2 4 2 2 3 2" xfId="7735" xr:uid="{00000000-0005-0000-0000-0000625B0000}"/>
    <cellStyle name="Normal 4 2 4 2 2 3 2 2" xfId="31227" xr:uid="{00000000-0005-0000-0000-0000635B0000}"/>
    <cellStyle name="Normal 4 2 4 2 2 3 3" xfId="31226" xr:uid="{00000000-0005-0000-0000-0000645B0000}"/>
    <cellStyle name="Normal 4 2 4 2 2 4" xfId="7736" xr:uid="{00000000-0005-0000-0000-0000655B0000}"/>
    <cellStyle name="Normal 4 2 4 2 2 4 2" xfId="31228" xr:uid="{00000000-0005-0000-0000-0000665B0000}"/>
    <cellStyle name="Normal 4 2 4 2 2 5" xfId="31221" xr:uid="{00000000-0005-0000-0000-0000675B0000}"/>
    <cellStyle name="Normal 4 2 4 2 3" xfId="7737" xr:uid="{00000000-0005-0000-0000-0000685B0000}"/>
    <cellStyle name="Normal 4 2 4 2 3 2" xfId="7738" xr:uid="{00000000-0005-0000-0000-0000695B0000}"/>
    <cellStyle name="Normal 4 2 4 2 3 2 2" xfId="7739" xr:uid="{00000000-0005-0000-0000-00006A5B0000}"/>
    <cellStyle name="Normal 4 2 4 2 3 2 2 2" xfId="7740" xr:uid="{00000000-0005-0000-0000-00006B5B0000}"/>
    <cellStyle name="Normal 4 2 4 2 3 2 2 2 2" xfId="31232" xr:uid="{00000000-0005-0000-0000-00006C5B0000}"/>
    <cellStyle name="Normal 4 2 4 2 3 2 2 3" xfId="31231" xr:uid="{00000000-0005-0000-0000-00006D5B0000}"/>
    <cellStyle name="Normal 4 2 4 2 3 2 3" xfId="7741" xr:uid="{00000000-0005-0000-0000-00006E5B0000}"/>
    <cellStyle name="Normal 4 2 4 2 3 2 3 2" xfId="31233" xr:uid="{00000000-0005-0000-0000-00006F5B0000}"/>
    <cellStyle name="Normal 4 2 4 2 3 2 4" xfId="31230" xr:uid="{00000000-0005-0000-0000-0000705B0000}"/>
    <cellStyle name="Normal 4 2 4 2 3 3" xfId="7742" xr:uid="{00000000-0005-0000-0000-0000715B0000}"/>
    <cellStyle name="Normal 4 2 4 2 3 3 2" xfId="7743" xr:uid="{00000000-0005-0000-0000-0000725B0000}"/>
    <cellStyle name="Normal 4 2 4 2 3 3 2 2" xfId="31235" xr:uid="{00000000-0005-0000-0000-0000735B0000}"/>
    <cellStyle name="Normal 4 2 4 2 3 3 3" xfId="31234" xr:uid="{00000000-0005-0000-0000-0000745B0000}"/>
    <cellStyle name="Normal 4 2 4 2 3 4" xfId="7744" xr:uid="{00000000-0005-0000-0000-0000755B0000}"/>
    <cellStyle name="Normal 4 2 4 2 3 4 2" xfId="31236" xr:uid="{00000000-0005-0000-0000-0000765B0000}"/>
    <cellStyle name="Normal 4 2 4 2 3 5" xfId="31229" xr:uid="{00000000-0005-0000-0000-0000775B0000}"/>
    <cellStyle name="Normal 4 2 4 2 4" xfId="7745" xr:uid="{00000000-0005-0000-0000-0000785B0000}"/>
    <cellStyle name="Normal 4 2 4 2 4 2" xfId="7746" xr:uid="{00000000-0005-0000-0000-0000795B0000}"/>
    <cellStyle name="Normal 4 2 4 2 4 2 2" xfId="7747" xr:uid="{00000000-0005-0000-0000-00007A5B0000}"/>
    <cellStyle name="Normal 4 2 4 2 4 2 2 2" xfId="31239" xr:uid="{00000000-0005-0000-0000-00007B5B0000}"/>
    <cellStyle name="Normal 4 2 4 2 4 2 3" xfId="31238" xr:uid="{00000000-0005-0000-0000-00007C5B0000}"/>
    <cellStyle name="Normal 4 2 4 2 4 3" xfId="7748" xr:uid="{00000000-0005-0000-0000-00007D5B0000}"/>
    <cellStyle name="Normal 4 2 4 2 4 3 2" xfId="31240" xr:uid="{00000000-0005-0000-0000-00007E5B0000}"/>
    <cellStyle name="Normal 4 2 4 2 4 4" xfId="31237" xr:uid="{00000000-0005-0000-0000-00007F5B0000}"/>
    <cellStyle name="Normal 4 2 4 2 5" xfId="7749" xr:uid="{00000000-0005-0000-0000-0000805B0000}"/>
    <cellStyle name="Normal 4 2 4 2 5 2" xfId="7750" xr:uid="{00000000-0005-0000-0000-0000815B0000}"/>
    <cellStyle name="Normal 4 2 4 2 5 2 2" xfId="31242" xr:uid="{00000000-0005-0000-0000-0000825B0000}"/>
    <cellStyle name="Normal 4 2 4 2 5 3" xfId="31241" xr:uid="{00000000-0005-0000-0000-0000835B0000}"/>
    <cellStyle name="Normal 4 2 4 2 6" xfId="7751" xr:uid="{00000000-0005-0000-0000-0000845B0000}"/>
    <cellStyle name="Normal 4 2 4 2 6 2" xfId="31243" xr:uid="{00000000-0005-0000-0000-0000855B0000}"/>
    <cellStyle name="Normal 4 2 4 2 7" xfId="31220" xr:uid="{00000000-0005-0000-0000-0000865B0000}"/>
    <cellStyle name="Normal 4 2 4 3" xfId="7752" xr:uid="{00000000-0005-0000-0000-0000875B0000}"/>
    <cellStyle name="Normal 4 2 4 3 2" xfId="7753" xr:uid="{00000000-0005-0000-0000-0000885B0000}"/>
    <cellStyle name="Normal 4 2 4 3 2 2" xfId="7754" xr:uid="{00000000-0005-0000-0000-0000895B0000}"/>
    <cellStyle name="Normal 4 2 4 3 2 2 2" xfId="7755" xr:uid="{00000000-0005-0000-0000-00008A5B0000}"/>
    <cellStyle name="Normal 4 2 4 3 2 2 2 2" xfId="7756" xr:uid="{00000000-0005-0000-0000-00008B5B0000}"/>
    <cellStyle name="Normal 4 2 4 3 2 2 2 2 2" xfId="31248" xr:uid="{00000000-0005-0000-0000-00008C5B0000}"/>
    <cellStyle name="Normal 4 2 4 3 2 2 2 3" xfId="31247" xr:uid="{00000000-0005-0000-0000-00008D5B0000}"/>
    <cellStyle name="Normal 4 2 4 3 2 2 3" xfId="7757" xr:uid="{00000000-0005-0000-0000-00008E5B0000}"/>
    <cellStyle name="Normal 4 2 4 3 2 2 3 2" xfId="31249" xr:uid="{00000000-0005-0000-0000-00008F5B0000}"/>
    <cellStyle name="Normal 4 2 4 3 2 2 4" xfId="31246" xr:uid="{00000000-0005-0000-0000-0000905B0000}"/>
    <cellStyle name="Normal 4 2 4 3 2 3" xfId="7758" xr:uid="{00000000-0005-0000-0000-0000915B0000}"/>
    <cellStyle name="Normal 4 2 4 3 2 3 2" xfId="7759" xr:uid="{00000000-0005-0000-0000-0000925B0000}"/>
    <cellStyle name="Normal 4 2 4 3 2 3 2 2" xfId="31251" xr:uid="{00000000-0005-0000-0000-0000935B0000}"/>
    <cellStyle name="Normal 4 2 4 3 2 3 3" xfId="31250" xr:uid="{00000000-0005-0000-0000-0000945B0000}"/>
    <cellStyle name="Normal 4 2 4 3 2 4" xfId="7760" xr:uid="{00000000-0005-0000-0000-0000955B0000}"/>
    <cellStyle name="Normal 4 2 4 3 2 4 2" xfId="31252" xr:uid="{00000000-0005-0000-0000-0000965B0000}"/>
    <cellStyle name="Normal 4 2 4 3 2 5" xfId="31245" xr:uid="{00000000-0005-0000-0000-0000975B0000}"/>
    <cellStyle name="Normal 4 2 4 3 3" xfId="7761" xr:uid="{00000000-0005-0000-0000-0000985B0000}"/>
    <cellStyle name="Normal 4 2 4 3 3 2" xfId="7762" xr:uid="{00000000-0005-0000-0000-0000995B0000}"/>
    <cellStyle name="Normal 4 2 4 3 3 2 2" xfId="7763" xr:uid="{00000000-0005-0000-0000-00009A5B0000}"/>
    <cellStyle name="Normal 4 2 4 3 3 2 2 2" xfId="7764" xr:uid="{00000000-0005-0000-0000-00009B5B0000}"/>
    <cellStyle name="Normal 4 2 4 3 3 2 2 2 2" xfId="31256" xr:uid="{00000000-0005-0000-0000-00009C5B0000}"/>
    <cellStyle name="Normal 4 2 4 3 3 2 2 3" xfId="31255" xr:uid="{00000000-0005-0000-0000-00009D5B0000}"/>
    <cellStyle name="Normal 4 2 4 3 3 2 3" xfId="7765" xr:uid="{00000000-0005-0000-0000-00009E5B0000}"/>
    <cellStyle name="Normal 4 2 4 3 3 2 3 2" xfId="31257" xr:uid="{00000000-0005-0000-0000-00009F5B0000}"/>
    <cellStyle name="Normal 4 2 4 3 3 2 4" xfId="31254" xr:uid="{00000000-0005-0000-0000-0000A05B0000}"/>
    <cellStyle name="Normal 4 2 4 3 3 3" xfId="7766" xr:uid="{00000000-0005-0000-0000-0000A15B0000}"/>
    <cellStyle name="Normal 4 2 4 3 3 3 2" xfId="7767" xr:uid="{00000000-0005-0000-0000-0000A25B0000}"/>
    <cellStyle name="Normal 4 2 4 3 3 3 2 2" xfId="31259" xr:uid="{00000000-0005-0000-0000-0000A35B0000}"/>
    <cellStyle name="Normal 4 2 4 3 3 3 3" xfId="31258" xr:uid="{00000000-0005-0000-0000-0000A45B0000}"/>
    <cellStyle name="Normal 4 2 4 3 3 4" xfId="7768" xr:uid="{00000000-0005-0000-0000-0000A55B0000}"/>
    <cellStyle name="Normal 4 2 4 3 3 4 2" xfId="31260" xr:uid="{00000000-0005-0000-0000-0000A65B0000}"/>
    <cellStyle name="Normal 4 2 4 3 3 5" xfId="31253" xr:uid="{00000000-0005-0000-0000-0000A75B0000}"/>
    <cellStyle name="Normal 4 2 4 3 4" xfId="7769" xr:uid="{00000000-0005-0000-0000-0000A85B0000}"/>
    <cellStyle name="Normal 4 2 4 3 4 2" xfId="7770" xr:uid="{00000000-0005-0000-0000-0000A95B0000}"/>
    <cellStyle name="Normal 4 2 4 3 4 2 2" xfId="7771" xr:uid="{00000000-0005-0000-0000-0000AA5B0000}"/>
    <cellStyle name="Normal 4 2 4 3 4 2 2 2" xfId="31263" xr:uid="{00000000-0005-0000-0000-0000AB5B0000}"/>
    <cellStyle name="Normal 4 2 4 3 4 2 3" xfId="31262" xr:uid="{00000000-0005-0000-0000-0000AC5B0000}"/>
    <cellStyle name="Normal 4 2 4 3 4 3" xfId="7772" xr:uid="{00000000-0005-0000-0000-0000AD5B0000}"/>
    <cellStyle name="Normal 4 2 4 3 4 3 2" xfId="31264" xr:uid="{00000000-0005-0000-0000-0000AE5B0000}"/>
    <cellStyle name="Normal 4 2 4 3 4 4" xfId="31261" xr:uid="{00000000-0005-0000-0000-0000AF5B0000}"/>
    <cellStyle name="Normal 4 2 4 3 5" xfId="7773" xr:uid="{00000000-0005-0000-0000-0000B05B0000}"/>
    <cellStyle name="Normal 4 2 4 3 5 2" xfId="7774" xr:uid="{00000000-0005-0000-0000-0000B15B0000}"/>
    <cellStyle name="Normal 4 2 4 3 5 2 2" xfId="31266" xr:uid="{00000000-0005-0000-0000-0000B25B0000}"/>
    <cellStyle name="Normal 4 2 4 3 5 3" xfId="31265" xr:uid="{00000000-0005-0000-0000-0000B35B0000}"/>
    <cellStyle name="Normal 4 2 4 3 6" xfId="7775" xr:uid="{00000000-0005-0000-0000-0000B45B0000}"/>
    <cellStyle name="Normal 4 2 4 3 6 2" xfId="31267" xr:uid="{00000000-0005-0000-0000-0000B55B0000}"/>
    <cellStyle name="Normal 4 2 4 3 7" xfId="31244" xr:uid="{00000000-0005-0000-0000-0000B65B0000}"/>
    <cellStyle name="Normal 4 2 4 4" xfId="7776" xr:uid="{00000000-0005-0000-0000-0000B75B0000}"/>
    <cellStyle name="Normal 4 2 4 4 2" xfId="7777" xr:uid="{00000000-0005-0000-0000-0000B85B0000}"/>
    <cellStyle name="Normal 4 2 4 4 2 2" xfId="7778" xr:uid="{00000000-0005-0000-0000-0000B95B0000}"/>
    <cellStyle name="Normal 4 2 4 4 2 2 2" xfId="7779" xr:uid="{00000000-0005-0000-0000-0000BA5B0000}"/>
    <cellStyle name="Normal 4 2 4 4 2 2 2 2" xfId="7780" xr:uid="{00000000-0005-0000-0000-0000BB5B0000}"/>
    <cellStyle name="Normal 4 2 4 4 2 2 2 2 2" xfId="31272" xr:uid="{00000000-0005-0000-0000-0000BC5B0000}"/>
    <cellStyle name="Normal 4 2 4 4 2 2 2 3" xfId="31271" xr:uid="{00000000-0005-0000-0000-0000BD5B0000}"/>
    <cellStyle name="Normal 4 2 4 4 2 2 3" xfId="7781" xr:uid="{00000000-0005-0000-0000-0000BE5B0000}"/>
    <cellStyle name="Normal 4 2 4 4 2 2 3 2" xfId="31273" xr:uid="{00000000-0005-0000-0000-0000BF5B0000}"/>
    <cellStyle name="Normal 4 2 4 4 2 2 4" xfId="31270" xr:uid="{00000000-0005-0000-0000-0000C05B0000}"/>
    <cellStyle name="Normal 4 2 4 4 2 3" xfId="7782" xr:uid="{00000000-0005-0000-0000-0000C15B0000}"/>
    <cellStyle name="Normal 4 2 4 4 2 3 2" xfId="7783" xr:uid="{00000000-0005-0000-0000-0000C25B0000}"/>
    <cellStyle name="Normal 4 2 4 4 2 3 2 2" xfId="31275" xr:uid="{00000000-0005-0000-0000-0000C35B0000}"/>
    <cellStyle name="Normal 4 2 4 4 2 3 3" xfId="31274" xr:uid="{00000000-0005-0000-0000-0000C45B0000}"/>
    <cellStyle name="Normal 4 2 4 4 2 4" xfId="7784" xr:uid="{00000000-0005-0000-0000-0000C55B0000}"/>
    <cellStyle name="Normal 4 2 4 4 2 4 2" xfId="31276" xr:uid="{00000000-0005-0000-0000-0000C65B0000}"/>
    <cellStyle name="Normal 4 2 4 4 2 5" xfId="31269" xr:uid="{00000000-0005-0000-0000-0000C75B0000}"/>
    <cellStyle name="Normal 4 2 4 4 3" xfId="7785" xr:uid="{00000000-0005-0000-0000-0000C85B0000}"/>
    <cellStyle name="Normal 4 2 4 4 3 2" xfId="7786" xr:uid="{00000000-0005-0000-0000-0000C95B0000}"/>
    <cellStyle name="Normal 4 2 4 4 3 2 2" xfId="7787" xr:uid="{00000000-0005-0000-0000-0000CA5B0000}"/>
    <cellStyle name="Normal 4 2 4 4 3 2 2 2" xfId="7788" xr:uid="{00000000-0005-0000-0000-0000CB5B0000}"/>
    <cellStyle name="Normal 4 2 4 4 3 2 2 2 2" xfId="31280" xr:uid="{00000000-0005-0000-0000-0000CC5B0000}"/>
    <cellStyle name="Normal 4 2 4 4 3 2 2 3" xfId="31279" xr:uid="{00000000-0005-0000-0000-0000CD5B0000}"/>
    <cellStyle name="Normal 4 2 4 4 3 2 3" xfId="7789" xr:uid="{00000000-0005-0000-0000-0000CE5B0000}"/>
    <cellStyle name="Normal 4 2 4 4 3 2 3 2" xfId="31281" xr:uid="{00000000-0005-0000-0000-0000CF5B0000}"/>
    <cellStyle name="Normal 4 2 4 4 3 2 4" xfId="31278" xr:uid="{00000000-0005-0000-0000-0000D05B0000}"/>
    <cellStyle name="Normal 4 2 4 4 3 3" xfId="7790" xr:uid="{00000000-0005-0000-0000-0000D15B0000}"/>
    <cellStyle name="Normal 4 2 4 4 3 3 2" xfId="7791" xr:uid="{00000000-0005-0000-0000-0000D25B0000}"/>
    <cellStyle name="Normal 4 2 4 4 3 3 2 2" xfId="31283" xr:uid="{00000000-0005-0000-0000-0000D35B0000}"/>
    <cellStyle name="Normal 4 2 4 4 3 3 3" xfId="31282" xr:uid="{00000000-0005-0000-0000-0000D45B0000}"/>
    <cellStyle name="Normal 4 2 4 4 3 4" xfId="7792" xr:uid="{00000000-0005-0000-0000-0000D55B0000}"/>
    <cellStyle name="Normal 4 2 4 4 3 4 2" xfId="31284" xr:uid="{00000000-0005-0000-0000-0000D65B0000}"/>
    <cellStyle name="Normal 4 2 4 4 3 5" xfId="31277" xr:uid="{00000000-0005-0000-0000-0000D75B0000}"/>
    <cellStyle name="Normal 4 2 4 4 4" xfId="7793" xr:uid="{00000000-0005-0000-0000-0000D85B0000}"/>
    <cellStyle name="Normal 4 2 4 4 4 2" xfId="7794" xr:uid="{00000000-0005-0000-0000-0000D95B0000}"/>
    <cellStyle name="Normal 4 2 4 4 4 2 2" xfId="7795" xr:uid="{00000000-0005-0000-0000-0000DA5B0000}"/>
    <cellStyle name="Normal 4 2 4 4 4 2 2 2" xfId="31287" xr:uid="{00000000-0005-0000-0000-0000DB5B0000}"/>
    <cellStyle name="Normal 4 2 4 4 4 2 3" xfId="31286" xr:uid="{00000000-0005-0000-0000-0000DC5B0000}"/>
    <cellStyle name="Normal 4 2 4 4 4 3" xfId="7796" xr:uid="{00000000-0005-0000-0000-0000DD5B0000}"/>
    <cellStyle name="Normal 4 2 4 4 4 3 2" xfId="31288" xr:uid="{00000000-0005-0000-0000-0000DE5B0000}"/>
    <cellStyle name="Normal 4 2 4 4 4 4" xfId="31285" xr:uid="{00000000-0005-0000-0000-0000DF5B0000}"/>
    <cellStyle name="Normal 4 2 4 4 5" xfId="7797" xr:uid="{00000000-0005-0000-0000-0000E05B0000}"/>
    <cellStyle name="Normal 4 2 4 4 5 2" xfId="7798" xr:uid="{00000000-0005-0000-0000-0000E15B0000}"/>
    <cellStyle name="Normal 4 2 4 4 5 2 2" xfId="31290" xr:uid="{00000000-0005-0000-0000-0000E25B0000}"/>
    <cellStyle name="Normal 4 2 4 4 5 3" xfId="31289" xr:uid="{00000000-0005-0000-0000-0000E35B0000}"/>
    <cellStyle name="Normal 4 2 4 4 6" xfId="7799" xr:uid="{00000000-0005-0000-0000-0000E45B0000}"/>
    <cellStyle name="Normal 4 2 4 4 6 2" xfId="31291" xr:uid="{00000000-0005-0000-0000-0000E55B0000}"/>
    <cellStyle name="Normal 4 2 4 4 7" xfId="31268" xr:uid="{00000000-0005-0000-0000-0000E65B0000}"/>
    <cellStyle name="Normal 4 2 4 5" xfId="7800" xr:uid="{00000000-0005-0000-0000-0000E75B0000}"/>
    <cellStyle name="Normal 4 2 4 5 2" xfId="7801" xr:uid="{00000000-0005-0000-0000-0000E85B0000}"/>
    <cellStyle name="Normal 4 2 4 5 2 2" xfId="7802" xr:uid="{00000000-0005-0000-0000-0000E95B0000}"/>
    <cellStyle name="Normal 4 2 4 5 2 2 2" xfId="7803" xr:uid="{00000000-0005-0000-0000-0000EA5B0000}"/>
    <cellStyle name="Normal 4 2 4 5 2 2 2 2" xfId="31295" xr:uid="{00000000-0005-0000-0000-0000EB5B0000}"/>
    <cellStyle name="Normal 4 2 4 5 2 2 3" xfId="31294" xr:uid="{00000000-0005-0000-0000-0000EC5B0000}"/>
    <cellStyle name="Normal 4 2 4 5 2 3" xfId="7804" xr:uid="{00000000-0005-0000-0000-0000ED5B0000}"/>
    <cellStyle name="Normal 4 2 4 5 2 3 2" xfId="31296" xr:uid="{00000000-0005-0000-0000-0000EE5B0000}"/>
    <cellStyle name="Normal 4 2 4 5 2 4" xfId="31293" xr:uid="{00000000-0005-0000-0000-0000EF5B0000}"/>
    <cellStyle name="Normal 4 2 4 5 3" xfId="7805" xr:uid="{00000000-0005-0000-0000-0000F05B0000}"/>
    <cellStyle name="Normal 4 2 4 5 3 2" xfId="7806" xr:uid="{00000000-0005-0000-0000-0000F15B0000}"/>
    <cellStyle name="Normal 4 2 4 5 3 2 2" xfId="31298" xr:uid="{00000000-0005-0000-0000-0000F25B0000}"/>
    <cellStyle name="Normal 4 2 4 5 3 3" xfId="31297" xr:uid="{00000000-0005-0000-0000-0000F35B0000}"/>
    <cellStyle name="Normal 4 2 4 5 4" xfId="7807" xr:uid="{00000000-0005-0000-0000-0000F45B0000}"/>
    <cellStyle name="Normal 4 2 4 5 4 2" xfId="31299" xr:uid="{00000000-0005-0000-0000-0000F55B0000}"/>
    <cellStyle name="Normal 4 2 4 5 5" xfId="31292" xr:uid="{00000000-0005-0000-0000-0000F65B0000}"/>
    <cellStyle name="Normal 4 2 4 6" xfId="7808" xr:uid="{00000000-0005-0000-0000-0000F75B0000}"/>
    <cellStyle name="Normal 4 2 4 6 2" xfId="7809" xr:uid="{00000000-0005-0000-0000-0000F85B0000}"/>
    <cellStyle name="Normal 4 2 4 6 2 2" xfId="7810" xr:uid="{00000000-0005-0000-0000-0000F95B0000}"/>
    <cellStyle name="Normal 4 2 4 6 2 2 2" xfId="7811" xr:uid="{00000000-0005-0000-0000-0000FA5B0000}"/>
    <cellStyle name="Normal 4 2 4 6 2 2 2 2" xfId="31303" xr:uid="{00000000-0005-0000-0000-0000FB5B0000}"/>
    <cellStyle name="Normal 4 2 4 6 2 2 3" xfId="31302" xr:uid="{00000000-0005-0000-0000-0000FC5B0000}"/>
    <cellStyle name="Normal 4 2 4 6 2 3" xfId="7812" xr:uid="{00000000-0005-0000-0000-0000FD5B0000}"/>
    <cellStyle name="Normal 4 2 4 6 2 3 2" xfId="31304" xr:uid="{00000000-0005-0000-0000-0000FE5B0000}"/>
    <cellStyle name="Normal 4 2 4 6 2 4" xfId="31301" xr:uid="{00000000-0005-0000-0000-0000FF5B0000}"/>
    <cellStyle name="Normal 4 2 4 6 3" xfId="7813" xr:uid="{00000000-0005-0000-0000-0000005C0000}"/>
    <cellStyle name="Normal 4 2 4 6 3 2" xfId="7814" xr:uid="{00000000-0005-0000-0000-0000015C0000}"/>
    <cellStyle name="Normal 4 2 4 6 3 2 2" xfId="31306" xr:uid="{00000000-0005-0000-0000-0000025C0000}"/>
    <cellStyle name="Normal 4 2 4 6 3 3" xfId="31305" xr:uid="{00000000-0005-0000-0000-0000035C0000}"/>
    <cellStyle name="Normal 4 2 4 6 4" xfId="7815" xr:uid="{00000000-0005-0000-0000-0000045C0000}"/>
    <cellStyle name="Normal 4 2 4 6 4 2" xfId="31307" xr:uid="{00000000-0005-0000-0000-0000055C0000}"/>
    <cellStyle name="Normal 4 2 4 6 5" xfId="31300" xr:uid="{00000000-0005-0000-0000-0000065C0000}"/>
    <cellStyle name="Normal 4 2 4 7" xfId="7816" xr:uid="{00000000-0005-0000-0000-0000075C0000}"/>
    <cellStyle name="Normal 4 2 4 7 2" xfId="7817" xr:uid="{00000000-0005-0000-0000-0000085C0000}"/>
    <cellStyle name="Normal 4 2 4 7 2 2" xfId="7818" xr:uid="{00000000-0005-0000-0000-0000095C0000}"/>
    <cellStyle name="Normal 4 2 4 7 2 2 2" xfId="31310" xr:uid="{00000000-0005-0000-0000-00000A5C0000}"/>
    <cellStyle name="Normal 4 2 4 7 2 3" xfId="31309" xr:uid="{00000000-0005-0000-0000-00000B5C0000}"/>
    <cellStyle name="Normal 4 2 4 7 3" xfId="7819" xr:uid="{00000000-0005-0000-0000-00000C5C0000}"/>
    <cellStyle name="Normal 4 2 4 7 3 2" xfId="31311" xr:uid="{00000000-0005-0000-0000-00000D5C0000}"/>
    <cellStyle name="Normal 4 2 4 7 4" xfId="31308" xr:uid="{00000000-0005-0000-0000-00000E5C0000}"/>
    <cellStyle name="Normal 4 2 4 8" xfId="7820" xr:uid="{00000000-0005-0000-0000-00000F5C0000}"/>
    <cellStyle name="Normal 4 2 4 8 2" xfId="7821" xr:uid="{00000000-0005-0000-0000-0000105C0000}"/>
    <cellStyle name="Normal 4 2 4 8 2 2" xfId="31313" xr:uid="{00000000-0005-0000-0000-0000115C0000}"/>
    <cellStyle name="Normal 4 2 4 8 3" xfId="31312" xr:uid="{00000000-0005-0000-0000-0000125C0000}"/>
    <cellStyle name="Normal 4 2 4 9" xfId="7822" xr:uid="{00000000-0005-0000-0000-0000135C0000}"/>
    <cellStyle name="Normal 4 2 4 9 2" xfId="31314" xr:uid="{00000000-0005-0000-0000-0000145C0000}"/>
    <cellStyle name="Normal 4 2 5" xfId="7823" xr:uid="{00000000-0005-0000-0000-0000155C0000}"/>
    <cellStyle name="Normal 4 2 5 10" xfId="31315" xr:uid="{00000000-0005-0000-0000-0000165C0000}"/>
    <cellStyle name="Normal 4 2 5 2" xfId="7824" xr:uid="{00000000-0005-0000-0000-0000175C0000}"/>
    <cellStyle name="Normal 4 2 5 2 2" xfId="7825" xr:uid="{00000000-0005-0000-0000-0000185C0000}"/>
    <cellStyle name="Normal 4 2 5 2 2 2" xfId="7826" xr:uid="{00000000-0005-0000-0000-0000195C0000}"/>
    <cellStyle name="Normal 4 2 5 2 2 2 2" xfId="7827" xr:uid="{00000000-0005-0000-0000-00001A5C0000}"/>
    <cellStyle name="Normal 4 2 5 2 2 2 2 2" xfId="7828" xr:uid="{00000000-0005-0000-0000-00001B5C0000}"/>
    <cellStyle name="Normal 4 2 5 2 2 2 2 2 2" xfId="31320" xr:uid="{00000000-0005-0000-0000-00001C5C0000}"/>
    <cellStyle name="Normal 4 2 5 2 2 2 2 3" xfId="31319" xr:uid="{00000000-0005-0000-0000-00001D5C0000}"/>
    <cellStyle name="Normal 4 2 5 2 2 2 3" xfId="7829" xr:uid="{00000000-0005-0000-0000-00001E5C0000}"/>
    <cellStyle name="Normal 4 2 5 2 2 2 3 2" xfId="31321" xr:uid="{00000000-0005-0000-0000-00001F5C0000}"/>
    <cellStyle name="Normal 4 2 5 2 2 2 4" xfId="31318" xr:uid="{00000000-0005-0000-0000-0000205C0000}"/>
    <cellStyle name="Normal 4 2 5 2 2 3" xfId="7830" xr:uid="{00000000-0005-0000-0000-0000215C0000}"/>
    <cellStyle name="Normal 4 2 5 2 2 3 2" xfId="7831" xr:uid="{00000000-0005-0000-0000-0000225C0000}"/>
    <cellStyle name="Normal 4 2 5 2 2 3 2 2" xfId="31323" xr:uid="{00000000-0005-0000-0000-0000235C0000}"/>
    <cellStyle name="Normal 4 2 5 2 2 3 3" xfId="31322" xr:uid="{00000000-0005-0000-0000-0000245C0000}"/>
    <cellStyle name="Normal 4 2 5 2 2 4" xfId="7832" xr:uid="{00000000-0005-0000-0000-0000255C0000}"/>
    <cellStyle name="Normal 4 2 5 2 2 4 2" xfId="31324" xr:uid="{00000000-0005-0000-0000-0000265C0000}"/>
    <cellStyle name="Normal 4 2 5 2 2 5" xfId="31317" xr:uid="{00000000-0005-0000-0000-0000275C0000}"/>
    <cellStyle name="Normal 4 2 5 2 3" xfId="7833" xr:uid="{00000000-0005-0000-0000-0000285C0000}"/>
    <cellStyle name="Normal 4 2 5 2 3 2" xfId="7834" xr:uid="{00000000-0005-0000-0000-0000295C0000}"/>
    <cellStyle name="Normal 4 2 5 2 3 2 2" xfId="7835" xr:uid="{00000000-0005-0000-0000-00002A5C0000}"/>
    <cellStyle name="Normal 4 2 5 2 3 2 2 2" xfId="7836" xr:uid="{00000000-0005-0000-0000-00002B5C0000}"/>
    <cellStyle name="Normal 4 2 5 2 3 2 2 2 2" xfId="31328" xr:uid="{00000000-0005-0000-0000-00002C5C0000}"/>
    <cellStyle name="Normal 4 2 5 2 3 2 2 3" xfId="31327" xr:uid="{00000000-0005-0000-0000-00002D5C0000}"/>
    <cellStyle name="Normal 4 2 5 2 3 2 3" xfId="7837" xr:uid="{00000000-0005-0000-0000-00002E5C0000}"/>
    <cellStyle name="Normal 4 2 5 2 3 2 3 2" xfId="31329" xr:uid="{00000000-0005-0000-0000-00002F5C0000}"/>
    <cellStyle name="Normal 4 2 5 2 3 2 4" xfId="31326" xr:uid="{00000000-0005-0000-0000-0000305C0000}"/>
    <cellStyle name="Normal 4 2 5 2 3 3" xfId="7838" xr:uid="{00000000-0005-0000-0000-0000315C0000}"/>
    <cellStyle name="Normal 4 2 5 2 3 3 2" xfId="7839" xr:uid="{00000000-0005-0000-0000-0000325C0000}"/>
    <cellStyle name="Normal 4 2 5 2 3 3 2 2" xfId="31331" xr:uid="{00000000-0005-0000-0000-0000335C0000}"/>
    <cellStyle name="Normal 4 2 5 2 3 3 3" xfId="31330" xr:uid="{00000000-0005-0000-0000-0000345C0000}"/>
    <cellStyle name="Normal 4 2 5 2 3 4" xfId="7840" xr:uid="{00000000-0005-0000-0000-0000355C0000}"/>
    <cellStyle name="Normal 4 2 5 2 3 4 2" xfId="31332" xr:uid="{00000000-0005-0000-0000-0000365C0000}"/>
    <cellStyle name="Normal 4 2 5 2 3 5" xfId="31325" xr:uid="{00000000-0005-0000-0000-0000375C0000}"/>
    <cellStyle name="Normal 4 2 5 2 4" xfId="7841" xr:uid="{00000000-0005-0000-0000-0000385C0000}"/>
    <cellStyle name="Normal 4 2 5 2 4 2" xfId="7842" xr:uid="{00000000-0005-0000-0000-0000395C0000}"/>
    <cellStyle name="Normal 4 2 5 2 4 2 2" xfId="7843" xr:uid="{00000000-0005-0000-0000-00003A5C0000}"/>
    <cellStyle name="Normal 4 2 5 2 4 2 2 2" xfId="31335" xr:uid="{00000000-0005-0000-0000-00003B5C0000}"/>
    <cellStyle name="Normal 4 2 5 2 4 2 3" xfId="31334" xr:uid="{00000000-0005-0000-0000-00003C5C0000}"/>
    <cellStyle name="Normal 4 2 5 2 4 3" xfId="7844" xr:uid="{00000000-0005-0000-0000-00003D5C0000}"/>
    <cellStyle name="Normal 4 2 5 2 4 3 2" xfId="31336" xr:uid="{00000000-0005-0000-0000-00003E5C0000}"/>
    <cellStyle name="Normal 4 2 5 2 4 4" xfId="31333" xr:uid="{00000000-0005-0000-0000-00003F5C0000}"/>
    <cellStyle name="Normal 4 2 5 2 5" xfId="7845" xr:uid="{00000000-0005-0000-0000-0000405C0000}"/>
    <cellStyle name="Normal 4 2 5 2 5 2" xfId="7846" xr:uid="{00000000-0005-0000-0000-0000415C0000}"/>
    <cellStyle name="Normal 4 2 5 2 5 2 2" xfId="31338" xr:uid="{00000000-0005-0000-0000-0000425C0000}"/>
    <cellStyle name="Normal 4 2 5 2 5 3" xfId="31337" xr:uid="{00000000-0005-0000-0000-0000435C0000}"/>
    <cellStyle name="Normal 4 2 5 2 6" xfId="7847" xr:uid="{00000000-0005-0000-0000-0000445C0000}"/>
    <cellStyle name="Normal 4 2 5 2 6 2" xfId="31339" xr:uid="{00000000-0005-0000-0000-0000455C0000}"/>
    <cellStyle name="Normal 4 2 5 2 7" xfId="31316" xr:uid="{00000000-0005-0000-0000-0000465C0000}"/>
    <cellStyle name="Normal 4 2 5 3" xfId="7848" xr:uid="{00000000-0005-0000-0000-0000475C0000}"/>
    <cellStyle name="Normal 4 2 5 3 2" xfId="7849" xr:uid="{00000000-0005-0000-0000-0000485C0000}"/>
    <cellStyle name="Normal 4 2 5 3 2 2" xfId="7850" xr:uid="{00000000-0005-0000-0000-0000495C0000}"/>
    <cellStyle name="Normal 4 2 5 3 2 2 2" xfId="7851" xr:uid="{00000000-0005-0000-0000-00004A5C0000}"/>
    <cellStyle name="Normal 4 2 5 3 2 2 2 2" xfId="7852" xr:uid="{00000000-0005-0000-0000-00004B5C0000}"/>
    <cellStyle name="Normal 4 2 5 3 2 2 2 2 2" xfId="31344" xr:uid="{00000000-0005-0000-0000-00004C5C0000}"/>
    <cellStyle name="Normal 4 2 5 3 2 2 2 3" xfId="31343" xr:uid="{00000000-0005-0000-0000-00004D5C0000}"/>
    <cellStyle name="Normal 4 2 5 3 2 2 3" xfId="7853" xr:uid="{00000000-0005-0000-0000-00004E5C0000}"/>
    <cellStyle name="Normal 4 2 5 3 2 2 3 2" xfId="31345" xr:uid="{00000000-0005-0000-0000-00004F5C0000}"/>
    <cellStyle name="Normal 4 2 5 3 2 2 4" xfId="31342" xr:uid="{00000000-0005-0000-0000-0000505C0000}"/>
    <cellStyle name="Normal 4 2 5 3 2 3" xfId="7854" xr:uid="{00000000-0005-0000-0000-0000515C0000}"/>
    <cellStyle name="Normal 4 2 5 3 2 3 2" xfId="7855" xr:uid="{00000000-0005-0000-0000-0000525C0000}"/>
    <cellStyle name="Normal 4 2 5 3 2 3 2 2" xfId="31347" xr:uid="{00000000-0005-0000-0000-0000535C0000}"/>
    <cellStyle name="Normal 4 2 5 3 2 3 3" xfId="31346" xr:uid="{00000000-0005-0000-0000-0000545C0000}"/>
    <cellStyle name="Normal 4 2 5 3 2 4" xfId="7856" xr:uid="{00000000-0005-0000-0000-0000555C0000}"/>
    <cellStyle name="Normal 4 2 5 3 2 4 2" xfId="31348" xr:uid="{00000000-0005-0000-0000-0000565C0000}"/>
    <cellStyle name="Normal 4 2 5 3 2 5" xfId="31341" xr:uid="{00000000-0005-0000-0000-0000575C0000}"/>
    <cellStyle name="Normal 4 2 5 3 3" xfId="7857" xr:uid="{00000000-0005-0000-0000-0000585C0000}"/>
    <cellStyle name="Normal 4 2 5 3 3 2" xfId="7858" xr:uid="{00000000-0005-0000-0000-0000595C0000}"/>
    <cellStyle name="Normal 4 2 5 3 3 2 2" xfId="7859" xr:uid="{00000000-0005-0000-0000-00005A5C0000}"/>
    <cellStyle name="Normal 4 2 5 3 3 2 2 2" xfId="7860" xr:uid="{00000000-0005-0000-0000-00005B5C0000}"/>
    <cellStyle name="Normal 4 2 5 3 3 2 2 2 2" xfId="31352" xr:uid="{00000000-0005-0000-0000-00005C5C0000}"/>
    <cellStyle name="Normal 4 2 5 3 3 2 2 3" xfId="31351" xr:uid="{00000000-0005-0000-0000-00005D5C0000}"/>
    <cellStyle name="Normal 4 2 5 3 3 2 3" xfId="7861" xr:uid="{00000000-0005-0000-0000-00005E5C0000}"/>
    <cellStyle name="Normal 4 2 5 3 3 2 3 2" xfId="31353" xr:uid="{00000000-0005-0000-0000-00005F5C0000}"/>
    <cellStyle name="Normal 4 2 5 3 3 2 4" xfId="31350" xr:uid="{00000000-0005-0000-0000-0000605C0000}"/>
    <cellStyle name="Normal 4 2 5 3 3 3" xfId="7862" xr:uid="{00000000-0005-0000-0000-0000615C0000}"/>
    <cellStyle name="Normal 4 2 5 3 3 3 2" xfId="7863" xr:uid="{00000000-0005-0000-0000-0000625C0000}"/>
    <cellStyle name="Normal 4 2 5 3 3 3 2 2" xfId="31355" xr:uid="{00000000-0005-0000-0000-0000635C0000}"/>
    <cellStyle name="Normal 4 2 5 3 3 3 3" xfId="31354" xr:uid="{00000000-0005-0000-0000-0000645C0000}"/>
    <cellStyle name="Normal 4 2 5 3 3 4" xfId="7864" xr:uid="{00000000-0005-0000-0000-0000655C0000}"/>
    <cellStyle name="Normal 4 2 5 3 3 4 2" xfId="31356" xr:uid="{00000000-0005-0000-0000-0000665C0000}"/>
    <cellStyle name="Normal 4 2 5 3 3 5" xfId="31349" xr:uid="{00000000-0005-0000-0000-0000675C0000}"/>
    <cellStyle name="Normal 4 2 5 3 4" xfId="7865" xr:uid="{00000000-0005-0000-0000-0000685C0000}"/>
    <cellStyle name="Normal 4 2 5 3 4 2" xfId="7866" xr:uid="{00000000-0005-0000-0000-0000695C0000}"/>
    <cellStyle name="Normal 4 2 5 3 4 2 2" xfId="7867" xr:uid="{00000000-0005-0000-0000-00006A5C0000}"/>
    <cellStyle name="Normal 4 2 5 3 4 2 2 2" xfId="31359" xr:uid="{00000000-0005-0000-0000-00006B5C0000}"/>
    <cellStyle name="Normal 4 2 5 3 4 2 3" xfId="31358" xr:uid="{00000000-0005-0000-0000-00006C5C0000}"/>
    <cellStyle name="Normal 4 2 5 3 4 3" xfId="7868" xr:uid="{00000000-0005-0000-0000-00006D5C0000}"/>
    <cellStyle name="Normal 4 2 5 3 4 3 2" xfId="31360" xr:uid="{00000000-0005-0000-0000-00006E5C0000}"/>
    <cellStyle name="Normal 4 2 5 3 4 4" xfId="31357" xr:uid="{00000000-0005-0000-0000-00006F5C0000}"/>
    <cellStyle name="Normal 4 2 5 3 5" xfId="7869" xr:uid="{00000000-0005-0000-0000-0000705C0000}"/>
    <cellStyle name="Normal 4 2 5 3 5 2" xfId="7870" xr:uid="{00000000-0005-0000-0000-0000715C0000}"/>
    <cellStyle name="Normal 4 2 5 3 5 2 2" xfId="31362" xr:uid="{00000000-0005-0000-0000-0000725C0000}"/>
    <cellStyle name="Normal 4 2 5 3 5 3" xfId="31361" xr:uid="{00000000-0005-0000-0000-0000735C0000}"/>
    <cellStyle name="Normal 4 2 5 3 6" xfId="7871" xr:uid="{00000000-0005-0000-0000-0000745C0000}"/>
    <cellStyle name="Normal 4 2 5 3 6 2" xfId="31363" xr:uid="{00000000-0005-0000-0000-0000755C0000}"/>
    <cellStyle name="Normal 4 2 5 3 7" xfId="31340" xr:uid="{00000000-0005-0000-0000-0000765C0000}"/>
    <cellStyle name="Normal 4 2 5 4" xfId="7872" xr:uid="{00000000-0005-0000-0000-0000775C0000}"/>
    <cellStyle name="Normal 4 2 5 4 2" xfId="7873" xr:uid="{00000000-0005-0000-0000-0000785C0000}"/>
    <cellStyle name="Normal 4 2 5 4 2 2" xfId="7874" xr:uid="{00000000-0005-0000-0000-0000795C0000}"/>
    <cellStyle name="Normal 4 2 5 4 2 2 2" xfId="7875" xr:uid="{00000000-0005-0000-0000-00007A5C0000}"/>
    <cellStyle name="Normal 4 2 5 4 2 2 2 2" xfId="7876" xr:uid="{00000000-0005-0000-0000-00007B5C0000}"/>
    <cellStyle name="Normal 4 2 5 4 2 2 2 2 2" xfId="31368" xr:uid="{00000000-0005-0000-0000-00007C5C0000}"/>
    <cellStyle name="Normal 4 2 5 4 2 2 2 3" xfId="31367" xr:uid="{00000000-0005-0000-0000-00007D5C0000}"/>
    <cellStyle name="Normal 4 2 5 4 2 2 3" xfId="7877" xr:uid="{00000000-0005-0000-0000-00007E5C0000}"/>
    <cellStyle name="Normal 4 2 5 4 2 2 3 2" xfId="31369" xr:uid="{00000000-0005-0000-0000-00007F5C0000}"/>
    <cellStyle name="Normal 4 2 5 4 2 2 4" xfId="31366" xr:uid="{00000000-0005-0000-0000-0000805C0000}"/>
    <cellStyle name="Normal 4 2 5 4 2 3" xfId="7878" xr:uid="{00000000-0005-0000-0000-0000815C0000}"/>
    <cellStyle name="Normal 4 2 5 4 2 3 2" xfId="7879" xr:uid="{00000000-0005-0000-0000-0000825C0000}"/>
    <cellStyle name="Normal 4 2 5 4 2 3 2 2" xfId="31371" xr:uid="{00000000-0005-0000-0000-0000835C0000}"/>
    <cellStyle name="Normal 4 2 5 4 2 3 3" xfId="31370" xr:uid="{00000000-0005-0000-0000-0000845C0000}"/>
    <cellStyle name="Normal 4 2 5 4 2 4" xfId="7880" xr:uid="{00000000-0005-0000-0000-0000855C0000}"/>
    <cellStyle name="Normal 4 2 5 4 2 4 2" xfId="31372" xr:uid="{00000000-0005-0000-0000-0000865C0000}"/>
    <cellStyle name="Normal 4 2 5 4 2 5" xfId="31365" xr:uid="{00000000-0005-0000-0000-0000875C0000}"/>
    <cellStyle name="Normal 4 2 5 4 3" xfId="7881" xr:uid="{00000000-0005-0000-0000-0000885C0000}"/>
    <cellStyle name="Normal 4 2 5 4 3 2" xfId="7882" xr:uid="{00000000-0005-0000-0000-0000895C0000}"/>
    <cellStyle name="Normal 4 2 5 4 3 2 2" xfId="7883" xr:uid="{00000000-0005-0000-0000-00008A5C0000}"/>
    <cellStyle name="Normal 4 2 5 4 3 2 2 2" xfId="7884" xr:uid="{00000000-0005-0000-0000-00008B5C0000}"/>
    <cellStyle name="Normal 4 2 5 4 3 2 2 2 2" xfId="31376" xr:uid="{00000000-0005-0000-0000-00008C5C0000}"/>
    <cellStyle name="Normal 4 2 5 4 3 2 2 3" xfId="31375" xr:uid="{00000000-0005-0000-0000-00008D5C0000}"/>
    <cellStyle name="Normal 4 2 5 4 3 2 3" xfId="7885" xr:uid="{00000000-0005-0000-0000-00008E5C0000}"/>
    <cellStyle name="Normal 4 2 5 4 3 2 3 2" xfId="31377" xr:uid="{00000000-0005-0000-0000-00008F5C0000}"/>
    <cellStyle name="Normal 4 2 5 4 3 2 4" xfId="31374" xr:uid="{00000000-0005-0000-0000-0000905C0000}"/>
    <cellStyle name="Normal 4 2 5 4 3 3" xfId="7886" xr:uid="{00000000-0005-0000-0000-0000915C0000}"/>
    <cellStyle name="Normal 4 2 5 4 3 3 2" xfId="7887" xr:uid="{00000000-0005-0000-0000-0000925C0000}"/>
    <cellStyle name="Normal 4 2 5 4 3 3 2 2" xfId="31379" xr:uid="{00000000-0005-0000-0000-0000935C0000}"/>
    <cellStyle name="Normal 4 2 5 4 3 3 3" xfId="31378" xr:uid="{00000000-0005-0000-0000-0000945C0000}"/>
    <cellStyle name="Normal 4 2 5 4 3 4" xfId="7888" xr:uid="{00000000-0005-0000-0000-0000955C0000}"/>
    <cellStyle name="Normal 4 2 5 4 3 4 2" xfId="31380" xr:uid="{00000000-0005-0000-0000-0000965C0000}"/>
    <cellStyle name="Normal 4 2 5 4 3 5" xfId="31373" xr:uid="{00000000-0005-0000-0000-0000975C0000}"/>
    <cellStyle name="Normal 4 2 5 4 4" xfId="7889" xr:uid="{00000000-0005-0000-0000-0000985C0000}"/>
    <cellStyle name="Normal 4 2 5 4 4 2" xfId="7890" xr:uid="{00000000-0005-0000-0000-0000995C0000}"/>
    <cellStyle name="Normal 4 2 5 4 4 2 2" xfId="7891" xr:uid="{00000000-0005-0000-0000-00009A5C0000}"/>
    <cellStyle name="Normal 4 2 5 4 4 2 2 2" xfId="31383" xr:uid="{00000000-0005-0000-0000-00009B5C0000}"/>
    <cellStyle name="Normal 4 2 5 4 4 2 3" xfId="31382" xr:uid="{00000000-0005-0000-0000-00009C5C0000}"/>
    <cellStyle name="Normal 4 2 5 4 4 3" xfId="7892" xr:uid="{00000000-0005-0000-0000-00009D5C0000}"/>
    <cellStyle name="Normal 4 2 5 4 4 3 2" xfId="31384" xr:uid="{00000000-0005-0000-0000-00009E5C0000}"/>
    <cellStyle name="Normal 4 2 5 4 4 4" xfId="31381" xr:uid="{00000000-0005-0000-0000-00009F5C0000}"/>
    <cellStyle name="Normal 4 2 5 4 5" xfId="7893" xr:uid="{00000000-0005-0000-0000-0000A05C0000}"/>
    <cellStyle name="Normal 4 2 5 4 5 2" xfId="7894" xr:uid="{00000000-0005-0000-0000-0000A15C0000}"/>
    <cellStyle name="Normal 4 2 5 4 5 2 2" xfId="31386" xr:uid="{00000000-0005-0000-0000-0000A25C0000}"/>
    <cellStyle name="Normal 4 2 5 4 5 3" xfId="31385" xr:uid="{00000000-0005-0000-0000-0000A35C0000}"/>
    <cellStyle name="Normal 4 2 5 4 6" xfId="7895" xr:uid="{00000000-0005-0000-0000-0000A45C0000}"/>
    <cellStyle name="Normal 4 2 5 4 6 2" xfId="31387" xr:uid="{00000000-0005-0000-0000-0000A55C0000}"/>
    <cellStyle name="Normal 4 2 5 4 7" xfId="31364" xr:uid="{00000000-0005-0000-0000-0000A65C0000}"/>
    <cellStyle name="Normal 4 2 5 5" xfId="7896" xr:uid="{00000000-0005-0000-0000-0000A75C0000}"/>
    <cellStyle name="Normal 4 2 5 5 2" xfId="7897" xr:uid="{00000000-0005-0000-0000-0000A85C0000}"/>
    <cellStyle name="Normal 4 2 5 5 2 2" xfId="7898" xr:uid="{00000000-0005-0000-0000-0000A95C0000}"/>
    <cellStyle name="Normal 4 2 5 5 2 2 2" xfId="7899" xr:uid="{00000000-0005-0000-0000-0000AA5C0000}"/>
    <cellStyle name="Normal 4 2 5 5 2 2 2 2" xfId="31391" xr:uid="{00000000-0005-0000-0000-0000AB5C0000}"/>
    <cellStyle name="Normal 4 2 5 5 2 2 3" xfId="31390" xr:uid="{00000000-0005-0000-0000-0000AC5C0000}"/>
    <cellStyle name="Normal 4 2 5 5 2 3" xfId="7900" xr:uid="{00000000-0005-0000-0000-0000AD5C0000}"/>
    <cellStyle name="Normal 4 2 5 5 2 3 2" xfId="31392" xr:uid="{00000000-0005-0000-0000-0000AE5C0000}"/>
    <cellStyle name="Normal 4 2 5 5 2 4" xfId="31389" xr:uid="{00000000-0005-0000-0000-0000AF5C0000}"/>
    <cellStyle name="Normal 4 2 5 5 3" xfId="7901" xr:uid="{00000000-0005-0000-0000-0000B05C0000}"/>
    <cellStyle name="Normal 4 2 5 5 3 2" xfId="7902" xr:uid="{00000000-0005-0000-0000-0000B15C0000}"/>
    <cellStyle name="Normal 4 2 5 5 3 2 2" xfId="31394" xr:uid="{00000000-0005-0000-0000-0000B25C0000}"/>
    <cellStyle name="Normal 4 2 5 5 3 3" xfId="31393" xr:uid="{00000000-0005-0000-0000-0000B35C0000}"/>
    <cellStyle name="Normal 4 2 5 5 4" xfId="7903" xr:uid="{00000000-0005-0000-0000-0000B45C0000}"/>
    <cellStyle name="Normal 4 2 5 5 4 2" xfId="31395" xr:uid="{00000000-0005-0000-0000-0000B55C0000}"/>
    <cellStyle name="Normal 4 2 5 5 5" xfId="31388" xr:uid="{00000000-0005-0000-0000-0000B65C0000}"/>
    <cellStyle name="Normal 4 2 5 6" xfId="7904" xr:uid="{00000000-0005-0000-0000-0000B75C0000}"/>
    <cellStyle name="Normal 4 2 5 6 2" xfId="7905" xr:uid="{00000000-0005-0000-0000-0000B85C0000}"/>
    <cellStyle name="Normal 4 2 5 6 2 2" xfId="7906" xr:uid="{00000000-0005-0000-0000-0000B95C0000}"/>
    <cellStyle name="Normal 4 2 5 6 2 2 2" xfId="7907" xr:uid="{00000000-0005-0000-0000-0000BA5C0000}"/>
    <cellStyle name="Normal 4 2 5 6 2 2 2 2" xfId="31399" xr:uid="{00000000-0005-0000-0000-0000BB5C0000}"/>
    <cellStyle name="Normal 4 2 5 6 2 2 3" xfId="31398" xr:uid="{00000000-0005-0000-0000-0000BC5C0000}"/>
    <cellStyle name="Normal 4 2 5 6 2 3" xfId="7908" xr:uid="{00000000-0005-0000-0000-0000BD5C0000}"/>
    <cellStyle name="Normal 4 2 5 6 2 3 2" xfId="31400" xr:uid="{00000000-0005-0000-0000-0000BE5C0000}"/>
    <cellStyle name="Normal 4 2 5 6 2 4" xfId="31397" xr:uid="{00000000-0005-0000-0000-0000BF5C0000}"/>
    <cellStyle name="Normal 4 2 5 6 3" xfId="7909" xr:uid="{00000000-0005-0000-0000-0000C05C0000}"/>
    <cellStyle name="Normal 4 2 5 6 3 2" xfId="7910" xr:uid="{00000000-0005-0000-0000-0000C15C0000}"/>
    <cellStyle name="Normal 4 2 5 6 3 2 2" xfId="31402" xr:uid="{00000000-0005-0000-0000-0000C25C0000}"/>
    <cellStyle name="Normal 4 2 5 6 3 3" xfId="31401" xr:uid="{00000000-0005-0000-0000-0000C35C0000}"/>
    <cellStyle name="Normal 4 2 5 6 4" xfId="7911" xr:uid="{00000000-0005-0000-0000-0000C45C0000}"/>
    <cellStyle name="Normal 4 2 5 6 4 2" xfId="31403" xr:uid="{00000000-0005-0000-0000-0000C55C0000}"/>
    <cellStyle name="Normal 4 2 5 6 5" xfId="31396" xr:uid="{00000000-0005-0000-0000-0000C65C0000}"/>
    <cellStyle name="Normal 4 2 5 7" xfId="7912" xr:uid="{00000000-0005-0000-0000-0000C75C0000}"/>
    <cellStyle name="Normal 4 2 5 7 2" xfId="7913" xr:uid="{00000000-0005-0000-0000-0000C85C0000}"/>
    <cellStyle name="Normal 4 2 5 7 2 2" xfId="7914" xr:uid="{00000000-0005-0000-0000-0000C95C0000}"/>
    <cellStyle name="Normal 4 2 5 7 2 2 2" xfId="31406" xr:uid="{00000000-0005-0000-0000-0000CA5C0000}"/>
    <cellStyle name="Normal 4 2 5 7 2 3" xfId="31405" xr:uid="{00000000-0005-0000-0000-0000CB5C0000}"/>
    <cellStyle name="Normal 4 2 5 7 3" xfId="7915" xr:uid="{00000000-0005-0000-0000-0000CC5C0000}"/>
    <cellStyle name="Normal 4 2 5 7 3 2" xfId="31407" xr:uid="{00000000-0005-0000-0000-0000CD5C0000}"/>
    <cellStyle name="Normal 4 2 5 7 4" xfId="31404" xr:uid="{00000000-0005-0000-0000-0000CE5C0000}"/>
    <cellStyle name="Normal 4 2 5 8" xfId="7916" xr:uid="{00000000-0005-0000-0000-0000CF5C0000}"/>
    <cellStyle name="Normal 4 2 5 8 2" xfId="7917" xr:uid="{00000000-0005-0000-0000-0000D05C0000}"/>
    <cellStyle name="Normal 4 2 5 8 2 2" xfId="31409" xr:uid="{00000000-0005-0000-0000-0000D15C0000}"/>
    <cellStyle name="Normal 4 2 5 8 3" xfId="31408" xr:uid="{00000000-0005-0000-0000-0000D25C0000}"/>
    <cellStyle name="Normal 4 2 5 9" xfId="7918" xr:uid="{00000000-0005-0000-0000-0000D35C0000}"/>
    <cellStyle name="Normal 4 2 5 9 2" xfId="31410" xr:uid="{00000000-0005-0000-0000-0000D45C0000}"/>
    <cellStyle name="Normal 4 2 6" xfId="7919" xr:uid="{00000000-0005-0000-0000-0000D55C0000}"/>
    <cellStyle name="Normal 4 2 6 2" xfId="7920" xr:uid="{00000000-0005-0000-0000-0000D65C0000}"/>
    <cellStyle name="Normal 4 2 6 2 2" xfId="7921" xr:uid="{00000000-0005-0000-0000-0000D75C0000}"/>
    <cellStyle name="Normal 4 2 6 2 2 2" xfId="7922" xr:uid="{00000000-0005-0000-0000-0000D85C0000}"/>
    <cellStyle name="Normal 4 2 6 2 2 2 2" xfId="7923" xr:uid="{00000000-0005-0000-0000-0000D95C0000}"/>
    <cellStyle name="Normal 4 2 6 2 2 2 2 2" xfId="31415" xr:uid="{00000000-0005-0000-0000-0000DA5C0000}"/>
    <cellStyle name="Normal 4 2 6 2 2 2 3" xfId="31414" xr:uid="{00000000-0005-0000-0000-0000DB5C0000}"/>
    <cellStyle name="Normal 4 2 6 2 2 3" xfId="7924" xr:uid="{00000000-0005-0000-0000-0000DC5C0000}"/>
    <cellStyle name="Normal 4 2 6 2 2 3 2" xfId="31416" xr:uid="{00000000-0005-0000-0000-0000DD5C0000}"/>
    <cellStyle name="Normal 4 2 6 2 2 4" xfId="31413" xr:uid="{00000000-0005-0000-0000-0000DE5C0000}"/>
    <cellStyle name="Normal 4 2 6 2 3" xfId="7925" xr:uid="{00000000-0005-0000-0000-0000DF5C0000}"/>
    <cellStyle name="Normal 4 2 6 2 3 2" xfId="7926" xr:uid="{00000000-0005-0000-0000-0000E05C0000}"/>
    <cellStyle name="Normal 4 2 6 2 3 2 2" xfId="31418" xr:uid="{00000000-0005-0000-0000-0000E15C0000}"/>
    <cellStyle name="Normal 4 2 6 2 3 3" xfId="31417" xr:uid="{00000000-0005-0000-0000-0000E25C0000}"/>
    <cellStyle name="Normal 4 2 6 2 4" xfId="7927" xr:uid="{00000000-0005-0000-0000-0000E35C0000}"/>
    <cellStyle name="Normal 4 2 6 2 4 2" xfId="31419" xr:uid="{00000000-0005-0000-0000-0000E45C0000}"/>
    <cellStyle name="Normal 4 2 6 2 5" xfId="31412" xr:uid="{00000000-0005-0000-0000-0000E55C0000}"/>
    <cellStyle name="Normal 4 2 6 3" xfId="7928" xr:uid="{00000000-0005-0000-0000-0000E65C0000}"/>
    <cellStyle name="Normal 4 2 6 3 2" xfId="7929" xr:uid="{00000000-0005-0000-0000-0000E75C0000}"/>
    <cellStyle name="Normal 4 2 6 3 2 2" xfId="7930" xr:uid="{00000000-0005-0000-0000-0000E85C0000}"/>
    <cellStyle name="Normal 4 2 6 3 2 2 2" xfId="7931" xr:uid="{00000000-0005-0000-0000-0000E95C0000}"/>
    <cellStyle name="Normal 4 2 6 3 2 2 2 2" xfId="31423" xr:uid="{00000000-0005-0000-0000-0000EA5C0000}"/>
    <cellStyle name="Normal 4 2 6 3 2 2 3" xfId="31422" xr:uid="{00000000-0005-0000-0000-0000EB5C0000}"/>
    <cellStyle name="Normal 4 2 6 3 2 3" xfId="7932" xr:uid="{00000000-0005-0000-0000-0000EC5C0000}"/>
    <cellStyle name="Normal 4 2 6 3 2 3 2" xfId="31424" xr:uid="{00000000-0005-0000-0000-0000ED5C0000}"/>
    <cellStyle name="Normal 4 2 6 3 2 4" xfId="31421" xr:uid="{00000000-0005-0000-0000-0000EE5C0000}"/>
    <cellStyle name="Normal 4 2 6 3 3" xfId="7933" xr:uid="{00000000-0005-0000-0000-0000EF5C0000}"/>
    <cellStyle name="Normal 4 2 6 3 3 2" xfId="7934" xr:uid="{00000000-0005-0000-0000-0000F05C0000}"/>
    <cellStyle name="Normal 4 2 6 3 3 2 2" xfId="31426" xr:uid="{00000000-0005-0000-0000-0000F15C0000}"/>
    <cellStyle name="Normal 4 2 6 3 3 3" xfId="31425" xr:uid="{00000000-0005-0000-0000-0000F25C0000}"/>
    <cellStyle name="Normal 4 2 6 3 4" xfId="7935" xr:uid="{00000000-0005-0000-0000-0000F35C0000}"/>
    <cellStyle name="Normal 4 2 6 3 4 2" xfId="31427" xr:uid="{00000000-0005-0000-0000-0000F45C0000}"/>
    <cellStyle name="Normal 4 2 6 3 5" xfId="31420" xr:uid="{00000000-0005-0000-0000-0000F55C0000}"/>
    <cellStyle name="Normal 4 2 6 4" xfId="7936" xr:uid="{00000000-0005-0000-0000-0000F65C0000}"/>
    <cellStyle name="Normal 4 2 6 4 2" xfId="7937" xr:uid="{00000000-0005-0000-0000-0000F75C0000}"/>
    <cellStyle name="Normal 4 2 6 4 2 2" xfId="7938" xr:uid="{00000000-0005-0000-0000-0000F85C0000}"/>
    <cellStyle name="Normal 4 2 6 4 2 2 2" xfId="31430" xr:uid="{00000000-0005-0000-0000-0000F95C0000}"/>
    <cellStyle name="Normal 4 2 6 4 2 3" xfId="31429" xr:uid="{00000000-0005-0000-0000-0000FA5C0000}"/>
    <cellStyle name="Normal 4 2 6 4 3" xfId="7939" xr:uid="{00000000-0005-0000-0000-0000FB5C0000}"/>
    <cellStyle name="Normal 4 2 6 4 3 2" xfId="31431" xr:uid="{00000000-0005-0000-0000-0000FC5C0000}"/>
    <cellStyle name="Normal 4 2 6 4 4" xfId="31428" xr:uid="{00000000-0005-0000-0000-0000FD5C0000}"/>
    <cellStyle name="Normal 4 2 6 5" xfId="7940" xr:uid="{00000000-0005-0000-0000-0000FE5C0000}"/>
    <cellStyle name="Normal 4 2 6 5 2" xfId="7941" xr:uid="{00000000-0005-0000-0000-0000FF5C0000}"/>
    <cellStyle name="Normal 4 2 6 5 2 2" xfId="31433" xr:uid="{00000000-0005-0000-0000-0000005D0000}"/>
    <cellStyle name="Normal 4 2 6 5 3" xfId="31432" xr:uid="{00000000-0005-0000-0000-0000015D0000}"/>
    <cellStyle name="Normal 4 2 6 6" xfId="7942" xr:uid="{00000000-0005-0000-0000-0000025D0000}"/>
    <cellStyle name="Normal 4 2 6 6 2" xfId="31434" xr:uid="{00000000-0005-0000-0000-0000035D0000}"/>
    <cellStyle name="Normal 4 2 6 7" xfId="31411" xr:uid="{00000000-0005-0000-0000-0000045D0000}"/>
    <cellStyle name="Normal 4 2 7" xfId="7943" xr:uid="{00000000-0005-0000-0000-0000055D0000}"/>
    <cellStyle name="Normal 4 2 7 2" xfId="7944" xr:uid="{00000000-0005-0000-0000-0000065D0000}"/>
    <cellStyle name="Normal 4 2 7 2 2" xfId="7945" xr:uid="{00000000-0005-0000-0000-0000075D0000}"/>
    <cellStyle name="Normal 4 2 7 2 2 2" xfId="7946" xr:uid="{00000000-0005-0000-0000-0000085D0000}"/>
    <cellStyle name="Normal 4 2 7 2 2 2 2" xfId="7947" xr:uid="{00000000-0005-0000-0000-0000095D0000}"/>
    <cellStyle name="Normal 4 2 7 2 2 2 2 2" xfId="31439" xr:uid="{00000000-0005-0000-0000-00000A5D0000}"/>
    <cellStyle name="Normal 4 2 7 2 2 2 3" xfId="31438" xr:uid="{00000000-0005-0000-0000-00000B5D0000}"/>
    <cellStyle name="Normal 4 2 7 2 2 3" xfId="7948" xr:uid="{00000000-0005-0000-0000-00000C5D0000}"/>
    <cellStyle name="Normal 4 2 7 2 2 3 2" xfId="31440" xr:uid="{00000000-0005-0000-0000-00000D5D0000}"/>
    <cellStyle name="Normal 4 2 7 2 2 4" xfId="31437" xr:uid="{00000000-0005-0000-0000-00000E5D0000}"/>
    <cellStyle name="Normal 4 2 7 2 3" xfId="7949" xr:uid="{00000000-0005-0000-0000-00000F5D0000}"/>
    <cellStyle name="Normal 4 2 7 2 3 2" xfId="7950" xr:uid="{00000000-0005-0000-0000-0000105D0000}"/>
    <cellStyle name="Normal 4 2 7 2 3 2 2" xfId="31442" xr:uid="{00000000-0005-0000-0000-0000115D0000}"/>
    <cellStyle name="Normal 4 2 7 2 3 3" xfId="31441" xr:uid="{00000000-0005-0000-0000-0000125D0000}"/>
    <cellStyle name="Normal 4 2 7 2 4" xfId="7951" xr:uid="{00000000-0005-0000-0000-0000135D0000}"/>
    <cellStyle name="Normal 4 2 7 2 4 2" xfId="31443" xr:uid="{00000000-0005-0000-0000-0000145D0000}"/>
    <cellStyle name="Normal 4 2 7 2 5" xfId="31436" xr:uid="{00000000-0005-0000-0000-0000155D0000}"/>
    <cellStyle name="Normal 4 2 7 3" xfId="7952" xr:uid="{00000000-0005-0000-0000-0000165D0000}"/>
    <cellStyle name="Normal 4 2 7 3 2" xfId="7953" xr:uid="{00000000-0005-0000-0000-0000175D0000}"/>
    <cellStyle name="Normal 4 2 7 3 2 2" xfId="7954" xr:uid="{00000000-0005-0000-0000-0000185D0000}"/>
    <cellStyle name="Normal 4 2 7 3 2 2 2" xfId="7955" xr:uid="{00000000-0005-0000-0000-0000195D0000}"/>
    <cellStyle name="Normal 4 2 7 3 2 2 2 2" xfId="31447" xr:uid="{00000000-0005-0000-0000-00001A5D0000}"/>
    <cellStyle name="Normal 4 2 7 3 2 2 3" xfId="31446" xr:uid="{00000000-0005-0000-0000-00001B5D0000}"/>
    <cellStyle name="Normal 4 2 7 3 2 3" xfId="7956" xr:uid="{00000000-0005-0000-0000-00001C5D0000}"/>
    <cellStyle name="Normal 4 2 7 3 2 3 2" xfId="31448" xr:uid="{00000000-0005-0000-0000-00001D5D0000}"/>
    <cellStyle name="Normal 4 2 7 3 2 4" xfId="31445" xr:uid="{00000000-0005-0000-0000-00001E5D0000}"/>
    <cellStyle name="Normal 4 2 7 3 3" xfId="7957" xr:uid="{00000000-0005-0000-0000-00001F5D0000}"/>
    <cellStyle name="Normal 4 2 7 3 3 2" xfId="7958" xr:uid="{00000000-0005-0000-0000-0000205D0000}"/>
    <cellStyle name="Normal 4 2 7 3 3 2 2" xfId="31450" xr:uid="{00000000-0005-0000-0000-0000215D0000}"/>
    <cellStyle name="Normal 4 2 7 3 3 3" xfId="31449" xr:uid="{00000000-0005-0000-0000-0000225D0000}"/>
    <cellStyle name="Normal 4 2 7 3 4" xfId="7959" xr:uid="{00000000-0005-0000-0000-0000235D0000}"/>
    <cellStyle name="Normal 4 2 7 3 4 2" xfId="31451" xr:uid="{00000000-0005-0000-0000-0000245D0000}"/>
    <cellStyle name="Normal 4 2 7 3 5" xfId="31444" xr:uid="{00000000-0005-0000-0000-0000255D0000}"/>
    <cellStyle name="Normal 4 2 7 4" xfId="7960" xr:uid="{00000000-0005-0000-0000-0000265D0000}"/>
    <cellStyle name="Normal 4 2 7 4 2" xfId="7961" xr:uid="{00000000-0005-0000-0000-0000275D0000}"/>
    <cellStyle name="Normal 4 2 7 4 2 2" xfId="7962" xr:uid="{00000000-0005-0000-0000-0000285D0000}"/>
    <cellStyle name="Normal 4 2 7 4 2 2 2" xfId="31454" xr:uid="{00000000-0005-0000-0000-0000295D0000}"/>
    <cellStyle name="Normal 4 2 7 4 2 3" xfId="31453" xr:uid="{00000000-0005-0000-0000-00002A5D0000}"/>
    <cellStyle name="Normal 4 2 7 4 3" xfId="7963" xr:uid="{00000000-0005-0000-0000-00002B5D0000}"/>
    <cellStyle name="Normal 4 2 7 4 3 2" xfId="31455" xr:uid="{00000000-0005-0000-0000-00002C5D0000}"/>
    <cellStyle name="Normal 4 2 7 4 4" xfId="31452" xr:uid="{00000000-0005-0000-0000-00002D5D0000}"/>
    <cellStyle name="Normal 4 2 7 5" xfId="7964" xr:uid="{00000000-0005-0000-0000-00002E5D0000}"/>
    <cellStyle name="Normal 4 2 7 5 2" xfId="7965" xr:uid="{00000000-0005-0000-0000-00002F5D0000}"/>
    <cellStyle name="Normal 4 2 7 5 2 2" xfId="31457" xr:uid="{00000000-0005-0000-0000-0000305D0000}"/>
    <cellStyle name="Normal 4 2 7 5 3" xfId="31456" xr:uid="{00000000-0005-0000-0000-0000315D0000}"/>
    <cellStyle name="Normal 4 2 7 6" xfId="7966" xr:uid="{00000000-0005-0000-0000-0000325D0000}"/>
    <cellStyle name="Normal 4 2 7 6 2" xfId="31458" xr:uid="{00000000-0005-0000-0000-0000335D0000}"/>
    <cellStyle name="Normal 4 2 7 7" xfId="31435" xr:uid="{00000000-0005-0000-0000-0000345D0000}"/>
    <cellStyle name="Normal 4 2 8" xfId="7967" xr:uid="{00000000-0005-0000-0000-0000355D0000}"/>
    <cellStyle name="Normal 4 2 8 2" xfId="7968" xr:uid="{00000000-0005-0000-0000-0000365D0000}"/>
    <cellStyle name="Normal 4 2 8 2 2" xfId="7969" xr:uid="{00000000-0005-0000-0000-0000375D0000}"/>
    <cellStyle name="Normal 4 2 8 2 2 2" xfId="7970" xr:uid="{00000000-0005-0000-0000-0000385D0000}"/>
    <cellStyle name="Normal 4 2 8 2 2 2 2" xfId="7971" xr:uid="{00000000-0005-0000-0000-0000395D0000}"/>
    <cellStyle name="Normal 4 2 8 2 2 2 2 2" xfId="31463" xr:uid="{00000000-0005-0000-0000-00003A5D0000}"/>
    <cellStyle name="Normal 4 2 8 2 2 2 3" xfId="31462" xr:uid="{00000000-0005-0000-0000-00003B5D0000}"/>
    <cellStyle name="Normal 4 2 8 2 2 3" xfId="7972" xr:uid="{00000000-0005-0000-0000-00003C5D0000}"/>
    <cellStyle name="Normal 4 2 8 2 2 3 2" xfId="31464" xr:uid="{00000000-0005-0000-0000-00003D5D0000}"/>
    <cellStyle name="Normal 4 2 8 2 2 4" xfId="31461" xr:uid="{00000000-0005-0000-0000-00003E5D0000}"/>
    <cellStyle name="Normal 4 2 8 2 3" xfId="7973" xr:uid="{00000000-0005-0000-0000-00003F5D0000}"/>
    <cellStyle name="Normal 4 2 8 2 3 2" xfId="7974" xr:uid="{00000000-0005-0000-0000-0000405D0000}"/>
    <cellStyle name="Normal 4 2 8 2 3 2 2" xfId="31466" xr:uid="{00000000-0005-0000-0000-0000415D0000}"/>
    <cellStyle name="Normal 4 2 8 2 3 3" xfId="31465" xr:uid="{00000000-0005-0000-0000-0000425D0000}"/>
    <cellStyle name="Normal 4 2 8 2 4" xfId="7975" xr:uid="{00000000-0005-0000-0000-0000435D0000}"/>
    <cellStyle name="Normal 4 2 8 2 4 2" xfId="31467" xr:uid="{00000000-0005-0000-0000-0000445D0000}"/>
    <cellStyle name="Normal 4 2 8 2 5" xfId="31460" xr:uid="{00000000-0005-0000-0000-0000455D0000}"/>
    <cellStyle name="Normal 4 2 8 3" xfId="7976" xr:uid="{00000000-0005-0000-0000-0000465D0000}"/>
    <cellStyle name="Normal 4 2 8 3 2" xfId="7977" xr:uid="{00000000-0005-0000-0000-0000475D0000}"/>
    <cellStyle name="Normal 4 2 8 3 2 2" xfId="7978" xr:uid="{00000000-0005-0000-0000-0000485D0000}"/>
    <cellStyle name="Normal 4 2 8 3 2 2 2" xfId="7979" xr:uid="{00000000-0005-0000-0000-0000495D0000}"/>
    <cellStyle name="Normal 4 2 8 3 2 2 2 2" xfId="31471" xr:uid="{00000000-0005-0000-0000-00004A5D0000}"/>
    <cellStyle name="Normal 4 2 8 3 2 2 3" xfId="31470" xr:uid="{00000000-0005-0000-0000-00004B5D0000}"/>
    <cellStyle name="Normal 4 2 8 3 2 3" xfId="7980" xr:uid="{00000000-0005-0000-0000-00004C5D0000}"/>
    <cellStyle name="Normal 4 2 8 3 2 3 2" xfId="31472" xr:uid="{00000000-0005-0000-0000-00004D5D0000}"/>
    <cellStyle name="Normal 4 2 8 3 2 4" xfId="31469" xr:uid="{00000000-0005-0000-0000-00004E5D0000}"/>
    <cellStyle name="Normal 4 2 8 3 3" xfId="7981" xr:uid="{00000000-0005-0000-0000-00004F5D0000}"/>
    <cellStyle name="Normal 4 2 8 3 3 2" xfId="7982" xr:uid="{00000000-0005-0000-0000-0000505D0000}"/>
    <cellStyle name="Normal 4 2 8 3 3 2 2" xfId="31474" xr:uid="{00000000-0005-0000-0000-0000515D0000}"/>
    <cellStyle name="Normal 4 2 8 3 3 3" xfId="31473" xr:uid="{00000000-0005-0000-0000-0000525D0000}"/>
    <cellStyle name="Normal 4 2 8 3 4" xfId="7983" xr:uid="{00000000-0005-0000-0000-0000535D0000}"/>
    <cellStyle name="Normal 4 2 8 3 4 2" xfId="31475" xr:uid="{00000000-0005-0000-0000-0000545D0000}"/>
    <cellStyle name="Normal 4 2 8 3 5" xfId="31468" xr:uid="{00000000-0005-0000-0000-0000555D0000}"/>
    <cellStyle name="Normal 4 2 8 4" xfId="7984" xr:uid="{00000000-0005-0000-0000-0000565D0000}"/>
    <cellStyle name="Normal 4 2 8 4 2" xfId="7985" xr:uid="{00000000-0005-0000-0000-0000575D0000}"/>
    <cellStyle name="Normal 4 2 8 4 2 2" xfId="7986" xr:uid="{00000000-0005-0000-0000-0000585D0000}"/>
    <cellStyle name="Normal 4 2 8 4 2 2 2" xfId="31478" xr:uid="{00000000-0005-0000-0000-0000595D0000}"/>
    <cellStyle name="Normal 4 2 8 4 2 3" xfId="31477" xr:uid="{00000000-0005-0000-0000-00005A5D0000}"/>
    <cellStyle name="Normal 4 2 8 4 3" xfId="7987" xr:uid="{00000000-0005-0000-0000-00005B5D0000}"/>
    <cellStyle name="Normal 4 2 8 4 3 2" xfId="31479" xr:uid="{00000000-0005-0000-0000-00005C5D0000}"/>
    <cellStyle name="Normal 4 2 8 4 4" xfId="31476" xr:uid="{00000000-0005-0000-0000-00005D5D0000}"/>
    <cellStyle name="Normal 4 2 8 5" xfId="7988" xr:uid="{00000000-0005-0000-0000-00005E5D0000}"/>
    <cellStyle name="Normal 4 2 8 5 2" xfId="7989" xr:uid="{00000000-0005-0000-0000-00005F5D0000}"/>
    <cellStyle name="Normal 4 2 8 5 2 2" xfId="31481" xr:uid="{00000000-0005-0000-0000-0000605D0000}"/>
    <cellStyle name="Normal 4 2 8 5 3" xfId="31480" xr:uid="{00000000-0005-0000-0000-0000615D0000}"/>
    <cellStyle name="Normal 4 2 8 6" xfId="7990" xr:uid="{00000000-0005-0000-0000-0000625D0000}"/>
    <cellStyle name="Normal 4 2 8 6 2" xfId="31482" xr:uid="{00000000-0005-0000-0000-0000635D0000}"/>
    <cellStyle name="Normal 4 2 8 7" xfId="31459" xr:uid="{00000000-0005-0000-0000-0000645D0000}"/>
    <cellStyle name="Normal 4 2 9" xfId="7991" xr:uid="{00000000-0005-0000-0000-0000655D0000}"/>
    <cellStyle name="Normal 4 2 9 2" xfId="7992" xr:uid="{00000000-0005-0000-0000-0000665D0000}"/>
    <cellStyle name="Normal 4 2 9 2 2" xfId="7993" xr:uid="{00000000-0005-0000-0000-0000675D0000}"/>
    <cellStyle name="Normal 4 2 9 2 2 2" xfId="7994" xr:uid="{00000000-0005-0000-0000-0000685D0000}"/>
    <cellStyle name="Normal 4 2 9 2 2 2 2" xfId="7995" xr:uid="{00000000-0005-0000-0000-0000695D0000}"/>
    <cellStyle name="Normal 4 2 9 2 2 2 2 2" xfId="31487" xr:uid="{00000000-0005-0000-0000-00006A5D0000}"/>
    <cellStyle name="Normal 4 2 9 2 2 2 3" xfId="31486" xr:uid="{00000000-0005-0000-0000-00006B5D0000}"/>
    <cellStyle name="Normal 4 2 9 2 2 3" xfId="7996" xr:uid="{00000000-0005-0000-0000-00006C5D0000}"/>
    <cellStyle name="Normal 4 2 9 2 2 3 2" xfId="31488" xr:uid="{00000000-0005-0000-0000-00006D5D0000}"/>
    <cellStyle name="Normal 4 2 9 2 2 4" xfId="31485" xr:uid="{00000000-0005-0000-0000-00006E5D0000}"/>
    <cellStyle name="Normal 4 2 9 2 3" xfId="7997" xr:uid="{00000000-0005-0000-0000-00006F5D0000}"/>
    <cellStyle name="Normal 4 2 9 2 3 2" xfId="7998" xr:uid="{00000000-0005-0000-0000-0000705D0000}"/>
    <cellStyle name="Normal 4 2 9 2 3 2 2" xfId="31490" xr:uid="{00000000-0005-0000-0000-0000715D0000}"/>
    <cellStyle name="Normal 4 2 9 2 3 3" xfId="31489" xr:uid="{00000000-0005-0000-0000-0000725D0000}"/>
    <cellStyle name="Normal 4 2 9 2 4" xfId="7999" xr:uid="{00000000-0005-0000-0000-0000735D0000}"/>
    <cellStyle name="Normal 4 2 9 2 4 2" xfId="31491" xr:uid="{00000000-0005-0000-0000-0000745D0000}"/>
    <cellStyle name="Normal 4 2 9 2 5" xfId="31484" xr:uid="{00000000-0005-0000-0000-0000755D0000}"/>
    <cellStyle name="Normal 4 2 9 3" xfId="8000" xr:uid="{00000000-0005-0000-0000-0000765D0000}"/>
    <cellStyle name="Normal 4 2 9 3 2" xfId="8001" xr:uid="{00000000-0005-0000-0000-0000775D0000}"/>
    <cellStyle name="Normal 4 2 9 3 2 2" xfId="8002" xr:uid="{00000000-0005-0000-0000-0000785D0000}"/>
    <cellStyle name="Normal 4 2 9 3 2 2 2" xfId="8003" xr:uid="{00000000-0005-0000-0000-0000795D0000}"/>
    <cellStyle name="Normal 4 2 9 3 2 2 2 2" xfId="31495" xr:uid="{00000000-0005-0000-0000-00007A5D0000}"/>
    <cellStyle name="Normal 4 2 9 3 2 2 3" xfId="31494" xr:uid="{00000000-0005-0000-0000-00007B5D0000}"/>
    <cellStyle name="Normal 4 2 9 3 2 3" xfId="8004" xr:uid="{00000000-0005-0000-0000-00007C5D0000}"/>
    <cellStyle name="Normal 4 2 9 3 2 3 2" xfId="31496" xr:uid="{00000000-0005-0000-0000-00007D5D0000}"/>
    <cellStyle name="Normal 4 2 9 3 2 4" xfId="31493" xr:uid="{00000000-0005-0000-0000-00007E5D0000}"/>
    <cellStyle name="Normal 4 2 9 3 3" xfId="8005" xr:uid="{00000000-0005-0000-0000-00007F5D0000}"/>
    <cellStyle name="Normal 4 2 9 3 3 2" xfId="8006" xr:uid="{00000000-0005-0000-0000-0000805D0000}"/>
    <cellStyle name="Normal 4 2 9 3 3 2 2" xfId="31498" xr:uid="{00000000-0005-0000-0000-0000815D0000}"/>
    <cellStyle name="Normal 4 2 9 3 3 3" xfId="31497" xr:uid="{00000000-0005-0000-0000-0000825D0000}"/>
    <cellStyle name="Normal 4 2 9 3 4" xfId="8007" xr:uid="{00000000-0005-0000-0000-0000835D0000}"/>
    <cellStyle name="Normal 4 2 9 3 4 2" xfId="31499" xr:uid="{00000000-0005-0000-0000-0000845D0000}"/>
    <cellStyle name="Normal 4 2 9 3 5" xfId="31492" xr:uid="{00000000-0005-0000-0000-0000855D0000}"/>
    <cellStyle name="Normal 4 2 9 4" xfId="8008" xr:uid="{00000000-0005-0000-0000-0000865D0000}"/>
    <cellStyle name="Normal 4 2 9 4 2" xfId="8009" xr:uid="{00000000-0005-0000-0000-0000875D0000}"/>
    <cellStyle name="Normal 4 2 9 4 2 2" xfId="8010" xr:uid="{00000000-0005-0000-0000-0000885D0000}"/>
    <cellStyle name="Normal 4 2 9 4 2 2 2" xfId="31502" xr:uid="{00000000-0005-0000-0000-0000895D0000}"/>
    <cellStyle name="Normal 4 2 9 4 2 3" xfId="31501" xr:uid="{00000000-0005-0000-0000-00008A5D0000}"/>
    <cellStyle name="Normal 4 2 9 4 3" xfId="8011" xr:uid="{00000000-0005-0000-0000-00008B5D0000}"/>
    <cellStyle name="Normal 4 2 9 4 3 2" xfId="31503" xr:uid="{00000000-0005-0000-0000-00008C5D0000}"/>
    <cellStyle name="Normal 4 2 9 4 4" xfId="31500" xr:uid="{00000000-0005-0000-0000-00008D5D0000}"/>
    <cellStyle name="Normal 4 2 9 5" xfId="8012" xr:uid="{00000000-0005-0000-0000-00008E5D0000}"/>
    <cellStyle name="Normal 4 2 9 5 2" xfId="8013" xr:uid="{00000000-0005-0000-0000-00008F5D0000}"/>
    <cellStyle name="Normal 4 2 9 5 2 2" xfId="31505" xr:uid="{00000000-0005-0000-0000-0000905D0000}"/>
    <cellStyle name="Normal 4 2 9 5 3" xfId="31504" xr:uid="{00000000-0005-0000-0000-0000915D0000}"/>
    <cellStyle name="Normal 4 2 9 6" xfId="8014" xr:uid="{00000000-0005-0000-0000-0000925D0000}"/>
    <cellStyle name="Normal 4 2 9 6 2" xfId="31506" xr:uid="{00000000-0005-0000-0000-0000935D0000}"/>
    <cellStyle name="Normal 4 2 9 7" xfId="31483" xr:uid="{00000000-0005-0000-0000-0000945D0000}"/>
    <cellStyle name="Normal 4 3" xfId="128" xr:uid="{00000000-0005-0000-0000-0000955D0000}"/>
    <cellStyle name="Normal 4 3 10" xfId="8016" xr:uid="{00000000-0005-0000-0000-0000965D0000}"/>
    <cellStyle name="Normal 4 3 10 2" xfId="8017" xr:uid="{00000000-0005-0000-0000-0000975D0000}"/>
    <cellStyle name="Normal 4 3 10 2 2" xfId="8018" xr:uid="{00000000-0005-0000-0000-0000985D0000}"/>
    <cellStyle name="Normal 4 3 10 2 2 2" xfId="8019" xr:uid="{00000000-0005-0000-0000-0000995D0000}"/>
    <cellStyle name="Normal 4 3 10 2 2 2 2" xfId="31511" xr:uid="{00000000-0005-0000-0000-00009A5D0000}"/>
    <cellStyle name="Normal 4 3 10 2 2 3" xfId="31510" xr:uid="{00000000-0005-0000-0000-00009B5D0000}"/>
    <cellStyle name="Normal 4 3 10 2 3" xfId="8020" xr:uid="{00000000-0005-0000-0000-00009C5D0000}"/>
    <cellStyle name="Normal 4 3 10 2 3 2" xfId="31512" xr:uid="{00000000-0005-0000-0000-00009D5D0000}"/>
    <cellStyle name="Normal 4 3 10 2 4" xfId="31509" xr:uid="{00000000-0005-0000-0000-00009E5D0000}"/>
    <cellStyle name="Normal 4 3 10 3" xfId="8021" xr:uid="{00000000-0005-0000-0000-00009F5D0000}"/>
    <cellStyle name="Normal 4 3 10 3 2" xfId="8022" xr:uid="{00000000-0005-0000-0000-0000A05D0000}"/>
    <cellStyle name="Normal 4 3 10 3 2 2" xfId="31514" xr:uid="{00000000-0005-0000-0000-0000A15D0000}"/>
    <cellStyle name="Normal 4 3 10 3 3" xfId="31513" xr:uid="{00000000-0005-0000-0000-0000A25D0000}"/>
    <cellStyle name="Normal 4 3 10 4" xfId="8023" xr:uid="{00000000-0005-0000-0000-0000A35D0000}"/>
    <cellStyle name="Normal 4 3 10 4 2" xfId="31515" xr:uid="{00000000-0005-0000-0000-0000A45D0000}"/>
    <cellStyle name="Normal 4 3 10 5" xfId="31508" xr:uid="{00000000-0005-0000-0000-0000A55D0000}"/>
    <cellStyle name="Normal 4 3 11" xfId="8024" xr:uid="{00000000-0005-0000-0000-0000A65D0000}"/>
    <cellStyle name="Normal 4 3 11 2" xfId="8025" xr:uid="{00000000-0005-0000-0000-0000A75D0000}"/>
    <cellStyle name="Normal 4 3 11 2 2" xfId="8026" xr:uid="{00000000-0005-0000-0000-0000A85D0000}"/>
    <cellStyle name="Normal 4 3 11 2 2 2" xfId="8027" xr:uid="{00000000-0005-0000-0000-0000A95D0000}"/>
    <cellStyle name="Normal 4 3 11 2 2 2 2" xfId="31519" xr:uid="{00000000-0005-0000-0000-0000AA5D0000}"/>
    <cellStyle name="Normal 4 3 11 2 2 3" xfId="31518" xr:uid="{00000000-0005-0000-0000-0000AB5D0000}"/>
    <cellStyle name="Normal 4 3 11 2 3" xfId="8028" xr:uid="{00000000-0005-0000-0000-0000AC5D0000}"/>
    <cellStyle name="Normal 4 3 11 2 3 2" xfId="31520" xr:uid="{00000000-0005-0000-0000-0000AD5D0000}"/>
    <cellStyle name="Normal 4 3 11 2 4" xfId="31517" xr:uid="{00000000-0005-0000-0000-0000AE5D0000}"/>
    <cellStyle name="Normal 4 3 11 3" xfId="8029" xr:uid="{00000000-0005-0000-0000-0000AF5D0000}"/>
    <cellStyle name="Normal 4 3 11 3 2" xfId="8030" xr:uid="{00000000-0005-0000-0000-0000B05D0000}"/>
    <cellStyle name="Normal 4 3 11 3 2 2" xfId="31522" xr:uid="{00000000-0005-0000-0000-0000B15D0000}"/>
    <cellStyle name="Normal 4 3 11 3 3" xfId="31521" xr:uid="{00000000-0005-0000-0000-0000B25D0000}"/>
    <cellStyle name="Normal 4 3 11 4" xfId="8031" xr:uid="{00000000-0005-0000-0000-0000B35D0000}"/>
    <cellStyle name="Normal 4 3 11 4 2" xfId="31523" xr:uid="{00000000-0005-0000-0000-0000B45D0000}"/>
    <cellStyle name="Normal 4 3 11 5" xfId="31516" xr:uid="{00000000-0005-0000-0000-0000B55D0000}"/>
    <cellStyle name="Normal 4 3 12" xfId="8032" xr:uid="{00000000-0005-0000-0000-0000B65D0000}"/>
    <cellStyle name="Normal 4 3 12 2" xfId="8033" xr:uid="{00000000-0005-0000-0000-0000B75D0000}"/>
    <cellStyle name="Normal 4 3 12 2 2" xfId="8034" xr:uid="{00000000-0005-0000-0000-0000B85D0000}"/>
    <cellStyle name="Normal 4 3 12 2 2 2" xfId="31525" xr:uid="{00000000-0005-0000-0000-0000B95D0000}"/>
    <cellStyle name="Normal 4 3 12 2 3" xfId="31524" xr:uid="{00000000-0005-0000-0000-0000BA5D0000}"/>
    <cellStyle name="Normal 4 3 13" xfId="8035" xr:uid="{00000000-0005-0000-0000-0000BB5D0000}"/>
    <cellStyle name="Normal 4 3 13 2" xfId="8036" xr:uid="{00000000-0005-0000-0000-0000BC5D0000}"/>
    <cellStyle name="Normal 4 3 13 2 2" xfId="31527" xr:uid="{00000000-0005-0000-0000-0000BD5D0000}"/>
    <cellStyle name="Normal 4 3 13 3" xfId="31526" xr:uid="{00000000-0005-0000-0000-0000BE5D0000}"/>
    <cellStyle name="Normal 4 3 14" xfId="8037" xr:uid="{00000000-0005-0000-0000-0000BF5D0000}"/>
    <cellStyle name="Normal 4 3 14 2" xfId="31528" xr:uid="{00000000-0005-0000-0000-0000C05D0000}"/>
    <cellStyle name="Normal 4 3 15" xfId="8015" xr:uid="{00000000-0005-0000-0000-0000C15D0000}"/>
    <cellStyle name="Normal 4 3 15 2" xfId="31507" xr:uid="{00000000-0005-0000-0000-0000C25D0000}"/>
    <cellStyle name="Normal 4 3 2" xfId="8038" xr:uid="{00000000-0005-0000-0000-0000C35D0000}"/>
    <cellStyle name="Normal 4 3 2 10" xfId="8039" xr:uid="{00000000-0005-0000-0000-0000C45D0000}"/>
    <cellStyle name="Normal 4 3 2 10 2" xfId="8040" xr:uid="{00000000-0005-0000-0000-0000C55D0000}"/>
    <cellStyle name="Normal 4 3 2 10 2 2" xfId="8041" xr:uid="{00000000-0005-0000-0000-0000C65D0000}"/>
    <cellStyle name="Normal 4 3 2 10 2 2 2" xfId="8042" xr:uid="{00000000-0005-0000-0000-0000C75D0000}"/>
    <cellStyle name="Normal 4 3 2 10 2 2 2 2" xfId="31533" xr:uid="{00000000-0005-0000-0000-0000C85D0000}"/>
    <cellStyle name="Normal 4 3 2 10 2 2 3" xfId="31532" xr:uid="{00000000-0005-0000-0000-0000C95D0000}"/>
    <cellStyle name="Normal 4 3 2 10 2 3" xfId="8043" xr:uid="{00000000-0005-0000-0000-0000CA5D0000}"/>
    <cellStyle name="Normal 4 3 2 10 2 3 2" xfId="31534" xr:uid="{00000000-0005-0000-0000-0000CB5D0000}"/>
    <cellStyle name="Normal 4 3 2 10 2 4" xfId="31531" xr:uid="{00000000-0005-0000-0000-0000CC5D0000}"/>
    <cellStyle name="Normal 4 3 2 10 3" xfId="8044" xr:uid="{00000000-0005-0000-0000-0000CD5D0000}"/>
    <cellStyle name="Normal 4 3 2 10 3 2" xfId="8045" xr:uid="{00000000-0005-0000-0000-0000CE5D0000}"/>
    <cellStyle name="Normal 4 3 2 10 3 2 2" xfId="31536" xr:uid="{00000000-0005-0000-0000-0000CF5D0000}"/>
    <cellStyle name="Normal 4 3 2 10 3 3" xfId="31535" xr:uid="{00000000-0005-0000-0000-0000D05D0000}"/>
    <cellStyle name="Normal 4 3 2 10 4" xfId="8046" xr:uid="{00000000-0005-0000-0000-0000D15D0000}"/>
    <cellStyle name="Normal 4 3 2 10 4 2" xfId="31537" xr:uid="{00000000-0005-0000-0000-0000D25D0000}"/>
    <cellStyle name="Normal 4 3 2 10 5" xfId="31530" xr:uid="{00000000-0005-0000-0000-0000D35D0000}"/>
    <cellStyle name="Normal 4 3 2 11" xfId="8047" xr:uid="{00000000-0005-0000-0000-0000D45D0000}"/>
    <cellStyle name="Normal 4 3 2 11 2" xfId="8048" xr:uid="{00000000-0005-0000-0000-0000D55D0000}"/>
    <cellStyle name="Normal 4 3 2 11 2 2" xfId="8049" xr:uid="{00000000-0005-0000-0000-0000D65D0000}"/>
    <cellStyle name="Normal 4 3 2 11 2 2 2" xfId="31540" xr:uid="{00000000-0005-0000-0000-0000D75D0000}"/>
    <cellStyle name="Normal 4 3 2 11 2 3" xfId="31539" xr:uid="{00000000-0005-0000-0000-0000D85D0000}"/>
    <cellStyle name="Normal 4 3 2 11 3" xfId="8050" xr:uid="{00000000-0005-0000-0000-0000D95D0000}"/>
    <cellStyle name="Normal 4 3 2 11 3 2" xfId="31541" xr:uid="{00000000-0005-0000-0000-0000DA5D0000}"/>
    <cellStyle name="Normal 4 3 2 11 4" xfId="31538" xr:uid="{00000000-0005-0000-0000-0000DB5D0000}"/>
    <cellStyle name="Normal 4 3 2 12" xfId="8051" xr:uid="{00000000-0005-0000-0000-0000DC5D0000}"/>
    <cellStyle name="Normal 4 3 2 12 2" xfId="8052" xr:uid="{00000000-0005-0000-0000-0000DD5D0000}"/>
    <cellStyle name="Normal 4 3 2 12 2 2" xfId="31543" xr:uid="{00000000-0005-0000-0000-0000DE5D0000}"/>
    <cellStyle name="Normal 4 3 2 12 3" xfId="31542" xr:uid="{00000000-0005-0000-0000-0000DF5D0000}"/>
    <cellStyle name="Normal 4 3 2 13" xfId="8053" xr:uid="{00000000-0005-0000-0000-0000E05D0000}"/>
    <cellStyle name="Normal 4 3 2 13 2" xfId="31544" xr:uid="{00000000-0005-0000-0000-0000E15D0000}"/>
    <cellStyle name="Normal 4 3 2 14" xfId="31529" xr:uid="{00000000-0005-0000-0000-0000E25D0000}"/>
    <cellStyle name="Normal 4 3 2 2" xfId="8054" xr:uid="{00000000-0005-0000-0000-0000E35D0000}"/>
    <cellStyle name="Normal 4 3 2 2 10" xfId="8055" xr:uid="{00000000-0005-0000-0000-0000E45D0000}"/>
    <cellStyle name="Normal 4 3 2 2 10 2" xfId="31546" xr:uid="{00000000-0005-0000-0000-0000E55D0000}"/>
    <cellStyle name="Normal 4 3 2 2 11" xfId="31545" xr:uid="{00000000-0005-0000-0000-0000E65D0000}"/>
    <cellStyle name="Normal 4 3 2 2 2" xfId="8056" xr:uid="{00000000-0005-0000-0000-0000E75D0000}"/>
    <cellStyle name="Normal 4 3 2 2 2 2" xfId="8057" xr:uid="{00000000-0005-0000-0000-0000E85D0000}"/>
    <cellStyle name="Normal 4 3 2 2 2 2 2" xfId="8058" xr:uid="{00000000-0005-0000-0000-0000E95D0000}"/>
    <cellStyle name="Normal 4 3 2 2 2 2 2 2" xfId="8059" xr:uid="{00000000-0005-0000-0000-0000EA5D0000}"/>
    <cellStyle name="Normal 4 3 2 2 2 2 2 2 2" xfId="8060" xr:uid="{00000000-0005-0000-0000-0000EB5D0000}"/>
    <cellStyle name="Normal 4 3 2 2 2 2 2 2 2 2" xfId="31551" xr:uid="{00000000-0005-0000-0000-0000EC5D0000}"/>
    <cellStyle name="Normal 4 3 2 2 2 2 2 2 3" xfId="31550" xr:uid="{00000000-0005-0000-0000-0000ED5D0000}"/>
    <cellStyle name="Normal 4 3 2 2 2 2 2 3" xfId="8061" xr:uid="{00000000-0005-0000-0000-0000EE5D0000}"/>
    <cellStyle name="Normal 4 3 2 2 2 2 2 3 2" xfId="31552" xr:uid="{00000000-0005-0000-0000-0000EF5D0000}"/>
    <cellStyle name="Normal 4 3 2 2 2 2 2 4" xfId="31549" xr:uid="{00000000-0005-0000-0000-0000F05D0000}"/>
    <cellStyle name="Normal 4 3 2 2 2 2 3" xfId="8062" xr:uid="{00000000-0005-0000-0000-0000F15D0000}"/>
    <cellStyle name="Normal 4 3 2 2 2 2 3 2" xfId="8063" xr:uid="{00000000-0005-0000-0000-0000F25D0000}"/>
    <cellStyle name="Normal 4 3 2 2 2 2 3 2 2" xfId="31554" xr:uid="{00000000-0005-0000-0000-0000F35D0000}"/>
    <cellStyle name="Normal 4 3 2 2 2 2 3 3" xfId="31553" xr:uid="{00000000-0005-0000-0000-0000F45D0000}"/>
    <cellStyle name="Normal 4 3 2 2 2 2 4" xfId="8064" xr:uid="{00000000-0005-0000-0000-0000F55D0000}"/>
    <cellStyle name="Normal 4 3 2 2 2 2 4 2" xfId="31555" xr:uid="{00000000-0005-0000-0000-0000F65D0000}"/>
    <cellStyle name="Normal 4 3 2 2 2 2 5" xfId="31548" xr:uid="{00000000-0005-0000-0000-0000F75D0000}"/>
    <cellStyle name="Normal 4 3 2 2 2 3" xfId="8065" xr:uid="{00000000-0005-0000-0000-0000F85D0000}"/>
    <cellStyle name="Normal 4 3 2 2 2 3 2" xfId="8066" xr:uid="{00000000-0005-0000-0000-0000F95D0000}"/>
    <cellStyle name="Normal 4 3 2 2 2 3 2 2" xfId="8067" xr:uid="{00000000-0005-0000-0000-0000FA5D0000}"/>
    <cellStyle name="Normal 4 3 2 2 2 3 2 2 2" xfId="8068" xr:uid="{00000000-0005-0000-0000-0000FB5D0000}"/>
    <cellStyle name="Normal 4 3 2 2 2 3 2 2 2 2" xfId="31559" xr:uid="{00000000-0005-0000-0000-0000FC5D0000}"/>
    <cellStyle name="Normal 4 3 2 2 2 3 2 2 3" xfId="31558" xr:uid="{00000000-0005-0000-0000-0000FD5D0000}"/>
    <cellStyle name="Normal 4 3 2 2 2 3 2 3" xfId="8069" xr:uid="{00000000-0005-0000-0000-0000FE5D0000}"/>
    <cellStyle name="Normal 4 3 2 2 2 3 2 3 2" xfId="31560" xr:uid="{00000000-0005-0000-0000-0000FF5D0000}"/>
    <cellStyle name="Normal 4 3 2 2 2 3 2 4" xfId="31557" xr:uid="{00000000-0005-0000-0000-0000005E0000}"/>
    <cellStyle name="Normal 4 3 2 2 2 3 3" xfId="8070" xr:uid="{00000000-0005-0000-0000-0000015E0000}"/>
    <cellStyle name="Normal 4 3 2 2 2 3 3 2" xfId="8071" xr:uid="{00000000-0005-0000-0000-0000025E0000}"/>
    <cellStyle name="Normal 4 3 2 2 2 3 3 2 2" xfId="31562" xr:uid="{00000000-0005-0000-0000-0000035E0000}"/>
    <cellStyle name="Normal 4 3 2 2 2 3 3 3" xfId="31561" xr:uid="{00000000-0005-0000-0000-0000045E0000}"/>
    <cellStyle name="Normal 4 3 2 2 2 3 4" xfId="8072" xr:uid="{00000000-0005-0000-0000-0000055E0000}"/>
    <cellStyle name="Normal 4 3 2 2 2 3 4 2" xfId="31563" xr:uid="{00000000-0005-0000-0000-0000065E0000}"/>
    <cellStyle name="Normal 4 3 2 2 2 3 5" xfId="31556" xr:uid="{00000000-0005-0000-0000-0000075E0000}"/>
    <cellStyle name="Normal 4 3 2 2 2 4" xfId="8073" xr:uid="{00000000-0005-0000-0000-0000085E0000}"/>
    <cellStyle name="Normal 4 3 2 2 2 4 2" xfId="8074" xr:uid="{00000000-0005-0000-0000-0000095E0000}"/>
    <cellStyle name="Normal 4 3 2 2 2 4 2 2" xfId="8075" xr:uid="{00000000-0005-0000-0000-00000A5E0000}"/>
    <cellStyle name="Normal 4 3 2 2 2 4 2 2 2" xfId="31566" xr:uid="{00000000-0005-0000-0000-00000B5E0000}"/>
    <cellStyle name="Normal 4 3 2 2 2 4 2 3" xfId="31565" xr:uid="{00000000-0005-0000-0000-00000C5E0000}"/>
    <cellStyle name="Normal 4 3 2 2 2 4 3" xfId="8076" xr:uid="{00000000-0005-0000-0000-00000D5E0000}"/>
    <cellStyle name="Normal 4 3 2 2 2 4 3 2" xfId="31567" xr:uid="{00000000-0005-0000-0000-00000E5E0000}"/>
    <cellStyle name="Normal 4 3 2 2 2 4 4" xfId="31564" xr:uid="{00000000-0005-0000-0000-00000F5E0000}"/>
    <cellStyle name="Normal 4 3 2 2 2 5" xfId="8077" xr:uid="{00000000-0005-0000-0000-0000105E0000}"/>
    <cellStyle name="Normal 4 3 2 2 2 5 2" xfId="8078" xr:uid="{00000000-0005-0000-0000-0000115E0000}"/>
    <cellStyle name="Normal 4 3 2 2 2 5 2 2" xfId="31569" xr:uid="{00000000-0005-0000-0000-0000125E0000}"/>
    <cellStyle name="Normal 4 3 2 2 2 5 3" xfId="31568" xr:uid="{00000000-0005-0000-0000-0000135E0000}"/>
    <cellStyle name="Normal 4 3 2 2 2 6" xfId="8079" xr:uid="{00000000-0005-0000-0000-0000145E0000}"/>
    <cellStyle name="Normal 4 3 2 2 2 6 2" xfId="31570" xr:uid="{00000000-0005-0000-0000-0000155E0000}"/>
    <cellStyle name="Normal 4 3 2 2 2 7" xfId="31547" xr:uid="{00000000-0005-0000-0000-0000165E0000}"/>
    <cellStyle name="Normal 4 3 2 2 3" xfId="8080" xr:uid="{00000000-0005-0000-0000-0000175E0000}"/>
    <cellStyle name="Normal 4 3 2 2 3 2" xfId="8081" xr:uid="{00000000-0005-0000-0000-0000185E0000}"/>
    <cellStyle name="Normal 4 3 2 2 3 2 2" xfId="8082" xr:uid="{00000000-0005-0000-0000-0000195E0000}"/>
    <cellStyle name="Normal 4 3 2 2 3 2 2 2" xfId="8083" xr:uid="{00000000-0005-0000-0000-00001A5E0000}"/>
    <cellStyle name="Normal 4 3 2 2 3 2 2 2 2" xfId="8084" xr:uid="{00000000-0005-0000-0000-00001B5E0000}"/>
    <cellStyle name="Normal 4 3 2 2 3 2 2 2 2 2" xfId="31575" xr:uid="{00000000-0005-0000-0000-00001C5E0000}"/>
    <cellStyle name="Normal 4 3 2 2 3 2 2 2 3" xfId="31574" xr:uid="{00000000-0005-0000-0000-00001D5E0000}"/>
    <cellStyle name="Normal 4 3 2 2 3 2 2 3" xfId="8085" xr:uid="{00000000-0005-0000-0000-00001E5E0000}"/>
    <cellStyle name="Normal 4 3 2 2 3 2 2 3 2" xfId="31576" xr:uid="{00000000-0005-0000-0000-00001F5E0000}"/>
    <cellStyle name="Normal 4 3 2 2 3 2 2 4" xfId="31573" xr:uid="{00000000-0005-0000-0000-0000205E0000}"/>
    <cellStyle name="Normal 4 3 2 2 3 2 3" xfId="8086" xr:uid="{00000000-0005-0000-0000-0000215E0000}"/>
    <cellStyle name="Normal 4 3 2 2 3 2 3 2" xfId="8087" xr:uid="{00000000-0005-0000-0000-0000225E0000}"/>
    <cellStyle name="Normal 4 3 2 2 3 2 3 2 2" xfId="31578" xr:uid="{00000000-0005-0000-0000-0000235E0000}"/>
    <cellStyle name="Normal 4 3 2 2 3 2 3 3" xfId="31577" xr:uid="{00000000-0005-0000-0000-0000245E0000}"/>
    <cellStyle name="Normal 4 3 2 2 3 2 4" xfId="8088" xr:uid="{00000000-0005-0000-0000-0000255E0000}"/>
    <cellStyle name="Normal 4 3 2 2 3 2 4 2" xfId="31579" xr:uid="{00000000-0005-0000-0000-0000265E0000}"/>
    <cellStyle name="Normal 4 3 2 2 3 2 5" xfId="31572" xr:uid="{00000000-0005-0000-0000-0000275E0000}"/>
    <cellStyle name="Normal 4 3 2 2 3 3" xfId="8089" xr:uid="{00000000-0005-0000-0000-0000285E0000}"/>
    <cellStyle name="Normal 4 3 2 2 3 3 2" xfId="8090" xr:uid="{00000000-0005-0000-0000-0000295E0000}"/>
    <cellStyle name="Normal 4 3 2 2 3 3 2 2" xfId="8091" xr:uid="{00000000-0005-0000-0000-00002A5E0000}"/>
    <cellStyle name="Normal 4 3 2 2 3 3 2 2 2" xfId="8092" xr:uid="{00000000-0005-0000-0000-00002B5E0000}"/>
    <cellStyle name="Normal 4 3 2 2 3 3 2 2 2 2" xfId="31583" xr:uid="{00000000-0005-0000-0000-00002C5E0000}"/>
    <cellStyle name="Normal 4 3 2 2 3 3 2 2 3" xfId="31582" xr:uid="{00000000-0005-0000-0000-00002D5E0000}"/>
    <cellStyle name="Normal 4 3 2 2 3 3 2 3" xfId="8093" xr:uid="{00000000-0005-0000-0000-00002E5E0000}"/>
    <cellStyle name="Normal 4 3 2 2 3 3 2 3 2" xfId="31584" xr:uid="{00000000-0005-0000-0000-00002F5E0000}"/>
    <cellStyle name="Normal 4 3 2 2 3 3 2 4" xfId="31581" xr:uid="{00000000-0005-0000-0000-0000305E0000}"/>
    <cellStyle name="Normal 4 3 2 2 3 3 3" xfId="8094" xr:uid="{00000000-0005-0000-0000-0000315E0000}"/>
    <cellStyle name="Normal 4 3 2 2 3 3 3 2" xfId="8095" xr:uid="{00000000-0005-0000-0000-0000325E0000}"/>
    <cellStyle name="Normal 4 3 2 2 3 3 3 2 2" xfId="31586" xr:uid="{00000000-0005-0000-0000-0000335E0000}"/>
    <cellStyle name="Normal 4 3 2 2 3 3 3 3" xfId="31585" xr:uid="{00000000-0005-0000-0000-0000345E0000}"/>
    <cellStyle name="Normal 4 3 2 2 3 3 4" xfId="8096" xr:uid="{00000000-0005-0000-0000-0000355E0000}"/>
    <cellStyle name="Normal 4 3 2 2 3 3 4 2" xfId="31587" xr:uid="{00000000-0005-0000-0000-0000365E0000}"/>
    <cellStyle name="Normal 4 3 2 2 3 3 5" xfId="31580" xr:uid="{00000000-0005-0000-0000-0000375E0000}"/>
    <cellStyle name="Normal 4 3 2 2 3 4" xfId="8097" xr:uid="{00000000-0005-0000-0000-0000385E0000}"/>
    <cellStyle name="Normal 4 3 2 2 3 4 2" xfId="8098" xr:uid="{00000000-0005-0000-0000-0000395E0000}"/>
    <cellStyle name="Normal 4 3 2 2 3 4 2 2" xfId="8099" xr:uid="{00000000-0005-0000-0000-00003A5E0000}"/>
    <cellStyle name="Normal 4 3 2 2 3 4 2 2 2" xfId="31590" xr:uid="{00000000-0005-0000-0000-00003B5E0000}"/>
    <cellStyle name="Normal 4 3 2 2 3 4 2 3" xfId="31589" xr:uid="{00000000-0005-0000-0000-00003C5E0000}"/>
    <cellStyle name="Normal 4 3 2 2 3 4 3" xfId="8100" xr:uid="{00000000-0005-0000-0000-00003D5E0000}"/>
    <cellStyle name="Normal 4 3 2 2 3 4 3 2" xfId="31591" xr:uid="{00000000-0005-0000-0000-00003E5E0000}"/>
    <cellStyle name="Normal 4 3 2 2 3 4 4" xfId="31588" xr:uid="{00000000-0005-0000-0000-00003F5E0000}"/>
    <cellStyle name="Normal 4 3 2 2 3 5" xfId="8101" xr:uid="{00000000-0005-0000-0000-0000405E0000}"/>
    <cellStyle name="Normal 4 3 2 2 3 5 2" xfId="8102" xr:uid="{00000000-0005-0000-0000-0000415E0000}"/>
    <cellStyle name="Normal 4 3 2 2 3 5 2 2" xfId="31593" xr:uid="{00000000-0005-0000-0000-0000425E0000}"/>
    <cellStyle name="Normal 4 3 2 2 3 5 3" xfId="31592" xr:uid="{00000000-0005-0000-0000-0000435E0000}"/>
    <cellStyle name="Normal 4 3 2 2 3 6" xfId="8103" xr:uid="{00000000-0005-0000-0000-0000445E0000}"/>
    <cellStyle name="Normal 4 3 2 2 3 6 2" xfId="31594" xr:uid="{00000000-0005-0000-0000-0000455E0000}"/>
    <cellStyle name="Normal 4 3 2 2 3 7" xfId="31571" xr:uid="{00000000-0005-0000-0000-0000465E0000}"/>
    <cellStyle name="Normal 4 3 2 2 4" xfId="8104" xr:uid="{00000000-0005-0000-0000-0000475E0000}"/>
    <cellStyle name="Normal 4 3 2 2 4 2" xfId="8105" xr:uid="{00000000-0005-0000-0000-0000485E0000}"/>
    <cellStyle name="Normal 4 3 2 2 4 2 2" xfId="8106" xr:uid="{00000000-0005-0000-0000-0000495E0000}"/>
    <cellStyle name="Normal 4 3 2 2 4 2 2 2" xfId="8107" xr:uid="{00000000-0005-0000-0000-00004A5E0000}"/>
    <cellStyle name="Normal 4 3 2 2 4 2 2 2 2" xfId="8108" xr:uid="{00000000-0005-0000-0000-00004B5E0000}"/>
    <cellStyle name="Normal 4 3 2 2 4 2 2 2 2 2" xfId="31599" xr:uid="{00000000-0005-0000-0000-00004C5E0000}"/>
    <cellStyle name="Normal 4 3 2 2 4 2 2 2 3" xfId="31598" xr:uid="{00000000-0005-0000-0000-00004D5E0000}"/>
    <cellStyle name="Normal 4 3 2 2 4 2 2 3" xfId="8109" xr:uid="{00000000-0005-0000-0000-00004E5E0000}"/>
    <cellStyle name="Normal 4 3 2 2 4 2 2 3 2" xfId="31600" xr:uid="{00000000-0005-0000-0000-00004F5E0000}"/>
    <cellStyle name="Normal 4 3 2 2 4 2 2 4" xfId="31597" xr:uid="{00000000-0005-0000-0000-0000505E0000}"/>
    <cellStyle name="Normal 4 3 2 2 4 2 3" xfId="8110" xr:uid="{00000000-0005-0000-0000-0000515E0000}"/>
    <cellStyle name="Normal 4 3 2 2 4 2 3 2" xfId="8111" xr:uid="{00000000-0005-0000-0000-0000525E0000}"/>
    <cellStyle name="Normal 4 3 2 2 4 2 3 2 2" xfId="31602" xr:uid="{00000000-0005-0000-0000-0000535E0000}"/>
    <cellStyle name="Normal 4 3 2 2 4 2 3 3" xfId="31601" xr:uid="{00000000-0005-0000-0000-0000545E0000}"/>
    <cellStyle name="Normal 4 3 2 2 4 2 4" xfId="8112" xr:uid="{00000000-0005-0000-0000-0000555E0000}"/>
    <cellStyle name="Normal 4 3 2 2 4 2 4 2" xfId="31603" xr:uid="{00000000-0005-0000-0000-0000565E0000}"/>
    <cellStyle name="Normal 4 3 2 2 4 2 5" xfId="31596" xr:uid="{00000000-0005-0000-0000-0000575E0000}"/>
    <cellStyle name="Normal 4 3 2 2 4 3" xfId="8113" xr:uid="{00000000-0005-0000-0000-0000585E0000}"/>
    <cellStyle name="Normal 4 3 2 2 4 3 2" xfId="8114" xr:uid="{00000000-0005-0000-0000-0000595E0000}"/>
    <cellStyle name="Normal 4 3 2 2 4 3 2 2" xfId="8115" xr:uid="{00000000-0005-0000-0000-00005A5E0000}"/>
    <cellStyle name="Normal 4 3 2 2 4 3 2 2 2" xfId="8116" xr:uid="{00000000-0005-0000-0000-00005B5E0000}"/>
    <cellStyle name="Normal 4 3 2 2 4 3 2 2 2 2" xfId="31607" xr:uid="{00000000-0005-0000-0000-00005C5E0000}"/>
    <cellStyle name="Normal 4 3 2 2 4 3 2 2 3" xfId="31606" xr:uid="{00000000-0005-0000-0000-00005D5E0000}"/>
    <cellStyle name="Normal 4 3 2 2 4 3 2 3" xfId="8117" xr:uid="{00000000-0005-0000-0000-00005E5E0000}"/>
    <cellStyle name="Normal 4 3 2 2 4 3 2 3 2" xfId="31608" xr:uid="{00000000-0005-0000-0000-00005F5E0000}"/>
    <cellStyle name="Normal 4 3 2 2 4 3 2 4" xfId="31605" xr:uid="{00000000-0005-0000-0000-0000605E0000}"/>
    <cellStyle name="Normal 4 3 2 2 4 3 3" xfId="8118" xr:uid="{00000000-0005-0000-0000-0000615E0000}"/>
    <cellStyle name="Normal 4 3 2 2 4 3 3 2" xfId="8119" xr:uid="{00000000-0005-0000-0000-0000625E0000}"/>
    <cellStyle name="Normal 4 3 2 2 4 3 3 2 2" xfId="31610" xr:uid="{00000000-0005-0000-0000-0000635E0000}"/>
    <cellStyle name="Normal 4 3 2 2 4 3 3 3" xfId="31609" xr:uid="{00000000-0005-0000-0000-0000645E0000}"/>
    <cellStyle name="Normal 4 3 2 2 4 3 4" xfId="8120" xr:uid="{00000000-0005-0000-0000-0000655E0000}"/>
    <cellStyle name="Normal 4 3 2 2 4 3 4 2" xfId="31611" xr:uid="{00000000-0005-0000-0000-0000665E0000}"/>
    <cellStyle name="Normal 4 3 2 2 4 3 5" xfId="31604" xr:uid="{00000000-0005-0000-0000-0000675E0000}"/>
    <cellStyle name="Normal 4 3 2 2 4 4" xfId="8121" xr:uid="{00000000-0005-0000-0000-0000685E0000}"/>
    <cellStyle name="Normal 4 3 2 2 4 4 2" xfId="8122" xr:uid="{00000000-0005-0000-0000-0000695E0000}"/>
    <cellStyle name="Normal 4 3 2 2 4 4 2 2" xfId="8123" xr:uid="{00000000-0005-0000-0000-00006A5E0000}"/>
    <cellStyle name="Normal 4 3 2 2 4 4 2 2 2" xfId="31614" xr:uid="{00000000-0005-0000-0000-00006B5E0000}"/>
    <cellStyle name="Normal 4 3 2 2 4 4 2 3" xfId="31613" xr:uid="{00000000-0005-0000-0000-00006C5E0000}"/>
    <cellStyle name="Normal 4 3 2 2 4 4 3" xfId="8124" xr:uid="{00000000-0005-0000-0000-00006D5E0000}"/>
    <cellStyle name="Normal 4 3 2 2 4 4 3 2" xfId="31615" xr:uid="{00000000-0005-0000-0000-00006E5E0000}"/>
    <cellStyle name="Normal 4 3 2 2 4 4 4" xfId="31612" xr:uid="{00000000-0005-0000-0000-00006F5E0000}"/>
    <cellStyle name="Normal 4 3 2 2 4 5" xfId="8125" xr:uid="{00000000-0005-0000-0000-0000705E0000}"/>
    <cellStyle name="Normal 4 3 2 2 4 5 2" xfId="8126" xr:uid="{00000000-0005-0000-0000-0000715E0000}"/>
    <cellStyle name="Normal 4 3 2 2 4 5 2 2" xfId="31617" xr:uid="{00000000-0005-0000-0000-0000725E0000}"/>
    <cellStyle name="Normal 4 3 2 2 4 5 3" xfId="31616" xr:uid="{00000000-0005-0000-0000-0000735E0000}"/>
    <cellStyle name="Normal 4 3 2 2 4 6" xfId="8127" xr:uid="{00000000-0005-0000-0000-0000745E0000}"/>
    <cellStyle name="Normal 4 3 2 2 4 6 2" xfId="31618" xr:uid="{00000000-0005-0000-0000-0000755E0000}"/>
    <cellStyle name="Normal 4 3 2 2 4 7" xfId="31595" xr:uid="{00000000-0005-0000-0000-0000765E0000}"/>
    <cellStyle name="Normal 4 3 2 2 5" xfId="8128" xr:uid="{00000000-0005-0000-0000-0000775E0000}"/>
    <cellStyle name="Normal 4 3 2 2 5 2" xfId="8129" xr:uid="{00000000-0005-0000-0000-0000785E0000}"/>
    <cellStyle name="Normal 4 3 2 2 5 2 2" xfId="8130" xr:uid="{00000000-0005-0000-0000-0000795E0000}"/>
    <cellStyle name="Normal 4 3 2 2 5 2 2 2" xfId="8131" xr:uid="{00000000-0005-0000-0000-00007A5E0000}"/>
    <cellStyle name="Normal 4 3 2 2 5 2 2 2 2" xfId="8132" xr:uid="{00000000-0005-0000-0000-00007B5E0000}"/>
    <cellStyle name="Normal 4 3 2 2 5 2 2 2 2 2" xfId="31623" xr:uid="{00000000-0005-0000-0000-00007C5E0000}"/>
    <cellStyle name="Normal 4 3 2 2 5 2 2 2 3" xfId="31622" xr:uid="{00000000-0005-0000-0000-00007D5E0000}"/>
    <cellStyle name="Normal 4 3 2 2 5 2 2 3" xfId="8133" xr:uid="{00000000-0005-0000-0000-00007E5E0000}"/>
    <cellStyle name="Normal 4 3 2 2 5 2 2 3 2" xfId="31624" xr:uid="{00000000-0005-0000-0000-00007F5E0000}"/>
    <cellStyle name="Normal 4 3 2 2 5 2 2 4" xfId="31621" xr:uid="{00000000-0005-0000-0000-0000805E0000}"/>
    <cellStyle name="Normal 4 3 2 2 5 2 3" xfId="8134" xr:uid="{00000000-0005-0000-0000-0000815E0000}"/>
    <cellStyle name="Normal 4 3 2 2 5 2 3 2" xfId="8135" xr:uid="{00000000-0005-0000-0000-0000825E0000}"/>
    <cellStyle name="Normal 4 3 2 2 5 2 3 2 2" xfId="31626" xr:uid="{00000000-0005-0000-0000-0000835E0000}"/>
    <cellStyle name="Normal 4 3 2 2 5 2 3 3" xfId="31625" xr:uid="{00000000-0005-0000-0000-0000845E0000}"/>
    <cellStyle name="Normal 4 3 2 2 5 2 4" xfId="8136" xr:uid="{00000000-0005-0000-0000-0000855E0000}"/>
    <cellStyle name="Normal 4 3 2 2 5 2 4 2" xfId="31627" xr:uid="{00000000-0005-0000-0000-0000865E0000}"/>
    <cellStyle name="Normal 4 3 2 2 5 2 5" xfId="31620" xr:uid="{00000000-0005-0000-0000-0000875E0000}"/>
    <cellStyle name="Normal 4 3 2 2 5 3" xfId="8137" xr:uid="{00000000-0005-0000-0000-0000885E0000}"/>
    <cellStyle name="Normal 4 3 2 2 5 3 2" xfId="8138" xr:uid="{00000000-0005-0000-0000-0000895E0000}"/>
    <cellStyle name="Normal 4 3 2 2 5 3 2 2" xfId="8139" xr:uid="{00000000-0005-0000-0000-00008A5E0000}"/>
    <cellStyle name="Normal 4 3 2 2 5 3 2 2 2" xfId="8140" xr:uid="{00000000-0005-0000-0000-00008B5E0000}"/>
    <cellStyle name="Normal 4 3 2 2 5 3 2 2 2 2" xfId="31631" xr:uid="{00000000-0005-0000-0000-00008C5E0000}"/>
    <cellStyle name="Normal 4 3 2 2 5 3 2 2 3" xfId="31630" xr:uid="{00000000-0005-0000-0000-00008D5E0000}"/>
    <cellStyle name="Normal 4 3 2 2 5 3 2 3" xfId="8141" xr:uid="{00000000-0005-0000-0000-00008E5E0000}"/>
    <cellStyle name="Normal 4 3 2 2 5 3 2 3 2" xfId="31632" xr:uid="{00000000-0005-0000-0000-00008F5E0000}"/>
    <cellStyle name="Normal 4 3 2 2 5 3 2 4" xfId="31629" xr:uid="{00000000-0005-0000-0000-0000905E0000}"/>
    <cellStyle name="Normal 4 3 2 2 5 3 3" xfId="8142" xr:uid="{00000000-0005-0000-0000-0000915E0000}"/>
    <cellStyle name="Normal 4 3 2 2 5 3 3 2" xfId="8143" xr:uid="{00000000-0005-0000-0000-0000925E0000}"/>
    <cellStyle name="Normal 4 3 2 2 5 3 3 2 2" xfId="31634" xr:uid="{00000000-0005-0000-0000-0000935E0000}"/>
    <cellStyle name="Normal 4 3 2 2 5 3 3 3" xfId="31633" xr:uid="{00000000-0005-0000-0000-0000945E0000}"/>
    <cellStyle name="Normal 4 3 2 2 5 3 4" xfId="8144" xr:uid="{00000000-0005-0000-0000-0000955E0000}"/>
    <cellStyle name="Normal 4 3 2 2 5 3 4 2" xfId="31635" xr:uid="{00000000-0005-0000-0000-0000965E0000}"/>
    <cellStyle name="Normal 4 3 2 2 5 3 5" xfId="31628" xr:uid="{00000000-0005-0000-0000-0000975E0000}"/>
    <cellStyle name="Normal 4 3 2 2 5 4" xfId="8145" xr:uid="{00000000-0005-0000-0000-0000985E0000}"/>
    <cellStyle name="Normal 4 3 2 2 5 4 2" xfId="8146" xr:uid="{00000000-0005-0000-0000-0000995E0000}"/>
    <cellStyle name="Normal 4 3 2 2 5 4 2 2" xfId="8147" xr:uid="{00000000-0005-0000-0000-00009A5E0000}"/>
    <cellStyle name="Normal 4 3 2 2 5 4 2 2 2" xfId="31638" xr:uid="{00000000-0005-0000-0000-00009B5E0000}"/>
    <cellStyle name="Normal 4 3 2 2 5 4 2 3" xfId="31637" xr:uid="{00000000-0005-0000-0000-00009C5E0000}"/>
    <cellStyle name="Normal 4 3 2 2 5 4 3" xfId="8148" xr:uid="{00000000-0005-0000-0000-00009D5E0000}"/>
    <cellStyle name="Normal 4 3 2 2 5 4 3 2" xfId="31639" xr:uid="{00000000-0005-0000-0000-00009E5E0000}"/>
    <cellStyle name="Normal 4 3 2 2 5 4 4" xfId="31636" xr:uid="{00000000-0005-0000-0000-00009F5E0000}"/>
    <cellStyle name="Normal 4 3 2 2 5 5" xfId="8149" xr:uid="{00000000-0005-0000-0000-0000A05E0000}"/>
    <cellStyle name="Normal 4 3 2 2 5 5 2" xfId="8150" xr:uid="{00000000-0005-0000-0000-0000A15E0000}"/>
    <cellStyle name="Normal 4 3 2 2 5 5 2 2" xfId="31641" xr:uid="{00000000-0005-0000-0000-0000A25E0000}"/>
    <cellStyle name="Normal 4 3 2 2 5 5 3" xfId="31640" xr:uid="{00000000-0005-0000-0000-0000A35E0000}"/>
    <cellStyle name="Normal 4 3 2 2 5 6" xfId="8151" xr:uid="{00000000-0005-0000-0000-0000A45E0000}"/>
    <cellStyle name="Normal 4 3 2 2 5 6 2" xfId="31642" xr:uid="{00000000-0005-0000-0000-0000A55E0000}"/>
    <cellStyle name="Normal 4 3 2 2 5 7" xfId="31619" xr:uid="{00000000-0005-0000-0000-0000A65E0000}"/>
    <cellStyle name="Normal 4 3 2 2 6" xfId="8152" xr:uid="{00000000-0005-0000-0000-0000A75E0000}"/>
    <cellStyle name="Normal 4 3 2 2 6 2" xfId="8153" xr:uid="{00000000-0005-0000-0000-0000A85E0000}"/>
    <cellStyle name="Normal 4 3 2 2 6 2 2" xfId="8154" xr:uid="{00000000-0005-0000-0000-0000A95E0000}"/>
    <cellStyle name="Normal 4 3 2 2 6 2 2 2" xfId="8155" xr:uid="{00000000-0005-0000-0000-0000AA5E0000}"/>
    <cellStyle name="Normal 4 3 2 2 6 2 2 2 2" xfId="31646" xr:uid="{00000000-0005-0000-0000-0000AB5E0000}"/>
    <cellStyle name="Normal 4 3 2 2 6 2 2 3" xfId="31645" xr:uid="{00000000-0005-0000-0000-0000AC5E0000}"/>
    <cellStyle name="Normal 4 3 2 2 6 2 3" xfId="8156" xr:uid="{00000000-0005-0000-0000-0000AD5E0000}"/>
    <cellStyle name="Normal 4 3 2 2 6 2 3 2" xfId="31647" xr:uid="{00000000-0005-0000-0000-0000AE5E0000}"/>
    <cellStyle name="Normal 4 3 2 2 6 2 4" xfId="31644" xr:uid="{00000000-0005-0000-0000-0000AF5E0000}"/>
    <cellStyle name="Normal 4 3 2 2 6 3" xfId="8157" xr:uid="{00000000-0005-0000-0000-0000B05E0000}"/>
    <cellStyle name="Normal 4 3 2 2 6 3 2" xfId="8158" xr:uid="{00000000-0005-0000-0000-0000B15E0000}"/>
    <cellStyle name="Normal 4 3 2 2 6 3 2 2" xfId="31649" xr:uid="{00000000-0005-0000-0000-0000B25E0000}"/>
    <cellStyle name="Normal 4 3 2 2 6 3 3" xfId="31648" xr:uid="{00000000-0005-0000-0000-0000B35E0000}"/>
    <cellStyle name="Normal 4 3 2 2 6 4" xfId="8159" xr:uid="{00000000-0005-0000-0000-0000B45E0000}"/>
    <cellStyle name="Normal 4 3 2 2 6 4 2" xfId="31650" xr:uid="{00000000-0005-0000-0000-0000B55E0000}"/>
    <cellStyle name="Normal 4 3 2 2 6 5" xfId="31643" xr:uid="{00000000-0005-0000-0000-0000B65E0000}"/>
    <cellStyle name="Normal 4 3 2 2 7" xfId="8160" xr:uid="{00000000-0005-0000-0000-0000B75E0000}"/>
    <cellStyle name="Normal 4 3 2 2 7 2" xfId="8161" xr:uid="{00000000-0005-0000-0000-0000B85E0000}"/>
    <cellStyle name="Normal 4 3 2 2 7 2 2" xfId="8162" xr:uid="{00000000-0005-0000-0000-0000B95E0000}"/>
    <cellStyle name="Normal 4 3 2 2 7 2 2 2" xfId="8163" xr:uid="{00000000-0005-0000-0000-0000BA5E0000}"/>
    <cellStyle name="Normal 4 3 2 2 7 2 2 2 2" xfId="31654" xr:uid="{00000000-0005-0000-0000-0000BB5E0000}"/>
    <cellStyle name="Normal 4 3 2 2 7 2 2 3" xfId="31653" xr:uid="{00000000-0005-0000-0000-0000BC5E0000}"/>
    <cellStyle name="Normal 4 3 2 2 7 2 3" xfId="8164" xr:uid="{00000000-0005-0000-0000-0000BD5E0000}"/>
    <cellStyle name="Normal 4 3 2 2 7 2 3 2" xfId="31655" xr:uid="{00000000-0005-0000-0000-0000BE5E0000}"/>
    <cellStyle name="Normal 4 3 2 2 7 2 4" xfId="31652" xr:uid="{00000000-0005-0000-0000-0000BF5E0000}"/>
    <cellStyle name="Normal 4 3 2 2 7 3" xfId="8165" xr:uid="{00000000-0005-0000-0000-0000C05E0000}"/>
    <cellStyle name="Normal 4 3 2 2 7 3 2" xfId="8166" xr:uid="{00000000-0005-0000-0000-0000C15E0000}"/>
    <cellStyle name="Normal 4 3 2 2 7 3 2 2" xfId="31657" xr:uid="{00000000-0005-0000-0000-0000C25E0000}"/>
    <cellStyle name="Normal 4 3 2 2 7 3 3" xfId="31656" xr:uid="{00000000-0005-0000-0000-0000C35E0000}"/>
    <cellStyle name="Normal 4 3 2 2 7 4" xfId="8167" xr:uid="{00000000-0005-0000-0000-0000C45E0000}"/>
    <cellStyle name="Normal 4 3 2 2 7 4 2" xfId="31658" xr:uid="{00000000-0005-0000-0000-0000C55E0000}"/>
    <cellStyle name="Normal 4 3 2 2 7 5" xfId="31651" xr:uid="{00000000-0005-0000-0000-0000C65E0000}"/>
    <cellStyle name="Normal 4 3 2 2 8" xfId="8168" xr:uid="{00000000-0005-0000-0000-0000C75E0000}"/>
    <cellStyle name="Normal 4 3 2 2 8 2" xfId="8169" xr:uid="{00000000-0005-0000-0000-0000C85E0000}"/>
    <cellStyle name="Normal 4 3 2 2 8 2 2" xfId="8170" xr:uid="{00000000-0005-0000-0000-0000C95E0000}"/>
    <cellStyle name="Normal 4 3 2 2 8 2 2 2" xfId="31661" xr:uid="{00000000-0005-0000-0000-0000CA5E0000}"/>
    <cellStyle name="Normal 4 3 2 2 8 2 3" xfId="31660" xr:uid="{00000000-0005-0000-0000-0000CB5E0000}"/>
    <cellStyle name="Normal 4 3 2 2 8 3" xfId="8171" xr:uid="{00000000-0005-0000-0000-0000CC5E0000}"/>
    <cellStyle name="Normal 4 3 2 2 8 3 2" xfId="31662" xr:uid="{00000000-0005-0000-0000-0000CD5E0000}"/>
    <cellStyle name="Normal 4 3 2 2 8 4" xfId="31659" xr:uid="{00000000-0005-0000-0000-0000CE5E0000}"/>
    <cellStyle name="Normal 4 3 2 2 9" xfId="8172" xr:uid="{00000000-0005-0000-0000-0000CF5E0000}"/>
    <cellStyle name="Normal 4 3 2 2 9 2" xfId="8173" xr:uid="{00000000-0005-0000-0000-0000D05E0000}"/>
    <cellStyle name="Normal 4 3 2 2 9 2 2" xfId="31664" xr:uid="{00000000-0005-0000-0000-0000D15E0000}"/>
    <cellStyle name="Normal 4 3 2 2 9 3" xfId="31663" xr:uid="{00000000-0005-0000-0000-0000D25E0000}"/>
    <cellStyle name="Normal 4 3 2 3" xfId="8174" xr:uid="{00000000-0005-0000-0000-0000D35E0000}"/>
    <cellStyle name="Normal 4 3 2 3 10" xfId="31665" xr:uid="{00000000-0005-0000-0000-0000D45E0000}"/>
    <cellStyle name="Normal 4 3 2 3 2" xfId="8175" xr:uid="{00000000-0005-0000-0000-0000D55E0000}"/>
    <cellStyle name="Normal 4 3 2 3 2 2" xfId="8176" xr:uid="{00000000-0005-0000-0000-0000D65E0000}"/>
    <cellStyle name="Normal 4 3 2 3 2 2 2" xfId="8177" xr:uid="{00000000-0005-0000-0000-0000D75E0000}"/>
    <cellStyle name="Normal 4 3 2 3 2 2 2 2" xfId="8178" xr:uid="{00000000-0005-0000-0000-0000D85E0000}"/>
    <cellStyle name="Normal 4 3 2 3 2 2 2 2 2" xfId="8179" xr:uid="{00000000-0005-0000-0000-0000D95E0000}"/>
    <cellStyle name="Normal 4 3 2 3 2 2 2 2 2 2" xfId="31670" xr:uid="{00000000-0005-0000-0000-0000DA5E0000}"/>
    <cellStyle name="Normal 4 3 2 3 2 2 2 2 3" xfId="31669" xr:uid="{00000000-0005-0000-0000-0000DB5E0000}"/>
    <cellStyle name="Normal 4 3 2 3 2 2 2 3" xfId="8180" xr:uid="{00000000-0005-0000-0000-0000DC5E0000}"/>
    <cellStyle name="Normal 4 3 2 3 2 2 2 3 2" xfId="31671" xr:uid="{00000000-0005-0000-0000-0000DD5E0000}"/>
    <cellStyle name="Normal 4 3 2 3 2 2 2 4" xfId="31668" xr:uid="{00000000-0005-0000-0000-0000DE5E0000}"/>
    <cellStyle name="Normal 4 3 2 3 2 2 3" xfId="8181" xr:uid="{00000000-0005-0000-0000-0000DF5E0000}"/>
    <cellStyle name="Normal 4 3 2 3 2 2 3 2" xfId="8182" xr:uid="{00000000-0005-0000-0000-0000E05E0000}"/>
    <cellStyle name="Normal 4 3 2 3 2 2 3 2 2" xfId="31673" xr:uid="{00000000-0005-0000-0000-0000E15E0000}"/>
    <cellStyle name="Normal 4 3 2 3 2 2 3 3" xfId="31672" xr:uid="{00000000-0005-0000-0000-0000E25E0000}"/>
    <cellStyle name="Normal 4 3 2 3 2 2 4" xfId="8183" xr:uid="{00000000-0005-0000-0000-0000E35E0000}"/>
    <cellStyle name="Normal 4 3 2 3 2 2 4 2" xfId="31674" xr:uid="{00000000-0005-0000-0000-0000E45E0000}"/>
    <cellStyle name="Normal 4 3 2 3 2 2 5" xfId="31667" xr:uid="{00000000-0005-0000-0000-0000E55E0000}"/>
    <cellStyle name="Normal 4 3 2 3 2 3" xfId="8184" xr:uid="{00000000-0005-0000-0000-0000E65E0000}"/>
    <cellStyle name="Normal 4 3 2 3 2 3 2" xfId="8185" xr:uid="{00000000-0005-0000-0000-0000E75E0000}"/>
    <cellStyle name="Normal 4 3 2 3 2 3 2 2" xfId="8186" xr:uid="{00000000-0005-0000-0000-0000E85E0000}"/>
    <cellStyle name="Normal 4 3 2 3 2 3 2 2 2" xfId="8187" xr:uid="{00000000-0005-0000-0000-0000E95E0000}"/>
    <cellStyle name="Normal 4 3 2 3 2 3 2 2 2 2" xfId="31678" xr:uid="{00000000-0005-0000-0000-0000EA5E0000}"/>
    <cellStyle name="Normal 4 3 2 3 2 3 2 2 3" xfId="31677" xr:uid="{00000000-0005-0000-0000-0000EB5E0000}"/>
    <cellStyle name="Normal 4 3 2 3 2 3 2 3" xfId="8188" xr:uid="{00000000-0005-0000-0000-0000EC5E0000}"/>
    <cellStyle name="Normal 4 3 2 3 2 3 2 3 2" xfId="31679" xr:uid="{00000000-0005-0000-0000-0000ED5E0000}"/>
    <cellStyle name="Normal 4 3 2 3 2 3 2 4" xfId="31676" xr:uid="{00000000-0005-0000-0000-0000EE5E0000}"/>
    <cellStyle name="Normal 4 3 2 3 2 3 3" xfId="8189" xr:uid="{00000000-0005-0000-0000-0000EF5E0000}"/>
    <cellStyle name="Normal 4 3 2 3 2 3 3 2" xfId="8190" xr:uid="{00000000-0005-0000-0000-0000F05E0000}"/>
    <cellStyle name="Normal 4 3 2 3 2 3 3 2 2" xfId="31681" xr:uid="{00000000-0005-0000-0000-0000F15E0000}"/>
    <cellStyle name="Normal 4 3 2 3 2 3 3 3" xfId="31680" xr:uid="{00000000-0005-0000-0000-0000F25E0000}"/>
    <cellStyle name="Normal 4 3 2 3 2 3 4" xfId="8191" xr:uid="{00000000-0005-0000-0000-0000F35E0000}"/>
    <cellStyle name="Normal 4 3 2 3 2 3 4 2" xfId="31682" xr:uid="{00000000-0005-0000-0000-0000F45E0000}"/>
    <cellStyle name="Normal 4 3 2 3 2 3 5" xfId="31675" xr:uid="{00000000-0005-0000-0000-0000F55E0000}"/>
    <cellStyle name="Normal 4 3 2 3 2 4" xfId="8192" xr:uid="{00000000-0005-0000-0000-0000F65E0000}"/>
    <cellStyle name="Normal 4 3 2 3 2 4 2" xfId="8193" xr:uid="{00000000-0005-0000-0000-0000F75E0000}"/>
    <cellStyle name="Normal 4 3 2 3 2 4 2 2" xfId="8194" xr:uid="{00000000-0005-0000-0000-0000F85E0000}"/>
    <cellStyle name="Normal 4 3 2 3 2 4 2 2 2" xfId="31685" xr:uid="{00000000-0005-0000-0000-0000F95E0000}"/>
    <cellStyle name="Normal 4 3 2 3 2 4 2 3" xfId="31684" xr:uid="{00000000-0005-0000-0000-0000FA5E0000}"/>
    <cellStyle name="Normal 4 3 2 3 2 4 3" xfId="8195" xr:uid="{00000000-0005-0000-0000-0000FB5E0000}"/>
    <cellStyle name="Normal 4 3 2 3 2 4 3 2" xfId="31686" xr:uid="{00000000-0005-0000-0000-0000FC5E0000}"/>
    <cellStyle name="Normal 4 3 2 3 2 4 4" xfId="31683" xr:uid="{00000000-0005-0000-0000-0000FD5E0000}"/>
    <cellStyle name="Normal 4 3 2 3 2 5" xfId="8196" xr:uid="{00000000-0005-0000-0000-0000FE5E0000}"/>
    <cellStyle name="Normal 4 3 2 3 2 5 2" xfId="8197" xr:uid="{00000000-0005-0000-0000-0000FF5E0000}"/>
    <cellStyle name="Normal 4 3 2 3 2 5 2 2" xfId="31688" xr:uid="{00000000-0005-0000-0000-0000005F0000}"/>
    <cellStyle name="Normal 4 3 2 3 2 5 3" xfId="31687" xr:uid="{00000000-0005-0000-0000-0000015F0000}"/>
    <cellStyle name="Normal 4 3 2 3 2 6" xfId="8198" xr:uid="{00000000-0005-0000-0000-0000025F0000}"/>
    <cellStyle name="Normal 4 3 2 3 2 6 2" xfId="31689" xr:uid="{00000000-0005-0000-0000-0000035F0000}"/>
    <cellStyle name="Normal 4 3 2 3 2 7" xfId="31666" xr:uid="{00000000-0005-0000-0000-0000045F0000}"/>
    <cellStyle name="Normal 4 3 2 3 3" xfId="8199" xr:uid="{00000000-0005-0000-0000-0000055F0000}"/>
    <cellStyle name="Normal 4 3 2 3 3 2" xfId="8200" xr:uid="{00000000-0005-0000-0000-0000065F0000}"/>
    <cellStyle name="Normal 4 3 2 3 3 2 2" xfId="8201" xr:uid="{00000000-0005-0000-0000-0000075F0000}"/>
    <cellStyle name="Normal 4 3 2 3 3 2 2 2" xfId="8202" xr:uid="{00000000-0005-0000-0000-0000085F0000}"/>
    <cellStyle name="Normal 4 3 2 3 3 2 2 2 2" xfId="8203" xr:uid="{00000000-0005-0000-0000-0000095F0000}"/>
    <cellStyle name="Normal 4 3 2 3 3 2 2 2 2 2" xfId="31694" xr:uid="{00000000-0005-0000-0000-00000A5F0000}"/>
    <cellStyle name="Normal 4 3 2 3 3 2 2 2 3" xfId="31693" xr:uid="{00000000-0005-0000-0000-00000B5F0000}"/>
    <cellStyle name="Normal 4 3 2 3 3 2 2 3" xfId="8204" xr:uid="{00000000-0005-0000-0000-00000C5F0000}"/>
    <cellStyle name="Normal 4 3 2 3 3 2 2 3 2" xfId="31695" xr:uid="{00000000-0005-0000-0000-00000D5F0000}"/>
    <cellStyle name="Normal 4 3 2 3 3 2 2 4" xfId="31692" xr:uid="{00000000-0005-0000-0000-00000E5F0000}"/>
    <cellStyle name="Normal 4 3 2 3 3 2 3" xfId="8205" xr:uid="{00000000-0005-0000-0000-00000F5F0000}"/>
    <cellStyle name="Normal 4 3 2 3 3 2 3 2" xfId="8206" xr:uid="{00000000-0005-0000-0000-0000105F0000}"/>
    <cellStyle name="Normal 4 3 2 3 3 2 3 2 2" xfId="31697" xr:uid="{00000000-0005-0000-0000-0000115F0000}"/>
    <cellStyle name="Normal 4 3 2 3 3 2 3 3" xfId="31696" xr:uid="{00000000-0005-0000-0000-0000125F0000}"/>
    <cellStyle name="Normal 4 3 2 3 3 2 4" xfId="8207" xr:uid="{00000000-0005-0000-0000-0000135F0000}"/>
    <cellStyle name="Normal 4 3 2 3 3 2 4 2" xfId="31698" xr:uid="{00000000-0005-0000-0000-0000145F0000}"/>
    <cellStyle name="Normal 4 3 2 3 3 2 5" xfId="31691" xr:uid="{00000000-0005-0000-0000-0000155F0000}"/>
    <cellStyle name="Normal 4 3 2 3 3 3" xfId="8208" xr:uid="{00000000-0005-0000-0000-0000165F0000}"/>
    <cellStyle name="Normal 4 3 2 3 3 3 2" xfId="8209" xr:uid="{00000000-0005-0000-0000-0000175F0000}"/>
    <cellStyle name="Normal 4 3 2 3 3 3 2 2" xfId="8210" xr:uid="{00000000-0005-0000-0000-0000185F0000}"/>
    <cellStyle name="Normal 4 3 2 3 3 3 2 2 2" xfId="8211" xr:uid="{00000000-0005-0000-0000-0000195F0000}"/>
    <cellStyle name="Normal 4 3 2 3 3 3 2 2 2 2" xfId="31702" xr:uid="{00000000-0005-0000-0000-00001A5F0000}"/>
    <cellStyle name="Normal 4 3 2 3 3 3 2 2 3" xfId="31701" xr:uid="{00000000-0005-0000-0000-00001B5F0000}"/>
    <cellStyle name="Normal 4 3 2 3 3 3 2 3" xfId="8212" xr:uid="{00000000-0005-0000-0000-00001C5F0000}"/>
    <cellStyle name="Normal 4 3 2 3 3 3 2 3 2" xfId="31703" xr:uid="{00000000-0005-0000-0000-00001D5F0000}"/>
    <cellStyle name="Normal 4 3 2 3 3 3 2 4" xfId="31700" xr:uid="{00000000-0005-0000-0000-00001E5F0000}"/>
    <cellStyle name="Normal 4 3 2 3 3 3 3" xfId="8213" xr:uid="{00000000-0005-0000-0000-00001F5F0000}"/>
    <cellStyle name="Normal 4 3 2 3 3 3 3 2" xfId="8214" xr:uid="{00000000-0005-0000-0000-0000205F0000}"/>
    <cellStyle name="Normal 4 3 2 3 3 3 3 2 2" xfId="31705" xr:uid="{00000000-0005-0000-0000-0000215F0000}"/>
    <cellStyle name="Normal 4 3 2 3 3 3 3 3" xfId="31704" xr:uid="{00000000-0005-0000-0000-0000225F0000}"/>
    <cellStyle name="Normal 4 3 2 3 3 3 4" xfId="8215" xr:uid="{00000000-0005-0000-0000-0000235F0000}"/>
    <cellStyle name="Normal 4 3 2 3 3 3 4 2" xfId="31706" xr:uid="{00000000-0005-0000-0000-0000245F0000}"/>
    <cellStyle name="Normal 4 3 2 3 3 3 5" xfId="31699" xr:uid="{00000000-0005-0000-0000-0000255F0000}"/>
    <cellStyle name="Normal 4 3 2 3 3 4" xfId="8216" xr:uid="{00000000-0005-0000-0000-0000265F0000}"/>
    <cellStyle name="Normal 4 3 2 3 3 4 2" xfId="8217" xr:uid="{00000000-0005-0000-0000-0000275F0000}"/>
    <cellStyle name="Normal 4 3 2 3 3 4 2 2" xfId="8218" xr:uid="{00000000-0005-0000-0000-0000285F0000}"/>
    <cellStyle name="Normal 4 3 2 3 3 4 2 2 2" xfId="31709" xr:uid="{00000000-0005-0000-0000-0000295F0000}"/>
    <cellStyle name="Normal 4 3 2 3 3 4 2 3" xfId="31708" xr:uid="{00000000-0005-0000-0000-00002A5F0000}"/>
    <cellStyle name="Normal 4 3 2 3 3 4 3" xfId="8219" xr:uid="{00000000-0005-0000-0000-00002B5F0000}"/>
    <cellStyle name="Normal 4 3 2 3 3 4 3 2" xfId="31710" xr:uid="{00000000-0005-0000-0000-00002C5F0000}"/>
    <cellStyle name="Normal 4 3 2 3 3 4 4" xfId="31707" xr:uid="{00000000-0005-0000-0000-00002D5F0000}"/>
    <cellStyle name="Normal 4 3 2 3 3 5" xfId="8220" xr:uid="{00000000-0005-0000-0000-00002E5F0000}"/>
    <cellStyle name="Normal 4 3 2 3 3 5 2" xfId="8221" xr:uid="{00000000-0005-0000-0000-00002F5F0000}"/>
    <cellStyle name="Normal 4 3 2 3 3 5 2 2" xfId="31712" xr:uid="{00000000-0005-0000-0000-0000305F0000}"/>
    <cellStyle name="Normal 4 3 2 3 3 5 3" xfId="31711" xr:uid="{00000000-0005-0000-0000-0000315F0000}"/>
    <cellStyle name="Normal 4 3 2 3 3 6" xfId="8222" xr:uid="{00000000-0005-0000-0000-0000325F0000}"/>
    <cellStyle name="Normal 4 3 2 3 3 6 2" xfId="31713" xr:uid="{00000000-0005-0000-0000-0000335F0000}"/>
    <cellStyle name="Normal 4 3 2 3 3 7" xfId="31690" xr:uid="{00000000-0005-0000-0000-0000345F0000}"/>
    <cellStyle name="Normal 4 3 2 3 4" xfId="8223" xr:uid="{00000000-0005-0000-0000-0000355F0000}"/>
    <cellStyle name="Normal 4 3 2 3 4 2" xfId="8224" xr:uid="{00000000-0005-0000-0000-0000365F0000}"/>
    <cellStyle name="Normal 4 3 2 3 4 2 2" xfId="8225" xr:uid="{00000000-0005-0000-0000-0000375F0000}"/>
    <cellStyle name="Normal 4 3 2 3 4 2 2 2" xfId="8226" xr:uid="{00000000-0005-0000-0000-0000385F0000}"/>
    <cellStyle name="Normal 4 3 2 3 4 2 2 2 2" xfId="8227" xr:uid="{00000000-0005-0000-0000-0000395F0000}"/>
    <cellStyle name="Normal 4 3 2 3 4 2 2 2 2 2" xfId="31718" xr:uid="{00000000-0005-0000-0000-00003A5F0000}"/>
    <cellStyle name="Normal 4 3 2 3 4 2 2 2 3" xfId="31717" xr:uid="{00000000-0005-0000-0000-00003B5F0000}"/>
    <cellStyle name="Normal 4 3 2 3 4 2 2 3" xfId="8228" xr:uid="{00000000-0005-0000-0000-00003C5F0000}"/>
    <cellStyle name="Normal 4 3 2 3 4 2 2 3 2" xfId="31719" xr:uid="{00000000-0005-0000-0000-00003D5F0000}"/>
    <cellStyle name="Normal 4 3 2 3 4 2 2 4" xfId="31716" xr:uid="{00000000-0005-0000-0000-00003E5F0000}"/>
    <cellStyle name="Normal 4 3 2 3 4 2 3" xfId="8229" xr:uid="{00000000-0005-0000-0000-00003F5F0000}"/>
    <cellStyle name="Normal 4 3 2 3 4 2 3 2" xfId="8230" xr:uid="{00000000-0005-0000-0000-0000405F0000}"/>
    <cellStyle name="Normal 4 3 2 3 4 2 3 2 2" xfId="31721" xr:uid="{00000000-0005-0000-0000-0000415F0000}"/>
    <cellStyle name="Normal 4 3 2 3 4 2 3 3" xfId="31720" xr:uid="{00000000-0005-0000-0000-0000425F0000}"/>
    <cellStyle name="Normal 4 3 2 3 4 2 4" xfId="8231" xr:uid="{00000000-0005-0000-0000-0000435F0000}"/>
    <cellStyle name="Normal 4 3 2 3 4 2 4 2" xfId="31722" xr:uid="{00000000-0005-0000-0000-0000445F0000}"/>
    <cellStyle name="Normal 4 3 2 3 4 2 5" xfId="31715" xr:uid="{00000000-0005-0000-0000-0000455F0000}"/>
    <cellStyle name="Normal 4 3 2 3 4 3" xfId="8232" xr:uid="{00000000-0005-0000-0000-0000465F0000}"/>
    <cellStyle name="Normal 4 3 2 3 4 3 2" xfId="8233" xr:uid="{00000000-0005-0000-0000-0000475F0000}"/>
    <cellStyle name="Normal 4 3 2 3 4 3 2 2" xfId="8234" xr:uid="{00000000-0005-0000-0000-0000485F0000}"/>
    <cellStyle name="Normal 4 3 2 3 4 3 2 2 2" xfId="8235" xr:uid="{00000000-0005-0000-0000-0000495F0000}"/>
    <cellStyle name="Normal 4 3 2 3 4 3 2 2 2 2" xfId="31726" xr:uid="{00000000-0005-0000-0000-00004A5F0000}"/>
    <cellStyle name="Normal 4 3 2 3 4 3 2 2 3" xfId="31725" xr:uid="{00000000-0005-0000-0000-00004B5F0000}"/>
    <cellStyle name="Normal 4 3 2 3 4 3 2 3" xfId="8236" xr:uid="{00000000-0005-0000-0000-00004C5F0000}"/>
    <cellStyle name="Normal 4 3 2 3 4 3 2 3 2" xfId="31727" xr:uid="{00000000-0005-0000-0000-00004D5F0000}"/>
    <cellStyle name="Normal 4 3 2 3 4 3 2 4" xfId="31724" xr:uid="{00000000-0005-0000-0000-00004E5F0000}"/>
    <cellStyle name="Normal 4 3 2 3 4 3 3" xfId="8237" xr:uid="{00000000-0005-0000-0000-00004F5F0000}"/>
    <cellStyle name="Normal 4 3 2 3 4 3 3 2" xfId="8238" xr:uid="{00000000-0005-0000-0000-0000505F0000}"/>
    <cellStyle name="Normal 4 3 2 3 4 3 3 2 2" xfId="31729" xr:uid="{00000000-0005-0000-0000-0000515F0000}"/>
    <cellStyle name="Normal 4 3 2 3 4 3 3 3" xfId="31728" xr:uid="{00000000-0005-0000-0000-0000525F0000}"/>
    <cellStyle name="Normal 4 3 2 3 4 3 4" xfId="8239" xr:uid="{00000000-0005-0000-0000-0000535F0000}"/>
    <cellStyle name="Normal 4 3 2 3 4 3 4 2" xfId="31730" xr:uid="{00000000-0005-0000-0000-0000545F0000}"/>
    <cellStyle name="Normal 4 3 2 3 4 3 5" xfId="31723" xr:uid="{00000000-0005-0000-0000-0000555F0000}"/>
    <cellStyle name="Normal 4 3 2 3 4 4" xfId="8240" xr:uid="{00000000-0005-0000-0000-0000565F0000}"/>
    <cellStyle name="Normal 4 3 2 3 4 4 2" xfId="8241" xr:uid="{00000000-0005-0000-0000-0000575F0000}"/>
    <cellStyle name="Normal 4 3 2 3 4 4 2 2" xfId="8242" xr:uid="{00000000-0005-0000-0000-0000585F0000}"/>
    <cellStyle name="Normal 4 3 2 3 4 4 2 2 2" xfId="31733" xr:uid="{00000000-0005-0000-0000-0000595F0000}"/>
    <cellStyle name="Normal 4 3 2 3 4 4 2 3" xfId="31732" xr:uid="{00000000-0005-0000-0000-00005A5F0000}"/>
    <cellStyle name="Normal 4 3 2 3 4 4 3" xfId="8243" xr:uid="{00000000-0005-0000-0000-00005B5F0000}"/>
    <cellStyle name="Normal 4 3 2 3 4 4 3 2" xfId="31734" xr:uid="{00000000-0005-0000-0000-00005C5F0000}"/>
    <cellStyle name="Normal 4 3 2 3 4 4 4" xfId="31731" xr:uid="{00000000-0005-0000-0000-00005D5F0000}"/>
    <cellStyle name="Normal 4 3 2 3 4 5" xfId="8244" xr:uid="{00000000-0005-0000-0000-00005E5F0000}"/>
    <cellStyle name="Normal 4 3 2 3 4 5 2" xfId="8245" xr:uid="{00000000-0005-0000-0000-00005F5F0000}"/>
    <cellStyle name="Normal 4 3 2 3 4 5 2 2" xfId="31736" xr:uid="{00000000-0005-0000-0000-0000605F0000}"/>
    <cellStyle name="Normal 4 3 2 3 4 5 3" xfId="31735" xr:uid="{00000000-0005-0000-0000-0000615F0000}"/>
    <cellStyle name="Normal 4 3 2 3 4 6" xfId="8246" xr:uid="{00000000-0005-0000-0000-0000625F0000}"/>
    <cellStyle name="Normal 4 3 2 3 4 6 2" xfId="31737" xr:uid="{00000000-0005-0000-0000-0000635F0000}"/>
    <cellStyle name="Normal 4 3 2 3 4 7" xfId="31714" xr:uid="{00000000-0005-0000-0000-0000645F0000}"/>
    <cellStyle name="Normal 4 3 2 3 5" xfId="8247" xr:uid="{00000000-0005-0000-0000-0000655F0000}"/>
    <cellStyle name="Normal 4 3 2 3 5 2" xfId="8248" xr:uid="{00000000-0005-0000-0000-0000665F0000}"/>
    <cellStyle name="Normal 4 3 2 3 5 2 2" xfId="8249" xr:uid="{00000000-0005-0000-0000-0000675F0000}"/>
    <cellStyle name="Normal 4 3 2 3 5 2 2 2" xfId="8250" xr:uid="{00000000-0005-0000-0000-0000685F0000}"/>
    <cellStyle name="Normal 4 3 2 3 5 2 2 2 2" xfId="31741" xr:uid="{00000000-0005-0000-0000-0000695F0000}"/>
    <cellStyle name="Normal 4 3 2 3 5 2 2 3" xfId="31740" xr:uid="{00000000-0005-0000-0000-00006A5F0000}"/>
    <cellStyle name="Normal 4 3 2 3 5 2 3" xfId="8251" xr:uid="{00000000-0005-0000-0000-00006B5F0000}"/>
    <cellStyle name="Normal 4 3 2 3 5 2 3 2" xfId="31742" xr:uid="{00000000-0005-0000-0000-00006C5F0000}"/>
    <cellStyle name="Normal 4 3 2 3 5 2 4" xfId="31739" xr:uid="{00000000-0005-0000-0000-00006D5F0000}"/>
    <cellStyle name="Normal 4 3 2 3 5 3" xfId="8252" xr:uid="{00000000-0005-0000-0000-00006E5F0000}"/>
    <cellStyle name="Normal 4 3 2 3 5 3 2" xfId="8253" xr:uid="{00000000-0005-0000-0000-00006F5F0000}"/>
    <cellStyle name="Normal 4 3 2 3 5 3 2 2" xfId="31744" xr:uid="{00000000-0005-0000-0000-0000705F0000}"/>
    <cellStyle name="Normal 4 3 2 3 5 3 3" xfId="31743" xr:uid="{00000000-0005-0000-0000-0000715F0000}"/>
    <cellStyle name="Normal 4 3 2 3 5 4" xfId="8254" xr:uid="{00000000-0005-0000-0000-0000725F0000}"/>
    <cellStyle name="Normal 4 3 2 3 5 4 2" xfId="31745" xr:uid="{00000000-0005-0000-0000-0000735F0000}"/>
    <cellStyle name="Normal 4 3 2 3 5 5" xfId="31738" xr:uid="{00000000-0005-0000-0000-0000745F0000}"/>
    <cellStyle name="Normal 4 3 2 3 6" xfId="8255" xr:uid="{00000000-0005-0000-0000-0000755F0000}"/>
    <cellStyle name="Normal 4 3 2 3 6 2" xfId="8256" xr:uid="{00000000-0005-0000-0000-0000765F0000}"/>
    <cellStyle name="Normal 4 3 2 3 6 2 2" xfId="8257" xr:uid="{00000000-0005-0000-0000-0000775F0000}"/>
    <cellStyle name="Normal 4 3 2 3 6 2 2 2" xfId="8258" xr:uid="{00000000-0005-0000-0000-0000785F0000}"/>
    <cellStyle name="Normal 4 3 2 3 6 2 2 2 2" xfId="31749" xr:uid="{00000000-0005-0000-0000-0000795F0000}"/>
    <cellStyle name="Normal 4 3 2 3 6 2 2 3" xfId="31748" xr:uid="{00000000-0005-0000-0000-00007A5F0000}"/>
    <cellStyle name="Normal 4 3 2 3 6 2 3" xfId="8259" xr:uid="{00000000-0005-0000-0000-00007B5F0000}"/>
    <cellStyle name="Normal 4 3 2 3 6 2 3 2" xfId="31750" xr:uid="{00000000-0005-0000-0000-00007C5F0000}"/>
    <cellStyle name="Normal 4 3 2 3 6 2 4" xfId="31747" xr:uid="{00000000-0005-0000-0000-00007D5F0000}"/>
    <cellStyle name="Normal 4 3 2 3 6 3" xfId="8260" xr:uid="{00000000-0005-0000-0000-00007E5F0000}"/>
    <cellStyle name="Normal 4 3 2 3 6 3 2" xfId="8261" xr:uid="{00000000-0005-0000-0000-00007F5F0000}"/>
    <cellStyle name="Normal 4 3 2 3 6 3 2 2" xfId="31752" xr:uid="{00000000-0005-0000-0000-0000805F0000}"/>
    <cellStyle name="Normal 4 3 2 3 6 3 3" xfId="31751" xr:uid="{00000000-0005-0000-0000-0000815F0000}"/>
    <cellStyle name="Normal 4 3 2 3 6 4" xfId="8262" xr:uid="{00000000-0005-0000-0000-0000825F0000}"/>
    <cellStyle name="Normal 4 3 2 3 6 4 2" xfId="31753" xr:uid="{00000000-0005-0000-0000-0000835F0000}"/>
    <cellStyle name="Normal 4 3 2 3 6 5" xfId="31746" xr:uid="{00000000-0005-0000-0000-0000845F0000}"/>
    <cellStyle name="Normal 4 3 2 3 7" xfId="8263" xr:uid="{00000000-0005-0000-0000-0000855F0000}"/>
    <cellStyle name="Normal 4 3 2 3 7 2" xfId="8264" xr:uid="{00000000-0005-0000-0000-0000865F0000}"/>
    <cellStyle name="Normal 4 3 2 3 7 2 2" xfId="8265" xr:uid="{00000000-0005-0000-0000-0000875F0000}"/>
    <cellStyle name="Normal 4 3 2 3 7 2 2 2" xfId="31756" xr:uid="{00000000-0005-0000-0000-0000885F0000}"/>
    <cellStyle name="Normal 4 3 2 3 7 2 3" xfId="31755" xr:uid="{00000000-0005-0000-0000-0000895F0000}"/>
    <cellStyle name="Normal 4 3 2 3 7 3" xfId="8266" xr:uid="{00000000-0005-0000-0000-00008A5F0000}"/>
    <cellStyle name="Normal 4 3 2 3 7 3 2" xfId="31757" xr:uid="{00000000-0005-0000-0000-00008B5F0000}"/>
    <cellStyle name="Normal 4 3 2 3 7 4" xfId="31754" xr:uid="{00000000-0005-0000-0000-00008C5F0000}"/>
    <cellStyle name="Normal 4 3 2 3 8" xfId="8267" xr:uid="{00000000-0005-0000-0000-00008D5F0000}"/>
    <cellStyle name="Normal 4 3 2 3 8 2" xfId="8268" xr:uid="{00000000-0005-0000-0000-00008E5F0000}"/>
    <cellStyle name="Normal 4 3 2 3 8 2 2" xfId="31759" xr:uid="{00000000-0005-0000-0000-00008F5F0000}"/>
    <cellStyle name="Normal 4 3 2 3 8 3" xfId="31758" xr:uid="{00000000-0005-0000-0000-0000905F0000}"/>
    <cellStyle name="Normal 4 3 2 3 9" xfId="8269" xr:uid="{00000000-0005-0000-0000-0000915F0000}"/>
    <cellStyle name="Normal 4 3 2 3 9 2" xfId="31760" xr:uid="{00000000-0005-0000-0000-0000925F0000}"/>
    <cellStyle name="Normal 4 3 2 4" xfId="8270" xr:uid="{00000000-0005-0000-0000-0000935F0000}"/>
    <cellStyle name="Normal 4 3 2 4 10" xfId="31761" xr:uid="{00000000-0005-0000-0000-0000945F0000}"/>
    <cellStyle name="Normal 4 3 2 4 2" xfId="8271" xr:uid="{00000000-0005-0000-0000-0000955F0000}"/>
    <cellStyle name="Normal 4 3 2 4 2 2" xfId="8272" xr:uid="{00000000-0005-0000-0000-0000965F0000}"/>
    <cellStyle name="Normal 4 3 2 4 2 2 2" xfId="8273" xr:uid="{00000000-0005-0000-0000-0000975F0000}"/>
    <cellStyle name="Normal 4 3 2 4 2 2 2 2" xfId="8274" xr:uid="{00000000-0005-0000-0000-0000985F0000}"/>
    <cellStyle name="Normal 4 3 2 4 2 2 2 2 2" xfId="8275" xr:uid="{00000000-0005-0000-0000-0000995F0000}"/>
    <cellStyle name="Normal 4 3 2 4 2 2 2 2 2 2" xfId="31766" xr:uid="{00000000-0005-0000-0000-00009A5F0000}"/>
    <cellStyle name="Normal 4 3 2 4 2 2 2 2 3" xfId="31765" xr:uid="{00000000-0005-0000-0000-00009B5F0000}"/>
    <cellStyle name="Normal 4 3 2 4 2 2 2 3" xfId="8276" xr:uid="{00000000-0005-0000-0000-00009C5F0000}"/>
    <cellStyle name="Normal 4 3 2 4 2 2 2 3 2" xfId="31767" xr:uid="{00000000-0005-0000-0000-00009D5F0000}"/>
    <cellStyle name="Normal 4 3 2 4 2 2 2 4" xfId="31764" xr:uid="{00000000-0005-0000-0000-00009E5F0000}"/>
    <cellStyle name="Normal 4 3 2 4 2 2 3" xfId="8277" xr:uid="{00000000-0005-0000-0000-00009F5F0000}"/>
    <cellStyle name="Normal 4 3 2 4 2 2 3 2" xfId="8278" xr:uid="{00000000-0005-0000-0000-0000A05F0000}"/>
    <cellStyle name="Normal 4 3 2 4 2 2 3 2 2" xfId="31769" xr:uid="{00000000-0005-0000-0000-0000A15F0000}"/>
    <cellStyle name="Normal 4 3 2 4 2 2 3 3" xfId="31768" xr:uid="{00000000-0005-0000-0000-0000A25F0000}"/>
    <cellStyle name="Normal 4 3 2 4 2 2 4" xfId="8279" xr:uid="{00000000-0005-0000-0000-0000A35F0000}"/>
    <cellStyle name="Normal 4 3 2 4 2 2 4 2" xfId="31770" xr:uid="{00000000-0005-0000-0000-0000A45F0000}"/>
    <cellStyle name="Normal 4 3 2 4 2 2 5" xfId="31763" xr:uid="{00000000-0005-0000-0000-0000A55F0000}"/>
    <cellStyle name="Normal 4 3 2 4 2 3" xfId="8280" xr:uid="{00000000-0005-0000-0000-0000A65F0000}"/>
    <cellStyle name="Normal 4 3 2 4 2 3 2" xfId="8281" xr:uid="{00000000-0005-0000-0000-0000A75F0000}"/>
    <cellStyle name="Normal 4 3 2 4 2 3 2 2" xfId="8282" xr:uid="{00000000-0005-0000-0000-0000A85F0000}"/>
    <cellStyle name="Normal 4 3 2 4 2 3 2 2 2" xfId="8283" xr:uid="{00000000-0005-0000-0000-0000A95F0000}"/>
    <cellStyle name="Normal 4 3 2 4 2 3 2 2 2 2" xfId="31774" xr:uid="{00000000-0005-0000-0000-0000AA5F0000}"/>
    <cellStyle name="Normal 4 3 2 4 2 3 2 2 3" xfId="31773" xr:uid="{00000000-0005-0000-0000-0000AB5F0000}"/>
    <cellStyle name="Normal 4 3 2 4 2 3 2 3" xfId="8284" xr:uid="{00000000-0005-0000-0000-0000AC5F0000}"/>
    <cellStyle name="Normal 4 3 2 4 2 3 2 3 2" xfId="31775" xr:uid="{00000000-0005-0000-0000-0000AD5F0000}"/>
    <cellStyle name="Normal 4 3 2 4 2 3 2 4" xfId="31772" xr:uid="{00000000-0005-0000-0000-0000AE5F0000}"/>
    <cellStyle name="Normal 4 3 2 4 2 3 3" xfId="8285" xr:uid="{00000000-0005-0000-0000-0000AF5F0000}"/>
    <cellStyle name="Normal 4 3 2 4 2 3 3 2" xfId="8286" xr:uid="{00000000-0005-0000-0000-0000B05F0000}"/>
    <cellStyle name="Normal 4 3 2 4 2 3 3 2 2" xfId="31777" xr:uid="{00000000-0005-0000-0000-0000B15F0000}"/>
    <cellStyle name="Normal 4 3 2 4 2 3 3 3" xfId="31776" xr:uid="{00000000-0005-0000-0000-0000B25F0000}"/>
    <cellStyle name="Normal 4 3 2 4 2 3 4" xfId="8287" xr:uid="{00000000-0005-0000-0000-0000B35F0000}"/>
    <cellStyle name="Normal 4 3 2 4 2 3 4 2" xfId="31778" xr:uid="{00000000-0005-0000-0000-0000B45F0000}"/>
    <cellStyle name="Normal 4 3 2 4 2 3 5" xfId="31771" xr:uid="{00000000-0005-0000-0000-0000B55F0000}"/>
    <cellStyle name="Normal 4 3 2 4 2 4" xfId="8288" xr:uid="{00000000-0005-0000-0000-0000B65F0000}"/>
    <cellStyle name="Normal 4 3 2 4 2 4 2" xfId="8289" xr:uid="{00000000-0005-0000-0000-0000B75F0000}"/>
    <cellStyle name="Normal 4 3 2 4 2 4 2 2" xfId="8290" xr:uid="{00000000-0005-0000-0000-0000B85F0000}"/>
    <cellStyle name="Normal 4 3 2 4 2 4 2 2 2" xfId="31781" xr:uid="{00000000-0005-0000-0000-0000B95F0000}"/>
    <cellStyle name="Normal 4 3 2 4 2 4 2 3" xfId="31780" xr:uid="{00000000-0005-0000-0000-0000BA5F0000}"/>
    <cellStyle name="Normal 4 3 2 4 2 4 3" xfId="8291" xr:uid="{00000000-0005-0000-0000-0000BB5F0000}"/>
    <cellStyle name="Normal 4 3 2 4 2 4 3 2" xfId="31782" xr:uid="{00000000-0005-0000-0000-0000BC5F0000}"/>
    <cellStyle name="Normal 4 3 2 4 2 4 4" xfId="31779" xr:uid="{00000000-0005-0000-0000-0000BD5F0000}"/>
    <cellStyle name="Normal 4 3 2 4 2 5" xfId="8292" xr:uid="{00000000-0005-0000-0000-0000BE5F0000}"/>
    <cellStyle name="Normal 4 3 2 4 2 5 2" xfId="8293" xr:uid="{00000000-0005-0000-0000-0000BF5F0000}"/>
    <cellStyle name="Normal 4 3 2 4 2 5 2 2" xfId="31784" xr:uid="{00000000-0005-0000-0000-0000C05F0000}"/>
    <cellStyle name="Normal 4 3 2 4 2 5 3" xfId="31783" xr:uid="{00000000-0005-0000-0000-0000C15F0000}"/>
    <cellStyle name="Normal 4 3 2 4 2 6" xfId="8294" xr:uid="{00000000-0005-0000-0000-0000C25F0000}"/>
    <cellStyle name="Normal 4 3 2 4 2 6 2" xfId="31785" xr:uid="{00000000-0005-0000-0000-0000C35F0000}"/>
    <cellStyle name="Normal 4 3 2 4 2 7" xfId="31762" xr:uid="{00000000-0005-0000-0000-0000C45F0000}"/>
    <cellStyle name="Normal 4 3 2 4 3" xfId="8295" xr:uid="{00000000-0005-0000-0000-0000C55F0000}"/>
    <cellStyle name="Normal 4 3 2 4 3 2" xfId="8296" xr:uid="{00000000-0005-0000-0000-0000C65F0000}"/>
    <cellStyle name="Normal 4 3 2 4 3 2 2" xfId="8297" xr:uid="{00000000-0005-0000-0000-0000C75F0000}"/>
    <cellStyle name="Normal 4 3 2 4 3 2 2 2" xfId="8298" xr:uid="{00000000-0005-0000-0000-0000C85F0000}"/>
    <cellStyle name="Normal 4 3 2 4 3 2 2 2 2" xfId="8299" xr:uid="{00000000-0005-0000-0000-0000C95F0000}"/>
    <cellStyle name="Normal 4 3 2 4 3 2 2 2 2 2" xfId="31790" xr:uid="{00000000-0005-0000-0000-0000CA5F0000}"/>
    <cellStyle name="Normal 4 3 2 4 3 2 2 2 3" xfId="31789" xr:uid="{00000000-0005-0000-0000-0000CB5F0000}"/>
    <cellStyle name="Normal 4 3 2 4 3 2 2 3" xfId="8300" xr:uid="{00000000-0005-0000-0000-0000CC5F0000}"/>
    <cellStyle name="Normal 4 3 2 4 3 2 2 3 2" xfId="31791" xr:uid="{00000000-0005-0000-0000-0000CD5F0000}"/>
    <cellStyle name="Normal 4 3 2 4 3 2 2 4" xfId="31788" xr:uid="{00000000-0005-0000-0000-0000CE5F0000}"/>
    <cellStyle name="Normal 4 3 2 4 3 2 3" xfId="8301" xr:uid="{00000000-0005-0000-0000-0000CF5F0000}"/>
    <cellStyle name="Normal 4 3 2 4 3 2 3 2" xfId="8302" xr:uid="{00000000-0005-0000-0000-0000D05F0000}"/>
    <cellStyle name="Normal 4 3 2 4 3 2 3 2 2" xfId="31793" xr:uid="{00000000-0005-0000-0000-0000D15F0000}"/>
    <cellStyle name="Normal 4 3 2 4 3 2 3 3" xfId="31792" xr:uid="{00000000-0005-0000-0000-0000D25F0000}"/>
    <cellStyle name="Normal 4 3 2 4 3 2 4" xfId="8303" xr:uid="{00000000-0005-0000-0000-0000D35F0000}"/>
    <cellStyle name="Normal 4 3 2 4 3 2 4 2" xfId="31794" xr:uid="{00000000-0005-0000-0000-0000D45F0000}"/>
    <cellStyle name="Normal 4 3 2 4 3 2 5" xfId="31787" xr:uid="{00000000-0005-0000-0000-0000D55F0000}"/>
    <cellStyle name="Normal 4 3 2 4 3 3" xfId="8304" xr:uid="{00000000-0005-0000-0000-0000D65F0000}"/>
    <cellStyle name="Normal 4 3 2 4 3 3 2" xfId="8305" xr:uid="{00000000-0005-0000-0000-0000D75F0000}"/>
    <cellStyle name="Normal 4 3 2 4 3 3 2 2" xfId="8306" xr:uid="{00000000-0005-0000-0000-0000D85F0000}"/>
    <cellStyle name="Normal 4 3 2 4 3 3 2 2 2" xfId="8307" xr:uid="{00000000-0005-0000-0000-0000D95F0000}"/>
    <cellStyle name="Normal 4 3 2 4 3 3 2 2 2 2" xfId="31798" xr:uid="{00000000-0005-0000-0000-0000DA5F0000}"/>
    <cellStyle name="Normal 4 3 2 4 3 3 2 2 3" xfId="31797" xr:uid="{00000000-0005-0000-0000-0000DB5F0000}"/>
    <cellStyle name="Normal 4 3 2 4 3 3 2 3" xfId="8308" xr:uid="{00000000-0005-0000-0000-0000DC5F0000}"/>
    <cellStyle name="Normal 4 3 2 4 3 3 2 3 2" xfId="31799" xr:uid="{00000000-0005-0000-0000-0000DD5F0000}"/>
    <cellStyle name="Normal 4 3 2 4 3 3 2 4" xfId="31796" xr:uid="{00000000-0005-0000-0000-0000DE5F0000}"/>
    <cellStyle name="Normal 4 3 2 4 3 3 3" xfId="8309" xr:uid="{00000000-0005-0000-0000-0000DF5F0000}"/>
    <cellStyle name="Normal 4 3 2 4 3 3 3 2" xfId="8310" xr:uid="{00000000-0005-0000-0000-0000E05F0000}"/>
    <cellStyle name="Normal 4 3 2 4 3 3 3 2 2" xfId="31801" xr:uid="{00000000-0005-0000-0000-0000E15F0000}"/>
    <cellStyle name="Normal 4 3 2 4 3 3 3 3" xfId="31800" xr:uid="{00000000-0005-0000-0000-0000E25F0000}"/>
    <cellStyle name="Normal 4 3 2 4 3 3 4" xfId="8311" xr:uid="{00000000-0005-0000-0000-0000E35F0000}"/>
    <cellStyle name="Normal 4 3 2 4 3 3 4 2" xfId="31802" xr:uid="{00000000-0005-0000-0000-0000E45F0000}"/>
    <cellStyle name="Normal 4 3 2 4 3 3 5" xfId="31795" xr:uid="{00000000-0005-0000-0000-0000E55F0000}"/>
    <cellStyle name="Normal 4 3 2 4 3 4" xfId="8312" xr:uid="{00000000-0005-0000-0000-0000E65F0000}"/>
    <cellStyle name="Normal 4 3 2 4 3 4 2" xfId="8313" xr:uid="{00000000-0005-0000-0000-0000E75F0000}"/>
    <cellStyle name="Normal 4 3 2 4 3 4 2 2" xfId="8314" xr:uid="{00000000-0005-0000-0000-0000E85F0000}"/>
    <cellStyle name="Normal 4 3 2 4 3 4 2 2 2" xfId="31805" xr:uid="{00000000-0005-0000-0000-0000E95F0000}"/>
    <cellStyle name="Normal 4 3 2 4 3 4 2 3" xfId="31804" xr:uid="{00000000-0005-0000-0000-0000EA5F0000}"/>
    <cellStyle name="Normal 4 3 2 4 3 4 3" xfId="8315" xr:uid="{00000000-0005-0000-0000-0000EB5F0000}"/>
    <cellStyle name="Normal 4 3 2 4 3 4 3 2" xfId="31806" xr:uid="{00000000-0005-0000-0000-0000EC5F0000}"/>
    <cellStyle name="Normal 4 3 2 4 3 4 4" xfId="31803" xr:uid="{00000000-0005-0000-0000-0000ED5F0000}"/>
    <cellStyle name="Normal 4 3 2 4 3 5" xfId="8316" xr:uid="{00000000-0005-0000-0000-0000EE5F0000}"/>
    <cellStyle name="Normal 4 3 2 4 3 5 2" xfId="8317" xr:uid="{00000000-0005-0000-0000-0000EF5F0000}"/>
    <cellStyle name="Normal 4 3 2 4 3 5 2 2" xfId="31808" xr:uid="{00000000-0005-0000-0000-0000F05F0000}"/>
    <cellStyle name="Normal 4 3 2 4 3 5 3" xfId="31807" xr:uid="{00000000-0005-0000-0000-0000F15F0000}"/>
    <cellStyle name="Normal 4 3 2 4 3 6" xfId="8318" xr:uid="{00000000-0005-0000-0000-0000F25F0000}"/>
    <cellStyle name="Normal 4 3 2 4 3 6 2" xfId="31809" xr:uid="{00000000-0005-0000-0000-0000F35F0000}"/>
    <cellStyle name="Normal 4 3 2 4 3 7" xfId="31786" xr:uid="{00000000-0005-0000-0000-0000F45F0000}"/>
    <cellStyle name="Normal 4 3 2 4 4" xfId="8319" xr:uid="{00000000-0005-0000-0000-0000F55F0000}"/>
    <cellStyle name="Normal 4 3 2 4 4 2" xfId="8320" xr:uid="{00000000-0005-0000-0000-0000F65F0000}"/>
    <cellStyle name="Normal 4 3 2 4 4 2 2" xfId="8321" xr:uid="{00000000-0005-0000-0000-0000F75F0000}"/>
    <cellStyle name="Normal 4 3 2 4 4 2 2 2" xfId="8322" xr:uid="{00000000-0005-0000-0000-0000F85F0000}"/>
    <cellStyle name="Normal 4 3 2 4 4 2 2 2 2" xfId="8323" xr:uid="{00000000-0005-0000-0000-0000F95F0000}"/>
    <cellStyle name="Normal 4 3 2 4 4 2 2 2 2 2" xfId="31814" xr:uid="{00000000-0005-0000-0000-0000FA5F0000}"/>
    <cellStyle name="Normal 4 3 2 4 4 2 2 2 3" xfId="31813" xr:uid="{00000000-0005-0000-0000-0000FB5F0000}"/>
    <cellStyle name="Normal 4 3 2 4 4 2 2 3" xfId="8324" xr:uid="{00000000-0005-0000-0000-0000FC5F0000}"/>
    <cellStyle name="Normal 4 3 2 4 4 2 2 3 2" xfId="31815" xr:uid="{00000000-0005-0000-0000-0000FD5F0000}"/>
    <cellStyle name="Normal 4 3 2 4 4 2 2 4" xfId="31812" xr:uid="{00000000-0005-0000-0000-0000FE5F0000}"/>
    <cellStyle name="Normal 4 3 2 4 4 2 3" xfId="8325" xr:uid="{00000000-0005-0000-0000-0000FF5F0000}"/>
    <cellStyle name="Normal 4 3 2 4 4 2 3 2" xfId="8326" xr:uid="{00000000-0005-0000-0000-000000600000}"/>
    <cellStyle name="Normal 4 3 2 4 4 2 3 2 2" xfId="31817" xr:uid="{00000000-0005-0000-0000-000001600000}"/>
    <cellStyle name="Normal 4 3 2 4 4 2 3 3" xfId="31816" xr:uid="{00000000-0005-0000-0000-000002600000}"/>
    <cellStyle name="Normal 4 3 2 4 4 2 4" xfId="8327" xr:uid="{00000000-0005-0000-0000-000003600000}"/>
    <cellStyle name="Normal 4 3 2 4 4 2 4 2" xfId="31818" xr:uid="{00000000-0005-0000-0000-000004600000}"/>
    <cellStyle name="Normal 4 3 2 4 4 2 5" xfId="31811" xr:uid="{00000000-0005-0000-0000-000005600000}"/>
    <cellStyle name="Normal 4 3 2 4 4 3" xfId="8328" xr:uid="{00000000-0005-0000-0000-000006600000}"/>
    <cellStyle name="Normal 4 3 2 4 4 3 2" xfId="8329" xr:uid="{00000000-0005-0000-0000-000007600000}"/>
    <cellStyle name="Normal 4 3 2 4 4 3 2 2" xfId="8330" xr:uid="{00000000-0005-0000-0000-000008600000}"/>
    <cellStyle name="Normal 4 3 2 4 4 3 2 2 2" xfId="8331" xr:uid="{00000000-0005-0000-0000-000009600000}"/>
    <cellStyle name="Normal 4 3 2 4 4 3 2 2 2 2" xfId="31822" xr:uid="{00000000-0005-0000-0000-00000A600000}"/>
    <cellStyle name="Normal 4 3 2 4 4 3 2 2 3" xfId="31821" xr:uid="{00000000-0005-0000-0000-00000B600000}"/>
    <cellStyle name="Normal 4 3 2 4 4 3 2 3" xfId="8332" xr:uid="{00000000-0005-0000-0000-00000C600000}"/>
    <cellStyle name="Normal 4 3 2 4 4 3 2 3 2" xfId="31823" xr:uid="{00000000-0005-0000-0000-00000D600000}"/>
    <cellStyle name="Normal 4 3 2 4 4 3 2 4" xfId="31820" xr:uid="{00000000-0005-0000-0000-00000E600000}"/>
    <cellStyle name="Normal 4 3 2 4 4 3 3" xfId="8333" xr:uid="{00000000-0005-0000-0000-00000F600000}"/>
    <cellStyle name="Normal 4 3 2 4 4 3 3 2" xfId="8334" xr:uid="{00000000-0005-0000-0000-000010600000}"/>
    <cellStyle name="Normal 4 3 2 4 4 3 3 2 2" xfId="31825" xr:uid="{00000000-0005-0000-0000-000011600000}"/>
    <cellStyle name="Normal 4 3 2 4 4 3 3 3" xfId="31824" xr:uid="{00000000-0005-0000-0000-000012600000}"/>
    <cellStyle name="Normal 4 3 2 4 4 3 4" xfId="8335" xr:uid="{00000000-0005-0000-0000-000013600000}"/>
    <cellStyle name="Normal 4 3 2 4 4 3 4 2" xfId="31826" xr:uid="{00000000-0005-0000-0000-000014600000}"/>
    <cellStyle name="Normal 4 3 2 4 4 3 5" xfId="31819" xr:uid="{00000000-0005-0000-0000-000015600000}"/>
    <cellStyle name="Normal 4 3 2 4 4 4" xfId="8336" xr:uid="{00000000-0005-0000-0000-000016600000}"/>
    <cellStyle name="Normal 4 3 2 4 4 4 2" xfId="8337" xr:uid="{00000000-0005-0000-0000-000017600000}"/>
    <cellStyle name="Normal 4 3 2 4 4 4 2 2" xfId="8338" xr:uid="{00000000-0005-0000-0000-000018600000}"/>
    <cellStyle name="Normal 4 3 2 4 4 4 2 2 2" xfId="31829" xr:uid="{00000000-0005-0000-0000-000019600000}"/>
    <cellStyle name="Normal 4 3 2 4 4 4 2 3" xfId="31828" xr:uid="{00000000-0005-0000-0000-00001A600000}"/>
    <cellStyle name="Normal 4 3 2 4 4 4 3" xfId="8339" xr:uid="{00000000-0005-0000-0000-00001B600000}"/>
    <cellStyle name="Normal 4 3 2 4 4 4 3 2" xfId="31830" xr:uid="{00000000-0005-0000-0000-00001C600000}"/>
    <cellStyle name="Normal 4 3 2 4 4 4 4" xfId="31827" xr:uid="{00000000-0005-0000-0000-00001D600000}"/>
    <cellStyle name="Normal 4 3 2 4 4 5" xfId="8340" xr:uid="{00000000-0005-0000-0000-00001E600000}"/>
    <cellStyle name="Normal 4 3 2 4 4 5 2" xfId="8341" xr:uid="{00000000-0005-0000-0000-00001F600000}"/>
    <cellStyle name="Normal 4 3 2 4 4 5 2 2" xfId="31832" xr:uid="{00000000-0005-0000-0000-000020600000}"/>
    <cellStyle name="Normal 4 3 2 4 4 5 3" xfId="31831" xr:uid="{00000000-0005-0000-0000-000021600000}"/>
    <cellStyle name="Normal 4 3 2 4 4 6" xfId="8342" xr:uid="{00000000-0005-0000-0000-000022600000}"/>
    <cellStyle name="Normal 4 3 2 4 4 6 2" xfId="31833" xr:uid="{00000000-0005-0000-0000-000023600000}"/>
    <cellStyle name="Normal 4 3 2 4 4 7" xfId="31810" xr:uid="{00000000-0005-0000-0000-000024600000}"/>
    <cellStyle name="Normal 4 3 2 4 5" xfId="8343" xr:uid="{00000000-0005-0000-0000-000025600000}"/>
    <cellStyle name="Normal 4 3 2 4 5 2" xfId="8344" xr:uid="{00000000-0005-0000-0000-000026600000}"/>
    <cellStyle name="Normal 4 3 2 4 5 2 2" xfId="8345" xr:uid="{00000000-0005-0000-0000-000027600000}"/>
    <cellStyle name="Normal 4 3 2 4 5 2 2 2" xfId="8346" xr:uid="{00000000-0005-0000-0000-000028600000}"/>
    <cellStyle name="Normal 4 3 2 4 5 2 2 2 2" xfId="31837" xr:uid="{00000000-0005-0000-0000-000029600000}"/>
    <cellStyle name="Normal 4 3 2 4 5 2 2 3" xfId="31836" xr:uid="{00000000-0005-0000-0000-00002A600000}"/>
    <cellStyle name="Normal 4 3 2 4 5 2 3" xfId="8347" xr:uid="{00000000-0005-0000-0000-00002B600000}"/>
    <cellStyle name="Normal 4 3 2 4 5 2 3 2" xfId="31838" xr:uid="{00000000-0005-0000-0000-00002C600000}"/>
    <cellStyle name="Normal 4 3 2 4 5 2 4" xfId="31835" xr:uid="{00000000-0005-0000-0000-00002D600000}"/>
    <cellStyle name="Normal 4 3 2 4 5 3" xfId="8348" xr:uid="{00000000-0005-0000-0000-00002E600000}"/>
    <cellStyle name="Normal 4 3 2 4 5 3 2" xfId="8349" xr:uid="{00000000-0005-0000-0000-00002F600000}"/>
    <cellStyle name="Normal 4 3 2 4 5 3 2 2" xfId="31840" xr:uid="{00000000-0005-0000-0000-000030600000}"/>
    <cellStyle name="Normal 4 3 2 4 5 3 3" xfId="31839" xr:uid="{00000000-0005-0000-0000-000031600000}"/>
    <cellStyle name="Normal 4 3 2 4 5 4" xfId="8350" xr:uid="{00000000-0005-0000-0000-000032600000}"/>
    <cellStyle name="Normal 4 3 2 4 5 4 2" xfId="31841" xr:uid="{00000000-0005-0000-0000-000033600000}"/>
    <cellStyle name="Normal 4 3 2 4 5 5" xfId="31834" xr:uid="{00000000-0005-0000-0000-000034600000}"/>
    <cellStyle name="Normal 4 3 2 4 6" xfId="8351" xr:uid="{00000000-0005-0000-0000-000035600000}"/>
    <cellStyle name="Normal 4 3 2 4 6 2" xfId="8352" xr:uid="{00000000-0005-0000-0000-000036600000}"/>
    <cellStyle name="Normal 4 3 2 4 6 2 2" xfId="8353" xr:uid="{00000000-0005-0000-0000-000037600000}"/>
    <cellStyle name="Normal 4 3 2 4 6 2 2 2" xfId="8354" xr:uid="{00000000-0005-0000-0000-000038600000}"/>
    <cellStyle name="Normal 4 3 2 4 6 2 2 2 2" xfId="31845" xr:uid="{00000000-0005-0000-0000-000039600000}"/>
    <cellStyle name="Normal 4 3 2 4 6 2 2 3" xfId="31844" xr:uid="{00000000-0005-0000-0000-00003A600000}"/>
    <cellStyle name="Normal 4 3 2 4 6 2 3" xfId="8355" xr:uid="{00000000-0005-0000-0000-00003B600000}"/>
    <cellStyle name="Normal 4 3 2 4 6 2 3 2" xfId="31846" xr:uid="{00000000-0005-0000-0000-00003C600000}"/>
    <cellStyle name="Normal 4 3 2 4 6 2 4" xfId="31843" xr:uid="{00000000-0005-0000-0000-00003D600000}"/>
    <cellStyle name="Normal 4 3 2 4 6 3" xfId="8356" xr:uid="{00000000-0005-0000-0000-00003E600000}"/>
    <cellStyle name="Normal 4 3 2 4 6 3 2" xfId="8357" xr:uid="{00000000-0005-0000-0000-00003F600000}"/>
    <cellStyle name="Normal 4 3 2 4 6 3 2 2" xfId="31848" xr:uid="{00000000-0005-0000-0000-000040600000}"/>
    <cellStyle name="Normal 4 3 2 4 6 3 3" xfId="31847" xr:uid="{00000000-0005-0000-0000-000041600000}"/>
    <cellStyle name="Normal 4 3 2 4 6 4" xfId="8358" xr:uid="{00000000-0005-0000-0000-000042600000}"/>
    <cellStyle name="Normal 4 3 2 4 6 4 2" xfId="31849" xr:uid="{00000000-0005-0000-0000-000043600000}"/>
    <cellStyle name="Normal 4 3 2 4 6 5" xfId="31842" xr:uid="{00000000-0005-0000-0000-000044600000}"/>
    <cellStyle name="Normal 4 3 2 4 7" xfId="8359" xr:uid="{00000000-0005-0000-0000-000045600000}"/>
    <cellStyle name="Normal 4 3 2 4 7 2" xfId="8360" xr:uid="{00000000-0005-0000-0000-000046600000}"/>
    <cellStyle name="Normal 4 3 2 4 7 2 2" xfId="8361" xr:uid="{00000000-0005-0000-0000-000047600000}"/>
    <cellStyle name="Normal 4 3 2 4 7 2 2 2" xfId="31852" xr:uid="{00000000-0005-0000-0000-000048600000}"/>
    <cellStyle name="Normal 4 3 2 4 7 2 3" xfId="31851" xr:uid="{00000000-0005-0000-0000-000049600000}"/>
    <cellStyle name="Normal 4 3 2 4 7 3" xfId="8362" xr:uid="{00000000-0005-0000-0000-00004A600000}"/>
    <cellStyle name="Normal 4 3 2 4 7 3 2" xfId="31853" xr:uid="{00000000-0005-0000-0000-00004B600000}"/>
    <cellStyle name="Normal 4 3 2 4 7 4" xfId="31850" xr:uid="{00000000-0005-0000-0000-00004C600000}"/>
    <cellStyle name="Normal 4 3 2 4 8" xfId="8363" xr:uid="{00000000-0005-0000-0000-00004D600000}"/>
    <cellStyle name="Normal 4 3 2 4 8 2" xfId="8364" xr:uid="{00000000-0005-0000-0000-00004E600000}"/>
    <cellStyle name="Normal 4 3 2 4 8 2 2" xfId="31855" xr:uid="{00000000-0005-0000-0000-00004F600000}"/>
    <cellStyle name="Normal 4 3 2 4 8 3" xfId="31854" xr:uid="{00000000-0005-0000-0000-000050600000}"/>
    <cellStyle name="Normal 4 3 2 4 9" xfId="8365" xr:uid="{00000000-0005-0000-0000-000051600000}"/>
    <cellStyle name="Normal 4 3 2 4 9 2" xfId="31856" xr:uid="{00000000-0005-0000-0000-000052600000}"/>
    <cellStyle name="Normal 4 3 2 5" xfId="8366" xr:uid="{00000000-0005-0000-0000-000053600000}"/>
    <cellStyle name="Normal 4 3 2 5 2" xfId="8367" xr:uid="{00000000-0005-0000-0000-000054600000}"/>
    <cellStyle name="Normal 4 3 2 5 2 2" xfId="8368" xr:uid="{00000000-0005-0000-0000-000055600000}"/>
    <cellStyle name="Normal 4 3 2 5 2 2 2" xfId="8369" xr:uid="{00000000-0005-0000-0000-000056600000}"/>
    <cellStyle name="Normal 4 3 2 5 2 2 2 2" xfId="8370" xr:uid="{00000000-0005-0000-0000-000057600000}"/>
    <cellStyle name="Normal 4 3 2 5 2 2 2 2 2" xfId="31861" xr:uid="{00000000-0005-0000-0000-000058600000}"/>
    <cellStyle name="Normal 4 3 2 5 2 2 2 3" xfId="31860" xr:uid="{00000000-0005-0000-0000-000059600000}"/>
    <cellStyle name="Normal 4 3 2 5 2 2 3" xfId="8371" xr:uid="{00000000-0005-0000-0000-00005A600000}"/>
    <cellStyle name="Normal 4 3 2 5 2 2 3 2" xfId="31862" xr:uid="{00000000-0005-0000-0000-00005B600000}"/>
    <cellStyle name="Normal 4 3 2 5 2 2 4" xfId="31859" xr:uid="{00000000-0005-0000-0000-00005C600000}"/>
    <cellStyle name="Normal 4 3 2 5 2 3" xfId="8372" xr:uid="{00000000-0005-0000-0000-00005D600000}"/>
    <cellStyle name="Normal 4 3 2 5 2 3 2" xfId="8373" xr:uid="{00000000-0005-0000-0000-00005E600000}"/>
    <cellStyle name="Normal 4 3 2 5 2 3 2 2" xfId="31864" xr:uid="{00000000-0005-0000-0000-00005F600000}"/>
    <cellStyle name="Normal 4 3 2 5 2 3 3" xfId="31863" xr:uid="{00000000-0005-0000-0000-000060600000}"/>
    <cellStyle name="Normal 4 3 2 5 2 4" xfId="8374" xr:uid="{00000000-0005-0000-0000-000061600000}"/>
    <cellStyle name="Normal 4 3 2 5 2 4 2" xfId="31865" xr:uid="{00000000-0005-0000-0000-000062600000}"/>
    <cellStyle name="Normal 4 3 2 5 2 5" xfId="31858" xr:uid="{00000000-0005-0000-0000-000063600000}"/>
    <cellStyle name="Normal 4 3 2 5 3" xfId="8375" xr:uid="{00000000-0005-0000-0000-000064600000}"/>
    <cellStyle name="Normal 4 3 2 5 3 2" xfId="8376" xr:uid="{00000000-0005-0000-0000-000065600000}"/>
    <cellStyle name="Normal 4 3 2 5 3 2 2" xfId="8377" xr:uid="{00000000-0005-0000-0000-000066600000}"/>
    <cellStyle name="Normal 4 3 2 5 3 2 2 2" xfId="8378" xr:uid="{00000000-0005-0000-0000-000067600000}"/>
    <cellStyle name="Normal 4 3 2 5 3 2 2 2 2" xfId="31869" xr:uid="{00000000-0005-0000-0000-000068600000}"/>
    <cellStyle name="Normal 4 3 2 5 3 2 2 3" xfId="31868" xr:uid="{00000000-0005-0000-0000-000069600000}"/>
    <cellStyle name="Normal 4 3 2 5 3 2 3" xfId="8379" xr:uid="{00000000-0005-0000-0000-00006A600000}"/>
    <cellStyle name="Normal 4 3 2 5 3 2 3 2" xfId="31870" xr:uid="{00000000-0005-0000-0000-00006B600000}"/>
    <cellStyle name="Normal 4 3 2 5 3 2 4" xfId="31867" xr:uid="{00000000-0005-0000-0000-00006C600000}"/>
    <cellStyle name="Normal 4 3 2 5 3 3" xfId="8380" xr:uid="{00000000-0005-0000-0000-00006D600000}"/>
    <cellStyle name="Normal 4 3 2 5 3 3 2" xfId="8381" xr:uid="{00000000-0005-0000-0000-00006E600000}"/>
    <cellStyle name="Normal 4 3 2 5 3 3 2 2" xfId="31872" xr:uid="{00000000-0005-0000-0000-00006F600000}"/>
    <cellStyle name="Normal 4 3 2 5 3 3 3" xfId="31871" xr:uid="{00000000-0005-0000-0000-000070600000}"/>
    <cellStyle name="Normal 4 3 2 5 3 4" xfId="8382" xr:uid="{00000000-0005-0000-0000-000071600000}"/>
    <cellStyle name="Normal 4 3 2 5 3 4 2" xfId="31873" xr:uid="{00000000-0005-0000-0000-000072600000}"/>
    <cellStyle name="Normal 4 3 2 5 3 5" xfId="31866" xr:uid="{00000000-0005-0000-0000-000073600000}"/>
    <cellStyle name="Normal 4 3 2 5 4" xfId="8383" xr:uid="{00000000-0005-0000-0000-000074600000}"/>
    <cellStyle name="Normal 4 3 2 5 4 2" xfId="8384" xr:uid="{00000000-0005-0000-0000-000075600000}"/>
    <cellStyle name="Normal 4 3 2 5 4 2 2" xfId="8385" xr:uid="{00000000-0005-0000-0000-000076600000}"/>
    <cellStyle name="Normal 4 3 2 5 4 2 2 2" xfId="31876" xr:uid="{00000000-0005-0000-0000-000077600000}"/>
    <cellStyle name="Normal 4 3 2 5 4 2 3" xfId="31875" xr:uid="{00000000-0005-0000-0000-000078600000}"/>
    <cellStyle name="Normal 4 3 2 5 4 3" xfId="8386" xr:uid="{00000000-0005-0000-0000-000079600000}"/>
    <cellStyle name="Normal 4 3 2 5 4 3 2" xfId="31877" xr:uid="{00000000-0005-0000-0000-00007A600000}"/>
    <cellStyle name="Normal 4 3 2 5 4 4" xfId="31874" xr:uid="{00000000-0005-0000-0000-00007B600000}"/>
    <cellStyle name="Normal 4 3 2 5 5" xfId="8387" xr:uid="{00000000-0005-0000-0000-00007C600000}"/>
    <cellStyle name="Normal 4 3 2 5 5 2" xfId="8388" xr:uid="{00000000-0005-0000-0000-00007D600000}"/>
    <cellStyle name="Normal 4 3 2 5 5 2 2" xfId="31879" xr:uid="{00000000-0005-0000-0000-00007E600000}"/>
    <cellStyle name="Normal 4 3 2 5 5 3" xfId="31878" xr:uid="{00000000-0005-0000-0000-00007F600000}"/>
    <cellStyle name="Normal 4 3 2 5 6" xfId="8389" xr:uid="{00000000-0005-0000-0000-000080600000}"/>
    <cellStyle name="Normal 4 3 2 5 6 2" xfId="31880" xr:uid="{00000000-0005-0000-0000-000081600000}"/>
    <cellStyle name="Normal 4 3 2 5 7" xfId="31857" xr:uid="{00000000-0005-0000-0000-000082600000}"/>
    <cellStyle name="Normal 4 3 2 6" xfId="8390" xr:uid="{00000000-0005-0000-0000-000083600000}"/>
    <cellStyle name="Normal 4 3 2 6 2" xfId="8391" xr:uid="{00000000-0005-0000-0000-000084600000}"/>
    <cellStyle name="Normal 4 3 2 6 2 2" xfId="8392" xr:uid="{00000000-0005-0000-0000-000085600000}"/>
    <cellStyle name="Normal 4 3 2 6 2 2 2" xfId="8393" xr:uid="{00000000-0005-0000-0000-000086600000}"/>
    <cellStyle name="Normal 4 3 2 6 2 2 2 2" xfId="8394" xr:uid="{00000000-0005-0000-0000-000087600000}"/>
    <cellStyle name="Normal 4 3 2 6 2 2 2 2 2" xfId="31885" xr:uid="{00000000-0005-0000-0000-000088600000}"/>
    <cellStyle name="Normal 4 3 2 6 2 2 2 3" xfId="31884" xr:uid="{00000000-0005-0000-0000-000089600000}"/>
    <cellStyle name="Normal 4 3 2 6 2 2 3" xfId="8395" xr:uid="{00000000-0005-0000-0000-00008A600000}"/>
    <cellStyle name="Normal 4 3 2 6 2 2 3 2" xfId="31886" xr:uid="{00000000-0005-0000-0000-00008B600000}"/>
    <cellStyle name="Normal 4 3 2 6 2 2 4" xfId="31883" xr:uid="{00000000-0005-0000-0000-00008C600000}"/>
    <cellStyle name="Normal 4 3 2 6 2 3" xfId="8396" xr:uid="{00000000-0005-0000-0000-00008D600000}"/>
    <cellStyle name="Normal 4 3 2 6 2 3 2" xfId="8397" xr:uid="{00000000-0005-0000-0000-00008E600000}"/>
    <cellStyle name="Normal 4 3 2 6 2 3 2 2" xfId="31888" xr:uid="{00000000-0005-0000-0000-00008F600000}"/>
    <cellStyle name="Normal 4 3 2 6 2 3 3" xfId="31887" xr:uid="{00000000-0005-0000-0000-000090600000}"/>
    <cellStyle name="Normal 4 3 2 6 2 4" xfId="8398" xr:uid="{00000000-0005-0000-0000-000091600000}"/>
    <cellStyle name="Normal 4 3 2 6 2 4 2" xfId="31889" xr:uid="{00000000-0005-0000-0000-000092600000}"/>
    <cellStyle name="Normal 4 3 2 6 2 5" xfId="31882" xr:uid="{00000000-0005-0000-0000-000093600000}"/>
    <cellStyle name="Normal 4 3 2 6 3" xfId="8399" xr:uid="{00000000-0005-0000-0000-000094600000}"/>
    <cellStyle name="Normal 4 3 2 6 3 2" xfId="8400" xr:uid="{00000000-0005-0000-0000-000095600000}"/>
    <cellStyle name="Normal 4 3 2 6 3 2 2" xfId="8401" xr:uid="{00000000-0005-0000-0000-000096600000}"/>
    <cellStyle name="Normal 4 3 2 6 3 2 2 2" xfId="8402" xr:uid="{00000000-0005-0000-0000-000097600000}"/>
    <cellStyle name="Normal 4 3 2 6 3 2 2 2 2" xfId="31893" xr:uid="{00000000-0005-0000-0000-000098600000}"/>
    <cellStyle name="Normal 4 3 2 6 3 2 2 3" xfId="31892" xr:uid="{00000000-0005-0000-0000-000099600000}"/>
    <cellStyle name="Normal 4 3 2 6 3 2 3" xfId="8403" xr:uid="{00000000-0005-0000-0000-00009A600000}"/>
    <cellStyle name="Normal 4 3 2 6 3 2 3 2" xfId="31894" xr:uid="{00000000-0005-0000-0000-00009B600000}"/>
    <cellStyle name="Normal 4 3 2 6 3 2 4" xfId="31891" xr:uid="{00000000-0005-0000-0000-00009C600000}"/>
    <cellStyle name="Normal 4 3 2 6 3 3" xfId="8404" xr:uid="{00000000-0005-0000-0000-00009D600000}"/>
    <cellStyle name="Normal 4 3 2 6 3 3 2" xfId="8405" xr:uid="{00000000-0005-0000-0000-00009E600000}"/>
    <cellStyle name="Normal 4 3 2 6 3 3 2 2" xfId="31896" xr:uid="{00000000-0005-0000-0000-00009F600000}"/>
    <cellStyle name="Normal 4 3 2 6 3 3 3" xfId="31895" xr:uid="{00000000-0005-0000-0000-0000A0600000}"/>
    <cellStyle name="Normal 4 3 2 6 3 4" xfId="8406" xr:uid="{00000000-0005-0000-0000-0000A1600000}"/>
    <cellStyle name="Normal 4 3 2 6 3 4 2" xfId="31897" xr:uid="{00000000-0005-0000-0000-0000A2600000}"/>
    <cellStyle name="Normal 4 3 2 6 3 5" xfId="31890" xr:uid="{00000000-0005-0000-0000-0000A3600000}"/>
    <cellStyle name="Normal 4 3 2 6 4" xfId="8407" xr:uid="{00000000-0005-0000-0000-0000A4600000}"/>
    <cellStyle name="Normal 4 3 2 6 4 2" xfId="8408" xr:uid="{00000000-0005-0000-0000-0000A5600000}"/>
    <cellStyle name="Normal 4 3 2 6 4 2 2" xfId="8409" xr:uid="{00000000-0005-0000-0000-0000A6600000}"/>
    <cellStyle name="Normal 4 3 2 6 4 2 2 2" xfId="31900" xr:uid="{00000000-0005-0000-0000-0000A7600000}"/>
    <cellStyle name="Normal 4 3 2 6 4 2 3" xfId="31899" xr:uid="{00000000-0005-0000-0000-0000A8600000}"/>
    <cellStyle name="Normal 4 3 2 6 4 3" xfId="8410" xr:uid="{00000000-0005-0000-0000-0000A9600000}"/>
    <cellStyle name="Normal 4 3 2 6 4 3 2" xfId="31901" xr:uid="{00000000-0005-0000-0000-0000AA600000}"/>
    <cellStyle name="Normal 4 3 2 6 4 4" xfId="31898" xr:uid="{00000000-0005-0000-0000-0000AB600000}"/>
    <cellStyle name="Normal 4 3 2 6 5" xfId="8411" xr:uid="{00000000-0005-0000-0000-0000AC600000}"/>
    <cellStyle name="Normal 4 3 2 6 5 2" xfId="8412" xr:uid="{00000000-0005-0000-0000-0000AD600000}"/>
    <cellStyle name="Normal 4 3 2 6 5 2 2" xfId="31903" xr:uid="{00000000-0005-0000-0000-0000AE600000}"/>
    <cellStyle name="Normal 4 3 2 6 5 3" xfId="31902" xr:uid="{00000000-0005-0000-0000-0000AF600000}"/>
    <cellStyle name="Normal 4 3 2 6 6" xfId="8413" xr:uid="{00000000-0005-0000-0000-0000B0600000}"/>
    <cellStyle name="Normal 4 3 2 6 6 2" xfId="31904" xr:uid="{00000000-0005-0000-0000-0000B1600000}"/>
    <cellStyle name="Normal 4 3 2 6 7" xfId="31881" xr:uid="{00000000-0005-0000-0000-0000B2600000}"/>
    <cellStyle name="Normal 4 3 2 7" xfId="8414" xr:uid="{00000000-0005-0000-0000-0000B3600000}"/>
    <cellStyle name="Normal 4 3 2 7 2" xfId="8415" xr:uid="{00000000-0005-0000-0000-0000B4600000}"/>
    <cellStyle name="Normal 4 3 2 7 2 2" xfId="8416" xr:uid="{00000000-0005-0000-0000-0000B5600000}"/>
    <cellStyle name="Normal 4 3 2 7 2 2 2" xfId="8417" xr:uid="{00000000-0005-0000-0000-0000B6600000}"/>
    <cellStyle name="Normal 4 3 2 7 2 2 2 2" xfId="8418" xr:uid="{00000000-0005-0000-0000-0000B7600000}"/>
    <cellStyle name="Normal 4 3 2 7 2 2 2 2 2" xfId="31909" xr:uid="{00000000-0005-0000-0000-0000B8600000}"/>
    <cellStyle name="Normal 4 3 2 7 2 2 2 3" xfId="31908" xr:uid="{00000000-0005-0000-0000-0000B9600000}"/>
    <cellStyle name="Normal 4 3 2 7 2 2 3" xfId="8419" xr:uid="{00000000-0005-0000-0000-0000BA600000}"/>
    <cellStyle name="Normal 4 3 2 7 2 2 3 2" xfId="31910" xr:uid="{00000000-0005-0000-0000-0000BB600000}"/>
    <cellStyle name="Normal 4 3 2 7 2 2 4" xfId="31907" xr:uid="{00000000-0005-0000-0000-0000BC600000}"/>
    <cellStyle name="Normal 4 3 2 7 2 3" xfId="8420" xr:uid="{00000000-0005-0000-0000-0000BD600000}"/>
    <cellStyle name="Normal 4 3 2 7 2 3 2" xfId="8421" xr:uid="{00000000-0005-0000-0000-0000BE600000}"/>
    <cellStyle name="Normal 4 3 2 7 2 3 2 2" xfId="31912" xr:uid="{00000000-0005-0000-0000-0000BF600000}"/>
    <cellStyle name="Normal 4 3 2 7 2 3 3" xfId="31911" xr:uid="{00000000-0005-0000-0000-0000C0600000}"/>
    <cellStyle name="Normal 4 3 2 7 2 4" xfId="8422" xr:uid="{00000000-0005-0000-0000-0000C1600000}"/>
    <cellStyle name="Normal 4 3 2 7 2 4 2" xfId="31913" xr:uid="{00000000-0005-0000-0000-0000C2600000}"/>
    <cellStyle name="Normal 4 3 2 7 2 5" xfId="31906" xr:uid="{00000000-0005-0000-0000-0000C3600000}"/>
    <cellStyle name="Normal 4 3 2 7 3" xfId="8423" xr:uid="{00000000-0005-0000-0000-0000C4600000}"/>
    <cellStyle name="Normal 4 3 2 7 3 2" xfId="8424" xr:uid="{00000000-0005-0000-0000-0000C5600000}"/>
    <cellStyle name="Normal 4 3 2 7 3 2 2" xfId="8425" xr:uid="{00000000-0005-0000-0000-0000C6600000}"/>
    <cellStyle name="Normal 4 3 2 7 3 2 2 2" xfId="8426" xr:uid="{00000000-0005-0000-0000-0000C7600000}"/>
    <cellStyle name="Normal 4 3 2 7 3 2 2 2 2" xfId="31917" xr:uid="{00000000-0005-0000-0000-0000C8600000}"/>
    <cellStyle name="Normal 4 3 2 7 3 2 2 3" xfId="31916" xr:uid="{00000000-0005-0000-0000-0000C9600000}"/>
    <cellStyle name="Normal 4 3 2 7 3 2 3" xfId="8427" xr:uid="{00000000-0005-0000-0000-0000CA600000}"/>
    <cellStyle name="Normal 4 3 2 7 3 2 3 2" xfId="31918" xr:uid="{00000000-0005-0000-0000-0000CB600000}"/>
    <cellStyle name="Normal 4 3 2 7 3 2 4" xfId="31915" xr:uid="{00000000-0005-0000-0000-0000CC600000}"/>
    <cellStyle name="Normal 4 3 2 7 3 3" xfId="8428" xr:uid="{00000000-0005-0000-0000-0000CD600000}"/>
    <cellStyle name="Normal 4 3 2 7 3 3 2" xfId="8429" xr:uid="{00000000-0005-0000-0000-0000CE600000}"/>
    <cellStyle name="Normal 4 3 2 7 3 3 2 2" xfId="31920" xr:uid="{00000000-0005-0000-0000-0000CF600000}"/>
    <cellStyle name="Normal 4 3 2 7 3 3 3" xfId="31919" xr:uid="{00000000-0005-0000-0000-0000D0600000}"/>
    <cellStyle name="Normal 4 3 2 7 3 4" xfId="8430" xr:uid="{00000000-0005-0000-0000-0000D1600000}"/>
    <cellStyle name="Normal 4 3 2 7 3 4 2" xfId="31921" xr:uid="{00000000-0005-0000-0000-0000D2600000}"/>
    <cellStyle name="Normal 4 3 2 7 3 5" xfId="31914" xr:uid="{00000000-0005-0000-0000-0000D3600000}"/>
    <cellStyle name="Normal 4 3 2 7 4" xfId="8431" xr:uid="{00000000-0005-0000-0000-0000D4600000}"/>
    <cellStyle name="Normal 4 3 2 7 4 2" xfId="8432" xr:uid="{00000000-0005-0000-0000-0000D5600000}"/>
    <cellStyle name="Normal 4 3 2 7 4 2 2" xfId="8433" xr:uid="{00000000-0005-0000-0000-0000D6600000}"/>
    <cellStyle name="Normal 4 3 2 7 4 2 2 2" xfId="31924" xr:uid="{00000000-0005-0000-0000-0000D7600000}"/>
    <cellStyle name="Normal 4 3 2 7 4 2 3" xfId="31923" xr:uid="{00000000-0005-0000-0000-0000D8600000}"/>
    <cellStyle name="Normal 4 3 2 7 4 3" xfId="8434" xr:uid="{00000000-0005-0000-0000-0000D9600000}"/>
    <cellStyle name="Normal 4 3 2 7 4 3 2" xfId="31925" xr:uid="{00000000-0005-0000-0000-0000DA600000}"/>
    <cellStyle name="Normal 4 3 2 7 4 4" xfId="31922" xr:uid="{00000000-0005-0000-0000-0000DB600000}"/>
    <cellStyle name="Normal 4 3 2 7 5" xfId="8435" xr:uid="{00000000-0005-0000-0000-0000DC600000}"/>
    <cellStyle name="Normal 4 3 2 7 5 2" xfId="8436" xr:uid="{00000000-0005-0000-0000-0000DD600000}"/>
    <cellStyle name="Normal 4 3 2 7 5 2 2" xfId="31927" xr:uid="{00000000-0005-0000-0000-0000DE600000}"/>
    <cellStyle name="Normal 4 3 2 7 5 3" xfId="31926" xr:uid="{00000000-0005-0000-0000-0000DF600000}"/>
    <cellStyle name="Normal 4 3 2 7 6" xfId="8437" xr:uid="{00000000-0005-0000-0000-0000E0600000}"/>
    <cellStyle name="Normal 4 3 2 7 6 2" xfId="31928" xr:uid="{00000000-0005-0000-0000-0000E1600000}"/>
    <cellStyle name="Normal 4 3 2 7 7" xfId="31905" xr:uid="{00000000-0005-0000-0000-0000E2600000}"/>
    <cellStyle name="Normal 4 3 2 8" xfId="8438" xr:uid="{00000000-0005-0000-0000-0000E3600000}"/>
    <cellStyle name="Normal 4 3 2 8 2" xfId="8439" xr:uid="{00000000-0005-0000-0000-0000E4600000}"/>
    <cellStyle name="Normal 4 3 2 8 2 2" xfId="8440" xr:uid="{00000000-0005-0000-0000-0000E5600000}"/>
    <cellStyle name="Normal 4 3 2 8 2 2 2" xfId="8441" xr:uid="{00000000-0005-0000-0000-0000E6600000}"/>
    <cellStyle name="Normal 4 3 2 8 2 2 2 2" xfId="8442" xr:uid="{00000000-0005-0000-0000-0000E7600000}"/>
    <cellStyle name="Normal 4 3 2 8 2 2 2 2 2" xfId="31933" xr:uid="{00000000-0005-0000-0000-0000E8600000}"/>
    <cellStyle name="Normal 4 3 2 8 2 2 2 3" xfId="31932" xr:uid="{00000000-0005-0000-0000-0000E9600000}"/>
    <cellStyle name="Normal 4 3 2 8 2 2 3" xfId="8443" xr:uid="{00000000-0005-0000-0000-0000EA600000}"/>
    <cellStyle name="Normal 4 3 2 8 2 2 3 2" xfId="31934" xr:uid="{00000000-0005-0000-0000-0000EB600000}"/>
    <cellStyle name="Normal 4 3 2 8 2 2 4" xfId="31931" xr:uid="{00000000-0005-0000-0000-0000EC600000}"/>
    <cellStyle name="Normal 4 3 2 8 2 3" xfId="8444" xr:uid="{00000000-0005-0000-0000-0000ED600000}"/>
    <cellStyle name="Normal 4 3 2 8 2 3 2" xfId="8445" xr:uid="{00000000-0005-0000-0000-0000EE600000}"/>
    <cellStyle name="Normal 4 3 2 8 2 3 2 2" xfId="31936" xr:uid="{00000000-0005-0000-0000-0000EF600000}"/>
    <cellStyle name="Normal 4 3 2 8 2 3 3" xfId="31935" xr:uid="{00000000-0005-0000-0000-0000F0600000}"/>
    <cellStyle name="Normal 4 3 2 8 2 4" xfId="8446" xr:uid="{00000000-0005-0000-0000-0000F1600000}"/>
    <cellStyle name="Normal 4 3 2 8 2 4 2" xfId="31937" xr:uid="{00000000-0005-0000-0000-0000F2600000}"/>
    <cellStyle name="Normal 4 3 2 8 2 5" xfId="31930" xr:uid="{00000000-0005-0000-0000-0000F3600000}"/>
    <cellStyle name="Normal 4 3 2 8 3" xfId="8447" xr:uid="{00000000-0005-0000-0000-0000F4600000}"/>
    <cellStyle name="Normal 4 3 2 8 3 2" xfId="8448" xr:uid="{00000000-0005-0000-0000-0000F5600000}"/>
    <cellStyle name="Normal 4 3 2 8 3 2 2" xfId="8449" xr:uid="{00000000-0005-0000-0000-0000F6600000}"/>
    <cellStyle name="Normal 4 3 2 8 3 2 2 2" xfId="8450" xr:uid="{00000000-0005-0000-0000-0000F7600000}"/>
    <cellStyle name="Normal 4 3 2 8 3 2 2 2 2" xfId="31941" xr:uid="{00000000-0005-0000-0000-0000F8600000}"/>
    <cellStyle name="Normal 4 3 2 8 3 2 2 3" xfId="31940" xr:uid="{00000000-0005-0000-0000-0000F9600000}"/>
    <cellStyle name="Normal 4 3 2 8 3 2 3" xfId="8451" xr:uid="{00000000-0005-0000-0000-0000FA600000}"/>
    <cellStyle name="Normal 4 3 2 8 3 2 3 2" xfId="31942" xr:uid="{00000000-0005-0000-0000-0000FB600000}"/>
    <cellStyle name="Normal 4 3 2 8 3 2 4" xfId="31939" xr:uid="{00000000-0005-0000-0000-0000FC600000}"/>
    <cellStyle name="Normal 4 3 2 8 3 3" xfId="8452" xr:uid="{00000000-0005-0000-0000-0000FD600000}"/>
    <cellStyle name="Normal 4 3 2 8 3 3 2" xfId="8453" xr:uid="{00000000-0005-0000-0000-0000FE600000}"/>
    <cellStyle name="Normal 4 3 2 8 3 3 2 2" xfId="31944" xr:uid="{00000000-0005-0000-0000-0000FF600000}"/>
    <cellStyle name="Normal 4 3 2 8 3 3 3" xfId="31943" xr:uid="{00000000-0005-0000-0000-000000610000}"/>
    <cellStyle name="Normal 4 3 2 8 3 4" xfId="8454" xr:uid="{00000000-0005-0000-0000-000001610000}"/>
    <cellStyle name="Normal 4 3 2 8 3 4 2" xfId="31945" xr:uid="{00000000-0005-0000-0000-000002610000}"/>
    <cellStyle name="Normal 4 3 2 8 3 5" xfId="31938" xr:uid="{00000000-0005-0000-0000-000003610000}"/>
    <cellStyle name="Normal 4 3 2 8 4" xfId="8455" xr:uid="{00000000-0005-0000-0000-000004610000}"/>
    <cellStyle name="Normal 4 3 2 8 4 2" xfId="8456" xr:uid="{00000000-0005-0000-0000-000005610000}"/>
    <cellStyle name="Normal 4 3 2 8 4 2 2" xfId="8457" xr:uid="{00000000-0005-0000-0000-000006610000}"/>
    <cellStyle name="Normal 4 3 2 8 4 2 2 2" xfId="31948" xr:uid="{00000000-0005-0000-0000-000007610000}"/>
    <cellStyle name="Normal 4 3 2 8 4 2 3" xfId="31947" xr:uid="{00000000-0005-0000-0000-000008610000}"/>
    <cellStyle name="Normal 4 3 2 8 4 3" xfId="8458" xr:uid="{00000000-0005-0000-0000-000009610000}"/>
    <cellStyle name="Normal 4 3 2 8 4 3 2" xfId="31949" xr:uid="{00000000-0005-0000-0000-00000A610000}"/>
    <cellStyle name="Normal 4 3 2 8 4 4" xfId="31946" xr:uid="{00000000-0005-0000-0000-00000B610000}"/>
    <cellStyle name="Normal 4 3 2 8 5" xfId="8459" xr:uid="{00000000-0005-0000-0000-00000C610000}"/>
    <cellStyle name="Normal 4 3 2 8 5 2" xfId="8460" xr:uid="{00000000-0005-0000-0000-00000D610000}"/>
    <cellStyle name="Normal 4 3 2 8 5 2 2" xfId="31951" xr:uid="{00000000-0005-0000-0000-00000E610000}"/>
    <cellStyle name="Normal 4 3 2 8 5 3" xfId="31950" xr:uid="{00000000-0005-0000-0000-00000F610000}"/>
    <cellStyle name="Normal 4 3 2 8 6" xfId="8461" xr:uid="{00000000-0005-0000-0000-000010610000}"/>
    <cellStyle name="Normal 4 3 2 8 6 2" xfId="31952" xr:uid="{00000000-0005-0000-0000-000011610000}"/>
    <cellStyle name="Normal 4 3 2 8 7" xfId="31929" xr:uid="{00000000-0005-0000-0000-000012610000}"/>
    <cellStyle name="Normal 4 3 2 9" xfId="8462" xr:uid="{00000000-0005-0000-0000-000013610000}"/>
    <cellStyle name="Normal 4 3 2 9 2" xfId="8463" xr:uid="{00000000-0005-0000-0000-000014610000}"/>
    <cellStyle name="Normal 4 3 2 9 2 2" xfId="8464" xr:uid="{00000000-0005-0000-0000-000015610000}"/>
    <cellStyle name="Normal 4 3 2 9 2 2 2" xfId="8465" xr:uid="{00000000-0005-0000-0000-000016610000}"/>
    <cellStyle name="Normal 4 3 2 9 2 2 2 2" xfId="31956" xr:uid="{00000000-0005-0000-0000-000017610000}"/>
    <cellStyle name="Normal 4 3 2 9 2 2 3" xfId="31955" xr:uid="{00000000-0005-0000-0000-000018610000}"/>
    <cellStyle name="Normal 4 3 2 9 2 3" xfId="8466" xr:uid="{00000000-0005-0000-0000-000019610000}"/>
    <cellStyle name="Normal 4 3 2 9 2 3 2" xfId="31957" xr:uid="{00000000-0005-0000-0000-00001A610000}"/>
    <cellStyle name="Normal 4 3 2 9 2 4" xfId="31954" xr:uid="{00000000-0005-0000-0000-00001B610000}"/>
    <cellStyle name="Normal 4 3 2 9 3" xfId="8467" xr:uid="{00000000-0005-0000-0000-00001C610000}"/>
    <cellStyle name="Normal 4 3 2 9 3 2" xfId="8468" xr:uid="{00000000-0005-0000-0000-00001D610000}"/>
    <cellStyle name="Normal 4 3 2 9 3 2 2" xfId="31959" xr:uid="{00000000-0005-0000-0000-00001E610000}"/>
    <cellStyle name="Normal 4 3 2 9 3 3" xfId="31958" xr:uid="{00000000-0005-0000-0000-00001F610000}"/>
    <cellStyle name="Normal 4 3 2 9 4" xfId="8469" xr:uid="{00000000-0005-0000-0000-000020610000}"/>
    <cellStyle name="Normal 4 3 2 9 4 2" xfId="31960" xr:uid="{00000000-0005-0000-0000-000021610000}"/>
    <cellStyle name="Normal 4 3 2 9 5" xfId="31953" xr:uid="{00000000-0005-0000-0000-000022610000}"/>
    <cellStyle name="Normal 4 3 3" xfId="8470" xr:uid="{00000000-0005-0000-0000-000023610000}"/>
    <cellStyle name="Normal 4 3 3 10" xfId="8471" xr:uid="{00000000-0005-0000-0000-000024610000}"/>
    <cellStyle name="Normal 4 3 3 10 2" xfId="31962" xr:uid="{00000000-0005-0000-0000-000025610000}"/>
    <cellStyle name="Normal 4 3 3 11" xfId="31961" xr:uid="{00000000-0005-0000-0000-000026610000}"/>
    <cellStyle name="Normal 4 3 3 2" xfId="8472" xr:uid="{00000000-0005-0000-0000-000027610000}"/>
    <cellStyle name="Normal 4 3 3 2 2" xfId="8473" xr:uid="{00000000-0005-0000-0000-000028610000}"/>
    <cellStyle name="Normal 4 3 3 2 2 2" xfId="8474" xr:uid="{00000000-0005-0000-0000-000029610000}"/>
    <cellStyle name="Normal 4 3 3 2 2 2 2" xfId="8475" xr:uid="{00000000-0005-0000-0000-00002A610000}"/>
    <cellStyle name="Normal 4 3 3 2 2 2 2 2" xfId="8476" xr:uid="{00000000-0005-0000-0000-00002B610000}"/>
    <cellStyle name="Normal 4 3 3 2 2 2 2 2 2" xfId="31967" xr:uid="{00000000-0005-0000-0000-00002C610000}"/>
    <cellStyle name="Normal 4 3 3 2 2 2 2 3" xfId="31966" xr:uid="{00000000-0005-0000-0000-00002D610000}"/>
    <cellStyle name="Normal 4 3 3 2 2 2 3" xfId="8477" xr:uid="{00000000-0005-0000-0000-00002E610000}"/>
    <cellStyle name="Normal 4 3 3 2 2 2 3 2" xfId="31968" xr:uid="{00000000-0005-0000-0000-00002F610000}"/>
    <cellStyle name="Normal 4 3 3 2 2 2 4" xfId="31965" xr:uid="{00000000-0005-0000-0000-000030610000}"/>
    <cellStyle name="Normal 4 3 3 2 2 3" xfId="8478" xr:uid="{00000000-0005-0000-0000-000031610000}"/>
    <cellStyle name="Normal 4 3 3 2 2 3 2" xfId="8479" xr:uid="{00000000-0005-0000-0000-000032610000}"/>
    <cellStyle name="Normal 4 3 3 2 2 3 2 2" xfId="31970" xr:uid="{00000000-0005-0000-0000-000033610000}"/>
    <cellStyle name="Normal 4 3 3 2 2 3 3" xfId="31969" xr:uid="{00000000-0005-0000-0000-000034610000}"/>
    <cellStyle name="Normal 4 3 3 2 2 4" xfId="8480" xr:uid="{00000000-0005-0000-0000-000035610000}"/>
    <cellStyle name="Normal 4 3 3 2 2 4 2" xfId="31971" xr:uid="{00000000-0005-0000-0000-000036610000}"/>
    <cellStyle name="Normal 4 3 3 2 2 5" xfId="31964" xr:uid="{00000000-0005-0000-0000-000037610000}"/>
    <cellStyle name="Normal 4 3 3 2 3" xfId="8481" xr:uid="{00000000-0005-0000-0000-000038610000}"/>
    <cellStyle name="Normal 4 3 3 2 3 2" xfId="8482" xr:uid="{00000000-0005-0000-0000-000039610000}"/>
    <cellStyle name="Normal 4 3 3 2 3 2 2" xfId="8483" xr:uid="{00000000-0005-0000-0000-00003A610000}"/>
    <cellStyle name="Normal 4 3 3 2 3 2 2 2" xfId="8484" xr:uid="{00000000-0005-0000-0000-00003B610000}"/>
    <cellStyle name="Normal 4 3 3 2 3 2 2 2 2" xfId="31975" xr:uid="{00000000-0005-0000-0000-00003C610000}"/>
    <cellStyle name="Normal 4 3 3 2 3 2 2 3" xfId="31974" xr:uid="{00000000-0005-0000-0000-00003D610000}"/>
    <cellStyle name="Normal 4 3 3 2 3 2 3" xfId="8485" xr:uid="{00000000-0005-0000-0000-00003E610000}"/>
    <cellStyle name="Normal 4 3 3 2 3 2 3 2" xfId="31976" xr:uid="{00000000-0005-0000-0000-00003F610000}"/>
    <cellStyle name="Normal 4 3 3 2 3 2 4" xfId="31973" xr:uid="{00000000-0005-0000-0000-000040610000}"/>
    <cellStyle name="Normal 4 3 3 2 3 3" xfId="8486" xr:uid="{00000000-0005-0000-0000-000041610000}"/>
    <cellStyle name="Normal 4 3 3 2 3 3 2" xfId="8487" xr:uid="{00000000-0005-0000-0000-000042610000}"/>
    <cellStyle name="Normal 4 3 3 2 3 3 2 2" xfId="31978" xr:uid="{00000000-0005-0000-0000-000043610000}"/>
    <cellStyle name="Normal 4 3 3 2 3 3 3" xfId="31977" xr:uid="{00000000-0005-0000-0000-000044610000}"/>
    <cellStyle name="Normal 4 3 3 2 3 4" xfId="8488" xr:uid="{00000000-0005-0000-0000-000045610000}"/>
    <cellStyle name="Normal 4 3 3 2 3 4 2" xfId="31979" xr:uid="{00000000-0005-0000-0000-000046610000}"/>
    <cellStyle name="Normal 4 3 3 2 3 5" xfId="31972" xr:uid="{00000000-0005-0000-0000-000047610000}"/>
    <cellStyle name="Normal 4 3 3 2 4" xfId="8489" xr:uid="{00000000-0005-0000-0000-000048610000}"/>
    <cellStyle name="Normal 4 3 3 2 4 2" xfId="8490" xr:uid="{00000000-0005-0000-0000-000049610000}"/>
    <cellStyle name="Normal 4 3 3 2 4 2 2" xfId="8491" xr:uid="{00000000-0005-0000-0000-00004A610000}"/>
    <cellStyle name="Normal 4 3 3 2 4 2 2 2" xfId="31982" xr:uid="{00000000-0005-0000-0000-00004B610000}"/>
    <cellStyle name="Normal 4 3 3 2 4 2 3" xfId="31981" xr:uid="{00000000-0005-0000-0000-00004C610000}"/>
    <cellStyle name="Normal 4 3 3 2 4 3" xfId="8492" xr:uid="{00000000-0005-0000-0000-00004D610000}"/>
    <cellStyle name="Normal 4 3 3 2 4 3 2" xfId="31983" xr:uid="{00000000-0005-0000-0000-00004E610000}"/>
    <cellStyle name="Normal 4 3 3 2 4 4" xfId="31980" xr:uid="{00000000-0005-0000-0000-00004F610000}"/>
    <cellStyle name="Normal 4 3 3 2 5" xfId="8493" xr:uid="{00000000-0005-0000-0000-000050610000}"/>
    <cellStyle name="Normal 4 3 3 2 5 2" xfId="8494" xr:uid="{00000000-0005-0000-0000-000051610000}"/>
    <cellStyle name="Normal 4 3 3 2 5 2 2" xfId="31985" xr:uid="{00000000-0005-0000-0000-000052610000}"/>
    <cellStyle name="Normal 4 3 3 2 5 3" xfId="31984" xr:uid="{00000000-0005-0000-0000-000053610000}"/>
    <cellStyle name="Normal 4 3 3 2 6" xfId="8495" xr:uid="{00000000-0005-0000-0000-000054610000}"/>
    <cellStyle name="Normal 4 3 3 2 6 2" xfId="31986" xr:uid="{00000000-0005-0000-0000-000055610000}"/>
    <cellStyle name="Normal 4 3 3 2 7" xfId="31963" xr:uid="{00000000-0005-0000-0000-000056610000}"/>
    <cellStyle name="Normal 4 3 3 3" xfId="8496" xr:uid="{00000000-0005-0000-0000-000057610000}"/>
    <cellStyle name="Normal 4 3 3 3 2" xfId="8497" xr:uid="{00000000-0005-0000-0000-000058610000}"/>
    <cellStyle name="Normal 4 3 3 3 2 2" xfId="8498" xr:uid="{00000000-0005-0000-0000-000059610000}"/>
    <cellStyle name="Normal 4 3 3 3 2 2 2" xfId="8499" xr:uid="{00000000-0005-0000-0000-00005A610000}"/>
    <cellStyle name="Normal 4 3 3 3 2 2 2 2" xfId="8500" xr:uid="{00000000-0005-0000-0000-00005B610000}"/>
    <cellStyle name="Normal 4 3 3 3 2 2 2 2 2" xfId="31991" xr:uid="{00000000-0005-0000-0000-00005C610000}"/>
    <cellStyle name="Normal 4 3 3 3 2 2 2 3" xfId="31990" xr:uid="{00000000-0005-0000-0000-00005D610000}"/>
    <cellStyle name="Normal 4 3 3 3 2 2 3" xfId="8501" xr:uid="{00000000-0005-0000-0000-00005E610000}"/>
    <cellStyle name="Normal 4 3 3 3 2 2 3 2" xfId="31992" xr:uid="{00000000-0005-0000-0000-00005F610000}"/>
    <cellStyle name="Normal 4 3 3 3 2 2 4" xfId="31989" xr:uid="{00000000-0005-0000-0000-000060610000}"/>
    <cellStyle name="Normal 4 3 3 3 2 3" xfId="8502" xr:uid="{00000000-0005-0000-0000-000061610000}"/>
    <cellStyle name="Normal 4 3 3 3 2 3 2" xfId="8503" xr:uid="{00000000-0005-0000-0000-000062610000}"/>
    <cellStyle name="Normal 4 3 3 3 2 3 2 2" xfId="31994" xr:uid="{00000000-0005-0000-0000-000063610000}"/>
    <cellStyle name="Normal 4 3 3 3 2 3 3" xfId="31993" xr:uid="{00000000-0005-0000-0000-000064610000}"/>
    <cellStyle name="Normal 4 3 3 3 2 4" xfId="8504" xr:uid="{00000000-0005-0000-0000-000065610000}"/>
    <cellStyle name="Normal 4 3 3 3 2 4 2" xfId="31995" xr:uid="{00000000-0005-0000-0000-000066610000}"/>
    <cellStyle name="Normal 4 3 3 3 2 5" xfId="31988" xr:uid="{00000000-0005-0000-0000-000067610000}"/>
    <cellStyle name="Normal 4 3 3 3 3" xfId="8505" xr:uid="{00000000-0005-0000-0000-000068610000}"/>
    <cellStyle name="Normal 4 3 3 3 3 2" xfId="8506" xr:uid="{00000000-0005-0000-0000-000069610000}"/>
    <cellStyle name="Normal 4 3 3 3 3 2 2" xfId="8507" xr:uid="{00000000-0005-0000-0000-00006A610000}"/>
    <cellStyle name="Normal 4 3 3 3 3 2 2 2" xfId="8508" xr:uid="{00000000-0005-0000-0000-00006B610000}"/>
    <cellStyle name="Normal 4 3 3 3 3 2 2 2 2" xfId="31999" xr:uid="{00000000-0005-0000-0000-00006C610000}"/>
    <cellStyle name="Normal 4 3 3 3 3 2 2 3" xfId="31998" xr:uid="{00000000-0005-0000-0000-00006D610000}"/>
    <cellStyle name="Normal 4 3 3 3 3 2 3" xfId="8509" xr:uid="{00000000-0005-0000-0000-00006E610000}"/>
    <cellStyle name="Normal 4 3 3 3 3 2 3 2" xfId="32000" xr:uid="{00000000-0005-0000-0000-00006F610000}"/>
    <cellStyle name="Normal 4 3 3 3 3 2 4" xfId="31997" xr:uid="{00000000-0005-0000-0000-000070610000}"/>
    <cellStyle name="Normal 4 3 3 3 3 3" xfId="8510" xr:uid="{00000000-0005-0000-0000-000071610000}"/>
    <cellStyle name="Normal 4 3 3 3 3 3 2" xfId="8511" xr:uid="{00000000-0005-0000-0000-000072610000}"/>
    <cellStyle name="Normal 4 3 3 3 3 3 2 2" xfId="32002" xr:uid="{00000000-0005-0000-0000-000073610000}"/>
    <cellStyle name="Normal 4 3 3 3 3 3 3" xfId="32001" xr:uid="{00000000-0005-0000-0000-000074610000}"/>
    <cellStyle name="Normal 4 3 3 3 3 4" xfId="8512" xr:uid="{00000000-0005-0000-0000-000075610000}"/>
    <cellStyle name="Normal 4 3 3 3 3 4 2" xfId="32003" xr:uid="{00000000-0005-0000-0000-000076610000}"/>
    <cellStyle name="Normal 4 3 3 3 3 5" xfId="31996" xr:uid="{00000000-0005-0000-0000-000077610000}"/>
    <cellStyle name="Normal 4 3 3 3 4" xfId="8513" xr:uid="{00000000-0005-0000-0000-000078610000}"/>
    <cellStyle name="Normal 4 3 3 3 4 2" xfId="8514" xr:uid="{00000000-0005-0000-0000-000079610000}"/>
    <cellStyle name="Normal 4 3 3 3 4 2 2" xfId="8515" xr:uid="{00000000-0005-0000-0000-00007A610000}"/>
    <cellStyle name="Normal 4 3 3 3 4 2 2 2" xfId="32006" xr:uid="{00000000-0005-0000-0000-00007B610000}"/>
    <cellStyle name="Normal 4 3 3 3 4 2 3" xfId="32005" xr:uid="{00000000-0005-0000-0000-00007C610000}"/>
    <cellStyle name="Normal 4 3 3 3 4 3" xfId="8516" xr:uid="{00000000-0005-0000-0000-00007D610000}"/>
    <cellStyle name="Normal 4 3 3 3 4 3 2" xfId="32007" xr:uid="{00000000-0005-0000-0000-00007E610000}"/>
    <cellStyle name="Normal 4 3 3 3 4 4" xfId="32004" xr:uid="{00000000-0005-0000-0000-00007F610000}"/>
    <cellStyle name="Normal 4 3 3 3 5" xfId="8517" xr:uid="{00000000-0005-0000-0000-000080610000}"/>
    <cellStyle name="Normal 4 3 3 3 5 2" xfId="8518" xr:uid="{00000000-0005-0000-0000-000081610000}"/>
    <cellStyle name="Normal 4 3 3 3 5 2 2" xfId="32009" xr:uid="{00000000-0005-0000-0000-000082610000}"/>
    <cellStyle name="Normal 4 3 3 3 5 3" xfId="32008" xr:uid="{00000000-0005-0000-0000-000083610000}"/>
    <cellStyle name="Normal 4 3 3 3 6" xfId="8519" xr:uid="{00000000-0005-0000-0000-000084610000}"/>
    <cellStyle name="Normal 4 3 3 3 6 2" xfId="32010" xr:uid="{00000000-0005-0000-0000-000085610000}"/>
    <cellStyle name="Normal 4 3 3 3 7" xfId="31987" xr:uid="{00000000-0005-0000-0000-000086610000}"/>
    <cellStyle name="Normal 4 3 3 4" xfId="8520" xr:uid="{00000000-0005-0000-0000-000087610000}"/>
    <cellStyle name="Normal 4 3 3 4 2" xfId="8521" xr:uid="{00000000-0005-0000-0000-000088610000}"/>
    <cellStyle name="Normal 4 3 3 4 2 2" xfId="8522" xr:uid="{00000000-0005-0000-0000-000089610000}"/>
    <cellStyle name="Normal 4 3 3 4 2 2 2" xfId="8523" xr:uid="{00000000-0005-0000-0000-00008A610000}"/>
    <cellStyle name="Normal 4 3 3 4 2 2 2 2" xfId="8524" xr:uid="{00000000-0005-0000-0000-00008B610000}"/>
    <cellStyle name="Normal 4 3 3 4 2 2 2 2 2" xfId="32015" xr:uid="{00000000-0005-0000-0000-00008C610000}"/>
    <cellStyle name="Normal 4 3 3 4 2 2 2 3" xfId="32014" xr:uid="{00000000-0005-0000-0000-00008D610000}"/>
    <cellStyle name="Normal 4 3 3 4 2 2 3" xfId="8525" xr:uid="{00000000-0005-0000-0000-00008E610000}"/>
    <cellStyle name="Normal 4 3 3 4 2 2 3 2" xfId="32016" xr:uid="{00000000-0005-0000-0000-00008F610000}"/>
    <cellStyle name="Normal 4 3 3 4 2 2 4" xfId="32013" xr:uid="{00000000-0005-0000-0000-000090610000}"/>
    <cellStyle name="Normal 4 3 3 4 2 3" xfId="8526" xr:uid="{00000000-0005-0000-0000-000091610000}"/>
    <cellStyle name="Normal 4 3 3 4 2 3 2" xfId="8527" xr:uid="{00000000-0005-0000-0000-000092610000}"/>
    <cellStyle name="Normal 4 3 3 4 2 3 2 2" xfId="32018" xr:uid="{00000000-0005-0000-0000-000093610000}"/>
    <cellStyle name="Normal 4 3 3 4 2 3 3" xfId="32017" xr:uid="{00000000-0005-0000-0000-000094610000}"/>
    <cellStyle name="Normal 4 3 3 4 2 4" xfId="8528" xr:uid="{00000000-0005-0000-0000-000095610000}"/>
    <cellStyle name="Normal 4 3 3 4 2 4 2" xfId="32019" xr:uid="{00000000-0005-0000-0000-000096610000}"/>
    <cellStyle name="Normal 4 3 3 4 2 5" xfId="32012" xr:uid="{00000000-0005-0000-0000-000097610000}"/>
    <cellStyle name="Normal 4 3 3 4 3" xfId="8529" xr:uid="{00000000-0005-0000-0000-000098610000}"/>
    <cellStyle name="Normal 4 3 3 4 3 2" xfId="8530" xr:uid="{00000000-0005-0000-0000-000099610000}"/>
    <cellStyle name="Normal 4 3 3 4 3 2 2" xfId="8531" xr:uid="{00000000-0005-0000-0000-00009A610000}"/>
    <cellStyle name="Normal 4 3 3 4 3 2 2 2" xfId="8532" xr:uid="{00000000-0005-0000-0000-00009B610000}"/>
    <cellStyle name="Normal 4 3 3 4 3 2 2 2 2" xfId="32023" xr:uid="{00000000-0005-0000-0000-00009C610000}"/>
    <cellStyle name="Normal 4 3 3 4 3 2 2 3" xfId="32022" xr:uid="{00000000-0005-0000-0000-00009D610000}"/>
    <cellStyle name="Normal 4 3 3 4 3 2 3" xfId="8533" xr:uid="{00000000-0005-0000-0000-00009E610000}"/>
    <cellStyle name="Normal 4 3 3 4 3 2 3 2" xfId="32024" xr:uid="{00000000-0005-0000-0000-00009F610000}"/>
    <cellStyle name="Normal 4 3 3 4 3 2 4" xfId="32021" xr:uid="{00000000-0005-0000-0000-0000A0610000}"/>
    <cellStyle name="Normal 4 3 3 4 3 3" xfId="8534" xr:uid="{00000000-0005-0000-0000-0000A1610000}"/>
    <cellStyle name="Normal 4 3 3 4 3 3 2" xfId="8535" xr:uid="{00000000-0005-0000-0000-0000A2610000}"/>
    <cellStyle name="Normal 4 3 3 4 3 3 2 2" xfId="32026" xr:uid="{00000000-0005-0000-0000-0000A3610000}"/>
    <cellStyle name="Normal 4 3 3 4 3 3 3" xfId="32025" xr:uid="{00000000-0005-0000-0000-0000A4610000}"/>
    <cellStyle name="Normal 4 3 3 4 3 4" xfId="8536" xr:uid="{00000000-0005-0000-0000-0000A5610000}"/>
    <cellStyle name="Normal 4 3 3 4 3 4 2" xfId="32027" xr:uid="{00000000-0005-0000-0000-0000A6610000}"/>
    <cellStyle name="Normal 4 3 3 4 3 5" xfId="32020" xr:uid="{00000000-0005-0000-0000-0000A7610000}"/>
    <cellStyle name="Normal 4 3 3 4 4" xfId="8537" xr:uid="{00000000-0005-0000-0000-0000A8610000}"/>
    <cellStyle name="Normal 4 3 3 4 4 2" xfId="8538" xr:uid="{00000000-0005-0000-0000-0000A9610000}"/>
    <cellStyle name="Normal 4 3 3 4 4 2 2" xfId="8539" xr:uid="{00000000-0005-0000-0000-0000AA610000}"/>
    <cellStyle name="Normal 4 3 3 4 4 2 2 2" xfId="32030" xr:uid="{00000000-0005-0000-0000-0000AB610000}"/>
    <cellStyle name="Normal 4 3 3 4 4 2 3" xfId="32029" xr:uid="{00000000-0005-0000-0000-0000AC610000}"/>
    <cellStyle name="Normal 4 3 3 4 4 3" xfId="8540" xr:uid="{00000000-0005-0000-0000-0000AD610000}"/>
    <cellStyle name="Normal 4 3 3 4 4 3 2" xfId="32031" xr:uid="{00000000-0005-0000-0000-0000AE610000}"/>
    <cellStyle name="Normal 4 3 3 4 4 4" xfId="32028" xr:uid="{00000000-0005-0000-0000-0000AF610000}"/>
    <cellStyle name="Normal 4 3 3 4 5" xfId="8541" xr:uid="{00000000-0005-0000-0000-0000B0610000}"/>
    <cellStyle name="Normal 4 3 3 4 5 2" xfId="8542" xr:uid="{00000000-0005-0000-0000-0000B1610000}"/>
    <cellStyle name="Normal 4 3 3 4 5 2 2" xfId="32033" xr:uid="{00000000-0005-0000-0000-0000B2610000}"/>
    <cellStyle name="Normal 4 3 3 4 5 3" xfId="32032" xr:uid="{00000000-0005-0000-0000-0000B3610000}"/>
    <cellStyle name="Normal 4 3 3 4 6" xfId="8543" xr:uid="{00000000-0005-0000-0000-0000B4610000}"/>
    <cellStyle name="Normal 4 3 3 4 6 2" xfId="32034" xr:uid="{00000000-0005-0000-0000-0000B5610000}"/>
    <cellStyle name="Normal 4 3 3 4 7" xfId="32011" xr:uid="{00000000-0005-0000-0000-0000B6610000}"/>
    <cellStyle name="Normal 4 3 3 5" xfId="8544" xr:uid="{00000000-0005-0000-0000-0000B7610000}"/>
    <cellStyle name="Normal 4 3 3 5 2" xfId="8545" xr:uid="{00000000-0005-0000-0000-0000B8610000}"/>
    <cellStyle name="Normal 4 3 3 5 2 2" xfId="8546" xr:uid="{00000000-0005-0000-0000-0000B9610000}"/>
    <cellStyle name="Normal 4 3 3 5 2 2 2" xfId="8547" xr:uid="{00000000-0005-0000-0000-0000BA610000}"/>
    <cellStyle name="Normal 4 3 3 5 2 2 2 2" xfId="8548" xr:uid="{00000000-0005-0000-0000-0000BB610000}"/>
    <cellStyle name="Normal 4 3 3 5 2 2 2 2 2" xfId="32039" xr:uid="{00000000-0005-0000-0000-0000BC610000}"/>
    <cellStyle name="Normal 4 3 3 5 2 2 2 3" xfId="32038" xr:uid="{00000000-0005-0000-0000-0000BD610000}"/>
    <cellStyle name="Normal 4 3 3 5 2 2 3" xfId="8549" xr:uid="{00000000-0005-0000-0000-0000BE610000}"/>
    <cellStyle name="Normal 4 3 3 5 2 2 3 2" xfId="32040" xr:uid="{00000000-0005-0000-0000-0000BF610000}"/>
    <cellStyle name="Normal 4 3 3 5 2 2 4" xfId="32037" xr:uid="{00000000-0005-0000-0000-0000C0610000}"/>
    <cellStyle name="Normal 4 3 3 5 2 3" xfId="8550" xr:uid="{00000000-0005-0000-0000-0000C1610000}"/>
    <cellStyle name="Normal 4 3 3 5 2 3 2" xfId="8551" xr:uid="{00000000-0005-0000-0000-0000C2610000}"/>
    <cellStyle name="Normal 4 3 3 5 2 3 2 2" xfId="32042" xr:uid="{00000000-0005-0000-0000-0000C3610000}"/>
    <cellStyle name="Normal 4 3 3 5 2 3 3" xfId="32041" xr:uid="{00000000-0005-0000-0000-0000C4610000}"/>
    <cellStyle name="Normal 4 3 3 5 2 4" xfId="8552" xr:uid="{00000000-0005-0000-0000-0000C5610000}"/>
    <cellStyle name="Normal 4 3 3 5 2 4 2" xfId="32043" xr:uid="{00000000-0005-0000-0000-0000C6610000}"/>
    <cellStyle name="Normal 4 3 3 5 2 5" xfId="32036" xr:uid="{00000000-0005-0000-0000-0000C7610000}"/>
    <cellStyle name="Normal 4 3 3 5 3" xfId="8553" xr:uid="{00000000-0005-0000-0000-0000C8610000}"/>
    <cellStyle name="Normal 4 3 3 5 3 2" xfId="8554" xr:uid="{00000000-0005-0000-0000-0000C9610000}"/>
    <cellStyle name="Normal 4 3 3 5 3 2 2" xfId="8555" xr:uid="{00000000-0005-0000-0000-0000CA610000}"/>
    <cellStyle name="Normal 4 3 3 5 3 2 2 2" xfId="8556" xr:uid="{00000000-0005-0000-0000-0000CB610000}"/>
    <cellStyle name="Normal 4 3 3 5 3 2 2 2 2" xfId="32047" xr:uid="{00000000-0005-0000-0000-0000CC610000}"/>
    <cellStyle name="Normal 4 3 3 5 3 2 2 3" xfId="32046" xr:uid="{00000000-0005-0000-0000-0000CD610000}"/>
    <cellStyle name="Normal 4 3 3 5 3 2 3" xfId="8557" xr:uid="{00000000-0005-0000-0000-0000CE610000}"/>
    <cellStyle name="Normal 4 3 3 5 3 2 3 2" xfId="32048" xr:uid="{00000000-0005-0000-0000-0000CF610000}"/>
    <cellStyle name="Normal 4 3 3 5 3 2 4" xfId="32045" xr:uid="{00000000-0005-0000-0000-0000D0610000}"/>
    <cellStyle name="Normal 4 3 3 5 3 3" xfId="8558" xr:uid="{00000000-0005-0000-0000-0000D1610000}"/>
    <cellStyle name="Normal 4 3 3 5 3 3 2" xfId="8559" xr:uid="{00000000-0005-0000-0000-0000D2610000}"/>
    <cellStyle name="Normal 4 3 3 5 3 3 2 2" xfId="32050" xr:uid="{00000000-0005-0000-0000-0000D3610000}"/>
    <cellStyle name="Normal 4 3 3 5 3 3 3" xfId="32049" xr:uid="{00000000-0005-0000-0000-0000D4610000}"/>
    <cellStyle name="Normal 4 3 3 5 3 4" xfId="8560" xr:uid="{00000000-0005-0000-0000-0000D5610000}"/>
    <cellStyle name="Normal 4 3 3 5 3 4 2" xfId="32051" xr:uid="{00000000-0005-0000-0000-0000D6610000}"/>
    <cellStyle name="Normal 4 3 3 5 3 5" xfId="32044" xr:uid="{00000000-0005-0000-0000-0000D7610000}"/>
    <cellStyle name="Normal 4 3 3 5 4" xfId="8561" xr:uid="{00000000-0005-0000-0000-0000D8610000}"/>
    <cellStyle name="Normal 4 3 3 5 4 2" xfId="8562" xr:uid="{00000000-0005-0000-0000-0000D9610000}"/>
    <cellStyle name="Normal 4 3 3 5 4 2 2" xfId="8563" xr:uid="{00000000-0005-0000-0000-0000DA610000}"/>
    <cellStyle name="Normal 4 3 3 5 4 2 2 2" xfId="32054" xr:uid="{00000000-0005-0000-0000-0000DB610000}"/>
    <cellStyle name="Normal 4 3 3 5 4 2 3" xfId="32053" xr:uid="{00000000-0005-0000-0000-0000DC610000}"/>
    <cellStyle name="Normal 4 3 3 5 4 3" xfId="8564" xr:uid="{00000000-0005-0000-0000-0000DD610000}"/>
    <cellStyle name="Normal 4 3 3 5 4 3 2" xfId="32055" xr:uid="{00000000-0005-0000-0000-0000DE610000}"/>
    <cellStyle name="Normal 4 3 3 5 4 4" xfId="32052" xr:uid="{00000000-0005-0000-0000-0000DF610000}"/>
    <cellStyle name="Normal 4 3 3 5 5" xfId="8565" xr:uid="{00000000-0005-0000-0000-0000E0610000}"/>
    <cellStyle name="Normal 4 3 3 5 5 2" xfId="8566" xr:uid="{00000000-0005-0000-0000-0000E1610000}"/>
    <cellStyle name="Normal 4 3 3 5 5 2 2" xfId="32057" xr:uid="{00000000-0005-0000-0000-0000E2610000}"/>
    <cellStyle name="Normal 4 3 3 5 5 3" xfId="32056" xr:uid="{00000000-0005-0000-0000-0000E3610000}"/>
    <cellStyle name="Normal 4 3 3 5 6" xfId="8567" xr:uid="{00000000-0005-0000-0000-0000E4610000}"/>
    <cellStyle name="Normal 4 3 3 5 6 2" xfId="32058" xr:uid="{00000000-0005-0000-0000-0000E5610000}"/>
    <cellStyle name="Normal 4 3 3 5 7" xfId="32035" xr:uid="{00000000-0005-0000-0000-0000E6610000}"/>
    <cellStyle name="Normal 4 3 3 6" xfId="8568" xr:uid="{00000000-0005-0000-0000-0000E7610000}"/>
    <cellStyle name="Normal 4 3 3 6 2" xfId="8569" xr:uid="{00000000-0005-0000-0000-0000E8610000}"/>
    <cellStyle name="Normal 4 3 3 6 2 2" xfId="8570" xr:uid="{00000000-0005-0000-0000-0000E9610000}"/>
    <cellStyle name="Normal 4 3 3 6 2 2 2" xfId="8571" xr:uid="{00000000-0005-0000-0000-0000EA610000}"/>
    <cellStyle name="Normal 4 3 3 6 2 2 2 2" xfId="32062" xr:uid="{00000000-0005-0000-0000-0000EB610000}"/>
    <cellStyle name="Normal 4 3 3 6 2 2 3" xfId="32061" xr:uid="{00000000-0005-0000-0000-0000EC610000}"/>
    <cellStyle name="Normal 4 3 3 6 2 3" xfId="8572" xr:uid="{00000000-0005-0000-0000-0000ED610000}"/>
    <cellStyle name="Normal 4 3 3 6 2 3 2" xfId="32063" xr:uid="{00000000-0005-0000-0000-0000EE610000}"/>
    <cellStyle name="Normal 4 3 3 6 2 4" xfId="32060" xr:uid="{00000000-0005-0000-0000-0000EF610000}"/>
    <cellStyle name="Normal 4 3 3 6 3" xfId="8573" xr:uid="{00000000-0005-0000-0000-0000F0610000}"/>
    <cellStyle name="Normal 4 3 3 6 3 2" xfId="8574" xr:uid="{00000000-0005-0000-0000-0000F1610000}"/>
    <cellStyle name="Normal 4 3 3 6 3 2 2" xfId="32065" xr:uid="{00000000-0005-0000-0000-0000F2610000}"/>
    <cellStyle name="Normal 4 3 3 6 3 3" xfId="32064" xr:uid="{00000000-0005-0000-0000-0000F3610000}"/>
    <cellStyle name="Normal 4 3 3 6 4" xfId="8575" xr:uid="{00000000-0005-0000-0000-0000F4610000}"/>
    <cellStyle name="Normal 4 3 3 6 4 2" xfId="32066" xr:uid="{00000000-0005-0000-0000-0000F5610000}"/>
    <cellStyle name="Normal 4 3 3 6 5" xfId="32059" xr:uid="{00000000-0005-0000-0000-0000F6610000}"/>
    <cellStyle name="Normal 4 3 3 7" xfId="8576" xr:uid="{00000000-0005-0000-0000-0000F7610000}"/>
    <cellStyle name="Normal 4 3 3 7 2" xfId="8577" xr:uid="{00000000-0005-0000-0000-0000F8610000}"/>
    <cellStyle name="Normal 4 3 3 7 2 2" xfId="8578" xr:uid="{00000000-0005-0000-0000-0000F9610000}"/>
    <cellStyle name="Normal 4 3 3 7 2 2 2" xfId="8579" xr:uid="{00000000-0005-0000-0000-0000FA610000}"/>
    <cellStyle name="Normal 4 3 3 7 2 2 2 2" xfId="32070" xr:uid="{00000000-0005-0000-0000-0000FB610000}"/>
    <cellStyle name="Normal 4 3 3 7 2 2 3" xfId="32069" xr:uid="{00000000-0005-0000-0000-0000FC610000}"/>
    <cellStyle name="Normal 4 3 3 7 2 3" xfId="8580" xr:uid="{00000000-0005-0000-0000-0000FD610000}"/>
    <cellStyle name="Normal 4 3 3 7 2 3 2" xfId="32071" xr:uid="{00000000-0005-0000-0000-0000FE610000}"/>
    <cellStyle name="Normal 4 3 3 7 2 4" xfId="32068" xr:uid="{00000000-0005-0000-0000-0000FF610000}"/>
    <cellStyle name="Normal 4 3 3 7 3" xfId="8581" xr:uid="{00000000-0005-0000-0000-000000620000}"/>
    <cellStyle name="Normal 4 3 3 7 3 2" xfId="8582" xr:uid="{00000000-0005-0000-0000-000001620000}"/>
    <cellStyle name="Normal 4 3 3 7 3 2 2" xfId="32073" xr:uid="{00000000-0005-0000-0000-000002620000}"/>
    <cellStyle name="Normal 4 3 3 7 3 3" xfId="32072" xr:uid="{00000000-0005-0000-0000-000003620000}"/>
    <cellStyle name="Normal 4 3 3 7 4" xfId="8583" xr:uid="{00000000-0005-0000-0000-000004620000}"/>
    <cellStyle name="Normal 4 3 3 7 4 2" xfId="32074" xr:uid="{00000000-0005-0000-0000-000005620000}"/>
    <cellStyle name="Normal 4 3 3 7 5" xfId="32067" xr:uid="{00000000-0005-0000-0000-000006620000}"/>
    <cellStyle name="Normal 4 3 3 8" xfId="8584" xr:uid="{00000000-0005-0000-0000-000007620000}"/>
    <cellStyle name="Normal 4 3 3 8 2" xfId="8585" xr:uid="{00000000-0005-0000-0000-000008620000}"/>
    <cellStyle name="Normal 4 3 3 8 2 2" xfId="8586" xr:uid="{00000000-0005-0000-0000-000009620000}"/>
    <cellStyle name="Normal 4 3 3 8 2 2 2" xfId="32077" xr:uid="{00000000-0005-0000-0000-00000A620000}"/>
    <cellStyle name="Normal 4 3 3 8 2 3" xfId="32076" xr:uid="{00000000-0005-0000-0000-00000B620000}"/>
    <cellStyle name="Normal 4 3 3 8 3" xfId="8587" xr:uid="{00000000-0005-0000-0000-00000C620000}"/>
    <cellStyle name="Normal 4 3 3 8 3 2" xfId="32078" xr:uid="{00000000-0005-0000-0000-00000D620000}"/>
    <cellStyle name="Normal 4 3 3 8 4" xfId="32075" xr:uid="{00000000-0005-0000-0000-00000E620000}"/>
    <cellStyle name="Normal 4 3 3 9" xfId="8588" xr:uid="{00000000-0005-0000-0000-00000F620000}"/>
    <cellStyle name="Normal 4 3 3 9 2" xfId="8589" xr:uid="{00000000-0005-0000-0000-000010620000}"/>
    <cellStyle name="Normal 4 3 3 9 2 2" xfId="32080" xr:uid="{00000000-0005-0000-0000-000011620000}"/>
    <cellStyle name="Normal 4 3 3 9 3" xfId="32079" xr:uid="{00000000-0005-0000-0000-000012620000}"/>
    <cellStyle name="Normal 4 3 4" xfId="8590" xr:uid="{00000000-0005-0000-0000-000013620000}"/>
    <cellStyle name="Normal 4 3 4 10" xfId="32081" xr:uid="{00000000-0005-0000-0000-000014620000}"/>
    <cellStyle name="Normal 4 3 4 2" xfId="8591" xr:uid="{00000000-0005-0000-0000-000015620000}"/>
    <cellStyle name="Normal 4 3 4 2 2" xfId="8592" xr:uid="{00000000-0005-0000-0000-000016620000}"/>
    <cellStyle name="Normal 4 3 4 2 2 2" xfId="8593" xr:uid="{00000000-0005-0000-0000-000017620000}"/>
    <cellStyle name="Normal 4 3 4 2 2 2 2" xfId="8594" xr:uid="{00000000-0005-0000-0000-000018620000}"/>
    <cellStyle name="Normal 4 3 4 2 2 2 2 2" xfId="8595" xr:uid="{00000000-0005-0000-0000-000019620000}"/>
    <cellStyle name="Normal 4 3 4 2 2 2 2 2 2" xfId="32086" xr:uid="{00000000-0005-0000-0000-00001A620000}"/>
    <cellStyle name="Normal 4 3 4 2 2 2 2 3" xfId="32085" xr:uid="{00000000-0005-0000-0000-00001B620000}"/>
    <cellStyle name="Normal 4 3 4 2 2 2 3" xfId="8596" xr:uid="{00000000-0005-0000-0000-00001C620000}"/>
    <cellStyle name="Normal 4 3 4 2 2 2 3 2" xfId="32087" xr:uid="{00000000-0005-0000-0000-00001D620000}"/>
    <cellStyle name="Normal 4 3 4 2 2 2 4" xfId="32084" xr:uid="{00000000-0005-0000-0000-00001E620000}"/>
    <cellStyle name="Normal 4 3 4 2 2 3" xfId="8597" xr:uid="{00000000-0005-0000-0000-00001F620000}"/>
    <cellStyle name="Normal 4 3 4 2 2 3 2" xfId="8598" xr:uid="{00000000-0005-0000-0000-000020620000}"/>
    <cellStyle name="Normal 4 3 4 2 2 3 2 2" xfId="32089" xr:uid="{00000000-0005-0000-0000-000021620000}"/>
    <cellStyle name="Normal 4 3 4 2 2 3 3" xfId="32088" xr:uid="{00000000-0005-0000-0000-000022620000}"/>
    <cellStyle name="Normal 4 3 4 2 2 4" xfId="8599" xr:uid="{00000000-0005-0000-0000-000023620000}"/>
    <cellStyle name="Normal 4 3 4 2 2 4 2" xfId="32090" xr:uid="{00000000-0005-0000-0000-000024620000}"/>
    <cellStyle name="Normal 4 3 4 2 2 5" xfId="32083" xr:uid="{00000000-0005-0000-0000-000025620000}"/>
    <cellStyle name="Normal 4 3 4 2 3" xfId="8600" xr:uid="{00000000-0005-0000-0000-000026620000}"/>
    <cellStyle name="Normal 4 3 4 2 3 2" xfId="8601" xr:uid="{00000000-0005-0000-0000-000027620000}"/>
    <cellStyle name="Normal 4 3 4 2 3 2 2" xfId="8602" xr:uid="{00000000-0005-0000-0000-000028620000}"/>
    <cellStyle name="Normal 4 3 4 2 3 2 2 2" xfId="8603" xr:uid="{00000000-0005-0000-0000-000029620000}"/>
    <cellStyle name="Normal 4 3 4 2 3 2 2 2 2" xfId="32094" xr:uid="{00000000-0005-0000-0000-00002A620000}"/>
    <cellStyle name="Normal 4 3 4 2 3 2 2 3" xfId="32093" xr:uid="{00000000-0005-0000-0000-00002B620000}"/>
    <cellStyle name="Normal 4 3 4 2 3 2 3" xfId="8604" xr:uid="{00000000-0005-0000-0000-00002C620000}"/>
    <cellStyle name="Normal 4 3 4 2 3 2 3 2" xfId="32095" xr:uid="{00000000-0005-0000-0000-00002D620000}"/>
    <cellStyle name="Normal 4 3 4 2 3 2 4" xfId="32092" xr:uid="{00000000-0005-0000-0000-00002E620000}"/>
    <cellStyle name="Normal 4 3 4 2 3 3" xfId="8605" xr:uid="{00000000-0005-0000-0000-00002F620000}"/>
    <cellStyle name="Normal 4 3 4 2 3 3 2" xfId="8606" xr:uid="{00000000-0005-0000-0000-000030620000}"/>
    <cellStyle name="Normal 4 3 4 2 3 3 2 2" xfId="32097" xr:uid="{00000000-0005-0000-0000-000031620000}"/>
    <cellStyle name="Normal 4 3 4 2 3 3 3" xfId="32096" xr:uid="{00000000-0005-0000-0000-000032620000}"/>
    <cellStyle name="Normal 4 3 4 2 3 4" xfId="8607" xr:uid="{00000000-0005-0000-0000-000033620000}"/>
    <cellStyle name="Normal 4 3 4 2 3 4 2" xfId="32098" xr:uid="{00000000-0005-0000-0000-000034620000}"/>
    <cellStyle name="Normal 4 3 4 2 3 5" xfId="32091" xr:uid="{00000000-0005-0000-0000-000035620000}"/>
    <cellStyle name="Normal 4 3 4 2 4" xfId="8608" xr:uid="{00000000-0005-0000-0000-000036620000}"/>
    <cellStyle name="Normal 4 3 4 2 4 2" xfId="8609" xr:uid="{00000000-0005-0000-0000-000037620000}"/>
    <cellStyle name="Normal 4 3 4 2 4 2 2" xfId="8610" xr:uid="{00000000-0005-0000-0000-000038620000}"/>
    <cellStyle name="Normal 4 3 4 2 4 2 2 2" xfId="32101" xr:uid="{00000000-0005-0000-0000-000039620000}"/>
    <cellStyle name="Normal 4 3 4 2 4 2 3" xfId="32100" xr:uid="{00000000-0005-0000-0000-00003A620000}"/>
    <cellStyle name="Normal 4 3 4 2 4 3" xfId="8611" xr:uid="{00000000-0005-0000-0000-00003B620000}"/>
    <cellStyle name="Normal 4 3 4 2 4 3 2" xfId="32102" xr:uid="{00000000-0005-0000-0000-00003C620000}"/>
    <cellStyle name="Normal 4 3 4 2 4 4" xfId="32099" xr:uid="{00000000-0005-0000-0000-00003D620000}"/>
    <cellStyle name="Normal 4 3 4 2 5" xfId="8612" xr:uid="{00000000-0005-0000-0000-00003E620000}"/>
    <cellStyle name="Normal 4 3 4 2 5 2" xfId="8613" xr:uid="{00000000-0005-0000-0000-00003F620000}"/>
    <cellStyle name="Normal 4 3 4 2 5 2 2" xfId="32104" xr:uid="{00000000-0005-0000-0000-000040620000}"/>
    <cellStyle name="Normal 4 3 4 2 5 3" xfId="32103" xr:uid="{00000000-0005-0000-0000-000041620000}"/>
    <cellStyle name="Normal 4 3 4 2 6" xfId="8614" xr:uid="{00000000-0005-0000-0000-000042620000}"/>
    <cellStyle name="Normal 4 3 4 2 6 2" xfId="32105" xr:uid="{00000000-0005-0000-0000-000043620000}"/>
    <cellStyle name="Normal 4 3 4 2 7" xfId="32082" xr:uid="{00000000-0005-0000-0000-000044620000}"/>
    <cellStyle name="Normal 4 3 4 3" xfId="8615" xr:uid="{00000000-0005-0000-0000-000045620000}"/>
    <cellStyle name="Normal 4 3 4 3 2" xfId="8616" xr:uid="{00000000-0005-0000-0000-000046620000}"/>
    <cellStyle name="Normal 4 3 4 3 2 2" xfId="8617" xr:uid="{00000000-0005-0000-0000-000047620000}"/>
    <cellStyle name="Normal 4 3 4 3 2 2 2" xfId="8618" xr:uid="{00000000-0005-0000-0000-000048620000}"/>
    <cellStyle name="Normal 4 3 4 3 2 2 2 2" xfId="8619" xr:uid="{00000000-0005-0000-0000-000049620000}"/>
    <cellStyle name="Normal 4 3 4 3 2 2 2 2 2" xfId="32110" xr:uid="{00000000-0005-0000-0000-00004A620000}"/>
    <cellStyle name="Normal 4 3 4 3 2 2 2 3" xfId="32109" xr:uid="{00000000-0005-0000-0000-00004B620000}"/>
    <cellStyle name="Normal 4 3 4 3 2 2 3" xfId="8620" xr:uid="{00000000-0005-0000-0000-00004C620000}"/>
    <cellStyle name="Normal 4 3 4 3 2 2 3 2" xfId="32111" xr:uid="{00000000-0005-0000-0000-00004D620000}"/>
    <cellStyle name="Normal 4 3 4 3 2 2 4" xfId="32108" xr:uid="{00000000-0005-0000-0000-00004E620000}"/>
    <cellStyle name="Normal 4 3 4 3 2 3" xfId="8621" xr:uid="{00000000-0005-0000-0000-00004F620000}"/>
    <cellStyle name="Normal 4 3 4 3 2 3 2" xfId="8622" xr:uid="{00000000-0005-0000-0000-000050620000}"/>
    <cellStyle name="Normal 4 3 4 3 2 3 2 2" xfId="32113" xr:uid="{00000000-0005-0000-0000-000051620000}"/>
    <cellStyle name="Normal 4 3 4 3 2 3 3" xfId="32112" xr:uid="{00000000-0005-0000-0000-000052620000}"/>
    <cellStyle name="Normal 4 3 4 3 2 4" xfId="8623" xr:uid="{00000000-0005-0000-0000-000053620000}"/>
    <cellStyle name="Normal 4 3 4 3 2 4 2" xfId="32114" xr:uid="{00000000-0005-0000-0000-000054620000}"/>
    <cellStyle name="Normal 4 3 4 3 2 5" xfId="32107" xr:uid="{00000000-0005-0000-0000-000055620000}"/>
    <cellStyle name="Normal 4 3 4 3 3" xfId="8624" xr:uid="{00000000-0005-0000-0000-000056620000}"/>
    <cellStyle name="Normal 4 3 4 3 3 2" xfId="8625" xr:uid="{00000000-0005-0000-0000-000057620000}"/>
    <cellStyle name="Normal 4 3 4 3 3 2 2" xfId="8626" xr:uid="{00000000-0005-0000-0000-000058620000}"/>
    <cellStyle name="Normal 4 3 4 3 3 2 2 2" xfId="8627" xr:uid="{00000000-0005-0000-0000-000059620000}"/>
    <cellStyle name="Normal 4 3 4 3 3 2 2 2 2" xfId="32118" xr:uid="{00000000-0005-0000-0000-00005A620000}"/>
    <cellStyle name="Normal 4 3 4 3 3 2 2 3" xfId="32117" xr:uid="{00000000-0005-0000-0000-00005B620000}"/>
    <cellStyle name="Normal 4 3 4 3 3 2 3" xfId="8628" xr:uid="{00000000-0005-0000-0000-00005C620000}"/>
    <cellStyle name="Normal 4 3 4 3 3 2 3 2" xfId="32119" xr:uid="{00000000-0005-0000-0000-00005D620000}"/>
    <cellStyle name="Normal 4 3 4 3 3 2 4" xfId="32116" xr:uid="{00000000-0005-0000-0000-00005E620000}"/>
    <cellStyle name="Normal 4 3 4 3 3 3" xfId="8629" xr:uid="{00000000-0005-0000-0000-00005F620000}"/>
    <cellStyle name="Normal 4 3 4 3 3 3 2" xfId="8630" xr:uid="{00000000-0005-0000-0000-000060620000}"/>
    <cellStyle name="Normal 4 3 4 3 3 3 2 2" xfId="32121" xr:uid="{00000000-0005-0000-0000-000061620000}"/>
    <cellStyle name="Normal 4 3 4 3 3 3 3" xfId="32120" xr:uid="{00000000-0005-0000-0000-000062620000}"/>
    <cellStyle name="Normal 4 3 4 3 3 4" xfId="8631" xr:uid="{00000000-0005-0000-0000-000063620000}"/>
    <cellStyle name="Normal 4 3 4 3 3 4 2" xfId="32122" xr:uid="{00000000-0005-0000-0000-000064620000}"/>
    <cellStyle name="Normal 4 3 4 3 3 5" xfId="32115" xr:uid="{00000000-0005-0000-0000-000065620000}"/>
    <cellStyle name="Normal 4 3 4 3 4" xfId="8632" xr:uid="{00000000-0005-0000-0000-000066620000}"/>
    <cellStyle name="Normal 4 3 4 3 4 2" xfId="8633" xr:uid="{00000000-0005-0000-0000-000067620000}"/>
    <cellStyle name="Normal 4 3 4 3 4 2 2" xfId="8634" xr:uid="{00000000-0005-0000-0000-000068620000}"/>
    <cellStyle name="Normal 4 3 4 3 4 2 2 2" xfId="32125" xr:uid="{00000000-0005-0000-0000-000069620000}"/>
    <cellStyle name="Normal 4 3 4 3 4 2 3" xfId="32124" xr:uid="{00000000-0005-0000-0000-00006A620000}"/>
    <cellStyle name="Normal 4 3 4 3 4 3" xfId="8635" xr:uid="{00000000-0005-0000-0000-00006B620000}"/>
    <cellStyle name="Normal 4 3 4 3 4 3 2" xfId="32126" xr:uid="{00000000-0005-0000-0000-00006C620000}"/>
    <cellStyle name="Normal 4 3 4 3 4 4" xfId="32123" xr:uid="{00000000-0005-0000-0000-00006D620000}"/>
    <cellStyle name="Normal 4 3 4 3 5" xfId="8636" xr:uid="{00000000-0005-0000-0000-00006E620000}"/>
    <cellStyle name="Normal 4 3 4 3 5 2" xfId="8637" xr:uid="{00000000-0005-0000-0000-00006F620000}"/>
    <cellStyle name="Normal 4 3 4 3 5 2 2" xfId="32128" xr:uid="{00000000-0005-0000-0000-000070620000}"/>
    <cellStyle name="Normal 4 3 4 3 5 3" xfId="32127" xr:uid="{00000000-0005-0000-0000-000071620000}"/>
    <cellStyle name="Normal 4 3 4 3 6" xfId="8638" xr:uid="{00000000-0005-0000-0000-000072620000}"/>
    <cellStyle name="Normal 4 3 4 3 6 2" xfId="32129" xr:uid="{00000000-0005-0000-0000-000073620000}"/>
    <cellStyle name="Normal 4 3 4 3 7" xfId="32106" xr:uid="{00000000-0005-0000-0000-000074620000}"/>
    <cellStyle name="Normal 4 3 4 4" xfId="8639" xr:uid="{00000000-0005-0000-0000-000075620000}"/>
    <cellStyle name="Normal 4 3 4 4 2" xfId="8640" xr:uid="{00000000-0005-0000-0000-000076620000}"/>
    <cellStyle name="Normal 4 3 4 4 2 2" xfId="8641" xr:uid="{00000000-0005-0000-0000-000077620000}"/>
    <cellStyle name="Normal 4 3 4 4 2 2 2" xfId="8642" xr:uid="{00000000-0005-0000-0000-000078620000}"/>
    <cellStyle name="Normal 4 3 4 4 2 2 2 2" xfId="8643" xr:uid="{00000000-0005-0000-0000-000079620000}"/>
    <cellStyle name="Normal 4 3 4 4 2 2 2 2 2" xfId="32134" xr:uid="{00000000-0005-0000-0000-00007A620000}"/>
    <cellStyle name="Normal 4 3 4 4 2 2 2 3" xfId="32133" xr:uid="{00000000-0005-0000-0000-00007B620000}"/>
    <cellStyle name="Normal 4 3 4 4 2 2 3" xfId="8644" xr:uid="{00000000-0005-0000-0000-00007C620000}"/>
    <cellStyle name="Normal 4 3 4 4 2 2 3 2" xfId="32135" xr:uid="{00000000-0005-0000-0000-00007D620000}"/>
    <cellStyle name="Normal 4 3 4 4 2 2 4" xfId="32132" xr:uid="{00000000-0005-0000-0000-00007E620000}"/>
    <cellStyle name="Normal 4 3 4 4 2 3" xfId="8645" xr:uid="{00000000-0005-0000-0000-00007F620000}"/>
    <cellStyle name="Normal 4 3 4 4 2 3 2" xfId="8646" xr:uid="{00000000-0005-0000-0000-000080620000}"/>
    <cellStyle name="Normal 4 3 4 4 2 3 2 2" xfId="32137" xr:uid="{00000000-0005-0000-0000-000081620000}"/>
    <cellStyle name="Normal 4 3 4 4 2 3 3" xfId="32136" xr:uid="{00000000-0005-0000-0000-000082620000}"/>
    <cellStyle name="Normal 4 3 4 4 2 4" xfId="8647" xr:uid="{00000000-0005-0000-0000-000083620000}"/>
    <cellStyle name="Normal 4 3 4 4 2 4 2" xfId="32138" xr:uid="{00000000-0005-0000-0000-000084620000}"/>
    <cellStyle name="Normal 4 3 4 4 2 5" xfId="32131" xr:uid="{00000000-0005-0000-0000-000085620000}"/>
    <cellStyle name="Normal 4 3 4 4 3" xfId="8648" xr:uid="{00000000-0005-0000-0000-000086620000}"/>
    <cellStyle name="Normal 4 3 4 4 3 2" xfId="8649" xr:uid="{00000000-0005-0000-0000-000087620000}"/>
    <cellStyle name="Normal 4 3 4 4 3 2 2" xfId="8650" xr:uid="{00000000-0005-0000-0000-000088620000}"/>
    <cellStyle name="Normal 4 3 4 4 3 2 2 2" xfId="8651" xr:uid="{00000000-0005-0000-0000-000089620000}"/>
    <cellStyle name="Normal 4 3 4 4 3 2 2 2 2" xfId="32142" xr:uid="{00000000-0005-0000-0000-00008A620000}"/>
    <cellStyle name="Normal 4 3 4 4 3 2 2 3" xfId="32141" xr:uid="{00000000-0005-0000-0000-00008B620000}"/>
    <cellStyle name="Normal 4 3 4 4 3 2 3" xfId="8652" xr:uid="{00000000-0005-0000-0000-00008C620000}"/>
    <cellStyle name="Normal 4 3 4 4 3 2 3 2" xfId="32143" xr:uid="{00000000-0005-0000-0000-00008D620000}"/>
    <cellStyle name="Normal 4 3 4 4 3 2 4" xfId="32140" xr:uid="{00000000-0005-0000-0000-00008E620000}"/>
    <cellStyle name="Normal 4 3 4 4 3 3" xfId="8653" xr:uid="{00000000-0005-0000-0000-00008F620000}"/>
    <cellStyle name="Normal 4 3 4 4 3 3 2" xfId="8654" xr:uid="{00000000-0005-0000-0000-000090620000}"/>
    <cellStyle name="Normal 4 3 4 4 3 3 2 2" xfId="32145" xr:uid="{00000000-0005-0000-0000-000091620000}"/>
    <cellStyle name="Normal 4 3 4 4 3 3 3" xfId="32144" xr:uid="{00000000-0005-0000-0000-000092620000}"/>
    <cellStyle name="Normal 4 3 4 4 3 4" xfId="8655" xr:uid="{00000000-0005-0000-0000-000093620000}"/>
    <cellStyle name="Normal 4 3 4 4 3 4 2" xfId="32146" xr:uid="{00000000-0005-0000-0000-000094620000}"/>
    <cellStyle name="Normal 4 3 4 4 3 5" xfId="32139" xr:uid="{00000000-0005-0000-0000-000095620000}"/>
    <cellStyle name="Normal 4 3 4 4 4" xfId="8656" xr:uid="{00000000-0005-0000-0000-000096620000}"/>
    <cellStyle name="Normal 4 3 4 4 4 2" xfId="8657" xr:uid="{00000000-0005-0000-0000-000097620000}"/>
    <cellStyle name="Normal 4 3 4 4 4 2 2" xfId="8658" xr:uid="{00000000-0005-0000-0000-000098620000}"/>
    <cellStyle name="Normal 4 3 4 4 4 2 2 2" xfId="32149" xr:uid="{00000000-0005-0000-0000-000099620000}"/>
    <cellStyle name="Normal 4 3 4 4 4 2 3" xfId="32148" xr:uid="{00000000-0005-0000-0000-00009A620000}"/>
    <cellStyle name="Normal 4 3 4 4 4 3" xfId="8659" xr:uid="{00000000-0005-0000-0000-00009B620000}"/>
    <cellStyle name="Normal 4 3 4 4 4 3 2" xfId="32150" xr:uid="{00000000-0005-0000-0000-00009C620000}"/>
    <cellStyle name="Normal 4 3 4 4 4 4" xfId="32147" xr:uid="{00000000-0005-0000-0000-00009D620000}"/>
    <cellStyle name="Normal 4 3 4 4 5" xfId="8660" xr:uid="{00000000-0005-0000-0000-00009E620000}"/>
    <cellStyle name="Normal 4 3 4 4 5 2" xfId="8661" xr:uid="{00000000-0005-0000-0000-00009F620000}"/>
    <cellStyle name="Normal 4 3 4 4 5 2 2" xfId="32152" xr:uid="{00000000-0005-0000-0000-0000A0620000}"/>
    <cellStyle name="Normal 4 3 4 4 5 3" xfId="32151" xr:uid="{00000000-0005-0000-0000-0000A1620000}"/>
    <cellStyle name="Normal 4 3 4 4 6" xfId="8662" xr:uid="{00000000-0005-0000-0000-0000A2620000}"/>
    <cellStyle name="Normal 4 3 4 4 6 2" xfId="32153" xr:uid="{00000000-0005-0000-0000-0000A3620000}"/>
    <cellStyle name="Normal 4 3 4 4 7" xfId="32130" xr:uid="{00000000-0005-0000-0000-0000A4620000}"/>
    <cellStyle name="Normal 4 3 4 5" xfId="8663" xr:uid="{00000000-0005-0000-0000-0000A5620000}"/>
    <cellStyle name="Normal 4 3 4 5 2" xfId="8664" xr:uid="{00000000-0005-0000-0000-0000A6620000}"/>
    <cellStyle name="Normal 4 3 4 5 2 2" xfId="8665" xr:uid="{00000000-0005-0000-0000-0000A7620000}"/>
    <cellStyle name="Normal 4 3 4 5 2 2 2" xfId="8666" xr:uid="{00000000-0005-0000-0000-0000A8620000}"/>
    <cellStyle name="Normal 4 3 4 5 2 2 2 2" xfId="32157" xr:uid="{00000000-0005-0000-0000-0000A9620000}"/>
    <cellStyle name="Normal 4 3 4 5 2 2 3" xfId="32156" xr:uid="{00000000-0005-0000-0000-0000AA620000}"/>
    <cellStyle name="Normal 4 3 4 5 2 3" xfId="8667" xr:uid="{00000000-0005-0000-0000-0000AB620000}"/>
    <cellStyle name="Normal 4 3 4 5 2 3 2" xfId="32158" xr:uid="{00000000-0005-0000-0000-0000AC620000}"/>
    <cellStyle name="Normal 4 3 4 5 2 4" xfId="32155" xr:uid="{00000000-0005-0000-0000-0000AD620000}"/>
    <cellStyle name="Normal 4 3 4 5 3" xfId="8668" xr:uid="{00000000-0005-0000-0000-0000AE620000}"/>
    <cellStyle name="Normal 4 3 4 5 3 2" xfId="8669" xr:uid="{00000000-0005-0000-0000-0000AF620000}"/>
    <cellStyle name="Normal 4 3 4 5 3 2 2" xfId="32160" xr:uid="{00000000-0005-0000-0000-0000B0620000}"/>
    <cellStyle name="Normal 4 3 4 5 3 3" xfId="32159" xr:uid="{00000000-0005-0000-0000-0000B1620000}"/>
    <cellStyle name="Normal 4 3 4 5 4" xfId="8670" xr:uid="{00000000-0005-0000-0000-0000B2620000}"/>
    <cellStyle name="Normal 4 3 4 5 4 2" xfId="32161" xr:uid="{00000000-0005-0000-0000-0000B3620000}"/>
    <cellStyle name="Normal 4 3 4 5 5" xfId="32154" xr:uid="{00000000-0005-0000-0000-0000B4620000}"/>
    <cellStyle name="Normal 4 3 4 6" xfId="8671" xr:uid="{00000000-0005-0000-0000-0000B5620000}"/>
    <cellStyle name="Normal 4 3 4 6 2" xfId="8672" xr:uid="{00000000-0005-0000-0000-0000B6620000}"/>
    <cellStyle name="Normal 4 3 4 6 2 2" xfId="8673" xr:uid="{00000000-0005-0000-0000-0000B7620000}"/>
    <cellStyle name="Normal 4 3 4 6 2 2 2" xfId="8674" xr:uid="{00000000-0005-0000-0000-0000B8620000}"/>
    <cellStyle name="Normal 4 3 4 6 2 2 2 2" xfId="32165" xr:uid="{00000000-0005-0000-0000-0000B9620000}"/>
    <cellStyle name="Normal 4 3 4 6 2 2 3" xfId="32164" xr:uid="{00000000-0005-0000-0000-0000BA620000}"/>
    <cellStyle name="Normal 4 3 4 6 2 3" xfId="8675" xr:uid="{00000000-0005-0000-0000-0000BB620000}"/>
    <cellStyle name="Normal 4 3 4 6 2 3 2" xfId="32166" xr:uid="{00000000-0005-0000-0000-0000BC620000}"/>
    <cellStyle name="Normal 4 3 4 6 2 4" xfId="32163" xr:uid="{00000000-0005-0000-0000-0000BD620000}"/>
    <cellStyle name="Normal 4 3 4 6 3" xfId="8676" xr:uid="{00000000-0005-0000-0000-0000BE620000}"/>
    <cellStyle name="Normal 4 3 4 6 3 2" xfId="8677" xr:uid="{00000000-0005-0000-0000-0000BF620000}"/>
    <cellStyle name="Normal 4 3 4 6 3 2 2" xfId="32168" xr:uid="{00000000-0005-0000-0000-0000C0620000}"/>
    <cellStyle name="Normal 4 3 4 6 3 3" xfId="32167" xr:uid="{00000000-0005-0000-0000-0000C1620000}"/>
    <cellStyle name="Normal 4 3 4 6 4" xfId="8678" xr:uid="{00000000-0005-0000-0000-0000C2620000}"/>
    <cellStyle name="Normal 4 3 4 6 4 2" xfId="32169" xr:uid="{00000000-0005-0000-0000-0000C3620000}"/>
    <cellStyle name="Normal 4 3 4 6 5" xfId="32162" xr:uid="{00000000-0005-0000-0000-0000C4620000}"/>
    <cellStyle name="Normal 4 3 4 7" xfId="8679" xr:uid="{00000000-0005-0000-0000-0000C5620000}"/>
    <cellStyle name="Normal 4 3 4 7 2" xfId="8680" xr:uid="{00000000-0005-0000-0000-0000C6620000}"/>
    <cellStyle name="Normal 4 3 4 7 2 2" xfId="8681" xr:uid="{00000000-0005-0000-0000-0000C7620000}"/>
    <cellStyle name="Normal 4 3 4 7 2 2 2" xfId="32172" xr:uid="{00000000-0005-0000-0000-0000C8620000}"/>
    <cellStyle name="Normal 4 3 4 7 2 3" xfId="32171" xr:uid="{00000000-0005-0000-0000-0000C9620000}"/>
    <cellStyle name="Normal 4 3 4 7 3" xfId="8682" xr:uid="{00000000-0005-0000-0000-0000CA620000}"/>
    <cellStyle name="Normal 4 3 4 7 3 2" xfId="32173" xr:uid="{00000000-0005-0000-0000-0000CB620000}"/>
    <cellStyle name="Normal 4 3 4 7 4" xfId="32170" xr:uid="{00000000-0005-0000-0000-0000CC620000}"/>
    <cellStyle name="Normal 4 3 4 8" xfId="8683" xr:uid="{00000000-0005-0000-0000-0000CD620000}"/>
    <cellStyle name="Normal 4 3 4 8 2" xfId="8684" xr:uid="{00000000-0005-0000-0000-0000CE620000}"/>
    <cellStyle name="Normal 4 3 4 8 2 2" xfId="32175" xr:uid="{00000000-0005-0000-0000-0000CF620000}"/>
    <cellStyle name="Normal 4 3 4 8 3" xfId="32174" xr:uid="{00000000-0005-0000-0000-0000D0620000}"/>
    <cellStyle name="Normal 4 3 4 9" xfId="8685" xr:uid="{00000000-0005-0000-0000-0000D1620000}"/>
    <cellStyle name="Normal 4 3 4 9 2" xfId="32176" xr:uid="{00000000-0005-0000-0000-0000D2620000}"/>
    <cellStyle name="Normal 4 3 5" xfId="8686" xr:uid="{00000000-0005-0000-0000-0000D3620000}"/>
    <cellStyle name="Normal 4 3 5 10" xfId="32177" xr:uid="{00000000-0005-0000-0000-0000D4620000}"/>
    <cellStyle name="Normal 4 3 5 2" xfId="8687" xr:uid="{00000000-0005-0000-0000-0000D5620000}"/>
    <cellStyle name="Normal 4 3 5 2 2" xfId="8688" xr:uid="{00000000-0005-0000-0000-0000D6620000}"/>
    <cellStyle name="Normal 4 3 5 2 2 2" xfId="8689" xr:uid="{00000000-0005-0000-0000-0000D7620000}"/>
    <cellStyle name="Normal 4 3 5 2 2 2 2" xfId="8690" xr:uid="{00000000-0005-0000-0000-0000D8620000}"/>
    <cellStyle name="Normal 4 3 5 2 2 2 2 2" xfId="8691" xr:uid="{00000000-0005-0000-0000-0000D9620000}"/>
    <cellStyle name="Normal 4 3 5 2 2 2 2 2 2" xfId="32182" xr:uid="{00000000-0005-0000-0000-0000DA620000}"/>
    <cellStyle name="Normal 4 3 5 2 2 2 2 3" xfId="32181" xr:uid="{00000000-0005-0000-0000-0000DB620000}"/>
    <cellStyle name="Normal 4 3 5 2 2 2 3" xfId="8692" xr:uid="{00000000-0005-0000-0000-0000DC620000}"/>
    <cellStyle name="Normal 4 3 5 2 2 2 3 2" xfId="32183" xr:uid="{00000000-0005-0000-0000-0000DD620000}"/>
    <cellStyle name="Normal 4 3 5 2 2 2 4" xfId="32180" xr:uid="{00000000-0005-0000-0000-0000DE620000}"/>
    <cellStyle name="Normal 4 3 5 2 2 3" xfId="8693" xr:uid="{00000000-0005-0000-0000-0000DF620000}"/>
    <cellStyle name="Normal 4 3 5 2 2 3 2" xfId="8694" xr:uid="{00000000-0005-0000-0000-0000E0620000}"/>
    <cellStyle name="Normal 4 3 5 2 2 3 2 2" xfId="32185" xr:uid="{00000000-0005-0000-0000-0000E1620000}"/>
    <cellStyle name="Normal 4 3 5 2 2 3 3" xfId="32184" xr:uid="{00000000-0005-0000-0000-0000E2620000}"/>
    <cellStyle name="Normal 4 3 5 2 2 4" xfId="8695" xr:uid="{00000000-0005-0000-0000-0000E3620000}"/>
    <cellStyle name="Normal 4 3 5 2 2 4 2" xfId="32186" xr:uid="{00000000-0005-0000-0000-0000E4620000}"/>
    <cellStyle name="Normal 4 3 5 2 2 5" xfId="32179" xr:uid="{00000000-0005-0000-0000-0000E5620000}"/>
    <cellStyle name="Normal 4 3 5 2 3" xfId="8696" xr:uid="{00000000-0005-0000-0000-0000E6620000}"/>
    <cellStyle name="Normal 4 3 5 2 3 2" xfId="8697" xr:uid="{00000000-0005-0000-0000-0000E7620000}"/>
    <cellStyle name="Normal 4 3 5 2 3 2 2" xfId="8698" xr:uid="{00000000-0005-0000-0000-0000E8620000}"/>
    <cellStyle name="Normal 4 3 5 2 3 2 2 2" xfId="8699" xr:uid="{00000000-0005-0000-0000-0000E9620000}"/>
    <cellStyle name="Normal 4 3 5 2 3 2 2 2 2" xfId="32190" xr:uid="{00000000-0005-0000-0000-0000EA620000}"/>
    <cellStyle name="Normal 4 3 5 2 3 2 2 3" xfId="32189" xr:uid="{00000000-0005-0000-0000-0000EB620000}"/>
    <cellStyle name="Normal 4 3 5 2 3 2 3" xfId="8700" xr:uid="{00000000-0005-0000-0000-0000EC620000}"/>
    <cellStyle name="Normal 4 3 5 2 3 2 3 2" xfId="32191" xr:uid="{00000000-0005-0000-0000-0000ED620000}"/>
    <cellStyle name="Normal 4 3 5 2 3 2 4" xfId="32188" xr:uid="{00000000-0005-0000-0000-0000EE620000}"/>
    <cellStyle name="Normal 4 3 5 2 3 3" xfId="8701" xr:uid="{00000000-0005-0000-0000-0000EF620000}"/>
    <cellStyle name="Normal 4 3 5 2 3 3 2" xfId="8702" xr:uid="{00000000-0005-0000-0000-0000F0620000}"/>
    <cellStyle name="Normal 4 3 5 2 3 3 2 2" xfId="32193" xr:uid="{00000000-0005-0000-0000-0000F1620000}"/>
    <cellStyle name="Normal 4 3 5 2 3 3 3" xfId="32192" xr:uid="{00000000-0005-0000-0000-0000F2620000}"/>
    <cellStyle name="Normal 4 3 5 2 3 4" xfId="8703" xr:uid="{00000000-0005-0000-0000-0000F3620000}"/>
    <cellStyle name="Normal 4 3 5 2 3 4 2" xfId="32194" xr:uid="{00000000-0005-0000-0000-0000F4620000}"/>
    <cellStyle name="Normal 4 3 5 2 3 5" xfId="32187" xr:uid="{00000000-0005-0000-0000-0000F5620000}"/>
    <cellStyle name="Normal 4 3 5 2 4" xfId="8704" xr:uid="{00000000-0005-0000-0000-0000F6620000}"/>
    <cellStyle name="Normal 4 3 5 2 4 2" xfId="8705" xr:uid="{00000000-0005-0000-0000-0000F7620000}"/>
    <cellStyle name="Normal 4 3 5 2 4 2 2" xfId="8706" xr:uid="{00000000-0005-0000-0000-0000F8620000}"/>
    <cellStyle name="Normal 4 3 5 2 4 2 2 2" xfId="32197" xr:uid="{00000000-0005-0000-0000-0000F9620000}"/>
    <cellStyle name="Normal 4 3 5 2 4 2 3" xfId="32196" xr:uid="{00000000-0005-0000-0000-0000FA620000}"/>
    <cellStyle name="Normal 4 3 5 2 4 3" xfId="8707" xr:uid="{00000000-0005-0000-0000-0000FB620000}"/>
    <cellStyle name="Normal 4 3 5 2 4 3 2" xfId="32198" xr:uid="{00000000-0005-0000-0000-0000FC620000}"/>
    <cellStyle name="Normal 4 3 5 2 4 4" xfId="32195" xr:uid="{00000000-0005-0000-0000-0000FD620000}"/>
    <cellStyle name="Normal 4 3 5 2 5" xfId="8708" xr:uid="{00000000-0005-0000-0000-0000FE620000}"/>
    <cellStyle name="Normal 4 3 5 2 5 2" xfId="8709" xr:uid="{00000000-0005-0000-0000-0000FF620000}"/>
    <cellStyle name="Normal 4 3 5 2 5 2 2" xfId="32200" xr:uid="{00000000-0005-0000-0000-000000630000}"/>
    <cellStyle name="Normal 4 3 5 2 5 3" xfId="32199" xr:uid="{00000000-0005-0000-0000-000001630000}"/>
    <cellStyle name="Normal 4 3 5 2 6" xfId="8710" xr:uid="{00000000-0005-0000-0000-000002630000}"/>
    <cellStyle name="Normal 4 3 5 2 6 2" xfId="32201" xr:uid="{00000000-0005-0000-0000-000003630000}"/>
    <cellStyle name="Normal 4 3 5 2 7" xfId="32178" xr:uid="{00000000-0005-0000-0000-000004630000}"/>
    <cellStyle name="Normal 4 3 5 3" xfId="8711" xr:uid="{00000000-0005-0000-0000-000005630000}"/>
    <cellStyle name="Normal 4 3 5 3 2" xfId="8712" xr:uid="{00000000-0005-0000-0000-000006630000}"/>
    <cellStyle name="Normal 4 3 5 3 2 2" xfId="8713" xr:uid="{00000000-0005-0000-0000-000007630000}"/>
    <cellStyle name="Normal 4 3 5 3 2 2 2" xfId="8714" xr:uid="{00000000-0005-0000-0000-000008630000}"/>
    <cellStyle name="Normal 4 3 5 3 2 2 2 2" xfId="8715" xr:uid="{00000000-0005-0000-0000-000009630000}"/>
    <cellStyle name="Normal 4 3 5 3 2 2 2 2 2" xfId="32206" xr:uid="{00000000-0005-0000-0000-00000A630000}"/>
    <cellStyle name="Normal 4 3 5 3 2 2 2 3" xfId="32205" xr:uid="{00000000-0005-0000-0000-00000B630000}"/>
    <cellStyle name="Normal 4 3 5 3 2 2 3" xfId="8716" xr:uid="{00000000-0005-0000-0000-00000C630000}"/>
    <cellStyle name="Normal 4 3 5 3 2 2 3 2" xfId="32207" xr:uid="{00000000-0005-0000-0000-00000D630000}"/>
    <cellStyle name="Normal 4 3 5 3 2 2 4" xfId="32204" xr:uid="{00000000-0005-0000-0000-00000E630000}"/>
    <cellStyle name="Normal 4 3 5 3 2 3" xfId="8717" xr:uid="{00000000-0005-0000-0000-00000F630000}"/>
    <cellStyle name="Normal 4 3 5 3 2 3 2" xfId="8718" xr:uid="{00000000-0005-0000-0000-000010630000}"/>
    <cellStyle name="Normal 4 3 5 3 2 3 2 2" xfId="32209" xr:uid="{00000000-0005-0000-0000-000011630000}"/>
    <cellStyle name="Normal 4 3 5 3 2 3 3" xfId="32208" xr:uid="{00000000-0005-0000-0000-000012630000}"/>
    <cellStyle name="Normal 4 3 5 3 2 4" xfId="8719" xr:uid="{00000000-0005-0000-0000-000013630000}"/>
    <cellStyle name="Normal 4 3 5 3 2 4 2" xfId="32210" xr:uid="{00000000-0005-0000-0000-000014630000}"/>
    <cellStyle name="Normal 4 3 5 3 2 5" xfId="32203" xr:uid="{00000000-0005-0000-0000-000015630000}"/>
    <cellStyle name="Normal 4 3 5 3 3" xfId="8720" xr:uid="{00000000-0005-0000-0000-000016630000}"/>
    <cellStyle name="Normal 4 3 5 3 3 2" xfId="8721" xr:uid="{00000000-0005-0000-0000-000017630000}"/>
    <cellStyle name="Normal 4 3 5 3 3 2 2" xfId="8722" xr:uid="{00000000-0005-0000-0000-000018630000}"/>
    <cellStyle name="Normal 4 3 5 3 3 2 2 2" xfId="8723" xr:uid="{00000000-0005-0000-0000-000019630000}"/>
    <cellStyle name="Normal 4 3 5 3 3 2 2 2 2" xfId="32214" xr:uid="{00000000-0005-0000-0000-00001A630000}"/>
    <cellStyle name="Normal 4 3 5 3 3 2 2 3" xfId="32213" xr:uid="{00000000-0005-0000-0000-00001B630000}"/>
    <cellStyle name="Normal 4 3 5 3 3 2 3" xfId="8724" xr:uid="{00000000-0005-0000-0000-00001C630000}"/>
    <cellStyle name="Normal 4 3 5 3 3 2 3 2" xfId="32215" xr:uid="{00000000-0005-0000-0000-00001D630000}"/>
    <cellStyle name="Normal 4 3 5 3 3 2 4" xfId="32212" xr:uid="{00000000-0005-0000-0000-00001E630000}"/>
    <cellStyle name="Normal 4 3 5 3 3 3" xfId="8725" xr:uid="{00000000-0005-0000-0000-00001F630000}"/>
    <cellStyle name="Normal 4 3 5 3 3 3 2" xfId="8726" xr:uid="{00000000-0005-0000-0000-000020630000}"/>
    <cellStyle name="Normal 4 3 5 3 3 3 2 2" xfId="32217" xr:uid="{00000000-0005-0000-0000-000021630000}"/>
    <cellStyle name="Normal 4 3 5 3 3 3 3" xfId="32216" xr:uid="{00000000-0005-0000-0000-000022630000}"/>
    <cellStyle name="Normal 4 3 5 3 3 4" xfId="8727" xr:uid="{00000000-0005-0000-0000-000023630000}"/>
    <cellStyle name="Normal 4 3 5 3 3 4 2" xfId="32218" xr:uid="{00000000-0005-0000-0000-000024630000}"/>
    <cellStyle name="Normal 4 3 5 3 3 5" xfId="32211" xr:uid="{00000000-0005-0000-0000-000025630000}"/>
    <cellStyle name="Normal 4 3 5 3 4" xfId="8728" xr:uid="{00000000-0005-0000-0000-000026630000}"/>
    <cellStyle name="Normal 4 3 5 3 4 2" xfId="8729" xr:uid="{00000000-0005-0000-0000-000027630000}"/>
    <cellStyle name="Normal 4 3 5 3 4 2 2" xfId="8730" xr:uid="{00000000-0005-0000-0000-000028630000}"/>
    <cellStyle name="Normal 4 3 5 3 4 2 2 2" xfId="32221" xr:uid="{00000000-0005-0000-0000-000029630000}"/>
    <cellStyle name="Normal 4 3 5 3 4 2 3" xfId="32220" xr:uid="{00000000-0005-0000-0000-00002A630000}"/>
    <cellStyle name="Normal 4 3 5 3 4 3" xfId="8731" xr:uid="{00000000-0005-0000-0000-00002B630000}"/>
    <cellStyle name="Normal 4 3 5 3 4 3 2" xfId="32222" xr:uid="{00000000-0005-0000-0000-00002C630000}"/>
    <cellStyle name="Normal 4 3 5 3 4 4" xfId="32219" xr:uid="{00000000-0005-0000-0000-00002D630000}"/>
    <cellStyle name="Normal 4 3 5 3 5" xfId="8732" xr:uid="{00000000-0005-0000-0000-00002E630000}"/>
    <cellStyle name="Normal 4 3 5 3 5 2" xfId="8733" xr:uid="{00000000-0005-0000-0000-00002F630000}"/>
    <cellStyle name="Normal 4 3 5 3 5 2 2" xfId="32224" xr:uid="{00000000-0005-0000-0000-000030630000}"/>
    <cellStyle name="Normal 4 3 5 3 5 3" xfId="32223" xr:uid="{00000000-0005-0000-0000-000031630000}"/>
    <cellStyle name="Normal 4 3 5 3 6" xfId="8734" xr:uid="{00000000-0005-0000-0000-000032630000}"/>
    <cellStyle name="Normal 4 3 5 3 6 2" xfId="32225" xr:uid="{00000000-0005-0000-0000-000033630000}"/>
    <cellStyle name="Normal 4 3 5 3 7" xfId="32202" xr:uid="{00000000-0005-0000-0000-000034630000}"/>
    <cellStyle name="Normal 4 3 5 4" xfId="8735" xr:uid="{00000000-0005-0000-0000-000035630000}"/>
    <cellStyle name="Normal 4 3 5 4 2" xfId="8736" xr:uid="{00000000-0005-0000-0000-000036630000}"/>
    <cellStyle name="Normal 4 3 5 4 2 2" xfId="8737" xr:uid="{00000000-0005-0000-0000-000037630000}"/>
    <cellStyle name="Normal 4 3 5 4 2 2 2" xfId="8738" xr:uid="{00000000-0005-0000-0000-000038630000}"/>
    <cellStyle name="Normal 4 3 5 4 2 2 2 2" xfId="8739" xr:uid="{00000000-0005-0000-0000-000039630000}"/>
    <cellStyle name="Normal 4 3 5 4 2 2 2 2 2" xfId="32230" xr:uid="{00000000-0005-0000-0000-00003A630000}"/>
    <cellStyle name="Normal 4 3 5 4 2 2 2 3" xfId="32229" xr:uid="{00000000-0005-0000-0000-00003B630000}"/>
    <cellStyle name="Normal 4 3 5 4 2 2 3" xfId="8740" xr:uid="{00000000-0005-0000-0000-00003C630000}"/>
    <cellStyle name="Normal 4 3 5 4 2 2 3 2" xfId="32231" xr:uid="{00000000-0005-0000-0000-00003D630000}"/>
    <cellStyle name="Normal 4 3 5 4 2 2 4" xfId="32228" xr:uid="{00000000-0005-0000-0000-00003E630000}"/>
    <cellStyle name="Normal 4 3 5 4 2 3" xfId="8741" xr:uid="{00000000-0005-0000-0000-00003F630000}"/>
    <cellStyle name="Normal 4 3 5 4 2 3 2" xfId="8742" xr:uid="{00000000-0005-0000-0000-000040630000}"/>
    <cellStyle name="Normal 4 3 5 4 2 3 2 2" xfId="32233" xr:uid="{00000000-0005-0000-0000-000041630000}"/>
    <cellStyle name="Normal 4 3 5 4 2 3 3" xfId="32232" xr:uid="{00000000-0005-0000-0000-000042630000}"/>
    <cellStyle name="Normal 4 3 5 4 2 4" xfId="8743" xr:uid="{00000000-0005-0000-0000-000043630000}"/>
    <cellStyle name="Normal 4 3 5 4 2 4 2" xfId="32234" xr:uid="{00000000-0005-0000-0000-000044630000}"/>
    <cellStyle name="Normal 4 3 5 4 2 5" xfId="32227" xr:uid="{00000000-0005-0000-0000-000045630000}"/>
    <cellStyle name="Normal 4 3 5 4 3" xfId="8744" xr:uid="{00000000-0005-0000-0000-000046630000}"/>
    <cellStyle name="Normal 4 3 5 4 3 2" xfId="8745" xr:uid="{00000000-0005-0000-0000-000047630000}"/>
    <cellStyle name="Normal 4 3 5 4 3 2 2" xfId="8746" xr:uid="{00000000-0005-0000-0000-000048630000}"/>
    <cellStyle name="Normal 4 3 5 4 3 2 2 2" xfId="8747" xr:uid="{00000000-0005-0000-0000-000049630000}"/>
    <cellStyle name="Normal 4 3 5 4 3 2 2 2 2" xfId="32238" xr:uid="{00000000-0005-0000-0000-00004A630000}"/>
    <cellStyle name="Normal 4 3 5 4 3 2 2 3" xfId="32237" xr:uid="{00000000-0005-0000-0000-00004B630000}"/>
    <cellStyle name="Normal 4 3 5 4 3 2 3" xfId="8748" xr:uid="{00000000-0005-0000-0000-00004C630000}"/>
    <cellStyle name="Normal 4 3 5 4 3 2 3 2" xfId="32239" xr:uid="{00000000-0005-0000-0000-00004D630000}"/>
    <cellStyle name="Normal 4 3 5 4 3 2 4" xfId="32236" xr:uid="{00000000-0005-0000-0000-00004E630000}"/>
    <cellStyle name="Normal 4 3 5 4 3 3" xfId="8749" xr:uid="{00000000-0005-0000-0000-00004F630000}"/>
    <cellStyle name="Normal 4 3 5 4 3 3 2" xfId="8750" xr:uid="{00000000-0005-0000-0000-000050630000}"/>
    <cellStyle name="Normal 4 3 5 4 3 3 2 2" xfId="32241" xr:uid="{00000000-0005-0000-0000-000051630000}"/>
    <cellStyle name="Normal 4 3 5 4 3 3 3" xfId="32240" xr:uid="{00000000-0005-0000-0000-000052630000}"/>
    <cellStyle name="Normal 4 3 5 4 3 4" xfId="8751" xr:uid="{00000000-0005-0000-0000-000053630000}"/>
    <cellStyle name="Normal 4 3 5 4 3 4 2" xfId="32242" xr:uid="{00000000-0005-0000-0000-000054630000}"/>
    <cellStyle name="Normal 4 3 5 4 3 5" xfId="32235" xr:uid="{00000000-0005-0000-0000-000055630000}"/>
    <cellStyle name="Normal 4 3 5 4 4" xfId="8752" xr:uid="{00000000-0005-0000-0000-000056630000}"/>
    <cellStyle name="Normal 4 3 5 4 4 2" xfId="8753" xr:uid="{00000000-0005-0000-0000-000057630000}"/>
    <cellStyle name="Normal 4 3 5 4 4 2 2" xfId="8754" xr:uid="{00000000-0005-0000-0000-000058630000}"/>
    <cellStyle name="Normal 4 3 5 4 4 2 2 2" xfId="32245" xr:uid="{00000000-0005-0000-0000-000059630000}"/>
    <cellStyle name="Normal 4 3 5 4 4 2 3" xfId="32244" xr:uid="{00000000-0005-0000-0000-00005A630000}"/>
    <cellStyle name="Normal 4 3 5 4 4 3" xfId="8755" xr:uid="{00000000-0005-0000-0000-00005B630000}"/>
    <cellStyle name="Normal 4 3 5 4 4 3 2" xfId="32246" xr:uid="{00000000-0005-0000-0000-00005C630000}"/>
    <cellStyle name="Normal 4 3 5 4 4 4" xfId="32243" xr:uid="{00000000-0005-0000-0000-00005D630000}"/>
    <cellStyle name="Normal 4 3 5 4 5" xfId="8756" xr:uid="{00000000-0005-0000-0000-00005E630000}"/>
    <cellStyle name="Normal 4 3 5 4 5 2" xfId="8757" xr:uid="{00000000-0005-0000-0000-00005F630000}"/>
    <cellStyle name="Normal 4 3 5 4 5 2 2" xfId="32248" xr:uid="{00000000-0005-0000-0000-000060630000}"/>
    <cellStyle name="Normal 4 3 5 4 5 3" xfId="32247" xr:uid="{00000000-0005-0000-0000-000061630000}"/>
    <cellStyle name="Normal 4 3 5 4 6" xfId="8758" xr:uid="{00000000-0005-0000-0000-000062630000}"/>
    <cellStyle name="Normal 4 3 5 4 6 2" xfId="32249" xr:uid="{00000000-0005-0000-0000-000063630000}"/>
    <cellStyle name="Normal 4 3 5 4 7" xfId="32226" xr:uid="{00000000-0005-0000-0000-000064630000}"/>
    <cellStyle name="Normal 4 3 5 5" xfId="8759" xr:uid="{00000000-0005-0000-0000-000065630000}"/>
    <cellStyle name="Normal 4 3 5 5 2" xfId="8760" xr:uid="{00000000-0005-0000-0000-000066630000}"/>
    <cellStyle name="Normal 4 3 5 5 2 2" xfId="8761" xr:uid="{00000000-0005-0000-0000-000067630000}"/>
    <cellStyle name="Normal 4 3 5 5 2 2 2" xfId="8762" xr:uid="{00000000-0005-0000-0000-000068630000}"/>
    <cellStyle name="Normal 4 3 5 5 2 2 2 2" xfId="32253" xr:uid="{00000000-0005-0000-0000-000069630000}"/>
    <cellStyle name="Normal 4 3 5 5 2 2 3" xfId="32252" xr:uid="{00000000-0005-0000-0000-00006A630000}"/>
    <cellStyle name="Normal 4 3 5 5 2 3" xfId="8763" xr:uid="{00000000-0005-0000-0000-00006B630000}"/>
    <cellStyle name="Normal 4 3 5 5 2 3 2" xfId="32254" xr:uid="{00000000-0005-0000-0000-00006C630000}"/>
    <cellStyle name="Normal 4 3 5 5 2 4" xfId="32251" xr:uid="{00000000-0005-0000-0000-00006D630000}"/>
    <cellStyle name="Normal 4 3 5 5 3" xfId="8764" xr:uid="{00000000-0005-0000-0000-00006E630000}"/>
    <cellStyle name="Normal 4 3 5 5 3 2" xfId="8765" xr:uid="{00000000-0005-0000-0000-00006F630000}"/>
    <cellStyle name="Normal 4 3 5 5 3 2 2" xfId="32256" xr:uid="{00000000-0005-0000-0000-000070630000}"/>
    <cellStyle name="Normal 4 3 5 5 3 3" xfId="32255" xr:uid="{00000000-0005-0000-0000-000071630000}"/>
    <cellStyle name="Normal 4 3 5 5 4" xfId="8766" xr:uid="{00000000-0005-0000-0000-000072630000}"/>
    <cellStyle name="Normal 4 3 5 5 4 2" xfId="32257" xr:uid="{00000000-0005-0000-0000-000073630000}"/>
    <cellStyle name="Normal 4 3 5 5 5" xfId="32250" xr:uid="{00000000-0005-0000-0000-000074630000}"/>
    <cellStyle name="Normal 4 3 5 6" xfId="8767" xr:uid="{00000000-0005-0000-0000-000075630000}"/>
    <cellStyle name="Normal 4 3 5 6 2" xfId="8768" xr:uid="{00000000-0005-0000-0000-000076630000}"/>
    <cellStyle name="Normal 4 3 5 6 2 2" xfId="8769" xr:uid="{00000000-0005-0000-0000-000077630000}"/>
    <cellStyle name="Normal 4 3 5 6 2 2 2" xfId="8770" xr:uid="{00000000-0005-0000-0000-000078630000}"/>
    <cellStyle name="Normal 4 3 5 6 2 2 2 2" xfId="32261" xr:uid="{00000000-0005-0000-0000-000079630000}"/>
    <cellStyle name="Normal 4 3 5 6 2 2 3" xfId="32260" xr:uid="{00000000-0005-0000-0000-00007A630000}"/>
    <cellStyle name="Normal 4 3 5 6 2 3" xfId="8771" xr:uid="{00000000-0005-0000-0000-00007B630000}"/>
    <cellStyle name="Normal 4 3 5 6 2 3 2" xfId="32262" xr:uid="{00000000-0005-0000-0000-00007C630000}"/>
    <cellStyle name="Normal 4 3 5 6 2 4" xfId="32259" xr:uid="{00000000-0005-0000-0000-00007D630000}"/>
    <cellStyle name="Normal 4 3 5 6 3" xfId="8772" xr:uid="{00000000-0005-0000-0000-00007E630000}"/>
    <cellStyle name="Normal 4 3 5 6 3 2" xfId="8773" xr:uid="{00000000-0005-0000-0000-00007F630000}"/>
    <cellStyle name="Normal 4 3 5 6 3 2 2" xfId="32264" xr:uid="{00000000-0005-0000-0000-000080630000}"/>
    <cellStyle name="Normal 4 3 5 6 3 3" xfId="32263" xr:uid="{00000000-0005-0000-0000-000081630000}"/>
    <cellStyle name="Normal 4 3 5 6 4" xfId="8774" xr:uid="{00000000-0005-0000-0000-000082630000}"/>
    <cellStyle name="Normal 4 3 5 6 4 2" xfId="32265" xr:uid="{00000000-0005-0000-0000-000083630000}"/>
    <cellStyle name="Normal 4 3 5 6 5" xfId="32258" xr:uid="{00000000-0005-0000-0000-000084630000}"/>
    <cellStyle name="Normal 4 3 5 7" xfId="8775" xr:uid="{00000000-0005-0000-0000-000085630000}"/>
    <cellStyle name="Normal 4 3 5 7 2" xfId="8776" xr:uid="{00000000-0005-0000-0000-000086630000}"/>
    <cellStyle name="Normal 4 3 5 7 2 2" xfId="8777" xr:uid="{00000000-0005-0000-0000-000087630000}"/>
    <cellStyle name="Normal 4 3 5 7 2 2 2" xfId="32268" xr:uid="{00000000-0005-0000-0000-000088630000}"/>
    <cellStyle name="Normal 4 3 5 7 2 3" xfId="32267" xr:uid="{00000000-0005-0000-0000-000089630000}"/>
    <cellStyle name="Normal 4 3 5 7 3" xfId="8778" xr:uid="{00000000-0005-0000-0000-00008A630000}"/>
    <cellStyle name="Normal 4 3 5 7 3 2" xfId="32269" xr:uid="{00000000-0005-0000-0000-00008B630000}"/>
    <cellStyle name="Normal 4 3 5 7 4" xfId="32266" xr:uid="{00000000-0005-0000-0000-00008C630000}"/>
    <cellStyle name="Normal 4 3 5 8" xfId="8779" xr:uid="{00000000-0005-0000-0000-00008D630000}"/>
    <cellStyle name="Normal 4 3 5 8 2" xfId="8780" xr:uid="{00000000-0005-0000-0000-00008E630000}"/>
    <cellStyle name="Normal 4 3 5 8 2 2" xfId="32271" xr:uid="{00000000-0005-0000-0000-00008F630000}"/>
    <cellStyle name="Normal 4 3 5 8 3" xfId="32270" xr:uid="{00000000-0005-0000-0000-000090630000}"/>
    <cellStyle name="Normal 4 3 5 9" xfId="8781" xr:uid="{00000000-0005-0000-0000-000091630000}"/>
    <cellStyle name="Normal 4 3 5 9 2" xfId="32272" xr:uid="{00000000-0005-0000-0000-000092630000}"/>
    <cellStyle name="Normal 4 3 6" xfId="8782" xr:uid="{00000000-0005-0000-0000-000093630000}"/>
    <cellStyle name="Normal 4 3 6 2" xfId="8783" xr:uid="{00000000-0005-0000-0000-000094630000}"/>
    <cellStyle name="Normal 4 3 6 2 2" xfId="8784" xr:uid="{00000000-0005-0000-0000-000095630000}"/>
    <cellStyle name="Normal 4 3 6 2 2 2" xfId="8785" xr:uid="{00000000-0005-0000-0000-000096630000}"/>
    <cellStyle name="Normal 4 3 6 2 2 2 2" xfId="8786" xr:uid="{00000000-0005-0000-0000-000097630000}"/>
    <cellStyle name="Normal 4 3 6 2 2 2 2 2" xfId="32277" xr:uid="{00000000-0005-0000-0000-000098630000}"/>
    <cellStyle name="Normal 4 3 6 2 2 2 3" xfId="32276" xr:uid="{00000000-0005-0000-0000-000099630000}"/>
    <cellStyle name="Normal 4 3 6 2 2 3" xfId="8787" xr:uid="{00000000-0005-0000-0000-00009A630000}"/>
    <cellStyle name="Normal 4 3 6 2 2 3 2" xfId="32278" xr:uid="{00000000-0005-0000-0000-00009B630000}"/>
    <cellStyle name="Normal 4 3 6 2 2 4" xfId="32275" xr:uid="{00000000-0005-0000-0000-00009C630000}"/>
    <cellStyle name="Normal 4 3 6 2 3" xfId="8788" xr:uid="{00000000-0005-0000-0000-00009D630000}"/>
    <cellStyle name="Normal 4 3 6 2 3 2" xfId="8789" xr:uid="{00000000-0005-0000-0000-00009E630000}"/>
    <cellStyle name="Normal 4 3 6 2 3 2 2" xfId="32280" xr:uid="{00000000-0005-0000-0000-00009F630000}"/>
    <cellStyle name="Normal 4 3 6 2 3 3" xfId="32279" xr:uid="{00000000-0005-0000-0000-0000A0630000}"/>
    <cellStyle name="Normal 4 3 6 2 4" xfId="8790" xr:uid="{00000000-0005-0000-0000-0000A1630000}"/>
    <cellStyle name="Normal 4 3 6 2 4 2" xfId="32281" xr:uid="{00000000-0005-0000-0000-0000A2630000}"/>
    <cellStyle name="Normal 4 3 6 2 5" xfId="32274" xr:uid="{00000000-0005-0000-0000-0000A3630000}"/>
    <cellStyle name="Normal 4 3 6 3" xfId="8791" xr:uid="{00000000-0005-0000-0000-0000A4630000}"/>
    <cellStyle name="Normal 4 3 6 3 2" xfId="8792" xr:uid="{00000000-0005-0000-0000-0000A5630000}"/>
    <cellStyle name="Normal 4 3 6 3 2 2" xfId="8793" xr:uid="{00000000-0005-0000-0000-0000A6630000}"/>
    <cellStyle name="Normal 4 3 6 3 2 2 2" xfId="8794" xr:uid="{00000000-0005-0000-0000-0000A7630000}"/>
    <cellStyle name="Normal 4 3 6 3 2 2 2 2" xfId="32285" xr:uid="{00000000-0005-0000-0000-0000A8630000}"/>
    <cellStyle name="Normal 4 3 6 3 2 2 3" xfId="32284" xr:uid="{00000000-0005-0000-0000-0000A9630000}"/>
    <cellStyle name="Normal 4 3 6 3 2 3" xfId="8795" xr:uid="{00000000-0005-0000-0000-0000AA630000}"/>
    <cellStyle name="Normal 4 3 6 3 2 3 2" xfId="32286" xr:uid="{00000000-0005-0000-0000-0000AB630000}"/>
    <cellStyle name="Normal 4 3 6 3 2 4" xfId="32283" xr:uid="{00000000-0005-0000-0000-0000AC630000}"/>
    <cellStyle name="Normal 4 3 6 3 3" xfId="8796" xr:uid="{00000000-0005-0000-0000-0000AD630000}"/>
    <cellStyle name="Normal 4 3 6 3 3 2" xfId="8797" xr:uid="{00000000-0005-0000-0000-0000AE630000}"/>
    <cellStyle name="Normal 4 3 6 3 3 2 2" xfId="32288" xr:uid="{00000000-0005-0000-0000-0000AF630000}"/>
    <cellStyle name="Normal 4 3 6 3 3 3" xfId="32287" xr:uid="{00000000-0005-0000-0000-0000B0630000}"/>
    <cellStyle name="Normal 4 3 6 3 4" xfId="8798" xr:uid="{00000000-0005-0000-0000-0000B1630000}"/>
    <cellStyle name="Normal 4 3 6 3 4 2" xfId="32289" xr:uid="{00000000-0005-0000-0000-0000B2630000}"/>
    <cellStyle name="Normal 4 3 6 3 5" xfId="32282" xr:uid="{00000000-0005-0000-0000-0000B3630000}"/>
    <cellStyle name="Normal 4 3 6 4" xfId="8799" xr:uid="{00000000-0005-0000-0000-0000B4630000}"/>
    <cellStyle name="Normal 4 3 6 4 2" xfId="8800" xr:uid="{00000000-0005-0000-0000-0000B5630000}"/>
    <cellStyle name="Normal 4 3 6 4 2 2" xfId="8801" xr:uid="{00000000-0005-0000-0000-0000B6630000}"/>
    <cellStyle name="Normal 4 3 6 4 2 2 2" xfId="32292" xr:uid="{00000000-0005-0000-0000-0000B7630000}"/>
    <cellStyle name="Normal 4 3 6 4 2 3" xfId="32291" xr:uid="{00000000-0005-0000-0000-0000B8630000}"/>
    <cellStyle name="Normal 4 3 6 4 3" xfId="8802" xr:uid="{00000000-0005-0000-0000-0000B9630000}"/>
    <cellStyle name="Normal 4 3 6 4 3 2" xfId="32293" xr:uid="{00000000-0005-0000-0000-0000BA630000}"/>
    <cellStyle name="Normal 4 3 6 4 4" xfId="32290" xr:uid="{00000000-0005-0000-0000-0000BB630000}"/>
    <cellStyle name="Normal 4 3 6 5" xfId="8803" xr:uid="{00000000-0005-0000-0000-0000BC630000}"/>
    <cellStyle name="Normal 4 3 6 5 2" xfId="8804" xr:uid="{00000000-0005-0000-0000-0000BD630000}"/>
    <cellStyle name="Normal 4 3 6 5 2 2" xfId="32295" xr:uid="{00000000-0005-0000-0000-0000BE630000}"/>
    <cellStyle name="Normal 4 3 6 5 3" xfId="32294" xr:uid="{00000000-0005-0000-0000-0000BF630000}"/>
    <cellStyle name="Normal 4 3 6 6" xfId="8805" xr:uid="{00000000-0005-0000-0000-0000C0630000}"/>
    <cellStyle name="Normal 4 3 6 6 2" xfId="32296" xr:uid="{00000000-0005-0000-0000-0000C1630000}"/>
    <cellStyle name="Normal 4 3 6 7" xfId="32273" xr:uid="{00000000-0005-0000-0000-0000C2630000}"/>
    <cellStyle name="Normal 4 3 7" xfId="8806" xr:uid="{00000000-0005-0000-0000-0000C3630000}"/>
    <cellStyle name="Normal 4 3 7 2" xfId="8807" xr:uid="{00000000-0005-0000-0000-0000C4630000}"/>
    <cellStyle name="Normal 4 3 7 2 2" xfId="8808" xr:uid="{00000000-0005-0000-0000-0000C5630000}"/>
    <cellStyle name="Normal 4 3 7 2 2 2" xfId="8809" xr:uid="{00000000-0005-0000-0000-0000C6630000}"/>
    <cellStyle name="Normal 4 3 7 2 2 2 2" xfId="8810" xr:uid="{00000000-0005-0000-0000-0000C7630000}"/>
    <cellStyle name="Normal 4 3 7 2 2 2 2 2" xfId="32301" xr:uid="{00000000-0005-0000-0000-0000C8630000}"/>
    <cellStyle name="Normal 4 3 7 2 2 2 3" xfId="32300" xr:uid="{00000000-0005-0000-0000-0000C9630000}"/>
    <cellStyle name="Normal 4 3 7 2 2 3" xfId="8811" xr:uid="{00000000-0005-0000-0000-0000CA630000}"/>
    <cellStyle name="Normal 4 3 7 2 2 3 2" xfId="32302" xr:uid="{00000000-0005-0000-0000-0000CB630000}"/>
    <cellStyle name="Normal 4 3 7 2 2 4" xfId="32299" xr:uid="{00000000-0005-0000-0000-0000CC630000}"/>
    <cellStyle name="Normal 4 3 7 2 3" xfId="8812" xr:uid="{00000000-0005-0000-0000-0000CD630000}"/>
    <cellStyle name="Normal 4 3 7 2 3 2" xfId="8813" xr:uid="{00000000-0005-0000-0000-0000CE630000}"/>
    <cellStyle name="Normal 4 3 7 2 3 2 2" xfId="32304" xr:uid="{00000000-0005-0000-0000-0000CF630000}"/>
    <cellStyle name="Normal 4 3 7 2 3 3" xfId="32303" xr:uid="{00000000-0005-0000-0000-0000D0630000}"/>
    <cellStyle name="Normal 4 3 7 2 4" xfId="8814" xr:uid="{00000000-0005-0000-0000-0000D1630000}"/>
    <cellStyle name="Normal 4 3 7 2 4 2" xfId="32305" xr:uid="{00000000-0005-0000-0000-0000D2630000}"/>
    <cellStyle name="Normal 4 3 7 2 5" xfId="32298" xr:uid="{00000000-0005-0000-0000-0000D3630000}"/>
    <cellStyle name="Normal 4 3 7 3" xfId="8815" xr:uid="{00000000-0005-0000-0000-0000D4630000}"/>
    <cellStyle name="Normal 4 3 7 3 2" xfId="8816" xr:uid="{00000000-0005-0000-0000-0000D5630000}"/>
    <cellStyle name="Normal 4 3 7 3 2 2" xfId="8817" xr:uid="{00000000-0005-0000-0000-0000D6630000}"/>
    <cellStyle name="Normal 4 3 7 3 2 2 2" xfId="8818" xr:uid="{00000000-0005-0000-0000-0000D7630000}"/>
    <cellStyle name="Normal 4 3 7 3 2 2 2 2" xfId="32309" xr:uid="{00000000-0005-0000-0000-0000D8630000}"/>
    <cellStyle name="Normal 4 3 7 3 2 2 3" xfId="32308" xr:uid="{00000000-0005-0000-0000-0000D9630000}"/>
    <cellStyle name="Normal 4 3 7 3 2 3" xfId="8819" xr:uid="{00000000-0005-0000-0000-0000DA630000}"/>
    <cellStyle name="Normal 4 3 7 3 2 3 2" xfId="32310" xr:uid="{00000000-0005-0000-0000-0000DB630000}"/>
    <cellStyle name="Normal 4 3 7 3 2 4" xfId="32307" xr:uid="{00000000-0005-0000-0000-0000DC630000}"/>
    <cellStyle name="Normal 4 3 7 3 3" xfId="8820" xr:uid="{00000000-0005-0000-0000-0000DD630000}"/>
    <cellStyle name="Normal 4 3 7 3 3 2" xfId="8821" xr:uid="{00000000-0005-0000-0000-0000DE630000}"/>
    <cellStyle name="Normal 4 3 7 3 3 2 2" xfId="32312" xr:uid="{00000000-0005-0000-0000-0000DF630000}"/>
    <cellStyle name="Normal 4 3 7 3 3 3" xfId="32311" xr:uid="{00000000-0005-0000-0000-0000E0630000}"/>
    <cellStyle name="Normal 4 3 7 3 4" xfId="8822" xr:uid="{00000000-0005-0000-0000-0000E1630000}"/>
    <cellStyle name="Normal 4 3 7 3 4 2" xfId="32313" xr:uid="{00000000-0005-0000-0000-0000E2630000}"/>
    <cellStyle name="Normal 4 3 7 3 5" xfId="32306" xr:uid="{00000000-0005-0000-0000-0000E3630000}"/>
    <cellStyle name="Normal 4 3 7 4" xfId="8823" xr:uid="{00000000-0005-0000-0000-0000E4630000}"/>
    <cellStyle name="Normal 4 3 7 4 2" xfId="8824" xr:uid="{00000000-0005-0000-0000-0000E5630000}"/>
    <cellStyle name="Normal 4 3 7 4 2 2" xfId="8825" xr:uid="{00000000-0005-0000-0000-0000E6630000}"/>
    <cellStyle name="Normal 4 3 7 4 2 2 2" xfId="32316" xr:uid="{00000000-0005-0000-0000-0000E7630000}"/>
    <cellStyle name="Normal 4 3 7 4 2 3" xfId="32315" xr:uid="{00000000-0005-0000-0000-0000E8630000}"/>
    <cellStyle name="Normal 4 3 7 4 3" xfId="8826" xr:uid="{00000000-0005-0000-0000-0000E9630000}"/>
    <cellStyle name="Normal 4 3 7 4 3 2" xfId="32317" xr:uid="{00000000-0005-0000-0000-0000EA630000}"/>
    <cellStyle name="Normal 4 3 7 4 4" xfId="32314" xr:uid="{00000000-0005-0000-0000-0000EB630000}"/>
    <cellStyle name="Normal 4 3 7 5" xfId="8827" xr:uid="{00000000-0005-0000-0000-0000EC630000}"/>
    <cellStyle name="Normal 4 3 7 5 2" xfId="8828" xr:uid="{00000000-0005-0000-0000-0000ED630000}"/>
    <cellStyle name="Normal 4 3 7 5 2 2" xfId="32319" xr:uid="{00000000-0005-0000-0000-0000EE630000}"/>
    <cellStyle name="Normal 4 3 7 5 3" xfId="32318" xr:uid="{00000000-0005-0000-0000-0000EF630000}"/>
    <cellStyle name="Normal 4 3 7 6" xfId="8829" xr:uid="{00000000-0005-0000-0000-0000F0630000}"/>
    <cellStyle name="Normal 4 3 7 6 2" xfId="32320" xr:uid="{00000000-0005-0000-0000-0000F1630000}"/>
    <cellStyle name="Normal 4 3 7 7" xfId="32297" xr:uid="{00000000-0005-0000-0000-0000F2630000}"/>
    <cellStyle name="Normal 4 3 8" xfId="8830" xr:uid="{00000000-0005-0000-0000-0000F3630000}"/>
    <cellStyle name="Normal 4 3 8 2" xfId="8831" xr:uid="{00000000-0005-0000-0000-0000F4630000}"/>
    <cellStyle name="Normal 4 3 8 2 2" xfId="8832" xr:uid="{00000000-0005-0000-0000-0000F5630000}"/>
    <cellStyle name="Normal 4 3 8 2 2 2" xfId="8833" xr:uid="{00000000-0005-0000-0000-0000F6630000}"/>
    <cellStyle name="Normal 4 3 8 2 2 2 2" xfId="8834" xr:uid="{00000000-0005-0000-0000-0000F7630000}"/>
    <cellStyle name="Normal 4 3 8 2 2 2 2 2" xfId="32325" xr:uid="{00000000-0005-0000-0000-0000F8630000}"/>
    <cellStyle name="Normal 4 3 8 2 2 2 3" xfId="32324" xr:uid="{00000000-0005-0000-0000-0000F9630000}"/>
    <cellStyle name="Normal 4 3 8 2 2 3" xfId="8835" xr:uid="{00000000-0005-0000-0000-0000FA630000}"/>
    <cellStyle name="Normal 4 3 8 2 2 3 2" xfId="32326" xr:uid="{00000000-0005-0000-0000-0000FB630000}"/>
    <cellStyle name="Normal 4 3 8 2 2 4" xfId="32323" xr:uid="{00000000-0005-0000-0000-0000FC630000}"/>
    <cellStyle name="Normal 4 3 8 2 3" xfId="8836" xr:uid="{00000000-0005-0000-0000-0000FD630000}"/>
    <cellStyle name="Normal 4 3 8 2 3 2" xfId="8837" xr:uid="{00000000-0005-0000-0000-0000FE630000}"/>
    <cellStyle name="Normal 4 3 8 2 3 2 2" xfId="32328" xr:uid="{00000000-0005-0000-0000-0000FF630000}"/>
    <cellStyle name="Normal 4 3 8 2 3 3" xfId="32327" xr:uid="{00000000-0005-0000-0000-000000640000}"/>
    <cellStyle name="Normal 4 3 8 2 4" xfId="8838" xr:uid="{00000000-0005-0000-0000-000001640000}"/>
    <cellStyle name="Normal 4 3 8 2 4 2" xfId="32329" xr:uid="{00000000-0005-0000-0000-000002640000}"/>
    <cellStyle name="Normal 4 3 8 2 5" xfId="32322" xr:uid="{00000000-0005-0000-0000-000003640000}"/>
    <cellStyle name="Normal 4 3 8 3" xfId="8839" xr:uid="{00000000-0005-0000-0000-000004640000}"/>
    <cellStyle name="Normal 4 3 8 3 2" xfId="8840" xr:uid="{00000000-0005-0000-0000-000005640000}"/>
    <cellStyle name="Normal 4 3 8 3 2 2" xfId="8841" xr:uid="{00000000-0005-0000-0000-000006640000}"/>
    <cellStyle name="Normal 4 3 8 3 2 2 2" xfId="8842" xr:uid="{00000000-0005-0000-0000-000007640000}"/>
    <cellStyle name="Normal 4 3 8 3 2 2 2 2" xfId="32333" xr:uid="{00000000-0005-0000-0000-000008640000}"/>
    <cellStyle name="Normal 4 3 8 3 2 2 3" xfId="32332" xr:uid="{00000000-0005-0000-0000-000009640000}"/>
    <cellStyle name="Normal 4 3 8 3 2 3" xfId="8843" xr:uid="{00000000-0005-0000-0000-00000A640000}"/>
    <cellStyle name="Normal 4 3 8 3 2 3 2" xfId="32334" xr:uid="{00000000-0005-0000-0000-00000B640000}"/>
    <cellStyle name="Normal 4 3 8 3 2 4" xfId="32331" xr:uid="{00000000-0005-0000-0000-00000C640000}"/>
    <cellStyle name="Normal 4 3 8 3 3" xfId="8844" xr:uid="{00000000-0005-0000-0000-00000D640000}"/>
    <cellStyle name="Normal 4 3 8 3 3 2" xfId="8845" xr:uid="{00000000-0005-0000-0000-00000E640000}"/>
    <cellStyle name="Normal 4 3 8 3 3 2 2" xfId="32336" xr:uid="{00000000-0005-0000-0000-00000F640000}"/>
    <cellStyle name="Normal 4 3 8 3 3 3" xfId="32335" xr:uid="{00000000-0005-0000-0000-000010640000}"/>
    <cellStyle name="Normal 4 3 8 3 4" xfId="8846" xr:uid="{00000000-0005-0000-0000-000011640000}"/>
    <cellStyle name="Normal 4 3 8 3 4 2" xfId="32337" xr:uid="{00000000-0005-0000-0000-000012640000}"/>
    <cellStyle name="Normal 4 3 8 3 5" xfId="32330" xr:uid="{00000000-0005-0000-0000-000013640000}"/>
    <cellStyle name="Normal 4 3 8 4" xfId="8847" xr:uid="{00000000-0005-0000-0000-000014640000}"/>
    <cellStyle name="Normal 4 3 8 4 2" xfId="8848" xr:uid="{00000000-0005-0000-0000-000015640000}"/>
    <cellStyle name="Normal 4 3 8 4 2 2" xfId="8849" xr:uid="{00000000-0005-0000-0000-000016640000}"/>
    <cellStyle name="Normal 4 3 8 4 2 2 2" xfId="32340" xr:uid="{00000000-0005-0000-0000-000017640000}"/>
    <cellStyle name="Normal 4 3 8 4 2 3" xfId="32339" xr:uid="{00000000-0005-0000-0000-000018640000}"/>
    <cellStyle name="Normal 4 3 8 4 3" xfId="8850" xr:uid="{00000000-0005-0000-0000-000019640000}"/>
    <cellStyle name="Normal 4 3 8 4 3 2" xfId="32341" xr:uid="{00000000-0005-0000-0000-00001A640000}"/>
    <cellStyle name="Normal 4 3 8 4 4" xfId="32338" xr:uid="{00000000-0005-0000-0000-00001B640000}"/>
    <cellStyle name="Normal 4 3 8 5" xfId="8851" xr:uid="{00000000-0005-0000-0000-00001C640000}"/>
    <cellStyle name="Normal 4 3 8 5 2" xfId="8852" xr:uid="{00000000-0005-0000-0000-00001D640000}"/>
    <cellStyle name="Normal 4 3 8 5 2 2" xfId="32343" xr:uid="{00000000-0005-0000-0000-00001E640000}"/>
    <cellStyle name="Normal 4 3 8 5 3" xfId="32342" xr:uid="{00000000-0005-0000-0000-00001F640000}"/>
    <cellStyle name="Normal 4 3 8 6" xfId="8853" xr:uid="{00000000-0005-0000-0000-000020640000}"/>
    <cellStyle name="Normal 4 3 8 6 2" xfId="32344" xr:uid="{00000000-0005-0000-0000-000021640000}"/>
    <cellStyle name="Normal 4 3 8 7" xfId="32321" xr:uid="{00000000-0005-0000-0000-000022640000}"/>
    <cellStyle name="Normal 4 3 9" xfId="8854" xr:uid="{00000000-0005-0000-0000-000023640000}"/>
    <cellStyle name="Normal 4 3 9 2" xfId="8855" xr:uid="{00000000-0005-0000-0000-000024640000}"/>
    <cellStyle name="Normal 4 3 9 2 2" xfId="8856" xr:uid="{00000000-0005-0000-0000-000025640000}"/>
    <cellStyle name="Normal 4 3 9 2 2 2" xfId="8857" xr:uid="{00000000-0005-0000-0000-000026640000}"/>
    <cellStyle name="Normal 4 3 9 2 2 2 2" xfId="8858" xr:uid="{00000000-0005-0000-0000-000027640000}"/>
    <cellStyle name="Normal 4 3 9 2 2 2 2 2" xfId="32349" xr:uid="{00000000-0005-0000-0000-000028640000}"/>
    <cellStyle name="Normal 4 3 9 2 2 2 3" xfId="32348" xr:uid="{00000000-0005-0000-0000-000029640000}"/>
    <cellStyle name="Normal 4 3 9 2 2 3" xfId="8859" xr:uid="{00000000-0005-0000-0000-00002A640000}"/>
    <cellStyle name="Normal 4 3 9 2 2 3 2" xfId="32350" xr:uid="{00000000-0005-0000-0000-00002B640000}"/>
    <cellStyle name="Normal 4 3 9 2 2 4" xfId="32347" xr:uid="{00000000-0005-0000-0000-00002C640000}"/>
    <cellStyle name="Normal 4 3 9 2 3" xfId="8860" xr:uid="{00000000-0005-0000-0000-00002D640000}"/>
    <cellStyle name="Normal 4 3 9 2 3 2" xfId="8861" xr:uid="{00000000-0005-0000-0000-00002E640000}"/>
    <cellStyle name="Normal 4 3 9 2 3 2 2" xfId="32352" xr:uid="{00000000-0005-0000-0000-00002F640000}"/>
    <cellStyle name="Normal 4 3 9 2 3 3" xfId="32351" xr:uid="{00000000-0005-0000-0000-000030640000}"/>
    <cellStyle name="Normal 4 3 9 2 4" xfId="8862" xr:uid="{00000000-0005-0000-0000-000031640000}"/>
    <cellStyle name="Normal 4 3 9 2 4 2" xfId="32353" xr:uid="{00000000-0005-0000-0000-000032640000}"/>
    <cellStyle name="Normal 4 3 9 2 5" xfId="32346" xr:uid="{00000000-0005-0000-0000-000033640000}"/>
    <cellStyle name="Normal 4 3 9 3" xfId="8863" xr:uid="{00000000-0005-0000-0000-000034640000}"/>
    <cellStyle name="Normal 4 3 9 3 2" xfId="8864" xr:uid="{00000000-0005-0000-0000-000035640000}"/>
    <cellStyle name="Normal 4 3 9 3 2 2" xfId="8865" xr:uid="{00000000-0005-0000-0000-000036640000}"/>
    <cellStyle name="Normal 4 3 9 3 2 2 2" xfId="8866" xr:uid="{00000000-0005-0000-0000-000037640000}"/>
    <cellStyle name="Normal 4 3 9 3 2 2 2 2" xfId="32357" xr:uid="{00000000-0005-0000-0000-000038640000}"/>
    <cellStyle name="Normal 4 3 9 3 2 2 3" xfId="32356" xr:uid="{00000000-0005-0000-0000-000039640000}"/>
    <cellStyle name="Normal 4 3 9 3 2 3" xfId="8867" xr:uid="{00000000-0005-0000-0000-00003A640000}"/>
    <cellStyle name="Normal 4 3 9 3 2 3 2" xfId="32358" xr:uid="{00000000-0005-0000-0000-00003B640000}"/>
    <cellStyle name="Normal 4 3 9 3 2 4" xfId="32355" xr:uid="{00000000-0005-0000-0000-00003C640000}"/>
    <cellStyle name="Normal 4 3 9 3 3" xfId="8868" xr:uid="{00000000-0005-0000-0000-00003D640000}"/>
    <cellStyle name="Normal 4 3 9 3 3 2" xfId="8869" xr:uid="{00000000-0005-0000-0000-00003E640000}"/>
    <cellStyle name="Normal 4 3 9 3 3 2 2" xfId="32360" xr:uid="{00000000-0005-0000-0000-00003F640000}"/>
    <cellStyle name="Normal 4 3 9 3 3 3" xfId="32359" xr:uid="{00000000-0005-0000-0000-000040640000}"/>
    <cellStyle name="Normal 4 3 9 3 4" xfId="8870" xr:uid="{00000000-0005-0000-0000-000041640000}"/>
    <cellStyle name="Normal 4 3 9 3 4 2" xfId="32361" xr:uid="{00000000-0005-0000-0000-000042640000}"/>
    <cellStyle name="Normal 4 3 9 3 5" xfId="32354" xr:uid="{00000000-0005-0000-0000-000043640000}"/>
    <cellStyle name="Normal 4 3 9 4" xfId="8871" xr:uid="{00000000-0005-0000-0000-000044640000}"/>
    <cellStyle name="Normal 4 3 9 4 2" xfId="8872" xr:uid="{00000000-0005-0000-0000-000045640000}"/>
    <cellStyle name="Normal 4 3 9 4 2 2" xfId="8873" xr:uid="{00000000-0005-0000-0000-000046640000}"/>
    <cellStyle name="Normal 4 3 9 4 2 2 2" xfId="32364" xr:uid="{00000000-0005-0000-0000-000047640000}"/>
    <cellStyle name="Normal 4 3 9 4 2 3" xfId="32363" xr:uid="{00000000-0005-0000-0000-000048640000}"/>
    <cellStyle name="Normal 4 3 9 4 3" xfId="8874" xr:uid="{00000000-0005-0000-0000-000049640000}"/>
    <cellStyle name="Normal 4 3 9 4 3 2" xfId="32365" xr:uid="{00000000-0005-0000-0000-00004A640000}"/>
    <cellStyle name="Normal 4 3 9 4 4" xfId="32362" xr:uid="{00000000-0005-0000-0000-00004B640000}"/>
    <cellStyle name="Normal 4 3 9 5" xfId="8875" xr:uid="{00000000-0005-0000-0000-00004C640000}"/>
    <cellStyle name="Normal 4 3 9 5 2" xfId="8876" xr:uid="{00000000-0005-0000-0000-00004D640000}"/>
    <cellStyle name="Normal 4 3 9 5 2 2" xfId="32367" xr:uid="{00000000-0005-0000-0000-00004E640000}"/>
    <cellStyle name="Normal 4 3 9 5 3" xfId="32366" xr:uid="{00000000-0005-0000-0000-00004F640000}"/>
    <cellStyle name="Normal 4 3 9 6" xfId="8877" xr:uid="{00000000-0005-0000-0000-000050640000}"/>
    <cellStyle name="Normal 4 3 9 6 2" xfId="32368" xr:uid="{00000000-0005-0000-0000-000051640000}"/>
    <cellStyle name="Normal 4 3 9 7" xfId="32345" xr:uid="{00000000-0005-0000-0000-000052640000}"/>
    <cellStyle name="Normal 4 4" xfId="8878" xr:uid="{00000000-0005-0000-0000-000053640000}"/>
    <cellStyle name="Normal 4 4 10" xfId="8879" xr:uid="{00000000-0005-0000-0000-000054640000}"/>
    <cellStyle name="Normal 4 4 10 2" xfId="8880" xr:uid="{00000000-0005-0000-0000-000055640000}"/>
    <cellStyle name="Normal 4 4 10 2 2" xfId="8881" xr:uid="{00000000-0005-0000-0000-000056640000}"/>
    <cellStyle name="Normal 4 4 10 2 2 2" xfId="8882" xr:uid="{00000000-0005-0000-0000-000057640000}"/>
    <cellStyle name="Normal 4 4 10 2 2 2 2" xfId="32373" xr:uid="{00000000-0005-0000-0000-000058640000}"/>
    <cellStyle name="Normal 4 4 10 2 2 3" xfId="32372" xr:uid="{00000000-0005-0000-0000-000059640000}"/>
    <cellStyle name="Normal 4 4 10 2 3" xfId="8883" xr:uid="{00000000-0005-0000-0000-00005A640000}"/>
    <cellStyle name="Normal 4 4 10 2 3 2" xfId="32374" xr:uid="{00000000-0005-0000-0000-00005B640000}"/>
    <cellStyle name="Normal 4 4 10 2 4" xfId="32371" xr:uid="{00000000-0005-0000-0000-00005C640000}"/>
    <cellStyle name="Normal 4 4 10 3" xfId="8884" xr:uid="{00000000-0005-0000-0000-00005D640000}"/>
    <cellStyle name="Normal 4 4 10 3 2" xfId="8885" xr:uid="{00000000-0005-0000-0000-00005E640000}"/>
    <cellStyle name="Normal 4 4 10 3 2 2" xfId="32376" xr:uid="{00000000-0005-0000-0000-00005F640000}"/>
    <cellStyle name="Normal 4 4 10 3 3" xfId="32375" xr:uid="{00000000-0005-0000-0000-000060640000}"/>
    <cellStyle name="Normal 4 4 10 4" xfId="8886" xr:uid="{00000000-0005-0000-0000-000061640000}"/>
    <cellStyle name="Normal 4 4 10 4 2" xfId="32377" xr:uid="{00000000-0005-0000-0000-000062640000}"/>
    <cellStyle name="Normal 4 4 10 5" xfId="32370" xr:uid="{00000000-0005-0000-0000-000063640000}"/>
    <cellStyle name="Normal 4 4 11" xfId="8887" xr:uid="{00000000-0005-0000-0000-000064640000}"/>
    <cellStyle name="Normal 4 4 11 2" xfId="8888" xr:uid="{00000000-0005-0000-0000-000065640000}"/>
    <cellStyle name="Normal 4 4 11 2 2" xfId="8889" xr:uid="{00000000-0005-0000-0000-000066640000}"/>
    <cellStyle name="Normal 4 4 11 2 2 2" xfId="32380" xr:uid="{00000000-0005-0000-0000-000067640000}"/>
    <cellStyle name="Normal 4 4 11 2 3" xfId="32379" xr:uid="{00000000-0005-0000-0000-000068640000}"/>
    <cellStyle name="Normal 4 4 11 3" xfId="8890" xr:uid="{00000000-0005-0000-0000-000069640000}"/>
    <cellStyle name="Normal 4 4 11 3 2" xfId="32381" xr:uid="{00000000-0005-0000-0000-00006A640000}"/>
    <cellStyle name="Normal 4 4 11 4" xfId="32378" xr:uid="{00000000-0005-0000-0000-00006B640000}"/>
    <cellStyle name="Normal 4 4 12" xfId="8891" xr:uid="{00000000-0005-0000-0000-00006C640000}"/>
    <cellStyle name="Normal 4 4 12 2" xfId="8892" xr:uid="{00000000-0005-0000-0000-00006D640000}"/>
    <cellStyle name="Normal 4 4 12 2 2" xfId="32383" xr:uid="{00000000-0005-0000-0000-00006E640000}"/>
    <cellStyle name="Normal 4 4 12 3" xfId="32382" xr:uid="{00000000-0005-0000-0000-00006F640000}"/>
    <cellStyle name="Normal 4 4 13" xfId="8893" xr:uid="{00000000-0005-0000-0000-000070640000}"/>
    <cellStyle name="Normal 4 4 13 2" xfId="32384" xr:uid="{00000000-0005-0000-0000-000071640000}"/>
    <cellStyle name="Normal 4 4 14" xfId="32369" xr:uid="{00000000-0005-0000-0000-000072640000}"/>
    <cellStyle name="Normal 4 4 2" xfId="8894" xr:uid="{00000000-0005-0000-0000-000073640000}"/>
    <cellStyle name="Normal 4 4 2 10" xfId="8895" xr:uid="{00000000-0005-0000-0000-000074640000}"/>
    <cellStyle name="Normal 4 4 2 10 2" xfId="32386" xr:uid="{00000000-0005-0000-0000-000075640000}"/>
    <cellStyle name="Normal 4 4 2 11" xfId="32385" xr:uid="{00000000-0005-0000-0000-000076640000}"/>
    <cellStyle name="Normal 4 4 2 2" xfId="8896" xr:uid="{00000000-0005-0000-0000-000077640000}"/>
    <cellStyle name="Normal 4 4 2 2 2" xfId="8897" xr:uid="{00000000-0005-0000-0000-000078640000}"/>
    <cellStyle name="Normal 4 4 2 2 2 2" xfId="8898" xr:uid="{00000000-0005-0000-0000-000079640000}"/>
    <cellStyle name="Normal 4 4 2 2 2 2 2" xfId="8899" xr:uid="{00000000-0005-0000-0000-00007A640000}"/>
    <cellStyle name="Normal 4 4 2 2 2 2 2 2" xfId="8900" xr:uid="{00000000-0005-0000-0000-00007B640000}"/>
    <cellStyle name="Normal 4 4 2 2 2 2 2 2 2" xfId="32391" xr:uid="{00000000-0005-0000-0000-00007C640000}"/>
    <cellStyle name="Normal 4 4 2 2 2 2 2 3" xfId="32390" xr:uid="{00000000-0005-0000-0000-00007D640000}"/>
    <cellStyle name="Normal 4 4 2 2 2 2 3" xfId="8901" xr:uid="{00000000-0005-0000-0000-00007E640000}"/>
    <cellStyle name="Normal 4 4 2 2 2 2 3 2" xfId="32392" xr:uid="{00000000-0005-0000-0000-00007F640000}"/>
    <cellStyle name="Normal 4 4 2 2 2 2 4" xfId="32389" xr:uid="{00000000-0005-0000-0000-000080640000}"/>
    <cellStyle name="Normal 4 4 2 2 2 3" xfId="8902" xr:uid="{00000000-0005-0000-0000-000081640000}"/>
    <cellStyle name="Normal 4 4 2 2 2 3 2" xfId="8903" xr:uid="{00000000-0005-0000-0000-000082640000}"/>
    <cellStyle name="Normal 4 4 2 2 2 3 2 2" xfId="32394" xr:uid="{00000000-0005-0000-0000-000083640000}"/>
    <cellStyle name="Normal 4 4 2 2 2 3 3" xfId="32393" xr:uid="{00000000-0005-0000-0000-000084640000}"/>
    <cellStyle name="Normal 4 4 2 2 2 4" xfId="8904" xr:uid="{00000000-0005-0000-0000-000085640000}"/>
    <cellStyle name="Normal 4 4 2 2 2 4 2" xfId="32395" xr:uid="{00000000-0005-0000-0000-000086640000}"/>
    <cellStyle name="Normal 4 4 2 2 2 5" xfId="32388" xr:uid="{00000000-0005-0000-0000-000087640000}"/>
    <cellStyle name="Normal 4 4 2 2 3" xfId="8905" xr:uid="{00000000-0005-0000-0000-000088640000}"/>
    <cellStyle name="Normal 4 4 2 2 3 2" xfId="8906" xr:uid="{00000000-0005-0000-0000-000089640000}"/>
    <cellStyle name="Normal 4 4 2 2 3 2 2" xfId="8907" xr:uid="{00000000-0005-0000-0000-00008A640000}"/>
    <cellStyle name="Normal 4 4 2 2 3 2 2 2" xfId="8908" xr:uid="{00000000-0005-0000-0000-00008B640000}"/>
    <cellStyle name="Normal 4 4 2 2 3 2 2 2 2" xfId="32399" xr:uid="{00000000-0005-0000-0000-00008C640000}"/>
    <cellStyle name="Normal 4 4 2 2 3 2 2 3" xfId="32398" xr:uid="{00000000-0005-0000-0000-00008D640000}"/>
    <cellStyle name="Normal 4 4 2 2 3 2 3" xfId="8909" xr:uid="{00000000-0005-0000-0000-00008E640000}"/>
    <cellStyle name="Normal 4 4 2 2 3 2 3 2" xfId="32400" xr:uid="{00000000-0005-0000-0000-00008F640000}"/>
    <cellStyle name="Normal 4 4 2 2 3 2 4" xfId="32397" xr:uid="{00000000-0005-0000-0000-000090640000}"/>
    <cellStyle name="Normal 4 4 2 2 3 3" xfId="8910" xr:uid="{00000000-0005-0000-0000-000091640000}"/>
    <cellStyle name="Normal 4 4 2 2 3 3 2" xfId="8911" xr:uid="{00000000-0005-0000-0000-000092640000}"/>
    <cellStyle name="Normal 4 4 2 2 3 3 2 2" xfId="32402" xr:uid="{00000000-0005-0000-0000-000093640000}"/>
    <cellStyle name="Normal 4 4 2 2 3 3 3" xfId="32401" xr:uid="{00000000-0005-0000-0000-000094640000}"/>
    <cellStyle name="Normal 4 4 2 2 3 4" xfId="8912" xr:uid="{00000000-0005-0000-0000-000095640000}"/>
    <cellStyle name="Normal 4 4 2 2 3 4 2" xfId="32403" xr:uid="{00000000-0005-0000-0000-000096640000}"/>
    <cellStyle name="Normal 4 4 2 2 3 5" xfId="32396" xr:uid="{00000000-0005-0000-0000-000097640000}"/>
    <cellStyle name="Normal 4 4 2 2 4" xfId="8913" xr:uid="{00000000-0005-0000-0000-000098640000}"/>
    <cellStyle name="Normal 4 4 2 2 4 2" xfId="8914" xr:uid="{00000000-0005-0000-0000-000099640000}"/>
    <cellStyle name="Normal 4 4 2 2 4 2 2" xfId="8915" xr:uid="{00000000-0005-0000-0000-00009A640000}"/>
    <cellStyle name="Normal 4 4 2 2 4 2 2 2" xfId="32406" xr:uid="{00000000-0005-0000-0000-00009B640000}"/>
    <cellStyle name="Normal 4 4 2 2 4 2 3" xfId="32405" xr:uid="{00000000-0005-0000-0000-00009C640000}"/>
    <cellStyle name="Normal 4 4 2 2 4 3" xfId="8916" xr:uid="{00000000-0005-0000-0000-00009D640000}"/>
    <cellStyle name="Normal 4 4 2 2 4 3 2" xfId="32407" xr:uid="{00000000-0005-0000-0000-00009E640000}"/>
    <cellStyle name="Normal 4 4 2 2 4 4" xfId="32404" xr:uid="{00000000-0005-0000-0000-00009F640000}"/>
    <cellStyle name="Normal 4 4 2 2 5" xfId="8917" xr:uid="{00000000-0005-0000-0000-0000A0640000}"/>
    <cellStyle name="Normal 4 4 2 2 5 2" xfId="8918" xr:uid="{00000000-0005-0000-0000-0000A1640000}"/>
    <cellStyle name="Normal 4 4 2 2 5 2 2" xfId="32409" xr:uid="{00000000-0005-0000-0000-0000A2640000}"/>
    <cellStyle name="Normal 4 4 2 2 5 3" xfId="32408" xr:uid="{00000000-0005-0000-0000-0000A3640000}"/>
    <cellStyle name="Normal 4 4 2 2 6" xfId="8919" xr:uid="{00000000-0005-0000-0000-0000A4640000}"/>
    <cellStyle name="Normal 4 4 2 2 6 2" xfId="32410" xr:uid="{00000000-0005-0000-0000-0000A5640000}"/>
    <cellStyle name="Normal 4 4 2 2 7" xfId="32387" xr:uid="{00000000-0005-0000-0000-0000A6640000}"/>
    <cellStyle name="Normal 4 4 2 3" xfId="8920" xr:uid="{00000000-0005-0000-0000-0000A7640000}"/>
    <cellStyle name="Normal 4 4 2 3 2" xfId="8921" xr:uid="{00000000-0005-0000-0000-0000A8640000}"/>
    <cellStyle name="Normal 4 4 2 3 2 2" xfId="8922" xr:uid="{00000000-0005-0000-0000-0000A9640000}"/>
    <cellStyle name="Normal 4 4 2 3 2 2 2" xfId="8923" xr:uid="{00000000-0005-0000-0000-0000AA640000}"/>
    <cellStyle name="Normal 4 4 2 3 2 2 2 2" xfId="8924" xr:uid="{00000000-0005-0000-0000-0000AB640000}"/>
    <cellStyle name="Normal 4 4 2 3 2 2 2 2 2" xfId="32415" xr:uid="{00000000-0005-0000-0000-0000AC640000}"/>
    <cellStyle name="Normal 4 4 2 3 2 2 2 3" xfId="32414" xr:uid="{00000000-0005-0000-0000-0000AD640000}"/>
    <cellStyle name="Normal 4 4 2 3 2 2 3" xfId="8925" xr:uid="{00000000-0005-0000-0000-0000AE640000}"/>
    <cellStyle name="Normal 4 4 2 3 2 2 3 2" xfId="32416" xr:uid="{00000000-0005-0000-0000-0000AF640000}"/>
    <cellStyle name="Normal 4 4 2 3 2 2 4" xfId="32413" xr:uid="{00000000-0005-0000-0000-0000B0640000}"/>
    <cellStyle name="Normal 4 4 2 3 2 3" xfId="8926" xr:uid="{00000000-0005-0000-0000-0000B1640000}"/>
    <cellStyle name="Normal 4 4 2 3 2 3 2" xfId="8927" xr:uid="{00000000-0005-0000-0000-0000B2640000}"/>
    <cellStyle name="Normal 4 4 2 3 2 3 2 2" xfId="32418" xr:uid="{00000000-0005-0000-0000-0000B3640000}"/>
    <cellStyle name="Normal 4 4 2 3 2 3 3" xfId="32417" xr:uid="{00000000-0005-0000-0000-0000B4640000}"/>
    <cellStyle name="Normal 4 4 2 3 2 4" xfId="8928" xr:uid="{00000000-0005-0000-0000-0000B5640000}"/>
    <cellStyle name="Normal 4 4 2 3 2 4 2" xfId="32419" xr:uid="{00000000-0005-0000-0000-0000B6640000}"/>
    <cellStyle name="Normal 4 4 2 3 2 5" xfId="32412" xr:uid="{00000000-0005-0000-0000-0000B7640000}"/>
    <cellStyle name="Normal 4 4 2 3 3" xfId="8929" xr:uid="{00000000-0005-0000-0000-0000B8640000}"/>
    <cellStyle name="Normal 4 4 2 3 3 2" xfId="8930" xr:uid="{00000000-0005-0000-0000-0000B9640000}"/>
    <cellStyle name="Normal 4 4 2 3 3 2 2" xfId="8931" xr:uid="{00000000-0005-0000-0000-0000BA640000}"/>
    <cellStyle name="Normal 4 4 2 3 3 2 2 2" xfId="8932" xr:uid="{00000000-0005-0000-0000-0000BB640000}"/>
    <cellStyle name="Normal 4 4 2 3 3 2 2 2 2" xfId="32423" xr:uid="{00000000-0005-0000-0000-0000BC640000}"/>
    <cellStyle name="Normal 4 4 2 3 3 2 2 3" xfId="32422" xr:uid="{00000000-0005-0000-0000-0000BD640000}"/>
    <cellStyle name="Normal 4 4 2 3 3 2 3" xfId="8933" xr:uid="{00000000-0005-0000-0000-0000BE640000}"/>
    <cellStyle name="Normal 4 4 2 3 3 2 3 2" xfId="32424" xr:uid="{00000000-0005-0000-0000-0000BF640000}"/>
    <cellStyle name="Normal 4 4 2 3 3 2 4" xfId="32421" xr:uid="{00000000-0005-0000-0000-0000C0640000}"/>
    <cellStyle name="Normal 4 4 2 3 3 3" xfId="8934" xr:uid="{00000000-0005-0000-0000-0000C1640000}"/>
    <cellStyle name="Normal 4 4 2 3 3 3 2" xfId="8935" xr:uid="{00000000-0005-0000-0000-0000C2640000}"/>
    <cellStyle name="Normal 4 4 2 3 3 3 2 2" xfId="32426" xr:uid="{00000000-0005-0000-0000-0000C3640000}"/>
    <cellStyle name="Normal 4 4 2 3 3 3 3" xfId="32425" xr:uid="{00000000-0005-0000-0000-0000C4640000}"/>
    <cellStyle name="Normal 4 4 2 3 3 4" xfId="8936" xr:uid="{00000000-0005-0000-0000-0000C5640000}"/>
    <cellStyle name="Normal 4 4 2 3 3 4 2" xfId="32427" xr:uid="{00000000-0005-0000-0000-0000C6640000}"/>
    <cellStyle name="Normal 4 4 2 3 3 5" xfId="32420" xr:uid="{00000000-0005-0000-0000-0000C7640000}"/>
    <cellStyle name="Normal 4 4 2 3 4" xfId="8937" xr:uid="{00000000-0005-0000-0000-0000C8640000}"/>
    <cellStyle name="Normal 4 4 2 3 4 2" xfId="8938" xr:uid="{00000000-0005-0000-0000-0000C9640000}"/>
    <cellStyle name="Normal 4 4 2 3 4 2 2" xfId="8939" xr:uid="{00000000-0005-0000-0000-0000CA640000}"/>
    <cellStyle name="Normal 4 4 2 3 4 2 2 2" xfId="32430" xr:uid="{00000000-0005-0000-0000-0000CB640000}"/>
    <cellStyle name="Normal 4 4 2 3 4 2 3" xfId="32429" xr:uid="{00000000-0005-0000-0000-0000CC640000}"/>
    <cellStyle name="Normal 4 4 2 3 4 3" xfId="8940" xr:uid="{00000000-0005-0000-0000-0000CD640000}"/>
    <cellStyle name="Normal 4 4 2 3 4 3 2" xfId="32431" xr:uid="{00000000-0005-0000-0000-0000CE640000}"/>
    <cellStyle name="Normal 4 4 2 3 4 4" xfId="32428" xr:uid="{00000000-0005-0000-0000-0000CF640000}"/>
    <cellStyle name="Normal 4 4 2 3 5" xfId="8941" xr:uid="{00000000-0005-0000-0000-0000D0640000}"/>
    <cellStyle name="Normal 4 4 2 3 5 2" xfId="8942" xr:uid="{00000000-0005-0000-0000-0000D1640000}"/>
    <cellStyle name="Normal 4 4 2 3 5 2 2" xfId="32433" xr:uid="{00000000-0005-0000-0000-0000D2640000}"/>
    <cellStyle name="Normal 4 4 2 3 5 3" xfId="32432" xr:uid="{00000000-0005-0000-0000-0000D3640000}"/>
    <cellStyle name="Normal 4 4 2 3 6" xfId="8943" xr:uid="{00000000-0005-0000-0000-0000D4640000}"/>
    <cellStyle name="Normal 4 4 2 3 6 2" xfId="32434" xr:uid="{00000000-0005-0000-0000-0000D5640000}"/>
    <cellStyle name="Normal 4 4 2 3 7" xfId="32411" xr:uid="{00000000-0005-0000-0000-0000D6640000}"/>
    <cellStyle name="Normal 4 4 2 4" xfId="8944" xr:uid="{00000000-0005-0000-0000-0000D7640000}"/>
    <cellStyle name="Normal 4 4 2 4 2" xfId="8945" xr:uid="{00000000-0005-0000-0000-0000D8640000}"/>
    <cellStyle name="Normal 4 4 2 4 2 2" xfId="8946" xr:uid="{00000000-0005-0000-0000-0000D9640000}"/>
    <cellStyle name="Normal 4 4 2 4 2 2 2" xfId="8947" xr:uid="{00000000-0005-0000-0000-0000DA640000}"/>
    <cellStyle name="Normal 4 4 2 4 2 2 2 2" xfId="8948" xr:uid="{00000000-0005-0000-0000-0000DB640000}"/>
    <cellStyle name="Normal 4 4 2 4 2 2 2 2 2" xfId="32439" xr:uid="{00000000-0005-0000-0000-0000DC640000}"/>
    <cellStyle name="Normal 4 4 2 4 2 2 2 3" xfId="32438" xr:uid="{00000000-0005-0000-0000-0000DD640000}"/>
    <cellStyle name="Normal 4 4 2 4 2 2 3" xfId="8949" xr:uid="{00000000-0005-0000-0000-0000DE640000}"/>
    <cellStyle name="Normal 4 4 2 4 2 2 3 2" xfId="32440" xr:uid="{00000000-0005-0000-0000-0000DF640000}"/>
    <cellStyle name="Normal 4 4 2 4 2 2 4" xfId="32437" xr:uid="{00000000-0005-0000-0000-0000E0640000}"/>
    <cellStyle name="Normal 4 4 2 4 2 3" xfId="8950" xr:uid="{00000000-0005-0000-0000-0000E1640000}"/>
    <cellStyle name="Normal 4 4 2 4 2 3 2" xfId="8951" xr:uid="{00000000-0005-0000-0000-0000E2640000}"/>
    <cellStyle name="Normal 4 4 2 4 2 3 2 2" xfId="32442" xr:uid="{00000000-0005-0000-0000-0000E3640000}"/>
    <cellStyle name="Normal 4 4 2 4 2 3 3" xfId="32441" xr:uid="{00000000-0005-0000-0000-0000E4640000}"/>
    <cellStyle name="Normal 4 4 2 4 2 4" xfId="8952" xr:uid="{00000000-0005-0000-0000-0000E5640000}"/>
    <cellStyle name="Normal 4 4 2 4 2 4 2" xfId="32443" xr:uid="{00000000-0005-0000-0000-0000E6640000}"/>
    <cellStyle name="Normal 4 4 2 4 2 5" xfId="32436" xr:uid="{00000000-0005-0000-0000-0000E7640000}"/>
    <cellStyle name="Normal 4 4 2 4 3" xfId="8953" xr:uid="{00000000-0005-0000-0000-0000E8640000}"/>
    <cellStyle name="Normal 4 4 2 4 3 2" xfId="8954" xr:uid="{00000000-0005-0000-0000-0000E9640000}"/>
    <cellStyle name="Normal 4 4 2 4 3 2 2" xfId="8955" xr:uid="{00000000-0005-0000-0000-0000EA640000}"/>
    <cellStyle name="Normal 4 4 2 4 3 2 2 2" xfId="8956" xr:uid="{00000000-0005-0000-0000-0000EB640000}"/>
    <cellStyle name="Normal 4 4 2 4 3 2 2 2 2" xfId="32447" xr:uid="{00000000-0005-0000-0000-0000EC640000}"/>
    <cellStyle name="Normal 4 4 2 4 3 2 2 3" xfId="32446" xr:uid="{00000000-0005-0000-0000-0000ED640000}"/>
    <cellStyle name="Normal 4 4 2 4 3 2 3" xfId="8957" xr:uid="{00000000-0005-0000-0000-0000EE640000}"/>
    <cellStyle name="Normal 4 4 2 4 3 2 3 2" xfId="32448" xr:uid="{00000000-0005-0000-0000-0000EF640000}"/>
    <cellStyle name="Normal 4 4 2 4 3 2 4" xfId="32445" xr:uid="{00000000-0005-0000-0000-0000F0640000}"/>
    <cellStyle name="Normal 4 4 2 4 3 3" xfId="8958" xr:uid="{00000000-0005-0000-0000-0000F1640000}"/>
    <cellStyle name="Normal 4 4 2 4 3 3 2" xfId="8959" xr:uid="{00000000-0005-0000-0000-0000F2640000}"/>
    <cellStyle name="Normal 4 4 2 4 3 3 2 2" xfId="32450" xr:uid="{00000000-0005-0000-0000-0000F3640000}"/>
    <cellStyle name="Normal 4 4 2 4 3 3 3" xfId="32449" xr:uid="{00000000-0005-0000-0000-0000F4640000}"/>
    <cellStyle name="Normal 4 4 2 4 3 4" xfId="8960" xr:uid="{00000000-0005-0000-0000-0000F5640000}"/>
    <cellStyle name="Normal 4 4 2 4 3 4 2" xfId="32451" xr:uid="{00000000-0005-0000-0000-0000F6640000}"/>
    <cellStyle name="Normal 4 4 2 4 3 5" xfId="32444" xr:uid="{00000000-0005-0000-0000-0000F7640000}"/>
    <cellStyle name="Normal 4 4 2 4 4" xfId="8961" xr:uid="{00000000-0005-0000-0000-0000F8640000}"/>
    <cellStyle name="Normal 4 4 2 4 4 2" xfId="8962" xr:uid="{00000000-0005-0000-0000-0000F9640000}"/>
    <cellStyle name="Normal 4 4 2 4 4 2 2" xfId="8963" xr:uid="{00000000-0005-0000-0000-0000FA640000}"/>
    <cellStyle name="Normal 4 4 2 4 4 2 2 2" xfId="32454" xr:uid="{00000000-0005-0000-0000-0000FB640000}"/>
    <cellStyle name="Normal 4 4 2 4 4 2 3" xfId="32453" xr:uid="{00000000-0005-0000-0000-0000FC640000}"/>
    <cellStyle name="Normal 4 4 2 4 4 3" xfId="8964" xr:uid="{00000000-0005-0000-0000-0000FD640000}"/>
    <cellStyle name="Normal 4 4 2 4 4 3 2" xfId="32455" xr:uid="{00000000-0005-0000-0000-0000FE640000}"/>
    <cellStyle name="Normal 4 4 2 4 4 4" xfId="32452" xr:uid="{00000000-0005-0000-0000-0000FF640000}"/>
    <cellStyle name="Normal 4 4 2 4 5" xfId="8965" xr:uid="{00000000-0005-0000-0000-000000650000}"/>
    <cellStyle name="Normal 4 4 2 4 5 2" xfId="8966" xr:uid="{00000000-0005-0000-0000-000001650000}"/>
    <cellStyle name="Normal 4 4 2 4 5 2 2" xfId="32457" xr:uid="{00000000-0005-0000-0000-000002650000}"/>
    <cellStyle name="Normal 4 4 2 4 5 3" xfId="32456" xr:uid="{00000000-0005-0000-0000-000003650000}"/>
    <cellStyle name="Normal 4 4 2 4 6" xfId="8967" xr:uid="{00000000-0005-0000-0000-000004650000}"/>
    <cellStyle name="Normal 4 4 2 4 6 2" xfId="32458" xr:uid="{00000000-0005-0000-0000-000005650000}"/>
    <cellStyle name="Normal 4 4 2 4 7" xfId="32435" xr:uid="{00000000-0005-0000-0000-000006650000}"/>
    <cellStyle name="Normal 4 4 2 5" xfId="8968" xr:uid="{00000000-0005-0000-0000-000007650000}"/>
    <cellStyle name="Normal 4 4 2 5 2" xfId="8969" xr:uid="{00000000-0005-0000-0000-000008650000}"/>
    <cellStyle name="Normal 4 4 2 5 2 2" xfId="8970" xr:uid="{00000000-0005-0000-0000-000009650000}"/>
    <cellStyle name="Normal 4 4 2 5 2 2 2" xfId="8971" xr:uid="{00000000-0005-0000-0000-00000A650000}"/>
    <cellStyle name="Normal 4 4 2 5 2 2 2 2" xfId="8972" xr:uid="{00000000-0005-0000-0000-00000B650000}"/>
    <cellStyle name="Normal 4 4 2 5 2 2 2 2 2" xfId="32463" xr:uid="{00000000-0005-0000-0000-00000C650000}"/>
    <cellStyle name="Normal 4 4 2 5 2 2 2 3" xfId="32462" xr:uid="{00000000-0005-0000-0000-00000D650000}"/>
    <cellStyle name="Normal 4 4 2 5 2 2 3" xfId="8973" xr:uid="{00000000-0005-0000-0000-00000E650000}"/>
    <cellStyle name="Normal 4 4 2 5 2 2 3 2" xfId="32464" xr:uid="{00000000-0005-0000-0000-00000F650000}"/>
    <cellStyle name="Normal 4 4 2 5 2 2 4" xfId="32461" xr:uid="{00000000-0005-0000-0000-000010650000}"/>
    <cellStyle name="Normal 4 4 2 5 2 3" xfId="8974" xr:uid="{00000000-0005-0000-0000-000011650000}"/>
    <cellStyle name="Normal 4 4 2 5 2 3 2" xfId="8975" xr:uid="{00000000-0005-0000-0000-000012650000}"/>
    <cellStyle name="Normal 4 4 2 5 2 3 2 2" xfId="32466" xr:uid="{00000000-0005-0000-0000-000013650000}"/>
    <cellStyle name="Normal 4 4 2 5 2 3 3" xfId="32465" xr:uid="{00000000-0005-0000-0000-000014650000}"/>
    <cellStyle name="Normal 4 4 2 5 2 4" xfId="8976" xr:uid="{00000000-0005-0000-0000-000015650000}"/>
    <cellStyle name="Normal 4 4 2 5 2 4 2" xfId="32467" xr:uid="{00000000-0005-0000-0000-000016650000}"/>
    <cellStyle name="Normal 4 4 2 5 2 5" xfId="32460" xr:uid="{00000000-0005-0000-0000-000017650000}"/>
    <cellStyle name="Normal 4 4 2 5 3" xfId="8977" xr:uid="{00000000-0005-0000-0000-000018650000}"/>
    <cellStyle name="Normal 4 4 2 5 3 2" xfId="8978" xr:uid="{00000000-0005-0000-0000-000019650000}"/>
    <cellStyle name="Normal 4 4 2 5 3 2 2" xfId="8979" xr:uid="{00000000-0005-0000-0000-00001A650000}"/>
    <cellStyle name="Normal 4 4 2 5 3 2 2 2" xfId="8980" xr:uid="{00000000-0005-0000-0000-00001B650000}"/>
    <cellStyle name="Normal 4 4 2 5 3 2 2 2 2" xfId="32471" xr:uid="{00000000-0005-0000-0000-00001C650000}"/>
    <cellStyle name="Normal 4 4 2 5 3 2 2 3" xfId="32470" xr:uid="{00000000-0005-0000-0000-00001D650000}"/>
    <cellStyle name="Normal 4 4 2 5 3 2 3" xfId="8981" xr:uid="{00000000-0005-0000-0000-00001E650000}"/>
    <cellStyle name="Normal 4 4 2 5 3 2 3 2" xfId="32472" xr:uid="{00000000-0005-0000-0000-00001F650000}"/>
    <cellStyle name="Normal 4 4 2 5 3 2 4" xfId="32469" xr:uid="{00000000-0005-0000-0000-000020650000}"/>
    <cellStyle name="Normal 4 4 2 5 3 3" xfId="8982" xr:uid="{00000000-0005-0000-0000-000021650000}"/>
    <cellStyle name="Normal 4 4 2 5 3 3 2" xfId="8983" xr:uid="{00000000-0005-0000-0000-000022650000}"/>
    <cellStyle name="Normal 4 4 2 5 3 3 2 2" xfId="32474" xr:uid="{00000000-0005-0000-0000-000023650000}"/>
    <cellStyle name="Normal 4 4 2 5 3 3 3" xfId="32473" xr:uid="{00000000-0005-0000-0000-000024650000}"/>
    <cellStyle name="Normal 4 4 2 5 3 4" xfId="8984" xr:uid="{00000000-0005-0000-0000-000025650000}"/>
    <cellStyle name="Normal 4 4 2 5 3 4 2" xfId="32475" xr:uid="{00000000-0005-0000-0000-000026650000}"/>
    <cellStyle name="Normal 4 4 2 5 3 5" xfId="32468" xr:uid="{00000000-0005-0000-0000-000027650000}"/>
    <cellStyle name="Normal 4 4 2 5 4" xfId="8985" xr:uid="{00000000-0005-0000-0000-000028650000}"/>
    <cellStyle name="Normal 4 4 2 5 4 2" xfId="8986" xr:uid="{00000000-0005-0000-0000-000029650000}"/>
    <cellStyle name="Normal 4 4 2 5 4 2 2" xfId="8987" xr:uid="{00000000-0005-0000-0000-00002A650000}"/>
    <cellStyle name="Normal 4 4 2 5 4 2 2 2" xfId="32478" xr:uid="{00000000-0005-0000-0000-00002B650000}"/>
    <cellStyle name="Normal 4 4 2 5 4 2 3" xfId="32477" xr:uid="{00000000-0005-0000-0000-00002C650000}"/>
    <cellStyle name="Normal 4 4 2 5 4 3" xfId="8988" xr:uid="{00000000-0005-0000-0000-00002D650000}"/>
    <cellStyle name="Normal 4 4 2 5 4 3 2" xfId="32479" xr:uid="{00000000-0005-0000-0000-00002E650000}"/>
    <cellStyle name="Normal 4 4 2 5 4 4" xfId="32476" xr:uid="{00000000-0005-0000-0000-00002F650000}"/>
    <cellStyle name="Normal 4 4 2 5 5" xfId="8989" xr:uid="{00000000-0005-0000-0000-000030650000}"/>
    <cellStyle name="Normal 4 4 2 5 5 2" xfId="8990" xr:uid="{00000000-0005-0000-0000-000031650000}"/>
    <cellStyle name="Normal 4 4 2 5 5 2 2" xfId="32481" xr:uid="{00000000-0005-0000-0000-000032650000}"/>
    <cellStyle name="Normal 4 4 2 5 5 3" xfId="32480" xr:uid="{00000000-0005-0000-0000-000033650000}"/>
    <cellStyle name="Normal 4 4 2 5 6" xfId="8991" xr:uid="{00000000-0005-0000-0000-000034650000}"/>
    <cellStyle name="Normal 4 4 2 5 6 2" xfId="32482" xr:uid="{00000000-0005-0000-0000-000035650000}"/>
    <cellStyle name="Normal 4 4 2 5 7" xfId="32459" xr:uid="{00000000-0005-0000-0000-000036650000}"/>
    <cellStyle name="Normal 4 4 2 6" xfId="8992" xr:uid="{00000000-0005-0000-0000-000037650000}"/>
    <cellStyle name="Normal 4 4 2 6 2" xfId="8993" xr:uid="{00000000-0005-0000-0000-000038650000}"/>
    <cellStyle name="Normal 4 4 2 6 2 2" xfId="8994" xr:uid="{00000000-0005-0000-0000-000039650000}"/>
    <cellStyle name="Normal 4 4 2 6 2 2 2" xfId="8995" xr:uid="{00000000-0005-0000-0000-00003A650000}"/>
    <cellStyle name="Normal 4 4 2 6 2 2 2 2" xfId="32486" xr:uid="{00000000-0005-0000-0000-00003B650000}"/>
    <cellStyle name="Normal 4 4 2 6 2 2 3" xfId="32485" xr:uid="{00000000-0005-0000-0000-00003C650000}"/>
    <cellStyle name="Normal 4 4 2 6 2 3" xfId="8996" xr:uid="{00000000-0005-0000-0000-00003D650000}"/>
    <cellStyle name="Normal 4 4 2 6 2 3 2" xfId="32487" xr:uid="{00000000-0005-0000-0000-00003E650000}"/>
    <cellStyle name="Normal 4 4 2 6 2 4" xfId="32484" xr:uid="{00000000-0005-0000-0000-00003F650000}"/>
    <cellStyle name="Normal 4 4 2 6 3" xfId="8997" xr:uid="{00000000-0005-0000-0000-000040650000}"/>
    <cellStyle name="Normal 4 4 2 6 3 2" xfId="8998" xr:uid="{00000000-0005-0000-0000-000041650000}"/>
    <cellStyle name="Normal 4 4 2 6 3 2 2" xfId="32489" xr:uid="{00000000-0005-0000-0000-000042650000}"/>
    <cellStyle name="Normal 4 4 2 6 3 3" xfId="32488" xr:uid="{00000000-0005-0000-0000-000043650000}"/>
    <cellStyle name="Normal 4 4 2 6 4" xfId="8999" xr:uid="{00000000-0005-0000-0000-000044650000}"/>
    <cellStyle name="Normal 4 4 2 6 4 2" xfId="32490" xr:uid="{00000000-0005-0000-0000-000045650000}"/>
    <cellStyle name="Normal 4 4 2 6 5" xfId="32483" xr:uid="{00000000-0005-0000-0000-000046650000}"/>
    <cellStyle name="Normal 4 4 2 7" xfId="9000" xr:uid="{00000000-0005-0000-0000-000047650000}"/>
    <cellStyle name="Normal 4 4 2 7 2" xfId="9001" xr:uid="{00000000-0005-0000-0000-000048650000}"/>
    <cellStyle name="Normal 4 4 2 7 2 2" xfId="9002" xr:uid="{00000000-0005-0000-0000-000049650000}"/>
    <cellStyle name="Normal 4 4 2 7 2 2 2" xfId="9003" xr:uid="{00000000-0005-0000-0000-00004A650000}"/>
    <cellStyle name="Normal 4 4 2 7 2 2 2 2" xfId="32494" xr:uid="{00000000-0005-0000-0000-00004B650000}"/>
    <cellStyle name="Normal 4 4 2 7 2 2 3" xfId="32493" xr:uid="{00000000-0005-0000-0000-00004C650000}"/>
    <cellStyle name="Normal 4 4 2 7 2 3" xfId="9004" xr:uid="{00000000-0005-0000-0000-00004D650000}"/>
    <cellStyle name="Normal 4 4 2 7 2 3 2" xfId="32495" xr:uid="{00000000-0005-0000-0000-00004E650000}"/>
    <cellStyle name="Normal 4 4 2 7 2 4" xfId="32492" xr:uid="{00000000-0005-0000-0000-00004F650000}"/>
    <cellStyle name="Normal 4 4 2 7 3" xfId="9005" xr:uid="{00000000-0005-0000-0000-000050650000}"/>
    <cellStyle name="Normal 4 4 2 7 3 2" xfId="9006" xr:uid="{00000000-0005-0000-0000-000051650000}"/>
    <cellStyle name="Normal 4 4 2 7 3 2 2" xfId="32497" xr:uid="{00000000-0005-0000-0000-000052650000}"/>
    <cellStyle name="Normal 4 4 2 7 3 3" xfId="32496" xr:uid="{00000000-0005-0000-0000-000053650000}"/>
    <cellStyle name="Normal 4 4 2 7 4" xfId="9007" xr:uid="{00000000-0005-0000-0000-000054650000}"/>
    <cellStyle name="Normal 4 4 2 7 4 2" xfId="32498" xr:uid="{00000000-0005-0000-0000-000055650000}"/>
    <cellStyle name="Normal 4 4 2 7 5" xfId="32491" xr:uid="{00000000-0005-0000-0000-000056650000}"/>
    <cellStyle name="Normal 4 4 2 8" xfId="9008" xr:uid="{00000000-0005-0000-0000-000057650000}"/>
    <cellStyle name="Normal 4 4 2 8 2" xfId="9009" xr:uid="{00000000-0005-0000-0000-000058650000}"/>
    <cellStyle name="Normal 4 4 2 8 2 2" xfId="9010" xr:uid="{00000000-0005-0000-0000-000059650000}"/>
    <cellStyle name="Normal 4 4 2 8 2 2 2" xfId="32501" xr:uid="{00000000-0005-0000-0000-00005A650000}"/>
    <cellStyle name="Normal 4 4 2 8 2 3" xfId="32500" xr:uid="{00000000-0005-0000-0000-00005B650000}"/>
    <cellStyle name="Normal 4 4 2 8 3" xfId="9011" xr:uid="{00000000-0005-0000-0000-00005C650000}"/>
    <cellStyle name="Normal 4 4 2 8 3 2" xfId="32502" xr:uid="{00000000-0005-0000-0000-00005D650000}"/>
    <cellStyle name="Normal 4 4 2 8 4" xfId="32499" xr:uid="{00000000-0005-0000-0000-00005E650000}"/>
    <cellStyle name="Normal 4 4 2 9" xfId="9012" xr:uid="{00000000-0005-0000-0000-00005F650000}"/>
    <cellStyle name="Normal 4 4 2 9 2" xfId="9013" xr:uid="{00000000-0005-0000-0000-000060650000}"/>
    <cellStyle name="Normal 4 4 2 9 2 2" xfId="32504" xr:uid="{00000000-0005-0000-0000-000061650000}"/>
    <cellStyle name="Normal 4 4 2 9 3" xfId="32503" xr:uid="{00000000-0005-0000-0000-000062650000}"/>
    <cellStyle name="Normal 4 4 3" xfId="9014" xr:uid="{00000000-0005-0000-0000-000063650000}"/>
    <cellStyle name="Normal 4 4 3 10" xfId="32505" xr:uid="{00000000-0005-0000-0000-000064650000}"/>
    <cellStyle name="Normal 4 4 3 2" xfId="9015" xr:uid="{00000000-0005-0000-0000-000065650000}"/>
    <cellStyle name="Normal 4 4 3 2 2" xfId="9016" xr:uid="{00000000-0005-0000-0000-000066650000}"/>
    <cellStyle name="Normal 4 4 3 2 2 2" xfId="9017" xr:uid="{00000000-0005-0000-0000-000067650000}"/>
    <cellStyle name="Normal 4 4 3 2 2 2 2" xfId="9018" xr:uid="{00000000-0005-0000-0000-000068650000}"/>
    <cellStyle name="Normal 4 4 3 2 2 2 2 2" xfId="9019" xr:uid="{00000000-0005-0000-0000-000069650000}"/>
    <cellStyle name="Normal 4 4 3 2 2 2 2 2 2" xfId="32510" xr:uid="{00000000-0005-0000-0000-00006A650000}"/>
    <cellStyle name="Normal 4 4 3 2 2 2 2 3" xfId="32509" xr:uid="{00000000-0005-0000-0000-00006B650000}"/>
    <cellStyle name="Normal 4 4 3 2 2 2 3" xfId="9020" xr:uid="{00000000-0005-0000-0000-00006C650000}"/>
    <cellStyle name="Normal 4 4 3 2 2 2 3 2" xfId="32511" xr:uid="{00000000-0005-0000-0000-00006D650000}"/>
    <cellStyle name="Normal 4 4 3 2 2 2 4" xfId="32508" xr:uid="{00000000-0005-0000-0000-00006E650000}"/>
    <cellStyle name="Normal 4 4 3 2 2 3" xfId="9021" xr:uid="{00000000-0005-0000-0000-00006F650000}"/>
    <cellStyle name="Normal 4 4 3 2 2 3 2" xfId="9022" xr:uid="{00000000-0005-0000-0000-000070650000}"/>
    <cellStyle name="Normal 4 4 3 2 2 3 2 2" xfId="32513" xr:uid="{00000000-0005-0000-0000-000071650000}"/>
    <cellStyle name="Normal 4 4 3 2 2 3 3" xfId="32512" xr:uid="{00000000-0005-0000-0000-000072650000}"/>
    <cellStyle name="Normal 4 4 3 2 2 4" xfId="9023" xr:uid="{00000000-0005-0000-0000-000073650000}"/>
    <cellStyle name="Normal 4 4 3 2 2 4 2" xfId="32514" xr:uid="{00000000-0005-0000-0000-000074650000}"/>
    <cellStyle name="Normal 4 4 3 2 2 5" xfId="32507" xr:uid="{00000000-0005-0000-0000-000075650000}"/>
    <cellStyle name="Normal 4 4 3 2 3" xfId="9024" xr:uid="{00000000-0005-0000-0000-000076650000}"/>
    <cellStyle name="Normal 4 4 3 2 3 2" xfId="9025" xr:uid="{00000000-0005-0000-0000-000077650000}"/>
    <cellStyle name="Normal 4 4 3 2 3 2 2" xfId="9026" xr:uid="{00000000-0005-0000-0000-000078650000}"/>
    <cellStyle name="Normal 4 4 3 2 3 2 2 2" xfId="9027" xr:uid="{00000000-0005-0000-0000-000079650000}"/>
    <cellStyle name="Normal 4 4 3 2 3 2 2 2 2" xfId="32518" xr:uid="{00000000-0005-0000-0000-00007A650000}"/>
    <cellStyle name="Normal 4 4 3 2 3 2 2 3" xfId="32517" xr:uid="{00000000-0005-0000-0000-00007B650000}"/>
    <cellStyle name="Normal 4 4 3 2 3 2 3" xfId="9028" xr:uid="{00000000-0005-0000-0000-00007C650000}"/>
    <cellStyle name="Normal 4 4 3 2 3 2 3 2" xfId="32519" xr:uid="{00000000-0005-0000-0000-00007D650000}"/>
    <cellStyle name="Normal 4 4 3 2 3 2 4" xfId="32516" xr:uid="{00000000-0005-0000-0000-00007E650000}"/>
    <cellStyle name="Normal 4 4 3 2 3 3" xfId="9029" xr:uid="{00000000-0005-0000-0000-00007F650000}"/>
    <cellStyle name="Normal 4 4 3 2 3 3 2" xfId="9030" xr:uid="{00000000-0005-0000-0000-000080650000}"/>
    <cellStyle name="Normal 4 4 3 2 3 3 2 2" xfId="32521" xr:uid="{00000000-0005-0000-0000-000081650000}"/>
    <cellStyle name="Normal 4 4 3 2 3 3 3" xfId="32520" xr:uid="{00000000-0005-0000-0000-000082650000}"/>
    <cellStyle name="Normal 4 4 3 2 3 4" xfId="9031" xr:uid="{00000000-0005-0000-0000-000083650000}"/>
    <cellStyle name="Normal 4 4 3 2 3 4 2" xfId="32522" xr:uid="{00000000-0005-0000-0000-000084650000}"/>
    <cellStyle name="Normal 4 4 3 2 3 5" xfId="32515" xr:uid="{00000000-0005-0000-0000-000085650000}"/>
    <cellStyle name="Normal 4 4 3 2 4" xfId="9032" xr:uid="{00000000-0005-0000-0000-000086650000}"/>
    <cellStyle name="Normal 4 4 3 2 4 2" xfId="9033" xr:uid="{00000000-0005-0000-0000-000087650000}"/>
    <cellStyle name="Normal 4 4 3 2 4 2 2" xfId="9034" xr:uid="{00000000-0005-0000-0000-000088650000}"/>
    <cellStyle name="Normal 4 4 3 2 4 2 2 2" xfId="32525" xr:uid="{00000000-0005-0000-0000-000089650000}"/>
    <cellStyle name="Normal 4 4 3 2 4 2 3" xfId="32524" xr:uid="{00000000-0005-0000-0000-00008A650000}"/>
    <cellStyle name="Normal 4 4 3 2 4 3" xfId="9035" xr:uid="{00000000-0005-0000-0000-00008B650000}"/>
    <cellStyle name="Normal 4 4 3 2 4 3 2" xfId="32526" xr:uid="{00000000-0005-0000-0000-00008C650000}"/>
    <cellStyle name="Normal 4 4 3 2 4 4" xfId="32523" xr:uid="{00000000-0005-0000-0000-00008D650000}"/>
    <cellStyle name="Normal 4 4 3 2 5" xfId="9036" xr:uid="{00000000-0005-0000-0000-00008E650000}"/>
    <cellStyle name="Normal 4 4 3 2 5 2" xfId="9037" xr:uid="{00000000-0005-0000-0000-00008F650000}"/>
    <cellStyle name="Normal 4 4 3 2 5 2 2" xfId="32528" xr:uid="{00000000-0005-0000-0000-000090650000}"/>
    <cellStyle name="Normal 4 4 3 2 5 3" xfId="32527" xr:uid="{00000000-0005-0000-0000-000091650000}"/>
    <cellStyle name="Normal 4 4 3 2 6" xfId="9038" xr:uid="{00000000-0005-0000-0000-000092650000}"/>
    <cellStyle name="Normal 4 4 3 2 6 2" xfId="32529" xr:uid="{00000000-0005-0000-0000-000093650000}"/>
    <cellStyle name="Normal 4 4 3 2 7" xfId="32506" xr:uid="{00000000-0005-0000-0000-000094650000}"/>
    <cellStyle name="Normal 4 4 3 3" xfId="9039" xr:uid="{00000000-0005-0000-0000-000095650000}"/>
    <cellStyle name="Normal 4 4 3 3 2" xfId="9040" xr:uid="{00000000-0005-0000-0000-000096650000}"/>
    <cellStyle name="Normal 4 4 3 3 2 2" xfId="9041" xr:uid="{00000000-0005-0000-0000-000097650000}"/>
    <cellStyle name="Normal 4 4 3 3 2 2 2" xfId="9042" xr:uid="{00000000-0005-0000-0000-000098650000}"/>
    <cellStyle name="Normal 4 4 3 3 2 2 2 2" xfId="9043" xr:uid="{00000000-0005-0000-0000-000099650000}"/>
    <cellStyle name="Normal 4 4 3 3 2 2 2 2 2" xfId="32534" xr:uid="{00000000-0005-0000-0000-00009A650000}"/>
    <cellStyle name="Normal 4 4 3 3 2 2 2 3" xfId="32533" xr:uid="{00000000-0005-0000-0000-00009B650000}"/>
    <cellStyle name="Normal 4 4 3 3 2 2 3" xfId="9044" xr:uid="{00000000-0005-0000-0000-00009C650000}"/>
    <cellStyle name="Normal 4 4 3 3 2 2 3 2" xfId="32535" xr:uid="{00000000-0005-0000-0000-00009D650000}"/>
    <cellStyle name="Normal 4 4 3 3 2 2 4" xfId="32532" xr:uid="{00000000-0005-0000-0000-00009E650000}"/>
    <cellStyle name="Normal 4 4 3 3 2 3" xfId="9045" xr:uid="{00000000-0005-0000-0000-00009F650000}"/>
    <cellStyle name="Normal 4 4 3 3 2 3 2" xfId="9046" xr:uid="{00000000-0005-0000-0000-0000A0650000}"/>
    <cellStyle name="Normal 4 4 3 3 2 3 2 2" xfId="32537" xr:uid="{00000000-0005-0000-0000-0000A1650000}"/>
    <cellStyle name="Normal 4 4 3 3 2 3 3" xfId="32536" xr:uid="{00000000-0005-0000-0000-0000A2650000}"/>
    <cellStyle name="Normal 4 4 3 3 2 4" xfId="9047" xr:uid="{00000000-0005-0000-0000-0000A3650000}"/>
    <cellStyle name="Normal 4 4 3 3 2 4 2" xfId="32538" xr:uid="{00000000-0005-0000-0000-0000A4650000}"/>
    <cellStyle name="Normal 4 4 3 3 2 5" xfId="32531" xr:uid="{00000000-0005-0000-0000-0000A5650000}"/>
    <cellStyle name="Normal 4 4 3 3 3" xfId="9048" xr:uid="{00000000-0005-0000-0000-0000A6650000}"/>
    <cellStyle name="Normal 4 4 3 3 3 2" xfId="9049" xr:uid="{00000000-0005-0000-0000-0000A7650000}"/>
    <cellStyle name="Normal 4 4 3 3 3 2 2" xfId="9050" xr:uid="{00000000-0005-0000-0000-0000A8650000}"/>
    <cellStyle name="Normal 4 4 3 3 3 2 2 2" xfId="9051" xr:uid="{00000000-0005-0000-0000-0000A9650000}"/>
    <cellStyle name="Normal 4 4 3 3 3 2 2 2 2" xfId="32542" xr:uid="{00000000-0005-0000-0000-0000AA650000}"/>
    <cellStyle name="Normal 4 4 3 3 3 2 2 3" xfId="32541" xr:uid="{00000000-0005-0000-0000-0000AB650000}"/>
    <cellStyle name="Normal 4 4 3 3 3 2 3" xfId="9052" xr:uid="{00000000-0005-0000-0000-0000AC650000}"/>
    <cellStyle name="Normal 4 4 3 3 3 2 3 2" xfId="32543" xr:uid="{00000000-0005-0000-0000-0000AD650000}"/>
    <cellStyle name="Normal 4 4 3 3 3 2 4" xfId="32540" xr:uid="{00000000-0005-0000-0000-0000AE650000}"/>
    <cellStyle name="Normal 4 4 3 3 3 3" xfId="9053" xr:uid="{00000000-0005-0000-0000-0000AF650000}"/>
    <cellStyle name="Normal 4 4 3 3 3 3 2" xfId="9054" xr:uid="{00000000-0005-0000-0000-0000B0650000}"/>
    <cellStyle name="Normal 4 4 3 3 3 3 2 2" xfId="32545" xr:uid="{00000000-0005-0000-0000-0000B1650000}"/>
    <cellStyle name="Normal 4 4 3 3 3 3 3" xfId="32544" xr:uid="{00000000-0005-0000-0000-0000B2650000}"/>
    <cellStyle name="Normal 4 4 3 3 3 4" xfId="9055" xr:uid="{00000000-0005-0000-0000-0000B3650000}"/>
    <cellStyle name="Normal 4 4 3 3 3 4 2" xfId="32546" xr:uid="{00000000-0005-0000-0000-0000B4650000}"/>
    <cellStyle name="Normal 4 4 3 3 3 5" xfId="32539" xr:uid="{00000000-0005-0000-0000-0000B5650000}"/>
    <cellStyle name="Normal 4 4 3 3 4" xfId="9056" xr:uid="{00000000-0005-0000-0000-0000B6650000}"/>
    <cellStyle name="Normal 4 4 3 3 4 2" xfId="9057" xr:uid="{00000000-0005-0000-0000-0000B7650000}"/>
    <cellStyle name="Normal 4 4 3 3 4 2 2" xfId="9058" xr:uid="{00000000-0005-0000-0000-0000B8650000}"/>
    <cellStyle name="Normal 4 4 3 3 4 2 2 2" xfId="32549" xr:uid="{00000000-0005-0000-0000-0000B9650000}"/>
    <cellStyle name="Normal 4 4 3 3 4 2 3" xfId="32548" xr:uid="{00000000-0005-0000-0000-0000BA650000}"/>
    <cellStyle name="Normal 4 4 3 3 4 3" xfId="9059" xr:uid="{00000000-0005-0000-0000-0000BB650000}"/>
    <cellStyle name="Normal 4 4 3 3 4 3 2" xfId="32550" xr:uid="{00000000-0005-0000-0000-0000BC650000}"/>
    <cellStyle name="Normal 4 4 3 3 4 4" xfId="32547" xr:uid="{00000000-0005-0000-0000-0000BD650000}"/>
    <cellStyle name="Normal 4 4 3 3 5" xfId="9060" xr:uid="{00000000-0005-0000-0000-0000BE650000}"/>
    <cellStyle name="Normal 4 4 3 3 5 2" xfId="9061" xr:uid="{00000000-0005-0000-0000-0000BF650000}"/>
    <cellStyle name="Normal 4 4 3 3 5 2 2" xfId="32552" xr:uid="{00000000-0005-0000-0000-0000C0650000}"/>
    <cellStyle name="Normal 4 4 3 3 5 3" xfId="32551" xr:uid="{00000000-0005-0000-0000-0000C1650000}"/>
    <cellStyle name="Normal 4 4 3 3 6" xfId="9062" xr:uid="{00000000-0005-0000-0000-0000C2650000}"/>
    <cellStyle name="Normal 4 4 3 3 6 2" xfId="32553" xr:uid="{00000000-0005-0000-0000-0000C3650000}"/>
    <cellStyle name="Normal 4 4 3 3 7" xfId="32530" xr:uid="{00000000-0005-0000-0000-0000C4650000}"/>
    <cellStyle name="Normal 4 4 3 4" xfId="9063" xr:uid="{00000000-0005-0000-0000-0000C5650000}"/>
    <cellStyle name="Normal 4 4 3 4 2" xfId="9064" xr:uid="{00000000-0005-0000-0000-0000C6650000}"/>
    <cellStyle name="Normal 4 4 3 4 2 2" xfId="9065" xr:uid="{00000000-0005-0000-0000-0000C7650000}"/>
    <cellStyle name="Normal 4 4 3 4 2 2 2" xfId="9066" xr:uid="{00000000-0005-0000-0000-0000C8650000}"/>
    <cellStyle name="Normal 4 4 3 4 2 2 2 2" xfId="9067" xr:uid="{00000000-0005-0000-0000-0000C9650000}"/>
    <cellStyle name="Normal 4 4 3 4 2 2 2 2 2" xfId="32558" xr:uid="{00000000-0005-0000-0000-0000CA650000}"/>
    <cellStyle name="Normal 4 4 3 4 2 2 2 3" xfId="32557" xr:uid="{00000000-0005-0000-0000-0000CB650000}"/>
    <cellStyle name="Normal 4 4 3 4 2 2 3" xfId="9068" xr:uid="{00000000-0005-0000-0000-0000CC650000}"/>
    <cellStyle name="Normal 4 4 3 4 2 2 3 2" xfId="32559" xr:uid="{00000000-0005-0000-0000-0000CD650000}"/>
    <cellStyle name="Normal 4 4 3 4 2 2 4" xfId="32556" xr:uid="{00000000-0005-0000-0000-0000CE650000}"/>
    <cellStyle name="Normal 4 4 3 4 2 3" xfId="9069" xr:uid="{00000000-0005-0000-0000-0000CF650000}"/>
    <cellStyle name="Normal 4 4 3 4 2 3 2" xfId="9070" xr:uid="{00000000-0005-0000-0000-0000D0650000}"/>
    <cellStyle name="Normal 4 4 3 4 2 3 2 2" xfId="32561" xr:uid="{00000000-0005-0000-0000-0000D1650000}"/>
    <cellStyle name="Normal 4 4 3 4 2 3 3" xfId="32560" xr:uid="{00000000-0005-0000-0000-0000D2650000}"/>
    <cellStyle name="Normal 4 4 3 4 2 4" xfId="9071" xr:uid="{00000000-0005-0000-0000-0000D3650000}"/>
    <cellStyle name="Normal 4 4 3 4 2 4 2" xfId="32562" xr:uid="{00000000-0005-0000-0000-0000D4650000}"/>
    <cellStyle name="Normal 4 4 3 4 2 5" xfId="32555" xr:uid="{00000000-0005-0000-0000-0000D5650000}"/>
    <cellStyle name="Normal 4 4 3 4 3" xfId="9072" xr:uid="{00000000-0005-0000-0000-0000D6650000}"/>
    <cellStyle name="Normal 4 4 3 4 3 2" xfId="9073" xr:uid="{00000000-0005-0000-0000-0000D7650000}"/>
    <cellStyle name="Normal 4 4 3 4 3 2 2" xfId="9074" xr:uid="{00000000-0005-0000-0000-0000D8650000}"/>
    <cellStyle name="Normal 4 4 3 4 3 2 2 2" xfId="9075" xr:uid="{00000000-0005-0000-0000-0000D9650000}"/>
    <cellStyle name="Normal 4 4 3 4 3 2 2 2 2" xfId="32566" xr:uid="{00000000-0005-0000-0000-0000DA650000}"/>
    <cellStyle name="Normal 4 4 3 4 3 2 2 3" xfId="32565" xr:uid="{00000000-0005-0000-0000-0000DB650000}"/>
    <cellStyle name="Normal 4 4 3 4 3 2 3" xfId="9076" xr:uid="{00000000-0005-0000-0000-0000DC650000}"/>
    <cellStyle name="Normal 4 4 3 4 3 2 3 2" xfId="32567" xr:uid="{00000000-0005-0000-0000-0000DD650000}"/>
    <cellStyle name="Normal 4 4 3 4 3 2 4" xfId="32564" xr:uid="{00000000-0005-0000-0000-0000DE650000}"/>
    <cellStyle name="Normal 4 4 3 4 3 3" xfId="9077" xr:uid="{00000000-0005-0000-0000-0000DF650000}"/>
    <cellStyle name="Normal 4 4 3 4 3 3 2" xfId="9078" xr:uid="{00000000-0005-0000-0000-0000E0650000}"/>
    <cellStyle name="Normal 4 4 3 4 3 3 2 2" xfId="32569" xr:uid="{00000000-0005-0000-0000-0000E1650000}"/>
    <cellStyle name="Normal 4 4 3 4 3 3 3" xfId="32568" xr:uid="{00000000-0005-0000-0000-0000E2650000}"/>
    <cellStyle name="Normal 4 4 3 4 3 4" xfId="9079" xr:uid="{00000000-0005-0000-0000-0000E3650000}"/>
    <cellStyle name="Normal 4 4 3 4 3 4 2" xfId="32570" xr:uid="{00000000-0005-0000-0000-0000E4650000}"/>
    <cellStyle name="Normal 4 4 3 4 3 5" xfId="32563" xr:uid="{00000000-0005-0000-0000-0000E5650000}"/>
    <cellStyle name="Normal 4 4 3 4 4" xfId="9080" xr:uid="{00000000-0005-0000-0000-0000E6650000}"/>
    <cellStyle name="Normal 4 4 3 4 4 2" xfId="9081" xr:uid="{00000000-0005-0000-0000-0000E7650000}"/>
    <cellStyle name="Normal 4 4 3 4 4 2 2" xfId="9082" xr:uid="{00000000-0005-0000-0000-0000E8650000}"/>
    <cellStyle name="Normal 4 4 3 4 4 2 2 2" xfId="32573" xr:uid="{00000000-0005-0000-0000-0000E9650000}"/>
    <cellStyle name="Normal 4 4 3 4 4 2 3" xfId="32572" xr:uid="{00000000-0005-0000-0000-0000EA650000}"/>
    <cellStyle name="Normal 4 4 3 4 4 3" xfId="9083" xr:uid="{00000000-0005-0000-0000-0000EB650000}"/>
    <cellStyle name="Normal 4 4 3 4 4 3 2" xfId="32574" xr:uid="{00000000-0005-0000-0000-0000EC650000}"/>
    <cellStyle name="Normal 4 4 3 4 4 4" xfId="32571" xr:uid="{00000000-0005-0000-0000-0000ED650000}"/>
    <cellStyle name="Normal 4 4 3 4 5" xfId="9084" xr:uid="{00000000-0005-0000-0000-0000EE650000}"/>
    <cellStyle name="Normal 4 4 3 4 5 2" xfId="9085" xr:uid="{00000000-0005-0000-0000-0000EF650000}"/>
    <cellStyle name="Normal 4 4 3 4 5 2 2" xfId="32576" xr:uid="{00000000-0005-0000-0000-0000F0650000}"/>
    <cellStyle name="Normal 4 4 3 4 5 3" xfId="32575" xr:uid="{00000000-0005-0000-0000-0000F1650000}"/>
    <cellStyle name="Normal 4 4 3 4 6" xfId="9086" xr:uid="{00000000-0005-0000-0000-0000F2650000}"/>
    <cellStyle name="Normal 4 4 3 4 6 2" xfId="32577" xr:uid="{00000000-0005-0000-0000-0000F3650000}"/>
    <cellStyle name="Normal 4 4 3 4 7" xfId="32554" xr:uid="{00000000-0005-0000-0000-0000F4650000}"/>
    <cellStyle name="Normal 4 4 3 5" xfId="9087" xr:uid="{00000000-0005-0000-0000-0000F5650000}"/>
    <cellStyle name="Normal 4 4 3 5 2" xfId="9088" xr:uid="{00000000-0005-0000-0000-0000F6650000}"/>
    <cellStyle name="Normal 4 4 3 5 2 2" xfId="9089" xr:uid="{00000000-0005-0000-0000-0000F7650000}"/>
    <cellStyle name="Normal 4 4 3 5 2 2 2" xfId="9090" xr:uid="{00000000-0005-0000-0000-0000F8650000}"/>
    <cellStyle name="Normal 4 4 3 5 2 2 2 2" xfId="32581" xr:uid="{00000000-0005-0000-0000-0000F9650000}"/>
    <cellStyle name="Normal 4 4 3 5 2 2 3" xfId="32580" xr:uid="{00000000-0005-0000-0000-0000FA650000}"/>
    <cellStyle name="Normal 4 4 3 5 2 3" xfId="9091" xr:uid="{00000000-0005-0000-0000-0000FB650000}"/>
    <cellStyle name="Normal 4 4 3 5 2 3 2" xfId="32582" xr:uid="{00000000-0005-0000-0000-0000FC650000}"/>
    <cellStyle name="Normal 4 4 3 5 2 4" xfId="32579" xr:uid="{00000000-0005-0000-0000-0000FD650000}"/>
    <cellStyle name="Normal 4 4 3 5 3" xfId="9092" xr:uid="{00000000-0005-0000-0000-0000FE650000}"/>
    <cellStyle name="Normal 4 4 3 5 3 2" xfId="9093" xr:uid="{00000000-0005-0000-0000-0000FF650000}"/>
    <cellStyle name="Normal 4 4 3 5 3 2 2" xfId="32584" xr:uid="{00000000-0005-0000-0000-000000660000}"/>
    <cellStyle name="Normal 4 4 3 5 3 3" xfId="32583" xr:uid="{00000000-0005-0000-0000-000001660000}"/>
    <cellStyle name="Normal 4 4 3 5 4" xfId="9094" xr:uid="{00000000-0005-0000-0000-000002660000}"/>
    <cellStyle name="Normal 4 4 3 5 4 2" xfId="32585" xr:uid="{00000000-0005-0000-0000-000003660000}"/>
    <cellStyle name="Normal 4 4 3 5 5" xfId="32578" xr:uid="{00000000-0005-0000-0000-000004660000}"/>
    <cellStyle name="Normal 4 4 3 6" xfId="9095" xr:uid="{00000000-0005-0000-0000-000005660000}"/>
    <cellStyle name="Normal 4 4 3 6 2" xfId="9096" xr:uid="{00000000-0005-0000-0000-000006660000}"/>
    <cellStyle name="Normal 4 4 3 6 2 2" xfId="9097" xr:uid="{00000000-0005-0000-0000-000007660000}"/>
    <cellStyle name="Normal 4 4 3 6 2 2 2" xfId="9098" xr:uid="{00000000-0005-0000-0000-000008660000}"/>
    <cellStyle name="Normal 4 4 3 6 2 2 2 2" xfId="32589" xr:uid="{00000000-0005-0000-0000-000009660000}"/>
    <cellStyle name="Normal 4 4 3 6 2 2 3" xfId="32588" xr:uid="{00000000-0005-0000-0000-00000A660000}"/>
    <cellStyle name="Normal 4 4 3 6 2 3" xfId="9099" xr:uid="{00000000-0005-0000-0000-00000B660000}"/>
    <cellStyle name="Normal 4 4 3 6 2 3 2" xfId="32590" xr:uid="{00000000-0005-0000-0000-00000C660000}"/>
    <cellStyle name="Normal 4 4 3 6 2 4" xfId="32587" xr:uid="{00000000-0005-0000-0000-00000D660000}"/>
    <cellStyle name="Normal 4 4 3 6 3" xfId="9100" xr:uid="{00000000-0005-0000-0000-00000E660000}"/>
    <cellStyle name="Normal 4 4 3 6 3 2" xfId="9101" xr:uid="{00000000-0005-0000-0000-00000F660000}"/>
    <cellStyle name="Normal 4 4 3 6 3 2 2" xfId="32592" xr:uid="{00000000-0005-0000-0000-000010660000}"/>
    <cellStyle name="Normal 4 4 3 6 3 3" xfId="32591" xr:uid="{00000000-0005-0000-0000-000011660000}"/>
    <cellStyle name="Normal 4 4 3 6 4" xfId="9102" xr:uid="{00000000-0005-0000-0000-000012660000}"/>
    <cellStyle name="Normal 4 4 3 6 4 2" xfId="32593" xr:uid="{00000000-0005-0000-0000-000013660000}"/>
    <cellStyle name="Normal 4 4 3 6 5" xfId="32586" xr:uid="{00000000-0005-0000-0000-000014660000}"/>
    <cellStyle name="Normal 4 4 3 7" xfId="9103" xr:uid="{00000000-0005-0000-0000-000015660000}"/>
    <cellStyle name="Normal 4 4 3 7 2" xfId="9104" xr:uid="{00000000-0005-0000-0000-000016660000}"/>
    <cellStyle name="Normal 4 4 3 7 2 2" xfId="9105" xr:uid="{00000000-0005-0000-0000-000017660000}"/>
    <cellStyle name="Normal 4 4 3 7 2 2 2" xfId="32596" xr:uid="{00000000-0005-0000-0000-000018660000}"/>
    <cellStyle name="Normal 4 4 3 7 2 3" xfId="32595" xr:uid="{00000000-0005-0000-0000-000019660000}"/>
    <cellStyle name="Normal 4 4 3 7 3" xfId="9106" xr:uid="{00000000-0005-0000-0000-00001A660000}"/>
    <cellStyle name="Normal 4 4 3 7 3 2" xfId="32597" xr:uid="{00000000-0005-0000-0000-00001B660000}"/>
    <cellStyle name="Normal 4 4 3 7 4" xfId="32594" xr:uid="{00000000-0005-0000-0000-00001C660000}"/>
    <cellStyle name="Normal 4 4 3 8" xfId="9107" xr:uid="{00000000-0005-0000-0000-00001D660000}"/>
    <cellStyle name="Normal 4 4 3 8 2" xfId="9108" xr:uid="{00000000-0005-0000-0000-00001E660000}"/>
    <cellStyle name="Normal 4 4 3 8 2 2" xfId="32599" xr:uid="{00000000-0005-0000-0000-00001F660000}"/>
    <cellStyle name="Normal 4 4 3 8 3" xfId="32598" xr:uid="{00000000-0005-0000-0000-000020660000}"/>
    <cellStyle name="Normal 4 4 3 9" xfId="9109" xr:uid="{00000000-0005-0000-0000-000021660000}"/>
    <cellStyle name="Normal 4 4 3 9 2" xfId="32600" xr:uid="{00000000-0005-0000-0000-000022660000}"/>
    <cellStyle name="Normal 4 4 4" xfId="9110" xr:uid="{00000000-0005-0000-0000-000023660000}"/>
    <cellStyle name="Normal 4 4 4 10" xfId="32601" xr:uid="{00000000-0005-0000-0000-000024660000}"/>
    <cellStyle name="Normal 4 4 4 2" xfId="9111" xr:uid="{00000000-0005-0000-0000-000025660000}"/>
    <cellStyle name="Normal 4 4 4 2 2" xfId="9112" xr:uid="{00000000-0005-0000-0000-000026660000}"/>
    <cellStyle name="Normal 4 4 4 2 2 2" xfId="9113" xr:uid="{00000000-0005-0000-0000-000027660000}"/>
    <cellStyle name="Normal 4 4 4 2 2 2 2" xfId="9114" xr:uid="{00000000-0005-0000-0000-000028660000}"/>
    <cellStyle name="Normal 4 4 4 2 2 2 2 2" xfId="9115" xr:uid="{00000000-0005-0000-0000-000029660000}"/>
    <cellStyle name="Normal 4 4 4 2 2 2 2 2 2" xfId="32606" xr:uid="{00000000-0005-0000-0000-00002A660000}"/>
    <cellStyle name="Normal 4 4 4 2 2 2 2 3" xfId="32605" xr:uid="{00000000-0005-0000-0000-00002B660000}"/>
    <cellStyle name="Normal 4 4 4 2 2 2 3" xfId="9116" xr:uid="{00000000-0005-0000-0000-00002C660000}"/>
    <cellStyle name="Normal 4 4 4 2 2 2 3 2" xfId="32607" xr:uid="{00000000-0005-0000-0000-00002D660000}"/>
    <cellStyle name="Normal 4 4 4 2 2 2 4" xfId="32604" xr:uid="{00000000-0005-0000-0000-00002E660000}"/>
    <cellStyle name="Normal 4 4 4 2 2 3" xfId="9117" xr:uid="{00000000-0005-0000-0000-00002F660000}"/>
    <cellStyle name="Normal 4 4 4 2 2 3 2" xfId="9118" xr:uid="{00000000-0005-0000-0000-000030660000}"/>
    <cellStyle name="Normal 4 4 4 2 2 3 2 2" xfId="32609" xr:uid="{00000000-0005-0000-0000-000031660000}"/>
    <cellStyle name="Normal 4 4 4 2 2 3 3" xfId="32608" xr:uid="{00000000-0005-0000-0000-000032660000}"/>
    <cellStyle name="Normal 4 4 4 2 2 4" xfId="9119" xr:uid="{00000000-0005-0000-0000-000033660000}"/>
    <cellStyle name="Normal 4 4 4 2 2 4 2" xfId="32610" xr:uid="{00000000-0005-0000-0000-000034660000}"/>
    <cellStyle name="Normal 4 4 4 2 2 5" xfId="32603" xr:uid="{00000000-0005-0000-0000-000035660000}"/>
    <cellStyle name="Normal 4 4 4 2 3" xfId="9120" xr:uid="{00000000-0005-0000-0000-000036660000}"/>
    <cellStyle name="Normal 4 4 4 2 3 2" xfId="9121" xr:uid="{00000000-0005-0000-0000-000037660000}"/>
    <cellStyle name="Normal 4 4 4 2 3 2 2" xfId="9122" xr:uid="{00000000-0005-0000-0000-000038660000}"/>
    <cellStyle name="Normal 4 4 4 2 3 2 2 2" xfId="9123" xr:uid="{00000000-0005-0000-0000-000039660000}"/>
    <cellStyle name="Normal 4 4 4 2 3 2 2 2 2" xfId="32614" xr:uid="{00000000-0005-0000-0000-00003A660000}"/>
    <cellStyle name="Normal 4 4 4 2 3 2 2 3" xfId="32613" xr:uid="{00000000-0005-0000-0000-00003B660000}"/>
    <cellStyle name="Normal 4 4 4 2 3 2 3" xfId="9124" xr:uid="{00000000-0005-0000-0000-00003C660000}"/>
    <cellStyle name="Normal 4 4 4 2 3 2 3 2" xfId="32615" xr:uid="{00000000-0005-0000-0000-00003D660000}"/>
    <cellStyle name="Normal 4 4 4 2 3 2 4" xfId="32612" xr:uid="{00000000-0005-0000-0000-00003E660000}"/>
    <cellStyle name="Normal 4 4 4 2 3 3" xfId="9125" xr:uid="{00000000-0005-0000-0000-00003F660000}"/>
    <cellStyle name="Normal 4 4 4 2 3 3 2" xfId="9126" xr:uid="{00000000-0005-0000-0000-000040660000}"/>
    <cellStyle name="Normal 4 4 4 2 3 3 2 2" xfId="32617" xr:uid="{00000000-0005-0000-0000-000041660000}"/>
    <cellStyle name="Normal 4 4 4 2 3 3 3" xfId="32616" xr:uid="{00000000-0005-0000-0000-000042660000}"/>
    <cellStyle name="Normal 4 4 4 2 3 4" xfId="9127" xr:uid="{00000000-0005-0000-0000-000043660000}"/>
    <cellStyle name="Normal 4 4 4 2 3 4 2" xfId="32618" xr:uid="{00000000-0005-0000-0000-000044660000}"/>
    <cellStyle name="Normal 4 4 4 2 3 5" xfId="32611" xr:uid="{00000000-0005-0000-0000-000045660000}"/>
    <cellStyle name="Normal 4 4 4 2 4" xfId="9128" xr:uid="{00000000-0005-0000-0000-000046660000}"/>
    <cellStyle name="Normal 4 4 4 2 4 2" xfId="9129" xr:uid="{00000000-0005-0000-0000-000047660000}"/>
    <cellStyle name="Normal 4 4 4 2 4 2 2" xfId="9130" xr:uid="{00000000-0005-0000-0000-000048660000}"/>
    <cellStyle name="Normal 4 4 4 2 4 2 2 2" xfId="32621" xr:uid="{00000000-0005-0000-0000-000049660000}"/>
    <cellStyle name="Normal 4 4 4 2 4 2 3" xfId="32620" xr:uid="{00000000-0005-0000-0000-00004A660000}"/>
    <cellStyle name="Normal 4 4 4 2 4 3" xfId="9131" xr:uid="{00000000-0005-0000-0000-00004B660000}"/>
    <cellStyle name="Normal 4 4 4 2 4 3 2" xfId="32622" xr:uid="{00000000-0005-0000-0000-00004C660000}"/>
    <cellStyle name="Normal 4 4 4 2 4 4" xfId="32619" xr:uid="{00000000-0005-0000-0000-00004D660000}"/>
    <cellStyle name="Normal 4 4 4 2 5" xfId="9132" xr:uid="{00000000-0005-0000-0000-00004E660000}"/>
    <cellStyle name="Normal 4 4 4 2 5 2" xfId="9133" xr:uid="{00000000-0005-0000-0000-00004F660000}"/>
    <cellStyle name="Normal 4 4 4 2 5 2 2" xfId="32624" xr:uid="{00000000-0005-0000-0000-000050660000}"/>
    <cellStyle name="Normal 4 4 4 2 5 3" xfId="32623" xr:uid="{00000000-0005-0000-0000-000051660000}"/>
    <cellStyle name="Normal 4 4 4 2 6" xfId="9134" xr:uid="{00000000-0005-0000-0000-000052660000}"/>
    <cellStyle name="Normal 4 4 4 2 6 2" xfId="32625" xr:uid="{00000000-0005-0000-0000-000053660000}"/>
    <cellStyle name="Normal 4 4 4 2 7" xfId="32602" xr:uid="{00000000-0005-0000-0000-000054660000}"/>
    <cellStyle name="Normal 4 4 4 3" xfId="9135" xr:uid="{00000000-0005-0000-0000-000055660000}"/>
    <cellStyle name="Normal 4 4 4 3 2" xfId="9136" xr:uid="{00000000-0005-0000-0000-000056660000}"/>
    <cellStyle name="Normal 4 4 4 3 2 2" xfId="9137" xr:uid="{00000000-0005-0000-0000-000057660000}"/>
    <cellStyle name="Normal 4 4 4 3 2 2 2" xfId="9138" xr:uid="{00000000-0005-0000-0000-000058660000}"/>
    <cellStyle name="Normal 4 4 4 3 2 2 2 2" xfId="9139" xr:uid="{00000000-0005-0000-0000-000059660000}"/>
    <cellStyle name="Normal 4 4 4 3 2 2 2 2 2" xfId="32630" xr:uid="{00000000-0005-0000-0000-00005A660000}"/>
    <cellStyle name="Normal 4 4 4 3 2 2 2 3" xfId="32629" xr:uid="{00000000-0005-0000-0000-00005B660000}"/>
    <cellStyle name="Normal 4 4 4 3 2 2 3" xfId="9140" xr:uid="{00000000-0005-0000-0000-00005C660000}"/>
    <cellStyle name="Normal 4 4 4 3 2 2 3 2" xfId="32631" xr:uid="{00000000-0005-0000-0000-00005D660000}"/>
    <cellStyle name="Normal 4 4 4 3 2 2 4" xfId="32628" xr:uid="{00000000-0005-0000-0000-00005E660000}"/>
    <cellStyle name="Normal 4 4 4 3 2 3" xfId="9141" xr:uid="{00000000-0005-0000-0000-00005F660000}"/>
    <cellStyle name="Normal 4 4 4 3 2 3 2" xfId="9142" xr:uid="{00000000-0005-0000-0000-000060660000}"/>
    <cellStyle name="Normal 4 4 4 3 2 3 2 2" xfId="32633" xr:uid="{00000000-0005-0000-0000-000061660000}"/>
    <cellStyle name="Normal 4 4 4 3 2 3 3" xfId="32632" xr:uid="{00000000-0005-0000-0000-000062660000}"/>
    <cellStyle name="Normal 4 4 4 3 2 4" xfId="9143" xr:uid="{00000000-0005-0000-0000-000063660000}"/>
    <cellStyle name="Normal 4 4 4 3 2 4 2" xfId="32634" xr:uid="{00000000-0005-0000-0000-000064660000}"/>
    <cellStyle name="Normal 4 4 4 3 2 5" xfId="32627" xr:uid="{00000000-0005-0000-0000-000065660000}"/>
    <cellStyle name="Normal 4 4 4 3 3" xfId="9144" xr:uid="{00000000-0005-0000-0000-000066660000}"/>
    <cellStyle name="Normal 4 4 4 3 3 2" xfId="9145" xr:uid="{00000000-0005-0000-0000-000067660000}"/>
    <cellStyle name="Normal 4 4 4 3 3 2 2" xfId="9146" xr:uid="{00000000-0005-0000-0000-000068660000}"/>
    <cellStyle name="Normal 4 4 4 3 3 2 2 2" xfId="9147" xr:uid="{00000000-0005-0000-0000-000069660000}"/>
    <cellStyle name="Normal 4 4 4 3 3 2 2 2 2" xfId="32638" xr:uid="{00000000-0005-0000-0000-00006A660000}"/>
    <cellStyle name="Normal 4 4 4 3 3 2 2 3" xfId="32637" xr:uid="{00000000-0005-0000-0000-00006B660000}"/>
    <cellStyle name="Normal 4 4 4 3 3 2 3" xfId="9148" xr:uid="{00000000-0005-0000-0000-00006C660000}"/>
    <cellStyle name="Normal 4 4 4 3 3 2 3 2" xfId="32639" xr:uid="{00000000-0005-0000-0000-00006D660000}"/>
    <cellStyle name="Normal 4 4 4 3 3 2 4" xfId="32636" xr:uid="{00000000-0005-0000-0000-00006E660000}"/>
    <cellStyle name="Normal 4 4 4 3 3 3" xfId="9149" xr:uid="{00000000-0005-0000-0000-00006F660000}"/>
    <cellStyle name="Normal 4 4 4 3 3 3 2" xfId="9150" xr:uid="{00000000-0005-0000-0000-000070660000}"/>
    <cellStyle name="Normal 4 4 4 3 3 3 2 2" xfId="32641" xr:uid="{00000000-0005-0000-0000-000071660000}"/>
    <cellStyle name="Normal 4 4 4 3 3 3 3" xfId="32640" xr:uid="{00000000-0005-0000-0000-000072660000}"/>
    <cellStyle name="Normal 4 4 4 3 3 4" xfId="9151" xr:uid="{00000000-0005-0000-0000-000073660000}"/>
    <cellStyle name="Normal 4 4 4 3 3 4 2" xfId="32642" xr:uid="{00000000-0005-0000-0000-000074660000}"/>
    <cellStyle name="Normal 4 4 4 3 3 5" xfId="32635" xr:uid="{00000000-0005-0000-0000-000075660000}"/>
    <cellStyle name="Normal 4 4 4 3 4" xfId="9152" xr:uid="{00000000-0005-0000-0000-000076660000}"/>
    <cellStyle name="Normal 4 4 4 3 4 2" xfId="9153" xr:uid="{00000000-0005-0000-0000-000077660000}"/>
    <cellStyle name="Normal 4 4 4 3 4 2 2" xfId="9154" xr:uid="{00000000-0005-0000-0000-000078660000}"/>
    <cellStyle name="Normal 4 4 4 3 4 2 2 2" xfId="32645" xr:uid="{00000000-0005-0000-0000-000079660000}"/>
    <cellStyle name="Normal 4 4 4 3 4 2 3" xfId="32644" xr:uid="{00000000-0005-0000-0000-00007A660000}"/>
    <cellStyle name="Normal 4 4 4 3 4 3" xfId="9155" xr:uid="{00000000-0005-0000-0000-00007B660000}"/>
    <cellStyle name="Normal 4 4 4 3 4 3 2" xfId="32646" xr:uid="{00000000-0005-0000-0000-00007C660000}"/>
    <cellStyle name="Normal 4 4 4 3 4 4" xfId="32643" xr:uid="{00000000-0005-0000-0000-00007D660000}"/>
    <cellStyle name="Normal 4 4 4 3 5" xfId="9156" xr:uid="{00000000-0005-0000-0000-00007E660000}"/>
    <cellStyle name="Normal 4 4 4 3 5 2" xfId="9157" xr:uid="{00000000-0005-0000-0000-00007F660000}"/>
    <cellStyle name="Normal 4 4 4 3 5 2 2" xfId="32648" xr:uid="{00000000-0005-0000-0000-000080660000}"/>
    <cellStyle name="Normal 4 4 4 3 5 3" xfId="32647" xr:uid="{00000000-0005-0000-0000-000081660000}"/>
    <cellStyle name="Normal 4 4 4 3 6" xfId="9158" xr:uid="{00000000-0005-0000-0000-000082660000}"/>
    <cellStyle name="Normal 4 4 4 3 6 2" xfId="32649" xr:uid="{00000000-0005-0000-0000-000083660000}"/>
    <cellStyle name="Normal 4 4 4 3 7" xfId="32626" xr:uid="{00000000-0005-0000-0000-000084660000}"/>
    <cellStyle name="Normal 4 4 4 4" xfId="9159" xr:uid="{00000000-0005-0000-0000-000085660000}"/>
    <cellStyle name="Normal 4 4 4 4 2" xfId="9160" xr:uid="{00000000-0005-0000-0000-000086660000}"/>
    <cellStyle name="Normal 4 4 4 4 2 2" xfId="9161" xr:uid="{00000000-0005-0000-0000-000087660000}"/>
    <cellStyle name="Normal 4 4 4 4 2 2 2" xfId="9162" xr:uid="{00000000-0005-0000-0000-000088660000}"/>
    <cellStyle name="Normal 4 4 4 4 2 2 2 2" xfId="9163" xr:uid="{00000000-0005-0000-0000-000089660000}"/>
    <cellStyle name="Normal 4 4 4 4 2 2 2 2 2" xfId="32654" xr:uid="{00000000-0005-0000-0000-00008A660000}"/>
    <cellStyle name="Normal 4 4 4 4 2 2 2 3" xfId="32653" xr:uid="{00000000-0005-0000-0000-00008B660000}"/>
    <cellStyle name="Normal 4 4 4 4 2 2 3" xfId="9164" xr:uid="{00000000-0005-0000-0000-00008C660000}"/>
    <cellStyle name="Normal 4 4 4 4 2 2 3 2" xfId="32655" xr:uid="{00000000-0005-0000-0000-00008D660000}"/>
    <cellStyle name="Normal 4 4 4 4 2 2 4" xfId="32652" xr:uid="{00000000-0005-0000-0000-00008E660000}"/>
    <cellStyle name="Normal 4 4 4 4 2 3" xfId="9165" xr:uid="{00000000-0005-0000-0000-00008F660000}"/>
    <cellStyle name="Normal 4 4 4 4 2 3 2" xfId="9166" xr:uid="{00000000-0005-0000-0000-000090660000}"/>
    <cellStyle name="Normal 4 4 4 4 2 3 2 2" xfId="32657" xr:uid="{00000000-0005-0000-0000-000091660000}"/>
    <cellStyle name="Normal 4 4 4 4 2 3 3" xfId="32656" xr:uid="{00000000-0005-0000-0000-000092660000}"/>
    <cellStyle name="Normal 4 4 4 4 2 4" xfId="9167" xr:uid="{00000000-0005-0000-0000-000093660000}"/>
    <cellStyle name="Normal 4 4 4 4 2 4 2" xfId="32658" xr:uid="{00000000-0005-0000-0000-000094660000}"/>
    <cellStyle name="Normal 4 4 4 4 2 5" xfId="32651" xr:uid="{00000000-0005-0000-0000-000095660000}"/>
    <cellStyle name="Normal 4 4 4 4 3" xfId="9168" xr:uid="{00000000-0005-0000-0000-000096660000}"/>
    <cellStyle name="Normal 4 4 4 4 3 2" xfId="9169" xr:uid="{00000000-0005-0000-0000-000097660000}"/>
    <cellStyle name="Normal 4 4 4 4 3 2 2" xfId="9170" xr:uid="{00000000-0005-0000-0000-000098660000}"/>
    <cellStyle name="Normal 4 4 4 4 3 2 2 2" xfId="9171" xr:uid="{00000000-0005-0000-0000-000099660000}"/>
    <cellStyle name="Normal 4 4 4 4 3 2 2 2 2" xfId="32662" xr:uid="{00000000-0005-0000-0000-00009A660000}"/>
    <cellStyle name="Normal 4 4 4 4 3 2 2 3" xfId="32661" xr:uid="{00000000-0005-0000-0000-00009B660000}"/>
    <cellStyle name="Normal 4 4 4 4 3 2 3" xfId="9172" xr:uid="{00000000-0005-0000-0000-00009C660000}"/>
    <cellStyle name="Normal 4 4 4 4 3 2 3 2" xfId="32663" xr:uid="{00000000-0005-0000-0000-00009D660000}"/>
    <cellStyle name="Normal 4 4 4 4 3 2 4" xfId="32660" xr:uid="{00000000-0005-0000-0000-00009E660000}"/>
    <cellStyle name="Normal 4 4 4 4 3 3" xfId="9173" xr:uid="{00000000-0005-0000-0000-00009F660000}"/>
    <cellStyle name="Normal 4 4 4 4 3 3 2" xfId="9174" xr:uid="{00000000-0005-0000-0000-0000A0660000}"/>
    <cellStyle name="Normal 4 4 4 4 3 3 2 2" xfId="32665" xr:uid="{00000000-0005-0000-0000-0000A1660000}"/>
    <cellStyle name="Normal 4 4 4 4 3 3 3" xfId="32664" xr:uid="{00000000-0005-0000-0000-0000A2660000}"/>
    <cellStyle name="Normal 4 4 4 4 3 4" xfId="9175" xr:uid="{00000000-0005-0000-0000-0000A3660000}"/>
    <cellStyle name="Normal 4 4 4 4 3 4 2" xfId="32666" xr:uid="{00000000-0005-0000-0000-0000A4660000}"/>
    <cellStyle name="Normal 4 4 4 4 3 5" xfId="32659" xr:uid="{00000000-0005-0000-0000-0000A5660000}"/>
    <cellStyle name="Normal 4 4 4 4 4" xfId="9176" xr:uid="{00000000-0005-0000-0000-0000A6660000}"/>
    <cellStyle name="Normal 4 4 4 4 4 2" xfId="9177" xr:uid="{00000000-0005-0000-0000-0000A7660000}"/>
    <cellStyle name="Normal 4 4 4 4 4 2 2" xfId="9178" xr:uid="{00000000-0005-0000-0000-0000A8660000}"/>
    <cellStyle name="Normal 4 4 4 4 4 2 2 2" xfId="32669" xr:uid="{00000000-0005-0000-0000-0000A9660000}"/>
    <cellStyle name="Normal 4 4 4 4 4 2 3" xfId="32668" xr:uid="{00000000-0005-0000-0000-0000AA660000}"/>
    <cellStyle name="Normal 4 4 4 4 4 3" xfId="9179" xr:uid="{00000000-0005-0000-0000-0000AB660000}"/>
    <cellStyle name="Normal 4 4 4 4 4 3 2" xfId="32670" xr:uid="{00000000-0005-0000-0000-0000AC660000}"/>
    <cellStyle name="Normal 4 4 4 4 4 4" xfId="32667" xr:uid="{00000000-0005-0000-0000-0000AD660000}"/>
    <cellStyle name="Normal 4 4 4 4 5" xfId="9180" xr:uid="{00000000-0005-0000-0000-0000AE660000}"/>
    <cellStyle name="Normal 4 4 4 4 5 2" xfId="9181" xr:uid="{00000000-0005-0000-0000-0000AF660000}"/>
    <cellStyle name="Normal 4 4 4 4 5 2 2" xfId="32672" xr:uid="{00000000-0005-0000-0000-0000B0660000}"/>
    <cellStyle name="Normal 4 4 4 4 5 3" xfId="32671" xr:uid="{00000000-0005-0000-0000-0000B1660000}"/>
    <cellStyle name="Normal 4 4 4 4 6" xfId="9182" xr:uid="{00000000-0005-0000-0000-0000B2660000}"/>
    <cellStyle name="Normal 4 4 4 4 6 2" xfId="32673" xr:uid="{00000000-0005-0000-0000-0000B3660000}"/>
    <cellStyle name="Normal 4 4 4 4 7" xfId="32650" xr:uid="{00000000-0005-0000-0000-0000B4660000}"/>
    <cellStyle name="Normal 4 4 4 5" xfId="9183" xr:uid="{00000000-0005-0000-0000-0000B5660000}"/>
    <cellStyle name="Normal 4 4 4 5 2" xfId="9184" xr:uid="{00000000-0005-0000-0000-0000B6660000}"/>
    <cellStyle name="Normal 4 4 4 5 2 2" xfId="9185" xr:uid="{00000000-0005-0000-0000-0000B7660000}"/>
    <cellStyle name="Normal 4 4 4 5 2 2 2" xfId="9186" xr:uid="{00000000-0005-0000-0000-0000B8660000}"/>
    <cellStyle name="Normal 4 4 4 5 2 2 2 2" xfId="32677" xr:uid="{00000000-0005-0000-0000-0000B9660000}"/>
    <cellStyle name="Normal 4 4 4 5 2 2 3" xfId="32676" xr:uid="{00000000-0005-0000-0000-0000BA660000}"/>
    <cellStyle name="Normal 4 4 4 5 2 3" xfId="9187" xr:uid="{00000000-0005-0000-0000-0000BB660000}"/>
    <cellStyle name="Normal 4 4 4 5 2 3 2" xfId="32678" xr:uid="{00000000-0005-0000-0000-0000BC660000}"/>
    <cellStyle name="Normal 4 4 4 5 2 4" xfId="32675" xr:uid="{00000000-0005-0000-0000-0000BD660000}"/>
    <cellStyle name="Normal 4 4 4 5 3" xfId="9188" xr:uid="{00000000-0005-0000-0000-0000BE660000}"/>
    <cellStyle name="Normal 4 4 4 5 3 2" xfId="9189" xr:uid="{00000000-0005-0000-0000-0000BF660000}"/>
    <cellStyle name="Normal 4 4 4 5 3 2 2" xfId="32680" xr:uid="{00000000-0005-0000-0000-0000C0660000}"/>
    <cellStyle name="Normal 4 4 4 5 3 3" xfId="32679" xr:uid="{00000000-0005-0000-0000-0000C1660000}"/>
    <cellStyle name="Normal 4 4 4 5 4" xfId="9190" xr:uid="{00000000-0005-0000-0000-0000C2660000}"/>
    <cellStyle name="Normal 4 4 4 5 4 2" xfId="32681" xr:uid="{00000000-0005-0000-0000-0000C3660000}"/>
    <cellStyle name="Normal 4 4 4 5 5" xfId="32674" xr:uid="{00000000-0005-0000-0000-0000C4660000}"/>
    <cellStyle name="Normal 4 4 4 6" xfId="9191" xr:uid="{00000000-0005-0000-0000-0000C5660000}"/>
    <cellStyle name="Normal 4 4 4 6 2" xfId="9192" xr:uid="{00000000-0005-0000-0000-0000C6660000}"/>
    <cellStyle name="Normal 4 4 4 6 2 2" xfId="9193" xr:uid="{00000000-0005-0000-0000-0000C7660000}"/>
    <cellStyle name="Normal 4 4 4 6 2 2 2" xfId="9194" xr:uid="{00000000-0005-0000-0000-0000C8660000}"/>
    <cellStyle name="Normal 4 4 4 6 2 2 2 2" xfId="32685" xr:uid="{00000000-0005-0000-0000-0000C9660000}"/>
    <cellStyle name="Normal 4 4 4 6 2 2 3" xfId="32684" xr:uid="{00000000-0005-0000-0000-0000CA660000}"/>
    <cellStyle name="Normal 4 4 4 6 2 3" xfId="9195" xr:uid="{00000000-0005-0000-0000-0000CB660000}"/>
    <cellStyle name="Normal 4 4 4 6 2 3 2" xfId="32686" xr:uid="{00000000-0005-0000-0000-0000CC660000}"/>
    <cellStyle name="Normal 4 4 4 6 2 4" xfId="32683" xr:uid="{00000000-0005-0000-0000-0000CD660000}"/>
    <cellStyle name="Normal 4 4 4 6 3" xfId="9196" xr:uid="{00000000-0005-0000-0000-0000CE660000}"/>
    <cellStyle name="Normal 4 4 4 6 3 2" xfId="9197" xr:uid="{00000000-0005-0000-0000-0000CF660000}"/>
    <cellStyle name="Normal 4 4 4 6 3 2 2" xfId="32688" xr:uid="{00000000-0005-0000-0000-0000D0660000}"/>
    <cellStyle name="Normal 4 4 4 6 3 3" xfId="32687" xr:uid="{00000000-0005-0000-0000-0000D1660000}"/>
    <cellStyle name="Normal 4 4 4 6 4" xfId="9198" xr:uid="{00000000-0005-0000-0000-0000D2660000}"/>
    <cellStyle name="Normal 4 4 4 6 4 2" xfId="32689" xr:uid="{00000000-0005-0000-0000-0000D3660000}"/>
    <cellStyle name="Normal 4 4 4 6 5" xfId="32682" xr:uid="{00000000-0005-0000-0000-0000D4660000}"/>
    <cellStyle name="Normal 4 4 4 7" xfId="9199" xr:uid="{00000000-0005-0000-0000-0000D5660000}"/>
    <cellStyle name="Normal 4 4 4 7 2" xfId="9200" xr:uid="{00000000-0005-0000-0000-0000D6660000}"/>
    <cellStyle name="Normal 4 4 4 7 2 2" xfId="9201" xr:uid="{00000000-0005-0000-0000-0000D7660000}"/>
    <cellStyle name="Normal 4 4 4 7 2 2 2" xfId="32692" xr:uid="{00000000-0005-0000-0000-0000D8660000}"/>
    <cellStyle name="Normal 4 4 4 7 2 3" xfId="32691" xr:uid="{00000000-0005-0000-0000-0000D9660000}"/>
    <cellStyle name="Normal 4 4 4 7 3" xfId="9202" xr:uid="{00000000-0005-0000-0000-0000DA660000}"/>
    <cellStyle name="Normal 4 4 4 7 3 2" xfId="32693" xr:uid="{00000000-0005-0000-0000-0000DB660000}"/>
    <cellStyle name="Normal 4 4 4 7 4" xfId="32690" xr:uid="{00000000-0005-0000-0000-0000DC660000}"/>
    <cellStyle name="Normal 4 4 4 8" xfId="9203" xr:uid="{00000000-0005-0000-0000-0000DD660000}"/>
    <cellStyle name="Normal 4 4 4 8 2" xfId="9204" xr:uid="{00000000-0005-0000-0000-0000DE660000}"/>
    <cellStyle name="Normal 4 4 4 8 2 2" xfId="32695" xr:uid="{00000000-0005-0000-0000-0000DF660000}"/>
    <cellStyle name="Normal 4 4 4 8 3" xfId="32694" xr:uid="{00000000-0005-0000-0000-0000E0660000}"/>
    <cellStyle name="Normal 4 4 4 9" xfId="9205" xr:uid="{00000000-0005-0000-0000-0000E1660000}"/>
    <cellStyle name="Normal 4 4 4 9 2" xfId="32696" xr:uid="{00000000-0005-0000-0000-0000E2660000}"/>
    <cellStyle name="Normal 4 4 5" xfId="9206" xr:uid="{00000000-0005-0000-0000-0000E3660000}"/>
    <cellStyle name="Normal 4 4 5 2" xfId="9207" xr:uid="{00000000-0005-0000-0000-0000E4660000}"/>
    <cellStyle name="Normal 4 4 5 2 2" xfId="9208" xr:uid="{00000000-0005-0000-0000-0000E5660000}"/>
    <cellStyle name="Normal 4 4 5 2 2 2" xfId="9209" xr:uid="{00000000-0005-0000-0000-0000E6660000}"/>
    <cellStyle name="Normal 4 4 5 2 2 2 2" xfId="9210" xr:uid="{00000000-0005-0000-0000-0000E7660000}"/>
    <cellStyle name="Normal 4 4 5 2 2 2 2 2" xfId="32701" xr:uid="{00000000-0005-0000-0000-0000E8660000}"/>
    <cellStyle name="Normal 4 4 5 2 2 2 3" xfId="32700" xr:uid="{00000000-0005-0000-0000-0000E9660000}"/>
    <cellStyle name="Normal 4 4 5 2 2 3" xfId="9211" xr:uid="{00000000-0005-0000-0000-0000EA660000}"/>
    <cellStyle name="Normal 4 4 5 2 2 3 2" xfId="32702" xr:uid="{00000000-0005-0000-0000-0000EB660000}"/>
    <cellStyle name="Normal 4 4 5 2 2 4" xfId="32699" xr:uid="{00000000-0005-0000-0000-0000EC660000}"/>
    <cellStyle name="Normal 4 4 5 2 3" xfId="9212" xr:uid="{00000000-0005-0000-0000-0000ED660000}"/>
    <cellStyle name="Normal 4 4 5 2 3 2" xfId="9213" xr:uid="{00000000-0005-0000-0000-0000EE660000}"/>
    <cellStyle name="Normal 4 4 5 2 3 2 2" xfId="32704" xr:uid="{00000000-0005-0000-0000-0000EF660000}"/>
    <cellStyle name="Normal 4 4 5 2 3 3" xfId="32703" xr:uid="{00000000-0005-0000-0000-0000F0660000}"/>
    <cellStyle name="Normal 4 4 5 2 4" xfId="9214" xr:uid="{00000000-0005-0000-0000-0000F1660000}"/>
    <cellStyle name="Normal 4 4 5 2 4 2" xfId="32705" xr:uid="{00000000-0005-0000-0000-0000F2660000}"/>
    <cellStyle name="Normal 4 4 5 2 5" xfId="32698" xr:uid="{00000000-0005-0000-0000-0000F3660000}"/>
    <cellStyle name="Normal 4 4 5 3" xfId="9215" xr:uid="{00000000-0005-0000-0000-0000F4660000}"/>
    <cellStyle name="Normal 4 4 5 3 2" xfId="9216" xr:uid="{00000000-0005-0000-0000-0000F5660000}"/>
    <cellStyle name="Normal 4 4 5 3 2 2" xfId="9217" xr:uid="{00000000-0005-0000-0000-0000F6660000}"/>
    <cellStyle name="Normal 4 4 5 3 2 2 2" xfId="9218" xr:uid="{00000000-0005-0000-0000-0000F7660000}"/>
    <cellStyle name="Normal 4 4 5 3 2 2 2 2" xfId="32709" xr:uid="{00000000-0005-0000-0000-0000F8660000}"/>
    <cellStyle name="Normal 4 4 5 3 2 2 3" xfId="32708" xr:uid="{00000000-0005-0000-0000-0000F9660000}"/>
    <cellStyle name="Normal 4 4 5 3 2 3" xfId="9219" xr:uid="{00000000-0005-0000-0000-0000FA660000}"/>
    <cellStyle name="Normal 4 4 5 3 2 3 2" xfId="32710" xr:uid="{00000000-0005-0000-0000-0000FB660000}"/>
    <cellStyle name="Normal 4 4 5 3 2 4" xfId="32707" xr:uid="{00000000-0005-0000-0000-0000FC660000}"/>
    <cellStyle name="Normal 4 4 5 3 3" xfId="9220" xr:uid="{00000000-0005-0000-0000-0000FD660000}"/>
    <cellStyle name="Normal 4 4 5 3 3 2" xfId="9221" xr:uid="{00000000-0005-0000-0000-0000FE660000}"/>
    <cellStyle name="Normal 4 4 5 3 3 2 2" xfId="32712" xr:uid="{00000000-0005-0000-0000-0000FF660000}"/>
    <cellStyle name="Normal 4 4 5 3 3 3" xfId="32711" xr:uid="{00000000-0005-0000-0000-000000670000}"/>
    <cellStyle name="Normal 4 4 5 3 4" xfId="9222" xr:uid="{00000000-0005-0000-0000-000001670000}"/>
    <cellStyle name="Normal 4 4 5 3 4 2" xfId="32713" xr:uid="{00000000-0005-0000-0000-000002670000}"/>
    <cellStyle name="Normal 4 4 5 3 5" xfId="32706" xr:uid="{00000000-0005-0000-0000-000003670000}"/>
    <cellStyle name="Normal 4 4 5 4" xfId="9223" xr:uid="{00000000-0005-0000-0000-000004670000}"/>
    <cellStyle name="Normal 4 4 5 4 2" xfId="9224" xr:uid="{00000000-0005-0000-0000-000005670000}"/>
    <cellStyle name="Normal 4 4 5 4 2 2" xfId="9225" xr:uid="{00000000-0005-0000-0000-000006670000}"/>
    <cellStyle name="Normal 4 4 5 4 2 2 2" xfId="32716" xr:uid="{00000000-0005-0000-0000-000007670000}"/>
    <cellStyle name="Normal 4 4 5 4 2 3" xfId="32715" xr:uid="{00000000-0005-0000-0000-000008670000}"/>
    <cellStyle name="Normal 4 4 5 4 3" xfId="9226" xr:uid="{00000000-0005-0000-0000-000009670000}"/>
    <cellStyle name="Normal 4 4 5 4 3 2" xfId="32717" xr:uid="{00000000-0005-0000-0000-00000A670000}"/>
    <cellStyle name="Normal 4 4 5 4 4" xfId="32714" xr:uid="{00000000-0005-0000-0000-00000B670000}"/>
    <cellStyle name="Normal 4 4 5 5" xfId="9227" xr:uid="{00000000-0005-0000-0000-00000C670000}"/>
    <cellStyle name="Normal 4 4 5 5 2" xfId="9228" xr:uid="{00000000-0005-0000-0000-00000D670000}"/>
    <cellStyle name="Normal 4 4 5 5 2 2" xfId="32719" xr:uid="{00000000-0005-0000-0000-00000E670000}"/>
    <cellStyle name="Normal 4 4 5 5 3" xfId="32718" xr:uid="{00000000-0005-0000-0000-00000F670000}"/>
    <cellStyle name="Normal 4 4 5 6" xfId="9229" xr:uid="{00000000-0005-0000-0000-000010670000}"/>
    <cellStyle name="Normal 4 4 5 6 2" xfId="32720" xr:uid="{00000000-0005-0000-0000-000011670000}"/>
    <cellStyle name="Normal 4 4 5 7" xfId="32697" xr:uid="{00000000-0005-0000-0000-000012670000}"/>
    <cellStyle name="Normal 4 4 6" xfId="9230" xr:uid="{00000000-0005-0000-0000-000013670000}"/>
    <cellStyle name="Normal 4 4 6 2" xfId="9231" xr:uid="{00000000-0005-0000-0000-000014670000}"/>
    <cellStyle name="Normal 4 4 6 2 2" xfId="9232" xr:uid="{00000000-0005-0000-0000-000015670000}"/>
    <cellStyle name="Normal 4 4 6 2 2 2" xfId="9233" xr:uid="{00000000-0005-0000-0000-000016670000}"/>
    <cellStyle name="Normal 4 4 6 2 2 2 2" xfId="9234" xr:uid="{00000000-0005-0000-0000-000017670000}"/>
    <cellStyle name="Normal 4 4 6 2 2 2 2 2" xfId="32725" xr:uid="{00000000-0005-0000-0000-000018670000}"/>
    <cellStyle name="Normal 4 4 6 2 2 2 3" xfId="32724" xr:uid="{00000000-0005-0000-0000-000019670000}"/>
    <cellStyle name="Normal 4 4 6 2 2 3" xfId="9235" xr:uid="{00000000-0005-0000-0000-00001A670000}"/>
    <cellStyle name="Normal 4 4 6 2 2 3 2" xfId="32726" xr:uid="{00000000-0005-0000-0000-00001B670000}"/>
    <cellStyle name="Normal 4 4 6 2 2 4" xfId="32723" xr:uid="{00000000-0005-0000-0000-00001C670000}"/>
    <cellStyle name="Normal 4 4 6 2 3" xfId="9236" xr:uid="{00000000-0005-0000-0000-00001D670000}"/>
    <cellStyle name="Normal 4 4 6 2 3 2" xfId="9237" xr:uid="{00000000-0005-0000-0000-00001E670000}"/>
    <cellStyle name="Normal 4 4 6 2 3 2 2" xfId="32728" xr:uid="{00000000-0005-0000-0000-00001F670000}"/>
    <cellStyle name="Normal 4 4 6 2 3 3" xfId="32727" xr:uid="{00000000-0005-0000-0000-000020670000}"/>
    <cellStyle name="Normal 4 4 6 2 4" xfId="9238" xr:uid="{00000000-0005-0000-0000-000021670000}"/>
    <cellStyle name="Normal 4 4 6 2 4 2" xfId="32729" xr:uid="{00000000-0005-0000-0000-000022670000}"/>
    <cellStyle name="Normal 4 4 6 2 5" xfId="32722" xr:uid="{00000000-0005-0000-0000-000023670000}"/>
    <cellStyle name="Normal 4 4 6 3" xfId="9239" xr:uid="{00000000-0005-0000-0000-000024670000}"/>
    <cellStyle name="Normal 4 4 6 3 2" xfId="9240" xr:uid="{00000000-0005-0000-0000-000025670000}"/>
    <cellStyle name="Normal 4 4 6 3 2 2" xfId="9241" xr:uid="{00000000-0005-0000-0000-000026670000}"/>
    <cellStyle name="Normal 4 4 6 3 2 2 2" xfId="9242" xr:uid="{00000000-0005-0000-0000-000027670000}"/>
    <cellStyle name="Normal 4 4 6 3 2 2 2 2" xfId="32733" xr:uid="{00000000-0005-0000-0000-000028670000}"/>
    <cellStyle name="Normal 4 4 6 3 2 2 3" xfId="32732" xr:uid="{00000000-0005-0000-0000-000029670000}"/>
    <cellStyle name="Normal 4 4 6 3 2 3" xfId="9243" xr:uid="{00000000-0005-0000-0000-00002A670000}"/>
    <cellStyle name="Normal 4 4 6 3 2 3 2" xfId="32734" xr:uid="{00000000-0005-0000-0000-00002B670000}"/>
    <cellStyle name="Normal 4 4 6 3 2 4" xfId="32731" xr:uid="{00000000-0005-0000-0000-00002C670000}"/>
    <cellStyle name="Normal 4 4 6 3 3" xfId="9244" xr:uid="{00000000-0005-0000-0000-00002D670000}"/>
    <cellStyle name="Normal 4 4 6 3 3 2" xfId="9245" xr:uid="{00000000-0005-0000-0000-00002E670000}"/>
    <cellStyle name="Normal 4 4 6 3 3 2 2" xfId="32736" xr:uid="{00000000-0005-0000-0000-00002F670000}"/>
    <cellStyle name="Normal 4 4 6 3 3 3" xfId="32735" xr:uid="{00000000-0005-0000-0000-000030670000}"/>
    <cellStyle name="Normal 4 4 6 3 4" xfId="9246" xr:uid="{00000000-0005-0000-0000-000031670000}"/>
    <cellStyle name="Normal 4 4 6 3 4 2" xfId="32737" xr:uid="{00000000-0005-0000-0000-000032670000}"/>
    <cellStyle name="Normal 4 4 6 3 5" xfId="32730" xr:uid="{00000000-0005-0000-0000-000033670000}"/>
    <cellStyle name="Normal 4 4 6 4" xfId="9247" xr:uid="{00000000-0005-0000-0000-000034670000}"/>
    <cellStyle name="Normal 4 4 6 4 2" xfId="9248" xr:uid="{00000000-0005-0000-0000-000035670000}"/>
    <cellStyle name="Normal 4 4 6 4 2 2" xfId="9249" xr:uid="{00000000-0005-0000-0000-000036670000}"/>
    <cellStyle name="Normal 4 4 6 4 2 2 2" xfId="32740" xr:uid="{00000000-0005-0000-0000-000037670000}"/>
    <cellStyle name="Normal 4 4 6 4 2 3" xfId="32739" xr:uid="{00000000-0005-0000-0000-000038670000}"/>
    <cellStyle name="Normal 4 4 6 4 3" xfId="9250" xr:uid="{00000000-0005-0000-0000-000039670000}"/>
    <cellStyle name="Normal 4 4 6 4 3 2" xfId="32741" xr:uid="{00000000-0005-0000-0000-00003A670000}"/>
    <cellStyle name="Normal 4 4 6 4 4" xfId="32738" xr:uid="{00000000-0005-0000-0000-00003B670000}"/>
    <cellStyle name="Normal 4 4 6 5" xfId="9251" xr:uid="{00000000-0005-0000-0000-00003C670000}"/>
    <cellStyle name="Normal 4 4 6 5 2" xfId="9252" xr:uid="{00000000-0005-0000-0000-00003D670000}"/>
    <cellStyle name="Normal 4 4 6 5 2 2" xfId="32743" xr:uid="{00000000-0005-0000-0000-00003E670000}"/>
    <cellStyle name="Normal 4 4 6 5 3" xfId="32742" xr:uid="{00000000-0005-0000-0000-00003F670000}"/>
    <cellStyle name="Normal 4 4 6 6" xfId="9253" xr:uid="{00000000-0005-0000-0000-000040670000}"/>
    <cellStyle name="Normal 4 4 6 6 2" xfId="32744" xr:uid="{00000000-0005-0000-0000-000041670000}"/>
    <cellStyle name="Normal 4 4 6 7" xfId="32721" xr:uid="{00000000-0005-0000-0000-000042670000}"/>
    <cellStyle name="Normal 4 4 7" xfId="9254" xr:uid="{00000000-0005-0000-0000-000043670000}"/>
    <cellStyle name="Normal 4 4 7 2" xfId="9255" xr:uid="{00000000-0005-0000-0000-000044670000}"/>
    <cellStyle name="Normal 4 4 7 2 2" xfId="9256" xr:uid="{00000000-0005-0000-0000-000045670000}"/>
    <cellStyle name="Normal 4 4 7 2 2 2" xfId="9257" xr:uid="{00000000-0005-0000-0000-000046670000}"/>
    <cellStyle name="Normal 4 4 7 2 2 2 2" xfId="9258" xr:uid="{00000000-0005-0000-0000-000047670000}"/>
    <cellStyle name="Normal 4 4 7 2 2 2 2 2" xfId="32749" xr:uid="{00000000-0005-0000-0000-000048670000}"/>
    <cellStyle name="Normal 4 4 7 2 2 2 3" xfId="32748" xr:uid="{00000000-0005-0000-0000-000049670000}"/>
    <cellStyle name="Normal 4 4 7 2 2 3" xfId="9259" xr:uid="{00000000-0005-0000-0000-00004A670000}"/>
    <cellStyle name="Normal 4 4 7 2 2 3 2" xfId="32750" xr:uid="{00000000-0005-0000-0000-00004B670000}"/>
    <cellStyle name="Normal 4 4 7 2 2 4" xfId="32747" xr:uid="{00000000-0005-0000-0000-00004C670000}"/>
    <cellStyle name="Normal 4 4 7 2 3" xfId="9260" xr:uid="{00000000-0005-0000-0000-00004D670000}"/>
    <cellStyle name="Normal 4 4 7 2 3 2" xfId="9261" xr:uid="{00000000-0005-0000-0000-00004E670000}"/>
    <cellStyle name="Normal 4 4 7 2 3 2 2" xfId="32752" xr:uid="{00000000-0005-0000-0000-00004F670000}"/>
    <cellStyle name="Normal 4 4 7 2 3 3" xfId="32751" xr:uid="{00000000-0005-0000-0000-000050670000}"/>
    <cellStyle name="Normal 4 4 7 2 4" xfId="9262" xr:uid="{00000000-0005-0000-0000-000051670000}"/>
    <cellStyle name="Normal 4 4 7 2 4 2" xfId="32753" xr:uid="{00000000-0005-0000-0000-000052670000}"/>
    <cellStyle name="Normal 4 4 7 2 5" xfId="32746" xr:uid="{00000000-0005-0000-0000-000053670000}"/>
    <cellStyle name="Normal 4 4 7 3" xfId="9263" xr:uid="{00000000-0005-0000-0000-000054670000}"/>
    <cellStyle name="Normal 4 4 7 3 2" xfId="9264" xr:uid="{00000000-0005-0000-0000-000055670000}"/>
    <cellStyle name="Normal 4 4 7 3 2 2" xfId="9265" xr:uid="{00000000-0005-0000-0000-000056670000}"/>
    <cellStyle name="Normal 4 4 7 3 2 2 2" xfId="9266" xr:uid="{00000000-0005-0000-0000-000057670000}"/>
    <cellStyle name="Normal 4 4 7 3 2 2 2 2" xfId="32757" xr:uid="{00000000-0005-0000-0000-000058670000}"/>
    <cellStyle name="Normal 4 4 7 3 2 2 3" xfId="32756" xr:uid="{00000000-0005-0000-0000-000059670000}"/>
    <cellStyle name="Normal 4 4 7 3 2 3" xfId="9267" xr:uid="{00000000-0005-0000-0000-00005A670000}"/>
    <cellStyle name="Normal 4 4 7 3 2 3 2" xfId="32758" xr:uid="{00000000-0005-0000-0000-00005B670000}"/>
    <cellStyle name="Normal 4 4 7 3 2 4" xfId="32755" xr:uid="{00000000-0005-0000-0000-00005C670000}"/>
    <cellStyle name="Normal 4 4 7 3 3" xfId="9268" xr:uid="{00000000-0005-0000-0000-00005D670000}"/>
    <cellStyle name="Normal 4 4 7 3 3 2" xfId="9269" xr:uid="{00000000-0005-0000-0000-00005E670000}"/>
    <cellStyle name="Normal 4 4 7 3 3 2 2" xfId="32760" xr:uid="{00000000-0005-0000-0000-00005F670000}"/>
    <cellStyle name="Normal 4 4 7 3 3 3" xfId="32759" xr:uid="{00000000-0005-0000-0000-000060670000}"/>
    <cellStyle name="Normal 4 4 7 3 4" xfId="9270" xr:uid="{00000000-0005-0000-0000-000061670000}"/>
    <cellStyle name="Normal 4 4 7 3 4 2" xfId="32761" xr:uid="{00000000-0005-0000-0000-000062670000}"/>
    <cellStyle name="Normal 4 4 7 3 5" xfId="32754" xr:uid="{00000000-0005-0000-0000-000063670000}"/>
    <cellStyle name="Normal 4 4 7 4" xfId="9271" xr:uid="{00000000-0005-0000-0000-000064670000}"/>
    <cellStyle name="Normal 4 4 7 4 2" xfId="9272" xr:uid="{00000000-0005-0000-0000-000065670000}"/>
    <cellStyle name="Normal 4 4 7 4 2 2" xfId="9273" xr:uid="{00000000-0005-0000-0000-000066670000}"/>
    <cellStyle name="Normal 4 4 7 4 2 2 2" xfId="32764" xr:uid="{00000000-0005-0000-0000-000067670000}"/>
    <cellStyle name="Normal 4 4 7 4 2 3" xfId="32763" xr:uid="{00000000-0005-0000-0000-000068670000}"/>
    <cellStyle name="Normal 4 4 7 4 3" xfId="9274" xr:uid="{00000000-0005-0000-0000-000069670000}"/>
    <cellStyle name="Normal 4 4 7 4 3 2" xfId="32765" xr:uid="{00000000-0005-0000-0000-00006A670000}"/>
    <cellStyle name="Normal 4 4 7 4 4" xfId="32762" xr:uid="{00000000-0005-0000-0000-00006B670000}"/>
    <cellStyle name="Normal 4 4 7 5" xfId="9275" xr:uid="{00000000-0005-0000-0000-00006C670000}"/>
    <cellStyle name="Normal 4 4 7 5 2" xfId="9276" xr:uid="{00000000-0005-0000-0000-00006D670000}"/>
    <cellStyle name="Normal 4 4 7 5 2 2" xfId="32767" xr:uid="{00000000-0005-0000-0000-00006E670000}"/>
    <cellStyle name="Normal 4 4 7 5 3" xfId="32766" xr:uid="{00000000-0005-0000-0000-00006F670000}"/>
    <cellStyle name="Normal 4 4 7 6" xfId="9277" xr:uid="{00000000-0005-0000-0000-000070670000}"/>
    <cellStyle name="Normal 4 4 7 6 2" xfId="32768" xr:uid="{00000000-0005-0000-0000-000071670000}"/>
    <cellStyle name="Normal 4 4 7 7" xfId="32745" xr:uid="{00000000-0005-0000-0000-000072670000}"/>
    <cellStyle name="Normal 4 4 8" xfId="9278" xr:uid="{00000000-0005-0000-0000-000073670000}"/>
    <cellStyle name="Normal 4 4 8 2" xfId="9279" xr:uid="{00000000-0005-0000-0000-000074670000}"/>
    <cellStyle name="Normal 4 4 8 2 2" xfId="9280" xr:uid="{00000000-0005-0000-0000-000075670000}"/>
    <cellStyle name="Normal 4 4 8 2 2 2" xfId="9281" xr:uid="{00000000-0005-0000-0000-000076670000}"/>
    <cellStyle name="Normal 4 4 8 2 2 2 2" xfId="9282" xr:uid="{00000000-0005-0000-0000-000077670000}"/>
    <cellStyle name="Normal 4 4 8 2 2 2 2 2" xfId="32773" xr:uid="{00000000-0005-0000-0000-000078670000}"/>
    <cellStyle name="Normal 4 4 8 2 2 2 3" xfId="32772" xr:uid="{00000000-0005-0000-0000-000079670000}"/>
    <cellStyle name="Normal 4 4 8 2 2 3" xfId="9283" xr:uid="{00000000-0005-0000-0000-00007A670000}"/>
    <cellStyle name="Normal 4 4 8 2 2 3 2" xfId="32774" xr:uid="{00000000-0005-0000-0000-00007B670000}"/>
    <cellStyle name="Normal 4 4 8 2 2 4" xfId="32771" xr:uid="{00000000-0005-0000-0000-00007C670000}"/>
    <cellStyle name="Normal 4 4 8 2 3" xfId="9284" xr:uid="{00000000-0005-0000-0000-00007D670000}"/>
    <cellStyle name="Normal 4 4 8 2 3 2" xfId="9285" xr:uid="{00000000-0005-0000-0000-00007E670000}"/>
    <cellStyle name="Normal 4 4 8 2 3 2 2" xfId="32776" xr:uid="{00000000-0005-0000-0000-00007F670000}"/>
    <cellStyle name="Normal 4 4 8 2 3 3" xfId="32775" xr:uid="{00000000-0005-0000-0000-000080670000}"/>
    <cellStyle name="Normal 4 4 8 2 4" xfId="9286" xr:uid="{00000000-0005-0000-0000-000081670000}"/>
    <cellStyle name="Normal 4 4 8 2 4 2" xfId="32777" xr:uid="{00000000-0005-0000-0000-000082670000}"/>
    <cellStyle name="Normal 4 4 8 2 5" xfId="32770" xr:uid="{00000000-0005-0000-0000-000083670000}"/>
    <cellStyle name="Normal 4 4 8 3" xfId="9287" xr:uid="{00000000-0005-0000-0000-000084670000}"/>
    <cellStyle name="Normal 4 4 8 3 2" xfId="9288" xr:uid="{00000000-0005-0000-0000-000085670000}"/>
    <cellStyle name="Normal 4 4 8 3 2 2" xfId="9289" xr:uid="{00000000-0005-0000-0000-000086670000}"/>
    <cellStyle name="Normal 4 4 8 3 2 2 2" xfId="9290" xr:uid="{00000000-0005-0000-0000-000087670000}"/>
    <cellStyle name="Normal 4 4 8 3 2 2 2 2" xfId="32781" xr:uid="{00000000-0005-0000-0000-000088670000}"/>
    <cellStyle name="Normal 4 4 8 3 2 2 3" xfId="32780" xr:uid="{00000000-0005-0000-0000-000089670000}"/>
    <cellStyle name="Normal 4 4 8 3 2 3" xfId="9291" xr:uid="{00000000-0005-0000-0000-00008A670000}"/>
    <cellStyle name="Normal 4 4 8 3 2 3 2" xfId="32782" xr:uid="{00000000-0005-0000-0000-00008B670000}"/>
    <cellStyle name="Normal 4 4 8 3 2 4" xfId="32779" xr:uid="{00000000-0005-0000-0000-00008C670000}"/>
    <cellStyle name="Normal 4 4 8 3 3" xfId="9292" xr:uid="{00000000-0005-0000-0000-00008D670000}"/>
    <cellStyle name="Normal 4 4 8 3 3 2" xfId="9293" xr:uid="{00000000-0005-0000-0000-00008E670000}"/>
    <cellStyle name="Normal 4 4 8 3 3 2 2" xfId="32784" xr:uid="{00000000-0005-0000-0000-00008F670000}"/>
    <cellStyle name="Normal 4 4 8 3 3 3" xfId="32783" xr:uid="{00000000-0005-0000-0000-000090670000}"/>
    <cellStyle name="Normal 4 4 8 3 4" xfId="9294" xr:uid="{00000000-0005-0000-0000-000091670000}"/>
    <cellStyle name="Normal 4 4 8 3 4 2" xfId="32785" xr:uid="{00000000-0005-0000-0000-000092670000}"/>
    <cellStyle name="Normal 4 4 8 3 5" xfId="32778" xr:uid="{00000000-0005-0000-0000-000093670000}"/>
    <cellStyle name="Normal 4 4 8 4" xfId="9295" xr:uid="{00000000-0005-0000-0000-000094670000}"/>
    <cellStyle name="Normal 4 4 8 4 2" xfId="9296" xr:uid="{00000000-0005-0000-0000-000095670000}"/>
    <cellStyle name="Normal 4 4 8 4 2 2" xfId="9297" xr:uid="{00000000-0005-0000-0000-000096670000}"/>
    <cellStyle name="Normal 4 4 8 4 2 2 2" xfId="32788" xr:uid="{00000000-0005-0000-0000-000097670000}"/>
    <cellStyle name="Normal 4 4 8 4 2 3" xfId="32787" xr:uid="{00000000-0005-0000-0000-000098670000}"/>
    <cellStyle name="Normal 4 4 8 4 3" xfId="9298" xr:uid="{00000000-0005-0000-0000-000099670000}"/>
    <cellStyle name="Normal 4 4 8 4 3 2" xfId="32789" xr:uid="{00000000-0005-0000-0000-00009A670000}"/>
    <cellStyle name="Normal 4 4 8 4 4" xfId="32786" xr:uid="{00000000-0005-0000-0000-00009B670000}"/>
    <cellStyle name="Normal 4 4 8 5" xfId="9299" xr:uid="{00000000-0005-0000-0000-00009C670000}"/>
    <cellStyle name="Normal 4 4 8 5 2" xfId="9300" xr:uid="{00000000-0005-0000-0000-00009D670000}"/>
    <cellStyle name="Normal 4 4 8 5 2 2" xfId="32791" xr:uid="{00000000-0005-0000-0000-00009E670000}"/>
    <cellStyle name="Normal 4 4 8 5 3" xfId="32790" xr:uid="{00000000-0005-0000-0000-00009F670000}"/>
    <cellStyle name="Normal 4 4 8 6" xfId="9301" xr:uid="{00000000-0005-0000-0000-0000A0670000}"/>
    <cellStyle name="Normal 4 4 8 6 2" xfId="32792" xr:uid="{00000000-0005-0000-0000-0000A1670000}"/>
    <cellStyle name="Normal 4 4 8 7" xfId="32769" xr:uid="{00000000-0005-0000-0000-0000A2670000}"/>
    <cellStyle name="Normal 4 4 9" xfId="9302" xr:uid="{00000000-0005-0000-0000-0000A3670000}"/>
    <cellStyle name="Normal 4 4 9 2" xfId="9303" xr:uid="{00000000-0005-0000-0000-0000A4670000}"/>
    <cellStyle name="Normal 4 4 9 2 2" xfId="9304" xr:uid="{00000000-0005-0000-0000-0000A5670000}"/>
    <cellStyle name="Normal 4 4 9 2 2 2" xfId="9305" xr:uid="{00000000-0005-0000-0000-0000A6670000}"/>
    <cellStyle name="Normal 4 4 9 2 2 2 2" xfId="32796" xr:uid="{00000000-0005-0000-0000-0000A7670000}"/>
    <cellStyle name="Normal 4 4 9 2 2 3" xfId="32795" xr:uid="{00000000-0005-0000-0000-0000A8670000}"/>
    <cellStyle name="Normal 4 4 9 2 3" xfId="9306" xr:uid="{00000000-0005-0000-0000-0000A9670000}"/>
    <cellStyle name="Normal 4 4 9 2 3 2" xfId="32797" xr:uid="{00000000-0005-0000-0000-0000AA670000}"/>
    <cellStyle name="Normal 4 4 9 2 4" xfId="32794" xr:uid="{00000000-0005-0000-0000-0000AB670000}"/>
    <cellStyle name="Normal 4 4 9 3" xfId="9307" xr:uid="{00000000-0005-0000-0000-0000AC670000}"/>
    <cellStyle name="Normal 4 4 9 3 2" xfId="9308" xr:uid="{00000000-0005-0000-0000-0000AD670000}"/>
    <cellStyle name="Normal 4 4 9 3 2 2" xfId="32799" xr:uid="{00000000-0005-0000-0000-0000AE670000}"/>
    <cellStyle name="Normal 4 4 9 3 3" xfId="32798" xr:uid="{00000000-0005-0000-0000-0000AF670000}"/>
    <cellStyle name="Normal 4 4 9 4" xfId="9309" xr:uid="{00000000-0005-0000-0000-0000B0670000}"/>
    <cellStyle name="Normal 4 4 9 4 2" xfId="32800" xr:uid="{00000000-0005-0000-0000-0000B1670000}"/>
    <cellStyle name="Normal 4 4 9 5" xfId="32793" xr:uid="{00000000-0005-0000-0000-0000B2670000}"/>
    <cellStyle name="Normal 4 5" xfId="9310" xr:uid="{00000000-0005-0000-0000-0000B3670000}"/>
    <cellStyle name="Normal 4 5 10" xfId="9311" xr:uid="{00000000-0005-0000-0000-0000B4670000}"/>
    <cellStyle name="Normal 4 5 10 2" xfId="9312" xr:uid="{00000000-0005-0000-0000-0000B5670000}"/>
    <cellStyle name="Normal 4 5 10 2 2" xfId="9313" xr:uid="{00000000-0005-0000-0000-0000B6670000}"/>
    <cellStyle name="Normal 4 5 10 2 2 2" xfId="32804" xr:uid="{00000000-0005-0000-0000-0000B7670000}"/>
    <cellStyle name="Normal 4 5 10 2 3" xfId="32803" xr:uid="{00000000-0005-0000-0000-0000B8670000}"/>
    <cellStyle name="Normal 4 5 10 3" xfId="9314" xr:uid="{00000000-0005-0000-0000-0000B9670000}"/>
    <cellStyle name="Normal 4 5 10 3 2" xfId="32805" xr:uid="{00000000-0005-0000-0000-0000BA670000}"/>
    <cellStyle name="Normal 4 5 10 4" xfId="32802" xr:uid="{00000000-0005-0000-0000-0000BB670000}"/>
    <cellStyle name="Normal 4 5 11" xfId="9315" xr:uid="{00000000-0005-0000-0000-0000BC670000}"/>
    <cellStyle name="Normal 4 5 11 2" xfId="9316" xr:uid="{00000000-0005-0000-0000-0000BD670000}"/>
    <cellStyle name="Normal 4 5 11 2 2" xfId="32807" xr:uid="{00000000-0005-0000-0000-0000BE670000}"/>
    <cellStyle name="Normal 4 5 11 3" xfId="32806" xr:uid="{00000000-0005-0000-0000-0000BF670000}"/>
    <cellStyle name="Normal 4 5 12" xfId="9317" xr:uid="{00000000-0005-0000-0000-0000C0670000}"/>
    <cellStyle name="Normal 4 5 12 2" xfId="32808" xr:uid="{00000000-0005-0000-0000-0000C1670000}"/>
    <cellStyle name="Normal 4 5 13" xfId="32801" xr:uid="{00000000-0005-0000-0000-0000C2670000}"/>
    <cellStyle name="Normal 4 5 2" xfId="9318" xr:uid="{00000000-0005-0000-0000-0000C3670000}"/>
    <cellStyle name="Normal 4 5 2 10" xfId="32809" xr:uid="{00000000-0005-0000-0000-0000C4670000}"/>
    <cellStyle name="Normal 4 5 2 2" xfId="9319" xr:uid="{00000000-0005-0000-0000-0000C5670000}"/>
    <cellStyle name="Normal 4 5 2 2 2" xfId="9320" xr:uid="{00000000-0005-0000-0000-0000C6670000}"/>
    <cellStyle name="Normal 4 5 2 2 2 2" xfId="9321" xr:uid="{00000000-0005-0000-0000-0000C7670000}"/>
    <cellStyle name="Normal 4 5 2 2 2 2 2" xfId="9322" xr:uid="{00000000-0005-0000-0000-0000C8670000}"/>
    <cellStyle name="Normal 4 5 2 2 2 2 2 2" xfId="9323" xr:uid="{00000000-0005-0000-0000-0000C9670000}"/>
    <cellStyle name="Normal 4 5 2 2 2 2 2 2 2" xfId="32814" xr:uid="{00000000-0005-0000-0000-0000CA670000}"/>
    <cellStyle name="Normal 4 5 2 2 2 2 2 3" xfId="32813" xr:uid="{00000000-0005-0000-0000-0000CB670000}"/>
    <cellStyle name="Normal 4 5 2 2 2 2 3" xfId="9324" xr:uid="{00000000-0005-0000-0000-0000CC670000}"/>
    <cellStyle name="Normal 4 5 2 2 2 2 3 2" xfId="32815" xr:uid="{00000000-0005-0000-0000-0000CD670000}"/>
    <cellStyle name="Normal 4 5 2 2 2 2 4" xfId="32812" xr:uid="{00000000-0005-0000-0000-0000CE670000}"/>
    <cellStyle name="Normal 4 5 2 2 2 3" xfId="9325" xr:uid="{00000000-0005-0000-0000-0000CF670000}"/>
    <cellStyle name="Normal 4 5 2 2 2 3 2" xfId="9326" xr:uid="{00000000-0005-0000-0000-0000D0670000}"/>
    <cellStyle name="Normal 4 5 2 2 2 3 2 2" xfId="32817" xr:uid="{00000000-0005-0000-0000-0000D1670000}"/>
    <cellStyle name="Normal 4 5 2 2 2 3 3" xfId="32816" xr:uid="{00000000-0005-0000-0000-0000D2670000}"/>
    <cellStyle name="Normal 4 5 2 2 2 4" xfId="9327" xr:uid="{00000000-0005-0000-0000-0000D3670000}"/>
    <cellStyle name="Normal 4 5 2 2 2 4 2" xfId="32818" xr:uid="{00000000-0005-0000-0000-0000D4670000}"/>
    <cellStyle name="Normal 4 5 2 2 2 5" xfId="32811" xr:uid="{00000000-0005-0000-0000-0000D5670000}"/>
    <cellStyle name="Normal 4 5 2 2 3" xfId="9328" xr:uid="{00000000-0005-0000-0000-0000D6670000}"/>
    <cellStyle name="Normal 4 5 2 2 3 2" xfId="9329" xr:uid="{00000000-0005-0000-0000-0000D7670000}"/>
    <cellStyle name="Normal 4 5 2 2 3 2 2" xfId="9330" xr:uid="{00000000-0005-0000-0000-0000D8670000}"/>
    <cellStyle name="Normal 4 5 2 2 3 2 2 2" xfId="9331" xr:uid="{00000000-0005-0000-0000-0000D9670000}"/>
    <cellStyle name="Normal 4 5 2 2 3 2 2 2 2" xfId="32822" xr:uid="{00000000-0005-0000-0000-0000DA670000}"/>
    <cellStyle name="Normal 4 5 2 2 3 2 2 3" xfId="32821" xr:uid="{00000000-0005-0000-0000-0000DB670000}"/>
    <cellStyle name="Normal 4 5 2 2 3 2 3" xfId="9332" xr:uid="{00000000-0005-0000-0000-0000DC670000}"/>
    <cellStyle name="Normal 4 5 2 2 3 2 3 2" xfId="32823" xr:uid="{00000000-0005-0000-0000-0000DD670000}"/>
    <cellStyle name="Normal 4 5 2 2 3 2 4" xfId="32820" xr:uid="{00000000-0005-0000-0000-0000DE670000}"/>
    <cellStyle name="Normal 4 5 2 2 3 3" xfId="9333" xr:uid="{00000000-0005-0000-0000-0000DF670000}"/>
    <cellStyle name="Normal 4 5 2 2 3 3 2" xfId="9334" xr:uid="{00000000-0005-0000-0000-0000E0670000}"/>
    <cellStyle name="Normal 4 5 2 2 3 3 2 2" xfId="32825" xr:uid="{00000000-0005-0000-0000-0000E1670000}"/>
    <cellStyle name="Normal 4 5 2 2 3 3 3" xfId="32824" xr:uid="{00000000-0005-0000-0000-0000E2670000}"/>
    <cellStyle name="Normal 4 5 2 2 3 4" xfId="9335" xr:uid="{00000000-0005-0000-0000-0000E3670000}"/>
    <cellStyle name="Normal 4 5 2 2 3 4 2" xfId="32826" xr:uid="{00000000-0005-0000-0000-0000E4670000}"/>
    <cellStyle name="Normal 4 5 2 2 3 5" xfId="32819" xr:uid="{00000000-0005-0000-0000-0000E5670000}"/>
    <cellStyle name="Normal 4 5 2 2 4" xfId="9336" xr:uid="{00000000-0005-0000-0000-0000E6670000}"/>
    <cellStyle name="Normal 4 5 2 2 4 2" xfId="9337" xr:uid="{00000000-0005-0000-0000-0000E7670000}"/>
    <cellStyle name="Normal 4 5 2 2 4 2 2" xfId="9338" xr:uid="{00000000-0005-0000-0000-0000E8670000}"/>
    <cellStyle name="Normal 4 5 2 2 4 2 2 2" xfId="32829" xr:uid="{00000000-0005-0000-0000-0000E9670000}"/>
    <cellStyle name="Normal 4 5 2 2 4 2 3" xfId="32828" xr:uid="{00000000-0005-0000-0000-0000EA670000}"/>
    <cellStyle name="Normal 4 5 2 2 4 3" xfId="9339" xr:uid="{00000000-0005-0000-0000-0000EB670000}"/>
    <cellStyle name="Normal 4 5 2 2 4 3 2" xfId="32830" xr:uid="{00000000-0005-0000-0000-0000EC670000}"/>
    <cellStyle name="Normal 4 5 2 2 4 4" xfId="32827" xr:uid="{00000000-0005-0000-0000-0000ED670000}"/>
    <cellStyle name="Normal 4 5 2 2 5" xfId="9340" xr:uid="{00000000-0005-0000-0000-0000EE670000}"/>
    <cellStyle name="Normal 4 5 2 2 5 2" xfId="9341" xr:uid="{00000000-0005-0000-0000-0000EF670000}"/>
    <cellStyle name="Normal 4 5 2 2 5 2 2" xfId="32832" xr:uid="{00000000-0005-0000-0000-0000F0670000}"/>
    <cellStyle name="Normal 4 5 2 2 5 3" xfId="32831" xr:uid="{00000000-0005-0000-0000-0000F1670000}"/>
    <cellStyle name="Normal 4 5 2 2 6" xfId="9342" xr:uid="{00000000-0005-0000-0000-0000F2670000}"/>
    <cellStyle name="Normal 4 5 2 2 6 2" xfId="32833" xr:uid="{00000000-0005-0000-0000-0000F3670000}"/>
    <cellStyle name="Normal 4 5 2 2 7" xfId="32810" xr:uid="{00000000-0005-0000-0000-0000F4670000}"/>
    <cellStyle name="Normal 4 5 2 3" xfId="9343" xr:uid="{00000000-0005-0000-0000-0000F5670000}"/>
    <cellStyle name="Normal 4 5 2 3 2" xfId="9344" xr:uid="{00000000-0005-0000-0000-0000F6670000}"/>
    <cellStyle name="Normal 4 5 2 3 2 2" xfId="9345" xr:uid="{00000000-0005-0000-0000-0000F7670000}"/>
    <cellStyle name="Normal 4 5 2 3 2 2 2" xfId="9346" xr:uid="{00000000-0005-0000-0000-0000F8670000}"/>
    <cellStyle name="Normal 4 5 2 3 2 2 2 2" xfId="9347" xr:uid="{00000000-0005-0000-0000-0000F9670000}"/>
    <cellStyle name="Normal 4 5 2 3 2 2 2 2 2" xfId="32838" xr:uid="{00000000-0005-0000-0000-0000FA670000}"/>
    <cellStyle name="Normal 4 5 2 3 2 2 2 3" xfId="32837" xr:uid="{00000000-0005-0000-0000-0000FB670000}"/>
    <cellStyle name="Normal 4 5 2 3 2 2 3" xfId="9348" xr:uid="{00000000-0005-0000-0000-0000FC670000}"/>
    <cellStyle name="Normal 4 5 2 3 2 2 3 2" xfId="32839" xr:uid="{00000000-0005-0000-0000-0000FD670000}"/>
    <cellStyle name="Normal 4 5 2 3 2 2 4" xfId="32836" xr:uid="{00000000-0005-0000-0000-0000FE670000}"/>
    <cellStyle name="Normal 4 5 2 3 2 3" xfId="9349" xr:uid="{00000000-0005-0000-0000-0000FF670000}"/>
    <cellStyle name="Normal 4 5 2 3 2 3 2" xfId="9350" xr:uid="{00000000-0005-0000-0000-000000680000}"/>
    <cellStyle name="Normal 4 5 2 3 2 3 2 2" xfId="32841" xr:uid="{00000000-0005-0000-0000-000001680000}"/>
    <cellStyle name="Normal 4 5 2 3 2 3 3" xfId="32840" xr:uid="{00000000-0005-0000-0000-000002680000}"/>
    <cellStyle name="Normal 4 5 2 3 2 4" xfId="9351" xr:uid="{00000000-0005-0000-0000-000003680000}"/>
    <cellStyle name="Normal 4 5 2 3 2 4 2" xfId="32842" xr:uid="{00000000-0005-0000-0000-000004680000}"/>
    <cellStyle name="Normal 4 5 2 3 2 5" xfId="32835" xr:uid="{00000000-0005-0000-0000-000005680000}"/>
    <cellStyle name="Normal 4 5 2 3 3" xfId="9352" xr:uid="{00000000-0005-0000-0000-000006680000}"/>
    <cellStyle name="Normal 4 5 2 3 3 2" xfId="9353" xr:uid="{00000000-0005-0000-0000-000007680000}"/>
    <cellStyle name="Normal 4 5 2 3 3 2 2" xfId="9354" xr:uid="{00000000-0005-0000-0000-000008680000}"/>
    <cellStyle name="Normal 4 5 2 3 3 2 2 2" xfId="9355" xr:uid="{00000000-0005-0000-0000-000009680000}"/>
    <cellStyle name="Normal 4 5 2 3 3 2 2 2 2" xfId="32846" xr:uid="{00000000-0005-0000-0000-00000A680000}"/>
    <cellStyle name="Normal 4 5 2 3 3 2 2 3" xfId="32845" xr:uid="{00000000-0005-0000-0000-00000B680000}"/>
    <cellStyle name="Normal 4 5 2 3 3 2 3" xfId="9356" xr:uid="{00000000-0005-0000-0000-00000C680000}"/>
    <cellStyle name="Normal 4 5 2 3 3 2 3 2" xfId="32847" xr:uid="{00000000-0005-0000-0000-00000D680000}"/>
    <cellStyle name="Normal 4 5 2 3 3 2 4" xfId="32844" xr:uid="{00000000-0005-0000-0000-00000E680000}"/>
    <cellStyle name="Normal 4 5 2 3 3 3" xfId="9357" xr:uid="{00000000-0005-0000-0000-00000F680000}"/>
    <cellStyle name="Normal 4 5 2 3 3 3 2" xfId="9358" xr:uid="{00000000-0005-0000-0000-000010680000}"/>
    <cellStyle name="Normal 4 5 2 3 3 3 2 2" xfId="32849" xr:uid="{00000000-0005-0000-0000-000011680000}"/>
    <cellStyle name="Normal 4 5 2 3 3 3 3" xfId="32848" xr:uid="{00000000-0005-0000-0000-000012680000}"/>
    <cellStyle name="Normal 4 5 2 3 3 4" xfId="9359" xr:uid="{00000000-0005-0000-0000-000013680000}"/>
    <cellStyle name="Normal 4 5 2 3 3 4 2" xfId="32850" xr:uid="{00000000-0005-0000-0000-000014680000}"/>
    <cellStyle name="Normal 4 5 2 3 3 5" xfId="32843" xr:uid="{00000000-0005-0000-0000-000015680000}"/>
    <cellStyle name="Normal 4 5 2 3 4" xfId="9360" xr:uid="{00000000-0005-0000-0000-000016680000}"/>
    <cellStyle name="Normal 4 5 2 3 4 2" xfId="9361" xr:uid="{00000000-0005-0000-0000-000017680000}"/>
    <cellStyle name="Normal 4 5 2 3 4 2 2" xfId="9362" xr:uid="{00000000-0005-0000-0000-000018680000}"/>
    <cellStyle name="Normal 4 5 2 3 4 2 2 2" xfId="32853" xr:uid="{00000000-0005-0000-0000-000019680000}"/>
    <cellStyle name="Normal 4 5 2 3 4 2 3" xfId="32852" xr:uid="{00000000-0005-0000-0000-00001A680000}"/>
    <cellStyle name="Normal 4 5 2 3 4 3" xfId="9363" xr:uid="{00000000-0005-0000-0000-00001B680000}"/>
    <cellStyle name="Normal 4 5 2 3 4 3 2" xfId="32854" xr:uid="{00000000-0005-0000-0000-00001C680000}"/>
    <cellStyle name="Normal 4 5 2 3 4 4" xfId="32851" xr:uid="{00000000-0005-0000-0000-00001D680000}"/>
    <cellStyle name="Normal 4 5 2 3 5" xfId="9364" xr:uid="{00000000-0005-0000-0000-00001E680000}"/>
    <cellStyle name="Normal 4 5 2 3 5 2" xfId="9365" xr:uid="{00000000-0005-0000-0000-00001F680000}"/>
    <cellStyle name="Normal 4 5 2 3 5 2 2" xfId="32856" xr:uid="{00000000-0005-0000-0000-000020680000}"/>
    <cellStyle name="Normal 4 5 2 3 5 3" xfId="32855" xr:uid="{00000000-0005-0000-0000-000021680000}"/>
    <cellStyle name="Normal 4 5 2 3 6" xfId="9366" xr:uid="{00000000-0005-0000-0000-000022680000}"/>
    <cellStyle name="Normal 4 5 2 3 6 2" xfId="32857" xr:uid="{00000000-0005-0000-0000-000023680000}"/>
    <cellStyle name="Normal 4 5 2 3 7" xfId="32834" xr:uid="{00000000-0005-0000-0000-000024680000}"/>
    <cellStyle name="Normal 4 5 2 4" xfId="9367" xr:uid="{00000000-0005-0000-0000-000025680000}"/>
    <cellStyle name="Normal 4 5 2 4 2" xfId="9368" xr:uid="{00000000-0005-0000-0000-000026680000}"/>
    <cellStyle name="Normal 4 5 2 4 2 2" xfId="9369" xr:uid="{00000000-0005-0000-0000-000027680000}"/>
    <cellStyle name="Normal 4 5 2 4 2 2 2" xfId="9370" xr:uid="{00000000-0005-0000-0000-000028680000}"/>
    <cellStyle name="Normal 4 5 2 4 2 2 2 2" xfId="9371" xr:uid="{00000000-0005-0000-0000-000029680000}"/>
    <cellStyle name="Normal 4 5 2 4 2 2 2 2 2" xfId="32862" xr:uid="{00000000-0005-0000-0000-00002A680000}"/>
    <cellStyle name="Normal 4 5 2 4 2 2 2 3" xfId="32861" xr:uid="{00000000-0005-0000-0000-00002B680000}"/>
    <cellStyle name="Normal 4 5 2 4 2 2 3" xfId="9372" xr:uid="{00000000-0005-0000-0000-00002C680000}"/>
    <cellStyle name="Normal 4 5 2 4 2 2 3 2" xfId="32863" xr:uid="{00000000-0005-0000-0000-00002D680000}"/>
    <cellStyle name="Normal 4 5 2 4 2 2 4" xfId="32860" xr:uid="{00000000-0005-0000-0000-00002E680000}"/>
    <cellStyle name="Normal 4 5 2 4 2 3" xfId="9373" xr:uid="{00000000-0005-0000-0000-00002F680000}"/>
    <cellStyle name="Normal 4 5 2 4 2 3 2" xfId="9374" xr:uid="{00000000-0005-0000-0000-000030680000}"/>
    <cellStyle name="Normal 4 5 2 4 2 3 2 2" xfId="32865" xr:uid="{00000000-0005-0000-0000-000031680000}"/>
    <cellStyle name="Normal 4 5 2 4 2 3 3" xfId="32864" xr:uid="{00000000-0005-0000-0000-000032680000}"/>
    <cellStyle name="Normal 4 5 2 4 2 4" xfId="9375" xr:uid="{00000000-0005-0000-0000-000033680000}"/>
    <cellStyle name="Normal 4 5 2 4 2 4 2" xfId="32866" xr:uid="{00000000-0005-0000-0000-000034680000}"/>
    <cellStyle name="Normal 4 5 2 4 2 5" xfId="32859" xr:uid="{00000000-0005-0000-0000-000035680000}"/>
    <cellStyle name="Normal 4 5 2 4 3" xfId="9376" xr:uid="{00000000-0005-0000-0000-000036680000}"/>
    <cellStyle name="Normal 4 5 2 4 3 2" xfId="9377" xr:uid="{00000000-0005-0000-0000-000037680000}"/>
    <cellStyle name="Normal 4 5 2 4 3 2 2" xfId="9378" xr:uid="{00000000-0005-0000-0000-000038680000}"/>
    <cellStyle name="Normal 4 5 2 4 3 2 2 2" xfId="9379" xr:uid="{00000000-0005-0000-0000-000039680000}"/>
    <cellStyle name="Normal 4 5 2 4 3 2 2 2 2" xfId="32870" xr:uid="{00000000-0005-0000-0000-00003A680000}"/>
    <cellStyle name="Normal 4 5 2 4 3 2 2 3" xfId="32869" xr:uid="{00000000-0005-0000-0000-00003B680000}"/>
    <cellStyle name="Normal 4 5 2 4 3 2 3" xfId="9380" xr:uid="{00000000-0005-0000-0000-00003C680000}"/>
    <cellStyle name="Normal 4 5 2 4 3 2 3 2" xfId="32871" xr:uid="{00000000-0005-0000-0000-00003D680000}"/>
    <cellStyle name="Normal 4 5 2 4 3 2 4" xfId="32868" xr:uid="{00000000-0005-0000-0000-00003E680000}"/>
    <cellStyle name="Normal 4 5 2 4 3 3" xfId="9381" xr:uid="{00000000-0005-0000-0000-00003F680000}"/>
    <cellStyle name="Normal 4 5 2 4 3 3 2" xfId="9382" xr:uid="{00000000-0005-0000-0000-000040680000}"/>
    <cellStyle name="Normal 4 5 2 4 3 3 2 2" xfId="32873" xr:uid="{00000000-0005-0000-0000-000041680000}"/>
    <cellStyle name="Normal 4 5 2 4 3 3 3" xfId="32872" xr:uid="{00000000-0005-0000-0000-000042680000}"/>
    <cellStyle name="Normal 4 5 2 4 3 4" xfId="9383" xr:uid="{00000000-0005-0000-0000-000043680000}"/>
    <cellStyle name="Normal 4 5 2 4 3 4 2" xfId="32874" xr:uid="{00000000-0005-0000-0000-000044680000}"/>
    <cellStyle name="Normal 4 5 2 4 3 5" xfId="32867" xr:uid="{00000000-0005-0000-0000-000045680000}"/>
    <cellStyle name="Normal 4 5 2 4 4" xfId="9384" xr:uid="{00000000-0005-0000-0000-000046680000}"/>
    <cellStyle name="Normal 4 5 2 4 4 2" xfId="9385" xr:uid="{00000000-0005-0000-0000-000047680000}"/>
    <cellStyle name="Normal 4 5 2 4 4 2 2" xfId="9386" xr:uid="{00000000-0005-0000-0000-000048680000}"/>
    <cellStyle name="Normal 4 5 2 4 4 2 2 2" xfId="32877" xr:uid="{00000000-0005-0000-0000-000049680000}"/>
    <cellStyle name="Normal 4 5 2 4 4 2 3" xfId="32876" xr:uid="{00000000-0005-0000-0000-00004A680000}"/>
    <cellStyle name="Normal 4 5 2 4 4 3" xfId="9387" xr:uid="{00000000-0005-0000-0000-00004B680000}"/>
    <cellStyle name="Normal 4 5 2 4 4 3 2" xfId="32878" xr:uid="{00000000-0005-0000-0000-00004C680000}"/>
    <cellStyle name="Normal 4 5 2 4 4 4" xfId="32875" xr:uid="{00000000-0005-0000-0000-00004D680000}"/>
    <cellStyle name="Normal 4 5 2 4 5" xfId="9388" xr:uid="{00000000-0005-0000-0000-00004E680000}"/>
    <cellStyle name="Normal 4 5 2 4 5 2" xfId="9389" xr:uid="{00000000-0005-0000-0000-00004F680000}"/>
    <cellStyle name="Normal 4 5 2 4 5 2 2" xfId="32880" xr:uid="{00000000-0005-0000-0000-000050680000}"/>
    <cellStyle name="Normal 4 5 2 4 5 3" xfId="32879" xr:uid="{00000000-0005-0000-0000-000051680000}"/>
    <cellStyle name="Normal 4 5 2 4 6" xfId="9390" xr:uid="{00000000-0005-0000-0000-000052680000}"/>
    <cellStyle name="Normal 4 5 2 4 6 2" xfId="32881" xr:uid="{00000000-0005-0000-0000-000053680000}"/>
    <cellStyle name="Normal 4 5 2 4 7" xfId="32858" xr:uid="{00000000-0005-0000-0000-000054680000}"/>
    <cellStyle name="Normal 4 5 2 5" xfId="9391" xr:uid="{00000000-0005-0000-0000-000055680000}"/>
    <cellStyle name="Normal 4 5 2 5 2" xfId="9392" xr:uid="{00000000-0005-0000-0000-000056680000}"/>
    <cellStyle name="Normal 4 5 2 5 2 2" xfId="9393" xr:uid="{00000000-0005-0000-0000-000057680000}"/>
    <cellStyle name="Normal 4 5 2 5 2 2 2" xfId="9394" xr:uid="{00000000-0005-0000-0000-000058680000}"/>
    <cellStyle name="Normal 4 5 2 5 2 2 2 2" xfId="32885" xr:uid="{00000000-0005-0000-0000-000059680000}"/>
    <cellStyle name="Normal 4 5 2 5 2 2 3" xfId="32884" xr:uid="{00000000-0005-0000-0000-00005A680000}"/>
    <cellStyle name="Normal 4 5 2 5 2 3" xfId="9395" xr:uid="{00000000-0005-0000-0000-00005B680000}"/>
    <cellStyle name="Normal 4 5 2 5 2 3 2" xfId="32886" xr:uid="{00000000-0005-0000-0000-00005C680000}"/>
    <cellStyle name="Normal 4 5 2 5 2 4" xfId="32883" xr:uid="{00000000-0005-0000-0000-00005D680000}"/>
    <cellStyle name="Normal 4 5 2 5 3" xfId="9396" xr:uid="{00000000-0005-0000-0000-00005E680000}"/>
    <cellStyle name="Normal 4 5 2 5 3 2" xfId="9397" xr:uid="{00000000-0005-0000-0000-00005F680000}"/>
    <cellStyle name="Normal 4 5 2 5 3 2 2" xfId="32888" xr:uid="{00000000-0005-0000-0000-000060680000}"/>
    <cellStyle name="Normal 4 5 2 5 3 3" xfId="32887" xr:uid="{00000000-0005-0000-0000-000061680000}"/>
    <cellStyle name="Normal 4 5 2 5 4" xfId="9398" xr:uid="{00000000-0005-0000-0000-000062680000}"/>
    <cellStyle name="Normal 4 5 2 5 4 2" xfId="32889" xr:uid="{00000000-0005-0000-0000-000063680000}"/>
    <cellStyle name="Normal 4 5 2 5 5" xfId="32882" xr:uid="{00000000-0005-0000-0000-000064680000}"/>
    <cellStyle name="Normal 4 5 2 6" xfId="9399" xr:uid="{00000000-0005-0000-0000-000065680000}"/>
    <cellStyle name="Normal 4 5 2 6 2" xfId="9400" xr:uid="{00000000-0005-0000-0000-000066680000}"/>
    <cellStyle name="Normal 4 5 2 6 2 2" xfId="9401" xr:uid="{00000000-0005-0000-0000-000067680000}"/>
    <cellStyle name="Normal 4 5 2 6 2 2 2" xfId="9402" xr:uid="{00000000-0005-0000-0000-000068680000}"/>
    <cellStyle name="Normal 4 5 2 6 2 2 2 2" xfId="32893" xr:uid="{00000000-0005-0000-0000-000069680000}"/>
    <cellStyle name="Normal 4 5 2 6 2 2 3" xfId="32892" xr:uid="{00000000-0005-0000-0000-00006A680000}"/>
    <cellStyle name="Normal 4 5 2 6 2 3" xfId="9403" xr:uid="{00000000-0005-0000-0000-00006B680000}"/>
    <cellStyle name="Normal 4 5 2 6 2 3 2" xfId="32894" xr:uid="{00000000-0005-0000-0000-00006C680000}"/>
    <cellStyle name="Normal 4 5 2 6 2 4" xfId="32891" xr:uid="{00000000-0005-0000-0000-00006D680000}"/>
    <cellStyle name="Normal 4 5 2 6 3" xfId="9404" xr:uid="{00000000-0005-0000-0000-00006E680000}"/>
    <cellStyle name="Normal 4 5 2 6 3 2" xfId="9405" xr:uid="{00000000-0005-0000-0000-00006F680000}"/>
    <cellStyle name="Normal 4 5 2 6 3 2 2" xfId="32896" xr:uid="{00000000-0005-0000-0000-000070680000}"/>
    <cellStyle name="Normal 4 5 2 6 3 3" xfId="32895" xr:uid="{00000000-0005-0000-0000-000071680000}"/>
    <cellStyle name="Normal 4 5 2 6 4" xfId="9406" xr:uid="{00000000-0005-0000-0000-000072680000}"/>
    <cellStyle name="Normal 4 5 2 6 4 2" xfId="32897" xr:uid="{00000000-0005-0000-0000-000073680000}"/>
    <cellStyle name="Normal 4 5 2 6 5" xfId="32890" xr:uid="{00000000-0005-0000-0000-000074680000}"/>
    <cellStyle name="Normal 4 5 2 7" xfId="9407" xr:uid="{00000000-0005-0000-0000-000075680000}"/>
    <cellStyle name="Normal 4 5 2 7 2" xfId="9408" xr:uid="{00000000-0005-0000-0000-000076680000}"/>
    <cellStyle name="Normal 4 5 2 7 2 2" xfId="9409" xr:uid="{00000000-0005-0000-0000-000077680000}"/>
    <cellStyle name="Normal 4 5 2 7 2 2 2" xfId="32900" xr:uid="{00000000-0005-0000-0000-000078680000}"/>
    <cellStyle name="Normal 4 5 2 7 2 3" xfId="32899" xr:uid="{00000000-0005-0000-0000-000079680000}"/>
    <cellStyle name="Normal 4 5 2 7 3" xfId="9410" xr:uid="{00000000-0005-0000-0000-00007A680000}"/>
    <cellStyle name="Normal 4 5 2 7 3 2" xfId="32901" xr:uid="{00000000-0005-0000-0000-00007B680000}"/>
    <cellStyle name="Normal 4 5 2 7 4" xfId="32898" xr:uid="{00000000-0005-0000-0000-00007C680000}"/>
    <cellStyle name="Normal 4 5 2 8" xfId="9411" xr:uid="{00000000-0005-0000-0000-00007D680000}"/>
    <cellStyle name="Normal 4 5 2 8 2" xfId="9412" xr:uid="{00000000-0005-0000-0000-00007E680000}"/>
    <cellStyle name="Normal 4 5 2 8 2 2" xfId="32903" xr:uid="{00000000-0005-0000-0000-00007F680000}"/>
    <cellStyle name="Normal 4 5 2 8 3" xfId="32902" xr:uid="{00000000-0005-0000-0000-000080680000}"/>
    <cellStyle name="Normal 4 5 2 9" xfId="9413" xr:uid="{00000000-0005-0000-0000-000081680000}"/>
    <cellStyle name="Normal 4 5 2 9 2" xfId="32904" xr:uid="{00000000-0005-0000-0000-000082680000}"/>
    <cellStyle name="Normal 4 5 3" xfId="9414" xr:uid="{00000000-0005-0000-0000-000083680000}"/>
    <cellStyle name="Normal 4 5 3 2" xfId="9415" xr:uid="{00000000-0005-0000-0000-000084680000}"/>
    <cellStyle name="Normal 4 5 3 2 2" xfId="9416" xr:uid="{00000000-0005-0000-0000-000085680000}"/>
    <cellStyle name="Normal 4 5 3 2 2 2" xfId="9417" xr:uid="{00000000-0005-0000-0000-000086680000}"/>
    <cellStyle name="Normal 4 5 3 2 2 2 2" xfId="9418" xr:uid="{00000000-0005-0000-0000-000087680000}"/>
    <cellStyle name="Normal 4 5 3 2 2 2 2 2" xfId="9419" xr:uid="{00000000-0005-0000-0000-000088680000}"/>
    <cellStyle name="Normal 4 5 3 2 2 2 2 2 2" xfId="32910" xr:uid="{00000000-0005-0000-0000-000089680000}"/>
    <cellStyle name="Normal 4 5 3 2 2 2 2 3" xfId="32909" xr:uid="{00000000-0005-0000-0000-00008A680000}"/>
    <cellStyle name="Normal 4 5 3 2 2 2 3" xfId="9420" xr:uid="{00000000-0005-0000-0000-00008B680000}"/>
    <cellStyle name="Normal 4 5 3 2 2 2 3 2" xfId="32911" xr:uid="{00000000-0005-0000-0000-00008C680000}"/>
    <cellStyle name="Normal 4 5 3 2 2 2 4" xfId="32908" xr:uid="{00000000-0005-0000-0000-00008D680000}"/>
    <cellStyle name="Normal 4 5 3 2 2 3" xfId="9421" xr:uid="{00000000-0005-0000-0000-00008E680000}"/>
    <cellStyle name="Normal 4 5 3 2 2 3 2" xfId="9422" xr:uid="{00000000-0005-0000-0000-00008F680000}"/>
    <cellStyle name="Normal 4 5 3 2 2 3 2 2" xfId="32913" xr:uid="{00000000-0005-0000-0000-000090680000}"/>
    <cellStyle name="Normal 4 5 3 2 2 3 3" xfId="32912" xr:uid="{00000000-0005-0000-0000-000091680000}"/>
    <cellStyle name="Normal 4 5 3 2 2 4" xfId="9423" xr:uid="{00000000-0005-0000-0000-000092680000}"/>
    <cellStyle name="Normal 4 5 3 2 2 4 2" xfId="32914" xr:uid="{00000000-0005-0000-0000-000093680000}"/>
    <cellStyle name="Normal 4 5 3 2 2 5" xfId="32907" xr:uid="{00000000-0005-0000-0000-000094680000}"/>
    <cellStyle name="Normal 4 5 3 2 3" xfId="9424" xr:uid="{00000000-0005-0000-0000-000095680000}"/>
    <cellStyle name="Normal 4 5 3 2 3 2" xfId="9425" xr:uid="{00000000-0005-0000-0000-000096680000}"/>
    <cellStyle name="Normal 4 5 3 2 3 2 2" xfId="9426" xr:uid="{00000000-0005-0000-0000-000097680000}"/>
    <cellStyle name="Normal 4 5 3 2 3 2 2 2" xfId="9427" xr:uid="{00000000-0005-0000-0000-000098680000}"/>
    <cellStyle name="Normal 4 5 3 2 3 2 2 2 2" xfId="32918" xr:uid="{00000000-0005-0000-0000-000099680000}"/>
    <cellStyle name="Normal 4 5 3 2 3 2 2 3" xfId="32917" xr:uid="{00000000-0005-0000-0000-00009A680000}"/>
    <cellStyle name="Normal 4 5 3 2 3 2 3" xfId="9428" xr:uid="{00000000-0005-0000-0000-00009B680000}"/>
    <cellStyle name="Normal 4 5 3 2 3 2 3 2" xfId="32919" xr:uid="{00000000-0005-0000-0000-00009C680000}"/>
    <cellStyle name="Normal 4 5 3 2 3 2 4" xfId="32916" xr:uid="{00000000-0005-0000-0000-00009D680000}"/>
    <cellStyle name="Normal 4 5 3 2 3 3" xfId="9429" xr:uid="{00000000-0005-0000-0000-00009E680000}"/>
    <cellStyle name="Normal 4 5 3 2 3 3 2" xfId="9430" xr:uid="{00000000-0005-0000-0000-00009F680000}"/>
    <cellStyle name="Normal 4 5 3 2 3 3 2 2" xfId="32921" xr:uid="{00000000-0005-0000-0000-0000A0680000}"/>
    <cellStyle name="Normal 4 5 3 2 3 3 3" xfId="32920" xr:uid="{00000000-0005-0000-0000-0000A1680000}"/>
    <cellStyle name="Normal 4 5 3 2 3 4" xfId="9431" xr:uid="{00000000-0005-0000-0000-0000A2680000}"/>
    <cellStyle name="Normal 4 5 3 2 3 4 2" xfId="32922" xr:uid="{00000000-0005-0000-0000-0000A3680000}"/>
    <cellStyle name="Normal 4 5 3 2 3 5" xfId="32915" xr:uid="{00000000-0005-0000-0000-0000A4680000}"/>
    <cellStyle name="Normal 4 5 3 2 4" xfId="9432" xr:uid="{00000000-0005-0000-0000-0000A5680000}"/>
    <cellStyle name="Normal 4 5 3 2 4 2" xfId="9433" xr:uid="{00000000-0005-0000-0000-0000A6680000}"/>
    <cellStyle name="Normal 4 5 3 2 4 2 2" xfId="9434" xr:uid="{00000000-0005-0000-0000-0000A7680000}"/>
    <cellStyle name="Normal 4 5 3 2 4 2 2 2" xfId="32925" xr:uid="{00000000-0005-0000-0000-0000A8680000}"/>
    <cellStyle name="Normal 4 5 3 2 4 2 3" xfId="32924" xr:uid="{00000000-0005-0000-0000-0000A9680000}"/>
    <cellStyle name="Normal 4 5 3 2 4 3" xfId="9435" xr:uid="{00000000-0005-0000-0000-0000AA680000}"/>
    <cellStyle name="Normal 4 5 3 2 4 3 2" xfId="32926" xr:uid="{00000000-0005-0000-0000-0000AB680000}"/>
    <cellStyle name="Normal 4 5 3 2 4 4" xfId="32923" xr:uid="{00000000-0005-0000-0000-0000AC680000}"/>
    <cellStyle name="Normal 4 5 3 2 5" xfId="9436" xr:uid="{00000000-0005-0000-0000-0000AD680000}"/>
    <cellStyle name="Normal 4 5 3 2 5 2" xfId="9437" xr:uid="{00000000-0005-0000-0000-0000AE680000}"/>
    <cellStyle name="Normal 4 5 3 2 5 2 2" xfId="32928" xr:uid="{00000000-0005-0000-0000-0000AF680000}"/>
    <cellStyle name="Normal 4 5 3 2 5 3" xfId="32927" xr:uid="{00000000-0005-0000-0000-0000B0680000}"/>
    <cellStyle name="Normal 4 5 3 2 6" xfId="9438" xr:uid="{00000000-0005-0000-0000-0000B1680000}"/>
    <cellStyle name="Normal 4 5 3 2 6 2" xfId="32929" xr:uid="{00000000-0005-0000-0000-0000B2680000}"/>
    <cellStyle name="Normal 4 5 3 2 7" xfId="32906" xr:uid="{00000000-0005-0000-0000-0000B3680000}"/>
    <cellStyle name="Normal 4 5 3 3" xfId="9439" xr:uid="{00000000-0005-0000-0000-0000B4680000}"/>
    <cellStyle name="Normal 4 5 3 3 2" xfId="9440" xr:uid="{00000000-0005-0000-0000-0000B5680000}"/>
    <cellStyle name="Normal 4 5 3 3 2 2" xfId="9441" xr:uid="{00000000-0005-0000-0000-0000B6680000}"/>
    <cellStyle name="Normal 4 5 3 3 2 2 2" xfId="9442" xr:uid="{00000000-0005-0000-0000-0000B7680000}"/>
    <cellStyle name="Normal 4 5 3 3 2 2 2 2" xfId="9443" xr:uid="{00000000-0005-0000-0000-0000B8680000}"/>
    <cellStyle name="Normal 4 5 3 3 2 2 2 2 2" xfId="32934" xr:uid="{00000000-0005-0000-0000-0000B9680000}"/>
    <cellStyle name="Normal 4 5 3 3 2 2 2 3" xfId="32933" xr:uid="{00000000-0005-0000-0000-0000BA680000}"/>
    <cellStyle name="Normal 4 5 3 3 2 2 3" xfId="9444" xr:uid="{00000000-0005-0000-0000-0000BB680000}"/>
    <cellStyle name="Normal 4 5 3 3 2 2 3 2" xfId="32935" xr:uid="{00000000-0005-0000-0000-0000BC680000}"/>
    <cellStyle name="Normal 4 5 3 3 2 2 4" xfId="32932" xr:uid="{00000000-0005-0000-0000-0000BD680000}"/>
    <cellStyle name="Normal 4 5 3 3 2 3" xfId="9445" xr:uid="{00000000-0005-0000-0000-0000BE680000}"/>
    <cellStyle name="Normal 4 5 3 3 2 3 2" xfId="9446" xr:uid="{00000000-0005-0000-0000-0000BF680000}"/>
    <cellStyle name="Normal 4 5 3 3 2 3 2 2" xfId="32937" xr:uid="{00000000-0005-0000-0000-0000C0680000}"/>
    <cellStyle name="Normal 4 5 3 3 2 3 3" xfId="32936" xr:uid="{00000000-0005-0000-0000-0000C1680000}"/>
    <cellStyle name="Normal 4 5 3 3 2 4" xfId="9447" xr:uid="{00000000-0005-0000-0000-0000C2680000}"/>
    <cellStyle name="Normal 4 5 3 3 2 4 2" xfId="32938" xr:uid="{00000000-0005-0000-0000-0000C3680000}"/>
    <cellStyle name="Normal 4 5 3 3 2 5" xfId="32931" xr:uid="{00000000-0005-0000-0000-0000C4680000}"/>
    <cellStyle name="Normal 4 5 3 3 3" xfId="9448" xr:uid="{00000000-0005-0000-0000-0000C5680000}"/>
    <cellStyle name="Normal 4 5 3 3 3 2" xfId="9449" xr:uid="{00000000-0005-0000-0000-0000C6680000}"/>
    <cellStyle name="Normal 4 5 3 3 3 2 2" xfId="9450" xr:uid="{00000000-0005-0000-0000-0000C7680000}"/>
    <cellStyle name="Normal 4 5 3 3 3 2 2 2" xfId="9451" xr:uid="{00000000-0005-0000-0000-0000C8680000}"/>
    <cellStyle name="Normal 4 5 3 3 3 2 2 2 2" xfId="32942" xr:uid="{00000000-0005-0000-0000-0000C9680000}"/>
    <cellStyle name="Normal 4 5 3 3 3 2 2 3" xfId="32941" xr:uid="{00000000-0005-0000-0000-0000CA680000}"/>
    <cellStyle name="Normal 4 5 3 3 3 2 3" xfId="9452" xr:uid="{00000000-0005-0000-0000-0000CB680000}"/>
    <cellStyle name="Normal 4 5 3 3 3 2 3 2" xfId="32943" xr:uid="{00000000-0005-0000-0000-0000CC680000}"/>
    <cellStyle name="Normal 4 5 3 3 3 2 4" xfId="32940" xr:uid="{00000000-0005-0000-0000-0000CD680000}"/>
    <cellStyle name="Normal 4 5 3 3 3 3" xfId="9453" xr:uid="{00000000-0005-0000-0000-0000CE680000}"/>
    <cellStyle name="Normal 4 5 3 3 3 3 2" xfId="9454" xr:uid="{00000000-0005-0000-0000-0000CF680000}"/>
    <cellStyle name="Normal 4 5 3 3 3 3 2 2" xfId="32945" xr:uid="{00000000-0005-0000-0000-0000D0680000}"/>
    <cellStyle name="Normal 4 5 3 3 3 3 3" xfId="32944" xr:uid="{00000000-0005-0000-0000-0000D1680000}"/>
    <cellStyle name="Normal 4 5 3 3 3 4" xfId="9455" xr:uid="{00000000-0005-0000-0000-0000D2680000}"/>
    <cellStyle name="Normal 4 5 3 3 3 4 2" xfId="32946" xr:uid="{00000000-0005-0000-0000-0000D3680000}"/>
    <cellStyle name="Normal 4 5 3 3 3 5" xfId="32939" xr:uid="{00000000-0005-0000-0000-0000D4680000}"/>
    <cellStyle name="Normal 4 5 3 3 4" xfId="9456" xr:uid="{00000000-0005-0000-0000-0000D5680000}"/>
    <cellStyle name="Normal 4 5 3 3 4 2" xfId="9457" xr:uid="{00000000-0005-0000-0000-0000D6680000}"/>
    <cellStyle name="Normal 4 5 3 3 4 2 2" xfId="9458" xr:uid="{00000000-0005-0000-0000-0000D7680000}"/>
    <cellStyle name="Normal 4 5 3 3 4 2 2 2" xfId="32949" xr:uid="{00000000-0005-0000-0000-0000D8680000}"/>
    <cellStyle name="Normal 4 5 3 3 4 2 3" xfId="32948" xr:uid="{00000000-0005-0000-0000-0000D9680000}"/>
    <cellStyle name="Normal 4 5 3 3 4 3" xfId="9459" xr:uid="{00000000-0005-0000-0000-0000DA680000}"/>
    <cellStyle name="Normal 4 5 3 3 4 3 2" xfId="32950" xr:uid="{00000000-0005-0000-0000-0000DB680000}"/>
    <cellStyle name="Normal 4 5 3 3 4 4" xfId="32947" xr:uid="{00000000-0005-0000-0000-0000DC680000}"/>
    <cellStyle name="Normal 4 5 3 3 5" xfId="9460" xr:uid="{00000000-0005-0000-0000-0000DD680000}"/>
    <cellStyle name="Normal 4 5 3 3 5 2" xfId="9461" xr:uid="{00000000-0005-0000-0000-0000DE680000}"/>
    <cellStyle name="Normal 4 5 3 3 5 2 2" xfId="32952" xr:uid="{00000000-0005-0000-0000-0000DF680000}"/>
    <cellStyle name="Normal 4 5 3 3 5 3" xfId="32951" xr:uid="{00000000-0005-0000-0000-0000E0680000}"/>
    <cellStyle name="Normal 4 5 3 3 6" xfId="9462" xr:uid="{00000000-0005-0000-0000-0000E1680000}"/>
    <cellStyle name="Normal 4 5 3 3 6 2" xfId="32953" xr:uid="{00000000-0005-0000-0000-0000E2680000}"/>
    <cellStyle name="Normal 4 5 3 3 7" xfId="32930" xr:uid="{00000000-0005-0000-0000-0000E3680000}"/>
    <cellStyle name="Normal 4 5 3 4" xfId="9463" xr:uid="{00000000-0005-0000-0000-0000E4680000}"/>
    <cellStyle name="Normal 4 5 3 4 2" xfId="9464" xr:uid="{00000000-0005-0000-0000-0000E5680000}"/>
    <cellStyle name="Normal 4 5 3 4 2 2" xfId="9465" xr:uid="{00000000-0005-0000-0000-0000E6680000}"/>
    <cellStyle name="Normal 4 5 3 4 2 2 2" xfId="9466" xr:uid="{00000000-0005-0000-0000-0000E7680000}"/>
    <cellStyle name="Normal 4 5 3 4 2 2 2 2" xfId="32957" xr:uid="{00000000-0005-0000-0000-0000E8680000}"/>
    <cellStyle name="Normal 4 5 3 4 2 2 3" xfId="32956" xr:uid="{00000000-0005-0000-0000-0000E9680000}"/>
    <cellStyle name="Normal 4 5 3 4 2 3" xfId="9467" xr:uid="{00000000-0005-0000-0000-0000EA680000}"/>
    <cellStyle name="Normal 4 5 3 4 2 3 2" xfId="32958" xr:uid="{00000000-0005-0000-0000-0000EB680000}"/>
    <cellStyle name="Normal 4 5 3 4 2 4" xfId="32955" xr:uid="{00000000-0005-0000-0000-0000EC680000}"/>
    <cellStyle name="Normal 4 5 3 4 3" xfId="9468" xr:uid="{00000000-0005-0000-0000-0000ED680000}"/>
    <cellStyle name="Normal 4 5 3 4 3 2" xfId="9469" xr:uid="{00000000-0005-0000-0000-0000EE680000}"/>
    <cellStyle name="Normal 4 5 3 4 3 2 2" xfId="32960" xr:uid="{00000000-0005-0000-0000-0000EF680000}"/>
    <cellStyle name="Normal 4 5 3 4 3 3" xfId="32959" xr:uid="{00000000-0005-0000-0000-0000F0680000}"/>
    <cellStyle name="Normal 4 5 3 4 4" xfId="9470" xr:uid="{00000000-0005-0000-0000-0000F1680000}"/>
    <cellStyle name="Normal 4 5 3 4 4 2" xfId="32961" xr:uid="{00000000-0005-0000-0000-0000F2680000}"/>
    <cellStyle name="Normal 4 5 3 4 5" xfId="32954" xr:uid="{00000000-0005-0000-0000-0000F3680000}"/>
    <cellStyle name="Normal 4 5 3 5" xfId="9471" xr:uid="{00000000-0005-0000-0000-0000F4680000}"/>
    <cellStyle name="Normal 4 5 3 5 2" xfId="9472" xr:uid="{00000000-0005-0000-0000-0000F5680000}"/>
    <cellStyle name="Normal 4 5 3 5 2 2" xfId="9473" xr:uid="{00000000-0005-0000-0000-0000F6680000}"/>
    <cellStyle name="Normal 4 5 3 5 2 2 2" xfId="9474" xr:uid="{00000000-0005-0000-0000-0000F7680000}"/>
    <cellStyle name="Normal 4 5 3 5 2 2 2 2" xfId="32965" xr:uid="{00000000-0005-0000-0000-0000F8680000}"/>
    <cellStyle name="Normal 4 5 3 5 2 2 3" xfId="32964" xr:uid="{00000000-0005-0000-0000-0000F9680000}"/>
    <cellStyle name="Normal 4 5 3 5 2 3" xfId="9475" xr:uid="{00000000-0005-0000-0000-0000FA680000}"/>
    <cellStyle name="Normal 4 5 3 5 2 3 2" xfId="32966" xr:uid="{00000000-0005-0000-0000-0000FB680000}"/>
    <cellStyle name="Normal 4 5 3 5 2 4" xfId="32963" xr:uid="{00000000-0005-0000-0000-0000FC680000}"/>
    <cellStyle name="Normal 4 5 3 5 3" xfId="9476" xr:uid="{00000000-0005-0000-0000-0000FD680000}"/>
    <cellStyle name="Normal 4 5 3 5 3 2" xfId="9477" xr:uid="{00000000-0005-0000-0000-0000FE680000}"/>
    <cellStyle name="Normal 4 5 3 5 3 2 2" xfId="32968" xr:uid="{00000000-0005-0000-0000-0000FF680000}"/>
    <cellStyle name="Normal 4 5 3 5 3 3" xfId="32967" xr:uid="{00000000-0005-0000-0000-000000690000}"/>
    <cellStyle name="Normal 4 5 3 5 4" xfId="9478" xr:uid="{00000000-0005-0000-0000-000001690000}"/>
    <cellStyle name="Normal 4 5 3 5 4 2" xfId="32969" xr:uid="{00000000-0005-0000-0000-000002690000}"/>
    <cellStyle name="Normal 4 5 3 5 5" xfId="32962" xr:uid="{00000000-0005-0000-0000-000003690000}"/>
    <cellStyle name="Normal 4 5 3 6" xfId="9479" xr:uid="{00000000-0005-0000-0000-000004690000}"/>
    <cellStyle name="Normal 4 5 3 6 2" xfId="9480" xr:uid="{00000000-0005-0000-0000-000005690000}"/>
    <cellStyle name="Normal 4 5 3 6 2 2" xfId="9481" xr:uid="{00000000-0005-0000-0000-000006690000}"/>
    <cellStyle name="Normal 4 5 3 6 2 2 2" xfId="32972" xr:uid="{00000000-0005-0000-0000-000007690000}"/>
    <cellStyle name="Normal 4 5 3 6 2 3" xfId="32971" xr:uid="{00000000-0005-0000-0000-000008690000}"/>
    <cellStyle name="Normal 4 5 3 6 3" xfId="9482" xr:uid="{00000000-0005-0000-0000-000009690000}"/>
    <cellStyle name="Normal 4 5 3 6 3 2" xfId="32973" xr:uid="{00000000-0005-0000-0000-00000A690000}"/>
    <cellStyle name="Normal 4 5 3 6 4" xfId="32970" xr:uid="{00000000-0005-0000-0000-00000B690000}"/>
    <cellStyle name="Normal 4 5 3 7" xfId="9483" xr:uid="{00000000-0005-0000-0000-00000C690000}"/>
    <cellStyle name="Normal 4 5 3 7 2" xfId="9484" xr:uid="{00000000-0005-0000-0000-00000D690000}"/>
    <cellStyle name="Normal 4 5 3 7 2 2" xfId="32975" xr:uid="{00000000-0005-0000-0000-00000E690000}"/>
    <cellStyle name="Normal 4 5 3 7 3" xfId="32974" xr:uid="{00000000-0005-0000-0000-00000F690000}"/>
    <cellStyle name="Normal 4 5 3 8" xfId="9485" xr:uid="{00000000-0005-0000-0000-000010690000}"/>
    <cellStyle name="Normal 4 5 3 8 2" xfId="32976" xr:uid="{00000000-0005-0000-0000-000011690000}"/>
    <cellStyle name="Normal 4 5 3 9" xfId="32905" xr:uid="{00000000-0005-0000-0000-000012690000}"/>
    <cellStyle name="Normal 4 5 4" xfId="9486" xr:uid="{00000000-0005-0000-0000-000013690000}"/>
    <cellStyle name="Normal 4 5 4 2" xfId="9487" xr:uid="{00000000-0005-0000-0000-000014690000}"/>
    <cellStyle name="Normal 4 5 4 2 2" xfId="9488" xr:uid="{00000000-0005-0000-0000-000015690000}"/>
    <cellStyle name="Normal 4 5 4 2 2 2" xfId="9489" xr:uid="{00000000-0005-0000-0000-000016690000}"/>
    <cellStyle name="Normal 4 5 4 2 2 2 2" xfId="9490" xr:uid="{00000000-0005-0000-0000-000017690000}"/>
    <cellStyle name="Normal 4 5 4 2 2 2 2 2" xfId="32981" xr:uid="{00000000-0005-0000-0000-000018690000}"/>
    <cellStyle name="Normal 4 5 4 2 2 2 3" xfId="32980" xr:uid="{00000000-0005-0000-0000-000019690000}"/>
    <cellStyle name="Normal 4 5 4 2 2 3" xfId="9491" xr:uid="{00000000-0005-0000-0000-00001A690000}"/>
    <cellStyle name="Normal 4 5 4 2 2 3 2" xfId="32982" xr:uid="{00000000-0005-0000-0000-00001B690000}"/>
    <cellStyle name="Normal 4 5 4 2 2 4" xfId="32979" xr:uid="{00000000-0005-0000-0000-00001C690000}"/>
    <cellStyle name="Normal 4 5 4 2 3" xfId="9492" xr:uid="{00000000-0005-0000-0000-00001D690000}"/>
    <cellStyle name="Normal 4 5 4 2 3 2" xfId="9493" xr:uid="{00000000-0005-0000-0000-00001E690000}"/>
    <cellStyle name="Normal 4 5 4 2 3 2 2" xfId="32984" xr:uid="{00000000-0005-0000-0000-00001F690000}"/>
    <cellStyle name="Normal 4 5 4 2 3 3" xfId="32983" xr:uid="{00000000-0005-0000-0000-000020690000}"/>
    <cellStyle name="Normal 4 5 4 2 4" xfId="9494" xr:uid="{00000000-0005-0000-0000-000021690000}"/>
    <cellStyle name="Normal 4 5 4 2 4 2" xfId="32985" xr:uid="{00000000-0005-0000-0000-000022690000}"/>
    <cellStyle name="Normal 4 5 4 2 5" xfId="32978" xr:uid="{00000000-0005-0000-0000-000023690000}"/>
    <cellStyle name="Normal 4 5 4 3" xfId="9495" xr:uid="{00000000-0005-0000-0000-000024690000}"/>
    <cellStyle name="Normal 4 5 4 3 2" xfId="9496" xr:uid="{00000000-0005-0000-0000-000025690000}"/>
    <cellStyle name="Normal 4 5 4 3 2 2" xfId="9497" xr:uid="{00000000-0005-0000-0000-000026690000}"/>
    <cellStyle name="Normal 4 5 4 3 2 2 2" xfId="9498" xr:uid="{00000000-0005-0000-0000-000027690000}"/>
    <cellStyle name="Normal 4 5 4 3 2 2 2 2" xfId="32989" xr:uid="{00000000-0005-0000-0000-000028690000}"/>
    <cellStyle name="Normal 4 5 4 3 2 2 3" xfId="32988" xr:uid="{00000000-0005-0000-0000-000029690000}"/>
    <cellStyle name="Normal 4 5 4 3 2 3" xfId="9499" xr:uid="{00000000-0005-0000-0000-00002A690000}"/>
    <cellStyle name="Normal 4 5 4 3 2 3 2" xfId="32990" xr:uid="{00000000-0005-0000-0000-00002B690000}"/>
    <cellStyle name="Normal 4 5 4 3 2 4" xfId="32987" xr:uid="{00000000-0005-0000-0000-00002C690000}"/>
    <cellStyle name="Normal 4 5 4 3 3" xfId="9500" xr:uid="{00000000-0005-0000-0000-00002D690000}"/>
    <cellStyle name="Normal 4 5 4 3 3 2" xfId="9501" xr:uid="{00000000-0005-0000-0000-00002E690000}"/>
    <cellStyle name="Normal 4 5 4 3 3 2 2" xfId="32992" xr:uid="{00000000-0005-0000-0000-00002F690000}"/>
    <cellStyle name="Normal 4 5 4 3 3 3" xfId="32991" xr:uid="{00000000-0005-0000-0000-000030690000}"/>
    <cellStyle name="Normal 4 5 4 3 4" xfId="9502" xr:uid="{00000000-0005-0000-0000-000031690000}"/>
    <cellStyle name="Normal 4 5 4 3 4 2" xfId="32993" xr:uid="{00000000-0005-0000-0000-000032690000}"/>
    <cellStyle name="Normal 4 5 4 3 5" xfId="32986" xr:uid="{00000000-0005-0000-0000-000033690000}"/>
    <cellStyle name="Normal 4 5 4 4" xfId="9503" xr:uid="{00000000-0005-0000-0000-000034690000}"/>
    <cellStyle name="Normal 4 5 4 4 2" xfId="9504" xr:uid="{00000000-0005-0000-0000-000035690000}"/>
    <cellStyle name="Normal 4 5 4 4 2 2" xfId="9505" xr:uid="{00000000-0005-0000-0000-000036690000}"/>
    <cellStyle name="Normal 4 5 4 4 2 2 2" xfId="32996" xr:uid="{00000000-0005-0000-0000-000037690000}"/>
    <cellStyle name="Normal 4 5 4 4 2 3" xfId="32995" xr:uid="{00000000-0005-0000-0000-000038690000}"/>
    <cellStyle name="Normal 4 5 4 4 3" xfId="9506" xr:uid="{00000000-0005-0000-0000-000039690000}"/>
    <cellStyle name="Normal 4 5 4 4 3 2" xfId="32997" xr:uid="{00000000-0005-0000-0000-00003A690000}"/>
    <cellStyle name="Normal 4 5 4 4 4" xfId="32994" xr:uid="{00000000-0005-0000-0000-00003B690000}"/>
    <cellStyle name="Normal 4 5 4 5" xfId="9507" xr:uid="{00000000-0005-0000-0000-00003C690000}"/>
    <cellStyle name="Normal 4 5 4 5 2" xfId="9508" xr:uid="{00000000-0005-0000-0000-00003D690000}"/>
    <cellStyle name="Normal 4 5 4 5 2 2" xfId="32999" xr:uid="{00000000-0005-0000-0000-00003E690000}"/>
    <cellStyle name="Normal 4 5 4 5 3" xfId="32998" xr:uid="{00000000-0005-0000-0000-00003F690000}"/>
    <cellStyle name="Normal 4 5 4 6" xfId="9509" xr:uid="{00000000-0005-0000-0000-000040690000}"/>
    <cellStyle name="Normal 4 5 4 6 2" xfId="33000" xr:uid="{00000000-0005-0000-0000-000041690000}"/>
    <cellStyle name="Normal 4 5 4 7" xfId="32977" xr:uid="{00000000-0005-0000-0000-000042690000}"/>
    <cellStyle name="Normal 4 5 5" xfId="9510" xr:uid="{00000000-0005-0000-0000-000043690000}"/>
    <cellStyle name="Normal 4 5 5 2" xfId="9511" xr:uid="{00000000-0005-0000-0000-000044690000}"/>
    <cellStyle name="Normal 4 5 5 2 2" xfId="9512" xr:uid="{00000000-0005-0000-0000-000045690000}"/>
    <cellStyle name="Normal 4 5 5 2 2 2" xfId="9513" xr:uid="{00000000-0005-0000-0000-000046690000}"/>
    <cellStyle name="Normal 4 5 5 2 2 2 2" xfId="9514" xr:uid="{00000000-0005-0000-0000-000047690000}"/>
    <cellStyle name="Normal 4 5 5 2 2 2 2 2" xfId="33005" xr:uid="{00000000-0005-0000-0000-000048690000}"/>
    <cellStyle name="Normal 4 5 5 2 2 2 3" xfId="33004" xr:uid="{00000000-0005-0000-0000-000049690000}"/>
    <cellStyle name="Normal 4 5 5 2 2 3" xfId="9515" xr:uid="{00000000-0005-0000-0000-00004A690000}"/>
    <cellStyle name="Normal 4 5 5 2 2 3 2" xfId="33006" xr:uid="{00000000-0005-0000-0000-00004B690000}"/>
    <cellStyle name="Normal 4 5 5 2 2 4" xfId="33003" xr:uid="{00000000-0005-0000-0000-00004C690000}"/>
    <cellStyle name="Normal 4 5 5 2 3" xfId="9516" xr:uid="{00000000-0005-0000-0000-00004D690000}"/>
    <cellStyle name="Normal 4 5 5 2 3 2" xfId="9517" xr:uid="{00000000-0005-0000-0000-00004E690000}"/>
    <cellStyle name="Normal 4 5 5 2 3 2 2" xfId="33008" xr:uid="{00000000-0005-0000-0000-00004F690000}"/>
    <cellStyle name="Normal 4 5 5 2 3 3" xfId="33007" xr:uid="{00000000-0005-0000-0000-000050690000}"/>
    <cellStyle name="Normal 4 5 5 2 4" xfId="9518" xr:uid="{00000000-0005-0000-0000-000051690000}"/>
    <cellStyle name="Normal 4 5 5 2 4 2" xfId="33009" xr:uid="{00000000-0005-0000-0000-000052690000}"/>
    <cellStyle name="Normal 4 5 5 2 5" xfId="33002" xr:uid="{00000000-0005-0000-0000-000053690000}"/>
    <cellStyle name="Normal 4 5 5 3" xfId="9519" xr:uid="{00000000-0005-0000-0000-000054690000}"/>
    <cellStyle name="Normal 4 5 5 3 2" xfId="9520" xr:uid="{00000000-0005-0000-0000-000055690000}"/>
    <cellStyle name="Normal 4 5 5 3 2 2" xfId="9521" xr:uid="{00000000-0005-0000-0000-000056690000}"/>
    <cellStyle name="Normal 4 5 5 3 2 2 2" xfId="9522" xr:uid="{00000000-0005-0000-0000-000057690000}"/>
    <cellStyle name="Normal 4 5 5 3 2 2 2 2" xfId="33013" xr:uid="{00000000-0005-0000-0000-000058690000}"/>
    <cellStyle name="Normal 4 5 5 3 2 2 3" xfId="33012" xr:uid="{00000000-0005-0000-0000-000059690000}"/>
    <cellStyle name="Normal 4 5 5 3 2 3" xfId="9523" xr:uid="{00000000-0005-0000-0000-00005A690000}"/>
    <cellStyle name="Normal 4 5 5 3 2 3 2" xfId="33014" xr:uid="{00000000-0005-0000-0000-00005B690000}"/>
    <cellStyle name="Normal 4 5 5 3 2 4" xfId="33011" xr:uid="{00000000-0005-0000-0000-00005C690000}"/>
    <cellStyle name="Normal 4 5 5 3 3" xfId="9524" xr:uid="{00000000-0005-0000-0000-00005D690000}"/>
    <cellStyle name="Normal 4 5 5 3 3 2" xfId="9525" xr:uid="{00000000-0005-0000-0000-00005E690000}"/>
    <cellStyle name="Normal 4 5 5 3 3 2 2" xfId="33016" xr:uid="{00000000-0005-0000-0000-00005F690000}"/>
    <cellStyle name="Normal 4 5 5 3 3 3" xfId="33015" xr:uid="{00000000-0005-0000-0000-000060690000}"/>
    <cellStyle name="Normal 4 5 5 3 4" xfId="9526" xr:uid="{00000000-0005-0000-0000-000061690000}"/>
    <cellStyle name="Normal 4 5 5 3 4 2" xfId="33017" xr:uid="{00000000-0005-0000-0000-000062690000}"/>
    <cellStyle name="Normal 4 5 5 3 5" xfId="33010" xr:uid="{00000000-0005-0000-0000-000063690000}"/>
    <cellStyle name="Normal 4 5 5 4" xfId="9527" xr:uid="{00000000-0005-0000-0000-000064690000}"/>
    <cellStyle name="Normal 4 5 5 4 2" xfId="9528" xr:uid="{00000000-0005-0000-0000-000065690000}"/>
    <cellStyle name="Normal 4 5 5 4 2 2" xfId="9529" xr:uid="{00000000-0005-0000-0000-000066690000}"/>
    <cellStyle name="Normal 4 5 5 4 2 2 2" xfId="33020" xr:uid="{00000000-0005-0000-0000-000067690000}"/>
    <cellStyle name="Normal 4 5 5 4 2 3" xfId="33019" xr:uid="{00000000-0005-0000-0000-000068690000}"/>
    <cellStyle name="Normal 4 5 5 4 3" xfId="9530" xr:uid="{00000000-0005-0000-0000-000069690000}"/>
    <cellStyle name="Normal 4 5 5 4 3 2" xfId="33021" xr:uid="{00000000-0005-0000-0000-00006A690000}"/>
    <cellStyle name="Normal 4 5 5 4 4" xfId="33018" xr:uid="{00000000-0005-0000-0000-00006B690000}"/>
    <cellStyle name="Normal 4 5 5 5" xfId="9531" xr:uid="{00000000-0005-0000-0000-00006C690000}"/>
    <cellStyle name="Normal 4 5 5 5 2" xfId="9532" xr:uid="{00000000-0005-0000-0000-00006D690000}"/>
    <cellStyle name="Normal 4 5 5 5 2 2" xfId="33023" xr:uid="{00000000-0005-0000-0000-00006E690000}"/>
    <cellStyle name="Normal 4 5 5 5 3" xfId="33022" xr:uid="{00000000-0005-0000-0000-00006F690000}"/>
    <cellStyle name="Normal 4 5 5 6" xfId="9533" xr:uid="{00000000-0005-0000-0000-000070690000}"/>
    <cellStyle name="Normal 4 5 5 6 2" xfId="33024" xr:uid="{00000000-0005-0000-0000-000071690000}"/>
    <cellStyle name="Normal 4 5 5 7" xfId="33001" xr:uid="{00000000-0005-0000-0000-000072690000}"/>
    <cellStyle name="Normal 4 5 6" xfId="9534" xr:uid="{00000000-0005-0000-0000-000073690000}"/>
    <cellStyle name="Normal 4 5 6 2" xfId="9535" xr:uid="{00000000-0005-0000-0000-000074690000}"/>
    <cellStyle name="Normal 4 5 6 2 2" xfId="9536" xr:uid="{00000000-0005-0000-0000-000075690000}"/>
    <cellStyle name="Normal 4 5 6 2 2 2" xfId="9537" xr:uid="{00000000-0005-0000-0000-000076690000}"/>
    <cellStyle name="Normal 4 5 6 2 2 2 2" xfId="9538" xr:uid="{00000000-0005-0000-0000-000077690000}"/>
    <cellStyle name="Normal 4 5 6 2 2 2 2 2" xfId="33029" xr:uid="{00000000-0005-0000-0000-000078690000}"/>
    <cellStyle name="Normal 4 5 6 2 2 2 3" xfId="33028" xr:uid="{00000000-0005-0000-0000-000079690000}"/>
    <cellStyle name="Normal 4 5 6 2 2 3" xfId="9539" xr:uid="{00000000-0005-0000-0000-00007A690000}"/>
    <cellStyle name="Normal 4 5 6 2 2 3 2" xfId="33030" xr:uid="{00000000-0005-0000-0000-00007B690000}"/>
    <cellStyle name="Normal 4 5 6 2 2 4" xfId="33027" xr:uid="{00000000-0005-0000-0000-00007C690000}"/>
    <cellStyle name="Normal 4 5 6 2 3" xfId="9540" xr:uid="{00000000-0005-0000-0000-00007D690000}"/>
    <cellStyle name="Normal 4 5 6 2 3 2" xfId="9541" xr:uid="{00000000-0005-0000-0000-00007E690000}"/>
    <cellStyle name="Normal 4 5 6 2 3 2 2" xfId="33032" xr:uid="{00000000-0005-0000-0000-00007F690000}"/>
    <cellStyle name="Normal 4 5 6 2 3 3" xfId="33031" xr:uid="{00000000-0005-0000-0000-000080690000}"/>
    <cellStyle name="Normal 4 5 6 2 4" xfId="9542" xr:uid="{00000000-0005-0000-0000-000081690000}"/>
    <cellStyle name="Normal 4 5 6 2 4 2" xfId="33033" xr:uid="{00000000-0005-0000-0000-000082690000}"/>
    <cellStyle name="Normal 4 5 6 2 5" xfId="33026" xr:uid="{00000000-0005-0000-0000-000083690000}"/>
    <cellStyle name="Normal 4 5 6 3" xfId="9543" xr:uid="{00000000-0005-0000-0000-000084690000}"/>
    <cellStyle name="Normal 4 5 6 3 2" xfId="9544" xr:uid="{00000000-0005-0000-0000-000085690000}"/>
    <cellStyle name="Normal 4 5 6 3 2 2" xfId="9545" xr:uid="{00000000-0005-0000-0000-000086690000}"/>
    <cellStyle name="Normal 4 5 6 3 2 2 2" xfId="9546" xr:uid="{00000000-0005-0000-0000-000087690000}"/>
    <cellStyle name="Normal 4 5 6 3 2 2 2 2" xfId="33037" xr:uid="{00000000-0005-0000-0000-000088690000}"/>
    <cellStyle name="Normal 4 5 6 3 2 2 3" xfId="33036" xr:uid="{00000000-0005-0000-0000-000089690000}"/>
    <cellStyle name="Normal 4 5 6 3 2 3" xfId="9547" xr:uid="{00000000-0005-0000-0000-00008A690000}"/>
    <cellStyle name="Normal 4 5 6 3 2 3 2" xfId="33038" xr:uid="{00000000-0005-0000-0000-00008B690000}"/>
    <cellStyle name="Normal 4 5 6 3 2 4" xfId="33035" xr:uid="{00000000-0005-0000-0000-00008C690000}"/>
    <cellStyle name="Normal 4 5 6 3 3" xfId="9548" xr:uid="{00000000-0005-0000-0000-00008D690000}"/>
    <cellStyle name="Normal 4 5 6 3 3 2" xfId="9549" xr:uid="{00000000-0005-0000-0000-00008E690000}"/>
    <cellStyle name="Normal 4 5 6 3 3 2 2" xfId="33040" xr:uid="{00000000-0005-0000-0000-00008F690000}"/>
    <cellStyle name="Normal 4 5 6 3 3 3" xfId="33039" xr:uid="{00000000-0005-0000-0000-000090690000}"/>
    <cellStyle name="Normal 4 5 6 3 4" xfId="9550" xr:uid="{00000000-0005-0000-0000-000091690000}"/>
    <cellStyle name="Normal 4 5 6 3 4 2" xfId="33041" xr:uid="{00000000-0005-0000-0000-000092690000}"/>
    <cellStyle name="Normal 4 5 6 3 5" xfId="33034" xr:uid="{00000000-0005-0000-0000-000093690000}"/>
    <cellStyle name="Normal 4 5 6 4" xfId="9551" xr:uid="{00000000-0005-0000-0000-000094690000}"/>
    <cellStyle name="Normal 4 5 6 4 2" xfId="9552" xr:uid="{00000000-0005-0000-0000-000095690000}"/>
    <cellStyle name="Normal 4 5 6 4 2 2" xfId="9553" xr:uid="{00000000-0005-0000-0000-000096690000}"/>
    <cellStyle name="Normal 4 5 6 4 2 2 2" xfId="33044" xr:uid="{00000000-0005-0000-0000-000097690000}"/>
    <cellStyle name="Normal 4 5 6 4 2 3" xfId="33043" xr:uid="{00000000-0005-0000-0000-000098690000}"/>
    <cellStyle name="Normal 4 5 6 4 3" xfId="9554" xr:uid="{00000000-0005-0000-0000-000099690000}"/>
    <cellStyle name="Normal 4 5 6 4 3 2" xfId="33045" xr:uid="{00000000-0005-0000-0000-00009A690000}"/>
    <cellStyle name="Normal 4 5 6 4 4" xfId="33042" xr:uid="{00000000-0005-0000-0000-00009B690000}"/>
    <cellStyle name="Normal 4 5 6 5" xfId="9555" xr:uid="{00000000-0005-0000-0000-00009C690000}"/>
    <cellStyle name="Normal 4 5 6 5 2" xfId="9556" xr:uid="{00000000-0005-0000-0000-00009D690000}"/>
    <cellStyle name="Normal 4 5 6 5 2 2" xfId="33047" xr:uid="{00000000-0005-0000-0000-00009E690000}"/>
    <cellStyle name="Normal 4 5 6 5 3" xfId="33046" xr:uid="{00000000-0005-0000-0000-00009F690000}"/>
    <cellStyle name="Normal 4 5 6 6" xfId="9557" xr:uid="{00000000-0005-0000-0000-0000A0690000}"/>
    <cellStyle name="Normal 4 5 6 6 2" xfId="33048" xr:uid="{00000000-0005-0000-0000-0000A1690000}"/>
    <cellStyle name="Normal 4 5 6 7" xfId="33025" xr:uid="{00000000-0005-0000-0000-0000A2690000}"/>
    <cellStyle name="Normal 4 5 7" xfId="9558" xr:uid="{00000000-0005-0000-0000-0000A3690000}"/>
    <cellStyle name="Normal 4 5 7 2" xfId="9559" xr:uid="{00000000-0005-0000-0000-0000A4690000}"/>
    <cellStyle name="Normal 4 5 7 2 2" xfId="9560" xr:uid="{00000000-0005-0000-0000-0000A5690000}"/>
    <cellStyle name="Normal 4 5 7 2 2 2" xfId="9561" xr:uid="{00000000-0005-0000-0000-0000A6690000}"/>
    <cellStyle name="Normal 4 5 7 2 2 2 2" xfId="9562" xr:uid="{00000000-0005-0000-0000-0000A7690000}"/>
    <cellStyle name="Normal 4 5 7 2 2 2 2 2" xfId="33053" xr:uid="{00000000-0005-0000-0000-0000A8690000}"/>
    <cellStyle name="Normal 4 5 7 2 2 2 3" xfId="33052" xr:uid="{00000000-0005-0000-0000-0000A9690000}"/>
    <cellStyle name="Normal 4 5 7 2 2 3" xfId="9563" xr:uid="{00000000-0005-0000-0000-0000AA690000}"/>
    <cellStyle name="Normal 4 5 7 2 2 3 2" xfId="33054" xr:uid="{00000000-0005-0000-0000-0000AB690000}"/>
    <cellStyle name="Normal 4 5 7 2 2 4" xfId="33051" xr:uid="{00000000-0005-0000-0000-0000AC690000}"/>
    <cellStyle name="Normal 4 5 7 2 3" xfId="9564" xr:uid="{00000000-0005-0000-0000-0000AD690000}"/>
    <cellStyle name="Normal 4 5 7 2 3 2" xfId="9565" xr:uid="{00000000-0005-0000-0000-0000AE690000}"/>
    <cellStyle name="Normal 4 5 7 2 3 2 2" xfId="33056" xr:uid="{00000000-0005-0000-0000-0000AF690000}"/>
    <cellStyle name="Normal 4 5 7 2 3 3" xfId="33055" xr:uid="{00000000-0005-0000-0000-0000B0690000}"/>
    <cellStyle name="Normal 4 5 7 2 4" xfId="9566" xr:uid="{00000000-0005-0000-0000-0000B1690000}"/>
    <cellStyle name="Normal 4 5 7 2 4 2" xfId="33057" xr:uid="{00000000-0005-0000-0000-0000B2690000}"/>
    <cellStyle name="Normal 4 5 7 2 5" xfId="33050" xr:uid="{00000000-0005-0000-0000-0000B3690000}"/>
    <cellStyle name="Normal 4 5 7 3" xfId="9567" xr:uid="{00000000-0005-0000-0000-0000B4690000}"/>
    <cellStyle name="Normal 4 5 7 3 2" xfId="9568" xr:uid="{00000000-0005-0000-0000-0000B5690000}"/>
    <cellStyle name="Normal 4 5 7 3 2 2" xfId="9569" xr:uid="{00000000-0005-0000-0000-0000B6690000}"/>
    <cellStyle name="Normal 4 5 7 3 2 2 2" xfId="9570" xr:uid="{00000000-0005-0000-0000-0000B7690000}"/>
    <cellStyle name="Normal 4 5 7 3 2 2 2 2" xfId="33061" xr:uid="{00000000-0005-0000-0000-0000B8690000}"/>
    <cellStyle name="Normal 4 5 7 3 2 2 3" xfId="33060" xr:uid="{00000000-0005-0000-0000-0000B9690000}"/>
    <cellStyle name="Normal 4 5 7 3 2 3" xfId="9571" xr:uid="{00000000-0005-0000-0000-0000BA690000}"/>
    <cellStyle name="Normal 4 5 7 3 2 3 2" xfId="33062" xr:uid="{00000000-0005-0000-0000-0000BB690000}"/>
    <cellStyle name="Normal 4 5 7 3 2 4" xfId="33059" xr:uid="{00000000-0005-0000-0000-0000BC690000}"/>
    <cellStyle name="Normal 4 5 7 3 3" xfId="9572" xr:uid="{00000000-0005-0000-0000-0000BD690000}"/>
    <cellStyle name="Normal 4 5 7 3 3 2" xfId="9573" xr:uid="{00000000-0005-0000-0000-0000BE690000}"/>
    <cellStyle name="Normal 4 5 7 3 3 2 2" xfId="33064" xr:uid="{00000000-0005-0000-0000-0000BF690000}"/>
    <cellStyle name="Normal 4 5 7 3 3 3" xfId="33063" xr:uid="{00000000-0005-0000-0000-0000C0690000}"/>
    <cellStyle name="Normal 4 5 7 3 4" xfId="9574" xr:uid="{00000000-0005-0000-0000-0000C1690000}"/>
    <cellStyle name="Normal 4 5 7 3 4 2" xfId="33065" xr:uid="{00000000-0005-0000-0000-0000C2690000}"/>
    <cellStyle name="Normal 4 5 7 3 5" xfId="33058" xr:uid="{00000000-0005-0000-0000-0000C3690000}"/>
    <cellStyle name="Normal 4 5 7 4" xfId="9575" xr:uid="{00000000-0005-0000-0000-0000C4690000}"/>
    <cellStyle name="Normal 4 5 7 4 2" xfId="9576" xr:uid="{00000000-0005-0000-0000-0000C5690000}"/>
    <cellStyle name="Normal 4 5 7 4 2 2" xfId="9577" xr:uid="{00000000-0005-0000-0000-0000C6690000}"/>
    <cellStyle name="Normal 4 5 7 4 2 2 2" xfId="33068" xr:uid="{00000000-0005-0000-0000-0000C7690000}"/>
    <cellStyle name="Normal 4 5 7 4 2 3" xfId="33067" xr:uid="{00000000-0005-0000-0000-0000C8690000}"/>
    <cellStyle name="Normal 4 5 7 4 3" xfId="9578" xr:uid="{00000000-0005-0000-0000-0000C9690000}"/>
    <cellStyle name="Normal 4 5 7 4 3 2" xfId="33069" xr:uid="{00000000-0005-0000-0000-0000CA690000}"/>
    <cellStyle name="Normal 4 5 7 4 4" xfId="33066" xr:uid="{00000000-0005-0000-0000-0000CB690000}"/>
    <cellStyle name="Normal 4 5 7 5" xfId="9579" xr:uid="{00000000-0005-0000-0000-0000CC690000}"/>
    <cellStyle name="Normal 4 5 7 5 2" xfId="9580" xr:uid="{00000000-0005-0000-0000-0000CD690000}"/>
    <cellStyle name="Normal 4 5 7 5 2 2" xfId="33071" xr:uid="{00000000-0005-0000-0000-0000CE690000}"/>
    <cellStyle name="Normal 4 5 7 5 3" xfId="33070" xr:uid="{00000000-0005-0000-0000-0000CF690000}"/>
    <cellStyle name="Normal 4 5 7 6" xfId="9581" xr:uid="{00000000-0005-0000-0000-0000D0690000}"/>
    <cellStyle name="Normal 4 5 7 6 2" xfId="33072" xr:uid="{00000000-0005-0000-0000-0000D1690000}"/>
    <cellStyle name="Normal 4 5 7 7" xfId="33049" xr:uid="{00000000-0005-0000-0000-0000D2690000}"/>
    <cellStyle name="Normal 4 5 8" xfId="9582" xr:uid="{00000000-0005-0000-0000-0000D3690000}"/>
    <cellStyle name="Normal 4 5 8 2" xfId="9583" xr:uid="{00000000-0005-0000-0000-0000D4690000}"/>
    <cellStyle name="Normal 4 5 8 2 2" xfId="9584" xr:uid="{00000000-0005-0000-0000-0000D5690000}"/>
    <cellStyle name="Normal 4 5 8 2 2 2" xfId="9585" xr:uid="{00000000-0005-0000-0000-0000D6690000}"/>
    <cellStyle name="Normal 4 5 8 2 2 2 2" xfId="33076" xr:uid="{00000000-0005-0000-0000-0000D7690000}"/>
    <cellStyle name="Normal 4 5 8 2 2 3" xfId="33075" xr:uid="{00000000-0005-0000-0000-0000D8690000}"/>
    <cellStyle name="Normal 4 5 8 2 3" xfId="9586" xr:uid="{00000000-0005-0000-0000-0000D9690000}"/>
    <cellStyle name="Normal 4 5 8 2 3 2" xfId="33077" xr:uid="{00000000-0005-0000-0000-0000DA690000}"/>
    <cellStyle name="Normal 4 5 8 2 4" xfId="33074" xr:uid="{00000000-0005-0000-0000-0000DB690000}"/>
    <cellStyle name="Normal 4 5 8 3" xfId="9587" xr:uid="{00000000-0005-0000-0000-0000DC690000}"/>
    <cellStyle name="Normal 4 5 8 3 2" xfId="9588" xr:uid="{00000000-0005-0000-0000-0000DD690000}"/>
    <cellStyle name="Normal 4 5 8 3 2 2" xfId="33079" xr:uid="{00000000-0005-0000-0000-0000DE690000}"/>
    <cellStyle name="Normal 4 5 8 3 3" xfId="33078" xr:uid="{00000000-0005-0000-0000-0000DF690000}"/>
    <cellStyle name="Normal 4 5 8 4" xfId="9589" xr:uid="{00000000-0005-0000-0000-0000E0690000}"/>
    <cellStyle name="Normal 4 5 8 4 2" xfId="33080" xr:uid="{00000000-0005-0000-0000-0000E1690000}"/>
    <cellStyle name="Normal 4 5 8 5" xfId="33073" xr:uid="{00000000-0005-0000-0000-0000E2690000}"/>
    <cellStyle name="Normal 4 5 9" xfId="9590" xr:uid="{00000000-0005-0000-0000-0000E3690000}"/>
    <cellStyle name="Normal 4 5 9 2" xfId="9591" xr:uid="{00000000-0005-0000-0000-0000E4690000}"/>
    <cellStyle name="Normal 4 5 9 2 2" xfId="9592" xr:uid="{00000000-0005-0000-0000-0000E5690000}"/>
    <cellStyle name="Normal 4 5 9 2 2 2" xfId="9593" xr:uid="{00000000-0005-0000-0000-0000E6690000}"/>
    <cellStyle name="Normal 4 5 9 2 2 2 2" xfId="33084" xr:uid="{00000000-0005-0000-0000-0000E7690000}"/>
    <cellStyle name="Normal 4 5 9 2 2 3" xfId="33083" xr:uid="{00000000-0005-0000-0000-0000E8690000}"/>
    <cellStyle name="Normal 4 5 9 2 3" xfId="9594" xr:uid="{00000000-0005-0000-0000-0000E9690000}"/>
    <cellStyle name="Normal 4 5 9 2 3 2" xfId="33085" xr:uid="{00000000-0005-0000-0000-0000EA690000}"/>
    <cellStyle name="Normal 4 5 9 2 4" xfId="33082" xr:uid="{00000000-0005-0000-0000-0000EB690000}"/>
    <cellStyle name="Normal 4 5 9 3" xfId="9595" xr:uid="{00000000-0005-0000-0000-0000EC690000}"/>
    <cellStyle name="Normal 4 5 9 3 2" xfId="9596" xr:uid="{00000000-0005-0000-0000-0000ED690000}"/>
    <cellStyle name="Normal 4 5 9 3 2 2" xfId="33087" xr:uid="{00000000-0005-0000-0000-0000EE690000}"/>
    <cellStyle name="Normal 4 5 9 3 3" xfId="33086" xr:uid="{00000000-0005-0000-0000-0000EF690000}"/>
    <cellStyle name="Normal 4 5 9 4" xfId="9597" xr:uid="{00000000-0005-0000-0000-0000F0690000}"/>
    <cellStyle name="Normal 4 5 9 4 2" xfId="33088" xr:uid="{00000000-0005-0000-0000-0000F1690000}"/>
    <cellStyle name="Normal 4 5 9 5" xfId="33081" xr:uid="{00000000-0005-0000-0000-0000F2690000}"/>
    <cellStyle name="Normal 4 6" xfId="9598" xr:uid="{00000000-0005-0000-0000-0000F3690000}"/>
    <cellStyle name="Normal 4 6 10" xfId="33089" xr:uid="{00000000-0005-0000-0000-0000F4690000}"/>
    <cellStyle name="Normal 4 6 2" xfId="9599" xr:uid="{00000000-0005-0000-0000-0000F5690000}"/>
    <cellStyle name="Normal 4 6 2 2" xfId="9600" xr:uid="{00000000-0005-0000-0000-0000F6690000}"/>
    <cellStyle name="Normal 4 6 2 2 2" xfId="9601" xr:uid="{00000000-0005-0000-0000-0000F7690000}"/>
    <cellStyle name="Normal 4 6 2 2 2 2" xfId="9602" xr:uid="{00000000-0005-0000-0000-0000F8690000}"/>
    <cellStyle name="Normal 4 6 2 2 2 2 2" xfId="9603" xr:uid="{00000000-0005-0000-0000-0000F9690000}"/>
    <cellStyle name="Normal 4 6 2 2 2 2 2 2" xfId="33094" xr:uid="{00000000-0005-0000-0000-0000FA690000}"/>
    <cellStyle name="Normal 4 6 2 2 2 2 3" xfId="33093" xr:uid="{00000000-0005-0000-0000-0000FB690000}"/>
    <cellStyle name="Normal 4 6 2 2 2 3" xfId="9604" xr:uid="{00000000-0005-0000-0000-0000FC690000}"/>
    <cellStyle name="Normal 4 6 2 2 2 3 2" xfId="33095" xr:uid="{00000000-0005-0000-0000-0000FD690000}"/>
    <cellStyle name="Normal 4 6 2 2 2 4" xfId="33092" xr:uid="{00000000-0005-0000-0000-0000FE690000}"/>
    <cellStyle name="Normal 4 6 2 2 3" xfId="9605" xr:uid="{00000000-0005-0000-0000-0000FF690000}"/>
    <cellStyle name="Normal 4 6 2 2 3 2" xfId="9606" xr:uid="{00000000-0005-0000-0000-0000006A0000}"/>
    <cellStyle name="Normal 4 6 2 2 3 2 2" xfId="33097" xr:uid="{00000000-0005-0000-0000-0000016A0000}"/>
    <cellStyle name="Normal 4 6 2 2 3 3" xfId="33096" xr:uid="{00000000-0005-0000-0000-0000026A0000}"/>
    <cellStyle name="Normal 4 6 2 2 4" xfId="9607" xr:uid="{00000000-0005-0000-0000-0000036A0000}"/>
    <cellStyle name="Normal 4 6 2 2 4 2" xfId="33098" xr:uid="{00000000-0005-0000-0000-0000046A0000}"/>
    <cellStyle name="Normal 4 6 2 2 5" xfId="33091" xr:uid="{00000000-0005-0000-0000-0000056A0000}"/>
    <cellStyle name="Normal 4 6 2 3" xfId="9608" xr:uid="{00000000-0005-0000-0000-0000066A0000}"/>
    <cellStyle name="Normal 4 6 2 3 2" xfId="9609" xr:uid="{00000000-0005-0000-0000-0000076A0000}"/>
    <cellStyle name="Normal 4 6 2 3 2 2" xfId="9610" xr:uid="{00000000-0005-0000-0000-0000086A0000}"/>
    <cellStyle name="Normal 4 6 2 3 2 2 2" xfId="9611" xr:uid="{00000000-0005-0000-0000-0000096A0000}"/>
    <cellStyle name="Normal 4 6 2 3 2 2 2 2" xfId="33102" xr:uid="{00000000-0005-0000-0000-00000A6A0000}"/>
    <cellStyle name="Normal 4 6 2 3 2 2 3" xfId="33101" xr:uid="{00000000-0005-0000-0000-00000B6A0000}"/>
    <cellStyle name="Normal 4 6 2 3 2 3" xfId="9612" xr:uid="{00000000-0005-0000-0000-00000C6A0000}"/>
    <cellStyle name="Normal 4 6 2 3 2 3 2" xfId="33103" xr:uid="{00000000-0005-0000-0000-00000D6A0000}"/>
    <cellStyle name="Normal 4 6 2 3 2 4" xfId="33100" xr:uid="{00000000-0005-0000-0000-00000E6A0000}"/>
    <cellStyle name="Normal 4 6 2 3 3" xfId="9613" xr:uid="{00000000-0005-0000-0000-00000F6A0000}"/>
    <cellStyle name="Normal 4 6 2 3 3 2" xfId="9614" xr:uid="{00000000-0005-0000-0000-0000106A0000}"/>
    <cellStyle name="Normal 4 6 2 3 3 2 2" xfId="33105" xr:uid="{00000000-0005-0000-0000-0000116A0000}"/>
    <cellStyle name="Normal 4 6 2 3 3 3" xfId="33104" xr:uid="{00000000-0005-0000-0000-0000126A0000}"/>
    <cellStyle name="Normal 4 6 2 3 4" xfId="9615" xr:uid="{00000000-0005-0000-0000-0000136A0000}"/>
    <cellStyle name="Normal 4 6 2 3 4 2" xfId="33106" xr:uid="{00000000-0005-0000-0000-0000146A0000}"/>
    <cellStyle name="Normal 4 6 2 3 5" xfId="33099" xr:uid="{00000000-0005-0000-0000-0000156A0000}"/>
    <cellStyle name="Normal 4 6 2 4" xfId="9616" xr:uid="{00000000-0005-0000-0000-0000166A0000}"/>
    <cellStyle name="Normal 4 6 2 4 2" xfId="9617" xr:uid="{00000000-0005-0000-0000-0000176A0000}"/>
    <cellStyle name="Normal 4 6 2 4 2 2" xfId="9618" xr:uid="{00000000-0005-0000-0000-0000186A0000}"/>
    <cellStyle name="Normal 4 6 2 4 2 2 2" xfId="33109" xr:uid="{00000000-0005-0000-0000-0000196A0000}"/>
    <cellStyle name="Normal 4 6 2 4 2 3" xfId="33108" xr:uid="{00000000-0005-0000-0000-00001A6A0000}"/>
    <cellStyle name="Normal 4 6 2 4 3" xfId="9619" xr:uid="{00000000-0005-0000-0000-00001B6A0000}"/>
    <cellStyle name="Normal 4 6 2 4 3 2" xfId="33110" xr:uid="{00000000-0005-0000-0000-00001C6A0000}"/>
    <cellStyle name="Normal 4 6 2 4 4" xfId="33107" xr:uid="{00000000-0005-0000-0000-00001D6A0000}"/>
    <cellStyle name="Normal 4 6 2 5" xfId="9620" xr:uid="{00000000-0005-0000-0000-00001E6A0000}"/>
    <cellStyle name="Normal 4 6 2 5 2" xfId="9621" xr:uid="{00000000-0005-0000-0000-00001F6A0000}"/>
    <cellStyle name="Normal 4 6 2 5 2 2" xfId="33112" xr:uid="{00000000-0005-0000-0000-0000206A0000}"/>
    <cellStyle name="Normal 4 6 2 5 3" xfId="33111" xr:uid="{00000000-0005-0000-0000-0000216A0000}"/>
    <cellStyle name="Normal 4 6 2 6" xfId="9622" xr:uid="{00000000-0005-0000-0000-0000226A0000}"/>
    <cellStyle name="Normal 4 6 2 6 2" xfId="33113" xr:uid="{00000000-0005-0000-0000-0000236A0000}"/>
    <cellStyle name="Normal 4 6 2 7" xfId="33090" xr:uid="{00000000-0005-0000-0000-0000246A0000}"/>
    <cellStyle name="Normal 4 6 3" xfId="9623" xr:uid="{00000000-0005-0000-0000-0000256A0000}"/>
    <cellStyle name="Normal 4 6 3 2" xfId="9624" xr:uid="{00000000-0005-0000-0000-0000266A0000}"/>
    <cellStyle name="Normal 4 6 3 2 2" xfId="9625" xr:uid="{00000000-0005-0000-0000-0000276A0000}"/>
    <cellStyle name="Normal 4 6 3 2 2 2" xfId="9626" xr:uid="{00000000-0005-0000-0000-0000286A0000}"/>
    <cellStyle name="Normal 4 6 3 2 2 2 2" xfId="9627" xr:uid="{00000000-0005-0000-0000-0000296A0000}"/>
    <cellStyle name="Normal 4 6 3 2 2 2 2 2" xfId="33118" xr:uid="{00000000-0005-0000-0000-00002A6A0000}"/>
    <cellStyle name="Normal 4 6 3 2 2 2 3" xfId="33117" xr:uid="{00000000-0005-0000-0000-00002B6A0000}"/>
    <cellStyle name="Normal 4 6 3 2 2 3" xfId="9628" xr:uid="{00000000-0005-0000-0000-00002C6A0000}"/>
    <cellStyle name="Normal 4 6 3 2 2 3 2" xfId="33119" xr:uid="{00000000-0005-0000-0000-00002D6A0000}"/>
    <cellStyle name="Normal 4 6 3 2 2 4" xfId="33116" xr:uid="{00000000-0005-0000-0000-00002E6A0000}"/>
    <cellStyle name="Normal 4 6 3 2 3" xfId="9629" xr:uid="{00000000-0005-0000-0000-00002F6A0000}"/>
    <cellStyle name="Normal 4 6 3 2 3 2" xfId="9630" xr:uid="{00000000-0005-0000-0000-0000306A0000}"/>
    <cellStyle name="Normal 4 6 3 2 3 2 2" xfId="33121" xr:uid="{00000000-0005-0000-0000-0000316A0000}"/>
    <cellStyle name="Normal 4 6 3 2 3 3" xfId="33120" xr:uid="{00000000-0005-0000-0000-0000326A0000}"/>
    <cellStyle name="Normal 4 6 3 2 4" xfId="9631" xr:uid="{00000000-0005-0000-0000-0000336A0000}"/>
    <cellStyle name="Normal 4 6 3 2 4 2" xfId="33122" xr:uid="{00000000-0005-0000-0000-0000346A0000}"/>
    <cellStyle name="Normal 4 6 3 2 5" xfId="33115" xr:uid="{00000000-0005-0000-0000-0000356A0000}"/>
    <cellStyle name="Normal 4 6 3 3" xfId="9632" xr:uid="{00000000-0005-0000-0000-0000366A0000}"/>
    <cellStyle name="Normal 4 6 3 3 2" xfId="9633" xr:uid="{00000000-0005-0000-0000-0000376A0000}"/>
    <cellStyle name="Normal 4 6 3 3 2 2" xfId="9634" xr:uid="{00000000-0005-0000-0000-0000386A0000}"/>
    <cellStyle name="Normal 4 6 3 3 2 2 2" xfId="9635" xr:uid="{00000000-0005-0000-0000-0000396A0000}"/>
    <cellStyle name="Normal 4 6 3 3 2 2 2 2" xfId="33126" xr:uid="{00000000-0005-0000-0000-00003A6A0000}"/>
    <cellStyle name="Normal 4 6 3 3 2 2 3" xfId="33125" xr:uid="{00000000-0005-0000-0000-00003B6A0000}"/>
    <cellStyle name="Normal 4 6 3 3 2 3" xfId="9636" xr:uid="{00000000-0005-0000-0000-00003C6A0000}"/>
    <cellStyle name="Normal 4 6 3 3 2 3 2" xfId="33127" xr:uid="{00000000-0005-0000-0000-00003D6A0000}"/>
    <cellStyle name="Normal 4 6 3 3 2 4" xfId="33124" xr:uid="{00000000-0005-0000-0000-00003E6A0000}"/>
    <cellStyle name="Normal 4 6 3 3 3" xfId="9637" xr:uid="{00000000-0005-0000-0000-00003F6A0000}"/>
    <cellStyle name="Normal 4 6 3 3 3 2" xfId="9638" xr:uid="{00000000-0005-0000-0000-0000406A0000}"/>
    <cellStyle name="Normal 4 6 3 3 3 2 2" xfId="33129" xr:uid="{00000000-0005-0000-0000-0000416A0000}"/>
    <cellStyle name="Normal 4 6 3 3 3 3" xfId="33128" xr:uid="{00000000-0005-0000-0000-0000426A0000}"/>
    <cellStyle name="Normal 4 6 3 3 4" xfId="9639" xr:uid="{00000000-0005-0000-0000-0000436A0000}"/>
    <cellStyle name="Normal 4 6 3 3 4 2" xfId="33130" xr:uid="{00000000-0005-0000-0000-0000446A0000}"/>
    <cellStyle name="Normal 4 6 3 3 5" xfId="33123" xr:uid="{00000000-0005-0000-0000-0000456A0000}"/>
    <cellStyle name="Normal 4 6 3 4" xfId="9640" xr:uid="{00000000-0005-0000-0000-0000466A0000}"/>
    <cellStyle name="Normal 4 6 3 4 2" xfId="9641" xr:uid="{00000000-0005-0000-0000-0000476A0000}"/>
    <cellStyle name="Normal 4 6 3 4 2 2" xfId="9642" xr:uid="{00000000-0005-0000-0000-0000486A0000}"/>
    <cellStyle name="Normal 4 6 3 4 2 2 2" xfId="33133" xr:uid="{00000000-0005-0000-0000-0000496A0000}"/>
    <cellStyle name="Normal 4 6 3 4 2 3" xfId="33132" xr:uid="{00000000-0005-0000-0000-00004A6A0000}"/>
    <cellStyle name="Normal 4 6 3 4 3" xfId="9643" xr:uid="{00000000-0005-0000-0000-00004B6A0000}"/>
    <cellStyle name="Normal 4 6 3 4 3 2" xfId="33134" xr:uid="{00000000-0005-0000-0000-00004C6A0000}"/>
    <cellStyle name="Normal 4 6 3 4 4" xfId="33131" xr:uid="{00000000-0005-0000-0000-00004D6A0000}"/>
    <cellStyle name="Normal 4 6 3 5" xfId="9644" xr:uid="{00000000-0005-0000-0000-00004E6A0000}"/>
    <cellStyle name="Normal 4 6 3 5 2" xfId="9645" xr:uid="{00000000-0005-0000-0000-00004F6A0000}"/>
    <cellStyle name="Normal 4 6 3 5 2 2" xfId="33136" xr:uid="{00000000-0005-0000-0000-0000506A0000}"/>
    <cellStyle name="Normal 4 6 3 5 3" xfId="33135" xr:uid="{00000000-0005-0000-0000-0000516A0000}"/>
    <cellStyle name="Normal 4 6 3 6" xfId="9646" xr:uid="{00000000-0005-0000-0000-0000526A0000}"/>
    <cellStyle name="Normal 4 6 3 6 2" xfId="33137" xr:uid="{00000000-0005-0000-0000-0000536A0000}"/>
    <cellStyle name="Normal 4 6 3 7" xfId="33114" xr:uid="{00000000-0005-0000-0000-0000546A0000}"/>
    <cellStyle name="Normal 4 6 4" xfId="9647" xr:uid="{00000000-0005-0000-0000-0000556A0000}"/>
    <cellStyle name="Normal 4 6 4 2" xfId="9648" xr:uid="{00000000-0005-0000-0000-0000566A0000}"/>
    <cellStyle name="Normal 4 6 4 2 2" xfId="9649" xr:uid="{00000000-0005-0000-0000-0000576A0000}"/>
    <cellStyle name="Normal 4 6 4 2 2 2" xfId="9650" xr:uid="{00000000-0005-0000-0000-0000586A0000}"/>
    <cellStyle name="Normal 4 6 4 2 2 2 2" xfId="9651" xr:uid="{00000000-0005-0000-0000-0000596A0000}"/>
    <cellStyle name="Normal 4 6 4 2 2 2 2 2" xfId="33142" xr:uid="{00000000-0005-0000-0000-00005A6A0000}"/>
    <cellStyle name="Normal 4 6 4 2 2 2 3" xfId="33141" xr:uid="{00000000-0005-0000-0000-00005B6A0000}"/>
    <cellStyle name="Normal 4 6 4 2 2 3" xfId="9652" xr:uid="{00000000-0005-0000-0000-00005C6A0000}"/>
    <cellStyle name="Normal 4 6 4 2 2 3 2" xfId="33143" xr:uid="{00000000-0005-0000-0000-00005D6A0000}"/>
    <cellStyle name="Normal 4 6 4 2 2 4" xfId="33140" xr:uid="{00000000-0005-0000-0000-00005E6A0000}"/>
    <cellStyle name="Normal 4 6 4 2 3" xfId="9653" xr:uid="{00000000-0005-0000-0000-00005F6A0000}"/>
    <cellStyle name="Normal 4 6 4 2 3 2" xfId="9654" xr:uid="{00000000-0005-0000-0000-0000606A0000}"/>
    <cellStyle name="Normal 4 6 4 2 3 2 2" xfId="33145" xr:uid="{00000000-0005-0000-0000-0000616A0000}"/>
    <cellStyle name="Normal 4 6 4 2 3 3" xfId="33144" xr:uid="{00000000-0005-0000-0000-0000626A0000}"/>
    <cellStyle name="Normal 4 6 4 2 4" xfId="9655" xr:uid="{00000000-0005-0000-0000-0000636A0000}"/>
    <cellStyle name="Normal 4 6 4 2 4 2" xfId="33146" xr:uid="{00000000-0005-0000-0000-0000646A0000}"/>
    <cellStyle name="Normal 4 6 4 2 5" xfId="33139" xr:uid="{00000000-0005-0000-0000-0000656A0000}"/>
    <cellStyle name="Normal 4 6 4 3" xfId="9656" xr:uid="{00000000-0005-0000-0000-0000666A0000}"/>
    <cellStyle name="Normal 4 6 4 3 2" xfId="9657" xr:uid="{00000000-0005-0000-0000-0000676A0000}"/>
    <cellStyle name="Normal 4 6 4 3 2 2" xfId="9658" xr:uid="{00000000-0005-0000-0000-0000686A0000}"/>
    <cellStyle name="Normal 4 6 4 3 2 2 2" xfId="9659" xr:uid="{00000000-0005-0000-0000-0000696A0000}"/>
    <cellStyle name="Normal 4 6 4 3 2 2 2 2" xfId="33150" xr:uid="{00000000-0005-0000-0000-00006A6A0000}"/>
    <cellStyle name="Normal 4 6 4 3 2 2 3" xfId="33149" xr:uid="{00000000-0005-0000-0000-00006B6A0000}"/>
    <cellStyle name="Normal 4 6 4 3 2 3" xfId="9660" xr:uid="{00000000-0005-0000-0000-00006C6A0000}"/>
    <cellStyle name="Normal 4 6 4 3 2 3 2" xfId="33151" xr:uid="{00000000-0005-0000-0000-00006D6A0000}"/>
    <cellStyle name="Normal 4 6 4 3 2 4" xfId="33148" xr:uid="{00000000-0005-0000-0000-00006E6A0000}"/>
    <cellStyle name="Normal 4 6 4 3 3" xfId="9661" xr:uid="{00000000-0005-0000-0000-00006F6A0000}"/>
    <cellStyle name="Normal 4 6 4 3 3 2" xfId="9662" xr:uid="{00000000-0005-0000-0000-0000706A0000}"/>
    <cellStyle name="Normal 4 6 4 3 3 2 2" xfId="33153" xr:uid="{00000000-0005-0000-0000-0000716A0000}"/>
    <cellStyle name="Normal 4 6 4 3 3 3" xfId="33152" xr:uid="{00000000-0005-0000-0000-0000726A0000}"/>
    <cellStyle name="Normal 4 6 4 3 4" xfId="9663" xr:uid="{00000000-0005-0000-0000-0000736A0000}"/>
    <cellStyle name="Normal 4 6 4 3 4 2" xfId="33154" xr:uid="{00000000-0005-0000-0000-0000746A0000}"/>
    <cellStyle name="Normal 4 6 4 3 5" xfId="33147" xr:uid="{00000000-0005-0000-0000-0000756A0000}"/>
    <cellStyle name="Normal 4 6 4 4" xfId="9664" xr:uid="{00000000-0005-0000-0000-0000766A0000}"/>
    <cellStyle name="Normal 4 6 4 4 2" xfId="9665" xr:uid="{00000000-0005-0000-0000-0000776A0000}"/>
    <cellStyle name="Normal 4 6 4 4 2 2" xfId="9666" xr:uid="{00000000-0005-0000-0000-0000786A0000}"/>
    <cellStyle name="Normal 4 6 4 4 2 2 2" xfId="33157" xr:uid="{00000000-0005-0000-0000-0000796A0000}"/>
    <cellStyle name="Normal 4 6 4 4 2 3" xfId="33156" xr:uid="{00000000-0005-0000-0000-00007A6A0000}"/>
    <cellStyle name="Normal 4 6 4 4 3" xfId="9667" xr:uid="{00000000-0005-0000-0000-00007B6A0000}"/>
    <cellStyle name="Normal 4 6 4 4 3 2" xfId="33158" xr:uid="{00000000-0005-0000-0000-00007C6A0000}"/>
    <cellStyle name="Normal 4 6 4 4 4" xfId="33155" xr:uid="{00000000-0005-0000-0000-00007D6A0000}"/>
    <cellStyle name="Normal 4 6 4 5" xfId="9668" xr:uid="{00000000-0005-0000-0000-00007E6A0000}"/>
    <cellStyle name="Normal 4 6 4 5 2" xfId="9669" xr:uid="{00000000-0005-0000-0000-00007F6A0000}"/>
    <cellStyle name="Normal 4 6 4 5 2 2" xfId="33160" xr:uid="{00000000-0005-0000-0000-0000806A0000}"/>
    <cellStyle name="Normal 4 6 4 5 3" xfId="33159" xr:uid="{00000000-0005-0000-0000-0000816A0000}"/>
    <cellStyle name="Normal 4 6 4 6" xfId="9670" xr:uid="{00000000-0005-0000-0000-0000826A0000}"/>
    <cellStyle name="Normal 4 6 4 6 2" xfId="33161" xr:uid="{00000000-0005-0000-0000-0000836A0000}"/>
    <cellStyle name="Normal 4 6 4 7" xfId="33138" xr:uid="{00000000-0005-0000-0000-0000846A0000}"/>
    <cellStyle name="Normal 4 6 5" xfId="9671" xr:uid="{00000000-0005-0000-0000-0000856A0000}"/>
    <cellStyle name="Normal 4 6 5 2" xfId="9672" xr:uid="{00000000-0005-0000-0000-0000866A0000}"/>
    <cellStyle name="Normal 4 6 5 2 2" xfId="9673" xr:uid="{00000000-0005-0000-0000-0000876A0000}"/>
    <cellStyle name="Normal 4 6 5 2 2 2" xfId="9674" xr:uid="{00000000-0005-0000-0000-0000886A0000}"/>
    <cellStyle name="Normal 4 6 5 2 2 2 2" xfId="33165" xr:uid="{00000000-0005-0000-0000-0000896A0000}"/>
    <cellStyle name="Normal 4 6 5 2 2 3" xfId="33164" xr:uid="{00000000-0005-0000-0000-00008A6A0000}"/>
    <cellStyle name="Normal 4 6 5 2 3" xfId="9675" xr:uid="{00000000-0005-0000-0000-00008B6A0000}"/>
    <cellStyle name="Normal 4 6 5 2 3 2" xfId="33166" xr:uid="{00000000-0005-0000-0000-00008C6A0000}"/>
    <cellStyle name="Normal 4 6 5 2 4" xfId="33163" xr:uid="{00000000-0005-0000-0000-00008D6A0000}"/>
    <cellStyle name="Normal 4 6 5 3" xfId="9676" xr:uid="{00000000-0005-0000-0000-00008E6A0000}"/>
    <cellStyle name="Normal 4 6 5 3 2" xfId="9677" xr:uid="{00000000-0005-0000-0000-00008F6A0000}"/>
    <cellStyle name="Normal 4 6 5 3 2 2" xfId="33168" xr:uid="{00000000-0005-0000-0000-0000906A0000}"/>
    <cellStyle name="Normal 4 6 5 3 3" xfId="33167" xr:uid="{00000000-0005-0000-0000-0000916A0000}"/>
    <cellStyle name="Normal 4 6 5 4" xfId="9678" xr:uid="{00000000-0005-0000-0000-0000926A0000}"/>
    <cellStyle name="Normal 4 6 5 4 2" xfId="33169" xr:uid="{00000000-0005-0000-0000-0000936A0000}"/>
    <cellStyle name="Normal 4 6 5 5" xfId="33162" xr:uid="{00000000-0005-0000-0000-0000946A0000}"/>
    <cellStyle name="Normal 4 6 6" xfId="9679" xr:uid="{00000000-0005-0000-0000-0000956A0000}"/>
    <cellStyle name="Normal 4 6 6 2" xfId="9680" xr:uid="{00000000-0005-0000-0000-0000966A0000}"/>
    <cellStyle name="Normal 4 6 6 2 2" xfId="9681" xr:uid="{00000000-0005-0000-0000-0000976A0000}"/>
    <cellStyle name="Normal 4 6 6 2 2 2" xfId="9682" xr:uid="{00000000-0005-0000-0000-0000986A0000}"/>
    <cellStyle name="Normal 4 6 6 2 2 2 2" xfId="33173" xr:uid="{00000000-0005-0000-0000-0000996A0000}"/>
    <cellStyle name="Normal 4 6 6 2 2 3" xfId="33172" xr:uid="{00000000-0005-0000-0000-00009A6A0000}"/>
    <cellStyle name="Normal 4 6 6 2 3" xfId="9683" xr:uid="{00000000-0005-0000-0000-00009B6A0000}"/>
    <cellStyle name="Normal 4 6 6 2 3 2" xfId="33174" xr:uid="{00000000-0005-0000-0000-00009C6A0000}"/>
    <cellStyle name="Normal 4 6 6 2 4" xfId="33171" xr:uid="{00000000-0005-0000-0000-00009D6A0000}"/>
    <cellStyle name="Normal 4 6 6 3" xfId="9684" xr:uid="{00000000-0005-0000-0000-00009E6A0000}"/>
    <cellStyle name="Normal 4 6 6 3 2" xfId="9685" xr:uid="{00000000-0005-0000-0000-00009F6A0000}"/>
    <cellStyle name="Normal 4 6 6 3 2 2" xfId="33176" xr:uid="{00000000-0005-0000-0000-0000A06A0000}"/>
    <cellStyle name="Normal 4 6 6 3 3" xfId="33175" xr:uid="{00000000-0005-0000-0000-0000A16A0000}"/>
    <cellStyle name="Normal 4 6 6 4" xfId="9686" xr:uid="{00000000-0005-0000-0000-0000A26A0000}"/>
    <cellStyle name="Normal 4 6 6 4 2" xfId="33177" xr:uid="{00000000-0005-0000-0000-0000A36A0000}"/>
    <cellStyle name="Normal 4 6 6 5" xfId="33170" xr:uid="{00000000-0005-0000-0000-0000A46A0000}"/>
    <cellStyle name="Normal 4 6 7" xfId="9687" xr:uid="{00000000-0005-0000-0000-0000A56A0000}"/>
    <cellStyle name="Normal 4 6 7 2" xfId="9688" xr:uid="{00000000-0005-0000-0000-0000A66A0000}"/>
    <cellStyle name="Normal 4 6 7 2 2" xfId="9689" xr:uid="{00000000-0005-0000-0000-0000A76A0000}"/>
    <cellStyle name="Normal 4 6 7 2 2 2" xfId="33180" xr:uid="{00000000-0005-0000-0000-0000A86A0000}"/>
    <cellStyle name="Normal 4 6 7 2 3" xfId="33179" xr:uid="{00000000-0005-0000-0000-0000A96A0000}"/>
    <cellStyle name="Normal 4 6 7 3" xfId="9690" xr:uid="{00000000-0005-0000-0000-0000AA6A0000}"/>
    <cellStyle name="Normal 4 6 7 3 2" xfId="33181" xr:uid="{00000000-0005-0000-0000-0000AB6A0000}"/>
    <cellStyle name="Normal 4 6 7 4" xfId="33178" xr:uid="{00000000-0005-0000-0000-0000AC6A0000}"/>
    <cellStyle name="Normal 4 6 8" xfId="9691" xr:uid="{00000000-0005-0000-0000-0000AD6A0000}"/>
    <cellStyle name="Normal 4 6 8 2" xfId="9692" xr:uid="{00000000-0005-0000-0000-0000AE6A0000}"/>
    <cellStyle name="Normal 4 6 8 2 2" xfId="33183" xr:uid="{00000000-0005-0000-0000-0000AF6A0000}"/>
    <cellStyle name="Normal 4 6 8 3" xfId="33182" xr:uid="{00000000-0005-0000-0000-0000B06A0000}"/>
    <cellStyle name="Normal 4 6 9" xfId="9693" xr:uid="{00000000-0005-0000-0000-0000B16A0000}"/>
    <cellStyle name="Normal 4 6 9 2" xfId="33184" xr:uid="{00000000-0005-0000-0000-0000B26A0000}"/>
    <cellStyle name="Normal 4 7" xfId="9694" xr:uid="{00000000-0005-0000-0000-0000B36A0000}"/>
    <cellStyle name="Normal 4 7 10" xfId="33185" xr:uid="{00000000-0005-0000-0000-0000B46A0000}"/>
    <cellStyle name="Normal 4 7 2" xfId="9695" xr:uid="{00000000-0005-0000-0000-0000B56A0000}"/>
    <cellStyle name="Normal 4 7 2 2" xfId="9696" xr:uid="{00000000-0005-0000-0000-0000B66A0000}"/>
    <cellStyle name="Normal 4 7 2 2 2" xfId="9697" xr:uid="{00000000-0005-0000-0000-0000B76A0000}"/>
    <cellStyle name="Normal 4 7 2 2 2 2" xfId="9698" xr:uid="{00000000-0005-0000-0000-0000B86A0000}"/>
    <cellStyle name="Normal 4 7 2 2 2 2 2" xfId="9699" xr:uid="{00000000-0005-0000-0000-0000B96A0000}"/>
    <cellStyle name="Normal 4 7 2 2 2 2 2 2" xfId="33190" xr:uid="{00000000-0005-0000-0000-0000BA6A0000}"/>
    <cellStyle name="Normal 4 7 2 2 2 2 3" xfId="33189" xr:uid="{00000000-0005-0000-0000-0000BB6A0000}"/>
    <cellStyle name="Normal 4 7 2 2 2 3" xfId="9700" xr:uid="{00000000-0005-0000-0000-0000BC6A0000}"/>
    <cellStyle name="Normal 4 7 2 2 2 3 2" xfId="33191" xr:uid="{00000000-0005-0000-0000-0000BD6A0000}"/>
    <cellStyle name="Normal 4 7 2 2 2 4" xfId="33188" xr:uid="{00000000-0005-0000-0000-0000BE6A0000}"/>
    <cellStyle name="Normal 4 7 2 2 3" xfId="9701" xr:uid="{00000000-0005-0000-0000-0000BF6A0000}"/>
    <cellStyle name="Normal 4 7 2 2 3 2" xfId="9702" xr:uid="{00000000-0005-0000-0000-0000C06A0000}"/>
    <cellStyle name="Normal 4 7 2 2 3 2 2" xfId="33193" xr:uid="{00000000-0005-0000-0000-0000C16A0000}"/>
    <cellStyle name="Normal 4 7 2 2 3 3" xfId="33192" xr:uid="{00000000-0005-0000-0000-0000C26A0000}"/>
    <cellStyle name="Normal 4 7 2 2 4" xfId="9703" xr:uid="{00000000-0005-0000-0000-0000C36A0000}"/>
    <cellStyle name="Normal 4 7 2 2 4 2" xfId="33194" xr:uid="{00000000-0005-0000-0000-0000C46A0000}"/>
    <cellStyle name="Normal 4 7 2 2 5" xfId="33187" xr:uid="{00000000-0005-0000-0000-0000C56A0000}"/>
    <cellStyle name="Normal 4 7 2 3" xfId="9704" xr:uid="{00000000-0005-0000-0000-0000C66A0000}"/>
    <cellStyle name="Normal 4 7 2 3 2" xfId="9705" xr:uid="{00000000-0005-0000-0000-0000C76A0000}"/>
    <cellStyle name="Normal 4 7 2 3 2 2" xfId="9706" xr:uid="{00000000-0005-0000-0000-0000C86A0000}"/>
    <cellStyle name="Normal 4 7 2 3 2 2 2" xfId="9707" xr:uid="{00000000-0005-0000-0000-0000C96A0000}"/>
    <cellStyle name="Normal 4 7 2 3 2 2 2 2" xfId="33198" xr:uid="{00000000-0005-0000-0000-0000CA6A0000}"/>
    <cellStyle name="Normal 4 7 2 3 2 2 3" xfId="33197" xr:uid="{00000000-0005-0000-0000-0000CB6A0000}"/>
    <cellStyle name="Normal 4 7 2 3 2 3" xfId="9708" xr:uid="{00000000-0005-0000-0000-0000CC6A0000}"/>
    <cellStyle name="Normal 4 7 2 3 2 3 2" xfId="33199" xr:uid="{00000000-0005-0000-0000-0000CD6A0000}"/>
    <cellStyle name="Normal 4 7 2 3 2 4" xfId="33196" xr:uid="{00000000-0005-0000-0000-0000CE6A0000}"/>
    <cellStyle name="Normal 4 7 2 3 3" xfId="9709" xr:uid="{00000000-0005-0000-0000-0000CF6A0000}"/>
    <cellStyle name="Normal 4 7 2 3 3 2" xfId="9710" xr:uid="{00000000-0005-0000-0000-0000D06A0000}"/>
    <cellStyle name="Normal 4 7 2 3 3 2 2" xfId="33201" xr:uid="{00000000-0005-0000-0000-0000D16A0000}"/>
    <cellStyle name="Normal 4 7 2 3 3 3" xfId="33200" xr:uid="{00000000-0005-0000-0000-0000D26A0000}"/>
    <cellStyle name="Normal 4 7 2 3 4" xfId="9711" xr:uid="{00000000-0005-0000-0000-0000D36A0000}"/>
    <cellStyle name="Normal 4 7 2 3 4 2" xfId="33202" xr:uid="{00000000-0005-0000-0000-0000D46A0000}"/>
    <cellStyle name="Normal 4 7 2 3 5" xfId="33195" xr:uid="{00000000-0005-0000-0000-0000D56A0000}"/>
    <cellStyle name="Normal 4 7 2 4" xfId="9712" xr:uid="{00000000-0005-0000-0000-0000D66A0000}"/>
    <cellStyle name="Normal 4 7 2 4 2" xfId="9713" xr:uid="{00000000-0005-0000-0000-0000D76A0000}"/>
    <cellStyle name="Normal 4 7 2 4 2 2" xfId="9714" xr:uid="{00000000-0005-0000-0000-0000D86A0000}"/>
    <cellStyle name="Normal 4 7 2 4 2 2 2" xfId="33205" xr:uid="{00000000-0005-0000-0000-0000D96A0000}"/>
    <cellStyle name="Normal 4 7 2 4 2 3" xfId="33204" xr:uid="{00000000-0005-0000-0000-0000DA6A0000}"/>
    <cellStyle name="Normal 4 7 2 4 3" xfId="9715" xr:uid="{00000000-0005-0000-0000-0000DB6A0000}"/>
    <cellStyle name="Normal 4 7 2 4 3 2" xfId="33206" xr:uid="{00000000-0005-0000-0000-0000DC6A0000}"/>
    <cellStyle name="Normal 4 7 2 4 4" xfId="33203" xr:uid="{00000000-0005-0000-0000-0000DD6A0000}"/>
    <cellStyle name="Normal 4 7 2 5" xfId="9716" xr:uid="{00000000-0005-0000-0000-0000DE6A0000}"/>
    <cellStyle name="Normal 4 7 2 5 2" xfId="9717" xr:uid="{00000000-0005-0000-0000-0000DF6A0000}"/>
    <cellStyle name="Normal 4 7 2 5 2 2" xfId="33208" xr:uid="{00000000-0005-0000-0000-0000E06A0000}"/>
    <cellStyle name="Normal 4 7 2 5 3" xfId="33207" xr:uid="{00000000-0005-0000-0000-0000E16A0000}"/>
    <cellStyle name="Normal 4 7 2 6" xfId="9718" xr:uid="{00000000-0005-0000-0000-0000E26A0000}"/>
    <cellStyle name="Normal 4 7 2 6 2" xfId="33209" xr:uid="{00000000-0005-0000-0000-0000E36A0000}"/>
    <cellStyle name="Normal 4 7 2 7" xfId="33186" xr:uid="{00000000-0005-0000-0000-0000E46A0000}"/>
    <cellStyle name="Normal 4 7 3" xfId="9719" xr:uid="{00000000-0005-0000-0000-0000E56A0000}"/>
    <cellStyle name="Normal 4 7 3 2" xfId="9720" xr:uid="{00000000-0005-0000-0000-0000E66A0000}"/>
    <cellStyle name="Normal 4 7 3 2 2" xfId="9721" xr:uid="{00000000-0005-0000-0000-0000E76A0000}"/>
    <cellStyle name="Normal 4 7 3 2 2 2" xfId="9722" xr:uid="{00000000-0005-0000-0000-0000E86A0000}"/>
    <cellStyle name="Normal 4 7 3 2 2 2 2" xfId="9723" xr:uid="{00000000-0005-0000-0000-0000E96A0000}"/>
    <cellStyle name="Normal 4 7 3 2 2 2 2 2" xfId="33214" xr:uid="{00000000-0005-0000-0000-0000EA6A0000}"/>
    <cellStyle name="Normal 4 7 3 2 2 2 3" xfId="33213" xr:uid="{00000000-0005-0000-0000-0000EB6A0000}"/>
    <cellStyle name="Normal 4 7 3 2 2 3" xfId="9724" xr:uid="{00000000-0005-0000-0000-0000EC6A0000}"/>
    <cellStyle name="Normal 4 7 3 2 2 3 2" xfId="33215" xr:uid="{00000000-0005-0000-0000-0000ED6A0000}"/>
    <cellStyle name="Normal 4 7 3 2 2 4" xfId="33212" xr:uid="{00000000-0005-0000-0000-0000EE6A0000}"/>
    <cellStyle name="Normal 4 7 3 2 3" xfId="9725" xr:uid="{00000000-0005-0000-0000-0000EF6A0000}"/>
    <cellStyle name="Normal 4 7 3 2 3 2" xfId="9726" xr:uid="{00000000-0005-0000-0000-0000F06A0000}"/>
    <cellStyle name="Normal 4 7 3 2 3 2 2" xfId="33217" xr:uid="{00000000-0005-0000-0000-0000F16A0000}"/>
    <cellStyle name="Normal 4 7 3 2 3 3" xfId="33216" xr:uid="{00000000-0005-0000-0000-0000F26A0000}"/>
    <cellStyle name="Normal 4 7 3 2 4" xfId="9727" xr:uid="{00000000-0005-0000-0000-0000F36A0000}"/>
    <cellStyle name="Normal 4 7 3 2 4 2" xfId="33218" xr:uid="{00000000-0005-0000-0000-0000F46A0000}"/>
    <cellStyle name="Normal 4 7 3 2 5" xfId="33211" xr:uid="{00000000-0005-0000-0000-0000F56A0000}"/>
    <cellStyle name="Normal 4 7 3 3" xfId="9728" xr:uid="{00000000-0005-0000-0000-0000F66A0000}"/>
    <cellStyle name="Normal 4 7 3 3 2" xfId="9729" xr:uid="{00000000-0005-0000-0000-0000F76A0000}"/>
    <cellStyle name="Normal 4 7 3 3 2 2" xfId="9730" xr:uid="{00000000-0005-0000-0000-0000F86A0000}"/>
    <cellStyle name="Normal 4 7 3 3 2 2 2" xfId="9731" xr:uid="{00000000-0005-0000-0000-0000F96A0000}"/>
    <cellStyle name="Normal 4 7 3 3 2 2 2 2" xfId="33222" xr:uid="{00000000-0005-0000-0000-0000FA6A0000}"/>
    <cellStyle name="Normal 4 7 3 3 2 2 3" xfId="33221" xr:uid="{00000000-0005-0000-0000-0000FB6A0000}"/>
    <cellStyle name="Normal 4 7 3 3 2 3" xfId="9732" xr:uid="{00000000-0005-0000-0000-0000FC6A0000}"/>
    <cellStyle name="Normal 4 7 3 3 2 3 2" xfId="33223" xr:uid="{00000000-0005-0000-0000-0000FD6A0000}"/>
    <cellStyle name="Normal 4 7 3 3 2 4" xfId="33220" xr:uid="{00000000-0005-0000-0000-0000FE6A0000}"/>
    <cellStyle name="Normal 4 7 3 3 3" xfId="9733" xr:uid="{00000000-0005-0000-0000-0000FF6A0000}"/>
    <cellStyle name="Normal 4 7 3 3 3 2" xfId="9734" xr:uid="{00000000-0005-0000-0000-0000006B0000}"/>
    <cellStyle name="Normal 4 7 3 3 3 2 2" xfId="33225" xr:uid="{00000000-0005-0000-0000-0000016B0000}"/>
    <cellStyle name="Normal 4 7 3 3 3 3" xfId="33224" xr:uid="{00000000-0005-0000-0000-0000026B0000}"/>
    <cellStyle name="Normal 4 7 3 3 4" xfId="9735" xr:uid="{00000000-0005-0000-0000-0000036B0000}"/>
    <cellStyle name="Normal 4 7 3 3 4 2" xfId="33226" xr:uid="{00000000-0005-0000-0000-0000046B0000}"/>
    <cellStyle name="Normal 4 7 3 3 5" xfId="33219" xr:uid="{00000000-0005-0000-0000-0000056B0000}"/>
    <cellStyle name="Normal 4 7 3 4" xfId="9736" xr:uid="{00000000-0005-0000-0000-0000066B0000}"/>
    <cellStyle name="Normal 4 7 3 4 2" xfId="9737" xr:uid="{00000000-0005-0000-0000-0000076B0000}"/>
    <cellStyle name="Normal 4 7 3 4 2 2" xfId="9738" xr:uid="{00000000-0005-0000-0000-0000086B0000}"/>
    <cellStyle name="Normal 4 7 3 4 2 2 2" xfId="33229" xr:uid="{00000000-0005-0000-0000-0000096B0000}"/>
    <cellStyle name="Normal 4 7 3 4 2 3" xfId="33228" xr:uid="{00000000-0005-0000-0000-00000A6B0000}"/>
    <cellStyle name="Normal 4 7 3 4 3" xfId="9739" xr:uid="{00000000-0005-0000-0000-00000B6B0000}"/>
    <cellStyle name="Normal 4 7 3 4 3 2" xfId="33230" xr:uid="{00000000-0005-0000-0000-00000C6B0000}"/>
    <cellStyle name="Normal 4 7 3 4 4" xfId="33227" xr:uid="{00000000-0005-0000-0000-00000D6B0000}"/>
    <cellStyle name="Normal 4 7 3 5" xfId="9740" xr:uid="{00000000-0005-0000-0000-00000E6B0000}"/>
    <cellStyle name="Normal 4 7 3 5 2" xfId="9741" xr:uid="{00000000-0005-0000-0000-00000F6B0000}"/>
    <cellStyle name="Normal 4 7 3 5 2 2" xfId="33232" xr:uid="{00000000-0005-0000-0000-0000106B0000}"/>
    <cellStyle name="Normal 4 7 3 5 3" xfId="33231" xr:uid="{00000000-0005-0000-0000-0000116B0000}"/>
    <cellStyle name="Normal 4 7 3 6" xfId="9742" xr:uid="{00000000-0005-0000-0000-0000126B0000}"/>
    <cellStyle name="Normal 4 7 3 6 2" xfId="33233" xr:uid="{00000000-0005-0000-0000-0000136B0000}"/>
    <cellStyle name="Normal 4 7 3 7" xfId="33210" xr:uid="{00000000-0005-0000-0000-0000146B0000}"/>
    <cellStyle name="Normal 4 7 4" xfId="9743" xr:uid="{00000000-0005-0000-0000-0000156B0000}"/>
    <cellStyle name="Normal 4 7 4 2" xfId="9744" xr:uid="{00000000-0005-0000-0000-0000166B0000}"/>
    <cellStyle name="Normal 4 7 4 2 2" xfId="9745" xr:uid="{00000000-0005-0000-0000-0000176B0000}"/>
    <cellStyle name="Normal 4 7 4 2 2 2" xfId="9746" xr:uid="{00000000-0005-0000-0000-0000186B0000}"/>
    <cellStyle name="Normal 4 7 4 2 2 2 2" xfId="9747" xr:uid="{00000000-0005-0000-0000-0000196B0000}"/>
    <cellStyle name="Normal 4 7 4 2 2 2 2 2" xfId="33238" xr:uid="{00000000-0005-0000-0000-00001A6B0000}"/>
    <cellStyle name="Normal 4 7 4 2 2 2 3" xfId="33237" xr:uid="{00000000-0005-0000-0000-00001B6B0000}"/>
    <cellStyle name="Normal 4 7 4 2 2 3" xfId="9748" xr:uid="{00000000-0005-0000-0000-00001C6B0000}"/>
    <cellStyle name="Normal 4 7 4 2 2 3 2" xfId="33239" xr:uid="{00000000-0005-0000-0000-00001D6B0000}"/>
    <cellStyle name="Normal 4 7 4 2 2 4" xfId="33236" xr:uid="{00000000-0005-0000-0000-00001E6B0000}"/>
    <cellStyle name="Normal 4 7 4 2 3" xfId="9749" xr:uid="{00000000-0005-0000-0000-00001F6B0000}"/>
    <cellStyle name="Normal 4 7 4 2 3 2" xfId="9750" xr:uid="{00000000-0005-0000-0000-0000206B0000}"/>
    <cellStyle name="Normal 4 7 4 2 3 2 2" xfId="33241" xr:uid="{00000000-0005-0000-0000-0000216B0000}"/>
    <cellStyle name="Normal 4 7 4 2 3 3" xfId="33240" xr:uid="{00000000-0005-0000-0000-0000226B0000}"/>
    <cellStyle name="Normal 4 7 4 2 4" xfId="9751" xr:uid="{00000000-0005-0000-0000-0000236B0000}"/>
    <cellStyle name="Normal 4 7 4 2 4 2" xfId="33242" xr:uid="{00000000-0005-0000-0000-0000246B0000}"/>
    <cellStyle name="Normal 4 7 4 2 5" xfId="33235" xr:uid="{00000000-0005-0000-0000-0000256B0000}"/>
    <cellStyle name="Normal 4 7 4 3" xfId="9752" xr:uid="{00000000-0005-0000-0000-0000266B0000}"/>
    <cellStyle name="Normal 4 7 4 3 2" xfId="9753" xr:uid="{00000000-0005-0000-0000-0000276B0000}"/>
    <cellStyle name="Normal 4 7 4 3 2 2" xfId="9754" xr:uid="{00000000-0005-0000-0000-0000286B0000}"/>
    <cellStyle name="Normal 4 7 4 3 2 2 2" xfId="9755" xr:uid="{00000000-0005-0000-0000-0000296B0000}"/>
    <cellStyle name="Normal 4 7 4 3 2 2 2 2" xfId="33246" xr:uid="{00000000-0005-0000-0000-00002A6B0000}"/>
    <cellStyle name="Normal 4 7 4 3 2 2 3" xfId="33245" xr:uid="{00000000-0005-0000-0000-00002B6B0000}"/>
    <cellStyle name="Normal 4 7 4 3 2 3" xfId="9756" xr:uid="{00000000-0005-0000-0000-00002C6B0000}"/>
    <cellStyle name="Normal 4 7 4 3 2 3 2" xfId="33247" xr:uid="{00000000-0005-0000-0000-00002D6B0000}"/>
    <cellStyle name="Normal 4 7 4 3 2 4" xfId="33244" xr:uid="{00000000-0005-0000-0000-00002E6B0000}"/>
    <cellStyle name="Normal 4 7 4 3 3" xfId="9757" xr:uid="{00000000-0005-0000-0000-00002F6B0000}"/>
    <cellStyle name="Normal 4 7 4 3 3 2" xfId="9758" xr:uid="{00000000-0005-0000-0000-0000306B0000}"/>
    <cellStyle name="Normal 4 7 4 3 3 2 2" xfId="33249" xr:uid="{00000000-0005-0000-0000-0000316B0000}"/>
    <cellStyle name="Normal 4 7 4 3 3 3" xfId="33248" xr:uid="{00000000-0005-0000-0000-0000326B0000}"/>
    <cellStyle name="Normal 4 7 4 3 4" xfId="9759" xr:uid="{00000000-0005-0000-0000-0000336B0000}"/>
    <cellStyle name="Normal 4 7 4 3 4 2" xfId="33250" xr:uid="{00000000-0005-0000-0000-0000346B0000}"/>
    <cellStyle name="Normal 4 7 4 3 5" xfId="33243" xr:uid="{00000000-0005-0000-0000-0000356B0000}"/>
    <cellStyle name="Normal 4 7 4 4" xfId="9760" xr:uid="{00000000-0005-0000-0000-0000366B0000}"/>
    <cellStyle name="Normal 4 7 4 4 2" xfId="9761" xr:uid="{00000000-0005-0000-0000-0000376B0000}"/>
    <cellStyle name="Normal 4 7 4 4 2 2" xfId="9762" xr:uid="{00000000-0005-0000-0000-0000386B0000}"/>
    <cellStyle name="Normal 4 7 4 4 2 2 2" xfId="33253" xr:uid="{00000000-0005-0000-0000-0000396B0000}"/>
    <cellStyle name="Normal 4 7 4 4 2 3" xfId="33252" xr:uid="{00000000-0005-0000-0000-00003A6B0000}"/>
    <cellStyle name="Normal 4 7 4 4 3" xfId="9763" xr:uid="{00000000-0005-0000-0000-00003B6B0000}"/>
    <cellStyle name="Normal 4 7 4 4 3 2" xfId="33254" xr:uid="{00000000-0005-0000-0000-00003C6B0000}"/>
    <cellStyle name="Normal 4 7 4 4 4" xfId="33251" xr:uid="{00000000-0005-0000-0000-00003D6B0000}"/>
    <cellStyle name="Normal 4 7 4 5" xfId="9764" xr:uid="{00000000-0005-0000-0000-00003E6B0000}"/>
    <cellStyle name="Normal 4 7 4 5 2" xfId="9765" xr:uid="{00000000-0005-0000-0000-00003F6B0000}"/>
    <cellStyle name="Normal 4 7 4 5 2 2" xfId="33256" xr:uid="{00000000-0005-0000-0000-0000406B0000}"/>
    <cellStyle name="Normal 4 7 4 5 3" xfId="33255" xr:uid="{00000000-0005-0000-0000-0000416B0000}"/>
    <cellStyle name="Normal 4 7 4 6" xfId="9766" xr:uid="{00000000-0005-0000-0000-0000426B0000}"/>
    <cellStyle name="Normal 4 7 4 6 2" xfId="33257" xr:uid="{00000000-0005-0000-0000-0000436B0000}"/>
    <cellStyle name="Normal 4 7 4 7" xfId="33234" xr:uid="{00000000-0005-0000-0000-0000446B0000}"/>
    <cellStyle name="Normal 4 7 5" xfId="9767" xr:uid="{00000000-0005-0000-0000-0000456B0000}"/>
    <cellStyle name="Normal 4 7 5 2" xfId="9768" xr:uid="{00000000-0005-0000-0000-0000466B0000}"/>
    <cellStyle name="Normal 4 7 5 2 2" xfId="9769" xr:uid="{00000000-0005-0000-0000-0000476B0000}"/>
    <cellStyle name="Normal 4 7 5 2 2 2" xfId="9770" xr:uid="{00000000-0005-0000-0000-0000486B0000}"/>
    <cellStyle name="Normal 4 7 5 2 2 2 2" xfId="33261" xr:uid="{00000000-0005-0000-0000-0000496B0000}"/>
    <cellStyle name="Normal 4 7 5 2 2 3" xfId="33260" xr:uid="{00000000-0005-0000-0000-00004A6B0000}"/>
    <cellStyle name="Normal 4 7 5 2 3" xfId="9771" xr:uid="{00000000-0005-0000-0000-00004B6B0000}"/>
    <cellStyle name="Normal 4 7 5 2 3 2" xfId="33262" xr:uid="{00000000-0005-0000-0000-00004C6B0000}"/>
    <cellStyle name="Normal 4 7 5 2 4" xfId="33259" xr:uid="{00000000-0005-0000-0000-00004D6B0000}"/>
    <cellStyle name="Normal 4 7 5 3" xfId="9772" xr:uid="{00000000-0005-0000-0000-00004E6B0000}"/>
    <cellStyle name="Normal 4 7 5 3 2" xfId="9773" xr:uid="{00000000-0005-0000-0000-00004F6B0000}"/>
    <cellStyle name="Normal 4 7 5 3 2 2" xfId="33264" xr:uid="{00000000-0005-0000-0000-0000506B0000}"/>
    <cellStyle name="Normal 4 7 5 3 3" xfId="33263" xr:uid="{00000000-0005-0000-0000-0000516B0000}"/>
    <cellStyle name="Normal 4 7 5 4" xfId="9774" xr:uid="{00000000-0005-0000-0000-0000526B0000}"/>
    <cellStyle name="Normal 4 7 5 4 2" xfId="33265" xr:uid="{00000000-0005-0000-0000-0000536B0000}"/>
    <cellStyle name="Normal 4 7 5 5" xfId="33258" xr:uid="{00000000-0005-0000-0000-0000546B0000}"/>
    <cellStyle name="Normal 4 7 6" xfId="9775" xr:uid="{00000000-0005-0000-0000-0000556B0000}"/>
    <cellStyle name="Normal 4 7 6 2" xfId="9776" xr:uid="{00000000-0005-0000-0000-0000566B0000}"/>
    <cellStyle name="Normal 4 7 6 2 2" xfId="9777" xr:uid="{00000000-0005-0000-0000-0000576B0000}"/>
    <cellStyle name="Normal 4 7 6 2 2 2" xfId="9778" xr:uid="{00000000-0005-0000-0000-0000586B0000}"/>
    <cellStyle name="Normal 4 7 6 2 2 2 2" xfId="33269" xr:uid="{00000000-0005-0000-0000-0000596B0000}"/>
    <cellStyle name="Normal 4 7 6 2 2 3" xfId="33268" xr:uid="{00000000-0005-0000-0000-00005A6B0000}"/>
    <cellStyle name="Normal 4 7 6 2 3" xfId="9779" xr:uid="{00000000-0005-0000-0000-00005B6B0000}"/>
    <cellStyle name="Normal 4 7 6 2 3 2" xfId="33270" xr:uid="{00000000-0005-0000-0000-00005C6B0000}"/>
    <cellStyle name="Normal 4 7 6 2 4" xfId="33267" xr:uid="{00000000-0005-0000-0000-00005D6B0000}"/>
    <cellStyle name="Normal 4 7 6 3" xfId="9780" xr:uid="{00000000-0005-0000-0000-00005E6B0000}"/>
    <cellStyle name="Normal 4 7 6 3 2" xfId="9781" xr:uid="{00000000-0005-0000-0000-00005F6B0000}"/>
    <cellStyle name="Normal 4 7 6 3 2 2" xfId="33272" xr:uid="{00000000-0005-0000-0000-0000606B0000}"/>
    <cellStyle name="Normal 4 7 6 3 3" xfId="33271" xr:uid="{00000000-0005-0000-0000-0000616B0000}"/>
    <cellStyle name="Normal 4 7 6 4" xfId="9782" xr:uid="{00000000-0005-0000-0000-0000626B0000}"/>
    <cellStyle name="Normal 4 7 6 4 2" xfId="33273" xr:uid="{00000000-0005-0000-0000-0000636B0000}"/>
    <cellStyle name="Normal 4 7 6 5" xfId="33266" xr:uid="{00000000-0005-0000-0000-0000646B0000}"/>
    <cellStyle name="Normal 4 7 7" xfId="9783" xr:uid="{00000000-0005-0000-0000-0000656B0000}"/>
    <cellStyle name="Normal 4 7 7 2" xfId="9784" xr:uid="{00000000-0005-0000-0000-0000666B0000}"/>
    <cellStyle name="Normal 4 7 7 2 2" xfId="9785" xr:uid="{00000000-0005-0000-0000-0000676B0000}"/>
    <cellStyle name="Normal 4 7 7 2 2 2" xfId="33276" xr:uid="{00000000-0005-0000-0000-0000686B0000}"/>
    <cellStyle name="Normal 4 7 7 2 3" xfId="33275" xr:uid="{00000000-0005-0000-0000-0000696B0000}"/>
    <cellStyle name="Normal 4 7 7 3" xfId="9786" xr:uid="{00000000-0005-0000-0000-00006A6B0000}"/>
    <cellStyle name="Normal 4 7 7 3 2" xfId="33277" xr:uid="{00000000-0005-0000-0000-00006B6B0000}"/>
    <cellStyle name="Normal 4 7 7 4" xfId="33274" xr:uid="{00000000-0005-0000-0000-00006C6B0000}"/>
    <cellStyle name="Normal 4 7 8" xfId="9787" xr:uid="{00000000-0005-0000-0000-00006D6B0000}"/>
    <cellStyle name="Normal 4 7 8 2" xfId="9788" xr:uid="{00000000-0005-0000-0000-00006E6B0000}"/>
    <cellStyle name="Normal 4 7 8 2 2" xfId="33279" xr:uid="{00000000-0005-0000-0000-00006F6B0000}"/>
    <cellStyle name="Normal 4 7 8 3" xfId="33278" xr:uid="{00000000-0005-0000-0000-0000706B0000}"/>
    <cellStyle name="Normal 4 7 9" xfId="9789" xr:uid="{00000000-0005-0000-0000-0000716B0000}"/>
    <cellStyle name="Normal 4 7 9 2" xfId="33280" xr:uid="{00000000-0005-0000-0000-0000726B0000}"/>
    <cellStyle name="Normal 4 8" xfId="9790" xr:uid="{00000000-0005-0000-0000-0000736B0000}"/>
    <cellStyle name="Normal 4 8 10" xfId="33281" xr:uid="{00000000-0005-0000-0000-0000746B0000}"/>
    <cellStyle name="Normal 4 8 2" xfId="9791" xr:uid="{00000000-0005-0000-0000-0000756B0000}"/>
    <cellStyle name="Normal 4 8 2 2" xfId="9792" xr:uid="{00000000-0005-0000-0000-0000766B0000}"/>
    <cellStyle name="Normal 4 8 2 2 2" xfId="9793" xr:uid="{00000000-0005-0000-0000-0000776B0000}"/>
    <cellStyle name="Normal 4 8 2 2 2 2" xfId="9794" xr:uid="{00000000-0005-0000-0000-0000786B0000}"/>
    <cellStyle name="Normal 4 8 2 2 2 2 2" xfId="9795" xr:uid="{00000000-0005-0000-0000-0000796B0000}"/>
    <cellStyle name="Normal 4 8 2 2 2 2 2 2" xfId="33286" xr:uid="{00000000-0005-0000-0000-00007A6B0000}"/>
    <cellStyle name="Normal 4 8 2 2 2 2 3" xfId="33285" xr:uid="{00000000-0005-0000-0000-00007B6B0000}"/>
    <cellStyle name="Normal 4 8 2 2 2 3" xfId="9796" xr:uid="{00000000-0005-0000-0000-00007C6B0000}"/>
    <cellStyle name="Normal 4 8 2 2 2 3 2" xfId="33287" xr:uid="{00000000-0005-0000-0000-00007D6B0000}"/>
    <cellStyle name="Normal 4 8 2 2 2 4" xfId="33284" xr:uid="{00000000-0005-0000-0000-00007E6B0000}"/>
    <cellStyle name="Normal 4 8 2 2 3" xfId="9797" xr:uid="{00000000-0005-0000-0000-00007F6B0000}"/>
    <cellStyle name="Normal 4 8 2 2 3 2" xfId="9798" xr:uid="{00000000-0005-0000-0000-0000806B0000}"/>
    <cellStyle name="Normal 4 8 2 2 3 2 2" xfId="33289" xr:uid="{00000000-0005-0000-0000-0000816B0000}"/>
    <cellStyle name="Normal 4 8 2 2 3 3" xfId="33288" xr:uid="{00000000-0005-0000-0000-0000826B0000}"/>
    <cellStyle name="Normal 4 8 2 2 4" xfId="9799" xr:uid="{00000000-0005-0000-0000-0000836B0000}"/>
    <cellStyle name="Normal 4 8 2 2 4 2" xfId="33290" xr:uid="{00000000-0005-0000-0000-0000846B0000}"/>
    <cellStyle name="Normal 4 8 2 2 5" xfId="33283" xr:uid="{00000000-0005-0000-0000-0000856B0000}"/>
    <cellStyle name="Normal 4 8 2 3" xfId="9800" xr:uid="{00000000-0005-0000-0000-0000866B0000}"/>
    <cellStyle name="Normal 4 8 2 3 2" xfId="9801" xr:uid="{00000000-0005-0000-0000-0000876B0000}"/>
    <cellStyle name="Normal 4 8 2 3 2 2" xfId="9802" xr:uid="{00000000-0005-0000-0000-0000886B0000}"/>
    <cellStyle name="Normal 4 8 2 3 2 2 2" xfId="9803" xr:uid="{00000000-0005-0000-0000-0000896B0000}"/>
    <cellStyle name="Normal 4 8 2 3 2 2 2 2" xfId="33294" xr:uid="{00000000-0005-0000-0000-00008A6B0000}"/>
    <cellStyle name="Normal 4 8 2 3 2 2 3" xfId="33293" xr:uid="{00000000-0005-0000-0000-00008B6B0000}"/>
    <cellStyle name="Normal 4 8 2 3 2 3" xfId="9804" xr:uid="{00000000-0005-0000-0000-00008C6B0000}"/>
    <cellStyle name="Normal 4 8 2 3 2 3 2" xfId="33295" xr:uid="{00000000-0005-0000-0000-00008D6B0000}"/>
    <cellStyle name="Normal 4 8 2 3 2 4" xfId="33292" xr:uid="{00000000-0005-0000-0000-00008E6B0000}"/>
    <cellStyle name="Normal 4 8 2 3 3" xfId="9805" xr:uid="{00000000-0005-0000-0000-00008F6B0000}"/>
    <cellStyle name="Normal 4 8 2 3 3 2" xfId="9806" xr:uid="{00000000-0005-0000-0000-0000906B0000}"/>
    <cellStyle name="Normal 4 8 2 3 3 2 2" xfId="33297" xr:uid="{00000000-0005-0000-0000-0000916B0000}"/>
    <cellStyle name="Normal 4 8 2 3 3 3" xfId="33296" xr:uid="{00000000-0005-0000-0000-0000926B0000}"/>
    <cellStyle name="Normal 4 8 2 3 4" xfId="9807" xr:uid="{00000000-0005-0000-0000-0000936B0000}"/>
    <cellStyle name="Normal 4 8 2 3 4 2" xfId="33298" xr:uid="{00000000-0005-0000-0000-0000946B0000}"/>
    <cellStyle name="Normal 4 8 2 3 5" xfId="33291" xr:uid="{00000000-0005-0000-0000-0000956B0000}"/>
    <cellStyle name="Normal 4 8 2 4" xfId="9808" xr:uid="{00000000-0005-0000-0000-0000966B0000}"/>
    <cellStyle name="Normal 4 8 2 4 2" xfId="9809" xr:uid="{00000000-0005-0000-0000-0000976B0000}"/>
    <cellStyle name="Normal 4 8 2 4 2 2" xfId="9810" xr:uid="{00000000-0005-0000-0000-0000986B0000}"/>
    <cellStyle name="Normal 4 8 2 4 2 2 2" xfId="33301" xr:uid="{00000000-0005-0000-0000-0000996B0000}"/>
    <cellStyle name="Normal 4 8 2 4 2 3" xfId="33300" xr:uid="{00000000-0005-0000-0000-00009A6B0000}"/>
    <cellStyle name="Normal 4 8 2 4 3" xfId="9811" xr:uid="{00000000-0005-0000-0000-00009B6B0000}"/>
    <cellStyle name="Normal 4 8 2 4 3 2" xfId="33302" xr:uid="{00000000-0005-0000-0000-00009C6B0000}"/>
    <cellStyle name="Normal 4 8 2 4 4" xfId="33299" xr:uid="{00000000-0005-0000-0000-00009D6B0000}"/>
    <cellStyle name="Normal 4 8 2 5" xfId="9812" xr:uid="{00000000-0005-0000-0000-00009E6B0000}"/>
    <cellStyle name="Normal 4 8 2 5 2" xfId="9813" xr:uid="{00000000-0005-0000-0000-00009F6B0000}"/>
    <cellStyle name="Normal 4 8 2 5 2 2" xfId="33304" xr:uid="{00000000-0005-0000-0000-0000A06B0000}"/>
    <cellStyle name="Normal 4 8 2 5 3" xfId="33303" xr:uid="{00000000-0005-0000-0000-0000A16B0000}"/>
    <cellStyle name="Normal 4 8 2 6" xfId="9814" xr:uid="{00000000-0005-0000-0000-0000A26B0000}"/>
    <cellStyle name="Normal 4 8 2 6 2" xfId="33305" xr:uid="{00000000-0005-0000-0000-0000A36B0000}"/>
    <cellStyle name="Normal 4 8 2 7" xfId="33282" xr:uid="{00000000-0005-0000-0000-0000A46B0000}"/>
    <cellStyle name="Normal 4 8 3" xfId="9815" xr:uid="{00000000-0005-0000-0000-0000A56B0000}"/>
    <cellStyle name="Normal 4 8 3 2" xfId="9816" xr:uid="{00000000-0005-0000-0000-0000A66B0000}"/>
    <cellStyle name="Normal 4 8 3 2 2" xfId="9817" xr:uid="{00000000-0005-0000-0000-0000A76B0000}"/>
    <cellStyle name="Normal 4 8 3 2 2 2" xfId="9818" xr:uid="{00000000-0005-0000-0000-0000A86B0000}"/>
    <cellStyle name="Normal 4 8 3 2 2 2 2" xfId="9819" xr:uid="{00000000-0005-0000-0000-0000A96B0000}"/>
    <cellStyle name="Normal 4 8 3 2 2 2 2 2" xfId="33310" xr:uid="{00000000-0005-0000-0000-0000AA6B0000}"/>
    <cellStyle name="Normal 4 8 3 2 2 2 3" xfId="33309" xr:uid="{00000000-0005-0000-0000-0000AB6B0000}"/>
    <cellStyle name="Normal 4 8 3 2 2 3" xfId="9820" xr:uid="{00000000-0005-0000-0000-0000AC6B0000}"/>
    <cellStyle name="Normal 4 8 3 2 2 3 2" xfId="33311" xr:uid="{00000000-0005-0000-0000-0000AD6B0000}"/>
    <cellStyle name="Normal 4 8 3 2 2 4" xfId="33308" xr:uid="{00000000-0005-0000-0000-0000AE6B0000}"/>
    <cellStyle name="Normal 4 8 3 2 3" xfId="9821" xr:uid="{00000000-0005-0000-0000-0000AF6B0000}"/>
    <cellStyle name="Normal 4 8 3 2 3 2" xfId="9822" xr:uid="{00000000-0005-0000-0000-0000B06B0000}"/>
    <cellStyle name="Normal 4 8 3 2 3 2 2" xfId="33313" xr:uid="{00000000-0005-0000-0000-0000B16B0000}"/>
    <cellStyle name="Normal 4 8 3 2 3 3" xfId="33312" xr:uid="{00000000-0005-0000-0000-0000B26B0000}"/>
    <cellStyle name="Normal 4 8 3 2 4" xfId="9823" xr:uid="{00000000-0005-0000-0000-0000B36B0000}"/>
    <cellStyle name="Normal 4 8 3 2 4 2" xfId="33314" xr:uid="{00000000-0005-0000-0000-0000B46B0000}"/>
    <cellStyle name="Normal 4 8 3 2 5" xfId="33307" xr:uid="{00000000-0005-0000-0000-0000B56B0000}"/>
    <cellStyle name="Normal 4 8 3 3" xfId="9824" xr:uid="{00000000-0005-0000-0000-0000B66B0000}"/>
    <cellStyle name="Normal 4 8 3 3 2" xfId="9825" xr:uid="{00000000-0005-0000-0000-0000B76B0000}"/>
    <cellStyle name="Normal 4 8 3 3 2 2" xfId="9826" xr:uid="{00000000-0005-0000-0000-0000B86B0000}"/>
    <cellStyle name="Normal 4 8 3 3 2 2 2" xfId="9827" xr:uid="{00000000-0005-0000-0000-0000B96B0000}"/>
    <cellStyle name="Normal 4 8 3 3 2 2 2 2" xfId="33318" xr:uid="{00000000-0005-0000-0000-0000BA6B0000}"/>
    <cellStyle name="Normal 4 8 3 3 2 2 3" xfId="33317" xr:uid="{00000000-0005-0000-0000-0000BB6B0000}"/>
    <cellStyle name="Normal 4 8 3 3 2 3" xfId="9828" xr:uid="{00000000-0005-0000-0000-0000BC6B0000}"/>
    <cellStyle name="Normal 4 8 3 3 2 3 2" xfId="33319" xr:uid="{00000000-0005-0000-0000-0000BD6B0000}"/>
    <cellStyle name="Normal 4 8 3 3 2 4" xfId="33316" xr:uid="{00000000-0005-0000-0000-0000BE6B0000}"/>
    <cellStyle name="Normal 4 8 3 3 3" xfId="9829" xr:uid="{00000000-0005-0000-0000-0000BF6B0000}"/>
    <cellStyle name="Normal 4 8 3 3 3 2" xfId="9830" xr:uid="{00000000-0005-0000-0000-0000C06B0000}"/>
    <cellStyle name="Normal 4 8 3 3 3 2 2" xfId="33321" xr:uid="{00000000-0005-0000-0000-0000C16B0000}"/>
    <cellStyle name="Normal 4 8 3 3 3 3" xfId="33320" xr:uid="{00000000-0005-0000-0000-0000C26B0000}"/>
    <cellStyle name="Normal 4 8 3 3 4" xfId="9831" xr:uid="{00000000-0005-0000-0000-0000C36B0000}"/>
    <cellStyle name="Normal 4 8 3 3 4 2" xfId="33322" xr:uid="{00000000-0005-0000-0000-0000C46B0000}"/>
    <cellStyle name="Normal 4 8 3 3 5" xfId="33315" xr:uid="{00000000-0005-0000-0000-0000C56B0000}"/>
    <cellStyle name="Normal 4 8 3 4" xfId="9832" xr:uid="{00000000-0005-0000-0000-0000C66B0000}"/>
    <cellStyle name="Normal 4 8 3 4 2" xfId="9833" xr:uid="{00000000-0005-0000-0000-0000C76B0000}"/>
    <cellStyle name="Normal 4 8 3 4 2 2" xfId="9834" xr:uid="{00000000-0005-0000-0000-0000C86B0000}"/>
    <cellStyle name="Normal 4 8 3 4 2 2 2" xfId="33325" xr:uid="{00000000-0005-0000-0000-0000C96B0000}"/>
    <cellStyle name="Normal 4 8 3 4 2 3" xfId="33324" xr:uid="{00000000-0005-0000-0000-0000CA6B0000}"/>
    <cellStyle name="Normal 4 8 3 4 3" xfId="9835" xr:uid="{00000000-0005-0000-0000-0000CB6B0000}"/>
    <cellStyle name="Normal 4 8 3 4 3 2" xfId="33326" xr:uid="{00000000-0005-0000-0000-0000CC6B0000}"/>
    <cellStyle name="Normal 4 8 3 4 4" xfId="33323" xr:uid="{00000000-0005-0000-0000-0000CD6B0000}"/>
    <cellStyle name="Normal 4 8 3 5" xfId="9836" xr:uid="{00000000-0005-0000-0000-0000CE6B0000}"/>
    <cellStyle name="Normal 4 8 3 5 2" xfId="9837" xr:uid="{00000000-0005-0000-0000-0000CF6B0000}"/>
    <cellStyle name="Normal 4 8 3 5 2 2" xfId="33328" xr:uid="{00000000-0005-0000-0000-0000D06B0000}"/>
    <cellStyle name="Normal 4 8 3 5 3" xfId="33327" xr:uid="{00000000-0005-0000-0000-0000D16B0000}"/>
    <cellStyle name="Normal 4 8 3 6" xfId="9838" xr:uid="{00000000-0005-0000-0000-0000D26B0000}"/>
    <cellStyle name="Normal 4 8 3 6 2" xfId="33329" xr:uid="{00000000-0005-0000-0000-0000D36B0000}"/>
    <cellStyle name="Normal 4 8 3 7" xfId="33306" xr:uid="{00000000-0005-0000-0000-0000D46B0000}"/>
    <cellStyle name="Normal 4 8 4" xfId="9839" xr:uid="{00000000-0005-0000-0000-0000D56B0000}"/>
    <cellStyle name="Normal 4 8 4 2" xfId="9840" xr:uid="{00000000-0005-0000-0000-0000D66B0000}"/>
    <cellStyle name="Normal 4 8 4 2 2" xfId="9841" xr:uid="{00000000-0005-0000-0000-0000D76B0000}"/>
    <cellStyle name="Normal 4 8 4 2 2 2" xfId="9842" xr:uid="{00000000-0005-0000-0000-0000D86B0000}"/>
    <cellStyle name="Normal 4 8 4 2 2 2 2" xfId="9843" xr:uid="{00000000-0005-0000-0000-0000D96B0000}"/>
    <cellStyle name="Normal 4 8 4 2 2 2 2 2" xfId="33334" xr:uid="{00000000-0005-0000-0000-0000DA6B0000}"/>
    <cellStyle name="Normal 4 8 4 2 2 2 3" xfId="33333" xr:uid="{00000000-0005-0000-0000-0000DB6B0000}"/>
    <cellStyle name="Normal 4 8 4 2 2 3" xfId="9844" xr:uid="{00000000-0005-0000-0000-0000DC6B0000}"/>
    <cellStyle name="Normal 4 8 4 2 2 3 2" xfId="33335" xr:uid="{00000000-0005-0000-0000-0000DD6B0000}"/>
    <cellStyle name="Normal 4 8 4 2 2 4" xfId="33332" xr:uid="{00000000-0005-0000-0000-0000DE6B0000}"/>
    <cellStyle name="Normal 4 8 4 2 3" xfId="9845" xr:uid="{00000000-0005-0000-0000-0000DF6B0000}"/>
    <cellStyle name="Normal 4 8 4 2 3 2" xfId="9846" xr:uid="{00000000-0005-0000-0000-0000E06B0000}"/>
    <cellStyle name="Normal 4 8 4 2 3 2 2" xfId="33337" xr:uid="{00000000-0005-0000-0000-0000E16B0000}"/>
    <cellStyle name="Normal 4 8 4 2 3 3" xfId="33336" xr:uid="{00000000-0005-0000-0000-0000E26B0000}"/>
    <cellStyle name="Normal 4 8 4 2 4" xfId="9847" xr:uid="{00000000-0005-0000-0000-0000E36B0000}"/>
    <cellStyle name="Normal 4 8 4 2 4 2" xfId="33338" xr:uid="{00000000-0005-0000-0000-0000E46B0000}"/>
    <cellStyle name="Normal 4 8 4 2 5" xfId="33331" xr:uid="{00000000-0005-0000-0000-0000E56B0000}"/>
    <cellStyle name="Normal 4 8 4 3" xfId="9848" xr:uid="{00000000-0005-0000-0000-0000E66B0000}"/>
    <cellStyle name="Normal 4 8 4 3 2" xfId="9849" xr:uid="{00000000-0005-0000-0000-0000E76B0000}"/>
    <cellStyle name="Normal 4 8 4 3 2 2" xfId="9850" xr:uid="{00000000-0005-0000-0000-0000E86B0000}"/>
    <cellStyle name="Normal 4 8 4 3 2 2 2" xfId="9851" xr:uid="{00000000-0005-0000-0000-0000E96B0000}"/>
    <cellStyle name="Normal 4 8 4 3 2 2 2 2" xfId="33342" xr:uid="{00000000-0005-0000-0000-0000EA6B0000}"/>
    <cellStyle name="Normal 4 8 4 3 2 2 3" xfId="33341" xr:uid="{00000000-0005-0000-0000-0000EB6B0000}"/>
    <cellStyle name="Normal 4 8 4 3 2 3" xfId="9852" xr:uid="{00000000-0005-0000-0000-0000EC6B0000}"/>
    <cellStyle name="Normal 4 8 4 3 2 3 2" xfId="33343" xr:uid="{00000000-0005-0000-0000-0000ED6B0000}"/>
    <cellStyle name="Normal 4 8 4 3 2 4" xfId="33340" xr:uid="{00000000-0005-0000-0000-0000EE6B0000}"/>
    <cellStyle name="Normal 4 8 4 3 3" xfId="9853" xr:uid="{00000000-0005-0000-0000-0000EF6B0000}"/>
    <cellStyle name="Normal 4 8 4 3 3 2" xfId="9854" xr:uid="{00000000-0005-0000-0000-0000F06B0000}"/>
    <cellStyle name="Normal 4 8 4 3 3 2 2" xfId="33345" xr:uid="{00000000-0005-0000-0000-0000F16B0000}"/>
    <cellStyle name="Normal 4 8 4 3 3 3" xfId="33344" xr:uid="{00000000-0005-0000-0000-0000F26B0000}"/>
    <cellStyle name="Normal 4 8 4 3 4" xfId="9855" xr:uid="{00000000-0005-0000-0000-0000F36B0000}"/>
    <cellStyle name="Normal 4 8 4 3 4 2" xfId="33346" xr:uid="{00000000-0005-0000-0000-0000F46B0000}"/>
    <cellStyle name="Normal 4 8 4 3 5" xfId="33339" xr:uid="{00000000-0005-0000-0000-0000F56B0000}"/>
    <cellStyle name="Normal 4 8 4 4" xfId="9856" xr:uid="{00000000-0005-0000-0000-0000F66B0000}"/>
    <cellStyle name="Normal 4 8 4 4 2" xfId="9857" xr:uid="{00000000-0005-0000-0000-0000F76B0000}"/>
    <cellStyle name="Normal 4 8 4 4 2 2" xfId="9858" xr:uid="{00000000-0005-0000-0000-0000F86B0000}"/>
    <cellStyle name="Normal 4 8 4 4 2 2 2" xfId="33349" xr:uid="{00000000-0005-0000-0000-0000F96B0000}"/>
    <cellStyle name="Normal 4 8 4 4 2 3" xfId="33348" xr:uid="{00000000-0005-0000-0000-0000FA6B0000}"/>
    <cellStyle name="Normal 4 8 4 4 3" xfId="9859" xr:uid="{00000000-0005-0000-0000-0000FB6B0000}"/>
    <cellStyle name="Normal 4 8 4 4 3 2" xfId="33350" xr:uid="{00000000-0005-0000-0000-0000FC6B0000}"/>
    <cellStyle name="Normal 4 8 4 4 4" xfId="33347" xr:uid="{00000000-0005-0000-0000-0000FD6B0000}"/>
    <cellStyle name="Normal 4 8 4 5" xfId="9860" xr:uid="{00000000-0005-0000-0000-0000FE6B0000}"/>
    <cellStyle name="Normal 4 8 4 5 2" xfId="9861" xr:uid="{00000000-0005-0000-0000-0000FF6B0000}"/>
    <cellStyle name="Normal 4 8 4 5 2 2" xfId="33352" xr:uid="{00000000-0005-0000-0000-0000006C0000}"/>
    <cellStyle name="Normal 4 8 4 5 3" xfId="33351" xr:uid="{00000000-0005-0000-0000-0000016C0000}"/>
    <cellStyle name="Normal 4 8 4 6" xfId="9862" xr:uid="{00000000-0005-0000-0000-0000026C0000}"/>
    <cellStyle name="Normal 4 8 4 6 2" xfId="33353" xr:uid="{00000000-0005-0000-0000-0000036C0000}"/>
    <cellStyle name="Normal 4 8 4 7" xfId="33330" xr:uid="{00000000-0005-0000-0000-0000046C0000}"/>
    <cellStyle name="Normal 4 8 5" xfId="9863" xr:uid="{00000000-0005-0000-0000-0000056C0000}"/>
    <cellStyle name="Normal 4 8 5 2" xfId="9864" xr:uid="{00000000-0005-0000-0000-0000066C0000}"/>
    <cellStyle name="Normal 4 8 5 2 2" xfId="9865" xr:uid="{00000000-0005-0000-0000-0000076C0000}"/>
    <cellStyle name="Normal 4 8 5 2 2 2" xfId="9866" xr:uid="{00000000-0005-0000-0000-0000086C0000}"/>
    <cellStyle name="Normal 4 8 5 2 2 2 2" xfId="33357" xr:uid="{00000000-0005-0000-0000-0000096C0000}"/>
    <cellStyle name="Normal 4 8 5 2 2 3" xfId="33356" xr:uid="{00000000-0005-0000-0000-00000A6C0000}"/>
    <cellStyle name="Normal 4 8 5 2 3" xfId="9867" xr:uid="{00000000-0005-0000-0000-00000B6C0000}"/>
    <cellStyle name="Normal 4 8 5 2 3 2" xfId="33358" xr:uid="{00000000-0005-0000-0000-00000C6C0000}"/>
    <cellStyle name="Normal 4 8 5 2 4" xfId="33355" xr:uid="{00000000-0005-0000-0000-00000D6C0000}"/>
    <cellStyle name="Normal 4 8 5 3" xfId="9868" xr:uid="{00000000-0005-0000-0000-00000E6C0000}"/>
    <cellStyle name="Normal 4 8 5 3 2" xfId="9869" xr:uid="{00000000-0005-0000-0000-00000F6C0000}"/>
    <cellStyle name="Normal 4 8 5 3 2 2" xfId="33360" xr:uid="{00000000-0005-0000-0000-0000106C0000}"/>
    <cellStyle name="Normal 4 8 5 3 3" xfId="33359" xr:uid="{00000000-0005-0000-0000-0000116C0000}"/>
    <cellStyle name="Normal 4 8 5 4" xfId="9870" xr:uid="{00000000-0005-0000-0000-0000126C0000}"/>
    <cellStyle name="Normal 4 8 5 4 2" xfId="33361" xr:uid="{00000000-0005-0000-0000-0000136C0000}"/>
    <cellStyle name="Normal 4 8 5 5" xfId="33354" xr:uid="{00000000-0005-0000-0000-0000146C0000}"/>
    <cellStyle name="Normal 4 8 6" xfId="9871" xr:uid="{00000000-0005-0000-0000-0000156C0000}"/>
    <cellStyle name="Normal 4 8 6 2" xfId="9872" xr:uid="{00000000-0005-0000-0000-0000166C0000}"/>
    <cellStyle name="Normal 4 8 6 2 2" xfId="9873" xr:uid="{00000000-0005-0000-0000-0000176C0000}"/>
    <cellStyle name="Normal 4 8 6 2 2 2" xfId="9874" xr:uid="{00000000-0005-0000-0000-0000186C0000}"/>
    <cellStyle name="Normal 4 8 6 2 2 2 2" xfId="33365" xr:uid="{00000000-0005-0000-0000-0000196C0000}"/>
    <cellStyle name="Normal 4 8 6 2 2 3" xfId="33364" xr:uid="{00000000-0005-0000-0000-00001A6C0000}"/>
    <cellStyle name="Normal 4 8 6 2 3" xfId="9875" xr:uid="{00000000-0005-0000-0000-00001B6C0000}"/>
    <cellStyle name="Normal 4 8 6 2 3 2" xfId="33366" xr:uid="{00000000-0005-0000-0000-00001C6C0000}"/>
    <cellStyle name="Normal 4 8 6 2 4" xfId="33363" xr:uid="{00000000-0005-0000-0000-00001D6C0000}"/>
    <cellStyle name="Normal 4 8 6 3" xfId="9876" xr:uid="{00000000-0005-0000-0000-00001E6C0000}"/>
    <cellStyle name="Normal 4 8 6 3 2" xfId="9877" xr:uid="{00000000-0005-0000-0000-00001F6C0000}"/>
    <cellStyle name="Normal 4 8 6 3 2 2" xfId="33368" xr:uid="{00000000-0005-0000-0000-0000206C0000}"/>
    <cellStyle name="Normal 4 8 6 3 3" xfId="33367" xr:uid="{00000000-0005-0000-0000-0000216C0000}"/>
    <cellStyle name="Normal 4 8 6 4" xfId="9878" xr:uid="{00000000-0005-0000-0000-0000226C0000}"/>
    <cellStyle name="Normal 4 8 6 4 2" xfId="33369" xr:uid="{00000000-0005-0000-0000-0000236C0000}"/>
    <cellStyle name="Normal 4 8 6 5" xfId="33362" xr:uid="{00000000-0005-0000-0000-0000246C0000}"/>
    <cellStyle name="Normal 4 8 7" xfId="9879" xr:uid="{00000000-0005-0000-0000-0000256C0000}"/>
    <cellStyle name="Normal 4 8 7 2" xfId="9880" xr:uid="{00000000-0005-0000-0000-0000266C0000}"/>
    <cellStyle name="Normal 4 8 7 2 2" xfId="9881" xr:uid="{00000000-0005-0000-0000-0000276C0000}"/>
    <cellStyle name="Normal 4 8 7 2 2 2" xfId="33372" xr:uid="{00000000-0005-0000-0000-0000286C0000}"/>
    <cellStyle name="Normal 4 8 7 2 3" xfId="33371" xr:uid="{00000000-0005-0000-0000-0000296C0000}"/>
    <cellStyle name="Normal 4 8 7 3" xfId="9882" xr:uid="{00000000-0005-0000-0000-00002A6C0000}"/>
    <cellStyle name="Normal 4 8 7 3 2" xfId="33373" xr:uid="{00000000-0005-0000-0000-00002B6C0000}"/>
    <cellStyle name="Normal 4 8 7 4" xfId="33370" xr:uid="{00000000-0005-0000-0000-00002C6C0000}"/>
    <cellStyle name="Normal 4 8 8" xfId="9883" xr:uid="{00000000-0005-0000-0000-00002D6C0000}"/>
    <cellStyle name="Normal 4 8 8 2" xfId="9884" xr:uid="{00000000-0005-0000-0000-00002E6C0000}"/>
    <cellStyle name="Normal 4 8 8 2 2" xfId="33375" xr:uid="{00000000-0005-0000-0000-00002F6C0000}"/>
    <cellStyle name="Normal 4 8 8 3" xfId="33374" xr:uid="{00000000-0005-0000-0000-0000306C0000}"/>
    <cellStyle name="Normal 4 8 9" xfId="9885" xr:uid="{00000000-0005-0000-0000-0000316C0000}"/>
    <cellStyle name="Normal 4 8 9 2" xfId="33376" xr:uid="{00000000-0005-0000-0000-0000326C0000}"/>
    <cellStyle name="Normal 4 9" xfId="9886" xr:uid="{00000000-0005-0000-0000-0000336C0000}"/>
    <cellStyle name="Normal 4 9 2" xfId="9887" xr:uid="{00000000-0005-0000-0000-0000346C0000}"/>
    <cellStyle name="Normal 4 9 2 2" xfId="9888" xr:uid="{00000000-0005-0000-0000-0000356C0000}"/>
    <cellStyle name="Normal 4 9 2 2 2" xfId="9889" xr:uid="{00000000-0005-0000-0000-0000366C0000}"/>
    <cellStyle name="Normal 4 9 2 2 2 2" xfId="9890" xr:uid="{00000000-0005-0000-0000-0000376C0000}"/>
    <cellStyle name="Normal 4 9 2 2 2 2 2" xfId="9891" xr:uid="{00000000-0005-0000-0000-0000386C0000}"/>
    <cellStyle name="Normal 4 9 2 2 2 2 2 2" xfId="33381" xr:uid="{00000000-0005-0000-0000-0000396C0000}"/>
    <cellStyle name="Normal 4 9 2 2 2 2 3" xfId="33380" xr:uid="{00000000-0005-0000-0000-00003A6C0000}"/>
    <cellStyle name="Normal 4 9 2 2 2 3" xfId="9892" xr:uid="{00000000-0005-0000-0000-00003B6C0000}"/>
    <cellStyle name="Normal 4 9 2 2 2 3 2" xfId="33382" xr:uid="{00000000-0005-0000-0000-00003C6C0000}"/>
    <cellStyle name="Normal 4 9 2 2 2 4" xfId="33379" xr:uid="{00000000-0005-0000-0000-00003D6C0000}"/>
    <cellStyle name="Normal 4 9 2 2 3" xfId="9893" xr:uid="{00000000-0005-0000-0000-00003E6C0000}"/>
    <cellStyle name="Normal 4 9 2 2 3 2" xfId="9894" xr:uid="{00000000-0005-0000-0000-00003F6C0000}"/>
    <cellStyle name="Normal 4 9 2 2 3 2 2" xfId="33384" xr:uid="{00000000-0005-0000-0000-0000406C0000}"/>
    <cellStyle name="Normal 4 9 2 2 3 3" xfId="33383" xr:uid="{00000000-0005-0000-0000-0000416C0000}"/>
    <cellStyle name="Normal 4 9 2 2 4" xfId="9895" xr:uid="{00000000-0005-0000-0000-0000426C0000}"/>
    <cellStyle name="Normal 4 9 2 2 4 2" xfId="33385" xr:uid="{00000000-0005-0000-0000-0000436C0000}"/>
    <cellStyle name="Normal 4 9 2 2 5" xfId="33378" xr:uid="{00000000-0005-0000-0000-0000446C0000}"/>
    <cellStyle name="Normal 4 9 2 3" xfId="9896" xr:uid="{00000000-0005-0000-0000-0000456C0000}"/>
    <cellStyle name="Normal 4 9 2 3 2" xfId="9897" xr:uid="{00000000-0005-0000-0000-0000466C0000}"/>
    <cellStyle name="Normal 4 9 2 3 2 2" xfId="9898" xr:uid="{00000000-0005-0000-0000-0000476C0000}"/>
    <cellStyle name="Normal 4 9 2 3 2 2 2" xfId="9899" xr:uid="{00000000-0005-0000-0000-0000486C0000}"/>
    <cellStyle name="Normal 4 9 2 3 2 2 2 2" xfId="33389" xr:uid="{00000000-0005-0000-0000-0000496C0000}"/>
    <cellStyle name="Normal 4 9 2 3 2 2 3" xfId="33388" xr:uid="{00000000-0005-0000-0000-00004A6C0000}"/>
    <cellStyle name="Normal 4 9 2 3 2 3" xfId="9900" xr:uid="{00000000-0005-0000-0000-00004B6C0000}"/>
    <cellStyle name="Normal 4 9 2 3 2 3 2" xfId="33390" xr:uid="{00000000-0005-0000-0000-00004C6C0000}"/>
    <cellStyle name="Normal 4 9 2 3 2 4" xfId="33387" xr:uid="{00000000-0005-0000-0000-00004D6C0000}"/>
    <cellStyle name="Normal 4 9 2 3 3" xfId="9901" xr:uid="{00000000-0005-0000-0000-00004E6C0000}"/>
    <cellStyle name="Normal 4 9 2 3 3 2" xfId="9902" xr:uid="{00000000-0005-0000-0000-00004F6C0000}"/>
    <cellStyle name="Normal 4 9 2 3 3 2 2" xfId="33392" xr:uid="{00000000-0005-0000-0000-0000506C0000}"/>
    <cellStyle name="Normal 4 9 2 3 3 3" xfId="33391" xr:uid="{00000000-0005-0000-0000-0000516C0000}"/>
    <cellStyle name="Normal 4 9 2 3 4" xfId="9903" xr:uid="{00000000-0005-0000-0000-0000526C0000}"/>
    <cellStyle name="Normal 4 9 2 3 4 2" xfId="33393" xr:uid="{00000000-0005-0000-0000-0000536C0000}"/>
    <cellStyle name="Normal 4 9 2 3 5" xfId="33386" xr:uid="{00000000-0005-0000-0000-0000546C0000}"/>
    <cellStyle name="Normal 4 9 2 4" xfId="9904" xr:uid="{00000000-0005-0000-0000-0000556C0000}"/>
    <cellStyle name="Normal 4 9 2 4 2" xfId="9905" xr:uid="{00000000-0005-0000-0000-0000566C0000}"/>
    <cellStyle name="Normal 4 9 2 4 2 2" xfId="9906" xr:uid="{00000000-0005-0000-0000-0000576C0000}"/>
    <cellStyle name="Normal 4 9 2 4 2 2 2" xfId="33396" xr:uid="{00000000-0005-0000-0000-0000586C0000}"/>
    <cellStyle name="Normal 4 9 2 4 2 3" xfId="33395" xr:uid="{00000000-0005-0000-0000-0000596C0000}"/>
    <cellStyle name="Normal 4 9 2 4 3" xfId="9907" xr:uid="{00000000-0005-0000-0000-00005A6C0000}"/>
    <cellStyle name="Normal 4 9 2 4 3 2" xfId="33397" xr:uid="{00000000-0005-0000-0000-00005B6C0000}"/>
    <cellStyle name="Normal 4 9 2 4 4" xfId="33394" xr:uid="{00000000-0005-0000-0000-00005C6C0000}"/>
    <cellStyle name="Normal 4 9 2 5" xfId="9908" xr:uid="{00000000-0005-0000-0000-00005D6C0000}"/>
    <cellStyle name="Normal 4 9 2 5 2" xfId="9909" xr:uid="{00000000-0005-0000-0000-00005E6C0000}"/>
    <cellStyle name="Normal 4 9 2 5 2 2" xfId="33399" xr:uid="{00000000-0005-0000-0000-00005F6C0000}"/>
    <cellStyle name="Normal 4 9 2 5 3" xfId="33398" xr:uid="{00000000-0005-0000-0000-0000606C0000}"/>
    <cellStyle name="Normal 4 9 2 6" xfId="9910" xr:uid="{00000000-0005-0000-0000-0000616C0000}"/>
    <cellStyle name="Normal 4 9 2 6 2" xfId="33400" xr:uid="{00000000-0005-0000-0000-0000626C0000}"/>
    <cellStyle name="Normal 4 9 2 7" xfId="33377" xr:uid="{00000000-0005-0000-0000-0000636C0000}"/>
    <cellStyle name="Normal 43" xfId="23114" xr:uid="{00000000-0005-0000-0000-0000646C0000}"/>
    <cellStyle name="Normal 43 2" xfId="46362" xr:uid="{00000000-0005-0000-0000-0000656C0000}"/>
    <cellStyle name="Normal 5" xfId="25" xr:uid="{00000000-0005-0000-0000-0000666C0000}"/>
    <cellStyle name="Normal 5 10" xfId="9912" xr:uid="{00000000-0005-0000-0000-0000676C0000}"/>
    <cellStyle name="Normal 5 10 2" xfId="9913" xr:uid="{00000000-0005-0000-0000-0000686C0000}"/>
    <cellStyle name="Normal 5 10 2 2" xfId="9914" xr:uid="{00000000-0005-0000-0000-0000696C0000}"/>
    <cellStyle name="Normal 5 10 2 2 2" xfId="9915" xr:uid="{00000000-0005-0000-0000-00006A6C0000}"/>
    <cellStyle name="Normal 5 10 2 2 2 2" xfId="9916" xr:uid="{00000000-0005-0000-0000-00006B6C0000}"/>
    <cellStyle name="Normal 5 10 2 2 2 2 2" xfId="33406" xr:uid="{00000000-0005-0000-0000-00006C6C0000}"/>
    <cellStyle name="Normal 5 10 2 2 2 3" xfId="33405" xr:uid="{00000000-0005-0000-0000-00006D6C0000}"/>
    <cellStyle name="Normal 5 10 2 2 3" xfId="9917" xr:uid="{00000000-0005-0000-0000-00006E6C0000}"/>
    <cellStyle name="Normal 5 10 2 2 3 2" xfId="33407" xr:uid="{00000000-0005-0000-0000-00006F6C0000}"/>
    <cellStyle name="Normal 5 10 2 2 4" xfId="33404" xr:uid="{00000000-0005-0000-0000-0000706C0000}"/>
    <cellStyle name="Normal 5 10 2 3" xfId="9918" xr:uid="{00000000-0005-0000-0000-0000716C0000}"/>
    <cellStyle name="Normal 5 10 2 3 2" xfId="9919" xr:uid="{00000000-0005-0000-0000-0000726C0000}"/>
    <cellStyle name="Normal 5 10 2 3 2 2" xfId="33409" xr:uid="{00000000-0005-0000-0000-0000736C0000}"/>
    <cellStyle name="Normal 5 10 2 3 3" xfId="33408" xr:uid="{00000000-0005-0000-0000-0000746C0000}"/>
    <cellStyle name="Normal 5 10 2 4" xfId="9920" xr:uid="{00000000-0005-0000-0000-0000756C0000}"/>
    <cellStyle name="Normal 5 10 2 4 2" xfId="33410" xr:uid="{00000000-0005-0000-0000-0000766C0000}"/>
    <cellStyle name="Normal 5 10 2 5" xfId="33403" xr:uid="{00000000-0005-0000-0000-0000776C0000}"/>
    <cellStyle name="Normal 5 10 3" xfId="9921" xr:uid="{00000000-0005-0000-0000-0000786C0000}"/>
    <cellStyle name="Normal 5 10 3 2" xfId="9922" xr:uid="{00000000-0005-0000-0000-0000796C0000}"/>
    <cellStyle name="Normal 5 10 3 2 2" xfId="9923" xr:uid="{00000000-0005-0000-0000-00007A6C0000}"/>
    <cellStyle name="Normal 5 10 3 2 2 2" xfId="9924" xr:uid="{00000000-0005-0000-0000-00007B6C0000}"/>
    <cellStyle name="Normal 5 10 3 2 2 2 2" xfId="33414" xr:uid="{00000000-0005-0000-0000-00007C6C0000}"/>
    <cellStyle name="Normal 5 10 3 2 2 3" xfId="33413" xr:uid="{00000000-0005-0000-0000-00007D6C0000}"/>
    <cellStyle name="Normal 5 10 3 2 3" xfId="9925" xr:uid="{00000000-0005-0000-0000-00007E6C0000}"/>
    <cellStyle name="Normal 5 10 3 2 3 2" xfId="33415" xr:uid="{00000000-0005-0000-0000-00007F6C0000}"/>
    <cellStyle name="Normal 5 10 3 2 4" xfId="33412" xr:uid="{00000000-0005-0000-0000-0000806C0000}"/>
    <cellStyle name="Normal 5 10 3 3" xfId="9926" xr:uid="{00000000-0005-0000-0000-0000816C0000}"/>
    <cellStyle name="Normal 5 10 3 3 2" xfId="9927" xr:uid="{00000000-0005-0000-0000-0000826C0000}"/>
    <cellStyle name="Normal 5 10 3 3 2 2" xfId="33417" xr:uid="{00000000-0005-0000-0000-0000836C0000}"/>
    <cellStyle name="Normal 5 10 3 3 3" xfId="33416" xr:uid="{00000000-0005-0000-0000-0000846C0000}"/>
    <cellStyle name="Normal 5 10 3 4" xfId="9928" xr:uid="{00000000-0005-0000-0000-0000856C0000}"/>
    <cellStyle name="Normal 5 10 3 4 2" xfId="33418" xr:uid="{00000000-0005-0000-0000-0000866C0000}"/>
    <cellStyle name="Normal 5 10 3 5" xfId="33411" xr:uid="{00000000-0005-0000-0000-0000876C0000}"/>
    <cellStyle name="Normal 5 10 4" xfId="9929" xr:uid="{00000000-0005-0000-0000-0000886C0000}"/>
    <cellStyle name="Normal 5 10 4 2" xfId="9930" xr:uid="{00000000-0005-0000-0000-0000896C0000}"/>
    <cellStyle name="Normal 5 10 4 2 2" xfId="9931" xr:uid="{00000000-0005-0000-0000-00008A6C0000}"/>
    <cellStyle name="Normal 5 10 4 2 2 2" xfId="33421" xr:uid="{00000000-0005-0000-0000-00008B6C0000}"/>
    <cellStyle name="Normal 5 10 4 2 3" xfId="33420" xr:uid="{00000000-0005-0000-0000-00008C6C0000}"/>
    <cellStyle name="Normal 5 10 4 3" xfId="9932" xr:uid="{00000000-0005-0000-0000-00008D6C0000}"/>
    <cellStyle name="Normal 5 10 4 3 2" xfId="33422" xr:uid="{00000000-0005-0000-0000-00008E6C0000}"/>
    <cellStyle name="Normal 5 10 4 4" xfId="33419" xr:uid="{00000000-0005-0000-0000-00008F6C0000}"/>
    <cellStyle name="Normal 5 10 5" xfId="9933" xr:uid="{00000000-0005-0000-0000-0000906C0000}"/>
    <cellStyle name="Normal 5 10 5 2" xfId="9934" xr:uid="{00000000-0005-0000-0000-0000916C0000}"/>
    <cellStyle name="Normal 5 10 5 2 2" xfId="33424" xr:uid="{00000000-0005-0000-0000-0000926C0000}"/>
    <cellStyle name="Normal 5 10 5 3" xfId="33423" xr:uid="{00000000-0005-0000-0000-0000936C0000}"/>
    <cellStyle name="Normal 5 10 6" xfId="9935" xr:uid="{00000000-0005-0000-0000-0000946C0000}"/>
    <cellStyle name="Normal 5 10 6 2" xfId="33425" xr:uid="{00000000-0005-0000-0000-0000956C0000}"/>
    <cellStyle name="Normal 5 10 7" xfId="33402" xr:uid="{00000000-0005-0000-0000-0000966C0000}"/>
    <cellStyle name="Normal 5 11" xfId="9936" xr:uid="{00000000-0005-0000-0000-0000976C0000}"/>
    <cellStyle name="Normal 5 11 2" xfId="9937" xr:uid="{00000000-0005-0000-0000-0000986C0000}"/>
    <cellStyle name="Normal 5 11 2 2" xfId="9938" xr:uid="{00000000-0005-0000-0000-0000996C0000}"/>
    <cellStyle name="Normal 5 11 2 2 2" xfId="9939" xr:uid="{00000000-0005-0000-0000-00009A6C0000}"/>
    <cellStyle name="Normal 5 11 2 2 2 2" xfId="9940" xr:uid="{00000000-0005-0000-0000-00009B6C0000}"/>
    <cellStyle name="Normal 5 11 2 2 2 2 2" xfId="33430" xr:uid="{00000000-0005-0000-0000-00009C6C0000}"/>
    <cellStyle name="Normal 5 11 2 2 2 3" xfId="33429" xr:uid="{00000000-0005-0000-0000-00009D6C0000}"/>
    <cellStyle name="Normal 5 11 2 2 3" xfId="9941" xr:uid="{00000000-0005-0000-0000-00009E6C0000}"/>
    <cellStyle name="Normal 5 11 2 2 3 2" xfId="33431" xr:uid="{00000000-0005-0000-0000-00009F6C0000}"/>
    <cellStyle name="Normal 5 11 2 2 4" xfId="33428" xr:uid="{00000000-0005-0000-0000-0000A06C0000}"/>
    <cellStyle name="Normal 5 11 2 3" xfId="9942" xr:uid="{00000000-0005-0000-0000-0000A16C0000}"/>
    <cellStyle name="Normal 5 11 2 3 2" xfId="9943" xr:uid="{00000000-0005-0000-0000-0000A26C0000}"/>
    <cellStyle name="Normal 5 11 2 3 2 2" xfId="33433" xr:uid="{00000000-0005-0000-0000-0000A36C0000}"/>
    <cellStyle name="Normal 5 11 2 3 3" xfId="33432" xr:uid="{00000000-0005-0000-0000-0000A46C0000}"/>
    <cellStyle name="Normal 5 11 2 4" xfId="9944" xr:uid="{00000000-0005-0000-0000-0000A56C0000}"/>
    <cellStyle name="Normal 5 11 2 4 2" xfId="33434" xr:uid="{00000000-0005-0000-0000-0000A66C0000}"/>
    <cellStyle name="Normal 5 11 2 5" xfId="33427" xr:uid="{00000000-0005-0000-0000-0000A76C0000}"/>
    <cellStyle name="Normal 5 11 3" xfId="9945" xr:uid="{00000000-0005-0000-0000-0000A86C0000}"/>
    <cellStyle name="Normal 5 11 3 2" xfId="9946" xr:uid="{00000000-0005-0000-0000-0000A96C0000}"/>
    <cellStyle name="Normal 5 11 3 2 2" xfId="9947" xr:uid="{00000000-0005-0000-0000-0000AA6C0000}"/>
    <cellStyle name="Normal 5 11 3 2 2 2" xfId="9948" xr:uid="{00000000-0005-0000-0000-0000AB6C0000}"/>
    <cellStyle name="Normal 5 11 3 2 2 2 2" xfId="33438" xr:uid="{00000000-0005-0000-0000-0000AC6C0000}"/>
    <cellStyle name="Normal 5 11 3 2 2 3" xfId="33437" xr:uid="{00000000-0005-0000-0000-0000AD6C0000}"/>
    <cellStyle name="Normal 5 11 3 2 3" xfId="9949" xr:uid="{00000000-0005-0000-0000-0000AE6C0000}"/>
    <cellStyle name="Normal 5 11 3 2 3 2" xfId="33439" xr:uid="{00000000-0005-0000-0000-0000AF6C0000}"/>
    <cellStyle name="Normal 5 11 3 2 4" xfId="33436" xr:uid="{00000000-0005-0000-0000-0000B06C0000}"/>
    <cellStyle name="Normal 5 11 3 3" xfId="9950" xr:uid="{00000000-0005-0000-0000-0000B16C0000}"/>
    <cellStyle name="Normal 5 11 3 3 2" xfId="9951" xr:uid="{00000000-0005-0000-0000-0000B26C0000}"/>
    <cellStyle name="Normal 5 11 3 3 2 2" xfId="33441" xr:uid="{00000000-0005-0000-0000-0000B36C0000}"/>
    <cellStyle name="Normal 5 11 3 3 3" xfId="33440" xr:uid="{00000000-0005-0000-0000-0000B46C0000}"/>
    <cellStyle name="Normal 5 11 3 4" xfId="9952" xr:uid="{00000000-0005-0000-0000-0000B56C0000}"/>
    <cellStyle name="Normal 5 11 3 4 2" xfId="33442" xr:uid="{00000000-0005-0000-0000-0000B66C0000}"/>
    <cellStyle name="Normal 5 11 3 5" xfId="33435" xr:uid="{00000000-0005-0000-0000-0000B76C0000}"/>
    <cellStyle name="Normal 5 11 4" xfId="9953" xr:uid="{00000000-0005-0000-0000-0000B86C0000}"/>
    <cellStyle name="Normal 5 11 4 2" xfId="9954" xr:uid="{00000000-0005-0000-0000-0000B96C0000}"/>
    <cellStyle name="Normal 5 11 4 2 2" xfId="9955" xr:uid="{00000000-0005-0000-0000-0000BA6C0000}"/>
    <cellStyle name="Normal 5 11 4 2 2 2" xfId="33445" xr:uid="{00000000-0005-0000-0000-0000BB6C0000}"/>
    <cellStyle name="Normal 5 11 4 2 3" xfId="33444" xr:uid="{00000000-0005-0000-0000-0000BC6C0000}"/>
    <cellStyle name="Normal 5 11 4 3" xfId="9956" xr:uid="{00000000-0005-0000-0000-0000BD6C0000}"/>
    <cellStyle name="Normal 5 11 4 3 2" xfId="33446" xr:uid="{00000000-0005-0000-0000-0000BE6C0000}"/>
    <cellStyle name="Normal 5 11 4 4" xfId="33443" xr:uid="{00000000-0005-0000-0000-0000BF6C0000}"/>
    <cellStyle name="Normal 5 11 5" xfId="9957" xr:uid="{00000000-0005-0000-0000-0000C06C0000}"/>
    <cellStyle name="Normal 5 11 5 2" xfId="9958" xr:uid="{00000000-0005-0000-0000-0000C16C0000}"/>
    <cellStyle name="Normal 5 11 5 2 2" xfId="33448" xr:uid="{00000000-0005-0000-0000-0000C26C0000}"/>
    <cellStyle name="Normal 5 11 5 3" xfId="33447" xr:uid="{00000000-0005-0000-0000-0000C36C0000}"/>
    <cellStyle name="Normal 5 11 6" xfId="9959" xr:uid="{00000000-0005-0000-0000-0000C46C0000}"/>
    <cellStyle name="Normal 5 11 6 2" xfId="33449" xr:uid="{00000000-0005-0000-0000-0000C56C0000}"/>
    <cellStyle name="Normal 5 11 7" xfId="33426" xr:uid="{00000000-0005-0000-0000-0000C66C0000}"/>
    <cellStyle name="Normal 5 12" xfId="9960" xr:uid="{00000000-0005-0000-0000-0000C76C0000}"/>
    <cellStyle name="Normal 5 12 2" xfId="9961" xr:uid="{00000000-0005-0000-0000-0000C86C0000}"/>
    <cellStyle name="Normal 5 12 2 2" xfId="9962" xr:uid="{00000000-0005-0000-0000-0000C96C0000}"/>
    <cellStyle name="Normal 5 12 2 2 2" xfId="9963" xr:uid="{00000000-0005-0000-0000-0000CA6C0000}"/>
    <cellStyle name="Normal 5 12 2 2 2 2" xfId="33452" xr:uid="{00000000-0005-0000-0000-0000CB6C0000}"/>
    <cellStyle name="Normal 5 12 2 2 3" xfId="33451" xr:uid="{00000000-0005-0000-0000-0000CC6C0000}"/>
    <cellStyle name="Normal 5 12 2 3" xfId="9964" xr:uid="{00000000-0005-0000-0000-0000CD6C0000}"/>
    <cellStyle name="Normal 5 12 2 3 2" xfId="33453" xr:uid="{00000000-0005-0000-0000-0000CE6C0000}"/>
    <cellStyle name="Normal 5 12 2 4" xfId="33450" xr:uid="{00000000-0005-0000-0000-0000CF6C0000}"/>
    <cellStyle name="Normal 5 12 3" xfId="9965" xr:uid="{00000000-0005-0000-0000-0000D06C0000}"/>
    <cellStyle name="Normal 5 12 3 2" xfId="9966" xr:uid="{00000000-0005-0000-0000-0000D16C0000}"/>
    <cellStyle name="Normal 5 12 3 2 2" xfId="33455" xr:uid="{00000000-0005-0000-0000-0000D26C0000}"/>
    <cellStyle name="Normal 5 12 3 3" xfId="33454" xr:uid="{00000000-0005-0000-0000-0000D36C0000}"/>
    <cellStyle name="Normal 5 13" xfId="9967" xr:uid="{00000000-0005-0000-0000-0000D46C0000}"/>
    <cellStyle name="Normal 5 13 2" xfId="9968" xr:uid="{00000000-0005-0000-0000-0000D56C0000}"/>
    <cellStyle name="Normal 5 13 2 2" xfId="9969" xr:uid="{00000000-0005-0000-0000-0000D66C0000}"/>
    <cellStyle name="Normal 5 13 2 2 2" xfId="9970" xr:uid="{00000000-0005-0000-0000-0000D76C0000}"/>
    <cellStyle name="Normal 5 13 2 2 2 2" xfId="33459" xr:uid="{00000000-0005-0000-0000-0000D86C0000}"/>
    <cellStyle name="Normal 5 13 2 2 3" xfId="33458" xr:uid="{00000000-0005-0000-0000-0000D96C0000}"/>
    <cellStyle name="Normal 5 13 2 3" xfId="9971" xr:uid="{00000000-0005-0000-0000-0000DA6C0000}"/>
    <cellStyle name="Normal 5 13 2 3 2" xfId="33460" xr:uid="{00000000-0005-0000-0000-0000DB6C0000}"/>
    <cellStyle name="Normal 5 13 2 4" xfId="33457" xr:uid="{00000000-0005-0000-0000-0000DC6C0000}"/>
    <cellStyle name="Normal 5 13 3" xfId="9972" xr:uid="{00000000-0005-0000-0000-0000DD6C0000}"/>
    <cellStyle name="Normal 5 13 3 2" xfId="9973" xr:uid="{00000000-0005-0000-0000-0000DE6C0000}"/>
    <cellStyle name="Normal 5 13 3 2 2" xfId="33462" xr:uid="{00000000-0005-0000-0000-0000DF6C0000}"/>
    <cellStyle name="Normal 5 13 3 3" xfId="33461" xr:uid="{00000000-0005-0000-0000-0000E06C0000}"/>
    <cellStyle name="Normal 5 13 4" xfId="9974" xr:uid="{00000000-0005-0000-0000-0000E16C0000}"/>
    <cellStyle name="Normal 5 13 4 2" xfId="33463" xr:uid="{00000000-0005-0000-0000-0000E26C0000}"/>
    <cellStyle name="Normal 5 13 5" xfId="33456" xr:uid="{00000000-0005-0000-0000-0000E36C0000}"/>
    <cellStyle name="Normal 5 14" xfId="9975" xr:uid="{00000000-0005-0000-0000-0000E46C0000}"/>
    <cellStyle name="Normal 5 14 2" xfId="9976" xr:uid="{00000000-0005-0000-0000-0000E56C0000}"/>
    <cellStyle name="Normal 5 14 2 2" xfId="9977" xr:uid="{00000000-0005-0000-0000-0000E66C0000}"/>
    <cellStyle name="Normal 5 14 2 2 2" xfId="33466" xr:uid="{00000000-0005-0000-0000-0000E76C0000}"/>
    <cellStyle name="Normal 5 14 2 3" xfId="33465" xr:uid="{00000000-0005-0000-0000-0000E86C0000}"/>
    <cellStyle name="Normal 5 14 3" xfId="9978" xr:uid="{00000000-0005-0000-0000-0000E96C0000}"/>
    <cellStyle name="Normal 5 14 3 2" xfId="33467" xr:uid="{00000000-0005-0000-0000-0000EA6C0000}"/>
    <cellStyle name="Normal 5 14 4" xfId="33464" xr:uid="{00000000-0005-0000-0000-0000EB6C0000}"/>
    <cellStyle name="Normal 5 15" xfId="9979" xr:uid="{00000000-0005-0000-0000-0000EC6C0000}"/>
    <cellStyle name="Normal 5 15 2" xfId="9980" xr:uid="{00000000-0005-0000-0000-0000ED6C0000}"/>
    <cellStyle name="Normal 5 15 2 2" xfId="33469" xr:uid="{00000000-0005-0000-0000-0000EE6C0000}"/>
    <cellStyle name="Normal 5 15 3" xfId="33468" xr:uid="{00000000-0005-0000-0000-0000EF6C0000}"/>
    <cellStyle name="Normal 5 16" xfId="9981" xr:uid="{00000000-0005-0000-0000-0000F06C0000}"/>
    <cellStyle name="Normal 5 16 2" xfId="33470" xr:uid="{00000000-0005-0000-0000-0000F16C0000}"/>
    <cellStyle name="Normal 5 17" xfId="9911" xr:uid="{00000000-0005-0000-0000-0000F26C0000}"/>
    <cellStyle name="Normal 5 17 2" xfId="33401" xr:uid="{00000000-0005-0000-0000-0000F36C0000}"/>
    <cellStyle name="Normal 5 18" xfId="17683" xr:uid="{00000000-0005-0000-0000-0000F46C0000}"/>
    <cellStyle name="Normal 5 2" xfId="129" xr:uid="{00000000-0005-0000-0000-0000F56C0000}"/>
    <cellStyle name="Normal 5 2 10" xfId="9983" xr:uid="{00000000-0005-0000-0000-0000F66C0000}"/>
    <cellStyle name="Normal 5 2 10 2" xfId="9984" xr:uid="{00000000-0005-0000-0000-0000F76C0000}"/>
    <cellStyle name="Normal 5 2 10 2 2" xfId="9985" xr:uid="{00000000-0005-0000-0000-0000F86C0000}"/>
    <cellStyle name="Normal 5 2 10 2 2 2" xfId="9986" xr:uid="{00000000-0005-0000-0000-0000F96C0000}"/>
    <cellStyle name="Normal 5 2 10 2 2 2 2" xfId="33474" xr:uid="{00000000-0005-0000-0000-0000FA6C0000}"/>
    <cellStyle name="Normal 5 2 10 2 2 3" xfId="33473" xr:uid="{00000000-0005-0000-0000-0000FB6C0000}"/>
    <cellStyle name="Normal 5 2 10 2 3" xfId="9987" xr:uid="{00000000-0005-0000-0000-0000FC6C0000}"/>
    <cellStyle name="Normal 5 2 10 2 3 2" xfId="33475" xr:uid="{00000000-0005-0000-0000-0000FD6C0000}"/>
    <cellStyle name="Normal 5 2 10 2 4" xfId="33472" xr:uid="{00000000-0005-0000-0000-0000FE6C0000}"/>
    <cellStyle name="Normal 5 2 10 3" xfId="9988" xr:uid="{00000000-0005-0000-0000-0000FF6C0000}"/>
    <cellStyle name="Normal 5 2 10 3 2" xfId="9989" xr:uid="{00000000-0005-0000-0000-0000006D0000}"/>
    <cellStyle name="Normal 5 2 10 3 2 2" xfId="33477" xr:uid="{00000000-0005-0000-0000-0000016D0000}"/>
    <cellStyle name="Normal 5 2 10 3 3" xfId="33476" xr:uid="{00000000-0005-0000-0000-0000026D0000}"/>
    <cellStyle name="Normal 5 2 11" xfId="9990" xr:uid="{00000000-0005-0000-0000-0000036D0000}"/>
    <cellStyle name="Normal 5 2 11 2" xfId="9991" xr:uid="{00000000-0005-0000-0000-0000046D0000}"/>
    <cellStyle name="Normal 5 2 11 2 2" xfId="9992" xr:uid="{00000000-0005-0000-0000-0000056D0000}"/>
    <cellStyle name="Normal 5 2 11 2 2 2" xfId="9993" xr:uid="{00000000-0005-0000-0000-0000066D0000}"/>
    <cellStyle name="Normal 5 2 11 2 2 2 2" xfId="33481" xr:uid="{00000000-0005-0000-0000-0000076D0000}"/>
    <cellStyle name="Normal 5 2 11 2 2 3" xfId="33480" xr:uid="{00000000-0005-0000-0000-0000086D0000}"/>
    <cellStyle name="Normal 5 2 11 2 3" xfId="9994" xr:uid="{00000000-0005-0000-0000-0000096D0000}"/>
    <cellStyle name="Normal 5 2 11 2 3 2" xfId="33482" xr:uid="{00000000-0005-0000-0000-00000A6D0000}"/>
    <cellStyle name="Normal 5 2 11 2 4" xfId="33479" xr:uid="{00000000-0005-0000-0000-00000B6D0000}"/>
    <cellStyle name="Normal 5 2 11 3" xfId="9995" xr:uid="{00000000-0005-0000-0000-00000C6D0000}"/>
    <cellStyle name="Normal 5 2 11 3 2" xfId="9996" xr:uid="{00000000-0005-0000-0000-00000D6D0000}"/>
    <cellStyle name="Normal 5 2 11 3 2 2" xfId="33484" xr:uid="{00000000-0005-0000-0000-00000E6D0000}"/>
    <cellStyle name="Normal 5 2 11 3 3" xfId="33483" xr:uid="{00000000-0005-0000-0000-00000F6D0000}"/>
    <cellStyle name="Normal 5 2 11 4" xfId="9997" xr:uid="{00000000-0005-0000-0000-0000106D0000}"/>
    <cellStyle name="Normal 5 2 11 4 2" xfId="33485" xr:uid="{00000000-0005-0000-0000-0000116D0000}"/>
    <cellStyle name="Normal 5 2 11 5" xfId="33478" xr:uid="{00000000-0005-0000-0000-0000126D0000}"/>
    <cellStyle name="Normal 5 2 12" xfId="9998" xr:uid="{00000000-0005-0000-0000-0000136D0000}"/>
    <cellStyle name="Normal 5 2 12 2" xfId="9999" xr:uid="{00000000-0005-0000-0000-0000146D0000}"/>
    <cellStyle name="Normal 5 2 12 2 2" xfId="10000" xr:uid="{00000000-0005-0000-0000-0000156D0000}"/>
    <cellStyle name="Normal 5 2 12 2 2 2" xfId="33488" xr:uid="{00000000-0005-0000-0000-0000166D0000}"/>
    <cellStyle name="Normal 5 2 12 2 3" xfId="33487" xr:uid="{00000000-0005-0000-0000-0000176D0000}"/>
    <cellStyle name="Normal 5 2 12 3" xfId="10001" xr:uid="{00000000-0005-0000-0000-0000186D0000}"/>
    <cellStyle name="Normal 5 2 12 3 2" xfId="33489" xr:uid="{00000000-0005-0000-0000-0000196D0000}"/>
    <cellStyle name="Normal 5 2 12 4" xfId="33486" xr:uid="{00000000-0005-0000-0000-00001A6D0000}"/>
    <cellStyle name="Normal 5 2 13" xfId="10002" xr:uid="{00000000-0005-0000-0000-00001B6D0000}"/>
    <cellStyle name="Normal 5 2 13 2" xfId="10003" xr:uid="{00000000-0005-0000-0000-00001C6D0000}"/>
    <cellStyle name="Normal 5 2 13 2 2" xfId="33491" xr:uid="{00000000-0005-0000-0000-00001D6D0000}"/>
    <cellStyle name="Normal 5 2 13 3" xfId="33490" xr:uid="{00000000-0005-0000-0000-00001E6D0000}"/>
    <cellStyle name="Normal 5 2 14" xfId="10004" xr:uid="{00000000-0005-0000-0000-00001F6D0000}"/>
    <cellStyle name="Normal 5 2 14 2" xfId="33492" xr:uid="{00000000-0005-0000-0000-0000206D0000}"/>
    <cellStyle name="Normal 5 2 15" xfId="9982" xr:uid="{00000000-0005-0000-0000-0000216D0000}"/>
    <cellStyle name="Normal 5 2 15 2" xfId="33471" xr:uid="{00000000-0005-0000-0000-0000226D0000}"/>
    <cellStyle name="Normal 5 2 2" xfId="130" xr:uid="{00000000-0005-0000-0000-0000236D0000}"/>
    <cellStyle name="Normal 5 2 2 10" xfId="10006" xr:uid="{00000000-0005-0000-0000-0000246D0000}"/>
    <cellStyle name="Normal 5 2 2 10 2" xfId="10007" xr:uid="{00000000-0005-0000-0000-0000256D0000}"/>
    <cellStyle name="Normal 5 2 2 10 2 2" xfId="10008" xr:uid="{00000000-0005-0000-0000-0000266D0000}"/>
    <cellStyle name="Normal 5 2 2 10 2 2 2" xfId="10009" xr:uid="{00000000-0005-0000-0000-0000276D0000}"/>
    <cellStyle name="Normal 5 2 2 10 2 2 2 2" xfId="33497" xr:uid="{00000000-0005-0000-0000-0000286D0000}"/>
    <cellStyle name="Normal 5 2 2 10 2 2 3" xfId="33496" xr:uid="{00000000-0005-0000-0000-0000296D0000}"/>
    <cellStyle name="Normal 5 2 2 10 2 3" xfId="10010" xr:uid="{00000000-0005-0000-0000-00002A6D0000}"/>
    <cellStyle name="Normal 5 2 2 10 2 3 2" xfId="33498" xr:uid="{00000000-0005-0000-0000-00002B6D0000}"/>
    <cellStyle name="Normal 5 2 2 10 2 4" xfId="33495" xr:uid="{00000000-0005-0000-0000-00002C6D0000}"/>
    <cellStyle name="Normal 5 2 2 10 3" xfId="10011" xr:uid="{00000000-0005-0000-0000-00002D6D0000}"/>
    <cellStyle name="Normal 5 2 2 10 3 2" xfId="10012" xr:uid="{00000000-0005-0000-0000-00002E6D0000}"/>
    <cellStyle name="Normal 5 2 2 10 3 2 2" xfId="33500" xr:uid="{00000000-0005-0000-0000-00002F6D0000}"/>
    <cellStyle name="Normal 5 2 2 10 3 3" xfId="33499" xr:uid="{00000000-0005-0000-0000-0000306D0000}"/>
    <cellStyle name="Normal 5 2 2 10 4" xfId="10013" xr:uid="{00000000-0005-0000-0000-0000316D0000}"/>
    <cellStyle name="Normal 5 2 2 10 4 2" xfId="33501" xr:uid="{00000000-0005-0000-0000-0000326D0000}"/>
    <cellStyle name="Normal 5 2 2 10 5" xfId="33494" xr:uid="{00000000-0005-0000-0000-0000336D0000}"/>
    <cellStyle name="Normal 5 2 2 11" xfId="10014" xr:uid="{00000000-0005-0000-0000-0000346D0000}"/>
    <cellStyle name="Normal 5 2 2 11 2" xfId="10015" xr:uid="{00000000-0005-0000-0000-0000356D0000}"/>
    <cellStyle name="Normal 5 2 2 11 2 2" xfId="10016" xr:uid="{00000000-0005-0000-0000-0000366D0000}"/>
    <cellStyle name="Normal 5 2 2 11 2 2 2" xfId="33504" xr:uid="{00000000-0005-0000-0000-0000376D0000}"/>
    <cellStyle name="Normal 5 2 2 11 2 3" xfId="33503" xr:uid="{00000000-0005-0000-0000-0000386D0000}"/>
    <cellStyle name="Normal 5 2 2 11 3" xfId="10017" xr:uid="{00000000-0005-0000-0000-0000396D0000}"/>
    <cellStyle name="Normal 5 2 2 11 3 2" xfId="33505" xr:uid="{00000000-0005-0000-0000-00003A6D0000}"/>
    <cellStyle name="Normal 5 2 2 11 4" xfId="33502" xr:uid="{00000000-0005-0000-0000-00003B6D0000}"/>
    <cellStyle name="Normal 5 2 2 12" xfId="10018" xr:uid="{00000000-0005-0000-0000-00003C6D0000}"/>
    <cellStyle name="Normal 5 2 2 12 2" xfId="10019" xr:uid="{00000000-0005-0000-0000-00003D6D0000}"/>
    <cellStyle name="Normal 5 2 2 12 2 2" xfId="33507" xr:uid="{00000000-0005-0000-0000-00003E6D0000}"/>
    <cellStyle name="Normal 5 2 2 12 3" xfId="33506" xr:uid="{00000000-0005-0000-0000-00003F6D0000}"/>
    <cellStyle name="Normal 5 2 2 13" xfId="10020" xr:uid="{00000000-0005-0000-0000-0000406D0000}"/>
    <cellStyle name="Normal 5 2 2 13 2" xfId="33508" xr:uid="{00000000-0005-0000-0000-0000416D0000}"/>
    <cellStyle name="Normal 5 2 2 14" xfId="10005" xr:uid="{00000000-0005-0000-0000-0000426D0000}"/>
    <cellStyle name="Normal 5 2 2 14 2" xfId="33493" xr:uid="{00000000-0005-0000-0000-0000436D0000}"/>
    <cellStyle name="Normal 5 2 2 2" xfId="10021" xr:uid="{00000000-0005-0000-0000-0000446D0000}"/>
    <cellStyle name="Normal 5 2 2 2 10" xfId="10022" xr:uid="{00000000-0005-0000-0000-0000456D0000}"/>
    <cellStyle name="Normal 5 2 2 2 10 2" xfId="33510" xr:uid="{00000000-0005-0000-0000-0000466D0000}"/>
    <cellStyle name="Normal 5 2 2 2 11" xfId="33509" xr:uid="{00000000-0005-0000-0000-0000476D0000}"/>
    <cellStyle name="Normal 5 2 2 2 2" xfId="10023" xr:uid="{00000000-0005-0000-0000-0000486D0000}"/>
    <cellStyle name="Normal 5 2 2 2 2 2" xfId="10024" xr:uid="{00000000-0005-0000-0000-0000496D0000}"/>
    <cellStyle name="Normal 5 2 2 2 2 2 2" xfId="10025" xr:uid="{00000000-0005-0000-0000-00004A6D0000}"/>
    <cellStyle name="Normal 5 2 2 2 2 2 2 2" xfId="10026" xr:uid="{00000000-0005-0000-0000-00004B6D0000}"/>
    <cellStyle name="Normal 5 2 2 2 2 2 2 2 2" xfId="10027" xr:uid="{00000000-0005-0000-0000-00004C6D0000}"/>
    <cellStyle name="Normal 5 2 2 2 2 2 2 2 2 2" xfId="33515" xr:uid="{00000000-0005-0000-0000-00004D6D0000}"/>
    <cellStyle name="Normal 5 2 2 2 2 2 2 2 3" xfId="33514" xr:uid="{00000000-0005-0000-0000-00004E6D0000}"/>
    <cellStyle name="Normal 5 2 2 2 2 2 2 3" xfId="10028" xr:uid="{00000000-0005-0000-0000-00004F6D0000}"/>
    <cellStyle name="Normal 5 2 2 2 2 2 2 3 2" xfId="33516" xr:uid="{00000000-0005-0000-0000-0000506D0000}"/>
    <cellStyle name="Normal 5 2 2 2 2 2 2 4" xfId="33513" xr:uid="{00000000-0005-0000-0000-0000516D0000}"/>
    <cellStyle name="Normal 5 2 2 2 2 2 3" xfId="10029" xr:uid="{00000000-0005-0000-0000-0000526D0000}"/>
    <cellStyle name="Normal 5 2 2 2 2 2 3 2" xfId="10030" xr:uid="{00000000-0005-0000-0000-0000536D0000}"/>
    <cellStyle name="Normal 5 2 2 2 2 2 3 2 2" xfId="33518" xr:uid="{00000000-0005-0000-0000-0000546D0000}"/>
    <cellStyle name="Normal 5 2 2 2 2 2 3 3" xfId="33517" xr:uid="{00000000-0005-0000-0000-0000556D0000}"/>
    <cellStyle name="Normal 5 2 2 2 2 2 4" xfId="10031" xr:uid="{00000000-0005-0000-0000-0000566D0000}"/>
    <cellStyle name="Normal 5 2 2 2 2 2 4 2" xfId="33519" xr:uid="{00000000-0005-0000-0000-0000576D0000}"/>
    <cellStyle name="Normal 5 2 2 2 2 2 5" xfId="33512" xr:uid="{00000000-0005-0000-0000-0000586D0000}"/>
    <cellStyle name="Normal 5 2 2 2 2 3" xfId="10032" xr:uid="{00000000-0005-0000-0000-0000596D0000}"/>
    <cellStyle name="Normal 5 2 2 2 2 3 2" xfId="10033" xr:uid="{00000000-0005-0000-0000-00005A6D0000}"/>
    <cellStyle name="Normal 5 2 2 2 2 3 2 2" xfId="10034" xr:uid="{00000000-0005-0000-0000-00005B6D0000}"/>
    <cellStyle name="Normal 5 2 2 2 2 3 2 2 2" xfId="10035" xr:uid="{00000000-0005-0000-0000-00005C6D0000}"/>
    <cellStyle name="Normal 5 2 2 2 2 3 2 2 2 2" xfId="33523" xr:uid="{00000000-0005-0000-0000-00005D6D0000}"/>
    <cellStyle name="Normal 5 2 2 2 2 3 2 2 3" xfId="33522" xr:uid="{00000000-0005-0000-0000-00005E6D0000}"/>
    <cellStyle name="Normal 5 2 2 2 2 3 2 3" xfId="10036" xr:uid="{00000000-0005-0000-0000-00005F6D0000}"/>
    <cellStyle name="Normal 5 2 2 2 2 3 2 3 2" xfId="33524" xr:uid="{00000000-0005-0000-0000-0000606D0000}"/>
    <cellStyle name="Normal 5 2 2 2 2 3 2 4" xfId="33521" xr:uid="{00000000-0005-0000-0000-0000616D0000}"/>
    <cellStyle name="Normal 5 2 2 2 2 3 3" xfId="10037" xr:uid="{00000000-0005-0000-0000-0000626D0000}"/>
    <cellStyle name="Normal 5 2 2 2 2 3 3 2" xfId="10038" xr:uid="{00000000-0005-0000-0000-0000636D0000}"/>
    <cellStyle name="Normal 5 2 2 2 2 3 3 2 2" xfId="33526" xr:uid="{00000000-0005-0000-0000-0000646D0000}"/>
    <cellStyle name="Normal 5 2 2 2 2 3 3 3" xfId="33525" xr:uid="{00000000-0005-0000-0000-0000656D0000}"/>
    <cellStyle name="Normal 5 2 2 2 2 3 4" xfId="10039" xr:uid="{00000000-0005-0000-0000-0000666D0000}"/>
    <cellStyle name="Normal 5 2 2 2 2 3 4 2" xfId="33527" xr:uid="{00000000-0005-0000-0000-0000676D0000}"/>
    <cellStyle name="Normal 5 2 2 2 2 3 5" xfId="33520" xr:uid="{00000000-0005-0000-0000-0000686D0000}"/>
    <cellStyle name="Normal 5 2 2 2 2 4" xfId="10040" xr:uid="{00000000-0005-0000-0000-0000696D0000}"/>
    <cellStyle name="Normal 5 2 2 2 2 4 2" xfId="10041" xr:uid="{00000000-0005-0000-0000-00006A6D0000}"/>
    <cellStyle name="Normal 5 2 2 2 2 4 2 2" xfId="10042" xr:uid="{00000000-0005-0000-0000-00006B6D0000}"/>
    <cellStyle name="Normal 5 2 2 2 2 4 2 2 2" xfId="33530" xr:uid="{00000000-0005-0000-0000-00006C6D0000}"/>
    <cellStyle name="Normal 5 2 2 2 2 4 2 3" xfId="33529" xr:uid="{00000000-0005-0000-0000-00006D6D0000}"/>
    <cellStyle name="Normal 5 2 2 2 2 4 3" xfId="10043" xr:uid="{00000000-0005-0000-0000-00006E6D0000}"/>
    <cellStyle name="Normal 5 2 2 2 2 4 3 2" xfId="33531" xr:uid="{00000000-0005-0000-0000-00006F6D0000}"/>
    <cellStyle name="Normal 5 2 2 2 2 4 4" xfId="33528" xr:uid="{00000000-0005-0000-0000-0000706D0000}"/>
    <cellStyle name="Normal 5 2 2 2 2 5" xfId="10044" xr:uid="{00000000-0005-0000-0000-0000716D0000}"/>
    <cellStyle name="Normal 5 2 2 2 2 5 2" xfId="10045" xr:uid="{00000000-0005-0000-0000-0000726D0000}"/>
    <cellStyle name="Normal 5 2 2 2 2 5 2 2" xfId="33533" xr:uid="{00000000-0005-0000-0000-0000736D0000}"/>
    <cellStyle name="Normal 5 2 2 2 2 5 3" xfId="33532" xr:uid="{00000000-0005-0000-0000-0000746D0000}"/>
    <cellStyle name="Normal 5 2 2 2 2 6" xfId="10046" xr:uid="{00000000-0005-0000-0000-0000756D0000}"/>
    <cellStyle name="Normal 5 2 2 2 2 6 2" xfId="33534" xr:uid="{00000000-0005-0000-0000-0000766D0000}"/>
    <cellStyle name="Normal 5 2 2 2 2 7" xfId="33511" xr:uid="{00000000-0005-0000-0000-0000776D0000}"/>
    <cellStyle name="Normal 5 2 2 2 3" xfId="10047" xr:uid="{00000000-0005-0000-0000-0000786D0000}"/>
    <cellStyle name="Normal 5 2 2 2 3 2" xfId="10048" xr:uid="{00000000-0005-0000-0000-0000796D0000}"/>
    <cellStyle name="Normal 5 2 2 2 3 2 2" xfId="10049" xr:uid="{00000000-0005-0000-0000-00007A6D0000}"/>
    <cellStyle name="Normal 5 2 2 2 3 2 2 2" xfId="10050" xr:uid="{00000000-0005-0000-0000-00007B6D0000}"/>
    <cellStyle name="Normal 5 2 2 2 3 2 2 2 2" xfId="10051" xr:uid="{00000000-0005-0000-0000-00007C6D0000}"/>
    <cellStyle name="Normal 5 2 2 2 3 2 2 2 2 2" xfId="33539" xr:uid="{00000000-0005-0000-0000-00007D6D0000}"/>
    <cellStyle name="Normal 5 2 2 2 3 2 2 2 3" xfId="33538" xr:uid="{00000000-0005-0000-0000-00007E6D0000}"/>
    <cellStyle name="Normal 5 2 2 2 3 2 2 3" xfId="10052" xr:uid="{00000000-0005-0000-0000-00007F6D0000}"/>
    <cellStyle name="Normal 5 2 2 2 3 2 2 3 2" xfId="33540" xr:uid="{00000000-0005-0000-0000-0000806D0000}"/>
    <cellStyle name="Normal 5 2 2 2 3 2 2 4" xfId="33537" xr:uid="{00000000-0005-0000-0000-0000816D0000}"/>
    <cellStyle name="Normal 5 2 2 2 3 2 3" xfId="10053" xr:uid="{00000000-0005-0000-0000-0000826D0000}"/>
    <cellStyle name="Normal 5 2 2 2 3 2 3 2" xfId="10054" xr:uid="{00000000-0005-0000-0000-0000836D0000}"/>
    <cellStyle name="Normal 5 2 2 2 3 2 3 2 2" xfId="33542" xr:uid="{00000000-0005-0000-0000-0000846D0000}"/>
    <cellStyle name="Normal 5 2 2 2 3 2 3 3" xfId="33541" xr:uid="{00000000-0005-0000-0000-0000856D0000}"/>
    <cellStyle name="Normal 5 2 2 2 3 2 4" xfId="10055" xr:uid="{00000000-0005-0000-0000-0000866D0000}"/>
    <cellStyle name="Normal 5 2 2 2 3 2 4 2" xfId="33543" xr:uid="{00000000-0005-0000-0000-0000876D0000}"/>
    <cellStyle name="Normal 5 2 2 2 3 2 5" xfId="33536" xr:uid="{00000000-0005-0000-0000-0000886D0000}"/>
    <cellStyle name="Normal 5 2 2 2 3 3" xfId="10056" xr:uid="{00000000-0005-0000-0000-0000896D0000}"/>
    <cellStyle name="Normal 5 2 2 2 3 3 2" xfId="10057" xr:uid="{00000000-0005-0000-0000-00008A6D0000}"/>
    <cellStyle name="Normal 5 2 2 2 3 3 2 2" xfId="10058" xr:uid="{00000000-0005-0000-0000-00008B6D0000}"/>
    <cellStyle name="Normal 5 2 2 2 3 3 2 2 2" xfId="10059" xr:uid="{00000000-0005-0000-0000-00008C6D0000}"/>
    <cellStyle name="Normal 5 2 2 2 3 3 2 2 2 2" xfId="33547" xr:uid="{00000000-0005-0000-0000-00008D6D0000}"/>
    <cellStyle name="Normal 5 2 2 2 3 3 2 2 3" xfId="33546" xr:uid="{00000000-0005-0000-0000-00008E6D0000}"/>
    <cellStyle name="Normal 5 2 2 2 3 3 2 3" xfId="10060" xr:uid="{00000000-0005-0000-0000-00008F6D0000}"/>
    <cellStyle name="Normal 5 2 2 2 3 3 2 3 2" xfId="33548" xr:uid="{00000000-0005-0000-0000-0000906D0000}"/>
    <cellStyle name="Normal 5 2 2 2 3 3 2 4" xfId="33545" xr:uid="{00000000-0005-0000-0000-0000916D0000}"/>
    <cellStyle name="Normal 5 2 2 2 3 3 3" xfId="10061" xr:uid="{00000000-0005-0000-0000-0000926D0000}"/>
    <cellStyle name="Normal 5 2 2 2 3 3 3 2" xfId="10062" xr:uid="{00000000-0005-0000-0000-0000936D0000}"/>
    <cellStyle name="Normal 5 2 2 2 3 3 3 2 2" xfId="33550" xr:uid="{00000000-0005-0000-0000-0000946D0000}"/>
    <cellStyle name="Normal 5 2 2 2 3 3 3 3" xfId="33549" xr:uid="{00000000-0005-0000-0000-0000956D0000}"/>
    <cellStyle name="Normal 5 2 2 2 3 3 4" xfId="10063" xr:uid="{00000000-0005-0000-0000-0000966D0000}"/>
    <cellStyle name="Normal 5 2 2 2 3 3 4 2" xfId="33551" xr:uid="{00000000-0005-0000-0000-0000976D0000}"/>
    <cellStyle name="Normal 5 2 2 2 3 3 5" xfId="33544" xr:uid="{00000000-0005-0000-0000-0000986D0000}"/>
    <cellStyle name="Normal 5 2 2 2 3 4" xfId="10064" xr:uid="{00000000-0005-0000-0000-0000996D0000}"/>
    <cellStyle name="Normal 5 2 2 2 3 4 2" xfId="10065" xr:uid="{00000000-0005-0000-0000-00009A6D0000}"/>
    <cellStyle name="Normal 5 2 2 2 3 4 2 2" xfId="10066" xr:uid="{00000000-0005-0000-0000-00009B6D0000}"/>
    <cellStyle name="Normal 5 2 2 2 3 4 2 2 2" xfId="33554" xr:uid="{00000000-0005-0000-0000-00009C6D0000}"/>
    <cellStyle name="Normal 5 2 2 2 3 4 2 3" xfId="33553" xr:uid="{00000000-0005-0000-0000-00009D6D0000}"/>
    <cellStyle name="Normal 5 2 2 2 3 4 3" xfId="10067" xr:uid="{00000000-0005-0000-0000-00009E6D0000}"/>
    <cellStyle name="Normal 5 2 2 2 3 4 3 2" xfId="33555" xr:uid="{00000000-0005-0000-0000-00009F6D0000}"/>
    <cellStyle name="Normal 5 2 2 2 3 4 4" xfId="33552" xr:uid="{00000000-0005-0000-0000-0000A06D0000}"/>
    <cellStyle name="Normal 5 2 2 2 3 5" xfId="10068" xr:uid="{00000000-0005-0000-0000-0000A16D0000}"/>
    <cellStyle name="Normal 5 2 2 2 3 5 2" xfId="10069" xr:uid="{00000000-0005-0000-0000-0000A26D0000}"/>
    <cellStyle name="Normal 5 2 2 2 3 5 2 2" xfId="33557" xr:uid="{00000000-0005-0000-0000-0000A36D0000}"/>
    <cellStyle name="Normal 5 2 2 2 3 5 3" xfId="33556" xr:uid="{00000000-0005-0000-0000-0000A46D0000}"/>
    <cellStyle name="Normal 5 2 2 2 3 6" xfId="10070" xr:uid="{00000000-0005-0000-0000-0000A56D0000}"/>
    <cellStyle name="Normal 5 2 2 2 3 6 2" xfId="33558" xr:uid="{00000000-0005-0000-0000-0000A66D0000}"/>
    <cellStyle name="Normal 5 2 2 2 3 7" xfId="33535" xr:uid="{00000000-0005-0000-0000-0000A76D0000}"/>
    <cellStyle name="Normal 5 2 2 2 4" xfId="10071" xr:uid="{00000000-0005-0000-0000-0000A86D0000}"/>
    <cellStyle name="Normal 5 2 2 2 4 2" xfId="10072" xr:uid="{00000000-0005-0000-0000-0000A96D0000}"/>
    <cellStyle name="Normal 5 2 2 2 4 2 2" xfId="10073" xr:uid="{00000000-0005-0000-0000-0000AA6D0000}"/>
    <cellStyle name="Normal 5 2 2 2 4 2 2 2" xfId="10074" xr:uid="{00000000-0005-0000-0000-0000AB6D0000}"/>
    <cellStyle name="Normal 5 2 2 2 4 2 2 2 2" xfId="10075" xr:uid="{00000000-0005-0000-0000-0000AC6D0000}"/>
    <cellStyle name="Normal 5 2 2 2 4 2 2 2 2 2" xfId="33563" xr:uid="{00000000-0005-0000-0000-0000AD6D0000}"/>
    <cellStyle name="Normal 5 2 2 2 4 2 2 2 3" xfId="33562" xr:uid="{00000000-0005-0000-0000-0000AE6D0000}"/>
    <cellStyle name="Normal 5 2 2 2 4 2 2 3" xfId="10076" xr:uid="{00000000-0005-0000-0000-0000AF6D0000}"/>
    <cellStyle name="Normal 5 2 2 2 4 2 2 3 2" xfId="33564" xr:uid="{00000000-0005-0000-0000-0000B06D0000}"/>
    <cellStyle name="Normal 5 2 2 2 4 2 2 4" xfId="33561" xr:uid="{00000000-0005-0000-0000-0000B16D0000}"/>
    <cellStyle name="Normal 5 2 2 2 4 2 3" xfId="10077" xr:uid="{00000000-0005-0000-0000-0000B26D0000}"/>
    <cellStyle name="Normal 5 2 2 2 4 2 3 2" xfId="10078" xr:uid="{00000000-0005-0000-0000-0000B36D0000}"/>
    <cellStyle name="Normal 5 2 2 2 4 2 3 2 2" xfId="33566" xr:uid="{00000000-0005-0000-0000-0000B46D0000}"/>
    <cellStyle name="Normal 5 2 2 2 4 2 3 3" xfId="33565" xr:uid="{00000000-0005-0000-0000-0000B56D0000}"/>
    <cellStyle name="Normal 5 2 2 2 4 2 4" xfId="10079" xr:uid="{00000000-0005-0000-0000-0000B66D0000}"/>
    <cellStyle name="Normal 5 2 2 2 4 2 4 2" xfId="33567" xr:uid="{00000000-0005-0000-0000-0000B76D0000}"/>
    <cellStyle name="Normal 5 2 2 2 4 2 5" xfId="33560" xr:uid="{00000000-0005-0000-0000-0000B86D0000}"/>
    <cellStyle name="Normal 5 2 2 2 4 3" xfId="10080" xr:uid="{00000000-0005-0000-0000-0000B96D0000}"/>
    <cellStyle name="Normal 5 2 2 2 4 3 2" xfId="10081" xr:uid="{00000000-0005-0000-0000-0000BA6D0000}"/>
    <cellStyle name="Normal 5 2 2 2 4 3 2 2" xfId="10082" xr:uid="{00000000-0005-0000-0000-0000BB6D0000}"/>
    <cellStyle name="Normal 5 2 2 2 4 3 2 2 2" xfId="10083" xr:uid="{00000000-0005-0000-0000-0000BC6D0000}"/>
    <cellStyle name="Normal 5 2 2 2 4 3 2 2 2 2" xfId="33571" xr:uid="{00000000-0005-0000-0000-0000BD6D0000}"/>
    <cellStyle name="Normal 5 2 2 2 4 3 2 2 3" xfId="33570" xr:uid="{00000000-0005-0000-0000-0000BE6D0000}"/>
    <cellStyle name="Normal 5 2 2 2 4 3 2 3" xfId="10084" xr:uid="{00000000-0005-0000-0000-0000BF6D0000}"/>
    <cellStyle name="Normal 5 2 2 2 4 3 2 3 2" xfId="33572" xr:uid="{00000000-0005-0000-0000-0000C06D0000}"/>
    <cellStyle name="Normal 5 2 2 2 4 3 2 4" xfId="33569" xr:uid="{00000000-0005-0000-0000-0000C16D0000}"/>
    <cellStyle name="Normal 5 2 2 2 4 3 3" xfId="10085" xr:uid="{00000000-0005-0000-0000-0000C26D0000}"/>
    <cellStyle name="Normal 5 2 2 2 4 3 3 2" xfId="10086" xr:uid="{00000000-0005-0000-0000-0000C36D0000}"/>
    <cellStyle name="Normal 5 2 2 2 4 3 3 2 2" xfId="33574" xr:uid="{00000000-0005-0000-0000-0000C46D0000}"/>
    <cellStyle name="Normal 5 2 2 2 4 3 3 3" xfId="33573" xr:uid="{00000000-0005-0000-0000-0000C56D0000}"/>
    <cellStyle name="Normal 5 2 2 2 4 3 4" xfId="10087" xr:uid="{00000000-0005-0000-0000-0000C66D0000}"/>
    <cellStyle name="Normal 5 2 2 2 4 3 4 2" xfId="33575" xr:uid="{00000000-0005-0000-0000-0000C76D0000}"/>
    <cellStyle name="Normal 5 2 2 2 4 3 5" xfId="33568" xr:uid="{00000000-0005-0000-0000-0000C86D0000}"/>
    <cellStyle name="Normal 5 2 2 2 4 4" xfId="10088" xr:uid="{00000000-0005-0000-0000-0000C96D0000}"/>
    <cellStyle name="Normal 5 2 2 2 4 4 2" xfId="10089" xr:uid="{00000000-0005-0000-0000-0000CA6D0000}"/>
    <cellStyle name="Normal 5 2 2 2 4 4 2 2" xfId="10090" xr:uid="{00000000-0005-0000-0000-0000CB6D0000}"/>
    <cellStyle name="Normal 5 2 2 2 4 4 2 2 2" xfId="33578" xr:uid="{00000000-0005-0000-0000-0000CC6D0000}"/>
    <cellStyle name="Normal 5 2 2 2 4 4 2 3" xfId="33577" xr:uid="{00000000-0005-0000-0000-0000CD6D0000}"/>
    <cellStyle name="Normal 5 2 2 2 4 4 3" xfId="10091" xr:uid="{00000000-0005-0000-0000-0000CE6D0000}"/>
    <cellStyle name="Normal 5 2 2 2 4 4 3 2" xfId="33579" xr:uid="{00000000-0005-0000-0000-0000CF6D0000}"/>
    <cellStyle name="Normal 5 2 2 2 4 4 4" xfId="33576" xr:uid="{00000000-0005-0000-0000-0000D06D0000}"/>
    <cellStyle name="Normal 5 2 2 2 4 5" xfId="10092" xr:uid="{00000000-0005-0000-0000-0000D16D0000}"/>
    <cellStyle name="Normal 5 2 2 2 4 5 2" xfId="10093" xr:uid="{00000000-0005-0000-0000-0000D26D0000}"/>
    <cellStyle name="Normal 5 2 2 2 4 5 2 2" xfId="33581" xr:uid="{00000000-0005-0000-0000-0000D36D0000}"/>
    <cellStyle name="Normal 5 2 2 2 4 5 3" xfId="33580" xr:uid="{00000000-0005-0000-0000-0000D46D0000}"/>
    <cellStyle name="Normal 5 2 2 2 4 6" xfId="10094" xr:uid="{00000000-0005-0000-0000-0000D56D0000}"/>
    <cellStyle name="Normal 5 2 2 2 4 6 2" xfId="33582" xr:uid="{00000000-0005-0000-0000-0000D66D0000}"/>
    <cellStyle name="Normal 5 2 2 2 4 7" xfId="33559" xr:uid="{00000000-0005-0000-0000-0000D76D0000}"/>
    <cellStyle name="Normal 5 2 2 2 5" xfId="10095" xr:uid="{00000000-0005-0000-0000-0000D86D0000}"/>
    <cellStyle name="Normal 5 2 2 2 5 2" xfId="10096" xr:uid="{00000000-0005-0000-0000-0000D96D0000}"/>
    <cellStyle name="Normal 5 2 2 2 5 2 2" xfId="10097" xr:uid="{00000000-0005-0000-0000-0000DA6D0000}"/>
    <cellStyle name="Normal 5 2 2 2 5 2 2 2" xfId="10098" xr:uid="{00000000-0005-0000-0000-0000DB6D0000}"/>
    <cellStyle name="Normal 5 2 2 2 5 2 2 2 2" xfId="10099" xr:uid="{00000000-0005-0000-0000-0000DC6D0000}"/>
    <cellStyle name="Normal 5 2 2 2 5 2 2 2 2 2" xfId="33587" xr:uid="{00000000-0005-0000-0000-0000DD6D0000}"/>
    <cellStyle name="Normal 5 2 2 2 5 2 2 2 3" xfId="33586" xr:uid="{00000000-0005-0000-0000-0000DE6D0000}"/>
    <cellStyle name="Normal 5 2 2 2 5 2 2 3" xfId="10100" xr:uid="{00000000-0005-0000-0000-0000DF6D0000}"/>
    <cellStyle name="Normal 5 2 2 2 5 2 2 3 2" xfId="33588" xr:uid="{00000000-0005-0000-0000-0000E06D0000}"/>
    <cellStyle name="Normal 5 2 2 2 5 2 2 4" xfId="33585" xr:uid="{00000000-0005-0000-0000-0000E16D0000}"/>
    <cellStyle name="Normal 5 2 2 2 5 2 3" xfId="10101" xr:uid="{00000000-0005-0000-0000-0000E26D0000}"/>
    <cellStyle name="Normal 5 2 2 2 5 2 3 2" xfId="10102" xr:uid="{00000000-0005-0000-0000-0000E36D0000}"/>
    <cellStyle name="Normal 5 2 2 2 5 2 3 2 2" xfId="33590" xr:uid="{00000000-0005-0000-0000-0000E46D0000}"/>
    <cellStyle name="Normal 5 2 2 2 5 2 3 3" xfId="33589" xr:uid="{00000000-0005-0000-0000-0000E56D0000}"/>
    <cellStyle name="Normal 5 2 2 2 5 2 4" xfId="10103" xr:uid="{00000000-0005-0000-0000-0000E66D0000}"/>
    <cellStyle name="Normal 5 2 2 2 5 2 4 2" xfId="33591" xr:uid="{00000000-0005-0000-0000-0000E76D0000}"/>
    <cellStyle name="Normal 5 2 2 2 5 2 5" xfId="33584" xr:uid="{00000000-0005-0000-0000-0000E86D0000}"/>
    <cellStyle name="Normal 5 2 2 2 5 3" xfId="10104" xr:uid="{00000000-0005-0000-0000-0000E96D0000}"/>
    <cellStyle name="Normal 5 2 2 2 5 3 2" xfId="10105" xr:uid="{00000000-0005-0000-0000-0000EA6D0000}"/>
    <cellStyle name="Normal 5 2 2 2 5 3 2 2" xfId="10106" xr:uid="{00000000-0005-0000-0000-0000EB6D0000}"/>
    <cellStyle name="Normal 5 2 2 2 5 3 2 2 2" xfId="10107" xr:uid="{00000000-0005-0000-0000-0000EC6D0000}"/>
    <cellStyle name="Normal 5 2 2 2 5 3 2 2 2 2" xfId="33595" xr:uid="{00000000-0005-0000-0000-0000ED6D0000}"/>
    <cellStyle name="Normal 5 2 2 2 5 3 2 2 3" xfId="33594" xr:uid="{00000000-0005-0000-0000-0000EE6D0000}"/>
    <cellStyle name="Normal 5 2 2 2 5 3 2 3" xfId="10108" xr:uid="{00000000-0005-0000-0000-0000EF6D0000}"/>
    <cellStyle name="Normal 5 2 2 2 5 3 2 3 2" xfId="33596" xr:uid="{00000000-0005-0000-0000-0000F06D0000}"/>
    <cellStyle name="Normal 5 2 2 2 5 3 2 4" xfId="33593" xr:uid="{00000000-0005-0000-0000-0000F16D0000}"/>
    <cellStyle name="Normal 5 2 2 2 5 3 3" xfId="10109" xr:uid="{00000000-0005-0000-0000-0000F26D0000}"/>
    <cellStyle name="Normal 5 2 2 2 5 3 3 2" xfId="10110" xr:uid="{00000000-0005-0000-0000-0000F36D0000}"/>
    <cellStyle name="Normal 5 2 2 2 5 3 3 2 2" xfId="33598" xr:uid="{00000000-0005-0000-0000-0000F46D0000}"/>
    <cellStyle name="Normal 5 2 2 2 5 3 3 3" xfId="33597" xr:uid="{00000000-0005-0000-0000-0000F56D0000}"/>
    <cellStyle name="Normal 5 2 2 2 5 3 4" xfId="10111" xr:uid="{00000000-0005-0000-0000-0000F66D0000}"/>
    <cellStyle name="Normal 5 2 2 2 5 3 4 2" xfId="33599" xr:uid="{00000000-0005-0000-0000-0000F76D0000}"/>
    <cellStyle name="Normal 5 2 2 2 5 3 5" xfId="33592" xr:uid="{00000000-0005-0000-0000-0000F86D0000}"/>
    <cellStyle name="Normal 5 2 2 2 5 4" xfId="10112" xr:uid="{00000000-0005-0000-0000-0000F96D0000}"/>
    <cellStyle name="Normal 5 2 2 2 5 4 2" xfId="10113" xr:uid="{00000000-0005-0000-0000-0000FA6D0000}"/>
    <cellStyle name="Normal 5 2 2 2 5 4 2 2" xfId="10114" xr:uid="{00000000-0005-0000-0000-0000FB6D0000}"/>
    <cellStyle name="Normal 5 2 2 2 5 4 2 2 2" xfId="33602" xr:uid="{00000000-0005-0000-0000-0000FC6D0000}"/>
    <cellStyle name="Normal 5 2 2 2 5 4 2 3" xfId="33601" xr:uid="{00000000-0005-0000-0000-0000FD6D0000}"/>
    <cellStyle name="Normal 5 2 2 2 5 4 3" xfId="10115" xr:uid="{00000000-0005-0000-0000-0000FE6D0000}"/>
    <cellStyle name="Normal 5 2 2 2 5 4 3 2" xfId="33603" xr:uid="{00000000-0005-0000-0000-0000FF6D0000}"/>
    <cellStyle name="Normal 5 2 2 2 5 4 4" xfId="33600" xr:uid="{00000000-0005-0000-0000-0000006E0000}"/>
    <cellStyle name="Normal 5 2 2 2 5 5" xfId="10116" xr:uid="{00000000-0005-0000-0000-0000016E0000}"/>
    <cellStyle name="Normal 5 2 2 2 5 5 2" xfId="10117" xr:uid="{00000000-0005-0000-0000-0000026E0000}"/>
    <cellStyle name="Normal 5 2 2 2 5 5 2 2" xfId="33605" xr:uid="{00000000-0005-0000-0000-0000036E0000}"/>
    <cellStyle name="Normal 5 2 2 2 5 5 3" xfId="33604" xr:uid="{00000000-0005-0000-0000-0000046E0000}"/>
    <cellStyle name="Normal 5 2 2 2 5 6" xfId="10118" xr:uid="{00000000-0005-0000-0000-0000056E0000}"/>
    <cellStyle name="Normal 5 2 2 2 5 6 2" xfId="33606" xr:uid="{00000000-0005-0000-0000-0000066E0000}"/>
    <cellStyle name="Normal 5 2 2 2 5 7" xfId="33583" xr:uid="{00000000-0005-0000-0000-0000076E0000}"/>
    <cellStyle name="Normal 5 2 2 2 6" xfId="10119" xr:uid="{00000000-0005-0000-0000-0000086E0000}"/>
    <cellStyle name="Normal 5 2 2 2 6 2" xfId="10120" xr:uid="{00000000-0005-0000-0000-0000096E0000}"/>
    <cellStyle name="Normal 5 2 2 2 6 2 2" xfId="10121" xr:uid="{00000000-0005-0000-0000-00000A6E0000}"/>
    <cellStyle name="Normal 5 2 2 2 6 2 2 2" xfId="10122" xr:uid="{00000000-0005-0000-0000-00000B6E0000}"/>
    <cellStyle name="Normal 5 2 2 2 6 2 2 2 2" xfId="33610" xr:uid="{00000000-0005-0000-0000-00000C6E0000}"/>
    <cellStyle name="Normal 5 2 2 2 6 2 2 3" xfId="33609" xr:uid="{00000000-0005-0000-0000-00000D6E0000}"/>
    <cellStyle name="Normal 5 2 2 2 6 2 3" xfId="10123" xr:uid="{00000000-0005-0000-0000-00000E6E0000}"/>
    <cellStyle name="Normal 5 2 2 2 6 2 3 2" xfId="33611" xr:uid="{00000000-0005-0000-0000-00000F6E0000}"/>
    <cellStyle name="Normal 5 2 2 2 6 2 4" xfId="33608" xr:uid="{00000000-0005-0000-0000-0000106E0000}"/>
    <cellStyle name="Normal 5 2 2 2 6 3" xfId="10124" xr:uid="{00000000-0005-0000-0000-0000116E0000}"/>
    <cellStyle name="Normal 5 2 2 2 6 3 2" xfId="10125" xr:uid="{00000000-0005-0000-0000-0000126E0000}"/>
    <cellStyle name="Normal 5 2 2 2 6 3 2 2" xfId="33613" xr:uid="{00000000-0005-0000-0000-0000136E0000}"/>
    <cellStyle name="Normal 5 2 2 2 6 3 3" xfId="33612" xr:uid="{00000000-0005-0000-0000-0000146E0000}"/>
    <cellStyle name="Normal 5 2 2 2 6 4" xfId="10126" xr:uid="{00000000-0005-0000-0000-0000156E0000}"/>
    <cellStyle name="Normal 5 2 2 2 6 4 2" xfId="33614" xr:uid="{00000000-0005-0000-0000-0000166E0000}"/>
    <cellStyle name="Normal 5 2 2 2 6 5" xfId="33607" xr:uid="{00000000-0005-0000-0000-0000176E0000}"/>
    <cellStyle name="Normal 5 2 2 2 7" xfId="10127" xr:uid="{00000000-0005-0000-0000-0000186E0000}"/>
    <cellStyle name="Normal 5 2 2 2 7 2" xfId="10128" xr:uid="{00000000-0005-0000-0000-0000196E0000}"/>
    <cellStyle name="Normal 5 2 2 2 7 2 2" xfId="10129" xr:uid="{00000000-0005-0000-0000-00001A6E0000}"/>
    <cellStyle name="Normal 5 2 2 2 7 2 2 2" xfId="10130" xr:uid="{00000000-0005-0000-0000-00001B6E0000}"/>
    <cellStyle name="Normal 5 2 2 2 7 2 2 2 2" xfId="33618" xr:uid="{00000000-0005-0000-0000-00001C6E0000}"/>
    <cellStyle name="Normal 5 2 2 2 7 2 2 3" xfId="33617" xr:uid="{00000000-0005-0000-0000-00001D6E0000}"/>
    <cellStyle name="Normal 5 2 2 2 7 2 3" xfId="10131" xr:uid="{00000000-0005-0000-0000-00001E6E0000}"/>
    <cellStyle name="Normal 5 2 2 2 7 2 3 2" xfId="33619" xr:uid="{00000000-0005-0000-0000-00001F6E0000}"/>
    <cellStyle name="Normal 5 2 2 2 7 2 4" xfId="33616" xr:uid="{00000000-0005-0000-0000-0000206E0000}"/>
    <cellStyle name="Normal 5 2 2 2 7 3" xfId="10132" xr:uid="{00000000-0005-0000-0000-0000216E0000}"/>
    <cellStyle name="Normal 5 2 2 2 7 3 2" xfId="10133" xr:uid="{00000000-0005-0000-0000-0000226E0000}"/>
    <cellStyle name="Normal 5 2 2 2 7 3 2 2" xfId="33621" xr:uid="{00000000-0005-0000-0000-0000236E0000}"/>
    <cellStyle name="Normal 5 2 2 2 7 3 3" xfId="33620" xr:uid="{00000000-0005-0000-0000-0000246E0000}"/>
    <cellStyle name="Normal 5 2 2 2 7 4" xfId="10134" xr:uid="{00000000-0005-0000-0000-0000256E0000}"/>
    <cellStyle name="Normal 5 2 2 2 7 4 2" xfId="33622" xr:uid="{00000000-0005-0000-0000-0000266E0000}"/>
    <cellStyle name="Normal 5 2 2 2 7 5" xfId="33615" xr:uid="{00000000-0005-0000-0000-0000276E0000}"/>
    <cellStyle name="Normal 5 2 2 2 8" xfId="10135" xr:uid="{00000000-0005-0000-0000-0000286E0000}"/>
    <cellStyle name="Normal 5 2 2 2 8 2" xfId="10136" xr:uid="{00000000-0005-0000-0000-0000296E0000}"/>
    <cellStyle name="Normal 5 2 2 2 8 2 2" xfId="10137" xr:uid="{00000000-0005-0000-0000-00002A6E0000}"/>
    <cellStyle name="Normal 5 2 2 2 8 2 2 2" xfId="33625" xr:uid="{00000000-0005-0000-0000-00002B6E0000}"/>
    <cellStyle name="Normal 5 2 2 2 8 2 3" xfId="33624" xr:uid="{00000000-0005-0000-0000-00002C6E0000}"/>
    <cellStyle name="Normal 5 2 2 2 8 3" xfId="10138" xr:uid="{00000000-0005-0000-0000-00002D6E0000}"/>
    <cellStyle name="Normal 5 2 2 2 8 3 2" xfId="33626" xr:uid="{00000000-0005-0000-0000-00002E6E0000}"/>
    <cellStyle name="Normal 5 2 2 2 8 4" xfId="33623" xr:uid="{00000000-0005-0000-0000-00002F6E0000}"/>
    <cellStyle name="Normal 5 2 2 2 9" xfId="10139" xr:uid="{00000000-0005-0000-0000-0000306E0000}"/>
    <cellStyle name="Normal 5 2 2 2 9 2" xfId="10140" xr:uid="{00000000-0005-0000-0000-0000316E0000}"/>
    <cellStyle name="Normal 5 2 2 2 9 2 2" xfId="33628" xr:uid="{00000000-0005-0000-0000-0000326E0000}"/>
    <cellStyle name="Normal 5 2 2 2 9 3" xfId="33627" xr:uid="{00000000-0005-0000-0000-0000336E0000}"/>
    <cellStyle name="Normal 5 2 2 3" xfId="10141" xr:uid="{00000000-0005-0000-0000-0000346E0000}"/>
    <cellStyle name="Normal 5 2 2 3 10" xfId="33629" xr:uid="{00000000-0005-0000-0000-0000356E0000}"/>
    <cellStyle name="Normal 5 2 2 3 2" xfId="10142" xr:uid="{00000000-0005-0000-0000-0000366E0000}"/>
    <cellStyle name="Normal 5 2 2 3 2 2" xfId="10143" xr:uid="{00000000-0005-0000-0000-0000376E0000}"/>
    <cellStyle name="Normal 5 2 2 3 2 2 2" xfId="10144" xr:uid="{00000000-0005-0000-0000-0000386E0000}"/>
    <cellStyle name="Normal 5 2 2 3 2 2 2 2" xfId="10145" xr:uid="{00000000-0005-0000-0000-0000396E0000}"/>
    <cellStyle name="Normal 5 2 2 3 2 2 2 2 2" xfId="10146" xr:uid="{00000000-0005-0000-0000-00003A6E0000}"/>
    <cellStyle name="Normal 5 2 2 3 2 2 2 2 2 2" xfId="33634" xr:uid="{00000000-0005-0000-0000-00003B6E0000}"/>
    <cellStyle name="Normal 5 2 2 3 2 2 2 2 3" xfId="33633" xr:uid="{00000000-0005-0000-0000-00003C6E0000}"/>
    <cellStyle name="Normal 5 2 2 3 2 2 2 3" xfId="10147" xr:uid="{00000000-0005-0000-0000-00003D6E0000}"/>
    <cellStyle name="Normal 5 2 2 3 2 2 2 3 2" xfId="33635" xr:uid="{00000000-0005-0000-0000-00003E6E0000}"/>
    <cellStyle name="Normal 5 2 2 3 2 2 2 4" xfId="33632" xr:uid="{00000000-0005-0000-0000-00003F6E0000}"/>
    <cellStyle name="Normal 5 2 2 3 2 2 3" xfId="10148" xr:uid="{00000000-0005-0000-0000-0000406E0000}"/>
    <cellStyle name="Normal 5 2 2 3 2 2 3 2" xfId="10149" xr:uid="{00000000-0005-0000-0000-0000416E0000}"/>
    <cellStyle name="Normal 5 2 2 3 2 2 3 2 2" xfId="33637" xr:uid="{00000000-0005-0000-0000-0000426E0000}"/>
    <cellStyle name="Normal 5 2 2 3 2 2 3 3" xfId="33636" xr:uid="{00000000-0005-0000-0000-0000436E0000}"/>
    <cellStyle name="Normal 5 2 2 3 2 2 4" xfId="10150" xr:uid="{00000000-0005-0000-0000-0000446E0000}"/>
    <cellStyle name="Normal 5 2 2 3 2 2 4 2" xfId="33638" xr:uid="{00000000-0005-0000-0000-0000456E0000}"/>
    <cellStyle name="Normal 5 2 2 3 2 2 5" xfId="33631" xr:uid="{00000000-0005-0000-0000-0000466E0000}"/>
    <cellStyle name="Normal 5 2 2 3 2 3" xfId="10151" xr:uid="{00000000-0005-0000-0000-0000476E0000}"/>
    <cellStyle name="Normal 5 2 2 3 2 3 2" xfId="10152" xr:uid="{00000000-0005-0000-0000-0000486E0000}"/>
    <cellStyle name="Normal 5 2 2 3 2 3 2 2" xfId="10153" xr:uid="{00000000-0005-0000-0000-0000496E0000}"/>
    <cellStyle name="Normal 5 2 2 3 2 3 2 2 2" xfId="10154" xr:uid="{00000000-0005-0000-0000-00004A6E0000}"/>
    <cellStyle name="Normal 5 2 2 3 2 3 2 2 2 2" xfId="33642" xr:uid="{00000000-0005-0000-0000-00004B6E0000}"/>
    <cellStyle name="Normal 5 2 2 3 2 3 2 2 3" xfId="33641" xr:uid="{00000000-0005-0000-0000-00004C6E0000}"/>
    <cellStyle name="Normal 5 2 2 3 2 3 2 3" xfId="10155" xr:uid="{00000000-0005-0000-0000-00004D6E0000}"/>
    <cellStyle name="Normal 5 2 2 3 2 3 2 3 2" xfId="33643" xr:uid="{00000000-0005-0000-0000-00004E6E0000}"/>
    <cellStyle name="Normal 5 2 2 3 2 3 2 4" xfId="33640" xr:uid="{00000000-0005-0000-0000-00004F6E0000}"/>
    <cellStyle name="Normal 5 2 2 3 2 3 3" xfId="10156" xr:uid="{00000000-0005-0000-0000-0000506E0000}"/>
    <cellStyle name="Normal 5 2 2 3 2 3 3 2" xfId="10157" xr:uid="{00000000-0005-0000-0000-0000516E0000}"/>
    <cellStyle name="Normal 5 2 2 3 2 3 3 2 2" xfId="33645" xr:uid="{00000000-0005-0000-0000-0000526E0000}"/>
    <cellStyle name="Normal 5 2 2 3 2 3 3 3" xfId="33644" xr:uid="{00000000-0005-0000-0000-0000536E0000}"/>
    <cellStyle name="Normal 5 2 2 3 2 3 4" xfId="10158" xr:uid="{00000000-0005-0000-0000-0000546E0000}"/>
    <cellStyle name="Normal 5 2 2 3 2 3 4 2" xfId="33646" xr:uid="{00000000-0005-0000-0000-0000556E0000}"/>
    <cellStyle name="Normal 5 2 2 3 2 3 5" xfId="33639" xr:uid="{00000000-0005-0000-0000-0000566E0000}"/>
    <cellStyle name="Normal 5 2 2 3 2 4" xfId="10159" xr:uid="{00000000-0005-0000-0000-0000576E0000}"/>
    <cellStyle name="Normal 5 2 2 3 2 4 2" xfId="10160" xr:uid="{00000000-0005-0000-0000-0000586E0000}"/>
    <cellStyle name="Normal 5 2 2 3 2 4 2 2" xfId="10161" xr:uid="{00000000-0005-0000-0000-0000596E0000}"/>
    <cellStyle name="Normal 5 2 2 3 2 4 2 2 2" xfId="33649" xr:uid="{00000000-0005-0000-0000-00005A6E0000}"/>
    <cellStyle name="Normal 5 2 2 3 2 4 2 3" xfId="33648" xr:uid="{00000000-0005-0000-0000-00005B6E0000}"/>
    <cellStyle name="Normal 5 2 2 3 2 4 3" xfId="10162" xr:uid="{00000000-0005-0000-0000-00005C6E0000}"/>
    <cellStyle name="Normal 5 2 2 3 2 4 3 2" xfId="33650" xr:uid="{00000000-0005-0000-0000-00005D6E0000}"/>
    <cellStyle name="Normal 5 2 2 3 2 4 4" xfId="33647" xr:uid="{00000000-0005-0000-0000-00005E6E0000}"/>
    <cellStyle name="Normal 5 2 2 3 2 5" xfId="10163" xr:uid="{00000000-0005-0000-0000-00005F6E0000}"/>
    <cellStyle name="Normal 5 2 2 3 2 5 2" xfId="10164" xr:uid="{00000000-0005-0000-0000-0000606E0000}"/>
    <cellStyle name="Normal 5 2 2 3 2 5 2 2" xfId="33652" xr:uid="{00000000-0005-0000-0000-0000616E0000}"/>
    <cellStyle name="Normal 5 2 2 3 2 5 3" xfId="33651" xr:uid="{00000000-0005-0000-0000-0000626E0000}"/>
    <cellStyle name="Normal 5 2 2 3 2 6" xfId="10165" xr:uid="{00000000-0005-0000-0000-0000636E0000}"/>
    <cellStyle name="Normal 5 2 2 3 2 6 2" xfId="33653" xr:uid="{00000000-0005-0000-0000-0000646E0000}"/>
    <cellStyle name="Normal 5 2 2 3 2 7" xfId="33630" xr:uid="{00000000-0005-0000-0000-0000656E0000}"/>
    <cellStyle name="Normal 5 2 2 3 3" xfId="10166" xr:uid="{00000000-0005-0000-0000-0000666E0000}"/>
    <cellStyle name="Normal 5 2 2 3 3 2" xfId="10167" xr:uid="{00000000-0005-0000-0000-0000676E0000}"/>
    <cellStyle name="Normal 5 2 2 3 3 2 2" xfId="10168" xr:uid="{00000000-0005-0000-0000-0000686E0000}"/>
    <cellStyle name="Normal 5 2 2 3 3 2 2 2" xfId="10169" xr:uid="{00000000-0005-0000-0000-0000696E0000}"/>
    <cellStyle name="Normal 5 2 2 3 3 2 2 2 2" xfId="10170" xr:uid="{00000000-0005-0000-0000-00006A6E0000}"/>
    <cellStyle name="Normal 5 2 2 3 3 2 2 2 2 2" xfId="33658" xr:uid="{00000000-0005-0000-0000-00006B6E0000}"/>
    <cellStyle name="Normal 5 2 2 3 3 2 2 2 3" xfId="33657" xr:uid="{00000000-0005-0000-0000-00006C6E0000}"/>
    <cellStyle name="Normal 5 2 2 3 3 2 2 3" xfId="10171" xr:uid="{00000000-0005-0000-0000-00006D6E0000}"/>
    <cellStyle name="Normal 5 2 2 3 3 2 2 3 2" xfId="33659" xr:uid="{00000000-0005-0000-0000-00006E6E0000}"/>
    <cellStyle name="Normal 5 2 2 3 3 2 2 4" xfId="33656" xr:uid="{00000000-0005-0000-0000-00006F6E0000}"/>
    <cellStyle name="Normal 5 2 2 3 3 2 3" xfId="10172" xr:uid="{00000000-0005-0000-0000-0000706E0000}"/>
    <cellStyle name="Normal 5 2 2 3 3 2 3 2" xfId="10173" xr:uid="{00000000-0005-0000-0000-0000716E0000}"/>
    <cellStyle name="Normal 5 2 2 3 3 2 3 2 2" xfId="33661" xr:uid="{00000000-0005-0000-0000-0000726E0000}"/>
    <cellStyle name="Normal 5 2 2 3 3 2 3 3" xfId="33660" xr:uid="{00000000-0005-0000-0000-0000736E0000}"/>
    <cellStyle name="Normal 5 2 2 3 3 2 4" xfId="10174" xr:uid="{00000000-0005-0000-0000-0000746E0000}"/>
    <cellStyle name="Normal 5 2 2 3 3 2 4 2" xfId="33662" xr:uid="{00000000-0005-0000-0000-0000756E0000}"/>
    <cellStyle name="Normal 5 2 2 3 3 2 5" xfId="33655" xr:uid="{00000000-0005-0000-0000-0000766E0000}"/>
    <cellStyle name="Normal 5 2 2 3 3 3" xfId="10175" xr:uid="{00000000-0005-0000-0000-0000776E0000}"/>
    <cellStyle name="Normal 5 2 2 3 3 3 2" xfId="10176" xr:uid="{00000000-0005-0000-0000-0000786E0000}"/>
    <cellStyle name="Normal 5 2 2 3 3 3 2 2" xfId="10177" xr:uid="{00000000-0005-0000-0000-0000796E0000}"/>
    <cellStyle name="Normal 5 2 2 3 3 3 2 2 2" xfId="10178" xr:uid="{00000000-0005-0000-0000-00007A6E0000}"/>
    <cellStyle name="Normal 5 2 2 3 3 3 2 2 2 2" xfId="33666" xr:uid="{00000000-0005-0000-0000-00007B6E0000}"/>
    <cellStyle name="Normal 5 2 2 3 3 3 2 2 3" xfId="33665" xr:uid="{00000000-0005-0000-0000-00007C6E0000}"/>
    <cellStyle name="Normal 5 2 2 3 3 3 2 3" xfId="10179" xr:uid="{00000000-0005-0000-0000-00007D6E0000}"/>
    <cellStyle name="Normal 5 2 2 3 3 3 2 3 2" xfId="33667" xr:uid="{00000000-0005-0000-0000-00007E6E0000}"/>
    <cellStyle name="Normal 5 2 2 3 3 3 2 4" xfId="33664" xr:uid="{00000000-0005-0000-0000-00007F6E0000}"/>
    <cellStyle name="Normal 5 2 2 3 3 3 3" xfId="10180" xr:uid="{00000000-0005-0000-0000-0000806E0000}"/>
    <cellStyle name="Normal 5 2 2 3 3 3 3 2" xfId="10181" xr:uid="{00000000-0005-0000-0000-0000816E0000}"/>
    <cellStyle name="Normal 5 2 2 3 3 3 3 2 2" xfId="33669" xr:uid="{00000000-0005-0000-0000-0000826E0000}"/>
    <cellStyle name="Normal 5 2 2 3 3 3 3 3" xfId="33668" xr:uid="{00000000-0005-0000-0000-0000836E0000}"/>
    <cellStyle name="Normal 5 2 2 3 3 3 4" xfId="10182" xr:uid="{00000000-0005-0000-0000-0000846E0000}"/>
    <cellStyle name="Normal 5 2 2 3 3 3 4 2" xfId="33670" xr:uid="{00000000-0005-0000-0000-0000856E0000}"/>
    <cellStyle name="Normal 5 2 2 3 3 3 5" xfId="33663" xr:uid="{00000000-0005-0000-0000-0000866E0000}"/>
    <cellStyle name="Normal 5 2 2 3 3 4" xfId="10183" xr:uid="{00000000-0005-0000-0000-0000876E0000}"/>
    <cellStyle name="Normal 5 2 2 3 3 4 2" xfId="10184" xr:uid="{00000000-0005-0000-0000-0000886E0000}"/>
    <cellStyle name="Normal 5 2 2 3 3 4 2 2" xfId="10185" xr:uid="{00000000-0005-0000-0000-0000896E0000}"/>
    <cellStyle name="Normal 5 2 2 3 3 4 2 2 2" xfId="33673" xr:uid="{00000000-0005-0000-0000-00008A6E0000}"/>
    <cellStyle name="Normal 5 2 2 3 3 4 2 3" xfId="33672" xr:uid="{00000000-0005-0000-0000-00008B6E0000}"/>
    <cellStyle name="Normal 5 2 2 3 3 4 3" xfId="10186" xr:uid="{00000000-0005-0000-0000-00008C6E0000}"/>
    <cellStyle name="Normal 5 2 2 3 3 4 3 2" xfId="33674" xr:uid="{00000000-0005-0000-0000-00008D6E0000}"/>
    <cellStyle name="Normal 5 2 2 3 3 4 4" xfId="33671" xr:uid="{00000000-0005-0000-0000-00008E6E0000}"/>
    <cellStyle name="Normal 5 2 2 3 3 5" xfId="10187" xr:uid="{00000000-0005-0000-0000-00008F6E0000}"/>
    <cellStyle name="Normal 5 2 2 3 3 5 2" xfId="10188" xr:uid="{00000000-0005-0000-0000-0000906E0000}"/>
    <cellStyle name="Normal 5 2 2 3 3 5 2 2" xfId="33676" xr:uid="{00000000-0005-0000-0000-0000916E0000}"/>
    <cellStyle name="Normal 5 2 2 3 3 5 3" xfId="33675" xr:uid="{00000000-0005-0000-0000-0000926E0000}"/>
    <cellStyle name="Normal 5 2 2 3 3 6" xfId="10189" xr:uid="{00000000-0005-0000-0000-0000936E0000}"/>
    <cellStyle name="Normal 5 2 2 3 3 6 2" xfId="33677" xr:uid="{00000000-0005-0000-0000-0000946E0000}"/>
    <cellStyle name="Normal 5 2 2 3 3 7" xfId="33654" xr:uid="{00000000-0005-0000-0000-0000956E0000}"/>
    <cellStyle name="Normal 5 2 2 3 4" xfId="10190" xr:uid="{00000000-0005-0000-0000-0000966E0000}"/>
    <cellStyle name="Normal 5 2 2 3 4 2" xfId="10191" xr:uid="{00000000-0005-0000-0000-0000976E0000}"/>
    <cellStyle name="Normal 5 2 2 3 4 2 2" xfId="10192" xr:uid="{00000000-0005-0000-0000-0000986E0000}"/>
    <cellStyle name="Normal 5 2 2 3 4 2 2 2" xfId="10193" xr:uid="{00000000-0005-0000-0000-0000996E0000}"/>
    <cellStyle name="Normal 5 2 2 3 4 2 2 2 2" xfId="10194" xr:uid="{00000000-0005-0000-0000-00009A6E0000}"/>
    <cellStyle name="Normal 5 2 2 3 4 2 2 2 2 2" xfId="33682" xr:uid="{00000000-0005-0000-0000-00009B6E0000}"/>
    <cellStyle name="Normal 5 2 2 3 4 2 2 2 3" xfId="33681" xr:uid="{00000000-0005-0000-0000-00009C6E0000}"/>
    <cellStyle name="Normal 5 2 2 3 4 2 2 3" xfId="10195" xr:uid="{00000000-0005-0000-0000-00009D6E0000}"/>
    <cellStyle name="Normal 5 2 2 3 4 2 2 3 2" xfId="33683" xr:uid="{00000000-0005-0000-0000-00009E6E0000}"/>
    <cellStyle name="Normal 5 2 2 3 4 2 2 4" xfId="33680" xr:uid="{00000000-0005-0000-0000-00009F6E0000}"/>
    <cellStyle name="Normal 5 2 2 3 4 2 3" xfId="10196" xr:uid="{00000000-0005-0000-0000-0000A06E0000}"/>
    <cellStyle name="Normal 5 2 2 3 4 2 3 2" xfId="10197" xr:uid="{00000000-0005-0000-0000-0000A16E0000}"/>
    <cellStyle name="Normal 5 2 2 3 4 2 3 2 2" xfId="33685" xr:uid="{00000000-0005-0000-0000-0000A26E0000}"/>
    <cellStyle name="Normal 5 2 2 3 4 2 3 3" xfId="33684" xr:uid="{00000000-0005-0000-0000-0000A36E0000}"/>
    <cellStyle name="Normal 5 2 2 3 4 2 4" xfId="10198" xr:uid="{00000000-0005-0000-0000-0000A46E0000}"/>
    <cellStyle name="Normal 5 2 2 3 4 2 4 2" xfId="33686" xr:uid="{00000000-0005-0000-0000-0000A56E0000}"/>
    <cellStyle name="Normal 5 2 2 3 4 2 5" xfId="33679" xr:uid="{00000000-0005-0000-0000-0000A66E0000}"/>
    <cellStyle name="Normal 5 2 2 3 4 3" xfId="10199" xr:uid="{00000000-0005-0000-0000-0000A76E0000}"/>
    <cellStyle name="Normal 5 2 2 3 4 3 2" xfId="10200" xr:uid="{00000000-0005-0000-0000-0000A86E0000}"/>
    <cellStyle name="Normal 5 2 2 3 4 3 2 2" xfId="10201" xr:uid="{00000000-0005-0000-0000-0000A96E0000}"/>
    <cellStyle name="Normal 5 2 2 3 4 3 2 2 2" xfId="10202" xr:uid="{00000000-0005-0000-0000-0000AA6E0000}"/>
    <cellStyle name="Normal 5 2 2 3 4 3 2 2 2 2" xfId="33690" xr:uid="{00000000-0005-0000-0000-0000AB6E0000}"/>
    <cellStyle name="Normal 5 2 2 3 4 3 2 2 3" xfId="33689" xr:uid="{00000000-0005-0000-0000-0000AC6E0000}"/>
    <cellStyle name="Normal 5 2 2 3 4 3 2 3" xfId="10203" xr:uid="{00000000-0005-0000-0000-0000AD6E0000}"/>
    <cellStyle name="Normal 5 2 2 3 4 3 2 3 2" xfId="33691" xr:uid="{00000000-0005-0000-0000-0000AE6E0000}"/>
    <cellStyle name="Normal 5 2 2 3 4 3 2 4" xfId="33688" xr:uid="{00000000-0005-0000-0000-0000AF6E0000}"/>
    <cellStyle name="Normal 5 2 2 3 4 3 3" xfId="10204" xr:uid="{00000000-0005-0000-0000-0000B06E0000}"/>
    <cellStyle name="Normal 5 2 2 3 4 3 3 2" xfId="10205" xr:uid="{00000000-0005-0000-0000-0000B16E0000}"/>
    <cellStyle name="Normal 5 2 2 3 4 3 3 2 2" xfId="33693" xr:uid="{00000000-0005-0000-0000-0000B26E0000}"/>
    <cellStyle name="Normal 5 2 2 3 4 3 3 3" xfId="33692" xr:uid="{00000000-0005-0000-0000-0000B36E0000}"/>
    <cellStyle name="Normal 5 2 2 3 4 3 4" xfId="10206" xr:uid="{00000000-0005-0000-0000-0000B46E0000}"/>
    <cellStyle name="Normal 5 2 2 3 4 3 4 2" xfId="33694" xr:uid="{00000000-0005-0000-0000-0000B56E0000}"/>
    <cellStyle name="Normal 5 2 2 3 4 3 5" xfId="33687" xr:uid="{00000000-0005-0000-0000-0000B66E0000}"/>
    <cellStyle name="Normal 5 2 2 3 4 4" xfId="10207" xr:uid="{00000000-0005-0000-0000-0000B76E0000}"/>
    <cellStyle name="Normal 5 2 2 3 4 4 2" xfId="10208" xr:uid="{00000000-0005-0000-0000-0000B86E0000}"/>
    <cellStyle name="Normal 5 2 2 3 4 4 2 2" xfId="10209" xr:uid="{00000000-0005-0000-0000-0000B96E0000}"/>
    <cellStyle name="Normal 5 2 2 3 4 4 2 2 2" xfId="33697" xr:uid="{00000000-0005-0000-0000-0000BA6E0000}"/>
    <cellStyle name="Normal 5 2 2 3 4 4 2 3" xfId="33696" xr:uid="{00000000-0005-0000-0000-0000BB6E0000}"/>
    <cellStyle name="Normal 5 2 2 3 4 4 3" xfId="10210" xr:uid="{00000000-0005-0000-0000-0000BC6E0000}"/>
    <cellStyle name="Normal 5 2 2 3 4 4 3 2" xfId="33698" xr:uid="{00000000-0005-0000-0000-0000BD6E0000}"/>
    <cellStyle name="Normal 5 2 2 3 4 4 4" xfId="33695" xr:uid="{00000000-0005-0000-0000-0000BE6E0000}"/>
    <cellStyle name="Normal 5 2 2 3 4 5" xfId="10211" xr:uid="{00000000-0005-0000-0000-0000BF6E0000}"/>
    <cellStyle name="Normal 5 2 2 3 4 5 2" xfId="10212" xr:uid="{00000000-0005-0000-0000-0000C06E0000}"/>
    <cellStyle name="Normal 5 2 2 3 4 5 2 2" xfId="33700" xr:uid="{00000000-0005-0000-0000-0000C16E0000}"/>
    <cellStyle name="Normal 5 2 2 3 4 5 3" xfId="33699" xr:uid="{00000000-0005-0000-0000-0000C26E0000}"/>
    <cellStyle name="Normal 5 2 2 3 4 6" xfId="10213" xr:uid="{00000000-0005-0000-0000-0000C36E0000}"/>
    <cellStyle name="Normal 5 2 2 3 4 6 2" xfId="33701" xr:uid="{00000000-0005-0000-0000-0000C46E0000}"/>
    <cellStyle name="Normal 5 2 2 3 4 7" xfId="33678" xr:uid="{00000000-0005-0000-0000-0000C56E0000}"/>
    <cellStyle name="Normal 5 2 2 3 5" xfId="10214" xr:uid="{00000000-0005-0000-0000-0000C66E0000}"/>
    <cellStyle name="Normal 5 2 2 3 5 2" xfId="10215" xr:uid="{00000000-0005-0000-0000-0000C76E0000}"/>
    <cellStyle name="Normal 5 2 2 3 5 2 2" xfId="10216" xr:uid="{00000000-0005-0000-0000-0000C86E0000}"/>
    <cellStyle name="Normal 5 2 2 3 5 2 2 2" xfId="10217" xr:uid="{00000000-0005-0000-0000-0000C96E0000}"/>
    <cellStyle name="Normal 5 2 2 3 5 2 2 2 2" xfId="33705" xr:uid="{00000000-0005-0000-0000-0000CA6E0000}"/>
    <cellStyle name="Normal 5 2 2 3 5 2 2 3" xfId="33704" xr:uid="{00000000-0005-0000-0000-0000CB6E0000}"/>
    <cellStyle name="Normal 5 2 2 3 5 2 3" xfId="10218" xr:uid="{00000000-0005-0000-0000-0000CC6E0000}"/>
    <cellStyle name="Normal 5 2 2 3 5 2 3 2" xfId="33706" xr:uid="{00000000-0005-0000-0000-0000CD6E0000}"/>
    <cellStyle name="Normal 5 2 2 3 5 2 4" xfId="33703" xr:uid="{00000000-0005-0000-0000-0000CE6E0000}"/>
    <cellStyle name="Normal 5 2 2 3 5 3" xfId="10219" xr:uid="{00000000-0005-0000-0000-0000CF6E0000}"/>
    <cellStyle name="Normal 5 2 2 3 5 3 2" xfId="10220" xr:uid="{00000000-0005-0000-0000-0000D06E0000}"/>
    <cellStyle name="Normal 5 2 2 3 5 3 2 2" xfId="33708" xr:uid="{00000000-0005-0000-0000-0000D16E0000}"/>
    <cellStyle name="Normal 5 2 2 3 5 3 3" xfId="33707" xr:uid="{00000000-0005-0000-0000-0000D26E0000}"/>
    <cellStyle name="Normal 5 2 2 3 5 4" xfId="10221" xr:uid="{00000000-0005-0000-0000-0000D36E0000}"/>
    <cellStyle name="Normal 5 2 2 3 5 4 2" xfId="33709" xr:uid="{00000000-0005-0000-0000-0000D46E0000}"/>
    <cellStyle name="Normal 5 2 2 3 5 5" xfId="33702" xr:uid="{00000000-0005-0000-0000-0000D56E0000}"/>
    <cellStyle name="Normal 5 2 2 3 6" xfId="10222" xr:uid="{00000000-0005-0000-0000-0000D66E0000}"/>
    <cellStyle name="Normal 5 2 2 3 6 2" xfId="10223" xr:uid="{00000000-0005-0000-0000-0000D76E0000}"/>
    <cellStyle name="Normal 5 2 2 3 6 2 2" xfId="10224" xr:uid="{00000000-0005-0000-0000-0000D86E0000}"/>
    <cellStyle name="Normal 5 2 2 3 6 2 2 2" xfId="10225" xr:uid="{00000000-0005-0000-0000-0000D96E0000}"/>
    <cellStyle name="Normal 5 2 2 3 6 2 2 2 2" xfId="33713" xr:uid="{00000000-0005-0000-0000-0000DA6E0000}"/>
    <cellStyle name="Normal 5 2 2 3 6 2 2 3" xfId="33712" xr:uid="{00000000-0005-0000-0000-0000DB6E0000}"/>
    <cellStyle name="Normal 5 2 2 3 6 2 3" xfId="10226" xr:uid="{00000000-0005-0000-0000-0000DC6E0000}"/>
    <cellStyle name="Normal 5 2 2 3 6 2 3 2" xfId="33714" xr:uid="{00000000-0005-0000-0000-0000DD6E0000}"/>
    <cellStyle name="Normal 5 2 2 3 6 2 4" xfId="33711" xr:uid="{00000000-0005-0000-0000-0000DE6E0000}"/>
    <cellStyle name="Normal 5 2 2 3 6 3" xfId="10227" xr:uid="{00000000-0005-0000-0000-0000DF6E0000}"/>
    <cellStyle name="Normal 5 2 2 3 6 3 2" xfId="10228" xr:uid="{00000000-0005-0000-0000-0000E06E0000}"/>
    <cellStyle name="Normal 5 2 2 3 6 3 2 2" xfId="33716" xr:uid="{00000000-0005-0000-0000-0000E16E0000}"/>
    <cellStyle name="Normal 5 2 2 3 6 3 3" xfId="33715" xr:uid="{00000000-0005-0000-0000-0000E26E0000}"/>
    <cellStyle name="Normal 5 2 2 3 6 4" xfId="10229" xr:uid="{00000000-0005-0000-0000-0000E36E0000}"/>
    <cellStyle name="Normal 5 2 2 3 6 4 2" xfId="33717" xr:uid="{00000000-0005-0000-0000-0000E46E0000}"/>
    <cellStyle name="Normal 5 2 2 3 6 5" xfId="33710" xr:uid="{00000000-0005-0000-0000-0000E56E0000}"/>
    <cellStyle name="Normal 5 2 2 3 7" xfId="10230" xr:uid="{00000000-0005-0000-0000-0000E66E0000}"/>
    <cellStyle name="Normal 5 2 2 3 7 2" xfId="10231" xr:uid="{00000000-0005-0000-0000-0000E76E0000}"/>
    <cellStyle name="Normal 5 2 2 3 7 2 2" xfId="10232" xr:uid="{00000000-0005-0000-0000-0000E86E0000}"/>
    <cellStyle name="Normal 5 2 2 3 7 2 2 2" xfId="33720" xr:uid="{00000000-0005-0000-0000-0000E96E0000}"/>
    <cellStyle name="Normal 5 2 2 3 7 2 3" xfId="33719" xr:uid="{00000000-0005-0000-0000-0000EA6E0000}"/>
    <cellStyle name="Normal 5 2 2 3 7 3" xfId="10233" xr:uid="{00000000-0005-0000-0000-0000EB6E0000}"/>
    <cellStyle name="Normal 5 2 2 3 7 3 2" xfId="33721" xr:uid="{00000000-0005-0000-0000-0000EC6E0000}"/>
    <cellStyle name="Normal 5 2 2 3 7 4" xfId="33718" xr:uid="{00000000-0005-0000-0000-0000ED6E0000}"/>
    <cellStyle name="Normal 5 2 2 3 8" xfId="10234" xr:uid="{00000000-0005-0000-0000-0000EE6E0000}"/>
    <cellStyle name="Normal 5 2 2 3 8 2" xfId="10235" xr:uid="{00000000-0005-0000-0000-0000EF6E0000}"/>
    <cellStyle name="Normal 5 2 2 3 8 2 2" xfId="33723" xr:uid="{00000000-0005-0000-0000-0000F06E0000}"/>
    <cellStyle name="Normal 5 2 2 3 8 3" xfId="33722" xr:uid="{00000000-0005-0000-0000-0000F16E0000}"/>
    <cellStyle name="Normal 5 2 2 3 9" xfId="10236" xr:uid="{00000000-0005-0000-0000-0000F26E0000}"/>
    <cellStyle name="Normal 5 2 2 3 9 2" xfId="33724" xr:uid="{00000000-0005-0000-0000-0000F36E0000}"/>
    <cellStyle name="Normal 5 2 2 4" xfId="10237" xr:uid="{00000000-0005-0000-0000-0000F46E0000}"/>
    <cellStyle name="Normal 5 2 2 4 10" xfId="33725" xr:uid="{00000000-0005-0000-0000-0000F56E0000}"/>
    <cellStyle name="Normal 5 2 2 4 2" xfId="10238" xr:uid="{00000000-0005-0000-0000-0000F66E0000}"/>
    <cellStyle name="Normal 5 2 2 4 2 2" xfId="10239" xr:uid="{00000000-0005-0000-0000-0000F76E0000}"/>
    <cellStyle name="Normal 5 2 2 4 2 2 2" xfId="10240" xr:uid="{00000000-0005-0000-0000-0000F86E0000}"/>
    <cellStyle name="Normal 5 2 2 4 2 2 2 2" xfId="10241" xr:uid="{00000000-0005-0000-0000-0000F96E0000}"/>
    <cellStyle name="Normal 5 2 2 4 2 2 2 2 2" xfId="10242" xr:uid="{00000000-0005-0000-0000-0000FA6E0000}"/>
    <cellStyle name="Normal 5 2 2 4 2 2 2 2 2 2" xfId="33730" xr:uid="{00000000-0005-0000-0000-0000FB6E0000}"/>
    <cellStyle name="Normal 5 2 2 4 2 2 2 2 3" xfId="33729" xr:uid="{00000000-0005-0000-0000-0000FC6E0000}"/>
    <cellStyle name="Normal 5 2 2 4 2 2 2 3" xfId="10243" xr:uid="{00000000-0005-0000-0000-0000FD6E0000}"/>
    <cellStyle name="Normal 5 2 2 4 2 2 2 3 2" xfId="33731" xr:uid="{00000000-0005-0000-0000-0000FE6E0000}"/>
    <cellStyle name="Normal 5 2 2 4 2 2 2 4" xfId="33728" xr:uid="{00000000-0005-0000-0000-0000FF6E0000}"/>
    <cellStyle name="Normal 5 2 2 4 2 2 3" xfId="10244" xr:uid="{00000000-0005-0000-0000-0000006F0000}"/>
    <cellStyle name="Normal 5 2 2 4 2 2 3 2" xfId="10245" xr:uid="{00000000-0005-0000-0000-0000016F0000}"/>
    <cellStyle name="Normal 5 2 2 4 2 2 3 2 2" xfId="33733" xr:uid="{00000000-0005-0000-0000-0000026F0000}"/>
    <cellStyle name="Normal 5 2 2 4 2 2 3 3" xfId="33732" xr:uid="{00000000-0005-0000-0000-0000036F0000}"/>
    <cellStyle name="Normal 5 2 2 4 2 2 4" xfId="10246" xr:uid="{00000000-0005-0000-0000-0000046F0000}"/>
    <cellStyle name="Normal 5 2 2 4 2 2 4 2" xfId="33734" xr:uid="{00000000-0005-0000-0000-0000056F0000}"/>
    <cellStyle name="Normal 5 2 2 4 2 2 5" xfId="33727" xr:uid="{00000000-0005-0000-0000-0000066F0000}"/>
    <cellStyle name="Normal 5 2 2 4 2 3" xfId="10247" xr:uid="{00000000-0005-0000-0000-0000076F0000}"/>
    <cellStyle name="Normal 5 2 2 4 2 3 2" xfId="10248" xr:uid="{00000000-0005-0000-0000-0000086F0000}"/>
    <cellStyle name="Normal 5 2 2 4 2 3 2 2" xfId="10249" xr:uid="{00000000-0005-0000-0000-0000096F0000}"/>
    <cellStyle name="Normal 5 2 2 4 2 3 2 2 2" xfId="10250" xr:uid="{00000000-0005-0000-0000-00000A6F0000}"/>
    <cellStyle name="Normal 5 2 2 4 2 3 2 2 2 2" xfId="33738" xr:uid="{00000000-0005-0000-0000-00000B6F0000}"/>
    <cellStyle name="Normal 5 2 2 4 2 3 2 2 3" xfId="33737" xr:uid="{00000000-0005-0000-0000-00000C6F0000}"/>
    <cellStyle name="Normal 5 2 2 4 2 3 2 3" xfId="10251" xr:uid="{00000000-0005-0000-0000-00000D6F0000}"/>
    <cellStyle name="Normal 5 2 2 4 2 3 2 3 2" xfId="33739" xr:uid="{00000000-0005-0000-0000-00000E6F0000}"/>
    <cellStyle name="Normal 5 2 2 4 2 3 2 4" xfId="33736" xr:uid="{00000000-0005-0000-0000-00000F6F0000}"/>
    <cellStyle name="Normal 5 2 2 4 2 3 3" xfId="10252" xr:uid="{00000000-0005-0000-0000-0000106F0000}"/>
    <cellStyle name="Normal 5 2 2 4 2 3 3 2" xfId="10253" xr:uid="{00000000-0005-0000-0000-0000116F0000}"/>
    <cellStyle name="Normal 5 2 2 4 2 3 3 2 2" xfId="33741" xr:uid="{00000000-0005-0000-0000-0000126F0000}"/>
    <cellStyle name="Normal 5 2 2 4 2 3 3 3" xfId="33740" xr:uid="{00000000-0005-0000-0000-0000136F0000}"/>
    <cellStyle name="Normal 5 2 2 4 2 3 4" xfId="10254" xr:uid="{00000000-0005-0000-0000-0000146F0000}"/>
    <cellStyle name="Normal 5 2 2 4 2 3 4 2" xfId="33742" xr:uid="{00000000-0005-0000-0000-0000156F0000}"/>
    <cellStyle name="Normal 5 2 2 4 2 3 5" xfId="33735" xr:uid="{00000000-0005-0000-0000-0000166F0000}"/>
    <cellStyle name="Normal 5 2 2 4 2 4" xfId="10255" xr:uid="{00000000-0005-0000-0000-0000176F0000}"/>
    <cellStyle name="Normal 5 2 2 4 2 4 2" xfId="10256" xr:uid="{00000000-0005-0000-0000-0000186F0000}"/>
    <cellStyle name="Normal 5 2 2 4 2 4 2 2" xfId="10257" xr:uid="{00000000-0005-0000-0000-0000196F0000}"/>
    <cellStyle name="Normal 5 2 2 4 2 4 2 2 2" xfId="33745" xr:uid="{00000000-0005-0000-0000-00001A6F0000}"/>
    <cellStyle name="Normal 5 2 2 4 2 4 2 3" xfId="33744" xr:uid="{00000000-0005-0000-0000-00001B6F0000}"/>
    <cellStyle name="Normal 5 2 2 4 2 4 3" xfId="10258" xr:uid="{00000000-0005-0000-0000-00001C6F0000}"/>
    <cellStyle name="Normal 5 2 2 4 2 4 3 2" xfId="33746" xr:uid="{00000000-0005-0000-0000-00001D6F0000}"/>
    <cellStyle name="Normal 5 2 2 4 2 4 4" xfId="33743" xr:uid="{00000000-0005-0000-0000-00001E6F0000}"/>
    <cellStyle name="Normal 5 2 2 4 2 5" xfId="10259" xr:uid="{00000000-0005-0000-0000-00001F6F0000}"/>
    <cellStyle name="Normal 5 2 2 4 2 5 2" xfId="10260" xr:uid="{00000000-0005-0000-0000-0000206F0000}"/>
    <cellStyle name="Normal 5 2 2 4 2 5 2 2" xfId="33748" xr:uid="{00000000-0005-0000-0000-0000216F0000}"/>
    <cellStyle name="Normal 5 2 2 4 2 5 3" xfId="33747" xr:uid="{00000000-0005-0000-0000-0000226F0000}"/>
    <cellStyle name="Normal 5 2 2 4 2 6" xfId="10261" xr:uid="{00000000-0005-0000-0000-0000236F0000}"/>
    <cellStyle name="Normal 5 2 2 4 2 6 2" xfId="33749" xr:uid="{00000000-0005-0000-0000-0000246F0000}"/>
    <cellStyle name="Normal 5 2 2 4 2 7" xfId="33726" xr:uid="{00000000-0005-0000-0000-0000256F0000}"/>
    <cellStyle name="Normal 5 2 2 4 3" xfId="10262" xr:uid="{00000000-0005-0000-0000-0000266F0000}"/>
    <cellStyle name="Normal 5 2 2 4 3 2" xfId="10263" xr:uid="{00000000-0005-0000-0000-0000276F0000}"/>
    <cellStyle name="Normal 5 2 2 4 3 2 2" xfId="10264" xr:uid="{00000000-0005-0000-0000-0000286F0000}"/>
    <cellStyle name="Normal 5 2 2 4 3 2 2 2" xfId="10265" xr:uid="{00000000-0005-0000-0000-0000296F0000}"/>
    <cellStyle name="Normal 5 2 2 4 3 2 2 2 2" xfId="10266" xr:uid="{00000000-0005-0000-0000-00002A6F0000}"/>
    <cellStyle name="Normal 5 2 2 4 3 2 2 2 2 2" xfId="33754" xr:uid="{00000000-0005-0000-0000-00002B6F0000}"/>
    <cellStyle name="Normal 5 2 2 4 3 2 2 2 3" xfId="33753" xr:uid="{00000000-0005-0000-0000-00002C6F0000}"/>
    <cellStyle name="Normal 5 2 2 4 3 2 2 3" xfId="10267" xr:uid="{00000000-0005-0000-0000-00002D6F0000}"/>
    <cellStyle name="Normal 5 2 2 4 3 2 2 3 2" xfId="33755" xr:uid="{00000000-0005-0000-0000-00002E6F0000}"/>
    <cellStyle name="Normal 5 2 2 4 3 2 2 4" xfId="33752" xr:uid="{00000000-0005-0000-0000-00002F6F0000}"/>
    <cellStyle name="Normal 5 2 2 4 3 2 3" xfId="10268" xr:uid="{00000000-0005-0000-0000-0000306F0000}"/>
    <cellStyle name="Normal 5 2 2 4 3 2 3 2" xfId="10269" xr:uid="{00000000-0005-0000-0000-0000316F0000}"/>
    <cellStyle name="Normal 5 2 2 4 3 2 3 2 2" xfId="33757" xr:uid="{00000000-0005-0000-0000-0000326F0000}"/>
    <cellStyle name="Normal 5 2 2 4 3 2 3 3" xfId="33756" xr:uid="{00000000-0005-0000-0000-0000336F0000}"/>
    <cellStyle name="Normal 5 2 2 4 3 2 4" xfId="10270" xr:uid="{00000000-0005-0000-0000-0000346F0000}"/>
    <cellStyle name="Normal 5 2 2 4 3 2 4 2" xfId="33758" xr:uid="{00000000-0005-0000-0000-0000356F0000}"/>
    <cellStyle name="Normal 5 2 2 4 3 2 5" xfId="33751" xr:uid="{00000000-0005-0000-0000-0000366F0000}"/>
    <cellStyle name="Normal 5 2 2 4 3 3" xfId="10271" xr:uid="{00000000-0005-0000-0000-0000376F0000}"/>
    <cellStyle name="Normal 5 2 2 4 3 3 2" xfId="10272" xr:uid="{00000000-0005-0000-0000-0000386F0000}"/>
    <cellStyle name="Normal 5 2 2 4 3 3 2 2" xfId="10273" xr:uid="{00000000-0005-0000-0000-0000396F0000}"/>
    <cellStyle name="Normal 5 2 2 4 3 3 2 2 2" xfId="10274" xr:uid="{00000000-0005-0000-0000-00003A6F0000}"/>
    <cellStyle name="Normal 5 2 2 4 3 3 2 2 2 2" xfId="33762" xr:uid="{00000000-0005-0000-0000-00003B6F0000}"/>
    <cellStyle name="Normal 5 2 2 4 3 3 2 2 3" xfId="33761" xr:uid="{00000000-0005-0000-0000-00003C6F0000}"/>
    <cellStyle name="Normal 5 2 2 4 3 3 2 3" xfId="10275" xr:uid="{00000000-0005-0000-0000-00003D6F0000}"/>
    <cellStyle name="Normal 5 2 2 4 3 3 2 3 2" xfId="33763" xr:uid="{00000000-0005-0000-0000-00003E6F0000}"/>
    <cellStyle name="Normal 5 2 2 4 3 3 2 4" xfId="33760" xr:uid="{00000000-0005-0000-0000-00003F6F0000}"/>
    <cellStyle name="Normal 5 2 2 4 3 3 3" xfId="10276" xr:uid="{00000000-0005-0000-0000-0000406F0000}"/>
    <cellStyle name="Normal 5 2 2 4 3 3 3 2" xfId="10277" xr:uid="{00000000-0005-0000-0000-0000416F0000}"/>
    <cellStyle name="Normal 5 2 2 4 3 3 3 2 2" xfId="33765" xr:uid="{00000000-0005-0000-0000-0000426F0000}"/>
    <cellStyle name="Normal 5 2 2 4 3 3 3 3" xfId="33764" xr:uid="{00000000-0005-0000-0000-0000436F0000}"/>
    <cellStyle name="Normal 5 2 2 4 3 3 4" xfId="10278" xr:uid="{00000000-0005-0000-0000-0000446F0000}"/>
    <cellStyle name="Normal 5 2 2 4 3 3 4 2" xfId="33766" xr:uid="{00000000-0005-0000-0000-0000456F0000}"/>
    <cellStyle name="Normal 5 2 2 4 3 3 5" xfId="33759" xr:uid="{00000000-0005-0000-0000-0000466F0000}"/>
    <cellStyle name="Normal 5 2 2 4 3 4" xfId="10279" xr:uid="{00000000-0005-0000-0000-0000476F0000}"/>
    <cellStyle name="Normal 5 2 2 4 3 4 2" xfId="10280" xr:uid="{00000000-0005-0000-0000-0000486F0000}"/>
    <cellStyle name="Normal 5 2 2 4 3 4 2 2" xfId="10281" xr:uid="{00000000-0005-0000-0000-0000496F0000}"/>
    <cellStyle name="Normal 5 2 2 4 3 4 2 2 2" xfId="33769" xr:uid="{00000000-0005-0000-0000-00004A6F0000}"/>
    <cellStyle name="Normal 5 2 2 4 3 4 2 3" xfId="33768" xr:uid="{00000000-0005-0000-0000-00004B6F0000}"/>
    <cellStyle name="Normal 5 2 2 4 3 4 3" xfId="10282" xr:uid="{00000000-0005-0000-0000-00004C6F0000}"/>
    <cellStyle name="Normal 5 2 2 4 3 4 3 2" xfId="33770" xr:uid="{00000000-0005-0000-0000-00004D6F0000}"/>
    <cellStyle name="Normal 5 2 2 4 3 4 4" xfId="33767" xr:uid="{00000000-0005-0000-0000-00004E6F0000}"/>
    <cellStyle name="Normal 5 2 2 4 3 5" xfId="10283" xr:uid="{00000000-0005-0000-0000-00004F6F0000}"/>
    <cellStyle name="Normal 5 2 2 4 3 5 2" xfId="10284" xr:uid="{00000000-0005-0000-0000-0000506F0000}"/>
    <cellStyle name="Normal 5 2 2 4 3 5 2 2" xfId="33772" xr:uid="{00000000-0005-0000-0000-0000516F0000}"/>
    <cellStyle name="Normal 5 2 2 4 3 5 3" xfId="33771" xr:uid="{00000000-0005-0000-0000-0000526F0000}"/>
    <cellStyle name="Normal 5 2 2 4 3 6" xfId="10285" xr:uid="{00000000-0005-0000-0000-0000536F0000}"/>
    <cellStyle name="Normal 5 2 2 4 3 6 2" xfId="33773" xr:uid="{00000000-0005-0000-0000-0000546F0000}"/>
    <cellStyle name="Normal 5 2 2 4 3 7" xfId="33750" xr:uid="{00000000-0005-0000-0000-0000556F0000}"/>
    <cellStyle name="Normal 5 2 2 4 4" xfId="10286" xr:uid="{00000000-0005-0000-0000-0000566F0000}"/>
    <cellStyle name="Normal 5 2 2 4 4 2" xfId="10287" xr:uid="{00000000-0005-0000-0000-0000576F0000}"/>
    <cellStyle name="Normal 5 2 2 4 4 2 2" xfId="10288" xr:uid="{00000000-0005-0000-0000-0000586F0000}"/>
    <cellStyle name="Normal 5 2 2 4 4 2 2 2" xfId="10289" xr:uid="{00000000-0005-0000-0000-0000596F0000}"/>
    <cellStyle name="Normal 5 2 2 4 4 2 2 2 2" xfId="10290" xr:uid="{00000000-0005-0000-0000-00005A6F0000}"/>
    <cellStyle name="Normal 5 2 2 4 4 2 2 2 2 2" xfId="33778" xr:uid="{00000000-0005-0000-0000-00005B6F0000}"/>
    <cellStyle name="Normal 5 2 2 4 4 2 2 2 3" xfId="33777" xr:uid="{00000000-0005-0000-0000-00005C6F0000}"/>
    <cellStyle name="Normal 5 2 2 4 4 2 2 3" xfId="10291" xr:uid="{00000000-0005-0000-0000-00005D6F0000}"/>
    <cellStyle name="Normal 5 2 2 4 4 2 2 3 2" xfId="33779" xr:uid="{00000000-0005-0000-0000-00005E6F0000}"/>
    <cellStyle name="Normal 5 2 2 4 4 2 2 4" xfId="33776" xr:uid="{00000000-0005-0000-0000-00005F6F0000}"/>
    <cellStyle name="Normal 5 2 2 4 4 2 3" xfId="10292" xr:uid="{00000000-0005-0000-0000-0000606F0000}"/>
    <cellStyle name="Normal 5 2 2 4 4 2 3 2" xfId="10293" xr:uid="{00000000-0005-0000-0000-0000616F0000}"/>
    <cellStyle name="Normal 5 2 2 4 4 2 3 2 2" xfId="33781" xr:uid="{00000000-0005-0000-0000-0000626F0000}"/>
    <cellStyle name="Normal 5 2 2 4 4 2 3 3" xfId="33780" xr:uid="{00000000-0005-0000-0000-0000636F0000}"/>
    <cellStyle name="Normal 5 2 2 4 4 2 4" xfId="10294" xr:uid="{00000000-0005-0000-0000-0000646F0000}"/>
    <cellStyle name="Normal 5 2 2 4 4 2 4 2" xfId="33782" xr:uid="{00000000-0005-0000-0000-0000656F0000}"/>
    <cellStyle name="Normal 5 2 2 4 4 2 5" xfId="33775" xr:uid="{00000000-0005-0000-0000-0000666F0000}"/>
    <cellStyle name="Normal 5 2 2 4 4 3" xfId="10295" xr:uid="{00000000-0005-0000-0000-0000676F0000}"/>
    <cellStyle name="Normal 5 2 2 4 4 3 2" xfId="10296" xr:uid="{00000000-0005-0000-0000-0000686F0000}"/>
    <cellStyle name="Normal 5 2 2 4 4 3 2 2" xfId="10297" xr:uid="{00000000-0005-0000-0000-0000696F0000}"/>
    <cellStyle name="Normal 5 2 2 4 4 3 2 2 2" xfId="10298" xr:uid="{00000000-0005-0000-0000-00006A6F0000}"/>
    <cellStyle name="Normal 5 2 2 4 4 3 2 2 2 2" xfId="33786" xr:uid="{00000000-0005-0000-0000-00006B6F0000}"/>
    <cellStyle name="Normal 5 2 2 4 4 3 2 2 3" xfId="33785" xr:uid="{00000000-0005-0000-0000-00006C6F0000}"/>
    <cellStyle name="Normal 5 2 2 4 4 3 2 3" xfId="10299" xr:uid="{00000000-0005-0000-0000-00006D6F0000}"/>
    <cellStyle name="Normal 5 2 2 4 4 3 2 3 2" xfId="33787" xr:uid="{00000000-0005-0000-0000-00006E6F0000}"/>
    <cellStyle name="Normal 5 2 2 4 4 3 2 4" xfId="33784" xr:uid="{00000000-0005-0000-0000-00006F6F0000}"/>
    <cellStyle name="Normal 5 2 2 4 4 3 3" xfId="10300" xr:uid="{00000000-0005-0000-0000-0000706F0000}"/>
    <cellStyle name="Normal 5 2 2 4 4 3 3 2" xfId="10301" xr:uid="{00000000-0005-0000-0000-0000716F0000}"/>
    <cellStyle name="Normal 5 2 2 4 4 3 3 2 2" xfId="33789" xr:uid="{00000000-0005-0000-0000-0000726F0000}"/>
    <cellStyle name="Normal 5 2 2 4 4 3 3 3" xfId="33788" xr:uid="{00000000-0005-0000-0000-0000736F0000}"/>
    <cellStyle name="Normal 5 2 2 4 4 3 4" xfId="10302" xr:uid="{00000000-0005-0000-0000-0000746F0000}"/>
    <cellStyle name="Normal 5 2 2 4 4 3 4 2" xfId="33790" xr:uid="{00000000-0005-0000-0000-0000756F0000}"/>
    <cellStyle name="Normal 5 2 2 4 4 3 5" xfId="33783" xr:uid="{00000000-0005-0000-0000-0000766F0000}"/>
    <cellStyle name="Normal 5 2 2 4 4 4" xfId="10303" xr:uid="{00000000-0005-0000-0000-0000776F0000}"/>
    <cellStyle name="Normal 5 2 2 4 4 4 2" xfId="10304" xr:uid="{00000000-0005-0000-0000-0000786F0000}"/>
    <cellStyle name="Normal 5 2 2 4 4 4 2 2" xfId="10305" xr:uid="{00000000-0005-0000-0000-0000796F0000}"/>
    <cellStyle name="Normal 5 2 2 4 4 4 2 2 2" xfId="33793" xr:uid="{00000000-0005-0000-0000-00007A6F0000}"/>
    <cellStyle name="Normal 5 2 2 4 4 4 2 3" xfId="33792" xr:uid="{00000000-0005-0000-0000-00007B6F0000}"/>
    <cellStyle name="Normal 5 2 2 4 4 4 3" xfId="10306" xr:uid="{00000000-0005-0000-0000-00007C6F0000}"/>
    <cellStyle name="Normal 5 2 2 4 4 4 3 2" xfId="33794" xr:uid="{00000000-0005-0000-0000-00007D6F0000}"/>
    <cellStyle name="Normal 5 2 2 4 4 4 4" xfId="33791" xr:uid="{00000000-0005-0000-0000-00007E6F0000}"/>
    <cellStyle name="Normal 5 2 2 4 4 5" xfId="10307" xr:uid="{00000000-0005-0000-0000-00007F6F0000}"/>
    <cellStyle name="Normal 5 2 2 4 4 5 2" xfId="10308" xr:uid="{00000000-0005-0000-0000-0000806F0000}"/>
    <cellStyle name="Normal 5 2 2 4 4 5 2 2" xfId="33796" xr:uid="{00000000-0005-0000-0000-0000816F0000}"/>
    <cellStyle name="Normal 5 2 2 4 4 5 3" xfId="33795" xr:uid="{00000000-0005-0000-0000-0000826F0000}"/>
    <cellStyle name="Normal 5 2 2 4 4 6" xfId="10309" xr:uid="{00000000-0005-0000-0000-0000836F0000}"/>
    <cellStyle name="Normal 5 2 2 4 4 6 2" xfId="33797" xr:uid="{00000000-0005-0000-0000-0000846F0000}"/>
    <cellStyle name="Normal 5 2 2 4 4 7" xfId="33774" xr:uid="{00000000-0005-0000-0000-0000856F0000}"/>
    <cellStyle name="Normal 5 2 2 4 5" xfId="10310" xr:uid="{00000000-0005-0000-0000-0000866F0000}"/>
    <cellStyle name="Normal 5 2 2 4 5 2" xfId="10311" xr:uid="{00000000-0005-0000-0000-0000876F0000}"/>
    <cellStyle name="Normal 5 2 2 4 5 2 2" xfId="10312" xr:uid="{00000000-0005-0000-0000-0000886F0000}"/>
    <cellStyle name="Normal 5 2 2 4 5 2 2 2" xfId="10313" xr:uid="{00000000-0005-0000-0000-0000896F0000}"/>
    <cellStyle name="Normal 5 2 2 4 5 2 2 2 2" xfId="33801" xr:uid="{00000000-0005-0000-0000-00008A6F0000}"/>
    <cellStyle name="Normal 5 2 2 4 5 2 2 3" xfId="33800" xr:uid="{00000000-0005-0000-0000-00008B6F0000}"/>
    <cellStyle name="Normal 5 2 2 4 5 2 3" xfId="10314" xr:uid="{00000000-0005-0000-0000-00008C6F0000}"/>
    <cellStyle name="Normal 5 2 2 4 5 2 3 2" xfId="33802" xr:uid="{00000000-0005-0000-0000-00008D6F0000}"/>
    <cellStyle name="Normal 5 2 2 4 5 2 4" xfId="33799" xr:uid="{00000000-0005-0000-0000-00008E6F0000}"/>
    <cellStyle name="Normal 5 2 2 4 5 3" xfId="10315" xr:uid="{00000000-0005-0000-0000-00008F6F0000}"/>
    <cellStyle name="Normal 5 2 2 4 5 3 2" xfId="10316" xr:uid="{00000000-0005-0000-0000-0000906F0000}"/>
    <cellStyle name="Normal 5 2 2 4 5 3 2 2" xfId="33804" xr:uid="{00000000-0005-0000-0000-0000916F0000}"/>
    <cellStyle name="Normal 5 2 2 4 5 3 3" xfId="33803" xr:uid="{00000000-0005-0000-0000-0000926F0000}"/>
    <cellStyle name="Normal 5 2 2 4 5 4" xfId="10317" xr:uid="{00000000-0005-0000-0000-0000936F0000}"/>
    <cellStyle name="Normal 5 2 2 4 5 4 2" xfId="33805" xr:uid="{00000000-0005-0000-0000-0000946F0000}"/>
    <cellStyle name="Normal 5 2 2 4 5 5" xfId="33798" xr:uid="{00000000-0005-0000-0000-0000956F0000}"/>
    <cellStyle name="Normal 5 2 2 4 6" xfId="10318" xr:uid="{00000000-0005-0000-0000-0000966F0000}"/>
    <cellStyle name="Normal 5 2 2 4 6 2" xfId="10319" xr:uid="{00000000-0005-0000-0000-0000976F0000}"/>
    <cellStyle name="Normal 5 2 2 4 6 2 2" xfId="10320" xr:uid="{00000000-0005-0000-0000-0000986F0000}"/>
    <cellStyle name="Normal 5 2 2 4 6 2 2 2" xfId="10321" xr:uid="{00000000-0005-0000-0000-0000996F0000}"/>
    <cellStyle name="Normal 5 2 2 4 6 2 2 2 2" xfId="33809" xr:uid="{00000000-0005-0000-0000-00009A6F0000}"/>
    <cellStyle name="Normal 5 2 2 4 6 2 2 3" xfId="33808" xr:uid="{00000000-0005-0000-0000-00009B6F0000}"/>
    <cellStyle name="Normal 5 2 2 4 6 2 3" xfId="10322" xr:uid="{00000000-0005-0000-0000-00009C6F0000}"/>
    <cellStyle name="Normal 5 2 2 4 6 2 3 2" xfId="33810" xr:uid="{00000000-0005-0000-0000-00009D6F0000}"/>
    <cellStyle name="Normal 5 2 2 4 6 2 4" xfId="33807" xr:uid="{00000000-0005-0000-0000-00009E6F0000}"/>
    <cellStyle name="Normal 5 2 2 4 6 3" xfId="10323" xr:uid="{00000000-0005-0000-0000-00009F6F0000}"/>
    <cellStyle name="Normal 5 2 2 4 6 3 2" xfId="10324" xr:uid="{00000000-0005-0000-0000-0000A06F0000}"/>
    <cellStyle name="Normal 5 2 2 4 6 3 2 2" xfId="33812" xr:uid="{00000000-0005-0000-0000-0000A16F0000}"/>
    <cellStyle name="Normal 5 2 2 4 6 3 3" xfId="33811" xr:uid="{00000000-0005-0000-0000-0000A26F0000}"/>
    <cellStyle name="Normal 5 2 2 4 6 4" xfId="10325" xr:uid="{00000000-0005-0000-0000-0000A36F0000}"/>
    <cellStyle name="Normal 5 2 2 4 6 4 2" xfId="33813" xr:uid="{00000000-0005-0000-0000-0000A46F0000}"/>
    <cellStyle name="Normal 5 2 2 4 6 5" xfId="33806" xr:uid="{00000000-0005-0000-0000-0000A56F0000}"/>
    <cellStyle name="Normal 5 2 2 4 7" xfId="10326" xr:uid="{00000000-0005-0000-0000-0000A66F0000}"/>
    <cellStyle name="Normal 5 2 2 4 7 2" xfId="10327" xr:uid="{00000000-0005-0000-0000-0000A76F0000}"/>
    <cellStyle name="Normal 5 2 2 4 7 2 2" xfId="10328" xr:uid="{00000000-0005-0000-0000-0000A86F0000}"/>
    <cellStyle name="Normal 5 2 2 4 7 2 2 2" xfId="33816" xr:uid="{00000000-0005-0000-0000-0000A96F0000}"/>
    <cellStyle name="Normal 5 2 2 4 7 2 3" xfId="33815" xr:uid="{00000000-0005-0000-0000-0000AA6F0000}"/>
    <cellStyle name="Normal 5 2 2 4 7 3" xfId="10329" xr:uid="{00000000-0005-0000-0000-0000AB6F0000}"/>
    <cellStyle name="Normal 5 2 2 4 7 3 2" xfId="33817" xr:uid="{00000000-0005-0000-0000-0000AC6F0000}"/>
    <cellStyle name="Normal 5 2 2 4 7 4" xfId="33814" xr:uid="{00000000-0005-0000-0000-0000AD6F0000}"/>
    <cellStyle name="Normal 5 2 2 4 8" xfId="10330" xr:uid="{00000000-0005-0000-0000-0000AE6F0000}"/>
    <cellStyle name="Normal 5 2 2 4 8 2" xfId="10331" xr:uid="{00000000-0005-0000-0000-0000AF6F0000}"/>
    <cellStyle name="Normal 5 2 2 4 8 2 2" xfId="33819" xr:uid="{00000000-0005-0000-0000-0000B06F0000}"/>
    <cellStyle name="Normal 5 2 2 4 8 3" xfId="33818" xr:uid="{00000000-0005-0000-0000-0000B16F0000}"/>
    <cellStyle name="Normal 5 2 2 4 9" xfId="10332" xr:uid="{00000000-0005-0000-0000-0000B26F0000}"/>
    <cellStyle name="Normal 5 2 2 4 9 2" xfId="33820" xr:uid="{00000000-0005-0000-0000-0000B36F0000}"/>
    <cellStyle name="Normal 5 2 2 5" xfId="10333" xr:uid="{00000000-0005-0000-0000-0000B46F0000}"/>
    <cellStyle name="Normal 5 2 2 5 2" xfId="10334" xr:uid="{00000000-0005-0000-0000-0000B56F0000}"/>
    <cellStyle name="Normal 5 2 2 5 2 2" xfId="10335" xr:uid="{00000000-0005-0000-0000-0000B66F0000}"/>
    <cellStyle name="Normal 5 2 2 5 2 2 2" xfId="10336" xr:uid="{00000000-0005-0000-0000-0000B76F0000}"/>
    <cellStyle name="Normal 5 2 2 5 2 2 2 2" xfId="10337" xr:uid="{00000000-0005-0000-0000-0000B86F0000}"/>
    <cellStyle name="Normal 5 2 2 5 2 2 2 2 2" xfId="33825" xr:uid="{00000000-0005-0000-0000-0000B96F0000}"/>
    <cellStyle name="Normal 5 2 2 5 2 2 2 3" xfId="33824" xr:uid="{00000000-0005-0000-0000-0000BA6F0000}"/>
    <cellStyle name="Normal 5 2 2 5 2 2 3" xfId="10338" xr:uid="{00000000-0005-0000-0000-0000BB6F0000}"/>
    <cellStyle name="Normal 5 2 2 5 2 2 3 2" xfId="33826" xr:uid="{00000000-0005-0000-0000-0000BC6F0000}"/>
    <cellStyle name="Normal 5 2 2 5 2 2 4" xfId="33823" xr:uid="{00000000-0005-0000-0000-0000BD6F0000}"/>
    <cellStyle name="Normal 5 2 2 5 2 3" xfId="10339" xr:uid="{00000000-0005-0000-0000-0000BE6F0000}"/>
    <cellStyle name="Normal 5 2 2 5 2 3 2" xfId="10340" xr:uid="{00000000-0005-0000-0000-0000BF6F0000}"/>
    <cellStyle name="Normal 5 2 2 5 2 3 2 2" xfId="33828" xr:uid="{00000000-0005-0000-0000-0000C06F0000}"/>
    <cellStyle name="Normal 5 2 2 5 2 3 3" xfId="33827" xr:uid="{00000000-0005-0000-0000-0000C16F0000}"/>
    <cellStyle name="Normal 5 2 2 5 2 4" xfId="10341" xr:uid="{00000000-0005-0000-0000-0000C26F0000}"/>
    <cellStyle name="Normal 5 2 2 5 2 4 2" xfId="33829" xr:uid="{00000000-0005-0000-0000-0000C36F0000}"/>
    <cellStyle name="Normal 5 2 2 5 2 5" xfId="33822" xr:uid="{00000000-0005-0000-0000-0000C46F0000}"/>
    <cellStyle name="Normal 5 2 2 5 3" xfId="10342" xr:uid="{00000000-0005-0000-0000-0000C56F0000}"/>
    <cellStyle name="Normal 5 2 2 5 3 2" xfId="10343" xr:uid="{00000000-0005-0000-0000-0000C66F0000}"/>
    <cellStyle name="Normal 5 2 2 5 3 2 2" xfId="10344" xr:uid="{00000000-0005-0000-0000-0000C76F0000}"/>
    <cellStyle name="Normal 5 2 2 5 3 2 2 2" xfId="10345" xr:uid="{00000000-0005-0000-0000-0000C86F0000}"/>
    <cellStyle name="Normal 5 2 2 5 3 2 2 2 2" xfId="33833" xr:uid="{00000000-0005-0000-0000-0000C96F0000}"/>
    <cellStyle name="Normal 5 2 2 5 3 2 2 3" xfId="33832" xr:uid="{00000000-0005-0000-0000-0000CA6F0000}"/>
    <cellStyle name="Normal 5 2 2 5 3 2 3" xfId="10346" xr:uid="{00000000-0005-0000-0000-0000CB6F0000}"/>
    <cellStyle name="Normal 5 2 2 5 3 2 3 2" xfId="33834" xr:uid="{00000000-0005-0000-0000-0000CC6F0000}"/>
    <cellStyle name="Normal 5 2 2 5 3 2 4" xfId="33831" xr:uid="{00000000-0005-0000-0000-0000CD6F0000}"/>
    <cellStyle name="Normal 5 2 2 5 3 3" xfId="10347" xr:uid="{00000000-0005-0000-0000-0000CE6F0000}"/>
    <cellStyle name="Normal 5 2 2 5 3 3 2" xfId="10348" xr:uid="{00000000-0005-0000-0000-0000CF6F0000}"/>
    <cellStyle name="Normal 5 2 2 5 3 3 2 2" xfId="33836" xr:uid="{00000000-0005-0000-0000-0000D06F0000}"/>
    <cellStyle name="Normal 5 2 2 5 3 3 3" xfId="33835" xr:uid="{00000000-0005-0000-0000-0000D16F0000}"/>
    <cellStyle name="Normal 5 2 2 5 3 4" xfId="10349" xr:uid="{00000000-0005-0000-0000-0000D26F0000}"/>
    <cellStyle name="Normal 5 2 2 5 3 4 2" xfId="33837" xr:uid="{00000000-0005-0000-0000-0000D36F0000}"/>
    <cellStyle name="Normal 5 2 2 5 3 5" xfId="33830" xr:uid="{00000000-0005-0000-0000-0000D46F0000}"/>
    <cellStyle name="Normal 5 2 2 5 4" xfId="10350" xr:uid="{00000000-0005-0000-0000-0000D56F0000}"/>
    <cellStyle name="Normal 5 2 2 5 4 2" xfId="10351" xr:uid="{00000000-0005-0000-0000-0000D66F0000}"/>
    <cellStyle name="Normal 5 2 2 5 4 2 2" xfId="10352" xr:uid="{00000000-0005-0000-0000-0000D76F0000}"/>
    <cellStyle name="Normal 5 2 2 5 4 2 2 2" xfId="33840" xr:uid="{00000000-0005-0000-0000-0000D86F0000}"/>
    <cellStyle name="Normal 5 2 2 5 4 2 3" xfId="33839" xr:uid="{00000000-0005-0000-0000-0000D96F0000}"/>
    <cellStyle name="Normal 5 2 2 5 4 3" xfId="10353" xr:uid="{00000000-0005-0000-0000-0000DA6F0000}"/>
    <cellStyle name="Normal 5 2 2 5 4 3 2" xfId="33841" xr:uid="{00000000-0005-0000-0000-0000DB6F0000}"/>
    <cellStyle name="Normal 5 2 2 5 4 4" xfId="33838" xr:uid="{00000000-0005-0000-0000-0000DC6F0000}"/>
    <cellStyle name="Normal 5 2 2 5 5" xfId="10354" xr:uid="{00000000-0005-0000-0000-0000DD6F0000}"/>
    <cellStyle name="Normal 5 2 2 5 5 2" xfId="10355" xr:uid="{00000000-0005-0000-0000-0000DE6F0000}"/>
    <cellStyle name="Normal 5 2 2 5 5 2 2" xfId="33843" xr:uid="{00000000-0005-0000-0000-0000DF6F0000}"/>
    <cellStyle name="Normal 5 2 2 5 5 3" xfId="33842" xr:uid="{00000000-0005-0000-0000-0000E06F0000}"/>
    <cellStyle name="Normal 5 2 2 5 6" xfId="10356" xr:uid="{00000000-0005-0000-0000-0000E16F0000}"/>
    <cellStyle name="Normal 5 2 2 5 6 2" xfId="33844" xr:uid="{00000000-0005-0000-0000-0000E26F0000}"/>
    <cellStyle name="Normal 5 2 2 5 7" xfId="33821" xr:uid="{00000000-0005-0000-0000-0000E36F0000}"/>
    <cellStyle name="Normal 5 2 2 6" xfId="10357" xr:uid="{00000000-0005-0000-0000-0000E46F0000}"/>
    <cellStyle name="Normal 5 2 2 6 2" xfId="10358" xr:uid="{00000000-0005-0000-0000-0000E56F0000}"/>
    <cellStyle name="Normal 5 2 2 6 2 2" xfId="10359" xr:uid="{00000000-0005-0000-0000-0000E66F0000}"/>
    <cellStyle name="Normal 5 2 2 6 2 2 2" xfId="10360" xr:uid="{00000000-0005-0000-0000-0000E76F0000}"/>
    <cellStyle name="Normal 5 2 2 6 2 2 2 2" xfId="10361" xr:uid="{00000000-0005-0000-0000-0000E86F0000}"/>
    <cellStyle name="Normal 5 2 2 6 2 2 2 2 2" xfId="33849" xr:uid="{00000000-0005-0000-0000-0000E96F0000}"/>
    <cellStyle name="Normal 5 2 2 6 2 2 2 3" xfId="33848" xr:uid="{00000000-0005-0000-0000-0000EA6F0000}"/>
    <cellStyle name="Normal 5 2 2 6 2 2 3" xfId="10362" xr:uid="{00000000-0005-0000-0000-0000EB6F0000}"/>
    <cellStyle name="Normal 5 2 2 6 2 2 3 2" xfId="33850" xr:uid="{00000000-0005-0000-0000-0000EC6F0000}"/>
    <cellStyle name="Normal 5 2 2 6 2 2 4" xfId="33847" xr:uid="{00000000-0005-0000-0000-0000ED6F0000}"/>
    <cellStyle name="Normal 5 2 2 6 2 3" xfId="10363" xr:uid="{00000000-0005-0000-0000-0000EE6F0000}"/>
    <cellStyle name="Normal 5 2 2 6 2 3 2" xfId="10364" xr:uid="{00000000-0005-0000-0000-0000EF6F0000}"/>
    <cellStyle name="Normal 5 2 2 6 2 3 2 2" xfId="33852" xr:uid="{00000000-0005-0000-0000-0000F06F0000}"/>
    <cellStyle name="Normal 5 2 2 6 2 3 3" xfId="33851" xr:uid="{00000000-0005-0000-0000-0000F16F0000}"/>
    <cellStyle name="Normal 5 2 2 6 2 4" xfId="10365" xr:uid="{00000000-0005-0000-0000-0000F26F0000}"/>
    <cellStyle name="Normal 5 2 2 6 2 4 2" xfId="33853" xr:uid="{00000000-0005-0000-0000-0000F36F0000}"/>
    <cellStyle name="Normal 5 2 2 6 2 5" xfId="33846" xr:uid="{00000000-0005-0000-0000-0000F46F0000}"/>
    <cellStyle name="Normal 5 2 2 6 3" xfId="10366" xr:uid="{00000000-0005-0000-0000-0000F56F0000}"/>
    <cellStyle name="Normal 5 2 2 6 3 2" xfId="10367" xr:uid="{00000000-0005-0000-0000-0000F66F0000}"/>
    <cellStyle name="Normal 5 2 2 6 3 2 2" xfId="10368" xr:uid="{00000000-0005-0000-0000-0000F76F0000}"/>
    <cellStyle name="Normal 5 2 2 6 3 2 2 2" xfId="10369" xr:uid="{00000000-0005-0000-0000-0000F86F0000}"/>
    <cellStyle name="Normal 5 2 2 6 3 2 2 2 2" xfId="33857" xr:uid="{00000000-0005-0000-0000-0000F96F0000}"/>
    <cellStyle name="Normal 5 2 2 6 3 2 2 3" xfId="33856" xr:uid="{00000000-0005-0000-0000-0000FA6F0000}"/>
    <cellStyle name="Normal 5 2 2 6 3 2 3" xfId="10370" xr:uid="{00000000-0005-0000-0000-0000FB6F0000}"/>
    <cellStyle name="Normal 5 2 2 6 3 2 3 2" xfId="33858" xr:uid="{00000000-0005-0000-0000-0000FC6F0000}"/>
    <cellStyle name="Normal 5 2 2 6 3 2 4" xfId="33855" xr:uid="{00000000-0005-0000-0000-0000FD6F0000}"/>
    <cellStyle name="Normal 5 2 2 6 3 3" xfId="10371" xr:uid="{00000000-0005-0000-0000-0000FE6F0000}"/>
    <cellStyle name="Normal 5 2 2 6 3 3 2" xfId="10372" xr:uid="{00000000-0005-0000-0000-0000FF6F0000}"/>
    <cellStyle name="Normal 5 2 2 6 3 3 2 2" xfId="33860" xr:uid="{00000000-0005-0000-0000-000000700000}"/>
    <cellStyle name="Normal 5 2 2 6 3 3 3" xfId="33859" xr:uid="{00000000-0005-0000-0000-000001700000}"/>
    <cellStyle name="Normal 5 2 2 6 3 4" xfId="10373" xr:uid="{00000000-0005-0000-0000-000002700000}"/>
    <cellStyle name="Normal 5 2 2 6 3 4 2" xfId="33861" xr:uid="{00000000-0005-0000-0000-000003700000}"/>
    <cellStyle name="Normal 5 2 2 6 3 5" xfId="33854" xr:uid="{00000000-0005-0000-0000-000004700000}"/>
    <cellStyle name="Normal 5 2 2 6 4" xfId="10374" xr:uid="{00000000-0005-0000-0000-000005700000}"/>
    <cellStyle name="Normal 5 2 2 6 4 2" xfId="10375" xr:uid="{00000000-0005-0000-0000-000006700000}"/>
    <cellStyle name="Normal 5 2 2 6 4 2 2" xfId="10376" xr:uid="{00000000-0005-0000-0000-000007700000}"/>
    <cellStyle name="Normal 5 2 2 6 4 2 2 2" xfId="33864" xr:uid="{00000000-0005-0000-0000-000008700000}"/>
    <cellStyle name="Normal 5 2 2 6 4 2 3" xfId="33863" xr:uid="{00000000-0005-0000-0000-000009700000}"/>
    <cellStyle name="Normal 5 2 2 6 4 3" xfId="10377" xr:uid="{00000000-0005-0000-0000-00000A700000}"/>
    <cellStyle name="Normal 5 2 2 6 4 3 2" xfId="33865" xr:uid="{00000000-0005-0000-0000-00000B700000}"/>
    <cellStyle name="Normal 5 2 2 6 4 4" xfId="33862" xr:uid="{00000000-0005-0000-0000-00000C700000}"/>
    <cellStyle name="Normal 5 2 2 6 5" xfId="10378" xr:uid="{00000000-0005-0000-0000-00000D700000}"/>
    <cellStyle name="Normal 5 2 2 6 5 2" xfId="10379" xr:uid="{00000000-0005-0000-0000-00000E700000}"/>
    <cellStyle name="Normal 5 2 2 6 5 2 2" xfId="33867" xr:uid="{00000000-0005-0000-0000-00000F700000}"/>
    <cellStyle name="Normal 5 2 2 6 5 3" xfId="33866" xr:uid="{00000000-0005-0000-0000-000010700000}"/>
    <cellStyle name="Normal 5 2 2 6 6" xfId="10380" xr:uid="{00000000-0005-0000-0000-000011700000}"/>
    <cellStyle name="Normal 5 2 2 6 6 2" xfId="33868" xr:uid="{00000000-0005-0000-0000-000012700000}"/>
    <cellStyle name="Normal 5 2 2 6 7" xfId="33845" xr:uid="{00000000-0005-0000-0000-000013700000}"/>
    <cellStyle name="Normal 5 2 2 7" xfId="10381" xr:uid="{00000000-0005-0000-0000-000014700000}"/>
    <cellStyle name="Normal 5 2 2 7 2" xfId="10382" xr:uid="{00000000-0005-0000-0000-000015700000}"/>
    <cellStyle name="Normal 5 2 2 7 2 2" xfId="10383" xr:uid="{00000000-0005-0000-0000-000016700000}"/>
    <cellStyle name="Normal 5 2 2 7 2 2 2" xfId="10384" xr:uid="{00000000-0005-0000-0000-000017700000}"/>
    <cellStyle name="Normal 5 2 2 7 2 2 2 2" xfId="10385" xr:uid="{00000000-0005-0000-0000-000018700000}"/>
    <cellStyle name="Normal 5 2 2 7 2 2 2 2 2" xfId="33873" xr:uid="{00000000-0005-0000-0000-000019700000}"/>
    <cellStyle name="Normal 5 2 2 7 2 2 2 3" xfId="33872" xr:uid="{00000000-0005-0000-0000-00001A700000}"/>
    <cellStyle name="Normal 5 2 2 7 2 2 3" xfId="10386" xr:uid="{00000000-0005-0000-0000-00001B700000}"/>
    <cellStyle name="Normal 5 2 2 7 2 2 3 2" xfId="33874" xr:uid="{00000000-0005-0000-0000-00001C700000}"/>
    <cellStyle name="Normal 5 2 2 7 2 2 4" xfId="33871" xr:uid="{00000000-0005-0000-0000-00001D700000}"/>
    <cellStyle name="Normal 5 2 2 7 2 3" xfId="10387" xr:uid="{00000000-0005-0000-0000-00001E700000}"/>
    <cellStyle name="Normal 5 2 2 7 2 3 2" xfId="10388" xr:uid="{00000000-0005-0000-0000-00001F700000}"/>
    <cellStyle name="Normal 5 2 2 7 2 3 2 2" xfId="33876" xr:uid="{00000000-0005-0000-0000-000020700000}"/>
    <cellStyle name="Normal 5 2 2 7 2 3 3" xfId="33875" xr:uid="{00000000-0005-0000-0000-000021700000}"/>
    <cellStyle name="Normal 5 2 2 7 2 4" xfId="10389" xr:uid="{00000000-0005-0000-0000-000022700000}"/>
    <cellStyle name="Normal 5 2 2 7 2 4 2" xfId="33877" xr:uid="{00000000-0005-0000-0000-000023700000}"/>
    <cellStyle name="Normal 5 2 2 7 2 5" xfId="33870" xr:uid="{00000000-0005-0000-0000-000024700000}"/>
    <cellStyle name="Normal 5 2 2 7 3" xfId="10390" xr:uid="{00000000-0005-0000-0000-000025700000}"/>
    <cellStyle name="Normal 5 2 2 7 3 2" xfId="10391" xr:uid="{00000000-0005-0000-0000-000026700000}"/>
    <cellStyle name="Normal 5 2 2 7 3 2 2" xfId="10392" xr:uid="{00000000-0005-0000-0000-000027700000}"/>
    <cellStyle name="Normal 5 2 2 7 3 2 2 2" xfId="10393" xr:uid="{00000000-0005-0000-0000-000028700000}"/>
    <cellStyle name="Normal 5 2 2 7 3 2 2 2 2" xfId="33881" xr:uid="{00000000-0005-0000-0000-000029700000}"/>
    <cellStyle name="Normal 5 2 2 7 3 2 2 3" xfId="33880" xr:uid="{00000000-0005-0000-0000-00002A700000}"/>
    <cellStyle name="Normal 5 2 2 7 3 2 3" xfId="10394" xr:uid="{00000000-0005-0000-0000-00002B700000}"/>
    <cellStyle name="Normal 5 2 2 7 3 2 3 2" xfId="33882" xr:uid="{00000000-0005-0000-0000-00002C700000}"/>
    <cellStyle name="Normal 5 2 2 7 3 2 4" xfId="33879" xr:uid="{00000000-0005-0000-0000-00002D700000}"/>
    <cellStyle name="Normal 5 2 2 7 3 3" xfId="10395" xr:uid="{00000000-0005-0000-0000-00002E700000}"/>
    <cellStyle name="Normal 5 2 2 7 3 3 2" xfId="10396" xr:uid="{00000000-0005-0000-0000-00002F700000}"/>
    <cellStyle name="Normal 5 2 2 7 3 3 2 2" xfId="33884" xr:uid="{00000000-0005-0000-0000-000030700000}"/>
    <cellStyle name="Normal 5 2 2 7 3 3 3" xfId="33883" xr:uid="{00000000-0005-0000-0000-000031700000}"/>
    <cellStyle name="Normal 5 2 2 7 3 4" xfId="10397" xr:uid="{00000000-0005-0000-0000-000032700000}"/>
    <cellStyle name="Normal 5 2 2 7 3 4 2" xfId="33885" xr:uid="{00000000-0005-0000-0000-000033700000}"/>
    <cellStyle name="Normal 5 2 2 7 3 5" xfId="33878" xr:uid="{00000000-0005-0000-0000-000034700000}"/>
    <cellStyle name="Normal 5 2 2 7 4" xfId="10398" xr:uid="{00000000-0005-0000-0000-000035700000}"/>
    <cellStyle name="Normal 5 2 2 7 4 2" xfId="10399" xr:uid="{00000000-0005-0000-0000-000036700000}"/>
    <cellStyle name="Normal 5 2 2 7 4 2 2" xfId="10400" xr:uid="{00000000-0005-0000-0000-000037700000}"/>
    <cellStyle name="Normal 5 2 2 7 4 2 2 2" xfId="33888" xr:uid="{00000000-0005-0000-0000-000038700000}"/>
    <cellStyle name="Normal 5 2 2 7 4 2 3" xfId="33887" xr:uid="{00000000-0005-0000-0000-000039700000}"/>
    <cellStyle name="Normal 5 2 2 7 4 3" xfId="10401" xr:uid="{00000000-0005-0000-0000-00003A700000}"/>
    <cellStyle name="Normal 5 2 2 7 4 3 2" xfId="33889" xr:uid="{00000000-0005-0000-0000-00003B700000}"/>
    <cellStyle name="Normal 5 2 2 7 4 4" xfId="33886" xr:uid="{00000000-0005-0000-0000-00003C700000}"/>
    <cellStyle name="Normal 5 2 2 7 5" xfId="10402" xr:uid="{00000000-0005-0000-0000-00003D700000}"/>
    <cellStyle name="Normal 5 2 2 7 5 2" xfId="10403" xr:uid="{00000000-0005-0000-0000-00003E700000}"/>
    <cellStyle name="Normal 5 2 2 7 5 2 2" xfId="33891" xr:uid="{00000000-0005-0000-0000-00003F700000}"/>
    <cellStyle name="Normal 5 2 2 7 5 3" xfId="33890" xr:uid="{00000000-0005-0000-0000-000040700000}"/>
    <cellStyle name="Normal 5 2 2 7 6" xfId="10404" xr:uid="{00000000-0005-0000-0000-000041700000}"/>
    <cellStyle name="Normal 5 2 2 7 6 2" xfId="33892" xr:uid="{00000000-0005-0000-0000-000042700000}"/>
    <cellStyle name="Normal 5 2 2 7 7" xfId="33869" xr:uid="{00000000-0005-0000-0000-000043700000}"/>
    <cellStyle name="Normal 5 2 2 8" xfId="10405" xr:uid="{00000000-0005-0000-0000-000044700000}"/>
    <cellStyle name="Normal 5 2 2 8 2" xfId="10406" xr:uid="{00000000-0005-0000-0000-000045700000}"/>
    <cellStyle name="Normal 5 2 2 8 2 2" xfId="10407" xr:uid="{00000000-0005-0000-0000-000046700000}"/>
    <cellStyle name="Normal 5 2 2 8 2 2 2" xfId="10408" xr:uid="{00000000-0005-0000-0000-000047700000}"/>
    <cellStyle name="Normal 5 2 2 8 2 2 2 2" xfId="10409" xr:uid="{00000000-0005-0000-0000-000048700000}"/>
    <cellStyle name="Normal 5 2 2 8 2 2 2 2 2" xfId="33897" xr:uid="{00000000-0005-0000-0000-000049700000}"/>
    <cellStyle name="Normal 5 2 2 8 2 2 2 3" xfId="33896" xr:uid="{00000000-0005-0000-0000-00004A700000}"/>
    <cellStyle name="Normal 5 2 2 8 2 2 3" xfId="10410" xr:uid="{00000000-0005-0000-0000-00004B700000}"/>
    <cellStyle name="Normal 5 2 2 8 2 2 3 2" xfId="33898" xr:uid="{00000000-0005-0000-0000-00004C700000}"/>
    <cellStyle name="Normal 5 2 2 8 2 2 4" xfId="33895" xr:uid="{00000000-0005-0000-0000-00004D700000}"/>
    <cellStyle name="Normal 5 2 2 8 2 3" xfId="10411" xr:uid="{00000000-0005-0000-0000-00004E700000}"/>
    <cellStyle name="Normal 5 2 2 8 2 3 2" xfId="10412" xr:uid="{00000000-0005-0000-0000-00004F700000}"/>
    <cellStyle name="Normal 5 2 2 8 2 3 2 2" xfId="33900" xr:uid="{00000000-0005-0000-0000-000050700000}"/>
    <cellStyle name="Normal 5 2 2 8 2 3 3" xfId="33899" xr:uid="{00000000-0005-0000-0000-000051700000}"/>
    <cellStyle name="Normal 5 2 2 8 2 4" xfId="10413" xr:uid="{00000000-0005-0000-0000-000052700000}"/>
    <cellStyle name="Normal 5 2 2 8 2 4 2" xfId="33901" xr:uid="{00000000-0005-0000-0000-000053700000}"/>
    <cellStyle name="Normal 5 2 2 8 2 5" xfId="33894" xr:uid="{00000000-0005-0000-0000-000054700000}"/>
    <cellStyle name="Normal 5 2 2 8 3" xfId="10414" xr:uid="{00000000-0005-0000-0000-000055700000}"/>
    <cellStyle name="Normal 5 2 2 8 3 2" xfId="10415" xr:uid="{00000000-0005-0000-0000-000056700000}"/>
    <cellStyle name="Normal 5 2 2 8 3 2 2" xfId="10416" xr:uid="{00000000-0005-0000-0000-000057700000}"/>
    <cellStyle name="Normal 5 2 2 8 3 2 2 2" xfId="10417" xr:uid="{00000000-0005-0000-0000-000058700000}"/>
    <cellStyle name="Normal 5 2 2 8 3 2 2 2 2" xfId="33905" xr:uid="{00000000-0005-0000-0000-000059700000}"/>
    <cellStyle name="Normal 5 2 2 8 3 2 2 3" xfId="33904" xr:uid="{00000000-0005-0000-0000-00005A700000}"/>
    <cellStyle name="Normal 5 2 2 8 3 2 3" xfId="10418" xr:uid="{00000000-0005-0000-0000-00005B700000}"/>
    <cellStyle name="Normal 5 2 2 8 3 2 3 2" xfId="33906" xr:uid="{00000000-0005-0000-0000-00005C700000}"/>
    <cellStyle name="Normal 5 2 2 8 3 2 4" xfId="33903" xr:uid="{00000000-0005-0000-0000-00005D700000}"/>
    <cellStyle name="Normal 5 2 2 8 3 3" xfId="10419" xr:uid="{00000000-0005-0000-0000-00005E700000}"/>
    <cellStyle name="Normal 5 2 2 8 3 3 2" xfId="10420" xr:uid="{00000000-0005-0000-0000-00005F700000}"/>
    <cellStyle name="Normal 5 2 2 8 3 3 2 2" xfId="33908" xr:uid="{00000000-0005-0000-0000-000060700000}"/>
    <cellStyle name="Normal 5 2 2 8 3 3 3" xfId="33907" xr:uid="{00000000-0005-0000-0000-000061700000}"/>
    <cellStyle name="Normal 5 2 2 8 3 4" xfId="10421" xr:uid="{00000000-0005-0000-0000-000062700000}"/>
    <cellStyle name="Normal 5 2 2 8 3 4 2" xfId="33909" xr:uid="{00000000-0005-0000-0000-000063700000}"/>
    <cellStyle name="Normal 5 2 2 8 3 5" xfId="33902" xr:uid="{00000000-0005-0000-0000-000064700000}"/>
    <cellStyle name="Normal 5 2 2 8 4" xfId="10422" xr:uid="{00000000-0005-0000-0000-000065700000}"/>
    <cellStyle name="Normal 5 2 2 8 4 2" xfId="10423" xr:uid="{00000000-0005-0000-0000-000066700000}"/>
    <cellStyle name="Normal 5 2 2 8 4 2 2" xfId="10424" xr:uid="{00000000-0005-0000-0000-000067700000}"/>
    <cellStyle name="Normal 5 2 2 8 4 2 2 2" xfId="33912" xr:uid="{00000000-0005-0000-0000-000068700000}"/>
    <cellStyle name="Normal 5 2 2 8 4 2 3" xfId="33911" xr:uid="{00000000-0005-0000-0000-000069700000}"/>
    <cellStyle name="Normal 5 2 2 8 4 3" xfId="10425" xr:uid="{00000000-0005-0000-0000-00006A700000}"/>
    <cellStyle name="Normal 5 2 2 8 4 3 2" xfId="33913" xr:uid="{00000000-0005-0000-0000-00006B700000}"/>
    <cellStyle name="Normal 5 2 2 8 4 4" xfId="33910" xr:uid="{00000000-0005-0000-0000-00006C700000}"/>
    <cellStyle name="Normal 5 2 2 8 5" xfId="10426" xr:uid="{00000000-0005-0000-0000-00006D700000}"/>
    <cellStyle name="Normal 5 2 2 8 5 2" xfId="10427" xr:uid="{00000000-0005-0000-0000-00006E700000}"/>
    <cellStyle name="Normal 5 2 2 8 5 2 2" xfId="33915" xr:uid="{00000000-0005-0000-0000-00006F700000}"/>
    <cellStyle name="Normal 5 2 2 8 5 3" xfId="33914" xr:uid="{00000000-0005-0000-0000-000070700000}"/>
    <cellStyle name="Normal 5 2 2 8 6" xfId="10428" xr:uid="{00000000-0005-0000-0000-000071700000}"/>
    <cellStyle name="Normal 5 2 2 8 6 2" xfId="33916" xr:uid="{00000000-0005-0000-0000-000072700000}"/>
    <cellStyle name="Normal 5 2 2 8 7" xfId="33893" xr:uid="{00000000-0005-0000-0000-000073700000}"/>
    <cellStyle name="Normal 5 2 2 9" xfId="10429" xr:uid="{00000000-0005-0000-0000-000074700000}"/>
    <cellStyle name="Normal 5 2 2 9 2" xfId="10430" xr:uid="{00000000-0005-0000-0000-000075700000}"/>
    <cellStyle name="Normal 5 2 2 9 2 2" xfId="10431" xr:uid="{00000000-0005-0000-0000-000076700000}"/>
    <cellStyle name="Normal 5 2 2 9 2 2 2" xfId="10432" xr:uid="{00000000-0005-0000-0000-000077700000}"/>
    <cellStyle name="Normal 5 2 2 9 2 2 2 2" xfId="33919" xr:uid="{00000000-0005-0000-0000-000078700000}"/>
    <cellStyle name="Normal 5 2 2 9 2 2 3" xfId="33918" xr:uid="{00000000-0005-0000-0000-000079700000}"/>
    <cellStyle name="Normal 5 2 2 9 2 3" xfId="10433" xr:uid="{00000000-0005-0000-0000-00007A700000}"/>
    <cellStyle name="Normal 5 2 2 9 2 3 2" xfId="33920" xr:uid="{00000000-0005-0000-0000-00007B700000}"/>
    <cellStyle name="Normal 5 2 2 9 2 4" xfId="33917" xr:uid="{00000000-0005-0000-0000-00007C700000}"/>
    <cellStyle name="Normal 5 2 2 9 3" xfId="10434" xr:uid="{00000000-0005-0000-0000-00007D700000}"/>
    <cellStyle name="Normal 5 2 2 9 3 2" xfId="10435" xr:uid="{00000000-0005-0000-0000-00007E700000}"/>
    <cellStyle name="Normal 5 2 2 9 3 2 2" xfId="33922" xr:uid="{00000000-0005-0000-0000-00007F700000}"/>
    <cellStyle name="Normal 5 2 2 9 3 3" xfId="33921" xr:uid="{00000000-0005-0000-0000-000080700000}"/>
    <cellStyle name="Normal 5 2 3" xfId="10436" xr:uid="{00000000-0005-0000-0000-000081700000}"/>
    <cellStyle name="Normal 5 2 3 10" xfId="10437" xr:uid="{00000000-0005-0000-0000-000082700000}"/>
    <cellStyle name="Normal 5 2 3 10 2" xfId="33924" xr:uid="{00000000-0005-0000-0000-000083700000}"/>
    <cellStyle name="Normal 5 2 3 11" xfId="21475" xr:uid="{00000000-0005-0000-0000-000084700000}"/>
    <cellStyle name="Normal 5 2 3 12" xfId="33923" xr:uid="{00000000-0005-0000-0000-000085700000}"/>
    <cellStyle name="Normal 5 2 3 2" xfId="10438" xr:uid="{00000000-0005-0000-0000-000086700000}"/>
    <cellStyle name="Normal 5 2 3 2 2" xfId="10439" xr:uid="{00000000-0005-0000-0000-000087700000}"/>
    <cellStyle name="Normal 5 2 3 2 2 2" xfId="10440" xr:uid="{00000000-0005-0000-0000-000088700000}"/>
    <cellStyle name="Normal 5 2 3 2 2 2 2" xfId="10441" xr:uid="{00000000-0005-0000-0000-000089700000}"/>
    <cellStyle name="Normal 5 2 3 2 2 2 2 2" xfId="10442" xr:uid="{00000000-0005-0000-0000-00008A700000}"/>
    <cellStyle name="Normal 5 2 3 2 2 2 2 2 2" xfId="33929" xr:uid="{00000000-0005-0000-0000-00008B700000}"/>
    <cellStyle name="Normal 5 2 3 2 2 2 2 3" xfId="33928" xr:uid="{00000000-0005-0000-0000-00008C700000}"/>
    <cellStyle name="Normal 5 2 3 2 2 2 3" xfId="10443" xr:uid="{00000000-0005-0000-0000-00008D700000}"/>
    <cellStyle name="Normal 5 2 3 2 2 2 3 2" xfId="33930" xr:uid="{00000000-0005-0000-0000-00008E700000}"/>
    <cellStyle name="Normal 5 2 3 2 2 2 4" xfId="33927" xr:uid="{00000000-0005-0000-0000-00008F700000}"/>
    <cellStyle name="Normal 5 2 3 2 2 3" xfId="10444" xr:uid="{00000000-0005-0000-0000-000090700000}"/>
    <cellStyle name="Normal 5 2 3 2 2 3 2" xfId="10445" xr:uid="{00000000-0005-0000-0000-000091700000}"/>
    <cellStyle name="Normal 5 2 3 2 2 3 2 2" xfId="33932" xr:uid="{00000000-0005-0000-0000-000092700000}"/>
    <cellStyle name="Normal 5 2 3 2 2 3 3" xfId="33931" xr:uid="{00000000-0005-0000-0000-000093700000}"/>
    <cellStyle name="Normal 5 2 3 2 2 4" xfId="10446" xr:uid="{00000000-0005-0000-0000-000094700000}"/>
    <cellStyle name="Normal 5 2 3 2 2 4 2" xfId="33933" xr:uid="{00000000-0005-0000-0000-000095700000}"/>
    <cellStyle name="Normal 5 2 3 2 2 5" xfId="33926" xr:uid="{00000000-0005-0000-0000-000096700000}"/>
    <cellStyle name="Normal 5 2 3 2 3" xfId="10447" xr:uid="{00000000-0005-0000-0000-000097700000}"/>
    <cellStyle name="Normal 5 2 3 2 3 2" xfId="10448" xr:uid="{00000000-0005-0000-0000-000098700000}"/>
    <cellStyle name="Normal 5 2 3 2 3 2 2" xfId="10449" xr:uid="{00000000-0005-0000-0000-000099700000}"/>
    <cellStyle name="Normal 5 2 3 2 3 2 2 2" xfId="10450" xr:uid="{00000000-0005-0000-0000-00009A700000}"/>
    <cellStyle name="Normal 5 2 3 2 3 2 2 2 2" xfId="33937" xr:uid="{00000000-0005-0000-0000-00009B700000}"/>
    <cellStyle name="Normal 5 2 3 2 3 2 2 3" xfId="33936" xr:uid="{00000000-0005-0000-0000-00009C700000}"/>
    <cellStyle name="Normal 5 2 3 2 3 2 3" xfId="10451" xr:uid="{00000000-0005-0000-0000-00009D700000}"/>
    <cellStyle name="Normal 5 2 3 2 3 2 3 2" xfId="33938" xr:uid="{00000000-0005-0000-0000-00009E700000}"/>
    <cellStyle name="Normal 5 2 3 2 3 2 4" xfId="33935" xr:uid="{00000000-0005-0000-0000-00009F700000}"/>
    <cellStyle name="Normal 5 2 3 2 3 3" xfId="10452" xr:uid="{00000000-0005-0000-0000-0000A0700000}"/>
    <cellStyle name="Normal 5 2 3 2 3 3 2" xfId="10453" xr:uid="{00000000-0005-0000-0000-0000A1700000}"/>
    <cellStyle name="Normal 5 2 3 2 3 3 2 2" xfId="33940" xr:uid="{00000000-0005-0000-0000-0000A2700000}"/>
    <cellStyle name="Normal 5 2 3 2 3 3 3" xfId="33939" xr:uid="{00000000-0005-0000-0000-0000A3700000}"/>
    <cellStyle name="Normal 5 2 3 2 3 4" xfId="10454" xr:uid="{00000000-0005-0000-0000-0000A4700000}"/>
    <cellStyle name="Normal 5 2 3 2 3 4 2" xfId="33941" xr:uid="{00000000-0005-0000-0000-0000A5700000}"/>
    <cellStyle name="Normal 5 2 3 2 3 5" xfId="33934" xr:uid="{00000000-0005-0000-0000-0000A6700000}"/>
    <cellStyle name="Normal 5 2 3 2 4" xfId="10455" xr:uid="{00000000-0005-0000-0000-0000A7700000}"/>
    <cellStyle name="Normal 5 2 3 2 4 2" xfId="10456" xr:uid="{00000000-0005-0000-0000-0000A8700000}"/>
    <cellStyle name="Normal 5 2 3 2 4 2 2" xfId="10457" xr:uid="{00000000-0005-0000-0000-0000A9700000}"/>
    <cellStyle name="Normal 5 2 3 2 4 2 2 2" xfId="33944" xr:uid="{00000000-0005-0000-0000-0000AA700000}"/>
    <cellStyle name="Normal 5 2 3 2 4 2 3" xfId="33943" xr:uid="{00000000-0005-0000-0000-0000AB700000}"/>
    <cellStyle name="Normal 5 2 3 2 4 3" xfId="10458" xr:uid="{00000000-0005-0000-0000-0000AC700000}"/>
    <cellStyle name="Normal 5 2 3 2 4 3 2" xfId="33945" xr:uid="{00000000-0005-0000-0000-0000AD700000}"/>
    <cellStyle name="Normal 5 2 3 2 4 4" xfId="33942" xr:uid="{00000000-0005-0000-0000-0000AE700000}"/>
    <cellStyle name="Normal 5 2 3 2 5" xfId="10459" xr:uid="{00000000-0005-0000-0000-0000AF700000}"/>
    <cellStyle name="Normal 5 2 3 2 5 2" xfId="10460" xr:uid="{00000000-0005-0000-0000-0000B0700000}"/>
    <cellStyle name="Normal 5 2 3 2 5 2 2" xfId="33947" xr:uid="{00000000-0005-0000-0000-0000B1700000}"/>
    <cellStyle name="Normal 5 2 3 2 5 3" xfId="33946" xr:uid="{00000000-0005-0000-0000-0000B2700000}"/>
    <cellStyle name="Normal 5 2 3 2 6" xfId="10461" xr:uid="{00000000-0005-0000-0000-0000B3700000}"/>
    <cellStyle name="Normal 5 2 3 2 6 2" xfId="33948" xr:uid="{00000000-0005-0000-0000-0000B4700000}"/>
    <cellStyle name="Normal 5 2 3 2 7" xfId="33925" xr:uid="{00000000-0005-0000-0000-0000B5700000}"/>
    <cellStyle name="Normal 5 2 3 3" xfId="10462" xr:uid="{00000000-0005-0000-0000-0000B6700000}"/>
    <cellStyle name="Normal 5 2 3 3 2" xfId="10463" xr:uid="{00000000-0005-0000-0000-0000B7700000}"/>
    <cellStyle name="Normal 5 2 3 3 2 2" xfId="10464" xr:uid="{00000000-0005-0000-0000-0000B8700000}"/>
    <cellStyle name="Normal 5 2 3 3 2 2 2" xfId="10465" xr:uid="{00000000-0005-0000-0000-0000B9700000}"/>
    <cellStyle name="Normal 5 2 3 3 2 2 2 2" xfId="10466" xr:uid="{00000000-0005-0000-0000-0000BA700000}"/>
    <cellStyle name="Normal 5 2 3 3 2 2 2 2 2" xfId="33953" xr:uid="{00000000-0005-0000-0000-0000BB700000}"/>
    <cellStyle name="Normal 5 2 3 3 2 2 2 3" xfId="33952" xr:uid="{00000000-0005-0000-0000-0000BC700000}"/>
    <cellStyle name="Normal 5 2 3 3 2 2 3" xfId="10467" xr:uid="{00000000-0005-0000-0000-0000BD700000}"/>
    <cellStyle name="Normal 5 2 3 3 2 2 3 2" xfId="33954" xr:uid="{00000000-0005-0000-0000-0000BE700000}"/>
    <cellStyle name="Normal 5 2 3 3 2 2 4" xfId="33951" xr:uid="{00000000-0005-0000-0000-0000BF700000}"/>
    <cellStyle name="Normal 5 2 3 3 2 3" xfId="10468" xr:uid="{00000000-0005-0000-0000-0000C0700000}"/>
    <cellStyle name="Normal 5 2 3 3 2 3 2" xfId="10469" xr:uid="{00000000-0005-0000-0000-0000C1700000}"/>
    <cellStyle name="Normal 5 2 3 3 2 3 2 2" xfId="33956" xr:uid="{00000000-0005-0000-0000-0000C2700000}"/>
    <cellStyle name="Normal 5 2 3 3 2 3 3" xfId="33955" xr:uid="{00000000-0005-0000-0000-0000C3700000}"/>
    <cellStyle name="Normal 5 2 3 3 2 4" xfId="10470" xr:uid="{00000000-0005-0000-0000-0000C4700000}"/>
    <cellStyle name="Normal 5 2 3 3 2 4 2" xfId="33957" xr:uid="{00000000-0005-0000-0000-0000C5700000}"/>
    <cellStyle name="Normal 5 2 3 3 2 5" xfId="33950" xr:uid="{00000000-0005-0000-0000-0000C6700000}"/>
    <cellStyle name="Normal 5 2 3 3 3" xfId="10471" xr:uid="{00000000-0005-0000-0000-0000C7700000}"/>
    <cellStyle name="Normal 5 2 3 3 3 2" xfId="10472" xr:uid="{00000000-0005-0000-0000-0000C8700000}"/>
    <cellStyle name="Normal 5 2 3 3 3 2 2" xfId="10473" xr:uid="{00000000-0005-0000-0000-0000C9700000}"/>
    <cellStyle name="Normal 5 2 3 3 3 2 2 2" xfId="10474" xr:uid="{00000000-0005-0000-0000-0000CA700000}"/>
    <cellStyle name="Normal 5 2 3 3 3 2 2 2 2" xfId="33961" xr:uid="{00000000-0005-0000-0000-0000CB700000}"/>
    <cellStyle name="Normal 5 2 3 3 3 2 2 3" xfId="33960" xr:uid="{00000000-0005-0000-0000-0000CC700000}"/>
    <cellStyle name="Normal 5 2 3 3 3 2 3" xfId="10475" xr:uid="{00000000-0005-0000-0000-0000CD700000}"/>
    <cellStyle name="Normal 5 2 3 3 3 2 3 2" xfId="33962" xr:uid="{00000000-0005-0000-0000-0000CE700000}"/>
    <cellStyle name="Normal 5 2 3 3 3 2 4" xfId="33959" xr:uid="{00000000-0005-0000-0000-0000CF700000}"/>
    <cellStyle name="Normal 5 2 3 3 3 3" xfId="10476" xr:uid="{00000000-0005-0000-0000-0000D0700000}"/>
    <cellStyle name="Normal 5 2 3 3 3 3 2" xfId="10477" xr:uid="{00000000-0005-0000-0000-0000D1700000}"/>
    <cellStyle name="Normal 5 2 3 3 3 3 2 2" xfId="33964" xr:uid="{00000000-0005-0000-0000-0000D2700000}"/>
    <cellStyle name="Normal 5 2 3 3 3 3 3" xfId="33963" xr:uid="{00000000-0005-0000-0000-0000D3700000}"/>
    <cellStyle name="Normal 5 2 3 3 3 4" xfId="10478" xr:uid="{00000000-0005-0000-0000-0000D4700000}"/>
    <cellStyle name="Normal 5 2 3 3 3 4 2" xfId="33965" xr:uid="{00000000-0005-0000-0000-0000D5700000}"/>
    <cellStyle name="Normal 5 2 3 3 3 5" xfId="33958" xr:uid="{00000000-0005-0000-0000-0000D6700000}"/>
    <cellStyle name="Normal 5 2 3 3 4" xfId="10479" xr:uid="{00000000-0005-0000-0000-0000D7700000}"/>
    <cellStyle name="Normal 5 2 3 3 4 2" xfId="10480" xr:uid="{00000000-0005-0000-0000-0000D8700000}"/>
    <cellStyle name="Normal 5 2 3 3 4 2 2" xfId="10481" xr:uid="{00000000-0005-0000-0000-0000D9700000}"/>
    <cellStyle name="Normal 5 2 3 3 4 2 2 2" xfId="33968" xr:uid="{00000000-0005-0000-0000-0000DA700000}"/>
    <cellStyle name="Normal 5 2 3 3 4 2 3" xfId="33967" xr:uid="{00000000-0005-0000-0000-0000DB700000}"/>
    <cellStyle name="Normal 5 2 3 3 4 3" xfId="10482" xr:uid="{00000000-0005-0000-0000-0000DC700000}"/>
    <cellStyle name="Normal 5 2 3 3 4 3 2" xfId="33969" xr:uid="{00000000-0005-0000-0000-0000DD700000}"/>
    <cellStyle name="Normal 5 2 3 3 4 4" xfId="33966" xr:uid="{00000000-0005-0000-0000-0000DE700000}"/>
    <cellStyle name="Normal 5 2 3 3 5" xfId="10483" xr:uid="{00000000-0005-0000-0000-0000DF700000}"/>
    <cellStyle name="Normal 5 2 3 3 5 2" xfId="10484" xr:uid="{00000000-0005-0000-0000-0000E0700000}"/>
    <cellStyle name="Normal 5 2 3 3 5 2 2" xfId="33971" xr:uid="{00000000-0005-0000-0000-0000E1700000}"/>
    <cellStyle name="Normal 5 2 3 3 5 3" xfId="33970" xr:uid="{00000000-0005-0000-0000-0000E2700000}"/>
    <cellStyle name="Normal 5 2 3 3 6" xfId="10485" xr:uid="{00000000-0005-0000-0000-0000E3700000}"/>
    <cellStyle name="Normal 5 2 3 3 6 2" xfId="33972" xr:uid="{00000000-0005-0000-0000-0000E4700000}"/>
    <cellStyle name="Normal 5 2 3 3 7" xfId="33949" xr:uid="{00000000-0005-0000-0000-0000E5700000}"/>
    <cellStyle name="Normal 5 2 3 4" xfId="10486" xr:uid="{00000000-0005-0000-0000-0000E6700000}"/>
    <cellStyle name="Normal 5 2 3 4 2" xfId="10487" xr:uid="{00000000-0005-0000-0000-0000E7700000}"/>
    <cellStyle name="Normal 5 2 3 4 2 2" xfId="10488" xr:uid="{00000000-0005-0000-0000-0000E8700000}"/>
    <cellStyle name="Normal 5 2 3 4 2 2 2" xfId="10489" xr:uid="{00000000-0005-0000-0000-0000E9700000}"/>
    <cellStyle name="Normal 5 2 3 4 2 2 2 2" xfId="10490" xr:uid="{00000000-0005-0000-0000-0000EA700000}"/>
    <cellStyle name="Normal 5 2 3 4 2 2 2 2 2" xfId="33977" xr:uid="{00000000-0005-0000-0000-0000EB700000}"/>
    <cellStyle name="Normal 5 2 3 4 2 2 2 3" xfId="33976" xr:uid="{00000000-0005-0000-0000-0000EC700000}"/>
    <cellStyle name="Normal 5 2 3 4 2 2 3" xfId="10491" xr:uid="{00000000-0005-0000-0000-0000ED700000}"/>
    <cellStyle name="Normal 5 2 3 4 2 2 3 2" xfId="33978" xr:uid="{00000000-0005-0000-0000-0000EE700000}"/>
    <cellStyle name="Normal 5 2 3 4 2 2 4" xfId="33975" xr:uid="{00000000-0005-0000-0000-0000EF700000}"/>
    <cellStyle name="Normal 5 2 3 4 2 3" xfId="10492" xr:uid="{00000000-0005-0000-0000-0000F0700000}"/>
    <cellStyle name="Normal 5 2 3 4 2 3 2" xfId="10493" xr:uid="{00000000-0005-0000-0000-0000F1700000}"/>
    <cellStyle name="Normal 5 2 3 4 2 3 2 2" xfId="33980" xr:uid="{00000000-0005-0000-0000-0000F2700000}"/>
    <cellStyle name="Normal 5 2 3 4 2 3 3" xfId="33979" xr:uid="{00000000-0005-0000-0000-0000F3700000}"/>
    <cellStyle name="Normal 5 2 3 4 2 4" xfId="10494" xr:uid="{00000000-0005-0000-0000-0000F4700000}"/>
    <cellStyle name="Normal 5 2 3 4 2 4 2" xfId="33981" xr:uid="{00000000-0005-0000-0000-0000F5700000}"/>
    <cellStyle name="Normal 5 2 3 4 2 5" xfId="33974" xr:uid="{00000000-0005-0000-0000-0000F6700000}"/>
    <cellStyle name="Normal 5 2 3 4 3" xfId="10495" xr:uid="{00000000-0005-0000-0000-0000F7700000}"/>
    <cellStyle name="Normal 5 2 3 4 3 2" xfId="10496" xr:uid="{00000000-0005-0000-0000-0000F8700000}"/>
    <cellStyle name="Normal 5 2 3 4 3 2 2" xfId="10497" xr:uid="{00000000-0005-0000-0000-0000F9700000}"/>
    <cellStyle name="Normal 5 2 3 4 3 2 2 2" xfId="10498" xr:uid="{00000000-0005-0000-0000-0000FA700000}"/>
    <cellStyle name="Normal 5 2 3 4 3 2 2 2 2" xfId="33985" xr:uid="{00000000-0005-0000-0000-0000FB700000}"/>
    <cellStyle name="Normal 5 2 3 4 3 2 2 3" xfId="33984" xr:uid="{00000000-0005-0000-0000-0000FC700000}"/>
    <cellStyle name="Normal 5 2 3 4 3 2 3" xfId="10499" xr:uid="{00000000-0005-0000-0000-0000FD700000}"/>
    <cellStyle name="Normal 5 2 3 4 3 2 3 2" xfId="33986" xr:uid="{00000000-0005-0000-0000-0000FE700000}"/>
    <cellStyle name="Normal 5 2 3 4 3 2 4" xfId="33983" xr:uid="{00000000-0005-0000-0000-0000FF700000}"/>
    <cellStyle name="Normal 5 2 3 4 3 3" xfId="10500" xr:uid="{00000000-0005-0000-0000-000000710000}"/>
    <cellStyle name="Normal 5 2 3 4 3 3 2" xfId="10501" xr:uid="{00000000-0005-0000-0000-000001710000}"/>
    <cellStyle name="Normal 5 2 3 4 3 3 2 2" xfId="33988" xr:uid="{00000000-0005-0000-0000-000002710000}"/>
    <cellStyle name="Normal 5 2 3 4 3 3 3" xfId="33987" xr:uid="{00000000-0005-0000-0000-000003710000}"/>
    <cellStyle name="Normal 5 2 3 4 3 4" xfId="10502" xr:uid="{00000000-0005-0000-0000-000004710000}"/>
    <cellStyle name="Normal 5 2 3 4 3 4 2" xfId="33989" xr:uid="{00000000-0005-0000-0000-000005710000}"/>
    <cellStyle name="Normal 5 2 3 4 3 5" xfId="33982" xr:uid="{00000000-0005-0000-0000-000006710000}"/>
    <cellStyle name="Normal 5 2 3 4 4" xfId="10503" xr:uid="{00000000-0005-0000-0000-000007710000}"/>
    <cellStyle name="Normal 5 2 3 4 4 2" xfId="10504" xr:uid="{00000000-0005-0000-0000-000008710000}"/>
    <cellStyle name="Normal 5 2 3 4 4 2 2" xfId="10505" xr:uid="{00000000-0005-0000-0000-000009710000}"/>
    <cellStyle name="Normal 5 2 3 4 4 2 2 2" xfId="33992" xr:uid="{00000000-0005-0000-0000-00000A710000}"/>
    <cellStyle name="Normal 5 2 3 4 4 2 3" xfId="33991" xr:uid="{00000000-0005-0000-0000-00000B710000}"/>
    <cellStyle name="Normal 5 2 3 4 4 3" xfId="10506" xr:uid="{00000000-0005-0000-0000-00000C710000}"/>
    <cellStyle name="Normal 5 2 3 4 4 3 2" xfId="33993" xr:uid="{00000000-0005-0000-0000-00000D710000}"/>
    <cellStyle name="Normal 5 2 3 4 4 4" xfId="33990" xr:uid="{00000000-0005-0000-0000-00000E710000}"/>
    <cellStyle name="Normal 5 2 3 4 5" xfId="10507" xr:uid="{00000000-0005-0000-0000-00000F710000}"/>
    <cellStyle name="Normal 5 2 3 4 5 2" xfId="10508" xr:uid="{00000000-0005-0000-0000-000010710000}"/>
    <cellStyle name="Normal 5 2 3 4 5 2 2" xfId="33995" xr:uid="{00000000-0005-0000-0000-000011710000}"/>
    <cellStyle name="Normal 5 2 3 4 5 3" xfId="33994" xr:uid="{00000000-0005-0000-0000-000012710000}"/>
    <cellStyle name="Normal 5 2 3 4 6" xfId="10509" xr:uid="{00000000-0005-0000-0000-000013710000}"/>
    <cellStyle name="Normal 5 2 3 4 6 2" xfId="33996" xr:uid="{00000000-0005-0000-0000-000014710000}"/>
    <cellStyle name="Normal 5 2 3 4 7" xfId="33973" xr:uid="{00000000-0005-0000-0000-000015710000}"/>
    <cellStyle name="Normal 5 2 3 5" xfId="10510" xr:uid="{00000000-0005-0000-0000-000016710000}"/>
    <cellStyle name="Normal 5 2 3 5 2" xfId="10511" xr:uid="{00000000-0005-0000-0000-000017710000}"/>
    <cellStyle name="Normal 5 2 3 5 2 2" xfId="10512" xr:uid="{00000000-0005-0000-0000-000018710000}"/>
    <cellStyle name="Normal 5 2 3 5 2 2 2" xfId="10513" xr:uid="{00000000-0005-0000-0000-000019710000}"/>
    <cellStyle name="Normal 5 2 3 5 2 2 2 2" xfId="10514" xr:uid="{00000000-0005-0000-0000-00001A710000}"/>
    <cellStyle name="Normal 5 2 3 5 2 2 2 2 2" xfId="34001" xr:uid="{00000000-0005-0000-0000-00001B710000}"/>
    <cellStyle name="Normal 5 2 3 5 2 2 2 3" xfId="34000" xr:uid="{00000000-0005-0000-0000-00001C710000}"/>
    <cellStyle name="Normal 5 2 3 5 2 2 3" xfId="10515" xr:uid="{00000000-0005-0000-0000-00001D710000}"/>
    <cellStyle name="Normal 5 2 3 5 2 2 3 2" xfId="34002" xr:uid="{00000000-0005-0000-0000-00001E710000}"/>
    <cellStyle name="Normal 5 2 3 5 2 2 4" xfId="33999" xr:uid="{00000000-0005-0000-0000-00001F710000}"/>
    <cellStyle name="Normal 5 2 3 5 2 3" xfId="10516" xr:uid="{00000000-0005-0000-0000-000020710000}"/>
    <cellStyle name="Normal 5 2 3 5 2 3 2" xfId="10517" xr:uid="{00000000-0005-0000-0000-000021710000}"/>
    <cellStyle name="Normal 5 2 3 5 2 3 2 2" xfId="34004" xr:uid="{00000000-0005-0000-0000-000022710000}"/>
    <cellStyle name="Normal 5 2 3 5 2 3 3" xfId="34003" xr:uid="{00000000-0005-0000-0000-000023710000}"/>
    <cellStyle name="Normal 5 2 3 5 2 4" xfId="10518" xr:uid="{00000000-0005-0000-0000-000024710000}"/>
    <cellStyle name="Normal 5 2 3 5 2 4 2" xfId="34005" xr:uid="{00000000-0005-0000-0000-000025710000}"/>
    <cellStyle name="Normal 5 2 3 5 2 5" xfId="33998" xr:uid="{00000000-0005-0000-0000-000026710000}"/>
    <cellStyle name="Normal 5 2 3 5 3" xfId="10519" xr:uid="{00000000-0005-0000-0000-000027710000}"/>
    <cellStyle name="Normal 5 2 3 5 3 2" xfId="10520" xr:uid="{00000000-0005-0000-0000-000028710000}"/>
    <cellStyle name="Normal 5 2 3 5 3 2 2" xfId="10521" xr:uid="{00000000-0005-0000-0000-000029710000}"/>
    <cellStyle name="Normal 5 2 3 5 3 2 2 2" xfId="10522" xr:uid="{00000000-0005-0000-0000-00002A710000}"/>
    <cellStyle name="Normal 5 2 3 5 3 2 2 2 2" xfId="34009" xr:uid="{00000000-0005-0000-0000-00002B710000}"/>
    <cellStyle name="Normal 5 2 3 5 3 2 2 3" xfId="34008" xr:uid="{00000000-0005-0000-0000-00002C710000}"/>
    <cellStyle name="Normal 5 2 3 5 3 2 3" xfId="10523" xr:uid="{00000000-0005-0000-0000-00002D710000}"/>
    <cellStyle name="Normal 5 2 3 5 3 2 3 2" xfId="34010" xr:uid="{00000000-0005-0000-0000-00002E710000}"/>
    <cellStyle name="Normal 5 2 3 5 3 2 4" xfId="34007" xr:uid="{00000000-0005-0000-0000-00002F710000}"/>
    <cellStyle name="Normal 5 2 3 5 3 3" xfId="10524" xr:uid="{00000000-0005-0000-0000-000030710000}"/>
    <cellStyle name="Normal 5 2 3 5 3 3 2" xfId="10525" xr:uid="{00000000-0005-0000-0000-000031710000}"/>
    <cellStyle name="Normal 5 2 3 5 3 3 2 2" xfId="34012" xr:uid="{00000000-0005-0000-0000-000032710000}"/>
    <cellStyle name="Normal 5 2 3 5 3 3 3" xfId="34011" xr:uid="{00000000-0005-0000-0000-000033710000}"/>
    <cellStyle name="Normal 5 2 3 5 3 4" xfId="10526" xr:uid="{00000000-0005-0000-0000-000034710000}"/>
    <cellStyle name="Normal 5 2 3 5 3 4 2" xfId="34013" xr:uid="{00000000-0005-0000-0000-000035710000}"/>
    <cellStyle name="Normal 5 2 3 5 3 5" xfId="34006" xr:uid="{00000000-0005-0000-0000-000036710000}"/>
    <cellStyle name="Normal 5 2 3 5 4" xfId="10527" xr:uid="{00000000-0005-0000-0000-000037710000}"/>
    <cellStyle name="Normal 5 2 3 5 4 2" xfId="10528" xr:uid="{00000000-0005-0000-0000-000038710000}"/>
    <cellStyle name="Normal 5 2 3 5 4 2 2" xfId="10529" xr:uid="{00000000-0005-0000-0000-000039710000}"/>
    <cellStyle name="Normal 5 2 3 5 4 2 2 2" xfId="34016" xr:uid="{00000000-0005-0000-0000-00003A710000}"/>
    <cellStyle name="Normal 5 2 3 5 4 2 3" xfId="34015" xr:uid="{00000000-0005-0000-0000-00003B710000}"/>
    <cellStyle name="Normal 5 2 3 5 4 3" xfId="10530" xr:uid="{00000000-0005-0000-0000-00003C710000}"/>
    <cellStyle name="Normal 5 2 3 5 4 3 2" xfId="34017" xr:uid="{00000000-0005-0000-0000-00003D710000}"/>
    <cellStyle name="Normal 5 2 3 5 4 4" xfId="34014" xr:uid="{00000000-0005-0000-0000-00003E710000}"/>
    <cellStyle name="Normal 5 2 3 5 5" xfId="10531" xr:uid="{00000000-0005-0000-0000-00003F710000}"/>
    <cellStyle name="Normal 5 2 3 5 5 2" xfId="10532" xr:uid="{00000000-0005-0000-0000-000040710000}"/>
    <cellStyle name="Normal 5 2 3 5 5 2 2" xfId="34019" xr:uid="{00000000-0005-0000-0000-000041710000}"/>
    <cellStyle name="Normal 5 2 3 5 5 3" xfId="34018" xr:uid="{00000000-0005-0000-0000-000042710000}"/>
    <cellStyle name="Normal 5 2 3 5 6" xfId="10533" xr:uid="{00000000-0005-0000-0000-000043710000}"/>
    <cellStyle name="Normal 5 2 3 5 6 2" xfId="34020" xr:uid="{00000000-0005-0000-0000-000044710000}"/>
    <cellStyle name="Normal 5 2 3 5 7" xfId="33997" xr:uid="{00000000-0005-0000-0000-000045710000}"/>
    <cellStyle name="Normal 5 2 3 6" xfId="10534" xr:uid="{00000000-0005-0000-0000-000046710000}"/>
    <cellStyle name="Normal 5 2 3 6 2" xfId="10535" xr:uid="{00000000-0005-0000-0000-000047710000}"/>
    <cellStyle name="Normal 5 2 3 6 2 2" xfId="10536" xr:uid="{00000000-0005-0000-0000-000048710000}"/>
    <cellStyle name="Normal 5 2 3 6 2 2 2" xfId="10537" xr:uid="{00000000-0005-0000-0000-000049710000}"/>
    <cellStyle name="Normal 5 2 3 6 2 2 2 2" xfId="34024" xr:uid="{00000000-0005-0000-0000-00004A710000}"/>
    <cellStyle name="Normal 5 2 3 6 2 2 3" xfId="34023" xr:uid="{00000000-0005-0000-0000-00004B710000}"/>
    <cellStyle name="Normal 5 2 3 6 2 3" xfId="10538" xr:uid="{00000000-0005-0000-0000-00004C710000}"/>
    <cellStyle name="Normal 5 2 3 6 2 3 2" xfId="34025" xr:uid="{00000000-0005-0000-0000-00004D710000}"/>
    <cellStyle name="Normal 5 2 3 6 2 4" xfId="34022" xr:uid="{00000000-0005-0000-0000-00004E710000}"/>
    <cellStyle name="Normal 5 2 3 6 3" xfId="10539" xr:uid="{00000000-0005-0000-0000-00004F710000}"/>
    <cellStyle name="Normal 5 2 3 6 3 2" xfId="10540" xr:uid="{00000000-0005-0000-0000-000050710000}"/>
    <cellStyle name="Normal 5 2 3 6 3 2 2" xfId="34027" xr:uid="{00000000-0005-0000-0000-000051710000}"/>
    <cellStyle name="Normal 5 2 3 6 3 3" xfId="34026" xr:uid="{00000000-0005-0000-0000-000052710000}"/>
    <cellStyle name="Normal 5 2 3 6 4" xfId="10541" xr:uid="{00000000-0005-0000-0000-000053710000}"/>
    <cellStyle name="Normal 5 2 3 6 4 2" xfId="34028" xr:uid="{00000000-0005-0000-0000-000054710000}"/>
    <cellStyle name="Normal 5 2 3 6 5" xfId="34021" xr:uid="{00000000-0005-0000-0000-000055710000}"/>
    <cellStyle name="Normal 5 2 3 7" xfId="10542" xr:uid="{00000000-0005-0000-0000-000056710000}"/>
    <cellStyle name="Normal 5 2 3 7 2" xfId="10543" xr:uid="{00000000-0005-0000-0000-000057710000}"/>
    <cellStyle name="Normal 5 2 3 7 2 2" xfId="10544" xr:uid="{00000000-0005-0000-0000-000058710000}"/>
    <cellStyle name="Normal 5 2 3 7 2 2 2" xfId="10545" xr:uid="{00000000-0005-0000-0000-000059710000}"/>
    <cellStyle name="Normal 5 2 3 7 2 2 2 2" xfId="34032" xr:uid="{00000000-0005-0000-0000-00005A710000}"/>
    <cellStyle name="Normal 5 2 3 7 2 2 3" xfId="34031" xr:uid="{00000000-0005-0000-0000-00005B710000}"/>
    <cellStyle name="Normal 5 2 3 7 2 3" xfId="10546" xr:uid="{00000000-0005-0000-0000-00005C710000}"/>
    <cellStyle name="Normal 5 2 3 7 2 3 2" xfId="34033" xr:uid="{00000000-0005-0000-0000-00005D710000}"/>
    <cellStyle name="Normal 5 2 3 7 2 4" xfId="34030" xr:uid="{00000000-0005-0000-0000-00005E710000}"/>
    <cellStyle name="Normal 5 2 3 7 3" xfId="10547" xr:uid="{00000000-0005-0000-0000-00005F710000}"/>
    <cellStyle name="Normal 5 2 3 7 3 2" xfId="10548" xr:uid="{00000000-0005-0000-0000-000060710000}"/>
    <cellStyle name="Normal 5 2 3 7 3 2 2" xfId="34035" xr:uid="{00000000-0005-0000-0000-000061710000}"/>
    <cellStyle name="Normal 5 2 3 7 3 3" xfId="34034" xr:uid="{00000000-0005-0000-0000-000062710000}"/>
    <cellStyle name="Normal 5 2 3 7 4" xfId="10549" xr:uid="{00000000-0005-0000-0000-000063710000}"/>
    <cellStyle name="Normal 5 2 3 7 4 2" xfId="34036" xr:uid="{00000000-0005-0000-0000-000064710000}"/>
    <cellStyle name="Normal 5 2 3 7 5" xfId="34029" xr:uid="{00000000-0005-0000-0000-000065710000}"/>
    <cellStyle name="Normal 5 2 3 8" xfId="10550" xr:uid="{00000000-0005-0000-0000-000066710000}"/>
    <cellStyle name="Normal 5 2 3 8 2" xfId="10551" xr:uid="{00000000-0005-0000-0000-000067710000}"/>
    <cellStyle name="Normal 5 2 3 8 2 2" xfId="10552" xr:uid="{00000000-0005-0000-0000-000068710000}"/>
    <cellStyle name="Normal 5 2 3 8 2 2 2" xfId="34039" xr:uid="{00000000-0005-0000-0000-000069710000}"/>
    <cellStyle name="Normal 5 2 3 8 2 3" xfId="34038" xr:uid="{00000000-0005-0000-0000-00006A710000}"/>
    <cellStyle name="Normal 5 2 3 8 3" xfId="10553" xr:uid="{00000000-0005-0000-0000-00006B710000}"/>
    <cellStyle name="Normal 5 2 3 8 3 2" xfId="34040" xr:uid="{00000000-0005-0000-0000-00006C710000}"/>
    <cellStyle name="Normal 5 2 3 8 4" xfId="34037" xr:uid="{00000000-0005-0000-0000-00006D710000}"/>
    <cellStyle name="Normal 5 2 3 9" xfId="10554" xr:uid="{00000000-0005-0000-0000-00006E710000}"/>
    <cellStyle name="Normal 5 2 3 9 2" xfId="10555" xr:uid="{00000000-0005-0000-0000-00006F710000}"/>
    <cellStyle name="Normal 5 2 3 9 2 2" xfId="34042" xr:uid="{00000000-0005-0000-0000-000070710000}"/>
    <cellStyle name="Normal 5 2 3 9 3" xfId="34041" xr:uid="{00000000-0005-0000-0000-000071710000}"/>
    <cellStyle name="Normal 5 2 4" xfId="10556" xr:uid="{00000000-0005-0000-0000-000072710000}"/>
    <cellStyle name="Normal 5 2 4 10" xfId="34043" xr:uid="{00000000-0005-0000-0000-000073710000}"/>
    <cellStyle name="Normal 5 2 4 2" xfId="10557" xr:uid="{00000000-0005-0000-0000-000074710000}"/>
    <cellStyle name="Normal 5 2 4 2 2" xfId="10558" xr:uid="{00000000-0005-0000-0000-000075710000}"/>
    <cellStyle name="Normal 5 2 4 2 2 2" xfId="10559" xr:uid="{00000000-0005-0000-0000-000076710000}"/>
    <cellStyle name="Normal 5 2 4 2 2 2 2" xfId="10560" xr:uid="{00000000-0005-0000-0000-000077710000}"/>
    <cellStyle name="Normal 5 2 4 2 2 2 2 2" xfId="10561" xr:uid="{00000000-0005-0000-0000-000078710000}"/>
    <cellStyle name="Normal 5 2 4 2 2 2 2 2 2" xfId="34048" xr:uid="{00000000-0005-0000-0000-000079710000}"/>
    <cellStyle name="Normal 5 2 4 2 2 2 2 3" xfId="34047" xr:uid="{00000000-0005-0000-0000-00007A710000}"/>
    <cellStyle name="Normal 5 2 4 2 2 2 3" xfId="10562" xr:uid="{00000000-0005-0000-0000-00007B710000}"/>
    <cellStyle name="Normal 5 2 4 2 2 2 3 2" xfId="34049" xr:uid="{00000000-0005-0000-0000-00007C710000}"/>
    <cellStyle name="Normal 5 2 4 2 2 2 4" xfId="34046" xr:uid="{00000000-0005-0000-0000-00007D710000}"/>
    <cellStyle name="Normal 5 2 4 2 2 3" xfId="10563" xr:uid="{00000000-0005-0000-0000-00007E710000}"/>
    <cellStyle name="Normal 5 2 4 2 2 3 2" xfId="10564" xr:uid="{00000000-0005-0000-0000-00007F710000}"/>
    <cellStyle name="Normal 5 2 4 2 2 3 2 2" xfId="34051" xr:uid="{00000000-0005-0000-0000-000080710000}"/>
    <cellStyle name="Normal 5 2 4 2 2 3 3" xfId="34050" xr:uid="{00000000-0005-0000-0000-000081710000}"/>
    <cellStyle name="Normal 5 2 4 2 2 4" xfId="10565" xr:uid="{00000000-0005-0000-0000-000082710000}"/>
    <cellStyle name="Normal 5 2 4 2 2 4 2" xfId="34052" xr:uid="{00000000-0005-0000-0000-000083710000}"/>
    <cellStyle name="Normal 5 2 4 2 2 5" xfId="34045" xr:uid="{00000000-0005-0000-0000-000084710000}"/>
    <cellStyle name="Normal 5 2 4 2 3" xfId="10566" xr:uid="{00000000-0005-0000-0000-000085710000}"/>
    <cellStyle name="Normal 5 2 4 2 3 2" xfId="10567" xr:uid="{00000000-0005-0000-0000-000086710000}"/>
    <cellStyle name="Normal 5 2 4 2 3 2 2" xfId="10568" xr:uid="{00000000-0005-0000-0000-000087710000}"/>
    <cellStyle name="Normal 5 2 4 2 3 2 2 2" xfId="10569" xr:uid="{00000000-0005-0000-0000-000088710000}"/>
    <cellStyle name="Normal 5 2 4 2 3 2 2 2 2" xfId="34056" xr:uid="{00000000-0005-0000-0000-000089710000}"/>
    <cellStyle name="Normal 5 2 4 2 3 2 2 3" xfId="34055" xr:uid="{00000000-0005-0000-0000-00008A710000}"/>
    <cellStyle name="Normal 5 2 4 2 3 2 3" xfId="10570" xr:uid="{00000000-0005-0000-0000-00008B710000}"/>
    <cellStyle name="Normal 5 2 4 2 3 2 3 2" xfId="34057" xr:uid="{00000000-0005-0000-0000-00008C710000}"/>
    <cellStyle name="Normal 5 2 4 2 3 2 4" xfId="34054" xr:uid="{00000000-0005-0000-0000-00008D710000}"/>
    <cellStyle name="Normal 5 2 4 2 3 3" xfId="10571" xr:uid="{00000000-0005-0000-0000-00008E710000}"/>
    <cellStyle name="Normal 5 2 4 2 3 3 2" xfId="10572" xr:uid="{00000000-0005-0000-0000-00008F710000}"/>
    <cellStyle name="Normal 5 2 4 2 3 3 2 2" xfId="34059" xr:uid="{00000000-0005-0000-0000-000090710000}"/>
    <cellStyle name="Normal 5 2 4 2 3 3 3" xfId="34058" xr:uid="{00000000-0005-0000-0000-000091710000}"/>
    <cellStyle name="Normal 5 2 4 2 3 4" xfId="10573" xr:uid="{00000000-0005-0000-0000-000092710000}"/>
    <cellStyle name="Normal 5 2 4 2 3 4 2" xfId="34060" xr:uid="{00000000-0005-0000-0000-000093710000}"/>
    <cellStyle name="Normal 5 2 4 2 3 5" xfId="34053" xr:uid="{00000000-0005-0000-0000-000094710000}"/>
    <cellStyle name="Normal 5 2 4 2 4" xfId="10574" xr:uid="{00000000-0005-0000-0000-000095710000}"/>
    <cellStyle name="Normal 5 2 4 2 4 2" xfId="10575" xr:uid="{00000000-0005-0000-0000-000096710000}"/>
    <cellStyle name="Normal 5 2 4 2 4 2 2" xfId="10576" xr:uid="{00000000-0005-0000-0000-000097710000}"/>
    <cellStyle name="Normal 5 2 4 2 4 2 2 2" xfId="34063" xr:uid="{00000000-0005-0000-0000-000098710000}"/>
    <cellStyle name="Normal 5 2 4 2 4 2 3" xfId="34062" xr:uid="{00000000-0005-0000-0000-000099710000}"/>
    <cellStyle name="Normal 5 2 4 2 4 3" xfId="10577" xr:uid="{00000000-0005-0000-0000-00009A710000}"/>
    <cellStyle name="Normal 5 2 4 2 4 3 2" xfId="34064" xr:uid="{00000000-0005-0000-0000-00009B710000}"/>
    <cellStyle name="Normal 5 2 4 2 4 4" xfId="34061" xr:uid="{00000000-0005-0000-0000-00009C710000}"/>
    <cellStyle name="Normal 5 2 4 2 5" xfId="10578" xr:uid="{00000000-0005-0000-0000-00009D710000}"/>
    <cellStyle name="Normal 5 2 4 2 5 2" xfId="10579" xr:uid="{00000000-0005-0000-0000-00009E710000}"/>
    <cellStyle name="Normal 5 2 4 2 5 2 2" xfId="34066" xr:uid="{00000000-0005-0000-0000-00009F710000}"/>
    <cellStyle name="Normal 5 2 4 2 5 3" xfId="34065" xr:uid="{00000000-0005-0000-0000-0000A0710000}"/>
    <cellStyle name="Normal 5 2 4 2 6" xfId="10580" xr:uid="{00000000-0005-0000-0000-0000A1710000}"/>
    <cellStyle name="Normal 5 2 4 2 6 2" xfId="34067" xr:uid="{00000000-0005-0000-0000-0000A2710000}"/>
    <cellStyle name="Normal 5 2 4 2 7" xfId="34044" xr:uid="{00000000-0005-0000-0000-0000A3710000}"/>
    <cellStyle name="Normal 5 2 4 3" xfId="10581" xr:uid="{00000000-0005-0000-0000-0000A4710000}"/>
    <cellStyle name="Normal 5 2 4 3 2" xfId="10582" xr:uid="{00000000-0005-0000-0000-0000A5710000}"/>
    <cellStyle name="Normal 5 2 4 3 2 2" xfId="10583" xr:uid="{00000000-0005-0000-0000-0000A6710000}"/>
    <cellStyle name="Normal 5 2 4 3 2 2 2" xfId="10584" xr:uid="{00000000-0005-0000-0000-0000A7710000}"/>
    <cellStyle name="Normal 5 2 4 3 2 2 2 2" xfId="10585" xr:uid="{00000000-0005-0000-0000-0000A8710000}"/>
    <cellStyle name="Normal 5 2 4 3 2 2 2 2 2" xfId="34072" xr:uid="{00000000-0005-0000-0000-0000A9710000}"/>
    <cellStyle name="Normal 5 2 4 3 2 2 2 3" xfId="34071" xr:uid="{00000000-0005-0000-0000-0000AA710000}"/>
    <cellStyle name="Normal 5 2 4 3 2 2 3" xfId="10586" xr:uid="{00000000-0005-0000-0000-0000AB710000}"/>
    <cellStyle name="Normal 5 2 4 3 2 2 3 2" xfId="34073" xr:uid="{00000000-0005-0000-0000-0000AC710000}"/>
    <cellStyle name="Normal 5 2 4 3 2 2 4" xfId="34070" xr:uid="{00000000-0005-0000-0000-0000AD710000}"/>
    <cellStyle name="Normal 5 2 4 3 2 3" xfId="10587" xr:uid="{00000000-0005-0000-0000-0000AE710000}"/>
    <cellStyle name="Normal 5 2 4 3 2 3 2" xfId="10588" xr:uid="{00000000-0005-0000-0000-0000AF710000}"/>
    <cellStyle name="Normal 5 2 4 3 2 3 2 2" xfId="34075" xr:uid="{00000000-0005-0000-0000-0000B0710000}"/>
    <cellStyle name="Normal 5 2 4 3 2 3 3" xfId="34074" xr:uid="{00000000-0005-0000-0000-0000B1710000}"/>
    <cellStyle name="Normal 5 2 4 3 2 4" xfId="10589" xr:uid="{00000000-0005-0000-0000-0000B2710000}"/>
    <cellStyle name="Normal 5 2 4 3 2 4 2" xfId="34076" xr:uid="{00000000-0005-0000-0000-0000B3710000}"/>
    <cellStyle name="Normal 5 2 4 3 2 5" xfId="34069" xr:uid="{00000000-0005-0000-0000-0000B4710000}"/>
    <cellStyle name="Normal 5 2 4 3 3" xfId="10590" xr:uid="{00000000-0005-0000-0000-0000B5710000}"/>
    <cellStyle name="Normal 5 2 4 3 3 2" xfId="10591" xr:uid="{00000000-0005-0000-0000-0000B6710000}"/>
    <cellStyle name="Normal 5 2 4 3 3 2 2" xfId="10592" xr:uid="{00000000-0005-0000-0000-0000B7710000}"/>
    <cellStyle name="Normal 5 2 4 3 3 2 2 2" xfId="10593" xr:uid="{00000000-0005-0000-0000-0000B8710000}"/>
    <cellStyle name="Normal 5 2 4 3 3 2 2 2 2" xfId="34080" xr:uid="{00000000-0005-0000-0000-0000B9710000}"/>
    <cellStyle name="Normal 5 2 4 3 3 2 2 3" xfId="34079" xr:uid="{00000000-0005-0000-0000-0000BA710000}"/>
    <cellStyle name="Normal 5 2 4 3 3 2 3" xfId="10594" xr:uid="{00000000-0005-0000-0000-0000BB710000}"/>
    <cellStyle name="Normal 5 2 4 3 3 2 3 2" xfId="34081" xr:uid="{00000000-0005-0000-0000-0000BC710000}"/>
    <cellStyle name="Normal 5 2 4 3 3 2 4" xfId="34078" xr:uid="{00000000-0005-0000-0000-0000BD710000}"/>
    <cellStyle name="Normal 5 2 4 3 3 3" xfId="10595" xr:uid="{00000000-0005-0000-0000-0000BE710000}"/>
    <cellStyle name="Normal 5 2 4 3 3 3 2" xfId="10596" xr:uid="{00000000-0005-0000-0000-0000BF710000}"/>
    <cellStyle name="Normal 5 2 4 3 3 3 2 2" xfId="34083" xr:uid="{00000000-0005-0000-0000-0000C0710000}"/>
    <cellStyle name="Normal 5 2 4 3 3 3 3" xfId="34082" xr:uid="{00000000-0005-0000-0000-0000C1710000}"/>
    <cellStyle name="Normal 5 2 4 3 3 4" xfId="10597" xr:uid="{00000000-0005-0000-0000-0000C2710000}"/>
    <cellStyle name="Normal 5 2 4 3 3 4 2" xfId="34084" xr:uid="{00000000-0005-0000-0000-0000C3710000}"/>
    <cellStyle name="Normal 5 2 4 3 3 5" xfId="34077" xr:uid="{00000000-0005-0000-0000-0000C4710000}"/>
    <cellStyle name="Normal 5 2 4 3 4" xfId="10598" xr:uid="{00000000-0005-0000-0000-0000C5710000}"/>
    <cellStyle name="Normal 5 2 4 3 4 2" xfId="10599" xr:uid="{00000000-0005-0000-0000-0000C6710000}"/>
    <cellStyle name="Normal 5 2 4 3 4 2 2" xfId="10600" xr:uid="{00000000-0005-0000-0000-0000C7710000}"/>
    <cellStyle name="Normal 5 2 4 3 4 2 2 2" xfId="34087" xr:uid="{00000000-0005-0000-0000-0000C8710000}"/>
    <cellStyle name="Normal 5 2 4 3 4 2 3" xfId="34086" xr:uid="{00000000-0005-0000-0000-0000C9710000}"/>
    <cellStyle name="Normal 5 2 4 3 4 3" xfId="10601" xr:uid="{00000000-0005-0000-0000-0000CA710000}"/>
    <cellStyle name="Normal 5 2 4 3 4 3 2" xfId="34088" xr:uid="{00000000-0005-0000-0000-0000CB710000}"/>
    <cellStyle name="Normal 5 2 4 3 4 4" xfId="34085" xr:uid="{00000000-0005-0000-0000-0000CC710000}"/>
    <cellStyle name="Normal 5 2 4 3 5" xfId="10602" xr:uid="{00000000-0005-0000-0000-0000CD710000}"/>
    <cellStyle name="Normal 5 2 4 3 5 2" xfId="10603" xr:uid="{00000000-0005-0000-0000-0000CE710000}"/>
    <cellStyle name="Normal 5 2 4 3 5 2 2" xfId="34090" xr:uid="{00000000-0005-0000-0000-0000CF710000}"/>
    <cellStyle name="Normal 5 2 4 3 5 3" xfId="34089" xr:uid="{00000000-0005-0000-0000-0000D0710000}"/>
    <cellStyle name="Normal 5 2 4 3 6" xfId="10604" xr:uid="{00000000-0005-0000-0000-0000D1710000}"/>
    <cellStyle name="Normal 5 2 4 3 6 2" xfId="34091" xr:uid="{00000000-0005-0000-0000-0000D2710000}"/>
    <cellStyle name="Normal 5 2 4 3 7" xfId="34068" xr:uid="{00000000-0005-0000-0000-0000D3710000}"/>
    <cellStyle name="Normal 5 2 4 4" xfId="10605" xr:uid="{00000000-0005-0000-0000-0000D4710000}"/>
    <cellStyle name="Normal 5 2 4 4 2" xfId="10606" xr:uid="{00000000-0005-0000-0000-0000D5710000}"/>
    <cellStyle name="Normal 5 2 4 4 2 2" xfId="10607" xr:uid="{00000000-0005-0000-0000-0000D6710000}"/>
    <cellStyle name="Normal 5 2 4 4 2 2 2" xfId="10608" xr:uid="{00000000-0005-0000-0000-0000D7710000}"/>
    <cellStyle name="Normal 5 2 4 4 2 2 2 2" xfId="10609" xr:uid="{00000000-0005-0000-0000-0000D8710000}"/>
    <cellStyle name="Normal 5 2 4 4 2 2 2 2 2" xfId="34096" xr:uid="{00000000-0005-0000-0000-0000D9710000}"/>
    <cellStyle name="Normal 5 2 4 4 2 2 2 3" xfId="34095" xr:uid="{00000000-0005-0000-0000-0000DA710000}"/>
    <cellStyle name="Normal 5 2 4 4 2 2 3" xfId="10610" xr:uid="{00000000-0005-0000-0000-0000DB710000}"/>
    <cellStyle name="Normal 5 2 4 4 2 2 3 2" xfId="34097" xr:uid="{00000000-0005-0000-0000-0000DC710000}"/>
    <cellStyle name="Normal 5 2 4 4 2 2 4" xfId="34094" xr:uid="{00000000-0005-0000-0000-0000DD710000}"/>
    <cellStyle name="Normal 5 2 4 4 2 3" xfId="10611" xr:uid="{00000000-0005-0000-0000-0000DE710000}"/>
    <cellStyle name="Normal 5 2 4 4 2 3 2" xfId="10612" xr:uid="{00000000-0005-0000-0000-0000DF710000}"/>
    <cellStyle name="Normal 5 2 4 4 2 3 2 2" xfId="34099" xr:uid="{00000000-0005-0000-0000-0000E0710000}"/>
    <cellStyle name="Normal 5 2 4 4 2 3 3" xfId="34098" xr:uid="{00000000-0005-0000-0000-0000E1710000}"/>
    <cellStyle name="Normal 5 2 4 4 2 4" xfId="10613" xr:uid="{00000000-0005-0000-0000-0000E2710000}"/>
    <cellStyle name="Normal 5 2 4 4 2 4 2" xfId="34100" xr:uid="{00000000-0005-0000-0000-0000E3710000}"/>
    <cellStyle name="Normal 5 2 4 4 2 5" xfId="34093" xr:uid="{00000000-0005-0000-0000-0000E4710000}"/>
    <cellStyle name="Normal 5 2 4 4 3" xfId="10614" xr:uid="{00000000-0005-0000-0000-0000E5710000}"/>
    <cellStyle name="Normal 5 2 4 4 3 2" xfId="10615" xr:uid="{00000000-0005-0000-0000-0000E6710000}"/>
    <cellStyle name="Normal 5 2 4 4 3 2 2" xfId="10616" xr:uid="{00000000-0005-0000-0000-0000E7710000}"/>
    <cellStyle name="Normal 5 2 4 4 3 2 2 2" xfId="10617" xr:uid="{00000000-0005-0000-0000-0000E8710000}"/>
    <cellStyle name="Normal 5 2 4 4 3 2 2 2 2" xfId="34104" xr:uid="{00000000-0005-0000-0000-0000E9710000}"/>
    <cellStyle name="Normal 5 2 4 4 3 2 2 3" xfId="34103" xr:uid="{00000000-0005-0000-0000-0000EA710000}"/>
    <cellStyle name="Normal 5 2 4 4 3 2 3" xfId="10618" xr:uid="{00000000-0005-0000-0000-0000EB710000}"/>
    <cellStyle name="Normal 5 2 4 4 3 2 3 2" xfId="34105" xr:uid="{00000000-0005-0000-0000-0000EC710000}"/>
    <cellStyle name="Normal 5 2 4 4 3 2 4" xfId="34102" xr:uid="{00000000-0005-0000-0000-0000ED710000}"/>
    <cellStyle name="Normal 5 2 4 4 3 3" xfId="10619" xr:uid="{00000000-0005-0000-0000-0000EE710000}"/>
    <cellStyle name="Normal 5 2 4 4 3 3 2" xfId="10620" xr:uid="{00000000-0005-0000-0000-0000EF710000}"/>
    <cellStyle name="Normal 5 2 4 4 3 3 2 2" xfId="34107" xr:uid="{00000000-0005-0000-0000-0000F0710000}"/>
    <cellStyle name="Normal 5 2 4 4 3 3 3" xfId="34106" xr:uid="{00000000-0005-0000-0000-0000F1710000}"/>
    <cellStyle name="Normal 5 2 4 4 3 4" xfId="10621" xr:uid="{00000000-0005-0000-0000-0000F2710000}"/>
    <cellStyle name="Normal 5 2 4 4 3 4 2" xfId="34108" xr:uid="{00000000-0005-0000-0000-0000F3710000}"/>
    <cellStyle name="Normal 5 2 4 4 3 5" xfId="34101" xr:uid="{00000000-0005-0000-0000-0000F4710000}"/>
    <cellStyle name="Normal 5 2 4 4 4" xfId="10622" xr:uid="{00000000-0005-0000-0000-0000F5710000}"/>
    <cellStyle name="Normal 5 2 4 4 4 2" xfId="10623" xr:uid="{00000000-0005-0000-0000-0000F6710000}"/>
    <cellStyle name="Normal 5 2 4 4 4 2 2" xfId="10624" xr:uid="{00000000-0005-0000-0000-0000F7710000}"/>
    <cellStyle name="Normal 5 2 4 4 4 2 2 2" xfId="34111" xr:uid="{00000000-0005-0000-0000-0000F8710000}"/>
    <cellStyle name="Normal 5 2 4 4 4 2 3" xfId="34110" xr:uid="{00000000-0005-0000-0000-0000F9710000}"/>
    <cellStyle name="Normal 5 2 4 4 4 3" xfId="10625" xr:uid="{00000000-0005-0000-0000-0000FA710000}"/>
    <cellStyle name="Normal 5 2 4 4 4 3 2" xfId="34112" xr:uid="{00000000-0005-0000-0000-0000FB710000}"/>
    <cellStyle name="Normal 5 2 4 4 4 4" xfId="34109" xr:uid="{00000000-0005-0000-0000-0000FC710000}"/>
    <cellStyle name="Normal 5 2 4 4 5" xfId="10626" xr:uid="{00000000-0005-0000-0000-0000FD710000}"/>
    <cellStyle name="Normal 5 2 4 4 5 2" xfId="10627" xr:uid="{00000000-0005-0000-0000-0000FE710000}"/>
    <cellStyle name="Normal 5 2 4 4 5 2 2" xfId="34114" xr:uid="{00000000-0005-0000-0000-0000FF710000}"/>
    <cellStyle name="Normal 5 2 4 4 5 3" xfId="34113" xr:uid="{00000000-0005-0000-0000-000000720000}"/>
    <cellStyle name="Normal 5 2 4 4 6" xfId="10628" xr:uid="{00000000-0005-0000-0000-000001720000}"/>
    <cellStyle name="Normal 5 2 4 4 6 2" xfId="34115" xr:uid="{00000000-0005-0000-0000-000002720000}"/>
    <cellStyle name="Normal 5 2 4 4 7" xfId="34092" xr:uid="{00000000-0005-0000-0000-000003720000}"/>
    <cellStyle name="Normal 5 2 4 5" xfId="10629" xr:uid="{00000000-0005-0000-0000-000004720000}"/>
    <cellStyle name="Normal 5 2 4 5 2" xfId="10630" xr:uid="{00000000-0005-0000-0000-000005720000}"/>
    <cellStyle name="Normal 5 2 4 5 2 2" xfId="10631" xr:uid="{00000000-0005-0000-0000-000006720000}"/>
    <cellStyle name="Normal 5 2 4 5 2 2 2" xfId="10632" xr:uid="{00000000-0005-0000-0000-000007720000}"/>
    <cellStyle name="Normal 5 2 4 5 2 2 2 2" xfId="34119" xr:uid="{00000000-0005-0000-0000-000008720000}"/>
    <cellStyle name="Normal 5 2 4 5 2 2 3" xfId="34118" xr:uid="{00000000-0005-0000-0000-000009720000}"/>
    <cellStyle name="Normal 5 2 4 5 2 3" xfId="10633" xr:uid="{00000000-0005-0000-0000-00000A720000}"/>
    <cellStyle name="Normal 5 2 4 5 2 3 2" xfId="34120" xr:uid="{00000000-0005-0000-0000-00000B720000}"/>
    <cellStyle name="Normal 5 2 4 5 2 4" xfId="34117" xr:uid="{00000000-0005-0000-0000-00000C720000}"/>
    <cellStyle name="Normal 5 2 4 5 3" xfId="10634" xr:uid="{00000000-0005-0000-0000-00000D720000}"/>
    <cellStyle name="Normal 5 2 4 5 3 2" xfId="10635" xr:uid="{00000000-0005-0000-0000-00000E720000}"/>
    <cellStyle name="Normal 5 2 4 5 3 2 2" xfId="34122" xr:uid="{00000000-0005-0000-0000-00000F720000}"/>
    <cellStyle name="Normal 5 2 4 5 3 3" xfId="34121" xr:uid="{00000000-0005-0000-0000-000010720000}"/>
    <cellStyle name="Normal 5 2 4 5 4" xfId="10636" xr:uid="{00000000-0005-0000-0000-000011720000}"/>
    <cellStyle name="Normal 5 2 4 5 4 2" xfId="34123" xr:uid="{00000000-0005-0000-0000-000012720000}"/>
    <cellStyle name="Normal 5 2 4 5 5" xfId="34116" xr:uid="{00000000-0005-0000-0000-000013720000}"/>
    <cellStyle name="Normal 5 2 4 6" xfId="10637" xr:uid="{00000000-0005-0000-0000-000014720000}"/>
    <cellStyle name="Normal 5 2 4 6 2" xfId="10638" xr:uid="{00000000-0005-0000-0000-000015720000}"/>
    <cellStyle name="Normal 5 2 4 6 2 2" xfId="10639" xr:uid="{00000000-0005-0000-0000-000016720000}"/>
    <cellStyle name="Normal 5 2 4 6 2 2 2" xfId="10640" xr:uid="{00000000-0005-0000-0000-000017720000}"/>
    <cellStyle name="Normal 5 2 4 6 2 2 2 2" xfId="34127" xr:uid="{00000000-0005-0000-0000-000018720000}"/>
    <cellStyle name="Normal 5 2 4 6 2 2 3" xfId="34126" xr:uid="{00000000-0005-0000-0000-000019720000}"/>
    <cellStyle name="Normal 5 2 4 6 2 3" xfId="10641" xr:uid="{00000000-0005-0000-0000-00001A720000}"/>
    <cellStyle name="Normal 5 2 4 6 2 3 2" xfId="34128" xr:uid="{00000000-0005-0000-0000-00001B720000}"/>
    <cellStyle name="Normal 5 2 4 6 2 4" xfId="34125" xr:uid="{00000000-0005-0000-0000-00001C720000}"/>
    <cellStyle name="Normal 5 2 4 6 3" xfId="10642" xr:uid="{00000000-0005-0000-0000-00001D720000}"/>
    <cellStyle name="Normal 5 2 4 6 3 2" xfId="10643" xr:uid="{00000000-0005-0000-0000-00001E720000}"/>
    <cellStyle name="Normal 5 2 4 6 3 2 2" xfId="34130" xr:uid="{00000000-0005-0000-0000-00001F720000}"/>
    <cellStyle name="Normal 5 2 4 6 3 3" xfId="34129" xr:uid="{00000000-0005-0000-0000-000020720000}"/>
    <cellStyle name="Normal 5 2 4 6 4" xfId="10644" xr:uid="{00000000-0005-0000-0000-000021720000}"/>
    <cellStyle name="Normal 5 2 4 6 4 2" xfId="34131" xr:uid="{00000000-0005-0000-0000-000022720000}"/>
    <cellStyle name="Normal 5 2 4 6 5" xfId="34124" xr:uid="{00000000-0005-0000-0000-000023720000}"/>
    <cellStyle name="Normal 5 2 4 7" xfId="10645" xr:uid="{00000000-0005-0000-0000-000024720000}"/>
    <cellStyle name="Normal 5 2 4 7 2" xfId="10646" xr:uid="{00000000-0005-0000-0000-000025720000}"/>
    <cellStyle name="Normal 5 2 4 7 2 2" xfId="10647" xr:uid="{00000000-0005-0000-0000-000026720000}"/>
    <cellStyle name="Normal 5 2 4 7 2 2 2" xfId="34134" xr:uid="{00000000-0005-0000-0000-000027720000}"/>
    <cellStyle name="Normal 5 2 4 7 2 3" xfId="34133" xr:uid="{00000000-0005-0000-0000-000028720000}"/>
    <cellStyle name="Normal 5 2 4 7 3" xfId="10648" xr:uid="{00000000-0005-0000-0000-000029720000}"/>
    <cellStyle name="Normal 5 2 4 7 3 2" xfId="34135" xr:uid="{00000000-0005-0000-0000-00002A720000}"/>
    <cellStyle name="Normal 5 2 4 7 4" xfId="34132" xr:uid="{00000000-0005-0000-0000-00002B720000}"/>
    <cellStyle name="Normal 5 2 4 8" xfId="10649" xr:uid="{00000000-0005-0000-0000-00002C720000}"/>
    <cellStyle name="Normal 5 2 4 8 2" xfId="10650" xr:uid="{00000000-0005-0000-0000-00002D720000}"/>
    <cellStyle name="Normal 5 2 4 8 2 2" xfId="34137" xr:uid="{00000000-0005-0000-0000-00002E720000}"/>
    <cellStyle name="Normal 5 2 4 8 3" xfId="34136" xr:uid="{00000000-0005-0000-0000-00002F720000}"/>
    <cellStyle name="Normal 5 2 4 9" xfId="10651" xr:uid="{00000000-0005-0000-0000-000030720000}"/>
    <cellStyle name="Normal 5 2 4 9 2" xfId="34138" xr:uid="{00000000-0005-0000-0000-000031720000}"/>
    <cellStyle name="Normal 5 2 5" xfId="10652" xr:uid="{00000000-0005-0000-0000-000032720000}"/>
    <cellStyle name="Normal 5 2 5 10" xfId="34139" xr:uid="{00000000-0005-0000-0000-000033720000}"/>
    <cellStyle name="Normal 5 2 5 2" xfId="10653" xr:uid="{00000000-0005-0000-0000-000034720000}"/>
    <cellStyle name="Normal 5 2 5 2 2" xfId="10654" xr:uid="{00000000-0005-0000-0000-000035720000}"/>
    <cellStyle name="Normal 5 2 5 2 2 2" xfId="10655" xr:uid="{00000000-0005-0000-0000-000036720000}"/>
    <cellStyle name="Normal 5 2 5 2 2 2 2" xfId="10656" xr:uid="{00000000-0005-0000-0000-000037720000}"/>
    <cellStyle name="Normal 5 2 5 2 2 2 2 2" xfId="10657" xr:uid="{00000000-0005-0000-0000-000038720000}"/>
    <cellStyle name="Normal 5 2 5 2 2 2 2 2 2" xfId="34144" xr:uid="{00000000-0005-0000-0000-000039720000}"/>
    <cellStyle name="Normal 5 2 5 2 2 2 2 3" xfId="34143" xr:uid="{00000000-0005-0000-0000-00003A720000}"/>
    <cellStyle name="Normal 5 2 5 2 2 2 3" xfId="10658" xr:uid="{00000000-0005-0000-0000-00003B720000}"/>
    <cellStyle name="Normal 5 2 5 2 2 2 3 2" xfId="34145" xr:uid="{00000000-0005-0000-0000-00003C720000}"/>
    <cellStyle name="Normal 5 2 5 2 2 2 4" xfId="34142" xr:uid="{00000000-0005-0000-0000-00003D720000}"/>
    <cellStyle name="Normal 5 2 5 2 2 3" xfId="10659" xr:uid="{00000000-0005-0000-0000-00003E720000}"/>
    <cellStyle name="Normal 5 2 5 2 2 3 2" xfId="10660" xr:uid="{00000000-0005-0000-0000-00003F720000}"/>
    <cellStyle name="Normal 5 2 5 2 2 3 2 2" xfId="34147" xr:uid="{00000000-0005-0000-0000-000040720000}"/>
    <cellStyle name="Normal 5 2 5 2 2 3 3" xfId="34146" xr:uid="{00000000-0005-0000-0000-000041720000}"/>
    <cellStyle name="Normal 5 2 5 2 2 4" xfId="10661" xr:uid="{00000000-0005-0000-0000-000042720000}"/>
    <cellStyle name="Normal 5 2 5 2 2 4 2" xfId="34148" xr:uid="{00000000-0005-0000-0000-000043720000}"/>
    <cellStyle name="Normal 5 2 5 2 2 5" xfId="34141" xr:uid="{00000000-0005-0000-0000-000044720000}"/>
    <cellStyle name="Normal 5 2 5 2 3" xfId="10662" xr:uid="{00000000-0005-0000-0000-000045720000}"/>
    <cellStyle name="Normal 5 2 5 2 3 2" xfId="10663" xr:uid="{00000000-0005-0000-0000-000046720000}"/>
    <cellStyle name="Normal 5 2 5 2 3 2 2" xfId="10664" xr:uid="{00000000-0005-0000-0000-000047720000}"/>
    <cellStyle name="Normal 5 2 5 2 3 2 2 2" xfId="10665" xr:uid="{00000000-0005-0000-0000-000048720000}"/>
    <cellStyle name="Normal 5 2 5 2 3 2 2 2 2" xfId="34152" xr:uid="{00000000-0005-0000-0000-000049720000}"/>
    <cellStyle name="Normal 5 2 5 2 3 2 2 3" xfId="34151" xr:uid="{00000000-0005-0000-0000-00004A720000}"/>
    <cellStyle name="Normal 5 2 5 2 3 2 3" xfId="10666" xr:uid="{00000000-0005-0000-0000-00004B720000}"/>
    <cellStyle name="Normal 5 2 5 2 3 2 3 2" xfId="34153" xr:uid="{00000000-0005-0000-0000-00004C720000}"/>
    <cellStyle name="Normal 5 2 5 2 3 2 4" xfId="34150" xr:uid="{00000000-0005-0000-0000-00004D720000}"/>
    <cellStyle name="Normal 5 2 5 2 3 3" xfId="10667" xr:uid="{00000000-0005-0000-0000-00004E720000}"/>
    <cellStyle name="Normal 5 2 5 2 3 3 2" xfId="10668" xr:uid="{00000000-0005-0000-0000-00004F720000}"/>
    <cellStyle name="Normal 5 2 5 2 3 3 2 2" xfId="34155" xr:uid="{00000000-0005-0000-0000-000050720000}"/>
    <cellStyle name="Normal 5 2 5 2 3 3 3" xfId="34154" xr:uid="{00000000-0005-0000-0000-000051720000}"/>
    <cellStyle name="Normal 5 2 5 2 3 4" xfId="10669" xr:uid="{00000000-0005-0000-0000-000052720000}"/>
    <cellStyle name="Normal 5 2 5 2 3 4 2" xfId="34156" xr:uid="{00000000-0005-0000-0000-000053720000}"/>
    <cellStyle name="Normal 5 2 5 2 3 5" xfId="34149" xr:uid="{00000000-0005-0000-0000-000054720000}"/>
    <cellStyle name="Normal 5 2 5 2 4" xfId="10670" xr:uid="{00000000-0005-0000-0000-000055720000}"/>
    <cellStyle name="Normal 5 2 5 2 4 2" xfId="10671" xr:uid="{00000000-0005-0000-0000-000056720000}"/>
    <cellStyle name="Normal 5 2 5 2 4 2 2" xfId="10672" xr:uid="{00000000-0005-0000-0000-000057720000}"/>
    <cellStyle name="Normal 5 2 5 2 4 2 2 2" xfId="34159" xr:uid="{00000000-0005-0000-0000-000058720000}"/>
    <cellStyle name="Normal 5 2 5 2 4 2 3" xfId="34158" xr:uid="{00000000-0005-0000-0000-000059720000}"/>
    <cellStyle name="Normal 5 2 5 2 4 3" xfId="10673" xr:uid="{00000000-0005-0000-0000-00005A720000}"/>
    <cellStyle name="Normal 5 2 5 2 4 3 2" xfId="34160" xr:uid="{00000000-0005-0000-0000-00005B720000}"/>
    <cellStyle name="Normal 5 2 5 2 4 4" xfId="34157" xr:uid="{00000000-0005-0000-0000-00005C720000}"/>
    <cellStyle name="Normal 5 2 5 2 5" xfId="10674" xr:uid="{00000000-0005-0000-0000-00005D720000}"/>
    <cellStyle name="Normal 5 2 5 2 5 2" xfId="10675" xr:uid="{00000000-0005-0000-0000-00005E720000}"/>
    <cellStyle name="Normal 5 2 5 2 5 2 2" xfId="34162" xr:uid="{00000000-0005-0000-0000-00005F720000}"/>
    <cellStyle name="Normal 5 2 5 2 5 3" xfId="34161" xr:uid="{00000000-0005-0000-0000-000060720000}"/>
    <cellStyle name="Normal 5 2 5 2 6" xfId="10676" xr:uid="{00000000-0005-0000-0000-000061720000}"/>
    <cellStyle name="Normal 5 2 5 2 6 2" xfId="34163" xr:uid="{00000000-0005-0000-0000-000062720000}"/>
    <cellStyle name="Normal 5 2 5 2 7" xfId="34140" xr:uid="{00000000-0005-0000-0000-000063720000}"/>
    <cellStyle name="Normal 5 2 5 3" xfId="10677" xr:uid="{00000000-0005-0000-0000-000064720000}"/>
    <cellStyle name="Normal 5 2 5 3 2" xfId="10678" xr:uid="{00000000-0005-0000-0000-000065720000}"/>
    <cellStyle name="Normal 5 2 5 3 2 2" xfId="10679" xr:uid="{00000000-0005-0000-0000-000066720000}"/>
    <cellStyle name="Normal 5 2 5 3 2 2 2" xfId="10680" xr:uid="{00000000-0005-0000-0000-000067720000}"/>
    <cellStyle name="Normal 5 2 5 3 2 2 2 2" xfId="10681" xr:uid="{00000000-0005-0000-0000-000068720000}"/>
    <cellStyle name="Normal 5 2 5 3 2 2 2 2 2" xfId="34168" xr:uid="{00000000-0005-0000-0000-000069720000}"/>
    <cellStyle name="Normal 5 2 5 3 2 2 2 3" xfId="34167" xr:uid="{00000000-0005-0000-0000-00006A720000}"/>
    <cellStyle name="Normal 5 2 5 3 2 2 3" xfId="10682" xr:uid="{00000000-0005-0000-0000-00006B720000}"/>
    <cellStyle name="Normal 5 2 5 3 2 2 3 2" xfId="34169" xr:uid="{00000000-0005-0000-0000-00006C720000}"/>
    <cellStyle name="Normal 5 2 5 3 2 2 4" xfId="34166" xr:uid="{00000000-0005-0000-0000-00006D720000}"/>
    <cellStyle name="Normal 5 2 5 3 2 3" xfId="10683" xr:uid="{00000000-0005-0000-0000-00006E720000}"/>
    <cellStyle name="Normal 5 2 5 3 2 3 2" xfId="10684" xr:uid="{00000000-0005-0000-0000-00006F720000}"/>
    <cellStyle name="Normal 5 2 5 3 2 3 2 2" xfId="34171" xr:uid="{00000000-0005-0000-0000-000070720000}"/>
    <cellStyle name="Normal 5 2 5 3 2 3 3" xfId="34170" xr:uid="{00000000-0005-0000-0000-000071720000}"/>
    <cellStyle name="Normal 5 2 5 3 2 4" xfId="10685" xr:uid="{00000000-0005-0000-0000-000072720000}"/>
    <cellStyle name="Normal 5 2 5 3 2 4 2" xfId="34172" xr:uid="{00000000-0005-0000-0000-000073720000}"/>
    <cellStyle name="Normal 5 2 5 3 2 5" xfId="34165" xr:uid="{00000000-0005-0000-0000-000074720000}"/>
    <cellStyle name="Normal 5 2 5 3 3" xfId="10686" xr:uid="{00000000-0005-0000-0000-000075720000}"/>
    <cellStyle name="Normal 5 2 5 3 3 2" xfId="10687" xr:uid="{00000000-0005-0000-0000-000076720000}"/>
    <cellStyle name="Normal 5 2 5 3 3 2 2" xfId="10688" xr:uid="{00000000-0005-0000-0000-000077720000}"/>
    <cellStyle name="Normal 5 2 5 3 3 2 2 2" xfId="10689" xr:uid="{00000000-0005-0000-0000-000078720000}"/>
    <cellStyle name="Normal 5 2 5 3 3 2 2 2 2" xfId="34176" xr:uid="{00000000-0005-0000-0000-000079720000}"/>
    <cellStyle name="Normal 5 2 5 3 3 2 2 3" xfId="34175" xr:uid="{00000000-0005-0000-0000-00007A720000}"/>
    <cellStyle name="Normal 5 2 5 3 3 2 3" xfId="10690" xr:uid="{00000000-0005-0000-0000-00007B720000}"/>
    <cellStyle name="Normal 5 2 5 3 3 2 3 2" xfId="34177" xr:uid="{00000000-0005-0000-0000-00007C720000}"/>
    <cellStyle name="Normal 5 2 5 3 3 2 4" xfId="34174" xr:uid="{00000000-0005-0000-0000-00007D720000}"/>
    <cellStyle name="Normal 5 2 5 3 3 3" xfId="10691" xr:uid="{00000000-0005-0000-0000-00007E720000}"/>
    <cellStyle name="Normal 5 2 5 3 3 3 2" xfId="10692" xr:uid="{00000000-0005-0000-0000-00007F720000}"/>
    <cellStyle name="Normal 5 2 5 3 3 3 2 2" xfId="34179" xr:uid="{00000000-0005-0000-0000-000080720000}"/>
    <cellStyle name="Normal 5 2 5 3 3 3 3" xfId="34178" xr:uid="{00000000-0005-0000-0000-000081720000}"/>
    <cellStyle name="Normal 5 2 5 3 3 4" xfId="10693" xr:uid="{00000000-0005-0000-0000-000082720000}"/>
    <cellStyle name="Normal 5 2 5 3 3 4 2" xfId="34180" xr:uid="{00000000-0005-0000-0000-000083720000}"/>
    <cellStyle name="Normal 5 2 5 3 3 5" xfId="34173" xr:uid="{00000000-0005-0000-0000-000084720000}"/>
    <cellStyle name="Normal 5 2 5 3 4" xfId="10694" xr:uid="{00000000-0005-0000-0000-000085720000}"/>
    <cellStyle name="Normal 5 2 5 3 4 2" xfId="10695" xr:uid="{00000000-0005-0000-0000-000086720000}"/>
    <cellStyle name="Normal 5 2 5 3 4 2 2" xfId="10696" xr:uid="{00000000-0005-0000-0000-000087720000}"/>
    <cellStyle name="Normal 5 2 5 3 4 2 2 2" xfId="34183" xr:uid="{00000000-0005-0000-0000-000088720000}"/>
    <cellStyle name="Normal 5 2 5 3 4 2 3" xfId="34182" xr:uid="{00000000-0005-0000-0000-000089720000}"/>
    <cellStyle name="Normal 5 2 5 3 4 3" xfId="10697" xr:uid="{00000000-0005-0000-0000-00008A720000}"/>
    <cellStyle name="Normal 5 2 5 3 4 3 2" xfId="34184" xr:uid="{00000000-0005-0000-0000-00008B720000}"/>
    <cellStyle name="Normal 5 2 5 3 4 4" xfId="34181" xr:uid="{00000000-0005-0000-0000-00008C720000}"/>
    <cellStyle name="Normal 5 2 5 3 5" xfId="10698" xr:uid="{00000000-0005-0000-0000-00008D720000}"/>
    <cellStyle name="Normal 5 2 5 3 5 2" xfId="10699" xr:uid="{00000000-0005-0000-0000-00008E720000}"/>
    <cellStyle name="Normal 5 2 5 3 5 2 2" xfId="34186" xr:uid="{00000000-0005-0000-0000-00008F720000}"/>
    <cellStyle name="Normal 5 2 5 3 5 3" xfId="34185" xr:uid="{00000000-0005-0000-0000-000090720000}"/>
    <cellStyle name="Normal 5 2 5 3 6" xfId="10700" xr:uid="{00000000-0005-0000-0000-000091720000}"/>
    <cellStyle name="Normal 5 2 5 3 6 2" xfId="34187" xr:uid="{00000000-0005-0000-0000-000092720000}"/>
    <cellStyle name="Normal 5 2 5 3 7" xfId="34164" xr:uid="{00000000-0005-0000-0000-000093720000}"/>
    <cellStyle name="Normal 5 2 5 4" xfId="10701" xr:uid="{00000000-0005-0000-0000-000094720000}"/>
    <cellStyle name="Normal 5 2 5 4 2" xfId="10702" xr:uid="{00000000-0005-0000-0000-000095720000}"/>
    <cellStyle name="Normal 5 2 5 4 2 2" xfId="10703" xr:uid="{00000000-0005-0000-0000-000096720000}"/>
    <cellStyle name="Normal 5 2 5 4 2 2 2" xfId="10704" xr:uid="{00000000-0005-0000-0000-000097720000}"/>
    <cellStyle name="Normal 5 2 5 4 2 2 2 2" xfId="10705" xr:uid="{00000000-0005-0000-0000-000098720000}"/>
    <cellStyle name="Normal 5 2 5 4 2 2 2 2 2" xfId="34192" xr:uid="{00000000-0005-0000-0000-000099720000}"/>
    <cellStyle name="Normal 5 2 5 4 2 2 2 3" xfId="34191" xr:uid="{00000000-0005-0000-0000-00009A720000}"/>
    <cellStyle name="Normal 5 2 5 4 2 2 3" xfId="10706" xr:uid="{00000000-0005-0000-0000-00009B720000}"/>
    <cellStyle name="Normal 5 2 5 4 2 2 3 2" xfId="34193" xr:uid="{00000000-0005-0000-0000-00009C720000}"/>
    <cellStyle name="Normal 5 2 5 4 2 2 4" xfId="34190" xr:uid="{00000000-0005-0000-0000-00009D720000}"/>
    <cellStyle name="Normal 5 2 5 4 2 3" xfId="10707" xr:uid="{00000000-0005-0000-0000-00009E720000}"/>
    <cellStyle name="Normal 5 2 5 4 2 3 2" xfId="10708" xr:uid="{00000000-0005-0000-0000-00009F720000}"/>
    <cellStyle name="Normal 5 2 5 4 2 3 2 2" xfId="34195" xr:uid="{00000000-0005-0000-0000-0000A0720000}"/>
    <cellStyle name="Normal 5 2 5 4 2 3 3" xfId="34194" xr:uid="{00000000-0005-0000-0000-0000A1720000}"/>
    <cellStyle name="Normal 5 2 5 4 2 4" xfId="10709" xr:uid="{00000000-0005-0000-0000-0000A2720000}"/>
    <cellStyle name="Normal 5 2 5 4 2 4 2" xfId="34196" xr:uid="{00000000-0005-0000-0000-0000A3720000}"/>
    <cellStyle name="Normal 5 2 5 4 2 5" xfId="34189" xr:uid="{00000000-0005-0000-0000-0000A4720000}"/>
    <cellStyle name="Normal 5 2 5 4 3" xfId="10710" xr:uid="{00000000-0005-0000-0000-0000A5720000}"/>
    <cellStyle name="Normal 5 2 5 4 3 2" xfId="10711" xr:uid="{00000000-0005-0000-0000-0000A6720000}"/>
    <cellStyle name="Normal 5 2 5 4 3 2 2" xfId="10712" xr:uid="{00000000-0005-0000-0000-0000A7720000}"/>
    <cellStyle name="Normal 5 2 5 4 3 2 2 2" xfId="10713" xr:uid="{00000000-0005-0000-0000-0000A8720000}"/>
    <cellStyle name="Normal 5 2 5 4 3 2 2 2 2" xfId="34200" xr:uid="{00000000-0005-0000-0000-0000A9720000}"/>
    <cellStyle name="Normal 5 2 5 4 3 2 2 3" xfId="34199" xr:uid="{00000000-0005-0000-0000-0000AA720000}"/>
    <cellStyle name="Normal 5 2 5 4 3 2 3" xfId="10714" xr:uid="{00000000-0005-0000-0000-0000AB720000}"/>
    <cellStyle name="Normal 5 2 5 4 3 2 3 2" xfId="34201" xr:uid="{00000000-0005-0000-0000-0000AC720000}"/>
    <cellStyle name="Normal 5 2 5 4 3 2 4" xfId="34198" xr:uid="{00000000-0005-0000-0000-0000AD720000}"/>
    <cellStyle name="Normal 5 2 5 4 3 3" xfId="10715" xr:uid="{00000000-0005-0000-0000-0000AE720000}"/>
    <cellStyle name="Normal 5 2 5 4 3 3 2" xfId="10716" xr:uid="{00000000-0005-0000-0000-0000AF720000}"/>
    <cellStyle name="Normal 5 2 5 4 3 3 2 2" xfId="34203" xr:uid="{00000000-0005-0000-0000-0000B0720000}"/>
    <cellStyle name="Normal 5 2 5 4 3 3 3" xfId="34202" xr:uid="{00000000-0005-0000-0000-0000B1720000}"/>
    <cellStyle name="Normal 5 2 5 4 3 4" xfId="10717" xr:uid="{00000000-0005-0000-0000-0000B2720000}"/>
    <cellStyle name="Normal 5 2 5 4 3 4 2" xfId="34204" xr:uid="{00000000-0005-0000-0000-0000B3720000}"/>
    <cellStyle name="Normal 5 2 5 4 3 5" xfId="34197" xr:uid="{00000000-0005-0000-0000-0000B4720000}"/>
    <cellStyle name="Normal 5 2 5 4 4" xfId="10718" xr:uid="{00000000-0005-0000-0000-0000B5720000}"/>
    <cellStyle name="Normal 5 2 5 4 4 2" xfId="10719" xr:uid="{00000000-0005-0000-0000-0000B6720000}"/>
    <cellStyle name="Normal 5 2 5 4 4 2 2" xfId="10720" xr:uid="{00000000-0005-0000-0000-0000B7720000}"/>
    <cellStyle name="Normal 5 2 5 4 4 2 2 2" xfId="34207" xr:uid="{00000000-0005-0000-0000-0000B8720000}"/>
    <cellStyle name="Normal 5 2 5 4 4 2 3" xfId="34206" xr:uid="{00000000-0005-0000-0000-0000B9720000}"/>
    <cellStyle name="Normal 5 2 5 4 4 3" xfId="10721" xr:uid="{00000000-0005-0000-0000-0000BA720000}"/>
    <cellStyle name="Normal 5 2 5 4 4 3 2" xfId="34208" xr:uid="{00000000-0005-0000-0000-0000BB720000}"/>
    <cellStyle name="Normal 5 2 5 4 4 4" xfId="34205" xr:uid="{00000000-0005-0000-0000-0000BC720000}"/>
    <cellStyle name="Normal 5 2 5 4 5" xfId="10722" xr:uid="{00000000-0005-0000-0000-0000BD720000}"/>
    <cellStyle name="Normal 5 2 5 4 5 2" xfId="10723" xr:uid="{00000000-0005-0000-0000-0000BE720000}"/>
    <cellStyle name="Normal 5 2 5 4 5 2 2" xfId="34210" xr:uid="{00000000-0005-0000-0000-0000BF720000}"/>
    <cellStyle name="Normal 5 2 5 4 5 3" xfId="34209" xr:uid="{00000000-0005-0000-0000-0000C0720000}"/>
    <cellStyle name="Normal 5 2 5 4 6" xfId="10724" xr:uid="{00000000-0005-0000-0000-0000C1720000}"/>
    <cellStyle name="Normal 5 2 5 4 6 2" xfId="34211" xr:uid="{00000000-0005-0000-0000-0000C2720000}"/>
    <cellStyle name="Normal 5 2 5 4 7" xfId="34188" xr:uid="{00000000-0005-0000-0000-0000C3720000}"/>
    <cellStyle name="Normal 5 2 5 5" xfId="10725" xr:uid="{00000000-0005-0000-0000-0000C4720000}"/>
    <cellStyle name="Normal 5 2 5 5 2" xfId="10726" xr:uid="{00000000-0005-0000-0000-0000C5720000}"/>
    <cellStyle name="Normal 5 2 5 5 2 2" xfId="10727" xr:uid="{00000000-0005-0000-0000-0000C6720000}"/>
    <cellStyle name="Normal 5 2 5 5 2 2 2" xfId="10728" xr:uid="{00000000-0005-0000-0000-0000C7720000}"/>
    <cellStyle name="Normal 5 2 5 5 2 2 2 2" xfId="34215" xr:uid="{00000000-0005-0000-0000-0000C8720000}"/>
    <cellStyle name="Normal 5 2 5 5 2 2 3" xfId="34214" xr:uid="{00000000-0005-0000-0000-0000C9720000}"/>
    <cellStyle name="Normal 5 2 5 5 2 3" xfId="10729" xr:uid="{00000000-0005-0000-0000-0000CA720000}"/>
    <cellStyle name="Normal 5 2 5 5 2 3 2" xfId="34216" xr:uid="{00000000-0005-0000-0000-0000CB720000}"/>
    <cellStyle name="Normal 5 2 5 5 2 4" xfId="34213" xr:uid="{00000000-0005-0000-0000-0000CC720000}"/>
    <cellStyle name="Normal 5 2 5 5 3" xfId="10730" xr:uid="{00000000-0005-0000-0000-0000CD720000}"/>
    <cellStyle name="Normal 5 2 5 5 3 2" xfId="10731" xr:uid="{00000000-0005-0000-0000-0000CE720000}"/>
    <cellStyle name="Normal 5 2 5 5 3 2 2" xfId="34218" xr:uid="{00000000-0005-0000-0000-0000CF720000}"/>
    <cellStyle name="Normal 5 2 5 5 3 3" xfId="34217" xr:uid="{00000000-0005-0000-0000-0000D0720000}"/>
    <cellStyle name="Normal 5 2 5 5 4" xfId="10732" xr:uid="{00000000-0005-0000-0000-0000D1720000}"/>
    <cellStyle name="Normal 5 2 5 5 4 2" xfId="34219" xr:uid="{00000000-0005-0000-0000-0000D2720000}"/>
    <cellStyle name="Normal 5 2 5 5 5" xfId="34212" xr:uid="{00000000-0005-0000-0000-0000D3720000}"/>
    <cellStyle name="Normal 5 2 5 6" xfId="10733" xr:uid="{00000000-0005-0000-0000-0000D4720000}"/>
    <cellStyle name="Normal 5 2 5 6 2" xfId="10734" xr:uid="{00000000-0005-0000-0000-0000D5720000}"/>
    <cellStyle name="Normal 5 2 5 6 2 2" xfId="10735" xr:uid="{00000000-0005-0000-0000-0000D6720000}"/>
    <cellStyle name="Normal 5 2 5 6 2 2 2" xfId="10736" xr:uid="{00000000-0005-0000-0000-0000D7720000}"/>
    <cellStyle name="Normal 5 2 5 6 2 2 2 2" xfId="34223" xr:uid="{00000000-0005-0000-0000-0000D8720000}"/>
    <cellStyle name="Normal 5 2 5 6 2 2 3" xfId="34222" xr:uid="{00000000-0005-0000-0000-0000D9720000}"/>
    <cellStyle name="Normal 5 2 5 6 2 3" xfId="10737" xr:uid="{00000000-0005-0000-0000-0000DA720000}"/>
    <cellStyle name="Normal 5 2 5 6 2 3 2" xfId="34224" xr:uid="{00000000-0005-0000-0000-0000DB720000}"/>
    <cellStyle name="Normal 5 2 5 6 2 4" xfId="34221" xr:uid="{00000000-0005-0000-0000-0000DC720000}"/>
    <cellStyle name="Normal 5 2 5 6 3" xfId="10738" xr:uid="{00000000-0005-0000-0000-0000DD720000}"/>
    <cellStyle name="Normal 5 2 5 6 3 2" xfId="10739" xr:uid="{00000000-0005-0000-0000-0000DE720000}"/>
    <cellStyle name="Normal 5 2 5 6 3 2 2" xfId="34226" xr:uid="{00000000-0005-0000-0000-0000DF720000}"/>
    <cellStyle name="Normal 5 2 5 6 3 3" xfId="34225" xr:uid="{00000000-0005-0000-0000-0000E0720000}"/>
    <cellStyle name="Normal 5 2 5 6 4" xfId="10740" xr:uid="{00000000-0005-0000-0000-0000E1720000}"/>
    <cellStyle name="Normal 5 2 5 6 4 2" xfId="34227" xr:uid="{00000000-0005-0000-0000-0000E2720000}"/>
    <cellStyle name="Normal 5 2 5 6 5" xfId="34220" xr:uid="{00000000-0005-0000-0000-0000E3720000}"/>
    <cellStyle name="Normal 5 2 5 7" xfId="10741" xr:uid="{00000000-0005-0000-0000-0000E4720000}"/>
    <cellStyle name="Normal 5 2 5 7 2" xfId="10742" xr:uid="{00000000-0005-0000-0000-0000E5720000}"/>
    <cellStyle name="Normal 5 2 5 7 2 2" xfId="10743" xr:uid="{00000000-0005-0000-0000-0000E6720000}"/>
    <cellStyle name="Normal 5 2 5 7 2 2 2" xfId="34230" xr:uid="{00000000-0005-0000-0000-0000E7720000}"/>
    <cellStyle name="Normal 5 2 5 7 2 3" xfId="34229" xr:uid="{00000000-0005-0000-0000-0000E8720000}"/>
    <cellStyle name="Normal 5 2 5 7 3" xfId="10744" xr:uid="{00000000-0005-0000-0000-0000E9720000}"/>
    <cellStyle name="Normal 5 2 5 7 3 2" xfId="34231" xr:uid="{00000000-0005-0000-0000-0000EA720000}"/>
    <cellStyle name="Normal 5 2 5 7 4" xfId="34228" xr:uid="{00000000-0005-0000-0000-0000EB720000}"/>
    <cellStyle name="Normal 5 2 5 8" xfId="10745" xr:uid="{00000000-0005-0000-0000-0000EC720000}"/>
    <cellStyle name="Normal 5 2 5 8 2" xfId="10746" xr:uid="{00000000-0005-0000-0000-0000ED720000}"/>
    <cellStyle name="Normal 5 2 5 8 2 2" xfId="34233" xr:uid="{00000000-0005-0000-0000-0000EE720000}"/>
    <cellStyle name="Normal 5 2 5 8 3" xfId="34232" xr:uid="{00000000-0005-0000-0000-0000EF720000}"/>
    <cellStyle name="Normal 5 2 5 9" xfId="10747" xr:uid="{00000000-0005-0000-0000-0000F0720000}"/>
    <cellStyle name="Normal 5 2 5 9 2" xfId="34234" xr:uid="{00000000-0005-0000-0000-0000F1720000}"/>
    <cellStyle name="Normal 5 2 6" xfId="10748" xr:uid="{00000000-0005-0000-0000-0000F2720000}"/>
    <cellStyle name="Normal 5 2 6 2" xfId="10749" xr:uid="{00000000-0005-0000-0000-0000F3720000}"/>
    <cellStyle name="Normal 5 2 6 2 2" xfId="10750" xr:uid="{00000000-0005-0000-0000-0000F4720000}"/>
    <cellStyle name="Normal 5 2 6 2 2 2" xfId="10751" xr:uid="{00000000-0005-0000-0000-0000F5720000}"/>
    <cellStyle name="Normal 5 2 6 2 2 2 2" xfId="10752" xr:uid="{00000000-0005-0000-0000-0000F6720000}"/>
    <cellStyle name="Normal 5 2 6 2 2 2 2 2" xfId="34239" xr:uid="{00000000-0005-0000-0000-0000F7720000}"/>
    <cellStyle name="Normal 5 2 6 2 2 2 3" xfId="34238" xr:uid="{00000000-0005-0000-0000-0000F8720000}"/>
    <cellStyle name="Normal 5 2 6 2 2 3" xfId="10753" xr:uid="{00000000-0005-0000-0000-0000F9720000}"/>
    <cellStyle name="Normal 5 2 6 2 2 3 2" xfId="34240" xr:uid="{00000000-0005-0000-0000-0000FA720000}"/>
    <cellStyle name="Normal 5 2 6 2 2 4" xfId="34237" xr:uid="{00000000-0005-0000-0000-0000FB720000}"/>
    <cellStyle name="Normal 5 2 6 2 3" xfId="10754" xr:uid="{00000000-0005-0000-0000-0000FC720000}"/>
    <cellStyle name="Normal 5 2 6 2 3 2" xfId="10755" xr:uid="{00000000-0005-0000-0000-0000FD720000}"/>
    <cellStyle name="Normal 5 2 6 2 3 2 2" xfId="34242" xr:uid="{00000000-0005-0000-0000-0000FE720000}"/>
    <cellStyle name="Normal 5 2 6 2 3 3" xfId="34241" xr:uid="{00000000-0005-0000-0000-0000FF720000}"/>
    <cellStyle name="Normal 5 2 6 2 4" xfId="10756" xr:uid="{00000000-0005-0000-0000-000000730000}"/>
    <cellStyle name="Normal 5 2 6 2 4 2" xfId="34243" xr:uid="{00000000-0005-0000-0000-000001730000}"/>
    <cellStyle name="Normal 5 2 6 2 5" xfId="34236" xr:uid="{00000000-0005-0000-0000-000002730000}"/>
    <cellStyle name="Normal 5 2 6 3" xfId="10757" xr:uid="{00000000-0005-0000-0000-000003730000}"/>
    <cellStyle name="Normal 5 2 6 3 2" xfId="10758" xr:uid="{00000000-0005-0000-0000-000004730000}"/>
    <cellStyle name="Normal 5 2 6 3 2 2" xfId="10759" xr:uid="{00000000-0005-0000-0000-000005730000}"/>
    <cellStyle name="Normal 5 2 6 3 2 2 2" xfId="10760" xr:uid="{00000000-0005-0000-0000-000006730000}"/>
    <cellStyle name="Normal 5 2 6 3 2 2 2 2" xfId="34247" xr:uid="{00000000-0005-0000-0000-000007730000}"/>
    <cellStyle name="Normal 5 2 6 3 2 2 3" xfId="34246" xr:uid="{00000000-0005-0000-0000-000008730000}"/>
    <cellStyle name="Normal 5 2 6 3 2 3" xfId="10761" xr:uid="{00000000-0005-0000-0000-000009730000}"/>
    <cellStyle name="Normal 5 2 6 3 2 3 2" xfId="34248" xr:uid="{00000000-0005-0000-0000-00000A730000}"/>
    <cellStyle name="Normal 5 2 6 3 2 4" xfId="34245" xr:uid="{00000000-0005-0000-0000-00000B730000}"/>
    <cellStyle name="Normal 5 2 6 3 3" xfId="10762" xr:uid="{00000000-0005-0000-0000-00000C730000}"/>
    <cellStyle name="Normal 5 2 6 3 3 2" xfId="10763" xr:uid="{00000000-0005-0000-0000-00000D730000}"/>
    <cellStyle name="Normal 5 2 6 3 3 2 2" xfId="34250" xr:uid="{00000000-0005-0000-0000-00000E730000}"/>
    <cellStyle name="Normal 5 2 6 3 3 3" xfId="34249" xr:uid="{00000000-0005-0000-0000-00000F730000}"/>
    <cellStyle name="Normal 5 2 6 3 4" xfId="10764" xr:uid="{00000000-0005-0000-0000-000010730000}"/>
    <cellStyle name="Normal 5 2 6 3 4 2" xfId="34251" xr:uid="{00000000-0005-0000-0000-000011730000}"/>
    <cellStyle name="Normal 5 2 6 3 5" xfId="34244" xr:uid="{00000000-0005-0000-0000-000012730000}"/>
    <cellStyle name="Normal 5 2 6 4" xfId="10765" xr:uid="{00000000-0005-0000-0000-000013730000}"/>
    <cellStyle name="Normal 5 2 6 4 2" xfId="10766" xr:uid="{00000000-0005-0000-0000-000014730000}"/>
    <cellStyle name="Normal 5 2 6 4 2 2" xfId="10767" xr:uid="{00000000-0005-0000-0000-000015730000}"/>
    <cellStyle name="Normal 5 2 6 4 2 2 2" xfId="34254" xr:uid="{00000000-0005-0000-0000-000016730000}"/>
    <cellStyle name="Normal 5 2 6 4 2 3" xfId="34253" xr:uid="{00000000-0005-0000-0000-000017730000}"/>
    <cellStyle name="Normal 5 2 6 4 3" xfId="10768" xr:uid="{00000000-0005-0000-0000-000018730000}"/>
    <cellStyle name="Normal 5 2 6 4 3 2" xfId="34255" xr:uid="{00000000-0005-0000-0000-000019730000}"/>
    <cellStyle name="Normal 5 2 6 4 4" xfId="34252" xr:uid="{00000000-0005-0000-0000-00001A730000}"/>
    <cellStyle name="Normal 5 2 6 5" xfId="10769" xr:uid="{00000000-0005-0000-0000-00001B730000}"/>
    <cellStyle name="Normal 5 2 6 5 2" xfId="10770" xr:uid="{00000000-0005-0000-0000-00001C730000}"/>
    <cellStyle name="Normal 5 2 6 5 2 2" xfId="34257" xr:uid="{00000000-0005-0000-0000-00001D730000}"/>
    <cellStyle name="Normal 5 2 6 5 3" xfId="34256" xr:uid="{00000000-0005-0000-0000-00001E730000}"/>
    <cellStyle name="Normal 5 2 6 6" xfId="10771" xr:uid="{00000000-0005-0000-0000-00001F730000}"/>
    <cellStyle name="Normal 5 2 6 6 2" xfId="34258" xr:uid="{00000000-0005-0000-0000-000020730000}"/>
    <cellStyle name="Normal 5 2 6 7" xfId="34235" xr:uid="{00000000-0005-0000-0000-000021730000}"/>
    <cellStyle name="Normal 5 2 7" xfId="10772" xr:uid="{00000000-0005-0000-0000-000022730000}"/>
    <cellStyle name="Normal 5 2 7 2" xfId="10773" xr:uid="{00000000-0005-0000-0000-000023730000}"/>
    <cellStyle name="Normal 5 2 7 2 2" xfId="10774" xr:uid="{00000000-0005-0000-0000-000024730000}"/>
    <cellStyle name="Normal 5 2 7 2 2 2" xfId="10775" xr:uid="{00000000-0005-0000-0000-000025730000}"/>
    <cellStyle name="Normal 5 2 7 2 2 2 2" xfId="10776" xr:uid="{00000000-0005-0000-0000-000026730000}"/>
    <cellStyle name="Normal 5 2 7 2 2 2 2 2" xfId="34263" xr:uid="{00000000-0005-0000-0000-000027730000}"/>
    <cellStyle name="Normal 5 2 7 2 2 2 3" xfId="34262" xr:uid="{00000000-0005-0000-0000-000028730000}"/>
    <cellStyle name="Normal 5 2 7 2 2 3" xfId="10777" xr:uid="{00000000-0005-0000-0000-000029730000}"/>
    <cellStyle name="Normal 5 2 7 2 2 3 2" xfId="34264" xr:uid="{00000000-0005-0000-0000-00002A730000}"/>
    <cellStyle name="Normal 5 2 7 2 2 4" xfId="34261" xr:uid="{00000000-0005-0000-0000-00002B730000}"/>
    <cellStyle name="Normal 5 2 7 2 3" xfId="10778" xr:uid="{00000000-0005-0000-0000-00002C730000}"/>
    <cellStyle name="Normal 5 2 7 2 3 2" xfId="10779" xr:uid="{00000000-0005-0000-0000-00002D730000}"/>
    <cellStyle name="Normal 5 2 7 2 3 2 2" xfId="34266" xr:uid="{00000000-0005-0000-0000-00002E730000}"/>
    <cellStyle name="Normal 5 2 7 2 3 3" xfId="34265" xr:uid="{00000000-0005-0000-0000-00002F730000}"/>
    <cellStyle name="Normal 5 2 7 2 4" xfId="10780" xr:uid="{00000000-0005-0000-0000-000030730000}"/>
    <cellStyle name="Normal 5 2 7 2 4 2" xfId="34267" xr:uid="{00000000-0005-0000-0000-000031730000}"/>
    <cellStyle name="Normal 5 2 7 2 5" xfId="34260" xr:uid="{00000000-0005-0000-0000-000032730000}"/>
    <cellStyle name="Normal 5 2 7 3" xfId="10781" xr:uid="{00000000-0005-0000-0000-000033730000}"/>
    <cellStyle name="Normal 5 2 7 3 2" xfId="10782" xr:uid="{00000000-0005-0000-0000-000034730000}"/>
    <cellStyle name="Normal 5 2 7 3 2 2" xfId="10783" xr:uid="{00000000-0005-0000-0000-000035730000}"/>
    <cellStyle name="Normal 5 2 7 3 2 2 2" xfId="10784" xr:uid="{00000000-0005-0000-0000-000036730000}"/>
    <cellStyle name="Normal 5 2 7 3 2 2 2 2" xfId="34271" xr:uid="{00000000-0005-0000-0000-000037730000}"/>
    <cellStyle name="Normal 5 2 7 3 2 2 3" xfId="34270" xr:uid="{00000000-0005-0000-0000-000038730000}"/>
    <cellStyle name="Normal 5 2 7 3 2 3" xfId="10785" xr:uid="{00000000-0005-0000-0000-000039730000}"/>
    <cellStyle name="Normal 5 2 7 3 2 3 2" xfId="34272" xr:uid="{00000000-0005-0000-0000-00003A730000}"/>
    <cellStyle name="Normal 5 2 7 3 2 4" xfId="34269" xr:uid="{00000000-0005-0000-0000-00003B730000}"/>
    <cellStyle name="Normal 5 2 7 3 3" xfId="10786" xr:uid="{00000000-0005-0000-0000-00003C730000}"/>
    <cellStyle name="Normal 5 2 7 3 3 2" xfId="10787" xr:uid="{00000000-0005-0000-0000-00003D730000}"/>
    <cellStyle name="Normal 5 2 7 3 3 2 2" xfId="34274" xr:uid="{00000000-0005-0000-0000-00003E730000}"/>
    <cellStyle name="Normal 5 2 7 3 3 3" xfId="34273" xr:uid="{00000000-0005-0000-0000-00003F730000}"/>
    <cellStyle name="Normal 5 2 7 3 4" xfId="10788" xr:uid="{00000000-0005-0000-0000-000040730000}"/>
    <cellStyle name="Normal 5 2 7 3 4 2" xfId="34275" xr:uid="{00000000-0005-0000-0000-000041730000}"/>
    <cellStyle name="Normal 5 2 7 3 5" xfId="34268" xr:uid="{00000000-0005-0000-0000-000042730000}"/>
    <cellStyle name="Normal 5 2 7 4" xfId="10789" xr:uid="{00000000-0005-0000-0000-000043730000}"/>
    <cellStyle name="Normal 5 2 7 4 2" xfId="10790" xr:uid="{00000000-0005-0000-0000-000044730000}"/>
    <cellStyle name="Normal 5 2 7 4 2 2" xfId="10791" xr:uid="{00000000-0005-0000-0000-000045730000}"/>
    <cellStyle name="Normal 5 2 7 4 2 2 2" xfId="34278" xr:uid="{00000000-0005-0000-0000-000046730000}"/>
    <cellStyle name="Normal 5 2 7 4 2 3" xfId="34277" xr:uid="{00000000-0005-0000-0000-000047730000}"/>
    <cellStyle name="Normal 5 2 7 4 3" xfId="10792" xr:uid="{00000000-0005-0000-0000-000048730000}"/>
    <cellStyle name="Normal 5 2 7 4 3 2" xfId="34279" xr:uid="{00000000-0005-0000-0000-000049730000}"/>
    <cellStyle name="Normal 5 2 7 4 4" xfId="34276" xr:uid="{00000000-0005-0000-0000-00004A730000}"/>
    <cellStyle name="Normal 5 2 7 5" xfId="10793" xr:uid="{00000000-0005-0000-0000-00004B730000}"/>
    <cellStyle name="Normal 5 2 7 5 2" xfId="10794" xr:uid="{00000000-0005-0000-0000-00004C730000}"/>
    <cellStyle name="Normal 5 2 7 5 2 2" xfId="34281" xr:uid="{00000000-0005-0000-0000-00004D730000}"/>
    <cellStyle name="Normal 5 2 7 5 3" xfId="34280" xr:uid="{00000000-0005-0000-0000-00004E730000}"/>
    <cellStyle name="Normal 5 2 7 6" xfId="10795" xr:uid="{00000000-0005-0000-0000-00004F730000}"/>
    <cellStyle name="Normal 5 2 7 6 2" xfId="34282" xr:uid="{00000000-0005-0000-0000-000050730000}"/>
    <cellStyle name="Normal 5 2 7 7" xfId="34259" xr:uid="{00000000-0005-0000-0000-000051730000}"/>
    <cellStyle name="Normal 5 2 8" xfId="10796" xr:uid="{00000000-0005-0000-0000-000052730000}"/>
    <cellStyle name="Normal 5 2 8 2" xfId="10797" xr:uid="{00000000-0005-0000-0000-000053730000}"/>
    <cellStyle name="Normal 5 2 8 2 2" xfId="10798" xr:uid="{00000000-0005-0000-0000-000054730000}"/>
    <cellStyle name="Normal 5 2 8 2 2 2" xfId="10799" xr:uid="{00000000-0005-0000-0000-000055730000}"/>
    <cellStyle name="Normal 5 2 8 2 2 2 2" xfId="10800" xr:uid="{00000000-0005-0000-0000-000056730000}"/>
    <cellStyle name="Normal 5 2 8 2 2 2 2 2" xfId="34287" xr:uid="{00000000-0005-0000-0000-000057730000}"/>
    <cellStyle name="Normal 5 2 8 2 2 2 3" xfId="34286" xr:uid="{00000000-0005-0000-0000-000058730000}"/>
    <cellStyle name="Normal 5 2 8 2 2 3" xfId="10801" xr:uid="{00000000-0005-0000-0000-000059730000}"/>
    <cellStyle name="Normal 5 2 8 2 2 3 2" xfId="34288" xr:uid="{00000000-0005-0000-0000-00005A730000}"/>
    <cellStyle name="Normal 5 2 8 2 2 4" xfId="34285" xr:uid="{00000000-0005-0000-0000-00005B730000}"/>
    <cellStyle name="Normal 5 2 8 2 3" xfId="10802" xr:uid="{00000000-0005-0000-0000-00005C730000}"/>
    <cellStyle name="Normal 5 2 8 2 3 2" xfId="10803" xr:uid="{00000000-0005-0000-0000-00005D730000}"/>
    <cellStyle name="Normal 5 2 8 2 3 2 2" xfId="34290" xr:uid="{00000000-0005-0000-0000-00005E730000}"/>
    <cellStyle name="Normal 5 2 8 2 3 3" xfId="34289" xr:uid="{00000000-0005-0000-0000-00005F730000}"/>
    <cellStyle name="Normal 5 2 8 2 4" xfId="10804" xr:uid="{00000000-0005-0000-0000-000060730000}"/>
    <cellStyle name="Normal 5 2 8 2 4 2" xfId="34291" xr:uid="{00000000-0005-0000-0000-000061730000}"/>
    <cellStyle name="Normal 5 2 8 2 5" xfId="34284" xr:uid="{00000000-0005-0000-0000-000062730000}"/>
    <cellStyle name="Normal 5 2 8 3" xfId="10805" xr:uid="{00000000-0005-0000-0000-000063730000}"/>
    <cellStyle name="Normal 5 2 8 3 2" xfId="10806" xr:uid="{00000000-0005-0000-0000-000064730000}"/>
    <cellStyle name="Normal 5 2 8 3 2 2" xfId="10807" xr:uid="{00000000-0005-0000-0000-000065730000}"/>
    <cellStyle name="Normal 5 2 8 3 2 2 2" xfId="10808" xr:uid="{00000000-0005-0000-0000-000066730000}"/>
    <cellStyle name="Normal 5 2 8 3 2 2 2 2" xfId="34295" xr:uid="{00000000-0005-0000-0000-000067730000}"/>
    <cellStyle name="Normal 5 2 8 3 2 2 3" xfId="34294" xr:uid="{00000000-0005-0000-0000-000068730000}"/>
    <cellStyle name="Normal 5 2 8 3 2 3" xfId="10809" xr:uid="{00000000-0005-0000-0000-000069730000}"/>
    <cellStyle name="Normal 5 2 8 3 2 3 2" xfId="34296" xr:uid="{00000000-0005-0000-0000-00006A730000}"/>
    <cellStyle name="Normal 5 2 8 3 2 4" xfId="34293" xr:uid="{00000000-0005-0000-0000-00006B730000}"/>
    <cellStyle name="Normal 5 2 8 3 3" xfId="10810" xr:uid="{00000000-0005-0000-0000-00006C730000}"/>
    <cellStyle name="Normal 5 2 8 3 3 2" xfId="10811" xr:uid="{00000000-0005-0000-0000-00006D730000}"/>
    <cellStyle name="Normal 5 2 8 3 3 2 2" xfId="34298" xr:uid="{00000000-0005-0000-0000-00006E730000}"/>
    <cellStyle name="Normal 5 2 8 3 3 3" xfId="34297" xr:uid="{00000000-0005-0000-0000-00006F730000}"/>
    <cellStyle name="Normal 5 2 8 3 4" xfId="10812" xr:uid="{00000000-0005-0000-0000-000070730000}"/>
    <cellStyle name="Normal 5 2 8 3 4 2" xfId="34299" xr:uid="{00000000-0005-0000-0000-000071730000}"/>
    <cellStyle name="Normal 5 2 8 3 5" xfId="34292" xr:uid="{00000000-0005-0000-0000-000072730000}"/>
    <cellStyle name="Normal 5 2 8 4" xfId="10813" xr:uid="{00000000-0005-0000-0000-000073730000}"/>
    <cellStyle name="Normal 5 2 8 4 2" xfId="10814" xr:uid="{00000000-0005-0000-0000-000074730000}"/>
    <cellStyle name="Normal 5 2 8 4 2 2" xfId="10815" xr:uid="{00000000-0005-0000-0000-000075730000}"/>
    <cellStyle name="Normal 5 2 8 4 2 2 2" xfId="34302" xr:uid="{00000000-0005-0000-0000-000076730000}"/>
    <cellStyle name="Normal 5 2 8 4 2 3" xfId="34301" xr:uid="{00000000-0005-0000-0000-000077730000}"/>
    <cellStyle name="Normal 5 2 8 4 3" xfId="10816" xr:uid="{00000000-0005-0000-0000-000078730000}"/>
    <cellStyle name="Normal 5 2 8 4 3 2" xfId="34303" xr:uid="{00000000-0005-0000-0000-000079730000}"/>
    <cellStyle name="Normal 5 2 8 4 4" xfId="34300" xr:uid="{00000000-0005-0000-0000-00007A730000}"/>
    <cellStyle name="Normal 5 2 8 5" xfId="10817" xr:uid="{00000000-0005-0000-0000-00007B730000}"/>
    <cellStyle name="Normal 5 2 8 5 2" xfId="10818" xr:uid="{00000000-0005-0000-0000-00007C730000}"/>
    <cellStyle name="Normal 5 2 8 5 2 2" xfId="34305" xr:uid="{00000000-0005-0000-0000-00007D730000}"/>
    <cellStyle name="Normal 5 2 8 5 3" xfId="34304" xr:uid="{00000000-0005-0000-0000-00007E730000}"/>
    <cellStyle name="Normal 5 2 8 6" xfId="10819" xr:uid="{00000000-0005-0000-0000-00007F730000}"/>
    <cellStyle name="Normal 5 2 8 6 2" xfId="34306" xr:uid="{00000000-0005-0000-0000-000080730000}"/>
    <cellStyle name="Normal 5 2 8 7" xfId="34283" xr:uid="{00000000-0005-0000-0000-000081730000}"/>
    <cellStyle name="Normal 5 2 9" xfId="10820" xr:uid="{00000000-0005-0000-0000-000082730000}"/>
    <cellStyle name="Normal 5 2 9 2" xfId="10821" xr:uid="{00000000-0005-0000-0000-000083730000}"/>
    <cellStyle name="Normal 5 2 9 2 2" xfId="10822" xr:uid="{00000000-0005-0000-0000-000084730000}"/>
    <cellStyle name="Normal 5 2 9 2 2 2" xfId="10823" xr:uid="{00000000-0005-0000-0000-000085730000}"/>
    <cellStyle name="Normal 5 2 9 2 2 2 2" xfId="10824" xr:uid="{00000000-0005-0000-0000-000086730000}"/>
    <cellStyle name="Normal 5 2 9 2 2 2 2 2" xfId="34311" xr:uid="{00000000-0005-0000-0000-000087730000}"/>
    <cellStyle name="Normal 5 2 9 2 2 2 3" xfId="34310" xr:uid="{00000000-0005-0000-0000-000088730000}"/>
    <cellStyle name="Normal 5 2 9 2 2 3" xfId="10825" xr:uid="{00000000-0005-0000-0000-000089730000}"/>
    <cellStyle name="Normal 5 2 9 2 2 3 2" xfId="34312" xr:uid="{00000000-0005-0000-0000-00008A730000}"/>
    <cellStyle name="Normal 5 2 9 2 2 4" xfId="34309" xr:uid="{00000000-0005-0000-0000-00008B730000}"/>
    <cellStyle name="Normal 5 2 9 2 3" xfId="10826" xr:uid="{00000000-0005-0000-0000-00008C730000}"/>
    <cellStyle name="Normal 5 2 9 2 3 2" xfId="10827" xr:uid="{00000000-0005-0000-0000-00008D730000}"/>
    <cellStyle name="Normal 5 2 9 2 3 2 2" xfId="34314" xr:uid="{00000000-0005-0000-0000-00008E730000}"/>
    <cellStyle name="Normal 5 2 9 2 3 3" xfId="34313" xr:uid="{00000000-0005-0000-0000-00008F730000}"/>
    <cellStyle name="Normal 5 2 9 2 4" xfId="10828" xr:uid="{00000000-0005-0000-0000-000090730000}"/>
    <cellStyle name="Normal 5 2 9 2 4 2" xfId="34315" xr:uid="{00000000-0005-0000-0000-000091730000}"/>
    <cellStyle name="Normal 5 2 9 2 5" xfId="34308" xr:uid="{00000000-0005-0000-0000-000092730000}"/>
    <cellStyle name="Normal 5 2 9 3" xfId="10829" xr:uid="{00000000-0005-0000-0000-000093730000}"/>
    <cellStyle name="Normal 5 2 9 3 2" xfId="10830" xr:uid="{00000000-0005-0000-0000-000094730000}"/>
    <cellStyle name="Normal 5 2 9 3 2 2" xfId="10831" xr:uid="{00000000-0005-0000-0000-000095730000}"/>
    <cellStyle name="Normal 5 2 9 3 2 2 2" xfId="10832" xr:uid="{00000000-0005-0000-0000-000096730000}"/>
    <cellStyle name="Normal 5 2 9 3 2 2 2 2" xfId="34319" xr:uid="{00000000-0005-0000-0000-000097730000}"/>
    <cellStyle name="Normal 5 2 9 3 2 2 3" xfId="34318" xr:uid="{00000000-0005-0000-0000-000098730000}"/>
    <cellStyle name="Normal 5 2 9 3 2 3" xfId="10833" xr:uid="{00000000-0005-0000-0000-000099730000}"/>
    <cellStyle name="Normal 5 2 9 3 2 3 2" xfId="34320" xr:uid="{00000000-0005-0000-0000-00009A730000}"/>
    <cellStyle name="Normal 5 2 9 3 2 4" xfId="34317" xr:uid="{00000000-0005-0000-0000-00009B730000}"/>
    <cellStyle name="Normal 5 2 9 3 3" xfId="10834" xr:uid="{00000000-0005-0000-0000-00009C730000}"/>
    <cellStyle name="Normal 5 2 9 3 3 2" xfId="10835" xr:uid="{00000000-0005-0000-0000-00009D730000}"/>
    <cellStyle name="Normal 5 2 9 3 3 2 2" xfId="34322" xr:uid="{00000000-0005-0000-0000-00009E730000}"/>
    <cellStyle name="Normal 5 2 9 3 3 3" xfId="34321" xr:uid="{00000000-0005-0000-0000-00009F730000}"/>
    <cellStyle name="Normal 5 2 9 3 4" xfId="10836" xr:uid="{00000000-0005-0000-0000-0000A0730000}"/>
    <cellStyle name="Normal 5 2 9 3 4 2" xfId="34323" xr:uid="{00000000-0005-0000-0000-0000A1730000}"/>
    <cellStyle name="Normal 5 2 9 3 5" xfId="34316" xr:uid="{00000000-0005-0000-0000-0000A2730000}"/>
    <cellStyle name="Normal 5 2 9 4" xfId="10837" xr:uid="{00000000-0005-0000-0000-0000A3730000}"/>
    <cellStyle name="Normal 5 2 9 4 2" xfId="10838" xr:uid="{00000000-0005-0000-0000-0000A4730000}"/>
    <cellStyle name="Normal 5 2 9 4 2 2" xfId="10839" xr:uid="{00000000-0005-0000-0000-0000A5730000}"/>
    <cellStyle name="Normal 5 2 9 4 2 2 2" xfId="34326" xr:uid="{00000000-0005-0000-0000-0000A6730000}"/>
    <cellStyle name="Normal 5 2 9 4 2 3" xfId="34325" xr:uid="{00000000-0005-0000-0000-0000A7730000}"/>
    <cellStyle name="Normal 5 2 9 4 3" xfId="10840" xr:uid="{00000000-0005-0000-0000-0000A8730000}"/>
    <cellStyle name="Normal 5 2 9 4 3 2" xfId="34327" xr:uid="{00000000-0005-0000-0000-0000A9730000}"/>
    <cellStyle name="Normal 5 2 9 4 4" xfId="34324" xr:uid="{00000000-0005-0000-0000-0000AA730000}"/>
    <cellStyle name="Normal 5 2 9 5" xfId="10841" xr:uid="{00000000-0005-0000-0000-0000AB730000}"/>
    <cellStyle name="Normal 5 2 9 5 2" xfId="10842" xr:uid="{00000000-0005-0000-0000-0000AC730000}"/>
    <cellStyle name="Normal 5 2 9 5 2 2" xfId="34329" xr:uid="{00000000-0005-0000-0000-0000AD730000}"/>
    <cellStyle name="Normal 5 2 9 5 3" xfId="34328" xr:uid="{00000000-0005-0000-0000-0000AE730000}"/>
    <cellStyle name="Normal 5 2 9 6" xfId="10843" xr:uid="{00000000-0005-0000-0000-0000AF730000}"/>
    <cellStyle name="Normal 5 2 9 6 2" xfId="34330" xr:uid="{00000000-0005-0000-0000-0000B0730000}"/>
    <cellStyle name="Normal 5 2 9 7" xfId="34307" xr:uid="{00000000-0005-0000-0000-0000B1730000}"/>
    <cellStyle name="Normal 5 3" xfId="131" xr:uid="{00000000-0005-0000-0000-0000B2730000}"/>
    <cellStyle name="Normal 5 3 10" xfId="10845" xr:uid="{00000000-0005-0000-0000-0000B3730000}"/>
    <cellStyle name="Normal 5 3 10 2" xfId="10846" xr:uid="{00000000-0005-0000-0000-0000B4730000}"/>
    <cellStyle name="Normal 5 3 10 2 2" xfId="10847" xr:uid="{00000000-0005-0000-0000-0000B5730000}"/>
    <cellStyle name="Normal 5 3 10 2 2 2" xfId="10848" xr:uid="{00000000-0005-0000-0000-0000B6730000}"/>
    <cellStyle name="Normal 5 3 10 2 2 2 2" xfId="34334" xr:uid="{00000000-0005-0000-0000-0000B7730000}"/>
    <cellStyle name="Normal 5 3 10 2 2 3" xfId="34333" xr:uid="{00000000-0005-0000-0000-0000B8730000}"/>
    <cellStyle name="Normal 5 3 10 2 3" xfId="10849" xr:uid="{00000000-0005-0000-0000-0000B9730000}"/>
    <cellStyle name="Normal 5 3 10 2 3 2" xfId="34335" xr:uid="{00000000-0005-0000-0000-0000BA730000}"/>
    <cellStyle name="Normal 5 3 10 2 4" xfId="34332" xr:uid="{00000000-0005-0000-0000-0000BB730000}"/>
    <cellStyle name="Normal 5 3 10 3" xfId="10850" xr:uid="{00000000-0005-0000-0000-0000BC730000}"/>
    <cellStyle name="Normal 5 3 10 3 2" xfId="10851" xr:uid="{00000000-0005-0000-0000-0000BD730000}"/>
    <cellStyle name="Normal 5 3 10 3 2 2" xfId="34337" xr:uid="{00000000-0005-0000-0000-0000BE730000}"/>
    <cellStyle name="Normal 5 3 10 3 3" xfId="34336" xr:uid="{00000000-0005-0000-0000-0000BF730000}"/>
    <cellStyle name="Normal 5 3 11" xfId="10852" xr:uid="{00000000-0005-0000-0000-0000C0730000}"/>
    <cellStyle name="Normal 5 3 11 2" xfId="10853" xr:uid="{00000000-0005-0000-0000-0000C1730000}"/>
    <cellStyle name="Normal 5 3 11 2 2" xfId="10854" xr:uid="{00000000-0005-0000-0000-0000C2730000}"/>
    <cellStyle name="Normal 5 3 11 2 2 2" xfId="10855" xr:uid="{00000000-0005-0000-0000-0000C3730000}"/>
    <cellStyle name="Normal 5 3 11 2 2 2 2" xfId="34341" xr:uid="{00000000-0005-0000-0000-0000C4730000}"/>
    <cellStyle name="Normal 5 3 11 2 2 3" xfId="34340" xr:uid="{00000000-0005-0000-0000-0000C5730000}"/>
    <cellStyle name="Normal 5 3 11 2 3" xfId="10856" xr:uid="{00000000-0005-0000-0000-0000C6730000}"/>
    <cellStyle name="Normal 5 3 11 2 3 2" xfId="34342" xr:uid="{00000000-0005-0000-0000-0000C7730000}"/>
    <cellStyle name="Normal 5 3 11 2 4" xfId="34339" xr:uid="{00000000-0005-0000-0000-0000C8730000}"/>
    <cellStyle name="Normal 5 3 11 3" xfId="10857" xr:uid="{00000000-0005-0000-0000-0000C9730000}"/>
    <cellStyle name="Normal 5 3 11 3 2" xfId="10858" xr:uid="{00000000-0005-0000-0000-0000CA730000}"/>
    <cellStyle name="Normal 5 3 11 3 2 2" xfId="34344" xr:uid="{00000000-0005-0000-0000-0000CB730000}"/>
    <cellStyle name="Normal 5 3 11 3 3" xfId="34343" xr:uid="{00000000-0005-0000-0000-0000CC730000}"/>
    <cellStyle name="Normal 5 3 11 4" xfId="10859" xr:uid="{00000000-0005-0000-0000-0000CD730000}"/>
    <cellStyle name="Normal 5 3 11 4 2" xfId="34345" xr:uid="{00000000-0005-0000-0000-0000CE730000}"/>
    <cellStyle name="Normal 5 3 11 5" xfId="34338" xr:uid="{00000000-0005-0000-0000-0000CF730000}"/>
    <cellStyle name="Normal 5 3 12" xfId="10860" xr:uid="{00000000-0005-0000-0000-0000D0730000}"/>
    <cellStyle name="Normal 5 3 12 2" xfId="10861" xr:uid="{00000000-0005-0000-0000-0000D1730000}"/>
    <cellStyle name="Normal 5 3 12 2 2" xfId="10862" xr:uid="{00000000-0005-0000-0000-0000D2730000}"/>
    <cellStyle name="Normal 5 3 12 2 2 2" xfId="34348" xr:uid="{00000000-0005-0000-0000-0000D3730000}"/>
    <cellStyle name="Normal 5 3 12 2 3" xfId="34347" xr:uid="{00000000-0005-0000-0000-0000D4730000}"/>
    <cellStyle name="Normal 5 3 12 3" xfId="10863" xr:uid="{00000000-0005-0000-0000-0000D5730000}"/>
    <cellStyle name="Normal 5 3 12 3 2" xfId="34349" xr:uid="{00000000-0005-0000-0000-0000D6730000}"/>
    <cellStyle name="Normal 5 3 12 4" xfId="34346" xr:uid="{00000000-0005-0000-0000-0000D7730000}"/>
    <cellStyle name="Normal 5 3 13" xfId="10864" xr:uid="{00000000-0005-0000-0000-0000D8730000}"/>
    <cellStyle name="Normal 5 3 13 2" xfId="10865" xr:uid="{00000000-0005-0000-0000-0000D9730000}"/>
    <cellStyle name="Normal 5 3 13 2 2" xfId="34351" xr:uid="{00000000-0005-0000-0000-0000DA730000}"/>
    <cellStyle name="Normal 5 3 13 3" xfId="34350" xr:uid="{00000000-0005-0000-0000-0000DB730000}"/>
    <cellStyle name="Normal 5 3 14" xfId="10866" xr:uid="{00000000-0005-0000-0000-0000DC730000}"/>
    <cellStyle name="Normal 5 3 14 2" xfId="34352" xr:uid="{00000000-0005-0000-0000-0000DD730000}"/>
    <cellStyle name="Normal 5 3 15" xfId="10844" xr:uid="{00000000-0005-0000-0000-0000DE730000}"/>
    <cellStyle name="Normal 5 3 15 2" xfId="34331" xr:uid="{00000000-0005-0000-0000-0000DF730000}"/>
    <cellStyle name="Normal 5 3 2" xfId="132" xr:uid="{00000000-0005-0000-0000-0000E0730000}"/>
    <cellStyle name="Normal 5 3 2 10" xfId="10868" xr:uid="{00000000-0005-0000-0000-0000E1730000}"/>
    <cellStyle name="Normal 5 3 2 10 2" xfId="10869" xr:uid="{00000000-0005-0000-0000-0000E2730000}"/>
    <cellStyle name="Normal 5 3 2 10 2 2" xfId="10870" xr:uid="{00000000-0005-0000-0000-0000E3730000}"/>
    <cellStyle name="Normal 5 3 2 10 2 2 2" xfId="10871" xr:uid="{00000000-0005-0000-0000-0000E4730000}"/>
    <cellStyle name="Normal 5 3 2 10 2 2 2 2" xfId="34357" xr:uid="{00000000-0005-0000-0000-0000E5730000}"/>
    <cellStyle name="Normal 5 3 2 10 2 2 3" xfId="34356" xr:uid="{00000000-0005-0000-0000-0000E6730000}"/>
    <cellStyle name="Normal 5 3 2 10 2 3" xfId="10872" xr:uid="{00000000-0005-0000-0000-0000E7730000}"/>
    <cellStyle name="Normal 5 3 2 10 2 3 2" xfId="34358" xr:uid="{00000000-0005-0000-0000-0000E8730000}"/>
    <cellStyle name="Normal 5 3 2 10 2 4" xfId="34355" xr:uid="{00000000-0005-0000-0000-0000E9730000}"/>
    <cellStyle name="Normal 5 3 2 10 3" xfId="10873" xr:uid="{00000000-0005-0000-0000-0000EA730000}"/>
    <cellStyle name="Normal 5 3 2 10 3 2" xfId="10874" xr:uid="{00000000-0005-0000-0000-0000EB730000}"/>
    <cellStyle name="Normal 5 3 2 10 3 2 2" xfId="34360" xr:uid="{00000000-0005-0000-0000-0000EC730000}"/>
    <cellStyle name="Normal 5 3 2 10 3 3" xfId="34359" xr:uid="{00000000-0005-0000-0000-0000ED730000}"/>
    <cellStyle name="Normal 5 3 2 10 4" xfId="10875" xr:uid="{00000000-0005-0000-0000-0000EE730000}"/>
    <cellStyle name="Normal 5 3 2 10 4 2" xfId="34361" xr:uid="{00000000-0005-0000-0000-0000EF730000}"/>
    <cellStyle name="Normal 5 3 2 10 5" xfId="34354" xr:uid="{00000000-0005-0000-0000-0000F0730000}"/>
    <cellStyle name="Normal 5 3 2 11" xfId="10876" xr:uid="{00000000-0005-0000-0000-0000F1730000}"/>
    <cellStyle name="Normal 5 3 2 11 2" xfId="10877" xr:uid="{00000000-0005-0000-0000-0000F2730000}"/>
    <cellStyle name="Normal 5 3 2 11 2 2" xfId="10878" xr:uid="{00000000-0005-0000-0000-0000F3730000}"/>
    <cellStyle name="Normal 5 3 2 11 2 2 2" xfId="34364" xr:uid="{00000000-0005-0000-0000-0000F4730000}"/>
    <cellStyle name="Normal 5 3 2 11 2 3" xfId="34363" xr:uid="{00000000-0005-0000-0000-0000F5730000}"/>
    <cellStyle name="Normal 5 3 2 11 3" xfId="10879" xr:uid="{00000000-0005-0000-0000-0000F6730000}"/>
    <cellStyle name="Normal 5 3 2 11 3 2" xfId="34365" xr:uid="{00000000-0005-0000-0000-0000F7730000}"/>
    <cellStyle name="Normal 5 3 2 11 4" xfId="34362" xr:uid="{00000000-0005-0000-0000-0000F8730000}"/>
    <cellStyle name="Normal 5 3 2 12" xfId="10880" xr:uid="{00000000-0005-0000-0000-0000F9730000}"/>
    <cellStyle name="Normal 5 3 2 12 2" xfId="10881" xr:uid="{00000000-0005-0000-0000-0000FA730000}"/>
    <cellStyle name="Normal 5 3 2 12 2 2" xfId="34367" xr:uid="{00000000-0005-0000-0000-0000FB730000}"/>
    <cellStyle name="Normal 5 3 2 12 3" xfId="34366" xr:uid="{00000000-0005-0000-0000-0000FC730000}"/>
    <cellStyle name="Normal 5 3 2 13" xfId="10882" xr:uid="{00000000-0005-0000-0000-0000FD730000}"/>
    <cellStyle name="Normal 5 3 2 13 2" xfId="34368" xr:uid="{00000000-0005-0000-0000-0000FE730000}"/>
    <cellStyle name="Normal 5 3 2 14" xfId="10867" xr:uid="{00000000-0005-0000-0000-0000FF730000}"/>
    <cellStyle name="Normal 5 3 2 14 2" xfId="34353" xr:uid="{00000000-0005-0000-0000-000000740000}"/>
    <cellStyle name="Normal 5 3 2 2" xfId="10883" xr:uid="{00000000-0005-0000-0000-000001740000}"/>
    <cellStyle name="Normal 5 3 2 2 10" xfId="10884" xr:uid="{00000000-0005-0000-0000-000002740000}"/>
    <cellStyle name="Normal 5 3 2 2 10 2" xfId="34370" xr:uid="{00000000-0005-0000-0000-000003740000}"/>
    <cellStyle name="Normal 5 3 2 2 11" xfId="34369" xr:uid="{00000000-0005-0000-0000-000004740000}"/>
    <cellStyle name="Normal 5 3 2 2 2" xfId="10885" xr:uid="{00000000-0005-0000-0000-000005740000}"/>
    <cellStyle name="Normal 5 3 2 2 2 2" xfId="10886" xr:uid="{00000000-0005-0000-0000-000006740000}"/>
    <cellStyle name="Normal 5 3 2 2 2 2 2" xfId="10887" xr:uid="{00000000-0005-0000-0000-000007740000}"/>
    <cellStyle name="Normal 5 3 2 2 2 2 2 2" xfId="10888" xr:uid="{00000000-0005-0000-0000-000008740000}"/>
    <cellStyle name="Normal 5 3 2 2 2 2 2 2 2" xfId="10889" xr:uid="{00000000-0005-0000-0000-000009740000}"/>
    <cellStyle name="Normal 5 3 2 2 2 2 2 2 2 2" xfId="34375" xr:uid="{00000000-0005-0000-0000-00000A740000}"/>
    <cellStyle name="Normal 5 3 2 2 2 2 2 2 3" xfId="34374" xr:uid="{00000000-0005-0000-0000-00000B740000}"/>
    <cellStyle name="Normal 5 3 2 2 2 2 2 3" xfId="10890" xr:uid="{00000000-0005-0000-0000-00000C740000}"/>
    <cellStyle name="Normal 5 3 2 2 2 2 2 3 2" xfId="34376" xr:uid="{00000000-0005-0000-0000-00000D740000}"/>
    <cellStyle name="Normal 5 3 2 2 2 2 2 4" xfId="34373" xr:uid="{00000000-0005-0000-0000-00000E740000}"/>
    <cellStyle name="Normal 5 3 2 2 2 2 3" xfId="10891" xr:uid="{00000000-0005-0000-0000-00000F740000}"/>
    <cellStyle name="Normal 5 3 2 2 2 2 3 2" xfId="10892" xr:uid="{00000000-0005-0000-0000-000010740000}"/>
    <cellStyle name="Normal 5 3 2 2 2 2 3 2 2" xfId="34378" xr:uid="{00000000-0005-0000-0000-000011740000}"/>
    <cellStyle name="Normal 5 3 2 2 2 2 3 3" xfId="34377" xr:uid="{00000000-0005-0000-0000-000012740000}"/>
    <cellStyle name="Normal 5 3 2 2 2 2 4" xfId="10893" xr:uid="{00000000-0005-0000-0000-000013740000}"/>
    <cellStyle name="Normal 5 3 2 2 2 2 4 2" xfId="34379" xr:uid="{00000000-0005-0000-0000-000014740000}"/>
    <cellStyle name="Normal 5 3 2 2 2 2 5" xfId="34372" xr:uid="{00000000-0005-0000-0000-000015740000}"/>
    <cellStyle name="Normal 5 3 2 2 2 3" xfId="10894" xr:uid="{00000000-0005-0000-0000-000016740000}"/>
    <cellStyle name="Normal 5 3 2 2 2 3 2" xfId="10895" xr:uid="{00000000-0005-0000-0000-000017740000}"/>
    <cellStyle name="Normal 5 3 2 2 2 3 2 2" xfId="10896" xr:uid="{00000000-0005-0000-0000-000018740000}"/>
    <cellStyle name="Normal 5 3 2 2 2 3 2 2 2" xfId="10897" xr:uid="{00000000-0005-0000-0000-000019740000}"/>
    <cellStyle name="Normal 5 3 2 2 2 3 2 2 2 2" xfId="34383" xr:uid="{00000000-0005-0000-0000-00001A740000}"/>
    <cellStyle name="Normal 5 3 2 2 2 3 2 2 3" xfId="34382" xr:uid="{00000000-0005-0000-0000-00001B740000}"/>
    <cellStyle name="Normal 5 3 2 2 2 3 2 3" xfId="10898" xr:uid="{00000000-0005-0000-0000-00001C740000}"/>
    <cellStyle name="Normal 5 3 2 2 2 3 2 3 2" xfId="34384" xr:uid="{00000000-0005-0000-0000-00001D740000}"/>
    <cellStyle name="Normal 5 3 2 2 2 3 2 4" xfId="34381" xr:uid="{00000000-0005-0000-0000-00001E740000}"/>
    <cellStyle name="Normal 5 3 2 2 2 3 3" xfId="10899" xr:uid="{00000000-0005-0000-0000-00001F740000}"/>
    <cellStyle name="Normal 5 3 2 2 2 3 3 2" xfId="10900" xr:uid="{00000000-0005-0000-0000-000020740000}"/>
    <cellStyle name="Normal 5 3 2 2 2 3 3 2 2" xfId="34386" xr:uid="{00000000-0005-0000-0000-000021740000}"/>
    <cellStyle name="Normal 5 3 2 2 2 3 3 3" xfId="34385" xr:uid="{00000000-0005-0000-0000-000022740000}"/>
    <cellStyle name="Normal 5 3 2 2 2 3 4" xfId="10901" xr:uid="{00000000-0005-0000-0000-000023740000}"/>
    <cellStyle name="Normal 5 3 2 2 2 3 4 2" xfId="34387" xr:uid="{00000000-0005-0000-0000-000024740000}"/>
    <cellStyle name="Normal 5 3 2 2 2 3 5" xfId="34380" xr:uid="{00000000-0005-0000-0000-000025740000}"/>
    <cellStyle name="Normal 5 3 2 2 2 4" xfId="10902" xr:uid="{00000000-0005-0000-0000-000026740000}"/>
    <cellStyle name="Normal 5 3 2 2 2 4 2" xfId="10903" xr:uid="{00000000-0005-0000-0000-000027740000}"/>
    <cellStyle name="Normal 5 3 2 2 2 4 2 2" xfId="10904" xr:uid="{00000000-0005-0000-0000-000028740000}"/>
    <cellStyle name="Normal 5 3 2 2 2 4 2 2 2" xfId="34390" xr:uid="{00000000-0005-0000-0000-000029740000}"/>
    <cellStyle name="Normal 5 3 2 2 2 4 2 3" xfId="34389" xr:uid="{00000000-0005-0000-0000-00002A740000}"/>
    <cellStyle name="Normal 5 3 2 2 2 4 3" xfId="10905" xr:uid="{00000000-0005-0000-0000-00002B740000}"/>
    <cellStyle name="Normal 5 3 2 2 2 4 3 2" xfId="34391" xr:uid="{00000000-0005-0000-0000-00002C740000}"/>
    <cellStyle name="Normal 5 3 2 2 2 4 4" xfId="34388" xr:uid="{00000000-0005-0000-0000-00002D740000}"/>
    <cellStyle name="Normal 5 3 2 2 2 5" xfId="10906" xr:uid="{00000000-0005-0000-0000-00002E740000}"/>
    <cellStyle name="Normal 5 3 2 2 2 5 2" xfId="10907" xr:uid="{00000000-0005-0000-0000-00002F740000}"/>
    <cellStyle name="Normal 5 3 2 2 2 5 2 2" xfId="34393" xr:uid="{00000000-0005-0000-0000-000030740000}"/>
    <cellStyle name="Normal 5 3 2 2 2 5 3" xfId="34392" xr:uid="{00000000-0005-0000-0000-000031740000}"/>
    <cellStyle name="Normal 5 3 2 2 2 6" xfId="10908" xr:uid="{00000000-0005-0000-0000-000032740000}"/>
    <cellStyle name="Normal 5 3 2 2 2 6 2" xfId="34394" xr:uid="{00000000-0005-0000-0000-000033740000}"/>
    <cellStyle name="Normal 5 3 2 2 2 7" xfId="34371" xr:uid="{00000000-0005-0000-0000-000034740000}"/>
    <cellStyle name="Normal 5 3 2 2 3" xfId="10909" xr:uid="{00000000-0005-0000-0000-000035740000}"/>
    <cellStyle name="Normal 5 3 2 2 3 2" xfId="10910" xr:uid="{00000000-0005-0000-0000-000036740000}"/>
    <cellStyle name="Normal 5 3 2 2 3 2 2" xfId="10911" xr:uid="{00000000-0005-0000-0000-000037740000}"/>
    <cellStyle name="Normal 5 3 2 2 3 2 2 2" xfId="10912" xr:uid="{00000000-0005-0000-0000-000038740000}"/>
    <cellStyle name="Normal 5 3 2 2 3 2 2 2 2" xfId="10913" xr:uid="{00000000-0005-0000-0000-000039740000}"/>
    <cellStyle name="Normal 5 3 2 2 3 2 2 2 2 2" xfId="34399" xr:uid="{00000000-0005-0000-0000-00003A740000}"/>
    <cellStyle name="Normal 5 3 2 2 3 2 2 2 3" xfId="34398" xr:uid="{00000000-0005-0000-0000-00003B740000}"/>
    <cellStyle name="Normal 5 3 2 2 3 2 2 3" xfId="10914" xr:uid="{00000000-0005-0000-0000-00003C740000}"/>
    <cellStyle name="Normal 5 3 2 2 3 2 2 3 2" xfId="34400" xr:uid="{00000000-0005-0000-0000-00003D740000}"/>
    <cellStyle name="Normal 5 3 2 2 3 2 2 4" xfId="34397" xr:uid="{00000000-0005-0000-0000-00003E740000}"/>
    <cellStyle name="Normal 5 3 2 2 3 2 3" xfId="10915" xr:uid="{00000000-0005-0000-0000-00003F740000}"/>
    <cellStyle name="Normal 5 3 2 2 3 2 3 2" xfId="10916" xr:uid="{00000000-0005-0000-0000-000040740000}"/>
    <cellStyle name="Normal 5 3 2 2 3 2 3 2 2" xfId="34402" xr:uid="{00000000-0005-0000-0000-000041740000}"/>
    <cellStyle name="Normal 5 3 2 2 3 2 3 3" xfId="34401" xr:uid="{00000000-0005-0000-0000-000042740000}"/>
    <cellStyle name="Normal 5 3 2 2 3 2 4" xfId="10917" xr:uid="{00000000-0005-0000-0000-000043740000}"/>
    <cellStyle name="Normal 5 3 2 2 3 2 4 2" xfId="34403" xr:uid="{00000000-0005-0000-0000-000044740000}"/>
    <cellStyle name="Normal 5 3 2 2 3 2 5" xfId="34396" xr:uid="{00000000-0005-0000-0000-000045740000}"/>
    <cellStyle name="Normal 5 3 2 2 3 3" xfId="10918" xr:uid="{00000000-0005-0000-0000-000046740000}"/>
    <cellStyle name="Normal 5 3 2 2 3 3 2" xfId="10919" xr:uid="{00000000-0005-0000-0000-000047740000}"/>
    <cellStyle name="Normal 5 3 2 2 3 3 2 2" xfId="10920" xr:uid="{00000000-0005-0000-0000-000048740000}"/>
    <cellStyle name="Normal 5 3 2 2 3 3 2 2 2" xfId="10921" xr:uid="{00000000-0005-0000-0000-000049740000}"/>
    <cellStyle name="Normal 5 3 2 2 3 3 2 2 2 2" xfId="34407" xr:uid="{00000000-0005-0000-0000-00004A740000}"/>
    <cellStyle name="Normal 5 3 2 2 3 3 2 2 3" xfId="34406" xr:uid="{00000000-0005-0000-0000-00004B740000}"/>
    <cellStyle name="Normal 5 3 2 2 3 3 2 3" xfId="10922" xr:uid="{00000000-0005-0000-0000-00004C740000}"/>
    <cellStyle name="Normal 5 3 2 2 3 3 2 3 2" xfId="34408" xr:uid="{00000000-0005-0000-0000-00004D740000}"/>
    <cellStyle name="Normal 5 3 2 2 3 3 2 4" xfId="34405" xr:uid="{00000000-0005-0000-0000-00004E740000}"/>
    <cellStyle name="Normal 5 3 2 2 3 3 3" xfId="10923" xr:uid="{00000000-0005-0000-0000-00004F740000}"/>
    <cellStyle name="Normal 5 3 2 2 3 3 3 2" xfId="10924" xr:uid="{00000000-0005-0000-0000-000050740000}"/>
    <cellStyle name="Normal 5 3 2 2 3 3 3 2 2" xfId="34410" xr:uid="{00000000-0005-0000-0000-000051740000}"/>
    <cellStyle name="Normal 5 3 2 2 3 3 3 3" xfId="34409" xr:uid="{00000000-0005-0000-0000-000052740000}"/>
    <cellStyle name="Normal 5 3 2 2 3 3 4" xfId="10925" xr:uid="{00000000-0005-0000-0000-000053740000}"/>
    <cellStyle name="Normal 5 3 2 2 3 3 4 2" xfId="34411" xr:uid="{00000000-0005-0000-0000-000054740000}"/>
    <cellStyle name="Normal 5 3 2 2 3 3 5" xfId="34404" xr:uid="{00000000-0005-0000-0000-000055740000}"/>
    <cellStyle name="Normal 5 3 2 2 3 4" xfId="10926" xr:uid="{00000000-0005-0000-0000-000056740000}"/>
    <cellStyle name="Normal 5 3 2 2 3 4 2" xfId="10927" xr:uid="{00000000-0005-0000-0000-000057740000}"/>
    <cellStyle name="Normal 5 3 2 2 3 4 2 2" xfId="10928" xr:uid="{00000000-0005-0000-0000-000058740000}"/>
    <cellStyle name="Normal 5 3 2 2 3 4 2 2 2" xfId="34414" xr:uid="{00000000-0005-0000-0000-000059740000}"/>
    <cellStyle name="Normal 5 3 2 2 3 4 2 3" xfId="34413" xr:uid="{00000000-0005-0000-0000-00005A740000}"/>
    <cellStyle name="Normal 5 3 2 2 3 4 3" xfId="10929" xr:uid="{00000000-0005-0000-0000-00005B740000}"/>
    <cellStyle name="Normal 5 3 2 2 3 4 3 2" xfId="34415" xr:uid="{00000000-0005-0000-0000-00005C740000}"/>
    <cellStyle name="Normal 5 3 2 2 3 4 4" xfId="34412" xr:uid="{00000000-0005-0000-0000-00005D740000}"/>
    <cellStyle name="Normal 5 3 2 2 3 5" xfId="10930" xr:uid="{00000000-0005-0000-0000-00005E740000}"/>
    <cellStyle name="Normal 5 3 2 2 3 5 2" xfId="10931" xr:uid="{00000000-0005-0000-0000-00005F740000}"/>
    <cellStyle name="Normal 5 3 2 2 3 5 2 2" xfId="34417" xr:uid="{00000000-0005-0000-0000-000060740000}"/>
    <cellStyle name="Normal 5 3 2 2 3 5 3" xfId="34416" xr:uid="{00000000-0005-0000-0000-000061740000}"/>
    <cellStyle name="Normal 5 3 2 2 3 6" xfId="10932" xr:uid="{00000000-0005-0000-0000-000062740000}"/>
    <cellStyle name="Normal 5 3 2 2 3 6 2" xfId="34418" xr:uid="{00000000-0005-0000-0000-000063740000}"/>
    <cellStyle name="Normal 5 3 2 2 3 7" xfId="34395" xr:uid="{00000000-0005-0000-0000-000064740000}"/>
    <cellStyle name="Normal 5 3 2 2 4" xfId="10933" xr:uid="{00000000-0005-0000-0000-000065740000}"/>
    <cellStyle name="Normal 5 3 2 2 4 2" xfId="10934" xr:uid="{00000000-0005-0000-0000-000066740000}"/>
    <cellStyle name="Normal 5 3 2 2 4 2 2" xfId="10935" xr:uid="{00000000-0005-0000-0000-000067740000}"/>
    <cellStyle name="Normal 5 3 2 2 4 2 2 2" xfId="10936" xr:uid="{00000000-0005-0000-0000-000068740000}"/>
    <cellStyle name="Normal 5 3 2 2 4 2 2 2 2" xfId="10937" xr:uid="{00000000-0005-0000-0000-000069740000}"/>
    <cellStyle name="Normal 5 3 2 2 4 2 2 2 2 2" xfId="34423" xr:uid="{00000000-0005-0000-0000-00006A740000}"/>
    <cellStyle name="Normal 5 3 2 2 4 2 2 2 3" xfId="34422" xr:uid="{00000000-0005-0000-0000-00006B740000}"/>
    <cellStyle name="Normal 5 3 2 2 4 2 2 3" xfId="10938" xr:uid="{00000000-0005-0000-0000-00006C740000}"/>
    <cellStyle name="Normal 5 3 2 2 4 2 2 3 2" xfId="34424" xr:uid="{00000000-0005-0000-0000-00006D740000}"/>
    <cellStyle name="Normal 5 3 2 2 4 2 2 4" xfId="34421" xr:uid="{00000000-0005-0000-0000-00006E740000}"/>
    <cellStyle name="Normal 5 3 2 2 4 2 3" xfId="10939" xr:uid="{00000000-0005-0000-0000-00006F740000}"/>
    <cellStyle name="Normal 5 3 2 2 4 2 3 2" xfId="10940" xr:uid="{00000000-0005-0000-0000-000070740000}"/>
    <cellStyle name="Normal 5 3 2 2 4 2 3 2 2" xfId="34426" xr:uid="{00000000-0005-0000-0000-000071740000}"/>
    <cellStyle name="Normal 5 3 2 2 4 2 3 3" xfId="34425" xr:uid="{00000000-0005-0000-0000-000072740000}"/>
    <cellStyle name="Normal 5 3 2 2 4 2 4" xfId="10941" xr:uid="{00000000-0005-0000-0000-000073740000}"/>
    <cellStyle name="Normal 5 3 2 2 4 2 4 2" xfId="34427" xr:uid="{00000000-0005-0000-0000-000074740000}"/>
    <cellStyle name="Normal 5 3 2 2 4 2 5" xfId="34420" xr:uid="{00000000-0005-0000-0000-000075740000}"/>
    <cellStyle name="Normal 5 3 2 2 4 3" xfId="10942" xr:uid="{00000000-0005-0000-0000-000076740000}"/>
    <cellStyle name="Normal 5 3 2 2 4 3 2" xfId="10943" xr:uid="{00000000-0005-0000-0000-000077740000}"/>
    <cellStyle name="Normal 5 3 2 2 4 3 2 2" xfId="10944" xr:uid="{00000000-0005-0000-0000-000078740000}"/>
    <cellStyle name="Normal 5 3 2 2 4 3 2 2 2" xfId="10945" xr:uid="{00000000-0005-0000-0000-000079740000}"/>
    <cellStyle name="Normal 5 3 2 2 4 3 2 2 2 2" xfId="34431" xr:uid="{00000000-0005-0000-0000-00007A740000}"/>
    <cellStyle name="Normal 5 3 2 2 4 3 2 2 3" xfId="34430" xr:uid="{00000000-0005-0000-0000-00007B740000}"/>
    <cellStyle name="Normal 5 3 2 2 4 3 2 3" xfId="10946" xr:uid="{00000000-0005-0000-0000-00007C740000}"/>
    <cellStyle name="Normal 5 3 2 2 4 3 2 3 2" xfId="34432" xr:uid="{00000000-0005-0000-0000-00007D740000}"/>
    <cellStyle name="Normal 5 3 2 2 4 3 2 4" xfId="34429" xr:uid="{00000000-0005-0000-0000-00007E740000}"/>
    <cellStyle name="Normal 5 3 2 2 4 3 3" xfId="10947" xr:uid="{00000000-0005-0000-0000-00007F740000}"/>
    <cellStyle name="Normal 5 3 2 2 4 3 3 2" xfId="10948" xr:uid="{00000000-0005-0000-0000-000080740000}"/>
    <cellStyle name="Normal 5 3 2 2 4 3 3 2 2" xfId="34434" xr:uid="{00000000-0005-0000-0000-000081740000}"/>
    <cellStyle name="Normal 5 3 2 2 4 3 3 3" xfId="34433" xr:uid="{00000000-0005-0000-0000-000082740000}"/>
    <cellStyle name="Normal 5 3 2 2 4 3 4" xfId="10949" xr:uid="{00000000-0005-0000-0000-000083740000}"/>
    <cellStyle name="Normal 5 3 2 2 4 3 4 2" xfId="34435" xr:uid="{00000000-0005-0000-0000-000084740000}"/>
    <cellStyle name="Normal 5 3 2 2 4 3 5" xfId="34428" xr:uid="{00000000-0005-0000-0000-000085740000}"/>
    <cellStyle name="Normal 5 3 2 2 4 4" xfId="10950" xr:uid="{00000000-0005-0000-0000-000086740000}"/>
    <cellStyle name="Normal 5 3 2 2 4 4 2" xfId="10951" xr:uid="{00000000-0005-0000-0000-000087740000}"/>
    <cellStyle name="Normal 5 3 2 2 4 4 2 2" xfId="10952" xr:uid="{00000000-0005-0000-0000-000088740000}"/>
    <cellStyle name="Normal 5 3 2 2 4 4 2 2 2" xfId="34438" xr:uid="{00000000-0005-0000-0000-000089740000}"/>
    <cellStyle name="Normal 5 3 2 2 4 4 2 3" xfId="34437" xr:uid="{00000000-0005-0000-0000-00008A740000}"/>
    <cellStyle name="Normal 5 3 2 2 4 4 3" xfId="10953" xr:uid="{00000000-0005-0000-0000-00008B740000}"/>
    <cellStyle name="Normal 5 3 2 2 4 4 3 2" xfId="34439" xr:uid="{00000000-0005-0000-0000-00008C740000}"/>
    <cellStyle name="Normal 5 3 2 2 4 4 4" xfId="34436" xr:uid="{00000000-0005-0000-0000-00008D740000}"/>
    <cellStyle name="Normal 5 3 2 2 4 5" xfId="10954" xr:uid="{00000000-0005-0000-0000-00008E740000}"/>
    <cellStyle name="Normal 5 3 2 2 4 5 2" xfId="10955" xr:uid="{00000000-0005-0000-0000-00008F740000}"/>
    <cellStyle name="Normal 5 3 2 2 4 5 2 2" xfId="34441" xr:uid="{00000000-0005-0000-0000-000090740000}"/>
    <cellStyle name="Normal 5 3 2 2 4 5 3" xfId="34440" xr:uid="{00000000-0005-0000-0000-000091740000}"/>
    <cellStyle name="Normal 5 3 2 2 4 6" xfId="10956" xr:uid="{00000000-0005-0000-0000-000092740000}"/>
    <cellStyle name="Normal 5 3 2 2 4 6 2" xfId="34442" xr:uid="{00000000-0005-0000-0000-000093740000}"/>
    <cellStyle name="Normal 5 3 2 2 4 7" xfId="34419" xr:uid="{00000000-0005-0000-0000-000094740000}"/>
    <cellStyle name="Normal 5 3 2 2 5" xfId="10957" xr:uid="{00000000-0005-0000-0000-000095740000}"/>
    <cellStyle name="Normal 5 3 2 2 5 2" xfId="10958" xr:uid="{00000000-0005-0000-0000-000096740000}"/>
    <cellStyle name="Normal 5 3 2 2 5 2 2" xfId="10959" xr:uid="{00000000-0005-0000-0000-000097740000}"/>
    <cellStyle name="Normal 5 3 2 2 5 2 2 2" xfId="10960" xr:uid="{00000000-0005-0000-0000-000098740000}"/>
    <cellStyle name="Normal 5 3 2 2 5 2 2 2 2" xfId="10961" xr:uid="{00000000-0005-0000-0000-000099740000}"/>
    <cellStyle name="Normal 5 3 2 2 5 2 2 2 2 2" xfId="34447" xr:uid="{00000000-0005-0000-0000-00009A740000}"/>
    <cellStyle name="Normal 5 3 2 2 5 2 2 2 3" xfId="34446" xr:uid="{00000000-0005-0000-0000-00009B740000}"/>
    <cellStyle name="Normal 5 3 2 2 5 2 2 3" xfId="10962" xr:uid="{00000000-0005-0000-0000-00009C740000}"/>
    <cellStyle name="Normal 5 3 2 2 5 2 2 3 2" xfId="34448" xr:uid="{00000000-0005-0000-0000-00009D740000}"/>
    <cellStyle name="Normal 5 3 2 2 5 2 2 4" xfId="34445" xr:uid="{00000000-0005-0000-0000-00009E740000}"/>
    <cellStyle name="Normal 5 3 2 2 5 2 3" xfId="10963" xr:uid="{00000000-0005-0000-0000-00009F740000}"/>
    <cellStyle name="Normal 5 3 2 2 5 2 3 2" xfId="10964" xr:uid="{00000000-0005-0000-0000-0000A0740000}"/>
    <cellStyle name="Normal 5 3 2 2 5 2 3 2 2" xfId="34450" xr:uid="{00000000-0005-0000-0000-0000A1740000}"/>
    <cellStyle name="Normal 5 3 2 2 5 2 3 3" xfId="34449" xr:uid="{00000000-0005-0000-0000-0000A2740000}"/>
    <cellStyle name="Normal 5 3 2 2 5 2 4" xfId="10965" xr:uid="{00000000-0005-0000-0000-0000A3740000}"/>
    <cellStyle name="Normal 5 3 2 2 5 2 4 2" xfId="34451" xr:uid="{00000000-0005-0000-0000-0000A4740000}"/>
    <cellStyle name="Normal 5 3 2 2 5 2 5" xfId="34444" xr:uid="{00000000-0005-0000-0000-0000A5740000}"/>
    <cellStyle name="Normal 5 3 2 2 5 3" xfId="10966" xr:uid="{00000000-0005-0000-0000-0000A6740000}"/>
    <cellStyle name="Normal 5 3 2 2 5 3 2" xfId="10967" xr:uid="{00000000-0005-0000-0000-0000A7740000}"/>
    <cellStyle name="Normal 5 3 2 2 5 3 2 2" xfId="10968" xr:uid="{00000000-0005-0000-0000-0000A8740000}"/>
    <cellStyle name="Normal 5 3 2 2 5 3 2 2 2" xfId="10969" xr:uid="{00000000-0005-0000-0000-0000A9740000}"/>
    <cellStyle name="Normal 5 3 2 2 5 3 2 2 2 2" xfId="34455" xr:uid="{00000000-0005-0000-0000-0000AA740000}"/>
    <cellStyle name="Normal 5 3 2 2 5 3 2 2 3" xfId="34454" xr:uid="{00000000-0005-0000-0000-0000AB740000}"/>
    <cellStyle name="Normal 5 3 2 2 5 3 2 3" xfId="10970" xr:uid="{00000000-0005-0000-0000-0000AC740000}"/>
    <cellStyle name="Normal 5 3 2 2 5 3 2 3 2" xfId="34456" xr:uid="{00000000-0005-0000-0000-0000AD740000}"/>
    <cellStyle name="Normal 5 3 2 2 5 3 2 4" xfId="34453" xr:uid="{00000000-0005-0000-0000-0000AE740000}"/>
    <cellStyle name="Normal 5 3 2 2 5 3 3" xfId="10971" xr:uid="{00000000-0005-0000-0000-0000AF740000}"/>
    <cellStyle name="Normal 5 3 2 2 5 3 3 2" xfId="10972" xr:uid="{00000000-0005-0000-0000-0000B0740000}"/>
    <cellStyle name="Normal 5 3 2 2 5 3 3 2 2" xfId="34458" xr:uid="{00000000-0005-0000-0000-0000B1740000}"/>
    <cellStyle name="Normal 5 3 2 2 5 3 3 3" xfId="34457" xr:uid="{00000000-0005-0000-0000-0000B2740000}"/>
    <cellStyle name="Normal 5 3 2 2 5 3 4" xfId="10973" xr:uid="{00000000-0005-0000-0000-0000B3740000}"/>
    <cellStyle name="Normal 5 3 2 2 5 3 4 2" xfId="34459" xr:uid="{00000000-0005-0000-0000-0000B4740000}"/>
    <cellStyle name="Normal 5 3 2 2 5 3 5" xfId="34452" xr:uid="{00000000-0005-0000-0000-0000B5740000}"/>
    <cellStyle name="Normal 5 3 2 2 5 4" xfId="10974" xr:uid="{00000000-0005-0000-0000-0000B6740000}"/>
    <cellStyle name="Normal 5 3 2 2 5 4 2" xfId="10975" xr:uid="{00000000-0005-0000-0000-0000B7740000}"/>
    <cellStyle name="Normal 5 3 2 2 5 4 2 2" xfId="10976" xr:uid="{00000000-0005-0000-0000-0000B8740000}"/>
    <cellStyle name="Normal 5 3 2 2 5 4 2 2 2" xfId="34462" xr:uid="{00000000-0005-0000-0000-0000B9740000}"/>
    <cellStyle name="Normal 5 3 2 2 5 4 2 3" xfId="34461" xr:uid="{00000000-0005-0000-0000-0000BA740000}"/>
    <cellStyle name="Normal 5 3 2 2 5 4 3" xfId="10977" xr:uid="{00000000-0005-0000-0000-0000BB740000}"/>
    <cellStyle name="Normal 5 3 2 2 5 4 3 2" xfId="34463" xr:uid="{00000000-0005-0000-0000-0000BC740000}"/>
    <cellStyle name="Normal 5 3 2 2 5 4 4" xfId="34460" xr:uid="{00000000-0005-0000-0000-0000BD740000}"/>
    <cellStyle name="Normal 5 3 2 2 5 5" xfId="10978" xr:uid="{00000000-0005-0000-0000-0000BE740000}"/>
    <cellStyle name="Normal 5 3 2 2 5 5 2" xfId="10979" xr:uid="{00000000-0005-0000-0000-0000BF740000}"/>
    <cellStyle name="Normal 5 3 2 2 5 5 2 2" xfId="34465" xr:uid="{00000000-0005-0000-0000-0000C0740000}"/>
    <cellStyle name="Normal 5 3 2 2 5 5 3" xfId="34464" xr:uid="{00000000-0005-0000-0000-0000C1740000}"/>
    <cellStyle name="Normal 5 3 2 2 5 6" xfId="10980" xr:uid="{00000000-0005-0000-0000-0000C2740000}"/>
    <cellStyle name="Normal 5 3 2 2 5 6 2" xfId="34466" xr:uid="{00000000-0005-0000-0000-0000C3740000}"/>
    <cellStyle name="Normal 5 3 2 2 5 7" xfId="34443" xr:uid="{00000000-0005-0000-0000-0000C4740000}"/>
    <cellStyle name="Normal 5 3 2 2 6" xfId="10981" xr:uid="{00000000-0005-0000-0000-0000C5740000}"/>
    <cellStyle name="Normal 5 3 2 2 6 2" xfId="10982" xr:uid="{00000000-0005-0000-0000-0000C6740000}"/>
    <cellStyle name="Normal 5 3 2 2 6 2 2" xfId="10983" xr:uid="{00000000-0005-0000-0000-0000C7740000}"/>
    <cellStyle name="Normal 5 3 2 2 6 2 2 2" xfId="10984" xr:uid="{00000000-0005-0000-0000-0000C8740000}"/>
    <cellStyle name="Normal 5 3 2 2 6 2 2 2 2" xfId="34470" xr:uid="{00000000-0005-0000-0000-0000C9740000}"/>
    <cellStyle name="Normal 5 3 2 2 6 2 2 3" xfId="34469" xr:uid="{00000000-0005-0000-0000-0000CA740000}"/>
    <cellStyle name="Normal 5 3 2 2 6 2 3" xfId="10985" xr:uid="{00000000-0005-0000-0000-0000CB740000}"/>
    <cellStyle name="Normal 5 3 2 2 6 2 3 2" xfId="34471" xr:uid="{00000000-0005-0000-0000-0000CC740000}"/>
    <cellStyle name="Normal 5 3 2 2 6 2 4" xfId="34468" xr:uid="{00000000-0005-0000-0000-0000CD740000}"/>
    <cellStyle name="Normal 5 3 2 2 6 3" xfId="10986" xr:uid="{00000000-0005-0000-0000-0000CE740000}"/>
    <cellStyle name="Normal 5 3 2 2 6 3 2" xfId="10987" xr:uid="{00000000-0005-0000-0000-0000CF740000}"/>
    <cellStyle name="Normal 5 3 2 2 6 3 2 2" xfId="34473" xr:uid="{00000000-0005-0000-0000-0000D0740000}"/>
    <cellStyle name="Normal 5 3 2 2 6 3 3" xfId="34472" xr:uid="{00000000-0005-0000-0000-0000D1740000}"/>
    <cellStyle name="Normal 5 3 2 2 6 4" xfId="10988" xr:uid="{00000000-0005-0000-0000-0000D2740000}"/>
    <cellStyle name="Normal 5 3 2 2 6 4 2" xfId="34474" xr:uid="{00000000-0005-0000-0000-0000D3740000}"/>
    <cellStyle name="Normal 5 3 2 2 6 5" xfId="34467" xr:uid="{00000000-0005-0000-0000-0000D4740000}"/>
    <cellStyle name="Normal 5 3 2 2 7" xfId="10989" xr:uid="{00000000-0005-0000-0000-0000D5740000}"/>
    <cellStyle name="Normal 5 3 2 2 7 2" xfId="10990" xr:uid="{00000000-0005-0000-0000-0000D6740000}"/>
    <cellStyle name="Normal 5 3 2 2 7 2 2" xfId="10991" xr:uid="{00000000-0005-0000-0000-0000D7740000}"/>
    <cellStyle name="Normal 5 3 2 2 7 2 2 2" xfId="10992" xr:uid="{00000000-0005-0000-0000-0000D8740000}"/>
    <cellStyle name="Normal 5 3 2 2 7 2 2 2 2" xfId="34478" xr:uid="{00000000-0005-0000-0000-0000D9740000}"/>
    <cellStyle name="Normal 5 3 2 2 7 2 2 3" xfId="34477" xr:uid="{00000000-0005-0000-0000-0000DA740000}"/>
    <cellStyle name="Normal 5 3 2 2 7 2 3" xfId="10993" xr:uid="{00000000-0005-0000-0000-0000DB740000}"/>
    <cellStyle name="Normal 5 3 2 2 7 2 3 2" xfId="34479" xr:uid="{00000000-0005-0000-0000-0000DC740000}"/>
    <cellStyle name="Normal 5 3 2 2 7 2 4" xfId="34476" xr:uid="{00000000-0005-0000-0000-0000DD740000}"/>
    <cellStyle name="Normal 5 3 2 2 7 3" xfId="10994" xr:uid="{00000000-0005-0000-0000-0000DE740000}"/>
    <cellStyle name="Normal 5 3 2 2 7 3 2" xfId="10995" xr:uid="{00000000-0005-0000-0000-0000DF740000}"/>
    <cellStyle name="Normal 5 3 2 2 7 3 2 2" xfId="34481" xr:uid="{00000000-0005-0000-0000-0000E0740000}"/>
    <cellStyle name="Normal 5 3 2 2 7 3 3" xfId="34480" xr:uid="{00000000-0005-0000-0000-0000E1740000}"/>
    <cellStyle name="Normal 5 3 2 2 7 4" xfId="10996" xr:uid="{00000000-0005-0000-0000-0000E2740000}"/>
    <cellStyle name="Normal 5 3 2 2 7 4 2" xfId="34482" xr:uid="{00000000-0005-0000-0000-0000E3740000}"/>
    <cellStyle name="Normal 5 3 2 2 7 5" xfId="34475" xr:uid="{00000000-0005-0000-0000-0000E4740000}"/>
    <cellStyle name="Normal 5 3 2 2 8" xfId="10997" xr:uid="{00000000-0005-0000-0000-0000E5740000}"/>
    <cellStyle name="Normal 5 3 2 2 8 2" xfId="10998" xr:uid="{00000000-0005-0000-0000-0000E6740000}"/>
    <cellStyle name="Normal 5 3 2 2 8 2 2" xfId="10999" xr:uid="{00000000-0005-0000-0000-0000E7740000}"/>
    <cellStyle name="Normal 5 3 2 2 8 2 2 2" xfId="34485" xr:uid="{00000000-0005-0000-0000-0000E8740000}"/>
    <cellStyle name="Normal 5 3 2 2 8 2 3" xfId="34484" xr:uid="{00000000-0005-0000-0000-0000E9740000}"/>
    <cellStyle name="Normal 5 3 2 2 8 3" xfId="11000" xr:uid="{00000000-0005-0000-0000-0000EA740000}"/>
    <cellStyle name="Normal 5 3 2 2 8 3 2" xfId="34486" xr:uid="{00000000-0005-0000-0000-0000EB740000}"/>
    <cellStyle name="Normal 5 3 2 2 8 4" xfId="34483" xr:uid="{00000000-0005-0000-0000-0000EC740000}"/>
    <cellStyle name="Normal 5 3 2 2 9" xfId="11001" xr:uid="{00000000-0005-0000-0000-0000ED740000}"/>
    <cellStyle name="Normal 5 3 2 2 9 2" xfId="11002" xr:uid="{00000000-0005-0000-0000-0000EE740000}"/>
    <cellStyle name="Normal 5 3 2 2 9 2 2" xfId="34488" xr:uid="{00000000-0005-0000-0000-0000EF740000}"/>
    <cellStyle name="Normal 5 3 2 2 9 3" xfId="34487" xr:uid="{00000000-0005-0000-0000-0000F0740000}"/>
    <cellStyle name="Normal 5 3 2 3" xfId="11003" xr:uid="{00000000-0005-0000-0000-0000F1740000}"/>
    <cellStyle name="Normal 5 3 2 3 10" xfId="34489" xr:uid="{00000000-0005-0000-0000-0000F2740000}"/>
    <cellStyle name="Normal 5 3 2 3 2" xfId="11004" xr:uid="{00000000-0005-0000-0000-0000F3740000}"/>
    <cellStyle name="Normal 5 3 2 3 2 2" xfId="11005" xr:uid="{00000000-0005-0000-0000-0000F4740000}"/>
    <cellStyle name="Normal 5 3 2 3 2 2 2" xfId="11006" xr:uid="{00000000-0005-0000-0000-0000F5740000}"/>
    <cellStyle name="Normal 5 3 2 3 2 2 2 2" xfId="11007" xr:uid="{00000000-0005-0000-0000-0000F6740000}"/>
    <cellStyle name="Normal 5 3 2 3 2 2 2 2 2" xfId="11008" xr:uid="{00000000-0005-0000-0000-0000F7740000}"/>
    <cellStyle name="Normal 5 3 2 3 2 2 2 2 2 2" xfId="34494" xr:uid="{00000000-0005-0000-0000-0000F8740000}"/>
    <cellStyle name="Normal 5 3 2 3 2 2 2 2 3" xfId="34493" xr:uid="{00000000-0005-0000-0000-0000F9740000}"/>
    <cellStyle name="Normal 5 3 2 3 2 2 2 3" xfId="11009" xr:uid="{00000000-0005-0000-0000-0000FA740000}"/>
    <cellStyle name="Normal 5 3 2 3 2 2 2 3 2" xfId="34495" xr:uid="{00000000-0005-0000-0000-0000FB740000}"/>
    <cellStyle name="Normal 5 3 2 3 2 2 2 4" xfId="34492" xr:uid="{00000000-0005-0000-0000-0000FC740000}"/>
    <cellStyle name="Normal 5 3 2 3 2 2 3" xfId="11010" xr:uid="{00000000-0005-0000-0000-0000FD740000}"/>
    <cellStyle name="Normal 5 3 2 3 2 2 3 2" xfId="11011" xr:uid="{00000000-0005-0000-0000-0000FE740000}"/>
    <cellStyle name="Normal 5 3 2 3 2 2 3 2 2" xfId="34497" xr:uid="{00000000-0005-0000-0000-0000FF740000}"/>
    <cellStyle name="Normal 5 3 2 3 2 2 3 3" xfId="34496" xr:uid="{00000000-0005-0000-0000-000000750000}"/>
    <cellStyle name="Normal 5 3 2 3 2 2 4" xfId="11012" xr:uid="{00000000-0005-0000-0000-000001750000}"/>
    <cellStyle name="Normal 5 3 2 3 2 2 4 2" xfId="34498" xr:uid="{00000000-0005-0000-0000-000002750000}"/>
    <cellStyle name="Normal 5 3 2 3 2 2 5" xfId="34491" xr:uid="{00000000-0005-0000-0000-000003750000}"/>
    <cellStyle name="Normal 5 3 2 3 2 3" xfId="11013" xr:uid="{00000000-0005-0000-0000-000004750000}"/>
    <cellStyle name="Normal 5 3 2 3 2 3 2" xfId="11014" xr:uid="{00000000-0005-0000-0000-000005750000}"/>
    <cellStyle name="Normal 5 3 2 3 2 3 2 2" xfId="11015" xr:uid="{00000000-0005-0000-0000-000006750000}"/>
    <cellStyle name="Normal 5 3 2 3 2 3 2 2 2" xfId="11016" xr:uid="{00000000-0005-0000-0000-000007750000}"/>
    <cellStyle name="Normal 5 3 2 3 2 3 2 2 2 2" xfId="34502" xr:uid="{00000000-0005-0000-0000-000008750000}"/>
    <cellStyle name="Normal 5 3 2 3 2 3 2 2 3" xfId="34501" xr:uid="{00000000-0005-0000-0000-000009750000}"/>
    <cellStyle name="Normal 5 3 2 3 2 3 2 3" xfId="11017" xr:uid="{00000000-0005-0000-0000-00000A750000}"/>
    <cellStyle name="Normal 5 3 2 3 2 3 2 3 2" xfId="34503" xr:uid="{00000000-0005-0000-0000-00000B750000}"/>
    <cellStyle name="Normal 5 3 2 3 2 3 2 4" xfId="34500" xr:uid="{00000000-0005-0000-0000-00000C750000}"/>
    <cellStyle name="Normal 5 3 2 3 2 3 3" xfId="11018" xr:uid="{00000000-0005-0000-0000-00000D750000}"/>
    <cellStyle name="Normal 5 3 2 3 2 3 3 2" xfId="11019" xr:uid="{00000000-0005-0000-0000-00000E750000}"/>
    <cellStyle name="Normal 5 3 2 3 2 3 3 2 2" xfId="34505" xr:uid="{00000000-0005-0000-0000-00000F750000}"/>
    <cellStyle name="Normal 5 3 2 3 2 3 3 3" xfId="34504" xr:uid="{00000000-0005-0000-0000-000010750000}"/>
    <cellStyle name="Normal 5 3 2 3 2 3 4" xfId="11020" xr:uid="{00000000-0005-0000-0000-000011750000}"/>
    <cellStyle name="Normal 5 3 2 3 2 3 4 2" xfId="34506" xr:uid="{00000000-0005-0000-0000-000012750000}"/>
    <cellStyle name="Normal 5 3 2 3 2 3 5" xfId="34499" xr:uid="{00000000-0005-0000-0000-000013750000}"/>
    <cellStyle name="Normal 5 3 2 3 2 4" xfId="11021" xr:uid="{00000000-0005-0000-0000-000014750000}"/>
    <cellStyle name="Normal 5 3 2 3 2 4 2" xfId="11022" xr:uid="{00000000-0005-0000-0000-000015750000}"/>
    <cellStyle name="Normal 5 3 2 3 2 4 2 2" xfId="11023" xr:uid="{00000000-0005-0000-0000-000016750000}"/>
    <cellStyle name="Normal 5 3 2 3 2 4 2 2 2" xfId="34509" xr:uid="{00000000-0005-0000-0000-000017750000}"/>
    <cellStyle name="Normal 5 3 2 3 2 4 2 3" xfId="34508" xr:uid="{00000000-0005-0000-0000-000018750000}"/>
    <cellStyle name="Normal 5 3 2 3 2 4 3" xfId="11024" xr:uid="{00000000-0005-0000-0000-000019750000}"/>
    <cellStyle name="Normal 5 3 2 3 2 4 3 2" xfId="34510" xr:uid="{00000000-0005-0000-0000-00001A750000}"/>
    <cellStyle name="Normal 5 3 2 3 2 4 4" xfId="34507" xr:uid="{00000000-0005-0000-0000-00001B750000}"/>
    <cellStyle name="Normal 5 3 2 3 2 5" xfId="11025" xr:uid="{00000000-0005-0000-0000-00001C750000}"/>
    <cellStyle name="Normal 5 3 2 3 2 5 2" xfId="11026" xr:uid="{00000000-0005-0000-0000-00001D750000}"/>
    <cellStyle name="Normal 5 3 2 3 2 5 2 2" xfId="34512" xr:uid="{00000000-0005-0000-0000-00001E750000}"/>
    <cellStyle name="Normal 5 3 2 3 2 5 3" xfId="34511" xr:uid="{00000000-0005-0000-0000-00001F750000}"/>
    <cellStyle name="Normal 5 3 2 3 2 6" xfId="11027" xr:uid="{00000000-0005-0000-0000-000020750000}"/>
    <cellStyle name="Normal 5 3 2 3 2 6 2" xfId="34513" xr:uid="{00000000-0005-0000-0000-000021750000}"/>
    <cellStyle name="Normal 5 3 2 3 2 7" xfId="34490" xr:uid="{00000000-0005-0000-0000-000022750000}"/>
    <cellStyle name="Normal 5 3 2 3 3" xfId="11028" xr:uid="{00000000-0005-0000-0000-000023750000}"/>
    <cellStyle name="Normal 5 3 2 3 3 2" xfId="11029" xr:uid="{00000000-0005-0000-0000-000024750000}"/>
    <cellStyle name="Normal 5 3 2 3 3 2 2" xfId="11030" xr:uid="{00000000-0005-0000-0000-000025750000}"/>
    <cellStyle name="Normal 5 3 2 3 3 2 2 2" xfId="11031" xr:uid="{00000000-0005-0000-0000-000026750000}"/>
    <cellStyle name="Normal 5 3 2 3 3 2 2 2 2" xfId="11032" xr:uid="{00000000-0005-0000-0000-000027750000}"/>
    <cellStyle name="Normal 5 3 2 3 3 2 2 2 2 2" xfId="34518" xr:uid="{00000000-0005-0000-0000-000028750000}"/>
    <cellStyle name="Normal 5 3 2 3 3 2 2 2 3" xfId="34517" xr:uid="{00000000-0005-0000-0000-000029750000}"/>
    <cellStyle name="Normal 5 3 2 3 3 2 2 3" xfId="11033" xr:uid="{00000000-0005-0000-0000-00002A750000}"/>
    <cellStyle name="Normal 5 3 2 3 3 2 2 3 2" xfId="34519" xr:uid="{00000000-0005-0000-0000-00002B750000}"/>
    <cellStyle name="Normal 5 3 2 3 3 2 2 4" xfId="34516" xr:uid="{00000000-0005-0000-0000-00002C750000}"/>
    <cellStyle name="Normal 5 3 2 3 3 2 3" xfId="11034" xr:uid="{00000000-0005-0000-0000-00002D750000}"/>
    <cellStyle name="Normal 5 3 2 3 3 2 3 2" xfId="11035" xr:uid="{00000000-0005-0000-0000-00002E750000}"/>
    <cellStyle name="Normal 5 3 2 3 3 2 3 2 2" xfId="34521" xr:uid="{00000000-0005-0000-0000-00002F750000}"/>
    <cellStyle name="Normal 5 3 2 3 3 2 3 3" xfId="34520" xr:uid="{00000000-0005-0000-0000-000030750000}"/>
    <cellStyle name="Normal 5 3 2 3 3 2 4" xfId="11036" xr:uid="{00000000-0005-0000-0000-000031750000}"/>
    <cellStyle name="Normal 5 3 2 3 3 2 4 2" xfId="34522" xr:uid="{00000000-0005-0000-0000-000032750000}"/>
    <cellStyle name="Normal 5 3 2 3 3 2 5" xfId="34515" xr:uid="{00000000-0005-0000-0000-000033750000}"/>
    <cellStyle name="Normal 5 3 2 3 3 3" xfId="11037" xr:uid="{00000000-0005-0000-0000-000034750000}"/>
    <cellStyle name="Normal 5 3 2 3 3 3 2" xfId="11038" xr:uid="{00000000-0005-0000-0000-000035750000}"/>
    <cellStyle name="Normal 5 3 2 3 3 3 2 2" xfId="11039" xr:uid="{00000000-0005-0000-0000-000036750000}"/>
    <cellStyle name="Normal 5 3 2 3 3 3 2 2 2" xfId="11040" xr:uid="{00000000-0005-0000-0000-000037750000}"/>
    <cellStyle name="Normal 5 3 2 3 3 3 2 2 2 2" xfId="34526" xr:uid="{00000000-0005-0000-0000-000038750000}"/>
    <cellStyle name="Normal 5 3 2 3 3 3 2 2 3" xfId="34525" xr:uid="{00000000-0005-0000-0000-000039750000}"/>
    <cellStyle name="Normal 5 3 2 3 3 3 2 3" xfId="11041" xr:uid="{00000000-0005-0000-0000-00003A750000}"/>
    <cellStyle name="Normal 5 3 2 3 3 3 2 3 2" xfId="34527" xr:uid="{00000000-0005-0000-0000-00003B750000}"/>
    <cellStyle name="Normal 5 3 2 3 3 3 2 4" xfId="34524" xr:uid="{00000000-0005-0000-0000-00003C750000}"/>
    <cellStyle name="Normal 5 3 2 3 3 3 3" xfId="11042" xr:uid="{00000000-0005-0000-0000-00003D750000}"/>
    <cellStyle name="Normal 5 3 2 3 3 3 3 2" xfId="11043" xr:uid="{00000000-0005-0000-0000-00003E750000}"/>
    <cellStyle name="Normal 5 3 2 3 3 3 3 2 2" xfId="34529" xr:uid="{00000000-0005-0000-0000-00003F750000}"/>
    <cellStyle name="Normal 5 3 2 3 3 3 3 3" xfId="34528" xr:uid="{00000000-0005-0000-0000-000040750000}"/>
    <cellStyle name="Normal 5 3 2 3 3 3 4" xfId="11044" xr:uid="{00000000-0005-0000-0000-000041750000}"/>
    <cellStyle name="Normal 5 3 2 3 3 3 4 2" xfId="34530" xr:uid="{00000000-0005-0000-0000-000042750000}"/>
    <cellStyle name="Normal 5 3 2 3 3 3 5" xfId="34523" xr:uid="{00000000-0005-0000-0000-000043750000}"/>
    <cellStyle name="Normal 5 3 2 3 3 4" xfId="11045" xr:uid="{00000000-0005-0000-0000-000044750000}"/>
    <cellStyle name="Normal 5 3 2 3 3 4 2" xfId="11046" xr:uid="{00000000-0005-0000-0000-000045750000}"/>
    <cellStyle name="Normal 5 3 2 3 3 4 2 2" xfId="11047" xr:uid="{00000000-0005-0000-0000-000046750000}"/>
    <cellStyle name="Normal 5 3 2 3 3 4 2 2 2" xfId="34533" xr:uid="{00000000-0005-0000-0000-000047750000}"/>
    <cellStyle name="Normal 5 3 2 3 3 4 2 3" xfId="34532" xr:uid="{00000000-0005-0000-0000-000048750000}"/>
    <cellStyle name="Normal 5 3 2 3 3 4 3" xfId="11048" xr:uid="{00000000-0005-0000-0000-000049750000}"/>
    <cellStyle name="Normal 5 3 2 3 3 4 3 2" xfId="34534" xr:uid="{00000000-0005-0000-0000-00004A750000}"/>
    <cellStyle name="Normal 5 3 2 3 3 4 4" xfId="34531" xr:uid="{00000000-0005-0000-0000-00004B750000}"/>
    <cellStyle name="Normal 5 3 2 3 3 5" xfId="11049" xr:uid="{00000000-0005-0000-0000-00004C750000}"/>
    <cellStyle name="Normal 5 3 2 3 3 5 2" xfId="11050" xr:uid="{00000000-0005-0000-0000-00004D750000}"/>
    <cellStyle name="Normal 5 3 2 3 3 5 2 2" xfId="34536" xr:uid="{00000000-0005-0000-0000-00004E750000}"/>
    <cellStyle name="Normal 5 3 2 3 3 5 3" xfId="34535" xr:uid="{00000000-0005-0000-0000-00004F750000}"/>
    <cellStyle name="Normal 5 3 2 3 3 6" xfId="11051" xr:uid="{00000000-0005-0000-0000-000050750000}"/>
    <cellStyle name="Normal 5 3 2 3 3 6 2" xfId="34537" xr:uid="{00000000-0005-0000-0000-000051750000}"/>
    <cellStyle name="Normal 5 3 2 3 3 7" xfId="34514" xr:uid="{00000000-0005-0000-0000-000052750000}"/>
    <cellStyle name="Normal 5 3 2 3 4" xfId="11052" xr:uid="{00000000-0005-0000-0000-000053750000}"/>
    <cellStyle name="Normal 5 3 2 3 4 2" xfId="11053" xr:uid="{00000000-0005-0000-0000-000054750000}"/>
    <cellStyle name="Normal 5 3 2 3 4 2 2" xfId="11054" xr:uid="{00000000-0005-0000-0000-000055750000}"/>
    <cellStyle name="Normal 5 3 2 3 4 2 2 2" xfId="11055" xr:uid="{00000000-0005-0000-0000-000056750000}"/>
    <cellStyle name="Normal 5 3 2 3 4 2 2 2 2" xfId="11056" xr:uid="{00000000-0005-0000-0000-000057750000}"/>
    <cellStyle name="Normal 5 3 2 3 4 2 2 2 2 2" xfId="34542" xr:uid="{00000000-0005-0000-0000-000058750000}"/>
    <cellStyle name="Normal 5 3 2 3 4 2 2 2 3" xfId="34541" xr:uid="{00000000-0005-0000-0000-000059750000}"/>
    <cellStyle name="Normal 5 3 2 3 4 2 2 3" xfId="11057" xr:uid="{00000000-0005-0000-0000-00005A750000}"/>
    <cellStyle name="Normal 5 3 2 3 4 2 2 3 2" xfId="34543" xr:uid="{00000000-0005-0000-0000-00005B750000}"/>
    <cellStyle name="Normal 5 3 2 3 4 2 2 4" xfId="34540" xr:uid="{00000000-0005-0000-0000-00005C750000}"/>
    <cellStyle name="Normal 5 3 2 3 4 2 3" xfId="11058" xr:uid="{00000000-0005-0000-0000-00005D750000}"/>
    <cellStyle name="Normal 5 3 2 3 4 2 3 2" xfId="11059" xr:uid="{00000000-0005-0000-0000-00005E750000}"/>
    <cellStyle name="Normal 5 3 2 3 4 2 3 2 2" xfId="34545" xr:uid="{00000000-0005-0000-0000-00005F750000}"/>
    <cellStyle name="Normal 5 3 2 3 4 2 3 3" xfId="34544" xr:uid="{00000000-0005-0000-0000-000060750000}"/>
    <cellStyle name="Normal 5 3 2 3 4 2 4" xfId="11060" xr:uid="{00000000-0005-0000-0000-000061750000}"/>
    <cellStyle name="Normal 5 3 2 3 4 2 4 2" xfId="34546" xr:uid="{00000000-0005-0000-0000-000062750000}"/>
    <cellStyle name="Normal 5 3 2 3 4 2 5" xfId="34539" xr:uid="{00000000-0005-0000-0000-000063750000}"/>
    <cellStyle name="Normal 5 3 2 3 4 3" xfId="11061" xr:uid="{00000000-0005-0000-0000-000064750000}"/>
    <cellStyle name="Normal 5 3 2 3 4 3 2" xfId="11062" xr:uid="{00000000-0005-0000-0000-000065750000}"/>
    <cellStyle name="Normal 5 3 2 3 4 3 2 2" xfId="11063" xr:uid="{00000000-0005-0000-0000-000066750000}"/>
    <cellStyle name="Normal 5 3 2 3 4 3 2 2 2" xfId="11064" xr:uid="{00000000-0005-0000-0000-000067750000}"/>
    <cellStyle name="Normal 5 3 2 3 4 3 2 2 2 2" xfId="34550" xr:uid="{00000000-0005-0000-0000-000068750000}"/>
    <cellStyle name="Normal 5 3 2 3 4 3 2 2 3" xfId="34549" xr:uid="{00000000-0005-0000-0000-000069750000}"/>
    <cellStyle name="Normal 5 3 2 3 4 3 2 3" xfId="11065" xr:uid="{00000000-0005-0000-0000-00006A750000}"/>
    <cellStyle name="Normal 5 3 2 3 4 3 2 3 2" xfId="34551" xr:uid="{00000000-0005-0000-0000-00006B750000}"/>
    <cellStyle name="Normal 5 3 2 3 4 3 2 4" xfId="34548" xr:uid="{00000000-0005-0000-0000-00006C750000}"/>
    <cellStyle name="Normal 5 3 2 3 4 3 3" xfId="11066" xr:uid="{00000000-0005-0000-0000-00006D750000}"/>
    <cellStyle name="Normal 5 3 2 3 4 3 3 2" xfId="11067" xr:uid="{00000000-0005-0000-0000-00006E750000}"/>
    <cellStyle name="Normal 5 3 2 3 4 3 3 2 2" xfId="34553" xr:uid="{00000000-0005-0000-0000-00006F750000}"/>
    <cellStyle name="Normal 5 3 2 3 4 3 3 3" xfId="34552" xr:uid="{00000000-0005-0000-0000-000070750000}"/>
    <cellStyle name="Normal 5 3 2 3 4 3 4" xfId="11068" xr:uid="{00000000-0005-0000-0000-000071750000}"/>
    <cellStyle name="Normal 5 3 2 3 4 3 4 2" xfId="34554" xr:uid="{00000000-0005-0000-0000-000072750000}"/>
    <cellStyle name="Normal 5 3 2 3 4 3 5" xfId="34547" xr:uid="{00000000-0005-0000-0000-000073750000}"/>
    <cellStyle name="Normal 5 3 2 3 4 4" xfId="11069" xr:uid="{00000000-0005-0000-0000-000074750000}"/>
    <cellStyle name="Normal 5 3 2 3 4 4 2" xfId="11070" xr:uid="{00000000-0005-0000-0000-000075750000}"/>
    <cellStyle name="Normal 5 3 2 3 4 4 2 2" xfId="11071" xr:uid="{00000000-0005-0000-0000-000076750000}"/>
    <cellStyle name="Normal 5 3 2 3 4 4 2 2 2" xfId="34557" xr:uid="{00000000-0005-0000-0000-000077750000}"/>
    <cellStyle name="Normal 5 3 2 3 4 4 2 3" xfId="34556" xr:uid="{00000000-0005-0000-0000-000078750000}"/>
    <cellStyle name="Normal 5 3 2 3 4 4 3" xfId="11072" xr:uid="{00000000-0005-0000-0000-000079750000}"/>
    <cellStyle name="Normal 5 3 2 3 4 4 3 2" xfId="34558" xr:uid="{00000000-0005-0000-0000-00007A750000}"/>
    <cellStyle name="Normal 5 3 2 3 4 4 4" xfId="34555" xr:uid="{00000000-0005-0000-0000-00007B750000}"/>
    <cellStyle name="Normal 5 3 2 3 4 5" xfId="11073" xr:uid="{00000000-0005-0000-0000-00007C750000}"/>
    <cellStyle name="Normal 5 3 2 3 4 5 2" xfId="11074" xr:uid="{00000000-0005-0000-0000-00007D750000}"/>
    <cellStyle name="Normal 5 3 2 3 4 5 2 2" xfId="34560" xr:uid="{00000000-0005-0000-0000-00007E750000}"/>
    <cellStyle name="Normal 5 3 2 3 4 5 3" xfId="34559" xr:uid="{00000000-0005-0000-0000-00007F750000}"/>
    <cellStyle name="Normal 5 3 2 3 4 6" xfId="11075" xr:uid="{00000000-0005-0000-0000-000080750000}"/>
    <cellStyle name="Normal 5 3 2 3 4 6 2" xfId="34561" xr:uid="{00000000-0005-0000-0000-000081750000}"/>
    <cellStyle name="Normal 5 3 2 3 4 7" xfId="34538" xr:uid="{00000000-0005-0000-0000-000082750000}"/>
    <cellStyle name="Normal 5 3 2 3 5" xfId="11076" xr:uid="{00000000-0005-0000-0000-000083750000}"/>
    <cellStyle name="Normal 5 3 2 3 5 2" xfId="11077" xr:uid="{00000000-0005-0000-0000-000084750000}"/>
    <cellStyle name="Normal 5 3 2 3 5 2 2" xfId="11078" xr:uid="{00000000-0005-0000-0000-000085750000}"/>
    <cellStyle name="Normal 5 3 2 3 5 2 2 2" xfId="11079" xr:uid="{00000000-0005-0000-0000-000086750000}"/>
    <cellStyle name="Normal 5 3 2 3 5 2 2 2 2" xfId="34565" xr:uid="{00000000-0005-0000-0000-000087750000}"/>
    <cellStyle name="Normal 5 3 2 3 5 2 2 3" xfId="34564" xr:uid="{00000000-0005-0000-0000-000088750000}"/>
    <cellStyle name="Normal 5 3 2 3 5 2 3" xfId="11080" xr:uid="{00000000-0005-0000-0000-000089750000}"/>
    <cellStyle name="Normal 5 3 2 3 5 2 3 2" xfId="34566" xr:uid="{00000000-0005-0000-0000-00008A750000}"/>
    <cellStyle name="Normal 5 3 2 3 5 2 4" xfId="34563" xr:uid="{00000000-0005-0000-0000-00008B750000}"/>
    <cellStyle name="Normal 5 3 2 3 5 3" xfId="11081" xr:uid="{00000000-0005-0000-0000-00008C750000}"/>
    <cellStyle name="Normal 5 3 2 3 5 3 2" xfId="11082" xr:uid="{00000000-0005-0000-0000-00008D750000}"/>
    <cellStyle name="Normal 5 3 2 3 5 3 2 2" xfId="34568" xr:uid="{00000000-0005-0000-0000-00008E750000}"/>
    <cellStyle name="Normal 5 3 2 3 5 3 3" xfId="34567" xr:uid="{00000000-0005-0000-0000-00008F750000}"/>
    <cellStyle name="Normal 5 3 2 3 5 4" xfId="11083" xr:uid="{00000000-0005-0000-0000-000090750000}"/>
    <cellStyle name="Normal 5 3 2 3 5 4 2" xfId="34569" xr:uid="{00000000-0005-0000-0000-000091750000}"/>
    <cellStyle name="Normal 5 3 2 3 5 5" xfId="34562" xr:uid="{00000000-0005-0000-0000-000092750000}"/>
    <cellStyle name="Normal 5 3 2 3 6" xfId="11084" xr:uid="{00000000-0005-0000-0000-000093750000}"/>
    <cellStyle name="Normal 5 3 2 3 6 2" xfId="11085" xr:uid="{00000000-0005-0000-0000-000094750000}"/>
    <cellStyle name="Normal 5 3 2 3 6 2 2" xfId="11086" xr:uid="{00000000-0005-0000-0000-000095750000}"/>
    <cellStyle name="Normal 5 3 2 3 6 2 2 2" xfId="11087" xr:uid="{00000000-0005-0000-0000-000096750000}"/>
    <cellStyle name="Normal 5 3 2 3 6 2 2 2 2" xfId="34573" xr:uid="{00000000-0005-0000-0000-000097750000}"/>
    <cellStyle name="Normal 5 3 2 3 6 2 2 3" xfId="34572" xr:uid="{00000000-0005-0000-0000-000098750000}"/>
    <cellStyle name="Normal 5 3 2 3 6 2 3" xfId="11088" xr:uid="{00000000-0005-0000-0000-000099750000}"/>
    <cellStyle name="Normal 5 3 2 3 6 2 3 2" xfId="34574" xr:uid="{00000000-0005-0000-0000-00009A750000}"/>
    <cellStyle name="Normal 5 3 2 3 6 2 4" xfId="34571" xr:uid="{00000000-0005-0000-0000-00009B750000}"/>
    <cellStyle name="Normal 5 3 2 3 6 3" xfId="11089" xr:uid="{00000000-0005-0000-0000-00009C750000}"/>
    <cellStyle name="Normal 5 3 2 3 6 3 2" xfId="11090" xr:uid="{00000000-0005-0000-0000-00009D750000}"/>
    <cellStyle name="Normal 5 3 2 3 6 3 2 2" xfId="34576" xr:uid="{00000000-0005-0000-0000-00009E750000}"/>
    <cellStyle name="Normal 5 3 2 3 6 3 3" xfId="34575" xr:uid="{00000000-0005-0000-0000-00009F750000}"/>
    <cellStyle name="Normal 5 3 2 3 6 4" xfId="11091" xr:uid="{00000000-0005-0000-0000-0000A0750000}"/>
    <cellStyle name="Normal 5 3 2 3 6 4 2" xfId="34577" xr:uid="{00000000-0005-0000-0000-0000A1750000}"/>
    <cellStyle name="Normal 5 3 2 3 6 5" xfId="34570" xr:uid="{00000000-0005-0000-0000-0000A2750000}"/>
    <cellStyle name="Normal 5 3 2 3 7" xfId="11092" xr:uid="{00000000-0005-0000-0000-0000A3750000}"/>
    <cellStyle name="Normal 5 3 2 3 7 2" xfId="11093" xr:uid="{00000000-0005-0000-0000-0000A4750000}"/>
    <cellStyle name="Normal 5 3 2 3 7 2 2" xfId="11094" xr:uid="{00000000-0005-0000-0000-0000A5750000}"/>
    <cellStyle name="Normal 5 3 2 3 7 2 2 2" xfId="34580" xr:uid="{00000000-0005-0000-0000-0000A6750000}"/>
    <cellStyle name="Normal 5 3 2 3 7 2 3" xfId="34579" xr:uid="{00000000-0005-0000-0000-0000A7750000}"/>
    <cellStyle name="Normal 5 3 2 3 7 3" xfId="11095" xr:uid="{00000000-0005-0000-0000-0000A8750000}"/>
    <cellStyle name="Normal 5 3 2 3 7 3 2" xfId="34581" xr:uid="{00000000-0005-0000-0000-0000A9750000}"/>
    <cellStyle name="Normal 5 3 2 3 7 4" xfId="34578" xr:uid="{00000000-0005-0000-0000-0000AA750000}"/>
    <cellStyle name="Normal 5 3 2 3 8" xfId="11096" xr:uid="{00000000-0005-0000-0000-0000AB750000}"/>
    <cellStyle name="Normal 5 3 2 3 8 2" xfId="11097" xr:uid="{00000000-0005-0000-0000-0000AC750000}"/>
    <cellStyle name="Normal 5 3 2 3 8 2 2" xfId="34583" xr:uid="{00000000-0005-0000-0000-0000AD750000}"/>
    <cellStyle name="Normal 5 3 2 3 8 3" xfId="34582" xr:uid="{00000000-0005-0000-0000-0000AE750000}"/>
    <cellStyle name="Normal 5 3 2 3 9" xfId="11098" xr:uid="{00000000-0005-0000-0000-0000AF750000}"/>
    <cellStyle name="Normal 5 3 2 3 9 2" xfId="34584" xr:uid="{00000000-0005-0000-0000-0000B0750000}"/>
    <cellStyle name="Normal 5 3 2 4" xfId="11099" xr:uid="{00000000-0005-0000-0000-0000B1750000}"/>
    <cellStyle name="Normal 5 3 2 4 10" xfId="34585" xr:uid="{00000000-0005-0000-0000-0000B2750000}"/>
    <cellStyle name="Normal 5 3 2 4 2" xfId="11100" xr:uid="{00000000-0005-0000-0000-0000B3750000}"/>
    <cellStyle name="Normal 5 3 2 4 2 2" xfId="11101" xr:uid="{00000000-0005-0000-0000-0000B4750000}"/>
    <cellStyle name="Normal 5 3 2 4 2 2 2" xfId="11102" xr:uid="{00000000-0005-0000-0000-0000B5750000}"/>
    <cellStyle name="Normal 5 3 2 4 2 2 2 2" xfId="11103" xr:uid="{00000000-0005-0000-0000-0000B6750000}"/>
    <cellStyle name="Normal 5 3 2 4 2 2 2 2 2" xfId="11104" xr:uid="{00000000-0005-0000-0000-0000B7750000}"/>
    <cellStyle name="Normal 5 3 2 4 2 2 2 2 2 2" xfId="34590" xr:uid="{00000000-0005-0000-0000-0000B8750000}"/>
    <cellStyle name="Normal 5 3 2 4 2 2 2 2 3" xfId="34589" xr:uid="{00000000-0005-0000-0000-0000B9750000}"/>
    <cellStyle name="Normal 5 3 2 4 2 2 2 3" xfId="11105" xr:uid="{00000000-0005-0000-0000-0000BA750000}"/>
    <cellStyle name="Normal 5 3 2 4 2 2 2 3 2" xfId="34591" xr:uid="{00000000-0005-0000-0000-0000BB750000}"/>
    <cellStyle name="Normal 5 3 2 4 2 2 2 4" xfId="34588" xr:uid="{00000000-0005-0000-0000-0000BC750000}"/>
    <cellStyle name="Normal 5 3 2 4 2 2 3" xfId="11106" xr:uid="{00000000-0005-0000-0000-0000BD750000}"/>
    <cellStyle name="Normal 5 3 2 4 2 2 3 2" xfId="11107" xr:uid="{00000000-0005-0000-0000-0000BE750000}"/>
    <cellStyle name="Normal 5 3 2 4 2 2 3 2 2" xfId="34593" xr:uid="{00000000-0005-0000-0000-0000BF750000}"/>
    <cellStyle name="Normal 5 3 2 4 2 2 3 3" xfId="34592" xr:uid="{00000000-0005-0000-0000-0000C0750000}"/>
    <cellStyle name="Normal 5 3 2 4 2 2 4" xfId="11108" xr:uid="{00000000-0005-0000-0000-0000C1750000}"/>
    <cellStyle name="Normal 5 3 2 4 2 2 4 2" xfId="34594" xr:uid="{00000000-0005-0000-0000-0000C2750000}"/>
    <cellStyle name="Normal 5 3 2 4 2 2 5" xfId="34587" xr:uid="{00000000-0005-0000-0000-0000C3750000}"/>
    <cellStyle name="Normal 5 3 2 4 2 3" xfId="11109" xr:uid="{00000000-0005-0000-0000-0000C4750000}"/>
    <cellStyle name="Normal 5 3 2 4 2 3 2" xfId="11110" xr:uid="{00000000-0005-0000-0000-0000C5750000}"/>
    <cellStyle name="Normal 5 3 2 4 2 3 2 2" xfId="11111" xr:uid="{00000000-0005-0000-0000-0000C6750000}"/>
    <cellStyle name="Normal 5 3 2 4 2 3 2 2 2" xfId="11112" xr:uid="{00000000-0005-0000-0000-0000C7750000}"/>
    <cellStyle name="Normal 5 3 2 4 2 3 2 2 2 2" xfId="34598" xr:uid="{00000000-0005-0000-0000-0000C8750000}"/>
    <cellStyle name="Normal 5 3 2 4 2 3 2 2 3" xfId="34597" xr:uid="{00000000-0005-0000-0000-0000C9750000}"/>
    <cellStyle name="Normal 5 3 2 4 2 3 2 3" xfId="11113" xr:uid="{00000000-0005-0000-0000-0000CA750000}"/>
    <cellStyle name="Normal 5 3 2 4 2 3 2 3 2" xfId="34599" xr:uid="{00000000-0005-0000-0000-0000CB750000}"/>
    <cellStyle name="Normal 5 3 2 4 2 3 2 4" xfId="34596" xr:uid="{00000000-0005-0000-0000-0000CC750000}"/>
    <cellStyle name="Normal 5 3 2 4 2 3 3" xfId="11114" xr:uid="{00000000-0005-0000-0000-0000CD750000}"/>
    <cellStyle name="Normal 5 3 2 4 2 3 3 2" xfId="11115" xr:uid="{00000000-0005-0000-0000-0000CE750000}"/>
    <cellStyle name="Normal 5 3 2 4 2 3 3 2 2" xfId="34601" xr:uid="{00000000-0005-0000-0000-0000CF750000}"/>
    <cellStyle name="Normal 5 3 2 4 2 3 3 3" xfId="34600" xr:uid="{00000000-0005-0000-0000-0000D0750000}"/>
    <cellStyle name="Normal 5 3 2 4 2 3 4" xfId="11116" xr:uid="{00000000-0005-0000-0000-0000D1750000}"/>
    <cellStyle name="Normal 5 3 2 4 2 3 4 2" xfId="34602" xr:uid="{00000000-0005-0000-0000-0000D2750000}"/>
    <cellStyle name="Normal 5 3 2 4 2 3 5" xfId="34595" xr:uid="{00000000-0005-0000-0000-0000D3750000}"/>
    <cellStyle name="Normal 5 3 2 4 2 4" xfId="11117" xr:uid="{00000000-0005-0000-0000-0000D4750000}"/>
    <cellStyle name="Normal 5 3 2 4 2 4 2" xfId="11118" xr:uid="{00000000-0005-0000-0000-0000D5750000}"/>
    <cellStyle name="Normal 5 3 2 4 2 4 2 2" xfId="11119" xr:uid="{00000000-0005-0000-0000-0000D6750000}"/>
    <cellStyle name="Normal 5 3 2 4 2 4 2 2 2" xfId="34605" xr:uid="{00000000-0005-0000-0000-0000D7750000}"/>
    <cellStyle name="Normal 5 3 2 4 2 4 2 3" xfId="34604" xr:uid="{00000000-0005-0000-0000-0000D8750000}"/>
    <cellStyle name="Normal 5 3 2 4 2 4 3" xfId="11120" xr:uid="{00000000-0005-0000-0000-0000D9750000}"/>
    <cellStyle name="Normal 5 3 2 4 2 4 3 2" xfId="34606" xr:uid="{00000000-0005-0000-0000-0000DA750000}"/>
    <cellStyle name="Normal 5 3 2 4 2 4 4" xfId="34603" xr:uid="{00000000-0005-0000-0000-0000DB750000}"/>
    <cellStyle name="Normal 5 3 2 4 2 5" xfId="11121" xr:uid="{00000000-0005-0000-0000-0000DC750000}"/>
    <cellStyle name="Normal 5 3 2 4 2 5 2" xfId="11122" xr:uid="{00000000-0005-0000-0000-0000DD750000}"/>
    <cellStyle name="Normal 5 3 2 4 2 5 2 2" xfId="34608" xr:uid="{00000000-0005-0000-0000-0000DE750000}"/>
    <cellStyle name="Normal 5 3 2 4 2 5 3" xfId="34607" xr:uid="{00000000-0005-0000-0000-0000DF750000}"/>
    <cellStyle name="Normal 5 3 2 4 2 6" xfId="11123" xr:uid="{00000000-0005-0000-0000-0000E0750000}"/>
    <cellStyle name="Normal 5 3 2 4 2 6 2" xfId="34609" xr:uid="{00000000-0005-0000-0000-0000E1750000}"/>
    <cellStyle name="Normal 5 3 2 4 2 7" xfId="34586" xr:uid="{00000000-0005-0000-0000-0000E2750000}"/>
    <cellStyle name="Normal 5 3 2 4 3" xfId="11124" xr:uid="{00000000-0005-0000-0000-0000E3750000}"/>
    <cellStyle name="Normal 5 3 2 4 3 2" xfId="11125" xr:uid="{00000000-0005-0000-0000-0000E4750000}"/>
    <cellStyle name="Normal 5 3 2 4 3 2 2" xfId="11126" xr:uid="{00000000-0005-0000-0000-0000E5750000}"/>
    <cellStyle name="Normal 5 3 2 4 3 2 2 2" xfId="11127" xr:uid="{00000000-0005-0000-0000-0000E6750000}"/>
    <cellStyle name="Normal 5 3 2 4 3 2 2 2 2" xfId="11128" xr:uid="{00000000-0005-0000-0000-0000E7750000}"/>
    <cellStyle name="Normal 5 3 2 4 3 2 2 2 2 2" xfId="34614" xr:uid="{00000000-0005-0000-0000-0000E8750000}"/>
    <cellStyle name="Normal 5 3 2 4 3 2 2 2 3" xfId="34613" xr:uid="{00000000-0005-0000-0000-0000E9750000}"/>
    <cellStyle name="Normal 5 3 2 4 3 2 2 3" xfId="11129" xr:uid="{00000000-0005-0000-0000-0000EA750000}"/>
    <cellStyle name="Normal 5 3 2 4 3 2 2 3 2" xfId="34615" xr:uid="{00000000-0005-0000-0000-0000EB750000}"/>
    <cellStyle name="Normal 5 3 2 4 3 2 2 4" xfId="34612" xr:uid="{00000000-0005-0000-0000-0000EC750000}"/>
    <cellStyle name="Normal 5 3 2 4 3 2 3" xfId="11130" xr:uid="{00000000-0005-0000-0000-0000ED750000}"/>
    <cellStyle name="Normal 5 3 2 4 3 2 3 2" xfId="11131" xr:uid="{00000000-0005-0000-0000-0000EE750000}"/>
    <cellStyle name="Normal 5 3 2 4 3 2 3 2 2" xfId="34617" xr:uid="{00000000-0005-0000-0000-0000EF750000}"/>
    <cellStyle name="Normal 5 3 2 4 3 2 3 3" xfId="34616" xr:uid="{00000000-0005-0000-0000-0000F0750000}"/>
    <cellStyle name="Normal 5 3 2 4 3 2 4" xfId="11132" xr:uid="{00000000-0005-0000-0000-0000F1750000}"/>
    <cellStyle name="Normal 5 3 2 4 3 2 4 2" xfId="34618" xr:uid="{00000000-0005-0000-0000-0000F2750000}"/>
    <cellStyle name="Normal 5 3 2 4 3 2 5" xfId="34611" xr:uid="{00000000-0005-0000-0000-0000F3750000}"/>
    <cellStyle name="Normal 5 3 2 4 3 3" xfId="11133" xr:uid="{00000000-0005-0000-0000-0000F4750000}"/>
    <cellStyle name="Normal 5 3 2 4 3 3 2" xfId="11134" xr:uid="{00000000-0005-0000-0000-0000F5750000}"/>
    <cellStyle name="Normal 5 3 2 4 3 3 2 2" xfId="11135" xr:uid="{00000000-0005-0000-0000-0000F6750000}"/>
    <cellStyle name="Normal 5 3 2 4 3 3 2 2 2" xfId="11136" xr:uid="{00000000-0005-0000-0000-0000F7750000}"/>
    <cellStyle name="Normal 5 3 2 4 3 3 2 2 2 2" xfId="34622" xr:uid="{00000000-0005-0000-0000-0000F8750000}"/>
    <cellStyle name="Normal 5 3 2 4 3 3 2 2 3" xfId="34621" xr:uid="{00000000-0005-0000-0000-0000F9750000}"/>
    <cellStyle name="Normal 5 3 2 4 3 3 2 3" xfId="11137" xr:uid="{00000000-0005-0000-0000-0000FA750000}"/>
    <cellStyle name="Normal 5 3 2 4 3 3 2 3 2" xfId="34623" xr:uid="{00000000-0005-0000-0000-0000FB750000}"/>
    <cellStyle name="Normal 5 3 2 4 3 3 2 4" xfId="34620" xr:uid="{00000000-0005-0000-0000-0000FC750000}"/>
    <cellStyle name="Normal 5 3 2 4 3 3 3" xfId="11138" xr:uid="{00000000-0005-0000-0000-0000FD750000}"/>
    <cellStyle name="Normal 5 3 2 4 3 3 3 2" xfId="11139" xr:uid="{00000000-0005-0000-0000-0000FE750000}"/>
    <cellStyle name="Normal 5 3 2 4 3 3 3 2 2" xfId="34625" xr:uid="{00000000-0005-0000-0000-0000FF750000}"/>
    <cellStyle name="Normal 5 3 2 4 3 3 3 3" xfId="34624" xr:uid="{00000000-0005-0000-0000-000000760000}"/>
    <cellStyle name="Normal 5 3 2 4 3 3 4" xfId="11140" xr:uid="{00000000-0005-0000-0000-000001760000}"/>
    <cellStyle name="Normal 5 3 2 4 3 3 4 2" xfId="34626" xr:uid="{00000000-0005-0000-0000-000002760000}"/>
    <cellStyle name="Normal 5 3 2 4 3 3 5" xfId="34619" xr:uid="{00000000-0005-0000-0000-000003760000}"/>
    <cellStyle name="Normal 5 3 2 4 3 4" xfId="11141" xr:uid="{00000000-0005-0000-0000-000004760000}"/>
    <cellStyle name="Normal 5 3 2 4 3 4 2" xfId="11142" xr:uid="{00000000-0005-0000-0000-000005760000}"/>
    <cellStyle name="Normal 5 3 2 4 3 4 2 2" xfId="11143" xr:uid="{00000000-0005-0000-0000-000006760000}"/>
    <cellStyle name="Normal 5 3 2 4 3 4 2 2 2" xfId="34629" xr:uid="{00000000-0005-0000-0000-000007760000}"/>
    <cellStyle name="Normal 5 3 2 4 3 4 2 3" xfId="34628" xr:uid="{00000000-0005-0000-0000-000008760000}"/>
    <cellStyle name="Normal 5 3 2 4 3 4 3" xfId="11144" xr:uid="{00000000-0005-0000-0000-000009760000}"/>
    <cellStyle name="Normal 5 3 2 4 3 4 3 2" xfId="34630" xr:uid="{00000000-0005-0000-0000-00000A760000}"/>
    <cellStyle name="Normal 5 3 2 4 3 4 4" xfId="34627" xr:uid="{00000000-0005-0000-0000-00000B760000}"/>
    <cellStyle name="Normal 5 3 2 4 3 5" xfId="11145" xr:uid="{00000000-0005-0000-0000-00000C760000}"/>
    <cellStyle name="Normal 5 3 2 4 3 5 2" xfId="11146" xr:uid="{00000000-0005-0000-0000-00000D760000}"/>
    <cellStyle name="Normal 5 3 2 4 3 5 2 2" xfId="34632" xr:uid="{00000000-0005-0000-0000-00000E760000}"/>
    <cellStyle name="Normal 5 3 2 4 3 5 3" xfId="34631" xr:uid="{00000000-0005-0000-0000-00000F760000}"/>
    <cellStyle name="Normal 5 3 2 4 3 6" xfId="11147" xr:uid="{00000000-0005-0000-0000-000010760000}"/>
    <cellStyle name="Normal 5 3 2 4 3 6 2" xfId="34633" xr:uid="{00000000-0005-0000-0000-000011760000}"/>
    <cellStyle name="Normal 5 3 2 4 3 7" xfId="34610" xr:uid="{00000000-0005-0000-0000-000012760000}"/>
    <cellStyle name="Normal 5 3 2 4 4" xfId="11148" xr:uid="{00000000-0005-0000-0000-000013760000}"/>
    <cellStyle name="Normal 5 3 2 4 4 2" xfId="11149" xr:uid="{00000000-0005-0000-0000-000014760000}"/>
    <cellStyle name="Normal 5 3 2 4 4 2 2" xfId="11150" xr:uid="{00000000-0005-0000-0000-000015760000}"/>
    <cellStyle name="Normal 5 3 2 4 4 2 2 2" xfId="11151" xr:uid="{00000000-0005-0000-0000-000016760000}"/>
    <cellStyle name="Normal 5 3 2 4 4 2 2 2 2" xfId="11152" xr:uid="{00000000-0005-0000-0000-000017760000}"/>
    <cellStyle name="Normal 5 3 2 4 4 2 2 2 2 2" xfId="34638" xr:uid="{00000000-0005-0000-0000-000018760000}"/>
    <cellStyle name="Normal 5 3 2 4 4 2 2 2 3" xfId="34637" xr:uid="{00000000-0005-0000-0000-000019760000}"/>
    <cellStyle name="Normal 5 3 2 4 4 2 2 3" xfId="11153" xr:uid="{00000000-0005-0000-0000-00001A760000}"/>
    <cellStyle name="Normal 5 3 2 4 4 2 2 3 2" xfId="34639" xr:uid="{00000000-0005-0000-0000-00001B760000}"/>
    <cellStyle name="Normal 5 3 2 4 4 2 2 4" xfId="34636" xr:uid="{00000000-0005-0000-0000-00001C760000}"/>
    <cellStyle name="Normal 5 3 2 4 4 2 3" xfId="11154" xr:uid="{00000000-0005-0000-0000-00001D760000}"/>
    <cellStyle name="Normal 5 3 2 4 4 2 3 2" xfId="11155" xr:uid="{00000000-0005-0000-0000-00001E760000}"/>
    <cellStyle name="Normal 5 3 2 4 4 2 3 2 2" xfId="34641" xr:uid="{00000000-0005-0000-0000-00001F760000}"/>
    <cellStyle name="Normal 5 3 2 4 4 2 3 3" xfId="34640" xr:uid="{00000000-0005-0000-0000-000020760000}"/>
    <cellStyle name="Normal 5 3 2 4 4 2 4" xfId="11156" xr:uid="{00000000-0005-0000-0000-000021760000}"/>
    <cellStyle name="Normal 5 3 2 4 4 2 4 2" xfId="34642" xr:uid="{00000000-0005-0000-0000-000022760000}"/>
    <cellStyle name="Normal 5 3 2 4 4 2 5" xfId="34635" xr:uid="{00000000-0005-0000-0000-000023760000}"/>
    <cellStyle name="Normal 5 3 2 4 4 3" xfId="11157" xr:uid="{00000000-0005-0000-0000-000024760000}"/>
    <cellStyle name="Normal 5 3 2 4 4 3 2" xfId="11158" xr:uid="{00000000-0005-0000-0000-000025760000}"/>
    <cellStyle name="Normal 5 3 2 4 4 3 2 2" xfId="11159" xr:uid="{00000000-0005-0000-0000-000026760000}"/>
    <cellStyle name="Normal 5 3 2 4 4 3 2 2 2" xfId="11160" xr:uid="{00000000-0005-0000-0000-000027760000}"/>
    <cellStyle name="Normal 5 3 2 4 4 3 2 2 2 2" xfId="34646" xr:uid="{00000000-0005-0000-0000-000028760000}"/>
    <cellStyle name="Normal 5 3 2 4 4 3 2 2 3" xfId="34645" xr:uid="{00000000-0005-0000-0000-000029760000}"/>
    <cellStyle name="Normal 5 3 2 4 4 3 2 3" xfId="11161" xr:uid="{00000000-0005-0000-0000-00002A760000}"/>
    <cellStyle name="Normal 5 3 2 4 4 3 2 3 2" xfId="34647" xr:uid="{00000000-0005-0000-0000-00002B760000}"/>
    <cellStyle name="Normal 5 3 2 4 4 3 2 4" xfId="34644" xr:uid="{00000000-0005-0000-0000-00002C760000}"/>
    <cellStyle name="Normal 5 3 2 4 4 3 3" xfId="11162" xr:uid="{00000000-0005-0000-0000-00002D760000}"/>
    <cellStyle name="Normal 5 3 2 4 4 3 3 2" xfId="11163" xr:uid="{00000000-0005-0000-0000-00002E760000}"/>
    <cellStyle name="Normal 5 3 2 4 4 3 3 2 2" xfId="34649" xr:uid="{00000000-0005-0000-0000-00002F760000}"/>
    <cellStyle name="Normal 5 3 2 4 4 3 3 3" xfId="34648" xr:uid="{00000000-0005-0000-0000-000030760000}"/>
    <cellStyle name="Normal 5 3 2 4 4 3 4" xfId="11164" xr:uid="{00000000-0005-0000-0000-000031760000}"/>
    <cellStyle name="Normal 5 3 2 4 4 3 4 2" xfId="34650" xr:uid="{00000000-0005-0000-0000-000032760000}"/>
    <cellStyle name="Normal 5 3 2 4 4 3 5" xfId="34643" xr:uid="{00000000-0005-0000-0000-000033760000}"/>
    <cellStyle name="Normal 5 3 2 4 4 4" xfId="11165" xr:uid="{00000000-0005-0000-0000-000034760000}"/>
    <cellStyle name="Normal 5 3 2 4 4 4 2" xfId="11166" xr:uid="{00000000-0005-0000-0000-000035760000}"/>
    <cellStyle name="Normal 5 3 2 4 4 4 2 2" xfId="11167" xr:uid="{00000000-0005-0000-0000-000036760000}"/>
    <cellStyle name="Normal 5 3 2 4 4 4 2 2 2" xfId="34653" xr:uid="{00000000-0005-0000-0000-000037760000}"/>
    <cellStyle name="Normal 5 3 2 4 4 4 2 3" xfId="34652" xr:uid="{00000000-0005-0000-0000-000038760000}"/>
    <cellStyle name="Normal 5 3 2 4 4 4 3" xfId="11168" xr:uid="{00000000-0005-0000-0000-000039760000}"/>
    <cellStyle name="Normal 5 3 2 4 4 4 3 2" xfId="34654" xr:uid="{00000000-0005-0000-0000-00003A760000}"/>
    <cellStyle name="Normal 5 3 2 4 4 4 4" xfId="34651" xr:uid="{00000000-0005-0000-0000-00003B760000}"/>
    <cellStyle name="Normal 5 3 2 4 4 5" xfId="11169" xr:uid="{00000000-0005-0000-0000-00003C760000}"/>
    <cellStyle name="Normal 5 3 2 4 4 5 2" xfId="11170" xr:uid="{00000000-0005-0000-0000-00003D760000}"/>
    <cellStyle name="Normal 5 3 2 4 4 5 2 2" xfId="34656" xr:uid="{00000000-0005-0000-0000-00003E760000}"/>
    <cellStyle name="Normal 5 3 2 4 4 5 3" xfId="34655" xr:uid="{00000000-0005-0000-0000-00003F760000}"/>
    <cellStyle name="Normal 5 3 2 4 4 6" xfId="11171" xr:uid="{00000000-0005-0000-0000-000040760000}"/>
    <cellStyle name="Normal 5 3 2 4 4 6 2" xfId="34657" xr:uid="{00000000-0005-0000-0000-000041760000}"/>
    <cellStyle name="Normal 5 3 2 4 4 7" xfId="34634" xr:uid="{00000000-0005-0000-0000-000042760000}"/>
    <cellStyle name="Normal 5 3 2 4 5" xfId="11172" xr:uid="{00000000-0005-0000-0000-000043760000}"/>
    <cellStyle name="Normal 5 3 2 4 5 2" xfId="11173" xr:uid="{00000000-0005-0000-0000-000044760000}"/>
    <cellStyle name="Normal 5 3 2 4 5 2 2" xfId="11174" xr:uid="{00000000-0005-0000-0000-000045760000}"/>
    <cellStyle name="Normal 5 3 2 4 5 2 2 2" xfId="11175" xr:uid="{00000000-0005-0000-0000-000046760000}"/>
    <cellStyle name="Normal 5 3 2 4 5 2 2 2 2" xfId="34661" xr:uid="{00000000-0005-0000-0000-000047760000}"/>
    <cellStyle name="Normal 5 3 2 4 5 2 2 3" xfId="34660" xr:uid="{00000000-0005-0000-0000-000048760000}"/>
    <cellStyle name="Normal 5 3 2 4 5 2 3" xfId="11176" xr:uid="{00000000-0005-0000-0000-000049760000}"/>
    <cellStyle name="Normal 5 3 2 4 5 2 3 2" xfId="34662" xr:uid="{00000000-0005-0000-0000-00004A760000}"/>
    <cellStyle name="Normal 5 3 2 4 5 2 4" xfId="34659" xr:uid="{00000000-0005-0000-0000-00004B760000}"/>
    <cellStyle name="Normal 5 3 2 4 5 3" xfId="11177" xr:uid="{00000000-0005-0000-0000-00004C760000}"/>
    <cellStyle name="Normal 5 3 2 4 5 3 2" xfId="11178" xr:uid="{00000000-0005-0000-0000-00004D760000}"/>
    <cellStyle name="Normal 5 3 2 4 5 3 2 2" xfId="34664" xr:uid="{00000000-0005-0000-0000-00004E760000}"/>
    <cellStyle name="Normal 5 3 2 4 5 3 3" xfId="34663" xr:uid="{00000000-0005-0000-0000-00004F760000}"/>
    <cellStyle name="Normal 5 3 2 4 5 4" xfId="11179" xr:uid="{00000000-0005-0000-0000-000050760000}"/>
    <cellStyle name="Normal 5 3 2 4 5 4 2" xfId="34665" xr:uid="{00000000-0005-0000-0000-000051760000}"/>
    <cellStyle name="Normal 5 3 2 4 5 5" xfId="34658" xr:uid="{00000000-0005-0000-0000-000052760000}"/>
    <cellStyle name="Normal 5 3 2 4 6" xfId="11180" xr:uid="{00000000-0005-0000-0000-000053760000}"/>
    <cellStyle name="Normal 5 3 2 4 6 2" xfId="11181" xr:uid="{00000000-0005-0000-0000-000054760000}"/>
    <cellStyle name="Normal 5 3 2 4 6 2 2" xfId="11182" xr:uid="{00000000-0005-0000-0000-000055760000}"/>
    <cellStyle name="Normal 5 3 2 4 6 2 2 2" xfId="11183" xr:uid="{00000000-0005-0000-0000-000056760000}"/>
    <cellStyle name="Normal 5 3 2 4 6 2 2 2 2" xfId="34669" xr:uid="{00000000-0005-0000-0000-000057760000}"/>
    <cellStyle name="Normal 5 3 2 4 6 2 2 3" xfId="34668" xr:uid="{00000000-0005-0000-0000-000058760000}"/>
    <cellStyle name="Normal 5 3 2 4 6 2 3" xfId="11184" xr:uid="{00000000-0005-0000-0000-000059760000}"/>
    <cellStyle name="Normal 5 3 2 4 6 2 3 2" xfId="34670" xr:uid="{00000000-0005-0000-0000-00005A760000}"/>
    <cellStyle name="Normal 5 3 2 4 6 2 4" xfId="34667" xr:uid="{00000000-0005-0000-0000-00005B760000}"/>
    <cellStyle name="Normal 5 3 2 4 6 3" xfId="11185" xr:uid="{00000000-0005-0000-0000-00005C760000}"/>
    <cellStyle name="Normal 5 3 2 4 6 3 2" xfId="11186" xr:uid="{00000000-0005-0000-0000-00005D760000}"/>
    <cellStyle name="Normal 5 3 2 4 6 3 2 2" xfId="34672" xr:uid="{00000000-0005-0000-0000-00005E760000}"/>
    <cellStyle name="Normal 5 3 2 4 6 3 3" xfId="34671" xr:uid="{00000000-0005-0000-0000-00005F760000}"/>
    <cellStyle name="Normal 5 3 2 4 6 4" xfId="11187" xr:uid="{00000000-0005-0000-0000-000060760000}"/>
    <cellStyle name="Normal 5 3 2 4 6 4 2" xfId="34673" xr:uid="{00000000-0005-0000-0000-000061760000}"/>
    <cellStyle name="Normal 5 3 2 4 6 5" xfId="34666" xr:uid="{00000000-0005-0000-0000-000062760000}"/>
    <cellStyle name="Normal 5 3 2 4 7" xfId="11188" xr:uid="{00000000-0005-0000-0000-000063760000}"/>
    <cellStyle name="Normal 5 3 2 4 7 2" xfId="11189" xr:uid="{00000000-0005-0000-0000-000064760000}"/>
    <cellStyle name="Normal 5 3 2 4 7 2 2" xfId="11190" xr:uid="{00000000-0005-0000-0000-000065760000}"/>
    <cellStyle name="Normal 5 3 2 4 7 2 2 2" xfId="34676" xr:uid="{00000000-0005-0000-0000-000066760000}"/>
    <cellStyle name="Normal 5 3 2 4 7 2 3" xfId="34675" xr:uid="{00000000-0005-0000-0000-000067760000}"/>
    <cellStyle name="Normal 5 3 2 4 7 3" xfId="11191" xr:uid="{00000000-0005-0000-0000-000068760000}"/>
    <cellStyle name="Normal 5 3 2 4 7 3 2" xfId="34677" xr:uid="{00000000-0005-0000-0000-000069760000}"/>
    <cellStyle name="Normal 5 3 2 4 7 4" xfId="34674" xr:uid="{00000000-0005-0000-0000-00006A760000}"/>
    <cellStyle name="Normal 5 3 2 4 8" xfId="11192" xr:uid="{00000000-0005-0000-0000-00006B760000}"/>
    <cellStyle name="Normal 5 3 2 4 8 2" xfId="11193" xr:uid="{00000000-0005-0000-0000-00006C760000}"/>
    <cellStyle name="Normal 5 3 2 4 8 2 2" xfId="34679" xr:uid="{00000000-0005-0000-0000-00006D760000}"/>
    <cellStyle name="Normal 5 3 2 4 8 3" xfId="34678" xr:uid="{00000000-0005-0000-0000-00006E760000}"/>
    <cellStyle name="Normal 5 3 2 4 9" xfId="11194" xr:uid="{00000000-0005-0000-0000-00006F760000}"/>
    <cellStyle name="Normal 5 3 2 4 9 2" xfId="34680" xr:uid="{00000000-0005-0000-0000-000070760000}"/>
    <cellStyle name="Normal 5 3 2 5" xfId="11195" xr:uid="{00000000-0005-0000-0000-000071760000}"/>
    <cellStyle name="Normal 5 3 2 5 2" xfId="11196" xr:uid="{00000000-0005-0000-0000-000072760000}"/>
    <cellStyle name="Normal 5 3 2 5 2 2" xfId="11197" xr:uid="{00000000-0005-0000-0000-000073760000}"/>
    <cellStyle name="Normal 5 3 2 5 2 2 2" xfId="11198" xr:uid="{00000000-0005-0000-0000-000074760000}"/>
    <cellStyle name="Normal 5 3 2 5 2 2 2 2" xfId="11199" xr:uid="{00000000-0005-0000-0000-000075760000}"/>
    <cellStyle name="Normal 5 3 2 5 2 2 2 2 2" xfId="34685" xr:uid="{00000000-0005-0000-0000-000076760000}"/>
    <cellStyle name="Normal 5 3 2 5 2 2 2 3" xfId="34684" xr:uid="{00000000-0005-0000-0000-000077760000}"/>
    <cellStyle name="Normal 5 3 2 5 2 2 3" xfId="11200" xr:uid="{00000000-0005-0000-0000-000078760000}"/>
    <cellStyle name="Normal 5 3 2 5 2 2 3 2" xfId="34686" xr:uid="{00000000-0005-0000-0000-000079760000}"/>
    <cellStyle name="Normal 5 3 2 5 2 2 4" xfId="34683" xr:uid="{00000000-0005-0000-0000-00007A760000}"/>
    <cellStyle name="Normal 5 3 2 5 2 3" xfId="11201" xr:uid="{00000000-0005-0000-0000-00007B760000}"/>
    <cellStyle name="Normal 5 3 2 5 2 3 2" xfId="11202" xr:uid="{00000000-0005-0000-0000-00007C760000}"/>
    <cellStyle name="Normal 5 3 2 5 2 3 2 2" xfId="34688" xr:uid="{00000000-0005-0000-0000-00007D760000}"/>
    <cellStyle name="Normal 5 3 2 5 2 3 3" xfId="34687" xr:uid="{00000000-0005-0000-0000-00007E760000}"/>
    <cellStyle name="Normal 5 3 2 5 2 4" xfId="11203" xr:uid="{00000000-0005-0000-0000-00007F760000}"/>
    <cellStyle name="Normal 5 3 2 5 2 4 2" xfId="34689" xr:uid="{00000000-0005-0000-0000-000080760000}"/>
    <cellStyle name="Normal 5 3 2 5 2 5" xfId="34682" xr:uid="{00000000-0005-0000-0000-000081760000}"/>
    <cellStyle name="Normal 5 3 2 5 3" xfId="11204" xr:uid="{00000000-0005-0000-0000-000082760000}"/>
    <cellStyle name="Normal 5 3 2 5 3 2" xfId="11205" xr:uid="{00000000-0005-0000-0000-000083760000}"/>
    <cellStyle name="Normal 5 3 2 5 3 2 2" xfId="11206" xr:uid="{00000000-0005-0000-0000-000084760000}"/>
    <cellStyle name="Normal 5 3 2 5 3 2 2 2" xfId="11207" xr:uid="{00000000-0005-0000-0000-000085760000}"/>
    <cellStyle name="Normal 5 3 2 5 3 2 2 2 2" xfId="34693" xr:uid="{00000000-0005-0000-0000-000086760000}"/>
    <cellStyle name="Normal 5 3 2 5 3 2 2 3" xfId="34692" xr:uid="{00000000-0005-0000-0000-000087760000}"/>
    <cellStyle name="Normal 5 3 2 5 3 2 3" xfId="11208" xr:uid="{00000000-0005-0000-0000-000088760000}"/>
    <cellStyle name="Normal 5 3 2 5 3 2 3 2" xfId="34694" xr:uid="{00000000-0005-0000-0000-000089760000}"/>
    <cellStyle name="Normal 5 3 2 5 3 2 4" xfId="34691" xr:uid="{00000000-0005-0000-0000-00008A760000}"/>
    <cellStyle name="Normal 5 3 2 5 3 3" xfId="11209" xr:uid="{00000000-0005-0000-0000-00008B760000}"/>
    <cellStyle name="Normal 5 3 2 5 3 3 2" xfId="11210" xr:uid="{00000000-0005-0000-0000-00008C760000}"/>
    <cellStyle name="Normal 5 3 2 5 3 3 2 2" xfId="34696" xr:uid="{00000000-0005-0000-0000-00008D760000}"/>
    <cellStyle name="Normal 5 3 2 5 3 3 3" xfId="34695" xr:uid="{00000000-0005-0000-0000-00008E760000}"/>
    <cellStyle name="Normal 5 3 2 5 3 4" xfId="11211" xr:uid="{00000000-0005-0000-0000-00008F760000}"/>
    <cellStyle name="Normal 5 3 2 5 3 4 2" xfId="34697" xr:uid="{00000000-0005-0000-0000-000090760000}"/>
    <cellStyle name="Normal 5 3 2 5 3 5" xfId="34690" xr:uid="{00000000-0005-0000-0000-000091760000}"/>
    <cellStyle name="Normal 5 3 2 5 4" xfId="11212" xr:uid="{00000000-0005-0000-0000-000092760000}"/>
    <cellStyle name="Normal 5 3 2 5 4 2" xfId="11213" xr:uid="{00000000-0005-0000-0000-000093760000}"/>
    <cellStyle name="Normal 5 3 2 5 4 2 2" xfId="11214" xr:uid="{00000000-0005-0000-0000-000094760000}"/>
    <cellStyle name="Normal 5 3 2 5 4 2 2 2" xfId="34700" xr:uid="{00000000-0005-0000-0000-000095760000}"/>
    <cellStyle name="Normal 5 3 2 5 4 2 3" xfId="34699" xr:uid="{00000000-0005-0000-0000-000096760000}"/>
    <cellStyle name="Normal 5 3 2 5 4 3" xfId="11215" xr:uid="{00000000-0005-0000-0000-000097760000}"/>
    <cellStyle name="Normal 5 3 2 5 4 3 2" xfId="34701" xr:uid="{00000000-0005-0000-0000-000098760000}"/>
    <cellStyle name="Normal 5 3 2 5 4 4" xfId="34698" xr:uid="{00000000-0005-0000-0000-000099760000}"/>
    <cellStyle name="Normal 5 3 2 5 5" xfId="11216" xr:uid="{00000000-0005-0000-0000-00009A760000}"/>
    <cellStyle name="Normal 5 3 2 5 5 2" xfId="11217" xr:uid="{00000000-0005-0000-0000-00009B760000}"/>
    <cellStyle name="Normal 5 3 2 5 5 2 2" xfId="34703" xr:uid="{00000000-0005-0000-0000-00009C760000}"/>
    <cellStyle name="Normal 5 3 2 5 5 3" xfId="34702" xr:uid="{00000000-0005-0000-0000-00009D760000}"/>
    <cellStyle name="Normal 5 3 2 5 6" xfId="11218" xr:uid="{00000000-0005-0000-0000-00009E760000}"/>
    <cellStyle name="Normal 5 3 2 5 6 2" xfId="34704" xr:uid="{00000000-0005-0000-0000-00009F760000}"/>
    <cellStyle name="Normal 5 3 2 5 7" xfId="34681" xr:uid="{00000000-0005-0000-0000-0000A0760000}"/>
    <cellStyle name="Normal 5 3 2 6" xfId="11219" xr:uid="{00000000-0005-0000-0000-0000A1760000}"/>
    <cellStyle name="Normal 5 3 2 6 2" xfId="11220" xr:uid="{00000000-0005-0000-0000-0000A2760000}"/>
    <cellStyle name="Normal 5 3 2 6 2 2" xfId="11221" xr:uid="{00000000-0005-0000-0000-0000A3760000}"/>
    <cellStyle name="Normal 5 3 2 6 2 2 2" xfId="11222" xr:uid="{00000000-0005-0000-0000-0000A4760000}"/>
    <cellStyle name="Normal 5 3 2 6 2 2 2 2" xfId="11223" xr:uid="{00000000-0005-0000-0000-0000A5760000}"/>
    <cellStyle name="Normal 5 3 2 6 2 2 2 2 2" xfId="34709" xr:uid="{00000000-0005-0000-0000-0000A6760000}"/>
    <cellStyle name="Normal 5 3 2 6 2 2 2 3" xfId="34708" xr:uid="{00000000-0005-0000-0000-0000A7760000}"/>
    <cellStyle name="Normal 5 3 2 6 2 2 3" xfId="11224" xr:uid="{00000000-0005-0000-0000-0000A8760000}"/>
    <cellStyle name="Normal 5 3 2 6 2 2 3 2" xfId="34710" xr:uid="{00000000-0005-0000-0000-0000A9760000}"/>
    <cellStyle name="Normal 5 3 2 6 2 2 4" xfId="34707" xr:uid="{00000000-0005-0000-0000-0000AA760000}"/>
    <cellStyle name="Normal 5 3 2 6 2 3" xfId="11225" xr:uid="{00000000-0005-0000-0000-0000AB760000}"/>
    <cellStyle name="Normal 5 3 2 6 2 3 2" xfId="11226" xr:uid="{00000000-0005-0000-0000-0000AC760000}"/>
    <cellStyle name="Normal 5 3 2 6 2 3 2 2" xfId="34712" xr:uid="{00000000-0005-0000-0000-0000AD760000}"/>
    <cellStyle name="Normal 5 3 2 6 2 3 3" xfId="34711" xr:uid="{00000000-0005-0000-0000-0000AE760000}"/>
    <cellStyle name="Normal 5 3 2 6 2 4" xfId="11227" xr:uid="{00000000-0005-0000-0000-0000AF760000}"/>
    <cellStyle name="Normal 5 3 2 6 2 4 2" xfId="34713" xr:uid="{00000000-0005-0000-0000-0000B0760000}"/>
    <cellStyle name="Normal 5 3 2 6 2 5" xfId="34706" xr:uid="{00000000-0005-0000-0000-0000B1760000}"/>
    <cellStyle name="Normal 5 3 2 6 3" xfId="11228" xr:uid="{00000000-0005-0000-0000-0000B2760000}"/>
    <cellStyle name="Normal 5 3 2 6 3 2" xfId="11229" xr:uid="{00000000-0005-0000-0000-0000B3760000}"/>
    <cellStyle name="Normal 5 3 2 6 3 2 2" xfId="11230" xr:uid="{00000000-0005-0000-0000-0000B4760000}"/>
    <cellStyle name="Normal 5 3 2 6 3 2 2 2" xfId="11231" xr:uid="{00000000-0005-0000-0000-0000B5760000}"/>
    <cellStyle name="Normal 5 3 2 6 3 2 2 2 2" xfId="34717" xr:uid="{00000000-0005-0000-0000-0000B6760000}"/>
    <cellStyle name="Normal 5 3 2 6 3 2 2 3" xfId="34716" xr:uid="{00000000-0005-0000-0000-0000B7760000}"/>
    <cellStyle name="Normal 5 3 2 6 3 2 3" xfId="11232" xr:uid="{00000000-0005-0000-0000-0000B8760000}"/>
    <cellStyle name="Normal 5 3 2 6 3 2 3 2" xfId="34718" xr:uid="{00000000-0005-0000-0000-0000B9760000}"/>
    <cellStyle name="Normal 5 3 2 6 3 2 4" xfId="34715" xr:uid="{00000000-0005-0000-0000-0000BA760000}"/>
    <cellStyle name="Normal 5 3 2 6 3 3" xfId="11233" xr:uid="{00000000-0005-0000-0000-0000BB760000}"/>
    <cellStyle name="Normal 5 3 2 6 3 3 2" xfId="11234" xr:uid="{00000000-0005-0000-0000-0000BC760000}"/>
    <cellStyle name="Normal 5 3 2 6 3 3 2 2" xfId="34720" xr:uid="{00000000-0005-0000-0000-0000BD760000}"/>
    <cellStyle name="Normal 5 3 2 6 3 3 3" xfId="34719" xr:uid="{00000000-0005-0000-0000-0000BE760000}"/>
    <cellStyle name="Normal 5 3 2 6 3 4" xfId="11235" xr:uid="{00000000-0005-0000-0000-0000BF760000}"/>
    <cellStyle name="Normal 5 3 2 6 3 4 2" xfId="34721" xr:uid="{00000000-0005-0000-0000-0000C0760000}"/>
    <cellStyle name="Normal 5 3 2 6 3 5" xfId="34714" xr:uid="{00000000-0005-0000-0000-0000C1760000}"/>
    <cellStyle name="Normal 5 3 2 6 4" xfId="11236" xr:uid="{00000000-0005-0000-0000-0000C2760000}"/>
    <cellStyle name="Normal 5 3 2 6 4 2" xfId="11237" xr:uid="{00000000-0005-0000-0000-0000C3760000}"/>
    <cellStyle name="Normal 5 3 2 6 4 2 2" xfId="11238" xr:uid="{00000000-0005-0000-0000-0000C4760000}"/>
    <cellStyle name="Normal 5 3 2 6 4 2 2 2" xfId="34724" xr:uid="{00000000-0005-0000-0000-0000C5760000}"/>
    <cellStyle name="Normal 5 3 2 6 4 2 3" xfId="34723" xr:uid="{00000000-0005-0000-0000-0000C6760000}"/>
    <cellStyle name="Normal 5 3 2 6 4 3" xfId="11239" xr:uid="{00000000-0005-0000-0000-0000C7760000}"/>
    <cellStyle name="Normal 5 3 2 6 4 3 2" xfId="34725" xr:uid="{00000000-0005-0000-0000-0000C8760000}"/>
    <cellStyle name="Normal 5 3 2 6 4 4" xfId="34722" xr:uid="{00000000-0005-0000-0000-0000C9760000}"/>
    <cellStyle name="Normal 5 3 2 6 5" xfId="11240" xr:uid="{00000000-0005-0000-0000-0000CA760000}"/>
    <cellStyle name="Normal 5 3 2 6 5 2" xfId="11241" xr:uid="{00000000-0005-0000-0000-0000CB760000}"/>
    <cellStyle name="Normal 5 3 2 6 5 2 2" xfId="34727" xr:uid="{00000000-0005-0000-0000-0000CC760000}"/>
    <cellStyle name="Normal 5 3 2 6 5 3" xfId="34726" xr:uid="{00000000-0005-0000-0000-0000CD760000}"/>
    <cellStyle name="Normal 5 3 2 6 6" xfId="11242" xr:uid="{00000000-0005-0000-0000-0000CE760000}"/>
    <cellStyle name="Normal 5 3 2 6 6 2" xfId="34728" xr:uid="{00000000-0005-0000-0000-0000CF760000}"/>
    <cellStyle name="Normal 5 3 2 6 7" xfId="34705" xr:uid="{00000000-0005-0000-0000-0000D0760000}"/>
    <cellStyle name="Normal 5 3 2 7" xfId="11243" xr:uid="{00000000-0005-0000-0000-0000D1760000}"/>
    <cellStyle name="Normal 5 3 2 7 2" xfId="11244" xr:uid="{00000000-0005-0000-0000-0000D2760000}"/>
    <cellStyle name="Normal 5 3 2 7 2 2" xfId="11245" xr:uid="{00000000-0005-0000-0000-0000D3760000}"/>
    <cellStyle name="Normal 5 3 2 7 2 2 2" xfId="11246" xr:uid="{00000000-0005-0000-0000-0000D4760000}"/>
    <cellStyle name="Normal 5 3 2 7 2 2 2 2" xfId="11247" xr:uid="{00000000-0005-0000-0000-0000D5760000}"/>
    <cellStyle name="Normal 5 3 2 7 2 2 2 2 2" xfId="34733" xr:uid="{00000000-0005-0000-0000-0000D6760000}"/>
    <cellStyle name="Normal 5 3 2 7 2 2 2 3" xfId="34732" xr:uid="{00000000-0005-0000-0000-0000D7760000}"/>
    <cellStyle name="Normal 5 3 2 7 2 2 3" xfId="11248" xr:uid="{00000000-0005-0000-0000-0000D8760000}"/>
    <cellStyle name="Normal 5 3 2 7 2 2 3 2" xfId="34734" xr:uid="{00000000-0005-0000-0000-0000D9760000}"/>
    <cellStyle name="Normal 5 3 2 7 2 2 4" xfId="34731" xr:uid="{00000000-0005-0000-0000-0000DA760000}"/>
    <cellStyle name="Normal 5 3 2 7 2 3" xfId="11249" xr:uid="{00000000-0005-0000-0000-0000DB760000}"/>
    <cellStyle name="Normal 5 3 2 7 2 3 2" xfId="11250" xr:uid="{00000000-0005-0000-0000-0000DC760000}"/>
    <cellStyle name="Normal 5 3 2 7 2 3 2 2" xfId="34736" xr:uid="{00000000-0005-0000-0000-0000DD760000}"/>
    <cellStyle name="Normal 5 3 2 7 2 3 3" xfId="34735" xr:uid="{00000000-0005-0000-0000-0000DE760000}"/>
    <cellStyle name="Normal 5 3 2 7 2 4" xfId="11251" xr:uid="{00000000-0005-0000-0000-0000DF760000}"/>
    <cellStyle name="Normal 5 3 2 7 2 4 2" xfId="34737" xr:uid="{00000000-0005-0000-0000-0000E0760000}"/>
    <cellStyle name="Normal 5 3 2 7 2 5" xfId="34730" xr:uid="{00000000-0005-0000-0000-0000E1760000}"/>
    <cellStyle name="Normal 5 3 2 7 3" xfId="11252" xr:uid="{00000000-0005-0000-0000-0000E2760000}"/>
    <cellStyle name="Normal 5 3 2 7 3 2" xfId="11253" xr:uid="{00000000-0005-0000-0000-0000E3760000}"/>
    <cellStyle name="Normal 5 3 2 7 3 2 2" xfId="11254" xr:uid="{00000000-0005-0000-0000-0000E4760000}"/>
    <cellStyle name="Normal 5 3 2 7 3 2 2 2" xfId="11255" xr:uid="{00000000-0005-0000-0000-0000E5760000}"/>
    <cellStyle name="Normal 5 3 2 7 3 2 2 2 2" xfId="34741" xr:uid="{00000000-0005-0000-0000-0000E6760000}"/>
    <cellStyle name="Normal 5 3 2 7 3 2 2 3" xfId="34740" xr:uid="{00000000-0005-0000-0000-0000E7760000}"/>
    <cellStyle name="Normal 5 3 2 7 3 2 3" xfId="11256" xr:uid="{00000000-0005-0000-0000-0000E8760000}"/>
    <cellStyle name="Normal 5 3 2 7 3 2 3 2" xfId="34742" xr:uid="{00000000-0005-0000-0000-0000E9760000}"/>
    <cellStyle name="Normal 5 3 2 7 3 2 4" xfId="34739" xr:uid="{00000000-0005-0000-0000-0000EA760000}"/>
    <cellStyle name="Normal 5 3 2 7 3 3" xfId="11257" xr:uid="{00000000-0005-0000-0000-0000EB760000}"/>
    <cellStyle name="Normal 5 3 2 7 3 3 2" xfId="11258" xr:uid="{00000000-0005-0000-0000-0000EC760000}"/>
    <cellStyle name="Normal 5 3 2 7 3 3 2 2" xfId="34744" xr:uid="{00000000-0005-0000-0000-0000ED760000}"/>
    <cellStyle name="Normal 5 3 2 7 3 3 3" xfId="34743" xr:uid="{00000000-0005-0000-0000-0000EE760000}"/>
    <cellStyle name="Normal 5 3 2 7 3 4" xfId="11259" xr:uid="{00000000-0005-0000-0000-0000EF760000}"/>
    <cellStyle name="Normal 5 3 2 7 3 4 2" xfId="34745" xr:uid="{00000000-0005-0000-0000-0000F0760000}"/>
    <cellStyle name="Normal 5 3 2 7 3 5" xfId="34738" xr:uid="{00000000-0005-0000-0000-0000F1760000}"/>
    <cellStyle name="Normal 5 3 2 7 4" xfId="11260" xr:uid="{00000000-0005-0000-0000-0000F2760000}"/>
    <cellStyle name="Normal 5 3 2 7 4 2" xfId="11261" xr:uid="{00000000-0005-0000-0000-0000F3760000}"/>
    <cellStyle name="Normal 5 3 2 7 4 2 2" xfId="11262" xr:uid="{00000000-0005-0000-0000-0000F4760000}"/>
    <cellStyle name="Normal 5 3 2 7 4 2 2 2" xfId="34748" xr:uid="{00000000-0005-0000-0000-0000F5760000}"/>
    <cellStyle name="Normal 5 3 2 7 4 2 3" xfId="34747" xr:uid="{00000000-0005-0000-0000-0000F6760000}"/>
    <cellStyle name="Normal 5 3 2 7 4 3" xfId="11263" xr:uid="{00000000-0005-0000-0000-0000F7760000}"/>
    <cellStyle name="Normal 5 3 2 7 4 3 2" xfId="34749" xr:uid="{00000000-0005-0000-0000-0000F8760000}"/>
    <cellStyle name="Normal 5 3 2 7 4 4" xfId="34746" xr:uid="{00000000-0005-0000-0000-0000F9760000}"/>
    <cellStyle name="Normal 5 3 2 7 5" xfId="11264" xr:uid="{00000000-0005-0000-0000-0000FA760000}"/>
    <cellStyle name="Normal 5 3 2 7 5 2" xfId="11265" xr:uid="{00000000-0005-0000-0000-0000FB760000}"/>
    <cellStyle name="Normal 5 3 2 7 5 2 2" xfId="34751" xr:uid="{00000000-0005-0000-0000-0000FC760000}"/>
    <cellStyle name="Normal 5 3 2 7 5 3" xfId="34750" xr:uid="{00000000-0005-0000-0000-0000FD760000}"/>
    <cellStyle name="Normal 5 3 2 7 6" xfId="11266" xr:uid="{00000000-0005-0000-0000-0000FE760000}"/>
    <cellStyle name="Normal 5 3 2 7 6 2" xfId="34752" xr:uid="{00000000-0005-0000-0000-0000FF760000}"/>
    <cellStyle name="Normal 5 3 2 7 7" xfId="34729" xr:uid="{00000000-0005-0000-0000-000000770000}"/>
    <cellStyle name="Normal 5 3 2 8" xfId="11267" xr:uid="{00000000-0005-0000-0000-000001770000}"/>
    <cellStyle name="Normal 5 3 2 8 2" xfId="11268" xr:uid="{00000000-0005-0000-0000-000002770000}"/>
    <cellStyle name="Normal 5 3 2 8 2 2" xfId="11269" xr:uid="{00000000-0005-0000-0000-000003770000}"/>
    <cellStyle name="Normal 5 3 2 8 2 2 2" xfId="11270" xr:uid="{00000000-0005-0000-0000-000004770000}"/>
    <cellStyle name="Normal 5 3 2 8 2 2 2 2" xfId="11271" xr:uid="{00000000-0005-0000-0000-000005770000}"/>
    <cellStyle name="Normal 5 3 2 8 2 2 2 2 2" xfId="34757" xr:uid="{00000000-0005-0000-0000-000006770000}"/>
    <cellStyle name="Normal 5 3 2 8 2 2 2 3" xfId="34756" xr:uid="{00000000-0005-0000-0000-000007770000}"/>
    <cellStyle name="Normal 5 3 2 8 2 2 3" xfId="11272" xr:uid="{00000000-0005-0000-0000-000008770000}"/>
    <cellStyle name="Normal 5 3 2 8 2 2 3 2" xfId="34758" xr:uid="{00000000-0005-0000-0000-000009770000}"/>
    <cellStyle name="Normal 5 3 2 8 2 2 4" xfId="34755" xr:uid="{00000000-0005-0000-0000-00000A770000}"/>
    <cellStyle name="Normal 5 3 2 8 2 3" xfId="11273" xr:uid="{00000000-0005-0000-0000-00000B770000}"/>
    <cellStyle name="Normal 5 3 2 8 2 3 2" xfId="11274" xr:uid="{00000000-0005-0000-0000-00000C770000}"/>
    <cellStyle name="Normal 5 3 2 8 2 3 2 2" xfId="34760" xr:uid="{00000000-0005-0000-0000-00000D770000}"/>
    <cellStyle name="Normal 5 3 2 8 2 3 3" xfId="34759" xr:uid="{00000000-0005-0000-0000-00000E770000}"/>
    <cellStyle name="Normal 5 3 2 8 2 4" xfId="11275" xr:uid="{00000000-0005-0000-0000-00000F770000}"/>
    <cellStyle name="Normal 5 3 2 8 2 4 2" xfId="34761" xr:uid="{00000000-0005-0000-0000-000010770000}"/>
    <cellStyle name="Normal 5 3 2 8 2 5" xfId="34754" xr:uid="{00000000-0005-0000-0000-000011770000}"/>
    <cellStyle name="Normal 5 3 2 8 3" xfId="11276" xr:uid="{00000000-0005-0000-0000-000012770000}"/>
    <cellStyle name="Normal 5 3 2 8 3 2" xfId="11277" xr:uid="{00000000-0005-0000-0000-000013770000}"/>
    <cellStyle name="Normal 5 3 2 8 3 2 2" xfId="11278" xr:uid="{00000000-0005-0000-0000-000014770000}"/>
    <cellStyle name="Normal 5 3 2 8 3 2 2 2" xfId="11279" xr:uid="{00000000-0005-0000-0000-000015770000}"/>
    <cellStyle name="Normal 5 3 2 8 3 2 2 2 2" xfId="34765" xr:uid="{00000000-0005-0000-0000-000016770000}"/>
    <cellStyle name="Normal 5 3 2 8 3 2 2 3" xfId="34764" xr:uid="{00000000-0005-0000-0000-000017770000}"/>
    <cellStyle name="Normal 5 3 2 8 3 2 3" xfId="11280" xr:uid="{00000000-0005-0000-0000-000018770000}"/>
    <cellStyle name="Normal 5 3 2 8 3 2 3 2" xfId="34766" xr:uid="{00000000-0005-0000-0000-000019770000}"/>
    <cellStyle name="Normal 5 3 2 8 3 2 4" xfId="34763" xr:uid="{00000000-0005-0000-0000-00001A770000}"/>
    <cellStyle name="Normal 5 3 2 8 3 3" xfId="11281" xr:uid="{00000000-0005-0000-0000-00001B770000}"/>
    <cellStyle name="Normal 5 3 2 8 3 3 2" xfId="11282" xr:uid="{00000000-0005-0000-0000-00001C770000}"/>
    <cellStyle name="Normal 5 3 2 8 3 3 2 2" xfId="34768" xr:uid="{00000000-0005-0000-0000-00001D770000}"/>
    <cellStyle name="Normal 5 3 2 8 3 3 3" xfId="34767" xr:uid="{00000000-0005-0000-0000-00001E770000}"/>
    <cellStyle name="Normal 5 3 2 8 3 4" xfId="11283" xr:uid="{00000000-0005-0000-0000-00001F770000}"/>
    <cellStyle name="Normal 5 3 2 8 3 4 2" xfId="34769" xr:uid="{00000000-0005-0000-0000-000020770000}"/>
    <cellStyle name="Normal 5 3 2 8 3 5" xfId="34762" xr:uid="{00000000-0005-0000-0000-000021770000}"/>
    <cellStyle name="Normal 5 3 2 8 4" xfId="11284" xr:uid="{00000000-0005-0000-0000-000022770000}"/>
    <cellStyle name="Normal 5 3 2 8 4 2" xfId="11285" xr:uid="{00000000-0005-0000-0000-000023770000}"/>
    <cellStyle name="Normal 5 3 2 8 4 2 2" xfId="11286" xr:uid="{00000000-0005-0000-0000-000024770000}"/>
    <cellStyle name="Normal 5 3 2 8 4 2 2 2" xfId="34772" xr:uid="{00000000-0005-0000-0000-000025770000}"/>
    <cellStyle name="Normal 5 3 2 8 4 2 3" xfId="34771" xr:uid="{00000000-0005-0000-0000-000026770000}"/>
    <cellStyle name="Normal 5 3 2 8 4 3" xfId="11287" xr:uid="{00000000-0005-0000-0000-000027770000}"/>
    <cellStyle name="Normal 5 3 2 8 4 3 2" xfId="34773" xr:uid="{00000000-0005-0000-0000-000028770000}"/>
    <cellStyle name="Normal 5 3 2 8 4 4" xfId="34770" xr:uid="{00000000-0005-0000-0000-000029770000}"/>
    <cellStyle name="Normal 5 3 2 8 5" xfId="11288" xr:uid="{00000000-0005-0000-0000-00002A770000}"/>
    <cellStyle name="Normal 5 3 2 8 5 2" xfId="11289" xr:uid="{00000000-0005-0000-0000-00002B770000}"/>
    <cellStyle name="Normal 5 3 2 8 5 2 2" xfId="34775" xr:uid="{00000000-0005-0000-0000-00002C770000}"/>
    <cellStyle name="Normal 5 3 2 8 5 3" xfId="34774" xr:uid="{00000000-0005-0000-0000-00002D770000}"/>
    <cellStyle name="Normal 5 3 2 8 6" xfId="11290" xr:uid="{00000000-0005-0000-0000-00002E770000}"/>
    <cellStyle name="Normal 5 3 2 8 6 2" xfId="34776" xr:uid="{00000000-0005-0000-0000-00002F770000}"/>
    <cellStyle name="Normal 5 3 2 8 7" xfId="34753" xr:uid="{00000000-0005-0000-0000-000030770000}"/>
    <cellStyle name="Normal 5 3 2 9" xfId="11291" xr:uid="{00000000-0005-0000-0000-000031770000}"/>
    <cellStyle name="Normal 5 3 2 9 2" xfId="11292" xr:uid="{00000000-0005-0000-0000-000032770000}"/>
    <cellStyle name="Normal 5 3 2 9 2 2" xfId="11293" xr:uid="{00000000-0005-0000-0000-000033770000}"/>
    <cellStyle name="Normal 5 3 2 9 2 2 2" xfId="11294" xr:uid="{00000000-0005-0000-0000-000034770000}"/>
    <cellStyle name="Normal 5 3 2 9 2 2 2 2" xfId="34779" xr:uid="{00000000-0005-0000-0000-000035770000}"/>
    <cellStyle name="Normal 5 3 2 9 2 2 3" xfId="34778" xr:uid="{00000000-0005-0000-0000-000036770000}"/>
    <cellStyle name="Normal 5 3 2 9 2 3" xfId="11295" xr:uid="{00000000-0005-0000-0000-000037770000}"/>
    <cellStyle name="Normal 5 3 2 9 2 3 2" xfId="34780" xr:uid="{00000000-0005-0000-0000-000038770000}"/>
    <cellStyle name="Normal 5 3 2 9 2 4" xfId="34777" xr:uid="{00000000-0005-0000-0000-000039770000}"/>
    <cellStyle name="Normal 5 3 2 9 3" xfId="11296" xr:uid="{00000000-0005-0000-0000-00003A770000}"/>
    <cellStyle name="Normal 5 3 2 9 3 2" xfId="11297" xr:uid="{00000000-0005-0000-0000-00003B770000}"/>
    <cellStyle name="Normal 5 3 2 9 3 2 2" xfId="34782" xr:uid="{00000000-0005-0000-0000-00003C770000}"/>
    <cellStyle name="Normal 5 3 2 9 3 3" xfId="34781" xr:uid="{00000000-0005-0000-0000-00003D770000}"/>
    <cellStyle name="Normal 5 3 3" xfId="11298" xr:uid="{00000000-0005-0000-0000-00003E770000}"/>
    <cellStyle name="Normal 5 3 3 10" xfId="11299" xr:uid="{00000000-0005-0000-0000-00003F770000}"/>
    <cellStyle name="Normal 5 3 3 10 2" xfId="34784" xr:uid="{00000000-0005-0000-0000-000040770000}"/>
    <cellStyle name="Normal 5 3 3 11" xfId="21476" xr:uid="{00000000-0005-0000-0000-000041770000}"/>
    <cellStyle name="Normal 5 3 3 12" xfId="34783" xr:uid="{00000000-0005-0000-0000-000042770000}"/>
    <cellStyle name="Normal 5 3 3 2" xfId="11300" xr:uid="{00000000-0005-0000-0000-000043770000}"/>
    <cellStyle name="Normal 5 3 3 2 2" xfId="11301" xr:uid="{00000000-0005-0000-0000-000044770000}"/>
    <cellStyle name="Normal 5 3 3 2 2 2" xfId="11302" xr:uid="{00000000-0005-0000-0000-000045770000}"/>
    <cellStyle name="Normal 5 3 3 2 2 2 2" xfId="11303" xr:uid="{00000000-0005-0000-0000-000046770000}"/>
    <cellStyle name="Normal 5 3 3 2 2 2 2 2" xfId="11304" xr:uid="{00000000-0005-0000-0000-000047770000}"/>
    <cellStyle name="Normal 5 3 3 2 2 2 2 2 2" xfId="34789" xr:uid="{00000000-0005-0000-0000-000048770000}"/>
    <cellStyle name="Normal 5 3 3 2 2 2 2 3" xfId="34788" xr:uid="{00000000-0005-0000-0000-000049770000}"/>
    <cellStyle name="Normal 5 3 3 2 2 2 3" xfId="11305" xr:uid="{00000000-0005-0000-0000-00004A770000}"/>
    <cellStyle name="Normal 5 3 3 2 2 2 3 2" xfId="34790" xr:uid="{00000000-0005-0000-0000-00004B770000}"/>
    <cellStyle name="Normal 5 3 3 2 2 2 4" xfId="34787" xr:uid="{00000000-0005-0000-0000-00004C770000}"/>
    <cellStyle name="Normal 5 3 3 2 2 3" xfId="11306" xr:uid="{00000000-0005-0000-0000-00004D770000}"/>
    <cellStyle name="Normal 5 3 3 2 2 3 2" xfId="11307" xr:uid="{00000000-0005-0000-0000-00004E770000}"/>
    <cellStyle name="Normal 5 3 3 2 2 3 2 2" xfId="34792" xr:uid="{00000000-0005-0000-0000-00004F770000}"/>
    <cellStyle name="Normal 5 3 3 2 2 3 3" xfId="34791" xr:uid="{00000000-0005-0000-0000-000050770000}"/>
    <cellStyle name="Normal 5 3 3 2 2 4" xfId="11308" xr:uid="{00000000-0005-0000-0000-000051770000}"/>
    <cellStyle name="Normal 5 3 3 2 2 4 2" xfId="34793" xr:uid="{00000000-0005-0000-0000-000052770000}"/>
    <cellStyle name="Normal 5 3 3 2 2 5" xfId="34786" xr:uid="{00000000-0005-0000-0000-000053770000}"/>
    <cellStyle name="Normal 5 3 3 2 3" xfId="11309" xr:uid="{00000000-0005-0000-0000-000054770000}"/>
    <cellStyle name="Normal 5 3 3 2 3 2" xfId="11310" xr:uid="{00000000-0005-0000-0000-000055770000}"/>
    <cellStyle name="Normal 5 3 3 2 3 2 2" xfId="11311" xr:uid="{00000000-0005-0000-0000-000056770000}"/>
    <cellStyle name="Normal 5 3 3 2 3 2 2 2" xfId="11312" xr:uid="{00000000-0005-0000-0000-000057770000}"/>
    <cellStyle name="Normal 5 3 3 2 3 2 2 2 2" xfId="34797" xr:uid="{00000000-0005-0000-0000-000058770000}"/>
    <cellStyle name="Normal 5 3 3 2 3 2 2 3" xfId="34796" xr:uid="{00000000-0005-0000-0000-000059770000}"/>
    <cellStyle name="Normal 5 3 3 2 3 2 3" xfId="11313" xr:uid="{00000000-0005-0000-0000-00005A770000}"/>
    <cellStyle name="Normal 5 3 3 2 3 2 3 2" xfId="34798" xr:uid="{00000000-0005-0000-0000-00005B770000}"/>
    <cellStyle name="Normal 5 3 3 2 3 2 4" xfId="34795" xr:uid="{00000000-0005-0000-0000-00005C770000}"/>
    <cellStyle name="Normal 5 3 3 2 3 3" xfId="11314" xr:uid="{00000000-0005-0000-0000-00005D770000}"/>
    <cellStyle name="Normal 5 3 3 2 3 3 2" xfId="11315" xr:uid="{00000000-0005-0000-0000-00005E770000}"/>
    <cellStyle name="Normal 5 3 3 2 3 3 2 2" xfId="34800" xr:uid="{00000000-0005-0000-0000-00005F770000}"/>
    <cellStyle name="Normal 5 3 3 2 3 3 3" xfId="34799" xr:uid="{00000000-0005-0000-0000-000060770000}"/>
    <cellStyle name="Normal 5 3 3 2 3 4" xfId="11316" xr:uid="{00000000-0005-0000-0000-000061770000}"/>
    <cellStyle name="Normal 5 3 3 2 3 4 2" xfId="34801" xr:uid="{00000000-0005-0000-0000-000062770000}"/>
    <cellStyle name="Normal 5 3 3 2 3 5" xfId="34794" xr:uid="{00000000-0005-0000-0000-000063770000}"/>
    <cellStyle name="Normal 5 3 3 2 4" xfId="11317" xr:uid="{00000000-0005-0000-0000-000064770000}"/>
    <cellStyle name="Normal 5 3 3 2 4 2" xfId="11318" xr:uid="{00000000-0005-0000-0000-000065770000}"/>
    <cellStyle name="Normal 5 3 3 2 4 2 2" xfId="11319" xr:uid="{00000000-0005-0000-0000-000066770000}"/>
    <cellStyle name="Normal 5 3 3 2 4 2 2 2" xfId="34804" xr:uid="{00000000-0005-0000-0000-000067770000}"/>
    <cellStyle name="Normal 5 3 3 2 4 2 3" xfId="34803" xr:uid="{00000000-0005-0000-0000-000068770000}"/>
    <cellStyle name="Normal 5 3 3 2 4 3" xfId="11320" xr:uid="{00000000-0005-0000-0000-000069770000}"/>
    <cellStyle name="Normal 5 3 3 2 4 3 2" xfId="34805" xr:uid="{00000000-0005-0000-0000-00006A770000}"/>
    <cellStyle name="Normal 5 3 3 2 4 4" xfId="34802" xr:uid="{00000000-0005-0000-0000-00006B770000}"/>
    <cellStyle name="Normal 5 3 3 2 5" xfId="11321" xr:uid="{00000000-0005-0000-0000-00006C770000}"/>
    <cellStyle name="Normal 5 3 3 2 5 2" xfId="11322" xr:uid="{00000000-0005-0000-0000-00006D770000}"/>
    <cellStyle name="Normal 5 3 3 2 5 2 2" xfId="34807" xr:uid="{00000000-0005-0000-0000-00006E770000}"/>
    <cellStyle name="Normal 5 3 3 2 5 3" xfId="34806" xr:uid="{00000000-0005-0000-0000-00006F770000}"/>
    <cellStyle name="Normal 5 3 3 2 6" xfId="11323" xr:uid="{00000000-0005-0000-0000-000070770000}"/>
    <cellStyle name="Normal 5 3 3 2 6 2" xfId="34808" xr:uid="{00000000-0005-0000-0000-000071770000}"/>
    <cellStyle name="Normal 5 3 3 2 7" xfId="34785" xr:uid="{00000000-0005-0000-0000-000072770000}"/>
    <cellStyle name="Normal 5 3 3 3" xfId="11324" xr:uid="{00000000-0005-0000-0000-000073770000}"/>
    <cellStyle name="Normal 5 3 3 3 2" xfId="11325" xr:uid="{00000000-0005-0000-0000-000074770000}"/>
    <cellStyle name="Normal 5 3 3 3 2 2" xfId="11326" xr:uid="{00000000-0005-0000-0000-000075770000}"/>
    <cellStyle name="Normal 5 3 3 3 2 2 2" xfId="11327" xr:uid="{00000000-0005-0000-0000-000076770000}"/>
    <cellStyle name="Normal 5 3 3 3 2 2 2 2" xfId="11328" xr:uid="{00000000-0005-0000-0000-000077770000}"/>
    <cellStyle name="Normal 5 3 3 3 2 2 2 2 2" xfId="34813" xr:uid="{00000000-0005-0000-0000-000078770000}"/>
    <cellStyle name="Normal 5 3 3 3 2 2 2 3" xfId="34812" xr:uid="{00000000-0005-0000-0000-000079770000}"/>
    <cellStyle name="Normal 5 3 3 3 2 2 3" xfId="11329" xr:uid="{00000000-0005-0000-0000-00007A770000}"/>
    <cellStyle name="Normal 5 3 3 3 2 2 3 2" xfId="34814" xr:uid="{00000000-0005-0000-0000-00007B770000}"/>
    <cellStyle name="Normal 5 3 3 3 2 2 4" xfId="34811" xr:uid="{00000000-0005-0000-0000-00007C770000}"/>
    <cellStyle name="Normal 5 3 3 3 2 3" xfId="11330" xr:uid="{00000000-0005-0000-0000-00007D770000}"/>
    <cellStyle name="Normal 5 3 3 3 2 3 2" xfId="11331" xr:uid="{00000000-0005-0000-0000-00007E770000}"/>
    <cellStyle name="Normal 5 3 3 3 2 3 2 2" xfId="34816" xr:uid="{00000000-0005-0000-0000-00007F770000}"/>
    <cellStyle name="Normal 5 3 3 3 2 3 3" xfId="34815" xr:uid="{00000000-0005-0000-0000-000080770000}"/>
    <cellStyle name="Normal 5 3 3 3 2 4" xfId="11332" xr:uid="{00000000-0005-0000-0000-000081770000}"/>
    <cellStyle name="Normal 5 3 3 3 2 4 2" xfId="34817" xr:uid="{00000000-0005-0000-0000-000082770000}"/>
    <cellStyle name="Normal 5 3 3 3 2 5" xfId="34810" xr:uid="{00000000-0005-0000-0000-000083770000}"/>
    <cellStyle name="Normal 5 3 3 3 3" xfId="11333" xr:uid="{00000000-0005-0000-0000-000084770000}"/>
    <cellStyle name="Normal 5 3 3 3 3 2" xfId="11334" xr:uid="{00000000-0005-0000-0000-000085770000}"/>
    <cellStyle name="Normal 5 3 3 3 3 2 2" xfId="11335" xr:uid="{00000000-0005-0000-0000-000086770000}"/>
    <cellStyle name="Normal 5 3 3 3 3 2 2 2" xfId="11336" xr:uid="{00000000-0005-0000-0000-000087770000}"/>
    <cellStyle name="Normal 5 3 3 3 3 2 2 2 2" xfId="34821" xr:uid="{00000000-0005-0000-0000-000088770000}"/>
    <cellStyle name="Normal 5 3 3 3 3 2 2 3" xfId="34820" xr:uid="{00000000-0005-0000-0000-000089770000}"/>
    <cellStyle name="Normal 5 3 3 3 3 2 3" xfId="11337" xr:uid="{00000000-0005-0000-0000-00008A770000}"/>
    <cellStyle name="Normal 5 3 3 3 3 2 3 2" xfId="34822" xr:uid="{00000000-0005-0000-0000-00008B770000}"/>
    <cellStyle name="Normal 5 3 3 3 3 2 4" xfId="34819" xr:uid="{00000000-0005-0000-0000-00008C770000}"/>
    <cellStyle name="Normal 5 3 3 3 3 3" xfId="11338" xr:uid="{00000000-0005-0000-0000-00008D770000}"/>
    <cellStyle name="Normal 5 3 3 3 3 3 2" xfId="11339" xr:uid="{00000000-0005-0000-0000-00008E770000}"/>
    <cellStyle name="Normal 5 3 3 3 3 3 2 2" xfId="34824" xr:uid="{00000000-0005-0000-0000-00008F770000}"/>
    <cellStyle name="Normal 5 3 3 3 3 3 3" xfId="34823" xr:uid="{00000000-0005-0000-0000-000090770000}"/>
    <cellStyle name="Normal 5 3 3 3 3 4" xfId="11340" xr:uid="{00000000-0005-0000-0000-000091770000}"/>
    <cellStyle name="Normal 5 3 3 3 3 4 2" xfId="34825" xr:uid="{00000000-0005-0000-0000-000092770000}"/>
    <cellStyle name="Normal 5 3 3 3 3 5" xfId="34818" xr:uid="{00000000-0005-0000-0000-000093770000}"/>
    <cellStyle name="Normal 5 3 3 3 4" xfId="11341" xr:uid="{00000000-0005-0000-0000-000094770000}"/>
    <cellStyle name="Normal 5 3 3 3 4 2" xfId="11342" xr:uid="{00000000-0005-0000-0000-000095770000}"/>
    <cellStyle name="Normal 5 3 3 3 4 2 2" xfId="11343" xr:uid="{00000000-0005-0000-0000-000096770000}"/>
    <cellStyle name="Normal 5 3 3 3 4 2 2 2" xfId="34828" xr:uid="{00000000-0005-0000-0000-000097770000}"/>
    <cellStyle name="Normal 5 3 3 3 4 2 3" xfId="34827" xr:uid="{00000000-0005-0000-0000-000098770000}"/>
    <cellStyle name="Normal 5 3 3 3 4 3" xfId="11344" xr:uid="{00000000-0005-0000-0000-000099770000}"/>
    <cellStyle name="Normal 5 3 3 3 4 3 2" xfId="34829" xr:uid="{00000000-0005-0000-0000-00009A770000}"/>
    <cellStyle name="Normal 5 3 3 3 4 4" xfId="34826" xr:uid="{00000000-0005-0000-0000-00009B770000}"/>
    <cellStyle name="Normal 5 3 3 3 5" xfId="11345" xr:uid="{00000000-0005-0000-0000-00009C770000}"/>
    <cellStyle name="Normal 5 3 3 3 5 2" xfId="11346" xr:uid="{00000000-0005-0000-0000-00009D770000}"/>
    <cellStyle name="Normal 5 3 3 3 5 2 2" xfId="34831" xr:uid="{00000000-0005-0000-0000-00009E770000}"/>
    <cellStyle name="Normal 5 3 3 3 5 3" xfId="34830" xr:uid="{00000000-0005-0000-0000-00009F770000}"/>
    <cellStyle name="Normal 5 3 3 3 6" xfId="11347" xr:uid="{00000000-0005-0000-0000-0000A0770000}"/>
    <cellStyle name="Normal 5 3 3 3 6 2" xfId="34832" xr:uid="{00000000-0005-0000-0000-0000A1770000}"/>
    <cellStyle name="Normal 5 3 3 3 7" xfId="34809" xr:uid="{00000000-0005-0000-0000-0000A2770000}"/>
    <cellStyle name="Normal 5 3 3 4" xfId="11348" xr:uid="{00000000-0005-0000-0000-0000A3770000}"/>
    <cellStyle name="Normal 5 3 3 4 2" xfId="11349" xr:uid="{00000000-0005-0000-0000-0000A4770000}"/>
    <cellStyle name="Normal 5 3 3 4 2 2" xfId="11350" xr:uid="{00000000-0005-0000-0000-0000A5770000}"/>
    <cellStyle name="Normal 5 3 3 4 2 2 2" xfId="11351" xr:uid="{00000000-0005-0000-0000-0000A6770000}"/>
    <cellStyle name="Normal 5 3 3 4 2 2 2 2" xfId="11352" xr:uid="{00000000-0005-0000-0000-0000A7770000}"/>
    <cellStyle name="Normal 5 3 3 4 2 2 2 2 2" xfId="34837" xr:uid="{00000000-0005-0000-0000-0000A8770000}"/>
    <cellStyle name="Normal 5 3 3 4 2 2 2 3" xfId="34836" xr:uid="{00000000-0005-0000-0000-0000A9770000}"/>
    <cellStyle name="Normal 5 3 3 4 2 2 3" xfId="11353" xr:uid="{00000000-0005-0000-0000-0000AA770000}"/>
    <cellStyle name="Normal 5 3 3 4 2 2 3 2" xfId="34838" xr:uid="{00000000-0005-0000-0000-0000AB770000}"/>
    <cellStyle name="Normal 5 3 3 4 2 2 4" xfId="34835" xr:uid="{00000000-0005-0000-0000-0000AC770000}"/>
    <cellStyle name="Normal 5 3 3 4 2 3" xfId="11354" xr:uid="{00000000-0005-0000-0000-0000AD770000}"/>
    <cellStyle name="Normal 5 3 3 4 2 3 2" xfId="11355" xr:uid="{00000000-0005-0000-0000-0000AE770000}"/>
    <cellStyle name="Normal 5 3 3 4 2 3 2 2" xfId="34840" xr:uid="{00000000-0005-0000-0000-0000AF770000}"/>
    <cellStyle name="Normal 5 3 3 4 2 3 3" xfId="34839" xr:uid="{00000000-0005-0000-0000-0000B0770000}"/>
    <cellStyle name="Normal 5 3 3 4 2 4" xfId="11356" xr:uid="{00000000-0005-0000-0000-0000B1770000}"/>
    <cellStyle name="Normal 5 3 3 4 2 4 2" xfId="34841" xr:uid="{00000000-0005-0000-0000-0000B2770000}"/>
    <cellStyle name="Normal 5 3 3 4 2 5" xfId="34834" xr:uid="{00000000-0005-0000-0000-0000B3770000}"/>
    <cellStyle name="Normal 5 3 3 4 3" xfId="11357" xr:uid="{00000000-0005-0000-0000-0000B4770000}"/>
    <cellStyle name="Normal 5 3 3 4 3 2" xfId="11358" xr:uid="{00000000-0005-0000-0000-0000B5770000}"/>
    <cellStyle name="Normal 5 3 3 4 3 2 2" xfId="11359" xr:uid="{00000000-0005-0000-0000-0000B6770000}"/>
    <cellStyle name="Normal 5 3 3 4 3 2 2 2" xfId="11360" xr:uid="{00000000-0005-0000-0000-0000B7770000}"/>
    <cellStyle name="Normal 5 3 3 4 3 2 2 2 2" xfId="34845" xr:uid="{00000000-0005-0000-0000-0000B8770000}"/>
    <cellStyle name="Normal 5 3 3 4 3 2 2 3" xfId="34844" xr:uid="{00000000-0005-0000-0000-0000B9770000}"/>
    <cellStyle name="Normal 5 3 3 4 3 2 3" xfId="11361" xr:uid="{00000000-0005-0000-0000-0000BA770000}"/>
    <cellStyle name="Normal 5 3 3 4 3 2 3 2" xfId="34846" xr:uid="{00000000-0005-0000-0000-0000BB770000}"/>
    <cellStyle name="Normal 5 3 3 4 3 2 4" xfId="34843" xr:uid="{00000000-0005-0000-0000-0000BC770000}"/>
    <cellStyle name="Normal 5 3 3 4 3 3" xfId="11362" xr:uid="{00000000-0005-0000-0000-0000BD770000}"/>
    <cellStyle name="Normal 5 3 3 4 3 3 2" xfId="11363" xr:uid="{00000000-0005-0000-0000-0000BE770000}"/>
    <cellStyle name="Normal 5 3 3 4 3 3 2 2" xfId="34848" xr:uid="{00000000-0005-0000-0000-0000BF770000}"/>
    <cellStyle name="Normal 5 3 3 4 3 3 3" xfId="34847" xr:uid="{00000000-0005-0000-0000-0000C0770000}"/>
    <cellStyle name="Normal 5 3 3 4 3 4" xfId="11364" xr:uid="{00000000-0005-0000-0000-0000C1770000}"/>
    <cellStyle name="Normal 5 3 3 4 3 4 2" xfId="34849" xr:uid="{00000000-0005-0000-0000-0000C2770000}"/>
    <cellStyle name="Normal 5 3 3 4 3 5" xfId="34842" xr:uid="{00000000-0005-0000-0000-0000C3770000}"/>
    <cellStyle name="Normal 5 3 3 4 4" xfId="11365" xr:uid="{00000000-0005-0000-0000-0000C4770000}"/>
    <cellStyle name="Normal 5 3 3 4 4 2" xfId="11366" xr:uid="{00000000-0005-0000-0000-0000C5770000}"/>
    <cellStyle name="Normal 5 3 3 4 4 2 2" xfId="11367" xr:uid="{00000000-0005-0000-0000-0000C6770000}"/>
    <cellStyle name="Normal 5 3 3 4 4 2 2 2" xfId="34852" xr:uid="{00000000-0005-0000-0000-0000C7770000}"/>
    <cellStyle name="Normal 5 3 3 4 4 2 3" xfId="34851" xr:uid="{00000000-0005-0000-0000-0000C8770000}"/>
    <cellStyle name="Normal 5 3 3 4 4 3" xfId="11368" xr:uid="{00000000-0005-0000-0000-0000C9770000}"/>
    <cellStyle name="Normal 5 3 3 4 4 3 2" xfId="34853" xr:uid="{00000000-0005-0000-0000-0000CA770000}"/>
    <cellStyle name="Normal 5 3 3 4 4 4" xfId="34850" xr:uid="{00000000-0005-0000-0000-0000CB770000}"/>
    <cellStyle name="Normal 5 3 3 4 5" xfId="11369" xr:uid="{00000000-0005-0000-0000-0000CC770000}"/>
    <cellStyle name="Normal 5 3 3 4 5 2" xfId="11370" xr:uid="{00000000-0005-0000-0000-0000CD770000}"/>
    <cellStyle name="Normal 5 3 3 4 5 2 2" xfId="34855" xr:uid="{00000000-0005-0000-0000-0000CE770000}"/>
    <cellStyle name="Normal 5 3 3 4 5 3" xfId="34854" xr:uid="{00000000-0005-0000-0000-0000CF770000}"/>
    <cellStyle name="Normal 5 3 3 4 6" xfId="11371" xr:uid="{00000000-0005-0000-0000-0000D0770000}"/>
    <cellStyle name="Normal 5 3 3 4 6 2" xfId="34856" xr:uid="{00000000-0005-0000-0000-0000D1770000}"/>
    <cellStyle name="Normal 5 3 3 4 7" xfId="34833" xr:uid="{00000000-0005-0000-0000-0000D2770000}"/>
    <cellStyle name="Normal 5 3 3 5" xfId="11372" xr:uid="{00000000-0005-0000-0000-0000D3770000}"/>
    <cellStyle name="Normal 5 3 3 5 2" xfId="11373" xr:uid="{00000000-0005-0000-0000-0000D4770000}"/>
    <cellStyle name="Normal 5 3 3 5 2 2" xfId="11374" xr:uid="{00000000-0005-0000-0000-0000D5770000}"/>
    <cellStyle name="Normal 5 3 3 5 2 2 2" xfId="11375" xr:uid="{00000000-0005-0000-0000-0000D6770000}"/>
    <cellStyle name="Normal 5 3 3 5 2 2 2 2" xfId="11376" xr:uid="{00000000-0005-0000-0000-0000D7770000}"/>
    <cellStyle name="Normal 5 3 3 5 2 2 2 2 2" xfId="34861" xr:uid="{00000000-0005-0000-0000-0000D8770000}"/>
    <cellStyle name="Normal 5 3 3 5 2 2 2 3" xfId="34860" xr:uid="{00000000-0005-0000-0000-0000D9770000}"/>
    <cellStyle name="Normal 5 3 3 5 2 2 3" xfId="11377" xr:uid="{00000000-0005-0000-0000-0000DA770000}"/>
    <cellStyle name="Normal 5 3 3 5 2 2 3 2" xfId="34862" xr:uid="{00000000-0005-0000-0000-0000DB770000}"/>
    <cellStyle name="Normal 5 3 3 5 2 2 4" xfId="34859" xr:uid="{00000000-0005-0000-0000-0000DC770000}"/>
    <cellStyle name="Normal 5 3 3 5 2 3" xfId="11378" xr:uid="{00000000-0005-0000-0000-0000DD770000}"/>
    <cellStyle name="Normal 5 3 3 5 2 3 2" xfId="11379" xr:uid="{00000000-0005-0000-0000-0000DE770000}"/>
    <cellStyle name="Normal 5 3 3 5 2 3 2 2" xfId="34864" xr:uid="{00000000-0005-0000-0000-0000DF770000}"/>
    <cellStyle name="Normal 5 3 3 5 2 3 3" xfId="34863" xr:uid="{00000000-0005-0000-0000-0000E0770000}"/>
    <cellStyle name="Normal 5 3 3 5 2 4" xfId="11380" xr:uid="{00000000-0005-0000-0000-0000E1770000}"/>
    <cellStyle name="Normal 5 3 3 5 2 4 2" xfId="34865" xr:uid="{00000000-0005-0000-0000-0000E2770000}"/>
    <cellStyle name="Normal 5 3 3 5 2 5" xfId="34858" xr:uid="{00000000-0005-0000-0000-0000E3770000}"/>
    <cellStyle name="Normal 5 3 3 5 3" xfId="11381" xr:uid="{00000000-0005-0000-0000-0000E4770000}"/>
    <cellStyle name="Normal 5 3 3 5 3 2" xfId="11382" xr:uid="{00000000-0005-0000-0000-0000E5770000}"/>
    <cellStyle name="Normal 5 3 3 5 3 2 2" xfId="11383" xr:uid="{00000000-0005-0000-0000-0000E6770000}"/>
    <cellStyle name="Normal 5 3 3 5 3 2 2 2" xfId="11384" xr:uid="{00000000-0005-0000-0000-0000E7770000}"/>
    <cellStyle name="Normal 5 3 3 5 3 2 2 2 2" xfId="34869" xr:uid="{00000000-0005-0000-0000-0000E8770000}"/>
    <cellStyle name="Normal 5 3 3 5 3 2 2 3" xfId="34868" xr:uid="{00000000-0005-0000-0000-0000E9770000}"/>
    <cellStyle name="Normal 5 3 3 5 3 2 3" xfId="11385" xr:uid="{00000000-0005-0000-0000-0000EA770000}"/>
    <cellStyle name="Normal 5 3 3 5 3 2 3 2" xfId="34870" xr:uid="{00000000-0005-0000-0000-0000EB770000}"/>
    <cellStyle name="Normal 5 3 3 5 3 2 4" xfId="34867" xr:uid="{00000000-0005-0000-0000-0000EC770000}"/>
    <cellStyle name="Normal 5 3 3 5 3 3" xfId="11386" xr:uid="{00000000-0005-0000-0000-0000ED770000}"/>
    <cellStyle name="Normal 5 3 3 5 3 3 2" xfId="11387" xr:uid="{00000000-0005-0000-0000-0000EE770000}"/>
    <cellStyle name="Normal 5 3 3 5 3 3 2 2" xfId="34872" xr:uid="{00000000-0005-0000-0000-0000EF770000}"/>
    <cellStyle name="Normal 5 3 3 5 3 3 3" xfId="34871" xr:uid="{00000000-0005-0000-0000-0000F0770000}"/>
    <cellStyle name="Normal 5 3 3 5 3 4" xfId="11388" xr:uid="{00000000-0005-0000-0000-0000F1770000}"/>
    <cellStyle name="Normal 5 3 3 5 3 4 2" xfId="34873" xr:uid="{00000000-0005-0000-0000-0000F2770000}"/>
    <cellStyle name="Normal 5 3 3 5 3 5" xfId="34866" xr:uid="{00000000-0005-0000-0000-0000F3770000}"/>
    <cellStyle name="Normal 5 3 3 5 4" xfId="11389" xr:uid="{00000000-0005-0000-0000-0000F4770000}"/>
    <cellStyle name="Normal 5 3 3 5 4 2" xfId="11390" xr:uid="{00000000-0005-0000-0000-0000F5770000}"/>
    <cellStyle name="Normal 5 3 3 5 4 2 2" xfId="11391" xr:uid="{00000000-0005-0000-0000-0000F6770000}"/>
    <cellStyle name="Normal 5 3 3 5 4 2 2 2" xfId="34876" xr:uid="{00000000-0005-0000-0000-0000F7770000}"/>
    <cellStyle name="Normal 5 3 3 5 4 2 3" xfId="34875" xr:uid="{00000000-0005-0000-0000-0000F8770000}"/>
    <cellStyle name="Normal 5 3 3 5 4 3" xfId="11392" xr:uid="{00000000-0005-0000-0000-0000F9770000}"/>
    <cellStyle name="Normal 5 3 3 5 4 3 2" xfId="34877" xr:uid="{00000000-0005-0000-0000-0000FA770000}"/>
    <cellStyle name="Normal 5 3 3 5 4 4" xfId="34874" xr:uid="{00000000-0005-0000-0000-0000FB770000}"/>
    <cellStyle name="Normal 5 3 3 5 5" xfId="11393" xr:uid="{00000000-0005-0000-0000-0000FC770000}"/>
    <cellStyle name="Normal 5 3 3 5 5 2" xfId="11394" xr:uid="{00000000-0005-0000-0000-0000FD770000}"/>
    <cellStyle name="Normal 5 3 3 5 5 2 2" xfId="34879" xr:uid="{00000000-0005-0000-0000-0000FE770000}"/>
    <cellStyle name="Normal 5 3 3 5 5 3" xfId="34878" xr:uid="{00000000-0005-0000-0000-0000FF770000}"/>
    <cellStyle name="Normal 5 3 3 5 6" xfId="11395" xr:uid="{00000000-0005-0000-0000-000000780000}"/>
    <cellStyle name="Normal 5 3 3 5 6 2" xfId="34880" xr:uid="{00000000-0005-0000-0000-000001780000}"/>
    <cellStyle name="Normal 5 3 3 5 7" xfId="34857" xr:uid="{00000000-0005-0000-0000-000002780000}"/>
    <cellStyle name="Normal 5 3 3 6" xfId="11396" xr:uid="{00000000-0005-0000-0000-000003780000}"/>
    <cellStyle name="Normal 5 3 3 6 2" xfId="11397" xr:uid="{00000000-0005-0000-0000-000004780000}"/>
    <cellStyle name="Normal 5 3 3 6 2 2" xfId="11398" xr:uid="{00000000-0005-0000-0000-000005780000}"/>
    <cellStyle name="Normal 5 3 3 6 2 2 2" xfId="11399" xr:uid="{00000000-0005-0000-0000-000006780000}"/>
    <cellStyle name="Normal 5 3 3 6 2 2 2 2" xfId="34884" xr:uid="{00000000-0005-0000-0000-000007780000}"/>
    <cellStyle name="Normal 5 3 3 6 2 2 3" xfId="34883" xr:uid="{00000000-0005-0000-0000-000008780000}"/>
    <cellStyle name="Normal 5 3 3 6 2 3" xfId="11400" xr:uid="{00000000-0005-0000-0000-000009780000}"/>
    <cellStyle name="Normal 5 3 3 6 2 3 2" xfId="34885" xr:uid="{00000000-0005-0000-0000-00000A780000}"/>
    <cellStyle name="Normal 5 3 3 6 2 4" xfId="34882" xr:uid="{00000000-0005-0000-0000-00000B780000}"/>
    <cellStyle name="Normal 5 3 3 6 3" xfId="11401" xr:uid="{00000000-0005-0000-0000-00000C780000}"/>
    <cellStyle name="Normal 5 3 3 6 3 2" xfId="11402" xr:uid="{00000000-0005-0000-0000-00000D780000}"/>
    <cellStyle name="Normal 5 3 3 6 3 2 2" xfId="34887" xr:uid="{00000000-0005-0000-0000-00000E780000}"/>
    <cellStyle name="Normal 5 3 3 6 3 3" xfId="34886" xr:uid="{00000000-0005-0000-0000-00000F780000}"/>
    <cellStyle name="Normal 5 3 3 6 4" xfId="11403" xr:uid="{00000000-0005-0000-0000-000010780000}"/>
    <cellStyle name="Normal 5 3 3 6 4 2" xfId="34888" xr:uid="{00000000-0005-0000-0000-000011780000}"/>
    <cellStyle name="Normal 5 3 3 6 5" xfId="34881" xr:uid="{00000000-0005-0000-0000-000012780000}"/>
    <cellStyle name="Normal 5 3 3 7" xfId="11404" xr:uid="{00000000-0005-0000-0000-000013780000}"/>
    <cellStyle name="Normal 5 3 3 7 2" xfId="11405" xr:uid="{00000000-0005-0000-0000-000014780000}"/>
    <cellStyle name="Normal 5 3 3 7 2 2" xfId="11406" xr:uid="{00000000-0005-0000-0000-000015780000}"/>
    <cellStyle name="Normal 5 3 3 7 2 2 2" xfId="11407" xr:uid="{00000000-0005-0000-0000-000016780000}"/>
    <cellStyle name="Normal 5 3 3 7 2 2 2 2" xfId="34892" xr:uid="{00000000-0005-0000-0000-000017780000}"/>
    <cellStyle name="Normal 5 3 3 7 2 2 3" xfId="34891" xr:uid="{00000000-0005-0000-0000-000018780000}"/>
    <cellStyle name="Normal 5 3 3 7 2 3" xfId="11408" xr:uid="{00000000-0005-0000-0000-000019780000}"/>
    <cellStyle name="Normal 5 3 3 7 2 3 2" xfId="34893" xr:uid="{00000000-0005-0000-0000-00001A780000}"/>
    <cellStyle name="Normal 5 3 3 7 2 4" xfId="34890" xr:uid="{00000000-0005-0000-0000-00001B780000}"/>
    <cellStyle name="Normal 5 3 3 7 3" xfId="11409" xr:uid="{00000000-0005-0000-0000-00001C780000}"/>
    <cellStyle name="Normal 5 3 3 7 3 2" xfId="11410" xr:uid="{00000000-0005-0000-0000-00001D780000}"/>
    <cellStyle name="Normal 5 3 3 7 3 2 2" xfId="34895" xr:uid="{00000000-0005-0000-0000-00001E780000}"/>
    <cellStyle name="Normal 5 3 3 7 3 3" xfId="34894" xr:uid="{00000000-0005-0000-0000-00001F780000}"/>
    <cellStyle name="Normal 5 3 3 7 4" xfId="11411" xr:uid="{00000000-0005-0000-0000-000020780000}"/>
    <cellStyle name="Normal 5 3 3 7 4 2" xfId="34896" xr:uid="{00000000-0005-0000-0000-000021780000}"/>
    <cellStyle name="Normal 5 3 3 7 5" xfId="34889" xr:uid="{00000000-0005-0000-0000-000022780000}"/>
    <cellStyle name="Normal 5 3 3 8" xfId="11412" xr:uid="{00000000-0005-0000-0000-000023780000}"/>
    <cellStyle name="Normal 5 3 3 8 2" xfId="11413" xr:uid="{00000000-0005-0000-0000-000024780000}"/>
    <cellStyle name="Normal 5 3 3 8 2 2" xfId="11414" xr:uid="{00000000-0005-0000-0000-000025780000}"/>
    <cellStyle name="Normal 5 3 3 8 2 2 2" xfId="34899" xr:uid="{00000000-0005-0000-0000-000026780000}"/>
    <cellStyle name="Normal 5 3 3 8 2 3" xfId="34898" xr:uid="{00000000-0005-0000-0000-000027780000}"/>
    <cellStyle name="Normal 5 3 3 8 3" xfId="11415" xr:uid="{00000000-0005-0000-0000-000028780000}"/>
    <cellStyle name="Normal 5 3 3 8 3 2" xfId="34900" xr:uid="{00000000-0005-0000-0000-000029780000}"/>
    <cellStyle name="Normal 5 3 3 8 4" xfId="34897" xr:uid="{00000000-0005-0000-0000-00002A780000}"/>
    <cellStyle name="Normal 5 3 3 9" xfId="11416" xr:uid="{00000000-0005-0000-0000-00002B780000}"/>
    <cellStyle name="Normal 5 3 3 9 2" xfId="11417" xr:uid="{00000000-0005-0000-0000-00002C780000}"/>
    <cellStyle name="Normal 5 3 3 9 2 2" xfId="34902" xr:uid="{00000000-0005-0000-0000-00002D780000}"/>
    <cellStyle name="Normal 5 3 3 9 3" xfId="34901" xr:uid="{00000000-0005-0000-0000-00002E780000}"/>
    <cellStyle name="Normal 5 3 4" xfId="11418" xr:uid="{00000000-0005-0000-0000-00002F780000}"/>
    <cellStyle name="Normal 5 3 4 10" xfId="34903" xr:uid="{00000000-0005-0000-0000-000030780000}"/>
    <cellStyle name="Normal 5 3 4 2" xfId="11419" xr:uid="{00000000-0005-0000-0000-000031780000}"/>
    <cellStyle name="Normal 5 3 4 2 2" xfId="11420" xr:uid="{00000000-0005-0000-0000-000032780000}"/>
    <cellStyle name="Normal 5 3 4 2 2 2" xfId="11421" xr:uid="{00000000-0005-0000-0000-000033780000}"/>
    <cellStyle name="Normal 5 3 4 2 2 2 2" xfId="11422" xr:uid="{00000000-0005-0000-0000-000034780000}"/>
    <cellStyle name="Normal 5 3 4 2 2 2 2 2" xfId="11423" xr:uid="{00000000-0005-0000-0000-000035780000}"/>
    <cellStyle name="Normal 5 3 4 2 2 2 2 2 2" xfId="34908" xr:uid="{00000000-0005-0000-0000-000036780000}"/>
    <cellStyle name="Normal 5 3 4 2 2 2 2 3" xfId="34907" xr:uid="{00000000-0005-0000-0000-000037780000}"/>
    <cellStyle name="Normal 5 3 4 2 2 2 3" xfId="11424" xr:uid="{00000000-0005-0000-0000-000038780000}"/>
    <cellStyle name="Normal 5 3 4 2 2 2 3 2" xfId="34909" xr:uid="{00000000-0005-0000-0000-000039780000}"/>
    <cellStyle name="Normal 5 3 4 2 2 2 4" xfId="34906" xr:uid="{00000000-0005-0000-0000-00003A780000}"/>
    <cellStyle name="Normal 5 3 4 2 2 3" xfId="11425" xr:uid="{00000000-0005-0000-0000-00003B780000}"/>
    <cellStyle name="Normal 5 3 4 2 2 3 2" xfId="11426" xr:uid="{00000000-0005-0000-0000-00003C780000}"/>
    <cellStyle name="Normal 5 3 4 2 2 3 2 2" xfId="34911" xr:uid="{00000000-0005-0000-0000-00003D780000}"/>
    <cellStyle name="Normal 5 3 4 2 2 3 3" xfId="34910" xr:uid="{00000000-0005-0000-0000-00003E780000}"/>
    <cellStyle name="Normal 5 3 4 2 2 4" xfId="11427" xr:uid="{00000000-0005-0000-0000-00003F780000}"/>
    <cellStyle name="Normal 5 3 4 2 2 4 2" xfId="34912" xr:uid="{00000000-0005-0000-0000-000040780000}"/>
    <cellStyle name="Normal 5 3 4 2 2 5" xfId="34905" xr:uid="{00000000-0005-0000-0000-000041780000}"/>
    <cellStyle name="Normal 5 3 4 2 3" xfId="11428" xr:uid="{00000000-0005-0000-0000-000042780000}"/>
    <cellStyle name="Normal 5 3 4 2 3 2" xfId="11429" xr:uid="{00000000-0005-0000-0000-000043780000}"/>
    <cellStyle name="Normal 5 3 4 2 3 2 2" xfId="11430" xr:uid="{00000000-0005-0000-0000-000044780000}"/>
    <cellStyle name="Normal 5 3 4 2 3 2 2 2" xfId="11431" xr:uid="{00000000-0005-0000-0000-000045780000}"/>
    <cellStyle name="Normal 5 3 4 2 3 2 2 2 2" xfId="34916" xr:uid="{00000000-0005-0000-0000-000046780000}"/>
    <cellStyle name="Normal 5 3 4 2 3 2 2 3" xfId="34915" xr:uid="{00000000-0005-0000-0000-000047780000}"/>
    <cellStyle name="Normal 5 3 4 2 3 2 3" xfId="11432" xr:uid="{00000000-0005-0000-0000-000048780000}"/>
    <cellStyle name="Normal 5 3 4 2 3 2 3 2" xfId="34917" xr:uid="{00000000-0005-0000-0000-000049780000}"/>
    <cellStyle name="Normal 5 3 4 2 3 2 4" xfId="34914" xr:uid="{00000000-0005-0000-0000-00004A780000}"/>
    <cellStyle name="Normal 5 3 4 2 3 3" xfId="11433" xr:uid="{00000000-0005-0000-0000-00004B780000}"/>
    <cellStyle name="Normal 5 3 4 2 3 3 2" xfId="11434" xr:uid="{00000000-0005-0000-0000-00004C780000}"/>
    <cellStyle name="Normal 5 3 4 2 3 3 2 2" xfId="34919" xr:uid="{00000000-0005-0000-0000-00004D780000}"/>
    <cellStyle name="Normal 5 3 4 2 3 3 3" xfId="34918" xr:uid="{00000000-0005-0000-0000-00004E780000}"/>
    <cellStyle name="Normal 5 3 4 2 3 4" xfId="11435" xr:uid="{00000000-0005-0000-0000-00004F780000}"/>
    <cellStyle name="Normal 5 3 4 2 3 4 2" xfId="34920" xr:uid="{00000000-0005-0000-0000-000050780000}"/>
    <cellStyle name="Normal 5 3 4 2 3 5" xfId="34913" xr:uid="{00000000-0005-0000-0000-000051780000}"/>
    <cellStyle name="Normal 5 3 4 2 4" xfId="11436" xr:uid="{00000000-0005-0000-0000-000052780000}"/>
    <cellStyle name="Normal 5 3 4 2 4 2" xfId="11437" xr:uid="{00000000-0005-0000-0000-000053780000}"/>
    <cellStyle name="Normal 5 3 4 2 4 2 2" xfId="11438" xr:uid="{00000000-0005-0000-0000-000054780000}"/>
    <cellStyle name="Normal 5 3 4 2 4 2 2 2" xfId="34923" xr:uid="{00000000-0005-0000-0000-000055780000}"/>
    <cellStyle name="Normal 5 3 4 2 4 2 3" xfId="34922" xr:uid="{00000000-0005-0000-0000-000056780000}"/>
    <cellStyle name="Normal 5 3 4 2 4 3" xfId="11439" xr:uid="{00000000-0005-0000-0000-000057780000}"/>
    <cellStyle name="Normal 5 3 4 2 4 3 2" xfId="34924" xr:uid="{00000000-0005-0000-0000-000058780000}"/>
    <cellStyle name="Normal 5 3 4 2 4 4" xfId="34921" xr:uid="{00000000-0005-0000-0000-000059780000}"/>
    <cellStyle name="Normal 5 3 4 2 5" xfId="11440" xr:uid="{00000000-0005-0000-0000-00005A780000}"/>
    <cellStyle name="Normal 5 3 4 2 5 2" xfId="11441" xr:uid="{00000000-0005-0000-0000-00005B780000}"/>
    <cellStyle name="Normal 5 3 4 2 5 2 2" xfId="34926" xr:uid="{00000000-0005-0000-0000-00005C780000}"/>
    <cellStyle name="Normal 5 3 4 2 5 3" xfId="34925" xr:uid="{00000000-0005-0000-0000-00005D780000}"/>
    <cellStyle name="Normal 5 3 4 2 6" xfId="11442" xr:uid="{00000000-0005-0000-0000-00005E780000}"/>
    <cellStyle name="Normal 5 3 4 2 6 2" xfId="34927" xr:uid="{00000000-0005-0000-0000-00005F780000}"/>
    <cellStyle name="Normal 5 3 4 2 7" xfId="34904" xr:uid="{00000000-0005-0000-0000-000060780000}"/>
    <cellStyle name="Normal 5 3 4 3" xfId="11443" xr:uid="{00000000-0005-0000-0000-000061780000}"/>
    <cellStyle name="Normal 5 3 4 3 2" xfId="11444" xr:uid="{00000000-0005-0000-0000-000062780000}"/>
    <cellStyle name="Normal 5 3 4 3 2 2" xfId="11445" xr:uid="{00000000-0005-0000-0000-000063780000}"/>
    <cellStyle name="Normal 5 3 4 3 2 2 2" xfId="11446" xr:uid="{00000000-0005-0000-0000-000064780000}"/>
    <cellStyle name="Normal 5 3 4 3 2 2 2 2" xfId="11447" xr:uid="{00000000-0005-0000-0000-000065780000}"/>
    <cellStyle name="Normal 5 3 4 3 2 2 2 2 2" xfId="34932" xr:uid="{00000000-0005-0000-0000-000066780000}"/>
    <cellStyle name="Normal 5 3 4 3 2 2 2 3" xfId="34931" xr:uid="{00000000-0005-0000-0000-000067780000}"/>
    <cellStyle name="Normal 5 3 4 3 2 2 3" xfId="11448" xr:uid="{00000000-0005-0000-0000-000068780000}"/>
    <cellStyle name="Normal 5 3 4 3 2 2 3 2" xfId="34933" xr:uid="{00000000-0005-0000-0000-000069780000}"/>
    <cellStyle name="Normal 5 3 4 3 2 2 4" xfId="34930" xr:uid="{00000000-0005-0000-0000-00006A780000}"/>
    <cellStyle name="Normal 5 3 4 3 2 3" xfId="11449" xr:uid="{00000000-0005-0000-0000-00006B780000}"/>
    <cellStyle name="Normal 5 3 4 3 2 3 2" xfId="11450" xr:uid="{00000000-0005-0000-0000-00006C780000}"/>
    <cellStyle name="Normal 5 3 4 3 2 3 2 2" xfId="34935" xr:uid="{00000000-0005-0000-0000-00006D780000}"/>
    <cellStyle name="Normal 5 3 4 3 2 3 3" xfId="34934" xr:uid="{00000000-0005-0000-0000-00006E780000}"/>
    <cellStyle name="Normal 5 3 4 3 2 4" xfId="11451" xr:uid="{00000000-0005-0000-0000-00006F780000}"/>
    <cellStyle name="Normal 5 3 4 3 2 4 2" xfId="34936" xr:uid="{00000000-0005-0000-0000-000070780000}"/>
    <cellStyle name="Normal 5 3 4 3 2 5" xfId="34929" xr:uid="{00000000-0005-0000-0000-000071780000}"/>
    <cellStyle name="Normal 5 3 4 3 3" xfId="11452" xr:uid="{00000000-0005-0000-0000-000072780000}"/>
    <cellStyle name="Normal 5 3 4 3 3 2" xfId="11453" xr:uid="{00000000-0005-0000-0000-000073780000}"/>
    <cellStyle name="Normal 5 3 4 3 3 2 2" xfId="11454" xr:uid="{00000000-0005-0000-0000-000074780000}"/>
    <cellStyle name="Normal 5 3 4 3 3 2 2 2" xfId="11455" xr:uid="{00000000-0005-0000-0000-000075780000}"/>
    <cellStyle name="Normal 5 3 4 3 3 2 2 2 2" xfId="34940" xr:uid="{00000000-0005-0000-0000-000076780000}"/>
    <cellStyle name="Normal 5 3 4 3 3 2 2 3" xfId="34939" xr:uid="{00000000-0005-0000-0000-000077780000}"/>
    <cellStyle name="Normal 5 3 4 3 3 2 3" xfId="11456" xr:uid="{00000000-0005-0000-0000-000078780000}"/>
    <cellStyle name="Normal 5 3 4 3 3 2 3 2" xfId="34941" xr:uid="{00000000-0005-0000-0000-000079780000}"/>
    <cellStyle name="Normal 5 3 4 3 3 2 4" xfId="34938" xr:uid="{00000000-0005-0000-0000-00007A780000}"/>
    <cellStyle name="Normal 5 3 4 3 3 3" xfId="11457" xr:uid="{00000000-0005-0000-0000-00007B780000}"/>
    <cellStyle name="Normal 5 3 4 3 3 3 2" xfId="11458" xr:uid="{00000000-0005-0000-0000-00007C780000}"/>
    <cellStyle name="Normal 5 3 4 3 3 3 2 2" xfId="34943" xr:uid="{00000000-0005-0000-0000-00007D780000}"/>
    <cellStyle name="Normal 5 3 4 3 3 3 3" xfId="34942" xr:uid="{00000000-0005-0000-0000-00007E780000}"/>
    <cellStyle name="Normal 5 3 4 3 3 4" xfId="11459" xr:uid="{00000000-0005-0000-0000-00007F780000}"/>
    <cellStyle name="Normal 5 3 4 3 3 4 2" xfId="34944" xr:uid="{00000000-0005-0000-0000-000080780000}"/>
    <cellStyle name="Normal 5 3 4 3 3 5" xfId="34937" xr:uid="{00000000-0005-0000-0000-000081780000}"/>
    <cellStyle name="Normal 5 3 4 3 4" xfId="11460" xr:uid="{00000000-0005-0000-0000-000082780000}"/>
    <cellStyle name="Normal 5 3 4 3 4 2" xfId="11461" xr:uid="{00000000-0005-0000-0000-000083780000}"/>
    <cellStyle name="Normal 5 3 4 3 4 2 2" xfId="11462" xr:uid="{00000000-0005-0000-0000-000084780000}"/>
    <cellStyle name="Normal 5 3 4 3 4 2 2 2" xfId="34947" xr:uid="{00000000-0005-0000-0000-000085780000}"/>
    <cellStyle name="Normal 5 3 4 3 4 2 3" xfId="34946" xr:uid="{00000000-0005-0000-0000-000086780000}"/>
    <cellStyle name="Normal 5 3 4 3 4 3" xfId="11463" xr:uid="{00000000-0005-0000-0000-000087780000}"/>
    <cellStyle name="Normal 5 3 4 3 4 3 2" xfId="34948" xr:uid="{00000000-0005-0000-0000-000088780000}"/>
    <cellStyle name="Normal 5 3 4 3 4 4" xfId="34945" xr:uid="{00000000-0005-0000-0000-000089780000}"/>
    <cellStyle name="Normal 5 3 4 3 5" xfId="11464" xr:uid="{00000000-0005-0000-0000-00008A780000}"/>
    <cellStyle name="Normal 5 3 4 3 5 2" xfId="11465" xr:uid="{00000000-0005-0000-0000-00008B780000}"/>
    <cellStyle name="Normal 5 3 4 3 5 2 2" xfId="34950" xr:uid="{00000000-0005-0000-0000-00008C780000}"/>
    <cellStyle name="Normal 5 3 4 3 5 3" xfId="34949" xr:uid="{00000000-0005-0000-0000-00008D780000}"/>
    <cellStyle name="Normal 5 3 4 3 6" xfId="11466" xr:uid="{00000000-0005-0000-0000-00008E780000}"/>
    <cellStyle name="Normal 5 3 4 3 6 2" xfId="34951" xr:uid="{00000000-0005-0000-0000-00008F780000}"/>
    <cellStyle name="Normal 5 3 4 3 7" xfId="34928" xr:uid="{00000000-0005-0000-0000-000090780000}"/>
    <cellStyle name="Normal 5 3 4 4" xfId="11467" xr:uid="{00000000-0005-0000-0000-000091780000}"/>
    <cellStyle name="Normal 5 3 4 4 2" xfId="11468" xr:uid="{00000000-0005-0000-0000-000092780000}"/>
    <cellStyle name="Normal 5 3 4 4 2 2" xfId="11469" xr:uid="{00000000-0005-0000-0000-000093780000}"/>
    <cellStyle name="Normal 5 3 4 4 2 2 2" xfId="11470" xr:uid="{00000000-0005-0000-0000-000094780000}"/>
    <cellStyle name="Normal 5 3 4 4 2 2 2 2" xfId="11471" xr:uid="{00000000-0005-0000-0000-000095780000}"/>
    <cellStyle name="Normal 5 3 4 4 2 2 2 2 2" xfId="34956" xr:uid="{00000000-0005-0000-0000-000096780000}"/>
    <cellStyle name="Normal 5 3 4 4 2 2 2 3" xfId="34955" xr:uid="{00000000-0005-0000-0000-000097780000}"/>
    <cellStyle name="Normal 5 3 4 4 2 2 3" xfId="11472" xr:uid="{00000000-0005-0000-0000-000098780000}"/>
    <cellStyle name="Normal 5 3 4 4 2 2 3 2" xfId="34957" xr:uid="{00000000-0005-0000-0000-000099780000}"/>
    <cellStyle name="Normal 5 3 4 4 2 2 4" xfId="34954" xr:uid="{00000000-0005-0000-0000-00009A780000}"/>
    <cellStyle name="Normal 5 3 4 4 2 3" xfId="11473" xr:uid="{00000000-0005-0000-0000-00009B780000}"/>
    <cellStyle name="Normal 5 3 4 4 2 3 2" xfId="11474" xr:uid="{00000000-0005-0000-0000-00009C780000}"/>
    <cellStyle name="Normal 5 3 4 4 2 3 2 2" xfId="34959" xr:uid="{00000000-0005-0000-0000-00009D780000}"/>
    <cellStyle name="Normal 5 3 4 4 2 3 3" xfId="34958" xr:uid="{00000000-0005-0000-0000-00009E780000}"/>
    <cellStyle name="Normal 5 3 4 4 2 4" xfId="11475" xr:uid="{00000000-0005-0000-0000-00009F780000}"/>
    <cellStyle name="Normal 5 3 4 4 2 4 2" xfId="34960" xr:uid="{00000000-0005-0000-0000-0000A0780000}"/>
    <cellStyle name="Normal 5 3 4 4 2 5" xfId="34953" xr:uid="{00000000-0005-0000-0000-0000A1780000}"/>
    <cellStyle name="Normal 5 3 4 4 3" xfId="11476" xr:uid="{00000000-0005-0000-0000-0000A2780000}"/>
    <cellStyle name="Normal 5 3 4 4 3 2" xfId="11477" xr:uid="{00000000-0005-0000-0000-0000A3780000}"/>
    <cellStyle name="Normal 5 3 4 4 3 2 2" xfId="11478" xr:uid="{00000000-0005-0000-0000-0000A4780000}"/>
    <cellStyle name="Normal 5 3 4 4 3 2 2 2" xfId="11479" xr:uid="{00000000-0005-0000-0000-0000A5780000}"/>
    <cellStyle name="Normal 5 3 4 4 3 2 2 2 2" xfId="34964" xr:uid="{00000000-0005-0000-0000-0000A6780000}"/>
    <cellStyle name="Normal 5 3 4 4 3 2 2 3" xfId="34963" xr:uid="{00000000-0005-0000-0000-0000A7780000}"/>
    <cellStyle name="Normal 5 3 4 4 3 2 3" xfId="11480" xr:uid="{00000000-0005-0000-0000-0000A8780000}"/>
    <cellStyle name="Normal 5 3 4 4 3 2 3 2" xfId="34965" xr:uid="{00000000-0005-0000-0000-0000A9780000}"/>
    <cellStyle name="Normal 5 3 4 4 3 2 4" xfId="34962" xr:uid="{00000000-0005-0000-0000-0000AA780000}"/>
    <cellStyle name="Normal 5 3 4 4 3 3" xfId="11481" xr:uid="{00000000-0005-0000-0000-0000AB780000}"/>
    <cellStyle name="Normal 5 3 4 4 3 3 2" xfId="11482" xr:uid="{00000000-0005-0000-0000-0000AC780000}"/>
    <cellStyle name="Normal 5 3 4 4 3 3 2 2" xfId="34967" xr:uid="{00000000-0005-0000-0000-0000AD780000}"/>
    <cellStyle name="Normal 5 3 4 4 3 3 3" xfId="34966" xr:uid="{00000000-0005-0000-0000-0000AE780000}"/>
    <cellStyle name="Normal 5 3 4 4 3 4" xfId="11483" xr:uid="{00000000-0005-0000-0000-0000AF780000}"/>
    <cellStyle name="Normal 5 3 4 4 3 4 2" xfId="34968" xr:uid="{00000000-0005-0000-0000-0000B0780000}"/>
    <cellStyle name="Normal 5 3 4 4 3 5" xfId="34961" xr:uid="{00000000-0005-0000-0000-0000B1780000}"/>
    <cellStyle name="Normal 5 3 4 4 4" xfId="11484" xr:uid="{00000000-0005-0000-0000-0000B2780000}"/>
    <cellStyle name="Normal 5 3 4 4 4 2" xfId="11485" xr:uid="{00000000-0005-0000-0000-0000B3780000}"/>
    <cellStyle name="Normal 5 3 4 4 4 2 2" xfId="11486" xr:uid="{00000000-0005-0000-0000-0000B4780000}"/>
    <cellStyle name="Normal 5 3 4 4 4 2 2 2" xfId="34971" xr:uid="{00000000-0005-0000-0000-0000B5780000}"/>
    <cellStyle name="Normal 5 3 4 4 4 2 3" xfId="34970" xr:uid="{00000000-0005-0000-0000-0000B6780000}"/>
    <cellStyle name="Normal 5 3 4 4 4 3" xfId="11487" xr:uid="{00000000-0005-0000-0000-0000B7780000}"/>
    <cellStyle name="Normal 5 3 4 4 4 3 2" xfId="34972" xr:uid="{00000000-0005-0000-0000-0000B8780000}"/>
    <cellStyle name="Normal 5 3 4 4 4 4" xfId="34969" xr:uid="{00000000-0005-0000-0000-0000B9780000}"/>
    <cellStyle name="Normal 5 3 4 4 5" xfId="11488" xr:uid="{00000000-0005-0000-0000-0000BA780000}"/>
    <cellStyle name="Normal 5 3 4 4 5 2" xfId="11489" xr:uid="{00000000-0005-0000-0000-0000BB780000}"/>
    <cellStyle name="Normal 5 3 4 4 5 2 2" xfId="34974" xr:uid="{00000000-0005-0000-0000-0000BC780000}"/>
    <cellStyle name="Normal 5 3 4 4 5 3" xfId="34973" xr:uid="{00000000-0005-0000-0000-0000BD780000}"/>
    <cellStyle name="Normal 5 3 4 4 6" xfId="11490" xr:uid="{00000000-0005-0000-0000-0000BE780000}"/>
    <cellStyle name="Normal 5 3 4 4 6 2" xfId="34975" xr:uid="{00000000-0005-0000-0000-0000BF780000}"/>
    <cellStyle name="Normal 5 3 4 4 7" xfId="34952" xr:uid="{00000000-0005-0000-0000-0000C0780000}"/>
    <cellStyle name="Normal 5 3 4 5" xfId="11491" xr:uid="{00000000-0005-0000-0000-0000C1780000}"/>
    <cellStyle name="Normal 5 3 4 5 2" xfId="11492" xr:uid="{00000000-0005-0000-0000-0000C2780000}"/>
    <cellStyle name="Normal 5 3 4 5 2 2" xfId="11493" xr:uid="{00000000-0005-0000-0000-0000C3780000}"/>
    <cellStyle name="Normal 5 3 4 5 2 2 2" xfId="11494" xr:uid="{00000000-0005-0000-0000-0000C4780000}"/>
    <cellStyle name="Normal 5 3 4 5 2 2 2 2" xfId="34979" xr:uid="{00000000-0005-0000-0000-0000C5780000}"/>
    <cellStyle name="Normal 5 3 4 5 2 2 3" xfId="34978" xr:uid="{00000000-0005-0000-0000-0000C6780000}"/>
    <cellStyle name="Normal 5 3 4 5 2 3" xfId="11495" xr:uid="{00000000-0005-0000-0000-0000C7780000}"/>
    <cellStyle name="Normal 5 3 4 5 2 3 2" xfId="34980" xr:uid="{00000000-0005-0000-0000-0000C8780000}"/>
    <cellStyle name="Normal 5 3 4 5 2 4" xfId="34977" xr:uid="{00000000-0005-0000-0000-0000C9780000}"/>
    <cellStyle name="Normal 5 3 4 5 3" xfId="11496" xr:uid="{00000000-0005-0000-0000-0000CA780000}"/>
    <cellStyle name="Normal 5 3 4 5 3 2" xfId="11497" xr:uid="{00000000-0005-0000-0000-0000CB780000}"/>
    <cellStyle name="Normal 5 3 4 5 3 2 2" xfId="34982" xr:uid="{00000000-0005-0000-0000-0000CC780000}"/>
    <cellStyle name="Normal 5 3 4 5 3 3" xfId="34981" xr:uid="{00000000-0005-0000-0000-0000CD780000}"/>
    <cellStyle name="Normal 5 3 4 5 4" xfId="11498" xr:uid="{00000000-0005-0000-0000-0000CE780000}"/>
    <cellStyle name="Normal 5 3 4 5 4 2" xfId="34983" xr:uid="{00000000-0005-0000-0000-0000CF780000}"/>
    <cellStyle name="Normal 5 3 4 5 5" xfId="34976" xr:uid="{00000000-0005-0000-0000-0000D0780000}"/>
    <cellStyle name="Normal 5 3 4 6" xfId="11499" xr:uid="{00000000-0005-0000-0000-0000D1780000}"/>
    <cellStyle name="Normal 5 3 4 6 2" xfId="11500" xr:uid="{00000000-0005-0000-0000-0000D2780000}"/>
    <cellStyle name="Normal 5 3 4 6 2 2" xfId="11501" xr:uid="{00000000-0005-0000-0000-0000D3780000}"/>
    <cellStyle name="Normal 5 3 4 6 2 2 2" xfId="11502" xr:uid="{00000000-0005-0000-0000-0000D4780000}"/>
    <cellStyle name="Normal 5 3 4 6 2 2 2 2" xfId="34987" xr:uid="{00000000-0005-0000-0000-0000D5780000}"/>
    <cellStyle name="Normal 5 3 4 6 2 2 3" xfId="34986" xr:uid="{00000000-0005-0000-0000-0000D6780000}"/>
    <cellStyle name="Normal 5 3 4 6 2 3" xfId="11503" xr:uid="{00000000-0005-0000-0000-0000D7780000}"/>
    <cellStyle name="Normal 5 3 4 6 2 3 2" xfId="34988" xr:uid="{00000000-0005-0000-0000-0000D8780000}"/>
    <cellStyle name="Normal 5 3 4 6 2 4" xfId="34985" xr:uid="{00000000-0005-0000-0000-0000D9780000}"/>
    <cellStyle name="Normal 5 3 4 6 3" xfId="11504" xr:uid="{00000000-0005-0000-0000-0000DA780000}"/>
    <cellStyle name="Normal 5 3 4 6 3 2" xfId="11505" xr:uid="{00000000-0005-0000-0000-0000DB780000}"/>
    <cellStyle name="Normal 5 3 4 6 3 2 2" xfId="34990" xr:uid="{00000000-0005-0000-0000-0000DC780000}"/>
    <cellStyle name="Normal 5 3 4 6 3 3" xfId="34989" xr:uid="{00000000-0005-0000-0000-0000DD780000}"/>
    <cellStyle name="Normal 5 3 4 6 4" xfId="11506" xr:uid="{00000000-0005-0000-0000-0000DE780000}"/>
    <cellStyle name="Normal 5 3 4 6 4 2" xfId="34991" xr:uid="{00000000-0005-0000-0000-0000DF780000}"/>
    <cellStyle name="Normal 5 3 4 6 5" xfId="34984" xr:uid="{00000000-0005-0000-0000-0000E0780000}"/>
    <cellStyle name="Normal 5 3 4 7" xfId="11507" xr:uid="{00000000-0005-0000-0000-0000E1780000}"/>
    <cellStyle name="Normal 5 3 4 7 2" xfId="11508" xr:uid="{00000000-0005-0000-0000-0000E2780000}"/>
    <cellStyle name="Normal 5 3 4 7 2 2" xfId="11509" xr:uid="{00000000-0005-0000-0000-0000E3780000}"/>
    <cellStyle name="Normal 5 3 4 7 2 2 2" xfId="34994" xr:uid="{00000000-0005-0000-0000-0000E4780000}"/>
    <cellStyle name="Normal 5 3 4 7 2 3" xfId="34993" xr:uid="{00000000-0005-0000-0000-0000E5780000}"/>
    <cellStyle name="Normal 5 3 4 7 3" xfId="11510" xr:uid="{00000000-0005-0000-0000-0000E6780000}"/>
    <cellStyle name="Normal 5 3 4 7 3 2" xfId="34995" xr:uid="{00000000-0005-0000-0000-0000E7780000}"/>
    <cellStyle name="Normal 5 3 4 7 4" xfId="34992" xr:uid="{00000000-0005-0000-0000-0000E8780000}"/>
    <cellStyle name="Normal 5 3 4 8" xfId="11511" xr:uid="{00000000-0005-0000-0000-0000E9780000}"/>
    <cellStyle name="Normal 5 3 4 8 2" xfId="11512" xr:uid="{00000000-0005-0000-0000-0000EA780000}"/>
    <cellStyle name="Normal 5 3 4 8 2 2" xfId="34997" xr:uid="{00000000-0005-0000-0000-0000EB780000}"/>
    <cellStyle name="Normal 5 3 4 8 3" xfId="34996" xr:uid="{00000000-0005-0000-0000-0000EC780000}"/>
    <cellStyle name="Normal 5 3 4 9" xfId="11513" xr:uid="{00000000-0005-0000-0000-0000ED780000}"/>
    <cellStyle name="Normal 5 3 4 9 2" xfId="34998" xr:uid="{00000000-0005-0000-0000-0000EE780000}"/>
    <cellStyle name="Normal 5 3 5" xfId="11514" xr:uid="{00000000-0005-0000-0000-0000EF780000}"/>
    <cellStyle name="Normal 5 3 5 10" xfId="34999" xr:uid="{00000000-0005-0000-0000-0000F0780000}"/>
    <cellStyle name="Normal 5 3 5 2" xfId="11515" xr:uid="{00000000-0005-0000-0000-0000F1780000}"/>
    <cellStyle name="Normal 5 3 5 2 2" xfId="11516" xr:uid="{00000000-0005-0000-0000-0000F2780000}"/>
    <cellStyle name="Normal 5 3 5 2 2 2" xfId="11517" xr:uid="{00000000-0005-0000-0000-0000F3780000}"/>
    <cellStyle name="Normal 5 3 5 2 2 2 2" xfId="11518" xr:uid="{00000000-0005-0000-0000-0000F4780000}"/>
    <cellStyle name="Normal 5 3 5 2 2 2 2 2" xfId="11519" xr:uid="{00000000-0005-0000-0000-0000F5780000}"/>
    <cellStyle name="Normal 5 3 5 2 2 2 2 2 2" xfId="35004" xr:uid="{00000000-0005-0000-0000-0000F6780000}"/>
    <cellStyle name="Normal 5 3 5 2 2 2 2 3" xfId="35003" xr:uid="{00000000-0005-0000-0000-0000F7780000}"/>
    <cellStyle name="Normal 5 3 5 2 2 2 3" xfId="11520" xr:uid="{00000000-0005-0000-0000-0000F8780000}"/>
    <cellStyle name="Normal 5 3 5 2 2 2 3 2" xfId="35005" xr:uid="{00000000-0005-0000-0000-0000F9780000}"/>
    <cellStyle name="Normal 5 3 5 2 2 2 4" xfId="35002" xr:uid="{00000000-0005-0000-0000-0000FA780000}"/>
    <cellStyle name="Normal 5 3 5 2 2 3" xfId="11521" xr:uid="{00000000-0005-0000-0000-0000FB780000}"/>
    <cellStyle name="Normal 5 3 5 2 2 3 2" xfId="11522" xr:uid="{00000000-0005-0000-0000-0000FC780000}"/>
    <cellStyle name="Normal 5 3 5 2 2 3 2 2" xfId="35007" xr:uid="{00000000-0005-0000-0000-0000FD780000}"/>
    <cellStyle name="Normal 5 3 5 2 2 3 3" xfId="35006" xr:uid="{00000000-0005-0000-0000-0000FE780000}"/>
    <cellStyle name="Normal 5 3 5 2 2 4" xfId="11523" xr:uid="{00000000-0005-0000-0000-0000FF780000}"/>
    <cellStyle name="Normal 5 3 5 2 2 4 2" xfId="35008" xr:uid="{00000000-0005-0000-0000-000000790000}"/>
    <cellStyle name="Normal 5 3 5 2 2 5" xfId="35001" xr:uid="{00000000-0005-0000-0000-000001790000}"/>
    <cellStyle name="Normal 5 3 5 2 3" xfId="11524" xr:uid="{00000000-0005-0000-0000-000002790000}"/>
    <cellStyle name="Normal 5 3 5 2 3 2" xfId="11525" xr:uid="{00000000-0005-0000-0000-000003790000}"/>
    <cellStyle name="Normal 5 3 5 2 3 2 2" xfId="11526" xr:uid="{00000000-0005-0000-0000-000004790000}"/>
    <cellStyle name="Normal 5 3 5 2 3 2 2 2" xfId="11527" xr:uid="{00000000-0005-0000-0000-000005790000}"/>
    <cellStyle name="Normal 5 3 5 2 3 2 2 2 2" xfId="35012" xr:uid="{00000000-0005-0000-0000-000006790000}"/>
    <cellStyle name="Normal 5 3 5 2 3 2 2 3" xfId="35011" xr:uid="{00000000-0005-0000-0000-000007790000}"/>
    <cellStyle name="Normal 5 3 5 2 3 2 3" xfId="11528" xr:uid="{00000000-0005-0000-0000-000008790000}"/>
    <cellStyle name="Normal 5 3 5 2 3 2 3 2" xfId="35013" xr:uid="{00000000-0005-0000-0000-000009790000}"/>
    <cellStyle name="Normal 5 3 5 2 3 2 4" xfId="35010" xr:uid="{00000000-0005-0000-0000-00000A790000}"/>
    <cellStyle name="Normal 5 3 5 2 3 3" xfId="11529" xr:uid="{00000000-0005-0000-0000-00000B790000}"/>
    <cellStyle name="Normal 5 3 5 2 3 3 2" xfId="11530" xr:uid="{00000000-0005-0000-0000-00000C790000}"/>
    <cellStyle name="Normal 5 3 5 2 3 3 2 2" xfId="35015" xr:uid="{00000000-0005-0000-0000-00000D790000}"/>
    <cellStyle name="Normal 5 3 5 2 3 3 3" xfId="35014" xr:uid="{00000000-0005-0000-0000-00000E790000}"/>
    <cellStyle name="Normal 5 3 5 2 3 4" xfId="11531" xr:uid="{00000000-0005-0000-0000-00000F790000}"/>
    <cellStyle name="Normal 5 3 5 2 3 4 2" xfId="35016" xr:uid="{00000000-0005-0000-0000-000010790000}"/>
    <cellStyle name="Normal 5 3 5 2 3 5" xfId="35009" xr:uid="{00000000-0005-0000-0000-000011790000}"/>
    <cellStyle name="Normal 5 3 5 2 4" xfId="11532" xr:uid="{00000000-0005-0000-0000-000012790000}"/>
    <cellStyle name="Normal 5 3 5 2 4 2" xfId="11533" xr:uid="{00000000-0005-0000-0000-000013790000}"/>
    <cellStyle name="Normal 5 3 5 2 4 2 2" xfId="11534" xr:uid="{00000000-0005-0000-0000-000014790000}"/>
    <cellStyle name="Normal 5 3 5 2 4 2 2 2" xfId="35019" xr:uid="{00000000-0005-0000-0000-000015790000}"/>
    <cellStyle name="Normal 5 3 5 2 4 2 3" xfId="35018" xr:uid="{00000000-0005-0000-0000-000016790000}"/>
    <cellStyle name="Normal 5 3 5 2 4 3" xfId="11535" xr:uid="{00000000-0005-0000-0000-000017790000}"/>
    <cellStyle name="Normal 5 3 5 2 4 3 2" xfId="35020" xr:uid="{00000000-0005-0000-0000-000018790000}"/>
    <cellStyle name="Normal 5 3 5 2 4 4" xfId="35017" xr:uid="{00000000-0005-0000-0000-000019790000}"/>
    <cellStyle name="Normal 5 3 5 2 5" xfId="11536" xr:uid="{00000000-0005-0000-0000-00001A790000}"/>
    <cellStyle name="Normal 5 3 5 2 5 2" xfId="11537" xr:uid="{00000000-0005-0000-0000-00001B790000}"/>
    <cellStyle name="Normal 5 3 5 2 5 2 2" xfId="35022" xr:uid="{00000000-0005-0000-0000-00001C790000}"/>
    <cellStyle name="Normal 5 3 5 2 5 3" xfId="35021" xr:uid="{00000000-0005-0000-0000-00001D790000}"/>
    <cellStyle name="Normal 5 3 5 2 6" xfId="11538" xr:uid="{00000000-0005-0000-0000-00001E790000}"/>
    <cellStyle name="Normal 5 3 5 2 6 2" xfId="35023" xr:uid="{00000000-0005-0000-0000-00001F790000}"/>
    <cellStyle name="Normal 5 3 5 2 7" xfId="35000" xr:uid="{00000000-0005-0000-0000-000020790000}"/>
    <cellStyle name="Normal 5 3 5 3" xfId="11539" xr:uid="{00000000-0005-0000-0000-000021790000}"/>
    <cellStyle name="Normal 5 3 5 3 2" xfId="11540" xr:uid="{00000000-0005-0000-0000-000022790000}"/>
    <cellStyle name="Normal 5 3 5 3 2 2" xfId="11541" xr:uid="{00000000-0005-0000-0000-000023790000}"/>
    <cellStyle name="Normal 5 3 5 3 2 2 2" xfId="11542" xr:uid="{00000000-0005-0000-0000-000024790000}"/>
    <cellStyle name="Normal 5 3 5 3 2 2 2 2" xfId="11543" xr:uid="{00000000-0005-0000-0000-000025790000}"/>
    <cellStyle name="Normal 5 3 5 3 2 2 2 2 2" xfId="35028" xr:uid="{00000000-0005-0000-0000-000026790000}"/>
    <cellStyle name="Normal 5 3 5 3 2 2 2 3" xfId="35027" xr:uid="{00000000-0005-0000-0000-000027790000}"/>
    <cellStyle name="Normal 5 3 5 3 2 2 3" xfId="11544" xr:uid="{00000000-0005-0000-0000-000028790000}"/>
    <cellStyle name="Normal 5 3 5 3 2 2 3 2" xfId="35029" xr:uid="{00000000-0005-0000-0000-000029790000}"/>
    <cellStyle name="Normal 5 3 5 3 2 2 4" xfId="35026" xr:uid="{00000000-0005-0000-0000-00002A790000}"/>
    <cellStyle name="Normal 5 3 5 3 2 3" xfId="11545" xr:uid="{00000000-0005-0000-0000-00002B790000}"/>
    <cellStyle name="Normal 5 3 5 3 2 3 2" xfId="11546" xr:uid="{00000000-0005-0000-0000-00002C790000}"/>
    <cellStyle name="Normal 5 3 5 3 2 3 2 2" xfId="35031" xr:uid="{00000000-0005-0000-0000-00002D790000}"/>
    <cellStyle name="Normal 5 3 5 3 2 3 3" xfId="35030" xr:uid="{00000000-0005-0000-0000-00002E790000}"/>
    <cellStyle name="Normal 5 3 5 3 2 4" xfId="11547" xr:uid="{00000000-0005-0000-0000-00002F790000}"/>
    <cellStyle name="Normal 5 3 5 3 2 4 2" xfId="35032" xr:uid="{00000000-0005-0000-0000-000030790000}"/>
    <cellStyle name="Normal 5 3 5 3 2 5" xfId="35025" xr:uid="{00000000-0005-0000-0000-000031790000}"/>
    <cellStyle name="Normal 5 3 5 3 3" xfId="11548" xr:uid="{00000000-0005-0000-0000-000032790000}"/>
    <cellStyle name="Normal 5 3 5 3 3 2" xfId="11549" xr:uid="{00000000-0005-0000-0000-000033790000}"/>
    <cellStyle name="Normal 5 3 5 3 3 2 2" xfId="11550" xr:uid="{00000000-0005-0000-0000-000034790000}"/>
    <cellStyle name="Normal 5 3 5 3 3 2 2 2" xfId="11551" xr:uid="{00000000-0005-0000-0000-000035790000}"/>
    <cellStyle name="Normal 5 3 5 3 3 2 2 2 2" xfId="35036" xr:uid="{00000000-0005-0000-0000-000036790000}"/>
    <cellStyle name="Normal 5 3 5 3 3 2 2 3" xfId="35035" xr:uid="{00000000-0005-0000-0000-000037790000}"/>
    <cellStyle name="Normal 5 3 5 3 3 2 3" xfId="11552" xr:uid="{00000000-0005-0000-0000-000038790000}"/>
    <cellStyle name="Normal 5 3 5 3 3 2 3 2" xfId="35037" xr:uid="{00000000-0005-0000-0000-000039790000}"/>
    <cellStyle name="Normal 5 3 5 3 3 2 4" xfId="35034" xr:uid="{00000000-0005-0000-0000-00003A790000}"/>
    <cellStyle name="Normal 5 3 5 3 3 3" xfId="11553" xr:uid="{00000000-0005-0000-0000-00003B790000}"/>
    <cellStyle name="Normal 5 3 5 3 3 3 2" xfId="11554" xr:uid="{00000000-0005-0000-0000-00003C790000}"/>
    <cellStyle name="Normal 5 3 5 3 3 3 2 2" xfId="35039" xr:uid="{00000000-0005-0000-0000-00003D790000}"/>
    <cellStyle name="Normal 5 3 5 3 3 3 3" xfId="35038" xr:uid="{00000000-0005-0000-0000-00003E790000}"/>
    <cellStyle name="Normal 5 3 5 3 3 4" xfId="11555" xr:uid="{00000000-0005-0000-0000-00003F790000}"/>
    <cellStyle name="Normal 5 3 5 3 3 4 2" xfId="35040" xr:uid="{00000000-0005-0000-0000-000040790000}"/>
    <cellStyle name="Normal 5 3 5 3 3 5" xfId="35033" xr:uid="{00000000-0005-0000-0000-000041790000}"/>
    <cellStyle name="Normal 5 3 5 3 4" xfId="11556" xr:uid="{00000000-0005-0000-0000-000042790000}"/>
    <cellStyle name="Normal 5 3 5 3 4 2" xfId="11557" xr:uid="{00000000-0005-0000-0000-000043790000}"/>
    <cellStyle name="Normal 5 3 5 3 4 2 2" xfId="11558" xr:uid="{00000000-0005-0000-0000-000044790000}"/>
    <cellStyle name="Normal 5 3 5 3 4 2 2 2" xfId="35043" xr:uid="{00000000-0005-0000-0000-000045790000}"/>
    <cellStyle name="Normal 5 3 5 3 4 2 3" xfId="35042" xr:uid="{00000000-0005-0000-0000-000046790000}"/>
    <cellStyle name="Normal 5 3 5 3 4 3" xfId="11559" xr:uid="{00000000-0005-0000-0000-000047790000}"/>
    <cellStyle name="Normal 5 3 5 3 4 3 2" xfId="35044" xr:uid="{00000000-0005-0000-0000-000048790000}"/>
    <cellStyle name="Normal 5 3 5 3 4 4" xfId="35041" xr:uid="{00000000-0005-0000-0000-000049790000}"/>
    <cellStyle name="Normal 5 3 5 3 5" xfId="11560" xr:uid="{00000000-0005-0000-0000-00004A790000}"/>
    <cellStyle name="Normal 5 3 5 3 5 2" xfId="11561" xr:uid="{00000000-0005-0000-0000-00004B790000}"/>
    <cellStyle name="Normal 5 3 5 3 5 2 2" xfId="35046" xr:uid="{00000000-0005-0000-0000-00004C790000}"/>
    <cellStyle name="Normal 5 3 5 3 5 3" xfId="35045" xr:uid="{00000000-0005-0000-0000-00004D790000}"/>
    <cellStyle name="Normal 5 3 5 3 6" xfId="11562" xr:uid="{00000000-0005-0000-0000-00004E790000}"/>
    <cellStyle name="Normal 5 3 5 3 6 2" xfId="35047" xr:uid="{00000000-0005-0000-0000-00004F790000}"/>
    <cellStyle name="Normal 5 3 5 3 7" xfId="35024" xr:uid="{00000000-0005-0000-0000-000050790000}"/>
    <cellStyle name="Normal 5 3 5 4" xfId="11563" xr:uid="{00000000-0005-0000-0000-000051790000}"/>
    <cellStyle name="Normal 5 3 5 4 2" xfId="11564" xr:uid="{00000000-0005-0000-0000-000052790000}"/>
    <cellStyle name="Normal 5 3 5 4 2 2" xfId="11565" xr:uid="{00000000-0005-0000-0000-000053790000}"/>
    <cellStyle name="Normal 5 3 5 4 2 2 2" xfId="11566" xr:uid="{00000000-0005-0000-0000-000054790000}"/>
    <cellStyle name="Normal 5 3 5 4 2 2 2 2" xfId="11567" xr:uid="{00000000-0005-0000-0000-000055790000}"/>
    <cellStyle name="Normal 5 3 5 4 2 2 2 2 2" xfId="35052" xr:uid="{00000000-0005-0000-0000-000056790000}"/>
    <cellStyle name="Normal 5 3 5 4 2 2 2 3" xfId="35051" xr:uid="{00000000-0005-0000-0000-000057790000}"/>
    <cellStyle name="Normal 5 3 5 4 2 2 3" xfId="11568" xr:uid="{00000000-0005-0000-0000-000058790000}"/>
    <cellStyle name="Normal 5 3 5 4 2 2 3 2" xfId="35053" xr:uid="{00000000-0005-0000-0000-000059790000}"/>
    <cellStyle name="Normal 5 3 5 4 2 2 4" xfId="35050" xr:uid="{00000000-0005-0000-0000-00005A790000}"/>
    <cellStyle name="Normal 5 3 5 4 2 3" xfId="11569" xr:uid="{00000000-0005-0000-0000-00005B790000}"/>
    <cellStyle name="Normal 5 3 5 4 2 3 2" xfId="11570" xr:uid="{00000000-0005-0000-0000-00005C790000}"/>
    <cellStyle name="Normal 5 3 5 4 2 3 2 2" xfId="35055" xr:uid="{00000000-0005-0000-0000-00005D790000}"/>
    <cellStyle name="Normal 5 3 5 4 2 3 3" xfId="35054" xr:uid="{00000000-0005-0000-0000-00005E790000}"/>
    <cellStyle name="Normal 5 3 5 4 2 4" xfId="11571" xr:uid="{00000000-0005-0000-0000-00005F790000}"/>
    <cellStyle name="Normal 5 3 5 4 2 4 2" xfId="35056" xr:uid="{00000000-0005-0000-0000-000060790000}"/>
    <cellStyle name="Normal 5 3 5 4 2 5" xfId="35049" xr:uid="{00000000-0005-0000-0000-000061790000}"/>
    <cellStyle name="Normal 5 3 5 4 3" xfId="11572" xr:uid="{00000000-0005-0000-0000-000062790000}"/>
    <cellStyle name="Normal 5 3 5 4 3 2" xfId="11573" xr:uid="{00000000-0005-0000-0000-000063790000}"/>
    <cellStyle name="Normal 5 3 5 4 3 2 2" xfId="11574" xr:uid="{00000000-0005-0000-0000-000064790000}"/>
    <cellStyle name="Normal 5 3 5 4 3 2 2 2" xfId="11575" xr:uid="{00000000-0005-0000-0000-000065790000}"/>
    <cellStyle name="Normal 5 3 5 4 3 2 2 2 2" xfId="35060" xr:uid="{00000000-0005-0000-0000-000066790000}"/>
    <cellStyle name="Normal 5 3 5 4 3 2 2 3" xfId="35059" xr:uid="{00000000-0005-0000-0000-000067790000}"/>
    <cellStyle name="Normal 5 3 5 4 3 2 3" xfId="11576" xr:uid="{00000000-0005-0000-0000-000068790000}"/>
    <cellStyle name="Normal 5 3 5 4 3 2 3 2" xfId="35061" xr:uid="{00000000-0005-0000-0000-000069790000}"/>
    <cellStyle name="Normal 5 3 5 4 3 2 4" xfId="35058" xr:uid="{00000000-0005-0000-0000-00006A790000}"/>
    <cellStyle name="Normal 5 3 5 4 3 3" xfId="11577" xr:uid="{00000000-0005-0000-0000-00006B790000}"/>
    <cellStyle name="Normal 5 3 5 4 3 3 2" xfId="11578" xr:uid="{00000000-0005-0000-0000-00006C790000}"/>
    <cellStyle name="Normal 5 3 5 4 3 3 2 2" xfId="35063" xr:uid="{00000000-0005-0000-0000-00006D790000}"/>
    <cellStyle name="Normal 5 3 5 4 3 3 3" xfId="35062" xr:uid="{00000000-0005-0000-0000-00006E790000}"/>
    <cellStyle name="Normal 5 3 5 4 3 4" xfId="11579" xr:uid="{00000000-0005-0000-0000-00006F790000}"/>
    <cellStyle name="Normal 5 3 5 4 3 4 2" xfId="35064" xr:uid="{00000000-0005-0000-0000-000070790000}"/>
    <cellStyle name="Normal 5 3 5 4 3 5" xfId="35057" xr:uid="{00000000-0005-0000-0000-000071790000}"/>
    <cellStyle name="Normal 5 3 5 4 4" xfId="11580" xr:uid="{00000000-0005-0000-0000-000072790000}"/>
    <cellStyle name="Normal 5 3 5 4 4 2" xfId="11581" xr:uid="{00000000-0005-0000-0000-000073790000}"/>
    <cellStyle name="Normal 5 3 5 4 4 2 2" xfId="11582" xr:uid="{00000000-0005-0000-0000-000074790000}"/>
    <cellStyle name="Normal 5 3 5 4 4 2 2 2" xfId="35067" xr:uid="{00000000-0005-0000-0000-000075790000}"/>
    <cellStyle name="Normal 5 3 5 4 4 2 3" xfId="35066" xr:uid="{00000000-0005-0000-0000-000076790000}"/>
    <cellStyle name="Normal 5 3 5 4 4 3" xfId="11583" xr:uid="{00000000-0005-0000-0000-000077790000}"/>
    <cellStyle name="Normal 5 3 5 4 4 3 2" xfId="35068" xr:uid="{00000000-0005-0000-0000-000078790000}"/>
    <cellStyle name="Normal 5 3 5 4 4 4" xfId="35065" xr:uid="{00000000-0005-0000-0000-000079790000}"/>
    <cellStyle name="Normal 5 3 5 4 5" xfId="11584" xr:uid="{00000000-0005-0000-0000-00007A790000}"/>
    <cellStyle name="Normal 5 3 5 4 5 2" xfId="11585" xr:uid="{00000000-0005-0000-0000-00007B790000}"/>
    <cellStyle name="Normal 5 3 5 4 5 2 2" xfId="35070" xr:uid="{00000000-0005-0000-0000-00007C790000}"/>
    <cellStyle name="Normal 5 3 5 4 5 3" xfId="35069" xr:uid="{00000000-0005-0000-0000-00007D790000}"/>
    <cellStyle name="Normal 5 3 5 4 6" xfId="11586" xr:uid="{00000000-0005-0000-0000-00007E790000}"/>
    <cellStyle name="Normal 5 3 5 4 6 2" xfId="35071" xr:uid="{00000000-0005-0000-0000-00007F790000}"/>
    <cellStyle name="Normal 5 3 5 4 7" xfId="35048" xr:uid="{00000000-0005-0000-0000-000080790000}"/>
    <cellStyle name="Normal 5 3 5 5" xfId="11587" xr:uid="{00000000-0005-0000-0000-000081790000}"/>
    <cellStyle name="Normal 5 3 5 5 2" xfId="11588" xr:uid="{00000000-0005-0000-0000-000082790000}"/>
    <cellStyle name="Normal 5 3 5 5 2 2" xfId="11589" xr:uid="{00000000-0005-0000-0000-000083790000}"/>
    <cellStyle name="Normal 5 3 5 5 2 2 2" xfId="11590" xr:uid="{00000000-0005-0000-0000-000084790000}"/>
    <cellStyle name="Normal 5 3 5 5 2 2 2 2" xfId="35075" xr:uid="{00000000-0005-0000-0000-000085790000}"/>
    <cellStyle name="Normal 5 3 5 5 2 2 3" xfId="35074" xr:uid="{00000000-0005-0000-0000-000086790000}"/>
    <cellStyle name="Normal 5 3 5 5 2 3" xfId="11591" xr:uid="{00000000-0005-0000-0000-000087790000}"/>
    <cellStyle name="Normal 5 3 5 5 2 3 2" xfId="35076" xr:uid="{00000000-0005-0000-0000-000088790000}"/>
    <cellStyle name="Normal 5 3 5 5 2 4" xfId="35073" xr:uid="{00000000-0005-0000-0000-000089790000}"/>
    <cellStyle name="Normal 5 3 5 5 3" xfId="11592" xr:uid="{00000000-0005-0000-0000-00008A790000}"/>
    <cellStyle name="Normal 5 3 5 5 3 2" xfId="11593" xr:uid="{00000000-0005-0000-0000-00008B790000}"/>
    <cellStyle name="Normal 5 3 5 5 3 2 2" xfId="35078" xr:uid="{00000000-0005-0000-0000-00008C790000}"/>
    <cellStyle name="Normal 5 3 5 5 3 3" xfId="35077" xr:uid="{00000000-0005-0000-0000-00008D790000}"/>
    <cellStyle name="Normal 5 3 5 5 4" xfId="11594" xr:uid="{00000000-0005-0000-0000-00008E790000}"/>
    <cellStyle name="Normal 5 3 5 5 4 2" xfId="35079" xr:uid="{00000000-0005-0000-0000-00008F790000}"/>
    <cellStyle name="Normal 5 3 5 5 5" xfId="35072" xr:uid="{00000000-0005-0000-0000-000090790000}"/>
    <cellStyle name="Normal 5 3 5 6" xfId="11595" xr:uid="{00000000-0005-0000-0000-000091790000}"/>
    <cellStyle name="Normal 5 3 5 6 2" xfId="11596" xr:uid="{00000000-0005-0000-0000-000092790000}"/>
    <cellStyle name="Normal 5 3 5 6 2 2" xfId="11597" xr:uid="{00000000-0005-0000-0000-000093790000}"/>
    <cellStyle name="Normal 5 3 5 6 2 2 2" xfId="11598" xr:uid="{00000000-0005-0000-0000-000094790000}"/>
    <cellStyle name="Normal 5 3 5 6 2 2 2 2" xfId="35083" xr:uid="{00000000-0005-0000-0000-000095790000}"/>
    <cellStyle name="Normal 5 3 5 6 2 2 3" xfId="35082" xr:uid="{00000000-0005-0000-0000-000096790000}"/>
    <cellStyle name="Normal 5 3 5 6 2 3" xfId="11599" xr:uid="{00000000-0005-0000-0000-000097790000}"/>
    <cellStyle name="Normal 5 3 5 6 2 3 2" xfId="35084" xr:uid="{00000000-0005-0000-0000-000098790000}"/>
    <cellStyle name="Normal 5 3 5 6 2 4" xfId="35081" xr:uid="{00000000-0005-0000-0000-000099790000}"/>
    <cellStyle name="Normal 5 3 5 6 3" xfId="11600" xr:uid="{00000000-0005-0000-0000-00009A790000}"/>
    <cellStyle name="Normal 5 3 5 6 3 2" xfId="11601" xr:uid="{00000000-0005-0000-0000-00009B790000}"/>
    <cellStyle name="Normal 5 3 5 6 3 2 2" xfId="35086" xr:uid="{00000000-0005-0000-0000-00009C790000}"/>
    <cellStyle name="Normal 5 3 5 6 3 3" xfId="35085" xr:uid="{00000000-0005-0000-0000-00009D790000}"/>
    <cellStyle name="Normal 5 3 5 6 4" xfId="11602" xr:uid="{00000000-0005-0000-0000-00009E790000}"/>
    <cellStyle name="Normal 5 3 5 6 4 2" xfId="35087" xr:uid="{00000000-0005-0000-0000-00009F790000}"/>
    <cellStyle name="Normal 5 3 5 6 5" xfId="35080" xr:uid="{00000000-0005-0000-0000-0000A0790000}"/>
    <cellStyle name="Normal 5 3 5 7" xfId="11603" xr:uid="{00000000-0005-0000-0000-0000A1790000}"/>
    <cellStyle name="Normal 5 3 5 7 2" xfId="11604" xr:uid="{00000000-0005-0000-0000-0000A2790000}"/>
    <cellStyle name="Normal 5 3 5 7 2 2" xfId="11605" xr:uid="{00000000-0005-0000-0000-0000A3790000}"/>
    <cellStyle name="Normal 5 3 5 7 2 2 2" xfId="35090" xr:uid="{00000000-0005-0000-0000-0000A4790000}"/>
    <cellStyle name="Normal 5 3 5 7 2 3" xfId="35089" xr:uid="{00000000-0005-0000-0000-0000A5790000}"/>
    <cellStyle name="Normal 5 3 5 7 3" xfId="11606" xr:uid="{00000000-0005-0000-0000-0000A6790000}"/>
    <cellStyle name="Normal 5 3 5 7 3 2" xfId="35091" xr:uid="{00000000-0005-0000-0000-0000A7790000}"/>
    <cellStyle name="Normal 5 3 5 7 4" xfId="35088" xr:uid="{00000000-0005-0000-0000-0000A8790000}"/>
    <cellStyle name="Normal 5 3 5 8" xfId="11607" xr:uid="{00000000-0005-0000-0000-0000A9790000}"/>
    <cellStyle name="Normal 5 3 5 8 2" xfId="11608" xr:uid="{00000000-0005-0000-0000-0000AA790000}"/>
    <cellStyle name="Normal 5 3 5 8 2 2" xfId="35093" xr:uid="{00000000-0005-0000-0000-0000AB790000}"/>
    <cellStyle name="Normal 5 3 5 8 3" xfId="35092" xr:uid="{00000000-0005-0000-0000-0000AC790000}"/>
    <cellStyle name="Normal 5 3 5 9" xfId="11609" xr:uid="{00000000-0005-0000-0000-0000AD790000}"/>
    <cellStyle name="Normal 5 3 5 9 2" xfId="35094" xr:uid="{00000000-0005-0000-0000-0000AE790000}"/>
    <cellStyle name="Normal 5 3 6" xfId="11610" xr:uid="{00000000-0005-0000-0000-0000AF790000}"/>
    <cellStyle name="Normal 5 3 6 2" xfId="11611" xr:uid="{00000000-0005-0000-0000-0000B0790000}"/>
    <cellStyle name="Normal 5 3 6 2 2" xfId="11612" xr:uid="{00000000-0005-0000-0000-0000B1790000}"/>
    <cellStyle name="Normal 5 3 6 2 2 2" xfId="11613" xr:uid="{00000000-0005-0000-0000-0000B2790000}"/>
    <cellStyle name="Normal 5 3 6 2 2 2 2" xfId="11614" xr:uid="{00000000-0005-0000-0000-0000B3790000}"/>
    <cellStyle name="Normal 5 3 6 2 2 2 2 2" xfId="35099" xr:uid="{00000000-0005-0000-0000-0000B4790000}"/>
    <cellStyle name="Normal 5 3 6 2 2 2 3" xfId="35098" xr:uid="{00000000-0005-0000-0000-0000B5790000}"/>
    <cellStyle name="Normal 5 3 6 2 2 3" xfId="11615" xr:uid="{00000000-0005-0000-0000-0000B6790000}"/>
    <cellStyle name="Normal 5 3 6 2 2 3 2" xfId="35100" xr:uid="{00000000-0005-0000-0000-0000B7790000}"/>
    <cellStyle name="Normal 5 3 6 2 2 4" xfId="35097" xr:uid="{00000000-0005-0000-0000-0000B8790000}"/>
    <cellStyle name="Normal 5 3 6 2 3" xfId="11616" xr:uid="{00000000-0005-0000-0000-0000B9790000}"/>
    <cellStyle name="Normal 5 3 6 2 3 2" xfId="11617" xr:uid="{00000000-0005-0000-0000-0000BA790000}"/>
    <cellStyle name="Normal 5 3 6 2 3 2 2" xfId="35102" xr:uid="{00000000-0005-0000-0000-0000BB790000}"/>
    <cellStyle name="Normal 5 3 6 2 3 3" xfId="35101" xr:uid="{00000000-0005-0000-0000-0000BC790000}"/>
    <cellStyle name="Normal 5 3 6 2 4" xfId="11618" xr:uid="{00000000-0005-0000-0000-0000BD790000}"/>
    <cellStyle name="Normal 5 3 6 2 4 2" xfId="35103" xr:uid="{00000000-0005-0000-0000-0000BE790000}"/>
    <cellStyle name="Normal 5 3 6 2 5" xfId="35096" xr:uid="{00000000-0005-0000-0000-0000BF790000}"/>
    <cellStyle name="Normal 5 3 6 3" xfId="11619" xr:uid="{00000000-0005-0000-0000-0000C0790000}"/>
    <cellStyle name="Normal 5 3 6 3 2" xfId="11620" xr:uid="{00000000-0005-0000-0000-0000C1790000}"/>
    <cellStyle name="Normal 5 3 6 3 2 2" xfId="11621" xr:uid="{00000000-0005-0000-0000-0000C2790000}"/>
    <cellStyle name="Normal 5 3 6 3 2 2 2" xfId="11622" xr:uid="{00000000-0005-0000-0000-0000C3790000}"/>
    <cellStyle name="Normal 5 3 6 3 2 2 2 2" xfId="35107" xr:uid="{00000000-0005-0000-0000-0000C4790000}"/>
    <cellStyle name="Normal 5 3 6 3 2 2 3" xfId="35106" xr:uid="{00000000-0005-0000-0000-0000C5790000}"/>
    <cellStyle name="Normal 5 3 6 3 2 3" xfId="11623" xr:uid="{00000000-0005-0000-0000-0000C6790000}"/>
    <cellStyle name="Normal 5 3 6 3 2 3 2" xfId="35108" xr:uid="{00000000-0005-0000-0000-0000C7790000}"/>
    <cellStyle name="Normal 5 3 6 3 2 4" xfId="35105" xr:uid="{00000000-0005-0000-0000-0000C8790000}"/>
    <cellStyle name="Normal 5 3 6 3 3" xfId="11624" xr:uid="{00000000-0005-0000-0000-0000C9790000}"/>
    <cellStyle name="Normal 5 3 6 3 3 2" xfId="11625" xr:uid="{00000000-0005-0000-0000-0000CA790000}"/>
    <cellStyle name="Normal 5 3 6 3 3 2 2" xfId="35110" xr:uid="{00000000-0005-0000-0000-0000CB790000}"/>
    <cellStyle name="Normal 5 3 6 3 3 3" xfId="35109" xr:uid="{00000000-0005-0000-0000-0000CC790000}"/>
    <cellStyle name="Normal 5 3 6 3 4" xfId="11626" xr:uid="{00000000-0005-0000-0000-0000CD790000}"/>
    <cellStyle name="Normal 5 3 6 3 4 2" xfId="35111" xr:uid="{00000000-0005-0000-0000-0000CE790000}"/>
    <cellStyle name="Normal 5 3 6 3 5" xfId="35104" xr:uid="{00000000-0005-0000-0000-0000CF790000}"/>
    <cellStyle name="Normal 5 3 6 4" xfId="11627" xr:uid="{00000000-0005-0000-0000-0000D0790000}"/>
    <cellStyle name="Normal 5 3 6 4 2" xfId="11628" xr:uid="{00000000-0005-0000-0000-0000D1790000}"/>
    <cellStyle name="Normal 5 3 6 4 2 2" xfId="11629" xr:uid="{00000000-0005-0000-0000-0000D2790000}"/>
    <cellStyle name="Normal 5 3 6 4 2 2 2" xfId="35114" xr:uid="{00000000-0005-0000-0000-0000D3790000}"/>
    <cellStyle name="Normal 5 3 6 4 2 3" xfId="35113" xr:uid="{00000000-0005-0000-0000-0000D4790000}"/>
    <cellStyle name="Normal 5 3 6 4 3" xfId="11630" xr:uid="{00000000-0005-0000-0000-0000D5790000}"/>
    <cellStyle name="Normal 5 3 6 4 3 2" xfId="35115" xr:uid="{00000000-0005-0000-0000-0000D6790000}"/>
    <cellStyle name="Normal 5 3 6 4 4" xfId="35112" xr:uid="{00000000-0005-0000-0000-0000D7790000}"/>
    <cellStyle name="Normal 5 3 6 5" xfId="11631" xr:uid="{00000000-0005-0000-0000-0000D8790000}"/>
    <cellStyle name="Normal 5 3 6 5 2" xfId="11632" xr:uid="{00000000-0005-0000-0000-0000D9790000}"/>
    <cellStyle name="Normal 5 3 6 5 2 2" xfId="35117" xr:uid="{00000000-0005-0000-0000-0000DA790000}"/>
    <cellStyle name="Normal 5 3 6 5 3" xfId="35116" xr:uid="{00000000-0005-0000-0000-0000DB790000}"/>
    <cellStyle name="Normal 5 3 6 6" xfId="11633" xr:uid="{00000000-0005-0000-0000-0000DC790000}"/>
    <cellStyle name="Normal 5 3 6 6 2" xfId="35118" xr:uid="{00000000-0005-0000-0000-0000DD790000}"/>
    <cellStyle name="Normal 5 3 6 7" xfId="35095" xr:uid="{00000000-0005-0000-0000-0000DE790000}"/>
    <cellStyle name="Normal 5 3 7" xfId="11634" xr:uid="{00000000-0005-0000-0000-0000DF790000}"/>
    <cellStyle name="Normal 5 3 7 2" xfId="11635" xr:uid="{00000000-0005-0000-0000-0000E0790000}"/>
    <cellStyle name="Normal 5 3 7 2 2" xfId="11636" xr:uid="{00000000-0005-0000-0000-0000E1790000}"/>
    <cellStyle name="Normal 5 3 7 2 2 2" xfId="11637" xr:uid="{00000000-0005-0000-0000-0000E2790000}"/>
    <cellStyle name="Normal 5 3 7 2 2 2 2" xfId="11638" xr:uid="{00000000-0005-0000-0000-0000E3790000}"/>
    <cellStyle name="Normal 5 3 7 2 2 2 2 2" xfId="35123" xr:uid="{00000000-0005-0000-0000-0000E4790000}"/>
    <cellStyle name="Normal 5 3 7 2 2 2 3" xfId="35122" xr:uid="{00000000-0005-0000-0000-0000E5790000}"/>
    <cellStyle name="Normal 5 3 7 2 2 3" xfId="11639" xr:uid="{00000000-0005-0000-0000-0000E6790000}"/>
    <cellStyle name="Normal 5 3 7 2 2 3 2" xfId="35124" xr:uid="{00000000-0005-0000-0000-0000E7790000}"/>
    <cellStyle name="Normal 5 3 7 2 2 4" xfId="35121" xr:uid="{00000000-0005-0000-0000-0000E8790000}"/>
    <cellStyle name="Normal 5 3 7 2 3" xfId="11640" xr:uid="{00000000-0005-0000-0000-0000E9790000}"/>
    <cellStyle name="Normal 5 3 7 2 3 2" xfId="11641" xr:uid="{00000000-0005-0000-0000-0000EA790000}"/>
    <cellStyle name="Normal 5 3 7 2 3 2 2" xfId="35126" xr:uid="{00000000-0005-0000-0000-0000EB790000}"/>
    <cellStyle name="Normal 5 3 7 2 3 3" xfId="35125" xr:uid="{00000000-0005-0000-0000-0000EC790000}"/>
    <cellStyle name="Normal 5 3 7 2 4" xfId="11642" xr:uid="{00000000-0005-0000-0000-0000ED790000}"/>
    <cellStyle name="Normal 5 3 7 2 4 2" xfId="35127" xr:uid="{00000000-0005-0000-0000-0000EE790000}"/>
    <cellStyle name="Normal 5 3 7 2 5" xfId="35120" xr:uid="{00000000-0005-0000-0000-0000EF790000}"/>
    <cellStyle name="Normal 5 3 7 3" xfId="11643" xr:uid="{00000000-0005-0000-0000-0000F0790000}"/>
    <cellStyle name="Normal 5 3 7 3 2" xfId="11644" xr:uid="{00000000-0005-0000-0000-0000F1790000}"/>
    <cellStyle name="Normal 5 3 7 3 2 2" xfId="11645" xr:uid="{00000000-0005-0000-0000-0000F2790000}"/>
    <cellStyle name="Normal 5 3 7 3 2 2 2" xfId="11646" xr:uid="{00000000-0005-0000-0000-0000F3790000}"/>
    <cellStyle name="Normal 5 3 7 3 2 2 2 2" xfId="35131" xr:uid="{00000000-0005-0000-0000-0000F4790000}"/>
    <cellStyle name="Normal 5 3 7 3 2 2 3" xfId="35130" xr:uid="{00000000-0005-0000-0000-0000F5790000}"/>
    <cellStyle name="Normal 5 3 7 3 2 3" xfId="11647" xr:uid="{00000000-0005-0000-0000-0000F6790000}"/>
    <cellStyle name="Normal 5 3 7 3 2 3 2" xfId="35132" xr:uid="{00000000-0005-0000-0000-0000F7790000}"/>
    <cellStyle name="Normal 5 3 7 3 2 4" xfId="35129" xr:uid="{00000000-0005-0000-0000-0000F8790000}"/>
    <cellStyle name="Normal 5 3 7 3 3" xfId="11648" xr:uid="{00000000-0005-0000-0000-0000F9790000}"/>
    <cellStyle name="Normal 5 3 7 3 3 2" xfId="11649" xr:uid="{00000000-0005-0000-0000-0000FA790000}"/>
    <cellStyle name="Normal 5 3 7 3 3 2 2" xfId="35134" xr:uid="{00000000-0005-0000-0000-0000FB790000}"/>
    <cellStyle name="Normal 5 3 7 3 3 3" xfId="35133" xr:uid="{00000000-0005-0000-0000-0000FC790000}"/>
    <cellStyle name="Normal 5 3 7 3 4" xfId="11650" xr:uid="{00000000-0005-0000-0000-0000FD790000}"/>
    <cellStyle name="Normal 5 3 7 3 4 2" xfId="35135" xr:uid="{00000000-0005-0000-0000-0000FE790000}"/>
    <cellStyle name="Normal 5 3 7 3 5" xfId="35128" xr:uid="{00000000-0005-0000-0000-0000FF790000}"/>
    <cellStyle name="Normal 5 3 7 4" xfId="11651" xr:uid="{00000000-0005-0000-0000-0000007A0000}"/>
    <cellStyle name="Normal 5 3 7 4 2" xfId="11652" xr:uid="{00000000-0005-0000-0000-0000017A0000}"/>
    <cellStyle name="Normal 5 3 7 4 2 2" xfId="11653" xr:uid="{00000000-0005-0000-0000-0000027A0000}"/>
    <cellStyle name="Normal 5 3 7 4 2 2 2" xfId="35138" xr:uid="{00000000-0005-0000-0000-0000037A0000}"/>
    <cellStyle name="Normal 5 3 7 4 2 3" xfId="35137" xr:uid="{00000000-0005-0000-0000-0000047A0000}"/>
    <cellStyle name="Normal 5 3 7 4 3" xfId="11654" xr:uid="{00000000-0005-0000-0000-0000057A0000}"/>
    <cellStyle name="Normal 5 3 7 4 3 2" xfId="35139" xr:uid="{00000000-0005-0000-0000-0000067A0000}"/>
    <cellStyle name="Normal 5 3 7 4 4" xfId="35136" xr:uid="{00000000-0005-0000-0000-0000077A0000}"/>
    <cellStyle name="Normal 5 3 7 5" xfId="11655" xr:uid="{00000000-0005-0000-0000-0000087A0000}"/>
    <cellStyle name="Normal 5 3 7 5 2" xfId="11656" xr:uid="{00000000-0005-0000-0000-0000097A0000}"/>
    <cellStyle name="Normal 5 3 7 5 2 2" xfId="35141" xr:uid="{00000000-0005-0000-0000-00000A7A0000}"/>
    <cellStyle name="Normal 5 3 7 5 3" xfId="35140" xr:uid="{00000000-0005-0000-0000-00000B7A0000}"/>
    <cellStyle name="Normal 5 3 7 6" xfId="11657" xr:uid="{00000000-0005-0000-0000-00000C7A0000}"/>
    <cellStyle name="Normal 5 3 7 6 2" xfId="35142" xr:uid="{00000000-0005-0000-0000-00000D7A0000}"/>
    <cellStyle name="Normal 5 3 7 7" xfId="35119" xr:uid="{00000000-0005-0000-0000-00000E7A0000}"/>
    <cellStyle name="Normal 5 3 8" xfId="11658" xr:uid="{00000000-0005-0000-0000-00000F7A0000}"/>
    <cellStyle name="Normal 5 3 8 2" xfId="11659" xr:uid="{00000000-0005-0000-0000-0000107A0000}"/>
    <cellStyle name="Normal 5 3 8 2 2" xfId="11660" xr:uid="{00000000-0005-0000-0000-0000117A0000}"/>
    <cellStyle name="Normal 5 3 8 2 2 2" xfId="11661" xr:uid="{00000000-0005-0000-0000-0000127A0000}"/>
    <cellStyle name="Normal 5 3 8 2 2 2 2" xfId="11662" xr:uid="{00000000-0005-0000-0000-0000137A0000}"/>
    <cellStyle name="Normal 5 3 8 2 2 2 2 2" xfId="35147" xr:uid="{00000000-0005-0000-0000-0000147A0000}"/>
    <cellStyle name="Normal 5 3 8 2 2 2 3" xfId="35146" xr:uid="{00000000-0005-0000-0000-0000157A0000}"/>
    <cellStyle name="Normal 5 3 8 2 2 3" xfId="11663" xr:uid="{00000000-0005-0000-0000-0000167A0000}"/>
    <cellStyle name="Normal 5 3 8 2 2 3 2" xfId="35148" xr:uid="{00000000-0005-0000-0000-0000177A0000}"/>
    <cellStyle name="Normal 5 3 8 2 2 4" xfId="35145" xr:uid="{00000000-0005-0000-0000-0000187A0000}"/>
    <cellStyle name="Normal 5 3 8 2 3" xfId="11664" xr:uid="{00000000-0005-0000-0000-0000197A0000}"/>
    <cellStyle name="Normal 5 3 8 2 3 2" xfId="11665" xr:uid="{00000000-0005-0000-0000-00001A7A0000}"/>
    <cellStyle name="Normal 5 3 8 2 3 2 2" xfId="35150" xr:uid="{00000000-0005-0000-0000-00001B7A0000}"/>
    <cellStyle name="Normal 5 3 8 2 3 3" xfId="35149" xr:uid="{00000000-0005-0000-0000-00001C7A0000}"/>
    <cellStyle name="Normal 5 3 8 2 4" xfId="11666" xr:uid="{00000000-0005-0000-0000-00001D7A0000}"/>
    <cellStyle name="Normal 5 3 8 2 4 2" xfId="35151" xr:uid="{00000000-0005-0000-0000-00001E7A0000}"/>
    <cellStyle name="Normal 5 3 8 2 5" xfId="35144" xr:uid="{00000000-0005-0000-0000-00001F7A0000}"/>
    <cellStyle name="Normal 5 3 8 3" xfId="11667" xr:uid="{00000000-0005-0000-0000-0000207A0000}"/>
    <cellStyle name="Normal 5 3 8 3 2" xfId="11668" xr:uid="{00000000-0005-0000-0000-0000217A0000}"/>
    <cellStyle name="Normal 5 3 8 3 2 2" xfId="11669" xr:uid="{00000000-0005-0000-0000-0000227A0000}"/>
    <cellStyle name="Normal 5 3 8 3 2 2 2" xfId="11670" xr:uid="{00000000-0005-0000-0000-0000237A0000}"/>
    <cellStyle name="Normal 5 3 8 3 2 2 2 2" xfId="35155" xr:uid="{00000000-0005-0000-0000-0000247A0000}"/>
    <cellStyle name="Normal 5 3 8 3 2 2 3" xfId="35154" xr:uid="{00000000-0005-0000-0000-0000257A0000}"/>
    <cellStyle name="Normal 5 3 8 3 2 3" xfId="11671" xr:uid="{00000000-0005-0000-0000-0000267A0000}"/>
    <cellStyle name="Normal 5 3 8 3 2 3 2" xfId="35156" xr:uid="{00000000-0005-0000-0000-0000277A0000}"/>
    <cellStyle name="Normal 5 3 8 3 2 4" xfId="35153" xr:uid="{00000000-0005-0000-0000-0000287A0000}"/>
    <cellStyle name="Normal 5 3 8 3 3" xfId="11672" xr:uid="{00000000-0005-0000-0000-0000297A0000}"/>
    <cellStyle name="Normal 5 3 8 3 3 2" xfId="11673" xr:uid="{00000000-0005-0000-0000-00002A7A0000}"/>
    <cellStyle name="Normal 5 3 8 3 3 2 2" xfId="35158" xr:uid="{00000000-0005-0000-0000-00002B7A0000}"/>
    <cellStyle name="Normal 5 3 8 3 3 3" xfId="35157" xr:uid="{00000000-0005-0000-0000-00002C7A0000}"/>
    <cellStyle name="Normal 5 3 8 3 4" xfId="11674" xr:uid="{00000000-0005-0000-0000-00002D7A0000}"/>
    <cellStyle name="Normal 5 3 8 3 4 2" xfId="35159" xr:uid="{00000000-0005-0000-0000-00002E7A0000}"/>
    <cellStyle name="Normal 5 3 8 3 5" xfId="35152" xr:uid="{00000000-0005-0000-0000-00002F7A0000}"/>
    <cellStyle name="Normal 5 3 8 4" xfId="11675" xr:uid="{00000000-0005-0000-0000-0000307A0000}"/>
    <cellStyle name="Normal 5 3 8 4 2" xfId="11676" xr:uid="{00000000-0005-0000-0000-0000317A0000}"/>
    <cellStyle name="Normal 5 3 8 4 2 2" xfId="11677" xr:uid="{00000000-0005-0000-0000-0000327A0000}"/>
    <cellStyle name="Normal 5 3 8 4 2 2 2" xfId="35162" xr:uid="{00000000-0005-0000-0000-0000337A0000}"/>
    <cellStyle name="Normal 5 3 8 4 2 3" xfId="35161" xr:uid="{00000000-0005-0000-0000-0000347A0000}"/>
    <cellStyle name="Normal 5 3 8 4 3" xfId="11678" xr:uid="{00000000-0005-0000-0000-0000357A0000}"/>
    <cellStyle name="Normal 5 3 8 4 3 2" xfId="35163" xr:uid="{00000000-0005-0000-0000-0000367A0000}"/>
    <cellStyle name="Normal 5 3 8 4 4" xfId="35160" xr:uid="{00000000-0005-0000-0000-0000377A0000}"/>
    <cellStyle name="Normal 5 3 8 5" xfId="11679" xr:uid="{00000000-0005-0000-0000-0000387A0000}"/>
    <cellStyle name="Normal 5 3 8 5 2" xfId="11680" xr:uid="{00000000-0005-0000-0000-0000397A0000}"/>
    <cellStyle name="Normal 5 3 8 5 2 2" xfId="35165" xr:uid="{00000000-0005-0000-0000-00003A7A0000}"/>
    <cellStyle name="Normal 5 3 8 5 3" xfId="35164" xr:uid="{00000000-0005-0000-0000-00003B7A0000}"/>
    <cellStyle name="Normal 5 3 8 6" xfId="11681" xr:uid="{00000000-0005-0000-0000-00003C7A0000}"/>
    <cellStyle name="Normal 5 3 8 6 2" xfId="35166" xr:uid="{00000000-0005-0000-0000-00003D7A0000}"/>
    <cellStyle name="Normal 5 3 8 7" xfId="35143" xr:uid="{00000000-0005-0000-0000-00003E7A0000}"/>
    <cellStyle name="Normal 5 3 9" xfId="11682" xr:uid="{00000000-0005-0000-0000-00003F7A0000}"/>
    <cellStyle name="Normal 5 3 9 2" xfId="11683" xr:uid="{00000000-0005-0000-0000-0000407A0000}"/>
    <cellStyle name="Normal 5 3 9 2 2" xfId="11684" xr:uid="{00000000-0005-0000-0000-0000417A0000}"/>
    <cellStyle name="Normal 5 3 9 2 2 2" xfId="11685" xr:uid="{00000000-0005-0000-0000-0000427A0000}"/>
    <cellStyle name="Normal 5 3 9 2 2 2 2" xfId="11686" xr:uid="{00000000-0005-0000-0000-0000437A0000}"/>
    <cellStyle name="Normal 5 3 9 2 2 2 2 2" xfId="35171" xr:uid="{00000000-0005-0000-0000-0000447A0000}"/>
    <cellStyle name="Normal 5 3 9 2 2 2 3" xfId="35170" xr:uid="{00000000-0005-0000-0000-0000457A0000}"/>
    <cellStyle name="Normal 5 3 9 2 2 3" xfId="11687" xr:uid="{00000000-0005-0000-0000-0000467A0000}"/>
    <cellStyle name="Normal 5 3 9 2 2 3 2" xfId="35172" xr:uid="{00000000-0005-0000-0000-0000477A0000}"/>
    <cellStyle name="Normal 5 3 9 2 2 4" xfId="35169" xr:uid="{00000000-0005-0000-0000-0000487A0000}"/>
    <cellStyle name="Normal 5 3 9 2 3" xfId="11688" xr:uid="{00000000-0005-0000-0000-0000497A0000}"/>
    <cellStyle name="Normal 5 3 9 2 3 2" xfId="11689" xr:uid="{00000000-0005-0000-0000-00004A7A0000}"/>
    <cellStyle name="Normal 5 3 9 2 3 2 2" xfId="35174" xr:uid="{00000000-0005-0000-0000-00004B7A0000}"/>
    <cellStyle name="Normal 5 3 9 2 3 3" xfId="35173" xr:uid="{00000000-0005-0000-0000-00004C7A0000}"/>
    <cellStyle name="Normal 5 3 9 2 4" xfId="11690" xr:uid="{00000000-0005-0000-0000-00004D7A0000}"/>
    <cellStyle name="Normal 5 3 9 2 4 2" xfId="35175" xr:uid="{00000000-0005-0000-0000-00004E7A0000}"/>
    <cellStyle name="Normal 5 3 9 2 5" xfId="35168" xr:uid="{00000000-0005-0000-0000-00004F7A0000}"/>
    <cellStyle name="Normal 5 3 9 3" xfId="11691" xr:uid="{00000000-0005-0000-0000-0000507A0000}"/>
    <cellStyle name="Normal 5 3 9 3 2" xfId="11692" xr:uid="{00000000-0005-0000-0000-0000517A0000}"/>
    <cellStyle name="Normal 5 3 9 3 2 2" xfId="11693" xr:uid="{00000000-0005-0000-0000-0000527A0000}"/>
    <cellStyle name="Normal 5 3 9 3 2 2 2" xfId="11694" xr:uid="{00000000-0005-0000-0000-0000537A0000}"/>
    <cellStyle name="Normal 5 3 9 3 2 2 2 2" xfId="35179" xr:uid="{00000000-0005-0000-0000-0000547A0000}"/>
    <cellStyle name="Normal 5 3 9 3 2 2 3" xfId="35178" xr:uid="{00000000-0005-0000-0000-0000557A0000}"/>
    <cellStyle name="Normal 5 3 9 3 2 3" xfId="11695" xr:uid="{00000000-0005-0000-0000-0000567A0000}"/>
    <cellStyle name="Normal 5 3 9 3 2 3 2" xfId="35180" xr:uid="{00000000-0005-0000-0000-0000577A0000}"/>
    <cellStyle name="Normal 5 3 9 3 2 4" xfId="35177" xr:uid="{00000000-0005-0000-0000-0000587A0000}"/>
    <cellStyle name="Normal 5 3 9 3 3" xfId="11696" xr:uid="{00000000-0005-0000-0000-0000597A0000}"/>
    <cellStyle name="Normal 5 3 9 3 3 2" xfId="11697" xr:uid="{00000000-0005-0000-0000-00005A7A0000}"/>
    <cellStyle name="Normal 5 3 9 3 3 2 2" xfId="35182" xr:uid="{00000000-0005-0000-0000-00005B7A0000}"/>
    <cellStyle name="Normal 5 3 9 3 3 3" xfId="35181" xr:uid="{00000000-0005-0000-0000-00005C7A0000}"/>
    <cellStyle name="Normal 5 3 9 3 4" xfId="11698" xr:uid="{00000000-0005-0000-0000-00005D7A0000}"/>
    <cellStyle name="Normal 5 3 9 3 4 2" xfId="35183" xr:uid="{00000000-0005-0000-0000-00005E7A0000}"/>
    <cellStyle name="Normal 5 3 9 3 5" xfId="35176" xr:uid="{00000000-0005-0000-0000-00005F7A0000}"/>
    <cellStyle name="Normal 5 3 9 4" xfId="11699" xr:uid="{00000000-0005-0000-0000-0000607A0000}"/>
    <cellStyle name="Normal 5 3 9 4 2" xfId="11700" xr:uid="{00000000-0005-0000-0000-0000617A0000}"/>
    <cellStyle name="Normal 5 3 9 4 2 2" xfId="11701" xr:uid="{00000000-0005-0000-0000-0000627A0000}"/>
    <cellStyle name="Normal 5 3 9 4 2 2 2" xfId="35186" xr:uid="{00000000-0005-0000-0000-0000637A0000}"/>
    <cellStyle name="Normal 5 3 9 4 2 3" xfId="35185" xr:uid="{00000000-0005-0000-0000-0000647A0000}"/>
    <cellStyle name="Normal 5 3 9 4 3" xfId="11702" xr:uid="{00000000-0005-0000-0000-0000657A0000}"/>
    <cellStyle name="Normal 5 3 9 4 3 2" xfId="35187" xr:uid="{00000000-0005-0000-0000-0000667A0000}"/>
    <cellStyle name="Normal 5 3 9 4 4" xfId="35184" xr:uid="{00000000-0005-0000-0000-0000677A0000}"/>
    <cellStyle name="Normal 5 3 9 5" xfId="11703" xr:uid="{00000000-0005-0000-0000-0000687A0000}"/>
    <cellStyle name="Normal 5 3 9 5 2" xfId="11704" xr:uid="{00000000-0005-0000-0000-0000697A0000}"/>
    <cellStyle name="Normal 5 3 9 5 2 2" xfId="35189" xr:uid="{00000000-0005-0000-0000-00006A7A0000}"/>
    <cellStyle name="Normal 5 3 9 5 3" xfId="35188" xr:uid="{00000000-0005-0000-0000-00006B7A0000}"/>
    <cellStyle name="Normal 5 3 9 6" xfId="11705" xr:uid="{00000000-0005-0000-0000-00006C7A0000}"/>
    <cellStyle name="Normal 5 3 9 6 2" xfId="35190" xr:uid="{00000000-0005-0000-0000-00006D7A0000}"/>
    <cellStyle name="Normal 5 3 9 7" xfId="35167" xr:uid="{00000000-0005-0000-0000-00006E7A0000}"/>
    <cellStyle name="Normal 5 4" xfId="11706" xr:uid="{00000000-0005-0000-0000-00006F7A0000}"/>
    <cellStyle name="Normal 5 4 10" xfId="11707" xr:uid="{00000000-0005-0000-0000-0000707A0000}"/>
    <cellStyle name="Normal 5 4 10 2" xfId="11708" xr:uid="{00000000-0005-0000-0000-0000717A0000}"/>
    <cellStyle name="Normal 5 4 10 2 2" xfId="11709" xr:uid="{00000000-0005-0000-0000-0000727A0000}"/>
    <cellStyle name="Normal 5 4 10 2 2 2" xfId="11710" xr:uid="{00000000-0005-0000-0000-0000737A0000}"/>
    <cellStyle name="Normal 5 4 10 2 2 2 2" xfId="35195" xr:uid="{00000000-0005-0000-0000-0000747A0000}"/>
    <cellStyle name="Normal 5 4 10 2 2 3" xfId="35194" xr:uid="{00000000-0005-0000-0000-0000757A0000}"/>
    <cellStyle name="Normal 5 4 10 2 3" xfId="11711" xr:uid="{00000000-0005-0000-0000-0000767A0000}"/>
    <cellStyle name="Normal 5 4 10 2 3 2" xfId="35196" xr:uid="{00000000-0005-0000-0000-0000777A0000}"/>
    <cellStyle name="Normal 5 4 10 2 4" xfId="35193" xr:uid="{00000000-0005-0000-0000-0000787A0000}"/>
    <cellStyle name="Normal 5 4 10 3" xfId="11712" xr:uid="{00000000-0005-0000-0000-0000797A0000}"/>
    <cellStyle name="Normal 5 4 10 3 2" xfId="11713" xr:uid="{00000000-0005-0000-0000-00007A7A0000}"/>
    <cellStyle name="Normal 5 4 10 3 2 2" xfId="35198" xr:uid="{00000000-0005-0000-0000-00007B7A0000}"/>
    <cellStyle name="Normal 5 4 10 3 3" xfId="35197" xr:uid="{00000000-0005-0000-0000-00007C7A0000}"/>
    <cellStyle name="Normal 5 4 10 4" xfId="11714" xr:uid="{00000000-0005-0000-0000-00007D7A0000}"/>
    <cellStyle name="Normal 5 4 10 4 2" xfId="35199" xr:uid="{00000000-0005-0000-0000-00007E7A0000}"/>
    <cellStyle name="Normal 5 4 10 5" xfId="35192" xr:uid="{00000000-0005-0000-0000-00007F7A0000}"/>
    <cellStyle name="Normal 5 4 11" xfId="11715" xr:uid="{00000000-0005-0000-0000-0000807A0000}"/>
    <cellStyle name="Normal 5 4 11 2" xfId="11716" xr:uid="{00000000-0005-0000-0000-0000817A0000}"/>
    <cellStyle name="Normal 5 4 11 2 2" xfId="11717" xr:uid="{00000000-0005-0000-0000-0000827A0000}"/>
    <cellStyle name="Normal 5 4 11 2 2 2" xfId="35202" xr:uid="{00000000-0005-0000-0000-0000837A0000}"/>
    <cellStyle name="Normal 5 4 11 2 3" xfId="35201" xr:uid="{00000000-0005-0000-0000-0000847A0000}"/>
    <cellStyle name="Normal 5 4 11 3" xfId="11718" xr:uid="{00000000-0005-0000-0000-0000857A0000}"/>
    <cellStyle name="Normal 5 4 11 3 2" xfId="35203" xr:uid="{00000000-0005-0000-0000-0000867A0000}"/>
    <cellStyle name="Normal 5 4 11 4" xfId="35200" xr:uid="{00000000-0005-0000-0000-0000877A0000}"/>
    <cellStyle name="Normal 5 4 12" xfId="11719" xr:uid="{00000000-0005-0000-0000-0000887A0000}"/>
    <cellStyle name="Normal 5 4 12 2" xfId="11720" xr:uid="{00000000-0005-0000-0000-0000897A0000}"/>
    <cellStyle name="Normal 5 4 12 2 2" xfId="35205" xr:uid="{00000000-0005-0000-0000-00008A7A0000}"/>
    <cellStyle name="Normal 5 4 12 3" xfId="35204" xr:uid="{00000000-0005-0000-0000-00008B7A0000}"/>
    <cellStyle name="Normal 5 4 13" xfId="11721" xr:uid="{00000000-0005-0000-0000-00008C7A0000}"/>
    <cellStyle name="Normal 5 4 13 2" xfId="35206" xr:uid="{00000000-0005-0000-0000-00008D7A0000}"/>
    <cellStyle name="Normal 5 4 14" xfId="21477" xr:uid="{00000000-0005-0000-0000-00008E7A0000}"/>
    <cellStyle name="Normal 5 4 15" xfId="35191" xr:uid="{00000000-0005-0000-0000-00008F7A0000}"/>
    <cellStyle name="Normal 5 4 2" xfId="11722" xr:uid="{00000000-0005-0000-0000-0000907A0000}"/>
    <cellStyle name="Normal 5 4 2 10" xfId="11723" xr:uid="{00000000-0005-0000-0000-0000917A0000}"/>
    <cellStyle name="Normal 5 4 2 10 2" xfId="35208" xr:uid="{00000000-0005-0000-0000-0000927A0000}"/>
    <cellStyle name="Normal 5 4 2 11" xfId="35207" xr:uid="{00000000-0005-0000-0000-0000937A0000}"/>
    <cellStyle name="Normal 5 4 2 2" xfId="11724" xr:uid="{00000000-0005-0000-0000-0000947A0000}"/>
    <cellStyle name="Normal 5 4 2 2 2" xfId="11725" xr:uid="{00000000-0005-0000-0000-0000957A0000}"/>
    <cellStyle name="Normal 5 4 2 2 2 2" xfId="11726" xr:uid="{00000000-0005-0000-0000-0000967A0000}"/>
    <cellStyle name="Normal 5 4 2 2 2 2 2" xfId="11727" xr:uid="{00000000-0005-0000-0000-0000977A0000}"/>
    <cellStyle name="Normal 5 4 2 2 2 2 2 2" xfId="11728" xr:uid="{00000000-0005-0000-0000-0000987A0000}"/>
    <cellStyle name="Normal 5 4 2 2 2 2 2 2 2" xfId="35213" xr:uid="{00000000-0005-0000-0000-0000997A0000}"/>
    <cellStyle name="Normal 5 4 2 2 2 2 2 3" xfId="35212" xr:uid="{00000000-0005-0000-0000-00009A7A0000}"/>
    <cellStyle name="Normal 5 4 2 2 2 2 3" xfId="11729" xr:uid="{00000000-0005-0000-0000-00009B7A0000}"/>
    <cellStyle name="Normal 5 4 2 2 2 2 3 2" xfId="35214" xr:uid="{00000000-0005-0000-0000-00009C7A0000}"/>
    <cellStyle name="Normal 5 4 2 2 2 2 4" xfId="35211" xr:uid="{00000000-0005-0000-0000-00009D7A0000}"/>
    <cellStyle name="Normal 5 4 2 2 2 3" xfId="11730" xr:uid="{00000000-0005-0000-0000-00009E7A0000}"/>
    <cellStyle name="Normal 5 4 2 2 2 3 2" xfId="11731" xr:uid="{00000000-0005-0000-0000-00009F7A0000}"/>
    <cellStyle name="Normal 5 4 2 2 2 3 2 2" xfId="35216" xr:uid="{00000000-0005-0000-0000-0000A07A0000}"/>
    <cellStyle name="Normal 5 4 2 2 2 3 3" xfId="35215" xr:uid="{00000000-0005-0000-0000-0000A17A0000}"/>
    <cellStyle name="Normal 5 4 2 2 2 4" xfId="11732" xr:uid="{00000000-0005-0000-0000-0000A27A0000}"/>
    <cellStyle name="Normal 5 4 2 2 2 4 2" xfId="35217" xr:uid="{00000000-0005-0000-0000-0000A37A0000}"/>
    <cellStyle name="Normal 5 4 2 2 2 5" xfId="35210" xr:uid="{00000000-0005-0000-0000-0000A47A0000}"/>
    <cellStyle name="Normal 5 4 2 2 3" xfId="11733" xr:uid="{00000000-0005-0000-0000-0000A57A0000}"/>
    <cellStyle name="Normal 5 4 2 2 3 2" xfId="11734" xr:uid="{00000000-0005-0000-0000-0000A67A0000}"/>
    <cellStyle name="Normal 5 4 2 2 3 2 2" xfId="11735" xr:uid="{00000000-0005-0000-0000-0000A77A0000}"/>
    <cellStyle name="Normal 5 4 2 2 3 2 2 2" xfId="11736" xr:uid="{00000000-0005-0000-0000-0000A87A0000}"/>
    <cellStyle name="Normal 5 4 2 2 3 2 2 2 2" xfId="35221" xr:uid="{00000000-0005-0000-0000-0000A97A0000}"/>
    <cellStyle name="Normal 5 4 2 2 3 2 2 3" xfId="35220" xr:uid="{00000000-0005-0000-0000-0000AA7A0000}"/>
    <cellStyle name="Normal 5 4 2 2 3 2 3" xfId="11737" xr:uid="{00000000-0005-0000-0000-0000AB7A0000}"/>
    <cellStyle name="Normal 5 4 2 2 3 2 3 2" xfId="35222" xr:uid="{00000000-0005-0000-0000-0000AC7A0000}"/>
    <cellStyle name="Normal 5 4 2 2 3 2 4" xfId="35219" xr:uid="{00000000-0005-0000-0000-0000AD7A0000}"/>
    <cellStyle name="Normal 5 4 2 2 3 3" xfId="11738" xr:uid="{00000000-0005-0000-0000-0000AE7A0000}"/>
    <cellStyle name="Normal 5 4 2 2 3 3 2" xfId="11739" xr:uid="{00000000-0005-0000-0000-0000AF7A0000}"/>
    <cellStyle name="Normal 5 4 2 2 3 3 2 2" xfId="35224" xr:uid="{00000000-0005-0000-0000-0000B07A0000}"/>
    <cellStyle name="Normal 5 4 2 2 3 3 3" xfId="35223" xr:uid="{00000000-0005-0000-0000-0000B17A0000}"/>
    <cellStyle name="Normal 5 4 2 2 3 4" xfId="11740" xr:uid="{00000000-0005-0000-0000-0000B27A0000}"/>
    <cellStyle name="Normal 5 4 2 2 3 4 2" xfId="35225" xr:uid="{00000000-0005-0000-0000-0000B37A0000}"/>
    <cellStyle name="Normal 5 4 2 2 3 5" xfId="35218" xr:uid="{00000000-0005-0000-0000-0000B47A0000}"/>
    <cellStyle name="Normal 5 4 2 2 4" xfId="11741" xr:uid="{00000000-0005-0000-0000-0000B57A0000}"/>
    <cellStyle name="Normal 5 4 2 2 4 2" xfId="11742" xr:uid="{00000000-0005-0000-0000-0000B67A0000}"/>
    <cellStyle name="Normal 5 4 2 2 4 2 2" xfId="11743" xr:uid="{00000000-0005-0000-0000-0000B77A0000}"/>
    <cellStyle name="Normal 5 4 2 2 4 2 2 2" xfId="35228" xr:uid="{00000000-0005-0000-0000-0000B87A0000}"/>
    <cellStyle name="Normal 5 4 2 2 4 2 3" xfId="35227" xr:uid="{00000000-0005-0000-0000-0000B97A0000}"/>
    <cellStyle name="Normal 5 4 2 2 4 3" xfId="11744" xr:uid="{00000000-0005-0000-0000-0000BA7A0000}"/>
    <cellStyle name="Normal 5 4 2 2 4 3 2" xfId="35229" xr:uid="{00000000-0005-0000-0000-0000BB7A0000}"/>
    <cellStyle name="Normal 5 4 2 2 4 4" xfId="35226" xr:uid="{00000000-0005-0000-0000-0000BC7A0000}"/>
    <cellStyle name="Normal 5 4 2 2 5" xfId="11745" xr:uid="{00000000-0005-0000-0000-0000BD7A0000}"/>
    <cellStyle name="Normal 5 4 2 2 5 2" xfId="11746" xr:uid="{00000000-0005-0000-0000-0000BE7A0000}"/>
    <cellStyle name="Normal 5 4 2 2 5 2 2" xfId="35231" xr:uid="{00000000-0005-0000-0000-0000BF7A0000}"/>
    <cellStyle name="Normal 5 4 2 2 5 3" xfId="35230" xr:uid="{00000000-0005-0000-0000-0000C07A0000}"/>
    <cellStyle name="Normal 5 4 2 2 6" xfId="11747" xr:uid="{00000000-0005-0000-0000-0000C17A0000}"/>
    <cellStyle name="Normal 5 4 2 2 6 2" xfId="35232" xr:uid="{00000000-0005-0000-0000-0000C27A0000}"/>
    <cellStyle name="Normal 5 4 2 2 7" xfId="35209" xr:uid="{00000000-0005-0000-0000-0000C37A0000}"/>
    <cellStyle name="Normal 5 4 2 3" xfId="11748" xr:uid="{00000000-0005-0000-0000-0000C47A0000}"/>
    <cellStyle name="Normal 5 4 2 3 2" xfId="11749" xr:uid="{00000000-0005-0000-0000-0000C57A0000}"/>
    <cellStyle name="Normal 5 4 2 3 2 2" xfId="11750" xr:uid="{00000000-0005-0000-0000-0000C67A0000}"/>
    <cellStyle name="Normal 5 4 2 3 2 2 2" xfId="11751" xr:uid="{00000000-0005-0000-0000-0000C77A0000}"/>
    <cellStyle name="Normal 5 4 2 3 2 2 2 2" xfId="11752" xr:uid="{00000000-0005-0000-0000-0000C87A0000}"/>
    <cellStyle name="Normal 5 4 2 3 2 2 2 2 2" xfId="35237" xr:uid="{00000000-0005-0000-0000-0000C97A0000}"/>
    <cellStyle name="Normal 5 4 2 3 2 2 2 3" xfId="35236" xr:uid="{00000000-0005-0000-0000-0000CA7A0000}"/>
    <cellStyle name="Normal 5 4 2 3 2 2 3" xfId="11753" xr:uid="{00000000-0005-0000-0000-0000CB7A0000}"/>
    <cellStyle name="Normal 5 4 2 3 2 2 3 2" xfId="35238" xr:uid="{00000000-0005-0000-0000-0000CC7A0000}"/>
    <cellStyle name="Normal 5 4 2 3 2 2 4" xfId="35235" xr:uid="{00000000-0005-0000-0000-0000CD7A0000}"/>
    <cellStyle name="Normal 5 4 2 3 2 3" xfId="11754" xr:uid="{00000000-0005-0000-0000-0000CE7A0000}"/>
    <cellStyle name="Normal 5 4 2 3 2 3 2" xfId="11755" xr:uid="{00000000-0005-0000-0000-0000CF7A0000}"/>
    <cellStyle name="Normal 5 4 2 3 2 3 2 2" xfId="35240" xr:uid="{00000000-0005-0000-0000-0000D07A0000}"/>
    <cellStyle name="Normal 5 4 2 3 2 3 3" xfId="35239" xr:uid="{00000000-0005-0000-0000-0000D17A0000}"/>
    <cellStyle name="Normal 5 4 2 3 2 4" xfId="11756" xr:uid="{00000000-0005-0000-0000-0000D27A0000}"/>
    <cellStyle name="Normal 5 4 2 3 2 4 2" xfId="35241" xr:uid="{00000000-0005-0000-0000-0000D37A0000}"/>
    <cellStyle name="Normal 5 4 2 3 2 5" xfId="35234" xr:uid="{00000000-0005-0000-0000-0000D47A0000}"/>
    <cellStyle name="Normal 5 4 2 3 3" xfId="11757" xr:uid="{00000000-0005-0000-0000-0000D57A0000}"/>
    <cellStyle name="Normal 5 4 2 3 3 2" xfId="11758" xr:uid="{00000000-0005-0000-0000-0000D67A0000}"/>
    <cellStyle name="Normal 5 4 2 3 3 2 2" xfId="11759" xr:uid="{00000000-0005-0000-0000-0000D77A0000}"/>
    <cellStyle name="Normal 5 4 2 3 3 2 2 2" xfId="11760" xr:uid="{00000000-0005-0000-0000-0000D87A0000}"/>
    <cellStyle name="Normal 5 4 2 3 3 2 2 2 2" xfId="35245" xr:uid="{00000000-0005-0000-0000-0000D97A0000}"/>
    <cellStyle name="Normal 5 4 2 3 3 2 2 3" xfId="35244" xr:uid="{00000000-0005-0000-0000-0000DA7A0000}"/>
    <cellStyle name="Normal 5 4 2 3 3 2 3" xfId="11761" xr:uid="{00000000-0005-0000-0000-0000DB7A0000}"/>
    <cellStyle name="Normal 5 4 2 3 3 2 3 2" xfId="35246" xr:uid="{00000000-0005-0000-0000-0000DC7A0000}"/>
    <cellStyle name="Normal 5 4 2 3 3 2 4" xfId="35243" xr:uid="{00000000-0005-0000-0000-0000DD7A0000}"/>
    <cellStyle name="Normal 5 4 2 3 3 3" xfId="11762" xr:uid="{00000000-0005-0000-0000-0000DE7A0000}"/>
    <cellStyle name="Normal 5 4 2 3 3 3 2" xfId="11763" xr:uid="{00000000-0005-0000-0000-0000DF7A0000}"/>
    <cellStyle name="Normal 5 4 2 3 3 3 2 2" xfId="35248" xr:uid="{00000000-0005-0000-0000-0000E07A0000}"/>
    <cellStyle name="Normal 5 4 2 3 3 3 3" xfId="35247" xr:uid="{00000000-0005-0000-0000-0000E17A0000}"/>
    <cellStyle name="Normal 5 4 2 3 3 4" xfId="11764" xr:uid="{00000000-0005-0000-0000-0000E27A0000}"/>
    <cellStyle name="Normal 5 4 2 3 3 4 2" xfId="35249" xr:uid="{00000000-0005-0000-0000-0000E37A0000}"/>
    <cellStyle name="Normal 5 4 2 3 3 5" xfId="35242" xr:uid="{00000000-0005-0000-0000-0000E47A0000}"/>
    <cellStyle name="Normal 5 4 2 3 4" xfId="11765" xr:uid="{00000000-0005-0000-0000-0000E57A0000}"/>
    <cellStyle name="Normal 5 4 2 3 4 2" xfId="11766" xr:uid="{00000000-0005-0000-0000-0000E67A0000}"/>
    <cellStyle name="Normal 5 4 2 3 4 2 2" xfId="11767" xr:uid="{00000000-0005-0000-0000-0000E77A0000}"/>
    <cellStyle name="Normal 5 4 2 3 4 2 2 2" xfId="35252" xr:uid="{00000000-0005-0000-0000-0000E87A0000}"/>
    <cellStyle name="Normal 5 4 2 3 4 2 3" xfId="35251" xr:uid="{00000000-0005-0000-0000-0000E97A0000}"/>
    <cellStyle name="Normal 5 4 2 3 4 3" xfId="11768" xr:uid="{00000000-0005-0000-0000-0000EA7A0000}"/>
    <cellStyle name="Normal 5 4 2 3 4 3 2" xfId="35253" xr:uid="{00000000-0005-0000-0000-0000EB7A0000}"/>
    <cellStyle name="Normal 5 4 2 3 4 4" xfId="35250" xr:uid="{00000000-0005-0000-0000-0000EC7A0000}"/>
    <cellStyle name="Normal 5 4 2 3 5" xfId="11769" xr:uid="{00000000-0005-0000-0000-0000ED7A0000}"/>
    <cellStyle name="Normal 5 4 2 3 5 2" xfId="11770" xr:uid="{00000000-0005-0000-0000-0000EE7A0000}"/>
    <cellStyle name="Normal 5 4 2 3 5 2 2" xfId="35255" xr:uid="{00000000-0005-0000-0000-0000EF7A0000}"/>
    <cellStyle name="Normal 5 4 2 3 5 3" xfId="35254" xr:uid="{00000000-0005-0000-0000-0000F07A0000}"/>
    <cellStyle name="Normal 5 4 2 3 6" xfId="11771" xr:uid="{00000000-0005-0000-0000-0000F17A0000}"/>
    <cellStyle name="Normal 5 4 2 3 6 2" xfId="35256" xr:uid="{00000000-0005-0000-0000-0000F27A0000}"/>
    <cellStyle name="Normal 5 4 2 3 7" xfId="35233" xr:uid="{00000000-0005-0000-0000-0000F37A0000}"/>
    <cellStyle name="Normal 5 4 2 4" xfId="11772" xr:uid="{00000000-0005-0000-0000-0000F47A0000}"/>
    <cellStyle name="Normal 5 4 2 4 2" xfId="11773" xr:uid="{00000000-0005-0000-0000-0000F57A0000}"/>
    <cellStyle name="Normal 5 4 2 4 2 2" xfId="11774" xr:uid="{00000000-0005-0000-0000-0000F67A0000}"/>
    <cellStyle name="Normal 5 4 2 4 2 2 2" xfId="11775" xr:uid="{00000000-0005-0000-0000-0000F77A0000}"/>
    <cellStyle name="Normal 5 4 2 4 2 2 2 2" xfId="11776" xr:uid="{00000000-0005-0000-0000-0000F87A0000}"/>
    <cellStyle name="Normal 5 4 2 4 2 2 2 2 2" xfId="35261" xr:uid="{00000000-0005-0000-0000-0000F97A0000}"/>
    <cellStyle name="Normal 5 4 2 4 2 2 2 3" xfId="35260" xr:uid="{00000000-0005-0000-0000-0000FA7A0000}"/>
    <cellStyle name="Normal 5 4 2 4 2 2 3" xfId="11777" xr:uid="{00000000-0005-0000-0000-0000FB7A0000}"/>
    <cellStyle name="Normal 5 4 2 4 2 2 3 2" xfId="35262" xr:uid="{00000000-0005-0000-0000-0000FC7A0000}"/>
    <cellStyle name="Normal 5 4 2 4 2 2 4" xfId="35259" xr:uid="{00000000-0005-0000-0000-0000FD7A0000}"/>
    <cellStyle name="Normal 5 4 2 4 2 3" xfId="11778" xr:uid="{00000000-0005-0000-0000-0000FE7A0000}"/>
    <cellStyle name="Normal 5 4 2 4 2 3 2" xfId="11779" xr:uid="{00000000-0005-0000-0000-0000FF7A0000}"/>
    <cellStyle name="Normal 5 4 2 4 2 3 2 2" xfId="35264" xr:uid="{00000000-0005-0000-0000-0000007B0000}"/>
    <cellStyle name="Normal 5 4 2 4 2 3 3" xfId="35263" xr:uid="{00000000-0005-0000-0000-0000017B0000}"/>
    <cellStyle name="Normal 5 4 2 4 2 4" xfId="11780" xr:uid="{00000000-0005-0000-0000-0000027B0000}"/>
    <cellStyle name="Normal 5 4 2 4 2 4 2" xfId="35265" xr:uid="{00000000-0005-0000-0000-0000037B0000}"/>
    <cellStyle name="Normal 5 4 2 4 2 5" xfId="35258" xr:uid="{00000000-0005-0000-0000-0000047B0000}"/>
    <cellStyle name="Normal 5 4 2 4 3" xfId="11781" xr:uid="{00000000-0005-0000-0000-0000057B0000}"/>
    <cellStyle name="Normal 5 4 2 4 3 2" xfId="11782" xr:uid="{00000000-0005-0000-0000-0000067B0000}"/>
    <cellStyle name="Normal 5 4 2 4 3 2 2" xfId="11783" xr:uid="{00000000-0005-0000-0000-0000077B0000}"/>
    <cellStyle name="Normal 5 4 2 4 3 2 2 2" xfId="11784" xr:uid="{00000000-0005-0000-0000-0000087B0000}"/>
    <cellStyle name="Normal 5 4 2 4 3 2 2 2 2" xfId="35269" xr:uid="{00000000-0005-0000-0000-0000097B0000}"/>
    <cellStyle name="Normal 5 4 2 4 3 2 2 3" xfId="35268" xr:uid="{00000000-0005-0000-0000-00000A7B0000}"/>
    <cellStyle name="Normal 5 4 2 4 3 2 3" xfId="11785" xr:uid="{00000000-0005-0000-0000-00000B7B0000}"/>
    <cellStyle name="Normal 5 4 2 4 3 2 3 2" xfId="35270" xr:uid="{00000000-0005-0000-0000-00000C7B0000}"/>
    <cellStyle name="Normal 5 4 2 4 3 2 4" xfId="35267" xr:uid="{00000000-0005-0000-0000-00000D7B0000}"/>
    <cellStyle name="Normal 5 4 2 4 3 3" xfId="11786" xr:uid="{00000000-0005-0000-0000-00000E7B0000}"/>
    <cellStyle name="Normal 5 4 2 4 3 3 2" xfId="11787" xr:uid="{00000000-0005-0000-0000-00000F7B0000}"/>
    <cellStyle name="Normal 5 4 2 4 3 3 2 2" xfId="35272" xr:uid="{00000000-0005-0000-0000-0000107B0000}"/>
    <cellStyle name="Normal 5 4 2 4 3 3 3" xfId="35271" xr:uid="{00000000-0005-0000-0000-0000117B0000}"/>
    <cellStyle name="Normal 5 4 2 4 3 4" xfId="11788" xr:uid="{00000000-0005-0000-0000-0000127B0000}"/>
    <cellStyle name="Normal 5 4 2 4 3 4 2" xfId="35273" xr:uid="{00000000-0005-0000-0000-0000137B0000}"/>
    <cellStyle name="Normal 5 4 2 4 3 5" xfId="35266" xr:uid="{00000000-0005-0000-0000-0000147B0000}"/>
    <cellStyle name="Normal 5 4 2 4 4" xfId="11789" xr:uid="{00000000-0005-0000-0000-0000157B0000}"/>
    <cellStyle name="Normal 5 4 2 4 4 2" xfId="11790" xr:uid="{00000000-0005-0000-0000-0000167B0000}"/>
    <cellStyle name="Normal 5 4 2 4 4 2 2" xfId="11791" xr:uid="{00000000-0005-0000-0000-0000177B0000}"/>
    <cellStyle name="Normal 5 4 2 4 4 2 2 2" xfId="35276" xr:uid="{00000000-0005-0000-0000-0000187B0000}"/>
    <cellStyle name="Normal 5 4 2 4 4 2 3" xfId="35275" xr:uid="{00000000-0005-0000-0000-0000197B0000}"/>
    <cellStyle name="Normal 5 4 2 4 4 3" xfId="11792" xr:uid="{00000000-0005-0000-0000-00001A7B0000}"/>
    <cellStyle name="Normal 5 4 2 4 4 3 2" xfId="35277" xr:uid="{00000000-0005-0000-0000-00001B7B0000}"/>
    <cellStyle name="Normal 5 4 2 4 4 4" xfId="35274" xr:uid="{00000000-0005-0000-0000-00001C7B0000}"/>
    <cellStyle name="Normal 5 4 2 4 5" xfId="11793" xr:uid="{00000000-0005-0000-0000-00001D7B0000}"/>
    <cellStyle name="Normal 5 4 2 4 5 2" xfId="11794" xr:uid="{00000000-0005-0000-0000-00001E7B0000}"/>
    <cellStyle name="Normal 5 4 2 4 5 2 2" xfId="35279" xr:uid="{00000000-0005-0000-0000-00001F7B0000}"/>
    <cellStyle name="Normal 5 4 2 4 5 3" xfId="35278" xr:uid="{00000000-0005-0000-0000-0000207B0000}"/>
    <cellStyle name="Normal 5 4 2 4 6" xfId="11795" xr:uid="{00000000-0005-0000-0000-0000217B0000}"/>
    <cellStyle name="Normal 5 4 2 4 6 2" xfId="35280" xr:uid="{00000000-0005-0000-0000-0000227B0000}"/>
    <cellStyle name="Normal 5 4 2 4 7" xfId="35257" xr:uid="{00000000-0005-0000-0000-0000237B0000}"/>
    <cellStyle name="Normal 5 4 2 5" xfId="11796" xr:uid="{00000000-0005-0000-0000-0000247B0000}"/>
    <cellStyle name="Normal 5 4 2 5 2" xfId="11797" xr:uid="{00000000-0005-0000-0000-0000257B0000}"/>
    <cellStyle name="Normal 5 4 2 5 2 2" xfId="11798" xr:uid="{00000000-0005-0000-0000-0000267B0000}"/>
    <cellStyle name="Normal 5 4 2 5 2 2 2" xfId="11799" xr:uid="{00000000-0005-0000-0000-0000277B0000}"/>
    <cellStyle name="Normal 5 4 2 5 2 2 2 2" xfId="11800" xr:uid="{00000000-0005-0000-0000-0000287B0000}"/>
    <cellStyle name="Normal 5 4 2 5 2 2 2 2 2" xfId="35285" xr:uid="{00000000-0005-0000-0000-0000297B0000}"/>
    <cellStyle name="Normal 5 4 2 5 2 2 2 3" xfId="35284" xr:uid="{00000000-0005-0000-0000-00002A7B0000}"/>
    <cellStyle name="Normal 5 4 2 5 2 2 3" xfId="11801" xr:uid="{00000000-0005-0000-0000-00002B7B0000}"/>
    <cellStyle name="Normal 5 4 2 5 2 2 3 2" xfId="35286" xr:uid="{00000000-0005-0000-0000-00002C7B0000}"/>
    <cellStyle name="Normal 5 4 2 5 2 2 4" xfId="35283" xr:uid="{00000000-0005-0000-0000-00002D7B0000}"/>
    <cellStyle name="Normal 5 4 2 5 2 3" xfId="11802" xr:uid="{00000000-0005-0000-0000-00002E7B0000}"/>
    <cellStyle name="Normal 5 4 2 5 2 3 2" xfId="11803" xr:uid="{00000000-0005-0000-0000-00002F7B0000}"/>
    <cellStyle name="Normal 5 4 2 5 2 3 2 2" xfId="35288" xr:uid="{00000000-0005-0000-0000-0000307B0000}"/>
    <cellStyle name="Normal 5 4 2 5 2 3 3" xfId="35287" xr:uid="{00000000-0005-0000-0000-0000317B0000}"/>
    <cellStyle name="Normal 5 4 2 5 2 4" xfId="11804" xr:uid="{00000000-0005-0000-0000-0000327B0000}"/>
    <cellStyle name="Normal 5 4 2 5 2 4 2" xfId="35289" xr:uid="{00000000-0005-0000-0000-0000337B0000}"/>
    <cellStyle name="Normal 5 4 2 5 2 5" xfId="35282" xr:uid="{00000000-0005-0000-0000-0000347B0000}"/>
    <cellStyle name="Normal 5 4 2 5 3" xfId="11805" xr:uid="{00000000-0005-0000-0000-0000357B0000}"/>
    <cellStyle name="Normal 5 4 2 5 3 2" xfId="11806" xr:uid="{00000000-0005-0000-0000-0000367B0000}"/>
    <cellStyle name="Normal 5 4 2 5 3 2 2" xfId="11807" xr:uid="{00000000-0005-0000-0000-0000377B0000}"/>
    <cellStyle name="Normal 5 4 2 5 3 2 2 2" xfId="11808" xr:uid="{00000000-0005-0000-0000-0000387B0000}"/>
    <cellStyle name="Normal 5 4 2 5 3 2 2 2 2" xfId="35293" xr:uid="{00000000-0005-0000-0000-0000397B0000}"/>
    <cellStyle name="Normal 5 4 2 5 3 2 2 3" xfId="35292" xr:uid="{00000000-0005-0000-0000-00003A7B0000}"/>
    <cellStyle name="Normal 5 4 2 5 3 2 3" xfId="11809" xr:uid="{00000000-0005-0000-0000-00003B7B0000}"/>
    <cellStyle name="Normal 5 4 2 5 3 2 3 2" xfId="35294" xr:uid="{00000000-0005-0000-0000-00003C7B0000}"/>
    <cellStyle name="Normal 5 4 2 5 3 2 4" xfId="35291" xr:uid="{00000000-0005-0000-0000-00003D7B0000}"/>
    <cellStyle name="Normal 5 4 2 5 3 3" xfId="11810" xr:uid="{00000000-0005-0000-0000-00003E7B0000}"/>
    <cellStyle name="Normal 5 4 2 5 3 3 2" xfId="11811" xr:uid="{00000000-0005-0000-0000-00003F7B0000}"/>
    <cellStyle name="Normal 5 4 2 5 3 3 2 2" xfId="35296" xr:uid="{00000000-0005-0000-0000-0000407B0000}"/>
    <cellStyle name="Normal 5 4 2 5 3 3 3" xfId="35295" xr:uid="{00000000-0005-0000-0000-0000417B0000}"/>
    <cellStyle name="Normal 5 4 2 5 3 4" xfId="11812" xr:uid="{00000000-0005-0000-0000-0000427B0000}"/>
    <cellStyle name="Normal 5 4 2 5 3 4 2" xfId="35297" xr:uid="{00000000-0005-0000-0000-0000437B0000}"/>
    <cellStyle name="Normal 5 4 2 5 3 5" xfId="35290" xr:uid="{00000000-0005-0000-0000-0000447B0000}"/>
    <cellStyle name="Normal 5 4 2 5 4" xfId="11813" xr:uid="{00000000-0005-0000-0000-0000457B0000}"/>
    <cellStyle name="Normal 5 4 2 5 4 2" xfId="11814" xr:uid="{00000000-0005-0000-0000-0000467B0000}"/>
    <cellStyle name="Normal 5 4 2 5 4 2 2" xfId="11815" xr:uid="{00000000-0005-0000-0000-0000477B0000}"/>
    <cellStyle name="Normal 5 4 2 5 4 2 2 2" xfId="35300" xr:uid="{00000000-0005-0000-0000-0000487B0000}"/>
    <cellStyle name="Normal 5 4 2 5 4 2 3" xfId="35299" xr:uid="{00000000-0005-0000-0000-0000497B0000}"/>
    <cellStyle name="Normal 5 4 2 5 4 3" xfId="11816" xr:uid="{00000000-0005-0000-0000-00004A7B0000}"/>
    <cellStyle name="Normal 5 4 2 5 4 3 2" xfId="35301" xr:uid="{00000000-0005-0000-0000-00004B7B0000}"/>
    <cellStyle name="Normal 5 4 2 5 4 4" xfId="35298" xr:uid="{00000000-0005-0000-0000-00004C7B0000}"/>
    <cellStyle name="Normal 5 4 2 5 5" xfId="11817" xr:uid="{00000000-0005-0000-0000-00004D7B0000}"/>
    <cellStyle name="Normal 5 4 2 5 5 2" xfId="11818" xr:uid="{00000000-0005-0000-0000-00004E7B0000}"/>
    <cellStyle name="Normal 5 4 2 5 5 2 2" xfId="35303" xr:uid="{00000000-0005-0000-0000-00004F7B0000}"/>
    <cellStyle name="Normal 5 4 2 5 5 3" xfId="35302" xr:uid="{00000000-0005-0000-0000-0000507B0000}"/>
    <cellStyle name="Normal 5 4 2 5 6" xfId="11819" xr:uid="{00000000-0005-0000-0000-0000517B0000}"/>
    <cellStyle name="Normal 5 4 2 5 6 2" xfId="35304" xr:uid="{00000000-0005-0000-0000-0000527B0000}"/>
    <cellStyle name="Normal 5 4 2 5 7" xfId="35281" xr:uid="{00000000-0005-0000-0000-0000537B0000}"/>
    <cellStyle name="Normal 5 4 2 6" xfId="11820" xr:uid="{00000000-0005-0000-0000-0000547B0000}"/>
    <cellStyle name="Normal 5 4 2 6 2" xfId="11821" xr:uid="{00000000-0005-0000-0000-0000557B0000}"/>
    <cellStyle name="Normal 5 4 2 6 2 2" xfId="11822" xr:uid="{00000000-0005-0000-0000-0000567B0000}"/>
    <cellStyle name="Normal 5 4 2 6 2 2 2" xfId="11823" xr:uid="{00000000-0005-0000-0000-0000577B0000}"/>
    <cellStyle name="Normal 5 4 2 6 2 2 2 2" xfId="35308" xr:uid="{00000000-0005-0000-0000-0000587B0000}"/>
    <cellStyle name="Normal 5 4 2 6 2 2 3" xfId="35307" xr:uid="{00000000-0005-0000-0000-0000597B0000}"/>
    <cellStyle name="Normal 5 4 2 6 2 3" xfId="11824" xr:uid="{00000000-0005-0000-0000-00005A7B0000}"/>
    <cellStyle name="Normal 5 4 2 6 2 3 2" xfId="35309" xr:uid="{00000000-0005-0000-0000-00005B7B0000}"/>
    <cellStyle name="Normal 5 4 2 6 2 4" xfId="35306" xr:uid="{00000000-0005-0000-0000-00005C7B0000}"/>
    <cellStyle name="Normal 5 4 2 6 3" xfId="11825" xr:uid="{00000000-0005-0000-0000-00005D7B0000}"/>
    <cellStyle name="Normal 5 4 2 6 3 2" xfId="11826" xr:uid="{00000000-0005-0000-0000-00005E7B0000}"/>
    <cellStyle name="Normal 5 4 2 6 3 2 2" xfId="35311" xr:uid="{00000000-0005-0000-0000-00005F7B0000}"/>
    <cellStyle name="Normal 5 4 2 6 3 3" xfId="35310" xr:uid="{00000000-0005-0000-0000-0000607B0000}"/>
    <cellStyle name="Normal 5 4 2 6 4" xfId="11827" xr:uid="{00000000-0005-0000-0000-0000617B0000}"/>
    <cellStyle name="Normal 5 4 2 6 4 2" xfId="35312" xr:uid="{00000000-0005-0000-0000-0000627B0000}"/>
    <cellStyle name="Normal 5 4 2 6 5" xfId="35305" xr:uid="{00000000-0005-0000-0000-0000637B0000}"/>
    <cellStyle name="Normal 5 4 2 7" xfId="11828" xr:uid="{00000000-0005-0000-0000-0000647B0000}"/>
    <cellStyle name="Normal 5 4 2 7 2" xfId="11829" xr:uid="{00000000-0005-0000-0000-0000657B0000}"/>
    <cellStyle name="Normal 5 4 2 7 2 2" xfId="11830" xr:uid="{00000000-0005-0000-0000-0000667B0000}"/>
    <cellStyle name="Normal 5 4 2 7 2 2 2" xfId="11831" xr:uid="{00000000-0005-0000-0000-0000677B0000}"/>
    <cellStyle name="Normal 5 4 2 7 2 2 2 2" xfId="35316" xr:uid="{00000000-0005-0000-0000-0000687B0000}"/>
    <cellStyle name="Normal 5 4 2 7 2 2 3" xfId="35315" xr:uid="{00000000-0005-0000-0000-0000697B0000}"/>
    <cellStyle name="Normal 5 4 2 7 2 3" xfId="11832" xr:uid="{00000000-0005-0000-0000-00006A7B0000}"/>
    <cellStyle name="Normal 5 4 2 7 2 3 2" xfId="35317" xr:uid="{00000000-0005-0000-0000-00006B7B0000}"/>
    <cellStyle name="Normal 5 4 2 7 2 4" xfId="35314" xr:uid="{00000000-0005-0000-0000-00006C7B0000}"/>
    <cellStyle name="Normal 5 4 2 7 3" xfId="11833" xr:uid="{00000000-0005-0000-0000-00006D7B0000}"/>
    <cellStyle name="Normal 5 4 2 7 3 2" xfId="11834" xr:uid="{00000000-0005-0000-0000-00006E7B0000}"/>
    <cellStyle name="Normal 5 4 2 7 3 2 2" xfId="35319" xr:uid="{00000000-0005-0000-0000-00006F7B0000}"/>
    <cellStyle name="Normal 5 4 2 7 3 3" xfId="35318" xr:uid="{00000000-0005-0000-0000-0000707B0000}"/>
    <cellStyle name="Normal 5 4 2 7 4" xfId="11835" xr:uid="{00000000-0005-0000-0000-0000717B0000}"/>
    <cellStyle name="Normal 5 4 2 7 4 2" xfId="35320" xr:uid="{00000000-0005-0000-0000-0000727B0000}"/>
    <cellStyle name="Normal 5 4 2 7 5" xfId="35313" xr:uid="{00000000-0005-0000-0000-0000737B0000}"/>
    <cellStyle name="Normal 5 4 2 8" xfId="11836" xr:uid="{00000000-0005-0000-0000-0000747B0000}"/>
    <cellStyle name="Normal 5 4 2 8 2" xfId="11837" xr:uid="{00000000-0005-0000-0000-0000757B0000}"/>
    <cellStyle name="Normal 5 4 2 8 2 2" xfId="11838" xr:uid="{00000000-0005-0000-0000-0000767B0000}"/>
    <cellStyle name="Normal 5 4 2 8 2 2 2" xfId="35323" xr:uid="{00000000-0005-0000-0000-0000777B0000}"/>
    <cellStyle name="Normal 5 4 2 8 2 3" xfId="35322" xr:uid="{00000000-0005-0000-0000-0000787B0000}"/>
    <cellStyle name="Normal 5 4 2 8 3" xfId="11839" xr:uid="{00000000-0005-0000-0000-0000797B0000}"/>
    <cellStyle name="Normal 5 4 2 8 3 2" xfId="35324" xr:uid="{00000000-0005-0000-0000-00007A7B0000}"/>
    <cellStyle name="Normal 5 4 2 8 4" xfId="35321" xr:uid="{00000000-0005-0000-0000-00007B7B0000}"/>
    <cellStyle name="Normal 5 4 2 9" xfId="11840" xr:uid="{00000000-0005-0000-0000-00007C7B0000}"/>
    <cellStyle name="Normal 5 4 2 9 2" xfId="11841" xr:uid="{00000000-0005-0000-0000-00007D7B0000}"/>
    <cellStyle name="Normal 5 4 2 9 2 2" xfId="35326" xr:uid="{00000000-0005-0000-0000-00007E7B0000}"/>
    <cellStyle name="Normal 5 4 2 9 3" xfId="35325" xr:uid="{00000000-0005-0000-0000-00007F7B0000}"/>
    <cellStyle name="Normal 5 4 3" xfId="11842" xr:uid="{00000000-0005-0000-0000-0000807B0000}"/>
    <cellStyle name="Normal 5 4 3 10" xfId="35327" xr:uid="{00000000-0005-0000-0000-0000817B0000}"/>
    <cellStyle name="Normal 5 4 3 2" xfId="11843" xr:uid="{00000000-0005-0000-0000-0000827B0000}"/>
    <cellStyle name="Normal 5 4 3 2 2" xfId="11844" xr:uid="{00000000-0005-0000-0000-0000837B0000}"/>
    <cellStyle name="Normal 5 4 3 2 2 2" xfId="11845" xr:uid="{00000000-0005-0000-0000-0000847B0000}"/>
    <cellStyle name="Normal 5 4 3 2 2 2 2" xfId="11846" xr:uid="{00000000-0005-0000-0000-0000857B0000}"/>
    <cellStyle name="Normal 5 4 3 2 2 2 2 2" xfId="11847" xr:uid="{00000000-0005-0000-0000-0000867B0000}"/>
    <cellStyle name="Normal 5 4 3 2 2 2 2 2 2" xfId="35332" xr:uid="{00000000-0005-0000-0000-0000877B0000}"/>
    <cellStyle name="Normal 5 4 3 2 2 2 2 3" xfId="35331" xr:uid="{00000000-0005-0000-0000-0000887B0000}"/>
    <cellStyle name="Normal 5 4 3 2 2 2 3" xfId="11848" xr:uid="{00000000-0005-0000-0000-0000897B0000}"/>
    <cellStyle name="Normal 5 4 3 2 2 2 3 2" xfId="35333" xr:uid="{00000000-0005-0000-0000-00008A7B0000}"/>
    <cellStyle name="Normal 5 4 3 2 2 2 4" xfId="35330" xr:uid="{00000000-0005-0000-0000-00008B7B0000}"/>
    <cellStyle name="Normal 5 4 3 2 2 3" xfId="11849" xr:uid="{00000000-0005-0000-0000-00008C7B0000}"/>
    <cellStyle name="Normal 5 4 3 2 2 3 2" xfId="11850" xr:uid="{00000000-0005-0000-0000-00008D7B0000}"/>
    <cellStyle name="Normal 5 4 3 2 2 3 2 2" xfId="35335" xr:uid="{00000000-0005-0000-0000-00008E7B0000}"/>
    <cellStyle name="Normal 5 4 3 2 2 3 3" xfId="35334" xr:uid="{00000000-0005-0000-0000-00008F7B0000}"/>
    <cellStyle name="Normal 5 4 3 2 2 4" xfId="11851" xr:uid="{00000000-0005-0000-0000-0000907B0000}"/>
    <cellStyle name="Normal 5 4 3 2 2 4 2" xfId="35336" xr:uid="{00000000-0005-0000-0000-0000917B0000}"/>
    <cellStyle name="Normal 5 4 3 2 2 5" xfId="35329" xr:uid="{00000000-0005-0000-0000-0000927B0000}"/>
    <cellStyle name="Normal 5 4 3 2 3" xfId="11852" xr:uid="{00000000-0005-0000-0000-0000937B0000}"/>
    <cellStyle name="Normal 5 4 3 2 3 2" xfId="11853" xr:uid="{00000000-0005-0000-0000-0000947B0000}"/>
    <cellStyle name="Normal 5 4 3 2 3 2 2" xfId="11854" xr:uid="{00000000-0005-0000-0000-0000957B0000}"/>
    <cellStyle name="Normal 5 4 3 2 3 2 2 2" xfId="11855" xr:uid="{00000000-0005-0000-0000-0000967B0000}"/>
    <cellStyle name="Normal 5 4 3 2 3 2 2 2 2" xfId="35340" xr:uid="{00000000-0005-0000-0000-0000977B0000}"/>
    <cellStyle name="Normal 5 4 3 2 3 2 2 3" xfId="35339" xr:uid="{00000000-0005-0000-0000-0000987B0000}"/>
    <cellStyle name="Normal 5 4 3 2 3 2 3" xfId="11856" xr:uid="{00000000-0005-0000-0000-0000997B0000}"/>
    <cellStyle name="Normal 5 4 3 2 3 2 3 2" xfId="35341" xr:uid="{00000000-0005-0000-0000-00009A7B0000}"/>
    <cellStyle name="Normal 5 4 3 2 3 2 4" xfId="35338" xr:uid="{00000000-0005-0000-0000-00009B7B0000}"/>
    <cellStyle name="Normal 5 4 3 2 3 3" xfId="11857" xr:uid="{00000000-0005-0000-0000-00009C7B0000}"/>
    <cellStyle name="Normal 5 4 3 2 3 3 2" xfId="11858" xr:uid="{00000000-0005-0000-0000-00009D7B0000}"/>
    <cellStyle name="Normal 5 4 3 2 3 3 2 2" xfId="35343" xr:uid="{00000000-0005-0000-0000-00009E7B0000}"/>
    <cellStyle name="Normal 5 4 3 2 3 3 3" xfId="35342" xr:uid="{00000000-0005-0000-0000-00009F7B0000}"/>
    <cellStyle name="Normal 5 4 3 2 3 4" xfId="11859" xr:uid="{00000000-0005-0000-0000-0000A07B0000}"/>
    <cellStyle name="Normal 5 4 3 2 3 4 2" xfId="35344" xr:uid="{00000000-0005-0000-0000-0000A17B0000}"/>
    <cellStyle name="Normal 5 4 3 2 3 5" xfId="35337" xr:uid="{00000000-0005-0000-0000-0000A27B0000}"/>
    <cellStyle name="Normal 5 4 3 2 4" xfId="11860" xr:uid="{00000000-0005-0000-0000-0000A37B0000}"/>
    <cellStyle name="Normal 5 4 3 2 4 2" xfId="11861" xr:uid="{00000000-0005-0000-0000-0000A47B0000}"/>
    <cellStyle name="Normal 5 4 3 2 4 2 2" xfId="11862" xr:uid="{00000000-0005-0000-0000-0000A57B0000}"/>
    <cellStyle name="Normal 5 4 3 2 4 2 2 2" xfId="35347" xr:uid="{00000000-0005-0000-0000-0000A67B0000}"/>
    <cellStyle name="Normal 5 4 3 2 4 2 3" xfId="35346" xr:uid="{00000000-0005-0000-0000-0000A77B0000}"/>
    <cellStyle name="Normal 5 4 3 2 4 3" xfId="11863" xr:uid="{00000000-0005-0000-0000-0000A87B0000}"/>
    <cellStyle name="Normal 5 4 3 2 4 3 2" xfId="35348" xr:uid="{00000000-0005-0000-0000-0000A97B0000}"/>
    <cellStyle name="Normal 5 4 3 2 4 4" xfId="35345" xr:uid="{00000000-0005-0000-0000-0000AA7B0000}"/>
    <cellStyle name="Normal 5 4 3 2 5" xfId="11864" xr:uid="{00000000-0005-0000-0000-0000AB7B0000}"/>
    <cellStyle name="Normal 5 4 3 2 5 2" xfId="11865" xr:uid="{00000000-0005-0000-0000-0000AC7B0000}"/>
    <cellStyle name="Normal 5 4 3 2 5 2 2" xfId="35350" xr:uid="{00000000-0005-0000-0000-0000AD7B0000}"/>
    <cellStyle name="Normal 5 4 3 2 5 3" xfId="35349" xr:uid="{00000000-0005-0000-0000-0000AE7B0000}"/>
    <cellStyle name="Normal 5 4 3 2 6" xfId="11866" xr:uid="{00000000-0005-0000-0000-0000AF7B0000}"/>
    <cellStyle name="Normal 5 4 3 2 6 2" xfId="35351" xr:uid="{00000000-0005-0000-0000-0000B07B0000}"/>
    <cellStyle name="Normal 5 4 3 2 7" xfId="35328" xr:uid="{00000000-0005-0000-0000-0000B17B0000}"/>
    <cellStyle name="Normal 5 4 3 3" xfId="11867" xr:uid="{00000000-0005-0000-0000-0000B27B0000}"/>
    <cellStyle name="Normal 5 4 3 3 2" xfId="11868" xr:uid="{00000000-0005-0000-0000-0000B37B0000}"/>
    <cellStyle name="Normal 5 4 3 3 2 2" xfId="11869" xr:uid="{00000000-0005-0000-0000-0000B47B0000}"/>
    <cellStyle name="Normal 5 4 3 3 2 2 2" xfId="11870" xr:uid="{00000000-0005-0000-0000-0000B57B0000}"/>
    <cellStyle name="Normal 5 4 3 3 2 2 2 2" xfId="11871" xr:uid="{00000000-0005-0000-0000-0000B67B0000}"/>
    <cellStyle name="Normal 5 4 3 3 2 2 2 2 2" xfId="35356" xr:uid="{00000000-0005-0000-0000-0000B77B0000}"/>
    <cellStyle name="Normal 5 4 3 3 2 2 2 3" xfId="35355" xr:uid="{00000000-0005-0000-0000-0000B87B0000}"/>
    <cellStyle name="Normal 5 4 3 3 2 2 3" xfId="11872" xr:uid="{00000000-0005-0000-0000-0000B97B0000}"/>
    <cellStyle name="Normal 5 4 3 3 2 2 3 2" xfId="35357" xr:uid="{00000000-0005-0000-0000-0000BA7B0000}"/>
    <cellStyle name="Normal 5 4 3 3 2 2 4" xfId="35354" xr:uid="{00000000-0005-0000-0000-0000BB7B0000}"/>
    <cellStyle name="Normal 5 4 3 3 2 3" xfId="11873" xr:uid="{00000000-0005-0000-0000-0000BC7B0000}"/>
    <cellStyle name="Normal 5 4 3 3 2 3 2" xfId="11874" xr:uid="{00000000-0005-0000-0000-0000BD7B0000}"/>
    <cellStyle name="Normal 5 4 3 3 2 3 2 2" xfId="35359" xr:uid="{00000000-0005-0000-0000-0000BE7B0000}"/>
    <cellStyle name="Normal 5 4 3 3 2 3 3" xfId="35358" xr:uid="{00000000-0005-0000-0000-0000BF7B0000}"/>
    <cellStyle name="Normal 5 4 3 3 2 4" xfId="11875" xr:uid="{00000000-0005-0000-0000-0000C07B0000}"/>
    <cellStyle name="Normal 5 4 3 3 2 4 2" xfId="35360" xr:uid="{00000000-0005-0000-0000-0000C17B0000}"/>
    <cellStyle name="Normal 5 4 3 3 2 5" xfId="35353" xr:uid="{00000000-0005-0000-0000-0000C27B0000}"/>
    <cellStyle name="Normal 5 4 3 3 3" xfId="11876" xr:uid="{00000000-0005-0000-0000-0000C37B0000}"/>
    <cellStyle name="Normal 5 4 3 3 3 2" xfId="11877" xr:uid="{00000000-0005-0000-0000-0000C47B0000}"/>
    <cellStyle name="Normal 5 4 3 3 3 2 2" xfId="11878" xr:uid="{00000000-0005-0000-0000-0000C57B0000}"/>
    <cellStyle name="Normal 5 4 3 3 3 2 2 2" xfId="11879" xr:uid="{00000000-0005-0000-0000-0000C67B0000}"/>
    <cellStyle name="Normal 5 4 3 3 3 2 2 2 2" xfId="35364" xr:uid="{00000000-0005-0000-0000-0000C77B0000}"/>
    <cellStyle name="Normal 5 4 3 3 3 2 2 3" xfId="35363" xr:uid="{00000000-0005-0000-0000-0000C87B0000}"/>
    <cellStyle name="Normal 5 4 3 3 3 2 3" xfId="11880" xr:uid="{00000000-0005-0000-0000-0000C97B0000}"/>
    <cellStyle name="Normal 5 4 3 3 3 2 3 2" xfId="35365" xr:uid="{00000000-0005-0000-0000-0000CA7B0000}"/>
    <cellStyle name="Normal 5 4 3 3 3 2 4" xfId="35362" xr:uid="{00000000-0005-0000-0000-0000CB7B0000}"/>
    <cellStyle name="Normal 5 4 3 3 3 3" xfId="11881" xr:uid="{00000000-0005-0000-0000-0000CC7B0000}"/>
    <cellStyle name="Normal 5 4 3 3 3 3 2" xfId="11882" xr:uid="{00000000-0005-0000-0000-0000CD7B0000}"/>
    <cellStyle name="Normal 5 4 3 3 3 3 2 2" xfId="35367" xr:uid="{00000000-0005-0000-0000-0000CE7B0000}"/>
    <cellStyle name="Normal 5 4 3 3 3 3 3" xfId="35366" xr:uid="{00000000-0005-0000-0000-0000CF7B0000}"/>
    <cellStyle name="Normal 5 4 3 3 3 4" xfId="11883" xr:uid="{00000000-0005-0000-0000-0000D07B0000}"/>
    <cellStyle name="Normal 5 4 3 3 3 4 2" xfId="35368" xr:uid="{00000000-0005-0000-0000-0000D17B0000}"/>
    <cellStyle name="Normal 5 4 3 3 3 5" xfId="35361" xr:uid="{00000000-0005-0000-0000-0000D27B0000}"/>
    <cellStyle name="Normal 5 4 3 3 4" xfId="11884" xr:uid="{00000000-0005-0000-0000-0000D37B0000}"/>
    <cellStyle name="Normal 5 4 3 3 4 2" xfId="11885" xr:uid="{00000000-0005-0000-0000-0000D47B0000}"/>
    <cellStyle name="Normal 5 4 3 3 4 2 2" xfId="11886" xr:uid="{00000000-0005-0000-0000-0000D57B0000}"/>
    <cellStyle name="Normal 5 4 3 3 4 2 2 2" xfId="35371" xr:uid="{00000000-0005-0000-0000-0000D67B0000}"/>
    <cellStyle name="Normal 5 4 3 3 4 2 3" xfId="35370" xr:uid="{00000000-0005-0000-0000-0000D77B0000}"/>
    <cellStyle name="Normal 5 4 3 3 4 3" xfId="11887" xr:uid="{00000000-0005-0000-0000-0000D87B0000}"/>
    <cellStyle name="Normal 5 4 3 3 4 3 2" xfId="35372" xr:uid="{00000000-0005-0000-0000-0000D97B0000}"/>
    <cellStyle name="Normal 5 4 3 3 4 4" xfId="35369" xr:uid="{00000000-0005-0000-0000-0000DA7B0000}"/>
    <cellStyle name="Normal 5 4 3 3 5" xfId="11888" xr:uid="{00000000-0005-0000-0000-0000DB7B0000}"/>
    <cellStyle name="Normal 5 4 3 3 5 2" xfId="11889" xr:uid="{00000000-0005-0000-0000-0000DC7B0000}"/>
    <cellStyle name="Normal 5 4 3 3 5 2 2" xfId="35374" xr:uid="{00000000-0005-0000-0000-0000DD7B0000}"/>
    <cellStyle name="Normal 5 4 3 3 5 3" xfId="35373" xr:uid="{00000000-0005-0000-0000-0000DE7B0000}"/>
    <cellStyle name="Normal 5 4 3 3 6" xfId="11890" xr:uid="{00000000-0005-0000-0000-0000DF7B0000}"/>
    <cellStyle name="Normal 5 4 3 3 6 2" xfId="35375" xr:uid="{00000000-0005-0000-0000-0000E07B0000}"/>
    <cellStyle name="Normal 5 4 3 3 7" xfId="35352" xr:uid="{00000000-0005-0000-0000-0000E17B0000}"/>
    <cellStyle name="Normal 5 4 3 4" xfId="11891" xr:uid="{00000000-0005-0000-0000-0000E27B0000}"/>
    <cellStyle name="Normal 5 4 3 4 2" xfId="11892" xr:uid="{00000000-0005-0000-0000-0000E37B0000}"/>
    <cellStyle name="Normal 5 4 3 4 2 2" xfId="11893" xr:uid="{00000000-0005-0000-0000-0000E47B0000}"/>
    <cellStyle name="Normal 5 4 3 4 2 2 2" xfId="11894" xr:uid="{00000000-0005-0000-0000-0000E57B0000}"/>
    <cellStyle name="Normal 5 4 3 4 2 2 2 2" xfId="11895" xr:uid="{00000000-0005-0000-0000-0000E67B0000}"/>
    <cellStyle name="Normal 5 4 3 4 2 2 2 2 2" xfId="35380" xr:uid="{00000000-0005-0000-0000-0000E77B0000}"/>
    <cellStyle name="Normal 5 4 3 4 2 2 2 3" xfId="35379" xr:uid="{00000000-0005-0000-0000-0000E87B0000}"/>
    <cellStyle name="Normal 5 4 3 4 2 2 3" xfId="11896" xr:uid="{00000000-0005-0000-0000-0000E97B0000}"/>
    <cellStyle name="Normal 5 4 3 4 2 2 3 2" xfId="35381" xr:uid="{00000000-0005-0000-0000-0000EA7B0000}"/>
    <cellStyle name="Normal 5 4 3 4 2 2 4" xfId="35378" xr:uid="{00000000-0005-0000-0000-0000EB7B0000}"/>
    <cellStyle name="Normal 5 4 3 4 2 3" xfId="11897" xr:uid="{00000000-0005-0000-0000-0000EC7B0000}"/>
    <cellStyle name="Normal 5 4 3 4 2 3 2" xfId="11898" xr:uid="{00000000-0005-0000-0000-0000ED7B0000}"/>
    <cellStyle name="Normal 5 4 3 4 2 3 2 2" xfId="35383" xr:uid="{00000000-0005-0000-0000-0000EE7B0000}"/>
    <cellStyle name="Normal 5 4 3 4 2 3 3" xfId="35382" xr:uid="{00000000-0005-0000-0000-0000EF7B0000}"/>
    <cellStyle name="Normal 5 4 3 4 2 4" xfId="11899" xr:uid="{00000000-0005-0000-0000-0000F07B0000}"/>
    <cellStyle name="Normal 5 4 3 4 2 4 2" xfId="35384" xr:uid="{00000000-0005-0000-0000-0000F17B0000}"/>
    <cellStyle name="Normal 5 4 3 4 2 5" xfId="35377" xr:uid="{00000000-0005-0000-0000-0000F27B0000}"/>
    <cellStyle name="Normal 5 4 3 4 3" xfId="11900" xr:uid="{00000000-0005-0000-0000-0000F37B0000}"/>
    <cellStyle name="Normal 5 4 3 4 3 2" xfId="11901" xr:uid="{00000000-0005-0000-0000-0000F47B0000}"/>
    <cellStyle name="Normal 5 4 3 4 3 2 2" xfId="11902" xr:uid="{00000000-0005-0000-0000-0000F57B0000}"/>
    <cellStyle name="Normal 5 4 3 4 3 2 2 2" xfId="11903" xr:uid="{00000000-0005-0000-0000-0000F67B0000}"/>
    <cellStyle name="Normal 5 4 3 4 3 2 2 2 2" xfId="35388" xr:uid="{00000000-0005-0000-0000-0000F77B0000}"/>
    <cellStyle name="Normal 5 4 3 4 3 2 2 3" xfId="35387" xr:uid="{00000000-0005-0000-0000-0000F87B0000}"/>
    <cellStyle name="Normal 5 4 3 4 3 2 3" xfId="11904" xr:uid="{00000000-0005-0000-0000-0000F97B0000}"/>
    <cellStyle name="Normal 5 4 3 4 3 2 3 2" xfId="35389" xr:uid="{00000000-0005-0000-0000-0000FA7B0000}"/>
    <cellStyle name="Normal 5 4 3 4 3 2 4" xfId="35386" xr:uid="{00000000-0005-0000-0000-0000FB7B0000}"/>
    <cellStyle name="Normal 5 4 3 4 3 3" xfId="11905" xr:uid="{00000000-0005-0000-0000-0000FC7B0000}"/>
    <cellStyle name="Normal 5 4 3 4 3 3 2" xfId="11906" xr:uid="{00000000-0005-0000-0000-0000FD7B0000}"/>
    <cellStyle name="Normal 5 4 3 4 3 3 2 2" xfId="35391" xr:uid="{00000000-0005-0000-0000-0000FE7B0000}"/>
    <cellStyle name="Normal 5 4 3 4 3 3 3" xfId="35390" xr:uid="{00000000-0005-0000-0000-0000FF7B0000}"/>
    <cellStyle name="Normal 5 4 3 4 3 4" xfId="11907" xr:uid="{00000000-0005-0000-0000-0000007C0000}"/>
    <cellStyle name="Normal 5 4 3 4 3 4 2" xfId="35392" xr:uid="{00000000-0005-0000-0000-0000017C0000}"/>
    <cellStyle name="Normal 5 4 3 4 3 5" xfId="35385" xr:uid="{00000000-0005-0000-0000-0000027C0000}"/>
    <cellStyle name="Normal 5 4 3 4 4" xfId="11908" xr:uid="{00000000-0005-0000-0000-0000037C0000}"/>
    <cellStyle name="Normal 5 4 3 4 4 2" xfId="11909" xr:uid="{00000000-0005-0000-0000-0000047C0000}"/>
    <cellStyle name="Normal 5 4 3 4 4 2 2" xfId="11910" xr:uid="{00000000-0005-0000-0000-0000057C0000}"/>
    <cellStyle name="Normal 5 4 3 4 4 2 2 2" xfId="35395" xr:uid="{00000000-0005-0000-0000-0000067C0000}"/>
    <cellStyle name="Normal 5 4 3 4 4 2 3" xfId="35394" xr:uid="{00000000-0005-0000-0000-0000077C0000}"/>
    <cellStyle name="Normal 5 4 3 4 4 3" xfId="11911" xr:uid="{00000000-0005-0000-0000-0000087C0000}"/>
    <cellStyle name="Normal 5 4 3 4 4 3 2" xfId="35396" xr:uid="{00000000-0005-0000-0000-0000097C0000}"/>
    <cellStyle name="Normal 5 4 3 4 4 4" xfId="35393" xr:uid="{00000000-0005-0000-0000-00000A7C0000}"/>
    <cellStyle name="Normal 5 4 3 4 5" xfId="11912" xr:uid="{00000000-0005-0000-0000-00000B7C0000}"/>
    <cellStyle name="Normal 5 4 3 4 5 2" xfId="11913" xr:uid="{00000000-0005-0000-0000-00000C7C0000}"/>
    <cellStyle name="Normal 5 4 3 4 5 2 2" xfId="35398" xr:uid="{00000000-0005-0000-0000-00000D7C0000}"/>
    <cellStyle name="Normal 5 4 3 4 5 3" xfId="35397" xr:uid="{00000000-0005-0000-0000-00000E7C0000}"/>
    <cellStyle name="Normal 5 4 3 4 6" xfId="11914" xr:uid="{00000000-0005-0000-0000-00000F7C0000}"/>
    <cellStyle name="Normal 5 4 3 4 6 2" xfId="35399" xr:uid="{00000000-0005-0000-0000-0000107C0000}"/>
    <cellStyle name="Normal 5 4 3 4 7" xfId="35376" xr:uid="{00000000-0005-0000-0000-0000117C0000}"/>
    <cellStyle name="Normal 5 4 3 5" xfId="11915" xr:uid="{00000000-0005-0000-0000-0000127C0000}"/>
    <cellStyle name="Normal 5 4 3 5 2" xfId="11916" xr:uid="{00000000-0005-0000-0000-0000137C0000}"/>
    <cellStyle name="Normal 5 4 3 5 2 2" xfId="11917" xr:uid="{00000000-0005-0000-0000-0000147C0000}"/>
    <cellStyle name="Normal 5 4 3 5 2 2 2" xfId="11918" xr:uid="{00000000-0005-0000-0000-0000157C0000}"/>
    <cellStyle name="Normal 5 4 3 5 2 2 2 2" xfId="35403" xr:uid="{00000000-0005-0000-0000-0000167C0000}"/>
    <cellStyle name="Normal 5 4 3 5 2 2 3" xfId="35402" xr:uid="{00000000-0005-0000-0000-0000177C0000}"/>
    <cellStyle name="Normal 5 4 3 5 2 3" xfId="11919" xr:uid="{00000000-0005-0000-0000-0000187C0000}"/>
    <cellStyle name="Normal 5 4 3 5 2 3 2" xfId="35404" xr:uid="{00000000-0005-0000-0000-0000197C0000}"/>
    <cellStyle name="Normal 5 4 3 5 2 4" xfId="35401" xr:uid="{00000000-0005-0000-0000-00001A7C0000}"/>
    <cellStyle name="Normal 5 4 3 5 3" xfId="11920" xr:uid="{00000000-0005-0000-0000-00001B7C0000}"/>
    <cellStyle name="Normal 5 4 3 5 3 2" xfId="11921" xr:uid="{00000000-0005-0000-0000-00001C7C0000}"/>
    <cellStyle name="Normal 5 4 3 5 3 2 2" xfId="35406" xr:uid="{00000000-0005-0000-0000-00001D7C0000}"/>
    <cellStyle name="Normal 5 4 3 5 3 3" xfId="35405" xr:uid="{00000000-0005-0000-0000-00001E7C0000}"/>
    <cellStyle name="Normal 5 4 3 5 4" xfId="11922" xr:uid="{00000000-0005-0000-0000-00001F7C0000}"/>
    <cellStyle name="Normal 5 4 3 5 4 2" xfId="35407" xr:uid="{00000000-0005-0000-0000-0000207C0000}"/>
    <cellStyle name="Normal 5 4 3 5 5" xfId="35400" xr:uid="{00000000-0005-0000-0000-0000217C0000}"/>
    <cellStyle name="Normal 5 4 3 6" xfId="11923" xr:uid="{00000000-0005-0000-0000-0000227C0000}"/>
    <cellStyle name="Normal 5 4 3 6 2" xfId="11924" xr:uid="{00000000-0005-0000-0000-0000237C0000}"/>
    <cellStyle name="Normal 5 4 3 6 2 2" xfId="11925" xr:uid="{00000000-0005-0000-0000-0000247C0000}"/>
    <cellStyle name="Normal 5 4 3 6 2 2 2" xfId="11926" xr:uid="{00000000-0005-0000-0000-0000257C0000}"/>
    <cellStyle name="Normal 5 4 3 6 2 2 2 2" xfId="35411" xr:uid="{00000000-0005-0000-0000-0000267C0000}"/>
    <cellStyle name="Normal 5 4 3 6 2 2 3" xfId="35410" xr:uid="{00000000-0005-0000-0000-0000277C0000}"/>
    <cellStyle name="Normal 5 4 3 6 2 3" xfId="11927" xr:uid="{00000000-0005-0000-0000-0000287C0000}"/>
    <cellStyle name="Normal 5 4 3 6 2 3 2" xfId="35412" xr:uid="{00000000-0005-0000-0000-0000297C0000}"/>
    <cellStyle name="Normal 5 4 3 6 2 4" xfId="35409" xr:uid="{00000000-0005-0000-0000-00002A7C0000}"/>
    <cellStyle name="Normal 5 4 3 6 3" xfId="11928" xr:uid="{00000000-0005-0000-0000-00002B7C0000}"/>
    <cellStyle name="Normal 5 4 3 6 3 2" xfId="11929" xr:uid="{00000000-0005-0000-0000-00002C7C0000}"/>
    <cellStyle name="Normal 5 4 3 6 3 2 2" xfId="35414" xr:uid="{00000000-0005-0000-0000-00002D7C0000}"/>
    <cellStyle name="Normal 5 4 3 6 3 3" xfId="35413" xr:uid="{00000000-0005-0000-0000-00002E7C0000}"/>
    <cellStyle name="Normal 5 4 3 6 4" xfId="11930" xr:uid="{00000000-0005-0000-0000-00002F7C0000}"/>
    <cellStyle name="Normal 5 4 3 6 4 2" xfId="35415" xr:uid="{00000000-0005-0000-0000-0000307C0000}"/>
    <cellStyle name="Normal 5 4 3 6 5" xfId="35408" xr:uid="{00000000-0005-0000-0000-0000317C0000}"/>
    <cellStyle name="Normal 5 4 3 7" xfId="11931" xr:uid="{00000000-0005-0000-0000-0000327C0000}"/>
    <cellStyle name="Normal 5 4 3 7 2" xfId="11932" xr:uid="{00000000-0005-0000-0000-0000337C0000}"/>
    <cellStyle name="Normal 5 4 3 7 2 2" xfId="11933" xr:uid="{00000000-0005-0000-0000-0000347C0000}"/>
    <cellStyle name="Normal 5 4 3 7 2 2 2" xfId="35418" xr:uid="{00000000-0005-0000-0000-0000357C0000}"/>
    <cellStyle name="Normal 5 4 3 7 2 3" xfId="35417" xr:uid="{00000000-0005-0000-0000-0000367C0000}"/>
    <cellStyle name="Normal 5 4 3 7 3" xfId="11934" xr:uid="{00000000-0005-0000-0000-0000377C0000}"/>
    <cellStyle name="Normal 5 4 3 7 3 2" xfId="35419" xr:uid="{00000000-0005-0000-0000-0000387C0000}"/>
    <cellStyle name="Normal 5 4 3 7 4" xfId="35416" xr:uid="{00000000-0005-0000-0000-0000397C0000}"/>
    <cellStyle name="Normal 5 4 3 8" xfId="11935" xr:uid="{00000000-0005-0000-0000-00003A7C0000}"/>
    <cellStyle name="Normal 5 4 3 8 2" xfId="11936" xr:uid="{00000000-0005-0000-0000-00003B7C0000}"/>
    <cellStyle name="Normal 5 4 3 8 2 2" xfId="35421" xr:uid="{00000000-0005-0000-0000-00003C7C0000}"/>
    <cellStyle name="Normal 5 4 3 8 3" xfId="35420" xr:uid="{00000000-0005-0000-0000-00003D7C0000}"/>
    <cellStyle name="Normal 5 4 3 9" xfId="11937" xr:uid="{00000000-0005-0000-0000-00003E7C0000}"/>
    <cellStyle name="Normal 5 4 3 9 2" xfId="35422" xr:uid="{00000000-0005-0000-0000-00003F7C0000}"/>
    <cellStyle name="Normal 5 4 4" xfId="11938" xr:uid="{00000000-0005-0000-0000-0000407C0000}"/>
    <cellStyle name="Normal 5 4 4 10" xfId="35423" xr:uid="{00000000-0005-0000-0000-0000417C0000}"/>
    <cellStyle name="Normal 5 4 4 2" xfId="11939" xr:uid="{00000000-0005-0000-0000-0000427C0000}"/>
    <cellStyle name="Normal 5 4 4 2 2" xfId="11940" xr:uid="{00000000-0005-0000-0000-0000437C0000}"/>
    <cellStyle name="Normal 5 4 4 2 2 2" xfId="11941" xr:uid="{00000000-0005-0000-0000-0000447C0000}"/>
    <cellStyle name="Normal 5 4 4 2 2 2 2" xfId="11942" xr:uid="{00000000-0005-0000-0000-0000457C0000}"/>
    <cellStyle name="Normal 5 4 4 2 2 2 2 2" xfId="11943" xr:uid="{00000000-0005-0000-0000-0000467C0000}"/>
    <cellStyle name="Normal 5 4 4 2 2 2 2 2 2" xfId="35428" xr:uid="{00000000-0005-0000-0000-0000477C0000}"/>
    <cellStyle name="Normal 5 4 4 2 2 2 2 3" xfId="35427" xr:uid="{00000000-0005-0000-0000-0000487C0000}"/>
    <cellStyle name="Normal 5 4 4 2 2 2 3" xfId="11944" xr:uid="{00000000-0005-0000-0000-0000497C0000}"/>
    <cellStyle name="Normal 5 4 4 2 2 2 3 2" xfId="35429" xr:uid="{00000000-0005-0000-0000-00004A7C0000}"/>
    <cellStyle name="Normal 5 4 4 2 2 2 4" xfId="35426" xr:uid="{00000000-0005-0000-0000-00004B7C0000}"/>
    <cellStyle name="Normal 5 4 4 2 2 3" xfId="11945" xr:uid="{00000000-0005-0000-0000-00004C7C0000}"/>
    <cellStyle name="Normal 5 4 4 2 2 3 2" xfId="11946" xr:uid="{00000000-0005-0000-0000-00004D7C0000}"/>
    <cellStyle name="Normal 5 4 4 2 2 3 2 2" xfId="35431" xr:uid="{00000000-0005-0000-0000-00004E7C0000}"/>
    <cellStyle name="Normal 5 4 4 2 2 3 3" xfId="35430" xr:uid="{00000000-0005-0000-0000-00004F7C0000}"/>
    <cellStyle name="Normal 5 4 4 2 2 4" xfId="11947" xr:uid="{00000000-0005-0000-0000-0000507C0000}"/>
    <cellStyle name="Normal 5 4 4 2 2 4 2" xfId="35432" xr:uid="{00000000-0005-0000-0000-0000517C0000}"/>
    <cellStyle name="Normal 5 4 4 2 2 5" xfId="35425" xr:uid="{00000000-0005-0000-0000-0000527C0000}"/>
    <cellStyle name="Normal 5 4 4 2 3" xfId="11948" xr:uid="{00000000-0005-0000-0000-0000537C0000}"/>
    <cellStyle name="Normal 5 4 4 2 3 2" xfId="11949" xr:uid="{00000000-0005-0000-0000-0000547C0000}"/>
    <cellStyle name="Normal 5 4 4 2 3 2 2" xfId="11950" xr:uid="{00000000-0005-0000-0000-0000557C0000}"/>
    <cellStyle name="Normal 5 4 4 2 3 2 2 2" xfId="11951" xr:uid="{00000000-0005-0000-0000-0000567C0000}"/>
    <cellStyle name="Normal 5 4 4 2 3 2 2 2 2" xfId="35436" xr:uid="{00000000-0005-0000-0000-0000577C0000}"/>
    <cellStyle name="Normal 5 4 4 2 3 2 2 3" xfId="35435" xr:uid="{00000000-0005-0000-0000-0000587C0000}"/>
    <cellStyle name="Normal 5 4 4 2 3 2 3" xfId="11952" xr:uid="{00000000-0005-0000-0000-0000597C0000}"/>
    <cellStyle name="Normal 5 4 4 2 3 2 3 2" xfId="35437" xr:uid="{00000000-0005-0000-0000-00005A7C0000}"/>
    <cellStyle name="Normal 5 4 4 2 3 2 4" xfId="35434" xr:uid="{00000000-0005-0000-0000-00005B7C0000}"/>
    <cellStyle name="Normal 5 4 4 2 3 3" xfId="11953" xr:uid="{00000000-0005-0000-0000-00005C7C0000}"/>
    <cellStyle name="Normal 5 4 4 2 3 3 2" xfId="11954" xr:uid="{00000000-0005-0000-0000-00005D7C0000}"/>
    <cellStyle name="Normal 5 4 4 2 3 3 2 2" xfId="35439" xr:uid="{00000000-0005-0000-0000-00005E7C0000}"/>
    <cellStyle name="Normal 5 4 4 2 3 3 3" xfId="35438" xr:uid="{00000000-0005-0000-0000-00005F7C0000}"/>
    <cellStyle name="Normal 5 4 4 2 3 4" xfId="11955" xr:uid="{00000000-0005-0000-0000-0000607C0000}"/>
    <cellStyle name="Normal 5 4 4 2 3 4 2" xfId="35440" xr:uid="{00000000-0005-0000-0000-0000617C0000}"/>
    <cellStyle name="Normal 5 4 4 2 3 5" xfId="35433" xr:uid="{00000000-0005-0000-0000-0000627C0000}"/>
    <cellStyle name="Normal 5 4 4 2 4" xfId="11956" xr:uid="{00000000-0005-0000-0000-0000637C0000}"/>
    <cellStyle name="Normal 5 4 4 2 4 2" xfId="11957" xr:uid="{00000000-0005-0000-0000-0000647C0000}"/>
    <cellStyle name="Normal 5 4 4 2 4 2 2" xfId="11958" xr:uid="{00000000-0005-0000-0000-0000657C0000}"/>
    <cellStyle name="Normal 5 4 4 2 4 2 2 2" xfId="35443" xr:uid="{00000000-0005-0000-0000-0000667C0000}"/>
    <cellStyle name="Normal 5 4 4 2 4 2 3" xfId="35442" xr:uid="{00000000-0005-0000-0000-0000677C0000}"/>
    <cellStyle name="Normal 5 4 4 2 4 3" xfId="11959" xr:uid="{00000000-0005-0000-0000-0000687C0000}"/>
    <cellStyle name="Normal 5 4 4 2 4 3 2" xfId="35444" xr:uid="{00000000-0005-0000-0000-0000697C0000}"/>
    <cellStyle name="Normal 5 4 4 2 4 4" xfId="35441" xr:uid="{00000000-0005-0000-0000-00006A7C0000}"/>
    <cellStyle name="Normal 5 4 4 2 5" xfId="11960" xr:uid="{00000000-0005-0000-0000-00006B7C0000}"/>
    <cellStyle name="Normal 5 4 4 2 5 2" xfId="11961" xr:uid="{00000000-0005-0000-0000-00006C7C0000}"/>
    <cellStyle name="Normal 5 4 4 2 5 2 2" xfId="35446" xr:uid="{00000000-0005-0000-0000-00006D7C0000}"/>
    <cellStyle name="Normal 5 4 4 2 5 3" xfId="35445" xr:uid="{00000000-0005-0000-0000-00006E7C0000}"/>
    <cellStyle name="Normal 5 4 4 2 6" xfId="11962" xr:uid="{00000000-0005-0000-0000-00006F7C0000}"/>
    <cellStyle name="Normal 5 4 4 2 6 2" xfId="35447" xr:uid="{00000000-0005-0000-0000-0000707C0000}"/>
    <cellStyle name="Normal 5 4 4 2 7" xfId="35424" xr:uid="{00000000-0005-0000-0000-0000717C0000}"/>
    <cellStyle name="Normal 5 4 4 3" xfId="11963" xr:uid="{00000000-0005-0000-0000-0000727C0000}"/>
    <cellStyle name="Normal 5 4 4 3 2" xfId="11964" xr:uid="{00000000-0005-0000-0000-0000737C0000}"/>
    <cellStyle name="Normal 5 4 4 3 2 2" xfId="11965" xr:uid="{00000000-0005-0000-0000-0000747C0000}"/>
    <cellStyle name="Normal 5 4 4 3 2 2 2" xfId="11966" xr:uid="{00000000-0005-0000-0000-0000757C0000}"/>
    <cellStyle name="Normal 5 4 4 3 2 2 2 2" xfId="11967" xr:uid="{00000000-0005-0000-0000-0000767C0000}"/>
    <cellStyle name="Normal 5 4 4 3 2 2 2 2 2" xfId="35452" xr:uid="{00000000-0005-0000-0000-0000777C0000}"/>
    <cellStyle name="Normal 5 4 4 3 2 2 2 3" xfId="35451" xr:uid="{00000000-0005-0000-0000-0000787C0000}"/>
    <cellStyle name="Normal 5 4 4 3 2 2 3" xfId="11968" xr:uid="{00000000-0005-0000-0000-0000797C0000}"/>
    <cellStyle name="Normal 5 4 4 3 2 2 3 2" xfId="35453" xr:uid="{00000000-0005-0000-0000-00007A7C0000}"/>
    <cellStyle name="Normal 5 4 4 3 2 2 4" xfId="35450" xr:uid="{00000000-0005-0000-0000-00007B7C0000}"/>
    <cellStyle name="Normal 5 4 4 3 2 3" xfId="11969" xr:uid="{00000000-0005-0000-0000-00007C7C0000}"/>
    <cellStyle name="Normal 5 4 4 3 2 3 2" xfId="11970" xr:uid="{00000000-0005-0000-0000-00007D7C0000}"/>
    <cellStyle name="Normal 5 4 4 3 2 3 2 2" xfId="35455" xr:uid="{00000000-0005-0000-0000-00007E7C0000}"/>
    <cellStyle name="Normal 5 4 4 3 2 3 3" xfId="35454" xr:uid="{00000000-0005-0000-0000-00007F7C0000}"/>
    <cellStyle name="Normal 5 4 4 3 2 4" xfId="11971" xr:uid="{00000000-0005-0000-0000-0000807C0000}"/>
    <cellStyle name="Normal 5 4 4 3 2 4 2" xfId="35456" xr:uid="{00000000-0005-0000-0000-0000817C0000}"/>
    <cellStyle name="Normal 5 4 4 3 2 5" xfId="35449" xr:uid="{00000000-0005-0000-0000-0000827C0000}"/>
    <cellStyle name="Normal 5 4 4 3 3" xfId="11972" xr:uid="{00000000-0005-0000-0000-0000837C0000}"/>
    <cellStyle name="Normal 5 4 4 3 3 2" xfId="11973" xr:uid="{00000000-0005-0000-0000-0000847C0000}"/>
    <cellStyle name="Normal 5 4 4 3 3 2 2" xfId="11974" xr:uid="{00000000-0005-0000-0000-0000857C0000}"/>
    <cellStyle name="Normal 5 4 4 3 3 2 2 2" xfId="11975" xr:uid="{00000000-0005-0000-0000-0000867C0000}"/>
    <cellStyle name="Normal 5 4 4 3 3 2 2 2 2" xfId="35460" xr:uid="{00000000-0005-0000-0000-0000877C0000}"/>
    <cellStyle name="Normal 5 4 4 3 3 2 2 3" xfId="35459" xr:uid="{00000000-0005-0000-0000-0000887C0000}"/>
    <cellStyle name="Normal 5 4 4 3 3 2 3" xfId="11976" xr:uid="{00000000-0005-0000-0000-0000897C0000}"/>
    <cellStyle name="Normal 5 4 4 3 3 2 3 2" xfId="35461" xr:uid="{00000000-0005-0000-0000-00008A7C0000}"/>
    <cellStyle name="Normal 5 4 4 3 3 2 4" xfId="35458" xr:uid="{00000000-0005-0000-0000-00008B7C0000}"/>
    <cellStyle name="Normal 5 4 4 3 3 3" xfId="11977" xr:uid="{00000000-0005-0000-0000-00008C7C0000}"/>
    <cellStyle name="Normal 5 4 4 3 3 3 2" xfId="11978" xr:uid="{00000000-0005-0000-0000-00008D7C0000}"/>
    <cellStyle name="Normal 5 4 4 3 3 3 2 2" xfId="35463" xr:uid="{00000000-0005-0000-0000-00008E7C0000}"/>
    <cellStyle name="Normal 5 4 4 3 3 3 3" xfId="35462" xr:uid="{00000000-0005-0000-0000-00008F7C0000}"/>
    <cellStyle name="Normal 5 4 4 3 3 4" xfId="11979" xr:uid="{00000000-0005-0000-0000-0000907C0000}"/>
    <cellStyle name="Normal 5 4 4 3 3 4 2" xfId="35464" xr:uid="{00000000-0005-0000-0000-0000917C0000}"/>
    <cellStyle name="Normal 5 4 4 3 3 5" xfId="35457" xr:uid="{00000000-0005-0000-0000-0000927C0000}"/>
    <cellStyle name="Normal 5 4 4 3 4" xfId="11980" xr:uid="{00000000-0005-0000-0000-0000937C0000}"/>
    <cellStyle name="Normal 5 4 4 3 4 2" xfId="11981" xr:uid="{00000000-0005-0000-0000-0000947C0000}"/>
    <cellStyle name="Normal 5 4 4 3 4 2 2" xfId="11982" xr:uid="{00000000-0005-0000-0000-0000957C0000}"/>
    <cellStyle name="Normal 5 4 4 3 4 2 2 2" xfId="35467" xr:uid="{00000000-0005-0000-0000-0000967C0000}"/>
    <cellStyle name="Normal 5 4 4 3 4 2 3" xfId="35466" xr:uid="{00000000-0005-0000-0000-0000977C0000}"/>
    <cellStyle name="Normal 5 4 4 3 4 3" xfId="11983" xr:uid="{00000000-0005-0000-0000-0000987C0000}"/>
    <cellStyle name="Normal 5 4 4 3 4 3 2" xfId="35468" xr:uid="{00000000-0005-0000-0000-0000997C0000}"/>
    <cellStyle name="Normal 5 4 4 3 4 4" xfId="35465" xr:uid="{00000000-0005-0000-0000-00009A7C0000}"/>
    <cellStyle name="Normal 5 4 4 3 5" xfId="11984" xr:uid="{00000000-0005-0000-0000-00009B7C0000}"/>
    <cellStyle name="Normal 5 4 4 3 5 2" xfId="11985" xr:uid="{00000000-0005-0000-0000-00009C7C0000}"/>
    <cellStyle name="Normal 5 4 4 3 5 2 2" xfId="35470" xr:uid="{00000000-0005-0000-0000-00009D7C0000}"/>
    <cellStyle name="Normal 5 4 4 3 5 3" xfId="35469" xr:uid="{00000000-0005-0000-0000-00009E7C0000}"/>
    <cellStyle name="Normal 5 4 4 3 6" xfId="11986" xr:uid="{00000000-0005-0000-0000-00009F7C0000}"/>
    <cellStyle name="Normal 5 4 4 3 6 2" xfId="35471" xr:uid="{00000000-0005-0000-0000-0000A07C0000}"/>
    <cellStyle name="Normal 5 4 4 3 7" xfId="35448" xr:uid="{00000000-0005-0000-0000-0000A17C0000}"/>
    <cellStyle name="Normal 5 4 4 4" xfId="11987" xr:uid="{00000000-0005-0000-0000-0000A27C0000}"/>
    <cellStyle name="Normal 5 4 4 4 2" xfId="11988" xr:uid="{00000000-0005-0000-0000-0000A37C0000}"/>
    <cellStyle name="Normal 5 4 4 4 2 2" xfId="11989" xr:uid="{00000000-0005-0000-0000-0000A47C0000}"/>
    <cellStyle name="Normal 5 4 4 4 2 2 2" xfId="11990" xr:uid="{00000000-0005-0000-0000-0000A57C0000}"/>
    <cellStyle name="Normal 5 4 4 4 2 2 2 2" xfId="11991" xr:uid="{00000000-0005-0000-0000-0000A67C0000}"/>
    <cellStyle name="Normal 5 4 4 4 2 2 2 2 2" xfId="35476" xr:uid="{00000000-0005-0000-0000-0000A77C0000}"/>
    <cellStyle name="Normal 5 4 4 4 2 2 2 3" xfId="35475" xr:uid="{00000000-0005-0000-0000-0000A87C0000}"/>
    <cellStyle name="Normal 5 4 4 4 2 2 3" xfId="11992" xr:uid="{00000000-0005-0000-0000-0000A97C0000}"/>
    <cellStyle name="Normal 5 4 4 4 2 2 3 2" xfId="35477" xr:uid="{00000000-0005-0000-0000-0000AA7C0000}"/>
    <cellStyle name="Normal 5 4 4 4 2 2 4" xfId="35474" xr:uid="{00000000-0005-0000-0000-0000AB7C0000}"/>
    <cellStyle name="Normal 5 4 4 4 2 3" xfId="11993" xr:uid="{00000000-0005-0000-0000-0000AC7C0000}"/>
    <cellStyle name="Normal 5 4 4 4 2 3 2" xfId="11994" xr:uid="{00000000-0005-0000-0000-0000AD7C0000}"/>
    <cellStyle name="Normal 5 4 4 4 2 3 2 2" xfId="35479" xr:uid="{00000000-0005-0000-0000-0000AE7C0000}"/>
    <cellStyle name="Normal 5 4 4 4 2 3 3" xfId="35478" xr:uid="{00000000-0005-0000-0000-0000AF7C0000}"/>
    <cellStyle name="Normal 5 4 4 4 2 4" xfId="11995" xr:uid="{00000000-0005-0000-0000-0000B07C0000}"/>
    <cellStyle name="Normal 5 4 4 4 2 4 2" xfId="35480" xr:uid="{00000000-0005-0000-0000-0000B17C0000}"/>
    <cellStyle name="Normal 5 4 4 4 2 5" xfId="35473" xr:uid="{00000000-0005-0000-0000-0000B27C0000}"/>
    <cellStyle name="Normal 5 4 4 4 3" xfId="11996" xr:uid="{00000000-0005-0000-0000-0000B37C0000}"/>
    <cellStyle name="Normal 5 4 4 4 3 2" xfId="11997" xr:uid="{00000000-0005-0000-0000-0000B47C0000}"/>
    <cellStyle name="Normal 5 4 4 4 3 2 2" xfId="11998" xr:uid="{00000000-0005-0000-0000-0000B57C0000}"/>
    <cellStyle name="Normal 5 4 4 4 3 2 2 2" xfId="11999" xr:uid="{00000000-0005-0000-0000-0000B67C0000}"/>
    <cellStyle name="Normal 5 4 4 4 3 2 2 2 2" xfId="35484" xr:uid="{00000000-0005-0000-0000-0000B77C0000}"/>
    <cellStyle name="Normal 5 4 4 4 3 2 2 3" xfId="35483" xr:uid="{00000000-0005-0000-0000-0000B87C0000}"/>
    <cellStyle name="Normal 5 4 4 4 3 2 3" xfId="12000" xr:uid="{00000000-0005-0000-0000-0000B97C0000}"/>
    <cellStyle name="Normal 5 4 4 4 3 2 3 2" xfId="35485" xr:uid="{00000000-0005-0000-0000-0000BA7C0000}"/>
    <cellStyle name="Normal 5 4 4 4 3 2 4" xfId="35482" xr:uid="{00000000-0005-0000-0000-0000BB7C0000}"/>
    <cellStyle name="Normal 5 4 4 4 3 3" xfId="12001" xr:uid="{00000000-0005-0000-0000-0000BC7C0000}"/>
    <cellStyle name="Normal 5 4 4 4 3 3 2" xfId="12002" xr:uid="{00000000-0005-0000-0000-0000BD7C0000}"/>
    <cellStyle name="Normal 5 4 4 4 3 3 2 2" xfId="35487" xr:uid="{00000000-0005-0000-0000-0000BE7C0000}"/>
    <cellStyle name="Normal 5 4 4 4 3 3 3" xfId="35486" xr:uid="{00000000-0005-0000-0000-0000BF7C0000}"/>
    <cellStyle name="Normal 5 4 4 4 3 4" xfId="12003" xr:uid="{00000000-0005-0000-0000-0000C07C0000}"/>
    <cellStyle name="Normal 5 4 4 4 3 4 2" xfId="35488" xr:uid="{00000000-0005-0000-0000-0000C17C0000}"/>
    <cellStyle name="Normal 5 4 4 4 3 5" xfId="35481" xr:uid="{00000000-0005-0000-0000-0000C27C0000}"/>
    <cellStyle name="Normal 5 4 4 4 4" xfId="12004" xr:uid="{00000000-0005-0000-0000-0000C37C0000}"/>
    <cellStyle name="Normal 5 4 4 4 4 2" xfId="12005" xr:uid="{00000000-0005-0000-0000-0000C47C0000}"/>
    <cellStyle name="Normal 5 4 4 4 4 2 2" xfId="12006" xr:uid="{00000000-0005-0000-0000-0000C57C0000}"/>
    <cellStyle name="Normal 5 4 4 4 4 2 2 2" xfId="35491" xr:uid="{00000000-0005-0000-0000-0000C67C0000}"/>
    <cellStyle name="Normal 5 4 4 4 4 2 3" xfId="35490" xr:uid="{00000000-0005-0000-0000-0000C77C0000}"/>
    <cellStyle name="Normal 5 4 4 4 4 3" xfId="12007" xr:uid="{00000000-0005-0000-0000-0000C87C0000}"/>
    <cellStyle name="Normal 5 4 4 4 4 3 2" xfId="35492" xr:uid="{00000000-0005-0000-0000-0000C97C0000}"/>
    <cellStyle name="Normal 5 4 4 4 4 4" xfId="35489" xr:uid="{00000000-0005-0000-0000-0000CA7C0000}"/>
    <cellStyle name="Normal 5 4 4 4 5" xfId="12008" xr:uid="{00000000-0005-0000-0000-0000CB7C0000}"/>
    <cellStyle name="Normal 5 4 4 4 5 2" xfId="12009" xr:uid="{00000000-0005-0000-0000-0000CC7C0000}"/>
    <cellStyle name="Normal 5 4 4 4 5 2 2" xfId="35494" xr:uid="{00000000-0005-0000-0000-0000CD7C0000}"/>
    <cellStyle name="Normal 5 4 4 4 5 3" xfId="35493" xr:uid="{00000000-0005-0000-0000-0000CE7C0000}"/>
    <cellStyle name="Normal 5 4 4 4 6" xfId="12010" xr:uid="{00000000-0005-0000-0000-0000CF7C0000}"/>
    <cellStyle name="Normal 5 4 4 4 6 2" xfId="35495" xr:uid="{00000000-0005-0000-0000-0000D07C0000}"/>
    <cellStyle name="Normal 5 4 4 4 7" xfId="35472" xr:uid="{00000000-0005-0000-0000-0000D17C0000}"/>
    <cellStyle name="Normal 5 4 4 5" xfId="12011" xr:uid="{00000000-0005-0000-0000-0000D27C0000}"/>
    <cellStyle name="Normal 5 4 4 5 2" xfId="12012" xr:uid="{00000000-0005-0000-0000-0000D37C0000}"/>
    <cellStyle name="Normal 5 4 4 5 2 2" xfId="12013" xr:uid="{00000000-0005-0000-0000-0000D47C0000}"/>
    <cellStyle name="Normal 5 4 4 5 2 2 2" xfId="12014" xr:uid="{00000000-0005-0000-0000-0000D57C0000}"/>
    <cellStyle name="Normal 5 4 4 5 2 2 2 2" xfId="35499" xr:uid="{00000000-0005-0000-0000-0000D67C0000}"/>
    <cellStyle name="Normal 5 4 4 5 2 2 3" xfId="35498" xr:uid="{00000000-0005-0000-0000-0000D77C0000}"/>
    <cellStyle name="Normal 5 4 4 5 2 3" xfId="12015" xr:uid="{00000000-0005-0000-0000-0000D87C0000}"/>
    <cellStyle name="Normal 5 4 4 5 2 3 2" xfId="35500" xr:uid="{00000000-0005-0000-0000-0000D97C0000}"/>
    <cellStyle name="Normal 5 4 4 5 2 4" xfId="35497" xr:uid="{00000000-0005-0000-0000-0000DA7C0000}"/>
    <cellStyle name="Normal 5 4 4 5 3" xfId="12016" xr:uid="{00000000-0005-0000-0000-0000DB7C0000}"/>
    <cellStyle name="Normal 5 4 4 5 3 2" xfId="12017" xr:uid="{00000000-0005-0000-0000-0000DC7C0000}"/>
    <cellStyle name="Normal 5 4 4 5 3 2 2" xfId="35502" xr:uid="{00000000-0005-0000-0000-0000DD7C0000}"/>
    <cellStyle name="Normal 5 4 4 5 3 3" xfId="35501" xr:uid="{00000000-0005-0000-0000-0000DE7C0000}"/>
    <cellStyle name="Normal 5 4 4 5 4" xfId="12018" xr:uid="{00000000-0005-0000-0000-0000DF7C0000}"/>
    <cellStyle name="Normal 5 4 4 5 4 2" xfId="35503" xr:uid="{00000000-0005-0000-0000-0000E07C0000}"/>
    <cellStyle name="Normal 5 4 4 5 5" xfId="35496" xr:uid="{00000000-0005-0000-0000-0000E17C0000}"/>
    <cellStyle name="Normal 5 4 4 6" xfId="12019" xr:uid="{00000000-0005-0000-0000-0000E27C0000}"/>
    <cellStyle name="Normal 5 4 4 6 2" xfId="12020" xr:uid="{00000000-0005-0000-0000-0000E37C0000}"/>
    <cellStyle name="Normal 5 4 4 6 2 2" xfId="12021" xr:uid="{00000000-0005-0000-0000-0000E47C0000}"/>
    <cellStyle name="Normal 5 4 4 6 2 2 2" xfId="12022" xr:uid="{00000000-0005-0000-0000-0000E57C0000}"/>
    <cellStyle name="Normal 5 4 4 6 2 2 2 2" xfId="35507" xr:uid="{00000000-0005-0000-0000-0000E67C0000}"/>
    <cellStyle name="Normal 5 4 4 6 2 2 3" xfId="35506" xr:uid="{00000000-0005-0000-0000-0000E77C0000}"/>
    <cellStyle name="Normal 5 4 4 6 2 3" xfId="12023" xr:uid="{00000000-0005-0000-0000-0000E87C0000}"/>
    <cellStyle name="Normal 5 4 4 6 2 3 2" xfId="35508" xr:uid="{00000000-0005-0000-0000-0000E97C0000}"/>
    <cellStyle name="Normal 5 4 4 6 2 4" xfId="35505" xr:uid="{00000000-0005-0000-0000-0000EA7C0000}"/>
    <cellStyle name="Normal 5 4 4 6 3" xfId="12024" xr:uid="{00000000-0005-0000-0000-0000EB7C0000}"/>
    <cellStyle name="Normal 5 4 4 6 3 2" xfId="12025" xr:uid="{00000000-0005-0000-0000-0000EC7C0000}"/>
    <cellStyle name="Normal 5 4 4 6 3 2 2" xfId="35510" xr:uid="{00000000-0005-0000-0000-0000ED7C0000}"/>
    <cellStyle name="Normal 5 4 4 6 3 3" xfId="35509" xr:uid="{00000000-0005-0000-0000-0000EE7C0000}"/>
    <cellStyle name="Normal 5 4 4 6 4" xfId="12026" xr:uid="{00000000-0005-0000-0000-0000EF7C0000}"/>
    <cellStyle name="Normal 5 4 4 6 4 2" xfId="35511" xr:uid="{00000000-0005-0000-0000-0000F07C0000}"/>
    <cellStyle name="Normal 5 4 4 6 5" xfId="35504" xr:uid="{00000000-0005-0000-0000-0000F17C0000}"/>
    <cellStyle name="Normal 5 4 4 7" xfId="12027" xr:uid="{00000000-0005-0000-0000-0000F27C0000}"/>
    <cellStyle name="Normal 5 4 4 7 2" xfId="12028" xr:uid="{00000000-0005-0000-0000-0000F37C0000}"/>
    <cellStyle name="Normal 5 4 4 7 2 2" xfId="12029" xr:uid="{00000000-0005-0000-0000-0000F47C0000}"/>
    <cellStyle name="Normal 5 4 4 7 2 2 2" xfId="35514" xr:uid="{00000000-0005-0000-0000-0000F57C0000}"/>
    <cellStyle name="Normal 5 4 4 7 2 3" xfId="35513" xr:uid="{00000000-0005-0000-0000-0000F67C0000}"/>
    <cellStyle name="Normal 5 4 4 7 3" xfId="12030" xr:uid="{00000000-0005-0000-0000-0000F77C0000}"/>
    <cellStyle name="Normal 5 4 4 7 3 2" xfId="35515" xr:uid="{00000000-0005-0000-0000-0000F87C0000}"/>
    <cellStyle name="Normal 5 4 4 7 4" xfId="35512" xr:uid="{00000000-0005-0000-0000-0000F97C0000}"/>
    <cellStyle name="Normal 5 4 4 8" xfId="12031" xr:uid="{00000000-0005-0000-0000-0000FA7C0000}"/>
    <cellStyle name="Normal 5 4 4 8 2" xfId="12032" xr:uid="{00000000-0005-0000-0000-0000FB7C0000}"/>
    <cellStyle name="Normal 5 4 4 8 2 2" xfId="35517" xr:uid="{00000000-0005-0000-0000-0000FC7C0000}"/>
    <cellStyle name="Normal 5 4 4 8 3" xfId="35516" xr:uid="{00000000-0005-0000-0000-0000FD7C0000}"/>
    <cellStyle name="Normal 5 4 4 9" xfId="12033" xr:uid="{00000000-0005-0000-0000-0000FE7C0000}"/>
    <cellStyle name="Normal 5 4 4 9 2" xfId="35518" xr:uid="{00000000-0005-0000-0000-0000FF7C0000}"/>
    <cellStyle name="Normal 5 4 5" xfId="12034" xr:uid="{00000000-0005-0000-0000-0000007D0000}"/>
    <cellStyle name="Normal 5 4 5 2" xfId="12035" xr:uid="{00000000-0005-0000-0000-0000017D0000}"/>
    <cellStyle name="Normal 5 4 5 2 2" xfId="12036" xr:uid="{00000000-0005-0000-0000-0000027D0000}"/>
    <cellStyle name="Normal 5 4 5 2 2 2" xfId="12037" xr:uid="{00000000-0005-0000-0000-0000037D0000}"/>
    <cellStyle name="Normal 5 4 5 2 2 2 2" xfId="12038" xr:uid="{00000000-0005-0000-0000-0000047D0000}"/>
    <cellStyle name="Normal 5 4 5 2 2 2 2 2" xfId="35523" xr:uid="{00000000-0005-0000-0000-0000057D0000}"/>
    <cellStyle name="Normal 5 4 5 2 2 2 3" xfId="35522" xr:uid="{00000000-0005-0000-0000-0000067D0000}"/>
    <cellStyle name="Normal 5 4 5 2 2 3" xfId="12039" xr:uid="{00000000-0005-0000-0000-0000077D0000}"/>
    <cellStyle name="Normal 5 4 5 2 2 3 2" xfId="35524" xr:uid="{00000000-0005-0000-0000-0000087D0000}"/>
    <cellStyle name="Normal 5 4 5 2 2 4" xfId="35521" xr:uid="{00000000-0005-0000-0000-0000097D0000}"/>
    <cellStyle name="Normal 5 4 5 2 3" xfId="12040" xr:uid="{00000000-0005-0000-0000-00000A7D0000}"/>
    <cellStyle name="Normal 5 4 5 2 3 2" xfId="12041" xr:uid="{00000000-0005-0000-0000-00000B7D0000}"/>
    <cellStyle name="Normal 5 4 5 2 3 2 2" xfId="35526" xr:uid="{00000000-0005-0000-0000-00000C7D0000}"/>
    <cellStyle name="Normal 5 4 5 2 3 3" xfId="35525" xr:uid="{00000000-0005-0000-0000-00000D7D0000}"/>
    <cellStyle name="Normal 5 4 5 2 4" xfId="12042" xr:uid="{00000000-0005-0000-0000-00000E7D0000}"/>
    <cellStyle name="Normal 5 4 5 2 4 2" xfId="35527" xr:uid="{00000000-0005-0000-0000-00000F7D0000}"/>
    <cellStyle name="Normal 5 4 5 2 5" xfId="35520" xr:uid="{00000000-0005-0000-0000-0000107D0000}"/>
    <cellStyle name="Normal 5 4 5 3" xfId="12043" xr:uid="{00000000-0005-0000-0000-0000117D0000}"/>
    <cellStyle name="Normal 5 4 5 3 2" xfId="12044" xr:uid="{00000000-0005-0000-0000-0000127D0000}"/>
    <cellStyle name="Normal 5 4 5 3 2 2" xfId="12045" xr:uid="{00000000-0005-0000-0000-0000137D0000}"/>
    <cellStyle name="Normal 5 4 5 3 2 2 2" xfId="12046" xr:uid="{00000000-0005-0000-0000-0000147D0000}"/>
    <cellStyle name="Normal 5 4 5 3 2 2 2 2" xfId="35531" xr:uid="{00000000-0005-0000-0000-0000157D0000}"/>
    <cellStyle name="Normal 5 4 5 3 2 2 3" xfId="35530" xr:uid="{00000000-0005-0000-0000-0000167D0000}"/>
    <cellStyle name="Normal 5 4 5 3 2 3" xfId="12047" xr:uid="{00000000-0005-0000-0000-0000177D0000}"/>
    <cellStyle name="Normal 5 4 5 3 2 3 2" xfId="35532" xr:uid="{00000000-0005-0000-0000-0000187D0000}"/>
    <cellStyle name="Normal 5 4 5 3 2 4" xfId="35529" xr:uid="{00000000-0005-0000-0000-0000197D0000}"/>
    <cellStyle name="Normal 5 4 5 3 3" xfId="12048" xr:uid="{00000000-0005-0000-0000-00001A7D0000}"/>
    <cellStyle name="Normal 5 4 5 3 3 2" xfId="12049" xr:uid="{00000000-0005-0000-0000-00001B7D0000}"/>
    <cellStyle name="Normal 5 4 5 3 3 2 2" xfId="35534" xr:uid="{00000000-0005-0000-0000-00001C7D0000}"/>
    <cellStyle name="Normal 5 4 5 3 3 3" xfId="35533" xr:uid="{00000000-0005-0000-0000-00001D7D0000}"/>
    <cellStyle name="Normal 5 4 5 3 4" xfId="12050" xr:uid="{00000000-0005-0000-0000-00001E7D0000}"/>
    <cellStyle name="Normal 5 4 5 3 4 2" xfId="35535" xr:uid="{00000000-0005-0000-0000-00001F7D0000}"/>
    <cellStyle name="Normal 5 4 5 3 5" xfId="35528" xr:uid="{00000000-0005-0000-0000-0000207D0000}"/>
    <cellStyle name="Normal 5 4 5 4" xfId="12051" xr:uid="{00000000-0005-0000-0000-0000217D0000}"/>
    <cellStyle name="Normal 5 4 5 4 2" xfId="12052" xr:uid="{00000000-0005-0000-0000-0000227D0000}"/>
    <cellStyle name="Normal 5 4 5 4 2 2" xfId="12053" xr:uid="{00000000-0005-0000-0000-0000237D0000}"/>
    <cellStyle name="Normal 5 4 5 4 2 2 2" xfId="35538" xr:uid="{00000000-0005-0000-0000-0000247D0000}"/>
    <cellStyle name="Normal 5 4 5 4 2 3" xfId="35537" xr:uid="{00000000-0005-0000-0000-0000257D0000}"/>
    <cellStyle name="Normal 5 4 5 4 3" xfId="12054" xr:uid="{00000000-0005-0000-0000-0000267D0000}"/>
    <cellStyle name="Normal 5 4 5 4 3 2" xfId="35539" xr:uid="{00000000-0005-0000-0000-0000277D0000}"/>
    <cellStyle name="Normal 5 4 5 4 4" xfId="35536" xr:uid="{00000000-0005-0000-0000-0000287D0000}"/>
    <cellStyle name="Normal 5 4 5 5" xfId="12055" xr:uid="{00000000-0005-0000-0000-0000297D0000}"/>
    <cellStyle name="Normal 5 4 5 5 2" xfId="12056" xr:uid="{00000000-0005-0000-0000-00002A7D0000}"/>
    <cellStyle name="Normal 5 4 5 5 2 2" xfId="35541" xr:uid="{00000000-0005-0000-0000-00002B7D0000}"/>
    <cellStyle name="Normal 5 4 5 5 3" xfId="35540" xr:uid="{00000000-0005-0000-0000-00002C7D0000}"/>
    <cellStyle name="Normal 5 4 5 6" xfId="12057" xr:uid="{00000000-0005-0000-0000-00002D7D0000}"/>
    <cellStyle name="Normal 5 4 5 6 2" xfId="35542" xr:uid="{00000000-0005-0000-0000-00002E7D0000}"/>
    <cellStyle name="Normal 5 4 5 7" xfId="35519" xr:uid="{00000000-0005-0000-0000-00002F7D0000}"/>
    <cellStyle name="Normal 5 4 6" xfId="12058" xr:uid="{00000000-0005-0000-0000-0000307D0000}"/>
    <cellStyle name="Normal 5 4 6 2" xfId="12059" xr:uid="{00000000-0005-0000-0000-0000317D0000}"/>
    <cellStyle name="Normal 5 4 6 2 2" xfId="12060" xr:uid="{00000000-0005-0000-0000-0000327D0000}"/>
    <cellStyle name="Normal 5 4 6 2 2 2" xfId="12061" xr:uid="{00000000-0005-0000-0000-0000337D0000}"/>
    <cellStyle name="Normal 5 4 6 2 2 2 2" xfId="12062" xr:uid="{00000000-0005-0000-0000-0000347D0000}"/>
    <cellStyle name="Normal 5 4 6 2 2 2 2 2" xfId="35547" xr:uid="{00000000-0005-0000-0000-0000357D0000}"/>
    <cellStyle name="Normal 5 4 6 2 2 2 3" xfId="35546" xr:uid="{00000000-0005-0000-0000-0000367D0000}"/>
    <cellStyle name="Normal 5 4 6 2 2 3" xfId="12063" xr:uid="{00000000-0005-0000-0000-0000377D0000}"/>
    <cellStyle name="Normal 5 4 6 2 2 3 2" xfId="35548" xr:uid="{00000000-0005-0000-0000-0000387D0000}"/>
    <cellStyle name="Normal 5 4 6 2 2 4" xfId="35545" xr:uid="{00000000-0005-0000-0000-0000397D0000}"/>
    <cellStyle name="Normal 5 4 6 2 3" xfId="12064" xr:uid="{00000000-0005-0000-0000-00003A7D0000}"/>
    <cellStyle name="Normal 5 4 6 2 3 2" xfId="12065" xr:uid="{00000000-0005-0000-0000-00003B7D0000}"/>
    <cellStyle name="Normal 5 4 6 2 3 2 2" xfId="35550" xr:uid="{00000000-0005-0000-0000-00003C7D0000}"/>
    <cellStyle name="Normal 5 4 6 2 3 3" xfId="35549" xr:uid="{00000000-0005-0000-0000-00003D7D0000}"/>
    <cellStyle name="Normal 5 4 6 2 4" xfId="12066" xr:uid="{00000000-0005-0000-0000-00003E7D0000}"/>
    <cellStyle name="Normal 5 4 6 2 4 2" xfId="35551" xr:uid="{00000000-0005-0000-0000-00003F7D0000}"/>
    <cellStyle name="Normal 5 4 6 2 5" xfId="35544" xr:uid="{00000000-0005-0000-0000-0000407D0000}"/>
    <cellStyle name="Normal 5 4 6 3" xfId="12067" xr:uid="{00000000-0005-0000-0000-0000417D0000}"/>
    <cellStyle name="Normal 5 4 6 3 2" xfId="12068" xr:uid="{00000000-0005-0000-0000-0000427D0000}"/>
    <cellStyle name="Normal 5 4 6 3 2 2" xfId="12069" xr:uid="{00000000-0005-0000-0000-0000437D0000}"/>
    <cellStyle name="Normal 5 4 6 3 2 2 2" xfId="12070" xr:uid="{00000000-0005-0000-0000-0000447D0000}"/>
    <cellStyle name="Normal 5 4 6 3 2 2 2 2" xfId="35555" xr:uid="{00000000-0005-0000-0000-0000457D0000}"/>
    <cellStyle name="Normal 5 4 6 3 2 2 3" xfId="35554" xr:uid="{00000000-0005-0000-0000-0000467D0000}"/>
    <cellStyle name="Normal 5 4 6 3 2 3" xfId="12071" xr:uid="{00000000-0005-0000-0000-0000477D0000}"/>
    <cellStyle name="Normal 5 4 6 3 2 3 2" xfId="35556" xr:uid="{00000000-0005-0000-0000-0000487D0000}"/>
    <cellStyle name="Normal 5 4 6 3 2 4" xfId="35553" xr:uid="{00000000-0005-0000-0000-0000497D0000}"/>
    <cellStyle name="Normal 5 4 6 3 3" xfId="12072" xr:uid="{00000000-0005-0000-0000-00004A7D0000}"/>
    <cellStyle name="Normal 5 4 6 3 3 2" xfId="12073" xr:uid="{00000000-0005-0000-0000-00004B7D0000}"/>
    <cellStyle name="Normal 5 4 6 3 3 2 2" xfId="35558" xr:uid="{00000000-0005-0000-0000-00004C7D0000}"/>
    <cellStyle name="Normal 5 4 6 3 3 3" xfId="35557" xr:uid="{00000000-0005-0000-0000-00004D7D0000}"/>
    <cellStyle name="Normal 5 4 6 3 4" xfId="12074" xr:uid="{00000000-0005-0000-0000-00004E7D0000}"/>
    <cellStyle name="Normal 5 4 6 3 4 2" xfId="35559" xr:uid="{00000000-0005-0000-0000-00004F7D0000}"/>
    <cellStyle name="Normal 5 4 6 3 5" xfId="35552" xr:uid="{00000000-0005-0000-0000-0000507D0000}"/>
    <cellStyle name="Normal 5 4 6 4" xfId="12075" xr:uid="{00000000-0005-0000-0000-0000517D0000}"/>
    <cellStyle name="Normal 5 4 6 4 2" xfId="12076" xr:uid="{00000000-0005-0000-0000-0000527D0000}"/>
    <cellStyle name="Normal 5 4 6 4 2 2" xfId="12077" xr:uid="{00000000-0005-0000-0000-0000537D0000}"/>
    <cellStyle name="Normal 5 4 6 4 2 2 2" xfId="35562" xr:uid="{00000000-0005-0000-0000-0000547D0000}"/>
    <cellStyle name="Normal 5 4 6 4 2 3" xfId="35561" xr:uid="{00000000-0005-0000-0000-0000557D0000}"/>
    <cellStyle name="Normal 5 4 6 4 3" xfId="12078" xr:uid="{00000000-0005-0000-0000-0000567D0000}"/>
    <cellStyle name="Normal 5 4 6 4 3 2" xfId="35563" xr:uid="{00000000-0005-0000-0000-0000577D0000}"/>
    <cellStyle name="Normal 5 4 6 4 4" xfId="35560" xr:uid="{00000000-0005-0000-0000-0000587D0000}"/>
    <cellStyle name="Normal 5 4 6 5" xfId="12079" xr:uid="{00000000-0005-0000-0000-0000597D0000}"/>
    <cellStyle name="Normal 5 4 6 5 2" xfId="12080" xr:uid="{00000000-0005-0000-0000-00005A7D0000}"/>
    <cellStyle name="Normal 5 4 6 5 2 2" xfId="35565" xr:uid="{00000000-0005-0000-0000-00005B7D0000}"/>
    <cellStyle name="Normal 5 4 6 5 3" xfId="35564" xr:uid="{00000000-0005-0000-0000-00005C7D0000}"/>
    <cellStyle name="Normal 5 4 6 6" xfId="12081" xr:uid="{00000000-0005-0000-0000-00005D7D0000}"/>
    <cellStyle name="Normal 5 4 6 6 2" xfId="35566" xr:uid="{00000000-0005-0000-0000-00005E7D0000}"/>
    <cellStyle name="Normal 5 4 6 7" xfId="35543" xr:uid="{00000000-0005-0000-0000-00005F7D0000}"/>
    <cellStyle name="Normal 5 4 7" xfId="12082" xr:uid="{00000000-0005-0000-0000-0000607D0000}"/>
    <cellStyle name="Normal 5 4 7 2" xfId="12083" xr:uid="{00000000-0005-0000-0000-0000617D0000}"/>
    <cellStyle name="Normal 5 4 7 2 2" xfId="12084" xr:uid="{00000000-0005-0000-0000-0000627D0000}"/>
    <cellStyle name="Normal 5 4 7 2 2 2" xfId="12085" xr:uid="{00000000-0005-0000-0000-0000637D0000}"/>
    <cellStyle name="Normal 5 4 7 2 2 2 2" xfId="12086" xr:uid="{00000000-0005-0000-0000-0000647D0000}"/>
    <cellStyle name="Normal 5 4 7 2 2 2 2 2" xfId="35571" xr:uid="{00000000-0005-0000-0000-0000657D0000}"/>
    <cellStyle name="Normal 5 4 7 2 2 2 3" xfId="35570" xr:uid="{00000000-0005-0000-0000-0000667D0000}"/>
    <cellStyle name="Normal 5 4 7 2 2 3" xfId="12087" xr:uid="{00000000-0005-0000-0000-0000677D0000}"/>
    <cellStyle name="Normal 5 4 7 2 2 3 2" xfId="35572" xr:uid="{00000000-0005-0000-0000-0000687D0000}"/>
    <cellStyle name="Normal 5 4 7 2 2 4" xfId="35569" xr:uid="{00000000-0005-0000-0000-0000697D0000}"/>
    <cellStyle name="Normal 5 4 7 2 3" xfId="12088" xr:uid="{00000000-0005-0000-0000-00006A7D0000}"/>
    <cellStyle name="Normal 5 4 7 2 3 2" xfId="12089" xr:uid="{00000000-0005-0000-0000-00006B7D0000}"/>
    <cellStyle name="Normal 5 4 7 2 3 2 2" xfId="35574" xr:uid="{00000000-0005-0000-0000-00006C7D0000}"/>
    <cellStyle name="Normal 5 4 7 2 3 3" xfId="35573" xr:uid="{00000000-0005-0000-0000-00006D7D0000}"/>
    <cellStyle name="Normal 5 4 7 2 4" xfId="12090" xr:uid="{00000000-0005-0000-0000-00006E7D0000}"/>
    <cellStyle name="Normal 5 4 7 2 4 2" xfId="35575" xr:uid="{00000000-0005-0000-0000-00006F7D0000}"/>
    <cellStyle name="Normal 5 4 7 2 5" xfId="35568" xr:uid="{00000000-0005-0000-0000-0000707D0000}"/>
    <cellStyle name="Normal 5 4 7 3" xfId="12091" xr:uid="{00000000-0005-0000-0000-0000717D0000}"/>
    <cellStyle name="Normal 5 4 7 3 2" xfId="12092" xr:uid="{00000000-0005-0000-0000-0000727D0000}"/>
    <cellStyle name="Normal 5 4 7 3 2 2" xfId="12093" xr:uid="{00000000-0005-0000-0000-0000737D0000}"/>
    <cellStyle name="Normal 5 4 7 3 2 2 2" xfId="12094" xr:uid="{00000000-0005-0000-0000-0000747D0000}"/>
    <cellStyle name="Normal 5 4 7 3 2 2 2 2" xfId="35579" xr:uid="{00000000-0005-0000-0000-0000757D0000}"/>
    <cellStyle name="Normal 5 4 7 3 2 2 3" xfId="35578" xr:uid="{00000000-0005-0000-0000-0000767D0000}"/>
    <cellStyle name="Normal 5 4 7 3 2 3" xfId="12095" xr:uid="{00000000-0005-0000-0000-0000777D0000}"/>
    <cellStyle name="Normal 5 4 7 3 2 3 2" xfId="35580" xr:uid="{00000000-0005-0000-0000-0000787D0000}"/>
    <cellStyle name="Normal 5 4 7 3 2 4" xfId="35577" xr:uid="{00000000-0005-0000-0000-0000797D0000}"/>
    <cellStyle name="Normal 5 4 7 3 3" xfId="12096" xr:uid="{00000000-0005-0000-0000-00007A7D0000}"/>
    <cellStyle name="Normal 5 4 7 3 3 2" xfId="12097" xr:uid="{00000000-0005-0000-0000-00007B7D0000}"/>
    <cellStyle name="Normal 5 4 7 3 3 2 2" xfId="35582" xr:uid="{00000000-0005-0000-0000-00007C7D0000}"/>
    <cellStyle name="Normal 5 4 7 3 3 3" xfId="35581" xr:uid="{00000000-0005-0000-0000-00007D7D0000}"/>
    <cellStyle name="Normal 5 4 7 3 4" xfId="12098" xr:uid="{00000000-0005-0000-0000-00007E7D0000}"/>
    <cellStyle name="Normal 5 4 7 3 4 2" xfId="35583" xr:uid="{00000000-0005-0000-0000-00007F7D0000}"/>
    <cellStyle name="Normal 5 4 7 3 5" xfId="35576" xr:uid="{00000000-0005-0000-0000-0000807D0000}"/>
    <cellStyle name="Normal 5 4 7 4" xfId="12099" xr:uid="{00000000-0005-0000-0000-0000817D0000}"/>
    <cellStyle name="Normal 5 4 7 4 2" xfId="12100" xr:uid="{00000000-0005-0000-0000-0000827D0000}"/>
    <cellStyle name="Normal 5 4 7 4 2 2" xfId="12101" xr:uid="{00000000-0005-0000-0000-0000837D0000}"/>
    <cellStyle name="Normal 5 4 7 4 2 2 2" xfId="35586" xr:uid="{00000000-0005-0000-0000-0000847D0000}"/>
    <cellStyle name="Normal 5 4 7 4 2 3" xfId="35585" xr:uid="{00000000-0005-0000-0000-0000857D0000}"/>
    <cellStyle name="Normal 5 4 7 4 3" xfId="12102" xr:uid="{00000000-0005-0000-0000-0000867D0000}"/>
    <cellStyle name="Normal 5 4 7 4 3 2" xfId="35587" xr:uid="{00000000-0005-0000-0000-0000877D0000}"/>
    <cellStyle name="Normal 5 4 7 4 4" xfId="35584" xr:uid="{00000000-0005-0000-0000-0000887D0000}"/>
    <cellStyle name="Normal 5 4 7 5" xfId="12103" xr:uid="{00000000-0005-0000-0000-0000897D0000}"/>
    <cellStyle name="Normal 5 4 7 5 2" xfId="12104" xr:uid="{00000000-0005-0000-0000-00008A7D0000}"/>
    <cellStyle name="Normal 5 4 7 5 2 2" xfId="35589" xr:uid="{00000000-0005-0000-0000-00008B7D0000}"/>
    <cellStyle name="Normal 5 4 7 5 3" xfId="35588" xr:uid="{00000000-0005-0000-0000-00008C7D0000}"/>
    <cellStyle name="Normal 5 4 7 6" xfId="12105" xr:uid="{00000000-0005-0000-0000-00008D7D0000}"/>
    <cellStyle name="Normal 5 4 7 6 2" xfId="35590" xr:uid="{00000000-0005-0000-0000-00008E7D0000}"/>
    <cellStyle name="Normal 5 4 7 7" xfId="35567" xr:uid="{00000000-0005-0000-0000-00008F7D0000}"/>
    <cellStyle name="Normal 5 4 8" xfId="12106" xr:uid="{00000000-0005-0000-0000-0000907D0000}"/>
    <cellStyle name="Normal 5 4 8 2" xfId="12107" xr:uid="{00000000-0005-0000-0000-0000917D0000}"/>
    <cellStyle name="Normal 5 4 8 2 2" xfId="12108" xr:uid="{00000000-0005-0000-0000-0000927D0000}"/>
    <cellStyle name="Normal 5 4 8 2 2 2" xfId="12109" xr:uid="{00000000-0005-0000-0000-0000937D0000}"/>
    <cellStyle name="Normal 5 4 8 2 2 2 2" xfId="12110" xr:uid="{00000000-0005-0000-0000-0000947D0000}"/>
    <cellStyle name="Normal 5 4 8 2 2 2 2 2" xfId="35595" xr:uid="{00000000-0005-0000-0000-0000957D0000}"/>
    <cellStyle name="Normal 5 4 8 2 2 2 3" xfId="35594" xr:uid="{00000000-0005-0000-0000-0000967D0000}"/>
    <cellStyle name="Normal 5 4 8 2 2 3" xfId="12111" xr:uid="{00000000-0005-0000-0000-0000977D0000}"/>
    <cellStyle name="Normal 5 4 8 2 2 3 2" xfId="35596" xr:uid="{00000000-0005-0000-0000-0000987D0000}"/>
    <cellStyle name="Normal 5 4 8 2 2 4" xfId="35593" xr:uid="{00000000-0005-0000-0000-0000997D0000}"/>
    <cellStyle name="Normal 5 4 8 2 3" xfId="12112" xr:uid="{00000000-0005-0000-0000-00009A7D0000}"/>
    <cellStyle name="Normal 5 4 8 2 3 2" xfId="12113" xr:uid="{00000000-0005-0000-0000-00009B7D0000}"/>
    <cellStyle name="Normal 5 4 8 2 3 2 2" xfId="35598" xr:uid="{00000000-0005-0000-0000-00009C7D0000}"/>
    <cellStyle name="Normal 5 4 8 2 3 3" xfId="35597" xr:uid="{00000000-0005-0000-0000-00009D7D0000}"/>
    <cellStyle name="Normal 5 4 8 2 4" xfId="12114" xr:uid="{00000000-0005-0000-0000-00009E7D0000}"/>
    <cellStyle name="Normal 5 4 8 2 4 2" xfId="35599" xr:uid="{00000000-0005-0000-0000-00009F7D0000}"/>
    <cellStyle name="Normal 5 4 8 2 5" xfId="35592" xr:uid="{00000000-0005-0000-0000-0000A07D0000}"/>
    <cellStyle name="Normal 5 4 8 3" xfId="12115" xr:uid="{00000000-0005-0000-0000-0000A17D0000}"/>
    <cellStyle name="Normal 5 4 8 3 2" xfId="12116" xr:uid="{00000000-0005-0000-0000-0000A27D0000}"/>
    <cellStyle name="Normal 5 4 8 3 2 2" xfId="12117" xr:uid="{00000000-0005-0000-0000-0000A37D0000}"/>
    <cellStyle name="Normal 5 4 8 3 2 2 2" xfId="12118" xr:uid="{00000000-0005-0000-0000-0000A47D0000}"/>
    <cellStyle name="Normal 5 4 8 3 2 2 2 2" xfId="35603" xr:uid="{00000000-0005-0000-0000-0000A57D0000}"/>
    <cellStyle name="Normal 5 4 8 3 2 2 3" xfId="35602" xr:uid="{00000000-0005-0000-0000-0000A67D0000}"/>
    <cellStyle name="Normal 5 4 8 3 2 3" xfId="12119" xr:uid="{00000000-0005-0000-0000-0000A77D0000}"/>
    <cellStyle name="Normal 5 4 8 3 2 3 2" xfId="35604" xr:uid="{00000000-0005-0000-0000-0000A87D0000}"/>
    <cellStyle name="Normal 5 4 8 3 2 4" xfId="35601" xr:uid="{00000000-0005-0000-0000-0000A97D0000}"/>
    <cellStyle name="Normal 5 4 8 3 3" xfId="12120" xr:uid="{00000000-0005-0000-0000-0000AA7D0000}"/>
    <cellStyle name="Normal 5 4 8 3 3 2" xfId="12121" xr:uid="{00000000-0005-0000-0000-0000AB7D0000}"/>
    <cellStyle name="Normal 5 4 8 3 3 2 2" xfId="35606" xr:uid="{00000000-0005-0000-0000-0000AC7D0000}"/>
    <cellStyle name="Normal 5 4 8 3 3 3" xfId="35605" xr:uid="{00000000-0005-0000-0000-0000AD7D0000}"/>
    <cellStyle name="Normal 5 4 8 3 4" xfId="12122" xr:uid="{00000000-0005-0000-0000-0000AE7D0000}"/>
    <cellStyle name="Normal 5 4 8 3 4 2" xfId="35607" xr:uid="{00000000-0005-0000-0000-0000AF7D0000}"/>
    <cellStyle name="Normal 5 4 8 3 5" xfId="35600" xr:uid="{00000000-0005-0000-0000-0000B07D0000}"/>
    <cellStyle name="Normal 5 4 8 4" xfId="12123" xr:uid="{00000000-0005-0000-0000-0000B17D0000}"/>
    <cellStyle name="Normal 5 4 8 4 2" xfId="12124" xr:uid="{00000000-0005-0000-0000-0000B27D0000}"/>
    <cellStyle name="Normal 5 4 8 4 2 2" xfId="12125" xr:uid="{00000000-0005-0000-0000-0000B37D0000}"/>
    <cellStyle name="Normal 5 4 8 4 2 2 2" xfId="35610" xr:uid="{00000000-0005-0000-0000-0000B47D0000}"/>
    <cellStyle name="Normal 5 4 8 4 2 3" xfId="35609" xr:uid="{00000000-0005-0000-0000-0000B57D0000}"/>
    <cellStyle name="Normal 5 4 8 4 3" xfId="12126" xr:uid="{00000000-0005-0000-0000-0000B67D0000}"/>
    <cellStyle name="Normal 5 4 8 4 3 2" xfId="35611" xr:uid="{00000000-0005-0000-0000-0000B77D0000}"/>
    <cellStyle name="Normal 5 4 8 4 4" xfId="35608" xr:uid="{00000000-0005-0000-0000-0000B87D0000}"/>
    <cellStyle name="Normal 5 4 8 5" xfId="12127" xr:uid="{00000000-0005-0000-0000-0000B97D0000}"/>
    <cellStyle name="Normal 5 4 8 5 2" xfId="12128" xr:uid="{00000000-0005-0000-0000-0000BA7D0000}"/>
    <cellStyle name="Normal 5 4 8 5 2 2" xfId="35613" xr:uid="{00000000-0005-0000-0000-0000BB7D0000}"/>
    <cellStyle name="Normal 5 4 8 5 3" xfId="35612" xr:uid="{00000000-0005-0000-0000-0000BC7D0000}"/>
    <cellStyle name="Normal 5 4 8 6" xfId="12129" xr:uid="{00000000-0005-0000-0000-0000BD7D0000}"/>
    <cellStyle name="Normal 5 4 8 6 2" xfId="35614" xr:uid="{00000000-0005-0000-0000-0000BE7D0000}"/>
    <cellStyle name="Normal 5 4 8 7" xfId="35591" xr:uid="{00000000-0005-0000-0000-0000BF7D0000}"/>
    <cellStyle name="Normal 5 4 9" xfId="12130" xr:uid="{00000000-0005-0000-0000-0000C07D0000}"/>
    <cellStyle name="Normal 5 4 9 2" xfId="12131" xr:uid="{00000000-0005-0000-0000-0000C17D0000}"/>
    <cellStyle name="Normal 5 4 9 2 2" xfId="12132" xr:uid="{00000000-0005-0000-0000-0000C27D0000}"/>
    <cellStyle name="Normal 5 4 9 2 2 2" xfId="12133" xr:uid="{00000000-0005-0000-0000-0000C37D0000}"/>
    <cellStyle name="Normal 5 4 9 2 2 2 2" xfId="35618" xr:uid="{00000000-0005-0000-0000-0000C47D0000}"/>
    <cellStyle name="Normal 5 4 9 2 2 3" xfId="35617" xr:uid="{00000000-0005-0000-0000-0000C57D0000}"/>
    <cellStyle name="Normal 5 4 9 2 3" xfId="12134" xr:uid="{00000000-0005-0000-0000-0000C67D0000}"/>
    <cellStyle name="Normal 5 4 9 2 3 2" xfId="35619" xr:uid="{00000000-0005-0000-0000-0000C77D0000}"/>
    <cellStyle name="Normal 5 4 9 2 4" xfId="35616" xr:uid="{00000000-0005-0000-0000-0000C87D0000}"/>
    <cellStyle name="Normal 5 4 9 3" xfId="12135" xr:uid="{00000000-0005-0000-0000-0000C97D0000}"/>
    <cellStyle name="Normal 5 4 9 3 2" xfId="12136" xr:uid="{00000000-0005-0000-0000-0000CA7D0000}"/>
    <cellStyle name="Normal 5 4 9 3 2 2" xfId="35621" xr:uid="{00000000-0005-0000-0000-0000CB7D0000}"/>
    <cellStyle name="Normal 5 4 9 3 3" xfId="35620" xr:uid="{00000000-0005-0000-0000-0000CC7D0000}"/>
    <cellStyle name="Normal 5 4 9 4" xfId="12137" xr:uid="{00000000-0005-0000-0000-0000CD7D0000}"/>
    <cellStyle name="Normal 5 4 9 4 2" xfId="35622" xr:uid="{00000000-0005-0000-0000-0000CE7D0000}"/>
    <cellStyle name="Normal 5 4 9 5" xfId="35615" xr:uid="{00000000-0005-0000-0000-0000CF7D0000}"/>
    <cellStyle name="Normal 5 5" xfId="12138" xr:uid="{00000000-0005-0000-0000-0000D07D0000}"/>
    <cellStyle name="Normal 5 5 10" xfId="12139" xr:uid="{00000000-0005-0000-0000-0000D17D0000}"/>
    <cellStyle name="Normal 5 5 10 2" xfId="35624" xr:uid="{00000000-0005-0000-0000-0000D27D0000}"/>
    <cellStyle name="Normal 5 5 11" xfId="35623" xr:uid="{00000000-0005-0000-0000-0000D37D0000}"/>
    <cellStyle name="Normal 5 5 2" xfId="12140" xr:uid="{00000000-0005-0000-0000-0000D47D0000}"/>
    <cellStyle name="Normal 5 5 2 2" xfId="12141" xr:uid="{00000000-0005-0000-0000-0000D57D0000}"/>
    <cellStyle name="Normal 5 5 2 2 2" xfId="12142" xr:uid="{00000000-0005-0000-0000-0000D67D0000}"/>
    <cellStyle name="Normal 5 5 2 2 2 2" xfId="12143" xr:uid="{00000000-0005-0000-0000-0000D77D0000}"/>
    <cellStyle name="Normal 5 5 2 2 2 2 2" xfId="12144" xr:uid="{00000000-0005-0000-0000-0000D87D0000}"/>
    <cellStyle name="Normal 5 5 2 2 2 2 2 2" xfId="35629" xr:uid="{00000000-0005-0000-0000-0000D97D0000}"/>
    <cellStyle name="Normal 5 5 2 2 2 2 3" xfId="35628" xr:uid="{00000000-0005-0000-0000-0000DA7D0000}"/>
    <cellStyle name="Normal 5 5 2 2 2 3" xfId="12145" xr:uid="{00000000-0005-0000-0000-0000DB7D0000}"/>
    <cellStyle name="Normal 5 5 2 2 2 3 2" xfId="35630" xr:uid="{00000000-0005-0000-0000-0000DC7D0000}"/>
    <cellStyle name="Normal 5 5 2 2 2 4" xfId="35627" xr:uid="{00000000-0005-0000-0000-0000DD7D0000}"/>
    <cellStyle name="Normal 5 5 2 2 3" xfId="12146" xr:uid="{00000000-0005-0000-0000-0000DE7D0000}"/>
    <cellStyle name="Normal 5 5 2 2 3 2" xfId="12147" xr:uid="{00000000-0005-0000-0000-0000DF7D0000}"/>
    <cellStyle name="Normal 5 5 2 2 3 2 2" xfId="35632" xr:uid="{00000000-0005-0000-0000-0000E07D0000}"/>
    <cellStyle name="Normal 5 5 2 2 3 3" xfId="35631" xr:uid="{00000000-0005-0000-0000-0000E17D0000}"/>
    <cellStyle name="Normal 5 5 2 2 4" xfId="12148" xr:uid="{00000000-0005-0000-0000-0000E27D0000}"/>
    <cellStyle name="Normal 5 5 2 2 4 2" xfId="35633" xr:uid="{00000000-0005-0000-0000-0000E37D0000}"/>
    <cellStyle name="Normal 5 5 2 2 5" xfId="35626" xr:uid="{00000000-0005-0000-0000-0000E47D0000}"/>
    <cellStyle name="Normal 5 5 2 3" xfId="12149" xr:uid="{00000000-0005-0000-0000-0000E57D0000}"/>
    <cellStyle name="Normal 5 5 2 3 2" xfId="12150" xr:uid="{00000000-0005-0000-0000-0000E67D0000}"/>
    <cellStyle name="Normal 5 5 2 3 2 2" xfId="12151" xr:uid="{00000000-0005-0000-0000-0000E77D0000}"/>
    <cellStyle name="Normal 5 5 2 3 2 2 2" xfId="12152" xr:uid="{00000000-0005-0000-0000-0000E87D0000}"/>
    <cellStyle name="Normal 5 5 2 3 2 2 2 2" xfId="35637" xr:uid="{00000000-0005-0000-0000-0000E97D0000}"/>
    <cellStyle name="Normal 5 5 2 3 2 2 3" xfId="35636" xr:uid="{00000000-0005-0000-0000-0000EA7D0000}"/>
    <cellStyle name="Normal 5 5 2 3 2 3" xfId="12153" xr:uid="{00000000-0005-0000-0000-0000EB7D0000}"/>
    <cellStyle name="Normal 5 5 2 3 2 3 2" xfId="35638" xr:uid="{00000000-0005-0000-0000-0000EC7D0000}"/>
    <cellStyle name="Normal 5 5 2 3 2 4" xfId="35635" xr:uid="{00000000-0005-0000-0000-0000ED7D0000}"/>
    <cellStyle name="Normal 5 5 2 3 3" xfId="12154" xr:uid="{00000000-0005-0000-0000-0000EE7D0000}"/>
    <cellStyle name="Normal 5 5 2 3 3 2" xfId="12155" xr:uid="{00000000-0005-0000-0000-0000EF7D0000}"/>
    <cellStyle name="Normal 5 5 2 3 3 2 2" xfId="35640" xr:uid="{00000000-0005-0000-0000-0000F07D0000}"/>
    <cellStyle name="Normal 5 5 2 3 3 3" xfId="35639" xr:uid="{00000000-0005-0000-0000-0000F17D0000}"/>
    <cellStyle name="Normal 5 5 2 3 4" xfId="12156" xr:uid="{00000000-0005-0000-0000-0000F27D0000}"/>
    <cellStyle name="Normal 5 5 2 3 4 2" xfId="35641" xr:uid="{00000000-0005-0000-0000-0000F37D0000}"/>
    <cellStyle name="Normal 5 5 2 3 5" xfId="35634" xr:uid="{00000000-0005-0000-0000-0000F47D0000}"/>
    <cellStyle name="Normal 5 5 2 4" xfId="12157" xr:uid="{00000000-0005-0000-0000-0000F57D0000}"/>
    <cellStyle name="Normal 5 5 2 4 2" xfId="12158" xr:uid="{00000000-0005-0000-0000-0000F67D0000}"/>
    <cellStyle name="Normal 5 5 2 4 2 2" xfId="12159" xr:uid="{00000000-0005-0000-0000-0000F77D0000}"/>
    <cellStyle name="Normal 5 5 2 4 2 2 2" xfId="35644" xr:uid="{00000000-0005-0000-0000-0000F87D0000}"/>
    <cellStyle name="Normal 5 5 2 4 2 3" xfId="35643" xr:uid="{00000000-0005-0000-0000-0000F97D0000}"/>
    <cellStyle name="Normal 5 5 2 4 3" xfId="12160" xr:uid="{00000000-0005-0000-0000-0000FA7D0000}"/>
    <cellStyle name="Normal 5 5 2 4 3 2" xfId="35645" xr:uid="{00000000-0005-0000-0000-0000FB7D0000}"/>
    <cellStyle name="Normal 5 5 2 4 4" xfId="35642" xr:uid="{00000000-0005-0000-0000-0000FC7D0000}"/>
    <cellStyle name="Normal 5 5 2 5" xfId="12161" xr:uid="{00000000-0005-0000-0000-0000FD7D0000}"/>
    <cellStyle name="Normal 5 5 2 5 2" xfId="12162" xr:uid="{00000000-0005-0000-0000-0000FE7D0000}"/>
    <cellStyle name="Normal 5 5 2 5 2 2" xfId="35647" xr:uid="{00000000-0005-0000-0000-0000FF7D0000}"/>
    <cellStyle name="Normal 5 5 2 5 3" xfId="35646" xr:uid="{00000000-0005-0000-0000-0000007E0000}"/>
    <cellStyle name="Normal 5 5 2 6" xfId="12163" xr:uid="{00000000-0005-0000-0000-0000017E0000}"/>
    <cellStyle name="Normal 5 5 2 6 2" xfId="35648" xr:uid="{00000000-0005-0000-0000-0000027E0000}"/>
    <cellStyle name="Normal 5 5 2 7" xfId="35625" xr:uid="{00000000-0005-0000-0000-0000037E0000}"/>
    <cellStyle name="Normal 5 5 3" xfId="12164" xr:uid="{00000000-0005-0000-0000-0000047E0000}"/>
    <cellStyle name="Normal 5 5 3 2" xfId="12165" xr:uid="{00000000-0005-0000-0000-0000057E0000}"/>
    <cellStyle name="Normal 5 5 3 2 2" xfId="12166" xr:uid="{00000000-0005-0000-0000-0000067E0000}"/>
    <cellStyle name="Normal 5 5 3 2 2 2" xfId="12167" xr:uid="{00000000-0005-0000-0000-0000077E0000}"/>
    <cellStyle name="Normal 5 5 3 2 2 2 2" xfId="12168" xr:uid="{00000000-0005-0000-0000-0000087E0000}"/>
    <cellStyle name="Normal 5 5 3 2 2 2 2 2" xfId="35653" xr:uid="{00000000-0005-0000-0000-0000097E0000}"/>
    <cellStyle name="Normal 5 5 3 2 2 2 3" xfId="35652" xr:uid="{00000000-0005-0000-0000-00000A7E0000}"/>
    <cellStyle name="Normal 5 5 3 2 2 3" xfId="12169" xr:uid="{00000000-0005-0000-0000-00000B7E0000}"/>
    <cellStyle name="Normal 5 5 3 2 2 3 2" xfId="35654" xr:uid="{00000000-0005-0000-0000-00000C7E0000}"/>
    <cellStyle name="Normal 5 5 3 2 2 4" xfId="35651" xr:uid="{00000000-0005-0000-0000-00000D7E0000}"/>
    <cellStyle name="Normal 5 5 3 2 3" xfId="12170" xr:uid="{00000000-0005-0000-0000-00000E7E0000}"/>
    <cellStyle name="Normal 5 5 3 2 3 2" xfId="12171" xr:uid="{00000000-0005-0000-0000-00000F7E0000}"/>
    <cellStyle name="Normal 5 5 3 2 3 2 2" xfId="35656" xr:uid="{00000000-0005-0000-0000-0000107E0000}"/>
    <cellStyle name="Normal 5 5 3 2 3 3" xfId="35655" xr:uid="{00000000-0005-0000-0000-0000117E0000}"/>
    <cellStyle name="Normal 5 5 3 2 4" xfId="12172" xr:uid="{00000000-0005-0000-0000-0000127E0000}"/>
    <cellStyle name="Normal 5 5 3 2 4 2" xfId="35657" xr:uid="{00000000-0005-0000-0000-0000137E0000}"/>
    <cellStyle name="Normal 5 5 3 2 5" xfId="35650" xr:uid="{00000000-0005-0000-0000-0000147E0000}"/>
    <cellStyle name="Normal 5 5 3 3" xfId="12173" xr:uid="{00000000-0005-0000-0000-0000157E0000}"/>
    <cellStyle name="Normal 5 5 3 3 2" xfId="12174" xr:uid="{00000000-0005-0000-0000-0000167E0000}"/>
    <cellStyle name="Normal 5 5 3 3 2 2" xfId="12175" xr:uid="{00000000-0005-0000-0000-0000177E0000}"/>
    <cellStyle name="Normal 5 5 3 3 2 2 2" xfId="12176" xr:uid="{00000000-0005-0000-0000-0000187E0000}"/>
    <cellStyle name="Normal 5 5 3 3 2 2 2 2" xfId="35661" xr:uid="{00000000-0005-0000-0000-0000197E0000}"/>
    <cellStyle name="Normal 5 5 3 3 2 2 3" xfId="35660" xr:uid="{00000000-0005-0000-0000-00001A7E0000}"/>
    <cellStyle name="Normal 5 5 3 3 2 3" xfId="12177" xr:uid="{00000000-0005-0000-0000-00001B7E0000}"/>
    <cellStyle name="Normal 5 5 3 3 2 3 2" xfId="35662" xr:uid="{00000000-0005-0000-0000-00001C7E0000}"/>
    <cellStyle name="Normal 5 5 3 3 2 4" xfId="35659" xr:uid="{00000000-0005-0000-0000-00001D7E0000}"/>
    <cellStyle name="Normal 5 5 3 3 3" xfId="12178" xr:uid="{00000000-0005-0000-0000-00001E7E0000}"/>
    <cellStyle name="Normal 5 5 3 3 3 2" xfId="12179" xr:uid="{00000000-0005-0000-0000-00001F7E0000}"/>
    <cellStyle name="Normal 5 5 3 3 3 2 2" xfId="35664" xr:uid="{00000000-0005-0000-0000-0000207E0000}"/>
    <cellStyle name="Normal 5 5 3 3 3 3" xfId="35663" xr:uid="{00000000-0005-0000-0000-0000217E0000}"/>
    <cellStyle name="Normal 5 5 3 3 4" xfId="12180" xr:uid="{00000000-0005-0000-0000-0000227E0000}"/>
    <cellStyle name="Normal 5 5 3 3 4 2" xfId="35665" xr:uid="{00000000-0005-0000-0000-0000237E0000}"/>
    <cellStyle name="Normal 5 5 3 3 5" xfId="35658" xr:uid="{00000000-0005-0000-0000-0000247E0000}"/>
    <cellStyle name="Normal 5 5 3 4" xfId="12181" xr:uid="{00000000-0005-0000-0000-0000257E0000}"/>
    <cellStyle name="Normal 5 5 3 4 2" xfId="12182" xr:uid="{00000000-0005-0000-0000-0000267E0000}"/>
    <cellStyle name="Normal 5 5 3 4 2 2" xfId="12183" xr:uid="{00000000-0005-0000-0000-0000277E0000}"/>
    <cellStyle name="Normal 5 5 3 4 2 2 2" xfId="35668" xr:uid="{00000000-0005-0000-0000-0000287E0000}"/>
    <cellStyle name="Normal 5 5 3 4 2 3" xfId="35667" xr:uid="{00000000-0005-0000-0000-0000297E0000}"/>
    <cellStyle name="Normal 5 5 3 4 3" xfId="12184" xr:uid="{00000000-0005-0000-0000-00002A7E0000}"/>
    <cellStyle name="Normal 5 5 3 4 3 2" xfId="35669" xr:uid="{00000000-0005-0000-0000-00002B7E0000}"/>
    <cellStyle name="Normal 5 5 3 4 4" xfId="35666" xr:uid="{00000000-0005-0000-0000-00002C7E0000}"/>
    <cellStyle name="Normal 5 5 3 5" xfId="12185" xr:uid="{00000000-0005-0000-0000-00002D7E0000}"/>
    <cellStyle name="Normal 5 5 3 5 2" xfId="12186" xr:uid="{00000000-0005-0000-0000-00002E7E0000}"/>
    <cellStyle name="Normal 5 5 3 5 2 2" xfId="35671" xr:uid="{00000000-0005-0000-0000-00002F7E0000}"/>
    <cellStyle name="Normal 5 5 3 5 3" xfId="35670" xr:uid="{00000000-0005-0000-0000-0000307E0000}"/>
    <cellStyle name="Normal 5 5 3 6" xfId="12187" xr:uid="{00000000-0005-0000-0000-0000317E0000}"/>
    <cellStyle name="Normal 5 5 3 6 2" xfId="35672" xr:uid="{00000000-0005-0000-0000-0000327E0000}"/>
    <cellStyle name="Normal 5 5 3 7" xfId="35649" xr:uid="{00000000-0005-0000-0000-0000337E0000}"/>
    <cellStyle name="Normal 5 5 4" xfId="12188" xr:uid="{00000000-0005-0000-0000-0000347E0000}"/>
    <cellStyle name="Normal 5 5 4 2" xfId="12189" xr:uid="{00000000-0005-0000-0000-0000357E0000}"/>
    <cellStyle name="Normal 5 5 4 2 2" xfId="12190" xr:uid="{00000000-0005-0000-0000-0000367E0000}"/>
    <cellStyle name="Normal 5 5 4 2 2 2" xfId="12191" xr:uid="{00000000-0005-0000-0000-0000377E0000}"/>
    <cellStyle name="Normal 5 5 4 2 2 2 2" xfId="12192" xr:uid="{00000000-0005-0000-0000-0000387E0000}"/>
    <cellStyle name="Normal 5 5 4 2 2 2 2 2" xfId="35677" xr:uid="{00000000-0005-0000-0000-0000397E0000}"/>
    <cellStyle name="Normal 5 5 4 2 2 2 3" xfId="35676" xr:uid="{00000000-0005-0000-0000-00003A7E0000}"/>
    <cellStyle name="Normal 5 5 4 2 2 3" xfId="12193" xr:uid="{00000000-0005-0000-0000-00003B7E0000}"/>
    <cellStyle name="Normal 5 5 4 2 2 3 2" xfId="35678" xr:uid="{00000000-0005-0000-0000-00003C7E0000}"/>
    <cellStyle name="Normal 5 5 4 2 2 4" xfId="35675" xr:uid="{00000000-0005-0000-0000-00003D7E0000}"/>
    <cellStyle name="Normal 5 5 4 2 3" xfId="12194" xr:uid="{00000000-0005-0000-0000-00003E7E0000}"/>
    <cellStyle name="Normal 5 5 4 2 3 2" xfId="12195" xr:uid="{00000000-0005-0000-0000-00003F7E0000}"/>
    <cellStyle name="Normal 5 5 4 2 3 2 2" xfId="35680" xr:uid="{00000000-0005-0000-0000-0000407E0000}"/>
    <cellStyle name="Normal 5 5 4 2 3 3" xfId="35679" xr:uid="{00000000-0005-0000-0000-0000417E0000}"/>
    <cellStyle name="Normal 5 5 4 2 4" xfId="12196" xr:uid="{00000000-0005-0000-0000-0000427E0000}"/>
    <cellStyle name="Normal 5 5 4 2 4 2" xfId="35681" xr:uid="{00000000-0005-0000-0000-0000437E0000}"/>
    <cellStyle name="Normal 5 5 4 2 5" xfId="35674" xr:uid="{00000000-0005-0000-0000-0000447E0000}"/>
    <cellStyle name="Normal 5 5 4 3" xfId="12197" xr:uid="{00000000-0005-0000-0000-0000457E0000}"/>
    <cellStyle name="Normal 5 5 4 3 2" xfId="12198" xr:uid="{00000000-0005-0000-0000-0000467E0000}"/>
    <cellStyle name="Normal 5 5 4 3 2 2" xfId="12199" xr:uid="{00000000-0005-0000-0000-0000477E0000}"/>
    <cellStyle name="Normal 5 5 4 3 2 2 2" xfId="12200" xr:uid="{00000000-0005-0000-0000-0000487E0000}"/>
    <cellStyle name="Normal 5 5 4 3 2 2 2 2" xfId="35685" xr:uid="{00000000-0005-0000-0000-0000497E0000}"/>
    <cellStyle name="Normal 5 5 4 3 2 2 3" xfId="35684" xr:uid="{00000000-0005-0000-0000-00004A7E0000}"/>
    <cellStyle name="Normal 5 5 4 3 2 3" xfId="12201" xr:uid="{00000000-0005-0000-0000-00004B7E0000}"/>
    <cellStyle name="Normal 5 5 4 3 2 3 2" xfId="35686" xr:uid="{00000000-0005-0000-0000-00004C7E0000}"/>
    <cellStyle name="Normal 5 5 4 3 2 4" xfId="35683" xr:uid="{00000000-0005-0000-0000-00004D7E0000}"/>
    <cellStyle name="Normal 5 5 4 3 3" xfId="12202" xr:uid="{00000000-0005-0000-0000-00004E7E0000}"/>
    <cellStyle name="Normal 5 5 4 3 3 2" xfId="12203" xr:uid="{00000000-0005-0000-0000-00004F7E0000}"/>
    <cellStyle name="Normal 5 5 4 3 3 2 2" xfId="35688" xr:uid="{00000000-0005-0000-0000-0000507E0000}"/>
    <cellStyle name="Normal 5 5 4 3 3 3" xfId="35687" xr:uid="{00000000-0005-0000-0000-0000517E0000}"/>
    <cellStyle name="Normal 5 5 4 3 4" xfId="12204" xr:uid="{00000000-0005-0000-0000-0000527E0000}"/>
    <cellStyle name="Normal 5 5 4 3 4 2" xfId="35689" xr:uid="{00000000-0005-0000-0000-0000537E0000}"/>
    <cellStyle name="Normal 5 5 4 3 5" xfId="35682" xr:uid="{00000000-0005-0000-0000-0000547E0000}"/>
    <cellStyle name="Normal 5 5 4 4" xfId="12205" xr:uid="{00000000-0005-0000-0000-0000557E0000}"/>
    <cellStyle name="Normal 5 5 4 4 2" xfId="12206" xr:uid="{00000000-0005-0000-0000-0000567E0000}"/>
    <cellStyle name="Normal 5 5 4 4 2 2" xfId="12207" xr:uid="{00000000-0005-0000-0000-0000577E0000}"/>
    <cellStyle name="Normal 5 5 4 4 2 2 2" xfId="35692" xr:uid="{00000000-0005-0000-0000-0000587E0000}"/>
    <cellStyle name="Normal 5 5 4 4 2 3" xfId="35691" xr:uid="{00000000-0005-0000-0000-0000597E0000}"/>
    <cellStyle name="Normal 5 5 4 4 3" xfId="12208" xr:uid="{00000000-0005-0000-0000-00005A7E0000}"/>
    <cellStyle name="Normal 5 5 4 4 3 2" xfId="35693" xr:uid="{00000000-0005-0000-0000-00005B7E0000}"/>
    <cellStyle name="Normal 5 5 4 4 4" xfId="35690" xr:uid="{00000000-0005-0000-0000-00005C7E0000}"/>
    <cellStyle name="Normal 5 5 4 5" xfId="12209" xr:uid="{00000000-0005-0000-0000-00005D7E0000}"/>
    <cellStyle name="Normal 5 5 4 5 2" xfId="12210" xr:uid="{00000000-0005-0000-0000-00005E7E0000}"/>
    <cellStyle name="Normal 5 5 4 5 2 2" xfId="35695" xr:uid="{00000000-0005-0000-0000-00005F7E0000}"/>
    <cellStyle name="Normal 5 5 4 5 3" xfId="35694" xr:uid="{00000000-0005-0000-0000-0000607E0000}"/>
    <cellStyle name="Normal 5 5 4 6" xfId="12211" xr:uid="{00000000-0005-0000-0000-0000617E0000}"/>
    <cellStyle name="Normal 5 5 4 6 2" xfId="35696" xr:uid="{00000000-0005-0000-0000-0000627E0000}"/>
    <cellStyle name="Normal 5 5 4 7" xfId="35673" xr:uid="{00000000-0005-0000-0000-0000637E0000}"/>
    <cellStyle name="Normal 5 5 5" xfId="12212" xr:uid="{00000000-0005-0000-0000-0000647E0000}"/>
    <cellStyle name="Normal 5 5 5 2" xfId="12213" xr:uid="{00000000-0005-0000-0000-0000657E0000}"/>
    <cellStyle name="Normal 5 5 5 2 2" xfId="12214" xr:uid="{00000000-0005-0000-0000-0000667E0000}"/>
    <cellStyle name="Normal 5 5 5 2 2 2" xfId="12215" xr:uid="{00000000-0005-0000-0000-0000677E0000}"/>
    <cellStyle name="Normal 5 5 5 2 2 2 2" xfId="12216" xr:uid="{00000000-0005-0000-0000-0000687E0000}"/>
    <cellStyle name="Normal 5 5 5 2 2 2 2 2" xfId="35701" xr:uid="{00000000-0005-0000-0000-0000697E0000}"/>
    <cellStyle name="Normal 5 5 5 2 2 2 3" xfId="35700" xr:uid="{00000000-0005-0000-0000-00006A7E0000}"/>
    <cellStyle name="Normal 5 5 5 2 2 3" xfId="12217" xr:uid="{00000000-0005-0000-0000-00006B7E0000}"/>
    <cellStyle name="Normal 5 5 5 2 2 3 2" xfId="35702" xr:uid="{00000000-0005-0000-0000-00006C7E0000}"/>
    <cellStyle name="Normal 5 5 5 2 2 4" xfId="35699" xr:uid="{00000000-0005-0000-0000-00006D7E0000}"/>
    <cellStyle name="Normal 5 5 5 2 3" xfId="12218" xr:uid="{00000000-0005-0000-0000-00006E7E0000}"/>
    <cellStyle name="Normal 5 5 5 2 3 2" xfId="12219" xr:uid="{00000000-0005-0000-0000-00006F7E0000}"/>
    <cellStyle name="Normal 5 5 5 2 3 2 2" xfId="35704" xr:uid="{00000000-0005-0000-0000-0000707E0000}"/>
    <cellStyle name="Normal 5 5 5 2 3 3" xfId="35703" xr:uid="{00000000-0005-0000-0000-0000717E0000}"/>
    <cellStyle name="Normal 5 5 5 2 4" xfId="12220" xr:uid="{00000000-0005-0000-0000-0000727E0000}"/>
    <cellStyle name="Normal 5 5 5 2 4 2" xfId="35705" xr:uid="{00000000-0005-0000-0000-0000737E0000}"/>
    <cellStyle name="Normal 5 5 5 2 5" xfId="35698" xr:uid="{00000000-0005-0000-0000-0000747E0000}"/>
    <cellStyle name="Normal 5 5 5 3" xfId="12221" xr:uid="{00000000-0005-0000-0000-0000757E0000}"/>
    <cellStyle name="Normal 5 5 5 3 2" xfId="12222" xr:uid="{00000000-0005-0000-0000-0000767E0000}"/>
    <cellStyle name="Normal 5 5 5 3 2 2" xfId="12223" xr:uid="{00000000-0005-0000-0000-0000777E0000}"/>
    <cellStyle name="Normal 5 5 5 3 2 2 2" xfId="12224" xr:uid="{00000000-0005-0000-0000-0000787E0000}"/>
    <cellStyle name="Normal 5 5 5 3 2 2 2 2" xfId="35709" xr:uid="{00000000-0005-0000-0000-0000797E0000}"/>
    <cellStyle name="Normal 5 5 5 3 2 2 3" xfId="35708" xr:uid="{00000000-0005-0000-0000-00007A7E0000}"/>
    <cellStyle name="Normal 5 5 5 3 2 3" xfId="12225" xr:uid="{00000000-0005-0000-0000-00007B7E0000}"/>
    <cellStyle name="Normal 5 5 5 3 2 3 2" xfId="35710" xr:uid="{00000000-0005-0000-0000-00007C7E0000}"/>
    <cellStyle name="Normal 5 5 5 3 2 4" xfId="35707" xr:uid="{00000000-0005-0000-0000-00007D7E0000}"/>
    <cellStyle name="Normal 5 5 5 3 3" xfId="12226" xr:uid="{00000000-0005-0000-0000-00007E7E0000}"/>
    <cellStyle name="Normal 5 5 5 3 3 2" xfId="12227" xr:uid="{00000000-0005-0000-0000-00007F7E0000}"/>
    <cellStyle name="Normal 5 5 5 3 3 2 2" xfId="35712" xr:uid="{00000000-0005-0000-0000-0000807E0000}"/>
    <cellStyle name="Normal 5 5 5 3 3 3" xfId="35711" xr:uid="{00000000-0005-0000-0000-0000817E0000}"/>
    <cellStyle name="Normal 5 5 5 3 4" xfId="12228" xr:uid="{00000000-0005-0000-0000-0000827E0000}"/>
    <cellStyle name="Normal 5 5 5 3 4 2" xfId="35713" xr:uid="{00000000-0005-0000-0000-0000837E0000}"/>
    <cellStyle name="Normal 5 5 5 3 5" xfId="35706" xr:uid="{00000000-0005-0000-0000-0000847E0000}"/>
    <cellStyle name="Normal 5 5 5 4" xfId="12229" xr:uid="{00000000-0005-0000-0000-0000857E0000}"/>
    <cellStyle name="Normal 5 5 5 4 2" xfId="12230" xr:uid="{00000000-0005-0000-0000-0000867E0000}"/>
    <cellStyle name="Normal 5 5 5 4 2 2" xfId="12231" xr:uid="{00000000-0005-0000-0000-0000877E0000}"/>
    <cellStyle name="Normal 5 5 5 4 2 2 2" xfId="35716" xr:uid="{00000000-0005-0000-0000-0000887E0000}"/>
    <cellStyle name="Normal 5 5 5 4 2 3" xfId="35715" xr:uid="{00000000-0005-0000-0000-0000897E0000}"/>
    <cellStyle name="Normal 5 5 5 4 3" xfId="12232" xr:uid="{00000000-0005-0000-0000-00008A7E0000}"/>
    <cellStyle name="Normal 5 5 5 4 3 2" xfId="35717" xr:uid="{00000000-0005-0000-0000-00008B7E0000}"/>
    <cellStyle name="Normal 5 5 5 4 4" xfId="35714" xr:uid="{00000000-0005-0000-0000-00008C7E0000}"/>
    <cellStyle name="Normal 5 5 5 5" xfId="12233" xr:uid="{00000000-0005-0000-0000-00008D7E0000}"/>
    <cellStyle name="Normal 5 5 5 5 2" xfId="12234" xr:uid="{00000000-0005-0000-0000-00008E7E0000}"/>
    <cellStyle name="Normal 5 5 5 5 2 2" xfId="35719" xr:uid="{00000000-0005-0000-0000-00008F7E0000}"/>
    <cellStyle name="Normal 5 5 5 5 3" xfId="35718" xr:uid="{00000000-0005-0000-0000-0000907E0000}"/>
    <cellStyle name="Normal 5 5 5 6" xfId="12235" xr:uid="{00000000-0005-0000-0000-0000917E0000}"/>
    <cellStyle name="Normal 5 5 5 6 2" xfId="35720" xr:uid="{00000000-0005-0000-0000-0000927E0000}"/>
    <cellStyle name="Normal 5 5 5 7" xfId="35697" xr:uid="{00000000-0005-0000-0000-0000937E0000}"/>
    <cellStyle name="Normal 5 5 6" xfId="12236" xr:uid="{00000000-0005-0000-0000-0000947E0000}"/>
    <cellStyle name="Normal 5 5 6 2" xfId="12237" xr:uid="{00000000-0005-0000-0000-0000957E0000}"/>
    <cellStyle name="Normal 5 5 6 2 2" xfId="12238" xr:uid="{00000000-0005-0000-0000-0000967E0000}"/>
    <cellStyle name="Normal 5 5 6 2 2 2" xfId="12239" xr:uid="{00000000-0005-0000-0000-0000977E0000}"/>
    <cellStyle name="Normal 5 5 6 2 2 2 2" xfId="35724" xr:uid="{00000000-0005-0000-0000-0000987E0000}"/>
    <cellStyle name="Normal 5 5 6 2 2 3" xfId="35723" xr:uid="{00000000-0005-0000-0000-0000997E0000}"/>
    <cellStyle name="Normal 5 5 6 2 3" xfId="12240" xr:uid="{00000000-0005-0000-0000-00009A7E0000}"/>
    <cellStyle name="Normal 5 5 6 2 3 2" xfId="35725" xr:uid="{00000000-0005-0000-0000-00009B7E0000}"/>
    <cellStyle name="Normal 5 5 6 2 4" xfId="35722" xr:uid="{00000000-0005-0000-0000-00009C7E0000}"/>
    <cellStyle name="Normal 5 5 6 3" xfId="12241" xr:uid="{00000000-0005-0000-0000-00009D7E0000}"/>
    <cellStyle name="Normal 5 5 6 3 2" xfId="12242" xr:uid="{00000000-0005-0000-0000-00009E7E0000}"/>
    <cellStyle name="Normal 5 5 6 3 2 2" xfId="35727" xr:uid="{00000000-0005-0000-0000-00009F7E0000}"/>
    <cellStyle name="Normal 5 5 6 3 3" xfId="35726" xr:uid="{00000000-0005-0000-0000-0000A07E0000}"/>
    <cellStyle name="Normal 5 5 6 4" xfId="12243" xr:uid="{00000000-0005-0000-0000-0000A17E0000}"/>
    <cellStyle name="Normal 5 5 6 4 2" xfId="35728" xr:uid="{00000000-0005-0000-0000-0000A27E0000}"/>
    <cellStyle name="Normal 5 5 6 5" xfId="35721" xr:uid="{00000000-0005-0000-0000-0000A37E0000}"/>
    <cellStyle name="Normal 5 5 7" xfId="12244" xr:uid="{00000000-0005-0000-0000-0000A47E0000}"/>
    <cellStyle name="Normal 5 5 7 2" xfId="12245" xr:uid="{00000000-0005-0000-0000-0000A57E0000}"/>
    <cellStyle name="Normal 5 5 7 2 2" xfId="12246" xr:uid="{00000000-0005-0000-0000-0000A67E0000}"/>
    <cellStyle name="Normal 5 5 7 2 2 2" xfId="12247" xr:uid="{00000000-0005-0000-0000-0000A77E0000}"/>
    <cellStyle name="Normal 5 5 7 2 2 2 2" xfId="35732" xr:uid="{00000000-0005-0000-0000-0000A87E0000}"/>
    <cellStyle name="Normal 5 5 7 2 2 3" xfId="35731" xr:uid="{00000000-0005-0000-0000-0000A97E0000}"/>
    <cellStyle name="Normal 5 5 7 2 3" xfId="12248" xr:uid="{00000000-0005-0000-0000-0000AA7E0000}"/>
    <cellStyle name="Normal 5 5 7 2 3 2" xfId="35733" xr:uid="{00000000-0005-0000-0000-0000AB7E0000}"/>
    <cellStyle name="Normal 5 5 7 2 4" xfId="35730" xr:uid="{00000000-0005-0000-0000-0000AC7E0000}"/>
    <cellStyle name="Normal 5 5 7 3" xfId="12249" xr:uid="{00000000-0005-0000-0000-0000AD7E0000}"/>
    <cellStyle name="Normal 5 5 7 3 2" xfId="12250" xr:uid="{00000000-0005-0000-0000-0000AE7E0000}"/>
    <cellStyle name="Normal 5 5 7 3 2 2" xfId="35735" xr:uid="{00000000-0005-0000-0000-0000AF7E0000}"/>
    <cellStyle name="Normal 5 5 7 3 3" xfId="35734" xr:uid="{00000000-0005-0000-0000-0000B07E0000}"/>
    <cellStyle name="Normal 5 5 7 4" xfId="12251" xr:uid="{00000000-0005-0000-0000-0000B17E0000}"/>
    <cellStyle name="Normal 5 5 7 4 2" xfId="35736" xr:uid="{00000000-0005-0000-0000-0000B27E0000}"/>
    <cellStyle name="Normal 5 5 7 5" xfId="35729" xr:uid="{00000000-0005-0000-0000-0000B37E0000}"/>
    <cellStyle name="Normal 5 5 8" xfId="12252" xr:uid="{00000000-0005-0000-0000-0000B47E0000}"/>
    <cellStyle name="Normal 5 5 8 2" xfId="12253" xr:uid="{00000000-0005-0000-0000-0000B57E0000}"/>
    <cellStyle name="Normal 5 5 8 2 2" xfId="12254" xr:uid="{00000000-0005-0000-0000-0000B67E0000}"/>
    <cellStyle name="Normal 5 5 8 2 2 2" xfId="35739" xr:uid="{00000000-0005-0000-0000-0000B77E0000}"/>
    <cellStyle name="Normal 5 5 8 2 3" xfId="35738" xr:uid="{00000000-0005-0000-0000-0000B87E0000}"/>
    <cellStyle name="Normal 5 5 8 3" xfId="12255" xr:uid="{00000000-0005-0000-0000-0000B97E0000}"/>
    <cellStyle name="Normal 5 5 8 3 2" xfId="35740" xr:uid="{00000000-0005-0000-0000-0000BA7E0000}"/>
    <cellStyle name="Normal 5 5 8 4" xfId="35737" xr:uid="{00000000-0005-0000-0000-0000BB7E0000}"/>
    <cellStyle name="Normal 5 5 9" xfId="12256" xr:uid="{00000000-0005-0000-0000-0000BC7E0000}"/>
    <cellStyle name="Normal 5 5 9 2" xfId="12257" xr:uid="{00000000-0005-0000-0000-0000BD7E0000}"/>
    <cellStyle name="Normal 5 5 9 2 2" xfId="35742" xr:uid="{00000000-0005-0000-0000-0000BE7E0000}"/>
    <cellStyle name="Normal 5 5 9 3" xfId="35741" xr:uid="{00000000-0005-0000-0000-0000BF7E0000}"/>
    <cellStyle name="Normal 5 6" xfId="12258" xr:uid="{00000000-0005-0000-0000-0000C07E0000}"/>
    <cellStyle name="Normal 5 6 10" xfId="35743" xr:uid="{00000000-0005-0000-0000-0000C17E0000}"/>
    <cellStyle name="Normal 5 6 2" xfId="12259" xr:uid="{00000000-0005-0000-0000-0000C27E0000}"/>
    <cellStyle name="Normal 5 6 2 2" xfId="12260" xr:uid="{00000000-0005-0000-0000-0000C37E0000}"/>
    <cellStyle name="Normal 5 6 2 2 2" xfId="12261" xr:uid="{00000000-0005-0000-0000-0000C47E0000}"/>
    <cellStyle name="Normal 5 6 2 2 2 2" xfId="12262" xr:uid="{00000000-0005-0000-0000-0000C57E0000}"/>
    <cellStyle name="Normal 5 6 2 2 2 2 2" xfId="12263" xr:uid="{00000000-0005-0000-0000-0000C67E0000}"/>
    <cellStyle name="Normal 5 6 2 2 2 2 2 2" xfId="35748" xr:uid="{00000000-0005-0000-0000-0000C77E0000}"/>
    <cellStyle name="Normal 5 6 2 2 2 2 3" xfId="35747" xr:uid="{00000000-0005-0000-0000-0000C87E0000}"/>
    <cellStyle name="Normal 5 6 2 2 2 3" xfId="12264" xr:uid="{00000000-0005-0000-0000-0000C97E0000}"/>
    <cellStyle name="Normal 5 6 2 2 2 3 2" xfId="35749" xr:uid="{00000000-0005-0000-0000-0000CA7E0000}"/>
    <cellStyle name="Normal 5 6 2 2 2 4" xfId="35746" xr:uid="{00000000-0005-0000-0000-0000CB7E0000}"/>
    <cellStyle name="Normal 5 6 2 2 3" xfId="12265" xr:uid="{00000000-0005-0000-0000-0000CC7E0000}"/>
    <cellStyle name="Normal 5 6 2 2 3 2" xfId="12266" xr:uid="{00000000-0005-0000-0000-0000CD7E0000}"/>
    <cellStyle name="Normal 5 6 2 2 3 2 2" xfId="35751" xr:uid="{00000000-0005-0000-0000-0000CE7E0000}"/>
    <cellStyle name="Normal 5 6 2 2 3 3" xfId="35750" xr:uid="{00000000-0005-0000-0000-0000CF7E0000}"/>
    <cellStyle name="Normal 5 6 2 2 4" xfId="12267" xr:uid="{00000000-0005-0000-0000-0000D07E0000}"/>
    <cellStyle name="Normal 5 6 2 2 4 2" xfId="35752" xr:uid="{00000000-0005-0000-0000-0000D17E0000}"/>
    <cellStyle name="Normal 5 6 2 2 5" xfId="35745" xr:uid="{00000000-0005-0000-0000-0000D27E0000}"/>
    <cellStyle name="Normal 5 6 2 3" xfId="12268" xr:uid="{00000000-0005-0000-0000-0000D37E0000}"/>
    <cellStyle name="Normal 5 6 2 3 2" xfId="12269" xr:uid="{00000000-0005-0000-0000-0000D47E0000}"/>
    <cellStyle name="Normal 5 6 2 3 2 2" xfId="12270" xr:uid="{00000000-0005-0000-0000-0000D57E0000}"/>
    <cellStyle name="Normal 5 6 2 3 2 2 2" xfId="12271" xr:uid="{00000000-0005-0000-0000-0000D67E0000}"/>
    <cellStyle name="Normal 5 6 2 3 2 2 2 2" xfId="35756" xr:uid="{00000000-0005-0000-0000-0000D77E0000}"/>
    <cellStyle name="Normal 5 6 2 3 2 2 3" xfId="35755" xr:uid="{00000000-0005-0000-0000-0000D87E0000}"/>
    <cellStyle name="Normal 5 6 2 3 2 3" xfId="12272" xr:uid="{00000000-0005-0000-0000-0000D97E0000}"/>
    <cellStyle name="Normal 5 6 2 3 2 3 2" xfId="35757" xr:uid="{00000000-0005-0000-0000-0000DA7E0000}"/>
    <cellStyle name="Normal 5 6 2 3 2 4" xfId="35754" xr:uid="{00000000-0005-0000-0000-0000DB7E0000}"/>
    <cellStyle name="Normal 5 6 2 3 3" xfId="12273" xr:uid="{00000000-0005-0000-0000-0000DC7E0000}"/>
    <cellStyle name="Normal 5 6 2 3 3 2" xfId="12274" xr:uid="{00000000-0005-0000-0000-0000DD7E0000}"/>
    <cellStyle name="Normal 5 6 2 3 3 2 2" xfId="35759" xr:uid="{00000000-0005-0000-0000-0000DE7E0000}"/>
    <cellStyle name="Normal 5 6 2 3 3 3" xfId="35758" xr:uid="{00000000-0005-0000-0000-0000DF7E0000}"/>
    <cellStyle name="Normal 5 6 2 3 4" xfId="12275" xr:uid="{00000000-0005-0000-0000-0000E07E0000}"/>
    <cellStyle name="Normal 5 6 2 3 4 2" xfId="35760" xr:uid="{00000000-0005-0000-0000-0000E17E0000}"/>
    <cellStyle name="Normal 5 6 2 3 5" xfId="35753" xr:uid="{00000000-0005-0000-0000-0000E27E0000}"/>
    <cellStyle name="Normal 5 6 2 4" xfId="12276" xr:uid="{00000000-0005-0000-0000-0000E37E0000}"/>
    <cellStyle name="Normal 5 6 2 4 2" xfId="12277" xr:uid="{00000000-0005-0000-0000-0000E47E0000}"/>
    <cellStyle name="Normal 5 6 2 4 2 2" xfId="12278" xr:uid="{00000000-0005-0000-0000-0000E57E0000}"/>
    <cellStyle name="Normal 5 6 2 4 2 2 2" xfId="35763" xr:uid="{00000000-0005-0000-0000-0000E67E0000}"/>
    <cellStyle name="Normal 5 6 2 4 2 3" xfId="35762" xr:uid="{00000000-0005-0000-0000-0000E77E0000}"/>
    <cellStyle name="Normal 5 6 2 4 3" xfId="12279" xr:uid="{00000000-0005-0000-0000-0000E87E0000}"/>
    <cellStyle name="Normal 5 6 2 4 3 2" xfId="35764" xr:uid="{00000000-0005-0000-0000-0000E97E0000}"/>
    <cellStyle name="Normal 5 6 2 4 4" xfId="35761" xr:uid="{00000000-0005-0000-0000-0000EA7E0000}"/>
    <cellStyle name="Normal 5 6 2 5" xfId="12280" xr:uid="{00000000-0005-0000-0000-0000EB7E0000}"/>
    <cellStyle name="Normal 5 6 2 5 2" xfId="12281" xr:uid="{00000000-0005-0000-0000-0000EC7E0000}"/>
    <cellStyle name="Normal 5 6 2 5 2 2" xfId="35766" xr:uid="{00000000-0005-0000-0000-0000ED7E0000}"/>
    <cellStyle name="Normal 5 6 2 5 3" xfId="35765" xr:uid="{00000000-0005-0000-0000-0000EE7E0000}"/>
    <cellStyle name="Normal 5 6 2 6" xfId="12282" xr:uid="{00000000-0005-0000-0000-0000EF7E0000}"/>
    <cellStyle name="Normal 5 6 2 6 2" xfId="35767" xr:uid="{00000000-0005-0000-0000-0000F07E0000}"/>
    <cellStyle name="Normal 5 6 2 7" xfId="35744" xr:uid="{00000000-0005-0000-0000-0000F17E0000}"/>
    <cellStyle name="Normal 5 6 3" xfId="12283" xr:uid="{00000000-0005-0000-0000-0000F27E0000}"/>
    <cellStyle name="Normal 5 6 3 2" xfId="12284" xr:uid="{00000000-0005-0000-0000-0000F37E0000}"/>
    <cellStyle name="Normal 5 6 3 2 2" xfId="12285" xr:uid="{00000000-0005-0000-0000-0000F47E0000}"/>
    <cellStyle name="Normal 5 6 3 2 2 2" xfId="12286" xr:uid="{00000000-0005-0000-0000-0000F57E0000}"/>
    <cellStyle name="Normal 5 6 3 2 2 2 2" xfId="12287" xr:uid="{00000000-0005-0000-0000-0000F67E0000}"/>
    <cellStyle name="Normal 5 6 3 2 2 2 2 2" xfId="35772" xr:uid="{00000000-0005-0000-0000-0000F77E0000}"/>
    <cellStyle name="Normal 5 6 3 2 2 2 3" xfId="35771" xr:uid="{00000000-0005-0000-0000-0000F87E0000}"/>
    <cellStyle name="Normal 5 6 3 2 2 3" xfId="12288" xr:uid="{00000000-0005-0000-0000-0000F97E0000}"/>
    <cellStyle name="Normal 5 6 3 2 2 3 2" xfId="35773" xr:uid="{00000000-0005-0000-0000-0000FA7E0000}"/>
    <cellStyle name="Normal 5 6 3 2 2 4" xfId="35770" xr:uid="{00000000-0005-0000-0000-0000FB7E0000}"/>
    <cellStyle name="Normal 5 6 3 2 3" xfId="12289" xr:uid="{00000000-0005-0000-0000-0000FC7E0000}"/>
    <cellStyle name="Normal 5 6 3 2 3 2" xfId="12290" xr:uid="{00000000-0005-0000-0000-0000FD7E0000}"/>
    <cellStyle name="Normal 5 6 3 2 3 2 2" xfId="35775" xr:uid="{00000000-0005-0000-0000-0000FE7E0000}"/>
    <cellStyle name="Normal 5 6 3 2 3 3" xfId="35774" xr:uid="{00000000-0005-0000-0000-0000FF7E0000}"/>
    <cellStyle name="Normal 5 6 3 2 4" xfId="12291" xr:uid="{00000000-0005-0000-0000-0000007F0000}"/>
    <cellStyle name="Normal 5 6 3 2 4 2" xfId="35776" xr:uid="{00000000-0005-0000-0000-0000017F0000}"/>
    <cellStyle name="Normal 5 6 3 2 5" xfId="35769" xr:uid="{00000000-0005-0000-0000-0000027F0000}"/>
    <cellStyle name="Normal 5 6 3 3" xfId="12292" xr:uid="{00000000-0005-0000-0000-0000037F0000}"/>
    <cellStyle name="Normal 5 6 3 3 2" xfId="12293" xr:uid="{00000000-0005-0000-0000-0000047F0000}"/>
    <cellStyle name="Normal 5 6 3 3 2 2" xfId="12294" xr:uid="{00000000-0005-0000-0000-0000057F0000}"/>
    <cellStyle name="Normal 5 6 3 3 2 2 2" xfId="12295" xr:uid="{00000000-0005-0000-0000-0000067F0000}"/>
    <cellStyle name="Normal 5 6 3 3 2 2 2 2" xfId="35780" xr:uid="{00000000-0005-0000-0000-0000077F0000}"/>
    <cellStyle name="Normal 5 6 3 3 2 2 3" xfId="35779" xr:uid="{00000000-0005-0000-0000-0000087F0000}"/>
    <cellStyle name="Normal 5 6 3 3 2 3" xfId="12296" xr:uid="{00000000-0005-0000-0000-0000097F0000}"/>
    <cellStyle name="Normal 5 6 3 3 2 3 2" xfId="35781" xr:uid="{00000000-0005-0000-0000-00000A7F0000}"/>
    <cellStyle name="Normal 5 6 3 3 2 4" xfId="35778" xr:uid="{00000000-0005-0000-0000-00000B7F0000}"/>
    <cellStyle name="Normal 5 6 3 3 3" xfId="12297" xr:uid="{00000000-0005-0000-0000-00000C7F0000}"/>
    <cellStyle name="Normal 5 6 3 3 3 2" xfId="12298" xr:uid="{00000000-0005-0000-0000-00000D7F0000}"/>
    <cellStyle name="Normal 5 6 3 3 3 2 2" xfId="35783" xr:uid="{00000000-0005-0000-0000-00000E7F0000}"/>
    <cellStyle name="Normal 5 6 3 3 3 3" xfId="35782" xr:uid="{00000000-0005-0000-0000-00000F7F0000}"/>
    <cellStyle name="Normal 5 6 3 3 4" xfId="12299" xr:uid="{00000000-0005-0000-0000-0000107F0000}"/>
    <cellStyle name="Normal 5 6 3 3 4 2" xfId="35784" xr:uid="{00000000-0005-0000-0000-0000117F0000}"/>
    <cellStyle name="Normal 5 6 3 3 5" xfId="35777" xr:uid="{00000000-0005-0000-0000-0000127F0000}"/>
    <cellStyle name="Normal 5 6 3 4" xfId="12300" xr:uid="{00000000-0005-0000-0000-0000137F0000}"/>
    <cellStyle name="Normal 5 6 3 4 2" xfId="12301" xr:uid="{00000000-0005-0000-0000-0000147F0000}"/>
    <cellStyle name="Normal 5 6 3 4 2 2" xfId="12302" xr:uid="{00000000-0005-0000-0000-0000157F0000}"/>
    <cellStyle name="Normal 5 6 3 4 2 2 2" xfId="35787" xr:uid="{00000000-0005-0000-0000-0000167F0000}"/>
    <cellStyle name="Normal 5 6 3 4 2 3" xfId="35786" xr:uid="{00000000-0005-0000-0000-0000177F0000}"/>
    <cellStyle name="Normal 5 6 3 4 3" xfId="12303" xr:uid="{00000000-0005-0000-0000-0000187F0000}"/>
    <cellStyle name="Normal 5 6 3 4 3 2" xfId="35788" xr:uid="{00000000-0005-0000-0000-0000197F0000}"/>
    <cellStyle name="Normal 5 6 3 4 4" xfId="35785" xr:uid="{00000000-0005-0000-0000-00001A7F0000}"/>
    <cellStyle name="Normal 5 6 3 5" xfId="12304" xr:uid="{00000000-0005-0000-0000-00001B7F0000}"/>
    <cellStyle name="Normal 5 6 3 5 2" xfId="12305" xr:uid="{00000000-0005-0000-0000-00001C7F0000}"/>
    <cellStyle name="Normal 5 6 3 5 2 2" xfId="35790" xr:uid="{00000000-0005-0000-0000-00001D7F0000}"/>
    <cellStyle name="Normal 5 6 3 5 3" xfId="35789" xr:uid="{00000000-0005-0000-0000-00001E7F0000}"/>
    <cellStyle name="Normal 5 6 3 6" xfId="12306" xr:uid="{00000000-0005-0000-0000-00001F7F0000}"/>
    <cellStyle name="Normal 5 6 3 6 2" xfId="35791" xr:uid="{00000000-0005-0000-0000-0000207F0000}"/>
    <cellStyle name="Normal 5 6 3 7" xfId="35768" xr:uid="{00000000-0005-0000-0000-0000217F0000}"/>
    <cellStyle name="Normal 5 6 4" xfId="12307" xr:uid="{00000000-0005-0000-0000-0000227F0000}"/>
    <cellStyle name="Normal 5 6 4 2" xfId="12308" xr:uid="{00000000-0005-0000-0000-0000237F0000}"/>
    <cellStyle name="Normal 5 6 4 2 2" xfId="12309" xr:uid="{00000000-0005-0000-0000-0000247F0000}"/>
    <cellStyle name="Normal 5 6 4 2 2 2" xfId="12310" xr:uid="{00000000-0005-0000-0000-0000257F0000}"/>
    <cellStyle name="Normal 5 6 4 2 2 2 2" xfId="12311" xr:uid="{00000000-0005-0000-0000-0000267F0000}"/>
    <cellStyle name="Normal 5 6 4 2 2 2 2 2" xfId="35796" xr:uid="{00000000-0005-0000-0000-0000277F0000}"/>
    <cellStyle name="Normal 5 6 4 2 2 2 3" xfId="35795" xr:uid="{00000000-0005-0000-0000-0000287F0000}"/>
    <cellStyle name="Normal 5 6 4 2 2 3" xfId="12312" xr:uid="{00000000-0005-0000-0000-0000297F0000}"/>
    <cellStyle name="Normal 5 6 4 2 2 3 2" xfId="35797" xr:uid="{00000000-0005-0000-0000-00002A7F0000}"/>
    <cellStyle name="Normal 5 6 4 2 2 4" xfId="35794" xr:uid="{00000000-0005-0000-0000-00002B7F0000}"/>
    <cellStyle name="Normal 5 6 4 2 3" xfId="12313" xr:uid="{00000000-0005-0000-0000-00002C7F0000}"/>
    <cellStyle name="Normal 5 6 4 2 3 2" xfId="12314" xr:uid="{00000000-0005-0000-0000-00002D7F0000}"/>
    <cellStyle name="Normal 5 6 4 2 3 2 2" xfId="35799" xr:uid="{00000000-0005-0000-0000-00002E7F0000}"/>
    <cellStyle name="Normal 5 6 4 2 3 3" xfId="35798" xr:uid="{00000000-0005-0000-0000-00002F7F0000}"/>
    <cellStyle name="Normal 5 6 4 2 4" xfId="12315" xr:uid="{00000000-0005-0000-0000-0000307F0000}"/>
    <cellStyle name="Normal 5 6 4 2 4 2" xfId="35800" xr:uid="{00000000-0005-0000-0000-0000317F0000}"/>
    <cellStyle name="Normal 5 6 4 2 5" xfId="35793" xr:uid="{00000000-0005-0000-0000-0000327F0000}"/>
    <cellStyle name="Normal 5 6 4 3" xfId="12316" xr:uid="{00000000-0005-0000-0000-0000337F0000}"/>
    <cellStyle name="Normal 5 6 4 3 2" xfId="12317" xr:uid="{00000000-0005-0000-0000-0000347F0000}"/>
    <cellStyle name="Normal 5 6 4 3 2 2" xfId="12318" xr:uid="{00000000-0005-0000-0000-0000357F0000}"/>
    <cellStyle name="Normal 5 6 4 3 2 2 2" xfId="12319" xr:uid="{00000000-0005-0000-0000-0000367F0000}"/>
    <cellStyle name="Normal 5 6 4 3 2 2 2 2" xfId="35804" xr:uid="{00000000-0005-0000-0000-0000377F0000}"/>
    <cellStyle name="Normal 5 6 4 3 2 2 3" xfId="35803" xr:uid="{00000000-0005-0000-0000-0000387F0000}"/>
    <cellStyle name="Normal 5 6 4 3 2 3" xfId="12320" xr:uid="{00000000-0005-0000-0000-0000397F0000}"/>
    <cellStyle name="Normal 5 6 4 3 2 3 2" xfId="35805" xr:uid="{00000000-0005-0000-0000-00003A7F0000}"/>
    <cellStyle name="Normal 5 6 4 3 2 4" xfId="35802" xr:uid="{00000000-0005-0000-0000-00003B7F0000}"/>
    <cellStyle name="Normal 5 6 4 3 3" xfId="12321" xr:uid="{00000000-0005-0000-0000-00003C7F0000}"/>
    <cellStyle name="Normal 5 6 4 3 3 2" xfId="12322" xr:uid="{00000000-0005-0000-0000-00003D7F0000}"/>
    <cellStyle name="Normal 5 6 4 3 3 2 2" xfId="35807" xr:uid="{00000000-0005-0000-0000-00003E7F0000}"/>
    <cellStyle name="Normal 5 6 4 3 3 3" xfId="35806" xr:uid="{00000000-0005-0000-0000-00003F7F0000}"/>
    <cellStyle name="Normal 5 6 4 3 4" xfId="12323" xr:uid="{00000000-0005-0000-0000-0000407F0000}"/>
    <cellStyle name="Normal 5 6 4 3 4 2" xfId="35808" xr:uid="{00000000-0005-0000-0000-0000417F0000}"/>
    <cellStyle name="Normal 5 6 4 3 5" xfId="35801" xr:uid="{00000000-0005-0000-0000-0000427F0000}"/>
    <cellStyle name="Normal 5 6 4 4" xfId="12324" xr:uid="{00000000-0005-0000-0000-0000437F0000}"/>
    <cellStyle name="Normal 5 6 4 4 2" xfId="12325" xr:uid="{00000000-0005-0000-0000-0000447F0000}"/>
    <cellStyle name="Normal 5 6 4 4 2 2" xfId="12326" xr:uid="{00000000-0005-0000-0000-0000457F0000}"/>
    <cellStyle name="Normal 5 6 4 4 2 2 2" xfId="35811" xr:uid="{00000000-0005-0000-0000-0000467F0000}"/>
    <cellStyle name="Normal 5 6 4 4 2 3" xfId="35810" xr:uid="{00000000-0005-0000-0000-0000477F0000}"/>
    <cellStyle name="Normal 5 6 4 4 3" xfId="12327" xr:uid="{00000000-0005-0000-0000-0000487F0000}"/>
    <cellStyle name="Normal 5 6 4 4 3 2" xfId="35812" xr:uid="{00000000-0005-0000-0000-0000497F0000}"/>
    <cellStyle name="Normal 5 6 4 4 4" xfId="35809" xr:uid="{00000000-0005-0000-0000-00004A7F0000}"/>
    <cellStyle name="Normal 5 6 4 5" xfId="12328" xr:uid="{00000000-0005-0000-0000-00004B7F0000}"/>
    <cellStyle name="Normal 5 6 4 5 2" xfId="12329" xr:uid="{00000000-0005-0000-0000-00004C7F0000}"/>
    <cellStyle name="Normal 5 6 4 5 2 2" xfId="35814" xr:uid="{00000000-0005-0000-0000-00004D7F0000}"/>
    <cellStyle name="Normal 5 6 4 5 3" xfId="35813" xr:uid="{00000000-0005-0000-0000-00004E7F0000}"/>
    <cellStyle name="Normal 5 6 4 6" xfId="12330" xr:uid="{00000000-0005-0000-0000-00004F7F0000}"/>
    <cellStyle name="Normal 5 6 4 6 2" xfId="35815" xr:uid="{00000000-0005-0000-0000-0000507F0000}"/>
    <cellStyle name="Normal 5 6 4 7" xfId="35792" xr:uid="{00000000-0005-0000-0000-0000517F0000}"/>
    <cellStyle name="Normal 5 6 5" xfId="12331" xr:uid="{00000000-0005-0000-0000-0000527F0000}"/>
    <cellStyle name="Normal 5 6 5 2" xfId="12332" xr:uid="{00000000-0005-0000-0000-0000537F0000}"/>
    <cellStyle name="Normal 5 6 5 2 2" xfId="12333" xr:uid="{00000000-0005-0000-0000-0000547F0000}"/>
    <cellStyle name="Normal 5 6 5 2 2 2" xfId="12334" xr:uid="{00000000-0005-0000-0000-0000557F0000}"/>
    <cellStyle name="Normal 5 6 5 2 2 2 2" xfId="35819" xr:uid="{00000000-0005-0000-0000-0000567F0000}"/>
    <cellStyle name="Normal 5 6 5 2 2 3" xfId="35818" xr:uid="{00000000-0005-0000-0000-0000577F0000}"/>
    <cellStyle name="Normal 5 6 5 2 3" xfId="12335" xr:uid="{00000000-0005-0000-0000-0000587F0000}"/>
    <cellStyle name="Normal 5 6 5 2 3 2" xfId="35820" xr:uid="{00000000-0005-0000-0000-0000597F0000}"/>
    <cellStyle name="Normal 5 6 5 2 4" xfId="35817" xr:uid="{00000000-0005-0000-0000-00005A7F0000}"/>
    <cellStyle name="Normal 5 6 5 3" xfId="12336" xr:uid="{00000000-0005-0000-0000-00005B7F0000}"/>
    <cellStyle name="Normal 5 6 5 3 2" xfId="12337" xr:uid="{00000000-0005-0000-0000-00005C7F0000}"/>
    <cellStyle name="Normal 5 6 5 3 2 2" xfId="35822" xr:uid="{00000000-0005-0000-0000-00005D7F0000}"/>
    <cellStyle name="Normal 5 6 5 3 3" xfId="35821" xr:uid="{00000000-0005-0000-0000-00005E7F0000}"/>
    <cellStyle name="Normal 5 6 5 4" xfId="12338" xr:uid="{00000000-0005-0000-0000-00005F7F0000}"/>
    <cellStyle name="Normal 5 6 5 4 2" xfId="35823" xr:uid="{00000000-0005-0000-0000-0000607F0000}"/>
    <cellStyle name="Normal 5 6 5 5" xfId="35816" xr:uid="{00000000-0005-0000-0000-0000617F0000}"/>
    <cellStyle name="Normal 5 6 6" xfId="12339" xr:uid="{00000000-0005-0000-0000-0000627F0000}"/>
    <cellStyle name="Normal 5 6 6 2" xfId="12340" xr:uid="{00000000-0005-0000-0000-0000637F0000}"/>
    <cellStyle name="Normal 5 6 6 2 2" xfId="12341" xr:uid="{00000000-0005-0000-0000-0000647F0000}"/>
    <cellStyle name="Normal 5 6 6 2 2 2" xfId="12342" xr:uid="{00000000-0005-0000-0000-0000657F0000}"/>
    <cellStyle name="Normal 5 6 6 2 2 2 2" xfId="35827" xr:uid="{00000000-0005-0000-0000-0000667F0000}"/>
    <cellStyle name="Normal 5 6 6 2 2 3" xfId="35826" xr:uid="{00000000-0005-0000-0000-0000677F0000}"/>
    <cellStyle name="Normal 5 6 6 2 3" xfId="12343" xr:uid="{00000000-0005-0000-0000-0000687F0000}"/>
    <cellStyle name="Normal 5 6 6 2 3 2" xfId="35828" xr:uid="{00000000-0005-0000-0000-0000697F0000}"/>
    <cellStyle name="Normal 5 6 6 2 4" xfId="35825" xr:uid="{00000000-0005-0000-0000-00006A7F0000}"/>
    <cellStyle name="Normal 5 6 6 3" xfId="12344" xr:uid="{00000000-0005-0000-0000-00006B7F0000}"/>
    <cellStyle name="Normal 5 6 6 3 2" xfId="12345" xr:uid="{00000000-0005-0000-0000-00006C7F0000}"/>
    <cellStyle name="Normal 5 6 6 3 2 2" xfId="35830" xr:uid="{00000000-0005-0000-0000-00006D7F0000}"/>
    <cellStyle name="Normal 5 6 6 3 3" xfId="35829" xr:uid="{00000000-0005-0000-0000-00006E7F0000}"/>
    <cellStyle name="Normal 5 6 6 4" xfId="12346" xr:uid="{00000000-0005-0000-0000-00006F7F0000}"/>
    <cellStyle name="Normal 5 6 6 4 2" xfId="35831" xr:uid="{00000000-0005-0000-0000-0000707F0000}"/>
    <cellStyle name="Normal 5 6 6 5" xfId="35824" xr:uid="{00000000-0005-0000-0000-0000717F0000}"/>
    <cellStyle name="Normal 5 6 7" xfId="12347" xr:uid="{00000000-0005-0000-0000-0000727F0000}"/>
    <cellStyle name="Normal 5 6 7 2" xfId="12348" xr:uid="{00000000-0005-0000-0000-0000737F0000}"/>
    <cellStyle name="Normal 5 6 7 2 2" xfId="12349" xr:uid="{00000000-0005-0000-0000-0000747F0000}"/>
    <cellStyle name="Normal 5 6 7 2 2 2" xfId="35834" xr:uid="{00000000-0005-0000-0000-0000757F0000}"/>
    <cellStyle name="Normal 5 6 7 2 3" xfId="35833" xr:uid="{00000000-0005-0000-0000-0000767F0000}"/>
    <cellStyle name="Normal 5 6 7 3" xfId="12350" xr:uid="{00000000-0005-0000-0000-0000777F0000}"/>
    <cellStyle name="Normal 5 6 7 3 2" xfId="35835" xr:uid="{00000000-0005-0000-0000-0000787F0000}"/>
    <cellStyle name="Normal 5 6 7 4" xfId="35832" xr:uid="{00000000-0005-0000-0000-0000797F0000}"/>
    <cellStyle name="Normal 5 6 8" xfId="12351" xr:uid="{00000000-0005-0000-0000-00007A7F0000}"/>
    <cellStyle name="Normal 5 6 8 2" xfId="12352" xr:uid="{00000000-0005-0000-0000-00007B7F0000}"/>
    <cellStyle name="Normal 5 6 8 2 2" xfId="35837" xr:uid="{00000000-0005-0000-0000-00007C7F0000}"/>
    <cellStyle name="Normal 5 6 8 3" xfId="35836" xr:uid="{00000000-0005-0000-0000-00007D7F0000}"/>
    <cellStyle name="Normal 5 6 9" xfId="12353" xr:uid="{00000000-0005-0000-0000-00007E7F0000}"/>
    <cellStyle name="Normal 5 6 9 2" xfId="35838" xr:uid="{00000000-0005-0000-0000-00007F7F0000}"/>
    <cellStyle name="Normal 5 7" xfId="12354" xr:uid="{00000000-0005-0000-0000-0000807F0000}"/>
    <cellStyle name="Normal 5 7 10" xfId="35839" xr:uid="{00000000-0005-0000-0000-0000817F0000}"/>
    <cellStyle name="Normal 5 7 2" xfId="12355" xr:uid="{00000000-0005-0000-0000-0000827F0000}"/>
    <cellStyle name="Normal 5 7 2 2" xfId="12356" xr:uid="{00000000-0005-0000-0000-0000837F0000}"/>
    <cellStyle name="Normal 5 7 2 2 2" xfId="12357" xr:uid="{00000000-0005-0000-0000-0000847F0000}"/>
    <cellStyle name="Normal 5 7 2 2 2 2" xfId="12358" xr:uid="{00000000-0005-0000-0000-0000857F0000}"/>
    <cellStyle name="Normal 5 7 2 2 2 2 2" xfId="12359" xr:uid="{00000000-0005-0000-0000-0000867F0000}"/>
    <cellStyle name="Normal 5 7 2 2 2 2 2 2" xfId="35844" xr:uid="{00000000-0005-0000-0000-0000877F0000}"/>
    <cellStyle name="Normal 5 7 2 2 2 2 3" xfId="35843" xr:uid="{00000000-0005-0000-0000-0000887F0000}"/>
    <cellStyle name="Normal 5 7 2 2 2 3" xfId="12360" xr:uid="{00000000-0005-0000-0000-0000897F0000}"/>
    <cellStyle name="Normal 5 7 2 2 2 3 2" xfId="35845" xr:uid="{00000000-0005-0000-0000-00008A7F0000}"/>
    <cellStyle name="Normal 5 7 2 2 2 4" xfId="35842" xr:uid="{00000000-0005-0000-0000-00008B7F0000}"/>
    <cellStyle name="Normal 5 7 2 2 3" xfId="12361" xr:uid="{00000000-0005-0000-0000-00008C7F0000}"/>
    <cellStyle name="Normal 5 7 2 2 3 2" xfId="12362" xr:uid="{00000000-0005-0000-0000-00008D7F0000}"/>
    <cellStyle name="Normal 5 7 2 2 3 2 2" xfId="35847" xr:uid="{00000000-0005-0000-0000-00008E7F0000}"/>
    <cellStyle name="Normal 5 7 2 2 3 3" xfId="35846" xr:uid="{00000000-0005-0000-0000-00008F7F0000}"/>
    <cellStyle name="Normal 5 7 2 2 4" xfId="12363" xr:uid="{00000000-0005-0000-0000-0000907F0000}"/>
    <cellStyle name="Normal 5 7 2 2 4 2" xfId="35848" xr:uid="{00000000-0005-0000-0000-0000917F0000}"/>
    <cellStyle name="Normal 5 7 2 2 5" xfId="35841" xr:uid="{00000000-0005-0000-0000-0000927F0000}"/>
    <cellStyle name="Normal 5 7 2 3" xfId="12364" xr:uid="{00000000-0005-0000-0000-0000937F0000}"/>
    <cellStyle name="Normal 5 7 2 3 2" xfId="12365" xr:uid="{00000000-0005-0000-0000-0000947F0000}"/>
    <cellStyle name="Normal 5 7 2 3 2 2" xfId="12366" xr:uid="{00000000-0005-0000-0000-0000957F0000}"/>
    <cellStyle name="Normal 5 7 2 3 2 2 2" xfId="12367" xr:uid="{00000000-0005-0000-0000-0000967F0000}"/>
    <cellStyle name="Normal 5 7 2 3 2 2 2 2" xfId="35852" xr:uid="{00000000-0005-0000-0000-0000977F0000}"/>
    <cellStyle name="Normal 5 7 2 3 2 2 3" xfId="35851" xr:uid="{00000000-0005-0000-0000-0000987F0000}"/>
    <cellStyle name="Normal 5 7 2 3 2 3" xfId="12368" xr:uid="{00000000-0005-0000-0000-0000997F0000}"/>
    <cellStyle name="Normal 5 7 2 3 2 3 2" xfId="35853" xr:uid="{00000000-0005-0000-0000-00009A7F0000}"/>
    <cellStyle name="Normal 5 7 2 3 2 4" xfId="35850" xr:uid="{00000000-0005-0000-0000-00009B7F0000}"/>
    <cellStyle name="Normal 5 7 2 3 3" xfId="12369" xr:uid="{00000000-0005-0000-0000-00009C7F0000}"/>
    <cellStyle name="Normal 5 7 2 3 3 2" xfId="12370" xr:uid="{00000000-0005-0000-0000-00009D7F0000}"/>
    <cellStyle name="Normal 5 7 2 3 3 2 2" xfId="35855" xr:uid="{00000000-0005-0000-0000-00009E7F0000}"/>
    <cellStyle name="Normal 5 7 2 3 3 3" xfId="35854" xr:uid="{00000000-0005-0000-0000-00009F7F0000}"/>
    <cellStyle name="Normal 5 7 2 3 4" xfId="12371" xr:uid="{00000000-0005-0000-0000-0000A07F0000}"/>
    <cellStyle name="Normal 5 7 2 3 4 2" xfId="35856" xr:uid="{00000000-0005-0000-0000-0000A17F0000}"/>
    <cellStyle name="Normal 5 7 2 3 5" xfId="35849" xr:uid="{00000000-0005-0000-0000-0000A27F0000}"/>
    <cellStyle name="Normal 5 7 2 4" xfId="12372" xr:uid="{00000000-0005-0000-0000-0000A37F0000}"/>
    <cellStyle name="Normal 5 7 2 4 2" xfId="12373" xr:uid="{00000000-0005-0000-0000-0000A47F0000}"/>
    <cellStyle name="Normal 5 7 2 4 2 2" xfId="12374" xr:uid="{00000000-0005-0000-0000-0000A57F0000}"/>
    <cellStyle name="Normal 5 7 2 4 2 2 2" xfId="35859" xr:uid="{00000000-0005-0000-0000-0000A67F0000}"/>
    <cellStyle name="Normal 5 7 2 4 2 3" xfId="35858" xr:uid="{00000000-0005-0000-0000-0000A77F0000}"/>
    <cellStyle name="Normal 5 7 2 4 3" xfId="12375" xr:uid="{00000000-0005-0000-0000-0000A87F0000}"/>
    <cellStyle name="Normal 5 7 2 4 3 2" xfId="35860" xr:uid="{00000000-0005-0000-0000-0000A97F0000}"/>
    <cellStyle name="Normal 5 7 2 4 4" xfId="35857" xr:uid="{00000000-0005-0000-0000-0000AA7F0000}"/>
    <cellStyle name="Normal 5 7 2 5" xfId="12376" xr:uid="{00000000-0005-0000-0000-0000AB7F0000}"/>
    <cellStyle name="Normal 5 7 2 5 2" xfId="12377" xr:uid="{00000000-0005-0000-0000-0000AC7F0000}"/>
    <cellStyle name="Normal 5 7 2 5 2 2" xfId="35862" xr:uid="{00000000-0005-0000-0000-0000AD7F0000}"/>
    <cellStyle name="Normal 5 7 2 5 3" xfId="35861" xr:uid="{00000000-0005-0000-0000-0000AE7F0000}"/>
    <cellStyle name="Normal 5 7 2 6" xfId="12378" xr:uid="{00000000-0005-0000-0000-0000AF7F0000}"/>
    <cellStyle name="Normal 5 7 2 6 2" xfId="35863" xr:uid="{00000000-0005-0000-0000-0000B07F0000}"/>
    <cellStyle name="Normal 5 7 2 7" xfId="35840" xr:uid="{00000000-0005-0000-0000-0000B17F0000}"/>
    <cellStyle name="Normal 5 7 3" xfId="12379" xr:uid="{00000000-0005-0000-0000-0000B27F0000}"/>
    <cellStyle name="Normal 5 7 3 2" xfId="12380" xr:uid="{00000000-0005-0000-0000-0000B37F0000}"/>
    <cellStyle name="Normal 5 7 3 2 2" xfId="12381" xr:uid="{00000000-0005-0000-0000-0000B47F0000}"/>
    <cellStyle name="Normal 5 7 3 2 2 2" xfId="12382" xr:uid="{00000000-0005-0000-0000-0000B57F0000}"/>
    <cellStyle name="Normal 5 7 3 2 2 2 2" xfId="12383" xr:uid="{00000000-0005-0000-0000-0000B67F0000}"/>
    <cellStyle name="Normal 5 7 3 2 2 2 2 2" xfId="35868" xr:uid="{00000000-0005-0000-0000-0000B77F0000}"/>
    <cellStyle name="Normal 5 7 3 2 2 2 3" xfId="35867" xr:uid="{00000000-0005-0000-0000-0000B87F0000}"/>
    <cellStyle name="Normal 5 7 3 2 2 3" xfId="12384" xr:uid="{00000000-0005-0000-0000-0000B97F0000}"/>
    <cellStyle name="Normal 5 7 3 2 2 3 2" xfId="35869" xr:uid="{00000000-0005-0000-0000-0000BA7F0000}"/>
    <cellStyle name="Normal 5 7 3 2 2 4" xfId="35866" xr:uid="{00000000-0005-0000-0000-0000BB7F0000}"/>
    <cellStyle name="Normal 5 7 3 2 3" xfId="12385" xr:uid="{00000000-0005-0000-0000-0000BC7F0000}"/>
    <cellStyle name="Normal 5 7 3 2 3 2" xfId="12386" xr:uid="{00000000-0005-0000-0000-0000BD7F0000}"/>
    <cellStyle name="Normal 5 7 3 2 3 2 2" xfId="35871" xr:uid="{00000000-0005-0000-0000-0000BE7F0000}"/>
    <cellStyle name="Normal 5 7 3 2 3 3" xfId="35870" xr:uid="{00000000-0005-0000-0000-0000BF7F0000}"/>
    <cellStyle name="Normal 5 7 3 2 4" xfId="12387" xr:uid="{00000000-0005-0000-0000-0000C07F0000}"/>
    <cellStyle name="Normal 5 7 3 2 4 2" xfId="35872" xr:uid="{00000000-0005-0000-0000-0000C17F0000}"/>
    <cellStyle name="Normal 5 7 3 2 5" xfId="35865" xr:uid="{00000000-0005-0000-0000-0000C27F0000}"/>
    <cellStyle name="Normal 5 7 3 3" xfId="12388" xr:uid="{00000000-0005-0000-0000-0000C37F0000}"/>
    <cellStyle name="Normal 5 7 3 3 2" xfId="12389" xr:uid="{00000000-0005-0000-0000-0000C47F0000}"/>
    <cellStyle name="Normal 5 7 3 3 2 2" xfId="12390" xr:uid="{00000000-0005-0000-0000-0000C57F0000}"/>
    <cellStyle name="Normal 5 7 3 3 2 2 2" xfId="12391" xr:uid="{00000000-0005-0000-0000-0000C67F0000}"/>
    <cellStyle name="Normal 5 7 3 3 2 2 2 2" xfId="35876" xr:uid="{00000000-0005-0000-0000-0000C77F0000}"/>
    <cellStyle name="Normal 5 7 3 3 2 2 3" xfId="35875" xr:uid="{00000000-0005-0000-0000-0000C87F0000}"/>
    <cellStyle name="Normal 5 7 3 3 2 3" xfId="12392" xr:uid="{00000000-0005-0000-0000-0000C97F0000}"/>
    <cellStyle name="Normal 5 7 3 3 2 3 2" xfId="35877" xr:uid="{00000000-0005-0000-0000-0000CA7F0000}"/>
    <cellStyle name="Normal 5 7 3 3 2 4" xfId="35874" xr:uid="{00000000-0005-0000-0000-0000CB7F0000}"/>
    <cellStyle name="Normal 5 7 3 3 3" xfId="12393" xr:uid="{00000000-0005-0000-0000-0000CC7F0000}"/>
    <cellStyle name="Normal 5 7 3 3 3 2" xfId="12394" xr:uid="{00000000-0005-0000-0000-0000CD7F0000}"/>
    <cellStyle name="Normal 5 7 3 3 3 2 2" xfId="35879" xr:uid="{00000000-0005-0000-0000-0000CE7F0000}"/>
    <cellStyle name="Normal 5 7 3 3 3 3" xfId="35878" xr:uid="{00000000-0005-0000-0000-0000CF7F0000}"/>
    <cellStyle name="Normal 5 7 3 3 4" xfId="12395" xr:uid="{00000000-0005-0000-0000-0000D07F0000}"/>
    <cellStyle name="Normal 5 7 3 3 4 2" xfId="35880" xr:uid="{00000000-0005-0000-0000-0000D17F0000}"/>
    <cellStyle name="Normal 5 7 3 3 5" xfId="35873" xr:uid="{00000000-0005-0000-0000-0000D27F0000}"/>
    <cellStyle name="Normal 5 7 3 4" xfId="12396" xr:uid="{00000000-0005-0000-0000-0000D37F0000}"/>
    <cellStyle name="Normal 5 7 3 4 2" xfId="12397" xr:uid="{00000000-0005-0000-0000-0000D47F0000}"/>
    <cellStyle name="Normal 5 7 3 4 2 2" xfId="12398" xr:uid="{00000000-0005-0000-0000-0000D57F0000}"/>
    <cellStyle name="Normal 5 7 3 4 2 2 2" xfId="35883" xr:uid="{00000000-0005-0000-0000-0000D67F0000}"/>
    <cellStyle name="Normal 5 7 3 4 2 3" xfId="35882" xr:uid="{00000000-0005-0000-0000-0000D77F0000}"/>
    <cellStyle name="Normal 5 7 3 4 3" xfId="12399" xr:uid="{00000000-0005-0000-0000-0000D87F0000}"/>
    <cellStyle name="Normal 5 7 3 4 3 2" xfId="35884" xr:uid="{00000000-0005-0000-0000-0000D97F0000}"/>
    <cellStyle name="Normal 5 7 3 4 4" xfId="35881" xr:uid="{00000000-0005-0000-0000-0000DA7F0000}"/>
    <cellStyle name="Normal 5 7 3 5" xfId="12400" xr:uid="{00000000-0005-0000-0000-0000DB7F0000}"/>
    <cellStyle name="Normal 5 7 3 5 2" xfId="12401" xr:uid="{00000000-0005-0000-0000-0000DC7F0000}"/>
    <cellStyle name="Normal 5 7 3 5 2 2" xfId="35886" xr:uid="{00000000-0005-0000-0000-0000DD7F0000}"/>
    <cellStyle name="Normal 5 7 3 5 3" xfId="35885" xr:uid="{00000000-0005-0000-0000-0000DE7F0000}"/>
    <cellStyle name="Normal 5 7 3 6" xfId="12402" xr:uid="{00000000-0005-0000-0000-0000DF7F0000}"/>
    <cellStyle name="Normal 5 7 3 6 2" xfId="35887" xr:uid="{00000000-0005-0000-0000-0000E07F0000}"/>
    <cellStyle name="Normal 5 7 3 7" xfId="35864" xr:uid="{00000000-0005-0000-0000-0000E17F0000}"/>
    <cellStyle name="Normal 5 7 4" xfId="12403" xr:uid="{00000000-0005-0000-0000-0000E27F0000}"/>
    <cellStyle name="Normal 5 7 4 2" xfId="12404" xr:uid="{00000000-0005-0000-0000-0000E37F0000}"/>
    <cellStyle name="Normal 5 7 4 2 2" xfId="12405" xr:uid="{00000000-0005-0000-0000-0000E47F0000}"/>
    <cellStyle name="Normal 5 7 4 2 2 2" xfId="12406" xr:uid="{00000000-0005-0000-0000-0000E57F0000}"/>
    <cellStyle name="Normal 5 7 4 2 2 2 2" xfId="12407" xr:uid="{00000000-0005-0000-0000-0000E67F0000}"/>
    <cellStyle name="Normal 5 7 4 2 2 2 2 2" xfId="35892" xr:uid="{00000000-0005-0000-0000-0000E77F0000}"/>
    <cellStyle name="Normal 5 7 4 2 2 2 3" xfId="35891" xr:uid="{00000000-0005-0000-0000-0000E87F0000}"/>
    <cellStyle name="Normal 5 7 4 2 2 3" xfId="12408" xr:uid="{00000000-0005-0000-0000-0000E97F0000}"/>
    <cellStyle name="Normal 5 7 4 2 2 3 2" xfId="35893" xr:uid="{00000000-0005-0000-0000-0000EA7F0000}"/>
    <cellStyle name="Normal 5 7 4 2 2 4" xfId="35890" xr:uid="{00000000-0005-0000-0000-0000EB7F0000}"/>
    <cellStyle name="Normal 5 7 4 2 3" xfId="12409" xr:uid="{00000000-0005-0000-0000-0000EC7F0000}"/>
    <cellStyle name="Normal 5 7 4 2 3 2" xfId="12410" xr:uid="{00000000-0005-0000-0000-0000ED7F0000}"/>
    <cellStyle name="Normal 5 7 4 2 3 2 2" xfId="35895" xr:uid="{00000000-0005-0000-0000-0000EE7F0000}"/>
    <cellStyle name="Normal 5 7 4 2 3 3" xfId="35894" xr:uid="{00000000-0005-0000-0000-0000EF7F0000}"/>
    <cellStyle name="Normal 5 7 4 2 4" xfId="12411" xr:uid="{00000000-0005-0000-0000-0000F07F0000}"/>
    <cellStyle name="Normal 5 7 4 2 4 2" xfId="35896" xr:uid="{00000000-0005-0000-0000-0000F17F0000}"/>
    <cellStyle name="Normal 5 7 4 2 5" xfId="35889" xr:uid="{00000000-0005-0000-0000-0000F27F0000}"/>
    <cellStyle name="Normal 5 7 4 3" xfId="12412" xr:uid="{00000000-0005-0000-0000-0000F37F0000}"/>
    <cellStyle name="Normal 5 7 4 3 2" xfId="12413" xr:uid="{00000000-0005-0000-0000-0000F47F0000}"/>
    <cellStyle name="Normal 5 7 4 3 2 2" xfId="12414" xr:uid="{00000000-0005-0000-0000-0000F57F0000}"/>
    <cellStyle name="Normal 5 7 4 3 2 2 2" xfId="12415" xr:uid="{00000000-0005-0000-0000-0000F67F0000}"/>
    <cellStyle name="Normal 5 7 4 3 2 2 2 2" xfId="35900" xr:uid="{00000000-0005-0000-0000-0000F77F0000}"/>
    <cellStyle name="Normal 5 7 4 3 2 2 3" xfId="35899" xr:uid="{00000000-0005-0000-0000-0000F87F0000}"/>
    <cellStyle name="Normal 5 7 4 3 2 3" xfId="12416" xr:uid="{00000000-0005-0000-0000-0000F97F0000}"/>
    <cellStyle name="Normal 5 7 4 3 2 3 2" xfId="35901" xr:uid="{00000000-0005-0000-0000-0000FA7F0000}"/>
    <cellStyle name="Normal 5 7 4 3 2 4" xfId="35898" xr:uid="{00000000-0005-0000-0000-0000FB7F0000}"/>
    <cellStyle name="Normal 5 7 4 3 3" xfId="12417" xr:uid="{00000000-0005-0000-0000-0000FC7F0000}"/>
    <cellStyle name="Normal 5 7 4 3 3 2" xfId="12418" xr:uid="{00000000-0005-0000-0000-0000FD7F0000}"/>
    <cellStyle name="Normal 5 7 4 3 3 2 2" xfId="35903" xr:uid="{00000000-0005-0000-0000-0000FE7F0000}"/>
    <cellStyle name="Normal 5 7 4 3 3 3" xfId="35902" xr:uid="{00000000-0005-0000-0000-0000FF7F0000}"/>
    <cellStyle name="Normal 5 7 4 3 4" xfId="12419" xr:uid="{00000000-0005-0000-0000-000000800000}"/>
    <cellStyle name="Normal 5 7 4 3 4 2" xfId="35904" xr:uid="{00000000-0005-0000-0000-000001800000}"/>
    <cellStyle name="Normal 5 7 4 3 5" xfId="35897" xr:uid="{00000000-0005-0000-0000-000002800000}"/>
    <cellStyle name="Normal 5 7 4 4" xfId="12420" xr:uid="{00000000-0005-0000-0000-000003800000}"/>
    <cellStyle name="Normal 5 7 4 4 2" xfId="12421" xr:uid="{00000000-0005-0000-0000-000004800000}"/>
    <cellStyle name="Normal 5 7 4 4 2 2" xfId="12422" xr:uid="{00000000-0005-0000-0000-000005800000}"/>
    <cellStyle name="Normal 5 7 4 4 2 2 2" xfId="35907" xr:uid="{00000000-0005-0000-0000-000006800000}"/>
    <cellStyle name="Normal 5 7 4 4 2 3" xfId="35906" xr:uid="{00000000-0005-0000-0000-000007800000}"/>
    <cellStyle name="Normal 5 7 4 4 3" xfId="12423" xr:uid="{00000000-0005-0000-0000-000008800000}"/>
    <cellStyle name="Normal 5 7 4 4 3 2" xfId="35908" xr:uid="{00000000-0005-0000-0000-000009800000}"/>
    <cellStyle name="Normal 5 7 4 4 4" xfId="35905" xr:uid="{00000000-0005-0000-0000-00000A800000}"/>
    <cellStyle name="Normal 5 7 4 5" xfId="12424" xr:uid="{00000000-0005-0000-0000-00000B800000}"/>
    <cellStyle name="Normal 5 7 4 5 2" xfId="12425" xr:uid="{00000000-0005-0000-0000-00000C800000}"/>
    <cellStyle name="Normal 5 7 4 5 2 2" xfId="35910" xr:uid="{00000000-0005-0000-0000-00000D800000}"/>
    <cellStyle name="Normal 5 7 4 5 3" xfId="35909" xr:uid="{00000000-0005-0000-0000-00000E800000}"/>
    <cellStyle name="Normal 5 7 4 6" xfId="12426" xr:uid="{00000000-0005-0000-0000-00000F800000}"/>
    <cellStyle name="Normal 5 7 4 6 2" xfId="35911" xr:uid="{00000000-0005-0000-0000-000010800000}"/>
    <cellStyle name="Normal 5 7 4 7" xfId="35888" xr:uid="{00000000-0005-0000-0000-000011800000}"/>
    <cellStyle name="Normal 5 7 5" xfId="12427" xr:uid="{00000000-0005-0000-0000-000012800000}"/>
    <cellStyle name="Normal 5 7 5 2" xfId="12428" xr:uid="{00000000-0005-0000-0000-000013800000}"/>
    <cellStyle name="Normal 5 7 5 2 2" xfId="12429" xr:uid="{00000000-0005-0000-0000-000014800000}"/>
    <cellStyle name="Normal 5 7 5 2 2 2" xfId="12430" xr:uid="{00000000-0005-0000-0000-000015800000}"/>
    <cellStyle name="Normal 5 7 5 2 2 2 2" xfId="35915" xr:uid="{00000000-0005-0000-0000-000016800000}"/>
    <cellStyle name="Normal 5 7 5 2 2 3" xfId="35914" xr:uid="{00000000-0005-0000-0000-000017800000}"/>
    <cellStyle name="Normal 5 7 5 2 3" xfId="12431" xr:uid="{00000000-0005-0000-0000-000018800000}"/>
    <cellStyle name="Normal 5 7 5 2 3 2" xfId="35916" xr:uid="{00000000-0005-0000-0000-000019800000}"/>
    <cellStyle name="Normal 5 7 5 2 4" xfId="35913" xr:uid="{00000000-0005-0000-0000-00001A800000}"/>
    <cellStyle name="Normal 5 7 5 3" xfId="12432" xr:uid="{00000000-0005-0000-0000-00001B800000}"/>
    <cellStyle name="Normal 5 7 5 3 2" xfId="12433" xr:uid="{00000000-0005-0000-0000-00001C800000}"/>
    <cellStyle name="Normal 5 7 5 3 2 2" xfId="35918" xr:uid="{00000000-0005-0000-0000-00001D800000}"/>
    <cellStyle name="Normal 5 7 5 3 3" xfId="35917" xr:uid="{00000000-0005-0000-0000-00001E800000}"/>
    <cellStyle name="Normal 5 7 5 4" xfId="12434" xr:uid="{00000000-0005-0000-0000-00001F800000}"/>
    <cellStyle name="Normal 5 7 5 4 2" xfId="35919" xr:uid="{00000000-0005-0000-0000-000020800000}"/>
    <cellStyle name="Normal 5 7 5 5" xfId="35912" xr:uid="{00000000-0005-0000-0000-000021800000}"/>
    <cellStyle name="Normal 5 7 6" xfId="12435" xr:uid="{00000000-0005-0000-0000-000022800000}"/>
    <cellStyle name="Normal 5 7 6 2" xfId="12436" xr:uid="{00000000-0005-0000-0000-000023800000}"/>
    <cellStyle name="Normal 5 7 6 2 2" xfId="12437" xr:uid="{00000000-0005-0000-0000-000024800000}"/>
    <cellStyle name="Normal 5 7 6 2 2 2" xfId="12438" xr:uid="{00000000-0005-0000-0000-000025800000}"/>
    <cellStyle name="Normal 5 7 6 2 2 2 2" xfId="35923" xr:uid="{00000000-0005-0000-0000-000026800000}"/>
    <cellStyle name="Normal 5 7 6 2 2 3" xfId="35922" xr:uid="{00000000-0005-0000-0000-000027800000}"/>
    <cellStyle name="Normal 5 7 6 2 3" xfId="12439" xr:uid="{00000000-0005-0000-0000-000028800000}"/>
    <cellStyle name="Normal 5 7 6 2 3 2" xfId="35924" xr:uid="{00000000-0005-0000-0000-000029800000}"/>
    <cellStyle name="Normal 5 7 6 2 4" xfId="35921" xr:uid="{00000000-0005-0000-0000-00002A800000}"/>
    <cellStyle name="Normal 5 7 6 3" xfId="12440" xr:uid="{00000000-0005-0000-0000-00002B800000}"/>
    <cellStyle name="Normal 5 7 6 3 2" xfId="12441" xr:uid="{00000000-0005-0000-0000-00002C800000}"/>
    <cellStyle name="Normal 5 7 6 3 2 2" xfId="35926" xr:uid="{00000000-0005-0000-0000-00002D800000}"/>
    <cellStyle name="Normal 5 7 6 3 3" xfId="35925" xr:uid="{00000000-0005-0000-0000-00002E800000}"/>
    <cellStyle name="Normal 5 7 6 4" xfId="12442" xr:uid="{00000000-0005-0000-0000-00002F800000}"/>
    <cellStyle name="Normal 5 7 6 4 2" xfId="35927" xr:uid="{00000000-0005-0000-0000-000030800000}"/>
    <cellStyle name="Normal 5 7 6 5" xfId="35920" xr:uid="{00000000-0005-0000-0000-000031800000}"/>
    <cellStyle name="Normal 5 7 7" xfId="12443" xr:uid="{00000000-0005-0000-0000-000032800000}"/>
    <cellStyle name="Normal 5 7 7 2" xfId="12444" xr:uid="{00000000-0005-0000-0000-000033800000}"/>
    <cellStyle name="Normal 5 7 7 2 2" xfId="12445" xr:uid="{00000000-0005-0000-0000-000034800000}"/>
    <cellStyle name="Normal 5 7 7 2 2 2" xfId="35930" xr:uid="{00000000-0005-0000-0000-000035800000}"/>
    <cellStyle name="Normal 5 7 7 2 3" xfId="35929" xr:uid="{00000000-0005-0000-0000-000036800000}"/>
    <cellStyle name="Normal 5 7 7 3" xfId="12446" xr:uid="{00000000-0005-0000-0000-000037800000}"/>
    <cellStyle name="Normal 5 7 7 3 2" xfId="35931" xr:uid="{00000000-0005-0000-0000-000038800000}"/>
    <cellStyle name="Normal 5 7 7 4" xfId="35928" xr:uid="{00000000-0005-0000-0000-000039800000}"/>
    <cellStyle name="Normal 5 7 8" xfId="12447" xr:uid="{00000000-0005-0000-0000-00003A800000}"/>
    <cellStyle name="Normal 5 7 8 2" xfId="12448" xr:uid="{00000000-0005-0000-0000-00003B800000}"/>
    <cellStyle name="Normal 5 7 8 2 2" xfId="35933" xr:uid="{00000000-0005-0000-0000-00003C800000}"/>
    <cellStyle name="Normal 5 7 8 3" xfId="35932" xr:uid="{00000000-0005-0000-0000-00003D800000}"/>
    <cellStyle name="Normal 5 7 9" xfId="12449" xr:uid="{00000000-0005-0000-0000-00003E800000}"/>
    <cellStyle name="Normal 5 7 9 2" xfId="35934" xr:uid="{00000000-0005-0000-0000-00003F800000}"/>
    <cellStyle name="Normal 5 8" xfId="12450" xr:uid="{00000000-0005-0000-0000-000040800000}"/>
    <cellStyle name="Normal 5 8 2" xfId="12451" xr:uid="{00000000-0005-0000-0000-000041800000}"/>
    <cellStyle name="Normal 5 8 2 2" xfId="12452" xr:uid="{00000000-0005-0000-0000-000042800000}"/>
    <cellStyle name="Normal 5 8 2 2 2" xfId="12453" xr:uid="{00000000-0005-0000-0000-000043800000}"/>
    <cellStyle name="Normal 5 8 2 2 2 2" xfId="12454" xr:uid="{00000000-0005-0000-0000-000044800000}"/>
    <cellStyle name="Normal 5 8 2 2 2 2 2" xfId="12455" xr:uid="{00000000-0005-0000-0000-000045800000}"/>
    <cellStyle name="Normal 5 8 2 2 2 2 2 2" xfId="35939" xr:uid="{00000000-0005-0000-0000-000046800000}"/>
    <cellStyle name="Normal 5 8 2 2 2 2 3" xfId="35938" xr:uid="{00000000-0005-0000-0000-000047800000}"/>
    <cellStyle name="Normal 5 8 2 2 2 3" xfId="12456" xr:uid="{00000000-0005-0000-0000-000048800000}"/>
    <cellStyle name="Normal 5 8 2 2 2 3 2" xfId="35940" xr:uid="{00000000-0005-0000-0000-000049800000}"/>
    <cellStyle name="Normal 5 8 2 2 2 4" xfId="35937" xr:uid="{00000000-0005-0000-0000-00004A800000}"/>
    <cellStyle name="Normal 5 8 2 2 3" xfId="12457" xr:uid="{00000000-0005-0000-0000-00004B800000}"/>
    <cellStyle name="Normal 5 8 2 2 3 2" xfId="12458" xr:uid="{00000000-0005-0000-0000-00004C800000}"/>
    <cellStyle name="Normal 5 8 2 2 3 2 2" xfId="35942" xr:uid="{00000000-0005-0000-0000-00004D800000}"/>
    <cellStyle name="Normal 5 8 2 2 3 3" xfId="35941" xr:uid="{00000000-0005-0000-0000-00004E800000}"/>
    <cellStyle name="Normal 5 8 2 2 4" xfId="12459" xr:uid="{00000000-0005-0000-0000-00004F800000}"/>
    <cellStyle name="Normal 5 8 2 2 4 2" xfId="35943" xr:uid="{00000000-0005-0000-0000-000050800000}"/>
    <cellStyle name="Normal 5 8 2 2 5" xfId="35936" xr:uid="{00000000-0005-0000-0000-000051800000}"/>
    <cellStyle name="Normal 5 8 2 3" xfId="12460" xr:uid="{00000000-0005-0000-0000-000052800000}"/>
    <cellStyle name="Normal 5 8 2 3 2" xfId="12461" xr:uid="{00000000-0005-0000-0000-000053800000}"/>
    <cellStyle name="Normal 5 8 2 3 2 2" xfId="12462" xr:uid="{00000000-0005-0000-0000-000054800000}"/>
    <cellStyle name="Normal 5 8 2 3 2 2 2" xfId="12463" xr:uid="{00000000-0005-0000-0000-000055800000}"/>
    <cellStyle name="Normal 5 8 2 3 2 2 2 2" xfId="35947" xr:uid="{00000000-0005-0000-0000-000056800000}"/>
    <cellStyle name="Normal 5 8 2 3 2 2 3" xfId="35946" xr:uid="{00000000-0005-0000-0000-000057800000}"/>
    <cellStyle name="Normal 5 8 2 3 2 3" xfId="12464" xr:uid="{00000000-0005-0000-0000-000058800000}"/>
    <cellStyle name="Normal 5 8 2 3 2 3 2" xfId="35948" xr:uid="{00000000-0005-0000-0000-000059800000}"/>
    <cellStyle name="Normal 5 8 2 3 2 4" xfId="35945" xr:uid="{00000000-0005-0000-0000-00005A800000}"/>
    <cellStyle name="Normal 5 8 2 3 3" xfId="12465" xr:uid="{00000000-0005-0000-0000-00005B800000}"/>
    <cellStyle name="Normal 5 8 2 3 3 2" xfId="12466" xr:uid="{00000000-0005-0000-0000-00005C800000}"/>
    <cellStyle name="Normal 5 8 2 3 3 2 2" xfId="35950" xr:uid="{00000000-0005-0000-0000-00005D800000}"/>
    <cellStyle name="Normal 5 8 2 3 3 3" xfId="35949" xr:uid="{00000000-0005-0000-0000-00005E800000}"/>
    <cellStyle name="Normal 5 8 2 3 4" xfId="12467" xr:uid="{00000000-0005-0000-0000-00005F800000}"/>
    <cellStyle name="Normal 5 8 2 3 4 2" xfId="35951" xr:uid="{00000000-0005-0000-0000-000060800000}"/>
    <cellStyle name="Normal 5 8 2 3 5" xfId="35944" xr:uid="{00000000-0005-0000-0000-000061800000}"/>
    <cellStyle name="Normal 5 8 2 4" xfId="12468" xr:uid="{00000000-0005-0000-0000-000062800000}"/>
    <cellStyle name="Normal 5 8 2 4 2" xfId="12469" xr:uid="{00000000-0005-0000-0000-000063800000}"/>
    <cellStyle name="Normal 5 8 2 4 2 2" xfId="12470" xr:uid="{00000000-0005-0000-0000-000064800000}"/>
    <cellStyle name="Normal 5 8 2 4 2 2 2" xfId="35954" xr:uid="{00000000-0005-0000-0000-000065800000}"/>
    <cellStyle name="Normal 5 8 2 4 2 3" xfId="35953" xr:uid="{00000000-0005-0000-0000-000066800000}"/>
    <cellStyle name="Normal 5 8 2 4 3" xfId="12471" xr:uid="{00000000-0005-0000-0000-000067800000}"/>
    <cellStyle name="Normal 5 8 2 4 3 2" xfId="35955" xr:uid="{00000000-0005-0000-0000-000068800000}"/>
    <cellStyle name="Normal 5 8 2 4 4" xfId="35952" xr:uid="{00000000-0005-0000-0000-000069800000}"/>
    <cellStyle name="Normal 5 8 2 5" xfId="12472" xr:uid="{00000000-0005-0000-0000-00006A800000}"/>
    <cellStyle name="Normal 5 8 2 5 2" xfId="12473" xr:uid="{00000000-0005-0000-0000-00006B800000}"/>
    <cellStyle name="Normal 5 8 2 5 2 2" xfId="35957" xr:uid="{00000000-0005-0000-0000-00006C800000}"/>
    <cellStyle name="Normal 5 8 2 5 3" xfId="35956" xr:uid="{00000000-0005-0000-0000-00006D800000}"/>
    <cellStyle name="Normal 5 8 2 6" xfId="12474" xr:uid="{00000000-0005-0000-0000-00006E800000}"/>
    <cellStyle name="Normal 5 8 2 6 2" xfId="35958" xr:uid="{00000000-0005-0000-0000-00006F800000}"/>
    <cellStyle name="Normal 5 8 2 7" xfId="35935" xr:uid="{00000000-0005-0000-0000-000070800000}"/>
    <cellStyle name="Normal 5 9" xfId="12475" xr:uid="{00000000-0005-0000-0000-000071800000}"/>
    <cellStyle name="Normal 5 9 2" xfId="12476" xr:uid="{00000000-0005-0000-0000-000072800000}"/>
    <cellStyle name="Normal 5 9 2 2" xfId="12477" xr:uid="{00000000-0005-0000-0000-000073800000}"/>
    <cellStyle name="Normal 5 9 2 2 2" xfId="12478" xr:uid="{00000000-0005-0000-0000-000074800000}"/>
    <cellStyle name="Normal 5 9 2 2 2 2" xfId="12479" xr:uid="{00000000-0005-0000-0000-000075800000}"/>
    <cellStyle name="Normal 5 9 2 2 2 2 2" xfId="35963" xr:uid="{00000000-0005-0000-0000-000076800000}"/>
    <cellStyle name="Normal 5 9 2 2 2 3" xfId="35962" xr:uid="{00000000-0005-0000-0000-000077800000}"/>
    <cellStyle name="Normal 5 9 2 2 3" xfId="12480" xr:uid="{00000000-0005-0000-0000-000078800000}"/>
    <cellStyle name="Normal 5 9 2 2 3 2" xfId="35964" xr:uid="{00000000-0005-0000-0000-000079800000}"/>
    <cellStyle name="Normal 5 9 2 2 4" xfId="35961" xr:uid="{00000000-0005-0000-0000-00007A800000}"/>
    <cellStyle name="Normal 5 9 2 3" xfId="12481" xr:uid="{00000000-0005-0000-0000-00007B800000}"/>
    <cellStyle name="Normal 5 9 2 3 2" xfId="12482" xr:uid="{00000000-0005-0000-0000-00007C800000}"/>
    <cellStyle name="Normal 5 9 2 3 2 2" xfId="35966" xr:uid="{00000000-0005-0000-0000-00007D800000}"/>
    <cellStyle name="Normal 5 9 2 3 3" xfId="35965" xr:uid="{00000000-0005-0000-0000-00007E800000}"/>
    <cellStyle name="Normal 5 9 2 4" xfId="12483" xr:uid="{00000000-0005-0000-0000-00007F800000}"/>
    <cellStyle name="Normal 5 9 2 4 2" xfId="35967" xr:uid="{00000000-0005-0000-0000-000080800000}"/>
    <cellStyle name="Normal 5 9 2 5" xfId="35960" xr:uid="{00000000-0005-0000-0000-000081800000}"/>
    <cellStyle name="Normal 5 9 3" xfId="12484" xr:uid="{00000000-0005-0000-0000-000082800000}"/>
    <cellStyle name="Normal 5 9 3 2" xfId="12485" xr:uid="{00000000-0005-0000-0000-000083800000}"/>
    <cellStyle name="Normal 5 9 3 2 2" xfId="12486" xr:uid="{00000000-0005-0000-0000-000084800000}"/>
    <cellStyle name="Normal 5 9 3 2 2 2" xfId="12487" xr:uid="{00000000-0005-0000-0000-000085800000}"/>
    <cellStyle name="Normal 5 9 3 2 2 2 2" xfId="35971" xr:uid="{00000000-0005-0000-0000-000086800000}"/>
    <cellStyle name="Normal 5 9 3 2 2 3" xfId="35970" xr:uid="{00000000-0005-0000-0000-000087800000}"/>
    <cellStyle name="Normal 5 9 3 2 3" xfId="12488" xr:uid="{00000000-0005-0000-0000-000088800000}"/>
    <cellStyle name="Normal 5 9 3 2 3 2" xfId="35972" xr:uid="{00000000-0005-0000-0000-000089800000}"/>
    <cellStyle name="Normal 5 9 3 2 4" xfId="35969" xr:uid="{00000000-0005-0000-0000-00008A800000}"/>
    <cellStyle name="Normal 5 9 3 3" xfId="12489" xr:uid="{00000000-0005-0000-0000-00008B800000}"/>
    <cellStyle name="Normal 5 9 3 3 2" xfId="12490" xr:uid="{00000000-0005-0000-0000-00008C800000}"/>
    <cellStyle name="Normal 5 9 3 3 2 2" xfId="35974" xr:uid="{00000000-0005-0000-0000-00008D800000}"/>
    <cellStyle name="Normal 5 9 3 3 3" xfId="35973" xr:uid="{00000000-0005-0000-0000-00008E800000}"/>
    <cellStyle name="Normal 5 9 3 4" xfId="12491" xr:uid="{00000000-0005-0000-0000-00008F800000}"/>
    <cellStyle name="Normal 5 9 3 4 2" xfId="35975" xr:uid="{00000000-0005-0000-0000-000090800000}"/>
    <cellStyle name="Normal 5 9 3 5" xfId="35968" xr:uid="{00000000-0005-0000-0000-000091800000}"/>
    <cellStyle name="Normal 5 9 4" xfId="12492" xr:uid="{00000000-0005-0000-0000-000092800000}"/>
    <cellStyle name="Normal 5 9 4 2" xfId="12493" xr:uid="{00000000-0005-0000-0000-000093800000}"/>
    <cellStyle name="Normal 5 9 4 2 2" xfId="12494" xr:uid="{00000000-0005-0000-0000-000094800000}"/>
    <cellStyle name="Normal 5 9 4 2 2 2" xfId="35978" xr:uid="{00000000-0005-0000-0000-000095800000}"/>
    <cellStyle name="Normal 5 9 4 2 3" xfId="35977" xr:uid="{00000000-0005-0000-0000-000096800000}"/>
    <cellStyle name="Normal 5 9 4 3" xfId="12495" xr:uid="{00000000-0005-0000-0000-000097800000}"/>
    <cellStyle name="Normal 5 9 4 3 2" xfId="35979" xr:uid="{00000000-0005-0000-0000-000098800000}"/>
    <cellStyle name="Normal 5 9 4 4" xfId="35976" xr:uid="{00000000-0005-0000-0000-000099800000}"/>
    <cellStyle name="Normal 5 9 5" xfId="12496" xr:uid="{00000000-0005-0000-0000-00009A800000}"/>
    <cellStyle name="Normal 5 9 5 2" xfId="12497" xr:uid="{00000000-0005-0000-0000-00009B800000}"/>
    <cellStyle name="Normal 5 9 5 2 2" xfId="35981" xr:uid="{00000000-0005-0000-0000-00009C800000}"/>
    <cellStyle name="Normal 5 9 5 3" xfId="35980" xr:uid="{00000000-0005-0000-0000-00009D800000}"/>
    <cellStyle name="Normal 5 9 6" xfId="12498" xr:uid="{00000000-0005-0000-0000-00009E800000}"/>
    <cellStyle name="Normal 5 9 6 2" xfId="35982" xr:uid="{00000000-0005-0000-0000-00009F800000}"/>
    <cellStyle name="Normal 5 9 7" xfId="35959" xr:uid="{00000000-0005-0000-0000-0000A0800000}"/>
    <cellStyle name="Normal 6" xfId="133" xr:uid="{00000000-0005-0000-0000-0000A1800000}"/>
    <cellStyle name="Normal 6 10" xfId="12499" xr:uid="{00000000-0005-0000-0000-0000A2800000}"/>
    <cellStyle name="Normal 6 10 2" xfId="12500" xr:uid="{00000000-0005-0000-0000-0000A3800000}"/>
    <cellStyle name="Normal 6 10 2 2" xfId="12501" xr:uid="{00000000-0005-0000-0000-0000A4800000}"/>
    <cellStyle name="Normal 6 10 2 2 2" xfId="12502" xr:uid="{00000000-0005-0000-0000-0000A5800000}"/>
    <cellStyle name="Normal 6 10 2 2 2 2" xfId="12503" xr:uid="{00000000-0005-0000-0000-0000A6800000}"/>
    <cellStyle name="Normal 6 10 2 2 2 2 2" xfId="35987" xr:uid="{00000000-0005-0000-0000-0000A7800000}"/>
    <cellStyle name="Normal 6 10 2 2 2 3" xfId="35986" xr:uid="{00000000-0005-0000-0000-0000A8800000}"/>
    <cellStyle name="Normal 6 10 2 2 3" xfId="12504" xr:uid="{00000000-0005-0000-0000-0000A9800000}"/>
    <cellStyle name="Normal 6 10 2 2 3 2" xfId="35988" xr:uid="{00000000-0005-0000-0000-0000AA800000}"/>
    <cellStyle name="Normal 6 10 2 2 4" xfId="35985" xr:uid="{00000000-0005-0000-0000-0000AB800000}"/>
    <cellStyle name="Normal 6 10 2 3" xfId="12505" xr:uid="{00000000-0005-0000-0000-0000AC800000}"/>
    <cellStyle name="Normal 6 10 2 3 2" xfId="12506" xr:uid="{00000000-0005-0000-0000-0000AD800000}"/>
    <cellStyle name="Normal 6 10 2 3 2 2" xfId="35990" xr:uid="{00000000-0005-0000-0000-0000AE800000}"/>
    <cellStyle name="Normal 6 10 2 3 3" xfId="35989" xr:uid="{00000000-0005-0000-0000-0000AF800000}"/>
    <cellStyle name="Normal 6 10 2 4" xfId="12507" xr:uid="{00000000-0005-0000-0000-0000B0800000}"/>
    <cellStyle name="Normal 6 10 2 4 2" xfId="35991" xr:uid="{00000000-0005-0000-0000-0000B1800000}"/>
    <cellStyle name="Normal 6 10 2 5" xfId="35984" xr:uid="{00000000-0005-0000-0000-0000B2800000}"/>
    <cellStyle name="Normal 6 10 3" xfId="12508" xr:uid="{00000000-0005-0000-0000-0000B3800000}"/>
    <cellStyle name="Normal 6 10 3 2" xfId="12509" xr:uid="{00000000-0005-0000-0000-0000B4800000}"/>
    <cellStyle name="Normal 6 10 3 2 2" xfId="12510" xr:uid="{00000000-0005-0000-0000-0000B5800000}"/>
    <cellStyle name="Normal 6 10 3 2 2 2" xfId="12511" xr:uid="{00000000-0005-0000-0000-0000B6800000}"/>
    <cellStyle name="Normal 6 10 3 2 2 2 2" xfId="35995" xr:uid="{00000000-0005-0000-0000-0000B7800000}"/>
    <cellStyle name="Normal 6 10 3 2 2 3" xfId="35994" xr:uid="{00000000-0005-0000-0000-0000B8800000}"/>
    <cellStyle name="Normal 6 10 3 2 3" xfId="12512" xr:uid="{00000000-0005-0000-0000-0000B9800000}"/>
    <cellStyle name="Normal 6 10 3 2 3 2" xfId="35996" xr:uid="{00000000-0005-0000-0000-0000BA800000}"/>
    <cellStyle name="Normal 6 10 3 2 4" xfId="35993" xr:uid="{00000000-0005-0000-0000-0000BB800000}"/>
    <cellStyle name="Normal 6 10 3 3" xfId="12513" xr:uid="{00000000-0005-0000-0000-0000BC800000}"/>
    <cellStyle name="Normal 6 10 3 3 2" xfId="12514" xr:uid="{00000000-0005-0000-0000-0000BD800000}"/>
    <cellStyle name="Normal 6 10 3 3 2 2" xfId="35998" xr:uid="{00000000-0005-0000-0000-0000BE800000}"/>
    <cellStyle name="Normal 6 10 3 3 3" xfId="35997" xr:uid="{00000000-0005-0000-0000-0000BF800000}"/>
    <cellStyle name="Normal 6 10 3 4" xfId="12515" xr:uid="{00000000-0005-0000-0000-0000C0800000}"/>
    <cellStyle name="Normal 6 10 3 4 2" xfId="35999" xr:uid="{00000000-0005-0000-0000-0000C1800000}"/>
    <cellStyle name="Normal 6 10 3 5" xfId="35992" xr:uid="{00000000-0005-0000-0000-0000C2800000}"/>
    <cellStyle name="Normal 6 10 4" xfId="12516" xr:uid="{00000000-0005-0000-0000-0000C3800000}"/>
    <cellStyle name="Normal 6 10 4 2" xfId="12517" xr:uid="{00000000-0005-0000-0000-0000C4800000}"/>
    <cellStyle name="Normal 6 10 4 2 2" xfId="12518" xr:uid="{00000000-0005-0000-0000-0000C5800000}"/>
    <cellStyle name="Normal 6 10 4 2 2 2" xfId="36002" xr:uid="{00000000-0005-0000-0000-0000C6800000}"/>
    <cellStyle name="Normal 6 10 4 2 3" xfId="36001" xr:uid="{00000000-0005-0000-0000-0000C7800000}"/>
    <cellStyle name="Normal 6 10 4 3" xfId="12519" xr:uid="{00000000-0005-0000-0000-0000C8800000}"/>
    <cellStyle name="Normal 6 10 4 3 2" xfId="36003" xr:uid="{00000000-0005-0000-0000-0000C9800000}"/>
    <cellStyle name="Normal 6 10 4 4" xfId="36000" xr:uid="{00000000-0005-0000-0000-0000CA800000}"/>
    <cellStyle name="Normal 6 10 5" xfId="12520" xr:uid="{00000000-0005-0000-0000-0000CB800000}"/>
    <cellStyle name="Normal 6 10 5 2" xfId="12521" xr:uid="{00000000-0005-0000-0000-0000CC800000}"/>
    <cellStyle name="Normal 6 10 5 2 2" xfId="36005" xr:uid="{00000000-0005-0000-0000-0000CD800000}"/>
    <cellStyle name="Normal 6 10 5 3" xfId="36004" xr:uid="{00000000-0005-0000-0000-0000CE800000}"/>
    <cellStyle name="Normal 6 10 6" xfId="12522" xr:uid="{00000000-0005-0000-0000-0000CF800000}"/>
    <cellStyle name="Normal 6 10 6 2" xfId="36006" xr:uid="{00000000-0005-0000-0000-0000D0800000}"/>
    <cellStyle name="Normal 6 10 7" xfId="35983" xr:uid="{00000000-0005-0000-0000-0000D1800000}"/>
    <cellStyle name="Normal 6 11" xfId="12523" xr:uid="{00000000-0005-0000-0000-0000D2800000}"/>
    <cellStyle name="Normal 6 11 2" xfId="12524" xr:uid="{00000000-0005-0000-0000-0000D3800000}"/>
    <cellStyle name="Normal 6 11 2 2" xfId="12525" xr:uid="{00000000-0005-0000-0000-0000D4800000}"/>
    <cellStyle name="Normal 6 11 2 2 2" xfId="12526" xr:uid="{00000000-0005-0000-0000-0000D5800000}"/>
    <cellStyle name="Normal 6 11 2 2 2 2" xfId="12527" xr:uid="{00000000-0005-0000-0000-0000D6800000}"/>
    <cellStyle name="Normal 6 11 2 2 2 2 2" xfId="36011" xr:uid="{00000000-0005-0000-0000-0000D7800000}"/>
    <cellStyle name="Normal 6 11 2 2 2 3" xfId="36010" xr:uid="{00000000-0005-0000-0000-0000D8800000}"/>
    <cellStyle name="Normal 6 11 2 2 3" xfId="12528" xr:uid="{00000000-0005-0000-0000-0000D9800000}"/>
    <cellStyle name="Normal 6 11 2 2 3 2" xfId="36012" xr:uid="{00000000-0005-0000-0000-0000DA800000}"/>
    <cellStyle name="Normal 6 11 2 2 4" xfId="36009" xr:uid="{00000000-0005-0000-0000-0000DB800000}"/>
    <cellStyle name="Normal 6 11 2 3" xfId="12529" xr:uid="{00000000-0005-0000-0000-0000DC800000}"/>
    <cellStyle name="Normal 6 11 2 3 2" xfId="12530" xr:uid="{00000000-0005-0000-0000-0000DD800000}"/>
    <cellStyle name="Normal 6 11 2 3 2 2" xfId="36014" xr:uid="{00000000-0005-0000-0000-0000DE800000}"/>
    <cellStyle name="Normal 6 11 2 3 3" xfId="36013" xr:uid="{00000000-0005-0000-0000-0000DF800000}"/>
    <cellStyle name="Normal 6 11 2 4" xfId="12531" xr:uid="{00000000-0005-0000-0000-0000E0800000}"/>
    <cellStyle name="Normal 6 11 2 4 2" xfId="36015" xr:uid="{00000000-0005-0000-0000-0000E1800000}"/>
    <cellStyle name="Normal 6 11 2 5" xfId="36008" xr:uid="{00000000-0005-0000-0000-0000E2800000}"/>
    <cellStyle name="Normal 6 11 3" xfId="12532" xr:uid="{00000000-0005-0000-0000-0000E3800000}"/>
    <cellStyle name="Normal 6 11 3 2" xfId="12533" xr:uid="{00000000-0005-0000-0000-0000E4800000}"/>
    <cellStyle name="Normal 6 11 3 2 2" xfId="12534" xr:uid="{00000000-0005-0000-0000-0000E5800000}"/>
    <cellStyle name="Normal 6 11 3 2 2 2" xfId="12535" xr:uid="{00000000-0005-0000-0000-0000E6800000}"/>
    <cellStyle name="Normal 6 11 3 2 2 2 2" xfId="36019" xr:uid="{00000000-0005-0000-0000-0000E7800000}"/>
    <cellStyle name="Normal 6 11 3 2 2 3" xfId="36018" xr:uid="{00000000-0005-0000-0000-0000E8800000}"/>
    <cellStyle name="Normal 6 11 3 2 3" xfId="12536" xr:uid="{00000000-0005-0000-0000-0000E9800000}"/>
    <cellStyle name="Normal 6 11 3 2 3 2" xfId="36020" xr:uid="{00000000-0005-0000-0000-0000EA800000}"/>
    <cellStyle name="Normal 6 11 3 2 4" xfId="36017" xr:uid="{00000000-0005-0000-0000-0000EB800000}"/>
    <cellStyle name="Normal 6 11 3 3" xfId="12537" xr:uid="{00000000-0005-0000-0000-0000EC800000}"/>
    <cellStyle name="Normal 6 11 3 3 2" xfId="12538" xr:uid="{00000000-0005-0000-0000-0000ED800000}"/>
    <cellStyle name="Normal 6 11 3 3 2 2" xfId="36022" xr:uid="{00000000-0005-0000-0000-0000EE800000}"/>
    <cellStyle name="Normal 6 11 3 3 3" xfId="36021" xr:uid="{00000000-0005-0000-0000-0000EF800000}"/>
    <cellStyle name="Normal 6 11 3 4" xfId="12539" xr:uid="{00000000-0005-0000-0000-0000F0800000}"/>
    <cellStyle name="Normal 6 11 3 4 2" xfId="36023" xr:uid="{00000000-0005-0000-0000-0000F1800000}"/>
    <cellStyle name="Normal 6 11 3 5" xfId="36016" xr:uid="{00000000-0005-0000-0000-0000F2800000}"/>
    <cellStyle name="Normal 6 11 4" xfId="12540" xr:uid="{00000000-0005-0000-0000-0000F3800000}"/>
    <cellStyle name="Normal 6 11 4 2" xfId="12541" xr:uid="{00000000-0005-0000-0000-0000F4800000}"/>
    <cellStyle name="Normal 6 11 4 2 2" xfId="12542" xr:uid="{00000000-0005-0000-0000-0000F5800000}"/>
    <cellStyle name="Normal 6 11 4 2 2 2" xfId="36026" xr:uid="{00000000-0005-0000-0000-0000F6800000}"/>
    <cellStyle name="Normal 6 11 4 2 3" xfId="36025" xr:uid="{00000000-0005-0000-0000-0000F7800000}"/>
    <cellStyle name="Normal 6 11 4 3" xfId="12543" xr:uid="{00000000-0005-0000-0000-0000F8800000}"/>
    <cellStyle name="Normal 6 11 4 3 2" xfId="36027" xr:uid="{00000000-0005-0000-0000-0000F9800000}"/>
    <cellStyle name="Normal 6 11 4 4" xfId="36024" xr:uid="{00000000-0005-0000-0000-0000FA800000}"/>
    <cellStyle name="Normal 6 11 5" xfId="12544" xr:uid="{00000000-0005-0000-0000-0000FB800000}"/>
    <cellStyle name="Normal 6 11 5 2" xfId="12545" xr:uid="{00000000-0005-0000-0000-0000FC800000}"/>
    <cellStyle name="Normal 6 11 5 2 2" xfId="36029" xr:uid="{00000000-0005-0000-0000-0000FD800000}"/>
    <cellStyle name="Normal 6 11 5 3" xfId="36028" xr:uid="{00000000-0005-0000-0000-0000FE800000}"/>
    <cellStyle name="Normal 6 11 6" xfId="12546" xr:uid="{00000000-0005-0000-0000-0000FF800000}"/>
    <cellStyle name="Normal 6 11 6 2" xfId="36030" xr:uid="{00000000-0005-0000-0000-000000810000}"/>
    <cellStyle name="Normal 6 11 7" xfId="36007" xr:uid="{00000000-0005-0000-0000-000001810000}"/>
    <cellStyle name="Normal 6 12" xfId="12547" xr:uid="{00000000-0005-0000-0000-000002810000}"/>
    <cellStyle name="Normal 6 12 2" xfId="12548" xr:uid="{00000000-0005-0000-0000-000003810000}"/>
    <cellStyle name="Normal 6 12 2 2" xfId="12549" xr:uid="{00000000-0005-0000-0000-000004810000}"/>
    <cellStyle name="Normal 6 12 2 2 2" xfId="12550" xr:uid="{00000000-0005-0000-0000-000005810000}"/>
    <cellStyle name="Normal 6 12 2 2 2 2" xfId="36033" xr:uid="{00000000-0005-0000-0000-000006810000}"/>
    <cellStyle name="Normal 6 12 2 2 3" xfId="36032" xr:uid="{00000000-0005-0000-0000-000007810000}"/>
    <cellStyle name="Normal 6 12 2 3" xfId="12551" xr:uid="{00000000-0005-0000-0000-000008810000}"/>
    <cellStyle name="Normal 6 12 2 3 2" xfId="36034" xr:uid="{00000000-0005-0000-0000-000009810000}"/>
    <cellStyle name="Normal 6 12 2 4" xfId="36031" xr:uid="{00000000-0005-0000-0000-00000A810000}"/>
    <cellStyle name="Normal 6 12 3" xfId="12552" xr:uid="{00000000-0005-0000-0000-00000B810000}"/>
    <cellStyle name="Normal 6 12 3 2" xfId="12553" xr:uid="{00000000-0005-0000-0000-00000C810000}"/>
    <cellStyle name="Normal 6 12 3 2 2" xfId="36036" xr:uid="{00000000-0005-0000-0000-00000D810000}"/>
    <cellStyle name="Normal 6 12 3 3" xfId="36035" xr:uid="{00000000-0005-0000-0000-00000E810000}"/>
    <cellStyle name="Normal 6 13" xfId="12554" xr:uid="{00000000-0005-0000-0000-00000F810000}"/>
    <cellStyle name="Normal 6 13 2" xfId="12555" xr:uid="{00000000-0005-0000-0000-000010810000}"/>
    <cellStyle name="Normal 6 13 2 2" xfId="12556" xr:uid="{00000000-0005-0000-0000-000011810000}"/>
    <cellStyle name="Normal 6 13 2 2 2" xfId="12557" xr:uid="{00000000-0005-0000-0000-000012810000}"/>
    <cellStyle name="Normal 6 13 2 2 2 2" xfId="36040" xr:uid="{00000000-0005-0000-0000-000013810000}"/>
    <cellStyle name="Normal 6 13 2 2 3" xfId="36039" xr:uid="{00000000-0005-0000-0000-000014810000}"/>
    <cellStyle name="Normal 6 13 2 3" xfId="12558" xr:uid="{00000000-0005-0000-0000-000015810000}"/>
    <cellStyle name="Normal 6 13 2 3 2" xfId="36041" xr:uid="{00000000-0005-0000-0000-000016810000}"/>
    <cellStyle name="Normal 6 13 2 4" xfId="36038" xr:uid="{00000000-0005-0000-0000-000017810000}"/>
    <cellStyle name="Normal 6 13 3" xfId="12559" xr:uid="{00000000-0005-0000-0000-000018810000}"/>
    <cellStyle name="Normal 6 13 3 2" xfId="12560" xr:uid="{00000000-0005-0000-0000-000019810000}"/>
    <cellStyle name="Normal 6 13 3 2 2" xfId="36043" xr:uid="{00000000-0005-0000-0000-00001A810000}"/>
    <cellStyle name="Normal 6 13 3 3" xfId="36042" xr:uid="{00000000-0005-0000-0000-00001B810000}"/>
    <cellStyle name="Normal 6 13 4" xfId="12561" xr:uid="{00000000-0005-0000-0000-00001C810000}"/>
    <cellStyle name="Normal 6 13 4 2" xfId="36044" xr:uid="{00000000-0005-0000-0000-00001D810000}"/>
    <cellStyle name="Normal 6 13 5" xfId="36037" xr:uid="{00000000-0005-0000-0000-00001E810000}"/>
    <cellStyle name="Normal 6 14" xfId="12562" xr:uid="{00000000-0005-0000-0000-00001F810000}"/>
    <cellStyle name="Normal 6 14 2" xfId="12563" xr:uid="{00000000-0005-0000-0000-000020810000}"/>
    <cellStyle name="Normal 6 14 2 2" xfId="12564" xr:uid="{00000000-0005-0000-0000-000021810000}"/>
    <cellStyle name="Normal 6 14 2 2 2" xfId="36047" xr:uid="{00000000-0005-0000-0000-000022810000}"/>
    <cellStyle name="Normal 6 14 2 3" xfId="36046" xr:uid="{00000000-0005-0000-0000-000023810000}"/>
    <cellStyle name="Normal 6 14 3" xfId="12565" xr:uid="{00000000-0005-0000-0000-000024810000}"/>
    <cellStyle name="Normal 6 14 3 2" xfId="36048" xr:uid="{00000000-0005-0000-0000-000025810000}"/>
    <cellStyle name="Normal 6 14 4" xfId="36045" xr:uid="{00000000-0005-0000-0000-000026810000}"/>
    <cellStyle name="Normal 6 15" xfId="12566" xr:uid="{00000000-0005-0000-0000-000027810000}"/>
    <cellStyle name="Normal 6 15 2" xfId="12567" xr:uid="{00000000-0005-0000-0000-000028810000}"/>
    <cellStyle name="Normal 6 15 2 2" xfId="36050" xr:uid="{00000000-0005-0000-0000-000029810000}"/>
    <cellStyle name="Normal 6 15 3" xfId="36049" xr:uid="{00000000-0005-0000-0000-00002A810000}"/>
    <cellStyle name="Normal 6 16" xfId="12568" xr:uid="{00000000-0005-0000-0000-00002B810000}"/>
    <cellStyle name="Normal 6 16 2" xfId="36051" xr:uid="{00000000-0005-0000-0000-00002C810000}"/>
    <cellStyle name="Normal 6 2" xfId="134" xr:uid="{00000000-0005-0000-0000-00002D810000}"/>
    <cellStyle name="Normal 6 2 10" xfId="12570" xr:uid="{00000000-0005-0000-0000-00002E810000}"/>
    <cellStyle name="Normal 6 2 10 2" xfId="12571" xr:uid="{00000000-0005-0000-0000-00002F810000}"/>
    <cellStyle name="Normal 6 2 10 2 2" xfId="12572" xr:uid="{00000000-0005-0000-0000-000030810000}"/>
    <cellStyle name="Normal 6 2 10 2 2 2" xfId="12573" xr:uid="{00000000-0005-0000-0000-000031810000}"/>
    <cellStyle name="Normal 6 2 10 2 2 2 2" xfId="36055" xr:uid="{00000000-0005-0000-0000-000032810000}"/>
    <cellStyle name="Normal 6 2 10 2 2 3" xfId="36054" xr:uid="{00000000-0005-0000-0000-000033810000}"/>
    <cellStyle name="Normal 6 2 10 2 3" xfId="12574" xr:uid="{00000000-0005-0000-0000-000034810000}"/>
    <cellStyle name="Normal 6 2 10 2 3 2" xfId="36056" xr:uid="{00000000-0005-0000-0000-000035810000}"/>
    <cellStyle name="Normal 6 2 10 2 4" xfId="36053" xr:uid="{00000000-0005-0000-0000-000036810000}"/>
    <cellStyle name="Normal 6 2 10 3" xfId="12575" xr:uid="{00000000-0005-0000-0000-000037810000}"/>
    <cellStyle name="Normal 6 2 10 3 2" xfId="12576" xr:uid="{00000000-0005-0000-0000-000038810000}"/>
    <cellStyle name="Normal 6 2 10 3 2 2" xfId="36058" xr:uid="{00000000-0005-0000-0000-000039810000}"/>
    <cellStyle name="Normal 6 2 10 3 3" xfId="36057" xr:uid="{00000000-0005-0000-0000-00003A810000}"/>
    <cellStyle name="Normal 6 2 11" xfId="12577" xr:uid="{00000000-0005-0000-0000-00003B810000}"/>
    <cellStyle name="Normal 6 2 11 2" xfId="12578" xr:uid="{00000000-0005-0000-0000-00003C810000}"/>
    <cellStyle name="Normal 6 2 11 2 2" xfId="12579" xr:uid="{00000000-0005-0000-0000-00003D810000}"/>
    <cellStyle name="Normal 6 2 11 2 2 2" xfId="12580" xr:uid="{00000000-0005-0000-0000-00003E810000}"/>
    <cellStyle name="Normal 6 2 11 2 2 2 2" xfId="36062" xr:uid="{00000000-0005-0000-0000-00003F810000}"/>
    <cellStyle name="Normal 6 2 11 2 2 3" xfId="36061" xr:uid="{00000000-0005-0000-0000-000040810000}"/>
    <cellStyle name="Normal 6 2 11 2 3" xfId="12581" xr:uid="{00000000-0005-0000-0000-000041810000}"/>
    <cellStyle name="Normal 6 2 11 2 3 2" xfId="36063" xr:uid="{00000000-0005-0000-0000-000042810000}"/>
    <cellStyle name="Normal 6 2 11 2 4" xfId="36060" xr:uid="{00000000-0005-0000-0000-000043810000}"/>
    <cellStyle name="Normal 6 2 11 3" xfId="12582" xr:uid="{00000000-0005-0000-0000-000044810000}"/>
    <cellStyle name="Normal 6 2 11 3 2" xfId="12583" xr:uid="{00000000-0005-0000-0000-000045810000}"/>
    <cellStyle name="Normal 6 2 11 3 2 2" xfId="36065" xr:uid="{00000000-0005-0000-0000-000046810000}"/>
    <cellStyle name="Normal 6 2 11 3 3" xfId="36064" xr:uid="{00000000-0005-0000-0000-000047810000}"/>
    <cellStyle name="Normal 6 2 11 4" xfId="12584" xr:uid="{00000000-0005-0000-0000-000048810000}"/>
    <cellStyle name="Normal 6 2 11 4 2" xfId="36066" xr:uid="{00000000-0005-0000-0000-000049810000}"/>
    <cellStyle name="Normal 6 2 11 5" xfId="36059" xr:uid="{00000000-0005-0000-0000-00004A810000}"/>
    <cellStyle name="Normal 6 2 12" xfId="12585" xr:uid="{00000000-0005-0000-0000-00004B810000}"/>
    <cellStyle name="Normal 6 2 12 2" xfId="12586" xr:uid="{00000000-0005-0000-0000-00004C810000}"/>
    <cellStyle name="Normal 6 2 12 2 2" xfId="12587" xr:uid="{00000000-0005-0000-0000-00004D810000}"/>
    <cellStyle name="Normal 6 2 12 2 2 2" xfId="36069" xr:uid="{00000000-0005-0000-0000-00004E810000}"/>
    <cellStyle name="Normal 6 2 12 2 3" xfId="36068" xr:uid="{00000000-0005-0000-0000-00004F810000}"/>
    <cellStyle name="Normal 6 2 12 3" xfId="12588" xr:uid="{00000000-0005-0000-0000-000050810000}"/>
    <cellStyle name="Normal 6 2 12 3 2" xfId="36070" xr:uid="{00000000-0005-0000-0000-000051810000}"/>
    <cellStyle name="Normal 6 2 12 4" xfId="36067" xr:uid="{00000000-0005-0000-0000-000052810000}"/>
    <cellStyle name="Normal 6 2 13" xfId="12589" xr:uid="{00000000-0005-0000-0000-000053810000}"/>
    <cellStyle name="Normal 6 2 13 2" xfId="12590" xr:uid="{00000000-0005-0000-0000-000054810000}"/>
    <cellStyle name="Normal 6 2 13 2 2" xfId="36072" xr:uid="{00000000-0005-0000-0000-000055810000}"/>
    <cellStyle name="Normal 6 2 13 3" xfId="36071" xr:uid="{00000000-0005-0000-0000-000056810000}"/>
    <cellStyle name="Normal 6 2 14" xfId="12591" xr:uid="{00000000-0005-0000-0000-000057810000}"/>
    <cellStyle name="Normal 6 2 14 2" xfId="36073" xr:uid="{00000000-0005-0000-0000-000058810000}"/>
    <cellStyle name="Normal 6 2 15" xfId="12569" xr:uid="{00000000-0005-0000-0000-000059810000}"/>
    <cellStyle name="Normal 6 2 15 2" xfId="36052" xr:uid="{00000000-0005-0000-0000-00005A810000}"/>
    <cellStyle name="Normal 6 2 2" xfId="12592" xr:uid="{00000000-0005-0000-0000-00005B810000}"/>
    <cellStyle name="Normal 6 2 2 10" xfId="12593" xr:uid="{00000000-0005-0000-0000-00005C810000}"/>
    <cellStyle name="Normal 6 2 2 10 2" xfId="12594" xr:uid="{00000000-0005-0000-0000-00005D810000}"/>
    <cellStyle name="Normal 6 2 2 10 2 2" xfId="12595" xr:uid="{00000000-0005-0000-0000-00005E810000}"/>
    <cellStyle name="Normal 6 2 2 10 2 2 2" xfId="12596" xr:uid="{00000000-0005-0000-0000-00005F810000}"/>
    <cellStyle name="Normal 6 2 2 10 2 2 2 2" xfId="36078" xr:uid="{00000000-0005-0000-0000-000060810000}"/>
    <cellStyle name="Normal 6 2 2 10 2 2 3" xfId="36077" xr:uid="{00000000-0005-0000-0000-000061810000}"/>
    <cellStyle name="Normal 6 2 2 10 2 3" xfId="12597" xr:uid="{00000000-0005-0000-0000-000062810000}"/>
    <cellStyle name="Normal 6 2 2 10 2 3 2" xfId="36079" xr:uid="{00000000-0005-0000-0000-000063810000}"/>
    <cellStyle name="Normal 6 2 2 10 2 4" xfId="36076" xr:uid="{00000000-0005-0000-0000-000064810000}"/>
    <cellStyle name="Normal 6 2 2 10 3" xfId="12598" xr:uid="{00000000-0005-0000-0000-000065810000}"/>
    <cellStyle name="Normal 6 2 2 10 3 2" xfId="12599" xr:uid="{00000000-0005-0000-0000-000066810000}"/>
    <cellStyle name="Normal 6 2 2 10 3 2 2" xfId="36081" xr:uid="{00000000-0005-0000-0000-000067810000}"/>
    <cellStyle name="Normal 6 2 2 10 3 3" xfId="36080" xr:uid="{00000000-0005-0000-0000-000068810000}"/>
    <cellStyle name="Normal 6 2 2 10 4" xfId="12600" xr:uid="{00000000-0005-0000-0000-000069810000}"/>
    <cellStyle name="Normal 6 2 2 10 4 2" xfId="36082" xr:uid="{00000000-0005-0000-0000-00006A810000}"/>
    <cellStyle name="Normal 6 2 2 10 5" xfId="36075" xr:uid="{00000000-0005-0000-0000-00006B810000}"/>
    <cellStyle name="Normal 6 2 2 11" xfId="12601" xr:uid="{00000000-0005-0000-0000-00006C810000}"/>
    <cellStyle name="Normal 6 2 2 11 2" xfId="12602" xr:uid="{00000000-0005-0000-0000-00006D810000}"/>
    <cellStyle name="Normal 6 2 2 11 2 2" xfId="12603" xr:uid="{00000000-0005-0000-0000-00006E810000}"/>
    <cellStyle name="Normal 6 2 2 11 2 2 2" xfId="36085" xr:uid="{00000000-0005-0000-0000-00006F810000}"/>
    <cellStyle name="Normal 6 2 2 11 2 3" xfId="36084" xr:uid="{00000000-0005-0000-0000-000070810000}"/>
    <cellStyle name="Normal 6 2 2 11 3" xfId="12604" xr:uid="{00000000-0005-0000-0000-000071810000}"/>
    <cellStyle name="Normal 6 2 2 11 3 2" xfId="36086" xr:uid="{00000000-0005-0000-0000-000072810000}"/>
    <cellStyle name="Normal 6 2 2 11 4" xfId="36083" xr:uid="{00000000-0005-0000-0000-000073810000}"/>
    <cellStyle name="Normal 6 2 2 12" xfId="12605" xr:uid="{00000000-0005-0000-0000-000074810000}"/>
    <cellStyle name="Normal 6 2 2 12 2" xfId="12606" xr:uid="{00000000-0005-0000-0000-000075810000}"/>
    <cellStyle name="Normal 6 2 2 12 2 2" xfId="36088" xr:uid="{00000000-0005-0000-0000-000076810000}"/>
    <cellStyle name="Normal 6 2 2 12 3" xfId="36087" xr:uid="{00000000-0005-0000-0000-000077810000}"/>
    <cellStyle name="Normal 6 2 2 13" xfId="12607" xr:uid="{00000000-0005-0000-0000-000078810000}"/>
    <cellStyle name="Normal 6 2 2 13 2" xfId="36089" xr:uid="{00000000-0005-0000-0000-000079810000}"/>
    <cellStyle name="Normal 6 2 2 14" xfId="36074" xr:uid="{00000000-0005-0000-0000-00007A810000}"/>
    <cellStyle name="Normal 6 2 2 2" xfId="12608" xr:uid="{00000000-0005-0000-0000-00007B810000}"/>
    <cellStyle name="Normal 6 2 2 2 10" xfId="12609" xr:uid="{00000000-0005-0000-0000-00007C810000}"/>
    <cellStyle name="Normal 6 2 2 2 10 2" xfId="36091" xr:uid="{00000000-0005-0000-0000-00007D810000}"/>
    <cellStyle name="Normal 6 2 2 2 11" xfId="36090" xr:uid="{00000000-0005-0000-0000-00007E810000}"/>
    <cellStyle name="Normal 6 2 2 2 2" xfId="12610" xr:uid="{00000000-0005-0000-0000-00007F810000}"/>
    <cellStyle name="Normal 6 2 2 2 2 2" xfId="12611" xr:uid="{00000000-0005-0000-0000-000080810000}"/>
    <cellStyle name="Normal 6 2 2 2 2 2 2" xfId="12612" xr:uid="{00000000-0005-0000-0000-000081810000}"/>
    <cellStyle name="Normal 6 2 2 2 2 2 2 2" xfId="12613" xr:uid="{00000000-0005-0000-0000-000082810000}"/>
    <cellStyle name="Normal 6 2 2 2 2 2 2 2 2" xfId="12614" xr:uid="{00000000-0005-0000-0000-000083810000}"/>
    <cellStyle name="Normal 6 2 2 2 2 2 2 2 2 2" xfId="36096" xr:uid="{00000000-0005-0000-0000-000084810000}"/>
    <cellStyle name="Normal 6 2 2 2 2 2 2 2 3" xfId="36095" xr:uid="{00000000-0005-0000-0000-000085810000}"/>
    <cellStyle name="Normal 6 2 2 2 2 2 2 3" xfId="12615" xr:uid="{00000000-0005-0000-0000-000086810000}"/>
    <cellStyle name="Normal 6 2 2 2 2 2 2 3 2" xfId="36097" xr:uid="{00000000-0005-0000-0000-000087810000}"/>
    <cellStyle name="Normal 6 2 2 2 2 2 2 4" xfId="36094" xr:uid="{00000000-0005-0000-0000-000088810000}"/>
    <cellStyle name="Normal 6 2 2 2 2 2 3" xfId="12616" xr:uid="{00000000-0005-0000-0000-000089810000}"/>
    <cellStyle name="Normal 6 2 2 2 2 2 3 2" xfId="12617" xr:uid="{00000000-0005-0000-0000-00008A810000}"/>
    <cellStyle name="Normal 6 2 2 2 2 2 3 2 2" xfId="36099" xr:uid="{00000000-0005-0000-0000-00008B810000}"/>
    <cellStyle name="Normal 6 2 2 2 2 2 3 3" xfId="36098" xr:uid="{00000000-0005-0000-0000-00008C810000}"/>
    <cellStyle name="Normal 6 2 2 2 2 2 4" xfId="12618" xr:uid="{00000000-0005-0000-0000-00008D810000}"/>
    <cellStyle name="Normal 6 2 2 2 2 2 4 2" xfId="36100" xr:uid="{00000000-0005-0000-0000-00008E810000}"/>
    <cellStyle name="Normal 6 2 2 2 2 2 5" xfId="36093" xr:uid="{00000000-0005-0000-0000-00008F810000}"/>
    <cellStyle name="Normal 6 2 2 2 2 3" xfId="12619" xr:uid="{00000000-0005-0000-0000-000090810000}"/>
    <cellStyle name="Normal 6 2 2 2 2 3 2" xfId="12620" xr:uid="{00000000-0005-0000-0000-000091810000}"/>
    <cellStyle name="Normal 6 2 2 2 2 3 2 2" xfId="12621" xr:uid="{00000000-0005-0000-0000-000092810000}"/>
    <cellStyle name="Normal 6 2 2 2 2 3 2 2 2" xfId="12622" xr:uid="{00000000-0005-0000-0000-000093810000}"/>
    <cellStyle name="Normal 6 2 2 2 2 3 2 2 2 2" xfId="36104" xr:uid="{00000000-0005-0000-0000-000094810000}"/>
    <cellStyle name="Normal 6 2 2 2 2 3 2 2 3" xfId="36103" xr:uid="{00000000-0005-0000-0000-000095810000}"/>
    <cellStyle name="Normal 6 2 2 2 2 3 2 3" xfId="12623" xr:uid="{00000000-0005-0000-0000-000096810000}"/>
    <cellStyle name="Normal 6 2 2 2 2 3 2 3 2" xfId="36105" xr:uid="{00000000-0005-0000-0000-000097810000}"/>
    <cellStyle name="Normal 6 2 2 2 2 3 2 4" xfId="36102" xr:uid="{00000000-0005-0000-0000-000098810000}"/>
    <cellStyle name="Normal 6 2 2 2 2 3 3" xfId="12624" xr:uid="{00000000-0005-0000-0000-000099810000}"/>
    <cellStyle name="Normal 6 2 2 2 2 3 3 2" xfId="12625" xr:uid="{00000000-0005-0000-0000-00009A810000}"/>
    <cellStyle name="Normal 6 2 2 2 2 3 3 2 2" xfId="36107" xr:uid="{00000000-0005-0000-0000-00009B810000}"/>
    <cellStyle name="Normal 6 2 2 2 2 3 3 3" xfId="36106" xr:uid="{00000000-0005-0000-0000-00009C810000}"/>
    <cellStyle name="Normal 6 2 2 2 2 3 4" xfId="12626" xr:uid="{00000000-0005-0000-0000-00009D810000}"/>
    <cellStyle name="Normal 6 2 2 2 2 3 4 2" xfId="36108" xr:uid="{00000000-0005-0000-0000-00009E810000}"/>
    <cellStyle name="Normal 6 2 2 2 2 3 5" xfId="36101" xr:uid="{00000000-0005-0000-0000-00009F810000}"/>
    <cellStyle name="Normal 6 2 2 2 2 4" xfId="12627" xr:uid="{00000000-0005-0000-0000-0000A0810000}"/>
    <cellStyle name="Normal 6 2 2 2 2 4 2" xfId="12628" xr:uid="{00000000-0005-0000-0000-0000A1810000}"/>
    <cellStyle name="Normal 6 2 2 2 2 4 2 2" xfId="12629" xr:uid="{00000000-0005-0000-0000-0000A2810000}"/>
    <cellStyle name="Normal 6 2 2 2 2 4 2 2 2" xfId="36111" xr:uid="{00000000-0005-0000-0000-0000A3810000}"/>
    <cellStyle name="Normal 6 2 2 2 2 4 2 3" xfId="36110" xr:uid="{00000000-0005-0000-0000-0000A4810000}"/>
    <cellStyle name="Normal 6 2 2 2 2 4 3" xfId="12630" xr:uid="{00000000-0005-0000-0000-0000A5810000}"/>
    <cellStyle name="Normal 6 2 2 2 2 4 3 2" xfId="36112" xr:uid="{00000000-0005-0000-0000-0000A6810000}"/>
    <cellStyle name="Normal 6 2 2 2 2 4 4" xfId="36109" xr:uid="{00000000-0005-0000-0000-0000A7810000}"/>
    <cellStyle name="Normal 6 2 2 2 2 5" xfId="12631" xr:uid="{00000000-0005-0000-0000-0000A8810000}"/>
    <cellStyle name="Normal 6 2 2 2 2 5 2" xfId="12632" xr:uid="{00000000-0005-0000-0000-0000A9810000}"/>
    <cellStyle name="Normal 6 2 2 2 2 5 2 2" xfId="36114" xr:uid="{00000000-0005-0000-0000-0000AA810000}"/>
    <cellStyle name="Normal 6 2 2 2 2 5 3" xfId="36113" xr:uid="{00000000-0005-0000-0000-0000AB810000}"/>
    <cellStyle name="Normal 6 2 2 2 2 6" xfId="12633" xr:uid="{00000000-0005-0000-0000-0000AC810000}"/>
    <cellStyle name="Normal 6 2 2 2 2 6 2" xfId="36115" xr:uid="{00000000-0005-0000-0000-0000AD810000}"/>
    <cellStyle name="Normal 6 2 2 2 2 7" xfId="36092" xr:uid="{00000000-0005-0000-0000-0000AE810000}"/>
    <cellStyle name="Normal 6 2 2 2 3" xfId="12634" xr:uid="{00000000-0005-0000-0000-0000AF810000}"/>
    <cellStyle name="Normal 6 2 2 2 3 2" xfId="12635" xr:uid="{00000000-0005-0000-0000-0000B0810000}"/>
    <cellStyle name="Normal 6 2 2 2 3 2 2" xfId="12636" xr:uid="{00000000-0005-0000-0000-0000B1810000}"/>
    <cellStyle name="Normal 6 2 2 2 3 2 2 2" xfId="12637" xr:uid="{00000000-0005-0000-0000-0000B2810000}"/>
    <cellStyle name="Normal 6 2 2 2 3 2 2 2 2" xfId="12638" xr:uid="{00000000-0005-0000-0000-0000B3810000}"/>
    <cellStyle name="Normal 6 2 2 2 3 2 2 2 2 2" xfId="36120" xr:uid="{00000000-0005-0000-0000-0000B4810000}"/>
    <cellStyle name="Normal 6 2 2 2 3 2 2 2 3" xfId="36119" xr:uid="{00000000-0005-0000-0000-0000B5810000}"/>
    <cellStyle name="Normal 6 2 2 2 3 2 2 3" xfId="12639" xr:uid="{00000000-0005-0000-0000-0000B6810000}"/>
    <cellStyle name="Normal 6 2 2 2 3 2 2 3 2" xfId="36121" xr:uid="{00000000-0005-0000-0000-0000B7810000}"/>
    <cellStyle name="Normal 6 2 2 2 3 2 2 4" xfId="36118" xr:uid="{00000000-0005-0000-0000-0000B8810000}"/>
    <cellStyle name="Normal 6 2 2 2 3 2 3" xfId="12640" xr:uid="{00000000-0005-0000-0000-0000B9810000}"/>
    <cellStyle name="Normal 6 2 2 2 3 2 3 2" xfId="12641" xr:uid="{00000000-0005-0000-0000-0000BA810000}"/>
    <cellStyle name="Normal 6 2 2 2 3 2 3 2 2" xfId="36123" xr:uid="{00000000-0005-0000-0000-0000BB810000}"/>
    <cellStyle name="Normal 6 2 2 2 3 2 3 3" xfId="36122" xr:uid="{00000000-0005-0000-0000-0000BC810000}"/>
    <cellStyle name="Normal 6 2 2 2 3 2 4" xfId="12642" xr:uid="{00000000-0005-0000-0000-0000BD810000}"/>
    <cellStyle name="Normal 6 2 2 2 3 2 4 2" xfId="36124" xr:uid="{00000000-0005-0000-0000-0000BE810000}"/>
    <cellStyle name="Normal 6 2 2 2 3 2 5" xfId="36117" xr:uid="{00000000-0005-0000-0000-0000BF810000}"/>
    <cellStyle name="Normal 6 2 2 2 3 3" xfId="12643" xr:uid="{00000000-0005-0000-0000-0000C0810000}"/>
    <cellStyle name="Normal 6 2 2 2 3 3 2" xfId="12644" xr:uid="{00000000-0005-0000-0000-0000C1810000}"/>
    <cellStyle name="Normal 6 2 2 2 3 3 2 2" xfId="12645" xr:uid="{00000000-0005-0000-0000-0000C2810000}"/>
    <cellStyle name="Normal 6 2 2 2 3 3 2 2 2" xfId="12646" xr:uid="{00000000-0005-0000-0000-0000C3810000}"/>
    <cellStyle name="Normal 6 2 2 2 3 3 2 2 2 2" xfId="36128" xr:uid="{00000000-0005-0000-0000-0000C4810000}"/>
    <cellStyle name="Normal 6 2 2 2 3 3 2 2 3" xfId="36127" xr:uid="{00000000-0005-0000-0000-0000C5810000}"/>
    <cellStyle name="Normal 6 2 2 2 3 3 2 3" xfId="12647" xr:uid="{00000000-0005-0000-0000-0000C6810000}"/>
    <cellStyle name="Normal 6 2 2 2 3 3 2 3 2" xfId="36129" xr:uid="{00000000-0005-0000-0000-0000C7810000}"/>
    <cellStyle name="Normal 6 2 2 2 3 3 2 4" xfId="36126" xr:uid="{00000000-0005-0000-0000-0000C8810000}"/>
    <cellStyle name="Normal 6 2 2 2 3 3 3" xfId="12648" xr:uid="{00000000-0005-0000-0000-0000C9810000}"/>
    <cellStyle name="Normal 6 2 2 2 3 3 3 2" xfId="12649" xr:uid="{00000000-0005-0000-0000-0000CA810000}"/>
    <cellStyle name="Normal 6 2 2 2 3 3 3 2 2" xfId="36131" xr:uid="{00000000-0005-0000-0000-0000CB810000}"/>
    <cellStyle name="Normal 6 2 2 2 3 3 3 3" xfId="36130" xr:uid="{00000000-0005-0000-0000-0000CC810000}"/>
    <cellStyle name="Normal 6 2 2 2 3 3 4" xfId="12650" xr:uid="{00000000-0005-0000-0000-0000CD810000}"/>
    <cellStyle name="Normal 6 2 2 2 3 3 4 2" xfId="36132" xr:uid="{00000000-0005-0000-0000-0000CE810000}"/>
    <cellStyle name="Normal 6 2 2 2 3 3 5" xfId="36125" xr:uid="{00000000-0005-0000-0000-0000CF810000}"/>
    <cellStyle name="Normal 6 2 2 2 3 4" xfId="12651" xr:uid="{00000000-0005-0000-0000-0000D0810000}"/>
    <cellStyle name="Normal 6 2 2 2 3 4 2" xfId="12652" xr:uid="{00000000-0005-0000-0000-0000D1810000}"/>
    <cellStyle name="Normal 6 2 2 2 3 4 2 2" xfId="12653" xr:uid="{00000000-0005-0000-0000-0000D2810000}"/>
    <cellStyle name="Normal 6 2 2 2 3 4 2 2 2" xfId="36135" xr:uid="{00000000-0005-0000-0000-0000D3810000}"/>
    <cellStyle name="Normal 6 2 2 2 3 4 2 3" xfId="36134" xr:uid="{00000000-0005-0000-0000-0000D4810000}"/>
    <cellStyle name="Normal 6 2 2 2 3 4 3" xfId="12654" xr:uid="{00000000-0005-0000-0000-0000D5810000}"/>
    <cellStyle name="Normal 6 2 2 2 3 4 3 2" xfId="36136" xr:uid="{00000000-0005-0000-0000-0000D6810000}"/>
    <cellStyle name="Normal 6 2 2 2 3 4 4" xfId="36133" xr:uid="{00000000-0005-0000-0000-0000D7810000}"/>
    <cellStyle name="Normal 6 2 2 2 3 5" xfId="12655" xr:uid="{00000000-0005-0000-0000-0000D8810000}"/>
    <cellStyle name="Normal 6 2 2 2 3 5 2" xfId="12656" xr:uid="{00000000-0005-0000-0000-0000D9810000}"/>
    <cellStyle name="Normal 6 2 2 2 3 5 2 2" xfId="36138" xr:uid="{00000000-0005-0000-0000-0000DA810000}"/>
    <cellStyle name="Normal 6 2 2 2 3 5 3" xfId="36137" xr:uid="{00000000-0005-0000-0000-0000DB810000}"/>
    <cellStyle name="Normal 6 2 2 2 3 6" xfId="12657" xr:uid="{00000000-0005-0000-0000-0000DC810000}"/>
    <cellStyle name="Normal 6 2 2 2 3 6 2" xfId="36139" xr:uid="{00000000-0005-0000-0000-0000DD810000}"/>
    <cellStyle name="Normal 6 2 2 2 3 7" xfId="36116" xr:uid="{00000000-0005-0000-0000-0000DE810000}"/>
    <cellStyle name="Normal 6 2 2 2 4" xfId="12658" xr:uid="{00000000-0005-0000-0000-0000DF810000}"/>
    <cellStyle name="Normal 6 2 2 2 4 2" xfId="12659" xr:uid="{00000000-0005-0000-0000-0000E0810000}"/>
    <cellStyle name="Normal 6 2 2 2 4 2 2" xfId="12660" xr:uid="{00000000-0005-0000-0000-0000E1810000}"/>
    <cellStyle name="Normal 6 2 2 2 4 2 2 2" xfId="12661" xr:uid="{00000000-0005-0000-0000-0000E2810000}"/>
    <cellStyle name="Normal 6 2 2 2 4 2 2 2 2" xfId="12662" xr:uid="{00000000-0005-0000-0000-0000E3810000}"/>
    <cellStyle name="Normal 6 2 2 2 4 2 2 2 2 2" xfId="36144" xr:uid="{00000000-0005-0000-0000-0000E4810000}"/>
    <cellStyle name="Normal 6 2 2 2 4 2 2 2 3" xfId="36143" xr:uid="{00000000-0005-0000-0000-0000E5810000}"/>
    <cellStyle name="Normal 6 2 2 2 4 2 2 3" xfId="12663" xr:uid="{00000000-0005-0000-0000-0000E6810000}"/>
    <cellStyle name="Normal 6 2 2 2 4 2 2 3 2" xfId="36145" xr:uid="{00000000-0005-0000-0000-0000E7810000}"/>
    <cellStyle name="Normal 6 2 2 2 4 2 2 4" xfId="36142" xr:uid="{00000000-0005-0000-0000-0000E8810000}"/>
    <cellStyle name="Normal 6 2 2 2 4 2 3" xfId="12664" xr:uid="{00000000-0005-0000-0000-0000E9810000}"/>
    <cellStyle name="Normal 6 2 2 2 4 2 3 2" xfId="12665" xr:uid="{00000000-0005-0000-0000-0000EA810000}"/>
    <cellStyle name="Normal 6 2 2 2 4 2 3 2 2" xfId="36147" xr:uid="{00000000-0005-0000-0000-0000EB810000}"/>
    <cellStyle name="Normal 6 2 2 2 4 2 3 3" xfId="36146" xr:uid="{00000000-0005-0000-0000-0000EC810000}"/>
    <cellStyle name="Normal 6 2 2 2 4 2 4" xfId="12666" xr:uid="{00000000-0005-0000-0000-0000ED810000}"/>
    <cellStyle name="Normal 6 2 2 2 4 2 4 2" xfId="36148" xr:uid="{00000000-0005-0000-0000-0000EE810000}"/>
    <cellStyle name="Normal 6 2 2 2 4 2 5" xfId="36141" xr:uid="{00000000-0005-0000-0000-0000EF810000}"/>
    <cellStyle name="Normal 6 2 2 2 4 3" xfId="12667" xr:uid="{00000000-0005-0000-0000-0000F0810000}"/>
    <cellStyle name="Normal 6 2 2 2 4 3 2" xfId="12668" xr:uid="{00000000-0005-0000-0000-0000F1810000}"/>
    <cellStyle name="Normal 6 2 2 2 4 3 2 2" xfId="12669" xr:uid="{00000000-0005-0000-0000-0000F2810000}"/>
    <cellStyle name="Normal 6 2 2 2 4 3 2 2 2" xfId="12670" xr:uid="{00000000-0005-0000-0000-0000F3810000}"/>
    <cellStyle name="Normal 6 2 2 2 4 3 2 2 2 2" xfId="36152" xr:uid="{00000000-0005-0000-0000-0000F4810000}"/>
    <cellStyle name="Normal 6 2 2 2 4 3 2 2 3" xfId="36151" xr:uid="{00000000-0005-0000-0000-0000F5810000}"/>
    <cellStyle name="Normal 6 2 2 2 4 3 2 3" xfId="12671" xr:uid="{00000000-0005-0000-0000-0000F6810000}"/>
    <cellStyle name="Normal 6 2 2 2 4 3 2 3 2" xfId="36153" xr:uid="{00000000-0005-0000-0000-0000F7810000}"/>
    <cellStyle name="Normal 6 2 2 2 4 3 2 4" xfId="36150" xr:uid="{00000000-0005-0000-0000-0000F8810000}"/>
    <cellStyle name="Normal 6 2 2 2 4 3 3" xfId="12672" xr:uid="{00000000-0005-0000-0000-0000F9810000}"/>
    <cellStyle name="Normal 6 2 2 2 4 3 3 2" xfId="12673" xr:uid="{00000000-0005-0000-0000-0000FA810000}"/>
    <cellStyle name="Normal 6 2 2 2 4 3 3 2 2" xfId="36155" xr:uid="{00000000-0005-0000-0000-0000FB810000}"/>
    <cellStyle name="Normal 6 2 2 2 4 3 3 3" xfId="36154" xr:uid="{00000000-0005-0000-0000-0000FC810000}"/>
    <cellStyle name="Normal 6 2 2 2 4 3 4" xfId="12674" xr:uid="{00000000-0005-0000-0000-0000FD810000}"/>
    <cellStyle name="Normal 6 2 2 2 4 3 4 2" xfId="36156" xr:uid="{00000000-0005-0000-0000-0000FE810000}"/>
    <cellStyle name="Normal 6 2 2 2 4 3 5" xfId="36149" xr:uid="{00000000-0005-0000-0000-0000FF810000}"/>
    <cellStyle name="Normal 6 2 2 2 4 4" xfId="12675" xr:uid="{00000000-0005-0000-0000-000000820000}"/>
    <cellStyle name="Normal 6 2 2 2 4 4 2" xfId="12676" xr:uid="{00000000-0005-0000-0000-000001820000}"/>
    <cellStyle name="Normal 6 2 2 2 4 4 2 2" xfId="12677" xr:uid="{00000000-0005-0000-0000-000002820000}"/>
    <cellStyle name="Normal 6 2 2 2 4 4 2 2 2" xfId="36159" xr:uid="{00000000-0005-0000-0000-000003820000}"/>
    <cellStyle name="Normal 6 2 2 2 4 4 2 3" xfId="36158" xr:uid="{00000000-0005-0000-0000-000004820000}"/>
    <cellStyle name="Normal 6 2 2 2 4 4 3" xfId="12678" xr:uid="{00000000-0005-0000-0000-000005820000}"/>
    <cellStyle name="Normal 6 2 2 2 4 4 3 2" xfId="36160" xr:uid="{00000000-0005-0000-0000-000006820000}"/>
    <cellStyle name="Normal 6 2 2 2 4 4 4" xfId="36157" xr:uid="{00000000-0005-0000-0000-000007820000}"/>
    <cellStyle name="Normal 6 2 2 2 4 5" xfId="12679" xr:uid="{00000000-0005-0000-0000-000008820000}"/>
    <cellStyle name="Normal 6 2 2 2 4 5 2" xfId="12680" xr:uid="{00000000-0005-0000-0000-000009820000}"/>
    <cellStyle name="Normal 6 2 2 2 4 5 2 2" xfId="36162" xr:uid="{00000000-0005-0000-0000-00000A820000}"/>
    <cellStyle name="Normal 6 2 2 2 4 5 3" xfId="36161" xr:uid="{00000000-0005-0000-0000-00000B820000}"/>
    <cellStyle name="Normal 6 2 2 2 4 6" xfId="12681" xr:uid="{00000000-0005-0000-0000-00000C820000}"/>
    <cellStyle name="Normal 6 2 2 2 4 6 2" xfId="36163" xr:uid="{00000000-0005-0000-0000-00000D820000}"/>
    <cellStyle name="Normal 6 2 2 2 4 7" xfId="36140" xr:uid="{00000000-0005-0000-0000-00000E820000}"/>
    <cellStyle name="Normal 6 2 2 2 5" xfId="12682" xr:uid="{00000000-0005-0000-0000-00000F820000}"/>
    <cellStyle name="Normal 6 2 2 2 5 2" xfId="12683" xr:uid="{00000000-0005-0000-0000-000010820000}"/>
    <cellStyle name="Normal 6 2 2 2 5 2 2" xfId="12684" xr:uid="{00000000-0005-0000-0000-000011820000}"/>
    <cellStyle name="Normal 6 2 2 2 5 2 2 2" xfId="12685" xr:uid="{00000000-0005-0000-0000-000012820000}"/>
    <cellStyle name="Normal 6 2 2 2 5 2 2 2 2" xfId="12686" xr:uid="{00000000-0005-0000-0000-000013820000}"/>
    <cellStyle name="Normal 6 2 2 2 5 2 2 2 2 2" xfId="36168" xr:uid="{00000000-0005-0000-0000-000014820000}"/>
    <cellStyle name="Normal 6 2 2 2 5 2 2 2 3" xfId="36167" xr:uid="{00000000-0005-0000-0000-000015820000}"/>
    <cellStyle name="Normal 6 2 2 2 5 2 2 3" xfId="12687" xr:uid="{00000000-0005-0000-0000-000016820000}"/>
    <cellStyle name="Normal 6 2 2 2 5 2 2 3 2" xfId="36169" xr:uid="{00000000-0005-0000-0000-000017820000}"/>
    <cellStyle name="Normal 6 2 2 2 5 2 2 4" xfId="36166" xr:uid="{00000000-0005-0000-0000-000018820000}"/>
    <cellStyle name="Normal 6 2 2 2 5 2 3" xfId="12688" xr:uid="{00000000-0005-0000-0000-000019820000}"/>
    <cellStyle name="Normal 6 2 2 2 5 2 3 2" xfId="12689" xr:uid="{00000000-0005-0000-0000-00001A820000}"/>
    <cellStyle name="Normal 6 2 2 2 5 2 3 2 2" xfId="36171" xr:uid="{00000000-0005-0000-0000-00001B820000}"/>
    <cellStyle name="Normal 6 2 2 2 5 2 3 3" xfId="36170" xr:uid="{00000000-0005-0000-0000-00001C820000}"/>
    <cellStyle name="Normal 6 2 2 2 5 2 4" xfId="12690" xr:uid="{00000000-0005-0000-0000-00001D820000}"/>
    <cellStyle name="Normal 6 2 2 2 5 2 4 2" xfId="36172" xr:uid="{00000000-0005-0000-0000-00001E820000}"/>
    <cellStyle name="Normal 6 2 2 2 5 2 5" xfId="36165" xr:uid="{00000000-0005-0000-0000-00001F820000}"/>
    <cellStyle name="Normal 6 2 2 2 5 3" xfId="12691" xr:uid="{00000000-0005-0000-0000-000020820000}"/>
    <cellStyle name="Normal 6 2 2 2 5 3 2" xfId="12692" xr:uid="{00000000-0005-0000-0000-000021820000}"/>
    <cellStyle name="Normal 6 2 2 2 5 3 2 2" xfId="12693" xr:uid="{00000000-0005-0000-0000-000022820000}"/>
    <cellStyle name="Normal 6 2 2 2 5 3 2 2 2" xfId="12694" xr:uid="{00000000-0005-0000-0000-000023820000}"/>
    <cellStyle name="Normal 6 2 2 2 5 3 2 2 2 2" xfId="36176" xr:uid="{00000000-0005-0000-0000-000024820000}"/>
    <cellStyle name="Normal 6 2 2 2 5 3 2 2 3" xfId="36175" xr:uid="{00000000-0005-0000-0000-000025820000}"/>
    <cellStyle name="Normal 6 2 2 2 5 3 2 3" xfId="12695" xr:uid="{00000000-0005-0000-0000-000026820000}"/>
    <cellStyle name="Normal 6 2 2 2 5 3 2 3 2" xfId="36177" xr:uid="{00000000-0005-0000-0000-000027820000}"/>
    <cellStyle name="Normal 6 2 2 2 5 3 2 4" xfId="36174" xr:uid="{00000000-0005-0000-0000-000028820000}"/>
    <cellStyle name="Normal 6 2 2 2 5 3 3" xfId="12696" xr:uid="{00000000-0005-0000-0000-000029820000}"/>
    <cellStyle name="Normal 6 2 2 2 5 3 3 2" xfId="12697" xr:uid="{00000000-0005-0000-0000-00002A820000}"/>
    <cellStyle name="Normal 6 2 2 2 5 3 3 2 2" xfId="36179" xr:uid="{00000000-0005-0000-0000-00002B820000}"/>
    <cellStyle name="Normal 6 2 2 2 5 3 3 3" xfId="36178" xr:uid="{00000000-0005-0000-0000-00002C820000}"/>
    <cellStyle name="Normal 6 2 2 2 5 3 4" xfId="12698" xr:uid="{00000000-0005-0000-0000-00002D820000}"/>
    <cellStyle name="Normal 6 2 2 2 5 3 4 2" xfId="36180" xr:uid="{00000000-0005-0000-0000-00002E820000}"/>
    <cellStyle name="Normal 6 2 2 2 5 3 5" xfId="36173" xr:uid="{00000000-0005-0000-0000-00002F820000}"/>
    <cellStyle name="Normal 6 2 2 2 5 4" xfId="12699" xr:uid="{00000000-0005-0000-0000-000030820000}"/>
    <cellStyle name="Normal 6 2 2 2 5 4 2" xfId="12700" xr:uid="{00000000-0005-0000-0000-000031820000}"/>
    <cellStyle name="Normal 6 2 2 2 5 4 2 2" xfId="12701" xr:uid="{00000000-0005-0000-0000-000032820000}"/>
    <cellStyle name="Normal 6 2 2 2 5 4 2 2 2" xfId="36183" xr:uid="{00000000-0005-0000-0000-000033820000}"/>
    <cellStyle name="Normal 6 2 2 2 5 4 2 3" xfId="36182" xr:uid="{00000000-0005-0000-0000-000034820000}"/>
    <cellStyle name="Normal 6 2 2 2 5 4 3" xfId="12702" xr:uid="{00000000-0005-0000-0000-000035820000}"/>
    <cellStyle name="Normal 6 2 2 2 5 4 3 2" xfId="36184" xr:uid="{00000000-0005-0000-0000-000036820000}"/>
    <cellStyle name="Normal 6 2 2 2 5 4 4" xfId="36181" xr:uid="{00000000-0005-0000-0000-000037820000}"/>
    <cellStyle name="Normal 6 2 2 2 5 5" xfId="12703" xr:uid="{00000000-0005-0000-0000-000038820000}"/>
    <cellStyle name="Normal 6 2 2 2 5 5 2" xfId="12704" xr:uid="{00000000-0005-0000-0000-000039820000}"/>
    <cellStyle name="Normal 6 2 2 2 5 5 2 2" xfId="36186" xr:uid="{00000000-0005-0000-0000-00003A820000}"/>
    <cellStyle name="Normal 6 2 2 2 5 5 3" xfId="36185" xr:uid="{00000000-0005-0000-0000-00003B820000}"/>
    <cellStyle name="Normal 6 2 2 2 5 6" xfId="12705" xr:uid="{00000000-0005-0000-0000-00003C820000}"/>
    <cellStyle name="Normal 6 2 2 2 5 6 2" xfId="36187" xr:uid="{00000000-0005-0000-0000-00003D820000}"/>
    <cellStyle name="Normal 6 2 2 2 5 7" xfId="36164" xr:uid="{00000000-0005-0000-0000-00003E820000}"/>
    <cellStyle name="Normal 6 2 2 2 6" xfId="12706" xr:uid="{00000000-0005-0000-0000-00003F820000}"/>
    <cellStyle name="Normal 6 2 2 2 6 2" xfId="12707" xr:uid="{00000000-0005-0000-0000-000040820000}"/>
    <cellStyle name="Normal 6 2 2 2 6 2 2" xfId="12708" xr:uid="{00000000-0005-0000-0000-000041820000}"/>
    <cellStyle name="Normal 6 2 2 2 6 2 2 2" xfId="12709" xr:uid="{00000000-0005-0000-0000-000042820000}"/>
    <cellStyle name="Normal 6 2 2 2 6 2 2 2 2" xfId="36191" xr:uid="{00000000-0005-0000-0000-000043820000}"/>
    <cellStyle name="Normal 6 2 2 2 6 2 2 3" xfId="36190" xr:uid="{00000000-0005-0000-0000-000044820000}"/>
    <cellStyle name="Normal 6 2 2 2 6 2 3" xfId="12710" xr:uid="{00000000-0005-0000-0000-000045820000}"/>
    <cellStyle name="Normal 6 2 2 2 6 2 3 2" xfId="36192" xr:uid="{00000000-0005-0000-0000-000046820000}"/>
    <cellStyle name="Normal 6 2 2 2 6 2 4" xfId="36189" xr:uid="{00000000-0005-0000-0000-000047820000}"/>
    <cellStyle name="Normal 6 2 2 2 6 3" xfId="12711" xr:uid="{00000000-0005-0000-0000-000048820000}"/>
    <cellStyle name="Normal 6 2 2 2 6 3 2" xfId="12712" xr:uid="{00000000-0005-0000-0000-000049820000}"/>
    <cellStyle name="Normal 6 2 2 2 6 3 2 2" xfId="36194" xr:uid="{00000000-0005-0000-0000-00004A820000}"/>
    <cellStyle name="Normal 6 2 2 2 6 3 3" xfId="36193" xr:uid="{00000000-0005-0000-0000-00004B820000}"/>
    <cellStyle name="Normal 6 2 2 2 6 4" xfId="12713" xr:uid="{00000000-0005-0000-0000-00004C820000}"/>
    <cellStyle name="Normal 6 2 2 2 6 4 2" xfId="36195" xr:uid="{00000000-0005-0000-0000-00004D820000}"/>
    <cellStyle name="Normal 6 2 2 2 6 5" xfId="36188" xr:uid="{00000000-0005-0000-0000-00004E820000}"/>
    <cellStyle name="Normal 6 2 2 2 7" xfId="12714" xr:uid="{00000000-0005-0000-0000-00004F820000}"/>
    <cellStyle name="Normal 6 2 2 2 7 2" xfId="12715" xr:uid="{00000000-0005-0000-0000-000050820000}"/>
    <cellStyle name="Normal 6 2 2 2 7 2 2" xfId="12716" xr:uid="{00000000-0005-0000-0000-000051820000}"/>
    <cellStyle name="Normal 6 2 2 2 7 2 2 2" xfId="12717" xr:uid="{00000000-0005-0000-0000-000052820000}"/>
    <cellStyle name="Normal 6 2 2 2 7 2 2 2 2" xfId="36199" xr:uid="{00000000-0005-0000-0000-000053820000}"/>
    <cellStyle name="Normal 6 2 2 2 7 2 2 3" xfId="36198" xr:uid="{00000000-0005-0000-0000-000054820000}"/>
    <cellStyle name="Normal 6 2 2 2 7 2 3" xfId="12718" xr:uid="{00000000-0005-0000-0000-000055820000}"/>
    <cellStyle name="Normal 6 2 2 2 7 2 3 2" xfId="36200" xr:uid="{00000000-0005-0000-0000-000056820000}"/>
    <cellStyle name="Normal 6 2 2 2 7 2 4" xfId="36197" xr:uid="{00000000-0005-0000-0000-000057820000}"/>
    <cellStyle name="Normal 6 2 2 2 7 3" xfId="12719" xr:uid="{00000000-0005-0000-0000-000058820000}"/>
    <cellStyle name="Normal 6 2 2 2 7 3 2" xfId="12720" xr:uid="{00000000-0005-0000-0000-000059820000}"/>
    <cellStyle name="Normal 6 2 2 2 7 3 2 2" xfId="36202" xr:uid="{00000000-0005-0000-0000-00005A820000}"/>
    <cellStyle name="Normal 6 2 2 2 7 3 3" xfId="36201" xr:uid="{00000000-0005-0000-0000-00005B820000}"/>
    <cellStyle name="Normal 6 2 2 2 7 4" xfId="12721" xr:uid="{00000000-0005-0000-0000-00005C820000}"/>
    <cellStyle name="Normal 6 2 2 2 7 4 2" xfId="36203" xr:uid="{00000000-0005-0000-0000-00005D820000}"/>
    <cellStyle name="Normal 6 2 2 2 7 5" xfId="36196" xr:uid="{00000000-0005-0000-0000-00005E820000}"/>
    <cellStyle name="Normal 6 2 2 2 8" xfId="12722" xr:uid="{00000000-0005-0000-0000-00005F820000}"/>
    <cellStyle name="Normal 6 2 2 2 8 2" xfId="12723" xr:uid="{00000000-0005-0000-0000-000060820000}"/>
    <cellStyle name="Normal 6 2 2 2 8 2 2" xfId="12724" xr:uid="{00000000-0005-0000-0000-000061820000}"/>
    <cellStyle name="Normal 6 2 2 2 8 2 2 2" xfId="36206" xr:uid="{00000000-0005-0000-0000-000062820000}"/>
    <cellStyle name="Normal 6 2 2 2 8 2 3" xfId="36205" xr:uid="{00000000-0005-0000-0000-000063820000}"/>
    <cellStyle name="Normal 6 2 2 2 8 3" xfId="12725" xr:uid="{00000000-0005-0000-0000-000064820000}"/>
    <cellStyle name="Normal 6 2 2 2 8 3 2" xfId="36207" xr:uid="{00000000-0005-0000-0000-000065820000}"/>
    <cellStyle name="Normal 6 2 2 2 8 4" xfId="36204" xr:uid="{00000000-0005-0000-0000-000066820000}"/>
    <cellStyle name="Normal 6 2 2 2 9" xfId="12726" xr:uid="{00000000-0005-0000-0000-000067820000}"/>
    <cellStyle name="Normal 6 2 2 2 9 2" xfId="12727" xr:uid="{00000000-0005-0000-0000-000068820000}"/>
    <cellStyle name="Normal 6 2 2 2 9 2 2" xfId="36209" xr:uid="{00000000-0005-0000-0000-000069820000}"/>
    <cellStyle name="Normal 6 2 2 2 9 3" xfId="36208" xr:uid="{00000000-0005-0000-0000-00006A820000}"/>
    <cellStyle name="Normal 6 2 2 3" xfId="12728" xr:uid="{00000000-0005-0000-0000-00006B820000}"/>
    <cellStyle name="Normal 6 2 2 3 10" xfId="36210" xr:uid="{00000000-0005-0000-0000-00006C820000}"/>
    <cellStyle name="Normal 6 2 2 3 2" xfId="12729" xr:uid="{00000000-0005-0000-0000-00006D820000}"/>
    <cellStyle name="Normal 6 2 2 3 2 2" xfId="12730" xr:uid="{00000000-0005-0000-0000-00006E820000}"/>
    <cellStyle name="Normal 6 2 2 3 2 2 2" xfId="12731" xr:uid="{00000000-0005-0000-0000-00006F820000}"/>
    <cellStyle name="Normal 6 2 2 3 2 2 2 2" xfId="12732" xr:uid="{00000000-0005-0000-0000-000070820000}"/>
    <cellStyle name="Normal 6 2 2 3 2 2 2 2 2" xfId="12733" xr:uid="{00000000-0005-0000-0000-000071820000}"/>
    <cellStyle name="Normal 6 2 2 3 2 2 2 2 2 2" xfId="36215" xr:uid="{00000000-0005-0000-0000-000072820000}"/>
    <cellStyle name="Normal 6 2 2 3 2 2 2 2 3" xfId="36214" xr:uid="{00000000-0005-0000-0000-000073820000}"/>
    <cellStyle name="Normal 6 2 2 3 2 2 2 3" xfId="12734" xr:uid="{00000000-0005-0000-0000-000074820000}"/>
    <cellStyle name="Normal 6 2 2 3 2 2 2 3 2" xfId="36216" xr:uid="{00000000-0005-0000-0000-000075820000}"/>
    <cellStyle name="Normal 6 2 2 3 2 2 2 4" xfId="36213" xr:uid="{00000000-0005-0000-0000-000076820000}"/>
    <cellStyle name="Normal 6 2 2 3 2 2 3" xfId="12735" xr:uid="{00000000-0005-0000-0000-000077820000}"/>
    <cellStyle name="Normal 6 2 2 3 2 2 3 2" xfId="12736" xr:uid="{00000000-0005-0000-0000-000078820000}"/>
    <cellStyle name="Normal 6 2 2 3 2 2 3 2 2" xfId="36218" xr:uid="{00000000-0005-0000-0000-000079820000}"/>
    <cellStyle name="Normal 6 2 2 3 2 2 3 3" xfId="36217" xr:uid="{00000000-0005-0000-0000-00007A820000}"/>
    <cellStyle name="Normal 6 2 2 3 2 2 4" xfId="12737" xr:uid="{00000000-0005-0000-0000-00007B820000}"/>
    <cellStyle name="Normal 6 2 2 3 2 2 4 2" xfId="36219" xr:uid="{00000000-0005-0000-0000-00007C820000}"/>
    <cellStyle name="Normal 6 2 2 3 2 2 5" xfId="36212" xr:uid="{00000000-0005-0000-0000-00007D820000}"/>
    <cellStyle name="Normal 6 2 2 3 2 3" xfId="12738" xr:uid="{00000000-0005-0000-0000-00007E820000}"/>
    <cellStyle name="Normal 6 2 2 3 2 3 2" xfId="12739" xr:uid="{00000000-0005-0000-0000-00007F820000}"/>
    <cellStyle name="Normal 6 2 2 3 2 3 2 2" xfId="12740" xr:uid="{00000000-0005-0000-0000-000080820000}"/>
    <cellStyle name="Normal 6 2 2 3 2 3 2 2 2" xfId="12741" xr:uid="{00000000-0005-0000-0000-000081820000}"/>
    <cellStyle name="Normal 6 2 2 3 2 3 2 2 2 2" xfId="36223" xr:uid="{00000000-0005-0000-0000-000082820000}"/>
    <cellStyle name="Normal 6 2 2 3 2 3 2 2 3" xfId="36222" xr:uid="{00000000-0005-0000-0000-000083820000}"/>
    <cellStyle name="Normal 6 2 2 3 2 3 2 3" xfId="12742" xr:uid="{00000000-0005-0000-0000-000084820000}"/>
    <cellStyle name="Normal 6 2 2 3 2 3 2 3 2" xfId="36224" xr:uid="{00000000-0005-0000-0000-000085820000}"/>
    <cellStyle name="Normal 6 2 2 3 2 3 2 4" xfId="36221" xr:uid="{00000000-0005-0000-0000-000086820000}"/>
    <cellStyle name="Normal 6 2 2 3 2 3 3" xfId="12743" xr:uid="{00000000-0005-0000-0000-000087820000}"/>
    <cellStyle name="Normal 6 2 2 3 2 3 3 2" xfId="12744" xr:uid="{00000000-0005-0000-0000-000088820000}"/>
    <cellStyle name="Normal 6 2 2 3 2 3 3 2 2" xfId="36226" xr:uid="{00000000-0005-0000-0000-000089820000}"/>
    <cellStyle name="Normal 6 2 2 3 2 3 3 3" xfId="36225" xr:uid="{00000000-0005-0000-0000-00008A820000}"/>
    <cellStyle name="Normal 6 2 2 3 2 3 4" xfId="12745" xr:uid="{00000000-0005-0000-0000-00008B820000}"/>
    <cellStyle name="Normal 6 2 2 3 2 3 4 2" xfId="36227" xr:uid="{00000000-0005-0000-0000-00008C820000}"/>
    <cellStyle name="Normal 6 2 2 3 2 3 5" xfId="36220" xr:uid="{00000000-0005-0000-0000-00008D820000}"/>
    <cellStyle name="Normal 6 2 2 3 2 4" xfId="12746" xr:uid="{00000000-0005-0000-0000-00008E820000}"/>
    <cellStyle name="Normal 6 2 2 3 2 4 2" xfId="12747" xr:uid="{00000000-0005-0000-0000-00008F820000}"/>
    <cellStyle name="Normal 6 2 2 3 2 4 2 2" xfId="12748" xr:uid="{00000000-0005-0000-0000-000090820000}"/>
    <cellStyle name="Normal 6 2 2 3 2 4 2 2 2" xfId="36230" xr:uid="{00000000-0005-0000-0000-000091820000}"/>
    <cellStyle name="Normal 6 2 2 3 2 4 2 3" xfId="36229" xr:uid="{00000000-0005-0000-0000-000092820000}"/>
    <cellStyle name="Normal 6 2 2 3 2 4 3" xfId="12749" xr:uid="{00000000-0005-0000-0000-000093820000}"/>
    <cellStyle name="Normal 6 2 2 3 2 4 3 2" xfId="36231" xr:uid="{00000000-0005-0000-0000-000094820000}"/>
    <cellStyle name="Normal 6 2 2 3 2 4 4" xfId="36228" xr:uid="{00000000-0005-0000-0000-000095820000}"/>
    <cellStyle name="Normal 6 2 2 3 2 5" xfId="12750" xr:uid="{00000000-0005-0000-0000-000096820000}"/>
    <cellStyle name="Normal 6 2 2 3 2 5 2" xfId="12751" xr:uid="{00000000-0005-0000-0000-000097820000}"/>
    <cellStyle name="Normal 6 2 2 3 2 5 2 2" xfId="36233" xr:uid="{00000000-0005-0000-0000-000098820000}"/>
    <cellStyle name="Normal 6 2 2 3 2 5 3" xfId="36232" xr:uid="{00000000-0005-0000-0000-000099820000}"/>
    <cellStyle name="Normal 6 2 2 3 2 6" xfId="12752" xr:uid="{00000000-0005-0000-0000-00009A820000}"/>
    <cellStyle name="Normal 6 2 2 3 2 6 2" xfId="36234" xr:uid="{00000000-0005-0000-0000-00009B820000}"/>
    <cellStyle name="Normal 6 2 2 3 2 7" xfId="36211" xr:uid="{00000000-0005-0000-0000-00009C820000}"/>
    <cellStyle name="Normal 6 2 2 3 3" xfId="12753" xr:uid="{00000000-0005-0000-0000-00009D820000}"/>
    <cellStyle name="Normal 6 2 2 3 3 2" xfId="12754" xr:uid="{00000000-0005-0000-0000-00009E820000}"/>
    <cellStyle name="Normal 6 2 2 3 3 2 2" xfId="12755" xr:uid="{00000000-0005-0000-0000-00009F820000}"/>
    <cellStyle name="Normal 6 2 2 3 3 2 2 2" xfId="12756" xr:uid="{00000000-0005-0000-0000-0000A0820000}"/>
    <cellStyle name="Normal 6 2 2 3 3 2 2 2 2" xfId="12757" xr:uid="{00000000-0005-0000-0000-0000A1820000}"/>
    <cellStyle name="Normal 6 2 2 3 3 2 2 2 2 2" xfId="36239" xr:uid="{00000000-0005-0000-0000-0000A2820000}"/>
    <cellStyle name="Normal 6 2 2 3 3 2 2 2 3" xfId="36238" xr:uid="{00000000-0005-0000-0000-0000A3820000}"/>
    <cellStyle name="Normal 6 2 2 3 3 2 2 3" xfId="12758" xr:uid="{00000000-0005-0000-0000-0000A4820000}"/>
    <cellStyle name="Normal 6 2 2 3 3 2 2 3 2" xfId="36240" xr:uid="{00000000-0005-0000-0000-0000A5820000}"/>
    <cellStyle name="Normal 6 2 2 3 3 2 2 4" xfId="36237" xr:uid="{00000000-0005-0000-0000-0000A6820000}"/>
    <cellStyle name="Normal 6 2 2 3 3 2 3" xfId="12759" xr:uid="{00000000-0005-0000-0000-0000A7820000}"/>
    <cellStyle name="Normal 6 2 2 3 3 2 3 2" xfId="12760" xr:uid="{00000000-0005-0000-0000-0000A8820000}"/>
    <cellStyle name="Normal 6 2 2 3 3 2 3 2 2" xfId="36242" xr:uid="{00000000-0005-0000-0000-0000A9820000}"/>
    <cellStyle name="Normal 6 2 2 3 3 2 3 3" xfId="36241" xr:uid="{00000000-0005-0000-0000-0000AA820000}"/>
    <cellStyle name="Normal 6 2 2 3 3 2 4" xfId="12761" xr:uid="{00000000-0005-0000-0000-0000AB820000}"/>
    <cellStyle name="Normal 6 2 2 3 3 2 4 2" xfId="36243" xr:uid="{00000000-0005-0000-0000-0000AC820000}"/>
    <cellStyle name="Normal 6 2 2 3 3 2 5" xfId="36236" xr:uid="{00000000-0005-0000-0000-0000AD820000}"/>
    <cellStyle name="Normal 6 2 2 3 3 3" xfId="12762" xr:uid="{00000000-0005-0000-0000-0000AE820000}"/>
    <cellStyle name="Normal 6 2 2 3 3 3 2" xfId="12763" xr:uid="{00000000-0005-0000-0000-0000AF820000}"/>
    <cellStyle name="Normal 6 2 2 3 3 3 2 2" xfId="12764" xr:uid="{00000000-0005-0000-0000-0000B0820000}"/>
    <cellStyle name="Normal 6 2 2 3 3 3 2 2 2" xfId="12765" xr:uid="{00000000-0005-0000-0000-0000B1820000}"/>
    <cellStyle name="Normal 6 2 2 3 3 3 2 2 2 2" xfId="36247" xr:uid="{00000000-0005-0000-0000-0000B2820000}"/>
    <cellStyle name="Normal 6 2 2 3 3 3 2 2 3" xfId="36246" xr:uid="{00000000-0005-0000-0000-0000B3820000}"/>
    <cellStyle name="Normal 6 2 2 3 3 3 2 3" xfId="12766" xr:uid="{00000000-0005-0000-0000-0000B4820000}"/>
    <cellStyle name="Normal 6 2 2 3 3 3 2 3 2" xfId="36248" xr:uid="{00000000-0005-0000-0000-0000B5820000}"/>
    <cellStyle name="Normal 6 2 2 3 3 3 2 4" xfId="36245" xr:uid="{00000000-0005-0000-0000-0000B6820000}"/>
    <cellStyle name="Normal 6 2 2 3 3 3 3" xfId="12767" xr:uid="{00000000-0005-0000-0000-0000B7820000}"/>
    <cellStyle name="Normal 6 2 2 3 3 3 3 2" xfId="12768" xr:uid="{00000000-0005-0000-0000-0000B8820000}"/>
    <cellStyle name="Normal 6 2 2 3 3 3 3 2 2" xfId="36250" xr:uid="{00000000-0005-0000-0000-0000B9820000}"/>
    <cellStyle name="Normal 6 2 2 3 3 3 3 3" xfId="36249" xr:uid="{00000000-0005-0000-0000-0000BA820000}"/>
    <cellStyle name="Normal 6 2 2 3 3 3 4" xfId="12769" xr:uid="{00000000-0005-0000-0000-0000BB820000}"/>
    <cellStyle name="Normal 6 2 2 3 3 3 4 2" xfId="36251" xr:uid="{00000000-0005-0000-0000-0000BC820000}"/>
    <cellStyle name="Normal 6 2 2 3 3 3 5" xfId="36244" xr:uid="{00000000-0005-0000-0000-0000BD820000}"/>
    <cellStyle name="Normal 6 2 2 3 3 4" xfId="12770" xr:uid="{00000000-0005-0000-0000-0000BE820000}"/>
    <cellStyle name="Normal 6 2 2 3 3 4 2" xfId="12771" xr:uid="{00000000-0005-0000-0000-0000BF820000}"/>
    <cellStyle name="Normal 6 2 2 3 3 4 2 2" xfId="12772" xr:uid="{00000000-0005-0000-0000-0000C0820000}"/>
    <cellStyle name="Normal 6 2 2 3 3 4 2 2 2" xfId="36254" xr:uid="{00000000-0005-0000-0000-0000C1820000}"/>
    <cellStyle name="Normal 6 2 2 3 3 4 2 3" xfId="36253" xr:uid="{00000000-0005-0000-0000-0000C2820000}"/>
    <cellStyle name="Normal 6 2 2 3 3 4 3" xfId="12773" xr:uid="{00000000-0005-0000-0000-0000C3820000}"/>
    <cellStyle name="Normal 6 2 2 3 3 4 3 2" xfId="36255" xr:uid="{00000000-0005-0000-0000-0000C4820000}"/>
    <cellStyle name="Normal 6 2 2 3 3 4 4" xfId="36252" xr:uid="{00000000-0005-0000-0000-0000C5820000}"/>
    <cellStyle name="Normal 6 2 2 3 3 5" xfId="12774" xr:uid="{00000000-0005-0000-0000-0000C6820000}"/>
    <cellStyle name="Normal 6 2 2 3 3 5 2" xfId="12775" xr:uid="{00000000-0005-0000-0000-0000C7820000}"/>
    <cellStyle name="Normal 6 2 2 3 3 5 2 2" xfId="36257" xr:uid="{00000000-0005-0000-0000-0000C8820000}"/>
    <cellStyle name="Normal 6 2 2 3 3 5 3" xfId="36256" xr:uid="{00000000-0005-0000-0000-0000C9820000}"/>
    <cellStyle name="Normal 6 2 2 3 3 6" xfId="12776" xr:uid="{00000000-0005-0000-0000-0000CA820000}"/>
    <cellStyle name="Normal 6 2 2 3 3 6 2" xfId="36258" xr:uid="{00000000-0005-0000-0000-0000CB820000}"/>
    <cellStyle name="Normal 6 2 2 3 3 7" xfId="36235" xr:uid="{00000000-0005-0000-0000-0000CC820000}"/>
    <cellStyle name="Normal 6 2 2 3 4" xfId="12777" xr:uid="{00000000-0005-0000-0000-0000CD820000}"/>
    <cellStyle name="Normal 6 2 2 3 4 2" xfId="12778" xr:uid="{00000000-0005-0000-0000-0000CE820000}"/>
    <cellStyle name="Normal 6 2 2 3 4 2 2" xfId="12779" xr:uid="{00000000-0005-0000-0000-0000CF820000}"/>
    <cellStyle name="Normal 6 2 2 3 4 2 2 2" xfId="12780" xr:uid="{00000000-0005-0000-0000-0000D0820000}"/>
    <cellStyle name="Normal 6 2 2 3 4 2 2 2 2" xfId="12781" xr:uid="{00000000-0005-0000-0000-0000D1820000}"/>
    <cellStyle name="Normal 6 2 2 3 4 2 2 2 2 2" xfId="36263" xr:uid="{00000000-0005-0000-0000-0000D2820000}"/>
    <cellStyle name="Normal 6 2 2 3 4 2 2 2 3" xfId="36262" xr:uid="{00000000-0005-0000-0000-0000D3820000}"/>
    <cellStyle name="Normal 6 2 2 3 4 2 2 3" xfId="12782" xr:uid="{00000000-0005-0000-0000-0000D4820000}"/>
    <cellStyle name="Normal 6 2 2 3 4 2 2 3 2" xfId="36264" xr:uid="{00000000-0005-0000-0000-0000D5820000}"/>
    <cellStyle name="Normal 6 2 2 3 4 2 2 4" xfId="36261" xr:uid="{00000000-0005-0000-0000-0000D6820000}"/>
    <cellStyle name="Normal 6 2 2 3 4 2 3" xfId="12783" xr:uid="{00000000-0005-0000-0000-0000D7820000}"/>
    <cellStyle name="Normal 6 2 2 3 4 2 3 2" xfId="12784" xr:uid="{00000000-0005-0000-0000-0000D8820000}"/>
    <cellStyle name="Normal 6 2 2 3 4 2 3 2 2" xfId="36266" xr:uid="{00000000-0005-0000-0000-0000D9820000}"/>
    <cellStyle name="Normal 6 2 2 3 4 2 3 3" xfId="36265" xr:uid="{00000000-0005-0000-0000-0000DA820000}"/>
    <cellStyle name="Normal 6 2 2 3 4 2 4" xfId="12785" xr:uid="{00000000-0005-0000-0000-0000DB820000}"/>
    <cellStyle name="Normal 6 2 2 3 4 2 4 2" xfId="36267" xr:uid="{00000000-0005-0000-0000-0000DC820000}"/>
    <cellStyle name="Normal 6 2 2 3 4 2 5" xfId="36260" xr:uid="{00000000-0005-0000-0000-0000DD820000}"/>
    <cellStyle name="Normal 6 2 2 3 4 3" xfId="12786" xr:uid="{00000000-0005-0000-0000-0000DE820000}"/>
    <cellStyle name="Normal 6 2 2 3 4 3 2" xfId="12787" xr:uid="{00000000-0005-0000-0000-0000DF820000}"/>
    <cellStyle name="Normal 6 2 2 3 4 3 2 2" xfId="12788" xr:uid="{00000000-0005-0000-0000-0000E0820000}"/>
    <cellStyle name="Normal 6 2 2 3 4 3 2 2 2" xfId="12789" xr:uid="{00000000-0005-0000-0000-0000E1820000}"/>
    <cellStyle name="Normal 6 2 2 3 4 3 2 2 2 2" xfId="36271" xr:uid="{00000000-0005-0000-0000-0000E2820000}"/>
    <cellStyle name="Normal 6 2 2 3 4 3 2 2 3" xfId="36270" xr:uid="{00000000-0005-0000-0000-0000E3820000}"/>
    <cellStyle name="Normal 6 2 2 3 4 3 2 3" xfId="12790" xr:uid="{00000000-0005-0000-0000-0000E4820000}"/>
    <cellStyle name="Normal 6 2 2 3 4 3 2 3 2" xfId="36272" xr:uid="{00000000-0005-0000-0000-0000E5820000}"/>
    <cellStyle name="Normal 6 2 2 3 4 3 2 4" xfId="36269" xr:uid="{00000000-0005-0000-0000-0000E6820000}"/>
    <cellStyle name="Normal 6 2 2 3 4 3 3" xfId="12791" xr:uid="{00000000-0005-0000-0000-0000E7820000}"/>
    <cellStyle name="Normal 6 2 2 3 4 3 3 2" xfId="12792" xr:uid="{00000000-0005-0000-0000-0000E8820000}"/>
    <cellStyle name="Normal 6 2 2 3 4 3 3 2 2" xfId="36274" xr:uid="{00000000-0005-0000-0000-0000E9820000}"/>
    <cellStyle name="Normal 6 2 2 3 4 3 3 3" xfId="36273" xr:uid="{00000000-0005-0000-0000-0000EA820000}"/>
    <cellStyle name="Normal 6 2 2 3 4 3 4" xfId="12793" xr:uid="{00000000-0005-0000-0000-0000EB820000}"/>
    <cellStyle name="Normal 6 2 2 3 4 3 4 2" xfId="36275" xr:uid="{00000000-0005-0000-0000-0000EC820000}"/>
    <cellStyle name="Normal 6 2 2 3 4 3 5" xfId="36268" xr:uid="{00000000-0005-0000-0000-0000ED820000}"/>
    <cellStyle name="Normal 6 2 2 3 4 4" xfId="12794" xr:uid="{00000000-0005-0000-0000-0000EE820000}"/>
    <cellStyle name="Normal 6 2 2 3 4 4 2" xfId="12795" xr:uid="{00000000-0005-0000-0000-0000EF820000}"/>
    <cellStyle name="Normal 6 2 2 3 4 4 2 2" xfId="12796" xr:uid="{00000000-0005-0000-0000-0000F0820000}"/>
    <cellStyle name="Normal 6 2 2 3 4 4 2 2 2" xfId="36278" xr:uid="{00000000-0005-0000-0000-0000F1820000}"/>
    <cellStyle name="Normal 6 2 2 3 4 4 2 3" xfId="36277" xr:uid="{00000000-0005-0000-0000-0000F2820000}"/>
    <cellStyle name="Normal 6 2 2 3 4 4 3" xfId="12797" xr:uid="{00000000-0005-0000-0000-0000F3820000}"/>
    <cellStyle name="Normal 6 2 2 3 4 4 3 2" xfId="36279" xr:uid="{00000000-0005-0000-0000-0000F4820000}"/>
    <cellStyle name="Normal 6 2 2 3 4 4 4" xfId="36276" xr:uid="{00000000-0005-0000-0000-0000F5820000}"/>
    <cellStyle name="Normal 6 2 2 3 4 5" xfId="12798" xr:uid="{00000000-0005-0000-0000-0000F6820000}"/>
    <cellStyle name="Normal 6 2 2 3 4 5 2" xfId="12799" xr:uid="{00000000-0005-0000-0000-0000F7820000}"/>
    <cellStyle name="Normal 6 2 2 3 4 5 2 2" xfId="36281" xr:uid="{00000000-0005-0000-0000-0000F8820000}"/>
    <cellStyle name="Normal 6 2 2 3 4 5 3" xfId="36280" xr:uid="{00000000-0005-0000-0000-0000F9820000}"/>
    <cellStyle name="Normal 6 2 2 3 4 6" xfId="12800" xr:uid="{00000000-0005-0000-0000-0000FA820000}"/>
    <cellStyle name="Normal 6 2 2 3 4 6 2" xfId="36282" xr:uid="{00000000-0005-0000-0000-0000FB820000}"/>
    <cellStyle name="Normal 6 2 2 3 4 7" xfId="36259" xr:uid="{00000000-0005-0000-0000-0000FC820000}"/>
    <cellStyle name="Normal 6 2 2 3 5" xfId="12801" xr:uid="{00000000-0005-0000-0000-0000FD820000}"/>
    <cellStyle name="Normal 6 2 2 3 5 2" xfId="12802" xr:uid="{00000000-0005-0000-0000-0000FE820000}"/>
    <cellStyle name="Normal 6 2 2 3 5 2 2" xfId="12803" xr:uid="{00000000-0005-0000-0000-0000FF820000}"/>
    <cellStyle name="Normal 6 2 2 3 5 2 2 2" xfId="12804" xr:uid="{00000000-0005-0000-0000-000000830000}"/>
    <cellStyle name="Normal 6 2 2 3 5 2 2 2 2" xfId="36286" xr:uid="{00000000-0005-0000-0000-000001830000}"/>
    <cellStyle name="Normal 6 2 2 3 5 2 2 3" xfId="36285" xr:uid="{00000000-0005-0000-0000-000002830000}"/>
    <cellStyle name="Normal 6 2 2 3 5 2 3" xfId="12805" xr:uid="{00000000-0005-0000-0000-000003830000}"/>
    <cellStyle name="Normal 6 2 2 3 5 2 3 2" xfId="36287" xr:uid="{00000000-0005-0000-0000-000004830000}"/>
    <cellStyle name="Normal 6 2 2 3 5 2 4" xfId="36284" xr:uid="{00000000-0005-0000-0000-000005830000}"/>
    <cellStyle name="Normal 6 2 2 3 5 3" xfId="12806" xr:uid="{00000000-0005-0000-0000-000006830000}"/>
    <cellStyle name="Normal 6 2 2 3 5 3 2" xfId="12807" xr:uid="{00000000-0005-0000-0000-000007830000}"/>
    <cellStyle name="Normal 6 2 2 3 5 3 2 2" xfId="36289" xr:uid="{00000000-0005-0000-0000-000008830000}"/>
    <cellStyle name="Normal 6 2 2 3 5 3 3" xfId="36288" xr:uid="{00000000-0005-0000-0000-000009830000}"/>
    <cellStyle name="Normal 6 2 2 3 5 4" xfId="12808" xr:uid="{00000000-0005-0000-0000-00000A830000}"/>
    <cellStyle name="Normal 6 2 2 3 5 4 2" xfId="36290" xr:uid="{00000000-0005-0000-0000-00000B830000}"/>
    <cellStyle name="Normal 6 2 2 3 5 5" xfId="36283" xr:uid="{00000000-0005-0000-0000-00000C830000}"/>
    <cellStyle name="Normal 6 2 2 3 6" xfId="12809" xr:uid="{00000000-0005-0000-0000-00000D830000}"/>
    <cellStyle name="Normal 6 2 2 3 6 2" xfId="12810" xr:uid="{00000000-0005-0000-0000-00000E830000}"/>
    <cellStyle name="Normal 6 2 2 3 6 2 2" xfId="12811" xr:uid="{00000000-0005-0000-0000-00000F830000}"/>
    <cellStyle name="Normal 6 2 2 3 6 2 2 2" xfId="12812" xr:uid="{00000000-0005-0000-0000-000010830000}"/>
    <cellStyle name="Normal 6 2 2 3 6 2 2 2 2" xfId="36294" xr:uid="{00000000-0005-0000-0000-000011830000}"/>
    <cellStyle name="Normal 6 2 2 3 6 2 2 3" xfId="36293" xr:uid="{00000000-0005-0000-0000-000012830000}"/>
    <cellStyle name="Normal 6 2 2 3 6 2 3" xfId="12813" xr:uid="{00000000-0005-0000-0000-000013830000}"/>
    <cellStyle name="Normal 6 2 2 3 6 2 3 2" xfId="36295" xr:uid="{00000000-0005-0000-0000-000014830000}"/>
    <cellStyle name="Normal 6 2 2 3 6 2 4" xfId="36292" xr:uid="{00000000-0005-0000-0000-000015830000}"/>
    <cellStyle name="Normal 6 2 2 3 6 3" xfId="12814" xr:uid="{00000000-0005-0000-0000-000016830000}"/>
    <cellStyle name="Normal 6 2 2 3 6 3 2" xfId="12815" xr:uid="{00000000-0005-0000-0000-000017830000}"/>
    <cellStyle name="Normal 6 2 2 3 6 3 2 2" xfId="36297" xr:uid="{00000000-0005-0000-0000-000018830000}"/>
    <cellStyle name="Normal 6 2 2 3 6 3 3" xfId="36296" xr:uid="{00000000-0005-0000-0000-000019830000}"/>
    <cellStyle name="Normal 6 2 2 3 6 4" xfId="12816" xr:uid="{00000000-0005-0000-0000-00001A830000}"/>
    <cellStyle name="Normal 6 2 2 3 6 4 2" xfId="36298" xr:uid="{00000000-0005-0000-0000-00001B830000}"/>
    <cellStyle name="Normal 6 2 2 3 6 5" xfId="36291" xr:uid="{00000000-0005-0000-0000-00001C830000}"/>
    <cellStyle name="Normal 6 2 2 3 7" xfId="12817" xr:uid="{00000000-0005-0000-0000-00001D830000}"/>
    <cellStyle name="Normal 6 2 2 3 7 2" xfId="12818" xr:uid="{00000000-0005-0000-0000-00001E830000}"/>
    <cellStyle name="Normal 6 2 2 3 7 2 2" xfId="12819" xr:uid="{00000000-0005-0000-0000-00001F830000}"/>
    <cellStyle name="Normal 6 2 2 3 7 2 2 2" xfId="36301" xr:uid="{00000000-0005-0000-0000-000020830000}"/>
    <cellStyle name="Normal 6 2 2 3 7 2 3" xfId="36300" xr:uid="{00000000-0005-0000-0000-000021830000}"/>
    <cellStyle name="Normal 6 2 2 3 7 3" xfId="12820" xr:uid="{00000000-0005-0000-0000-000022830000}"/>
    <cellStyle name="Normal 6 2 2 3 7 3 2" xfId="36302" xr:uid="{00000000-0005-0000-0000-000023830000}"/>
    <cellStyle name="Normal 6 2 2 3 7 4" xfId="36299" xr:uid="{00000000-0005-0000-0000-000024830000}"/>
    <cellStyle name="Normal 6 2 2 3 8" xfId="12821" xr:uid="{00000000-0005-0000-0000-000025830000}"/>
    <cellStyle name="Normal 6 2 2 3 8 2" xfId="12822" xr:uid="{00000000-0005-0000-0000-000026830000}"/>
    <cellStyle name="Normal 6 2 2 3 8 2 2" xfId="36304" xr:uid="{00000000-0005-0000-0000-000027830000}"/>
    <cellStyle name="Normal 6 2 2 3 8 3" xfId="36303" xr:uid="{00000000-0005-0000-0000-000028830000}"/>
    <cellStyle name="Normal 6 2 2 3 9" xfId="12823" xr:uid="{00000000-0005-0000-0000-000029830000}"/>
    <cellStyle name="Normal 6 2 2 3 9 2" xfId="36305" xr:uid="{00000000-0005-0000-0000-00002A830000}"/>
    <cellStyle name="Normal 6 2 2 4" xfId="12824" xr:uid="{00000000-0005-0000-0000-00002B830000}"/>
    <cellStyle name="Normal 6 2 2 4 10" xfId="36306" xr:uid="{00000000-0005-0000-0000-00002C830000}"/>
    <cellStyle name="Normal 6 2 2 4 2" xfId="12825" xr:uid="{00000000-0005-0000-0000-00002D830000}"/>
    <cellStyle name="Normal 6 2 2 4 2 2" xfId="12826" xr:uid="{00000000-0005-0000-0000-00002E830000}"/>
    <cellStyle name="Normal 6 2 2 4 2 2 2" xfId="12827" xr:uid="{00000000-0005-0000-0000-00002F830000}"/>
    <cellStyle name="Normal 6 2 2 4 2 2 2 2" xfId="12828" xr:uid="{00000000-0005-0000-0000-000030830000}"/>
    <cellStyle name="Normal 6 2 2 4 2 2 2 2 2" xfId="12829" xr:uid="{00000000-0005-0000-0000-000031830000}"/>
    <cellStyle name="Normal 6 2 2 4 2 2 2 2 2 2" xfId="36311" xr:uid="{00000000-0005-0000-0000-000032830000}"/>
    <cellStyle name="Normal 6 2 2 4 2 2 2 2 3" xfId="36310" xr:uid="{00000000-0005-0000-0000-000033830000}"/>
    <cellStyle name="Normal 6 2 2 4 2 2 2 3" xfId="12830" xr:uid="{00000000-0005-0000-0000-000034830000}"/>
    <cellStyle name="Normal 6 2 2 4 2 2 2 3 2" xfId="36312" xr:uid="{00000000-0005-0000-0000-000035830000}"/>
    <cellStyle name="Normal 6 2 2 4 2 2 2 4" xfId="36309" xr:uid="{00000000-0005-0000-0000-000036830000}"/>
    <cellStyle name="Normal 6 2 2 4 2 2 3" xfId="12831" xr:uid="{00000000-0005-0000-0000-000037830000}"/>
    <cellStyle name="Normal 6 2 2 4 2 2 3 2" xfId="12832" xr:uid="{00000000-0005-0000-0000-000038830000}"/>
    <cellStyle name="Normal 6 2 2 4 2 2 3 2 2" xfId="36314" xr:uid="{00000000-0005-0000-0000-000039830000}"/>
    <cellStyle name="Normal 6 2 2 4 2 2 3 3" xfId="36313" xr:uid="{00000000-0005-0000-0000-00003A830000}"/>
    <cellStyle name="Normal 6 2 2 4 2 2 4" xfId="12833" xr:uid="{00000000-0005-0000-0000-00003B830000}"/>
    <cellStyle name="Normal 6 2 2 4 2 2 4 2" xfId="36315" xr:uid="{00000000-0005-0000-0000-00003C830000}"/>
    <cellStyle name="Normal 6 2 2 4 2 2 5" xfId="36308" xr:uid="{00000000-0005-0000-0000-00003D830000}"/>
    <cellStyle name="Normal 6 2 2 4 2 3" xfId="12834" xr:uid="{00000000-0005-0000-0000-00003E830000}"/>
    <cellStyle name="Normal 6 2 2 4 2 3 2" xfId="12835" xr:uid="{00000000-0005-0000-0000-00003F830000}"/>
    <cellStyle name="Normal 6 2 2 4 2 3 2 2" xfId="12836" xr:uid="{00000000-0005-0000-0000-000040830000}"/>
    <cellStyle name="Normal 6 2 2 4 2 3 2 2 2" xfId="12837" xr:uid="{00000000-0005-0000-0000-000041830000}"/>
    <cellStyle name="Normal 6 2 2 4 2 3 2 2 2 2" xfId="36319" xr:uid="{00000000-0005-0000-0000-000042830000}"/>
    <cellStyle name="Normal 6 2 2 4 2 3 2 2 3" xfId="36318" xr:uid="{00000000-0005-0000-0000-000043830000}"/>
    <cellStyle name="Normal 6 2 2 4 2 3 2 3" xfId="12838" xr:uid="{00000000-0005-0000-0000-000044830000}"/>
    <cellStyle name="Normal 6 2 2 4 2 3 2 3 2" xfId="36320" xr:uid="{00000000-0005-0000-0000-000045830000}"/>
    <cellStyle name="Normal 6 2 2 4 2 3 2 4" xfId="36317" xr:uid="{00000000-0005-0000-0000-000046830000}"/>
    <cellStyle name="Normal 6 2 2 4 2 3 3" xfId="12839" xr:uid="{00000000-0005-0000-0000-000047830000}"/>
    <cellStyle name="Normal 6 2 2 4 2 3 3 2" xfId="12840" xr:uid="{00000000-0005-0000-0000-000048830000}"/>
    <cellStyle name="Normal 6 2 2 4 2 3 3 2 2" xfId="36322" xr:uid="{00000000-0005-0000-0000-000049830000}"/>
    <cellStyle name="Normal 6 2 2 4 2 3 3 3" xfId="36321" xr:uid="{00000000-0005-0000-0000-00004A830000}"/>
    <cellStyle name="Normal 6 2 2 4 2 3 4" xfId="12841" xr:uid="{00000000-0005-0000-0000-00004B830000}"/>
    <cellStyle name="Normal 6 2 2 4 2 3 4 2" xfId="36323" xr:uid="{00000000-0005-0000-0000-00004C830000}"/>
    <cellStyle name="Normal 6 2 2 4 2 3 5" xfId="36316" xr:uid="{00000000-0005-0000-0000-00004D830000}"/>
    <cellStyle name="Normal 6 2 2 4 2 4" xfId="12842" xr:uid="{00000000-0005-0000-0000-00004E830000}"/>
    <cellStyle name="Normal 6 2 2 4 2 4 2" xfId="12843" xr:uid="{00000000-0005-0000-0000-00004F830000}"/>
    <cellStyle name="Normal 6 2 2 4 2 4 2 2" xfId="12844" xr:uid="{00000000-0005-0000-0000-000050830000}"/>
    <cellStyle name="Normal 6 2 2 4 2 4 2 2 2" xfId="36326" xr:uid="{00000000-0005-0000-0000-000051830000}"/>
    <cellStyle name="Normal 6 2 2 4 2 4 2 3" xfId="36325" xr:uid="{00000000-0005-0000-0000-000052830000}"/>
    <cellStyle name="Normal 6 2 2 4 2 4 3" xfId="12845" xr:uid="{00000000-0005-0000-0000-000053830000}"/>
    <cellStyle name="Normal 6 2 2 4 2 4 3 2" xfId="36327" xr:uid="{00000000-0005-0000-0000-000054830000}"/>
    <cellStyle name="Normal 6 2 2 4 2 4 4" xfId="36324" xr:uid="{00000000-0005-0000-0000-000055830000}"/>
    <cellStyle name="Normal 6 2 2 4 2 5" xfId="12846" xr:uid="{00000000-0005-0000-0000-000056830000}"/>
    <cellStyle name="Normal 6 2 2 4 2 5 2" xfId="12847" xr:uid="{00000000-0005-0000-0000-000057830000}"/>
    <cellStyle name="Normal 6 2 2 4 2 5 2 2" xfId="36329" xr:uid="{00000000-0005-0000-0000-000058830000}"/>
    <cellStyle name="Normal 6 2 2 4 2 5 3" xfId="36328" xr:uid="{00000000-0005-0000-0000-000059830000}"/>
    <cellStyle name="Normal 6 2 2 4 2 6" xfId="12848" xr:uid="{00000000-0005-0000-0000-00005A830000}"/>
    <cellStyle name="Normal 6 2 2 4 2 6 2" xfId="36330" xr:uid="{00000000-0005-0000-0000-00005B830000}"/>
    <cellStyle name="Normal 6 2 2 4 2 7" xfId="36307" xr:uid="{00000000-0005-0000-0000-00005C830000}"/>
    <cellStyle name="Normal 6 2 2 4 3" xfId="12849" xr:uid="{00000000-0005-0000-0000-00005D830000}"/>
    <cellStyle name="Normal 6 2 2 4 3 2" xfId="12850" xr:uid="{00000000-0005-0000-0000-00005E830000}"/>
    <cellStyle name="Normal 6 2 2 4 3 2 2" xfId="12851" xr:uid="{00000000-0005-0000-0000-00005F830000}"/>
    <cellStyle name="Normal 6 2 2 4 3 2 2 2" xfId="12852" xr:uid="{00000000-0005-0000-0000-000060830000}"/>
    <cellStyle name="Normal 6 2 2 4 3 2 2 2 2" xfId="12853" xr:uid="{00000000-0005-0000-0000-000061830000}"/>
    <cellStyle name="Normal 6 2 2 4 3 2 2 2 2 2" xfId="36335" xr:uid="{00000000-0005-0000-0000-000062830000}"/>
    <cellStyle name="Normal 6 2 2 4 3 2 2 2 3" xfId="36334" xr:uid="{00000000-0005-0000-0000-000063830000}"/>
    <cellStyle name="Normal 6 2 2 4 3 2 2 3" xfId="12854" xr:uid="{00000000-0005-0000-0000-000064830000}"/>
    <cellStyle name="Normal 6 2 2 4 3 2 2 3 2" xfId="36336" xr:uid="{00000000-0005-0000-0000-000065830000}"/>
    <cellStyle name="Normal 6 2 2 4 3 2 2 4" xfId="36333" xr:uid="{00000000-0005-0000-0000-000066830000}"/>
    <cellStyle name="Normal 6 2 2 4 3 2 3" xfId="12855" xr:uid="{00000000-0005-0000-0000-000067830000}"/>
    <cellStyle name="Normal 6 2 2 4 3 2 3 2" xfId="12856" xr:uid="{00000000-0005-0000-0000-000068830000}"/>
    <cellStyle name="Normal 6 2 2 4 3 2 3 2 2" xfId="36338" xr:uid="{00000000-0005-0000-0000-000069830000}"/>
    <cellStyle name="Normal 6 2 2 4 3 2 3 3" xfId="36337" xr:uid="{00000000-0005-0000-0000-00006A830000}"/>
    <cellStyle name="Normal 6 2 2 4 3 2 4" xfId="12857" xr:uid="{00000000-0005-0000-0000-00006B830000}"/>
    <cellStyle name="Normal 6 2 2 4 3 2 4 2" xfId="36339" xr:uid="{00000000-0005-0000-0000-00006C830000}"/>
    <cellStyle name="Normal 6 2 2 4 3 2 5" xfId="36332" xr:uid="{00000000-0005-0000-0000-00006D830000}"/>
    <cellStyle name="Normal 6 2 2 4 3 3" xfId="12858" xr:uid="{00000000-0005-0000-0000-00006E830000}"/>
    <cellStyle name="Normal 6 2 2 4 3 3 2" xfId="12859" xr:uid="{00000000-0005-0000-0000-00006F830000}"/>
    <cellStyle name="Normal 6 2 2 4 3 3 2 2" xfId="12860" xr:uid="{00000000-0005-0000-0000-000070830000}"/>
    <cellStyle name="Normal 6 2 2 4 3 3 2 2 2" xfId="12861" xr:uid="{00000000-0005-0000-0000-000071830000}"/>
    <cellStyle name="Normal 6 2 2 4 3 3 2 2 2 2" xfId="36343" xr:uid="{00000000-0005-0000-0000-000072830000}"/>
    <cellStyle name="Normal 6 2 2 4 3 3 2 2 3" xfId="36342" xr:uid="{00000000-0005-0000-0000-000073830000}"/>
    <cellStyle name="Normal 6 2 2 4 3 3 2 3" xfId="12862" xr:uid="{00000000-0005-0000-0000-000074830000}"/>
    <cellStyle name="Normal 6 2 2 4 3 3 2 3 2" xfId="36344" xr:uid="{00000000-0005-0000-0000-000075830000}"/>
    <cellStyle name="Normal 6 2 2 4 3 3 2 4" xfId="36341" xr:uid="{00000000-0005-0000-0000-000076830000}"/>
    <cellStyle name="Normal 6 2 2 4 3 3 3" xfId="12863" xr:uid="{00000000-0005-0000-0000-000077830000}"/>
    <cellStyle name="Normal 6 2 2 4 3 3 3 2" xfId="12864" xr:uid="{00000000-0005-0000-0000-000078830000}"/>
    <cellStyle name="Normal 6 2 2 4 3 3 3 2 2" xfId="36346" xr:uid="{00000000-0005-0000-0000-000079830000}"/>
    <cellStyle name="Normal 6 2 2 4 3 3 3 3" xfId="36345" xr:uid="{00000000-0005-0000-0000-00007A830000}"/>
    <cellStyle name="Normal 6 2 2 4 3 3 4" xfId="12865" xr:uid="{00000000-0005-0000-0000-00007B830000}"/>
    <cellStyle name="Normal 6 2 2 4 3 3 4 2" xfId="36347" xr:uid="{00000000-0005-0000-0000-00007C830000}"/>
    <cellStyle name="Normal 6 2 2 4 3 3 5" xfId="36340" xr:uid="{00000000-0005-0000-0000-00007D830000}"/>
    <cellStyle name="Normal 6 2 2 4 3 4" xfId="12866" xr:uid="{00000000-0005-0000-0000-00007E830000}"/>
    <cellStyle name="Normal 6 2 2 4 3 4 2" xfId="12867" xr:uid="{00000000-0005-0000-0000-00007F830000}"/>
    <cellStyle name="Normal 6 2 2 4 3 4 2 2" xfId="12868" xr:uid="{00000000-0005-0000-0000-000080830000}"/>
    <cellStyle name="Normal 6 2 2 4 3 4 2 2 2" xfId="36350" xr:uid="{00000000-0005-0000-0000-000081830000}"/>
    <cellStyle name="Normal 6 2 2 4 3 4 2 3" xfId="36349" xr:uid="{00000000-0005-0000-0000-000082830000}"/>
    <cellStyle name="Normal 6 2 2 4 3 4 3" xfId="12869" xr:uid="{00000000-0005-0000-0000-000083830000}"/>
    <cellStyle name="Normal 6 2 2 4 3 4 3 2" xfId="36351" xr:uid="{00000000-0005-0000-0000-000084830000}"/>
    <cellStyle name="Normal 6 2 2 4 3 4 4" xfId="36348" xr:uid="{00000000-0005-0000-0000-000085830000}"/>
    <cellStyle name="Normal 6 2 2 4 3 5" xfId="12870" xr:uid="{00000000-0005-0000-0000-000086830000}"/>
    <cellStyle name="Normal 6 2 2 4 3 5 2" xfId="12871" xr:uid="{00000000-0005-0000-0000-000087830000}"/>
    <cellStyle name="Normal 6 2 2 4 3 5 2 2" xfId="36353" xr:uid="{00000000-0005-0000-0000-000088830000}"/>
    <cellStyle name="Normal 6 2 2 4 3 5 3" xfId="36352" xr:uid="{00000000-0005-0000-0000-000089830000}"/>
    <cellStyle name="Normal 6 2 2 4 3 6" xfId="12872" xr:uid="{00000000-0005-0000-0000-00008A830000}"/>
    <cellStyle name="Normal 6 2 2 4 3 6 2" xfId="36354" xr:uid="{00000000-0005-0000-0000-00008B830000}"/>
    <cellStyle name="Normal 6 2 2 4 3 7" xfId="36331" xr:uid="{00000000-0005-0000-0000-00008C830000}"/>
    <cellStyle name="Normal 6 2 2 4 4" xfId="12873" xr:uid="{00000000-0005-0000-0000-00008D830000}"/>
    <cellStyle name="Normal 6 2 2 4 4 2" xfId="12874" xr:uid="{00000000-0005-0000-0000-00008E830000}"/>
    <cellStyle name="Normal 6 2 2 4 4 2 2" xfId="12875" xr:uid="{00000000-0005-0000-0000-00008F830000}"/>
    <cellStyle name="Normal 6 2 2 4 4 2 2 2" xfId="12876" xr:uid="{00000000-0005-0000-0000-000090830000}"/>
    <cellStyle name="Normal 6 2 2 4 4 2 2 2 2" xfId="12877" xr:uid="{00000000-0005-0000-0000-000091830000}"/>
    <cellStyle name="Normal 6 2 2 4 4 2 2 2 2 2" xfId="36359" xr:uid="{00000000-0005-0000-0000-000092830000}"/>
    <cellStyle name="Normal 6 2 2 4 4 2 2 2 3" xfId="36358" xr:uid="{00000000-0005-0000-0000-000093830000}"/>
    <cellStyle name="Normal 6 2 2 4 4 2 2 3" xfId="12878" xr:uid="{00000000-0005-0000-0000-000094830000}"/>
    <cellStyle name="Normal 6 2 2 4 4 2 2 3 2" xfId="36360" xr:uid="{00000000-0005-0000-0000-000095830000}"/>
    <cellStyle name="Normal 6 2 2 4 4 2 2 4" xfId="36357" xr:uid="{00000000-0005-0000-0000-000096830000}"/>
    <cellStyle name="Normal 6 2 2 4 4 2 3" xfId="12879" xr:uid="{00000000-0005-0000-0000-000097830000}"/>
    <cellStyle name="Normal 6 2 2 4 4 2 3 2" xfId="12880" xr:uid="{00000000-0005-0000-0000-000098830000}"/>
    <cellStyle name="Normal 6 2 2 4 4 2 3 2 2" xfId="36362" xr:uid="{00000000-0005-0000-0000-000099830000}"/>
    <cellStyle name="Normal 6 2 2 4 4 2 3 3" xfId="36361" xr:uid="{00000000-0005-0000-0000-00009A830000}"/>
    <cellStyle name="Normal 6 2 2 4 4 2 4" xfId="12881" xr:uid="{00000000-0005-0000-0000-00009B830000}"/>
    <cellStyle name="Normal 6 2 2 4 4 2 4 2" xfId="36363" xr:uid="{00000000-0005-0000-0000-00009C830000}"/>
    <cellStyle name="Normal 6 2 2 4 4 2 5" xfId="36356" xr:uid="{00000000-0005-0000-0000-00009D830000}"/>
    <cellStyle name="Normal 6 2 2 4 4 3" xfId="12882" xr:uid="{00000000-0005-0000-0000-00009E830000}"/>
    <cellStyle name="Normal 6 2 2 4 4 3 2" xfId="12883" xr:uid="{00000000-0005-0000-0000-00009F830000}"/>
    <cellStyle name="Normal 6 2 2 4 4 3 2 2" xfId="12884" xr:uid="{00000000-0005-0000-0000-0000A0830000}"/>
    <cellStyle name="Normal 6 2 2 4 4 3 2 2 2" xfId="12885" xr:uid="{00000000-0005-0000-0000-0000A1830000}"/>
    <cellStyle name="Normal 6 2 2 4 4 3 2 2 2 2" xfId="36367" xr:uid="{00000000-0005-0000-0000-0000A2830000}"/>
    <cellStyle name="Normal 6 2 2 4 4 3 2 2 3" xfId="36366" xr:uid="{00000000-0005-0000-0000-0000A3830000}"/>
    <cellStyle name="Normal 6 2 2 4 4 3 2 3" xfId="12886" xr:uid="{00000000-0005-0000-0000-0000A4830000}"/>
    <cellStyle name="Normal 6 2 2 4 4 3 2 3 2" xfId="36368" xr:uid="{00000000-0005-0000-0000-0000A5830000}"/>
    <cellStyle name="Normal 6 2 2 4 4 3 2 4" xfId="36365" xr:uid="{00000000-0005-0000-0000-0000A6830000}"/>
    <cellStyle name="Normal 6 2 2 4 4 3 3" xfId="12887" xr:uid="{00000000-0005-0000-0000-0000A7830000}"/>
    <cellStyle name="Normal 6 2 2 4 4 3 3 2" xfId="12888" xr:uid="{00000000-0005-0000-0000-0000A8830000}"/>
    <cellStyle name="Normal 6 2 2 4 4 3 3 2 2" xfId="36370" xr:uid="{00000000-0005-0000-0000-0000A9830000}"/>
    <cellStyle name="Normal 6 2 2 4 4 3 3 3" xfId="36369" xr:uid="{00000000-0005-0000-0000-0000AA830000}"/>
    <cellStyle name="Normal 6 2 2 4 4 3 4" xfId="12889" xr:uid="{00000000-0005-0000-0000-0000AB830000}"/>
    <cellStyle name="Normal 6 2 2 4 4 3 4 2" xfId="36371" xr:uid="{00000000-0005-0000-0000-0000AC830000}"/>
    <cellStyle name="Normal 6 2 2 4 4 3 5" xfId="36364" xr:uid="{00000000-0005-0000-0000-0000AD830000}"/>
    <cellStyle name="Normal 6 2 2 4 4 4" xfId="12890" xr:uid="{00000000-0005-0000-0000-0000AE830000}"/>
    <cellStyle name="Normal 6 2 2 4 4 4 2" xfId="12891" xr:uid="{00000000-0005-0000-0000-0000AF830000}"/>
    <cellStyle name="Normal 6 2 2 4 4 4 2 2" xfId="12892" xr:uid="{00000000-0005-0000-0000-0000B0830000}"/>
    <cellStyle name="Normal 6 2 2 4 4 4 2 2 2" xfId="36374" xr:uid="{00000000-0005-0000-0000-0000B1830000}"/>
    <cellStyle name="Normal 6 2 2 4 4 4 2 3" xfId="36373" xr:uid="{00000000-0005-0000-0000-0000B2830000}"/>
    <cellStyle name="Normal 6 2 2 4 4 4 3" xfId="12893" xr:uid="{00000000-0005-0000-0000-0000B3830000}"/>
    <cellStyle name="Normal 6 2 2 4 4 4 3 2" xfId="36375" xr:uid="{00000000-0005-0000-0000-0000B4830000}"/>
    <cellStyle name="Normal 6 2 2 4 4 4 4" xfId="36372" xr:uid="{00000000-0005-0000-0000-0000B5830000}"/>
    <cellStyle name="Normal 6 2 2 4 4 5" xfId="12894" xr:uid="{00000000-0005-0000-0000-0000B6830000}"/>
    <cellStyle name="Normal 6 2 2 4 4 5 2" xfId="12895" xr:uid="{00000000-0005-0000-0000-0000B7830000}"/>
    <cellStyle name="Normal 6 2 2 4 4 5 2 2" xfId="36377" xr:uid="{00000000-0005-0000-0000-0000B8830000}"/>
    <cellStyle name="Normal 6 2 2 4 4 5 3" xfId="36376" xr:uid="{00000000-0005-0000-0000-0000B9830000}"/>
    <cellStyle name="Normal 6 2 2 4 4 6" xfId="12896" xr:uid="{00000000-0005-0000-0000-0000BA830000}"/>
    <cellStyle name="Normal 6 2 2 4 4 6 2" xfId="36378" xr:uid="{00000000-0005-0000-0000-0000BB830000}"/>
    <cellStyle name="Normal 6 2 2 4 4 7" xfId="36355" xr:uid="{00000000-0005-0000-0000-0000BC830000}"/>
    <cellStyle name="Normal 6 2 2 4 5" xfId="12897" xr:uid="{00000000-0005-0000-0000-0000BD830000}"/>
    <cellStyle name="Normal 6 2 2 4 5 2" xfId="12898" xr:uid="{00000000-0005-0000-0000-0000BE830000}"/>
    <cellStyle name="Normal 6 2 2 4 5 2 2" xfId="12899" xr:uid="{00000000-0005-0000-0000-0000BF830000}"/>
    <cellStyle name="Normal 6 2 2 4 5 2 2 2" xfId="12900" xr:uid="{00000000-0005-0000-0000-0000C0830000}"/>
    <cellStyle name="Normal 6 2 2 4 5 2 2 2 2" xfId="36382" xr:uid="{00000000-0005-0000-0000-0000C1830000}"/>
    <cellStyle name="Normal 6 2 2 4 5 2 2 3" xfId="36381" xr:uid="{00000000-0005-0000-0000-0000C2830000}"/>
    <cellStyle name="Normal 6 2 2 4 5 2 3" xfId="12901" xr:uid="{00000000-0005-0000-0000-0000C3830000}"/>
    <cellStyle name="Normal 6 2 2 4 5 2 3 2" xfId="36383" xr:uid="{00000000-0005-0000-0000-0000C4830000}"/>
    <cellStyle name="Normal 6 2 2 4 5 2 4" xfId="36380" xr:uid="{00000000-0005-0000-0000-0000C5830000}"/>
    <cellStyle name="Normal 6 2 2 4 5 3" xfId="12902" xr:uid="{00000000-0005-0000-0000-0000C6830000}"/>
    <cellStyle name="Normal 6 2 2 4 5 3 2" xfId="12903" xr:uid="{00000000-0005-0000-0000-0000C7830000}"/>
    <cellStyle name="Normal 6 2 2 4 5 3 2 2" xfId="36385" xr:uid="{00000000-0005-0000-0000-0000C8830000}"/>
    <cellStyle name="Normal 6 2 2 4 5 3 3" xfId="36384" xr:uid="{00000000-0005-0000-0000-0000C9830000}"/>
    <cellStyle name="Normal 6 2 2 4 5 4" xfId="12904" xr:uid="{00000000-0005-0000-0000-0000CA830000}"/>
    <cellStyle name="Normal 6 2 2 4 5 4 2" xfId="36386" xr:uid="{00000000-0005-0000-0000-0000CB830000}"/>
    <cellStyle name="Normal 6 2 2 4 5 5" xfId="36379" xr:uid="{00000000-0005-0000-0000-0000CC830000}"/>
    <cellStyle name="Normal 6 2 2 4 6" xfId="12905" xr:uid="{00000000-0005-0000-0000-0000CD830000}"/>
    <cellStyle name="Normal 6 2 2 4 6 2" xfId="12906" xr:uid="{00000000-0005-0000-0000-0000CE830000}"/>
    <cellStyle name="Normal 6 2 2 4 6 2 2" xfId="12907" xr:uid="{00000000-0005-0000-0000-0000CF830000}"/>
    <cellStyle name="Normal 6 2 2 4 6 2 2 2" xfId="12908" xr:uid="{00000000-0005-0000-0000-0000D0830000}"/>
    <cellStyle name="Normal 6 2 2 4 6 2 2 2 2" xfId="36390" xr:uid="{00000000-0005-0000-0000-0000D1830000}"/>
    <cellStyle name="Normal 6 2 2 4 6 2 2 3" xfId="36389" xr:uid="{00000000-0005-0000-0000-0000D2830000}"/>
    <cellStyle name="Normal 6 2 2 4 6 2 3" xfId="12909" xr:uid="{00000000-0005-0000-0000-0000D3830000}"/>
    <cellStyle name="Normal 6 2 2 4 6 2 3 2" xfId="36391" xr:uid="{00000000-0005-0000-0000-0000D4830000}"/>
    <cellStyle name="Normal 6 2 2 4 6 2 4" xfId="36388" xr:uid="{00000000-0005-0000-0000-0000D5830000}"/>
    <cellStyle name="Normal 6 2 2 4 6 3" xfId="12910" xr:uid="{00000000-0005-0000-0000-0000D6830000}"/>
    <cellStyle name="Normal 6 2 2 4 6 3 2" xfId="12911" xr:uid="{00000000-0005-0000-0000-0000D7830000}"/>
    <cellStyle name="Normal 6 2 2 4 6 3 2 2" xfId="36393" xr:uid="{00000000-0005-0000-0000-0000D8830000}"/>
    <cellStyle name="Normal 6 2 2 4 6 3 3" xfId="36392" xr:uid="{00000000-0005-0000-0000-0000D9830000}"/>
    <cellStyle name="Normal 6 2 2 4 6 4" xfId="12912" xr:uid="{00000000-0005-0000-0000-0000DA830000}"/>
    <cellStyle name="Normal 6 2 2 4 6 4 2" xfId="36394" xr:uid="{00000000-0005-0000-0000-0000DB830000}"/>
    <cellStyle name="Normal 6 2 2 4 6 5" xfId="36387" xr:uid="{00000000-0005-0000-0000-0000DC830000}"/>
    <cellStyle name="Normal 6 2 2 4 7" xfId="12913" xr:uid="{00000000-0005-0000-0000-0000DD830000}"/>
    <cellStyle name="Normal 6 2 2 4 7 2" xfId="12914" xr:uid="{00000000-0005-0000-0000-0000DE830000}"/>
    <cellStyle name="Normal 6 2 2 4 7 2 2" xfId="12915" xr:uid="{00000000-0005-0000-0000-0000DF830000}"/>
    <cellStyle name="Normal 6 2 2 4 7 2 2 2" xfId="36397" xr:uid="{00000000-0005-0000-0000-0000E0830000}"/>
    <cellStyle name="Normal 6 2 2 4 7 2 3" xfId="36396" xr:uid="{00000000-0005-0000-0000-0000E1830000}"/>
    <cellStyle name="Normal 6 2 2 4 7 3" xfId="12916" xr:uid="{00000000-0005-0000-0000-0000E2830000}"/>
    <cellStyle name="Normal 6 2 2 4 7 3 2" xfId="36398" xr:uid="{00000000-0005-0000-0000-0000E3830000}"/>
    <cellStyle name="Normal 6 2 2 4 7 4" xfId="36395" xr:uid="{00000000-0005-0000-0000-0000E4830000}"/>
    <cellStyle name="Normal 6 2 2 4 8" xfId="12917" xr:uid="{00000000-0005-0000-0000-0000E5830000}"/>
    <cellStyle name="Normal 6 2 2 4 8 2" xfId="12918" xr:uid="{00000000-0005-0000-0000-0000E6830000}"/>
    <cellStyle name="Normal 6 2 2 4 8 2 2" xfId="36400" xr:uid="{00000000-0005-0000-0000-0000E7830000}"/>
    <cellStyle name="Normal 6 2 2 4 8 3" xfId="36399" xr:uid="{00000000-0005-0000-0000-0000E8830000}"/>
    <cellStyle name="Normal 6 2 2 4 9" xfId="12919" xr:uid="{00000000-0005-0000-0000-0000E9830000}"/>
    <cellStyle name="Normal 6 2 2 4 9 2" xfId="36401" xr:uid="{00000000-0005-0000-0000-0000EA830000}"/>
    <cellStyle name="Normal 6 2 2 5" xfId="12920" xr:uid="{00000000-0005-0000-0000-0000EB830000}"/>
    <cellStyle name="Normal 6 2 2 5 2" xfId="12921" xr:uid="{00000000-0005-0000-0000-0000EC830000}"/>
    <cellStyle name="Normal 6 2 2 5 2 2" xfId="12922" xr:uid="{00000000-0005-0000-0000-0000ED830000}"/>
    <cellStyle name="Normal 6 2 2 5 2 2 2" xfId="12923" xr:uid="{00000000-0005-0000-0000-0000EE830000}"/>
    <cellStyle name="Normal 6 2 2 5 2 2 2 2" xfId="12924" xr:uid="{00000000-0005-0000-0000-0000EF830000}"/>
    <cellStyle name="Normal 6 2 2 5 2 2 2 2 2" xfId="36406" xr:uid="{00000000-0005-0000-0000-0000F0830000}"/>
    <cellStyle name="Normal 6 2 2 5 2 2 2 3" xfId="36405" xr:uid="{00000000-0005-0000-0000-0000F1830000}"/>
    <cellStyle name="Normal 6 2 2 5 2 2 3" xfId="12925" xr:uid="{00000000-0005-0000-0000-0000F2830000}"/>
    <cellStyle name="Normal 6 2 2 5 2 2 3 2" xfId="36407" xr:uid="{00000000-0005-0000-0000-0000F3830000}"/>
    <cellStyle name="Normal 6 2 2 5 2 2 4" xfId="36404" xr:uid="{00000000-0005-0000-0000-0000F4830000}"/>
    <cellStyle name="Normal 6 2 2 5 2 3" xfId="12926" xr:uid="{00000000-0005-0000-0000-0000F5830000}"/>
    <cellStyle name="Normal 6 2 2 5 2 3 2" xfId="12927" xr:uid="{00000000-0005-0000-0000-0000F6830000}"/>
    <cellStyle name="Normal 6 2 2 5 2 3 2 2" xfId="36409" xr:uid="{00000000-0005-0000-0000-0000F7830000}"/>
    <cellStyle name="Normal 6 2 2 5 2 3 3" xfId="36408" xr:uid="{00000000-0005-0000-0000-0000F8830000}"/>
    <cellStyle name="Normal 6 2 2 5 2 4" xfId="12928" xr:uid="{00000000-0005-0000-0000-0000F9830000}"/>
    <cellStyle name="Normal 6 2 2 5 2 4 2" xfId="36410" xr:uid="{00000000-0005-0000-0000-0000FA830000}"/>
    <cellStyle name="Normal 6 2 2 5 2 5" xfId="36403" xr:uid="{00000000-0005-0000-0000-0000FB830000}"/>
    <cellStyle name="Normal 6 2 2 5 3" xfId="12929" xr:uid="{00000000-0005-0000-0000-0000FC830000}"/>
    <cellStyle name="Normal 6 2 2 5 3 2" xfId="12930" xr:uid="{00000000-0005-0000-0000-0000FD830000}"/>
    <cellStyle name="Normal 6 2 2 5 3 2 2" xfId="12931" xr:uid="{00000000-0005-0000-0000-0000FE830000}"/>
    <cellStyle name="Normal 6 2 2 5 3 2 2 2" xfId="12932" xr:uid="{00000000-0005-0000-0000-0000FF830000}"/>
    <cellStyle name="Normal 6 2 2 5 3 2 2 2 2" xfId="36414" xr:uid="{00000000-0005-0000-0000-000000840000}"/>
    <cellStyle name="Normal 6 2 2 5 3 2 2 3" xfId="36413" xr:uid="{00000000-0005-0000-0000-000001840000}"/>
    <cellStyle name="Normal 6 2 2 5 3 2 3" xfId="12933" xr:uid="{00000000-0005-0000-0000-000002840000}"/>
    <cellStyle name="Normal 6 2 2 5 3 2 3 2" xfId="36415" xr:uid="{00000000-0005-0000-0000-000003840000}"/>
    <cellStyle name="Normal 6 2 2 5 3 2 4" xfId="36412" xr:uid="{00000000-0005-0000-0000-000004840000}"/>
    <cellStyle name="Normal 6 2 2 5 3 3" xfId="12934" xr:uid="{00000000-0005-0000-0000-000005840000}"/>
    <cellStyle name="Normal 6 2 2 5 3 3 2" xfId="12935" xr:uid="{00000000-0005-0000-0000-000006840000}"/>
    <cellStyle name="Normal 6 2 2 5 3 3 2 2" xfId="36417" xr:uid="{00000000-0005-0000-0000-000007840000}"/>
    <cellStyle name="Normal 6 2 2 5 3 3 3" xfId="36416" xr:uid="{00000000-0005-0000-0000-000008840000}"/>
    <cellStyle name="Normal 6 2 2 5 3 4" xfId="12936" xr:uid="{00000000-0005-0000-0000-000009840000}"/>
    <cellStyle name="Normal 6 2 2 5 3 4 2" xfId="36418" xr:uid="{00000000-0005-0000-0000-00000A840000}"/>
    <cellStyle name="Normal 6 2 2 5 3 5" xfId="36411" xr:uid="{00000000-0005-0000-0000-00000B840000}"/>
    <cellStyle name="Normal 6 2 2 5 4" xfId="12937" xr:uid="{00000000-0005-0000-0000-00000C840000}"/>
    <cellStyle name="Normal 6 2 2 5 4 2" xfId="12938" xr:uid="{00000000-0005-0000-0000-00000D840000}"/>
    <cellStyle name="Normal 6 2 2 5 4 2 2" xfId="12939" xr:uid="{00000000-0005-0000-0000-00000E840000}"/>
    <cellStyle name="Normal 6 2 2 5 4 2 2 2" xfId="36421" xr:uid="{00000000-0005-0000-0000-00000F840000}"/>
    <cellStyle name="Normal 6 2 2 5 4 2 3" xfId="36420" xr:uid="{00000000-0005-0000-0000-000010840000}"/>
    <cellStyle name="Normal 6 2 2 5 4 3" xfId="12940" xr:uid="{00000000-0005-0000-0000-000011840000}"/>
    <cellStyle name="Normal 6 2 2 5 4 3 2" xfId="36422" xr:uid="{00000000-0005-0000-0000-000012840000}"/>
    <cellStyle name="Normal 6 2 2 5 4 4" xfId="36419" xr:uid="{00000000-0005-0000-0000-000013840000}"/>
    <cellStyle name="Normal 6 2 2 5 5" xfId="12941" xr:uid="{00000000-0005-0000-0000-000014840000}"/>
    <cellStyle name="Normal 6 2 2 5 5 2" xfId="12942" xr:uid="{00000000-0005-0000-0000-000015840000}"/>
    <cellStyle name="Normal 6 2 2 5 5 2 2" xfId="36424" xr:uid="{00000000-0005-0000-0000-000016840000}"/>
    <cellStyle name="Normal 6 2 2 5 5 3" xfId="36423" xr:uid="{00000000-0005-0000-0000-000017840000}"/>
    <cellStyle name="Normal 6 2 2 5 6" xfId="12943" xr:uid="{00000000-0005-0000-0000-000018840000}"/>
    <cellStyle name="Normal 6 2 2 5 6 2" xfId="36425" xr:uid="{00000000-0005-0000-0000-000019840000}"/>
    <cellStyle name="Normal 6 2 2 5 7" xfId="36402" xr:uid="{00000000-0005-0000-0000-00001A840000}"/>
    <cellStyle name="Normal 6 2 2 6" xfId="12944" xr:uid="{00000000-0005-0000-0000-00001B840000}"/>
    <cellStyle name="Normal 6 2 2 6 2" xfId="12945" xr:uid="{00000000-0005-0000-0000-00001C840000}"/>
    <cellStyle name="Normal 6 2 2 6 2 2" xfId="12946" xr:uid="{00000000-0005-0000-0000-00001D840000}"/>
    <cellStyle name="Normal 6 2 2 6 2 2 2" xfId="12947" xr:uid="{00000000-0005-0000-0000-00001E840000}"/>
    <cellStyle name="Normal 6 2 2 6 2 2 2 2" xfId="12948" xr:uid="{00000000-0005-0000-0000-00001F840000}"/>
    <cellStyle name="Normal 6 2 2 6 2 2 2 2 2" xfId="36430" xr:uid="{00000000-0005-0000-0000-000020840000}"/>
    <cellStyle name="Normal 6 2 2 6 2 2 2 3" xfId="36429" xr:uid="{00000000-0005-0000-0000-000021840000}"/>
    <cellStyle name="Normal 6 2 2 6 2 2 3" xfId="12949" xr:uid="{00000000-0005-0000-0000-000022840000}"/>
    <cellStyle name="Normal 6 2 2 6 2 2 3 2" xfId="36431" xr:uid="{00000000-0005-0000-0000-000023840000}"/>
    <cellStyle name="Normal 6 2 2 6 2 2 4" xfId="36428" xr:uid="{00000000-0005-0000-0000-000024840000}"/>
    <cellStyle name="Normal 6 2 2 6 2 3" xfId="12950" xr:uid="{00000000-0005-0000-0000-000025840000}"/>
    <cellStyle name="Normal 6 2 2 6 2 3 2" xfId="12951" xr:uid="{00000000-0005-0000-0000-000026840000}"/>
    <cellStyle name="Normal 6 2 2 6 2 3 2 2" xfId="36433" xr:uid="{00000000-0005-0000-0000-000027840000}"/>
    <cellStyle name="Normal 6 2 2 6 2 3 3" xfId="36432" xr:uid="{00000000-0005-0000-0000-000028840000}"/>
    <cellStyle name="Normal 6 2 2 6 2 4" xfId="12952" xr:uid="{00000000-0005-0000-0000-000029840000}"/>
    <cellStyle name="Normal 6 2 2 6 2 4 2" xfId="36434" xr:uid="{00000000-0005-0000-0000-00002A840000}"/>
    <cellStyle name="Normal 6 2 2 6 2 5" xfId="36427" xr:uid="{00000000-0005-0000-0000-00002B840000}"/>
    <cellStyle name="Normal 6 2 2 6 3" xfId="12953" xr:uid="{00000000-0005-0000-0000-00002C840000}"/>
    <cellStyle name="Normal 6 2 2 6 3 2" xfId="12954" xr:uid="{00000000-0005-0000-0000-00002D840000}"/>
    <cellStyle name="Normal 6 2 2 6 3 2 2" xfId="12955" xr:uid="{00000000-0005-0000-0000-00002E840000}"/>
    <cellStyle name="Normal 6 2 2 6 3 2 2 2" xfId="12956" xr:uid="{00000000-0005-0000-0000-00002F840000}"/>
    <cellStyle name="Normal 6 2 2 6 3 2 2 2 2" xfId="36438" xr:uid="{00000000-0005-0000-0000-000030840000}"/>
    <cellStyle name="Normal 6 2 2 6 3 2 2 3" xfId="36437" xr:uid="{00000000-0005-0000-0000-000031840000}"/>
    <cellStyle name="Normal 6 2 2 6 3 2 3" xfId="12957" xr:uid="{00000000-0005-0000-0000-000032840000}"/>
    <cellStyle name="Normal 6 2 2 6 3 2 3 2" xfId="36439" xr:uid="{00000000-0005-0000-0000-000033840000}"/>
    <cellStyle name="Normal 6 2 2 6 3 2 4" xfId="36436" xr:uid="{00000000-0005-0000-0000-000034840000}"/>
    <cellStyle name="Normal 6 2 2 6 3 3" xfId="12958" xr:uid="{00000000-0005-0000-0000-000035840000}"/>
    <cellStyle name="Normal 6 2 2 6 3 3 2" xfId="12959" xr:uid="{00000000-0005-0000-0000-000036840000}"/>
    <cellStyle name="Normal 6 2 2 6 3 3 2 2" xfId="36441" xr:uid="{00000000-0005-0000-0000-000037840000}"/>
    <cellStyle name="Normal 6 2 2 6 3 3 3" xfId="36440" xr:uid="{00000000-0005-0000-0000-000038840000}"/>
    <cellStyle name="Normal 6 2 2 6 3 4" xfId="12960" xr:uid="{00000000-0005-0000-0000-000039840000}"/>
    <cellStyle name="Normal 6 2 2 6 3 4 2" xfId="36442" xr:uid="{00000000-0005-0000-0000-00003A840000}"/>
    <cellStyle name="Normal 6 2 2 6 3 5" xfId="36435" xr:uid="{00000000-0005-0000-0000-00003B840000}"/>
    <cellStyle name="Normal 6 2 2 6 4" xfId="12961" xr:uid="{00000000-0005-0000-0000-00003C840000}"/>
    <cellStyle name="Normal 6 2 2 6 4 2" xfId="12962" xr:uid="{00000000-0005-0000-0000-00003D840000}"/>
    <cellStyle name="Normal 6 2 2 6 4 2 2" xfId="12963" xr:uid="{00000000-0005-0000-0000-00003E840000}"/>
    <cellStyle name="Normal 6 2 2 6 4 2 2 2" xfId="36445" xr:uid="{00000000-0005-0000-0000-00003F840000}"/>
    <cellStyle name="Normal 6 2 2 6 4 2 3" xfId="36444" xr:uid="{00000000-0005-0000-0000-000040840000}"/>
    <cellStyle name="Normal 6 2 2 6 4 3" xfId="12964" xr:uid="{00000000-0005-0000-0000-000041840000}"/>
    <cellStyle name="Normal 6 2 2 6 4 3 2" xfId="36446" xr:uid="{00000000-0005-0000-0000-000042840000}"/>
    <cellStyle name="Normal 6 2 2 6 4 4" xfId="36443" xr:uid="{00000000-0005-0000-0000-000043840000}"/>
    <cellStyle name="Normal 6 2 2 6 5" xfId="12965" xr:uid="{00000000-0005-0000-0000-000044840000}"/>
    <cellStyle name="Normal 6 2 2 6 5 2" xfId="12966" xr:uid="{00000000-0005-0000-0000-000045840000}"/>
    <cellStyle name="Normal 6 2 2 6 5 2 2" xfId="36448" xr:uid="{00000000-0005-0000-0000-000046840000}"/>
    <cellStyle name="Normal 6 2 2 6 5 3" xfId="36447" xr:uid="{00000000-0005-0000-0000-000047840000}"/>
    <cellStyle name="Normal 6 2 2 6 6" xfId="12967" xr:uid="{00000000-0005-0000-0000-000048840000}"/>
    <cellStyle name="Normal 6 2 2 6 6 2" xfId="36449" xr:uid="{00000000-0005-0000-0000-000049840000}"/>
    <cellStyle name="Normal 6 2 2 6 7" xfId="36426" xr:uid="{00000000-0005-0000-0000-00004A840000}"/>
    <cellStyle name="Normal 6 2 2 7" xfId="12968" xr:uid="{00000000-0005-0000-0000-00004B840000}"/>
    <cellStyle name="Normal 6 2 2 7 2" xfId="12969" xr:uid="{00000000-0005-0000-0000-00004C840000}"/>
    <cellStyle name="Normal 6 2 2 7 2 2" xfId="12970" xr:uid="{00000000-0005-0000-0000-00004D840000}"/>
    <cellStyle name="Normal 6 2 2 7 2 2 2" xfId="12971" xr:uid="{00000000-0005-0000-0000-00004E840000}"/>
    <cellStyle name="Normal 6 2 2 7 2 2 2 2" xfId="12972" xr:uid="{00000000-0005-0000-0000-00004F840000}"/>
    <cellStyle name="Normal 6 2 2 7 2 2 2 2 2" xfId="36454" xr:uid="{00000000-0005-0000-0000-000050840000}"/>
    <cellStyle name="Normal 6 2 2 7 2 2 2 3" xfId="36453" xr:uid="{00000000-0005-0000-0000-000051840000}"/>
    <cellStyle name="Normal 6 2 2 7 2 2 3" xfId="12973" xr:uid="{00000000-0005-0000-0000-000052840000}"/>
    <cellStyle name="Normal 6 2 2 7 2 2 3 2" xfId="36455" xr:uid="{00000000-0005-0000-0000-000053840000}"/>
    <cellStyle name="Normal 6 2 2 7 2 2 4" xfId="36452" xr:uid="{00000000-0005-0000-0000-000054840000}"/>
    <cellStyle name="Normal 6 2 2 7 2 3" xfId="12974" xr:uid="{00000000-0005-0000-0000-000055840000}"/>
    <cellStyle name="Normal 6 2 2 7 2 3 2" xfId="12975" xr:uid="{00000000-0005-0000-0000-000056840000}"/>
    <cellStyle name="Normal 6 2 2 7 2 3 2 2" xfId="36457" xr:uid="{00000000-0005-0000-0000-000057840000}"/>
    <cellStyle name="Normal 6 2 2 7 2 3 3" xfId="36456" xr:uid="{00000000-0005-0000-0000-000058840000}"/>
    <cellStyle name="Normal 6 2 2 7 2 4" xfId="12976" xr:uid="{00000000-0005-0000-0000-000059840000}"/>
    <cellStyle name="Normal 6 2 2 7 2 4 2" xfId="36458" xr:uid="{00000000-0005-0000-0000-00005A840000}"/>
    <cellStyle name="Normal 6 2 2 7 2 5" xfId="36451" xr:uid="{00000000-0005-0000-0000-00005B840000}"/>
    <cellStyle name="Normal 6 2 2 7 3" xfId="12977" xr:uid="{00000000-0005-0000-0000-00005C840000}"/>
    <cellStyle name="Normal 6 2 2 7 3 2" xfId="12978" xr:uid="{00000000-0005-0000-0000-00005D840000}"/>
    <cellStyle name="Normal 6 2 2 7 3 2 2" xfId="12979" xr:uid="{00000000-0005-0000-0000-00005E840000}"/>
    <cellStyle name="Normal 6 2 2 7 3 2 2 2" xfId="12980" xr:uid="{00000000-0005-0000-0000-00005F840000}"/>
    <cellStyle name="Normal 6 2 2 7 3 2 2 2 2" xfId="36462" xr:uid="{00000000-0005-0000-0000-000060840000}"/>
    <cellStyle name="Normal 6 2 2 7 3 2 2 3" xfId="36461" xr:uid="{00000000-0005-0000-0000-000061840000}"/>
    <cellStyle name="Normal 6 2 2 7 3 2 3" xfId="12981" xr:uid="{00000000-0005-0000-0000-000062840000}"/>
    <cellStyle name="Normal 6 2 2 7 3 2 3 2" xfId="36463" xr:uid="{00000000-0005-0000-0000-000063840000}"/>
    <cellStyle name="Normal 6 2 2 7 3 2 4" xfId="36460" xr:uid="{00000000-0005-0000-0000-000064840000}"/>
    <cellStyle name="Normal 6 2 2 7 3 3" xfId="12982" xr:uid="{00000000-0005-0000-0000-000065840000}"/>
    <cellStyle name="Normal 6 2 2 7 3 3 2" xfId="12983" xr:uid="{00000000-0005-0000-0000-000066840000}"/>
    <cellStyle name="Normal 6 2 2 7 3 3 2 2" xfId="36465" xr:uid="{00000000-0005-0000-0000-000067840000}"/>
    <cellStyle name="Normal 6 2 2 7 3 3 3" xfId="36464" xr:uid="{00000000-0005-0000-0000-000068840000}"/>
    <cellStyle name="Normal 6 2 2 7 3 4" xfId="12984" xr:uid="{00000000-0005-0000-0000-000069840000}"/>
    <cellStyle name="Normal 6 2 2 7 3 4 2" xfId="36466" xr:uid="{00000000-0005-0000-0000-00006A840000}"/>
    <cellStyle name="Normal 6 2 2 7 3 5" xfId="36459" xr:uid="{00000000-0005-0000-0000-00006B840000}"/>
    <cellStyle name="Normal 6 2 2 7 4" xfId="12985" xr:uid="{00000000-0005-0000-0000-00006C840000}"/>
    <cellStyle name="Normal 6 2 2 7 4 2" xfId="12986" xr:uid="{00000000-0005-0000-0000-00006D840000}"/>
    <cellStyle name="Normal 6 2 2 7 4 2 2" xfId="12987" xr:uid="{00000000-0005-0000-0000-00006E840000}"/>
    <cellStyle name="Normal 6 2 2 7 4 2 2 2" xfId="36469" xr:uid="{00000000-0005-0000-0000-00006F840000}"/>
    <cellStyle name="Normal 6 2 2 7 4 2 3" xfId="36468" xr:uid="{00000000-0005-0000-0000-000070840000}"/>
    <cellStyle name="Normal 6 2 2 7 4 3" xfId="12988" xr:uid="{00000000-0005-0000-0000-000071840000}"/>
    <cellStyle name="Normal 6 2 2 7 4 3 2" xfId="36470" xr:uid="{00000000-0005-0000-0000-000072840000}"/>
    <cellStyle name="Normal 6 2 2 7 4 4" xfId="36467" xr:uid="{00000000-0005-0000-0000-000073840000}"/>
    <cellStyle name="Normal 6 2 2 7 5" xfId="12989" xr:uid="{00000000-0005-0000-0000-000074840000}"/>
    <cellStyle name="Normal 6 2 2 7 5 2" xfId="12990" xr:uid="{00000000-0005-0000-0000-000075840000}"/>
    <cellStyle name="Normal 6 2 2 7 5 2 2" xfId="36472" xr:uid="{00000000-0005-0000-0000-000076840000}"/>
    <cellStyle name="Normal 6 2 2 7 5 3" xfId="36471" xr:uid="{00000000-0005-0000-0000-000077840000}"/>
    <cellStyle name="Normal 6 2 2 7 6" xfId="12991" xr:uid="{00000000-0005-0000-0000-000078840000}"/>
    <cellStyle name="Normal 6 2 2 7 6 2" xfId="36473" xr:uid="{00000000-0005-0000-0000-000079840000}"/>
    <cellStyle name="Normal 6 2 2 7 7" xfId="36450" xr:uid="{00000000-0005-0000-0000-00007A840000}"/>
    <cellStyle name="Normal 6 2 2 8" xfId="12992" xr:uid="{00000000-0005-0000-0000-00007B840000}"/>
    <cellStyle name="Normal 6 2 2 8 2" xfId="12993" xr:uid="{00000000-0005-0000-0000-00007C840000}"/>
    <cellStyle name="Normal 6 2 2 8 2 2" xfId="12994" xr:uid="{00000000-0005-0000-0000-00007D840000}"/>
    <cellStyle name="Normal 6 2 2 8 2 2 2" xfId="12995" xr:uid="{00000000-0005-0000-0000-00007E840000}"/>
    <cellStyle name="Normal 6 2 2 8 2 2 2 2" xfId="12996" xr:uid="{00000000-0005-0000-0000-00007F840000}"/>
    <cellStyle name="Normal 6 2 2 8 2 2 2 2 2" xfId="36478" xr:uid="{00000000-0005-0000-0000-000080840000}"/>
    <cellStyle name="Normal 6 2 2 8 2 2 2 3" xfId="36477" xr:uid="{00000000-0005-0000-0000-000081840000}"/>
    <cellStyle name="Normal 6 2 2 8 2 2 3" xfId="12997" xr:uid="{00000000-0005-0000-0000-000082840000}"/>
    <cellStyle name="Normal 6 2 2 8 2 2 3 2" xfId="36479" xr:uid="{00000000-0005-0000-0000-000083840000}"/>
    <cellStyle name="Normal 6 2 2 8 2 2 4" xfId="36476" xr:uid="{00000000-0005-0000-0000-000084840000}"/>
    <cellStyle name="Normal 6 2 2 8 2 3" xfId="12998" xr:uid="{00000000-0005-0000-0000-000085840000}"/>
    <cellStyle name="Normal 6 2 2 8 2 3 2" xfId="12999" xr:uid="{00000000-0005-0000-0000-000086840000}"/>
    <cellStyle name="Normal 6 2 2 8 2 3 2 2" xfId="36481" xr:uid="{00000000-0005-0000-0000-000087840000}"/>
    <cellStyle name="Normal 6 2 2 8 2 3 3" xfId="36480" xr:uid="{00000000-0005-0000-0000-000088840000}"/>
    <cellStyle name="Normal 6 2 2 8 2 4" xfId="13000" xr:uid="{00000000-0005-0000-0000-000089840000}"/>
    <cellStyle name="Normal 6 2 2 8 2 4 2" xfId="36482" xr:uid="{00000000-0005-0000-0000-00008A840000}"/>
    <cellStyle name="Normal 6 2 2 8 2 5" xfId="36475" xr:uid="{00000000-0005-0000-0000-00008B840000}"/>
    <cellStyle name="Normal 6 2 2 8 3" xfId="13001" xr:uid="{00000000-0005-0000-0000-00008C840000}"/>
    <cellStyle name="Normal 6 2 2 8 3 2" xfId="13002" xr:uid="{00000000-0005-0000-0000-00008D840000}"/>
    <cellStyle name="Normal 6 2 2 8 3 2 2" xfId="13003" xr:uid="{00000000-0005-0000-0000-00008E840000}"/>
    <cellStyle name="Normal 6 2 2 8 3 2 2 2" xfId="13004" xr:uid="{00000000-0005-0000-0000-00008F840000}"/>
    <cellStyle name="Normal 6 2 2 8 3 2 2 2 2" xfId="36486" xr:uid="{00000000-0005-0000-0000-000090840000}"/>
    <cellStyle name="Normal 6 2 2 8 3 2 2 3" xfId="36485" xr:uid="{00000000-0005-0000-0000-000091840000}"/>
    <cellStyle name="Normal 6 2 2 8 3 2 3" xfId="13005" xr:uid="{00000000-0005-0000-0000-000092840000}"/>
    <cellStyle name="Normal 6 2 2 8 3 2 3 2" xfId="36487" xr:uid="{00000000-0005-0000-0000-000093840000}"/>
    <cellStyle name="Normal 6 2 2 8 3 2 4" xfId="36484" xr:uid="{00000000-0005-0000-0000-000094840000}"/>
    <cellStyle name="Normal 6 2 2 8 3 3" xfId="13006" xr:uid="{00000000-0005-0000-0000-000095840000}"/>
    <cellStyle name="Normal 6 2 2 8 3 3 2" xfId="13007" xr:uid="{00000000-0005-0000-0000-000096840000}"/>
    <cellStyle name="Normal 6 2 2 8 3 3 2 2" xfId="36489" xr:uid="{00000000-0005-0000-0000-000097840000}"/>
    <cellStyle name="Normal 6 2 2 8 3 3 3" xfId="36488" xr:uid="{00000000-0005-0000-0000-000098840000}"/>
    <cellStyle name="Normal 6 2 2 8 3 4" xfId="13008" xr:uid="{00000000-0005-0000-0000-000099840000}"/>
    <cellStyle name="Normal 6 2 2 8 3 4 2" xfId="36490" xr:uid="{00000000-0005-0000-0000-00009A840000}"/>
    <cellStyle name="Normal 6 2 2 8 3 5" xfId="36483" xr:uid="{00000000-0005-0000-0000-00009B840000}"/>
    <cellStyle name="Normal 6 2 2 8 4" xfId="13009" xr:uid="{00000000-0005-0000-0000-00009C840000}"/>
    <cellStyle name="Normal 6 2 2 8 4 2" xfId="13010" xr:uid="{00000000-0005-0000-0000-00009D840000}"/>
    <cellStyle name="Normal 6 2 2 8 4 2 2" xfId="13011" xr:uid="{00000000-0005-0000-0000-00009E840000}"/>
    <cellStyle name="Normal 6 2 2 8 4 2 2 2" xfId="36493" xr:uid="{00000000-0005-0000-0000-00009F840000}"/>
    <cellStyle name="Normal 6 2 2 8 4 2 3" xfId="36492" xr:uid="{00000000-0005-0000-0000-0000A0840000}"/>
    <cellStyle name="Normal 6 2 2 8 4 3" xfId="13012" xr:uid="{00000000-0005-0000-0000-0000A1840000}"/>
    <cellStyle name="Normal 6 2 2 8 4 3 2" xfId="36494" xr:uid="{00000000-0005-0000-0000-0000A2840000}"/>
    <cellStyle name="Normal 6 2 2 8 4 4" xfId="36491" xr:uid="{00000000-0005-0000-0000-0000A3840000}"/>
    <cellStyle name="Normal 6 2 2 8 5" xfId="13013" xr:uid="{00000000-0005-0000-0000-0000A4840000}"/>
    <cellStyle name="Normal 6 2 2 8 5 2" xfId="13014" xr:uid="{00000000-0005-0000-0000-0000A5840000}"/>
    <cellStyle name="Normal 6 2 2 8 5 2 2" xfId="36496" xr:uid="{00000000-0005-0000-0000-0000A6840000}"/>
    <cellStyle name="Normal 6 2 2 8 5 3" xfId="36495" xr:uid="{00000000-0005-0000-0000-0000A7840000}"/>
    <cellStyle name="Normal 6 2 2 8 6" xfId="13015" xr:uid="{00000000-0005-0000-0000-0000A8840000}"/>
    <cellStyle name="Normal 6 2 2 8 6 2" xfId="36497" xr:uid="{00000000-0005-0000-0000-0000A9840000}"/>
    <cellStyle name="Normal 6 2 2 8 7" xfId="36474" xr:uid="{00000000-0005-0000-0000-0000AA840000}"/>
    <cellStyle name="Normal 6 2 2 9" xfId="13016" xr:uid="{00000000-0005-0000-0000-0000AB840000}"/>
    <cellStyle name="Normal 6 2 2 9 2" xfId="13017" xr:uid="{00000000-0005-0000-0000-0000AC840000}"/>
    <cellStyle name="Normal 6 2 2 9 2 2" xfId="13018" xr:uid="{00000000-0005-0000-0000-0000AD840000}"/>
    <cellStyle name="Normal 6 2 2 9 2 2 2" xfId="13019" xr:uid="{00000000-0005-0000-0000-0000AE840000}"/>
    <cellStyle name="Normal 6 2 2 9 2 2 2 2" xfId="36501" xr:uid="{00000000-0005-0000-0000-0000AF840000}"/>
    <cellStyle name="Normal 6 2 2 9 2 2 3" xfId="36500" xr:uid="{00000000-0005-0000-0000-0000B0840000}"/>
    <cellStyle name="Normal 6 2 2 9 2 3" xfId="13020" xr:uid="{00000000-0005-0000-0000-0000B1840000}"/>
    <cellStyle name="Normal 6 2 2 9 2 3 2" xfId="36502" xr:uid="{00000000-0005-0000-0000-0000B2840000}"/>
    <cellStyle name="Normal 6 2 2 9 2 4" xfId="36499" xr:uid="{00000000-0005-0000-0000-0000B3840000}"/>
    <cellStyle name="Normal 6 2 2 9 3" xfId="13021" xr:uid="{00000000-0005-0000-0000-0000B4840000}"/>
    <cellStyle name="Normal 6 2 2 9 3 2" xfId="13022" xr:uid="{00000000-0005-0000-0000-0000B5840000}"/>
    <cellStyle name="Normal 6 2 2 9 3 2 2" xfId="36504" xr:uid="{00000000-0005-0000-0000-0000B6840000}"/>
    <cellStyle name="Normal 6 2 2 9 3 3" xfId="36503" xr:uid="{00000000-0005-0000-0000-0000B7840000}"/>
    <cellStyle name="Normal 6 2 2 9 4" xfId="13023" xr:uid="{00000000-0005-0000-0000-0000B8840000}"/>
    <cellStyle name="Normal 6 2 2 9 4 2" xfId="36505" xr:uid="{00000000-0005-0000-0000-0000B9840000}"/>
    <cellStyle name="Normal 6 2 2 9 5" xfId="36498" xr:uid="{00000000-0005-0000-0000-0000BA840000}"/>
    <cellStyle name="Normal 6 2 3" xfId="13024" xr:uid="{00000000-0005-0000-0000-0000BB840000}"/>
    <cellStyle name="Normal 6 2 3 10" xfId="13025" xr:uid="{00000000-0005-0000-0000-0000BC840000}"/>
    <cellStyle name="Normal 6 2 3 10 2" xfId="36507" xr:uid="{00000000-0005-0000-0000-0000BD840000}"/>
    <cellStyle name="Normal 6 2 3 11" xfId="36506" xr:uid="{00000000-0005-0000-0000-0000BE840000}"/>
    <cellStyle name="Normal 6 2 3 2" xfId="13026" xr:uid="{00000000-0005-0000-0000-0000BF840000}"/>
    <cellStyle name="Normal 6 2 3 2 2" xfId="13027" xr:uid="{00000000-0005-0000-0000-0000C0840000}"/>
    <cellStyle name="Normal 6 2 3 2 2 2" xfId="13028" xr:uid="{00000000-0005-0000-0000-0000C1840000}"/>
    <cellStyle name="Normal 6 2 3 2 2 2 2" xfId="13029" xr:uid="{00000000-0005-0000-0000-0000C2840000}"/>
    <cellStyle name="Normal 6 2 3 2 2 2 2 2" xfId="13030" xr:uid="{00000000-0005-0000-0000-0000C3840000}"/>
    <cellStyle name="Normal 6 2 3 2 2 2 2 2 2" xfId="36512" xr:uid="{00000000-0005-0000-0000-0000C4840000}"/>
    <cellStyle name="Normal 6 2 3 2 2 2 2 3" xfId="36511" xr:uid="{00000000-0005-0000-0000-0000C5840000}"/>
    <cellStyle name="Normal 6 2 3 2 2 2 3" xfId="13031" xr:uid="{00000000-0005-0000-0000-0000C6840000}"/>
    <cellStyle name="Normal 6 2 3 2 2 2 3 2" xfId="36513" xr:uid="{00000000-0005-0000-0000-0000C7840000}"/>
    <cellStyle name="Normal 6 2 3 2 2 2 4" xfId="36510" xr:uid="{00000000-0005-0000-0000-0000C8840000}"/>
    <cellStyle name="Normal 6 2 3 2 2 3" xfId="13032" xr:uid="{00000000-0005-0000-0000-0000C9840000}"/>
    <cellStyle name="Normal 6 2 3 2 2 3 2" xfId="13033" xr:uid="{00000000-0005-0000-0000-0000CA840000}"/>
    <cellStyle name="Normal 6 2 3 2 2 3 2 2" xfId="36515" xr:uid="{00000000-0005-0000-0000-0000CB840000}"/>
    <cellStyle name="Normal 6 2 3 2 2 3 3" xfId="36514" xr:uid="{00000000-0005-0000-0000-0000CC840000}"/>
    <cellStyle name="Normal 6 2 3 2 2 4" xfId="13034" xr:uid="{00000000-0005-0000-0000-0000CD840000}"/>
    <cellStyle name="Normal 6 2 3 2 2 4 2" xfId="36516" xr:uid="{00000000-0005-0000-0000-0000CE840000}"/>
    <cellStyle name="Normal 6 2 3 2 2 5" xfId="36509" xr:uid="{00000000-0005-0000-0000-0000CF840000}"/>
    <cellStyle name="Normal 6 2 3 2 3" xfId="13035" xr:uid="{00000000-0005-0000-0000-0000D0840000}"/>
    <cellStyle name="Normal 6 2 3 2 3 2" xfId="13036" xr:uid="{00000000-0005-0000-0000-0000D1840000}"/>
    <cellStyle name="Normal 6 2 3 2 3 2 2" xfId="13037" xr:uid="{00000000-0005-0000-0000-0000D2840000}"/>
    <cellStyle name="Normal 6 2 3 2 3 2 2 2" xfId="13038" xr:uid="{00000000-0005-0000-0000-0000D3840000}"/>
    <cellStyle name="Normal 6 2 3 2 3 2 2 2 2" xfId="36520" xr:uid="{00000000-0005-0000-0000-0000D4840000}"/>
    <cellStyle name="Normal 6 2 3 2 3 2 2 3" xfId="36519" xr:uid="{00000000-0005-0000-0000-0000D5840000}"/>
    <cellStyle name="Normal 6 2 3 2 3 2 3" xfId="13039" xr:uid="{00000000-0005-0000-0000-0000D6840000}"/>
    <cellStyle name="Normal 6 2 3 2 3 2 3 2" xfId="36521" xr:uid="{00000000-0005-0000-0000-0000D7840000}"/>
    <cellStyle name="Normal 6 2 3 2 3 2 4" xfId="36518" xr:uid="{00000000-0005-0000-0000-0000D8840000}"/>
    <cellStyle name="Normal 6 2 3 2 3 3" xfId="13040" xr:uid="{00000000-0005-0000-0000-0000D9840000}"/>
    <cellStyle name="Normal 6 2 3 2 3 3 2" xfId="13041" xr:uid="{00000000-0005-0000-0000-0000DA840000}"/>
    <cellStyle name="Normal 6 2 3 2 3 3 2 2" xfId="36523" xr:uid="{00000000-0005-0000-0000-0000DB840000}"/>
    <cellStyle name="Normal 6 2 3 2 3 3 3" xfId="36522" xr:uid="{00000000-0005-0000-0000-0000DC840000}"/>
    <cellStyle name="Normal 6 2 3 2 3 4" xfId="13042" xr:uid="{00000000-0005-0000-0000-0000DD840000}"/>
    <cellStyle name="Normal 6 2 3 2 3 4 2" xfId="36524" xr:uid="{00000000-0005-0000-0000-0000DE840000}"/>
    <cellStyle name="Normal 6 2 3 2 3 5" xfId="36517" xr:uid="{00000000-0005-0000-0000-0000DF840000}"/>
    <cellStyle name="Normal 6 2 3 2 4" xfId="13043" xr:uid="{00000000-0005-0000-0000-0000E0840000}"/>
    <cellStyle name="Normal 6 2 3 2 4 2" xfId="13044" xr:uid="{00000000-0005-0000-0000-0000E1840000}"/>
    <cellStyle name="Normal 6 2 3 2 4 2 2" xfId="13045" xr:uid="{00000000-0005-0000-0000-0000E2840000}"/>
    <cellStyle name="Normal 6 2 3 2 4 2 2 2" xfId="36527" xr:uid="{00000000-0005-0000-0000-0000E3840000}"/>
    <cellStyle name="Normal 6 2 3 2 4 2 3" xfId="36526" xr:uid="{00000000-0005-0000-0000-0000E4840000}"/>
    <cellStyle name="Normal 6 2 3 2 4 3" xfId="13046" xr:uid="{00000000-0005-0000-0000-0000E5840000}"/>
    <cellStyle name="Normal 6 2 3 2 4 3 2" xfId="36528" xr:uid="{00000000-0005-0000-0000-0000E6840000}"/>
    <cellStyle name="Normal 6 2 3 2 4 4" xfId="36525" xr:uid="{00000000-0005-0000-0000-0000E7840000}"/>
    <cellStyle name="Normal 6 2 3 2 5" xfId="13047" xr:uid="{00000000-0005-0000-0000-0000E8840000}"/>
    <cellStyle name="Normal 6 2 3 2 5 2" xfId="13048" xr:uid="{00000000-0005-0000-0000-0000E9840000}"/>
    <cellStyle name="Normal 6 2 3 2 5 2 2" xfId="36530" xr:uid="{00000000-0005-0000-0000-0000EA840000}"/>
    <cellStyle name="Normal 6 2 3 2 5 3" xfId="36529" xr:uid="{00000000-0005-0000-0000-0000EB840000}"/>
    <cellStyle name="Normal 6 2 3 2 6" xfId="13049" xr:uid="{00000000-0005-0000-0000-0000EC840000}"/>
    <cellStyle name="Normal 6 2 3 2 6 2" xfId="36531" xr:uid="{00000000-0005-0000-0000-0000ED840000}"/>
    <cellStyle name="Normal 6 2 3 2 7" xfId="36508" xr:uid="{00000000-0005-0000-0000-0000EE840000}"/>
    <cellStyle name="Normal 6 2 3 3" xfId="13050" xr:uid="{00000000-0005-0000-0000-0000EF840000}"/>
    <cellStyle name="Normal 6 2 3 3 2" xfId="13051" xr:uid="{00000000-0005-0000-0000-0000F0840000}"/>
    <cellStyle name="Normal 6 2 3 3 2 2" xfId="13052" xr:uid="{00000000-0005-0000-0000-0000F1840000}"/>
    <cellStyle name="Normal 6 2 3 3 2 2 2" xfId="13053" xr:uid="{00000000-0005-0000-0000-0000F2840000}"/>
    <cellStyle name="Normal 6 2 3 3 2 2 2 2" xfId="13054" xr:uid="{00000000-0005-0000-0000-0000F3840000}"/>
    <cellStyle name="Normal 6 2 3 3 2 2 2 2 2" xfId="36536" xr:uid="{00000000-0005-0000-0000-0000F4840000}"/>
    <cellStyle name="Normal 6 2 3 3 2 2 2 3" xfId="36535" xr:uid="{00000000-0005-0000-0000-0000F5840000}"/>
    <cellStyle name="Normal 6 2 3 3 2 2 3" xfId="13055" xr:uid="{00000000-0005-0000-0000-0000F6840000}"/>
    <cellStyle name="Normal 6 2 3 3 2 2 3 2" xfId="36537" xr:uid="{00000000-0005-0000-0000-0000F7840000}"/>
    <cellStyle name="Normal 6 2 3 3 2 2 4" xfId="36534" xr:uid="{00000000-0005-0000-0000-0000F8840000}"/>
    <cellStyle name="Normal 6 2 3 3 2 3" xfId="13056" xr:uid="{00000000-0005-0000-0000-0000F9840000}"/>
    <cellStyle name="Normal 6 2 3 3 2 3 2" xfId="13057" xr:uid="{00000000-0005-0000-0000-0000FA840000}"/>
    <cellStyle name="Normal 6 2 3 3 2 3 2 2" xfId="36539" xr:uid="{00000000-0005-0000-0000-0000FB840000}"/>
    <cellStyle name="Normal 6 2 3 3 2 3 3" xfId="36538" xr:uid="{00000000-0005-0000-0000-0000FC840000}"/>
    <cellStyle name="Normal 6 2 3 3 2 4" xfId="13058" xr:uid="{00000000-0005-0000-0000-0000FD840000}"/>
    <cellStyle name="Normal 6 2 3 3 2 4 2" xfId="36540" xr:uid="{00000000-0005-0000-0000-0000FE840000}"/>
    <cellStyle name="Normal 6 2 3 3 2 5" xfId="36533" xr:uid="{00000000-0005-0000-0000-0000FF840000}"/>
    <cellStyle name="Normal 6 2 3 3 3" xfId="13059" xr:uid="{00000000-0005-0000-0000-000000850000}"/>
    <cellStyle name="Normal 6 2 3 3 3 2" xfId="13060" xr:uid="{00000000-0005-0000-0000-000001850000}"/>
    <cellStyle name="Normal 6 2 3 3 3 2 2" xfId="13061" xr:uid="{00000000-0005-0000-0000-000002850000}"/>
    <cellStyle name="Normal 6 2 3 3 3 2 2 2" xfId="13062" xr:uid="{00000000-0005-0000-0000-000003850000}"/>
    <cellStyle name="Normal 6 2 3 3 3 2 2 2 2" xfId="36544" xr:uid="{00000000-0005-0000-0000-000004850000}"/>
    <cellStyle name="Normal 6 2 3 3 3 2 2 3" xfId="36543" xr:uid="{00000000-0005-0000-0000-000005850000}"/>
    <cellStyle name="Normal 6 2 3 3 3 2 3" xfId="13063" xr:uid="{00000000-0005-0000-0000-000006850000}"/>
    <cellStyle name="Normal 6 2 3 3 3 2 3 2" xfId="36545" xr:uid="{00000000-0005-0000-0000-000007850000}"/>
    <cellStyle name="Normal 6 2 3 3 3 2 4" xfId="36542" xr:uid="{00000000-0005-0000-0000-000008850000}"/>
    <cellStyle name="Normal 6 2 3 3 3 3" xfId="13064" xr:uid="{00000000-0005-0000-0000-000009850000}"/>
    <cellStyle name="Normal 6 2 3 3 3 3 2" xfId="13065" xr:uid="{00000000-0005-0000-0000-00000A850000}"/>
    <cellStyle name="Normal 6 2 3 3 3 3 2 2" xfId="36547" xr:uid="{00000000-0005-0000-0000-00000B850000}"/>
    <cellStyle name="Normal 6 2 3 3 3 3 3" xfId="36546" xr:uid="{00000000-0005-0000-0000-00000C850000}"/>
    <cellStyle name="Normal 6 2 3 3 3 4" xfId="13066" xr:uid="{00000000-0005-0000-0000-00000D850000}"/>
    <cellStyle name="Normal 6 2 3 3 3 4 2" xfId="36548" xr:uid="{00000000-0005-0000-0000-00000E850000}"/>
    <cellStyle name="Normal 6 2 3 3 3 5" xfId="36541" xr:uid="{00000000-0005-0000-0000-00000F850000}"/>
    <cellStyle name="Normal 6 2 3 3 4" xfId="13067" xr:uid="{00000000-0005-0000-0000-000010850000}"/>
    <cellStyle name="Normal 6 2 3 3 4 2" xfId="13068" xr:uid="{00000000-0005-0000-0000-000011850000}"/>
    <cellStyle name="Normal 6 2 3 3 4 2 2" xfId="13069" xr:uid="{00000000-0005-0000-0000-000012850000}"/>
    <cellStyle name="Normal 6 2 3 3 4 2 2 2" xfId="36551" xr:uid="{00000000-0005-0000-0000-000013850000}"/>
    <cellStyle name="Normal 6 2 3 3 4 2 3" xfId="36550" xr:uid="{00000000-0005-0000-0000-000014850000}"/>
    <cellStyle name="Normal 6 2 3 3 4 3" xfId="13070" xr:uid="{00000000-0005-0000-0000-000015850000}"/>
    <cellStyle name="Normal 6 2 3 3 4 3 2" xfId="36552" xr:uid="{00000000-0005-0000-0000-000016850000}"/>
    <cellStyle name="Normal 6 2 3 3 4 4" xfId="36549" xr:uid="{00000000-0005-0000-0000-000017850000}"/>
    <cellStyle name="Normal 6 2 3 3 5" xfId="13071" xr:uid="{00000000-0005-0000-0000-000018850000}"/>
    <cellStyle name="Normal 6 2 3 3 5 2" xfId="13072" xr:uid="{00000000-0005-0000-0000-000019850000}"/>
    <cellStyle name="Normal 6 2 3 3 5 2 2" xfId="36554" xr:uid="{00000000-0005-0000-0000-00001A850000}"/>
    <cellStyle name="Normal 6 2 3 3 5 3" xfId="36553" xr:uid="{00000000-0005-0000-0000-00001B850000}"/>
    <cellStyle name="Normal 6 2 3 3 6" xfId="13073" xr:uid="{00000000-0005-0000-0000-00001C850000}"/>
    <cellStyle name="Normal 6 2 3 3 6 2" xfId="36555" xr:uid="{00000000-0005-0000-0000-00001D850000}"/>
    <cellStyle name="Normal 6 2 3 3 7" xfId="36532" xr:uid="{00000000-0005-0000-0000-00001E850000}"/>
    <cellStyle name="Normal 6 2 3 4" xfId="13074" xr:uid="{00000000-0005-0000-0000-00001F850000}"/>
    <cellStyle name="Normal 6 2 3 4 2" xfId="13075" xr:uid="{00000000-0005-0000-0000-000020850000}"/>
    <cellStyle name="Normal 6 2 3 4 2 2" xfId="13076" xr:uid="{00000000-0005-0000-0000-000021850000}"/>
    <cellStyle name="Normal 6 2 3 4 2 2 2" xfId="13077" xr:uid="{00000000-0005-0000-0000-000022850000}"/>
    <cellStyle name="Normal 6 2 3 4 2 2 2 2" xfId="13078" xr:uid="{00000000-0005-0000-0000-000023850000}"/>
    <cellStyle name="Normal 6 2 3 4 2 2 2 2 2" xfId="36560" xr:uid="{00000000-0005-0000-0000-000024850000}"/>
    <cellStyle name="Normal 6 2 3 4 2 2 2 3" xfId="36559" xr:uid="{00000000-0005-0000-0000-000025850000}"/>
    <cellStyle name="Normal 6 2 3 4 2 2 3" xfId="13079" xr:uid="{00000000-0005-0000-0000-000026850000}"/>
    <cellStyle name="Normal 6 2 3 4 2 2 3 2" xfId="36561" xr:uid="{00000000-0005-0000-0000-000027850000}"/>
    <cellStyle name="Normal 6 2 3 4 2 2 4" xfId="36558" xr:uid="{00000000-0005-0000-0000-000028850000}"/>
    <cellStyle name="Normal 6 2 3 4 2 3" xfId="13080" xr:uid="{00000000-0005-0000-0000-000029850000}"/>
    <cellStyle name="Normal 6 2 3 4 2 3 2" xfId="13081" xr:uid="{00000000-0005-0000-0000-00002A850000}"/>
    <cellStyle name="Normal 6 2 3 4 2 3 2 2" xfId="36563" xr:uid="{00000000-0005-0000-0000-00002B850000}"/>
    <cellStyle name="Normal 6 2 3 4 2 3 3" xfId="36562" xr:uid="{00000000-0005-0000-0000-00002C850000}"/>
    <cellStyle name="Normal 6 2 3 4 2 4" xfId="13082" xr:uid="{00000000-0005-0000-0000-00002D850000}"/>
    <cellStyle name="Normal 6 2 3 4 2 4 2" xfId="36564" xr:uid="{00000000-0005-0000-0000-00002E850000}"/>
    <cellStyle name="Normal 6 2 3 4 2 5" xfId="36557" xr:uid="{00000000-0005-0000-0000-00002F850000}"/>
    <cellStyle name="Normal 6 2 3 4 3" xfId="13083" xr:uid="{00000000-0005-0000-0000-000030850000}"/>
    <cellStyle name="Normal 6 2 3 4 3 2" xfId="13084" xr:uid="{00000000-0005-0000-0000-000031850000}"/>
    <cellStyle name="Normal 6 2 3 4 3 2 2" xfId="13085" xr:uid="{00000000-0005-0000-0000-000032850000}"/>
    <cellStyle name="Normal 6 2 3 4 3 2 2 2" xfId="13086" xr:uid="{00000000-0005-0000-0000-000033850000}"/>
    <cellStyle name="Normal 6 2 3 4 3 2 2 2 2" xfId="36568" xr:uid="{00000000-0005-0000-0000-000034850000}"/>
    <cellStyle name="Normal 6 2 3 4 3 2 2 3" xfId="36567" xr:uid="{00000000-0005-0000-0000-000035850000}"/>
    <cellStyle name="Normal 6 2 3 4 3 2 3" xfId="13087" xr:uid="{00000000-0005-0000-0000-000036850000}"/>
    <cellStyle name="Normal 6 2 3 4 3 2 3 2" xfId="36569" xr:uid="{00000000-0005-0000-0000-000037850000}"/>
    <cellStyle name="Normal 6 2 3 4 3 2 4" xfId="36566" xr:uid="{00000000-0005-0000-0000-000038850000}"/>
    <cellStyle name="Normal 6 2 3 4 3 3" xfId="13088" xr:uid="{00000000-0005-0000-0000-000039850000}"/>
    <cellStyle name="Normal 6 2 3 4 3 3 2" xfId="13089" xr:uid="{00000000-0005-0000-0000-00003A850000}"/>
    <cellStyle name="Normal 6 2 3 4 3 3 2 2" xfId="36571" xr:uid="{00000000-0005-0000-0000-00003B850000}"/>
    <cellStyle name="Normal 6 2 3 4 3 3 3" xfId="36570" xr:uid="{00000000-0005-0000-0000-00003C850000}"/>
    <cellStyle name="Normal 6 2 3 4 3 4" xfId="13090" xr:uid="{00000000-0005-0000-0000-00003D850000}"/>
    <cellStyle name="Normal 6 2 3 4 3 4 2" xfId="36572" xr:uid="{00000000-0005-0000-0000-00003E850000}"/>
    <cellStyle name="Normal 6 2 3 4 3 5" xfId="36565" xr:uid="{00000000-0005-0000-0000-00003F850000}"/>
    <cellStyle name="Normal 6 2 3 4 4" xfId="13091" xr:uid="{00000000-0005-0000-0000-000040850000}"/>
    <cellStyle name="Normal 6 2 3 4 4 2" xfId="13092" xr:uid="{00000000-0005-0000-0000-000041850000}"/>
    <cellStyle name="Normal 6 2 3 4 4 2 2" xfId="13093" xr:uid="{00000000-0005-0000-0000-000042850000}"/>
    <cellStyle name="Normal 6 2 3 4 4 2 2 2" xfId="36575" xr:uid="{00000000-0005-0000-0000-000043850000}"/>
    <cellStyle name="Normal 6 2 3 4 4 2 3" xfId="36574" xr:uid="{00000000-0005-0000-0000-000044850000}"/>
    <cellStyle name="Normal 6 2 3 4 4 3" xfId="13094" xr:uid="{00000000-0005-0000-0000-000045850000}"/>
    <cellStyle name="Normal 6 2 3 4 4 3 2" xfId="36576" xr:uid="{00000000-0005-0000-0000-000046850000}"/>
    <cellStyle name="Normal 6 2 3 4 4 4" xfId="36573" xr:uid="{00000000-0005-0000-0000-000047850000}"/>
    <cellStyle name="Normal 6 2 3 4 5" xfId="13095" xr:uid="{00000000-0005-0000-0000-000048850000}"/>
    <cellStyle name="Normal 6 2 3 4 5 2" xfId="13096" xr:uid="{00000000-0005-0000-0000-000049850000}"/>
    <cellStyle name="Normal 6 2 3 4 5 2 2" xfId="36578" xr:uid="{00000000-0005-0000-0000-00004A850000}"/>
    <cellStyle name="Normal 6 2 3 4 5 3" xfId="36577" xr:uid="{00000000-0005-0000-0000-00004B850000}"/>
    <cellStyle name="Normal 6 2 3 4 6" xfId="13097" xr:uid="{00000000-0005-0000-0000-00004C850000}"/>
    <cellStyle name="Normal 6 2 3 4 6 2" xfId="36579" xr:uid="{00000000-0005-0000-0000-00004D850000}"/>
    <cellStyle name="Normal 6 2 3 4 7" xfId="36556" xr:uid="{00000000-0005-0000-0000-00004E850000}"/>
    <cellStyle name="Normal 6 2 3 5" xfId="13098" xr:uid="{00000000-0005-0000-0000-00004F850000}"/>
    <cellStyle name="Normal 6 2 3 5 2" xfId="13099" xr:uid="{00000000-0005-0000-0000-000050850000}"/>
    <cellStyle name="Normal 6 2 3 5 2 2" xfId="13100" xr:uid="{00000000-0005-0000-0000-000051850000}"/>
    <cellStyle name="Normal 6 2 3 5 2 2 2" xfId="13101" xr:uid="{00000000-0005-0000-0000-000052850000}"/>
    <cellStyle name="Normal 6 2 3 5 2 2 2 2" xfId="13102" xr:uid="{00000000-0005-0000-0000-000053850000}"/>
    <cellStyle name="Normal 6 2 3 5 2 2 2 2 2" xfId="36584" xr:uid="{00000000-0005-0000-0000-000054850000}"/>
    <cellStyle name="Normal 6 2 3 5 2 2 2 3" xfId="36583" xr:uid="{00000000-0005-0000-0000-000055850000}"/>
    <cellStyle name="Normal 6 2 3 5 2 2 3" xfId="13103" xr:uid="{00000000-0005-0000-0000-000056850000}"/>
    <cellStyle name="Normal 6 2 3 5 2 2 3 2" xfId="36585" xr:uid="{00000000-0005-0000-0000-000057850000}"/>
    <cellStyle name="Normal 6 2 3 5 2 2 4" xfId="36582" xr:uid="{00000000-0005-0000-0000-000058850000}"/>
    <cellStyle name="Normal 6 2 3 5 2 3" xfId="13104" xr:uid="{00000000-0005-0000-0000-000059850000}"/>
    <cellStyle name="Normal 6 2 3 5 2 3 2" xfId="13105" xr:uid="{00000000-0005-0000-0000-00005A850000}"/>
    <cellStyle name="Normal 6 2 3 5 2 3 2 2" xfId="36587" xr:uid="{00000000-0005-0000-0000-00005B850000}"/>
    <cellStyle name="Normal 6 2 3 5 2 3 3" xfId="36586" xr:uid="{00000000-0005-0000-0000-00005C850000}"/>
    <cellStyle name="Normal 6 2 3 5 2 4" xfId="13106" xr:uid="{00000000-0005-0000-0000-00005D850000}"/>
    <cellStyle name="Normal 6 2 3 5 2 4 2" xfId="36588" xr:uid="{00000000-0005-0000-0000-00005E850000}"/>
    <cellStyle name="Normal 6 2 3 5 2 5" xfId="36581" xr:uid="{00000000-0005-0000-0000-00005F850000}"/>
    <cellStyle name="Normal 6 2 3 5 3" xfId="13107" xr:uid="{00000000-0005-0000-0000-000060850000}"/>
    <cellStyle name="Normal 6 2 3 5 3 2" xfId="13108" xr:uid="{00000000-0005-0000-0000-000061850000}"/>
    <cellStyle name="Normal 6 2 3 5 3 2 2" xfId="13109" xr:uid="{00000000-0005-0000-0000-000062850000}"/>
    <cellStyle name="Normal 6 2 3 5 3 2 2 2" xfId="13110" xr:uid="{00000000-0005-0000-0000-000063850000}"/>
    <cellStyle name="Normal 6 2 3 5 3 2 2 2 2" xfId="36592" xr:uid="{00000000-0005-0000-0000-000064850000}"/>
    <cellStyle name="Normal 6 2 3 5 3 2 2 3" xfId="36591" xr:uid="{00000000-0005-0000-0000-000065850000}"/>
    <cellStyle name="Normal 6 2 3 5 3 2 3" xfId="13111" xr:uid="{00000000-0005-0000-0000-000066850000}"/>
    <cellStyle name="Normal 6 2 3 5 3 2 3 2" xfId="36593" xr:uid="{00000000-0005-0000-0000-000067850000}"/>
    <cellStyle name="Normal 6 2 3 5 3 2 4" xfId="36590" xr:uid="{00000000-0005-0000-0000-000068850000}"/>
    <cellStyle name="Normal 6 2 3 5 3 3" xfId="13112" xr:uid="{00000000-0005-0000-0000-000069850000}"/>
    <cellStyle name="Normal 6 2 3 5 3 3 2" xfId="13113" xr:uid="{00000000-0005-0000-0000-00006A850000}"/>
    <cellStyle name="Normal 6 2 3 5 3 3 2 2" xfId="36595" xr:uid="{00000000-0005-0000-0000-00006B850000}"/>
    <cellStyle name="Normal 6 2 3 5 3 3 3" xfId="36594" xr:uid="{00000000-0005-0000-0000-00006C850000}"/>
    <cellStyle name="Normal 6 2 3 5 3 4" xfId="13114" xr:uid="{00000000-0005-0000-0000-00006D850000}"/>
    <cellStyle name="Normal 6 2 3 5 3 4 2" xfId="36596" xr:uid="{00000000-0005-0000-0000-00006E850000}"/>
    <cellStyle name="Normal 6 2 3 5 3 5" xfId="36589" xr:uid="{00000000-0005-0000-0000-00006F850000}"/>
    <cellStyle name="Normal 6 2 3 5 4" xfId="13115" xr:uid="{00000000-0005-0000-0000-000070850000}"/>
    <cellStyle name="Normal 6 2 3 5 4 2" xfId="13116" xr:uid="{00000000-0005-0000-0000-000071850000}"/>
    <cellStyle name="Normal 6 2 3 5 4 2 2" xfId="13117" xr:uid="{00000000-0005-0000-0000-000072850000}"/>
    <cellStyle name="Normal 6 2 3 5 4 2 2 2" xfId="36599" xr:uid="{00000000-0005-0000-0000-000073850000}"/>
    <cellStyle name="Normal 6 2 3 5 4 2 3" xfId="36598" xr:uid="{00000000-0005-0000-0000-000074850000}"/>
    <cellStyle name="Normal 6 2 3 5 4 3" xfId="13118" xr:uid="{00000000-0005-0000-0000-000075850000}"/>
    <cellStyle name="Normal 6 2 3 5 4 3 2" xfId="36600" xr:uid="{00000000-0005-0000-0000-000076850000}"/>
    <cellStyle name="Normal 6 2 3 5 4 4" xfId="36597" xr:uid="{00000000-0005-0000-0000-000077850000}"/>
    <cellStyle name="Normal 6 2 3 5 5" xfId="13119" xr:uid="{00000000-0005-0000-0000-000078850000}"/>
    <cellStyle name="Normal 6 2 3 5 5 2" xfId="13120" xr:uid="{00000000-0005-0000-0000-000079850000}"/>
    <cellStyle name="Normal 6 2 3 5 5 2 2" xfId="36602" xr:uid="{00000000-0005-0000-0000-00007A850000}"/>
    <cellStyle name="Normal 6 2 3 5 5 3" xfId="36601" xr:uid="{00000000-0005-0000-0000-00007B850000}"/>
    <cellStyle name="Normal 6 2 3 5 6" xfId="13121" xr:uid="{00000000-0005-0000-0000-00007C850000}"/>
    <cellStyle name="Normal 6 2 3 5 6 2" xfId="36603" xr:uid="{00000000-0005-0000-0000-00007D850000}"/>
    <cellStyle name="Normal 6 2 3 5 7" xfId="36580" xr:uid="{00000000-0005-0000-0000-00007E850000}"/>
    <cellStyle name="Normal 6 2 3 6" xfId="13122" xr:uid="{00000000-0005-0000-0000-00007F850000}"/>
    <cellStyle name="Normal 6 2 3 6 2" xfId="13123" xr:uid="{00000000-0005-0000-0000-000080850000}"/>
    <cellStyle name="Normal 6 2 3 6 2 2" xfId="13124" xr:uid="{00000000-0005-0000-0000-000081850000}"/>
    <cellStyle name="Normal 6 2 3 6 2 2 2" xfId="13125" xr:uid="{00000000-0005-0000-0000-000082850000}"/>
    <cellStyle name="Normal 6 2 3 6 2 2 2 2" xfId="36607" xr:uid="{00000000-0005-0000-0000-000083850000}"/>
    <cellStyle name="Normal 6 2 3 6 2 2 3" xfId="36606" xr:uid="{00000000-0005-0000-0000-000084850000}"/>
    <cellStyle name="Normal 6 2 3 6 2 3" xfId="13126" xr:uid="{00000000-0005-0000-0000-000085850000}"/>
    <cellStyle name="Normal 6 2 3 6 2 3 2" xfId="36608" xr:uid="{00000000-0005-0000-0000-000086850000}"/>
    <cellStyle name="Normal 6 2 3 6 2 4" xfId="36605" xr:uid="{00000000-0005-0000-0000-000087850000}"/>
    <cellStyle name="Normal 6 2 3 6 3" xfId="13127" xr:uid="{00000000-0005-0000-0000-000088850000}"/>
    <cellStyle name="Normal 6 2 3 6 3 2" xfId="13128" xr:uid="{00000000-0005-0000-0000-000089850000}"/>
    <cellStyle name="Normal 6 2 3 6 3 2 2" xfId="36610" xr:uid="{00000000-0005-0000-0000-00008A850000}"/>
    <cellStyle name="Normal 6 2 3 6 3 3" xfId="36609" xr:uid="{00000000-0005-0000-0000-00008B850000}"/>
    <cellStyle name="Normal 6 2 3 6 4" xfId="13129" xr:uid="{00000000-0005-0000-0000-00008C850000}"/>
    <cellStyle name="Normal 6 2 3 6 4 2" xfId="36611" xr:uid="{00000000-0005-0000-0000-00008D850000}"/>
    <cellStyle name="Normal 6 2 3 6 5" xfId="36604" xr:uid="{00000000-0005-0000-0000-00008E850000}"/>
    <cellStyle name="Normal 6 2 3 7" xfId="13130" xr:uid="{00000000-0005-0000-0000-00008F850000}"/>
    <cellStyle name="Normal 6 2 3 7 2" xfId="13131" xr:uid="{00000000-0005-0000-0000-000090850000}"/>
    <cellStyle name="Normal 6 2 3 7 2 2" xfId="13132" xr:uid="{00000000-0005-0000-0000-000091850000}"/>
    <cellStyle name="Normal 6 2 3 7 2 2 2" xfId="13133" xr:uid="{00000000-0005-0000-0000-000092850000}"/>
    <cellStyle name="Normal 6 2 3 7 2 2 2 2" xfId="36615" xr:uid="{00000000-0005-0000-0000-000093850000}"/>
    <cellStyle name="Normal 6 2 3 7 2 2 3" xfId="36614" xr:uid="{00000000-0005-0000-0000-000094850000}"/>
    <cellStyle name="Normal 6 2 3 7 2 3" xfId="13134" xr:uid="{00000000-0005-0000-0000-000095850000}"/>
    <cellStyle name="Normal 6 2 3 7 2 3 2" xfId="36616" xr:uid="{00000000-0005-0000-0000-000096850000}"/>
    <cellStyle name="Normal 6 2 3 7 2 4" xfId="36613" xr:uid="{00000000-0005-0000-0000-000097850000}"/>
    <cellStyle name="Normal 6 2 3 7 3" xfId="13135" xr:uid="{00000000-0005-0000-0000-000098850000}"/>
    <cellStyle name="Normal 6 2 3 7 3 2" xfId="13136" xr:uid="{00000000-0005-0000-0000-000099850000}"/>
    <cellStyle name="Normal 6 2 3 7 3 2 2" xfId="36618" xr:uid="{00000000-0005-0000-0000-00009A850000}"/>
    <cellStyle name="Normal 6 2 3 7 3 3" xfId="36617" xr:uid="{00000000-0005-0000-0000-00009B850000}"/>
    <cellStyle name="Normal 6 2 3 7 4" xfId="13137" xr:uid="{00000000-0005-0000-0000-00009C850000}"/>
    <cellStyle name="Normal 6 2 3 7 4 2" xfId="36619" xr:uid="{00000000-0005-0000-0000-00009D850000}"/>
    <cellStyle name="Normal 6 2 3 7 5" xfId="36612" xr:uid="{00000000-0005-0000-0000-00009E850000}"/>
    <cellStyle name="Normal 6 2 3 8" xfId="13138" xr:uid="{00000000-0005-0000-0000-00009F850000}"/>
    <cellStyle name="Normal 6 2 3 8 2" xfId="13139" xr:uid="{00000000-0005-0000-0000-0000A0850000}"/>
    <cellStyle name="Normal 6 2 3 8 2 2" xfId="13140" xr:uid="{00000000-0005-0000-0000-0000A1850000}"/>
    <cellStyle name="Normal 6 2 3 8 2 2 2" xfId="36622" xr:uid="{00000000-0005-0000-0000-0000A2850000}"/>
    <cellStyle name="Normal 6 2 3 8 2 3" xfId="36621" xr:uid="{00000000-0005-0000-0000-0000A3850000}"/>
    <cellStyle name="Normal 6 2 3 8 3" xfId="13141" xr:uid="{00000000-0005-0000-0000-0000A4850000}"/>
    <cellStyle name="Normal 6 2 3 8 3 2" xfId="36623" xr:uid="{00000000-0005-0000-0000-0000A5850000}"/>
    <cellStyle name="Normal 6 2 3 8 4" xfId="36620" xr:uid="{00000000-0005-0000-0000-0000A6850000}"/>
    <cellStyle name="Normal 6 2 3 9" xfId="13142" xr:uid="{00000000-0005-0000-0000-0000A7850000}"/>
    <cellStyle name="Normal 6 2 3 9 2" xfId="13143" xr:uid="{00000000-0005-0000-0000-0000A8850000}"/>
    <cellStyle name="Normal 6 2 3 9 2 2" xfId="36625" xr:uid="{00000000-0005-0000-0000-0000A9850000}"/>
    <cellStyle name="Normal 6 2 3 9 3" xfId="36624" xr:uid="{00000000-0005-0000-0000-0000AA850000}"/>
    <cellStyle name="Normal 6 2 4" xfId="13144" xr:uid="{00000000-0005-0000-0000-0000AB850000}"/>
    <cellStyle name="Normal 6 2 4 10" xfId="36626" xr:uid="{00000000-0005-0000-0000-0000AC850000}"/>
    <cellStyle name="Normal 6 2 4 2" xfId="13145" xr:uid="{00000000-0005-0000-0000-0000AD850000}"/>
    <cellStyle name="Normal 6 2 4 2 2" xfId="13146" xr:uid="{00000000-0005-0000-0000-0000AE850000}"/>
    <cellStyle name="Normal 6 2 4 2 2 2" xfId="13147" xr:uid="{00000000-0005-0000-0000-0000AF850000}"/>
    <cellStyle name="Normal 6 2 4 2 2 2 2" xfId="13148" xr:uid="{00000000-0005-0000-0000-0000B0850000}"/>
    <cellStyle name="Normal 6 2 4 2 2 2 2 2" xfId="13149" xr:uid="{00000000-0005-0000-0000-0000B1850000}"/>
    <cellStyle name="Normal 6 2 4 2 2 2 2 2 2" xfId="36631" xr:uid="{00000000-0005-0000-0000-0000B2850000}"/>
    <cellStyle name="Normal 6 2 4 2 2 2 2 3" xfId="36630" xr:uid="{00000000-0005-0000-0000-0000B3850000}"/>
    <cellStyle name="Normal 6 2 4 2 2 2 3" xfId="13150" xr:uid="{00000000-0005-0000-0000-0000B4850000}"/>
    <cellStyle name="Normal 6 2 4 2 2 2 3 2" xfId="36632" xr:uid="{00000000-0005-0000-0000-0000B5850000}"/>
    <cellStyle name="Normal 6 2 4 2 2 2 4" xfId="36629" xr:uid="{00000000-0005-0000-0000-0000B6850000}"/>
    <cellStyle name="Normal 6 2 4 2 2 3" xfId="13151" xr:uid="{00000000-0005-0000-0000-0000B7850000}"/>
    <cellStyle name="Normal 6 2 4 2 2 3 2" xfId="13152" xr:uid="{00000000-0005-0000-0000-0000B8850000}"/>
    <cellStyle name="Normal 6 2 4 2 2 3 2 2" xfId="36634" xr:uid="{00000000-0005-0000-0000-0000B9850000}"/>
    <cellStyle name="Normal 6 2 4 2 2 3 3" xfId="36633" xr:uid="{00000000-0005-0000-0000-0000BA850000}"/>
    <cellStyle name="Normal 6 2 4 2 2 4" xfId="13153" xr:uid="{00000000-0005-0000-0000-0000BB850000}"/>
    <cellStyle name="Normal 6 2 4 2 2 4 2" xfId="36635" xr:uid="{00000000-0005-0000-0000-0000BC850000}"/>
    <cellStyle name="Normal 6 2 4 2 2 5" xfId="36628" xr:uid="{00000000-0005-0000-0000-0000BD850000}"/>
    <cellStyle name="Normal 6 2 4 2 3" xfId="13154" xr:uid="{00000000-0005-0000-0000-0000BE850000}"/>
    <cellStyle name="Normal 6 2 4 2 3 2" xfId="13155" xr:uid="{00000000-0005-0000-0000-0000BF850000}"/>
    <cellStyle name="Normal 6 2 4 2 3 2 2" xfId="13156" xr:uid="{00000000-0005-0000-0000-0000C0850000}"/>
    <cellStyle name="Normal 6 2 4 2 3 2 2 2" xfId="13157" xr:uid="{00000000-0005-0000-0000-0000C1850000}"/>
    <cellStyle name="Normal 6 2 4 2 3 2 2 2 2" xfId="36639" xr:uid="{00000000-0005-0000-0000-0000C2850000}"/>
    <cellStyle name="Normal 6 2 4 2 3 2 2 3" xfId="36638" xr:uid="{00000000-0005-0000-0000-0000C3850000}"/>
    <cellStyle name="Normal 6 2 4 2 3 2 3" xfId="13158" xr:uid="{00000000-0005-0000-0000-0000C4850000}"/>
    <cellStyle name="Normal 6 2 4 2 3 2 3 2" xfId="36640" xr:uid="{00000000-0005-0000-0000-0000C5850000}"/>
    <cellStyle name="Normal 6 2 4 2 3 2 4" xfId="36637" xr:uid="{00000000-0005-0000-0000-0000C6850000}"/>
    <cellStyle name="Normal 6 2 4 2 3 3" xfId="13159" xr:uid="{00000000-0005-0000-0000-0000C7850000}"/>
    <cellStyle name="Normal 6 2 4 2 3 3 2" xfId="13160" xr:uid="{00000000-0005-0000-0000-0000C8850000}"/>
    <cellStyle name="Normal 6 2 4 2 3 3 2 2" xfId="36642" xr:uid="{00000000-0005-0000-0000-0000C9850000}"/>
    <cellStyle name="Normal 6 2 4 2 3 3 3" xfId="36641" xr:uid="{00000000-0005-0000-0000-0000CA850000}"/>
    <cellStyle name="Normal 6 2 4 2 3 4" xfId="13161" xr:uid="{00000000-0005-0000-0000-0000CB850000}"/>
    <cellStyle name="Normal 6 2 4 2 3 4 2" xfId="36643" xr:uid="{00000000-0005-0000-0000-0000CC850000}"/>
    <cellStyle name="Normal 6 2 4 2 3 5" xfId="36636" xr:uid="{00000000-0005-0000-0000-0000CD850000}"/>
    <cellStyle name="Normal 6 2 4 2 4" xfId="13162" xr:uid="{00000000-0005-0000-0000-0000CE850000}"/>
    <cellStyle name="Normal 6 2 4 2 4 2" xfId="13163" xr:uid="{00000000-0005-0000-0000-0000CF850000}"/>
    <cellStyle name="Normal 6 2 4 2 4 2 2" xfId="13164" xr:uid="{00000000-0005-0000-0000-0000D0850000}"/>
    <cellStyle name="Normal 6 2 4 2 4 2 2 2" xfId="36646" xr:uid="{00000000-0005-0000-0000-0000D1850000}"/>
    <cellStyle name="Normal 6 2 4 2 4 2 3" xfId="36645" xr:uid="{00000000-0005-0000-0000-0000D2850000}"/>
    <cellStyle name="Normal 6 2 4 2 4 3" xfId="13165" xr:uid="{00000000-0005-0000-0000-0000D3850000}"/>
    <cellStyle name="Normal 6 2 4 2 4 3 2" xfId="36647" xr:uid="{00000000-0005-0000-0000-0000D4850000}"/>
    <cellStyle name="Normal 6 2 4 2 4 4" xfId="36644" xr:uid="{00000000-0005-0000-0000-0000D5850000}"/>
    <cellStyle name="Normal 6 2 4 2 5" xfId="13166" xr:uid="{00000000-0005-0000-0000-0000D6850000}"/>
    <cellStyle name="Normal 6 2 4 2 5 2" xfId="13167" xr:uid="{00000000-0005-0000-0000-0000D7850000}"/>
    <cellStyle name="Normal 6 2 4 2 5 2 2" xfId="36649" xr:uid="{00000000-0005-0000-0000-0000D8850000}"/>
    <cellStyle name="Normal 6 2 4 2 5 3" xfId="36648" xr:uid="{00000000-0005-0000-0000-0000D9850000}"/>
    <cellStyle name="Normal 6 2 4 2 6" xfId="13168" xr:uid="{00000000-0005-0000-0000-0000DA850000}"/>
    <cellStyle name="Normal 6 2 4 2 6 2" xfId="36650" xr:uid="{00000000-0005-0000-0000-0000DB850000}"/>
    <cellStyle name="Normal 6 2 4 2 7" xfId="36627" xr:uid="{00000000-0005-0000-0000-0000DC850000}"/>
    <cellStyle name="Normal 6 2 4 3" xfId="13169" xr:uid="{00000000-0005-0000-0000-0000DD850000}"/>
    <cellStyle name="Normal 6 2 4 3 2" xfId="13170" xr:uid="{00000000-0005-0000-0000-0000DE850000}"/>
    <cellStyle name="Normal 6 2 4 3 2 2" xfId="13171" xr:uid="{00000000-0005-0000-0000-0000DF850000}"/>
    <cellStyle name="Normal 6 2 4 3 2 2 2" xfId="13172" xr:uid="{00000000-0005-0000-0000-0000E0850000}"/>
    <cellStyle name="Normal 6 2 4 3 2 2 2 2" xfId="13173" xr:uid="{00000000-0005-0000-0000-0000E1850000}"/>
    <cellStyle name="Normal 6 2 4 3 2 2 2 2 2" xfId="36655" xr:uid="{00000000-0005-0000-0000-0000E2850000}"/>
    <cellStyle name="Normal 6 2 4 3 2 2 2 3" xfId="36654" xr:uid="{00000000-0005-0000-0000-0000E3850000}"/>
    <cellStyle name="Normal 6 2 4 3 2 2 3" xfId="13174" xr:uid="{00000000-0005-0000-0000-0000E4850000}"/>
    <cellStyle name="Normal 6 2 4 3 2 2 3 2" xfId="36656" xr:uid="{00000000-0005-0000-0000-0000E5850000}"/>
    <cellStyle name="Normal 6 2 4 3 2 2 4" xfId="36653" xr:uid="{00000000-0005-0000-0000-0000E6850000}"/>
    <cellStyle name="Normal 6 2 4 3 2 3" xfId="13175" xr:uid="{00000000-0005-0000-0000-0000E7850000}"/>
    <cellStyle name="Normal 6 2 4 3 2 3 2" xfId="13176" xr:uid="{00000000-0005-0000-0000-0000E8850000}"/>
    <cellStyle name="Normal 6 2 4 3 2 3 2 2" xfId="36658" xr:uid="{00000000-0005-0000-0000-0000E9850000}"/>
    <cellStyle name="Normal 6 2 4 3 2 3 3" xfId="36657" xr:uid="{00000000-0005-0000-0000-0000EA850000}"/>
    <cellStyle name="Normal 6 2 4 3 2 4" xfId="13177" xr:uid="{00000000-0005-0000-0000-0000EB850000}"/>
    <cellStyle name="Normal 6 2 4 3 2 4 2" xfId="36659" xr:uid="{00000000-0005-0000-0000-0000EC850000}"/>
    <cellStyle name="Normal 6 2 4 3 2 5" xfId="36652" xr:uid="{00000000-0005-0000-0000-0000ED850000}"/>
    <cellStyle name="Normal 6 2 4 3 3" xfId="13178" xr:uid="{00000000-0005-0000-0000-0000EE850000}"/>
    <cellStyle name="Normal 6 2 4 3 3 2" xfId="13179" xr:uid="{00000000-0005-0000-0000-0000EF850000}"/>
    <cellStyle name="Normal 6 2 4 3 3 2 2" xfId="13180" xr:uid="{00000000-0005-0000-0000-0000F0850000}"/>
    <cellStyle name="Normal 6 2 4 3 3 2 2 2" xfId="13181" xr:uid="{00000000-0005-0000-0000-0000F1850000}"/>
    <cellStyle name="Normal 6 2 4 3 3 2 2 2 2" xfId="36663" xr:uid="{00000000-0005-0000-0000-0000F2850000}"/>
    <cellStyle name="Normal 6 2 4 3 3 2 2 3" xfId="36662" xr:uid="{00000000-0005-0000-0000-0000F3850000}"/>
    <cellStyle name="Normal 6 2 4 3 3 2 3" xfId="13182" xr:uid="{00000000-0005-0000-0000-0000F4850000}"/>
    <cellStyle name="Normal 6 2 4 3 3 2 3 2" xfId="36664" xr:uid="{00000000-0005-0000-0000-0000F5850000}"/>
    <cellStyle name="Normal 6 2 4 3 3 2 4" xfId="36661" xr:uid="{00000000-0005-0000-0000-0000F6850000}"/>
    <cellStyle name="Normal 6 2 4 3 3 3" xfId="13183" xr:uid="{00000000-0005-0000-0000-0000F7850000}"/>
    <cellStyle name="Normal 6 2 4 3 3 3 2" xfId="13184" xr:uid="{00000000-0005-0000-0000-0000F8850000}"/>
    <cellStyle name="Normal 6 2 4 3 3 3 2 2" xfId="36666" xr:uid="{00000000-0005-0000-0000-0000F9850000}"/>
    <cellStyle name="Normal 6 2 4 3 3 3 3" xfId="36665" xr:uid="{00000000-0005-0000-0000-0000FA850000}"/>
    <cellStyle name="Normal 6 2 4 3 3 4" xfId="13185" xr:uid="{00000000-0005-0000-0000-0000FB850000}"/>
    <cellStyle name="Normal 6 2 4 3 3 4 2" xfId="36667" xr:uid="{00000000-0005-0000-0000-0000FC850000}"/>
    <cellStyle name="Normal 6 2 4 3 3 5" xfId="36660" xr:uid="{00000000-0005-0000-0000-0000FD850000}"/>
    <cellStyle name="Normal 6 2 4 3 4" xfId="13186" xr:uid="{00000000-0005-0000-0000-0000FE850000}"/>
    <cellStyle name="Normal 6 2 4 3 4 2" xfId="13187" xr:uid="{00000000-0005-0000-0000-0000FF850000}"/>
    <cellStyle name="Normal 6 2 4 3 4 2 2" xfId="13188" xr:uid="{00000000-0005-0000-0000-000000860000}"/>
    <cellStyle name="Normal 6 2 4 3 4 2 2 2" xfId="36670" xr:uid="{00000000-0005-0000-0000-000001860000}"/>
    <cellStyle name="Normal 6 2 4 3 4 2 3" xfId="36669" xr:uid="{00000000-0005-0000-0000-000002860000}"/>
    <cellStyle name="Normal 6 2 4 3 4 3" xfId="13189" xr:uid="{00000000-0005-0000-0000-000003860000}"/>
    <cellStyle name="Normal 6 2 4 3 4 3 2" xfId="36671" xr:uid="{00000000-0005-0000-0000-000004860000}"/>
    <cellStyle name="Normal 6 2 4 3 4 4" xfId="36668" xr:uid="{00000000-0005-0000-0000-000005860000}"/>
    <cellStyle name="Normal 6 2 4 3 5" xfId="13190" xr:uid="{00000000-0005-0000-0000-000006860000}"/>
    <cellStyle name="Normal 6 2 4 3 5 2" xfId="13191" xr:uid="{00000000-0005-0000-0000-000007860000}"/>
    <cellStyle name="Normal 6 2 4 3 5 2 2" xfId="36673" xr:uid="{00000000-0005-0000-0000-000008860000}"/>
    <cellStyle name="Normal 6 2 4 3 5 3" xfId="36672" xr:uid="{00000000-0005-0000-0000-000009860000}"/>
    <cellStyle name="Normal 6 2 4 3 6" xfId="13192" xr:uid="{00000000-0005-0000-0000-00000A860000}"/>
    <cellStyle name="Normal 6 2 4 3 6 2" xfId="36674" xr:uid="{00000000-0005-0000-0000-00000B860000}"/>
    <cellStyle name="Normal 6 2 4 3 7" xfId="36651" xr:uid="{00000000-0005-0000-0000-00000C860000}"/>
    <cellStyle name="Normal 6 2 4 4" xfId="13193" xr:uid="{00000000-0005-0000-0000-00000D860000}"/>
    <cellStyle name="Normal 6 2 4 4 2" xfId="13194" xr:uid="{00000000-0005-0000-0000-00000E860000}"/>
    <cellStyle name="Normal 6 2 4 4 2 2" xfId="13195" xr:uid="{00000000-0005-0000-0000-00000F860000}"/>
    <cellStyle name="Normal 6 2 4 4 2 2 2" xfId="13196" xr:uid="{00000000-0005-0000-0000-000010860000}"/>
    <cellStyle name="Normal 6 2 4 4 2 2 2 2" xfId="13197" xr:uid="{00000000-0005-0000-0000-000011860000}"/>
    <cellStyle name="Normal 6 2 4 4 2 2 2 2 2" xfId="36679" xr:uid="{00000000-0005-0000-0000-000012860000}"/>
    <cellStyle name="Normal 6 2 4 4 2 2 2 3" xfId="36678" xr:uid="{00000000-0005-0000-0000-000013860000}"/>
    <cellStyle name="Normal 6 2 4 4 2 2 3" xfId="13198" xr:uid="{00000000-0005-0000-0000-000014860000}"/>
    <cellStyle name="Normal 6 2 4 4 2 2 3 2" xfId="36680" xr:uid="{00000000-0005-0000-0000-000015860000}"/>
    <cellStyle name="Normal 6 2 4 4 2 2 4" xfId="36677" xr:uid="{00000000-0005-0000-0000-000016860000}"/>
    <cellStyle name="Normal 6 2 4 4 2 3" xfId="13199" xr:uid="{00000000-0005-0000-0000-000017860000}"/>
    <cellStyle name="Normal 6 2 4 4 2 3 2" xfId="13200" xr:uid="{00000000-0005-0000-0000-000018860000}"/>
    <cellStyle name="Normal 6 2 4 4 2 3 2 2" xfId="36682" xr:uid="{00000000-0005-0000-0000-000019860000}"/>
    <cellStyle name="Normal 6 2 4 4 2 3 3" xfId="36681" xr:uid="{00000000-0005-0000-0000-00001A860000}"/>
    <cellStyle name="Normal 6 2 4 4 2 4" xfId="13201" xr:uid="{00000000-0005-0000-0000-00001B860000}"/>
    <cellStyle name="Normal 6 2 4 4 2 4 2" xfId="36683" xr:uid="{00000000-0005-0000-0000-00001C860000}"/>
    <cellStyle name="Normal 6 2 4 4 2 5" xfId="36676" xr:uid="{00000000-0005-0000-0000-00001D860000}"/>
    <cellStyle name="Normal 6 2 4 4 3" xfId="13202" xr:uid="{00000000-0005-0000-0000-00001E860000}"/>
    <cellStyle name="Normal 6 2 4 4 3 2" xfId="13203" xr:uid="{00000000-0005-0000-0000-00001F860000}"/>
    <cellStyle name="Normal 6 2 4 4 3 2 2" xfId="13204" xr:uid="{00000000-0005-0000-0000-000020860000}"/>
    <cellStyle name="Normal 6 2 4 4 3 2 2 2" xfId="13205" xr:uid="{00000000-0005-0000-0000-000021860000}"/>
    <cellStyle name="Normal 6 2 4 4 3 2 2 2 2" xfId="36687" xr:uid="{00000000-0005-0000-0000-000022860000}"/>
    <cellStyle name="Normal 6 2 4 4 3 2 2 3" xfId="36686" xr:uid="{00000000-0005-0000-0000-000023860000}"/>
    <cellStyle name="Normal 6 2 4 4 3 2 3" xfId="13206" xr:uid="{00000000-0005-0000-0000-000024860000}"/>
    <cellStyle name="Normal 6 2 4 4 3 2 3 2" xfId="36688" xr:uid="{00000000-0005-0000-0000-000025860000}"/>
    <cellStyle name="Normal 6 2 4 4 3 2 4" xfId="36685" xr:uid="{00000000-0005-0000-0000-000026860000}"/>
    <cellStyle name="Normal 6 2 4 4 3 3" xfId="13207" xr:uid="{00000000-0005-0000-0000-000027860000}"/>
    <cellStyle name="Normal 6 2 4 4 3 3 2" xfId="13208" xr:uid="{00000000-0005-0000-0000-000028860000}"/>
    <cellStyle name="Normal 6 2 4 4 3 3 2 2" xfId="36690" xr:uid="{00000000-0005-0000-0000-000029860000}"/>
    <cellStyle name="Normal 6 2 4 4 3 3 3" xfId="36689" xr:uid="{00000000-0005-0000-0000-00002A860000}"/>
    <cellStyle name="Normal 6 2 4 4 3 4" xfId="13209" xr:uid="{00000000-0005-0000-0000-00002B860000}"/>
    <cellStyle name="Normal 6 2 4 4 3 4 2" xfId="36691" xr:uid="{00000000-0005-0000-0000-00002C860000}"/>
    <cellStyle name="Normal 6 2 4 4 3 5" xfId="36684" xr:uid="{00000000-0005-0000-0000-00002D860000}"/>
    <cellStyle name="Normal 6 2 4 4 4" xfId="13210" xr:uid="{00000000-0005-0000-0000-00002E860000}"/>
    <cellStyle name="Normal 6 2 4 4 4 2" xfId="13211" xr:uid="{00000000-0005-0000-0000-00002F860000}"/>
    <cellStyle name="Normal 6 2 4 4 4 2 2" xfId="13212" xr:uid="{00000000-0005-0000-0000-000030860000}"/>
    <cellStyle name="Normal 6 2 4 4 4 2 2 2" xfId="36694" xr:uid="{00000000-0005-0000-0000-000031860000}"/>
    <cellStyle name="Normal 6 2 4 4 4 2 3" xfId="36693" xr:uid="{00000000-0005-0000-0000-000032860000}"/>
    <cellStyle name="Normal 6 2 4 4 4 3" xfId="13213" xr:uid="{00000000-0005-0000-0000-000033860000}"/>
    <cellStyle name="Normal 6 2 4 4 4 3 2" xfId="36695" xr:uid="{00000000-0005-0000-0000-000034860000}"/>
    <cellStyle name="Normal 6 2 4 4 4 4" xfId="36692" xr:uid="{00000000-0005-0000-0000-000035860000}"/>
    <cellStyle name="Normal 6 2 4 4 5" xfId="13214" xr:uid="{00000000-0005-0000-0000-000036860000}"/>
    <cellStyle name="Normal 6 2 4 4 5 2" xfId="13215" xr:uid="{00000000-0005-0000-0000-000037860000}"/>
    <cellStyle name="Normal 6 2 4 4 5 2 2" xfId="36697" xr:uid="{00000000-0005-0000-0000-000038860000}"/>
    <cellStyle name="Normal 6 2 4 4 5 3" xfId="36696" xr:uid="{00000000-0005-0000-0000-000039860000}"/>
    <cellStyle name="Normal 6 2 4 4 6" xfId="13216" xr:uid="{00000000-0005-0000-0000-00003A860000}"/>
    <cellStyle name="Normal 6 2 4 4 6 2" xfId="36698" xr:uid="{00000000-0005-0000-0000-00003B860000}"/>
    <cellStyle name="Normal 6 2 4 4 7" xfId="36675" xr:uid="{00000000-0005-0000-0000-00003C860000}"/>
    <cellStyle name="Normal 6 2 4 5" xfId="13217" xr:uid="{00000000-0005-0000-0000-00003D860000}"/>
    <cellStyle name="Normal 6 2 4 5 2" xfId="13218" xr:uid="{00000000-0005-0000-0000-00003E860000}"/>
    <cellStyle name="Normal 6 2 4 5 2 2" xfId="13219" xr:uid="{00000000-0005-0000-0000-00003F860000}"/>
    <cellStyle name="Normal 6 2 4 5 2 2 2" xfId="13220" xr:uid="{00000000-0005-0000-0000-000040860000}"/>
    <cellStyle name="Normal 6 2 4 5 2 2 2 2" xfId="36702" xr:uid="{00000000-0005-0000-0000-000041860000}"/>
    <cellStyle name="Normal 6 2 4 5 2 2 3" xfId="36701" xr:uid="{00000000-0005-0000-0000-000042860000}"/>
    <cellStyle name="Normal 6 2 4 5 2 3" xfId="13221" xr:uid="{00000000-0005-0000-0000-000043860000}"/>
    <cellStyle name="Normal 6 2 4 5 2 3 2" xfId="36703" xr:uid="{00000000-0005-0000-0000-000044860000}"/>
    <cellStyle name="Normal 6 2 4 5 2 4" xfId="36700" xr:uid="{00000000-0005-0000-0000-000045860000}"/>
    <cellStyle name="Normal 6 2 4 5 3" xfId="13222" xr:uid="{00000000-0005-0000-0000-000046860000}"/>
    <cellStyle name="Normal 6 2 4 5 3 2" xfId="13223" xr:uid="{00000000-0005-0000-0000-000047860000}"/>
    <cellStyle name="Normal 6 2 4 5 3 2 2" xfId="36705" xr:uid="{00000000-0005-0000-0000-000048860000}"/>
    <cellStyle name="Normal 6 2 4 5 3 3" xfId="36704" xr:uid="{00000000-0005-0000-0000-000049860000}"/>
    <cellStyle name="Normal 6 2 4 5 4" xfId="13224" xr:uid="{00000000-0005-0000-0000-00004A860000}"/>
    <cellStyle name="Normal 6 2 4 5 4 2" xfId="36706" xr:uid="{00000000-0005-0000-0000-00004B860000}"/>
    <cellStyle name="Normal 6 2 4 5 5" xfId="36699" xr:uid="{00000000-0005-0000-0000-00004C860000}"/>
    <cellStyle name="Normal 6 2 4 6" xfId="13225" xr:uid="{00000000-0005-0000-0000-00004D860000}"/>
    <cellStyle name="Normal 6 2 4 6 2" xfId="13226" xr:uid="{00000000-0005-0000-0000-00004E860000}"/>
    <cellStyle name="Normal 6 2 4 6 2 2" xfId="13227" xr:uid="{00000000-0005-0000-0000-00004F860000}"/>
    <cellStyle name="Normal 6 2 4 6 2 2 2" xfId="13228" xr:uid="{00000000-0005-0000-0000-000050860000}"/>
    <cellStyle name="Normal 6 2 4 6 2 2 2 2" xfId="36710" xr:uid="{00000000-0005-0000-0000-000051860000}"/>
    <cellStyle name="Normal 6 2 4 6 2 2 3" xfId="36709" xr:uid="{00000000-0005-0000-0000-000052860000}"/>
    <cellStyle name="Normal 6 2 4 6 2 3" xfId="13229" xr:uid="{00000000-0005-0000-0000-000053860000}"/>
    <cellStyle name="Normal 6 2 4 6 2 3 2" xfId="36711" xr:uid="{00000000-0005-0000-0000-000054860000}"/>
    <cellStyle name="Normal 6 2 4 6 2 4" xfId="36708" xr:uid="{00000000-0005-0000-0000-000055860000}"/>
    <cellStyle name="Normal 6 2 4 6 3" xfId="13230" xr:uid="{00000000-0005-0000-0000-000056860000}"/>
    <cellStyle name="Normal 6 2 4 6 3 2" xfId="13231" xr:uid="{00000000-0005-0000-0000-000057860000}"/>
    <cellStyle name="Normal 6 2 4 6 3 2 2" xfId="36713" xr:uid="{00000000-0005-0000-0000-000058860000}"/>
    <cellStyle name="Normal 6 2 4 6 3 3" xfId="36712" xr:uid="{00000000-0005-0000-0000-000059860000}"/>
    <cellStyle name="Normal 6 2 4 6 4" xfId="13232" xr:uid="{00000000-0005-0000-0000-00005A860000}"/>
    <cellStyle name="Normal 6 2 4 6 4 2" xfId="36714" xr:uid="{00000000-0005-0000-0000-00005B860000}"/>
    <cellStyle name="Normal 6 2 4 6 5" xfId="36707" xr:uid="{00000000-0005-0000-0000-00005C860000}"/>
    <cellStyle name="Normal 6 2 4 7" xfId="13233" xr:uid="{00000000-0005-0000-0000-00005D860000}"/>
    <cellStyle name="Normal 6 2 4 7 2" xfId="13234" xr:uid="{00000000-0005-0000-0000-00005E860000}"/>
    <cellStyle name="Normal 6 2 4 7 2 2" xfId="13235" xr:uid="{00000000-0005-0000-0000-00005F860000}"/>
    <cellStyle name="Normal 6 2 4 7 2 2 2" xfId="36717" xr:uid="{00000000-0005-0000-0000-000060860000}"/>
    <cellStyle name="Normal 6 2 4 7 2 3" xfId="36716" xr:uid="{00000000-0005-0000-0000-000061860000}"/>
    <cellStyle name="Normal 6 2 4 7 3" xfId="13236" xr:uid="{00000000-0005-0000-0000-000062860000}"/>
    <cellStyle name="Normal 6 2 4 7 3 2" xfId="36718" xr:uid="{00000000-0005-0000-0000-000063860000}"/>
    <cellStyle name="Normal 6 2 4 7 4" xfId="36715" xr:uid="{00000000-0005-0000-0000-000064860000}"/>
    <cellStyle name="Normal 6 2 4 8" xfId="13237" xr:uid="{00000000-0005-0000-0000-000065860000}"/>
    <cellStyle name="Normal 6 2 4 8 2" xfId="13238" xr:uid="{00000000-0005-0000-0000-000066860000}"/>
    <cellStyle name="Normal 6 2 4 8 2 2" xfId="36720" xr:uid="{00000000-0005-0000-0000-000067860000}"/>
    <cellStyle name="Normal 6 2 4 8 3" xfId="36719" xr:uid="{00000000-0005-0000-0000-000068860000}"/>
    <cellStyle name="Normal 6 2 4 9" xfId="13239" xr:uid="{00000000-0005-0000-0000-000069860000}"/>
    <cellStyle name="Normal 6 2 4 9 2" xfId="36721" xr:uid="{00000000-0005-0000-0000-00006A860000}"/>
    <cellStyle name="Normal 6 2 5" xfId="13240" xr:uid="{00000000-0005-0000-0000-00006B860000}"/>
    <cellStyle name="Normal 6 2 5 10" xfId="36722" xr:uid="{00000000-0005-0000-0000-00006C860000}"/>
    <cellStyle name="Normal 6 2 5 2" xfId="13241" xr:uid="{00000000-0005-0000-0000-00006D860000}"/>
    <cellStyle name="Normal 6 2 5 2 2" xfId="13242" xr:uid="{00000000-0005-0000-0000-00006E860000}"/>
    <cellStyle name="Normal 6 2 5 2 2 2" xfId="13243" xr:uid="{00000000-0005-0000-0000-00006F860000}"/>
    <cellStyle name="Normal 6 2 5 2 2 2 2" xfId="13244" xr:uid="{00000000-0005-0000-0000-000070860000}"/>
    <cellStyle name="Normal 6 2 5 2 2 2 2 2" xfId="13245" xr:uid="{00000000-0005-0000-0000-000071860000}"/>
    <cellStyle name="Normal 6 2 5 2 2 2 2 2 2" xfId="36727" xr:uid="{00000000-0005-0000-0000-000072860000}"/>
    <cellStyle name="Normal 6 2 5 2 2 2 2 3" xfId="36726" xr:uid="{00000000-0005-0000-0000-000073860000}"/>
    <cellStyle name="Normal 6 2 5 2 2 2 3" xfId="13246" xr:uid="{00000000-0005-0000-0000-000074860000}"/>
    <cellStyle name="Normal 6 2 5 2 2 2 3 2" xfId="36728" xr:uid="{00000000-0005-0000-0000-000075860000}"/>
    <cellStyle name="Normal 6 2 5 2 2 2 4" xfId="36725" xr:uid="{00000000-0005-0000-0000-000076860000}"/>
    <cellStyle name="Normal 6 2 5 2 2 3" xfId="13247" xr:uid="{00000000-0005-0000-0000-000077860000}"/>
    <cellStyle name="Normal 6 2 5 2 2 3 2" xfId="13248" xr:uid="{00000000-0005-0000-0000-000078860000}"/>
    <cellStyle name="Normal 6 2 5 2 2 3 2 2" xfId="36730" xr:uid="{00000000-0005-0000-0000-000079860000}"/>
    <cellStyle name="Normal 6 2 5 2 2 3 3" xfId="36729" xr:uid="{00000000-0005-0000-0000-00007A860000}"/>
    <cellStyle name="Normal 6 2 5 2 2 4" xfId="13249" xr:uid="{00000000-0005-0000-0000-00007B860000}"/>
    <cellStyle name="Normal 6 2 5 2 2 4 2" xfId="36731" xr:uid="{00000000-0005-0000-0000-00007C860000}"/>
    <cellStyle name="Normal 6 2 5 2 2 5" xfId="36724" xr:uid="{00000000-0005-0000-0000-00007D860000}"/>
    <cellStyle name="Normal 6 2 5 2 3" xfId="13250" xr:uid="{00000000-0005-0000-0000-00007E860000}"/>
    <cellStyle name="Normal 6 2 5 2 3 2" xfId="13251" xr:uid="{00000000-0005-0000-0000-00007F860000}"/>
    <cellStyle name="Normal 6 2 5 2 3 2 2" xfId="13252" xr:uid="{00000000-0005-0000-0000-000080860000}"/>
    <cellStyle name="Normal 6 2 5 2 3 2 2 2" xfId="13253" xr:uid="{00000000-0005-0000-0000-000081860000}"/>
    <cellStyle name="Normal 6 2 5 2 3 2 2 2 2" xfId="36735" xr:uid="{00000000-0005-0000-0000-000082860000}"/>
    <cellStyle name="Normal 6 2 5 2 3 2 2 3" xfId="36734" xr:uid="{00000000-0005-0000-0000-000083860000}"/>
    <cellStyle name="Normal 6 2 5 2 3 2 3" xfId="13254" xr:uid="{00000000-0005-0000-0000-000084860000}"/>
    <cellStyle name="Normal 6 2 5 2 3 2 3 2" xfId="36736" xr:uid="{00000000-0005-0000-0000-000085860000}"/>
    <cellStyle name="Normal 6 2 5 2 3 2 4" xfId="36733" xr:uid="{00000000-0005-0000-0000-000086860000}"/>
    <cellStyle name="Normal 6 2 5 2 3 3" xfId="13255" xr:uid="{00000000-0005-0000-0000-000087860000}"/>
    <cellStyle name="Normal 6 2 5 2 3 3 2" xfId="13256" xr:uid="{00000000-0005-0000-0000-000088860000}"/>
    <cellStyle name="Normal 6 2 5 2 3 3 2 2" xfId="36738" xr:uid="{00000000-0005-0000-0000-000089860000}"/>
    <cellStyle name="Normal 6 2 5 2 3 3 3" xfId="36737" xr:uid="{00000000-0005-0000-0000-00008A860000}"/>
    <cellStyle name="Normal 6 2 5 2 3 4" xfId="13257" xr:uid="{00000000-0005-0000-0000-00008B860000}"/>
    <cellStyle name="Normal 6 2 5 2 3 4 2" xfId="36739" xr:uid="{00000000-0005-0000-0000-00008C860000}"/>
    <cellStyle name="Normal 6 2 5 2 3 5" xfId="36732" xr:uid="{00000000-0005-0000-0000-00008D860000}"/>
    <cellStyle name="Normal 6 2 5 2 4" xfId="13258" xr:uid="{00000000-0005-0000-0000-00008E860000}"/>
    <cellStyle name="Normal 6 2 5 2 4 2" xfId="13259" xr:uid="{00000000-0005-0000-0000-00008F860000}"/>
    <cellStyle name="Normal 6 2 5 2 4 2 2" xfId="13260" xr:uid="{00000000-0005-0000-0000-000090860000}"/>
    <cellStyle name="Normal 6 2 5 2 4 2 2 2" xfId="36742" xr:uid="{00000000-0005-0000-0000-000091860000}"/>
    <cellStyle name="Normal 6 2 5 2 4 2 3" xfId="36741" xr:uid="{00000000-0005-0000-0000-000092860000}"/>
    <cellStyle name="Normal 6 2 5 2 4 3" xfId="13261" xr:uid="{00000000-0005-0000-0000-000093860000}"/>
    <cellStyle name="Normal 6 2 5 2 4 3 2" xfId="36743" xr:uid="{00000000-0005-0000-0000-000094860000}"/>
    <cellStyle name="Normal 6 2 5 2 4 4" xfId="36740" xr:uid="{00000000-0005-0000-0000-000095860000}"/>
    <cellStyle name="Normal 6 2 5 2 5" xfId="13262" xr:uid="{00000000-0005-0000-0000-000096860000}"/>
    <cellStyle name="Normal 6 2 5 2 5 2" xfId="13263" xr:uid="{00000000-0005-0000-0000-000097860000}"/>
    <cellStyle name="Normal 6 2 5 2 5 2 2" xfId="36745" xr:uid="{00000000-0005-0000-0000-000098860000}"/>
    <cellStyle name="Normal 6 2 5 2 5 3" xfId="36744" xr:uid="{00000000-0005-0000-0000-000099860000}"/>
    <cellStyle name="Normal 6 2 5 2 6" xfId="13264" xr:uid="{00000000-0005-0000-0000-00009A860000}"/>
    <cellStyle name="Normal 6 2 5 2 6 2" xfId="36746" xr:uid="{00000000-0005-0000-0000-00009B860000}"/>
    <cellStyle name="Normal 6 2 5 2 7" xfId="36723" xr:uid="{00000000-0005-0000-0000-00009C860000}"/>
    <cellStyle name="Normal 6 2 5 3" xfId="13265" xr:uid="{00000000-0005-0000-0000-00009D860000}"/>
    <cellStyle name="Normal 6 2 5 3 2" xfId="13266" xr:uid="{00000000-0005-0000-0000-00009E860000}"/>
    <cellStyle name="Normal 6 2 5 3 2 2" xfId="13267" xr:uid="{00000000-0005-0000-0000-00009F860000}"/>
    <cellStyle name="Normal 6 2 5 3 2 2 2" xfId="13268" xr:uid="{00000000-0005-0000-0000-0000A0860000}"/>
    <cellStyle name="Normal 6 2 5 3 2 2 2 2" xfId="13269" xr:uid="{00000000-0005-0000-0000-0000A1860000}"/>
    <cellStyle name="Normal 6 2 5 3 2 2 2 2 2" xfId="36751" xr:uid="{00000000-0005-0000-0000-0000A2860000}"/>
    <cellStyle name="Normal 6 2 5 3 2 2 2 3" xfId="36750" xr:uid="{00000000-0005-0000-0000-0000A3860000}"/>
    <cellStyle name="Normal 6 2 5 3 2 2 3" xfId="13270" xr:uid="{00000000-0005-0000-0000-0000A4860000}"/>
    <cellStyle name="Normal 6 2 5 3 2 2 3 2" xfId="36752" xr:uid="{00000000-0005-0000-0000-0000A5860000}"/>
    <cellStyle name="Normal 6 2 5 3 2 2 4" xfId="36749" xr:uid="{00000000-0005-0000-0000-0000A6860000}"/>
    <cellStyle name="Normal 6 2 5 3 2 3" xfId="13271" xr:uid="{00000000-0005-0000-0000-0000A7860000}"/>
    <cellStyle name="Normal 6 2 5 3 2 3 2" xfId="13272" xr:uid="{00000000-0005-0000-0000-0000A8860000}"/>
    <cellStyle name="Normal 6 2 5 3 2 3 2 2" xfId="36754" xr:uid="{00000000-0005-0000-0000-0000A9860000}"/>
    <cellStyle name="Normal 6 2 5 3 2 3 3" xfId="36753" xr:uid="{00000000-0005-0000-0000-0000AA860000}"/>
    <cellStyle name="Normal 6 2 5 3 2 4" xfId="13273" xr:uid="{00000000-0005-0000-0000-0000AB860000}"/>
    <cellStyle name="Normal 6 2 5 3 2 4 2" xfId="36755" xr:uid="{00000000-0005-0000-0000-0000AC860000}"/>
    <cellStyle name="Normal 6 2 5 3 2 5" xfId="36748" xr:uid="{00000000-0005-0000-0000-0000AD860000}"/>
    <cellStyle name="Normal 6 2 5 3 3" xfId="13274" xr:uid="{00000000-0005-0000-0000-0000AE860000}"/>
    <cellStyle name="Normal 6 2 5 3 3 2" xfId="13275" xr:uid="{00000000-0005-0000-0000-0000AF860000}"/>
    <cellStyle name="Normal 6 2 5 3 3 2 2" xfId="13276" xr:uid="{00000000-0005-0000-0000-0000B0860000}"/>
    <cellStyle name="Normal 6 2 5 3 3 2 2 2" xfId="13277" xr:uid="{00000000-0005-0000-0000-0000B1860000}"/>
    <cellStyle name="Normal 6 2 5 3 3 2 2 2 2" xfId="36759" xr:uid="{00000000-0005-0000-0000-0000B2860000}"/>
    <cellStyle name="Normal 6 2 5 3 3 2 2 3" xfId="36758" xr:uid="{00000000-0005-0000-0000-0000B3860000}"/>
    <cellStyle name="Normal 6 2 5 3 3 2 3" xfId="13278" xr:uid="{00000000-0005-0000-0000-0000B4860000}"/>
    <cellStyle name="Normal 6 2 5 3 3 2 3 2" xfId="36760" xr:uid="{00000000-0005-0000-0000-0000B5860000}"/>
    <cellStyle name="Normal 6 2 5 3 3 2 4" xfId="36757" xr:uid="{00000000-0005-0000-0000-0000B6860000}"/>
    <cellStyle name="Normal 6 2 5 3 3 3" xfId="13279" xr:uid="{00000000-0005-0000-0000-0000B7860000}"/>
    <cellStyle name="Normal 6 2 5 3 3 3 2" xfId="13280" xr:uid="{00000000-0005-0000-0000-0000B8860000}"/>
    <cellStyle name="Normal 6 2 5 3 3 3 2 2" xfId="36762" xr:uid="{00000000-0005-0000-0000-0000B9860000}"/>
    <cellStyle name="Normal 6 2 5 3 3 3 3" xfId="36761" xr:uid="{00000000-0005-0000-0000-0000BA860000}"/>
    <cellStyle name="Normal 6 2 5 3 3 4" xfId="13281" xr:uid="{00000000-0005-0000-0000-0000BB860000}"/>
    <cellStyle name="Normal 6 2 5 3 3 4 2" xfId="36763" xr:uid="{00000000-0005-0000-0000-0000BC860000}"/>
    <cellStyle name="Normal 6 2 5 3 3 5" xfId="36756" xr:uid="{00000000-0005-0000-0000-0000BD860000}"/>
    <cellStyle name="Normal 6 2 5 3 4" xfId="13282" xr:uid="{00000000-0005-0000-0000-0000BE860000}"/>
    <cellStyle name="Normal 6 2 5 3 4 2" xfId="13283" xr:uid="{00000000-0005-0000-0000-0000BF860000}"/>
    <cellStyle name="Normal 6 2 5 3 4 2 2" xfId="13284" xr:uid="{00000000-0005-0000-0000-0000C0860000}"/>
    <cellStyle name="Normal 6 2 5 3 4 2 2 2" xfId="36766" xr:uid="{00000000-0005-0000-0000-0000C1860000}"/>
    <cellStyle name="Normal 6 2 5 3 4 2 3" xfId="36765" xr:uid="{00000000-0005-0000-0000-0000C2860000}"/>
    <cellStyle name="Normal 6 2 5 3 4 3" xfId="13285" xr:uid="{00000000-0005-0000-0000-0000C3860000}"/>
    <cellStyle name="Normal 6 2 5 3 4 3 2" xfId="36767" xr:uid="{00000000-0005-0000-0000-0000C4860000}"/>
    <cellStyle name="Normal 6 2 5 3 4 4" xfId="36764" xr:uid="{00000000-0005-0000-0000-0000C5860000}"/>
    <cellStyle name="Normal 6 2 5 3 5" xfId="13286" xr:uid="{00000000-0005-0000-0000-0000C6860000}"/>
    <cellStyle name="Normal 6 2 5 3 5 2" xfId="13287" xr:uid="{00000000-0005-0000-0000-0000C7860000}"/>
    <cellStyle name="Normal 6 2 5 3 5 2 2" xfId="36769" xr:uid="{00000000-0005-0000-0000-0000C8860000}"/>
    <cellStyle name="Normal 6 2 5 3 5 3" xfId="36768" xr:uid="{00000000-0005-0000-0000-0000C9860000}"/>
    <cellStyle name="Normal 6 2 5 3 6" xfId="13288" xr:uid="{00000000-0005-0000-0000-0000CA860000}"/>
    <cellStyle name="Normal 6 2 5 3 6 2" xfId="36770" xr:uid="{00000000-0005-0000-0000-0000CB860000}"/>
    <cellStyle name="Normal 6 2 5 3 7" xfId="36747" xr:uid="{00000000-0005-0000-0000-0000CC860000}"/>
    <cellStyle name="Normal 6 2 5 4" xfId="13289" xr:uid="{00000000-0005-0000-0000-0000CD860000}"/>
    <cellStyle name="Normal 6 2 5 4 2" xfId="13290" xr:uid="{00000000-0005-0000-0000-0000CE860000}"/>
    <cellStyle name="Normal 6 2 5 4 2 2" xfId="13291" xr:uid="{00000000-0005-0000-0000-0000CF860000}"/>
    <cellStyle name="Normal 6 2 5 4 2 2 2" xfId="13292" xr:uid="{00000000-0005-0000-0000-0000D0860000}"/>
    <cellStyle name="Normal 6 2 5 4 2 2 2 2" xfId="13293" xr:uid="{00000000-0005-0000-0000-0000D1860000}"/>
    <cellStyle name="Normal 6 2 5 4 2 2 2 2 2" xfId="36775" xr:uid="{00000000-0005-0000-0000-0000D2860000}"/>
    <cellStyle name="Normal 6 2 5 4 2 2 2 3" xfId="36774" xr:uid="{00000000-0005-0000-0000-0000D3860000}"/>
    <cellStyle name="Normal 6 2 5 4 2 2 3" xfId="13294" xr:uid="{00000000-0005-0000-0000-0000D4860000}"/>
    <cellStyle name="Normal 6 2 5 4 2 2 3 2" xfId="36776" xr:uid="{00000000-0005-0000-0000-0000D5860000}"/>
    <cellStyle name="Normal 6 2 5 4 2 2 4" xfId="36773" xr:uid="{00000000-0005-0000-0000-0000D6860000}"/>
    <cellStyle name="Normal 6 2 5 4 2 3" xfId="13295" xr:uid="{00000000-0005-0000-0000-0000D7860000}"/>
    <cellStyle name="Normal 6 2 5 4 2 3 2" xfId="13296" xr:uid="{00000000-0005-0000-0000-0000D8860000}"/>
    <cellStyle name="Normal 6 2 5 4 2 3 2 2" xfId="36778" xr:uid="{00000000-0005-0000-0000-0000D9860000}"/>
    <cellStyle name="Normal 6 2 5 4 2 3 3" xfId="36777" xr:uid="{00000000-0005-0000-0000-0000DA860000}"/>
    <cellStyle name="Normal 6 2 5 4 2 4" xfId="13297" xr:uid="{00000000-0005-0000-0000-0000DB860000}"/>
    <cellStyle name="Normal 6 2 5 4 2 4 2" xfId="36779" xr:uid="{00000000-0005-0000-0000-0000DC860000}"/>
    <cellStyle name="Normal 6 2 5 4 2 5" xfId="36772" xr:uid="{00000000-0005-0000-0000-0000DD860000}"/>
    <cellStyle name="Normal 6 2 5 4 3" xfId="13298" xr:uid="{00000000-0005-0000-0000-0000DE860000}"/>
    <cellStyle name="Normal 6 2 5 4 3 2" xfId="13299" xr:uid="{00000000-0005-0000-0000-0000DF860000}"/>
    <cellStyle name="Normal 6 2 5 4 3 2 2" xfId="13300" xr:uid="{00000000-0005-0000-0000-0000E0860000}"/>
    <cellStyle name="Normal 6 2 5 4 3 2 2 2" xfId="13301" xr:uid="{00000000-0005-0000-0000-0000E1860000}"/>
    <cellStyle name="Normal 6 2 5 4 3 2 2 2 2" xfId="36783" xr:uid="{00000000-0005-0000-0000-0000E2860000}"/>
    <cellStyle name="Normal 6 2 5 4 3 2 2 3" xfId="36782" xr:uid="{00000000-0005-0000-0000-0000E3860000}"/>
    <cellStyle name="Normal 6 2 5 4 3 2 3" xfId="13302" xr:uid="{00000000-0005-0000-0000-0000E4860000}"/>
    <cellStyle name="Normal 6 2 5 4 3 2 3 2" xfId="36784" xr:uid="{00000000-0005-0000-0000-0000E5860000}"/>
    <cellStyle name="Normal 6 2 5 4 3 2 4" xfId="36781" xr:uid="{00000000-0005-0000-0000-0000E6860000}"/>
    <cellStyle name="Normal 6 2 5 4 3 3" xfId="13303" xr:uid="{00000000-0005-0000-0000-0000E7860000}"/>
    <cellStyle name="Normal 6 2 5 4 3 3 2" xfId="13304" xr:uid="{00000000-0005-0000-0000-0000E8860000}"/>
    <cellStyle name="Normal 6 2 5 4 3 3 2 2" xfId="36786" xr:uid="{00000000-0005-0000-0000-0000E9860000}"/>
    <cellStyle name="Normal 6 2 5 4 3 3 3" xfId="36785" xr:uid="{00000000-0005-0000-0000-0000EA860000}"/>
    <cellStyle name="Normal 6 2 5 4 3 4" xfId="13305" xr:uid="{00000000-0005-0000-0000-0000EB860000}"/>
    <cellStyle name="Normal 6 2 5 4 3 4 2" xfId="36787" xr:uid="{00000000-0005-0000-0000-0000EC860000}"/>
    <cellStyle name="Normal 6 2 5 4 3 5" xfId="36780" xr:uid="{00000000-0005-0000-0000-0000ED860000}"/>
    <cellStyle name="Normal 6 2 5 4 4" xfId="13306" xr:uid="{00000000-0005-0000-0000-0000EE860000}"/>
    <cellStyle name="Normal 6 2 5 4 4 2" xfId="13307" xr:uid="{00000000-0005-0000-0000-0000EF860000}"/>
    <cellStyle name="Normal 6 2 5 4 4 2 2" xfId="13308" xr:uid="{00000000-0005-0000-0000-0000F0860000}"/>
    <cellStyle name="Normal 6 2 5 4 4 2 2 2" xfId="36790" xr:uid="{00000000-0005-0000-0000-0000F1860000}"/>
    <cellStyle name="Normal 6 2 5 4 4 2 3" xfId="36789" xr:uid="{00000000-0005-0000-0000-0000F2860000}"/>
    <cellStyle name="Normal 6 2 5 4 4 3" xfId="13309" xr:uid="{00000000-0005-0000-0000-0000F3860000}"/>
    <cellStyle name="Normal 6 2 5 4 4 3 2" xfId="36791" xr:uid="{00000000-0005-0000-0000-0000F4860000}"/>
    <cellStyle name="Normal 6 2 5 4 4 4" xfId="36788" xr:uid="{00000000-0005-0000-0000-0000F5860000}"/>
    <cellStyle name="Normal 6 2 5 4 5" xfId="13310" xr:uid="{00000000-0005-0000-0000-0000F6860000}"/>
    <cellStyle name="Normal 6 2 5 4 5 2" xfId="13311" xr:uid="{00000000-0005-0000-0000-0000F7860000}"/>
    <cellStyle name="Normal 6 2 5 4 5 2 2" xfId="36793" xr:uid="{00000000-0005-0000-0000-0000F8860000}"/>
    <cellStyle name="Normal 6 2 5 4 5 3" xfId="36792" xr:uid="{00000000-0005-0000-0000-0000F9860000}"/>
    <cellStyle name="Normal 6 2 5 4 6" xfId="13312" xr:uid="{00000000-0005-0000-0000-0000FA860000}"/>
    <cellStyle name="Normal 6 2 5 4 6 2" xfId="36794" xr:uid="{00000000-0005-0000-0000-0000FB860000}"/>
    <cellStyle name="Normal 6 2 5 4 7" xfId="36771" xr:uid="{00000000-0005-0000-0000-0000FC860000}"/>
    <cellStyle name="Normal 6 2 5 5" xfId="13313" xr:uid="{00000000-0005-0000-0000-0000FD860000}"/>
    <cellStyle name="Normal 6 2 5 5 2" xfId="13314" xr:uid="{00000000-0005-0000-0000-0000FE860000}"/>
    <cellStyle name="Normal 6 2 5 5 2 2" xfId="13315" xr:uid="{00000000-0005-0000-0000-0000FF860000}"/>
    <cellStyle name="Normal 6 2 5 5 2 2 2" xfId="13316" xr:uid="{00000000-0005-0000-0000-000000870000}"/>
    <cellStyle name="Normal 6 2 5 5 2 2 2 2" xfId="36798" xr:uid="{00000000-0005-0000-0000-000001870000}"/>
    <cellStyle name="Normal 6 2 5 5 2 2 3" xfId="36797" xr:uid="{00000000-0005-0000-0000-000002870000}"/>
    <cellStyle name="Normal 6 2 5 5 2 3" xfId="13317" xr:uid="{00000000-0005-0000-0000-000003870000}"/>
    <cellStyle name="Normal 6 2 5 5 2 3 2" xfId="36799" xr:uid="{00000000-0005-0000-0000-000004870000}"/>
    <cellStyle name="Normal 6 2 5 5 2 4" xfId="36796" xr:uid="{00000000-0005-0000-0000-000005870000}"/>
    <cellStyle name="Normal 6 2 5 5 3" xfId="13318" xr:uid="{00000000-0005-0000-0000-000006870000}"/>
    <cellStyle name="Normal 6 2 5 5 3 2" xfId="13319" xr:uid="{00000000-0005-0000-0000-000007870000}"/>
    <cellStyle name="Normal 6 2 5 5 3 2 2" xfId="36801" xr:uid="{00000000-0005-0000-0000-000008870000}"/>
    <cellStyle name="Normal 6 2 5 5 3 3" xfId="36800" xr:uid="{00000000-0005-0000-0000-000009870000}"/>
    <cellStyle name="Normal 6 2 5 5 4" xfId="13320" xr:uid="{00000000-0005-0000-0000-00000A870000}"/>
    <cellStyle name="Normal 6 2 5 5 4 2" xfId="36802" xr:uid="{00000000-0005-0000-0000-00000B870000}"/>
    <cellStyle name="Normal 6 2 5 5 5" xfId="36795" xr:uid="{00000000-0005-0000-0000-00000C870000}"/>
    <cellStyle name="Normal 6 2 5 6" xfId="13321" xr:uid="{00000000-0005-0000-0000-00000D870000}"/>
    <cellStyle name="Normal 6 2 5 6 2" xfId="13322" xr:uid="{00000000-0005-0000-0000-00000E870000}"/>
    <cellStyle name="Normal 6 2 5 6 2 2" xfId="13323" xr:uid="{00000000-0005-0000-0000-00000F870000}"/>
    <cellStyle name="Normal 6 2 5 6 2 2 2" xfId="13324" xr:uid="{00000000-0005-0000-0000-000010870000}"/>
    <cellStyle name="Normal 6 2 5 6 2 2 2 2" xfId="36806" xr:uid="{00000000-0005-0000-0000-000011870000}"/>
    <cellStyle name="Normal 6 2 5 6 2 2 3" xfId="36805" xr:uid="{00000000-0005-0000-0000-000012870000}"/>
    <cellStyle name="Normal 6 2 5 6 2 3" xfId="13325" xr:uid="{00000000-0005-0000-0000-000013870000}"/>
    <cellStyle name="Normal 6 2 5 6 2 3 2" xfId="36807" xr:uid="{00000000-0005-0000-0000-000014870000}"/>
    <cellStyle name="Normal 6 2 5 6 2 4" xfId="36804" xr:uid="{00000000-0005-0000-0000-000015870000}"/>
    <cellStyle name="Normal 6 2 5 6 3" xfId="13326" xr:uid="{00000000-0005-0000-0000-000016870000}"/>
    <cellStyle name="Normal 6 2 5 6 3 2" xfId="13327" xr:uid="{00000000-0005-0000-0000-000017870000}"/>
    <cellStyle name="Normal 6 2 5 6 3 2 2" xfId="36809" xr:uid="{00000000-0005-0000-0000-000018870000}"/>
    <cellStyle name="Normal 6 2 5 6 3 3" xfId="36808" xr:uid="{00000000-0005-0000-0000-000019870000}"/>
    <cellStyle name="Normal 6 2 5 6 4" xfId="13328" xr:uid="{00000000-0005-0000-0000-00001A870000}"/>
    <cellStyle name="Normal 6 2 5 6 4 2" xfId="36810" xr:uid="{00000000-0005-0000-0000-00001B870000}"/>
    <cellStyle name="Normal 6 2 5 6 5" xfId="36803" xr:uid="{00000000-0005-0000-0000-00001C870000}"/>
    <cellStyle name="Normal 6 2 5 7" xfId="13329" xr:uid="{00000000-0005-0000-0000-00001D870000}"/>
    <cellStyle name="Normal 6 2 5 7 2" xfId="13330" xr:uid="{00000000-0005-0000-0000-00001E870000}"/>
    <cellStyle name="Normal 6 2 5 7 2 2" xfId="13331" xr:uid="{00000000-0005-0000-0000-00001F870000}"/>
    <cellStyle name="Normal 6 2 5 7 2 2 2" xfId="36813" xr:uid="{00000000-0005-0000-0000-000020870000}"/>
    <cellStyle name="Normal 6 2 5 7 2 3" xfId="36812" xr:uid="{00000000-0005-0000-0000-000021870000}"/>
    <cellStyle name="Normal 6 2 5 7 3" xfId="13332" xr:uid="{00000000-0005-0000-0000-000022870000}"/>
    <cellStyle name="Normal 6 2 5 7 3 2" xfId="36814" xr:uid="{00000000-0005-0000-0000-000023870000}"/>
    <cellStyle name="Normal 6 2 5 7 4" xfId="36811" xr:uid="{00000000-0005-0000-0000-000024870000}"/>
    <cellStyle name="Normal 6 2 5 8" xfId="13333" xr:uid="{00000000-0005-0000-0000-000025870000}"/>
    <cellStyle name="Normal 6 2 5 8 2" xfId="13334" xr:uid="{00000000-0005-0000-0000-000026870000}"/>
    <cellStyle name="Normal 6 2 5 8 2 2" xfId="36816" xr:uid="{00000000-0005-0000-0000-000027870000}"/>
    <cellStyle name="Normal 6 2 5 8 3" xfId="36815" xr:uid="{00000000-0005-0000-0000-000028870000}"/>
    <cellStyle name="Normal 6 2 5 9" xfId="13335" xr:uid="{00000000-0005-0000-0000-000029870000}"/>
    <cellStyle name="Normal 6 2 5 9 2" xfId="36817" xr:uid="{00000000-0005-0000-0000-00002A870000}"/>
    <cellStyle name="Normal 6 2 6" xfId="13336" xr:uid="{00000000-0005-0000-0000-00002B870000}"/>
    <cellStyle name="Normal 6 2 6 2" xfId="13337" xr:uid="{00000000-0005-0000-0000-00002C870000}"/>
    <cellStyle name="Normal 6 2 6 2 2" xfId="13338" xr:uid="{00000000-0005-0000-0000-00002D870000}"/>
    <cellStyle name="Normal 6 2 6 2 2 2" xfId="13339" xr:uid="{00000000-0005-0000-0000-00002E870000}"/>
    <cellStyle name="Normal 6 2 6 2 2 2 2" xfId="13340" xr:uid="{00000000-0005-0000-0000-00002F870000}"/>
    <cellStyle name="Normal 6 2 6 2 2 2 2 2" xfId="36822" xr:uid="{00000000-0005-0000-0000-000030870000}"/>
    <cellStyle name="Normal 6 2 6 2 2 2 3" xfId="36821" xr:uid="{00000000-0005-0000-0000-000031870000}"/>
    <cellStyle name="Normal 6 2 6 2 2 3" xfId="13341" xr:uid="{00000000-0005-0000-0000-000032870000}"/>
    <cellStyle name="Normal 6 2 6 2 2 3 2" xfId="36823" xr:uid="{00000000-0005-0000-0000-000033870000}"/>
    <cellStyle name="Normal 6 2 6 2 2 4" xfId="36820" xr:uid="{00000000-0005-0000-0000-000034870000}"/>
    <cellStyle name="Normal 6 2 6 2 3" xfId="13342" xr:uid="{00000000-0005-0000-0000-000035870000}"/>
    <cellStyle name="Normal 6 2 6 2 3 2" xfId="13343" xr:uid="{00000000-0005-0000-0000-000036870000}"/>
    <cellStyle name="Normal 6 2 6 2 3 2 2" xfId="36825" xr:uid="{00000000-0005-0000-0000-000037870000}"/>
    <cellStyle name="Normal 6 2 6 2 3 3" xfId="36824" xr:uid="{00000000-0005-0000-0000-000038870000}"/>
    <cellStyle name="Normal 6 2 6 2 4" xfId="13344" xr:uid="{00000000-0005-0000-0000-000039870000}"/>
    <cellStyle name="Normal 6 2 6 2 4 2" xfId="36826" xr:uid="{00000000-0005-0000-0000-00003A870000}"/>
    <cellStyle name="Normal 6 2 6 2 5" xfId="36819" xr:uid="{00000000-0005-0000-0000-00003B870000}"/>
    <cellStyle name="Normal 6 2 6 3" xfId="13345" xr:uid="{00000000-0005-0000-0000-00003C870000}"/>
    <cellStyle name="Normal 6 2 6 3 2" xfId="13346" xr:uid="{00000000-0005-0000-0000-00003D870000}"/>
    <cellStyle name="Normal 6 2 6 3 2 2" xfId="13347" xr:uid="{00000000-0005-0000-0000-00003E870000}"/>
    <cellStyle name="Normal 6 2 6 3 2 2 2" xfId="13348" xr:uid="{00000000-0005-0000-0000-00003F870000}"/>
    <cellStyle name="Normal 6 2 6 3 2 2 2 2" xfId="36830" xr:uid="{00000000-0005-0000-0000-000040870000}"/>
    <cellStyle name="Normal 6 2 6 3 2 2 3" xfId="36829" xr:uid="{00000000-0005-0000-0000-000041870000}"/>
    <cellStyle name="Normal 6 2 6 3 2 3" xfId="13349" xr:uid="{00000000-0005-0000-0000-000042870000}"/>
    <cellStyle name="Normal 6 2 6 3 2 3 2" xfId="36831" xr:uid="{00000000-0005-0000-0000-000043870000}"/>
    <cellStyle name="Normal 6 2 6 3 2 4" xfId="36828" xr:uid="{00000000-0005-0000-0000-000044870000}"/>
    <cellStyle name="Normal 6 2 6 3 3" xfId="13350" xr:uid="{00000000-0005-0000-0000-000045870000}"/>
    <cellStyle name="Normal 6 2 6 3 3 2" xfId="13351" xr:uid="{00000000-0005-0000-0000-000046870000}"/>
    <cellStyle name="Normal 6 2 6 3 3 2 2" xfId="36833" xr:uid="{00000000-0005-0000-0000-000047870000}"/>
    <cellStyle name="Normal 6 2 6 3 3 3" xfId="36832" xr:uid="{00000000-0005-0000-0000-000048870000}"/>
    <cellStyle name="Normal 6 2 6 3 4" xfId="13352" xr:uid="{00000000-0005-0000-0000-000049870000}"/>
    <cellStyle name="Normal 6 2 6 3 4 2" xfId="36834" xr:uid="{00000000-0005-0000-0000-00004A870000}"/>
    <cellStyle name="Normal 6 2 6 3 5" xfId="36827" xr:uid="{00000000-0005-0000-0000-00004B870000}"/>
    <cellStyle name="Normal 6 2 6 4" xfId="13353" xr:uid="{00000000-0005-0000-0000-00004C870000}"/>
    <cellStyle name="Normal 6 2 6 4 2" xfId="13354" xr:uid="{00000000-0005-0000-0000-00004D870000}"/>
    <cellStyle name="Normal 6 2 6 4 2 2" xfId="13355" xr:uid="{00000000-0005-0000-0000-00004E870000}"/>
    <cellStyle name="Normal 6 2 6 4 2 2 2" xfId="36837" xr:uid="{00000000-0005-0000-0000-00004F870000}"/>
    <cellStyle name="Normal 6 2 6 4 2 3" xfId="36836" xr:uid="{00000000-0005-0000-0000-000050870000}"/>
    <cellStyle name="Normal 6 2 6 4 3" xfId="13356" xr:uid="{00000000-0005-0000-0000-000051870000}"/>
    <cellStyle name="Normal 6 2 6 4 3 2" xfId="36838" xr:uid="{00000000-0005-0000-0000-000052870000}"/>
    <cellStyle name="Normal 6 2 6 4 4" xfId="36835" xr:uid="{00000000-0005-0000-0000-000053870000}"/>
    <cellStyle name="Normal 6 2 6 5" xfId="13357" xr:uid="{00000000-0005-0000-0000-000054870000}"/>
    <cellStyle name="Normal 6 2 6 5 2" xfId="13358" xr:uid="{00000000-0005-0000-0000-000055870000}"/>
    <cellStyle name="Normal 6 2 6 5 2 2" xfId="36840" xr:uid="{00000000-0005-0000-0000-000056870000}"/>
    <cellStyle name="Normal 6 2 6 5 3" xfId="36839" xr:uid="{00000000-0005-0000-0000-000057870000}"/>
    <cellStyle name="Normal 6 2 6 6" xfId="13359" xr:uid="{00000000-0005-0000-0000-000058870000}"/>
    <cellStyle name="Normal 6 2 6 6 2" xfId="36841" xr:uid="{00000000-0005-0000-0000-000059870000}"/>
    <cellStyle name="Normal 6 2 6 7" xfId="36818" xr:uid="{00000000-0005-0000-0000-00005A870000}"/>
    <cellStyle name="Normal 6 2 7" xfId="13360" xr:uid="{00000000-0005-0000-0000-00005B870000}"/>
    <cellStyle name="Normal 6 2 7 2" xfId="13361" xr:uid="{00000000-0005-0000-0000-00005C870000}"/>
    <cellStyle name="Normal 6 2 7 2 2" xfId="13362" xr:uid="{00000000-0005-0000-0000-00005D870000}"/>
    <cellStyle name="Normal 6 2 7 2 2 2" xfId="13363" xr:uid="{00000000-0005-0000-0000-00005E870000}"/>
    <cellStyle name="Normal 6 2 7 2 2 2 2" xfId="13364" xr:uid="{00000000-0005-0000-0000-00005F870000}"/>
    <cellStyle name="Normal 6 2 7 2 2 2 2 2" xfId="36846" xr:uid="{00000000-0005-0000-0000-000060870000}"/>
    <cellStyle name="Normal 6 2 7 2 2 2 3" xfId="36845" xr:uid="{00000000-0005-0000-0000-000061870000}"/>
    <cellStyle name="Normal 6 2 7 2 2 3" xfId="13365" xr:uid="{00000000-0005-0000-0000-000062870000}"/>
    <cellStyle name="Normal 6 2 7 2 2 3 2" xfId="36847" xr:uid="{00000000-0005-0000-0000-000063870000}"/>
    <cellStyle name="Normal 6 2 7 2 2 4" xfId="36844" xr:uid="{00000000-0005-0000-0000-000064870000}"/>
    <cellStyle name="Normal 6 2 7 2 3" xfId="13366" xr:uid="{00000000-0005-0000-0000-000065870000}"/>
    <cellStyle name="Normal 6 2 7 2 3 2" xfId="13367" xr:uid="{00000000-0005-0000-0000-000066870000}"/>
    <cellStyle name="Normal 6 2 7 2 3 2 2" xfId="36849" xr:uid="{00000000-0005-0000-0000-000067870000}"/>
    <cellStyle name="Normal 6 2 7 2 3 3" xfId="36848" xr:uid="{00000000-0005-0000-0000-000068870000}"/>
    <cellStyle name="Normal 6 2 7 2 4" xfId="13368" xr:uid="{00000000-0005-0000-0000-000069870000}"/>
    <cellStyle name="Normal 6 2 7 2 4 2" xfId="36850" xr:uid="{00000000-0005-0000-0000-00006A870000}"/>
    <cellStyle name="Normal 6 2 7 2 5" xfId="36843" xr:uid="{00000000-0005-0000-0000-00006B870000}"/>
    <cellStyle name="Normal 6 2 7 3" xfId="13369" xr:uid="{00000000-0005-0000-0000-00006C870000}"/>
    <cellStyle name="Normal 6 2 7 3 2" xfId="13370" xr:uid="{00000000-0005-0000-0000-00006D870000}"/>
    <cellStyle name="Normal 6 2 7 3 2 2" xfId="13371" xr:uid="{00000000-0005-0000-0000-00006E870000}"/>
    <cellStyle name="Normal 6 2 7 3 2 2 2" xfId="13372" xr:uid="{00000000-0005-0000-0000-00006F870000}"/>
    <cellStyle name="Normal 6 2 7 3 2 2 2 2" xfId="36854" xr:uid="{00000000-0005-0000-0000-000070870000}"/>
    <cellStyle name="Normal 6 2 7 3 2 2 3" xfId="36853" xr:uid="{00000000-0005-0000-0000-000071870000}"/>
    <cellStyle name="Normal 6 2 7 3 2 3" xfId="13373" xr:uid="{00000000-0005-0000-0000-000072870000}"/>
    <cellStyle name="Normal 6 2 7 3 2 3 2" xfId="36855" xr:uid="{00000000-0005-0000-0000-000073870000}"/>
    <cellStyle name="Normal 6 2 7 3 2 4" xfId="36852" xr:uid="{00000000-0005-0000-0000-000074870000}"/>
    <cellStyle name="Normal 6 2 7 3 3" xfId="13374" xr:uid="{00000000-0005-0000-0000-000075870000}"/>
    <cellStyle name="Normal 6 2 7 3 3 2" xfId="13375" xr:uid="{00000000-0005-0000-0000-000076870000}"/>
    <cellStyle name="Normal 6 2 7 3 3 2 2" xfId="36857" xr:uid="{00000000-0005-0000-0000-000077870000}"/>
    <cellStyle name="Normal 6 2 7 3 3 3" xfId="36856" xr:uid="{00000000-0005-0000-0000-000078870000}"/>
    <cellStyle name="Normal 6 2 7 3 4" xfId="13376" xr:uid="{00000000-0005-0000-0000-000079870000}"/>
    <cellStyle name="Normal 6 2 7 3 4 2" xfId="36858" xr:uid="{00000000-0005-0000-0000-00007A870000}"/>
    <cellStyle name="Normal 6 2 7 3 5" xfId="36851" xr:uid="{00000000-0005-0000-0000-00007B870000}"/>
    <cellStyle name="Normal 6 2 7 4" xfId="13377" xr:uid="{00000000-0005-0000-0000-00007C870000}"/>
    <cellStyle name="Normal 6 2 7 4 2" xfId="13378" xr:uid="{00000000-0005-0000-0000-00007D870000}"/>
    <cellStyle name="Normal 6 2 7 4 2 2" xfId="13379" xr:uid="{00000000-0005-0000-0000-00007E870000}"/>
    <cellStyle name="Normal 6 2 7 4 2 2 2" xfId="36861" xr:uid="{00000000-0005-0000-0000-00007F870000}"/>
    <cellStyle name="Normal 6 2 7 4 2 3" xfId="36860" xr:uid="{00000000-0005-0000-0000-000080870000}"/>
    <cellStyle name="Normal 6 2 7 4 3" xfId="13380" xr:uid="{00000000-0005-0000-0000-000081870000}"/>
    <cellStyle name="Normal 6 2 7 4 3 2" xfId="36862" xr:uid="{00000000-0005-0000-0000-000082870000}"/>
    <cellStyle name="Normal 6 2 7 4 4" xfId="36859" xr:uid="{00000000-0005-0000-0000-000083870000}"/>
    <cellStyle name="Normal 6 2 7 5" xfId="13381" xr:uid="{00000000-0005-0000-0000-000084870000}"/>
    <cellStyle name="Normal 6 2 7 5 2" xfId="13382" xr:uid="{00000000-0005-0000-0000-000085870000}"/>
    <cellStyle name="Normal 6 2 7 5 2 2" xfId="36864" xr:uid="{00000000-0005-0000-0000-000086870000}"/>
    <cellStyle name="Normal 6 2 7 5 3" xfId="36863" xr:uid="{00000000-0005-0000-0000-000087870000}"/>
    <cellStyle name="Normal 6 2 7 6" xfId="13383" xr:uid="{00000000-0005-0000-0000-000088870000}"/>
    <cellStyle name="Normal 6 2 7 6 2" xfId="36865" xr:uid="{00000000-0005-0000-0000-000089870000}"/>
    <cellStyle name="Normal 6 2 7 7" xfId="36842" xr:uid="{00000000-0005-0000-0000-00008A870000}"/>
    <cellStyle name="Normal 6 2 8" xfId="13384" xr:uid="{00000000-0005-0000-0000-00008B870000}"/>
    <cellStyle name="Normal 6 2 8 2" xfId="13385" xr:uid="{00000000-0005-0000-0000-00008C870000}"/>
    <cellStyle name="Normal 6 2 8 2 2" xfId="13386" xr:uid="{00000000-0005-0000-0000-00008D870000}"/>
    <cellStyle name="Normal 6 2 8 2 2 2" xfId="13387" xr:uid="{00000000-0005-0000-0000-00008E870000}"/>
    <cellStyle name="Normal 6 2 8 2 2 2 2" xfId="13388" xr:uid="{00000000-0005-0000-0000-00008F870000}"/>
    <cellStyle name="Normal 6 2 8 2 2 2 2 2" xfId="36870" xr:uid="{00000000-0005-0000-0000-000090870000}"/>
    <cellStyle name="Normal 6 2 8 2 2 2 3" xfId="36869" xr:uid="{00000000-0005-0000-0000-000091870000}"/>
    <cellStyle name="Normal 6 2 8 2 2 3" xfId="13389" xr:uid="{00000000-0005-0000-0000-000092870000}"/>
    <cellStyle name="Normal 6 2 8 2 2 3 2" xfId="36871" xr:uid="{00000000-0005-0000-0000-000093870000}"/>
    <cellStyle name="Normal 6 2 8 2 2 4" xfId="36868" xr:uid="{00000000-0005-0000-0000-000094870000}"/>
    <cellStyle name="Normal 6 2 8 2 3" xfId="13390" xr:uid="{00000000-0005-0000-0000-000095870000}"/>
    <cellStyle name="Normal 6 2 8 2 3 2" xfId="13391" xr:uid="{00000000-0005-0000-0000-000096870000}"/>
    <cellStyle name="Normal 6 2 8 2 3 2 2" xfId="36873" xr:uid="{00000000-0005-0000-0000-000097870000}"/>
    <cellStyle name="Normal 6 2 8 2 3 3" xfId="36872" xr:uid="{00000000-0005-0000-0000-000098870000}"/>
    <cellStyle name="Normal 6 2 8 2 4" xfId="13392" xr:uid="{00000000-0005-0000-0000-000099870000}"/>
    <cellStyle name="Normal 6 2 8 2 4 2" xfId="36874" xr:uid="{00000000-0005-0000-0000-00009A870000}"/>
    <cellStyle name="Normal 6 2 8 2 5" xfId="36867" xr:uid="{00000000-0005-0000-0000-00009B870000}"/>
    <cellStyle name="Normal 6 2 8 3" xfId="13393" xr:uid="{00000000-0005-0000-0000-00009C870000}"/>
    <cellStyle name="Normal 6 2 8 3 2" xfId="13394" xr:uid="{00000000-0005-0000-0000-00009D870000}"/>
    <cellStyle name="Normal 6 2 8 3 2 2" xfId="13395" xr:uid="{00000000-0005-0000-0000-00009E870000}"/>
    <cellStyle name="Normal 6 2 8 3 2 2 2" xfId="13396" xr:uid="{00000000-0005-0000-0000-00009F870000}"/>
    <cellStyle name="Normal 6 2 8 3 2 2 2 2" xfId="36878" xr:uid="{00000000-0005-0000-0000-0000A0870000}"/>
    <cellStyle name="Normal 6 2 8 3 2 2 3" xfId="36877" xr:uid="{00000000-0005-0000-0000-0000A1870000}"/>
    <cellStyle name="Normal 6 2 8 3 2 3" xfId="13397" xr:uid="{00000000-0005-0000-0000-0000A2870000}"/>
    <cellStyle name="Normal 6 2 8 3 2 3 2" xfId="36879" xr:uid="{00000000-0005-0000-0000-0000A3870000}"/>
    <cellStyle name="Normal 6 2 8 3 2 4" xfId="36876" xr:uid="{00000000-0005-0000-0000-0000A4870000}"/>
    <cellStyle name="Normal 6 2 8 3 3" xfId="13398" xr:uid="{00000000-0005-0000-0000-0000A5870000}"/>
    <cellStyle name="Normal 6 2 8 3 3 2" xfId="13399" xr:uid="{00000000-0005-0000-0000-0000A6870000}"/>
    <cellStyle name="Normal 6 2 8 3 3 2 2" xfId="36881" xr:uid="{00000000-0005-0000-0000-0000A7870000}"/>
    <cellStyle name="Normal 6 2 8 3 3 3" xfId="36880" xr:uid="{00000000-0005-0000-0000-0000A8870000}"/>
    <cellStyle name="Normal 6 2 8 3 4" xfId="13400" xr:uid="{00000000-0005-0000-0000-0000A9870000}"/>
    <cellStyle name="Normal 6 2 8 3 4 2" xfId="36882" xr:uid="{00000000-0005-0000-0000-0000AA870000}"/>
    <cellStyle name="Normal 6 2 8 3 5" xfId="36875" xr:uid="{00000000-0005-0000-0000-0000AB870000}"/>
    <cellStyle name="Normal 6 2 8 4" xfId="13401" xr:uid="{00000000-0005-0000-0000-0000AC870000}"/>
    <cellStyle name="Normal 6 2 8 4 2" xfId="13402" xr:uid="{00000000-0005-0000-0000-0000AD870000}"/>
    <cellStyle name="Normal 6 2 8 4 2 2" xfId="13403" xr:uid="{00000000-0005-0000-0000-0000AE870000}"/>
    <cellStyle name="Normal 6 2 8 4 2 2 2" xfId="36885" xr:uid="{00000000-0005-0000-0000-0000AF870000}"/>
    <cellStyle name="Normal 6 2 8 4 2 3" xfId="36884" xr:uid="{00000000-0005-0000-0000-0000B0870000}"/>
    <cellStyle name="Normal 6 2 8 4 3" xfId="13404" xr:uid="{00000000-0005-0000-0000-0000B1870000}"/>
    <cellStyle name="Normal 6 2 8 4 3 2" xfId="36886" xr:uid="{00000000-0005-0000-0000-0000B2870000}"/>
    <cellStyle name="Normal 6 2 8 4 4" xfId="36883" xr:uid="{00000000-0005-0000-0000-0000B3870000}"/>
    <cellStyle name="Normal 6 2 8 5" xfId="13405" xr:uid="{00000000-0005-0000-0000-0000B4870000}"/>
    <cellStyle name="Normal 6 2 8 5 2" xfId="13406" xr:uid="{00000000-0005-0000-0000-0000B5870000}"/>
    <cellStyle name="Normal 6 2 8 5 2 2" xfId="36888" xr:uid="{00000000-0005-0000-0000-0000B6870000}"/>
    <cellStyle name="Normal 6 2 8 5 3" xfId="36887" xr:uid="{00000000-0005-0000-0000-0000B7870000}"/>
    <cellStyle name="Normal 6 2 8 6" xfId="13407" xr:uid="{00000000-0005-0000-0000-0000B8870000}"/>
    <cellStyle name="Normal 6 2 8 6 2" xfId="36889" xr:uid="{00000000-0005-0000-0000-0000B9870000}"/>
    <cellStyle name="Normal 6 2 8 7" xfId="36866" xr:uid="{00000000-0005-0000-0000-0000BA870000}"/>
    <cellStyle name="Normal 6 2 9" xfId="13408" xr:uid="{00000000-0005-0000-0000-0000BB870000}"/>
    <cellStyle name="Normal 6 2 9 2" xfId="13409" xr:uid="{00000000-0005-0000-0000-0000BC870000}"/>
    <cellStyle name="Normal 6 2 9 2 2" xfId="13410" xr:uid="{00000000-0005-0000-0000-0000BD870000}"/>
    <cellStyle name="Normal 6 2 9 2 2 2" xfId="13411" xr:uid="{00000000-0005-0000-0000-0000BE870000}"/>
    <cellStyle name="Normal 6 2 9 2 2 2 2" xfId="13412" xr:uid="{00000000-0005-0000-0000-0000BF870000}"/>
    <cellStyle name="Normal 6 2 9 2 2 2 2 2" xfId="36894" xr:uid="{00000000-0005-0000-0000-0000C0870000}"/>
    <cellStyle name="Normal 6 2 9 2 2 2 3" xfId="36893" xr:uid="{00000000-0005-0000-0000-0000C1870000}"/>
    <cellStyle name="Normal 6 2 9 2 2 3" xfId="13413" xr:uid="{00000000-0005-0000-0000-0000C2870000}"/>
    <cellStyle name="Normal 6 2 9 2 2 3 2" xfId="36895" xr:uid="{00000000-0005-0000-0000-0000C3870000}"/>
    <cellStyle name="Normal 6 2 9 2 2 4" xfId="36892" xr:uid="{00000000-0005-0000-0000-0000C4870000}"/>
    <cellStyle name="Normal 6 2 9 2 3" xfId="13414" xr:uid="{00000000-0005-0000-0000-0000C5870000}"/>
    <cellStyle name="Normal 6 2 9 2 3 2" xfId="13415" xr:uid="{00000000-0005-0000-0000-0000C6870000}"/>
    <cellStyle name="Normal 6 2 9 2 3 2 2" xfId="36897" xr:uid="{00000000-0005-0000-0000-0000C7870000}"/>
    <cellStyle name="Normal 6 2 9 2 3 3" xfId="36896" xr:uid="{00000000-0005-0000-0000-0000C8870000}"/>
    <cellStyle name="Normal 6 2 9 2 4" xfId="13416" xr:uid="{00000000-0005-0000-0000-0000C9870000}"/>
    <cellStyle name="Normal 6 2 9 2 4 2" xfId="36898" xr:uid="{00000000-0005-0000-0000-0000CA870000}"/>
    <cellStyle name="Normal 6 2 9 2 5" xfId="36891" xr:uid="{00000000-0005-0000-0000-0000CB870000}"/>
    <cellStyle name="Normal 6 2 9 3" xfId="13417" xr:uid="{00000000-0005-0000-0000-0000CC870000}"/>
    <cellStyle name="Normal 6 2 9 3 2" xfId="13418" xr:uid="{00000000-0005-0000-0000-0000CD870000}"/>
    <cellStyle name="Normal 6 2 9 3 2 2" xfId="13419" xr:uid="{00000000-0005-0000-0000-0000CE870000}"/>
    <cellStyle name="Normal 6 2 9 3 2 2 2" xfId="13420" xr:uid="{00000000-0005-0000-0000-0000CF870000}"/>
    <cellStyle name="Normal 6 2 9 3 2 2 2 2" xfId="36902" xr:uid="{00000000-0005-0000-0000-0000D0870000}"/>
    <cellStyle name="Normal 6 2 9 3 2 2 3" xfId="36901" xr:uid="{00000000-0005-0000-0000-0000D1870000}"/>
    <cellStyle name="Normal 6 2 9 3 2 3" xfId="13421" xr:uid="{00000000-0005-0000-0000-0000D2870000}"/>
    <cellStyle name="Normal 6 2 9 3 2 3 2" xfId="36903" xr:uid="{00000000-0005-0000-0000-0000D3870000}"/>
    <cellStyle name="Normal 6 2 9 3 2 4" xfId="36900" xr:uid="{00000000-0005-0000-0000-0000D4870000}"/>
    <cellStyle name="Normal 6 2 9 3 3" xfId="13422" xr:uid="{00000000-0005-0000-0000-0000D5870000}"/>
    <cellStyle name="Normal 6 2 9 3 3 2" xfId="13423" xr:uid="{00000000-0005-0000-0000-0000D6870000}"/>
    <cellStyle name="Normal 6 2 9 3 3 2 2" xfId="36905" xr:uid="{00000000-0005-0000-0000-0000D7870000}"/>
    <cellStyle name="Normal 6 2 9 3 3 3" xfId="36904" xr:uid="{00000000-0005-0000-0000-0000D8870000}"/>
    <cellStyle name="Normal 6 2 9 3 4" xfId="13424" xr:uid="{00000000-0005-0000-0000-0000D9870000}"/>
    <cellStyle name="Normal 6 2 9 3 4 2" xfId="36906" xr:uid="{00000000-0005-0000-0000-0000DA870000}"/>
    <cellStyle name="Normal 6 2 9 3 5" xfId="36899" xr:uid="{00000000-0005-0000-0000-0000DB870000}"/>
    <cellStyle name="Normal 6 2 9 4" xfId="13425" xr:uid="{00000000-0005-0000-0000-0000DC870000}"/>
    <cellStyle name="Normal 6 2 9 4 2" xfId="13426" xr:uid="{00000000-0005-0000-0000-0000DD870000}"/>
    <cellStyle name="Normal 6 2 9 4 2 2" xfId="13427" xr:uid="{00000000-0005-0000-0000-0000DE870000}"/>
    <cellStyle name="Normal 6 2 9 4 2 2 2" xfId="36909" xr:uid="{00000000-0005-0000-0000-0000DF870000}"/>
    <cellStyle name="Normal 6 2 9 4 2 3" xfId="36908" xr:uid="{00000000-0005-0000-0000-0000E0870000}"/>
    <cellStyle name="Normal 6 2 9 4 3" xfId="13428" xr:uid="{00000000-0005-0000-0000-0000E1870000}"/>
    <cellStyle name="Normal 6 2 9 4 3 2" xfId="36910" xr:uid="{00000000-0005-0000-0000-0000E2870000}"/>
    <cellStyle name="Normal 6 2 9 4 4" xfId="36907" xr:uid="{00000000-0005-0000-0000-0000E3870000}"/>
    <cellStyle name="Normal 6 2 9 5" xfId="13429" xr:uid="{00000000-0005-0000-0000-0000E4870000}"/>
    <cellStyle name="Normal 6 2 9 5 2" xfId="13430" xr:uid="{00000000-0005-0000-0000-0000E5870000}"/>
    <cellStyle name="Normal 6 2 9 5 2 2" xfId="36912" xr:uid="{00000000-0005-0000-0000-0000E6870000}"/>
    <cellStyle name="Normal 6 2 9 5 3" xfId="36911" xr:uid="{00000000-0005-0000-0000-0000E7870000}"/>
    <cellStyle name="Normal 6 2 9 6" xfId="13431" xr:uid="{00000000-0005-0000-0000-0000E8870000}"/>
    <cellStyle name="Normal 6 2 9 6 2" xfId="36913" xr:uid="{00000000-0005-0000-0000-0000E9870000}"/>
    <cellStyle name="Normal 6 2 9 7" xfId="36890" xr:uid="{00000000-0005-0000-0000-0000EA870000}"/>
    <cellStyle name="Normal 6 3" xfId="135" xr:uid="{00000000-0005-0000-0000-0000EB870000}"/>
    <cellStyle name="Normal 6 3 10" xfId="13433" xr:uid="{00000000-0005-0000-0000-0000EC870000}"/>
    <cellStyle name="Normal 6 3 10 2" xfId="13434" xr:uid="{00000000-0005-0000-0000-0000ED870000}"/>
    <cellStyle name="Normal 6 3 10 2 2" xfId="13435" xr:uid="{00000000-0005-0000-0000-0000EE870000}"/>
    <cellStyle name="Normal 6 3 10 2 2 2" xfId="13436" xr:uid="{00000000-0005-0000-0000-0000EF870000}"/>
    <cellStyle name="Normal 6 3 10 2 2 2 2" xfId="36917" xr:uid="{00000000-0005-0000-0000-0000F0870000}"/>
    <cellStyle name="Normal 6 3 10 2 2 3" xfId="36916" xr:uid="{00000000-0005-0000-0000-0000F1870000}"/>
    <cellStyle name="Normal 6 3 10 2 3" xfId="13437" xr:uid="{00000000-0005-0000-0000-0000F2870000}"/>
    <cellStyle name="Normal 6 3 10 2 3 2" xfId="36918" xr:uid="{00000000-0005-0000-0000-0000F3870000}"/>
    <cellStyle name="Normal 6 3 10 2 4" xfId="36915" xr:uid="{00000000-0005-0000-0000-0000F4870000}"/>
    <cellStyle name="Normal 6 3 10 3" xfId="13438" xr:uid="{00000000-0005-0000-0000-0000F5870000}"/>
    <cellStyle name="Normal 6 3 10 3 2" xfId="13439" xr:uid="{00000000-0005-0000-0000-0000F6870000}"/>
    <cellStyle name="Normal 6 3 10 3 2 2" xfId="36920" xr:uid="{00000000-0005-0000-0000-0000F7870000}"/>
    <cellStyle name="Normal 6 3 10 3 3" xfId="36919" xr:uid="{00000000-0005-0000-0000-0000F8870000}"/>
    <cellStyle name="Normal 6 3 11" xfId="13440" xr:uid="{00000000-0005-0000-0000-0000F9870000}"/>
    <cellStyle name="Normal 6 3 11 2" xfId="13441" xr:uid="{00000000-0005-0000-0000-0000FA870000}"/>
    <cellStyle name="Normal 6 3 11 2 2" xfId="13442" xr:uid="{00000000-0005-0000-0000-0000FB870000}"/>
    <cellStyle name="Normal 6 3 11 2 2 2" xfId="13443" xr:uid="{00000000-0005-0000-0000-0000FC870000}"/>
    <cellStyle name="Normal 6 3 11 2 2 2 2" xfId="36924" xr:uid="{00000000-0005-0000-0000-0000FD870000}"/>
    <cellStyle name="Normal 6 3 11 2 2 3" xfId="36923" xr:uid="{00000000-0005-0000-0000-0000FE870000}"/>
    <cellStyle name="Normal 6 3 11 2 3" xfId="13444" xr:uid="{00000000-0005-0000-0000-0000FF870000}"/>
    <cellStyle name="Normal 6 3 11 2 3 2" xfId="36925" xr:uid="{00000000-0005-0000-0000-000000880000}"/>
    <cellStyle name="Normal 6 3 11 2 4" xfId="36922" xr:uid="{00000000-0005-0000-0000-000001880000}"/>
    <cellStyle name="Normal 6 3 11 3" xfId="13445" xr:uid="{00000000-0005-0000-0000-000002880000}"/>
    <cellStyle name="Normal 6 3 11 3 2" xfId="13446" xr:uid="{00000000-0005-0000-0000-000003880000}"/>
    <cellStyle name="Normal 6 3 11 3 2 2" xfId="36927" xr:uid="{00000000-0005-0000-0000-000004880000}"/>
    <cellStyle name="Normal 6 3 11 3 3" xfId="36926" xr:uid="{00000000-0005-0000-0000-000005880000}"/>
    <cellStyle name="Normal 6 3 11 4" xfId="13447" xr:uid="{00000000-0005-0000-0000-000006880000}"/>
    <cellStyle name="Normal 6 3 11 4 2" xfId="36928" xr:uid="{00000000-0005-0000-0000-000007880000}"/>
    <cellStyle name="Normal 6 3 11 5" xfId="36921" xr:uid="{00000000-0005-0000-0000-000008880000}"/>
    <cellStyle name="Normal 6 3 12" xfId="13448" xr:uid="{00000000-0005-0000-0000-000009880000}"/>
    <cellStyle name="Normal 6 3 12 2" xfId="13449" xr:uid="{00000000-0005-0000-0000-00000A880000}"/>
    <cellStyle name="Normal 6 3 12 2 2" xfId="13450" xr:uid="{00000000-0005-0000-0000-00000B880000}"/>
    <cellStyle name="Normal 6 3 12 2 2 2" xfId="36931" xr:uid="{00000000-0005-0000-0000-00000C880000}"/>
    <cellStyle name="Normal 6 3 12 2 3" xfId="36930" xr:uid="{00000000-0005-0000-0000-00000D880000}"/>
    <cellStyle name="Normal 6 3 12 3" xfId="13451" xr:uid="{00000000-0005-0000-0000-00000E880000}"/>
    <cellStyle name="Normal 6 3 12 3 2" xfId="36932" xr:uid="{00000000-0005-0000-0000-00000F880000}"/>
    <cellStyle name="Normal 6 3 12 4" xfId="36929" xr:uid="{00000000-0005-0000-0000-000010880000}"/>
    <cellStyle name="Normal 6 3 13" xfId="13452" xr:uid="{00000000-0005-0000-0000-000011880000}"/>
    <cellStyle name="Normal 6 3 13 2" xfId="13453" xr:uid="{00000000-0005-0000-0000-000012880000}"/>
    <cellStyle name="Normal 6 3 13 2 2" xfId="36934" xr:uid="{00000000-0005-0000-0000-000013880000}"/>
    <cellStyle name="Normal 6 3 13 3" xfId="36933" xr:uid="{00000000-0005-0000-0000-000014880000}"/>
    <cellStyle name="Normal 6 3 14" xfId="13454" xr:uid="{00000000-0005-0000-0000-000015880000}"/>
    <cellStyle name="Normal 6 3 14 2" xfId="36935" xr:uid="{00000000-0005-0000-0000-000016880000}"/>
    <cellStyle name="Normal 6 3 15" xfId="13432" xr:uid="{00000000-0005-0000-0000-000017880000}"/>
    <cellStyle name="Normal 6 3 15 2" xfId="36914" xr:uid="{00000000-0005-0000-0000-000018880000}"/>
    <cellStyle name="Normal 6 3 2" xfId="13455" xr:uid="{00000000-0005-0000-0000-000019880000}"/>
    <cellStyle name="Normal 6 3 2 10" xfId="13456" xr:uid="{00000000-0005-0000-0000-00001A880000}"/>
    <cellStyle name="Normal 6 3 2 10 2" xfId="13457" xr:uid="{00000000-0005-0000-0000-00001B880000}"/>
    <cellStyle name="Normal 6 3 2 10 2 2" xfId="13458" xr:uid="{00000000-0005-0000-0000-00001C880000}"/>
    <cellStyle name="Normal 6 3 2 10 2 2 2" xfId="13459" xr:uid="{00000000-0005-0000-0000-00001D880000}"/>
    <cellStyle name="Normal 6 3 2 10 2 2 2 2" xfId="36940" xr:uid="{00000000-0005-0000-0000-00001E880000}"/>
    <cellStyle name="Normal 6 3 2 10 2 2 3" xfId="36939" xr:uid="{00000000-0005-0000-0000-00001F880000}"/>
    <cellStyle name="Normal 6 3 2 10 2 3" xfId="13460" xr:uid="{00000000-0005-0000-0000-000020880000}"/>
    <cellStyle name="Normal 6 3 2 10 2 3 2" xfId="36941" xr:uid="{00000000-0005-0000-0000-000021880000}"/>
    <cellStyle name="Normal 6 3 2 10 2 4" xfId="36938" xr:uid="{00000000-0005-0000-0000-000022880000}"/>
    <cellStyle name="Normal 6 3 2 10 3" xfId="13461" xr:uid="{00000000-0005-0000-0000-000023880000}"/>
    <cellStyle name="Normal 6 3 2 10 3 2" xfId="13462" xr:uid="{00000000-0005-0000-0000-000024880000}"/>
    <cellStyle name="Normal 6 3 2 10 3 2 2" xfId="36943" xr:uid="{00000000-0005-0000-0000-000025880000}"/>
    <cellStyle name="Normal 6 3 2 10 3 3" xfId="36942" xr:uid="{00000000-0005-0000-0000-000026880000}"/>
    <cellStyle name="Normal 6 3 2 10 4" xfId="13463" xr:uid="{00000000-0005-0000-0000-000027880000}"/>
    <cellStyle name="Normal 6 3 2 10 4 2" xfId="36944" xr:uid="{00000000-0005-0000-0000-000028880000}"/>
    <cellStyle name="Normal 6 3 2 10 5" xfId="36937" xr:uid="{00000000-0005-0000-0000-000029880000}"/>
    <cellStyle name="Normal 6 3 2 11" xfId="13464" xr:uid="{00000000-0005-0000-0000-00002A880000}"/>
    <cellStyle name="Normal 6 3 2 11 2" xfId="13465" xr:uid="{00000000-0005-0000-0000-00002B880000}"/>
    <cellStyle name="Normal 6 3 2 11 2 2" xfId="13466" xr:uid="{00000000-0005-0000-0000-00002C880000}"/>
    <cellStyle name="Normal 6 3 2 11 2 2 2" xfId="36947" xr:uid="{00000000-0005-0000-0000-00002D880000}"/>
    <cellStyle name="Normal 6 3 2 11 2 3" xfId="36946" xr:uid="{00000000-0005-0000-0000-00002E880000}"/>
    <cellStyle name="Normal 6 3 2 11 3" xfId="13467" xr:uid="{00000000-0005-0000-0000-00002F880000}"/>
    <cellStyle name="Normal 6 3 2 11 3 2" xfId="36948" xr:uid="{00000000-0005-0000-0000-000030880000}"/>
    <cellStyle name="Normal 6 3 2 11 4" xfId="36945" xr:uid="{00000000-0005-0000-0000-000031880000}"/>
    <cellStyle name="Normal 6 3 2 12" xfId="13468" xr:uid="{00000000-0005-0000-0000-000032880000}"/>
    <cellStyle name="Normal 6 3 2 12 2" xfId="13469" xr:uid="{00000000-0005-0000-0000-000033880000}"/>
    <cellStyle name="Normal 6 3 2 12 2 2" xfId="36950" xr:uid="{00000000-0005-0000-0000-000034880000}"/>
    <cellStyle name="Normal 6 3 2 12 3" xfId="36949" xr:uid="{00000000-0005-0000-0000-000035880000}"/>
    <cellStyle name="Normal 6 3 2 13" xfId="13470" xr:uid="{00000000-0005-0000-0000-000036880000}"/>
    <cellStyle name="Normal 6 3 2 13 2" xfId="36951" xr:uid="{00000000-0005-0000-0000-000037880000}"/>
    <cellStyle name="Normal 6 3 2 14" xfId="36936" xr:uid="{00000000-0005-0000-0000-000038880000}"/>
    <cellStyle name="Normal 6 3 2 2" xfId="13471" xr:uid="{00000000-0005-0000-0000-000039880000}"/>
    <cellStyle name="Normal 6 3 2 2 10" xfId="13472" xr:uid="{00000000-0005-0000-0000-00003A880000}"/>
    <cellStyle name="Normal 6 3 2 2 10 2" xfId="36953" xr:uid="{00000000-0005-0000-0000-00003B880000}"/>
    <cellStyle name="Normal 6 3 2 2 11" xfId="36952" xr:uid="{00000000-0005-0000-0000-00003C880000}"/>
    <cellStyle name="Normal 6 3 2 2 2" xfId="13473" xr:uid="{00000000-0005-0000-0000-00003D880000}"/>
    <cellStyle name="Normal 6 3 2 2 2 2" xfId="13474" xr:uid="{00000000-0005-0000-0000-00003E880000}"/>
    <cellStyle name="Normal 6 3 2 2 2 2 2" xfId="13475" xr:uid="{00000000-0005-0000-0000-00003F880000}"/>
    <cellStyle name="Normal 6 3 2 2 2 2 2 2" xfId="13476" xr:uid="{00000000-0005-0000-0000-000040880000}"/>
    <cellStyle name="Normal 6 3 2 2 2 2 2 2 2" xfId="13477" xr:uid="{00000000-0005-0000-0000-000041880000}"/>
    <cellStyle name="Normal 6 3 2 2 2 2 2 2 2 2" xfId="36958" xr:uid="{00000000-0005-0000-0000-000042880000}"/>
    <cellStyle name="Normal 6 3 2 2 2 2 2 2 3" xfId="36957" xr:uid="{00000000-0005-0000-0000-000043880000}"/>
    <cellStyle name="Normal 6 3 2 2 2 2 2 3" xfId="13478" xr:uid="{00000000-0005-0000-0000-000044880000}"/>
    <cellStyle name="Normal 6 3 2 2 2 2 2 3 2" xfId="36959" xr:uid="{00000000-0005-0000-0000-000045880000}"/>
    <cellStyle name="Normal 6 3 2 2 2 2 2 4" xfId="36956" xr:uid="{00000000-0005-0000-0000-000046880000}"/>
    <cellStyle name="Normal 6 3 2 2 2 2 3" xfId="13479" xr:uid="{00000000-0005-0000-0000-000047880000}"/>
    <cellStyle name="Normal 6 3 2 2 2 2 3 2" xfId="13480" xr:uid="{00000000-0005-0000-0000-000048880000}"/>
    <cellStyle name="Normal 6 3 2 2 2 2 3 2 2" xfId="36961" xr:uid="{00000000-0005-0000-0000-000049880000}"/>
    <cellStyle name="Normal 6 3 2 2 2 2 3 3" xfId="36960" xr:uid="{00000000-0005-0000-0000-00004A880000}"/>
    <cellStyle name="Normal 6 3 2 2 2 2 4" xfId="13481" xr:uid="{00000000-0005-0000-0000-00004B880000}"/>
    <cellStyle name="Normal 6 3 2 2 2 2 4 2" xfId="36962" xr:uid="{00000000-0005-0000-0000-00004C880000}"/>
    <cellStyle name="Normal 6 3 2 2 2 2 5" xfId="36955" xr:uid="{00000000-0005-0000-0000-00004D880000}"/>
    <cellStyle name="Normal 6 3 2 2 2 3" xfId="13482" xr:uid="{00000000-0005-0000-0000-00004E880000}"/>
    <cellStyle name="Normal 6 3 2 2 2 3 2" xfId="13483" xr:uid="{00000000-0005-0000-0000-00004F880000}"/>
    <cellStyle name="Normal 6 3 2 2 2 3 2 2" xfId="13484" xr:uid="{00000000-0005-0000-0000-000050880000}"/>
    <cellStyle name="Normal 6 3 2 2 2 3 2 2 2" xfId="13485" xr:uid="{00000000-0005-0000-0000-000051880000}"/>
    <cellStyle name="Normal 6 3 2 2 2 3 2 2 2 2" xfId="36966" xr:uid="{00000000-0005-0000-0000-000052880000}"/>
    <cellStyle name="Normal 6 3 2 2 2 3 2 2 3" xfId="36965" xr:uid="{00000000-0005-0000-0000-000053880000}"/>
    <cellStyle name="Normal 6 3 2 2 2 3 2 3" xfId="13486" xr:uid="{00000000-0005-0000-0000-000054880000}"/>
    <cellStyle name="Normal 6 3 2 2 2 3 2 3 2" xfId="36967" xr:uid="{00000000-0005-0000-0000-000055880000}"/>
    <cellStyle name="Normal 6 3 2 2 2 3 2 4" xfId="36964" xr:uid="{00000000-0005-0000-0000-000056880000}"/>
    <cellStyle name="Normal 6 3 2 2 2 3 3" xfId="13487" xr:uid="{00000000-0005-0000-0000-000057880000}"/>
    <cellStyle name="Normal 6 3 2 2 2 3 3 2" xfId="13488" xr:uid="{00000000-0005-0000-0000-000058880000}"/>
    <cellStyle name="Normal 6 3 2 2 2 3 3 2 2" xfId="36969" xr:uid="{00000000-0005-0000-0000-000059880000}"/>
    <cellStyle name="Normal 6 3 2 2 2 3 3 3" xfId="36968" xr:uid="{00000000-0005-0000-0000-00005A880000}"/>
    <cellStyle name="Normal 6 3 2 2 2 3 4" xfId="13489" xr:uid="{00000000-0005-0000-0000-00005B880000}"/>
    <cellStyle name="Normal 6 3 2 2 2 3 4 2" xfId="36970" xr:uid="{00000000-0005-0000-0000-00005C880000}"/>
    <cellStyle name="Normal 6 3 2 2 2 3 5" xfId="36963" xr:uid="{00000000-0005-0000-0000-00005D880000}"/>
    <cellStyle name="Normal 6 3 2 2 2 4" xfId="13490" xr:uid="{00000000-0005-0000-0000-00005E880000}"/>
    <cellStyle name="Normal 6 3 2 2 2 4 2" xfId="13491" xr:uid="{00000000-0005-0000-0000-00005F880000}"/>
    <cellStyle name="Normal 6 3 2 2 2 4 2 2" xfId="13492" xr:uid="{00000000-0005-0000-0000-000060880000}"/>
    <cellStyle name="Normal 6 3 2 2 2 4 2 2 2" xfId="36973" xr:uid="{00000000-0005-0000-0000-000061880000}"/>
    <cellStyle name="Normal 6 3 2 2 2 4 2 3" xfId="36972" xr:uid="{00000000-0005-0000-0000-000062880000}"/>
    <cellStyle name="Normal 6 3 2 2 2 4 3" xfId="13493" xr:uid="{00000000-0005-0000-0000-000063880000}"/>
    <cellStyle name="Normal 6 3 2 2 2 4 3 2" xfId="36974" xr:uid="{00000000-0005-0000-0000-000064880000}"/>
    <cellStyle name="Normal 6 3 2 2 2 4 4" xfId="36971" xr:uid="{00000000-0005-0000-0000-000065880000}"/>
    <cellStyle name="Normal 6 3 2 2 2 5" xfId="13494" xr:uid="{00000000-0005-0000-0000-000066880000}"/>
    <cellStyle name="Normal 6 3 2 2 2 5 2" xfId="13495" xr:uid="{00000000-0005-0000-0000-000067880000}"/>
    <cellStyle name="Normal 6 3 2 2 2 5 2 2" xfId="36976" xr:uid="{00000000-0005-0000-0000-000068880000}"/>
    <cellStyle name="Normal 6 3 2 2 2 5 3" xfId="36975" xr:uid="{00000000-0005-0000-0000-000069880000}"/>
    <cellStyle name="Normal 6 3 2 2 2 6" xfId="13496" xr:uid="{00000000-0005-0000-0000-00006A880000}"/>
    <cellStyle name="Normal 6 3 2 2 2 6 2" xfId="36977" xr:uid="{00000000-0005-0000-0000-00006B880000}"/>
    <cellStyle name="Normal 6 3 2 2 2 7" xfId="36954" xr:uid="{00000000-0005-0000-0000-00006C880000}"/>
    <cellStyle name="Normal 6 3 2 2 3" xfId="13497" xr:uid="{00000000-0005-0000-0000-00006D880000}"/>
    <cellStyle name="Normal 6 3 2 2 3 2" xfId="13498" xr:uid="{00000000-0005-0000-0000-00006E880000}"/>
    <cellStyle name="Normal 6 3 2 2 3 2 2" xfId="13499" xr:uid="{00000000-0005-0000-0000-00006F880000}"/>
    <cellStyle name="Normal 6 3 2 2 3 2 2 2" xfId="13500" xr:uid="{00000000-0005-0000-0000-000070880000}"/>
    <cellStyle name="Normal 6 3 2 2 3 2 2 2 2" xfId="13501" xr:uid="{00000000-0005-0000-0000-000071880000}"/>
    <cellStyle name="Normal 6 3 2 2 3 2 2 2 2 2" xfId="36982" xr:uid="{00000000-0005-0000-0000-000072880000}"/>
    <cellStyle name="Normal 6 3 2 2 3 2 2 2 3" xfId="36981" xr:uid="{00000000-0005-0000-0000-000073880000}"/>
    <cellStyle name="Normal 6 3 2 2 3 2 2 3" xfId="13502" xr:uid="{00000000-0005-0000-0000-000074880000}"/>
    <cellStyle name="Normal 6 3 2 2 3 2 2 3 2" xfId="36983" xr:uid="{00000000-0005-0000-0000-000075880000}"/>
    <cellStyle name="Normal 6 3 2 2 3 2 2 4" xfId="36980" xr:uid="{00000000-0005-0000-0000-000076880000}"/>
    <cellStyle name="Normal 6 3 2 2 3 2 3" xfId="13503" xr:uid="{00000000-0005-0000-0000-000077880000}"/>
    <cellStyle name="Normal 6 3 2 2 3 2 3 2" xfId="13504" xr:uid="{00000000-0005-0000-0000-000078880000}"/>
    <cellStyle name="Normal 6 3 2 2 3 2 3 2 2" xfId="36985" xr:uid="{00000000-0005-0000-0000-000079880000}"/>
    <cellStyle name="Normal 6 3 2 2 3 2 3 3" xfId="36984" xr:uid="{00000000-0005-0000-0000-00007A880000}"/>
    <cellStyle name="Normal 6 3 2 2 3 2 4" xfId="13505" xr:uid="{00000000-0005-0000-0000-00007B880000}"/>
    <cellStyle name="Normal 6 3 2 2 3 2 4 2" xfId="36986" xr:uid="{00000000-0005-0000-0000-00007C880000}"/>
    <cellStyle name="Normal 6 3 2 2 3 2 5" xfId="36979" xr:uid="{00000000-0005-0000-0000-00007D880000}"/>
    <cellStyle name="Normal 6 3 2 2 3 3" xfId="13506" xr:uid="{00000000-0005-0000-0000-00007E880000}"/>
    <cellStyle name="Normal 6 3 2 2 3 3 2" xfId="13507" xr:uid="{00000000-0005-0000-0000-00007F880000}"/>
    <cellStyle name="Normal 6 3 2 2 3 3 2 2" xfId="13508" xr:uid="{00000000-0005-0000-0000-000080880000}"/>
    <cellStyle name="Normal 6 3 2 2 3 3 2 2 2" xfId="13509" xr:uid="{00000000-0005-0000-0000-000081880000}"/>
    <cellStyle name="Normal 6 3 2 2 3 3 2 2 2 2" xfId="36990" xr:uid="{00000000-0005-0000-0000-000082880000}"/>
    <cellStyle name="Normal 6 3 2 2 3 3 2 2 3" xfId="36989" xr:uid="{00000000-0005-0000-0000-000083880000}"/>
    <cellStyle name="Normal 6 3 2 2 3 3 2 3" xfId="13510" xr:uid="{00000000-0005-0000-0000-000084880000}"/>
    <cellStyle name="Normal 6 3 2 2 3 3 2 3 2" xfId="36991" xr:uid="{00000000-0005-0000-0000-000085880000}"/>
    <cellStyle name="Normal 6 3 2 2 3 3 2 4" xfId="36988" xr:uid="{00000000-0005-0000-0000-000086880000}"/>
    <cellStyle name="Normal 6 3 2 2 3 3 3" xfId="13511" xr:uid="{00000000-0005-0000-0000-000087880000}"/>
    <cellStyle name="Normal 6 3 2 2 3 3 3 2" xfId="13512" xr:uid="{00000000-0005-0000-0000-000088880000}"/>
    <cellStyle name="Normal 6 3 2 2 3 3 3 2 2" xfId="36993" xr:uid="{00000000-0005-0000-0000-000089880000}"/>
    <cellStyle name="Normal 6 3 2 2 3 3 3 3" xfId="36992" xr:uid="{00000000-0005-0000-0000-00008A880000}"/>
    <cellStyle name="Normal 6 3 2 2 3 3 4" xfId="13513" xr:uid="{00000000-0005-0000-0000-00008B880000}"/>
    <cellStyle name="Normal 6 3 2 2 3 3 4 2" xfId="36994" xr:uid="{00000000-0005-0000-0000-00008C880000}"/>
    <cellStyle name="Normal 6 3 2 2 3 3 5" xfId="36987" xr:uid="{00000000-0005-0000-0000-00008D880000}"/>
    <cellStyle name="Normal 6 3 2 2 3 4" xfId="13514" xr:uid="{00000000-0005-0000-0000-00008E880000}"/>
    <cellStyle name="Normal 6 3 2 2 3 4 2" xfId="13515" xr:uid="{00000000-0005-0000-0000-00008F880000}"/>
    <cellStyle name="Normal 6 3 2 2 3 4 2 2" xfId="13516" xr:uid="{00000000-0005-0000-0000-000090880000}"/>
    <cellStyle name="Normal 6 3 2 2 3 4 2 2 2" xfId="36997" xr:uid="{00000000-0005-0000-0000-000091880000}"/>
    <cellStyle name="Normal 6 3 2 2 3 4 2 3" xfId="36996" xr:uid="{00000000-0005-0000-0000-000092880000}"/>
    <cellStyle name="Normal 6 3 2 2 3 4 3" xfId="13517" xr:uid="{00000000-0005-0000-0000-000093880000}"/>
    <cellStyle name="Normal 6 3 2 2 3 4 3 2" xfId="36998" xr:uid="{00000000-0005-0000-0000-000094880000}"/>
    <cellStyle name="Normal 6 3 2 2 3 4 4" xfId="36995" xr:uid="{00000000-0005-0000-0000-000095880000}"/>
    <cellStyle name="Normal 6 3 2 2 3 5" xfId="13518" xr:uid="{00000000-0005-0000-0000-000096880000}"/>
    <cellStyle name="Normal 6 3 2 2 3 5 2" xfId="13519" xr:uid="{00000000-0005-0000-0000-000097880000}"/>
    <cellStyle name="Normal 6 3 2 2 3 5 2 2" xfId="37000" xr:uid="{00000000-0005-0000-0000-000098880000}"/>
    <cellStyle name="Normal 6 3 2 2 3 5 3" xfId="36999" xr:uid="{00000000-0005-0000-0000-000099880000}"/>
    <cellStyle name="Normal 6 3 2 2 3 6" xfId="13520" xr:uid="{00000000-0005-0000-0000-00009A880000}"/>
    <cellStyle name="Normal 6 3 2 2 3 6 2" xfId="37001" xr:uid="{00000000-0005-0000-0000-00009B880000}"/>
    <cellStyle name="Normal 6 3 2 2 3 7" xfId="36978" xr:uid="{00000000-0005-0000-0000-00009C880000}"/>
    <cellStyle name="Normal 6 3 2 2 4" xfId="13521" xr:uid="{00000000-0005-0000-0000-00009D880000}"/>
    <cellStyle name="Normal 6 3 2 2 4 2" xfId="13522" xr:uid="{00000000-0005-0000-0000-00009E880000}"/>
    <cellStyle name="Normal 6 3 2 2 4 2 2" xfId="13523" xr:uid="{00000000-0005-0000-0000-00009F880000}"/>
    <cellStyle name="Normal 6 3 2 2 4 2 2 2" xfId="13524" xr:uid="{00000000-0005-0000-0000-0000A0880000}"/>
    <cellStyle name="Normal 6 3 2 2 4 2 2 2 2" xfId="13525" xr:uid="{00000000-0005-0000-0000-0000A1880000}"/>
    <cellStyle name="Normal 6 3 2 2 4 2 2 2 2 2" xfId="37006" xr:uid="{00000000-0005-0000-0000-0000A2880000}"/>
    <cellStyle name="Normal 6 3 2 2 4 2 2 2 3" xfId="37005" xr:uid="{00000000-0005-0000-0000-0000A3880000}"/>
    <cellStyle name="Normal 6 3 2 2 4 2 2 3" xfId="13526" xr:uid="{00000000-0005-0000-0000-0000A4880000}"/>
    <cellStyle name="Normal 6 3 2 2 4 2 2 3 2" xfId="37007" xr:uid="{00000000-0005-0000-0000-0000A5880000}"/>
    <cellStyle name="Normal 6 3 2 2 4 2 2 4" xfId="37004" xr:uid="{00000000-0005-0000-0000-0000A6880000}"/>
    <cellStyle name="Normal 6 3 2 2 4 2 3" xfId="13527" xr:uid="{00000000-0005-0000-0000-0000A7880000}"/>
    <cellStyle name="Normal 6 3 2 2 4 2 3 2" xfId="13528" xr:uid="{00000000-0005-0000-0000-0000A8880000}"/>
    <cellStyle name="Normal 6 3 2 2 4 2 3 2 2" xfId="37009" xr:uid="{00000000-0005-0000-0000-0000A9880000}"/>
    <cellStyle name="Normal 6 3 2 2 4 2 3 3" xfId="37008" xr:uid="{00000000-0005-0000-0000-0000AA880000}"/>
    <cellStyle name="Normal 6 3 2 2 4 2 4" xfId="13529" xr:uid="{00000000-0005-0000-0000-0000AB880000}"/>
    <cellStyle name="Normal 6 3 2 2 4 2 4 2" xfId="37010" xr:uid="{00000000-0005-0000-0000-0000AC880000}"/>
    <cellStyle name="Normal 6 3 2 2 4 2 5" xfId="37003" xr:uid="{00000000-0005-0000-0000-0000AD880000}"/>
    <cellStyle name="Normal 6 3 2 2 4 3" xfId="13530" xr:uid="{00000000-0005-0000-0000-0000AE880000}"/>
    <cellStyle name="Normal 6 3 2 2 4 3 2" xfId="13531" xr:uid="{00000000-0005-0000-0000-0000AF880000}"/>
    <cellStyle name="Normal 6 3 2 2 4 3 2 2" xfId="13532" xr:uid="{00000000-0005-0000-0000-0000B0880000}"/>
    <cellStyle name="Normal 6 3 2 2 4 3 2 2 2" xfId="13533" xr:uid="{00000000-0005-0000-0000-0000B1880000}"/>
    <cellStyle name="Normal 6 3 2 2 4 3 2 2 2 2" xfId="37014" xr:uid="{00000000-0005-0000-0000-0000B2880000}"/>
    <cellStyle name="Normal 6 3 2 2 4 3 2 2 3" xfId="37013" xr:uid="{00000000-0005-0000-0000-0000B3880000}"/>
    <cellStyle name="Normal 6 3 2 2 4 3 2 3" xfId="13534" xr:uid="{00000000-0005-0000-0000-0000B4880000}"/>
    <cellStyle name="Normal 6 3 2 2 4 3 2 3 2" xfId="37015" xr:uid="{00000000-0005-0000-0000-0000B5880000}"/>
    <cellStyle name="Normal 6 3 2 2 4 3 2 4" xfId="37012" xr:uid="{00000000-0005-0000-0000-0000B6880000}"/>
    <cellStyle name="Normal 6 3 2 2 4 3 3" xfId="13535" xr:uid="{00000000-0005-0000-0000-0000B7880000}"/>
    <cellStyle name="Normal 6 3 2 2 4 3 3 2" xfId="13536" xr:uid="{00000000-0005-0000-0000-0000B8880000}"/>
    <cellStyle name="Normal 6 3 2 2 4 3 3 2 2" xfId="37017" xr:uid="{00000000-0005-0000-0000-0000B9880000}"/>
    <cellStyle name="Normal 6 3 2 2 4 3 3 3" xfId="37016" xr:uid="{00000000-0005-0000-0000-0000BA880000}"/>
    <cellStyle name="Normal 6 3 2 2 4 3 4" xfId="13537" xr:uid="{00000000-0005-0000-0000-0000BB880000}"/>
    <cellStyle name="Normal 6 3 2 2 4 3 4 2" xfId="37018" xr:uid="{00000000-0005-0000-0000-0000BC880000}"/>
    <cellStyle name="Normal 6 3 2 2 4 3 5" xfId="37011" xr:uid="{00000000-0005-0000-0000-0000BD880000}"/>
    <cellStyle name="Normal 6 3 2 2 4 4" xfId="13538" xr:uid="{00000000-0005-0000-0000-0000BE880000}"/>
    <cellStyle name="Normal 6 3 2 2 4 4 2" xfId="13539" xr:uid="{00000000-0005-0000-0000-0000BF880000}"/>
    <cellStyle name="Normal 6 3 2 2 4 4 2 2" xfId="13540" xr:uid="{00000000-0005-0000-0000-0000C0880000}"/>
    <cellStyle name="Normal 6 3 2 2 4 4 2 2 2" xfId="37021" xr:uid="{00000000-0005-0000-0000-0000C1880000}"/>
    <cellStyle name="Normal 6 3 2 2 4 4 2 3" xfId="37020" xr:uid="{00000000-0005-0000-0000-0000C2880000}"/>
    <cellStyle name="Normal 6 3 2 2 4 4 3" xfId="13541" xr:uid="{00000000-0005-0000-0000-0000C3880000}"/>
    <cellStyle name="Normal 6 3 2 2 4 4 3 2" xfId="37022" xr:uid="{00000000-0005-0000-0000-0000C4880000}"/>
    <cellStyle name="Normal 6 3 2 2 4 4 4" xfId="37019" xr:uid="{00000000-0005-0000-0000-0000C5880000}"/>
    <cellStyle name="Normal 6 3 2 2 4 5" xfId="13542" xr:uid="{00000000-0005-0000-0000-0000C6880000}"/>
    <cellStyle name="Normal 6 3 2 2 4 5 2" xfId="13543" xr:uid="{00000000-0005-0000-0000-0000C7880000}"/>
    <cellStyle name="Normal 6 3 2 2 4 5 2 2" xfId="37024" xr:uid="{00000000-0005-0000-0000-0000C8880000}"/>
    <cellStyle name="Normal 6 3 2 2 4 5 3" xfId="37023" xr:uid="{00000000-0005-0000-0000-0000C9880000}"/>
    <cellStyle name="Normal 6 3 2 2 4 6" xfId="13544" xr:uid="{00000000-0005-0000-0000-0000CA880000}"/>
    <cellStyle name="Normal 6 3 2 2 4 6 2" xfId="37025" xr:uid="{00000000-0005-0000-0000-0000CB880000}"/>
    <cellStyle name="Normal 6 3 2 2 4 7" xfId="37002" xr:uid="{00000000-0005-0000-0000-0000CC880000}"/>
    <cellStyle name="Normal 6 3 2 2 5" xfId="13545" xr:uid="{00000000-0005-0000-0000-0000CD880000}"/>
    <cellStyle name="Normal 6 3 2 2 5 2" xfId="13546" xr:uid="{00000000-0005-0000-0000-0000CE880000}"/>
    <cellStyle name="Normal 6 3 2 2 5 2 2" xfId="13547" xr:uid="{00000000-0005-0000-0000-0000CF880000}"/>
    <cellStyle name="Normal 6 3 2 2 5 2 2 2" xfId="13548" xr:uid="{00000000-0005-0000-0000-0000D0880000}"/>
    <cellStyle name="Normal 6 3 2 2 5 2 2 2 2" xfId="13549" xr:uid="{00000000-0005-0000-0000-0000D1880000}"/>
    <cellStyle name="Normal 6 3 2 2 5 2 2 2 2 2" xfId="37030" xr:uid="{00000000-0005-0000-0000-0000D2880000}"/>
    <cellStyle name="Normal 6 3 2 2 5 2 2 2 3" xfId="37029" xr:uid="{00000000-0005-0000-0000-0000D3880000}"/>
    <cellStyle name="Normal 6 3 2 2 5 2 2 3" xfId="13550" xr:uid="{00000000-0005-0000-0000-0000D4880000}"/>
    <cellStyle name="Normal 6 3 2 2 5 2 2 3 2" xfId="37031" xr:uid="{00000000-0005-0000-0000-0000D5880000}"/>
    <cellStyle name="Normal 6 3 2 2 5 2 2 4" xfId="37028" xr:uid="{00000000-0005-0000-0000-0000D6880000}"/>
    <cellStyle name="Normal 6 3 2 2 5 2 3" xfId="13551" xr:uid="{00000000-0005-0000-0000-0000D7880000}"/>
    <cellStyle name="Normal 6 3 2 2 5 2 3 2" xfId="13552" xr:uid="{00000000-0005-0000-0000-0000D8880000}"/>
    <cellStyle name="Normal 6 3 2 2 5 2 3 2 2" xfId="37033" xr:uid="{00000000-0005-0000-0000-0000D9880000}"/>
    <cellStyle name="Normal 6 3 2 2 5 2 3 3" xfId="37032" xr:uid="{00000000-0005-0000-0000-0000DA880000}"/>
    <cellStyle name="Normal 6 3 2 2 5 2 4" xfId="13553" xr:uid="{00000000-0005-0000-0000-0000DB880000}"/>
    <cellStyle name="Normal 6 3 2 2 5 2 4 2" xfId="37034" xr:uid="{00000000-0005-0000-0000-0000DC880000}"/>
    <cellStyle name="Normal 6 3 2 2 5 2 5" xfId="37027" xr:uid="{00000000-0005-0000-0000-0000DD880000}"/>
    <cellStyle name="Normal 6 3 2 2 5 3" xfId="13554" xr:uid="{00000000-0005-0000-0000-0000DE880000}"/>
    <cellStyle name="Normal 6 3 2 2 5 3 2" xfId="13555" xr:uid="{00000000-0005-0000-0000-0000DF880000}"/>
    <cellStyle name="Normal 6 3 2 2 5 3 2 2" xfId="13556" xr:uid="{00000000-0005-0000-0000-0000E0880000}"/>
    <cellStyle name="Normal 6 3 2 2 5 3 2 2 2" xfId="13557" xr:uid="{00000000-0005-0000-0000-0000E1880000}"/>
    <cellStyle name="Normal 6 3 2 2 5 3 2 2 2 2" xfId="37038" xr:uid="{00000000-0005-0000-0000-0000E2880000}"/>
    <cellStyle name="Normal 6 3 2 2 5 3 2 2 3" xfId="37037" xr:uid="{00000000-0005-0000-0000-0000E3880000}"/>
    <cellStyle name="Normal 6 3 2 2 5 3 2 3" xfId="13558" xr:uid="{00000000-0005-0000-0000-0000E4880000}"/>
    <cellStyle name="Normal 6 3 2 2 5 3 2 3 2" xfId="37039" xr:uid="{00000000-0005-0000-0000-0000E5880000}"/>
    <cellStyle name="Normal 6 3 2 2 5 3 2 4" xfId="37036" xr:uid="{00000000-0005-0000-0000-0000E6880000}"/>
    <cellStyle name="Normal 6 3 2 2 5 3 3" xfId="13559" xr:uid="{00000000-0005-0000-0000-0000E7880000}"/>
    <cellStyle name="Normal 6 3 2 2 5 3 3 2" xfId="13560" xr:uid="{00000000-0005-0000-0000-0000E8880000}"/>
    <cellStyle name="Normal 6 3 2 2 5 3 3 2 2" xfId="37041" xr:uid="{00000000-0005-0000-0000-0000E9880000}"/>
    <cellStyle name="Normal 6 3 2 2 5 3 3 3" xfId="37040" xr:uid="{00000000-0005-0000-0000-0000EA880000}"/>
    <cellStyle name="Normal 6 3 2 2 5 3 4" xfId="13561" xr:uid="{00000000-0005-0000-0000-0000EB880000}"/>
    <cellStyle name="Normal 6 3 2 2 5 3 4 2" xfId="37042" xr:uid="{00000000-0005-0000-0000-0000EC880000}"/>
    <cellStyle name="Normal 6 3 2 2 5 3 5" xfId="37035" xr:uid="{00000000-0005-0000-0000-0000ED880000}"/>
    <cellStyle name="Normal 6 3 2 2 5 4" xfId="13562" xr:uid="{00000000-0005-0000-0000-0000EE880000}"/>
    <cellStyle name="Normal 6 3 2 2 5 4 2" xfId="13563" xr:uid="{00000000-0005-0000-0000-0000EF880000}"/>
    <cellStyle name="Normal 6 3 2 2 5 4 2 2" xfId="13564" xr:uid="{00000000-0005-0000-0000-0000F0880000}"/>
    <cellStyle name="Normal 6 3 2 2 5 4 2 2 2" xfId="37045" xr:uid="{00000000-0005-0000-0000-0000F1880000}"/>
    <cellStyle name="Normal 6 3 2 2 5 4 2 3" xfId="37044" xr:uid="{00000000-0005-0000-0000-0000F2880000}"/>
    <cellStyle name="Normal 6 3 2 2 5 4 3" xfId="13565" xr:uid="{00000000-0005-0000-0000-0000F3880000}"/>
    <cellStyle name="Normal 6 3 2 2 5 4 3 2" xfId="37046" xr:uid="{00000000-0005-0000-0000-0000F4880000}"/>
    <cellStyle name="Normal 6 3 2 2 5 4 4" xfId="37043" xr:uid="{00000000-0005-0000-0000-0000F5880000}"/>
    <cellStyle name="Normal 6 3 2 2 5 5" xfId="13566" xr:uid="{00000000-0005-0000-0000-0000F6880000}"/>
    <cellStyle name="Normal 6 3 2 2 5 5 2" xfId="13567" xr:uid="{00000000-0005-0000-0000-0000F7880000}"/>
    <cellStyle name="Normal 6 3 2 2 5 5 2 2" xfId="37048" xr:uid="{00000000-0005-0000-0000-0000F8880000}"/>
    <cellStyle name="Normal 6 3 2 2 5 5 3" xfId="37047" xr:uid="{00000000-0005-0000-0000-0000F9880000}"/>
    <cellStyle name="Normal 6 3 2 2 5 6" xfId="13568" xr:uid="{00000000-0005-0000-0000-0000FA880000}"/>
    <cellStyle name="Normal 6 3 2 2 5 6 2" xfId="37049" xr:uid="{00000000-0005-0000-0000-0000FB880000}"/>
    <cellStyle name="Normal 6 3 2 2 5 7" xfId="37026" xr:uid="{00000000-0005-0000-0000-0000FC880000}"/>
    <cellStyle name="Normal 6 3 2 2 6" xfId="13569" xr:uid="{00000000-0005-0000-0000-0000FD880000}"/>
    <cellStyle name="Normal 6 3 2 2 6 2" xfId="13570" xr:uid="{00000000-0005-0000-0000-0000FE880000}"/>
    <cellStyle name="Normal 6 3 2 2 6 2 2" xfId="13571" xr:uid="{00000000-0005-0000-0000-0000FF880000}"/>
    <cellStyle name="Normal 6 3 2 2 6 2 2 2" xfId="13572" xr:uid="{00000000-0005-0000-0000-000000890000}"/>
    <cellStyle name="Normal 6 3 2 2 6 2 2 2 2" xfId="37053" xr:uid="{00000000-0005-0000-0000-000001890000}"/>
    <cellStyle name="Normal 6 3 2 2 6 2 2 3" xfId="37052" xr:uid="{00000000-0005-0000-0000-000002890000}"/>
    <cellStyle name="Normal 6 3 2 2 6 2 3" xfId="13573" xr:uid="{00000000-0005-0000-0000-000003890000}"/>
    <cellStyle name="Normal 6 3 2 2 6 2 3 2" xfId="37054" xr:uid="{00000000-0005-0000-0000-000004890000}"/>
    <cellStyle name="Normal 6 3 2 2 6 2 4" xfId="37051" xr:uid="{00000000-0005-0000-0000-000005890000}"/>
    <cellStyle name="Normal 6 3 2 2 6 3" xfId="13574" xr:uid="{00000000-0005-0000-0000-000006890000}"/>
    <cellStyle name="Normal 6 3 2 2 6 3 2" xfId="13575" xr:uid="{00000000-0005-0000-0000-000007890000}"/>
    <cellStyle name="Normal 6 3 2 2 6 3 2 2" xfId="37056" xr:uid="{00000000-0005-0000-0000-000008890000}"/>
    <cellStyle name="Normal 6 3 2 2 6 3 3" xfId="37055" xr:uid="{00000000-0005-0000-0000-000009890000}"/>
    <cellStyle name="Normal 6 3 2 2 6 4" xfId="13576" xr:uid="{00000000-0005-0000-0000-00000A890000}"/>
    <cellStyle name="Normal 6 3 2 2 6 4 2" xfId="37057" xr:uid="{00000000-0005-0000-0000-00000B890000}"/>
    <cellStyle name="Normal 6 3 2 2 6 5" xfId="37050" xr:uid="{00000000-0005-0000-0000-00000C890000}"/>
    <cellStyle name="Normal 6 3 2 2 7" xfId="13577" xr:uid="{00000000-0005-0000-0000-00000D890000}"/>
    <cellStyle name="Normal 6 3 2 2 7 2" xfId="13578" xr:uid="{00000000-0005-0000-0000-00000E890000}"/>
    <cellStyle name="Normal 6 3 2 2 7 2 2" xfId="13579" xr:uid="{00000000-0005-0000-0000-00000F890000}"/>
    <cellStyle name="Normal 6 3 2 2 7 2 2 2" xfId="13580" xr:uid="{00000000-0005-0000-0000-000010890000}"/>
    <cellStyle name="Normal 6 3 2 2 7 2 2 2 2" xfId="37061" xr:uid="{00000000-0005-0000-0000-000011890000}"/>
    <cellStyle name="Normal 6 3 2 2 7 2 2 3" xfId="37060" xr:uid="{00000000-0005-0000-0000-000012890000}"/>
    <cellStyle name="Normal 6 3 2 2 7 2 3" xfId="13581" xr:uid="{00000000-0005-0000-0000-000013890000}"/>
    <cellStyle name="Normal 6 3 2 2 7 2 3 2" xfId="37062" xr:uid="{00000000-0005-0000-0000-000014890000}"/>
    <cellStyle name="Normal 6 3 2 2 7 2 4" xfId="37059" xr:uid="{00000000-0005-0000-0000-000015890000}"/>
    <cellStyle name="Normal 6 3 2 2 7 3" xfId="13582" xr:uid="{00000000-0005-0000-0000-000016890000}"/>
    <cellStyle name="Normal 6 3 2 2 7 3 2" xfId="13583" xr:uid="{00000000-0005-0000-0000-000017890000}"/>
    <cellStyle name="Normal 6 3 2 2 7 3 2 2" xfId="37064" xr:uid="{00000000-0005-0000-0000-000018890000}"/>
    <cellStyle name="Normal 6 3 2 2 7 3 3" xfId="37063" xr:uid="{00000000-0005-0000-0000-000019890000}"/>
    <cellStyle name="Normal 6 3 2 2 7 4" xfId="13584" xr:uid="{00000000-0005-0000-0000-00001A890000}"/>
    <cellStyle name="Normal 6 3 2 2 7 4 2" xfId="37065" xr:uid="{00000000-0005-0000-0000-00001B890000}"/>
    <cellStyle name="Normal 6 3 2 2 7 5" xfId="37058" xr:uid="{00000000-0005-0000-0000-00001C890000}"/>
    <cellStyle name="Normal 6 3 2 2 8" xfId="13585" xr:uid="{00000000-0005-0000-0000-00001D890000}"/>
    <cellStyle name="Normal 6 3 2 2 8 2" xfId="13586" xr:uid="{00000000-0005-0000-0000-00001E890000}"/>
    <cellStyle name="Normal 6 3 2 2 8 2 2" xfId="13587" xr:uid="{00000000-0005-0000-0000-00001F890000}"/>
    <cellStyle name="Normal 6 3 2 2 8 2 2 2" xfId="37068" xr:uid="{00000000-0005-0000-0000-000020890000}"/>
    <cellStyle name="Normal 6 3 2 2 8 2 3" xfId="37067" xr:uid="{00000000-0005-0000-0000-000021890000}"/>
    <cellStyle name="Normal 6 3 2 2 8 3" xfId="13588" xr:uid="{00000000-0005-0000-0000-000022890000}"/>
    <cellStyle name="Normal 6 3 2 2 8 3 2" xfId="37069" xr:uid="{00000000-0005-0000-0000-000023890000}"/>
    <cellStyle name="Normal 6 3 2 2 8 4" xfId="37066" xr:uid="{00000000-0005-0000-0000-000024890000}"/>
    <cellStyle name="Normal 6 3 2 2 9" xfId="13589" xr:uid="{00000000-0005-0000-0000-000025890000}"/>
    <cellStyle name="Normal 6 3 2 2 9 2" xfId="13590" xr:uid="{00000000-0005-0000-0000-000026890000}"/>
    <cellStyle name="Normal 6 3 2 2 9 2 2" xfId="37071" xr:uid="{00000000-0005-0000-0000-000027890000}"/>
    <cellStyle name="Normal 6 3 2 2 9 3" xfId="37070" xr:uid="{00000000-0005-0000-0000-000028890000}"/>
    <cellStyle name="Normal 6 3 2 3" xfId="13591" xr:uid="{00000000-0005-0000-0000-000029890000}"/>
    <cellStyle name="Normal 6 3 2 3 10" xfId="37072" xr:uid="{00000000-0005-0000-0000-00002A890000}"/>
    <cellStyle name="Normal 6 3 2 3 2" xfId="13592" xr:uid="{00000000-0005-0000-0000-00002B890000}"/>
    <cellStyle name="Normal 6 3 2 3 2 2" xfId="13593" xr:uid="{00000000-0005-0000-0000-00002C890000}"/>
    <cellStyle name="Normal 6 3 2 3 2 2 2" xfId="13594" xr:uid="{00000000-0005-0000-0000-00002D890000}"/>
    <cellStyle name="Normal 6 3 2 3 2 2 2 2" xfId="13595" xr:uid="{00000000-0005-0000-0000-00002E890000}"/>
    <cellStyle name="Normal 6 3 2 3 2 2 2 2 2" xfId="13596" xr:uid="{00000000-0005-0000-0000-00002F890000}"/>
    <cellStyle name="Normal 6 3 2 3 2 2 2 2 2 2" xfId="37077" xr:uid="{00000000-0005-0000-0000-000030890000}"/>
    <cellStyle name="Normal 6 3 2 3 2 2 2 2 3" xfId="37076" xr:uid="{00000000-0005-0000-0000-000031890000}"/>
    <cellStyle name="Normal 6 3 2 3 2 2 2 3" xfId="13597" xr:uid="{00000000-0005-0000-0000-000032890000}"/>
    <cellStyle name="Normal 6 3 2 3 2 2 2 3 2" xfId="37078" xr:uid="{00000000-0005-0000-0000-000033890000}"/>
    <cellStyle name="Normal 6 3 2 3 2 2 2 4" xfId="37075" xr:uid="{00000000-0005-0000-0000-000034890000}"/>
    <cellStyle name="Normal 6 3 2 3 2 2 3" xfId="13598" xr:uid="{00000000-0005-0000-0000-000035890000}"/>
    <cellStyle name="Normal 6 3 2 3 2 2 3 2" xfId="13599" xr:uid="{00000000-0005-0000-0000-000036890000}"/>
    <cellStyle name="Normal 6 3 2 3 2 2 3 2 2" xfId="37080" xr:uid="{00000000-0005-0000-0000-000037890000}"/>
    <cellStyle name="Normal 6 3 2 3 2 2 3 3" xfId="37079" xr:uid="{00000000-0005-0000-0000-000038890000}"/>
    <cellStyle name="Normal 6 3 2 3 2 2 4" xfId="13600" xr:uid="{00000000-0005-0000-0000-000039890000}"/>
    <cellStyle name="Normal 6 3 2 3 2 2 4 2" xfId="37081" xr:uid="{00000000-0005-0000-0000-00003A890000}"/>
    <cellStyle name="Normal 6 3 2 3 2 2 5" xfId="37074" xr:uid="{00000000-0005-0000-0000-00003B890000}"/>
    <cellStyle name="Normal 6 3 2 3 2 3" xfId="13601" xr:uid="{00000000-0005-0000-0000-00003C890000}"/>
    <cellStyle name="Normal 6 3 2 3 2 3 2" xfId="13602" xr:uid="{00000000-0005-0000-0000-00003D890000}"/>
    <cellStyle name="Normal 6 3 2 3 2 3 2 2" xfId="13603" xr:uid="{00000000-0005-0000-0000-00003E890000}"/>
    <cellStyle name="Normal 6 3 2 3 2 3 2 2 2" xfId="13604" xr:uid="{00000000-0005-0000-0000-00003F890000}"/>
    <cellStyle name="Normal 6 3 2 3 2 3 2 2 2 2" xfId="37085" xr:uid="{00000000-0005-0000-0000-000040890000}"/>
    <cellStyle name="Normal 6 3 2 3 2 3 2 2 3" xfId="37084" xr:uid="{00000000-0005-0000-0000-000041890000}"/>
    <cellStyle name="Normal 6 3 2 3 2 3 2 3" xfId="13605" xr:uid="{00000000-0005-0000-0000-000042890000}"/>
    <cellStyle name="Normal 6 3 2 3 2 3 2 3 2" xfId="37086" xr:uid="{00000000-0005-0000-0000-000043890000}"/>
    <cellStyle name="Normal 6 3 2 3 2 3 2 4" xfId="37083" xr:uid="{00000000-0005-0000-0000-000044890000}"/>
    <cellStyle name="Normal 6 3 2 3 2 3 3" xfId="13606" xr:uid="{00000000-0005-0000-0000-000045890000}"/>
    <cellStyle name="Normal 6 3 2 3 2 3 3 2" xfId="13607" xr:uid="{00000000-0005-0000-0000-000046890000}"/>
    <cellStyle name="Normal 6 3 2 3 2 3 3 2 2" xfId="37088" xr:uid="{00000000-0005-0000-0000-000047890000}"/>
    <cellStyle name="Normal 6 3 2 3 2 3 3 3" xfId="37087" xr:uid="{00000000-0005-0000-0000-000048890000}"/>
    <cellStyle name="Normal 6 3 2 3 2 3 4" xfId="13608" xr:uid="{00000000-0005-0000-0000-000049890000}"/>
    <cellStyle name="Normal 6 3 2 3 2 3 4 2" xfId="37089" xr:uid="{00000000-0005-0000-0000-00004A890000}"/>
    <cellStyle name="Normal 6 3 2 3 2 3 5" xfId="37082" xr:uid="{00000000-0005-0000-0000-00004B890000}"/>
    <cellStyle name="Normal 6 3 2 3 2 4" xfId="13609" xr:uid="{00000000-0005-0000-0000-00004C890000}"/>
    <cellStyle name="Normal 6 3 2 3 2 4 2" xfId="13610" xr:uid="{00000000-0005-0000-0000-00004D890000}"/>
    <cellStyle name="Normal 6 3 2 3 2 4 2 2" xfId="13611" xr:uid="{00000000-0005-0000-0000-00004E890000}"/>
    <cellStyle name="Normal 6 3 2 3 2 4 2 2 2" xfId="37092" xr:uid="{00000000-0005-0000-0000-00004F890000}"/>
    <cellStyle name="Normal 6 3 2 3 2 4 2 3" xfId="37091" xr:uid="{00000000-0005-0000-0000-000050890000}"/>
    <cellStyle name="Normal 6 3 2 3 2 4 3" xfId="13612" xr:uid="{00000000-0005-0000-0000-000051890000}"/>
    <cellStyle name="Normal 6 3 2 3 2 4 3 2" xfId="37093" xr:uid="{00000000-0005-0000-0000-000052890000}"/>
    <cellStyle name="Normal 6 3 2 3 2 4 4" xfId="37090" xr:uid="{00000000-0005-0000-0000-000053890000}"/>
    <cellStyle name="Normal 6 3 2 3 2 5" xfId="13613" xr:uid="{00000000-0005-0000-0000-000054890000}"/>
    <cellStyle name="Normal 6 3 2 3 2 5 2" xfId="13614" xr:uid="{00000000-0005-0000-0000-000055890000}"/>
    <cellStyle name="Normal 6 3 2 3 2 5 2 2" xfId="37095" xr:uid="{00000000-0005-0000-0000-000056890000}"/>
    <cellStyle name="Normal 6 3 2 3 2 5 3" xfId="37094" xr:uid="{00000000-0005-0000-0000-000057890000}"/>
    <cellStyle name="Normal 6 3 2 3 2 6" xfId="13615" xr:uid="{00000000-0005-0000-0000-000058890000}"/>
    <cellStyle name="Normal 6 3 2 3 2 6 2" xfId="37096" xr:uid="{00000000-0005-0000-0000-000059890000}"/>
    <cellStyle name="Normal 6 3 2 3 2 7" xfId="37073" xr:uid="{00000000-0005-0000-0000-00005A890000}"/>
    <cellStyle name="Normal 6 3 2 3 3" xfId="13616" xr:uid="{00000000-0005-0000-0000-00005B890000}"/>
    <cellStyle name="Normal 6 3 2 3 3 2" xfId="13617" xr:uid="{00000000-0005-0000-0000-00005C890000}"/>
    <cellStyle name="Normal 6 3 2 3 3 2 2" xfId="13618" xr:uid="{00000000-0005-0000-0000-00005D890000}"/>
    <cellStyle name="Normal 6 3 2 3 3 2 2 2" xfId="13619" xr:uid="{00000000-0005-0000-0000-00005E890000}"/>
    <cellStyle name="Normal 6 3 2 3 3 2 2 2 2" xfId="13620" xr:uid="{00000000-0005-0000-0000-00005F890000}"/>
    <cellStyle name="Normal 6 3 2 3 3 2 2 2 2 2" xfId="37101" xr:uid="{00000000-0005-0000-0000-000060890000}"/>
    <cellStyle name="Normal 6 3 2 3 3 2 2 2 3" xfId="37100" xr:uid="{00000000-0005-0000-0000-000061890000}"/>
    <cellStyle name="Normal 6 3 2 3 3 2 2 3" xfId="13621" xr:uid="{00000000-0005-0000-0000-000062890000}"/>
    <cellStyle name="Normal 6 3 2 3 3 2 2 3 2" xfId="37102" xr:uid="{00000000-0005-0000-0000-000063890000}"/>
    <cellStyle name="Normal 6 3 2 3 3 2 2 4" xfId="37099" xr:uid="{00000000-0005-0000-0000-000064890000}"/>
    <cellStyle name="Normal 6 3 2 3 3 2 3" xfId="13622" xr:uid="{00000000-0005-0000-0000-000065890000}"/>
    <cellStyle name="Normal 6 3 2 3 3 2 3 2" xfId="13623" xr:uid="{00000000-0005-0000-0000-000066890000}"/>
    <cellStyle name="Normal 6 3 2 3 3 2 3 2 2" xfId="37104" xr:uid="{00000000-0005-0000-0000-000067890000}"/>
    <cellStyle name="Normal 6 3 2 3 3 2 3 3" xfId="37103" xr:uid="{00000000-0005-0000-0000-000068890000}"/>
    <cellStyle name="Normal 6 3 2 3 3 2 4" xfId="13624" xr:uid="{00000000-0005-0000-0000-000069890000}"/>
    <cellStyle name="Normal 6 3 2 3 3 2 4 2" xfId="37105" xr:uid="{00000000-0005-0000-0000-00006A890000}"/>
    <cellStyle name="Normal 6 3 2 3 3 2 5" xfId="37098" xr:uid="{00000000-0005-0000-0000-00006B890000}"/>
    <cellStyle name="Normal 6 3 2 3 3 3" xfId="13625" xr:uid="{00000000-0005-0000-0000-00006C890000}"/>
    <cellStyle name="Normal 6 3 2 3 3 3 2" xfId="13626" xr:uid="{00000000-0005-0000-0000-00006D890000}"/>
    <cellStyle name="Normal 6 3 2 3 3 3 2 2" xfId="13627" xr:uid="{00000000-0005-0000-0000-00006E890000}"/>
    <cellStyle name="Normal 6 3 2 3 3 3 2 2 2" xfId="13628" xr:uid="{00000000-0005-0000-0000-00006F890000}"/>
    <cellStyle name="Normal 6 3 2 3 3 3 2 2 2 2" xfId="37109" xr:uid="{00000000-0005-0000-0000-000070890000}"/>
    <cellStyle name="Normal 6 3 2 3 3 3 2 2 3" xfId="37108" xr:uid="{00000000-0005-0000-0000-000071890000}"/>
    <cellStyle name="Normal 6 3 2 3 3 3 2 3" xfId="13629" xr:uid="{00000000-0005-0000-0000-000072890000}"/>
    <cellStyle name="Normal 6 3 2 3 3 3 2 3 2" xfId="37110" xr:uid="{00000000-0005-0000-0000-000073890000}"/>
    <cellStyle name="Normal 6 3 2 3 3 3 2 4" xfId="37107" xr:uid="{00000000-0005-0000-0000-000074890000}"/>
    <cellStyle name="Normal 6 3 2 3 3 3 3" xfId="13630" xr:uid="{00000000-0005-0000-0000-000075890000}"/>
    <cellStyle name="Normal 6 3 2 3 3 3 3 2" xfId="13631" xr:uid="{00000000-0005-0000-0000-000076890000}"/>
    <cellStyle name="Normal 6 3 2 3 3 3 3 2 2" xfId="37112" xr:uid="{00000000-0005-0000-0000-000077890000}"/>
    <cellStyle name="Normal 6 3 2 3 3 3 3 3" xfId="37111" xr:uid="{00000000-0005-0000-0000-000078890000}"/>
    <cellStyle name="Normal 6 3 2 3 3 3 4" xfId="13632" xr:uid="{00000000-0005-0000-0000-000079890000}"/>
    <cellStyle name="Normal 6 3 2 3 3 3 4 2" xfId="37113" xr:uid="{00000000-0005-0000-0000-00007A890000}"/>
    <cellStyle name="Normal 6 3 2 3 3 3 5" xfId="37106" xr:uid="{00000000-0005-0000-0000-00007B890000}"/>
    <cellStyle name="Normal 6 3 2 3 3 4" xfId="13633" xr:uid="{00000000-0005-0000-0000-00007C890000}"/>
    <cellStyle name="Normal 6 3 2 3 3 4 2" xfId="13634" xr:uid="{00000000-0005-0000-0000-00007D890000}"/>
    <cellStyle name="Normal 6 3 2 3 3 4 2 2" xfId="13635" xr:uid="{00000000-0005-0000-0000-00007E890000}"/>
    <cellStyle name="Normal 6 3 2 3 3 4 2 2 2" xfId="37116" xr:uid="{00000000-0005-0000-0000-00007F890000}"/>
    <cellStyle name="Normal 6 3 2 3 3 4 2 3" xfId="37115" xr:uid="{00000000-0005-0000-0000-000080890000}"/>
    <cellStyle name="Normal 6 3 2 3 3 4 3" xfId="13636" xr:uid="{00000000-0005-0000-0000-000081890000}"/>
    <cellStyle name="Normal 6 3 2 3 3 4 3 2" xfId="37117" xr:uid="{00000000-0005-0000-0000-000082890000}"/>
    <cellStyle name="Normal 6 3 2 3 3 4 4" xfId="37114" xr:uid="{00000000-0005-0000-0000-000083890000}"/>
    <cellStyle name="Normal 6 3 2 3 3 5" xfId="13637" xr:uid="{00000000-0005-0000-0000-000084890000}"/>
    <cellStyle name="Normal 6 3 2 3 3 5 2" xfId="13638" xr:uid="{00000000-0005-0000-0000-000085890000}"/>
    <cellStyle name="Normal 6 3 2 3 3 5 2 2" xfId="37119" xr:uid="{00000000-0005-0000-0000-000086890000}"/>
    <cellStyle name="Normal 6 3 2 3 3 5 3" xfId="37118" xr:uid="{00000000-0005-0000-0000-000087890000}"/>
    <cellStyle name="Normal 6 3 2 3 3 6" xfId="13639" xr:uid="{00000000-0005-0000-0000-000088890000}"/>
    <cellStyle name="Normal 6 3 2 3 3 6 2" xfId="37120" xr:uid="{00000000-0005-0000-0000-000089890000}"/>
    <cellStyle name="Normal 6 3 2 3 3 7" xfId="37097" xr:uid="{00000000-0005-0000-0000-00008A890000}"/>
    <cellStyle name="Normal 6 3 2 3 4" xfId="13640" xr:uid="{00000000-0005-0000-0000-00008B890000}"/>
    <cellStyle name="Normal 6 3 2 3 4 2" xfId="13641" xr:uid="{00000000-0005-0000-0000-00008C890000}"/>
    <cellStyle name="Normal 6 3 2 3 4 2 2" xfId="13642" xr:uid="{00000000-0005-0000-0000-00008D890000}"/>
    <cellStyle name="Normal 6 3 2 3 4 2 2 2" xfId="13643" xr:uid="{00000000-0005-0000-0000-00008E890000}"/>
    <cellStyle name="Normal 6 3 2 3 4 2 2 2 2" xfId="13644" xr:uid="{00000000-0005-0000-0000-00008F890000}"/>
    <cellStyle name="Normal 6 3 2 3 4 2 2 2 2 2" xfId="37125" xr:uid="{00000000-0005-0000-0000-000090890000}"/>
    <cellStyle name="Normal 6 3 2 3 4 2 2 2 3" xfId="37124" xr:uid="{00000000-0005-0000-0000-000091890000}"/>
    <cellStyle name="Normal 6 3 2 3 4 2 2 3" xfId="13645" xr:uid="{00000000-0005-0000-0000-000092890000}"/>
    <cellStyle name="Normal 6 3 2 3 4 2 2 3 2" xfId="37126" xr:uid="{00000000-0005-0000-0000-000093890000}"/>
    <cellStyle name="Normal 6 3 2 3 4 2 2 4" xfId="37123" xr:uid="{00000000-0005-0000-0000-000094890000}"/>
    <cellStyle name="Normal 6 3 2 3 4 2 3" xfId="13646" xr:uid="{00000000-0005-0000-0000-000095890000}"/>
    <cellStyle name="Normal 6 3 2 3 4 2 3 2" xfId="13647" xr:uid="{00000000-0005-0000-0000-000096890000}"/>
    <cellStyle name="Normal 6 3 2 3 4 2 3 2 2" xfId="37128" xr:uid="{00000000-0005-0000-0000-000097890000}"/>
    <cellStyle name="Normal 6 3 2 3 4 2 3 3" xfId="37127" xr:uid="{00000000-0005-0000-0000-000098890000}"/>
    <cellStyle name="Normal 6 3 2 3 4 2 4" xfId="13648" xr:uid="{00000000-0005-0000-0000-000099890000}"/>
    <cellStyle name="Normal 6 3 2 3 4 2 4 2" xfId="37129" xr:uid="{00000000-0005-0000-0000-00009A890000}"/>
    <cellStyle name="Normal 6 3 2 3 4 2 5" xfId="37122" xr:uid="{00000000-0005-0000-0000-00009B890000}"/>
    <cellStyle name="Normal 6 3 2 3 4 3" xfId="13649" xr:uid="{00000000-0005-0000-0000-00009C890000}"/>
    <cellStyle name="Normal 6 3 2 3 4 3 2" xfId="13650" xr:uid="{00000000-0005-0000-0000-00009D890000}"/>
    <cellStyle name="Normal 6 3 2 3 4 3 2 2" xfId="13651" xr:uid="{00000000-0005-0000-0000-00009E890000}"/>
    <cellStyle name="Normal 6 3 2 3 4 3 2 2 2" xfId="13652" xr:uid="{00000000-0005-0000-0000-00009F890000}"/>
    <cellStyle name="Normal 6 3 2 3 4 3 2 2 2 2" xfId="37133" xr:uid="{00000000-0005-0000-0000-0000A0890000}"/>
    <cellStyle name="Normal 6 3 2 3 4 3 2 2 3" xfId="37132" xr:uid="{00000000-0005-0000-0000-0000A1890000}"/>
    <cellStyle name="Normal 6 3 2 3 4 3 2 3" xfId="13653" xr:uid="{00000000-0005-0000-0000-0000A2890000}"/>
    <cellStyle name="Normal 6 3 2 3 4 3 2 3 2" xfId="37134" xr:uid="{00000000-0005-0000-0000-0000A3890000}"/>
    <cellStyle name="Normal 6 3 2 3 4 3 2 4" xfId="37131" xr:uid="{00000000-0005-0000-0000-0000A4890000}"/>
    <cellStyle name="Normal 6 3 2 3 4 3 3" xfId="13654" xr:uid="{00000000-0005-0000-0000-0000A5890000}"/>
    <cellStyle name="Normal 6 3 2 3 4 3 3 2" xfId="13655" xr:uid="{00000000-0005-0000-0000-0000A6890000}"/>
    <cellStyle name="Normal 6 3 2 3 4 3 3 2 2" xfId="37136" xr:uid="{00000000-0005-0000-0000-0000A7890000}"/>
    <cellStyle name="Normal 6 3 2 3 4 3 3 3" xfId="37135" xr:uid="{00000000-0005-0000-0000-0000A8890000}"/>
    <cellStyle name="Normal 6 3 2 3 4 3 4" xfId="13656" xr:uid="{00000000-0005-0000-0000-0000A9890000}"/>
    <cellStyle name="Normal 6 3 2 3 4 3 4 2" xfId="37137" xr:uid="{00000000-0005-0000-0000-0000AA890000}"/>
    <cellStyle name="Normal 6 3 2 3 4 3 5" xfId="37130" xr:uid="{00000000-0005-0000-0000-0000AB890000}"/>
    <cellStyle name="Normal 6 3 2 3 4 4" xfId="13657" xr:uid="{00000000-0005-0000-0000-0000AC890000}"/>
    <cellStyle name="Normal 6 3 2 3 4 4 2" xfId="13658" xr:uid="{00000000-0005-0000-0000-0000AD890000}"/>
    <cellStyle name="Normal 6 3 2 3 4 4 2 2" xfId="13659" xr:uid="{00000000-0005-0000-0000-0000AE890000}"/>
    <cellStyle name="Normal 6 3 2 3 4 4 2 2 2" xfId="37140" xr:uid="{00000000-0005-0000-0000-0000AF890000}"/>
    <cellStyle name="Normal 6 3 2 3 4 4 2 3" xfId="37139" xr:uid="{00000000-0005-0000-0000-0000B0890000}"/>
    <cellStyle name="Normal 6 3 2 3 4 4 3" xfId="13660" xr:uid="{00000000-0005-0000-0000-0000B1890000}"/>
    <cellStyle name="Normal 6 3 2 3 4 4 3 2" xfId="37141" xr:uid="{00000000-0005-0000-0000-0000B2890000}"/>
    <cellStyle name="Normal 6 3 2 3 4 4 4" xfId="37138" xr:uid="{00000000-0005-0000-0000-0000B3890000}"/>
    <cellStyle name="Normal 6 3 2 3 4 5" xfId="13661" xr:uid="{00000000-0005-0000-0000-0000B4890000}"/>
    <cellStyle name="Normal 6 3 2 3 4 5 2" xfId="13662" xr:uid="{00000000-0005-0000-0000-0000B5890000}"/>
    <cellStyle name="Normal 6 3 2 3 4 5 2 2" xfId="37143" xr:uid="{00000000-0005-0000-0000-0000B6890000}"/>
    <cellStyle name="Normal 6 3 2 3 4 5 3" xfId="37142" xr:uid="{00000000-0005-0000-0000-0000B7890000}"/>
    <cellStyle name="Normal 6 3 2 3 4 6" xfId="13663" xr:uid="{00000000-0005-0000-0000-0000B8890000}"/>
    <cellStyle name="Normal 6 3 2 3 4 6 2" xfId="37144" xr:uid="{00000000-0005-0000-0000-0000B9890000}"/>
    <cellStyle name="Normal 6 3 2 3 4 7" xfId="37121" xr:uid="{00000000-0005-0000-0000-0000BA890000}"/>
    <cellStyle name="Normal 6 3 2 3 5" xfId="13664" xr:uid="{00000000-0005-0000-0000-0000BB890000}"/>
    <cellStyle name="Normal 6 3 2 3 5 2" xfId="13665" xr:uid="{00000000-0005-0000-0000-0000BC890000}"/>
    <cellStyle name="Normal 6 3 2 3 5 2 2" xfId="13666" xr:uid="{00000000-0005-0000-0000-0000BD890000}"/>
    <cellStyle name="Normal 6 3 2 3 5 2 2 2" xfId="13667" xr:uid="{00000000-0005-0000-0000-0000BE890000}"/>
    <cellStyle name="Normal 6 3 2 3 5 2 2 2 2" xfId="37148" xr:uid="{00000000-0005-0000-0000-0000BF890000}"/>
    <cellStyle name="Normal 6 3 2 3 5 2 2 3" xfId="37147" xr:uid="{00000000-0005-0000-0000-0000C0890000}"/>
    <cellStyle name="Normal 6 3 2 3 5 2 3" xfId="13668" xr:uid="{00000000-0005-0000-0000-0000C1890000}"/>
    <cellStyle name="Normal 6 3 2 3 5 2 3 2" xfId="37149" xr:uid="{00000000-0005-0000-0000-0000C2890000}"/>
    <cellStyle name="Normal 6 3 2 3 5 2 4" xfId="37146" xr:uid="{00000000-0005-0000-0000-0000C3890000}"/>
    <cellStyle name="Normal 6 3 2 3 5 3" xfId="13669" xr:uid="{00000000-0005-0000-0000-0000C4890000}"/>
    <cellStyle name="Normal 6 3 2 3 5 3 2" xfId="13670" xr:uid="{00000000-0005-0000-0000-0000C5890000}"/>
    <cellStyle name="Normal 6 3 2 3 5 3 2 2" xfId="37151" xr:uid="{00000000-0005-0000-0000-0000C6890000}"/>
    <cellStyle name="Normal 6 3 2 3 5 3 3" xfId="37150" xr:uid="{00000000-0005-0000-0000-0000C7890000}"/>
    <cellStyle name="Normal 6 3 2 3 5 4" xfId="13671" xr:uid="{00000000-0005-0000-0000-0000C8890000}"/>
    <cellStyle name="Normal 6 3 2 3 5 4 2" xfId="37152" xr:uid="{00000000-0005-0000-0000-0000C9890000}"/>
    <cellStyle name="Normal 6 3 2 3 5 5" xfId="37145" xr:uid="{00000000-0005-0000-0000-0000CA890000}"/>
    <cellStyle name="Normal 6 3 2 3 6" xfId="13672" xr:uid="{00000000-0005-0000-0000-0000CB890000}"/>
    <cellStyle name="Normal 6 3 2 3 6 2" xfId="13673" xr:uid="{00000000-0005-0000-0000-0000CC890000}"/>
    <cellStyle name="Normal 6 3 2 3 6 2 2" xfId="13674" xr:uid="{00000000-0005-0000-0000-0000CD890000}"/>
    <cellStyle name="Normal 6 3 2 3 6 2 2 2" xfId="13675" xr:uid="{00000000-0005-0000-0000-0000CE890000}"/>
    <cellStyle name="Normal 6 3 2 3 6 2 2 2 2" xfId="37156" xr:uid="{00000000-0005-0000-0000-0000CF890000}"/>
    <cellStyle name="Normal 6 3 2 3 6 2 2 3" xfId="37155" xr:uid="{00000000-0005-0000-0000-0000D0890000}"/>
    <cellStyle name="Normal 6 3 2 3 6 2 3" xfId="13676" xr:uid="{00000000-0005-0000-0000-0000D1890000}"/>
    <cellStyle name="Normal 6 3 2 3 6 2 3 2" xfId="37157" xr:uid="{00000000-0005-0000-0000-0000D2890000}"/>
    <cellStyle name="Normal 6 3 2 3 6 2 4" xfId="37154" xr:uid="{00000000-0005-0000-0000-0000D3890000}"/>
    <cellStyle name="Normal 6 3 2 3 6 3" xfId="13677" xr:uid="{00000000-0005-0000-0000-0000D4890000}"/>
    <cellStyle name="Normal 6 3 2 3 6 3 2" xfId="13678" xr:uid="{00000000-0005-0000-0000-0000D5890000}"/>
    <cellStyle name="Normal 6 3 2 3 6 3 2 2" xfId="37159" xr:uid="{00000000-0005-0000-0000-0000D6890000}"/>
    <cellStyle name="Normal 6 3 2 3 6 3 3" xfId="37158" xr:uid="{00000000-0005-0000-0000-0000D7890000}"/>
    <cellStyle name="Normal 6 3 2 3 6 4" xfId="13679" xr:uid="{00000000-0005-0000-0000-0000D8890000}"/>
    <cellStyle name="Normal 6 3 2 3 6 4 2" xfId="37160" xr:uid="{00000000-0005-0000-0000-0000D9890000}"/>
    <cellStyle name="Normal 6 3 2 3 6 5" xfId="37153" xr:uid="{00000000-0005-0000-0000-0000DA890000}"/>
    <cellStyle name="Normal 6 3 2 3 7" xfId="13680" xr:uid="{00000000-0005-0000-0000-0000DB890000}"/>
    <cellStyle name="Normal 6 3 2 3 7 2" xfId="13681" xr:uid="{00000000-0005-0000-0000-0000DC890000}"/>
    <cellStyle name="Normal 6 3 2 3 7 2 2" xfId="13682" xr:uid="{00000000-0005-0000-0000-0000DD890000}"/>
    <cellStyle name="Normal 6 3 2 3 7 2 2 2" xfId="37163" xr:uid="{00000000-0005-0000-0000-0000DE890000}"/>
    <cellStyle name="Normal 6 3 2 3 7 2 3" xfId="37162" xr:uid="{00000000-0005-0000-0000-0000DF890000}"/>
    <cellStyle name="Normal 6 3 2 3 7 3" xfId="13683" xr:uid="{00000000-0005-0000-0000-0000E0890000}"/>
    <cellStyle name="Normal 6 3 2 3 7 3 2" xfId="37164" xr:uid="{00000000-0005-0000-0000-0000E1890000}"/>
    <cellStyle name="Normal 6 3 2 3 7 4" xfId="37161" xr:uid="{00000000-0005-0000-0000-0000E2890000}"/>
    <cellStyle name="Normal 6 3 2 3 8" xfId="13684" xr:uid="{00000000-0005-0000-0000-0000E3890000}"/>
    <cellStyle name="Normal 6 3 2 3 8 2" xfId="13685" xr:uid="{00000000-0005-0000-0000-0000E4890000}"/>
    <cellStyle name="Normal 6 3 2 3 8 2 2" xfId="37166" xr:uid="{00000000-0005-0000-0000-0000E5890000}"/>
    <cellStyle name="Normal 6 3 2 3 8 3" xfId="37165" xr:uid="{00000000-0005-0000-0000-0000E6890000}"/>
    <cellStyle name="Normal 6 3 2 3 9" xfId="13686" xr:uid="{00000000-0005-0000-0000-0000E7890000}"/>
    <cellStyle name="Normal 6 3 2 3 9 2" xfId="37167" xr:uid="{00000000-0005-0000-0000-0000E8890000}"/>
    <cellStyle name="Normal 6 3 2 4" xfId="13687" xr:uid="{00000000-0005-0000-0000-0000E9890000}"/>
    <cellStyle name="Normal 6 3 2 4 10" xfId="37168" xr:uid="{00000000-0005-0000-0000-0000EA890000}"/>
    <cellStyle name="Normal 6 3 2 4 2" xfId="13688" xr:uid="{00000000-0005-0000-0000-0000EB890000}"/>
    <cellStyle name="Normal 6 3 2 4 2 2" xfId="13689" xr:uid="{00000000-0005-0000-0000-0000EC890000}"/>
    <cellStyle name="Normal 6 3 2 4 2 2 2" xfId="13690" xr:uid="{00000000-0005-0000-0000-0000ED890000}"/>
    <cellStyle name="Normal 6 3 2 4 2 2 2 2" xfId="13691" xr:uid="{00000000-0005-0000-0000-0000EE890000}"/>
    <cellStyle name="Normal 6 3 2 4 2 2 2 2 2" xfId="13692" xr:uid="{00000000-0005-0000-0000-0000EF890000}"/>
    <cellStyle name="Normal 6 3 2 4 2 2 2 2 2 2" xfId="37173" xr:uid="{00000000-0005-0000-0000-0000F0890000}"/>
    <cellStyle name="Normal 6 3 2 4 2 2 2 2 3" xfId="37172" xr:uid="{00000000-0005-0000-0000-0000F1890000}"/>
    <cellStyle name="Normal 6 3 2 4 2 2 2 3" xfId="13693" xr:uid="{00000000-0005-0000-0000-0000F2890000}"/>
    <cellStyle name="Normal 6 3 2 4 2 2 2 3 2" xfId="37174" xr:uid="{00000000-0005-0000-0000-0000F3890000}"/>
    <cellStyle name="Normal 6 3 2 4 2 2 2 4" xfId="37171" xr:uid="{00000000-0005-0000-0000-0000F4890000}"/>
    <cellStyle name="Normal 6 3 2 4 2 2 3" xfId="13694" xr:uid="{00000000-0005-0000-0000-0000F5890000}"/>
    <cellStyle name="Normal 6 3 2 4 2 2 3 2" xfId="13695" xr:uid="{00000000-0005-0000-0000-0000F6890000}"/>
    <cellStyle name="Normal 6 3 2 4 2 2 3 2 2" xfId="37176" xr:uid="{00000000-0005-0000-0000-0000F7890000}"/>
    <cellStyle name="Normal 6 3 2 4 2 2 3 3" xfId="37175" xr:uid="{00000000-0005-0000-0000-0000F8890000}"/>
    <cellStyle name="Normal 6 3 2 4 2 2 4" xfId="13696" xr:uid="{00000000-0005-0000-0000-0000F9890000}"/>
    <cellStyle name="Normal 6 3 2 4 2 2 4 2" xfId="37177" xr:uid="{00000000-0005-0000-0000-0000FA890000}"/>
    <cellStyle name="Normal 6 3 2 4 2 2 5" xfId="37170" xr:uid="{00000000-0005-0000-0000-0000FB890000}"/>
    <cellStyle name="Normal 6 3 2 4 2 3" xfId="13697" xr:uid="{00000000-0005-0000-0000-0000FC890000}"/>
    <cellStyle name="Normal 6 3 2 4 2 3 2" xfId="13698" xr:uid="{00000000-0005-0000-0000-0000FD890000}"/>
    <cellStyle name="Normal 6 3 2 4 2 3 2 2" xfId="13699" xr:uid="{00000000-0005-0000-0000-0000FE890000}"/>
    <cellStyle name="Normal 6 3 2 4 2 3 2 2 2" xfId="13700" xr:uid="{00000000-0005-0000-0000-0000FF890000}"/>
    <cellStyle name="Normal 6 3 2 4 2 3 2 2 2 2" xfId="37181" xr:uid="{00000000-0005-0000-0000-0000008A0000}"/>
    <cellStyle name="Normal 6 3 2 4 2 3 2 2 3" xfId="37180" xr:uid="{00000000-0005-0000-0000-0000018A0000}"/>
    <cellStyle name="Normal 6 3 2 4 2 3 2 3" xfId="13701" xr:uid="{00000000-0005-0000-0000-0000028A0000}"/>
    <cellStyle name="Normal 6 3 2 4 2 3 2 3 2" xfId="37182" xr:uid="{00000000-0005-0000-0000-0000038A0000}"/>
    <cellStyle name="Normal 6 3 2 4 2 3 2 4" xfId="37179" xr:uid="{00000000-0005-0000-0000-0000048A0000}"/>
    <cellStyle name="Normal 6 3 2 4 2 3 3" xfId="13702" xr:uid="{00000000-0005-0000-0000-0000058A0000}"/>
    <cellStyle name="Normal 6 3 2 4 2 3 3 2" xfId="13703" xr:uid="{00000000-0005-0000-0000-0000068A0000}"/>
    <cellStyle name="Normal 6 3 2 4 2 3 3 2 2" xfId="37184" xr:uid="{00000000-0005-0000-0000-0000078A0000}"/>
    <cellStyle name="Normal 6 3 2 4 2 3 3 3" xfId="37183" xr:uid="{00000000-0005-0000-0000-0000088A0000}"/>
    <cellStyle name="Normal 6 3 2 4 2 3 4" xfId="13704" xr:uid="{00000000-0005-0000-0000-0000098A0000}"/>
    <cellStyle name="Normal 6 3 2 4 2 3 4 2" xfId="37185" xr:uid="{00000000-0005-0000-0000-00000A8A0000}"/>
    <cellStyle name="Normal 6 3 2 4 2 3 5" xfId="37178" xr:uid="{00000000-0005-0000-0000-00000B8A0000}"/>
    <cellStyle name="Normal 6 3 2 4 2 4" xfId="13705" xr:uid="{00000000-0005-0000-0000-00000C8A0000}"/>
    <cellStyle name="Normal 6 3 2 4 2 4 2" xfId="13706" xr:uid="{00000000-0005-0000-0000-00000D8A0000}"/>
    <cellStyle name="Normal 6 3 2 4 2 4 2 2" xfId="13707" xr:uid="{00000000-0005-0000-0000-00000E8A0000}"/>
    <cellStyle name="Normal 6 3 2 4 2 4 2 2 2" xfId="37188" xr:uid="{00000000-0005-0000-0000-00000F8A0000}"/>
    <cellStyle name="Normal 6 3 2 4 2 4 2 3" xfId="37187" xr:uid="{00000000-0005-0000-0000-0000108A0000}"/>
    <cellStyle name="Normal 6 3 2 4 2 4 3" xfId="13708" xr:uid="{00000000-0005-0000-0000-0000118A0000}"/>
    <cellStyle name="Normal 6 3 2 4 2 4 3 2" xfId="37189" xr:uid="{00000000-0005-0000-0000-0000128A0000}"/>
    <cellStyle name="Normal 6 3 2 4 2 4 4" xfId="37186" xr:uid="{00000000-0005-0000-0000-0000138A0000}"/>
    <cellStyle name="Normal 6 3 2 4 2 5" xfId="13709" xr:uid="{00000000-0005-0000-0000-0000148A0000}"/>
    <cellStyle name="Normal 6 3 2 4 2 5 2" xfId="13710" xr:uid="{00000000-0005-0000-0000-0000158A0000}"/>
    <cellStyle name="Normal 6 3 2 4 2 5 2 2" xfId="37191" xr:uid="{00000000-0005-0000-0000-0000168A0000}"/>
    <cellStyle name="Normal 6 3 2 4 2 5 3" xfId="37190" xr:uid="{00000000-0005-0000-0000-0000178A0000}"/>
    <cellStyle name="Normal 6 3 2 4 2 6" xfId="13711" xr:uid="{00000000-0005-0000-0000-0000188A0000}"/>
    <cellStyle name="Normal 6 3 2 4 2 6 2" xfId="37192" xr:uid="{00000000-0005-0000-0000-0000198A0000}"/>
    <cellStyle name="Normal 6 3 2 4 2 7" xfId="37169" xr:uid="{00000000-0005-0000-0000-00001A8A0000}"/>
    <cellStyle name="Normal 6 3 2 4 3" xfId="13712" xr:uid="{00000000-0005-0000-0000-00001B8A0000}"/>
    <cellStyle name="Normal 6 3 2 4 3 2" xfId="13713" xr:uid="{00000000-0005-0000-0000-00001C8A0000}"/>
    <cellStyle name="Normal 6 3 2 4 3 2 2" xfId="13714" xr:uid="{00000000-0005-0000-0000-00001D8A0000}"/>
    <cellStyle name="Normal 6 3 2 4 3 2 2 2" xfId="13715" xr:uid="{00000000-0005-0000-0000-00001E8A0000}"/>
    <cellStyle name="Normal 6 3 2 4 3 2 2 2 2" xfId="13716" xr:uid="{00000000-0005-0000-0000-00001F8A0000}"/>
    <cellStyle name="Normal 6 3 2 4 3 2 2 2 2 2" xfId="37197" xr:uid="{00000000-0005-0000-0000-0000208A0000}"/>
    <cellStyle name="Normal 6 3 2 4 3 2 2 2 3" xfId="37196" xr:uid="{00000000-0005-0000-0000-0000218A0000}"/>
    <cellStyle name="Normal 6 3 2 4 3 2 2 3" xfId="13717" xr:uid="{00000000-0005-0000-0000-0000228A0000}"/>
    <cellStyle name="Normal 6 3 2 4 3 2 2 3 2" xfId="37198" xr:uid="{00000000-0005-0000-0000-0000238A0000}"/>
    <cellStyle name="Normal 6 3 2 4 3 2 2 4" xfId="37195" xr:uid="{00000000-0005-0000-0000-0000248A0000}"/>
    <cellStyle name="Normal 6 3 2 4 3 2 3" xfId="13718" xr:uid="{00000000-0005-0000-0000-0000258A0000}"/>
    <cellStyle name="Normal 6 3 2 4 3 2 3 2" xfId="13719" xr:uid="{00000000-0005-0000-0000-0000268A0000}"/>
    <cellStyle name="Normal 6 3 2 4 3 2 3 2 2" xfId="37200" xr:uid="{00000000-0005-0000-0000-0000278A0000}"/>
    <cellStyle name="Normal 6 3 2 4 3 2 3 3" xfId="37199" xr:uid="{00000000-0005-0000-0000-0000288A0000}"/>
    <cellStyle name="Normal 6 3 2 4 3 2 4" xfId="13720" xr:uid="{00000000-0005-0000-0000-0000298A0000}"/>
    <cellStyle name="Normal 6 3 2 4 3 2 4 2" xfId="37201" xr:uid="{00000000-0005-0000-0000-00002A8A0000}"/>
    <cellStyle name="Normal 6 3 2 4 3 2 5" xfId="37194" xr:uid="{00000000-0005-0000-0000-00002B8A0000}"/>
    <cellStyle name="Normal 6 3 2 4 3 3" xfId="13721" xr:uid="{00000000-0005-0000-0000-00002C8A0000}"/>
    <cellStyle name="Normal 6 3 2 4 3 3 2" xfId="13722" xr:uid="{00000000-0005-0000-0000-00002D8A0000}"/>
    <cellStyle name="Normal 6 3 2 4 3 3 2 2" xfId="13723" xr:uid="{00000000-0005-0000-0000-00002E8A0000}"/>
    <cellStyle name="Normal 6 3 2 4 3 3 2 2 2" xfId="13724" xr:uid="{00000000-0005-0000-0000-00002F8A0000}"/>
    <cellStyle name="Normal 6 3 2 4 3 3 2 2 2 2" xfId="37205" xr:uid="{00000000-0005-0000-0000-0000308A0000}"/>
    <cellStyle name="Normal 6 3 2 4 3 3 2 2 3" xfId="37204" xr:uid="{00000000-0005-0000-0000-0000318A0000}"/>
    <cellStyle name="Normal 6 3 2 4 3 3 2 3" xfId="13725" xr:uid="{00000000-0005-0000-0000-0000328A0000}"/>
    <cellStyle name="Normal 6 3 2 4 3 3 2 3 2" xfId="37206" xr:uid="{00000000-0005-0000-0000-0000338A0000}"/>
    <cellStyle name="Normal 6 3 2 4 3 3 2 4" xfId="37203" xr:uid="{00000000-0005-0000-0000-0000348A0000}"/>
    <cellStyle name="Normal 6 3 2 4 3 3 3" xfId="13726" xr:uid="{00000000-0005-0000-0000-0000358A0000}"/>
    <cellStyle name="Normal 6 3 2 4 3 3 3 2" xfId="13727" xr:uid="{00000000-0005-0000-0000-0000368A0000}"/>
    <cellStyle name="Normal 6 3 2 4 3 3 3 2 2" xfId="37208" xr:uid="{00000000-0005-0000-0000-0000378A0000}"/>
    <cellStyle name="Normal 6 3 2 4 3 3 3 3" xfId="37207" xr:uid="{00000000-0005-0000-0000-0000388A0000}"/>
    <cellStyle name="Normal 6 3 2 4 3 3 4" xfId="13728" xr:uid="{00000000-0005-0000-0000-0000398A0000}"/>
    <cellStyle name="Normal 6 3 2 4 3 3 4 2" xfId="37209" xr:uid="{00000000-0005-0000-0000-00003A8A0000}"/>
    <cellStyle name="Normal 6 3 2 4 3 3 5" xfId="37202" xr:uid="{00000000-0005-0000-0000-00003B8A0000}"/>
    <cellStyle name="Normal 6 3 2 4 3 4" xfId="13729" xr:uid="{00000000-0005-0000-0000-00003C8A0000}"/>
    <cellStyle name="Normal 6 3 2 4 3 4 2" xfId="13730" xr:uid="{00000000-0005-0000-0000-00003D8A0000}"/>
    <cellStyle name="Normal 6 3 2 4 3 4 2 2" xfId="13731" xr:uid="{00000000-0005-0000-0000-00003E8A0000}"/>
    <cellStyle name="Normal 6 3 2 4 3 4 2 2 2" xfId="37212" xr:uid="{00000000-0005-0000-0000-00003F8A0000}"/>
    <cellStyle name="Normal 6 3 2 4 3 4 2 3" xfId="37211" xr:uid="{00000000-0005-0000-0000-0000408A0000}"/>
    <cellStyle name="Normal 6 3 2 4 3 4 3" xfId="13732" xr:uid="{00000000-0005-0000-0000-0000418A0000}"/>
    <cellStyle name="Normal 6 3 2 4 3 4 3 2" xfId="37213" xr:uid="{00000000-0005-0000-0000-0000428A0000}"/>
    <cellStyle name="Normal 6 3 2 4 3 4 4" xfId="37210" xr:uid="{00000000-0005-0000-0000-0000438A0000}"/>
    <cellStyle name="Normal 6 3 2 4 3 5" xfId="13733" xr:uid="{00000000-0005-0000-0000-0000448A0000}"/>
    <cellStyle name="Normal 6 3 2 4 3 5 2" xfId="13734" xr:uid="{00000000-0005-0000-0000-0000458A0000}"/>
    <cellStyle name="Normal 6 3 2 4 3 5 2 2" xfId="37215" xr:uid="{00000000-0005-0000-0000-0000468A0000}"/>
    <cellStyle name="Normal 6 3 2 4 3 5 3" xfId="37214" xr:uid="{00000000-0005-0000-0000-0000478A0000}"/>
    <cellStyle name="Normal 6 3 2 4 3 6" xfId="13735" xr:uid="{00000000-0005-0000-0000-0000488A0000}"/>
    <cellStyle name="Normal 6 3 2 4 3 6 2" xfId="37216" xr:uid="{00000000-0005-0000-0000-0000498A0000}"/>
    <cellStyle name="Normal 6 3 2 4 3 7" xfId="37193" xr:uid="{00000000-0005-0000-0000-00004A8A0000}"/>
    <cellStyle name="Normal 6 3 2 4 4" xfId="13736" xr:uid="{00000000-0005-0000-0000-00004B8A0000}"/>
    <cellStyle name="Normal 6 3 2 4 4 2" xfId="13737" xr:uid="{00000000-0005-0000-0000-00004C8A0000}"/>
    <cellStyle name="Normal 6 3 2 4 4 2 2" xfId="13738" xr:uid="{00000000-0005-0000-0000-00004D8A0000}"/>
    <cellStyle name="Normal 6 3 2 4 4 2 2 2" xfId="13739" xr:uid="{00000000-0005-0000-0000-00004E8A0000}"/>
    <cellStyle name="Normal 6 3 2 4 4 2 2 2 2" xfId="13740" xr:uid="{00000000-0005-0000-0000-00004F8A0000}"/>
    <cellStyle name="Normal 6 3 2 4 4 2 2 2 2 2" xfId="37221" xr:uid="{00000000-0005-0000-0000-0000508A0000}"/>
    <cellStyle name="Normal 6 3 2 4 4 2 2 2 3" xfId="37220" xr:uid="{00000000-0005-0000-0000-0000518A0000}"/>
    <cellStyle name="Normal 6 3 2 4 4 2 2 3" xfId="13741" xr:uid="{00000000-0005-0000-0000-0000528A0000}"/>
    <cellStyle name="Normal 6 3 2 4 4 2 2 3 2" xfId="37222" xr:uid="{00000000-0005-0000-0000-0000538A0000}"/>
    <cellStyle name="Normal 6 3 2 4 4 2 2 4" xfId="37219" xr:uid="{00000000-0005-0000-0000-0000548A0000}"/>
    <cellStyle name="Normal 6 3 2 4 4 2 3" xfId="13742" xr:uid="{00000000-0005-0000-0000-0000558A0000}"/>
    <cellStyle name="Normal 6 3 2 4 4 2 3 2" xfId="13743" xr:uid="{00000000-0005-0000-0000-0000568A0000}"/>
    <cellStyle name="Normal 6 3 2 4 4 2 3 2 2" xfId="37224" xr:uid="{00000000-0005-0000-0000-0000578A0000}"/>
    <cellStyle name="Normal 6 3 2 4 4 2 3 3" xfId="37223" xr:uid="{00000000-0005-0000-0000-0000588A0000}"/>
    <cellStyle name="Normal 6 3 2 4 4 2 4" xfId="13744" xr:uid="{00000000-0005-0000-0000-0000598A0000}"/>
    <cellStyle name="Normal 6 3 2 4 4 2 4 2" xfId="37225" xr:uid="{00000000-0005-0000-0000-00005A8A0000}"/>
    <cellStyle name="Normal 6 3 2 4 4 2 5" xfId="37218" xr:uid="{00000000-0005-0000-0000-00005B8A0000}"/>
    <cellStyle name="Normal 6 3 2 4 4 3" xfId="13745" xr:uid="{00000000-0005-0000-0000-00005C8A0000}"/>
    <cellStyle name="Normal 6 3 2 4 4 3 2" xfId="13746" xr:uid="{00000000-0005-0000-0000-00005D8A0000}"/>
    <cellStyle name="Normal 6 3 2 4 4 3 2 2" xfId="13747" xr:uid="{00000000-0005-0000-0000-00005E8A0000}"/>
    <cellStyle name="Normal 6 3 2 4 4 3 2 2 2" xfId="13748" xr:uid="{00000000-0005-0000-0000-00005F8A0000}"/>
    <cellStyle name="Normal 6 3 2 4 4 3 2 2 2 2" xfId="37229" xr:uid="{00000000-0005-0000-0000-0000608A0000}"/>
    <cellStyle name="Normal 6 3 2 4 4 3 2 2 3" xfId="37228" xr:uid="{00000000-0005-0000-0000-0000618A0000}"/>
    <cellStyle name="Normal 6 3 2 4 4 3 2 3" xfId="13749" xr:uid="{00000000-0005-0000-0000-0000628A0000}"/>
    <cellStyle name="Normal 6 3 2 4 4 3 2 3 2" xfId="37230" xr:uid="{00000000-0005-0000-0000-0000638A0000}"/>
    <cellStyle name="Normal 6 3 2 4 4 3 2 4" xfId="37227" xr:uid="{00000000-0005-0000-0000-0000648A0000}"/>
    <cellStyle name="Normal 6 3 2 4 4 3 3" xfId="13750" xr:uid="{00000000-0005-0000-0000-0000658A0000}"/>
    <cellStyle name="Normal 6 3 2 4 4 3 3 2" xfId="13751" xr:uid="{00000000-0005-0000-0000-0000668A0000}"/>
    <cellStyle name="Normal 6 3 2 4 4 3 3 2 2" xfId="37232" xr:uid="{00000000-0005-0000-0000-0000678A0000}"/>
    <cellStyle name="Normal 6 3 2 4 4 3 3 3" xfId="37231" xr:uid="{00000000-0005-0000-0000-0000688A0000}"/>
    <cellStyle name="Normal 6 3 2 4 4 3 4" xfId="13752" xr:uid="{00000000-0005-0000-0000-0000698A0000}"/>
    <cellStyle name="Normal 6 3 2 4 4 3 4 2" xfId="37233" xr:uid="{00000000-0005-0000-0000-00006A8A0000}"/>
    <cellStyle name="Normal 6 3 2 4 4 3 5" xfId="37226" xr:uid="{00000000-0005-0000-0000-00006B8A0000}"/>
    <cellStyle name="Normal 6 3 2 4 4 4" xfId="13753" xr:uid="{00000000-0005-0000-0000-00006C8A0000}"/>
    <cellStyle name="Normal 6 3 2 4 4 4 2" xfId="13754" xr:uid="{00000000-0005-0000-0000-00006D8A0000}"/>
    <cellStyle name="Normal 6 3 2 4 4 4 2 2" xfId="13755" xr:uid="{00000000-0005-0000-0000-00006E8A0000}"/>
    <cellStyle name="Normal 6 3 2 4 4 4 2 2 2" xfId="37236" xr:uid="{00000000-0005-0000-0000-00006F8A0000}"/>
    <cellStyle name="Normal 6 3 2 4 4 4 2 3" xfId="37235" xr:uid="{00000000-0005-0000-0000-0000708A0000}"/>
    <cellStyle name="Normal 6 3 2 4 4 4 3" xfId="13756" xr:uid="{00000000-0005-0000-0000-0000718A0000}"/>
    <cellStyle name="Normal 6 3 2 4 4 4 3 2" xfId="37237" xr:uid="{00000000-0005-0000-0000-0000728A0000}"/>
    <cellStyle name="Normal 6 3 2 4 4 4 4" xfId="37234" xr:uid="{00000000-0005-0000-0000-0000738A0000}"/>
    <cellStyle name="Normal 6 3 2 4 4 5" xfId="13757" xr:uid="{00000000-0005-0000-0000-0000748A0000}"/>
    <cellStyle name="Normal 6 3 2 4 4 5 2" xfId="13758" xr:uid="{00000000-0005-0000-0000-0000758A0000}"/>
    <cellStyle name="Normal 6 3 2 4 4 5 2 2" xfId="37239" xr:uid="{00000000-0005-0000-0000-0000768A0000}"/>
    <cellStyle name="Normal 6 3 2 4 4 5 3" xfId="37238" xr:uid="{00000000-0005-0000-0000-0000778A0000}"/>
    <cellStyle name="Normal 6 3 2 4 4 6" xfId="13759" xr:uid="{00000000-0005-0000-0000-0000788A0000}"/>
    <cellStyle name="Normal 6 3 2 4 4 6 2" xfId="37240" xr:uid="{00000000-0005-0000-0000-0000798A0000}"/>
    <cellStyle name="Normal 6 3 2 4 4 7" xfId="37217" xr:uid="{00000000-0005-0000-0000-00007A8A0000}"/>
    <cellStyle name="Normal 6 3 2 4 5" xfId="13760" xr:uid="{00000000-0005-0000-0000-00007B8A0000}"/>
    <cellStyle name="Normal 6 3 2 4 5 2" xfId="13761" xr:uid="{00000000-0005-0000-0000-00007C8A0000}"/>
    <cellStyle name="Normal 6 3 2 4 5 2 2" xfId="13762" xr:uid="{00000000-0005-0000-0000-00007D8A0000}"/>
    <cellStyle name="Normal 6 3 2 4 5 2 2 2" xfId="13763" xr:uid="{00000000-0005-0000-0000-00007E8A0000}"/>
    <cellStyle name="Normal 6 3 2 4 5 2 2 2 2" xfId="37244" xr:uid="{00000000-0005-0000-0000-00007F8A0000}"/>
    <cellStyle name="Normal 6 3 2 4 5 2 2 3" xfId="37243" xr:uid="{00000000-0005-0000-0000-0000808A0000}"/>
    <cellStyle name="Normal 6 3 2 4 5 2 3" xfId="13764" xr:uid="{00000000-0005-0000-0000-0000818A0000}"/>
    <cellStyle name="Normal 6 3 2 4 5 2 3 2" xfId="37245" xr:uid="{00000000-0005-0000-0000-0000828A0000}"/>
    <cellStyle name="Normal 6 3 2 4 5 2 4" xfId="37242" xr:uid="{00000000-0005-0000-0000-0000838A0000}"/>
    <cellStyle name="Normal 6 3 2 4 5 3" xfId="13765" xr:uid="{00000000-0005-0000-0000-0000848A0000}"/>
    <cellStyle name="Normal 6 3 2 4 5 3 2" xfId="13766" xr:uid="{00000000-0005-0000-0000-0000858A0000}"/>
    <cellStyle name="Normal 6 3 2 4 5 3 2 2" xfId="37247" xr:uid="{00000000-0005-0000-0000-0000868A0000}"/>
    <cellStyle name="Normal 6 3 2 4 5 3 3" xfId="37246" xr:uid="{00000000-0005-0000-0000-0000878A0000}"/>
    <cellStyle name="Normal 6 3 2 4 5 4" xfId="13767" xr:uid="{00000000-0005-0000-0000-0000888A0000}"/>
    <cellStyle name="Normal 6 3 2 4 5 4 2" xfId="37248" xr:uid="{00000000-0005-0000-0000-0000898A0000}"/>
    <cellStyle name="Normal 6 3 2 4 5 5" xfId="37241" xr:uid="{00000000-0005-0000-0000-00008A8A0000}"/>
    <cellStyle name="Normal 6 3 2 4 6" xfId="13768" xr:uid="{00000000-0005-0000-0000-00008B8A0000}"/>
    <cellStyle name="Normal 6 3 2 4 6 2" xfId="13769" xr:uid="{00000000-0005-0000-0000-00008C8A0000}"/>
    <cellStyle name="Normal 6 3 2 4 6 2 2" xfId="13770" xr:uid="{00000000-0005-0000-0000-00008D8A0000}"/>
    <cellStyle name="Normal 6 3 2 4 6 2 2 2" xfId="13771" xr:uid="{00000000-0005-0000-0000-00008E8A0000}"/>
    <cellStyle name="Normal 6 3 2 4 6 2 2 2 2" xfId="37252" xr:uid="{00000000-0005-0000-0000-00008F8A0000}"/>
    <cellStyle name="Normal 6 3 2 4 6 2 2 3" xfId="37251" xr:uid="{00000000-0005-0000-0000-0000908A0000}"/>
    <cellStyle name="Normal 6 3 2 4 6 2 3" xfId="13772" xr:uid="{00000000-0005-0000-0000-0000918A0000}"/>
    <cellStyle name="Normal 6 3 2 4 6 2 3 2" xfId="37253" xr:uid="{00000000-0005-0000-0000-0000928A0000}"/>
    <cellStyle name="Normal 6 3 2 4 6 2 4" xfId="37250" xr:uid="{00000000-0005-0000-0000-0000938A0000}"/>
    <cellStyle name="Normal 6 3 2 4 6 3" xfId="13773" xr:uid="{00000000-0005-0000-0000-0000948A0000}"/>
    <cellStyle name="Normal 6 3 2 4 6 3 2" xfId="13774" xr:uid="{00000000-0005-0000-0000-0000958A0000}"/>
    <cellStyle name="Normal 6 3 2 4 6 3 2 2" xfId="37255" xr:uid="{00000000-0005-0000-0000-0000968A0000}"/>
    <cellStyle name="Normal 6 3 2 4 6 3 3" xfId="37254" xr:uid="{00000000-0005-0000-0000-0000978A0000}"/>
    <cellStyle name="Normal 6 3 2 4 6 4" xfId="13775" xr:uid="{00000000-0005-0000-0000-0000988A0000}"/>
    <cellStyle name="Normal 6 3 2 4 6 4 2" xfId="37256" xr:uid="{00000000-0005-0000-0000-0000998A0000}"/>
    <cellStyle name="Normal 6 3 2 4 6 5" xfId="37249" xr:uid="{00000000-0005-0000-0000-00009A8A0000}"/>
    <cellStyle name="Normal 6 3 2 4 7" xfId="13776" xr:uid="{00000000-0005-0000-0000-00009B8A0000}"/>
    <cellStyle name="Normal 6 3 2 4 7 2" xfId="13777" xr:uid="{00000000-0005-0000-0000-00009C8A0000}"/>
    <cellStyle name="Normal 6 3 2 4 7 2 2" xfId="13778" xr:uid="{00000000-0005-0000-0000-00009D8A0000}"/>
    <cellStyle name="Normal 6 3 2 4 7 2 2 2" xfId="37259" xr:uid="{00000000-0005-0000-0000-00009E8A0000}"/>
    <cellStyle name="Normal 6 3 2 4 7 2 3" xfId="37258" xr:uid="{00000000-0005-0000-0000-00009F8A0000}"/>
    <cellStyle name="Normal 6 3 2 4 7 3" xfId="13779" xr:uid="{00000000-0005-0000-0000-0000A08A0000}"/>
    <cellStyle name="Normal 6 3 2 4 7 3 2" xfId="37260" xr:uid="{00000000-0005-0000-0000-0000A18A0000}"/>
    <cellStyle name="Normal 6 3 2 4 7 4" xfId="37257" xr:uid="{00000000-0005-0000-0000-0000A28A0000}"/>
    <cellStyle name="Normal 6 3 2 4 8" xfId="13780" xr:uid="{00000000-0005-0000-0000-0000A38A0000}"/>
    <cellStyle name="Normal 6 3 2 4 8 2" xfId="13781" xr:uid="{00000000-0005-0000-0000-0000A48A0000}"/>
    <cellStyle name="Normal 6 3 2 4 8 2 2" xfId="37262" xr:uid="{00000000-0005-0000-0000-0000A58A0000}"/>
    <cellStyle name="Normal 6 3 2 4 8 3" xfId="37261" xr:uid="{00000000-0005-0000-0000-0000A68A0000}"/>
    <cellStyle name="Normal 6 3 2 4 9" xfId="13782" xr:uid="{00000000-0005-0000-0000-0000A78A0000}"/>
    <cellStyle name="Normal 6 3 2 4 9 2" xfId="37263" xr:uid="{00000000-0005-0000-0000-0000A88A0000}"/>
    <cellStyle name="Normal 6 3 2 5" xfId="13783" xr:uid="{00000000-0005-0000-0000-0000A98A0000}"/>
    <cellStyle name="Normal 6 3 2 5 2" xfId="13784" xr:uid="{00000000-0005-0000-0000-0000AA8A0000}"/>
    <cellStyle name="Normal 6 3 2 5 2 2" xfId="13785" xr:uid="{00000000-0005-0000-0000-0000AB8A0000}"/>
    <cellStyle name="Normal 6 3 2 5 2 2 2" xfId="13786" xr:uid="{00000000-0005-0000-0000-0000AC8A0000}"/>
    <cellStyle name="Normal 6 3 2 5 2 2 2 2" xfId="13787" xr:uid="{00000000-0005-0000-0000-0000AD8A0000}"/>
    <cellStyle name="Normal 6 3 2 5 2 2 2 2 2" xfId="37268" xr:uid="{00000000-0005-0000-0000-0000AE8A0000}"/>
    <cellStyle name="Normal 6 3 2 5 2 2 2 3" xfId="37267" xr:uid="{00000000-0005-0000-0000-0000AF8A0000}"/>
    <cellStyle name="Normal 6 3 2 5 2 2 3" xfId="13788" xr:uid="{00000000-0005-0000-0000-0000B08A0000}"/>
    <cellStyle name="Normal 6 3 2 5 2 2 3 2" xfId="37269" xr:uid="{00000000-0005-0000-0000-0000B18A0000}"/>
    <cellStyle name="Normal 6 3 2 5 2 2 4" xfId="37266" xr:uid="{00000000-0005-0000-0000-0000B28A0000}"/>
    <cellStyle name="Normal 6 3 2 5 2 3" xfId="13789" xr:uid="{00000000-0005-0000-0000-0000B38A0000}"/>
    <cellStyle name="Normal 6 3 2 5 2 3 2" xfId="13790" xr:uid="{00000000-0005-0000-0000-0000B48A0000}"/>
    <cellStyle name="Normal 6 3 2 5 2 3 2 2" xfId="37271" xr:uid="{00000000-0005-0000-0000-0000B58A0000}"/>
    <cellStyle name="Normal 6 3 2 5 2 3 3" xfId="37270" xr:uid="{00000000-0005-0000-0000-0000B68A0000}"/>
    <cellStyle name="Normal 6 3 2 5 2 4" xfId="13791" xr:uid="{00000000-0005-0000-0000-0000B78A0000}"/>
    <cellStyle name="Normal 6 3 2 5 2 4 2" xfId="37272" xr:uid="{00000000-0005-0000-0000-0000B88A0000}"/>
    <cellStyle name="Normal 6 3 2 5 2 5" xfId="37265" xr:uid="{00000000-0005-0000-0000-0000B98A0000}"/>
    <cellStyle name="Normal 6 3 2 5 3" xfId="13792" xr:uid="{00000000-0005-0000-0000-0000BA8A0000}"/>
    <cellStyle name="Normal 6 3 2 5 3 2" xfId="13793" xr:uid="{00000000-0005-0000-0000-0000BB8A0000}"/>
    <cellStyle name="Normal 6 3 2 5 3 2 2" xfId="13794" xr:uid="{00000000-0005-0000-0000-0000BC8A0000}"/>
    <cellStyle name="Normal 6 3 2 5 3 2 2 2" xfId="13795" xr:uid="{00000000-0005-0000-0000-0000BD8A0000}"/>
    <cellStyle name="Normal 6 3 2 5 3 2 2 2 2" xfId="37276" xr:uid="{00000000-0005-0000-0000-0000BE8A0000}"/>
    <cellStyle name="Normal 6 3 2 5 3 2 2 3" xfId="37275" xr:uid="{00000000-0005-0000-0000-0000BF8A0000}"/>
    <cellStyle name="Normal 6 3 2 5 3 2 3" xfId="13796" xr:uid="{00000000-0005-0000-0000-0000C08A0000}"/>
    <cellStyle name="Normal 6 3 2 5 3 2 3 2" xfId="37277" xr:uid="{00000000-0005-0000-0000-0000C18A0000}"/>
    <cellStyle name="Normal 6 3 2 5 3 2 4" xfId="37274" xr:uid="{00000000-0005-0000-0000-0000C28A0000}"/>
    <cellStyle name="Normal 6 3 2 5 3 3" xfId="13797" xr:uid="{00000000-0005-0000-0000-0000C38A0000}"/>
    <cellStyle name="Normal 6 3 2 5 3 3 2" xfId="13798" xr:uid="{00000000-0005-0000-0000-0000C48A0000}"/>
    <cellStyle name="Normal 6 3 2 5 3 3 2 2" xfId="37279" xr:uid="{00000000-0005-0000-0000-0000C58A0000}"/>
    <cellStyle name="Normal 6 3 2 5 3 3 3" xfId="37278" xr:uid="{00000000-0005-0000-0000-0000C68A0000}"/>
    <cellStyle name="Normal 6 3 2 5 3 4" xfId="13799" xr:uid="{00000000-0005-0000-0000-0000C78A0000}"/>
    <cellStyle name="Normal 6 3 2 5 3 4 2" xfId="37280" xr:uid="{00000000-0005-0000-0000-0000C88A0000}"/>
    <cellStyle name="Normal 6 3 2 5 3 5" xfId="37273" xr:uid="{00000000-0005-0000-0000-0000C98A0000}"/>
    <cellStyle name="Normal 6 3 2 5 4" xfId="13800" xr:uid="{00000000-0005-0000-0000-0000CA8A0000}"/>
    <cellStyle name="Normal 6 3 2 5 4 2" xfId="13801" xr:uid="{00000000-0005-0000-0000-0000CB8A0000}"/>
    <cellStyle name="Normal 6 3 2 5 4 2 2" xfId="13802" xr:uid="{00000000-0005-0000-0000-0000CC8A0000}"/>
    <cellStyle name="Normal 6 3 2 5 4 2 2 2" xfId="37283" xr:uid="{00000000-0005-0000-0000-0000CD8A0000}"/>
    <cellStyle name="Normal 6 3 2 5 4 2 3" xfId="37282" xr:uid="{00000000-0005-0000-0000-0000CE8A0000}"/>
    <cellStyle name="Normal 6 3 2 5 4 3" xfId="13803" xr:uid="{00000000-0005-0000-0000-0000CF8A0000}"/>
    <cellStyle name="Normal 6 3 2 5 4 3 2" xfId="37284" xr:uid="{00000000-0005-0000-0000-0000D08A0000}"/>
    <cellStyle name="Normal 6 3 2 5 4 4" xfId="37281" xr:uid="{00000000-0005-0000-0000-0000D18A0000}"/>
    <cellStyle name="Normal 6 3 2 5 5" xfId="13804" xr:uid="{00000000-0005-0000-0000-0000D28A0000}"/>
    <cellStyle name="Normal 6 3 2 5 5 2" xfId="13805" xr:uid="{00000000-0005-0000-0000-0000D38A0000}"/>
    <cellStyle name="Normal 6 3 2 5 5 2 2" xfId="37286" xr:uid="{00000000-0005-0000-0000-0000D48A0000}"/>
    <cellStyle name="Normal 6 3 2 5 5 3" xfId="37285" xr:uid="{00000000-0005-0000-0000-0000D58A0000}"/>
    <cellStyle name="Normal 6 3 2 5 6" xfId="13806" xr:uid="{00000000-0005-0000-0000-0000D68A0000}"/>
    <cellStyle name="Normal 6 3 2 5 6 2" xfId="37287" xr:uid="{00000000-0005-0000-0000-0000D78A0000}"/>
    <cellStyle name="Normal 6 3 2 5 7" xfId="37264" xr:uid="{00000000-0005-0000-0000-0000D88A0000}"/>
    <cellStyle name="Normal 6 3 2 6" xfId="13807" xr:uid="{00000000-0005-0000-0000-0000D98A0000}"/>
    <cellStyle name="Normal 6 3 2 6 2" xfId="13808" xr:uid="{00000000-0005-0000-0000-0000DA8A0000}"/>
    <cellStyle name="Normal 6 3 2 6 2 2" xfId="13809" xr:uid="{00000000-0005-0000-0000-0000DB8A0000}"/>
    <cellStyle name="Normal 6 3 2 6 2 2 2" xfId="13810" xr:uid="{00000000-0005-0000-0000-0000DC8A0000}"/>
    <cellStyle name="Normal 6 3 2 6 2 2 2 2" xfId="13811" xr:uid="{00000000-0005-0000-0000-0000DD8A0000}"/>
    <cellStyle name="Normal 6 3 2 6 2 2 2 2 2" xfId="37292" xr:uid="{00000000-0005-0000-0000-0000DE8A0000}"/>
    <cellStyle name="Normal 6 3 2 6 2 2 2 3" xfId="37291" xr:uid="{00000000-0005-0000-0000-0000DF8A0000}"/>
    <cellStyle name="Normal 6 3 2 6 2 2 3" xfId="13812" xr:uid="{00000000-0005-0000-0000-0000E08A0000}"/>
    <cellStyle name="Normal 6 3 2 6 2 2 3 2" xfId="37293" xr:uid="{00000000-0005-0000-0000-0000E18A0000}"/>
    <cellStyle name="Normal 6 3 2 6 2 2 4" xfId="37290" xr:uid="{00000000-0005-0000-0000-0000E28A0000}"/>
    <cellStyle name="Normal 6 3 2 6 2 3" xfId="13813" xr:uid="{00000000-0005-0000-0000-0000E38A0000}"/>
    <cellStyle name="Normal 6 3 2 6 2 3 2" xfId="13814" xr:uid="{00000000-0005-0000-0000-0000E48A0000}"/>
    <cellStyle name="Normal 6 3 2 6 2 3 2 2" xfId="37295" xr:uid="{00000000-0005-0000-0000-0000E58A0000}"/>
    <cellStyle name="Normal 6 3 2 6 2 3 3" xfId="37294" xr:uid="{00000000-0005-0000-0000-0000E68A0000}"/>
    <cellStyle name="Normal 6 3 2 6 2 4" xfId="13815" xr:uid="{00000000-0005-0000-0000-0000E78A0000}"/>
    <cellStyle name="Normal 6 3 2 6 2 4 2" xfId="37296" xr:uid="{00000000-0005-0000-0000-0000E88A0000}"/>
    <cellStyle name="Normal 6 3 2 6 2 5" xfId="37289" xr:uid="{00000000-0005-0000-0000-0000E98A0000}"/>
    <cellStyle name="Normal 6 3 2 6 3" xfId="13816" xr:uid="{00000000-0005-0000-0000-0000EA8A0000}"/>
    <cellStyle name="Normal 6 3 2 6 3 2" xfId="13817" xr:uid="{00000000-0005-0000-0000-0000EB8A0000}"/>
    <cellStyle name="Normal 6 3 2 6 3 2 2" xfId="13818" xr:uid="{00000000-0005-0000-0000-0000EC8A0000}"/>
    <cellStyle name="Normal 6 3 2 6 3 2 2 2" xfId="13819" xr:uid="{00000000-0005-0000-0000-0000ED8A0000}"/>
    <cellStyle name="Normal 6 3 2 6 3 2 2 2 2" xfId="37300" xr:uid="{00000000-0005-0000-0000-0000EE8A0000}"/>
    <cellStyle name="Normal 6 3 2 6 3 2 2 3" xfId="37299" xr:uid="{00000000-0005-0000-0000-0000EF8A0000}"/>
    <cellStyle name="Normal 6 3 2 6 3 2 3" xfId="13820" xr:uid="{00000000-0005-0000-0000-0000F08A0000}"/>
    <cellStyle name="Normal 6 3 2 6 3 2 3 2" xfId="37301" xr:uid="{00000000-0005-0000-0000-0000F18A0000}"/>
    <cellStyle name="Normal 6 3 2 6 3 2 4" xfId="37298" xr:uid="{00000000-0005-0000-0000-0000F28A0000}"/>
    <cellStyle name="Normal 6 3 2 6 3 3" xfId="13821" xr:uid="{00000000-0005-0000-0000-0000F38A0000}"/>
    <cellStyle name="Normal 6 3 2 6 3 3 2" xfId="13822" xr:uid="{00000000-0005-0000-0000-0000F48A0000}"/>
    <cellStyle name="Normal 6 3 2 6 3 3 2 2" xfId="37303" xr:uid="{00000000-0005-0000-0000-0000F58A0000}"/>
    <cellStyle name="Normal 6 3 2 6 3 3 3" xfId="37302" xr:uid="{00000000-0005-0000-0000-0000F68A0000}"/>
    <cellStyle name="Normal 6 3 2 6 3 4" xfId="13823" xr:uid="{00000000-0005-0000-0000-0000F78A0000}"/>
    <cellStyle name="Normal 6 3 2 6 3 4 2" xfId="37304" xr:uid="{00000000-0005-0000-0000-0000F88A0000}"/>
    <cellStyle name="Normal 6 3 2 6 3 5" xfId="37297" xr:uid="{00000000-0005-0000-0000-0000F98A0000}"/>
    <cellStyle name="Normal 6 3 2 6 4" xfId="13824" xr:uid="{00000000-0005-0000-0000-0000FA8A0000}"/>
    <cellStyle name="Normal 6 3 2 6 4 2" xfId="13825" xr:uid="{00000000-0005-0000-0000-0000FB8A0000}"/>
    <cellStyle name="Normal 6 3 2 6 4 2 2" xfId="13826" xr:uid="{00000000-0005-0000-0000-0000FC8A0000}"/>
    <cellStyle name="Normal 6 3 2 6 4 2 2 2" xfId="37307" xr:uid="{00000000-0005-0000-0000-0000FD8A0000}"/>
    <cellStyle name="Normal 6 3 2 6 4 2 3" xfId="37306" xr:uid="{00000000-0005-0000-0000-0000FE8A0000}"/>
    <cellStyle name="Normal 6 3 2 6 4 3" xfId="13827" xr:uid="{00000000-0005-0000-0000-0000FF8A0000}"/>
    <cellStyle name="Normal 6 3 2 6 4 3 2" xfId="37308" xr:uid="{00000000-0005-0000-0000-0000008B0000}"/>
    <cellStyle name="Normal 6 3 2 6 4 4" xfId="37305" xr:uid="{00000000-0005-0000-0000-0000018B0000}"/>
    <cellStyle name="Normal 6 3 2 6 5" xfId="13828" xr:uid="{00000000-0005-0000-0000-0000028B0000}"/>
    <cellStyle name="Normal 6 3 2 6 5 2" xfId="13829" xr:uid="{00000000-0005-0000-0000-0000038B0000}"/>
    <cellStyle name="Normal 6 3 2 6 5 2 2" xfId="37310" xr:uid="{00000000-0005-0000-0000-0000048B0000}"/>
    <cellStyle name="Normal 6 3 2 6 5 3" xfId="37309" xr:uid="{00000000-0005-0000-0000-0000058B0000}"/>
    <cellStyle name="Normal 6 3 2 6 6" xfId="13830" xr:uid="{00000000-0005-0000-0000-0000068B0000}"/>
    <cellStyle name="Normal 6 3 2 6 6 2" xfId="37311" xr:uid="{00000000-0005-0000-0000-0000078B0000}"/>
    <cellStyle name="Normal 6 3 2 6 7" xfId="37288" xr:uid="{00000000-0005-0000-0000-0000088B0000}"/>
    <cellStyle name="Normal 6 3 2 7" xfId="13831" xr:uid="{00000000-0005-0000-0000-0000098B0000}"/>
    <cellStyle name="Normal 6 3 2 7 2" xfId="13832" xr:uid="{00000000-0005-0000-0000-00000A8B0000}"/>
    <cellStyle name="Normal 6 3 2 7 2 2" xfId="13833" xr:uid="{00000000-0005-0000-0000-00000B8B0000}"/>
    <cellStyle name="Normal 6 3 2 7 2 2 2" xfId="13834" xr:uid="{00000000-0005-0000-0000-00000C8B0000}"/>
    <cellStyle name="Normal 6 3 2 7 2 2 2 2" xfId="13835" xr:uid="{00000000-0005-0000-0000-00000D8B0000}"/>
    <cellStyle name="Normal 6 3 2 7 2 2 2 2 2" xfId="37316" xr:uid="{00000000-0005-0000-0000-00000E8B0000}"/>
    <cellStyle name="Normal 6 3 2 7 2 2 2 3" xfId="37315" xr:uid="{00000000-0005-0000-0000-00000F8B0000}"/>
    <cellStyle name="Normal 6 3 2 7 2 2 3" xfId="13836" xr:uid="{00000000-0005-0000-0000-0000108B0000}"/>
    <cellStyle name="Normal 6 3 2 7 2 2 3 2" xfId="37317" xr:uid="{00000000-0005-0000-0000-0000118B0000}"/>
    <cellStyle name="Normal 6 3 2 7 2 2 4" xfId="37314" xr:uid="{00000000-0005-0000-0000-0000128B0000}"/>
    <cellStyle name="Normal 6 3 2 7 2 3" xfId="13837" xr:uid="{00000000-0005-0000-0000-0000138B0000}"/>
    <cellStyle name="Normal 6 3 2 7 2 3 2" xfId="13838" xr:uid="{00000000-0005-0000-0000-0000148B0000}"/>
    <cellStyle name="Normal 6 3 2 7 2 3 2 2" xfId="37319" xr:uid="{00000000-0005-0000-0000-0000158B0000}"/>
    <cellStyle name="Normal 6 3 2 7 2 3 3" xfId="37318" xr:uid="{00000000-0005-0000-0000-0000168B0000}"/>
    <cellStyle name="Normal 6 3 2 7 2 4" xfId="13839" xr:uid="{00000000-0005-0000-0000-0000178B0000}"/>
    <cellStyle name="Normal 6 3 2 7 2 4 2" xfId="37320" xr:uid="{00000000-0005-0000-0000-0000188B0000}"/>
    <cellStyle name="Normal 6 3 2 7 2 5" xfId="37313" xr:uid="{00000000-0005-0000-0000-0000198B0000}"/>
    <cellStyle name="Normal 6 3 2 7 3" xfId="13840" xr:uid="{00000000-0005-0000-0000-00001A8B0000}"/>
    <cellStyle name="Normal 6 3 2 7 3 2" xfId="13841" xr:uid="{00000000-0005-0000-0000-00001B8B0000}"/>
    <cellStyle name="Normal 6 3 2 7 3 2 2" xfId="13842" xr:uid="{00000000-0005-0000-0000-00001C8B0000}"/>
    <cellStyle name="Normal 6 3 2 7 3 2 2 2" xfId="13843" xr:uid="{00000000-0005-0000-0000-00001D8B0000}"/>
    <cellStyle name="Normal 6 3 2 7 3 2 2 2 2" xfId="37324" xr:uid="{00000000-0005-0000-0000-00001E8B0000}"/>
    <cellStyle name="Normal 6 3 2 7 3 2 2 3" xfId="37323" xr:uid="{00000000-0005-0000-0000-00001F8B0000}"/>
    <cellStyle name="Normal 6 3 2 7 3 2 3" xfId="13844" xr:uid="{00000000-0005-0000-0000-0000208B0000}"/>
    <cellStyle name="Normal 6 3 2 7 3 2 3 2" xfId="37325" xr:uid="{00000000-0005-0000-0000-0000218B0000}"/>
    <cellStyle name="Normal 6 3 2 7 3 2 4" xfId="37322" xr:uid="{00000000-0005-0000-0000-0000228B0000}"/>
    <cellStyle name="Normal 6 3 2 7 3 3" xfId="13845" xr:uid="{00000000-0005-0000-0000-0000238B0000}"/>
    <cellStyle name="Normal 6 3 2 7 3 3 2" xfId="13846" xr:uid="{00000000-0005-0000-0000-0000248B0000}"/>
    <cellStyle name="Normal 6 3 2 7 3 3 2 2" xfId="37327" xr:uid="{00000000-0005-0000-0000-0000258B0000}"/>
    <cellStyle name="Normal 6 3 2 7 3 3 3" xfId="37326" xr:uid="{00000000-0005-0000-0000-0000268B0000}"/>
    <cellStyle name="Normal 6 3 2 7 3 4" xfId="13847" xr:uid="{00000000-0005-0000-0000-0000278B0000}"/>
    <cellStyle name="Normal 6 3 2 7 3 4 2" xfId="37328" xr:uid="{00000000-0005-0000-0000-0000288B0000}"/>
    <cellStyle name="Normal 6 3 2 7 3 5" xfId="37321" xr:uid="{00000000-0005-0000-0000-0000298B0000}"/>
    <cellStyle name="Normal 6 3 2 7 4" xfId="13848" xr:uid="{00000000-0005-0000-0000-00002A8B0000}"/>
    <cellStyle name="Normal 6 3 2 7 4 2" xfId="13849" xr:uid="{00000000-0005-0000-0000-00002B8B0000}"/>
    <cellStyle name="Normal 6 3 2 7 4 2 2" xfId="13850" xr:uid="{00000000-0005-0000-0000-00002C8B0000}"/>
    <cellStyle name="Normal 6 3 2 7 4 2 2 2" xfId="37331" xr:uid="{00000000-0005-0000-0000-00002D8B0000}"/>
    <cellStyle name="Normal 6 3 2 7 4 2 3" xfId="37330" xr:uid="{00000000-0005-0000-0000-00002E8B0000}"/>
    <cellStyle name="Normal 6 3 2 7 4 3" xfId="13851" xr:uid="{00000000-0005-0000-0000-00002F8B0000}"/>
    <cellStyle name="Normal 6 3 2 7 4 3 2" xfId="37332" xr:uid="{00000000-0005-0000-0000-0000308B0000}"/>
    <cellStyle name="Normal 6 3 2 7 4 4" xfId="37329" xr:uid="{00000000-0005-0000-0000-0000318B0000}"/>
    <cellStyle name="Normal 6 3 2 7 5" xfId="13852" xr:uid="{00000000-0005-0000-0000-0000328B0000}"/>
    <cellStyle name="Normal 6 3 2 7 5 2" xfId="13853" xr:uid="{00000000-0005-0000-0000-0000338B0000}"/>
    <cellStyle name="Normal 6 3 2 7 5 2 2" xfId="37334" xr:uid="{00000000-0005-0000-0000-0000348B0000}"/>
    <cellStyle name="Normal 6 3 2 7 5 3" xfId="37333" xr:uid="{00000000-0005-0000-0000-0000358B0000}"/>
    <cellStyle name="Normal 6 3 2 7 6" xfId="13854" xr:uid="{00000000-0005-0000-0000-0000368B0000}"/>
    <cellStyle name="Normal 6 3 2 7 6 2" xfId="37335" xr:uid="{00000000-0005-0000-0000-0000378B0000}"/>
    <cellStyle name="Normal 6 3 2 7 7" xfId="37312" xr:uid="{00000000-0005-0000-0000-0000388B0000}"/>
    <cellStyle name="Normal 6 3 2 8" xfId="13855" xr:uid="{00000000-0005-0000-0000-0000398B0000}"/>
    <cellStyle name="Normal 6 3 2 8 2" xfId="13856" xr:uid="{00000000-0005-0000-0000-00003A8B0000}"/>
    <cellStyle name="Normal 6 3 2 8 2 2" xfId="13857" xr:uid="{00000000-0005-0000-0000-00003B8B0000}"/>
    <cellStyle name="Normal 6 3 2 8 2 2 2" xfId="13858" xr:uid="{00000000-0005-0000-0000-00003C8B0000}"/>
    <cellStyle name="Normal 6 3 2 8 2 2 2 2" xfId="13859" xr:uid="{00000000-0005-0000-0000-00003D8B0000}"/>
    <cellStyle name="Normal 6 3 2 8 2 2 2 2 2" xfId="37340" xr:uid="{00000000-0005-0000-0000-00003E8B0000}"/>
    <cellStyle name="Normal 6 3 2 8 2 2 2 3" xfId="37339" xr:uid="{00000000-0005-0000-0000-00003F8B0000}"/>
    <cellStyle name="Normal 6 3 2 8 2 2 3" xfId="13860" xr:uid="{00000000-0005-0000-0000-0000408B0000}"/>
    <cellStyle name="Normal 6 3 2 8 2 2 3 2" xfId="37341" xr:uid="{00000000-0005-0000-0000-0000418B0000}"/>
    <cellStyle name="Normal 6 3 2 8 2 2 4" xfId="37338" xr:uid="{00000000-0005-0000-0000-0000428B0000}"/>
    <cellStyle name="Normal 6 3 2 8 2 3" xfId="13861" xr:uid="{00000000-0005-0000-0000-0000438B0000}"/>
    <cellStyle name="Normal 6 3 2 8 2 3 2" xfId="13862" xr:uid="{00000000-0005-0000-0000-0000448B0000}"/>
    <cellStyle name="Normal 6 3 2 8 2 3 2 2" xfId="37343" xr:uid="{00000000-0005-0000-0000-0000458B0000}"/>
    <cellStyle name="Normal 6 3 2 8 2 3 3" xfId="37342" xr:uid="{00000000-0005-0000-0000-0000468B0000}"/>
    <cellStyle name="Normal 6 3 2 8 2 4" xfId="13863" xr:uid="{00000000-0005-0000-0000-0000478B0000}"/>
    <cellStyle name="Normal 6 3 2 8 2 4 2" xfId="37344" xr:uid="{00000000-0005-0000-0000-0000488B0000}"/>
    <cellStyle name="Normal 6 3 2 8 2 5" xfId="37337" xr:uid="{00000000-0005-0000-0000-0000498B0000}"/>
    <cellStyle name="Normal 6 3 2 8 3" xfId="13864" xr:uid="{00000000-0005-0000-0000-00004A8B0000}"/>
    <cellStyle name="Normal 6 3 2 8 3 2" xfId="13865" xr:uid="{00000000-0005-0000-0000-00004B8B0000}"/>
    <cellStyle name="Normal 6 3 2 8 3 2 2" xfId="13866" xr:uid="{00000000-0005-0000-0000-00004C8B0000}"/>
    <cellStyle name="Normal 6 3 2 8 3 2 2 2" xfId="13867" xr:uid="{00000000-0005-0000-0000-00004D8B0000}"/>
    <cellStyle name="Normal 6 3 2 8 3 2 2 2 2" xfId="37348" xr:uid="{00000000-0005-0000-0000-00004E8B0000}"/>
    <cellStyle name="Normal 6 3 2 8 3 2 2 3" xfId="37347" xr:uid="{00000000-0005-0000-0000-00004F8B0000}"/>
    <cellStyle name="Normal 6 3 2 8 3 2 3" xfId="13868" xr:uid="{00000000-0005-0000-0000-0000508B0000}"/>
    <cellStyle name="Normal 6 3 2 8 3 2 3 2" xfId="37349" xr:uid="{00000000-0005-0000-0000-0000518B0000}"/>
    <cellStyle name="Normal 6 3 2 8 3 2 4" xfId="37346" xr:uid="{00000000-0005-0000-0000-0000528B0000}"/>
    <cellStyle name="Normal 6 3 2 8 3 3" xfId="13869" xr:uid="{00000000-0005-0000-0000-0000538B0000}"/>
    <cellStyle name="Normal 6 3 2 8 3 3 2" xfId="13870" xr:uid="{00000000-0005-0000-0000-0000548B0000}"/>
    <cellStyle name="Normal 6 3 2 8 3 3 2 2" xfId="37351" xr:uid="{00000000-0005-0000-0000-0000558B0000}"/>
    <cellStyle name="Normal 6 3 2 8 3 3 3" xfId="37350" xr:uid="{00000000-0005-0000-0000-0000568B0000}"/>
    <cellStyle name="Normal 6 3 2 8 3 4" xfId="13871" xr:uid="{00000000-0005-0000-0000-0000578B0000}"/>
    <cellStyle name="Normal 6 3 2 8 3 4 2" xfId="37352" xr:uid="{00000000-0005-0000-0000-0000588B0000}"/>
    <cellStyle name="Normal 6 3 2 8 3 5" xfId="37345" xr:uid="{00000000-0005-0000-0000-0000598B0000}"/>
    <cellStyle name="Normal 6 3 2 8 4" xfId="13872" xr:uid="{00000000-0005-0000-0000-00005A8B0000}"/>
    <cellStyle name="Normal 6 3 2 8 4 2" xfId="13873" xr:uid="{00000000-0005-0000-0000-00005B8B0000}"/>
    <cellStyle name="Normal 6 3 2 8 4 2 2" xfId="13874" xr:uid="{00000000-0005-0000-0000-00005C8B0000}"/>
    <cellStyle name="Normal 6 3 2 8 4 2 2 2" xfId="37355" xr:uid="{00000000-0005-0000-0000-00005D8B0000}"/>
    <cellStyle name="Normal 6 3 2 8 4 2 3" xfId="37354" xr:uid="{00000000-0005-0000-0000-00005E8B0000}"/>
    <cellStyle name="Normal 6 3 2 8 4 3" xfId="13875" xr:uid="{00000000-0005-0000-0000-00005F8B0000}"/>
    <cellStyle name="Normal 6 3 2 8 4 3 2" xfId="37356" xr:uid="{00000000-0005-0000-0000-0000608B0000}"/>
    <cellStyle name="Normal 6 3 2 8 4 4" xfId="37353" xr:uid="{00000000-0005-0000-0000-0000618B0000}"/>
    <cellStyle name="Normal 6 3 2 8 5" xfId="13876" xr:uid="{00000000-0005-0000-0000-0000628B0000}"/>
    <cellStyle name="Normal 6 3 2 8 5 2" xfId="13877" xr:uid="{00000000-0005-0000-0000-0000638B0000}"/>
    <cellStyle name="Normal 6 3 2 8 5 2 2" xfId="37358" xr:uid="{00000000-0005-0000-0000-0000648B0000}"/>
    <cellStyle name="Normal 6 3 2 8 5 3" xfId="37357" xr:uid="{00000000-0005-0000-0000-0000658B0000}"/>
    <cellStyle name="Normal 6 3 2 8 6" xfId="13878" xr:uid="{00000000-0005-0000-0000-0000668B0000}"/>
    <cellStyle name="Normal 6 3 2 8 6 2" xfId="37359" xr:uid="{00000000-0005-0000-0000-0000678B0000}"/>
    <cellStyle name="Normal 6 3 2 8 7" xfId="37336" xr:uid="{00000000-0005-0000-0000-0000688B0000}"/>
    <cellStyle name="Normal 6 3 2 9" xfId="13879" xr:uid="{00000000-0005-0000-0000-0000698B0000}"/>
    <cellStyle name="Normal 6 3 2 9 2" xfId="13880" xr:uid="{00000000-0005-0000-0000-00006A8B0000}"/>
    <cellStyle name="Normal 6 3 2 9 2 2" xfId="13881" xr:uid="{00000000-0005-0000-0000-00006B8B0000}"/>
    <cellStyle name="Normal 6 3 2 9 2 2 2" xfId="13882" xr:uid="{00000000-0005-0000-0000-00006C8B0000}"/>
    <cellStyle name="Normal 6 3 2 9 2 2 2 2" xfId="37363" xr:uid="{00000000-0005-0000-0000-00006D8B0000}"/>
    <cellStyle name="Normal 6 3 2 9 2 2 3" xfId="37362" xr:uid="{00000000-0005-0000-0000-00006E8B0000}"/>
    <cellStyle name="Normal 6 3 2 9 2 3" xfId="13883" xr:uid="{00000000-0005-0000-0000-00006F8B0000}"/>
    <cellStyle name="Normal 6 3 2 9 2 3 2" xfId="37364" xr:uid="{00000000-0005-0000-0000-0000708B0000}"/>
    <cellStyle name="Normal 6 3 2 9 2 4" xfId="37361" xr:uid="{00000000-0005-0000-0000-0000718B0000}"/>
    <cellStyle name="Normal 6 3 2 9 3" xfId="13884" xr:uid="{00000000-0005-0000-0000-0000728B0000}"/>
    <cellStyle name="Normal 6 3 2 9 3 2" xfId="13885" xr:uid="{00000000-0005-0000-0000-0000738B0000}"/>
    <cellStyle name="Normal 6 3 2 9 3 2 2" xfId="37366" xr:uid="{00000000-0005-0000-0000-0000748B0000}"/>
    <cellStyle name="Normal 6 3 2 9 3 3" xfId="37365" xr:uid="{00000000-0005-0000-0000-0000758B0000}"/>
    <cellStyle name="Normal 6 3 2 9 4" xfId="13886" xr:uid="{00000000-0005-0000-0000-0000768B0000}"/>
    <cellStyle name="Normal 6 3 2 9 4 2" xfId="37367" xr:uid="{00000000-0005-0000-0000-0000778B0000}"/>
    <cellStyle name="Normal 6 3 2 9 5" xfId="37360" xr:uid="{00000000-0005-0000-0000-0000788B0000}"/>
    <cellStyle name="Normal 6 3 3" xfId="13887" xr:uid="{00000000-0005-0000-0000-0000798B0000}"/>
    <cellStyle name="Normal 6 3 3 10" xfId="13888" xr:uid="{00000000-0005-0000-0000-00007A8B0000}"/>
    <cellStyle name="Normal 6 3 3 10 2" xfId="37369" xr:uid="{00000000-0005-0000-0000-00007B8B0000}"/>
    <cellStyle name="Normal 6 3 3 11" xfId="37368" xr:uid="{00000000-0005-0000-0000-00007C8B0000}"/>
    <cellStyle name="Normal 6 3 3 2" xfId="13889" xr:uid="{00000000-0005-0000-0000-00007D8B0000}"/>
    <cellStyle name="Normal 6 3 3 2 2" xfId="13890" xr:uid="{00000000-0005-0000-0000-00007E8B0000}"/>
    <cellStyle name="Normal 6 3 3 2 2 2" xfId="13891" xr:uid="{00000000-0005-0000-0000-00007F8B0000}"/>
    <cellStyle name="Normal 6 3 3 2 2 2 2" xfId="13892" xr:uid="{00000000-0005-0000-0000-0000808B0000}"/>
    <cellStyle name="Normal 6 3 3 2 2 2 2 2" xfId="13893" xr:uid="{00000000-0005-0000-0000-0000818B0000}"/>
    <cellStyle name="Normal 6 3 3 2 2 2 2 2 2" xfId="37374" xr:uid="{00000000-0005-0000-0000-0000828B0000}"/>
    <cellStyle name="Normal 6 3 3 2 2 2 2 3" xfId="37373" xr:uid="{00000000-0005-0000-0000-0000838B0000}"/>
    <cellStyle name="Normal 6 3 3 2 2 2 3" xfId="13894" xr:uid="{00000000-0005-0000-0000-0000848B0000}"/>
    <cellStyle name="Normal 6 3 3 2 2 2 3 2" xfId="37375" xr:uid="{00000000-0005-0000-0000-0000858B0000}"/>
    <cellStyle name="Normal 6 3 3 2 2 2 4" xfId="37372" xr:uid="{00000000-0005-0000-0000-0000868B0000}"/>
    <cellStyle name="Normal 6 3 3 2 2 3" xfId="13895" xr:uid="{00000000-0005-0000-0000-0000878B0000}"/>
    <cellStyle name="Normal 6 3 3 2 2 3 2" xfId="13896" xr:uid="{00000000-0005-0000-0000-0000888B0000}"/>
    <cellStyle name="Normal 6 3 3 2 2 3 2 2" xfId="37377" xr:uid="{00000000-0005-0000-0000-0000898B0000}"/>
    <cellStyle name="Normal 6 3 3 2 2 3 3" xfId="37376" xr:uid="{00000000-0005-0000-0000-00008A8B0000}"/>
    <cellStyle name="Normal 6 3 3 2 2 4" xfId="13897" xr:uid="{00000000-0005-0000-0000-00008B8B0000}"/>
    <cellStyle name="Normal 6 3 3 2 2 4 2" xfId="37378" xr:uid="{00000000-0005-0000-0000-00008C8B0000}"/>
    <cellStyle name="Normal 6 3 3 2 2 5" xfId="37371" xr:uid="{00000000-0005-0000-0000-00008D8B0000}"/>
    <cellStyle name="Normal 6 3 3 2 3" xfId="13898" xr:uid="{00000000-0005-0000-0000-00008E8B0000}"/>
    <cellStyle name="Normal 6 3 3 2 3 2" xfId="13899" xr:uid="{00000000-0005-0000-0000-00008F8B0000}"/>
    <cellStyle name="Normal 6 3 3 2 3 2 2" xfId="13900" xr:uid="{00000000-0005-0000-0000-0000908B0000}"/>
    <cellStyle name="Normal 6 3 3 2 3 2 2 2" xfId="13901" xr:uid="{00000000-0005-0000-0000-0000918B0000}"/>
    <cellStyle name="Normal 6 3 3 2 3 2 2 2 2" xfId="37382" xr:uid="{00000000-0005-0000-0000-0000928B0000}"/>
    <cellStyle name="Normal 6 3 3 2 3 2 2 3" xfId="37381" xr:uid="{00000000-0005-0000-0000-0000938B0000}"/>
    <cellStyle name="Normal 6 3 3 2 3 2 3" xfId="13902" xr:uid="{00000000-0005-0000-0000-0000948B0000}"/>
    <cellStyle name="Normal 6 3 3 2 3 2 3 2" xfId="37383" xr:uid="{00000000-0005-0000-0000-0000958B0000}"/>
    <cellStyle name="Normal 6 3 3 2 3 2 4" xfId="37380" xr:uid="{00000000-0005-0000-0000-0000968B0000}"/>
    <cellStyle name="Normal 6 3 3 2 3 3" xfId="13903" xr:uid="{00000000-0005-0000-0000-0000978B0000}"/>
    <cellStyle name="Normal 6 3 3 2 3 3 2" xfId="13904" xr:uid="{00000000-0005-0000-0000-0000988B0000}"/>
    <cellStyle name="Normal 6 3 3 2 3 3 2 2" xfId="37385" xr:uid="{00000000-0005-0000-0000-0000998B0000}"/>
    <cellStyle name="Normal 6 3 3 2 3 3 3" xfId="37384" xr:uid="{00000000-0005-0000-0000-00009A8B0000}"/>
    <cellStyle name="Normal 6 3 3 2 3 4" xfId="13905" xr:uid="{00000000-0005-0000-0000-00009B8B0000}"/>
    <cellStyle name="Normal 6 3 3 2 3 4 2" xfId="37386" xr:uid="{00000000-0005-0000-0000-00009C8B0000}"/>
    <cellStyle name="Normal 6 3 3 2 3 5" xfId="37379" xr:uid="{00000000-0005-0000-0000-00009D8B0000}"/>
    <cellStyle name="Normal 6 3 3 2 4" xfId="13906" xr:uid="{00000000-0005-0000-0000-00009E8B0000}"/>
    <cellStyle name="Normal 6 3 3 2 4 2" xfId="13907" xr:uid="{00000000-0005-0000-0000-00009F8B0000}"/>
    <cellStyle name="Normal 6 3 3 2 4 2 2" xfId="13908" xr:uid="{00000000-0005-0000-0000-0000A08B0000}"/>
    <cellStyle name="Normal 6 3 3 2 4 2 2 2" xfId="37389" xr:uid="{00000000-0005-0000-0000-0000A18B0000}"/>
    <cellStyle name="Normal 6 3 3 2 4 2 3" xfId="37388" xr:uid="{00000000-0005-0000-0000-0000A28B0000}"/>
    <cellStyle name="Normal 6 3 3 2 4 3" xfId="13909" xr:uid="{00000000-0005-0000-0000-0000A38B0000}"/>
    <cellStyle name="Normal 6 3 3 2 4 3 2" xfId="37390" xr:uid="{00000000-0005-0000-0000-0000A48B0000}"/>
    <cellStyle name="Normal 6 3 3 2 4 4" xfId="37387" xr:uid="{00000000-0005-0000-0000-0000A58B0000}"/>
    <cellStyle name="Normal 6 3 3 2 5" xfId="13910" xr:uid="{00000000-0005-0000-0000-0000A68B0000}"/>
    <cellStyle name="Normal 6 3 3 2 5 2" xfId="13911" xr:uid="{00000000-0005-0000-0000-0000A78B0000}"/>
    <cellStyle name="Normal 6 3 3 2 5 2 2" xfId="37392" xr:uid="{00000000-0005-0000-0000-0000A88B0000}"/>
    <cellStyle name="Normal 6 3 3 2 5 3" xfId="37391" xr:uid="{00000000-0005-0000-0000-0000A98B0000}"/>
    <cellStyle name="Normal 6 3 3 2 6" xfId="13912" xr:uid="{00000000-0005-0000-0000-0000AA8B0000}"/>
    <cellStyle name="Normal 6 3 3 2 6 2" xfId="37393" xr:uid="{00000000-0005-0000-0000-0000AB8B0000}"/>
    <cellStyle name="Normal 6 3 3 2 7" xfId="37370" xr:uid="{00000000-0005-0000-0000-0000AC8B0000}"/>
    <cellStyle name="Normal 6 3 3 3" xfId="13913" xr:uid="{00000000-0005-0000-0000-0000AD8B0000}"/>
    <cellStyle name="Normal 6 3 3 3 2" xfId="13914" xr:uid="{00000000-0005-0000-0000-0000AE8B0000}"/>
    <cellStyle name="Normal 6 3 3 3 2 2" xfId="13915" xr:uid="{00000000-0005-0000-0000-0000AF8B0000}"/>
    <cellStyle name="Normal 6 3 3 3 2 2 2" xfId="13916" xr:uid="{00000000-0005-0000-0000-0000B08B0000}"/>
    <cellStyle name="Normal 6 3 3 3 2 2 2 2" xfId="13917" xr:uid="{00000000-0005-0000-0000-0000B18B0000}"/>
    <cellStyle name="Normal 6 3 3 3 2 2 2 2 2" xfId="37398" xr:uid="{00000000-0005-0000-0000-0000B28B0000}"/>
    <cellStyle name="Normal 6 3 3 3 2 2 2 3" xfId="37397" xr:uid="{00000000-0005-0000-0000-0000B38B0000}"/>
    <cellStyle name="Normal 6 3 3 3 2 2 3" xfId="13918" xr:uid="{00000000-0005-0000-0000-0000B48B0000}"/>
    <cellStyle name="Normal 6 3 3 3 2 2 3 2" xfId="37399" xr:uid="{00000000-0005-0000-0000-0000B58B0000}"/>
    <cellStyle name="Normal 6 3 3 3 2 2 4" xfId="37396" xr:uid="{00000000-0005-0000-0000-0000B68B0000}"/>
    <cellStyle name="Normal 6 3 3 3 2 3" xfId="13919" xr:uid="{00000000-0005-0000-0000-0000B78B0000}"/>
    <cellStyle name="Normal 6 3 3 3 2 3 2" xfId="13920" xr:uid="{00000000-0005-0000-0000-0000B88B0000}"/>
    <cellStyle name="Normal 6 3 3 3 2 3 2 2" xfId="37401" xr:uid="{00000000-0005-0000-0000-0000B98B0000}"/>
    <cellStyle name="Normal 6 3 3 3 2 3 3" xfId="37400" xr:uid="{00000000-0005-0000-0000-0000BA8B0000}"/>
    <cellStyle name="Normal 6 3 3 3 2 4" xfId="13921" xr:uid="{00000000-0005-0000-0000-0000BB8B0000}"/>
    <cellStyle name="Normal 6 3 3 3 2 4 2" xfId="37402" xr:uid="{00000000-0005-0000-0000-0000BC8B0000}"/>
    <cellStyle name="Normal 6 3 3 3 2 5" xfId="37395" xr:uid="{00000000-0005-0000-0000-0000BD8B0000}"/>
    <cellStyle name="Normal 6 3 3 3 3" xfId="13922" xr:uid="{00000000-0005-0000-0000-0000BE8B0000}"/>
    <cellStyle name="Normal 6 3 3 3 3 2" xfId="13923" xr:uid="{00000000-0005-0000-0000-0000BF8B0000}"/>
    <cellStyle name="Normal 6 3 3 3 3 2 2" xfId="13924" xr:uid="{00000000-0005-0000-0000-0000C08B0000}"/>
    <cellStyle name="Normal 6 3 3 3 3 2 2 2" xfId="13925" xr:uid="{00000000-0005-0000-0000-0000C18B0000}"/>
    <cellStyle name="Normal 6 3 3 3 3 2 2 2 2" xfId="37406" xr:uid="{00000000-0005-0000-0000-0000C28B0000}"/>
    <cellStyle name="Normal 6 3 3 3 3 2 2 3" xfId="37405" xr:uid="{00000000-0005-0000-0000-0000C38B0000}"/>
    <cellStyle name="Normal 6 3 3 3 3 2 3" xfId="13926" xr:uid="{00000000-0005-0000-0000-0000C48B0000}"/>
    <cellStyle name="Normal 6 3 3 3 3 2 3 2" xfId="37407" xr:uid="{00000000-0005-0000-0000-0000C58B0000}"/>
    <cellStyle name="Normal 6 3 3 3 3 2 4" xfId="37404" xr:uid="{00000000-0005-0000-0000-0000C68B0000}"/>
    <cellStyle name="Normal 6 3 3 3 3 3" xfId="13927" xr:uid="{00000000-0005-0000-0000-0000C78B0000}"/>
    <cellStyle name="Normal 6 3 3 3 3 3 2" xfId="13928" xr:uid="{00000000-0005-0000-0000-0000C88B0000}"/>
    <cellStyle name="Normal 6 3 3 3 3 3 2 2" xfId="37409" xr:uid="{00000000-0005-0000-0000-0000C98B0000}"/>
    <cellStyle name="Normal 6 3 3 3 3 3 3" xfId="37408" xr:uid="{00000000-0005-0000-0000-0000CA8B0000}"/>
    <cellStyle name="Normal 6 3 3 3 3 4" xfId="13929" xr:uid="{00000000-0005-0000-0000-0000CB8B0000}"/>
    <cellStyle name="Normal 6 3 3 3 3 4 2" xfId="37410" xr:uid="{00000000-0005-0000-0000-0000CC8B0000}"/>
    <cellStyle name="Normal 6 3 3 3 3 5" xfId="37403" xr:uid="{00000000-0005-0000-0000-0000CD8B0000}"/>
    <cellStyle name="Normal 6 3 3 3 4" xfId="13930" xr:uid="{00000000-0005-0000-0000-0000CE8B0000}"/>
    <cellStyle name="Normal 6 3 3 3 4 2" xfId="13931" xr:uid="{00000000-0005-0000-0000-0000CF8B0000}"/>
    <cellStyle name="Normal 6 3 3 3 4 2 2" xfId="13932" xr:uid="{00000000-0005-0000-0000-0000D08B0000}"/>
    <cellStyle name="Normal 6 3 3 3 4 2 2 2" xfId="37413" xr:uid="{00000000-0005-0000-0000-0000D18B0000}"/>
    <cellStyle name="Normal 6 3 3 3 4 2 3" xfId="37412" xr:uid="{00000000-0005-0000-0000-0000D28B0000}"/>
    <cellStyle name="Normal 6 3 3 3 4 3" xfId="13933" xr:uid="{00000000-0005-0000-0000-0000D38B0000}"/>
    <cellStyle name="Normal 6 3 3 3 4 3 2" xfId="37414" xr:uid="{00000000-0005-0000-0000-0000D48B0000}"/>
    <cellStyle name="Normal 6 3 3 3 4 4" xfId="37411" xr:uid="{00000000-0005-0000-0000-0000D58B0000}"/>
    <cellStyle name="Normal 6 3 3 3 5" xfId="13934" xr:uid="{00000000-0005-0000-0000-0000D68B0000}"/>
    <cellStyle name="Normal 6 3 3 3 5 2" xfId="13935" xr:uid="{00000000-0005-0000-0000-0000D78B0000}"/>
    <cellStyle name="Normal 6 3 3 3 5 2 2" xfId="37416" xr:uid="{00000000-0005-0000-0000-0000D88B0000}"/>
    <cellStyle name="Normal 6 3 3 3 5 3" xfId="37415" xr:uid="{00000000-0005-0000-0000-0000D98B0000}"/>
    <cellStyle name="Normal 6 3 3 3 6" xfId="13936" xr:uid="{00000000-0005-0000-0000-0000DA8B0000}"/>
    <cellStyle name="Normal 6 3 3 3 6 2" xfId="37417" xr:uid="{00000000-0005-0000-0000-0000DB8B0000}"/>
    <cellStyle name="Normal 6 3 3 3 7" xfId="37394" xr:uid="{00000000-0005-0000-0000-0000DC8B0000}"/>
    <cellStyle name="Normal 6 3 3 4" xfId="13937" xr:uid="{00000000-0005-0000-0000-0000DD8B0000}"/>
    <cellStyle name="Normal 6 3 3 4 2" xfId="13938" xr:uid="{00000000-0005-0000-0000-0000DE8B0000}"/>
    <cellStyle name="Normal 6 3 3 4 2 2" xfId="13939" xr:uid="{00000000-0005-0000-0000-0000DF8B0000}"/>
    <cellStyle name="Normal 6 3 3 4 2 2 2" xfId="13940" xr:uid="{00000000-0005-0000-0000-0000E08B0000}"/>
    <cellStyle name="Normal 6 3 3 4 2 2 2 2" xfId="13941" xr:uid="{00000000-0005-0000-0000-0000E18B0000}"/>
    <cellStyle name="Normal 6 3 3 4 2 2 2 2 2" xfId="37422" xr:uid="{00000000-0005-0000-0000-0000E28B0000}"/>
    <cellStyle name="Normal 6 3 3 4 2 2 2 3" xfId="37421" xr:uid="{00000000-0005-0000-0000-0000E38B0000}"/>
    <cellStyle name="Normal 6 3 3 4 2 2 3" xfId="13942" xr:uid="{00000000-0005-0000-0000-0000E48B0000}"/>
    <cellStyle name="Normal 6 3 3 4 2 2 3 2" xfId="37423" xr:uid="{00000000-0005-0000-0000-0000E58B0000}"/>
    <cellStyle name="Normal 6 3 3 4 2 2 4" xfId="37420" xr:uid="{00000000-0005-0000-0000-0000E68B0000}"/>
    <cellStyle name="Normal 6 3 3 4 2 3" xfId="13943" xr:uid="{00000000-0005-0000-0000-0000E78B0000}"/>
    <cellStyle name="Normal 6 3 3 4 2 3 2" xfId="13944" xr:uid="{00000000-0005-0000-0000-0000E88B0000}"/>
    <cellStyle name="Normal 6 3 3 4 2 3 2 2" xfId="37425" xr:uid="{00000000-0005-0000-0000-0000E98B0000}"/>
    <cellStyle name="Normal 6 3 3 4 2 3 3" xfId="37424" xr:uid="{00000000-0005-0000-0000-0000EA8B0000}"/>
    <cellStyle name="Normal 6 3 3 4 2 4" xfId="13945" xr:uid="{00000000-0005-0000-0000-0000EB8B0000}"/>
    <cellStyle name="Normal 6 3 3 4 2 4 2" xfId="37426" xr:uid="{00000000-0005-0000-0000-0000EC8B0000}"/>
    <cellStyle name="Normal 6 3 3 4 2 5" xfId="37419" xr:uid="{00000000-0005-0000-0000-0000ED8B0000}"/>
    <cellStyle name="Normal 6 3 3 4 3" xfId="13946" xr:uid="{00000000-0005-0000-0000-0000EE8B0000}"/>
    <cellStyle name="Normal 6 3 3 4 3 2" xfId="13947" xr:uid="{00000000-0005-0000-0000-0000EF8B0000}"/>
    <cellStyle name="Normal 6 3 3 4 3 2 2" xfId="13948" xr:uid="{00000000-0005-0000-0000-0000F08B0000}"/>
    <cellStyle name="Normal 6 3 3 4 3 2 2 2" xfId="13949" xr:uid="{00000000-0005-0000-0000-0000F18B0000}"/>
    <cellStyle name="Normal 6 3 3 4 3 2 2 2 2" xfId="37430" xr:uid="{00000000-0005-0000-0000-0000F28B0000}"/>
    <cellStyle name="Normal 6 3 3 4 3 2 2 3" xfId="37429" xr:uid="{00000000-0005-0000-0000-0000F38B0000}"/>
    <cellStyle name="Normal 6 3 3 4 3 2 3" xfId="13950" xr:uid="{00000000-0005-0000-0000-0000F48B0000}"/>
    <cellStyle name="Normal 6 3 3 4 3 2 3 2" xfId="37431" xr:uid="{00000000-0005-0000-0000-0000F58B0000}"/>
    <cellStyle name="Normal 6 3 3 4 3 2 4" xfId="37428" xr:uid="{00000000-0005-0000-0000-0000F68B0000}"/>
    <cellStyle name="Normal 6 3 3 4 3 3" xfId="13951" xr:uid="{00000000-0005-0000-0000-0000F78B0000}"/>
    <cellStyle name="Normal 6 3 3 4 3 3 2" xfId="13952" xr:uid="{00000000-0005-0000-0000-0000F88B0000}"/>
    <cellStyle name="Normal 6 3 3 4 3 3 2 2" xfId="37433" xr:uid="{00000000-0005-0000-0000-0000F98B0000}"/>
    <cellStyle name="Normal 6 3 3 4 3 3 3" xfId="37432" xr:uid="{00000000-0005-0000-0000-0000FA8B0000}"/>
    <cellStyle name="Normal 6 3 3 4 3 4" xfId="13953" xr:uid="{00000000-0005-0000-0000-0000FB8B0000}"/>
    <cellStyle name="Normal 6 3 3 4 3 4 2" xfId="37434" xr:uid="{00000000-0005-0000-0000-0000FC8B0000}"/>
    <cellStyle name="Normal 6 3 3 4 3 5" xfId="37427" xr:uid="{00000000-0005-0000-0000-0000FD8B0000}"/>
    <cellStyle name="Normal 6 3 3 4 4" xfId="13954" xr:uid="{00000000-0005-0000-0000-0000FE8B0000}"/>
    <cellStyle name="Normal 6 3 3 4 4 2" xfId="13955" xr:uid="{00000000-0005-0000-0000-0000FF8B0000}"/>
    <cellStyle name="Normal 6 3 3 4 4 2 2" xfId="13956" xr:uid="{00000000-0005-0000-0000-0000008C0000}"/>
    <cellStyle name="Normal 6 3 3 4 4 2 2 2" xfId="37437" xr:uid="{00000000-0005-0000-0000-0000018C0000}"/>
    <cellStyle name="Normal 6 3 3 4 4 2 3" xfId="37436" xr:uid="{00000000-0005-0000-0000-0000028C0000}"/>
    <cellStyle name="Normal 6 3 3 4 4 3" xfId="13957" xr:uid="{00000000-0005-0000-0000-0000038C0000}"/>
    <cellStyle name="Normal 6 3 3 4 4 3 2" xfId="37438" xr:uid="{00000000-0005-0000-0000-0000048C0000}"/>
    <cellStyle name="Normal 6 3 3 4 4 4" xfId="37435" xr:uid="{00000000-0005-0000-0000-0000058C0000}"/>
    <cellStyle name="Normal 6 3 3 4 5" xfId="13958" xr:uid="{00000000-0005-0000-0000-0000068C0000}"/>
    <cellStyle name="Normal 6 3 3 4 5 2" xfId="13959" xr:uid="{00000000-0005-0000-0000-0000078C0000}"/>
    <cellStyle name="Normal 6 3 3 4 5 2 2" xfId="37440" xr:uid="{00000000-0005-0000-0000-0000088C0000}"/>
    <cellStyle name="Normal 6 3 3 4 5 3" xfId="37439" xr:uid="{00000000-0005-0000-0000-0000098C0000}"/>
    <cellStyle name="Normal 6 3 3 4 6" xfId="13960" xr:uid="{00000000-0005-0000-0000-00000A8C0000}"/>
    <cellStyle name="Normal 6 3 3 4 6 2" xfId="37441" xr:uid="{00000000-0005-0000-0000-00000B8C0000}"/>
    <cellStyle name="Normal 6 3 3 4 7" xfId="37418" xr:uid="{00000000-0005-0000-0000-00000C8C0000}"/>
    <cellStyle name="Normal 6 3 3 5" xfId="13961" xr:uid="{00000000-0005-0000-0000-00000D8C0000}"/>
    <cellStyle name="Normal 6 3 3 5 2" xfId="13962" xr:uid="{00000000-0005-0000-0000-00000E8C0000}"/>
    <cellStyle name="Normal 6 3 3 5 2 2" xfId="13963" xr:uid="{00000000-0005-0000-0000-00000F8C0000}"/>
    <cellStyle name="Normal 6 3 3 5 2 2 2" xfId="13964" xr:uid="{00000000-0005-0000-0000-0000108C0000}"/>
    <cellStyle name="Normal 6 3 3 5 2 2 2 2" xfId="13965" xr:uid="{00000000-0005-0000-0000-0000118C0000}"/>
    <cellStyle name="Normal 6 3 3 5 2 2 2 2 2" xfId="37446" xr:uid="{00000000-0005-0000-0000-0000128C0000}"/>
    <cellStyle name="Normal 6 3 3 5 2 2 2 3" xfId="37445" xr:uid="{00000000-0005-0000-0000-0000138C0000}"/>
    <cellStyle name="Normal 6 3 3 5 2 2 3" xfId="13966" xr:uid="{00000000-0005-0000-0000-0000148C0000}"/>
    <cellStyle name="Normal 6 3 3 5 2 2 3 2" xfId="37447" xr:uid="{00000000-0005-0000-0000-0000158C0000}"/>
    <cellStyle name="Normal 6 3 3 5 2 2 4" xfId="37444" xr:uid="{00000000-0005-0000-0000-0000168C0000}"/>
    <cellStyle name="Normal 6 3 3 5 2 3" xfId="13967" xr:uid="{00000000-0005-0000-0000-0000178C0000}"/>
    <cellStyle name="Normal 6 3 3 5 2 3 2" xfId="13968" xr:uid="{00000000-0005-0000-0000-0000188C0000}"/>
    <cellStyle name="Normal 6 3 3 5 2 3 2 2" xfId="37449" xr:uid="{00000000-0005-0000-0000-0000198C0000}"/>
    <cellStyle name="Normal 6 3 3 5 2 3 3" xfId="37448" xr:uid="{00000000-0005-0000-0000-00001A8C0000}"/>
    <cellStyle name="Normal 6 3 3 5 2 4" xfId="13969" xr:uid="{00000000-0005-0000-0000-00001B8C0000}"/>
    <cellStyle name="Normal 6 3 3 5 2 4 2" xfId="37450" xr:uid="{00000000-0005-0000-0000-00001C8C0000}"/>
    <cellStyle name="Normal 6 3 3 5 2 5" xfId="37443" xr:uid="{00000000-0005-0000-0000-00001D8C0000}"/>
    <cellStyle name="Normal 6 3 3 5 3" xfId="13970" xr:uid="{00000000-0005-0000-0000-00001E8C0000}"/>
    <cellStyle name="Normal 6 3 3 5 3 2" xfId="13971" xr:uid="{00000000-0005-0000-0000-00001F8C0000}"/>
    <cellStyle name="Normal 6 3 3 5 3 2 2" xfId="13972" xr:uid="{00000000-0005-0000-0000-0000208C0000}"/>
    <cellStyle name="Normal 6 3 3 5 3 2 2 2" xfId="13973" xr:uid="{00000000-0005-0000-0000-0000218C0000}"/>
    <cellStyle name="Normal 6 3 3 5 3 2 2 2 2" xfId="37454" xr:uid="{00000000-0005-0000-0000-0000228C0000}"/>
    <cellStyle name="Normal 6 3 3 5 3 2 2 3" xfId="37453" xr:uid="{00000000-0005-0000-0000-0000238C0000}"/>
    <cellStyle name="Normal 6 3 3 5 3 2 3" xfId="13974" xr:uid="{00000000-0005-0000-0000-0000248C0000}"/>
    <cellStyle name="Normal 6 3 3 5 3 2 3 2" xfId="37455" xr:uid="{00000000-0005-0000-0000-0000258C0000}"/>
    <cellStyle name="Normal 6 3 3 5 3 2 4" xfId="37452" xr:uid="{00000000-0005-0000-0000-0000268C0000}"/>
    <cellStyle name="Normal 6 3 3 5 3 3" xfId="13975" xr:uid="{00000000-0005-0000-0000-0000278C0000}"/>
    <cellStyle name="Normal 6 3 3 5 3 3 2" xfId="13976" xr:uid="{00000000-0005-0000-0000-0000288C0000}"/>
    <cellStyle name="Normal 6 3 3 5 3 3 2 2" xfId="37457" xr:uid="{00000000-0005-0000-0000-0000298C0000}"/>
    <cellStyle name="Normal 6 3 3 5 3 3 3" xfId="37456" xr:uid="{00000000-0005-0000-0000-00002A8C0000}"/>
    <cellStyle name="Normal 6 3 3 5 3 4" xfId="13977" xr:uid="{00000000-0005-0000-0000-00002B8C0000}"/>
    <cellStyle name="Normal 6 3 3 5 3 4 2" xfId="37458" xr:uid="{00000000-0005-0000-0000-00002C8C0000}"/>
    <cellStyle name="Normal 6 3 3 5 3 5" xfId="37451" xr:uid="{00000000-0005-0000-0000-00002D8C0000}"/>
    <cellStyle name="Normal 6 3 3 5 4" xfId="13978" xr:uid="{00000000-0005-0000-0000-00002E8C0000}"/>
    <cellStyle name="Normal 6 3 3 5 4 2" xfId="13979" xr:uid="{00000000-0005-0000-0000-00002F8C0000}"/>
    <cellStyle name="Normal 6 3 3 5 4 2 2" xfId="13980" xr:uid="{00000000-0005-0000-0000-0000308C0000}"/>
    <cellStyle name="Normal 6 3 3 5 4 2 2 2" xfId="37461" xr:uid="{00000000-0005-0000-0000-0000318C0000}"/>
    <cellStyle name="Normal 6 3 3 5 4 2 3" xfId="37460" xr:uid="{00000000-0005-0000-0000-0000328C0000}"/>
    <cellStyle name="Normal 6 3 3 5 4 3" xfId="13981" xr:uid="{00000000-0005-0000-0000-0000338C0000}"/>
    <cellStyle name="Normal 6 3 3 5 4 3 2" xfId="37462" xr:uid="{00000000-0005-0000-0000-0000348C0000}"/>
    <cellStyle name="Normal 6 3 3 5 4 4" xfId="37459" xr:uid="{00000000-0005-0000-0000-0000358C0000}"/>
    <cellStyle name="Normal 6 3 3 5 5" xfId="13982" xr:uid="{00000000-0005-0000-0000-0000368C0000}"/>
    <cellStyle name="Normal 6 3 3 5 5 2" xfId="13983" xr:uid="{00000000-0005-0000-0000-0000378C0000}"/>
    <cellStyle name="Normal 6 3 3 5 5 2 2" xfId="37464" xr:uid="{00000000-0005-0000-0000-0000388C0000}"/>
    <cellStyle name="Normal 6 3 3 5 5 3" xfId="37463" xr:uid="{00000000-0005-0000-0000-0000398C0000}"/>
    <cellStyle name="Normal 6 3 3 5 6" xfId="13984" xr:uid="{00000000-0005-0000-0000-00003A8C0000}"/>
    <cellStyle name="Normal 6 3 3 5 6 2" xfId="37465" xr:uid="{00000000-0005-0000-0000-00003B8C0000}"/>
    <cellStyle name="Normal 6 3 3 5 7" xfId="37442" xr:uid="{00000000-0005-0000-0000-00003C8C0000}"/>
    <cellStyle name="Normal 6 3 3 6" xfId="13985" xr:uid="{00000000-0005-0000-0000-00003D8C0000}"/>
    <cellStyle name="Normal 6 3 3 6 2" xfId="13986" xr:uid="{00000000-0005-0000-0000-00003E8C0000}"/>
    <cellStyle name="Normal 6 3 3 6 2 2" xfId="13987" xr:uid="{00000000-0005-0000-0000-00003F8C0000}"/>
    <cellStyle name="Normal 6 3 3 6 2 2 2" xfId="13988" xr:uid="{00000000-0005-0000-0000-0000408C0000}"/>
    <cellStyle name="Normal 6 3 3 6 2 2 2 2" xfId="37469" xr:uid="{00000000-0005-0000-0000-0000418C0000}"/>
    <cellStyle name="Normal 6 3 3 6 2 2 3" xfId="37468" xr:uid="{00000000-0005-0000-0000-0000428C0000}"/>
    <cellStyle name="Normal 6 3 3 6 2 3" xfId="13989" xr:uid="{00000000-0005-0000-0000-0000438C0000}"/>
    <cellStyle name="Normal 6 3 3 6 2 3 2" xfId="37470" xr:uid="{00000000-0005-0000-0000-0000448C0000}"/>
    <cellStyle name="Normal 6 3 3 6 2 4" xfId="37467" xr:uid="{00000000-0005-0000-0000-0000458C0000}"/>
    <cellStyle name="Normal 6 3 3 6 3" xfId="13990" xr:uid="{00000000-0005-0000-0000-0000468C0000}"/>
    <cellStyle name="Normal 6 3 3 6 3 2" xfId="13991" xr:uid="{00000000-0005-0000-0000-0000478C0000}"/>
    <cellStyle name="Normal 6 3 3 6 3 2 2" xfId="37472" xr:uid="{00000000-0005-0000-0000-0000488C0000}"/>
    <cellStyle name="Normal 6 3 3 6 3 3" xfId="37471" xr:uid="{00000000-0005-0000-0000-0000498C0000}"/>
    <cellStyle name="Normal 6 3 3 6 4" xfId="13992" xr:uid="{00000000-0005-0000-0000-00004A8C0000}"/>
    <cellStyle name="Normal 6 3 3 6 4 2" xfId="37473" xr:uid="{00000000-0005-0000-0000-00004B8C0000}"/>
    <cellStyle name="Normal 6 3 3 6 5" xfId="37466" xr:uid="{00000000-0005-0000-0000-00004C8C0000}"/>
    <cellStyle name="Normal 6 3 3 7" xfId="13993" xr:uid="{00000000-0005-0000-0000-00004D8C0000}"/>
    <cellStyle name="Normal 6 3 3 7 2" xfId="13994" xr:uid="{00000000-0005-0000-0000-00004E8C0000}"/>
    <cellStyle name="Normal 6 3 3 7 2 2" xfId="13995" xr:uid="{00000000-0005-0000-0000-00004F8C0000}"/>
    <cellStyle name="Normal 6 3 3 7 2 2 2" xfId="13996" xr:uid="{00000000-0005-0000-0000-0000508C0000}"/>
    <cellStyle name="Normal 6 3 3 7 2 2 2 2" xfId="37477" xr:uid="{00000000-0005-0000-0000-0000518C0000}"/>
    <cellStyle name="Normal 6 3 3 7 2 2 3" xfId="37476" xr:uid="{00000000-0005-0000-0000-0000528C0000}"/>
    <cellStyle name="Normal 6 3 3 7 2 3" xfId="13997" xr:uid="{00000000-0005-0000-0000-0000538C0000}"/>
    <cellStyle name="Normal 6 3 3 7 2 3 2" xfId="37478" xr:uid="{00000000-0005-0000-0000-0000548C0000}"/>
    <cellStyle name="Normal 6 3 3 7 2 4" xfId="37475" xr:uid="{00000000-0005-0000-0000-0000558C0000}"/>
    <cellStyle name="Normal 6 3 3 7 3" xfId="13998" xr:uid="{00000000-0005-0000-0000-0000568C0000}"/>
    <cellStyle name="Normal 6 3 3 7 3 2" xfId="13999" xr:uid="{00000000-0005-0000-0000-0000578C0000}"/>
    <cellStyle name="Normal 6 3 3 7 3 2 2" xfId="37480" xr:uid="{00000000-0005-0000-0000-0000588C0000}"/>
    <cellStyle name="Normal 6 3 3 7 3 3" xfId="37479" xr:uid="{00000000-0005-0000-0000-0000598C0000}"/>
    <cellStyle name="Normal 6 3 3 7 4" xfId="14000" xr:uid="{00000000-0005-0000-0000-00005A8C0000}"/>
    <cellStyle name="Normal 6 3 3 7 4 2" xfId="37481" xr:uid="{00000000-0005-0000-0000-00005B8C0000}"/>
    <cellStyle name="Normal 6 3 3 7 5" xfId="37474" xr:uid="{00000000-0005-0000-0000-00005C8C0000}"/>
    <cellStyle name="Normal 6 3 3 8" xfId="14001" xr:uid="{00000000-0005-0000-0000-00005D8C0000}"/>
    <cellStyle name="Normal 6 3 3 8 2" xfId="14002" xr:uid="{00000000-0005-0000-0000-00005E8C0000}"/>
    <cellStyle name="Normal 6 3 3 8 2 2" xfId="14003" xr:uid="{00000000-0005-0000-0000-00005F8C0000}"/>
    <cellStyle name="Normal 6 3 3 8 2 2 2" xfId="37484" xr:uid="{00000000-0005-0000-0000-0000608C0000}"/>
    <cellStyle name="Normal 6 3 3 8 2 3" xfId="37483" xr:uid="{00000000-0005-0000-0000-0000618C0000}"/>
    <cellStyle name="Normal 6 3 3 8 3" xfId="14004" xr:uid="{00000000-0005-0000-0000-0000628C0000}"/>
    <cellStyle name="Normal 6 3 3 8 3 2" xfId="37485" xr:uid="{00000000-0005-0000-0000-0000638C0000}"/>
    <cellStyle name="Normal 6 3 3 8 4" xfId="37482" xr:uid="{00000000-0005-0000-0000-0000648C0000}"/>
    <cellStyle name="Normal 6 3 3 9" xfId="14005" xr:uid="{00000000-0005-0000-0000-0000658C0000}"/>
    <cellStyle name="Normal 6 3 3 9 2" xfId="14006" xr:uid="{00000000-0005-0000-0000-0000668C0000}"/>
    <cellStyle name="Normal 6 3 3 9 2 2" xfId="37487" xr:uid="{00000000-0005-0000-0000-0000678C0000}"/>
    <cellStyle name="Normal 6 3 3 9 3" xfId="37486" xr:uid="{00000000-0005-0000-0000-0000688C0000}"/>
    <cellStyle name="Normal 6 3 4" xfId="14007" xr:uid="{00000000-0005-0000-0000-0000698C0000}"/>
    <cellStyle name="Normal 6 3 4 10" xfId="37488" xr:uid="{00000000-0005-0000-0000-00006A8C0000}"/>
    <cellStyle name="Normal 6 3 4 2" xfId="14008" xr:uid="{00000000-0005-0000-0000-00006B8C0000}"/>
    <cellStyle name="Normal 6 3 4 2 2" xfId="14009" xr:uid="{00000000-0005-0000-0000-00006C8C0000}"/>
    <cellStyle name="Normal 6 3 4 2 2 2" xfId="14010" xr:uid="{00000000-0005-0000-0000-00006D8C0000}"/>
    <cellStyle name="Normal 6 3 4 2 2 2 2" xfId="14011" xr:uid="{00000000-0005-0000-0000-00006E8C0000}"/>
    <cellStyle name="Normal 6 3 4 2 2 2 2 2" xfId="14012" xr:uid="{00000000-0005-0000-0000-00006F8C0000}"/>
    <cellStyle name="Normal 6 3 4 2 2 2 2 2 2" xfId="37493" xr:uid="{00000000-0005-0000-0000-0000708C0000}"/>
    <cellStyle name="Normal 6 3 4 2 2 2 2 3" xfId="37492" xr:uid="{00000000-0005-0000-0000-0000718C0000}"/>
    <cellStyle name="Normal 6 3 4 2 2 2 3" xfId="14013" xr:uid="{00000000-0005-0000-0000-0000728C0000}"/>
    <cellStyle name="Normal 6 3 4 2 2 2 3 2" xfId="37494" xr:uid="{00000000-0005-0000-0000-0000738C0000}"/>
    <cellStyle name="Normal 6 3 4 2 2 2 4" xfId="37491" xr:uid="{00000000-0005-0000-0000-0000748C0000}"/>
    <cellStyle name="Normal 6 3 4 2 2 3" xfId="14014" xr:uid="{00000000-0005-0000-0000-0000758C0000}"/>
    <cellStyle name="Normal 6 3 4 2 2 3 2" xfId="14015" xr:uid="{00000000-0005-0000-0000-0000768C0000}"/>
    <cellStyle name="Normal 6 3 4 2 2 3 2 2" xfId="37496" xr:uid="{00000000-0005-0000-0000-0000778C0000}"/>
    <cellStyle name="Normal 6 3 4 2 2 3 3" xfId="37495" xr:uid="{00000000-0005-0000-0000-0000788C0000}"/>
    <cellStyle name="Normal 6 3 4 2 2 4" xfId="14016" xr:uid="{00000000-0005-0000-0000-0000798C0000}"/>
    <cellStyle name="Normal 6 3 4 2 2 4 2" xfId="37497" xr:uid="{00000000-0005-0000-0000-00007A8C0000}"/>
    <cellStyle name="Normal 6 3 4 2 2 5" xfId="37490" xr:uid="{00000000-0005-0000-0000-00007B8C0000}"/>
    <cellStyle name="Normal 6 3 4 2 3" xfId="14017" xr:uid="{00000000-0005-0000-0000-00007C8C0000}"/>
    <cellStyle name="Normal 6 3 4 2 3 2" xfId="14018" xr:uid="{00000000-0005-0000-0000-00007D8C0000}"/>
    <cellStyle name="Normal 6 3 4 2 3 2 2" xfId="14019" xr:uid="{00000000-0005-0000-0000-00007E8C0000}"/>
    <cellStyle name="Normal 6 3 4 2 3 2 2 2" xfId="14020" xr:uid="{00000000-0005-0000-0000-00007F8C0000}"/>
    <cellStyle name="Normal 6 3 4 2 3 2 2 2 2" xfId="37501" xr:uid="{00000000-0005-0000-0000-0000808C0000}"/>
    <cellStyle name="Normal 6 3 4 2 3 2 2 3" xfId="37500" xr:uid="{00000000-0005-0000-0000-0000818C0000}"/>
    <cellStyle name="Normal 6 3 4 2 3 2 3" xfId="14021" xr:uid="{00000000-0005-0000-0000-0000828C0000}"/>
    <cellStyle name="Normal 6 3 4 2 3 2 3 2" xfId="37502" xr:uid="{00000000-0005-0000-0000-0000838C0000}"/>
    <cellStyle name="Normal 6 3 4 2 3 2 4" xfId="37499" xr:uid="{00000000-0005-0000-0000-0000848C0000}"/>
    <cellStyle name="Normal 6 3 4 2 3 3" xfId="14022" xr:uid="{00000000-0005-0000-0000-0000858C0000}"/>
    <cellStyle name="Normal 6 3 4 2 3 3 2" xfId="14023" xr:uid="{00000000-0005-0000-0000-0000868C0000}"/>
    <cellStyle name="Normal 6 3 4 2 3 3 2 2" xfId="37504" xr:uid="{00000000-0005-0000-0000-0000878C0000}"/>
    <cellStyle name="Normal 6 3 4 2 3 3 3" xfId="37503" xr:uid="{00000000-0005-0000-0000-0000888C0000}"/>
    <cellStyle name="Normal 6 3 4 2 3 4" xfId="14024" xr:uid="{00000000-0005-0000-0000-0000898C0000}"/>
    <cellStyle name="Normal 6 3 4 2 3 4 2" xfId="37505" xr:uid="{00000000-0005-0000-0000-00008A8C0000}"/>
    <cellStyle name="Normal 6 3 4 2 3 5" xfId="37498" xr:uid="{00000000-0005-0000-0000-00008B8C0000}"/>
    <cellStyle name="Normal 6 3 4 2 4" xfId="14025" xr:uid="{00000000-0005-0000-0000-00008C8C0000}"/>
    <cellStyle name="Normal 6 3 4 2 4 2" xfId="14026" xr:uid="{00000000-0005-0000-0000-00008D8C0000}"/>
    <cellStyle name="Normal 6 3 4 2 4 2 2" xfId="14027" xr:uid="{00000000-0005-0000-0000-00008E8C0000}"/>
    <cellStyle name="Normal 6 3 4 2 4 2 2 2" xfId="37508" xr:uid="{00000000-0005-0000-0000-00008F8C0000}"/>
    <cellStyle name="Normal 6 3 4 2 4 2 3" xfId="37507" xr:uid="{00000000-0005-0000-0000-0000908C0000}"/>
    <cellStyle name="Normal 6 3 4 2 4 3" xfId="14028" xr:uid="{00000000-0005-0000-0000-0000918C0000}"/>
    <cellStyle name="Normal 6 3 4 2 4 3 2" xfId="37509" xr:uid="{00000000-0005-0000-0000-0000928C0000}"/>
    <cellStyle name="Normal 6 3 4 2 4 4" xfId="37506" xr:uid="{00000000-0005-0000-0000-0000938C0000}"/>
    <cellStyle name="Normal 6 3 4 2 5" xfId="14029" xr:uid="{00000000-0005-0000-0000-0000948C0000}"/>
    <cellStyle name="Normal 6 3 4 2 5 2" xfId="14030" xr:uid="{00000000-0005-0000-0000-0000958C0000}"/>
    <cellStyle name="Normal 6 3 4 2 5 2 2" xfId="37511" xr:uid="{00000000-0005-0000-0000-0000968C0000}"/>
    <cellStyle name="Normal 6 3 4 2 5 3" xfId="37510" xr:uid="{00000000-0005-0000-0000-0000978C0000}"/>
    <cellStyle name="Normal 6 3 4 2 6" xfId="14031" xr:uid="{00000000-0005-0000-0000-0000988C0000}"/>
    <cellStyle name="Normal 6 3 4 2 6 2" xfId="37512" xr:uid="{00000000-0005-0000-0000-0000998C0000}"/>
    <cellStyle name="Normal 6 3 4 2 7" xfId="37489" xr:uid="{00000000-0005-0000-0000-00009A8C0000}"/>
    <cellStyle name="Normal 6 3 4 3" xfId="14032" xr:uid="{00000000-0005-0000-0000-00009B8C0000}"/>
    <cellStyle name="Normal 6 3 4 3 2" xfId="14033" xr:uid="{00000000-0005-0000-0000-00009C8C0000}"/>
    <cellStyle name="Normal 6 3 4 3 2 2" xfId="14034" xr:uid="{00000000-0005-0000-0000-00009D8C0000}"/>
    <cellStyle name="Normal 6 3 4 3 2 2 2" xfId="14035" xr:uid="{00000000-0005-0000-0000-00009E8C0000}"/>
    <cellStyle name="Normal 6 3 4 3 2 2 2 2" xfId="14036" xr:uid="{00000000-0005-0000-0000-00009F8C0000}"/>
    <cellStyle name="Normal 6 3 4 3 2 2 2 2 2" xfId="37517" xr:uid="{00000000-0005-0000-0000-0000A08C0000}"/>
    <cellStyle name="Normal 6 3 4 3 2 2 2 3" xfId="37516" xr:uid="{00000000-0005-0000-0000-0000A18C0000}"/>
    <cellStyle name="Normal 6 3 4 3 2 2 3" xfId="14037" xr:uid="{00000000-0005-0000-0000-0000A28C0000}"/>
    <cellStyle name="Normal 6 3 4 3 2 2 3 2" xfId="37518" xr:uid="{00000000-0005-0000-0000-0000A38C0000}"/>
    <cellStyle name="Normal 6 3 4 3 2 2 4" xfId="37515" xr:uid="{00000000-0005-0000-0000-0000A48C0000}"/>
    <cellStyle name="Normal 6 3 4 3 2 3" xfId="14038" xr:uid="{00000000-0005-0000-0000-0000A58C0000}"/>
    <cellStyle name="Normal 6 3 4 3 2 3 2" xfId="14039" xr:uid="{00000000-0005-0000-0000-0000A68C0000}"/>
    <cellStyle name="Normal 6 3 4 3 2 3 2 2" xfId="37520" xr:uid="{00000000-0005-0000-0000-0000A78C0000}"/>
    <cellStyle name="Normal 6 3 4 3 2 3 3" xfId="37519" xr:uid="{00000000-0005-0000-0000-0000A88C0000}"/>
    <cellStyle name="Normal 6 3 4 3 2 4" xfId="14040" xr:uid="{00000000-0005-0000-0000-0000A98C0000}"/>
    <cellStyle name="Normal 6 3 4 3 2 4 2" xfId="37521" xr:uid="{00000000-0005-0000-0000-0000AA8C0000}"/>
    <cellStyle name="Normal 6 3 4 3 2 5" xfId="37514" xr:uid="{00000000-0005-0000-0000-0000AB8C0000}"/>
    <cellStyle name="Normal 6 3 4 3 3" xfId="14041" xr:uid="{00000000-0005-0000-0000-0000AC8C0000}"/>
    <cellStyle name="Normal 6 3 4 3 3 2" xfId="14042" xr:uid="{00000000-0005-0000-0000-0000AD8C0000}"/>
    <cellStyle name="Normal 6 3 4 3 3 2 2" xfId="14043" xr:uid="{00000000-0005-0000-0000-0000AE8C0000}"/>
    <cellStyle name="Normal 6 3 4 3 3 2 2 2" xfId="14044" xr:uid="{00000000-0005-0000-0000-0000AF8C0000}"/>
    <cellStyle name="Normal 6 3 4 3 3 2 2 2 2" xfId="37525" xr:uid="{00000000-0005-0000-0000-0000B08C0000}"/>
    <cellStyle name="Normal 6 3 4 3 3 2 2 3" xfId="37524" xr:uid="{00000000-0005-0000-0000-0000B18C0000}"/>
    <cellStyle name="Normal 6 3 4 3 3 2 3" xfId="14045" xr:uid="{00000000-0005-0000-0000-0000B28C0000}"/>
    <cellStyle name="Normal 6 3 4 3 3 2 3 2" xfId="37526" xr:uid="{00000000-0005-0000-0000-0000B38C0000}"/>
    <cellStyle name="Normal 6 3 4 3 3 2 4" xfId="37523" xr:uid="{00000000-0005-0000-0000-0000B48C0000}"/>
    <cellStyle name="Normal 6 3 4 3 3 3" xfId="14046" xr:uid="{00000000-0005-0000-0000-0000B58C0000}"/>
    <cellStyle name="Normal 6 3 4 3 3 3 2" xfId="14047" xr:uid="{00000000-0005-0000-0000-0000B68C0000}"/>
    <cellStyle name="Normal 6 3 4 3 3 3 2 2" xfId="37528" xr:uid="{00000000-0005-0000-0000-0000B78C0000}"/>
    <cellStyle name="Normal 6 3 4 3 3 3 3" xfId="37527" xr:uid="{00000000-0005-0000-0000-0000B88C0000}"/>
    <cellStyle name="Normal 6 3 4 3 3 4" xfId="14048" xr:uid="{00000000-0005-0000-0000-0000B98C0000}"/>
    <cellStyle name="Normal 6 3 4 3 3 4 2" xfId="37529" xr:uid="{00000000-0005-0000-0000-0000BA8C0000}"/>
    <cellStyle name="Normal 6 3 4 3 3 5" xfId="37522" xr:uid="{00000000-0005-0000-0000-0000BB8C0000}"/>
    <cellStyle name="Normal 6 3 4 3 4" xfId="14049" xr:uid="{00000000-0005-0000-0000-0000BC8C0000}"/>
    <cellStyle name="Normal 6 3 4 3 4 2" xfId="14050" xr:uid="{00000000-0005-0000-0000-0000BD8C0000}"/>
    <cellStyle name="Normal 6 3 4 3 4 2 2" xfId="14051" xr:uid="{00000000-0005-0000-0000-0000BE8C0000}"/>
    <cellStyle name="Normal 6 3 4 3 4 2 2 2" xfId="37532" xr:uid="{00000000-0005-0000-0000-0000BF8C0000}"/>
    <cellStyle name="Normal 6 3 4 3 4 2 3" xfId="37531" xr:uid="{00000000-0005-0000-0000-0000C08C0000}"/>
    <cellStyle name="Normal 6 3 4 3 4 3" xfId="14052" xr:uid="{00000000-0005-0000-0000-0000C18C0000}"/>
    <cellStyle name="Normal 6 3 4 3 4 3 2" xfId="37533" xr:uid="{00000000-0005-0000-0000-0000C28C0000}"/>
    <cellStyle name="Normal 6 3 4 3 4 4" xfId="37530" xr:uid="{00000000-0005-0000-0000-0000C38C0000}"/>
    <cellStyle name="Normal 6 3 4 3 5" xfId="14053" xr:uid="{00000000-0005-0000-0000-0000C48C0000}"/>
    <cellStyle name="Normal 6 3 4 3 5 2" xfId="14054" xr:uid="{00000000-0005-0000-0000-0000C58C0000}"/>
    <cellStyle name="Normal 6 3 4 3 5 2 2" xfId="37535" xr:uid="{00000000-0005-0000-0000-0000C68C0000}"/>
    <cellStyle name="Normal 6 3 4 3 5 3" xfId="37534" xr:uid="{00000000-0005-0000-0000-0000C78C0000}"/>
    <cellStyle name="Normal 6 3 4 3 6" xfId="14055" xr:uid="{00000000-0005-0000-0000-0000C88C0000}"/>
    <cellStyle name="Normal 6 3 4 3 6 2" xfId="37536" xr:uid="{00000000-0005-0000-0000-0000C98C0000}"/>
    <cellStyle name="Normal 6 3 4 3 7" xfId="37513" xr:uid="{00000000-0005-0000-0000-0000CA8C0000}"/>
    <cellStyle name="Normal 6 3 4 4" xfId="14056" xr:uid="{00000000-0005-0000-0000-0000CB8C0000}"/>
    <cellStyle name="Normal 6 3 4 4 2" xfId="14057" xr:uid="{00000000-0005-0000-0000-0000CC8C0000}"/>
    <cellStyle name="Normal 6 3 4 4 2 2" xfId="14058" xr:uid="{00000000-0005-0000-0000-0000CD8C0000}"/>
    <cellStyle name="Normal 6 3 4 4 2 2 2" xfId="14059" xr:uid="{00000000-0005-0000-0000-0000CE8C0000}"/>
    <cellStyle name="Normal 6 3 4 4 2 2 2 2" xfId="14060" xr:uid="{00000000-0005-0000-0000-0000CF8C0000}"/>
    <cellStyle name="Normal 6 3 4 4 2 2 2 2 2" xfId="37541" xr:uid="{00000000-0005-0000-0000-0000D08C0000}"/>
    <cellStyle name="Normal 6 3 4 4 2 2 2 3" xfId="37540" xr:uid="{00000000-0005-0000-0000-0000D18C0000}"/>
    <cellStyle name="Normal 6 3 4 4 2 2 3" xfId="14061" xr:uid="{00000000-0005-0000-0000-0000D28C0000}"/>
    <cellStyle name="Normal 6 3 4 4 2 2 3 2" xfId="37542" xr:uid="{00000000-0005-0000-0000-0000D38C0000}"/>
    <cellStyle name="Normal 6 3 4 4 2 2 4" xfId="37539" xr:uid="{00000000-0005-0000-0000-0000D48C0000}"/>
    <cellStyle name="Normal 6 3 4 4 2 3" xfId="14062" xr:uid="{00000000-0005-0000-0000-0000D58C0000}"/>
    <cellStyle name="Normal 6 3 4 4 2 3 2" xfId="14063" xr:uid="{00000000-0005-0000-0000-0000D68C0000}"/>
    <cellStyle name="Normal 6 3 4 4 2 3 2 2" xfId="37544" xr:uid="{00000000-0005-0000-0000-0000D78C0000}"/>
    <cellStyle name="Normal 6 3 4 4 2 3 3" xfId="37543" xr:uid="{00000000-0005-0000-0000-0000D88C0000}"/>
    <cellStyle name="Normal 6 3 4 4 2 4" xfId="14064" xr:uid="{00000000-0005-0000-0000-0000D98C0000}"/>
    <cellStyle name="Normal 6 3 4 4 2 4 2" xfId="37545" xr:uid="{00000000-0005-0000-0000-0000DA8C0000}"/>
    <cellStyle name="Normal 6 3 4 4 2 5" xfId="37538" xr:uid="{00000000-0005-0000-0000-0000DB8C0000}"/>
    <cellStyle name="Normal 6 3 4 4 3" xfId="14065" xr:uid="{00000000-0005-0000-0000-0000DC8C0000}"/>
    <cellStyle name="Normal 6 3 4 4 3 2" xfId="14066" xr:uid="{00000000-0005-0000-0000-0000DD8C0000}"/>
    <cellStyle name="Normal 6 3 4 4 3 2 2" xfId="14067" xr:uid="{00000000-0005-0000-0000-0000DE8C0000}"/>
    <cellStyle name="Normal 6 3 4 4 3 2 2 2" xfId="14068" xr:uid="{00000000-0005-0000-0000-0000DF8C0000}"/>
    <cellStyle name="Normal 6 3 4 4 3 2 2 2 2" xfId="37549" xr:uid="{00000000-0005-0000-0000-0000E08C0000}"/>
    <cellStyle name="Normal 6 3 4 4 3 2 2 3" xfId="37548" xr:uid="{00000000-0005-0000-0000-0000E18C0000}"/>
    <cellStyle name="Normal 6 3 4 4 3 2 3" xfId="14069" xr:uid="{00000000-0005-0000-0000-0000E28C0000}"/>
    <cellStyle name="Normal 6 3 4 4 3 2 3 2" xfId="37550" xr:uid="{00000000-0005-0000-0000-0000E38C0000}"/>
    <cellStyle name="Normal 6 3 4 4 3 2 4" xfId="37547" xr:uid="{00000000-0005-0000-0000-0000E48C0000}"/>
    <cellStyle name="Normal 6 3 4 4 3 3" xfId="14070" xr:uid="{00000000-0005-0000-0000-0000E58C0000}"/>
    <cellStyle name="Normal 6 3 4 4 3 3 2" xfId="14071" xr:uid="{00000000-0005-0000-0000-0000E68C0000}"/>
    <cellStyle name="Normal 6 3 4 4 3 3 2 2" xfId="37552" xr:uid="{00000000-0005-0000-0000-0000E78C0000}"/>
    <cellStyle name="Normal 6 3 4 4 3 3 3" xfId="37551" xr:uid="{00000000-0005-0000-0000-0000E88C0000}"/>
    <cellStyle name="Normal 6 3 4 4 3 4" xfId="14072" xr:uid="{00000000-0005-0000-0000-0000E98C0000}"/>
    <cellStyle name="Normal 6 3 4 4 3 4 2" xfId="37553" xr:uid="{00000000-0005-0000-0000-0000EA8C0000}"/>
    <cellStyle name="Normal 6 3 4 4 3 5" xfId="37546" xr:uid="{00000000-0005-0000-0000-0000EB8C0000}"/>
    <cellStyle name="Normal 6 3 4 4 4" xfId="14073" xr:uid="{00000000-0005-0000-0000-0000EC8C0000}"/>
    <cellStyle name="Normal 6 3 4 4 4 2" xfId="14074" xr:uid="{00000000-0005-0000-0000-0000ED8C0000}"/>
    <cellStyle name="Normal 6 3 4 4 4 2 2" xfId="14075" xr:uid="{00000000-0005-0000-0000-0000EE8C0000}"/>
    <cellStyle name="Normal 6 3 4 4 4 2 2 2" xfId="37556" xr:uid="{00000000-0005-0000-0000-0000EF8C0000}"/>
    <cellStyle name="Normal 6 3 4 4 4 2 3" xfId="37555" xr:uid="{00000000-0005-0000-0000-0000F08C0000}"/>
    <cellStyle name="Normal 6 3 4 4 4 3" xfId="14076" xr:uid="{00000000-0005-0000-0000-0000F18C0000}"/>
    <cellStyle name="Normal 6 3 4 4 4 3 2" xfId="37557" xr:uid="{00000000-0005-0000-0000-0000F28C0000}"/>
    <cellStyle name="Normal 6 3 4 4 4 4" xfId="37554" xr:uid="{00000000-0005-0000-0000-0000F38C0000}"/>
    <cellStyle name="Normal 6 3 4 4 5" xfId="14077" xr:uid="{00000000-0005-0000-0000-0000F48C0000}"/>
    <cellStyle name="Normal 6 3 4 4 5 2" xfId="14078" xr:uid="{00000000-0005-0000-0000-0000F58C0000}"/>
    <cellStyle name="Normal 6 3 4 4 5 2 2" xfId="37559" xr:uid="{00000000-0005-0000-0000-0000F68C0000}"/>
    <cellStyle name="Normal 6 3 4 4 5 3" xfId="37558" xr:uid="{00000000-0005-0000-0000-0000F78C0000}"/>
    <cellStyle name="Normal 6 3 4 4 6" xfId="14079" xr:uid="{00000000-0005-0000-0000-0000F88C0000}"/>
    <cellStyle name="Normal 6 3 4 4 6 2" xfId="37560" xr:uid="{00000000-0005-0000-0000-0000F98C0000}"/>
    <cellStyle name="Normal 6 3 4 4 7" xfId="37537" xr:uid="{00000000-0005-0000-0000-0000FA8C0000}"/>
    <cellStyle name="Normal 6 3 4 5" xfId="14080" xr:uid="{00000000-0005-0000-0000-0000FB8C0000}"/>
    <cellStyle name="Normal 6 3 4 5 2" xfId="14081" xr:uid="{00000000-0005-0000-0000-0000FC8C0000}"/>
    <cellStyle name="Normal 6 3 4 5 2 2" xfId="14082" xr:uid="{00000000-0005-0000-0000-0000FD8C0000}"/>
    <cellStyle name="Normal 6 3 4 5 2 2 2" xfId="14083" xr:uid="{00000000-0005-0000-0000-0000FE8C0000}"/>
    <cellStyle name="Normal 6 3 4 5 2 2 2 2" xfId="37564" xr:uid="{00000000-0005-0000-0000-0000FF8C0000}"/>
    <cellStyle name="Normal 6 3 4 5 2 2 3" xfId="37563" xr:uid="{00000000-0005-0000-0000-0000008D0000}"/>
    <cellStyle name="Normal 6 3 4 5 2 3" xfId="14084" xr:uid="{00000000-0005-0000-0000-0000018D0000}"/>
    <cellStyle name="Normal 6 3 4 5 2 3 2" xfId="37565" xr:uid="{00000000-0005-0000-0000-0000028D0000}"/>
    <cellStyle name="Normal 6 3 4 5 2 4" xfId="37562" xr:uid="{00000000-0005-0000-0000-0000038D0000}"/>
    <cellStyle name="Normal 6 3 4 5 3" xfId="14085" xr:uid="{00000000-0005-0000-0000-0000048D0000}"/>
    <cellStyle name="Normal 6 3 4 5 3 2" xfId="14086" xr:uid="{00000000-0005-0000-0000-0000058D0000}"/>
    <cellStyle name="Normal 6 3 4 5 3 2 2" xfId="37567" xr:uid="{00000000-0005-0000-0000-0000068D0000}"/>
    <cellStyle name="Normal 6 3 4 5 3 3" xfId="37566" xr:uid="{00000000-0005-0000-0000-0000078D0000}"/>
    <cellStyle name="Normal 6 3 4 5 4" xfId="14087" xr:uid="{00000000-0005-0000-0000-0000088D0000}"/>
    <cellStyle name="Normal 6 3 4 5 4 2" xfId="37568" xr:uid="{00000000-0005-0000-0000-0000098D0000}"/>
    <cellStyle name="Normal 6 3 4 5 5" xfId="37561" xr:uid="{00000000-0005-0000-0000-00000A8D0000}"/>
    <cellStyle name="Normal 6 3 4 6" xfId="14088" xr:uid="{00000000-0005-0000-0000-00000B8D0000}"/>
    <cellStyle name="Normal 6 3 4 6 2" xfId="14089" xr:uid="{00000000-0005-0000-0000-00000C8D0000}"/>
    <cellStyle name="Normal 6 3 4 6 2 2" xfId="14090" xr:uid="{00000000-0005-0000-0000-00000D8D0000}"/>
    <cellStyle name="Normal 6 3 4 6 2 2 2" xfId="14091" xr:uid="{00000000-0005-0000-0000-00000E8D0000}"/>
    <cellStyle name="Normal 6 3 4 6 2 2 2 2" xfId="37572" xr:uid="{00000000-0005-0000-0000-00000F8D0000}"/>
    <cellStyle name="Normal 6 3 4 6 2 2 3" xfId="37571" xr:uid="{00000000-0005-0000-0000-0000108D0000}"/>
    <cellStyle name="Normal 6 3 4 6 2 3" xfId="14092" xr:uid="{00000000-0005-0000-0000-0000118D0000}"/>
    <cellStyle name="Normal 6 3 4 6 2 3 2" xfId="37573" xr:uid="{00000000-0005-0000-0000-0000128D0000}"/>
    <cellStyle name="Normal 6 3 4 6 2 4" xfId="37570" xr:uid="{00000000-0005-0000-0000-0000138D0000}"/>
    <cellStyle name="Normal 6 3 4 6 3" xfId="14093" xr:uid="{00000000-0005-0000-0000-0000148D0000}"/>
    <cellStyle name="Normal 6 3 4 6 3 2" xfId="14094" xr:uid="{00000000-0005-0000-0000-0000158D0000}"/>
    <cellStyle name="Normal 6 3 4 6 3 2 2" xfId="37575" xr:uid="{00000000-0005-0000-0000-0000168D0000}"/>
    <cellStyle name="Normal 6 3 4 6 3 3" xfId="37574" xr:uid="{00000000-0005-0000-0000-0000178D0000}"/>
    <cellStyle name="Normal 6 3 4 6 4" xfId="14095" xr:uid="{00000000-0005-0000-0000-0000188D0000}"/>
    <cellStyle name="Normal 6 3 4 6 4 2" xfId="37576" xr:uid="{00000000-0005-0000-0000-0000198D0000}"/>
    <cellStyle name="Normal 6 3 4 6 5" xfId="37569" xr:uid="{00000000-0005-0000-0000-00001A8D0000}"/>
    <cellStyle name="Normal 6 3 4 7" xfId="14096" xr:uid="{00000000-0005-0000-0000-00001B8D0000}"/>
    <cellStyle name="Normal 6 3 4 7 2" xfId="14097" xr:uid="{00000000-0005-0000-0000-00001C8D0000}"/>
    <cellStyle name="Normal 6 3 4 7 2 2" xfId="14098" xr:uid="{00000000-0005-0000-0000-00001D8D0000}"/>
    <cellStyle name="Normal 6 3 4 7 2 2 2" xfId="37579" xr:uid="{00000000-0005-0000-0000-00001E8D0000}"/>
    <cellStyle name="Normal 6 3 4 7 2 3" xfId="37578" xr:uid="{00000000-0005-0000-0000-00001F8D0000}"/>
    <cellStyle name="Normal 6 3 4 7 3" xfId="14099" xr:uid="{00000000-0005-0000-0000-0000208D0000}"/>
    <cellStyle name="Normal 6 3 4 7 3 2" xfId="37580" xr:uid="{00000000-0005-0000-0000-0000218D0000}"/>
    <cellStyle name="Normal 6 3 4 7 4" xfId="37577" xr:uid="{00000000-0005-0000-0000-0000228D0000}"/>
    <cellStyle name="Normal 6 3 4 8" xfId="14100" xr:uid="{00000000-0005-0000-0000-0000238D0000}"/>
    <cellStyle name="Normal 6 3 4 8 2" xfId="14101" xr:uid="{00000000-0005-0000-0000-0000248D0000}"/>
    <cellStyle name="Normal 6 3 4 8 2 2" xfId="37582" xr:uid="{00000000-0005-0000-0000-0000258D0000}"/>
    <cellStyle name="Normal 6 3 4 8 3" xfId="37581" xr:uid="{00000000-0005-0000-0000-0000268D0000}"/>
    <cellStyle name="Normal 6 3 4 9" xfId="14102" xr:uid="{00000000-0005-0000-0000-0000278D0000}"/>
    <cellStyle name="Normal 6 3 4 9 2" xfId="37583" xr:uid="{00000000-0005-0000-0000-0000288D0000}"/>
    <cellStyle name="Normal 6 3 5" xfId="14103" xr:uid="{00000000-0005-0000-0000-0000298D0000}"/>
    <cellStyle name="Normal 6 3 5 10" xfId="37584" xr:uid="{00000000-0005-0000-0000-00002A8D0000}"/>
    <cellStyle name="Normal 6 3 5 2" xfId="14104" xr:uid="{00000000-0005-0000-0000-00002B8D0000}"/>
    <cellStyle name="Normal 6 3 5 2 2" xfId="14105" xr:uid="{00000000-0005-0000-0000-00002C8D0000}"/>
    <cellStyle name="Normal 6 3 5 2 2 2" xfId="14106" xr:uid="{00000000-0005-0000-0000-00002D8D0000}"/>
    <cellStyle name="Normal 6 3 5 2 2 2 2" xfId="14107" xr:uid="{00000000-0005-0000-0000-00002E8D0000}"/>
    <cellStyle name="Normal 6 3 5 2 2 2 2 2" xfId="14108" xr:uid="{00000000-0005-0000-0000-00002F8D0000}"/>
    <cellStyle name="Normal 6 3 5 2 2 2 2 2 2" xfId="37589" xr:uid="{00000000-0005-0000-0000-0000308D0000}"/>
    <cellStyle name="Normal 6 3 5 2 2 2 2 3" xfId="37588" xr:uid="{00000000-0005-0000-0000-0000318D0000}"/>
    <cellStyle name="Normal 6 3 5 2 2 2 3" xfId="14109" xr:uid="{00000000-0005-0000-0000-0000328D0000}"/>
    <cellStyle name="Normal 6 3 5 2 2 2 3 2" xfId="37590" xr:uid="{00000000-0005-0000-0000-0000338D0000}"/>
    <cellStyle name="Normal 6 3 5 2 2 2 4" xfId="37587" xr:uid="{00000000-0005-0000-0000-0000348D0000}"/>
    <cellStyle name="Normal 6 3 5 2 2 3" xfId="14110" xr:uid="{00000000-0005-0000-0000-0000358D0000}"/>
    <cellStyle name="Normal 6 3 5 2 2 3 2" xfId="14111" xr:uid="{00000000-0005-0000-0000-0000368D0000}"/>
    <cellStyle name="Normal 6 3 5 2 2 3 2 2" xfId="37592" xr:uid="{00000000-0005-0000-0000-0000378D0000}"/>
    <cellStyle name="Normal 6 3 5 2 2 3 3" xfId="37591" xr:uid="{00000000-0005-0000-0000-0000388D0000}"/>
    <cellStyle name="Normal 6 3 5 2 2 4" xfId="14112" xr:uid="{00000000-0005-0000-0000-0000398D0000}"/>
    <cellStyle name="Normal 6 3 5 2 2 4 2" xfId="37593" xr:uid="{00000000-0005-0000-0000-00003A8D0000}"/>
    <cellStyle name="Normal 6 3 5 2 2 5" xfId="37586" xr:uid="{00000000-0005-0000-0000-00003B8D0000}"/>
    <cellStyle name="Normal 6 3 5 2 3" xfId="14113" xr:uid="{00000000-0005-0000-0000-00003C8D0000}"/>
    <cellStyle name="Normal 6 3 5 2 3 2" xfId="14114" xr:uid="{00000000-0005-0000-0000-00003D8D0000}"/>
    <cellStyle name="Normal 6 3 5 2 3 2 2" xfId="14115" xr:uid="{00000000-0005-0000-0000-00003E8D0000}"/>
    <cellStyle name="Normal 6 3 5 2 3 2 2 2" xfId="14116" xr:uid="{00000000-0005-0000-0000-00003F8D0000}"/>
    <cellStyle name="Normal 6 3 5 2 3 2 2 2 2" xfId="37597" xr:uid="{00000000-0005-0000-0000-0000408D0000}"/>
    <cellStyle name="Normal 6 3 5 2 3 2 2 3" xfId="37596" xr:uid="{00000000-0005-0000-0000-0000418D0000}"/>
    <cellStyle name="Normal 6 3 5 2 3 2 3" xfId="14117" xr:uid="{00000000-0005-0000-0000-0000428D0000}"/>
    <cellStyle name="Normal 6 3 5 2 3 2 3 2" xfId="37598" xr:uid="{00000000-0005-0000-0000-0000438D0000}"/>
    <cellStyle name="Normal 6 3 5 2 3 2 4" xfId="37595" xr:uid="{00000000-0005-0000-0000-0000448D0000}"/>
    <cellStyle name="Normal 6 3 5 2 3 3" xfId="14118" xr:uid="{00000000-0005-0000-0000-0000458D0000}"/>
    <cellStyle name="Normal 6 3 5 2 3 3 2" xfId="14119" xr:uid="{00000000-0005-0000-0000-0000468D0000}"/>
    <cellStyle name="Normal 6 3 5 2 3 3 2 2" xfId="37600" xr:uid="{00000000-0005-0000-0000-0000478D0000}"/>
    <cellStyle name="Normal 6 3 5 2 3 3 3" xfId="37599" xr:uid="{00000000-0005-0000-0000-0000488D0000}"/>
    <cellStyle name="Normal 6 3 5 2 3 4" xfId="14120" xr:uid="{00000000-0005-0000-0000-0000498D0000}"/>
    <cellStyle name="Normal 6 3 5 2 3 4 2" xfId="37601" xr:uid="{00000000-0005-0000-0000-00004A8D0000}"/>
    <cellStyle name="Normal 6 3 5 2 3 5" xfId="37594" xr:uid="{00000000-0005-0000-0000-00004B8D0000}"/>
    <cellStyle name="Normal 6 3 5 2 4" xfId="14121" xr:uid="{00000000-0005-0000-0000-00004C8D0000}"/>
    <cellStyle name="Normal 6 3 5 2 4 2" xfId="14122" xr:uid="{00000000-0005-0000-0000-00004D8D0000}"/>
    <cellStyle name="Normal 6 3 5 2 4 2 2" xfId="14123" xr:uid="{00000000-0005-0000-0000-00004E8D0000}"/>
    <cellStyle name="Normal 6 3 5 2 4 2 2 2" xfId="37604" xr:uid="{00000000-0005-0000-0000-00004F8D0000}"/>
    <cellStyle name="Normal 6 3 5 2 4 2 3" xfId="37603" xr:uid="{00000000-0005-0000-0000-0000508D0000}"/>
    <cellStyle name="Normal 6 3 5 2 4 3" xfId="14124" xr:uid="{00000000-0005-0000-0000-0000518D0000}"/>
    <cellStyle name="Normal 6 3 5 2 4 3 2" xfId="37605" xr:uid="{00000000-0005-0000-0000-0000528D0000}"/>
    <cellStyle name="Normal 6 3 5 2 4 4" xfId="37602" xr:uid="{00000000-0005-0000-0000-0000538D0000}"/>
    <cellStyle name="Normal 6 3 5 2 5" xfId="14125" xr:uid="{00000000-0005-0000-0000-0000548D0000}"/>
    <cellStyle name="Normal 6 3 5 2 5 2" xfId="14126" xr:uid="{00000000-0005-0000-0000-0000558D0000}"/>
    <cellStyle name="Normal 6 3 5 2 5 2 2" xfId="37607" xr:uid="{00000000-0005-0000-0000-0000568D0000}"/>
    <cellStyle name="Normal 6 3 5 2 5 3" xfId="37606" xr:uid="{00000000-0005-0000-0000-0000578D0000}"/>
    <cellStyle name="Normal 6 3 5 2 6" xfId="14127" xr:uid="{00000000-0005-0000-0000-0000588D0000}"/>
    <cellStyle name="Normal 6 3 5 2 6 2" xfId="37608" xr:uid="{00000000-0005-0000-0000-0000598D0000}"/>
    <cellStyle name="Normal 6 3 5 2 7" xfId="37585" xr:uid="{00000000-0005-0000-0000-00005A8D0000}"/>
    <cellStyle name="Normal 6 3 5 3" xfId="14128" xr:uid="{00000000-0005-0000-0000-00005B8D0000}"/>
    <cellStyle name="Normal 6 3 5 3 2" xfId="14129" xr:uid="{00000000-0005-0000-0000-00005C8D0000}"/>
    <cellStyle name="Normal 6 3 5 3 2 2" xfId="14130" xr:uid="{00000000-0005-0000-0000-00005D8D0000}"/>
    <cellStyle name="Normal 6 3 5 3 2 2 2" xfId="14131" xr:uid="{00000000-0005-0000-0000-00005E8D0000}"/>
    <cellStyle name="Normal 6 3 5 3 2 2 2 2" xfId="14132" xr:uid="{00000000-0005-0000-0000-00005F8D0000}"/>
    <cellStyle name="Normal 6 3 5 3 2 2 2 2 2" xfId="37613" xr:uid="{00000000-0005-0000-0000-0000608D0000}"/>
    <cellStyle name="Normal 6 3 5 3 2 2 2 3" xfId="37612" xr:uid="{00000000-0005-0000-0000-0000618D0000}"/>
    <cellStyle name="Normal 6 3 5 3 2 2 3" xfId="14133" xr:uid="{00000000-0005-0000-0000-0000628D0000}"/>
    <cellStyle name="Normal 6 3 5 3 2 2 3 2" xfId="37614" xr:uid="{00000000-0005-0000-0000-0000638D0000}"/>
    <cellStyle name="Normal 6 3 5 3 2 2 4" xfId="37611" xr:uid="{00000000-0005-0000-0000-0000648D0000}"/>
    <cellStyle name="Normal 6 3 5 3 2 3" xfId="14134" xr:uid="{00000000-0005-0000-0000-0000658D0000}"/>
    <cellStyle name="Normal 6 3 5 3 2 3 2" xfId="14135" xr:uid="{00000000-0005-0000-0000-0000668D0000}"/>
    <cellStyle name="Normal 6 3 5 3 2 3 2 2" xfId="37616" xr:uid="{00000000-0005-0000-0000-0000678D0000}"/>
    <cellStyle name="Normal 6 3 5 3 2 3 3" xfId="37615" xr:uid="{00000000-0005-0000-0000-0000688D0000}"/>
    <cellStyle name="Normal 6 3 5 3 2 4" xfId="14136" xr:uid="{00000000-0005-0000-0000-0000698D0000}"/>
    <cellStyle name="Normal 6 3 5 3 2 4 2" xfId="37617" xr:uid="{00000000-0005-0000-0000-00006A8D0000}"/>
    <cellStyle name="Normal 6 3 5 3 2 5" xfId="37610" xr:uid="{00000000-0005-0000-0000-00006B8D0000}"/>
    <cellStyle name="Normal 6 3 5 3 3" xfId="14137" xr:uid="{00000000-0005-0000-0000-00006C8D0000}"/>
    <cellStyle name="Normal 6 3 5 3 3 2" xfId="14138" xr:uid="{00000000-0005-0000-0000-00006D8D0000}"/>
    <cellStyle name="Normal 6 3 5 3 3 2 2" xfId="14139" xr:uid="{00000000-0005-0000-0000-00006E8D0000}"/>
    <cellStyle name="Normal 6 3 5 3 3 2 2 2" xfId="14140" xr:uid="{00000000-0005-0000-0000-00006F8D0000}"/>
    <cellStyle name="Normal 6 3 5 3 3 2 2 2 2" xfId="37621" xr:uid="{00000000-0005-0000-0000-0000708D0000}"/>
    <cellStyle name="Normal 6 3 5 3 3 2 2 3" xfId="37620" xr:uid="{00000000-0005-0000-0000-0000718D0000}"/>
    <cellStyle name="Normal 6 3 5 3 3 2 3" xfId="14141" xr:uid="{00000000-0005-0000-0000-0000728D0000}"/>
    <cellStyle name="Normal 6 3 5 3 3 2 3 2" xfId="37622" xr:uid="{00000000-0005-0000-0000-0000738D0000}"/>
    <cellStyle name="Normal 6 3 5 3 3 2 4" xfId="37619" xr:uid="{00000000-0005-0000-0000-0000748D0000}"/>
    <cellStyle name="Normal 6 3 5 3 3 3" xfId="14142" xr:uid="{00000000-0005-0000-0000-0000758D0000}"/>
    <cellStyle name="Normal 6 3 5 3 3 3 2" xfId="14143" xr:uid="{00000000-0005-0000-0000-0000768D0000}"/>
    <cellStyle name="Normal 6 3 5 3 3 3 2 2" xfId="37624" xr:uid="{00000000-0005-0000-0000-0000778D0000}"/>
    <cellStyle name="Normal 6 3 5 3 3 3 3" xfId="37623" xr:uid="{00000000-0005-0000-0000-0000788D0000}"/>
    <cellStyle name="Normal 6 3 5 3 3 4" xfId="14144" xr:uid="{00000000-0005-0000-0000-0000798D0000}"/>
    <cellStyle name="Normal 6 3 5 3 3 4 2" xfId="37625" xr:uid="{00000000-0005-0000-0000-00007A8D0000}"/>
    <cellStyle name="Normal 6 3 5 3 3 5" xfId="37618" xr:uid="{00000000-0005-0000-0000-00007B8D0000}"/>
    <cellStyle name="Normal 6 3 5 3 4" xfId="14145" xr:uid="{00000000-0005-0000-0000-00007C8D0000}"/>
    <cellStyle name="Normal 6 3 5 3 4 2" xfId="14146" xr:uid="{00000000-0005-0000-0000-00007D8D0000}"/>
    <cellStyle name="Normal 6 3 5 3 4 2 2" xfId="14147" xr:uid="{00000000-0005-0000-0000-00007E8D0000}"/>
    <cellStyle name="Normal 6 3 5 3 4 2 2 2" xfId="37628" xr:uid="{00000000-0005-0000-0000-00007F8D0000}"/>
    <cellStyle name="Normal 6 3 5 3 4 2 3" xfId="37627" xr:uid="{00000000-0005-0000-0000-0000808D0000}"/>
    <cellStyle name="Normal 6 3 5 3 4 3" xfId="14148" xr:uid="{00000000-0005-0000-0000-0000818D0000}"/>
    <cellStyle name="Normal 6 3 5 3 4 3 2" xfId="37629" xr:uid="{00000000-0005-0000-0000-0000828D0000}"/>
    <cellStyle name="Normal 6 3 5 3 4 4" xfId="37626" xr:uid="{00000000-0005-0000-0000-0000838D0000}"/>
    <cellStyle name="Normal 6 3 5 3 5" xfId="14149" xr:uid="{00000000-0005-0000-0000-0000848D0000}"/>
    <cellStyle name="Normal 6 3 5 3 5 2" xfId="14150" xr:uid="{00000000-0005-0000-0000-0000858D0000}"/>
    <cellStyle name="Normal 6 3 5 3 5 2 2" xfId="37631" xr:uid="{00000000-0005-0000-0000-0000868D0000}"/>
    <cellStyle name="Normal 6 3 5 3 5 3" xfId="37630" xr:uid="{00000000-0005-0000-0000-0000878D0000}"/>
    <cellStyle name="Normal 6 3 5 3 6" xfId="14151" xr:uid="{00000000-0005-0000-0000-0000888D0000}"/>
    <cellStyle name="Normal 6 3 5 3 6 2" xfId="37632" xr:uid="{00000000-0005-0000-0000-0000898D0000}"/>
    <cellStyle name="Normal 6 3 5 3 7" xfId="37609" xr:uid="{00000000-0005-0000-0000-00008A8D0000}"/>
    <cellStyle name="Normal 6 3 5 4" xfId="14152" xr:uid="{00000000-0005-0000-0000-00008B8D0000}"/>
    <cellStyle name="Normal 6 3 5 4 2" xfId="14153" xr:uid="{00000000-0005-0000-0000-00008C8D0000}"/>
    <cellStyle name="Normal 6 3 5 4 2 2" xfId="14154" xr:uid="{00000000-0005-0000-0000-00008D8D0000}"/>
    <cellStyle name="Normal 6 3 5 4 2 2 2" xfId="14155" xr:uid="{00000000-0005-0000-0000-00008E8D0000}"/>
    <cellStyle name="Normal 6 3 5 4 2 2 2 2" xfId="14156" xr:uid="{00000000-0005-0000-0000-00008F8D0000}"/>
    <cellStyle name="Normal 6 3 5 4 2 2 2 2 2" xfId="37637" xr:uid="{00000000-0005-0000-0000-0000908D0000}"/>
    <cellStyle name="Normal 6 3 5 4 2 2 2 3" xfId="37636" xr:uid="{00000000-0005-0000-0000-0000918D0000}"/>
    <cellStyle name="Normal 6 3 5 4 2 2 3" xfId="14157" xr:uid="{00000000-0005-0000-0000-0000928D0000}"/>
    <cellStyle name="Normal 6 3 5 4 2 2 3 2" xfId="37638" xr:uid="{00000000-0005-0000-0000-0000938D0000}"/>
    <cellStyle name="Normal 6 3 5 4 2 2 4" xfId="37635" xr:uid="{00000000-0005-0000-0000-0000948D0000}"/>
    <cellStyle name="Normal 6 3 5 4 2 3" xfId="14158" xr:uid="{00000000-0005-0000-0000-0000958D0000}"/>
    <cellStyle name="Normal 6 3 5 4 2 3 2" xfId="14159" xr:uid="{00000000-0005-0000-0000-0000968D0000}"/>
    <cellStyle name="Normal 6 3 5 4 2 3 2 2" xfId="37640" xr:uid="{00000000-0005-0000-0000-0000978D0000}"/>
    <cellStyle name="Normal 6 3 5 4 2 3 3" xfId="37639" xr:uid="{00000000-0005-0000-0000-0000988D0000}"/>
    <cellStyle name="Normal 6 3 5 4 2 4" xfId="14160" xr:uid="{00000000-0005-0000-0000-0000998D0000}"/>
    <cellStyle name="Normal 6 3 5 4 2 4 2" xfId="37641" xr:uid="{00000000-0005-0000-0000-00009A8D0000}"/>
    <cellStyle name="Normal 6 3 5 4 2 5" xfId="37634" xr:uid="{00000000-0005-0000-0000-00009B8D0000}"/>
    <cellStyle name="Normal 6 3 5 4 3" xfId="14161" xr:uid="{00000000-0005-0000-0000-00009C8D0000}"/>
    <cellStyle name="Normal 6 3 5 4 3 2" xfId="14162" xr:uid="{00000000-0005-0000-0000-00009D8D0000}"/>
    <cellStyle name="Normal 6 3 5 4 3 2 2" xfId="14163" xr:uid="{00000000-0005-0000-0000-00009E8D0000}"/>
    <cellStyle name="Normal 6 3 5 4 3 2 2 2" xfId="14164" xr:uid="{00000000-0005-0000-0000-00009F8D0000}"/>
    <cellStyle name="Normal 6 3 5 4 3 2 2 2 2" xfId="37645" xr:uid="{00000000-0005-0000-0000-0000A08D0000}"/>
    <cellStyle name="Normal 6 3 5 4 3 2 2 3" xfId="37644" xr:uid="{00000000-0005-0000-0000-0000A18D0000}"/>
    <cellStyle name="Normal 6 3 5 4 3 2 3" xfId="14165" xr:uid="{00000000-0005-0000-0000-0000A28D0000}"/>
    <cellStyle name="Normal 6 3 5 4 3 2 3 2" xfId="37646" xr:uid="{00000000-0005-0000-0000-0000A38D0000}"/>
    <cellStyle name="Normal 6 3 5 4 3 2 4" xfId="37643" xr:uid="{00000000-0005-0000-0000-0000A48D0000}"/>
    <cellStyle name="Normal 6 3 5 4 3 3" xfId="14166" xr:uid="{00000000-0005-0000-0000-0000A58D0000}"/>
    <cellStyle name="Normal 6 3 5 4 3 3 2" xfId="14167" xr:uid="{00000000-0005-0000-0000-0000A68D0000}"/>
    <cellStyle name="Normal 6 3 5 4 3 3 2 2" xfId="37648" xr:uid="{00000000-0005-0000-0000-0000A78D0000}"/>
    <cellStyle name="Normal 6 3 5 4 3 3 3" xfId="37647" xr:uid="{00000000-0005-0000-0000-0000A88D0000}"/>
    <cellStyle name="Normal 6 3 5 4 3 4" xfId="14168" xr:uid="{00000000-0005-0000-0000-0000A98D0000}"/>
    <cellStyle name="Normal 6 3 5 4 3 4 2" xfId="37649" xr:uid="{00000000-0005-0000-0000-0000AA8D0000}"/>
    <cellStyle name="Normal 6 3 5 4 3 5" xfId="37642" xr:uid="{00000000-0005-0000-0000-0000AB8D0000}"/>
    <cellStyle name="Normal 6 3 5 4 4" xfId="14169" xr:uid="{00000000-0005-0000-0000-0000AC8D0000}"/>
    <cellStyle name="Normal 6 3 5 4 4 2" xfId="14170" xr:uid="{00000000-0005-0000-0000-0000AD8D0000}"/>
    <cellStyle name="Normal 6 3 5 4 4 2 2" xfId="14171" xr:uid="{00000000-0005-0000-0000-0000AE8D0000}"/>
    <cellStyle name="Normal 6 3 5 4 4 2 2 2" xfId="37652" xr:uid="{00000000-0005-0000-0000-0000AF8D0000}"/>
    <cellStyle name="Normal 6 3 5 4 4 2 3" xfId="37651" xr:uid="{00000000-0005-0000-0000-0000B08D0000}"/>
    <cellStyle name="Normal 6 3 5 4 4 3" xfId="14172" xr:uid="{00000000-0005-0000-0000-0000B18D0000}"/>
    <cellStyle name="Normal 6 3 5 4 4 3 2" xfId="37653" xr:uid="{00000000-0005-0000-0000-0000B28D0000}"/>
    <cellStyle name="Normal 6 3 5 4 4 4" xfId="37650" xr:uid="{00000000-0005-0000-0000-0000B38D0000}"/>
    <cellStyle name="Normal 6 3 5 4 5" xfId="14173" xr:uid="{00000000-0005-0000-0000-0000B48D0000}"/>
    <cellStyle name="Normal 6 3 5 4 5 2" xfId="14174" xr:uid="{00000000-0005-0000-0000-0000B58D0000}"/>
    <cellStyle name="Normal 6 3 5 4 5 2 2" xfId="37655" xr:uid="{00000000-0005-0000-0000-0000B68D0000}"/>
    <cellStyle name="Normal 6 3 5 4 5 3" xfId="37654" xr:uid="{00000000-0005-0000-0000-0000B78D0000}"/>
    <cellStyle name="Normal 6 3 5 4 6" xfId="14175" xr:uid="{00000000-0005-0000-0000-0000B88D0000}"/>
    <cellStyle name="Normal 6 3 5 4 6 2" xfId="37656" xr:uid="{00000000-0005-0000-0000-0000B98D0000}"/>
    <cellStyle name="Normal 6 3 5 4 7" xfId="37633" xr:uid="{00000000-0005-0000-0000-0000BA8D0000}"/>
    <cellStyle name="Normal 6 3 5 5" xfId="14176" xr:uid="{00000000-0005-0000-0000-0000BB8D0000}"/>
    <cellStyle name="Normal 6 3 5 5 2" xfId="14177" xr:uid="{00000000-0005-0000-0000-0000BC8D0000}"/>
    <cellStyle name="Normal 6 3 5 5 2 2" xfId="14178" xr:uid="{00000000-0005-0000-0000-0000BD8D0000}"/>
    <cellStyle name="Normal 6 3 5 5 2 2 2" xfId="14179" xr:uid="{00000000-0005-0000-0000-0000BE8D0000}"/>
    <cellStyle name="Normal 6 3 5 5 2 2 2 2" xfId="37660" xr:uid="{00000000-0005-0000-0000-0000BF8D0000}"/>
    <cellStyle name="Normal 6 3 5 5 2 2 3" xfId="37659" xr:uid="{00000000-0005-0000-0000-0000C08D0000}"/>
    <cellStyle name="Normal 6 3 5 5 2 3" xfId="14180" xr:uid="{00000000-0005-0000-0000-0000C18D0000}"/>
    <cellStyle name="Normal 6 3 5 5 2 3 2" xfId="37661" xr:uid="{00000000-0005-0000-0000-0000C28D0000}"/>
    <cellStyle name="Normal 6 3 5 5 2 4" xfId="37658" xr:uid="{00000000-0005-0000-0000-0000C38D0000}"/>
    <cellStyle name="Normal 6 3 5 5 3" xfId="14181" xr:uid="{00000000-0005-0000-0000-0000C48D0000}"/>
    <cellStyle name="Normal 6 3 5 5 3 2" xfId="14182" xr:uid="{00000000-0005-0000-0000-0000C58D0000}"/>
    <cellStyle name="Normal 6 3 5 5 3 2 2" xfId="37663" xr:uid="{00000000-0005-0000-0000-0000C68D0000}"/>
    <cellStyle name="Normal 6 3 5 5 3 3" xfId="37662" xr:uid="{00000000-0005-0000-0000-0000C78D0000}"/>
    <cellStyle name="Normal 6 3 5 5 4" xfId="14183" xr:uid="{00000000-0005-0000-0000-0000C88D0000}"/>
    <cellStyle name="Normal 6 3 5 5 4 2" xfId="37664" xr:uid="{00000000-0005-0000-0000-0000C98D0000}"/>
    <cellStyle name="Normal 6 3 5 5 5" xfId="37657" xr:uid="{00000000-0005-0000-0000-0000CA8D0000}"/>
    <cellStyle name="Normal 6 3 5 6" xfId="14184" xr:uid="{00000000-0005-0000-0000-0000CB8D0000}"/>
    <cellStyle name="Normal 6 3 5 6 2" xfId="14185" xr:uid="{00000000-0005-0000-0000-0000CC8D0000}"/>
    <cellStyle name="Normal 6 3 5 6 2 2" xfId="14186" xr:uid="{00000000-0005-0000-0000-0000CD8D0000}"/>
    <cellStyle name="Normal 6 3 5 6 2 2 2" xfId="14187" xr:uid="{00000000-0005-0000-0000-0000CE8D0000}"/>
    <cellStyle name="Normal 6 3 5 6 2 2 2 2" xfId="37668" xr:uid="{00000000-0005-0000-0000-0000CF8D0000}"/>
    <cellStyle name="Normal 6 3 5 6 2 2 3" xfId="37667" xr:uid="{00000000-0005-0000-0000-0000D08D0000}"/>
    <cellStyle name="Normal 6 3 5 6 2 3" xfId="14188" xr:uid="{00000000-0005-0000-0000-0000D18D0000}"/>
    <cellStyle name="Normal 6 3 5 6 2 3 2" xfId="37669" xr:uid="{00000000-0005-0000-0000-0000D28D0000}"/>
    <cellStyle name="Normal 6 3 5 6 2 4" xfId="37666" xr:uid="{00000000-0005-0000-0000-0000D38D0000}"/>
    <cellStyle name="Normal 6 3 5 6 3" xfId="14189" xr:uid="{00000000-0005-0000-0000-0000D48D0000}"/>
    <cellStyle name="Normal 6 3 5 6 3 2" xfId="14190" xr:uid="{00000000-0005-0000-0000-0000D58D0000}"/>
    <cellStyle name="Normal 6 3 5 6 3 2 2" xfId="37671" xr:uid="{00000000-0005-0000-0000-0000D68D0000}"/>
    <cellStyle name="Normal 6 3 5 6 3 3" xfId="37670" xr:uid="{00000000-0005-0000-0000-0000D78D0000}"/>
    <cellStyle name="Normal 6 3 5 6 4" xfId="14191" xr:uid="{00000000-0005-0000-0000-0000D88D0000}"/>
    <cellStyle name="Normal 6 3 5 6 4 2" xfId="37672" xr:uid="{00000000-0005-0000-0000-0000D98D0000}"/>
    <cellStyle name="Normal 6 3 5 6 5" xfId="37665" xr:uid="{00000000-0005-0000-0000-0000DA8D0000}"/>
    <cellStyle name="Normal 6 3 5 7" xfId="14192" xr:uid="{00000000-0005-0000-0000-0000DB8D0000}"/>
    <cellStyle name="Normal 6 3 5 7 2" xfId="14193" xr:uid="{00000000-0005-0000-0000-0000DC8D0000}"/>
    <cellStyle name="Normal 6 3 5 7 2 2" xfId="14194" xr:uid="{00000000-0005-0000-0000-0000DD8D0000}"/>
    <cellStyle name="Normal 6 3 5 7 2 2 2" xfId="37675" xr:uid="{00000000-0005-0000-0000-0000DE8D0000}"/>
    <cellStyle name="Normal 6 3 5 7 2 3" xfId="37674" xr:uid="{00000000-0005-0000-0000-0000DF8D0000}"/>
    <cellStyle name="Normal 6 3 5 7 3" xfId="14195" xr:uid="{00000000-0005-0000-0000-0000E08D0000}"/>
    <cellStyle name="Normal 6 3 5 7 3 2" xfId="37676" xr:uid="{00000000-0005-0000-0000-0000E18D0000}"/>
    <cellStyle name="Normal 6 3 5 7 4" xfId="37673" xr:uid="{00000000-0005-0000-0000-0000E28D0000}"/>
    <cellStyle name="Normal 6 3 5 8" xfId="14196" xr:uid="{00000000-0005-0000-0000-0000E38D0000}"/>
    <cellStyle name="Normal 6 3 5 8 2" xfId="14197" xr:uid="{00000000-0005-0000-0000-0000E48D0000}"/>
    <cellStyle name="Normal 6 3 5 8 2 2" xfId="37678" xr:uid="{00000000-0005-0000-0000-0000E58D0000}"/>
    <cellStyle name="Normal 6 3 5 8 3" xfId="37677" xr:uid="{00000000-0005-0000-0000-0000E68D0000}"/>
    <cellStyle name="Normal 6 3 5 9" xfId="14198" xr:uid="{00000000-0005-0000-0000-0000E78D0000}"/>
    <cellStyle name="Normal 6 3 5 9 2" xfId="37679" xr:uid="{00000000-0005-0000-0000-0000E88D0000}"/>
    <cellStyle name="Normal 6 3 6" xfId="14199" xr:uid="{00000000-0005-0000-0000-0000E98D0000}"/>
    <cellStyle name="Normal 6 3 6 2" xfId="14200" xr:uid="{00000000-0005-0000-0000-0000EA8D0000}"/>
    <cellStyle name="Normal 6 3 6 2 2" xfId="14201" xr:uid="{00000000-0005-0000-0000-0000EB8D0000}"/>
    <cellStyle name="Normal 6 3 6 2 2 2" xfId="14202" xr:uid="{00000000-0005-0000-0000-0000EC8D0000}"/>
    <cellStyle name="Normal 6 3 6 2 2 2 2" xfId="14203" xr:uid="{00000000-0005-0000-0000-0000ED8D0000}"/>
    <cellStyle name="Normal 6 3 6 2 2 2 2 2" xfId="37684" xr:uid="{00000000-0005-0000-0000-0000EE8D0000}"/>
    <cellStyle name="Normal 6 3 6 2 2 2 3" xfId="37683" xr:uid="{00000000-0005-0000-0000-0000EF8D0000}"/>
    <cellStyle name="Normal 6 3 6 2 2 3" xfId="14204" xr:uid="{00000000-0005-0000-0000-0000F08D0000}"/>
    <cellStyle name="Normal 6 3 6 2 2 3 2" xfId="37685" xr:uid="{00000000-0005-0000-0000-0000F18D0000}"/>
    <cellStyle name="Normal 6 3 6 2 2 4" xfId="37682" xr:uid="{00000000-0005-0000-0000-0000F28D0000}"/>
    <cellStyle name="Normal 6 3 6 2 3" xfId="14205" xr:uid="{00000000-0005-0000-0000-0000F38D0000}"/>
    <cellStyle name="Normal 6 3 6 2 3 2" xfId="14206" xr:uid="{00000000-0005-0000-0000-0000F48D0000}"/>
    <cellStyle name="Normal 6 3 6 2 3 2 2" xfId="37687" xr:uid="{00000000-0005-0000-0000-0000F58D0000}"/>
    <cellStyle name="Normal 6 3 6 2 3 3" xfId="37686" xr:uid="{00000000-0005-0000-0000-0000F68D0000}"/>
    <cellStyle name="Normal 6 3 6 2 4" xfId="14207" xr:uid="{00000000-0005-0000-0000-0000F78D0000}"/>
    <cellStyle name="Normal 6 3 6 2 4 2" xfId="37688" xr:uid="{00000000-0005-0000-0000-0000F88D0000}"/>
    <cellStyle name="Normal 6 3 6 2 5" xfId="37681" xr:uid="{00000000-0005-0000-0000-0000F98D0000}"/>
    <cellStyle name="Normal 6 3 6 3" xfId="14208" xr:uid="{00000000-0005-0000-0000-0000FA8D0000}"/>
    <cellStyle name="Normal 6 3 6 3 2" xfId="14209" xr:uid="{00000000-0005-0000-0000-0000FB8D0000}"/>
    <cellStyle name="Normal 6 3 6 3 2 2" xfId="14210" xr:uid="{00000000-0005-0000-0000-0000FC8D0000}"/>
    <cellStyle name="Normal 6 3 6 3 2 2 2" xfId="14211" xr:uid="{00000000-0005-0000-0000-0000FD8D0000}"/>
    <cellStyle name="Normal 6 3 6 3 2 2 2 2" xfId="37692" xr:uid="{00000000-0005-0000-0000-0000FE8D0000}"/>
    <cellStyle name="Normal 6 3 6 3 2 2 3" xfId="37691" xr:uid="{00000000-0005-0000-0000-0000FF8D0000}"/>
    <cellStyle name="Normal 6 3 6 3 2 3" xfId="14212" xr:uid="{00000000-0005-0000-0000-0000008E0000}"/>
    <cellStyle name="Normal 6 3 6 3 2 3 2" xfId="37693" xr:uid="{00000000-0005-0000-0000-0000018E0000}"/>
    <cellStyle name="Normal 6 3 6 3 2 4" xfId="37690" xr:uid="{00000000-0005-0000-0000-0000028E0000}"/>
    <cellStyle name="Normal 6 3 6 3 3" xfId="14213" xr:uid="{00000000-0005-0000-0000-0000038E0000}"/>
    <cellStyle name="Normal 6 3 6 3 3 2" xfId="14214" xr:uid="{00000000-0005-0000-0000-0000048E0000}"/>
    <cellStyle name="Normal 6 3 6 3 3 2 2" xfId="37695" xr:uid="{00000000-0005-0000-0000-0000058E0000}"/>
    <cellStyle name="Normal 6 3 6 3 3 3" xfId="37694" xr:uid="{00000000-0005-0000-0000-0000068E0000}"/>
    <cellStyle name="Normal 6 3 6 3 4" xfId="14215" xr:uid="{00000000-0005-0000-0000-0000078E0000}"/>
    <cellStyle name="Normal 6 3 6 3 4 2" xfId="37696" xr:uid="{00000000-0005-0000-0000-0000088E0000}"/>
    <cellStyle name="Normal 6 3 6 3 5" xfId="37689" xr:uid="{00000000-0005-0000-0000-0000098E0000}"/>
    <cellStyle name="Normal 6 3 6 4" xfId="14216" xr:uid="{00000000-0005-0000-0000-00000A8E0000}"/>
    <cellStyle name="Normal 6 3 6 4 2" xfId="14217" xr:uid="{00000000-0005-0000-0000-00000B8E0000}"/>
    <cellStyle name="Normal 6 3 6 4 2 2" xfId="14218" xr:uid="{00000000-0005-0000-0000-00000C8E0000}"/>
    <cellStyle name="Normal 6 3 6 4 2 2 2" xfId="37699" xr:uid="{00000000-0005-0000-0000-00000D8E0000}"/>
    <cellStyle name="Normal 6 3 6 4 2 3" xfId="37698" xr:uid="{00000000-0005-0000-0000-00000E8E0000}"/>
    <cellStyle name="Normal 6 3 6 4 3" xfId="14219" xr:uid="{00000000-0005-0000-0000-00000F8E0000}"/>
    <cellStyle name="Normal 6 3 6 4 3 2" xfId="37700" xr:uid="{00000000-0005-0000-0000-0000108E0000}"/>
    <cellStyle name="Normal 6 3 6 4 4" xfId="37697" xr:uid="{00000000-0005-0000-0000-0000118E0000}"/>
    <cellStyle name="Normal 6 3 6 5" xfId="14220" xr:uid="{00000000-0005-0000-0000-0000128E0000}"/>
    <cellStyle name="Normal 6 3 6 5 2" xfId="14221" xr:uid="{00000000-0005-0000-0000-0000138E0000}"/>
    <cellStyle name="Normal 6 3 6 5 2 2" xfId="37702" xr:uid="{00000000-0005-0000-0000-0000148E0000}"/>
    <cellStyle name="Normal 6 3 6 5 3" xfId="37701" xr:uid="{00000000-0005-0000-0000-0000158E0000}"/>
    <cellStyle name="Normal 6 3 6 6" xfId="14222" xr:uid="{00000000-0005-0000-0000-0000168E0000}"/>
    <cellStyle name="Normal 6 3 6 6 2" xfId="37703" xr:uid="{00000000-0005-0000-0000-0000178E0000}"/>
    <cellStyle name="Normal 6 3 6 7" xfId="37680" xr:uid="{00000000-0005-0000-0000-0000188E0000}"/>
    <cellStyle name="Normal 6 3 7" xfId="14223" xr:uid="{00000000-0005-0000-0000-0000198E0000}"/>
    <cellStyle name="Normal 6 3 7 2" xfId="14224" xr:uid="{00000000-0005-0000-0000-00001A8E0000}"/>
    <cellStyle name="Normal 6 3 7 2 2" xfId="14225" xr:uid="{00000000-0005-0000-0000-00001B8E0000}"/>
    <cellStyle name="Normal 6 3 7 2 2 2" xfId="14226" xr:uid="{00000000-0005-0000-0000-00001C8E0000}"/>
    <cellStyle name="Normal 6 3 7 2 2 2 2" xfId="14227" xr:uid="{00000000-0005-0000-0000-00001D8E0000}"/>
    <cellStyle name="Normal 6 3 7 2 2 2 2 2" xfId="37708" xr:uid="{00000000-0005-0000-0000-00001E8E0000}"/>
    <cellStyle name="Normal 6 3 7 2 2 2 3" xfId="37707" xr:uid="{00000000-0005-0000-0000-00001F8E0000}"/>
    <cellStyle name="Normal 6 3 7 2 2 3" xfId="14228" xr:uid="{00000000-0005-0000-0000-0000208E0000}"/>
    <cellStyle name="Normal 6 3 7 2 2 3 2" xfId="37709" xr:uid="{00000000-0005-0000-0000-0000218E0000}"/>
    <cellStyle name="Normal 6 3 7 2 2 4" xfId="37706" xr:uid="{00000000-0005-0000-0000-0000228E0000}"/>
    <cellStyle name="Normal 6 3 7 2 3" xfId="14229" xr:uid="{00000000-0005-0000-0000-0000238E0000}"/>
    <cellStyle name="Normal 6 3 7 2 3 2" xfId="14230" xr:uid="{00000000-0005-0000-0000-0000248E0000}"/>
    <cellStyle name="Normal 6 3 7 2 3 2 2" xfId="37711" xr:uid="{00000000-0005-0000-0000-0000258E0000}"/>
    <cellStyle name="Normal 6 3 7 2 3 3" xfId="37710" xr:uid="{00000000-0005-0000-0000-0000268E0000}"/>
    <cellStyle name="Normal 6 3 7 2 4" xfId="14231" xr:uid="{00000000-0005-0000-0000-0000278E0000}"/>
    <cellStyle name="Normal 6 3 7 2 4 2" xfId="37712" xr:uid="{00000000-0005-0000-0000-0000288E0000}"/>
    <cellStyle name="Normal 6 3 7 2 5" xfId="37705" xr:uid="{00000000-0005-0000-0000-0000298E0000}"/>
    <cellStyle name="Normal 6 3 7 3" xfId="14232" xr:uid="{00000000-0005-0000-0000-00002A8E0000}"/>
    <cellStyle name="Normal 6 3 7 3 2" xfId="14233" xr:uid="{00000000-0005-0000-0000-00002B8E0000}"/>
    <cellStyle name="Normal 6 3 7 3 2 2" xfId="14234" xr:uid="{00000000-0005-0000-0000-00002C8E0000}"/>
    <cellStyle name="Normal 6 3 7 3 2 2 2" xfId="14235" xr:uid="{00000000-0005-0000-0000-00002D8E0000}"/>
    <cellStyle name="Normal 6 3 7 3 2 2 2 2" xfId="37716" xr:uid="{00000000-0005-0000-0000-00002E8E0000}"/>
    <cellStyle name="Normal 6 3 7 3 2 2 3" xfId="37715" xr:uid="{00000000-0005-0000-0000-00002F8E0000}"/>
    <cellStyle name="Normal 6 3 7 3 2 3" xfId="14236" xr:uid="{00000000-0005-0000-0000-0000308E0000}"/>
    <cellStyle name="Normal 6 3 7 3 2 3 2" xfId="37717" xr:uid="{00000000-0005-0000-0000-0000318E0000}"/>
    <cellStyle name="Normal 6 3 7 3 2 4" xfId="37714" xr:uid="{00000000-0005-0000-0000-0000328E0000}"/>
    <cellStyle name="Normal 6 3 7 3 3" xfId="14237" xr:uid="{00000000-0005-0000-0000-0000338E0000}"/>
    <cellStyle name="Normal 6 3 7 3 3 2" xfId="14238" xr:uid="{00000000-0005-0000-0000-0000348E0000}"/>
    <cellStyle name="Normal 6 3 7 3 3 2 2" xfId="37719" xr:uid="{00000000-0005-0000-0000-0000358E0000}"/>
    <cellStyle name="Normal 6 3 7 3 3 3" xfId="37718" xr:uid="{00000000-0005-0000-0000-0000368E0000}"/>
    <cellStyle name="Normal 6 3 7 3 4" xfId="14239" xr:uid="{00000000-0005-0000-0000-0000378E0000}"/>
    <cellStyle name="Normal 6 3 7 3 4 2" xfId="37720" xr:uid="{00000000-0005-0000-0000-0000388E0000}"/>
    <cellStyle name="Normal 6 3 7 3 5" xfId="37713" xr:uid="{00000000-0005-0000-0000-0000398E0000}"/>
    <cellStyle name="Normal 6 3 7 4" xfId="14240" xr:uid="{00000000-0005-0000-0000-00003A8E0000}"/>
    <cellStyle name="Normal 6 3 7 4 2" xfId="14241" xr:uid="{00000000-0005-0000-0000-00003B8E0000}"/>
    <cellStyle name="Normal 6 3 7 4 2 2" xfId="14242" xr:uid="{00000000-0005-0000-0000-00003C8E0000}"/>
    <cellStyle name="Normal 6 3 7 4 2 2 2" xfId="37723" xr:uid="{00000000-0005-0000-0000-00003D8E0000}"/>
    <cellStyle name="Normal 6 3 7 4 2 3" xfId="37722" xr:uid="{00000000-0005-0000-0000-00003E8E0000}"/>
    <cellStyle name="Normal 6 3 7 4 3" xfId="14243" xr:uid="{00000000-0005-0000-0000-00003F8E0000}"/>
    <cellStyle name="Normal 6 3 7 4 3 2" xfId="37724" xr:uid="{00000000-0005-0000-0000-0000408E0000}"/>
    <cellStyle name="Normal 6 3 7 4 4" xfId="37721" xr:uid="{00000000-0005-0000-0000-0000418E0000}"/>
    <cellStyle name="Normal 6 3 7 5" xfId="14244" xr:uid="{00000000-0005-0000-0000-0000428E0000}"/>
    <cellStyle name="Normal 6 3 7 5 2" xfId="14245" xr:uid="{00000000-0005-0000-0000-0000438E0000}"/>
    <cellStyle name="Normal 6 3 7 5 2 2" xfId="37726" xr:uid="{00000000-0005-0000-0000-0000448E0000}"/>
    <cellStyle name="Normal 6 3 7 5 3" xfId="37725" xr:uid="{00000000-0005-0000-0000-0000458E0000}"/>
    <cellStyle name="Normal 6 3 7 6" xfId="14246" xr:uid="{00000000-0005-0000-0000-0000468E0000}"/>
    <cellStyle name="Normal 6 3 7 6 2" xfId="37727" xr:uid="{00000000-0005-0000-0000-0000478E0000}"/>
    <cellStyle name="Normal 6 3 7 7" xfId="37704" xr:uid="{00000000-0005-0000-0000-0000488E0000}"/>
    <cellStyle name="Normal 6 3 8" xfId="14247" xr:uid="{00000000-0005-0000-0000-0000498E0000}"/>
    <cellStyle name="Normal 6 3 8 2" xfId="14248" xr:uid="{00000000-0005-0000-0000-00004A8E0000}"/>
    <cellStyle name="Normal 6 3 8 2 2" xfId="14249" xr:uid="{00000000-0005-0000-0000-00004B8E0000}"/>
    <cellStyle name="Normal 6 3 8 2 2 2" xfId="14250" xr:uid="{00000000-0005-0000-0000-00004C8E0000}"/>
    <cellStyle name="Normal 6 3 8 2 2 2 2" xfId="14251" xr:uid="{00000000-0005-0000-0000-00004D8E0000}"/>
    <cellStyle name="Normal 6 3 8 2 2 2 2 2" xfId="37732" xr:uid="{00000000-0005-0000-0000-00004E8E0000}"/>
    <cellStyle name="Normal 6 3 8 2 2 2 3" xfId="37731" xr:uid="{00000000-0005-0000-0000-00004F8E0000}"/>
    <cellStyle name="Normal 6 3 8 2 2 3" xfId="14252" xr:uid="{00000000-0005-0000-0000-0000508E0000}"/>
    <cellStyle name="Normal 6 3 8 2 2 3 2" xfId="37733" xr:uid="{00000000-0005-0000-0000-0000518E0000}"/>
    <cellStyle name="Normal 6 3 8 2 2 4" xfId="37730" xr:uid="{00000000-0005-0000-0000-0000528E0000}"/>
    <cellStyle name="Normal 6 3 8 2 3" xfId="14253" xr:uid="{00000000-0005-0000-0000-0000538E0000}"/>
    <cellStyle name="Normal 6 3 8 2 3 2" xfId="14254" xr:uid="{00000000-0005-0000-0000-0000548E0000}"/>
    <cellStyle name="Normal 6 3 8 2 3 2 2" xfId="37735" xr:uid="{00000000-0005-0000-0000-0000558E0000}"/>
    <cellStyle name="Normal 6 3 8 2 3 3" xfId="37734" xr:uid="{00000000-0005-0000-0000-0000568E0000}"/>
    <cellStyle name="Normal 6 3 8 2 4" xfId="14255" xr:uid="{00000000-0005-0000-0000-0000578E0000}"/>
    <cellStyle name="Normal 6 3 8 2 4 2" xfId="37736" xr:uid="{00000000-0005-0000-0000-0000588E0000}"/>
    <cellStyle name="Normal 6 3 8 2 5" xfId="37729" xr:uid="{00000000-0005-0000-0000-0000598E0000}"/>
    <cellStyle name="Normal 6 3 8 3" xfId="14256" xr:uid="{00000000-0005-0000-0000-00005A8E0000}"/>
    <cellStyle name="Normal 6 3 8 3 2" xfId="14257" xr:uid="{00000000-0005-0000-0000-00005B8E0000}"/>
    <cellStyle name="Normal 6 3 8 3 2 2" xfId="14258" xr:uid="{00000000-0005-0000-0000-00005C8E0000}"/>
    <cellStyle name="Normal 6 3 8 3 2 2 2" xfId="14259" xr:uid="{00000000-0005-0000-0000-00005D8E0000}"/>
    <cellStyle name="Normal 6 3 8 3 2 2 2 2" xfId="37740" xr:uid="{00000000-0005-0000-0000-00005E8E0000}"/>
    <cellStyle name="Normal 6 3 8 3 2 2 3" xfId="37739" xr:uid="{00000000-0005-0000-0000-00005F8E0000}"/>
    <cellStyle name="Normal 6 3 8 3 2 3" xfId="14260" xr:uid="{00000000-0005-0000-0000-0000608E0000}"/>
    <cellStyle name="Normal 6 3 8 3 2 3 2" xfId="37741" xr:uid="{00000000-0005-0000-0000-0000618E0000}"/>
    <cellStyle name="Normal 6 3 8 3 2 4" xfId="37738" xr:uid="{00000000-0005-0000-0000-0000628E0000}"/>
    <cellStyle name="Normal 6 3 8 3 3" xfId="14261" xr:uid="{00000000-0005-0000-0000-0000638E0000}"/>
    <cellStyle name="Normal 6 3 8 3 3 2" xfId="14262" xr:uid="{00000000-0005-0000-0000-0000648E0000}"/>
    <cellStyle name="Normal 6 3 8 3 3 2 2" xfId="37743" xr:uid="{00000000-0005-0000-0000-0000658E0000}"/>
    <cellStyle name="Normal 6 3 8 3 3 3" xfId="37742" xr:uid="{00000000-0005-0000-0000-0000668E0000}"/>
    <cellStyle name="Normal 6 3 8 3 4" xfId="14263" xr:uid="{00000000-0005-0000-0000-0000678E0000}"/>
    <cellStyle name="Normal 6 3 8 3 4 2" xfId="37744" xr:uid="{00000000-0005-0000-0000-0000688E0000}"/>
    <cellStyle name="Normal 6 3 8 3 5" xfId="37737" xr:uid="{00000000-0005-0000-0000-0000698E0000}"/>
    <cellStyle name="Normal 6 3 8 4" xfId="14264" xr:uid="{00000000-0005-0000-0000-00006A8E0000}"/>
    <cellStyle name="Normal 6 3 8 4 2" xfId="14265" xr:uid="{00000000-0005-0000-0000-00006B8E0000}"/>
    <cellStyle name="Normal 6 3 8 4 2 2" xfId="14266" xr:uid="{00000000-0005-0000-0000-00006C8E0000}"/>
    <cellStyle name="Normal 6 3 8 4 2 2 2" xfId="37747" xr:uid="{00000000-0005-0000-0000-00006D8E0000}"/>
    <cellStyle name="Normal 6 3 8 4 2 3" xfId="37746" xr:uid="{00000000-0005-0000-0000-00006E8E0000}"/>
    <cellStyle name="Normal 6 3 8 4 3" xfId="14267" xr:uid="{00000000-0005-0000-0000-00006F8E0000}"/>
    <cellStyle name="Normal 6 3 8 4 3 2" xfId="37748" xr:uid="{00000000-0005-0000-0000-0000708E0000}"/>
    <cellStyle name="Normal 6 3 8 4 4" xfId="37745" xr:uid="{00000000-0005-0000-0000-0000718E0000}"/>
    <cellStyle name="Normal 6 3 8 5" xfId="14268" xr:uid="{00000000-0005-0000-0000-0000728E0000}"/>
    <cellStyle name="Normal 6 3 8 5 2" xfId="14269" xr:uid="{00000000-0005-0000-0000-0000738E0000}"/>
    <cellStyle name="Normal 6 3 8 5 2 2" xfId="37750" xr:uid="{00000000-0005-0000-0000-0000748E0000}"/>
    <cellStyle name="Normal 6 3 8 5 3" xfId="37749" xr:uid="{00000000-0005-0000-0000-0000758E0000}"/>
    <cellStyle name="Normal 6 3 8 6" xfId="14270" xr:uid="{00000000-0005-0000-0000-0000768E0000}"/>
    <cellStyle name="Normal 6 3 8 6 2" xfId="37751" xr:uid="{00000000-0005-0000-0000-0000778E0000}"/>
    <cellStyle name="Normal 6 3 8 7" xfId="37728" xr:uid="{00000000-0005-0000-0000-0000788E0000}"/>
    <cellStyle name="Normal 6 3 9" xfId="14271" xr:uid="{00000000-0005-0000-0000-0000798E0000}"/>
    <cellStyle name="Normal 6 3 9 2" xfId="14272" xr:uid="{00000000-0005-0000-0000-00007A8E0000}"/>
    <cellStyle name="Normal 6 3 9 2 2" xfId="14273" xr:uid="{00000000-0005-0000-0000-00007B8E0000}"/>
    <cellStyle name="Normal 6 3 9 2 2 2" xfId="14274" xr:uid="{00000000-0005-0000-0000-00007C8E0000}"/>
    <cellStyle name="Normal 6 3 9 2 2 2 2" xfId="14275" xr:uid="{00000000-0005-0000-0000-00007D8E0000}"/>
    <cellStyle name="Normal 6 3 9 2 2 2 2 2" xfId="37756" xr:uid="{00000000-0005-0000-0000-00007E8E0000}"/>
    <cellStyle name="Normal 6 3 9 2 2 2 3" xfId="37755" xr:uid="{00000000-0005-0000-0000-00007F8E0000}"/>
    <cellStyle name="Normal 6 3 9 2 2 3" xfId="14276" xr:uid="{00000000-0005-0000-0000-0000808E0000}"/>
    <cellStyle name="Normal 6 3 9 2 2 3 2" xfId="37757" xr:uid="{00000000-0005-0000-0000-0000818E0000}"/>
    <cellStyle name="Normal 6 3 9 2 2 4" xfId="37754" xr:uid="{00000000-0005-0000-0000-0000828E0000}"/>
    <cellStyle name="Normal 6 3 9 2 3" xfId="14277" xr:uid="{00000000-0005-0000-0000-0000838E0000}"/>
    <cellStyle name="Normal 6 3 9 2 3 2" xfId="14278" xr:uid="{00000000-0005-0000-0000-0000848E0000}"/>
    <cellStyle name="Normal 6 3 9 2 3 2 2" xfId="37759" xr:uid="{00000000-0005-0000-0000-0000858E0000}"/>
    <cellStyle name="Normal 6 3 9 2 3 3" xfId="37758" xr:uid="{00000000-0005-0000-0000-0000868E0000}"/>
    <cellStyle name="Normal 6 3 9 2 4" xfId="14279" xr:uid="{00000000-0005-0000-0000-0000878E0000}"/>
    <cellStyle name="Normal 6 3 9 2 4 2" xfId="37760" xr:uid="{00000000-0005-0000-0000-0000888E0000}"/>
    <cellStyle name="Normal 6 3 9 2 5" xfId="37753" xr:uid="{00000000-0005-0000-0000-0000898E0000}"/>
    <cellStyle name="Normal 6 3 9 3" xfId="14280" xr:uid="{00000000-0005-0000-0000-00008A8E0000}"/>
    <cellStyle name="Normal 6 3 9 3 2" xfId="14281" xr:uid="{00000000-0005-0000-0000-00008B8E0000}"/>
    <cellStyle name="Normal 6 3 9 3 2 2" xfId="14282" xr:uid="{00000000-0005-0000-0000-00008C8E0000}"/>
    <cellStyle name="Normal 6 3 9 3 2 2 2" xfId="14283" xr:uid="{00000000-0005-0000-0000-00008D8E0000}"/>
    <cellStyle name="Normal 6 3 9 3 2 2 2 2" xfId="37764" xr:uid="{00000000-0005-0000-0000-00008E8E0000}"/>
    <cellStyle name="Normal 6 3 9 3 2 2 3" xfId="37763" xr:uid="{00000000-0005-0000-0000-00008F8E0000}"/>
    <cellStyle name="Normal 6 3 9 3 2 3" xfId="14284" xr:uid="{00000000-0005-0000-0000-0000908E0000}"/>
    <cellStyle name="Normal 6 3 9 3 2 3 2" xfId="37765" xr:uid="{00000000-0005-0000-0000-0000918E0000}"/>
    <cellStyle name="Normal 6 3 9 3 2 4" xfId="37762" xr:uid="{00000000-0005-0000-0000-0000928E0000}"/>
    <cellStyle name="Normal 6 3 9 3 3" xfId="14285" xr:uid="{00000000-0005-0000-0000-0000938E0000}"/>
    <cellStyle name="Normal 6 3 9 3 3 2" xfId="14286" xr:uid="{00000000-0005-0000-0000-0000948E0000}"/>
    <cellStyle name="Normal 6 3 9 3 3 2 2" xfId="37767" xr:uid="{00000000-0005-0000-0000-0000958E0000}"/>
    <cellStyle name="Normal 6 3 9 3 3 3" xfId="37766" xr:uid="{00000000-0005-0000-0000-0000968E0000}"/>
    <cellStyle name="Normal 6 3 9 3 4" xfId="14287" xr:uid="{00000000-0005-0000-0000-0000978E0000}"/>
    <cellStyle name="Normal 6 3 9 3 4 2" xfId="37768" xr:uid="{00000000-0005-0000-0000-0000988E0000}"/>
    <cellStyle name="Normal 6 3 9 3 5" xfId="37761" xr:uid="{00000000-0005-0000-0000-0000998E0000}"/>
    <cellStyle name="Normal 6 3 9 4" xfId="14288" xr:uid="{00000000-0005-0000-0000-00009A8E0000}"/>
    <cellStyle name="Normal 6 3 9 4 2" xfId="14289" xr:uid="{00000000-0005-0000-0000-00009B8E0000}"/>
    <cellStyle name="Normal 6 3 9 4 2 2" xfId="14290" xr:uid="{00000000-0005-0000-0000-00009C8E0000}"/>
    <cellStyle name="Normal 6 3 9 4 2 2 2" xfId="37771" xr:uid="{00000000-0005-0000-0000-00009D8E0000}"/>
    <cellStyle name="Normal 6 3 9 4 2 3" xfId="37770" xr:uid="{00000000-0005-0000-0000-00009E8E0000}"/>
    <cellStyle name="Normal 6 3 9 4 3" xfId="14291" xr:uid="{00000000-0005-0000-0000-00009F8E0000}"/>
    <cellStyle name="Normal 6 3 9 4 3 2" xfId="37772" xr:uid="{00000000-0005-0000-0000-0000A08E0000}"/>
    <cellStyle name="Normal 6 3 9 4 4" xfId="37769" xr:uid="{00000000-0005-0000-0000-0000A18E0000}"/>
    <cellStyle name="Normal 6 3 9 5" xfId="14292" xr:uid="{00000000-0005-0000-0000-0000A28E0000}"/>
    <cellStyle name="Normal 6 3 9 5 2" xfId="14293" xr:uid="{00000000-0005-0000-0000-0000A38E0000}"/>
    <cellStyle name="Normal 6 3 9 5 2 2" xfId="37774" xr:uid="{00000000-0005-0000-0000-0000A48E0000}"/>
    <cellStyle name="Normal 6 3 9 5 3" xfId="37773" xr:uid="{00000000-0005-0000-0000-0000A58E0000}"/>
    <cellStyle name="Normal 6 3 9 6" xfId="14294" xr:uid="{00000000-0005-0000-0000-0000A68E0000}"/>
    <cellStyle name="Normal 6 3 9 6 2" xfId="37775" xr:uid="{00000000-0005-0000-0000-0000A78E0000}"/>
    <cellStyle name="Normal 6 3 9 7" xfId="37752" xr:uid="{00000000-0005-0000-0000-0000A88E0000}"/>
    <cellStyle name="Normal 6 4" xfId="136" xr:uid="{00000000-0005-0000-0000-0000A98E0000}"/>
    <cellStyle name="Normal 6 4 10" xfId="14296" xr:uid="{00000000-0005-0000-0000-0000AA8E0000}"/>
    <cellStyle name="Normal 6 4 10 2" xfId="14297" xr:uid="{00000000-0005-0000-0000-0000AB8E0000}"/>
    <cellStyle name="Normal 6 4 10 2 2" xfId="14298" xr:uid="{00000000-0005-0000-0000-0000AC8E0000}"/>
    <cellStyle name="Normal 6 4 10 2 2 2" xfId="14299" xr:uid="{00000000-0005-0000-0000-0000AD8E0000}"/>
    <cellStyle name="Normal 6 4 10 2 2 2 2" xfId="37780" xr:uid="{00000000-0005-0000-0000-0000AE8E0000}"/>
    <cellStyle name="Normal 6 4 10 2 2 3" xfId="37779" xr:uid="{00000000-0005-0000-0000-0000AF8E0000}"/>
    <cellStyle name="Normal 6 4 10 2 3" xfId="14300" xr:uid="{00000000-0005-0000-0000-0000B08E0000}"/>
    <cellStyle name="Normal 6 4 10 2 3 2" xfId="37781" xr:uid="{00000000-0005-0000-0000-0000B18E0000}"/>
    <cellStyle name="Normal 6 4 10 2 4" xfId="37778" xr:uid="{00000000-0005-0000-0000-0000B28E0000}"/>
    <cellStyle name="Normal 6 4 10 3" xfId="14301" xr:uid="{00000000-0005-0000-0000-0000B38E0000}"/>
    <cellStyle name="Normal 6 4 10 3 2" xfId="14302" xr:uid="{00000000-0005-0000-0000-0000B48E0000}"/>
    <cellStyle name="Normal 6 4 10 3 2 2" xfId="37783" xr:uid="{00000000-0005-0000-0000-0000B58E0000}"/>
    <cellStyle name="Normal 6 4 10 3 3" xfId="37782" xr:uid="{00000000-0005-0000-0000-0000B68E0000}"/>
    <cellStyle name="Normal 6 4 10 4" xfId="14303" xr:uid="{00000000-0005-0000-0000-0000B78E0000}"/>
    <cellStyle name="Normal 6 4 10 4 2" xfId="37784" xr:uid="{00000000-0005-0000-0000-0000B88E0000}"/>
    <cellStyle name="Normal 6 4 10 5" xfId="37777" xr:uid="{00000000-0005-0000-0000-0000B98E0000}"/>
    <cellStyle name="Normal 6 4 11" xfId="14304" xr:uid="{00000000-0005-0000-0000-0000BA8E0000}"/>
    <cellStyle name="Normal 6 4 11 2" xfId="14305" xr:uid="{00000000-0005-0000-0000-0000BB8E0000}"/>
    <cellStyle name="Normal 6 4 11 2 2" xfId="14306" xr:uid="{00000000-0005-0000-0000-0000BC8E0000}"/>
    <cellStyle name="Normal 6 4 11 2 2 2" xfId="37787" xr:uid="{00000000-0005-0000-0000-0000BD8E0000}"/>
    <cellStyle name="Normal 6 4 11 2 3" xfId="37786" xr:uid="{00000000-0005-0000-0000-0000BE8E0000}"/>
    <cellStyle name="Normal 6 4 11 3" xfId="14307" xr:uid="{00000000-0005-0000-0000-0000BF8E0000}"/>
    <cellStyle name="Normal 6 4 11 3 2" xfId="37788" xr:uid="{00000000-0005-0000-0000-0000C08E0000}"/>
    <cellStyle name="Normal 6 4 11 4" xfId="37785" xr:uid="{00000000-0005-0000-0000-0000C18E0000}"/>
    <cellStyle name="Normal 6 4 12" xfId="14308" xr:uid="{00000000-0005-0000-0000-0000C28E0000}"/>
    <cellStyle name="Normal 6 4 12 2" xfId="14309" xr:uid="{00000000-0005-0000-0000-0000C38E0000}"/>
    <cellStyle name="Normal 6 4 12 2 2" xfId="37790" xr:uid="{00000000-0005-0000-0000-0000C48E0000}"/>
    <cellStyle name="Normal 6 4 12 3" xfId="37789" xr:uid="{00000000-0005-0000-0000-0000C58E0000}"/>
    <cellStyle name="Normal 6 4 13" xfId="14310" xr:uid="{00000000-0005-0000-0000-0000C68E0000}"/>
    <cellStyle name="Normal 6 4 13 2" xfId="37791" xr:uid="{00000000-0005-0000-0000-0000C78E0000}"/>
    <cellStyle name="Normal 6 4 14" xfId="14295" xr:uid="{00000000-0005-0000-0000-0000C88E0000}"/>
    <cellStyle name="Normal 6 4 14 2" xfId="37776" xr:uid="{00000000-0005-0000-0000-0000C98E0000}"/>
    <cellStyle name="Normal 6 4 2" xfId="14311" xr:uid="{00000000-0005-0000-0000-0000CA8E0000}"/>
    <cellStyle name="Normal 6 4 2 10" xfId="14312" xr:uid="{00000000-0005-0000-0000-0000CB8E0000}"/>
    <cellStyle name="Normal 6 4 2 10 2" xfId="37793" xr:uid="{00000000-0005-0000-0000-0000CC8E0000}"/>
    <cellStyle name="Normal 6 4 2 11" xfId="37792" xr:uid="{00000000-0005-0000-0000-0000CD8E0000}"/>
    <cellStyle name="Normal 6 4 2 2" xfId="14313" xr:uid="{00000000-0005-0000-0000-0000CE8E0000}"/>
    <cellStyle name="Normal 6 4 2 2 2" xfId="14314" xr:uid="{00000000-0005-0000-0000-0000CF8E0000}"/>
    <cellStyle name="Normal 6 4 2 2 2 2" xfId="14315" xr:uid="{00000000-0005-0000-0000-0000D08E0000}"/>
    <cellStyle name="Normal 6 4 2 2 2 2 2" xfId="14316" xr:uid="{00000000-0005-0000-0000-0000D18E0000}"/>
    <cellStyle name="Normal 6 4 2 2 2 2 2 2" xfId="14317" xr:uid="{00000000-0005-0000-0000-0000D28E0000}"/>
    <cellStyle name="Normal 6 4 2 2 2 2 2 2 2" xfId="37798" xr:uid="{00000000-0005-0000-0000-0000D38E0000}"/>
    <cellStyle name="Normal 6 4 2 2 2 2 2 3" xfId="37797" xr:uid="{00000000-0005-0000-0000-0000D48E0000}"/>
    <cellStyle name="Normal 6 4 2 2 2 2 3" xfId="14318" xr:uid="{00000000-0005-0000-0000-0000D58E0000}"/>
    <cellStyle name="Normal 6 4 2 2 2 2 3 2" xfId="37799" xr:uid="{00000000-0005-0000-0000-0000D68E0000}"/>
    <cellStyle name="Normal 6 4 2 2 2 2 4" xfId="37796" xr:uid="{00000000-0005-0000-0000-0000D78E0000}"/>
    <cellStyle name="Normal 6 4 2 2 2 3" xfId="14319" xr:uid="{00000000-0005-0000-0000-0000D88E0000}"/>
    <cellStyle name="Normal 6 4 2 2 2 3 2" xfId="14320" xr:uid="{00000000-0005-0000-0000-0000D98E0000}"/>
    <cellStyle name="Normal 6 4 2 2 2 3 2 2" xfId="37801" xr:uid="{00000000-0005-0000-0000-0000DA8E0000}"/>
    <cellStyle name="Normal 6 4 2 2 2 3 3" xfId="37800" xr:uid="{00000000-0005-0000-0000-0000DB8E0000}"/>
    <cellStyle name="Normal 6 4 2 2 2 4" xfId="14321" xr:uid="{00000000-0005-0000-0000-0000DC8E0000}"/>
    <cellStyle name="Normal 6 4 2 2 2 4 2" xfId="37802" xr:uid="{00000000-0005-0000-0000-0000DD8E0000}"/>
    <cellStyle name="Normal 6 4 2 2 2 5" xfId="37795" xr:uid="{00000000-0005-0000-0000-0000DE8E0000}"/>
    <cellStyle name="Normal 6 4 2 2 3" xfId="14322" xr:uid="{00000000-0005-0000-0000-0000DF8E0000}"/>
    <cellStyle name="Normal 6 4 2 2 3 2" xfId="14323" xr:uid="{00000000-0005-0000-0000-0000E08E0000}"/>
    <cellStyle name="Normal 6 4 2 2 3 2 2" xfId="14324" xr:uid="{00000000-0005-0000-0000-0000E18E0000}"/>
    <cellStyle name="Normal 6 4 2 2 3 2 2 2" xfId="14325" xr:uid="{00000000-0005-0000-0000-0000E28E0000}"/>
    <cellStyle name="Normal 6 4 2 2 3 2 2 2 2" xfId="37806" xr:uid="{00000000-0005-0000-0000-0000E38E0000}"/>
    <cellStyle name="Normal 6 4 2 2 3 2 2 3" xfId="37805" xr:uid="{00000000-0005-0000-0000-0000E48E0000}"/>
    <cellStyle name="Normal 6 4 2 2 3 2 3" xfId="14326" xr:uid="{00000000-0005-0000-0000-0000E58E0000}"/>
    <cellStyle name="Normal 6 4 2 2 3 2 3 2" xfId="37807" xr:uid="{00000000-0005-0000-0000-0000E68E0000}"/>
    <cellStyle name="Normal 6 4 2 2 3 2 4" xfId="37804" xr:uid="{00000000-0005-0000-0000-0000E78E0000}"/>
    <cellStyle name="Normal 6 4 2 2 3 3" xfId="14327" xr:uid="{00000000-0005-0000-0000-0000E88E0000}"/>
    <cellStyle name="Normal 6 4 2 2 3 3 2" xfId="14328" xr:uid="{00000000-0005-0000-0000-0000E98E0000}"/>
    <cellStyle name="Normal 6 4 2 2 3 3 2 2" xfId="37809" xr:uid="{00000000-0005-0000-0000-0000EA8E0000}"/>
    <cellStyle name="Normal 6 4 2 2 3 3 3" xfId="37808" xr:uid="{00000000-0005-0000-0000-0000EB8E0000}"/>
    <cellStyle name="Normal 6 4 2 2 3 4" xfId="14329" xr:uid="{00000000-0005-0000-0000-0000EC8E0000}"/>
    <cellStyle name="Normal 6 4 2 2 3 4 2" xfId="37810" xr:uid="{00000000-0005-0000-0000-0000ED8E0000}"/>
    <cellStyle name="Normal 6 4 2 2 3 5" xfId="37803" xr:uid="{00000000-0005-0000-0000-0000EE8E0000}"/>
    <cellStyle name="Normal 6 4 2 2 4" xfId="14330" xr:uid="{00000000-0005-0000-0000-0000EF8E0000}"/>
    <cellStyle name="Normal 6 4 2 2 4 2" xfId="14331" xr:uid="{00000000-0005-0000-0000-0000F08E0000}"/>
    <cellStyle name="Normal 6 4 2 2 4 2 2" xfId="14332" xr:uid="{00000000-0005-0000-0000-0000F18E0000}"/>
    <cellStyle name="Normal 6 4 2 2 4 2 2 2" xfId="37813" xr:uid="{00000000-0005-0000-0000-0000F28E0000}"/>
    <cellStyle name="Normal 6 4 2 2 4 2 3" xfId="37812" xr:uid="{00000000-0005-0000-0000-0000F38E0000}"/>
    <cellStyle name="Normal 6 4 2 2 4 3" xfId="14333" xr:uid="{00000000-0005-0000-0000-0000F48E0000}"/>
    <cellStyle name="Normal 6 4 2 2 4 3 2" xfId="37814" xr:uid="{00000000-0005-0000-0000-0000F58E0000}"/>
    <cellStyle name="Normal 6 4 2 2 4 4" xfId="37811" xr:uid="{00000000-0005-0000-0000-0000F68E0000}"/>
    <cellStyle name="Normal 6 4 2 2 5" xfId="14334" xr:uid="{00000000-0005-0000-0000-0000F78E0000}"/>
    <cellStyle name="Normal 6 4 2 2 5 2" xfId="14335" xr:uid="{00000000-0005-0000-0000-0000F88E0000}"/>
    <cellStyle name="Normal 6 4 2 2 5 2 2" xfId="37816" xr:uid="{00000000-0005-0000-0000-0000F98E0000}"/>
    <cellStyle name="Normal 6 4 2 2 5 3" xfId="37815" xr:uid="{00000000-0005-0000-0000-0000FA8E0000}"/>
    <cellStyle name="Normal 6 4 2 2 6" xfId="14336" xr:uid="{00000000-0005-0000-0000-0000FB8E0000}"/>
    <cellStyle name="Normal 6 4 2 2 6 2" xfId="37817" xr:uid="{00000000-0005-0000-0000-0000FC8E0000}"/>
    <cellStyle name="Normal 6 4 2 2 7" xfId="37794" xr:uid="{00000000-0005-0000-0000-0000FD8E0000}"/>
    <cellStyle name="Normal 6 4 2 3" xfId="14337" xr:uid="{00000000-0005-0000-0000-0000FE8E0000}"/>
    <cellStyle name="Normal 6 4 2 3 2" xfId="14338" xr:uid="{00000000-0005-0000-0000-0000FF8E0000}"/>
    <cellStyle name="Normal 6 4 2 3 2 2" xfId="14339" xr:uid="{00000000-0005-0000-0000-0000008F0000}"/>
    <cellStyle name="Normal 6 4 2 3 2 2 2" xfId="14340" xr:uid="{00000000-0005-0000-0000-0000018F0000}"/>
    <cellStyle name="Normal 6 4 2 3 2 2 2 2" xfId="14341" xr:uid="{00000000-0005-0000-0000-0000028F0000}"/>
    <cellStyle name="Normal 6 4 2 3 2 2 2 2 2" xfId="37822" xr:uid="{00000000-0005-0000-0000-0000038F0000}"/>
    <cellStyle name="Normal 6 4 2 3 2 2 2 3" xfId="37821" xr:uid="{00000000-0005-0000-0000-0000048F0000}"/>
    <cellStyle name="Normal 6 4 2 3 2 2 3" xfId="14342" xr:uid="{00000000-0005-0000-0000-0000058F0000}"/>
    <cellStyle name="Normal 6 4 2 3 2 2 3 2" xfId="37823" xr:uid="{00000000-0005-0000-0000-0000068F0000}"/>
    <cellStyle name="Normal 6 4 2 3 2 2 4" xfId="37820" xr:uid="{00000000-0005-0000-0000-0000078F0000}"/>
    <cellStyle name="Normal 6 4 2 3 2 3" xfId="14343" xr:uid="{00000000-0005-0000-0000-0000088F0000}"/>
    <cellStyle name="Normal 6 4 2 3 2 3 2" xfId="14344" xr:uid="{00000000-0005-0000-0000-0000098F0000}"/>
    <cellStyle name="Normal 6 4 2 3 2 3 2 2" xfId="37825" xr:uid="{00000000-0005-0000-0000-00000A8F0000}"/>
    <cellStyle name="Normal 6 4 2 3 2 3 3" xfId="37824" xr:uid="{00000000-0005-0000-0000-00000B8F0000}"/>
    <cellStyle name="Normal 6 4 2 3 2 4" xfId="14345" xr:uid="{00000000-0005-0000-0000-00000C8F0000}"/>
    <cellStyle name="Normal 6 4 2 3 2 4 2" xfId="37826" xr:uid="{00000000-0005-0000-0000-00000D8F0000}"/>
    <cellStyle name="Normal 6 4 2 3 2 5" xfId="37819" xr:uid="{00000000-0005-0000-0000-00000E8F0000}"/>
    <cellStyle name="Normal 6 4 2 3 3" xfId="14346" xr:uid="{00000000-0005-0000-0000-00000F8F0000}"/>
    <cellStyle name="Normal 6 4 2 3 3 2" xfId="14347" xr:uid="{00000000-0005-0000-0000-0000108F0000}"/>
    <cellStyle name="Normal 6 4 2 3 3 2 2" xfId="14348" xr:uid="{00000000-0005-0000-0000-0000118F0000}"/>
    <cellStyle name="Normal 6 4 2 3 3 2 2 2" xfId="14349" xr:uid="{00000000-0005-0000-0000-0000128F0000}"/>
    <cellStyle name="Normal 6 4 2 3 3 2 2 2 2" xfId="37830" xr:uid="{00000000-0005-0000-0000-0000138F0000}"/>
    <cellStyle name="Normal 6 4 2 3 3 2 2 3" xfId="37829" xr:uid="{00000000-0005-0000-0000-0000148F0000}"/>
    <cellStyle name="Normal 6 4 2 3 3 2 3" xfId="14350" xr:uid="{00000000-0005-0000-0000-0000158F0000}"/>
    <cellStyle name="Normal 6 4 2 3 3 2 3 2" xfId="37831" xr:uid="{00000000-0005-0000-0000-0000168F0000}"/>
    <cellStyle name="Normal 6 4 2 3 3 2 4" xfId="37828" xr:uid="{00000000-0005-0000-0000-0000178F0000}"/>
    <cellStyle name="Normal 6 4 2 3 3 3" xfId="14351" xr:uid="{00000000-0005-0000-0000-0000188F0000}"/>
    <cellStyle name="Normal 6 4 2 3 3 3 2" xfId="14352" xr:uid="{00000000-0005-0000-0000-0000198F0000}"/>
    <cellStyle name="Normal 6 4 2 3 3 3 2 2" xfId="37833" xr:uid="{00000000-0005-0000-0000-00001A8F0000}"/>
    <cellStyle name="Normal 6 4 2 3 3 3 3" xfId="37832" xr:uid="{00000000-0005-0000-0000-00001B8F0000}"/>
    <cellStyle name="Normal 6 4 2 3 3 4" xfId="14353" xr:uid="{00000000-0005-0000-0000-00001C8F0000}"/>
    <cellStyle name="Normal 6 4 2 3 3 4 2" xfId="37834" xr:uid="{00000000-0005-0000-0000-00001D8F0000}"/>
    <cellStyle name="Normal 6 4 2 3 3 5" xfId="37827" xr:uid="{00000000-0005-0000-0000-00001E8F0000}"/>
    <cellStyle name="Normal 6 4 2 3 4" xfId="14354" xr:uid="{00000000-0005-0000-0000-00001F8F0000}"/>
    <cellStyle name="Normal 6 4 2 3 4 2" xfId="14355" xr:uid="{00000000-0005-0000-0000-0000208F0000}"/>
    <cellStyle name="Normal 6 4 2 3 4 2 2" xfId="14356" xr:uid="{00000000-0005-0000-0000-0000218F0000}"/>
    <cellStyle name="Normal 6 4 2 3 4 2 2 2" xfId="37837" xr:uid="{00000000-0005-0000-0000-0000228F0000}"/>
    <cellStyle name="Normal 6 4 2 3 4 2 3" xfId="37836" xr:uid="{00000000-0005-0000-0000-0000238F0000}"/>
    <cellStyle name="Normal 6 4 2 3 4 3" xfId="14357" xr:uid="{00000000-0005-0000-0000-0000248F0000}"/>
    <cellStyle name="Normal 6 4 2 3 4 3 2" xfId="37838" xr:uid="{00000000-0005-0000-0000-0000258F0000}"/>
    <cellStyle name="Normal 6 4 2 3 4 4" xfId="37835" xr:uid="{00000000-0005-0000-0000-0000268F0000}"/>
    <cellStyle name="Normal 6 4 2 3 5" xfId="14358" xr:uid="{00000000-0005-0000-0000-0000278F0000}"/>
    <cellStyle name="Normal 6 4 2 3 5 2" xfId="14359" xr:uid="{00000000-0005-0000-0000-0000288F0000}"/>
    <cellStyle name="Normal 6 4 2 3 5 2 2" xfId="37840" xr:uid="{00000000-0005-0000-0000-0000298F0000}"/>
    <cellStyle name="Normal 6 4 2 3 5 3" xfId="37839" xr:uid="{00000000-0005-0000-0000-00002A8F0000}"/>
    <cellStyle name="Normal 6 4 2 3 6" xfId="14360" xr:uid="{00000000-0005-0000-0000-00002B8F0000}"/>
    <cellStyle name="Normal 6 4 2 3 6 2" xfId="37841" xr:uid="{00000000-0005-0000-0000-00002C8F0000}"/>
    <cellStyle name="Normal 6 4 2 3 7" xfId="37818" xr:uid="{00000000-0005-0000-0000-00002D8F0000}"/>
    <cellStyle name="Normal 6 4 2 4" xfId="14361" xr:uid="{00000000-0005-0000-0000-00002E8F0000}"/>
    <cellStyle name="Normal 6 4 2 4 2" xfId="14362" xr:uid="{00000000-0005-0000-0000-00002F8F0000}"/>
    <cellStyle name="Normal 6 4 2 4 2 2" xfId="14363" xr:uid="{00000000-0005-0000-0000-0000308F0000}"/>
    <cellStyle name="Normal 6 4 2 4 2 2 2" xfId="14364" xr:uid="{00000000-0005-0000-0000-0000318F0000}"/>
    <cellStyle name="Normal 6 4 2 4 2 2 2 2" xfId="14365" xr:uid="{00000000-0005-0000-0000-0000328F0000}"/>
    <cellStyle name="Normal 6 4 2 4 2 2 2 2 2" xfId="37846" xr:uid="{00000000-0005-0000-0000-0000338F0000}"/>
    <cellStyle name="Normal 6 4 2 4 2 2 2 3" xfId="37845" xr:uid="{00000000-0005-0000-0000-0000348F0000}"/>
    <cellStyle name="Normal 6 4 2 4 2 2 3" xfId="14366" xr:uid="{00000000-0005-0000-0000-0000358F0000}"/>
    <cellStyle name="Normal 6 4 2 4 2 2 3 2" xfId="37847" xr:uid="{00000000-0005-0000-0000-0000368F0000}"/>
    <cellStyle name="Normal 6 4 2 4 2 2 4" xfId="37844" xr:uid="{00000000-0005-0000-0000-0000378F0000}"/>
    <cellStyle name="Normal 6 4 2 4 2 3" xfId="14367" xr:uid="{00000000-0005-0000-0000-0000388F0000}"/>
    <cellStyle name="Normal 6 4 2 4 2 3 2" xfId="14368" xr:uid="{00000000-0005-0000-0000-0000398F0000}"/>
    <cellStyle name="Normal 6 4 2 4 2 3 2 2" xfId="37849" xr:uid="{00000000-0005-0000-0000-00003A8F0000}"/>
    <cellStyle name="Normal 6 4 2 4 2 3 3" xfId="37848" xr:uid="{00000000-0005-0000-0000-00003B8F0000}"/>
    <cellStyle name="Normal 6 4 2 4 2 4" xfId="14369" xr:uid="{00000000-0005-0000-0000-00003C8F0000}"/>
    <cellStyle name="Normal 6 4 2 4 2 4 2" xfId="37850" xr:uid="{00000000-0005-0000-0000-00003D8F0000}"/>
    <cellStyle name="Normal 6 4 2 4 2 5" xfId="37843" xr:uid="{00000000-0005-0000-0000-00003E8F0000}"/>
    <cellStyle name="Normal 6 4 2 4 3" xfId="14370" xr:uid="{00000000-0005-0000-0000-00003F8F0000}"/>
    <cellStyle name="Normal 6 4 2 4 3 2" xfId="14371" xr:uid="{00000000-0005-0000-0000-0000408F0000}"/>
    <cellStyle name="Normal 6 4 2 4 3 2 2" xfId="14372" xr:uid="{00000000-0005-0000-0000-0000418F0000}"/>
    <cellStyle name="Normal 6 4 2 4 3 2 2 2" xfId="14373" xr:uid="{00000000-0005-0000-0000-0000428F0000}"/>
    <cellStyle name="Normal 6 4 2 4 3 2 2 2 2" xfId="37854" xr:uid="{00000000-0005-0000-0000-0000438F0000}"/>
    <cellStyle name="Normal 6 4 2 4 3 2 2 3" xfId="37853" xr:uid="{00000000-0005-0000-0000-0000448F0000}"/>
    <cellStyle name="Normal 6 4 2 4 3 2 3" xfId="14374" xr:uid="{00000000-0005-0000-0000-0000458F0000}"/>
    <cellStyle name="Normal 6 4 2 4 3 2 3 2" xfId="37855" xr:uid="{00000000-0005-0000-0000-0000468F0000}"/>
    <cellStyle name="Normal 6 4 2 4 3 2 4" xfId="37852" xr:uid="{00000000-0005-0000-0000-0000478F0000}"/>
    <cellStyle name="Normal 6 4 2 4 3 3" xfId="14375" xr:uid="{00000000-0005-0000-0000-0000488F0000}"/>
    <cellStyle name="Normal 6 4 2 4 3 3 2" xfId="14376" xr:uid="{00000000-0005-0000-0000-0000498F0000}"/>
    <cellStyle name="Normal 6 4 2 4 3 3 2 2" xfId="37857" xr:uid="{00000000-0005-0000-0000-00004A8F0000}"/>
    <cellStyle name="Normal 6 4 2 4 3 3 3" xfId="37856" xr:uid="{00000000-0005-0000-0000-00004B8F0000}"/>
    <cellStyle name="Normal 6 4 2 4 3 4" xfId="14377" xr:uid="{00000000-0005-0000-0000-00004C8F0000}"/>
    <cellStyle name="Normal 6 4 2 4 3 4 2" xfId="37858" xr:uid="{00000000-0005-0000-0000-00004D8F0000}"/>
    <cellStyle name="Normal 6 4 2 4 3 5" xfId="37851" xr:uid="{00000000-0005-0000-0000-00004E8F0000}"/>
    <cellStyle name="Normal 6 4 2 4 4" xfId="14378" xr:uid="{00000000-0005-0000-0000-00004F8F0000}"/>
    <cellStyle name="Normal 6 4 2 4 4 2" xfId="14379" xr:uid="{00000000-0005-0000-0000-0000508F0000}"/>
    <cellStyle name="Normal 6 4 2 4 4 2 2" xfId="14380" xr:uid="{00000000-0005-0000-0000-0000518F0000}"/>
    <cellStyle name="Normal 6 4 2 4 4 2 2 2" xfId="37861" xr:uid="{00000000-0005-0000-0000-0000528F0000}"/>
    <cellStyle name="Normal 6 4 2 4 4 2 3" xfId="37860" xr:uid="{00000000-0005-0000-0000-0000538F0000}"/>
    <cellStyle name="Normal 6 4 2 4 4 3" xfId="14381" xr:uid="{00000000-0005-0000-0000-0000548F0000}"/>
    <cellStyle name="Normal 6 4 2 4 4 3 2" xfId="37862" xr:uid="{00000000-0005-0000-0000-0000558F0000}"/>
    <cellStyle name="Normal 6 4 2 4 4 4" xfId="37859" xr:uid="{00000000-0005-0000-0000-0000568F0000}"/>
    <cellStyle name="Normal 6 4 2 4 5" xfId="14382" xr:uid="{00000000-0005-0000-0000-0000578F0000}"/>
    <cellStyle name="Normal 6 4 2 4 5 2" xfId="14383" xr:uid="{00000000-0005-0000-0000-0000588F0000}"/>
    <cellStyle name="Normal 6 4 2 4 5 2 2" xfId="37864" xr:uid="{00000000-0005-0000-0000-0000598F0000}"/>
    <cellStyle name="Normal 6 4 2 4 5 3" xfId="37863" xr:uid="{00000000-0005-0000-0000-00005A8F0000}"/>
    <cellStyle name="Normal 6 4 2 4 6" xfId="14384" xr:uid="{00000000-0005-0000-0000-00005B8F0000}"/>
    <cellStyle name="Normal 6 4 2 4 6 2" xfId="37865" xr:uid="{00000000-0005-0000-0000-00005C8F0000}"/>
    <cellStyle name="Normal 6 4 2 4 7" xfId="37842" xr:uid="{00000000-0005-0000-0000-00005D8F0000}"/>
    <cellStyle name="Normal 6 4 2 5" xfId="14385" xr:uid="{00000000-0005-0000-0000-00005E8F0000}"/>
    <cellStyle name="Normal 6 4 2 5 2" xfId="14386" xr:uid="{00000000-0005-0000-0000-00005F8F0000}"/>
    <cellStyle name="Normal 6 4 2 5 2 2" xfId="14387" xr:uid="{00000000-0005-0000-0000-0000608F0000}"/>
    <cellStyle name="Normal 6 4 2 5 2 2 2" xfId="14388" xr:uid="{00000000-0005-0000-0000-0000618F0000}"/>
    <cellStyle name="Normal 6 4 2 5 2 2 2 2" xfId="14389" xr:uid="{00000000-0005-0000-0000-0000628F0000}"/>
    <cellStyle name="Normal 6 4 2 5 2 2 2 2 2" xfId="37870" xr:uid="{00000000-0005-0000-0000-0000638F0000}"/>
    <cellStyle name="Normal 6 4 2 5 2 2 2 3" xfId="37869" xr:uid="{00000000-0005-0000-0000-0000648F0000}"/>
    <cellStyle name="Normal 6 4 2 5 2 2 3" xfId="14390" xr:uid="{00000000-0005-0000-0000-0000658F0000}"/>
    <cellStyle name="Normal 6 4 2 5 2 2 3 2" xfId="37871" xr:uid="{00000000-0005-0000-0000-0000668F0000}"/>
    <cellStyle name="Normal 6 4 2 5 2 2 4" xfId="37868" xr:uid="{00000000-0005-0000-0000-0000678F0000}"/>
    <cellStyle name="Normal 6 4 2 5 2 3" xfId="14391" xr:uid="{00000000-0005-0000-0000-0000688F0000}"/>
    <cellStyle name="Normal 6 4 2 5 2 3 2" xfId="14392" xr:uid="{00000000-0005-0000-0000-0000698F0000}"/>
    <cellStyle name="Normal 6 4 2 5 2 3 2 2" xfId="37873" xr:uid="{00000000-0005-0000-0000-00006A8F0000}"/>
    <cellStyle name="Normal 6 4 2 5 2 3 3" xfId="37872" xr:uid="{00000000-0005-0000-0000-00006B8F0000}"/>
    <cellStyle name="Normal 6 4 2 5 2 4" xfId="14393" xr:uid="{00000000-0005-0000-0000-00006C8F0000}"/>
    <cellStyle name="Normal 6 4 2 5 2 4 2" xfId="37874" xr:uid="{00000000-0005-0000-0000-00006D8F0000}"/>
    <cellStyle name="Normal 6 4 2 5 2 5" xfId="37867" xr:uid="{00000000-0005-0000-0000-00006E8F0000}"/>
    <cellStyle name="Normal 6 4 2 5 3" xfId="14394" xr:uid="{00000000-0005-0000-0000-00006F8F0000}"/>
    <cellStyle name="Normal 6 4 2 5 3 2" xfId="14395" xr:uid="{00000000-0005-0000-0000-0000708F0000}"/>
    <cellStyle name="Normal 6 4 2 5 3 2 2" xfId="14396" xr:uid="{00000000-0005-0000-0000-0000718F0000}"/>
    <cellStyle name="Normal 6 4 2 5 3 2 2 2" xfId="14397" xr:uid="{00000000-0005-0000-0000-0000728F0000}"/>
    <cellStyle name="Normal 6 4 2 5 3 2 2 2 2" xfId="37878" xr:uid="{00000000-0005-0000-0000-0000738F0000}"/>
    <cellStyle name="Normal 6 4 2 5 3 2 2 3" xfId="37877" xr:uid="{00000000-0005-0000-0000-0000748F0000}"/>
    <cellStyle name="Normal 6 4 2 5 3 2 3" xfId="14398" xr:uid="{00000000-0005-0000-0000-0000758F0000}"/>
    <cellStyle name="Normal 6 4 2 5 3 2 3 2" xfId="37879" xr:uid="{00000000-0005-0000-0000-0000768F0000}"/>
    <cellStyle name="Normal 6 4 2 5 3 2 4" xfId="37876" xr:uid="{00000000-0005-0000-0000-0000778F0000}"/>
    <cellStyle name="Normal 6 4 2 5 3 3" xfId="14399" xr:uid="{00000000-0005-0000-0000-0000788F0000}"/>
    <cellStyle name="Normal 6 4 2 5 3 3 2" xfId="14400" xr:uid="{00000000-0005-0000-0000-0000798F0000}"/>
    <cellStyle name="Normal 6 4 2 5 3 3 2 2" xfId="37881" xr:uid="{00000000-0005-0000-0000-00007A8F0000}"/>
    <cellStyle name="Normal 6 4 2 5 3 3 3" xfId="37880" xr:uid="{00000000-0005-0000-0000-00007B8F0000}"/>
    <cellStyle name="Normal 6 4 2 5 3 4" xfId="14401" xr:uid="{00000000-0005-0000-0000-00007C8F0000}"/>
    <cellStyle name="Normal 6 4 2 5 3 4 2" xfId="37882" xr:uid="{00000000-0005-0000-0000-00007D8F0000}"/>
    <cellStyle name="Normal 6 4 2 5 3 5" xfId="37875" xr:uid="{00000000-0005-0000-0000-00007E8F0000}"/>
    <cellStyle name="Normal 6 4 2 5 4" xfId="14402" xr:uid="{00000000-0005-0000-0000-00007F8F0000}"/>
    <cellStyle name="Normal 6 4 2 5 4 2" xfId="14403" xr:uid="{00000000-0005-0000-0000-0000808F0000}"/>
    <cellStyle name="Normal 6 4 2 5 4 2 2" xfId="14404" xr:uid="{00000000-0005-0000-0000-0000818F0000}"/>
    <cellStyle name="Normal 6 4 2 5 4 2 2 2" xfId="37885" xr:uid="{00000000-0005-0000-0000-0000828F0000}"/>
    <cellStyle name="Normal 6 4 2 5 4 2 3" xfId="37884" xr:uid="{00000000-0005-0000-0000-0000838F0000}"/>
    <cellStyle name="Normal 6 4 2 5 4 3" xfId="14405" xr:uid="{00000000-0005-0000-0000-0000848F0000}"/>
    <cellStyle name="Normal 6 4 2 5 4 3 2" xfId="37886" xr:uid="{00000000-0005-0000-0000-0000858F0000}"/>
    <cellStyle name="Normal 6 4 2 5 4 4" xfId="37883" xr:uid="{00000000-0005-0000-0000-0000868F0000}"/>
    <cellStyle name="Normal 6 4 2 5 5" xfId="14406" xr:uid="{00000000-0005-0000-0000-0000878F0000}"/>
    <cellStyle name="Normal 6 4 2 5 5 2" xfId="14407" xr:uid="{00000000-0005-0000-0000-0000888F0000}"/>
    <cellStyle name="Normal 6 4 2 5 5 2 2" xfId="37888" xr:uid="{00000000-0005-0000-0000-0000898F0000}"/>
    <cellStyle name="Normal 6 4 2 5 5 3" xfId="37887" xr:uid="{00000000-0005-0000-0000-00008A8F0000}"/>
    <cellStyle name="Normal 6 4 2 5 6" xfId="14408" xr:uid="{00000000-0005-0000-0000-00008B8F0000}"/>
    <cellStyle name="Normal 6 4 2 5 6 2" xfId="37889" xr:uid="{00000000-0005-0000-0000-00008C8F0000}"/>
    <cellStyle name="Normal 6 4 2 5 7" xfId="37866" xr:uid="{00000000-0005-0000-0000-00008D8F0000}"/>
    <cellStyle name="Normal 6 4 2 6" xfId="14409" xr:uid="{00000000-0005-0000-0000-00008E8F0000}"/>
    <cellStyle name="Normal 6 4 2 6 2" xfId="14410" xr:uid="{00000000-0005-0000-0000-00008F8F0000}"/>
    <cellStyle name="Normal 6 4 2 6 2 2" xfId="14411" xr:uid="{00000000-0005-0000-0000-0000908F0000}"/>
    <cellStyle name="Normal 6 4 2 6 2 2 2" xfId="14412" xr:uid="{00000000-0005-0000-0000-0000918F0000}"/>
    <cellStyle name="Normal 6 4 2 6 2 2 2 2" xfId="37893" xr:uid="{00000000-0005-0000-0000-0000928F0000}"/>
    <cellStyle name="Normal 6 4 2 6 2 2 3" xfId="37892" xr:uid="{00000000-0005-0000-0000-0000938F0000}"/>
    <cellStyle name="Normal 6 4 2 6 2 3" xfId="14413" xr:uid="{00000000-0005-0000-0000-0000948F0000}"/>
    <cellStyle name="Normal 6 4 2 6 2 3 2" xfId="37894" xr:uid="{00000000-0005-0000-0000-0000958F0000}"/>
    <cellStyle name="Normal 6 4 2 6 2 4" xfId="37891" xr:uid="{00000000-0005-0000-0000-0000968F0000}"/>
    <cellStyle name="Normal 6 4 2 6 3" xfId="14414" xr:uid="{00000000-0005-0000-0000-0000978F0000}"/>
    <cellStyle name="Normal 6 4 2 6 3 2" xfId="14415" xr:uid="{00000000-0005-0000-0000-0000988F0000}"/>
    <cellStyle name="Normal 6 4 2 6 3 2 2" xfId="37896" xr:uid="{00000000-0005-0000-0000-0000998F0000}"/>
    <cellStyle name="Normal 6 4 2 6 3 3" xfId="37895" xr:uid="{00000000-0005-0000-0000-00009A8F0000}"/>
    <cellStyle name="Normal 6 4 2 6 4" xfId="14416" xr:uid="{00000000-0005-0000-0000-00009B8F0000}"/>
    <cellStyle name="Normal 6 4 2 6 4 2" xfId="37897" xr:uid="{00000000-0005-0000-0000-00009C8F0000}"/>
    <cellStyle name="Normal 6 4 2 6 5" xfId="37890" xr:uid="{00000000-0005-0000-0000-00009D8F0000}"/>
    <cellStyle name="Normal 6 4 2 7" xfId="14417" xr:uid="{00000000-0005-0000-0000-00009E8F0000}"/>
    <cellStyle name="Normal 6 4 2 7 2" xfId="14418" xr:uid="{00000000-0005-0000-0000-00009F8F0000}"/>
    <cellStyle name="Normal 6 4 2 7 2 2" xfId="14419" xr:uid="{00000000-0005-0000-0000-0000A08F0000}"/>
    <cellStyle name="Normal 6 4 2 7 2 2 2" xfId="14420" xr:uid="{00000000-0005-0000-0000-0000A18F0000}"/>
    <cellStyle name="Normal 6 4 2 7 2 2 2 2" xfId="37901" xr:uid="{00000000-0005-0000-0000-0000A28F0000}"/>
    <cellStyle name="Normal 6 4 2 7 2 2 3" xfId="37900" xr:uid="{00000000-0005-0000-0000-0000A38F0000}"/>
    <cellStyle name="Normal 6 4 2 7 2 3" xfId="14421" xr:uid="{00000000-0005-0000-0000-0000A48F0000}"/>
    <cellStyle name="Normal 6 4 2 7 2 3 2" xfId="37902" xr:uid="{00000000-0005-0000-0000-0000A58F0000}"/>
    <cellStyle name="Normal 6 4 2 7 2 4" xfId="37899" xr:uid="{00000000-0005-0000-0000-0000A68F0000}"/>
    <cellStyle name="Normal 6 4 2 7 3" xfId="14422" xr:uid="{00000000-0005-0000-0000-0000A78F0000}"/>
    <cellStyle name="Normal 6 4 2 7 3 2" xfId="14423" xr:uid="{00000000-0005-0000-0000-0000A88F0000}"/>
    <cellStyle name="Normal 6 4 2 7 3 2 2" xfId="37904" xr:uid="{00000000-0005-0000-0000-0000A98F0000}"/>
    <cellStyle name="Normal 6 4 2 7 3 3" xfId="37903" xr:uid="{00000000-0005-0000-0000-0000AA8F0000}"/>
    <cellStyle name="Normal 6 4 2 7 4" xfId="14424" xr:uid="{00000000-0005-0000-0000-0000AB8F0000}"/>
    <cellStyle name="Normal 6 4 2 7 4 2" xfId="37905" xr:uid="{00000000-0005-0000-0000-0000AC8F0000}"/>
    <cellStyle name="Normal 6 4 2 7 5" xfId="37898" xr:uid="{00000000-0005-0000-0000-0000AD8F0000}"/>
    <cellStyle name="Normal 6 4 2 8" xfId="14425" xr:uid="{00000000-0005-0000-0000-0000AE8F0000}"/>
    <cellStyle name="Normal 6 4 2 8 2" xfId="14426" xr:uid="{00000000-0005-0000-0000-0000AF8F0000}"/>
    <cellStyle name="Normal 6 4 2 8 2 2" xfId="14427" xr:uid="{00000000-0005-0000-0000-0000B08F0000}"/>
    <cellStyle name="Normal 6 4 2 8 2 2 2" xfId="37908" xr:uid="{00000000-0005-0000-0000-0000B18F0000}"/>
    <cellStyle name="Normal 6 4 2 8 2 3" xfId="37907" xr:uid="{00000000-0005-0000-0000-0000B28F0000}"/>
    <cellStyle name="Normal 6 4 2 8 3" xfId="14428" xr:uid="{00000000-0005-0000-0000-0000B38F0000}"/>
    <cellStyle name="Normal 6 4 2 8 3 2" xfId="37909" xr:uid="{00000000-0005-0000-0000-0000B48F0000}"/>
    <cellStyle name="Normal 6 4 2 8 4" xfId="37906" xr:uid="{00000000-0005-0000-0000-0000B58F0000}"/>
    <cellStyle name="Normal 6 4 2 9" xfId="14429" xr:uid="{00000000-0005-0000-0000-0000B68F0000}"/>
    <cellStyle name="Normal 6 4 2 9 2" xfId="14430" xr:uid="{00000000-0005-0000-0000-0000B78F0000}"/>
    <cellStyle name="Normal 6 4 2 9 2 2" xfId="37911" xr:uid="{00000000-0005-0000-0000-0000B88F0000}"/>
    <cellStyle name="Normal 6 4 2 9 3" xfId="37910" xr:uid="{00000000-0005-0000-0000-0000B98F0000}"/>
    <cellStyle name="Normal 6 4 3" xfId="14431" xr:uid="{00000000-0005-0000-0000-0000BA8F0000}"/>
    <cellStyle name="Normal 6 4 3 10" xfId="37912" xr:uid="{00000000-0005-0000-0000-0000BB8F0000}"/>
    <cellStyle name="Normal 6 4 3 2" xfId="14432" xr:uid="{00000000-0005-0000-0000-0000BC8F0000}"/>
    <cellStyle name="Normal 6 4 3 2 2" xfId="14433" xr:uid="{00000000-0005-0000-0000-0000BD8F0000}"/>
    <cellStyle name="Normal 6 4 3 2 2 2" xfId="14434" xr:uid="{00000000-0005-0000-0000-0000BE8F0000}"/>
    <cellStyle name="Normal 6 4 3 2 2 2 2" xfId="14435" xr:uid="{00000000-0005-0000-0000-0000BF8F0000}"/>
    <cellStyle name="Normal 6 4 3 2 2 2 2 2" xfId="14436" xr:uid="{00000000-0005-0000-0000-0000C08F0000}"/>
    <cellStyle name="Normal 6 4 3 2 2 2 2 2 2" xfId="37917" xr:uid="{00000000-0005-0000-0000-0000C18F0000}"/>
    <cellStyle name="Normal 6 4 3 2 2 2 2 3" xfId="37916" xr:uid="{00000000-0005-0000-0000-0000C28F0000}"/>
    <cellStyle name="Normal 6 4 3 2 2 2 3" xfId="14437" xr:uid="{00000000-0005-0000-0000-0000C38F0000}"/>
    <cellStyle name="Normal 6 4 3 2 2 2 3 2" xfId="37918" xr:uid="{00000000-0005-0000-0000-0000C48F0000}"/>
    <cellStyle name="Normal 6 4 3 2 2 2 4" xfId="37915" xr:uid="{00000000-0005-0000-0000-0000C58F0000}"/>
    <cellStyle name="Normal 6 4 3 2 2 3" xfId="14438" xr:uid="{00000000-0005-0000-0000-0000C68F0000}"/>
    <cellStyle name="Normal 6 4 3 2 2 3 2" xfId="14439" xr:uid="{00000000-0005-0000-0000-0000C78F0000}"/>
    <cellStyle name="Normal 6 4 3 2 2 3 2 2" xfId="37920" xr:uid="{00000000-0005-0000-0000-0000C88F0000}"/>
    <cellStyle name="Normal 6 4 3 2 2 3 3" xfId="37919" xr:uid="{00000000-0005-0000-0000-0000C98F0000}"/>
    <cellStyle name="Normal 6 4 3 2 2 4" xfId="14440" xr:uid="{00000000-0005-0000-0000-0000CA8F0000}"/>
    <cellStyle name="Normal 6 4 3 2 2 4 2" xfId="37921" xr:uid="{00000000-0005-0000-0000-0000CB8F0000}"/>
    <cellStyle name="Normal 6 4 3 2 2 5" xfId="37914" xr:uid="{00000000-0005-0000-0000-0000CC8F0000}"/>
    <cellStyle name="Normal 6 4 3 2 3" xfId="14441" xr:uid="{00000000-0005-0000-0000-0000CD8F0000}"/>
    <cellStyle name="Normal 6 4 3 2 3 2" xfId="14442" xr:uid="{00000000-0005-0000-0000-0000CE8F0000}"/>
    <cellStyle name="Normal 6 4 3 2 3 2 2" xfId="14443" xr:uid="{00000000-0005-0000-0000-0000CF8F0000}"/>
    <cellStyle name="Normal 6 4 3 2 3 2 2 2" xfId="14444" xr:uid="{00000000-0005-0000-0000-0000D08F0000}"/>
    <cellStyle name="Normal 6 4 3 2 3 2 2 2 2" xfId="37925" xr:uid="{00000000-0005-0000-0000-0000D18F0000}"/>
    <cellStyle name="Normal 6 4 3 2 3 2 2 3" xfId="37924" xr:uid="{00000000-0005-0000-0000-0000D28F0000}"/>
    <cellStyle name="Normal 6 4 3 2 3 2 3" xfId="14445" xr:uid="{00000000-0005-0000-0000-0000D38F0000}"/>
    <cellStyle name="Normal 6 4 3 2 3 2 3 2" xfId="37926" xr:uid="{00000000-0005-0000-0000-0000D48F0000}"/>
    <cellStyle name="Normal 6 4 3 2 3 2 4" xfId="37923" xr:uid="{00000000-0005-0000-0000-0000D58F0000}"/>
    <cellStyle name="Normal 6 4 3 2 3 3" xfId="14446" xr:uid="{00000000-0005-0000-0000-0000D68F0000}"/>
    <cellStyle name="Normal 6 4 3 2 3 3 2" xfId="14447" xr:uid="{00000000-0005-0000-0000-0000D78F0000}"/>
    <cellStyle name="Normal 6 4 3 2 3 3 2 2" xfId="37928" xr:uid="{00000000-0005-0000-0000-0000D88F0000}"/>
    <cellStyle name="Normal 6 4 3 2 3 3 3" xfId="37927" xr:uid="{00000000-0005-0000-0000-0000D98F0000}"/>
    <cellStyle name="Normal 6 4 3 2 3 4" xfId="14448" xr:uid="{00000000-0005-0000-0000-0000DA8F0000}"/>
    <cellStyle name="Normal 6 4 3 2 3 4 2" xfId="37929" xr:uid="{00000000-0005-0000-0000-0000DB8F0000}"/>
    <cellStyle name="Normal 6 4 3 2 3 5" xfId="37922" xr:uid="{00000000-0005-0000-0000-0000DC8F0000}"/>
    <cellStyle name="Normal 6 4 3 2 4" xfId="14449" xr:uid="{00000000-0005-0000-0000-0000DD8F0000}"/>
    <cellStyle name="Normal 6 4 3 2 4 2" xfId="14450" xr:uid="{00000000-0005-0000-0000-0000DE8F0000}"/>
    <cellStyle name="Normal 6 4 3 2 4 2 2" xfId="14451" xr:uid="{00000000-0005-0000-0000-0000DF8F0000}"/>
    <cellStyle name="Normal 6 4 3 2 4 2 2 2" xfId="37932" xr:uid="{00000000-0005-0000-0000-0000E08F0000}"/>
    <cellStyle name="Normal 6 4 3 2 4 2 3" xfId="37931" xr:uid="{00000000-0005-0000-0000-0000E18F0000}"/>
    <cellStyle name="Normal 6 4 3 2 4 3" xfId="14452" xr:uid="{00000000-0005-0000-0000-0000E28F0000}"/>
    <cellStyle name="Normal 6 4 3 2 4 3 2" xfId="37933" xr:uid="{00000000-0005-0000-0000-0000E38F0000}"/>
    <cellStyle name="Normal 6 4 3 2 4 4" xfId="37930" xr:uid="{00000000-0005-0000-0000-0000E48F0000}"/>
    <cellStyle name="Normal 6 4 3 2 5" xfId="14453" xr:uid="{00000000-0005-0000-0000-0000E58F0000}"/>
    <cellStyle name="Normal 6 4 3 2 5 2" xfId="14454" xr:uid="{00000000-0005-0000-0000-0000E68F0000}"/>
    <cellStyle name="Normal 6 4 3 2 5 2 2" xfId="37935" xr:uid="{00000000-0005-0000-0000-0000E78F0000}"/>
    <cellStyle name="Normal 6 4 3 2 5 3" xfId="37934" xr:uid="{00000000-0005-0000-0000-0000E88F0000}"/>
    <cellStyle name="Normal 6 4 3 2 6" xfId="14455" xr:uid="{00000000-0005-0000-0000-0000E98F0000}"/>
    <cellStyle name="Normal 6 4 3 2 6 2" xfId="37936" xr:uid="{00000000-0005-0000-0000-0000EA8F0000}"/>
    <cellStyle name="Normal 6 4 3 2 7" xfId="37913" xr:uid="{00000000-0005-0000-0000-0000EB8F0000}"/>
    <cellStyle name="Normal 6 4 3 3" xfId="14456" xr:uid="{00000000-0005-0000-0000-0000EC8F0000}"/>
    <cellStyle name="Normal 6 4 3 3 2" xfId="14457" xr:uid="{00000000-0005-0000-0000-0000ED8F0000}"/>
    <cellStyle name="Normal 6 4 3 3 2 2" xfId="14458" xr:uid="{00000000-0005-0000-0000-0000EE8F0000}"/>
    <cellStyle name="Normal 6 4 3 3 2 2 2" xfId="14459" xr:uid="{00000000-0005-0000-0000-0000EF8F0000}"/>
    <cellStyle name="Normal 6 4 3 3 2 2 2 2" xfId="14460" xr:uid="{00000000-0005-0000-0000-0000F08F0000}"/>
    <cellStyle name="Normal 6 4 3 3 2 2 2 2 2" xfId="37941" xr:uid="{00000000-0005-0000-0000-0000F18F0000}"/>
    <cellStyle name="Normal 6 4 3 3 2 2 2 3" xfId="37940" xr:uid="{00000000-0005-0000-0000-0000F28F0000}"/>
    <cellStyle name="Normal 6 4 3 3 2 2 3" xfId="14461" xr:uid="{00000000-0005-0000-0000-0000F38F0000}"/>
    <cellStyle name="Normal 6 4 3 3 2 2 3 2" xfId="37942" xr:uid="{00000000-0005-0000-0000-0000F48F0000}"/>
    <cellStyle name="Normal 6 4 3 3 2 2 4" xfId="37939" xr:uid="{00000000-0005-0000-0000-0000F58F0000}"/>
    <cellStyle name="Normal 6 4 3 3 2 3" xfId="14462" xr:uid="{00000000-0005-0000-0000-0000F68F0000}"/>
    <cellStyle name="Normal 6 4 3 3 2 3 2" xfId="14463" xr:uid="{00000000-0005-0000-0000-0000F78F0000}"/>
    <cellStyle name="Normal 6 4 3 3 2 3 2 2" xfId="37944" xr:uid="{00000000-0005-0000-0000-0000F88F0000}"/>
    <cellStyle name="Normal 6 4 3 3 2 3 3" xfId="37943" xr:uid="{00000000-0005-0000-0000-0000F98F0000}"/>
    <cellStyle name="Normal 6 4 3 3 2 4" xfId="14464" xr:uid="{00000000-0005-0000-0000-0000FA8F0000}"/>
    <cellStyle name="Normal 6 4 3 3 2 4 2" xfId="37945" xr:uid="{00000000-0005-0000-0000-0000FB8F0000}"/>
    <cellStyle name="Normal 6 4 3 3 2 5" xfId="37938" xr:uid="{00000000-0005-0000-0000-0000FC8F0000}"/>
    <cellStyle name="Normal 6 4 3 3 3" xfId="14465" xr:uid="{00000000-0005-0000-0000-0000FD8F0000}"/>
    <cellStyle name="Normal 6 4 3 3 3 2" xfId="14466" xr:uid="{00000000-0005-0000-0000-0000FE8F0000}"/>
    <cellStyle name="Normal 6 4 3 3 3 2 2" xfId="14467" xr:uid="{00000000-0005-0000-0000-0000FF8F0000}"/>
    <cellStyle name="Normal 6 4 3 3 3 2 2 2" xfId="14468" xr:uid="{00000000-0005-0000-0000-000000900000}"/>
    <cellStyle name="Normal 6 4 3 3 3 2 2 2 2" xfId="37949" xr:uid="{00000000-0005-0000-0000-000001900000}"/>
    <cellStyle name="Normal 6 4 3 3 3 2 2 3" xfId="37948" xr:uid="{00000000-0005-0000-0000-000002900000}"/>
    <cellStyle name="Normal 6 4 3 3 3 2 3" xfId="14469" xr:uid="{00000000-0005-0000-0000-000003900000}"/>
    <cellStyle name="Normal 6 4 3 3 3 2 3 2" xfId="37950" xr:uid="{00000000-0005-0000-0000-000004900000}"/>
    <cellStyle name="Normal 6 4 3 3 3 2 4" xfId="37947" xr:uid="{00000000-0005-0000-0000-000005900000}"/>
    <cellStyle name="Normal 6 4 3 3 3 3" xfId="14470" xr:uid="{00000000-0005-0000-0000-000006900000}"/>
    <cellStyle name="Normal 6 4 3 3 3 3 2" xfId="14471" xr:uid="{00000000-0005-0000-0000-000007900000}"/>
    <cellStyle name="Normal 6 4 3 3 3 3 2 2" xfId="37952" xr:uid="{00000000-0005-0000-0000-000008900000}"/>
    <cellStyle name="Normal 6 4 3 3 3 3 3" xfId="37951" xr:uid="{00000000-0005-0000-0000-000009900000}"/>
    <cellStyle name="Normal 6 4 3 3 3 4" xfId="14472" xr:uid="{00000000-0005-0000-0000-00000A900000}"/>
    <cellStyle name="Normal 6 4 3 3 3 4 2" xfId="37953" xr:uid="{00000000-0005-0000-0000-00000B900000}"/>
    <cellStyle name="Normal 6 4 3 3 3 5" xfId="37946" xr:uid="{00000000-0005-0000-0000-00000C900000}"/>
    <cellStyle name="Normal 6 4 3 3 4" xfId="14473" xr:uid="{00000000-0005-0000-0000-00000D900000}"/>
    <cellStyle name="Normal 6 4 3 3 4 2" xfId="14474" xr:uid="{00000000-0005-0000-0000-00000E900000}"/>
    <cellStyle name="Normal 6 4 3 3 4 2 2" xfId="14475" xr:uid="{00000000-0005-0000-0000-00000F900000}"/>
    <cellStyle name="Normal 6 4 3 3 4 2 2 2" xfId="37956" xr:uid="{00000000-0005-0000-0000-000010900000}"/>
    <cellStyle name="Normal 6 4 3 3 4 2 3" xfId="37955" xr:uid="{00000000-0005-0000-0000-000011900000}"/>
    <cellStyle name="Normal 6 4 3 3 4 3" xfId="14476" xr:uid="{00000000-0005-0000-0000-000012900000}"/>
    <cellStyle name="Normal 6 4 3 3 4 3 2" xfId="37957" xr:uid="{00000000-0005-0000-0000-000013900000}"/>
    <cellStyle name="Normal 6 4 3 3 4 4" xfId="37954" xr:uid="{00000000-0005-0000-0000-000014900000}"/>
    <cellStyle name="Normal 6 4 3 3 5" xfId="14477" xr:uid="{00000000-0005-0000-0000-000015900000}"/>
    <cellStyle name="Normal 6 4 3 3 5 2" xfId="14478" xr:uid="{00000000-0005-0000-0000-000016900000}"/>
    <cellStyle name="Normal 6 4 3 3 5 2 2" xfId="37959" xr:uid="{00000000-0005-0000-0000-000017900000}"/>
    <cellStyle name="Normal 6 4 3 3 5 3" xfId="37958" xr:uid="{00000000-0005-0000-0000-000018900000}"/>
    <cellStyle name="Normal 6 4 3 3 6" xfId="14479" xr:uid="{00000000-0005-0000-0000-000019900000}"/>
    <cellStyle name="Normal 6 4 3 3 6 2" xfId="37960" xr:uid="{00000000-0005-0000-0000-00001A900000}"/>
    <cellStyle name="Normal 6 4 3 3 7" xfId="37937" xr:uid="{00000000-0005-0000-0000-00001B900000}"/>
    <cellStyle name="Normal 6 4 3 4" xfId="14480" xr:uid="{00000000-0005-0000-0000-00001C900000}"/>
    <cellStyle name="Normal 6 4 3 4 2" xfId="14481" xr:uid="{00000000-0005-0000-0000-00001D900000}"/>
    <cellStyle name="Normal 6 4 3 4 2 2" xfId="14482" xr:uid="{00000000-0005-0000-0000-00001E900000}"/>
    <cellStyle name="Normal 6 4 3 4 2 2 2" xfId="14483" xr:uid="{00000000-0005-0000-0000-00001F900000}"/>
    <cellStyle name="Normal 6 4 3 4 2 2 2 2" xfId="14484" xr:uid="{00000000-0005-0000-0000-000020900000}"/>
    <cellStyle name="Normal 6 4 3 4 2 2 2 2 2" xfId="37965" xr:uid="{00000000-0005-0000-0000-000021900000}"/>
    <cellStyle name="Normal 6 4 3 4 2 2 2 3" xfId="37964" xr:uid="{00000000-0005-0000-0000-000022900000}"/>
    <cellStyle name="Normal 6 4 3 4 2 2 3" xfId="14485" xr:uid="{00000000-0005-0000-0000-000023900000}"/>
    <cellStyle name="Normal 6 4 3 4 2 2 3 2" xfId="37966" xr:uid="{00000000-0005-0000-0000-000024900000}"/>
    <cellStyle name="Normal 6 4 3 4 2 2 4" xfId="37963" xr:uid="{00000000-0005-0000-0000-000025900000}"/>
    <cellStyle name="Normal 6 4 3 4 2 3" xfId="14486" xr:uid="{00000000-0005-0000-0000-000026900000}"/>
    <cellStyle name="Normal 6 4 3 4 2 3 2" xfId="14487" xr:uid="{00000000-0005-0000-0000-000027900000}"/>
    <cellStyle name="Normal 6 4 3 4 2 3 2 2" xfId="37968" xr:uid="{00000000-0005-0000-0000-000028900000}"/>
    <cellStyle name="Normal 6 4 3 4 2 3 3" xfId="37967" xr:uid="{00000000-0005-0000-0000-000029900000}"/>
    <cellStyle name="Normal 6 4 3 4 2 4" xfId="14488" xr:uid="{00000000-0005-0000-0000-00002A900000}"/>
    <cellStyle name="Normal 6 4 3 4 2 4 2" xfId="37969" xr:uid="{00000000-0005-0000-0000-00002B900000}"/>
    <cellStyle name="Normal 6 4 3 4 2 5" xfId="37962" xr:uid="{00000000-0005-0000-0000-00002C900000}"/>
    <cellStyle name="Normal 6 4 3 4 3" xfId="14489" xr:uid="{00000000-0005-0000-0000-00002D900000}"/>
    <cellStyle name="Normal 6 4 3 4 3 2" xfId="14490" xr:uid="{00000000-0005-0000-0000-00002E900000}"/>
    <cellStyle name="Normal 6 4 3 4 3 2 2" xfId="14491" xr:uid="{00000000-0005-0000-0000-00002F900000}"/>
    <cellStyle name="Normal 6 4 3 4 3 2 2 2" xfId="14492" xr:uid="{00000000-0005-0000-0000-000030900000}"/>
    <cellStyle name="Normal 6 4 3 4 3 2 2 2 2" xfId="37973" xr:uid="{00000000-0005-0000-0000-000031900000}"/>
    <cellStyle name="Normal 6 4 3 4 3 2 2 3" xfId="37972" xr:uid="{00000000-0005-0000-0000-000032900000}"/>
    <cellStyle name="Normal 6 4 3 4 3 2 3" xfId="14493" xr:uid="{00000000-0005-0000-0000-000033900000}"/>
    <cellStyle name="Normal 6 4 3 4 3 2 3 2" xfId="37974" xr:uid="{00000000-0005-0000-0000-000034900000}"/>
    <cellStyle name="Normal 6 4 3 4 3 2 4" xfId="37971" xr:uid="{00000000-0005-0000-0000-000035900000}"/>
    <cellStyle name="Normal 6 4 3 4 3 3" xfId="14494" xr:uid="{00000000-0005-0000-0000-000036900000}"/>
    <cellStyle name="Normal 6 4 3 4 3 3 2" xfId="14495" xr:uid="{00000000-0005-0000-0000-000037900000}"/>
    <cellStyle name="Normal 6 4 3 4 3 3 2 2" xfId="37976" xr:uid="{00000000-0005-0000-0000-000038900000}"/>
    <cellStyle name="Normal 6 4 3 4 3 3 3" xfId="37975" xr:uid="{00000000-0005-0000-0000-000039900000}"/>
    <cellStyle name="Normal 6 4 3 4 3 4" xfId="14496" xr:uid="{00000000-0005-0000-0000-00003A900000}"/>
    <cellStyle name="Normal 6 4 3 4 3 4 2" xfId="37977" xr:uid="{00000000-0005-0000-0000-00003B900000}"/>
    <cellStyle name="Normal 6 4 3 4 3 5" xfId="37970" xr:uid="{00000000-0005-0000-0000-00003C900000}"/>
    <cellStyle name="Normal 6 4 3 4 4" xfId="14497" xr:uid="{00000000-0005-0000-0000-00003D900000}"/>
    <cellStyle name="Normal 6 4 3 4 4 2" xfId="14498" xr:uid="{00000000-0005-0000-0000-00003E900000}"/>
    <cellStyle name="Normal 6 4 3 4 4 2 2" xfId="14499" xr:uid="{00000000-0005-0000-0000-00003F900000}"/>
    <cellStyle name="Normal 6 4 3 4 4 2 2 2" xfId="37980" xr:uid="{00000000-0005-0000-0000-000040900000}"/>
    <cellStyle name="Normal 6 4 3 4 4 2 3" xfId="37979" xr:uid="{00000000-0005-0000-0000-000041900000}"/>
    <cellStyle name="Normal 6 4 3 4 4 3" xfId="14500" xr:uid="{00000000-0005-0000-0000-000042900000}"/>
    <cellStyle name="Normal 6 4 3 4 4 3 2" xfId="37981" xr:uid="{00000000-0005-0000-0000-000043900000}"/>
    <cellStyle name="Normal 6 4 3 4 4 4" xfId="37978" xr:uid="{00000000-0005-0000-0000-000044900000}"/>
    <cellStyle name="Normal 6 4 3 4 5" xfId="14501" xr:uid="{00000000-0005-0000-0000-000045900000}"/>
    <cellStyle name="Normal 6 4 3 4 5 2" xfId="14502" xr:uid="{00000000-0005-0000-0000-000046900000}"/>
    <cellStyle name="Normal 6 4 3 4 5 2 2" xfId="37983" xr:uid="{00000000-0005-0000-0000-000047900000}"/>
    <cellStyle name="Normal 6 4 3 4 5 3" xfId="37982" xr:uid="{00000000-0005-0000-0000-000048900000}"/>
    <cellStyle name="Normal 6 4 3 4 6" xfId="14503" xr:uid="{00000000-0005-0000-0000-000049900000}"/>
    <cellStyle name="Normal 6 4 3 4 6 2" xfId="37984" xr:uid="{00000000-0005-0000-0000-00004A900000}"/>
    <cellStyle name="Normal 6 4 3 4 7" xfId="37961" xr:uid="{00000000-0005-0000-0000-00004B900000}"/>
    <cellStyle name="Normal 6 4 3 5" xfId="14504" xr:uid="{00000000-0005-0000-0000-00004C900000}"/>
    <cellStyle name="Normal 6 4 3 5 2" xfId="14505" xr:uid="{00000000-0005-0000-0000-00004D900000}"/>
    <cellStyle name="Normal 6 4 3 5 2 2" xfId="14506" xr:uid="{00000000-0005-0000-0000-00004E900000}"/>
    <cellStyle name="Normal 6 4 3 5 2 2 2" xfId="14507" xr:uid="{00000000-0005-0000-0000-00004F900000}"/>
    <cellStyle name="Normal 6 4 3 5 2 2 2 2" xfId="37988" xr:uid="{00000000-0005-0000-0000-000050900000}"/>
    <cellStyle name="Normal 6 4 3 5 2 2 3" xfId="37987" xr:uid="{00000000-0005-0000-0000-000051900000}"/>
    <cellStyle name="Normal 6 4 3 5 2 3" xfId="14508" xr:uid="{00000000-0005-0000-0000-000052900000}"/>
    <cellStyle name="Normal 6 4 3 5 2 3 2" xfId="37989" xr:uid="{00000000-0005-0000-0000-000053900000}"/>
    <cellStyle name="Normal 6 4 3 5 2 4" xfId="37986" xr:uid="{00000000-0005-0000-0000-000054900000}"/>
    <cellStyle name="Normal 6 4 3 5 3" xfId="14509" xr:uid="{00000000-0005-0000-0000-000055900000}"/>
    <cellStyle name="Normal 6 4 3 5 3 2" xfId="14510" xr:uid="{00000000-0005-0000-0000-000056900000}"/>
    <cellStyle name="Normal 6 4 3 5 3 2 2" xfId="37991" xr:uid="{00000000-0005-0000-0000-000057900000}"/>
    <cellStyle name="Normal 6 4 3 5 3 3" xfId="37990" xr:uid="{00000000-0005-0000-0000-000058900000}"/>
    <cellStyle name="Normal 6 4 3 5 4" xfId="14511" xr:uid="{00000000-0005-0000-0000-000059900000}"/>
    <cellStyle name="Normal 6 4 3 5 4 2" xfId="37992" xr:uid="{00000000-0005-0000-0000-00005A900000}"/>
    <cellStyle name="Normal 6 4 3 5 5" xfId="37985" xr:uid="{00000000-0005-0000-0000-00005B900000}"/>
    <cellStyle name="Normal 6 4 3 6" xfId="14512" xr:uid="{00000000-0005-0000-0000-00005C900000}"/>
    <cellStyle name="Normal 6 4 3 6 2" xfId="14513" xr:uid="{00000000-0005-0000-0000-00005D900000}"/>
    <cellStyle name="Normal 6 4 3 6 2 2" xfId="14514" xr:uid="{00000000-0005-0000-0000-00005E900000}"/>
    <cellStyle name="Normal 6 4 3 6 2 2 2" xfId="14515" xr:uid="{00000000-0005-0000-0000-00005F900000}"/>
    <cellStyle name="Normal 6 4 3 6 2 2 2 2" xfId="37996" xr:uid="{00000000-0005-0000-0000-000060900000}"/>
    <cellStyle name="Normal 6 4 3 6 2 2 3" xfId="37995" xr:uid="{00000000-0005-0000-0000-000061900000}"/>
    <cellStyle name="Normal 6 4 3 6 2 3" xfId="14516" xr:uid="{00000000-0005-0000-0000-000062900000}"/>
    <cellStyle name="Normal 6 4 3 6 2 3 2" xfId="37997" xr:uid="{00000000-0005-0000-0000-000063900000}"/>
    <cellStyle name="Normal 6 4 3 6 2 4" xfId="37994" xr:uid="{00000000-0005-0000-0000-000064900000}"/>
    <cellStyle name="Normal 6 4 3 6 3" xfId="14517" xr:uid="{00000000-0005-0000-0000-000065900000}"/>
    <cellStyle name="Normal 6 4 3 6 3 2" xfId="14518" xr:uid="{00000000-0005-0000-0000-000066900000}"/>
    <cellStyle name="Normal 6 4 3 6 3 2 2" xfId="37999" xr:uid="{00000000-0005-0000-0000-000067900000}"/>
    <cellStyle name="Normal 6 4 3 6 3 3" xfId="37998" xr:uid="{00000000-0005-0000-0000-000068900000}"/>
    <cellStyle name="Normal 6 4 3 6 4" xfId="14519" xr:uid="{00000000-0005-0000-0000-000069900000}"/>
    <cellStyle name="Normal 6 4 3 6 4 2" xfId="38000" xr:uid="{00000000-0005-0000-0000-00006A900000}"/>
    <cellStyle name="Normal 6 4 3 6 5" xfId="37993" xr:uid="{00000000-0005-0000-0000-00006B900000}"/>
    <cellStyle name="Normal 6 4 3 7" xfId="14520" xr:uid="{00000000-0005-0000-0000-00006C900000}"/>
    <cellStyle name="Normal 6 4 3 7 2" xfId="14521" xr:uid="{00000000-0005-0000-0000-00006D900000}"/>
    <cellStyle name="Normal 6 4 3 7 2 2" xfId="14522" xr:uid="{00000000-0005-0000-0000-00006E900000}"/>
    <cellStyle name="Normal 6 4 3 7 2 2 2" xfId="38003" xr:uid="{00000000-0005-0000-0000-00006F900000}"/>
    <cellStyle name="Normal 6 4 3 7 2 3" xfId="38002" xr:uid="{00000000-0005-0000-0000-000070900000}"/>
    <cellStyle name="Normal 6 4 3 7 3" xfId="14523" xr:uid="{00000000-0005-0000-0000-000071900000}"/>
    <cellStyle name="Normal 6 4 3 7 3 2" xfId="38004" xr:uid="{00000000-0005-0000-0000-000072900000}"/>
    <cellStyle name="Normal 6 4 3 7 4" xfId="38001" xr:uid="{00000000-0005-0000-0000-000073900000}"/>
    <cellStyle name="Normal 6 4 3 8" xfId="14524" xr:uid="{00000000-0005-0000-0000-000074900000}"/>
    <cellStyle name="Normal 6 4 3 8 2" xfId="14525" xr:uid="{00000000-0005-0000-0000-000075900000}"/>
    <cellStyle name="Normal 6 4 3 8 2 2" xfId="38006" xr:uid="{00000000-0005-0000-0000-000076900000}"/>
    <cellStyle name="Normal 6 4 3 8 3" xfId="38005" xr:uid="{00000000-0005-0000-0000-000077900000}"/>
    <cellStyle name="Normal 6 4 3 9" xfId="14526" xr:uid="{00000000-0005-0000-0000-000078900000}"/>
    <cellStyle name="Normal 6 4 3 9 2" xfId="38007" xr:uid="{00000000-0005-0000-0000-000079900000}"/>
    <cellStyle name="Normal 6 4 4" xfId="14527" xr:uid="{00000000-0005-0000-0000-00007A900000}"/>
    <cellStyle name="Normal 6 4 4 10" xfId="38008" xr:uid="{00000000-0005-0000-0000-00007B900000}"/>
    <cellStyle name="Normal 6 4 4 2" xfId="14528" xr:uid="{00000000-0005-0000-0000-00007C900000}"/>
    <cellStyle name="Normal 6 4 4 2 2" xfId="14529" xr:uid="{00000000-0005-0000-0000-00007D900000}"/>
    <cellStyle name="Normal 6 4 4 2 2 2" xfId="14530" xr:uid="{00000000-0005-0000-0000-00007E900000}"/>
    <cellStyle name="Normal 6 4 4 2 2 2 2" xfId="14531" xr:uid="{00000000-0005-0000-0000-00007F900000}"/>
    <cellStyle name="Normal 6 4 4 2 2 2 2 2" xfId="14532" xr:uid="{00000000-0005-0000-0000-000080900000}"/>
    <cellStyle name="Normal 6 4 4 2 2 2 2 2 2" xfId="38013" xr:uid="{00000000-0005-0000-0000-000081900000}"/>
    <cellStyle name="Normal 6 4 4 2 2 2 2 3" xfId="38012" xr:uid="{00000000-0005-0000-0000-000082900000}"/>
    <cellStyle name="Normal 6 4 4 2 2 2 3" xfId="14533" xr:uid="{00000000-0005-0000-0000-000083900000}"/>
    <cellStyle name="Normal 6 4 4 2 2 2 3 2" xfId="38014" xr:uid="{00000000-0005-0000-0000-000084900000}"/>
    <cellStyle name="Normal 6 4 4 2 2 2 4" xfId="38011" xr:uid="{00000000-0005-0000-0000-000085900000}"/>
    <cellStyle name="Normal 6 4 4 2 2 3" xfId="14534" xr:uid="{00000000-0005-0000-0000-000086900000}"/>
    <cellStyle name="Normal 6 4 4 2 2 3 2" xfId="14535" xr:uid="{00000000-0005-0000-0000-000087900000}"/>
    <cellStyle name="Normal 6 4 4 2 2 3 2 2" xfId="38016" xr:uid="{00000000-0005-0000-0000-000088900000}"/>
    <cellStyle name="Normal 6 4 4 2 2 3 3" xfId="38015" xr:uid="{00000000-0005-0000-0000-000089900000}"/>
    <cellStyle name="Normal 6 4 4 2 2 4" xfId="14536" xr:uid="{00000000-0005-0000-0000-00008A900000}"/>
    <cellStyle name="Normal 6 4 4 2 2 4 2" xfId="38017" xr:uid="{00000000-0005-0000-0000-00008B900000}"/>
    <cellStyle name="Normal 6 4 4 2 2 5" xfId="38010" xr:uid="{00000000-0005-0000-0000-00008C900000}"/>
    <cellStyle name="Normal 6 4 4 2 3" xfId="14537" xr:uid="{00000000-0005-0000-0000-00008D900000}"/>
    <cellStyle name="Normal 6 4 4 2 3 2" xfId="14538" xr:uid="{00000000-0005-0000-0000-00008E900000}"/>
    <cellStyle name="Normal 6 4 4 2 3 2 2" xfId="14539" xr:uid="{00000000-0005-0000-0000-00008F900000}"/>
    <cellStyle name="Normal 6 4 4 2 3 2 2 2" xfId="14540" xr:uid="{00000000-0005-0000-0000-000090900000}"/>
    <cellStyle name="Normal 6 4 4 2 3 2 2 2 2" xfId="38021" xr:uid="{00000000-0005-0000-0000-000091900000}"/>
    <cellStyle name="Normal 6 4 4 2 3 2 2 3" xfId="38020" xr:uid="{00000000-0005-0000-0000-000092900000}"/>
    <cellStyle name="Normal 6 4 4 2 3 2 3" xfId="14541" xr:uid="{00000000-0005-0000-0000-000093900000}"/>
    <cellStyle name="Normal 6 4 4 2 3 2 3 2" xfId="38022" xr:uid="{00000000-0005-0000-0000-000094900000}"/>
    <cellStyle name="Normal 6 4 4 2 3 2 4" xfId="38019" xr:uid="{00000000-0005-0000-0000-000095900000}"/>
    <cellStyle name="Normal 6 4 4 2 3 3" xfId="14542" xr:uid="{00000000-0005-0000-0000-000096900000}"/>
    <cellStyle name="Normal 6 4 4 2 3 3 2" xfId="14543" xr:uid="{00000000-0005-0000-0000-000097900000}"/>
    <cellStyle name="Normal 6 4 4 2 3 3 2 2" xfId="38024" xr:uid="{00000000-0005-0000-0000-000098900000}"/>
    <cellStyle name="Normal 6 4 4 2 3 3 3" xfId="38023" xr:uid="{00000000-0005-0000-0000-000099900000}"/>
    <cellStyle name="Normal 6 4 4 2 3 4" xfId="14544" xr:uid="{00000000-0005-0000-0000-00009A900000}"/>
    <cellStyle name="Normal 6 4 4 2 3 4 2" xfId="38025" xr:uid="{00000000-0005-0000-0000-00009B900000}"/>
    <cellStyle name="Normal 6 4 4 2 3 5" xfId="38018" xr:uid="{00000000-0005-0000-0000-00009C900000}"/>
    <cellStyle name="Normal 6 4 4 2 4" xfId="14545" xr:uid="{00000000-0005-0000-0000-00009D900000}"/>
    <cellStyle name="Normal 6 4 4 2 4 2" xfId="14546" xr:uid="{00000000-0005-0000-0000-00009E900000}"/>
    <cellStyle name="Normal 6 4 4 2 4 2 2" xfId="14547" xr:uid="{00000000-0005-0000-0000-00009F900000}"/>
    <cellStyle name="Normal 6 4 4 2 4 2 2 2" xfId="38028" xr:uid="{00000000-0005-0000-0000-0000A0900000}"/>
    <cellStyle name="Normal 6 4 4 2 4 2 3" xfId="38027" xr:uid="{00000000-0005-0000-0000-0000A1900000}"/>
    <cellStyle name="Normal 6 4 4 2 4 3" xfId="14548" xr:uid="{00000000-0005-0000-0000-0000A2900000}"/>
    <cellStyle name="Normal 6 4 4 2 4 3 2" xfId="38029" xr:uid="{00000000-0005-0000-0000-0000A3900000}"/>
    <cellStyle name="Normal 6 4 4 2 4 4" xfId="38026" xr:uid="{00000000-0005-0000-0000-0000A4900000}"/>
    <cellStyle name="Normal 6 4 4 2 5" xfId="14549" xr:uid="{00000000-0005-0000-0000-0000A5900000}"/>
    <cellStyle name="Normal 6 4 4 2 5 2" xfId="14550" xr:uid="{00000000-0005-0000-0000-0000A6900000}"/>
    <cellStyle name="Normal 6 4 4 2 5 2 2" xfId="38031" xr:uid="{00000000-0005-0000-0000-0000A7900000}"/>
    <cellStyle name="Normal 6 4 4 2 5 3" xfId="38030" xr:uid="{00000000-0005-0000-0000-0000A8900000}"/>
    <cellStyle name="Normal 6 4 4 2 6" xfId="14551" xr:uid="{00000000-0005-0000-0000-0000A9900000}"/>
    <cellStyle name="Normal 6 4 4 2 6 2" xfId="38032" xr:uid="{00000000-0005-0000-0000-0000AA900000}"/>
    <cellStyle name="Normal 6 4 4 2 7" xfId="38009" xr:uid="{00000000-0005-0000-0000-0000AB900000}"/>
    <cellStyle name="Normal 6 4 4 3" xfId="14552" xr:uid="{00000000-0005-0000-0000-0000AC900000}"/>
    <cellStyle name="Normal 6 4 4 3 2" xfId="14553" xr:uid="{00000000-0005-0000-0000-0000AD900000}"/>
    <cellStyle name="Normal 6 4 4 3 2 2" xfId="14554" xr:uid="{00000000-0005-0000-0000-0000AE900000}"/>
    <cellStyle name="Normal 6 4 4 3 2 2 2" xfId="14555" xr:uid="{00000000-0005-0000-0000-0000AF900000}"/>
    <cellStyle name="Normal 6 4 4 3 2 2 2 2" xfId="14556" xr:uid="{00000000-0005-0000-0000-0000B0900000}"/>
    <cellStyle name="Normal 6 4 4 3 2 2 2 2 2" xfId="38037" xr:uid="{00000000-0005-0000-0000-0000B1900000}"/>
    <cellStyle name="Normal 6 4 4 3 2 2 2 3" xfId="38036" xr:uid="{00000000-0005-0000-0000-0000B2900000}"/>
    <cellStyle name="Normal 6 4 4 3 2 2 3" xfId="14557" xr:uid="{00000000-0005-0000-0000-0000B3900000}"/>
    <cellStyle name="Normal 6 4 4 3 2 2 3 2" xfId="38038" xr:uid="{00000000-0005-0000-0000-0000B4900000}"/>
    <cellStyle name="Normal 6 4 4 3 2 2 4" xfId="38035" xr:uid="{00000000-0005-0000-0000-0000B5900000}"/>
    <cellStyle name="Normal 6 4 4 3 2 3" xfId="14558" xr:uid="{00000000-0005-0000-0000-0000B6900000}"/>
    <cellStyle name="Normal 6 4 4 3 2 3 2" xfId="14559" xr:uid="{00000000-0005-0000-0000-0000B7900000}"/>
    <cellStyle name="Normal 6 4 4 3 2 3 2 2" xfId="38040" xr:uid="{00000000-0005-0000-0000-0000B8900000}"/>
    <cellStyle name="Normal 6 4 4 3 2 3 3" xfId="38039" xr:uid="{00000000-0005-0000-0000-0000B9900000}"/>
    <cellStyle name="Normal 6 4 4 3 2 4" xfId="14560" xr:uid="{00000000-0005-0000-0000-0000BA900000}"/>
    <cellStyle name="Normal 6 4 4 3 2 4 2" xfId="38041" xr:uid="{00000000-0005-0000-0000-0000BB900000}"/>
    <cellStyle name="Normal 6 4 4 3 2 5" xfId="38034" xr:uid="{00000000-0005-0000-0000-0000BC900000}"/>
    <cellStyle name="Normal 6 4 4 3 3" xfId="14561" xr:uid="{00000000-0005-0000-0000-0000BD900000}"/>
    <cellStyle name="Normal 6 4 4 3 3 2" xfId="14562" xr:uid="{00000000-0005-0000-0000-0000BE900000}"/>
    <cellStyle name="Normal 6 4 4 3 3 2 2" xfId="14563" xr:uid="{00000000-0005-0000-0000-0000BF900000}"/>
    <cellStyle name="Normal 6 4 4 3 3 2 2 2" xfId="14564" xr:uid="{00000000-0005-0000-0000-0000C0900000}"/>
    <cellStyle name="Normal 6 4 4 3 3 2 2 2 2" xfId="38045" xr:uid="{00000000-0005-0000-0000-0000C1900000}"/>
    <cellStyle name="Normal 6 4 4 3 3 2 2 3" xfId="38044" xr:uid="{00000000-0005-0000-0000-0000C2900000}"/>
    <cellStyle name="Normal 6 4 4 3 3 2 3" xfId="14565" xr:uid="{00000000-0005-0000-0000-0000C3900000}"/>
    <cellStyle name="Normal 6 4 4 3 3 2 3 2" xfId="38046" xr:uid="{00000000-0005-0000-0000-0000C4900000}"/>
    <cellStyle name="Normal 6 4 4 3 3 2 4" xfId="38043" xr:uid="{00000000-0005-0000-0000-0000C5900000}"/>
    <cellStyle name="Normal 6 4 4 3 3 3" xfId="14566" xr:uid="{00000000-0005-0000-0000-0000C6900000}"/>
    <cellStyle name="Normal 6 4 4 3 3 3 2" xfId="14567" xr:uid="{00000000-0005-0000-0000-0000C7900000}"/>
    <cellStyle name="Normal 6 4 4 3 3 3 2 2" xfId="38048" xr:uid="{00000000-0005-0000-0000-0000C8900000}"/>
    <cellStyle name="Normal 6 4 4 3 3 3 3" xfId="38047" xr:uid="{00000000-0005-0000-0000-0000C9900000}"/>
    <cellStyle name="Normal 6 4 4 3 3 4" xfId="14568" xr:uid="{00000000-0005-0000-0000-0000CA900000}"/>
    <cellStyle name="Normal 6 4 4 3 3 4 2" xfId="38049" xr:uid="{00000000-0005-0000-0000-0000CB900000}"/>
    <cellStyle name="Normal 6 4 4 3 3 5" xfId="38042" xr:uid="{00000000-0005-0000-0000-0000CC900000}"/>
    <cellStyle name="Normal 6 4 4 3 4" xfId="14569" xr:uid="{00000000-0005-0000-0000-0000CD900000}"/>
    <cellStyle name="Normal 6 4 4 3 4 2" xfId="14570" xr:uid="{00000000-0005-0000-0000-0000CE900000}"/>
    <cellStyle name="Normal 6 4 4 3 4 2 2" xfId="14571" xr:uid="{00000000-0005-0000-0000-0000CF900000}"/>
    <cellStyle name="Normal 6 4 4 3 4 2 2 2" xfId="38052" xr:uid="{00000000-0005-0000-0000-0000D0900000}"/>
    <cellStyle name="Normal 6 4 4 3 4 2 3" xfId="38051" xr:uid="{00000000-0005-0000-0000-0000D1900000}"/>
    <cellStyle name="Normal 6 4 4 3 4 3" xfId="14572" xr:uid="{00000000-0005-0000-0000-0000D2900000}"/>
    <cellStyle name="Normal 6 4 4 3 4 3 2" xfId="38053" xr:uid="{00000000-0005-0000-0000-0000D3900000}"/>
    <cellStyle name="Normal 6 4 4 3 4 4" xfId="38050" xr:uid="{00000000-0005-0000-0000-0000D4900000}"/>
    <cellStyle name="Normal 6 4 4 3 5" xfId="14573" xr:uid="{00000000-0005-0000-0000-0000D5900000}"/>
    <cellStyle name="Normal 6 4 4 3 5 2" xfId="14574" xr:uid="{00000000-0005-0000-0000-0000D6900000}"/>
    <cellStyle name="Normal 6 4 4 3 5 2 2" xfId="38055" xr:uid="{00000000-0005-0000-0000-0000D7900000}"/>
    <cellStyle name="Normal 6 4 4 3 5 3" xfId="38054" xr:uid="{00000000-0005-0000-0000-0000D8900000}"/>
    <cellStyle name="Normal 6 4 4 3 6" xfId="14575" xr:uid="{00000000-0005-0000-0000-0000D9900000}"/>
    <cellStyle name="Normal 6 4 4 3 6 2" xfId="38056" xr:uid="{00000000-0005-0000-0000-0000DA900000}"/>
    <cellStyle name="Normal 6 4 4 3 7" xfId="38033" xr:uid="{00000000-0005-0000-0000-0000DB900000}"/>
    <cellStyle name="Normal 6 4 4 4" xfId="14576" xr:uid="{00000000-0005-0000-0000-0000DC900000}"/>
    <cellStyle name="Normal 6 4 4 4 2" xfId="14577" xr:uid="{00000000-0005-0000-0000-0000DD900000}"/>
    <cellStyle name="Normal 6 4 4 4 2 2" xfId="14578" xr:uid="{00000000-0005-0000-0000-0000DE900000}"/>
    <cellStyle name="Normal 6 4 4 4 2 2 2" xfId="14579" xr:uid="{00000000-0005-0000-0000-0000DF900000}"/>
    <cellStyle name="Normal 6 4 4 4 2 2 2 2" xfId="14580" xr:uid="{00000000-0005-0000-0000-0000E0900000}"/>
    <cellStyle name="Normal 6 4 4 4 2 2 2 2 2" xfId="38061" xr:uid="{00000000-0005-0000-0000-0000E1900000}"/>
    <cellStyle name="Normal 6 4 4 4 2 2 2 3" xfId="38060" xr:uid="{00000000-0005-0000-0000-0000E2900000}"/>
    <cellStyle name="Normal 6 4 4 4 2 2 3" xfId="14581" xr:uid="{00000000-0005-0000-0000-0000E3900000}"/>
    <cellStyle name="Normal 6 4 4 4 2 2 3 2" xfId="38062" xr:uid="{00000000-0005-0000-0000-0000E4900000}"/>
    <cellStyle name="Normal 6 4 4 4 2 2 4" xfId="38059" xr:uid="{00000000-0005-0000-0000-0000E5900000}"/>
    <cellStyle name="Normal 6 4 4 4 2 3" xfId="14582" xr:uid="{00000000-0005-0000-0000-0000E6900000}"/>
    <cellStyle name="Normal 6 4 4 4 2 3 2" xfId="14583" xr:uid="{00000000-0005-0000-0000-0000E7900000}"/>
    <cellStyle name="Normal 6 4 4 4 2 3 2 2" xfId="38064" xr:uid="{00000000-0005-0000-0000-0000E8900000}"/>
    <cellStyle name="Normal 6 4 4 4 2 3 3" xfId="38063" xr:uid="{00000000-0005-0000-0000-0000E9900000}"/>
    <cellStyle name="Normal 6 4 4 4 2 4" xfId="14584" xr:uid="{00000000-0005-0000-0000-0000EA900000}"/>
    <cellStyle name="Normal 6 4 4 4 2 4 2" xfId="38065" xr:uid="{00000000-0005-0000-0000-0000EB900000}"/>
    <cellStyle name="Normal 6 4 4 4 2 5" xfId="38058" xr:uid="{00000000-0005-0000-0000-0000EC900000}"/>
    <cellStyle name="Normal 6 4 4 4 3" xfId="14585" xr:uid="{00000000-0005-0000-0000-0000ED900000}"/>
    <cellStyle name="Normal 6 4 4 4 3 2" xfId="14586" xr:uid="{00000000-0005-0000-0000-0000EE900000}"/>
    <cellStyle name="Normal 6 4 4 4 3 2 2" xfId="14587" xr:uid="{00000000-0005-0000-0000-0000EF900000}"/>
    <cellStyle name="Normal 6 4 4 4 3 2 2 2" xfId="14588" xr:uid="{00000000-0005-0000-0000-0000F0900000}"/>
    <cellStyle name="Normal 6 4 4 4 3 2 2 2 2" xfId="38069" xr:uid="{00000000-0005-0000-0000-0000F1900000}"/>
    <cellStyle name="Normal 6 4 4 4 3 2 2 3" xfId="38068" xr:uid="{00000000-0005-0000-0000-0000F2900000}"/>
    <cellStyle name="Normal 6 4 4 4 3 2 3" xfId="14589" xr:uid="{00000000-0005-0000-0000-0000F3900000}"/>
    <cellStyle name="Normal 6 4 4 4 3 2 3 2" xfId="38070" xr:uid="{00000000-0005-0000-0000-0000F4900000}"/>
    <cellStyle name="Normal 6 4 4 4 3 2 4" xfId="38067" xr:uid="{00000000-0005-0000-0000-0000F5900000}"/>
    <cellStyle name="Normal 6 4 4 4 3 3" xfId="14590" xr:uid="{00000000-0005-0000-0000-0000F6900000}"/>
    <cellStyle name="Normal 6 4 4 4 3 3 2" xfId="14591" xr:uid="{00000000-0005-0000-0000-0000F7900000}"/>
    <cellStyle name="Normal 6 4 4 4 3 3 2 2" xfId="38072" xr:uid="{00000000-0005-0000-0000-0000F8900000}"/>
    <cellStyle name="Normal 6 4 4 4 3 3 3" xfId="38071" xr:uid="{00000000-0005-0000-0000-0000F9900000}"/>
    <cellStyle name="Normal 6 4 4 4 3 4" xfId="14592" xr:uid="{00000000-0005-0000-0000-0000FA900000}"/>
    <cellStyle name="Normal 6 4 4 4 3 4 2" xfId="38073" xr:uid="{00000000-0005-0000-0000-0000FB900000}"/>
    <cellStyle name="Normal 6 4 4 4 3 5" xfId="38066" xr:uid="{00000000-0005-0000-0000-0000FC900000}"/>
    <cellStyle name="Normal 6 4 4 4 4" xfId="14593" xr:uid="{00000000-0005-0000-0000-0000FD900000}"/>
    <cellStyle name="Normal 6 4 4 4 4 2" xfId="14594" xr:uid="{00000000-0005-0000-0000-0000FE900000}"/>
    <cellStyle name="Normal 6 4 4 4 4 2 2" xfId="14595" xr:uid="{00000000-0005-0000-0000-0000FF900000}"/>
    <cellStyle name="Normal 6 4 4 4 4 2 2 2" xfId="38076" xr:uid="{00000000-0005-0000-0000-000000910000}"/>
    <cellStyle name="Normal 6 4 4 4 4 2 3" xfId="38075" xr:uid="{00000000-0005-0000-0000-000001910000}"/>
    <cellStyle name="Normal 6 4 4 4 4 3" xfId="14596" xr:uid="{00000000-0005-0000-0000-000002910000}"/>
    <cellStyle name="Normal 6 4 4 4 4 3 2" xfId="38077" xr:uid="{00000000-0005-0000-0000-000003910000}"/>
    <cellStyle name="Normal 6 4 4 4 4 4" xfId="38074" xr:uid="{00000000-0005-0000-0000-000004910000}"/>
    <cellStyle name="Normal 6 4 4 4 5" xfId="14597" xr:uid="{00000000-0005-0000-0000-000005910000}"/>
    <cellStyle name="Normal 6 4 4 4 5 2" xfId="14598" xr:uid="{00000000-0005-0000-0000-000006910000}"/>
    <cellStyle name="Normal 6 4 4 4 5 2 2" xfId="38079" xr:uid="{00000000-0005-0000-0000-000007910000}"/>
    <cellStyle name="Normal 6 4 4 4 5 3" xfId="38078" xr:uid="{00000000-0005-0000-0000-000008910000}"/>
    <cellStyle name="Normal 6 4 4 4 6" xfId="14599" xr:uid="{00000000-0005-0000-0000-000009910000}"/>
    <cellStyle name="Normal 6 4 4 4 6 2" xfId="38080" xr:uid="{00000000-0005-0000-0000-00000A910000}"/>
    <cellStyle name="Normal 6 4 4 4 7" xfId="38057" xr:uid="{00000000-0005-0000-0000-00000B910000}"/>
    <cellStyle name="Normal 6 4 4 5" xfId="14600" xr:uid="{00000000-0005-0000-0000-00000C910000}"/>
    <cellStyle name="Normal 6 4 4 5 2" xfId="14601" xr:uid="{00000000-0005-0000-0000-00000D910000}"/>
    <cellStyle name="Normal 6 4 4 5 2 2" xfId="14602" xr:uid="{00000000-0005-0000-0000-00000E910000}"/>
    <cellStyle name="Normal 6 4 4 5 2 2 2" xfId="14603" xr:uid="{00000000-0005-0000-0000-00000F910000}"/>
    <cellStyle name="Normal 6 4 4 5 2 2 2 2" xfId="38084" xr:uid="{00000000-0005-0000-0000-000010910000}"/>
    <cellStyle name="Normal 6 4 4 5 2 2 3" xfId="38083" xr:uid="{00000000-0005-0000-0000-000011910000}"/>
    <cellStyle name="Normal 6 4 4 5 2 3" xfId="14604" xr:uid="{00000000-0005-0000-0000-000012910000}"/>
    <cellStyle name="Normal 6 4 4 5 2 3 2" xfId="38085" xr:uid="{00000000-0005-0000-0000-000013910000}"/>
    <cellStyle name="Normal 6 4 4 5 2 4" xfId="38082" xr:uid="{00000000-0005-0000-0000-000014910000}"/>
    <cellStyle name="Normal 6 4 4 5 3" xfId="14605" xr:uid="{00000000-0005-0000-0000-000015910000}"/>
    <cellStyle name="Normal 6 4 4 5 3 2" xfId="14606" xr:uid="{00000000-0005-0000-0000-000016910000}"/>
    <cellStyle name="Normal 6 4 4 5 3 2 2" xfId="38087" xr:uid="{00000000-0005-0000-0000-000017910000}"/>
    <cellStyle name="Normal 6 4 4 5 3 3" xfId="38086" xr:uid="{00000000-0005-0000-0000-000018910000}"/>
    <cellStyle name="Normal 6 4 4 5 4" xfId="14607" xr:uid="{00000000-0005-0000-0000-000019910000}"/>
    <cellStyle name="Normal 6 4 4 5 4 2" xfId="38088" xr:uid="{00000000-0005-0000-0000-00001A910000}"/>
    <cellStyle name="Normal 6 4 4 5 5" xfId="38081" xr:uid="{00000000-0005-0000-0000-00001B910000}"/>
    <cellStyle name="Normal 6 4 4 6" xfId="14608" xr:uid="{00000000-0005-0000-0000-00001C910000}"/>
    <cellStyle name="Normal 6 4 4 6 2" xfId="14609" xr:uid="{00000000-0005-0000-0000-00001D910000}"/>
    <cellStyle name="Normal 6 4 4 6 2 2" xfId="14610" xr:uid="{00000000-0005-0000-0000-00001E910000}"/>
    <cellStyle name="Normal 6 4 4 6 2 2 2" xfId="14611" xr:uid="{00000000-0005-0000-0000-00001F910000}"/>
    <cellStyle name="Normal 6 4 4 6 2 2 2 2" xfId="38092" xr:uid="{00000000-0005-0000-0000-000020910000}"/>
    <cellStyle name="Normal 6 4 4 6 2 2 3" xfId="38091" xr:uid="{00000000-0005-0000-0000-000021910000}"/>
    <cellStyle name="Normal 6 4 4 6 2 3" xfId="14612" xr:uid="{00000000-0005-0000-0000-000022910000}"/>
    <cellStyle name="Normal 6 4 4 6 2 3 2" xfId="38093" xr:uid="{00000000-0005-0000-0000-000023910000}"/>
    <cellStyle name="Normal 6 4 4 6 2 4" xfId="38090" xr:uid="{00000000-0005-0000-0000-000024910000}"/>
    <cellStyle name="Normal 6 4 4 6 3" xfId="14613" xr:uid="{00000000-0005-0000-0000-000025910000}"/>
    <cellStyle name="Normal 6 4 4 6 3 2" xfId="14614" xr:uid="{00000000-0005-0000-0000-000026910000}"/>
    <cellStyle name="Normal 6 4 4 6 3 2 2" xfId="38095" xr:uid="{00000000-0005-0000-0000-000027910000}"/>
    <cellStyle name="Normal 6 4 4 6 3 3" xfId="38094" xr:uid="{00000000-0005-0000-0000-000028910000}"/>
    <cellStyle name="Normal 6 4 4 6 4" xfId="14615" xr:uid="{00000000-0005-0000-0000-000029910000}"/>
    <cellStyle name="Normal 6 4 4 6 4 2" xfId="38096" xr:uid="{00000000-0005-0000-0000-00002A910000}"/>
    <cellStyle name="Normal 6 4 4 6 5" xfId="38089" xr:uid="{00000000-0005-0000-0000-00002B910000}"/>
    <cellStyle name="Normal 6 4 4 7" xfId="14616" xr:uid="{00000000-0005-0000-0000-00002C910000}"/>
    <cellStyle name="Normal 6 4 4 7 2" xfId="14617" xr:uid="{00000000-0005-0000-0000-00002D910000}"/>
    <cellStyle name="Normal 6 4 4 7 2 2" xfId="14618" xr:uid="{00000000-0005-0000-0000-00002E910000}"/>
    <cellStyle name="Normal 6 4 4 7 2 2 2" xfId="38099" xr:uid="{00000000-0005-0000-0000-00002F910000}"/>
    <cellStyle name="Normal 6 4 4 7 2 3" xfId="38098" xr:uid="{00000000-0005-0000-0000-000030910000}"/>
    <cellStyle name="Normal 6 4 4 7 3" xfId="14619" xr:uid="{00000000-0005-0000-0000-000031910000}"/>
    <cellStyle name="Normal 6 4 4 7 3 2" xfId="38100" xr:uid="{00000000-0005-0000-0000-000032910000}"/>
    <cellStyle name="Normal 6 4 4 7 4" xfId="38097" xr:uid="{00000000-0005-0000-0000-000033910000}"/>
    <cellStyle name="Normal 6 4 4 8" xfId="14620" xr:uid="{00000000-0005-0000-0000-000034910000}"/>
    <cellStyle name="Normal 6 4 4 8 2" xfId="14621" xr:uid="{00000000-0005-0000-0000-000035910000}"/>
    <cellStyle name="Normal 6 4 4 8 2 2" xfId="38102" xr:uid="{00000000-0005-0000-0000-000036910000}"/>
    <cellStyle name="Normal 6 4 4 8 3" xfId="38101" xr:uid="{00000000-0005-0000-0000-000037910000}"/>
    <cellStyle name="Normal 6 4 4 9" xfId="14622" xr:uid="{00000000-0005-0000-0000-000038910000}"/>
    <cellStyle name="Normal 6 4 4 9 2" xfId="38103" xr:uid="{00000000-0005-0000-0000-000039910000}"/>
    <cellStyle name="Normal 6 4 5" xfId="14623" xr:uid="{00000000-0005-0000-0000-00003A910000}"/>
    <cellStyle name="Normal 6 4 5 2" xfId="14624" xr:uid="{00000000-0005-0000-0000-00003B910000}"/>
    <cellStyle name="Normal 6 4 5 2 2" xfId="14625" xr:uid="{00000000-0005-0000-0000-00003C910000}"/>
    <cellStyle name="Normal 6 4 5 2 2 2" xfId="14626" xr:uid="{00000000-0005-0000-0000-00003D910000}"/>
    <cellStyle name="Normal 6 4 5 2 2 2 2" xfId="14627" xr:uid="{00000000-0005-0000-0000-00003E910000}"/>
    <cellStyle name="Normal 6 4 5 2 2 2 2 2" xfId="38108" xr:uid="{00000000-0005-0000-0000-00003F910000}"/>
    <cellStyle name="Normal 6 4 5 2 2 2 3" xfId="38107" xr:uid="{00000000-0005-0000-0000-000040910000}"/>
    <cellStyle name="Normal 6 4 5 2 2 3" xfId="14628" xr:uid="{00000000-0005-0000-0000-000041910000}"/>
    <cellStyle name="Normal 6 4 5 2 2 3 2" xfId="38109" xr:uid="{00000000-0005-0000-0000-000042910000}"/>
    <cellStyle name="Normal 6 4 5 2 2 4" xfId="38106" xr:uid="{00000000-0005-0000-0000-000043910000}"/>
    <cellStyle name="Normal 6 4 5 2 3" xfId="14629" xr:uid="{00000000-0005-0000-0000-000044910000}"/>
    <cellStyle name="Normal 6 4 5 2 3 2" xfId="14630" xr:uid="{00000000-0005-0000-0000-000045910000}"/>
    <cellStyle name="Normal 6 4 5 2 3 2 2" xfId="38111" xr:uid="{00000000-0005-0000-0000-000046910000}"/>
    <cellStyle name="Normal 6 4 5 2 3 3" xfId="38110" xr:uid="{00000000-0005-0000-0000-000047910000}"/>
    <cellStyle name="Normal 6 4 5 2 4" xfId="14631" xr:uid="{00000000-0005-0000-0000-000048910000}"/>
    <cellStyle name="Normal 6 4 5 2 4 2" xfId="38112" xr:uid="{00000000-0005-0000-0000-000049910000}"/>
    <cellStyle name="Normal 6 4 5 2 5" xfId="38105" xr:uid="{00000000-0005-0000-0000-00004A910000}"/>
    <cellStyle name="Normal 6 4 5 3" xfId="14632" xr:uid="{00000000-0005-0000-0000-00004B910000}"/>
    <cellStyle name="Normal 6 4 5 3 2" xfId="14633" xr:uid="{00000000-0005-0000-0000-00004C910000}"/>
    <cellStyle name="Normal 6 4 5 3 2 2" xfId="14634" xr:uid="{00000000-0005-0000-0000-00004D910000}"/>
    <cellStyle name="Normal 6 4 5 3 2 2 2" xfId="14635" xr:uid="{00000000-0005-0000-0000-00004E910000}"/>
    <cellStyle name="Normal 6 4 5 3 2 2 2 2" xfId="38116" xr:uid="{00000000-0005-0000-0000-00004F910000}"/>
    <cellStyle name="Normal 6 4 5 3 2 2 3" xfId="38115" xr:uid="{00000000-0005-0000-0000-000050910000}"/>
    <cellStyle name="Normal 6 4 5 3 2 3" xfId="14636" xr:uid="{00000000-0005-0000-0000-000051910000}"/>
    <cellStyle name="Normal 6 4 5 3 2 3 2" xfId="38117" xr:uid="{00000000-0005-0000-0000-000052910000}"/>
    <cellStyle name="Normal 6 4 5 3 2 4" xfId="38114" xr:uid="{00000000-0005-0000-0000-000053910000}"/>
    <cellStyle name="Normal 6 4 5 3 3" xfId="14637" xr:uid="{00000000-0005-0000-0000-000054910000}"/>
    <cellStyle name="Normal 6 4 5 3 3 2" xfId="14638" xr:uid="{00000000-0005-0000-0000-000055910000}"/>
    <cellStyle name="Normal 6 4 5 3 3 2 2" xfId="38119" xr:uid="{00000000-0005-0000-0000-000056910000}"/>
    <cellStyle name="Normal 6 4 5 3 3 3" xfId="38118" xr:uid="{00000000-0005-0000-0000-000057910000}"/>
    <cellStyle name="Normal 6 4 5 3 4" xfId="14639" xr:uid="{00000000-0005-0000-0000-000058910000}"/>
    <cellStyle name="Normal 6 4 5 3 4 2" xfId="38120" xr:uid="{00000000-0005-0000-0000-000059910000}"/>
    <cellStyle name="Normal 6 4 5 3 5" xfId="38113" xr:uid="{00000000-0005-0000-0000-00005A910000}"/>
    <cellStyle name="Normal 6 4 5 4" xfId="14640" xr:uid="{00000000-0005-0000-0000-00005B910000}"/>
    <cellStyle name="Normal 6 4 5 4 2" xfId="14641" xr:uid="{00000000-0005-0000-0000-00005C910000}"/>
    <cellStyle name="Normal 6 4 5 4 2 2" xfId="14642" xr:uid="{00000000-0005-0000-0000-00005D910000}"/>
    <cellStyle name="Normal 6 4 5 4 2 2 2" xfId="38123" xr:uid="{00000000-0005-0000-0000-00005E910000}"/>
    <cellStyle name="Normal 6 4 5 4 2 3" xfId="38122" xr:uid="{00000000-0005-0000-0000-00005F910000}"/>
    <cellStyle name="Normal 6 4 5 4 3" xfId="14643" xr:uid="{00000000-0005-0000-0000-000060910000}"/>
    <cellStyle name="Normal 6 4 5 4 3 2" xfId="38124" xr:uid="{00000000-0005-0000-0000-000061910000}"/>
    <cellStyle name="Normal 6 4 5 4 4" xfId="38121" xr:uid="{00000000-0005-0000-0000-000062910000}"/>
    <cellStyle name="Normal 6 4 5 5" xfId="14644" xr:uid="{00000000-0005-0000-0000-000063910000}"/>
    <cellStyle name="Normal 6 4 5 5 2" xfId="14645" xr:uid="{00000000-0005-0000-0000-000064910000}"/>
    <cellStyle name="Normal 6 4 5 5 2 2" xfId="38126" xr:uid="{00000000-0005-0000-0000-000065910000}"/>
    <cellStyle name="Normal 6 4 5 5 3" xfId="38125" xr:uid="{00000000-0005-0000-0000-000066910000}"/>
    <cellStyle name="Normal 6 4 5 6" xfId="14646" xr:uid="{00000000-0005-0000-0000-000067910000}"/>
    <cellStyle name="Normal 6 4 5 6 2" xfId="38127" xr:uid="{00000000-0005-0000-0000-000068910000}"/>
    <cellStyle name="Normal 6 4 5 7" xfId="38104" xr:uid="{00000000-0005-0000-0000-000069910000}"/>
    <cellStyle name="Normal 6 4 6" xfId="14647" xr:uid="{00000000-0005-0000-0000-00006A910000}"/>
    <cellStyle name="Normal 6 4 6 2" xfId="14648" xr:uid="{00000000-0005-0000-0000-00006B910000}"/>
    <cellStyle name="Normal 6 4 6 2 2" xfId="14649" xr:uid="{00000000-0005-0000-0000-00006C910000}"/>
    <cellStyle name="Normal 6 4 6 2 2 2" xfId="14650" xr:uid="{00000000-0005-0000-0000-00006D910000}"/>
    <cellStyle name="Normal 6 4 6 2 2 2 2" xfId="14651" xr:uid="{00000000-0005-0000-0000-00006E910000}"/>
    <cellStyle name="Normal 6 4 6 2 2 2 2 2" xfId="38132" xr:uid="{00000000-0005-0000-0000-00006F910000}"/>
    <cellStyle name="Normal 6 4 6 2 2 2 3" xfId="38131" xr:uid="{00000000-0005-0000-0000-000070910000}"/>
    <cellStyle name="Normal 6 4 6 2 2 3" xfId="14652" xr:uid="{00000000-0005-0000-0000-000071910000}"/>
    <cellStyle name="Normal 6 4 6 2 2 3 2" xfId="38133" xr:uid="{00000000-0005-0000-0000-000072910000}"/>
    <cellStyle name="Normal 6 4 6 2 2 4" xfId="38130" xr:uid="{00000000-0005-0000-0000-000073910000}"/>
    <cellStyle name="Normal 6 4 6 2 3" xfId="14653" xr:uid="{00000000-0005-0000-0000-000074910000}"/>
    <cellStyle name="Normal 6 4 6 2 3 2" xfId="14654" xr:uid="{00000000-0005-0000-0000-000075910000}"/>
    <cellStyle name="Normal 6 4 6 2 3 2 2" xfId="38135" xr:uid="{00000000-0005-0000-0000-000076910000}"/>
    <cellStyle name="Normal 6 4 6 2 3 3" xfId="38134" xr:uid="{00000000-0005-0000-0000-000077910000}"/>
    <cellStyle name="Normal 6 4 6 2 4" xfId="14655" xr:uid="{00000000-0005-0000-0000-000078910000}"/>
    <cellStyle name="Normal 6 4 6 2 4 2" xfId="38136" xr:uid="{00000000-0005-0000-0000-000079910000}"/>
    <cellStyle name="Normal 6 4 6 2 5" xfId="38129" xr:uid="{00000000-0005-0000-0000-00007A910000}"/>
    <cellStyle name="Normal 6 4 6 3" xfId="14656" xr:uid="{00000000-0005-0000-0000-00007B910000}"/>
    <cellStyle name="Normal 6 4 6 3 2" xfId="14657" xr:uid="{00000000-0005-0000-0000-00007C910000}"/>
    <cellStyle name="Normal 6 4 6 3 2 2" xfId="14658" xr:uid="{00000000-0005-0000-0000-00007D910000}"/>
    <cellStyle name="Normal 6 4 6 3 2 2 2" xfId="14659" xr:uid="{00000000-0005-0000-0000-00007E910000}"/>
    <cellStyle name="Normal 6 4 6 3 2 2 2 2" xfId="38140" xr:uid="{00000000-0005-0000-0000-00007F910000}"/>
    <cellStyle name="Normal 6 4 6 3 2 2 3" xfId="38139" xr:uid="{00000000-0005-0000-0000-000080910000}"/>
    <cellStyle name="Normal 6 4 6 3 2 3" xfId="14660" xr:uid="{00000000-0005-0000-0000-000081910000}"/>
    <cellStyle name="Normal 6 4 6 3 2 3 2" xfId="38141" xr:uid="{00000000-0005-0000-0000-000082910000}"/>
    <cellStyle name="Normal 6 4 6 3 2 4" xfId="38138" xr:uid="{00000000-0005-0000-0000-000083910000}"/>
    <cellStyle name="Normal 6 4 6 3 3" xfId="14661" xr:uid="{00000000-0005-0000-0000-000084910000}"/>
    <cellStyle name="Normal 6 4 6 3 3 2" xfId="14662" xr:uid="{00000000-0005-0000-0000-000085910000}"/>
    <cellStyle name="Normal 6 4 6 3 3 2 2" xfId="38143" xr:uid="{00000000-0005-0000-0000-000086910000}"/>
    <cellStyle name="Normal 6 4 6 3 3 3" xfId="38142" xr:uid="{00000000-0005-0000-0000-000087910000}"/>
    <cellStyle name="Normal 6 4 6 3 4" xfId="14663" xr:uid="{00000000-0005-0000-0000-000088910000}"/>
    <cellStyle name="Normal 6 4 6 3 4 2" xfId="38144" xr:uid="{00000000-0005-0000-0000-000089910000}"/>
    <cellStyle name="Normal 6 4 6 3 5" xfId="38137" xr:uid="{00000000-0005-0000-0000-00008A910000}"/>
    <cellStyle name="Normal 6 4 6 4" xfId="14664" xr:uid="{00000000-0005-0000-0000-00008B910000}"/>
    <cellStyle name="Normal 6 4 6 4 2" xfId="14665" xr:uid="{00000000-0005-0000-0000-00008C910000}"/>
    <cellStyle name="Normal 6 4 6 4 2 2" xfId="14666" xr:uid="{00000000-0005-0000-0000-00008D910000}"/>
    <cellStyle name="Normal 6 4 6 4 2 2 2" xfId="38147" xr:uid="{00000000-0005-0000-0000-00008E910000}"/>
    <cellStyle name="Normal 6 4 6 4 2 3" xfId="38146" xr:uid="{00000000-0005-0000-0000-00008F910000}"/>
    <cellStyle name="Normal 6 4 6 4 3" xfId="14667" xr:uid="{00000000-0005-0000-0000-000090910000}"/>
    <cellStyle name="Normal 6 4 6 4 3 2" xfId="38148" xr:uid="{00000000-0005-0000-0000-000091910000}"/>
    <cellStyle name="Normal 6 4 6 4 4" xfId="38145" xr:uid="{00000000-0005-0000-0000-000092910000}"/>
    <cellStyle name="Normal 6 4 6 5" xfId="14668" xr:uid="{00000000-0005-0000-0000-000093910000}"/>
    <cellStyle name="Normal 6 4 6 5 2" xfId="14669" xr:uid="{00000000-0005-0000-0000-000094910000}"/>
    <cellStyle name="Normal 6 4 6 5 2 2" xfId="38150" xr:uid="{00000000-0005-0000-0000-000095910000}"/>
    <cellStyle name="Normal 6 4 6 5 3" xfId="38149" xr:uid="{00000000-0005-0000-0000-000096910000}"/>
    <cellStyle name="Normal 6 4 6 6" xfId="14670" xr:uid="{00000000-0005-0000-0000-000097910000}"/>
    <cellStyle name="Normal 6 4 6 6 2" xfId="38151" xr:uid="{00000000-0005-0000-0000-000098910000}"/>
    <cellStyle name="Normal 6 4 6 7" xfId="38128" xr:uid="{00000000-0005-0000-0000-000099910000}"/>
    <cellStyle name="Normal 6 4 7" xfId="14671" xr:uid="{00000000-0005-0000-0000-00009A910000}"/>
    <cellStyle name="Normal 6 4 7 2" xfId="14672" xr:uid="{00000000-0005-0000-0000-00009B910000}"/>
    <cellStyle name="Normal 6 4 7 2 2" xfId="14673" xr:uid="{00000000-0005-0000-0000-00009C910000}"/>
    <cellStyle name="Normal 6 4 7 2 2 2" xfId="14674" xr:uid="{00000000-0005-0000-0000-00009D910000}"/>
    <cellStyle name="Normal 6 4 7 2 2 2 2" xfId="14675" xr:uid="{00000000-0005-0000-0000-00009E910000}"/>
    <cellStyle name="Normal 6 4 7 2 2 2 2 2" xfId="38156" xr:uid="{00000000-0005-0000-0000-00009F910000}"/>
    <cellStyle name="Normal 6 4 7 2 2 2 3" xfId="38155" xr:uid="{00000000-0005-0000-0000-0000A0910000}"/>
    <cellStyle name="Normal 6 4 7 2 2 3" xfId="14676" xr:uid="{00000000-0005-0000-0000-0000A1910000}"/>
    <cellStyle name="Normal 6 4 7 2 2 3 2" xfId="38157" xr:uid="{00000000-0005-0000-0000-0000A2910000}"/>
    <cellStyle name="Normal 6 4 7 2 2 4" xfId="38154" xr:uid="{00000000-0005-0000-0000-0000A3910000}"/>
    <cellStyle name="Normal 6 4 7 2 3" xfId="14677" xr:uid="{00000000-0005-0000-0000-0000A4910000}"/>
    <cellStyle name="Normal 6 4 7 2 3 2" xfId="14678" xr:uid="{00000000-0005-0000-0000-0000A5910000}"/>
    <cellStyle name="Normal 6 4 7 2 3 2 2" xfId="38159" xr:uid="{00000000-0005-0000-0000-0000A6910000}"/>
    <cellStyle name="Normal 6 4 7 2 3 3" xfId="38158" xr:uid="{00000000-0005-0000-0000-0000A7910000}"/>
    <cellStyle name="Normal 6 4 7 2 4" xfId="14679" xr:uid="{00000000-0005-0000-0000-0000A8910000}"/>
    <cellStyle name="Normal 6 4 7 2 4 2" xfId="38160" xr:uid="{00000000-0005-0000-0000-0000A9910000}"/>
    <cellStyle name="Normal 6 4 7 2 5" xfId="38153" xr:uid="{00000000-0005-0000-0000-0000AA910000}"/>
    <cellStyle name="Normal 6 4 7 3" xfId="14680" xr:uid="{00000000-0005-0000-0000-0000AB910000}"/>
    <cellStyle name="Normal 6 4 7 3 2" xfId="14681" xr:uid="{00000000-0005-0000-0000-0000AC910000}"/>
    <cellStyle name="Normal 6 4 7 3 2 2" xfId="14682" xr:uid="{00000000-0005-0000-0000-0000AD910000}"/>
    <cellStyle name="Normal 6 4 7 3 2 2 2" xfId="14683" xr:uid="{00000000-0005-0000-0000-0000AE910000}"/>
    <cellStyle name="Normal 6 4 7 3 2 2 2 2" xfId="38164" xr:uid="{00000000-0005-0000-0000-0000AF910000}"/>
    <cellStyle name="Normal 6 4 7 3 2 2 3" xfId="38163" xr:uid="{00000000-0005-0000-0000-0000B0910000}"/>
    <cellStyle name="Normal 6 4 7 3 2 3" xfId="14684" xr:uid="{00000000-0005-0000-0000-0000B1910000}"/>
    <cellStyle name="Normal 6 4 7 3 2 3 2" xfId="38165" xr:uid="{00000000-0005-0000-0000-0000B2910000}"/>
    <cellStyle name="Normal 6 4 7 3 2 4" xfId="38162" xr:uid="{00000000-0005-0000-0000-0000B3910000}"/>
    <cellStyle name="Normal 6 4 7 3 3" xfId="14685" xr:uid="{00000000-0005-0000-0000-0000B4910000}"/>
    <cellStyle name="Normal 6 4 7 3 3 2" xfId="14686" xr:uid="{00000000-0005-0000-0000-0000B5910000}"/>
    <cellStyle name="Normal 6 4 7 3 3 2 2" xfId="38167" xr:uid="{00000000-0005-0000-0000-0000B6910000}"/>
    <cellStyle name="Normal 6 4 7 3 3 3" xfId="38166" xr:uid="{00000000-0005-0000-0000-0000B7910000}"/>
    <cellStyle name="Normal 6 4 7 3 4" xfId="14687" xr:uid="{00000000-0005-0000-0000-0000B8910000}"/>
    <cellStyle name="Normal 6 4 7 3 4 2" xfId="38168" xr:uid="{00000000-0005-0000-0000-0000B9910000}"/>
    <cellStyle name="Normal 6 4 7 3 5" xfId="38161" xr:uid="{00000000-0005-0000-0000-0000BA910000}"/>
    <cellStyle name="Normal 6 4 7 4" xfId="14688" xr:uid="{00000000-0005-0000-0000-0000BB910000}"/>
    <cellStyle name="Normal 6 4 7 4 2" xfId="14689" xr:uid="{00000000-0005-0000-0000-0000BC910000}"/>
    <cellStyle name="Normal 6 4 7 4 2 2" xfId="14690" xr:uid="{00000000-0005-0000-0000-0000BD910000}"/>
    <cellStyle name="Normal 6 4 7 4 2 2 2" xfId="38171" xr:uid="{00000000-0005-0000-0000-0000BE910000}"/>
    <cellStyle name="Normal 6 4 7 4 2 3" xfId="38170" xr:uid="{00000000-0005-0000-0000-0000BF910000}"/>
    <cellStyle name="Normal 6 4 7 4 3" xfId="14691" xr:uid="{00000000-0005-0000-0000-0000C0910000}"/>
    <cellStyle name="Normal 6 4 7 4 3 2" xfId="38172" xr:uid="{00000000-0005-0000-0000-0000C1910000}"/>
    <cellStyle name="Normal 6 4 7 4 4" xfId="38169" xr:uid="{00000000-0005-0000-0000-0000C2910000}"/>
    <cellStyle name="Normal 6 4 7 5" xfId="14692" xr:uid="{00000000-0005-0000-0000-0000C3910000}"/>
    <cellStyle name="Normal 6 4 7 5 2" xfId="14693" xr:uid="{00000000-0005-0000-0000-0000C4910000}"/>
    <cellStyle name="Normal 6 4 7 5 2 2" xfId="38174" xr:uid="{00000000-0005-0000-0000-0000C5910000}"/>
    <cellStyle name="Normal 6 4 7 5 3" xfId="38173" xr:uid="{00000000-0005-0000-0000-0000C6910000}"/>
    <cellStyle name="Normal 6 4 7 6" xfId="14694" xr:uid="{00000000-0005-0000-0000-0000C7910000}"/>
    <cellStyle name="Normal 6 4 7 6 2" xfId="38175" xr:uid="{00000000-0005-0000-0000-0000C8910000}"/>
    <cellStyle name="Normal 6 4 7 7" xfId="38152" xr:uid="{00000000-0005-0000-0000-0000C9910000}"/>
    <cellStyle name="Normal 6 4 8" xfId="14695" xr:uid="{00000000-0005-0000-0000-0000CA910000}"/>
    <cellStyle name="Normal 6 4 8 2" xfId="14696" xr:uid="{00000000-0005-0000-0000-0000CB910000}"/>
    <cellStyle name="Normal 6 4 8 2 2" xfId="14697" xr:uid="{00000000-0005-0000-0000-0000CC910000}"/>
    <cellStyle name="Normal 6 4 8 2 2 2" xfId="14698" xr:uid="{00000000-0005-0000-0000-0000CD910000}"/>
    <cellStyle name="Normal 6 4 8 2 2 2 2" xfId="14699" xr:uid="{00000000-0005-0000-0000-0000CE910000}"/>
    <cellStyle name="Normal 6 4 8 2 2 2 2 2" xfId="38180" xr:uid="{00000000-0005-0000-0000-0000CF910000}"/>
    <cellStyle name="Normal 6 4 8 2 2 2 3" xfId="38179" xr:uid="{00000000-0005-0000-0000-0000D0910000}"/>
    <cellStyle name="Normal 6 4 8 2 2 3" xfId="14700" xr:uid="{00000000-0005-0000-0000-0000D1910000}"/>
    <cellStyle name="Normal 6 4 8 2 2 3 2" xfId="38181" xr:uid="{00000000-0005-0000-0000-0000D2910000}"/>
    <cellStyle name="Normal 6 4 8 2 2 4" xfId="38178" xr:uid="{00000000-0005-0000-0000-0000D3910000}"/>
    <cellStyle name="Normal 6 4 8 2 3" xfId="14701" xr:uid="{00000000-0005-0000-0000-0000D4910000}"/>
    <cellStyle name="Normal 6 4 8 2 3 2" xfId="14702" xr:uid="{00000000-0005-0000-0000-0000D5910000}"/>
    <cellStyle name="Normal 6 4 8 2 3 2 2" xfId="38183" xr:uid="{00000000-0005-0000-0000-0000D6910000}"/>
    <cellStyle name="Normal 6 4 8 2 3 3" xfId="38182" xr:uid="{00000000-0005-0000-0000-0000D7910000}"/>
    <cellStyle name="Normal 6 4 8 2 4" xfId="14703" xr:uid="{00000000-0005-0000-0000-0000D8910000}"/>
    <cellStyle name="Normal 6 4 8 2 4 2" xfId="38184" xr:uid="{00000000-0005-0000-0000-0000D9910000}"/>
    <cellStyle name="Normal 6 4 8 2 5" xfId="38177" xr:uid="{00000000-0005-0000-0000-0000DA910000}"/>
    <cellStyle name="Normal 6 4 8 3" xfId="14704" xr:uid="{00000000-0005-0000-0000-0000DB910000}"/>
    <cellStyle name="Normal 6 4 8 3 2" xfId="14705" xr:uid="{00000000-0005-0000-0000-0000DC910000}"/>
    <cellStyle name="Normal 6 4 8 3 2 2" xfId="14706" xr:uid="{00000000-0005-0000-0000-0000DD910000}"/>
    <cellStyle name="Normal 6 4 8 3 2 2 2" xfId="14707" xr:uid="{00000000-0005-0000-0000-0000DE910000}"/>
    <cellStyle name="Normal 6 4 8 3 2 2 2 2" xfId="38188" xr:uid="{00000000-0005-0000-0000-0000DF910000}"/>
    <cellStyle name="Normal 6 4 8 3 2 2 3" xfId="38187" xr:uid="{00000000-0005-0000-0000-0000E0910000}"/>
    <cellStyle name="Normal 6 4 8 3 2 3" xfId="14708" xr:uid="{00000000-0005-0000-0000-0000E1910000}"/>
    <cellStyle name="Normal 6 4 8 3 2 3 2" xfId="38189" xr:uid="{00000000-0005-0000-0000-0000E2910000}"/>
    <cellStyle name="Normal 6 4 8 3 2 4" xfId="38186" xr:uid="{00000000-0005-0000-0000-0000E3910000}"/>
    <cellStyle name="Normal 6 4 8 3 3" xfId="14709" xr:uid="{00000000-0005-0000-0000-0000E4910000}"/>
    <cellStyle name="Normal 6 4 8 3 3 2" xfId="14710" xr:uid="{00000000-0005-0000-0000-0000E5910000}"/>
    <cellStyle name="Normal 6 4 8 3 3 2 2" xfId="38191" xr:uid="{00000000-0005-0000-0000-0000E6910000}"/>
    <cellStyle name="Normal 6 4 8 3 3 3" xfId="38190" xr:uid="{00000000-0005-0000-0000-0000E7910000}"/>
    <cellStyle name="Normal 6 4 8 3 4" xfId="14711" xr:uid="{00000000-0005-0000-0000-0000E8910000}"/>
    <cellStyle name="Normal 6 4 8 3 4 2" xfId="38192" xr:uid="{00000000-0005-0000-0000-0000E9910000}"/>
    <cellStyle name="Normal 6 4 8 3 5" xfId="38185" xr:uid="{00000000-0005-0000-0000-0000EA910000}"/>
    <cellStyle name="Normal 6 4 8 4" xfId="14712" xr:uid="{00000000-0005-0000-0000-0000EB910000}"/>
    <cellStyle name="Normal 6 4 8 4 2" xfId="14713" xr:uid="{00000000-0005-0000-0000-0000EC910000}"/>
    <cellStyle name="Normal 6 4 8 4 2 2" xfId="14714" xr:uid="{00000000-0005-0000-0000-0000ED910000}"/>
    <cellStyle name="Normal 6 4 8 4 2 2 2" xfId="38195" xr:uid="{00000000-0005-0000-0000-0000EE910000}"/>
    <cellStyle name="Normal 6 4 8 4 2 3" xfId="38194" xr:uid="{00000000-0005-0000-0000-0000EF910000}"/>
    <cellStyle name="Normal 6 4 8 4 3" xfId="14715" xr:uid="{00000000-0005-0000-0000-0000F0910000}"/>
    <cellStyle name="Normal 6 4 8 4 3 2" xfId="38196" xr:uid="{00000000-0005-0000-0000-0000F1910000}"/>
    <cellStyle name="Normal 6 4 8 4 4" xfId="38193" xr:uid="{00000000-0005-0000-0000-0000F2910000}"/>
    <cellStyle name="Normal 6 4 8 5" xfId="14716" xr:uid="{00000000-0005-0000-0000-0000F3910000}"/>
    <cellStyle name="Normal 6 4 8 5 2" xfId="14717" xr:uid="{00000000-0005-0000-0000-0000F4910000}"/>
    <cellStyle name="Normal 6 4 8 5 2 2" xfId="38198" xr:uid="{00000000-0005-0000-0000-0000F5910000}"/>
    <cellStyle name="Normal 6 4 8 5 3" xfId="38197" xr:uid="{00000000-0005-0000-0000-0000F6910000}"/>
    <cellStyle name="Normal 6 4 8 6" xfId="14718" xr:uid="{00000000-0005-0000-0000-0000F7910000}"/>
    <cellStyle name="Normal 6 4 8 6 2" xfId="38199" xr:uid="{00000000-0005-0000-0000-0000F8910000}"/>
    <cellStyle name="Normal 6 4 8 7" xfId="38176" xr:uid="{00000000-0005-0000-0000-0000F9910000}"/>
    <cellStyle name="Normal 6 4 9" xfId="14719" xr:uid="{00000000-0005-0000-0000-0000FA910000}"/>
    <cellStyle name="Normal 6 4 9 2" xfId="14720" xr:uid="{00000000-0005-0000-0000-0000FB910000}"/>
    <cellStyle name="Normal 6 4 9 2 2" xfId="14721" xr:uid="{00000000-0005-0000-0000-0000FC910000}"/>
    <cellStyle name="Normal 6 4 9 2 2 2" xfId="14722" xr:uid="{00000000-0005-0000-0000-0000FD910000}"/>
    <cellStyle name="Normal 6 4 9 2 2 2 2" xfId="38202" xr:uid="{00000000-0005-0000-0000-0000FE910000}"/>
    <cellStyle name="Normal 6 4 9 2 2 3" xfId="38201" xr:uid="{00000000-0005-0000-0000-0000FF910000}"/>
    <cellStyle name="Normal 6 4 9 2 3" xfId="14723" xr:uid="{00000000-0005-0000-0000-000000920000}"/>
    <cellStyle name="Normal 6 4 9 2 3 2" xfId="38203" xr:uid="{00000000-0005-0000-0000-000001920000}"/>
    <cellStyle name="Normal 6 4 9 2 4" xfId="38200" xr:uid="{00000000-0005-0000-0000-000002920000}"/>
    <cellStyle name="Normal 6 4 9 3" xfId="14724" xr:uid="{00000000-0005-0000-0000-000003920000}"/>
    <cellStyle name="Normal 6 4 9 3 2" xfId="14725" xr:uid="{00000000-0005-0000-0000-000004920000}"/>
    <cellStyle name="Normal 6 4 9 3 2 2" xfId="38205" xr:uid="{00000000-0005-0000-0000-000005920000}"/>
    <cellStyle name="Normal 6 4 9 3 3" xfId="38204" xr:uid="{00000000-0005-0000-0000-000006920000}"/>
    <cellStyle name="Normal 6 5" xfId="137" xr:uid="{00000000-0005-0000-0000-000007920000}"/>
    <cellStyle name="Normal 6 5 10" xfId="14726" xr:uid="{00000000-0005-0000-0000-000008920000}"/>
    <cellStyle name="Normal 6 5 10 2" xfId="38206" xr:uid="{00000000-0005-0000-0000-000009920000}"/>
    <cellStyle name="Normal 6 5 11" xfId="23689" xr:uid="{00000000-0005-0000-0000-00000A920000}"/>
    <cellStyle name="Normal 6 5 2" xfId="14727" xr:uid="{00000000-0005-0000-0000-00000B920000}"/>
    <cellStyle name="Normal 6 5 2 2" xfId="14728" xr:uid="{00000000-0005-0000-0000-00000C920000}"/>
    <cellStyle name="Normal 6 5 2 2 2" xfId="14729" xr:uid="{00000000-0005-0000-0000-00000D920000}"/>
    <cellStyle name="Normal 6 5 2 2 2 2" xfId="14730" xr:uid="{00000000-0005-0000-0000-00000E920000}"/>
    <cellStyle name="Normal 6 5 2 2 2 2 2" xfId="14731" xr:uid="{00000000-0005-0000-0000-00000F920000}"/>
    <cellStyle name="Normal 6 5 2 2 2 2 2 2" xfId="38211" xr:uid="{00000000-0005-0000-0000-000010920000}"/>
    <cellStyle name="Normal 6 5 2 2 2 2 3" xfId="38210" xr:uid="{00000000-0005-0000-0000-000011920000}"/>
    <cellStyle name="Normal 6 5 2 2 2 3" xfId="14732" xr:uid="{00000000-0005-0000-0000-000012920000}"/>
    <cellStyle name="Normal 6 5 2 2 2 3 2" xfId="38212" xr:uid="{00000000-0005-0000-0000-000013920000}"/>
    <cellStyle name="Normal 6 5 2 2 2 4" xfId="38209" xr:uid="{00000000-0005-0000-0000-000014920000}"/>
    <cellStyle name="Normal 6 5 2 2 3" xfId="14733" xr:uid="{00000000-0005-0000-0000-000015920000}"/>
    <cellStyle name="Normal 6 5 2 2 3 2" xfId="14734" xr:uid="{00000000-0005-0000-0000-000016920000}"/>
    <cellStyle name="Normal 6 5 2 2 3 2 2" xfId="38214" xr:uid="{00000000-0005-0000-0000-000017920000}"/>
    <cellStyle name="Normal 6 5 2 2 3 3" xfId="38213" xr:uid="{00000000-0005-0000-0000-000018920000}"/>
    <cellStyle name="Normal 6 5 2 2 4" xfId="14735" xr:uid="{00000000-0005-0000-0000-000019920000}"/>
    <cellStyle name="Normal 6 5 2 2 4 2" xfId="38215" xr:uid="{00000000-0005-0000-0000-00001A920000}"/>
    <cellStyle name="Normal 6 5 2 2 5" xfId="21478" xr:uid="{00000000-0005-0000-0000-00001B920000}"/>
    <cellStyle name="Normal 6 5 2 2 5 2" xfId="44789" xr:uid="{00000000-0005-0000-0000-00001C920000}"/>
    <cellStyle name="Normal 6 5 2 2 6" xfId="21479" xr:uid="{00000000-0005-0000-0000-00001D920000}"/>
    <cellStyle name="Normal 6 5 2 2 6 2" xfId="44790" xr:uid="{00000000-0005-0000-0000-00001E920000}"/>
    <cellStyle name="Normal 6 5 2 2 7" xfId="38208" xr:uid="{00000000-0005-0000-0000-00001F920000}"/>
    <cellStyle name="Normal 6 5 2 3" xfId="14736" xr:uid="{00000000-0005-0000-0000-000020920000}"/>
    <cellStyle name="Normal 6 5 2 3 2" xfId="14737" xr:uid="{00000000-0005-0000-0000-000021920000}"/>
    <cellStyle name="Normal 6 5 2 3 2 2" xfId="14738" xr:uid="{00000000-0005-0000-0000-000022920000}"/>
    <cellStyle name="Normal 6 5 2 3 2 2 2" xfId="14739" xr:uid="{00000000-0005-0000-0000-000023920000}"/>
    <cellStyle name="Normal 6 5 2 3 2 2 2 2" xfId="38219" xr:uid="{00000000-0005-0000-0000-000024920000}"/>
    <cellStyle name="Normal 6 5 2 3 2 2 3" xfId="38218" xr:uid="{00000000-0005-0000-0000-000025920000}"/>
    <cellStyle name="Normal 6 5 2 3 2 3" xfId="14740" xr:uid="{00000000-0005-0000-0000-000026920000}"/>
    <cellStyle name="Normal 6 5 2 3 2 3 2" xfId="38220" xr:uid="{00000000-0005-0000-0000-000027920000}"/>
    <cellStyle name="Normal 6 5 2 3 2 4" xfId="38217" xr:uid="{00000000-0005-0000-0000-000028920000}"/>
    <cellStyle name="Normal 6 5 2 3 3" xfId="14741" xr:uid="{00000000-0005-0000-0000-000029920000}"/>
    <cellStyle name="Normal 6 5 2 3 3 2" xfId="14742" xr:uid="{00000000-0005-0000-0000-00002A920000}"/>
    <cellStyle name="Normal 6 5 2 3 3 2 2" xfId="38222" xr:uid="{00000000-0005-0000-0000-00002B920000}"/>
    <cellStyle name="Normal 6 5 2 3 3 3" xfId="38221" xr:uid="{00000000-0005-0000-0000-00002C920000}"/>
    <cellStyle name="Normal 6 5 2 3 4" xfId="14743" xr:uid="{00000000-0005-0000-0000-00002D920000}"/>
    <cellStyle name="Normal 6 5 2 3 4 2" xfId="38223" xr:uid="{00000000-0005-0000-0000-00002E920000}"/>
    <cellStyle name="Normal 6 5 2 3 5" xfId="38216" xr:uid="{00000000-0005-0000-0000-00002F920000}"/>
    <cellStyle name="Normal 6 5 2 4" xfId="14744" xr:uid="{00000000-0005-0000-0000-000030920000}"/>
    <cellStyle name="Normal 6 5 2 4 2" xfId="14745" xr:uid="{00000000-0005-0000-0000-000031920000}"/>
    <cellStyle name="Normal 6 5 2 4 2 2" xfId="14746" xr:uid="{00000000-0005-0000-0000-000032920000}"/>
    <cellStyle name="Normal 6 5 2 4 2 2 2" xfId="38226" xr:uid="{00000000-0005-0000-0000-000033920000}"/>
    <cellStyle name="Normal 6 5 2 4 2 3" xfId="38225" xr:uid="{00000000-0005-0000-0000-000034920000}"/>
    <cellStyle name="Normal 6 5 2 4 3" xfId="14747" xr:uid="{00000000-0005-0000-0000-000035920000}"/>
    <cellStyle name="Normal 6 5 2 4 3 2" xfId="38227" xr:uid="{00000000-0005-0000-0000-000036920000}"/>
    <cellStyle name="Normal 6 5 2 4 4" xfId="38224" xr:uid="{00000000-0005-0000-0000-000037920000}"/>
    <cellStyle name="Normal 6 5 2 5" xfId="14748" xr:uid="{00000000-0005-0000-0000-000038920000}"/>
    <cellStyle name="Normal 6 5 2 5 2" xfId="14749" xr:uid="{00000000-0005-0000-0000-000039920000}"/>
    <cellStyle name="Normal 6 5 2 5 2 2" xfId="38229" xr:uid="{00000000-0005-0000-0000-00003A920000}"/>
    <cellStyle name="Normal 6 5 2 5 3" xfId="38228" xr:uid="{00000000-0005-0000-0000-00003B920000}"/>
    <cellStyle name="Normal 6 5 2 6" xfId="14750" xr:uid="{00000000-0005-0000-0000-00003C920000}"/>
    <cellStyle name="Normal 6 5 2 6 2" xfId="38230" xr:uid="{00000000-0005-0000-0000-00003D920000}"/>
    <cellStyle name="Normal 6 5 2 7" xfId="21480" xr:uid="{00000000-0005-0000-0000-00003E920000}"/>
    <cellStyle name="Normal 6 5 2 7 2" xfId="44791" xr:uid="{00000000-0005-0000-0000-00003F920000}"/>
    <cellStyle name="Normal 6 5 2 8" xfId="38207" xr:uid="{00000000-0005-0000-0000-000040920000}"/>
    <cellStyle name="Normal 6 5 3" xfId="14751" xr:uid="{00000000-0005-0000-0000-000041920000}"/>
    <cellStyle name="Normal 6 5 3 2" xfId="14752" xr:uid="{00000000-0005-0000-0000-000042920000}"/>
    <cellStyle name="Normal 6 5 3 2 2" xfId="14753" xr:uid="{00000000-0005-0000-0000-000043920000}"/>
    <cellStyle name="Normal 6 5 3 2 2 2" xfId="14754" xr:uid="{00000000-0005-0000-0000-000044920000}"/>
    <cellStyle name="Normal 6 5 3 2 2 2 2" xfId="14755" xr:uid="{00000000-0005-0000-0000-000045920000}"/>
    <cellStyle name="Normal 6 5 3 2 2 2 2 2" xfId="38235" xr:uid="{00000000-0005-0000-0000-000046920000}"/>
    <cellStyle name="Normal 6 5 3 2 2 2 3" xfId="38234" xr:uid="{00000000-0005-0000-0000-000047920000}"/>
    <cellStyle name="Normal 6 5 3 2 2 3" xfId="14756" xr:uid="{00000000-0005-0000-0000-000048920000}"/>
    <cellStyle name="Normal 6 5 3 2 2 3 2" xfId="38236" xr:uid="{00000000-0005-0000-0000-000049920000}"/>
    <cellStyle name="Normal 6 5 3 2 2 4" xfId="38233" xr:uid="{00000000-0005-0000-0000-00004A920000}"/>
    <cellStyle name="Normal 6 5 3 2 3" xfId="14757" xr:uid="{00000000-0005-0000-0000-00004B920000}"/>
    <cellStyle name="Normal 6 5 3 2 3 2" xfId="14758" xr:uid="{00000000-0005-0000-0000-00004C920000}"/>
    <cellStyle name="Normal 6 5 3 2 3 2 2" xfId="38238" xr:uid="{00000000-0005-0000-0000-00004D920000}"/>
    <cellStyle name="Normal 6 5 3 2 3 3" xfId="38237" xr:uid="{00000000-0005-0000-0000-00004E920000}"/>
    <cellStyle name="Normal 6 5 3 2 4" xfId="14759" xr:uid="{00000000-0005-0000-0000-00004F920000}"/>
    <cellStyle name="Normal 6 5 3 2 4 2" xfId="38239" xr:uid="{00000000-0005-0000-0000-000050920000}"/>
    <cellStyle name="Normal 6 5 3 2 5" xfId="21481" xr:uid="{00000000-0005-0000-0000-000051920000}"/>
    <cellStyle name="Normal 6 5 3 2 5 2" xfId="44792" xr:uid="{00000000-0005-0000-0000-000052920000}"/>
    <cellStyle name="Normal 6 5 3 2 6" xfId="21482" xr:uid="{00000000-0005-0000-0000-000053920000}"/>
    <cellStyle name="Normal 6 5 3 2 6 2" xfId="44793" xr:uid="{00000000-0005-0000-0000-000054920000}"/>
    <cellStyle name="Normal 6 5 3 2 7" xfId="38232" xr:uid="{00000000-0005-0000-0000-000055920000}"/>
    <cellStyle name="Normal 6 5 3 3" xfId="14760" xr:uid="{00000000-0005-0000-0000-000056920000}"/>
    <cellStyle name="Normal 6 5 3 3 2" xfId="14761" xr:uid="{00000000-0005-0000-0000-000057920000}"/>
    <cellStyle name="Normal 6 5 3 3 2 2" xfId="14762" xr:uid="{00000000-0005-0000-0000-000058920000}"/>
    <cellStyle name="Normal 6 5 3 3 2 2 2" xfId="14763" xr:uid="{00000000-0005-0000-0000-000059920000}"/>
    <cellStyle name="Normal 6 5 3 3 2 2 2 2" xfId="38243" xr:uid="{00000000-0005-0000-0000-00005A920000}"/>
    <cellStyle name="Normal 6 5 3 3 2 2 3" xfId="38242" xr:uid="{00000000-0005-0000-0000-00005B920000}"/>
    <cellStyle name="Normal 6 5 3 3 2 3" xfId="14764" xr:uid="{00000000-0005-0000-0000-00005C920000}"/>
    <cellStyle name="Normal 6 5 3 3 2 3 2" xfId="38244" xr:uid="{00000000-0005-0000-0000-00005D920000}"/>
    <cellStyle name="Normal 6 5 3 3 2 4" xfId="38241" xr:uid="{00000000-0005-0000-0000-00005E920000}"/>
    <cellStyle name="Normal 6 5 3 3 3" xfId="14765" xr:uid="{00000000-0005-0000-0000-00005F920000}"/>
    <cellStyle name="Normal 6 5 3 3 3 2" xfId="14766" xr:uid="{00000000-0005-0000-0000-000060920000}"/>
    <cellStyle name="Normal 6 5 3 3 3 2 2" xfId="38246" xr:uid="{00000000-0005-0000-0000-000061920000}"/>
    <cellStyle name="Normal 6 5 3 3 3 3" xfId="38245" xr:uid="{00000000-0005-0000-0000-000062920000}"/>
    <cellStyle name="Normal 6 5 3 3 4" xfId="14767" xr:uid="{00000000-0005-0000-0000-000063920000}"/>
    <cellStyle name="Normal 6 5 3 3 4 2" xfId="38247" xr:uid="{00000000-0005-0000-0000-000064920000}"/>
    <cellStyle name="Normal 6 5 3 3 5" xfId="38240" xr:uid="{00000000-0005-0000-0000-000065920000}"/>
    <cellStyle name="Normal 6 5 3 4" xfId="14768" xr:uid="{00000000-0005-0000-0000-000066920000}"/>
    <cellStyle name="Normal 6 5 3 4 2" xfId="14769" xr:uid="{00000000-0005-0000-0000-000067920000}"/>
    <cellStyle name="Normal 6 5 3 4 2 2" xfId="14770" xr:uid="{00000000-0005-0000-0000-000068920000}"/>
    <cellStyle name="Normal 6 5 3 4 2 2 2" xfId="38250" xr:uid="{00000000-0005-0000-0000-000069920000}"/>
    <cellStyle name="Normal 6 5 3 4 2 3" xfId="38249" xr:uid="{00000000-0005-0000-0000-00006A920000}"/>
    <cellStyle name="Normal 6 5 3 4 3" xfId="14771" xr:uid="{00000000-0005-0000-0000-00006B920000}"/>
    <cellStyle name="Normal 6 5 3 4 3 2" xfId="38251" xr:uid="{00000000-0005-0000-0000-00006C920000}"/>
    <cellStyle name="Normal 6 5 3 4 4" xfId="38248" xr:uid="{00000000-0005-0000-0000-00006D920000}"/>
    <cellStyle name="Normal 6 5 3 5" xfId="14772" xr:uid="{00000000-0005-0000-0000-00006E920000}"/>
    <cellStyle name="Normal 6 5 3 5 2" xfId="14773" xr:uid="{00000000-0005-0000-0000-00006F920000}"/>
    <cellStyle name="Normal 6 5 3 5 2 2" xfId="38253" xr:uid="{00000000-0005-0000-0000-000070920000}"/>
    <cellStyle name="Normal 6 5 3 5 3" xfId="38252" xr:uid="{00000000-0005-0000-0000-000071920000}"/>
    <cellStyle name="Normal 6 5 3 6" xfId="14774" xr:uid="{00000000-0005-0000-0000-000072920000}"/>
    <cellStyle name="Normal 6 5 3 6 2" xfId="38254" xr:uid="{00000000-0005-0000-0000-000073920000}"/>
    <cellStyle name="Normal 6 5 3 7" xfId="21483" xr:uid="{00000000-0005-0000-0000-000074920000}"/>
    <cellStyle name="Normal 6 5 3 7 2" xfId="44794" xr:uid="{00000000-0005-0000-0000-000075920000}"/>
    <cellStyle name="Normal 6 5 3 8" xfId="38231" xr:uid="{00000000-0005-0000-0000-000076920000}"/>
    <cellStyle name="Normal 6 5 4" xfId="14775" xr:uid="{00000000-0005-0000-0000-000077920000}"/>
    <cellStyle name="Normal 6 5 4 2" xfId="14776" xr:uid="{00000000-0005-0000-0000-000078920000}"/>
    <cellStyle name="Normal 6 5 4 2 2" xfId="14777" xr:uid="{00000000-0005-0000-0000-000079920000}"/>
    <cellStyle name="Normal 6 5 4 2 2 2" xfId="14778" xr:uid="{00000000-0005-0000-0000-00007A920000}"/>
    <cellStyle name="Normal 6 5 4 2 2 2 2" xfId="14779" xr:uid="{00000000-0005-0000-0000-00007B920000}"/>
    <cellStyle name="Normal 6 5 4 2 2 2 2 2" xfId="38259" xr:uid="{00000000-0005-0000-0000-00007C920000}"/>
    <cellStyle name="Normal 6 5 4 2 2 2 3" xfId="38258" xr:uid="{00000000-0005-0000-0000-00007D920000}"/>
    <cellStyle name="Normal 6 5 4 2 2 3" xfId="14780" xr:uid="{00000000-0005-0000-0000-00007E920000}"/>
    <cellStyle name="Normal 6 5 4 2 2 3 2" xfId="38260" xr:uid="{00000000-0005-0000-0000-00007F920000}"/>
    <cellStyle name="Normal 6 5 4 2 2 4" xfId="38257" xr:uid="{00000000-0005-0000-0000-000080920000}"/>
    <cellStyle name="Normal 6 5 4 2 3" xfId="14781" xr:uid="{00000000-0005-0000-0000-000081920000}"/>
    <cellStyle name="Normal 6 5 4 2 3 2" xfId="14782" xr:uid="{00000000-0005-0000-0000-000082920000}"/>
    <cellStyle name="Normal 6 5 4 2 3 2 2" xfId="38262" xr:uid="{00000000-0005-0000-0000-000083920000}"/>
    <cellStyle name="Normal 6 5 4 2 3 3" xfId="38261" xr:uid="{00000000-0005-0000-0000-000084920000}"/>
    <cellStyle name="Normal 6 5 4 2 4" xfId="14783" xr:uid="{00000000-0005-0000-0000-000085920000}"/>
    <cellStyle name="Normal 6 5 4 2 4 2" xfId="38263" xr:uid="{00000000-0005-0000-0000-000086920000}"/>
    <cellStyle name="Normal 6 5 4 2 5" xfId="38256" xr:uid="{00000000-0005-0000-0000-000087920000}"/>
    <cellStyle name="Normal 6 5 4 3" xfId="14784" xr:uid="{00000000-0005-0000-0000-000088920000}"/>
    <cellStyle name="Normal 6 5 4 3 2" xfId="14785" xr:uid="{00000000-0005-0000-0000-000089920000}"/>
    <cellStyle name="Normal 6 5 4 3 2 2" xfId="14786" xr:uid="{00000000-0005-0000-0000-00008A920000}"/>
    <cellStyle name="Normal 6 5 4 3 2 2 2" xfId="14787" xr:uid="{00000000-0005-0000-0000-00008B920000}"/>
    <cellStyle name="Normal 6 5 4 3 2 2 2 2" xfId="38267" xr:uid="{00000000-0005-0000-0000-00008C920000}"/>
    <cellStyle name="Normal 6 5 4 3 2 2 3" xfId="38266" xr:uid="{00000000-0005-0000-0000-00008D920000}"/>
    <cellStyle name="Normal 6 5 4 3 2 3" xfId="14788" xr:uid="{00000000-0005-0000-0000-00008E920000}"/>
    <cellStyle name="Normal 6 5 4 3 2 3 2" xfId="38268" xr:uid="{00000000-0005-0000-0000-00008F920000}"/>
    <cellStyle name="Normal 6 5 4 3 2 4" xfId="38265" xr:uid="{00000000-0005-0000-0000-000090920000}"/>
    <cellStyle name="Normal 6 5 4 3 3" xfId="14789" xr:uid="{00000000-0005-0000-0000-000091920000}"/>
    <cellStyle name="Normal 6 5 4 3 3 2" xfId="14790" xr:uid="{00000000-0005-0000-0000-000092920000}"/>
    <cellStyle name="Normal 6 5 4 3 3 2 2" xfId="38270" xr:uid="{00000000-0005-0000-0000-000093920000}"/>
    <cellStyle name="Normal 6 5 4 3 3 3" xfId="38269" xr:uid="{00000000-0005-0000-0000-000094920000}"/>
    <cellStyle name="Normal 6 5 4 3 4" xfId="14791" xr:uid="{00000000-0005-0000-0000-000095920000}"/>
    <cellStyle name="Normal 6 5 4 3 4 2" xfId="38271" xr:uid="{00000000-0005-0000-0000-000096920000}"/>
    <cellStyle name="Normal 6 5 4 3 5" xfId="38264" xr:uid="{00000000-0005-0000-0000-000097920000}"/>
    <cellStyle name="Normal 6 5 4 4" xfId="14792" xr:uid="{00000000-0005-0000-0000-000098920000}"/>
    <cellStyle name="Normal 6 5 4 4 2" xfId="14793" xr:uid="{00000000-0005-0000-0000-000099920000}"/>
    <cellStyle name="Normal 6 5 4 4 2 2" xfId="14794" xr:uid="{00000000-0005-0000-0000-00009A920000}"/>
    <cellStyle name="Normal 6 5 4 4 2 2 2" xfId="38274" xr:uid="{00000000-0005-0000-0000-00009B920000}"/>
    <cellStyle name="Normal 6 5 4 4 2 3" xfId="38273" xr:uid="{00000000-0005-0000-0000-00009C920000}"/>
    <cellStyle name="Normal 6 5 4 4 3" xfId="14795" xr:uid="{00000000-0005-0000-0000-00009D920000}"/>
    <cellStyle name="Normal 6 5 4 4 3 2" xfId="38275" xr:uid="{00000000-0005-0000-0000-00009E920000}"/>
    <cellStyle name="Normal 6 5 4 4 4" xfId="38272" xr:uid="{00000000-0005-0000-0000-00009F920000}"/>
    <cellStyle name="Normal 6 5 4 5" xfId="14796" xr:uid="{00000000-0005-0000-0000-0000A0920000}"/>
    <cellStyle name="Normal 6 5 4 5 2" xfId="14797" xr:uid="{00000000-0005-0000-0000-0000A1920000}"/>
    <cellStyle name="Normal 6 5 4 5 2 2" xfId="38277" xr:uid="{00000000-0005-0000-0000-0000A2920000}"/>
    <cellStyle name="Normal 6 5 4 5 3" xfId="38276" xr:uid="{00000000-0005-0000-0000-0000A3920000}"/>
    <cellStyle name="Normal 6 5 4 6" xfId="14798" xr:uid="{00000000-0005-0000-0000-0000A4920000}"/>
    <cellStyle name="Normal 6 5 4 6 2" xfId="38278" xr:uid="{00000000-0005-0000-0000-0000A5920000}"/>
    <cellStyle name="Normal 6 5 4 7" xfId="38255" xr:uid="{00000000-0005-0000-0000-0000A6920000}"/>
    <cellStyle name="Normal 6 5 5" xfId="14799" xr:uid="{00000000-0005-0000-0000-0000A7920000}"/>
    <cellStyle name="Normal 6 5 5 2" xfId="14800" xr:uid="{00000000-0005-0000-0000-0000A8920000}"/>
    <cellStyle name="Normal 6 5 5 2 2" xfId="14801" xr:uid="{00000000-0005-0000-0000-0000A9920000}"/>
    <cellStyle name="Normal 6 5 5 2 2 2" xfId="14802" xr:uid="{00000000-0005-0000-0000-0000AA920000}"/>
    <cellStyle name="Normal 6 5 5 2 2 2 2" xfId="14803" xr:uid="{00000000-0005-0000-0000-0000AB920000}"/>
    <cellStyle name="Normal 6 5 5 2 2 2 2 2" xfId="38283" xr:uid="{00000000-0005-0000-0000-0000AC920000}"/>
    <cellStyle name="Normal 6 5 5 2 2 2 3" xfId="38282" xr:uid="{00000000-0005-0000-0000-0000AD920000}"/>
    <cellStyle name="Normal 6 5 5 2 2 3" xfId="14804" xr:uid="{00000000-0005-0000-0000-0000AE920000}"/>
    <cellStyle name="Normal 6 5 5 2 2 3 2" xfId="38284" xr:uid="{00000000-0005-0000-0000-0000AF920000}"/>
    <cellStyle name="Normal 6 5 5 2 2 4" xfId="38281" xr:uid="{00000000-0005-0000-0000-0000B0920000}"/>
    <cellStyle name="Normal 6 5 5 2 3" xfId="14805" xr:uid="{00000000-0005-0000-0000-0000B1920000}"/>
    <cellStyle name="Normal 6 5 5 2 3 2" xfId="14806" xr:uid="{00000000-0005-0000-0000-0000B2920000}"/>
    <cellStyle name="Normal 6 5 5 2 3 2 2" xfId="38286" xr:uid="{00000000-0005-0000-0000-0000B3920000}"/>
    <cellStyle name="Normal 6 5 5 2 3 3" xfId="38285" xr:uid="{00000000-0005-0000-0000-0000B4920000}"/>
    <cellStyle name="Normal 6 5 5 2 4" xfId="14807" xr:uid="{00000000-0005-0000-0000-0000B5920000}"/>
    <cellStyle name="Normal 6 5 5 2 4 2" xfId="38287" xr:uid="{00000000-0005-0000-0000-0000B6920000}"/>
    <cellStyle name="Normal 6 5 5 2 5" xfId="38280" xr:uid="{00000000-0005-0000-0000-0000B7920000}"/>
    <cellStyle name="Normal 6 5 5 3" xfId="14808" xr:uid="{00000000-0005-0000-0000-0000B8920000}"/>
    <cellStyle name="Normal 6 5 5 3 2" xfId="14809" xr:uid="{00000000-0005-0000-0000-0000B9920000}"/>
    <cellStyle name="Normal 6 5 5 3 2 2" xfId="14810" xr:uid="{00000000-0005-0000-0000-0000BA920000}"/>
    <cellStyle name="Normal 6 5 5 3 2 2 2" xfId="14811" xr:uid="{00000000-0005-0000-0000-0000BB920000}"/>
    <cellStyle name="Normal 6 5 5 3 2 2 2 2" xfId="38291" xr:uid="{00000000-0005-0000-0000-0000BC920000}"/>
    <cellStyle name="Normal 6 5 5 3 2 2 3" xfId="38290" xr:uid="{00000000-0005-0000-0000-0000BD920000}"/>
    <cellStyle name="Normal 6 5 5 3 2 3" xfId="14812" xr:uid="{00000000-0005-0000-0000-0000BE920000}"/>
    <cellStyle name="Normal 6 5 5 3 2 3 2" xfId="38292" xr:uid="{00000000-0005-0000-0000-0000BF920000}"/>
    <cellStyle name="Normal 6 5 5 3 2 4" xfId="38289" xr:uid="{00000000-0005-0000-0000-0000C0920000}"/>
    <cellStyle name="Normal 6 5 5 3 3" xfId="14813" xr:uid="{00000000-0005-0000-0000-0000C1920000}"/>
    <cellStyle name="Normal 6 5 5 3 3 2" xfId="14814" xr:uid="{00000000-0005-0000-0000-0000C2920000}"/>
    <cellStyle name="Normal 6 5 5 3 3 2 2" xfId="38294" xr:uid="{00000000-0005-0000-0000-0000C3920000}"/>
    <cellStyle name="Normal 6 5 5 3 3 3" xfId="38293" xr:uid="{00000000-0005-0000-0000-0000C4920000}"/>
    <cellStyle name="Normal 6 5 5 3 4" xfId="14815" xr:uid="{00000000-0005-0000-0000-0000C5920000}"/>
    <cellStyle name="Normal 6 5 5 3 4 2" xfId="38295" xr:uid="{00000000-0005-0000-0000-0000C6920000}"/>
    <cellStyle name="Normal 6 5 5 3 5" xfId="38288" xr:uid="{00000000-0005-0000-0000-0000C7920000}"/>
    <cellStyle name="Normal 6 5 5 4" xfId="14816" xr:uid="{00000000-0005-0000-0000-0000C8920000}"/>
    <cellStyle name="Normal 6 5 5 4 2" xfId="14817" xr:uid="{00000000-0005-0000-0000-0000C9920000}"/>
    <cellStyle name="Normal 6 5 5 4 2 2" xfId="14818" xr:uid="{00000000-0005-0000-0000-0000CA920000}"/>
    <cellStyle name="Normal 6 5 5 4 2 2 2" xfId="38298" xr:uid="{00000000-0005-0000-0000-0000CB920000}"/>
    <cellStyle name="Normal 6 5 5 4 2 3" xfId="38297" xr:uid="{00000000-0005-0000-0000-0000CC920000}"/>
    <cellStyle name="Normal 6 5 5 4 3" xfId="14819" xr:uid="{00000000-0005-0000-0000-0000CD920000}"/>
    <cellStyle name="Normal 6 5 5 4 3 2" xfId="38299" xr:uid="{00000000-0005-0000-0000-0000CE920000}"/>
    <cellStyle name="Normal 6 5 5 4 4" xfId="38296" xr:uid="{00000000-0005-0000-0000-0000CF920000}"/>
    <cellStyle name="Normal 6 5 5 5" xfId="14820" xr:uid="{00000000-0005-0000-0000-0000D0920000}"/>
    <cellStyle name="Normal 6 5 5 5 2" xfId="14821" xr:uid="{00000000-0005-0000-0000-0000D1920000}"/>
    <cellStyle name="Normal 6 5 5 5 2 2" xfId="38301" xr:uid="{00000000-0005-0000-0000-0000D2920000}"/>
    <cellStyle name="Normal 6 5 5 5 3" xfId="38300" xr:uid="{00000000-0005-0000-0000-0000D3920000}"/>
    <cellStyle name="Normal 6 5 5 6" xfId="14822" xr:uid="{00000000-0005-0000-0000-0000D4920000}"/>
    <cellStyle name="Normal 6 5 5 6 2" xfId="38302" xr:uid="{00000000-0005-0000-0000-0000D5920000}"/>
    <cellStyle name="Normal 6 5 5 7" xfId="38279" xr:uid="{00000000-0005-0000-0000-0000D6920000}"/>
    <cellStyle name="Normal 6 5 6" xfId="14823" xr:uid="{00000000-0005-0000-0000-0000D7920000}"/>
    <cellStyle name="Normal 6 5 6 2" xfId="14824" xr:uid="{00000000-0005-0000-0000-0000D8920000}"/>
    <cellStyle name="Normal 6 5 6 2 2" xfId="14825" xr:uid="{00000000-0005-0000-0000-0000D9920000}"/>
    <cellStyle name="Normal 6 5 6 2 2 2" xfId="14826" xr:uid="{00000000-0005-0000-0000-0000DA920000}"/>
    <cellStyle name="Normal 6 5 6 2 2 2 2" xfId="38306" xr:uid="{00000000-0005-0000-0000-0000DB920000}"/>
    <cellStyle name="Normal 6 5 6 2 2 3" xfId="38305" xr:uid="{00000000-0005-0000-0000-0000DC920000}"/>
    <cellStyle name="Normal 6 5 6 2 3" xfId="14827" xr:uid="{00000000-0005-0000-0000-0000DD920000}"/>
    <cellStyle name="Normal 6 5 6 2 3 2" xfId="38307" xr:uid="{00000000-0005-0000-0000-0000DE920000}"/>
    <cellStyle name="Normal 6 5 6 2 4" xfId="38304" xr:uid="{00000000-0005-0000-0000-0000DF920000}"/>
    <cellStyle name="Normal 6 5 6 3" xfId="14828" xr:uid="{00000000-0005-0000-0000-0000E0920000}"/>
    <cellStyle name="Normal 6 5 6 3 2" xfId="14829" xr:uid="{00000000-0005-0000-0000-0000E1920000}"/>
    <cellStyle name="Normal 6 5 6 3 2 2" xfId="38309" xr:uid="{00000000-0005-0000-0000-0000E2920000}"/>
    <cellStyle name="Normal 6 5 6 3 3" xfId="38308" xr:uid="{00000000-0005-0000-0000-0000E3920000}"/>
    <cellStyle name="Normal 6 5 6 4" xfId="14830" xr:uid="{00000000-0005-0000-0000-0000E4920000}"/>
    <cellStyle name="Normal 6 5 6 4 2" xfId="38310" xr:uid="{00000000-0005-0000-0000-0000E5920000}"/>
    <cellStyle name="Normal 6 5 6 5" xfId="38303" xr:uid="{00000000-0005-0000-0000-0000E6920000}"/>
    <cellStyle name="Normal 6 5 7" xfId="14831" xr:uid="{00000000-0005-0000-0000-0000E7920000}"/>
    <cellStyle name="Normal 6 5 7 2" xfId="14832" xr:uid="{00000000-0005-0000-0000-0000E8920000}"/>
    <cellStyle name="Normal 6 5 7 2 2" xfId="14833" xr:uid="{00000000-0005-0000-0000-0000E9920000}"/>
    <cellStyle name="Normal 6 5 7 2 2 2" xfId="14834" xr:uid="{00000000-0005-0000-0000-0000EA920000}"/>
    <cellStyle name="Normal 6 5 7 2 2 2 2" xfId="38314" xr:uid="{00000000-0005-0000-0000-0000EB920000}"/>
    <cellStyle name="Normal 6 5 7 2 2 3" xfId="38313" xr:uid="{00000000-0005-0000-0000-0000EC920000}"/>
    <cellStyle name="Normal 6 5 7 2 3" xfId="14835" xr:uid="{00000000-0005-0000-0000-0000ED920000}"/>
    <cellStyle name="Normal 6 5 7 2 3 2" xfId="38315" xr:uid="{00000000-0005-0000-0000-0000EE920000}"/>
    <cellStyle name="Normal 6 5 7 2 4" xfId="38312" xr:uid="{00000000-0005-0000-0000-0000EF920000}"/>
    <cellStyle name="Normal 6 5 7 3" xfId="14836" xr:uid="{00000000-0005-0000-0000-0000F0920000}"/>
    <cellStyle name="Normal 6 5 7 3 2" xfId="14837" xr:uid="{00000000-0005-0000-0000-0000F1920000}"/>
    <cellStyle name="Normal 6 5 7 3 2 2" xfId="38317" xr:uid="{00000000-0005-0000-0000-0000F2920000}"/>
    <cellStyle name="Normal 6 5 7 3 3" xfId="38316" xr:uid="{00000000-0005-0000-0000-0000F3920000}"/>
    <cellStyle name="Normal 6 5 7 4" xfId="14838" xr:uid="{00000000-0005-0000-0000-0000F4920000}"/>
    <cellStyle name="Normal 6 5 7 4 2" xfId="38318" xr:uid="{00000000-0005-0000-0000-0000F5920000}"/>
    <cellStyle name="Normal 6 5 7 5" xfId="38311" xr:uid="{00000000-0005-0000-0000-0000F6920000}"/>
    <cellStyle name="Normal 6 5 8" xfId="14839" xr:uid="{00000000-0005-0000-0000-0000F7920000}"/>
    <cellStyle name="Normal 6 5 8 2" xfId="14840" xr:uid="{00000000-0005-0000-0000-0000F8920000}"/>
    <cellStyle name="Normal 6 5 8 2 2" xfId="14841" xr:uid="{00000000-0005-0000-0000-0000F9920000}"/>
    <cellStyle name="Normal 6 5 8 2 2 2" xfId="38321" xr:uid="{00000000-0005-0000-0000-0000FA920000}"/>
    <cellStyle name="Normal 6 5 8 2 3" xfId="38320" xr:uid="{00000000-0005-0000-0000-0000FB920000}"/>
    <cellStyle name="Normal 6 5 8 3" xfId="14842" xr:uid="{00000000-0005-0000-0000-0000FC920000}"/>
    <cellStyle name="Normal 6 5 8 3 2" xfId="38322" xr:uid="{00000000-0005-0000-0000-0000FD920000}"/>
    <cellStyle name="Normal 6 5 8 4" xfId="38319" xr:uid="{00000000-0005-0000-0000-0000FE920000}"/>
    <cellStyle name="Normal 6 5 9" xfId="14843" xr:uid="{00000000-0005-0000-0000-0000FF920000}"/>
    <cellStyle name="Normal 6 5 9 2" xfId="14844" xr:uid="{00000000-0005-0000-0000-000000930000}"/>
    <cellStyle name="Normal 6 5 9 2 2" xfId="38324" xr:uid="{00000000-0005-0000-0000-000001930000}"/>
    <cellStyle name="Normal 6 5 9 3" xfId="38323" xr:uid="{00000000-0005-0000-0000-000002930000}"/>
    <cellStyle name="Normal 6 6" xfId="14845" xr:uid="{00000000-0005-0000-0000-000003930000}"/>
    <cellStyle name="Normal 6 6 10" xfId="38325" xr:uid="{00000000-0005-0000-0000-000004930000}"/>
    <cellStyle name="Normal 6 6 2" xfId="14846" xr:uid="{00000000-0005-0000-0000-000005930000}"/>
    <cellStyle name="Normal 6 6 2 2" xfId="14847" xr:uid="{00000000-0005-0000-0000-000006930000}"/>
    <cellStyle name="Normal 6 6 2 2 2" xfId="14848" xr:uid="{00000000-0005-0000-0000-000007930000}"/>
    <cellStyle name="Normal 6 6 2 2 2 2" xfId="14849" xr:uid="{00000000-0005-0000-0000-000008930000}"/>
    <cellStyle name="Normal 6 6 2 2 2 2 2" xfId="14850" xr:uid="{00000000-0005-0000-0000-000009930000}"/>
    <cellStyle name="Normal 6 6 2 2 2 2 2 2" xfId="38330" xr:uid="{00000000-0005-0000-0000-00000A930000}"/>
    <cellStyle name="Normal 6 6 2 2 2 2 3" xfId="38329" xr:uid="{00000000-0005-0000-0000-00000B930000}"/>
    <cellStyle name="Normal 6 6 2 2 2 3" xfId="14851" xr:uid="{00000000-0005-0000-0000-00000C930000}"/>
    <cellStyle name="Normal 6 6 2 2 2 3 2" xfId="38331" xr:uid="{00000000-0005-0000-0000-00000D930000}"/>
    <cellStyle name="Normal 6 6 2 2 2 4" xfId="38328" xr:uid="{00000000-0005-0000-0000-00000E930000}"/>
    <cellStyle name="Normal 6 6 2 2 3" xfId="14852" xr:uid="{00000000-0005-0000-0000-00000F930000}"/>
    <cellStyle name="Normal 6 6 2 2 3 2" xfId="14853" xr:uid="{00000000-0005-0000-0000-000010930000}"/>
    <cellStyle name="Normal 6 6 2 2 3 2 2" xfId="38333" xr:uid="{00000000-0005-0000-0000-000011930000}"/>
    <cellStyle name="Normal 6 6 2 2 3 3" xfId="38332" xr:uid="{00000000-0005-0000-0000-000012930000}"/>
    <cellStyle name="Normal 6 6 2 2 4" xfId="14854" xr:uid="{00000000-0005-0000-0000-000013930000}"/>
    <cellStyle name="Normal 6 6 2 2 4 2" xfId="38334" xr:uid="{00000000-0005-0000-0000-000014930000}"/>
    <cellStyle name="Normal 6 6 2 2 5" xfId="38327" xr:uid="{00000000-0005-0000-0000-000015930000}"/>
    <cellStyle name="Normal 6 6 2 3" xfId="14855" xr:uid="{00000000-0005-0000-0000-000016930000}"/>
    <cellStyle name="Normal 6 6 2 3 2" xfId="14856" xr:uid="{00000000-0005-0000-0000-000017930000}"/>
    <cellStyle name="Normal 6 6 2 3 2 2" xfId="14857" xr:uid="{00000000-0005-0000-0000-000018930000}"/>
    <cellStyle name="Normal 6 6 2 3 2 2 2" xfId="14858" xr:uid="{00000000-0005-0000-0000-000019930000}"/>
    <cellStyle name="Normal 6 6 2 3 2 2 2 2" xfId="38338" xr:uid="{00000000-0005-0000-0000-00001A930000}"/>
    <cellStyle name="Normal 6 6 2 3 2 2 3" xfId="38337" xr:uid="{00000000-0005-0000-0000-00001B930000}"/>
    <cellStyle name="Normal 6 6 2 3 2 3" xfId="14859" xr:uid="{00000000-0005-0000-0000-00001C930000}"/>
    <cellStyle name="Normal 6 6 2 3 2 3 2" xfId="38339" xr:uid="{00000000-0005-0000-0000-00001D930000}"/>
    <cellStyle name="Normal 6 6 2 3 2 4" xfId="38336" xr:uid="{00000000-0005-0000-0000-00001E930000}"/>
    <cellStyle name="Normal 6 6 2 3 3" xfId="14860" xr:uid="{00000000-0005-0000-0000-00001F930000}"/>
    <cellStyle name="Normal 6 6 2 3 3 2" xfId="14861" xr:uid="{00000000-0005-0000-0000-000020930000}"/>
    <cellStyle name="Normal 6 6 2 3 3 2 2" xfId="38341" xr:uid="{00000000-0005-0000-0000-000021930000}"/>
    <cellStyle name="Normal 6 6 2 3 3 3" xfId="38340" xr:uid="{00000000-0005-0000-0000-000022930000}"/>
    <cellStyle name="Normal 6 6 2 3 4" xfId="14862" xr:uid="{00000000-0005-0000-0000-000023930000}"/>
    <cellStyle name="Normal 6 6 2 3 4 2" xfId="38342" xr:uid="{00000000-0005-0000-0000-000024930000}"/>
    <cellStyle name="Normal 6 6 2 3 5" xfId="38335" xr:uid="{00000000-0005-0000-0000-000025930000}"/>
    <cellStyle name="Normal 6 6 2 4" xfId="14863" xr:uid="{00000000-0005-0000-0000-000026930000}"/>
    <cellStyle name="Normal 6 6 2 4 2" xfId="14864" xr:uid="{00000000-0005-0000-0000-000027930000}"/>
    <cellStyle name="Normal 6 6 2 4 2 2" xfId="14865" xr:uid="{00000000-0005-0000-0000-000028930000}"/>
    <cellStyle name="Normal 6 6 2 4 2 2 2" xfId="38345" xr:uid="{00000000-0005-0000-0000-000029930000}"/>
    <cellStyle name="Normal 6 6 2 4 2 3" xfId="38344" xr:uid="{00000000-0005-0000-0000-00002A930000}"/>
    <cellStyle name="Normal 6 6 2 4 3" xfId="14866" xr:uid="{00000000-0005-0000-0000-00002B930000}"/>
    <cellStyle name="Normal 6 6 2 4 3 2" xfId="38346" xr:uid="{00000000-0005-0000-0000-00002C930000}"/>
    <cellStyle name="Normal 6 6 2 4 4" xfId="38343" xr:uid="{00000000-0005-0000-0000-00002D930000}"/>
    <cellStyle name="Normal 6 6 2 5" xfId="14867" xr:uid="{00000000-0005-0000-0000-00002E930000}"/>
    <cellStyle name="Normal 6 6 2 5 2" xfId="14868" xr:uid="{00000000-0005-0000-0000-00002F930000}"/>
    <cellStyle name="Normal 6 6 2 5 2 2" xfId="38348" xr:uid="{00000000-0005-0000-0000-000030930000}"/>
    <cellStyle name="Normal 6 6 2 5 3" xfId="38347" xr:uid="{00000000-0005-0000-0000-000031930000}"/>
    <cellStyle name="Normal 6 6 2 6" xfId="14869" xr:uid="{00000000-0005-0000-0000-000032930000}"/>
    <cellStyle name="Normal 6 6 2 6 2" xfId="38349" xr:uid="{00000000-0005-0000-0000-000033930000}"/>
    <cellStyle name="Normal 6 6 2 7" xfId="38326" xr:uid="{00000000-0005-0000-0000-000034930000}"/>
    <cellStyle name="Normal 6 6 3" xfId="14870" xr:uid="{00000000-0005-0000-0000-000035930000}"/>
    <cellStyle name="Normal 6 6 3 2" xfId="14871" xr:uid="{00000000-0005-0000-0000-000036930000}"/>
    <cellStyle name="Normal 6 6 3 2 2" xfId="14872" xr:uid="{00000000-0005-0000-0000-000037930000}"/>
    <cellStyle name="Normal 6 6 3 2 2 2" xfId="14873" xr:uid="{00000000-0005-0000-0000-000038930000}"/>
    <cellStyle name="Normal 6 6 3 2 2 2 2" xfId="14874" xr:uid="{00000000-0005-0000-0000-000039930000}"/>
    <cellStyle name="Normal 6 6 3 2 2 2 2 2" xfId="38354" xr:uid="{00000000-0005-0000-0000-00003A930000}"/>
    <cellStyle name="Normal 6 6 3 2 2 2 3" xfId="38353" xr:uid="{00000000-0005-0000-0000-00003B930000}"/>
    <cellStyle name="Normal 6 6 3 2 2 3" xfId="14875" xr:uid="{00000000-0005-0000-0000-00003C930000}"/>
    <cellStyle name="Normal 6 6 3 2 2 3 2" xfId="38355" xr:uid="{00000000-0005-0000-0000-00003D930000}"/>
    <cellStyle name="Normal 6 6 3 2 2 4" xfId="38352" xr:uid="{00000000-0005-0000-0000-00003E930000}"/>
    <cellStyle name="Normal 6 6 3 2 3" xfId="14876" xr:uid="{00000000-0005-0000-0000-00003F930000}"/>
    <cellStyle name="Normal 6 6 3 2 3 2" xfId="14877" xr:uid="{00000000-0005-0000-0000-000040930000}"/>
    <cellStyle name="Normal 6 6 3 2 3 2 2" xfId="38357" xr:uid="{00000000-0005-0000-0000-000041930000}"/>
    <cellStyle name="Normal 6 6 3 2 3 3" xfId="38356" xr:uid="{00000000-0005-0000-0000-000042930000}"/>
    <cellStyle name="Normal 6 6 3 2 4" xfId="14878" xr:uid="{00000000-0005-0000-0000-000043930000}"/>
    <cellStyle name="Normal 6 6 3 2 4 2" xfId="38358" xr:uid="{00000000-0005-0000-0000-000044930000}"/>
    <cellStyle name="Normal 6 6 3 2 5" xfId="38351" xr:uid="{00000000-0005-0000-0000-000045930000}"/>
    <cellStyle name="Normal 6 6 3 3" xfId="14879" xr:uid="{00000000-0005-0000-0000-000046930000}"/>
    <cellStyle name="Normal 6 6 3 3 2" xfId="14880" xr:uid="{00000000-0005-0000-0000-000047930000}"/>
    <cellStyle name="Normal 6 6 3 3 2 2" xfId="14881" xr:uid="{00000000-0005-0000-0000-000048930000}"/>
    <cellStyle name="Normal 6 6 3 3 2 2 2" xfId="14882" xr:uid="{00000000-0005-0000-0000-000049930000}"/>
    <cellStyle name="Normal 6 6 3 3 2 2 2 2" xfId="38362" xr:uid="{00000000-0005-0000-0000-00004A930000}"/>
    <cellStyle name="Normal 6 6 3 3 2 2 3" xfId="38361" xr:uid="{00000000-0005-0000-0000-00004B930000}"/>
    <cellStyle name="Normal 6 6 3 3 2 3" xfId="14883" xr:uid="{00000000-0005-0000-0000-00004C930000}"/>
    <cellStyle name="Normal 6 6 3 3 2 3 2" xfId="38363" xr:uid="{00000000-0005-0000-0000-00004D930000}"/>
    <cellStyle name="Normal 6 6 3 3 2 4" xfId="38360" xr:uid="{00000000-0005-0000-0000-00004E930000}"/>
    <cellStyle name="Normal 6 6 3 3 3" xfId="14884" xr:uid="{00000000-0005-0000-0000-00004F930000}"/>
    <cellStyle name="Normal 6 6 3 3 3 2" xfId="14885" xr:uid="{00000000-0005-0000-0000-000050930000}"/>
    <cellStyle name="Normal 6 6 3 3 3 2 2" xfId="38365" xr:uid="{00000000-0005-0000-0000-000051930000}"/>
    <cellStyle name="Normal 6 6 3 3 3 3" xfId="38364" xr:uid="{00000000-0005-0000-0000-000052930000}"/>
    <cellStyle name="Normal 6 6 3 3 4" xfId="14886" xr:uid="{00000000-0005-0000-0000-000053930000}"/>
    <cellStyle name="Normal 6 6 3 3 4 2" xfId="38366" xr:uid="{00000000-0005-0000-0000-000054930000}"/>
    <cellStyle name="Normal 6 6 3 3 5" xfId="38359" xr:uid="{00000000-0005-0000-0000-000055930000}"/>
    <cellStyle name="Normal 6 6 3 4" xfId="14887" xr:uid="{00000000-0005-0000-0000-000056930000}"/>
    <cellStyle name="Normal 6 6 3 4 2" xfId="14888" xr:uid="{00000000-0005-0000-0000-000057930000}"/>
    <cellStyle name="Normal 6 6 3 4 2 2" xfId="14889" xr:uid="{00000000-0005-0000-0000-000058930000}"/>
    <cellStyle name="Normal 6 6 3 4 2 2 2" xfId="38369" xr:uid="{00000000-0005-0000-0000-000059930000}"/>
    <cellStyle name="Normal 6 6 3 4 2 3" xfId="38368" xr:uid="{00000000-0005-0000-0000-00005A930000}"/>
    <cellStyle name="Normal 6 6 3 4 3" xfId="14890" xr:uid="{00000000-0005-0000-0000-00005B930000}"/>
    <cellStyle name="Normal 6 6 3 4 3 2" xfId="38370" xr:uid="{00000000-0005-0000-0000-00005C930000}"/>
    <cellStyle name="Normal 6 6 3 4 4" xfId="38367" xr:uid="{00000000-0005-0000-0000-00005D930000}"/>
    <cellStyle name="Normal 6 6 3 5" xfId="14891" xr:uid="{00000000-0005-0000-0000-00005E930000}"/>
    <cellStyle name="Normal 6 6 3 5 2" xfId="14892" xr:uid="{00000000-0005-0000-0000-00005F930000}"/>
    <cellStyle name="Normal 6 6 3 5 2 2" xfId="38372" xr:uid="{00000000-0005-0000-0000-000060930000}"/>
    <cellStyle name="Normal 6 6 3 5 3" xfId="38371" xr:uid="{00000000-0005-0000-0000-000061930000}"/>
    <cellStyle name="Normal 6 6 3 6" xfId="14893" xr:uid="{00000000-0005-0000-0000-000062930000}"/>
    <cellStyle name="Normal 6 6 3 6 2" xfId="38373" xr:uid="{00000000-0005-0000-0000-000063930000}"/>
    <cellStyle name="Normal 6 6 3 7" xfId="38350" xr:uid="{00000000-0005-0000-0000-000064930000}"/>
    <cellStyle name="Normal 6 6 4" xfId="14894" xr:uid="{00000000-0005-0000-0000-000065930000}"/>
    <cellStyle name="Normal 6 6 4 2" xfId="14895" xr:uid="{00000000-0005-0000-0000-000066930000}"/>
    <cellStyle name="Normal 6 6 4 2 2" xfId="14896" xr:uid="{00000000-0005-0000-0000-000067930000}"/>
    <cellStyle name="Normal 6 6 4 2 2 2" xfId="14897" xr:uid="{00000000-0005-0000-0000-000068930000}"/>
    <cellStyle name="Normal 6 6 4 2 2 2 2" xfId="14898" xr:uid="{00000000-0005-0000-0000-000069930000}"/>
    <cellStyle name="Normal 6 6 4 2 2 2 2 2" xfId="38378" xr:uid="{00000000-0005-0000-0000-00006A930000}"/>
    <cellStyle name="Normal 6 6 4 2 2 2 3" xfId="38377" xr:uid="{00000000-0005-0000-0000-00006B930000}"/>
    <cellStyle name="Normal 6 6 4 2 2 3" xfId="14899" xr:uid="{00000000-0005-0000-0000-00006C930000}"/>
    <cellStyle name="Normal 6 6 4 2 2 3 2" xfId="38379" xr:uid="{00000000-0005-0000-0000-00006D930000}"/>
    <cellStyle name="Normal 6 6 4 2 2 4" xfId="38376" xr:uid="{00000000-0005-0000-0000-00006E930000}"/>
    <cellStyle name="Normal 6 6 4 2 3" xfId="14900" xr:uid="{00000000-0005-0000-0000-00006F930000}"/>
    <cellStyle name="Normal 6 6 4 2 3 2" xfId="14901" xr:uid="{00000000-0005-0000-0000-000070930000}"/>
    <cellStyle name="Normal 6 6 4 2 3 2 2" xfId="38381" xr:uid="{00000000-0005-0000-0000-000071930000}"/>
    <cellStyle name="Normal 6 6 4 2 3 3" xfId="38380" xr:uid="{00000000-0005-0000-0000-000072930000}"/>
    <cellStyle name="Normal 6 6 4 2 4" xfId="14902" xr:uid="{00000000-0005-0000-0000-000073930000}"/>
    <cellStyle name="Normal 6 6 4 2 4 2" xfId="38382" xr:uid="{00000000-0005-0000-0000-000074930000}"/>
    <cellStyle name="Normal 6 6 4 2 5" xfId="38375" xr:uid="{00000000-0005-0000-0000-000075930000}"/>
    <cellStyle name="Normal 6 6 4 3" xfId="14903" xr:uid="{00000000-0005-0000-0000-000076930000}"/>
    <cellStyle name="Normal 6 6 4 3 2" xfId="14904" xr:uid="{00000000-0005-0000-0000-000077930000}"/>
    <cellStyle name="Normal 6 6 4 3 2 2" xfId="14905" xr:uid="{00000000-0005-0000-0000-000078930000}"/>
    <cellStyle name="Normal 6 6 4 3 2 2 2" xfId="14906" xr:uid="{00000000-0005-0000-0000-000079930000}"/>
    <cellStyle name="Normal 6 6 4 3 2 2 2 2" xfId="38386" xr:uid="{00000000-0005-0000-0000-00007A930000}"/>
    <cellStyle name="Normal 6 6 4 3 2 2 3" xfId="38385" xr:uid="{00000000-0005-0000-0000-00007B930000}"/>
    <cellStyle name="Normal 6 6 4 3 2 3" xfId="14907" xr:uid="{00000000-0005-0000-0000-00007C930000}"/>
    <cellStyle name="Normal 6 6 4 3 2 3 2" xfId="38387" xr:uid="{00000000-0005-0000-0000-00007D930000}"/>
    <cellStyle name="Normal 6 6 4 3 2 4" xfId="38384" xr:uid="{00000000-0005-0000-0000-00007E930000}"/>
    <cellStyle name="Normal 6 6 4 3 3" xfId="14908" xr:uid="{00000000-0005-0000-0000-00007F930000}"/>
    <cellStyle name="Normal 6 6 4 3 3 2" xfId="14909" xr:uid="{00000000-0005-0000-0000-000080930000}"/>
    <cellStyle name="Normal 6 6 4 3 3 2 2" xfId="38389" xr:uid="{00000000-0005-0000-0000-000081930000}"/>
    <cellStyle name="Normal 6 6 4 3 3 3" xfId="38388" xr:uid="{00000000-0005-0000-0000-000082930000}"/>
    <cellStyle name="Normal 6 6 4 3 4" xfId="14910" xr:uid="{00000000-0005-0000-0000-000083930000}"/>
    <cellStyle name="Normal 6 6 4 3 4 2" xfId="38390" xr:uid="{00000000-0005-0000-0000-000084930000}"/>
    <cellStyle name="Normal 6 6 4 3 5" xfId="38383" xr:uid="{00000000-0005-0000-0000-000085930000}"/>
    <cellStyle name="Normal 6 6 4 4" xfId="14911" xr:uid="{00000000-0005-0000-0000-000086930000}"/>
    <cellStyle name="Normal 6 6 4 4 2" xfId="14912" xr:uid="{00000000-0005-0000-0000-000087930000}"/>
    <cellStyle name="Normal 6 6 4 4 2 2" xfId="14913" xr:uid="{00000000-0005-0000-0000-000088930000}"/>
    <cellStyle name="Normal 6 6 4 4 2 2 2" xfId="38393" xr:uid="{00000000-0005-0000-0000-000089930000}"/>
    <cellStyle name="Normal 6 6 4 4 2 3" xfId="38392" xr:uid="{00000000-0005-0000-0000-00008A930000}"/>
    <cellStyle name="Normal 6 6 4 4 3" xfId="14914" xr:uid="{00000000-0005-0000-0000-00008B930000}"/>
    <cellStyle name="Normal 6 6 4 4 3 2" xfId="38394" xr:uid="{00000000-0005-0000-0000-00008C930000}"/>
    <cellStyle name="Normal 6 6 4 4 4" xfId="38391" xr:uid="{00000000-0005-0000-0000-00008D930000}"/>
    <cellStyle name="Normal 6 6 4 5" xfId="14915" xr:uid="{00000000-0005-0000-0000-00008E930000}"/>
    <cellStyle name="Normal 6 6 4 5 2" xfId="14916" xr:uid="{00000000-0005-0000-0000-00008F930000}"/>
    <cellStyle name="Normal 6 6 4 5 2 2" xfId="38396" xr:uid="{00000000-0005-0000-0000-000090930000}"/>
    <cellStyle name="Normal 6 6 4 5 3" xfId="38395" xr:uid="{00000000-0005-0000-0000-000091930000}"/>
    <cellStyle name="Normal 6 6 4 6" xfId="14917" xr:uid="{00000000-0005-0000-0000-000092930000}"/>
    <cellStyle name="Normal 6 6 4 6 2" xfId="38397" xr:uid="{00000000-0005-0000-0000-000093930000}"/>
    <cellStyle name="Normal 6 6 4 7" xfId="38374" xr:uid="{00000000-0005-0000-0000-000094930000}"/>
    <cellStyle name="Normal 6 6 5" xfId="14918" xr:uid="{00000000-0005-0000-0000-000095930000}"/>
    <cellStyle name="Normal 6 6 5 2" xfId="14919" xr:uid="{00000000-0005-0000-0000-000096930000}"/>
    <cellStyle name="Normal 6 6 5 2 2" xfId="14920" xr:uid="{00000000-0005-0000-0000-000097930000}"/>
    <cellStyle name="Normal 6 6 5 2 2 2" xfId="14921" xr:uid="{00000000-0005-0000-0000-000098930000}"/>
    <cellStyle name="Normal 6 6 5 2 2 2 2" xfId="38401" xr:uid="{00000000-0005-0000-0000-000099930000}"/>
    <cellStyle name="Normal 6 6 5 2 2 3" xfId="38400" xr:uid="{00000000-0005-0000-0000-00009A930000}"/>
    <cellStyle name="Normal 6 6 5 2 3" xfId="14922" xr:uid="{00000000-0005-0000-0000-00009B930000}"/>
    <cellStyle name="Normal 6 6 5 2 3 2" xfId="38402" xr:uid="{00000000-0005-0000-0000-00009C930000}"/>
    <cellStyle name="Normal 6 6 5 2 4" xfId="38399" xr:uid="{00000000-0005-0000-0000-00009D930000}"/>
    <cellStyle name="Normal 6 6 5 3" xfId="14923" xr:uid="{00000000-0005-0000-0000-00009E930000}"/>
    <cellStyle name="Normal 6 6 5 3 2" xfId="14924" xr:uid="{00000000-0005-0000-0000-00009F930000}"/>
    <cellStyle name="Normal 6 6 5 3 2 2" xfId="38404" xr:uid="{00000000-0005-0000-0000-0000A0930000}"/>
    <cellStyle name="Normal 6 6 5 3 3" xfId="38403" xr:uid="{00000000-0005-0000-0000-0000A1930000}"/>
    <cellStyle name="Normal 6 6 5 4" xfId="14925" xr:uid="{00000000-0005-0000-0000-0000A2930000}"/>
    <cellStyle name="Normal 6 6 5 4 2" xfId="38405" xr:uid="{00000000-0005-0000-0000-0000A3930000}"/>
    <cellStyle name="Normal 6 6 5 5" xfId="38398" xr:uid="{00000000-0005-0000-0000-0000A4930000}"/>
    <cellStyle name="Normal 6 6 6" xfId="14926" xr:uid="{00000000-0005-0000-0000-0000A5930000}"/>
    <cellStyle name="Normal 6 6 6 2" xfId="14927" xr:uid="{00000000-0005-0000-0000-0000A6930000}"/>
    <cellStyle name="Normal 6 6 6 2 2" xfId="14928" xr:uid="{00000000-0005-0000-0000-0000A7930000}"/>
    <cellStyle name="Normal 6 6 6 2 2 2" xfId="14929" xr:uid="{00000000-0005-0000-0000-0000A8930000}"/>
    <cellStyle name="Normal 6 6 6 2 2 2 2" xfId="38409" xr:uid="{00000000-0005-0000-0000-0000A9930000}"/>
    <cellStyle name="Normal 6 6 6 2 2 3" xfId="38408" xr:uid="{00000000-0005-0000-0000-0000AA930000}"/>
    <cellStyle name="Normal 6 6 6 2 3" xfId="14930" xr:uid="{00000000-0005-0000-0000-0000AB930000}"/>
    <cellStyle name="Normal 6 6 6 2 3 2" xfId="38410" xr:uid="{00000000-0005-0000-0000-0000AC930000}"/>
    <cellStyle name="Normal 6 6 6 2 4" xfId="38407" xr:uid="{00000000-0005-0000-0000-0000AD930000}"/>
    <cellStyle name="Normal 6 6 6 3" xfId="14931" xr:uid="{00000000-0005-0000-0000-0000AE930000}"/>
    <cellStyle name="Normal 6 6 6 3 2" xfId="14932" xr:uid="{00000000-0005-0000-0000-0000AF930000}"/>
    <cellStyle name="Normal 6 6 6 3 2 2" xfId="38412" xr:uid="{00000000-0005-0000-0000-0000B0930000}"/>
    <cellStyle name="Normal 6 6 6 3 3" xfId="38411" xr:uid="{00000000-0005-0000-0000-0000B1930000}"/>
    <cellStyle name="Normal 6 6 6 4" xfId="14933" xr:uid="{00000000-0005-0000-0000-0000B2930000}"/>
    <cellStyle name="Normal 6 6 6 4 2" xfId="38413" xr:uid="{00000000-0005-0000-0000-0000B3930000}"/>
    <cellStyle name="Normal 6 6 6 5" xfId="38406" xr:uid="{00000000-0005-0000-0000-0000B4930000}"/>
    <cellStyle name="Normal 6 6 7" xfId="14934" xr:uid="{00000000-0005-0000-0000-0000B5930000}"/>
    <cellStyle name="Normal 6 6 7 2" xfId="14935" xr:uid="{00000000-0005-0000-0000-0000B6930000}"/>
    <cellStyle name="Normal 6 6 7 2 2" xfId="14936" xr:uid="{00000000-0005-0000-0000-0000B7930000}"/>
    <cellStyle name="Normal 6 6 7 2 2 2" xfId="38416" xr:uid="{00000000-0005-0000-0000-0000B8930000}"/>
    <cellStyle name="Normal 6 6 7 2 3" xfId="38415" xr:uid="{00000000-0005-0000-0000-0000B9930000}"/>
    <cellStyle name="Normal 6 6 7 3" xfId="14937" xr:uid="{00000000-0005-0000-0000-0000BA930000}"/>
    <cellStyle name="Normal 6 6 7 3 2" xfId="38417" xr:uid="{00000000-0005-0000-0000-0000BB930000}"/>
    <cellStyle name="Normal 6 6 7 4" xfId="38414" xr:uid="{00000000-0005-0000-0000-0000BC930000}"/>
    <cellStyle name="Normal 6 6 8" xfId="14938" xr:uid="{00000000-0005-0000-0000-0000BD930000}"/>
    <cellStyle name="Normal 6 6 8 2" xfId="14939" xr:uid="{00000000-0005-0000-0000-0000BE930000}"/>
    <cellStyle name="Normal 6 6 8 2 2" xfId="38419" xr:uid="{00000000-0005-0000-0000-0000BF930000}"/>
    <cellStyle name="Normal 6 6 8 3" xfId="38418" xr:uid="{00000000-0005-0000-0000-0000C0930000}"/>
    <cellStyle name="Normal 6 6 9" xfId="14940" xr:uid="{00000000-0005-0000-0000-0000C1930000}"/>
    <cellStyle name="Normal 6 6 9 2" xfId="38420" xr:uid="{00000000-0005-0000-0000-0000C2930000}"/>
    <cellStyle name="Normal 6 7" xfId="14941" xr:uid="{00000000-0005-0000-0000-0000C3930000}"/>
    <cellStyle name="Normal 6 7 10" xfId="38421" xr:uid="{00000000-0005-0000-0000-0000C4930000}"/>
    <cellStyle name="Normal 6 7 2" xfId="14942" xr:uid="{00000000-0005-0000-0000-0000C5930000}"/>
    <cellStyle name="Normal 6 7 2 2" xfId="14943" xr:uid="{00000000-0005-0000-0000-0000C6930000}"/>
    <cellStyle name="Normal 6 7 2 2 2" xfId="14944" xr:uid="{00000000-0005-0000-0000-0000C7930000}"/>
    <cellStyle name="Normal 6 7 2 2 2 2" xfId="14945" xr:uid="{00000000-0005-0000-0000-0000C8930000}"/>
    <cellStyle name="Normal 6 7 2 2 2 2 2" xfId="14946" xr:uid="{00000000-0005-0000-0000-0000C9930000}"/>
    <cellStyle name="Normal 6 7 2 2 2 2 2 2" xfId="38426" xr:uid="{00000000-0005-0000-0000-0000CA930000}"/>
    <cellStyle name="Normal 6 7 2 2 2 2 3" xfId="38425" xr:uid="{00000000-0005-0000-0000-0000CB930000}"/>
    <cellStyle name="Normal 6 7 2 2 2 3" xfId="14947" xr:uid="{00000000-0005-0000-0000-0000CC930000}"/>
    <cellStyle name="Normal 6 7 2 2 2 3 2" xfId="38427" xr:uid="{00000000-0005-0000-0000-0000CD930000}"/>
    <cellStyle name="Normal 6 7 2 2 2 4" xfId="38424" xr:uid="{00000000-0005-0000-0000-0000CE930000}"/>
    <cellStyle name="Normal 6 7 2 2 3" xfId="14948" xr:uid="{00000000-0005-0000-0000-0000CF930000}"/>
    <cellStyle name="Normal 6 7 2 2 3 2" xfId="14949" xr:uid="{00000000-0005-0000-0000-0000D0930000}"/>
    <cellStyle name="Normal 6 7 2 2 3 2 2" xfId="38429" xr:uid="{00000000-0005-0000-0000-0000D1930000}"/>
    <cellStyle name="Normal 6 7 2 2 3 3" xfId="38428" xr:uid="{00000000-0005-0000-0000-0000D2930000}"/>
    <cellStyle name="Normal 6 7 2 2 4" xfId="14950" xr:uid="{00000000-0005-0000-0000-0000D3930000}"/>
    <cellStyle name="Normal 6 7 2 2 4 2" xfId="38430" xr:uid="{00000000-0005-0000-0000-0000D4930000}"/>
    <cellStyle name="Normal 6 7 2 2 5" xfId="38423" xr:uid="{00000000-0005-0000-0000-0000D5930000}"/>
    <cellStyle name="Normal 6 7 2 3" xfId="14951" xr:uid="{00000000-0005-0000-0000-0000D6930000}"/>
    <cellStyle name="Normal 6 7 2 3 2" xfId="14952" xr:uid="{00000000-0005-0000-0000-0000D7930000}"/>
    <cellStyle name="Normal 6 7 2 3 2 2" xfId="14953" xr:uid="{00000000-0005-0000-0000-0000D8930000}"/>
    <cellStyle name="Normal 6 7 2 3 2 2 2" xfId="14954" xr:uid="{00000000-0005-0000-0000-0000D9930000}"/>
    <cellStyle name="Normal 6 7 2 3 2 2 2 2" xfId="38434" xr:uid="{00000000-0005-0000-0000-0000DA930000}"/>
    <cellStyle name="Normal 6 7 2 3 2 2 3" xfId="38433" xr:uid="{00000000-0005-0000-0000-0000DB930000}"/>
    <cellStyle name="Normal 6 7 2 3 2 3" xfId="14955" xr:uid="{00000000-0005-0000-0000-0000DC930000}"/>
    <cellStyle name="Normal 6 7 2 3 2 3 2" xfId="38435" xr:uid="{00000000-0005-0000-0000-0000DD930000}"/>
    <cellStyle name="Normal 6 7 2 3 2 4" xfId="38432" xr:uid="{00000000-0005-0000-0000-0000DE930000}"/>
    <cellStyle name="Normal 6 7 2 3 3" xfId="14956" xr:uid="{00000000-0005-0000-0000-0000DF930000}"/>
    <cellStyle name="Normal 6 7 2 3 3 2" xfId="14957" xr:uid="{00000000-0005-0000-0000-0000E0930000}"/>
    <cellStyle name="Normal 6 7 2 3 3 2 2" xfId="38437" xr:uid="{00000000-0005-0000-0000-0000E1930000}"/>
    <cellStyle name="Normal 6 7 2 3 3 3" xfId="38436" xr:uid="{00000000-0005-0000-0000-0000E2930000}"/>
    <cellStyle name="Normal 6 7 2 3 4" xfId="14958" xr:uid="{00000000-0005-0000-0000-0000E3930000}"/>
    <cellStyle name="Normal 6 7 2 3 4 2" xfId="38438" xr:uid="{00000000-0005-0000-0000-0000E4930000}"/>
    <cellStyle name="Normal 6 7 2 3 5" xfId="38431" xr:uid="{00000000-0005-0000-0000-0000E5930000}"/>
    <cellStyle name="Normal 6 7 2 4" xfId="14959" xr:uid="{00000000-0005-0000-0000-0000E6930000}"/>
    <cellStyle name="Normal 6 7 2 4 2" xfId="14960" xr:uid="{00000000-0005-0000-0000-0000E7930000}"/>
    <cellStyle name="Normal 6 7 2 4 2 2" xfId="14961" xr:uid="{00000000-0005-0000-0000-0000E8930000}"/>
    <cellStyle name="Normal 6 7 2 4 2 2 2" xfId="38441" xr:uid="{00000000-0005-0000-0000-0000E9930000}"/>
    <cellStyle name="Normal 6 7 2 4 2 3" xfId="38440" xr:uid="{00000000-0005-0000-0000-0000EA930000}"/>
    <cellStyle name="Normal 6 7 2 4 3" xfId="14962" xr:uid="{00000000-0005-0000-0000-0000EB930000}"/>
    <cellStyle name="Normal 6 7 2 4 3 2" xfId="38442" xr:uid="{00000000-0005-0000-0000-0000EC930000}"/>
    <cellStyle name="Normal 6 7 2 4 4" xfId="38439" xr:uid="{00000000-0005-0000-0000-0000ED930000}"/>
    <cellStyle name="Normal 6 7 2 5" xfId="14963" xr:uid="{00000000-0005-0000-0000-0000EE930000}"/>
    <cellStyle name="Normal 6 7 2 5 2" xfId="14964" xr:uid="{00000000-0005-0000-0000-0000EF930000}"/>
    <cellStyle name="Normal 6 7 2 5 2 2" xfId="38444" xr:uid="{00000000-0005-0000-0000-0000F0930000}"/>
    <cellStyle name="Normal 6 7 2 5 3" xfId="38443" xr:uid="{00000000-0005-0000-0000-0000F1930000}"/>
    <cellStyle name="Normal 6 7 2 6" xfId="14965" xr:uid="{00000000-0005-0000-0000-0000F2930000}"/>
    <cellStyle name="Normal 6 7 2 6 2" xfId="38445" xr:uid="{00000000-0005-0000-0000-0000F3930000}"/>
    <cellStyle name="Normal 6 7 2 7" xfId="38422" xr:uid="{00000000-0005-0000-0000-0000F4930000}"/>
    <cellStyle name="Normal 6 7 3" xfId="14966" xr:uid="{00000000-0005-0000-0000-0000F5930000}"/>
    <cellStyle name="Normal 6 7 3 2" xfId="14967" xr:uid="{00000000-0005-0000-0000-0000F6930000}"/>
    <cellStyle name="Normal 6 7 3 2 2" xfId="14968" xr:uid="{00000000-0005-0000-0000-0000F7930000}"/>
    <cellStyle name="Normal 6 7 3 2 2 2" xfId="14969" xr:uid="{00000000-0005-0000-0000-0000F8930000}"/>
    <cellStyle name="Normal 6 7 3 2 2 2 2" xfId="14970" xr:uid="{00000000-0005-0000-0000-0000F9930000}"/>
    <cellStyle name="Normal 6 7 3 2 2 2 2 2" xfId="38450" xr:uid="{00000000-0005-0000-0000-0000FA930000}"/>
    <cellStyle name="Normal 6 7 3 2 2 2 3" xfId="38449" xr:uid="{00000000-0005-0000-0000-0000FB930000}"/>
    <cellStyle name="Normal 6 7 3 2 2 3" xfId="14971" xr:uid="{00000000-0005-0000-0000-0000FC930000}"/>
    <cellStyle name="Normal 6 7 3 2 2 3 2" xfId="38451" xr:uid="{00000000-0005-0000-0000-0000FD930000}"/>
    <cellStyle name="Normal 6 7 3 2 2 4" xfId="38448" xr:uid="{00000000-0005-0000-0000-0000FE930000}"/>
    <cellStyle name="Normal 6 7 3 2 3" xfId="14972" xr:uid="{00000000-0005-0000-0000-0000FF930000}"/>
    <cellStyle name="Normal 6 7 3 2 3 2" xfId="14973" xr:uid="{00000000-0005-0000-0000-000000940000}"/>
    <cellStyle name="Normal 6 7 3 2 3 2 2" xfId="38453" xr:uid="{00000000-0005-0000-0000-000001940000}"/>
    <cellStyle name="Normal 6 7 3 2 3 3" xfId="38452" xr:uid="{00000000-0005-0000-0000-000002940000}"/>
    <cellStyle name="Normal 6 7 3 2 4" xfId="14974" xr:uid="{00000000-0005-0000-0000-000003940000}"/>
    <cellStyle name="Normal 6 7 3 2 4 2" xfId="38454" xr:uid="{00000000-0005-0000-0000-000004940000}"/>
    <cellStyle name="Normal 6 7 3 2 5" xfId="38447" xr:uid="{00000000-0005-0000-0000-000005940000}"/>
    <cellStyle name="Normal 6 7 3 3" xfId="14975" xr:uid="{00000000-0005-0000-0000-000006940000}"/>
    <cellStyle name="Normal 6 7 3 3 2" xfId="14976" xr:uid="{00000000-0005-0000-0000-000007940000}"/>
    <cellStyle name="Normal 6 7 3 3 2 2" xfId="14977" xr:uid="{00000000-0005-0000-0000-000008940000}"/>
    <cellStyle name="Normal 6 7 3 3 2 2 2" xfId="14978" xr:uid="{00000000-0005-0000-0000-000009940000}"/>
    <cellStyle name="Normal 6 7 3 3 2 2 2 2" xfId="38458" xr:uid="{00000000-0005-0000-0000-00000A940000}"/>
    <cellStyle name="Normal 6 7 3 3 2 2 3" xfId="38457" xr:uid="{00000000-0005-0000-0000-00000B940000}"/>
    <cellStyle name="Normal 6 7 3 3 2 3" xfId="14979" xr:uid="{00000000-0005-0000-0000-00000C940000}"/>
    <cellStyle name="Normal 6 7 3 3 2 3 2" xfId="38459" xr:uid="{00000000-0005-0000-0000-00000D940000}"/>
    <cellStyle name="Normal 6 7 3 3 2 4" xfId="38456" xr:uid="{00000000-0005-0000-0000-00000E940000}"/>
    <cellStyle name="Normal 6 7 3 3 3" xfId="14980" xr:uid="{00000000-0005-0000-0000-00000F940000}"/>
    <cellStyle name="Normal 6 7 3 3 3 2" xfId="14981" xr:uid="{00000000-0005-0000-0000-000010940000}"/>
    <cellStyle name="Normal 6 7 3 3 3 2 2" xfId="38461" xr:uid="{00000000-0005-0000-0000-000011940000}"/>
    <cellStyle name="Normal 6 7 3 3 3 3" xfId="38460" xr:uid="{00000000-0005-0000-0000-000012940000}"/>
    <cellStyle name="Normal 6 7 3 3 4" xfId="14982" xr:uid="{00000000-0005-0000-0000-000013940000}"/>
    <cellStyle name="Normal 6 7 3 3 4 2" xfId="38462" xr:uid="{00000000-0005-0000-0000-000014940000}"/>
    <cellStyle name="Normal 6 7 3 3 5" xfId="38455" xr:uid="{00000000-0005-0000-0000-000015940000}"/>
    <cellStyle name="Normal 6 7 3 4" xfId="14983" xr:uid="{00000000-0005-0000-0000-000016940000}"/>
    <cellStyle name="Normal 6 7 3 4 2" xfId="14984" xr:uid="{00000000-0005-0000-0000-000017940000}"/>
    <cellStyle name="Normal 6 7 3 4 2 2" xfId="14985" xr:uid="{00000000-0005-0000-0000-000018940000}"/>
    <cellStyle name="Normal 6 7 3 4 2 2 2" xfId="38465" xr:uid="{00000000-0005-0000-0000-000019940000}"/>
    <cellStyle name="Normal 6 7 3 4 2 3" xfId="38464" xr:uid="{00000000-0005-0000-0000-00001A940000}"/>
    <cellStyle name="Normal 6 7 3 4 3" xfId="14986" xr:uid="{00000000-0005-0000-0000-00001B940000}"/>
    <cellStyle name="Normal 6 7 3 4 3 2" xfId="38466" xr:uid="{00000000-0005-0000-0000-00001C940000}"/>
    <cellStyle name="Normal 6 7 3 4 4" xfId="38463" xr:uid="{00000000-0005-0000-0000-00001D940000}"/>
    <cellStyle name="Normal 6 7 3 5" xfId="14987" xr:uid="{00000000-0005-0000-0000-00001E940000}"/>
    <cellStyle name="Normal 6 7 3 5 2" xfId="14988" xr:uid="{00000000-0005-0000-0000-00001F940000}"/>
    <cellStyle name="Normal 6 7 3 5 2 2" xfId="38468" xr:uid="{00000000-0005-0000-0000-000020940000}"/>
    <cellStyle name="Normal 6 7 3 5 3" xfId="38467" xr:uid="{00000000-0005-0000-0000-000021940000}"/>
    <cellStyle name="Normal 6 7 3 6" xfId="14989" xr:uid="{00000000-0005-0000-0000-000022940000}"/>
    <cellStyle name="Normal 6 7 3 6 2" xfId="38469" xr:uid="{00000000-0005-0000-0000-000023940000}"/>
    <cellStyle name="Normal 6 7 3 7" xfId="38446" xr:uid="{00000000-0005-0000-0000-000024940000}"/>
    <cellStyle name="Normal 6 7 4" xfId="14990" xr:uid="{00000000-0005-0000-0000-000025940000}"/>
    <cellStyle name="Normal 6 7 4 2" xfId="14991" xr:uid="{00000000-0005-0000-0000-000026940000}"/>
    <cellStyle name="Normal 6 7 4 2 2" xfId="14992" xr:uid="{00000000-0005-0000-0000-000027940000}"/>
    <cellStyle name="Normal 6 7 4 2 2 2" xfId="14993" xr:uid="{00000000-0005-0000-0000-000028940000}"/>
    <cellStyle name="Normal 6 7 4 2 2 2 2" xfId="14994" xr:uid="{00000000-0005-0000-0000-000029940000}"/>
    <cellStyle name="Normal 6 7 4 2 2 2 2 2" xfId="38474" xr:uid="{00000000-0005-0000-0000-00002A940000}"/>
    <cellStyle name="Normal 6 7 4 2 2 2 3" xfId="38473" xr:uid="{00000000-0005-0000-0000-00002B940000}"/>
    <cellStyle name="Normal 6 7 4 2 2 3" xfId="14995" xr:uid="{00000000-0005-0000-0000-00002C940000}"/>
    <cellStyle name="Normal 6 7 4 2 2 3 2" xfId="38475" xr:uid="{00000000-0005-0000-0000-00002D940000}"/>
    <cellStyle name="Normal 6 7 4 2 2 4" xfId="38472" xr:uid="{00000000-0005-0000-0000-00002E940000}"/>
    <cellStyle name="Normal 6 7 4 2 3" xfId="14996" xr:uid="{00000000-0005-0000-0000-00002F940000}"/>
    <cellStyle name="Normal 6 7 4 2 3 2" xfId="14997" xr:uid="{00000000-0005-0000-0000-000030940000}"/>
    <cellStyle name="Normal 6 7 4 2 3 2 2" xfId="38477" xr:uid="{00000000-0005-0000-0000-000031940000}"/>
    <cellStyle name="Normal 6 7 4 2 3 3" xfId="38476" xr:uid="{00000000-0005-0000-0000-000032940000}"/>
    <cellStyle name="Normal 6 7 4 2 4" xfId="14998" xr:uid="{00000000-0005-0000-0000-000033940000}"/>
    <cellStyle name="Normal 6 7 4 2 4 2" xfId="38478" xr:uid="{00000000-0005-0000-0000-000034940000}"/>
    <cellStyle name="Normal 6 7 4 2 5" xfId="38471" xr:uid="{00000000-0005-0000-0000-000035940000}"/>
    <cellStyle name="Normal 6 7 4 3" xfId="14999" xr:uid="{00000000-0005-0000-0000-000036940000}"/>
    <cellStyle name="Normal 6 7 4 3 2" xfId="15000" xr:uid="{00000000-0005-0000-0000-000037940000}"/>
    <cellStyle name="Normal 6 7 4 3 2 2" xfId="15001" xr:uid="{00000000-0005-0000-0000-000038940000}"/>
    <cellStyle name="Normal 6 7 4 3 2 2 2" xfId="15002" xr:uid="{00000000-0005-0000-0000-000039940000}"/>
    <cellStyle name="Normal 6 7 4 3 2 2 2 2" xfId="38482" xr:uid="{00000000-0005-0000-0000-00003A940000}"/>
    <cellStyle name="Normal 6 7 4 3 2 2 3" xfId="38481" xr:uid="{00000000-0005-0000-0000-00003B940000}"/>
    <cellStyle name="Normal 6 7 4 3 2 3" xfId="15003" xr:uid="{00000000-0005-0000-0000-00003C940000}"/>
    <cellStyle name="Normal 6 7 4 3 2 3 2" xfId="38483" xr:uid="{00000000-0005-0000-0000-00003D940000}"/>
    <cellStyle name="Normal 6 7 4 3 2 4" xfId="38480" xr:uid="{00000000-0005-0000-0000-00003E940000}"/>
    <cellStyle name="Normal 6 7 4 3 3" xfId="15004" xr:uid="{00000000-0005-0000-0000-00003F940000}"/>
    <cellStyle name="Normal 6 7 4 3 3 2" xfId="15005" xr:uid="{00000000-0005-0000-0000-000040940000}"/>
    <cellStyle name="Normal 6 7 4 3 3 2 2" xfId="38485" xr:uid="{00000000-0005-0000-0000-000041940000}"/>
    <cellStyle name="Normal 6 7 4 3 3 3" xfId="38484" xr:uid="{00000000-0005-0000-0000-000042940000}"/>
    <cellStyle name="Normal 6 7 4 3 4" xfId="15006" xr:uid="{00000000-0005-0000-0000-000043940000}"/>
    <cellStyle name="Normal 6 7 4 3 4 2" xfId="38486" xr:uid="{00000000-0005-0000-0000-000044940000}"/>
    <cellStyle name="Normal 6 7 4 3 5" xfId="38479" xr:uid="{00000000-0005-0000-0000-000045940000}"/>
    <cellStyle name="Normal 6 7 4 4" xfId="15007" xr:uid="{00000000-0005-0000-0000-000046940000}"/>
    <cellStyle name="Normal 6 7 4 4 2" xfId="15008" xr:uid="{00000000-0005-0000-0000-000047940000}"/>
    <cellStyle name="Normal 6 7 4 4 2 2" xfId="15009" xr:uid="{00000000-0005-0000-0000-000048940000}"/>
    <cellStyle name="Normal 6 7 4 4 2 2 2" xfId="38489" xr:uid="{00000000-0005-0000-0000-000049940000}"/>
    <cellStyle name="Normal 6 7 4 4 2 3" xfId="38488" xr:uid="{00000000-0005-0000-0000-00004A940000}"/>
    <cellStyle name="Normal 6 7 4 4 3" xfId="15010" xr:uid="{00000000-0005-0000-0000-00004B940000}"/>
    <cellStyle name="Normal 6 7 4 4 3 2" xfId="38490" xr:uid="{00000000-0005-0000-0000-00004C940000}"/>
    <cellStyle name="Normal 6 7 4 4 4" xfId="38487" xr:uid="{00000000-0005-0000-0000-00004D940000}"/>
    <cellStyle name="Normal 6 7 4 5" xfId="15011" xr:uid="{00000000-0005-0000-0000-00004E940000}"/>
    <cellStyle name="Normal 6 7 4 5 2" xfId="15012" xr:uid="{00000000-0005-0000-0000-00004F940000}"/>
    <cellStyle name="Normal 6 7 4 5 2 2" xfId="38492" xr:uid="{00000000-0005-0000-0000-000050940000}"/>
    <cellStyle name="Normal 6 7 4 5 3" xfId="38491" xr:uid="{00000000-0005-0000-0000-000051940000}"/>
    <cellStyle name="Normal 6 7 4 6" xfId="15013" xr:uid="{00000000-0005-0000-0000-000052940000}"/>
    <cellStyle name="Normal 6 7 4 6 2" xfId="38493" xr:uid="{00000000-0005-0000-0000-000053940000}"/>
    <cellStyle name="Normal 6 7 4 7" xfId="38470" xr:uid="{00000000-0005-0000-0000-000054940000}"/>
    <cellStyle name="Normal 6 7 5" xfId="15014" xr:uid="{00000000-0005-0000-0000-000055940000}"/>
    <cellStyle name="Normal 6 7 5 2" xfId="15015" xr:uid="{00000000-0005-0000-0000-000056940000}"/>
    <cellStyle name="Normal 6 7 5 2 2" xfId="15016" xr:uid="{00000000-0005-0000-0000-000057940000}"/>
    <cellStyle name="Normal 6 7 5 2 2 2" xfId="15017" xr:uid="{00000000-0005-0000-0000-000058940000}"/>
    <cellStyle name="Normal 6 7 5 2 2 2 2" xfId="38497" xr:uid="{00000000-0005-0000-0000-000059940000}"/>
    <cellStyle name="Normal 6 7 5 2 2 3" xfId="38496" xr:uid="{00000000-0005-0000-0000-00005A940000}"/>
    <cellStyle name="Normal 6 7 5 2 3" xfId="15018" xr:uid="{00000000-0005-0000-0000-00005B940000}"/>
    <cellStyle name="Normal 6 7 5 2 3 2" xfId="38498" xr:uid="{00000000-0005-0000-0000-00005C940000}"/>
    <cellStyle name="Normal 6 7 5 2 4" xfId="38495" xr:uid="{00000000-0005-0000-0000-00005D940000}"/>
    <cellStyle name="Normal 6 7 5 3" xfId="15019" xr:uid="{00000000-0005-0000-0000-00005E940000}"/>
    <cellStyle name="Normal 6 7 5 3 2" xfId="15020" xr:uid="{00000000-0005-0000-0000-00005F940000}"/>
    <cellStyle name="Normal 6 7 5 3 2 2" xfId="38500" xr:uid="{00000000-0005-0000-0000-000060940000}"/>
    <cellStyle name="Normal 6 7 5 3 3" xfId="38499" xr:uid="{00000000-0005-0000-0000-000061940000}"/>
    <cellStyle name="Normal 6 7 5 4" xfId="15021" xr:uid="{00000000-0005-0000-0000-000062940000}"/>
    <cellStyle name="Normal 6 7 5 4 2" xfId="38501" xr:uid="{00000000-0005-0000-0000-000063940000}"/>
    <cellStyle name="Normal 6 7 5 5" xfId="38494" xr:uid="{00000000-0005-0000-0000-000064940000}"/>
    <cellStyle name="Normal 6 7 6" xfId="15022" xr:uid="{00000000-0005-0000-0000-000065940000}"/>
    <cellStyle name="Normal 6 7 6 2" xfId="15023" xr:uid="{00000000-0005-0000-0000-000066940000}"/>
    <cellStyle name="Normal 6 7 6 2 2" xfId="15024" xr:uid="{00000000-0005-0000-0000-000067940000}"/>
    <cellStyle name="Normal 6 7 6 2 2 2" xfId="15025" xr:uid="{00000000-0005-0000-0000-000068940000}"/>
    <cellStyle name="Normal 6 7 6 2 2 2 2" xfId="38505" xr:uid="{00000000-0005-0000-0000-000069940000}"/>
    <cellStyle name="Normal 6 7 6 2 2 3" xfId="38504" xr:uid="{00000000-0005-0000-0000-00006A940000}"/>
    <cellStyle name="Normal 6 7 6 2 3" xfId="15026" xr:uid="{00000000-0005-0000-0000-00006B940000}"/>
    <cellStyle name="Normal 6 7 6 2 3 2" xfId="38506" xr:uid="{00000000-0005-0000-0000-00006C940000}"/>
    <cellStyle name="Normal 6 7 6 2 4" xfId="38503" xr:uid="{00000000-0005-0000-0000-00006D940000}"/>
    <cellStyle name="Normal 6 7 6 3" xfId="15027" xr:uid="{00000000-0005-0000-0000-00006E940000}"/>
    <cellStyle name="Normal 6 7 6 3 2" xfId="15028" xr:uid="{00000000-0005-0000-0000-00006F940000}"/>
    <cellStyle name="Normal 6 7 6 3 2 2" xfId="38508" xr:uid="{00000000-0005-0000-0000-000070940000}"/>
    <cellStyle name="Normal 6 7 6 3 3" xfId="38507" xr:uid="{00000000-0005-0000-0000-000071940000}"/>
    <cellStyle name="Normal 6 7 6 4" xfId="15029" xr:uid="{00000000-0005-0000-0000-000072940000}"/>
    <cellStyle name="Normal 6 7 6 4 2" xfId="38509" xr:uid="{00000000-0005-0000-0000-000073940000}"/>
    <cellStyle name="Normal 6 7 6 5" xfId="38502" xr:uid="{00000000-0005-0000-0000-000074940000}"/>
    <cellStyle name="Normal 6 7 7" xfId="15030" xr:uid="{00000000-0005-0000-0000-000075940000}"/>
    <cellStyle name="Normal 6 7 7 2" xfId="15031" xr:uid="{00000000-0005-0000-0000-000076940000}"/>
    <cellStyle name="Normal 6 7 7 2 2" xfId="15032" xr:uid="{00000000-0005-0000-0000-000077940000}"/>
    <cellStyle name="Normal 6 7 7 2 2 2" xfId="38512" xr:uid="{00000000-0005-0000-0000-000078940000}"/>
    <cellStyle name="Normal 6 7 7 2 3" xfId="38511" xr:uid="{00000000-0005-0000-0000-000079940000}"/>
    <cellStyle name="Normal 6 7 7 3" xfId="15033" xr:uid="{00000000-0005-0000-0000-00007A940000}"/>
    <cellStyle name="Normal 6 7 7 3 2" xfId="38513" xr:uid="{00000000-0005-0000-0000-00007B940000}"/>
    <cellStyle name="Normal 6 7 7 4" xfId="38510" xr:uid="{00000000-0005-0000-0000-00007C940000}"/>
    <cellStyle name="Normal 6 7 8" xfId="15034" xr:uid="{00000000-0005-0000-0000-00007D940000}"/>
    <cellStyle name="Normal 6 7 8 2" xfId="15035" xr:uid="{00000000-0005-0000-0000-00007E940000}"/>
    <cellStyle name="Normal 6 7 8 2 2" xfId="38515" xr:uid="{00000000-0005-0000-0000-00007F940000}"/>
    <cellStyle name="Normal 6 7 8 3" xfId="38514" xr:uid="{00000000-0005-0000-0000-000080940000}"/>
    <cellStyle name="Normal 6 7 9" xfId="15036" xr:uid="{00000000-0005-0000-0000-000081940000}"/>
    <cellStyle name="Normal 6 7 9 2" xfId="38516" xr:uid="{00000000-0005-0000-0000-000082940000}"/>
    <cellStyle name="Normal 6 8" xfId="15037" xr:uid="{00000000-0005-0000-0000-000083940000}"/>
    <cellStyle name="Normal 6 8 2" xfId="15038" xr:uid="{00000000-0005-0000-0000-000084940000}"/>
    <cellStyle name="Normal 6 8 2 2" xfId="15039" xr:uid="{00000000-0005-0000-0000-000085940000}"/>
    <cellStyle name="Normal 6 8 2 2 2" xfId="15040" xr:uid="{00000000-0005-0000-0000-000086940000}"/>
    <cellStyle name="Normal 6 8 2 2 2 2" xfId="15041" xr:uid="{00000000-0005-0000-0000-000087940000}"/>
    <cellStyle name="Normal 6 8 2 2 2 2 2" xfId="38521" xr:uid="{00000000-0005-0000-0000-000088940000}"/>
    <cellStyle name="Normal 6 8 2 2 2 3" xfId="38520" xr:uid="{00000000-0005-0000-0000-000089940000}"/>
    <cellStyle name="Normal 6 8 2 2 3" xfId="15042" xr:uid="{00000000-0005-0000-0000-00008A940000}"/>
    <cellStyle name="Normal 6 8 2 2 3 2" xfId="38522" xr:uid="{00000000-0005-0000-0000-00008B940000}"/>
    <cellStyle name="Normal 6 8 2 2 4" xfId="38519" xr:uid="{00000000-0005-0000-0000-00008C940000}"/>
    <cellStyle name="Normal 6 8 2 3" xfId="15043" xr:uid="{00000000-0005-0000-0000-00008D940000}"/>
    <cellStyle name="Normal 6 8 2 3 2" xfId="15044" xr:uid="{00000000-0005-0000-0000-00008E940000}"/>
    <cellStyle name="Normal 6 8 2 3 2 2" xfId="38524" xr:uid="{00000000-0005-0000-0000-00008F940000}"/>
    <cellStyle name="Normal 6 8 2 3 3" xfId="38523" xr:uid="{00000000-0005-0000-0000-000090940000}"/>
    <cellStyle name="Normal 6 8 2 4" xfId="15045" xr:uid="{00000000-0005-0000-0000-000091940000}"/>
    <cellStyle name="Normal 6 8 2 4 2" xfId="38525" xr:uid="{00000000-0005-0000-0000-000092940000}"/>
    <cellStyle name="Normal 6 8 2 5" xfId="38518" xr:uid="{00000000-0005-0000-0000-000093940000}"/>
    <cellStyle name="Normal 6 8 3" xfId="15046" xr:uid="{00000000-0005-0000-0000-000094940000}"/>
    <cellStyle name="Normal 6 8 3 2" xfId="15047" xr:uid="{00000000-0005-0000-0000-000095940000}"/>
    <cellStyle name="Normal 6 8 3 2 2" xfId="15048" xr:uid="{00000000-0005-0000-0000-000096940000}"/>
    <cellStyle name="Normal 6 8 3 2 2 2" xfId="15049" xr:uid="{00000000-0005-0000-0000-000097940000}"/>
    <cellStyle name="Normal 6 8 3 2 2 2 2" xfId="38529" xr:uid="{00000000-0005-0000-0000-000098940000}"/>
    <cellStyle name="Normal 6 8 3 2 2 3" xfId="38528" xr:uid="{00000000-0005-0000-0000-000099940000}"/>
    <cellStyle name="Normal 6 8 3 2 3" xfId="15050" xr:uid="{00000000-0005-0000-0000-00009A940000}"/>
    <cellStyle name="Normal 6 8 3 2 3 2" xfId="38530" xr:uid="{00000000-0005-0000-0000-00009B940000}"/>
    <cellStyle name="Normal 6 8 3 2 4" xfId="38527" xr:uid="{00000000-0005-0000-0000-00009C940000}"/>
    <cellStyle name="Normal 6 8 3 3" xfId="15051" xr:uid="{00000000-0005-0000-0000-00009D940000}"/>
    <cellStyle name="Normal 6 8 3 3 2" xfId="15052" xr:uid="{00000000-0005-0000-0000-00009E940000}"/>
    <cellStyle name="Normal 6 8 3 3 2 2" xfId="38532" xr:uid="{00000000-0005-0000-0000-00009F940000}"/>
    <cellStyle name="Normal 6 8 3 3 3" xfId="38531" xr:uid="{00000000-0005-0000-0000-0000A0940000}"/>
    <cellStyle name="Normal 6 8 3 4" xfId="15053" xr:uid="{00000000-0005-0000-0000-0000A1940000}"/>
    <cellStyle name="Normal 6 8 3 4 2" xfId="38533" xr:uid="{00000000-0005-0000-0000-0000A2940000}"/>
    <cellStyle name="Normal 6 8 3 5" xfId="38526" xr:uid="{00000000-0005-0000-0000-0000A3940000}"/>
    <cellStyle name="Normal 6 8 4" xfId="15054" xr:uid="{00000000-0005-0000-0000-0000A4940000}"/>
    <cellStyle name="Normal 6 8 4 2" xfId="15055" xr:uid="{00000000-0005-0000-0000-0000A5940000}"/>
    <cellStyle name="Normal 6 8 4 2 2" xfId="15056" xr:uid="{00000000-0005-0000-0000-0000A6940000}"/>
    <cellStyle name="Normal 6 8 4 2 2 2" xfId="38536" xr:uid="{00000000-0005-0000-0000-0000A7940000}"/>
    <cellStyle name="Normal 6 8 4 2 3" xfId="38535" xr:uid="{00000000-0005-0000-0000-0000A8940000}"/>
    <cellStyle name="Normal 6 8 4 3" xfId="15057" xr:uid="{00000000-0005-0000-0000-0000A9940000}"/>
    <cellStyle name="Normal 6 8 4 3 2" xfId="38537" xr:uid="{00000000-0005-0000-0000-0000AA940000}"/>
    <cellStyle name="Normal 6 8 4 4" xfId="38534" xr:uid="{00000000-0005-0000-0000-0000AB940000}"/>
    <cellStyle name="Normal 6 8 5" xfId="15058" xr:uid="{00000000-0005-0000-0000-0000AC940000}"/>
    <cellStyle name="Normal 6 8 5 2" xfId="15059" xr:uid="{00000000-0005-0000-0000-0000AD940000}"/>
    <cellStyle name="Normal 6 8 5 2 2" xfId="38539" xr:uid="{00000000-0005-0000-0000-0000AE940000}"/>
    <cellStyle name="Normal 6 8 5 3" xfId="38538" xr:uid="{00000000-0005-0000-0000-0000AF940000}"/>
    <cellStyle name="Normal 6 8 6" xfId="15060" xr:uid="{00000000-0005-0000-0000-0000B0940000}"/>
    <cellStyle name="Normal 6 8 6 2" xfId="38540" xr:uid="{00000000-0005-0000-0000-0000B1940000}"/>
    <cellStyle name="Normal 6 8 7" xfId="38517" xr:uid="{00000000-0005-0000-0000-0000B2940000}"/>
    <cellStyle name="Normal 6 9" xfId="15061" xr:uid="{00000000-0005-0000-0000-0000B3940000}"/>
    <cellStyle name="Normal 6 9 2" xfId="15062" xr:uid="{00000000-0005-0000-0000-0000B4940000}"/>
    <cellStyle name="Normal 6 9 2 2" xfId="15063" xr:uid="{00000000-0005-0000-0000-0000B5940000}"/>
    <cellStyle name="Normal 6 9 2 2 2" xfId="15064" xr:uid="{00000000-0005-0000-0000-0000B6940000}"/>
    <cellStyle name="Normal 6 9 2 2 2 2" xfId="15065" xr:uid="{00000000-0005-0000-0000-0000B7940000}"/>
    <cellStyle name="Normal 6 9 2 2 2 2 2" xfId="38545" xr:uid="{00000000-0005-0000-0000-0000B8940000}"/>
    <cellStyle name="Normal 6 9 2 2 2 3" xfId="38544" xr:uid="{00000000-0005-0000-0000-0000B9940000}"/>
    <cellStyle name="Normal 6 9 2 2 3" xfId="15066" xr:uid="{00000000-0005-0000-0000-0000BA940000}"/>
    <cellStyle name="Normal 6 9 2 2 3 2" xfId="38546" xr:uid="{00000000-0005-0000-0000-0000BB940000}"/>
    <cellStyle name="Normal 6 9 2 2 4" xfId="38543" xr:uid="{00000000-0005-0000-0000-0000BC940000}"/>
    <cellStyle name="Normal 6 9 2 3" xfId="15067" xr:uid="{00000000-0005-0000-0000-0000BD940000}"/>
    <cellStyle name="Normal 6 9 2 3 2" xfId="15068" xr:uid="{00000000-0005-0000-0000-0000BE940000}"/>
    <cellStyle name="Normal 6 9 2 3 2 2" xfId="38548" xr:uid="{00000000-0005-0000-0000-0000BF940000}"/>
    <cellStyle name="Normal 6 9 2 3 3" xfId="38547" xr:uid="{00000000-0005-0000-0000-0000C0940000}"/>
    <cellStyle name="Normal 6 9 2 4" xfId="15069" xr:uid="{00000000-0005-0000-0000-0000C1940000}"/>
    <cellStyle name="Normal 6 9 2 4 2" xfId="38549" xr:uid="{00000000-0005-0000-0000-0000C2940000}"/>
    <cellStyle name="Normal 6 9 2 5" xfId="38542" xr:uid="{00000000-0005-0000-0000-0000C3940000}"/>
    <cellStyle name="Normal 6 9 3" xfId="15070" xr:uid="{00000000-0005-0000-0000-0000C4940000}"/>
    <cellStyle name="Normal 6 9 3 2" xfId="15071" xr:uid="{00000000-0005-0000-0000-0000C5940000}"/>
    <cellStyle name="Normal 6 9 3 2 2" xfId="15072" xr:uid="{00000000-0005-0000-0000-0000C6940000}"/>
    <cellStyle name="Normal 6 9 3 2 2 2" xfId="15073" xr:uid="{00000000-0005-0000-0000-0000C7940000}"/>
    <cellStyle name="Normal 6 9 3 2 2 2 2" xfId="38553" xr:uid="{00000000-0005-0000-0000-0000C8940000}"/>
    <cellStyle name="Normal 6 9 3 2 2 3" xfId="38552" xr:uid="{00000000-0005-0000-0000-0000C9940000}"/>
    <cellStyle name="Normal 6 9 3 2 3" xfId="15074" xr:uid="{00000000-0005-0000-0000-0000CA940000}"/>
    <cellStyle name="Normal 6 9 3 2 3 2" xfId="38554" xr:uid="{00000000-0005-0000-0000-0000CB940000}"/>
    <cellStyle name="Normal 6 9 3 2 4" xfId="38551" xr:uid="{00000000-0005-0000-0000-0000CC940000}"/>
    <cellStyle name="Normal 6 9 3 3" xfId="15075" xr:uid="{00000000-0005-0000-0000-0000CD940000}"/>
    <cellStyle name="Normal 6 9 3 3 2" xfId="15076" xr:uid="{00000000-0005-0000-0000-0000CE940000}"/>
    <cellStyle name="Normal 6 9 3 3 2 2" xfId="38556" xr:uid="{00000000-0005-0000-0000-0000CF940000}"/>
    <cellStyle name="Normal 6 9 3 3 3" xfId="38555" xr:uid="{00000000-0005-0000-0000-0000D0940000}"/>
    <cellStyle name="Normal 6 9 3 4" xfId="15077" xr:uid="{00000000-0005-0000-0000-0000D1940000}"/>
    <cellStyle name="Normal 6 9 3 4 2" xfId="38557" xr:uid="{00000000-0005-0000-0000-0000D2940000}"/>
    <cellStyle name="Normal 6 9 3 5" xfId="38550" xr:uid="{00000000-0005-0000-0000-0000D3940000}"/>
    <cellStyle name="Normal 6 9 4" xfId="15078" xr:uid="{00000000-0005-0000-0000-0000D4940000}"/>
    <cellStyle name="Normal 6 9 4 2" xfId="15079" xr:uid="{00000000-0005-0000-0000-0000D5940000}"/>
    <cellStyle name="Normal 6 9 4 2 2" xfId="15080" xr:uid="{00000000-0005-0000-0000-0000D6940000}"/>
    <cellStyle name="Normal 6 9 4 2 2 2" xfId="38560" xr:uid="{00000000-0005-0000-0000-0000D7940000}"/>
    <cellStyle name="Normal 6 9 4 2 3" xfId="38559" xr:uid="{00000000-0005-0000-0000-0000D8940000}"/>
    <cellStyle name="Normal 6 9 4 3" xfId="15081" xr:uid="{00000000-0005-0000-0000-0000D9940000}"/>
    <cellStyle name="Normal 6 9 4 3 2" xfId="38561" xr:uid="{00000000-0005-0000-0000-0000DA940000}"/>
    <cellStyle name="Normal 6 9 4 4" xfId="38558" xr:uid="{00000000-0005-0000-0000-0000DB940000}"/>
    <cellStyle name="Normal 6 9 5" xfId="15082" xr:uid="{00000000-0005-0000-0000-0000DC940000}"/>
    <cellStyle name="Normal 6 9 5 2" xfId="15083" xr:uid="{00000000-0005-0000-0000-0000DD940000}"/>
    <cellStyle name="Normal 6 9 5 2 2" xfId="38563" xr:uid="{00000000-0005-0000-0000-0000DE940000}"/>
    <cellStyle name="Normal 6 9 5 3" xfId="38562" xr:uid="{00000000-0005-0000-0000-0000DF940000}"/>
    <cellStyle name="Normal 6 9 6" xfId="15084" xr:uid="{00000000-0005-0000-0000-0000E0940000}"/>
    <cellStyle name="Normal 6 9 6 2" xfId="38564" xr:uid="{00000000-0005-0000-0000-0000E1940000}"/>
    <cellStyle name="Normal 6 9 7" xfId="38541" xr:uid="{00000000-0005-0000-0000-0000E2940000}"/>
    <cellStyle name="Normal 7" xfId="138" xr:uid="{00000000-0005-0000-0000-0000E3940000}"/>
    <cellStyle name="Normal 7 2" xfId="139" xr:uid="{00000000-0005-0000-0000-0000E4940000}"/>
    <cellStyle name="Normal 7 3" xfId="140" xr:uid="{00000000-0005-0000-0000-0000E5940000}"/>
    <cellStyle name="Normal 7 3 10" xfId="23690" xr:uid="{00000000-0005-0000-0000-0000E6940000}"/>
    <cellStyle name="Normal 7 3 2" xfId="15086" xr:uid="{00000000-0005-0000-0000-0000E7940000}"/>
    <cellStyle name="Normal 7 3 2 2" xfId="17899" xr:uid="{00000000-0005-0000-0000-0000E8940000}"/>
    <cellStyle name="Normal 7 3 2 2 2" xfId="21484" xr:uid="{00000000-0005-0000-0000-0000E9940000}"/>
    <cellStyle name="Normal 7 3 2 2 2 2" xfId="21485" xr:uid="{00000000-0005-0000-0000-0000EA940000}"/>
    <cellStyle name="Normal 7 3 2 2 2 2 2" xfId="44796" xr:uid="{00000000-0005-0000-0000-0000EB940000}"/>
    <cellStyle name="Normal 7 3 2 2 2 3" xfId="21486" xr:uid="{00000000-0005-0000-0000-0000EC940000}"/>
    <cellStyle name="Normal 7 3 2 2 2 3 2" xfId="44797" xr:uid="{00000000-0005-0000-0000-0000ED940000}"/>
    <cellStyle name="Normal 7 3 2 2 2 4" xfId="44795" xr:uid="{00000000-0005-0000-0000-0000EE940000}"/>
    <cellStyle name="Normal 7 3 2 2 3" xfId="21487" xr:uid="{00000000-0005-0000-0000-0000EF940000}"/>
    <cellStyle name="Normal 7 3 2 2 3 2" xfId="21488" xr:uid="{00000000-0005-0000-0000-0000F0940000}"/>
    <cellStyle name="Normal 7 3 2 2 3 2 2" xfId="44799" xr:uid="{00000000-0005-0000-0000-0000F1940000}"/>
    <cellStyle name="Normal 7 3 2 2 3 3" xfId="44798" xr:uid="{00000000-0005-0000-0000-0000F2940000}"/>
    <cellStyle name="Normal 7 3 2 2 4" xfId="21489" xr:uid="{00000000-0005-0000-0000-0000F3940000}"/>
    <cellStyle name="Normal 7 3 2 2 4 2" xfId="44800" xr:uid="{00000000-0005-0000-0000-0000F4940000}"/>
    <cellStyle name="Normal 7 3 2 2 5" xfId="21490" xr:uid="{00000000-0005-0000-0000-0000F5940000}"/>
    <cellStyle name="Normal 7 3 2 2 5 2" xfId="44801" xr:uid="{00000000-0005-0000-0000-0000F6940000}"/>
    <cellStyle name="Normal 7 3 2 2 6" xfId="21491" xr:uid="{00000000-0005-0000-0000-0000F7940000}"/>
    <cellStyle name="Normal 7 3 2 2 6 2" xfId="44802" xr:uid="{00000000-0005-0000-0000-0000F8940000}"/>
    <cellStyle name="Normal 7 3 2 2 7" xfId="41359" xr:uid="{00000000-0005-0000-0000-0000F9940000}"/>
    <cellStyle name="Normal 7 3 2 3" xfId="21492" xr:uid="{00000000-0005-0000-0000-0000FA940000}"/>
    <cellStyle name="Normal 7 3 2 3 2" xfId="21493" xr:uid="{00000000-0005-0000-0000-0000FB940000}"/>
    <cellStyle name="Normal 7 3 2 3 2 2" xfId="44804" xr:uid="{00000000-0005-0000-0000-0000FC940000}"/>
    <cellStyle name="Normal 7 3 2 3 3" xfId="21494" xr:uid="{00000000-0005-0000-0000-0000FD940000}"/>
    <cellStyle name="Normal 7 3 2 3 3 2" xfId="44805" xr:uid="{00000000-0005-0000-0000-0000FE940000}"/>
    <cellStyle name="Normal 7 3 2 3 4" xfId="44803" xr:uid="{00000000-0005-0000-0000-0000FF940000}"/>
    <cellStyle name="Normal 7 3 2 4" xfId="21495" xr:uid="{00000000-0005-0000-0000-000000950000}"/>
    <cellStyle name="Normal 7 3 2 4 2" xfId="21496" xr:uid="{00000000-0005-0000-0000-000001950000}"/>
    <cellStyle name="Normal 7 3 2 4 2 2" xfId="44807" xr:uid="{00000000-0005-0000-0000-000002950000}"/>
    <cellStyle name="Normal 7 3 2 4 3" xfId="44806" xr:uid="{00000000-0005-0000-0000-000003950000}"/>
    <cellStyle name="Normal 7 3 2 5" xfId="21497" xr:uid="{00000000-0005-0000-0000-000004950000}"/>
    <cellStyle name="Normal 7 3 2 5 2" xfId="44808" xr:uid="{00000000-0005-0000-0000-000005950000}"/>
    <cellStyle name="Normal 7 3 2 6" xfId="21498" xr:uid="{00000000-0005-0000-0000-000006950000}"/>
    <cellStyle name="Normal 7 3 2 6 2" xfId="44809" xr:uid="{00000000-0005-0000-0000-000007950000}"/>
    <cellStyle name="Normal 7 3 2 7" xfId="21499" xr:uid="{00000000-0005-0000-0000-000008950000}"/>
    <cellStyle name="Normal 7 3 2 7 2" xfId="44810" xr:uid="{00000000-0005-0000-0000-000009950000}"/>
    <cellStyle name="Normal 7 3 2 8" xfId="38565" xr:uid="{00000000-0005-0000-0000-00000A950000}"/>
    <cellStyle name="Normal 7 3 3" xfId="17760" xr:uid="{00000000-0005-0000-0000-00000B950000}"/>
    <cellStyle name="Normal 7 3 3 2" xfId="17994" xr:uid="{00000000-0005-0000-0000-00000C950000}"/>
    <cellStyle name="Normal 7 3 3 2 2" xfId="21500" xr:uid="{00000000-0005-0000-0000-00000D950000}"/>
    <cellStyle name="Normal 7 3 3 2 2 2" xfId="21501" xr:uid="{00000000-0005-0000-0000-00000E950000}"/>
    <cellStyle name="Normal 7 3 3 2 2 2 2" xfId="44812" xr:uid="{00000000-0005-0000-0000-00000F950000}"/>
    <cellStyle name="Normal 7 3 3 2 2 3" xfId="21502" xr:uid="{00000000-0005-0000-0000-000010950000}"/>
    <cellStyle name="Normal 7 3 3 2 2 3 2" xfId="44813" xr:uid="{00000000-0005-0000-0000-000011950000}"/>
    <cellStyle name="Normal 7 3 3 2 2 4" xfId="44811" xr:uid="{00000000-0005-0000-0000-000012950000}"/>
    <cellStyle name="Normal 7 3 3 2 3" xfId="21503" xr:uid="{00000000-0005-0000-0000-000013950000}"/>
    <cellStyle name="Normal 7 3 3 2 3 2" xfId="21504" xr:uid="{00000000-0005-0000-0000-000014950000}"/>
    <cellStyle name="Normal 7 3 3 2 3 2 2" xfId="44815" xr:uid="{00000000-0005-0000-0000-000015950000}"/>
    <cellStyle name="Normal 7 3 3 2 3 3" xfId="44814" xr:uid="{00000000-0005-0000-0000-000016950000}"/>
    <cellStyle name="Normal 7 3 3 2 4" xfId="21505" xr:uid="{00000000-0005-0000-0000-000017950000}"/>
    <cellStyle name="Normal 7 3 3 2 4 2" xfId="44816" xr:uid="{00000000-0005-0000-0000-000018950000}"/>
    <cellStyle name="Normal 7 3 3 2 5" xfId="21506" xr:uid="{00000000-0005-0000-0000-000019950000}"/>
    <cellStyle name="Normal 7 3 3 2 5 2" xfId="44817" xr:uid="{00000000-0005-0000-0000-00001A950000}"/>
    <cellStyle name="Normal 7 3 3 2 6" xfId="21507" xr:uid="{00000000-0005-0000-0000-00001B950000}"/>
    <cellStyle name="Normal 7 3 3 2 6 2" xfId="44818" xr:uid="{00000000-0005-0000-0000-00001C950000}"/>
    <cellStyle name="Normal 7 3 3 2 7" xfId="41454" xr:uid="{00000000-0005-0000-0000-00001D950000}"/>
    <cellStyle name="Normal 7 3 3 3" xfId="21508" xr:uid="{00000000-0005-0000-0000-00001E950000}"/>
    <cellStyle name="Normal 7 3 3 3 2" xfId="21509" xr:uid="{00000000-0005-0000-0000-00001F950000}"/>
    <cellStyle name="Normal 7 3 3 3 2 2" xfId="44820" xr:uid="{00000000-0005-0000-0000-000020950000}"/>
    <cellStyle name="Normal 7 3 3 3 3" xfId="21510" xr:uid="{00000000-0005-0000-0000-000021950000}"/>
    <cellStyle name="Normal 7 3 3 3 3 2" xfId="44821" xr:uid="{00000000-0005-0000-0000-000022950000}"/>
    <cellStyle name="Normal 7 3 3 3 4" xfId="44819" xr:uid="{00000000-0005-0000-0000-000023950000}"/>
    <cellStyle name="Normal 7 3 3 4" xfId="21511" xr:uid="{00000000-0005-0000-0000-000024950000}"/>
    <cellStyle name="Normal 7 3 3 4 2" xfId="21512" xr:uid="{00000000-0005-0000-0000-000025950000}"/>
    <cellStyle name="Normal 7 3 3 4 2 2" xfId="44823" xr:uid="{00000000-0005-0000-0000-000026950000}"/>
    <cellStyle name="Normal 7 3 3 4 3" xfId="44822" xr:uid="{00000000-0005-0000-0000-000027950000}"/>
    <cellStyle name="Normal 7 3 3 5" xfId="21513" xr:uid="{00000000-0005-0000-0000-000028950000}"/>
    <cellStyle name="Normal 7 3 3 5 2" xfId="44824" xr:uid="{00000000-0005-0000-0000-000029950000}"/>
    <cellStyle name="Normal 7 3 3 6" xfId="21514" xr:uid="{00000000-0005-0000-0000-00002A950000}"/>
    <cellStyle name="Normal 7 3 3 6 2" xfId="44825" xr:uid="{00000000-0005-0000-0000-00002B950000}"/>
    <cellStyle name="Normal 7 3 3 7" xfId="21515" xr:uid="{00000000-0005-0000-0000-00002C950000}"/>
    <cellStyle name="Normal 7 3 3 7 2" xfId="44826" xr:uid="{00000000-0005-0000-0000-00002D950000}"/>
    <cellStyle name="Normal 7 3 3 8" xfId="41220" xr:uid="{00000000-0005-0000-0000-00002E950000}"/>
    <cellStyle name="Normal 7 3 4" xfId="17822" xr:uid="{00000000-0005-0000-0000-00002F950000}"/>
    <cellStyle name="Normal 7 3 4 2" xfId="21516" xr:uid="{00000000-0005-0000-0000-000030950000}"/>
    <cellStyle name="Normal 7 3 4 2 2" xfId="21517" xr:uid="{00000000-0005-0000-0000-000031950000}"/>
    <cellStyle name="Normal 7 3 4 2 2 2" xfId="44828" xr:uid="{00000000-0005-0000-0000-000032950000}"/>
    <cellStyle name="Normal 7 3 4 2 3" xfId="21518" xr:uid="{00000000-0005-0000-0000-000033950000}"/>
    <cellStyle name="Normal 7 3 4 2 3 2" xfId="44829" xr:uid="{00000000-0005-0000-0000-000034950000}"/>
    <cellStyle name="Normal 7 3 4 2 4" xfId="44827" xr:uid="{00000000-0005-0000-0000-000035950000}"/>
    <cellStyle name="Normal 7 3 4 3" xfId="21519" xr:uid="{00000000-0005-0000-0000-000036950000}"/>
    <cellStyle name="Normal 7 3 4 3 2" xfId="21520" xr:uid="{00000000-0005-0000-0000-000037950000}"/>
    <cellStyle name="Normal 7 3 4 3 2 2" xfId="44831" xr:uid="{00000000-0005-0000-0000-000038950000}"/>
    <cellStyle name="Normal 7 3 4 3 3" xfId="44830" xr:uid="{00000000-0005-0000-0000-000039950000}"/>
    <cellStyle name="Normal 7 3 4 4" xfId="21521" xr:uid="{00000000-0005-0000-0000-00003A950000}"/>
    <cellStyle name="Normal 7 3 4 4 2" xfId="44832" xr:uid="{00000000-0005-0000-0000-00003B950000}"/>
    <cellStyle name="Normal 7 3 4 5" xfId="21522" xr:uid="{00000000-0005-0000-0000-00003C950000}"/>
    <cellStyle name="Normal 7 3 4 5 2" xfId="44833" xr:uid="{00000000-0005-0000-0000-00003D950000}"/>
    <cellStyle name="Normal 7 3 4 6" xfId="21523" xr:uid="{00000000-0005-0000-0000-00003E950000}"/>
    <cellStyle name="Normal 7 3 4 6 2" xfId="44834" xr:uid="{00000000-0005-0000-0000-00003F950000}"/>
    <cellStyle name="Normal 7 3 4 7" xfId="41282" xr:uid="{00000000-0005-0000-0000-000040950000}"/>
    <cellStyle name="Normal 7 3 5" xfId="21524" xr:uid="{00000000-0005-0000-0000-000041950000}"/>
    <cellStyle name="Normal 7 3 5 2" xfId="21525" xr:uid="{00000000-0005-0000-0000-000042950000}"/>
    <cellStyle name="Normal 7 3 5 2 2" xfId="44836" xr:uid="{00000000-0005-0000-0000-000043950000}"/>
    <cellStyle name="Normal 7 3 5 3" xfId="21526" xr:uid="{00000000-0005-0000-0000-000044950000}"/>
    <cellStyle name="Normal 7 3 5 3 2" xfId="44837" xr:uid="{00000000-0005-0000-0000-000045950000}"/>
    <cellStyle name="Normal 7 3 5 4" xfId="44835" xr:uid="{00000000-0005-0000-0000-000046950000}"/>
    <cellStyle name="Normal 7 3 6" xfId="21527" xr:uid="{00000000-0005-0000-0000-000047950000}"/>
    <cellStyle name="Normal 7 3 6 2" xfId="21528" xr:uid="{00000000-0005-0000-0000-000048950000}"/>
    <cellStyle name="Normal 7 3 6 2 2" xfId="44839" xr:uid="{00000000-0005-0000-0000-000049950000}"/>
    <cellStyle name="Normal 7 3 6 3" xfId="44838" xr:uid="{00000000-0005-0000-0000-00004A950000}"/>
    <cellStyle name="Normal 7 3 7" xfId="21529" xr:uid="{00000000-0005-0000-0000-00004B950000}"/>
    <cellStyle name="Normal 7 3 7 2" xfId="44840" xr:uid="{00000000-0005-0000-0000-00004C950000}"/>
    <cellStyle name="Normal 7 3 8" xfId="21530" xr:uid="{00000000-0005-0000-0000-00004D950000}"/>
    <cellStyle name="Normal 7 3 8 2" xfId="44841" xr:uid="{00000000-0005-0000-0000-00004E950000}"/>
    <cellStyle name="Normal 7 3 9" xfId="21531" xr:uid="{00000000-0005-0000-0000-00004F950000}"/>
    <cellStyle name="Normal 7 3 9 2" xfId="44842" xr:uid="{00000000-0005-0000-0000-000050950000}"/>
    <cellStyle name="Normal 7 4" xfId="15087" xr:uid="{00000000-0005-0000-0000-000051950000}"/>
    <cellStyle name="Normal 7 4 2" xfId="17949" xr:uid="{00000000-0005-0000-0000-000052950000}"/>
    <cellStyle name="Normal 7 4 2 2" xfId="21532" xr:uid="{00000000-0005-0000-0000-000053950000}"/>
    <cellStyle name="Normal 7 4 2 2 2" xfId="21533" xr:uid="{00000000-0005-0000-0000-000054950000}"/>
    <cellStyle name="Normal 7 4 2 2 2 2" xfId="44844" xr:uid="{00000000-0005-0000-0000-000055950000}"/>
    <cellStyle name="Normal 7 4 2 2 3" xfId="21534" xr:uid="{00000000-0005-0000-0000-000056950000}"/>
    <cellStyle name="Normal 7 4 2 2 3 2" xfId="44845" xr:uid="{00000000-0005-0000-0000-000057950000}"/>
    <cellStyle name="Normal 7 4 2 2 4" xfId="44843" xr:uid="{00000000-0005-0000-0000-000058950000}"/>
    <cellStyle name="Normal 7 4 2 3" xfId="21535" xr:uid="{00000000-0005-0000-0000-000059950000}"/>
    <cellStyle name="Normal 7 4 2 3 2" xfId="21536" xr:uid="{00000000-0005-0000-0000-00005A950000}"/>
    <cellStyle name="Normal 7 4 2 3 2 2" xfId="44847" xr:uid="{00000000-0005-0000-0000-00005B950000}"/>
    <cellStyle name="Normal 7 4 2 3 3" xfId="44846" xr:uid="{00000000-0005-0000-0000-00005C950000}"/>
    <cellStyle name="Normal 7 4 2 4" xfId="21537" xr:uid="{00000000-0005-0000-0000-00005D950000}"/>
    <cellStyle name="Normal 7 4 2 4 2" xfId="44848" xr:uid="{00000000-0005-0000-0000-00005E950000}"/>
    <cellStyle name="Normal 7 4 2 5" xfId="21538" xr:uid="{00000000-0005-0000-0000-00005F950000}"/>
    <cellStyle name="Normal 7 4 2 5 2" xfId="44849" xr:uid="{00000000-0005-0000-0000-000060950000}"/>
    <cellStyle name="Normal 7 4 2 6" xfId="21539" xr:uid="{00000000-0005-0000-0000-000061950000}"/>
    <cellStyle name="Normal 7 4 2 6 2" xfId="44850" xr:uid="{00000000-0005-0000-0000-000062950000}"/>
    <cellStyle name="Normal 7 4 2 7" xfId="41409" xr:uid="{00000000-0005-0000-0000-000063950000}"/>
    <cellStyle name="Normal 7 4 3" xfId="21540" xr:uid="{00000000-0005-0000-0000-000064950000}"/>
    <cellStyle name="Normal 7 4 3 2" xfId="21541" xr:uid="{00000000-0005-0000-0000-000065950000}"/>
    <cellStyle name="Normal 7 4 3 2 2" xfId="44852" xr:uid="{00000000-0005-0000-0000-000066950000}"/>
    <cellStyle name="Normal 7 4 3 3" xfId="21542" xr:uid="{00000000-0005-0000-0000-000067950000}"/>
    <cellStyle name="Normal 7 4 3 3 2" xfId="44853" xr:uid="{00000000-0005-0000-0000-000068950000}"/>
    <cellStyle name="Normal 7 4 3 4" xfId="44851" xr:uid="{00000000-0005-0000-0000-000069950000}"/>
    <cellStyle name="Normal 7 4 4" xfId="21543" xr:uid="{00000000-0005-0000-0000-00006A950000}"/>
    <cellStyle name="Normal 7 4 4 2" xfId="21544" xr:uid="{00000000-0005-0000-0000-00006B950000}"/>
    <cellStyle name="Normal 7 4 4 2 2" xfId="44855" xr:uid="{00000000-0005-0000-0000-00006C950000}"/>
    <cellStyle name="Normal 7 4 4 3" xfId="44854" xr:uid="{00000000-0005-0000-0000-00006D950000}"/>
    <cellStyle name="Normal 7 4 5" xfId="21545" xr:uid="{00000000-0005-0000-0000-00006E950000}"/>
    <cellStyle name="Normal 7 4 5 2" xfId="44856" xr:uid="{00000000-0005-0000-0000-00006F950000}"/>
    <cellStyle name="Normal 7 4 6" xfId="21546" xr:uid="{00000000-0005-0000-0000-000070950000}"/>
    <cellStyle name="Normal 7 4 6 2" xfId="44857" xr:uid="{00000000-0005-0000-0000-000071950000}"/>
    <cellStyle name="Normal 7 4 7" xfId="21547" xr:uid="{00000000-0005-0000-0000-000072950000}"/>
    <cellStyle name="Normal 7 4 7 2" xfId="44858" xr:uid="{00000000-0005-0000-0000-000073950000}"/>
    <cellStyle name="Normal 7 4 8" xfId="17719" xr:uid="{00000000-0005-0000-0000-000074950000}"/>
    <cellStyle name="Normal 7 4 8 2" xfId="41179" xr:uid="{00000000-0005-0000-0000-000075950000}"/>
    <cellStyle name="Normal 7 5" xfId="15085" xr:uid="{00000000-0005-0000-0000-000076950000}"/>
    <cellStyle name="Normal 7 5 2" xfId="21549" xr:uid="{00000000-0005-0000-0000-000077950000}"/>
    <cellStyle name="Normal 7 5 3" xfId="21548" xr:uid="{00000000-0005-0000-0000-000078950000}"/>
    <cellStyle name="Normal 8" xfId="21" xr:uid="{00000000-0005-0000-0000-000079950000}"/>
    <cellStyle name="Normal 8 10" xfId="21550" xr:uid="{00000000-0005-0000-0000-00007A950000}"/>
    <cellStyle name="Normal 8 10 2" xfId="21551" xr:uid="{00000000-0005-0000-0000-00007B950000}"/>
    <cellStyle name="Normal 8 10 2 2" xfId="44860" xr:uid="{00000000-0005-0000-0000-00007C950000}"/>
    <cellStyle name="Normal 8 10 3" xfId="44859" xr:uid="{00000000-0005-0000-0000-00007D950000}"/>
    <cellStyle name="Normal 8 11" xfId="21552" xr:uid="{00000000-0005-0000-0000-00007E950000}"/>
    <cellStyle name="Normal 8 11 2" xfId="44861" xr:uid="{00000000-0005-0000-0000-00007F950000}"/>
    <cellStyle name="Normal 8 12" xfId="21553" xr:uid="{00000000-0005-0000-0000-000080950000}"/>
    <cellStyle name="Normal 8 12 2" xfId="44862" xr:uid="{00000000-0005-0000-0000-000081950000}"/>
    <cellStyle name="Normal 8 13" xfId="21554" xr:uid="{00000000-0005-0000-0000-000082950000}"/>
    <cellStyle name="Normal 8 13 2" xfId="44863" xr:uid="{00000000-0005-0000-0000-000083950000}"/>
    <cellStyle name="Normal 8 2" xfId="141" xr:uid="{00000000-0005-0000-0000-000084950000}"/>
    <cellStyle name="Normal 8 2 10" xfId="21555" xr:uid="{00000000-0005-0000-0000-000085950000}"/>
    <cellStyle name="Normal 8 2 10 2" xfId="44864" xr:uid="{00000000-0005-0000-0000-000086950000}"/>
    <cellStyle name="Normal 8 2 11" xfId="21556" xr:uid="{00000000-0005-0000-0000-000087950000}"/>
    <cellStyle name="Normal 8 2 12" xfId="21557" xr:uid="{00000000-0005-0000-0000-000088950000}"/>
    <cellStyle name="Normal 8 2 12 2" xfId="44865" xr:uid="{00000000-0005-0000-0000-000089950000}"/>
    <cellStyle name="Normal 8 2 13" xfId="23691" xr:uid="{00000000-0005-0000-0000-00008A950000}"/>
    <cellStyle name="Normal 8 2 2" xfId="142" xr:uid="{00000000-0005-0000-0000-00008B950000}"/>
    <cellStyle name="Normal 8 2 2 10" xfId="23692" xr:uid="{00000000-0005-0000-0000-00008C950000}"/>
    <cellStyle name="Normal 8 2 2 2" xfId="15090" xr:uid="{00000000-0005-0000-0000-00008D950000}"/>
    <cellStyle name="Normal 8 2 2 2 2" xfId="17915" xr:uid="{00000000-0005-0000-0000-00008E950000}"/>
    <cellStyle name="Normal 8 2 2 2 2 2" xfId="21558" xr:uid="{00000000-0005-0000-0000-00008F950000}"/>
    <cellStyle name="Normal 8 2 2 2 2 2 2" xfId="21559" xr:uid="{00000000-0005-0000-0000-000090950000}"/>
    <cellStyle name="Normal 8 2 2 2 2 2 2 2" xfId="44867" xr:uid="{00000000-0005-0000-0000-000091950000}"/>
    <cellStyle name="Normal 8 2 2 2 2 2 3" xfId="21560" xr:uid="{00000000-0005-0000-0000-000092950000}"/>
    <cellStyle name="Normal 8 2 2 2 2 2 3 2" xfId="44868" xr:uid="{00000000-0005-0000-0000-000093950000}"/>
    <cellStyle name="Normal 8 2 2 2 2 2 4" xfId="44866" xr:uid="{00000000-0005-0000-0000-000094950000}"/>
    <cellStyle name="Normal 8 2 2 2 2 3" xfId="21561" xr:uid="{00000000-0005-0000-0000-000095950000}"/>
    <cellStyle name="Normal 8 2 2 2 2 3 2" xfId="21562" xr:uid="{00000000-0005-0000-0000-000096950000}"/>
    <cellStyle name="Normal 8 2 2 2 2 3 2 2" xfId="44870" xr:uid="{00000000-0005-0000-0000-000097950000}"/>
    <cellStyle name="Normal 8 2 2 2 2 3 3" xfId="44869" xr:uid="{00000000-0005-0000-0000-000098950000}"/>
    <cellStyle name="Normal 8 2 2 2 2 4" xfId="21563" xr:uid="{00000000-0005-0000-0000-000099950000}"/>
    <cellStyle name="Normal 8 2 2 2 2 4 2" xfId="44871" xr:uid="{00000000-0005-0000-0000-00009A950000}"/>
    <cellStyle name="Normal 8 2 2 2 2 5" xfId="21564" xr:uid="{00000000-0005-0000-0000-00009B950000}"/>
    <cellStyle name="Normal 8 2 2 2 2 5 2" xfId="44872" xr:uid="{00000000-0005-0000-0000-00009C950000}"/>
    <cellStyle name="Normal 8 2 2 2 2 6" xfId="21565" xr:uid="{00000000-0005-0000-0000-00009D950000}"/>
    <cellStyle name="Normal 8 2 2 2 2 6 2" xfId="44873" xr:uid="{00000000-0005-0000-0000-00009E950000}"/>
    <cellStyle name="Normal 8 2 2 2 2 7" xfId="41375" xr:uid="{00000000-0005-0000-0000-00009F950000}"/>
    <cellStyle name="Normal 8 2 2 2 3" xfId="21566" xr:uid="{00000000-0005-0000-0000-0000A0950000}"/>
    <cellStyle name="Normal 8 2 2 2 3 2" xfId="21567" xr:uid="{00000000-0005-0000-0000-0000A1950000}"/>
    <cellStyle name="Normal 8 2 2 2 3 2 2" xfId="44875" xr:uid="{00000000-0005-0000-0000-0000A2950000}"/>
    <cellStyle name="Normal 8 2 2 2 3 3" xfId="21568" xr:uid="{00000000-0005-0000-0000-0000A3950000}"/>
    <cellStyle name="Normal 8 2 2 2 3 3 2" xfId="44876" xr:uid="{00000000-0005-0000-0000-0000A4950000}"/>
    <cellStyle name="Normal 8 2 2 2 3 4" xfId="44874" xr:uid="{00000000-0005-0000-0000-0000A5950000}"/>
    <cellStyle name="Normal 8 2 2 2 4" xfId="21569" xr:uid="{00000000-0005-0000-0000-0000A6950000}"/>
    <cellStyle name="Normal 8 2 2 2 4 2" xfId="21570" xr:uid="{00000000-0005-0000-0000-0000A7950000}"/>
    <cellStyle name="Normal 8 2 2 2 4 2 2" xfId="44878" xr:uid="{00000000-0005-0000-0000-0000A8950000}"/>
    <cellStyle name="Normal 8 2 2 2 4 3" xfId="44877" xr:uid="{00000000-0005-0000-0000-0000A9950000}"/>
    <cellStyle name="Normal 8 2 2 2 5" xfId="21571" xr:uid="{00000000-0005-0000-0000-0000AA950000}"/>
    <cellStyle name="Normal 8 2 2 2 5 2" xfId="44879" xr:uid="{00000000-0005-0000-0000-0000AB950000}"/>
    <cellStyle name="Normal 8 2 2 2 6" xfId="21572" xr:uid="{00000000-0005-0000-0000-0000AC950000}"/>
    <cellStyle name="Normal 8 2 2 2 6 2" xfId="44880" xr:uid="{00000000-0005-0000-0000-0000AD950000}"/>
    <cellStyle name="Normal 8 2 2 2 7" xfId="21573" xr:uid="{00000000-0005-0000-0000-0000AE950000}"/>
    <cellStyle name="Normal 8 2 2 2 7 2" xfId="44881" xr:uid="{00000000-0005-0000-0000-0000AF950000}"/>
    <cellStyle name="Normal 8 2 2 2 8" xfId="38566" xr:uid="{00000000-0005-0000-0000-0000B0950000}"/>
    <cellStyle name="Normal 8 2 2 3" xfId="17761" xr:uid="{00000000-0005-0000-0000-0000B1950000}"/>
    <cellStyle name="Normal 8 2 2 3 2" xfId="17995" xr:uid="{00000000-0005-0000-0000-0000B2950000}"/>
    <cellStyle name="Normal 8 2 2 3 2 2" xfId="21574" xr:uid="{00000000-0005-0000-0000-0000B3950000}"/>
    <cellStyle name="Normal 8 2 2 3 2 2 2" xfId="21575" xr:uid="{00000000-0005-0000-0000-0000B4950000}"/>
    <cellStyle name="Normal 8 2 2 3 2 2 2 2" xfId="44883" xr:uid="{00000000-0005-0000-0000-0000B5950000}"/>
    <cellStyle name="Normal 8 2 2 3 2 2 3" xfId="21576" xr:uid="{00000000-0005-0000-0000-0000B6950000}"/>
    <cellStyle name="Normal 8 2 2 3 2 2 3 2" xfId="44884" xr:uid="{00000000-0005-0000-0000-0000B7950000}"/>
    <cellStyle name="Normal 8 2 2 3 2 2 4" xfId="44882" xr:uid="{00000000-0005-0000-0000-0000B8950000}"/>
    <cellStyle name="Normal 8 2 2 3 2 3" xfId="21577" xr:uid="{00000000-0005-0000-0000-0000B9950000}"/>
    <cellStyle name="Normal 8 2 2 3 2 3 2" xfId="21578" xr:uid="{00000000-0005-0000-0000-0000BA950000}"/>
    <cellStyle name="Normal 8 2 2 3 2 3 2 2" xfId="44886" xr:uid="{00000000-0005-0000-0000-0000BB950000}"/>
    <cellStyle name="Normal 8 2 2 3 2 3 3" xfId="44885" xr:uid="{00000000-0005-0000-0000-0000BC950000}"/>
    <cellStyle name="Normal 8 2 2 3 2 4" xfId="21579" xr:uid="{00000000-0005-0000-0000-0000BD950000}"/>
    <cellStyle name="Normal 8 2 2 3 2 4 2" xfId="44887" xr:uid="{00000000-0005-0000-0000-0000BE950000}"/>
    <cellStyle name="Normal 8 2 2 3 2 5" xfId="21580" xr:uid="{00000000-0005-0000-0000-0000BF950000}"/>
    <cellStyle name="Normal 8 2 2 3 2 5 2" xfId="44888" xr:uid="{00000000-0005-0000-0000-0000C0950000}"/>
    <cellStyle name="Normal 8 2 2 3 2 6" xfId="21581" xr:uid="{00000000-0005-0000-0000-0000C1950000}"/>
    <cellStyle name="Normal 8 2 2 3 2 6 2" xfId="44889" xr:uid="{00000000-0005-0000-0000-0000C2950000}"/>
    <cellStyle name="Normal 8 2 2 3 2 7" xfId="41455" xr:uid="{00000000-0005-0000-0000-0000C3950000}"/>
    <cellStyle name="Normal 8 2 2 3 3" xfId="21582" xr:uid="{00000000-0005-0000-0000-0000C4950000}"/>
    <cellStyle name="Normal 8 2 2 3 3 2" xfId="21583" xr:uid="{00000000-0005-0000-0000-0000C5950000}"/>
    <cellStyle name="Normal 8 2 2 3 3 2 2" xfId="44891" xr:uid="{00000000-0005-0000-0000-0000C6950000}"/>
    <cellStyle name="Normal 8 2 2 3 3 3" xfId="21584" xr:uid="{00000000-0005-0000-0000-0000C7950000}"/>
    <cellStyle name="Normal 8 2 2 3 3 3 2" xfId="44892" xr:uid="{00000000-0005-0000-0000-0000C8950000}"/>
    <cellStyle name="Normal 8 2 2 3 3 4" xfId="44890" xr:uid="{00000000-0005-0000-0000-0000C9950000}"/>
    <cellStyle name="Normal 8 2 2 3 4" xfId="21585" xr:uid="{00000000-0005-0000-0000-0000CA950000}"/>
    <cellStyle name="Normal 8 2 2 3 4 2" xfId="21586" xr:uid="{00000000-0005-0000-0000-0000CB950000}"/>
    <cellStyle name="Normal 8 2 2 3 4 2 2" xfId="44894" xr:uid="{00000000-0005-0000-0000-0000CC950000}"/>
    <cellStyle name="Normal 8 2 2 3 4 3" xfId="44893" xr:uid="{00000000-0005-0000-0000-0000CD950000}"/>
    <cellStyle name="Normal 8 2 2 3 5" xfId="21587" xr:uid="{00000000-0005-0000-0000-0000CE950000}"/>
    <cellStyle name="Normal 8 2 2 3 5 2" xfId="44895" xr:uid="{00000000-0005-0000-0000-0000CF950000}"/>
    <cellStyle name="Normal 8 2 2 3 6" xfId="21588" xr:uid="{00000000-0005-0000-0000-0000D0950000}"/>
    <cellStyle name="Normal 8 2 2 3 6 2" xfId="44896" xr:uid="{00000000-0005-0000-0000-0000D1950000}"/>
    <cellStyle name="Normal 8 2 2 3 7" xfId="21589" xr:uid="{00000000-0005-0000-0000-0000D2950000}"/>
    <cellStyle name="Normal 8 2 2 3 7 2" xfId="44897" xr:uid="{00000000-0005-0000-0000-0000D3950000}"/>
    <cellStyle name="Normal 8 2 2 3 8" xfId="41221" xr:uid="{00000000-0005-0000-0000-0000D4950000}"/>
    <cellStyle name="Normal 8 2 2 4" xfId="17840" xr:uid="{00000000-0005-0000-0000-0000D5950000}"/>
    <cellStyle name="Normal 8 2 2 4 2" xfId="21590" xr:uid="{00000000-0005-0000-0000-0000D6950000}"/>
    <cellStyle name="Normal 8 2 2 4 2 2" xfId="21591" xr:uid="{00000000-0005-0000-0000-0000D7950000}"/>
    <cellStyle name="Normal 8 2 2 4 2 2 2" xfId="44899" xr:uid="{00000000-0005-0000-0000-0000D8950000}"/>
    <cellStyle name="Normal 8 2 2 4 2 3" xfId="21592" xr:uid="{00000000-0005-0000-0000-0000D9950000}"/>
    <cellStyle name="Normal 8 2 2 4 2 3 2" xfId="44900" xr:uid="{00000000-0005-0000-0000-0000DA950000}"/>
    <cellStyle name="Normal 8 2 2 4 2 4" xfId="44898" xr:uid="{00000000-0005-0000-0000-0000DB950000}"/>
    <cellStyle name="Normal 8 2 2 4 3" xfId="21593" xr:uid="{00000000-0005-0000-0000-0000DC950000}"/>
    <cellStyle name="Normal 8 2 2 4 3 2" xfId="21594" xr:uid="{00000000-0005-0000-0000-0000DD950000}"/>
    <cellStyle name="Normal 8 2 2 4 3 2 2" xfId="44902" xr:uid="{00000000-0005-0000-0000-0000DE950000}"/>
    <cellStyle name="Normal 8 2 2 4 3 3" xfId="44901" xr:uid="{00000000-0005-0000-0000-0000DF950000}"/>
    <cellStyle name="Normal 8 2 2 4 4" xfId="21595" xr:uid="{00000000-0005-0000-0000-0000E0950000}"/>
    <cellStyle name="Normal 8 2 2 4 4 2" xfId="44903" xr:uid="{00000000-0005-0000-0000-0000E1950000}"/>
    <cellStyle name="Normal 8 2 2 4 5" xfId="21596" xr:uid="{00000000-0005-0000-0000-0000E2950000}"/>
    <cellStyle name="Normal 8 2 2 4 5 2" xfId="44904" xr:uid="{00000000-0005-0000-0000-0000E3950000}"/>
    <cellStyle name="Normal 8 2 2 4 6" xfId="21597" xr:uid="{00000000-0005-0000-0000-0000E4950000}"/>
    <cellStyle name="Normal 8 2 2 4 6 2" xfId="44905" xr:uid="{00000000-0005-0000-0000-0000E5950000}"/>
    <cellStyle name="Normal 8 2 2 4 7" xfId="41300" xr:uid="{00000000-0005-0000-0000-0000E6950000}"/>
    <cellStyle name="Normal 8 2 2 5" xfId="21598" xr:uid="{00000000-0005-0000-0000-0000E7950000}"/>
    <cellStyle name="Normal 8 2 2 5 2" xfId="21599" xr:uid="{00000000-0005-0000-0000-0000E8950000}"/>
    <cellStyle name="Normal 8 2 2 5 2 2" xfId="44907" xr:uid="{00000000-0005-0000-0000-0000E9950000}"/>
    <cellStyle name="Normal 8 2 2 5 3" xfId="21600" xr:uid="{00000000-0005-0000-0000-0000EA950000}"/>
    <cellStyle name="Normal 8 2 2 5 3 2" xfId="44908" xr:uid="{00000000-0005-0000-0000-0000EB950000}"/>
    <cellStyle name="Normal 8 2 2 5 4" xfId="44906" xr:uid="{00000000-0005-0000-0000-0000EC950000}"/>
    <cellStyle name="Normal 8 2 2 6" xfId="21601" xr:uid="{00000000-0005-0000-0000-0000ED950000}"/>
    <cellStyle name="Normal 8 2 2 6 2" xfId="21602" xr:uid="{00000000-0005-0000-0000-0000EE950000}"/>
    <cellStyle name="Normal 8 2 2 6 2 2" xfId="44910" xr:uid="{00000000-0005-0000-0000-0000EF950000}"/>
    <cellStyle name="Normal 8 2 2 6 3" xfId="44909" xr:uid="{00000000-0005-0000-0000-0000F0950000}"/>
    <cellStyle name="Normal 8 2 2 7" xfId="21603" xr:uid="{00000000-0005-0000-0000-0000F1950000}"/>
    <cellStyle name="Normal 8 2 2 7 2" xfId="44911" xr:uid="{00000000-0005-0000-0000-0000F2950000}"/>
    <cellStyle name="Normal 8 2 2 8" xfId="21604" xr:uid="{00000000-0005-0000-0000-0000F3950000}"/>
    <cellStyle name="Normal 8 2 2 8 2" xfId="44912" xr:uid="{00000000-0005-0000-0000-0000F4950000}"/>
    <cellStyle name="Normal 8 2 2 9" xfId="21605" xr:uid="{00000000-0005-0000-0000-0000F5950000}"/>
    <cellStyle name="Normal 8 2 2 9 2" xfId="44913" xr:uid="{00000000-0005-0000-0000-0000F6950000}"/>
    <cellStyle name="Normal 8 2 3" xfId="15091" xr:uid="{00000000-0005-0000-0000-0000F7950000}"/>
    <cellStyle name="Normal 8 2 3 10" xfId="38567" xr:uid="{00000000-0005-0000-0000-0000F8950000}"/>
    <cellStyle name="Normal 8 2 3 2" xfId="15092" xr:uid="{00000000-0005-0000-0000-0000F9950000}"/>
    <cellStyle name="Normal 8 2 3 2 2" xfId="17941" xr:uid="{00000000-0005-0000-0000-0000FA950000}"/>
    <cellStyle name="Normal 8 2 3 2 2 2" xfId="21606" xr:uid="{00000000-0005-0000-0000-0000FB950000}"/>
    <cellStyle name="Normal 8 2 3 2 2 2 2" xfId="21607" xr:uid="{00000000-0005-0000-0000-0000FC950000}"/>
    <cellStyle name="Normal 8 2 3 2 2 2 2 2" xfId="44915" xr:uid="{00000000-0005-0000-0000-0000FD950000}"/>
    <cellStyle name="Normal 8 2 3 2 2 2 3" xfId="21608" xr:uid="{00000000-0005-0000-0000-0000FE950000}"/>
    <cellStyle name="Normal 8 2 3 2 2 2 3 2" xfId="44916" xr:uid="{00000000-0005-0000-0000-0000FF950000}"/>
    <cellStyle name="Normal 8 2 3 2 2 2 4" xfId="44914" xr:uid="{00000000-0005-0000-0000-000000960000}"/>
    <cellStyle name="Normal 8 2 3 2 2 3" xfId="21609" xr:uid="{00000000-0005-0000-0000-000001960000}"/>
    <cellStyle name="Normal 8 2 3 2 2 3 2" xfId="21610" xr:uid="{00000000-0005-0000-0000-000002960000}"/>
    <cellStyle name="Normal 8 2 3 2 2 3 2 2" xfId="44918" xr:uid="{00000000-0005-0000-0000-000003960000}"/>
    <cellStyle name="Normal 8 2 3 2 2 3 3" xfId="44917" xr:uid="{00000000-0005-0000-0000-000004960000}"/>
    <cellStyle name="Normal 8 2 3 2 2 4" xfId="21611" xr:uid="{00000000-0005-0000-0000-000005960000}"/>
    <cellStyle name="Normal 8 2 3 2 2 4 2" xfId="44919" xr:uid="{00000000-0005-0000-0000-000006960000}"/>
    <cellStyle name="Normal 8 2 3 2 2 5" xfId="21612" xr:uid="{00000000-0005-0000-0000-000007960000}"/>
    <cellStyle name="Normal 8 2 3 2 2 5 2" xfId="44920" xr:uid="{00000000-0005-0000-0000-000008960000}"/>
    <cellStyle name="Normal 8 2 3 2 2 6" xfId="21613" xr:uid="{00000000-0005-0000-0000-000009960000}"/>
    <cellStyle name="Normal 8 2 3 2 2 6 2" xfId="44921" xr:uid="{00000000-0005-0000-0000-00000A960000}"/>
    <cellStyle name="Normal 8 2 3 2 2 7" xfId="41401" xr:uid="{00000000-0005-0000-0000-00000B960000}"/>
    <cellStyle name="Normal 8 2 3 2 3" xfId="21614" xr:uid="{00000000-0005-0000-0000-00000C960000}"/>
    <cellStyle name="Normal 8 2 3 2 3 2" xfId="21615" xr:uid="{00000000-0005-0000-0000-00000D960000}"/>
    <cellStyle name="Normal 8 2 3 2 3 2 2" xfId="44923" xr:uid="{00000000-0005-0000-0000-00000E960000}"/>
    <cellStyle name="Normal 8 2 3 2 3 3" xfId="21616" xr:uid="{00000000-0005-0000-0000-00000F960000}"/>
    <cellStyle name="Normal 8 2 3 2 3 3 2" xfId="44924" xr:uid="{00000000-0005-0000-0000-000010960000}"/>
    <cellStyle name="Normal 8 2 3 2 3 4" xfId="44922" xr:uid="{00000000-0005-0000-0000-000011960000}"/>
    <cellStyle name="Normal 8 2 3 2 4" xfId="21617" xr:uid="{00000000-0005-0000-0000-000012960000}"/>
    <cellStyle name="Normal 8 2 3 2 4 2" xfId="21618" xr:uid="{00000000-0005-0000-0000-000013960000}"/>
    <cellStyle name="Normal 8 2 3 2 4 2 2" xfId="44926" xr:uid="{00000000-0005-0000-0000-000014960000}"/>
    <cellStyle name="Normal 8 2 3 2 4 3" xfId="44925" xr:uid="{00000000-0005-0000-0000-000015960000}"/>
    <cellStyle name="Normal 8 2 3 2 5" xfId="21619" xr:uid="{00000000-0005-0000-0000-000016960000}"/>
    <cellStyle name="Normal 8 2 3 2 5 2" xfId="44927" xr:uid="{00000000-0005-0000-0000-000017960000}"/>
    <cellStyle name="Normal 8 2 3 2 6" xfId="21620" xr:uid="{00000000-0005-0000-0000-000018960000}"/>
    <cellStyle name="Normal 8 2 3 2 6 2" xfId="44928" xr:uid="{00000000-0005-0000-0000-000019960000}"/>
    <cellStyle name="Normal 8 2 3 2 7" xfId="21621" xr:uid="{00000000-0005-0000-0000-00001A960000}"/>
    <cellStyle name="Normal 8 2 3 2 7 2" xfId="44929" xr:uid="{00000000-0005-0000-0000-00001B960000}"/>
    <cellStyle name="Normal 8 2 3 2 8" xfId="38568" xr:uid="{00000000-0005-0000-0000-00001C960000}"/>
    <cellStyle name="Normal 8 2 3 3" xfId="17787" xr:uid="{00000000-0005-0000-0000-00001D960000}"/>
    <cellStyle name="Normal 8 2 3 3 2" xfId="18023" xr:uid="{00000000-0005-0000-0000-00001E960000}"/>
    <cellStyle name="Normal 8 2 3 3 2 2" xfId="21622" xr:uid="{00000000-0005-0000-0000-00001F960000}"/>
    <cellStyle name="Normal 8 2 3 3 2 2 2" xfId="21623" xr:uid="{00000000-0005-0000-0000-000020960000}"/>
    <cellStyle name="Normal 8 2 3 3 2 2 2 2" xfId="44931" xr:uid="{00000000-0005-0000-0000-000021960000}"/>
    <cellStyle name="Normal 8 2 3 3 2 2 3" xfId="21624" xr:uid="{00000000-0005-0000-0000-000022960000}"/>
    <cellStyle name="Normal 8 2 3 3 2 2 3 2" xfId="44932" xr:uid="{00000000-0005-0000-0000-000023960000}"/>
    <cellStyle name="Normal 8 2 3 3 2 2 4" xfId="44930" xr:uid="{00000000-0005-0000-0000-000024960000}"/>
    <cellStyle name="Normal 8 2 3 3 2 3" xfId="21625" xr:uid="{00000000-0005-0000-0000-000025960000}"/>
    <cellStyle name="Normal 8 2 3 3 2 3 2" xfId="21626" xr:uid="{00000000-0005-0000-0000-000026960000}"/>
    <cellStyle name="Normal 8 2 3 3 2 3 2 2" xfId="44934" xr:uid="{00000000-0005-0000-0000-000027960000}"/>
    <cellStyle name="Normal 8 2 3 3 2 3 3" xfId="44933" xr:uid="{00000000-0005-0000-0000-000028960000}"/>
    <cellStyle name="Normal 8 2 3 3 2 4" xfId="21627" xr:uid="{00000000-0005-0000-0000-000029960000}"/>
    <cellStyle name="Normal 8 2 3 3 2 4 2" xfId="44935" xr:uid="{00000000-0005-0000-0000-00002A960000}"/>
    <cellStyle name="Normal 8 2 3 3 2 5" xfId="21628" xr:uid="{00000000-0005-0000-0000-00002B960000}"/>
    <cellStyle name="Normal 8 2 3 3 2 5 2" xfId="44936" xr:uid="{00000000-0005-0000-0000-00002C960000}"/>
    <cellStyle name="Normal 8 2 3 3 2 6" xfId="21629" xr:uid="{00000000-0005-0000-0000-00002D960000}"/>
    <cellStyle name="Normal 8 2 3 3 2 6 2" xfId="44937" xr:uid="{00000000-0005-0000-0000-00002E960000}"/>
    <cellStyle name="Normal 8 2 3 3 2 7" xfId="41483" xr:uid="{00000000-0005-0000-0000-00002F960000}"/>
    <cellStyle name="Normal 8 2 3 3 3" xfId="21630" xr:uid="{00000000-0005-0000-0000-000030960000}"/>
    <cellStyle name="Normal 8 2 3 3 3 2" xfId="21631" xr:uid="{00000000-0005-0000-0000-000031960000}"/>
    <cellStyle name="Normal 8 2 3 3 3 2 2" xfId="44939" xr:uid="{00000000-0005-0000-0000-000032960000}"/>
    <cellStyle name="Normal 8 2 3 3 3 3" xfId="21632" xr:uid="{00000000-0005-0000-0000-000033960000}"/>
    <cellStyle name="Normal 8 2 3 3 3 3 2" xfId="44940" xr:uid="{00000000-0005-0000-0000-000034960000}"/>
    <cellStyle name="Normal 8 2 3 3 3 4" xfId="44938" xr:uid="{00000000-0005-0000-0000-000035960000}"/>
    <cellStyle name="Normal 8 2 3 3 4" xfId="21633" xr:uid="{00000000-0005-0000-0000-000036960000}"/>
    <cellStyle name="Normal 8 2 3 3 4 2" xfId="21634" xr:uid="{00000000-0005-0000-0000-000037960000}"/>
    <cellStyle name="Normal 8 2 3 3 4 2 2" xfId="44942" xr:uid="{00000000-0005-0000-0000-000038960000}"/>
    <cellStyle name="Normal 8 2 3 3 4 3" xfId="44941" xr:uid="{00000000-0005-0000-0000-000039960000}"/>
    <cellStyle name="Normal 8 2 3 3 5" xfId="21635" xr:uid="{00000000-0005-0000-0000-00003A960000}"/>
    <cellStyle name="Normal 8 2 3 3 5 2" xfId="44943" xr:uid="{00000000-0005-0000-0000-00003B960000}"/>
    <cellStyle name="Normal 8 2 3 3 6" xfId="21636" xr:uid="{00000000-0005-0000-0000-00003C960000}"/>
    <cellStyle name="Normal 8 2 3 3 6 2" xfId="44944" xr:uid="{00000000-0005-0000-0000-00003D960000}"/>
    <cellStyle name="Normal 8 2 3 3 7" xfId="21637" xr:uid="{00000000-0005-0000-0000-00003E960000}"/>
    <cellStyle name="Normal 8 2 3 3 7 2" xfId="44945" xr:uid="{00000000-0005-0000-0000-00003F960000}"/>
    <cellStyle name="Normal 8 2 3 3 8" xfId="41247" xr:uid="{00000000-0005-0000-0000-000040960000}"/>
    <cellStyle name="Normal 8 2 3 4" xfId="17869" xr:uid="{00000000-0005-0000-0000-000041960000}"/>
    <cellStyle name="Normal 8 2 3 4 2" xfId="21638" xr:uid="{00000000-0005-0000-0000-000042960000}"/>
    <cellStyle name="Normal 8 2 3 4 2 2" xfId="21639" xr:uid="{00000000-0005-0000-0000-000043960000}"/>
    <cellStyle name="Normal 8 2 3 4 2 2 2" xfId="44947" xr:uid="{00000000-0005-0000-0000-000044960000}"/>
    <cellStyle name="Normal 8 2 3 4 2 3" xfId="21640" xr:uid="{00000000-0005-0000-0000-000045960000}"/>
    <cellStyle name="Normal 8 2 3 4 2 3 2" xfId="44948" xr:uid="{00000000-0005-0000-0000-000046960000}"/>
    <cellStyle name="Normal 8 2 3 4 2 4" xfId="44946" xr:uid="{00000000-0005-0000-0000-000047960000}"/>
    <cellStyle name="Normal 8 2 3 4 3" xfId="21641" xr:uid="{00000000-0005-0000-0000-000048960000}"/>
    <cellStyle name="Normal 8 2 3 4 3 2" xfId="21642" xr:uid="{00000000-0005-0000-0000-000049960000}"/>
    <cellStyle name="Normal 8 2 3 4 3 2 2" xfId="44950" xr:uid="{00000000-0005-0000-0000-00004A960000}"/>
    <cellStyle name="Normal 8 2 3 4 3 3" xfId="44949" xr:uid="{00000000-0005-0000-0000-00004B960000}"/>
    <cellStyle name="Normal 8 2 3 4 4" xfId="21643" xr:uid="{00000000-0005-0000-0000-00004C960000}"/>
    <cellStyle name="Normal 8 2 3 4 4 2" xfId="44951" xr:uid="{00000000-0005-0000-0000-00004D960000}"/>
    <cellStyle name="Normal 8 2 3 4 5" xfId="21644" xr:uid="{00000000-0005-0000-0000-00004E960000}"/>
    <cellStyle name="Normal 8 2 3 4 5 2" xfId="44952" xr:uid="{00000000-0005-0000-0000-00004F960000}"/>
    <cellStyle name="Normal 8 2 3 4 6" xfId="21645" xr:uid="{00000000-0005-0000-0000-000050960000}"/>
    <cellStyle name="Normal 8 2 3 4 6 2" xfId="44953" xr:uid="{00000000-0005-0000-0000-000051960000}"/>
    <cellStyle name="Normal 8 2 3 4 7" xfId="41329" xr:uid="{00000000-0005-0000-0000-000052960000}"/>
    <cellStyle name="Normal 8 2 3 5" xfId="21646" xr:uid="{00000000-0005-0000-0000-000053960000}"/>
    <cellStyle name="Normal 8 2 3 5 2" xfId="21647" xr:uid="{00000000-0005-0000-0000-000054960000}"/>
    <cellStyle name="Normal 8 2 3 5 2 2" xfId="44955" xr:uid="{00000000-0005-0000-0000-000055960000}"/>
    <cellStyle name="Normal 8 2 3 5 3" xfId="21648" xr:uid="{00000000-0005-0000-0000-000056960000}"/>
    <cellStyle name="Normal 8 2 3 5 3 2" xfId="44956" xr:uid="{00000000-0005-0000-0000-000057960000}"/>
    <cellStyle name="Normal 8 2 3 5 4" xfId="44954" xr:uid="{00000000-0005-0000-0000-000058960000}"/>
    <cellStyle name="Normal 8 2 3 6" xfId="21649" xr:uid="{00000000-0005-0000-0000-000059960000}"/>
    <cellStyle name="Normal 8 2 3 6 2" xfId="21650" xr:uid="{00000000-0005-0000-0000-00005A960000}"/>
    <cellStyle name="Normal 8 2 3 6 2 2" xfId="44958" xr:uid="{00000000-0005-0000-0000-00005B960000}"/>
    <cellStyle name="Normal 8 2 3 6 3" xfId="44957" xr:uid="{00000000-0005-0000-0000-00005C960000}"/>
    <cellStyle name="Normal 8 2 3 7" xfId="21651" xr:uid="{00000000-0005-0000-0000-00005D960000}"/>
    <cellStyle name="Normal 8 2 3 7 2" xfId="44959" xr:uid="{00000000-0005-0000-0000-00005E960000}"/>
    <cellStyle name="Normal 8 2 3 8" xfId="21652" xr:uid="{00000000-0005-0000-0000-00005F960000}"/>
    <cellStyle name="Normal 8 2 3 8 2" xfId="44960" xr:uid="{00000000-0005-0000-0000-000060960000}"/>
    <cellStyle name="Normal 8 2 3 9" xfId="21653" xr:uid="{00000000-0005-0000-0000-000061960000}"/>
    <cellStyle name="Normal 8 2 3 9 2" xfId="44961" xr:uid="{00000000-0005-0000-0000-000062960000}"/>
    <cellStyle name="Normal 8 2 4" xfId="15089" xr:uid="{00000000-0005-0000-0000-000063960000}"/>
    <cellStyle name="Normal 8 2 4 2" xfId="17891" xr:uid="{00000000-0005-0000-0000-000064960000}"/>
    <cellStyle name="Normal 8 2 4 2 2" xfId="21654" xr:uid="{00000000-0005-0000-0000-000065960000}"/>
    <cellStyle name="Normal 8 2 4 2 2 2" xfId="21655" xr:uid="{00000000-0005-0000-0000-000066960000}"/>
    <cellStyle name="Normal 8 2 4 2 2 2 2" xfId="44963" xr:uid="{00000000-0005-0000-0000-000067960000}"/>
    <cellStyle name="Normal 8 2 4 2 2 3" xfId="21656" xr:uid="{00000000-0005-0000-0000-000068960000}"/>
    <cellStyle name="Normal 8 2 4 2 2 3 2" xfId="44964" xr:uid="{00000000-0005-0000-0000-000069960000}"/>
    <cellStyle name="Normal 8 2 4 2 2 4" xfId="44962" xr:uid="{00000000-0005-0000-0000-00006A960000}"/>
    <cellStyle name="Normal 8 2 4 2 3" xfId="21657" xr:uid="{00000000-0005-0000-0000-00006B960000}"/>
    <cellStyle name="Normal 8 2 4 2 3 2" xfId="21658" xr:uid="{00000000-0005-0000-0000-00006C960000}"/>
    <cellStyle name="Normal 8 2 4 2 3 2 2" xfId="44966" xr:uid="{00000000-0005-0000-0000-00006D960000}"/>
    <cellStyle name="Normal 8 2 4 2 3 3" xfId="44965" xr:uid="{00000000-0005-0000-0000-00006E960000}"/>
    <cellStyle name="Normal 8 2 4 2 4" xfId="21659" xr:uid="{00000000-0005-0000-0000-00006F960000}"/>
    <cellStyle name="Normal 8 2 4 2 4 2" xfId="44967" xr:uid="{00000000-0005-0000-0000-000070960000}"/>
    <cellStyle name="Normal 8 2 4 2 5" xfId="21660" xr:uid="{00000000-0005-0000-0000-000071960000}"/>
    <cellStyle name="Normal 8 2 4 2 5 2" xfId="44968" xr:uid="{00000000-0005-0000-0000-000072960000}"/>
    <cellStyle name="Normal 8 2 4 2 6" xfId="21661" xr:uid="{00000000-0005-0000-0000-000073960000}"/>
    <cellStyle name="Normal 8 2 4 2 6 2" xfId="44969" xr:uid="{00000000-0005-0000-0000-000074960000}"/>
    <cellStyle name="Normal 8 2 4 2 7" xfId="41351" xr:uid="{00000000-0005-0000-0000-000075960000}"/>
    <cellStyle name="Normal 8 2 4 3" xfId="21662" xr:uid="{00000000-0005-0000-0000-000076960000}"/>
    <cellStyle name="Normal 8 2 4 3 2" xfId="21663" xr:uid="{00000000-0005-0000-0000-000077960000}"/>
    <cellStyle name="Normal 8 2 4 3 2 2" xfId="44971" xr:uid="{00000000-0005-0000-0000-000078960000}"/>
    <cellStyle name="Normal 8 2 4 3 3" xfId="21664" xr:uid="{00000000-0005-0000-0000-000079960000}"/>
    <cellStyle name="Normal 8 2 4 3 3 2" xfId="44972" xr:uid="{00000000-0005-0000-0000-00007A960000}"/>
    <cellStyle name="Normal 8 2 4 3 4" xfId="44970" xr:uid="{00000000-0005-0000-0000-00007B960000}"/>
    <cellStyle name="Normal 8 2 4 4" xfId="21665" xr:uid="{00000000-0005-0000-0000-00007C960000}"/>
    <cellStyle name="Normal 8 2 4 4 2" xfId="21666" xr:uid="{00000000-0005-0000-0000-00007D960000}"/>
    <cellStyle name="Normal 8 2 4 4 2 2" xfId="44974" xr:uid="{00000000-0005-0000-0000-00007E960000}"/>
    <cellStyle name="Normal 8 2 4 4 3" xfId="44973" xr:uid="{00000000-0005-0000-0000-00007F960000}"/>
    <cellStyle name="Normal 8 2 4 5" xfId="21667" xr:uid="{00000000-0005-0000-0000-000080960000}"/>
    <cellStyle name="Normal 8 2 4 5 2" xfId="44975" xr:uid="{00000000-0005-0000-0000-000081960000}"/>
    <cellStyle name="Normal 8 2 4 6" xfId="21668" xr:uid="{00000000-0005-0000-0000-000082960000}"/>
    <cellStyle name="Normal 8 2 4 6 2" xfId="44976" xr:uid="{00000000-0005-0000-0000-000083960000}"/>
    <cellStyle name="Normal 8 2 4 7" xfId="21669" xr:uid="{00000000-0005-0000-0000-000084960000}"/>
    <cellStyle name="Normal 8 2 4 7 2" xfId="44977" xr:uid="{00000000-0005-0000-0000-000085960000}"/>
    <cellStyle name="Normal 8 2 4 8" xfId="17701" xr:uid="{00000000-0005-0000-0000-000086960000}"/>
    <cellStyle name="Normal 8 2 4 8 2" xfId="41161" xr:uid="{00000000-0005-0000-0000-000087960000}"/>
    <cellStyle name="Normal 8 2 5" xfId="17737" xr:uid="{00000000-0005-0000-0000-000088960000}"/>
    <cellStyle name="Normal 8 2 5 2" xfId="17969" xr:uid="{00000000-0005-0000-0000-000089960000}"/>
    <cellStyle name="Normal 8 2 5 2 2" xfId="21670" xr:uid="{00000000-0005-0000-0000-00008A960000}"/>
    <cellStyle name="Normal 8 2 5 2 2 2" xfId="21671" xr:uid="{00000000-0005-0000-0000-00008B960000}"/>
    <cellStyle name="Normal 8 2 5 2 2 2 2" xfId="44979" xr:uid="{00000000-0005-0000-0000-00008C960000}"/>
    <cellStyle name="Normal 8 2 5 2 2 3" xfId="21672" xr:uid="{00000000-0005-0000-0000-00008D960000}"/>
    <cellStyle name="Normal 8 2 5 2 2 3 2" xfId="44980" xr:uid="{00000000-0005-0000-0000-00008E960000}"/>
    <cellStyle name="Normal 8 2 5 2 2 4" xfId="44978" xr:uid="{00000000-0005-0000-0000-00008F960000}"/>
    <cellStyle name="Normal 8 2 5 2 3" xfId="21673" xr:uid="{00000000-0005-0000-0000-000090960000}"/>
    <cellStyle name="Normal 8 2 5 2 3 2" xfId="21674" xr:uid="{00000000-0005-0000-0000-000091960000}"/>
    <cellStyle name="Normal 8 2 5 2 3 2 2" xfId="44982" xr:uid="{00000000-0005-0000-0000-000092960000}"/>
    <cellStyle name="Normal 8 2 5 2 3 3" xfId="44981" xr:uid="{00000000-0005-0000-0000-000093960000}"/>
    <cellStyle name="Normal 8 2 5 2 4" xfId="21675" xr:uid="{00000000-0005-0000-0000-000094960000}"/>
    <cellStyle name="Normal 8 2 5 2 4 2" xfId="44983" xr:uid="{00000000-0005-0000-0000-000095960000}"/>
    <cellStyle name="Normal 8 2 5 2 5" xfId="21676" xr:uid="{00000000-0005-0000-0000-000096960000}"/>
    <cellStyle name="Normal 8 2 5 2 5 2" xfId="44984" xr:uid="{00000000-0005-0000-0000-000097960000}"/>
    <cellStyle name="Normal 8 2 5 2 6" xfId="21677" xr:uid="{00000000-0005-0000-0000-000098960000}"/>
    <cellStyle name="Normal 8 2 5 2 6 2" xfId="44985" xr:uid="{00000000-0005-0000-0000-000099960000}"/>
    <cellStyle name="Normal 8 2 5 2 7" xfId="41429" xr:uid="{00000000-0005-0000-0000-00009A960000}"/>
    <cellStyle name="Normal 8 2 5 3" xfId="21678" xr:uid="{00000000-0005-0000-0000-00009B960000}"/>
    <cellStyle name="Normal 8 2 5 3 2" xfId="21679" xr:uid="{00000000-0005-0000-0000-00009C960000}"/>
    <cellStyle name="Normal 8 2 5 3 2 2" xfId="44987" xr:uid="{00000000-0005-0000-0000-00009D960000}"/>
    <cellStyle name="Normal 8 2 5 3 3" xfId="21680" xr:uid="{00000000-0005-0000-0000-00009E960000}"/>
    <cellStyle name="Normal 8 2 5 3 3 2" xfId="44988" xr:uid="{00000000-0005-0000-0000-00009F960000}"/>
    <cellStyle name="Normal 8 2 5 3 4" xfId="44986" xr:uid="{00000000-0005-0000-0000-0000A0960000}"/>
    <cellStyle name="Normal 8 2 5 4" xfId="21681" xr:uid="{00000000-0005-0000-0000-0000A1960000}"/>
    <cellStyle name="Normal 8 2 5 4 2" xfId="21682" xr:uid="{00000000-0005-0000-0000-0000A2960000}"/>
    <cellStyle name="Normal 8 2 5 4 2 2" xfId="44990" xr:uid="{00000000-0005-0000-0000-0000A3960000}"/>
    <cellStyle name="Normal 8 2 5 4 3" xfId="44989" xr:uid="{00000000-0005-0000-0000-0000A4960000}"/>
    <cellStyle name="Normal 8 2 5 5" xfId="21683" xr:uid="{00000000-0005-0000-0000-0000A5960000}"/>
    <cellStyle name="Normal 8 2 5 5 2" xfId="44991" xr:uid="{00000000-0005-0000-0000-0000A6960000}"/>
    <cellStyle name="Normal 8 2 5 6" xfId="21684" xr:uid="{00000000-0005-0000-0000-0000A7960000}"/>
    <cellStyle name="Normal 8 2 5 6 2" xfId="44992" xr:uid="{00000000-0005-0000-0000-0000A8960000}"/>
    <cellStyle name="Normal 8 2 5 7" xfId="21685" xr:uid="{00000000-0005-0000-0000-0000A9960000}"/>
    <cellStyle name="Normal 8 2 5 7 2" xfId="44993" xr:uid="{00000000-0005-0000-0000-0000AA960000}"/>
    <cellStyle name="Normal 8 2 5 8" xfId="41197" xr:uid="{00000000-0005-0000-0000-0000AB960000}"/>
    <cellStyle name="Normal 8 2 6" xfId="17814" xr:uid="{00000000-0005-0000-0000-0000AC960000}"/>
    <cellStyle name="Normal 8 2 6 2" xfId="21686" xr:uid="{00000000-0005-0000-0000-0000AD960000}"/>
    <cellStyle name="Normal 8 2 6 2 2" xfId="21687" xr:uid="{00000000-0005-0000-0000-0000AE960000}"/>
    <cellStyle name="Normal 8 2 6 2 2 2" xfId="44995" xr:uid="{00000000-0005-0000-0000-0000AF960000}"/>
    <cellStyle name="Normal 8 2 6 2 3" xfId="21688" xr:uid="{00000000-0005-0000-0000-0000B0960000}"/>
    <cellStyle name="Normal 8 2 6 2 3 2" xfId="44996" xr:uid="{00000000-0005-0000-0000-0000B1960000}"/>
    <cellStyle name="Normal 8 2 6 2 4" xfId="44994" xr:uid="{00000000-0005-0000-0000-0000B2960000}"/>
    <cellStyle name="Normal 8 2 6 3" xfId="21689" xr:uid="{00000000-0005-0000-0000-0000B3960000}"/>
    <cellStyle name="Normal 8 2 6 3 2" xfId="21690" xr:uid="{00000000-0005-0000-0000-0000B4960000}"/>
    <cellStyle name="Normal 8 2 6 3 2 2" xfId="44998" xr:uid="{00000000-0005-0000-0000-0000B5960000}"/>
    <cellStyle name="Normal 8 2 6 3 3" xfId="44997" xr:uid="{00000000-0005-0000-0000-0000B6960000}"/>
    <cellStyle name="Normal 8 2 6 4" xfId="21691" xr:uid="{00000000-0005-0000-0000-0000B7960000}"/>
    <cellStyle name="Normal 8 2 6 4 2" xfId="44999" xr:uid="{00000000-0005-0000-0000-0000B8960000}"/>
    <cellStyle name="Normal 8 2 6 5" xfId="21692" xr:uid="{00000000-0005-0000-0000-0000B9960000}"/>
    <cellStyle name="Normal 8 2 6 5 2" xfId="45000" xr:uid="{00000000-0005-0000-0000-0000BA960000}"/>
    <cellStyle name="Normal 8 2 6 6" xfId="21693" xr:uid="{00000000-0005-0000-0000-0000BB960000}"/>
    <cellStyle name="Normal 8 2 6 6 2" xfId="45001" xr:uid="{00000000-0005-0000-0000-0000BC960000}"/>
    <cellStyle name="Normal 8 2 6 7" xfId="41274" xr:uid="{00000000-0005-0000-0000-0000BD960000}"/>
    <cellStyle name="Normal 8 2 7" xfId="21694" xr:uid="{00000000-0005-0000-0000-0000BE960000}"/>
    <cellStyle name="Normal 8 2 7 2" xfId="21695" xr:uid="{00000000-0005-0000-0000-0000BF960000}"/>
    <cellStyle name="Normal 8 2 7 2 2" xfId="45003" xr:uid="{00000000-0005-0000-0000-0000C0960000}"/>
    <cellStyle name="Normal 8 2 7 3" xfId="21696" xr:uid="{00000000-0005-0000-0000-0000C1960000}"/>
    <cellStyle name="Normal 8 2 7 3 2" xfId="45004" xr:uid="{00000000-0005-0000-0000-0000C2960000}"/>
    <cellStyle name="Normal 8 2 7 4" xfId="45002" xr:uid="{00000000-0005-0000-0000-0000C3960000}"/>
    <cellStyle name="Normal 8 2 8" xfId="21697" xr:uid="{00000000-0005-0000-0000-0000C4960000}"/>
    <cellStyle name="Normal 8 2 8 2" xfId="21698" xr:uid="{00000000-0005-0000-0000-0000C5960000}"/>
    <cellStyle name="Normal 8 2 8 3" xfId="21699" xr:uid="{00000000-0005-0000-0000-0000C6960000}"/>
    <cellStyle name="Normal 8 2 8 3 2" xfId="45006" xr:uid="{00000000-0005-0000-0000-0000C7960000}"/>
    <cellStyle name="Normal 8 2 8 4" xfId="45005" xr:uid="{00000000-0005-0000-0000-0000C8960000}"/>
    <cellStyle name="Normal 8 2 9" xfId="21700" xr:uid="{00000000-0005-0000-0000-0000C9960000}"/>
    <cellStyle name="Normal 8 2 9 2" xfId="21701" xr:uid="{00000000-0005-0000-0000-0000CA960000}"/>
    <cellStyle name="Normal 8 2 9 3" xfId="21702" xr:uid="{00000000-0005-0000-0000-0000CB960000}"/>
    <cellStyle name="Normal 8 2 9 3 2" xfId="45007" xr:uid="{00000000-0005-0000-0000-0000CC960000}"/>
    <cellStyle name="Normal 8 3" xfId="143" xr:uid="{00000000-0005-0000-0000-0000CD960000}"/>
    <cellStyle name="Normal 8 3 10" xfId="23693" xr:uid="{00000000-0005-0000-0000-0000CE960000}"/>
    <cellStyle name="Normal 8 3 2" xfId="15093" xr:uid="{00000000-0005-0000-0000-0000CF960000}"/>
    <cellStyle name="Normal 8 3 2 2" xfId="17902" xr:uid="{00000000-0005-0000-0000-0000D0960000}"/>
    <cellStyle name="Normal 8 3 2 2 2" xfId="21703" xr:uid="{00000000-0005-0000-0000-0000D1960000}"/>
    <cellStyle name="Normal 8 3 2 2 2 2" xfId="21704" xr:uid="{00000000-0005-0000-0000-0000D2960000}"/>
    <cellStyle name="Normal 8 3 2 2 2 2 2" xfId="45009" xr:uid="{00000000-0005-0000-0000-0000D3960000}"/>
    <cellStyle name="Normal 8 3 2 2 2 3" xfId="21705" xr:uid="{00000000-0005-0000-0000-0000D4960000}"/>
    <cellStyle name="Normal 8 3 2 2 2 3 2" xfId="45010" xr:uid="{00000000-0005-0000-0000-0000D5960000}"/>
    <cellStyle name="Normal 8 3 2 2 2 4" xfId="45008" xr:uid="{00000000-0005-0000-0000-0000D6960000}"/>
    <cellStyle name="Normal 8 3 2 2 3" xfId="21706" xr:uid="{00000000-0005-0000-0000-0000D7960000}"/>
    <cellStyle name="Normal 8 3 2 2 3 2" xfId="21707" xr:uid="{00000000-0005-0000-0000-0000D8960000}"/>
    <cellStyle name="Normal 8 3 2 2 3 2 2" xfId="45012" xr:uid="{00000000-0005-0000-0000-0000D9960000}"/>
    <cellStyle name="Normal 8 3 2 2 3 3" xfId="45011" xr:uid="{00000000-0005-0000-0000-0000DA960000}"/>
    <cellStyle name="Normal 8 3 2 2 4" xfId="21708" xr:uid="{00000000-0005-0000-0000-0000DB960000}"/>
    <cellStyle name="Normal 8 3 2 2 4 2" xfId="45013" xr:uid="{00000000-0005-0000-0000-0000DC960000}"/>
    <cellStyle name="Normal 8 3 2 2 5" xfId="21709" xr:uid="{00000000-0005-0000-0000-0000DD960000}"/>
    <cellStyle name="Normal 8 3 2 2 5 2" xfId="45014" xr:uid="{00000000-0005-0000-0000-0000DE960000}"/>
    <cellStyle name="Normal 8 3 2 2 6" xfId="21710" xr:uid="{00000000-0005-0000-0000-0000DF960000}"/>
    <cellStyle name="Normal 8 3 2 2 6 2" xfId="45015" xr:uid="{00000000-0005-0000-0000-0000E0960000}"/>
    <cellStyle name="Normal 8 3 2 2 7" xfId="41362" xr:uid="{00000000-0005-0000-0000-0000E1960000}"/>
    <cellStyle name="Normal 8 3 2 3" xfId="21711" xr:uid="{00000000-0005-0000-0000-0000E2960000}"/>
    <cellStyle name="Normal 8 3 2 3 2" xfId="21712" xr:uid="{00000000-0005-0000-0000-0000E3960000}"/>
    <cellStyle name="Normal 8 3 2 3 2 2" xfId="45017" xr:uid="{00000000-0005-0000-0000-0000E4960000}"/>
    <cellStyle name="Normal 8 3 2 3 3" xfId="21713" xr:uid="{00000000-0005-0000-0000-0000E5960000}"/>
    <cellStyle name="Normal 8 3 2 3 3 2" xfId="45018" xr:uid="{00000000-0005-0000-0000-0000E6960000}"/>
    <cellStyle name="Normal 8 3 2 3 4" xfId="45016" xr:uid="{00000000-0005-0000-0000-0000E7960000}"/>
    <cellStyle name="Normal 8 3 2 4" xfId="21714" xr:uid="{00000000-0005-0000-0000-0000E8960000}"/>
    <cellStyle name="Normal 8 3 2 4 2" xfId="21715" xr:uid="{00000000-0005-0000-0000-0000E9960000}"/>
    <cellStyle name="Normal 8 3 2 4 2 2" xfId="45020" xr:uid="{00000000-0005-0000-0000-0000EA960000}"/>
    <cellStyle name="Normal 8 3 2 4 3" xfId="45019" xr:uid="{00000000-0005-0000-0000-0000EB960000}"/>
    <cellStyle name="Normal 8 3 2 5" xfId="21716" xr:uid="{00000000-0005-0000-0000-0000EC960000}"/>
    <cellStyle name="Normal 8 3 2 5 2" xfId="45021" xr:uid="{00000000-0005-0000-0000-0000ED960000}"/>
    <cellStyle name="Normal 8 3 2 6" xfId="21717" xr:uid="{00000000-0005-0000-0000-0000EE960000}"/>
    <cellStyle name="Normal 8 3 2 6 2" xfId="45022" xr:uid="{00000000-0005-0000-0000-0000EF960000}"/>
    <cellStyle name="Normal 8 3 2 7" xfId="21718" xr:uid="{00000000-0005-0000-0000-0000F0960000}"/>
    <cellStyle name="Normal 8 3 2 7 2" xfId="45023" xr:uid="{00000000-0005-0000-0000-0000F1960000}"/>
    <cellStyle name="Normal 8 3 2 8" xfId="38569" xr:uid="{00000000-0005-0000-0000-0000F2960000}"/>
    <cellStyle name="Normal 8 3 3" xfId="17762" xr:uid="{00000000-0005-0000-0000-0000F3960000}"/>
    <cellStyle name="Normal 8 3 3 2" xfId="17996" xr:uid="{00000000-0005-0000-0000-0000F4960000}"/>
    <cellStyle name="Normal 8 3 3 2 2" xfId="21719" xr:uid="{00000000-0005-0000-0000-0000F5960000}"/>
    <cellStyle name="Normal 8 3 3 2 2 2" xfId="21720" xr:uid="{00000000-0005-0000-0000-0000F6960000}"/>
    <cellStyle name="Normal 8 3 3 2 2 2 2" xfId="45025" xr:uid="{00000000-0005-0000-0000-0000F7960000}"/>
    <cellStyle name="Normal 8 3 3 2 2 3" xfId="21721" xr:uid="{00000000-0005-0000-0000-0000F8960000}"/>
    <cellStyle name="Normal 8 3 3 2 2 3 2" xfId="45026" xr:uid="{00000000-0005-0000-0000-0000F9960000}"/>
    <cellStyle name="Normal 8 3 3 2 2 4" xfId="45024" xr:uid="{00000000-0005-0000-0000-0000FA960000}"/>
    <cellStyle name="Normal 8 3 3 2 3" xfId="21722" xr:uid="{00000000-0005-0000-0000-0000FB960000}"/>
    <cellStyle name="Normal 8 3 3 2 3 2" xfId="21723" xr:uid="{00000000-0005-0000-0000-0000FC960000}"/>
    <cellStyle name="Normal 8 3 3 2 3 2 2" xfId="45028" xr:uid="{00000000-0005-0000-0000-0000FD960000}"/>
    <cellStyle name="Normal 8 3 3 2 3 3" xfId="45027" xr:uid="{00000000-0005-0000-0000-0000FE960000}"/>
    <cellStyle name="Normal 8 3 3 2 4" xfId="21724" xr:uid="{00000000-0005-0000-0000-0000FF960000}"/>
    <cellStyle name="Normal 8 3 3 2 4 2" xfId="45029" xr:uid="{00000000-0005-0000-0000-000000970000}"/>
    <cellStyle name="Normal 8 3 3 2 5" xfId="21725" xr:uid="{00000000-0005-0000-0000-000001970000}"/>
    <cellStyle name="Normal 8 3 3 2 5 2" xfId="45030" xr:uid="{00000000-0005-0000-0000-000002970000}"/>
    <cellStyle name="Normal 8 3 3 2 6" xfId="21726" xr:uid="{00000000-0005-0000-0000-000003970000}"/>
    <cellStyle name="Normal 8 3 3 2 6 2" xfId="45031" xr:uid="{00000000-0005-0000-0000-000004970000}"/>
    <cellStyle name="Normal 8 3 3 2 7" xfId="41456" xr:uid="{00000000-0005-0000-0000-000005970000}"/>
    <cellStyle name="Normal 8 3 3 3" xfId="21727" xr:uid="{00000000-0005-0000-0000-000006970000}"/>
    <cellStyle name="Normal 8 3 3 3 2" xfId="21728" xr:uid="{00000000-0005-0000-0000-000007970000}"/>
    <cellStyle name="Normal 8 3 3 3 2 2" xfId="45033" xr:uid="{00000000-0005-0000-0000-000008970000}"/>
    <cellStyle name="Normal 8 3 3 3 3" xfId="21729" xr:uid="{00000000-0005-0000-0000-000009970000}"/>
    <cellStyle name="Normal 8 3 3 3 3 2" xfId="45034" xr:uid="{00000000-0005-0000-0000-00000A970000}"/>
    <cellStyle name="Normal 8 3 3 3 4" xfId="45032" xr:uid="{00000000-0005-0000-0000-00000B970000}"/>
    <cellStyle name="Normal 8 3 3 4" xfId="21730" xr:uid="{00000000-0005-0000-0000-00000C970000}"/>
    <cellStyle name="Normal 8 3 3 4 2" xfId="21731" xr:uid="{00000000-0005-0000-0000-00000D970000}"/>
    <cellStyle name="Normal 8 3 3 4 2 2" xfId="45036" xr:uid="{00000000-0005-0000-0000-00000E970000}"/>
    <cellStyle name="Normal 8 3 3 4 3" xfId="45035" xr:uid="{00000000-0005-0000-0000-00000F970000}"/>
    <cellStyle name="Normal 8 3 3 5" xfId="21732" xr:uid="{00000000-0005-0000-0000-000010970000}"/>
    <cellStyle name="Normal 8 3 3 5 2" xfId="45037" xr:uid="{00000000-0005-0000-0000-000011970000}"/>
    <cellStyle name="Normal 8 3 3 6" xfId="21733" xr:uid="{00000000-0005-0000-0000-000012970000}"/>
    <cellStyle name="Normal 8 3 3 6 2" xfId="45038" xr:uid="{00000000-0005-0000-0000-000013970000}"/>
    <cellStyle name="Normal 8 3 3 7" xfId="21734" xr:uid="{00000000-0005-0000-0000-000014970000}"/>
    <cellStyle name="Normal 8 3 3 7 2" xfId="45039" xr:uid="{00000000-0005-0000-0000-000015970000}"/>
    <cellStyle name="Normal 8 3 3 8" xfId="41222" xr:uid="{00000000-0005-0000-0000-000016970000}"/>
    <cellStyle name="Normal 8 3 4" xfId="17825" xr:uid="{00000000-0005-0000-0000-000017970000}"/>
    <cellStyle name="Normal 8 3 4 2" xfId="21735" xr:uid="{00000000-0005-0000-0000-000018970000}"/>
    <cellStyle name="Normal 8 3 4 2 2" xfId="21736" xr:uid="{00000000-0005-0000-0000-000019970000}"/>
    <cellStyle name="Normal 8 3 4 2 2 2" xfId="45041" xr:uid="{00000000-0005-0000-0000-00001A970000}"/>
    <cellStyle name="Normal 8 3 4 2 3" xfId="21737" xr:uid="{00000000-0005-0000-0000-00001B970000}"/>
    <cellStyle name="Normal 8 3 4 2 3 2" xfId="45042" xr:uid="{00000000-0005-0000-0000-00001C970000}"/>
    <cellStyle name="Normal 8 3 4 2 4" xfId="45040" xr:uid="{00000000-0005-0000-0000-00001D970000}"/>
    <cellStyle name="Normal 8 3 4 3" xfId="21738" xr:uid="{00000000-0005-0000-0000-00001E970000}"/>
    <cellStyle name="Normal 8 3 4 3 2" xfId="21739" xr:uid="{00000000-0005-0000-0000-00001F970000}"/>
    <cellStyle name="Normal 8 3 4 3 2 2" xfId="45044" xr:uid="{00000000-0005-0000-0000-000020970000}"/>
    <cellStyle name="Normal 8 3 4 3 3" xfId="45043" xr:uid="{00000000-0005-0000-0000-000021970000}"/>
    <cellStyle name="Normal 8 3 4 4" xfId="21740" xr:uid="{00000000-0005-0000-0000-000022970000}"/>
    <cellStyle name="Normal 8 3 4 4 2" xfId="45045" xr:uid="{00000000-0005-0000-0000-000023970000}"/>
    <cellStyle name="Normal 8 3 4 5" xfId="21741" xr:uid="{00000000-0005-0000-0000-000024970000}"/>
    <cellStyle name="Normal 8 3 4 5 2" xfId="45046" xr:uid="{00000000-0005-0000-0000-000025970000}"/>
    <cellStyle name="Normal 8 3 4 6" xfId="21742" xr:uid="{00000000-0005-0000-0000-000026970000}"/>
    <cellStyle name="Normal 8 3 4 6 2" xfId="45047" xr:uid="{00000000-0005-0000-0000-000027970000}"/>
    <cellStyle name="Normal 8 3 4 7" xfId="41285" xr:uid="{00000000-0005-0000-0000-000028970000}"/>
    <cellStyle name="Normal 8 3 5" xfId="21743" xr:uid="{00000000-0005-0000-0000-000029970000}"/>
    <cellStyle name="Normal 8 3 5 2" xfId="21744" xr:uid="{00000000-0005-0000-0000-00002A970000}"/>
    <cellStyle name="Normal 8 3 5 2 2" xfId="45049" xr:uid="{00000000-0005-0000-0000-00002B970000}"/>
    <cellStyle name="Normal 8 3 5 3" xfId="21745" xr:uid="{00000000-0005-0000-0000-00002C970000}"/>
    <cellStyle name="Normal 8 3 5 3 2" xfId="45050" xr:uid="{00000000-0005-0000-0000-00002D970000}"/>
    <cellStyle name="Normal 8 3 5 4" xfId="45048" xr:uid="{00000000-0005-0000-0000-00002E970000}"/>
    <cellStyle name="Normal 8 3 6" xfId="21746" xr:uid="{00000000-0005-0000-0000-00002F970000}"/>
    <cellStyle name="Normal 8 3 6 2" xfId="21747" xr:uid="{00000000-0005-0000-0000-000030970000}"/>
    <cellStyle name="Normal 8 3 6 2 2" xfId="45052" xr:uid="{00000000-0005-0000-0000-000031970000}"/>
    <cellStyle name="Normal 8 3 6 3" xfId="45051" xr:uid="{00000000-0005-0000-0000-000032970000}"/>
    <cellStyle name="Normal 8 3 7" xfId="21748" xr:uid="{00000000-0005-0000-0000-000033970000}"/>
    <cellStyle name="Normal 8 3 7 2" xfId="45053" xr:uid="{00000000-0005-0000-0000-000034970000}"/>
    <cellStyle name="Normal 8 3 8" xfId="21749" xr:uid="{00000000-0005-0000-0000-000035970000}"/>
    <cellStyle name="Normal 8 3 8 2" xfId="45054" xr:uid="{00000000-0005-0000-0000-000036970000}"/>
    <cellStyle name="Normal 8 3 9" xfId="21750" xr:uid="{00000000-0005-0000-0000-000037970000}"/>
    <cellStyle name="Normal 8 3 9 2" xfId="45055" xr:uid="{00000000-0005-0000-0000-000038970000}"/>
    <cellStyle name="Normal 8 4" xfId="15088" xr:uid="{00000000-0005-0000-0000-000039970000}"/>
    <cellStyle name="Normal 8 4 10" xfId="17687" xr:uid="{00000000-0005-0000-0000-00003A970000}"/>
    <cellStyle name="Normal 8 4 10 2" xfId="41147" xr:uid="{00000000-0005-0000-0000-00003B970000}"/>
    <cellStyle name="Normal 8 4 2" xfId="17708" xr:uid="{00000000-0005-0000-0000-00003C970000}"/>
    <cellStyle name="Normal 8 4 2 2" xfId="17927" xr:uid="{00000000-0005-0000-0000-00003D970000}"/>
    <cellStyle name="Normal 8 4 2 2 2" xfId="21751" xr:uid="{00000000-0005-0000-0000-00003E970000}"/>
    <cellStyle name="Normal 8 4 2 2 2 2" xfId="21752" xr:uid="{00000000-0005-0000-0000-00003F970000}"/>
    <cellStyle name="Normal 8 4 2 2 2 2 2" xfId="45057" xr:uid="{00000000-0005-0000-0000-000040970000}"/>
    <cellStyle name="Normal 8 4 2 2 2 3" xfId="21753" xr:uid="{00000000-0005-0000-0000-000041970000}"/>
    <cellStyle name="Normal 8 4 2 2 2 3 2" xfId="45058" xr:uid="{00000000-0005-0000-0000-000042970000}"/>
    <cellStyle name="Normal 8 4 2 2 2 4" xfId="45056" xr:uid="{00000000-0005-0000-0000-000043970000}"/>
    <cellStyle name="Normal 8 4 2 2 3" xfId="21754" xr:uid="{00000000-0005-0000-0000-000044970000}"/>
    <cellStyle name="Normal 8 4 2 2 3 2" xfId="21755" xr:uid="{00000000-0005-0000-0000-000045970000}"/>
    <cellStyle name="Normal 8 4 2 2 3 2 2" xfId="45060" xr:uid="{00000000-0005-0000-0000-000046970000}"/>
    <cellStyle name="Normal 8 4 2 2 3 3" xfId="45059" xr:uid="{00000000-0005-0000-0000-000047970000}"/>
    <cellStyle name="Normal 8 4 2 2 4" xfId="21756" xr:uid="{00000000-0005-0000-0000-000048970000}"/>
    <cellStyle name="Normal 8 4 2 2 4 2" xfId="45061" xr:uid="{00000000-0005-0000-0000-000049970000}"/>
    <cellStyle name="Normal 8 4 2 2 5" xfId="21757" xr:uid="{00000000-0005-0000-0000-00004A970000}"/>
    <cellStyle name="Normal 8 4 2 2 5 2" xfId="45062" xr:uid="{00000000-0005-0000-0000-00004B970000}"/>
    <cellStyle name="Normal 8 4 2 2 6" xfId="21758" xr:uid="{00000000-0005-0000-0000-00004C970000}"/>
    <cellStyle name="Normal 8 4 2 2 6 2" xfId="45063" xr:uid="{00000000-0005-0000-0000-00004D970000}"/>
    <cellStyle name="Normal 8 4 2 2 7" xfId="41387" xr:uid="{00000000-0005-0000-0000-00004E970000}"/>
    <cellStyle name="Normal 8 4 2 3" xfId="21759" xr:uid="{00000000-0005-0000-0000-00004F970000}"/>
    <cellStyle name="Normal 8 4 2 3 2" xfId="21760" xr:uid="{00000000-0005-0000-0000-000050970000}"/>
    <cellStyle name="Normal 8 4 2 3 2 2" xfId="45065" xr:uid="{00000000-0005-0000-0000-000051970000}"/>
    <cellStyle name="Normal 8 4 2 3 3" xfId="21761" xr:uid="{00000000-0005-0000-0000-000052970000}"/>
    <cellStyle name="Normal 8 4 2 3 3 2" xfId="45066" xr:uid="{00000000-0005-0000-0000-000053970000}"/>
    <cellStyle name="Normal 8 4 2 3 4" xfId="45064" xr:uid="{00000000-0005-0000-0000-000054970000}"/>
    <cellStyle name="Normal 8 4 2 4" xfId="21762" xr:uid="{00000000-0005-0000-0000-000055970000}"/>
    <cellStyle name="Normal 8 4 2 4 2" xfId="21763" xr:uid="{00000000-0005-0000-0000-000056970000}"/>
    <cellStyle name="Normal 8 4 2 4 2 2" xfId="45068" xr:uid="{00000000-0005-0000-0000-000057970000}"/>
    <cellStyle name="Normal 8 4 2 4 3" xfId="45067" xr:uid="{00000000-0005-0000-0000-000058970000}"/>
    <cellStyle name="Normal 8 4 2 5" xfId="21764" xr:uid="{00000000-0005-0000-0000-000059970000}"/>
    <cellStyle name="Normal 8 4 2 5 2" xfId="45069" xr:uid="{00000000-0005-0000-0000-00005A970000}"/>
    <cellStyle name="Normal 8 4 2 6" xfId="21765" xr:uid="{00000000-0005-0000-0000-00005B970000}"/>
    <cellStyle name="Normal 8 4 2 6 2" xfId="45070" xr:uid="{00000000-0005-0000-0000-00005C970000}"/>
    <cellStyle name="Normal 8 4 2 7" xfId="21766" xr:uid="{00000000-0005-0000-0000-00005D970000}"/>
    <cellStyle name="Normal 8 4 2 7 2" xfId="45071" xr:uid="{00000000-0005-0000-0000-00005E970000}"/>
    <cellStyle name="Normal 8 4 2 8" xfId="41168" xr:uid="{00000000-0005-0000-0000-00005F970000}"/>
    <cellStyle name="Normal 8 4 3" xfId="17788" xr:uid="{00000000-0005-0000-0000-000060970000}"/>
    <cellStyle name="Normal 8 4 3 2" xfId="18024" xr:uid="{00000000-0005-0000-0000-000061970000}"/>
    <cellStyle name="Normal 8 4 3 2 2" xfId="21767" xr:uid="{00000000-0005-0000-0000-000062970000}"/>
    <cellStyle name="Normal 8 4 3 2 2 2" xfId="21768" xr:uid="{00000000-0005-0000-0000-000063970000}"/>
    <cellStyle name="Normal 8 4 3 2 2 2 2" xfId="45073" xr:uid="{00000000-0005-0000-0000-000064970000}"/>
    <cellStyle name="Normal 8 4 3 2 2 3" xfId="21769" xr:uid="{00000000-0005-0000-0000-000065970000}"/>
    <cellStyle name="Normal 8 4 3 2 2 3 2" xfId="45074" xr:uid="{00000000-0005-0000-0000-000066970000}"/>
    <cellStyle name="Normal 8 4 3 2 2 4" xfId="45072" xr:uid="{00000000-0005-0000-0000-000067970000}"/>
    <cellStyle name="Normal 8 4 3 2 3" xfId="21770" xr:uid="{00000000-0005-0000-0000-000068970000}"/>
    <cellStyle name="Normal 8 4 3 2 3 2" xfId="21771" xr:uid="{00000000-0005-0000-0000-000069970000}"/>
    <cellStyle name="Normal 8 4 3 2 3 2 2" xfId="45076" xr:uid="{00000000-0005-0000-0000-00006A970000}"/>
    <cellStyle name="Normal 8 4 3 2 3 3" xfId="45075" xr:uid="{00000000-0005-0000-0000-00006B970000}"/>
    <cellStyle name="Normal 8 4 3 2 4" xfId="21772" xr:uid="{00000000-0005-0000-0000-00006C970000}"/>
    <cellStyle name="Normal 8 4 3 2 4 2" xfId="45077" xr:uid="{00000000-0005-0000-0000-00006D970000}"/>
    <cellStyle name="Normal 8 4 3 2 5" xfId="21773" xr:uid="{00000000-0005-0000-0000-00006E970000}"/>
    <cellStyle name="Normal 8 4 3 2 5 2" xfId="45078" xr:uid="{00000000-0005-0000-0000-00006F970000}"/>
    <cellStyle name="Normal 8 4 3 2 6" xfId="21774" xr:uid="{00000000-0005-0000-0000-000070970000}"/>
    <cellStyle name="Normal 8 4 3 2 6 2" xfId="45079" xr:uid="{00000000-0005-0000-0000-000071970000}"/>
    <cellStyle name="Normal 8 4 3 2 7" xfId="41484" xr:uid="{00000000-0005-0000-0000-000072970000}"/>
    <cellStyle name="Normal 8 4 3 3" xfId="21775" xr:uid="{00000000-0005-0000-0000-000073970000}"/>
    <cellStyle name="Normal 8 4 3 3 2" xfId="21776" xr:uid="{00000000-0005-0000-0000-000074970000}"/>
    <cellStyle name="Normal 8 4 3 3 2 2" xfId="45081" xr:uid="{00000000-0005-0000-0000-000075970000}"/>
    <cellStyle name="Normal 8 4 3 3 3" xfId="21777" xr:uid="{00000000-0005-0000-0000-000076970000}"/>
    <cellStyle name="Normal 8 4 3 3 3 2" xfId="45082" xr:uid="{00000000-0005-0000-0000-000077970000}"/>
    <cellStyle name="Normal 8 4 3 3 4" xfId="45080" xr:uid="{00000000-0005-0000-0000-000078970000}"/>
    <cellStyle name="Normal 8 4 3 4" xfId="21778" xr:uid="{00000000-0005-0000-0000-000079970000}"/>
    <cellStyle name="Normal 8 4 3 4 2" xfId="21779" xr:uid="{00000000-0005-0000-0000-00007A970000}"/>
    <cellStyle name="Normal 8 4 3 4 2 2" xfId="45084" xr:uid="{00000000-0005-0000-0000-00007B970000}"/>
    <cellStyle name="Normal 8 4 3 4 3" xfId="45083" xr:uid="{00000000-0005-0000-0000-00007C970000}"/>
    <cellStyle name="Normal 8 4 3 5" xfId="21780" xr:uid="{00000000-0005-0000-0000-00007D970000}"/>
    <cellStyle name="Normal 8 4 3 5 2" xfId="45085" xr:uid="{00000000-0005-0000-0000-00007E970000}"/>
    <cellStyle name="Normal 8 4 3 6" xfId="21781" xr:uid="{00000000-0005-0000-0000-00007F970000}"/>
    <cellStyle name="Normal 8 4 3 6 2" xfId="45086" xr:uid="{00000000-0005-0000-0000-000080970000}"/>
    <cellStyle name="Normal 8 4 3 7" xfId="21782" xr:uid="{00000000-0005-0000-0000-000081970000}"/>
    <cellStyle name="Normal 8 4 3 7 2" xfId="45087" xr:uid="{00000000-0005-0000-0000-000082970000}"/>
    <cellStyle name="Normal 8 4 3 8" xfId="41248" xr:uid="{00000000-0005-0000-0000-000083970000}"/>
    <cellStyle name="Normal 8 4 4" xfId="17854" xr:uid="{00000000-0005-0000-0000-000084970000}"/>
    <cellStyle name="Normal 8 4 4 2" xfId="21783" xr:uid="{00000000-0005-0000-0000-000085970000}"/>
    <cellStyle name="Normal 8 4 4 2 2" xfId="21784" xr:uid="{00000000-0005-0000-0000-000086970000}"/>
    <cellStyle name="Normal 8 4 4 2 2 2" xfId="45089" xr:uid="{00000000-0005-0000-0000-000087970000}"/>
    <cellStyle name="Normal 8 4 4 2 3" xfId="21785" xr:uid="{00000000-0005-0000-0000-000088970000}"/>
    <cellStyle name="Normal 8 4 4 2 3 2" xfId="45090" xr:uid="{00000000-0005-0000-0000-000089970000}"/>
    <cellStyle name="Normal 8 4 4 2 4" xfId="45088" xr:uid="{00000000-0005-0000-0000-00008A970000}"/>
    <cellStyle name="Normal 8 4 4 3" xfId="21786" xr:uid="{00000000-0005-0000-0000-00008B970000}"/>
    <cellStyle name="Normal 8 4 4 3 2" xfId="21787" xr:uid="{00000000-0005-0000-0000-00008C970000}"/>
    <cellStyle name="Normal 8 4 4 3 2 2" xfId="45092" xr:uid="{00000000-0005-0000-0000-00008D970000}"/>
    <cellStyle name="Normal 8 4 4 3 3" xfId="45091" xr:uid="{00000000-0005-0000-0000-00008E970000}"/>
    <cellStyle name="Normal 8 4 4 4" xfId="21788" xr:uid="{00000000-0005-0000-0000-00008F970000}"/>
    <cellStyle name="Normal 8 4 4 4 2" xfId="45093" xr:uid="{00000000-0005-0000-0000-000090970000}"/>
    <cellStyle name="Normal 8 4 4 5" xfId="21789" xr:uid="{00000000-0005-0000-0000-000091970000}"/>
    <cellStyle name="Normal 8 4 4 5 2" xfId="45094" xr:uid="{00000000-0005-0000-0000-000092970000}"/>
    <cellStyle name="Normal 8 4 4 6" xfId="21790" xr:uid="{00000000-0005-0000-0000-000093970000}"/>
    <cellStyle name="Normal 8 4 4 6 2" xfId="45095" xr:uid="{00000000-0005-0000-0000-000094970000}"/>
    <cellStyle name="Normal 8 4 4 7" xfId="41314" xr:uid="{00000000-0005-0000-0000-000095970000}"/>
    <cellStyle name="Normal 8 4 5" xfId="21791" xr:uid="{00000000-0005-0000-0000-000096970000}"/>
    <cellStyle name="Normal 8 4 5 2" xfId="21792" xr:uid="{00000000-0005-0000-0000-000097970000}"/>
    <cellStyle name="Normal 8 4 5 2 2" xfId="45097" xr:uid="{00000000-0005-0000-0000-000098970000}"/>
    <cellStyle name="Normal 8 4 5 3" xfId="21793" xr:uid="{00000000-0005-0000-0000-000099970000}"/>
    <cellStyle name="Normal 8 4 5 3 2" xfId="45098" xr:uid="{00000000-0005-0000-0000-00009A970000}"/>
    <cellStyle name="Normal 8 4 5 4" xfId="45096" xr:uid="{00000000-0005-0000-0000-00009B970000}"/>
    <cellStyle name="Normal 8 4 6" xfId="21794" xr:uid="{00000000-0005-0000-0000-00009C970000}"/>
    <cellStyle name="Normal 8 4 6 2" xfId="21795" xr:uid="{00000000-0005-0000-0000-00009D970000}"/>
    <cellStyle name="Normal 8 4 6 2 2" xfId="45100" xr:uid="{00000000-0005-0000-0000-00009E970000}"/>
    <cellStyle name="Normal 8 4 6 3" xfId="45099" xr:uid="{00000000-0005-0000-0000-00009F970000}"/>
    <cellStyle name="Normal 8 4 7" xfId="21796" xr:uid="{00000000-0005-0000-0000-0000A0970000}"/>
    <cellStyle name="Normal 8 4 7 2" xfId="45101" xr:uid="{00000000-0005-0000-0000-0000A1970000}"/>
    <cellStyle name="Normal 8 4 8" xfId="21797" xr:uid="{00000000-0005-0000-0000-0000A2970000}"/>
    <cellStyle name="Normal 8 4 8 2" xfId="45102" xr:uid="{00000000-0005-0000-0000-0000A3970000}"/>
    <cellStyle name="Normal 8 4 9" xfId="21798" xr:uid="{00000000-0005-0000-0000-0000A4970000}"/>
    <cellStyle name="Normal 8 4 9 2" xfId="45103" xr:uid="{00000000-0005-0000-0000-0000A5970000}"/>
    <cellStyle name="Normal 8 5" xfId="17689" xr:uid="{00000000-0005-0000-0000-0000A6970000}"/>
    <cellStyle name="Normal 8 5 2" xfId="17878" xr:uid="{00000000-0005-0000-0000-0000A7970000}"/>
    <cellStyle name="Normal 8 5 2 2" xfId="21799" xr:uid="{00000000-0005-0000-0000-0000A8970000}"/>
    <cellStyle name="Normal 8 5 2 2 2" xfId="21800" xr:uid="{00000000-0005-0000-0000-0000A9970000}"/>
    <cellStyle name="Normal 8 5 2 2 2 2" xfId="45105" xr:uid="{00000000-0005-0000-0000-0000AA970000}"/>
    <cellStyle name="Normal 8 5 2 2 3" xfId="21801" xr:uid="{00000000-0005-0000-0000-0000AB970000}"/>
    <cellStyle name="Normal 8 5 2 2 3 2" xfId="45106" xr:uid="{00000000-0005-0000-0000-0000AC970000}"/>
    <cellStyle name="Normal 8 5 2 2 4" xfId="45104" xr:uid="{00000000-0005-0000-0000-0000AD970000}"/>
    <cellStyle name="Normal 8 5 2 3" xfId="21802" xr:uid="{00000000-0005-0000-0000-0000AE970000}"/>
    <cellStyle name="Normal 8 5 2 3 2" xfId="21803" xr:uid="{00000000-0005-0000-0000-0000AF970000}"/>
    <cellStyle name="Normal 8 5 2 3 2 2" xfId="45108" xr:uid="{00000000-0005-0000-0000-0000B0970000}"/>
    <cellStyle name="Normal 8 5 2 3 3" xfId="45107" xr:uid="{00000000-0005-0000-0000-0000B1970000}"/>
    <cellStyle name="Normal 8 5 2 4" xfId="21804" xr:uid="{00000000-0005-0000-0000-0000B2970000}"/>
    <cellStyle name="Normal 8 5 2 4 2" xfId="45109" xr:uid="{00000000-0005-0000-0000-0000B3970000}"/>
    <cellStyle name="Normal 8 5 2 5" xfId="21805" xr:uid="{00000000-0005-0000-0000-0000B4970000}"/>
    <cellStyle name="Normal 8 5 2 5 2" xfId="45110" xr:uid="{00000000-0005-0000-0000-0000B5970000}"/>
    <cellStyle name="Normal 8 5 2 6" xfId="21806" xr:uid="{00000000-0005-0000-0000-0000B6970000}"/>
    <cellStyle name="Normal 8 5 2 6 2" xfId="45111" xr:uid="{00000000-0005-0000-0000-0000B7970000}"/>
    <cellStyle name="Normal 8 5 2 7" xfId="41338" xr:uid="{00000000-0005-0000-0000-0000B8970000}"/>
    <cellStyle name="Normal 8 5 3" xfId="21807" xr:uid="{00000000-0005-0000-0000-0000B9970000}"/>
    <cellStyle name="Normal 8 5 3 2" xfId="21808" xr:uid="{00000000-0005-0000-0000-0000BA970000}"/>
    <cellStyle name="Normal 8 5 3 2 2" xfId="45113" xr:uid="{00000000-0005-0000-0000-0000BB970000}"/>
    <cellStyle name="Normal 8 5 3 3" xfId="21809" xr:uid="{00000000-0005-0000-0000-0000BC970000}"/>
    <cellStyle name="Normal 8 5 3 3 2" xfId="45114" xr:uid="{00000000-0005-0000-0000-0000BD970000}"/>
    <cellStyle name="Normal 8 5 3 4" xfId="45112" xr:uid="{00000000-0005-0000-0000-0000BE970000}"/>
    <cellStyle name="Normal 8 5 4" xfId="21810" xr:uid="{00000000-0005-0000-0000-0000BF970000}"/>
    <cellStyle name="Normal 8 5 4 2" xfId="21811" xr:uid="{00000000-0005-0000-0000-0000C0970000}"/>
    <cellStyle name="Normal 8 5 4 2 2" xfId="45116" xr:uid="{00000000-0005-0000-0000-0000C1970000}"/>
    <cellStyle name="Normal 8 5 4 3" xfId="45115" xr:uid="{00000000-0005-0000-0000-0000C2970000}"/>
    <cellStyle name="Normal 8 5 5" xfId="21812" xr:uid="{00000000-0005-0000-0000-0000C3970000}"/>
    <cellStyle name="Normal 8 5 5 2" xfId="45117" xr:uid="{00000000-0005-0000-0000-0000C4970000}"/>
    <cellStyle name="Normal 8 5 6" xfId="21813" xr:uid="{00000000-0005-0000-0000-0000C5970000}"/>
    <cellStyle name="Normal 8 5 6 2" xfId="45118" xr:uid="{00000000-0005-0000-0000-0000C6970000}"/>
    <cellStyle name="Normal 8 5 7" xfId="21814" xr:uid="{00000000-0005-0000-0000-0000C7970000}"/>
    <cellStyle name="Normal 8 5 7 2" xfId="45119" xr:uid="{00000000-0005-0000-0000-0000C8970000}"/>
    <cellStyle name="Normal 8 5 8" xfId="41149" xr:uid="{00000000-0005-0000-0000-0000C9970000}"/>
    <cellStyle name="Normal 8 6" xfId="17722" xr:uid="{00000000-0005-0000-0000-0000CA970000}"/>
    <cellStyle name="Normal 8 6 2" xfId="17953" xr:uid="{00000000-0005-0000-0000-0000CB970000}"/>
    <cellStyle name="Normal 8 6 2 2" xfId="21815" xr:uid="{00000000-0005-0000-0000-0000CC970000}"/>
    <cellStyle name="Normal 8 6 2 2 2" xfId="21816" xr:uid="{00000000-0005-0000-0000-0000CD970000}"/>
    <cellStyle name="Normal 8 6 2 2 2 2" xfId="45121" xr:uid="{00000000-0005-0000-0000-0000CE970000}"/>
    <cellStyle name="Normal 8 6 2 2 3" xfId="21817" xr:uid="{00000000-0005-0000-0000-0000CF970000}"/>
    <cellStyle name="Normal 8 6 2 2 3 2" xfId="45122" xr:uid="{00000000-0005-0000-0000-0000D0970000}"/>
    <cellStyle name="Normal 8 6 2 2 4" xfId="45120" xr:uid="{00000000-0005-0000-0000-0000D1970000}"/>
    <cellStyle name="Normal 8 6 2 3" xfId="21818" xr:uid="{00000000-0005-0000-0000-0000D2970000}"/>
    <cellStyle name="Normal 8 6 2 3 2" xfId="21819" xr:uid="{00000000-0005-0000-0000-0000D3970000}"/>
    <cellStyle name="Normal 8 6 2 3 2 2" xfId="45124" xr:uid="{00000000-0005-0000-0000-0000D4970000}"/>
    <cellStyle name="Normal 8 6 2 3 3" xfId="45123" xr:uid="{00000000-0005-0000-0000-0000D5970000}"/>
    <cellStyle name="Normal 8 6 2 4" xfId="21820" xr:uid="{00000000-0005-0000-0000-0000D6970000}"/>
    <cellStyle name="Normal 8 6 2 4 2" xfId="45125" xr:uid="{00000000-0005-0000-0000-0000D7970000}"/>
    <cellStyle name="Normal 8 6 2 5" xfId="21821" xr:uid="{00000000-0005-0000-0000-0000D8970000}"/>
    <cellStyle name="Normal 8 6 2 5 2" xfId="45126" xr:uid="{00000000-0005-0000-0000-0000D9970000}"/>
    <cellStyle name="Normal 8 6 2 6" xfId="21822" xr:uid="{00000000-0005-0000-0000-0000DA970000}"/>
    <cellStyle name="Normal 8 6 2 6 2" xfId="45127" xr:uid="{00000000-0005-0000-0000-0000DB970000}"/>
    <cellStyle name="Normal 8 6 2 7" xfId="41413" xr:uid="{00000000-0005-0000-0000-0000DC970000}"/>
    <cellStyle name="Normal 8 6 3" xfId="21823" xr:uid="{00000000-0005-0000-0000-0000DD970000}"/>
    <cellStyle name="Normal 8 6 3 2" xfId="21824" xr:uid="{00000000-0005-0000-0000-0000DE970000}"/>
    <cellStyle name="Normal 8 6 3 2 2" xfId="45129" xr:uid="{00000000-0005-0000-0000-0000DF970000}"/>
    <cellStyle name="Normal 8 6 3 3" xfId="21825" xr:uid="{00000000-0005-0000-0000-0000E0970000}"/>
    <cellStyle name="Normal 8 6 3 3 2" xfId="45130" xr:uid="{00000000-0005-0000-0000-0000E1970000}"/>
    <cellStyle name="Normal 8 6 3 4" xfId="45128" xr:uid="{00000000-0005-0000-0000-0000E2970000}"/>
    <cellStyle name="Normal 8 6 4" xfId="21826" xr:uid="{00000000-0005-0000-0000-0000E3970000}"/>
    <cellStyle name="Normal 8 6 4 2" xfId="21827" xr:uid="{00000000-0005-0000-0000-0000E4970000}"/>
    <cellStyle name="Normal 8 6 4 2 2" xfId="45132" xr:uid="{00000000-0005-0000-0000-0000E5970000}"/>
    <cellStyle name="Normal 8 6 4 3" xfId="45131" xr:uid="{00000000-0005-0000-0000-0000E6970000}"/>
    <cellStyle name="Normal 8 6 5" xfId="21828" xr:uid="{00000000-0005-0000-0000-0000E7970000}"/>
    <cellStyle name="Normal 8 6 5 2" xfId="45133" xr:uid="{00000000-0005-0000-0000-0000E8970000}"/>
    <cellStyle name="Normal 8 6 6" xfId="21829" xr:uid="{00000000-0005-0000-0000-0000E9970000}"/>
    <cellStyle name="Normal 8 6 6 2" xfId="45134" xr:uid="{00000000-0005-0000-0000-0000EA970000}"/>
    <cellStyle name="Normal 8 6 7" xfId="21830" xr:uid="{00000000-0005-0000-0000-0000EB970000}"/>
    <cellStyle name="Normal 8 6 7 2" xfId="45135" xr:uid="{00000000-0005-0000-0000-0000EC970000}"/>
    <cellStyle name="Normal 8 6 8" xfId="41182" xr:uid="{00000000-0005-0000-0000-0000ED970000}"/>
    <cellStyle name="Normal 8 7" xfId="17799" xr:uid="{00000000-0005-0000-0000-0000EE970000}"/>
    <cellStyle name="Normal 8 7 2" xfId="21831" xr:uid="{00000000-0005-0000-0000-0000EF970000}"/>
    <cellStyle name="Normal 8 7 2 2" xfId="21832" xr:uid="{00000000-0005-0000-0000-0000F0970000}"/>
    <cellStyle name="Normal 8 7 2 2 2" xfId="45137" xr:uid="{00000000-0005-0000-0000-0000F1970000}"/>
    <cellStyle name="Normal 8 7 2 3" xfId="21833" xr:uid="{00000000-0005-0000-0000-0000F2970000}"/>
    <cellStyle name="Normal 8 7 2 3 2" xfId="45138" xr:uid="{00000000-0005-0000-0000-0000F3970000}"/>
    <cellStyle name="Normal 8 7 2 4" xfId="45136" xr:uid="{00000000-0005-0000-0000-0000F4970000}"/>
    <cellStyle name="Normal 8 7 3" xfId="21834" xr:uid="{00000000-0005-0000-0000-0000F5970000}"/>
    <cellStyle name="Normal 8 7 3 2" xfId="21835" xr:uid="{00000000-0005-0000-0000-0000F6970000}"/>
    <cellStyle name="Normal 8 7 3 2 2" xfId="45140" xr:uid="{00000000-0005-0000-0000-0000F7970000}"/>
    <cellStyle name="Normal 8 7 3 3" xfId="45139" xr:uid="{00000000-0005-0000-0000-0000F8970000}"/>
    <cellStyle name="Normal 8 7 4" xfId="21836" xr:uid="{00000000-0005-0000-0000-0000F9970000}"/>
    <cellStyle name="Normal 8 7 4 2" xfId="45141" xr:uid="{00000000-0005-0000-0000-0000FA970000}"/>
    <cellStyle name="Normal 8 7 5" xfId="21837" xr:uid="{00000000-0005-0000-0000-0000FB970000}"/>
    <cellStyle name="Normal 8 7 5 2" xfId="45142" xr:uid="{00000000-0005-0000-0000-0000FC970000}"/>
    <cellStyle name="Normal 8 7 6" xfId="21838" xr:uid="{00000000-0005-0000-0000-0000FD970000}"/>
    <cellStyle name="Normal 8 7 6 2" xfId="45143" xr:uid="{00000000-0005-0000-0000-0000FE970000}"/>
    <cellStyle name="Normal 8 7 7" xfId="41259" xr:uid="{00000000-0005-0000-0000-0000FF970000}"/>
    <cellStyle name="Normal 8 8" xfId="21839" xr:uid="{00000000-0005-0000-0000-000000980000}"/>
    <cellStyle name="Normal 8 8 2" xfId="21840" xr:uid="{00000000-0005-0000-0000-000001980000}"/>
    <cellStyle name="Normal 8 8 2 2" xfId="45145" xr:uid="{00000000-0005-0000-0000-000002980000}"/>
    <cellStyle name="Normal 8 8 3" xfId="21841" xr:uid="{00000000-0005-0000-0000-000003980000}"/>
    <cellStyle name="Normal 8 8 3 2" xfId="45146" xr:uid="{00000000-0005-0000-0000-000004980000}"/>
    <cellStyle name="Normal 8 8 4" xfId="45144" xr:uid="{00000000-0005-0000-0000-000005980000}"/>
    <cellStyle name="Normal 8 9" xfId="21842" xr:uid="{00000000-0005-0000-0000-000006980000}"/>
    <cellStyle name="Normal 8 9 2" xfId="21843" xr:uid="{00000000-0005-0000-0000-000007980000}"/>
    <cellStyle name="Normal 8 9 2 2" xfId="45148" xr:uid="{00000000-0005-0000-0000-000008980000}"/>
    <cellStyle name="Normal 8 9 3" xfId="45147" xr:uid="{00000000-0005-0000-0000-000009980000}"/>
    <cellStyle name="Normal 9" xfId="144" xr:uid="{00000000-0005-0000-0000-00000A980000}"/>
    <cellStyle name="Normal 9 10" xfId="15094" xr:uid="{00000000-0005-0000-0000-00000B980000}"/>
    <cellStyle name="Normal 9 10 2" xfId="15095" xr:uid="{00000000-0005-0000-0000-00000C980000}"/>
    <cellStyle name="Normal 9 10 2 2" xfId="15096" xr:uid="{00000000-0005-0000-0000-00000D980000}"/>
    <cellStyle name="Normal 9 10 2 2 2" xfId="15097" xr:uid="{00000000-0005-0000-0000-00000E980000}"/>
    <cellStyle name="Normal 9 10 2 2 2 2" xfId="38573" xr:uid="{00000000-0005-0000-0000-00000F980000}"/>
    <cellStyle name="Normal 9 10 2 2 3" xfId="38572" xr:uid="{00000000-0005-0000-0000-000010980000}"/>
    <cellStyle name="Normal 9 10 2 3" xfId="15098" xr:uid="{00000000-0005-0000-0000-000011980000}"/>
    <cellStyle name="Normal 9 10 2 3 2" xfId="38574" xr:uid="{00000000-0005-0000-0000-000012980000}"/>
    <cellStyle name="Normal 9 10 2 4" xfId="38571" xr:uid="{00000000-0005-0000-0000-000013980000}"/>
    <cellStyle name="Normal 9 10 3" xfId="15099" xr:uid="{00000000-0005-0000-0000-000014980000}"/>
    <cellStyle name="Normal 9 10 3 2" xfId="15100" xr:uid="{00000000-0005-0000-0000-000015980000}"/>
    <cellStyle name="Normal 9 10 3 2 2" xfId="38576" xr:uid="{00000000-0005-0000-0000-000016980000}"/>
    <cellStyle name="Normal 9 10 3 3" xfId="38575" xr:uid="{00000000-0005-0000-0000-000017980000}"/>
    <cellStyle name="Normal 9 10 4" xfId="15101" xr:uid="{00000000-0005-0000-0000-000018980000}"/>
    <cellStyle name="Normal 9 10 4 2" xfId="38577" xr:uid="{00000000-0005-0000-0000-000019980000}"/>
    <cellStyle name="Normal 9 10 5" xfId="38570" xr:uid="{00000000-0005-0000-0000-00001A980000}"/>
    <cellStyle name="Normal 9 11" xfId="15102" xr:uid="{00000000-0005-0000-0000-00001B980000}"/>
    <cellStyle name="Normal 9 11 2" xfId="15103" xr:uid="{00000000-0005-0000-0000-00001C980000}"/>
    <cellStyle name="Normal 9 11 2 2" xfId="15104" xr:uid="{00000000-0005-0000-0000-00001D980000}"/>
    <cellStyle name="Normal 9 11 2 2 2" xfId="15105" xr:uid="{00000000-0005-0000-0000-00001E980000}"/>
    <cellStyle name="Normal 9 11 2 2 2 2" xfId="38581" xr:uid="{00000000-0005-0000-0000-00001F980000}"/>
    <cellStyle name="Normal 9 11 2 2 3" xfId="38580" xr:uid="{00000000-0005-0000-0000-000020980000}"/>
    <cellStyle name="Normal 9 11 2 3" xfId="15106" xr:uid="{00000000-0005-0000-0000-000021980000}"/>
    <cellStyle name="Normal 9 11 2 3 2" xfId="38582" xr:uid="{00000000-0005-0000-0000-000022980000}"/>
    <cellStyle name="Normal 9 11 2 4" xfId="38579" xr:uid="{00000000-0005-0000-0000-000023980000}"/>
    <cellStyle name="Normal 9 11 3" xfId="15107" xr:uid="{00000000-0005-0000-0000-000024980000}"/>
    <cellStyle name="Normal 9 11 3 2" xfId="15108" xr:uid="{00000000-0005-0000-0000-000025980000}"/>
    <cellStyle name="Normal 9 11 3 2 2" xfId="38584" xr:uid="{00000000-0005-0000-0000-000026980000}"/>
    <cellStyle name="Normal 9 11 3 3" xfId="38583" xr:uid="{00000000-0005-0000-0000-000027980000}"/>
    <cellStyle name="Normal 9 11 4" xfId="15109" xr:uid="{00000000-0005-0000-0000-000028980000}"/>
    <cellStyle name="Normal 9 11 4 2" xfId="38585" xr:uid="{00000000-0005-0000-0000-000029980000}"/>
    <cellStyle name="Normal 9 11 5" xfId="38578" xr:uid="{00000000-0005-0000-0000-00002A980000}"/>
    <cellStyle name="Normal 9 12" xfId="15110" xr:uid="{00000000-0005-0000-0000-00002B980000}"/>
    <cellStyle name="Normal 9 12 2" xfId="15111" xr:uid="{00000000-0005-0000-0000-00002C980000}"/>
    <cellStyle name="Normal 9 12 2 2" xfId="15112" xr:uid="{00000000-0005-0000-0000-00002D980000}"/>
    <cellStyle name="Normal 9 12 2 2 2" xfId="38588" xr:uid="{00000000-0005-0000-0000-00002E980000}"/>
    <cellStyle name="Normal 9 12 2 3" xfId="38587" xr:uid="{00000000-0005-0000-0000-00002F980000}"/>
    <cellStyle name="Normal 9 12 3" xfId="15113" xr:uid="{00000000-0005-0000-0000-000030980000}"/>
    <cellStyle name="Normal 9 12 3 2" xfId="38589" xr:uid="{00000000-0005-0000-0000-000031980000}"/>
    <cellStyle name="Normal 9 12 4" xfId="38586" xr:uid="{00000000-0005-0000-0000-000032980000}"/>
    <cellStyle name="Normal 9 13" xfId="15114" xr:uid="{00000000-0005-0000-0000-000033980000}"/>
    <cellStyle name="Normal 9 13 2" xfId="15115" xr:uid="{00000000-0005-0000-0000-000034980000}"/>
    <cellStyle name="Normal 9 13 2 2" xfId="38591" xr:uid="{00000000-0005-0000-0000-000035980000}"/>
    <cellStyle name="Normal 9 13 3" xfId="38590" xr:uid="{00000000-0005-0000-0000-000036980000}"/>
    <cellStyle name="Normal 9 14" xfId="15116" xr:uid="{00000000-0005-0000-0000-000037980000}"/>
    <cellStyle name="Normal 9 14 2" xfId="38592" xr:uid="{00000000-0005-0000-0000-000038980000}"/>
    <cellStyle name="Normal 9 15" xfId="23694" xr:uid="{00000000-0005-0000-0000-000039980000}"/>
    <cellStyle name="Normal 9 2" xfId="145" xr:uid="{00000000-0005-0000-0000-00003A980000}"/>
    <cellStyle name="Normal 9 2 10" xfId="15117" xr:uid="{00000000-0005-0000-0000-00003B980000}"/>
    <cellStyle name="Normal 9 2 10 2" xfId="15118" xr:uid="{00000000-0005-0000-0000-00003C980000}"/>
    <cellStyle name="Normal 9 2 10 2 2" xfId="15119" xr:uid="{00000000-0005-0000-0000-00003D980000}"/>
    <cellStyle name="Normal 9 2 10 2 2 2" xfId="15120" xr:uid="{00000000-0005-0000-0000-00003E980000}"/>
    <cellStyle name="Normal 9 2 10 2 2 2 2" xfId="38596" xr:uid="{00000000-0005-0000-0000-00003F980000}"/>
    <cellStyle name="Normal 9 2 10 2 2 3" xfId="38595" xr:uid="{00000000-0005-0000-0000-000040980000}"/>
    <cellStyle name="Normal 9 2 10 2 3" xfId="15121" xr:uid="{00000000-0005-0000-0000-000041980000}"/>
    <cellStyle name="Normal 9 2 10 2 3 2" xfId="38597" xr:uid="{00000000-0005-0000-0000-000042980000}"/>
    <cellStyle name="Normal 9 2 10 2 4" xfId="38594" xr:uid="{00000000-0005-0000-0000-000043980000}"/>
    <cellStyle name="Normal 9 2 10 3" xfId="15122" xr:uid="{00000000-0005-0000-0000-000044980000}"/>
    <cellStyle name="Normal 9 2 10 3 2" xfId="15123" xr:uid="{00000000-0005-0000-0000-000045980000}"/>
    <cellStyle name="Normal 9 2 10 3 2 2" xfId="38599" xr:uid="{00000000-0005-0000-0000-000046980000}"/>
    <cellStyle name="Normal 9 2 10 3 3" xfId="38598" xr:uid="{00000000-0005-0000-0000-000047980000}"/>
    <cellStyle name="Normal 9 2 10 4" xfId="15124" xr:uid="{00000000-0005-0000-0000-000048980000}"/>
    <cellStyle name="Normal 9 2 10 4 2" xfId="38600" xr:uid="{00000000-0005-0000-0000-000049980000}"/>
    <cellStyle name="Normal 9 2 10 5" xfId="38593" xr:uid="{00000000-0005-0000-0000-00004A980000}"/>
    <cellStyle name="Normal 9 2 11" xfId="15125" xr:uid="{00000000-0005-0000-0000-00004B980000}"/>
    <cellStyle name="Normal 9 2 11 2" xfId="15126" xr:uid="{00000000-0005-0000-0000-00004C980000}"/>
    <cellStyle name="Normal 9 2 11 2 2" xfId="15127" xr:uid="{00000000-0005-0000-0000-00004D980000}"/>
    <cellStyle name="Normal 9 2 11 2 2 2" xfId="38603" xr:uid="{00000000-0005-0000-0000-00004E980000}"/>
    <cellStyle name="Normal 9 2 11 2 3" xfId="38602" xr:uid="{00000000-0005-0000-0000-00004F980000}"/>
    <cellStyle name="Normal 9 2 11 3" xfId="15128" xr:uid="{00000000-0005-0000-0000-000050980000}"/>
    <cellStyle name="Normal 9 2 11 3 2" xfId="38604" xr:uid="{00000000-0005-0000-0000-000051980000}"/>
    <cellStyle name="Normal 9 2 11 4" xfId="38601" xr:uid="{00000000-0005-0000-0000-000052980000}"/>
    <cellStyle name="Normal 9 2 12" xfId="15129" xr:uid="{00000000-0005-0000-0000-000053980000}"/>
    <cellStyle name="Normal 9 2 12 2" xfId="15130" xr:uid="{00000000-0005-0000-0000-000054980000}"/>
    <cellStyle name="Normal 9 2 12 2 2" xfId="38606" xr:uid="{00000000-0005-0000-0000-000055980000}"/>
    <cellStyle name="Normal 9 2 12 3" xfId="38605" xr:uid="{00000000-0005-0000-0000-000056980000}"/>
    <cellStyle name="Normal 9 2 13" xfId="15131" xr:uid="{00000000-0005-0000-0000-000057980000}"/>
    <cellStyle name="Normal 9 2 13 2" xfId="38607" xr:uid="{00000000-0005-0000-0000-000058980000}"/>
    <cellStyle name="Normal 9 2 14" xfId="23695" xr:uid="{00000000-0005-0000-0000-000059980000}"/>
    <cellStyle name="Normal 9 2 2" xfId="146" xr:uid="{00000000-0005-0000-0000-00005A980000}"/>
    <cellStyle name="Normal 9 2 2 10" xfId="15132" xr:uid="{00000000-0005-0000-0000-00005B980000}"/>
    <cellStyle name="Normal 9 2 2 10 2" xfId="38608" xr:uid="{00000000-0005-0000-0000-00005C980000}"/>
    <cellStyle name="Normal 9 2 2 11" xfId="23696" xr:uid="{00000000-0005-0000-0000-00005D980000}"/>
    <cellStyle name="Normal 9 2 2 2" xfId="15133" xr:uid="{00000000-0005-0000-0000-00005E980000}"/>
    <cellStyle name="Normal 9 2 2 2 2" xfId="15134" xr:uid="{00000000-0005-0000-0000-00005F980000}"/>
    <cellStyle name="Normal 9 2 2 2 2 2" xfId="15135" xr:uid="{00000000-0005-0000-0000-000060980000}"/>
    <cellStyle name="Normal 9 2 2 2 2 2 2" xfId="15136" xr:uid="{00000000-0005-0000-0000-000061980000}"/>
    <cellStyle name="Normal 9 2 2 2 2 2 2 2" xfId="15137" xr:uid="{00000000-0005-0000-0000-000062980000}"/>
    <cellStyle name="Normal 9 2 2 2 2 2 2 2 2" xfId="38613" xr:uid="{00000000-0005-0000-0000-000063980000}"/>
    <cellStyle name="Normal 9 2 2 2 2 2 2 3" xfId="38612" xr:uid="{00000000-0005-0000-0000-000064980000}"/>
    <cellStyle name="Normal 9 2 2 2 2 2 3" xfId="15138" xr:uid="{00000000-0005-0000-0000-000065980000}"/>
    <cellStyle name="Normal 9 2 2 2 2 2 3 2" xfId="38614" xr:uid="{00000000-0005-0000-0000-000066980000}"/>
    <cellStyle name="Normal 9 2 2 2 2 2 4" xfId="38611" xr:uid="{00000000-0005-0000-0000-000067980000}"/>
    <cellStyle name="Normal 9 2 2 2 2 3" xfId="15139" xr:uid="{00000000-0005-0000-0000-000068980000}"/>
    <cellStyle name="Normal 9 2 2 2 2 3 2" xfId="15140" xr:uid="{00000000-0005-0000-0000-000069980000}"/>
    <cellStyle name="Normal 9 2 2 2 2 3 2 2" xfId="38616" xr:uid="{00000000-0005-0000-0000-00006A980000}"/>
    <cellStyle name="Normal 9 2 2 2 2 3 3" xfId="38615" xr:uid="{00000000-0005-0000-0000-00006B980000}"/>
    <cellStyle name="Normal 9 2 2 2 2 4" xfId="15141" xr:uid="{00000000-0005-0000-0000-00006C980000}"/>
    <cellStyle name="Normal 9 2 2 2 2 4 2" xfId="38617" xr:uid="{00000000-0005-0000-0000-00006D980000}"/>
    <cellStyle name="Normal 9 2 2 2 2 5" xfId="21844" xr:uid="{00000000-0005-0000-0000-00006E980000}"/>
    <cellStyle name="Normal 9 2 2 2 2 5 2" xfId="45149" xr:uid="{00000000-0005-0000-0000-00006F980000}"/>
    <cellStyle name="Normal 9 2 2 2 2 6" xfId="21845" xr:uid="{00000000-0005-0000-0000-000070980000}"/>
    <cellStyle name="Normal 9 2 2 2 2 6 2" xfId="45150" xr:uid="{00000000-0005-0000-0000-000071980000}"/>
    <cellStyle name="Normal 9 2 2 2 2 7" xfId="38610" xr:uid="{00000000-0005-0000-0000-000072980000}"/>
    <cellStyle name="Normal 9 2 2 2 3" xfId="15142" xr:uid="{00000000-0005-0000-0000-000073980000}"/>
    <cellStyle name="Normal 9 2 2 2 3 2" xfId="15143" xr:uid="{00000000-0005-0000-0000-000074980000}"/>
    <cellStyle name="Normal 9 2 2 2 3 2 2" xfId="15144" xr:uid="{00000000-0005-0000-0000-000075980000}"/>
    <cellStyle name="Normal 9 2 2 2 3 2 2 2" xfId="15145" xr:uid="{00000000-0005-0000-0000-000076980000}"/>
    <cellStyle name="Normal 9 2 2 2 3 2 2 2 2" xfId="38621" xr:uid="{00000000-0005-0000-0000-000077980000}"/>
    <cellStyle name="Normal 9 2 2 2 3 2 2 3" xfId="38620" xr:uid="{00000000-0005-0000-0000-000078980000}"/>
    <cellStyle name="Normal 9 2 2 2 3 2 3" xfId="15146" xr:uid="{00000000-0005-0000-0000-000079980000}"/>
    <cellStyle name="Normal 9 2 2 2 3 2 3 2" xfId="38622" xr:uid="{00000000-0005-0000-0000-00007A980000}"/>
    <cellStyle name="Normal 9 2 2 2 3 2 4" xfId="38619" xr:uid="{00000000-0005-0000-0000-00007B980000}"/>
    <cellStyle name="Normal 9 2 2 2 3 3" xfId="15147" xr:uid="{00000000-0005-0000-0000-00007C980000}"/>
    <cellStyle name="Normal 9 2 2 2 3 3 2" xfId="15148" xr:uid="{00000000-0005-0000-0000-00007D980000}"/>
    <cellStyle name="Normal 9 2 2 2 3 3 2 2" xfId="38624" xr:uid="{00000000-0005-0000-0000-00007E980000}"/>
    <cellStyle name="Normal 9 2 2 2 3 3 3" xfId="38623" xr:uid="{00000000-0005-0000-0000-00007F980000}"/>
    <cellStyle name="Normal 9 2 2 2 3 4" xfId="15149" xr:uid="{00000000-0005-0000-0000-000080980000}"/>
    <cellStyle name="Normal 9 2 2 2 3 4 2" xfId="38625" xr:uid="{00000000-0005-0000-0000-000081980000}"/>
    <cellStyle name="Normal 9 2 2 2 3 5" xfId="38618" xr:uid="{00000000-0005-0000-0000-000082980000}"/>
    <cellStyle name="Normal 9 2 2 2 4" xfId="15150" xr:uid="{00000000-0005-0000-0000-000083980000}"/>
    <cellStyle name="Normal 9 2 2 2 4 2" xfId="15151" xr:uid="{00000000-0005-0000-0000-000084980000}"/>
    <cellStyle name="Normal 9 2 2 2 4 2 2" xfId="15152" xr:uid="{00000000-0005-0000-0000-000085980000}"/>
    <cellStyle name="Normal 9 2 2 2 4 2 2 2" xfId="38628" xr:uid="{00000000-0005-0000-0000-000086980000}"/>
    <cellStyle name="Normal 9 2 2 2 4 2 3" xfId="38627" xr:uid="{00000000-0005-0000-0000-000087980000}"/>
    <cellStyle name="Normal 9 2 2 2 4 3" xfId="15153" xr:uid="{00000000-0005-0000-0000-000088980000}"/>
    <cellStyle name="Normal 9 2 2 2 4 3 2" xfId="38629" xr:uid="{00000000-0005-0000-0000-000089980000}"/>
    <cellStyle name="Normal 9 2 2 2 4 4" xfId="38626" xr:uid="{00000000-0005-0000-0000-00008A980000}"/>
    <cellStyle name="Normal 9 2 2 2 5" xfId="15154" xr:uid="{00000000-0005-0000-0000-00008B980000}"/>
    <cellStyle name="Normal 9 2 2 2 5 2" xfId="15155" xr:uid="{00000000-0005-0000-0000-00008C980000}"/>
    <cellStyle name="Normal 9 2 2 2 5 2 2" xfId="38631" xr:uid="{00000000-0005-0000-0000-00008D980000}"/>
    <cellStyle name="Normal 9 2 2 2 5 3" xfId="38630" xr:uid="{00000000-0005-0000-0000-00008E980000}"/>
    <cellStyle name="Normal 9 2 2 2 6" xfId="15156" xr:uid="{00000000-0005-0000-0000-00008F980000}"/>
    <cellStyle name="Normal 9 2 2 2 6 2" xfId="38632" xr:uid="{00000000-0005-0000-0000-000090980000}"/>
    <cellStyle name="Normal 9 2 2 2 7" xfId="21846" xr:uid="{00000000-0005-0000-0000-000091980000}"/>
    <cellStyle name="Normal 9 2 2 2 7 2" xfId="45151" xr:uid="{00000000-0005-0000-0000-000092980000}"/>
    <cellStyle name="Normal 9 2 2 2 8" xfId="38609" xr:uid="{00000000-0005-0000-0000-000093980000}"/>
    <cellStyle name="Normal 9 2 2 3" xfId="15157" xr:uid="{00000000-0005-0000-0000-000094980000}"/>
    <cellStyle name="Normal 9 2 2 3 2" xfId="15158" xr:uid="{00000000-0005-0000-0000-000095980000}"/>
    <cellStyle name="Normal 9 2 2 3 2 2" xfId="15159" xr:uid="{00000000-0005-0000-0000-000096980000}"/>
    <cellStyle name="Normal 9 2 2 3 2 2 2" xfId="15160" xr:uid="{00000000-0005-0000-0000-000097980000}"/>
    <cellStyle name="Normal 9 2 2 3 2 2 2 2" xfId="15161" xr:uid="{00000000-0005-0000-0000-000098980000}"/>
    <cellStyle name="Normal 9 2 2 3 2 2 2 2 2" xfId="38637" xr:uid="{00000000-0005-0000-0000-000099980000}"/>
    <cellStyle name="Normal 9 2 2 3 2 2 2 3" xfId="38636" xr:uid="{00000000-0005-0000-0000-00009A980000}"/>
    <cellStyle name="Normal 9 2 2 3 2 2 3" xfId="15162" xr:uid="{00000000-0005-0000-0000-00009B980000}"/>
    <cellStyle name="Normal 9 2 2 3 2 2 3 2" xfId="38638" xr:uid="{00000000-0005-0000-0000-00009C980000}"/>
    <cellStyle name="Normal 9 2 2 3 2 2 4" xfId="38635" xr:uid="{00000000-0005-0000-0000-00009D980000}"/>
    <cellStyle name="Normal 9 2 2 3 2 3" xfId="15163" xr:uid="{00000000-0005-0000-0000-00009E980000}"/>
    <cellStyle name="Normal 9 2 2 3 2 3 2" xfId="15164" xr:uid="{00000000-0005-0000-0000-00009F980000}"/>
    <cellStyle name="Normal 9 2 2 3 2 3 2 2" xfId="38640" xr:uid="{00000000-0005-0000-0000-0000A0980000}"/>
    <cellStyle name="Normal 9 2 2 3 2 3 3" xfId="38639" xr:uid="{00000000-0005-0000-0000-0000A1980000}"/>
    <cellStyle name="Normal 9 2 2 3 2 4" xfId="15165" xr:uid="{00000000-0005-0000-0000-0000A2980000}"/>
    <cellStyle name="Normal 9 2 2 3 2 4 2" xfId="38641" xr:uid="{00000000-0005-0000-0000-0000A3980000}"/>
    <cellStyle name="Normal 9 2 2 3 2 5" xfId="21847" xr:uid="{00000000-0005-0000-0000-0000A4980000}"/>
    <cellStyle name="Normal 9 2 2 3 2 5 2" xfId="45152" xr:uid="{00000000-0005-0000-0000-0000A5980000}"/>
    <cellStyle name="Normal 9 2 2 3 2 6" xfId="21848" xr:uid="{00000000-0005-0000-0000-0000A6980000}"/>
    <cellStyle name="Normal 9 2 2 3 2 6 2" xfId="45153" xr:uid="{00000000-0005-0000-0000-0000A7980000}"/>
    <cellStyle name="Normal 9 2 2 3 2 7" xfId="38634" xr:uid="{00000000-0005-0000-0000-0000A8980000}"/>
    <cellStyle name="Normal 9 2 2 3 3" xfId="15166" xr:uid="{00000000-0005-0000-0000-0000A9980000}"/>
    <cellStyle name="Normal 9 2 2 3 3 2" xfId="15167" xr:uid="{00000000-0005-0000-0000-0000AA980000}"/>
    <cellStyle name="Normal 9 2 2 3 3 2 2" xfId="15168" xr:uid="{00000000-0005-0000-0000-0000AB980000}"/>
    <cellStyle name="Normal 9 2 2 3 3 2 2 2" xfId="15169" xr:uid="{00000000-0005-0000-0000-0000AC980000}"/>
    <cellStyle name="Normal 9 2 2 3 3 2 2 2 2" xfId="38645" xr:uid="{00000000-0005-0000-0000-0000AD980000}"/>
    <cellStyle name="Normal 9 2 2 3 3 2 2 3" xfId="38644" xr:uid="{00000000-0005-0000-0000-0000AE980000}"/>
    <cellStyle name="Normal 9 2 2 3 3 2 3" xfId="15170" xr:uid="{00000000-0005-0000-0000-0000AF980000}"/>
    <cellStyle name="Normal 9 2 2 3 3 2 3 2" xfId="38646" xr:uid="{00000000-0005-0000-0000-0000B0980000}"/>
    <cellStyle name="Normal 9 2 2 3 3 2 4" xfId="38643" xr:uid="{00000000-0005-0000-0000-0000B1980000}"/>
    <cellStyle name="Normal 9 2 2 3 3 3" xfId="15171" xr:uid="{00000000-0005-0000-0000-0000B2980000}"/>
    <cellStyle name="Normal 9 2 2 3 3 3 2" xfId="15172" xr:uid="{00000000-0005-0000-0000-0000B3980000}"/>
    <cellStyle name="Normal 9 2 2 3 3 3 2 2" xfId="38648" xr:uid="{00000000-0005-0000-0000-0000B4980000}"/>
    <cellStyle name="Normal 9 2 2 3 3 3 3" xfId="38647" xr:uid="{00000000-0005-0000-0000-0000B5980000}"/>
    <cellStyle name="Normal 9 2 2 3 3 4" xfId="15173" xr:uid="{00000000-0005-0000-0000-0000B6980000}"/>
    <cellStyle name="Normal 9 2 2 3 3 4 2" xfId="38649" xr:uid="{00000000-0005-0000-0000-0000B7980000}"/>
    <cellStyle name="Normal 9 2 2 3 3 5" xfId="38642" xr:uid="{00000000-0005-0000-0000-0000B8980000}"/>
    <cellStyle name="Normal 9 2 2 3 4" xfId="15174" xr:uid="{00000000-0005-0000-0000-0000B9980000}"/>
    <cellStyle name="Normal 9 2 2 3 4 2" xfId="15175" xr:uid="{00000000-0005-0000-0000-0000BA980000}"/>
    <cellStyle name="Normal 9 2 2 3 4 2 2" xfId="15176" xr:uid="{00000000-0005-0000-0000-0000BB980000}"/>
    <cellStyle name="Normal 9 2 2 3 4 2 2 2" xfId="38652" xr:uid="{00000000-0005-0000-0000-0000BC980000}"/>
    <cellStyle name="Normal 9 2 2 3 4 2 3" xfId="38651" xr:uid="{00000000-0005-0000-0000-0000BD980000}"/>
    <cellStyle name="Normal 9 2 2 3 4 3" xfId="15177" xr:uid="{00000000-0005-0000-0000-0000BE980000}"/>
    <cellStyle name="Normal 9 2 2 3 4 3 2" xfId="38653" xr:uid="{00000000-0005-0000-0000-0000BF980000}"/>
    <cellStyle name="Normal 9 2 2 3 4 4" xfId="38650" xr:uid="{00000000-0005-0000-0000-0000C0980000}"/>
    <cellStyle name="Normal 9 2 2 3 5" xfId="15178" xr:uid="{00000000-0005-0000-0000-0000C1980000}"/>
    <cellStyle name="Normal 9 2 2 3 5 2" xfId="15179" xr:uid="{00000000-0005-0000-0000-0000C2980000}"/>
    <cellStyle name="Normal 9 2 2 3 5 2 2" xfId="38655" xr:uid="{00000000-0005-0000-0000-0000C3980000}"/>
    <cellStyle name="Normal 9 2 2 3 5 3" xfId="38654" xr:uid="{00000000-0005-0000-0000-0000C4980000}"/>
    <cellStyle name="Normal 9 2 2 3 6" xfId="15180" xr:uid="{00000000-0005-0000-0000-0000C5980000}"/>
    <cellStyle name="Normal 9 2 2 3 6 2" xfId="38656" xr:uid="{00000000-0005-0000-0000-0000C6980000}"/>
    <cellStyle name="Normal 9 2 2 3 7" xfId="21849" xr:uid="{00000000-0005-0000-0000-0000C7980000}"/>
    <cellStyle name="Normal 9 2 2 3 7 2" xfId="45154" xr:uid="{00000000-0005-0000-0000-0000C8980000}"/>
    <cellStyle name="Normal 9 2 2 3 8" xfId="38633" xr:uid="{00000000-0005-0000-0000-0000C9980000}"/>
    <cellStyle name="Normal 9 2 2 4" xfId="15181" xr:uid="{00000000-0005-0000-0000-0000CA980000}"/>
    <cellStyle name="Normal 9 2 2 4 2" xfId="15182" xr:uid="{00000000-0005-0000-0000-0000CB980000}"/>
    <cellStyle name="Normal 9 2 2 4 2 2" xfId="15183" xr:uid="{00000000-0005-0000-0000-0000CC980000}"/>
    <cellStyle name="Normal 9 2 2 4 2 2 2" xfId="15184" xr:uid="{00000000-0005-0000-0000-0000CD980000}"/>
    <cellStyle name="Normal 9 2 2 4 2 2 2 2" xfId="15185" xr:uid="{00000000-0005-0000-0000-0000CE980000}"/>
    <cellStyle name="Normal 9 2 2 4 2 2 2 2 2" xfId="38661" xr:uid="{00000000-0005-0000-0000-0000CF980000}"/>
    <cellStyle name="Normal 9 2 2 4 2 2 2 3" xfId="38660" xr:uid="{00000000-0005-0000-0000-0000D0980000}"/>
    <cellStyle name="Normal 9 2 2 4 2 2 3" xfId="15186" xr:uid="{00000000-0005-0000-0000-0000D1980000}"/>
    <cellStyle name="Normal 9 2 2 4 2 2 3 2" xfId="38662" xr:uid="{00000000-0005-0000-0000-0000D2980000}"/>
    <cellStyle name="Normal 9 2 2 4 2 2 4" xfId="38659" xr:uid="{00000000-0005-0000-0000-0000D3980000}"/>
    <cellStyle name="Normal 9 2 2 4 2 3" xfId="15187" xr:uid="{00000000-0005-0000-0000-0000D4980000}"/>
    <cellStyle name="Normal 9 2 2 4 2 3 2" xfId="15188" xr:uid="{00000000-0005-0000-0000-0000D5980000}"/>
    <cellStyle name="Normal 9 2 2 4 2 3 2 2" xfId="38664" xr:uid="{00000000-0005-0000-0000-0000D6980000}"/>
    <cellStyle name="Normal 9 2 2 4 2 3 3" xfId="38663" xr:uid="{00000000-0005-0000-0000-0000D7980000}"/>
    <cellStyle name="Normal 9 2 2 4 2 4" xfId="15189" xr:uid="{00000000-0005-0000-0000-0000D8980000}"/>
    <cellStyle name="Normal 9 2 2 4 2 4 2" xfId="38665" xr:uid="{00000000-0005-0000-0000-0000D9980000}"/>
    <cellStyle name="Normal 9 2 2 4 2 5" xfId="38658" xr:uid="{00000000-0005-0000-0000-0000DA980000}"/>
    <cellStyle name="Normal 9 2 2 4 3" xfId="15190" xr:uid="{00000000-0005-0000-0000-0000DB980000}"/>
    <cellStyle name="Normal 9 2 2 4 3 2" xfId="15191" xr:uid="{00000000-0005-0000-0000-0000DC980000}"/>
    <cellStyle name="Normal 9 2 2 4 3 2 2" xfId="15192" xr:uid="{00000000-0005-0000-0000-0000DD980000}"/>
    <cellStyle name="Normal 9 2 2 4 3 2 2 2" xfId="15193" xr:uid="{00000000-0005-0000-0000-0000DE980000}"/>
    <cellStyle name="Normal 9 2 2 4 3 2 2 2 2" xfId="38669" xr:uid="{00000000-0005-0000-0000-0000DF980000}"/>
    <cellStyle name="Normal 9 2 2 4 3 2 2 3" xfId="38668" xr:uid="{00000000-0005-0000-0000-0000E0980000}"/>
    <cellStyle name="Normal 9 2 2 4 3 2 3" xfId="15194" xr:uid="{00000000-0005-0000-0000-0000E1980000}"/>
    <cellStyle name="Normal 9 2 2 4 3 2 3 2" xfId="38670" xr:uid="{00000000-0005-0000-0000-0000E2980000}"/>
    <cellStyle name="Normal 9 2 2 4 3 2 4" xfId="38667" xr:uid="{00000000-0005-0000-0000-0000E3980000}"/>
    <cellStyle name="Normal 9 2 2 4 3 3" xfId="15195" xr:uid="{00000000-0005-0000-0000-0000E4980000}"/>
    <cellStyle name="Normal 9 2 2 4 3 3 2" xfId="15196" xr:uid="{00000000-0005-0000-0000-0000E5980000}"/>
    <cellStyle name="Normal 9 2 2 4 3 3 2 2" xfId="38672" xr:uid="{00000000-0005-0000-0000-0000E6980000}"/>
    <cellStyle name="Normal 9 2 2 4 3 3 3" xfId="38671" xr:uid="{00000000-0005-0000-0000-0000E7980000}"/>
    <cellStyle name="Normal 9 2 2 4 3 4" xfId="15197" xr:uid="{00000000-0005-0000-0000-0000E8980000}"/>
    <cellStyle name="Normal 9 2 2 4 3 4 2" xfId="38673" xr:uid="{00000000-0005-0000-0000-0000E9980000}"/>
    <cellStyle name="Normal 9 2 2 4 3 5" xfId="38666" xr:uid="{00000000-0005-0000-0000-0000EA980000}"/>
    <cellStyle name="Normal 9 2 2 4 4" xfId="15198" xr:uid="{00000000-0005-0000-0000-0000EB980000}"/>
    <cellStyle name="Normal 9 2 2 4 4 2" xfId="15199" xr:uid="{00000000-0005-0000-0000-0000EC980000}"/>
    <cellStyle name="Normal 9 2 2 4 4 2 2" xfId="15200" xr:uid="{00000000-0005-0000-0000-0000ED980000}"/>
    <cellStyle name="Normal 9 2 2 4 4 2 2 2" xfId="38676" xr:uid="{00000000-0005-0000-0000-0000EE980000}"/>
    <cellStyle name="Normal 9 2 2 4 4 2 3" xfId="38675" xr:uid="{00000000-0005-0000-0000-0000EF980000}"/>
    <cellStyle name="Normal 9 2 2 4 4 3" xfId="15201" xr:uid="{00000000-0005-0000-0000-0000F0980000}"/>
    <cellStyle name="Normal 9 2 2 4 4 3 2" xfId="38677" xr:uid="{00000000-0005-0000-0000-0000F1980000}"/>
    <cellStyle name="Normal 9 2 2 4 4 4" xfId="38674" xr:uid="{00000000-0005-0000-0000-0000F2980000}"/>
    <cellStyle name="Normal 9 2 2 4 5" xfId="15202" xr:uid="{00000000-0005-0000-0000-0000F3980000}"/>
    <cellStyle name="Normal 9 2 2 4 5 2" xfId="15203" xr:uid="{00000000-0005-0000-0000-0000F4980000}"/>
    <cellStyle name="Normal 9 2 2 4 5 2 2" xfId="38679" xr:uid="{00000000-0005-0000-0000-0000F5980000}"/>
    <cellStyle name="Normal 9 2 2 4 5 3" xfId="38678" xr:uid="{00000000-0005-0000-0000-0000F6980000}"/>
    <cellStyle name="Normal 9 2 2 4 6" xfId="15204" xr:uid="{00000000-0005-0000-0000-0000F7980000}"/>
    <cellStyle name="Normal 9 2 2 4 6 2" xfId="38680" xr:uid="{00000000-0005-0000-0000-0000F8980000}"/>
    <cellStyle name="Normal 9 2 2 4 7" xfId="38657" xr:uid="{00000000-0005-0000-0000-0000F9980000}"/>
    <cellStyle name="Normal 9 2 2 5" xfId="15205" xr:uid="{00000000-0005-0000-0000-0000FA980000}"/>
    <cellStyle name="Normal 9 2 2 5 2" xfId="15206" xr:uid="{00000000-0005-0000-0000-0000FB980000}"/>
    <cellStyle name="Normal 9 2 2 5 2 2" xfId="15207" xr:uid="{00000000-0005-0000-0000-0000FC980000}"/>
    <cellStyle name="Normal 9 2 2 5 2 2 2" xfId="15208" xr:uid="{00000000-0005-0000-0000-0000FD980000}"/>
    <cellStyle name="Normal 9 2 2 5 2 2 2 2" xfId="15209" xr:uid="{00000000-0005-0000-0000-0000FE980000}"/>
    <cellStyle name="Normal 9 2 2 5 2 2 2 2 2" xfId="38685" xr:uid="{00000000-0005-0000-0000-0000FF980000}"/>
    <cellStyle name="Normal 9 2 2 5 2 2 2 3" xfId="38684" xr:uid="{00000000-0005-0000-0000-000000990000}"/>
    <cellStyle name="Normal 9 2 2 5 2 2 3" xfId="15210" xr:uid="{00000000-0005-0000-0000-000001990000}"/>
    <cellStyle name="Normal 9 2 2 5 2 2 3 2" xfId="38686" xr:uid="{00000000-0005-0000-0000-000002990000}"/>
    <cellStyle name="Normal 9 2 2 5 2 2 4" xfId="38683" xr:uid="{00000000-0005-0000-0000-000003990000}"/>
    <cellStyle name="Normal 9 2 2 5 2 3" xfId="15211" xr:uid="{00000000-0005-0000-0000-000004990000}"/>
    <cellStyle name="Normal 9 2 2 5 2 3 2" xfId="15212" xr:uid="{00000000-0005-0000-0000-000005990000}"/>
    <cellStyle name="Normal 9 2 2 5 2 3 2 2" xfId="38688" xr:uid="{00000000-0005-0000-0000-000006990000}"/>
    <cellStyle name="Normal 9 2 2 5 2 3 3" xfId="38687" xr:uid="{00000000-0005-0000-0000-000007990000}"/>
    <cellStyle name="Normal 9 2 2 5 2 4" xfId="15213" xr:uid="{00000000-0005-0000-0000-000008990000}"/>
    <cellStyle name="Normal 9 2 2 5 2 4 2" xfId="38689" xr:uid="{00000000-0005-0000-0000-000009990000}"/>
    <cellStyle name="Normal 9 2 2 5 2 5" xfId="38682" xr:uid="{00000000-0005-0000-0000-00000A990000}"/>
    <cellStyle name="Normal 9 2 2 5 3" xfId="15214" xr:uid="{00000000-0005-0000-0000-00000B990000}"/>
    <cellStyle name="Normal 9 2 2 5 3 2" xfId="15215" xr:uid="{00000000-0005-0000-0000-00000C990000}"/>
    <cellStyle name="Normal 9 2 2 5 3 2 2" xfId="15216" xr:uid="{00000000-0005-0000-0000-00000D990000}"/>
    <cellStyle name="Normal 9 2 2 5 3 2 2 2" xfId="15217" xr:uid="{00000000-0005-0000-0000-00000E990000}"/>
    <cellStyle name="Normal 9 2 2 5 3 2 2 2 2" xfId="38693" xr:uid="{00000000-0005-0000-0000-00000F990000}"/>
    <cellStyle name="Normal 9 2 2 5 3 2 2 3" xfId="38692" xr:uid="{00000000-0005-0000-0000-000010990000}"/>
    <cellStyle name="Normal 9 2 2 5 3 2 3" xfId="15218" xr:uid="{00000000-0005-0000-0000-000011990000}"/>
    <cellStyle name="Normal 9 2 2 5 3 2 3 2" xfId="38694" xr:uid="{00000000-0005-0000-0000-000012990000}"/>
    <cellStyle name="Normal 9 2 2 5 3 2 4" xfId="38691" xr:uid="{00000000-0005-0000-0000-000013990000}"/>
    <cellStyle name="Normal 9 2 2 5 3 3" xfId="15219" xr:uid="{00000000-0005-0000-0000-000014990000}"/>
    <cellStyle name="Normal 9 2 2 5 3 3 2" xfId="15220" xr:uid="{00000000-0005-0000-0000-000015990000}"/>
    <cellStyle name="Normal 9 2 2 5 3 3 2 2" xfId="38696" xr:uid="{00000000-0005-0000-0000-000016990000}"/>
    <cellStyle name="Normal 9 2 2 5 3 3 3" xfId="38695" xr:uid="{00000000-0005-0000-0000-000017990000}"/>
    <cellStyle name="Normal 9 2 2 5 3 4" xfId="15221" xr:uid="{00000000-0005-0000-0000-000018990000}"/>
    <cellStyle name="Normal 9 2 2 5 3 4 2" xfId="38697" xr:uid="{00000000-0005-0000-0000-000019990000}"/>
    <cellStyle name="Normal 9 2 2 5 3 5" xfId="38690" xr:uid="{00000000-0005-0000-0000-00001A990000}"/>
    <cellStyle name="Normal 9 2 2 5 4" xfId="15222" xr:uid="{00000000-0005-0000-0000-00001B990000}"/>
    <cellStyle name="Normal 9 2 2 5 4 2" xfId="15223" xr:uid="{00000000-0005-0000-0000-00001C990000}"/>
    <cellStyle name="Normal 9 2 2 5 4 2 2" xfId="15224" xr:uid="{00000000-0005-0000-0000-00001D990000}"/>
    <cellStyle name="Normal 9 2 2 5 4 2 2 2" xfId="38700" xr:uid="{00000000-0005-0000-0000-00001E990000}"/>
    <cellStyle name="Normal 9 2 2 5 4 2 3" xfId="38699" xr:uid="{00000000-0005-0000-0000-00001F990000}"/>
    <cellStyle name="Normal 9 2 2 5 4 3" xfId="15225" xr:uid="{00000000-0005-0000-0000-000020990000}"/>
    <cellStyle name="Normal 9 2 2 5 4 3 2" xfId="38701" xr:uid="{00000000-0005-0000-0000-000021990000}"/>
    <cellStyle name="Normal 9 2 2 5 4 4" xfId="38698" xr:uid="{00000000-0005-0000-0000-000022990000}"/>
    <cellStyle name="Normal 9 2 2 5 5" xfId="15226" xr:uid="{00000000-0005-0000-0000-000023990000}"/>
    <cellStyle name="Normal 9 2 2 5 5 2" xfId="15227" xr:uid="{00000000-0005-0000-0000-000024990000}"/>
    <cellStyle name="Normal 9 2 2 5 5 2 2" xfId="38703" xr:uid="{00000000-0005-0000-0000-000025990000}"/>
    <cellStyle name="Normal 9 2 2 5 5 3" xfId="38702" xr:uid="{00000000-0005-0000-0000-000026990000}"/>
    <cellStyle name="Normal 9 2 2 5 6" xfId="15228" xr:uid="{00000000-0005-0000-0000-000027990000}"/>
    <cellStyle name="Normal 9 2 2 5 6 2" xfId="38704" xr:uid="{00000000-0005-0000-0000-000028990000}"/>
    <cellStyle name="Normal 9 2 2 5 7" xfId="38681" xr:uid="{00000000-0005-0000-0000-000029990000}"/>
    <cellStyle name="Normal 9 2 2 6" xfId="15229" xr:uid="{00000000-0005-0000-0000-00002A990000}"/>
    <cellStyle name="Normal 9 2 2 6 2" xfId="15230" xr:uid="{00000000-0005-0000-0000-00002B990000}"/>
    <cellStyle name="Normal 9 2 2 6 2 2" xfId="15231" xr:uid="{00000000-0005-0000-0000-00002C990000}"/>
    <cellStyle name="Normal 9 2 2 6 2 2 2" xfId="15232" xr:uid="{00000000-0005-0000-0000-00002D990000}"/>
    <cellStyle name="Normal 9 2 2 6 2 2 2 2" xfId="38708" xr:uid="{00000000-0005-0000-0000-00002E990000}"/>
    <cellStyle name="Normal 9 2 2 6 2 2 3" xfId="38707" xr:uid="{00000000-0005-0000-0000-00002F990000}"/>
    <cellStyle name="Normal 9 2 2 6 2 3" xfId="15233" xr:uid="{00000000-0005-0000-0000-000030990000}"/>
    <cellStyle name="Normal 9 2 2 6 2 3 2" xfId="38709" xr:uid="{00000000-0005-0000-0000-000031990000}"/>
    <cellStyle name="Normal 9 2 2 6 2 4" xfId="38706" xr:uid="{00000000-0005-0000-0000-000032990000}"/>
    <cellStyle name="Normal 9 2 2 6 3" xfId="15234" xr:uid="{00000000-0005-0000-0000-000033990000}"/>
    <cellStyle name="Normal 9 2 2 6 3 2" xfId="15235" xr:uid="{00000000-0005-0000-0000-000034990000}"/>
    <cellStyle name="Normal 9 2 2 6 3 2 2" xfId="38711" xr:uid="{00000000-0005-0000-0000-000035990000}"/>
    <cellStyle name="Normal 9 2 2 6 3 3" xfId="38710" xr:uid="{00000000-0005-0000-0000-000036990000}"/>
    <cellStyle name="Normal 9 2 2 6 4" xfId="15236" xr:uid="{00000000-0005-0000-0000-000037990000}"/>
    <cellStyle name="Normal 9 2 2 6 4 2" xfId="38712" xr:uid="{00000000-0005-0000-0000-000038990000}"/>
    <cellStyle name="Normal 9 2 2 6 5" xfId="38705" xr:uid="{00000000-0005-0000-0000-000039990000}"/>
    <cellStyle name="Normal 9 2 2 7" xfId="15237" xr:uid="{00000000-0005-0000-0000-00003A990000}"/>
    <cellStyle name="Normal 9 2 2 7 2" xfId="15238" xr:uid="{00000000-0005-0000-0000-00003B990000}"/>
    <cellStyle name="Normal 9 2 2 7 2 2" xfId="15239" xr:uid="{00000000-0005-0000-0000-00003C990000}"/>
    <cellStyle name="Normal 9 2 2 7 2 2 2" xfId="15240" xr:uid="{00000000-0005-0000-0000-00003D990000}"/>
    <cellStyle name="Normal 9 2 2 7 2 2 2 2" xfId="38716" xr:uid="{00000000-0005-0000-0000-00003E990000}"/>
    <cellStyle name="Normal 9 2 2 7 2 2 3" xfId="38715" xr:uid="{00000000-0005-0000-0000-00003F990000}"/>
    <cellStyle name="Normal 9 2 2 7 2 3" xfId="15241" xr:uid="{00000000-0005-0000-0000-000040990000}"/>
    <cellStyle name="Normal 9 2 2 7 2 3 2" xfId="38717" xr:uid="{00000000-0005-0000-0000-000041990000}"/>
    <cellStyle name="Normal 9 2 2 7 2 4" xfId="38714" xr:uid="{00000000-0005-0000-0000-000042990000}"/>
    <cellStyle name="Normal 9 2 2 7 3" xfId="15242" xr:uid="{00000000-0005-0000-0000-000043990000}"/>
    <cellStyle name="Normal 9 2 2 7 3 2" xfId="15243" xr:uid="{00000000-0005-0000-0000-000044990000}"/>
    <cellStyle name="Normal 9 2 2 7 3 2 2" xfId="38719" xr:uid="{00000000-0005-0000-0000-000045990000}"/>
    <cellStyle name="Normal 9 2 2 7 3 3" xfId="38718" xr:uid="{00000000-0005-0000-0000-000046990000}"/>
    <cellStyle name="Normal 9 2 2 7 4" xfId="15244" xr:uid="{00000000-0005-0000-0000-000047990000}"/>
    <cellStyle name="Normal 9 2 2 7 4 2" xfId="38720" xr:uid="{00000000-0005-0000-0000-000048990000}"/>
    <cellStyle name="Normal 9 2 2 7 5" xfId="38713" xr:uid="{00000000-0005-0000-0000-000049990000}"/>
    <cellStyle name="Normal 9 2 2 8" xfId="15245" xr:uid="{00000000-0005-0000-0000-00004A990000}"/>
    <cellStyle name="Normal 9 2 2 8 2" xfId="15246" xr:uid="{00000000-0005-0000-0000-00004B990000}"/>
    <cellStyle name="Normal 9 2 2 8 2 2" xfId="15247" xr:uid="{00000000-0005-0000-0000-00004C990000}"/>
    <cellStyle name="Normal 9 2 2 8 2 2 2" xfId="38723" xr:uid="{00000000-0005-0000-0000-00004D990000}"/>
    <cellStyle name="Normal 9 2 2 8 2 3" xfId="38722" xr:uid="{00000000-0005-0000-0000-00004E990000}"/>
    <cellStyle name="Normal 9 2 2 8 3" xfId="15248" xr:uid="{00000000-0005-0000-0000-00004F990000}"/>
    <cellStyle name="Normal 9 2 2 8 3 2" xfId="38724" xr:uid="{00000000-0005-0000-0000-000050990000}"/>
    <cellStyle name="Normal 9 2 2 8 4" xfId="38721" xr:uid="{00000000-0005-0000-0000-000051990000}"/>
    <cellStyle name="Normal 9 2 2 9" xfId="15249" xr:uid="{00000000-0005-0000-0000-000052990000}"/>
    <cellStyle name="Normal 9 2 2 9 2" xfId="15250" xr:uid="{00000000-0005-0000-0000-000053990000}"/>
    <cellStyle name="Normal 9 2 2 9 2 2" xfId="38726" xr:uid="{00000000-0005-0000-0000-000054990000}"/>
    <cellStyle name="Normal 9 2 2 9 3" xfId="38725" xr:uid="{00000000-0005-0000-0000-000055990000}"/>
    <cellStyle name="Normal 9 2 3" xfId="15251" xr:uid="{00000000-0005-0000-0000-000056990000}"/>
    <cellStyle name="Normal 9 2 3 10" xfId="38727" xr:uid="{00000000-0005-0000-0000-000057990000}"/>
    <cellStyle name="Normal 9 2 3 2" xfId="15252" xr:uid="{00000000-0005-0000-0000-000058990000}"/>
    <cellStyle name="Normal 9 2 3 2 2" xfId="15253" xr:uid="{00000000-0005-0000-0000-000059990000}"/>
    <cellStyle name="Normal 9 2 3 2 2 2" xfId="15254" xr:uid="{00000000-0005-0000-0000-00005A990000}"/>
    <cellStyle name="Normal 9 2 3 2 2 2 2" xfId="15255" xr:uid="{00000000-0005-0000-0000-00005B990000}"/>
    <cellStyle name="Normal 9 2 3 2 2 2 2 2" xfId="15256" xr:uid="{00000000-0005-0000-0000-00005C990000}"/>
    <cellStyle name="Normal 9 2 3 2 2 2 2 2 2" xfId="38732" xr:uid="{00000000-0005-0000-0000-00005D990000}"/>
    <cellStyle name="Normal 9 2 3 2 2 2 2 3" xfId="38731" xr:uid="{00000000-0005-0000-0000-00005E990000}"/>
    <cellStyle name="Normal 9 2 3 2 2 2 3" xfId="15257" xr:uid="{00000000-0005-0000-0000-00005F990000}"/>
    <cellStyle name="Normal 9 2 3 2 2 2 3 2" xfId="38733" xr:uid="{00000000-0005-0000-0000-000060990000}"/>
    <cellStyle name="Normal 9 2 3 2 2 2 4" xfId="38730" xr:uid="{00000000-0005-0000-0000-000061990000}"/>
    <cellStyle name="Normal 9 2 3 2 2 3" xfId="15258" xr:uid="{00000000-0005-0000-0000-000062990000}"/>
    <cellStyle name="Normal 9 2 3 2 2 3 2" xfId="15259" xr:uid="{00000000-0005-0000-0000-000063990000}"/>
    <cellStyle name="Normal 9 2 3 2 2 3 2 2" xfId="38735" xr:uid="{00000000-0005-0000-0000-000064990000}"/>
    <cellStyle name="Normal 9 2 3 2 2 3 3" xfId="38734" xr:uid="{00000000-0005-0000-0000-000065990000}"/>
    <cellStyle name="Normal 9 2 3 2 2 4" xfId="15260" xr:uid="{00000000-0005-0000-0000-000066990000}"/>
    <cellStyle name="Normal 9 2 3 2 2 4 2" xfId="38736" xr:uid="{00000000-0005-0000-0000-000067990000}"/>
    <cellStyle name="Normal 9 2 3 2 2 5" xfId="21850" xr:uid="{00000000-0005-0000-0000-000068990000}"/>
    <cellStyle name="Normal 9 2 3 2 2 5 2" xfId="45155" xr:uid="{00000000-0005-0000-0000-000069990000}"/>
    <cellStyle name="Normal 9 2 3 2 2 6" xfId="21851" xr:uid="{00000000-0005-0000-0000-00006A990000}"/>
    <cellStyle name="Normal 9 2 3 2 2 6 2" xfId="45156" xr:uid="{00000000-0005-0000-0000-00006B990000}"/>
    <cellStyle name="Normal 9 2 3 2 2 7" xfId="38729" xr:uid="{00000000-0005-0000-0000-00006C990000}"/>
    <cellStyle name="Normal 9 2 3 2 3" xfId="15261" xr:uid="{00000000-0005-0000-0000-00006D990000}"/>
    <cellStyle name="Normal 9 2 3 2 3 2" xfId="15262" xr:uid="{00000000-0005-0000-0000-00006E990000}"/>
    <cellStyle name="Normal 9 2 3 2 3 2 2" xfId="15263" xr:uid="{00000000-0005-0000-0000-00006F990000}"/>
    <cellStyle name="Normal 9 2 3 2 3 2 2 2" xfId="15264" xr:uid="{00000000-0005-0000-0000-000070990000}"/>
    <cellStyle name="Normal 9 2 3 2 3 2 2 2 2" xfId="38740" xr:uid="{00000000-0005-0000-0000-000071990000}"/>
    <cellStyle name="Normal 9 2 3 2 3 2 2 3" xfId="38739" xr:uid="{00000000-0005-0000-0000-000072990000}"/>
    <cellStyle name="Normal 9 2 3 2 3 2 3" xfId="15265" xr:uid="{00000000-0005-0000-0000-000073990000}"/>
    <cellStyle name="Normal 9 2 3 2 3 2 3 2" xfId="38741" xr:uid="{00000000-0005-0000-0000-000074990000}"/>
    <cellStyle name="Normal 9 2 3 2 3 2 4" xfId="38738" xr:uid="{00000000-0005-0000-0000-000075990000}"/>
    <cellStyle name="Normal 9 2 3 2 3 3" xfId="15266" xr:uid="{00000000-0005-0000-0000-000076990000}"/>
    <cellStyle name="Normal 9 2 3 2 3 3 2" xfId="15267" xr:uid="{00000000-0005-0000-0000-000077990000}"/>
    <cellStyle name="Normal 9 2 3 2 3 3 2 2" xfId="38743" xr:uid="{00000000-0005-0000-0000-000078990000}"/>
    <cellStyle name="Normal 9 2 3 2 3 3 3" xfId="38742" xr:uid="{00000000-0005-0000-0000-000079990000}"/>
    <cellStyle name="Normal 9 2 3 2 3 4" xfId="15268" xr:uid="{00000000-0005-0000-0000-00007A990000}"/>
    <cellStyle name="Normal 9 2 3 2 3 4 2" xfId="38744" xr:uid="{00000000-0005-0000-0000-00007B990000}"/>
    <cellStyle name="Normal 9 2 3 2 3 5" xfId="38737" xr:uid="{00000000-0005-0000-0000-00007C990000}"/>
    <cellStyle name="Normal 9 2 3 2 4" xfId="15269" xr:uid="{00000000-0005-0000-0000-00007D990000}"/>
    <cellStyle name="Normal 9 2 3 2 4 2" xfId="15270" xr:uid="{00000000-0005-0000-0000-00007E990000}"/>
    <cellStyle name="Normal 9 2 3 2 4 2 2" xfId="15271" xr:uid="{00000000-0005-0000-0000-00007F990000}"/>
    <cellStyle name="Normal 9 2 3 2 4 2 2 2" xfId="38747" xr:uid="{00000000-0005-0000-0000-000080990000}"/>
    <cellStyle name="Normal 9 2 3 2 4 2 3" xfId="38746" xr:uid="{00000000-0005-0000-0000-000081990000}"/>
    <cellStyle name="Normal 9 2 3 2 4 3" xfId="15272" xr:uid="{00000000-0005-0000-0000-000082990000}"/>
    <cellStyle name="Normal 9 2 3 2 4 3 2" xfId="38748" xr:uid="{00000000-0005-0000-0000-000083990000}"/>
    <cellStyle name="Normal 9 2 3 2 4 4" xfId="38745" xr:uid="{00000000-0005-0000-0000-000084990000}"/>
    <cellStyle name="Normal 9 2 3 2 5" xfId="15273" xr:uid="{00000000-0005-0000-0000-000085990000}"/>
    <cellStyle name="Normal 9 2 3 2 5 2" xfId="15274" xr:uid="{00000000-0005-0000-0000-000086990000}"/>
    <cellStyle name="Normal 9 2 3 2 5 2 2" xfId="38750" xr:uid="{00000000-0005-0000-0000-000087990000}"/>
    <cellStyle name="Normal 9 2 3 2 5 3" xfId="38749" xr:uid="{00000000-0005-0000-0000-000088990000}"/>
    <cellStyle name="Normal 9 2 3 2 6" xfId="15275" xr:uid="{00000000-0005-0000-0000-000089990000}"/>
    <cellStyle name="Normal 9 2 3 2 6 2" xfId="38751" xr:uid="{00000000-0005-0000-0000-00008A990000}"/>
    <cellStyle name="Normal 9 2 3 2 7" xfId="21852" xr:uid="{00000000-0005-0000-0000-00008B990000}"/>
    <cellStyle name="Normal 9 2 3 2 7 2" xfId="45157" xr:uid="{00000000-0005-0000-0000-00008C990000}"/>
    <cellStyle name="Normal 9 2 3 2 8" xfId="38728" xr:uid="{00000000-0005-0000-0000-00008D990000}"/>
    <cellStyle name="Normal 9 2 3 3" xfId="15276" xr:uid="{00000000-0005-0000-0000-00008E990000}"/>
    <cellStyle name="Normal 9 2 3 3 2" xfId="15277" xr:uid="{00000000-0005-0000-0000-00008F990000}"/>
    <cellStyle name="Normal 9 2 3 3 2 2" xfId="15278" xr:uid="{00000000-0005-0000-0000-000090990000}"/>
    <cellStyle name="Normal 9 2 3 3 2 2 2" xfId="15279" xr:uid="{00000000-0005-0000-0000-000091990000}"/>
    <cellStyle name="Normal 9 2 3 3 2 2 2 2" xfId="15280" xr:uid="{00000000-0005-0000-0000-000092990000}"/>
    <cellStyle name="Normal 9 2 3 3 2 2 2 2 2" xfId="38756" xr:uid="{00000000-0005-0000-0000-000093990000}"/>
    <cellStyle name="Normal 9 2 3 3 2 2 2 3" xfId="38755" xr:uid="{00000000-0005-0000-0000-000094990000}"/>
    <cellStyle name="Normal 9 2 3 3 2 2 3" xfId="15281" xr:uid="{00000000-0005-0000-0000-000095990000}"/>
    <cellStyle name="Normal 9 2 3 3 2 2 3 2" xfId="38757" xr:uid="{00000000-0005-0000-0000-000096990000}"/>
    <cellStyle name="Normal 9 2 3 3 2 2 4" xfId="38754" xr:uid="{00000000-0005-0000-0000-000097990000}"/>
    <cellStyle name="Normal 9 2 3 3 2 3" xfId="15282" xr:uid="{00000000-0005-0000-0000-000098990000}"/>
    <cellStyle name="Normal 9 2 3 3 2 3 2" xfId="15283" xr:uid="{00000000-0005-0000-0000-000099990000}"/>
    <cellStyle name="Normal 9 2 3 3 2 3 2 2" xfId="38759" xr:uid="{00000000-0005-0000-0000-00009A990000}"/>
    <cellStyle name="Normal 9 2 3 3 2 3 3" xfId="38758" xr:uid="{00000000-0005-0000-0000-00009B990000}"/>
    <cellStyle name="Normal 9 2 3 3 2 4" xfId="15284" xr:uid="{00000000-0005-0000-0000-00009C990000}"/>
    <cellStyle name="Normal 9 2 3 3 2 4 2" xfId="38760" xr:uid="{00000000-0005-0000-0000-00009D990000}"/>
    <cellStyle name="Normal 9 2 3 3 2 5" xfId="21853" xr:uid="{00000000-0005-0000-0000-00009E990000}"/>
    <cellStyle name="Normal 9 2 3 3 2 5 2" xfId="45158" xr:uid="{00000000-0005-0000-0000-00009F990000}"/>
    <cellStyle name="Normal 9 2 3 3 2 6" xfId="21854" xr:uid="{00000000-0005-0000-0000-0000A0990000}"/>
    <cellStyle name="Normal 9 2 3 3 2 6 2" xfId="45159" xr:uid="{00000000-0005-0000-0000-0000A1990000}"/>
    <cellStyle name="Normal 9 2 3 3 2 7" xfId="38753" xr:uid="{00000000-0005-0000-0000-0000A2990000}"/>
    <cellStyle name="Normal 9 2 3 3 3" xfId="15285" xr:uid="{00000000-0005-0000-0000-0000A3990000}"/>
    <cellStyle name="Normal 9 2 3 3 3 2" xfId="15286" xr:uid="{00000000-0005-0000-0000-0000A4990000}"/>
    <cellStyle name="Normal 9 2 3 3 3 2 2" xfId="15287" xr:uid="{00000000-0005-0000-0000-0000A5990000}"/>
    <cellStyle name="Normal 9 2 3 3 3 2 2 2" xfId="15288" xr:uid="{00000000-0005-0000-0000-0000A6990000}"/>
    <cellStyle name="Normal 9 2 3 3 3 2 2 2 2" xfId="38764" xr:uid="{00000000-0005-0000-0000-0000A7990000}"/>
    <cellStyle name="Normal 9 2 3 3 3 2 2 3" xfId="38763" xr:uid="{00000000-0005-0000-0000-0000A8990000}"/>
    <cellStyle name="Normal 9 2 3 3 3 2 3" xfId="15289" xr:uid="{00000000-0005-0000-0000-0000A9990000}"/>
    <cellStyle name="Normal 9 2 3 3 3 2 3 2" xfId="38765" xr:uid="{00000000-0005-0000-0000-0000AA990000}"/>
    <cellStyle name="Normal 9 2 3 3 3 2 4" xfId="38762" xr:uid="{00000000-0005-0000-0000-0000AB990000}"/>
    <cellStyle name="Normal 9 2 3 3 3 3" xfId="15290" xr:uid="{00000000-0005-0000-0000-0000AC990000}"/>
    <cellStyle name="Normal 9 2 3 3 3 3 2" xfId="15291" xr:uid="{00000000-0005-0000-0000-0000AD990000}"/>
    <cellStyle name="Normal 9 2 3 3 3 3 2 2" xfId="38767" xr:uid="{00000000-0005-0000-0000-0000AE990000}"/>
    <cellStyle name="Normal 9 2 3 3 3 3 3" xfId="38766" xr:uid="{00000000-0005-0000-0000-0000AF990000}"/>
    <cellStyle name="Normal 9 2 3 3 3 4" xfId="15292" xr:uid="{00000000-0005-0000-0000-0000B0990000}"/>
    <cellStyle name="Normal 9 2 3 3 3 4 2" xfId="38768" xr:uid="{00000000-0005-0000-0000-0000B1990000}"/>
    <cellStyle name="Normal 9 2 3 3 3 5" xfId="38761" xr:uid="{00000000-0005-0000-0000-0000B2990000}"/>
    <cellStyle name="Normal 9 2 3 3 4" xfId="15293" xr:uid="{00000000-0005-0000-0000-0000B3990000}"/>
    <cellStyle name="Normal 9 2 3 3 4 2" xfId="15294" xr:uid="{00000000-0005-0000-0000-0000B4990000}"/>
    <cellStyle name="Normal 9 2 3 3 4 2 2" xfId="15295" xr:uid="{00000000-0005-0000-0000-0000B5990000}"/>
    <cellStyle name="Normal 9 2 3 3 4 2 2 2" xfId="38771" xr:uid="{00000000-0005-0000-0000-0000B6990000}"/>
    <cellStyle name="Normal 9 2 3 3 4 2 3" xfId="38770" xr:uid="{00000000-0005-0000-0000-0000B7990000}"/>
    <cellStyle name="Normal 9 2 3 3 4 3" xfId="15296" xr:uid="{00000000-0005-0000-0000-0000B8990000}"/>
    <cellStyle name="Normal 9 2 3 3 4 3 2" xfId="38772" xr:uid="{00000000-0005-0000-0000-0000B9990000}"/>
    <cellStyle name="Normal 9 2 3 3 4 4" xfId="38769" xr:uid="{00000000-0005-0000-0000-0000BA990000}"/>
    <cellStyle name="Normal 9 2 3 3 5" xfId="15297" xr:uid="{00000000-0005-0000-0000-0000BB990000}"/>
    <cellStyle name="Normal 9 2 3 3 5 2" xfId="15298" xr:uid="{00000000-0005-0000-0000-0000BC990000}"/>
    <cellStyle name="Normal 9 2 3 3 5 2 2" xfId="38774" xr:uid="{00000000-0005-0000-0000-0000BD990000}"/>
    <cellStyle name="Normal 9 2 3 3 5 3" xfId="38773" xr:uid="{00000000-0005-0000-0000-0000BE990000}"/>
    <cellStyle name="Normal 9 2 3 3 6" xfId="15299" xr:uid="{00000000-0005-0000-0000-0000BF990000}"/>
    <cellStyle name="Normal 9 2 3 3 6 2" xfId="38775" xr:uid="{00000000-0005-0000-0000-0000C0990000}"/>
    <cellStyle name="Normal 9 2 3 3 7" xfId="21855" xr:uid="{00000000-0005-0000-0000-0000C1990000}"/>
    <cellStyle name="Normal 9 2 3 3 7 2" xfId="45160" xr:uid="{00000000-0005-0000-0000-0000C2990000}"/>
    <cellStyle name="Normal 9 2 3 3 8" xfId="38752" xr:uid="{00000000-0005-0000-0000-0000C3990000}"/>
    <cellStyle name="Normal 9 2 3 4" xfId="15300" xr:uid="{00000000-0005-0000-0000-0000C4990000}"/>
    <cellStyle name="Normal 9 2 3 4 2" xfId="15301" xr:uid="{00000000-0005-0000-0000-0000C5990000}"/>
    <cellStyle name="Normal 9 2 3 4 2 2" xfId="15302" xr:uid="{00000000-0005-0000-0000-0000C6990000}"/>
    <cellStyle name="Normal 9 2 3 4 2 2 2" xfId="15303" xr:uid="{00000000-0005-0000-0000-0000C7990000}"/>
    <cellStyle name="Normal 9 2 3 4 2 2 2 2" xfId="15304" xr:uid="{00000000-0005-0000-0000-0000C8990000}"/>
    <cellStyle name="Normal 9 2 3 4 2 2 2 2 2" xfId="38780" xr:uid="{00000000-0005-0000-0000-0000C9990000}"/>
    <cellStyle name="Normal 9 2 3 4 2 2 2 3" xfId="38779" xr:uid="{00000000-0005-0000-0000-0000CA990000}"/>
    <cellStyle name="Normal 9 2 3 4 2 2 3" xfId="15305" xr:uid="{00000000-0005-0000-0000-0000CB990000}"/>
    <cellStyle name="Normal 9 2 3 4 2 2 3 2" xfId="38781" xr:uid="{00000000-0005-0000-0000-0000CC990000}"/>
    <cellStyle name="Normal 9 2 3 4 2 2 4" xfId="38778" xr:uid="{00000000-0005-0000-0000-0000CD990000}"/>
    <cellStyle name="Normal 9 2 3 4 2 3" xfId="15306" xr:uid="{00000000-0005-0000-0000-0000CE990000}"/>
    <cellStyle name="Normal 9 2 3 4 2 3 2" xfId="15307" xr:uid="{00000000-0005-0000-0000-0000CF990000}"/>
    <cellStyle name="Normal 9 2 3 4 2 3 2 2" xfId="38783" xr:uid="{00000000-0005-0000-0000-0000D0990000}"/>
    <cellStyle name="Normal 9 2 3 4 2 3 3" xfId="38782" xr:uid="{00000000-0005-0000-0000-0000D1990000}"/>
    <cellStyle name="Normal 9 2 3 4 2 4" xfId="15308" xr:uid="{00000000-0005-0000-0000-0000D2990000}"/>
    <cellStyle name="Normal 9 2 3 4 2 4 2" xfId="38784" xr:uid="{00000000-0005-0000-0000-0000D3990000}"/>
    <cellStyle name="Normal 9 2 3 4 2 5" xfId="38777" xr:uid="{00000000-0005-0000-0000-0000D4990000}"/>
    <cellStyle name="Normal 9 2 3 4 3" xfId="15309" xr:uid="{00000000-0005-0000-0000-0000D5990000}"/>
    <cellStyle name="Normal 9 2 3 4 3 2" xfId="15310" xr:uid="{00000000-0005-0000-0000-0000D6990000}"/>
    <cellStyle name="Normal 9 2 3 4 3 2 2" xfId="15311" xr:uid="{00000000-0005-0000-0000-0000D7990000}"/>
    <cellStyle name="Normal 9 2 3 4 3 2 2 2" xfId="15312" xr:uid="{00000000-0005-0000-0000-0000D8990000}"/>
    <cellStyle name="Normal 9 2 3 4 3 2 2 2 2" xfId="38788" xr:uid="{00000000-0005-0000-0000-0000D9990000}"/>
    <cellStyle name="Normal 9 2 3 4 3 2 2 3" xfId="38787" xr:uid="{00000000-0005-0000-0000-0000DA990000}"/>
    <cellStyle name="Normal 9 2 3 4 3 2 3" xfId="15313" xr:uid="{00000000-0005-0000-0000-0000DB990000}"/>
    <cellStyle name="Normal 9 2 3 4 3 2 3 2" xfId="38789" xr:uid="{00000000-0005-0000-0000-0000DC990000}"/>
    <cellStyle name="Normal 9 2 3 4 3 2 4" xfId="38786" xr:uid="{00000000-0005-0000-0000-0000DD990000}"/>
    <cellStyle name="Normal 9 2 3 4 3 3" xfId="15314" xr:uid="{00000000-0005-0000-0000-0000DE990000}"/>
    <cellStyle name="Normal 9 2 3 4 3 3 2" xfId="15315" xr:uid="{00000000-0005-0000-0000-0000DF990000}"/>
    <cellStyle name="Normal 9 2 3 4 3 3 2 2" xfId="38791" xr:uid="{00000000-0005-0000-0000-0000E0990000}"/>
    <cellStyle name="Normal 9 2 3 4 3 3 3" xfId="38790" xr:uid="{00000000-0005-0000-0000-0000E1990000}"/>
    <cellStyle name="Normal 9 2 3 4 3 4" xfId="15316" xr:uid="{00000000-0005-0000-0000-0000E2990000}"/>
    <cellStyle name="Normal 9 2 3 4 3 4 2" xfId="38792" xr:uid="{00000000-0005-0000-0000-0000E3990000}"/>
    <cellStyle name="Normal 9 2 3 4 3 5" xfId="38785" xr:uid="{00000000-0005-0000-0000-0000E4990000}"/>
    <cellStyle name="Normal 9 2 3 4 4" xfId="15317" xr:uid="{00000000-0005-0000-0000-0000E5990000}"/>
    <cellStyle name="Normal 9 2 3 4 4 2" xfId="15318" xr:uid="{00000000-0005-0000-0000-0000E6990000}"/>
    <cellStyle name="Normal 9 2 3 4 4 2 2" xfId="15319" xr:uid="{00000000-0005-0000-0000-0000E7990000}"/>
    <cellStyle name="Normal 9 2 3 4 4 2 2 2" xfId="38795" xr:uid="{00000000-0005-0000-0000-0000E8990000}"/>
    <cellStyle name="Normal 9 2 3 4 4 2 3" xfId="38794" xr:uid="{00000000-0005-0000-0000-0000E9990000}"/>
    <cellStyle name="Normal 9 2 3 4 4 3" xfId="15320" xr:uid="{00000000-0005-0000-0000-0000EA990000}"/>
    <cellStyle name="Normal 9 2 3 4 4 3 2" xfId="38796" xr:uid="{00000000-0005-0000-0000-0000EB990000}"/>
    <cellStyle name="Normal 9 2 3 4 4 4" xfId="38793" xr:uid="{00000000-0005-0000-0000-0000EC990000}"/>
    <cellStyle name="Normal 9 2 3 4 5" xfId="15321" xr:uid="{00000000-0005-0000-0000-0000ED990000}"/>
    <cellStyle name="Normal 9 2 3 4 5 2" xfId="15322" xr:uid="{00000000-0005-0000-0000-0000EE990000}"/>
    <cellStyle name="Normal 9 2 3 4 5 2 2" xfId="38798" xr:uid="{00000000-0005-0000-0000-0000EF990000}"/>
    <cellStyle name="Normal 9 2 3 4 5 3" xfId="38797" xr:uid="{00000000-0005-0000-0000-0000F0990000}"/>
    <cellStyle name="Normal 9 2 3 4 6" xfId="15323" xr:uid="{00000000-0005-0000-0000-0000F1990000}"/>
    <cellStyle name="Normal 9 2 3 4 6 2" xfId="38799" xr:uid="{00000000-0005-0000-0000-0000F2990000}"/>
    <cellStyle name="Normal 9 2 3 4 7" xfId="38776" xr:uid="{00000000-0005-0000-0000-0000F3990000}"/>
    <cellStyle name="Normal 9 2 3 5" xfId="15324" xr:uid="{00000000-0005-0000-0000-0000F4990000}"/>
    <cellStyle name="Normal 9 2 3 5 2" xfId="15325" xr:uid="{00000000-0005-0000-0000-0000F5990000}"/>
    <cellStyle name="Normal 9 2 3 5 2 2" xfId="15326" xr:uid="{00000000-0005-0000-0000-0000F6990000}"/>
    <cellStyle name="Normal 9 2 3 5 2 2 2" xfId="15327" xr:uid="{00000000-0005-0000-0000-0000F7990000}"/>
    <cellStyle name="Normal 9 2 3 5 2 2 2 2" xfId="38803" xr:uid="{00000000-0005-0000-0000-0000F8990000}"/>
    <cellStyle name="Normal 9 2 3 5 2 2 3" xfId="38802" xr:uid="{00000000-0005-0000-0000-0000F9990000}"/>
    <cellStyle name="Normal 9 2 3 5 2 3" xfId="15328" xr:uid="{00000000-0005-0000-0000-0000FA990000}"/>
    <cellStyle name="Normal 9 2 3 5 2 3 2" xfId="38804" xr:uid="{00000000-0005-0000-0000-0000FB990000}"/>
    <cellStyle name="Normal 9 2 3 5 2 4" xfId="38801" xr:uid="{00000000-0005-0000-0000-0000FC990000}"/>
    <cellStyle name="Normal 9 2 3 5 3" xfId="15329" xr:uid="{00000000-0005-0000-0000-0000FD990000}"/>
    <cellStyle name="Normal 9 2 3 5 3 2" xfId="15330" xr:uid="{00000000-0005-0000-0000-0000FE990000}"/>
    <cellStyle name="Normal 9 2 3 5 3 2 2" xfId="38806" xr:uid="{00000000-0005-0000-0000-0000FF990000}"/>
    <cellStyle name="Normal 9 2 3 5 3 3" xfId="38805" xr:uid="{00000000-0005-0000-0000-0000009A0000}"/>
    <cellStyle name="Normal 9 2 3 5 4" xfId="15331" xr:uid="{00000000-0005-0000-0000-0000019A0000}"/>
    <cellStyle name="Normal 9 2 3 5 4 2" xfId="38807" xr:uid="{00000000-0005-0000-0000-0000029A0000}"/>
    <cellStyle name="Normal 9 2 3 5 5" xfId="38800" xr:uid="{00000000-0005-0000-0000-0000039A0000}"/>
    <cellStyle name="Normal 9 2 3 6" xfId="15332" xr:uid="{00000000-0005-0000-0000-0000049A0000}"/>
    <cellStyle name="Normal 9 2 3 6 2" xfId="15333" xr:uid="{00000000-0005-0000-0000-0000059A0000}"/>
    <cellStyle name="Normal 9 2 3 6 2 2" xfId="15334" xr:uid="{00000000-0005-0000-0000-0000069A0000}"/>
    <cellStyle name="Normal 9 2 3 6 2 2 2" xfId="15335" xr:uid="{00000000-0005-0000-0000-0000079A0000}"/>
    <cellStyle name="Normal 9 2 3 6 2 2 2 2" xfId="38811" xr:uid="{00000000-0005-0000-0000-0000089A0000}"/>
    <cellStyle name="Normal 9 2 3 6 2 2 3" xfId="38810" xr:uid="{00000000-0005-0000-0000-0000099A0000}"/>
    <cellStyle name="Normal 9 2 3 6 2 3" xfId="15336" xr:uid="{00000000-0005-0000-0000-00000A9A0000}"/>
    <cellStyle name="Normal 9 2 3 6 2 3 2" xfId="38812" xr:uid="{00000000-0005-0000-0000-00000B9A0000}"/>
    <cellStyle name="Normal 9 2 3 6 2 4" xfId="38809" xr:uid="{00000000-0005-0000-0000-00000C9A0000}"/>
    <cellStyle name="Normal 9 2 3 6 3" xfId="15337" xr:uid="{00000000-0005-0000-0000-00000D9A0000}"/>
    <cellStyle name="Normal 9 2 3 6 3 2" xfId="15338" xr:uid="{00000000-0005-0000-0000-00000E9A0000}"/>
    <cellStyle name="Normal 9 2 3 6 3 2 2" xfId="38814" xr:uid="{00000000-0005-0000-0000-00000F9A0000}"/>
    <cellStyle name="Normal 9 2 3 6 3 3" xfId="38813" xr:uid="{00000000-0005-0000-0000-0000109A0000}"/>
    <cellStyle name="Normal 9 2 3 6 4" xfId="15339" xr:uid="{00000000-0005-0000-0000-0000119A0000}"/>
    <cellStyle name="Normal 9 2 3 6 4 2" xfId="38815" xr:uid="{00000000-0005-0000-0000-0000129A0000}"/>
    <cellStyle name="Normal 9 2 3 6 5" xfId="38808" xr:uid="{00000000-0005-0000-0000-0000139A0000}"/>
    <cellStyle name="Normal 9 2 3 7" xfId="15340" xr:uid="{00000000-0005-0000-0000-0000149A0000}"/>
    <cellStyle name="Normal 9 2 3 7 2" xfId="15341" xr:uid="{00000000-0005-0000-0000-0000159A0000}"/>
    <cellStyle name="Normal 9 2 3 7 2 2" xfId="15342" xr:uid="{00000000-0005-0000-0000-0000169A0000}"/>
    <cellStyle name="Normal 9 2 3 7 2 2 2" xfId="38818" xr:uid="{00000000-0005-0000-0000-0000179A0000}"/>
    <cellStyle name="Normal 9 2 3 7 2 3" xfId="38817" xr:uid="{00000000-0005-0000-0000-0000189A0000}"/>
    <cellStyle name="Normal 9 2 3 7 3" xfId="15343" xr:uid="{00000000-0005-0000-0000-0000199A0000}"/>
    <cellStyle name="Normal 9 2 3 7 3 2" xfId="38819" xr:uid="{00000000-0005-0000-0000-00001A9A0000}"/>
    <cellStyle name="Normal 9 2 3 7 4" xfId="38816" xr:uid="{00000000-0005-0000-0000-00001B9A0000}"/>
    <cellStyle name="Normal 9 2 3 8" xfId="15344" xr:uid="{00000000-0005-0000-0000-00001C9A0000}"/>
    <cellStyle name="Normal 9 2 3 8 2" xfId="15345" xr:uid="{00000000-0005-0000-0000-00001D9A0000}"/>
    <cellStyle name="Normal 9 2 3 8 2 2" xfId="38821" xr:uid="{00000000-0005-0000-0000-00001E9A0000}"/>
    <cellStyle name="Normal 9 2 3 8 3" xfId="38820" xr:uid="{00000000-0005-0000-0000-00001F9A0000}"/>
    <cellStyle name="Normal 9 2 3 9" xfId="15346" xr:uid="{00000000-0005-0000-0000-0000209A0000}"/>
    <cellStyle name="Normal 9 2 3 9 2" xfId="38822" xr:uid="{00000000-0005-0000-0000-0000219A0000}"/>
    <cellStyle name="Normal 9 2 4" xfId="15347" xr:uid="{00000000-0005-0000-0000-0000229A0000}"/>
    <cellStyle name="Normal 9 2 4 10" xfId="38823" xr:uid="{00000000-0005-0000-0000-0000239A0000}"/>
    <cellStyle name="Normal 9 2 4 2" xfId="15348" xr:uid="{00000000-0005-0000-0000-0000249A0000}"/>
    <cellStyle name="Normal 9 2 4 2 2" xfId="15349" xr:uid="{00000000-0005-0000-0000-0000259A0000}"/>
    <cellStyle name="Normal 9 2 4 2 2 2" xfId="15350" xr:uid="{00000000-0005-0000-0000-0000269A0000}"/>
    <cellStyle name="Normal 9 2 4 2 2 2 2" xfId="15351" xr:uid="{00000000-0005-0000-0000-0000279A0000}"/>
    <cellStyle name="Normal 9 2 4 2 2 2 2 2" xfId="15352" xr:uid="{00000000-0005-0000-0000-0000289A0000}"/>
    <cellStyle name="Normal 9 2 4 2 2 2 2 2 2" xfId="38828" xr:uid="{00000000-0005-0000-0000-0000299A0000}"/>
    <cellStyle name="Normal 9 2 4 2 2 2 2 3" xfId="38827" xr:uid="{00000000-0005-0000-0000-00002A9A0000}"/>
    <cellStyle name="Normal 9 2 4 2 2 2 3" xfId="15353" xr:uid="{00000000-0005-0000-0000-00002B9A0000}"/>
    <cellStyle name="Normal 9 2 4 2 2 2 3 2" xfId="38829" xr:uid="{00000000-0005-0000-0000-00002C9A0000}"/>
    <cellStyle name="Normal 9 2 4 2 2 2 4" xfId="38826" xr:uid="{00000000-0005-0000-0000-00002D9A0000}"/>
    <cellStyle name="Normal 9 2 4 2 2 3" xfId="15354" xr:uid="{00000000-0005-0000-0000-00002E9A0000}"/>
    <cellStyle name="Normal 9 2 4 2 2 3 2" xfId="15355" xr:uid="{00000000-0005-0000-0000-00002F9A0000}"/>
    <cellStyle name="Normal 9 2 4 2 2 3 2 2" xfId="38831" xr:uid="{00000000-0005-0000-0000-0000309A0000}"/>
    <cellStyle name="Normal 9 2 4 2 2 3 3" xfId="38830" xr:uid="{00000000-0005-0000-0000-0000319A0000}"/>
    <cellStyle name="Normal 9 2 4 2 2 4" xfId="15356" xr:uid="{00000000-0005-0000-0000-0000329A0000}"/>
    <cellStyle name="Normal 9 2 4 2 2 4 2" xfId="38832" xr:uid="{00000000-0005-0000-0000-0000339A0000}"/>
    <cellStyle name="Normal 9 2 4 2 2 5" xfId="38825" xr:uid="{00000000-0005-0000-0000-0000349A0000}"/>
    <cellStyle name="Normal 9 2 4 2 3" xfId="15357" xr:uid="{00000000-0005-0000-0000-0000359A0000}"/>
    <cellStyle name="Normal 9 2 4 2 3 2" xfId="15358" xr:uid="{00000000-0005-0000-0000-0000369A0000}"/>
    <cellStyle name="Normal 9 2 4 2 3 2 2" xfId="15359" xr:uid="{00000000-0005-0000-0000-0000379A0000}"/>
    <cellStyle name="Normal 9 2 4 2 3 2 2 2" xfId="15360" xr:uid="{00000000-0005-0000-0000-0000389A0000}"/>
    <cellStyle name="Normal 9 2 4 2 3 2 2 2 2" xfId="38836" xr:uid="{00000000-0005-0000-0000-0000399A0000}"/>
    <cellStyle name="Normal 9 2 4 2 3 2 2 3" xfId="38835" xr:uid="{00000000-0005-0000-0000-00003A9A0000}"/>
    <cellStyle name="Normal 9 2 4 2 3 2 3" xfId="15361" xr:uid="{00000000-0005-0000-0000-00003B9A0000}"/>
    <cellStyle name="Normal 9 2 4 2 3 2 3 2" xfId="38837" xr:uid="{00000000-0005-0000-0000-00003C9A0000}"/>
    <cellStyle name="Normal 9 2 4 2 3 2 4" xfId="38834" xr:uid="{00000000-0005-0000-0000-00003D9A0000}"/>
    <cellStyle name="Normal 9 2 4 2 3 3" xfId="15362" xr:uid="{00000000-0005-0000-0000-00003E9A0000}"/>
    <cellStyle name="Normal 9 2 4 2 3 3 2" xfId="15363" xr:uid="{00000000-0005-0000-0000-00003F9A0000}"/>
    <cellStyle name="Normal 9 2 4 2 3 3 2 2" xfId="38839" xr:uid="{00000000-0005-0000-0000-0000409A0000}"/>
    <cellStyle name="Normal 9 2 4 2 3 3 3" xfId="38838" xr:uid="{00000000-0005-0000-0000-0000419A0000}"/>
    <cellStyle name="Normal 9 2 4 2 3 4" xfId="15364" xr:uid="{00000000-0005-0000-0000-0000429A0000}"/>
    <cellStyle name="Normal 9 2 4 2 3 4 2" xfId="38840" xr:uid="{00000000-0005-0000-0000-0000439A0000}"/>
    <cellStyle name="Normal 9 2 4 2 3 5" xfId="38833" xr:uid="{00000000-0005-0000-0000-0000449A0000}"/>
    <cellStyle name="Normal 9 2 4 2 4" xfId="15365" xr:uid="{00000000-0005-0000-0000-0000459A0000}"/>
    <cellStyle name="Normal 9 2 4 2 4 2" xfId="15366" xr:uid="{00000000-0005-0000-0000-0000469A0000}"/>
    <cellStyle name="Normal 9 2 4 2 4 2 2" xfId="15367" xr:uid="{00000000-0005-0000-0000-0000479A0000}"/>
    <cellStyle name="Normal 9 2 4 2 4 2 2 2" xfId="38843" xr:uid="{00000000-0005-0000-0000-0000489A0000}"/>
    <cellStyle name="Normal 9 2 4 2 4 2 3" xfId="38842" xr:uid="{00000000-0005-0000-0000-0000499A0000}"/>
    <cellStyle name="Normal 9 2 4 2 4 3" xfId="15368" xr:uid="{00000000-0005-0000-0000-00004A9A0000}"/>
    <cellStyle name="Normal 9 2 4 2 4 3 2" xfId="38844" xr:uid="{00000000-0005-0000-0000-00004B9A0000}"/>
    <cellStyle name="Normal 9 2 4 2 4 4" xfId="38841" xr:uid="{00000000-0005-0000-0000-00004C9A0000}"/>
    <cellStyle name="Normal 9 2 4 2 5" xfId="15369" xr:uid="{00000000-0005-0000-0000-00004D9A0000}"/>
    <cellStyle name="Normal 9 2 4 2 5 2" xfId="15370" xr:uid="{00000000-0005-0000-0000-00004E9A0000}"/>
    <cellStyle name="Normal 9 2 4 2 5 2 2" xfId="38846" xr:uid="{00000000-0005-0000-0000-00004F9A0000}"/>
    <cellStyle name="Normal 9 2 4 2 5 3" xfId="38845" xr:uid="{00000000-0005-0000-0000-0000509A0000}"/>
    <cellStyle name="Normal 9 2 4 2 6" xfId="15371" xr:uid="{00000000-0005-0000-0000-0000519A0000}"/>
    <cellStyle name="Normal 9 2 4 2 6 2" xfId="38847" xr:uid="{00000000-0005-0000-0000-0000529A0000}"/>
    <cellStyle name="Normal 9 2 4 2 7" xfId="38824" xr:uid="{00000000-0005-0000-0000-0000539A0000}"/>
    <cellStyle name="Normal 9 2 4 3" xfId="15372" xr:uid="{00000000-0005-0000-0000-0000549A0000}"/>
    <cellStyle name="Normal 9 2 4 3 2" xfId="15373" xr:uid="{00000000-0005-0000-0000-0000559A0000}"/>
    <cellStyle name="Normal 9 2 4 3 2 2" xfId="15374" xr:uid="{00000000-0005-0000-0000-0000569A0000}"/>
    <cellStyle name="Normal 9 2 4 3 2 2 2" xfId="15375" xr:uid="{00000000-0005-0000-0000-0000579A0000}"/>
    <cellStyle name="Normal 9 2 4 3 2 2 2 2" xfId="15376" xr:uid="{00000000-0005-0000-0000-0000589A0000}"/>
    <cellStyle name="Normal 9 2 4 3 2 2 2 2 2" xfId="38852" xr:uid="{00000000-0005-0000-0000-0000599A0000}"/>
    <cellStyle name="Normal 9 2 4 3 2 2 2 3" xfId="38851" xr:uid="{00000000-0005-0000-0000-00005A9A0000}"/>
    <cellStyle name="Normal 9 2 4 3 2 2 3" xfId="15377" xr:uid="{00000000-0005-0000-0000-00005B9A0000}"/>
    <cellStyle name="Normal 9 2 4 3 2 2 3 2" xfId="38853" xr:uid="{00000000-0005-0000-0000-00005C9A0000}"/>
    <cellStyle name="Normal 9 2 4 3 2 2 4" xfId="38850" xr:uid="{00000000-0005-0000-0000-00005D9A0000}"/>
    <cellStyle name="Normal 9 2 4 3 2 3" xfId="15378" xr:uid="{00000000-0005-0000-0000-00005E9A0000}"/>
    <cellStyle name="Normal 9 2 4 3 2 3 2" xfId="15379" xr:uid="{00000000-0005-0000-0000-00005F9A0000}"/>
    <cellStyle name="Normal 9 2 4 3 2 3 2 2" xfId="38855" xr:uid="{00000000-0005-0000-0000-0000609A0000}"/>
    <cellStyle name="Normal 9 2 4 3 2 3 3" xfId="38854" xr:uid="{00000000-0005-0000-0000-0000619A0000}"/>
    <cellStyle name="Normal 9 2 4 3 2 4" xfId="15380" xr:uid="{00000000-0005-0000-0000-0000629A0000}"/>
    <cellStyle name="Normal 9 2 4 3 2 4 2" xfId="38856" xr:uid="{00000000-0005-0000-0000-0000639A0000}"/>
    <cellStyle name="Normal 9 2 4 3 2 5" xfId="38849" xr:uid="{00000000-0005-0000-0000-0000649A0000}"/>
    <cellStyle name="Normal 9 2 4 3 3" xfId="15381" xr:uid="{00000000-0005-0000-0000-0000659A0000}"/>
    <cellStyle name="Normal 9 2 4 3 3 2" xfId="15382" xr:uid="{00000000-0005-0000-0000-0000669A0000}"/>
    <cellStyle name="Normal 9 2 4 3 3 2 2" xfId="15383" xr:uid="{00000000-0005-0000-0000-0000679A0000}"/>
    <cellStyle name="Normal 9 2 4 3 3 2 2 2" xfId="15384" xr:uid="{00000000-0005-0000-0000-0000689A0000}"/>
    <cellStyle name="Normal 9 2 4 3 3 2 2 2 2" xfId="38860" xr:uid="{00000000-0005-0000-0000-0000699A0000}"/>
    <cellStyle name="Normal 9 2 4 3 3 2 2 3" xfId="38859" xr:uid="{00000000-0005-0000-0000-00006A9A0000}"/>
    <cellStyle name="Normal 9 2 4 3 3 2 3" xfId="15385" xr:uid="{00000000-0005-0000-0000-00006B9A0000}"/>
    <cellStyle name="Normal 9 2 4 3 3 2 3 2" xfId="38861" xr:uid="{00000000-0005-0000-0000-00006C9A0000}"/>
    <cellStyle name="Normal 9 2 4 3 3 2 4" xfId="38858" xr:uid="{00000000-0005-0000-0000-00006D9A0000}"/>
    <cellStyle name="Normal 9 2 4 3 3 3" xfId="15386" xr:uid="{00000000-0005-0000-0000-00006E9A0000}"/>
    <cellStyle name="Normal 9 2 4 3 3 3 2" xfId="15387" xr:uid="{00000000-0005-0000-0000-00006F9A0000}"/>
    <cellStyle name="Normal 9 2 4 3 3 3 2 2" xfId="38863" xr:uid="{00000000-0005-0000-0000-0000709A0000}"/>
    <cellStyle name="Normal 9 2 4 3 3 3 3" xfId="38862" xr:uid="{00000000-0005-0000-0000-0000719A0000}"/>
    <cellStyle name="Normal 9 2 4 3 3 4" xfId="15388" xr:uid="{00000000-0005-0000-0000-0000729A0000}"/>
    <cellStyle name="Normal 9 2 4 3 3 4 2" xfId="38864" xr:uid="{00000000-0005-0000-0000-0000739A0000}"/>
    <cellStyle name="Normal 9 2 4 3 3 5" xfId="38857" xr:uid="{00000000-0005-0000-0000-0000749A0000}"/>
    <cellStyle name="Normal 9 2 4 3 4" xfId="15389" xr:uid="{00000000-0005-0000-0000-0000759A0000}"/>
    <cellStyle name="Normal 9 2 4 3 4 2" xfId="15390" xr:uid="{00000000-0005-0000-0000-0000769A0000}"/>
    <cellStyle name="Normal 9 2 4 3 4 2 2" xfId="15391" xr:uid="{00000000-0005-0000-0000-0000779A0000}"/>
    <cellStyle name="Normal 9 2 4 3 4 2 2 2" xfId="38867" xr:uid="{00000000-0005-0000-0000-0000789A0000}"/>
    <cellStyle name="Normal 9 2 4 3 4 2 3" xfId="38866" xr:uid="{00000000-0005-0000-0000-0000799A0000}"/>
    <cellStyle name="Normal 9 2 4 3 4 3" xfId="15392" xr:uid="{00000000-0005-0000-0000-00007A9A0000}"/>
    <cellStyle name="Normal 9 2 4 3 4 3 2" xfId="38868" xr:uid="{00000000-0005-0000-0000-00007B9A0000}"/>
    <cellStyle name="Normal 9 2 4 3 4 4" xfId="38865" xr:uid="{00000000-0005-0000-0000-00007C9A0000}"/>
    <cellStyle name="Normal 9 2 4 3 5" xfId="15393" xr:uid="{00000000-0005-0000-0000-00007D9A0000}"/>
    <cellStyle name="Normal 9 2 4 3 5 2" xfId="15394" xr:uid="{00000000-0005-0000-0000-00007E9A0000}"/>
    <cellStyle name="Normal 9 2 4 3 5 2 2" xfId="38870" xr:uid="{00000000-0005-0000-0000-00007F9A0000}"/>
    <cellStyle name="Normal 9 2 4 3 5 3" xfId="38869" xr:uid="{00000000-0005-0000-0000-0000809A0000}"/>
    <cellStyle name="Normal 9 2 4 3 6" xfId="15395" xr:uid="{00000000-0005-0000-0000-0000819A0000}"/>
    <cellStyle name="Normal 9 2 4 3 6 2" xfId="38871" xr:uid="{00000000-0005-0000-0000-0000829A0000}"/>
    <cellStyle name="Normal 9 2 4 3 7" xfId="38848" xr:uid="{00000000-0005-0000-0000-0000839A0000}"/>
    <cellStyle name="Normal 9 2 4 4" xfId="15396" xr:uid="{00000000-0005-0000-0000-0000849A0000}"/>
    <cellStyle name="Normal 9 2 4 4 2" xfId="15397" xr:uid="{00000000-0005-0000-0000-0000859A0000}"/>
    <cellStyle name="Normal 9 2 4 4 2 2" xfId="15398" xr:uid="{00000000-0005-0000-0000-0000869A0000}"/>
    <cellStyle name="Normal 9 2 4 4 2 2 2" xfId="15399" xr:uid="{00000000-0005-0000-0000-0000879A0000}"/>
    <cellStyle name="Normal 9 2 4 4 2 2 2 2" xfId="15400" xr:uid="{00000000-0005-0000-0000-0000889A0000}"/>
    <cellStyle name="Normal 9 2 4 4 2 2 2 2 2" xfId="38876" xr:uid="{00000000-0005-0000-0000-0000899A0000}"/>
    <cellStyle name="Normal 9 2 4 4 2 2 2 3" xfId="38875" xr:uid="{00000000-0005-0000-0000-00008A9A0000}"/>
    <cellStyle name="Normal 9 2 4 4 2 2 3" xfId="15401" xr:uid="{00000000-0005-0000-0000-00008B9A0000}"/>
    <cellStyle name="Normal 9 2 4 4 2 2 3 2" xfId="38877" xr:uid="{00000000-0005-0000-0000-00008C9A0000}"/>
    <cellStyle name="Normal 9 2 4 4 2 2 4" xfId="38874" xr:uid="{00000000-0005-0000-0000-00008D9A0000}"/>
    <cellStyle name="Normal 9 2 4 4 2 3" xfId="15402" xr:uid="{00000000-0005-0000-0000-00008E9A0000}"/>
    <cellStyle name="Normal 9 2 4 4 2 3 2" xfId="15403" xr:uid="{00000000-0005-0000-0000-00008F9A0000}"/>
    <cellStyle name="Normal 9 2 4 4 2 3 2 2" xfId="38879" xr:uid="{00000000-0005-0000-0000-0000909A0000}"/>
    <cellStyle name="Normal 9 2 4 4 2 3 3" xfId="38878" xr:uid="{00000000-0005-0000-0000-0000919A0000}"/>
    <cellStyle name="Normal 9 2 4 4 2 4" xfId="15404" xr:uid="{00000000-0005-0000-0000-0000929A0000}"/>
    <cellStyle name="Normal 9 2 4 4 2 4 2" xfId="38880" xr:uid="{00000000-0005-0000-0000-0000939A0000}"/>
    <cellStyle name="Normal 9 2 4 4 2 5" xfId="38873" xr:uid="{00000000-0005-0000-0000-0000949A0000}"/>
    <cellStyle name="Normal 9 2 4 4 3" xfId="15405" xr:uid="{00000000-0005-0000-0000-0000959A0000}"/>
    <cellStyle name="Normal 9 2 4 4 3 2" xfId="15406" xr:uid="{00000000-0005-0000-0000-0000969A0000}"/>
    <cellStyle name="Normal 9 2 4 4 3 2 2" xfId="15407" xr:uid="{00000000-0005-0000-0000-0000979A0000}"/>
    <cellStyle name="Normal 9 2 4 4 3 2 2 2" xfId="15408" xr:uid="{00000000-0005-0000-0000-0000989A0000}"/>
    <cellStyle name="Normal 9 2 4 4 3 2 2 2 2" xfId="38884" xr:uid="{00000000-0005-0000-0000-0000999A0000}"/>
    <cellStyle name="Normal 9 2 4 4 3 2 2 3" xfId="38883" xr:uid="{00000000-0005-0000-0000-00009A9A0000}"/>
    <cellStyle name="Normal 9 2 4 4 3 2 3" xfId="15409" xr:uid="{00000000-0005-0000-0000-00009B9A0000}"/>
    <cellStyle name="Normal 9 2 4 4 3 2 3 2" xfId="38885" xr:uid="{00000000-0005-0000-0000-00009C9A0000}"/>
    <cellStyle name="Normal 9 2 4 4 3 2 4" xfId="38882" xr:uid="{00000000-0005-0000-0000-00009D9A0000}"/>
    <cellStyle name="Normal 9 2 4 4 3 3" xfId="15410" xr:uid="{00000000-0005-0000-0000-00009E9A0000}"/>
    <cellStyle name="Normal 9 2 4 4 3 3 2" xfId="15411" xr:uid="{00000000-0005-0000-0000-00009F9A0000}"/>
    <cellStyle name="Normal 9 2 4 4 3 3 2 2" xfId="38887" xr:uid="{00000000-0005-0000-0000-0000A09A0000}"/>
    <cellStyle name="Normal 9 2 4 4 3 3 3" xfId="38886" xr:uid="{00000000-0005-0000-0000-0000A19A0000}"/>
    <cellStyle name="Normal 9 2 4 4 3 4" xfId="15412" xr:uid="{00000000-0005-0000-0000-0000A29A0000}"/>
    <cellStyle name="Normal 9 2 4 4 3 4 2" xfId="38888" xr:uid="{00000000-0005-0000-0000-0000A39A0000}"/>
    <cellStyle name="Normal 9 2 4 4 3 5" xfId="38881" xr:uid="{00000000-0005-0000-0000-0000A49A0000}"/>
    <cellStyle name="Normal 9 2 4 4 4" xfId="15413" xr:uid="{00000000-0005-0000-0000-0000A59A0000}"/>
    <cellStyle name="Normal 9 2 4 4 4 2" xfId="15414" xr:uid="{00000000-0005-0000-0000-0000A69A0000}"/>
    <cellStyle name="Normal 9 2 4 4 4 2 2" xfId="15415" xr:uid="{00000000-0005-0000-0000-0000A79A0000}"/>
    <cellStyle name="Normal 9 2 4 4 4 2 2 2" xfId="38891" xr:uid="{00000000-0005-0000-0000-0000A89A0000}"/>
    <cellStyle name="Normal 9 2 4 4 4 2 3" xfId="38890" xr:uid="{00000000-0005-0000-0000-0000A99A0000}"/>
    <cellStyle name="Normal 9 2 4 4 4 3" xfId="15416" xr:uid="{00000000-0005-0000-0000-0000AA9A0000}"/>
    <cellStyle name="Normal 9 2 4 4 4 3 2" xfId="38892" xr:uid="{00000000-0005-0000-0000-0000AB9A0000}"/>
    <cellStyle name="Normal 9 2 4 4 4 4" xfId="38889" xr:uid="{00000000-0005-0000-0000-0000AC9A0000}"/>
    <cellStyle name="Normal 9 2 4 4 5" xfId="15417" xr:uid="{00000000-0005-0000-0000-0000AD9A0000}"/>
    <cellStyle name="Normal 9 2 4 4 5 2" xfId="15418" xr:uid="{00000000-0005-0000-0000-0000AE9A0000}"/>
    <cellStyle name="Normal 9 2 4 4 5 2 2" xfId="38894" xr:uid="{00000000-0005-0000-0000-0000AF9A0000}"/>
    <cellStyle name="Normal 9 2 4 4 5 3" xfId="38893" xr:uid="{00000000-0005-0000-0000-0000B09A0000}"/>
    <cellStyle name="Normal 9 2 4 4 6" xfId="15419" xr:uid="{00000000-0005-0000-0000-0000B19A0000}"/>
    <cellStyle name="Normal 9 2 4 4 6 2" xfId="38895" xr:uid="{00000000-0005-0000-0000-0000B29A0000}"/>
    <cellStyle name="Normal 9 2 4 4 7" xfId="38872" xr:uid="{00000000-0005-0000-0000-0000B39A0000}"/>
    <cellStyle name="Normal 9 2 4 5" xfId="15420" xr:uid="{00000000-0005-0000-0000-0000B49A0000}"/>
    <cellStyle name="Normal 9 2 4 5 2" xfId="15421" xr:uid="{00000000-0005-0000-0000-0000B59A0000}"/>
    <cellStyle name="Normal 9 2 4 5 2 2" xfId="15422" xr:uid="{00000000-0005-0000-0000-0000B69A0000}"/>
    <cellStyle name="Normal 9 2 4 5 2 2 2" xfId="15423" xr:uid="{00000000-0005-0000-0000-0000B79A0000}"/>
    <cellStyle name="Normal 9 2 4 5 2 2 2 2" xfId="38899" xr:uid="{00000000-0005-0000-0000-0000B89A0000}"/>
    <cellStyle name="Normal 9 2 4 5 2 2 3" xfId="38898" xr:uid="{00000000-0005-0000-0000-0000B99A0000}"/>
    <cellStyle name="Normal 9 2 4 5 2 3" xfId="15424" xr:uid="{00000000-0005-0000-0000-0000BA9A0000}"/>
    <cellStyle name="Normal 9 2 4 5 2 3 2" xfId="38900" xr:uid="{00000000-0005-0000-0000-0000BB9A0000}"/>
    <cellStyle name="Normal 9 2 4 5 2 4" xfId="38897" xr:uid="{00000000-0005-0000-0000-0000BC9A0000}"/>
    <cellStyle name="Normal 9 2 4 5 3" xfId="15425" xr:uid="{00000000-0005-0000-0000-0000BD9A0000}"/>
    <cellStyle name="Normal 9 2 4 5 3 2" xfId="15426" xr:uid="{00000000-0005-0000-0000-0000BE9A0000}"/>
    <cellStyle name="Normal 9 2 4 5 3 2 2" xfId="38902" xr:uid="{00000000-0005-0000-0000-0000BF9A0000}"/>
    <cellStyle name="Normal 9 2 4 5 3 3" xfId="38901" xr:uid="{00000000-0005-0000-0000-0000C09A0000}"/>
    <cellStyle name="Normal 9 2 4 5 4" xfId="15427" xr:uid="{00000000-0005-0000-0000-0000C19A0000}"/>
    <cellStyle name="Normal 9 2 4 5 4 2" xfId="38903" xr:uid="{00000000-0005-0000-0000-0000C29A0000}"/>
    <cellStyle name="Normal 9 2 4 5 5" xfId="38896" xr:uid="{00000000-0005-0000-0000-0000C39A0000}"/>
    <cellStyle name="Normal 9 2 4 6" xfId="15428" xr:uid="{00000000-0005-0000-0000-0000C49A0000}"/>
    <cellStyle name="Normal 9 2 4 6 2" xfId="15429" xr:uid="{00000000-0005-0000-0000-0000C59A0000}"/>
    <cellStyle name="Normal 9 2 4 6 2 2" xfId="15430" xr:uid="{00000000-0005-0000-0000-0000C69A0000}"/>
    <cellStyle name="Normal 9 2 4 6 2 2 2" xfId="15431" xr:uid="{00000000-0005-0000-0000-0000C79A0000}"/>
    <cellStyle name="Normal 9 2 4 6 2 2 2 2" xfId="38907" xr:uid="{00000000-0005-0000-0000-0000C89A0000}"/>
    <cellStyle name="Normal 9 2 4 6 2 2 3" xfId="38906" xr:uid="{00000000-0005-0000-0000-0000C99A0000}"/>
    <cellStyle name="Normal 9 2 4 6 2 3" xfId="15432" xr:uid="{00000000-0005-0000-0000-0000CA9A0000}"/>
    <cellStyle name="Normal 9 2 4 6 2 3 2" xfId="38908" xr:uid="{00000000-0005-0000-0000-0000CB9A0000}"/>
    <cellStyle name="Normal 9 2 4 6 2 4" xfId="38905" xr:uid="{00000000-0005-0000-0000-0000CC9A0000}"/>
    <cellStyle name="Normal 9 2 4 6 3" xfId="15433" xr:uid="{00000000-0005-0000-0000-0000CD9A0000}"/>
    <cellStyle name="Normal 9 2 4 6 3 2" xfId="15434" xr:uid="{00000000-0005-0000-0000-0000CE9A0000}"/>
    <cellStyle name="Normal 9 2 4 6 3 2 2" xfId="38910" xr:uid="{00000000-0005-0000-0000-0000CF9A0000}"/>
    <cellStyle name="Normal 9 2 4 6 3 3" xfId="38909" xr:uid="{00000000-0005-0000-0000-0000D09A0000}"/>
    <cellStyle name="Normal 9 2 4 6 4" xfId="15435" xr:uid="{00000000-0005-0000-0000-0000D19A0000}"/>
    <cellStyle name="Normal 9 2 4 6 4 2" xfId="38911" xr:uid="{00000000-0005-0000-0000-0000D29A0000}"/>
    <cellStyle name="Normal 9 2 4 6 5" xfId="38904" xr:uid="{00000000-0005-0000-0000-0000D39A0000}"/>
    <cellStyle name="Normal 9 2 4 7" xfId="15436" xr:uid="{00000000-0005-0000-0000-0000D49A0000}"/>
    <cellStyle name="Normal 9 2 4 7 2" xfId="15437" xr:uid="{00000000-0005-0000-0000-0000D59A0000}"/>
    <cellStyle name="Normal 9 2 4 7 2 2" xfId="15438" xr:uid="{00000000-0005-0000-0000-0000D69A0000}"/>
    <cellStyle name="Normal 9 2 4 7 2 2 2" xfId="38914" xr:uid="{00000000-0005-0000-0000-0000D79A0000}"/>
    <cellStyle name="Normal 9 2 4 7 2 3" xfId="38913" xr:uid="{00000000-0005-0000-0000-0000D89A0000}"/>
    <cellStyle name="Normal 9 2 4 7 3" xfId="15439" xr:uid="{00000000-0005-0000-0000-0000D99A0000}"/>
    <cellStyle name="Normal 9 2 4 7 3 2" xfId="38915" xr:uid="{00000000-0005-0000-0000-0000DA9A0000}"/>
    <cellStyle name="Normal 9 2 4 7 4" xfId="38912" xr:uid="{00000000-0005-0000-0000-0000DB9A0000}"/>
    <cellStyle name="Normal 9 2 4 8" xfId="15440" xr:uid="{00000000-0005-0000-0000-0000DC9A0000}"/>
    <cellStyle name="Normal 9 2 4 8 2" xfId="15441" xr:uid="{00000000-0005-0000-0000-0000DD9A0000}"/>
    <cellStyle name="Normal 9 2 4 8 2 2" xfId="38917" xr:uid="{00000000-0005-0000-0000-0000DE9A0000}"/>
    <cellStyle name="Normal 9 2 4 8 3" xfId="38916" xr:uid="{00000000-0005-0000-0000-0000DF9A0000}"/>
    <cellStyle name="Normal 9 2 4 9" xfId="15442" xr:uid="{00000000-0005-0000-0000-0000E09A0000}"/>
    <cellStyle name="Normal 9 2 4 9 2" xfId="38918" xr:uid="{00000000-0005-0000-0000-0000E19A0000}"/>
    <cellStyle name="Normal 9 2 5" xfId="15443" xr:uid="{00000000-0005-0000-0000-0000E29A0000}"/>
    <cellStyle name="Normal 9 2 5 2" xfId="15444" xr:uid="{00000000-0005-0000-0000-0000E39A0000}"/>
    <cellStyle name="Normal 9 2 5 2 2" xfId="15445" xr:uid="{00000000-0005-0000-0000-0000E49A0000}"/>
    <cellStyle name="Normal 9 2 5 2 2 2" xfId="15446" xr:uid="{00000000-0005-0000-0000-0000E59A0000}"/>
    <cellStyle name="Normal 9 2 5 2 2 2 2" xfId="15447" xr:uid="{00000000-0005-0000-0000-0000E69A0000}"/>
    <cellStyle name="Normal 9 2 5 2 2 2 2 2" xfId="38923" xr:uid="{00000000-0005-0000-0000-0000E79A0000}"/>
    <cellStyle name="Normal 9 2 5 2 2 2 3" xfId="38922" xr:uid="{00000000-0005-0000-0000-0000E89A0000}"/>
    <cellStyle name="Normal 9 2 5 2 2 3" xfId="15448" xr:uid="{00000000-0005-0000-0000-0000E99A0000}"/>
    <cellStyle name="Normal 9 2 5 2 2 3 2" xfId="38924" xr:uid="{00000000-0005-0000-0000-0000EA9A0000}"/>
    <cellStyle name="Normal 9 2 5 2 2 4" xfId="38921" xr:uid="{00000000-0005-0000-0000-0000EB9A0000}"/>
    <cellStyle name="Normal 9 2 5 2 3" xfId="15449" xr:uid="{00000000-0005-0000-0000-0000EC9A0000}"/>
    <cellStyle name="Normal 9 2 5 2 3 2" xfId="15450" xr:uid="{00000000-0005-0000-0000-0000ED9A0000}"/>
    <cellStyle name="Normal 9 2 5 2 3 2 2" xfId="38926" xr:uid="{00000000-0005-0000-0000-0000EE9A0000}"/>
    <cellStyle name="Normal 9 2 5 2 3 3" xfId="38925" xr:uid="{00000000-0005-0000-0000-0000EF9A0000}"/>
    <cellStyle name="Normal 9 2 5 2 4" xfId="15451" xr:uid="{00000000-0005-0000-0000-0000F09A0000}"/>
    <cellStyle name="Normal 9 2 5 2 4 2" xfId="38927" xr:uid="{00000000-0005-0000-0000-0000F19A0000}"/>
    <cellStyle name="Normal 9 2 5 2 5" xfId="21856" xr:uid="{00000000-0005-0000-0000-0000F29A0000}"/>
    <cellStyle name="Normal 9 2 5 2 5 2" xfId="45161" xr:uid="{00000000-0005-0000-0000-0000F39A0000}"/>
    <cellStyle name="Normal 9 2 5 2 6" xfId="21857" xr:uid="{00000000-0005-0000-0000-0000F49A0000}"/>
    <cellStyle name="Normal 9 2 5 2 6 2" xfId="45162" xr:uid="{00000000-0005-0000-0000-0000F59A0000}"/>
    <cellStyle name="Normal 9 2 5 2 7" xfId="38920" xr:uid="{00000000-0005-0000-0000-0000F69A0000}"/>
    <cellStyle name="Normal 9 2 5 3" xfId="15452" xr:uid="{00000000-0005-0000-0000-0000F79A0000}"/>
    <cellStyle name="Normal 9 2 5 3 2" xfId="15453" xr:uid="{00000000-0005-0000-0000-0000F89A0000}"/>
    <cellStyle name="Normal 9 2 5 3 2 2" xfId="15454" xr:uid="{00000000-0005-0000-0000-0000F99A0000}"/>
    <cellStyle name="Normal 9 2 5 3 2 2 2" xfId="15455" xr:uid="{00000000-0005-0000-0000-0000FA9A0000}"/>
    <cellStyle name="Normal 9 2 5 3 2 2 2 2" xfId="38931" xr:uid="{00000000-0005-0000-0000-0000FB9A0000}"/>
    <cellStyle name="Normal 9 2 5 3 2 2 3" xfId="38930" xr:uid="{00000000-0005-0000-0000-0000FC9A0000}"/>
    <cellStyle name="Normal 9 2 5 3 2 3" xfId="15456" xr:uid="{00000000-0005-0000-0000-0000FD9A0000}"/>
    <cellStyle name="Normal 9 2 5 3 2 3 2" xfId="38932" xr:uid="{00000000-0005-0000-0000-0000FE9A0000}"/>
    <cellStyle name="Normal 9 2 5 3 2 4" xfId="38929" xr:uid="{00000000-0005-0000-0000-0000FF9A0000}"/>
    <cellStyle name="Normal 9 2 5 3 3" xfId="15457" xr:uid="{00000000-0005-0000-0000-0000009B0000}"/>
    <cellStyle name="Normal 9 2 5 3 3 2" xfId="15458" xr:uid="{00000000-0005-0000-0000-0000019B0000}"/>
    <cellStyle name="Normal 9 2 5 3 3 2 2" xfId="38934" xr:uid="{00000000-0005-0000-0000-0000029B0000}"/>
    <cellStyle name="Normal 9 2 5 3 3 3" xfId="38933" xr:uid="{00000000-0005-0000-0000-0000039B0000}"/>
    <cellStyle name="Normal 9 2 5 3 4" xfId="15459" xr:uid="{00000000-0005-0000-0000-0000049B0000}"/>
    <cellStyle name="Normal 9 2 5 3 4 2" xfId="38935" xr:uid="{00000000-0005-0000-0000-0000059B0000}"/>
    <cellStyle name="Normal 9 2 5 3 5" xfId="38928" xr:uid="{00000000-0005-0000-0000-0000069B0000}"/>
    <cellStyle name="Normal 9 2 5 4" xfId="15460" xr:uid="{00000000-0005-0000-0000-0000079B0000}"/>
    <cellStyle name="Normal 9 2 5 4 2" xfId="15461" xr:uid="{00000000-0005-0000-0000-0000089B0000}"/>
    <cellStyle name="Normal 9 2 5 4 2 2" xfId="15462" xr:uid="{00000000-0005-0000-0000-0000099B0000}"/>
    <cellStyle name="Normal 9 2 5 4 2 2 2" xfId="38938" xr:uid="{00000000-0005-0000-0000-00000A9B0000}"/>
    <cellStyle name="Normal 9 2 5 4 2 3" xfId="38937" xr:uid="{00000000-0005-0000-0000-00000B9B0000}"/>
    <cellStyle name="Normal 9 2 5 4 3" xfId="15463" xr:uid="{00000000-0005-0000-0000-00000C9B0000}"/>
    <cellStyle name="Normal 9 2 5 4 3 2" xfId="38939" xr:uid="{00000000-0005-0000-0000-00000D9B0000}"/>
    <cellStyle name="Normal 9 2 5 4 4" xfId="38936" xr:uid="{00000000-0005-0000-0000-00000E9B0000}"/>
    <cellStyle name="Normal 9 2 5 5" xfId="15464" xr:uid="{00000000-0005-0000-0000-00000F9B0000}"/>
    <cellStyle name="Normal 9 2 5 5 2" xfId="15465" xr:uid="{00000000-0005-0000-0000-0000109B0000}"/>
    <cellStyle name="Normal 9 2 5 5 2 2" xfId="38941" xr:uid="{00000000-0005-0000-0000-0000119B0000}"/>
    <cellStyle name="Normal 9 2 5 5 3" xfId="38940" xr:uid="{00000000-0005-0000-0000-0000129B0000}"/>
    <cellStyle name="Normal 9 2 5 6" xfId="15466" xr:uid="{00000000-0005-0000-0000-0000139B0000}"/>
    <cellStyle name="Normal 9 2 5 6 2" xfId="38942" xr:uid="{00000000-0005-0000-0000-0000149B0000}"/>
    <cellStyle name="Normal 9 2 5 7" xfId="21858" xr:uid="{00000000-0005-0000-0000-0000159B0000}"/>
    <cellStyle name="Normal 9 2 5 7 2" xfId="45163" xr:uid="{00000000-0005-0000-0000-0000169B0000}"/>
    <cellStyle name="Normal 9 2 5 8" xfId="38919" xr:uid="{00000000-0005-0000-0000-0000179B0000}"/>
    <cellStyle name="Normal 9 2 6" xfId="15467" xr:uid="{00000000-0005-0000-0000-0000189B0000}"/>
    <cellStyle name="Normal 9 2 6 2" xfId="15468" xr:uid="{00000000-0005-0000-0000-0000199B0000}"/>
    <cellStyle name="Normal 9 2 6 2 2" xfId="15469" xr:uid="{00000000-0005-0000-0000-00001A9B0000}"/>
    <cellStyle name="Normal 9 2 6 2 2 2" xfId="15470" xr:uid="{00000000-0005-0000-0000-00001B9B0000}"/>
    <cellStyle name="Normal 9 2 6 2 2 2 2" xfId="15471" xr:uid="{00000000-0005-0000-0000-00001C9B0000}"/>
    <cellStyle name="Normal 9 2 6 2 2 2 2 2" xfId="38947" xr:uid="{00000000-0005-0000-0000-00001D9B0000}"/>
    <cellStyle name="Normal 9 2 6 2 2 2 3" xfId="38946" xr:uid="{00000000-0005-0000-0000-00001E9B0000}"/>
    <cellStyle name="Normal 9 2 6 2 2 3" xfId="15472" xr:uid="{00000000-0005-0000-0000-00001F9B0000}"/>
    <cellStyle name="Normal 9 2 6 2 2 3 2" xfId="38948" xr:uid="{00000000-0005-0000-0000-0000209B0000}"/>
    <cellStyle name="Normal 9 2 6 2 2 4" xfId="38945" xr:uid="{00000000-0005-0000-0000-0000219B0000}"/>
    <cellStyle name="Normal 9 2 6 2 3" xfId="15473" xr:uid="{00000000-0005-0000-0000-0000229B0000}"/>
    <cellStyle name="Normal 9 2 6 2 3 2" xfId="15474" xr:uid="{00000000-0005-0000-0000-0000239B0000}"/>
    <cellStyle name="Normal 9 2 6 2 3 2 2" xfId="38950" xr:uid="{00000000-0005-0000-0000-0000249B0000}"/>
    <cellStyle name="Normal 9 2 6 2 3 3" xfId="38949" xr:uid="{00000000-0005-0000-0000-0000259B0000}"/>
    <cellStyle name="Normal 9 2 6 2 4" xfId="15475" xr:uid="{00000000-0005-0000-0000-0000269B0000}"/>
    <cellStyle name="Normal 9 2 6 2 4 2" xfId="38951" xr:uid="{00000000-0005-0000-0000-0000279B0000}"/>
    <cellStyle name="Normal 9 2 6 2 5" xfId="38944" xr:uid="{00000000-0005-0000-0000-0000289B0000}"/>
    <cellStyle name="Normal 9 2 6 3" xfId="15476" xr:uid="{00000000-0005-0000-0000-0000299B0000}"/>
    <cellStyle name="Normal 9 2 6 3 2" xfId="15477" xr:uid="{00000000-0005-0000-0000-00002A9B0000}"/>
    <cellStyle name="Normal 9 2 6 3 2 2" xfId="15478" xr:uid="{00000000-0005-0000-0000-00002B9B0000}"/>
    <cellStyle name="Normal 9 2 6 3 2 2 2" xfId="15479" xr:uid="{00000000-0005-0000-0000-00002C9B0000}"/>
    <cellStyle name="Normal 9 2 6 3 2 2 2 2" xfId="38955" xr:uid="{00000000-0005-0000-0000-00002D9B0000}"/>
    <cellStyle name="Normal 9 2 6 3 2 2 3" xfId="38954" xr:uid="{00000000-0005-0000-0000-00002E9B0000}"/>
    <cellStyle name="Normal 9 2 6 3 2 3" xfId="15480" xr:uid="{00000000-0005-0000-0000-00002F9B0000}"/>
    <cellStyle name="Normal 9 2 6 3 2 3 2" xfId="38956" xr:uid="{00000000-0005-0000-0000-0000309B0000}"/>
    <cellStyle name="Normal 9 2 6 3 2 4" xfId="38953" xr:uid="{00000000-0005-0000-0000-0000319B0000}"/>
    <cellStyle name="Normal 9 2 6 3 3" xfId="15481" xr:uid="{00000000-0005-0000-0000-0000329B0000}"/>
    <cellStyle name="Normal 9 2 6 3 3 2" xfId="15482" xr:uid="{00000000-0005-0000-0000-0000339B0000}"/>
    <cellStyle name="Normal 9 2 6 3 3 2 2" xfId="38958" xr:uid="{00000000-0005-0000-0000-0000349B0000}"/>
    <cellStyle name="Normal 9 2 6 3 3 3" xfId="38957" xr:uid="{00000000-0005-0000-0000-0000359B0000}"/>
    <cellStyle name="Normal 9 2 6 3 4" xfId="15483" xr:uid="{00000000-0005-0000-0000-0000369B0000}"/>
    <cellStyle name="Normal 9 2 6 3 4 2" xfId="38959" xr:uid="{00000000-0005-0000-0000-0000379B0000}"/>
    <cellStyle name="Normal 9 2 6 3 5" xfId="38952" xr:uid="{00000000-0005-0000-0000-0000389B0000}"/>
    <cellStyle name="Normal 9 2 6 4" xfId="15484" xr:uid="{00000000-0005-0000-0000-0000399B0000}"/>
    <cellStyle name="Normal 9 2 6 4 2" xfId="15485" xr:uid="{00000000-0005-0000-0000-00003A9B0000}"/>
    <cellStyle name="Normal 9 2 6 4 2 2" xfId="15486" xr:uid="{00000000-0005-0000-0000-00003B9B0000}"/>
    <cellStyle name="Normal 9 2 6 4 2 2 2" xfId="38962" xr:uid="{00000000-0005-0000-0000-00003C9B0000}"/>
    <cellStyle name="Normal 9 2 6 4 2 3" xfId="38961" xr:uid="{00000000-0005-0000-0000-00003D9B0000}"/>
    <cellStyle name="Normal 9 2 6 4 3" xfId="15487" xr:uid="{00000000-0005-0000-0000-00003E9B0000}"/>
    <cellStyle name="Normal 9 2 6 4 3 2" xfId="38963" xr:uid="{00000000-0005-0000-0000-00003F9B0000}"/>
    <cellStyle name="Normal 9 2 6 4 4" xfId="38960" xr:uid="{00000000-0005-0000-0000-0000409B0000}"/>
    <cellStyle name="Normal 9 2 6 5" xfId="15488" xr:uid="{00000000-0005-0000-0000-0000419B0000}"/>
    <cellStyle name="Normal 9 2 6 5 2" xfId="15489" xr:uid="{00000000-0005-0000-0000-0000429B0000}"/>
    <cellStyle name="Normal 9 2 6 5 2 2" xfId="38965" xr:uid="{00000000-0005-0000-0000-0000439B0000}"/>
    <cellStyle name="Normal 9 2 6 5 3" xfId="38964" xr:uid="{00000000-0005-0000-0000-0000449B0000}"/>
    <cellStyle name="Normal 9 2 6 6" xfId="15490" xr:uid="{00000000-0005-0000-0000-0000459B0000}"/>
    <cellStyle name="Normal 9 2 6 6 2" xfId="38966" xr:uid="{00000000-0005-0000-0000-0000469B0000}"/>
    <cellStyle name="Normal 9 2 6 7" xfId="38943" xr:uid="{00000000-0005-0000-0000-0000479B0000}"/>
    <cellStyle name="Normal 9 2 7" xfId="15491" xr:uid="{00000000-0005-0000-0000-0000489B0000}"/>
    <cellStyle name="Normal 9 2 7 2" xfId="15492" xr:uid="{00000000-0005-0000-0000-0000499B0000}"/>
    <cellStyle name="Normal 9 2 7 2 2" xfId="15493" xr:uid="{00000000-0005-0000-0000-00004A9B0000}"/>
    <cellStyle name="Normal 9 2 7 2 2 2" xfId="15494" xr:uid="{00000000-0005-0000-0000-00004B9B0000}"/>
    <cellStyle name="Normal 9 2 7 2 2 2 2" xfId="15495" xr:uid="{00000000-0005-0000-0000-00004C9B0000}"/>
    <cellStyle name="Normal 9 2 7 2 2 2 2 2" xfId="38971" xr:uid="{00000000-0005-0000-0000-00004D9B0000}"/>
    <cellStyle name="Normal 9 2 7 2 2 2 3" xfId="38970" xr:uid="{00000000-0005-0000-0000-00004E9B0000}"/>
    <cellStyle name="Normal 9 2 7 2 2 3" xfId="15496" xr:uid="{00000000-0005-0000-0000-00004F9B0000}"/>
    <cellStyle name="Normal 9 2 7 2 2 3 2" xfId="38972" xr:uid="{00000000-0005-0000-0000-0000509B0000}"/>
    <cellStyle name="Normal 9 2 7 2 2 4" xfId="38969" xr:uid="{00000000-0005-0000-0000-0000519B0000}"/>
    <cellStyle name="Normal 9 2 7 2 3" xfId="15497" xr:uid="{00000000-0005-0000-0000-0000529B0000}"/>
    <cellStyle name="Normal 9 2 7 2 3 2" xfId="15498" xr:uid="{00000000-0005-0000-0000-0000539B0000}"/>
    <cellStyle name="Normal 9 2 7 2 3 2 2" xfId="38974" xr:uid="{00000000-0005-0000-0000-0000549B0000}"/>
    <cellStyle name="Normal 9 2 7 2 3 3" xfId="38973" xr:uid="{00000000-0005-0000-0000-0000559B0000}"/>
    <cellStyle name="Normal 9 2 7 2 4" xfId="15499" xr:uid="{00000000-0005-0000-0000-0000569B0000}"/>
    <cellStyle name="Normal 9 2 7 2 4 2" xfId="38975" xr:uid="{00000000-0005-0000-0000-0000579B0000}"/>
    <cellStyle name="Normal 9 2 7 2 5" xfId="38968" xr:uid="{00000000-0005-0000-0000-0000589B0000}"/>
    <cellStyle name="Normal 9 2 7 3" xfId="15500" xr:uid="{00000000-0005-0000-0000-0000599B0000}"/>
    <cellStyle name="Normal 9 2 7 3 2" xfId="15501" xr:uid="{00000000-0005-0000-0000-00005A9B0000}"/>
    <cellStyle name="Normal 9 2 7 3 2 2" xfId="15502" xr:uid="{00000000-0005-0000-0000-00005B9B0000}"/>
    <cellStyle name="Normal 9 2 7 3 2 2 2" xfId="15503" xr:uid="{00000000-0005-0000-0000-00005C9B0000}"/>
    <cellStyle name="Normal 9 2 7 3 2 2 2 2" xfId="38979" xr:uid="{00000000-0005-0000-0000-00005D9B0000}"/>
    <cellStyle name="Normal 9 2 7 3 2 2 3" xfId="38978" xr:uid="{00000000-0005-0000-0000-00005E9B0000}"/>
    <cellStyle name="Normal 9 2 7 3 2 3" xfId="15504" xr:uid="{00000000-0005-0000-0000-00005F9B0000}"/>
    <cellStyle name="Normal 9 2 7 3 2 3 2" xfId="38980" xr:uid="{00000000-0005-0000-0000-0000609B0000}"/>
    <cellStyle name="Normal 9 2 7 3 2 4" xfId="38977" xr:uid="{00000000-0005-0000-0000-0000619B0000}"/>
    <cellStyle name="Normal 9 2 7 3 3" xfId="15505" xr:uid="{00000000-0005-0000-0000-0000629B0000}"/>
    <cellStyle name="Normal 9 2 7 3 3 2" xfId="15506" xr:uid="{00000000-0005-0000-0000-0000639B0000}"/>
    <cellStyle name="Normal 9 2 7 3 3 2 2" xfId="38982" xr:uid="{00000000-0005-0000-0000-0000649B0000}"/>
    <cellStyle name="Normal 9 2 7 3 3 3" xfId="38981" xr:uid="{00000000-0005-0000-0000-0000659B0000}"/>
    <cellStyle name="Normal 9 2 7 3 4" xfId="15507" xr:uid="{00000000-0005-0000-0000-0000669B0000}"/>
    <cellStyle name="Normal 9 2 7 3 4 2" xfId="38983" xr:uid="{00000000-0005-0000-0000-0000679B0000}"/>
    <cellStyle name="Normal 9 2 7 3 5" xfId="38976" xr:uid="{00000000-0005-0000-0000-0000689B0000}"/>
    <cellStyle name="Normal 9 2 7 4" xfId="15508" xr:uid="{00000000-0005-0000-0000-0000699B0000}"/>
    <cellStyle name="Normal 9 2 7 4 2" xfId="15509" xr:uid="{00000000-0005-0000-0000-00006A9B0000}"/>
    <cellStyle name="Normal 9 2 7 4 2 2" xfId="15510" xr:uid="{00000000-0005-0000-0000-00006B9B0000}"/>
    <cellStyle name="Normal 9 2 7 4 2 2 2" xfId="38986" xr:uid="{00000000-0005-0000-0000-00006C9B0000}"/>
    <cellStyle name="Normal 9 2 7 4 2 3" xfId="38985" xr:uid="{00000000-0005-0000-0000-00006D9B0000}"/>
    <cellStyle name="Normal 9 2 7 4 3" xfId="15511" xr:uid="{00000000-0005-0000-0000-00006E9B0000}"/>
    <cellStyle name="Normal 9 2 7 4 3 2" xfId="38987" xr:uid="{00000000-0005-0000-0000-00006F9B0000}"/>
    <cellStyle name="Normal 9 2 7 4 4" xfId="38984" xr:uid="{00000000-0005-0000-0000-0000709B0000}"/>
    <cellStyle name="Normal 9 2 7 5" xfId="15512" xr:uid="{00000000-0005-0000-0000-0000719B0000}"/>
    <cellStyle name="Normal 9 2 7 5 2" xfId="15513" xr:uid="{00000000-0005-0000-0000-0000729B0000}"/>
    <cellStyle name="Normal 9 2 7 5 2 2" xfId="38989" xr:uid="{00000000-0005-0000-0000-0000739B0000}"/>
    <cellStyle name="Normal 9 2 7 5 3" xfId="38988" xr:uid="{00000000-0005-0000-0000-0000749B0000}"/>
    <cellStyle name="Normal 9 2 7 6" xfId="15514" xr:uid="{00000000-0005-0000-0000-0000759B0000}"/>
    <cellStyle name="Normal 9 2 7 6 2" xfId="38990" xr:uid="{00000000-0005-0000-0000-0000769B0000}"/>
    <cellStyle name="Normal 9 2 7 7" xfId="38967" xr:uid="{00000000-0005-0000-0000-0000779B0000}"/>
    <cellStyle name="Normal 9 2 8" xfId="15515" xr:uid="{00000000-0005-0000-0000-0000789B0000}"/>
    <cellStyle name="Normal 9 2 8 2" xfId="15516" xr:uid="{00000000-0005-0000-0000-0000799B0000}"/>
    <cellStyle name="Normal 9 2 8 2 2" xfId="15517" xr:uid="{00000000-0005-0000-0000-00007A9B0000}"/>
    <cellStyle name="Normal 9 2 8 2 2 2" xfId="15518" xr:uid="{00000000-0005-0000-0000-00007B9B0000}"/>
    <cellStyle name="Normal 9 2 8 2 2 2 2" xfId="15519" xr:uid="{00000000-0005-0000-0000-00007C9B0000}"/>
    <cellStyle name="Normal 9 2 8 2 2 2 2 2" xfId="38995" xr:uid="{00000000-0005-0000-0000-00007D9B0000}"/>
    <cellStyle name="Normal 9 2 8 2 2 2 3" xfId="38994" xr:uid="{00000000-0005-0000-0000-00007E9B0000}"/>
    <cellStyle name="Normal 9 2 8 2 2 3" xfId="15520" xr:uid="{00000000-0005-0000-0000-00007F9B0000}"/>
    <cellStyle name="Normal 9 2 8 2 2 3 2" xfId="38996" xr:uid="{00000000-0005-0000-0000-0000809B0000}"/>
    <cellStyle name="Normal 9 2 8 2 2 4" xfId="38993" xr:uid="{00000000-0005-0000-0000-0000819B0000}"/>
    <cellStyle name="Normal 9 2 8 2 3" xfId="15521" xr:uid="{00000000-0005-0000-0000-0000829B0000}"/>
    <cellStyle name="Normal 9 2 8 2 3 2" xfId="15522" xr:uid="{00000000-0005-0000-0000-0000839B0000}"/>
    <cellStyle name="Normal 9 2 8 2 3 2 2" xfId="38998" xr:uid="{00000000-0005-0000-0000-0000849B0000}"/>
    <cellStyle name="Normal 9 2 8 2 3 3" xfId="38997" xr:uid="{00000000-0005-0000-0000-0000859B0000}"/>
    <cellStyle name="Normal 9 2 8 2 4" xfId="15523" xr:uid="{00000000-0005-0000-0000-0000869B0000}"/>
    <cellStyle name="Normal 9 2 8 2 4 2" xfId="38999" xr:uid="{00000000-0005-0000-0000-0000879B0000}"/>
    <cellStyle name="Normal 9 2 8 2 5" xfId="38992" xr:uid="{00000000-0005-0000-0000-0000889B0000}"/>
    <cellStyle name="Normal 9 2 8 3" xfId="15524" xr:uid="{00000000-0005-0000-0000-0000899B0000}"/>
    <cellStyle name="Normal 9 2 8 3 2" xfId="15525" xr:uid="{00000000-0005-0000-0000-00008A9B0000}"/>
    <cellStyle name="Normal 9 2 8 3 2 2" xfId="15526" xr:uid="{00000000-0005-0000-0000-00008B9B0000}"/>
    <cellStyle name="Normal 9 2 8 3 2 2 2" xfId="15527" xr:uid="{00000000-0005-0000-0000-00008C9B0000}"/>
    <cellStyle name="Normal 9 2 8 3 2 2 2 2" xfId="39003" xr:uid="{00000000-0005-0000-0000-00008D9B0000}"/>
    <cellStyle name="Normal 9 2 8 3 2 2 3" xfId="39002" xr:uid="{00000000-0005-0000-0000-00008E9B0000}"/>
    <cellStyle name="Normal 9 2 8 3 2 3" xfId="15528" xr:uid="{00000000-0005-0000-0000-00008F9B0000}"/>
    <cellStyle name="Normal 9 2 8 3 2 3 2" xfId="39004" xr:uid="{00000000-0005-0000-0000-0000909B0000}"/>
    <cellStyle name="Normal 9 2 8 3 2 4" xfId="39001" xr:uid="{00000000-0005-0000-0000-0000919B0000}"/>
    <cellStyle name="Normal 9 2 8 3 3" xfId="15529" xr:uid="{00000000-0005-0000-0000-0000929B0000}"/>
    <cellStyle name="Normal 9 2 8 3 3 2" xfId="15530" xr:uid="{00000000-0005-0000-0000-0000939B0000}"/>
    <cellStyle name="Normal 9 2 8 3 3 2 2" xfId="39006" xr:uid="{00000000-0005-0000-0000-0000949B0000}"/>
    <cellStyle name="Normal 9 2 8 3 3 3" xfId="39005" xr:uid="{00000000-0005-0000-0000-0000959B0000}"/>
    <cellStyle name="Normal 9 2 8 3 4" xfId="15531" xr:uid="{00000000-0005-0000-0000-0000969B0000}"/>
    <cellStyle name="Normal 9 2 8 3 4 2" xfId="39007" xr:uid="{00000000-0005-0000-0000-0000979B0000}"/>
    <cellStyle name="Normal 9 2 8 3 5" xfId="39000" xr:uid="{00000000-0005-0000-0000-0000989B0000}"/>
    <cellStyle name="Normal 9 2 8 4" xfId="15532" xr:uid="{00000000-0005-0000-0000-0000999B0000}"/>
    <cellStyle name="Normal 9 2 8 4 2" xfId="15533" xr:uid="{00000000-0005-0000-0000-00009A9B0000}"/>
    <cellStyle name="Normal 9 2 8 4 2 2" xfId="15534" xr:uid="{00000000-0005-0000-0000-00009B9B0000}"/>
    <cellStyle name="Normal 9 2 8 4 2 2 2" xfId="39010" xr:uid="{00000000-0005-0000-0000-00009C9B0000}"/>
    <cellStyle name="Normal 9 2 8 4 2 3" xfId="39009" xr:uid="{00000000-0005-0000-0000-00009D9B0000}"/>
    <cellStyle name="Normal 9 2 8 4 3" xfId="15535" xr:uid="{00000000-0005-0000-0000-00009E9B0000}"/>
    <cellStyle name="Normal 9 2 8 4 3 2" xfId="39011" xr:uid="{00000000-0005-0000-0000-00009F9B0000}"/>
    <cellStyle name="Normal 9 2 8 4 4" xfId="39008" xr:uid="{00000000-0005-0000-0000-0000A09B0000}"/>
    <cellStyle name="Normal 9 2 8 5" xfId="15536" xr:uid="{00000000-0005-0000-0000-0000A19B0000}"/>
    <cellStyle name="Normal 9 2 8 5 2" xfId="15537" xr:uid="{00000000-0005-0000-0000-0000A29B0000}"/>
    <cellStyle name="Normal 9 2 8 5 2 2" xfId="39013" xr:uid="{00000000-0005-0000-0000-0000A39B0000}"/>
    <cellStyle name="Normal 9 2 8 5 3" xfId="39012" xr:uid="{00000000-0005-0000-0000-0000A49B0000}"/>
    <cellStyle name="Normal 9 2 8 6" xfId="15538" xr:uid="{00000000-0005-0000-0000-0000A59B0000}"/>
    <cellStyle name="Normal 9 2 8 6 2" xfId="39014" xr:uid="{00000000-0005-0000-0000-0000A69B0000}"/>
    <cellStyle name="Normal 9 2 8 7" xfId="38991" xr:uid="{00000000-0005-0000-0000-0000A79B0000}"/>
    <cellStyle name="Normal 9 2 9" xfId="15539" xr:uid="{00000000-0005-0000-0000-0000A89B0000}"/>
    <cellStyle name="Normal 9 2 9 2" xfId="15540" xr:uid="{00000000-0005-0000-0000-0000A99B0000}"/>
    <cellStyle name="Normal 9 2 9 2 2" xfId="15541" xr:uid="{00000000-0005-0000-0000-0000AA9B0000}"/>
    <cellStyle name="Normal 9 2 9 2 2 2" xfId="15542" xr:uid="{00000000-0005-0000-0000-0000AB9B0000}"/>
    <cellStyle name="Normal 9 2 9 2 2 2 2" xfId="39018" xr:uid="{00000000-0005-0000-0000-0000AC9B0000}"/>
    <cellStyle name="Normal 9 2 9 2 2 3" xfId="39017" xr:uid="{00000000-0005-0000-0000-0000AD9B0000}"/>
    <cellStyle name="Normal 9 2 9 2 3" xfId="15543" xr:uid="{00000000-0005-0000-0000-0000AE9B0000}"/>
    <cellStyle name="Normal 9 2 9 2 3 2" xfId="39019" xr:uid="{00000000-0005-0000-0000-0000AF9B0000}"/>
    <cellStyle name="Normal 9 2 9 2 4" xfId="39016" xr:uid="{00000000-0005-0000-0000-0000B09B0000}"/>
    <cellStyle name="Normal 9 2 9 3" xfId="15544" xr:uid="{00000000-0005-0000-0000-0000B19B0000}"/>
    <cellStyle name="Normal 9 2 9 3 2" xfId="15545" xr:uid="{00000000-0005-0000-0000-0000B29B0000}"/>
    <cellStyle name="Normal 9 2 9 3 2 2" xfId="39021" xr:uid="{00000000-0005-0000-0000-0000B39B0000}"/>
    <cellStyle name="Normal 9 2 9 3 3" xfId="39020" xr:uid="{00000000-0005-0000-0000-0000B49B0000}"/>
    <cellStyle name="Normal 9 2 9 4" xfId="15546" xr:uid="{00000000-0005-0000-0000-0000B59B0000}"/>
    <cellStyle name="Normal 9 2 9 4 2" xfId="39022" xr:uid="{00000000-0005-0000-0000-0000B69B0000}"/>
    <cellStyle name="Normal 9 2 9 5" xfId="39015" xr:uid="{00000000-0005-0000-0000-0000B79B0000}"/>
    <cellStyle name="Normal 9 3" xfId="147" xr:uid="{00000000-0005-0000-0000-0000B89B0000}"/>
    <cellStyle name="Normal 9 3 10" xfId="15547" xr:uid="{00000000-0005-0000-0000-0000B99B0000}"/>
    <cellStyle name="Normal 9 3 10 2" xfId="39023" xr:uid="{00000000-0005-0000-0000-0000BA9B0000}"/>
    <cellStyle name="Normal 9 3 11" xfId="23697" xr:uid="{00000000-0005-0000-0000-0000BB9B0000}"/>
    <cellStyle name="Normal 9 3 2" xfId="15548" xr:uid="{00000000-0005-0000-0000-0000BC9B0000}"/>
    <cellStyle name="Normal 9 3 2 2" xfId="15549" xr:uid="{00000000-0005-0000-0000-0000BD9B0000}"/>
    <cellStyle name="Normal 9 3 2 2 2" xfId="15550" xr:uid="{00000000-0005-0000-0000-0000BE9B0000}"/>
    <cellStyle name="Normal 9 3 2 2 2 2" xfId="15551" xr:uid="{00000000-0005-0000-0000-0000BF9B0000}"/>
    <cellStyle name="Normal 9 3 2 2 2 2 2" xfId="15552" xr:uid="{00000000-0005-0000-0000-0000C09B0000}"/>
    <cellStyle name="Normal 9 3 2 2 2 2 2 2" xfId="39028" xr:uid="{00000000-0005-0000-0000-0000C19B0000}"/>
    <cellStyle name="Normal 9 3 2 2 2 2 3" xfId="39027" xr:uid="{00000000-0005-0000-0000-0000C29B0000}"/>
    <cellStyle name="Normal 9 3 2 2 2 3" xfId="15553" xr:uid="{00000000-0005-0000-0000-0000C39B0000}"/>
    <cellStyle name="Normal 9 3 2 2 2 3 2" xfId="39029" xr:uid="{00000000-0005-0000-0000-0000C49B0000}"/>
    <cellStyle name="Normal 9 3 2 2 2 4" xfId="39026" xr:uid="{00000000-0005-0000-0000-0000C59B0000}"/>
    <cellStyle name="Normal 9 3 2 2 3" xfId="15554" xr:uid="{00000000-0005-0000-0000-0000C69B0000}"/>
    <cellStyle name="Normal 9 3 2 2 3 2" xfId="15555" xr:uid="{00000000-0005-0000-0000-0000C79B0000}"/>
    <cellStyle name="Normal 9 3 2 2 3 2 2" xfId="39031" xr:uid="{00000000-0005-0000-0000-0000C89B0000}"/>
    <cellStyle name="Normal 9 3 2 2 3 3" xfId="39030" xr:uid="{00000000-0005-0000-0000-0000C99B0000}"/>
    <cellStyle name="Normal 9 3 2 2 4" xfId="15556" xr:uid="{00000000-0005-0000-0000-0000CA9B0000}"/>
    <cellStyle name="Normal 9 3 2 2 4 2" xfId="39032" xr:uid="{00000000-0005-0000-0000-0000CB9B0000}"/>
    <cellStyle name="Normal 9 3 2 2 5" xfId="21859" xr:uid="{00000000-0005-0000-0000-0000CC9B0000}"/>
    <cellStyle name="Normal 9 3 2 2 5 2" xfId="45164" xr:uid="{00000000-0005-0000-0000-0000CD9B0000}"/>
    <cellStyle name="Normal 9 3 2 2 6" xfId="21860" xr:uid="{00000000-0005-0000-0000-0000CE9B0000}"/>
    <cellStyle name="Normal 9 3 2 2 6 2" xfId="45165" xr:uid="{00000000-0005-0000-0000-0000CF9B0000}"/>
    <cellStyle name="Normal 9 3 2 2 7" xfId="39025" xr:uid="{00000000-0005-0000-0000-0000D09B0000}"/>
    <cellStyle name="Normal 9 3 2 3" xfId="15557" xr:uid="{00000000-0005-0000-0000-0000D19B0000}"/>
    <cellStyle name="Normal 9 3 2 3 2" xfId="15558" xr:uid="{00000000-0005-0000-0000-0000D29B0000}"/>
    <cellStyle name="Normal 9 3 2 3 2 2" xfId="15559" xr:uid="{00000000-0005-0000-0000-0000D39B0000}"/>
    <cellStyle name="Normal 9 3 2 3 2 2 2" xfId="15560" xr:uid="{00000000-0005-0000-0000-0000D49B0000}"/>
    <cellStyle name="Normal 9 3 2 3 2 2 2 2" xfId="39036" xr:uid="{00000000-0005-0000-0000-0000D59B0000}"/>
    <cellStyle name="Normal 9 3 2 3 2 2 3" xfId="39035" xr:uid="{00000000-0005-0000-0000-0000D69B0000}"/>
    <cellStyle name="Normal 9 3 2 3 2 3" xfId="15561" xr:uid="{00000000-0005-0000-0000-0000D79B0000}"/>
    <cellStyle name="Normal 9 3 2 3 2 3 2" xfId="39037" xr:uid="{00000000-0005-0000-0000-0000D89B0000}"/>
    <cellStyle name="Normal 9 3 2 3 2 4" xfId="39034" xr:uid="{00000000-0005-0000-0000-0000D99B0000}"/>
    <cellStyle name="Normal 9 3 2 3 3" xfId="15562" xr:uid="{00000000-0005-0000-0000-0000DA9B0000}"/>
    <cellStyle name="Normal 9 3 2 3 3 2" xfId="15563" xr:uid="{00000000-0005-0000-0000-0000DB9B0000}"/>
    <cellStyle name="Normal 9 3 2 3 3 2 2" xfId="39039" xr:uid="{00000000-0005-0000-0000-0000DC9B0000}"/>
    <cellStyle name="Normal 9 3 2 3 3 3" xfId="39038" xr:uid="{00000000-0005-0000-0000-0000DD9B0000}"/>
    <cellStyle name="Normal 9 3 2 3 4" xfId="15564" xr:uid="{00000000-0005-0000-0000-0000DE9B0000}"/>
    <cellStyle name="Normal 9 3 2 3 4 2" xfId="39040" xr:uid="{00000000-0005-0000-0000-0000DF9B0000}"/>
    <cellStyle name="Normal 9 3 2 3 5" xfId="39033" xr:uid="{00000000-0005-0000-0000-0000E09B0000}"/>
    <cellStyle name="Normal 9 3 2 4" xfId="15565" xr:uid="{00000000-0005-0000-0000-0000E19B0000}"/>
    <cellStyle name="Normal 9 3 2 4 2" xfId="15566" xr:uid="{00000000-0005-0000-0000-0000E29B0000}"/>
    <cellStyle name="Normal 9 3 2 4 2 2" xfId="15567" xr:uid="{00000000-0005-0000-0000-0000E39B0000}"/>
    <cellStyle name="Normal 9 3 2 4 2 2 2" xfId="39043" xr:uid="{00000000-0005-0000-0000-0000E49B0000}"/>
    <cellStyle name="Normal 9 3 2 4 2 3" xfId="39042" xr:uid="{00000000-0005-0000-0000-0000E59B0000}"/>
    <cellStyle name="Normal 9 3 2 4 3" xfId="15568" xr:uid="{00000000-0005-0000-0000-0000E69B0000}"/>
    <cellStyle name="Normal 9 3 2 4 3 2" xfId="39044" xr:uid="{00000000-0005-0000-0000-0000E79B0000}"/>
    <cellStyle name="Normal 9 3 2 4 4" xfId="39041" xr:uid="{00000000-0005-0000-0000-0000E89B0000}"/>
    <cellStyle name="Normal 9 3 2 5" xfId="15569" xr:uid="{00000000-0005-0000-0000-0000E99B0000}"/>
    <cellStyle name="Normal 9 3 2 5 2" xfId="15570" xr:uid="{00000000-0005-0000-0000-0000EA9B0000}"/>
    <cellStyle name="Normal 9 3 2 5 2 2" xfId="39046" xr:uid="{00000000-0005-0000-0000-0000EB9B0000}"/>
    <cellStyle name="Normal 9 3 2 5 3" xfId="39045" xr:uid="{00000000-0005-0000-0000-0000EC9B0000}"/>
    <cellStyle name="Normal 9 3 2 6" xfId="15571" xr:uid="{00000000-0005-0000-0000-0000ED9B0000}"/>
    <cellStyle name="Normal 9 3 2 6 2" xfId="39047" xr:uid="{00000000-0005-0000-0000-0000EE9B0000}"/>
    <cellStyle name="Normal 9 3 2 7" xfId="21861" xr:uid="{00000000-0005-0000-0000-0000EF9B0000}"/>
    <cellStyle name="Normal 9 3 2 7 2" xfId="45166" xr:uid="{00000000-0005-0000-0000-0000F09B0000}"/>
    <cellStyle name="Normal 9 3 2 8" xfId="39024" xr:uid="{00000000-0005-0000-0000-0000F19B0000}"/>
    <cellStyle name="Normal 9 3 3" xfId="15572" xr:uid="{00000000-0005-0000-0000-0000F29B0000}"/>
    <cellStyle name="Normal 9 3 3 2" xfId="15573" xr:uid="{00000000-0005-0000-0000-0000F39B0000}"/>
    <cellStyle name="Normal 9 3 3 2 2" xfId="15574" xr:uid="{00000000-0005-0000-0000-0000F49B0000}"/>
    <cellStyle name="Normal 9 3 3 2 2 2" xfId="15575" xr:uid="{00000000-0005-0000-0000-0000F59B0000}"/>
    <cellStyle name="Normal 9 3 3 2 2 2 2" xfId="15576" xr:uid="{00000000-0005-0000-0000-0000F69B0000}"/>
    <cellStyle name="Normal 9 3 3 2 2 2 2 2" xfId="39052" xr:uid="{00000000-0005-0000-0000-0000F79B0000}"/>
    <cellStyle name="Normal 9 3 3 2 2 2 3" xfId="39051" xr:uid="{00000000-0005-0000-0000-0000F89B0000}"/>
    <cellStyle name="Normal 9 3 3 2 2 3" xfId="15577" xr:uid="{00000000-0005-0000-0000-0000F99B0000}"/>
    <cellStyle name="Normal 9 3 3 2 2 3 2" xfId="39053" xr:uid="{00000000-0005-0000-0000-0000FA9B0000}"/>
    <cellStyle name="Normal 9 3 3 2 2 4" xfId="39050" xr:uid="{00000000-0005-0000-0000-0000FB9B0000}"/>
    <cellStyle name="Normal 9 3 3 2 3" xfId="15578" xr:uid="{00000000-0005-0000-0000-0000FC9B0000}"/>
    <cellStyle name="Normal 9 3 3 2 3 2" xfId="15579" xr:uid="{00000000-0005-0000-0000-0000FD9B0000}"/>
    <cellStyle name="Normal 9 3 3 2 3 2 2" xfId="39055" xr:uid="{00000000-0005-0000-0000-0000FE9B0000}"/>
    <cellStyle name="Normal 9 3 3 2 3 3" xfId="39054" xr:uid="{00000000-0005-0000-0000-0000FF9B0000}"/>
    <cellStyle name="Normal 9 3 3 2 4" xfId="15580" xr:uid="{00000000-0005-0000-0000-0000009C0000}"/>
    <cellStyle name="Normal 9 3 3 2 4 2" xfId="39056" xr:uid="{00000000-0005-0000-0000-0000019C0000}"/>
    <cellStyle name="Normal 9 3 3 2 5" xfId="21862" xr:uid="{00000000-0005-0000-0000-0000029C0000}"/>
    <cellStyle name="Normal 9 3 3 2 5 2" xfId="45167" xr:uid="{00000000-0005-0000-0000-0000039C0000}"/>
    <cellStyle name="Normal 9 3 3 2 6" xfId="21863" xr:uid="{00000000-0005-0000-0000-0000049C0000}"/>
    <cellStyle name="Normal 9 3 3 2 6 2" xfId="45168" xr:uid="{00000000-0005-0000-0000-0000059C0000}"/>
    <cellStyle name="Normal 9 3 3 2 7" xfId="39049" xr:uid="{00000000-0005-0000-0000-0000069C0000}"/>
    <cellStyle name="Normal 9 3 3 3" xfId="15581" xr:uid="{00000000-0005-0000-0000-0000079C0000}"/>
    <cellStyle name="Normal 9 3 3 3 2" xfId="15582" xr:uid="{00000000-0005-0000-0000-0000089C0000}"/>
    <cellStyle name="Normal 9 3 3 3 2 2" xfId="15583" xr:uid="{00000000-0005-0000-0000-0000099C0000}"/>
    <cellStyle name="Normal 9 3 3 3 2 2 2" xfId="15584" xr:uid="{00000000-0005-0000-0000-00000A9C0000}"/>
    <cellStyle name="Normal 9 3 3 3 2 2 2 2" xfId="39060" xr:uid="{00000000-0005-0000-0000-00000B9C0000}"/>
    <cellStyle name="Normal 9 3 3 3 2 2 3" xfId="39059" xr:uid="{00000000-0005-0000-0000-00000C9C0000}"/>
    <cellStyle name="Normal 9 3 3 3 2 3" xfId="15585" xr:uid="{00000000-0005-0000-0000-00000D9C0000}"/>
    <cellStyle name="Normal 9 3 3 3 2 3 2" xfId="39061" xr:uid="{00000000-0005-0000-0000-00000E9C0000}"/>
    <cellStyle name="Normal 9 3 3 3 2 4" xfId="39058" xr:uid="{00000000-0005-0000-0000-00000F9C0000}"/>
    <cellStyle name="Normal 9 3 3 3 3" xfId="15586" xr:uid="{00000000-0005-0000-0000-0000109C0000}"/>
    <cellStyle name="Normal 9 3 3 3 3 2" xfId="15587" xr:uid="{00000000-0005-0000-0000-0000119C0000}"/>
    <cellStyle name="Normal 9 3 3 3 3 2 2" xfId="39063" xr:uid="{00000000-0005-0000-0000-0000129C0000}"/>
    <cellStyle name="Normal 9 3 3 3 3 3" xfId="39062" xr:uid="{00000000-0005-0000-0000-0000139C0000}"/>
    <cellStyle name="Normal 9 3 3 3 4" xfId="15588" xr:uid="{00000000-0005-0000-0000-0000149C0000}"/>
    <cellStyle name="Normal 9 3 3 3 4 2" xfId="39064" xr:uid="{00000000-0005-0000-0000-0000159C0000}"/>
    <cellStyle name="Normal 9 3 3 3 5" xfId="39057" xr:uid="{00000000-0005-0000-0000-0000169C0000}"/>
    <cellStyle name="Normal 9 3 3 4" xfId="15589" xr:uid="{00000000-0005-0000-0000-0000179C0000}"/>
    <cellStyle name="Normal 9 3 3 4 2" xfId="15590" xr:uid="{00000000-0005-0000-0000-0000189C0000}"/>
    <cellStyle name="Normal 9 3 3 4 2 2" xfId="15591" xr:uid="{00000000-0005-0000-0000-0000199C0000}"/>
    <cellStyle name="Normal 9 3 3 4 2 2 2" xfId="39067" xr:uid="{00000000-0005-0000-0000-00001A9C0000}"/>
    <cellStyle name="Normal 9 3 3 4 2 3" xfId="39066" xr:uid="{00000000-0005-0000-0000-00001B9C0000}"/>
    <cellStyle name="Normal 9 3 3 4 3" xfId="15592" xr:uid="{00000000-0005-0000-0000-00001C9C0000}"/>
    <cellStyle name="Normal 9 3 3 4 3 2" xfId="39068" xr:uid="{00000000-0005-0000-0000-00001D9C0000}"/>
    <cellStyle name="Normal 9 3 3 4 4" xfId="39065" xr:uid="{00000000-0005-0000-0000-00001E9C0000}"/>
    <cellStyle name="Normal 9 3 3 5" xfId="15593" xr:uid="{00000000-0005-0000-0000-00001F9C0000}"/>
    <cellStyle name="Normal 9 3 3 5 2" xfId="15594" xr:uid="{00000000-0005-0000-0000-0000209C0000}"/>
    <cellStyle name="Normal 9 3 3 5 2 2" xfId="39070" xr:uid="{00000000-0005-0000-0000-0000219C0000}"/>
    <cellStyle name="Normal 9 3 3 5 3" xfId="39069" xr:uid="{00000000-0005-0000-0000-0000229C0000}"/>
    <cellStyle name="Normal 9 3 3 6" xfId="15595" xr:uid="{00000000-0005-0000-0000-0000239C0000}"/>
    <cellStyle name="Normal 9 3 3 6 2" xfId="39071" xr:uid="{00000000-0005-0000-0000-0000249C0000}"/>
    <cellStyle name="Normal 9 3 3 7" xfId="21864" xr:uid="{00000000-0005-0000-0000-0000259C0000}"/>
    <cellStyle name="Normal 9 3 3 7 2" xfId="45169" xr:uid="{00000000-0005-0000-0000-0000269C0000}"/>
    <cellStyle name="Normal 9 3 3 8" xfId="39048" xr:uid="{00000000-0005-0000-0000-0000279C0000}"/>
    <cellStyle name="Normal 9 3 4" xfId="15596" xr:uid="{00000000-0005-0000-0000-0000289C0000}"/>
    <cellStyle name="Normal 9 3 4 2" xfId="15597" xr:uid="{00000000-0005-0000-0000-0000299C0000}"/>
    <cellStyle name="Normal 9 3 4 2 2" xfId="15598" xr:uid="{00000000-0005-0000-0000-00002A9C0000}"/>
    <cellStyle name="Normal 9 3 4 2 2 2" xfId="15599" xr:uid="{00000000-0005-0000-0000-00002B9C0000}"/>
    <cellStyle name="Normal 9 3 4 2 2 2 2" xfId="15600" xr:uid="{00000000-0005-0000-0000-00002C9C0000}"/>
    <cellStyle name="Normal 9 3 4 2 2 2 2 2" xfId="39076" xr:uid="{00000000-0005-0000-0000-00002D9C0000}"/>
    <cellStyle name="Normal 9 3 4 2 2 2 3" xfId="39075" xr:uid="{00000000-0005-0000-0000-00002E9C0000}"/>
    <cellStyle name="Normal 9 3 4 2 2 3" xfId="15601" xr:uid="{00000000-0005-0000-0000-00002F9C0000}"/>
    <cellStyle name="Normal 9 3 4 2 2 3 2" xfId="39077" xr:uid="{00000000-0005-0000-0000-0000309C0000}"/>
    <cellStyle name="Normal 9 3 4 2 2 4" xfId="39074" xr:uid="{00000000-0005-0000-0000-0000319C0000}"/>
    <cellStyle name="Normal 9 3 4 2 3" xfId="15602" xr:uid="{00000000-0005-0000-0000-0000329C0000}"/>
    <cellStyle name="Normal 9 3 4 2 3 2" xfId="15603" xr:uid="{00000000-0005-0000-0000-0000339C0000}"/>
    <cellStyle name="Normal 9 3 4 2 3 2 2" xfId="39079" xr:uid="{00000000-0005-0000-0000-0000349C0000}"/>
    <cellStyle name="Normal 9 3 4 2 3 3" xfId="39078" xr:uid="{00000000-0005-0000-0000-0000359C0000}"/>
    <cellStyle name="Normal 9 3 4 2 4" xfId="15604" xr:uid="{00000000-0005-0000-0000-0000369C0000}"/>
    <cellStyle name="Normal 9 3 4 2 4 2" xfId="39080" xr:uid="{00000000-0005-0000-0000-0000379C0000}"/>
    <cellStyle name="Normal 9 3 4 2 5" xfId="39073" xr:uid="{00000000-0005-0000-0000-0000389C0000}"/>
    <cellStyle name="Normal 9 3 4 3" xfId="15605" xr:uid="{00000000-0005-0000-0000-0000399C0000}"/>
    <cellStyle name="Normal 9 3 4 3 2" xfId="15606" xr:uid="{00000000-0005-0000-0000-00003A9C0000}"/>
    <cellStyle name="Normal 9 3 4 3 2 2" xfId="15607" xr:uid="{00000000-0005-0000-0000-00003B9C0000}"/>
    <cellStyle name="Normal 9 3 4 3 2 2 2" xfId="15608" xr:uid="{00000000-0005-0000-0000-00003C9C0000}"/>
    <cellStyle name="Normal 9 3 4 3 2 2 2 2" xfId="39084" xr:uid="{00000000-0005-0000-0000-00003D9C0000}"/>
    <cellStyle name="Normal 9 3 4 3 2 2 3" xfId="39083" xr:uid="{00000000-0005-0000-0000-00003E9C0000}"/>
    <cellStyle name="Normal 9 3 4 3 2 3" xfId="15609" xr:uid="{00000000-0005-0000-0000-00003F9C0000}"/>
    <cellStyle name="Normal 9 3 4 3 2 3 2" xfId="39085" xr:uid="{00000000-0005-0000-0000-0000409C0000}"/>
    <cellStyle name="Normal 9 3 4 3 2 4" xfId="39082" xr:uid="{00000000-0005-0000-0000-0000419C0000}"/>
    <cellStyle name="Normal 9 3 4 3 3" xfId="15610" xr:uid="{00000000-0005-0000-0000-0000429C0000}"/>
    <cellStyle name="Normal 9 3 4 3 3 2" xfId="15611" xr:uid="{00000000-0005-0000-0000-0000439C0000}"/>
    <cellStyle name="Normal 9 3 4 3 3 2 2" xfId="39087" xr:uid="{00000000-0005-0000-0000-0000449C0000}"/>
    <cellStyle name="Normal 9 3 4 3 3 3" xfId="39086" xr:uid="{00000000-0005-0000-0000-0000459C0000}"/>
    <cellStyle name="Normal 9 3 4 3 4" xfId="15612" xr:uid="{00000000-0005-0000-0000-0000469C0000}"/>
    <cellStyle name="Normal 9 3 4 3 4 2" xfId="39088" xr:uid="{00000000-0005-0000-0000-0000479C0000}"/>
    <cellStyle name="Normal 9 3 4 3 5" xfId="39081" xr:uid="{00000000-0005-0000-0000-0000489C0000}"/>
    <cellStyle name="Normal 9 3 4 4" xfId="15613" xr:uid="{00000000-0005-0000-0000-0000499C0000}"/>
    <cellStyle name="Normal 9 3 4 4 2" xfId="15614" xr:uid="{00000000-0005-0000-0000-00004A9C0000}"/>
    <cellStyle name="Normal 9 3 4 4 2 2" xfId="15615" xr:uid="{00000000-0005-0000-0000-00004B9C0000}"/>
    <cellStyle name="Normal 9 3 4 4 2 2 2" xfId="39091" xr:uid="{00000000-0005-0000-0000-00004C9C0000}"/>
    <cellStyle name="Normal 9 3 4 4 2 3" xfId="39090" xr:uid="{00000000-0005-0000-0000-00004D9C0000}"/>
    <cellStyle name="Normal 9 3 4 4 3" xfId="15616" xr:uid="{00000000-0005-0000-0000-00004E9C0000}"/>
    <cellStyle name="Normal 9 3 4 4 3 2" xfId="39092" xr:uid="{00000000-0005-0000-0000-00004F9C0000}"/>
    <cellStyle name="Normal 9 3 4 4 4" xfId="39089" xr:uid="{00000000-0005-0000-0000-0000509C0000}"/>
    <cellStyle name="Normal 9 3 4 5" xfId="15617" xr:uid="{00000000-0005-0000-0000-0000519C0000}"/>
    <cellStyle name="Normal 9 3 4 5 2" xfId="15618" xr:uid="{00000000-0005-0000-0000-0000529C0000}"/>
    <cellStyle name="Normal 9 3 4 5 2 2" xfId="39094" xr:uid="{00000000-0005-0000-0000-0000539C0000}"/>
    <cellStyle name="Normal 9 3 4 5 3" xfId="39093" xr:uid="{00000000-0005-0000-0000-0000549C0000}"/>
    <cellStyle name="Normal 9 3 4 6" xfId="15619" xr:uid="{00000000-0005-0000-0000-0000559C0000}"/>
    <cellStyle name="Normal 9 3 4 6 2" xfId="39095" xr:uid="{00000000-0005-0000-0000-0000569C0000}"/>
    <cellStyle name="Normal 9 3 4 7" xfId="39072" xr:uid="{00000000-0005-0000-0000-0000579C0000}"/>
    <cellStyle name="Normal 9 3 5" xfId="15620" xr:uid="{00000000-0005-0000-0000-0000589C0000}"/>
    <cellStyle name="Normal 9 3 5 2" xfId="15621" xr:uid="{00000000-0005-0000-0000-0000599C0000}"/>
    <cellStyle name="Normal 9 3 5 2 2" xfId="15622" xr:uid="{00000000-0005-0000-0000-00005A9C0000}"/>
    <cellStyle name="Normal 9 3 5 2 2 2" xfId="15623" xr:uid="{00000000-0005-0000-0000-00005B9C0000}"/>
    <cellStyle name="Normal 9 3 5 2 2 2 2" xfId="15624" xr:uid="{00000000-0005-0000-0000-00005C9C0000}"/>
    <cellStyle name="Normal 9 3 5 2 2 2 2 2" xfId="39100" xr:uid="{00000000-0005-0000-0000-00005D9C0000}"/>
    <cellStyle name="Normal 9 3 5 2 2 2 3" xfId="39099" xr:uid="{00000000-0005-0000-0000-00005E9C0000}"/>
    <cellStyle name="Normal 9 3 5 2 2 3" xfId="15625" xr:uid="{00000000-0005-0000-0000-00005F9C0000}"/>
    <cellStyle name="Normal 9 3 5 2 2 3 2" xfId="39101" xr:uid="{00000000-0005-0000-0000-0000609C0000}"/>
    <cellStyle name="Normal 9 3 5 2 2 4" xfId="39098" xr:uid="{00000000-0005-0000-0000-0000619C0000}"/>
    <cellStyle name="Normal 9 3 5 2 3" xfId="15626" xr:uid="{00000000-0005-0000-0000-0000629C0000}"/>
    <cellStyle name="Normal 9 3 5 2 3 2" xfId="15627" xr:uid="{00000000-0005-0000-0000-0000639C0000}"/>
    <cellStyle name="Normal 9 3 5 2 3 2 2" xfId="39103" xr:uid="{00000000-0005-0000-0000-0000649C0000}"/>
    <cellStyle name="Normal 9 3 5 2 3 3" xfId="39102" xr:uid="{00000000-0005-0000-0000-0000659C0000}"/>
    <cellStyle name="Normal 9 3 5 2 4" xfId="15628" xr:uid="{00000000-0005-0000-0000-0000669C0000}"/>
    <cellStyle name="Normal 9 3 5 2 4 2" xfId="39104" xr:uid="{00000000-0005-0000-0000-0000679C0000}"/>
    <cellStyle name="Normal 9 3 5 2 5" xfId="39097" xr:uid="{00000000-0005-0000-0000-0000689C0000}"/>
    <cellStyle name="Normal 9 3 5 3" xfId="15629" xr:uid="{00000000-0005-0000-0000-0000699C0000}"/>
    <cellStyle name="Normal 9 3 5 3 2" xfId="15630" xr:uid="{00000000-0005-0000-0000-00006A9C0000}"/>
    <cellStyle name="Normal 9 3 5 3 2 2" xfId="15631" xr:uid="{00000000-0005-0000-0000-00006B9C0000}"/>
    <cellStyle name="Normal 9 3 5 3 2 2 2" xfId="15632" xr:uid="{00000000-0005-0000-0000-00006C9C0000}"/>
    <cellStyle name="Normal 9 3 5 3 2 2 2 2" xfId="39108" xr:uid="{00000000-0005-0000-0000-00006D9C0000}"/>
    <cellStyle name="Normal 9 3 5 3 2 2 3" xfId="39107" xr:uid="{00000000-0005-0000-0000-00006E9C0000}"/>
    <cellStyle name="Normal 9 3 5 3 2 3" xfId="15633" xr:uid="{00000000-0005-0000-0000-00006F9C0000}"/>
    <cellStyle name="Normal 9 3 5 3 2 3 2" xfId="39109" xr:uid="{00000000-0005-0000-0000-0000709C0000}"/>
    <cellStyle name="Normal 9 3 5 3 2 4" xfId="39106" xr:uid="{00000000-0005-0000-0000-0000719C0000}"/>
    <cellStyle name="Normal 9 3 5 3 3" xfId="15634" xr:uid="{00000000-0005-0000-0000-0000729C0000}"/>
    <cellStyle name="Normal 9 3 5 3 3 2" xfId="15635" xr:uid="{00000000-0005-0000-0000-0000739C0000}"/>
    <cellStyle name="Normal 9 3 5 3 3 2 2" xfId="39111" xr:uid="{00000000-0005-0000-0000-0000749C0000}"/>
    <cellStyle name="Normal 9 3 5 3 3 3" xfId="39110" xr:uid="{00000000-0005-0000-0000-0000759C0000}"/>
    <cellStyle name="Normal 9 3 5 3 4" xfId="15636" xr:uid="{00000000-0005-0000-0000-0000769C0000}"/>
    <cellStyle name="Normal 9 3 5 3 4 2" xfId="39112" xr:uid="{00000000-0005-0000-0000-0000779C0000}"/>
    <cellStyle name="Normal 9 3 5 3 5" xfId="39105" xr:uid="{00000000-0005-0000-0000-0000789C0000}"/>
    <cellStyle name="Normal 9 3 5 4" xfId="15637" xr:uid="{00000000-0005-0000-0000-0000799C0000}"/>
    <cellStyle name="Normal 9 3 5 4 2" xfId="15638" xr:uid="{00000000-0005-0000-0000-00007A9C0000}"/>
    <cellStyle name="Normal 9 3 5 4 2 2" xfId="15639" xr:uid="{00000000-0005-0000-0000-00007B9C0000}"/>
    <cellStyle name="Normal 9 3 5 4 2 2 2" xfId="39115" xr:uid="{00000000-0005-0000-0000-00007C9C0000}"/>
    <cellStyle name="Normal 9 3 5 4 2 3" xfId="39114" xr:uid="{00000000-0005-0000-0000-00007D9C0000}"/>
    <cellStyle name="Normal 9 3 5 4 3" xfId="15640" xr:uid="{00000000-0005-0000-0000-00007E9C0000}"/>
    <cellStyle name="Normal 9 3 5 4 3 2" xfId="39116" xr:uid="{00000000-0005-0000-0000-00007F9C0000}"/>
    <cellStyle name="Normal 9 3 5 4 4" xfId="39113" xr:uid="{00000000-0005-0000-0000-0000809C0000}"/>
    <cellStyle name="Normal 9 3 5 5" xfId="15641" xr:uid="{00000000-0005-0000-0000-0000819C0000}"/>
    <cellStyle name="Normal 9 3 5 5 2" xfId="15642" xr:uid="{00000000-0005-0000-0000-0000829C0000}"/>
    <cellStyle name="Normal 9 3 5 5 2 2" xfId="39118" xr:uid="{00000000-0005-0000-0000-0000839C0000}"/>
    <cellStyle name="Normal 9 3 5 5 3" xfId="39117" xr:uid="{00000000-0005-0000-0000-0000849C0000}"/>
    <cellStyle name="Normal 9 3 5 6" xfId="15643" xr:uid="{00000000-0005-0000-0000-0000859C0000}"/>
    <cellStyle name="Normal 9 3 5 6 2" xfId="39119" xr:uid="{00000000-0005-0000-0000-0000869C0000}"/>
    <cellStyle name="Normal 9 3 5 7" xfId="39096" xr:uid="{00000000-0005-0000-0000-0000879C0000}"/>
    <cellStyle name="Normal 9 3 6" xfId="15644" xr:uid="{00000000-0005-0000-0000-0000889C0000}"/>
    <cellStyle name="Normal 9 3 6 2" xfId="15645" xr:uid="{00000000-0005-0000-0000-0000899C0000}"/>
    <cellStyle name="Normal 9 3 6 2 2" xfId="15646" xr:uid="{00000000-0005-0000-0000-00008A9C0000}"/>
    <cellStyle name="Normal 9 3 6 2 2 2" xfId="15647" xr:uid="{00000000-0005-0000-0000-00008B9C0000}"/>
    <cellStyle name="Normal 9 3 6 2 2 2 2" xfId="39123" xr:uid="{00000000-0005-0000-0000-00008C9C0000}"/>
    <cellStyle name="Normal 9 3 6 2 2 3" xfId="39122" xr:uid="{00000000-0005-0000-0000-00008D9C0000}"/>
    <cellStyle name="Normal 9 3 6 2 3" xfId="15648" xr:uid="{00000000-0005-0000-0000-00008E9C0000}"/>
    <cellStyle name="Normal 9 3 6 2 3 2" xfId="39124" xr:uid="{00000000-0005-0000-0000-00008F9C0000}"/>
    <cellStyle name="Normal 9 3 6 2 4" xfId="39121" xr:uid="{00000000-0005-0000-0000-0000909C0000}"/>
    <cellStyle name="Normal 9 3 6 3" xfId="15649" xr:uid="{00000000-0005-0000-0000-0000919C0000}"/>
    <cellStyle name="Normal 9 3 6 3 2" xfId="15650" xr:uid="{00000000-0005-0000-0000-0000929C0000}"/>
    <cellStyle name="Normal 9 3 6 3 2 2" xfId="39126" xr:uid="{00000000-0005-0000-0000-0000939C0000}"/>
    <cellStyle name="Normal 9 3 6 3 3" xfId="39125" xr:uid="{00000000-0005-0000-0000-0000949C0000}"/>
    <cellStyle name="Normal 9 3 6 4" xfId="15651" xr:uid="{00000000-0005-0000-0000-0000959C0000}"/>
    <cellStyle name="Normal 9 3 6 4 2" xfId="39127" xr:uid="{00000000-0005-0000-0000-0000969C0000}"/>
    <cellStyle name="Normal 9 3 6 5" xfId="39120" xr:uid="{00000000-0005-0000-0000-0000979C0000}"/>
    <cellStyle name="Normal 9 3 7" xfId="15652" xr:uid="{00000000-0005-0000-0000-0000989C0000}"/>
    <cellStyle name="Normal 9 3 7 2" xfId="15653" xr:uid="{00000000-0005-0000-0000-0000999C0000}"/>
    <cellStyle name="Normal 9 3 7 2 2" xfId="15654" xr:uid="{00000000-0005-0000-0000-00009A9C0000}"/>
    <cellStyle name="Normal 9 3 7 2 2 2" xfId="15655" xr:uid="{00000000-0005-0000-0000-00009B9C0000}"/>
    <cellStyle name="Normal 9 3 7 2 2 2 2" xfId="39131" xr:uid="{00000000-0005-0000-0000-00009C9C0000}"/>
    <cellStyle name="Normal 9 3 7 2 2 3" xfId="39130" xr:uid="{00000000-0005-0000-0000-00009D9C0000}"/>
    <cellStyle name="Normal 9 3 7 2 3" xfId="15656" xr:uid="{00000000-0005-0000-0000-00009E9C0000}"/>
    <cellStyle name="Normal 9 3 7 2 3 2" xfId="39132" xr:uid="{00000000-0005-0000-0000-00009F9C0000}"/>
    <cellStyle name="Normal 9 3 7 2 4" xfId="39129" xr:uid="{00000000-0005-0000-0000-0000A09C0000}"/>
    <cellStyle name="Normal 9 3 7 3" xfId="15657" xr:uid="{00000000-0005-0000-0000-0000A19C0000}"/>
    <cellStyle name="Normal 9 3 7 3 2" xfId="15658" xr:uid="{00000000-0005-0000-0000-0000A29C0000}"/>
    <cellStyle name="Normal 9 3 7 3 2 2" xfId="39134" xr:uid="{00000000-0005-0000-0000-0000A39C0000}"/>
    <cellStyle name="Normal 9 3 7 3 3" xfId="39133" xr:uid="{00000000-0005-0000-0000-0000A49C0000}"/>
    <cellStyle name="Normal 9 3 7 4" xfId="15659" xr:uid="{00000000-0005-0000-0000-0000A59C0000}"/>
    <cellStyle name="Normal 9 3 7 4 2" xfId="39135" xr:uid="{00000000-0005-0000-0000-0000A69C0000}"/>
    <cellStyle name="Normal 9 3 7 5" xfId="39128" xr:uid="{00000000-0005-0000-0000-0000A79C0000}"/>
    <cellStyle name="Normal 9 3 8" xfId="15660" xr:uid="{00000000-0005-0000-0000-0000A89C0000}"/>
    <cellStyle name="Normal 9 3 8 2" xfId="15661" xr:uid="{00000000-0005-0000-0000-0000A99C0000}"/>
    <cellStyle name="Normal 9 3 8 2 2" xfId="15662" xr:uid="{00000000-0005-0000-0000-0000AA9C0000}"/>
    <cellStyle name="Normal 9 3 8 2 2 2" xfId="39138" xr:uid="{00000000-0005-0000-0000-0000AB9C0000}"/>
    <cellStyle name="Normal 9 3 8 2 3" xfId="39137" xr:uid="{00000000-0005-0000-0000-0000AC9C0000}"/>
    <cellStyle name="Normal 9 3 8 3" xfId="15663" xr:uid="{00000000-0005-0000-0000-0000AD9C0000}"/>
    <cellStyle name="Normal 9 3 8 3 2" xfId="39139" xr:uid="{00000000-0005-0000-0000-0000AE9C0000}"/>
    <cellStyle name="Normal 9 3 8 4" xfId="39136" xr:uid="{00000000-0005-0000-0000-0000AF9C0000}"/>
    <cellStyle name="Normal 9 3 9" xfId="15664" xr:uid="{00000000-0005-0000-0000-0000B09C0000}"/>
    <cellStyle name="Normal 9 3 9 2" xfId="15665" xr:uid="{00000000-0005-0000-0000-0000B19C0000}"/>
    <cellStyle name="Normal 9 3 9 2 2" xfId="39141" xr:uid="{00000000-0005-0000-0000-0000B29C0000}"/>
    <cellStyle name="Normal 9 3 9 3" xfId="39140" xr:uid="{00000000-0005-0000-0000-0000B39C0000}"/>
    <cellStyle name="Normal 9 4" xfId="15666" xr:uid="{00000000-0005-0000-0000-0000B49C0000}"/>
    <cellStyle name="Normal 9 4 10" xfId="39142" xr:uid="{00000000-0005-0000-0000-0000B59C0000}"/>
    <cellStyle name="Normal 9 4 2" xfId="15667" xr:uid="{00000000-0005-0000-0000-0000B69C0000}"/>
    <cellStyle name="Normal 9 4 2 2" xfId="15668" xr:uid="{00000000-0005-0000-0000-0000B79C0000}"/>
    <cellStyle name="Normal 9 4 2 2 2" xfId="15669" xr:uid="{00000000-0005-0000-0000-0000B89C0000}"/>
    <cellStyle name="Normal 9 4 2 2 2 2" xfId="15670" xr:uid="{00000000-0005-0000-0000-0000B99C0000}"/>
    <cellStyle name="Normal 9 4 2 2 2 2 2" xfId="15671" xr:uid="{00000000-0005-0000-0000-0000BA9C0000}"/>
    <cellStyle name="Normal 9 4 2 2 2 2 2 2" xfId="39147" xr:uid="{00000000-0005-0000-0000-0000BB9C0000}"/>
    <cellStyle name="Normal 9 4 2 2 2 2 3" xfId="39146" xr:uid="{00000000-0005-0000-0000-0000BC9C0000}"/>
    <cellStyle name="Normal 9 4 2 2 2 3" xfId="15672" xr:uid="{00000000-0005-0000-0000-0000BD9C0000}"/>
    <cellStyle name="Normal 9 4 2 2 2 3 2" xfId="39148" xr:uid="{00000000-0005-0000-0000-0000BE9C0000}"/>
    <cellStyle name="Normal 9 4 2 2 2 4" xfId="39145" xr:uid="{00000000-0005-0000-0000-0000BF9C0000}"/>
    <cellStyle name="Normal 9 4 2 2 3" xfId="15673" xr:uid="{00000000-0005-0000-0000-0000C09C0000}"/>
    <cellStyle name="Normal 9 4 2 2 3 2" xfId="15674" xr:uid="{00000000-0005-0000-0000-0000C19C0000}"/>
    <cellStyle name="Normal 9 4 2 2 3 2 2" xfId="39150" xr:uid="{00000000-0005-0000-0000-0000C29C0000}"/>
    <cellStyle name="Normal 9 4 2 2 3 3" xfId="39149" xr:uid="{00000000-0005-0000-0000-0000C39C0000}"/>
    <cellStyle name="Normal 9 4 2 2 4" xfId="15675" xr:uid="{00000000-0005-0000-0000-0000C49C0000}"/>
    <cellStyle name="Normal 9 4 2 2 4 2" xfId="39151" xr:uid="{00000000-0005-0000-0000-0000C59C0000}"/>
    <cellStyle name="Normal 9 4 2 2 5" xfId="21865" xr:uid="{00000000-0005-0000-0000-0000C69C0000}"/>
    <cellStyle name="Normal 9 4 2 2 5 2" xfId="45170" xr:uid="{00000000-0005-0000-0000-0000C79C0000}"/>
    <cellStyle name="Normal 9 4 2 2 6" xfId="21866" xr:uid="{00000000-0005-0000-0000-0000C89C0000}"/>
    <cellStyle name="Normal 9 4 2 2 6 2" xfId="45171" xr:uid="{00000000-0005-0000-0000-0000C99C0000}"/>
    <cellStyle name="Normal 9 4 2 2 7" xfId="39144" xr:uid="{00000000-0005-0000-0000-0000CA9C0000}"/>
    <cellStyle name="Normal 9 4 2 3" xfId="15676" xr:uid="{00000000-0005-0000-0000-0000CB9C0000}"/>
    <cellStyle name="Normal 9 4 2 3 2" xfId="15677" xr:uid="{00000000-0005-0000-0000-0000CC9C0000}"/>
    <cellStyle name="Normal 9 4 2 3 2 2" xfId="15678" xr:uid="{00000000-0005-0000-0000-0000CD9C0000}"/>
    <cellStyle name="Normal 9 4 2 3 2 2 2" xfId="15679" xr:uid="{00000000-0005-0000-0000-0000CE9C0000}"/>
    <cellStyle name="Normal 9 4 2 3 2 2 2 2" xfId="39155" xr:uid="{00000000-0005-0000-0000-0000CF9C0000}"/>
    <cellStyle name="Normal 9 4 2 3 2 2 3" xfId="39154" xr:uid="{00000000-0005-0000-0000-0000D09C0000}"/>
    <cellStyle name="Normal 9 4 2 3 2 3" xfId="15680" xr:uid="{00000000-0005-0000-0000-0000D19C0000}"/>
    <cellStyle name="Normal 9 4 2 3 2 3 2" xfId="39156" xr:uid="{00000000-0005-0000-0000-0000D29C0000}"/>
    <cellStyle name="Normal 9 4 2 3 2 4" xfId="39153" xr:uid="{00000000-0005-0000-0000-0000D39C0000}"/>
    <cellStyle name="Normal 9 4 2 3 3" xfId="15681" xr:uid="{00000000-0005-0000-0000-0000D49C0000}"/>
    <cellStyle name="Normal 9 4 2 3 3 2" xfId="15682" xr:uid="{00000000-0005-0000-0000-0000D59C0000}"/>
    <cellStyle name="Normal 9 4 2 3 3 2 2" xfId="39158" xr:uid="{00000000-0005-0000-0000-0000D69C0000}"/>
    <cellStyle name="Normal 9 4 2 3 3 3" xfId="39157" xr:uid="{00000000-0005-0000-0000-0000D79C0000}"/>
    <cellStyle name="Normal 9 4 2 3 4" xfId="15683" xr:uid="{00000000-0005-0000-0000-0000D89C0000}"/>
    <cellStyle name="Normal 9 4 2 3 4 2" xfId="39159" xr:uid="{00000000-0005-0000-0000-0000D99C0000}"/>
    <cellStyle name="Normal 9 4 2 3 5" xfId="39152" xr:uid="{00000000-0005-0000-0000-0000DA9C0000}"/>
    <cellStyle name="Normal 9 4 2 4" xfId="15684" xr:uid="{00000000-0005-0000-0000-0000DB9C0000}"/>
    <cellStyle name="Normal 9 4 2 4 2" xfId="15685" xr:uid="{00000000-0005-0000-0000-0000DC9C0000}"/>
    <cellStyle name="Normal 9 4 2 4 2 2" xfId="15686" xr:uid="{00000000-0005-0000-0000-0000DD9C0000}"/>
    <cellStyle name="Normal 9 4 2 4 2 2 2" xfId="39162" xr:uid="{00000000-0005-0000-0000-0000DE9C0000}"/>
    <cellStyle name="Normal 9 4 2 4 2 3" xfId="39161" xr:uid="{00000000-0005-0000-0000-0000DF9C0000}"/>
    <cellStyle name="Normal 9 4 2 4 3" xfId="15687" xr:uid="{00000000-0005-0000-0000-0000E09C0000}"/>
    <cellStyle name="Normal 9 4 2 4 3 2" xfId="39163" xr:uid="{00000000-0005-0000-0000-0000E19C0000}"/>
    <cellStyle name="Normal 9 4 2 4 4" xfId="39160" xr:uid="{00000000-0005-0000-0000-0000E29C0000}"/>
    <cellStyle name="Normal 9 4 2 5" xfId="15688" xr:uid="{00000000-0005-0000-0000-0000E39C0000}"/>
    <cellStyle name="Normal 9 4 2 5 2" xfId="15689" xr:uid="{00000000-0005-0000-0000-0000E49C0000}"/>
    <cellStyle name="Normal 9 4 2 5 2 2" xfId="39165" xr:uid="{00000000-0005-0000-0000-0000E59C0000}"/>
    <cellStyle name="Normal 9 4 2 5 3" xfId="39164" xr:uid="{00000000-0005-0000-0000-0000E69C0000}"/>
    <cellStyle name="Normal 9 4 2 6" xfId="15690" xr:uid="{00000000-0005-0000-0000-0000E79C0000}"/>
    <cellStyle name="Normal 9 4 2 6 2" xfId="39166" xr:uid="{00000000-0005-0000-0000-0000E89C0000}"/>
    <cellStyle name="Normal 9 4 2 7" xfId="21867" xr:uid="{00000000-0005-0000-0000-0000E99C0000}"/>
    <cellStyle name="Normal 9 4 2 7 2" xfId="45172" xr:uid="{00000000-0005-0000-0000-0000EA9C0000}"/>
    <cellStyle name="Normal 9 4 2 8" xfId="39143" xr:uid="{00000000-0005-0000-0000-0000EB9C0000}"/>
    <cellStyle name="Normal 9 4 3" xfId="15691" xr:uid="{00000000-0005-0000-0000-0000EC9C0000}"/>
    <cellStyle name="Normal 9 4 3 2" xfId="15692" xr:uid="{00000000-0005-0000-0000-0000ED9C0000}"/>
    <cellStyle name="Normal 9 4 3 2 2" xfId="15693" xr:uid="{00000000-0005-0000-0000-0000EE9C0000}"/>
    <cellStyle name="Normal 9 4 3 2 2 2" xfId="15694" xr:uid="{00000000-0005-0000-0000-0000EF9C0000}"/>
    <cellStyle name="Normal 9 4 3 2 2 2 2" xfId="15695" xr:uid="{00000000-0005-0000-0000-0000F09C0000}"/>
    <cellStyle name="Normal 9 4 3 2 2 2 2 2" xfId="39171" xr:uid="{00000000-0005-0000-0000-0000F19C0000}"/>
    <cellStyle name="Normal 9 4 3 2 2 2 3" xfId="39170" xr:uid="{00000000-0005-0000-0000-0000F29C0000}"/>
    <cellStyle name="Normal 9 4 3 2 2 3" xfId="15696" xr:uid="{00000000-0005-0000-0000-0000F39C0000}"/>
    <cellStyle name="Normal 9 4 3 2 2 3 2" xfId="39172" xr:uid="{00000000-0005-0000-0000-0000F49C0000}"/>
    <cellStyle name="Normal 9 4 3 2 2 4" xfId="39169" xr:uid="{00000000-0005-0000-0000-0000F59C0000}"/>
    <cellStyle name="Normal 9 4 3 2 3" xfId="15697" xr:uid="{00000000-0005-0000-0000-0000F69C0000}"/>
    <cellStyle name="Normal 9 4 3 2 3 2" xfId="15698" xr:uid="{00000000-0005-0000-0000-0000F79C0000}"/>
    <cellStyle name="Normal 9 4 3 2 3 2 2" xfId="39174" xr:uid="{00000000-0005-0000-0000-0000F89C0000}"/>
    <cellStyle name="Normal 9 4 3 2 3 3" xfId="39173" xr:uid="{00000000-0005-0000-0000-0000F99C0000}"/>
    <cellStyle name="Normal 9 4 3 2 4" xfId="15699" xr:uid="{00000000-0005-0000-0000-0000FA9C0000}"/>
    <cellStyle name="Normal 9 4 3 2 4 2" xfId="39175" xr:uid="{00000000-0005-0000-0000-0000FB9C0000}"/>
    <cellStyle name="Normal 9 4 3 2 5" xfId="21868" xr:uid="{00000000-0005-0000-0000-0000FC9C0000}"/>
    <cellStyle name="Normal 9 4 3 2 5 2" xfId="45173" xr:uid="{00000000-0005-0000-0000-0000FD9C0000}"/>
    <cellStyle name="Normal 9 4 3 2 6" xfId="21869" xr:uid="{00000000-0005-0000-0000-0000FE9C0000}"/>
    <cellStyle name="Normal 9 4 3 2 6 2" xfId="45174" xr:uid="{00000000-0005-0000-0000-0000FF9C0000}"/>
    <cellStyle name="Normal 9 4 3 2 7" xfId="39168" xr:uid="{00000000-0005-0000-0000-0000009D0000}"/>
    <cellStyle name="Normal 9 4 3 3" xfId="15700" xr:uid="{00000000-0005-0000-0000-0000019D0000}"/>
    <cellStyle name="Normal 9 4 3 3 2" xfId="15701" xr:uid="{00000000-0005-0000-0000-0000029D0000}"/>
    <cellStyle name="Normal 9 4 3 3 2 2" xfId="15702" xr:uid="{00000000-0005-0000-0000-0000039D0000}"/>
    <cellStyle name="Normal 9 4 3 3 2 2 2" xfId="15703" xr:uid="{00000000-0005-0000-0000-0000049D0000}"/>
    <cellStyle name="Normal 9 4 3 3 2 2 2 2" xfId="39179" xr:uid="{00000000-0005-0000-0000-0000059D0000}"/>
    <cellStyle name="Normal 9 4 3 3 2 2 3" xfId="39178" xr:uid="{00000000-0005-0000-0000-0000069D0000}"/>
    <cellStyle name="Normal 9 4 3 3 2 3" xfId="15704" xr:uid="{00000000-0005-0000-0000-0000079D0000}"/>
    <cellStyle name="Normal 9 4 3 3 2 3 2" xfId="39180" xr:uid="{00000000-0005-0000-0000-0000089D0000}"/>
    <cellStyle name="Normal 9 4 3 3 2 4" xfId="39177" xr:uid="{00000000-0005-0000-0000-0000099D0000}"/>
    <cellStyle name="Normal 9 4 3 3 3" xfId="15705" xr:uid="{00000000-0005-0000-0000-00000A9D0000}"/>
    <cellStyle name="Normal 9 4 3 3 3 2" xfId="15706" xr:uid="{00000000-0005-0000-0000-00000B9D0000}"/>
    <cellStyle name="Normal 9 4 3 3 3 2 2" xfId="39182" xr:uid="{00000000-0005-0000-0000-00000C9D0000}"/>
    <cellStyle name="Normal 9 4 3 3 3 3" xfId="39181" xr:uid="{00000000-0005-0000-0000-00000D9D0000}"/>
    <cellStyle name="Normal 9 4 3 3 4" xfId="15707" xr:uid="{00000000-0005-0000-0000-00000E9D0000}"/>
    <cellStyle name="Normal 9 4 3 3 4 2" xfId="39183" xr:uid="{00000000-0005-0000-0000-00000F9D0000}"/>
    <cellStyle name="Normal 9 4 3 3 5" xfId="39176" xr:uid="{00000000-0005-0000-0000-0000109D0000}"/>
    <cellStyle name="Normal 9 4 3 4" xfId="15708" xr:uid="{00000000-0005-0000-0000-0000119D0000}"/>
    <cellStyle name="Normal 9 4 3 4 2" xfId="15709" xr:uid="{00000000-0005-0000-0000-0000129D0000}"/>
    <cellStyle name="Normal 9 4 3 4 2 2" xfId="15710" xr:uid="{00000000-0005-0000-0000-0000139D0000}"/>
    <cellStyle name="Normal 9 4 3 4 2 2 2" xfId="39186" xr:uid="{00000000-0005-0000-0000-0000149D0000}"/>
    <cellStyle name="Normal 9 4 3 4 2 3" xfId="39185" xr:uid="{00000000-0005-0000-0000-0000159D0000}"/>
    <cellStyle name="Normal 9 4 3 4 3" xfId="15711" xr:uid="{00000000-0005-0000-0000-0000169D0000}"/>
    <cellStyle name="Normal 9 4 3 4 3 2" xfId="39187" xr:uid="{00000000-0005-0000-0000-0000179D0000}"/>
    <cellStyle name="Normal 9 4 3 4 4" xfId="39184" xr:uid="{00000000-0005-0000-0000-0000189D0000}"/>
    <cellStyle name="Normal 9 4 3 5" xfId="15712" xr:uid="{00000000-0005-0000-0000-0000199D0000}"/>
    <cellStyle name="Normal 9 4 3 5 2" xfId="15713" xr:uid="{00000000-0005-0000-0000-00001A9D0000}"/>
    <cellStyle name="Normal 9 4 3 5 2 2" xfId="39189" xr:uid="{00000000-0005-0000-0000-00001B9D0000}"/>
    <cellStyle name="Normal 9 4 3 5 3" xfId="39188" xr:uid="{00000000-0005-0000-0000-00001C9D0000}"/>
    <cellStyle name="Normal 9 4 3 6" xfId="15714" xr:uid="{00000000-0005-0000-0000-00001D9D0000}"/>
    <cellStyle name="Normal 9 4 3 6 2" xfId="39190" xr:uid="{00000000-0005-0000-0000-00001E9D0000}"/>
    <cellStyle name="Normal 9 4 3 7" xfId="21870" xr:uid="{00000000-0005-0000-0000-00001F9D0000}"/>
    <cellStyle name="Normal 9 4 3 7 2" xfId="45175" xr:uid="{00000000-0005-0000-0000-0000209D0000}"/>
    <cellStyle name="Normal 9 4 3 8" xfId="39167" xr:uid="{00000000-0005-0000-0000-0000219D0000}"/>
    <cellStyle name="Normal 9 4 4" xfId="15715" xr:uid="{00000000-0005-0000-0000-0000229D0000}"/>
    <cellStyle name="Normal 9 4 4 2" xfId="15716" xr:uid="{00000000-0005-0000-0000-0000239D0000}"/>
    <cellStyle name="Normal 9 4 4 2 2" xfId="15717" xr:uid="{00000000-0005-0000-0000-0000249D0000}"/>
    <cellStyle name="Normal 9 4 4 2 2 2" xfId="15718" xr:uid="{00000000-0005-0000-0000-0000259D0000}"/>
    <cellStyle name="Normal 9 4 4 2 2 2 2" xfId="15719" xr:uid="{00000000-0005-0000-0000-0000269D0000}"/>
    <cellStyle name="Normal 9 4 4 2 2 2 2 2" xfId="39195" xr:uid="{00000000-0005-0000-0000-0000279D0000}"/>
    <cellStyle name="Normal 9 4 4 2 2 2 3" xfId="39194" xr:uid="{00000000-0005-0000-0000-0000289D0000}"/>
    <cellStyle name="Normal 9 4 4 2 2 3" xfId="15720" xr:uid="{00000000-0005-0000-0000-0000299D0000}"/>
    <cellStyle name="Normal 9 4 4 2 2 3 2" xfId="39196" xr:uid="{00000000-0005-0000-0000-00002A9D0000}"/>
    <cellStyle name="Normal 9 4 4 2 2 4" xfId="39193" xr:uid="{00000000-0005-0000-0000-00002B9D0000}"/>
    <cellStyle name="Normal 9 4 4 2 3" xfId="15721" xr:uid="{00000000-0005-0000-0000-00002C9D0000}"/>
    <cellStyle name="Normal 9 4 4 2 3 2" xfId="15722" xr:uid="{00000000-0005-0000-0000-00002D9D0000}"/>
    <cellStyle name="Normal 9 4 4 2 3 2 2" xfId="39198" xr:uid="{00000000-0005-0000-0000-00002E9D0000}"/>
    <cellStyle name="Normal 9 4 4 2 3 3" xfId="39197" xr:uid="{00000000-0005-0000-0000-00002F9D0000}"/>
    <cellStyle name="Normal 9 4 4 2 4" xfId="15723" xr:uid="{00000000-0005-0000-0000-0000309D0000}"/>
    <cellStyle name="Normal 9 4 4 2 4 2" xfId="39199" xr:uid="{00000000-0005-0000-0000-0000319D0000}"/>
    <cellStyle name="Normal 9 4 4 2 5" xfId="39192" xr:uid="{00000000-0005-0000-0000-0000329D0000}"/>
    <cellStyle name="Normal 9 4 4 3" xfId="15724" xr:uid="{00000000-0005-0000-0000-0000339D0000}"/>
    <cellStyle name="Normal 9 4 4 3 2" xfId="15725" xr:uid="{00000000-0005-0000-0000-0000349D0000}"/>
    <cellStyle name="Normal 9 4 4 3 2 2" xfId="15726" xr:uid="{00000000-0005-0000-0000-0000359D0000}"/>
    <cellStyle name="Normal 9 4 4 3 2 2 2" xfId="15727" xr:uid="{00000000-0005-0000-0000-0000369D0000}"/>
    <cellStyle name="Normal 9 4 4 3 2 2 2 2" xfId="39203" xr:uid="{00000000-0005-0000-0000-0000379D0000}"/>
    <cellStyle name="Normal 9 4 4 3 2 2 3" xfId="39202" xr:uid="{00000000-0005-0000-0000-0000389D0000}"/>
    <cellStyle name="Normal 9 4 4 3 2 3" xfId="15728" xr:uid="{00000000-0005-0000-0000-0000399D0000}"/>
    <cellStyle name="Normal 9 4 4 3 2 3 2" xfId="39204" xr:uid="{00000000-0005-0000-0000-00003A9D0000}"/>
    <cellStyle name="Normal 9 4 4 3 2 4" xfId="39201" xr:uid="{00000000-0005-0000-0000-00003B9D0000}"/>
    <cellStyle name="Normal 9 4 4 3 3" xfId="15729" xr:uid="{00000000-0005-0000-0000-00003C9D0000}"/>
    <cellStyle name="Normal 9 4 4 3 3 2" xfId="15730" xr:uid="{00000000-0005-0000-0000-00003D9D0000}"/>
    <cellStyle name="Normal 9 4 4 3 3 2 2" xfId="39206" xr:uid="{00000000-0005-0000-0000-00003E9D0000}"/>
    <cellStyle name="Normal 9 4 4 3 3 3" xfId="39205" xr:uid="{00000000-0005-0000-0000-00003F9D0000}"/>
    <cellStyle name="Normal 9 4 4 3 4" xfId="15731" xr:uid="{00000000-0005-0000-0000-0000409D0000}"/>
    <cellStyle name="Normal 9 4 4 3 4 2" xfId="39207" xr:uid="{00000000-0005-0000-0000-0000419D0000}"/>
    <cellStyle name="Normal 9 4 4 3 5" xfId="39200" xr:uid="{00000000-0005-0000-0000-0000429D0000}"/>
    <cellStyle name="Normal 9 4 4 4" xfId="15732" xr:uid="{00000000-0005-0000-0000-0000439D0000}"/>
    <cellStyle name="Normal 9 4 4 4 2" xfId="15733" xr:uid="{00000000-0005-0000-0000-0000449D0000}"/>
    <cellStyle name="Normal 9 4 4 4 2 2" xfId="15734" xr:uid="{00000000-0005-0000-0000-0000459D0000}"/>
    <cellStyle name="Normal 9 4 4 4 2 2 2" xfId="39210" xr:uid="{00000000-0005-0000-0000-0000469D0000}"/>
    <cellStyle name="Normal 9 4 4 4 2 3" xfId="39209" xr:uid="{00000000-0005-0000-0000-0000479D0000}"/>
    <cellStyle name="Normal 9 4 4 4 3" xfId="15735" xr:uid="{00000000-0005-0000-0000-0000489D0000}"/>
    <cellStyle name="Normal 9 4 4 4 3 2" xfId="39211" xr:uid="{00000000-0005-0000-0000-0000499D0000}"/>
    <cellStyle name="Normal 9 4 4 4 4" xfId="39208" xr:uid="{00000000-0005-0000-0000-00004A9D0000}"/>
    <cellStyle name="Normal 9 4 4 5" xfId="15736" xr:uid="{00000000-0005-0000-0000-00004B9D0000}"/>
    <cellStyle name="Normal 9 4 4 5 2" xfId="15737" xr:uid="{00000000-0005-0000-0000-00004C9D0000}"/>
    <cellStyle name="Normal 9 4 4 5 2 2" xfId="39213" xr:uid="{00000000-0005-0000-0000-00004D9D0000}"/>
    <cellStyle name="Normal 9 4 4 5 3" xfId="39212" xr:uid="{00000000-0005-0000-0000-00004E9D0000}"/>
    <cellStyle name="Normal 9 4 4 6" xfId="15738" xr:uid="{00000000-0005-0000-0000-00004F9D0000}"/>
    <cellStyle name="Normal 9 4 4 6 2" xfId="39214" xr:uid="{00000000-0005-0000-0000-0000509D0000}"/>
    <cellStyle name="Normal 9 4 4 7" xfId="39191" xr:uid="{00000000-0005-0000-0000-0000519D0000}"/>
    <cellStyle name="Normal 9 4 5" xfId="15739" xr:uid="{00000000-0005-0000-0000-0000529D0000}"/>
    <cellStyle name="Normal 9 4 5 2" xfId="15740" xr:uid="{00000000-0005-0000-0000-0000539D0000}"/>
    <cellStyle name="Normal 9 4 5 2 2" xfId="15741" xr:uid="{00000000-0005-0000-0000-0000549D0000}"/>
    <cellStyle name="Normal 9 4 5 2 2 2" xfId="15742" xr:uid="{00000000-0005-0000-0000-0000559D0000}"/>
    <cellStyle name="Normal 9 4 5 2 2 2 2" xfId="39218" xr:uid="{00000000-0005-0000-0000-0000569D0000}"/>
    <cellStyle name="Normal 9 4 5 2 2 3" xfId="39217" xr:uid="{00000000-0005-0000-0000-0000579D0000}"/>
    <cellStyle name="Normal 9 4 5 2 3" xfId="15743" xr:uid="{00000000-0005-0000-0000-0000589D0000}"/>
    <cellStyle name="Normal 9 4 5 2 3 2" xfId="39219" xr:uid="{00000000-0005-0000-0000-0000599D0000}"/>
    <cellStyle name="Normal 9 4 5 2 4" xfId="39216" xr:uid="{00000000-0005-0000-0000-00005A9D0000}"/>
    <cellStyle name="Normal 9 4 5 3" xfId="15744" xr:uid="{00000000-0005-0000-0000-00005B9D0000}"/>
    <cellStyle name="Normal 9 4 5 3 2" xfId="15745" xr:uid="{00000000-0005-0000-0000-00005C9D0000}"/>
    <cellStyle name="Normal 9 4 5 3 2 2" xfId="39221" xr:uid="{00000000-0005-0000-0000-00005D9D0000}"/>
    <cellStyle name="Normal 9 4 5 3 3" xfId="39220" xr:uid="{00000000-0005-0000-0000-00005E9D0000}"/>
    <cellStyle name="Normal 9 4 5 4" xfId="15746" xr:uid="{00000000-0005-0000-0000-00005F9D0000}"/>
    <cellStyle name="Normal 9 4 5 4 2" xfId="39222" xr:uid="{00000000-0005-0000-0000-0000609D0000}"/>
    <cellStyle name="Normal 9 4 5 5" xfId="39215" xr:uid="{00000000-0005-0000-0000-0000619D0000}"/>
    <cellStyle name="Normal 9 4 6" xfId="15747" xr:uid="{00000000-0005-0000-0000-0000629D0000}"/>
    <cellStyle name="Normal 9 4 6 2" xfId="15748" xr:uid="{00000000-0005-0000-0000-0000639D0000}"/>
    <cellStyle name="Normal 9 4 6 2 2" xfId="15749" xr:uid="{00000000-0005-0000-0000-0000649D0000}"/>
    <cellStyle name="Normal 9 4 6 2 2 2" xfId="15750" xr:uid="{00000000-0005-0000-0000-0000659D0000}"/>
    <cellStyle name="Normal 9 4 6 2 2 2 2" xfId="39226" xr:uid="{00000000-0005-0000-0000-0000669D0000}"/>
    <cellStyle name="Normal 9 4 6 2 2 3" xfId="39225" xr:uid="{00000000-0005-0000-0000-0000679D0000}"/>
    <cellStyle name="Normal 9 4 6 2 3" xfId="15751" xr:uid="{00000000-0005-0000-0000-0000689D0000}"/>
    <cellStyle name="Normal 9 4 6 2 3 2" xfId="39227" xr:uid="{00000000-0005-0000-0000-0000699D0000}"/>
    <cellStyle name="Normal 9 4 6 2 4" xfId="39224" xr:uid="{00000000-0005-0000-0000-00006A9D0000}"/>
    <cellStyle name="Normal 9 4 6 3" xfId="15752" xr:uid="{00000000-0005-0000-0000-00006B9D0000}"/>
    <cellStyle name="Normal 9 4 6 3 2" xfId="15753" xr:uid="{00000000-0005-0000-0000-00006C9D0000}"/>
    <cellStyle name="Normal 9 4 6 3 2 2" xfId="39229" xr:uid="{00000000-0005-0000-0000-00006D9D0000}"/>
    <cellStyle name="Normal 9 4 6 3 3" xfId="39228" xr:uid="{00000000-0005-0000-0000-00006E9D0000}"/>
    <cellStyle name="Normal 9 4 6 4" xfId="15754" xr:uid="{00000000-0005-0000-0000-00006F9D0000}"/>
    <cellStyle name="Normal 9 4 6 4 2" xfId="39230" xr:uid="{00000000-0005-0000-0000-0000709D0000}"/>
    <cellStyle name="Normal 9 4 6 5" xfId="39223" xr:uid="{00000000-0005-0000-0000-0000719D0000}"/>
    <cellStyle name="Normal 9 4 7" xfId="15755" xr:uid="{00000000-0005-0000-0000-0000729D0000}"/>
    <cellStyle name="Normal 9 4 7 2" xfId="15756" xr:uid="{00000000-0005-0000-0000-0000739D0000}"/>
    <cellStyle name="Normal 9 4 7 2 2" xfId="15757" xr:uid="{00000000-0005-0000-0000-0000749D0000}"/>
    <cellStyle name="Normal 9 4 7 2 2 2" xfId="39233" xr:uid="{00000000-0005-0000-0000-0000759D0000}"/>
    <cellStyle name="Normal 9 4 7 2 3" xfId="39232" xr:uid="{00000000-0005-0000-0000-0000769D0000}"/>
    <cellStyle name="Normal 9 4 7 3" xfId="15758" xr:uid="{00000000-0005-0000-0000-0000779D0000}"/>
    <cellStyle name="Normal 9 4 7 3 2" xfId="39234" xr:uid="{00000000-0005-0000-0000-0000789D0000}"/>
    <cellStyle name="Normal 9 4 7 4" xfId="39231" xr:uid="{00000000-0005-0000-0000-0000799D0000}"/>
    <cellStyle name="Normal 9 4 8" xfId="15759" xr:uid="{00000000-0005-0000-0000-00007A9D0000}"/>
    <cellStyle name="Normal 9 4 8 2" xfId="15760" xr:uid="{00000000-0005-0000-0000-00007B9D0000}"/>
    <cellStyle name="Normal 9 4 8 2 2" xfId="39236" xr:uid="{00000000-0005-0000-0000-00007C9D0000}"/>
    <cellStyle name="Normal 9 4 8 3" xfId="39235" xr:uid="{00000000-0005-0000-0000-00007D9D0000}"/>
    <cellStyle name="Normal 9 4 9" xfId="15761" xr:uid="{00000000-0005-0000-0000-00007E9D0000}"/>
    <cellStyle name="Normal 9 4 9 2" xfId="39237" xr:uid="{00000000-0005-0000-0000-00007F9D0000}"/>
    <cellStyle name="Normal 9 5" xfId="15762" xr:uid="{00000000-0005-0000-0000-0000809D0000}"/>
    <cellStyle name="Normal 9 5 10" xfId="39238" xr:uid="{00000000-0005-0000-0000-0000819D0000}"/>
    <cellStyle name="Normal 9 5 2" xfId="15763" xr:uid="{00000000-0005-0000-0000-0000829D0000}"/>
    <cellStyle name="Normal 9 5 2 2" xfId="15764" xr:uid="{00000000-0005-0000-0000-0000839D0000}"/>
    <cellStyle name="Normal 9 5 2 2 2" xfId="15765" xr:uid="{00000000-0005-0000-0000-0000849D0000}"/>
    <cellStyle name="Normal 9 5 2 2 2 2" xfId="15766" xr:uid="{00000000-0005-0000-0000-0000859D0000}"/>
    <cellStyle name="Normal 9 5 2 2 2 2 2" xfId="15767" xr:uid="{00000000-0005-0000-0000-0000869D0000}"/>
    <cellStyle name="Normal 9 5 2 2 2 2 2 2" xfId="39243" xr:uid="{00000000-0005-0000-0000-0000879D0000}"/>
    <cellStyle name="Normal 9 5 2 2 2 2 3" xfId="39242" xr:uid="{00000000-0005-0000-0000-0000889D0000}"/>
    <cellStyle name="Normal 9 5 2 2 2 3" xfId="15768" xr:uid="{00000000-0005-0000-0000-0000899D0000}"/>
    <cellStyle name="Normal 9 5 2 2 2 3 2" xfId="39244" xr:uid="{00000000-0005-0000-0000-00008A9D0000}"/>
    <cellStyle name="Normal 9 5 2 2 2 4" xfId="39241" xr:uid="{00000000-0005-0000-0000-00008B9D0000}"/>
    <cellStyle name="Normal 9 5 2 2 3" xfId="15769" xr:uid="{00000000-0005-0000-0000-00008C9D0000}"/>
    <cellStyle name="Normal 9 5 2 2 3 2" xfId="15770" xr:uid="{00000000-0005-0000-0000-00008D9D0000}"/>
    <cellStyle name="Normal 9 5 2 2 3 2 2" xfId="39246" xr:uid="{00000000-0005-0000-0000-00008E9D0000}"/>
    <cellStyle name="Normal 9 5 2 2 3 3" xfId="39245" xr:uid="{00000000-0005-0000-0000-00008F9D0000}"/>
    <cellStyle name="Normal 9 5 2 2 4" xfId="15771" xr:uid="{00000000-0005-0000-0000-0000909D0000}"/>
    <cellStyle name="Normal 9 5 2 2 4 2" xfId="39247" xr:uid="{00000000-0005-0000-0000-0000919D0000}"/>
    <cellStyle name="Normal 9 5 2 2 5" xfId="39240" xr:uid="{00000000-0005-0000-0000-0000929D0000}"/>
    <cellStyle name="Normal 9 5 2 3" xfId="15772" xr:uid="{00000000-0005-0000-0000-0000939D0000}"/>
    <cellStyle name="Normal 9 5 2 3 2" xfId="15773" xr:uid="{00000000-0005-0000-0000-0000949D0000}"/>
    <cellStyle name="Normal 9 5 2 3 2 2" xfId="15774" xr:uid="{00000000-0005-0000-0000-0000959D0000}"/>
    <cellStyle name="Normal 9 5 2 3 2 2 2" xfId="15775" xr:uid="{00000000-0005-0000-0000-0000969D0000}"/>
    <cellStyle name="Normal 9 5 2 3 2 2 2 2" xfId="39251" xr:uid="{00000000-0005-0000-0000-0000979D0000}"/>
    <cellStyle name="Normal 9 5 2 3 2 2 3" xfId="39250" xr:uid="{00000000-0005-0000-0000-0000989D0000}"/>
    <cellStyle name="Normal 9 5 2 3 2 3" xfId="15776" xr:uid="{00000000-0005-0000-0000-0000999D0000}"/>
    <cellStyle name="Normal 9 5 2 3 2 3 2" xfId="39252" xr:uid="{00000000-0005-0000-0000-00009A9D0000}"/>
    <cellStyle name="Normal 9 5 2 3 2 4" xfId="39249" xr:uid="{00000000-0005-0000-0000-00009B9D0000}"/>
    <cellStyle name="Normal 9 5 2 3 3" xfId="15777" xr:uid="{00000000-0005-0000-0000-00009C9D0000}"/>
    <cellStyle name="Normal 9 5 2 3 3 2" xfId="15778" xr:uid="{00000000-0005-0000-0000-00009D9D0000}"/>
    <cellStyle name="Normal 9 5 2 3 3 2 2" xfId="39254" xr:uid="{00000000-0005-0000-0000-00009E9D0000}"/>
    <cellStyle name="Normal 9 5 2 3 3 3" xfId="39253" xr:uid="{00000000-0005-0000-0000-00009F9D0000}"/>
    <cellStyle name="Normal 9 5 2 3 4" xfId="15779" xr:uid="{00000000-0005-0000-0000-0000A09D0000}"/>
    <cellStyle name="Normal 9 5 2 3 4 2" xfId="39255" xr:uid="{00000000-0005-0000-0000-0000A19D0000}"/>
    <cellStyle name="Normal 9 5 2 3 5" xfId="39248" xr:uid="{00000000-0005-0000-0000-0000A29D0000}"/>
    <cellStyle name="Normal 9 5 2 4" xfId="15780" xr:uid="{00000000-0005-0000-0000-0000A39D0000}"/>
    <cellStyle name="Normal 9 5 2 4 2" xfId="15781" xr:uid="{00000000-0005-0000-0000-0000A49D0000}"/>
    <cellStyle name="Normal 9 5 2 4 2 2" xfId="15782" xr:uid="{00000000-0005-0000-0000-0000A59D0000}"/>
    <cellStyle name="Normal 9 5 2 4 2 2 2" xfId="39258" xr:uid="{00000000-0005-0000-0000-0000A69D0000}"/>
    <cellStyle name="Normal 9 5 2 4 2 3" xfId="39257" xr:uid="{00000000-0005-0000-0000-0000A79D0000}"/>
    <cellStyle name="Normal 9 5 2 4 3" xfId="15783" xr:uid="{00000000-0005-0000-0000-0000A89D0000}"/>
    <cellStyle name="Normal 9 5 2 4 3 2" xfId="39259" xr:uid="{00000000-0005-0000-0000-0000A99D0000}"/>
    <cellStyle name="Normal 9 5 2 4 4" xfId="39256" xr:uid="{00000000-0005-0000-0000-0000AA9D0000}"/>
    <cellStyle name="Normal 9 5 2 5" xfId="15784" xr:uid="{00000000-0005-0000-0000-0000AB9D0000}"/>
    <cellStyle name="Normal 9 5 2 5 2" xfId="15785" xr:uid="{00000000-0005-0000-0000-0000AC9D0000}"/>
    <cellStyle name="Normal 9 5 2 5 2 2" xfId="39261" xr:uid="{00000000-0005-0000-0000-0000AD9D0000}"/>
    <cellStyle name="Normal 9 5 2 5 3" xfId="39260" xr:uid="{00000000-0005-0000-0000-0000AE9D0000}"/>
    <cellStyle name="Normal 9 5 2 6" xfId="15786" xr:uid="{00000000-0005-0000-0000-0000AF9D0000}"/>
    <cellStyle name="Normal 9 5 2 6 2" xfId="39262" xr:uid="{00000000-0005-0000-0000-0000B09D0000}"/>
    <cellStyle name="Normal 9 5 2 7" xfId="39239" xr:uid="{00000000-0005-0000-0000-0000B19D0000}"/>
    <cellStyle name="Normal 9 5 3" xfId="15787" xr:uid="{00000000-0005-0000-0000-0000B29D0000}"/>
    <cellStyle name="Normal 9 5 3 2" xfId="15788" xr:uid="{00000000-0005-0000-0000-0000B39D0000}"/>
    <cellStyle name="Normal 9 5 3 2 2" xfId="15789" xr:uid="{00000000-0005-0000-0000-0000B49D0000}"/>
    <cellStyle name="Normal 9 5 3 2 2 2" xfId="15790" xr:uid="{00000000-0005-0000-0000-0000B59D0000}"/>
    <cellStyle name="Normal 9 5 3 2 2 2 2" xfId="15791" xr:uid="{00000000-0005-0000-0000-0000B69D0000}"/>
    <cellStyle name="Normal 9 5 3 2 2 2 2 2" xfId="39267" xr:uid="{00000000-0005-0000-0000-0000B79D0000}"/>
    <cellStyle name="Normal 9 5 3 2 2 2 3" xfId="39266" xr:uid="{00000000-0005-0000-0000-0000B89D0000}"/>
    <cellStyle name="Normal 9 5 3 2 2 3" xfId="15792" xr:uid="{00000000-0005-0000-0000-0000B99D0000}"/>
    <cellStyle name="Normal 9 5 3 2 2 3 2" xfId="39268" xr:uid="{00000000-0005-0000-0000-0000BA9D0000}"/>
    <cellStyle name="Normal 9 5 3 2 2 4" xfId="39265" xr:uid="{00000000-0005-0000-0000-0000BB9D0000}"/>
    <cellStyle name="Normal 9 5 3 2 3" xfId="15793" xr:uid="{00000000-0005-0000-0000-0000BC9D0000}"/>
    <cellStyle name="Normal 9 5 3 2 3 2" xfId="15794" xr:uid="{00000000-0005-0000-0000-0000BD9D0000}"/>
    <cellStyle name="Normal 9 5 3 2 3 2 2" xfId="39270" xr:uid="{00000000-0005-0000-0000-0000BE9D0000}"/>
    <cellStyle name="Normal 9 5 3 2 3 3" xfId="39269" xr:uid="{00000000-0005-0000-0000-0000BF9D0000}"/>
    <cellStyle name="Normal 9 5 3 2 4" xfId="15795" xr:uid="{00000000-0005-0000-0000-0000C09D0000}"/>
    <cellStyle name="Normal 9 5 3 2 4 2" xfId="39271" xr:uid="{00000000-0005-0000-0000-0000C19D0000}"/>
    <cellStyle name="Normal 9 5 3 2 5" xfId="39264" xr:uid="{00000000-0005-0000-0000-0000C29D0000}"/>
    <cellStyle name="Normal 9 5 3 3" xfId="15796" xr:uid="{00000000-0005-0000-0000-0000C39D0000}"/>
    <cellStyle name="Normal 9 5 3 3 2" xfId="15797" xr:uid="{00000000-0005-0000-0000-0000C49D0000}"/>
    <cellStyle name="Normal 9 5 3 3 2 2" xfId="15798" xr:uid="{00000000-0005-0000-0000-0000C59D0000}"/>
    <cellStyle name="Normal 9 5 3 3 2 2 2" xfId="15799" xr:uid="{00000000-0005-0000-0000-0000C69D0000}"/>
    <cellStyle name="Normal 9 5 3 3 2 2 2 2" xfId="39275" xr:uid="{00000000-0005-0000-0000-0000C79D0000}"/>
    <cellStyle name="Normal 9 5 3 3 2 2 3" xfId="39274" xr:uid="{00000000-0005-0000-0000-0000C89D0000}"/>
    <cellStyle name="Normal 9 5 3 3 2 3" xfId="15800" xr:uid="{00000000-0005-0000-0000-0000C99D0000}"/>
    <cellStyle name="Normal 9 5 3 3 2 3 2" xfId="39276" xr:uid="{00000000-0005-0000-0000-0000CA9D0000}"/>
    <cellStyle name="Normal 9 5 3 3 2 4" xfId="39273" xr:uid="{00000000-0005-0000-0000-0000CB9D0000}"/>
    <cellStyle name="Normal 9 5 3 3 3" xfId="15801" xr:uid="{00000000-0005-0000-0000-0000CC9D0000}"/>
    <cellStyle name="Normal 9 5 3 3 3 2" xfId="15802" xr:uid="{00000000-0005-0000-0000-0000CD9D0000}"/>
    <cellStyle name="Normal 9 5 3 3 3 2 2" xfId="39278" xr:uid="{00000000-0005-0000-0000-0000CE9D0000}"/>
    <cellStyle name="Normal 9 5 3 3 3 3" xfId="39277" xr:uid="{00000000-0005-0000-0000-0000CF9D0000}"/>
    <cellStyle name="Normal 9 5 3 3 4" xfId="15803" xr:uid="{00000000-0005-0000-0000-0000D09D0000}"/>
    <cellStyle name="Normal 9 5 3 3 4 2" xfId="39279" xr:uid="{00000000-0005-0000-0000-0000D19D0000}"/>
    <cellStyle name="Normal 9 5 3 3 5" xfId="39272" xr:uid="{00000000-0005-0000-0000-0000D29D0000}"/>
    <cellStyle name="Normal 9 5 3 4" xfId="15804" xr:uid="{00000000-0005-0000-0000-0000D39D0000}"/>
    <cellStyle name="Normal 9 5 3 4 2" xfId="15805" xr:uid="{00000000-0005-0000-0000-0000D49D0000}"/>
    <cellStyle name="Normal 9 5 3 4 2 2" xfId="15806" xr:uid="{00000000-0005-0000-0000-0000D59D0000}"/>
    <cellStyle name="Normal 9 5 3 4 2 2 2" xfId="39282" xr:uid="{00000000-0005-0000-0000-0000D69D0000}"/>
    <cellStyle name="Normal 9 5 3 4 2 3" xfId="39281" xr:uid="{00000000-0005-0000-0000-0000D79D0000}"/>
    <cellStyle name="Normal 9 5 3 4 3" xfId="15807" xr:uid="{00000000-0005-0000-0000-0000D89D0000}"/>
    <cellStyle name="Normal 9 5 3 4 3 2" xfId="39283" xr:uid="{00000000-0005-0000-0000-0000D99D0000}"/>
    <cellStyle name="Normal 9 5 3 4 4" xfId="39280" xr:uid="{00000000-0005-0000-0000-0000DA9D0000}"/>
    <cellStyle name="Normal 9 5 3 5" xfId="15808" xr:uid="{00000000-0005-0000-0000-0000DB9D0000}"/>
    <cellStyle name="Normal 9 5 3 5 2" xfId="15809" xr:uid="{00000000-0005-0000-0000-0000DC9D0000}"/>
    <cellStyle name="Normal 9 5 3 5 2 2" xfId="39285" xr:uid="{00000000-0005-0000-0000-0000DD9D0000}"/>
    <cellStyle name="Normal 9 5 3 5 3" xfId="39284" xr:uid="{00000000-0005-0000-0000-0000DE9D0000}"/>
    <cellStyle name="Normal 9 5 3 6" xfId="15810" xr:uid="{00000000-0005-0000-0000-0000DF9D0000}"/>
    <cellStyle name="Normal 9 5 3 6 2" xfId="39286" xr:uid="{00000000-0005-0000-0000-0000E09D0000}"/>
    <cellStyle name="Normal 9 5 3 7" xfId="39263" xr:uid="{00000000-0005-0000-0000-0000E19D0000}"/>
    <cellStyle name="Normal 9 5 4" xfId="15811" xr:uid="{00000000-0005-0000-0000-0000E29D0000}"/>
    <cellStyle name="Normal 9 5 4 2" xfId="15812" xr:uid="{00000000-0005-0000-0000-0000E39D0000}"/>
    <cellStyle name="Normal 9 5 4 2 2" xfId="15813" xr:uid="{00000000-0005-0000-0000-0000E49D0000}"/>
    <cellStyle name="Normal 9 5 4 2 2 2" xfId="15814" xr:uid="{00000000-0005-0000-0000-0000E59D0000}"/>
    <cellStyle name="Normal 9 5 4 2 2 2 2" xfId="15815" xr:uid="{00000000-0005-0000-0000-0000E69D0000}"/>
    <cellStyle name="Normal 9 5 4 2 2 2 2 2" xfId="39291" xr:uid="{00000000-0005-0000-0000-0000E79D0000}"/>
    <cellStyle name="Normal 9 5 4 2 2 2 3" xfId="39290" xr:uid="{00000000-0005-0000-0000-0000E89D0000}"/>
    <cellStyle name="Normal 9 5 4 2 2 3" xfId="15816" xr:uid="{00000000-0005-0000-0000-0000E99D0000}"/>
    <cellStyle name="Normal 9 5 4 2 2 3 2" xfId="39292" xr:uid="{00000000-0005-0000-0000-0000EA9D0000}"/>
    <cellStyle name="Normal 9 5 4 2 2 4" xfId="39289" xr:uid="{00000000-0005-0000-0000-0000EB9D0000}"/>
    <cellStyle name="Normal 9 5 4 2 3" xfId="15817" xr:uid="{00000000-0005-0000-0000-0000EC9D0000}"/>
    <cellStyle name="Normal 9 5 4 2 3 2" xfId="15818" xr:uid="{00000000-0005-0000-0000-0000ED9D0000}"/>
    <cellStyle name="Normal 9 5 4 2 3 2 2" xfId="39294" xr:uid="{00000000-0005-0000-0000-0000EE9D0000}"/>
    <cellStyle name="Normal 9 5 4 2 3 3" xfId="39293" xr:uid="{00000000-0005-0000-0000-0000EF9D0000}"/>
    <cellStyle name="Normal 9 5 4 2 4" xfId="15819" xr:uid="{00000000-0005-0000-0000-0000F09D0000}"/>
    <cellStyle name="Normal 9 5 4 2 4 2" xfId="39295" xr:uid="{00000000-0005-0000-0000-0000F19D0000}"/>
    <cellStyle name="Normal 9 5 4 2 5" xfId="39288" xr:uid="{00000000-0005-0000-0000-0000F29D0000}"/>
    <cellStyle name="Normal 9 5 4 3" xfId="15820" xr:uid="{00000000-0005-0000-0000-0000F39D0000}"/>
    <cellStyle name="Normal 9 5 4 3 2" xfId="15821" xr:uid="{00000000-0005-0000-0000-0000F49D0000}"/>
    <cellStyle name="Normal 9 5 4 3 2 2" xfId="15822" xr:uid="{00000000-0005-0000-0000-0000F59D0000}"/>
    <cellStyle name="Normal 9 5 4 3 2 2 2" xfId="15823" xr:uid="{00000000-0005-0000-0000-0000F69D0000}"/>
    <cellStyle name="Normal 9 5 4 3 2 2 2 2" xfId="39299" xr:uid="{00000000-0005-0000-0000-0000F79D0000}"/>
    <cellStyle name="Normal 9 5 4 3 2 2 3" xfId="39298" xr:uid="{00000000-0005-0000-0000-0000F89D0000}"/>
    <cellStyle name="Normal 9 5 4 3 2 3" xfId="15824" xr:uid="{00000000-0005-0000-0000-0000F99D0000}"/>
    <cellStyle name="Normal 9 5 4 3 2 3 2" xfId="39300" xr:uid="{00000000-0005-0000-0000-0000FA9D0000}"/>
    <cellStyle name="Normal 9 5 4 3 2 4" xfId="39297" xr:uid="{00000000-0005-0000-0000-0000FB9D0000}"/>
    <cellStyle name="Normal 9 5 4 3 3" xfId="15825" xr:uid="{00000000-0005-0000-0000-0000FC9D0000}"/>
    <cellStyle name="Normal 9 5 4 3 3 2" xfId="15826" xr:uid="{00000000-0005-0000-0000-0000FD9D0000}"/>
    <cellStyle name="Normal 9 5 4 3 3 2 2" xfId="39302" xr:uid="{00000000-0005-0000-0000-0000FE9D0000}"/>
    <cellStyle name="Normal 9 5 4 3 3 3" xfId="39301" xr:uid="{00000000-0005-0000-0000-0000FF9D0000}"/>
    <cellStyle name="Normal 9 5 4 3 4" xfId="15827" xr:uid="{00000000-0005-0000-0000-0000009E0000}"/>
    <cellStyle name="Normal 9 5 4 3 4 2" xfId="39303" xr:uid="{00000000-0005-0000-0000-0000019E0000}"/>
    <cellStyle name="Normal 9 5 4 3 5" xfId="39296" xr:uid="{00000000-0005-0000-0000-0000029E0000}"/>
    <cellStyle name="Normal 9 5 4 4" xfId="15828" xr:uid="{00000000-0005-0000-0000-0000039E0000}"/>
    <cellStyle name="Normal 9 5 4 4 2" xfId="15829" xr:uid="{00000000-0005-0000-0000-0000049E0000}"/>
    <cellStyle name="Normal 9 5 4 4 2 2" xfId="15830" xr:uid="{00000000-0005-0000-0000-0000059E0000}"/>
    <cellStyle name="Normal 9 5 4 4 2 2 2" xfId="39306" xr:uid="{00000000-0005-0000-0000-0000069E0000}"/>
    <cellStyle name="Normal 9 5 4 4 2 3" xfId="39305" xr:uid="{00000000-0005-0000-0000-0000079E0000}"/>
    <cellStyle name="Normal 9 5 4 4 3" xfId="15831" xr:uid="{00000000-0005-0000-0000-0000089E0000}"/>
    <cellStyle name="Normal 9 5 4 4 3 2" xfId="39307" xr:uid="{00000000-0005-0000-0000-0000099E0000}"/>
    <cellStyle name="Normal 9 5 4 4 4" xfId="39304" xr:uid="{00000000-0005-0000-0000-00000A9E0000}"/>
    <cellStyle name="Normal 9 5 4 5" xfId="15832" xr:uid="{00000000-0005-0000-0000-00000B9E0000}"/>
    <cellStyle name="Normal 9 5 4 5 2" xfId="15833" xr:uid="{00000000-0005-0000-0000-00000C9E0000}"/>
    <cellStyle name="Normal 9 5 4 5 2 2" xfId="39309" xr:uid="{00000000-0005-0000-0000-00000D9E0000}"/>
    <cellStyle name="Normal 9 5 4 5 3" xfId="39308" xr:uid="{00000000-0005-0000-0000-00000E9E0000}"/>
    <cellStyle name="Normal 9 5 4 6" xfId="15834" xr:uid="{00000000-0005-0000-0000-00000F9E0000}"/>
    <cellStyle name="Normal 9 5 4 6 2" xfId="39310" xr:uid="{00000000-0005-0000-0000-0000109E0000}"/>
    <cellStyle name="Normal 9 5 4 7" xfId="39287" xr:uid="{00000000-0005-0000-0000-0000119E0000}"/>
    <cellStyle name="Normal 9 5 5" xfId="15835" xr:uid="{00000000-0005-0000-0000-0000129E0000}"/>
    <cellStyle name="Normal 9 5 5 2" xfId="15836" xr:uid="{00000000-0005-0000-0000-0000139E0000}"/>
    <cellStyle name="Normal 9 5 5 2 2" xfId="15837" xr:uid="{00000000-0005-0000-0000-0000149E0000}"/>
    <cellStyle name="Normal 9 5 5 2 2 2" xfId="15838" xr:uid="{00000000-0005-0000-0000-0000159E0000}"/>
    <cellStyle name="Normal 9 5 5 2 2 2 2" xfId="39314" xr:uid="{00000000-0005-0000-0000-0000169E0000}"/>
    <cellStyle name="Normal 9 5 5 2 2 3" xfId="39313" xr:uid="{00000000-0005-0000-0000-0000179E0000}"/>
    <cellStyle name="Normal 9 5 5 2 3" xfId="15839" xr:uid="{00000000-0005-0000-0000-0000189E0000}"/>
    <cellStyle name="Normal 9 5 5 2 3 2" xfId="39315" xr:uid="{00000000-0005-0000-0000-0000199E0000}"/>
    <cellStyle name="Normal 9 5 5 2 4" xfId="39312" xr:uid="{00000000-0005-0000-0000-00001A9E0000}"/>
    <cellStyle name="Normal 9 5 5 3" xfId="15840" xr:uid="{00000000-0005-0000-0000-00001B9E0000}"/>
    <cellStyle name="Normal 9 5 5 3 2" xfId="15841" xr:uid="{00000000-0005-0000-0000-00001C9E0000}"/>
    <cellStyle name="Normal 9 5 5 3 2 2" xfId="39317" xr:uid="{00000000-0005-0000-0000-00001D9E0000}"/>
    <cellStyle name="Normal 9 5 5 3 3" xfId="39316" xr:uid="{00000000-0005-0000-0000-00001E9E0000}"/>
    <cellStyle name="Normal 9 5 5 4" xfId="15842" xr:uid="{00000000-0005-0000-0000-00001F9E0000}"/>
    <cellStyle name="Normal 9 5 5 4 2" xfId="39318" xr:uid="{00000000-0005-0000-0000-0000209E0000}"/>
    <cellStyle name="Normal 9 5 5 5" xfId="39311" xr:uid="{00000000-0005-0000-0000-0000219E0000}"/>
    <cellStyle name="Normal 9 5 6" xfId="15843" xr:uid="{00000000-0005-0000-0000-0000229E0000}"/>
    <cellStyle name="Normal 9 5 6 2" xfId="15844" xr:uid="{00000000-0005-0000-0000-0000239E0000}"/>
    <cellStyle name="Normal 9 5 6 2 2" xfId="15845" xr:uid="{00000000-0005-0000-0000-0000249E0000}"/>
    <cellStyle name="Normal 9 5 6 2 2 2" xfId="15846" xr:uid="{00000000-0005-0000-0000-0000259E0000}"/>
    <cellStyle name="Normal 9 5 6 2 2 2 2" xfId="39322" xr:uid="{00000000-0005-0000-0000-0000269E0000}"/>
    <cellStyle name="Normal 9 5 6 2 2 3" xfId="39321" xr:uid="{00000000-0005-0000-0000-0000279E0000}"/>
    <cellStyle name="Normal 9 5 6 2 3" xfId="15847" xr:uid="{00000000-0005-0000-0000-0000289E0000}"/>
    <cellStyle name="Normal 9 5 6 2 3 2" xfId="39323" xr:uid="{00000000-0005-0000-0000-0000299E0000}"/>
    <cellStyle name="Normal 9 5 6 2 4" xfId="39320" xr:uid="{00000000-0005-0000-0000-00002A9E0000}"/>
    <cellStyle name="Normal 9 5 6 3" xfId="15848" xr:uid="{00000000-0005-0000-0000-00002B9E0000}"/>
    <cellStyle name="Normal 9 5 6 3 2" xfId="15849" xr:uid="{00000000-0005-0000-0000-00002C9E0000}"/>
    <cellStyle name="Normal 9 5 6 3 2 2" xfId="39325" xr:uid="{00000000-0005-0000-0000-00002D9E0000}"/>
    <cellStyle name="Normal 9 5 6 3 3" xfId="39324" xr:uid="{00000000-0005-0000-0000-00002E9E0000}"/>
    <cellStyle name="Normal 9 5 6 4" xfId="15850" xr:uid="{00000000-0005-0000-0000-00002F9E0000}"/>
    <cellStyle name="Normal 9 5 6 4 2" xfId="39326" xr:uid="{00000000-0005-0000-0000-0000309E0000}"/>
    <cellStyle name="Normal 9 5 6 5" xfId="39319" xr:uid="{00000000-0005-0000-0000-0000319E0000}"/>
    <cellStyle name="Normal 9 5 7" xfId="15851" xr:uid="{00000000-0005-0000-0000-0000329E0000}"/>
    <cellStyle name="Normal 9 5 7 2" xfId="15852" xr:uid="{00000000-0005-0000-0000-0000339E0000}"/>
    <cellStyle name="Normal 9 5 7 2 2" xfId="15853" xr:uid="{00000000-0005-0000-0000-0000349E0000}"/>
    <cellStyle name="Normal 9 5 7 2 2 2" xfId="39329" xr:uid="{00000000-0005-0000-0000-0000359E0000}"/>
    <cellStyle name="Normal 9 5 7 2 3" xfId="39328" xr:uid="{00000000-0005-0000-0000-0000369E0000}"/>
    <cellStyle name="Normal 9 5 7 3" xfId="15854" xr:uid="{00000000-0005-0000-0000-0000379E0000}"/>
    <cellStyle name="Normal 9 5 7 3 2" xfId="39330" xr:uid="{00000000-0005-0000-0000-0000389E0000}"/>
    <cellStyle name="Normal 9 5 7 4" xfId="39327" xr:uid="{00000000-0005-0000-0000-0000399E0000}"/>
    <cellStyle name="Normal 9 5 8" xfId="15855" xr:uid="{00000000-0005-0000-0000-00003A9E0000}"/>
    <cellStyle name="Normal 9 5 8 2" xfId="15856" xr:uid="{00000000-0005-0000-0000-00003B9E0000}"/>
    <cellStyle name="Normal 9 5 8 2 2" xfId="39332" xr:uid="{00000000-0005-0000-0000-00003C9E0000}"/>
    <cellStyle name="Normal 9 5 8 3" xfId="39331" xr:uid="{00000000-0005-0000-0000-00003D9E0000}"/>
    <cellStyle name="Normal 9 5 9" xfId="15857" xr:uid="{00000000-0005-0000-0000-00003E9E0000}"/>
    <cellStyle name="Normal 9 5 9 2" xfId="39333" xr:uid="{00000000-0005-0000-0000-00003F9E0000}"/>
    <cellStyle name="Normal 9 6" xfId="15858" xr:uid="{00000000-0005-0000-0000-0000409E0000}"/>
    <cellStyle name="Normal 9 6 2" xfId="15859" xr:uid="{00000000-0005-0000-0000-0000419E0000}"/>
    <cellStyle name="Normal 9 6 2 2" xfId="15860" xr:uid="{00000000-0005-0000-0000-0000429E0000}"/>
    <cellStyle name="Normal 9 6 2 2 2" xfId="15861" xr:uid="{00000000-0005-0000-0000-0000439E0000}"/>
    <cellStyle name="Normal 9 6 2 2 2 2" xfId="15862" xr:uid="{00000000-0005-0000-0000-0000449E0000}"/>
    <cellStyle name="Normal 9 6 2 2 2 2 2" xfId="39338" xr:uid="{00000000-0005-0000-0000-0000459E0000}"/>
    <cellStyle name="Normal 9 6 2 2 2 3" xfId="39337" xr:uid="{00000000-0005-0000-0000-0000469E0000}"/>
    <cellStyle name="Normal 9 6 2 2 3" xfId="15863" xr:uid="{00000000-0005-0000-0000-0000479E0000}"/>
    <cellStyle name="Normal 9 6 2 2 3 2" xfId="39339" xr:uid="{00000000-0005-0000-0000-0000489E0000}"/>
    <cellStyle name="Normal 9 6 2 2 4" xfId="39336" xr:uid="{00000000-0005-0000-0000-0000499E0000}"/>
    <cellStyle name="Normal 9 6 2 3" xfId="15864" xr:uid="{00000000-0005-0000-0000-00004A9E0000}"/>
    <cellStyle name="Normal 9 6 2 3 2" xfId="15865" xr:uid="{00000000-0005-0000-0000-00004B9E0000}"/>
    <cellStyle name="Normal 9 6 2 3 2 2" xfId="39341" xr:uid="{00000000-0005-0000-0000-00004C9E0000}"/>
    <cellStyle name="Normal 9 6 2 3 3" xfId="39340" xr:uid="{00000000-0005-0000-0000-00004D9E0000}"/>
    <cellStyle name="Normal 9 6 2 4" xfId="15866" xr:uid="{00000000-0005-0000-0000-00004E9E0000}"/>
    <cellStyle name="Normal 9 6 2 4 2" xfId="39342" xr:uid="{00000000-0005-0000-0000-00004F9E0000}"/>
    <cellStyle name="Normal 9 6 2 5" xfId="21871" xr:uid="{00000000-0005-0000-0000-0000509E0000}"/>
    <cellStyle name="Normal 9 6 2 5 2" xfId="45176" xr:uid="{00000000-0005-0000-0000-0000519E0000}"/>
    <cellStyle name="Normal 9 6 2 6" xfId="21872" xr:uid="{00000000-0005-0000-0000-0000529E0000}"/>
    <cellStyle name="Normal 9 6 2 6 2" xfId="45177" xr:uid="{00000000-0005-0000-0000-0000539E0000}"/>
    <cellStyle name="Normal 9 6 2 7" xfId="39335" xr:uid="{00000000-0005-0000-0000-0000549E0000}"/>
    <cellStyle name="Normal 9 6 3" xfId="15867" xr:uid="{00000000-0005-0000-0000-0000559E0000}"/>
    <cellStyle name="Normal 9 6 3 2" xfId="15868" xr:uid="{00000000-0005-0000-0000-0000569E0000}"/>
    <cellStyle name="Normal 9 6 3 2 2" xfId="15869" xr:uid="{00000000-0005-0000-0000-0000579E0000}"/>
    <cellStyle name="Normal 9 6 3 2 2 2" xfId="15870" xr:uid="{00000000-0005-0000-0000-0000589E0000}"/>
    <cellStyle name="Normal 9 6 3 2 2 2 2" xfId="39346" xr:uid="{00000000-0005-0000-0000-0000599E0000}"/>
    <cellStyle name="Normal 9 6 3 2 2 3" xfId="39345" xr:uid="{00000000-0005-0000-0000-00005A9E0000}"/>
    <cellStyle name="Normal 9 6 3 2 3" xfId="15871" xr:uid="{00000000-0005-0000-0000-00005B9E0000}"/>
    <cellStyle name="Normal 9 6 3 2 3 2" xfId="39347" xr:uid="{00000000-0005-0000-0000-00005C9E0000}"/>
    <cellStyle name="Normal 9 6 3 2 4" xfId="39344" xr:uid="{00000000-0005-0000-0000-00005D9E0000}"/>
    <cellStyle name="Normal 9 6 3 3" xfId="15872" xr:uid="{00000000-0005-0000-0000-00005E9E0000}"/>
    <cellStyle name="Normal 9 6 3 3 2" xfId="15873" xr:uid="{00000000-0005-0000-0000-00005F9E0000}"/>
    <cellStyle name="Normal 9 6 3 3 2 2" xfId="39349" xr:uid="{00000000-0005-0000-0000-0000609E0000}"/>
    <cellStyle name="Normal 9 6 3 3 3" xfId="39348" xr:uid="{00000000-0005-0000-0000-0000619E0000}"/>
    <cellStyle name="Normal 9 6 3 4" xfId="15874" xr:uid="{00000000-0005-0000-0000-0000629E0000}"/>
    <cellStyle name="Normal 9 6 3 4 2" xfId="39350" xr:uid="{00000000-0005-0000-0000-0000639E0000}"/>
    <cellStyle name="Normal 9 6 3 5" xfId="39343" xr:uid="{00000000-0005-0000-0000-0000649E0000}"/>
    <cellStyle name="Normal 9 6 4" xfId="15875" xr:uid="{00000000-0005-0000-0000-0000659E0000}"/>
    <cellStyle name="Normal 9 6 4 2" xfId="15876" xr:uid="{00000000-0005-0000-0000-0000669E0000}"/>
    <cellStyle name="Normal 9 6 4 2 2" xfId="15877" xr:uid="{00000000-0005-0000-0000-0000679E0000}"/>
    <cellStyle name="Normal 9 6 4 2 2 2" xfId="39353" xr:uid="{00000000-0005-0000-0000-0000689E0000}"/>
    <cellStyle name="Normal 9 6 4 2 3" xfId="39352" xr:uid="{00000000-0005-0000-0000-0000699E0000}"/>
    <cellStyle name="Normal 9 6 4 3" xfId="15878" xr:uid="{00000000-0005-0000-0000-00006A9E0000}"/>
    <cellStyle name="Normal 9 6 4 3 2" xfId="39354" xr:uid="{00000000-0005-0000-0000-00006B9E0000}"/>
    <cellStyle name="Normal 9 6 4 4" xfId="39351" xr:uid="{00000000-0005-0000-0000-00006C9E0000}"/>
    <cellStyle name="Normal 9 6 5" xfId="15879" xr:uid="{00000000-0005-0000-0000-00006D9E0000}"/>
    <cellStyle name="Normal 9 6 5 2" xfId="15880" xr:uid="{00000000-0005-0000-0000-00006E9E0000}"/>
    <cellStyle name="Normal 9 6 5 2 2" xfId="39356" xr:uid="{00000000-0005-0000-0000-00006F9E0000}"/>
    <cellStyle name="Normal 9 6 5 3" xfId="39355" xr:uid="{00000000-0005-0000-0000-0000709E0000}"/>
    <cellStyle name="Normal 9 6 6" xfId="15881" xr:uid="{00000000-0005-0000-0000-0000719E0000}"/>
    <cellStyle name="Normal 9 6 6 2" xfId="39357" xr:uid="{00000000-0005-0000-0000-0000729E0000}"/>
    <cellStyle name="Normal 9 6 7" xfId="21873" xr:uid="{00000000-0005-0000-0000-0000739E0000}"/>
    <cellStyle name="Normal 9 6 7 2" xfId="45178" xr:uid="{00000000-0005-0000-0000-0000749E0000}"/>
    <cellStyle name="Normal 9 6 8" xfId="39334" xr:uid="{00000000-0005-0000-0000-0000759E0000}"/>
    <cellStyle name="Normal 9 7" xfId="15882" xr:uid="{00000000-0005-0000-0000-0000769E0000}"/>
    <cellStyle name="Normal 9 7 2" xfId="15883" xr:uid="{00000000-0005-0000-0000-0000779E0000}"/>
    <cellStyle name="Normal 9 7 2 2" xfId="15884" xr:uid="{00000000-0005-0000-0000-0000789E0000}"/>
    <cellStyle name="Normal 9 7 2 2 2" xfId="15885" xr:uid="{00000000-0005-0000-0000-0000799E0000}"/>
    <cellStyle name="Normal 9 7 2 2 2 2" xfId="15886" xr:uid="{00000000-0005-0000-0000-00007A9E0000}"/>
    <cellStyle name="Normal 9 7 2 2 2 2 2" xfId="39362" xr:uid="{00000000-0005-0000-0000-00007B9E0000}"/>
    <cellStyle name="Normal 9 7 2 2 2 3" xfId="39361" xr:uid="{00000000-0005-0000-0000-00007C9E0000}"/>
    <cellStyle name="Normal 9 7 2 2 3" xfId="15887" xr:uid="{00000000-0005-0000-0000-00007D9E0000}"/>
    <cellStyle name="Normal 9 7 2 2 3 2" xfId="39363" xr:uid="{00000000-0005-0000-0000-00007E9E0000}"/>
    <cellStyle name="Normal 9 7 2 2 4" xfId="39360" xr:uid="{00000000-0005-0000-0000-00007F9E0000}"/>
    <cellStyle name="Normal 9 7 2 3" xfId="15888" xr:uid="{00000000-0005-0000-0000-0000809E0000}"/>
    <cellStyle name="Normal 9 7 2 3 2" xfId="15889" xr:uid="{00000000-0005-0000-0000-0000819E0000}"/>
    <cellStyle name="Normal 9 7 2 3 2 2" xfId="39365" xr:uid="{00000000-0005-0000-0000-0000829E0000}"/>
    <cellStyle name="Normal 9 7 2 3 3" xfId="39364" xr:uid="{00000000-0005-0000-0000-0000839E0000}"/>
    <cellStyle name="Normal 9 7 2 4" xfId="15890" xr:uid="{00000000-0005-0000-0000-0000849E0000}"/>
    <cellStyle name="Normal 9 7 2 4 2" xfId="39366" xr:uid="{00000000-0005-0000-0000-0000859E0000}"/>
    <cellStyle name="Normal 9 7 2 5" xfId="39359" xr:uid="{00000000-0005-0000-0000-0000869E0000}"/>
    <cellStyle name="Normal 9 7 3" xfId="15891" xr:uid="{00000000-0005-0000-0000-0000879E0000}"/>
    <cellStyle name="Normal 9 7 3 2" xfId="15892" xr:uid="{00000000-0005-0000-0000-0000889E0000}"/>
    <cellStyle name="Normal 9 7 3 2 2" xfId="15893" xr:uid="{00000000-0005-0000-0000-0000899E0000}"/>
    <cellStyle name="Normal 9 7 3 2 2 2" xfId="15894" xr:uid="{00000000-0005-0000-0000-00008A9E0000}"/>
    <cellStyle name="Normal 9 7 3 2 2 2 2" xfId="39370" xr:uid="{00000000-0005-0000-0000-00008B9E0000}"/>
    <cellStyle name="Normal 9 7 3 2 2 3" xfId="39369" xr:uid="{00000000-0005-0000-0000-00008C9E0000}"/>
    <cellStyle name="Normal 9 7 3 2 3" xfId="15895" xr:uid="{00000000-0005-0000-0000-00008D9E0000}"/>
    <cellStyle name="Normal 9 7 3 2 3 2" xfId="39371" xr:uid="{00000000-0005-0000-0000-00008E9E0000}"/>
    <cellStyle name="Normal 9 7 3 2 4" xfId="39368" xr:uid="{00000000-0005-0000-0000-00008F9E0000}"/>
    <cellStyle name="Normal 9 7 3 3" xfId="15896" xr:uid="{00000000-0005-0000-0000-0000909E0000}"/>
    <cellStyle name="Normal 9 7 3 3 2" xfId="15897" xr:uid="{00000000-0005-0000-0000-0000919E0000}"/>
    <cellStyle name="Normal 9 7 3 3 2 2" xfId="39373" xr:uid="{00000000-0005-0000-0000-0000929E0000}"/>
    <cellStyle name="Normal 9 7 3 3 3" xfId="39372" xr:uid="{00000000-0005-0000-0000-0000939E0000}"/>
    <cellStyle name="Normal 9 7 3 4" xfId="15898" xr:uid="{00000000-0005-0000-0000-0000949E0000}"/>
    <cellStyle name="Normal 9 7 3 4 2" xfId="39374" xr:uid="{00000000-0005-0000-0000-0000959E0000}"/>
    <cellStyle name="Normal 9 7 3 5" xfId="39367" xr:uid="{00000000-0005-0000-0000-0000969E0000}"/>
    <cellStyle name="Normal 9 7 4" xfId="15899" xr:uid="{00000000-0005-0000-0000-0000979E0000}"/>
    <cellStyle name="Normal 9 7 4 2" xfId="15900" xr:uid="{00000000-0005-0000-0000-0000989E0000}"/>
    <cellStyle name="Normal 9 7 4 2 2" xfId="15901" xr:uid="{00000000-0005-0000-0000-0000999E0000}"/>
    <cellStyle name="Normal 9 7 4 2 2 2" xfId="39377" xr:uid="{00000000-0005-0000-0000-00009A9E0000}"/>
    <cellStyle name="Normal 9 7 4 2 3" xfId="39376" xr:uid="{00000000-0005-0000-0000-00009B9E0000}"/>
    <cellStyle name="Normal 9 7 4 3" xfId="15902" xr:uid="{00000000-0005-0000-0000-00009C9E0000}"/>
    <cellStyle name="Normal 9 7 4 3 2" xfId="39378" xr:uid="{00000000-0005-0000-0000-00009D9E0000}"/>
    <cellStyle name="Normal 9 7 4 4" xfId="39375" xr:uid="{00000000-0005-0000-0000-00009E9E0000}"/>
    <cellStyle name="Normal 9 7 5" xfId="15903" xr:uid="{00000000-0005-0000-0000-00009F9E0000}"/>
    <cellStyle name="Normal 9 7 5 2" xfId="15904" xr:uid="{00000000-0005-0000-0000-0000A09E0000}"/>
    <cellStyle name="Normal 9 7 5 2 2" xfId="39380" xr:uid="{00000000-0005-0000-0000-0000A19E0000}"/>
    <cellStyle name="Normal 9 7 5 3" xfId="39379" xr:uid="{00000000-0005-0000-0000-0000A29E0000}"/>
    <cellStyle name="Normal 9 7 6" xfId="15905" xr:uid="{00000000-0005-0000-0000-0000A39E0000}"/>
    <cellStyle name="Normal 9 7 6 2" xfId="39381" xr:uid="{00000000-0005-0000-0000-0000A49E0000}"/>
    <cellStyle name="Normal 9 7 7" xfId="39358" xr:uid="{00000000-0005-0000-0000-0000A59E0000}"/>
    <cellStyle name="Normal 9 8" xfId="15906" xr:uid="{00000000-0005-0000-0000-0000A69E0000}"/>
    <cellStyle name="Normal 9 8 2" xfId="15907" xr:uid="{00000000-0005-0000-0000-0000A79E0000}"/>
    <cellStyle name="Normal 9 8 2 2" xfId="15908" xr:uid="{00000000-0005-0000-0000-0000A89E0000}"/>
    <cellStyle name="Normal 9 8 2 2 2" xfId="15909" xr:uid="{00000000-0005-0000-0000-0000A99E0000}"/>
    <cellStyle name="Normal 9 8 2 2 2 2" xfId="15910" xr:uid="{00000000-0005-0000-0000-0000AA9E0000}"/>
    <cellStyle name="Normal 9 8 2 2 2 2 2" xfId="39386" xr:uid="{00000000-0005-0000-0000-0000AB9E0000}"/>
    <cellStyle name="Normal 9 8 2 2 2 3" xfId="39385" xr:uid="{00000000-0005-0000-0000-0000AC9E0000}"/>
    <cellStyle name="Normal 9 8 2 2 3" xfId="15911" xr:uid="{00000000-0005-0000-0000-0000AD9E0000}"/>
    <cellStyle name="Normal 9 8 2 2 3 2" xfId="39387" xr:uid="{00000000-0005-0000-0000-0000AE9E0000}"/>
    <cellStyle name="Normal 9 8 2 2 4" xfId="39384" xr:uid="{00000000-0005-0000-0000-0000AF9E0000}"/>
    <cellStyle name="Normal 9 8 2 3" xfId="15912" xr:uid="{00000000-0005-0000-0000-0000B09E0000}"/>
    <cellStyle name="Normal 9 8 2 3 2" xfId="15913" xr:uid="{00000000-0005-0000-0000-0000B19E0000}"/>
    <cellStyle name="Normal 9 8 2 3 2 2" xfId="39389" xr:uid="{00000000-0005-0000-0000-0000B29E0000}"/>
    <cellStyle name="Normal 9 8 2 3 3" xfId="39388" xr:uid="{00000000-0005-0000-0000-0000B39E0000}"/>
    <cellStyle name="Normal 9 8 2 4" xfId="15914" xr:uid="{00000000-0005-0000-0000-0000B49E0000}"/>
    <cellStyle name="Normal 9 8 2 4 2" xfId="39390" xr:uid="{00000000-0005-0000-0000-0000B59E0000}"/>
    <cellStyle name="Normal 9 8 2 5" xfId="39383" xr:uid="{00000000-0005-0000-0000-0000B69E0000}"/>
    <cellStyle name="Normal 9 8 3" xfId="15915" xr:uid="{00000000-0005-0000-0000-0000B79E0000}"/>
    <cellStyle name="Normal 9 8 3 2" xfId="15916" xr:uid="{00000000-0005-0000-0000-0000B89E0000}"/>
    <cellStyle name="Normal 9 8 3 2 2" xfId="15917" xr:uid="{00000000-0005-0000-0000-0000B99E0000}"/>
    <cellStyle name="Normal 9 8 3 2 2 2" xfId="15918" xr:uid="{00000000-0005-0000-0000-0000BA9E0000}"/>
    <cellStyle name="Normal 9 8 3 2 2 2 2" xfId="39394" xr:uid="{00000000-0005-0000-0000-0000BB9E0000}"/>
    <cellStyle name="Normal 9 8 3 2 2 3" xfId="39393" xr:uid="{00000000-0005-0000-0000-0000BC9E0000}"/>
    <cellStyle name="Normal 9 8 3 2 3" xfId="15919" xr:uid="{00000000-0005-0000-0000-0000BD9E0000}"/>
    <cellStyle name="Normal 9 8 3 2 3 2" xfId="39395" xr:uid="{00000000-0005-0000-0000-0000BE9E0000}"/>
    <cellStyle name="Normal 9 8 3 2 4" xfId="39392" xr:uid="{00000000-0005-0000-0000-0000BF9E0000}"/>
    <cellStyle name="Normal 9 8 3 3" xfId="15920" xr:uid="{00000000-0005-0000-0000-0000C09E0000}"/>
    <cellStyle name="Normal 9 8 3 3 2" xfId="15921" xr:uid="{00000000-0005-0000-0000-0000C19E0000}"/>
    <cellStyle name="Normal 9 8 3 3 2 2" xfId="39397" xr:uid="{00000000-0005-0000-0000-0000C29E0000}"/>
    <cellStyle name="Normal 9 8 3 3 3" xfId="39396" xr:uid="{00000000-0005-0000-0000-0000C39E0000}"/>
    <cellStyle name="Normal 9 8 3 4" xfId="15922" xr:uid="{00000000-0005-0000-0000-0000C49E0000}"/>
    <cellStyle name="Normal 9 8 3 4 2" xfId="39398" xr:uid="{00000000-0005-0000-0000-0000C59E0000}"/>
    <cellStyle name="Normal 9 8 3 5" xfId="39391" xr:uid="{00000000-0005-0000-0000-0000C69E0000}"/>
    <cellStyle name="Normal 9 8 4" xfId="15923" xr:uid="{00000000-0005-0000-0000-0000C79E0000}"/>
    <cellStyle name="Normal 9 8 4 2" xfId="15924" xr:uid="{00000000-0005-0000-0000-0000C89E0000}"/>
    <cellStyle name="Normal 9 8 4 2 2" xfId="15925" xr:uid="{00000000-0005-0000-0000-0000C99E0000}"/>
    <cellStyle name="Normal 9 8 4 2 2 2" xfId="39401" xr:uid="{00000000-0005-0000-0000-0000CA9E0000}"/>
    <cellStyle name="Normal 9 8 4 2 3" xfId="39400" xr:uid="{00000000-0005-0000-0000-0000CB9E0000}"/>
    <cellStyle name="Normal 9 8 4 3" xfId="15926" xr:uid="{00000000-0005-0000-0000-0000CC9E0000}"/>
    <cellStyle name="Normal 9 8 4 3 2" xfId="39402" xr:uid="{00000000-0005-0000-0000-0000CD9E0000}"/>
    <cellStyle name="Normal 9 8 4 4" xfId="39399" xr:uid="{00000000-0005-0000-0000-0000CE9E0000}"/>
    <cellStyle name="Normal 9 8 5" xfId="15927" xr:uid="{00000000-0005-0000-0000-0000CF9E0000}"/>
    <cellStyle name="Normal 9 8 5 2" xfId="15928" xr:uid="{00000000-0005-0000-0000-0000D09E0000}"/>
    <cellStyle name="Normal 9 8 5 2 2" xfId="39404" xr:uid="{00000000-0005-0000-0000-0000D19E0000}"/>
    <cellStyle name="Normal 9 8 5 3" xfId="39403" xr:uid="{00000000-0005-0000-0000-0000D29E0000}"/>
    <cellStyle name="Normal 9 8 6" xfId="15929" xr:uid="{00000000-0005-0000-0000-0000D39E0000}"/>
    <cellStyle name="Normal 9 8 6 2" xfId="39405" xr:uid="{00000000-0005-0000-0000-0000D49E0000}"/>
    <cellStyle name="Normal 9 8 7" xfId="39382" xr:uid="{00000000-0005-0000-0000-0000D59E0000}"/>
    <cellStyle name="Normal 9 9" xfId="15930" xr:uid="{00000000-0005-0000-0000-0000D69E0000}"/>
    <cellStyle name="Normal 9 9 2" xfId="15931" xr:uid="{00000000-0005-0000-0000-0000D79E0000}"/>
    <cellStyle name="Normal 9 9 2 2" xfId="15932" xr:uid="{00000000-0005-0000-0000-0000D89E0000}"/>
    <cellStyle name="Normal 9 9 2 2 2" xfId="15933" xr:uid="{00000000-0005-0000-0000-0000D99E0000}"/>
    <cellStyle name="Normal 9 9 2 2 2 2" xfId="15934" xr:uid="{00000000-0005-0000-0000-0000DA9E0000}"/>
    <cellStyle name="Normal 9 9 2 2 2 2 2" xfId="39410" xr:uid="{00000000-0005-0000-0000-0000DB9E0000}"/>
    <cellStyle name="Normal 9 9 2 2 2 3" xfId="39409" xr:uid="{00000000-0005-0000-0000-0000DC9E0000}"/>
    <cellStyle name="Normal 9 9 2 2 3" xfId="15935" xr:uid="{00000000-0005-0000-0000-0000DD9E0000}"/>
    <cellStyle name="Normal 9 9 2 2 3 2" xfId="39411" xr:uid="{00000000-0005-0000-0000-0000DE9E0000}"/>
    <cellStyle name="Normal 9 9 2 2 4" xfId="39408" xr:uid="{00000000-0005-0000-0000-0000DF9E0000}"/>
    <cellStyle name="Normal 9 9 2 3" xfId="15936" xr:uid="{00000000-0005-0000-0000-0000E09E0000}"/>
    <cellStyle name="Normal 9 9 2 3 2" xfId="15937" xr:uid="{00000000-0005-0000-0000-0000E19E0000}"/>
    <cellStyle name="Normal 9 9 2 3 2 2" xfId="39413" xr:uid="{00000000-0005-0000-0000-0000E29E0000}"/>
    <cellStyle name="Normal 9 9 2 3 3" xfId="39412" xr:uid="{00000000-0005-0000-0000-0000E39E0000}"/>
    <cellStyle name="Normal 9 9 2 4" xfId="15938" xr:uid="{00000000-0005-0000-0000-0000E49E0000}"/>
    <cellStyle name="Normal 9 9 2 4 2" xfId="39414" xr:uid="{00000000-0005-0000-0000-0000E59E0000}"/>
    <cellStyle name="Normal 9 9 2 5" xfId="39407" xr:uid="{00000000-0005-0000-0000-0000E69E0000}"/>
    <cellStyle name="Normal 9 9 3" xfId="15939" xr:uid="{00000000-0005-0000-0000-0000E79E0000}"/>
    <cellStyle name="Normal 9 9 3 2" xfId="15940" xr:uid="{00000000-0005-0000-0000-0000E89E0000}"/>
    <cellStyle name="Normal 9 9 3 2 2" xfId="15941" xr:uid="{00000000-0005-0000-0000-0000E99E0000}"/>
    <cellStyle name="Normal 9 9 3 2 2 2" xfId="15942" xr:uid="{00000000-0005-0000-0000-0000EA9E0000}"/>
    <cellStyle name="Normal 9 9 3 2 2 2 2" xfId="39418" xr:uid="{00000000-0005-0000-0000-0000EB9E0000}"/>
    <cellStyle name="Normal 9 9 3 2 2 3" xfId="39417" xr:uid="{00000000-0005-0000-0000-0000EC9E0000}"/>
    <cellStyle name="Normal 9 9 3 2 3" xfId="15943" xr:uid="{00000000-0005-0000-0000-0000ED9E0000}"/>
    <cellStyle name="Normal 9 9 3 2 3 2" xfId="39419" xr:uid="{00000000-0005-0000-0000-0000EE9E0000}"/>
    <cellStyle name="Normal 9 9 3 2 4" xfId="39416" xr:uid="{00000000-0005-0000-0000-0000EF9E0000}"/>
    <cellStyle name="Normal 9 9 3 3" xfId="15944" xr:uid="{00000000-0005-0000-0000-0000F09E0000}"/>
    <cellStyle name="Normal 9 9 3 3 2" xfId="15945" xr:uid="{00000000-0005-0000-0000-0000F19E0000}"/>
    <cellStyle name="Normal 9 9 3 3 2 2" xfId="39421" xr:uid="{00000000-0005-0000-0000-0000F29E0000}"/>
    <cellStyle name="Normal 9 9 3 3 3" xfId="39420" xr:uid="{00000000-0005-0000-0000-0000F39E0000}"/>
    <cellStyle name="Normal 9 9 3 4" xfId="15946" xr:uid="{00000000-0005-0000-0000-0000F49E0000}"/>
    <cellStyle name="Normal 9 9 3 4 2" xfId="39422" xr:uid="{00000000-0005-0000-0000-0000F59E0000}"/>
    <cellStyle name="Normal 9 9 3 5" xfId="39415" xr:uid="{00000000-0005-0000-0000-0000F69E0000}"/>
    <cellStyle name="Normal 9 9 4" xfId="15947" xr:uid="{00000000-0005-0000-0000-0000F79E0000}"/>
    <cellStyle name="Normal 9 9 4 2" xfId="15948" xr:uid="{00000000-0005-0000-0000-0000F89E0000}"/>
    <cellStyle name="Normal 9 9 4 2 2" xfId="15949" xr:uid="{00000000-0005-0000-0000-0000F99E0000}"/>
    <cellStyle name="Normal 9 9 4 2 2 2" xfId="39425" xr:uid="{00000000-0005-0000-0000-0000FA9E0000}"/>
    <cellStyle name="Normal 9 9 4 2 3" xfId="39424" xr:uid="{00000000-0005-0000-0000-0000FB9E0000}"/>
    <cellStyle name="Normal 9 9 4 3" xfId="15950" xr:uid="{00000000-0005-0000-0000-0000FC9E0000}"/>
    <cellStyle name="Normal 9 9 4 3 2" xfId="39426" xr:uid="{00000000-0005-0000-0000-0000FD9E0000}"/>
    <cellStyle name="Normal 9 9 4 4" xfId="39423" xr:uid="{00000000-0005-0000-0000-0000FE9E0000}"/>
    <cellStyle name="Normal 9 9 5" xfId="15951" xr:uid="{00000000-0005-0000-0000-0000FF9E0000}"/>
    <cellStyle name="Normal 9 9 5 2" xfId="15952" xr:uid="{00000000-0005-0000-0000-0000009F0000}"/>
    <cellStyle name="Normal 9 9 5 2 2" xfId="39428" xr:uid="{00000000-0005-0000-0000-0000019F0000}"/>
    <cellStyle name="Normal 9 9 5 3" xfId="39427" xr:uid="{00000000-0005-0000-0000-0000029F0000}"/>
    <cellStyle name="Normal 9 9 6" xfId="15953" xr:uid="{00000000-0005-0000-0000-0000039F0000}"/>
    <cellStyle name="Normal 9 9 6 2" xfId="39429" xr:uid="{00000000-0005-0000-0000-0000049F0000}"/>
    <cellStyle name="Normal 9 9 7" xfId="39406" xr:uid="{00000000-0005-0000-0000-0000059F0000}"/>
    <cellStyle name="Normal_0710AttachCSecondNOFOpt1" xfId="11" xr:uid="{00000000-0005-0000-0000-0000069F0000}"/>
    <cellStyle name="Normal_co0119" xfId="12" xr:uid="{00000000-0005-0000-0000-0000079F0000}"/>
    <cellStyle name="Normal_co0119 2" xfId="46861" xr:uid="{3CB4FB12-A7EC-4F81-BBD2-2F47E68FB729}"/>
    <cellStyle name="Normal_Input_Harvestnew" xfId="13" xr:uid="{00000000-0005-0000-0000-0000089F0000}"/>
    <cellStyle name="Normal_Table2PRN" xfId="23117" xr:uid="{00000000-0005-0000-0000-0000099F0000}"/>
    <cellStyle name="Normal_TRunsPRN" xfId="23116" xr:uid="{00000000-0005-0000-0000-00000A9F0000}"/>
    <cellStyle name="Note 2" xfId="15954" xr:uid="{00000000-0005-0000-0000-00000B9F0000}"/>
    <cellStyle name="Note 2 2" xfId="21875" xr:uid="{00000000-0005-0000-0000-00000C9F0000}"/>
    <cellStyle name="Note 2 3" xfId="21876" xr:uid="{00000000-0005-0000-0000-00000D9F0000}"/>
    <cellStyle name="Note 2 4" xfId="21877" xr:uid="{00000000-0005-0000-0000-00000E9F0000}"/>
    <cellStyle name="Note 2 4 2" xfId="45179" xr:uid="{00000000-0005-0000-0000-00000F9F0000}"/>
    <cellStyle name="Note 2 5" xfId="21874" xr:uid="{00000000-0005-0000-0000-0000109F0000}"/>
    <cellStyle name="Note 3" xfId="15955" xr:uid="{00000000-0005-0000-0000-0000119F0000}"/>
    <cellStyle name="Note 3 10" xfId="15956" xr:uid="{00000000-0005-0000-0000-0000129F0000}"/>
    <cellStyle name="Note 3 10 2" xfId="15957" xr:uid="{00000000-0005-0000-0000-0000139F0000}"/>
    <cellStyle name="Note 3 10 2 2" xfId="15958" xr:uid="{00000000-0005-0000-0000-0000149F0000}"/>
    <cellStyle name="Note 3 10 2 2 2" xfId="15959" xr:uid="{00000000-0005-0000-0000-0000159F0000}"/>
    <cellStyle name="Note 3 10 2 2 2 2" xfId="39434" xr:uid="{00000000-0005-0000-0000-0000169F0000}"/>
    <cellStyle name="Note 3 10 2 2 3" xfId="39433" xr:uid="{00000000-0005-0000-0000-0000179F0000}"/>
    <cellStyle name="Note 3 10 2 3" xfId="15960" xr:uid="{00000000-0005-0000-0000-0000189F0000}"/>
    <cellStyle name="Note 3 10 2 3 2" xfId="39435" xr:uid="{00000000-0005-0000-0000-0000199F0000}"/>
    <cellStyle name="Note 3 10 2 4" xfId="39432" xr:uid="{00000000-0005-0000-0000-00001A9F0000}"/>
    <cellStyle name="Note 3 10 3" xfId="15961" xr:uid="{00000000-0005-0000-0000-00001B9F0000}"/>
    <cellStyle name="Note 3 10 3 2" xfId="15962" xr:uid="{00000000-0005-0000-0000-00001C9F0000}"/>
    <cellStyle name="Note 3 10 3 2 2" xfId="39437" xr:uid="{00000000-0005-0000-0000-00001D9F0000}"/>
    <cellStyle name="Note 3 10 3 3" xfId="39436" xr:uid="{00000000-0005-0000-0000-00001E9F0000}"/>
    <cellStyle name="Note 3 10 4" xfId="15963" xr:uid="{00000000-0005-0000-0000-00001F9F0000}"/>
    <cellStyle name="Note 3 10 4 2" xfId="39438" xr:uid="{00000000-0005-0000-0000-0000209F0000}"/>
    <cellStyle name="Note 3 10 5" xfId="21879" xr:uid="{00000000-0005-0000-0000-0000219F0000}"/>
    <cellStyle name="Note 3 10 6" xfId="39431" xr:uid="{00000000-0005-0000-0000-0000229F0000}"/>
    <cellStyle name="Note 3 11" xfId="15964" xr:uid="{00000000-0005-0000-0000-0000239F0000}"/>
    <cellStyle name="Note 3 11 2" xfId="15965" xr:uid="{00000000-0005-0000-0000-0000249F0000}"/>
    <cellStyle name="Note 3 11 2 2" xfId="15966" xr:uid="{00000000-0005-0000-0000-0000259F0000}"/>
    <cellStyle name="Note 3 11 2 2 2" xfId="15967" xr:uid="{00000000-0005-0000-0000-0000269F0000}"/>
    <cellStyle name="Note 3 11 2 2 2 2" xfId="39442" xr:uid="{00000000-0005-0000-0000-0000279F0000}"/>
    <cellStyle name="Note 3 11 2 2 3" xfId="39441" xr:uid="{00000000-0005-0000-0000-0000289F0000}"/>
    <cellStyle name="Note 3 11 2 3" xfId="15968" xr:uid="{00000000-0005-0000-0000-0000299F0000}"/>
    <cellStyle name="Note 3 11 2 3 2" xfId="39443" xr:uid="{00000000-0005-0000-0000-00002A9F0000}"/>
    <cellStyle name="Note 3 11 2 4" xfId="39440" xr:uid="{00000000-0005-0000-0000-00002B9F0000}"/>
    <cellStyle name="Note 3 11 3" xfId="15969" xr:uid="{00000000-0005-0000-0000-00002C9F0000}"/>
    <cellStyle name="Note 3 11 3 2" xfId="15970" xr:uid="{00000000-0005-0000-0000-00002D9F0000}"/>
    <cellStyle name="Note 3 11 3 2 2" xfId="39445" xr:uid="{00000000-0005-0000-0000-00002E9F0000}"/>
    <cellStyle name="Note 3 11 3 3" xfId="39444" xr:uid="{00000000-0005-0000-0000-00002F9F0000}"/>
    <cellStyle name="Note 3 11 4" xfId="15971" xr:uid="{00000000-0005-0000-0000-0000309F0000}"/>
    <cellStyle name="Note 3 11 4 2" xfId="39446" xr:uid="{00000000-0005-0000-0000-0000319F0000}"/>
    <cellStyle name="Note 3 11 5" xfId="21880" xr:uid="{00000000-0005-0000-0000-0000329F0000}"/>
    <cellStyle name="Note 3 11 6" xfId="39439" xr:uid="{00000000-0005-0000-0000-0000339F0000}"/>
    <cellStyle name="Note 3 12" xfId="15972" xr:uid="{00000000-0005-0000-0000-0000349F0000}"/>
    <cellStyle name="Note 3 12 2" xfId="15973" xr:uid="{00000000-0005-0000-0000-0000359F0000}"/>
    <cellStyle name="Note 3 12 2 2" xfId="15974" xr:uid="{00000000-0005-0000-0000-0000369F0000}"/>
    <cellStyle name="Note 3 12 2 2 2" xfId="39449" xr:uid="{00000000-0005-0000-0000-0000379F0000}"/>
    <cellStyle name="Note 3 12 2 3" xfId="39448" xr:uid="{00000000-0005-0000-0000-0000389F0000}"/>
    <cellStyle name="Note 3 12 3" xfId="15975" xr:uid="{00000000-0005-0000-0000-0000399F0000}"/>
    <cellStyle name="Note 3 12 3 2" xfId="39450" xr:uid="{00000000-0005-0000-0000-00003A9F0000}"/>
    <cellStyle name="Note 3 12 4" xfId="21881" xr:uid="{00000000-0005-0000-0000-00003B9F0000}"/>
    <cellStyle name="Note 3 12 5" xfId="39447" xr:uid="{00000000-0005-0000-0000-00003C9F0000}"/>
    <cellStyle name="Note 3 13" xfId="15976" xr:uid="{00000000-0005-0000-0000-00003D9F0000}"/>
    <cellStyle name="Note 3 13 2" xfId="15977" xr:uid="{00000000-0005-0000-0000-00003E9F0000}"/>
    <cellStyle name="Note 3 13 2 2" xfId="39452" xr:uid="{00000000-0005-0000-0000-00003F9F0000}"/>
    <cellStyle name="Note 3 13 3" xfId="21882" xr:uid="{00000000-0005-0000-0000-0000409F0000}"/>
    <cellStyle name="Note 3 13 4" xfId="39451" xr:uid="{00000000-0005-0000-0000-0000419F0000}"/>
    <cellStyle name="Note 3 14" xfId="15978" xr:uid="{00000000-0005-0000-0000-0000429F0000}"/>
    <cellStyle name="Note 3 14 2" xfId="21883" xr:uid="{00000000-0005-0000-0000-0000439F0000}"/>
    <cellStyle name="Note 3 14 3" xfId="39453" xr:uid="{00000000-0005-0000-0000-0000449F0000}"/>
    <cellStyle name="Note 3 15" xfId="21884" xr:uid="{00000000-0005-0000-0000-0000459F0000}"/>
    <cellStyle name="Note 3 16" xfId="21878" xr:uid="{00000000-0005-0000-0000-0000469F0000}"/>
    <cellStyle name="Note 3 17" xfId="39430" xr:uid="{00000000-0005-0000-0000-0000479F0000}"/>
    <cellStyle name="Note 3 2" xfId="15979" xr:uid="{00000000-0005-0000-0000-0000489F0000}"/>
    <cellStyle name="Note 3 2 10" xfId="15980" xr:uid="{00000000-0005-0000-0000-0000499F0000}"/>
    <cellStyle name="Note 3 2 10 2" xfId="39455" xr:uid="{00000000-0005-0000-0000-00004A9F0000}"/>
    <cellStyle name="Note 3 2 11" xfId="21885" xr:uid="{00000000-0005-0000-0000-00004B9F0000}"/>
    <cellStyle name="Note 3 2 12" xfId="39454" xr:uid="{00000000-0005-0000-0000-00004C9F0000}"/>
    <cellStyle name="Note 3 2 2" xfId="15981" xr:uid="{00000000-0005-0000-0000-00004D9F0000}"/>
    <cellStyle name="Note 3 2 2 2" xfId="15982" xr:uid="{00000000-0005-0000-0000-00004E9F0000}"/>
    <cellStyle name="Note 3 2 2 2 2" xfId="15983" xr:uid="{00000000-0005-0000-0000-00004F9F0000}"/>
    <cellStyle name="Note 3 2 2 2 2 2" xfId="15984" xr:uid="{00000000-0005-0000-0000-0000509F0000}"/>
    <cellStyle name="Note 3 2 2 2 2 2 2" xfId="15985" xr:uid="{00000000-0005-0000-0000-0000519F0000}"/>
    <cellStyle name="Note 3 2 2 2 2 2 2 2" xfId="39460" xr:uid="{00000000-0005-0000-0000-0000529F0000}"/>
    <cellStyle name="Note 3 2 2 2 2 2 3" xfId="39459" xr:uid="{00000000-0005-0000-0000-0000539F0000}"/>
    <cellStyle name="Note 3 2 2 2 2 3" xfId="15986" xr:uid="{00000000-0005-0000-0000-0000549F0000}"/>
    <cellStyle name="Note 3 2 2 2 2 3 2" xfId="39461" xr:uid="{00000000-0005-0000-0000-0000559F0000}"/>
    <cellStyle name="Note 3 2 2 2 2 4" xfId="39458" xr:uid="{00000000-0005-0000-0000-0000569F0000}"/>
    <cellStyle name="Note 3 2 2 2 3" xfId="15987" xr:uid="{00000000-0005-0000-0000-0000579F0000}"/>
    <cellStyle name="Note 3 2 2 2 3 2" xfId="15988" xr:uid="{00000000-0005-0000-0000-0000589F0000}"/>
    <cellStyle name="Note 3 2 2 2 3 2 2" xfId="39463" xr:uid="{00000000-0005-0000-0000-0000599F0000}"/>
    <cellStyle name="Note 3 2 2 2 3 3" xfId="39462" xr:uid="{00000000-0005-0000-0000-00005A9F0000}"/>
    <cellStyle name="Note 3 2 2 2 4" xfId="15989" xr:uid="{00000000-0005-0000-0000-00005B9F0000}"/>
    <cellStyle name="Note 3 2 2 2 4 2" xfId="39464" xr:uid="{00000000-0005-0000-0000-00005C9F0000}"/>
    <cellStyle name="Note 3 2 2 2 5" xfId="39457" xr:uid="{00000000-0005-0000-0000-00005D9F0000}"/>
    <cellStyle name="Note 3 2 2 3" xfId="15990" xr:uid="{00000000-0005-0000-0000-00005E9F0000}"/>
    <cellStyle name="Note 3 2 2 3 2" xfId="15991" xr:uid="{00000000-0005-0000-0000-00005F9F0000}"/>
    <cellStyle name="Note 3 2 2 3 2 2" xfId="15992" xr:uid="{00000000-0005-0000-0000-0000609F0000}"/>
    <cellStyle name="Note 3 2 2 3 2 2 2" xfId="15993" xr:uid="{00000000-0005-0000-0000-0000619F0000}"/>
    <cellStyle name="Note 3 2 2 3 2 2 2 2" xfId="39468" xr:uid="{00000000-0005-0000-0000-0000629F0000}"/>
    <cellStyle name="Note 3 2 2 3 2 2 3" xfId="39467" xr:uid="{00000000-0005-0000-0000-0000639F0000}"/>
    <cellStyle name="Note 3 2 2 3 2 3" xfId="15994" xr:uid="{00000000-0005-0000-0000-0000649F0000}"/>
    <cellStyle name="Note 3 2 2 3 2 3 2" xfId="39469" xr:uid="{00000000-0005-0000-0000-0000659F0000}"/>
    <cellStyle name="Note 3 2 2 3 2 4" xfId="39466" xr:uid="{00000000-0005-0000-0000-0000669F0000}"/>
    <cellStyle name="Note 3 2 2 3 3" xfId="15995" xr:uid="{00000000-0005-0000-0000-0000679F0000}"/>
    <cellStyle name="Note 3 2 2 3 3 2" xfId="15996" xr:uid="{00000000-0005-0000-0000-0000689F0000}"/>
    <cellStyle name="Note 3 2 2 3 3 2 2" xfId="39471" xr:uid="{00000000-0005-0000-0000-0000699F0000}"/>
    <cellStyle name="Note 3 2 2 3 3 3" xfId="39470" xr:uid="{00000000-0005-0000-0000-00006A9F0000}"/>
    <cellStyle name="Note 3 2 2 3 4" xfId="15997" xr:uid="{00000000-0005-0000-0000-00006B9F0000}"/>
    <cellStyle name="Note 3 2 2 3 4 2" xfId="39472" xr:uid="{00000000-0005-0000-0000-00006C9F0000}"/>
    <cellStyle name="Note 3 2 2 3 5" xfId="39465" xr:uid="{00000000-0005-0000-0000-00006D9F0000}"/>
    <cellStyle name="Note 3 2 2 4" xfId="15998" xr:uid="{00000000-0005-0000-0000-00006E9F0000}"/>
    <cellStyle name="Note 3 2 2 4 2" xfId="15999" xr:uid="{00000000-0005-0000-0000-00006F9F0000}"/>
    <cellStyle name="Note 3 2 2 4 2 2" xfId="16000" xr:uid="{00000000-0005-0000-0000-0000709F0000}"/>
    <cellStyle name="Note 3 2 2 4 2 2 2" xfId="39475" xr:uid="{00000000-0005-0000-0000-0000719F0000}"/>
    <cellStyle name="Note 3 2 2 4 2 3" xfId="39474" xr:uid="{00000000-0005-0000-0000-0000729F0000}"/>
    <cellStyle name="Note 3 2 2 4 3" xfId="16001" xr:uid="{00000000-0005-0000-0000-0000739F0000}"/>
    <cellStyle name="Note 3 2 2 4 3 2" xfId="39476" xr:uid="{00000000-0005-0000-0000-0000749F0000}"/>
    <cellStyle name="Note 3 2 2 4 4" xfId="39473" xr:uid="{00000000-0005-0000-0000-0000759F0000}"/>
    <cellStyle name="Note 3 2 2 5" xfId="16002" xr:uid="{00000000-0005-0000-0000-0000769F0000}"/>
    <cellStyle name="Note 3 2 2 5 2" xfId="16003" xr:uid="{00000000-0005-0000-0000-0000779F0000}"/>
    <cellStyle name="Note 3 2 2 5 2 2" xfId="39478" xr:uid="{00000000-0005-0000-0000-0000789F0000}"/>
    <cellStyle name="Note 3 2 2 5 3" xfId="39477" xr:uid="{00000000-0005-0000-0000-0000799F0000}"/>
    <cellStyle name="Note 3 2 2 6" xfId="16004" xr:uid="{00000000-0005-0000-0000-00007A9F0000}"/>
    <cellStyle name="Note 3 2 2 6 2" xfId="39479" xr:uid="{00000000-0005-0000-0000-00007B9F0000}"/>
    <cellStyle name="Note 3 2 2 7" xfId="39456" xr:uid="{00000000-0005-0000-0000-00007C9F0000}"/>
    <cellStyle name="Note 3 2 3" xfId="16005" xr:uid="{00000000-0005-0000-0000-00007D9F0000}"/>
    <cellStyle name="Note 3 2 3 2" xfId="16006" xr:uid="{00000000-0005-0000-0000-00007E9F0000}"/>
    <cellStyle name="Note 3 2 3 2 2" xfId="16007" xr:uid="{00000000-0005-0000-0000-00007F9F0000}"/>
    <cellStyle name="Note 3 2 3 2 2 2" xfId="16008" xr:uid="{00000000-0005-0000-0000-0000809F0000}"/>
    <cellStyle name="Note 3 2 3 2 2 2 2" xfId="16009" xr:uid="{00000000-0005-0000-0000-0000819F0000}"/>
    <cellStyle name="Note 3 2 3 2 2 2 2 2" xfId="39484" xr:uid="{00000000-0005-0000-0000-0000829F0000}"/>
    <cellStyle name="Note 3 2 3 2 2 2 3" xfId="39483" xr:uid="{00000000-0005-0000-0000-0000839F0000}"/>
    <cellStyle name="Note 3 2 3 2 2 3" xfId="16010" xr:uid="{00000000-0005-0000-0000-0000849F0000}"/>
    <cellStyle name="Note 3 2 3 2 2 3 2" xfId="39485" xr:uid="{00000000-0005-0000-0000-0000859F0000}"/>
    <cellStyle name="Note 3 2 3 2 2 4" xfId="39482" xr:uid="{00000000-0005-0000-0000-0000869F0000}"/>
    <cellStyle name="Note 3 2 3 2 3" xfId="16011" xr:uid="{00000000-0005-0000-0000-0000879F0000}"/>
    <cellStyle name="Note 3 2 3 2 3 2" xfId="16012" xr:uid="{00000000-0005-0000-0000-0000889F0000}"/>
    <cellStyle name="Note 3 2 3 2 3 2 2" xfId="39487" xr:uid="{00000000-0005-0000-0000-0000899F0000}"/>
    <cellStyle name="Note 3 2 3 2 3 3" xfId="39486" xr:uid="{00000000-0005-0000-0000-00008A9F0000}"/>
    <cellStyle name="Note 3 2 3 2 4" xfId="16013" xr:uid="{00000000-0005-0000-0000-00008B9F0000}"/>
    <cellStyle name="Note 3 2 3 2 4 2" xfId="39488" xr:uid="{00000000-0005-0000-0000-00008C9F0000}"/>
    <cellStyle name="Note 3 2 3 2 5" xfId="39481" xr:uid="{00000000-0005-0000-0000-00008D9F0000}"/>
    <cellStyle name="Note 3 2 3 3" xfId="16014" xr:uid="{00000000-0005-0000-0000-00008E9F0000}"/>
    <cellStyle name="Note 3 2 3 3 2" xfId="16015" xr:uid="{00000000-0005-0000-0000-00008F9F0000}"/>
    <cellStyle name="Note 3 2 3 3 2 2" xfId="16016" xr:uid="{00000000-0005-0000-0000-0000909F0000}"/>
    <cellStyle name="Note 3 2 3 3 2 2 2" xfId="16017" xr:uid="{00000000-0005-0000-0000-0000919F0000}"/>
    <cellStyle name="Note 3 2 3 3 2 2 2 2" xfId="39492" xr:uid="{00000000-0005-0000-0000-0000929F0000}"/>
    <cellStyle name="Note 3 2 3 3 2 2 3" xfId="39491" xr:uid="{00000000-0005-0000-0000-0000939F0000}"/>
    <cellStyle name="Note 3 2 3 3 2 3" xfId="16018" xr:uid="{00000000-0005-0000-0000-0000949F0000}"/>
    <cellStyle name="Note 3 2 3 3 2 3 2" xfId="39493" xr:uid="{00000000-0005-0000-0000-0000959F0000}"/>
    <cellStyle name="Note 3 2 3 3 2 4" xfId="39490" xr:uid="{00000000-0005-0000-0000-0000969F0000}"/>
    <cellStyle name="Note 3 2 3 3 3" xfId="16019" xr:uid="{00000000-0005-0000-0000-0000979F0000}"/>
    <cellStyle name="Note 3 2 3 3 3 2" xfId="16020" xr:uid="{00000000-0005-0000-0000-0000989F0000}"/>
    <cellStyle name="Note 3 2 3 3 3 2 2" xfId="39495" xr:uid="{00000000-0005-0000-0000-0000999F0000}"/>
    <cellStyle name="Note 3 2 3 3 3 3" xfId="39494" xr:uid="{00000000-0005-0000-0000-00009A9F0000}"/>
    <cellStyle name="Note 3 2 3 3 4" xfId="16021" xr:uid="{00000000-0005-0000-0000-00009B9F0000}"/>
    <cellStyle name="Note 3 2 3 3 4 2" xfId="39496" xr:uid="{00000000-0005-0000-0000-00009C9F0000}"/>
    <cellStyle name="Note 3 2 3 3 5" xfId="39489" xr:uid="{00000000-0005-0000-0000-00009D9F0000}"/>
    <cellStyle name="Note 3 2 3 4" xfId="16022" xr:uid="{00000000-0005-0000-0000-00009E9F0000}"/>
    <cellStyle name="Note 3 2 3 4 2" xfId="16023" xr:uid="{00000000-0005-0000-0000-00009F9F0000}"/>
    <cellStyle name="Note 3 2 3 4 2 2" xfId="16024" xr:uid="{00000000-0005-0000-0000-0000A09F0000}"/>
    <cellStyle name="Note 3 2 3 4 2 2 2" xfId="39499" xr:uid="{00000000-0005-0000-0000-0000A19F0000}"/>
    <cellStyle name="Note 3 2 3 4 2 3" xfId="39498" xr:uid="{00000000-0005-0000-0000-0000A29F0000}"/>
    <cellStyle name="Note 3 2 3 4 3" xfId="16025" xr:uid="{00000000-0005-0000-0000-0000A39F0000}"/>
    <cellStyle name="Note 3 2 3 4 3 2" xfId="39500" xr:uid="{00000000-0005-0000-0000-0000A49F0000}"/>
    <cellStyle name="Note 3 2 3 4 4" xfId="39497" xr:uid="{00000000-0005-0000-0000-0000A59F0000}"/>
    <cellStyle name="Note 3 2 3 5" xfId="16026" xr:uid="{00000000-0005-0000-0000-0000A69F0000}"/>
    <cellStyle name="Note 3 2 3 5 2" xfId="16027" xr:uid="{00000000-0005-0000-0000-0000A79F0000}"/>
    <cellStyle name="Note 3 2 3 5 2 2" xfId="39502" xr:uid="{00000000-0005-0000-0000-0000A89F0000}"/>
    <cellStyle name="Note 3 2 3 5 3" xfId="39501" xr:uid="{00000000-0005-0000-0000-0000A99F0000}"/>
    <cellStyle name="Note 3 2 3 6" xfId="16028" xr:uid="{00000000-0005-0000-0000-0000AA9F0000}"/>
    <cellStyle name="Note 3 2 3 6 2" xfId="39503" xr:uid="{00000000-0005-0000-0000-0000AB9F0000}"/>
    <cellStyle name="Note 3 2 3 7" xfId="39480" xr:uid="{00000000-0005-0000-0000-0000AC9F0000}"/>
    <cellStyle name="Note 3 2 4" xfId="16029" xr:uid="{00000000-0005-0000-0000-0000AD9F0000}"/>
    <cellStyle name="Note 3 2 4 2" xfId="16030" xr:uid="{00000000-0005-0000-0000-0000AE9F0000}"/>
    <cellStyle name="Note 3 2 4 2 2" xfId="16031" xr:uid="{00000000-0005-0000-0000-0000AF9F0000}"/>
    <cellStyle name="Note 3 2 4 2 2 2" xfId="16032" xr:uid="{00000000-0005-0000-0000-0000B09F0000}"/>
    <cellStyle name="Note 3 2 4 2 2 2 2" xfId="16033" xr:uid="{00000000-0005-0000-0000-0000B19F0000}"/>
    <cellStyle name="Note 3 2 4 2 2 2 2 2" xfId="39508" xr:uid="{00000000-0005-0000-0000-0000B29F0000}"/>
    <cellStyle name="Note 3 2 4 2 2 2 3" xfId="39507" xr:uid="{00000000-0005-0000-0000-0000B39F0000}"/>
    <cellStyle name="Note 3 2 4 2 2 3" xfId="16034" xr:uid="{00000000-0005-0000-0000-0000B49F0000}"/>
    <cellStyle name="Note 3 2 4 2 2 3 2" xfId="39509" xr:uid="{00000000-0005-0000-0000-0000B59F0000}"/>
    <cellStyle name="Note 3 2 4 2 2 4" xfId="39506" xr:uid="{00000000-0005-0000-0000-0000B69F0000}"/>
    <cellStyle name="Note 3 2 4 2 3" xfId="16035" xr:uid="{00000000-0005-0000-0000-0000B79F0000}"/>
    <cellStyle name="Note 3 2 4 2 3 2" xfId="16036" xr:uid="{00000000-0005-0000-0000-0000B89F0000}"/>
    <cellStyle name="Note 3 2 4 2 3 2 2" xfId="39511" xr:uid="{00000000-0005-0000-0000-0000B99F0000}"/>
    <cellStyle name="Note 3 2 4 2 3 3" xfId="39510" xr:uid="{00000000-0005-0000-0000-0000BA9F0000}"/>
    <cellStyle name="Note 3 2 4 2 4" xfId="16037" xr:uid="{00000000-0005-0000-0000-0000BB9F0000}"/>
    <cellStyle name="Note 3 2 4 2 4 2" xfId="39512" xr:uid="{00000000-0005-0000-0000-0000BC9F0000}"/>
    <cellStyle name="Note 3 2 4 2 5" xfId="39505" xr:uid="{00000000-0005-0000-0000-0000BD9F0000}"/>
    <cellStyle name="Note 3 2 4 3" xfId="16038" xr:uid="{00000000-0005-0000-0000-0000BE9F0000}"/>
    <cellStyle name="Note 3 2 4 3 2" xfId="16039" xr:uid="{00000000-0005-0000-0000-0000BF9F0000}"/>
    <cellStyle name="Note 3 2 4 3 2 2" xfId="16040" xr:uid="{00000000-0005-0000-0000-0000C09F0000}"/>
    <cellStyle name="Note 3 2 4 3 2 2 2" xfId="16041" xr:uid="{00000000-0005-0000-0000-0000C19F0000}"/>
    <cellStyle name="Note 3 2 4 3 2 2 2 2" xfId="39516" xr:uid="{00000000-0005-0000-0000-0000C29F0000}"/>
    <cellStyle name="Note 3 2 4 3 2 2 3" xfId="39515" xr:uid="{00000000-0005-0000-0000-0000C39F0000}"/>
    <cellStyle name="Note 3 2 4 3 2 3" xfId="16042" xr:uid="{00000000-0005-0000-0000-0000C49F0000}"/>
    <cellStyle name="Note 3 2 4 3 2 3 2" xfId="39517" xr:uid="{00000000-0005-0000-0000-0000C59F0000}"/>
    <cellStyle name="Note 3 2 4 3 2 4" xfId="39514" xr:uid="{00000000-0005-0000-0000-0000C69F0000}"/>
    <cellStyle name="Note 3 2 4 3 3" xfId="16043" xr:uid="{00000000-0005-0000-0000-0000C79F0000}"/>
    <cellStyle name="Note 3 2 4 3 3 2" xfId="16044" xr:uid="{00000000-0005-0000-0000-0000C89F0000}"/>
    <cellStyle name="Note 3 2 4 3 3 2 2" xfId="39519" xr:uid="{00000000-0005-0000-0000-0000C99F0000}"/>
    <cellStyle name="Note 3 2 4 3 3 3" xfId="39518" xr:uid="{00000000-0005-0000-0000-0000CA9F0000}"/>
    <cellStyle name="Note 3 2 4 3 4" xfId="16045" xr:uid="{00000000-0005-0000-0000-0000CB9F0000}"/>
    <cellStyle name="Note 3 2 4 3 4 2" xfId="39520" xr:uid="{00000000-0005-0000-0000-0000CC9F0000}"/>
    <cellStyle name="Note 3 2 4 3 5" xfId="39513" xr:uid="{00000000-0005-0000-0000-0000CD9F0000}"/>
    <cellStyle name="Note 3 2 4 4" xfId="16046" xr:uid="{00000000-0005-0000-0000-0000CE9F0000}"/>
    <cellStyle name="Note 3 2 4 4 2" xfId="16047" xr:uid="{00000000-0005-0000-0000-0000CF9F0000}"/>
    <cellStyle name="Note 3 2 4 4 2 2" xfId="16048" xr:uid="{00000000-0005-0000-0000-0000D09F0000}"/>
    <cellStyle name="Note 3 2 4 4 2 2 2" xfId="39523" xr:uid="{00000000-0005-0000-0000-0000D19F0000}"/>
    <cellStyle name="Note 3 2 4 4 2 3" xfId="39522" xr:uid="{00000000-0005-0000-0000-0000D29F0000}"/>
    <cellStyle name="Note 3 2 4 4 3" xfId="16049" xr:uid="{00000000-0005-0000-0000-0000D39F0000}"/>
    <cellStyle name="Note 3 2 4 4 3 2" xfId="39524" xr:uid="{00000000-0005-0000-0000-0000D49F0000}"/>
    <cellStyle name="Note 3 2 4 4 4" xfId="39521" xr:uid="{00000000-0005-0000-0000-0000D59F0000}"/>
    <cellStyle name="Note 3 2 4 5" xfId="16050" xr:uid="{00000000-0005-0000-0000-0000D69F0000}"/>
    <cellStyle name="Note 3 2 4 5 2" xfId="16051" xr:uid="{00000000-0005-0000-0000-0000D79F0000}"/>
    <cellStyle name="Note 3 2 4 5 2 2" xfId="39526" xr:uid="{00000000-0005-0000-0000-0000D89F0000}"/>
    <cellStyle name="Note 3 2 4 5 3" xfId="39525" xr:uid="{00000000-0005-0000-0000-0000D99F0000}"/>
    <cellStyle name="Note 3 2 4 6" xfId="16052" xr:uid="{00000000-0005-0000-0000-0000DA9F0000}"/>
    <cellStyle name="Note 3 2 4 6 2" xfId="39527" xr:uid="{00000000-0005-0000-0000-0000DB9F0000}"/>
    <cellStyle name="Note 3 2 4 7" xfId="39504" xr:uid="{00000000-0005-0000-0000-0000DC9F0000}"/>
    <cellStyle name="Note 3 2 5" xfId="16053" xr:uid="{00000000-0005-0000-0000-0000DD9F0000}"/>
    <cellStyle name="Note 3 2 5 2" xfId="16054" xr:uid="{00000000-0005-0000-0000-0000DE9F0000}"/>
    <cellStyle name="Note 3 2 5 2 2" xfId="16055" xr:uid="{00000000-0005-0000-0000-0000DF9F0000}"/>
    <cellStyle name="Note 3 2 5 2 2 2" xfId="16056" xr:uid="{00000000-0005-0000-0000-0000E09F0000}"/>
    <cellStyle name="Note 3 2 5 2 2 2 2" xfId="16057" xr:uid="{00000000-0005-0000-0000-0000E19F0000}"/>
    <cellStyle name="Note 3 2 5 2 2 2 2 2" xfId="39532" xr:uid="{00000000-0005-0000-0000-0000E29F0000}"/>
    <cellStyle name="Note 3 2 5 2 2 2 3" xfId="39531" xr:uid="{00000000-0005-0000-0000-0000E39F0000}"/>
    <cellStyle name="Note 3 2 5 2 2 3" xfId="16058" xr:uid="{00000000-0005-0000-0000-0000E49F0000}"/>
    <cellStyle name="Note 3 2 5 2 2 3 2" xfId="39533" xr:uid="{00000000-0005-0000-0000-0000E59F0000}"/>
    <cellStyle name="Note 3 2 5 2 2 4" xfId="39530" xr:uid="{00000000-0005-0000-0000-0000E69F0000}"/>
    <cellStyle name="Note 3 2 5 2 3" xfId="16059" xr:uid="{00000000-0005-0000-0000-0000E79F0000}"/>
    <cellStyle name="Note 3 2 5 2 3 2" xfId="16060" xr:uid="{00000000-0005-0000-0000-0000E89F0000}"/>
    <cellStyle name="Note 3 2 5 2 3 2 2" xfId="39535" xr:uid="{00000000-0005-0000-0000-0000E99F0000}"/>
    <cellStyle name="Note 3 2 5 2 3 3" xfId="39534" xr:uid="{00000000-0005-0000-0000-0000EA9F0000}"/>
    <cellStyle name="Note 3 2 5 2 4" xfId="16061" xr:uid="{00000000-0005-0000-0000-0000EB9F0000}"/>
    <cellStyle name="Note 3 2 5 2 4 2" xfId="39536" xr:uid="{00000000-0005-0000-0000-0000EC9F0000}"/>
    <cellStyle name="Note 3 2 5 2 5" xfId="39529" xr:uid="{00000000-0005-0000-0000-0000ED9F0000}"/>
    <cellStyle name="Note 3 2 5 3" xfId="16062" xr:uid="{00000000-0005-0000-0000-0000EE9F0000}"/>
    <cellStyle name="Note 3 2 5 3 2" xfId="16063" xr:uid="{00000000-0005-0000-0000-0000EF9F0000}"/>
    <cellStyle name="Note 3 2 5 3 2 2" xfId="16064" xr:uid="{00000000-0005-0000-0000-0000F09F0000}"/>
    <cellStyle name="Note 3 2 5 3 2 2 2" xfId="16065" xr:uid="{00000000-0005-0000-0000-0000F19F0000}"/>
    <cellStyle name="Note 3 2 5 3 2 2 2 2" xfId="39540" xr:uid="{00000000-0005-0000-0000-0000F29F0000}"/>
    <cellStyle name="Note 3 2 5 3 2 2 3" xfId="39539" xr:uid="{00000000-0005-0000-0000-0000F39F0000}"/>
    <cellStyle name="Note 3 2 5 3 2 3" xfId="16066" xr:uid="{00000000-0005-0000-0000-0000F49F0000}"/>
    <cellStyle name="Note 3 2 5 3 2 3 2" xfId="39541" xr:uid="{00000000-0005-0000-0000-0000F59F0000}"/>
    <cellStyle name="Note 3 2 5 3 2 4" xfId="39538" xr:uid="{00000000-0005-0000-0000-0000F69F0000}"/>
    <cellStyle name="Note 3 2 5 3 3" xfId="16067" xr:uid="{00000000-0005-0000-0000-0000F79F0000}"/>
    <cellStyle name="Note 3 2 5 3 3 2" xfId="16068" xr:uid="{00000000-0005-0000-0000-0000F89F0000}"/>
    <cellStyle name="Note 3 2 5 3 3 2 2" xfId="39543" xr:uid="{00000000-0005-0000-0000-0000F99F0000}"/>
    <cellStyle name="Note 3 2 5 3 3 3" xfId="39542" xr:uid="{00000000-0005-0000-0000-0000FA9F0000}"/>
    <cellStyle name="Note 3 2 5 3 4" xfId="16069" xr:uid="{00000000-0005-0000-0000-0000FB9F0000}"/>
    <cellStyle name="Note 3 2 5 3 4 2" xfId="39544" xr:uid="{00000000-0005-0000-0000-0000FC9F0000}"/>
    <cellStyle name="Note 3 2 5 3 5" xfId="39537" xr:uid="{00000000-0005-0000-0000-0000FD9F0000}"/>
    <cellStyle name="Note 3 2 5 4" xfId="16070" xr:uid="{00000000-0005-0000-0000-0000FE9F0000}"/>
    <cellStyle name="Note 3 2 5 4 2" xfId="16071" xr:uid="{00000000-0005-0000-0000-0000FF9F0000}"/>
    <cellStyle name="Note 3 2 5 4 2 2" xfId="16072" xr:uid="{00000000-0005-0000-0000-000000A00000}"/>
    <cellStyle name="Note 3 2 5 4 2 2 2" xfId="39547" xr:uid="{00000000-0005-0000-0000-000001A00000}"/>
    <cellStyle name="Note 3 2 5 4 2 3" xfId="39546" xr:uid="{00000000-0005-0000-0000-000002A00000}"/>
    <cellStyle name="Note 3 2 5 4 3" xfId="16073" xr:uid="{00000000-0005-0000-0000-000003A00000}"/>
    <cellStyle name="Note 3 2 5 4 3 2" xfId="39548" xr:uid="{00000000-0005-0000-0000-000004A00000}"/>
    <cellStyle name="Note 3 2 5 4 4" xfId="39545" xr:uid="{00000000-0005-0000-0000-000005A00000}"/>
    <cellStyle name="Note 3 2 5 5" xfId="16074" xr:uid="{00000000-0005-0000-0000-000006A00000}"/>
    <cellStyle name="Note 3 2 5 5 2" xfId="16075" xr:uid="{00000000-0005-0000-0000-000007A00000}"/>
    <cellStyle name="Note 3 2 5 5 2 2" xfId="39550" xr:uid="{00000000-0005-0000-0000-000008A00000}"/>
    <cellStyle name="Note 3 2 5 5 3" xfId="39549" xr:uid="{00000000-0005-0000-0000-000009A00000}"/>
    <cellStyle name="Note 3 2 5 6" xfId="16076" xr:uid="{00000000-0005-0000-0000-00000AA00000}"/>
    <cellStyle name="Note 3 2 5 6 2" xfId="39551" xr:uid="{00000000-0005-0000-0000-00000BA00000}"/>
    <cellStyle name="Note 3 2 5 7" xfId="39528" xr:uid="{00000000-0005-0000-0000-00000CA00000}"/>
    <cellStyle name="Note 3 2 6" xfId="16077" xr:uid="{00000000-0005-0000-0000-00000DA00000}"/>
    <cellStyle name="Note 3 2 6 2" xfId="16078" xr:uid="{00000000-0005-0000-0000-00000EA00000}"/>
    <cellStyle name="Note 3 2 6 2 2" xfId="16079" xr:uid="{00000000-0005-0000-0000-00000FA00000}"/>
    <cellStyle name="Note 3 2 6 2 2 2" xfId="16080" xr:uid="{00000000-0005-0000-0000-000010A00000}"/>
    <cellStyle name="Note 3 2 6 2 2 2 2" xfId="39555" xr:uid="{00000000-0005-0000-0000-000011A00000}"/>
    <cellStyle name="Note 3 2 6 2 2 3" xfId="39554" xr:uid="{00000000-0005-0000-0000-000012A00000}"/>
    <cellStyle name="Note 3 2 6 2 3" xfId="16081" xr:uid="{00000000-0005-0000-0000-000013A00000}"/>
    <cellStyle name="Note 3 2 6 2 3 2" xfId="39556" xr:uid="{00000000-0005-0000-0000-000014A00000}"/>
    <cellStyle name="Note 3 2 6 2 4" xfId="39553" xr:uid="{00000000-0005-0000-0000-000015A00000}"/>
    <cellStyle name="Note 3 2 6 3" xfId="16082" xr:uid="{00000000-0005-0000-0000-000016A00000}"/>
    <cellStyle name="Note 3 2 6 3 2" xfId="16083" xr:uid="{00000000-0005-0000-0000-000017A00000}"/>
    <cellStyle name="Note 3 2 6 3 2 2" xfId="39558" xr:uid="{00000000-0005-0000-0000-000018A00000}"/>
    <cellStyle name="Note 3 2 6 3 3" xfId="39557" xr:uid="{00000000-0005-0000-0000-000019A00000}"/>
    <cellStyle name="Note 3 2 6 4" xfId="16084" xr:uid="{00000000-0005-0000-0000-00001AA00000}"/>
    <cellStyle name="Note 3 2 6 4 2" xfId="39559" xr:uid="{00000000-0005-0000-0000-00001BA00000}"/>
    <cellStyle name="Note 3 2 6 5" xfId="39552" xr:uid="{00000000-0005-0000-0000-00001CA00000}"/>
    <cellStyle name="Note 3 2 7" xfId="16085" xr:uid="{00000000-0005-0000-0000-00001DA00000}"/>
    <cellStyle name="Note 3 2 7 2" xfId="16086" xr:uid="{00000000-0005-0000-0000-00001EA00000}"/>
    <cellStyle name="Note 3 2 7 2 2" xfId="16087" xr:uid="{00000000-0005-0000-0000-00001FA00000}"/>
    <cellStyle name="Note 3 2 7 2 2 2" xfId="16088" xr:uid="{00000000-0005-0000-0000-000020A00000}"/>
    <cellStyle name="Note 3 2 7 2 2 2 2" xfId="39563" xr:uid="{00000000-0005-0000-0000-000021A00000}"/>
    <cellStyle name="Note 3 2 7 2 2 3" xfId="39562" xr:uid="{00000000-0005-0000-0000-000022A00000}"/>
    <cellStyle name="Note 3 2 7 2 3" xfId="16089" xr:uid="{00000000-0005-0000-0000-000023A00000}"/>
    <cellStyle name="Note 3 2 7 2 3 2" xfId="39564" xr:uid="{00000000-0005-0000-0000-000024A00000}"/>
    <cellStyle name="Note 3 2 7 2 4" xfId="39561" xr:uid="{00000000-0005-0000-0000-000025A00000}"/>
    <cellStyle name="Note 3 2 7 3" xfId="16090" xr:uid="{00000000-0005-0000-0000-000026A00000}"/>
    <cellStyle name="Note 3 2 7 3 2" xfId="16091" xr:uid="{00000000-0005-0000-0000-000027A00000}"/>
    <cellStyle name="Note 3 2 7 3 2 2" xfId="39566" xr:uid="{00000000-0005-0000-0000-000028A00000}"/>
    <cellStyle name="Note 3 2 7 3 3" xfId="39565" xr:uid="{00000000-0005-0000-0000-000029A00000}"/>
    <cellStyle name="Note 3 2 7 4" xfId="16092" xr:uid="{00000000-0005-0000-0000-00002AA00000}"/>
    <cellStyle name="Note 3 2 7 4 2" xfId="39567" xr:uid="{00000000-0005-0000-0000-00002BA00000}"/>
    <cellStyle name="Note 3 2 7 5" xfId="39560" xr:uid="{00000000-0005-0000-0000-00002CA00000}"/>
    <cellStyle name="Note 3 2 8" xfId="16093" xr:uid="{00000000-0005-0000-0000-00002DA00000}"/>
    <cellStyle name="Note 3 2 8 2" xfId="16094" xr:uid="{00000000-0005-0000-0000-00002EA00000}"/>
    <cellStyle name="Note 3 2 8 2 2" xfId="16095" xr:uid="{00000000-0005-0000-0000-00002FA00000}"/>
    <cellStyle name="Note 3 2 8 2 2 2" xfId="39570" xr:uid="{00000000-0005-0000-0000-000030A00000}"/>
    <cellStyle name="Note 3 2 8 2 3" xfId="39569" xr:uid="{00000000-0005-0000-0000-000031A00000}"/>
    <cellStyle name="Note 3 2 8 3" xfId="16096" xr:uid="{00000000-0005-0000-0000-000032A00000}"/>
    <cellStyle name="Note 3 2 8 3 2" xfId="39571" xr:uid="{00000000-0005-0000-0000-000033A00000}"/>
    <cellStyle name="Note 3 2 8 4" xfId="39568" xr:uid="{00000000-0005-0000-0000-000034A00000}"/>
    <cellStyle name="Note 3 2 9" xfId="16097" xr:uid="{00000000-0005-0000-0000-000035A00000}"/>
    <cellStyle name="Note 3 2 9 2" xfId="16098" xr:uid="{00000000-0005-0000-0000-000036A00000}"/>
    <cellStyle name="Note 3 2 9 2 2" xfId="39573" xr:uid="{00000000-0005-0000-0000-000037A00000}"/>
    <cellStyle name="Note 3 2 9 3" xfId="39572" xr:uid="{00000000-0005-0000-0000-000038A00000}"/>
    <cellStyle name="Note 3 3" xfId="16099" xr:uid="{00000000-0005-0000-0000-000039A00000}"/>
    <cellStyle name="Note 3 3 10" xfId="21886" xr:uid="{00000000-0005-0000-0000-00003AA00000}"/>
    <cellStyle name="Note 3 3 11" xfId="39574" xr:uid="{00000000-0005-0000-0000-00003BA00000}"/>
    <cellStyle name="Note 3 3 2" xfId="16100" xr:uid="{00000000-0005-0000-0000-00003CA00000}"/>
    <cellStyle name="Note 3 3 2 2" xfId="16101" xr:uid="{00000000-0005-0000-0000-00003DA00000}"/>
    <cellStyle name="Note 3 3 2 2 2" xfId="16102" xr:uid="{00000000-0005-0000-0000-00003EA00000}"/>
    <cellStyle name="Note 3 3 2 2 2 2" xfId="16103" xr:uid="{00000000-0005-0000-0000-00003FA00000}"/>
    <cellStyle name="Note 3 3 2 2 2 2 2" xfId="16104" xr:uid="{00000000-0005-0000-0000-000040A00000}"/>
    <cellStyle name="Note 3 3 2 2 2 2 2 2" xfId="39579" xr:uid="{00000000-0005-0000-0000-000041A00000}"/>
    <cellStyle name="Note 3 3 2 2 2 2 3" xfId="39578" xr:uid="{00000000-0005-0000-0000-000042A00000}"/>
    <cellStyle name="Note 3 3 2 2 2 3" xfId="16105" xr:uid="{00000000-0005-0000-0000-000043A00000}"/>
    <cellStyle name="Note 3 3 2 2 2 3 2" xfId="39580" xr:uid="{00000000-0005-0000-0000-000044A00000}"/>
    <cellStyle name="Note 3 3 2 2 2 4" xfId="39577" xr:uid="{00000000-0005-0000-0000-000045A00000}"/>
    <cellStyle name="Note 3 3 2 2 3" xfId="16106" xr:uid="{00000000-0005-0000-0000-000046A00000}"/>
    <cellStyle name="Note 3 3 2 2 3 2" xfId="16107" xr:uid="{00000000-0005-0000-0000-000047A00000}"/>
    <cellStyle name="Note 3 3 2 2 3 2 2" xfId="39582" xr:uid="{00000000-0005-0000-0000-000048A00000}"/>
    <cellStyle name="Note 3 3 2 2 3 3" xfId="39581" xr:uid="{00000000-0005-0000-0000-000049A00000}"/>
    <cellStyle name="Note 3 3 2 2 4" xfId="16108" xr:uid="{00000000-0005-0000-0000-00004AA00000}"/>
    <cellStyle name="Note 3 3 2 2 4 2" xfId="39583" xr:uid="{00000000-0005-0000-0000-00004BA00000}"/>
    <cellStyle name="Note 3 3 2 2 5" xfId="39576" xr:uid="{00000000-0005-0000-0000-00004CA00000}"/>
    <cellStyle name="Note 3 3 2 3" xfId="16109" xr:uid="{00000000-0005-0000-0000-00004DA00000}"/>
    <cellStyle name="Note 3 3 2 3 2" xfId="16110" xr:uid="{00000000-0005-0000-0000-00004EA00000}"/>
    <cellStyle name="Note 3 3 2 3 2 2" xfId="16111" xr:uid="{00000000-0005-0000-0000-00004FA00000}"/>
    <cellStyle name="Note 3 3 2 3 2 2 2" xfId="16112" xr:uid="{00000000-0005-0000-0000-000050A00000}"/>
    <cellStyle name="Note 3 3 2 3 2 2 2 2" xfId="39587" xr:uid="{00000000-0005-0000-0000-000051A00000}"/>
    <cellStyle name="Note 3 3 2 3 2 2 3" xfId="39586" xr:uid="{00000000-0005-0000-0000-000052A00000}"/>
    <cellStyle name="Note 3 3 2 3 2 3" xfId="16113" xr:uid="{00000000-0005-0000-0000-000053A00000}"/>
    <cellStyle name="Note 3 3 2 3 2 3 2" xfId="39588" xr:uid="{00000000-0005-0000-0000-000054A00000}"/>
    <cellStyle name="Note 3 3 2 3 2 4" xfId="39585" xr:uid="{00000000-0005-0000-0000-000055A00000}"/>
    <cellStyle name="Note 3 3 2 3 3" xfId="16114" xr:uid="{00000000-0005-0000-0000-000056A00000}"/>
    <cellStyle name="Note 3 3 2 3 3 2" xfId="16115" xr:uid="{00000000-0005-0000-0000-000057A00000}"/>
    <cellStyle name="Note 3 3 2 3 3 2 2" xfId="39590" xr:uid="{00000000-0005-0000-0000-000058A00000}"/>
    <cellStyle name="Note 3 3 2 3 3 3" xfId="39589" xr:uid="{00000000-0005-0000-0000-000059A00000}"/>
    <cellStyle name="Note 3 3 2 3 4" xfId="16116" xr:uid="{00000000-0005-0000-0000-00005AA00000}"/>
    <cellStyle name="Note 3 3 2 3 4 2" xfId="39591" xr:uid="{00000000-0005-0000-0000-00005BA00000}"/>
    <cellStyle name="Note 3 3 2 3 5" xfId="39584" xr:uid="{00000000-0005-0000-0000-00005CA00000}"/>
    <cellStyle name="Note 3 3 2 4" xfId="16117" xr:uid="{00000000-0005-0000-0000-00005DA00000}"/>
    <cellStyle name="Note 3 3 2 4 2" xfId="16118" xr:uid="{00000000-0005-0000-0000-00005EA00000}"/>
    <cellStyle name="Note 3 3 2 4 2 2" xfId="16119" xr:uid="{00000000-0005-0000-0000-00005FA00000}"/>
    <cellStyle name="Note 3 3 2 4 2 2 2" xfId="39594" xr:uid="{00000000-0005-0000-0000-000060A00000}"/>
    <cellStyle name="Note 3 3 2 4 2 3" xfId="39593" xr:uid="{00000000-0005-0000-0000-000061A00000}"/>
    <cellStyle name="Note 3 3 2 4 3" xfId="16120" xr:uid="{00000000-0005-0000-0000-000062A00000}"/>
    <cellStyle name="Note 3 3 2 4 3 2" xfId="39595" xr:uid="{00000000-0005-0000-0000-000063A00000}"/>
    <cellStyle name="Note 3 3 2 4 4" xfId="39592" xr:uid="{00000000-0005-0000-0000-000064A00000}"/>
    <cellStyle name="Note 3 3 2 5" xfId="16121" xr:uid="{00000000-0005-0000-0000-000065A00000}"/>
    <cellStyle name="Note 3 3 2 5 2" xfId="16122" xr:uid="{00000000-0005-0000-0000-000066A00000}"/>
    <cellStyle name="Note 3 3 2 5 2 2" xfId="39597" xr:uid="{00000000-0005-0000-0000-000067A00000}"/>
    <cellStyle name="Note 3 3 2 5 3" xfId="39596" xr:uid="{00000000-0005-0000-0000-000068A00000}"/>
    <cellStyle name="Note 3 3 2 6" xfId="16123" xr:uid="{00000000-0005-0000-0000-000069A00000}"/>
    <cellStyle name="Note 3 3 2 6 2" xfId="39598" xr:uid="{00000000-0005-0000-0000-00006AA00000}"/>
    <cellStyle name="Note 3 3 2 7" xfId="39575" xr:uid="{00000000-0005-0000-0000-00006BA00000}"/>
    <cellStyle name="Note 3 3 3" xfId="16124" xr:uid="{00000000-0005-0000-0000-00006CA00000}"/>
    <cellStyle name="Note 3 3 3 2" xfId="16125" xr:uid="{00000000-0005-0000-0000-00006DA00000}"/>
    <cellStyle name="Note 3 3 3 2 2" xfId="16126" xr:uid="{00000000-0005-0000-0000-00006EA00000}"/>
    <cellStyle name="Note 3 3 3 2 2 2" xfId="16127" xr:uid="{00000000-0005-0000-0000-00006FA00000}"/>
    <cellStyle name="Note 3 3 3 2 2 2 2" xfId="16128" xr:uid="{00000000-0005-0000-0000-000070A00000}"/>
    <cellStyle name="Note 3 3 3 2 2 2 2 2" xfId="39603" xr:uid="{00000000-0005-0000-0000-000071A00000}"/>
    <cellStyle name="Note 3 3 3 2 2 2 3" xfId="39602" xr:uid="{00000000-0005-0000-0000-000072A00000}"/>
    <cellStyle name="Note 3 3 3 2 2 3" xfId="16129" xr:uid="{00000000-0005-0000-0000-000073A00000}"/>
    <cellStyle name="Note 3 3 3 2 2 3 2" xfId="39604" xr:uid="{00000000-0005-0000-0000-000074A00000}"/>
    <cellStyle name="Note 3 3 3 2 2 4" xfId="39601" xr:uid="{00000000-0005-0000-0000-000075A00000}"/>
    <cellStyle name="Note 3 3 3 2 3" xfId="16130" xr:uid="{00000000-0005-0000-0000-000076A00000}"/>
    <cellStyle name="Note 3 3 3 2 3 2" xfId="16131" xr:uid="{00000000-0005-0000-0000-000077A00000}"/>
    <cellStyle name="Note 3 3 3 2 3 2 2" xfId="39606" xr:uid="{00000000-0005-0000-0000-000078A00000}"/>
    <cellStyle name="Note 3 3 3 2 3 3" xfId="39605" xr:uid="{00000000-0005-0000-0000-000079A00000}"/>
    <cellStyle name="Note 3 3 3 2 4" xfId="16132" xr:uid="{00000000-0005-0000-0000-00007AA00000}"/>
    <cellStyle name="Note 3 3 3 2 4 2" xfId="39607" xr:uid="{00000000-0005-0000-0000-00007BA00000}"/>
    <cellStyle name="Note 3 3 3 2 5" xfId="39600" xr:uid="{00000000-0005-0000-0000-00007CA00000}"/>
    <cellStyle name="Note 3 3 3 3" xfId="16133" xr:uid="{00000000-0005-0000-0000-00007DA00000}"/>
    <cellStyle name="Note 3 3 3 3 2" xfId="16134" xr:uid="{00000000-0005-0000-0000-00007EA00000}"/>
    <cellStyle name="Note 3 3 3 3 2 2" xfId="16135" xr:uid="{00000000-0005-0000-0000-00007FA00000}"/>
    <cellStyle name="Note 3 3 3 3 2 2 2" xfId="16136" xr:uid="{00000000-0005-0000-0000-000080A00000}"/>
    <cellStyle name="Note 3 3 3 3 2 2 2 2" xfId="39611" xr:uid="{00000000-0005-0000-0000-000081A00000}"/>
    <cellStyle name="Note 3 3 3 3 2 2 3" xfId="39610" xr:uid="{00000000-0005-0000-0000-000082A00000}"/>
    <cellStyle name="Note 3 3 3 3 2 3" xfId="16137" xr:uid="{00000000-0005-0000-0000-000083A00000}"/>
    <cellStyle name="Note 3 3 3 3 2 3 2" xfId="39612" xr:uid="{00000000-0005-0000-0000-000084A00000}"/>
    <cellStyle name="Note 3 3 3 3 2 4" xfId="39609" xr:uid="{00000000-0005-0000-0000-000085A00000}"/>
    <cellStyle name="Note 3 3 3 3 3" xfId="16138" xr:uid="{00000000-0005-0000-0000-000086A00000}"/>
    <cellStyle name="Note 3 3 3 3 3 2" xfId="16139" xr:uid="{00000000-0005-0000-0000-000087A00000}"/>
    <cellStyle name="Note 3 3 3 3 3 2 2" xfId="39614" xr:uid="{00000000-0005-0000-0000-000088A00000}"/>
    <cellStyle name="Note 3 3 3 3 3 3" xfId="39613" xr:uid="{00000000-0005-0000-0000-000089A00000}"/>
    <cellStyle name="Note 3 3 3 3 4" xfId="16140" xr:uid="{00000000-0005-0000-0000-00008AA00000}"/>
    <cellStyle name="Note 3 3 3 3 4 2" xfId="39615" xr:uid="{00000000-0005-0000-0000-00008BA00000}"/>
    <cellStyle name="Note 3 3 3 3 5" xfId="39608" xr:uid="{00000000-0005-0000-0000-00008CA00000}"/>
    <cellStyle name="Note 3 3 3 4" xfId="16141" xr:uid="{00000000-0005-0000-0000-00008DA00000}"/>
    <cellStyle name="Note 3 3 3 4 2" xfId="16142" xr:uid="{00000000-0005-0000-0000-00008EA00000}"/>
    <cellStyle name="Note 3 3 3 4 2 2" xfId="16143" xr:uid="{00000000-0005-0000-0000-00008FA00000}"/>
    <cellStyle name="Note 3 3 3 4 2 2 2" xfId="39618" xr:uid="{00000000-0005-0000-0000-000090A00000}"/>
    <cellStyle name="Note 3 3 3 4 2 3" xfId="39617" xr:uid="{00000000-0005-0000-0000-000091A00000}"/>
    <cellStyle name="Note 3 3 3 4 3" xfId="16144" xr:uid="{00000000-0005-0000-0000-000092A00000}"/>
    <cellStyle name="Note 3 3 3 4 3 2" xfId="39619" xr:uid="{00000000-0005-0000-0000-000093A00000}"/>
    <cellStyle name="Note 3 3 3 4 4" xfId="39616" xr:uid="{00000000-0005-0000-0000-000094A00000}"/>
    <cellStyle name="Note 3 3 3 5" xfId="16145" xr:uid="{00000000-0005-0000-0000-000095A00000}"/>
    <cellStyle name="Note 3 3 3 5 2" xfId="16146" xr:uid="{00000000-0005-0000-0000-000096A00000}"/>
    <cellStyle name="Note 3 3 3 5 2 2" xfId="39621" xr:uid="{00000000-0005-0000-0000-000097A00000}"/>
    <cellStyle name="Note 3 3 3 5 3" xfId="39620" xr:uid="{00000000-0005-0000-0000-000098A00000}"/>
    <cellStyle name="Note 3 3 3 6" xfId="16147" xr:uid="{00000000-0005-0000-0000-000099A00000}"/>
    <cellStyle name="Note 3 3 3 6 2" xfId="39622" xr:uid="{00000000-0005-0000-0000-00009AA00000}"/>
    <cellStyle name="Note 3 3 3 7" xfId="39599" xr:uid="{00000000-0005-0000-0000-00009BA00000}"/>
    <cellStyle name="Note 3 3 4" xfId="16148" xr:uid="{00000000-0005-0000-0000-00009CA00000}"/>
    <cellStyle name="Note 3 3 4 2" xfId="16149" xr:uid="{00000000-0005-0000-0000-00009DA00000}"/>
    <cellStyle name="Note 3 3 4 2 2" xfId="16150" xr:uid="{00000000-0005-0000-0000-00009EA00000}"/>
    <cellStyle name="Note 3 3 4 2 2 2" xfId="16151" xr:uid="{00000000-0005-0000-0000-00009FA00000}"/>
    <cellStyle name="Note 3 3 4 2 2 2 2" xfId="16152" xr:uid="{00000000-0005-0000-0000-0000A0A00000}"/>
    <cellStyle name="Note 3 3 4 2 2 2 2 2" xfId="39627" xr:uid="{00000000-0005-0000-0000-0000A1A00000}"/>
    <cellStyle name="Note 3 3 4 2 2 2 3" xfId="39626" xr:uid="{00000000-0005-0000-0000-0000A2A00000}"/>
    <cellStyle name="Note 3 3 4 2 2 3" xfId="16153" xr:uid="{00000000-0005-0000-0000-0000A3A00000}"/>
    <cellStyle name="Note 3 3 4 2 2 3 2" xfId="39628" xr:uid="{00000000-0005-0000-0000-0000A4A00000}"/>
    <cellStyle name="Note 3 3 4 2 2 4" xfId="39625" xr:uid="{00000000-0005-0000-0000-0000A5A00000}"/>
    <cellStyle name="Note 3 3 4 2 3" xfId="16154" xr:uid="{00000000-0005-0000-0000-0000A6A00000}"/>
    <cellStyle name="Note 3 3 4 2 3 2" xfId="16155" xr:uid="{00000000-0005-0000-0000-0000A7A00000}"/>
    <cellStyle name="Note 3 3 4 2 3 2 2" xfId="39630" xr:uid="{00000000-0005-0000-0000-0000A8A00000}"/>
    <cellStyle name="Note 3 3 4 2 3 3" xfId="39629" xr:uid="{00000000-0005-0000-0000-0000A9A00000}"/>
    <cellStyle name="Note 3 3 4 2 4" xfId="16156" xr:uid="{00000000-0005-0000-0000-0000AAA00000}"/>
    <cellStyle name="Note 3 3 4 2 4 2" xfId="39631" xr:uid="{00000000-0005-0000-0000-0000ABA00000}"/>
    <cellStyle name="Note 3 3 4 2 5" xfId="39624" xr:uid="{00000000-0005-0000-0000-0000ACA00000}"/>
    <cellStyle name="Note 3 3 4 3" xfId="16157" xr:uid="{00000000-0005-0000-0000-0000ADA00000}"/>
    <cellStyle name="Note 3 3 4 3 2" xfId="16158" xr:uid="{00000000-0005-0000-0000-0000AEA00000}"/>
    <cellStyle name="Note 3 3 4 3 2 2" xfId="16159" xr:uid="{00000000-0005-0000-0000-0000AFA00000}"/>
    <cellStyle name="Note 3 3 4 3 2 2 2" xfId="16160" xr:uid="{00000000-0005-0000-0000-0000B0A00000}"/>
    <cellStyle name="Note 3 3 4 3 2 2 2 2" xfId="39635" xr:uid="{00000000-0005-0000-0000-0000B1A00000}"/>
    <cellStyle name="Note 3 3 4 3 2 2 3" xfId="39634" xr:uid="{00000000-0005-0000-0000-0000B2A00000}"/>
    <cellStyle name="Note 3 3 4 3 2 3" xfId="16161" xr:uid="{00000000-0005-0000-0000-0000B3A00000}"/>
    <cellStyle name="Note 3 3 4 3 2 3 2" xfId="39636" xr:uid="{00000000-0005-0000-0000-0000B4A00000}"/>
    <cellStyle name="Note 3 3 4 3 2 4" xfId="39633" xr:uid="{00000000-0005-0000-0000-0000B5A00000}"/>
    <cellStyle name="Note 3 3 4 3 3" xfId="16162" xr:uid="{00000000-0005-0000-0000-0000B6A00000}"/>
    <cellStyle name="Note 3 3 4 3 3 2" xfId="16163" xr:uid="{00000000-0005-0000-0000-0000B7A00000}"/>
    <cellStyle name="Note 3 3 4 3 3 2 2" xfId="39638" xr:uid="{00000000-0005-0000-0000-0000B8A00000}"/>
    <cellStyle name="Note 3 3 4 3 3 3" xfId="39637" xr:uid="{00000000-0005-0000-0000-0000B9A00000}"/>
    <cellStyle name="Note 3 3 4 3 4" xfId="16164" xr:uid="{00000000-0005-0000-0000-0000BAA00000}"/>
    <cellStyle name="Note 3 3 4 3 4 2" xfId="39639" xr:uid="{00000000-0005-0000-0000-0000BBA00000}"/>
    <cellStyle name="Note 3 3 4 3 5" xfId="39632" xr:uid="{00000000-0005-0000-0000-0000BCA00000}"/>
    <cellStyle name="Note 3 3 4 4" xfId="16165" xr:uid="{00000000-0005-0000-0000-0000BDA00000}"/>
    <cellStyle name="Note 3 3 4 4 2" xfId="16166" xr:uid="{00000000-0005-0000-0000-0000BEA00000}"/>
    <cellStyle name="Note 3 3 4 4 2 2" xfId="16167" xr:uid="{00000000-0005-0000-0000-0000BFA00000}"/>
    <cellStyle name="Note 3 3 4 4 2 2 2" xfId="39642" xr:uid="{00000000-0005-0000-0000-0000C0A00000}"/>
    <cellStyle name="Note 3 3 4 4 2 3" xfId="39641" xr:uid="{00000000-0005-0000-0000-0000C1A00000}"/>
    <cellStyle name="Note 3 3 4 4 3" xfId="16168" xr:uid="{00000000-0005-0000-0000-0000C2A00000}"/>
    <cellStyle name="Note 3 3 4 4 3 2" xfId="39643" xr:uid="{00000000-0005-0000-0000-0000C3A00000}"/>
    <cellStyle name="Note 3 3 4 4 4" xfId="39640" xr:uid="{00000000-0005-0000-0000-0000C4A00000}"/>
    <cellStyle name="Note 3 3 4 5" xfId="16169" xr:uid="{00000000-0005-0000-0000-0000C5A00000}"/>
    <cellStyle name="Note 3 3 4 5 2" xfId="16170" xr:uid="{00000000-0005-0000-0000-0000C6A00000}"/>
    <cellStyle name="Note 3 3 4 5 2 2" xfId="39645" xr:uid="{00000000-0005-0000-0000-0000C7A00000}"/>
    <cellStyle name="Note 3 3 4 5 3" xfId="39644" xr:uid="{00000000-0005-0000-0000-0000C8A00000}"/>
    <cellStyle name="Note 3 3 4 6" xfId="16171" xr:uid="{00000000-0005-0000-0000-0000C9A00000}"/>
    <cellStyle name="Note 3 3 4 6 2" xfId="39646" xr:uid="{00000000-0005-0000-0000-0000CAA00000}"/>
    <cellStyle name="Note 3 3 4 7" xfId="39623" xr:uid="{00000000-0005-0000-0000-0000CBA00000}"/>
    <cellStyle name="Note 3 3 5" xfId="16172" xr:uid="{00000000-0005-0000-0000-0000CCA00000}"/>
    <cellStyle name="Note 3 3 5 2" xfId="16173" xr:uid="{00000000-0005-0000-0000-0000CDA00000}"/>
    <cellStyle name="Note 3 3 5 2 2" xfId="16174" xr:uid="{00000000-0005-0000-0000-0000CEA00000}"/>
    <cellStyle name="Note 3 3 5 2 2 2" xfId="16175" xr:uid="{00000000-0005-0000-0000-0000CFA00000}"/>
    <cellStyle name="Note 3 3 5 2 2 2 2" xfId="39650" xr:uid="{00000000-0005-0000-0000-0000D0A00000}"/>
    <cellStyle name="Note 3 3 5 2 2 3" xfId="39649" xr:uid="{00000000-0005-0000-0000-0000D1A00000}"/>
    <cellStyle name="Note 3 3 5 2 3" xfId="16176" xr:uid="{00000000-0005-0000-0000-0000D2A00000}"/>
    <cellStyle name="Note 3 3 5 2 3 2" xfId="39651" xr:uid="{00000000-0005-0000-0000-0000D3A00000}"/>
    <cellStyle name="Note 3 3 5 2 4" xfId="39648" xr:uid="{00000000-0005-0000-0000-0000D4A00000}"/>
    <cellStyle name="Note 3 3 5 3" xfId="16177" xr:uid="{00000000-0005-0000-0000-0000D5A00000}"/>
    <cellStyle name="Note 3 3 5 3 2" xfId="16178" xr:uid="{00000000-0005-0000-0000-0000D6A00000}"/>
    <cellStyle name="Note 3 3 5 3 2 2" xfId="39653" xr:uid="{00000000-0005-0000-0000-0000D7A00000}"/>
    <cellStyle name="Note 3 3 5 3 3" xfId="39652" xr:uid="{00000000-0005-0000-0000-0000D8A00000}"/>
    <cellStyle name="Note 3 3 5 4" xfId="16179" xr:uid="{00000000-0005-0000-0000-0000D9A00000}"/>
    <cellStyle name="Note 3 3 5 4 2" xfId="39654" xr:uid="{00000000-0005-0000-0000-0000DAA00000}"/>
    <cellStyle name="Note 3 3 5 5" xfId="39647" xr:uid="{00000000-0005-0000-0000-0000DBA00000}"/>
    <cellStyle name="Note 3 3 6" xfId="16180" xr:uid="{00000000-0005-0000-0000-0000DCA00000}"/>
    <cellStyle name="Note 3 3 6 2" xfId="16181" xr:uid="{00000000-0005-0000-0000-0000DDA00000}"/>
    <cellStyle name="Note 3 3 6 2 2" xfId="16182" xr:uid="{00000000-0005-0000-0000-0000DEA00000}"/>
    <cellStyle name="Note 3 3 6 2 2 2" xfId="16183" xr:uid="{00000000-0005-0000-0000-0000DFA00000}"/>
    <cellStyle name="Note 3 3 6 2 2 2 2" xfId="39658" xr:uid="{00000000-0005-0000-0000-0000E0A00000}"/>
    <cellStyle name="Note 3 3 6 2 2 3" xfId="39657" xr:uid="{00000000-0005-0000-0000-0000E1A00000}"/>
    <cellStyle name="Note 3 3 6 2 3" xfId="16184" xr:uid="{00000000-0005-0000-0000-0000E2A00000}"/>
    <cellStyle name="Note 3 3 6 2 3 2" xfId="39659" xr:uid="{00000000-0005-0000-0000-0000E3A00000}"/>
    <cellStyle name="Note 3 3 6 2 4" xfId="39656" xr:uid="{00000000-0005-0000-0000-0000E4A00000}"/>
    <cellStyle name="Note 3 3 6 3" xfId="16185" xr:uid="{00000000-0005-0000-0000-0000E5A00000}"/>
    <cellStyle name="Note 3 3 6 3 2" xfId="16186" xr:uid="{00000000-0005-0000-0000-0000E6A00000}"/>
    <cellStyle name="Note 3 3 6 3 2 2" xfId="39661" xr:uid="{00000000-0005-0000-0000-0000E7A00000}"/>
    <cellStyle name="Note 3 3 6 3 3" xfId="39660" xr:uid="{00000000-0005-0000-0000-0000E8A00000}"/>
    <cellStyle name="Note 3 3 6 4" xfId="16187" xr:uid="{00000000-0005-0000-0000-0000E9A00000}"/>
    <cellStyle name="Note 3 3 6 4 2" xfId="39662" xr:uid="{00000000-0005-0000-0000-0000EAA00000}"/>
    <cellStyle name="Note 3 3 6 5" xfId="39655" xr:uid="{00000000-0005-0000-0000-0000EBA00000}"/>
    <cellStyle name="Note 3 3 7" xfId="16188" xr:uid="{00000000-0005-0000-0000-0000ECA00000}"/>
    <cellStyle name="Note 3 3 7 2" xfId="16189" xr:uid="{00000000-0005-0000-0000-0000EDA00000}"/>
    <cellStyle name="Note 3 3 7 2 2" xfId="16190" xr:uid="{00000000-0005-0000-0000-0000EEA00000}"/>
    <cellStyle name="Note 3 3 7 2 2 2" xfId="39665" xr:uid="{00000000-0005-0000-0000-0000EFA00000}"/>
    <cellStyle name="Note 3 3 7 2 3" xfId="39664" xr:uid="{00000000-0005-0000-0000-0000F0A00000}"/>
    <cellStyle name="Note 3 3 7 3" xfId="16191" xr:uid="{00000000-0005-0000-0000-0000F1A00000}"/>
    <cellStyle name="Note 3 3 7 3 2" xfId="39666" xr:uid="{00000000-0005-0000-0000-0000F2A00000}"/>
    <cellStyle name="Note 3 3 7 4" xfId="39663" xr:uid="{00000000-0005-0000-0000-0000F3A00000}"/>
    <cellStyle name="Note 3 3 8" xfId="16192" xr:uid="{00000000-0005-0000-0000-0000F4A00000}"/>
    <cellStyle name="Note 3 3 8 2" xfId="16193" xr:uid="{00000000-0005-0000-0000-0000F5A00000}"/>
    <cellStyle name="Note 3 3 8 2 2" xfId="39668" xr:uid="{00000000-0005-0000-0000-0000F6A00000}"/>
    <cellStyle name="Note 3 3 8 3" xfId="39667" xr:uid="{00000000-0005-0000-0000-0000F7A00000}"/>
    <cellStyle name="Note 3 3 9" xfId="16194" xr:uid="{00000000-0005-0000-0000-0000F8A00000}"/>
    <cellStyle name="Note 3 3 9 2" xfId="39669" xr:uid="{00000000-0005-0000-0000-0000F9A00000}"/>
    <cellStyle name="Note 3 4" xfId="16195" xr:uid="{00000000-0005-0000-0000-0000FAA00000}"/>
    <cellStyle name="Note 3 4 10" xfId="21887" xr:uid="{00000000-0005-0000-0000-0000FBA00000}"/>
    <cellStyle name="Note 3 4 11" xfId="39670" xr:uid="{00000000-0005-0000-0000-0000FCA00000}"/>
    <cellStyle name="Note 3 4 2" xfId="16196" xr:uid="{00000000-0005-0000-0000-0000FDA00000}"/>
    <cellStyle name="Note 3 4 2 2" xfId="16197" xr:uid="{00000000-0005-0000-0000-0000FEA00000}"/>
    <cellStyle name="Note 3 4 2 2 2" xfId="16198" xr:uid="{00000000-0005-0000-0000-0000FFA00000}"/>
    <cellStyle name="Note 3 4 2 2 2 2" xfId="16199" xr:uid="{00000000-0005-0000-0000-000000A10000}"/>
    <cellStyle name="Note 3 4 2 2 2 2 2" xfId="16200" xr:uid="{00000000-0005-0000-0000-000001A10000}"/>
    <cellStyle name="Note 3 4 2 2 2 2 2 2" xfId="39675" xr:uid="{00000000-0005-0000-0000-000002A10000}"/>
    <cellStyle name="Note 3 4 2 2 2 2 3" xfId="39674" xr:uid="{00000000-0005-0000-0000-000003A10000}"/>
    <cellStyle name="Note 3 4 2 2 2 3" xfId="16201" xr:uid="{00000000-0005-0000-0000-000004A10000}"/>
    <cellStyle name="Note 3 4 2 2 2 3 2" xfId="39676" xr:uid="{00000000-0005-0000-0000-000005A10000}"/>
    <cellStyle name="Note 3 4 2 2 2 4" xfId="39673" xr:uid="{00000000-0005-0000-0000-000006A10000}"/>
    <cellStyle name="Note 3 4 2 2 3" xfId="16202" xr:uid="{00000000-0005-0000-0000-000007A10000}"/>
    <cellStyle name="Note 3 4 2 2 3 2" xfId="16203" xr:uid="{00000000-0005-0000-0000-000008A10000}"/>
    <cellStyle name="Note 3 4 2 2 3 2 2" xfId="39678" xr:uid="{00000000-0005-0000-0000-000009A10000}"/>
    <cellStyle name="Note 3 4 2 2 3 3" xfId="39677" xr:uid="{00000000-0005-0000-0000-00000AA10000}"/>
    <cellStyle name="Note 3 4 2 2 4" xfId="16204" xr:uid="{00000000-0005-0000-0000-00000BA10000}"/>
    <cellStyle name="Note 3 4 2 2 4 2" xfId="39679" xr:uid="{00000000-0005-0000-0000-00000CA10000}"/>
    <cellStyle name="Note 3 4 2 2 5" xfId="39672" xr:uid="{00000000-0005-0000-0000-00000DA10000}"/>
    <cellStyle name="Note 3 4 2 3" xfId="16205" xr:uid="{00000000-0005-0000-0000-00000EA10000}"/>
    <cellStyle name="Note 3 4 2 3 2" xfId="16206" xr:uid="{00000000-0005-0000-0000-00000FA10000}"/>
    <cellStyle name="Note 3 4 2 3 2 2" xfId="16207" xr:uid="{00000000-0005-0000-0000-000010A10000}"/>
    <cellStyle name="Note 3 4 2 3 2 2 2" xfId="16208" xr:uid="{00000000-0005-0000-0000-000011A10000}"/>
    <cellStyle name="Note 3 4 2 3 2 2 2 2" xfId="39683" xr:uid="{00000000-0005-0000-0000-000012A10000}"/>
    <cellStyle name="Note 3 4 2 3 2 2 3" xfId="39682" xr:uid="{00000000-0005-0000-0000-000013A10000}"/>
    <cellStyle name="Note 3 4 2 3 2 3" xfId="16209" xr:uid="{00000000-0005-0000-0000-000014A10000}"/>
    <cellStyle name="Note 3 4 2 3 2 3 2" xfId="39684" xr:uid="{00000000-0005-0000-0000-000015A10000}"/>
    <cellStyle name="Note 3 4 2 3 2 4" xfId="39681" xr:uid="{00000000-0005-0000-0000-000016A10000}"/>
    <cellStyle name="Note 3 4 2 3 3" xfId="16210" xr:uid="{00000000-0005-0000-0000-000017A10000}"/>
    <cellStyle name="Note 3 4 2 3 3 2" xfId="16211" xr:uid="{00000000-0005-0000-0000-000018A10000}"/>
    <cellStyle name="Note 3 4 2 3 3 2 2" xfId="39686" xr:uid="{00000000-0005-0000-0000-000019A10000}"/>
    <cellStyle name="Note 3 4 2 3 3 3" xfId="39685" xr:uid="{00000000-0005-0000-0000-00001AA10000}"/>
    <cellStyle name="Note 3 4 2 3 4" xfId="16212" xr:uid="{00000000-0005-0000-0000-00001BA10000}"/>
    <cellStyle name="Note 3 4 2 3 4 2" xfId="39687" xr:uid="{00000000-0005-0000-0000-00001CA10000}"/>
    <cellStyle name="Note 3 4 2 3 5" xfId="39680" xr:uid="{00000000-0005-0000-0000-00001DA10000}"/>
    <cellStyle name="Note 3 4 2 4" xfId="16213" xr:uid="{00000000-0005-0000-0000-00001EA10000}"/>
    <cellStyle name="Note 3 4 2 4 2" xfId="16214" xr:uid="{00000000-0005-0000-0000-00001FA10000}"/>
    <cellStyle name="Note 3 4 2 4 2 2" xfId="16215" xr:uid="{00000000-0005-0000-0000-000020A10000}"/>
    <cellStyle name="Note 3 4 2 4 2 2 2" xfId="39690" xr:uid="{00000000-0005-0000-0000-000021A10000}"/>
    <cellStyle name="Note 3 4 2 4 2 3" xfId="39689" xr:uid="{00000000-0005-0000-0000-000022A10000}"/>
    <cellStyle name="Note 3 4 2 4 3" xfId="16216" xr:uid="{00000000-0005-0000-0000-000023A10000}"/>
    <cellStyle name="Note 3 4 2 4 3 2" xfId="39691" xr:uid="{00000000-0005-0000-0000-000024A10000}"/>
    <cellStyle name="Note 3 4 2 4 4" xfId="39688" xr:uid="{00000000-0005-0000-0000-000025A10000}"/>
    <cellStyle name="Note 3 4 2 5" xfId="16217" xr:uid="{00000000-0005-0000-0000-000026A10000}"/>
    <cellStyle name="Note 3 4 2 5 2" xfId="16218" xr:uid="{00000000-0005-0000-0000-000027A10000}"/>
    <cellStyle name="Note 3 4 2 5 2 2" xfId="39693" xr:uid="{00000000-0005-0000-0000-000028A10000}"/>
    <cellStyle name="Note 3 4 2 5 3" xfId="39692" xr:uid="{00000000-0005-0000-0000-000029A10000}"/>
    <cellStyle name="Note 3 4 2 6" xfId="16219" xr:uid="{00000000-0005-0000-0000-00002AA10000}"/>
    <cellStyle name="Note 3 4 2 6 2" xfId="39694" xr:uid="{00000000-0005-0000-0000-00002BA10000}"/>
    <cellStyle name="Note 3 4 2 7" xfId="39671" xr:uid="{00000000-0005-0000-0000-00002CA10000}"/>
    <cellStyle name="Note 3 4 3" xfId="16220" xr:uid="{00000000-0005-0000-0000-00002DA10000}"/>
    <cellStyle name="Note 3 4 3 2" xfId="16221" xr:uid="{00000000-0005-0000-0000-00002EA10000}"/>
    <cellStyle name="Note 3 4 3 2 2" xfId="16222" xr:uid="{00000000-0005-0000-0000-00002FA10000}"/>
    <cellStyle name="Note 3 4 3 2 2 2" xfId="16223" xr:uid="{00000000-0005-0000-0000-000030A10000}"/>
    <cellStyle name="Note 3 4 3 2 2 2 2" xfId="16224" xr:uid="{00000000-0005-0000-0000-000031A10000}"/>
    <cellStyle name="Note 3 4 3 2 2 2 2 2" xfId="39699" xr:uid="{00000000-0005-0000-0000-000032A10000}"/>
    <cellStyle name="Note 3 4 3 2 2 2 3" xfId="39698" xr:uid="{00000000-0005-0000-0000-000033A10000}"/>
    <cellStyle name="Note 3 4 3 2 2 3" xfId="16225" xr:uid="{00000000-0005-0000-0000-000034A10000}"/>
    <cellStyle name="Note 3 4 3 2 2 3 2" xfId="39700" xr:uid="{00000000-0005-0000-0000-000035A10000}"/>
    <cellStyle name="Note 3 4 3 2 2 4" xfId="39697" xr:uid="{00000000-0005-0000-0000-000036A10000}"/>
    <cellStyle name="Note 3 4 3 2 3" xfId="16226" xr:uid="{00000000-0005-0000-0000-000037A10000}"/>
    <cellStyle name="Note 3 4 3 2 3 2" xfId="16227" xr:uid="{00000000-0005-0000-0000-000038A10000}"/>
    <cellStyle name="Note 3 4 3 2 3 2 2" xfId="39702" xr:uid="{00000000-0005-0000-0000-000039A10000}"/>
    <cellStyle name="Note 3 4 3 2 3 3" xfId="39701" xr:uid="{00000000-0005-0000-0000-00003AA10000}"/>
    <cellStyle name="Note 3 4 3 2 4" xfId="16228" xr:uid="{00000000-0005-0000-0000-00003BA10000}"/>
    <cellStyle name="Note 3 4 3 2 4 2" xfId="39703" xr:uid="{00000000-0005-0000-0000-00003CA10000}"/>
    <cellStyle name="Note 3 4 3 2 5" xfId="39696" xr:uid="{00000000-0005-0000-0000-00003DA10000}"/>
    <cellStyle name="Note 3 4 3 3" xfId="16229" xr:uid="{00000000-0005-0000-0000-00003EA10000}"/>
    <cellStyle name="Note 3 4 3 3 2" xfId="16230" xr:uid="{00000000-0005-0000-0000-00003FA10000}"/>
    <cellStyle name="Note 3 4 3 3 2 2" xfId="16231" xr:uid="{00000000-0005-0000-0000-000040A10000}"/>
    <cellStyle name="Note 3 4 3 3 2 2 2" xfId="16232" xr:uid="{00000000-0005-0000-0000-000041A10000}"/>
    <cellStyle name="Note 3 4 3 3 2 2 2 2" xfId="39707" xr:uid="{00000000-0005-0000-0000-000042A10000}"/>
    <cellStyle name="Note 3 4 3 3 2 2 3" xfId="39706" xr:uid="{00000000-0005-0000-0000-000043A10000}"/>
    <cellStyle name="Note 3 4 3 3 2 3" xfId="16233" xr:uid="{00000000-0005-0000-0000-000044A10000}"/>
    <cellStyle name="Note 3 4 3 3 2 3 2" xfId="39708" xr:uid="{00000000-0005-0000-0000-000045A10000}"/>
    <cellStyle name="Note 3 4 3 3 2 4" xfId="39705" xr:uid="{00000000-0005-0000-0000-000046A10000}"/>
    <cellStyle name="Note 3 4 3 3 3" xfId="16234" xr:uid="{00000000-0005-0000-0000-000047A10000}"/>
    <cellStyle name="Note 3 4 3 3 3 2" xfId="16235" xr:uid="{00000000-0005-0000-0000-000048A10000}"/>
    <cellStyle name="Note 3 4 3 3 3 2 2" xfId="39710" xr:uid="{00000000-0005-0000-0000-000049A10000}"/>
    <cellStyle name="Note 3 4 3 3 3 3" xfId="39709" xr:uid="{00000000-0005-0000-0000-00004AA10000}"/>
    <cellStyle name="Note 3 4 3 3 4" xfId="16236" xr:uid="{00000000-0005-0000-0000-00004BA10000}"/>
    <cellStyle name="Note 3 4 3 3 4 2" xfId="39711" xr:uid="{00000000-0005-0000-0000-00004CA10000}"/>
    <cellStyle name="Note 3 4 3 3 5" xfId="39704" xr:uid="{00000000-0005-0000-0000-00004DA10000}"/>
    <cellStyle name="Note 3 4 3 4" xfId="16237" xr:uid="{00000000-0005-0000-0000-00004EA10000}"/>
    <cellStyle name="Note 3 4 3 4 2" xfId="16238" xr:uid="{00000000-0005-0000-0000-00004FA10000}"/>
    <cellStyle name="Note 3 4 3 4 2 2" xfId="16239" xr:uid="{00000000-0005-0000-0000-000050A10000}"/>
    <cellStyle name="Note 3 4 3 4 2 2 2" xfId="39714" xr:uid="{00000000-0005-0000-0000-000051A10000}"/>
    <cellStyle name="Note 3 4 3 4 2 3" xfId="39713" xr:uid="{00000000-0005-0000-0000-000052A10000}"/>
    <cellStyle name="Note 3 4 3 4 3" xfId="16240" xr:uid="{00000000-0005-0000-0000-000053A10000}"/>
    <cellStyle name="Note 3 4 3 4 3 2" xfId="39715" xr:uid="{00000000-0005-0000-0000-000054A10000}"/>
    <cellStyle name="Note 3 4 3 4 4" xfId="39712" xr:uid="{00000000-0005-0000-0000-000055A10000}"/>
    <cellStyle name="Note 3 4 3 5" xfId="16241" xr:uid="{00000000-0005-0000-0000-000056A10000}"/>
    <cellStyle name="Note 3 4 3 5 2" xfId="16242" xr:uid="{00000000-0005-0000-0000-000057A10000}"/>
    <cellStyle name="Note 3 4 3 5 2 2" xfId="39717" xr:uid="{00000000-0005-0000-0000-000058A10000}"/>
    <cellStyle name="Note 3 4 3 5 3" xfId="39716" xr:uid="{00000000-0005-0000-0000-000059A10000}"/>
    <cellStyle name="Note 3 4 3 6" xfId="16243" xr:uid="{00000000-0005-0000-0000-00005AA10000}"/>
    <cellStyle name="Note 3 4 3 6 2" xfId="39718" xr:uid="{00000000-0005-0000-0000-00005BA10000}"/>
    <cellStyle name="Note 3 4 3 7" xfId="39695" xr:uid="{00000000-0005-0000-0000-00005CA10000}"/>
    <cellStyle name="Note 3 4 4" xfId="16244" xr:uid="{00000000-0005-0000-0000-00005DA10000}"/>
    <cellStyle name="Note 3 4 4 2" xfId="16245" xr:uid="{00000000-0005-0000-0000-00005EA10000}"/>
    <cellStyle name="Note 3 4 4 2 2" xfId="16246" xr:uid="{00000000-0005-0000-0000-00005FA10000}"/>
    <cellStyle name="Note 3 4 4 2 2 2" xfId="16247" xr:uid="{00000000-0005-0000-0000-000060A10000}"/>
    <cellStyle name="Note 3 4 4 2 2 2 2" xfId="16248" xr:uid="{00000000-0005-0000-0000-000061A10000}"/>
    <cellStyle name="Note 3 4 4 2 2 2 2 2" xfId="39723" xr:uid="{00000000-0005-0000-0000-000062A10000}"/>
    <cellStyle name="Note 3 4 4 2 2 2 3" xfId="39722" xr:uid="{00000000-0005-0000-0000-000063A10000}"/>
    <cellStyle name="Note 3 4 4 2 2 3" xfId="16249" xr:uid="{00000000-0005-0000-0000-000064A10000}"/>
    <cellStyle name="Note 3 4 4 2 2 3 2" xfId="39724" xr:uid="{00000000-0005-0000-0000-000065A10000}"/>
    <cellStyle name="Note 3 4 4 2 2 4" xfId="39721" xr:uid="{00000000-0005-0000-0000-000066A10000}"/>
    <cellStyle name="Note 3 4 4 2 3" xfId="16250" xr:uid="{00000000-0005-0000-0000-000067A10000}"/>
    <cellStyle name="Note 3 4 4 2 3 2" xfId="16251" xr:uid="{00000000-0005-0000-0000-000068A10000}"/>
    <cellStyle name="Note 3 4 4 2 3 2 2" xfId="39726" xr:uid="{00000000-0005-0000-0000-000069A10000}"/>
    <cellStyle name="Note 3 4 4 2 3 3" xfId="39725" xr:uid="{00000000-0005-0000-0000-00006AA10000}"/>
    <cellStyle name="Note 3 4 4 2 4" xfId="16252" xr:uid="{00000000-0005-0000-0000-00006BA10000}"/>
    <cellStyle name="Note 3 4 4 2 4 2" xfId="39727" xr:uid="{00000000-0005-0000-0000-00006CA10000}"/>
    <cellStyle name="Note 3 4 4 2 5" xfId="39720" xr:uid="{00000000-0005-0000-0000-00006DA10000}"/>
    <cellStyle name="Note 3 4 4 3" xfId="16253" xr:uid="{00000000-0005-0000-0000-00006EA10000}"/>
    <cellStyle name="Note 3 4 4 3 2" xfId="16254" xr:uid="{00000000-0005-0000-0000-00006FA10000}"/>
    <cellStyle name="Note 3 4 4 3 2 2" xfId="16255" xr:uid="{00000000-0005-0000-0000-000070A10000}"/>
    <cellStyle name="Note 3 4 4 3 2 2 2" xfId="16256" xr:uid="{00000000-0005-0000-0000-000071A10000}"/>
    <cellStyle name="Note 3 4 4 3 2 2 2 2" xfId="39731" xr:uid="{00000000-0005-0000-0000-000072A10000}"/>
    <cellStyle name="Note 3 4 4 3 2 2 3" xfId="39730" xr:uid="{00000000-0005-0000-0000-000073A10000}"/>
    <cellStyle name="Note 3 4 4 3 2 3" xfId="16257" xr:uid="{00000000-0005-0000-0000-000074A10000}"/>
    <cellStyle name="Note 3 4 4 3 2 3 2" xfId="39732" xr:uid="{00000000-0005-0000-0000-000075A10000}"/>
    <cellStyle name="Note 3 4 4 3 2 4" xfId="39729" xr:uid="{00000000-0005-0000-0000-000076A10000}"/>
    <cellStyle name="Note 3 4 4 3 3" xfId="16258" xr:uid="{00000000-0005-0000-0000-000077A10000}"/>
    <cellStyle name="Note 3 4 4 3 3 2" xfId="16259" xr:uid="{00000000-0005-0000-0000-000078A10000}"/>
    <cellStyle name="Note 3 4 4 3 3 2 2" xfId="39734" xr:uid="{00000000-0005-0000-0000-000079A10000}"/>
    <cellStyle name="Note 3 4 4 3 3 3" xfId="39733" xr:uid="{00000000-0005-0000-0000-00007AA10000}"/>
    <cellStyle name="Note 3 4 4 3 4" xfId="16260" xr:uid="{00000000-0005-0000-0000-00007BA10000}"/>
    <cellStyle name="Note 3 4 4 3 4 2" xfId="39735" xr:uid="{00000000-0005-0000-0000-00007CA10000}"/>
    <cellStyle name="Note 3 4 4 3 5" xfId="39728" xr:uid="{00000000-0005-0000-0000-00007DA10000}"/>
    <cellStyle name="Note 3 4 4 4" xfId="16261" xr:uid="{00000000-0005-0000-0000-00007EA10000}"/>
    <cellStyle name="Note 3 4 4 4 2" xfId="16262" xr:uid="{00000000-0005-0000-0000-00007FA10000}"/>
    <cellStyle name="Note 3 4 4 4 2 2" xfId="16263" xr:uid="{00000000-0005-0000-0000-000080A10000}"/>
    <cellStyle name="Note 3 4 4 4 2 2 2" xfId="39738" xr:uid="{00000000-0005-0000-0000-000081A10000}"/>
    <cellStyle name="Note 3 4 4 4 2 3" xfId="39737" xr:uid="{00000000-0005-0000-0000-000082A10000}"/>
    <cellStyle name="Note 3 4 4 4 3" xfId="16264" xr:uid="{00000000-0005-0000-0000-000083A10000}"/>
    <cellStyle name="Note 3 4 4 4 3 2" xfId="39739" xr:uid="{00000000-0005-0000-0000-000084A10000}"/>
    <cellStyle name="Note 3 4 4 4 4" xfId="39736" xr:uid="{00000000-0005-0000-0000-000085A10000}"/>
    <cellStyle name="Note 3 4 4 5" xfId="16265" xr:uid="{00000000-0005-0000-0000-000086A10000}"/>
    <cellStyle name="Note 3 4 4 5 2" xfId="16266" xr:uid="{00000000-0005-0000-0000-000087A10000}"/>
    <cellStyle name="Note 3 4 4 5 2 2" xfId="39741" xr:uid="{00000000-0005-0000-0000-000088A10000}"/>
    <cellStyle name="Note 3 4 4 5 3" xfId="39740" xr:uid="{00000000-0005-0000-0000-000089A10000}"/>
    <cellStyle name="Note 3 4 4 6" xfId="16267" xr:uid="{00000000-0005-0000-0000-00008AA10000}"/>
    <cellStyle name="Note 3 4 4 6 2" xfId="39742" xr:uid="{00000000-0005-0000-0000-00008BA10000}"/>
    <cellStyle name="Note 3 4 4 7" xfId="39719" xr:uid="{00000000-0005-0000-0000-00008CA10000}"/>
    <cellStyle name="Note 3 4 5" xfId="16268" xr:uid="{00000000-0005-0000-0000-00008DA10000}"/>
    <cellStyle name="Note 3 4 5 2" xfId="16269" xr:uid="{00000000-0005-0000-0000-00008EA10000}"/>
    <cellStyle name="Note 3 4 5 2 2" xfId="16270" xr:uid="{00000000-0005-0000-0000-00008FA10000}"/>
    <cellStyle name="Note 3 4 5 2 2 2" xfId="16271" xr:uid="{00000000-0005-0000-0000-000090A10000}"/>
    <cellStyle name="Note 3 4 5 2 2 2 2" xfId="39746" xr:uid="{00000000-0005-0000-0000-000091A10000}"/>
    <cellStyle name="Note 3 4 5 2 2 3" xfId="39745" xr:uid="{00000000-0005-0000-0000-000092A10000}"/>
    <cellStyle name="Note 3 4 5 2 3" xfId="16272" xr:uid="{00000000-0005-0000-0000-000093A10000}"/>
    <cellStyle name="Note 3 4 5 2 3 2" xfId="39747" xr:uid="{00000000-0005-0000-0000-000094A10000}"/>
    <cellStyle name="Note 3 4 5 2 4" xfId="39744" xr:uid="{00000000-0005-0000-0000-000095A10000}"/>
    <cellStyle name="Note 3 4 5 3" xfId="16273" xr:uid="{00000000-0005-0000-0000-000096A10000}"/>
    <cellStyle name="Note 3 4 5 3 2" xfId="16274" xr:uid="{00000000-0005-0000-0000-000097A10000}"/>
    <cellStyle name="Note 3 4 5 3 2 2" xfId="39749" xr:uid="{00000000-0005-0000-0000-000098A10000}"/>
    <cellStyle name="Note 3 4 5 3 3" xfId="39748" xr:uid="{00000000-0005-0000-0000-000099A10000}"/>
    <cellStyle name="Note 3 4 5 4" xfId="16275" xr:uid="{00000000-0005-0000-0000-00009AA10000}"/>
    <cellStyle name="Note 3 4 5 4 2" xfId="39750" xr:uid="{00000000-0005-0000-0000-00009BA10000}"/>
    <cellStyle name="Note 3 4 5 5" xfId="39743" xr:uid="{00000000-0005-0000-0000-00009CA10000}"/>
    <cellStyle name="Note 3 4 6" xfId="16276" xr:uid="{00000000-0005-0000-0000-00009DA10000}"/>
    <cellStyle name="Note 3 4 6 2" xfId="16277" xr:uid="{00000000-0005-0000-0000-00009EA10000}"/>
    <cellStyle name="Note 3 4 6 2 2" xfId="16278" xr:uid="{00000000-0005-0000-0000-00009FA10000}"/>
    <cellStyle name="Note 3 4 6 2 2 2" xfId="16279" xr:uid="{00000000-0005-0000-0000-0000A0A10000}"/>
    <cellStyle name="Note 3 4 6 2 2 2 2" xfId="39754" xr:uid="{00000000-0005-0000-0000-0000A1A10000}"/>
    <cellStyle name="Note 3 4 6 2 2 3" xfId="39753" xr:uid="{00000000-0005-0000-0000-0000A2A10000}"/>
    <cellStyle name="Note 3 4 6 2 3" xfId="16280" xr:uid="{00000000-0005-0000-0000-0000A3A10000}"/>
    <cellStyle name="Note 3 4 6 2 3 2" xfId="39755" xr:uid="{00000000-0005-0000-0000-0000A4A10000}"/>
    <cellStyle name="Note 3 4 6 2 4" xfId="39752" xr:uid="{00000000-0005-0000-0000-0000A5A10000}"/>
    <cellStyle name="Note 3 4 6 3" xfId="16281" xr:uid="{00000000-0005-0000-0000-0000A6A10000}"/>
    <cellStyle name="Note 3 4 6 3 2" xfId="16282" xr:uid="{00000000-0005-0000-0000-0000A7A10000}"/>
    <cellStyle name="Note 3 4 6 3 2 2" xfId="39757" xr:uid="{00000000-0005-0000-0000-0000A8A10000}"/>
    <cellStyle name="Note 3 4 6 3 3" xfId="39756" xr:uid="{00000000-0005-0000-0000-0000A9A10000}"/>
    <cellStyle name="Note 3 4 6 4" xfId="16283" xr:uid="{00000000-0005-0000-0000-0000AAA10000}"/>
    <cellStyle name="Note 3 4 6 4 2" xfId="39758" xr:uid="{00000000-0005-0000-0000-0000ABA10000}"/>
    <cellStyle name="Note 3 4 6 5" xfId="39751" xr:uid="{00000000-0005-0000-0000-0000ACA10000}"/>
    <cellStyle name="Note 3 4 7" xfId="16284" xr:uid="{00000000-0005-0000-0000-0000ADA10000}"/>
    <cellStyle name="Note 3 4 7 2" xfId="16285" xr:uid="{00000000-0005-0000-0000-0000AEA10000}"/>
    <cellStyle name="Note 3 4 7 2 2" xfId="16286" xr:uid="{00000000-0005-0000-0000-0000AFA10000}"/>
    <cellStyle name="Note 3 4 7 2 2 2" xfId="39761" xr:uid="{00000000-0005-0000-0000-0000B0A10000}"/>
    <cellStyle name="Note 3 4 7 2 3" xfId="39760" xr:uid="{00000000-0005-0000-0000-0000B1A10000}"/>
    <cellStyle name="Note 3 4 7 3" xfId="16287" xr:uid="{00000000-0005-0000-0000-0000B2A10000}"/>
    <cellStyle name="Note 3 4 7 3 2" xfId="39762" xr:uid="{00000000-0005-0000-0000-0000B3A10000}"/>
    <cellStyle name="Note 3 4 7 4" xfId="39759" xr:uid="{00000000-0005-0000-0000-0000B4A10000}"/>
    <cellStyle name="Note 3 4 8" xfId="16288" xr:uid="{00000000-0005-0000-0000-0000B5A10000}"/>
    <cellStyle name="Note 3 4 8 2" xfId="16289" xr:uid="{00000000-0005-0000-0000-0000B6A10000}"/>
    <cellStyle name="Note 3 4 8 2 2" xfId="39764" xr:uid="{00000000-0005-0000-0000-0000B7A10000}"/>
    <cellStyle name="Note 3 4 8 3" xfId="39763" xr:uid="{00000000-0005-0000-0000-0000B8A10000}"/>
    <cellStyle name="Note 3 4 9" xfId="16290" xr:uid="{00000000-0005-0000-0000-0000B9A10000}"/>
    <cellStyle name="Note 3 4 9 2" xfId="39765" xr:uid="{00000000-0005-0000-0000-0000BAA10000}"/>
    <cellStyle name="Note 3 5" xfId="16291" xr:uid="{00000000-0005-0000-0000-0000BBA10000}"/>
    <cellStyle name="Note 3 5 10" xfId="39766" xr:uid="{00000000-0005-0000-0000-0000BCA10000}"/>
    <cellStyle name="Note 3 5 2" xfId="16292" xr:uid="{00000000-0005-0000-0000-0000BDA10000}"/>
    <cellStyle name="Note 3 5 2 2" xfId="16293" xr:uid="{00000000-0005-0000-0000-0000BEA10000}"/>
    <cellStyle name="Note 3 5 2 2 2" xfId="16294" xr:uid="{00000000-0005-0000-0000-0000BFA10000}"/>
    <cellStyle name="Note 3 5 2 2 2 2" xfId="16295" xr:uid="{00000000-0005-0000-0000-0000C0A10000}"/>
    <cellStyle name="Note 3 5 2 2 2 2 2" xfId="16296" xr:uid="{00000000-0005-0000-0000-0000C1A10000}"/>
    <cellStyle name="Note 3 5 2 2 2 2 2 2" xfId="39771" xr:uid="{00000000-0005-0000-0000-0000C2A10000}"/>
    <cellStyle name="Note 3 5 2 2 2 2 3" xfId="39770" xr:uid="{00000000-0005-0000-0000-0000C3A10000}"/>
    <cellStyle name="Note 3 5 2 2 2 3" xfId="16297" xr:uid="{00000000-0005-0000-0000-0000C4A10000}"/>
    <cellStyle name="Note 3 5 2 2 2 3 2" xfId="39772" xr:uid="{00000000-0005-0000-0000-0000C5A10000}"/>
    <cellStyle name="Note 3 5 2 2 2 4" xfId="39769" xr:uid="{00000000-0005-0000-0000-0000C6A10000}"/>
    <cellStyle name="Note 3 5 2 2 3" xfId="16298" xr:uid="{00000000-0005-0000-0000-0000C7A10000}"/>
    <cellStyle name="Note 3 5 2 2 3 2" xfId="16299" xr:uid="{00000000-0005-0000-0000-0000C8A10000}"/>
    <cellStyle name="Note 3 5 2 2 3 2 2" xfId="39774" xr:uid="{00000000-0005-0000-0000-0000C9A10000}"/>
    <cellStyle name="Note 3 5 2 2 3 3" xfId="39773" xr:uid="{00000000-0005-0000-0000-0000CAA10000}"/>
    <cellStyle name="Note 3 5 2 2 4" xfId="16300" xr:uid="{00000000-0005-0000-0000-0000CBA10000}"/>
    <cellStyle name="Note 3 5 2 2 4 2" xfId="39775" xr:uid="{00000000-0005-0000-0000-0000CCA10000}"/>
    <cellStyle name="Note 3 5 2 2 5" xfId="39768" xr:uid="{00000000-0005-0000-0000-0000CDA10000}"/>
    <cellStyle name="Note 3 5 2 3" xfId="16301" xr:uid="{00000000-0005-0000-0000-0000CEA10000}"/>
    <cellStyle name="Note 3 5 2 3 2" xfId="16302" xr:uid="{00000000-0005-0000-0000-0000CFA10000}"/>
    <cellStyle name="Note 3 5 2 3 2 2" xfId="16303" xr:uid="{00000000-0005-0000-0000-0000D0A10000}"/>
    <cellStyle name="Note 3 5 2 3 2 2 2" xfId="16304" xr:uid="{00000000-0005-0000-0000-0000D1A10000}"/>
    <cellStyle name="Note 3 5 2 3 2 2 2 2" xfId="39779" xr:uid="{00000000-0005-0000-0000-0000D2A10000}"/>
    <cellStyle name="Note 3 5 2 3 2 2 3" xfId="39778" xr:uid="{00000000-0005-0000-0000-0000D3A10000}"/>
    <cellStyle name="Note 3 5 2 3 2 3" xfId="16305" xr:uid="{00000000-0005-0000-0000-0000D4A10000}"/>
    <cellStyle name="Note 3 5 2 3 2 3 2" xfId="39780" xr:uid="{00000000-0005-0000-0000-0000D5A10000}"/>
    <cellStyle name="Note 3 5 2 3 2 4" xfId="39777" xr:uid="{00000000-0005-0000-0000-0000D6A10000}"/>
    <cellStyle name="Note 3 5 2 3 3" xfId="16306" xr:uid="{00000000-0005-0000-0000-0000D7A10000}"/>
    <cellStyle name="Note 3 5 2 3 3 2" xfId="16307" xr:uid="{00000000-0005-0000-0000-0000D8A10000}"/>
    <cellStyle name="Note 3 5 2 3 3 2 2" xfId="39782" xr:uid="{00000000-0005-0000-0000-0000D9A10000}"/>
    <cellStyle name="Note 3 5 2 3 3 3" xfId="39781" xr:uid="{00000000-0005-0000-0000-0000DAA10000}"/>
    <cellStyle name="Note 3 5 2 3 4" xfId="16308" xr:uid="{00000000-0005-0000-0000-0000DBA10000}"/>
    <cellStyle name="Note 3 5 2 3 4 2" xfId="39783" xr:uid="{00000000-0005-0000-0000-0000DCA10000}"/>
    <cellStyle name="Note 3 5 2 3 5" xfId="39776" xr:uid="{00000000-0005-0000-0000-0000DDA10000}"/>
    <cellStyle name="Note 3 5 2 4" xfId="16309" xr:uid="{00000000-0005-0000-0000-0000DEA10000}"/>
    <cellStyle name="Note 3 5 2 4 2" xfId="16310" xr:uid="{00000000-0005-0000-0000-0000DFA10000}"/>
    <cellStyle name="Note 3 5 2 4 2 2" xfId="16311" xr:uid="{00000000-0005-0000-0000-0000E0A10000}"/>
    <cellStyle name="Note 3 5 2 4 2 2 2" xfId="39786" xr:uid="{00000000-0005-0000-0000-0000E1A10000}"/>
    <cellStyle name="Note 3 5 2 4 2 3" xfId="39785" xr:uid="{00000000-0005-0000-0000-0000E2A10000}"/>
    <cellStyle name="Note 3 5 2 4 3" xfId="16312" xr:uid="{00000000-0005-0000-0000-0000E3A10000}"/>
    <cellStyle name="Note 3 5 2 4 3 2" xfId="39787" xr:uid="{00000000-0005-0000-0000-0000E4A10000}"/>
    <cellStyle name="Note 3 5 2 4 4" xfId="39784" xr:uid="{00000000-0005-0000-0000-0000E5A10000}"/>
    <cellStyle name="Note 3 5 2 5" xfId="16313" xr:uid="{00000000-0005-0000-0000-0000E6A10000}"/>
    <cellStyle name="Note 3 5 2 5 2" xfId="16314" xr:uid="{00000000-0005-0000-0000-0000E7A10000}"/>
    <cellStyle name="Note 3 5 2 5 2 2" xfId="39789" xr:uid="{00000000-0005-0000-0000-0000E8A10000}"/>
    <cellStyle name="Note 3 5 2 5 3" xfId="39788" xr:uid="{00000000-0005-0000-0000-0000E9A10000}"/>
    <cellStyle name="Note 3 5 2 6" xfId="16315" xr:uid="{00000000-0005-0000-0000-0000EAA10000}"/>
    <cellStyle name="Note 3 5 2 6 2" xfId="39790" xr:uid="{00000000-0005-0000-0000-0000EBA10000}"/>
    <cellStyle name="Note 3 5 2 7" xfId="39767" xr:uid="{00000000-0005-0000-0000-0000ECA10000}"/>
    <cellStyle name="Note 3 5 3" xfId="16316" xr:uid="{00000000-0005-0000-0000-0000EDA10000}"/>
    <cellStyle name="Note 3 5 3 2" xfId="16317" xr:uid="{00000000-0005-0000-0000-0000EEA10000}"/>
    <cellStyle name="Note 3 5 3 2 2" xfId="16318" xr:uid="{00000000-0005-0000-0000-0000EFA10000}"/>
    <cellStyle name="Note 3 5 3 2 2 2" xfId="16319" xr:uid="{00000000-0005-0000-0000-0000F0A10000}"/>
    <cellStyle name="Note 3 5 3 2 2 2 2" xfId="16320" xr:uid="{00000000-0005-0000-0000-0000F1A10000}"/>
    <cellStyle name="Note 3 5 3 2 2 2 2 2" xfId="39795" xr:uid="{00000000-0005-0000-0000-0000F2A10000}"/>
    <cellStyle name="Note 3 5 3 2 2 2 3" xfId="39794" xr:uid="{00000000-0005-0000-0000-0000F3A10000}"/>
    <cellStyle name="Note 3 5 3 2 2 3" xfId="16321" xr:uid="{00000000-0005-0000-0000-0000F4A10000}"/>
    <cellStyle name="Note 3 5 3 2 2 3 2" xfId="39796" xr:uid="{00000000-0005-0000-0000-0000F5A10000}"/>
    <cellStyle name="Note 3 5 3 2 2 4" xfId="39793" xr:uid="{00000000-0005-0000-0000-0000F6A10000}"/>
    <cellStyle name="Note 3 5 3 2 3" xfId="16322" xr:uid="{00000000-0005-0000-0000-0000F7A10000}"/>
    <cellStyle name="Note 3 5 3 2 3 2" xfId="16323" xr:uid="{00000000-0005-0000-0000-0000F8A10000}"/>
    <cellStyle name="Note 3 5 3 2 3 2 2" xfId="39798" xr:uid="{00000000-0005-0000-0000-0000F9A10000}"/>
    <cellStyle name="Note 3 5 3 2 3 3" xfId="39797" xr:uid="{00000000-0005-0000-0000-0000FAA10000}"/>
    <cellStyle name="Note 3 5 3 2 4" xfId="16324" xr:uid="{00000000-0005-0000-0000-0000FBA10000}"/>
    <cellStyle name="Note 3 5 3 2 4 2" xfId="39799" xr:uid="{00000000-0005-0000-0000-0000FCA10000}"/>
    <cellStyle name="Note 3 5 3 2 5" xfId="39792" xr:uid="{00000000-0005-0000-0000-0000FDA10000}"/>
    <cellStyle name="Note 3 5 3 3" xfId="16325" xr:uid="{00000000-0005-0000-0000-0000FEA10000}"/>
    <cellStyle name="Note 3 5 3 3 2" xfId="16326" xr:uid="{00000000-0005-0000-0000-0000FFA10000}"/>
    <cellStyle name="Note 3 5 3 3 2 2" xfId="16327" xr:uid="{00000000-0005-0000-0000-000000A20000}"/>
    <cellStyle name="Note 3 5 3 3 2 2 2" xfId="16328" xr:uid="{00000000-0005-0000-0000-000001A20000}"/>
    <cellStyle name="Note 3 5 3 3 2 2 2 2" xfId="39803" xr:uid="{00000000-0005-0000-0000-000002A20000}"/>
    <cellStyle name="Note 3 5 3 3 2 2 3" xfId="39802" xr:uid="{00000000-0005-0000-0000-000003A20000}"/>
    <cellStyle name="Note 3 5 3 3 2 3" xfId="16329" xr:uid="{00000000-0005-0000-0000-000004A20000}"/>
    <cellStyle name="Note 3 5 3 3 2 3 2" xfId="39804" xr:uid="{00000000-0005-0000-0000-000005A20000}"/>
    <cellStyle name="Note 3 5 3 3 2 4" xfId="39801" xr:uid="{00000000-0005-0000-0000-000006A20000}"/>
    <cellStyle name="Note 3 5 3 3 3" xfId="16330" xr:uid="{00000000-0005-0000-0000-000007A20000}"/>
    <cellStyle name="Note 3 5 3 3 3 2" xfId="16331" xr:uid="{00000000-0005-0000-0000-000008A20000}"/>
    <cellStyle name="Note 3 5 3 3 3 2 2" xfId="39806" xr:uid="{00000000-0005-0000-0000-000009A20000}"/>
    <cellStyle name="Note 3 5 3 3 3 3" xfId="39805" xr:uid="{00000000-0005-0000-0000-00000AA20000}"/>
    <cellStyle name="Note 3 5 3 3 4" xfId="16332" xr:uid="{00000000-0005-0000-0000-00000BA20000}"/>
    <cellStyle name="Note 3 5 3 3 4 2" xfId="39807" xr:uid="{00000000-0005-0000-0000-00000CA20000}"/>
    <cellStyle name="Note 3 5 3 3 5" xfId="39800" xr:uid="{00000000-0005-0000-0000-00000DA20000}"/>
    <cellStyle name="Note 3 5 3 4" xfId="16333" xr:uid="{00000000-0005-0000-0000-00000EA20000}"/>
    <cellStyle name="Note 3 5 3 4 2" xfId="16334" xr:uid="{00000000-0005-0000-0000-00000FA20000}"/>
    <cellStyle name="Note 3 5 3 4 2 2" xfId="16335" xr:uid="{00000000-0005-0000-0000-000010A20000}"/>
    <cellStyle name="Note 3 5 3 4 2 2 2" xfId="39810" xr:uid="{00000000-0005-0000-0000-000011A20000}"/>
    <cellStyle name="Note 3 5 3 4 2 3" xfId="39809" xr:uid="{00000000-0005-0000-0000-000012A20000}"/>
    <cellStyle name="Note 3 5 3 4 3" xfId="16336" xr:uid="{00000000-0005-0000-0000-000013A20000}"/>
    <cellStyle name="Note 3 5 3 4 3 2" xfId="39811" xr:uid="{00000000-0005-0000-0000-000014A20000}"/>
    <cellStyle name="Note 3 5 3 4 4" xfId="39808" xr:uid="{00000000-0005-0000-0000-000015A20000}"/>
    <cellStyle name="Note 3 5 3 5" xfId="16337" xr:uid="{00000000-0005-0000-0000-000016A20000}"/>
    <cellStyle name="Note 3 5 3 5 2" xfId="16338" xr:uid="{00000000-0005-0000-0000-000017A20000}"/>
    <cellStyle name="Note 3 5 3 5 2 2" xfId="39813" xr:uid="{00000000-0005-0000-0000-000018A20000}"/>
    <cellStyle name="Note 3 5 3 5 3" xfId="39812" xr:uid="{00000000-0005-0000-0000-000019A20000}"/>
    <cellStyle name="Note 3 5 3 6" xfId="16339" xr:uid="{00000000-0005-0000-0000-00001AA20000}"/>
    <cellStyle name="Note 3 5 3 6 2" xfId="39814" xr:uid="{00000000-0005-0000-0000-00001BA20000}"/>
    <cellStyle name="Note 3 5 3 7" xfId="39791" xr:uid="{00000000-0005-0000-0000-00001CA20000}"/>
    <cellStyle name="Note 3 5 4" xfId="16340" xr:uid="{00000000-0005-0000-0000-00001DA20000}"/>
    <cellStyle name="Note 3 5 4 2" xfId="16341" xr:uid="{00000000-0005-0000-0000-00001EA20000}"/>
    <cellStyle name="Note 3 5 4 2 2" xfId="16342" xr:uid="{00000000-0005-0000-0000-00001FA20000}"/>
    <cellStyle name="Note 3 5 4 2 2 2" xfId="16343" xr:uid="{00000000-0005-0000-0000-000020A20000}"/>
    <cellStyle name="Note 3 5 4 2 2 2 2" xfId="39818" xr:uid="{00000000-0005-0000-0000-000021A20000}"/>
    <cellStyle name="Note 3 5 4 2 2 3" xfId="39817" xr:uid="{00000000-0005-0000-0000-000022A20000}"/>
    <cellStyle name="Note 3 5 4 2 3" xfId="16344" xr:uid="{00000000-0005-0000-0000-000023A20000}"/>
    <cellStyle name="Note 3 5 4 2 3 2" xfId="39819" xr:uid="{00000000-0005-0000-0000-000024A20000}"/>
    <cellStyle name="Note 3 5 4 2 4" xfId="39816" xr:uid="{00000000-0005-0000-0000-000025A20000}"/>
    <cellStyle name="Note 3 5 4 3" xfId="16345" xr:uid="{00000000-0005-0000-0000-000026A20000}"/>
    <cellStyle name="Note 3 5 4 3 2" xfId="16346" xr:uid="{00000000-0005-0000-0000-000027A20000}"/>
    <cellStyle name="Note 3 5 4 3 2 2" xfId="39821" xr:uid="{00000000-0005-0000-0000-000028A20000}"/>
    <cellStyle name="Note 3 5 4 3 3" xfId="39820" xr:uid="{00000000-0005-0000-0000-000029A20000}"/>
    <cellStyle name="Note 3 5 4 4" xfId="16347" xr:uid="{00000000-0005-0000-0000-00002AA20000}"/>
    <cellStyle name="Note 3 5 4 4 2" xfId="39822" xr:uid="{00000000-0005-0000-0000-00002BA20000}"/>
    <cellStyle name="Note 3 5 4 5" xfId="39815" xr:uid="{00000000-0005-0000-0000-00002CA20000}"/>
    <cellStyle name="Note 3 5 5" xfId="16348" xr:uid="{00000000-0005-0000-0000-00002DA20000}"/>
    <cellStyle name="Note 3 5 5 2" xfId="16349" xr:uid="{00000000-0005-0000-0000-00002EA20000}"/>
    <cellStyle name="Note 3 5 5 2 2" xfId="16350" xr:uid="{00000000-0005-0000-0000-00002FA20000}"/>
    <cellStyle name="Note 3 5 5 2 2 2" xfId="16351" xr:uid="{00000000-0005-0000-0000-000030A20000}"/>
    <cellStyle name="Note 3 5 5 2 2 2 2" xfId="39826" xr:uid="{00000000-0005-0000-0000-000031A20000}"/>
    <cellStyle name="Note 3 5 5 2 2 3" xfId="39825" xr:uid="{00000000-0005-0000-0000-000032A20000}"/>
    <cellStyle name="Note 3 5 5 2 3" xfId="16352" xr:uid="{00000000-0005-0000-0000-000033A20000}"/>
    <cellStyle name="Note 3 5 5 2 3 2" xfId="39827" xr:uid="{00000000-0005-0000-0000-000034A20000}"/>
    <cellStyle name="Note 3 5 5 2 4" xfId="39824" xr:uid="{00000000-0005-0000-0000-000035A20000}"/>
    <cellStyle name="Note 3 5 5 3" xfId="16353" xr:uid="{00000000-0005-0000-0000-000036A20000}"/>
    <cellStyle name="Note 3 5 5 3 2" xfId="16354" xr:uid="{00000000-0005-0000-0000-000037A20000}"/>
    <cellStyle name="Note 3 5 5 3 2 2" xfId="39829" xr:uid="{00000000-0005-0000-0000-000038A20000}"/>
    <cellStyle name="Note 3 5 5 3 3" xfId="39828" xr:uid="{00000000-0005-0000-0000-000039A20000}"/>
    <cellStyle name="Note 3 5 5 4" xfId="16355" xr:uid="{00000000-0005-0000-0000-00003AA20000}"/>
    <cellStyle name="Note 3 5 5 4 2" xfId="39830" xr:uid="{00000000-0005-0000-0000-00003BA20000}"/>
    <cellStyle name="Note 3 5 5 5" xfId="39823" xr:uid="{00000000-0005-0000-0000-00003CA20000}"/>
    <cellStyle name="Note 3 5 6" xfId="16356" xr:uid="{00000000-0005-0000-0000-00003DA20000}"/>
    <cellStyle name="Note 3 5 6 2" xfId="16357" xr:uid="{00000000-0005-0000-0000-00003EA20000}"/>
    <cellStyle name="Note 3 5 6 2 2" xfId="16358" xr:uid="{00000000-0005-0000-0000-00003FA20000}"/>
    <cellStyle name="Note 3 5 6 2 2 2" xfId="39833" xr:uid="{00000000-0005-0000-0000-000040A20000}"/>
    <cellStyle name="Note 3 5 6 2 3" xfId="39832" xr:uid="{00000000-0005-0000-0000-000041A20000}"/>
    <cellStyle name="Note 3 5 6 3" xfId="16359" xr:uid="{00000000-0005-0000-0000-000042A20000}"/>
    <cellStyle name="Note 3 5 6 3 2" xfId="39834" xr:uid="{00000000-0005-0000-0000-000043A20000}"/>
    <cellStyle name="Note 3 5 6 4" xfId="39831" xr:uid="{00000000-0005-0000-0000-000044A20000}"/>
    <cellStyle name="Note 3 5 7" xfId="16360" xr:uid="{00000000-0005-0000-0000-000045A20000}"/>
    <cellStyle name="Note 3 5 7 2" xfId="16361" xr:uid="{00000000-0005-0000-0000-000046A20000}"/>
    <cellStyle name="Note 3 5 7 2 2" xfId="39836" xr:uid="{00000000-0005-0000-0000-000047A20000}"/>
    <cellStyle name="Note 3 5 7 3" xfId="39835" xr:uid="{00000000-0005-0000-0000-000048A20000}"/>
    <cellStyle name="Note 3 5 8" xfId="16362" xr:uid="{00000000-0005-0000-0000-000049A20000}"/>
    <cellStyle name="Note 3 5 8 2" xfId="39837" xr:uid="{00000000-0005-0000-0000-00004AA20000}"/>
    <cellStyle name="Note 3 5 9" xfId="21888" xr:uid="{00000000-0005-0000-0000-00004BA20000}"/>
    <cellStyle name="Note 3 6" xfId="16363" xr:uid="{00000000-0005-0000-0000-00004CA20000}"/>
    <cellStyle name="Note 3 6 2" xfId="16364" xr:uid="{00000000-0005-0000-0000-00004DA20000}"/>
    <cellStyle name="Note 3 6 2 2" xfId="16365" xr:uid="{00000000-0005-0000-0000-00004EA20000}"/>
    <cellStyle name="Note 3 6 2 2 2" xfId="16366" xr:uid="{00000000-0005-0000-0000-00004FA20000}"/>
    <cellStyle name="Note 3 6 2 2 2 2" xfId="16367" xr:uid="{00000000-0005-0000-0000-000050A20000}"/>
    <cellStyle name="Note 3 6 2 2 2 2 2" xfId="39842" xr:uid="{00000000-0005-0000-0000-000051A20000}"/>
    <cellStyle name="Note 3 6 2 2 2 3" xfId="39841" xr:uid="{00000000-0005-0000-0000-000052A20000}"/>
    <cellStyle name="Note 3 6 2 2 3" xfId="16368" xr:uid="{00000000-0005-0000-0000-000053A20000}"/>
    <cellStyle name="Note 3 6 2 2 3 2" xfId="39843" xr:uid="{00000000-0005-0000-0000-000054A20000}"/>
    <cellStyle name="Note 3 6 2 2 4" xfId="39840" xr:uid="{00000000-0005-0000-0000-000055A20000}"/>
    <cellStyle name="Note 3 6 2 3" xfId="16369" xr:uid="{00000000-0005-0000-0000-000056A20000}"/>
    <cellStyle name="Note 3 6 2 3 2" xfId="16370" xr:uid="{00000000-0005-0000-0000-000057A20000}"/>
    <cellStyle name="Note 3 6 2 3 2 2" xfId="39845" xr:uid="{00000000-0005-0000-0000-000058A20000}"/>
    <cellStyle name="Note 3 6 2 3 3" xfId="39844" xr:uid="{00000000-0005-0000-0000-000059A20000}"/>
    <cellStyle name="Note 3 6 2 4" xfId="16371" xr:uid="{00000000-0005-0000-0000-00005AA20000}"/>
    <cellStyle name="Note 3 6 2 4 2" xfId="39846" xr:uid="{00000000-0005-0000-0000-00005BA20000}"/>
    <cellStyle name="Note 3 6 2 5" xfId="39839" xr:uid="{00000000-0005-0000-0000-00005CA20000}"/>
    <cellStyle name="Note 3 6 3" xfId="16372" xr:uid="{00000000-0005-0000-0000-00005DA20000}"/>
    <cellStyle name="Note 3 6 3 2" xfId="16373" xr:uid="{00000000-0005-0000-0000-00005EA20000}"/>
    <cellStyle name="Note 3 6 3 2 2" xfId="16374" xr:uid="{00000000-0005-0000-0000-00005FA20000}"/>
    <cellStyle name="Note 3 6 3 2 2 2" xfId="16375" xr:uid="{00000000-0005-0000-0000-000060A20000}"/>
    <cellStyle name="Note 3 6 3 2 2 2 2" xfId="39850" xr:uid="{00000000-0005-0000-0000-000061A20000}"/>
    <cellStyle name="Note 3 6 3 2 2 3" xfId="39849" xr:uid="{00000000-0005-0000-0000-000062A20000}"/>
    <cellStyle name="Note 3 6 3 2 3" xfId="16376" xr:uid="{00000000-0005-0000-0000-000063A20000}"/>
    <cellStyle name="Note 3 6 3 2 3 2" xfId="39851" xr:uid="{00000000-0005-0000-0000-000064A20000}"/>
    <cellStyle name="Note 3 6 3 2 4" xfId="39848" xr:uid="{00000000-0005-0000-0000-000065A20000}"/>
    <cellStyle name="Note 3 6 3 3" xfId="16377" xr:uid="{00000000-0005-0000-0000-000066A20000}"/>
    <cellStyle name="Note 3 6 3 3 2" xfId="16378" xr:uid="{00000000-0005-0000-0000-000067A20000}"/>
    <cellStyle name="Note 3 6 3 3 2 2" xfId="39853" xr:uid="{00000000-0005-0000-0000-000068A20000}"/>
    <cellStyle name="Note 3 6 3 3 3" xfId="39852" xr:uid="{00000000-0005-0000-0000-000069A20000}"/>
    <cellStyle name="Note 3 6 3 4" xfId="16379" xr:uid="{00000000-0005-0000-0000-00006AA20000}"/>
    <cellStyle name="Note 3 6 3 4 2" xfId="39854" xr:uid="{00000000-0005-0000-0000-00006BA20000}"/>
    <cellStyle name="Note 3 6 3 5" xfId="39847" xr:uid="{00000000-0005-0000-0000-00006CA20000}"/>
    <cellStyle name="Note 3 6 4" xfId="16380" xr:uid="{00000000-0005-0000-0000-00006DA20000}"/>
    <cellStyle name="Note 3 6 4 2" xfId="16381" xr:uid="{00000000-0005-0000-0000-00006EA20000}"/>
    <cellStyle name="Note 3 6 4 2 2" xfId="16382" xr:uid="{00000000-0005-0000-0000-00006FA20000}"/>
    <cellStyle name="Note 3 6 4 2 2 2" xfId="39857" xr:uid="{00000000-0005-0000-0000-000070A20000}"/>
    <cellStyle name="Note 3 6 4 2 3" xfId="39856" xr:uid="{00000000-0005-0000-0000-000071A20000}"/>
    <cellStyle name="Note 3 6 4 3" xfId="16383" xr:uid="{00000000-0005-0000-0000-000072A20000}"/>
    <cellStyle name="Note 3 6 4 3 2" xfId="39858" xr:uid="{00000000-0005-0000-0000-000073A20000}"/>
    <cellStyle name="Note 3 6 4 4" xfId="39855" xr:uid="{00000000-0005-0000-0000-000074A20000}"/>
    <cellStyle name="Note 3 6 5" xfId="16384" xr:uid="{00000000-0005-0000-0000-000075A20000}"/>
    <cellStyle name="Note 3 6 5 2" xfId="16385" xr:uid="{00000000-0005-0000-0000-000076A20000}"/>
    <cellStyle name="Note 3 6 5 2 2" xfId="39860" xr:uid="{00000000-0005-0000-0000-000077A20000}"/>
    <cellStyle name="Note 3 6 5 3" xfId="39859" xr:uid="{00000000-0005-0000-0000-000078A20000}"/>
    <cellStyle name="Note 3 6 6" xfId="16386" xr:uid="{00000000-0005-0000-0000-000079A20000}"/>
    <cellStyle name="Note 3 6 6 2" xfId="39861" xr:uid="{00000000-0005-0000-0000-00007AA20000}"/>
    <cellStyle name="Note 3 6 7" xfId="21889" xr:uid="{00000000-0005-0000-0000-00007BA20000}"/>
    <cellStyle name="Note 3 6 8" xfId="39838" xr:uid="{00000000-0005-0000-0000-00007CA20000}"/>
    <cellStyle name="Note 3 7" xfId="16387" xr:uid="{00000000-0005-0000-0000-00007DA20000}"/>
    <cellStyle name="Note 3 7 2" xfId="16388" xr:uid="{00000000-0005-0000-0000-00007EA20000}"/>
    <cellStyle name="Note 3 7 2 2" xfId="16389" xr:uid="{00000000-0005-0000-0000-00007FA20000}"/>
    <cellStyle name="Note 3 7 2 2 2" xfId="16390" xr:uid="{00000000-0005-0000-0000-000080A20000}"/>
    <cellStyle name="Note 3 7 2 2 2 2" xfId="16391" xr:uid="{00000000-0005-0000-0000-000081A20000}"/>
    <cellStyle name="Note 3 7 2 2 2 2 2" xfId="39866" xr:uid="{00000000-0005-0000-0000-000082A20000}"/>
    <cellStyle name="Note 3 7 2 2 2 3" xfId="39865" xr:uid="{00000000-0005-0000-0000-000083A20000}"/>
    <cellStyle name="Note 3 7 2 2 3" xfId="16392" xr:uid="{00000000-0005-0000-0000-000084A20000}"/>
    <cellStyle name="Note 3 7 2 2 3 2" xfId="39867" xr:uid="{00000000-0005-0000-0000-000085A20000}"/>
    <cellStyle name="Note 3 7 2 2 4" xfId="39864" xr:uid="{00000000-0005-0000-0000-000086A20000}"/>
    <cellStyle name="Note 3 7 2 3" xfId="16393" xr:uid="{00000000-0005-0000-0000-000087A20000}"/>
    <cellStyle name="Note 3 7 2 3 2" xfId="16394" xr:uid="{00000000-0005-0000-0000-000088A20000}"/>
    <cellStyle name="Note 3 7 2 3 2 2" xfId="39869" xr:uid="{00000000-0005-0000-0000-000089A20000}"/>
    <cellStyle name="Note 3 7 2 3 3" xfId="39868" xr:uid="{00000000-0005-0000-0000-00008AA20000}"/>
    <cellStyle name="Note 3 7 2 4" xfId="16395" xr:uid="{00000000-0005-0000-0000-00008BA20000}"/>
    <cellStyle name="Note 3 7 2 4 2" xfId="39870" xr:uid="{00000000-0005-0000-0000-00008CA20000}"/>
    <cellStyle name="Note 3 7 2 5" xfId="39863" xr:uid="{00000000-0005-0000-0000-00008DA20000}"/>
    <cellStyle name="Note 3 7 3" xfId="16396" xr:uid="{00000000-0005-0000-0000-00008EA20000}"/>
    <cellStyle name="Note 3 7 3 2" xfId="16397" xr:uid="{00000000-0005-0000-0000-00008FA20000}"/>
    <cellStyle name="Note 3 7 3 2 2" xfId="16398" xr:uid="{00000000-0005-0000-0000-000090A20000}"/>
    <cellStyle name="Note 3 7 3 2 2 2" xfId="16399" xr:uid="{00000000-0005-0000-0000-000091A20000}"/>
    <cellStyle name="Note 3 7 3 2 2 2 2" xfId="39874" xr:uid="{00000000-0005-0000-0000-000092A20000}"/>
    <cellStyle name="Note 3 7 3 2 2 3" xfId="39873" xr:uid="{00000000-0005-0000-0000-000093A20000}"/>
    <cellStyle name="Note 3 7 3 2 3" xfId="16400" xr:uid="{00000000-0005-0000-0000-000094A20000}"/>
    <cellStyle name="Note 3 7 3 2 3 2" xfId="39875" xr:uid="{00000000-0005-0000-0000-000095A20000}"/>
    <cellStyle name="Note 3 7 3 2 4" xfId="39872" xr:uid="{00000000-0005-0000-0000-000096A20000}"/>
    <cellStyle name="Note 3 7 3 3" xfId="16401" xr:uid="{00000000-0005-0000-0000-000097A20000}"/>
    <cellStyle name="Note 3 7 3 3 2" xfId="16402" xr:uid="{00000000-0005-0000-0000-000098A20000}"/>
    <cellStyle name="Note 3 7 3 3 2 2" xfId="39877" xr:uid="{00000000-0005-0000-0000-000099A20000}"/>
    <cellStyle name="Note 3 7 3 3 3" xfId="39876" xr:uid="{00000000-0005-0000-0000-00009AA20000}"/>
    <cellStyle name="Note 3 7 3 4" xfId="16403" xr:uid="{00000000-0005-0000-0000-00009BA20000}"/>
    <cellStyle name="Note 3 7 3 4 2" xfId="39878" xr:uid="{00000000-0005-0000-0000-00009CA20000}"/>
    <cellStyle name="Note 3 7 3 5" xfId="39871" xr:uid="{00000000-0005-0000-0000-00009DA20000}"/>
    <cellStyle name="Note 3 7 4" xfId="16404" xr:uid="{00000000-0005-0000-0000-00009EA20000}"/>
    <cellStyle name="Note 3 7 4 2" xfId="16405" xr:uid="{00000000-0005-0000-0000-00009FA20000}"/>
    <cellStyle name="Note 3 7 4 2 2" xfId="16406" xr:uid="{00000000-0005-0000-0000-0000A0A20000}"/>
    <cellStyle name="Note 3 7 4 2 2 2" xfId="39881" xr:uid="{00000000-0005-0000-0000-0000A1A20000}"/>
    <cellStyle name="Note 3 7 4 2 3" xfId="39880" xr:uid="{00000000-0005-0000-0000-0000A2A20000}"/>
    <cellStyle name="Note 3 7 4 3" xfId="16407" xr:uid="{00000000-0005-0000-0000-0000A3A20000}"/>
    <cellStyle name="Note 3 7 4 3 2" xfId="39882" xr:uid="{00000000-0005-0000-0000-0000A4A20000}"/>
    <cellStyle name="Note 3 7 4 4" xfId="39879" xr:uid="{00000000-0005-0000-0000-0000A5A20000}"/>
    <cellStyle name="Note 3 7 5" xfId="16408" xr:uid="{00000000-0005-0000-0000-0000A6A20000}"/>
    <cellStyle name="Note 3 7 5 2" xfId="16409" xr:uid="{00000000-0005-0000-0000-0000A7A20000}"/>
    <cellStyle name="Note 3 7 5 2 2" xfId="39884" xr:uid="{00000000-0005-0000-0000-0000A8A20000}"/>
    <cellStyle name="Note 3 7 5 3" xfId="39883" xr:uid="{00000000-0005-0000-0000-0000A9A20000}"/>
    <cellStyle name="Note 3 7 6" xfId="16410" xr:uid="{00000000-0005-0000-0000-0000AAA20000}"/>
    <cellStyle name="Note 3 7 6 2" xfId="39885" xr:uid="{00000000-0005-0000-0000-0000ABA20000}"/>
    <cellStyle name="Note 3 7 7" xfId="21890" xr:uid="{00000000-0005-0000-0000-0000ACA20000}"/>
    <cellStyle name="Note 3 7 8" xfId="39862" xr:uid="{00000000-0005-0000-0000-0000ADA20000}"/>
    <cellStyle name="Note 3 8" xfId="16411" xr:uid="{00000000-0005-0000-0000-0000AEA20000}"/>
    <cellStyle name="Note 3 8 2" xfId="16412" xr:uid="{00000000-0005-0000-0000-0000AFA20000}"/>
    <cellStyle name="Note 3 8 2 2" xfId="16413" xr:uid="{00000000-0005-0000-0000-0000B0A20000}"/>
    <cellStyle name="Note 3 8 2 2 2" xfId="16414" xr:uid="{00000000-0005-0000-0000-0000B1A20000}"/>
    <cellStyle name="Note 3 8 2 2 2 2" xfId="16415" xr:uid="{00000000-0005-0000-0000-0000B2A20000}"/>
    <cellStyle name="Note 3 8 2 2 2 2 2" xfId="39890" xr:uid="{00000000-0005-0000-0000-0000B3A20000}"/>
    <cellStyle name="Note 3 8 2 2 2 3" xfId="39889" xr:uid="{00000000-0005-0000-0000-0000B4A20000}"/>
    <cellStyle name="Note 3 8 2 2 3" xfId="16416" xr:uid="{00000000-0005-0000-0000-0000B5A20000}"/>
    <cellStyle name="Note 3 8 2 2 3 2" xfId="39891" xr:uid="{00000000-0005-0000-0000-0000B6A20000}"/>
    <cellStyle name="Note 3 8 2 2 4" xfId="39888" xr:uid="{00000000-0005-0000-0000-0000B7A20000}"/>
    <cellStyle name="Note 3 8 2 3" xfId="16417" xr:uid="{00000000-0005-0000-0000-0000B8A20000}"/>
    <cellStyle name="Note 3 8 2 3 2" xfId="16418" xr:uid="{00000000-0005-0000-0000-0000B9A20000}"/>
    <cellStyle name="Note 3 8 2 3 2 2" xfId="39893" xr:uid="{00000000-0005-0000-0000-0000BAA20000}"/>
    <cellStyle name="Note 3 8 2 3 3" xfId="39892" xr:uid="{00000000-0005-0000-0000-0000BBA20000}"/>
    <cellStyle name="Note 3 8 2 4" xfId="16419" xr:uid="{00000000-0005-0000-0000-0000BCA20000}"/>
    <cellStyle name="Note 3 8 2 4 2" xfId="39894" xr:uid="{00000000-0005-0000-0000-0000BDA20000}"/>
    <cellStyle name="Note 3 8 2 5" xfId="39887" xr:uid="{00000000-0005-0000-0000-0000BEA20000}"/>
    <cellStyle name="Note 3 8 3" xfId="16420" xr:uid="{00000000-0005-0000-0000-0000BFA20000}"/>
    <cellStyle name="Note 3 8 3 2" xfId="16421" xr:uid="{00000000-0005-0000-0000-0000C0A20000}"/>
    <cellStyle name="Note 3 8 3 2 2" xfId="16422" xr:uid="{00000000-0005-0000-0000-0000C1A20000}"/>
    <cellStyle name="Note 3 8 3 2 2 2" xfId="16423" xr:uid="{00000000-0005-0000-0000-0000C2A20000}"/>
    <cellStyle name="Note 3 8 3 2 2 2 2" xfId="39898" xr:uid="{00000000-0005-0000-0000-0000C3A20000}"/>
    <cellStyle name="Note 3 8 3 2 2 3" xfId="39897" xr:uid="{00000000-0005-0000-0000-0000C4A20000}"/>
    <cellStyle name="Note 3 8 3 2 3" xfId="16424" xr:uid="{00000000-0005-0000-0000-0000C5A20000}"/>
    <cellStyle name="Note 3 8 3 2 3 2" xfId="39899" xr:uid="{00000000-0005-0000-0000-0000C6A20000}"/>
    <cellStyle name="Note 3 8 3 2 4" xfId="39896" xr:uid="{00000000-0005-0000-0000-0000C7A20000}"/>
    <cellStyle name="Note 3 8 3 3" xfId="16425" xr:uid="{00000000-0005-0000-0000-0000C8A20000}"/>
    <cellStyle name="Note 3 8 3 3 2" xfId="16426" xr:uid="{00000000-0005-0000-0000-0000C9A20000}"/>
    <cellStyle name="Note 3 8 3 3 2 2" xfId="39901" xr:uid="{00000000-0005-0000-0000-0000CAA20000}"/>
    <cellStyle name="Note 3 8 3 3 3" xfId="39900" xr:uid="{00000000-0005-0000-0000-0000CBA20000}"/>
    <cellStyle name="Note 3 8 3 4" xfId="16427" xr:uid="{00000000-0005-0000-0000-0000CCA20000}"/>
    <cellStyle name="Note 3 8 3 4 2" xfId="39902" xr:uid="{00000000-0005-0000-0000-0000CDA20000}"/>
    <cellStyle name="Note 3 8 3 5" xfId="39895" xr:uid="{00000000-0005-0000-0000-0000CEA20000}"/>
    <cellStyle name="Note 3 8 4" xfId="16428" xr:uid="{00000000-0005-0000-0000-0000CFA20000}"/>
    <cellStyle name="Note 3 8 4 2" xfId="16429" xr:uid="{00000000-0005-0000-0000-0000D0A20000}"/>
    <cellStyle name="Note 3 8 4 2 2" xfId="16430" xr:uid="{00000000-0005-0000-0000-0000D1A20000}"/>
    <cellStyle name="Note 3 8 4 2 2 2" xfId="39905" xr:uid="{00000000-0005-0000-0000-0000D2A20000}"/>
    <cellStyle name="Note 3 8 4 2 3" xfId="39904" xr:uid="{00000000-0005-0000-0000-0000D3A20000}"/>
    <cellStyle name="Note 3 8 4 3" xfId="16431" xr:uid="{00000000-0005-0000-0000-0000D4A20000}"/>
    <cellStyle name="Note 3 8 4 3 2" xfId="39906" xr:uid="{00000000-0005-0000-0000-0000D5A20000}"/>
    <cellStyle name="Note 3 8 4 4" xfId="39903" xr:uid="{00000000-0005-0000-0000-0000D6A20000}"/>
    <cellStyle name="Note 3 8 5" xfId="16432" xr:uid="{00000000-0005-0000-0000-0000D7A20000}"/>
    <cellStyle name="Note 3 8 5 2" xfId="16433" xr:uid="{00000000-0005-0000-0000-0000D8A20000}"/>
    <cellStyle name="Note 3 8 5 2 2" xfId="39908" xr:uid="{00000000-0005-0000-0000-0000D9A20000}"/>
    <cellStyle name="Note 3 8 5 3" xfId="39907" xr:uid="{00000000-0005-0000-0000-0000DAA20000}"/>
    <cellStyle name="Note 3 8 6" xfId="16434" xr:uid="{00000000-0005-0000-0000-0000DBA20000}"/>
    <cellStyle name="Note 3 8 6 2" xfId="39909" xr:uid="{00000000-0005-0000-0000-0000DCA20000}"/>
    <cellStyle name="Note 3 8 7" xfId="21891" xr:uid="{00000000-0005-0000-0000-0000DDA20000}"/>
    <cellStyle name="Note 3 8 8" xfId="39886" xr:uid="{00000000-0005-0000-0000-0000DEA20000}"/>
    <cellStyle name="Note 3 9" xfId="16435" xr:uid="{00000000-0005-0000-0000-0000DFA20000}"/>
    <cellStyle name="Note 3 9 2" xfId="16436" xr:uid="{00000000-0005-0000-0000-0000E0A20000}"/>
    <cellStyle name="Note 3 9 2 2" xfId="16437" xr:uid="{00000000-0005-0000-0000-0000E1A20000}"/>
    <cellStyle name="Note 3 9 2 2 2" xfId="16438" xr:uid="{00000000-0005-0000-0000-0000E2A20000}"/>
    <cellStyle name="Note 3 9 2 2 2 2" xfId="16439" xr:uid="{00000000-0005-0000-0000-0000E3A20000}"/>
    <cellStyle name="Note 3 9 2 2 2 2 2" xfId="39914" xr:uid="{00000000-0005-0000-0000-0000E4A20000}"/>
    <cellStyle name="Note 3 9 2 2 2 3" xfId="39913" xr:uid="{00000000-0005-0000-0000-0000E5A20000}"/>
    <cellStyle name="Note 3 9 2 2 3" xfId="16440" xr:uid="{00000000-0005-0000-0000-0000E6A20000}"/>
    <cellStyle name="Note 3 9 2 2 3 2" xfId="39915" xr:uid="{00000000-0005-0000-0000-0000E7A20000}"/>
    <cellStyle name="Note 3 9 2 2 4" xfId="39912" xr:uid="{00000000-0005-0000-0000-0000E8A20000}"/>
    <cellStyle name="Note 3 9 2 3" xfId="16441" xr:uid="{00000000-0005-0000-0000-0000E9A20000}"/>
    <cellStyle name="Note 3 9 2 3 2" xfId="16442" xr:uid="{00000000-0005-0000-0000-0000EAA20000}"/>
    <cellStyle name="Note 3 9 2 3 2 2" xfId="39917" xr:uid="{00000000-0005-0000-0000-0000EBA20000}"/>
    <cellStyle name="Note 3 9 2 3 3" xfId="39916" xr:uid="{00000000-0005-0000-0000-0000ECA20000}"/>
    <cellStyle name="Note 3 9 2 4" xfId="16443" xr:uid="{00000000-0005-0000-0000-0000EDA20000}"/>
    <cellStyle name="Note 3 9 2 4 2" xfId="39918" xr:uid="{00000000-0005-0000-0000-0000EEA20000}"/>
    <cellStyle name="Note 3 9 2 5" xfId="39911" xr:uid="{00000000-0005-0000-0000-0000EFA20000}"/>
    <cellStyle name="Note 3 9 3" xfId="16444" xr:uid="{00000000-0005-0000-0000-0000F0A20000}"/>
    <cellStyle name="Note 3 9 3 2" xfId="16445" xr:uid="{00000000-0005-0000-0000-0000F1A20000}"/>
    <cellStyle name="Note 3 9 3 2 2" xfId="16446" xr:uid="{00000000-0005-0000-0000-0000F2A20000}"/>
    <cellStyle name="Note 3 9 3 2 2 2" xfId="16447" xr:uid="{00000000-0005-0000-0000-0000F3A20000}"/>
    <cellStyle name="Note 3 9 3 2 2 2 2" xfId="39922" xr:uid="{00000000-0005-0000-0000-0000F4A20000}"/>
    <cellStyle name="Note 3 9 3 2 2 3" xfId="39921" xr:uid="{00000000-0005-0000-0000-0000F5A20000}"/>
    <cellStyle name="Note 3 9 3 2 3" xfId="16448" xr:uid="{00000000-0005-0000-0000-0000F6A20000}"/>
    <cellStyle name="Note 3 9 3 2 3 2" xfId="39923" xr:uid="{00000000-0005-0000-0000-0000F7A20000}"/>
    <cellStyle name="Note 3 9 3 2 4" xfId="39920" xr:uid="{00000000-0005-0000-0000-0000F8A20000}"/>
    <cellStyle name="Note 3 9 3 3" xfId="16449" xr:uid="{00000000-0005-0000-0000-0000F9A20000}"/>
    <cellStyle name="Note 3 9 3 3 2" xfId="16450" xr:uid="{00000000-0005-0000-0000-0000FAA20000}"/>
    <cellStyle name="Note 3 9 3 3 2 2" xfId="39925" xr:uid="{00000000-0005-0000-0000-0000FBA20000}"/>
    <cellStyle name="Note 3 9 3 3 3" xfId="39924" xr:uid="{00000000-0005-0000-0000-0000FCA20000}"/>
    <cellStyle name="Note 3 9 3 4" xfId="16451" xr:uid="{00000000-0005-0000-0000-0000FDA20000}"/>
    <cellStyle name="Note 3 9 3 4 2" xfId="39926" xr:uid="{00000000-0005-0000-0000-0000FEA20000}"/>
    <cellStyle name="Note 3 9 3 5" xfId="39919" xr:uid="{00000000-0005-0000-0000-0000FFA20000}"/>
    <cellStyle name="Note 3 9 4" xfId="16452" xr:uid="{00000000-0005-0000-0000-000000A30000}"/>
    <cellStyle name="Note 3 9 4 2" xfId="16453" xr:uid="{00000000-0005-0000-0000-000001A30000}"/>
    <cellStyle name="Note 3 9 4 2 2" xfId="16454" xr:uid="{00000000-0005-0000-0000-000002A30000}"/>
    <cellStyle name="Note 3 9 4 2 2 2" xfId="39929" xr:uid="{00000000-0005-0000-0000-000003A30000}"/>
    <cellStyle name="Note 3 9 4 2 3" xfId="39928" xr:uid="{00000000-0005-0000-0000-000004A30000}"/>
    <cellStyle name="Note 3 9 4 3" xfId="16455" xr:uid="{00000000-0005-0000-0000-000005A30000}"/>
    <cellStyle name="Note 3 9 4 3 2" xfId="39930" xr:uid="{00000000-0005-0000-0000-000006A30000}"/>
    <cellStyle name="Note 3 9 4 4" xfId="39927" xr:uid="{00000000-0005-0000-0000-000007A30000}"/>
    <cellStyle name="Note 3 9 5" xfId="16456" xr:uid="{00000000-0005-0000-0000-000008A30000}"/>
    <cellStyle name="Note 3 9 5 2" xfId="16457" xr:uid="{00000000-0005-0000-0000-000009A30000}"/>
    <cellStyle name="Note 3 9 5 2 2" xfId="39932" xr:uid="{00000000-0005-0000-0000-00000AA30000}"/>
    <cellStyle name="Note 3 9 5 3" xfId="39931" xr:uid="{00000000-0005-0000-0000-00000BA30000}"/>
    <cellStyle name="Note 3 9 6" xfId="16458" xr:uid="{00000000-0005-0000-0000-00000CA30000}"/>
    <cellStyle name="Note 3 9 6 2" xfId="39933" xr:uid="{00000000-0005-0000-0000-00000DA30000}"/>
    <cellStyle name="Note 3 9 7" xfId="21892" xr:uid="{00000000-0005-0000-0000-00000EA30000}"/>
    <cellStyle name="Note 3 9 8" xfId="39910" xr:uid="{00000000-0005-0000-0000-00000FA30000}"/>
    <cellStyle name="Note 4" xfId="16459" xr:uid="{00000000-0005-0000-0000-000010A30000}"/>
    <cellStyle name="Note 4 2" xfId="21894" xr:uid="{00000000-0005-0000-0000-000011A30000}"/>
    <cellStyle name="Note 4 2 2" xfId="45181" xr:uid="{00000000-0005-0000-0000-000012A30000}"/>
    <cellStyle name="Note 4 3" xfId="21893" xr:uid="{00000000-0005-0000-0000-000013A30000}"/>
    <cellStyle name="Note 4 3 2" xfId="45180" xr:uid="{00000000-0005-0000-0000-000014A30000}"/>
    <cellStyle name="Note 5" xfId="16460" xr:uid="{00000000-0005-0000-0000-000015A30000}"/>
    <cellStyle name="Note 5 2" xfId="16461" xr:uid="{00000000-0005-0000-0000-000016A30000}"/>
    <cellStyle name="Note 5 2 2" xfId="16462" xr:uid="{00000000-0005-0000-0000-000017A30000}"/>
    <cellStyle name="Note 5 2 2 2" xfId="16463" xr:uid="{00000000-0005-0000-0000-000018A30000}"/>
    <cellStyle name="Note 5 2 2 2 2" xfId="16464" xr:uid="{00000000-0005-0000-0000-000019A30000}"/>
    <cellStyle name="Note 5 2 2 2 2 2" xfId="39938" xr:uid="{00000000-0005-0000-0000-00001AA30000}"/>
    <cellStyle name="Note 5 2 2 2 3" xfId="39937" xr:uid="{00000000-0005-0000-0000-00001BA30000}"/>
    <cellStyle name="Note 5 2 2 3" xfId="16465" xr:uid="{00000000-0005-0000-0000-00001CA30000}"/>
    <cellStyle name="Note 5 2 2 3 2" xfId="39939" xr:uid="{00000000-0005-0000-0000-00001DA30000}"/>
    <cellStyle name="Note 5 2 2 4" xfId="39936" xr:uid="{00000000-0005-0000-0000-00001EA30000}"/>
    <cellStyle name="Note 5 2 3" xfId="16466" xr:uid="{00000000-0005-0000-0000-00001FA30000}"/>
    <cellStyle name="Note 5 2 3 2" xfId="16467" xr:uid="{00000000-0005-0000-0000-000020A30000}"/>
    <cellStyle name="Note 5 2 3 2 2" xfId="39941" xr:uid="{00000000-0005-0000-0000-000021A30000}"/>
    <cellStyle name="Note 5 2 3 3" xfId="39940" xr:uid="{00000000-0005-0000-0000-000022A30000}"/>
    <cellStyle name="Note 5 2 4" xfId="16468" xr:uid="{00000000-0005-0000-0000-000023A30000}"/>
    <cellStyle name="Note 5 2 4 2" xfId="39942" xr:uid="{00000000-0005-0000-0000-000024A30000}"/>
    <cellStyle name="Note 5 2 5" xfId="39935" xr:uid="{00000000-0005-0000-0000-000025A30000}"/>
    <cellStyle name="Note 5 3" xfId="16469" xr:uid="{00000000-0005-0000-0000-000026A30000}"/>
    <cellStyle name="Note 5 3 2" xfId="16470" xr:uid="{00000000-0005-0000-0000-000027A30000}"/>
    <cellStyle name="Note 5 3 2 2" xfId="16471" xr:uid="{00000000-0005-0000-0000-000028A30000}"/>
    <cellStyle name="Note 5 3 2 2 2" xfId="16472" xr:uid="{00000000-0005-0000-0000-000029A30000}"/>
    <cellStyle name="Note 5 3 2 2 2 2" xfId="39946" xr:uid="{00000000-0005-0000-0000-00002AA30000}"/>
    <cellStyle name="Note 5 3 2 2 3" xfId="39945" xr:uid="{00000000-0005-0000-0000-00002BA30000}"/>
    <cellStyle name="Note 5 3 2 3" xfId="16473" xr:uid="{00000000-0005-0000-0000-00002CA30000}"/>
    <cellStyle name="Note 5 3 2 3 2" xfId="39947" xr:uid="{00000000-0005-0000-0000-00002DA30000}"/>
    <cellStyle name="Note 5 3 2 4" xfId="39944" xr:uid="{00000000-0005-0000-0000-00002EA30000}"/>
    <cellStyle name="Note 5 3 3" xfId="16474" xr:uid="{00000000-0005-0000-0000-00002FA30000}"/>
    <cellStyle name="Note 5 3 3 2" xfId="16475" xr:uid="{00000000-0005-0000-0000-000030A30000}"/>
    <cellStyle name="Note 5 3 3 2 2" xfId="39949" xr:uid="{00000000-0005-0000-0000-000031A30000}"/>
    <cellStyle name="Note 5 3 3 3" xfId="39948" xr:uid="{00000000-0005-0000-0000-000032A30000}"/>
    <cellStyle name="Note 5 3 4" xfId="16476" xr:uid="{00000000-0005-0000-0000-000033A30000}"/>
    <cellStyle name="Note 5 3 4 2" xfId="39950" xr:uid="{00000000-0005-0000-0000-000034A30000}"/>
    <cellStyle name="Note 5 3 5" xfId="39943" xr:uid="{00000000-0005-0000-0000-000035A30000}"/>
    <cellStyle name="Note 5 4" xfId="16477" xr:uid="{00000000-0005-0000-0000-000036A30000}"/>
    <cellStyle name="Note 5 4 2" xfId="16478" xr:uid="{00000000-0005-0000-0000-000037A30000}"/>
    <cellStyle name="Note 5 4 2 2" xfId="16479" xr:uid="{00000000-0005-0000-0000-000038A30000}"/>
    <cellStyle name="Note 5 4 2 2 2" xfId="39953" xr:uid="{00000000-0005-0000-0000-000039A30000}"/>
    <cellStyle name="Note 5 4 2 3" xfId="39952" xr:uid="{00000000-0005-0000-0000-00003AA30000}"/>
    <cellStyle name="Note 5 4 3" xfId="16480" xr:uid="{00000000-0005-0000-0000-00003BA30000}"/>
    <cellStyle name="Note 5 4 3 2" xfId="39954" xr:uid="{00000000-0005-0000-0000-00003CA30000}"/>
    <cellStyle name="Note 5 4 4" xfId="39951" xr:uid="{00000000-0005-0000-0000-00003DA30000}"/>
    <cellStyle name="Note 5 5" xfId="16481" xr:uid="{00000000-0005-0000-0000-00003EA30000}"/>
    <cellStyle name="Note 5 5 2" xfId="16482" xr:uid="{00000000-0005-0000-0000-00003FA30000}"/>
    <cellStyle name="Note 5 5 2 2" xfId="39956" xr:uid="{00000000-0005-0000-0000-000040A30000}"/>
    <cellStyle name="Note 5 5 3" xfId="39955" xr:uid="{00000000-0005-0000-0000-000041A30000}"/>
    <cellStyle name="Note 5 6" xfId="16483" xr:uid="{00000000-0005-0000-0000-000042A30000}"/>
    <cellStyle name="Note 5 6 2" xfId="39957" xr:uid="{00000000-0005-0000-0000-000043A30000}"/>
    <cellStyle name="Note 5 7" xfId="39934" xr:uid="{00000000-0005-0000-0000-000044A30000}"/>
    <cellStyle name="Note 6" xfId="16484" xr:uid="{00000000-0005-0000-0000-000045A30000}"/>
    <cellStyle name="Note 6 2" xfId="16485" xr:uid="{00000000-0005-0000-0000-000046A30000}"/>
    <cellStyle name="Note 6 2 2" xfId="39959" xr:uid="{00000000-0005-0000-0000-000047A30000}"/>
    <cellStyle name="Note 6 3" xfId="39958" xr:uid="{00000000-0005-0000-0000-000048A30000}"/>
    <cellStyle name="Output 2" xfId="21895" xr:uid="{00000000-0005-0000-0000-000049A30000}"/>
    <cellStyle name="Output 3" xfId="21896" xr:uid="{00000000-0005-0000-0000-00004AA30000}"/>
    <cellStyle name="Output 3 10" xfId="21897" xr:uid="{00000000-0005-0000-0000-00004BA30000}"/>
    <cellStyle name="Output 3 11" xfId="21898" xr:uid="{00000000-0005-0000-0000-00004CA30000}"/>
    <cellStyle name="Output 3 12" xfId="21899" xr:uid="{00000000-0005-0000-0000-00004DA30000}"/>
    <cellStyle name="Output 3 13" xfId="21900" xr:uid="{00000000-0005-0000-0000-00004EA30000}"/>
    <cellStyle name="Output 3 14" xfId="21901" xr:uid="{00000000-0005-0000-0000-00004FA30000}"/>
    <cellStyle name="Output 3 15" xfId="21902" xr:uid="{00000000-0005-0000-0000-000050A30000}"/>
    <cellStyle name="Output 3 2" xfId="21903" xr:uid="{00000000-0005-0000-0000-000051A30000}"/>
    <cellStyle name="Output 3 3" xfId="21904" xr:uid="{00000000-0005-0000-0000-000052A30000}"/>
    <cellStyle name="Output 3 4" xfId="21905" xr:uid="{00000000-0005-0000-0000-000053A30000}"/>
    <cellStyle name="Output 3 5" xfId="21906" xr:uid="{00000000-0005-0000-0000-000054A30000}"/>
    <cellStyle name="Output 3 6" xfId="21907" xr:uid="{00000000-0005-0000-0000-000055A30000}"/>
    <cellStyle name="Output 3 7" xfId="21908" xr:uid="{00000000-0005-0000-0000-000056A30000}"/>
    <cellStyle name="Output 3 8" xfId="21909" xr:uid="{00000000-0005-0000-0000-000057A30000}"/>
    <cellStyle name="Output 3 9" xfId="21910" xr:uid="{00000000-0005-0000-0000-000058A30000}"/>
    <cellStyle name="Percent" xfId="14" builtinId="5"/>
    <cellStyle name="Percent 10" xfId="148" xr:uid="{00000000-0005-0000-0000-00005AA30000}"/>
    <cellStyle name="Percent 10 10" xfId="23698" xr:uid="{00000000-0005-0000-0000-00005BA30000}"/>
    <cellStyle name="Percent 10 2" xfId="16486" xr:uid="{00000000-0005-0000-0000-00005CA30000}"/>
    <cellStyle name="Percent 10 2 2" xfId="17923" xr:uid="{00000000-0005-0000-0000-00005DA30000}"/>
    <cellStyle name="Percent 10 2 2 2" xfId="21911" xr:uid="{00000000-0005-0000-0000-00005EA30000}"/>
    <cellStyle name="Percent 10 2 2 2 2" xfId="21912" xr:uid="{00000000-0005-0000-0000-00005FA30000}"/>
    <cellStyle name="Percent 10 2 2 2 2 2" xfId="45183" xr:uid="{00000000-0005-0000-0000-000060A30000}"/>
    <cellStyle name="Percent 10 2 2 2 3" xfId="21913" xr:uid="{00000000-0005-0000-0000-000061A30000}"/>
    <cellStyle name="Percent 10 2 2 2 3 2" xfId="45184" xr:uid="{00000000-0005-0000-0000-000062A30000}"/>
    <cellStyle name="Percent 10 2 2 2 4" xfId="45182" xr:uid="{00000000-0005-0000-0000-000063A30000}"/>
    <cellStyle name="Percent 10 2 2 3" xfId="21914" xr:uid="{00000000-0005-0000-0000-000064A30000}"/>
    <cellStyle name="Percent 10 2 2 3 2" xfId="21915" xr:uid="{00000000-0005-0000-0000-000065A30000}"/>
    <cellStyle name="Percent 10 2 2 3 2 2" xfId="45186" xr:uid="{00000000-0005-0000-0000-000066A30000}"/>
    <cellStyle name="Percent 10 2 2 3 3" xfId="45185" xr:uid="{00000000-0005-0000-0000-000067A30000}"/>
    <cellStyle name="Percent 10 2 2 4" xfId="21916" xr:uid="{00000000-0005-0000-0000-000068A30000}"/>
    <cellStyle name="Percent 10 2 2 4 2" xfId="45187" xr:uid="{00000000-0005-0000-0000-000069A30000}"/>
    <cellStyle name="Percent 10 2 2 5" xfId="21917" xr:uid="{00000000-0005-0000-0000-00006AA30000}"/>
    <cellStyle name="Percent 10 2 2 5 2" xfId="45188" xr:uid="{00000000-0005-0000-0000-00006BA30000}"/>
    <cellStyle name="Percent 10 2 2 6" xfId="21918" xr:uid="{00000000-0005-0000-0000-00006CA30000}"/>
    <cellStyle name="Percent 10 2 2 6 2" xfId="45189" xr:uid="{00000000-0005-0000-0000-00006DA30000}"/>
    <cellStyle name="Percent 10 2 2 7" xfId="41383" xr:uid="{00000000-0005-0000-0000-00006EA30000}"/>
    <cellStyle name="Percent 10 2 3" xfId="21919" xr:uid="{00000000-0005-0000-0000-00006FA30000}"/>
    <cellStyle name="Percent 10 2 3 2" xfId="21920" xr:uid="{00000000-0005-0000-0000-000070A30000}"/>
    <cellStyle name="Percent 10 2 3 2 2" xfId="45191" xr:uid="{00000000-0005-0000-0000-000071A30000}"/>
    <cellStyle name="Percent 10 2 3 3" xfId="21921" xr:uid="{00000000-0005-0000-0000-000072A30000}"/>
    <cellStyle name="Percent 10 2 3 3 2" xfId="45192" xr:uid="{00000000-0005-0000-0000-000073A30000}"/>
    <cellStyle name="Percent 10 2 3 4" xfId="45190" xr:uid="{00000000-0005-0000-0000-000074A30000}"/>
    <cellStyle name="Percent 10 2 4" xfId="21922" xr:uid="{00000000-0005-0000-0000-000075A30000}"/>
    <cellStyle name="Percent 10 2 4 2" xfId="21923" xr:uid="{00000000-0005-0000-0000-000076A30000}"/>
    <cellStyle name="Percent 10 2 4 2 2" xfId="45194" xr:uid="{00000000-0005-0000-0000-000077A30000}"/>
    <cellStyle name="Percent 10 2 4 3" xfId="45193" xr:uid="{00000000-0005-0000-0000-000078A30000}"/>
    <cellStyle name="Percent 10 2 5" xfId="21924" xr:uid="{00000000-0005-0000-0000-000079A30000}"/>
    <cellStyle name="Percent 10 2 5 2" xfId="45195" xr:uid="{00000000-0005-0000-0000-00007AA30000}"/>
    <cellStyle name="Percent 10 2 6" xfId="21925" xr:uid="{00000000-0005-0000-0000-00007BA30000}"/>
    <cellStyle name="Percent 10 2 6 2" xfId="45196" xr:uid="{00000000-0005-0000-0000-00007CA30000}"/>
    <cellStyle name="Percent 10 2 7" xfId="21926" xr:uid="{00000000-0005-0000-0000-00007DA30000}"/>
    <cellStyle name="Percent 10 2 7 2" xfId="45197" xr:uid="{00000000-0005-0000-0000-00007EA30000}"/>
    <cellStyle name="Percent 10 2 8" xfId="39960" xr:uid="{00000000-0005-0000-0000-00007FA30000}"/>
    <cellStyle name="Percent 10 3" xfId="17745" xr:uid="{00000000-0005-0000-0000-000080A30000}"/>
    <cellStyle name="Percent 10 3 2" xfId="17977" xr:uid="{00000000-0005-0000-0000-000081A30000}"/>
    <cellStyle name="Percent 10 3 2 2" xfId="21927" xr:uid="{00000000-0005-0000-0000-000082A30000}"/>
    <cellStyle name="Percent 10 3 2 2 2" xfId="21928" xr:uid="{00000000-0005-0000-0000-000083A30000}"/>
    <cellStyle name="Percent 10 3 2 2 2 2" xfId="45199" xr:uid="{00000000-0005-0000-0000-000084A30000}"/>
    <cellStyle name="Percent 10 3 2 2 3" xfId="21929" xr:uid="{00000000-0005-0000-0000-000085A30000}"/>
    <cellStyle name="Percent 10 3 2 2 3 2" xfId="45200" xr:uid="{00000000-0005-0000-0000-000086A30000}"/>
    <cellStyle name="Percent 10 3 2 2 4" xfId="45198" xr:uid="{00000000-0005-0000-0000-000087A30000}"/>
    <cellStyle name="Percent 10 3 2 3" xfId="21930" xr:uid="{00000000-0005-0000-0000-000088A30000}"/>
    <cellStyle name="Percent 10 3 2 3 2" xfId="21931" xr:uid="{00000000-0005-0000-0000-000089A30000}"/>
    <cellStyle name="Percent 10 3 2 3 2 2" xfId="45202" xr:uid="{00000000-0005-0000-0000-00008AA30000}"/>
    <cellStyle name="Percent 10 3 2 3 3" xfId="45201" xr:uid="{00000000-0005-0000-0000-00008BA30000}"/>
    <cellStyle name="Percent 10 3 2 4" xfId="21932" xr:uid="{00000000-0005-0000-0000-00008CA30000}"/>
    <cellStyle name="Percent 10 3 2 4 2" xfId="45203" xr:uid="{00000000-0005-0000-0000-00008DA30000}"/>
    <cellStyle name="Percent 10 3 2 5" xfId="21933" xr:uid="{00000000-0005-0000-0000-00008EA30000}"/>
    <cellStyle name="Percent 10 3 2 5 2" xfId="45204" xr:uid="{00000000-0005-0000-0000-00008FA30000}"/>
    <cellStyle name="Percent 10 3 2 6" xfId="21934" xr:uid="{00000000-0005-0000-0000-000090A30000}"/>
    <cellStyle name="Percent 10 3 2 6 2" xfId="45205" xr:uid="{00000000-0005-0000-0000-000091A30000}"/>
    <cellStyle name="Percent 10 3 2 7" xfId="41437" xr:uid="{00000000-0005-0000-0000-000092A30000}"/>
    <cellStyle name="Percent 10 3 3" xfId="21935" xr:uid="{00000000-0005-0000-0000-000093A30000}"/>
    <cellStyle name="Percent 10 3 3 2" xfId="21936" xr:uid="{00000000-0005-0000-0000-000094A30000}"/>
    <cellStyle name="Percent 10 3 3 2 2" xfId="45207" xr:uid="{00000000-0005-0000-0000-000095A30000}"/>
    <cellStyle name="Percent 10 3 3 3" xfId="21937" xr:uid="{00000000-0005-0000-0000-000096A30000}"/>
    <cellStyle name="Percent 10 3 3 3 2" xfId="45208" xr:uid="{00000000-0005-0000-0000-000097A30000}"/>
    <cellStyle name="Percent 10 3 3 4" xfId="45206" xr:uid="{00000000-0005-0000-0000-000098A30000}"/>
    <cellStyle name="Percent 10 3 4" xfId="21938" xr:uid="{00000000-0005-0000-0000-000099A30000}"/>
    <cellStyle name="Percent 10 3 4 2" xfId="21939" xr:uid="{00000000-0005-0000-0000-00009AA30000}"/>
    <cellStyle name="Percent 10 3 4 2 2" xfId="45210" xr:uid="{00000000-0005-0000-0000-00009BA30000}"/>
    <cellStyle name="Percent 10 3 4 3" xfId="45209" xr:uid="{00000000-0005-0000-0000-00009CA30000}"/>
    <cellStyle name="Percent 10 3 5" xfId="21940" xr:uid="{00000000-0005-0000-0000-00009DA30000}"/>
    <cellStyle name="Percent 10 3 5 2" xfId="45211" xr:uid="{00000000-0005-0000-0000-00009EA30000}"/>
    <cellStyle name="Percent 10 3 6" xfId="21941" xr:uid="{00000000-0005-0000-0000-00009FA30000}"/>
    <cellStyle name="Percent 10 3 6 2" xfId="45212" xr:uid="{00000000-0005-0000-0000-0000A0A30000}"/>
    <cellStyle name="Percent 10 3 7" xfId="21942" xr:uid="{00000000-0005-0000-0000-0000A1A30000}"/>
    <cellStyle name="Percent 10 3 7 2" xfId="45213" xr:uid="{00000000-0005-0000-0000-0000A2A30000}"/>
    <cellStyle name="Percent 10 3 8" xfId="41205" xr:uid="{00000000-0005-0000-0000-0000A3A30000}"/>
    <cellStyle name="Percent 10 4" xfId="17848" xr:uid="{00000000-0005-0000-0000-0000A4A30000}"/>
    <cellStyle name="Percent 10 4 2" xfId="21943" xr:uid="{00000000-0005-0000-0000-0000A5A30000}"/>
    <cellStyle name="Percent 10 4 2 2" xfId="21944" xr:uid="{00000000-0005-0000-0000-0000A6A30000}"/>
    <cellStyle name="Percent 10 4 2 2 2" xfId="45215" xr:uid="{00000000-0005-0000-0000-0000A7A30000}"/>
    <cellStyle name="Percent 10 4 2 3" xfId="21945" xr:uid="{00000000-0005-0000-0000-0000A8A30000}"/>
    <cellStyle name="Percent 10 4 2 3 2" xfId="45216" xr:uid="{00000000-0005-0000-0000-0000A9A30000}"/>
    <cellStyle name="Percent 10 4 2 4" xfId="45214" xr:uid="{00000000-0005-0000-0000-0000AAA30000}"/>
    <cellStyle name="Percent 10 4 3" xfId="21946" xr:uid="{00000000-0005-0000-0000-0000ABA30000}"/>
    <cellStyle name="Percent 10 4 3 2" xfId="21947" xr:uid="{00000000-0005-0000-0000-0000ACA30000}"/>
    <cellStyle name="Percent 10 4 3 2 2" xfId="45218" xr:uid="{00000000-0005-0000-0000-0000ADA30000}"/>
    <cellStyle name="Percent 10 4 3 3" xfId="45217" xr:uid="{00000000-0005-0000-0000-0000AEA30000}"/>
    <cellStyle name="Percent 10 4 4" xfId="21948" xr:uid="{00000000-0005-0000-0000-0000AFA30000}"/>
    <cellStyle name="Percent 10 4 4 2" xfId="45219" xr:uid="{00000000-0005-0000-0000-0000B0A30000}"/>
    <cellStyle name="Percent 10 4 5" xfId="21949" xr:uid="{00000000-0005-0000-0000-0000B1A30000}"/>
    <cellStyle name="Percent 10 4 5 2" xfId="45220" xr:uid="{00000000-0005-0000-0000-0000B2A30000}"/>
    <cellStyle name="Percent 10 4 6" xfId="21950" xr:uid="{00000000-0005-0000-0000-0000B3A30000}"/>
    <cellStyle name="Percent 10 4 6 2" xfId="45221" xr:uid="{00000000-0005-0000-0000-0000B4A30000}"/>
    <cellStyle name="Percent 10 4 7" xfId="41308" xr:uid="{00000000-0005-0000-0000-0000B5A30000}"/>
    <cellStyle name="Percent 10 5" xfId="21951" xr:uid="{00000000-0005-0000-0000-0000B6A30000}"/>
    <cellStyle name="Percent 10 5 2" xfId="21952" xr:uid="{00000000-0005-0000-0000-0000B7A30000}"/>
    <cellStyle name="Percent 10 5 2 2" xfId="45223" xr:uid="{00000000-0005-0000-0000-0000B8A30000}"/>
    <cellStyle name="Percent 10 5 3" xfId="21953" xr:uid="{00000000-0005-0000-0000-0000B9A30000}"/>
    <cellStyle name="Percent 10 5 3 2" xfId="45224" xr:uid="{00000000-0005-0000-0000-0000BAA30000}"/>
    <cellStyle name="Percent 10 5 4" xfId="45222" xr:uid="{00000000-0005-0000-0000-0000BBA30000}"/>
    <cellStyle name="Percent 10 6" xfId="21954" xr:uid="{00000000-0005-0000-0000-0000BCA30000}"/>
    <cellStyle name="Percent 10 6 2" xfId="21955" xr:uid="{00000000-0005-0000-0000-0000BDA30000}"/>
    <cellStyle name="Percent 10 6 2 2" xfId="45226" xr:uid="{00000000-0005-0000-0000-0000BEA30000}"/>
    <cellStyle name="Percent 10 6 3" xfId="45225" xr:uid="{00000000-0005-0000-0000-0000BFA30000}"/>
    <cellStyle name="Percent 10 7" xfId="21956" xr:uid="{00000000-0005-0000-0000-0000C0A30000}"/>
    <cellStyle name="Percent 10 7 2" xfId="45227" xr:uid="{00000000-0005-0000-0000-0000C1A30000}"/>
    <cellStyle name="Percent 10 8" xfId="21957" xr:uid="{00000000-0005-0000-0000-0000C2A30000}"/>
    <cellStyle name="Percent 10 8 2" xfId="45228" xr:uid="{00000000-0005-0000-0000-0000C3A30000}"/>
    <cellStyle name="Percent 10 9" xfId="21958" xr:uid="{00000000-0005-0000-0000-0000C4A30000}"/>
    <cellStyle name="Percent 10 9 2" xfId="45229" xr:uid="{00000000-0005-0000-0000-0000C5A30000}"/>
    <cellStyle name="Percent 11" xfId="149" xr:uid="{00000000-0005-0000-0000-0000C6A30000}"/>
    <cellStyle name="Percent 11 10" xfId="23699" xr:uid="{00000000-0005-0000-0000-0000C7A30000}"/>
    <cellStyle name="Percent 11 2" xfId="16487" xr:uid="{00000000-0005-0000-0000-0000C8A30000}"/>
    <cellStyle name="Percent 11 2 2" xfId="17925" xr:uid="{00000000-0005-0000-0000-0000C9A30000}"/>
    <cellStyle name="Percent 11 2 2 2" xfId="21959" xr:uid="{00000000-0005-0000-0000-0000CAA30000}"/>
    <cellStyle name="Percent 11 2 2 2 2" xfId="21960" xr:uid="{00000000-0005-0000-0000-0000CBA30000}"/>
    <cellStyle name="Percent 11 2 2 2 2 2" xfId="45231" xr:uid="{00000000-0005-0000-0000-0000CCA30000}"/>
    <cellStyle name="Percent 11 2 2 2 3" xfId="21961" xr:uid="{00000000-0005-0000-0000-0000CDA30000}"/>
    <cellStyle name="Percent 11 2 2 2 3 2" xfId="45232" xr:uid="{00000000-0005-0000-0000-0000CEA30000}"/>
    <cellStyle name="Percent 11 2 2 2 4" xfId="45230" xr:uid="{00000000-0005-0000-0000-0000CFA30000}"/>
    <cellStyle name="Percent 11 2 2 3" xfId="21962" xr:uid="{00000000-0005-0000-0000-0000D0A30000}"/>
    <cellStyle name="Percent 11 2 2 3 2" xfId="21963" xr:uid="{00000000-0005-0000-0000-0000D1A30000}"/>
    <cellStyle name="Percent 11 2 2 3 2 2" xfId="45234" xr:uid="{00000000-0005-0000-0000-0000D2A30000}"/>
    <cellStyle name="Percent 11 2 2 3 3" xfId="45233" xr:uid="{00000000-0005-0000-0000-0000D3A30000}"/>
    <cellStyle name="Percent 11 2 2 4" xfId="21964" xr:uid="{00000000-0005-0000-0000-0000D4A30000}"/>
    <cellStyle name="Percent 11 2 2 4 2" xfId="45235" xr:uid="{00000000-0005-0000-0000-0000D5A30000}"/>
    <cellStyle name="Percent 11 2 2 5" xfId="21965" xr:uid="{00000000-0005-0000-0000-0000D6A30000}"/>
    <cellStyle name="Percent 11 2 2 5 2" xfId="45236" xr:uid="{00000000-0005-0000-0000-0000D7A30000}"/>
    <cellStyle name="Percent 11 2 2 6" xfId="21966" xr:uid="{00000000-0005-0000-0000-0000D8A30000}"/>
    <cellStyle name="Percent 11 2 2 6 2" xfId="45237" xr:uid="{00000000-0005-0000-0000-0000D9A30000}"/>
    <cellStyle name="Percent 11 2 2 7" xfId="41385" xr:uid="{00000000-0005-0000-0000-0000DAA30000}"/>
    <cellStyle name="Percent 11 2 3" xfId="21967" xr:uid="{00000000-0005-0000-0000-0000DBA30000}"/>
    <cellStyle name="Percent 11 2 3 2" xfId="21968" xr:uid="{00000000-0005-0000-0000-0000DCA30000}"/>
    <cellStyle name="Percent 11 2 3 2 2" xfId="45239" xr:uid="{00000000-0005-0000-0000-0000DDA30000}"/>
    <cellStyle name="Percent 11 2 3 3" xfId="21969" xr:uid="{00000000-0005-0000-0000-0000DEA30000}"/>
    <cellStyle name="Percent 11 2 3 3 2" xfId="45240" xr:uid="{00000000-0005-0000-0000-0000DFA30000}"/>
    <cellStyle name="Percent 11 2 3 4" xfId="45238" xr:uid="{00000000-0005-0000-0000-0000E0A30000}"/>
    <cellStyle name="Percent 11 2 4" xfId="21970" xr:uid="{00000000-0005-0000-0000-0000E1A30000}"/>
    <cellStyle name="Percent 11 2 4 2" xfId="21971" xr:uid="{00000000-0005-0000-0000-0000E2A30000}"/>
    <cellStyle name="Percent 11 2 4 2 2" xfId="45242" xr:uid="{00000000-0005-0000-0000-0000E3A30000}"/>
    <cellStyle name="Percent 11 2 4 3" xfId="45241" xr:uid="{00000000-0005-0000-0000-0000E4A30000}"/>
    <cellStyle name="Percent 11 2 5" xfId="21972" xr:uid="{00000000-0005-0000-0000-0000E5A30000}"/>
    <cellStyle name="Percent 11 2 5 2" xfId="45243" xr:uid="{00000000-0005-0000-0000-0000E6A30000}"/>
    <cellStyle name="Percent 11 2 6" xfId="21973" xr:uid="{00000000-0005-0000-0000-0000E7A30000}"/>
    <cellStyle name="Percent 11 2 6 2" xfId="45244" xr:uid="{00000000-0005-0000-0000-0000E8A30000}"/>
    <cellStyle name="Percent 11 2 7" xfId="21974" xr:uid="{00000000-0005-0000-0000-0000E9A30000}"/>
    <cellStyle name="Percent 11 2 7 2" xfId="45245" xr:uid="{00000000-0005-0000-0000-0000EAA30000}"/>
    <cellStyle name="Percent 11 2 8" xfId="39961" xr:uid="{00000000-0005-0000-0000-0000EBA30000}"/>
    <cellStyle name="Percent 11 3" xfId="17763" xr:uid="{00000000-0005-0000-0000-0000ECA30000}"/>
    <cellStyle name="Percent 11 3 2" xfId="17997" xr:uid="{00000000-0005-0000-0000-0000EDA30000}"/>
    <cellStyle name="Percent 11 3 2 2" xfId="21975" xr:uid="{00000000-0005-0000-0000-0000EEA30000}"/>
    <cellStyle name="Percent 11 3 2 2 2" xfId="21976" xr:uid="{00000000-0005-0000-0000-0000EFA30000}"/>
    <cellStyle name="Percent 11 3 2 2 2 2" xfId="45247" xr:uid="{00000000-0005-0000-0000-0000F0A30000}"/>
    <cellStyle name="Percent 11 3 2 2 3" xfId="21977" xr:uid="{00000000-0005-0000-0000-0000F1A30000}"/>
    <cellStyle name="Percent 11 3 2 2 3 2" xfId="45248" xr:uid="{00000000-0005-0000-0000-0000F2A30000}"/>
    <cellStyle name="Percent 11 3 2 2 4" xfId="45246" xr:uid="{00000000-0005-0000-0000-0000F3A30000}"/>
    <cellStyle name="Percent 11 3 2 3" xfId="21978" xr:uid="{00000000-0005-0000-0000-0000F4A30000}"/>
    <cellStyle name="Percent 11 3 2 3 2" xfId="21979" xr:uid="{00000000-0005-0000-0000-0000F5A30000}"/>
    <cellStyle name="Percent 11 3 2 3 2 2" xfId="45250" xr:uid="{00000000-0005-0000-0000-0000F6A30000}"/>
    <cellStyle name="Percent 11 3 2 3 3" xfId="45249" xr:uid="{00000000-0005-0000-0000-0000F7A30000}"/>
    <cellStyle name="Percent 11 3 2 4" xfId="21980" xr:uid="{00000000-0005-0000-0000-0000F8A30000}"/>
    <cellStyle name="Percent 11 3 2 4 2" xfId="45251" xr:uid="{00000000-0005-0000-0000-0000F9A30000}"/>
    <cellStyle name="Percent 11 3 2 5" xfId="21981" xr:uid="{00000000-0005-0000-0000-0000FAA30000}"/>
    <cellStyle name="Percent 11 3 2 5 2" xfId="45252" xr:uid="{00000000-0005-0000-0000-0000FBA30000}"/>
    <cellStyle name="Percent 11 3 2 6" xfId="21982" xr:uid="{00000000-0005-0000-0000-0000FCA30000}"/>
    <cellStyle name="Percent 11 3 2 6 2" xfId="45253" xr:uid="{00000000-0005-0000-0000-0000FDA30000}"/>
    <cellStyle name="Percent 11 3 2 7" xfId="41457" xr:uid="{00000000-0005-0000-0000-0000FEA30000}"/>
    <cellStyle name="Percent 11 3 3" xfId="21983" xr:uid="{00000000-0005-0000-0000-0000FFA30000}"/>
    <cellStyle name="Percent 11 3 3 2" xfId="21984" xr:uid="{00000000-0005-0000-0000-000000A40000}"/>
    <cellStyle name="Percent 11 3 3 2 2" xfId="45255" xr:uid="{00000000-0005-0000-0000-000001A40000}"/>
    <cellStyle name="Percent 11 3 3 3" xfId="21985" xr:uid="{00000000-0005-0000-0000-000002A40000}"/>
    <cellStyle name="Percent 11 3 3 3 2" xfId="45256" xr:uid="{00000000-0005-0000-0000-000003A40000}"/>
    <cellStyle name="Percent 11 3 3 4" xfId="45254" xr:uid="{00000000-0005-0000-0000-000004A40000}"/>
    <cellStyle name="Percent 11 3 4" xfId="21986" xr:uid="{00000000-0005-0000-0000-000005A40000}"/>
    <cellStyle name="Percent 11 3 4 2" xfId="21987" xr:uid="{00000000-0005-0000-0000-000006A40000}"/>
    <cellStyle name="Percent 11 3 4 2 2" xfId="45258" xr:uid="{00000000-0005-0000-0000-000007A40000}"/>
    <cellStyle name="Percent 11 3 4 3" xfId="45257" xr:uid="{00000000-0005-0000-0000-000008A40000}"/>
    <cellStyle name="Percent 11 3 5" xfId="21988" xr:uid="{00000000-0005-0000-0000-000009A40000}"/>
    <cellStyle name="Percent 11 3 5 2" xfId="45259" xr:uid="{00000000-0005-0000-0000-00000AA40000}"/>
    <cellStyle name="Percent 11 3 6" xfId="21989" xr:uid="{00000000-0005-0000-0000-00000BA40000}"/>
    <cellStyle name="Percent 11 3 6 2" xfId="45260" xr:uid="{00000000-0005-0000-0000-00000CA40000}"/>
    <cellStyle name="Percent 11 3 7" xfId="21990" xr:uid="{00000000-0005-0000-0000-00000DA40000}"/>
    <cellStyle name="Percent 11 3 7 2" xfId="45261" xr:uid="{00000000-0005-0000-0000-00000EA40000}"/>
    <cellStyle name="Percent 11 3 8" xfId="41223" xr:uid="{00000000-0005-0000-0000-00000FA40000}"/>
    <cellStyle name="Percent 11 4" xfId="17850" xr:uid="{00000000-0005-0000-0000-000010A40000}"/>
    <cellStyle name="Percent 11 4 2" xfId="21991" xr:uid="{00000000-0005-0000-0000-000011A40000}"/>
    <cellStyle name="Percent 11 4 2 2" xfId="21992" xr:uid="{00000000-0005-0000-0000-000012A40000}"/>
    <cellStyle name="Percent 11 4 2 2 2" xfId="45263" xr:uid="{00000000-0005-0000-0000-000013A40000}"/>
    <cellStyle name="Percent 11 4 2 3" xfId="21993" xr:uid="{00000000-0005-0000-0000-000014A40000}"/>
    <cellStyle name="Percent 11 4 2 3 2" xfId="45264" xr:uid="{00000000-0005-0000-0000-000015A40000}"/>
    <cellStyle name="Percent 11 4 2 4" xfId="45262" xr:uid="{00000000-0005-0000-0000-000016A40000}"/>
    <cellStyle name="Percent 11 4 3" xfId="21994" xr:uid="{00000000-0005-0000-0000-000017A40000}"/>
    <cellStyle name="Percent 11 4 3 2" xfId="21995" xr:uid="{00000000-0005-0000-0000-000018A40000}"/>
    <cellStyle name="Percent 11 4 3 2 2" xfId="45266" xr:uid="{00000000-0005-0000-0000-000019A40000}"/>
    <cellStyle name="Percent 11 4 3 3" xfId="45265" xr:uid="{00000000-0005-0000-0000-00001AA40000}"/>
    <cellStyle name="Percent 11 4 4" xfId="21996" xr:uid="{00000000-0005-0000-0000-00001BA40000}"/>
    <cellStyle name="Percent 11 4 4 2" xfId="45267" xr:uid="{00000000-0005-0000-0000-00001CA40000}"/>
    <cellStyle name="Percent 11 4 5" xfId="21997" xr:uid="{00000000-0005-0000-0000-00001DA40000}"/>
    <cellStyle name="Percent 11 4 5 2" xfId="45268" xr:uid="{00000000-0005-0000-0000-00001EA40000}"/>
    <cellStyle name="Percent 11 4 6" xfId="21998" xr:uid="{00000000-0005-0000-0000-00001FA40000}"/>
    <cellStyle name="Percent 11 4 6 2" xfId="45269" xr:uid="{00000000-0005-0000-0000-000020A40000}"/>
    <cellStyle name="Percent 11 4 7" xfId="41310" xr:uid="{00000000-0005-0000-0000-000021A40000}"/>
    <cellStyle name="Percent 11 5" xfId="21999" xr:uid="{00000000-0005-0000-0000-000022A40000}"/>
    <cellStyle name="Percent 11 5 2" xfId="22000" xr:uid="{00000000-0005-0000-0000-000023A40000}"/>
    <cellStyle name="Percent 11 5 2 2" xfId="45271" xr:uid="{00000000-0005-0000-0000-000024A40000}"/>
    <cellStyle name="Percent 11 5 3" xfId="22001" xr:uid="{00000000-0005-0000-0000-000025A40000}"/>
    <cellStyle name="Percent 11 5 3 2" xfId="45272" xr:uid="{00000000-0005-0000-0000-000026A40000}"/>
    <cellStyle name="Percent 11 5 4" xfId="45270" xr:uid="{00000000-0005-0000-0000-000027A40000}"/>
    <cellStyle name="Percent 11 6" xfId="22002" xr:uid="{00000000-0005-0000-0000-000028A40000}"/>
    <cellStyle name="Percent 11 6 2" xfId="22003" xr:uid="{00000000-0005-0000-0000-000029A40000}"/>
    <cellStyle name="Percent 11 6 2 2" xfId="45274" xr:uid="{00000000-0005-0000-0000-00002AA40000}"/>
    <cellStyle name="Percent 11 6 3" xfId="45273" xr:uid="{00000000-0005-0000-0000-00002BA40000}"/>
    <cellStyle name="Percent 11 7" xfId="22004" xr:uid="{00000000-0005-0000-0000-00002CA40000}"/>
    <cellStyle name="Percent 11 7 2" xfId="45275" xr:uid="{00000000-0005-0000-0000-00002DA40000}"/>
    <cellStyle name="Percent 11 8" xfId="22005" xr:uid="{00000000-0005-0000-0000-00002EA40000}"/>
    <cellStyle name="Percent 11 8 2" xfId="45276" xr:uid="{00000000-0005-0000-0000-00002FA40000}"/>
    <cellStyle name="Percent 11 9" xfId="22006" xr:uid="{00000000-0005-0000-0000-000030A40000}"/>
    <cellStyle name="Percent 11 9 2" xfId="45277" xr:uid="{00000000-0005-0000-0000-000031A40000}"/>
    <cellStyle name="Percent 12" xfId="18032" xr:uid="{00000000-0005-0000-0000-000032A40000}"/>
    <cellStyle name="Percent 12 2" xfId="22007" xr:uid="{00000000-0005-0000-0000-000033A40000}"/>
    <cellStyle name="Percent 12 2 2" xfId="45278" xr:uid="{00000000-0005-0000-0000-000034A40000}"/>
    <cellStyle name="Percent 13" xfId="22008" xr:uid="{00000000-0005-0000-0000-000035A40000}"/>
    <cellStyle name="Percent 14" xfId="22009" xr:uid="{00000000-0005-0000-0000-000036A40000}"/>
    <cellStyle name="Percent 14 2" xfId="22010" xr:uid="{00000000-0005-0000-0000-000037A40000}"/>
    <cellStyle name="Percent 14 2 2" xfId="45279" xr:uid="{00000000-0005-0000-0000-000038A40000}"/>
    <cellStyle name="Percent 15" xfId="22011" xr:uid="{00000000-0005-0000-0000-000039A40000}"/>
    <cellStyle name="Percent 15 2" xfId="22012" xr:uid="{00000000-0005-0000-0000-00003AA40000}"/>
    <cellStyle name="Percent 15 2 2" xfId="45281" xr:uid="{00000000-0005-0000-0000-00003BA40000}"/>
    <cellStyle name="Percent 15 3" xfId="45280" xr:uid="{00000000-0005-0000-0000-00003CA40000}"/>
    <cellStyle name="Percent 16" xfId="22013" xr:uid="{00000000-0005-0000-0000-00003DA40000}"/>
    <cellStyle name="Percent 16 2" xfId="45282" xr:uid="{00000000-0005-0000-0000-00003EA40000}"/>
    <cellStyle name="Percent 17" xfId="22014" xr:uid="{00000000-0005-0000-0000-00003FA40000}"/>
    <cellStyle name="Percent 17 2" xfId="45283" xr:uid="{00000000-0005-0000-0000-000040A40000}"/>
    <cellStyle name="Percent 18" xfId="23627" xr:uid="{00000000-0005-0000-0000-000041A40000}"/>
    <cellStyle name="Percent 19" xfId="23621" xr:uid="{00000000-0005-0000-0000-000042A40000}"/>
    <cellStyle name="Percent 2" xfId="20" xr:uid="{00000000-0005-0000-0000-000043A40000}"/>
    <cellStyle name="Percent 2 2" xfId="150" xr:uid="{00000000-0005-0000-0000-000044A40000}"/>
    <cellStyle name="Percent 2 2 2" xfId="151" xr:uid="{00000000-0005-0000-0000-000045A40000}"/>
    <cellStyle name="Percent 2 2 3" xfId="16489" xr:uid="{00000000-0005-0000-0000-000046A40000}"/>
    <cellStyle name="Percent 2 2 4" xfId="16488" xr:uid="{00000000-0005-0000-0000-000047A40000}"/>
    <cellStyle name="Percent 2 3" xfId="152" xr:uid="{00000000-0005-0000-0000-000048A40000}"/>
    <cellStyle name="Percent 2 4" xfId="153" xr:uid="{00000000-0005-0000-0000-000049A40000}"/>
    <cellStyle name="Percent 3" xfId="154" xr:uid="{00000000-0005-0000-0000-00004AA40000}"/>
    <cellStyle name="Percent 3 10" xfId="16490" xr:uid="{00000000-0005-0000-0000-00004BA40000}"/>
    <cellStyle name="Percent 3 10 2" xfId="16491" xr:uid="{00000000-0005-0000-0000-00004CA40000}"/>
    <cellStyle name="Percent 3 10 2 2" xfId="16492" xr:uid="{00000000-0005-0000-0000-00004DA40000}"/>
    <cellStyle name="Percent 3 10 2 2 2" xfId="16493" xr:uid="{00000000-0005-0000-0000-00004EA40000}"/>
    <cellStyle name="Percent 3 10 2 2 2 2" xfId="16494" xr:uid="{00000000-0005-0000-0000-00004FA40000}"/>
    <cellStyle name="Percent 3 10 2 2 2 2 2" xfId="39966" xr:uid="{00000000-0005-0000-0000-000050A40000}"/>
    <cellStyle name="Percent 3 10 2 2 2 3" xfId="39965" xr:uid="{00000000-0005-0000-0000-000051A40000}"/>
    <cellStyle name="Percent 3 10 2 2 3" xfId="16495" xr:uid="{00000000-0005-0000-0000-000052A40000}"/>
    <cellStyle name="Percent 3 10 2 2 3 2" xfId="39967" xr:uid="{00000000-0005-0000-0000-000053A40000}"/>
    <cellStyle name="Percent 3 10 2 2 4" xfId="39964" xr:uid="{00000000-0005-0000-0000-000054A40000}"/>
    <cellStyle name="Percent 3 10 2 3" xfId="16496" xr:uid="{00000000-0005-0000-0000-000055A40000}"/>
    <cellStyle name="Percent 3 10 2 3 2" xfId="16497" xr:uid="{00000000-0005-0000-0000-000056A40000}"/>
    <cellStyle name="Percent 3 10 2 3 2 2" xfId="39969" xr:uid="{00000000-0005-0000-0000-000057A40000}"/>
    <cellStyle name="Percent 3 10 2 3 3" xfId="39968" xr:uid="{00000000-0005-0000-0000-000058A40000}"/>
    <cellStyle name="Percent 3 10 2 4" xfId="16498" xr:uid="{00000000-0005-0000-0000-000059A40000}"/>
    <cellStyle name="Percent 3 10 2 4 2" xfId="39970" xr:uid="{00000000-0005-0000-0000-00005AA40000}"/>
    <cellStyle name="Percent 3 10 2 5" xfId="39963" xr:uid="{00000000-0005-0000-0000-00005BA40000}"/>
    <cellStyle name="Percent 3 10 3" xfId="16499" xr:uid="{00000000-0005-0000-0000-00005CA40000}"/>
    <cellStyle name="Percent 3 10 3 2" xfId="16500" xr:uid="{00000000-0005-0000-0000-00005DA40000}"/>
    <cellStyle name="Percent 3 10 3 2 2" xfId="16501" xr:uid="{00000000-0005-0000-0000-00005EA40000}"/>
    <cellStyle name="Percent 3 10 3 2 2 2" xfId="16502" xr:uid="{00000000-0005-0000-0000-00005FA40000}"/>
    <cellStyle name="Percent 3 10 3 2 2 2 2" xfId="39974" xr:uid="{00000000-0005-0000-0000-000060A40000}"/>
    <cellStyle name="Percent 3 10 3 2 2 3" xfId="39973" xr:uid="{00000000-0005-0000-0000-000061A40000}"/>
    <cellStyle name="Percent 3 10 3 2 3" xfId="16503" xr:uid="{00000000-0005-0000-0000-000062A40000}"/>
    <cellStyle name="Percent 3 10 3 2 3 2" xfId="39975" xr:uid="{00000000-0005-0000-0000-000063A40000}"/>
    <cellStyle name="Percent 3 10 3 2 4" xfId="39972" xr:uid="{00000000-0005-0000-0000-000064A40000}"/>
    <cellStyle name="Percent 3 10 3 3" xfId="16504" xr:uid="{00000000-0005-0000-0000-000065A40000}"/>
    <cellStyle name="Percent 3 10 3 3 2" xfId="16505" xr:uid="{00000000-0005-0000-0000-000066A40000}"/>
    <cellStyle name="Percent 3 10 3 3 2 2" xfId="39977" xr:uid="{00000000-0005-0000-0000-000067A40000}"/>
    <cellStyle name="Percent 3 10 3 3 3" xfId="39976" xr:uid="{00000000-0005-0000-0000-000068A40000}"/>
    <cellStyle name="Percent 3 10 3 4" xfId="16506" xr:uid="{00000000-0005-0000-0000-000069A40000}"/>
    <cellStyle name="Percent 3 10 3 4 2" xfId="39978" xr:uid="{00000000-0005-0000-0000-00006AA40000}"/>
    <cellStyle name="Percent 3 10 3 5" xfId="39971" xr:uid="{00000000-0005-0000-0000-00006BA40000}"/>
    <cellStyle name="Percent 3 10 4" xfId="16507" xr:uid="{00000000-0005-0000-0000-00006CA40000}"/>
    <cellStyle name="Percent 3 10 4 2" xfId="16508" xr:uid="{00000000-0005-0000-0000-00006DA40000}"/>
    <cellStyle name="Percent 3 10 4 2 2" xfId="16509" xr:uid="{00000000-0005-0000-0000-00006EA40000}"/>
    <cellStyle name="Percent 3 10 4 2 2 2" xfId="39981" xr:uid="{00000000-0005-0000-0000-00006FA40000}"/>
    <cellStyle name="Percent 3 10 4 2 3" xfId="39980" xr:uid="{00000000-0005-0000-0000-000070A40000}"/>
    <cellStyle name="Percent 3 10 4 3" xfId="16510" xr:uid="{00000000-0005-0000-0000-000071A40000}"/>
    <cellStyle name="Percent 3 10 4 3 2" xfId="39982" xr:uid="{00000000-0005-0000-0000-000072A40000}"/>
    <cellStyle name="Percent 3 10 4 4" xfId="39979" xr:uid="{00000000-0005-0000-0000-000073A40000}"/>
    <cellStyle name="Percent 3 10 5" xfId="16511" xr:uid="{00000000-0005-0000-0000-000074A40000}"/>
    <cellStyle name="Percent 3 10 5 2" xfId="16512" xr:uid="{00000000-0005-0000-0000-000075A40000}"/>
    <cellStyle name="Percent 3 10 5 2 2" xfId="39984" xr:uid="{00000000-0005-0000-0000-000076A40000}"/>
    <cellStyle name="Percent 3 10 5 3" xfId="39983" xr:uid="{00000000-0005-0000-0000-000077A40000}"/>
    <cellStyle name="Percent 3 10 6" xfId="16513" xr:uid="{00000000-0005-0000-0000-000078A40000}"/>
    <cellStyle name="Percent 3 10 6 2" xfId="39985" xr:uid="{00000000-0005-0000-0000-000079A40000}"/>
    <cellStyle name="Percent 3 10 7" xfId="39962" xr:uid="{00000000-0005-0000-0000-00007AA40000}"/>
    <cellStyle name="Percent 3 11" xfId="16514" xr:uid="{00000000-0005-0000-0000-00007BA40000}"/>
    <cellStyle name="Percent 3 11 2" xfId="16515" xr:uid="{00000000-0005-0000-0000-00007CA40000}"/>
    <cellStyle name="Percent 3 11 2 2" xfId="16516" xr:uid="{00000000-0005-0000-0000-00007DA40000}"/>
    <cellStyle name="Percent 3 11 2 2 2" xfId="16517" xr:uid="{00000000-0005-0000-0000-00007EA40000}"/>
    <cellStyle name="Percent 3 11 2 2 2 2" xfId="16518" xr:uid="{00000000-0005-0000-0000-00007FA40000}"/>
    <cellStyle name="Percent 3 11 2 2 2 2 2" xfId="39990" xr:uid="{00000000-0005-0000-0000-000080A40000}"/>
    <cellStyle name="Percent 3 11 2 2 2 3" xfId="39989" xr:uid="{00000000-0005-0000-0000-000081A40000}"/>
    <cellStyle name="Percent 3 11 2 2 3" xfId="16519" xr:uid="{00000000-0005-0000-0000-000082A40000}"/>
    <cellStyle name="Percent 3 11 2 2 3 2" xfId="39991" xr:uid="{00000000-0005-0000-0000-000083A40000}"/>
    <cellStyle name="Percent 3 11 2 2 4" xfId="39988" xr:uid="{00000000-0005-0000-0000-000084A40000}"/>
    <cellStyle name="Percent 3 11 2 3" xfId="16520" xr:uid="{00000000-0005-0000-0000-000085A40000}"/>
    <cellStyle name="Percent 3 11 2 3 2" xfId="16521" xr:uid="{00000000-0005-0000-0000-000086A40000}"/>
    <cellStyle name="Percent 3 11 2 3 2 2" xfId="39993" xr:uid="{00000000-0005-0000-0000-000087A40000}"/>
    <cellStyle name="Percent 3 11 2 3 3" xfId="39992" xr:uid="{00000000-0005-0000-0000-000088A40000}"/>
    <cellStyle name="Percent 3 11 2 4" xfId="16522" xr:uid="{00000000-0005-0000-0000-000089A40000}"/>
    <cellStyle name="Percent 3 11 2 4 2" xfId="39994" xr:uid="{00000000-0005-0000-0000-00008AA40000}"/>
    <cellStyle name="Percent 3 11 2 5" xfId="39987" xr:uid="{00000000-0005-0000-0000-00008BA40000}"/>
    <cellStyle name="Percent 3 11 3" xfId="16523" xr:uid="{00000000-0005-0000-0000-00008CA40000}"/>
    <cellStyle name="Percent 3 11 3 2" xfId="16524" xr:uid="{00000000-0005-0000-0000-00008DA40000}"/>
    <cellStyle name="Percent 3 11 3 2 2" xfId="16525" xr:uid="{00000000-0005-0000-0000-00008EA40000}"/>
    <cellStyle name="Percent 3 11 3 2 2 2" xfId="16526" xr:uid="{00000000-0005-0000-0000-00008FA40000}"/>
    <cellStyle name="Percent 3 11 3 2 2 2 2" xfId="39998" xr:uid="{00000000-0005-0000-0000-000090A40000}"/>
    <cellStyle name="Percent 3 11 3 2 2 3" xfId="39997" xr:uid="{00000000-0005-0000-0000-000091A40000}"/>
    <cellStyle name="Percent 3 11 3 2 3" xfId="16527" xr:uid="{00000000-0005-0000-0000-000092A40000}"/>
    <cellStyle name="Percent 3 11 3 2 3 2" xfId="39999" xr:uid="{00000000-0005-0000-0000-000093A40000}"/>
    <cellStyle name="Percent 3 11 3 2 4" xfId="39996" xr:uid="{00000000-0005-0000-0000-000094A40000}"/>
    <cellStyle name="Percent 3 11 3 3" xfId="16528" xr:uid="{00000000-0005-0000-0000-000095A40000}"/>
    <cellStyle name="Percent 3 11 3 3 2" xfId="16529" xr:uid="{00000000-0005-0000-0000-000096A40000}"/>
    <cellStyle name="Percent 3 11 3 3 2 2" xfId="40001" xr:uid="{00000000-0005-0000-0000-000097A40000}"/>
    <cellStyle name="Percent 3 11 3 3 3" xfId="40000" xr:uid="{00000000-0005-0000-0000-000098A40000}"/>
    <cellStyle name="Percent 3 11 3 4" xfId="16530" xr:uid="{00000000-0005-0000-0000-000099A40000}"/>
    <cellStyle name="Percent 3 11 3 4 2" xfId="40002" xr:uid="{00000000-0005-0000-0000-00009AA40000}"/>
    <cellStyle name="Percent 3 11 3 5" xfId="39995" xr:uid="{00000000-0005-0000-0000-00009BA40000}"/>
    <cellStyle name="Percent 3 11 4" xfId="16531" xr:uid="{00000000-0005-0000-0000-00009CA40000}"/>
    <cellStyle name="Percent 3 11 4 2" xfId="16532" xr:uid="{00000000-0005-0000-0000-00009DA40000}"/>
    <cellStyle name="Percent 3 11 4 2 2" xfId="16533" xr:uid="{00000000-0005-0000-0000-00009EA40000}"/>
    <cellStyle name="Percent 3 11 4 2 2 2" xfId="40005" xr:uid="{00000000-0005-0000-0000-00009FA40000}"/>
    <cellStyle name="Percent 3 11 4 2 3" xfId="40004" xr:uid="{00000000-0005-0000-0000-0000A0A40000}"/>
    <cellStyle name="Percent 3 11 4 3" xfId="16534" xr:uid="{00000000-0005-0000-0000-0000A1A40000}"/>
    <cellStyle name="Percent 3 11 4 3 2" xfId="40006" xr:uid="{00000000-0005-0000-0000-0000A2A40000}"/>
    <cellStyle name="Percent 3 11 4 4" xfId="40003" xr:uid="{00000000-0005-0000-0000-0000A3A40000}"/>
    <cellStyle name="Percent 3 11 5" xfId="16535" xr:uid="{00000000-0005-0000-0000-0000A4A40000}"/>
    <cellStyle name="Percent 3 11 5 2" xfId="16536" xr:uid="{00000000-0005-0000-0000-0000A5A40000}"/>
    <cellStyle name="Percent 3 11 5 2 2" xfId="40008" xr:uid="{00000000-0005-0000-0000-0000A6A40000}"/>
    <cellStyle name="Percent 3 11 5 3" xfId="40007" xr:uid="{00000000-0005-0000-0000-0000A7A40000}"/>
    <cellStyle name="Percent 3 11 6" xfId="16537" xr:uid="{00000000-0005-0000-0000-0000A8A40000}"/>
    <cellStyle name="Percent 3 11 6 2" xfId="40009" xr:uid="{00000000-0005-0000-0000-0000A9A40000}"/>
    <cellStyle name="Percent 3 11 7" xfId="39986" xr:uid="{00000000-0005-0000-0000-0000AAA40000}"/>
    <cellStyle name="Percent 3 12" xfId="16538" xr:uid="{00000000-0005-0000-0000-0000ABA40000}"/>
    <cellStyle name="Percent 3 12 2" xfId="16539" xr:uid="{00000000-0005-0000-0000-0000ACA40000}"/>
    <cellStyle name="Percent 3 12 2 2" xfId="16540" xr:uid="{00000000-0005-0000-0000-0000ADA40000}"/>
    <cellStyle name="Percent 3 12 2 2 2" xfId="16541" xr:uid="{00000000-0005-0000-0000-0000AEA40000}"/>
    <cellStyle name="Percent 3 12 2 2 2 2" xfId="40013" xr:uid="{00000000-0005-0000-0000-0000AFA40000}"/>
    <cellStyle name="Percent 3 12 2 2 3" xfId="40012" xr:uid="{00000000-0005-0000-0000-0000B0A40000}"/>
    <cellStyle name="Percent 3 12 2 3" xfId="16542" xr:uid="{00000000-0005-0000-0000-0000B1A40000}"/>
    <cellStyle name="Percent 3 12 2 3 2" xfId="40014" xr:uid="{00000000-0005-0000-0000-0000B2A40000}"/>
    <cellStyle name="Percent 3 12 2 4" xfId="40011" xr:uid="{00000000-0005-0000-0000-0000B3A40000}"/>
    <cellStyle name="Percent 3 12 3" xfId="16543" xr:uid="{00000000-0005-0000-0000-0000B4A40000}"/>
    <cellStyle name="Percent 3 12 3 2" xfId="16544" xr:uid="{00000000-0005-0000-0000-0000B5A40000}"/>
    <cellStyle name="Percent 3 12 3 2 2" xfId="40016" xr:uid="{00000000-0005-0000-0000-0000B6A40000}"/>
    <cellStyle name="Percent 3 12 3 3" xfId="40015" xr:uid="{00000000-0005-0000-0000-0000B7A40000}"/>
    <cellStyle name="Percent 3 12 4" xfId="16545" xr:uid="{00000000-0005-0000-0000-0000B8A40000}"/>
    <cellStyle name="Percent 3 12 4 2" xfId="40017" xr:uid="{00000000-0005-0000-0000-0000B9A40000}"/>
    <cellStyle name="Percent 3 12 5" xfId="40010" xr:uid="{00000000-0005-0000-0000-0000BAA40000}"/>
    <cellStyle name="Percent 3 13" xfId="16546" xr:uid="{00000000-0005-0000-0000-0000BBA40000}"/>
    <cellStyle name="Percent 3 13 2" xfId="16547" xr:uid="{00000000-0005-0000-0000-0000BCA40000}"/>
    <cellStyle name="Percent 3 13 2 2" xfId="16548" xr:uid="{00000000-0005-0000-0000-0000BDA40000}"/>
    <cellStyle name="Percent 3 13 2 2 2" xfId="16549" xr:uid="{00000000-0005-0000-0000-0000BEA40000}"/>
    <cellStyle name="Percent 3 13 2 2 2 2" xfId="40021" xr:uid="{00000000-0005-0000-0000-0000BFA40000}"/>
    <cellStyle name="Percent 3 13 2 2 3" xfId="40020" xr:uid="{00000000-0005-0000-0000-0000C0A40000}"/>
    <cellStyle name="Percent 3 13 2 3" xfId="16550" xr:uid="{00000000-0005-0000-0000-0000C1A40000}"/>
    <cellStyle name="Percent 3 13 2 3 2" xfId="40022" xr:uid="{00000000-0005-0000-0000-0000C2A40000}"/>
    <cellStyle name="Percent 3 13 2 4" xfId="40019" xr:uid="{00000000-0005-0000-0000-0000C3A40000}"/>
    <cellStyle name="Percent 3 13 3" xfId="16551" xr:uid="{00000000-0005-0000-0000-0000C4A40000}"/>
    <cellStyle name="Percent 3 13 3 2" xfId="16552" xr:uid="{00000000-0005-0000-0000-0000C5A40000}"/>
    <cellStyle name="Percent 3 13 3 2 2" xfId="40024" xr:uid="{00000000-0005-0000-0000-0000C6A40000}"/>
    <cellStyle name="Percent 3 13 3 3" xfId="40023" xr:uid="{00000000-0005-0000-0000-0000C7A40000}"/>
    <cellStyle name="Percent 3 13 4" xfId="16553" xr:uid="{00000000-0005-0000-0000-0000C8A40000}"/>
    <cellStyle name="Percent 3 13 4 2" xfId="40025" xr:uid="{00000000-0005-0000-0000-0000C9A40000}"/>
    <cellStyle name="Percent 3 13 5" xfId="40018" xr:uid="{00000000-0005-0000-0000-0000CAA40000}"/>
    <cellStyle name="Percent 3 14" xfId="16554" xr:uid="{00000000-0005-0000-0000-0000CBA40000}"/>
    <cellStyle name="Percent 3 14 2" xfId="16555" xr:uid="{00000000-0005-0000-0000-0000CCA40000}"/>
    <cellStyle name="Percent 3 14 2 2" xfId="16556" xr:uid="{00000000-0005-0000-0000-0000CDA40000}"/>
    <cellStyle name="Percent 3 14 2 2 2" xfId="40027" xr:uid="{00000000-0005-0000-0000-0000CEA40000}"/>
    <cellStyle name="Percent 3 14 2 3" xfId="40026" xr:uid="{00000000-0005-0000-0000-0000CFA40000}"/>
    <cellStyle name="Percent 3 15" xfId="16557" xr:uid="{00000000-0005-0000-0000-0000D0A40000}"/>
    <cellStyle name="Percent 3 15 2" xfId="16558" xr:uid="{00000000-0005-0000-0000-0000D1A40000}"/>
    <cellStyle name="Percent 3 15 2 2" xfId="40029" xr:uid="{00000000-0005-0000-0000-0000D2A40000}"/>
    <cellStyle name="Percent 3 15 3" xfId="40028" xr:uid="{00000000-0005-0000-0000-0000D3A40000}"/>
    <cellStyle name="Percent 3 16" xfId="16559" xr:uid="{00000000-0005-0000-0000-0000D4A40000}"/>
    <cellStyle name="Percent 3 16 2" xfId="40030" xr:uid="{00000000-0005-0000-0000-0000D5A40000}"/>
    <cellStyle name="Percent 3 2" xfId="155" xr:uid="{00000000-0005-0000-0000-0000D6A40000}"/>
    <cellStyle name="Percent 3 2 10" xfId="16561" xr:uid="{00000000-0005-0000-0000-0000D7A40000}"/>
    <cellStyle name="Percent 3 2 10 2" xfId="16562" xr:uid="{00000000-0005-0000-0000-0000D8A40000}"/>
    <cellStyle name="Percent 3 2 10 2 2" xfId="16563" xr:uid="{00000000-0005-0000-0000-0000D9A40000}"/>
    <cellStyle name="Percent 3 2 10 2 2 2" xfId="16564" xr:uid="{00000000-0005-0000-0000-0000DAA40000}"/>
    <cellStyle name="Percent 3 2 10 2 2 2 2" xfId="40035" xr:uid="{00000000-0005-0000-0000-0000DBA40000}"/>
    <cellStyle name="Percent 3 2 10 2 2 3" xfId="40034" xr:uid="{00000000-0005-0000-0000-0000DCA40000}"/>
    <cellStyle name="Percent 3 2 10 2 3" xfId="16565" xr:uid="{00000000-0005-0000-0000-0000DDA40000}"/>
    <cellStyle name="Percent 3 2 10 2 3 2" xfId="40036" xr:uid="{00000000-0005-0000-0000-0000DEA40000}"/>
    <cellStyle name="Percent 3 2 10 2 4" xfId="40033" xr:uid="{00000000-0005-0000-0000-0000DFA40000}"/>
    <cellStyle name="Percent 3 2 10 3" xfId="16566" xr:uid="{00000000-0005-0000-0000-0000E0A40000}"/>
    <cellStyle name="Percent 3 2 10 3 2" xfId="16567" xr:uid="{00000000-0005-0000-0000-0000E1A40000}"/>
    <cellStyle name="Percent 3 2 10 3 2 2" xfId="40038" xr:uid="{00000000-0005-0000-0000-0000E2A40000}"/>
    <cellStyle name="Percent 3 2 10 3 3" xfId="40037" xr:uid="{00000000-0005-0000-0000-0000E3A40000}"/>
    <cellStyle name="Percent 3 2 10 4" xfId="16568" xr:uid="{00000000-0005-0000-0000-0000E4A40000}"/>
    <cellStyle name="Percent 3 2 10 4 2" xfId="40039" xr:uid="{00000000-0005-0000-0000-0000E5A40000}"/>
    <cellStyle name="Percent 3 2 10 5" xfId="40032" xr:uid="{00000000-0005-0000-0000-0000E6A40000}"/>
    <cellStyle name="Percent 3 2 11" xfId="16569" xr:uid="{00000000-0005-0000-0000-0000E7A40000}"/>
    <cellStyle name="Percent 3 2 11 2" xfId="16570" xr:uid="{00000000-0005-0000-0000-0000E8A40000}"/>
    <cellStyle name="Percent 3 2 11 2 2" xfId="16571" xr:uid="{00000000-0005-0000-0000-0000E9A40000}"/>
    <cellStyle name="Percent 3 2 11 2 2 2" xfId="16572" xr:uid="{00000000-0005-0000-0000-0000EAA40000}"/>
    <cellStyle name="Percent 3 2 11 2 2 2 2" xfId="40043" xr:uid="{00000000-0005-0000-0000-0000EBA40000}"/>
    <cellStyle name="Percent 3 2 11 2 2 3" xfId="40042" xr:uid="{00000000-0005-0000-0000-0000ECA40000}"/>
    <cellStyle name="Percent 3 2 11 2 3" xfId="16573" xr:uid="{00000000-0005-0000-0000-0000EDA40000}"/>
    <cellStyle name="Percent 3 2 11 2 3 2" xfId="40044" xr:uid="{00000000-0005-0000-0000-0000EEA40000}"/>
    <cellStyle name="Percent 3 2 11 2 4" xfId="40041" xr:uid="{00000000-0005-0000-0000-0000EFA40000}"/>
    <cellStyle name="Percent 3 2 11 3" xfId="16574" xr:uid="{00000000-0005-0000-0000-0000F0A40000}"/>
    <cellStyle name="Percent 3 2 11 3 2" xfId="16575" xr:uid="{00000000-0005-0000-0000-0000F1A40000}"/>
    <cellStyle name="Percent 3 2 11 3 2 2" xfId="40046" xr:uid="{00000000-0005-0000-0000-0000F2A40000}"/>
    <cellStyle name="Percent 3 2 11 3 3" xfId="40045" xr:uid="{00000000-0005-0000-0000-0000F3A40000}"/>
    <cellStyle name="Percent 3 2 11 4" xfId="16576" xr:uid="{00000000-0005-0000-0000-0000F4A40000}"/>
    <cellStyle name="Percent 3 2 11 4 2" xfId="40047" xr:uid="{00000000-0005-0000-0000-0000F5A40000}"/>
    <cellStyle name="Percent 3 2 11 5" xfId="40040" xr:uid="{00000000-0005-0000-0000-0000F6A40000}"/>
    <cellStyle name="Percent 3 2 12" xfId="16577" xr:uid="{00000000-0005-0000-0000-0000F7A40000}"/>
    <cellStyle name="Percent 3 2 12 2" xfId="16578" xr:uid="{00000000-0005-0000-0000-0000F8A40000}"/>
    <cellStyle name="Percent 3 2 12 2 2" xfId="16579" xr:uid="{00000000-0005-0000-0000-0000F9A40000}"/>
    <cellStyle name="Percent 3 2 12 2 2 2" xfId="40049" xr:uid="{00000000-0005-0000-0000-0000FAA40000}"/>
    <cellStyle name="Percent 3 2 12 2 3" xfId="40048" xr:uid="{00000000-0005-0000-0000-0000FBA40000}"/>
    <cellStyle name="Percent 3 2 13" xfId="16580" xr:uid="{00000000-0005-0000-0000-0000FCA40000}"/>
    <cellStyle name="Percent 3 2 13 2" xfId="16581" xr:uid="{00000000-0005-0000-0000-0000FDA40000}"/>
    <cellStyle name="Percent 3 2 13 2 2" xfId="40051" xr:uid="{00000000-0005-0000-0000-0000FEA40000}"/>
    <cellStyle name="Percent 3 2 13 3" xfId="40050" xr:uid="{00000000-0005-0000-0000-0000FFA40000}"/>
    <cellStyle name="Percent 3 2 14" xfId="16582" xr:uid="{00000000-0005-0000-0000-000000A50000}"/>
    <cellStyle name="Percent 3 2 14 2" xfId="40052" xr:uid="{00000000-0005-0000-0000-000001A50000}"/>
    <cellStyle name="Percent 3 2 15" xfId="16560" xr:uid="{00000000-0005-0000-0000-000002A50000}"/>
    <cellStyle name="Percent 3 2 15 2" xfId="40031" xr:uid="{00000000-0005-0000-0000-000003A50000}"/>
    <cellStyle name="Percent 3 2 2" xfId="16583" xr:uid="{00000000-0005-0000-0000-000004A50000}"/>
    <cellStyle name="Percent 3 2 2 10" xfId="16584" xr:uid="{00000000-0005-0000-0000-000005A50000}"/>
    <cellStyle name="Percent 3 2 2 10 2" xfId="40054" xr:uid="{00000000-0005-0000-0000-000006A50000}"/>
    <cellStyle name="Percent 3 2 2 11" xfId="40053" xr:uid="{00000000-0005-0000-0000-000007A50000}"/>
    <cellStyle name="Percent 3 2 2 2" xfId="16585" xr:uid="{00000000-0005-0000-0000-000008A50000}"/>
    <cellStyle name="Percent 3 2 2 2 2" xfId="16586" xr:uid="{00000000-0005-0000-0000-000009A50000}"/>
    <cellStyle name="Percent 3 2 2 2 2 2" xfId="16587" xr:uid="{00000000-0005-0000-0000-00000AA50000}"/>
    <cellStyle name="Percent 3 2 2 2 2 2 2" xfId="16588" xr:uid="{00000000-0005-0000-0000-00000BA50000}"/>
    <cellStyle name="Percent 3 2 2 2 2 2 2 2" xfId="16589" xr:uid="{00000000-0005-0000-0000-00000CA50000}"/>
    <cellStyle name="Percent 3 2 2 2 2 2 2 2 2" xfId="40059" xr:uid="{00000000-0005-0000-0000-00000DA50000}"/>
    <cellStyle name="Percent 3 2 2 2 2 2 2 3" xfId="40058" xr:uid="{00000000-0005-0000-0000-00000EA50000}"/>
    <cellStyle name="Percent 3 2 2 2 2 2 3" xfId="16590" xr:uid="{00000000-0005-0000-0000-00000FA50000}"/>
    <cellStyle name="Percent 3 2 2 2 2 2 3 2" xfId="40060" xr:uid="{00000000-0005-0000-0000-000010A50000}"/>
    <cellStyle name="Percent 3 2 2 2 2 2 4" xfId="40057" xr:uid="{00000000-0005-0000-0000-000011A50000}"/>
    <cellStyle name="Percent 3 2 2 2 2 3" xfId="16591" xr:uid="{00000000-0005-0000-0000-000012A50000}"/>
    <cellStyle name="Percent 3 2 2 2 2 3 2" xfId="16592" xr:uid="{00000000-0005-0000-0000-000013A50000}"/>
    <cellStyle name="Percent 3 2 2 2 2 3 2 2" xfId="40062" xr:uid="{00000000-0005-0000-0000-000014A50000}"/>
    <cellStyle name="Percent 3 2 2 2 2 3 3" xfId="40061" xr:uid="{00000000-0005-0000-0000-000015A50000}"/>
    <cellStyle name="Percent 3 2 2 2 2 4" xfId="16593" xr:uid="{00000000-0005-0000-0000-000016A50000}"/>
    <cellStyle name="Percent 3 2 2 2 2 4 2" xfId="40063" xr:uid="{00000000-0005-0000-0000-000017A50000}"/>
    <cellStyle name="Percent 3 2 2 2 2 5" xfId="40056" xr:uid="{00000000-0005-0000-0000-000018A50000}"/>
    <cellStyle name="Percent 3 2 2 2 3" xfId="16594" xr:uid="{00000000-0005-0000-0000-000019A50000}"/>
    <cellStyle name="Percent 3 2 2 2 3 2" xfId="16595" xr:uid="{00000000-0005-0000-0000-00001AA50000}"/>
    <cellStyle name="Percent 3 2 2 2 3 2 2" xfId="16596" xr:uid="{00000000-0005-0000-0000-00001BA50000}"/>
    <cellStyle name="Percent 3 2 2 2 3 2 2 2" xfId="16597" xr:uid="{00000000-0005-0000-0000-00001CA50000}"/>
    <cellStyle name="Percent 3 2 2 2 3 2 2 2 2" xfId="40067" xr:uid="{00000000-0005-0000-0000-00001DA50000}"/>
    <cellStyle name="Percent 3 2 2 2 3 2 2 3" xfId="40066" xr:uid="{00000000-0005-0000-0000-00001EA50000}"/>
    <cellStyle name="Percent 3 2 2 2 3 2 3" xfId="16598" xr:uid="{00000000-0005-0000-0000-00001FA50000}"/>
    <cellStyle name="Percent 3 2 2 2 3 2 3 2" xfId="40068" xr:uid="{00000000-0005-0000-0000-000020A50000}"/>
    <cellStyle name="Percent 3 2 2 2 3 2 4" xfId="40065" xr:uid="{00000000-0005-0000-0000-000021A50000}"/>
    <cellStyle name="Percent 3 2 2 2 3 3" xfId="16599" xr:uid="{00000000-0005-0000-0000-000022A50000}"/>
    <cellStyle name="Percent 3 2 2 2 3 3 2" xfId="16600" xr:uid="{00000000-0005-0000-0000-000023A50000}"/>
    <cellStyle name="Percent 3 2 2 2 3 3 2 2" xfId="40070" xr:uid="{00000000-0005-0000-0000-000024A50000}"/>
    <cellStyle name="Percent 3 2 2 2 3 3 3" xfId="40069" xr:uid="{00000000-0005-0000-0000-000025A50000}"/>
    <cellStyle name="Percent 3 2 2 2 3 4" xfId="16601" xr:uid="{00000000-0005-0000-0000-000026A50000}"/>
    <cellStyle name="Percent 3 2 2 2 3 4 2" xfId="40071" xr:uid="{00000000-0005-0000-0000-000027A50000}"/>
    <cellStyle name="Percent 3 2 2 2 3 5" xfId="40064" xr:uid="{00000000-0005-0000-0000-000028A50000}"/>
    <cellStyle name="Percent 3 2 2 2 4" xfId="16602" xr:uid="{00000000-0005-0000-0000-000029A50000}"/>
    <cellStyle name="Percent 3 2 2 2 4 2" xfId="16603" xr:uid="{00000000-0005-0000-0000-00002AA50000}"/>
    <cellStyle name="Percent 3 2 2 2 4 2 2" xfId="16604" xr:uid="{00000000-0005-0000-0000-00002BA50000}"/>
    <cellStyle name="Percent 3 2 2 2 4 2 2 2" xfId="40074" xr:uid="{00000000-0005-0000-0000-00002CA50000}"/>
    <cellStyle name="Percent 3 2 2 2 4 2 3" xfId="40073" xr:uid="{00000000-0005-0000-0000-00002DA50000}"/>
    <cellStyle name="Percent 3 2 2 2 4 3" xfId="16605" xr:uid="{00000000-0005-0000-0000-00002EA50000}"/>
    <cellStyle name="Percent 3 2 2 2 4 3 2" xfId="40075" xr:uid="{00000000-0005-0000-0000-00002FA50000}"/>
    <cellStyle name="Percent 3 2 2 2 4 4" xfId="40072" xr:uid="{00000000-0005-0000-0000-000030A50000}"/>
    <cellStyle name="Percent 3 2 2 2 5" xfId="16606" xr:uid="{00000000-0005-0000-0000-000031A50000}"/>
    <cellStyle name="Percent 3 2 2 2 5 2" xfId="16607" xr:uid="{00000000-0005-0000-0000-000032A50000}"/>
    <cellStyle name="Percent 3 2 2 2 5 2 2" xfId="40077" xr:uid="{00000000-0005-0000-0000-000033A50000}"/>
    <cellStyle name="Percent 3 2 2 2 5 3" xfId="40076" xr:uid="{00000000-0005-0000-0000-000034A50000}"/>
    <cellStyle name="Percent 3 2 2 2 6" xfId="16608" xr:uid="{00000000-0005-0000-0000-000035A50000}"/>
    <cellStyle name="Percent 3 2 2 2 6 2" xfId="40078" xr:uid="{00000000-0005-0000-0000-000036A50000}"/>
    <cellStyle name="Percent 3 2 2 2 7" xfId="40055" xr:uid="{00000000-0005-0000-0000-000037A50000}"/>
    <cellStyle name="Percent 3 2 2 3" xfId="16609" xr:uid="{00000000-0005-0000-0000-000038A50000}"/>
    <cellStyle name="Percent 3 2 2 3 2" xfId="16610" xr:uid="{00000000-0005-0000-0000-000039A50000}"/>
    <cellStyle name="Percent 3 2 2 3 2 2" xfId="16611" xr:uid="{00000000-0005-0000-0000-00003AA50000}"/>
    <cellStyle name="Percent 3 2 2 3 2 2 2" xfId="16612" xr:uid="{00000000-0005-0000-0000-00003BA50000}"/>
    <cellStyle name="Percent 3 2 2 3 2 2 2 2" xfId="16613" xr:uid="{00000000-0005-0000-0000-00003CA50000}"/>
    <cellStyle name="Percent 3 2 2 3 2 2 2 2 2" xfId="40083" xr:uid="{00000000-0005-0000-0000-00003DA50000}"/>
    <cellStyle name="Percent 3 2 2 3 2 2 2 3" xfId="40082" xr:uid="{00000000-0005-0000-0000-00003EA50000}"/>
    <cellStyle name="Percent 3 2 2 3 2 2 3" xfId="16614" xr:uid="{00000000-0005-0000-0000-00003FA50000}"/>
    <cellStyle name="Percent 3 2 2 3 2 2 3 2" xfId="40084" xr:uid="{00000000-0005-0000-0000-000040A50000}"/>
    <cellStyle name="Percent 3 2 2 3 2 2 4" xfId="40081" xr:uid="{00000000-0005-0000-0000-000041A50000}"/>
    <cellStyle name="Percent 3 2 2 3 2 3" xfId="16615" xr:uid="{00000000-0005-0000-0000-000042A50000}"/>
    <cellStyle name="Percent 3 2 2 3 2 3 2" xfId="16616" xr:uid="{00000000-0005-0000-0000-000043A50000}"/>
    <cellStyle name="Percent 3 2 2 3 2 3 2 2" xfId="40086" xr:uid="{00000000-0005-0000-0000-000044A50000}"/>
    <cellStyle name="Percent 3 2 2 3 2 3 3" xfId="40085" xr:uid="{00000000-0005-0000-0000-000045A50000}"/>
    <cellStyle name="Percent 3 2 2 3 2 4" xfId="16617" xr:uid="{00000000-0005-0000-0000-000046A50000}"/>
    <cellStyle name="Percent 3 2 2 3 2 4 2" xfId="40087" xr:uid="{00000000-0005-0000-0000-000047A50000}"/>
    <cellStyle name="Percent 3 2 2 3 2 5" xfId="40080" xr:uid="{00000000-0005-0000-0000-000048A50000}"/>
    <cellStyle name="Percent 3 2 2 3 3" xfId="16618" xr:uid="{00000000-0005-0000-0000-000049A50000}"/>
    <cellStyle name="Percent 3 2 2 3 3 2" xfId="16619" xr:uid="{00000000-0005-0000-0000-00004AA50000}"/>
    <cellStyle name="Percent 3 2 2 3 3 2 2" xfId="16620" xr:uid="{00000000-0005-0000-0000-00004BA50000}"/>
    <cellStyle name="Percent 3 2 2 3 3 2 2 2" xfId="16621" xr:uid="{00000000-0005-0000-0000-00004CA50000}"/>
    <cellStyle name="Percent 3 2 2 3 3 2 2 2 2" xfId="40091" xr:uid="{00000000-0005-0000-0000-00004DA50000}"/>
    <cellStyle name="Percent 3 2 2 3 3 2 2 3" xfId="40090" xr:uid="{00000000-0005-0000-0000-00004EA50000}"/>
    <cellStyle name="Percent 3 2 2 3 3 2 3" xfId="16622" xr:uid="{00000000-0005-0000-0000-00004FA50000}"/>
    <cellStyle name="Percent 3 2 2 3 3 2 3 2" xfId="40092" xr:uid="{00000000-0005-0000-0000-000050A50000}"/>
    <cellStyle name="Percent 3 2 2 3 3 2 4" xfId="40089" xr:uid="{00000000-0005-0000-0000-000051A50000}"/>
    <cellStyle name="Percent 3 2 2 3 3 3" xfId="16623" xr:uid="{00000000-0005-0000-0000-000052A50000}"/>
    <cellStyle name="Percent 3 2 2 3 3 3 2" xfId="16624" xr:uid="{00000000-0005-0000-0000-000053A50000}"/>
    <cellStyle name="Percent 3 2 2 3 3 3 2 2" xfId="40094" xr:uid="{00000000-0005-0000-0000-000054A50000}"/>
    <cellStyle name="Percent 3 2 2 3 3 3 3" xfId="40093" xr:uid="{00000000-0005-0000-0000-000055A50000}"/>
    <cellStyle name="Percent 3 2 2 3 3 4" xfId="16625" xr:uid="{00000000-0005-0000-0000-000056A50000}"/>
    <cellStyle name="Percent 3 2 2 3 3 4 2" xfId="40095" xr:uid="{00000000-0005-0000-0000-000057A50000}"/>
    <cellStyle name="Percent 3 2 2 3 3 5" xfId="40088" xr:uid="{00000000-0005-0000-0000-000058A50000}"/>
    <cellStyle name="Percent 3 2 2 3 4" xfId="16626" xr:uid="{00000000-0005-0000-0000-000059A50000}"/>
    <cellStyle name="Percent 3 2 2 3 4 2" xfId="16627" xr:uid="{00000000-0005-0000-0000-00005AA50000}"/>
    <cellStyle name="Percent 3 2 2 3 4 2 2" xfId="16628" xr:uid="{00000000-0005-0000-0000-00005BA50000}"/>
    <cellStyle name="Percent 3 2 2 3 4 2 2 2" xfId="40098" xr:uid="{00000000-0005-0000-0000-00005CA50000}"/>
    <cellStyle name="Percent 3 2 2 3 4 2 3" xfId="40097" xr:uid="{00000000-0005-0000-0000-00005DA50000}"/>
    <cellStyle name="Percent 3 2 2 3 4 3" xfId="16629" xr:uid="{00000000-0005-0000-0000-00005EA50000}"/>
    <cellStyle name="Percent 3 2 2 3 4 3 2" xfId="40099" xr:uid="{00000000-0005-0000-0000-00005FA50000}"/>
    <cellStyle name="Percent 3 2 2 3 4 4" xfId="40096" xr:uid="{00000000-0005-0000-0000-000060A50000}"/>
    <cellStyle name="Percent 3 2 2 3 5" xfId="16630" xr:uid="{00000000-0005-0000-0000-000061A50000}"/>
    <cellStyle name="Percent 3 2 2 3 5 2" xfId="16631" xr:uid="{00000000-0005-0000-0000-000062A50000}"/>
    <cellStyle name="Percent 3 2 2 3 5 2 2" xfId="40101" xr:uid="{00000000-0005-0000-0000-000063A50000}"/>
    <cellStyle name="Percent 3 2 2 3 5 3" xfId="40100" xr:uid="{00000000-0005-0000-0000-000064A50000}"/>
    <cellStyle name="Percent 3 2 2 3 6" xfId="16632" xr:uid="{00000000-0005-0000-0000-000065A50000}"/>
    <cellStyle name="Percent 3 2 2 3 6 2" xfId="40102" xr:uid="{00000000-0005-0000-0000-000066A50000}"/>
    <cellStyle name="Percent 3 2 2 3 7" xfId="40079" xr:uid="{00000000-0005-0000-0000-000067A50000}"/>
    <cellStyle name="Percent 3 2 2 4" xfId="16633" xr:uid="{00000000-0005-0000-0000-000068A50000}"/>
    <cellStyle name="Percent 3 2 2 4 2" xfId="16634" xr:uid="{00000000-0005-0000-0000-000069A50000}"/>
    <cellStyle name="Percent 3 2 2 4 2 2" xfId="16635" xr:uid="{00000000-0005-0000-0000-00006AA50000}"/>
    <cellStyle name="Percent 3 2 2 4 2 2 2" xfId="16636" xr:uid="{00000000-0005-0000-0000-00006BA50000}"/>
    <cellStyle name="Percent 3 2 2 4 2 2 2 2" xfId="16637" xr:uid="{00000000-0005-0000-0000-00006CA50000}"/>
    <cellStyle name="Percent 3 2 2 4 2 2 2 2 2" xfId="40107" xr:uid="{00000000-0005-0000-0000-00006DA50000}"/>
    <cellStyle name="Percent 3 2 2 4 2 2 2 3" xfId="40106" xr:uid="{00000000-0005-0000-0000-00006EA50000}"/>
    <cellStyle name="Percent 3 2 2 4 2 2 3" xfId="16638" xr:uid="{00000000-0005-0000-0000-00006FA50000}"/>
    <cellStyle name="Percent 3 2 2 4 2 2 3 2" xfId="40108" xr:uid="{00000000-0005-0000-0000-000070A50000}"/>
    <cellStyle name="Percent 3 2 2 4 2 2 4" xfId="40105" xr:uid="{00000000-0005-0000-0000-000071A50000}"/>
    <cellStyle name="Percent 3 2 2 4 2 3" xfId="16639" xr:uid="{00000000-0005-0000-0000-000072A50000}"/>
    <cellStyle name="Percent 3 2 2 4 2 3 2" xfId="16640" xr:uid="{00000000-0005-0000-0000-000073A50000}"/>
    <cellStyle name="Percent 3 2 2 4 2 3 2 2" xfId="40110" xr:uid="{00000000-0005-0000-0000-000074A50000}"/>
    <cellStyle name="Percent 3 2 2 4 2 3 3" xfId="40109" xr:uid="{00000000-0005-0000-0000-000075A50000}"/>
    <cellStyle name="Percent 3 2 2 4 2 4" xfId="16641" xr:uid="{00000000-0005-0000-0000-000076A50000}"/>
    <cellStyle name="Percent 3 2 2 4 2 4 2" xfId="40111" xr:uid="{00000000-0005-0000-0000-000077A50000}"/>
    <cellStyle name="Percent 3 2 2 4 2 5" xfId="40104" xr:uid="{00000000-0005-0000-0000-000078A50000}"/>
    <cellStyle name="Percent 3 2 2 4 3" xfId="16642" xr:uid="{00000000-0005-0000-0000-000079A50000}"/>
    <cellStyle name="Percent 3 2 2 4 3 2" xfId="16643" xr:uid="{00000000-0005-0000-0000-00007AA50000}"/>
    <cellStyle name="Percent 3 2 2 4 3 2 2" xfId="16644" xr:uid="{00000000-0005-0000-0000-00007BA50000}"/>
    <cellStyle name="Percent 3 2 2 4 3 2 2 2" xfId="16645" xr:uid="{00000000-0005-0000-0000-00007CA50000}"/>
    <cellStyle name="Percent 3 2 2 4 3 2 2 2 2" xfId="40115" xr:uid="{00000000-0005-0000-0000-00007DA50000}"/>
    <cellStyle name="Percent 3 2 2 4 3 2 2 3" xfId="40114" xr:uid="{00000000-0005-0000-0000-00007EA50000}"/>
    <cellStyle name="Percent 3 2 2 4 3 2 3" xfId="16646" xr:uid="{00000000-0005-0000-0000-00007FA50000}"/>
    <cellStyle name="Percent 3 2 2 4 3 2 3 2" xfId="40116" xr:uid="{00000000-0005-0000-0000-000080A50000}"/>
    <cellStyle name="Percent 3 2 2 4 3 2 4" xfId="40113" xr:uid="{00000000-0005-0000-0000-000081A50000}"/>
    <cellStyle name="Percent 3 2 2 4 3 3" xfId="16647" xr:uid="{00000000-0005-0000-0000-000082A50000}"/>
    <cellStyle name="Percent 3 2 2 4 3 3 2" xfId="16648" xr:uid="{00000000-0005-0000-0000-000083A50000}"/>
    <cellStyle name="Percent 3 2 2 4 3 3 2 2" xfId="40118" xr:uid="{00000000-0005-0000-0000-000084A50000}"/>
    <cellStyle name="Percent 3 2 2 4 3 3 3" xfId="40117" xr:uid="{00000000-0005-0000-0000-000085A50000}"/>
    <cellStyle name="Percent 3 2 2 4 3 4" xfId="16649" xr:uid="{00000000-0005-0000-0000-000086A50000}"/>
    <cellStyle name="Percent 3 2 2 4 3 4 2" xfId="40119" xr:uid="{00000000-0005-0000-0000-000087A50000}"/>
    <cellStyle name="Percent 3 2 2 4 3 5" xfId="40112" xr:uid="{00000000-0005-0000-0000-000088A50000}"/>
    <cellStyle name="Percent 3 2 2 4 4" xfId="16650" xr:uid="{00000000-0005-0000-0000-000089A50000}"/>
    <cellStyle name="Percent 3 2 2 4 4 2" xfId="16651" xr:uid="{00000000-0005-0000-0000-00008AA50000}"/>
    <cellStyle name="Percent 3 2 2 4 4 2 2" xfId="16652" xr:uid="{00000000-0005-0000-0000-00008BA50000}"/>
    <cellStyle name="Percent 3 2 2 4 4 2 2 2" xfId="40122" xr:uid="{00000000-0005-0000-0000-00008CA50000}"/>
    <cellStyle name="Percent 3 2 2 4 4 2 3" xfId="40121" xr:uid="{00000000-0005-0000-0000-00008DA50000}"/>
    <cellStyle name="Percent 3 2 2 4 4 3" xfId="16653" xr:uid="{00000000-0005-0000-0000-00008EA50000}"/>
    <cellStyle name="Percent 3 2 2 4 4 3 2" xfId="40123" xr:uid="{00000000-0005-0000-0000-00008FA50000}"/>
    <cellStyle name="Percent 3 2 2 4 4 4" xfId="40120" xr:uid="{00000000-0005-0000-0000-000090A50000}"/>
    <cellStyle name="Percent 3 2 2 4 5" xfId="16654" xr:uid="{00000000-0005-0000-0000-000091A50000}"/>
    <cellStyle name="Percent 3 2 2 4 5 2" xfId="16655" xr:uid="{00000000-0005-0000-0000-000092A50000}"/>
    <cellStyle name="Percent 3 2 2 4 5 2 2" xfId="40125" xr:uid="{00000000-0005-0000-0000-000093A50000}"/>
    <cellStyle name="Percent 3 2 2 4 5 3" xfId="40124" xr:uid="{00000000-0005-0000-0000-000094A50000}"/>
    <cellStyle name="Percent 3 2 2 4 6" xfId="16656" xr:uid="{00000000-0005-0000-0000-000095A50000}"/>
    <cellStyle name="Percent 3 2 2 4 6 2" xfId="40126" xr:uid="{00000000-0005-0000-0000-000096A50000}"/>
    <cellStyle name="Percent 3 2 2 4 7" xfId="40103" xr:uid="{00000000-0005-0000-0000-000097A50000}"/>
    <cellStyle name="Percent 3 2 2 5" xfId="16657" xr:uid="{00000000-0005-0000-0000-000098A50000}"/>
    <cellStyle name="Percent 3 2 2 5 2" xfId="16658" xr:uid="{00000000-0005-0000-0000-000099A50000}"/>
    <cellStyle name="Percent 3 2 2 5 2 2" xfId="16659" xr:uid="{00000000-0005-0000-0000-00009AA50000}"/>
    <cellStyle name="Percent 3 2 2 5 2 2 2" xfId="16660" xr:uid="{00000000-0005-0000-0000-00009BA50000}"/>
    <cellStyle name="Percent 3 2 2 5 2 2 2 2" xfId="16661" xr:uid="{00000000-0005-0000-0000-00009CA50000}"/>
    <cellStyle name="Percent 3 2 2 5 2 2 2 2 2" xfId="40131" xr:uid="{00000000-0005-0000-0000-00009DA50000}"/>
    <cellStyle name="Percent 3 2 2 5 2 2 2 3" xfId="40130" xr:uid="{00000000-0005-0000-0000-00009EA50000}"/>
    <cellStyle name="Percent 3 2 2 5 2 2 3" xfId="16662" xr:uid="{00000000-0005-0000-0000-00009FA50000}"/>
    <cellStyle name="Percent 3 2 2 5 2 2 3 2" xfId="40132" xr:uid="{00000000-0005-0000-0000-0000A0A50000}"/>
    <cellStyle name="Percent 3 2 2 5 2 2 4" xfId="40129" xr:uid="{00000000-0005-0000-0000-0000A1A50000}"/>
    <cellStyle name="Percent 3 2 2 5 2 3" xfId="16663" xr:uid="{00000000-0005-0000-0000-0000A2A50000}"/>
    <cellStyle name="Percent 3 2 2 5 2 3 2" xfId="16664" xr:uid="{00000000-0005-0000-0000-0000A3A50000}"/>
    <cellStyle name="Percent 3 2 2 5 2 3 2 2" xfId="40134" xr:uid="{00000000-0005-0000-0000-0000A4A50000}"/>
    <cellStyle name="Percent 3 2 2 5 2 3 3" xfId="40133" xr:uid="{00000000-0005-0000-0000-0000A5A50000}"/>
    <cellStyle name="Percent 3 2 2 5 2 4" xfId="16665" xr:uid="{00000000-0005-0000-0000-0000A6A50000}"/>
    <cellStyle name="Percent 3 2 2 5 2 4 2" xfId="40135" xr:uid="{00000000-0005-0000-0000-0000A7A50000}"/>
    <cellStyle name="Percent 3 2 2 5 2 5" xfId="40128" xr:uid="{00000000-0005-0000-0000-0000A8A50000}"/>
    <cellStyle name="Percent 3 2 2 5 3" xfId="16666" xr:uid="{00000000-0005-0000-0000-0000A9A50000}"/>
    <cellStyle name="Percent 3 2 2 5 3 2" xfId="16667" xr:uid="{00000000-0005-0000-0000-0000AAA50000}"/>
    <cellStyle name="Percent 3 2 2 5 3 2 2" xfId="16668" xr:uid="{00000000-0005-0000-0000-0000ABA50000}"/>
    <cellStyle name="Percent 3 2 2 5 3 2 2 2" xfId="16669" xr:uid="{00000000-0005-0000-0000-0000ACA50000}"/>
    <cellStyle name="Percent 3 2 2 5 3 2 2 2 2" xfId="40139" xr:uid="{00000000-0005-0000-0000-0000ADA50000}"/>
    <cellStyle name="Percent 3 2 2 5 3 2 2 3" xfId="40138" xr:uid="{00000000-0005-0000-0000-0000AEA50000}"/>
    <cellStyle name="Percent 3 2 2 5 3 2 3" xfId="16670" xr:uid="{00000000-0005-0000-0000-0000AFA50000}"/>
    <cellStyle name="Percent 3 2 2 5 3 2 3 2" xfId="40140" xr:uid="{00000000-0005-0000-0000-0000B0A50000}"/>
    <cellStyle name="Percent 3 2 2 5 3 2 4" xfId="40137" xr:uid="{00000000-0005-0000-0000-0000B1A50000}"/>
    <cellStyle name="Percent 3 2 2 5 3 3" xfId="16671" xr:uid="{00000000-0005-0000-0000-0000B2A50000}"/>
    <cellStyle name="Percent 3 2 2 5 3 3 2" xfId="16672" xr:uid="{00000000-0005-0000-0000-0000B3A50000}"/>
    <cellStyle name="Percent 3 2 2 5 3 3 2 2" xfId="40142" xr:uid="{00000000-0005-0000-0000-0000B4A50000}"/>
    <cellStyle name="Percent 3 2 2 5 3 3 3" xfId="40141" xr:uid="{00000000-0005-0000-0000-0000B5A50000}"/>
    <cellStyle name="Percent 3 2 2 5 3 4" xfId="16673" xr:uid="{00000000-0005-0000-0000-0000B6A50000}"/>
    <cellStyle name="Percent 3 2 2 5 3 4 2" xfId="40143" xr:uid="{00000000-0005-0000-0000-0000B7A50000}"/>
    <cellStyle name="Percent 3 2 2 5 3 5" xfId="40136" xr:uid="{00000000-0005-0000-0000-0000B8A50000}"/>
    <cellStyle name="Percent 3 2 2 5 4" xfId="16674" xr:uid="{00000000-0005-0000-0000-0000B9A50000}"/>
    <cellStyle name="Percent 3 2 2 5 4 2" xfId="16675" xr:uid="{00000000-0005-0000-0000-0000BAA50000}"/>
    <cellStyle name="Percent 3 2 2 5 4 2 2" xfId="16676" xr:uid="{00000000-0005-0000-0000-0000BBA50000}"/>
    <cellStyle name="Percent 3 2 2 5 4 2 2 2" xfId="40146" xr:uid="{00000000-0005-0000-0000-0000BCA50000}"/>
    <cellStyle name="Percent 3 2 2 5 4 2 3" xfId="40145" xr:uid="{00000000-0005-0000-0000-0000BDA50000}"/>
    <cellStyle name="Percent 3 2 2 5 4 3" xfId="16677" xr:uid="{00000000-0005-0000-0000-0000BEA50000}"/>
    <cellStyle name="Percent 3 2 2 5 4 3 2" xfId="40147" xr:uid="{00000000-0005-0000-0000-0000BFA50000}"/>
    <cellStyle name="Percent 3 2 2 5 4 4" xfId="40144" xr:uid="{00000000-0005-0000-0000-0000C0A50000}"/>
    <cellStyle name="Percent 3 2 2 5 5" xfId="16678" xr:uid="{00000000-0005-0000-0000-0000C1A50000}"/>
    <cellStyle name="Percent 3 2 2 5 5 2" xfId="16679" xr:uid="{00000000-0005-0000-0000-0000C2A50000}"/>
    <cellStyle name="Percent 3 2 2 5 5 2 2" xfId="40149" xr:uid="{00000000-0005-0000-0000-0000C3A50000}"/>
    <cellStyle name="Percent 3 2 2 5 5 3" xfId="40148" xr:uid="{00000000-0005-0000-0000-0000C4A50000}"/>
    <cellStyle name="Percent 3 2 2 5 6" xfId="16680" xr:uid="{00000000-0005-0000-0000-0000C5A50000}"/>
    <cellStyle name="Percent 3 2 2 5 6 2" xfId="40150" xr:uid="{00000000-0005-0000-0000-0000C6A50000}"/>
    <cellStyle name="Percent 3 2 2 5 7" xfId="40127" xr:uid="{00000000-0005-0000-0000-0000C7A50000}"/>
    <cellStyle name="Percent 3 2 2 6" xfId="16681" xr:uid="{00000000-0005-0000-0000-0000C8A50000}"/>
    <cellStyle name="Percent 3 2 2 6 2" xfId="16682" xr:uid="{00000000-0005-0000-0000-0000C9A50000}"/>
    <cellStyle name="Percent 3 2 2 6 2 2" xfId="16683" xr:uid="{00000000-0005-0000-0000-0000CAA50000}"/>
    <cellStyle name="Percent 3 2 2 6 2 2 2" xfId="16684" xr:uid="{00000000-0005-0000-0000-0000CBA50000}"/>
    <cellStyle name="Percent 3 2 2 6 2 2 2 2" xfId="40154" xr:uid="{00000000-0005-0000-0000-0000CCA50000}"/>
    <cellStyle name="Percent 3 2 2 6 2 2 3" xfId="40153" xr:uid="{00000000-0005-0000-0000-0000CDA50000}"/>
    <cellStyle name="Percent 3 2 2 6 2 3" xfId="16685" xr:uid="{00000000-0005-0000-0000-0000CEA50000}"/>
    <cellStyle name="Percent 3 2 2 6 2 3 2" xfId="40155" xr:uid="{00000000-0005-0000-0000-0000CFA50000}"/>
    <cellStyle name="Percent 3 2 2 6 2 4" xfId="40152" xr:uid="{00000000-0005-0000-0000-0000D0A50000}"/>
    <cellStyle name="Percent 3 2 2 6 3" xfId="16686" xr:uid="{00000000-0005-0000-0000-0000D1A50000}"/>
    <cellStyle name="Percent 3 2 2 6 3 2" xfId="16687" xr:uid="{00000000-0005-0000-0000-0000D2A50000}"/>
    <cellStyle name="Percent 3 2 2 6 3 2 2" xfId="40157" xr:uid="{00000000-0005-0000-0000-0000D3A50000}"/>
    <cellStyle name="Percent 3 2 2 6 3 3" xfId="40156" xr:uid="{00000000-0005-0000-0000-0000D4A50000}"/>
    <cellStyle name="Percent 3 2 2 6 4" xfId="16688" xr:uid="{00000000-0005-0000-0000-0000D5A50000}"/>
    <cellStyle name="Percent 3 2 2 6 4 2" xfId="40158" xr:uid="{00000000-0005-0000-0000-0000D6A50000}"/>
    <cellStyle name="Percent 3 2 2 6 5" xfId="40151" xr:uid="{00000000-0005-0000-0000-0000D7A50000}"/>
    <cellStyle name="Percent 3 2 2 7" xfId="16689" xr:uid="{00000000-0005-0000-0000-0000D8A50000}"/>
    <cellStyle name="Percent 3 2 2 7 2" xfId="16690" xr:uid="{00000000-0005-0000-0000-0000D9A50000}"/>
    <cellStyle name="Percent 3 2 2 7 2 2" xfId="16691" xr:uid="{00000000-0005-0000-0000-0000DAA50000}"/>
    <cellStyle name="Percent 3 2 2 7 2 2 2" xfId="16692" xr:uid="{00000000-0005-0000-0000-0000DBA50000}"/>
    <cellStyle name="Percent 3 2 2 7 2 2 2 2" xfId="40162" xr:uid="{00000000-0005-0000-0000-0000DCA50000}"/>
    <cellStyle name="Percent 3 2 2 7 2 2 3" xfId="40161" xr:uid="{00000000-0005-0000-0000-0000DDA50000}"/>
    <cellStyle name="Percent 3 2 2 7 2 3" xfId="16693" xr:uid="{00000000-0005-0000-0000-0000DEA50000}"/>
    <cellStyle name="Percent 3 2 2 7 2 3 2" xfId="40163" xr:uid="{00000000-0005-0000-0000-0000DFA50000}"/>
    <cellStyle name="Percent 3 2 2 7 2 4" xfId="40160" xr:uid="{00000000-0005-0000-0000-0000E0A50000}"/>
    <cellStyle name="Percent 3 2 2 7 3" xfId="16694" xr:uid="{00000000-0005-0000-0000-0000E1A50000}"/>
    <cellStyle name="Percent 3 2 2 7 3 2" xfId="16695" xr:uid="{00000000-0005-0000-0000-0000E2A50000}"/>
    <cellStyle name="Percent 3 2 2 7 3 2 2" xfId="40165" xr:uid="{00000000-0005-0000-0000-0000E3A50000}"/>
    <cellStyle name="Percent 3 2 2 7 3 3" xfId="40164" xr:uid="{00000000-0005-0000-0000-0000E4A50000}"/>
    <cellStyle name="Percent 3 2 2 7 4" xfId="16696" xr:uid="{00000000-0005-0000-0000-0000E5A50000}"/>
    <cellStyle name="Percent 3 2 2 7 4 2" xfId="40166" xr:uid="{00000000-0005-0000-0000-0000E6A50000}"/>
    <cellStyle name="Percent 3 2 2 7 5" xfId="40159" xr:uid="{00000000-0005-0000-0000-0000E7A50000}"/>
    <cellStyle name="Percent 3 2 2 8" xfId="16697" xr:uid="{00000000-0005-0000-0000-0000E8A50000}"/>
    <cellStyle name="Percent 3 2 2 8 2" xfId="16698" xr:uid="{00000000-0005-0000-0000-0000E9A50000}"/>
    <cellStyle name="Percent 3 2 2 8 2 2" xfId="16699" xr:uid="{00000000-0005-0000-0000-0000EAA50000}"/>
    <cellStyle name="Percent 3 2 2 8 2 2 2" xfId="40169" xr:uid="{00000000-0005-0000-0000-0000EBA50000}"/>
    <cellStyle name="Percent 3 2 2 8 2 3" xfId="40168" xr:uid="{00000000-0005-0000-0000-0000ECA50000}"/>
    <cellStyle name="Percent 3 2 2 8 3" xfId="16700" xr:uid="{00000000-0005-0000-0000-0000EDA50000}"/>
    <cellStyle name="Percent 3 2 2 8 3 2" xfId="40170" xr:uid="{00000000-0005-0000-0000-0000EEA50000}"/>
    <cellStyle name="Percent 3 2 2 8 4" xfId="40167" xr:uid="{00000000-0005-0000-0000-0000EFA50000}"/>
    <cellStyle name="Percent 3 2 2 9" xfId="16701" xr:uid="{00000000-0005-0000-0000-0000F0A50000}"/>
    <cellStyle name="Percent 3 2 2 9 2" xfId="16702" xr:uid="{00000000-0005-0000-0000-0000F1A50000}"/>
    <cellStyle name="Percent 3 2 2 9 2 2" xfId="40172" xr:uid="{00000000-0005-0000-0000-0000F2A50000}"/>
    <cellStyle name="Percent 3 2 2 9 3" xfId="40171" xr:uid="{00000000-0005-0000-0000-0000F3A50000}"/>
    <cellStyle name="Percent 3 2 3" xfId="16703" xr:uid="{00000000-0005-0000-0000-0000F4A50000}"/>
    <cellStyle name="Percent 3 2 3 10" xfId="40173" xr:uid="{00000000-0005-0000-0000-0000F5A50000}"/>
    <cellStyle name="Percent 3 2 3 2" xfId="16704" xr:uid="{00000000-0005-0000-0000-0000F6A50000}"/>
    <cellStyle name="Percent 3 2 3 2 2" xfId="16705" xr:uid="{00000000-0005-0000-0000-0000F7A50000}"/>
    <cellStyle name="Percent 3 2 3 2 2 2" xfId="16706" xr:uid="{00000000-0005-0000-0000-0000F8A50000}"/>
    <cellStyle name="Percent 3 2 3 2 2 2 2" xfId="16707" xr:uid="{00000000-0005-0000-0000-0000F9A50000}"/>
    <cellStyle name="Percent 3 2 3 2 2 2 2 2" xfId="16708" xr:uid="{00000000-0005-0000-0000-0000FAA50000}"/>
    <cellStyle name="Percent 3 2 3 2 2 2 2 2 2" xfId="40178" xr:uid="{00000000-0005-0000-0000-0000FBA50000}"/>
    <cellStyle name="Percent 3 2 3 2 2 2 2 3" xfId="40177" xr:uid="{00000000-0005-0000-0000-0000FCA50000}"/>
    <cellStyle name="Percent 3 2 3 2 2 2 3" xfId="16709" xr:uid="{00000000-0005-0000-0000-0000FDA50000}"/>
    <cellStyle name="Percent 3 2 3 2 2 2 3 2" xfId="40179" xr:uid="{00000000-0005-0000-0000-0000FEA50000}"/>
    <cellStyle name="Percent 3 2 3 2 2 2 4" xfId="40176" xr:uid="{00000000-0005-0000-0000-0000FFA50000}"/>
    <cellStyle name="Percent 3 2 3 2 2 3" xfId="16710" xr:uid="{00000000-0005-0000-0000-000000A60000}"/>
    <cellStyle name="Percent 3 2 3 2 2 3 2" xfId="16711" xr:uid="{00000000-0005-0000-0000-000001A60000}"/>
    <cellStyle name="Percent 3 2 3 2 2 3 2 2" xfId="40181" xr:uid="{00000000-0005-0000-0000-000002A60000}"/>
    <cellStyle name="Percent 3 2 3 2 2 3 3" xfId="40180" xr:uid="{00000000-0005-0000-0000-000003A60000}"/>
    <cellStyle name="Percent 3 2 3 2 2 4" xfId="16712" xr:uid="{00000000-0005-0000-0000-000004A60000}"/>
    <cellStyle name="Percent 3 2 3 2 2 4 2" xfId="40182" xr:uid="{00000000-0005-0000-0000-000005A60000}"/>
    <cellStyle name="Percent 3 2 3 2 2 5" xfId="40175" xr:uid="{00000000-0005-0000-0000-000006A60000}"/>
    <cellStyle name="Percent 3 2 3 2 3" xfId="16713" xr:uid="{00000000-0005-0000-0000-000007A60000}"/>
    <cellStyle name="Percent 3 2 3 2 3 2" xfId="16714" xr:uid="{00000000-0005-0000-0000-000008A60000}"/>
    <cellStyle name="Percent 3 2 3 2 3 2 2" xfId="16715" xr:uid="{00000000-0005-0000-0000-000009A60000}"/>
    <cellStyle name="Percent 3 2 3 2 3 2 2 2" xfId="16716" xr:uid="{00000000-0005-0000-0000-00000AA60000}"/>
    <cellStyle name="Percent 3 2 3 2 3 2 2 2 2" xfId="40186" xr:uid="{00000000-0005-0000-0000-00000BA60000}"/>
    <cellStyle name="Percent 3 2 3 2 3 2 2 3" xfId="40185" xr:uid="{00000000-0005-0000-0000-00000CA60000}"/>
    <cellStyle name="Percent 3 2 3 2 3 2 3" xfId="16717" xr:uid="{00000000-0005-0000-0000-00000DA60000}"/>
    <cellStyle name="Percent 3 2 3 2 3 2 3 2" xfId="40187" xr:uid="{00000000-0005-0000-0000-00000EA60000}"/>
    <cellStyle name="Percent 3 2 3 2 3 2 4" xfId="40184" xr:uid="{00000000-0005-0000-0000-00000FA60000}"/>
    <cellStyle name="Percent 3 2 3 2 3 3" xfId="16718" xr:uid="{00000000-0005-0000-0000-000010A60000}"/>
    <cellStyle name="Percent 3 2 3 2 3 3 2" xfId="16719" xr:uid="{00000000-0005-0000-0000-000011A60000}"/>
    <cellStyle name="Percent 3 2 3 2 3 3 2 2" xfId="40189" xr:uid="{00000000-0005-0000-0000-000012A60000}"/>
    <cellStyle name="Percent 3 2 3 2 3 3 3" xfId="40188" xr:uid="{00000000-0005-0000-0000-000013A60000}"/>
    <cellStyle name="Percent 3 2 3 2 3 4" xfId="16720" xr:uid="{00000000-0005-0000-0000-000014A60000}"/>
    <cellStyle name="Percent 3 2 3 2 3 4 2" xfId="40190" xr:uid="{00000000-0005-0000-0000-000015A60000}"/>
    <cellStyle name="Percent 3 2 3 2 3 5" xfId="40183" xr:uid="{00000000-0005-0000-0000-000016A60000}"/>
    <cellStyle name="Percent 3 2 3 2 4" xfId="16721" xr:uid="{00000000-0005-0000-0000-000017A60000}"/>
    <cellStyle name="Percent 3 2 3 2 4 2" xfId="16722" xr:uid="{00000000-0005-0000-0000-000018A60000}"/>
    <cellStyle name="Percent 3 2 3 2 4 2 2" xfId="16723" xr:uid="{00000000-0005-0000-0000-000019A60000}"/>
    <cellStyle name="Percent 3 2 3 2 4 2 2 2" xfId="40193" xr:uid="{00000000-0005-0000-0000-00001AA60000}"/>
    <cellStyle name="Percent 3 2 3 2 4 2 3" xfId="40192" xr:uid="{00000000-0005-0000-0000-00001BA60000}"/>
    <cellStyle name="Percent 3 2 3 2 4 3" xfId="16724" xr:uid="{00000000-0005-0000-0000-00001CA60000}"/>
    <cellStyle name="Percent 3 2 3 2 4 3 2" xfId="40194" xr:uid="{00000000-0005-0000-0000-00001DA60000}"/>
    <cellStyle name="Percent 3 2 3 2 4 4" xfId="40191" xr:uid="{00000000-0005-0000-0000-00001EA60000}"/>
    <cellStyle name="Percent 3 2 3 2 5" xfId="16725" xr:uid="{00000000-0005-0000-0000-00001FA60000}"/>
    <cellStyle name="Percent 3 2 3 2 5 2" xfId="16726" xr:uid="{00000000-0005-0000-0000-000020A60000}"/>
    <cellStyle name="Percent 3 2 3 2 5 2 2" xfId="40196" xr:uid="{00000000-0005-0000-0000-000021A60000}"/>
    <cellStyle name="Percent 3 2 3 2 5 3" xfId="40195" xr:uid="{00000000-0005-0000-0000-000022A60000}"/>
    <cellStyle name="Percent 3 2 3 2 6" xfId="16727" xr:uid="{00000000-0005-0000-0000-000023A60000}"/>
    <cellStyle name="Percent 3 2 3 2 6 2" xfId="40197" xr:uid="{00000000-0005-0000-0000-000024A60000}"/>
    <cellStyle name="Percent 3 2 3 2 7" xfId="40174" xr:uid="{00000000-0005-0000-0000-000025A60000}"/>
    <cellStyle name="Percent 3 2 3 3" xfId="16728" xr:uid="{00000000-0005-0000-0000-000026A60000}"/>
    <cellStyle name="Percent 3 2 3 3 2" xfId="16729" xr:uid="{00000000-0005-0000-0000-000027A60000}"/>
    <cellStyle name="Percent 3 2 3 3 2 2" xfId="16730" xr:uid="{00000000-0005-0000-0000-000028A60000}"/>
    <cellStyle name="Percent 3 2 3 3 2 2 2" xfId="16731" xr:uid="{00000000-0005-0000-0000-000029A60000}"/>
    <cellStyle name="Percent 3 2 3 3 2 2 2 2" xfId="16732" xr:uid="{00000000-0005-0000-0000-00002AA60000}"/>
    <cellStyle name="Percent 3 2 3 3 2 2 2 2 2" xfId="40202" xr:uid="{00000000-0005-0000-0000-00002BA60000}"/>
    <cellStyle name="Percent 3 2 3 3 2 2 2 3" xfId="40201" xr:uid="{00000000-0005-0000-0000-00002CA60000}"/>
    <cellStyle name="Percent 3 2 3 3 2 2 3" xfId="16733" xr:uid="{00000000-0005-0000-0000-00002DA60000}"/>
    <cellStyle name="Percent 3 2 3 3 2 2 3 2" xfId="40203" xr:uid="{00000000-0005-0000-0000-00002EA60000}"/>
    <cellStyle name="Percent 3 2 3 3 2 2 4" xfId="40200" xr:uid="{00000000-0005-0000-0000-00002FA60000}"/>
    <cellStyle name="Percent 3 2 3 3 2 3" xfId="16734" xr:uid="{00000000-0005-0000-0000-000030A60000}"/>
    <cellStyle name="Percent 3 2 3 3 2 3 2" xfId="16735" xr:uid="{00000000-0005-0000-0000-000031A60000}"/>
    <cellStyle name="Percent 3 2 3 3 2 3 2 2" xfId="40205" xr:uid="{00000000-0005-0000-0000-000032A60000}"/>
    <cellStyle name="Percent 3 2 3 3 2 3 3" xfId="40204" xr:uid="{00000000-0005-0000-0000-000033A60000}"/>
    <cellStyle name="Percent 3 2 3 3 2 4" xfId="16736" xr:uid="{00000000-0005-0000-0000-000034A60000}"/>
    <cellStyle name="Percent 3 2 3 3 2 4 2" xfId="40206" xr:uid="{00000000-0005-0000-0000-000035A60000}"/>
    <cellStyle name="Percent 3 2 3 3 2 5" xfId="40199" xr:uid="{00000000-0005-0000-0000-000036A60000}"/>
    <cellStyle name="Percent 3 2 3 3 3" xfId="16737" xr:uid="{00000000-0005-0000-0000-000037A60000}"/>
    <cellStyle name="Percent 3 2 3 3 3 2" xfId="16738" xr:uid="{00000000-0005-0000-0000-000038A60000}"/>
    <cellStyle name="Percent 3 2 3 3 3 2 2" xfId="16739" xr:uid="{00000000-0005-0000-0000-000039A60000}"/>
    <cellStyle name="Percent 3 2 3 3 3 2 2 2" xfId="16740" xr:uid="{00000000-0005-0000-0000-00003AA60000}"/>
    <cellStyle name="Percent 3 2 3 3 3 2 2 2 2" xfId="40210" xr:uid="{00000000-0005-0000-0000-00003BA60000}"/>
    <cellStyle name="Percent 3 2 3 3 3 2 2 3" xfId="40209" xr:uid="{00000000-0005-0000-0000-00003CA60000}"/>
    <cellStyle name="Percent 3 2 3 3 3 2 3" xfId="16741" xr:uid="{00000000-0005-0000-0000-00003DA60000}"/>
    <cellStyle name="Percent 3 2 3 3 3 2 3 2" xfId="40211" xr:uid="{00000000-0005-0000-0000-00003EA60000}"/>
    <cellStyle name="Percent 3 2 3 3 3 2 4" xfId="40208" xr:uid="{00000000-0005-0000-0000-00003FA60000}"/>
    <cellStyle name="Percent 3 2 3 3 3 3" xfId="16742" xr:uid="{00000000-0005-0000-0000-000040A60000}"/>
    <cellStyle name="Percent 3 2 3 3 3 3 2" xfId="16743" xr:uid="{00000000-0005-0000-0000-000041A60000}"/>
    <cellStyle name="Percent 3 2 3 3 3 3 2 2" xfId="40213" xr:uid="{00000000-0005-0000-0000-000042A60000}"/>
    <cellStyle name="Percent 3 2 3 3 3 3 3" xfId="40212" xr:uid="{00000000-0005-0000-0000-000043A60000}"/>
    <cellStyle name="Percent 3 2 3 3 3 4" xfId="16744" xr:uid="{00000000-0005-0000-0000-000044A60000}"/>
    <cellStyle name="Percent 3 2 3 3 3 4 2" xfId="40214" xr:uid="{00000000-0005-0000-0000-000045A60000}"/>
    <cellStyle name="Percent 3 2 3 3 3 5" xfId="40207" xr:uid="{00000000-0005-0000-0000-000046A60000}"/>
    <cellStyle name="Percent 3 2 3 3 4" xfId="16745" xr:uid="{00000000-0005-0000-0000-000047A60000}"/>
    <cellStyle name="Percent 3 2 3 3 4 2" xfId="16746" xr:uid="{00000000-0005-0000-0000-000048A60000}"/>
    <cellStyle name="Percent 3 2 3 3 4 2 2" xfId="16747" xr:uid="{00000000-0005-0000-0000-000049A60000}"/>
    <cellStyle name="Percent 3 2 3 3 4 2 2 2" xfId="40217" xr:uid="{00000000-0005-0000-0000-00004AA60000}"/>
    <cellStyle name="Percent 3 2 3 3 4 2 3" xfId="40216" xr:uid="{00000000-0005-0000-0000-00004BA60000}"/>
    <cellStyle name="Percent 3 2 3 3 4 3" xfId="16748" xr:uid="{00000000-0005-0000-0000-00004CA60000}"/>
    <cellStyle name="Percent 3 2 3 3 4 3 2" xfId="40218" xr:uid="{00000000-0005-0000-0000-00004DA60000}"/>
    <cellStyle name="Percent 3 2 3 3 4 4" xfId="40215" xr:uid="{00000000-0005-0000-0000-00004EA60000}"/>
    <cellStyle name="Percent 3 2 3 3 5" xfId="16749" xr:uid="{00000000-0005-0000-0000-00004FA60000}"/>
    <cellStyle name="Percent 3 2 3 3 5 2" xfId="16750" xr:uid="{00000000-0005-0000-0000-000050A60000}"/>
    <cellStyle name="Percent 3 2 3 3 5 2 2" xfId="40220" xr:uid="{00000000-0005-0000-0000-000051A60000}"/>
    <cellStyle name="Percent 3 2 3 3 5 3" xfId="40219" xr:uid="{00000000-0005-0000-0000-000052A60000}"/>
    <cellStyle name="Percent 3 2 3 3 6" xfId="16751" xr:uid="{00000000-0005-0000-0000-000053A60000}"/>
    <cellStyle name="Percent 3 2 3 3 6 2" xfId="40221" xr:uid="{00000000-0005-0000-0000-000054A60000}"/>
    <cellStyle name="Percent 3 2 3 3 7" xfId="40198" xr:uid="{00000000-0005-0000-0000-000055A60000}"/>
    <cellStyle name="Percent 3 2 3 4" xfId="16752" xr:uid="{00000000-0005-0000-0000-000056A60000}"/>
    <cellStyle name="Percent 3 2 3 4 2" xfId="16753" xr:uid="{00000000-0005-0000-0000-000057A60000}"/>
    <cellStyle name="Percent 3 2 3 4 2 2" xfId="16754" xr:uid="{00000000-0005-0000-0000-000058A60000}"/>
    <cellStyle name="Percent 3 2 3 4 2 2 2" xfId="16755" xr:uid="{00000000-0005-0000-0000-000059A60000}"/>
    <cellStyle name="Percent 3 2 3 4 2 2 2 2" xfId="16756" xr:uid="{00000000-0005-0000-0000-00005AA60000}"/>
    <cellStyle name="Percent 3 2 3 4 2 2 2 2 2" xfId="40226" xr:uid="{00000000-0005-0000-0000-00005BA60000}"/>
    <cellStyle name="Percent 3 2 3 4 2 2 2 3" xfId="40225" xr:uid="{00000000-0005-0000-0000-00005CA60000}"/>
    <cellStyle name="Percent 3 2 3 4 2 2 3" xfId="16757" xr:uid="{00000000-0005-0000-0000-00005DA60000}"/>
    <cellStyle name="Percent 3 2 3 4 2 2 3 2" xfId="40227" xr:uid="{00000000-0005-0000-0000-00005EA60000}"/>
    <cellStyle name="Percent 3 2 3 4 2 2 4" xfId="40224" xr:uid="{00000000-0005-0000-0000-00005FA60000}"/>
    <cellStyle name="Percent 3 2 3 4 2 3" xfId="16758" xr:uid="{00000000-0005-0000-0000-000060A60000}"/>
    <cellStyle name="Percent 3 2 3 4 2 3 2" xfId="16759" xr:uid="{00000000-0005-0000-0000-000061A60000}"/>
    <cellStyle name="Percent 3 2 3 4 2 3 2 2" xfId="40229" xr:uid="{00000000-0005-0000-0000-000062A60000}"/>
    <cellStyle name="Percent 3 2 3 4 2 3 3" xfId="40228" xr:uid="{00000000-0005-0000-0000-000063A60000}"/>
    <cellStyle name="Percent 3 2 3 4 2 4" xfId="16760" xr:uid="{00000000-0005-0000-0000-000064A60000}"/>
    <cellStyle name="Percent 3 2 3 4 2 4 2" xfId="40230" xr:uid="{00000000-0005-0000-0000-000065A60000}"/>
    <cellStyle name="Percent 3 2 3 4 2 5" xfId="40223" xr:uid="{00000000-0005-0000-0000-000066A60000}"/>
    <cellStyle name="Percent 3 2 3 4 3" xfId="16761" xr:uid="{00000000-0005-0000-0000-000067A60000}"/>
    <cellStyle name="Percent 3 2 3 4 3 2" xfId="16762" xr:uid="{00000000-0005-0000-0000-000068A60000}"/>
    <cellStyle name="Percent 3 2 3 4 3 2 2" xfId="16763" xr:uid="{00000000-0005-0000-0000-000069A60000}"/>
    <cellStyle name="Percent 3 2 3 4 3 2 2 2" xfId="16764" xr:uid="{00000000-0005-0000-0000-00006AA60000}"/>
    <cellStyle name="Percent 3 2 3 4 3 2 2 2 2" xfId="40234" xr:uid="{00000000-0005-0000-0000-00006BA60000}"/>
    <cellStyle name="Percent 3 2 3 4 3 2 2 3" xfId="40233" xr:uid="{00000000-0005-0000-0000-00006CA60000}"/>
    <cellStyle name="Percent 3 2 3 4 3 2 3" xfId="16765" xr:uid="{00000000-0005-0000-0000-00006DA60000}"/>
    <cellStyle name="Percent 3 2 3 4 3 2 3 2" xfId="40235" xr:uid="{00000000-0005-0000-0000-00006EA60000}"/>
    <cellStyle name="Percent 3 2 3 4 3 2 4" xfId="40232" xr:uid="{00000000-0005-0000-0000-00006FA60000}"/>
    <cellStyle name="Percent 3 2 3 4 3 3" xfId="16766" xr:uid="{00000000-0005-0000-0000-000070A60000}"/>
    <cellStyle name="Percent 3 2 3 4 3 3 2" xfId="16767" xr:uid="{00000000-0005-0000-0000-000071A60000}"/>
    <cellStyle name="Percent 3 2 3 4 3 3 2 2" xfId="40237" xr:uid="{00000000-0005-0000-0000-000072A60000}"/>
    <cellStyle name="Percent 3 2 3 4 3 3 3" xfId="40236" xr:uid="{00000000-0005-0000-0000-000073A60000}"/>
    <cellStyle name="Percent 3 2 3 4 3 4" xfId="16768" xr:uid="{00000000-0005-0000-0000-000074A60000}"/>
    <cellStyle name="Percent 3 2 3 4 3 4 2" xfId="40238" xr:uid="{00000000-0005-0000-0000-000075A60000}"/>
    <cellStyle name="Percent 3 2 3 4 3 5" xfId="40231" xr:uid="{00000000-0005-0000-0000-000076A60000}"/>
    <cellStyle name="Percent 3 2 3 4 4" xfId="16769" xr:uid="{00000000-0005-0000-0000-000077A60000}"/>
    <cellStyle name="Percent 3 2 3 4 4 2" xfId="16770" xr:uid="{00000000-0005-0000-0000-000078A60000}"/>
    <cellStyle name="Percent 3 2 3 4 4 2 2" xfId="16771" xr:uid="{00000000-0005-0000-0000-000079A60000}"/>
    <cellStyle name="Percent 3 2 3 4 4 2 2 2" xfId="40241" xr:uid="{00000000-0005-0000-0000-00007AA60000}"/>
    <cellStyle name="Percent 3 2 3 4 4 2 3" xfId="40240" xr:uid="{00000000-0005-0000-0000-00007BA60000}"/>
    <cellStyle name="Percent 3 2 3 4 4 3" xfId="16772" xr:uid="{00000000-0005-0000-0000-00007CA60000}"/>
    <cellStyle name="Percent 3 2 3 4 4 3 2" xfId="40242" xr:uid="{00000000-0005-0000-0000-00007DA60000}"/>
    <cellStyle name="Percent 3 2 3 4 4 4" xfId="40239" xr:uid="{00000000-0005-0000-0000-00007EA60000}"/>
    <cellStyle name="Percent 3 2 3 4 5" xfId="16773" xr:uid="{00000000-0005-0000-0000-00007FA60000}"/>
    <cellStyle name="Percent 3 2 3 4 5 2" xfId="16774" xr:uid="{00000000-0005-0000-0000-000080A60000}"/>
    <cellStyle name="Percent 3 2 3 4 5 2 2" xfId="40244" xr:uid="{00000000-0005-0000-0000-000081A60000}"/>
    <cellStyle name="Percent 3 2 3 4 5 3" xfId="40243" xr:uid="{00000000-0005-0000-0000-000082A60000}"/>
    <cellStyle name="Percent 3 2 3 4 6" xfId="16775" xr:uid="{00000000-0005-0000-0000-000083A60000}"/>
    <cellStyle name="Percent 3 2 3 4 6 2" xfId="40245" xr:uid="{00000000-0005-0000-0000-000084A60000}"/>
    <cellStyle name="Percent 3 2 3 4 7" xfId="40222" xr:uid="{00000000-0005-0000-0000-000085A60000}"/>
    <cellStyle name="Percent 3 2 3 5" xfId="16776" xr:uid="{00000000-0005-0000-0000-000086A60000}"/>
    <cellStyle name="Percent 3 2 3 5 2" xfId="16777" xr:uid="{00000000-0005-0000-0000-000087A60000}"/>
    <cellStyle name="Percent 3 2 3 5 2 2" xfId="16778" xr:uid="{00000000-0005-0000-0000-000088A60000}"/>
    <cellStyle name="Percent 3 2 3 5 2 2 2" xfId="16779" xr:uid="{00000000-0005-0000-0000-000089A60000}"/>
    <cellStyle name="Percent 3 2 3 5 2 2 2 2" xfId="40249" xr:uid="{00000000-0005-0000-0000-00008AA60000}"/>
    <cellStyle name="Percent 3 2 3 5 2 2 3" xfId="40248" xr:uid="{00000000-0005-0000-0000-00008BA60000}"/>
    <cellStyle name="Percent 3 2 3 5 2 3" xfId="16780" xr:uid="{00000000-0005-0000-0000-00008CA60000}"/>
    <cellStyle name="Percent 3 2 3 5 2 3 2" xfId="40250" xr:uid="{00000000-0005-0000-0000-00008DA60000}"/>
    <cellStyle name="Percent 3 2 3 5 2 4" xfId="40247" xr:uid="{00000000-0005-0000-0000-00008EA60000}"/>
    <cellStyle name="Percent 3 2 3 5 3" xfId="16781" xr:uid="{00000000-0005-0000-0000-00008FA60000}"/>
    <cellStyle name="Percent 3 2 3 5 3 2" xfId="16782" xr:uid="{00000000-0005-0000-0000-000090A60000}"/>
    <cellStyle name="Percent 3 2 3 5 3 2 2" xfId="40252" xr:uid="{00000000-0005-0000-0000-000091A60000}"/>
    <cellStyle name="Percent 3 2 3 5 3 3" xfId="40251" xr:uid="{00000000-0005-0000-0000-000092A60000}"/>
    <cellStyle name="Percent 3 2 3 5 4" xfId="16783" xr:uid="{00000000-0005-0000-0000-000093A60000}"/>
    <cellStyle name="Percent 3 2 3 5 4 2" xfId="40253" xr:uid="{00000000-0005-0000-0000-000094A60000}"/>
    <cellStyle name="Percent 3 2 3 5 5" xfId="40246" xr:uid="{00000000-0005-0000-0000-000095A60000}"/>
    <cellStyle name="Percent 3 2 3 6" xfId="16784" xr:uid="{00000000-0005-0000-0000-000096A60000}"/>
    <cellStyle name="Percent 3 2 3 6 2" xfId="16785" xr:uid="{00000000-0005-0000-0000-000097A60000}"/>
    <cellStyle name="Percent 3 2 3 6 2 2" xfId="16786" xr:uid="{00000000-0005-0000-0000-000098A60000}"/>
    <cellStyle name="Percent 3 2 3 6 2 2 2" xfId="16787" xr:uid="{00000000-0005-0000-0000-000099A60000}"/>
    <cellStyle name="Percent 3 2 3 6 2 2 2 2" xfId="40257" xr:uid="{00000000-0005-0000-0000-00009AA60000}"/>
    <cellStyle name="Percent 3 2 3 6 2 2 3" xfId="40256" xr:uid="{00000000-0005-0000-0000-00009BA60000}"/>
    <cellStyle name="Percent 3 2 3 6 2 3" xfId="16788" xr:uid="{00000000-0005-0000-0000-00009CA60000}"/>
    <cellStyle name="Percent 3 2 3 6 2 3 2" xfId="40258" xr:uid="{00000000-0005-0000-0000-00009DA60000}"/>
    <cellStyle name="Percent 3 2 3 6 2 4" xfId="40255" xr:uid="{00000000-0005-0000-0000-00009EA60000}"/>
    <cellStyle name="Percent 3 2 3 6 3" xfId="16789" xr:uid="{00000000-0005-0000-0000-00009FA60000}"/>
    <cellStyle name="Percent 3 2 3 6 3 2" xfId="16790" xr:uid="{00000000-0005-0000-0000-0000A0A60000}"/>
    <cellStyle name="Percent 3 2 3 6 3 2 2" xfId="40260" xr:uid="{00000000-0005-0000-0000-0000A1A60000}"/>
    <cellStyle name="Percent 3 2 3 6 3 3" xfId="40259" xr:uid="{00000000-0005-0000-0000-0000A2A60000}"/>
    <cellStyle name="Percent 3 2 3 6 4" xfId="16791" xr:uid="{00000000-0005-0000-0000-0000A3A60000}"/>
    <cellStyle name="Percent 3 2 3 6 4 2" xfId="40261" xr:uid="{00000000-0005-0000-0000-0000A4A60000}"/>
    <cellStyle name="Percent 3 2 3 6 5" xfId="40254" xr:uid="{00000000-0005-0000-0000-0000A5A60000}"/>
    <cellStyle name="Percent 3 2 3 7" xfId="16792" xr:uid="{00000000-0005-0000-0000-0000A6A60000}"/>
    <cellStyle name="Percent 3 2 3 7 2" xfId="16793" xr:uid="{00000000-0005-0000-0000-0000A7A60000}"/>
    <cellStyle name="Percent 3 2 3 7 2 2" xfId="16794" xr:uid="{00000000-0005-0000-0000-0000A8A60000}"/>
    <cellStyle name="Percent 3 2 3 7 2 2 2" xfId="40264" xr:uid="{00000000-0005-0000-0000-0000A9A60000}"/>
    <cellStyle name="Percent 3 2 3 7 2 3" xfId="40263" xr:uid="{00000000-0005-0000-0000-0000AAA60000}"/>
    <cellStyle name="Percent 3 2 3 7 3" xfId="16795" xr:uid="{00000000-0005-0000-0000-0000ABA60000}"/>
    <cellStyle name="Percent 3 2 3 7 3 2" xfId="40265" xr:uid="{00000000-0005-0000-0000-0000ACA60000}"/>
    <cellStyle name="Percent 3 2 3 7 4" xfId="40262" xr:uid="{00000000-0005-0000-0000-0000ADA60000}"/>
    <cellStyle name="Percent 3 2 3 8" xfId="16796" xr:uid="{00000000-0005-0000-0000-0000AEA60000}"/>
    <cellStyle name="Percent 3 2 3 8 2" xfId="16797" xr:uid="{00000000-0005-0000-0000-0000AFA60000}"/>
    <cellStyle name="Percent 3 2 3 8 2 2" xfId="40267" xr:uid="{00000000-0005-0000-0000-0000B0A60000}"/>
    <cellStyle name="Percent 3 2 3 8 3" xfId="40266" xr:uid="{00000000-0005-0000-0000-0000B1A60000}"/>
    <cellStyle name="Percent 3 2 3 9" xfId="16798" xr:uid="{00000000-0005-0000-0000-0000B2A60000}"/>
    <cellStyle name="Percent 3 2 3 9 2" xfId="40268" xr:uid="{00000000-0005-0000-0000-0000B3A60000}"/>
    <cellStyle name="Percent 3 2 4" xfId="16799" xr:uid="{00000000-0005-0000-0000-0000B4A60000}"/>
    <cellStyle name="Percent 3 2 4 10" xfId="40269" xr:uid="{00000000-0005-0000-0000-0000B5A60000}"/>
    <cellStyle name="Percent 3 2 4 2" xfId="16800" xr:uid="{00000000-0005-0000-0000-0000B6A60000}"/>
    <cellStyle name="Percent 3 2 4 2 2" xfId="16801" xr:uid="{00000000-0005-0000-0000-0000B7A60000}"/>
    <cellStyle name="Percent 3 2 4 2 2 2" xfId="16802" xr:uid="{00000000-0005-0000-0000-0000B8A60000}"/>
    <cellStyle name="Percent 3 2 4 2 2 2 2" xfId="16803" xr:uid="{00000000-0005-0000-0000-0000B9A60000}"/>
    <cellStyle name="Percent 3 2 4 2 2 2 2 2" xfId="16804" xr:uid="{00000000-0005-0000-0000-0000BAA60000}"/>
    <cellStyle name="Percent 3 2 4 2 2 2 2 2 2" xfId="40274" xr:uid="{00000000-0005-0000-0000-0000BBA60000}"/>
    <cellStyle name="Percent 3 2 4 2 2 2 2 3" xfId="40273" xr:uid="{00000000-0005-0000-0000-0000BCA60000}"/>
    <cellStyle name="Percent 3 2 4 2 2 2 3" xfId="16805" xr:uid="{00000000-0005-0000-0000-0000BDA60000}"/>
    <cellStyle name="Percent 3 2 4 2 2 2 3 2" xfId="40275" xr:uid="{00000000-0005-0000-0000-0000BEA60000}"/>
    <cellStyle name="Percent 3 2 4 2 2 2 4" xfId="40272" xr:uid="{00000000-0005-0000-0000-0000BFA60000}"/>
    <cellStyle name="Percent 3 2 4 2 2 3" xfId="16806" xr:uid="{00000000-0005-0000-0000-0000C0A60000}"/>
    <cellStyle name="Percent 3 2 4 2 2 3 2" xfId="16807" xr:uid="{00000000-0005-0000-0000-0000C1A60000}"/>
    <cellStyle name="Percent 3 2 4 2 2 3 2 2" xfId="40277" xr:uid="{00000000-0005-0000-0000-0000C2A60000}"/>
    <cellStyle name="Percent 3 2 4 2 2 3 3" xfId="40276" xr:uid="{00000000-0005-0000-0000-0000C3A60000}"/>
    <cellStyle name="Percent 3 2 4 2 2 4" xfId="16808" xr:uid="{00000000-0005-0000-0000-0000C4A60000}"/>
    <cellStyle name="Percent 3 2 4 2 2 4 2" xfId="40278" xr:uid="{00000000-0005-0000-0000-0000C5A60000}"/>
    <cellStyle name="Percent 3 2 4 2 2 5" xfId="40271" xr:uid="{00000000-0005-0000-0000-0000C6A60000}"/>
    <cellStyle name="Percent 3 2 4 2 3" xfId="16809" xr:uid="{00000000-0005-0000-0000-0000C7A60000}"/>
    <cellStyle name="Percent 3 2 4 2 3 2" xfId="16810" xr:uid="{00000000-0005-0000-0000-0000C8A60000}"/>
    <cellStyle name="Percent 3 2 4 2 3 2 2" xfId="16811" xr:uid="{00000000-0005-0000-0000-0000C9A60000}"/>
    <cellStyle name="Percent 3 2 4 2 3 2 2 2" xfId="16812" xr:uid="{00000000-0005-0000-0000-0000CAA60000}"/>
    <cellStyle name="Percent 3 2 4 2 3 2 2 2 2" xfId="40282" xr:uid="{00000000-0005-0000-0000-0000CBA60000}"/>
    <cellStyle name="Percent 3 2 4 2 3 2 2 3" xfId="40281" xr:uid="{00000000-0005-0000-0000-0000CCA60000}"/>
    <cellStyle name="Percent 3 2 4 2 3 2 3" xfId="16813" xr:uid="{00000000-0005-0000-0000-0000CDA60000}"/>
    <cellStyle name="Percent 3 2 4 2 3 2 3 2" xfId="40283" xr:uid="{00000000-0005-0000-0000-0000CEA60000}"/>
    <cellStyle name="Percent 3 2 4 2 3 2 4" xfId="40280" xr:uid="{00000000-0005-0000-0000-0000CFA60000}"/>
    <cellStyle name="Percent 3 2 4 2 3 3" xfId="16814" xr:uid="{00000000-0005-0000-0000-0000D0A60000}"/>
    <cellStyle name="Percent 3 2 4 2 3 3 2" xfId="16815" xr:uid="{00000000-0005-0000-0000-0000D1A60000}"/>
    <cellStyle name="Percent 3 2 4 2 3 3 2 2" xfId="40285" xr:uid="{00000000-0005-0000-0000-0000D2A60000}"/>
    <cellStyle name="Percent 3 2 4 2 3 3 3" xfId="40284" xr:uid="{00000000-0005-0000-0000-0000D3A60000}"/>
    <cellStyle name="Percent 3 2 4 2 3 4" xfId="16816" xr:uid="{00000000-0005-0000-0000-0000D4A60000}"/>
    <cellStyle name="Percent 3 2 4 2 3 4 2" xfId="40286" xr:uid="{00000000-0005-0000-0000-0000D5A60000}"/>
    <cellStyle name="Percent 3 2 4 2 3 5" xfId="40279" xr:uid="{00000000-0005-0000-0000-0000D6A60000}"/>
    <cellStyle name="Percent 3 2 4 2 4" xfId="16817" xr:uid="{00000000-0005-0000-0000-0000D7A60000}"/>
    <cellStyle name="Percent 3 2 4 2 4 2" xfId="16818" xr:uid="{00000000-0005-0000-0000-0000D8A60000}"/>
    <cellStyle name="Percent 3 2 4 2 4 2 2" xfId="16819" xr:uid="{00000000-0005-0000-0000-0000D9A60000}"/>
    <cellStyle name="Percent 3 2 4 2 4 2 2 2" xfId="40289" xr:uid="{00000000-0005-0000-0000-0000DAA60000}"/>
    <cellStyle name="Percent 3 2 4 2 4 2 3" xfId="40288" xr:uid="{00000000-0005-0000-0000-0000DBA60000}"/>
    <cellStyle name="Percent 3 2 4 2 4 3" xfId="16820" xr:uid="{00000000-0005-0000-0000-0000DCA60000}"/>
    <cellStyle name="Percent 3 2 4 2 4 3 2" xfId="40290" xr:uid="{00000000-0005-0000-0000-0000DDA60000}"/>
    <cellStyle name="Percent 3 2 4 2 4 4" xfId="40287" xr:uid="{00000000-0005-0000-0000-0000DEA60000}"/>
    <cellStyle name="Percent 3 2 4 2 5" xfId="16821" xr:uid="{00000000-0005-0000-0000-0000DFA60000}"/>
    <cellStyle name="Percent 3 2 4 2 5 2" xfId="16822" xr:uid="{00000000-0005-0000-0000-0000E0A60000}"/>
    <cellStyle name="Percent 3 2 4 2 5 2 2" xfId="40292" xr:uid="{00000000-0005-0000-0000-0000E1A60000}"/>
    <cellStyle name="Percent 3 2 4 2 5 3" xfId="40291" xr:uid="{00000000-0005-0000-0000-0000E2A60000}"/>
    <cellStyle name="Percent 3 2 4 2 6" xfId="16823" xr:uid="{00000000-0005-0000-0000-0000E3A60000}"/>
    <cellStyle name="Percent 3 2 4 2 6 2" xfId="40293" xr:uid="{00000000-0005-0000-0000-0000E4A60000}"/>
    <cellStyle name="Percent 3 2 4 2 7" xfId="40270" xr:uid="{00000000-0005-0000-0000-0000E5A60000}"/>
    <cellStyle name="Percent 3 2 4 3" xfId="16824" xr:uid="{00000000-0005-0000-0000-0000E6A60000}"/>
    <cellStyle name="Percent 3 2 4 3 2" xfId="16825" xr:uid="{00000000-0005-0000-0000-0000E7A60000}"/>
    <cellStyle name="Percent 3 2 4 3 2 2" xfId="16826" xr:uid="{00000000-0005-0000-0000-0000E8A60000}"/>
    <cellStyle name="Percent 3 2 4 3 2 2 2" xfId="16827" xr:uid="{00000000-0005-0000-0000-0000E9A60000}"/>
    <cellStyle name="Percent 3 2 4 3 2 2 2 2" xfId="16828" xr:uid="{00000000-0005-0000-0000-0000EAA60000}"/>
    <cellStyle name="Percent 3 2 4 3 2 2 2 2 2" xfId="40298" xr:uid="{00000000-0005-0000-0000-0000EBA60000}"/>
    <cellStyle name="Percent 3 2 4 3 2 2 2 3" xfId="40297" xr:uid="{00000000-0005-0000-0000-0000ECA60000}"/>
    <cellStyle name="Percent 3 2 4 3 2 2 3" xfId="16829" xr:uid="{00000000-0005-0000-0000-0000EDA60000}"/>
    <cellStyle name="Percent 3 2 4 3 2 2 3 2" xfId="40299" xr:uid="{00000000-0005-0000-0000-0000EEA60000}"/>
    <cellStyle name="Percent 3 2 4 3 2 2 4" xfId="40296" xr:uid="{00000000-0005-0000-0000-0000EFA60000}"/>
    <cellStyle name="Percent 3 2 4 3 2 3" xfId="16830" xr:uid="{00000000-0005-0000-0000-0000F0A60000}"/>
    <cellStyle name="Percent 3 2 4 3 2 3 2" xfId="16831" xr:uid="{00000000-0005-0000-0000-0000F1A60000}"/>
    <cellStyle name="Percent 3 2 4 3 2 3 2 2" xfId="40301" xr:uid="{00000000-0005-0000-0000-0000F2A60000}"/>
    <cellStyle name="Percent 3 2 4 3 2 3 3" xfId="40300" xr:uid="{00000000-0005-0000-0000-0000F3A60000}"/>
    <cellStyle name="Percent 3 2 4 3 2 4" xfId="16832" xr:uid="{00000000-0005-0000-0000-0000F4A60000}"/>
    <cellStyle name="Percent 3 2 4 3 2 4 2" xfId="40302" xr:uid="{00000000-0005-0000-0000-0000F5A60000}"/>
    <cellStyle name="Percent 3 2 4 3 2 5" xfId="40295" xr:uid="{00000000-0005-0000-0000-0000F6A60000}"/>
    <cellStyle name="Percent 3 2 4 3 3" xfId="16833" xr:uid="{00000000-0005-0000-0000-0000F7A60000}"/>
    <cellStyle name="Percent 3 2 4 3 3 2" xfId="16834" xr:uid="{00000000-0005-0000-0000-0000F8A60000}"/>
    <cellStyle name="Percent 3 2 4 3 3 2 2" xfId="16835" xr:uid="{00000000-0005-0000-0000-0000F9A60000}"/>
    <cellStyle name="Percent 3 2 4 3 3 2 2 2" xfId="16836" xr:uid="{00000000-0005-0000-0000-0000FAA60000}"/>
    <cellStyle name="Percent 3 2 4 3 3 2 2 2 2" xfId="40306" xr:uid="{00000000-0005-0000-0000-0000FBA60000}"/>
    <cellStyle name="Percent 3 2 4 3 3 2 2 3" xfId="40305" xr:uid="{00000000-0005-0000-0000-0000FCA60000}"/>
    <cellStyle name="Percent 3 2 4 3 3 2 3" xfId="16837" xr:uid="{00000000-0005-0000-0000-0000FDA60000}"/>
    <cellStyle name="Percent 3 2 4 3 3 2 3 2" xfId="40307" xr:uid="{00000000-0005-0000-0000-0000FEA60000}"/>
    <cellStyle name="Percent 3 2 4 3 3 2 4" xfId="40304" xr:uid="{00000000-0005-0000-0000-0000FFA60000}"/>
    <cellStyle name="Percent 3 2 4 3 3 3" xfId="16838" xr:uid="{00000000-0005-0000-0000-000000A70000}"/>
    <cellStyle name="Percent 3 2 4 3 3 3 2" xfId="16839" xr:uid="{00000000-0005-0000-0000-000001A70000}"/>
    <cellStyle name="Percent 3 2 4 3 3 3 2 2" xfId="40309" xr:uid="{00000000-0005-0000-0000-000002A70000}"/>
    <cellStyle name="Percent 3 2 4 3 3 3 3" xfId="40308" xr:uid="{00000000-0005-0000-0000-000003A70000}"/>
    <cellStyle name="Percent 3 2 4 3 3 4" xfId="16840" xr:uid="{00000000-0005-0000-0000-000004A70000}"/>
    <cellStyle name="Percent 3 2 4 3 3 4 2" xfId="40310" xr:uid="{00000000-0005-0000-0000-000005A70000}"/>
    <cellStyle name="Percent 3 2 4 3 3 5" xfId="40303" xr:uid="{00000000-0005-0000-0000-000006A70000}"/>
    <cellStyle name="Percent 3 2 4 3 4" xfId="16841" xr:uid="{00000000-0005-0000-0000-000007A70000}"/>
    <cellStyle name="Percent 3 2 4 3 4 2" xfId="16842" xr:uid="{00000000-0005-0000-0000-000008A70000}"/>
    <cellStyle name="Percent 3 2 4 3 4 2 2" xfId="16843" xr:uid="{00000000-0005-0000-0000-000009A70000}"/>
    <cellStyle name="Percent 3 2 4 3 4 2 2 2" xfId="40313" xr:uid="{00000000-0005-0000-0000-00000AA70000}"/>
    <cellStyle name="Percent 3 2 4 3 4 2 3" xfId="40312" xr:uid="{00000000-0005-0000-0000-00000BA70000}"/>
    <cellStyle name="Percent 3 2 4 3 4 3" xfId="16844" xr:uid="{00000000-0005-0000-0000-00000CA70000}"/>
    <cellStyle name="Percent 3 2 4 3 4 3 2" xfId="40314" xr:uid="{00000000-0005-0000-0000-00000DA70000}"/>
    <cellStyle name="Percent 3 2 4 3 4 4" xfId="40311" xr:uid="{00000000-0005-0000-0000-00000EA70000}"/>
    <cellStyle name="Percent 3 2 4 3 5" xfId="16845" xr:uid="{00000000-0005-0000-0000-00000FA70000}"/>
    <cellStyle name="Percent 3 2 4 3 5 2" xfId="16846" xr:uid="{00000000-0005-0000-0000-000010A70000}"/>
    <cellStyle name="Percent 3 2 4 3 5 2 2" xfId="40316" xr:uid="{00000000-0005-0000-0000-000011A70000}"/>
    <cellStyle name="Percent 3 2 4 3 5 3" xfId="40315" xr:uid="{00000000-0005-0000-0000-000012A70000}"/>
    <cellStyle name="Percent 3 2 4 3 6" xfId="16847" xr:uid="{00000000-0005-0000-0000-000013A70000}"/>
    <cellStyle name="Percent 3 2 4 3 6 2" xfId="40317" xr:uid="{00000000-0005-0000-0000-000014A70000}"/>
    <cellStyle name="Percent 3 2 4 3 7" xfId="40294" xr:uid="{00000000-0005-0000-0000-000015A70000}"/>
    <cellStyle name="Percent 3 2 4 4" xfId="16848" xr:uid="{00000000-0005-0000-0000-000016A70000}"/>
    <cellStyle name="Percent 3 2 4 4 2" xfId="16849" xr:uid="{00000000-0005-0000-0000-000017A70000}"/>
    <cellStyle name="Percent 3 2 4 4 2 2" xfId="16850" xr:uid="{00000000-0005-0000-0000-000018A70000}"/>
    <cellStyle name="Percent 3 2 4 4 2 2 2" xfId="16851" xr:uid="{00000000-0005-0000-0000-000019A70000}"/>
    <cellStyle name="Percent 3 2 4 4 2 2 2 2" xfId="16852" xr:uid="{00000000-0005-0000-0000-00001AA70000}"/>
    <cellStyle name="Percent 3 2 4 4 2 2 2 2 2" xfId="40322" xr:uid="{00000000-0005-0000-0000-00001BA70000}"/>
    <cellStyle name="Percent 3 2 4 4 2 2 2 3" xfId="40321" xr:uid="{00000000-0005-0000-0000-00001CA70000}"/>
    <cellStyle name="Percent 3 2 4 4 2 2 3" xfId="16853" xr:uid="{00000000-0005-0000-0000-00001DA70000}"/>
    <cellStyle name="Percent 3 2 4 4 2 2 3 2" xfId="40323" xr:uid="{00000000-0005-0000-0000-00001EA70000}"/>
    <cellStyle name="Percent 3 2 4 4 2 2 4" xfId="40320" xr:uid="{00000000-0005-0000-0000-00001FA70000}"/>
    <cellStyle name="Percent 3 2 4 4 2 3" xfId="16854" xr:uid="{00000000-0005-0000-0000-000020A70000}"/>
    <cellStyle name="Percent 3 2 4 4 2 3 2" xfId="16855" xr:uid="{00000000-0005-0000-0000-000021A70000}"/>
    <cellStyle name="Percent 3 2 4 4 2 3 2 2" xfId="40325" xr:uid="{00000000-0005-0000-0000-000022A70000}"/>
    <cellStyle name="Percent 3 2 4 4 2 3 3" xfId="40324" xr:uid="{00000000-0005-0000-0000-000023A70000}"/>
    <cellStyle name="Percent 3 2 4 4 2 4" xfId="16856" xr:uid="{00000000-0005-0000-0000-000024A70000}"/>
    <cellStyle name="Percent 3 2 4 4 2 4 2" xfId="40326" xr:uid="{00000000-0005-0000-0000-000025A70000}"/>
    <cellStyle name="Percent 3 2 4 4 2 5" xfId="40319" xr:uid="{00000000-0005-0000-0000-000026A70000}"/>
    <cellStyle name="Percent 3 2 4 4 3" xfId="16857" xr:uid="{00000000-0005-0000-0000-000027A70000}"/>
    <cellStyle name="Percent 3 2 4 4 3 2" xfId="16858" xr:uid="{00000000-0005-0000-0000-000028A70000}"/>
    <cellStyle name="Percent 3 2 4 4 3 2 2" xfId="16859" xr:uid="{00000000-0005-0000-0000-000029A70000}"/>
    <cellStyle name="Percent 3 2 4 4 3 2 2 2" xfId="16860" xr:uid="{00000000-0005-0000-0000-00002AA70000}"/>
    <cellStyle name="Percent 3 2 4 4 3 2 2 2 2" xfId="40330" xr:uid="{00000000-0005-0000-0000-00002BA70000}"/>
    <cellStyle name="Percent 3 2 4 4 3 2 2 3" xfId="40329" xr:uid="{00000000-0005-0000-0000-00002CA70000}"/>
    <cellStyle name="Percent 3 2 4 4 3 2 3" xfId="16861" xr:uid="{00000000-0005-0000-0000-00002DA70000}"/>
    <cellStyle name="Percent 3 2 4 4 3 2 3 2" xfId="40331" xr:uid="{00000000-0005-0000-0000-00002EA70000}"/>
    <cellStyle name="Percent 3 2 4 4 3 2 4" xfId="40328" xr:uid="{00000000-0005-0000-0000-00002FA70000}"/>
    <cellStyle name="Percent 3 2 4 4 3 3" xfId="16862" xr:uid="{00000000-0005-0000-0000-000030A70000}"/>
    <cellStyle name="Percent 3 2 4 4 3 3 2" xfId="16863" xr:uid="{00000000-0005-0000-0000-000031A70000}"/>
    <cellStyle name="Percent 3 2 4 4 3 3 2 2" xfId="40333" xr:uid="{00000000-0005-0000-0000-000032A70000}"/>
    <cellStyle name="Percent 3 2 4 4 3 3 3" xfId="40332" xr:uid="{00000000-0005-0000-0000-000033A70000}"/>
    <cellStyle name="Percent 3 2 4 4 3 4" xfId="16864" xr:uid="{00000000-0005-0000-0000-000034A70000}"/>
    <cellStyle name="Percent 3 2 4 4 3 4 2" xfId="40334" xr:uid="{00000000-0005-0000-0000-000035A70000}"/>
    <cellStyle name="Percent 3 2 4 4 3 5" xfId="40327" xr:uid="{00000000-0005-0000-0000-000036A70000}"/>
    <cellStyle name="Percent 3 2 4 4 4" xfId="16865" xr:uid="{00000000-0005-0000-0000-000037A70000}"/>
    <cellStyle name="Percent 3 2 4 4 4 2" xfId="16866" xr:uid="{00000000-0005-0000-0000-000038A70000}"/>
    <cellStyle name="Percent 3 2 4 4 4 2 2" xfId="16867" xr:uid="{00000000-0005-0000-0000-000039A70000}"/>
    <cellStyle name="Percent 3 2 4 4 4 2 2 2" xfId="40337" xr:uid="{00000000-0005-0000-0000-00003AA70000}"/>
    <cellStyle name="Percent 3 2 4 4 4 2 3" xfId="40336" xr:uid="{00000000-0005-0000-0000-00003BA70000}"/>
    <cellStyle name="Percent 3 2 4 4 4 3" xfId="16868" xr:uid="{00000000-0005-0000-0000-00003CA70000}"/>
    <cellStyle name="Percent 3 2 4 4 4 3 2" xfId="40338" xr:uid="{00000000-0005-0000-0000-00003DA70000}"/>
    <cellStyle name="Percent 3 2 4 4 4 4" xfId="40335" xr:uid="{00000000-0005-0000-0000-00003EA70000}"/>
    <cellStyle name="Percent 3 2 4 4 5" xfId="16869" xr:uid="{00000000-0005-0000-0000-00003FA70000}"/>
    <cellStyle name="Percent 3 2 4 4 5 2" xfId="16870" xr:uid="{00000000-0005-0000-0000-000040A70000}"/>
    <cellStyle name="Percent 3 2 4 4 5 2 2" xfId="40340" xr:uid="{00000000-0005-0000-0000-000041A70000}"/>
    <cellStyle name="Percent 3 2 4 4 5 3" xfId="40339" xr:uid="{00000000-0005-0000-0000-000042A70000}"/>
    <cellStyle name="Percent 3 2 4 4 6" xfId="16871" xr:uid="{00000000-0005-0000-0000-000043A70000}"/>
    <cellStyle name="Percent 3 2 4 4 6 2" xfId="40341" xr:uid="{00000000-0005-0000-0000-000044A70000}"/>
    <cellStyle name="Percent 3 2 4 4 7" xfId="40318" xr:uid="{00000000-0005-0000-0000-000045A70000}"/>
    <cellStyle name="Percent 3 2 4 5" xfId="16872" xr:uid="{00000000-0005-0000-0000-000046A70000}"/>
    <cellStyle name="Percent 3 2 4 5 2" xfId="16873" xr:uid="{00000000-0005-0000-0000-000047A70000}"/>
    <cellStyle name="Percent 3 2 4 5 2 2" xfId="16874" xr:uid="{00000000-0005-0000-0000-000048A70000}"/>
    <cellStyle name="Percent 3 2 4 5 2 2 2" xfId="16875" xr:uid="{00000000-0005-0000-0000-000049A70000}"/>
    <cellStyle name="Percent 3 2 4 5 2 2 2 2" xfId="40345" xr:uid="{00000000-0005-0000-0000-00004AA70000}"/>
    <cellStyle name="Percent 3 2 4 5 2 2 3" xfId="40344" xr:uid="{00000000-0005-0000-0000-00004BA70000}"/>
    <cellStyle name="Percent 3 2 4 5 2 3" xfId="16876" xr:uid="{00000000-0005-0000-0000-00004CA70000}"/>
    <cellStyle name="Percent 3 2 4 5 2 3 2" xfId="40346" xr:uid="{00000000-0005-0000-0000-00004DA70000}"/>
    <cellStyle name="Percent 3 2 4 5 2 4" xfId="40343" xr:uid="{00000000-0005-0000-0000-00004EA70000}"/>
    <cellStyle name="Percent 3 2 4 5 3" xfId="16877" xr:uid="{00000000-0005-0000-0000-00004FA70000}"/>
    <cellStyle name="Percent 3 2 4 5 3 2" xfId="16878" xr:uid="{00000000-0005-0000-0000-000050A70000}"/>
    <cellStyle name="Percent 3 2 4 5 3 2 2" xfId="40348" xr:uid="{00000000-0005-0000-0000-000051A70000}"/>
    <cellStyle name="Percent 3 2 4 5 3 3" xfId="40347" xr:uid="{00000000-0005-0000-0000-000052A70000}"/>
    <cellStyle name="Percent 3 2 4 5 4" xfId="16879" xr:uid="{00000000-0005-0000-0000-000053A70000}"/>
    <cellStyle name="Percent 3 2 4 5 4 2" xfId="40349" xr:uid="{00000000-0005-0000-0000-000054A70000}"/>
    <cellStyle name="Percent 3 2 4 5 5" xfId="40342" xr:uid="{00000000-0005-0000-0000-000055A70000}"/>
    <cellStyle name="Percent 3 2 4 6" xfId="16880" xr:uid="{00000000-0005-0000-0000-000056A70000}"/>
    <cellStyle name="Percent 3 2 4 6 2" xfId="16881" xr:uid="{00000000-0005-0000-0000-000057A70000}"/>
    <cellStyle name="Percent 3 2 4 6 2 2" xfId="16882" xr:uid="{00000000-0005-0000-0000-000058A70000}"/>
    <cellStyle name="Percent 3 2 4 6 2 2 2" xfId="16883" xr:uid="{00000000-0005-0000-0000-000059A70000}"/>
    <cellStyle name="Percent 3 2 4 6 2 2 2 2" xfId="40353" xr:uid="{00000000-0005-0000-0000-00005AA70000}"/>
    <cellStyle name="Percent 3 2 4 6 2 2 3" xfId="40352" xr:uid="{00000000-0005-0000-0000-00005BA70000}"/>
    <cellStyle name="Percent 3 2 4 6 2 3" xfId="16884" xr:uid="{00000000-0005-0000-0000-00005CA70000}"/>
    <cellStyle name="Percent 3 2 4 6 2 3 2" xfId="40354" xr:uid="{00000000-0005-0000-0000-00005DA70000}"/>
    <cellStyle name="Percent 3 2 4 6 2 4" xfId="40351" xr:uid="{00000000-0005-0000-0000-00005EA70000}"/>
    <cellStyle name="Percent 3 2 4 6 3" xfId="16885" xr:uid="{00000000-0005-0000-0000-00005FA70000}"/>
    <cellStyle name="Percent 3 2 4 6 3 2" xfId="16886" xr:uid="{00000000-0005-0000-0000-000060A70000}"/>
    <cellStyle name="Percent 3 2 4 6 3 2 2" xfId="40356" xr:uid="{00000000-0005-0000-0000-000061A70000}"/>
    <cellStyle name="Percent 3 2 4 6 3 3" xfId="40355" xr:uid="{00000000-0005-0000-0000-000062A70000}"/>
    <cellStyle name="Percent 3 2 4 6 4" xfId="16887" xr:uid="{00000000-0005-0000-0000-000063A70000}"/>
    <cellStyle name="Percent 3 2 4 6 4 2" xfId="40357" xr:uid="{00000000-0005-0000-0000-000064A70000}"/>
    <cellStyle name="Percent 3 2 4 6 5" xfId="40350" xr:uid="{00000000-0005-0000-0000-000065A70000}"/>
    <cellStyle name="Percent 3 2 4 7" xfId="16888" xr:uid="{00000000-0005-0000-0000-000066A70000}"/>
    <cellStyle name="Percent 3 2 4 7 2" xfId="16889" xr:uid="{00000000-0005-0000-0000-000067A70000}"/>
    <cellStyle name="Percent 3 2 4 7 2 2" xfId="16890" xr:uid="{00000000-0005-0000-0000-000068A70000}"/>
    <cellStyle name="Percent 3 2 4 7 2 2 2" xfId="40360" xr:uid="{00000000-0005-0000-0000-000069A70000}"/>
    <cellStyle name="Percent 3 2 4 7 2 3" xfId="40359" xr:uid="{00000000-0005-0000-0000-00006AA70000}"/>
    <cellStyle name="Percent 3 2 4 7 3" xfId="16891" xr:uid="{00000000-0005-0000-0000-00006BA70000}"/>
    <cellStyle name="Percent 3 2 4 7 3 2" xfId="40361" xr:uid="{00000000-0005-0000-0000-00006CA70000}"/>
    <cellStyle name="Percent 3 2 4 7 4" xfId="40358" xr:uid="{00000000-0005-0000-0000-00006DA70000}"/>
    <cellStyle name="Percent 3 2 4 8" xfId="16892" xr:uid="{00000000-0005-0000-0000-00006EA70000}"/>
    <cellStyle name="Percent 3 2 4 8 2" xfId="16893" xr:uid="{00000000-0005-0000-0000-00006FA70000}"/>
    <cellStyle name="Percent 3 2 4 8 2 2" xfId="40363" xr:uid="{00000000-0005-0000-0000-000070A70000}"/>
    <cellStyle name="Percent 3 2 4 8 3" xfId="40362" xr:uid="{00000000-0005-0000-0000-000071A70000}"/>
    <cellStyle name="Percent 3 2 4 9" xfId="16894" xr:uid="{00000000-0005-0000-0000-000072A70000}"/>
    <cellStyle name="Percent 3 2 4 9 2" xfId="40364" xr:uid="{00000000-0005-0000-0000-000073A70000}"/>
    <cellStyle name="Percent 3 2 5" xfId="16895" xr:uid="{00000000-0005-0000-0000-000074A70000}"/>
    <cellStyle name="Percent 3 2 5 2" xfId="16896" xr:uid="{00000000-0005-0000-0000-000075A70000}"/>
    <cellStyle name="Percent 3 2 5 2 2" xfId="16897" xr:uid="{00000000-0005-0000-0000-000076A70000}"/>
    <cellStyle name="Percent 3 2 5 2 2 2" xfId="16898" xr:uid="{00000000-0005-0000-0000-000077A70000}"/>
    <cellStyle name="Percent 3 2 5 2 2 2 2" xfId="16899" xr:uid="{00000000-0005-0000-0000-000078A70000}"/>
    <cellStyle name="Percent 3 2 5 2 2 2 2 2" xfId="40369" xr:uid="{00000000-0005-0000-0000-000079A70000}"/>
    <cellStyle name="Percent 3 2 5 2 2 2 3" xfId="40368" xr:uid="{00000000-0005-0000-0000-00007AA70000}"/>
    <cellStyle name="Percent 3 2 5 2 2 3" xfId="16900" xr:uid="{00000000-0005-0000-0000-00007BA70000}"/>
    <cellStyle name="Percent 3 2 5 2 2 3 2" xfId="40370" xr:uid="{00000000-0005-0000-0000-00007CA70000}"/>
    <cellStyle name="Percent 3 2 5 2 2 4" xfId="40367" xr:uid="{00000000-0005-0000-0000-00007DA70000}"/>
    <cellStyle name="Percent 3 2 5 2 3" xfId="16901" xr:uid="{00000000-0005-0000-0000-00007EA70000}"/>
    <cellStyle name="Percent 3 2 5 2 3 2" xfId="16902" xr:uid="{00000000-0005-0000-0000-00007FA70000}"/>
    <cellStyle name="Percent 3 2 5 2 3 2 2" xfId="40372" xr:uid="{00000000-0005-0000-0000-000080A70000}"/>
    <cellStyle name="Percent 3 2 5 2 3 3" xfId="40371" xr:uid="{00000000-0005-0000-0000-000081A70000}"/>
    <cellStyle name="Percent 3 2 5 2 4" xfId="16903" xr:uid="{00000000-0005-0000-0000-000082A70000}"/>
    <cellStyle name="Percent 3 2 5 2 4 2" xfId="40373" xr:uid="{00000000-0005-0000-0000-000083A70000}"/>
    <cellStyle name="Percent 3 2 5 2 5" xfId="40366" xr:uid="{00000000-0005-0000-0000-000084A70000}"/>
    <cellStyle name="Percent 3 2 5 3" xfId="16904" xr:uid="{00000000-0005-0000-0000-000085A70000}"/>
    <cellStyle name="Percent 3 2 5 3 2" xfId="16905" xr:uid="{00000000-0005-0000-0000-000086A70000}"/>
    <cellStyle name="Percent 3 2 5 3 2 2" xfId="16906" xr:uid="{00000000-0005-0000-0000-000087A70000}"/>
    <cellStyle name="Percent 3 2 5 3 2 2 2" xfId="16907" xr:uid="{00000000-0005-0000-0000-000088A70000}"/>
    <cellStyle name="Percent 3 2 5 3 2 2 2 2" xfId="40377" xr:uid="{00000000-0005-0000-0000-000089A70000}"/>
    <cellStyle name="Percent 3 2 5 3 2 2 3" xfId="40376" xr:uid="{00000000-0005-0000-0000-00008AA70000}"/>
    <cellStyle name="Percent 3 2 5 3 2 3" xfId="16908" xr:uid="{00000000-0005-0000-0000-00008BA70000}"/>
    <cellStyle name="Percent 3 2 5 3 2 3 2" xfId="40378" xr:uid="{00000000-0005-0000-0000-00008CA70000}"/>
    <cellStyle name="Percent 3 2 5 3 2 4" xfId="40375" xr:uid="{00000000-0005-0000-0000-00008DA70000}"/>
    <cellStyle name="Percent 3 2 5 3 3" xfId="16909" xr:uid="{00000000-0005-0000-0000-00008EA70000}"/>
    <cellStyle name="Percent 3 2 5 3 3 2" xfId="16910" xr:uid="{00000000-0005-0000-0000-00008FA70000}"/>
    <cellStyle name="Percent 3 2 5 3 3 2 2" xfId="40380" xr:uid="{00000000-0005-0000-0000-000090A70000}"/>
    <cellStyle name="Percent 3 2 5 3 3 3" xfId="40379" xr:uid="{00000000-0005-0000-0000-000091A70000}"/>
    <cellStyle name="Percent 3 2 5 3 4" xfId="16911" xr:uid="{00000000-0005-0000-0000-000092A70000}"/>
    <cellStyle name="Percent 3 2 5 3 4 2" xfId="40381" xr:uid="{00000000-0005-0000-0000-000093A70000}"/>
    <cellStyle name="Percent 3 2 5 3 5" xfId="40374" xr:uid="{00000000-0005-0000-0000-000094A70000}"/>
    <cellStyle name="Percent 3 2 5 4" xfId="16912" xr:uid="{00000000-0005-0000-0000-000095A70000}"/>
    <cellStyle name="Percent 3 2 5 4 2" xfId="16913" xr:uid="{00000000-0005-0000-0000-000096A70000}"/>
    <cellStyle name="Percent 3 2 5 4 2 2" xfId="16914" xr:uid="{00000000-0005-0000-0000-000097A70000}"/>
    <cellStyle name="Percent 3 2 5 4 2 2 2" xfId="40384" xr:uid="{00000000-0005-0000-0000-000098A70000}"/>
    <cellStyle name="Percent 3 2 5 4 2 3" xfId="40383" xr:uid="{00000000-0005-0000-0000-000099A70000}"/>
    <cellStyle name="Percent 3 2 5 4 3" xfId="16915" xr:uid="{00000000-0005-0000-0000-00009AA70000}"/>
    <cellStyle name="Percent 3 2 5 4 3 2" xfId="40385" xr:uid="{00000000-0005-0000-0000-00009BA70000}"/>
    <cellStyle name="Percent 3 2 5 4 4" xfId="40382" xr:uid="{00000000-0005-0000-0000-00009CA70000}"/>
    <cellStyle name="Percent 3 2 5 5" xfId="16916" xr:uid="{00000000-0005-0000-0000-00009DA70000}"/>
    <cellStyle name="Percent 3 2 5 5 2" xfId="16917" xr:uid="{00000000-0005-0000-0000-00009EA70000}"/>
    <cellStyle name="Percent 3 2 5 5 2 2" xfId="40387" xr:uid="{00000000-0005-0000-0000-00009FA70000}"/>
    <cellStyle name="Percent 3 2 5 5 3" xfId="40386" xr:uid="{00000000-0005-0000-0000-0000A0A70000}"/>
    <cellStyle name="Percent 3 2 5 6" xfId="16918" xr:uid="{00000000-0005-0000-0000-0000A1A70000}"/>
    <cellStyle name="Percent 3 2 5 6 2" xfId="40388" xr:uid="{00000000-0005-0000-0000-0000A2A70000}"/>
    <cellStyle name="Percent 3 2 5 7" xfId="40365" xr:uid="{00000000-0005-0000-0000-0000A3A70000}"/>
    <cellStyle name="Percent 3 2 6" xfId="16919" xr:uid="{00000000-0005-0000-0000-0000A4A70000}"/>
    <cellStyle name="Percent 3 2 6 2" xfId="16920" xr:uid="{00000000-0005-0000-0000-0000A5A70000}"/>
    <cellStyle name="Percent 3 2 6 2 2" xfId="16921" xr:uid="{00000000-0005-0000-0000-0000A6A70000}"/>
    <cellStyle name="Percent 3 2 6 2 2 2" xfId="16922" xr:uid="{00000000-0005-0000-0000-0000A7A70000}"/>
    <cellStyle name="Percent 3 2 6 2 2 2 2" xfId="16923" xr:uid="{00000000-0005-0000-0000-0000A8A70000}"/>
    <cellStyle name="Percent 3 2 6 2 2 2 2 2" xfId="40393" xr:uid="{00000000-0005-0000-0000-0000A9A70000}"/>
    <cellStyle name="Percent 3 2 6 2 2 2 3" xfId="40392" xr:uid="{00000000-0005-0000-0000-0000AAA70000}"/>
    <cellStyle name="Percent 3 2 6 2 2 3" xfId="16924" xr:uid="{00000000-0005-0000-0000-0000ABA70000}"/>
    <cellStyle name="Percent 3 2 6 2 2 3 2" xfId="40394" xr:uid="{00000000-0005-0000-0000-0000ACA70000}"/>
    <cellStyle name="Percent 3 2 6 2 2 4" xfId="40391" xr:uid="{00000000-0005-0000-0000-0000ADA70000}"/>
    <cellStyle name="Percent 3 2 6 2 3" xfId="16925" xr:uid="{00000000-0005-0000-0000-0000AEA70000}"/>
    <cellStyle name="Percent 3 2 6 2 3 2" xfId="16926" xr:uid="{00000000-0005-0000-0000-0000AFA70000}"/>
    <cellStyle name="Percent 3 2 6 2 3 2 2" xfId="40396" xr:uid="{00000000-0005-0000-0000-0000B0A70000}"/>
    <cellStyle name="Percent 3 2 6 2 3 3" xfId="40395" xr:uid="{00000000-0005-0000-0000-0000B1A70000}"/>
    <cellStyle name="Percent 3 2 6 2 4" xfId="16927" xr:uid="{00000000-0005-0000-0000-0000B2A70000}"/>
    <cellStyle name="Percent 3 2 6 2 4 2" xfId="40397" xr:uid="{00000000-0005-0000-0000-0000B3A70000}"/>
    <cellStyle name="Percent 3 2 6 2 5" xfId="40390" xr:uid="{00000000-0005-0000-0000-0000B4A70000}"/>
    <cellStyle name="Percent 3 2 6 3" xfId="16928" xr:uid="{00000000-0005-0000-0000-0000B5A70000}"/>
    <cellStyle name="Percent 3 2 6 3 2" xfId="16929" xr:uid="{00000000-0005-0000-0000-0000B6A70000}"/>
    <cellStyle name="Percent 3 2 6 3 2 2" xfId="16930" xr:uid="{00000000-0005-0000-0000-0000B7A70000}"/>
    <cellStyle name="Percent 3 2 6 3 2 2 2" xfId="16931" xr:uid="{00000000-0005-0000-0000-0000B8A70000}"/>
    <cellStyle name="Percent 3 2 6 3 2 2 2 2" xfId="40401" xr:uid="{00000000-0005-0000-0000-0000B9A70000}"/>
    <cellStyle name="Percent 3 2 6 3 2 2 3" xfId="40400" xr:uid="{00000000-0005-0000-0000-0000BAA70000}"/>
    <cellStyle name="Percent 3 2 6 3 2 3" xfId="16932" xr:uid="{00000000-0005-0000-0000-0000BBA70000}"/>
    <cellStyle name="Percent 3 2 6 3 2 3 2" xfId="40402" xr:uid="{00000000-0005-0000-0000-0000BCA70000}"/>
    <cellStyle name="Percent 3 2 6 3 2 4" xfId="40399" xr:uid="{00000000-0005-0000-0000-0000BDA70000}"/>
    <cellStyle name="Percent 3 2 6 3 3" xfId="16933" xr:uid="{00000000-0005-0000-0000-0000BEA70000}"/>
    <cellStyle name="Percent 3 2 6 3 3 2" xfId="16934" xr:uid="{00000000-0005-0000-0000-0000BFA70000}"/>
    <cellStyle name="Percent 3 2 6 3 3 2 2" xfId="40404" xr:uid="{00000000-0005-0000-0000-0000C0A70000}"/>
    <cellStyle name="Percent 3 2 6 3 3 3" xfId="40403" xr:uid="{00000000-0005-0000-0000-0000C1A70000}"/>
    <cellStyle name="Percent 3 2 6 3 4" xfId="16935" xr:uid="{00000000-0005-0000-0000-0000C2A70000}"/>
    <cellStyle name="Percent 3 2 6 3 4 2" xfId="40405" xr:uid="{00000000-0005-0000-0000-0000C3A70000}"/>
    <cellStyle name="Percent 3 2 6 3 5" xfId="40398" xr:uid="{00000000-0005-0000-0000-0000C4A70000}"/>
    <cellStyle name="Percent 3 2 6 4" xfId="16936" xr:uid="{00000000-0005-0000-0000-0000C5A70000}"/>
    <cellStyle name="Percent 3 2 6 4 2" xfId="16937" xr:uid="{00000000-0005-0000-0000-0000C6A70000}"/>
    <cellStyle name="Percent 3 2 6 4 2 2" xfId="16938" xr:uid="{00000000-0005-0000-0000-0000C7A70000}"/>
    <cellStyle name="Percent 3 2 6 4 2 2 2" xfId="40408" xr:uid="{00000000-0005-0000-0000-0000C8A70000}"/>
    <cellStyle name="Percent 3 2 6 4 2 3" xfId="40407" xr:uid="{00000000-0005-0000-0000-0000C9A70000}"/>
    <cellStyle name="Percent 3 2 6 4 3" xfId="16939" xr:uid="{00000000-0005-0000-0000-0000CAA70000}"/>
    <cellStyle name="Percent 3 2 6 4 3 2" xfId="40409" xr:uid="{00000000-0005-0000-0000-0000CBA70000}"/>
    <cellStyle name="Percent 3 2 6 4 4" xfId="40406" xr:uid="{00000000-0005-0000-0000-0000CCA70000}"/>
    <cellStyle name="Percent 3 2 6 5" xfId="16940" xr:uid="{00000000-0005-0000-0000-0000CDA70000}"/>
    <cellStyle name="Percent 3 2 6 5 2" xfId="16941" xr:uid="{00000000-0005-0000-0000-0000CEA70000}"/>
    <cellStyle name="Percent 3 2 6 5 2 2" xfId="40411" xr:uid="{00000000-0005-0000-0000-0000CFA70000}"/>
    <cellStyle name="Percent 3 2 6 5 3" xfId="40410" xr:uid="{00000000-0005-0000-0000-0000D0A70000}"/>
    <cellStyle name="Percent 3 2 6 6" xfId="16942" xr:uid="{00000000-0005-0000-0000-0000D1A70000}"/>
    <cellStyle name="Percent 3 2 6 6 2" xfId="40412" xr:uid="{00000000-0005-0000-0000-0000D2A70000}"/>
    <cellStyle name="Percent 3 2 6 7" xfId="40389" xr:uid="{00000000-0005-0000-0000-0000D3A70000}"/>
    <cellStyle name="Percent 3 2 7" xfId="16943" xr:uid="{00000000-0005-0000-0000-0000D4A70000}"/>
    <cellStyle name="Percent 3 2 7 2" xfId="16944" xr:uid="{00000000-0005-0000-0000-0000D5A70000}"/>
    <cellStyle name="Percent 3 2 7 2 2" xfId="16945" xr:uid="{00000000-0005-0000-0000-0000D6A70000}"/>
    <cellStyle name="Percent 3 2 7 2 2 2" xfId="16946" xr:uid="{00000000-0005-0000-0000-0000D7A70000}"/>
    <cellStyle name="Percent 3 2 7 2 2 2 2" xfId="16947" xr:uid="{00000000-0005-0000-0000-0000D8A70000}"/>
    <cellStyle name="Percent 3 2 7 2 2 2 2 2" xfId="40417" xr:uid="{00000000-0005-0000-0000-0000D9A70000}"/>
    <cellStyle name="Percent 3 2 7 2 2 2 3" xfId="40416" xr:uid="{00000000-0005-0000-0000-0000DAA70000}"/>
    <cellStyle name="Percent 3 2 7 2 2 3" xfId="16948" xr:uid="{00000000-0005-0000-0000-0000DBA70000}"/>
    <cellStyle name="Percent 3 2 7 2 2 3 2" xfId="40418" xr:uid="{00000000-0005-0000-0000-0000DCA70000}"/>
    <cellStyle name="Percent 3 2 7 2 2 4" xfId="40415" xr:uid="{00000000-0005-0000-0000-0000DDA70000}"/>
    <cellStyle name="Percent 3 2 7 2 3" xfId="16949" xr:uid="{00000000-0005-0000-0000-0000DEA70000}"/>
    <cellStyle name="Percent 3 2 7 2 3 2" xfId="16950" xr:uid="{00000000-0005-0000-0000-0000DFA70000}"/>
    <cellStyle name="Percent 3 2 7 2 3 2 2" xfId="40420" xr:uid="{00000000-0005-0000-0000-0000E0A70000}"/>
    <cellStyle name="Percent 3 2 7 2 3 3" xfId="40419" xr:uid="{00000000-0005-0000-0000-0000E1A70000}"/>
    <cellStyle name="Percent 3 2 7 2 4" xfId="16951" xr:uid="{00000000-0005-0000-0000-0000E2A70000}"/>
    <cellStyle name="Percent 3 2 7 2 4 2" xfId="40421" xr:uid="{00000000-0005-0000-0000-0000E3A70000}"/>
    <cellStyle name="Percent 3 2 7 2 5" xfId="40414" xr:uid="{00000000-0005-0000-0000-0000E4A70000}"/>
    <cellStyle name="Percent 3 2 7 3" xfId="16952" xr:uid="{00000000-0005-0000-0000-0000E5A70000}"/>
    <cellStyle name="Percent 3 2 7 3 2" xfId="16953" xr:uid="{00000000-0005-0000-0000-0000E6A70000}"/>
    <cellStyle name="Percent 3 2 7 3 2 2" xfId="16954" xr:uid="{00000000-0005-0000-0000-0000E7A70000}"/>
    <cellStyle name="Percent 3 2 7 3 2 2 2" xfId="16955" xr:uid="{00000000-0005-0000-0000-0000E8A70000}"/>
    <cellStyle name="Percent 3 2 7 3 2 2 2 2" xfId="40425" xr:uid="{00000000-0005-0000-0000-0000E9A70000}"/>
    <cellStyle name="Percent 3 2 7 3 2 2 3" xfId="40424" xr:uid="{00000000-0005-0000-0000-0000EAA70000}"/>
    <cellStyle name="Percent 3 2 7 3 2 3" xfId="16956" xr:uid="{00000000-0005-0000-0000-0000EBA70000}"/>
    <cellStyle name="Percent 3 2 7 3 2 3 2" xfId="40426" xr:uid="{00000000-0005-0000-0000-0000ECA70000}"/>
    <cellStyle name="Percent 3 2 7 3 2 4" xfId="40423" xr:uid="{00000000-0005-0000-0000-0000EDA70000}"/>
    <cellStyle name="Percent 3 2 7 3 3" xfId="16957" xr:uid="{00000000-0005-0000-0000-0000EEA70000}"/>
    <cellStyle name="Percent 3 2 7 3 3 2" xfId="16958" xr:uid="{00000000-0005-0000-0000-0000EFA70000}"/>
    <cellStyle name="Percent 3 2 7 3 3 2 2" xfId="40428" xr:uid="{00000000-0005-0000-0000-0000F0A70000}"/>
    <cellStyle name="Percent 3 2 7 3 3 3" xfId="40427" xr:uid="{00000000-0005-0000-0000-0000F1A70000}"/>
    <cellStyle name="Percent 3 2 7 3 4" xfId="16959" xr:uid="{00000000-0005-0000-0000-0000F2A70000}"/>
    <cellStyle name="Percent 3 2 7 3 4 2" xfId="40429" xr:uid="{00000000-0005-0000-0000-0000F3A70000}"/>
    <cellStyle name="Percent 3 2 7 3 5" xfId="40422" xr:uid="{00000000-0005-0000-0000-0000F4A70000}"/>
    <cellStyle name="Percent 3 2 7 4" xfId="16960" xr:uid="{00000000-0005-0000-0000-0000F5A70000}"/>
    <cellStyle name="Percent 3 2 7 4 2" xfId="16961" xr:uid="{00000000-0005-0000-0000-0000F6A70000}"/>
    <cellStyle name="Percent 3 2 7 4 2 2" xfId="16962" xr:uid="{00000000-0005-0000-0000-0000F7A70000}"/>
    <cellStyle name="Percent 3 2 7 4 2 2 2" xfId="40432" xr:uid="{00000000-0005-0000-0000-0000F8A70000}"/>
    <cellStyle name="Percent 3 2 7 4 2 3" xfId="40431" xr:uid="{00000000-0005-0000-0000-0000F9A70000}"/>
    <cellStyle name="Percent 3 2 7 4 3" xfId="16963" xr:uid="{00000000-0005-0000-0000-0000FAA70000}"/>
    <cellStyle name="Percent 3 2 7 4 3 2" xfId="40433" xr:uid="{00000000-0005-0000-0000-0000FBA70000}"/>
    <cellStyle name="Percent 3 2 7 4 4" xfId="40430" xr:uid="{00000000-0005-0000-0000-0000FCA70000}"/>
    <cellStyle name="Percent 3 2 7 5" xfId="16964" xr:uid="{00000000-0005-0000-0000-0000FDA70000}"/>
    <cellStyle name="Percent 3 2 7 5 2" xfId="16965" xr:uid="{00000000-0005-0000-0000-0000FEA70000}"/>
    <cellStyle name="Percent 3 2 7 5 2 2" xfId="40435" xr:uid="{00000000-0005-0000-0000-0000FFA70000}"/>
    <cellStyle name="Percent 3 2 7 5 3" xfId="40434" xr:uid="{00000000-0005-0000-0000-000000A80000}"/>
    <cellStyle name="Percent 3 2 7 6" xfId="16966" xr:uid="{00000000-0005-0000-0000-000001A80000}"/>
    <cellStyle name="Percent 3 2 7 6 2" xfId="40436" xr:uid="{00000000-0005-0000-0000-000002A80000}"/>
    <cellStyle name="Percent 3 2 7 7" xfId="40413" xr:uid="{00000000-0005-0000-0000-000003A80000}"/>
    <cellStyle name="Percent 3 2 8" xfId="16967" xr:uid="{00000000-0005-0000-0000-000004A80000}"/>
    <cellStyle name="Percent 3 2 8 2" xfId="16968" xr:uid="{00000000-0005-0000-0000-000005A80000}"/>
    <cellStyle name="Percent 3 2 8 2 2" xfId="16969" xr:uid="{00000000-0005-0000-0000-000006A80000}"/>
    <cellStyle name="Percent 3 2 8 2 2 2" xfId="16970" xr:uid="{00000000-0005-0000-0000-000007A80000}"/>
    <cellStyle name="Percent 3 2 8 2 2 2 2" xfId="16971" xr:uid="{00000000-0005-0000-0000-000008A80000}"/>
    <cellStyle name="Percent 3 2 8 2 2 2 2 2" xfId="40441" xr:uid="{00000000-0005-0000-0000-000009A80000}"/>
    <cellStyle name="Percent 3 2 8 2 2 2 3" xfId="40440" xr:uid="{00000000-0005-0000-0000-00000AA80000}"/>
    <cellStyle name="Percent 3 2 8 2 2 3" xfId="16972" xr:uid="{00000000-0005-0000-0000-00000BA80000}"/>
    <cellStyle name="Percent 3 2 8 2 2 3 2" xfId="40442" xr:uid="{00000000-0005-0000-0000-00000CA80000}"/>
    <cellStyle name="Percent 3 2 8 2 2 4" xfId="40439" xr:uid="{00000000-0005-0000-0000-00000DA80000}"/>
    <cellStyle name="Percent 3 2 8 2 3" xfId="16973" xr:uid="{00000000-0005-0000-0000-00000EA80000}"/>
    <cellStyle name="Percent 3 2 8 2 3 2" xfId="16974" xr:uid="{00000000-0005-0000-0000-00000FA80000}"/>
    <cellStyle name="Percent 3 2 8 2 3 2 2" xfId="40444" xr:uid="{00000000-0005-0000-0000-000010A80000}"/>
    <cellStyle name="Percent 3 2 8 2 3 3" xfId="40443" xr:uid="{00000000-0005-0000-0000-000011A80000}"/>
    <cellStyle name="Percent 3 2 8 2 4" xfId="16975" xr:uid="{00000000-0005-0000-0000-000012A80000}"/>
    <cellStyle name="Percent 3 2 8 2 4 2" xfId="40445" xr:uid="{00000000-0005-0000-0000-000013A80000}"/>
    <cellStyle name="Percent 3 2 8 2 5" xfId="40438" xr:uid="{00000000-0005-0000-0000-000014A80000}"/>
    <cellStyle name="Percent 3 2 8 3" xfId="16976" xr:uid="{00000000-0005-0000-0000-000015A80000}"/>
    <cellStyle name="Percent 3 2 8 3 2" xfId="16977" xr:uid="{00000000-0005-0000-0000-000016A80000}"/>
    <cellStyle name="Percent 3 2 8 3 2 2" xfId="16978" xr:uid="{00000000-0005-0000-0000-000017A80000}"/>
    <cellStyle name="Percent 3 2 8 3 2 2 2" xfId="16979" xr:uid="{00000000-0005-0000-0000-000018A80000}"/>
    <cellStyle name="Percent 3 2 8 3 2 2 2 2" xfId="40449" xr:uid="{00000000-0005-0000-0000-000019A80000}"/>
    <cellStyle name="Percent 3 2 8 3 2 2 3" xfId="40448" xr:uid="{00000000-0005-0000-0000-00001AA80000}"/>
    <cellStyle name="Percent 3 2 8 3 2 3" xfId="16980" xr:uid="{00000000-0005-0000-0000-00001BA80000}"/>
    <cellStyle name="Percent 3 2 8 3 2 3 2" xfId="40450" xr:uid="{00000000-0005-0000-0000-00001CA80000}"/>
    <cellStyle name="Percent 3 2 8 3 2 4" xfId="40447" xr:uid="{00000000-0005-0000-0000-00001DA80000}"/>
    <cellStyle name="Percent 3 2 8 3 3" xfId="16981" xr:uid="{00000000-0005-0000-0000-00001EA80000}"/>
    <cellStyle name="Percent 3 2 8 3 3 2" xfId="16982" xr:uid="{00000000-0005-0000-0000-00001FA80000}"/>
    <cellStyle name="Percent 3 2 8 3 3 2 2" xfId="40452" xr:uid="{00000000-0005-0000-0000-000020A80000}"/>
    <cellStyle name="Percent 3 2 8 3 3 3" xfId="40451" xr:uid="{00000000-0005-0000-0000-000021A80000}"/>
    <cellStyle name="Percent 3 2 8 3 4" xfId="16983" xr:uid="{00000000-0005-0000-0000-000022A80000}"/>
    <cellStyle name="Percent 3 2 8 3 4 2" xfId="40453" xr:uid="{00000000-0005-0000-0000-000023A80000}"/>
    <cellStyle name="Percent 3 2 8 3 5" xfId="40446" xr:uid="{00000000-0005-0000-0000-000024A80000}"/>
    <cellStyle name="Percent 3 2 8 4" xfId="16984" xr:uid="{00000000-0005-0000-0000-000025A80000}"/>
    <cellStyle name="Percent 3 2 8 4 2" xfId="16985" xr:uid="{00000000-0005-0000-0000-000026A80000}"/>
    <cellStyle name="Percent 3 2 8 4 2 2" xfId="16986" xr:uid="{00000000-0005-0000-0000-000027A80000}"/>
    <cellStyle name="Percent 3 2 8 4 2 2 2" xfId="40456" xr:uid="{00000000-0005-0000-0000-000028A80000}"/>
    <cellStyle name="Percent 3 2 8 4 2 3" xfId="40455" xr:uid="{00000000-0005-0000-0000-000029A80000}"/>
    <cellStyle name="Percent 3 2 8 4 3" xfId="16987" xr:uid="{00000000-0005-0000-0000-00002AA80000}"/>
    <cellStyle name="Percent 3 2 8 4 3 2" xfId="40457" xr:uid="{00000000-0005-0000-0000-00002BA80000}"/>
    <cellStyle name="Percent 3 2 8 4 4" xfId="40454" xr:uid="{00000000-0005-0000-0000-00002CA80000}"/>
    <cellStyle name="Percent 3 2 8 5" xfId="16988" xr:uid="{00000000-0005-0000-0000-00002DA80000}"/>
    <cellStyle name="Percent 3 2 8 5 2" xfId="16989" xr:uid="{00000000-0005-0000-0000-00002EA80000}"/>
    <cellStyle name="Percent 3 2 8 5 2 2" xfId="40459" xr:uid="{00000000-0005-0000-0000-00002FA80000}"/>
    <cellStyle name="Percent 3 2 8 5 3" xfId="40458" xr:uid="{00000000-0005-0000-0000-000030A80000}"/>
    <cellStyle name="Percent 3 2 8 6" xfId="16990" xr:uid="{00000000-0005-0000-0000-000031A80000}"/>
    <cellStyle name="Percent 3 2 8 6 2" xfId="40460" xr:uid="{00000000-0005-0000-0000-000032A80000}"/>
    <cellStyle name="Percent 3 2 8 7" xfId="40437" xr:uid="{00000000-0005-0000-0000-000033A80000}"/>
    <cellStyle name="Percent 3 2 9" xfId="16991" xr:uid="{00000000-0005-0000-0000-000034A80000}"/>
    <cellStyle name="Percent 3 2 9 2" xfId="16992" xr:uid="{00000000-0005-0000-0000-000035A80000}"/>
    <cellStyle name="Percent 3 2 9 2 2" xfId="16993" xr:uid="{00000000-0005-0000-0000-000036A80000}"/>
    <cellStyle name="Percent 3 2 9 2 2 2" xfId="16994" xr:uid="{00000000-0005-0000-0000-000037A80000}"/>
    <cellStyle name="Percent 3 2 9 2 2 2 2" xfId="16995" xr:uid="{00000000-0005-0000-0000-000038A80000}"/>
    <cellStyle name="Percent 3 2 9 2 2 2 2 2" xfId="40465" xr:uid="{00000000-0005-0000-0000-000039A80000}"/>
    <cellStyle name="Percent 3 2 9 2 2 2 3" xfId="40464" xr:uid="{00000000-0005-0000-0000-00003AA80000}"/>
    <cellStyle name="Percent 3 2 9 2 2 3" xfId="16996" xr:uid="{00000000-0005-0000-0000-00003BA80000}"/>
    <cellStyle name="Percent 3 2 9 2 2 3 2" xfId="40466" xr:uid="{00000000-0005-0000-0000-00003CA80000}"/>
    <cellStyle name="Percent 3 2 9 2 2 4" xfId="40463" xr:uid="{00000000-0005-0000-0000-00003DA80000}"/>
    <cellStyle name="Percent 3 2 9 2 3" xfId="16997" xr:uid="{00000000-0005-0000-0000-00003EA80000}"/>
    <cellStyle name="Percent 3 2 9 2 3 2" xfId="16998" xr:uid="{00000000-0005-0000-0000-00003FA80000}"/>
    <cellStyle name="Percent 3 2 9 2 3 2 2" xfId="40468" xr:uid="{00000000-0005-0000-0000-000040A80000}"/>
    <cellStyle name="Percent 3 2 9 2 3 3" xfId="40467" xr:uid="{00000000-0005-0000-0000-000041A80000}"/>
    <cellStyle name="Percent 3 2 9 2 4" xfId="16999" xr:uid="{00000000-0005-0000-0000-000042A80000}"/>
    <cellStyle name="Percent 3 2 9 2 4 2" xfId="40469" xr:uid="{00000000-0005-0000-0000-000043A80000}"/>
    <cellStyle name="Percent 3 2 9 2 5" xfId="40462" xr:uid="{00000000-0005-0000-0000-000044A80000}"/>
    <cellStyle name="Percent 3 2 9 3" xfId="17000" xr:uid="{00000000-0005-0000-0000-000045A80000}"/>
    <cellStyle name="Percent 3 2 9 3 2" xfId="17001" xr:uid="{00000000-0005-0000-0000-000046A80000}"/>
    <cellStyle name="Percent 3 2 9 3 2 2" xfId="17002" xr:uid="{00000000-0005-0000-0000-000047A80000}"/>
    <cellStyle name="Percent 3 2 9 3 2 2 2" xfId="17003" xr:uid="{00000000-0005-0000-0000-000048A80000}"/>
    <cellStyle name="Percent 3 2 9 3 2 2 2 2" xfId="40473" xr:uid="{00000000-0005-0000-0000-000049A80000}"/>
    <cellStyle name="Percent 3 2 9 3 2 2 3" xfId="40472" xr:uid="{00000000-0005-0000-0000-00004AA80000}"/>
    <cellStyle name="Percent 3 2 9 3 2 3" xfId="17004" xr:uid="{00000000-0005-0000-0000-00004BA80000}"/>
    <cellStyle name="Percent 3 2 9 3 2 3 2" xfId="40474" xr:uid="{00000000-0005-0000-0000-00004CA80000}"/>
    <cellStyle name="Percent 3 2 9 3 2 4" xfId="40471" xr:uid="{00000000-0005-0000-0000-00004DA80000}"/>
    <cellStyle name="Percent 3 2 9 3 3" xfId="17005" xr:uid="{00000000-0005-0000-0000-00004EA80000}"/>
    <cellStyle name="Percent 3 2 9 3 3 2" xfId="17006" xr:uid="{00000000-0005-0000-0000-00004FA80000}"/>
    <cellStyle name="Percent 3 2 9 3 3 2 2" xfId="40476" xr:uid="{00000000-0005-0000-0000-000050A80000}"/>
    <cellStyle name="Percent 3 2 9 3 3 3" xfId="40475" xr:uid="{00000000-0005-0000-0000-000051A80000}"/>
    <cellStyle name="Percent 3 2 9 3 4" xfId="17007" xr:uid="{00000000-0005-0000-0000-000052A80000}"/>
    <cellStyle name="Percent 3 2 9 3 4 2" xfId="40477" xr:uid="{00000000-0005-0000-0000-000053A80000}"/>
    <cellStyle name="Percent 3 2 9 3 5" xfId="40470" xr:uid="{00000000-0005-0000-0000-000054A80000}"/>
    <cellStyle name="Percent 3 2 9 4" xfId="17008" xr:uid="{00000000-0005-0000-0000-000055A80000}"/>
    <cellStyle name="Percent 3 2 9 4 2" xfId="17009" xr:uid="{00000000-0005-0000-0000-000056A80000}"/>
    <cellStyle name="Percent 3 2 9 4 2 2" xfId="17010" xr:uid="{00000000-0005-0000-0000-000057A80000}"/>
    <cellStyle name="Percent 3 2 9 4 2 2 2" xfId="40480" xr:uid="{00000000-0005-0000-0000-000058A80000}"/>
    <cellStyle name="Percent 3 2 9 4 2 3" xfId="40479" xr:uid="{00000000-0005-0000-0000-000059A80000}"/>
    <cellStyle name="Percent 3 2 9 4 3" xfId="17011" xr:uid="{00000000-0005-0000-0000-00005AA80000}"/>
    <cellStyle name="Percent 3 2 9 4 3 2" xfId="40481" xr:uid="{00000000-0005-0000-0000-00005BA80000}"/>
    <cellStyle name="Percent 3 2 9 4 4" xfId="40478" xr:uid="{00000000-0005-0000-0000-00005CA80000}"/>
    <cellStyle name="Percent 3 2 9 5" xfId="17012" xr:uid="{00000000-0005-0000-0000-00005DA80000}"/>
    <cellStyle name="Percent 3 2 9 5 2" xfId="17013" xr:uid="{00000000-0005-0000-0000-00005EA80000}"/>
    <cellStyle name="Percent 3 2 9 5 2 2" xfId="40483" xr:uid="{00000000-0005-0000-0000-00005FA80000}"/>
    <cellStyle name="Percent 3 2 9 5 3" xfId="40482" xr:uid="{00000000-0005-0000-0000-000060A80000}"/>
    <cellStyle name="Percent 3 2 9 6" xfId="17014" xr:uid="{00000000-0005-0000-0000-000061A80000}"/>
    <cellStyle name="Percent 3 2 9 6 2" xfId="40484" xr:uid="{00000000-0005-0000-0000-000062A80000}"/>
    <cellStyle name="Percent 3 2 9 7" xfId="40461" xr:uid="{00000000-0005-0000-0000-000063A80000}"/>
    <cellStyle name="Percent 3 3" xfId="156" xr:uid="{00000000-0005-0000-0000-000064A80000}"/>
    <cellStyle name="Percent 3 3 10" xfId="17016" xr:uid="{00000000-0005-0000-0000-000065A80000}"/>
    <cellStyle name="Percent 3 3 10 2" xfId="17017" xr:uid="{00000000-0005-0000-0000-000066A80000}"/>
    <cellStyle name="Percent 3 3 10 2 2" xfId="17018" xr:uid="{00000000-0005-0000-0000-000067A80000}"/>
    <cellStyle name="Percent 3 3 10 2 2 2" xfId="40487" xr:uid="{00000000-0005-0000-0000-000068A80000}"/>
    <cellStyle name="Percent 3 3 10 2 3" xfId="40486" xr:uid="{00000000-0005-0000-0000-000069A80000}"/>
    <cellStyle name="Percent 3 3 11" xfId="17019" xr:uid="{00000000-0005-0000-0000-00006AA80000}"/>
    <cellStyle name="Percent 3 3 11 2" xfId="17020" xr:uid="{00000000-0005-0000-0000-00006BA80000}"/>
    <cellStyle name="Percent 3 3 11 2 2" xfId="40489" xr:uid="{00000000-0005-0000-0000-00006CA80000}"/>
    <cellStyle name="Percent 3 3 11 3" xfId="40488" xr:uid="{00000000-0005-0000-0000-00006DA80000}"/>
    <cellStyle name="Percent 3 3 12" xfId="17021" xr:uid="{00000000-0005-0000-0000-00006EA80000}"/>
    <cellStyle name="Percent 3 3 12 2" xfId="40490" xr:uid="{00000000-0005-0000-0000-00006FA80000}"/>
    <cellStyle name="Percent 3 3 13" xfId="17015" xr:uid="{00000000-0005-0000-0000-000070A80000}"/>
    <cellStyle name="Percent 3 3 13 2" xfId="40485" xr:uid="{00000000-0005-0000-0000-000071A80000}"/>
    <cellStyle name="Percent 3 3 2" xfId="17022" xr:uid="{00000000-0005-0000-0000-000072A80000}"/>
    <cellStyle name="Percent 3 3 2 10" xfId="40491" xr:uid="{00000000-0005-0000-0000-000073A80000}"/>
    <cellStyle name="Percent 3 3 2 2" xfId="17023" xr:uid="{00000000-0005-0000-0000-000074A80000}"/>
    <cellStyle name="Percent 3 3 2 2 2" xfId="17024" xr:uid="{00000000-0005-0000-0000-000075A80000}"/>
    <cellStyle name="Percent 3 3 2 2 2 2" xfId="17025" xr:uid="{00000000-0005-0000-0000-000076A80000}"/>
    <cellStyle name="Percent 3 3 2 2 2 2 2" xfId="17026" xr:uid="{00000000-0005-0000-0000-000077A80000}"/>
    <cellStyle name="Percent 3 3 2 2 2 2 2 2" xfId="17027" xr:uid="{00000000-0005-0000-0000-000078A80000}"/>
    <cellStyle name="Percent 3 3 2 2 2 2 2 2 2" xfId="40496" xr:uid="{00000000-0005-0000-0000-000079A80000}"/>
    <cellStyle name="Percent 3 3 2 2 2 2 2 3" xfId="40495" xr:uid="{00000000-0005-0000-0000-00007AA80000}"/>
    <cellStyle name="Percent 3 3 2 2 2 2 3" xfId="17028" xr:uid="{00000000-0005-0000-0000-00007BA80000}"/>
    <cellStyle name="Percent 3 3 2 2 2 2 3 2" xfId="40497" xr:uid="{00000000-0005-0000-0000-00007CA80000}"/>
    <cellStyle name="Percent 3 3 2 2 2 2 4" xfId="40494" xr:uid="{00000000-0005-0000-0000-00007DA80000}"/>
    <cellStyle name="Percent 3 3 2 2 2 3" xfId="17029" xr:uid="{00000000-0005-0000-0000-00007EA80000}"/>
    <cellStyle name="Percent 3 3 2 2 2 3 2" xfId="17030" xr:uid="{00000000-0005-0000-0000-00007FA80000}"/>
    <cellStyle name="Percent 3 3 2 2 2 3 2 2" xfId="40499" xr:uid="{00000000-0005-0000-0000-000080A80000}"/>
    <cellStyle name="Percent 3 3 2 2 2 3 3" xfId="40498" xr:uid="{00000000-0005-0000-0000-000081A80000}"/>
    <cellStyle name="Percent 3 3 2 2 2 4" xfId="17031" xr:uid="{00000000-0005-0000-0000-000082A80000}"/>
    <cellStyle name="Percent 3 3 2 2 2 4 2" xfId="40500" xr:uid="{00000000-0005-0000-0000-000083A80000}"/>
    <cellStyle name="Percent 3 3 2 2 2 5" xfId="40493" xr:uid="{00000000-0005-0000-0000-000084A80000}"/>
    <cellStyle name="Percent 3 3 2 2 3" xfId="17032" xr:uid="{00000000-0005-0000-0000-000085A80000}"/>
    <cellStyle name="Percent 3 3 2 2 3 2" xfId="17033" xr:uid="{00000000-0005-0000-0000-000086A80000}"/>
    <cellStyle name="Percent 3 3 2 2 3 2 2" xfId="17034" xr:uid="{00000000-0005-0000-0000-000087A80000}"/>
    <cellStyle name="Percent 3 3 2 2 3 2 2 2" xfId="17035" xr:uid="{00000000-0005-0000-0000-000088A80000}"/>
    <cellStyle name="Percent 3 3 2 2 3 2 2 2 2" xfId="40504" xr:uid="{00000000-0005-0000-0000-000089A80000}"/>
    <cellStyle name="Percent 3 3 2 2 3 2 2 3" xfId="40503" xr:uid="{00000000-0005-0000-0000-00008AA80000}"/>
    <cellStyle name="Percent 3 3 2 2 3 2 3" xfId="17036" xr:uid="{00000000-0005-0000-0000-00008BA80000}"/>
    <cellStyle name="Percent 3 3 2 2 3 2 3 2" xfId="40505" xr:uid="{00000000-0005-0000-0000-00008CA80000}"/>
    <cellStyle name="Percent 3 3 2 2 3 2 4" xfId="40502" xr:uid="{00000000-0005-0000-0000-00008DA80000}"/>
    <cellStyle name="Percent 3 3 2 2 3 3" xfId="17037" xr:uid="{00000000-0005-0000-0000-00008EA80000}"/>
    <cellStyle name="Percent 3 3 2 2 3 3 2" xfId="17038" xr:uid="{00000000-0005-0000-0000-00008FA80000}"/>
    <cellStyle name="Percent 3 3 2 2 3 3 2 2" xfId="40507" xr:uid="{00000000-0005-0000-0000-000090A80000}"/>
    <cellStyle name="Percent 3 3 2 2 3 3 3" xfId="40506" xr:uid="{00000000-0005-0000-0000-000091A80000}"/>
    <cellStyle name="Percent 3 3 2 2 3 4" xfId="17039" xr:uid="{00000000-0005-0000-0000-000092A80000}"/>
    <cellStyle name="Percent 3 3 2 2 3 4 2" xfId="40508" xr:uid="{00000000-0005-0000-0000-000093A80000}"/>
    <cellStyle name="Percent 3 3 2 2 3 5" xfId="40501" xr:uid="{00000000-0005-0000-0000-000094A80000}"/>
    <cellStyle name="Percent 3 3 2 2 4" xfId="17040" xr:uid="{00000000-0005-0000-0000-000095A80000}"/>
    <cellStyle name="Percent 3 3 2 2 4 2" xfId="17041" xr:uid="{00000000-0005-0000-0000-000096A80000}"/>
    <cellStyle name="Percent 3 3 2 2 4 2 2" xfId="17042" xr:uid="{00000000-0005-0000-0000-000097A80000}"/>
    <cellStyle name="Percent 3 3 2 2 4 2 2 2" xfId="40511" xr:uid="{00000000-0005-0000-0000-000098A80000}"/>
    <cellStyle name="Percent 3 3 2 2 4 2 3" xfId="40510" xr:uid="{00000000-0005-0000-0000-000099A80000}"/>
    <cellStyle name="Percent 3 3 2 2 4 3" xfId="17043" xr:uid="{00000000-0005-0000-0000-00009AA80000}"/>
    <cellStyle name="Percent 3 3 2 2 4 3 2" xfId="40512" xr:uid="{00000000-0005-0000-0000-00009BA80000}"/>
    <cellStyle name="Percent 3 3 2 2 4 4" xfId="40509" xr:uid="{00000000-0005-0000-0000-00009CA80000}"/>
    <cellStyle name="Percent 3 3 2 2 5" xfId="17044" xr:uid="{00000000-0005-0000-0000-00009DA80000}"/>
    <cellStyle name="Percent 3 3 2 2 5 2" xfId="17045" xr:uid="{00000000-0005-0000-0000-00009EA80000}"/>
    <cellStyle name="Percent 3 3 2 2 5 2 2" xfId="40514" xr:uid="{00000000-0005-0000-0000-00009FA80000}"/>
    <cellStyle name="Percent 3 3 2 2 5 3" xfId="40513" xr:uid="{00000000-0005-0000-0000-0000A0A80000}"/>
    <cellStyle name="Percent 3 3 2 2 6" xfId="17046" xr:uid="{00000000-0005-0000-0000-0000A1A80000}"/>
    <cellStyle name="Percent 3 3 2 2 6 2" xfId="40515" xr:uid="{00000000-0005-0000-0000-0000A2A80000}"/>
    <cellStyle name="Percent 3 3 2 2 7" xfId="40492" xr:uid="{00000000-0005-0000-0000-0000A3A80000}"/>
    <cellStyle name="Percent 3 3 2 3" xfId="17047" xr:uid="{00000000-0005-0000-0000-0000A4A80000}"/>
    <cellStyle name="Percent 3 3 2 3 2" xfId="17048" xr:uid="{00000000-0005-0000-0000-0000A5A80000}"/>
    <cellStyle name="Percent 3 3 2 3 2 2" xfId="17049" xr:uid="{00000000-0005-0000-0000-0000A6A80000}"/>
    <cellStyle name="Percent 3 3 2 3 2 2 2" xfId="17050" xr:uid="{00000000-0005-0000-0000-0000A7A80000}"/>
    <cellStyle name="Percent 3 3 2 3 2 2 2 2" xfId="17051" xr:uid="{00000000-0005-0000-0000-0000A8A80000}"/>
    <cellStyle name="Percent 3 3 2 3 2 2 2 2 2" xfId="40520" xr:uid="{00000000-0005-0000-0000-0000A9A80000}"/>
    <cellStyle name="Percent 3 3 2 3 2 2 2 3" xfId="40519" xr:uid="{00000000-0005-0000-0000-0000AAA80000}"/>
    <cellStyle name="Percent 3 3 2 3 2 2 3" xfId="17052" xr:uid="{00000000-0005-0000-0000-0000ABA80000}"/>
    <cellStyle name="Percent 3 3 2 3 2 2 3 2" xfId="40521" xr:uid="{00000000-0005-0000-0000-0000ACA80000}"/>
    <cellStyle name="Percent 3 3 2 3 2 2 4" xfId="40518" xr:uid="{00000000-0005-0000-0000-0000ADA80000}"/>
    <cellStyle name="Percent 3 3 2 3 2 3" xfId="17053" xr:uid="{00000000-0005-0000-0000-0000AEA80000}"/>
    <cellStyle name="Percent 3 3 2 3 2 3 2" xfId="17054" xr:uid="{00000000-0005-0000-0000-0000AFA80000}"/>
    <cellStyle name="Percent 3 3 2 3 2 3 2 2" xfId="40523" xr:uid="{00000000-0005-0000-0000-0000B0A80000}"/>
    <cellStyle name="Percent 3 3 2 3 2 3 3" xfId="40522" xr:uid="{00000000-0005-0000-0000-0000B1A80000}"/>
    <cellStyle name="Percent 3 3 2 3 2 4" xfId="17055" xr:uid="{00000000-0005-0000-0000-0000B2A80000}"/>
    <cellStyle name="Percent 3 3 2 3 2 4 2" xfId="40524" xr:uid="{00000000-0005-0000-0000-0000B3A80000}"/>
    <cellStyle name="Percent 3 3 2 3 2 5" xfId="40517" xr:uid="{00000000-0005-0000-0000-0000B4A80000}"/>
    <cellStyle name="Percent 3 3 2 3 3" xfId="17056" xr:uid="{00000000-0005-0000-0000-0000B5A80000}"/>
    <cellStyle name="Percent 3 3 2 3 3 2" xfId="17057" xr:uid="{00000000-0005-0000-0000-0000B6A80000}"/>
    <cellStyle name="Percent 3 3 2 3 3 2 2" xfId="17058" xr:uid="{00000000-0005-0000-0000-0000B7A80000}"/>
    <cellStyle name="Percent 3 3 2 3 3 2 2 2" xfId="17059" xr:uid="{00000000-0005-0000-0000-0000B8A80000}"/>
    <cellStyle name="Percent 3 3 2 3 3 2 2 2 2" xfId="40528" xr:uid="{00000000-0005-0000-0000-0000B9A80000}"/>
    <cellStyle name="Percent 3 3 2 3 3 2 2 3" xfId="40527" xr:uid="{00000000-0005-0000-0000-0000BAA80000}"/>
    <cellStyle name="Percent 3 3 2 3 3 2 3" xfId="17060" xr:uid="{00000000-0005-0000-0000-0000BBA80000}"/>
    <cellStyle name="Percent 3 3 2 3 3 2 3 2" xfId="40529" xr:uid="{00000000-0005-0000-0000-0000BCA80000}"/>
    <cellStyle name="Percent 3 3 2 3 3 2 4" xfId="40526" xr:uid="{00000000-0005-0000-0000-0000BDA80000}"/>
    <cellStyle name="Percent 3 3 2 3 3 3" xfId="17061" xr:uid="{00000000-0005-0000-0000-0000BEA80000}"/>
    <cellStyle name="Percent 3 3 2 3 3 3 2" xfId="17062" xr:uid="{00000000-0005-0000-0000-0000BFA80000}"/>
    <cellStyle name="Percent 3 3 2 3 3 3 2 2" xfId="40531" xr:uid="{00000000-0005-0000-0000-0000C0A80000}"/>
    <cellStyle name="Percent 3 3 2 3 3 3 3" xfId="40530" xr:uid="{00000000-0005-0000-0000-0000C1A80000}"/>
    <cellStyle name="Percent 3 3 2 3 3 4" xfId="17063" xr:uid="{00000000-0005-0000-0000-0000C2A80000}"/>
    <cellStyle name="Percent 3 3 2 3 3 4 2" xfId="40532" xr:uid="{00000000-0005-0000-0000-0000C3A80000}"/>
    <cellStyle name="Percent 3 3 2 3 3 5" xfId="40525" xr:uid="{00000000-0005-0000-0000-0000C4A80000}"/>
    <cellStyle name="Percent 3 3 2 3 4" xfId="17064" xr:uid="{00000000-0005-0000-0000-0000C5A80000}"/>
    <cellStyle name="Percent 3 3 2 3 4 2" xfId="17065" xr:uid="{00000000-0005-0000-0000-0000C6A80000}"/>
    <cellStyle name="Percent 3 3 2 3 4 2 2" xfId="17066" xr:uid="{00000000-0005-0000-0000-0000C7A80000}"/>
    <cellStyle name="Percent 3 3 2 3 4 2 2 2" xfId="40535" xr:uid="{00000000-0005-0000-0000-0000C8A80000}"/>
    <cellStyle name="Percent 3 3 2 3 4 2 3" xfId="40534" xr:uid="{00000000-0005-0000-0000-0000C9A80000}"/>
    <cellStyle name="Percent 3 3 2 3 4 3" xfId="17067" xr:uid="{00000000-0005-0000-0000-0000CAA80000}"/>
    <cellStyle name="Percent 3 3 2 3 4 3 2" xfId="40536" xr:uid="{00000000-0005-0000-0000-0000CBA80000}"/>
    <cellStyle name="Percent 3 3 2 3 4 4" xfId="40533" xr:uid="{00000000-0005-0000-0000-0000CCA80000}"/>
    <cellStyle name="Percent 3 3 2 3 5" xfId="17068" xr:uid="{00000000-0005-0000-0000-0000CDA80000}"/>
    <cellStyle name="Percent 3 3 2 3 5 2" xfId="17069" xr:uid="{00000000-0005-0000-0000-0000CEA80000}"/>
    <cellStyle name="Percent 3 3 2 3 5 2 2" xfId="40538" xr:uid="{00000000-0005-0000-0000-0000CFA80000}"/>
    <cellStyle name="Percent 3 3 2 3 5 3" xfId="40537" xr:uid="{00000000-0005-0000-0000-0000D0A80000}"/>
    <cellStyle name="Percent 3 3 2 3 6" xfId="17070" xr:uid="{00000000-0005-0000-0000-0000D1A80000}"/>
    <cellStyle name="Percent 3 3 2 3 6 2" xfId="40539" xr:uid="{00000000-0005-0000-0000-0000D2A80000}"/>
    <cellStyle name="Percent 3 3 2 3 7" xfId="40516" xr:uid="{00000000-0005-0000-0000-0000D3A80000}"/>
    <cellStyle name="Percent 3 3 2 4" xfId="17071" xr:uid="{00000000-0005-0000-0000-0000D4A80000}"/>
    <cellStyle name="Percent 3 3 2 4 2" xfId="17072" xr:uid="{00000000-0005-0000-0000-0000D5A80000}"/>
    <cellStyle name="Percent 3 3 2 4 2 2" xfId="17073" xr:uid="{00000000-0005-0000-0000-0000D6A80000}"/>
    <cellStyle name="Percent 3 3 2 4 2 2 2" xfId="17074" xr:uid="{00000000-0005-0000-0000-0000D7A80000}"/>
    <cellStyle name="Percent 3 3 2 4 2 2 2 2" xfId="17075" xr:uid="{00000000-0005-0000-0000-0000D8A80000}"/>
    <cellStyle name="Percent 3 3 2 4 2 2 2 2 2" xfId="40544" xr:uid="{00000000-0005-0000-0000-0000D9A80000}"/>
    <cellStyle name="Percent 3 3 2 4 2 2 2 3" xfId="40543" xr:uid="{00000000-0005-0000-0000-0000DAA80000}"/>
    <cellStyle name="Percent 3 3 2 4 2 2 3" xfId="17076" xr:uid="{00000000-0005-0000-0000-0000DBA80000}"/>
    <cellStyle name="Percent 3 3 2 4 2 2 3 2" xfId="40545" xr:uid="{00000000-0005-0000-0000-0000DCA80000}"/>
    <cellStyle name="Percent 3 3 2 4 2 2 4" xfId="40542" xr:uid="{00000000-0005-0000-0000-0000DDA80000}"/>
    <cellStyle name="Percent 3 3 2 4 2 3" xfId="17077" xr:uid="{00000000-0005-0000-0000-0000DEA80000}"/>
    <cellStyle name="Percent 3 3 2 4 2 3 2" xfId="17078" xr:uid="{00000000-0005-0000-0000-0000DFA80000}"/>
    <cellStyle name="Percent 3 3 2 4 2 3 2 2" xfId="40547" xr:uid="{00000000-0005-0000-0000-0000E0A80000}"/>
    <cellStyle name="Percent 3 3 2 4 2 3 3" xfId="40546" xr:uid="{00000000-0005-0000-0000-0000E1A80000}"/>
    <cellStyle name="Percent 3 3 2 4 2 4" xfId="17079" xr:uid="{00000000-0005-0000-0000-0000E2A80000}"/>
    <cellStyle name="Percent 3 3 2 4 2 4 2" xfId="40548" xr:uid="{00000000-0005-0000-0000-0000E3A80000}"/>
    <cellStyle name="Percent 3 3 2 4 2 5" xfId="40541" xr:uid="{00000000-0005-0000-0000-0000E4A80000}"/>
    <cellStyle name="Percent 3 3 2 4 3" xfId="17080" xr:uid="{00000000-0005-0000-0000-0000E5A80000}"/>
    <cellStyle name="Percent 3 3 2 4 3 2" xfId="17081" xr:uid="{00000000-0005-0000-0000-0000E6A80000}"/>
    <cellStyle name="Percent 3 3 2 4 3 2 2" xfId="17082" xr:uid="{00000000-0005-0000-0000-0000E7A80000}"/>
    <cellStyle name="Percent 3 3 2 4 3 2 2 2" xfId="17083" xr:uid="{00000000-0005-0000-0000-0000E8A80000}"/>
    <cellStyle name="Percent 3 3 2 4 3 2 2 2 2" xfId="40552" xr:uid="{00000000-0005-0000-0000-0000E9A80000}"/>
    <cellStyle name="Percent 3 3 2 4 3 2 2 3" xfId="40551" xr:uid="{00000000-0005-0000-0000-0000EAA80000}"/>
    <cellStyle name="Percent 3 3 2 4 3 2 3" xfId="17084" xr:uid="{00000000-0005-0000-0000-0000EBA80000}"/>
    <cellStyle name="Percent 3 3 2 4 3 2 3 2" xfId="40553" xr:uid="{00000000-0005-0000-0000-0000ECA80000}"/>
    <cellStyle name="Percent 3 3 2 4 3 2 4" xfId="40550" xr:uid="{00000000-0005-0000-0000-0000EDA80000}"/>
    <cellStyle name="Percent 3 3 2 4 3 3" xfId="17085" xr:uid="{00000000-0005-0000-0000-0000EEA80000}"/>
    <cellStyle name="Percent 3 3 2 4 3 3 2" xfId="17086" xr:uid="{00000000-0005-0000-0000-0000EFA80000}"/>
    <cellStyle name="Percent 3 3 2 4 3 3 2 2" xfId="40555" xr:uid="{00000000-0005-0000-0000-0000F0A80000}"/>
    <cellStyle name="Percent 3 3 2 4 3 3 3" xfId="40554" xr:uid="{00000000-0005-0000-0000-0000F1A80000}"/>
    <cellStyle name="Percent 3 3 2 4 3 4" xfId="17087" xr:uid="{00000000-0005-0000-0000-0000F2A80000}"/>
    <cellStyle name="Percent 3 3 2 4 3 4 2" xfId="40556" xr:uid="{00000000-0005-0000-0000-0000F3A80000}"/>
    <cellStyle name="Percent 3 3 2 4 3 5" xfId="40549" xr:uid="{00000000-0005-0000-0000-0000F4A80000}"/>
    <cellStyle name="Percent 3 3 2 4 4" xfId="17088" xr:uid="{00000000-0005-0000-0000-0000F5A80000}"/>
    <cellStyle name="Percent 3 3 2 4 4 2" xfId="17089" xr:uid="{00000000-0005-0000-0000-0000F6A80000}"/>
    <cellStyle name="Percent 3 3 2 4 4 2 2" xfId="17090" xr:uid="{00000000-0005-0000-0000-0000F7A80000}"/>
    <cellStyle name="Percent 3 3 2 4 4 2 2 2" xfId="40559" xr:uid="{00000000-0005-0000-0000-0000F8A80000}"/>
    <cellStyle name="Percent 3 3 2 4 4 2 3" xfId="40558" xr:uid="{00000000-0005-0000-0000-0000F9A80000}"/>
    <cellStyle name="Percent 3 3 2 4 4 3" xfId="17091" xr:uid="{00000000-0005-0000-0000-0000FAA80000}"/>
    <cellStyle name="Percent 3 3 2 4 4 3 2" xfId="40560" xr:uid="{00000000-0005-0000-0000-0000FBA80000}"/>
    <cellStyle name="Percent 3 3 2 4 4 4" xfId="40557" xr:uid="{00000000-0005-0000-0000-0000FCA80000}"/>
    <cellStyle name="Percent 3 3 2 4 5" xfId="17092" xr:uid="{00000000-0005-0000-0000-0000FDA80000}"/>
    <cellStyle name="Percent 3 3 2 4 5 2" xfId="17093" xr:uid="{00000000-0005-0000-0000-0000FEA80000}"/>
    <cellStyle name="Percent 3 3 2 4 5 2 2" xfId="40562" xr:uid="{00000000-0005-0000-0000-0000FFA80000}"/>
    <cellStyle name="Percent 3 3 2 4 5 3" xfId="40561" xr:uid="{00000000-0005-0000-0000-000000A90000}"/>
    <cellStyle name="Percent 3 3 2 4 6" xfId="17094" xr:uid="{00000000-0005-0000-0000-000001A90000}"/>
    <cellStyle name="Percent 3 3 2 4 6 2" xfId="40563" xr:uid="{00000000-0005-0000-0000-000002A90000}"/>
    <cellStyle name="Percent 3 3 2 4 7" xfId="40540" xr:uid="{00000000-0005-0000-0000-000003A90000}"/>
    <cellStyle name="Percent 3 3 2 5" xfId="17095" xr:uid="{00000000-0005-0000-0000-000004A90000}"/>
    <cellStyle name="Percent 3 3 2 5 2" xfId="17096" xr:uid="{00000000-0005-0000-0000-000005A90000}"/>
    <cellStyle name="Percent 3 3 2 5 2 2" xfId="17097" xr:uid="{00000000-0005-0000-0000-000006A90000}"/>
    <cellStyle name="Percent 3 3 2 5 2 2 2" xfId="17098" xr:uid="{00000000-0005-0000-0000-000007A90000}"/>
    <cellStyle name="Percent 3 3 2 5 2 2 2 2" xfId="40567" xr:uid="{00000000-0005-0000-0000-000008A90000}"/>
    <cellStyle name="Percent 3 3 2 5 2 2 3" xfId="40566" xr:uid="{00000000-0005-0000-0000-000009A90000}"/>
    <cellStyle name="Percent 3 3 2 5 2 3" xfId="17099" xr:uid="{00000000-0005-0000-0000-00000AA90000}"/>
    <cellStyle name="Percent 3 3 2 5 2 3 2" xfId="40568" xr:uid="{00000000-0005-0000-0000-00000BA90000}"/>
    <cellStyle name="Percent 3 3 2 5 2 4" xfId="40565" xr:uid="{00000000-0005-0000-0000-00000CA90000}"/>
    <cellStyle name="Percent 3 3 2 5 3" xfId="17100" xr:uid="{00000000-0005-0000-0000-00000DA90000}"/>
    <cellStyle name="Percent 3 3 2 5 3 2" xfId="17101" xr:uid="{00000000-0005-0000-0000-00000EA90000}"/>
    <cellStyle name="Percent 3 3 2 5 3 2 2" xfId="40570" xr:uid="{00000000-0005-0000-0000-00000FA90000}"/>
    <cellStyle name="Percent 3 3 2 5 3 3" xfId="40569" xr:uid="{00000000-0005-0000-0000-000010A90000}"/>
    <cellStyle name="Percent 3 3 2 5 4" xfId="17102" xr:uid="{00000000-0005-0000-0000-000011A90000}"/>
    <cellStyle name="Percent 3 3 2 5 4 2" xfId="40571" xr:uid="{00000000-0005-0000-0000-000012A90000}"/>
    <cellStyle name="Percent 3 3 2 5 5" xfId="40564" xr:uid="{00000000-0005-0000-0000-000013A90000}"/>
    <cellStyle name="Percent 3 3 2 6" xfId="17103" xr:uid="{00000000-0005-0000-0000-000014A90000}"/>
    <cellStyle name="Percent 3 3 2 6 2" xfId="17104" xr:uid="{00000000-0005-0000-0000-000015A90000}"/>
    <cellStyle name="Percent 3 3 2 6 2 2" xfId="17105" xr:uid="{00000000-0005-0000-0000-000016A90000}"/>
    <cellStyle name="Percent 3 3 2 6 2 2 2" xfId="17106" xr:uid="{00000000-0005-0000-0000-000017A90000}"/>
    <cellStyle name="Percent 3 3 2 6 2 2 2 2" xfId="40575" xr:uid="{00000000-0005-0000-0000-000018A90000}"/>
    <cellStyle name="Percent 3 3 2 6 2 2 3" xfId="40574" xr:uid="{00000000-0005-0000-0000-000019A90000}"/>
    <cellStyle name="Percent 3 3 2 6 2 3" xfId="17107" xr:uid="{00000000-0005-0000-0000-00001AA90000}"/>
    <cellStyle name="Percent 3 3 2 6 2 3 2" xfId="40576" xr:uid="{00000000-0005-0000-0000-00001BA90000}"/>
    <cellStyle name="Percent 3 3 2 6 2 4" xfId="40573" xr:uid="{00000000-0005-0000-0000-00001CA90000}"/>
    <cellStyle name="Percent 3 3 2 6 3" xfId="17108" xr:uid="{00000000-0005-0000-0000-00001DA90000}"/>
    <cellStyle name="Percent 3 3 2 6 3 2" xfId="17109" xr:uid="{00000000-0005-0000-0000-00001EA90000}"/>
    <cellStyle name="Percent 3 3 2 6 3 2 2" xfId="40578" xr:uid="{00000000-0005-0000-0000-00001FA90000}"/>
    <cellStyle name="Percent 3 3 2 6 3 3" xfId="40577" xr:uid="{00000000-0005-0000-0000-000020A90000}"/>
    <cellStyle name="Percent 3 3 2 6 4" xfId="17110" xr:uid="{00000000-0005-0000-0000-000021A90000}"/>
    <cellStyle name="Percent 3 3 2 6 4 2" xfId="40579" xr:uid="{00000000-0005-0000-0000-000022A90000}"/>
    <cellStyle name="Percent 3 3 2 6 5" xfId="40572" xr:uid="{00000000-0005-0000-0000-000023A90000}"/>
    <cellStyle name="Percent 3 3 2 7" xfId="17111" xr:uid="{00000000-0005-0000-0000-000024A90000}"/>
    <cellStyle name="Percent 3 3 2 7 2" xfId="17112" xr:uid="{00000000-0005-0000-0000-000025A90000}"/>
    <cellStyle name="Percent 3 3 2 7 2 2" xfId="17113" xr:uid="{00000000-0005-0000-0000-000026A90000}"/>
    <cellStyle name="Percent 3 3 2 7 2 2 2" xfId="40582" xr:uid="{00000000-0005-0000-0000-000027A90000}"/>
    <cellStyle name="Percent 3 3 2 7 2 3" xfId="40581" xr:uid="{00000000-0005-0000-0000-000028A90000}"/>
    <cellStyle name="Percent 3 3 2 7 3" xfId="17114" xr:uid="{00000000-0005-0000-0000-000029A90000}"/>
    <cellStyle name="Percent 3 3 2 7 3 2" xfId="40583" xr:uid="{00000000-0005-0000-0000-00002AA90000}"/>
    <cellStyle name="Percent 3 3 2 7 4" xfId="40580" xr:uid="{00000000-0005-0000-0000-00002BA90000}"/>
    <cellStyle name="Percent 3 3 2 8" xfId="17115" xr:uid="{00000000-0005-0000-0000-00002CA90000}"/>
    <cellStyle name="Percent 3 3 2 8 2" xfId="17116" xr:uid="{00000000-0005-0000-0000-00002DA90000}"/>
    <cellStyle name="Percent 3 3 2 8 2 2" xfId="40585" xr:uid="{00000000-0005-0000-0000-00002EA90000}"/>
    <cellStyle name="Percent 3 3 2 8 3" xfId="40584" xr:uid="{00000000-0005-0000-0000-00002FA90000}"/>
    <cellStyle name="Percent 3 3 2 9" xfId="17117" xr:uid="{00000000-0005-0000-0000-000030A90000}"/>
    <cellStyle name="Percent 3 3 2 9 2" xfId="40586" xr:uid="{00000000-0005-0000-0000-000031A90000}"/>
    <cellStyle name="Percent 3 3 3" xfId="17118" xr:uid="{00000000-0005-0000-0000-000032A90000}"/>
    <cellStyle name="Percent 3 3 3 2" xfId="17119" xr:uid="{00000000-0005-0000-0000-000033A90000}"/>
    <cellStyle name="Percent 3 3 3 2 2" xfId="17120" xr:uid="{00000000-0005-0000-0000-000034A90000}"/>
    <cellStyle name="Percent 3 3 3 2 2 2" xfId="17121" xr:uid="{00000000-0005-0000-0000-000035A90000}"/>
    <cellStyle name="Percent 3 3 3 2 2 2 2" xfId="17122" xr:uid="{00000000-0005-0000-0000-000036A90000}"/>
    <cellStyle name="Percent 3 3 3 2 2 2 2 2" xfId="17123" xr:uid="{00000000-0005-0000-0000-000037A90000}"/>
    <cellStyle name="Percent 3 3 3 2 2 2 2 2 2" xfId="40592" xr:uid="{00000000-0005-0000-0000-000038A90000}"/>
    <cellStyle name="Percent 3 3 3 2 2 2 2 3" xfId="40591" xr:uid="{00000000-0005-0000-0000-000039A90000}"/>
    <cellStyle name="Percent 3 3 3 2 2 2 3" xfId="17124" xr:uid="{00000000-0005-0000-0000-00003AA90000}"/>
    <cellStyle name="Percent 3 3 3 2 2 2 3 2" xfId="40593" xr:uid="{00000000-0005-0000-0000-00003BA90000}"/>
    <cellStyle name="Percent 3 3 3 2 2 2 4" xfId="40590" xr:uid="{00000000-0005-0000-0000-00003CA90000}"/>
    <cellStyle name="Percent 3 3 3 2 2 3" xfId="17125" xr:uid="{00000000-0005-0000-0000-00003DA90000}"/>
    <cellStyle name="Percent 3 3 3 2 2 3 2" xfId="17126" xr:uid="{00000000-0005-0000-0000-00003EA90000}"/>
    <cellStyle name="Percent 3 3 3 2 2 3 2 2" xfId="40595" xr:uid="{00000000-0005-0000-0000-00003FA90000}"/>
    <cellStyle name="Percent 3 3 3 2 2 3 3" xfId="40594" xr:uid="{00000000-0005-0000-0000-000040A90000}"/>
    <cellStyle name="Percent 3 3 3 2 2 4" xfId="17127" xr:uid="{00000000-0005-0000-0000-000041A90000}"/>
    <cellStyle name="Percent 3 3 3 2 2 4 2" xfId="40596" xr:uid="{00000000-0005-0000-0000-000042A90000}"/>
    <cellStyle name="Percent 3 3 3 2 2 5" xfId="40589" xr:uid="{00000000-0005-0000-0000-000043A90000}"/>
    <cellStyle name="Percent 3 3 3 2 3" xfId="17128" xr:uid="{00000000-0005-0000-0000-000044A90000}"/>
    <cellStyle name="Percent 3 3 3 2 3 2" xfId="17129" xr:uid="{00000000-0005-0000-0000-000045A90000}"/>
    <cellStyle name="Percent 3 3 3 2 3 2 2" xfId="17130" xr:uid="{00000000-0005-0000-0000-000046A90000}"/>
    <cellStyle name="Percent 3 3 3 2 3 2 2 2" xfId="17131" xr:uid="{00000000-0005-0000-0000-000047A90000}"/>
    <cellStyle name="Percent 3 3 3 2 3 2 2 2 2" xfId="40600" xr:uid="{00000000-0005-0000-0000-000048A90000}"/>
    <cellStyle name="Percent 3 3 3 2 3 2 2 3" xfId="40599" xr:uid="{00000000-0005-0000-0000-000049A90000}"/>
    <cellStyle name="Percent 3 3 3 2 3 2 3" xfId="17132" xr:uid="{00000000-0005-0000-0000-00004AA90000}"/>
    <cellStyle name="Percent 3 3 3 2 3 2 3 2" xfId="40601" xr:uid="{00000000-0005-0000-0000-00004BA90000}"/>
    <cellStyle name="Percent 3 3 3 2 3 2 4" xfId="40598" xr:uid="{00000000-0005-0000-0000-00004CA90000}"/>
    <cellStyle name="Percent 3 3 3 2 3 3" xfId="17133" xr:uid="{00000000-0005-0000-0000-00004DA90000}"/>
    <cellStyle name="Percent 3 3 3 2 3 3 2" xfId="17134" xr:uid="{00000000-0005-0000-0000-00004EA90000}"/>
    <cellStyle name="Percent 3 3 3 2 3 3 2 2" xfId="40603" xr:uid="{00000000-0005-0000-0000-00004FA90000}"/>
    <cellStyle name="Percent 3 3 3 2 3 3 3" xfId="40602" xr:uid="{00000000-0005-0000-0000-000050A90000}"/>
    <cellStyle name="Percent 3 3 3 2 3 4" xfId="17135" xr:uid="{00000000-0005-0000-0000-000051A90000}"/>
    <cellStyle name="Percent 3 3 3 2 3 4 2" xfId="40604" xr:uid="{00000000-0005-0000-0000-000052A90000}"/>
    <cellStyle name="Percent 3 3 3 2 3 5" xfId="40597" xr:uid="{00000000-0005-0000-0000-000053A90000}"/>
    <cellStyle name="Percent 3 3 3 2 4" xfId="17136" xr:uid="{00000000-0005-0000-0000-000054A90000}"/>
    <cellStyle name="Percent 3 3 3 2 4 2" xfId="17137" xr:uid="{00000000-0005-0000-0000-000055A90000}"/>
    <cellStyle name="Percent 3 3 3 2 4 2 2" xfId="17138" xr:uid="{00000000-0005-0000-0000-000056A90000}"/>
    <cellStyle name="Percent 3 3 3 2 4 2 2 2" xfId="40607" xr:uid="{00000000-0005-0000-0000-000057A90000}"/>
    <cellStyle name="Percent 3 3 3 2 4 2 3" xfId="40606" xr:uid="{00000000-0005-0000-0000-000058A90000}"/>
    <cellStyle name="Percent 3 3 3 2 4 3" xfId="17139" xr:uid="{00000000-0005-0000-0000-000059A90000}"/>
    <cellStyle name="Percent 3 3 3 2 4 3 2" xfId="40608" xr:uid="{00000000-0005-0000-0000-00005AA90000}"/>
    <cellStyle name="Percent 3 3 3 2 4 4" xfId="40605" xr:uid="{00000000-0005-0000-0000-00005BA90000}"/>
    <cellStyle name="Percent 3 3 3 2 5" xfId="17140" xr:uid="{00000000-0005-0000-0000-00005CA90000}"/>
    <cellStyle name="Percent 3 3 3 2 5 2" xfId="17141" xr:uid="{00000000-0005-0000-0000-00005DA90000}"/>
    <cellStyle name="Percent 3 3 3 2 5 2 2" xfId="40610" xr:uid="{00000000-0005-0000-0000-00005EA90000}"/>
    <cellStyle name="Percent 3 3 3 2 5 3" xfId="40609" xr:uid="{00000000-0005-0000-0000-00005FA90000}"/>
    <cellStyle name="Percent 3 3 3 2 6" xfId="17142" xr:uid="{00000000-0005-0000-0000-000060A90000}"/>
    <cellStyle name="Percent 3 3 3 2 6 2" xfId="40611" xr:uid="{00000000-0005-0000-0000-000061A90000}"/>
    <cellStyle name="Percent 3 3 3 2 7" xfId="40588" xr:uid="{00000000-0005-0000-0000-000062A90000}"/>
    <cellStyle name="Percent 3 3 3 3" xfId="17143" xr:uid="{00000000-0005-0000-0000-000063A90000}"/>
    <cellStyle name="Percent 3 3 3 3 2" xfId="17144" xr:uid="{00000000-0005-0000-0000-000064A90000}"/>
    <cellStyle name="Percent 3 3 3 3 2 2" xfId="17145" xr:uid="{00000000-0005-0000-0000-000065A90000}"/>
    <cellStyle name="Percent 3 3 3 3 2 2 2" xfId="17146" xr:uid="{00000000-0005-0000-0000-000066A90000}"/>
    <cellStyle name="Percent 3 3 3 3 2 2 2 2" xfId="17147" xr:uid="{00000000-0005-0000-0000-000067A90000}"/>
    <cellStyle name="Percent 3 3 3 3 2 2 2 2 2" xfId="40616" xr:uid="{00000000-0005-0000-0000-000068A90000}"/>
    <cellStyle name="Percent 3 3 3 3 2 2 2 3" xfId="40615" xr:uid="{00000000-0005-0000-0000-000069A90000}"/>
    <cellStyle name="Percent 3 3 3 3 2 2 3" xfId="17148" xr:uid="{00000000-0005-0000-0000-00006AA90000}"/>
    <cellStyle name="Percent 3 3 3 3 2 2 3 2" xfId="40617" xr:uid="{00000000-0005-0000-0000-00006BA90000}"/>
    <cellStyle name="Percent 3 3 3 3 2 2 4" xfId="40614" xr:uid="{00000000-0005-0000-0000-00006CA90000}"/>
    <cellStyle name="Percent 3 3 3 3 2 3" xfId="17149" xr:uid="{00000000-0005-0000-0000-00006DA90000}"/>
    <cellStyle name="Percent 3 3 3 3 2 3 2" xfId="17150" xr:uid="{00000000-0005-0000-0000-00006EA90000}"/>
    <cellStyle name="Percent 3 3 3 3 2 3 2 2" xfId="40619" xr:uid="{00000000-0005-0000-0000-00006FA90000}"/>
    <cellStyle name="Percent 3 3 3 3 2 3 3" xfId="40618" xr:uid="{00000000-0005-0000-0000-000070A90000}"/>
    <cellStyle name="Percent 3 3 3 3 2 4" xfId="17151" xr:uid="{00000000-0005-0000-0000-000071A90000}"/>
    <cellStyle name="Percent 3 3 3 3 2 4 2" xfId="40620" xr:uid="{00000000-0005-0000-0000-000072A90000}"/>
    <cellStyle name="Percent 3 3 3 3 2 5" xfId="40613" xr:uid="{00000000-0005-0000-0000-000073A90000}"/>
    <cellStyle name="Percent 3 3 3 3 3" xfId="17152" xr:uid="{00000000-0005-0000-0000-000074A90000}"/>
    <cellStyle name="Percent 3 3 3 3 3 2" xfId="17153" xr:uid="{00000000-0005-0000-0000-000075A90000}"/>
    <cellStyle name="Percent 3 3 3 3 3 2 2" xfId="17154" xr:uid="{00000000-0005-0000-0000-000076A90000}"/>
    <cellStyle name="Percent 3 3 3 3 3 2 2 2" xfId="17155" xr:uid="{00000000-0005-0000-0000-000077A90000}"/>
    <cellStyle name="Percent 3 3 3 3 3 2 2 2 2" xfId="40624" xr:uid="{00000000-0005-0000-0000-000078A90000}"/>
    <cellStyle name="Percent 3 3 3 3 3 2 2 3" xfId="40623" xr:uid="{00000000-0005-0000-0000-000079A90000}"/>
    <cellStyle name="Percent 3 3 3 3 3 2 3" xfId="17156" xr:uid="{00000000-0005-0000-0000-00007AA90000}"/>
    <cellStyle name="Percent 3 3 3 3 3 2 3 2" xfId="40625" xr:uid="{00000000-0005-0000-0000-00007BA90000}"/>
    <cellStyle name="Percent 3 3 3 3 3 2 4" xfId="40622" xr:uid="{00000000-0005-0000-0000-00007CA90000}"/>
    <cellStyle name="Percent 3 3 3 3 3 3" xfId="17157" xr:uid="{00000000-0005-0000-0000-00007DA90000}"/>
    <cellStyle name="Percent 3 3 3 3 3 3 2" xfId="17158" xr:uid="{00000000-0005-0000-0000-00007EA90000}"/>
    <cellStyle name="Percent 3 3 3 3 3 3 2 2" xfId="40627" xr:uid="{00000000-0005-0000-0000-00007FA90000}"/>
    <cellStyle name="Percent 3 3 3 3 3 3 3" xfId="40626" xr:uid="{00000000-0005-0000-0000-000080A90000}"/>
    <cellStyle name="Percent 3 3 3 3 3 4" xfId="17159" xr:uid="{00000000-0005-0000-0000-000081A90000}"/>
    <cellStyle name="Percent 3 3 3 3 3 4 2" xfId="40628" xr:uid="{00000000-0005-0000-0000-000082A90000}"/>
    <cellStyle name="Percent 3 3 3 3 3 5" xfId="40621" xr:uid="{00000000-0005-0000-0000-000083A90000}"/>
    <cellStyle name="Percent 3 3 3 3 4" xfId="17160" xr:uid="{00000000-0005-0000-0000-000084A90000}"/>
    <cellStyle name="Percent 3 3 3 3 4 2" xfId="17161" xr:uid="{00000000-0005-0000-0000-000085A90000}"/>
    <cellStyle name="Percent 3 3 3 3 4 2 2" xfId="17162" xr:uid="{00000000-0005-0000-0000-000086A90000}"/>
    <cellStyle name="Percent 3 3 3 3 4 2 2 2" xfId="40631" xr:uid="{00000000-0005-0000-0000-000087A90000}"/>
    <cellStyle name="Percent 3 3 3 3 4 2 3" xfId="40630" xr:uid="{00000000-0005-0000-0000-000088A90000}"/>
    <cellStyle name="Percent 3 3 3 3 4 3" xfId="17163" xr:uid="{00000000-0005-0000-0000-000089A90000}"/>
    <cellStyle name="Percent 3 3 3 3 4 3 2" xfId="40632" xr:uid="{00000000-0005-0000-0000-00008AA90000}"/>
    <cellStyle name="Percent 3 3 3 3 4 4" xfId="40629" xr:uid="{00000000-0005-0000-0000-00008BA90000}"/>
    <cellStyle name="Percent 3 3 3 3 5" xfId="17164" xr:uid="{00000000-0005-0000-0000-00008CA90000}"/>
    <cellStyle name="Percent 3 3 3 3 5 2" xfId="17165" xr:uid="{00000000-0005-0000-0000-00008DA90000}"/>
    <cellStyle name="Percent 3 3 3 3 5 2 2" xfId="40634" xr:uid="{00000000-0005-0000-0000-00008EA90000}"/>
    <cellStyle name="Percent 3 3 3 3 5 3" xfId="40633" xr:uid="{00000000-0005-0000-0000-00008FA90000}"/>
    <cellStyle name="Percent 3 3 3 3 6" xfId="17166" xr:uid="{00000000-0005-0000-0000-000090A90000}"/>
    <cellStyle name="Percent 3 3 3 3 6 2" xfId="40635" xr:uid="{00000000-0005-0000-0000-000091A90000}"/>
    <cellStyle name="Percent 3 3 3 3 7" xfId="40612" xr:uid="{00000000-0005-0000-0000-000092A90000}"/>
    <cellStyle name="Percent 3 3 3 4" xfId="17167" xr:uid="{00000000-0005-0000-0000-000093A90000}"/>
    <cellStyle name="Percent 3 3 3 4 2" xfId="17168" xr:uid="{00000000-0005-0000-0000-000094A90000}"/>
    <cellStyle name="Percent 3 3 3 4 2 2" xfId="17169" xr:uid="{00000000-0005-0000-0000-000095A90000}"/>
    <cellStyle name="Percent 3 3 3 4 2 2 2" xfId="17170" xr:uid="{00000000-0005-0000-0000-000096A90000}"/>
    <cellStyle name="Percent 3 3 3 4 2 2 2 2" xfId="40639" xr:uid="{00000000-0005-0000-0000-000097A90000}"/>
    <cellStyle name="Percent 3 3 3 4 2 2 3" xfId="40638" xr:uid="{00000000-0005-0000-0000-000098A90000}"/>
    <cellStyle name="Percent 3 3 3 4 2 3" xfId="17171" xr:uid="{00000000-0005-0000-0000-000099A90000}"/>
    <cellStyle name="Percent 3 3 3 4 2 3 2" xfId="40640" xr:uid="{00000000-0005-0000-0000-00009AA90000}"/>
    <cellStyle name="Percent 3 3 3 4 2 4" xfId="40637" xr:uid="{00000000-0005-0000-0000-00009BA90000}"/>
    <cellStyle name="Percent 3 3 3 4 3" xfId="17172" xr:uid="{00000000-0005-0000-0000-00009CA90000}"/>
    <cellStyle name="Percent 3 3 3 4 3 2" xfId="17173" xr:uid="{00000000-0005-0000-0000-00009DA90000}"/>
    <cellStyle name="Percent 3 3 3 4 3 2 2" xfId="40642" xr:uid="{00000000-0005-0000-0000-00009EA90000}"/>
    <cellStyle name="Percent 3 3 3 4 3 3" xfId="40641" xr:uid="{00000000-0005-0000-0000-00009FA90000}"/>
    <cellStyle name="Percent 3 3 3 4 4" xfId="17174" xr:uid="{00000000-0005-0000-0000-0000A0A90000}"/>
    <cellStyle name="Percent 3 3 3 4 4 2" xfId="40643" xr:uid="{00000000-0005-0000-0000-0000A1A90000}"/>
    <cellStyle name="Percent 3 3 3 4 5" xfId="40636" xr:uid="{00000000-0005-0000-0000-0000A2A90000}"/>
    <cellStyle name="Percent 3 3 3 5" xfId="17175" xr:uid="{00000000-0005-0000-0000-0000A3A90000}"/>
    <cellStyle name="Percent 3 3 3 5 2" xfId="17176" xr:uid="{00000000-0005-0000-0000-0000A4A90000}"/>
    <cellStyle name="Percent 3 3 3 5 2 2" xfId="17177" xr:uid="{00000000-0005-0000-0000-0000A5A90000}"/>
    <cellStyle name="Percent 3 3 3 5 2 2 2" xfId="17178" xr:uid="{00000000-0005-0000-0000-0000A6A90000}"/>
    <cellStyle name="Percent 3 3 3 5 2 2 2 2" xfId="40647" xr:uid="{00000000-0005-0000-0000-0000A7A90000}"/>
    <cellStyle name="Percent 3 3 3 5 2 2 3" xfId="40646" xr:uid="{00000000-0005-0000-0000-0000A8A90000}"/>
    <cellStyle name="Percent 3 3 3 5 2 3" xfId="17179" xr:uid="{00000000-0005-0000-0000-0000A9A90000}"/>
    <cellStyle name="Percent 3 3 3 5 2 3 2" xfId="40648" xr:uid="{00000000-0005-0000-0000-0000AAA90000}"/>
    <cellStyle name="Percent 3 3 3 5 2 4" xfId="40645" xr:uid="{00000000-0005-0000-0000-0000ABA90000}"/>
    <cellStyle name="Percent 3 3 3 5 3" xfId="17180" xr:uid="{00000000-0005-0000-0000-0000ACA90000}"/>
    <cellStyle name="Percent 3 3 3 5 3 2" xfId="17181" xr:uid="{00000000-0005-0000-0000-0000ADA90000}"/>
    <cellStyle name="Percent 3 3 3 5 3 2 2" xfId="40650" xr:uid="{00000000-0005-0000-0000-0000AEA90000}"/>
    <cellStyle name="Percent 3 3 3 5 3 3" xfId="40649" xr:uid="{00000000-0005-0000-0000-0000AFA90000}"/>
    <cellStyle name="Percent 3 3 3 5 4" xfId="17182" xr:uid="{00000000-0005-0000-0000-0000B0A90000}"/>
    <cellStyle name="Percent 3 3 3 5 4 2" xfId="40651" xr:uid="{00000000-0005-0000-0000-0000B1A90000}"/>
    <cellStyle name="Percent 3 3 3 5 5" xfId="40644" xr:uid="{00000000-0005-0000-0000-0000B2A90000}"/>
    <cellStyle name="Percent 3 3 3 6" xfId="17183" xr:uid="{00000000-0005-0000-0000-0000B3A90000}"/>
    <cellStyle name="Percent 3 3 3 6 2" xfId="17184" xr:uid="{00000000-0005-0000-0000-0000B4A90000}"/>
    <cellStyle name="Percent 3 3 3 6 2 2" xfId="17185" xr:uid="{00000000-0005-0000-0000-0000B5A90000}"/>
    <cellStyle name="Percent 3 3 3 6 2 2 2" xfId="40654" xr:uid="{00000000-0005-0000-0000-0000B6A90000}"/>
    <cellStyle name="Percent 3 3 3 6 2 3" xfId="40653" xr:uid="{00000000-0005-0000-0000-0000B7A90000}"/>
    <cellStyle name="Percent 3 3 3 6 3" xfId="17186" xr:uid="{00000000-0005-0000-0000-0000B8A90000}"/>
    <cellStyle name="Percent 3 3 3 6 3 2" xfId="40655" xr:uid="{00000000-0005-0000-0000-0000B9A90000}"/>
    <cellStyle name="Percent 3 3 3 6 4" xfId="40652" xr:uid="{00000000-0005-0000-0000-0000BAA90000}"/>
    <cellStyle name="Percent 3 3 3 7" xfId="17187" xr:uid="{00000000-0005-0000-0000-0000BBA90000}"/>
    <cellStyle name="Percent 3 3 3 7 2" xfId="17188" xr:uid="{00000000-0005-0000-0000-0000BCA90000}"/>
    <cellStyle name="Percent 3 3 3 7 2 2" xfId="40657" xr:uid="{00000000-0005-0000-0000-0000BDA90000}"/>
    <cellStyle name="Percent 3 3 3 7 3" xfId="40656" xr:uid="{00000000-0005-0000-0000-0000BEA90000}"/>
    <cellStyle name="Percent 3 3 3 8" xfId="17189" xr:uid="{00000000-0005-0000-0000-0000BFA90000}"/>
    <cellStyle name="Percent 3 3 3 8 2" xfId="40658" xr:uid="{00000000-0005-0000-0000-0000C0A90000}"/>
    <cellStyle name="Percent 3 3 3 9" xfId="40587" xr:uid="{00000000-0005-0000-0000-0000C1A90000}"/>
    <cellStyle name="Percent 3 3 4" xfId="17190" xr:uid="{00000000-0005-0000-0000-0000C2A90000}"/>
    <cellStyle name="Percent 3 3 4 2" xfId="17191" xr:uid="{00000000-0005-0000-0000-0000C3A90000}"/>
    <cellStyle name="Percent 3 3 4 2 2" xfId="17192" xr:uid="{00000000-0005-0000-0000-0000C4A90000}"/>
    <cellStyle name="Percent 3 3 4 2 2 2" xfId="17193" xr:uid="{00000000-0005-0000-0000-0000C5A90000}"/>
    <cellStyle name="Percent 3 3 4 2 2 2 2" xfId="17194" xr:uid="{00000000-0005-0000-0000-0000C6A90000}"/>
    <cellStyle name="Percent 3 3 4 2 2 2 2 2" xfId="40663" xr:uid="{00000000-0005-0000-0000-0000C7A90000}"/>
    <cellStyle name="Percent 3 3 4 2 2 2 3" xfId="40662" xr:uid="{00000000-0005-0000-0000-0000C8A90000}"/>
    <cellStyle name="Percent 3 3 4 2 2 3" xfId="17195" xr:uid="{00000000-0005-0000-0000-0000C9A90000}"/>
    <cellStyle name="Percent 3 3 4 2 2 3 2" xfId="40664" xr:uid="{00000000-0005-0000-0000-0000CAA90000}"/>
    <cellStyle name="Percent 3 3 4 2 2 4" xfId="40661" xr:uid="{00000000-0005-0000-0000-0000CBA90000}"/>
    <cellStyle name="Percent 3 3 4 2 3" xfId="17196" xr:uid="{00000000-0005-0000-0000-0000CCA90000}"/>
    <cellStyle name="Percent 3 3 4 2 3 2" xfId="17197" xr:uid="{00000000-0005-0000-0000-0000CDA90000}"/>
    <cellStyle name="Percent 3 3 4 2 3 2 2" xfId="40666" xr:uid="{00000000-0005-0000-0000-0000CEA90000}"/>
    <cellStyle name="Percent 3 3 4 2 3 3" xfId="40665" xr:uid="{00000000-0005-0000-0000-0000CFA90000}"/>
    <cellStyle name="Percent 3 3 4 2 4" xfId="17198" xr:uid="{00000000-0005-0000-0000-0000D0A90000}"/>
    <cellStyle name="Percent 3 3 4 2 4 2" xfId="40667" xr:uid="{00000000-0005-0000-0000-0000D1A90000}"/>
    <cellStyle name="Percent 3 3 4 2 5" xfId="40660" xr:uid="{00000000-0005-0000-0000-0000D2A90000}"/>
    <cellStyle name="Percent 3 3 4 3" xfId="17199" xr:uid="{00000000-0005-0000-0000-0000D3A90000}"/>
    <cellStyle name="Percent 3 3 4 3 2" xfId="17200" xr:uid="{00000000-0005-0000-0000-0000D4A90000}"/>
    <cellStyle name="Percent 3 3 4 3 2 2" xfId="17201" xr:uid="{00000000-0005-0000-0000-0000D5A90000}"/>
    <cellStyle name="Percent 3 3 4 3 2 2 2" xfId="17202" xr:uid="{00000000-0005-0000-0000-0000D6A90000}"/>
    <cellStyle name="Percent 3 3 4 3 2 2 2 2" xfId="40671" xr:uid="{00000000-0005-0000-0000-0000D7A90000}"/>
    <cellStyle name="Percent 3 3 4 3 2 2 3" xfId="40670" xr:uid="{00000000-0005-0000-0000-0000D8A90000}"/>
    <cellStyle name="Percent 3 3 4 3 2 3" xfId="17203" xr:uid="{00000000-0005-0000-0000-0000D9A90000}"/>
    <cellStyle name="Percent 3 3 4 3 2 3 2" xfId="40672" xr:uid="{00000000-0005-0000-0000-0000DAA90000}"/>
    <cellStyle name="Percent 3 3 4 3 2 4" xfId="40669" xr:uid="{00000000-0005-0000-0000-0000DBA90000}"/>
    <cellStyle name="Percent 3 3 4 3 3" xfId="17204" xr:uid="{00000000-0005-0000-0000-0000DCA90000}"/>
    <cellStyle name="Percent 3 3 4 3 3 2" xfId="17205" xr:uid="{00000000-0005-0000-0000-0000DDA90000}"/>
    <cellStyle name="Percent 3 3 4 3 3 2 2" xfId="40674" xr:uid="{00000000-0005-0000-0000-0000DEA90000}"/>
    <cellStyle name="Percent 3 3 4 3 3 3" xfId="40673" xr:uid="{00000000-0005-0000-0000-0000DFA90000}"/>
    <cellStyle name="Percent 3 3 4 3 4" xfId="17206" xr:uid="{00000000-0005-0000-0000-0000E0A90000}"/>
    <cellStyle name="Percent 3 3 4 3 4 2" xfId="40675" xr:uid="{00000000-0005-0000-0000-0000E1A90000}"/>
    <cellStyle name="Percent 3 3 4 3 5" xfId="40668" xr:uid="{00000000-0005-0000-0000-0000E2A90000}"/>
    <cellStyle name="Percent 3 3 4 4" xfId="17207" xr:uid="{00000000-0005-0000-0000-0000E3A90000}"/>
    <cellStyle name="Percent 3 3 4 4 2" xfId="17208" xr:uid="{00000000-0005-0000-0000-0000E4A90000}"/>
    <cellStyle name="Percent 3 3 4 4 2 2" xfId="17209" xr:uid="{00000000-0005-0000-0000-0000E5A90000}"/>
    <cellStyle name="Percent 3 3 4 4 2 2 2" xfId="40678" xr:uid="{00000000-0005-0000-0000-0000E6A90000}"/>
    <cellStyle name="Percent 3 3 4 4 2 3" xfId="40677" xr:uid="{00000000-0005-0000-0000-0000E7A90000}"/>
    <cellStyle name="Percent 3 3 4 4 3" xfId="17210" xr:uid="{00000000-0005-0000-0000-0000E8A90000}"/>
    <cellStyle name="Percent 3 3 4 4 3 2" xfId="40679" xr:uid="{00000000-0005-0000-0000-0000E9A90000}"/>
    <cellStyle name="Percent 3 3 4 4 4" xfId="40676" xr:uid="{00000000-0005-0000-0000-0000EAA90000}"/>
    <cellStyle name="Percent 3 3 4 5" xfId="17211" xr:uid="{00000000-0005-0000-0000-0000EBA90000}"/>
    <cellStyle name="Percent 3 3 4 5 2" xfId="17212" xr:uid="{00000000-0005-0000-0000-0000ECA90000}"/>
    <cellStyle name="Percent 3 3 4 5 2 2" xfId="40681" xr:uid="{00000000-0005-0000-0000-0000EDA90000}"/>
    <cellStyle name="Percent 3 3 4 5 3" xfId="40680" xr:uid="{00000000-0005-0000-0000-0000EEA90000}"/>
    <cellStyle name="Percent 3 3 4 6" xfId="17213" xr:uid="{00000000-0005-0000-0000-0000EFA90000}"/>
    <cellStyle name="Percent 3 3 4 6 2" xfId="40682" xr:uid="{00000000-0005-0000-0000-0000F0A90000}"/>
    <cellStyle name="Percent 3 3 4 7" xfId="40659" xr:uid="{00000000-0005-0000-0000-0000F1A90000}"/>
    <cellStyle name="Percent 3 3 5" xfId="17214" xr:uid="{00000000-0005-0000-0000-0000F2A90000}"/>
    <cellStyle name="Percent 3 3 5 2" xfId="17215" xr:uid="{00000000-0005-0000-0000-0000F3A90000}"/>
    <cellStyle name="Percent 3 3 5 2 2" xfId="17216" xr:uid="{00000000-0005-0000-0000-0000F4A90000}"/>
    <cellStyle name="Percent 3 3 5 2 2 2" xfId="17217" xr:uid="{00000000-0005-0000-0000-0000F5A90000}"/>
    <cellStyle name="Percent 3 3 5 2 2 2 2" xfId="17218" xr:uid="{00000000-0005-0000-0000-0000F6A90000}"/>
    <cellStyle name="Percent 3 3 5 2 2 2 2 2" xfId="40687" xr:uid="{00000000-0005-0000-0000-0000F7A90000}"/>
    <cellStyle name="Percent 3 3 5 2 2 2 3" xfId="40686" xr:uid="{00000000-0005-0000-0000-0000F8A90000}"/>
    <cellStyle name="Percent 3 3 5 2 2 3" xfId="17219" xr:uid="{00000000-0005-0000-0000-0000F9A90000}"/>
    <cellStyle name="Percent 3 3 5 2 2 3 2" xfId="40688" xr:uid="{00000000-0005-0000-0000-0000FAA90000}"/>
    <cellStyle name="Percent 3 3 5 2 2 4" xfId="40685" xr:uid="{00000000-0005-0000-0000-0000FBA90000}"/>
    <cellStyle name="Percent 3 3 5 2 3" xfId="17220" xr:uid="{00000000-0005-0000-0000-0000FCA90000}"/>
    <cellStyle name="Percent 3 3 5 2 3 2" xfId="17221" xr:uid="{00000000-0005-0000-0000-0000FDA90000}"/>
    <cellStyle name="Percent 3 3 5 2 3 2 2" xfId="40690" xr:uid="{00000000-0005-0000-0000-0000FEA90000}"/>
    <cellStyle name="Percent 3 3 5 2 3 3" xfId="40689" xr:uid="{00000000-0005-0000-0000-0000FFA90000}"/>
    <cellStyle name="Percent 3 3 5 2 4" xfId="17222" xr:uid="{00000000-0005-0000-0000-000000AA0000}"/>
    <cellStyle name="Percent 3 3 5 2 4 2" xfId="40691" xr:uid="{00000000-0005-0000-0000-000001AA0000}"/>
    <cellStyle name="Percent 3 3 5 2 5" xfId="40684" xr:uid="{00000000-0005-0000-0000-000002AA0000}"/>
    <cellStyle name="Percent 3 3 5 3" xfId="17223" xr:uid="{00000000-0005-0000-0000-000003AA0000}"/>
    <cellStyle name="Percent 3 3 5 3 2" xfId="17224" xr:uid="{00000000-0005-0000-0000-000004AA0000}"/>
    <cellStyle name="Percent 3 3 5 3 2 2" xfId="17225" xr:uid="{00000000-0005-0000-0000-000005AA0000}"/>
    <cellStyle name="Percent 3 3 5 3 2 2 2" xfId="17226" xr:uid="{00000000-0005-0000-0000-000006AA0000}"/>
    <cellStyle name="Percent 3 3 5 3 2 2 2 2" xfId="40695" xr:uid="{00000000-0005-0000-0000-000007AA0000}"/>
    <cellStyle name="Percent 3 3 5 3 2 2 3" xfId="40694" xr:uid="{00000000-0005-0000-0000-000008AA0000}"/>
    <cellStyle name="Percent 3 3 5 3 2 3" xfId="17227" xr:uid="{00000000-0005-0000-0000-000009AA0000}"/>
    <cellStyle name="Percent 3 3 5 3 2 3 2" xfId="40696" xr:uid="{00000000-0005-0000-0000-00000AAA0000}"/>
    <cellStyle name="Percent 3 3 5 3 2 4" xfId="40693" xr:uid="{00000000-0005-0000-0000-00000BAA0000}"/>
    <cellStyle name="Percent 3 3 5 3 3" xfId="17228" xr:uid="{00000000-0005-0000-0000-00000CAA0000}"/>
    <cellStyle name="Percent 3 3 5 3 3 2" xfId="17229" xr:uid="{00000000-0005-0000-0000-00000DAA0000}"/>
    <cellStyle name="Percent 3 3 5 3 3 2 2" xfId="40698" xr:uid="{00000000-0005-0000-0000-00000EAA0000}"/>
    <cellStyle name="Percent 3 3 5 3 3 3" xfId="40697" xr:uid="{00000000-0005-0000-0000-00000FAA0000}"/>
    <cellStyle name="Percent 3 3 5 3 4" xfId="17230" xr:uid="{00000000-0005-0000-0000-000010AA0000}"/>
    <cellStyle name="Percent 3 3 5 3 4 2" xfId="40699" xr:uid="{00000000-0005-0000-0000-000011AA0000}"/>
    <cellStyle name="Percent 3 3 5 3 5" xfId="40692" xr:uid="{00000000-0005-0000-0000-000012AA0000}"/>
    <cellStyle name="Percent 3 3 5 4" xfId="17231" xr:uid="{00000000-0005-0000-0000-000013AA0000}"/>
    <cellStyle name="Percent 3 3 5 4 2" xfId="17232" xr:uid="{00000000-0005-0000-0000-000014AA0000}"/>
    <cellStyle name="Percent 3 3 5 4 2 2" xfId="17233" xr:uid="{00000000-0005-0000-0000-000015AA0000}"/>
    <cellStyle name="Percent 3 3 5 4 2 2 2" xfId="40702" xr:uid="{00000000-0005-0000-0000-000016AA0000}"/>
    <cellStyle name="Percent 3 3 5 4 2 3" xfId="40701" xr:uid="{00000000-0005-0000-0000-000017AA0000}"/>
    <cellStyle name="Percent 3 3 5 4 3" xfId="17234" xr:uid="{00000000-0005-0000-0000-000018AA0000}"/>
    <cellStyle name="Percent 3 3 5 4 3 2" xfId="40703" xr:uid="{00000000-0005-0000-0000-000019AA0000}"/>
    <cellStyle name="Percent 3 3 5 4 4" xfId="40700" xr:uid="{00000000-0005-0000-0000-00001AAA0000}"/>
    <cellStyle name="Percent 3 3 5 5" xfId="17235" xr:uid="{00000000-0005-0000-0000-00001BAA0000}"/>
    <cellStyle name="Percent 3 3 5 5 2" xfId="17236" xr:uid="{00000000-0005-0000-0000-00001CAA0000}"/>
    <cellStyle name="Percent 3 3 5 5 2 2" xfId="40705" xr:uid="{00000000-0005-0000-0000-00001DAA0000}"/>
    <cellStyle name="Percent 3 3 5 5 3" xfId="40704" xr:uid="{00000000-0005-0000-0000-00001EAA0000}"/>
    <cellStyle name="Percent 3 3 5 6" xfId="17237" xr:uid="{00000000-0005-0000-0000-00001FAA0000}"/>
    <cellStyle name="Percent 3 3 5 6 2" xfId="40706" xr:uid="{00000000-0005-0000-0000-000020AA0000}"/>
    <cellStyle name="Percent 3 3 5 7" xfId="40683" xr:uid="{00000000-0005-0000-0000-000021AA0000}"/>
    <cellStyle name="Percent 3 3 6" xfId="17238" xr:uid="{00000000-0005-0000-0000-000022AA0000}"/>
    <cellStyle name="Percent 3 3 6 2" xfId="17239" xr:uid="{00000000-0005-0000-0000-000023AA0000}"/>
    <cellStyle name="Percent 3 3 6 2 2" xfId="17240" xr:uid="{00000000-0005-0000-0000-000024AA0000}"/>
    <cellStyle name="Percent 3 3 6 2 2 2" xfId="17241" xr:uid="{00000000-0005-0000-0000-000025AA0000}"/>
    <cellStyle name="Percent 3 3 6 2 2 2 2" xfId="17242" xr:uid="{00000000-0005-0000-0000-000026AA0000}"/>
    <cellStyle name="Percent 3 3 6 2 2 2 2 2" xfId="40711" xr:uid="{00000000-0005-0000-0000-000027AA0000}"/>
    <cellStyle name="Percent 3 3 6 2 2 2 3" xfId="40710" xr:uid="{00000000-0005-0000-0000-000028AA0000}"/>
    <cellStyle name="Percent 3 3 6 2 2 3" xfId="17243" xr:uid="{00000000-0005-0000-0000-000029AA0000}"/>
    <cellStyle name="Percent 3 3 6 2 2 3 2" xfId="40712" xr:uid="{00000000-0005-0000-0000-00002AAA0000}"/>
    <cellStyle name="Percent 3 3 6 2 2 4" xfId="40709" xr:uid="{00000000-0005-0000-0000-00002BAA0000}"/>
    <cellStyle name="Percent 3 3 6 2 3" xfId="17244" xr:uid="{00000000-0005-0000-0000-00002CAA0000}"/>
    <cellStyle name="Percent 3 3 6 2 3 2" xfId="17245" xr:uid="{00000000-0005-0000-0000-00002DAA0000}"/>
    <cellStyle name="Percent 3 3 6 2 3 2 2" xfId="40714" xr:uid="{00000000-0005-0000-0000-00002EAA0000}"/>
    <cellStyle name="Percent 3 3 6 2 3 3" xfId="40713" xr:uid="{00000000-0005-0000-0000-00002FAA0000}"/>
    <cellStyle name="Percent 3 3 6 2 4" xfId="17246" xr:uid="{00000000-0005-0000-0000-000030AA0000}"/>
    <cellStyle name="Percent 3 3 6 2 4 2" xfId="40715" xr:uid="{00000000-0005-0000-0000-000031AA0000}"/>
    <cellStyle name="Percent 3 3 6 2 5" xfId="40708" xr:uid="{00000000-0005-0000-0000-000032AA0000}"/>
    <cellStyle name="Percent 3 3 6 3" xfId="17247" xr:uid="{00000000-0005-0000-0000-000033AA0000}"/>
    <cellStyle name="Percent 3 3 6 3 2" xfId="17248" xr:uid="{00000000-0005-0000-0000-000034AA0000}"/>
    <cellStyle name="Percent 3 3 6 3 2 2" xfId="17249" xr:uid="{00000000-0005-0000-0000-000035AA0000}"/>
    <cellStyle name="Percent 3 3 6 3 2 2 2" xfId="17250" xr:uid="{00000000-0005-0000-0000-000036AA0000}"/>
    <cellStyle name="Percent 3 3 6 3 2 2 2 2" xfId="40719" xr:uid="{00000000-0005-0000-0000-000037AA0000}"/>
    <cellStyle name="Percent 3 3 6 3 2 2 3" xfId="40718" xr:uid="{00000000-0005-0000-0000-000038AA0000}"/>
    <cellStyle name="Percent 3 3 6 3 2 3" xfId="17251" xr:uid="{00000000-0005-0000-0000-000039AA0000}"/>
    <cellStyle name="Percent 3 3 6 3 2 3 2" xfId="40720" xr:uid="{00000000-0005-0000-0000-00003AAA0000}"/>
    <cellStyle name="Percent 3 3 6 3 2 4" xfId="40717" xr:uid="{00000000-0005-0000-0000-00003BAA0000}"/>
    <cellStyle name="Percent 3 3 6 3 3" xfId="17252" xr:uid="{00000000-0005-0000-0000-00003CAA0000}"/>
    <cellStyle name="Percent 3 3 6 3 3 2" xfId="17253" xr:uid="{00000000-0005-0000-0000-00003DAA0000}"/>
    <cellStyle name="Percent 3 3 6 3 3 2 2" xfId="40722" xr:uid="{00000000-0005-0000-0000-00003EAA0000}"/>
    <cellStyle name="Percent 3 3 6 3 3 3" xfId="40721" xr:uid="{00000000-0005-0000-0000-00003FAA0000}"/>
    <cellStyle name="Percent 3 3 6 3 4" xfId="17254" xr:uid="{00000000-0005-0000-0000-000040AA0000}"/>
    <cellStyle name="Percent 3 3 6 3 4 2" xfId="40723" xr:uid="{00000000-0005-0000-0000-000041AA0000}"/>
    <cellStyle name="Percent 3 3 6 3 5" xfId="40716" xr:uid="{00000000-0005-0000-0000-000042AA0000}"/>
    <cellStyle name="Percent 3 3 6 4" xfId="17255" xr:uid="{00000000-0005-0000-0000-000043AA0000}"/>
    <cellStyle name="Percent 3 3 6 4 2" xfId="17256" xr:uid="{00000000-0005-0000-0000-000044AA0000}"/>
    <cellStyle name="Percent 3 3 6 4 2 2" xfId="17257" xr:uid="{00000000-0005-0000-0000-000045AA0000}"/>
    <cellStyle name="Percent 3 3 6 4 2 2 2" xfId="40726" xr:uid="{00000000-0005-0000-0000-000046AA0000}"/>
    <cellStyle name="Percent 3 3 6 4 2 3" xfId="40725" xr:uid="{00000000-0005-0000-0000-000047AA0000}"/>
    <cellStyle name="Percent 3 3 6 4 3" xfId="17258" xr:uid="{00000000-0005-0000-0000-000048AA0000}"/>
    <cellStyle name="Percent 3 3 6 4 3 2" xfId="40727" xr:uid="{00000000-0005-0000-0000-000049AA0000}"/>
    <cellStyle name="Percent 3 3 6 4 4" xfId="40724" xr:uid="{00000000-0005-0000-0000-00004AAA0000}"/>
    <cellStyle name="Percent 3 3 6 5" xfId="17259" xr:uid="{00000000-0005-0000-0000-00004BAA0000}"/>
    <cellStyle name="Percent 3 3 6 5 2" xfId="17260" xr:uid="{00000000-0005-0000-0000-00004CAA0000}"/>
    <cellStyle name="Percent 3 3 6 5 2 2" xfId="40729" xr:uid="{00000000-0005-0000-0000-00004DAA0000}"/>
    <cellStyle name="Percent 3 3 6 5 3" xfId="40728" xr:uid="{00000000-0005-0000-0000-00004EAA0000}"/>
    <cellStyle name="Percent 3 3 6 6" xfId="17261" xr:uid="{00000000-0005-0000-0000-00004FAA0000}"/>
    <cellStyle name="Percent 3 3 6 6 2" xfId="40730" xr:uid="{00000000-0005-0000-0000-000050AA0000}"/>
    <cellStyle name="Percent 3 3 6 7" xfId="40707" xr:uid="{00000000-0005-0000-0000-000051AA0000}"/>
    <cellStyle name="Percent 3 3 7" xfId="17262" xr:uid="{00000000-0005-0000-0000-000052AA0000}"/>
    <cellStyle name="Percent 3 3 7 2" xfId="17263" xr:uid="{00000000-0005-0000-0000-000053AA0000}"/>
    <cellStyle name="Percent 3 3 7 2 2" xfId="17264" xr:uid="{00000000-0005-0000-0000-000054AA0000}"/>
    <cellStyle name="Percent 3 3 7 2 2 2" xfId="17265" xr:uid="{00000000-0005-0000-0000-000055AA0000}"/>
    <cellStyle name="Percent 3 3 7 2 2 2 2" xfId="17266" xr:uid="{00000000-0005-0000-0000-000056AA0000}"/>
    <cellStyle name="Percent 3 3 7 2 2 2 2 2" xfId="40735" xr:uid="{00000000-0005-0000-0000-000057AA0000}"/>
    <cellStyle name="Percent 3 3 7 2 2 2 3" xfId="40734" xr:uid="{00000000-0005-0000-0000-000058AA0000}"/>
    <cellStyle name="Percent 3 3 7 2 2 3" xfId="17267" xr:uid="{00000000-0005-0000-0000-000059AA0000}"/>
    <cellStyle name="Percent 3 3 7 2 2 3 2" xfId="40736" xr:uid="{00000000-0005-0000-0000-00005AAA0000}"/>
    <cellStyle name="Percent 3 3 7 2 2 4" xfId="40733" xr:uid="{00000000-0005-0000-0000-00005BAA0000}"/>
    <cellStyle name="Percent 3 3 7 2 3" xfId="17268" xr:uid="{00000000-0005-0000-0000-00005CAA0000}"/>
    <cellStyle name="Percent 3 3 7 2 3 2" xfId="17269" xr:uid="{00000000-0005-0000-0000-00005DAA0000}"/>
    <cellStyle name="Percent 3 3 7 2 3 2 2" xfId="40738" xr:uid="{00000000-0005-0000-0000-00005EAA0000}"/>
    <cellStyle name="Percent 3 3 7 2 3 3" xfId="40737" xr:uid="{00000000-0005-0000-0000-00005FAA0000}"/>
    <cellStyle name="Percent 3 3 7 2 4" xfId="17270" xr:uid="{00000000-0005-0000-0000-000060AA0000}"/>
    <cellStyle name="Percent 3 3 7 2 4 2" xfId="40739" xr:uid="{00000000-0005-0000-0000-000061AA0000}"/>
    <cellStyle name="Percent 3 3 7 2 5" xfId="40732" xr:uid="{00000000-0005-0000-0000-000062AA0000}"/>
    <cellStyle name="Percent 3 3 7 3" xfId="17271" xr:uid="{00000000-0005-0000-0000-000063AA0000}"/>
    <cellStyle name="Percent 3 3 7 3 2" xfId="17272" xr:uid="{00000000-0005-0000-0000-000064AA0000}"/>
    <cellStyle name="Percent 3 3 7 3 2 2" xfId="17273" xr:uid="{00000000-0005-0000-0000-000065AA0000}"/>
    <cellStyle name="Percent 3 3 7 3 2 2 2" xfId="17274" xr:uid="{00000000-0005-0000-0000-000066AA0000}"/>
    <cellStyle name="Percent 3 3 7 3 2 2 2 2" xfId="40743" xr:uid="{00000000-0005-0000-0000-000067AA0000}"/>
    <cellStyle name="Percent 3 3 7 3 2 2 3" xfId="40742" xr:uid="{00000000-0005-0000-0000-000068AA0000}"/>
    <cellStyle name="Percent 3 3 7 3 2 3" xfId="17275" xr:uid="{00000000-0005-0000-0000-000069AA0000}"/>
    <cellStyle name="Percent 3 3 7 3 2 3 2" xfId="40744" xr:uid="{00000000-0005-0000-0000-00006AAA0000}"/>
    <cellStyle name="Percent 3 3 7 3 2 4" xfId="40741" xr:uid="{00000000-0005-0000-0000-00006BAA0000}"/>
    <cellStyle name="Percent 3 3 7 3 3" xfId="17276" xr:uid="{00000000-0005-0000-0000-00006CAA0000}"/>
    <cellStyle name="Percent 3 3 7 3 3 2" xfId="17277" xr:uid="{00000000-0005-0000-0000-00006DAA0000}"/>
    <cellStyle name="Percent 3 3 7 3 3 2 2" xfId="40746" xr:uid="{00000000-0005-0000-0000-00006EAA0000}"/>
    <cellStyle name="Percent 3 3 7 3 3 3" xfId="40745" xr:uid="{00000000-0005-0000-0000-00006FAA0000}"/>
    <cellStyle name="Percent 3 3 7 3 4" xfId="17278" xr:uid="{00000000-0005-0000-0000-000070AA0000}"/>
    <cellStyle name="Percent 3 3 7 3 4 2" xfId="40747" xr:uid="{00000000-0005-0000-0000-000071AA0000}"/>
    <cellStyle name="Percent 3 3 7 3 5" xfId="40740" xr:uid="{00000000-0005-0000-0000-000072AA0000}"/>
    <cellStyle name="Percent 3 3 7 4" xfId="17279" xr:uid="{00000000-0005-0000-0000-000073AA0000}"/>
    <cellStyle name="Percent 3 3 7 4 2" xfId="17280" xr:uid="{00000000-0005-0000-0000-000074AA0000}"/>
    <cellStyle name="Percent 3 3 7 4 2 2" xfId="17281" xr:uid="{00000000-0005-0000-0000-000075AA0000}"/>
    <cellStyle name="Percent 3 3 7 4 2 2 2" xfId="40750" xr:uid="{00000000-0005-0000-0000-000076AA0000}"/>
    <cellStyle name="Percent 3 3 7 4 2 3" xfId="40749" xr:uid="{00000000-0005-0000-0000-000077AA0000}"/>
    <cellStyle name="Percent 3 3 7 4 3" xfId="17282" xr:uid="{00000000-0005-0000-0000-000078AA0000}"/>
    <cellStyle name="Percent 3 3 7 4 3 2" xfId="40751" xr:uid="{00000000-0005-0000-0000-000079AA0000}"/>
    <cellStyle name="Percent 3 3 7 4 4" xfId="40748" xr:uid="{00000000-0005-0000-0000-00007AAA0000}"/>
    <cellStyle name="Percent 3 3 7 5" xfId="17283" xr:uid="{00000000-0005-0000-0000-00007BAA0000}"/>
    <cellStyle name="Percent 3 3 7 5 2" xfId="17284" xr:uid="{00000000-0005-0000-0000-00007CAA0000}"/>
    <cellStyle name="Percent 3 3 7 5 2 2" xfId="40753" xr:uid="{00000000-0005-0000-0000-00007DAA0000}"/>
    <cellStyle name="Percent 3 3 7 5 3" xfId="40752" xr:uid="{00000000-0005-0000-0000-00007EAA0000}"/>
    <cellStyle name="Percent 3 3 7 6" xfId="17285" xr:uid="{00000000-0005-0000-0000-00007FAA0000}"/>
    <cellStyle name="Percent 3 3 7 6 2" xfId="40754" xr:uid="{00000000-0005-0000-0000-000080AA0000}"/>
    <cellStyle name="Percent 3 3 7 7" xfId="40731" xr:uid="{00000000-0005-0000-0000-000081AA0000}"/>
    <cellStyle name="Percent 3 3 8" xfId="17286" xr:uid="{00000000-0005-0000-0000-000082AA0000}"/>
    <cellStyle name="Percent 3 3 8 2" xfId="17287" xr:uid="{00000000-0005-0000-0000-000083AA0000}"/>
    <cellStyle name="Percent 3 3 8 2 2" xfId="17288" xr:uid="{00000000-0005-0000-0000-000084AA0000}"/>
    <cellStyle name="Percent 3 3 8 2 2 2" xfId="17289" xr:uid="{00000000-0005-0000-0000-000085AA0000}"/>
    <cellStyle name="Percent 3 3 8 2 2 2 2" xfId="40758" xr:uid="{00000000-0005-0000-0000-000086AA0000}"/>
    <cellStyle name="Percent 3 3 8 2 2 3" xfId="40757" xr:uid="{00000000-0005-0000-0000-000087AA0000}"/>
    <cellStyle name="Percent 3 3 8 2 3" xfId="17290" xr:uid="{00000000-0005-0000-0000-000088AA0000}"/>
    <cellStyle name="Percent 3 3 8 2 3 2" xfId="40759" xr:uid="{00000000-0005-0000-0000-000089AA0000}"/>
    <cellStyle name="Percent 3 3 8 2 4" xfId="40756" xr:uid="{00000000-0005-0000-0000-00008AAA0000}"/>
    <cellStyle name="Percent 3 3 8 3" xfId="17291" xr:uid="{00000000-0005-0000-0000-00008BAA0000}"/>
    <cellStyle name="Percent 3 3 8 3 2" xfId="17292" xr:uid="{00000000-0005-0000-0000-00008CAA0000}"/>
    <cellStyle name="Percent 3 3 8 3 2 2" xfId="40761" xr:uid="{00000000-0005-0000-0000-00008DAA0000}"/>
    <cellStyle name="Percent 3 3 8 3 3" xfId="40760" xr:uid="{00000000-0005-0000-0000-00008EAA0000}"/>
    <cellStyle name="Percent 3 3 8 4" xfId="17293" xr:uid="{00000000-0005-0000-0000-00008FAA0000}"/>
    <cellStyle name="Percent 3 3 8 4 2" xfId="40762" xr:uid="{00000000-0005-0000-0000-000090AA0000}"/>
    <cellStyle name="Percent 3 3 8 5" xfId="40755" xr:uid="{00000000-0005-0000-0000-000091AA0000}"/>
    <cellStyle name="Percent 3 3 9" xfId="17294" xr:uid="{00000000-0005-0000-0000-000092AA0000}"/>
    <cellStyle name="Percent 3 3 9 2" xfId="17295" xr:uid="{00000000-0005-0000-0000-000093AA0000}"/>
    <cellStyle name="Percent 3 3 9 2 2" xfId="17296" xr:uid="{00000000-0005-0000-0000-000094AA0000}"/>
    <cellStyle name="Percent 3 3 9 2 2 2" xfId="17297" xr:uid="{00000000-0005-0000-0000-000095AA0000}"/>
    <cellStyle name="Percent 3 3 9 2 2 2 2" xfId="40766" xr:uid="{00000000-0005-0000-0000-000096AA0000}"/>
    <cellStyle name="Percent 3 3 9 2 2 3" xfId="40765" xr:uid="{00000000-0005-0000-0000-000097AA0000}"/>
    <cellStyle name="Percent 3 3 9 2 3" xfId="17298" xr:uid="{00000000-0005-0000-0000-000098AA0000}"/>
    <cellStyle name="Percent 3 3 9 2 3 2" xfId="40767" xr:uid="{00000000-0005-0000-0000-000099AA0000}"/>
    <cellStyle name="Percent 3 3 9 2 4" xfId="40764" xr:uid="{00000000-0005-0000-0000-00009AAA0000}"/>
    <cellStyle name="Percent 3 3 9 3" xfId="17299" xr:uid="{00000000-0005-0000-0000-00009BAA0000}"/>
    <cellStyle name="Percent 3 3 9 3 2" xfId="17300" xr:uid="{00000000-0005-0000-0000-00009CAA0000}"/>
    <cellStyle name="Percent 3 3 9 3 2 2" xfId="40769" xr:uid="{00000000-0005-0000-0000-00009DAA0000}"/>
    <cellStyle name="Percent 3 3 9 3 3" xfId="40768" xr:uid="{00000000-0005-0000-0000-00009EAA0000}"/>
    <cellStyle name="Percent 3 3 9 4" xfId="17301" xr:uid="{00000000-0005-0000-0000-00009FAA0000}"/>
    <cellStyle name="Percent 3 3 9 4 2" xfId="40770" xr:uid="{00000000-0005-0000-0000-0000A0AA0000}"/>
    <cellStyle name="Percent 3 3 9 5" xfId="40763" xr:uid="{00000000-0005-0000-0000-0000A1AA0000}"/>
    <cellStyle name="Percent 3 4" xfId="157" xr:uid="{00000000-0005-0000-0000-0000A2AA0000}"/>
    <cellStyle name="Percent 3 4 10" xfId="23700" xr:uid="{00000000-0005-0000-0000-0000A3AA0000}"/>
    <cellStyle name="Percent 3 4 2" xfId="17302" xr:uid="{00000000-0005-0000-0000-0000A4AA0000}"/>
    <cellStyle name="Percent 3 4 2 2" xfId="17303" xr:uid="{00000000-0005-0000-0000-0000A5AA0000}"/>
    <cellStyle name="Percent 3 4 2 2 2" xfId="17304" xr:uid="{00000000-0005-0000-0000-0000A6AA0000}"/>
    <cellStyle name="Percent 3 4 2 2 2 2" xfId="17305" xr:uid="{00000000-0005-0000-0000-0000A7AA0000}"/>
    <cellStyle name="Percent 3 4 2 2 2 2 2" xfId="17306" xr:uid="{00000000-0005-0000-0000-0000A8AA0000}"/>
    <cellStyle name="Percent 3 4 2 2 2 2 2 2" xfId="40775" xr:uid="{00000000-0005-0000-0000-0000A9AA0000}"/>
    <cellStyle name="Percent 3 4 2 2 2 2 3" xfId="40774" xr:uid="{00000000-0005-0000-0000-0000AAAA0000}"/>
    <cellStyle name="Percent 3 4 2 2 2 3" xfId="17307" xr:uid="{00000000-0005-0000-0000-0000ABAA0000}"/>
    <cellStyle name="Percent 3 4 2 2 2 3 2" xfId="40776" xr:uid="{00000000-0005-0000-0000-0000ACAA0000}"/>
    <cellStyle name="Percent 3 4 2 2 2 4" xfId="40773" xr:uid="{00000000-0005-0000-0000-0000ADAA0000}"/>
    <cellStyle name="Percent 3 4 2 2 3" xfId="17308" xr:uid="{00000000-0005-0000-0000-0000AEAA0000}"/>
    <cellStyle name="Percent 3 4 2 2 3 2" xfId="17309" xr:uid="{00000000-0005-0000-0000-0000AFAA0000}"/>
    <cellStyle name="Percent 3 4 2 2 3 2 2" xfId="40778" xr:uid="{00000000-0005-0000-0000-0000B0AA0000}"/>
    <cellStyle name="Percent 3 4 2 2 3 3" xfId="40777" xr:uid="{00000000-0005-0000-0000-0000B1AA0000}"/>
    <cellStyle name="Percent 3 4 2 2 4" xfId="17310" xr:uid="{00000000-0005-0000-0000-0000B2AA0000}"/>
    <cellStyle name="Percent 3 4 2 2 4 2" xfId="40779" xr:uid="{00000000-0005-0000-0000-0000B3AA0000}"/>
    <cellStyle name="Percent 3 4 2 2 5" xfId="22015" xr:uid="{00000000-0005-0000-0000-0000B4AA0000}"/>
    <cellStyle name="Percent 3 4 2 2 5 2" xfId="45284" xr:uid="{00000000-0005-0000-0000-0000B5AA0000}"/>
    <cellStyle name="Percent 3 4 2 2 6" xfId="22016" xr:uid="{00000000-0005-0000-0000-0000B6AA0000}"/>
    <cellStyle name="Percent 3 4 2 2 6 2" xfId="45285" xr:uid="{00000000-0005-0000-0000-0000B7AA0000}"/>
    <cellStyle name="Percent 3 4 2 2 7" xfId="40772" xr:uid="{00000000-0005-0000-0000-0000B8AA0000}"/>
    <cellStyle name="Percent 3 4 2 3" xfId="17311" xr:uid="{00000000-0005-0000-0000-0000B9AA0000}"/>
    <cellStyle name="Percent 3 4 2 3 2" xfId="17312" xr:uid="{00000000-0005-0000-0000-0000BAAA0000}"/>
    <cellStyle name="Percent 3 4 2 3 2 2" xfId="17313" xr:uid="{00000000-0005-0000-0000-0000BBAA0000}"/>
    <cellStyle name="Percent 3 4 2 3 2 2 2" xfId="17314" xr:uid="{00000000-0005-0000-0000-0000BCAA0000}"/>
    <cellStyle name="Percent 3 4 2 3 2 2 2 2" xfId="40783" xr:uid="{00000000-0005-0000-0000-0000BDAA0000}"/>
    <cellStyle name="Percent 3 4 2 3 2 2 3" xfId="40782" xr:uid="{00000000-0005-0000-0000-0000BEAA0000}"/>
    <cellStyle name="Percent 3 4 2 3 2 3" xfId="17315" xr:uid="{00000000-0005-0000-0000-0000BFAA0000}"/>
    <cellStyle name="Percent 3 4 2 3 2 3 2" xfId="40784" xr:uid="{00000000-0005-0000-0000-0000C0AA0000}"/>
    <cellStyle name="Percent 3 4 2 3 2 4" xfId="40781" xr:uid="{00000000-0005-0000-0000-0000C1AA0000}"/>
    <cellStyle name="Percent 3 4 2 3 3" xfId="17316" xr:uid="{00000000-0005-0000-0000-0000C2AA0000}"/>
    <cellStyle name="Percent 3 4 2 3 3 2" xfId="17317" xr:uid="{00000000-0005-0000-0000-0000C3AA0000}"/>
    <cellStyle name="Percent 3 4 2 3 3 2 2" xfId="40786" xr:uid="{00000000-0005-0000-0000-0000C4AA0000}"/>
    <cellStyle name="Percent 3 4 2 3 3 3" xfId="40785" xr:uid="{00000000-0005-0000-0000-0000C5AA0000}"/>
    <cellStyle name="Percent 3 4 2 3 4" xfId="17318" xr:uid="{00000000-0005-0000-0000-0000C6AA0000}"/>
    <cellStyle name="Percent 3 4 2 3 4 2" xfId="40787" xr:uid="{00000000-0005-0000-0000-0000C7AA0000}"/>
    <cellStyle name="Percent 3 4 2 3 5" xfId="40780" xr:uid="{00000000-0005-0000-0000-0000C8AA0000}"/>
    <cellStyle name="Percent 3 4 2 4" xfId="17319" xr:uid="{00000000-0005-0000-0000-0000C9AA0000}"/>
    <cellStyle name="Percent 3 4 2 4 2" xfId="17320" xr:uid="{00000000-0005-0000-0000-0000CAAA0000}"/>
    <cellStyle name="Percent 3 4 2 4 2 2" xfId="17321" xr:uid="{00000000-0005-0000-0000-0000CBAA0000}"/>
    <cellStyle name="Percent 3 4 2 4 2 2 2" xfId="40790" xr:uid="{00000000-0005-0000-0000-0000CCAA0000}"/>
    <cellStyle name="Percent 3 4 2 4 2 3" xfId="40789" xr:uid="{00000000-0005-0000-0000-0000CDAA0000}"/>
    <cellStyle name="Percent 3 4 2 4 3" xfId="17322" xr:uid="{00000000-0005-0000-0000-0000CEAA0000}"/>
    <cellStyle name="Percent 3 4 2 4 3 2" xfId="40791" xr:uid="{00000000-0005-0000-0000-0000CFAA0000}"/>
    <cellStyle name="Percent 3 4 2 4 4" xfId="40788" xr:uid="{00000000-0005-0000-0000-0000D0AA0000}"/>
    <cellStyle name="Percent 3 4 2 5" xfId="17323" xr:uid="{00000000-0005-0000-0000-0000D1AA0000}"/>
    <cellStyle name="Percent 3 4 2 5 2" xfId="17324" xr:uid="{00000000-0005-0000-0000-0000D2AA0000}"/>
    <cellStyle name="Percent 3 4 2 5 2 2" xfId="40793" xr:uid="{00000000-0005-0000-0000-0000D3AA0000}"/>
    <cellStyle name="Percent 3 4 2 5 3" xfId="40792" xr:uid="{00000000-0005-0000-0000-0000D4AA0000}"/>
    <cellStyle name="Percent 3 4 2 6" xfId="17325" xr:uid="{00000000-0005-0000-0000-0000D5AA0000}"/>
    <cellStyle name="Percent 3 4 2 6 2" xfId="40794" xr:uid="{00000000-0005-0000-0000-0000D6AA0000}"/>
    <cellStyle name="Percent 3 4 2 7" xfId="22017" xr:uid="{00000000-0005-0000-0000-0000D7AA0000}"/>
    <cellStyle name="Percent 3 4 2 7 2" xfId="45286" xr:uid="{00000000-0005-0000-0000-0000D8AA0000}"/>
    <cellStyle name="Percent 3 4 2 8" xfId="40771" xr:uid="{00000000-0005-0000-0000-0000D9AA0000}"/>
    <cellStyle name="Percent 3 4 3" xfId="17326" xr:uid="{00000000-0005-0000-0000-0000DAAA0000}"/>
    <cellStyle name="Percent 3 4 3 2" xfId="17327" xr:uid="{00000000-0005-0000-0000-0000DBAA0000}"/>
    <cellStyle name="Percent 3 4 3 2 2" xfId="17328" xr:uid="{00000000-0005-0000-0000-0000DCAA0000}"/>
    <cellStyle name="Percent 3 4 3 2 2 2" xfId="17329" xr:uid="{00000000-0005-0000-0000-0000DDAA0000}"/>
    <cellStyle name="Percent 3 4 3 2 2 2 2" xfId="17330" xr:uid="{00000000-0005-0000-0000-0000DEAA0000}"/>
    <cellStyle name="Percent 3 4 3 2 2 2 2 2" xfId="40799" xr:uid="{00000000-0005-0000-0000-0000DFAA0000}"/>
    <cellStyle name="Percent 3 4 3 2 2 2 3" xfId="40798" xr:uid="{00000000-0005-0000-0000-0000E0AA0000}"/>
    <cellStyle name="Percent 3 4 3 2 2 3" xfId="17331" xr:uid="{00000000-0005-0000-0000-0000E1AA0000}"/>
    <cellStyle name="Percent 3 4 3 2 2 3 2" xfId="40800" xr:uid="{00000000-0005-0000-0000-0000E2AA0000}"/>
    <cellStyle name="Percent 3 4 3 2 2 4" xfId="40797" xr:uid="{00000000-0005-0000-0000-0000E3AA0000}"/>
    <cellStyle name="Percent 3 4 3 2 3" xfId="17332" xr:uid="{00000000-0005-0000-0000-0000E4AA0000}"/>
    <cellStyle name="Percent 3 4 3 2 3 2" xfId="17333" xr:uid="{00000000-0005-0000-0000-0000E5AA0000}"/>
    <cellStyle name="Percent 3 4 3 2 3 2 2" xfId="40802" xr:uid="{00000000-0005-0000-0000-0000E6AA0000}"/>
    <cellStyle name="Percent 3 4 3 2 3 3" xfId="40801" xr:uid="{00000000-0005-0000-0000-0000E7AA0000}"/>
    <cellStyle name="Percent 3 4 3 2 4" xfId="17334" xr:uid="{00000000-0005-0000-0000-0000E8AA0000}"/>
    <cellStyle name="Percent 3 4 3 2 4 2" xfId="40803" xr:uid="{00000000-0005-0000-0000-0000E9AA0000}"/>
    <cellStyle name="Percent 3 4 3 2 5" xfId="22018" xr:uid="{00000000-0005-0000-0000-0000EAAA0000}"/>
    <cellStyle name="Percent 3 4 3 2 5 2" xfId="45287" xr:uid="{00000000-0005-0000-0000-0000EBAA0000}"/>
    <cellStyle name="Percent 3 4 3 2 6" xfId="22019" xr:uid="{00000000-0005-0000-0000-0000ECAA0000}"/>
    <cellStyle name="Percent 3 4 3 2 6 2" xfId="45288" xr:uid="{00000000-0005-0000-0000-0000EDAA0000}"/>
    <cellStyle name="Percent 3 4 3 2 7" xfId="40796" xr:uid="{00000000-0005-0000-0000-0000EEAA0000}"/>
    <cellStyle name="Percent 3 4 3 3" xfId="17335" xr:uid="{00000000-0005-0000-0000-0000EFAA0000}"/>
    <cellStyle name="Percent 3 4 3 3 2" xfId="17336" xr:uid="{00000000-0005-0000-0000-0000F0AA0000}"/>
    <cellStyle name="Percent 3 4 3 3 2 2" xfId="17337" xr:uid="{00000000-0005-0000-0000-0000F1AA0000}"/>
    <cellStyle name="Percent 3 4 3 3 2 2 2" xfId="17338" xr:uid="{00000000-0005-0000-0000-0000F2AA0000}"/>
    <cellStyle name="Percent 3 4 3 3 2 2 2 2" xfId="40807" xr:uid="{00000000-0005-0000-0000-0000F3AA0000}"/>
    <cellStyle name="Percent 3 4 3 3 2 2 3" xfId="40806" xr:uid="{00000000-0005-0000-0000-0000F4AA0000}"/>
    <cellStyle name="Percent 3 4 3 3 2 3" xfId="17339" xr:uid="{00000000-0005-0000-0000-0000F5AA0000}"/>
    <cellStyle name="Percent 3 4 3 3 2 3 2" xfId="40808" xr:uid="{00000000-0005-0000-0000-0000F6AA0000}"/>
    <cellStyle name="Percent 3 4 3 3 2 4" xfId="40805" xr:uid="{00000000-0005-0000-0000-0000F7AA0000}"/>
    <cellStyle name="Percent 3 4 3 3 3" xfId="17340" xr:uid="{00000000-0005-0000-0000-0000F8AA0000}"/>
    <cellStyle name="Percent 3 4 3 3 3 2" xfId="17341" xr:uid="{00000000-0005-0000-0000-0000F9AA0000}"/>
    <cellStyle name="Percent 3 4 3 3 3 2 2" xfId="40810" xr:uid="{00000000-0005-0000-0000-0000FAAA0000}"/>
    <cellStyle name="Percent 3 4 3 3 3 3" xfId="40809" xr:uid="{00000000-0005-0000-0000-0000FBAA0000}"/>
    <cellStyle name="Percent 3 4 3 3 4" xfId="17342" xr:uid="{00000000-0005-0000-0000-0000FCAA0000}"/>
    <cellStyle name="Percent 3 4 3 3 4 2" xfId="40811" xr:uid="{00000000-0005-0000-0000-0000FDAA0000}"/>
    <cellStyle name="Percent 3 4 3 3 5" xfId="40804" xr:uid="{00000000-0005-0000-0000-0000FEAA0000}"/>
    <cellStyle name="Percent 3 4 3 4" xfId="17343" xr:uid="{00000000-0005-0000-0000-0000FFAA0000}"/>
    <cellStyle name="Percent 3 4 3 4 2" xfId="17344" xr:uid="{00000000-0005-0000-0000-000000AB0000}"/>
    <cellStyle name="Percent 3 4 3 4 2 2" xfId="17345" xr:uid="{00000000-0005-0000-0000-000001AB0000}"/>
    <cellStyle name="Percent 3 4 3 4 2 2 2" xfId="40814" xr:uid="{00000000-0005-0000-0000-000002AB0000}"/>
    <cellStyle name="Percent 3 4 3 4 2 3" xfId="40813" xr:uid="{00000000-0005-0000-0000-000003AB0000}"/>
    <cellStyle name="Percent 3 4 3 4 3" xfId="17346" xr:uid="{00000000-0005-0000-0000-000004AB0000}"/>
    <cellStyle name="Percent 3 4 3 4 3 2" xfId="40815" xr:uid="{00000000-0005-0000-0000-000005AB0000}"/>
    <cellStyle name="Percent 3 4 3 4 4" xfId="40812" xr:uid="{00000000-0005-0000-0000-000006AB0000}"/>
    <cellStyle name="Percent 3 4 3 5" xfId="17347" xr:uid="{00000000-0005-0000-0000-000007AB0000}"/>
    <cellStyle name="Percent 3 4 3 5 2" xfId="17348" xr:uid="{00000000-0005-0000-0000-000008AB0000}"/>
    <cellStyle name="Percent 3 4 3 5 2 2" xfId="40817" xr:uid="{00000000-0005-0000-0000-000009AB0000}"/>
    <cellStyle name="Percent 3 4 3 5 3" xfId="40816" xr:uid="{00000000-0005-0000-0000-00000AAB0000}"/>
    <cellStyle name="Percent 3 4 3 6" xfId="17349" xr:uid="{00000000-0005-0000-0000-00000BAB0000}"/>
    <cellStyle name="Percent 3 4 3 6 2" xfId="40818" xr:uid="{00000000-0005-0000-0000-00000CAB0000}"/>
    <cellStyle name="Percent 3 4 3 7" xfId="22021" xr:uid="{00000000-0005-0000-0000-00000DAB0000}"/>
    <cellStyle name="Percent 3 4 3 7 2" xfId="45289" xr:uid="{00000000-0005-0000-0000-00000EAB0000}"/>
    <cellStyle name="Percent 3 4 3 8" xfId="40795" xr:uid="{00000000-0005-0000-0000-00000FAB0000}"/>
    <cellStyle name="Percent 3 4 4" xfId="17350" xr:uid="{00000000-0005-0000-0000-000010AB0000}"/>
    <cellStyle name="Percent 3 4 4 2" xfId="17351" xr:uid="{00000000-0005-0000-0000-000011AB0000}"/>
    <cellStyle name="Percent 3 4 4 2 2" xfId="17352" xr:uid="{00000000-0005-0000-0000-000012AB0000}"/>
    <cellStyle name="Percent 3 4 4 2 2 2" xfId="17353" xr:uid="{00000000-0005-0000-0000-000013AB0000}"/>
    <cellStyle name="Percent 3 4 4 2 2 2 2" xfId="17354" xr:uid="{00000000-0005-0000-0000-000014AB0000}"/>
    <cellStyle name="Percent 3 4 4 2 2 2 2 2" xfId="40823" xr:uid="{00000000-0005-0000-0000-000015AB0000}"/>
    <cellStyle name="Percent 3 4 4 2 2 2 3" xfId="40822" xr:uid="{00000000-0005-0000-0000-000016AB0000}"/>
    <cellStyle name="Percent 3 4 4 2 2 3" xfId="17355" xr:uid="{00000000-0005-0000-0000-000017AB0000}"/>
    <cellStyle name="Percent 3 4 4 2 2 3 2" xfId="40824" xr:uid="{00000000-0005-0000-0000-000018AB0000}"/>
    <cellStyle name="Percent 3 4 4 2 2 4" xfId="40821" xr:uid="{00000000-0005-0000-0000-000019AB0000}"/>
    <cellStyle name="Percent 3 4 4 2 3" xfId="17356" xr:uid="{00000000-0005-0000-0000-00001AAB0000}"/>
    <cellStyle name="Percent 3 4 4 2 3 2" xfId="17357" xr:uid="{00000000-0005-0000-0000-00001BAB0000}"/>
    <cellStyle name="Percent 3 4 4 2 3 2 2" xfId="40826" xr:uid="{00000000-0005-0000-0000-00001CAB0000}"/>
    <cellStyle name="Percent 3 4 4 2 3 3" xfId="40825" xr:uid="{00000000-0005-0000-0000-00001DAB0000}"/>
    <cellStyle name="Percent 3 4 4 2 4" xfId="17358" xr:uid="{00000000-0005-0000-0000-00001EAB0000}"/>
    <cellStyle name="Percent 3 4 4 2 4 2" xfId="40827" xr:uid="{00000000-0005-0000-0000-00001FAB0000}"/>
    <cellStyle name="Percent 3 4 4 2 5" xfId="40820" xr:uid="{00000000-0005-0000-0000-000020AB0000}"/>
    <cellStyle name="Percent 3 4 4 3" xfId="17359" xr:uid="{00000000-0005-0000-0000-000021AB0000}"/>
    <cellStyle name="Percent 3 4 4 3 2" xfId="17360" xr:uid="{00000000-0005-0000-0000-000022AB0000}"/>
    <cellStyle name="Percent 3 4 4 3 2 2" xfId="17361" xr:uid="{00000000-0005-0000-0000-000023AB0000}"/>
    <cellStyle name="Percent 3 4 4 3 2 2 2" xfId="17362" xr:uid="{00000000-0005-0000-0000-000024AB0000}"/>
    <cellStyle name="Percent 3 4 4 3 2 2 2 2" xfId="40831" xr:uid="{00000000-0005-0000-0000-000025AB0000}"/>
    <cellStyle name="Percent 3 4 4 3 2 2 3" xfId="40830" xr:uid="{00000000-0005-0000-0000-000026AB0000}"/>
    <cellStyle name="Percent 3 4 4 3 2 3" xfId="17363" xr:uid="{00000000-0005-0000-0000-000027AB0000}"/>
    <cellStyle name="Percent 3 4 4 3 2 3 2" xfId="40832" xr:uid="{00000000-0005-0000-0000-000028AB0000}"/>
    <cellStyle name="Percent 3 4 4 3 2 4" xfId="40829" xr:uid="{00000000-0005-0000-0000-000029AB0000}"/>
    <cellStyle name="Percent 3 4 4 3 3" xfId="17364" xr:uid="{00000000-0005-0000-0000-00002AAB0000}"/>
    <cellStyle name="Percent 3 4 4 3 3 2" xfId="17365" xr:uid="{00000000-0005-0000-0000-00002BAB0000}"/>
    <cellStyle name="Percent 3 4 4 3 3 2 2" xfId="40834" xr:uid="{00000000-0005-0000-0000-00002CAB0000}"/>
    <cellStyle name="Percent 3 4 4 3 3 3" xfId="40833" xr:uid="{00000000-0005-0000-0000-00002DAB0000}"/>
    <cellStyle name="Percent 3 4 4 3 4" xfId="17366" xr:uid="{00000000-0005-0000-0000-00002EAB0000}"/>
    <cellStyle name="Percent 3 4 4 3 4 2" xfId="40835" xr:uid="{00000000-0005-0000-0000-00002FAB0000}"/>
    <cellStyle name="Percent 3 4 4 3 5" xfId="40828" xr:uid="{00000000-0005-0000-0000-000030AB0000}"/>
    <cellStyle name="Percent 3 4 4 4" xfId="17367" xr:uid="{00000000-0005-0000-0000-000031AB0000}"/>
    <cellStyle name="Percent 3 4 4 4 2" xfId="17368" xr:uid="{00000000-0005-0000-0000-000032AB0000}"/>
    <cellStyle name="Percent 3 4 4 4 2 2" xfId="17369" xr:uid="{00000000-0005-0000-0000-000033AB0000}"/>
    <cellStyle name="Percent 3 4 4 4 2 2 2" xfId="40838" xr:uid="{00000000-0005-0000-0000-000034AB0000}"/>
    <cellStyle name="Percent 3 4 4 4 2 3" xfId="40837" xr:uid="{00000000-0005-0000-0000-000035AB0000}"/>
    <cellStyle name="Percent 3 4 4 4 3" xfId="17370" xr:uid="{00000000-0005-0000-0000-000036AB0000}"/>
    <cellStyle name="Percent 3 4 4 4 3 2" xfId="40839" xr:uid="{00000000-0005-0000-0000-000037AB0000}"/>
    <cellStyle name="Percent 3 4 4 4 4" xfId="40836" xr:uid="{00000000-0005-0000-0000-000038AB0000}"/>
    <cellStyle name="Percent 3 4 4 5" xfId="17371" xr:uid="{00000000-0005-0000-0000-000039AB0000}"/>
    <cellStyle name="Percent 3 4 4 5 2" xfId="17372" xr:uid="{00000000-0005-0000-0000-00003AAB0000}"/>
    <cellStyle name="Percent 3 4 4 5 2 2" xfId="40841" xr:uid="{00000000-0005-0000-0000-00003BAB0000}"/>
    <cellStyle name="Percent 3 4 4 5 3" xfId="40840" xr:uid="{00000000-0005-0000-0000-00003CAB0000}"/>
    <cellStyle name="Percent 3 4 4 6" xfId="17373" xr:uid="{00000000-0005-0000-0000-00003DAB0000}"/>
    <cellStyle name="Percent 3 4 4 6 2" xfId="40842" xr:uid="{00000000-0005-0000-0000-00003EAB0000}"/>
    <cellStyle name="Percent 3 4 4 7" xfId="40819" xr:uid="{00000000-0005-0000-0000-00003FAB0000}"/>
    <cellStyle name="Percent 3 4 5" xfId="17374" xr:uid="{00000000-0005-0000-0000-000040AB0000}"/>
    <cellStyle name="Percent 3 4 5 2" xfId="17375" xr:uid="{00000000-0005-0000-0000-000041AB0000}"/>
    <cellStyle name="Percent 3 4 5 2 2" xfId="17376" xr:uid="{00000000-0005-0000-0000-000042AB0000}"/>
    <cellStyle name="Percent 3 4 5 2 2 2" xfId="17377" xr:uid="{00000000-0005-0000-0000-000043AB0000}"/>
    <cellStyle name="Percent 3 4 5 2 2 2 2" xfId="40846" xr:uid="{00000000-0005-0000-0000-000044AB0000}"/>
    <cellStyle name="Percent 3 4 5 2 2 3" xfId="40845" xr:uid="{00000000-0005-0000-0000-000045AB0000}"/>
    <cellStyle name="Percent 3 4 5 2 3" xfId="17378" xr:uid="{00000000-0005-0000-0000-000046AB0000}"/>
    <cellStyle name="Percent 3 4 5 2 3 2" xfId="40847" xr:uid="{00000000-0005-0000-0000-000047AB0000}"/>
    <cellStyle name="Percent 3 4 5 2 4" xfId="40844" xr:uid="{00000000-0005-0000-0000-000048AB0000}"/>
    <cellStyle name="Percent 3 4 5 3" xfId="17379" xr:uid="{00000000-0005-0000-0000-000049AB0000}"/>
    <cellStyle name="Percent 3 4 5 3 2" xfId="17380" xr:uid="{00000000-0005-0000-0000-00004AAB0000}"/>
    <cellStyle name="Percent 3 4 5 3 2 2" xfId="40849" xr:uid="{00000000-0005-0000-0000-00004BAB0000}"/>
    <cellStyle name="Percent 3 4 5 3 3" xfId="40848" xr:uid="{00000000-0005-0000-0000-00004CAB0000}"/>
    <cellStyle name="Percent 3 4 5 4" xfId="17381" xr:uid="{00000000-0005-0000-0000-00004DAB0000}"/>
    <cellStyle name="Percent 3 4 5 4 2" xfId="40850" xr:uid="{00000000-0005-0000-0000-00004EAB0000}"/>
    <cellStyle name="Percent 3 4 5 5" xfId="40843" xr:uid="{00000000-0005-0000-0000-00004FAB0000}"/>
    <cellStyle name="Percent 3 4 6" xfId="17382" xr:uid="{00000000-0005-0000-0000-000050AB0000}"/>
    <cellStyle name="Percent 3 4 6 2" xfId="17383" xr:uid="{00000000-0005-0000-0000-000051AB0000}"/>
    <cellStyle name="Percent 3 4 6 2 2" xfId="17384" xr:uid="{00000000-0005-0000-0000-000052AB0000}"/>
    <cellStyle name="Percent 3 4 6 2 2 2" xfId="17385" xr:uid="{00000000-0005-0000-0000-000053AB0000}"/>
    <cellStyle name="Percent 3 4 6 2 2 2 2" xfId="40854" xr:uid="{00000000-0005-0000-0000-000054AB0000}"/>
    <cellStyle name="Percent 3 4 6 2 2 3" xfId="40853" xr:uid="{00000000-0005-0000-0000-000055AB0000}"/>
    <cellStyle name="Percent 3 4 6 2 3" xfId="17386" xr:uid="{00000000-0005-0000-0000-000056AB0000}"/>
    <cellStyle name="Percent 3 4 6 2 3 2" xfId="40855" xr:uid="{00000000-0005-0000-0000-000057AB0000}"/>
    <cellStyle name="Percent 3 4 6 2 4" xfId="40852" xr:uid="{00000000-0005-0000-0000-000058AB0000}"/>
    <cellStyle name="Percent 3 4 6 3" xfId="17387" xr:uid="{00000000-0005-0000-0000-000059AB0000}"/>
    <cellStyle name="Percent 3 4 6 3 2" xfId="17388" xr:uid="{00000000-0005-0000-0000-00005AAB0000}"/>
    <cellStyle name="Percent 3 4 6 3 2 2" xfId="40857" xr:uid="{00000000-0005-0000-0000-00005BAB0000}"/>
    <cellStyle name="Percent 3 4 6 3 3" xfId="40856" xr:uid="{00000000-0005-0000-0000-00005CAB0000}"/>
    <cellStyle name="Percent 3 4 6 4" xfId="17389" xr:uid="{00000000-0005-0000-0000-00005DAB0000}"/>
    <cellStyle name="Percent 3 4 6 4 2" xfId="40858" xr:uid="{00000000-0005-0000-0000-00005EAB0000}"/>
    <cellStyle name="Percent 3 4 6 5" xfId="40851" xr:uid="{00000000-0005-0000-0000-00005FAB0000}"/>
    <cellStyle name="Percent 3 4 7" xfId="17390" xr:uid="{00000000-0005-0000-0000-000060AB0000}"/>
    <cellStyle name="Percent 3 4 7 2" xfId="17391" xr:uid="{00000000-0005-0000-0000-000061AB0000}"/>
    <cellStyle name="Percent 3 4 7 2 2" xfId="17392" xr:uid="{00000000-0005-0000-0000-000062AB0000}"/>
    <cellStyle name="Percent 3 4 7 2 2 2" xfId="40861" xr:uid="{00000000-0005-0000-0000-000063AB0000}"/>
    <cellStyle name="Percent 3 4 7 2 3" xfId="40860" xr:uid="{00000000-0005-0000-0000-000064AB0000}"/>
    <cellStyle name="Percent 3 4 7 3" xfId="17393" xr:uid="{00000000-0005-0000-0000-000065AB0000}"/>
    <cellStyle name="Percent 3 4 7 3 2" xfId="40862" xr:uid="{00000000-0005-0000-0000-000066AB0000}"/>
    <cellStyle name="Percent 3 4 7 4" xfId="40859" xr:uid="{00000000-0005-0000-0000-000067AB0000}"/>
    <cellStyle name="Percent 3 4 8" xfId="17394" xr:uid="{00000000-0005-0000-0000-000068AB0000}"/>
    <cellStyle name="Percent 3 4 8 2" xfId="17395" xr:uid="{00000000-0005-0000-0000-000069AB0000}"/>
    <cellStyle name="Percent 3 4 8 2 2" xfId="40864" xr:uid="{00000000-0005-0000-0000-00006AAB0000}"/>
    <cellStyle name="Percent 3 4 8 3" xfId="40863" xr:uid="{00000000-0005-0000-0000-00006BAB0000}"/>
    <cellStyle name="Percent 3 4 9" xfId="17396" xr:uid="{00000000-0005-0000-0000-00006CAB0000}"/>
    <cellStyle name="Percent 3 4 9 2" xfId="40865" xr:uid="{00000000-0005-0000-0000-00006DAB0000}"/>
    <cellStyle name="Percent 3 5" xfId="17397" xr:uid="{00000000-0005-0000-0000-00006EAB0000}"/>
    <cellStyle name="Percent 3 5 10" xfId="40866" xr:uid="{00000000-0005-0000-0000-00006FAB0000}"/>
    <cellStyle name="Percent 3 5 2" xfId="17398" xr:uid="{00000000-0005-0000-0000-000070AB0000}"/>
    <cellStyle name="Percent 3 5 2 2" xfId="17399" xr:uid="{00000000-0005-0000-0000-000071AB0000}"/>
    <cellStyle name="Percent 3 5 2 2 2" xfId="17400" xr:uid="{00000000-0005-0000-0000-000072AB0000}"/>
    <cellStyle name="Percent 3 5 2 2 2 2" xfId="17401" xr:uid="{00000000-0005-0000-0000-000073AB0000}"/>
    <cellStyle name="Percent 3 5 2 2 2 2 2" xfId="17402" xr:uid="{00000000-0005-0000-0000-000074AB0000}"/>
    <cellStyle name="Percent 3 5 2 2 2 2 2 2" xfId="40871" xr:uid="{00000000-0005-0000-0000-000075AB0000}"/>
    <cellStyle name="Percent 3 5 2 2 2 2 3" xfId="40870" xr:uid="{00000000-0005-0000-0000-000076AB0000}"/>
    <cellStyle name="Percent 3 5 2 2 2 3" xfId="17403" xr:uid="{00000000-0005-0000-0000-000077AB0000}"/>
    <cellStyle name="Percent 3 5 2 2 2 3 2" xfId="40872" xr:uid="{00000000-0005-0000-0000-000078AB0000}"/>
    <cellStyle name="Percent 3 5 2 2 2 4" xfId="40869" xr:uid="{00000000-0005-0000-0000-000079AB0000}"/>
    <cellStyle name="Percent 3 5 2 2 3" xfId="17404" xr:uid="{00000000-0005-0000-0000-00007AAB0000}"/>
    <cellStyle name="Percent 3 5 2 2 3 2" xfId="17405" xr:uid="{00000000-0005-0000-0000-00007BAB0000}"/>
    <cellStyle name="Percent 3 5 2 2 3 2 2" xfId="40874" xr:uid="{00000000-0005-0000-0000-00007CAB0000}"/>
    <cellStyle name="Percent 3 5 2 2 3 3" xfId="40873" xr:uid="{00000000-0005-0000-0000-00007DAB0000}"/>
    <cellStyle name="Percent 3 5 2 2 4" xfId="17406" xr:uid="{00000000-0005-0000-0000-00007EAB0000}"/>
    <cellStyle name="Percent 3 5 2 2 4 2" xfId="40875" xr:uid="{00000000-0005-0000-0000-00007FAB0000}"/>
    <cellStyle name="Percent 3 5 2 2 5" xfId="40868" xr:uid="{00000000-0005-0000-0000-000080AB0000}"/>
    <cellStyle name="Percent 3 5 2 3" xfId="17407" xr:uid="{00000000-0005-0000-0000-000081AB0000}"/>
    <cellStyle name="Percent 3 5 2 3 2" xfId="17408" xr:uid="{00000000-0005-0000-0000-000082AB0000}"/>
    <cellStyle name="Percent 3 5 2 3 2 2" xfId="17409" xr:uid="{00000000-0005-0000-0000-000083AB0000}"/>
    <cellStyle name="Percent 3 5 2 3 2 2 2" xfId="17410" xr:uid="{00000000-0005-0000-0000-000084AB0000}"/>
    <cellStyle name="Percent 3 5 2 3 2 2 2 2" xfId="40879" xr:uid="{00000000-0005-0000-0000-000085AB0000}"/>
    <cellStyle name="Percent 3 5 2 3 2 2 3" xfId="40878" xr:uid="{00000000-0005-0000-0000-000086AB0000}"/>
    <cellStyle name="Percent 3 5 2 3 2 3" xfId="17411" xr:uid="{00000000-0005-0000-0000-000087AB0000}"/>
    <cellStyle name="Percent 3 5 2 3 2 3 2" xfId="40880" xr:uid="{00000000-0005-0000-0000-000088AB0000}"/>
    <cellStyle name="Percent 3 5 2 3 2 4" xfId="40877" xr:uid="{00000000-0005-0000-0000-000089AB0000}"/>
    <cellStyle name="Percent 3 5 2 3 3" xfId="17412" xr:uid="{00000000-0005-0000-0000-00008AAB0000}"/>
    <cellStyle name="Percent 3 5 2 3 3 2" xfId="17413" xr:uid="{00000000-0005-0000-0000-00008BAB0000}"/>
    <cellStyle name="Percent 3 5 2 3 3 2 2" xfId="40882" xr:uid="{00000000-0005-0000-0000-00008CAB0000}"/>
    <cellStyle name="Percent 3 5 2 3 3 3" xfId="40881" xr:uid="{00000000-0005-0000-0000-00008DAB0000}"/>
    <cellStyle name="Percent 3 5 2 3 4" xfId="17414" xr:uid="{00000000-0005-0000-0000-00008EAB0000}"/>
    <cellStyle name="Percent 3 5 2 3 4 2" xfId="40883" xr:uid="{00000000-0005-0000-0000-00008FAB0000}"/>
    <cellStyle name="Percent 3 5 2 3 5" xfId="40876" xr:uid="{00000000-0005-0000-0000-000090AB0000}"/>
    <cellStyle name="Percent 3 5 2 4" xfId="17415" xr:uid="{00000000-0005-0000-0000-000091AB0000}"/>
    <cellStyle name="Percent 3 5 2 4 2" xfId="17416" xr:uid="{00000000-0005-0000-0000-000092AB0000}"/>
    <cellStyle name="Percent 3 5 2 4 2 2" xfId="17417" xr:uid="{00000000-0005-0000-0000-000093AB0000}"/>
    <cellStyle name="Percent 3 5 2 4 2 2 2" xfId="40886" xr:uid="{00000000-0005-0000-0000-000094AB0000}"/>
    <cellStyle name="Percent 3 5 2 4 2 3" xfId="40885" xr:uid="{00000000-0005-0000-0000-000095AB0000}"/>
    <cellStyle name="Percent 3 5 2 4 3" xfId="17418" xr:uid="{00000000-0005-0000-0000-000096AB0000}"/>
    <cellStyle name="Percent 3 5 2 4 3 2" xfId="40887" xr:uid="{00000000-0005-0000-0000-000097AB0000}"/>
    <cellStyle name="Percent 3 5 2 4 4" xfId="40884" xr:uid="{00000000-0005-0000-0000-000098AB0000}"/>
    <cellStyle name="Percent 3 5 2 5" xfId="17419" xr:uid="{00000000-0005-0000-0000-000099AB0000}"/>
    <cellStyle name="Percent 3 5 2 5 2" xfId="17420" xr:uid="{00000000-0005-0000-0000-00009AAB0000}"/>
    <cellStyle name="Percent 3 5 2 5 2 2" xfId="40889" xr:uid="{00000000-0005-0000-0000-00009BAB0000}"/>
    <cellStyle name="Percent 3 5 2 5 3" xfId="40888" xr:uid="{00000000-0005-0000-0000-00009CAB0000}"/>
    <cellStyle name="Percent 3 5 2 6" xfId="17421" xr:uid="{00000000-0005-0000-0000-00009DAB0000}"/>
    <cellStyle name="Percent 3 5 2 6 2" xfId="40890" xr:uid="{00000000-0005-0000-0000-00009EAB0000}"/>
    <cellStyle name="Percent 3 5 2 7" xfId="40867" xr:uid="{00000000-0005-0000-0000-00009FAB0000}"/>
    <cellStyle name="Percent 3 5 3" xfId="17422" xr:uid="{00000000-0005-0000-0000-0000A0AB0000}"/>
    <cellStyle name="Percent 3 5 3 2" xfId="17423" xr:uid="{00000000-0005-0000-0000-0000A1AB0000}"/>
    <cellStyle name="Percent 3 5 3 2 2" xfId="17424" xr:uid="{00000000-0005-0000-0000-0000A2AB0000}"/>
    <cellStyle name="Percent 3 5 3 2 2 2" xfId="17425" xr:uid="{00000000-0005-0000-0000-0000A3AB0000}"/>
    <cellStyle name="Percent 3 5 3 2 2 2 2" xfId="17426" xr:uid="{00000000-0005-0000-0000-0000A4AB0000}"/>
    <cellStyle name="Percent 3 5 3 2 2 2 2 2" xfId="40895" xr:uid="{00000000-0005-0000-0000-0000A5AB0000}"/>
    <cellStyle name="Percent 3 5 3 2 2 2 3" xfId="40894" xr:uid="{00000000-0005-0000-0000-0000A6AB0000}"/>
    <cellStyle name="Percent 3 5 3 2 2 3" xfId="17427" xr:uid="{00000000-0005-0000-0000-0000A7AB0000}"/>
    <cellStyle name="Percent 3 5 3 2 2 3 2" xfId="40896" xr:uid="{00000000-0005-0000-0000-0000A8AB0000}"/>
    <cellStyle name="Percent 3 5 3 2 2 4" xfId="40893" xr:uid="{00000000-0005-0000-0000-0000A9AB0000}"/>
    <cellStyle name="Percent 3 5 3 2 3" xfId="17428" xr:uid="{00000000-0005-0000-0000-0000AAAB0000}"/>
    <cellStyle name="Percent 3 5 3 2 3 2" xfId="17429" xr:uid="{00000000-0005-0000-0000-0000ABAB0000}"/>
    <cellStyle name="Percent 3 5 3 2 3 2 2" xfId="40898" xr:uid="{00000000-0005-0000-0000-0000ACAB0000}"/>
    <cellStyle name="Percent 3 5 3 2 3 3" xfId="40897" xr:uid="{00000000-0005-0000-0000-0000ADAB0000}"/>
    <cellStyle name="Percent 3 5 3 2 4" xfId="17430" xr:uid="{00000000-0005-0000-0000-0000AEAB0000}"/>
    <cellStyle name="Percent 3 5 3 2 4 2" xfId="40899" xr:uid="{00000000-0005-0000-0000-0000AFAB0000}"/>
    <cellStyle name="Percent 3 5 3 2 5" xfId="40892" xr:uid="{00000000-0005-0000-0000-0000B0AB0000}"/>
    <cellStyle name="Percent 3 5 3 3" xfId="17431" xr:uid="{00000000-0005-0000-0000-0000B1AB0000}"/>
    <cellStyle name="Percent 3 5 3 3 2" xfId="17432" xr:uid="{00000000-0005-0000-0000-0000B2AB0000}"/>
    <cellStyle name="Percent 3 5 3 3 2 2" xfId="17433" xr:uid="{00000000-0005-0000-0000-0000B3AB0000}"/>
    <cellStyle name="Percent 3 5 3 3 2 2 2" xfId="17434" xr:uid="{00000000-0005-0000-0000-0000B4AB0000}"/>
    <cellStyle name="Percent 3 5 3 3 2 2 2 2" xfId="40903" xr:uid="{00000000-0005-0000-0000-0000B5AB0000}"/>
    <cellStyle name="Percent 3 5 3 3 2 2 3" xfId="40902" xr:uid="{00000000-0005-0000-0000-0000B6AB0000}"/>
    <cellStyle name="Percent 3 5 3 3 2 3" xfId="17435" xr:uid="{00000000-0005-0000-0000-0000B7AB0000}"/>
    <cellStyle name="Percent 3 5 3 3 2 3 2" xfId="40904" xr:uid="{00000000-0005-0000-0000-0000B8AB0000}"/>
    <cellStyle name="Percent 3 5 3 3 2 4" xfId="40901" xr:uid="{00000000-0005-0000-0000-0000B9AB0000}"/>
    <cellStyle name="Percent 3 5 3 3 3" xfId="17436" xr:uid="{00000000-0005-0000-0000-0000BAAB0000}"/>
    <cellStyle name="Percent 3 5 3 3 3 2" xfId="17437" xr:uid="{00000000-0005-0000-0000-0000BBAB0000}"/>
    <cellStyle name="Percent 3 5 3 3 3 2 2" xfId="40906" xr:uid="{00000000-0005-0000-0000-0000BCAB0000}"/>
    <cellStyle name="Percent 3 5 3 3 3 3" xfId="40905" xr:uid="{00000000-0005-0000-0000-0000BDAB0000}"/>
    <cellStyle name="Percent 3 5 3 3 4" xfId="17438" xr:uid="{00000000-0005-0000-0000-0000BEAB0000}"/>
    <cellStyle name="Percent 3 5 3 3 4 2" xfId="40907" xr:uid="{00000000-0005-0000-0000-0000BFAB0000}"/>
    <cellStyle name="Percent 3 5 3 3 5" xfId="40900" xr:uid="{00000000-0005-0000-0000-0000C0AB0000}"/>
    <cellStyle name="Percent 3 5 3 4" xfId="17439" xr:uid="{00000000-0005-0000-0000-0000C1AB0000}"/>
    <cellStyle name="Percent 3 5 3 4 2" xfId="17440" xr:uid="{00000000-0005-0000-0000-0000C2AB0000}"/>
    <cellStyle name="Percent 3 5 3 4 2 2" xfId="17441" xr:uid="{00000000-0005-0000-0000-0000C3AB0000}"/>
    <cellStyle name="Percent 3 5 3 4 2 2 2" xfId="40910" xr:uid="{00000000-0005-0000-0000-0000C4AB0000}"/>
    <cellStyle name="Percent 3 5 3 4 2 3" xfId="40909" xr:uid="{00000000-0005-0000-0000-0000C5AB0000}"/>
    <cellStyle name="Percent 3 5 3 4 3" xfId="17442" xr:uid="{00000000-0005-0000-0000-0000C6AB0000}"/>
    <cellStyle name="Percent 3 5 3 4 3 2" xfId="40911" xr:uid="{00000000-0005-0000-0000-0000C7AB0000}"/>
    <cellStyle name="Percent 3 5 3 4 4" xfId="40908" xr:uid="{00000000-0005-0000-0000-0000C8AB0000}"/>
    <cellStyle name="Percent 3 5 3 5" xfId="17443" xr:uid="{00000000-0005-0000-0000-0000C9AB0000}"/>
    <cellStyle name="Percent 3 5 3 5 2" xfId="17444" xr:uid="{00000000-0005-0000-0000-0000CAAB0000}"/>
    <cellStyle name="Percent 3 5 3 5 2 2" xfId="40913" xr:uid="{00000000-0005-0000-0000-0000CBAB0000}"/>
    <cellStyle name="Percent 3 5 3 5 3" xfId="40912" xr:uid="{00000000-0005-0000-0000-0000CCAB0000}"/>
    <cellStyle name="Percent 3 5 3 6" xfId="17445" xr:uid="{00000000-0005-0000-0000-0000CDAB0000}"/>
    <cellStyle name="Percent 3 5 3 6 2" xfId="40914" xr:uid="{00000000-0005-0000-0000-0000CEAB0000}"/>
    <cellStyle name="Percent 3 5 3 7" xfId="40891" xr:uid="{00000000-0005-0000-0000-0000CFAB0000}"/>
    <cellStyle name="Percent 3 5 4" xfId="17446" xr:uid="{00000000-0005-0000-0000-0000D0AB0000}"/>
    <cellStyle name="Percent 3 5 4 2" xfId="17447" xr:uid="{00000000-0005-0000-0000-0000D1AB0000}"/>
    <cellStyle name="Percent 3 5 4 2 2" xfId="17448" xr:uid="{00000000-0005-0000-0000-0000D2AB0000}"/>
    <cellStyle name="Percent 3 5 4 2 2 2" xfId="17449" xr:uid="{00000000-0005-0000-0000-0000D3AB0000}"/>
    <cellStyle name="Percent 3 5 4 2 2 2 2" xfId="17450" xr:uid="{00000000-0005-0000-0000-0000D4AB0000}"/>
    <cellStyle name="Percent 3 5 4 2 2 2 2 2" xfId="40919" xr:uid="{00000000-0005-0000-0000-0000D5AB0000}"/>
    <cellStyle name="Percent 3 5 4 2 2 2 3" xfId="40918" xr:uid="{00000000-0005-0000-0000-0000D6AB0000}"/>
    <cellStyle name="Percent 3 5 4 2 2 3" xfId="17451" xr:uid="{00000000-0005-0000-0000-0000D7AB0000}"/>
    <cellStyle name="Percent 3 5 4 2 2 3 2" xfId="40920" xr:uid="{00000000-0005-0000-0000-0000D8AB0000}"/>
    <cellStyle name="Percent 3 5 4 2 2 4" xfId="40917" xr:uid="{00000000-0005-0000-0000-0000D9AB0000}"/>
    <cellStyle name="Percent 3 5 4 2 3" xfId="17452" xr:uid="{00000000-0005-0000-0000-0000DAAB0000}"/>
    <cellStyle name="Percent 3 5 4 2 3 2" xfId="17453" xr:uid="{00000000-0005-0000-0000-0000DBAB0000}"/>
    <cellStyle name="Percent 3 5 4 2 3 2 2" xfId="40922" xr:uid="{00000000-0005-0000-0000-0000DCAB0000}"/>
    <cellStyle name="Percent 3 5 4 2 3 3" xfId="40921" xr:uid="{00000000-0005-0000-0000-0000DDAB0000}"/>
    <cellStyle name="Percent 3 5 4 2 4" xfId="17454" xr:uid="{00000000-0005-0000-0000-0000DEAB0000}"/>
    <cellStyle name="Percent 3 5 4 2 4 2" xfId="40923" xr:uid="{00000000-0005-0000-0000-0000DFAB0000}"/>
    <cellStyle name="Percent 3 5 4 2 5" xfId="40916" xr:uid="{00000000-0005-0000-0000-0000E0AB0000}"/>
    <cellStyle name="Percent 3 5 4 3" xfId="17455" xr:uid="{00000000-0005-0000-0000-0000E1AB0000}"/>
    <cellStyle name="Percent 3 5 4 3 2" xfId="17456" xr:uid="{00000000-0005-0000-0000-0000E2AB0000}"/>
    <cellStyle name="Percent 3 5 4 3 2 2" xfId="17457" xr:uid="{00000000-0005-0000-0000-0000E3AB0000}"/>
    <cellStyle name="Percent 3 5 4 3 2 2 2" xfId="17458" xr:uid="{00000000-0005-0000-0000-0000E4AB0000}"/>
    <cellStyle name="Percent 3 5 4 3 2 2 2 2" xfId="40927" xr:uid="{00000000-0005-0000-0000-0000E5AB0000}"/>
    <cellStyle name="Percent 3 5 4 3 2 2 3" xfId="40926" xr:uid="{00000000-0005-0000-0000-0000E6AB0000}"/>
    <cellStyle name="Percent 3 5 4 3 2 3" xfId="17459" xr:uid="{00000000-0005-0000-0000-0000E7AB0000}"/>
    <cellStyle name="Percent 3 5 4 3 2 3 2" xfId="40928" xr:uid="{00000000-0005-0000-0000-0000E8AB0000}"/>
    <cellStyle name="Percent 3 5 4 3 2 4" xfId="40925" xr:uid="{00000000-0005-0000-0000-0000E9AB0000}"/>
    <cellStyle name="Percent 3 5 4 3 3" xfId="17460" xr:uid="{00000000-0005-0000-0000-0000EAAB0000}"/>
    <cellStyle name="Percent 3 5 4 3 3 2" xfId="17461" xr:uid="{00000000-0005-0000-0000-0000EBAB0000}"/>
    <cellStyle name="Percent 3 5 4 3 3 2 2" xfId="40930" xr:uid="{00000000-0005-0000-0000-0000ECAB0000}"/>
    <cellStyle name="Percent 3 5 4 3 3 3" xfId="40929" xr:uid="{00000000-0005-0000-0000-0000EDAB0000}"/>
    <cellStyle name="Percent 3 5 4 3 4" xfId="17462" xr:uid="{00000000-0005-0000-0000-0000EEAB0000}"/>
    <cellStyle name="Percent 3 5 4 3 4 2" xfId="40931" xr:uid="{00000000-0005-0000-0000-0000EFAB0000}"/>
    <cellStyle name="Percent 3 5 4 3 5" xfId="40924" xr:uid="{00000000-0005-0000-0000-0000F0AB0000}"/>
    <cellStyle name="Percent 3 5 4 4" xfId="17463" xr:uid="{00000000-0005-0000-0000-0000F1AB0000}"/>
    <cellStyle name="Percent 3 5 4 4 2" xfId="17464" xr:uid="{00000000-0005-0000-0000-0000F2AB0000}"/>
    <cellStyle name="Percent 3 5 4 4 2 2" xfId="17465" xr:uid="{00000000-0005-0000-0000-0000F3AB0000}"/>
    <cellStyle name="Percent 3 5 4 4 2 2 2" xfId="40934" xr:uid="{00000000-0005-0000-0000-0000F4AB0000}"/>
    <cellStyle name="Percent 3 5 4 4 2 3" xfId="40933" xr:uid="{00000000-0005-0000-0000-0000F5AB0000}"/>
    <cellStyle name="Percent 3 5 4 4 3" xfId="17466" xr:uid="{00000000-0005-0000-0000-0000F6AB0000}"/>
    <cellStyle name="Percent 3 5 4 4 3 2" xfId="40935" xr:uid="{00000000-0005-0000-0000-0000F7AB0000}"/>
    <cellStyle name="Percent 3 5 4 4 4" xfId="40932" xr:uid="{00000000-0005-0000-0000-0000F8AB0000}"/>
    <cellStyle name="Percent 3 5 4 5" xfId="17467" xr:uid="{00000000-0005-0000-0000-0000F9AB0000}"/>
    <cellStyle name="Percent 3 5 4 5 2" xfId="17468" xr:uid="{00000000-0005-0000-0000-0000FAAB0000}"/>
    <cellStyle name="Percent 3 5 4 5 2 2" xfId="40937" xr:uid="{00000000-0005-0000-0000-0000FBAB0000}"/>
    <cellStyle name="Percent 3 5 4 5 3" xfId="40936" xr:uid="{00000000-0005-0000-0000-0000FCAB0000}"/>
    <cellStyle name="Percent 3 5 4 6" xfId="17469" xr:uid="{00000000-0005-0000-0000-0000FDAB0000}"/>
    <cellStyle name="Percent 3 5 4 6 2" xfId="40938" xr:uid="{00000000-0005-0000-0000-0000FEAB0000}"/>
    <cellStyle name="Percent 3 5 4 7" xfId="40915" xr:uid="{00000000-0005-0000-0000-0000FFAB0000}"/>
    <cellStyle name="Percent 3 5 5" xfId="17470" xr:uid="{00000000-0005-0000-0000-000000AC0000}"/>
    <cellStyle name="Percent 3 5 5 2" xfId="17471" xr:uid="{00000000-0005-0000-0000-000001AC0000}"/>
    <cellStyle name="Percent 3 5 5 2 2" xfId="17472" xr:uid="{00000000-0005-0000-0000-000002AC0000}"/>
    <cellStyle name="Percent 3 5 5 2 2 2" xfId="17473" xr:uid="{00000000-0005-0000-0000-000003AC0000}"/>
    <cellStyle name="Percent 3 5 5 2 2 2 2" xfId="40942" xr:uid="{00000000-0005-0000-0000-000004AC0000}"/>
    <cellStyle name="Percent 3 5 5 2 2 3" xfId="40941" xr:uid="{00000000-0005-0000-0000-000005AC0000}"/>
    <cellStyle name="Percent 3 5 5 2 3" xfId="17474" xr:uid="{00000000-0005-0000-0000-000006AC0000}"/>
    <cellStyle name="Percent 3 5 5 2 3 2" xfId="40943" xr:uid="{00000000-0005-0000-0000-000007AC0000}"/>
    <cellStyle name="Percent 3 5 5 2 4" xfId="40940" xr:uid="{00000000-0005-0000-0000-000008AC0000}"/>
    <cellStyle name="Percent 3 5 5 3" xfId="17475" xr:uid="{00000000-0005-0000-0000-000009AC0000}"/>
    <cellStyle name="Percent 3 5 5 3 2" xfId="17476" xr:uid="{00000000-0005-0000-0000-00000AAC0000}"/>
    <cellStyle name="Percent 3 5 5 3 2 2" xfId="40945" xr:uid="{00000000-0005-0000-0000-00000BAC0000}"/>
    <cellStyle name="Percent 3 5 5 3 3" xfId="40944" xr:uid="{00000000-0005-0000-0000-00000CAC0000}"/>
    <cellStyle name="Percent 3 5 5 4" xfId="17477" xr:uid="{00000000-0005-0000-0000-00000DAC0000}"/>
    <cellStyle name="Percent 3 5 5 4 2" xfId="40946" xr:uid="{00000000-0005-0000-0000-00000EAC0000}"/>
    <cellStyle name="Percent 3 5 5 5" xfId="40939" xr:uid="{00000000-0005-0000-0000-00000FAC0000}"/>
    <cellStyle name="Percent 3 5 6" xfId="17478" xr:uid="{00000000-0005-0000-0000-000010AC0000}"/>
    <cellStyle name="Percent 3 5 6 2" xfId="17479" xr:uid="{00000000-0005-0000-0000-000011AC0000}"/>
    <cellStyle name="Percent 3 5 6 2 2" xfId="17480" xr:uid="{00000000-0005-0000-0000-000012AC0000}"/>
    <cellStyle name="Percent 3 5 6 2 2 2" xfId="17481" xr:uid="{00000000-0005-0000-0000-000013AC0000}"/>
    <cellStyle name="Percent 3 5 6 2 2 2 2" xfId="40950" xr:uid="{00000000-0005-0000-0000-000014AC0000}"/>
    <cellStyle name="Percent 3 5 6 2 2 3" xfId="40949" xr:uid="{00000000-0005-0000-0000-000015AC0000}"/>
    <cellStyle name="Percent 3 5 6 2 3" xfId="17482" xr:uid="{00000000-0005-0000-0000-000016AC0000}"/>
    <cellStyle name="Percent 3 5 6 2 3 2" xfId="40951" xr:uid="{00000000-0005-0000-0000-000017AC0000}"/>
    <cellStyle name="Percent 3 5 6 2 4" xfId="40948" xr:uid="{00000000-0005-0000-0000-000018AC0000}"/>
    <cellStyle name="Percent 3 5 6 3" xfId="17483" xr:uid="{00000000-0005-0000-0000-000019AC0000}"/>
    <cellStyle name="Percent 3 5 6 3 2" xfId="17484" xr:uid="{00000000-0005-0000-0000-00001AAC0000}"/>
    <cellStyle name="Percent 3 5 6 3 2 2" xfId="40953" xr:uid="{00000000-0005-0000-0000-00001BAC0000}"/>
    <cellStyle name="Percent 3 5 6 3 3" xfId="40952" xr:uid="{00000000-0005-0000-0000-00001CAC0000}"/>
    <cellStyle name="Percent 3 5 6 4" xfId="17485" xr:uid="{00000000-0005-0000-0000-00001DAC0000}"/>
    <cellStyle name="Percent 3 5 6 4 2" xfId="40954" xr:uid="{00000000-0005-0000-0000-00001EAC0000}"/>
    <cellStyle name="Percent 3 5 6 5" xfId="40947" xr:uid="{00000000-0005-0000-0000-00001FAC0000}"/>
    <cellStyle name="Percent 3 5 7" xfId="17486" xr:uid="{00000000-0005-0000-0000-000020AC0000}"/>
    <cellStyle name="Percent 3 5 7 2" xfId="17487" xr:uid="{00000000-0005-0000-0000-000021AC0000}"/>
    <cellStyle name="Percent 3 5 7 2 2" xfId="17488" xr:uid="{00000000-0005-0000-0000-000022AC0000}"/>
    <cellStyle name="Percent 3 5 7 2 2 2" xfId="40957" xr:uid="{00000000-0005-0000-0000-000023AC0000}"/>
    <cellStyle name="Percent 3 5 7 2 3" xfId="40956" xr:uid="{00000000-0005-0000-0000-000024AC0000}"/>
    <cellStyle name="Percent 3 5 7 3" xfId="17489" xr:uid="{00000000-0005-0000-0000-000025AC0000}"/>
    <cellStyle name="Percent 3 5 7 3 2" xfId="40958" xr:uid="{00000000-0005-0000-0000-000026AC0000}"/>
    <cellStyle name="Percent 3 5 7 4" xfId="40955" xr:uid="{00000000-0005-0000-0000-000027AC0000}"/>
    <cellStyle name="Percent 3 5 8" xfId="17490" xr:uid="{00000000-0005-0000-0000-000028AC0000}"/>
    <cellStyle name="Percent 3 5 8 2" xfId="17491" xr:uid="{00000000-0005-0000-0000-000029AC0000}"/>
    <cellStyle name="Percent 3 5 8 2 2" xfId="40960" xr:uid="{00000000-0005-0000-0000-00002AAC0000}"/>
    <cellStyle name="Percent 3 5 8 3" xfId="40959" xr:uid="{00000000-0005-0000-0000-00002BAC0000}"/>
    <cellStyle name="Percent 3 5 9" xfId="17492" xr:uid="{00000000-0005-0000-0000-00002CAC0000}"/>
    <cellStyle name="Percent 3 5 9 2" xfId="40961" xr:uid="{00000000-0005-0000-0000-00002DAC0000}"/>
    <cellStyle name="Percent 3 6" xfId="17493" xr:uid="{00000000-0005-0000-0000-00002EAC0000}"/>
    <cellStyle name="Percent 3 6 10" xfId="40962" xr:uid="{00000000-0005-0000-0000-00002FAC0000}"/>
    <cellStyle name="Percent 3 6 2" xfId="17494" xr:uid="{00000000-0005-0000-0000-000030AC0000}"/>
    <cellStyle name="Percent 3 6 2 2" xfId="17495" xr:uid="{00000000-0005-0000-0000-000031AC0000}"/>
    <cellStyle name="Percent 3 6 2 2 2" xfId="17496" xr:uid="{00000000-0005-0000-0000-000032AC0000}"/>
    <cellStyle name="Percent 3 6 2 2 2 2" xfId="17497" xr:uid="{00000000-0005-0000-0000-000033AC0000}"/>
    <cellStyle name="Percent 3 6 2 2 2 2 2" xfId="17498" xr:uid="{00000000-0005-0000-0000-000034AC0000}"/>
    <cellStyle name="Percent 3 6 2 2 2 2 2 2" xfId="40967" xr:uid="{00000000-0005-0000-0000-000035AC0000}"/>
    <cellStyle name="Percent 3 6 2 2 2 2 3" xfId="40966" xr:uid="{00000000-0005-0000-0000-000036AC0000}"/>
    <cellStyle name="Percent 3 6 2 2 2 3" xfId="17499" xr:uid="{00000000-0005-0000-0000-000037AC0000}"/>
    <cellStyle name="Percent 3 6 2 2 2 3 2" xfId="40968" xr:uid="{00000000-0005-0000-0000-000038AC0000}"/>
    <cellStyle name="Percent 3 6 2 2 2 4" xfId="40965" xr:uid="{00000000-0005-0000-0000-000039AC0000}"/>
    <cellStyle name="Percent 3 6 2 2 3" xfId="17500" xr:uid="{00000000-0005-0000-0000-00003AAC0000}"/>
    <cellStyle name="Percent 3 6 2 2 3 2" xfId="17501" xr:uid="{00000000-0005-0000-0000-00003BAC0000}"/>
    <cellStyle name="Percent 3 6 2 2 3 2 2" xfId="40970" xr:uid="{00000000-0005-0000-0000-00003CAC0000}"/>
    <cellStyle name="Percent 3 6 2 2 3 3" xfId="40969" xr:uid="{00000000-0005-0000-0000-00003DAC0000}"/>
    <cellStyle name="Percent 3 6 2 2 4" xfId="17502" xr:uid="{00000000-0005-0000-0000-00003EAC0000}"/>
    <cellStyle name="Percent 3 6 2 2 4 2" xfId="40971" xr:uid="{00000000-0005-0000-0000-00003FAC0000}"/>
    <cellStyle name="Percent 3 6 2 2 5" xfId="40964" xr:uid="{00000000-0005-0000-0000-000040AC0000}"/>
    <cellStyle name="Percent 3 6 2 3" xfId="17503" xr:uid="{00000000-0005-0000-0000-000041AC0000}"/>
    <cellStyle name="Percent 3 6 2 3 2" xfId="17504" xr:uid="{00000000-0005-0000-0000-000042AC0000}"/>
    <cellStyle name="Percent 3 6 2 3 2 2" xfId="17505" xr:uid="{00000000-0005-0000-0000-000043AC0000}"/>
    <cellStyle name="Percent 3 6 2 3 2 2 2" xfId="17506" xr:uid="{00000000-0005-0000-0000-000044AC0000}"/>
    <cellStyle name="Percent 3 6 2 3 2 2 2 2" xfId="40975" xr:uid="{00000000-0005-0000-0000-000045AC0000}"/>
    <cellStyle name="Percent 3 6 2 3 2 2 3" xfId="40974" xr:uid="{00000000-0005-0000-0000-000046AC0000}"/>
    <cellStyle name="Percent 3 6 2 3 2 3" xfId="17507" xr:uid="{00000000-0005-0000-0000-000047AC0000}"/>
    <cellStyle name="Percent 3 6 2 3 2 3 2" xfId="40976" xr:uid="{00000000-0005-0000-0000-000048AC0000}"/>
    <cellStyle name="Percent 3 6 2 3 2 4" xfId="40973" xr:uid="{00000000-0005-0000-0000-000049AC0000}"/>
    <cellStyle name="Percent 3 6 2 3 3" xfId="17508" xr:uid="{00000000-0005-0000-0000-00004AAC0000}"/>
    <cellStyle name="Percent 3 6 2 3 3 2" xfId="17509" xr:uid="{00000000-0005-0000-0000-00004BAC0000}"/>
    <cellStyle name="Percent 3 6 2 3 3 2 2" xfId="40978" xr:uid="{00000000-0005-0000-0000-00004CAC0000}"/>
    <cellStyle name="Percent 3 6 2 3 3 3" xfId="40977" xr:uid="{00000000-0005-0000-0000-00004DAC0000}"/>
    <cellStyle name="Percent 3 6 2 3 4" xfId="17510" xr:uid="{00000000-0005-0000-0000-00004EAC0000}"/>
    <cellStyle name="Percent 3 6 2 3 4 2" xfId="40979" xr:uid="{00000000-0005-0000-0000-00004FAC0000}"/>
    <cellStyle name="Percent 3 6 2 3 5" xfId="40972" xr:uid="{00000000-0005-0000-0000-000050AC0000}"/>
    <cellStyle name="Percent 3 6 2 4" xfId="17511" xr:uid="{00000000-0005-0000-0000-000051AC0000}"/>
    <cellStyle name="Percent 3 6 2 4 2" xfId="17512" xr:uid="{00000000-0005-0000-0000-000052AC0000}"/>
    <cellStyle name="Percent 3 6 2 4 2 2" xfId="17513" xr:uid="{00000000-0005-0000-0000-000053AC0000}"/>
    <cellStyle name="Percent 3 6 2 4 2 2 2" xfId="40982" xr:uid="{00000000-0005-0000-0000-000054AC0000}"/>
    <cellStyle name="Percent 3 6 2 4 2 3" xfId="40981" xr:uid="{00000000-0005-0000-0000-000055AC0000}"/>
    <cellStyle name="Percent 3 6 2 4 3" xfId="17514" xr:uid="{00000000-0005-0000-0000-000056AC0000}"/>
    <cellStyle name="Percent 3 6 2 4 3 2" xfId="40983" xr:uid="{00000000-0005-0000-0000-000057AC0000}"/>
    <cellStyle name="Percent 3 6 2 4 4" xfId="40980" xr:uid="{00000000-0005-0000-0000-000058AC0000}"/>
    <cellStyle name="Percent 3 6 2 5" xfId="17515" xr:uid="{00000000-0005-0000-0000-000059AC0000}"/>
    <cellStyle name="Percent 3 6 2 5 2" xfId="17516" xr:uid="{00000000-0005-0000-0000-00005AAC0000}"/>
    <cellStyle name="Percent 3 6 2 5 2 2" xfId="40985" xr:uid="{00000000-0005-0000-0000-00005BAC0000}"/>
    <cellStyle name="Percent 3 6 2 5 3" xfId="40984" xr:uid="{00000000-0005-0000-0000-00005CAC0000}"/>
    <cellStyle name="Percent 3 6 2 6" xfId="17517" xr:uid="{00000000-0005-0000-0000-00005DAC0000}"/>
    <cellStyle name="Percent 3 6 2 6 2" xfId="40986" xr:uid="{00000000-0005-0000-0000-00005EAC0000}"/>
    <cellStyle name="Percent 3 6 2 7" xfId="40963" xr:uid="{00000000-0005-0000-0000-00005FAC0000}"/>
    <cellStyle name="Percent 3 6 3" xfId="17518" xr:uid="{00000000-0005-0000-0000-000060AC0000}"/>
    <cellStyle name="Percent 3 6 3 2" xfId="17519" xr:uid="{00000000-0005-0000-0000-000061AC0000}"/>
    <cellStyle name="Percent 3 6 3 2 2" xfId="17520" xr:uid="{00000000-0005-0000-0000-000062AC0000}"/>
    <cellStyle name="Percent 3 6 3 2 2 2" xfId="17521" xr:uid="{00000000-0005-0000-0000-000063AC0000}"/>
    <cellStyle name="Percent 3 6 3 2 2 2 2" xfId="17522" xr:uid="{00000000-0005-0000-0000-000064AC0000}"/>
    <cellStyle name="Percent 3 6 3 2 2 2 2 2" xfId="40991" xr:uid="{00000000-0005-0000-0000-000065AC0000}"/>
    <cellStyle name="Percent 3 6 3 2 2 2 3" xfId="40990" xr:uid="{00000000-0005-0000-0000-000066AC0000}"/>
    <cellStyle name="Percent 3 6 3 2 2 3" xfId="17523" xr:uid="{00000000-0005-0000-0000-000067AC0000}"/>
    <cellStyle name="Percent 3 6 3 2 2 3 2" xfId="40992" xr:uid="{00000000-0005-0000-0000-000068AC0000}"/>
    <cellStyle name="Percent 3 6 3 2 2 4" xfId="40989" xr:uid="{00000000-0005-0000-0000-000069AC0000}"/>
    <cellStyle name="Percent 3 6 3 2 3" xfId="17524" xr:uid="{00000000-0005-0000-0000-00006AAC0000}"/>
    <cellStyle name="Percent 3 6 3 2 3 2" xfId="17525" xr:uid="{00000000-0005-0000-0000-00006BAC0000}"/>
    <cellStyle name="Percent 3 6 3 2 3 2 2" xfId="40994" xr:uid="{00000000-0005-0000-0000-00006CAC0000}"/>
    <cellStyle name="Percent 3 6 3 2 3 3" xfId="40993" xr:uid="{00000000-0005-0000-0000-00006DAC0000}"/>
    <cellStyle name="Percent 3 6 3 2 4" xfId="17526" xr:uid="{00000000-0005-0000-0000-00006EAC0000}"/>
    <cellStyle name="Percent 3 6 3 2 4 2" xfId="40995" xr:uid="{00000000-0005-0000-0000-00006FAC0000}"/>
    <cellStyle name="Percent 3 6 3 2 5" xfId="40988" xr:uid="{00000000-0005-0000-0000-000070AC0000}"/>
    <cellStyle name="Percent 3 6 3 3" xfId="17527" xr:uid="{00000000-0005-0000-0000-000071AC0000}"/>
    <cellStyle name="Percent 3 6 3 3 2" xfId="17528" xr:uid="{00000000-0005-0000-0000-000072AC0000}"/>
    <cellStyle name="Percent 3 6 3 3 2 2" xfId="17529" xr:uid="{00000000-0005-0000-0000-000073AC0000}"/>
    <cellStyle name="Percent 3 6 3 3 2 2 2" xfId="17530" xr:uid="{00000000-0005-0000-0000-000074AC0000}"/>
    <cellStyle name="Percent 3 6 3 3 2 2 2 2" xfId="40999" xr:uid="{00000000-0005-0000-0000-000075AC0000}"/>
    <cellStyle name="Percent 3 6 3 3 2 2 3" xfId="40998" xr:uid="{00000000-0005-0000-0000-000076AC0000}"/>
    <cellStyle name="Percent 3 6 3 3 2 3" xfId="17531" xr:uid="{00000000-0005-0000-0000-000077AC0000}"/>
    <cellStyle name="Percent 3 6 3 3 2 3 2" xfId="41000" xr:uid="{00000000-0005-0000-0000-000078AC0000}"/>
    <cellStyle name="Percent 3 6 3 3 2 4" xfId="40997" xr:uid="{00000000-0005-0000-0000-000079AC0000}"/>
    <cellStyle name="Percent 3 6 3 3 3" xfId="17532" xr:uid="{00000000-0005-0000-0000-00007AAC0000}"/>
    <cellStyle name="Percent 3 6 3 3 3 2" xfId="17533" xr:uid="{00000000-0005-0000-0000-00007BAC0000}"/>
    <cellStyle name="Percent 3 6 3 3 3 2 2" xfId="41002" xr:uid="{00000000-0005-0000-0000-00007CAC0000}"/>
    <cellStyle name="Percent 3 6 3 3 3 3" xfId="41001" xr:uid="{00000000-0005-0000-0000-00007DAC0000}"/>
    <cellStyle name="Percent 3 6 3 3 4" xfId="17534" xr:uid="{00000000-0005-0000-0000-00007EAC0000}"/>
    <cellStyle name="Percent 3 6 3 3 4 2" xfId="41003" xr:uid="{00000000-0005-0000-0000-00007FAC0000}"/>
    <cellStyle name="Percent 3 6 3 3 5" xfId="40996" xr:uid="{00000000-0005-0000-0000-000080AC0000}"/>
    <cellStyle name="Percent 3 6 3 4" xfId="17535" xr:uid="{00000000-0005-0000-0000-000081AC0000}"/>
    <cellStyle name="Percent 3 6 3 4 2" xfId="17536" xr:uid="{00000000-0005-0000-0000-000082AC0000}"/>
    <cellStyle name="Percent 3 6 3 4 2 2" xfId="17537" xr:uid="{00000000-0005-0000-0000-000083AC0000}"/>
    <cellStyle name="Percent 3 6 3 4 2 2 2" xfId="41006" xr:uid="{00000000-0005-0000-0000-000084AC0000}"/>
    <cellStyle name="Percent 3 6 3 4 2 3" xfId="41005" xr:uid="{00000000-0005-0000-0000-000085AC0000}"/>
    <cellStyle name="Percent 3 6 3 4 3" xfId="17538" xr:uid="{00000000-0005-0000-0000-000086AC0000}"/>
    <cellStyle name="Percent 3 6 3 4 3 2" xfId="41007" xr:uid="{00000000-0005-0000-0000-000087AC0000}"/>
    <cellStyle name="Percent 3 6 3 4 4" xfId="41004" xr:uid="{00000000-0005-0000-0000-000088AC0000}"/>
    <cellStyle name="Percent 3 6 3 5" xfId="17539" xr:uid="{00000000-0005-0000-0000-000089AC0000}"/>
    <cellStyle name="Percent 3 6 3 5 2" xfId="17540" xr:uid="{00000000-0005-0000-0000-00008AAC0000}"/>
    <cellStyle name="Percent 3 6 3 5 2 2" xfId="41009" xr:uid="{00000000-0005-0000-0000-00008BAC0000}"/>
    <cellStyle name="Percent 3 6 3 5 3" xfId="41008" xr:uid="{00000000-0005-0000-0000-00008CAC0000}"/>
    <cellStyle name="Percent 3 6 3 6" xfId="17541" xr:uid="{00000000-0005-0000-0000-00008DAC0000}"/>
    <cellStyle name="Percent 3 6 3 6 2" xfId="41010" xr:uid="{00000000-0005-0000-0000-00008EAC0000}"/>
    <cellStyle name="Percent 3 6 3 7" xfId="40987" xr:uid="{00000000-0005-0000-0000-00008FAC0000}"/>
    <cellStyle name="Percent 3 6 4" xfId="17542" xr:uid="{00000000-0005-0000-0000-000090AC0000}"/>
    <cellStyle name="Percent 3 6 4 2" xfId="17543" xr:uid="{00000000-0005-0000-0000-000091AC0000}"/>
    <cellStyle name="Percent 3 6 4 2 2" xfId="17544" xr:uid="{00000000-0005-0000-0000-000092AC0000}"/>
    <cellStyle name="Percent 3 6 4 2 2 2" xfId="17545" xr:uid="{00000000-0005-0000-0000-000093AC0000}"/>
    <cellStyle name="Percent 3 6 4 2 2 2 2" xfId="17546" xr:uid="{00000000-0005-0000-0000-000094AC0000}"/>
    <cellStyle name="Percent 3 6 4 2 2 2 2 2" xfId="41015" xr:uid="{00000000-0005-0000-0000-000095AC0000}"/>
    <cellStyle name="Percent 3 6 4 2 2 2 3" xfId="41014" xr:uid="{00000000-0005-0000-0000-000096AC0000}"/>
    <cellStyle name="Percent 3 6 4 2 2 3" xfId="17547" xr:uid="{00000000-0005-0000-0000-000097AC0000}"/>
    <cellStyle name="Percent 3 6 4 2 2 3 2" xfId="41016" xr:uid="{00000000-0005-0000-0000-000098AC0000}"/>
    <cellStyle name="Percent 3 6 4 2 2 4" xfId="41013" xr:uid="{00000000-0005-0000-0000-000099AC0000}"/>
    <cellStyle name="Percent 3 6 4 2 3" xfId="17548" xr:uid="{00000000-0005-0000-0000-00009AAC0000}"/>
    <cellStyle name="Percent 3 6 4 2 3 2" xfId="17549" xr:uid="{00000000-0005-0000-0000-00009BAC0000}"/>
    <cellStyle name="Percent 3 6 4 2 3 2 2" xfId="41018" xr:uid="{00000000-0005-0000-0000-00009CAC0000}"/>
    <cellStyle name="Percent 3 6 4 2 3 3" xfId="41017" xr:uid="{00000000-0005-0000-0000-00009DAC0000}"/>
    <cellStyle name="Percent 3 6 4 2 4" xfId="17550" xr:uid="{00000000-0005-0000-0000-00009EAC0000}"/>
    <cellStyle name="Percent 3 6 4 2 4 2" xfId="41019" xr:uid="{00000000-0005-0000-0000-00009FAC0000}"/>
    <cellStyle name="Percent 3 6 4 2 5" xfId="41012" xr:uid="{00000000-0005-0000-0000-0000A0AC0000}"/>
    <cellStyle name="Percent 3 6 4 3" xfId="17551" xr:uid="{00000000-0005-0000-0000-0000A1AC0000}"/>
    <cellStyle name="Percent 3 6 4 3 2" xfId="17552" xr:uid="{00000000-0005-0000-0000-0000A2AC0000}"/>
    <cellStyle name="Percent 3 6 4 3 2 2" xfId="17553" xr:uid="{00000000-0005-0000-0000-0000A3AC0000}"/>
    <cellStyle name="Percent 3 6 4 3 2 2 2" xfId="17554" xr:uid="{00000000-0005-0000-0000-0000A4AC0000}"/>
    <cellStyle name="Percent 3 6 4 3 2 2 2 2" xfId="41023" xr:uid="{00000000-0005-0000-0000-0000A5AC0000}"/>
    <cellStyle name="Percent 3 6 4 3 2 2 3" xfId="41022" xr:uid="{00000000-0005-0000-0000-0000A6AC0000}"/>
    <cellStyle name="Percent 3 6 4 3 2 3" xfId="17555" xr:uid="{00000000-0005-0000-0000-0000A7AC0000}"/>
    <cellStyle name="Percent 3 6 4 3 2 3 2" xfId="41024" xr:uid="{00000000-0005-0000-0000-0000A8AC0000}"/>
    <cellStyle name="Percent 3 6 4 3 2 4" xfId="41021" xr:uid="{00000000-0005-0000-0000-0000A9AC0000}"/>
    <cellStyle name="Percent 3 6 4 3 3" xfId="17556" xr:uid="{00000000-0005-0000-0000-0000AAAC0000}"/>
    <cellStyle name="Percent 3 6 4 3 3 2" xfId="17557" xr:uid="{00000000-0005-0000-0000-0000ABAC0000}"/>
    <cellStyle name="Percent 3 6 4 3 3 2 2" xfId="41026" xr:uid="{00000000-0005-0000-0000-0000ACAC0000}"/>
    <cellStyle name="Percent 3 6 4 3 3 3" xfId="41025" xr:uid="{00000000-0005-0000-0000-0000ADAC0000}"/>
    <cellStyle name="Percent 3 6 4 3 4" xfId="17558" xr:uid="{00000000-0005-0000-0000-0000AEAC0000}"/>
    <cellStyle name="Percent 3 6 4 3 4 2" xfId="41027" xr:uid="{00000000-0005-0000-0000-0000AFAC0000}"/>
    <cellStyle name="Percent 3 6 4 3 5" xfId="41020" xr:uid="{00000000-0005-0000-0000-0000B0AC0000}"/>
    <cellStyle name="Percent 3 6 4 4" xfId="17559" xr:uid="{00000000-0005-0000-0000-0000B1AC0000}"/>
    <cellStyle name="Percent 3 6 4 4 2" xfId="17560" xr:uid="{00000000-0005-0000-0000-0000B2AC0000}"/>
    <cellStyle name="Percent 3 6 4 4 2 2" xfId="17561" xr:uid="{00000000-0005-0000-0000-0000B3AC0000}"/>
    <cellStyle name="Percent 3 6 4 4 2 2 2" xfId="41030" xr:uid="{00000000-0005-0000-0000-0000B4AC0000}"/>
    <cellStyle name="Percent 3 6 4 4 2 3" xfId="41029" xr:uid="{00000000-0005-0000-0000-0000B5AC0000}"/>
    <cellStyle name="Percent 3 6 4 4 3" xfId="17562" xr:uid="{00000000-0005-0000-0000-0000B6AC0000}"/>
    <cellStyle name="Percent 3 6 4 4 3 2" xfId="41031" xr:uid="{00000000-0005-0000-0000-0000B7AC0000}"/>
    <cellStyle name="Percent 3 6 4 4 4" xfId="41028" xr:uid="{00000000-0005-0000-0000-0000B8AC0000}"/>
    <cellStyle name="Percent 3 6 4 5" xfId="17563" xr:uid="{00000000-0005-0000-0000-0000B9AC0000}"/>
    <cellStyle name="Percent 3 6 4 5 2" xfId="17564" xr:uid="{00000000-0005-0000-0000-0000BAAC0000}"/>
    <cellStyle name="Percent 3 6 4 5 2 2" xfId="41033" xr:uid="{00000000-0005-0000-0000-0000BBAC0000}"/>
    <cellStyle name="Percent 3 6 4 5 3" xfId="41032" xr:uid="{00000000-0005-0000-0000-0000BCAC0000}"/>
    <cellStyle name="Percent 3 6 4 6" xfId="17565" xr:uid="{00000000-0005-0000-0000-0000BDAC0000}"/>
    <cellStyle name="Percent 3 6 4 6 2" xfId="41034" xr:uid="{00000000-0005-0000-0000-0000BEAC0000}"/>
    <cellStyle name="Percent 3 6 4 7" xfId="41011" xr:uid="{00000000-0005-0000-0000-0000BFAC0000}"/>
    <cellStyle name="Percent 3 6 5" xfId="17566" xr:uid="{00000000-0005-0000-0000-0000C0AC0000}"/>
    <cellStyle name="Percent 3 6 5 2" xfId="17567" xr:uid="{00000000-0005-0000-0000-0000C1AC0000}"/>
    <cellStyle name="Percent 3 6 5 2 2" xfId="17568" xr:uid="{00000000-0005-0000-0000-0000C2AC0000}"/>
    <cellStyle name="Percent 3 6 5 2 2 2" xfId="17569" xr:uid="{00000000-0005-0000-0000-0000C3AC0000}"/>
    <cellStyle name="Percent 3 6 5 2 2 2 2" xfId="41038" xr:uid="{00000000-0005-0000-0000-0000C4AC0000}"/>
    <cellStyle name="Percent 3 6 5 2 2 3" xfId="41037" xr:uid="{00000000-0005-0000-0000-0000C5AC0000}"/>
    <cellStyle name="Percent 3 6 5 2 3" xfId="17570" xr:uid="{00000000-0005-0000-0000-0000C6AC0000}"/>
    <cellStyle name="Percent 3 6 5 2 3 2" xfId="41039" xr:uid="{00000000-0005-0000-0000-0000C7AC0000}"/>
    <cellStyle name="Percent 3 6 5 2 4" xfId="41036" xr:uid="{00000000-0005-0000-0000-0000C8AC0000}"/>
    <cellStyle name="Percent 3 6 5 3" xfId="17571" xr:uid="{00000000-0005-0000-0000-0000C9AC0000}"/>
    <cellStyle name="Percent 3 6 5 3 2" xfId="17572" xr:uid="{00000000-0005-0000-0000-0000CAAC0000}"/>
    <cellStyle name="Percent 3 6 5 3 2 2" xfId="41041" xr:uid="{00000000-0005-0000-0000-0000CBAC0000}"/>
    <cellStyle name="Percent 3 6 5 3 3" xfId="41040" xr:uid="{00000000-0005-0000-0000-0000CCAC0000}"/>
    <cellStyle name="Percent 3 6 5 4" xfId="17573" xr:uid="{00000000-0005-0000-0000-0000CDAC0000}"/>
    <cellStyle name="Percent 3 6 5 4 2" xfId="41042" xr:uid="{00000000-0005-0000-0000-0000CEAC0000}"/>
    <cellStyle name="Percent 3 6 5 5" xfId="41035" xr:uid="{00000000-0005-0000-0000-0000CFAC0000}"/>
    <cellStyle name="Percent 3 6 6" xfId="17574" xr:uid="{00000000-0005-0000-0000-0000D0AC0000}"/>
    <cellStyle name="Percent 3 6 6 2" xfId="17575" xr:uid="{00000000-0005-0000-0000-0000D1AC0000}"/>
    <cellStyle name="Percent 3 6 6 2 2" xfId="17576" xr:uid="{00000000-0005-0000-0000-0000D2AC0000}"/>
    <cellStyle name="Percent 3 6 6 2 2 2" xfId="17577" xr:uid="{00000000-0005-0000-0000-0000D3AC0000}"/>
    <cellStyle name="Percent 3 6 6 2 2 2 2" xfId="41046" xr:uid="{00000000-0005-0000-0000-0000D4AC0000}"/>
    <cellStyle name="Percent 3 6 6 2 2 3" xfId="41045" xr:uid="{00000000-0005-0000-0000-0000D5AC0000}"/>
    <cellStyle name="Percent 3 6 6 2 3" xfId="17578" xr:uid="{00000000-0005-0000-0000-0000D6AC0000}"/>
    <cellStyle name="Percent 3 6 6 2 3 2" xfId="41047" xr:uid="{00000000-0005-0000-0000-0000D7AC0000}"/>
    <cellStyle name="Percent 3 6 6 2 4" xfId="41044" xr:uid="{00000000-0005-0000-0000-0000D8AC0000}"/>
    <cellStyle name="Percent 3 6 6 3" xfId="17579" xr:uid="{00000000-0005-0000-0000-0000D9AC0000}"/>
    <cellStyle name="Percent 3 6 6 3 2" xfId="17580" xr:uid="{00000000-0005-0000-0000-0000DAAC0000}"/>
    <cellStyle name="Percent 3 6 6 3 2 2" xfId="41049" xr:uid="{00000000-0005-0000-0000-0000DBAC0000}"/>
    <cellStyle name="Percent 3 6 6 3 3" xfId="41048" xr:uid="{00000000-0005-0000-0000-0000DCAC0000}"/>
    <cellStyle name="Percent 3 6 6 4" xfId="17581" xr:uid="{00000000-0005-0000-0000-0000DDAC0000}"/>
    <cellStyle name="Percent 3 6 6 4 2" xfId="41050" xr:uid="{00000000-0005-0000-0000-0000DEAC0000}"/>
    <cellStyle name="Percent 3 6 6 5" xfId="41043" xr:uid="{00000000-0005-0000-0000-0000DFAC0000}"/>
    <cellStyle name="Percent 3 6 7" xfId="17582" xr:uid="{00000000-0005-0000-0000-0000E0AC0000}"/>
    <cellStyle name="Percent 3 6 7 2" xfId="17583" xr:uid="{00000000-0005-0000-0000-0000E1AC0000}"/>
    <cellStyle name="Percent 3 6 7 2 2" xfId="17584" xr:uid="{00000000-0005-0000-0000-0000E2AC0000}"/>
    <cellStyle name="Percent 3 6 7 2 2 2" xfId="41053" xr:uid="{00000000-0005-0000-0000-0000E3AC0000}"/>
    <cellStyle name="Percent 3 6 7 2 3" xfId="41052" xr:uid="{00000000-0005-0000-0000-0000E4AC0000}"/>
    <cellStyle name="Percent 3 6 7 3" xfId="17585" xr:uid="{00000000-0005-0000-0000-0000E5AC0000}"/>
    <cellStyle name="Percent 3 6 7 3 2" xfId="41054" xr:uid="{00000000-0005-0000-0000-0000E6AC0000}"/>
    <cellStyle name="Percent 3 6 7 4" xfId="41051" xr:uid="{00000000-0005-0000-0000-0000E7AC0000}"/>
    <cellStyle name="Percent 3 6 8" xfId="17586" xr:uid="{00000000-0005-0000-0000-0000E8AC0000}"/>
    <cellStyle name="Percent 3 6 8 2" xfId="17587" xr:uid="{00000000-0005-0000-0000-0000E9AC0000}"/>
    <cellStyle name="Percent 3 6 8 2 2" xfId="41056" xr:uid="{00000000-0005-0000-0000-0000EAAC0000}"/>
    <cellStyle name="Percent 3 6 8 3" xfId="41055" xr:uid="{00000000-0005-0000-0000-0000EBAC0000}"/>
    <cellStyle name="Percent 3 6 9" xfId="17588" xr:uid="{00000000-0005-0000-0000-0000ECAC0000}"/>
    <cellStyle name="Percent 3 6 9 2" xfId="41057" xr:uid="{00000000-0005-0000-0000-0000EDAC0000}"/>
    <cellStyle name="Percent 3 7" xfId="17589" xr:uid="{00000000-0005-0000-0000-0000EEAC0000}"/>
    <cellStyle name="Percent 3 7 2" xfId="17590" xr:uid="{00000000-0005-0000-0000-0000EFAC0000}"/>
    <cellStyle name="Percent 3 7 2 2" xfId="17591" xr:uid="{00000000-0005-0000-0000-0000F0AC0000}"/>
    <cellStyle name="Percent 3 7 2 2 2" xfId="17592" xr:uid="{00000000-0005-0000-0000-0000F1AC0000}"/>
    <cellStyle name="Percent 3 7 2 2 2 2" xfId="17593" xr:uid="{00000000-0005-0000-0000-0000F2AC0000}"/>
    <cellStyle name="Percent 3 7 2 2 2 2 2" xfId="41062" xr:uid="{00000000-0005-0000-0000-0000F3AC0000}"/>
    <cellStyle name="Percent 3 7 2 2 2 3" xfId="41061" xr:uid="{00000000-0005-0000-0000-0000F4AC0000}"/>
    <cellStyle name="Percent 3 7 2 2 3" xfId="17594" xr:uid="{00000000-0005-0000-0000-0000F5AC0000}"/>
    <cellStyle name="Percent 3 7 2 2 3 2" xfId="41063" xr:uid="{00000000-0005-0000-0000-0000F6AC0000}"/>
    <cellStyle name="Percent 3 7 2 2 4" xfId="41060" xr:uid="{00000000-0005-0000-0000-0000F7AC0000}"/>
    <cellStyle name="Percent 3 7 2 3" xfId="17595" xr:uid="{00000000-0005-0000-0000-0000F8AC0000}"/>
    <cellStyle name="Percent 3 7 2 3 2" xfId="17596" xr:uid="{00000000-0005-0000-0000-0000F9AC0000}"/>
    <cellStyle name="Percent 3 7 2 3 2 2" xfId="41065" xr:uid="{00000000-0005-0000-0000-0000FAAC0000}"/>
    <cellStyle name="Percent 3 7 2 3 3" xfId="41064" xr:uid="{00000000-0005-0000-0000-0000FBAC0000}"/>
    <cellStyle name="Percent 3 7 2 4" xfId="17597" xr:uid="{00000000-0005-0000-0000-0000FCAC0000}"/>
    <cellStyle name="Percent 3 7 2 4 2" xfId="41066" xr:uid="{00000000-0005-0000-0000-0000FDAC0000}"/>
    <cellStyle name="Percent 3 7 2 5" xfId="41059" xr:uid="{00000000-0005-0000-0000-0000FEAC0000}"/>
    <cellStyle name="Percent 3 7 3" xfId="17598" xr:uid="{00000000-0005-0000-0000-0000FFAC0000}"/>
    <cellStyle name="Percent 3 7 3 2" xfId="17599" xr:uid="{00000000-0005-0000-0000-000000AD0000}"/>
    <cellStyle name="Percent 3 7 3 2 2" xfId="17600" xr:uid="{00000000-0005-0000-0000-000001AD0000}"/>
    <cellStyle name="Percent 3 7 3 2 2 2" xfId="17601" xr:uid="{00000000-0005-0000-0000-000002AD0000}"/>
    <cellStyle name="Percent 3 7 3 2 2 2 2" xfId="41070" xr:uid="{00000000-0005-0000-0000-000003AD0000}"/>
    <cellStyle name="Percent 3 7 3 2 2 3" xfId="41069" xr:uid="{00000000-0005-0000-0000-000004AD0000}"/>
    <cellStyle name="Percent 3 7 3 2 3" xfId="17602" xr:uid="{00000000-0005-0000-0000-000005AD0000}"/>
    <cellStyle name="Percent 3 7 3 2 3 2" xfId="41071" xr:uid="{00000000-0005-0000-0000-000006AD0000}"/>
    <cellStyle name="Percent 3 7 3 2 4" xfId="41068" xr:uid="{00000000-0005-0000-0000-000007AD0000}"/>
    <cellStyle name="Percent 3 7 3 3" xfId="17603" xr:uid="{00000000-0005-0000-0000-000008AD0000}"/>
    <cellStyle name="Percent 3 7 3 3 2" xfId="17604" xr:uid="{00000000-0005-0000-0000-000009AD0000}"/>
    <cellStyle name="Percent 3 7 3 3 2 2" xfId="41073" xr:uid="{00000000-0005-0000-0000-00000AAD0000}"/>
    <cellStyle name="Percent 3 7 3 3 3" xfId="41072" xr:uid="{00000000-0005-0000-0000-00000BAD0000}"/>
    <cellStyle name="Percent 3 7 3 4" xfId="17605" xr:uid="{00000000-0005-0000-0000-00000CAD0000}"/>
    <cellStyle name="Percent 3 7 3 4 2" xfId="41074" xr:uid="{00000000-0005-0000-0000-00000DAD0000}"/>
    <cellStyle name="Percent 3 7 3 5" xfId="41067" xr:uid="{00000000-0005-0000-0000-00000EAD0000}"/>
    <cellStyle name="Percent 3 7 4" xfId="17606" xr:uid="{00000000-0005-0000-0000-00000FAD0000}"/>
    <cellStyle name="Percent 3 7 4 2" xfId="17607" xr:uid="{00000000-0005-0000-0000-000010AD0000}"/>
    <cellStyle name="Percent 3 7 4 2 2" xfId="17608" xr:uid="{00000000-0005-0000-0000-000011AD0000}"/>
    <cellStyle name="Percent 3 7 4 2 2 2" xfId="41077" xr:uid="{00000000-0005-0000-0000-000012AD0000}"/>
    <cellStyle name="Percent 3 7 4 2 3" xfId="41076" xr:uid="{00000000-0005-0000-0000-000013AD0000}"/>
    <cellStyle name="Percent 3 7 4 3" xfId="17609" xr:uid="{00000000-0005-0000-0000-000014AD0000}"/>
    <cellStyle name="Percent 3 7 4 3 2" xfId="41078" xr:uid="{00000000-0005-0000-0000-000015AD0000}"/>
    <cellStyle name="Percent 3 7 4 4" xfId="41075" xr:uid="{00000000-0005-0000-0000-000016AD0000}"/>
    <cellStyle name="Percent 3 7 5" xfId="17610" xr:uid="{00000000-0005-0000-0000-000017AD0000}"/>
    <cellStyle name="Percent 3 7 5 2" xfId="17611" xr:uid="{00000000-0005-0000-0000-000018AD0000}"/>
    <cellStyle name="Percent 3 7 5 2 2" xfId="41080" xr:uid="{00000000-0005-0000-0000-000019AD0000}"/>
    <cellStyle name="Percent 3 7 5 3" xfId="41079" xr:uid="{00000000-0005-0000-0000-00001AAD0000}"/>
    <cellStyle name="Percent 3 7 6" xfId="17612" xr:uid="{00000000-0005-0000-0000-00001BAD0000}"/>
    <cellStyle name="Percent 3 7 6 2" xfId="41081" xr:uid="{00000000-0005-0000-0000-00001CAD0000}"/>
    <cellStyle name="Percent 3 7 7" xfId="41058" xr:uid="{00000000-0005-0000-0000-00001DAD0000}"/>
    <cellStyle name="Percent 3 8" xfId="17613" xr:uid="{00000000-0005-0000-0000-00001EAD0000}"/>
    <cellStyle name="Percent 3 8 2" xfId="17614" xr:uid="{00000000-0005-0000-0000-00001FAD0000}"/>
    <cellStyle name="Percent 3 8 2 2" xfId="17615" xr:uid="{00000000-0005-0000-0000-000020AD0000}"/>
    <cellStyle name="Percent 3 8 2 2 2" xfId="17616" xr:uid="{00000000-0005-0000-0000-000021AD0000}"/>
    <cellStyle name="Percent 3 8 2 2 2 2" xfId="17617" xr:uid="{00000000-0005-0000-0000-000022AD0000}"/>
    <cellStyle name="Percent 3 8 2 2 2 2 2" xfId="41086" xr:uid="{00000000-0005-0000-0000-000023AD0000}"/>
    <cellStyle name="Percent 3 8 2 2 2 3" xfId="41085" xr:uid="{00000000-0005-0000-0000-000024AD0000}"/>
    <cellStyle name="Percent 3 8 2 2 3" xfId="17618" xr:uid="{00000000-0005-0000-0000-000025AD0000}"/>
    <cellStyle name="Percent 3 8 2 2 3 2" xfId="41087" xr:uid="{00000000-0005-0000-0000-000026AD0000}"/>
    <cellStyle name="Percent 3 8 2 2 4" xfId="41084" xr:uid="{00000000-0005-0000-0000-000027AD0000}"/>
    <cellStyle name="Percent 3 8 2 3" xfId="17619" xr:uid="{00000000-0005-0000-0000-000028AD0000}"/>
    <cellStyle name="Percent 3 8 2 3 2" xfId="17620" xr:uid="{00000000-0005-0000-0000-000029AD0000}"/>
    <cellStyle name="Percent 3 8 2 3 2 2" xfId="41089" xr:uid="{00000000-0005-0000-0000-00002AAD0000}"/>
    <cellStyle name="Percent 3 8 2 3 3" xfId="41088" xr:uid="{00000000-0005-0000-0000-00002BAD0000}"/>
    <cellStyle name="Percent 3 8 2 4" xfId="17621" xr:uid="{00000000-0005-0000-0000-00002CAD0000}"/>
    <cellStyle name="Percent 3 8 2 4 2" xfId="41090" xr:uid="{00000000-0005-0000-0000-00002DAD0000}"/>
    <cellStyle name="Percent 3 8 2 5" xfId="41083" xr:uid="{00000000-0005-0000-0000-00002EAD0000}"/>
    <cellStyle name="Percent 3 8 3" xfId="17622" xr:uid="{00000000-0005-0000-0000-00002FAD0000}"/>
    <cellStyle name="Percent 3 8 3 2" xfId="17623" xr:uid="{00000000-0005-0000-0000-000030AD0000}"/>
    <cellStyle name="Percent 3 8 3 2 2" xfId="17624" xr:uid="{00000000-0005-0000-0000-000031AD0000}"/>
    <cellStyle name="Percent 3 8 3 2 2 2" xfId="17625" xr:uid="{00000000-0005-0000-0000-000032AD0000}"/>
    <cellStyle name="Percent 3 8 3 2 2 2 2" xfId="41094" xr:uid="{00000000-0005-0000-0000-000033AD0000}"/>
    <cellStyle name="Percent 3 8 3 2 2 3" xfId="41093" xr:uid="{00000000-0005-0000-0000-000034AD0000}"/>
    <cellStyle name="Percent 3 8 3 2 3" xfId="17626" xr:uid="{00000000-0005-0000-0000-000035AD0000}"/>
    <cellStyle name="Percent 3 8 3 2 3 2" xfId="41095" xr:uid="{00000000-0005-0000-0000-000036AD0000}"/>
    <cellStyle name="Percent 3 8 3 2 4" xfId="41092" xr:uid="{00000000-0005-0000-0000-000037AD0000}"/>
    <cellStyle name="Percent 3 8 3 3" xfId="17627" xr:uid="{00000000-0005-0000-0000-000038AD0000}"/>
    <cellStyle name="Percent 3 8 3 3 2" xfId="17628" xr:uid="{00000000-0005-0000-0000-000039AD0000}"/>
    <cellStyle name="Percent 3 8 3 3 2 2" xfId="41097" xr:uid="{00000000-0005-0000-0000-00003AAD0000}"/>
    <cellStyle name="Percent 3 8 3 3 3" xfId="41096" xr:uid="{00000000-0005-0000-0000-00003BAD0000}"/>
    <cellStyle name="Percent 3 8 3 4" xfId="17629" xr:uid="{00000000-0005-0000-0000-00003CAD0000}"/>
    <cellStyle name="Percent 3 8 3 4 2" xfId="41098" xr:uid="{00000000-0005-0000-0000-00003DAD0000}"/>
    <cellStyle name="Percent 3 8 3 5" xfId="41091" xr:uid="{00000000-0005-0000-0000-00003EAD0000}"/>
    <cellStyle name="Percent 3 8 4" xfId="17630" xr:uid="{00000000-0005-0000-0000-00003FAD0000}"/>
    <cellStyle name="Percent 3 8 4 2" xfId="17631" xr:uid="{00000000-0005-0000-0000-000040AD0000}"/>
    <cellStyle name="Percent 3 8 4 2 2" xfId="17632" xr:uid="{00000000-0005-0000-0000-000041AD0000}"/>
    <cellStyle name="Percent 3 8 4 2 2 2" xfId="41101" xr:uid="{00000000-0005-0000-0000-000042AD0000}"/>
    <cellStyle name="Percent 3 8 4 2 3" xfId="41100" xr:uid="{00000000-0005-0000-0000-000043AD0000}"/>
    <cellStyle name="Percent 3 8 4 3" xfId="17633" xr:uid="{00000000-0005-0000-0000-000044AD0000}"/>
    <cellStyle name="Percent 3 8 4 3 2" xfId="41102" xr:uid="{00000000-0005-0000-0000-000045AD0000}"/>
    <cellStyle name="Percent 3 8 4 4" xfId="41099" xr:uid="{00000000-0005-0000-0000-000046AD0000}"/>
    <cellStyle name="Percent 3 8 5" xfId="17634" xr:uid="{00000000-0005-0000-0000-000047AD0000}"/>
    <cellStyle name="Percent 3 8 5 2" xfId="17635" xr:uid="{00000000-0005-0000-0000-000048AD0000}"/>
    <cellStyle name="Percent 3 8 5 2 2" xfId="41104" xr:uid="{00000000-0005-0000-0000-000049AD0000}"/>
    <cellStyle name="Percent 3 8 5 3" xfId="41103" xr:uid="{00000000-0005-0000-0000-00004AAD0000}"/>
    <cellStyle name="Percent 3 8 6" xfId="17636" xr:uid="{00000000-0005-0000-0000-00004BAD0000}"/>
    <cellStyle name="Percent 3 8 6 2" xfId="41105" xr:uid="{00000000-0005-0000-0000-00004CAD0000}"/>
    <cellStyle name="Percent 3 8 7" xfId="41082" xr:uid="{00000000-0005-0000-0000-00004DAD0000}"/>
    <cellStyle name="Percent 3 9" xfId="17637" xr:uid="{00000000-0005-0000-0000-00004EAD0000}"/>
    <cellStyle name="Percent 3 9 2" xfId="17638" xr:uid="{00000000-0005-0000-0000-00004FAD0000}"/>
    <cellStyle name="Percent 3 9 2 2" xfId="17639" xr:uid="{00000000-0005-0000-0000-000050AD0000}"/>
    <cellStyle name="Percent 3 9 2 2 2" xfId="17640" xr:uid="{00000000-0005-0000-0000-000051AD0000}"/>
    <cellStyle name="Percent 3 9 2 2 2 2" xfId="17641" xr:uid="{00000000-0005-0000-0000-000052AD0000}"/>
    <cellStyle name="Percent 3 9 2 2 2 2 2" xfId="41110" xr:uid="{00000000-0005-0000-0000-000053AD0000}"/>
    <cellStyle name="Percent 3 9 2 2 2 3" xfId="41109" xr:uid="{00000000-0005-0000-0000-000054AD0000}"/>
    <cellStyle name="Percent 3 9 2 2 3" xfId="17642" xr:uid="{00000000-0005-0000-0000-000055AD0000}"/>
    <cellStyle name="Percent 3 9 2 2 3 2" xfId="41111" xr:uid="{00000000-0005-0000-0000-000056AD0000}"/>
    <cellStyle name="Percent 3 9 2 2 4" xfId="41108" xr:uid="{00000000-0005-0000-0000-000057AD0000}"/>
    <cellStyle name="Percent 3 9 2 3" xfId="17643" xr:uid="{00000000-0005-0000-0000-000058AD0000}"/>
    <cellStyle name="Percent 3 9 2 3 2" xfId="17644" xr:uid="{00000000-0005-0000-0000-000059AD0000}"/>
    <cellStyle name="Percent 3 9 2 3 2 2" xfId="41113" xr:uid="{00000000-0005-0000-0000-00005AAD0000}"/>
    <cellStyle name="Percent 3 9 2 3 3" xfId="41112" xr:uid="{00000000-0005-0000-0000-00005BAD0000}"/>
    <cellStyle name="Percent 3 9 2 4" xfId="17645" xr:uid="{00000000-0005-0000-0000-00005CAD0000}"/>
    <cellStyle name="Percent 3 9 2 4 2" xfId="41114" xr:uid="{00000000-0005-0000-0000-00005DAD0000}"/>
    <cellStyle name="Percent 3 9 2 5" xfId="41107" xr:uid="{00000000-0005-0000-0000-00005EAD0000}"/>
    <cellStyle name="Percent 3 9 3" xfId="17646" xr:uid="{00000000-0005-0000-0000-00005FAD0000}"/>
    <cellStyle name="Percent 3 9 3 2" xfId="17647" xr:uid="{00000000-0005-0000-0000-000060AD0000}"/>
    <cellStyle name="Percent 3 9 3 2 2" xfId="17648" xr:uid="{00000000-0005-0000-0000-000061AD0000}"/>
    <cellStyle name="Percent 3 9 3 2 2 2" xfId="17649" xr:uid="{00000000-0005-0000-0000-000062AD0000}"/>
    <cellStyle name="Percent 3 9 3 2 2 2 2" xfId="41118" xr:uid="{00000000-0005-0000-0000-000063AD0000}"/>
    <cellStyle name="Percent 3 9 3 2 2 3" xfId="41117" xr:uid="{00000000-0005-0000-0000-000064AD0000}"/>
    <cellStyle name="Percent 3 9 3 2 3" xfId="17650" xr:uid="{00000000-0005-0000-0000-000065AD0000}"/>
    <cellStyle name="Percent 3 9 3 2 3 2" xfId="41119" xr:uid="{00000000-0005-0000-0000-000066AD0000}"/>
    <cellStyle name="Percent 3 9 3 2 4" xfId="41116" xr:uid="{00000000-0005-0000-0000-000067AD0000}"/>
    <cellStyle name="Percent 3 9 3 3" xfId="17651" xr:uid="{00000000-0005-0000-0000-000068AD0000}"/>
    <cellStyle name="Percent 3 9 3 3 2" xfId="17652" xr:uid="{00000000-0005-0000-0000-000069AD0000}"/>
    <cellStyle name="Percent 3 9 3 3 2 2" xfId="41121" xr:uid="{00000000-0005-0000-0000-00006AAD0000}"/>
    <cellStyle name="Percent 3 9 3 3 3" xfId="41120" xr:uid="{00000000-0005-0000-0000-00006BAD0000}"/>
    <cellStyle name="Percent 3 9 3 4" xfId="17653" xr:uid="{00000000-0005-0000-0000-00006CAD0000}"/>
    <cellStyle name="Percent 3 9 3 4 2" xfId="41122" xr:uid="{00000000-0005-0000-0000-00006DAD0000}"/>
    <cellStyle name="Percent 3 9 3 5" xfId="41115" xr:uid="{00000000-0005-0000-0000-00006EAD0000}"/>
    <cellStyle name="Percent 3 9 4" xfId="17654" xr:uid="{00000000-0005-0000-0000-00006FAD0000}"/>
    <cellStyle name="Percent 3 9 4 2" xfId="17655" xr:uid="{00000000-0005-0000-0000-000070AD0000}"/>
    <cellStyle name="Percent 3 9 4 2 2" xfId="17656" xr:uid="{00000000-0005-0000-0000-000071AD0000}"/>
    <cellStyle name="Percent 3 9 4 2 2 2" xfId="41125" xr:uid="{00000000-0005-0000-0000-000072AD0000}"/>
    <cellStyle name="Percent 3 9 4 2 3" xfId="41124" xr:uid="{00000000-0005-0000-0000-000073AD0000}"/>
    <cellStyle name="Percent 3 9 4 3" xfId="17657" xr:uid="{00000000-0005-0000-0000-000074AD0000}"/>
    <cellStyle name="Percent 3 9 4 3 2" xfId="41126" xr:uid="{00000000-0005-0000-0000-000075AD0000}"/>
    <cellStyle name="Percent 3 9 4 4" xfId="41123" xr:uid="{00000000-0005-0000-0000-000076AD0000}"/>
    <cellStyle name="Percent 3 9 5" xfId="17658" xr:uid="{00000000-0005-0000-0000-000077AD0000}"/>
    <cellStyle name="Percent 3 9 5 2" xfId="17659" xr:uid="{00000000-0005-0000-0000-000078AD0000}"/>
    <cellStyle name="Percent 3 9 5 2 2" xfId="41128" xr:uid="{00000000-0005-0000-0000-000079AD0000}"/>
    <cellStyle name="Percent 3 9 5 3" xfId="41127" xr:uid="{00000000-0005-0000-0000-00007AAD0000}"/>
    <cellStyle name="Percent 3 9 6" xfId="17660" xr:uid="{00000000-0005-0000-0000-00007BAD0000}"/>
    <cellStyle name="Percent 3 9 6 2" xfId="41129" xr:uid="{00000000-0005-0000-0000-00007CAD0000}"/>
    <cellStyle name="Percent 3 9 7" xfId="41106" xr:uid="{00000000-0005-0000-0000-00007DAD0000}"/>
    <cellStyle name="Percent 4" xfId="158" xr:uid="{00000000-0005-0000-0000-00007EAD0000}"/>
    <cellStyle name="Percent 4 2" xfId="159" xr:uid="{00000000-0005-0000-0000-00007FAD0000}"/>
    <cellStyle name="Percent 4 3" xfId="160" xr:uid="{00000000-0005-0000-0000-000080AD0000}"/>
    <cellStyle name="Percent 4 3 10" xfId="23701" xr:uid="{00000000-0005-0000-0000-000081AD0000}"/>
    <cellStyle name="Percent 4 3 2" xfId="17662" xr:uid="{00000000-0005-0000-0000-000082AD0000}"/>
    <cellStyle name="Percent 4 3 2 2" xfId="17900" xr:uid="{00000000-0005-0000-0000-000083AD0000}"/>
    <cellStyle name="Percent 4 3 2 2 2" xfId="22022" xr:uid="{00000000-0005-0000-0000-000084AD0000}"/>
    <cellStyle name="Percent 4 3 2 2 2 2" xfId="22023" xr:uid="{00000000-0005-0000-0000-000085AD0000}"/>
    <cellStyle name="Percent 4 3 2 2 2 2 2" xfId="45291" xr:uid="{00000000-0005-0000-0000-000086AD0000}"/>
    <cellStyle name="Percent 4 3 2 2 2 3" xfId="22024" xr:uid="{00000000-0005-0000-0000-000087AD0000}"/>
    <cellStyle name="Percent 4 3 2 2 2 3 2" xfId="45292" xr:uid="{00000000-0005-0000-0000-000088AD0000}"/>
    <cellStyle name="Percent 4 3 2 2 2 4" xfId="45290" xr:uid="{00000000-0005-0000-0000-000089AD0000}"/>
    <cellStyle name="Percent 4 3 2 2 3" xfId="22025" xr:uid="{00000000-0005-0000-0000-00008AAD0000}"/>
    <cellStyle name="Percent 4 3 2 2 3 2" xfId="22026" xr:uid="{00000000-0005-0000-0000-00008BAD0000}"/>
    <cellStyle name="Percent 4 3 2 2 3 2 2" xfId="45294" xr:uid="{00000000-0005-0000-0000-00008CAD0000}"/>
    <cellStyle name="Percent 4 3 2 2 3 3" xfId="45293" xr:uid="{00000000-0005-0000-0000-00008DAD0000}"/>
    <cellStyle name="Percent 4 3 2 2 4" xfId="22027" xr:uid="{00000000-0005-0000-0000-00008EAD0000}"/>
    <cellStyle name="Percent 4 3 2 2 4 2" xfId="45295" xr:uid="{00000000-0005-0000-0000-00008FAD0000}"/>
    <cellStyle name="Percent 4 3 2 2 5" xfId="22028" xr:uid="{00000000-0005-0000-0000-000090AD0000}"/>
    <cellStyle name="Percent 4 3 2 2 5 2" xfId="45296" xr:uid="{00000000-0005-0000-0000-000091AD0000}"/>
    <cellStyle name="Percent 4 3 2 2 6" xfId="22029" xr:uid="{00000000-0005-0000-0000-000092AD0000}"/>
    <cellStyle name="Percent 4 3 2 2 6 2" xfId="45297" xr:uid="{00000000-0005-0000-0000-000093AD0000}"/>
    <cellStyle name="Percent 4 3 2 2 7" xfId="41360" xr:uid="{00000000-0005-0000-0000-000094AD0000}"/>
    <cellStyle name="Percent 4 3 2 3" xfId="22030" xr:uid="{00000000-0005-0000-0000-000095AD0000}"/>
    <cellStyle name="Percent 4 3 2 3 2" xfId="22031" xr:uid="{00000000-0005-0000-0000-000096AD0000}"/>
    <cellStyle name="Percent 4 3 2 3 2 2" xfId="45299" xr:uid="{00000000-0005-0000-0000-000097AD0000}"/>
    <cellStyle name="Percent 4 3 2 3 3" xfId="22032" xr:uid="{00000000-0005-0000-0000-000098AD0000}"/>
    <cellStyle name="Percent 4 3 2 3 3 2" xfId="45300" xr:uid="{00000000-0005-0000-0000-000099AD0000}"/>
    <cellStyle name="Percent 4 3 2 3 4" xfId="45298" xr:uid="{00000000-0005-0000-0000-00009AAD0000}"/>
    <cellStyle name="Percent 4 3 2 4" xfId="22033" xr:uid="{00000000-0005-0000-0000-00009BAD0000}"/>
    <cellStyle name="Percent 4 3 2 4 2" xfId="22034" xr:uid="{00000000-0005-0000-0000-00009CAD0000}"/>
    <cellStyle name="Percent 4 3 2 4 2 2" xfId="45302" xr:uid="{00000000-0005-0000-0000-00009DAD0000}"/>
    <cellStyle name="Percent 4 3 2 4 3" xfId="45301" xr:uid="{00000000-0005-0000-0000-00009EAD0000}"/>
    <cellStyle name="Percent 4 3 2 5" xfId="22035" xr:uid="{00000000-0005-0000-0000-00009FAD0000}"/>
    <cellStyle name="Percent 4 3 2 5 2" xfId="45303" xr:uid="{00000000-0005-0000-0000-0000A0AD0000}"/>
    <cellStyle name="Percent 4 3 2 6" xfId="22036" xr:uid="{00000000-0005-0000-0000-0000A1AD0000}"/>
    <cellStyle name="Percent 4 3 2 6 2" xfId="45304" xr:uid="{00000000-0005-0000-0000-0000A2AD0000}"/>
    <cellStyle name="Percent 4 3 2 7" xfId="22037" xr:uid="{00000000-0005-0000-0000-0000A3AD0000}"/>
    <cellStyle name="Percent 4 3 2 7 2" xfId="45305" xr:uid="{00000000-0005-0000-0000-0000A4AD0000}"/>
    <cellStyle name="Percent 4 3 2 8" xfId="41130" xr:uid="{00000000-0005-0000-0000-0000A5AD0000}"/>
    <cellStyle name="Percent 4 3 3" xfId="17764" xr:uid="{00000000-0005-0000-0000-0000A6AD0000}"/>
    <cellStyle name="Percent 4 3 3 2" xfId="17998" xr:uid="{00000000-0005-0000-0000-0000A7AD0000}"/>
    <cellStyle name="Percent 4 3 3 2 2" xfId="22038" xr:uid="{00000000-0005-0000-0000-0000A8AD0000}"/>
    <cellStyle name="Percent 4 3 3 2 2 2" xfId="22039" xr:uid="{00000000-0005-0000-0000-0000A9AD0000}"/>
    <cellStyle name="Percent 4 3 3 2 2 2 2" xfId="45307" xr:uid="{00000000-0005-0000-0000-0000AAAD0000}"/>
    <cellStyle name="Percent 4 3 3 2 2 3" xfId="22040" xr:uid="{00000000-0005-0000-0000-0000ABAD0000}"/>
    <cellStyle name="Percent 4 3 3 2 2 3 2" xfId="45308" xr:uid="{00000000-0005-0000-0000-0000ACAD0000}"/>
    <cellStyle name="Percent 4 3 3 2 2 4" xfId="45306" xr:uid="{00000000-0005-0000-0000-0000ADAD0000}"/>
    <cellStyle name="Percent 4 3 3 2 3" xfId="22041" xr:uid="{00000000-0005-0000-0000-0000AEAD0000}"/>
    <cellStyle name="Percent 4 3 3 2 3 2" xfId="22042" xr:uid="{00000000-0005-0000-0000-0000AFAD0000}"/>
    <cellStyle name="Percent 4 3 3 2 3 2 2" xfId="45310" xr:uid="{00000000-0005-0000-0000-0000B0AD0000}"/>
    <cellStyle name="Percent 4 3 3 2 3 3" xfId="45309" xr:uid="{00000000-0005-0000-0000-0000B1AD0000}"/>
    <cellStyle name="Percent 4 3 3 2 4" xfId="22043" xr:uid="{00000000-0005-0000-0000-0000B2AD0000}"/>
    <cellStyle name="Percent 4 3 3 2 4 2" xfId="45311" xr:uid="{00000000-0005-0000-0000-0000B3AD0000}"/>
    <cellStyle name="Percent 4 3 3 2 5" xfId="22044" xr:uid="{00000000-0005-0000-0000-0000B4AD0000}"/>
    <cellStyle name="Percent 4 3 3 2 5 2" xfId="45312" xr:uid="{00000000-0005-0000-0000-0000B5AD0000}"/>
    <cellStyle name="Percent 4 3 3 2 6" xfId="22045" xr:uid="{00000000-0005-0000-0000-0000B6AD0000}"/>
    <cellStyle name="Percent 4 3 3 2 6 2" xfId="45313" xr:uid="{00000000-0005-0000-0000-0000B7AD0000}"/>
    <cellStyle name="Percent 4 3 3 2 7" xfId="41458" xr:uid="{00000000-0005-0000-0000-0000B8AD0000}"/>
    <cellStyle name="Percent 4 3 3 3" xfId="22046" xr:uid="{00000000-0005-0000-0000-0000B9AD0000}"/>
    <cellStyle name="Percent 4 3 3 3 2" xfId="22047" xr:uid="{00000000-0005-0000-0000-0000BAAD0000}"/>
    <cellStyle name="Percent 4 3 3 3 2 2" xfId="45315" xr:uid="{00000000-0005-0000-0000-0000BBAD0000}"/>
    <cellStyle name="Percent 4 3 3 3 3" xfId="22048" xr:uid="{00000000-0005-0000-0000-0000BCAD0000}"/>
    <cellStyle name="Percent 4 3 3 3 3 2" xfId="45316" xr:uid="{00000000-0005-0000-0000-0000BDAD0000}"/>
    <cellStyle name="Percent 4 3 3 3 4" xfId="45314" xr:uid="{00000000-0005-0000-0000-0000BEAD0000}"/>
    <cellStyle name="Percent 4 3 3 4" xfId="22049" xr:uid="{00000000-0005-0000-0000-0000BFAD0000}"/>
    <cellStyle name="Percent 4 3 3 4 2" xfId="22050" xr:uid="{00000000-0005-0000-0000-0000C0AD0000}"/>
    <cellStyle name="Percent 4 3 3 4 2 2" xfId="45318" xr:uid="{00000000-0005-0000-0000-0000C1AD0000}"/>
    <cellStyle name="Percent 4 3 3 4 3" xfId="45317" xr:uid="{00000000-0005-0000-0000-0000C2AD0000}"/>
    <cellStyle name="Percent 4 3 3 5" xfId="22051" xr:uid="{00000000-0005-0000-0000-0000C3AD0000}"/>
    <cellStyle name="Percent 4 3 3 5 2" xfId="45319" xr:uid="{00000000-0005-0000-0000-0000C4AD0000}"/>
    <cellStyle name="Percent 4 3 3 6" xfId="22052" xr:uid="{00000000-0005-0000-0000-0000C5AD0000}"/>
    <cellStyle name="Percent 4 3 3 6 2" xfId="45320" xr:uid="{00000000-0005-0000-0000-0000C6AD0000}"/>
    <cellStyle name="Percent 4 3 3 7" xfId="22053" xr:uid="{00000000-0005-0000-0000-0000C7AD0000}"/>
    <cellStyle name="Percent 4 3 3 7 2" xfId="45321" xr:uid="{00000000-0005-0000-0000-0000C8AD0000}"/>
    <cellStyle name="Percent 4 3 3 8" xfId="41224" xr:uid="{00000000-0005-0000-0000-0000C9AD0000}"/>
    <cellStyle name="Percent 4 3 4" xfId="17823" xr:uid="{00000000-0005-0000-0000-0000CAAD0000}"/>
    <cellStyle name="Percent 4 3 4 2" xfId="22054" xr:uid="{00000000-0005-0000-0000-0000CBAD0000}"/>
    <cellStyle name="Percent 4 3 4 2 2" xfId="22055" xr:uid="{00000000-0005-0000-0000-0000CCAD0000}"/>
    <cellStyle name="Percent 4 3 4 2 2 2" xfId="45323" xr:uid="{00000000-0005-0000-0000-0000CDAD0000}"/>
    <cellStyle name="Percent 4 3 4 2 3" xfId="22056" xr:uid="{00000000-0005-0000-0000-0000CEAD0000}"/>
    <cellStyle name="Percent 4 3 4 2 3 2" xfId="45324" xr:uid="{00000000-0005-0000-0000-0000CFAD0000}"/>
    <cellStyle name="Percent 4 3 4 2 4" xfId="45322" xr:uid="{00000000-0005-0000-0000-0000D0AD0000}"/>
    <cellStyle name="Percent 4 3 4 3" xfId="22057" xr:uid="{00000000-0005-0000-0000-0000D1AD0000}"/>
    <cellStyle name="Percent 4 3 4 3 2" xfId="22058" xr:uid="{00000000-0005-0000-0000-0000D2AD0000}"/>
    <cellStyle name="Percent 4 3 4 3 2 2" xfId="45326" xr:uid="{00000000-0005-0000-0000-0000D3AD0000}"/>
    <cellStyle name="Percent 4 3 4 3 3" xfId="45325" xr:uid="{00000000-0005-0000-0000-0000D4AD0000}"/>
    <cellStyle name="Percent 4 3 4 4" xfId="22059" xr:uid="{00000000-0005-0000-0000-0000D5AD0000}"/>
    <cellStyle name="Percent 4 3 4 4 2" xfId="45327" xr:uid="{00000000-0005-0000-0000-0000D6AD0000}"/>
    <cellStyle name="Percent 4 3 4 5" xfId="22060" xr:uid="{00000000-0005-0000-0000-0000D7AD0000}"/>
    <cellStyle name="Percent 4 3 4 5 2" xfId="45328" xr:uid="{00000000-0005-0000-0000-0000D8AD0000}"/>
    <cellStyle name="Percent 4 3 4 6" xfId="22061" xr:uid="{00000000-0005-0000-0000-0000D9AD0000}"/>
    <cellStyle name="Percent 4 3 4 6 2" xfId="45329" xr:uid="{00000000-0005-0000-0000-0000DAAD0000}"/>
    <cellStyle name="Percent 4 3 4 7" xfId="41283" xr:uid="{00000000-0005-0000-0000-0000DBAD0000}"/>
    <cellStyle name="Percent 4 3 5" xfId="22062" xr:uid="{00000000-0005-0000-0000-0000DCAD0000}"/>
    <cellStyle name="Percent 4 3 5 2" xfId="22063" xr:uid="{00000000-0005-0000-0000-0000DDAD0000}"/>
    <cellStyle name="Percent 4 3 5 2 2" xfId="45331" xr:uid="{00000000-0005-0000-0000-0000DEAD0000}"/>
    <cellStyle name="Percent 4 3 5 3" xfId="22064" xr:uid="{00000000-0005-0000-0000-0000DFAD0000}"/>
    <cellStyle name="Percent 4 3 5 3 2" xfId="45332" xr:uid="{00000000-0005-0000-0000-0000E0AD0000}"/>
    <cellStyle name="Percent 4 3 5 4" xfId="45330" xr:uid="{00000000-0005-0000-0000-0000E1AD0000}"/>
    <cellStyle name="Percent 4 3 6" xfId="22065" xr:uid="{00000000-0005-0000-0000-0000E2AD0000}"/>
    <cellStyle name="Percent 4 3 6 2" xfId="22066" xr:uid="{00000000-0005-0000-0000-0000E3AD0000}"/>
    <cellStyle name="Percent 4 3 6 2 2" xfId="45334" xr:uid="{00000000-0005-0000-0000-0000E4AD0000}"/>
    <cellStyle name="Percent 4 3 6 3" xfId="45333" xr:uid="{00000000-0005-0000-0000-0000E5AD0000}"/>
    <cellStyle name="Percent 4 3 7" xfId="22067" xr:uid="{00000000-0005-0000-0000-0000E6AD0000}"/>
    <cellStyle name="Percent 4 3 7 2" xfId="45335" xr:uid="{00000000-0005-0000-0000-0000E7AD0000}"/>
    <cellStyle name="Percent 4 3 8" xfId="22068" xr:uid="{00000000-0005-0000-0000-0000E8AD0000}"/>
    <cellStyle name="Percent 4 3 8 2" xfId="45336" xr:uid="{00000000-0005-0000-0000-0000E9AD0000}"/>
    <cellStyle name="Percent 4 3 9" xfId="22069" xr:uid="{00000000-0005-0000-0000-0000EAAD0000}"/>
    <cellStyle name="Percent 4 3 9 2" xfId="45337" xr:uid="{00000000-0005-0000-0000-0000EBAD0000}"/>
    <cellStyle name="Percent 4 4" xfId="17663" xr:uid="{00000000-0005-0000-0000-0000ECAD0000}"/>
    <cellStyle name="Percent 4 4 2" xfId="17950" xr:uid="{00000000-0005-0000-0000-0000EDAD0000}"/>
    <cellStyle name="Percent 4 4 2 2" xfId="22070" xr:uid="{00000000-0005-0000-0000-0000EEAD0000}"/>
    <cellStyle name="Percent 4 4 2 2 2" xfId="22071" xr:uid="{00000000-0005-0000-0000-0000EFAD0000}"/>
    <cellStyle name="Percent 4 4 2 2 2 2" xfId="45339" xr:uid="{00000000-0005-0000-0000-0000F0AD0000}"/>
    <cellStyle name="Percent 4 4 2 2 3" xfId="22072" xr:uid="{00000000-0005-0000-0000-0000F1AD0000}"/>
    <cellStyle name="Percent 4 4 2 2 3 2" xfId="45340" xr:uid="{00000000-0005-0000-0000-0000F2AD0000}"/>
    <cellStyle name="Percent 4 4 2 2 4" xfId="45338" xr:uid="{00000000-0005-0000-0000-0000F3AD0000}"/>
    <cellStyle name="Percent 4 4 2 3" xfId="22073" xr:uid="{00000000-0005-0000-0000-0000F4AD0000}"/>
    <cellStyle name="Percent 4 4 2 3 2" xfId="22074" xr:uid="{00000000-0005-0000-0000-0000F5AD0000}"/>
    <cellStyle name="Percent 4 4 2 3 2 2" xfId="45342" xr:uid="{00000000-0005-0000-0000-0000F6AD0000}"/>
    <cellStyle name="Percent 4 4 2 3 3" xfId="45341" xr:uid="{00000000-0005-0000-0000-0000F7AD0000}"/>
    <cellStyle name="Percent 4 4 2 4" xfId="22075" xr:uid="{00000000-0005-0000-0000-0000F8AD0000}"/>
    <cellStyle name="Percent 4 4 2 4 2" xfId="45343" xr:uid="{00000000-0005-0000-0000-0000F9AD0000}"/>
    <cellStyle name="Percent 4 4 2 5" xfId="22076" xr:uid="{00000000-0005-0000-0000-0000FAAD0000}"/>
    <cellStyle name="Percent 4 4 2 5 2" xfId="45344" xr:uid="{00000000-0005-0000-0000-0000FBAD0000}"/>
    <cellStyle name="Percent 4 4 2 6" xfId="22077" xr:uid="{00000000-0005-0000-0000-0000FCAD0000}"/>
    <cellStyle name="Percent 4 4 2 6 2" xfId="45345" xr:uid="{00000000-0005-0000-0000-0000FDAD0000}"/>
    <cellStyle name="Percent 4 4 2 7" xfId="41410" xr:uid="{00000000-0005-0000-0000-0000FEAD0000}"/>
    <cellStyle name="Percent 4 4 3" xfId="22078" xr:uid="{00000000-0005-0000-0000-0000FFAD0000}"/>
    <cellStyle name="Percent 4 4 3 2" xfId="22079" xr:uid="{00000000-0005-0000-0000-000000AE0000}"/>
    <cellStyle name="Percent 4 4 3 2 2" xfId="45347" xr:uid="{00000000-0005-0000-0000-000001AE0000}"/>
    <cellStyle name="Percent 4 4 3 3" xfId="22080" xr:uid="{00000000-0005-0000-0000-000002AE0000}"/>
    <cellStyle name="Percent 4 4 3 3 2" xfId="45348" xr:uid="{00000000-0005-0000-0000-000003AE0000}"/>
    <cellStyle name="Percent 4 4 3 4" xfId="45346" xr:uid="{00000000-0005-0000-0000-000004AE0000}"/>
    <cellStyle name="Percent 4 4 4" xfId="22081" xr:uid="{00000000-0005-0000-0000-000005AE0000}"/>
    <cellStyle name="Percent 4 4 4 2" xfId="22082" xr:uid="{00000000-0005-0000-0000-000006AE0000}"/>
    <cellStyle name="Percent 4 4 4 2 2" xfId="45350" xr:uid="{00000000-0005-0000-0000-000007AE0000}"/>
    <cellStyle name="Percent 4 4 4 3" xfId="45349" xr:uid="{00000000-0005-0000-0000-000008AE0000}"/>
    <cellStyle name="Percent 4 4 5" xfId="22083" xr:uid="{00000000-0005-0000-0000-000009AE0000}"/>
    <cellStyle name="Percent 4 4 5 2" xfId="45351" xr:uid="{00000000-0005-0000-0000-00000AAE0000}"/>
    <cellStyle name="Percent 4 4 6" xfId="22084" xr:uid="{00000000-0005-0000-0000-00000BAE0000}"/>
    <cellStyle name="Percent 4 4 6 2" xfId="45352" xr:uid="{00000000-0005-0000-0000-00000CAE0000}"/>
    <cellStyle name="Percent 4 4 7" xfId="22085" xr:uid="{00000000-0005-0000-0000-00000DAE0000}"/>
    <cellStyle name="Percent 4 4 7 2" xfId="45353" xr:uid="{00000000-0005-0000-0000-00000EAE0000}"/>
    <cellStyle name="Percent 4 4 8" xfId="17720" xr:uid="{00000000-0005-0000-0000-00000FAE0000}"/>
    <cellStyle name="Percent 4 4 8 2" xfId="41180" xr:uid="{00000000-0005-0000-0000-000010AE0000}"/>
    <cellStyle name="Percent 4 5" xfId="17661" xr:uid="{00000000-0005-0000-0000-000011AE0000}"/>
    <cellStyle name="Percent 5" xfId="161" xr:uid="{00000000-0005-0000-0000-000012AE0000}"/>
    <cellStyle name="Percent 5 10" xfId="22086" xr:uid="{00000000-0005-0000-0000-000013AE0000}"/>
    <cellStyle name="Percent 5 10 2" xfId="45354" xr:uid="{00000000-0005-0000-0000-000014AE0000}"/>
    <cellStyle name="Percent 5 11" xfId="22087" xr:uid="{00000000-0005-0000-0000-000015AE0000}"/>
    <cellStyle name="Percent 5 11 2" xfId="45355" xr:uid="{00000000-0005-0000-0000-000016AE0000}"/>
    <cellStyle name="Percent 5 12" xfId="22088" xr:uid="{00000000-0005-0000-0000-000017AE0000}"/>
    <cellStyle name="Percent 5 12 2" xfId="45356" xr:uid="{00000000-0005-0000-0000-000018AE0000}"/>
    <cellStyle name="Percent 5 13" xfId="23702" xr:uid="{00000000-0005-0000-0000-000019AE0000}"/>
    <cellStyle name="Percent 5 2" xfId="162" xr:uid="{00000000-0005-0000-0000-00001AAE0000}"/>
    <cellStyle name="Percent 5 2 10" xfId="22089" xr:uid="{00000000-0005-0000-0000-00001BAE0000}"/>
    <cellStyle name="Percent 5 2 10 2" xfId="45357" xr:uid="{00000000-0005-0000-0000-00001CAE0000}"/>
    <cellStyle name="Percent 5 2 11" xfId="22090" xr:uid="{00000000-0005-0000-0000-00001DAE0000}"/>
    <cellStyle name="Percent 5 2 11 2" xfId="45358" xr:uid="{00000000-0005-0000-0000-00001EAE0000}"/>
    <cellStyle name="Percent 5 2 12" xfId="23703" xr:uid="{00000000-0005-0000-0000-00001FAE0000}"/>
    <cellStyle name="Percent 5 2 2" xfId="163" xr:uid="{00000000-0005-0000-0000-000020AE0000}"/>
    <cellStyle name="Percent 5 2 2 10" xfId="23704" xr:uid="{00000000-0005-0000-0000-000021AE0000}"/>
    <cellStyle name="Percent 5 2 2 2" xfId="17665" xr:uid="{00000000-0005-0000-0000-000022AE0000}"/>
    <cellStyle name="Percent 5 2 2 2 2" xfId="17916" xr:uid="{00000000-0005-0000-0000-000023AE0000}"/>
    <cellStyle name="Percent 5 2 2 2 2 2" xfId="22091" xr:uid="{00000000-0005-0000-0000-000024AE0000}"/>
    <cellStyle name="Percent 5 2 2 2 2 2 2" xfId="22092" xr:uid="{00000000-0005-0000-0000-000025AE0000}"/>
    <cellStyle name="Percent 5 2 2 2 2 2 2 2" xfId="45360" xr:uid="{00000000-0005-0000-0000-000026AE0000}"/>
    <cellStyle name="Percent 5 2 2 2 2 2 3" xfId="22093" xr:uid="{00000000-0005-0000-0000-000027AE0000}"/>
    <cellStyle name="Percent 5 2 2 2 2 2 3 2" xfId="45361" xr:uid="{00000000-0005-0000-0000-000028AE0000}"/>
    <cellStyle name="Percent 5 2 2 2 2 2 4" xfId="45359" xr:uid="{00000000-0005-0000-0000-000029AE0000}"/>
    <cellStyle name="Percent 5 2 2 2 2 3" xfId="22094" xr:uid="{00000000-0005-0000-0000-00002AAE0000}"/>
    <cellStyle name="Percent 5 2 2 2 2 3 2" xfId="22095" xr:uid="{00000000-0005-0000-0000-00002BAE0000}"/>
    <cellStyle name="Percent 5 2 2 2 2 3 2 2" xfId="45363" xr:uid="{00000000-0005-0000-0000-00002CAE0000}"/>
    <cellStyle name="Percent 5 2 2 2 2 3 3" xfId="45362" xr:uid="{00000000-0005-0000-0000-00002DAE0000}"/>
    <cellStyle name="Percent 5 2 2 2 2 4" xfId="22096" xr:uid="{00000000-0005-0000-0000-00002EAE0000}"/>
    <cellStyle name="Percent 5 2 2 2 2 4 2" xfId="45364" xr:uid="{00000000-0005-0000-0000-00002FAE0000}"/>
    <cellStyle name="Percent 5 2 2 2 2 5" xfId="22097" xr:uid="{00000000-0005-0000-0000-000030AE0000}"/>
    <cellStyle name="Percent 5 2 2 2 2 5 2" xfId="45365" xr:uid="{00000000-0005-0000-0000-000031AE0000}"/>
    <cellStyle name="Percent 5 2 2 2 2 6" xfId="22098" xr:uid="{00000000-0005-0000-0000-000032AE0000}"/>
    <cellStyle name="Percent 5 2 2 2 2 6 2" xfId="45366" xr:uid="{00000000-0005-0000-0000-000033AE0000}"/>
    <cellStyle name="Percent 5 2 2 2 2 7" xfId="41376" xr:uid="{00000000-0005-0000-0000-000034AE0000}"/>
    <cellStyle name="Percent 5 2 2 2 3" xfId="22099" xr:uid="{00000000-0005-0000-0000-000035AE0000}"/>
    <cellStyle name="Percent 5 2 2 2 3 2" xfId="22100" xr:uid="{00000000-0005-0000-0000-000036AE0000}"/>
    <cellStyle name="Percent 5 2 2 2 3 2 2" xfId="45368" xr:uid="{00000000-0005-0000-0000-000037AE0000}"/>
    <cellStyle name="Percent 5 2 2 2 3 3" xfId="22101" xr:uid="{00000000-0005-0000-0000-000038AE0000}"/>
    <cellStyle name="Percent 5 2 2 2 3 3 2" xfId="45369" xr:uid="{00000000-0005-0000-0000-000039AE0000}"/>
    <cellStyle name="Percent 5 2 2 2 3 4" xfId="45367" xr:uid="{00000000-0005-0000-0000-00003AAE0000}"/>
    <cellStyle name="Percent 5 2 2 2 4" xfId="22102" xr:uid="{00000000-0005-0000-0000-00003BAE0000}"/>
    <cellStyle name="Percent 5 2 2 2 4 2" xfId="22103" xr:uid="{00000000-0005-0000-0000-00003CAE0000}"/>
    <cellStyle name="Percent 5 2 2 2 4 2 2" xfId="45371" xr:uid="{00000000-0005-0000-0000-00003DAE0000}"/>
    <cellStyle name="Percent 5 2 2 2 4 3" xfId="45370" xr:uid="{00000000-0005-0000-0000-00003EAE0000}"/>
    <cellStyle name="Percent 5 2 2 2 5" xfId="22104" xr:uid="{00000000-0005-0000-0000-00003FAE0000}"/>
    <cellStyle name="Percent 5 2 2 2 5 2" xfId="45372" xr:uid="{00000000-0005-0000-0000-000040AE0000}"/>
    <cellStyle name="Percent 5 2 2 2 6" xfId="22105" xr:uid="{00000000-0005-0000-0000-000041AE0000}"/>
    <cellStyle name="Percent 5 2 2 2 6 2" xfId="45373" xr:uid="{00000000-0005-0000-0000-000042AE0000}"/>
    <cellStyle name="Percent 5 2 2 2 7" xfId="22106" xr:uid="{00000000-0005-0000-0000-000043AE0000}"/>
    <cellStyle name="Percent 5 2 2 2 7 2" xfId="45374" xr:uid="{00000000-0005-0000-0000-000044AE0000}"/>
    <cellStyle name="Percent 5 2 2 2 8" xfId="41131" xr:uid="{00000000-0005-0000-0000-000045AE0000}"/>
    <cellStyle name="Percent 5 2 2 3" xfId="17765" xr:uid="{00000000-0005-0000-0000-000046AE0000}"/>
    <cellStyle name="Percent 5 2 2 3 2" xfId="17999" xr:uid="{00000000-0005-0000-0000-000047AE0000}"/>
    <cellStyle name="Percent 5 2 2 3 2 2" xfId="22107" xr:uid="{00000000-0005-0000-0000-000048AE0000}"/>
    <cellStyle name="Percent 5 2 2 3 2 2 2" xfId="22108" xr:uid="{00000000-0005-0000-0000-000049AE0000}"/>
    <cellStyle name="Percent 5 2 2 3 2 2 2 2" xfId="45376" xr:uid="{00000000-0005-0000-0000-00004AAE0000}"/>
    <cellStyle name="Percent 5 2 2 3 2 2 3" xfId="22109" xr:uid="{00000000-0005-0000-0000-00004BAE0000}"/>
    <cellStyle name="Percent 5 2 2 3 2 2 3 2" xfId="45377" xr:uid="{00000000-0005-0000-0000-00004CAE0000}"/>
    <cellStyle name="Percent 5 2 2 3 2 2 4" xfId="45375" xr:uid="{00000000-0005-0000-0000-00004DAE0000}"/>
    <cellStyle name="Percent 5 2 2 3 2 3" xfId="22110" xr:uid="{00000000-0005-0000-0000-00004EAE0000}"/>
    <cellStyle name="Percent 5 2 2 3 2 3 2" xfId="22111" xr:uid="{00000000-0005-0000-0000-00004FAE0000}"/>
    <cellStyle name="Percent 5 2 2 3 2 3 2 2" xfId="45379" xr:uid="{00000000-0005-0000-0000-000050AE0000}"/>
    <cellStyle name="Percent 5 2 2 3 2 3 3" xfId="45378" xr:uid="{00000000-0005-0000-0000-000051AE0000}"/>
    <cellStyle name="Percent 5 2 2 3 2 4" xfId="22112" xr:uid="{00000000-0005-0000-0000-000052AE0000}"/>
    <cellStyle name="Percent 5 2 2 3 2 4 2" xfId="45380" xr:uid="{00000000-0005-0000-0000-000053AE0000}"/>
    <cellStyle name="Percent 5 2 2 3 2 5" xfId="22113" xr:uid="{00000000-0005-0000-0000-000054AE0000}"/>
    <cellStyle name="Percent 5 2 2 3 2 5 2" xfId="45381" xr:uid="{00000000-0005-0000-0000-000055AE0000}"/>
    <cellStyle name="Percent 5 2 2 3 2 6" xfId="22114" xr:uid="{00000000-0005-0000-0000-000056AE0000}"/>
    <cellStyle name="Percent 5 2 2 3 2 6 2" xfId="45382" xr:uid="{00000000-0005-0000-0000-000057AE0000}"/>
    <cellStyle name="Percent 5 2 2 3 2 7" xfId="41459" xr:uid="{00000000-0005-0000-0000-000058AE0000}"/>
    <cellStyle name="Percent 5 2 2 3 3" xfId="22115" xr:uid="{00000000-0005-0000-0000-000059AE0000}"/>
    <cellStyle name="Percent 5 2 2 3 3 2" xfId="22116" xr:uid="{00000000-0005-0000-0000-00005AAE0000}"/>
    <cellStyle name="Percent 5 2 2 3 3 2 2" xfId="45384" xr:uid="{00000000-0005-0000-0000-00005BAE0000}"/>
    <cellStyle name="Percent 5 2 2 3 3 3" xfId="22117" xr:uid="{00000000-0005-0000-0000-00005CAE0000}"/>
    <cellStyle name="Percent 5 2 2 3 3 3 2" xfId="45385" xr:uid="{00000000-0005-0000-0000-00005DAE0000}"/>
    <cellStyle name="Percent 5 2 2 3 3 4" xfId="45383" xr:uid="{00000000-0005-0000-0000-00005EAE0000}"/>
    <cellStyle name="Percent 5 2 2 3 4" xfId="22118" xr:uid="{00000000-0005-0000-0000-00005FAE0000}"/>
    <cellStyle name="Percent 5 2 2 3 4 2" xfId="22119" xr:uid="{00000000-0005-0000-0000-000060AE0000}"/>
    <cellStyle name="Percent 5 2 2 3 4 2 2" xfId="45387" xr:uid="{00000000-0005-0000-0000-000061AE0000}"/>
    <cellStyle name="Percent 5 2 2 3 4 3" xfId="45386" xr:uid="{00000000-0005-0000-0000-000062AE0000}"/>
    <cellStyle name="Percent 5 2 2 3 5" xfId="22120" xr:uid="{00000000-0005-0000-0000-000063AE0000}"/>
    <cellStyle name="Percent 5 2 2 3 5 2" xfId="45388" xr:uid="{00000000-0005-0000-0000-000064AE0000}"/>
    <cellStyle name="Percent 5 2 2 3 6" xfId="22121" xr:uid="{00000000-0005-0000-0000-000065AE0000}"/>
    <cellStyle name="Percent 5 2 2 3 6 2" xfId="45389" xr:uid="{00000000-0005-0000-0000-000066AE0000}"/>
    <cellStyle name="Percent 5 2 2 3 7" xfId="22122" xr:uid="{00000000-0005-0000-0000-000067AE0000}"/>
    <cellStyle name="Percent 5 2 2 3 7 2" xfId="45390" xr:uid="{00000000-0005-0000-0000-000068AE0000}"/>
    <cellStyle name="Percent 5 2 2 3 8" xfId="41225" xr:uid="{00000000-0005-0000-0000-000069AE0000}"/>
    <cellStyle name="Percent 5 2 2 4" xfId="17841" xr:uid="{00000000-0005-0000-0000-00006AAE0000}"/>
    <cellStyle name="Percent 5 2 2 4 2" xfId="22123" xr:uid="{00000000-0005-0000-0000-00006BAE0000}"/>
    <cellStyle name="Percent 5 2 2 4 2 2" xfId="22124" xr:uid="{00000000-0005-0000-0000-00006CAE0000}"/>
    <cellStyle name="Percent 5 2 2 4 2 2 2" xfId="45392" xr:uid="{00000000-0005-0000-0000-00006DAE0000}"/>
    <cellStyle name="Percent 5 2 2 4 2 3" xfId="22125" xr:uid="{00000000-0005-0000-0000-00006EAE0000}"/>
    <cellStyle name="Percent 5 2 2 4 2 3 2" xfId="45393" xr:uid="{00000000-0005-0000-0000-00006FAE0000}"/>
    <cellStyle name="Percent 5 2 2 4 2 4" xfId="45391" xr:uid="{00000000-0005-0000-0000-000070AE0000}"/>
    <cellStyle name="Percent 5 2 2 4 3" xfId="22126" xr:uid="{00000000-0005-0000-0000-000071AE0000}"/>
    <cellStyle name="Percent 5 2 2 4 3 2" xfId="22127" xr:uid="{00000000-0005-0000-0000-000072AE0000}"/>
    <cellStyle name="Percent 5 2 2 4 3 2 2" xfId="45395" xr:uid="{00000000-0005-0000-0000-000073AE0000}"/>
    <cellStyle name="Percent 5 2 2 4 3 3" xfId="45394" xr:uid="{00000000-0005-0000-0000-000074AE0000}"/>
    <cellStyle name="Percent 5 2 2 4 4" xfId="22128" xr:uid="{00000000-0005-0000-0000-000075AE0000}"/>
    <cellStyle name="Percent 5 2 2 4 4 2" xfId="45396" xr:uid="{00000000-0005-0000-0000-000076AE0000}"/>
    <cellStyle name="Percent 5 2 2 4 5" xfId="22129" xr:uid="{00000000-0005-0000-0000-000077AE0000}"/>
    <cellStyle name="Percent 5 2 2 4 5 2" xfId="45397" xr:uid="{00000000-0005-0000-0000-000078AE0000}"/>
    <cellStyle name="Percent 5 2 2 4 6" xfId="22130" xr:uid="{00000000-0005-0000-0000-000079AE0000}"/>
    <cellStyle name="Percent 5 2 2 4 6 2" xfId="45398" xr:uid="{00000000-0005-0000-0000-00007AAE0000}"/>
    <cellStyle name="Percent 5 2 2 4 7" xfId="41301" xr:uid="{00000000-0005-0000-0000-00007BAE0000}"/>
    <cellStyle name="Percent 5 2 2 5" xfId="22131" xr:uid="{00000000-0005-0000-0000-00007CAE0000}"/>
    <cellStyle name="Percent 5 2 2 5 2" xfId="22132" xr:uid="{00000000-0005-0000-0000-00007DAE0000}"/>
    <cellStyle name="Percent 5 2 2 5 2 2" xfId="45400" xr:uid="{00000000-0005-0000-0000-00007EAE0000}"/>
    <cellStyle name="Percent 5 2 2 5 3" xfId="22133" xr:uid="{00000000-0005-0000-0000-00007FAE0000}"/>
    <cellStyle name="Percent 5 2 2 5 3 2" xfId="45401" xr:uid="{00000000-0005-0000-0000-000080AE0000}"/>
    <cellStyle name="Percent 5 2 2 5 4" xfId="45399" xr:uid="{00000000-0005-0000-0000-000081AE0000}"/>
    <cellStyle name="Percent 5 2 2 6" xfId="22134" xr:uid="{00000000-0005-0000-0000-000082AE0000}"/>
    <cellStyle name="Percent 5 2 2 6 2" xfId="22135" xr:uid="{00000000-0005-0000-0000-000083AE0000}"/>
    <cellStyle name="Percent 5 2 2 6 2 2" xfId="45403" xr:uid="{00000000-0005-0000-0000-000084AE0000}"/>
    <cellStyle name="Percent 5 2 2 6 3" xfId="45402" xr:uid="{00000000-0005-0000-0000-000085AE0000}"/>
    <cellStyle name="Percent 5 2 2 7" xfId="22136" xr:uid="{00000000-0005-0000-0000-000086AE0000}"/>
    <cellStyle name="Percent 5 2 2 7 2" xfId="45404" xr:uid="{00000000-0005-0000-0000-000087AE0000}"/>
    <cellStyle name="Percent 5 2 2 8" xfId="22137" xr:uid="{00000000-0005-0000-0000-000088AE0000}"/>
    <cellStyle name="Percent 5 2 2 8 2" xfId="45405" xr:uid="{00000000-0005-0000-0000-000089AE0000}"/>
    <cellStyle name="Percent 5 2 2 9" xfId="22138" xr:uid="{00000000-0005-0000-0000-00008AAE0000}"/>
    <cellStyle name="Percent 5 2 2 9 2" xfId="45406" xr:uid="{00000000-0005-0000-0000-00008BAE0000}"/>
    <cellStyle name="Percent 5 2 3" xfId="17666" xr:uid="{00000000-0005-0000-0000-00008CAE0000}"/>
    <cellStyle name="Percent 5 2 3 10" xfId="41132" xr:uid="{00000000-0005-0000-0000-00008DAE0000}"/>
    <cellStyle name="Percent 5 2 3 2" xfId="17713" xr:uid="{00000000-0005-0000-0000-00008EAE0000}"/>
    <cellStyle name="Percent 5 2 3 2 2" xfId="17942" xr:uid="{00000000-0005-0000-0000-00008FAE0000}"/>
    <cellStyle name="Percent 5 2 3 2 2 2" xfId="22139" xr:uid="{00000000-0005-0000-0000-000090AE0000}"/>
    <cellStyle name="Percent 5 2 3 2 2 2 2" xfId="22140" xr:uid="{00000000-0005-0000-0000-000091AE0000}"/>
    <cellStyle name="Percent 5 2 3 2 2 2 2 2" xfId="45408" xr:uid="{00000000-0005-0000-0000-000092AE0000}"/>
    <cellStyle name="Percent 5 2 3 2 2 2 3" xfId="22141" xr:uid="{00000000-0005-0000-0000-000093AE0000}"/>
    <cellStyle name="Percent 5 2 3 2 2 2 3 2" xfId="45409" xr:uid="{00000000-0005-0000-0000-000094AE0000}"/>
    <cellStyle name="Percent 5 2 3 2 2 2 4" xfId="45407" xr:uid="{00000000-0005-0000-0000-000095AE0000}"/>
    <cellStyle name="Percent 5 2 3 2 2 3" xfId="22142" xr:uid="{00000000-0005-0000-0000-000096AE0000}"/>
    <cellStyle name="Percent 5 2 3 2 2 3 2" xfId="22143" xr:uid="{00000000-0005-0000-0000-000097AE0000}"/>
    <cellStyle name="Percent 5 2 3 2 2 3 2 2" xfId="45411" xr:uid="{00000000-0005-0000-0000-000098AE0000}"/>
    <cellStyle name="Percent 5 2 3 2 2 3 3" xfId="45410" xr:uid="{00000000-0005-0000-0000-000099AE0000}"/>
    <cellStyle name="Percent 5 2 3 2 2 4" xfId="22144" xr:uid="{00000000-0005-0000-0000-00009AAE0000}"/>
    <cellStyle name="Percent 5 2 3 2 2 4 2" xfId="45412" xr:uid="{00000000-0005-0000-0000-00009BAE0000}"/>
    <cellStyle name="Percent 5 2 3 2 2 5" xfId="22145" xr:uid="{00000000-0005-0000-0000-00009CAE0000}"/>
    <cellStyle name="Percent 5 2 3 2 2 5 2" xfId="45413" xr:uid="{00000000-0005-0000-0000-00009DAE0000}"/>
    <cellStyle name="Percent 5 2 3 2 2 6" xfId="22146" xr:uid="{00000000-0005-0000-0000-00009EAE0000}"/>
    <cellStyle name="Percent 5 2 3 2 2 6 2" xfId="45414" xr:uid="{00000000-0005-0000-0000-00009FAE0000}"/>
    <cellStyle name="Percent 5 2 3 2 2 7" xfId="41402" xr:uid="{00000000-0005-0000-0000-0000A0AE0000}"/>
    <cellStyle name="Percent 5 2 3 2 3" xfId="22147" xr:uid="{00000000-0005-0000-0000-0000A1AE0000}"/>
    <cellStyle name="Percent 5 2 3 2 3 2" xfId="22148" xr:uid="{00000000-0005-0000-0000-0000A2AE0000}"/>
    <cellStyle name="Percent 5 2 3 2 3 2 2" xfId="45416" xr:uid="{00000000-0005-0000-0000-0000A3AE0000}"/>
    <cellStyle name="Percent 5 2 3 2 3 3" xfId="22149" xr:uid="{00000000-0005-0000-0000-0000A4AE0000}"/>
    <cellStyle name="Percent 5 2 3 2 3 3 2" xfId="45417" xr:uid="{00000000-0005-0000-0000-0000A5AE0000}"/>
    <cellStyle name="Percent 5 2 3 2 3 4" xfId="45415" xr:uid="{00000000-0005-0000-0000-0000A6AE0000}"/>
    <cellStyle name="Percent 5 2 3 2 4" xfId="22150" xr:uid="{00000000-0005-0000-0000-0000A7AE0000}"/>
    <cellStyle name="Percent 5 2 3 2 4 2" xfId="22151" xr:uid="{00000000-0005-0000-0000-0000A8AE0000}"/>
    <cellStyle name="Percent 5 2 3 2 4 2 2" xfId="45419" xr:uid="{00000000-0005-0000-0000-0000A9AE0000}"/>
    <cellStyle name="Percent 5 2 3 2 4 3" xfId="45418" xr:uid="{00000000-0005-0000-0000-0000AAAE0000}"/>
    <cellStyle name="Percent 5 2 3 2 5" xfId="22152" xr:uid="{00000000-0005-0000-0000-0000ABAE0000}"/>
    <cellStyle name="Percent 5 2 3 2 5 2" xfId="45420" xr:uid="{00000000-0005-0000-0000-0000ACAE0000}"/>
    <cellStyle name="Percent 5 2 3 2 6" xfId="22153" xr:uid="{00000000-0005-0000-0000-0000ADAE0000}"/>
    <cellStyle name="Percent 5 2 3 2 6 2" xfId="45421" xr:uid="{00000000-0005-0000-0000-0000AEAE0000}"/>
    <cellStyle name="Percent 5 2 3 2 7" xfId="22154" xr:uid="{00000000-0005-0000-0000-0000AFAE0000}"/>
    <cellStyle name="Percent 5 2 3 2 7 2" xfId="45422" xr:uid="{00000000-0005-0000-0000-0000B0AE0000}"/>
    <cellStyle name="Percent 5 2 3 2 8" xfId="41173" xr:uid="{00000000-0005-0000-0000-0000B1AE0000}"/>
    <cellStyle name="Percent 5 2 3 3" xfId="17789" xr:uid="{00000000-0005-0000-0000-0000B2AE0000}"/>
    <cellStyle name="Percent 5 2 3 3 2" xfId="18025" xr:uid="{00000000-0005-0000-0000-0000B3AE0000}"/>
    <cellStyle name="Percent 5 2 3 3 2 2" xfId="22155" xr:uid="{00000000-0005-0000-0000-0000B4AE0000}"/>
    <cellStyle name="Percent 5 2 3 3 2 2 2" xfId="22156" xr:uid="{00000000-0005-0000-0000-0000B5AE0000}"/>
    <cellStyle name="Percent 5 2 3 3 2 2 2 2" xfId="45424" xr:uid="{00000000-0005-0000-0000-0000B6AE0000}"/>
    <cellStyle name="Percent 5 2 3 3 2 2 3" xfId="22157" xr:uid="{00000000-0005-0000-0000-0000B7AE0000}"/>
    <cellStyle name="Percent 5 2 3 3 2 2 3 2" xfId="45425" xr:uid="{00000000-0005-0000-0000-0000B8AE0000}"/>
    <cellStyle name="Percent 5 2 3 3 2 2 4" xfId="45423" xr:uid="{00000000-0005-0000-0000-0000B9AE0000}"/>
    <cellStyle name="Percent 5 2 3 3 2 3" xfId="22158" xr:uid="{00000000-0005-0000-0000-0000BAAE0000}"/>
    <cellStyle name="Percent 5 2 3 3 2 3 2" xfId="22159" xr:uid="{00000000-0005-0000-0000-0000BBAE0000}"/>
    <cellStyle name="Percent 5 2 3 3 2 3 2 2" xfId="45427" xr:uid="{00000000-0005-0000-0000-0000BCAE0000}"/>
    <cellStyle name="Percent 5 2 3 3 2 3 3" xfId="45426" xr:uid="{00000000-0005-0000-0000-0000BDAE0000}"/>
    <cellStyle name="Percent 5 2 3 3 2 4" xfId="22160" xr:uid="{00000000-0005-0000-0000-0000BEAE0000}"/>
    <cellStyle name="Percent 5 2 3 3 2 4 2" xfId="45428" xr:uid="{00000000-0005-0000-0000-0000BFAE0000}"/>
    <cellStyle name="Percent 5 2 3 3 2 5" xfId="22161" xr:uid="{00000000-0005-0000-0000-0000C0AE0000}"/>
    <cellStyle name="Percent 5 2 3 3 2 5 2" xfId="45429" xr:uid="{00000000-0005-0000-0000-0000C1AE0000}"/>
    <cellStyle name="Percent 5 2 3 3 2 6" xfId="22162" xr:uid="{00000000-0005-0000-0000-0000C2AE0000}"/>
    <cellStyle name="Percent 5 2 3 3 2 6 2" xfId="45430" xr:uid="{00000000-0005-0000-0000-0000C3AE0000}"/>
    <cellStyle name="Percent 5 2 3 3 2 7" xfId="41485" xr:uid="{00000000-0005-0000-0000-0000C4AE0000}"/>
    <cellStyle name="Percent 5 2 3 3 3" xfId="22163" xr:uid="{00000000-0005-0000-0000-0000C5AE0000}"/>
    <cellStyle name="Percent 5 2 3 3 3 2" xfId="22164" xr:uid="{00000000-0005-0000-0000-0000C6AE0000}"/>
    <cellStyle name="Percent 5 2 3 3 3 2 2" xfId="45432" xr:uid="{00000000-0005-0000-0000-0000C7AE0000}"/>
    <cellStyle name="Percent 5 2 3 3 3 3" xfId="22165" xr:uid="{00000000-0005-0000-0000-0000C8AE0000}"/>
    <cellStyle name="Percent 5 2 3 3 3 3 2" xfId="45433" xr:uid="{00000000-0005-0000-0000-0000C9AE0000}"/>
    <cellStyle name="Percent 5 2 3 3 3 4" xfId="45431" xr:uid="{00000000-0005-0000-0000-0000CAAE0000}"/>
    <cellStyle name="Percent 5 2 3 3 4" xfId="22166" xr:uid="{00000000-0005-0000-0000-0000CBAE0000}"/>
    <cellStyle name="Percent 5 2 3 3 4 2" xfId="22167" xr:uid="{00000000-0005-0000-0000-0000CCAE0000}"/>
    <cellStyle name="Percent 5 2 3 3 4 2 2" xfId="45435" xr:uid="{00000000-0005-0000-0000-0000CDAE0000}"/>
    <cellStyle name="Percent 5 2 3 3 4 3" xfId="45434" xr:uid="{00000000-0005-0000-0000-0000CEAE0000}"/>
    <cellStyle name="Percent 5 2 3 3 5" xfId="22168" xr:uid="{00000000-0005-0000-0000-0000CFAE0000}"/>
    <cellStyle name="Percent 5 2 3 3 5 2" xfId="45436" xr:uid="{00000000-0005-0000-0000-0000D0AE0000}"/>
    <cellStyle name="Percent 5 2 3 3 6" xfId="22169" xr:uid="{00000000-0005-0000-0000-0000D1AE0000}"/>
    <cellStyle name="Percent 5 2 3 3 6 2" xfId="45437" xr:uid="{00000000-0005-0000-0000-0000D2AE0000}"/>
    <cellStyle name="Percent 5 2 3 3 7" xfId="22170" xr:uid="{00000000-0005-0000-0000-0000D3AE0000}"/>
    <cellStyle name="Percent 5 2 3 3 7 2" xfId="45438" xr:uid="{00000000-0005-0000-0000-0000D4AE0000}"/>
    <cellStyle name="Percent 5 2 3 3 8" xfId="41249" xr:uid="{00000000-0005-0000-0000-0000D5AE0000}"/>
    <cellStyle name="Percent 5 2 3 4" xfId="17870" xr:uid="{00000000-0005-0000-0000-0000D6AE0000}"/>
    <cellStyle name="Percent 5 2 3 4 2" xfId="22171" xr:uid="{00000000-0005-0000-0000-0000D7AE0000}"/>
    <cellStyle name="Percent 5 2 3 4 2 2" xfId="22172" xr:uid="{00000000-0005-0000-0000-0000D8AE0000}"/>
    <cellStyle name="Percent 5 2 3 4 2 2 2" xfId="45440" xr:uid="{00000000-0005-0000-0000-0000D9AE0000}"/>
    <cellStyle name="Percent 5 2 3 4 2 3" xfId="22173" xr:uid="{00000000-0005-0000-0000-0000DAAE0000}"/>
    <cellStyle name="Percent 5 2 3 4 2 3 2" xfId="45441" xr:uid="{00000000-0005-0000-0000-0000DBAE0000}"/>
    <cellStyle name="Percent 5 2 3 4 2 4" xfId="45439" xr:uid="{00000000-0005-0000-0000-0000DCAE0000}"/>
    <cellStyle name="Percent 5 2 3 4 3" xfId="22174" xr:uid="{00000000-0005-0000-0000-0000DDAE0000}"/>
    <cellStyle name="Percent 5 2 3 4 3 2" xfId="22175" xr:uid="{00000000-0005-0000-0000-0000DEAE0000}"/>
    <cellStyle name="Percent 5 2 3 4 3 2 2" xfId="45443" xr:uid="{00000000-0005-0000-0000-0000DFAE0000}"/>
    <cellStyle name="Percent 5 2 3 4 3 3" xfId="45442" xr:uid="{00000000-0005-0000-0000-0000E0AE0000}"/>
    <cellStyle name="Percent 5 2 3 4 4" xfId="22176" xr:uid="{00000000-0005-0000-0000-0000E1AE0000}"/>
    <cellStyle name="Percent 5 2 3 4 4 2" xfId="45444" xr:uid="{00000000-0005-0000-0000-0000E2AE0000}"/>
    <cellStyle name="Percent 5 2 3 4 5" xfId="22177" xr:uid="{00000000-0005-0000-0000-0000E3AE0000}"/>
    <cellStyle name="Percent 5 2 3 4 5 2" xfId="45445" xr:uid="{00000000-0005-0000-0000-0000E4AE0000}"/>
    <cellStyle name="Percent 5 2 3 4 6" xfId="22178" xr:uid="{00000000-0005-0000-0000-0000E5AE0000}"/>
    <cellStyle name="Percent 5 2 3 4 6 2" xfId="45446" xr:uid="{00000000-0005-0000-0000-0000E6AE0000}"/>
    <cellStyle name="Percent 5 2 3 4 7" xfId="41330" xr:uid="{00000000-0005-0000-0000-0000E7AE0000}"/>
    <cellStyle name="Percent 5 2 3 5" xfId="22179" xr:uid="{00000000-0005-0000-0000-0000E8AE0000}"/>
    <cellStyle name="Percent 5 2 3 5 2" xfId="22180" xr:uid="{00000000-0005-0000-0000-0000E9AE0000}"/>
    <cellStyle name="Percent 5 2 3 5 2 2" xfId="45448" xr:uid="{00000000-0005-0000-0000-0000EAAE0000}"/>
    <cellStyle name="Percent 5 2 3 5 3" xfId="22181" xr:uid="{00000000-0005-0000-0000-0000EBAE0000}"/>
    <cellStyle name="Percent 5 2 3 5 3 2" xfId="45449" xr:uid="{00000000-0005-0000-0000-0000ECAE0000}"/>
    <cellStyle name="Percent 5 2 3 5 4" xfId="45447" xr:uid="{00000000-0005-0000-0000-0000EDAE0000}"/>
    <cellStyle name="Percent 5 2 3 6" xfId="22182" xr:uid="{00000000-0005-0000-0000-0000EEAE0000}"/>
    <cellStyle name="Percent 5 2 3 6 2" xfId="22183" xr:uid="{00000000-0005-0000-0000-0000EFAE0000}"/>
    <cellStyle name="Percent 5 2 3 6 2 2" xfId="45451" xr:uid="{00000000-0005-0000-0000-0000F0AE0000}"/>
    <cellStyle name="Percent 5 2 3 6 3" xfId="45450" xr:uid="{00000000-0005-0000-0000-0000F1AE0000}"/>
    <cellStyle name="Percent 5 2 3 7" xfId="22184" xr:uid="{00000000-0005-0000-0000-0000F2AE0000}"/>
    <cellStyle name="Percent 5 2 3 7 2" xfId="45452" xr:uid="{00000000-0005-0000-0000-0000F3AE0000}"/>
    <cellStyle name="Percent 5 2 3 8" xfId="22185" xr:uid="{00000000-0005-0000-0000-0000F4AE0000}"/>
    <cellStyle name="Percent 5 2 3 8 2" xfId="45453" xr:uid="{00000000-0005-0000-0000-0000F5AE0000}"/>
    <cellStyle name="Percent 5 2 3 9" xfId="22186" xr:uid="{00000000-0005-0000-0000-0000F6AE0000}"/>
    <cellStyle name="Percent 5 2 3 9 2" xfId="45454" xr:uid="{00000000-0005-0000-0000-0000F7AE0000}"/>
    <cellStyle name="Percent 5 2 4" xfId="17702" xr:uid="{00000000-0005-0000-0000-0000F8AE0000}"/>
    <cellStyle name="Percent 5 2 4 2" xfId="17892" xr:uid="{00000000-0005-0000-0000-0000F9AE0000}"/>
    <cellStyle name="Percent 5 2 4 2 2" xfId="22187" xr:uid="{00000000-0005-0000-0000-0000FAAE0000}"/>
    <cellStyle name="Percent 5 2 4 2 2 2" xfId="22188" xr:uid="{00000000-0005-0000-0000-0000FBAE0000}"/>
    <cellStyle name="Percent 5 2 4 2 2 2 2" xfId="45456" xr:uid="{00000000-0005-0000-0000-0000FCAE0000}"/>
    <cellStyle name="Percent 5 2 4 2 2 3" xfId="22189" xr:uid="{00000000-0005-0000-0000-0000FDAE0000}"/>
    <cellStyle name="Percent 5 2 4 2 2 3 2" xfId="45457" xr:uid="{00000000-0005-0000-0000-0000FEAE0000}"/>
    <cellStyle name="Percent 5 2 4 2 2 4" xfId="45455" xr:uid="{00000000-0005-0000-0000-0000FFAE0000}"/>
    <cellStyle name="Percent 5 2 4 2 3" xfId="22190" xr:uid="{00000000-0005-0000-0000-000000AF0000}"/>
    <cellStyle name="Percent 5 2 4 2 3 2" xfId="22191" xr:uid="{00000000-0005-0000-0000-000001AF0000}"/>
    <cellStyle name="Percent 5 2 4 2 3 2 2" xfId="45459" xr:uid="{00000000-0005-0000-0000-000002AF0000}"/>
    <cellStyle name="Percent 5 2 4 2 3 3" xfId="45458" xr:uid="{00000000-0005-0000-0000-000003AF0000}"/>
    <cellStyle name="Percent 5 2 4 2 4" xfId="22192" xr:uid="{00000000-0005-0000-0000-000004AF0000}"/>
    <cellStyle name="Percent 5 2 4 2 4 2" xfId="45460" xr:uid="{00000000-0005-0000-0000-000005AF0000}"/>
    <cellStyle name="Percent 5 2 4 2 5" xfId="22193" xr:uid="{00000000-0005-0000-0000-000006AF0000}"/>
    <cellStyle name="Percent 5 2 4 2 5 2" xfId="45461" xr:uid="{00000000-0005-0000-0000-000007AF0000}"/>
    <cellStyle name="Percent 5 2 4 2 6" xfId="22194" xr:uid="{00000000-0005-0000-0000-000008AF0000}"/>
    <cellStyle name="Percent 5 2 4 2 6 2" xfId="45462" xr:uid="{00000000-0005-0000-0000-000009AF0000}"/>
    <cellStyle name="Percent 5 2 4 2 7" xfId="41352" xr:uid="{00000000-0005-0000-0000-00000AAF0000}"/>
    <cellStyle name="Percent 5 2 4 3" xfId="22195" xr:uid="{00000000-0005-0000-0000-00000BAF0000}"/>
    <cellStyle name="Percent 5 2 4 3 2" xfId="22196" xr:uid="{00000000-0005-0000-0000-00000CAF0000}"/>
    <cellStyle name="Percent 5 2 4 3 2 2" xfId="45464" xr:uid="{00000000-0005-0000-0000-00000DAF0000}"/>
    <cellStyle name="Percent 5 2 4 3 3" xfId="22197" xr:uid="{00000000-0005-0000-0000-00000EAF0000}"/>
    <cellStyle name="Percent 5 2 4 3 3 2" xfId="45465" xr:uid="{00000000-0005-0000-0000-00000FAF0000}"/>
    <cellStyle name="Percent 5 2 4 3 4" xfId="45463" xr:uid="{00000000-0005-0000-0000-000010AF0000}"/>
    <cellStyle name="Percent 5 2 4 4" xfId="22198" xr:uid="{00000000-0005-0000-0000-000011AF0000}"/>
    <cellStyle name="Percent 5 2 4 4 2" xfId="22199" xr:uid="{00000000-0005-0000-0000-000012AF0000}"/>
    <cellStyle name="Percent 5 2 4 4 2 2" xfId="45467" xr:uid="{00000000-0005-0000-0000-000013AF0000}"/>
    <cellStyle name="Percent 5 2 4 4 3" xfId="45466" xr:uid="{00000000-0005-0000-0000-000014AF0000}"/>
    <cellStyle name="Percent 5 2 4 5" xfId="22200" xr:uid="{00000000-0005-0000-0000-000015AF0000}"/>
    <cellStyle name="Percent 5 2 4 5 2" xfId="45468" xr:uid="{00000000-0005-0000-0000-000016AF0000}"/>
    <cellStyle name="Percent 5 2 4 6" xfId="22201" xr:uid="{00000000-0005-0000-0000-000017AF0000}"/>
    <cellStyle name="Percent 5 2 4 6 2" xfId="45469" xr:uid="{00000000-0005-0000-0000-000018AF0000}"/>
    <cellStyle name="Percent 5 2 4 7" xfId="22202" xr:uid="{00000000-0005-0000-0000-000019AF0000}"/>
    <cellStyle name="Percent 5 2 4 7 2" xfId="45470" xr:uid="{00000000-0005-0000-0000-00001AAF0000}"/>
    <cellStyle name="Percent 5 2 4 8" xfId="41162" xr:uid="{00000000-0005-0000-0000-00001BAF0000}"/>
    <cellStyle name="Percent 5 2 5" xfId="17738" xr:uid="{00000000-0005-0000-0000-00001CAF0000}"/>
    <cellStyle name="Percent 5 2 5 2" xfId="17970" xr:uid="{00000000-0005-0000-0000-00001DAF0000}"/>
    <cellStyle name="Percent 5 2 5 2 2" xfId="22203" xr:uid="{00000000-0005-0000-0000-00001EAF0000}"/>
    <cellStyle name="Percent 5 2 5 2 2 2" xfId="22204" xr:uid="{00000000-0005-0000-0000-00001FAF0000}"/>
    <cellStyle name="Percent 5 2 5 2 2 2 2" xfId="45472" xr:uid="{00000000-0005-0000-0000-000020AF0000}"/>
    <cellStyle name="Percent 5 2 5 2 2 3" xfId="22205" xr:uid="{00000000-0005-0000-0000-000021AF0000}"/>
    <cellStyle name="Percent 5 2 5 2 2 3 2" xfId="45473" xr:uid="{00000000-0005-0000-0000-000022AF0000}"/>
    <cellStyle name="Percent 5 2 5 2 2 4" xfId="45471" xr:uid="{00000000-0005-0000-0000-000023AF0000}"/>
    <cellStyle name="Percent 5 2 5 2 3" xfId="22206" xr:uid="{00000000-0005-0000-0000-000024AF0000}"/>
    <cellStyle name="Percent 5 2 5 2 3 2" xfId="22207" xr:uid="{00000000-0005-0000-0000-000025AF0000}"/>
    <cellStyle name="Percent 5 2 5 2 3 2 2" xfId="45475" xr:uid="{00000000-0005-0000-0000-000026AF0000}"/>
    <cellStyle name="Percent 5 2 5 2 3 3" xfId="45474" xr:uid="{00000000-0005-0000-0000-000027AF0000}"/>
    <cellStyle name="Percent 5 2 5 2 4" xfId="22208" xr:uid="{00000000-0005-0000-0000-000028AF0000}"/>
    <cellStyle name="Percent 5 2 5 2 4 2" xfId="45476" xr:uid="{00000000-0005-0000-0000-000029AF0000}"/>
    <cellStyle name="Percent 5 2 5 2 5" xfId="22209" xr:uid="{00000000-0005-0000-0000-00002AAF0000}"/>
    <cellStyle name="Percent 5 2 5 2 5 2" xfId="45477" xr:uid="{00000000-0005-0000-0000-00002BAF0000}"/>
    <cellStyle name="Percent 5 2 5 2 6" xfId="22210" xr:uid="{00000000-0005-0000-0000-00002CAF0000}"/>
    <cellStyle name="Percent 5 2 5 2 6 2" xfId="45478" xr:uid="{00000000-0005-0000-0000-00002DAF0000}"/>
    <cellStyle name="Percent 5 2 5 2 7" xfId="41430" xr:uid="{00000000-0005-0000-0000-00002EAF0000}"/>
    <cellStyle name="Percent 5 2 5 3" xfId="22211" xr:uid="{00000000-0005-0000-0000-00002FAF0000}"/>
    <cellStyle name="Percent 5 2 5 3 2" xfId="22212" xr:uid="{00000000-0005-0000-0000-000030AF0000}"/>
    <cellStyle name="Percent 5 2 5 3 2 2" xfId="45480" xr:uid="{00000000-0005-0000-0000-000031AF0000}"/>
    <cellStyle name="Percent 5 2 5 3 3" xfId="22213" xr:uid="{00000000-0005-0000-0000-000032AF0000}"/>
    <cellStyle name="Percent 5 2 5 3 3 2" xfId="45481" xr:uid="{00000000-0005-0000-0000-000033AF0000}"/>
    <cellStyle name="Percent 5 2 5 3 4" xfId="45479" xr:uid="{00000000-0005-0000-0000-000034AF0000}"/>
    <cellStyle name="Percent 5 2 5 4" xfId="22214" xr:uid="{00000000-0005-0000-0000-000035AF0000}"/>
    <cellStyle name="Percent 5 2 5 4 2" xfId="22215" xr:uid="{00000000-0005-0000-0000-000036AF0000}"/>
    <cellStyle name="Percent 5 2 5 4 2 2" xfId="45483" xr:uid="{00000000-0005-0000-0000-000037AF0000}"/>
    <cellStyle name="Percent 5 2 5 4 3" xfId="45482" xr:uid="{00000000-0005-0000-0000-000038AF0000}"/>
    <cellStyle name="Percent 5 2 5 5" xfId="22216" xr:uid="{00000000-0005-0000-0000-000039AF0000}"/>
    <cellStyle name="Percent 5 2 5 5 2" xfId="45484" xr:uid="{00000000-0005-0000-0000-00003AAF0000}"/>
    <cellStyle name="Percent 5 2 5 6" xfId="22217" xr:uid="{00000000-0005-0000-0000-00003BAF0000}"/>
    <cellStyle name="Percent 5 2 5 6 2" xfId="45485" xr:uid="{00000000-0005-0000-0000-00003CAF0000}"/>
    <cellStyle name="Percent 5 2 5 7" xfId="22218" xr:uid="{00000000-0005-0000-0000-00003DAF0000}"/>
    <cellStyle name="Percent 5 2 5 7 2" xfId="45486" xr:uid="{00000000-0005-0000-0000-00003EAF0000}"/>
    <cellStyle name="Percent 5 2 5 8" xfId="41198" xr:uid="{00000000-0005-0000-0000-00003FAF0000}"/>
    <cellStyle name="Percent 5 2 6" xfId="17815" xr:uid="{00000000-0005-0000-0000-000040AF0000}"/>
    <cellStyle name="Percent 5 2 6 2" xfId="22219" xr:uid="{00000000-0005-0000-0000-000041AF0000}"/>
    <cellStyle name="Percent 5 2 6 2 2" xfId="22220" xr:uid="{00000000-0005-0000-0000-000042AF0000}"/>
    <cellStyle name="Percent 5 2 6 2 2 2" xfId="45488" xr:uid="{00000000-0005-0000-0000-000043AF0000}"/>
    <cellStyle name="Percent 5 2 6 2 3" xfId="22221" xr:uid="{00000000-0005-0000-0000-000044AF0000}"/>
    <cellStyle name="Percent 5 2 6 2 3 2" xfId="45489" xr:uid="{00000000-0005-0000-0000-000045AF0000}"/>
    <cellStyle name="Percent 5 2 6 2 4" xfId="45487" xr:uid="{00000000-0005-0000-0000-000046AF0000}"/>
    <cellStyle name="Percent 5 2 6 3" xfId="22222" xr:uid="{00000000-0005-0000-0000-000047AF0000}"/>
    <cellStyle name="Percent 5 2 6 3 2" xfId="22223" xr:uid="{00000000-0005-0000-0000-000048AF0000}"/>
    <cellStyle name="Percent 5 2 6 3 2 2" xfId="45491" xr:uid="{00000000-0005-0000-0000-000049AF0000}"/>
    <cellStyle name="Percent 5 2 6 3 3" xfId="45490" xr:uid="{00000000-0005-0000-0000-00004AAF0000}"/>
    <cellStyle name="Percent 5 2 6 4" xfId="22224" xr:uid="{00000000-0005-0000-0000-00004BAF0000}"/>
    <cellStyle name="Percent 5 2 6 4 2" xfId="45492" xr:uid="{00000000-0005-0000-0000-00004CAF0000}"/>
    <cellStyle name="Percent 5 2 6 5" xfId="22225" xr:uid="{00000000-0005-0000-0000-00004DAF0000}"/>
    <cellStyle name="Percent 5 2 6 5 2" xfId="45493" xr:uid="{00000000-0005-0000-0000-00004EAF0000}"/>
    <cellStyle name="Percent 5 2 6 6" xfId="22226" xr:uid="{00000000-0005-0000-0000-00004FAF0000}"/>
    <cellStyle name="Percent 5 2 6 6 2" xfId="45494" xr:uid="{00000000-0005-0000-0000-000050AF0000}"/>
    <cellStyle name="Percent 5 2 6 7" xfId="41275" xr:uid="{00000000-0005-0000-0000-000051AF0000}"/>
    <cellStyle name="Percent 5 2 7" xfId="22227" xr:uid="{00000000-0005-0000-0000-000052AF0000}"/>
    <cellStyle name="Percent 5 2 7 2" xfId="22228" xr:uid="{00000000-0005-0000-0000-000053AF0000}"/>
    <cellStyle name="Percent 5 2 7 2 2" xfId="45496" xr:uid="{00000000-0005-0000-0000-000054AF0000}"/>
    <cellStyle name="Percent 5 2 7 3" xfId="22229" xr:uid="{00000000-0005-0000-0000-000055AF0000}"/>
    <cellStyle name="Percent 5 2 7 3 2" xfId="45497" xr:uid="{00000000-0005-0000-0000-000056AF0000}"/>
    <cellStyle name="Percent 5 2 7 4" xfId="45495" xr:uid="{00000000-0005-0000-0000-000057AF0000}"/>
    <cellStyle name="Percent 5 2 8" xfId="22230" xr:uid="{00000000-0005-0000-0000-000058AF0000}"/>
    <cellStyle name="Percent 5 2 8 2" xfId="22231" xr:uid="{00000000-0005-0000-0000-000059AF0000}"/>
    <cellStyle name="Percent 5 2 8 2 2" xfId="45499" xr:uid="{00000000-0005-0000-0000-00005AAF0000}"/>
    <cellStyle name="Percent 5 2 8 3" xfId="45498" xr:uid="{00000000-0005-0000-0000-00005BAF0000}"/>
    <cellStyle name="Percent 5 2 9" xfId="22232" xr:uid="{00000000-0005-0000-0000-00005CAF0000}"/>
    <cellStyle name="Percent 5 2 9 2" xfId="45500" xr:uid="{00000000-0005-0000-0000-00005DAF0000}"/>
    <cellStyle name="Percent 5 3" xfId="164" xr:uid="{00000000-0005-0000-0000-00005EAF0000}"/>
    <cellStyle name="Percent 5 3 10" xfId="23705" xr:uid="{00000000-0005-0000-0000-00005FAF0000}"/>
    <cellStyle name="Percent 5 3 2" xfId="17667" xr:uid="{00000000-0005-0000-0000-000060AF0000}"/>
    <cellStyle name="Percent 5 3 2 2" xfId="17903" xr:uid="{00000000-0005-0000-0000-000061AF0000}"/>
    <cellStyle name="Percent 5 3 2 2 2" xfId="22233" xr:uid="{00000000-0005-0000-0000-000062AF0000}"/>
    <cellStyle name="Percent 5 3 2 2 2 2" xfId="22234" xr:uid="{00000000-0005-0000-0000-000063AF0000}"/>
    <cellStyle name="Percent 5 3 2 2 2 2 2" xfId="45502" xr:uid="{00000000-0005-0000-0000-000064AF0000}"/>
    <cellStyle name="Percent 5 3 2 2 2 3" xfId="22235" xr:uid="{00000000-0005-0000-0000-000065AF0000}"/>
    <cellStyle name="Percent 5 3 2 2 2 3 2" xfId="45503" xr:uid="{00000000-0005-0000-0000-000066AF0000}"/>
    <cellStyle name="Percent 5 3 2 2 2 4" xfId="45501" xr:uid="{00000000-0005-0000-0000-000067AF0000}"/>
    <cellStyle name="Percent 5 3 2 2 3" xfId="22236" xr:uid="{00000000-0005-0000-0000-000068AF0000}"/>
    <cellStyle name="Percent 5 3 2 2 3 2" xfId="22237" xr:uid="{00000000-0005-0000-0000-000069AF0000}"/>
    <cellStyle name="Percent 5 3 2 2 3 2 2" xfId="45505" xr:uid="{00000000-0005-0000-0000-00006AAF0000}"/>
    <cellStyle name="Percent 5 3 2 2 3 3" xfId="45504" xr:uid="{00000000-0005-0000-0000-00006BAF0000}"/>
    <cellStyle name="Percent 5 3 2 2 4" xfId="22238" xr:uid="{00000000-0005-0000-0000-00006CAF0000}"/>
    <cellStyle name="Percent 5 3 2 2 4 2" xfId="45506" xr:uid="{00000000-0005-0000-0000-00006DAF0000}"/>
    <cellStyle name="Percent 5 3 2 2 5" xfId="22239" xr:uid="{00000000-0005-0000-0000-00006EAF0000}"/>
    <cellStyle name="Percent 5 3 2 2 5 2" xfId="45507" xr:uid="{00000000-0005-0000-0000-00006FAF0000}"/>
    <cellStyle name="Percent 5 3 2 2 6" xfId="22240" xr:uid="{00000000-0005-0000-0000-000070AF0000}"/>
    <cellStyle name="Percent 5 3 2 2 6 2" xfId="45508" xr:uid="{00000000-0005-0000-0000-000071AF0000}"/>
    <cellStyle name="Percent 5 3 2 2 7" xfId="41363" xr:uid="{00000000-0005-0000-0000-000072AF0000}"/>
    <cellStyle name="Percent 5 3 2 3" xfId="22241" xr:uid="{00000000-0005-0000-0000-000073AF0000}"/>
    <cellStyle name="Percent 5 3 2 3 2" xfId="22242" xr:uid="{00000000-0005-0000-0000-000074AF0000}"/>
    <cellStyle name="Percent 5 3 2 3 2 2" xfId="45510" xr:uid="{00000000-0005-0000-0000-000075AF0000}"/>
    <cellStyle name="Percent 5 3 2 3 3" xfId="22243" xr:uid="{00000000-0005-0000-0000-000076AF0000}"/>
    <cellStyle name="Percent 5 3 2 3 3 2" xfId="45511" xr:uid="{00000000-0005-0000-0000-000077AF0000}"/>
    <cellStyle name="Percent 5 3 2 3 4" xfId="45509" xr:uid="{00000000-0005-0000-0000-000078AF0000}"/>
    <cellStyle name="Percent 5 3 2 4" xfId="22244" xr:uid="{00000000-0005-0000-0000-000079AF0000}"/>
    <cellStyle name="Percent 5 3 2 4 2" xfId="22245" xr:uid="{00000000-0005-0000-0000-00007AAF0000}"/>
    <cellStyle name="Percent 5 3 2 4 2 2" xfId="45513" xr:uid="{00000000-0005-0000-0000-00007BAF0000}"/>
    <cellStyle name="Percent 5 3 2 4 3" xfId="45512" xr:uid="{00000000-0005-0000-0000-00007CAF0000}"/>
    <cellStyle name="Percent 5 3 2 5" xfId="22246" xr:uid="{00000000-0005-0000-0000-00007DAF0000}"/>
    <cellStyle name="Percent 5 3 2 5 2" xfId="45514" xr:uid="{00000000-0005-0000-0000-00007EAF0000}"/>
    <cellStyle name="Percent 5 3 2 6" xfId="22247" xr:uid="{00000000-0005-0000-0000-00007FAF0000}"/>
    <cellStyle name="Percent 5 3 2 6 2" xfId="45515" xr:uid="{00000000-0005-0000-0000-000080AF0000}"/>
    <cellStyle name="Percent 5 3 2 7" xfId="22248" xr:uid="{00000000-0005-0000-0000-000081AF0000}"/>
    <cellStyle name="Percent 5 3 2 7 2" xfId="45516" xr:uid="{00000000-0005-0000-0000-000082AF0000}"/>
    <cellStyle name="Percent 5 3 2 8" xfId="41133" xr:uid="{00000000-0005-0000-0000-000083AF0000}"/>
    <cellStyle name="Percent 5 3 3" xfId="17766" xr:uid="{00000000-0005-0000-0000-000084AF0000}"/>
    <cellStyle name="Percent 5 3 3 2" xfId="18000" xr:uid="{00000000-0005-0000-0000-000085AF0000}"/>
    <cellStyle name="Percent 5 3 3 2 2" xfId="22249" xr:uid="{00000000-0005-0000-0000-000086AF0000}"/>
    <cellStyle name="Percent 5 3 3 2 2 2" xfId="22250" xr:uid="{00000000-0005-0000-0000-000087AF0000}"/>
    <cellStyle name="Percent 5 3 3 2 2 2 2" xfId="45518" xr:uid="{00000000-0005-0000-0000-000088AF0000}"/>
    <cellStyle name="Percent 5 3 3 2 2 3" xfId="22251" xr:uid="{00000000-0005-0000-0000-000089AF0000}"/>
    <cellStyle name="Percent 5 3 3 2 2 3 2" xfId="45519" xr:uid="{00000000-0005-0000-0000-00008AAF0000}"/>
    <cellStyle name="Percent 5 3 3 2 2 4" xfId="45517" xr:uid="{00000000-0005-0000-0000-00008BAF0000}"/>
    <cellStyle name="Percent 5 3 3 2 3" xfId="22252" xr:uid="{00000000-0005-0000-0000-00008CAF0000}"/>
    <cellStyle name="Percent 5 3 3 2 3 2" xfId="22253" xr:uid="{00000000-0005-0000-0000-00008DAF0000}"/>
    <cellStyle name="Percent 5 3 3 2 3 2 2" xfId="45521" xr:uid="{00000000-0005-0000-0000-00008EAF0000}"/>
    <cellStyle name="Percent 5 3 3 2 3 3" xfId="45520" xr:uid="{00000000-0005-0000-0000-00008FAF0000}"/>
    <cellStyle name="Percent 5 3 3 2 4" xfId="22254" xr:uid="{00000000-0005-0000-0000-000090AF0000}"/>
    <cellStyle name="Percent 5 3 3 2 4 2" xfId="45522" xr:uid="{00000000-0005-0000-0000-000091AF0000}"/>
    <cellStyle name="Percent 5 3 3 2 5" xfId="22255" xr:uid="{00000000-0005-0000-0000-000092AF0000}"/>
    <cellStyle name="Percent 5 3 3 2 5 2" xfId="45523" xr:uid="{00000000-0005-0000-0000-000093AF0000}"/>
    <cellStyle name="Percent 5 3 3 2 6" xfId="22256" xr:uid="{00000000-0005-0000-0000-000094AF0000}"/>
    <cellStyle name="Percent 5 3 3 2 6 2" xfId="45524" xr:uid="{00000000-0005-0000-0000-000095AF0000}"/>
    <cellStyle name="Percent 5 3 3 2 7" xfId="41460" xr:uid="{00000000-0005-0000-0000-000096AF0000}"/>
    <cellStyle name="Percent 5 3 3 3" xfId="22257" xr:uid="{00000000-0005-0000-0000-000097AF0000}"/>
    <cellStyle name="Percent 5 3 3 3 2" xfId="22258" xr:uid="{00000000-0005-0000-0000-000098AF0000}"/>
    <cellStyle name="Percent 5 3 3 3 2 2" xfId="45526" xr:uid="{00000000-0005-0000-0000-000099AF0000}"/>
    <cellStyle name="Percent 5 3 3 3 3" xfId="22259" xr:uid="{00000000-0005-0000-0000-00009AAF0000}"/>
    <cellStyle name="Percent 5 3 3 3 3 2" xfId="45527" xr:uid="{00000000-0005-0000-0000-00009BAF0000}"/>
    <cellStyle name="Percent 5 3 3 3 4" xfId="45525" xr:uid="{00000000-0005-0000-0000-00009CAF0000}"/>
    <cellStyle name="Percent 5 3 3 4" xfId="22260" xr:uid="{00000000-0005-0000-0000-00009DAF0000}"/>
    <cellStyle name="Percent 5 3 3 4 2" xfId="22261" xr:uid="{00000000-0005-0000-0000-00009EAF0000}"/>
    <cellStyle name="Percent 5 3 3 4 2 2" xfId="45529" xr:uid="{00000000-0005-0000-0000-00009FAF0000}"/>
    <cellStyle name="Percent 5 3 3 4 3" xfId="45528" xr:uid="{00000000-0005-0000-0000-0000A0AF0000}"/>
    <cellStyle name="Percent 5 3 3 5" xfId="22262" xr:uid="{00000000-0005-0000-0000-0000A1AF0000}"/>
    <cellStyle name="Percent 5 3 3 5 2" xfId="45530" xr:uid="{00000000-0005-0000-0000-0000A2AF0000}"/>
    <cellStyle name="Percent 5 3 3 6" xfId="22263" xr:uid="{00000000-0005-0000-0000-0000A3AF0000}"/>
    <cellStyle name="Percent 5 3 3 6 2" xfId="45531" xr:uid="{00000000-0005-0000-0000-0000A4AF0000}"/>
    <cellStyle name="Percent 5 3 3 7" xfId="22264" xr:uid="{00000000-0005-0000-0000-0000A5AF0000}"/>
    <cellStyle name="Percent 5 3 3 7 2" xfId="45532" xr:uid="{00000000-0005-0000-0000-0000A6AF0000}"/>
    <cellStyle name="Percent 5 3 3 8" xfId="41226" xr:uid="{00000000-0005-0000-0000-0000A7AF0000}"/>
    <cellStyle name="Percent 5 3 4" xfId="17826" xr:uid="{00000000-0005-0000-0000-0000A8AF0000}"/>
    <cellStyle name="Percent 5 3 4 2" xfId="22265" xr:uid="{00000000-0005-0000-0000-0000A9AF0000}"/>
    <cellStyle name="Percent 5 3 4 2 2" xfId="22266" xr:uid="{00000000-0005-0000-0000-0000AAAF0000}"/>
    <cellStyle name="Percent 5 3 4 2 2 2" xfId="45534" xr:uid="{00000000-0005-0000-0000-0000ABAF0000}"/>
    <cellStyle name="Percent 5 3 4 2 3" xfId="22267" xr:uid="{00000000-0005-0000-0000-0000ACAF0000}"/>
    <cellStyle name="Percent 5 3 4 2 3 2" xfId="45535" xr:uid="{00000000-0005-0000-0000-0000ADAF0000}"/>
    <cellStyle name="Percent 5 3 4 2 4" xfId="45533" xr:uid="{00000000-0005-0000-0000-0000AEAF0000}"/>
    <cellStyle name="Percent 5 3 4 3" xfId="22268" xr:uid="{00000000-0005-0000-0000-0000AFAF0000}"/>
    <cellStyle name="Percent 5 3 4 3 2" xfId="22269" xr:uid="{00000000-0005-0000-0000-0000B0AF0000}"/>
    <cellStyle name="Percent 5 3 4 3 2 2" xfId="45537" xr:uid="{00000000-0005-0000-0000-0000B1AF0000}"/>
    <cellStyle name="Percent 5 3 4 3 3" xfId="45536" xr:uid="{00000000-0005-0000-0000-0000B2AF0000}"/>
    <cellStyle name="Percent 5 3 4 4" xfId="22270" xr:uid="{00000000-0005-0000-0000-0000B3AF0000}"/>
    <cellStyle name="Percent 5 3 4 4 2" xfId="45538" xr:uid="{00000000-0005-0000-0000-0000B4AF0000}"/>
    <cellStyle name="Percent 5 3 4 5" xfId="22271" xr:uid="{00000000-0005-0000-0000-0000B5AF0000}"/>
    <cellStyle name="Percent 5 3 4 5 2" xfId="45539" xr:uid="{00000000-0005-0000-0000-0000B6AF0000}"/>
    <cellStyle name="Percent 5 3 4 6" xfId="22272" xr:uid="{00000000-0005-0000-0000-0000B7AF0000}"/>
    <cellStyle name="Percent 5 3 4 6 2" xfId="45540" xr:uid="{00000000-0005-0000-0000-0000B8AF0000}"/>
    <cellStyle name="Percent 5 3 4 7" xfId="41286" xr:uid="{00000000-0005-0000-0000-0000B9AF0000}"/>
    <cellStyle name="Percent 5 3 5" xfId="22273" xr:uid="{00000000-0005-0000-0000-0000BAAF0000}"/>
    <cellStyle name="Percent 5 3 5 2" xfId="22274" xr:uid="{00000000-0005-0000-0000-0000BBAF0000}"/>
    <cellStyle name="Percent 5 3 5 2 2" xfId="45542" xr:uid="{00000000-0005-0000-0000-0000BCAF0000}"/>
    <cellStyle name="Percent 5 3 5 3" xfId="22275" xr:uid="{00000000-0005-0000-0000-0000BDAF0000}"/>
    <cellStyle name="Percent 5 3 5 3 2" xfId="45543" xr:uid="{00000000-0005-0000-0000-0000BEAF0000}"/>
    <cellStyle name="Percent 5 3 5 4" xfId="45541" xr:uid="{00000000-0005-0000-0000-0000BFAF0000}"/>
    <cellStyle name="Percent 5 3 6" xfId="22276" xr:uid="{00000000-0005-0000-0000-0000C0AF0000}"/>
    <cellStyle name="Percent 5 3 6 2" xfId="22277" xr:uid="{00000000-0005-0000-0000-0000C1AF0000}"/>
    <cellStyle name="Percent 5 3 6 2 2" xfId="45545" xr:uid="{00000000-0005-0000-0000-0000C2AF0000}"/>
    <cellStyle name="Percent 5 3 6 3" xfId="45544" xr:uid="{00000000-0005-0000-0000-0000C3AF0000}"/>
    <cellStyle name="Percent 5 3 7" xfId="22278" xr:uid="{00000000-0005-0000-0000-0000C4AF0000}"/>
    <cellStyle name="Percent 5 3 7 2" xfId="45546" xr:uid="{00000000-0005-0000-0000-0000C5AF0000}"/>
    <cellStyle name="Percent 5 3 8" xfId="22279" xr:uid="{00000000-0005-0000-0000-0000C6AF0000}"/>
    <cellStyle name="Percent 5 3 8 2" xfId="45547" xr:uid="{00000000-0005-0000-0000-0000C7AF0000}"/>
    <cellStyle name="Percent 5 3 9" xfId="22280" xr:uid="{00000000-0005-0000-0000-0000C8AF0000}"/>
    <cellStyle name="Percent 5 3 9 2" xfId="45548" xr:uid="{00000000-0005-0000-0000-0000C9AF0000}"/>
    <cellStyle name="Percent 5 4" xfId="17668" xr:uid="{00000000-0005-0000-0000-0000CAAF0000}"/>
    <cellStyle name="Percent 5 4 10" xfId="41134" xr:uid="{00000000-0005-0000-0000-0000CBAF0000}"/>
    <cellStyle name="Percent 5 4 2" xfId="17669" xr:uid="{00000000-0005-0000-0000-0000CCAF0000}"/>
    <cellStyle name="Percent 5 4 2 2" xfId="17928" xr:uid="{00000000-0005-0000-0000-0000CDAF0000}"/>
    <cellStyle name="Percent 5 4 2 2 2" xfId="22281" xr:uid="{00000000-0005-0000-0000-0000CEAF0000}"/>
    <cellStyle name="Percent 5 4 2 2 2 2" xfId="22282" xr:uid="{00000000-0005-0000-0000-0000CFAF0000}"/>
    <cellStyle name="Percent 5 4 2 2 2 2 2" xfId="45550" xr:uid="{00000000-0005-0000-0000-0000D0AF0000}"/>
    <cellStyle name="Percent 5 4 2 2 2 3" xfId="22283" xr:uid="{00000000-0005-0000-0000-0000D1AF0000}"/>
    <cellStyle name="Percent 5 4 2 2 2 3 2" xfId="45551" xr:uid="{00000000-0005-0000-0000-0000D2AF0000}"/>
    <cellStyle name="Percent 5 4 2 2 2 4" xfId="45549" xr:uid="{00000000-0005-0000-0000-0000D3AF0000}"/>
    <cellStyle name="Percent 5 4 2 2 3" xfId="22284" xr:uid="{00000000-0005-0000-0000-0000D4AF0000}"/>
    <cellStyle name="Percent 5 4 2 2 3 2" xfId="22285" xr:uid="{00000000-0005-0000-0000-0000D5AF0000}"/>
    <cellStyle name="Percent 5 4 2 2 3 2 2" xfId="45553" xr:uid="{00000000-0005-0000-0000-0000D6AF0000}"/>
    <cellStyle name="Percent 5 4 2 2 3 3" xfId="45552" xr:uid="{00000000-0005-0000-0000-0000D7AF0000}"/>
    <cellStyle name="Percent 5 4 2 2 4" xfId="22286" xr:uid="{00000000-0005-0000-0000-0000D8AF0000}"/>
    <cellStyle name="Percent 5 4 2 2 4 2" xfId="45554" xr:uid="{00000000-0005-0000-0000-0000D9AF0000}"/>
    <cellStyle name="Percent 5 4 2 2 5" xfId="22287" xr:uid="{00000000-0005-0000-0000-0000DAAF0000}"/>
    <cellStyle name="Percent 5 4 2 2 5 2" xfId="45555" xr:uid="{00000000-0005-0000-0000-0000DBAF0000}"/>
    <cellStyle name="Percent 5 4 2 2 6" xfId="22288" xr:uid="{00000000-0005-0000-0000-0000DCAF0000}"/>
    <cellStyle name="Percent 5 4 2 2 6 2" xfId="45556" xr:uid="{00000000-0005-0000-0000-0000DDAF0000}"/>
    <cellStyle name="Percent 5 4 2 2 7" xfId="41388" xr:uid="{00000000-0005-0000-0000-0000DEAF0000}"/>
    <cellStyle name="Percent 5 4 2 3" xfId="22289" xr:uid="{00000000-0005-0000-0000-0000DFAF0000}"/>
    <cellStyle name="Percent 5 4 2 3 2" xfId="22290" xr:uid="{00000000-0005-0000-0000-0000E0AF0000}"/>
    <cellStyle name="Percent 5 4 2 3 2 2" xfId="45558" xr:uid="{00000000-0005-0000-0000-0000E1AF0000}"/>
    <cellStyle name="Percent 5 4 2 3 3" xfId="22291" xr:uid="{00000000-0005-0000-0000-0000E2AF0000}"/>
    <cellStyle name="Percent 5 4 2 3 3 2" xfId="45559" xr:uid="{00000000-0005-0000-0000-0000E3AF0000}"/>
    <cellStyle name="Percent 5 4 2 3 4" xfId="45557" xr:uid="{00000000-0005-0000-0000-0000E4AF0000}"/>
    <cellStyle name="Percent 5 4 2 4" xfId="22292" xr:uid="{00000000-0005-0000-0000-0000E5AF0000}"/>
    <cellStyle name="Percent 5 4 2 4 2" xfId="22293" xr:uid="{00000000-0005-0000-0000-0000E6AF0000}"/>
    <cellStyle name="Percent 5 4 2 4 2 2" xfId="45561" xr:uid="{00000000-0005-0000-0000-0000E7AF0000}"/>
    <cellStyle name="Percent 5 4 2 4 3" xfId="45560" xr:uid="{00000000-0005-0000-0000-0000E8AF0000}"/>
    <cellStyle name="Percent 5 4 2 5" xfId="22294" xr:uid="{00000000-0005-0000-0000-0000E9AF0000}"/>
    <cellStyle name="Percent 5 4 2 5 2" xfId="45562" xr:uid="{00000000-0005-0000-0000-0000EAAF0000}"/>
    <cellStyle name="Percent 5 4 2 6" xfId="22295" xr:uid="{00000000-0005-0000-0000-0000EBAF0000}"/>
    <cellStyle name="Percent 5 4 2 6 2" xfId="45563" xr:uid="{00000000-0005-0000-0000-0000ECAF0000}"/>
    <cellStyle name="Percent 5 4 2 7" xfId="22296" xr:uid="{00000000-0005-0000-0000-0000EDAF0000}"/>
    <cellStyle name="Percent 5 4 2 7 2" xfId="45564" xr:uid="{00000000-0005-0000-0000-0000EEAF0000}"/>
    <cellStyle name="Percent 5 4 2 8" xfId="41135" xr:uid="{00000000-0005-0000-0000-0000EFAF0000}"/>
    <cellStyle name="Percent 5 4 3" xfId="17790" xr:uid="{00000000-0005-0000-0000-0000F0AF0000}"/>
    <cellStyle name="Percent 5 4 3 2" xfId="18026" xr:uid="{00000000-0005-0000-0000-0000F1AF0000}"/>
    <cellStyle name="Percent 5 4 3 2 2" xfId="22297" xr:uid="{00000000-0005-0000-0000-0000F2AF0000}"/>
    <cellStyle name="Percent 5 4 3 2 2 2" xfId="22298" xr:uid="{00000000-0005-0000-0000-0000F3AF0000}"/>
    <cellStyle name="Percent 5 4 3 2 2 2 2" xfId="45566" xr:uid="{00000000-0005-0000-0000-0000F4AF0000}"/>
    <cellStyle name="Percent 5 4 3 2 2 3" xfId="22299" xr:uid="{00000000-0005-0000-0000-0000F5AF0000}"/>
    <cellStyle name="Percent 5 4 3 2 2 3 2" xfId="45567" xr:uid="{00000000-0005-0000-0000-0000F6AF0000}"/>
    <cellStyle name="Percent 5 4 3 2 2 4" xfId="45565" xr:uid="{00000000-0005-0000-0000-0000F7AF0000}"/>
    <cellStyle name="Percent 5 4 3 2 3" xfId="22300" xr:uid="{00000000-0005-0000-0000-0000F8AF0000}"/>
    <cellStyle name="Percent 5 4 3 2 3 2" xfId="22301" xr:uid="{00000000-0005-0000-0000-0000F9AF0000}"/>
    <cellStyle name="Percent 5 4 3 2 3 2 2" xfId="45569" xr:uid="{00000000-0005-0000-0000-0000FAAF0000}"/>
    <cellStyle name="Percent 5 4 3 2 3 3" xfId="45568" xr:uid="{00000000-0005-0000-0000-0000FBAF0000}"/>
    <cellStyle name="Percent 5 4 3 2 4" xfId="22302" xr:uid="{00000000-0005-0000-0000-0000FCAF0000}"/>
    <cellStyle name="Percent 5 4 3 2 4 2" xfId="45570" xr:uid="{00000000-0005-0000-0000-0000FDAF0000}"/>
    <cellStyle name="Percent 5 4 3 2 5" xfId="22303" xr:uid="{00000000-0005-0000-0000-0000FEAF0000}"/>
    <cellStyle name="Percent 5 4 3 2 5 2" xfId="45571" xr:uid="{00000000-0005-0000-0000-0000FFAF0000}"/>
    <cellStyle name="Percent 5 4 3 2 6" xfId="22304" xr:uid="{00000000-0005-0000-0000-000000B00000}"/>
    <cellStyle name="Percent 5 4 3 2 6 2" xfId="45572" xr:uid="{00000000-0005-0000-0000-000001B00000}"/>
    <cellStyle name="Percent 5 4 3 2 7" xfId="41486" xr:uid="{00000000-0005-0000-0000-000002B00000}"/>
    <cellStyle name="Percent 5 4 3 3" xfId="22305" xr:uid="{00000000-0005-0000-0000-000003B00000}"/>
    <cellStyle name="Percent 5 4 3 3 2" xfId="22306" xr:uid="{00000000-0005-0000-0000-000004B00000}"/>
    <cellStyle name="Percent 5 4 3 3 2 2" xfId="45574" xr:uid="{00000000-0005-0000-0000-000005B00000}"/>
    <cellStyle name="Percent 5 4 3 3 3" xfId="22307" xr:uid="{00000000-0005-0000-0000-000006B00000}"/>
    <cellStyle name="Percent 5 4 3 3 3 2" xfId="45575" xr:uid="{00000000-0005-0000-0000-000007B00000}"/>
    <cellStyle name="Percent 5 4 3 3 4" xfId="45573" xr:uid="{00000000-0005-0000-0000-000008B00000}"/>
    <cellStyle name="Percent 5 4 3 4" xfId="22308" xr:uid="{00000000-0005-0000-0000-000009B00000}"/>
    <cellStyle name="Percent 5 4 3 4 2" xfId="22309" xr:uid="{00000000-0005-0000-0000-00000AB00000}"/>
    <cellStyle name="Percent 5 4 3 4 2 2" xfId="45577" xr:uid="{00000000-0005-0000-0000-00000BB00000}"/>
    <cellStyle name="Percent 5 4 3 4 3" xfId="45576" xr:uid="{00000000-0005-0000-0000-00000CB00000}"/>
    <cellStyle name="Percent 5 4 3 5" xfId="22310" xr:uid="{00000000-0005-0000-0000-00000DB00000}"/>
    <cellStyle name="Percent 5 4 3 5 2" xfId="45578" xr:uid="{00000000-0005-0000-0000-00000EB00000}"/>
    <cellStyle name="Percent 5 4 3 6" xfId="22311" xr:uid="{00000000-0005-0000-0000-00000FB00000}"/>
    <cellStyle name="Percent 5 4 3 6 2" xfId="45579" xr:uid="{00000000-0005-0000-0000-000010B00000}"/>
    <cellStyle name="Percent 5 4 3 7" xfId="22312" xr:uid="{00000000-0005-0000-0000-000011B00000}"/>
    <cellStyle name="Percent 5 4 3 7 2" xfId="45580" xr:uid="{00000000-0005-0000-0000-000012B00000}"/>
    <cellStyle name="Percent 5 4 3 8" xfId="41250" xr:uid="{00000000-0005-0000-0000-000013B00000}"/>
    <cellStyle name="Percent 5 4 4" xfId="17855" xr:uid="{00000000-0005-0000-0000-000014B00000}"/>
    <cellStyle name="Percent 5 4 4 2" xfId="22313" xr:uid="{00000000-0005-0000-0000-000015B00000}"/>
    <cellStyle name="Percent 5 4 4 2 2" xfId="22314" xr:uid="{00000000-0005-0000-0000-000016B00000}"/>
    <cellStyle name="Percent 5 4 4 2 2 2" xfId="45582" xr:uid="{00000000-0005-0000-0000-000017B00000}"/>
    <cellStyle name="Percent 5 4 4 2 3" xfId="22315" xr:uid="{00000000-0005-0000-0000-000018B00000}"/>
    <cellStyle name="Percent 5 4 4 2 3 2" xfId="45583" xr:uid="{00000000-0005-0000-0000-000019B00000}"/>
    <cellStyle name="Percent 5 4 4 2 4" xfId="45581" xr:uid="{00000000-0005-0000-0000-00001AB00000}"/>
    <cellStyle name="Percent 5 4 4 3" xfId="22316" xr:uid="{00000000-0005-0000-0000-00001BB00000}"/>
    <cellStyle name="Percent 5 4 4 3 2" xfId="22317" xr:uid="{00000000-0005-0000-0000-00001CB00000}"/>
    <cellStyle name="Percent 5 4 4 3 2 2" xfId="45585" xr:uid="{00000000-0005-0000-0000-00001DB00000}"/>
    <cellStyle name="Percent 5 4 4 3 3" xfId="45584" xr:uid="{00000000-0005-0000-0000-00001EB00000}"/>
    <cellStyle name="Percent 5 4 4 4" xfId="22318" xr:uid="{00000000-0005-0000-0000-00001FB00000}"/>
    <cellStyle name="Percent 5 4 4 4 2" xfId="45586" xr:uid="{00000000-0005-0000-0000-000020B00000}"/>
    <cellStyle name="Percent 5 4 4 5" xfId="22319" xr:uid="{00000000-0005-0000-0000-000021B00000}"/>
    <cellStyle name="Percent 5 4 4 5 2" xfId="45587" xr:uid="{00000000-0005-0000-0000-000022B00000}"/>
    <cellStyle name="Percent 5 4 4 6" xfId="22320" xr:uid="{00000000-0005-0000-0000-000023B00000}"/>
    <cellStyle name="Percent 5 4 4 6 2" xfId="45588" xr:uid="{00000000-0005-0000-0000-000024B00000}"/>
    <cellStyle name="Percent 5 4 4 7" xfId="41315" xr:uid="{00000000-0005-0000-0000-000025B00000}"/>
    <cellStyle name="Percent 5 4 5" xfId="22321" xr:uid="{00000000-0005-0000-0000-000026B00000}"/>
    <cellStyle name="Percent 5 4 5 2" xfId="22322" xr:uid="{00000000-0005-0000-0000-000027B00000}"/>
    <cellStyle name="Percent 5 4 5 2 2" xfId="45590" xr:uid="{00000000-0005-0000-0000-000028B00000}"/>
    <cellStyle name="Percent 5 4 5 3" xfId="22323" xr:uid="{00000000-0005-0000-0000-000029B00000}"/>
    <cellStyle name="Percent 5 4 5 3 2" xfId="45591" xr:uid="{00000000-0005-0000-0000-00002AB00000}"/>
    <cellStyle name="Percent 5 4 5 4" xfId="45589" xr:uid="{00000000-0005-0000-0000-00002BB00000}"/>
    <cellStyle name="Percent 5 4 6" xfId="22324" xr:uid="{00000000-0005-0000-0000-00002CB00000}"/>
    <cellStyle name="Percent 5 4 6 2" xfId="22325" xr:uid="{00000000-0005-0000-0000-00002DB00000}"/>
    <cellStyle name="Percent 5 4 6 2 2" xfId="45593" xr:uid="{00000000-0005-0000-0000-00002EB00000}"/>
    <cellStyle name="Percent 5 4 6 3" xfId="45592" xr:uid="{00000000-0005-0000-0000-00002FB00000}"/>
    <cellStyle name="Percent 5 4 7" xfId="22326" xr:uid="{00000000-0005-0000-0000-000030B00000}"/>
    <cellStyle name="Percent 5 4 7 2" xfId="45594" xr:uid="{00000000-0005-0000-0000-000031B00000}"/>
    <cellStyle name="Percent 5 4 8" xfId="22327" xr:uid="{00000000-0005-0000-0000-000032B00000}"/>
    <cellStyle name="Percent 5 4 8 2" xfId="45595" xr:uid="{00000000-0005-0000-0000-000033B00000}"/>
    <cellStyle name="Percent 5 4 9" xfId="22328" xr:uid="{00000000-0005-0000-0000-000034B00000}"/>
    <cellStyle name="Percent 5 4 9 2" xfId="45596" xr:uid="{00000000-0005-0000-0000-000035B00000}"/>
    <cellStyle name="Percent 5 5" xfId="17664" xr:uid="{00000000-0005-0000-0000-000036B00000}"/>
    <cellStyle name="Percent 5 5 2" xfId="17879" xr:uid="{00000000-0005-0000-0000-000037B00000}"/>
    <cellStyle name="Percent 5 5 2 2" xfId="22329" xr:uid="{00000000-0005-0000-0000-000038B00000}"/>
    <cellStyle name="Percent 5 5 2 2 2" xfId="22330" xr:uid="{00000000-0005-0000-0000-000039B00000}"/>
    <cellStyle name="Percent 5 5 2 2 2 2" xfId="45598" xr:uid="{00000000-0005-0000-0000-00003AB00000}"/>
    <cellStyle name="Percent 5 5 2 2 3" xfId="22331" xr:uid="{00000000-0005-0000-0000-00003BB00000}"/>
    <cellStyle name="Percent 5 5 2 2 3 2" xfId="45599" xr:uid="{00000000-0005-0000-0000-00003CB00000}"/>
    <cellStyle name="Percent 5 5 2 2 4" xfId="45597" xr:uid="{00000000-0005-0000-0000-00003DB00000}"/>
    <cellStyle name="Percent 5 5 2 3" xfId="22332" xr:uid="{00000000-0005-0000-0000-00003EB00000}"/>
    <cellStyle name="Percent 5 5 2 3 2" xfId="22333" xr:uid="{00000000-0005-0000-0000-00003FB00000}"/>
    <cellStyle name="Percent 5 5 2 3 2 2" xfId="45601" xr:uid="{00000000-0005-0000-0000-000040B00000}"/>
    <cellStyle name="Percent 5 5 2 3 3" xfId="45600" xr:uid="{00000000-0005-0000-0000-000041B00000}"/>
    <cellStyle name="Percent 5 5 2 4" xfId="22334" xr:uid="{00000000-0005-0000-0000-000042B00000}"/>
    <cellStyle name="Percent 5 5 2 4 2" xfId="45602" xr:uid="{00000000-0005-0000-0000-000043B00000}"/>
    <cellStyle name="Percent 5 5 2 5" xfId="22335" xr:uid="{00000000-0005-0000-0000-000044B00000}"/>
    <cellStyle name="Percent 5 5 2 5 2" xfId="45603" xr:uid="{00000000-0005-0000-0000-000045B00000}"/>
    <cellStyle name="Percent 5 5 2 6" xfId="22336" xr:uid="{00000000-0005-0000-0000-000046B00000}"/>
    <cellStyle name="Percent 5 5 2 6 2" xfId="45604" xr:uid="{00000000-0005-0000-0000-000047B00000}"/>
    <cellStyle name="Percent 5 5 2 7" xfId="41339" xr:uid="{00000000-0005-0000-0000-000048B00000}"/>
    <cellStyle name="Percent 5 5 3" xfId="22337" xr:uid="{00000000-0005-0000-0000-000049B00000}"/>
    <cellStyle name="Percent 5 5 3 2" xfId="22338" xr:uid="{00000000-0005-0000-0000-00004AB00000}"/>
    <cellStyle name="Percent 5 5 3 2 2" xfId="45606" xr:uid="{00000000-0005-0000-0000-00004BB00000}"/>
    <cellStyle name="Percent 5 5 3 3" xfId="22339" xr:uid="{00000000-0005-0000-0000-00004CB00000}"/>
    <cellStyle name="Percent 5 5 3 3 2" xfId="45607" xr:uid="{00000000-0005-0000-0000-00004DB00000}"/>
    <cellStyle name="Percent 5 5 3 4" xfId="45605" xr:uid="{00000000-0005-0000-0000-00004EB00000}"/>
    <cellStyle name="Percent 5 5 4" xfId="22340" xr:uid="{00000000-0005-0000-0000-00004FB00000}"/>
    <cellStyle name="Percent 5 5 4 2" xfId="22341" xr:uid="{00000000-0005-0000-0000-000050B00000}"/>
    <cellStyle name="Percent 5 5 4 2 2" xfId="45609" xr:uid="{00000000-0005-0000-0000-000051B00000}"/>
    <cellStyle name="Percent 5 5 4 3" xfId="45608" xr:uid="{00000000-0005-0000-0000-000052B00000}"/>
    <cellStyle name="Percent 5 5 5" xfId="22342" xr:uid="{00000000-0005-0000-0000-000053B00000}"/>
    <cellStyle name="Percent 5 5 5 2" xfId="45610" xr:uid="{00000000-0005-0000-0000-000054B00000}"/>
    <cellStyle name="Percent 5 5 6" xfId="22343" xr:uid="{00000000-0005-0000-0000-000055B00000}"/>
    <cellStyle name="Percent 5 5 6 2" xfId="45611" xr:uid="{00000000-0005-0000-0000-000056B00000}"/>
    <cellStyle name="Percent 5 5 7" xfId="22344" xr:uid="{00000000-0005-0000-0000-000057B00000}"/>
    <cellStyle name="Percent 5 5 7 2" xfId="45612" xr:uid="{00000000-0005-0000-0000-000058B00000}"/>
    <cellStyle name="Percent 5 5 8" xfId="17690" xr:uid="{00000000-0005-0000-0000-000059B00000}"/>
    <cellStyle name="Percent 5 5 8 2" xfId="41150" xr:uid="{00000000-0005-0000-0000-00005AB00000}"/>
    <cellStyle name="Percent 5 6" xfId="17723" xr:uid="{00000000-0005-0000-0000-00005BB00000}"/>
    <cellStyle name="Percent 5 6 2" xfId="17954" xr:uid="{00000000-0005-0000-0000-00005CB00000}"/>
    <cellStyle name="Percent 5 6 2 2" xfId="22345" xr:uid="{00000000-0005-0000-0000-00005DB00000}"/>
    <cellStyle name="Percent 5 6 2 2 2" xfId="22346" xr:uid="{00000000-0005-0000-0000-00005EB00000}"/>
    <cellStyle name="Percent 5 6 2 2 2 2" xfId="45614" xr:uid="{00000000-0005-0000-0000-00005FB00000}"/>
    <cellStyle name="Percent 5 6 2 2 3" xfId="22347" xr:uid="{00000000-0005-0000-0000-000060B00000}"/>
    <cellStyle name="Percent 5 6 2 2 3 2" xfId="45615" xr:uid="{00000000-0005-0000-0000-000061B00000}"/>
    <cellStyle name="Percent 5 6 2 2 4" xfId="45613" xr:uid="{00000000-0005-0000-0000-000062B00000}"/>
    <cellStyle name="Percent 5 6 2 3" xfId="22348" xr:uid="{00000000-0005-0000-0000-000063B00000}"/>
    <cellStyle name="Percent 5 6 2 3 2" xfId="22349" xr:uid="{00000000-0005-0000-0000-000064B00000}"/>
    <cellStyle name="Percent 5 6 2 3 2 2" xfId="45617" xr:uid="{00000000-0005-0000-0000-000065B00000}"/>
    <cellStyle name="Percent 5 6 2 3 3" xfId="45616" xr:uid="{00000000-0005-0000-0000-000066B00000}"/>
    <cellStyle name="Percent 5 6 2 4" xfId="22350" xr:uid="{00000000-0005-0000-0000-000067B00000}"/>
    <cellStyle name="Percent 5 6 2 4 2" xfId="45618" xr:uid="{00000000-0005-0000-0000-000068B00000}"/>
    <cellStyle name="Percent 5 6 2 5" xfId="22351" xr:uid="{00000000-0005-0000-0000-000069B00000}"/>
    <cellStyle name="Percent 5 6 2 5 2" xfId="45619" xr:uid="{00000000-0005-0000-0000-00006AB00000}"/>
    <cellStyle name="Percent 5 6 2 6" xfId="22352" xr:uid="{00000000-0005-0000-0000-00006BB00000}"/>
    <cellStyle name="Percent 5 6 2 6 2" xfId="45620" xr:uid="{00000000-0005-0000-0000-00006CB00000}"/>
    <cellStyle name="Percent 5 6 2 7" xfId="41414" xr:uid="{00000000-0005-0000-0000-00006DB00000}"/>
    <cellStyle name="Percent 5 6 3" xfId="22353" xr:uid="{00000000-0005-0000-0000-00006EB00000}"/>
    <cellStyle name="Percent 5 6 3 2" xfId="22354" xr:uid="{00000000-0005-0000-0000-00006FB00000}"/>
    <cellStyle name="Percent 5 6 3 2 2" xfId="45622" xr:uid="{00000000-0005-0000-0000-000070B00000}"/>
    <cellStyle name="Percent 5 6 3 3" xfId="22355" xr:uid="{00000000-0005-0000-0000-000071B00000}"/>
    <cellStyle name="Percent 5 6 3 3 2" xfId="45623" xr:uid="{00000000-0005-0000-0000-000072B00000}"/>
    <cellStyle name="Percent 5 6 3 4" xfId="45621" xr:uid="{00000000-0005-0000-0000-000073B00000}"/>
    <cellStyle name="Percent 5 6 4" xfId="22356" xr:uid="{00000000-0005-0000-0000-000074B00000}"/>
    <cellStyle name="Percent 5 6 4 2" xfId="22357" xr:uid="{00000000-0005-0000-0000-000075B00000}"/>
    <cellStyle name="Percent 5 6 4 2 2" xfId="45625" xr:uid="{00000000-0005-0000-0000-000076B00000}"/>
    <cellStyle name="Percent 5 6 4 3" xfId="45624" xr:uid="{00000000-0005-0000-0000-000077B00000}"/>
    <cellStyle name="Percent 5 6 5" xfId="22358" xr:uid="{00000000-0005-0000-0000-000078B00000}"/>
    <cellStyle name="Percent 5 6 5 2" xfId="45626" xr:uid="{00000000-0005-0000-0000-000079B00000}"/>
    <cellStyle name="Percent 5 6 6" xfId="22359" xr:uid="{00000000-0005-0000-0000-00007AB00000}"/>
    <cellStyle name="Percent 5 6 6 2" xfId="45627" xr:uid="{00000000-0005-0000-0000-00007BB00000}"/>
    <cellStyle name="Percent 5 6 7" xfId="22360" xr:uid="{00000000-0005-0000-0000-00007CB00000}"/>
    <cellStyle name="Percent 5 6 7 2" xfId="45628" xr:uid="{00000000-0005-0000-0000-00007DB00000}"/>
    <cellStyle name="Percent 5 6 8" xfId="41183" xr:uid="{00000000-0005-0000-0000-00007EB00000}"/>
    <cellStyle name="Percent 5 7" xfId="17800" xr:uid="{00000000-0005-0000-0000-00007FB00000}"/>
    <cellStyle name="Percent 5 7 2" xfId="22361" xr:uid="{00000000-0005-0000-0000-000080B00000}"/>
    <cellStyle name="Percent 5 7 2 2" xfId="22362" xr:uid="{00000000-0005-0000-0000-000081B00000}"/>
    <cellStyle name="Percent 5 7 2 2 2" xfId="45630" xr:uid="{00000000-0005-0000-0000-000082B00000}"/>
    <cellStyle name="Percent 5 7 2 3" xfId="22363" xr:uid="{00000000-0005-0000-0000-000083B00000}"/>
    <cellStyle name="Percent 5 7 2 3 2" xfId="45631" xr:uid="{00000000-0005-0000-0000-000084B00000}"/>
    <cellStyle name="Percent 5 7 2 4" xfId="45629" xr:uid="{00000000-0005-0000-0000-000085B00000}"/>
    <cellStyle name="Percent 5 7 3" xfId="22364" xr:uid="{00000000-0005-0000-0000-000086B00000}"/>
    <cellStyle name="Percent 5 7 3 2" xfId="22365" xr:uid="{00000000-0005-0000-0000-000087B00000}"/>
    <cellStyle name="Percent 5 7 3 2 2" xfId="45633" xr:uid="{00000000-0005-0000-0000-000088B00000}"/>
    <cellStyle name="Percent 5 7 3 3" xfId="45632" xr:uid="{00000000-0005-0000-0000-000089B00000}"/>
    <cellStyle name="Percent 5 7 4" xfId="22366" xr:uid="{00000000-0005-0000-0000-00008AB00000}"/>
    <cellStyle name="Percent 5 7 4 2" xfId="45634" xr:uid="{00000000-0005-0000-0000-00008BB00000}"/>
    <cellStyle name="Percent 5 7 5" xfId="22367" xr:uid="{00000000-0005-0000-0000-00008CB00000}"/>
    <cellStyle name="Percent 5 7 5 2" xfId="45635" xr:uid="{00000000-0005-0000-0000-00008DB00000}"/>
    <cellStyle name="Percent 5 7 6" xfId="22368" xr:uid="{00000000-0005-0000-0000-00008EB00000}"/>
    <cellStyle name="Percent 5 7 6 2" xfId="45636" xr:uid="{00000000-0005-0000-0000-00008FB00000}"/>
    <cellStyle name="Percent 5 7 7" xfId="41260" xr:uid="{00000000-0005-0000-0000-000090B00000}"/>
    <cellStyle name="Percent 5 8" xfId="22369" xr:uid="{00000000-0005-0000-0000-000091B00000}"/>
    <cellStyle name="Percent 5 8 2" xfId="22370" xr:uid="{00000000-0005-0000-0000-000092B00000}"/>
    <cellStyle name="Percent 5 8 2 2" xfId="45638" xr:uid="{00000000-0005-0000-0000-000093B00000}"/>
    <cellStyle name="Percent 5 8 3" xfId="22371" xr:uid="{00000000-0005-0000-0000-000094B00000}"/>
    <cellStyle name="Percent 5 8 3 2" xfId="45639" xr:uid="{00000000-0005-0000-0000-000095B00000}"/>
    <cellStyle name="Percent 5 8 4" xfId="45637" xr:uid="{00000000-0005-0000-0000-000096B00000}"/>
    <cellStyle name="Percent 5 9" xfId="22372" xr:uid="{00000000-0005-0000-0000-000097B00000}"/>
    <cellStyle name="Percent 5 9 2" xfId="22373" xr:uid="{00000000-0005-0000-0000-000098B00000}"/>
    <cellStyle name="Percent 5 9 2 2" xfId="45641" xr:uid="{00000000-0005-0000-0000-000099B00000}"/>
    <cellStyle name="Percent 5 9 3" xfId="45640" xr:uid="{00000000-0005-0000-0000-00009AB00000}"/>
    <cellStyle name="Percent 6" xfId="165" xr:uid="{00000000-0005-0000-0000-00009BB00000}"/>
    <cellStyle name="Percent 6 10" xfId="22374" xr:uid="{00000000-0005-0000-0000-00009CB00000}"/>
    <cellStyle name="Percent 6 10 2" xfId="45642" xr:uid="{00000000-0005-0000-0000-00009DB00000}"/>
    <cellStyle name="Percent 6 11" xfId="22375" xr:uid="{00000000-0005-0000-0000-00009EB00000}"/>
    <cellStyle name="Percent 6 11 2" xfId="45643" xr:uid="{00000000-0005-0000-0000-00009FB00000}"/>
    <cellStyle name="Percent 6 12" xfId="22376" xr:uid="{00000000-0005-0000-0000-0000A0B00000}"/>
    <cellStyle name="Percent 6 12 2" xfId="45644" xr:uid="{00000000-0005-0000-0000-0000A1B00000}"/>
    <cellStyle name="Percent 6 13" xfId="23706" xr:uid="{00000000-0005-0000-0000-0000A2B00000}"/>
    <cellStyle name="Percent 6 2" xfId="166" xr:uid="{00000000-0005-0000-0000-0000A3B00000}"/>
    <cellStyle name="Percent 6 2 10" xfId="22377" xr:uid="{00000000-0005-0000-0000-0000A4B00000}"/>
    <cellStyle name="Percent 6 2 10 2" xfId="45645" xr:uid="{00000000-0005-0000-0000-0000A5B00000}"/>
    <cellStyle name="Percent 6 2 11" xfId="22378" xr:uid="{00000000-0005-0000-0000-0000A6B00000}"/>
    <cellStyle name="Percent 6 2 11 2" xfId="45646" xr:uid="{00000000-0005-0000-0000-0000A7B00000}"/>
    <cellStyle name="Percent 6 2 12" xfId="23707" xr:uid="{00000000-0005-0000-0000-0000A8B00000}"/>
    <cellStyle name="Percent 6 2 2" xfId="167" xr:uid="{00000000-0005-0000-0000-0000A9B00000}"/>
    <cellStyle name="Percent 6 2 2 10" xfId="23708" xr:uid="{00000000-0005-0000-0000-0000AAB00000}"/>
    <cellStyle name="Percent 6 2 2 2" xfId="17670" xr:uid="{00000000-0005-0000-0000-0000ABB00000}"/>
    <cellStyle name="Percent 6 2 2 2 2" xfId="17918" xr:uid="{00000000-0005-0000-0000-0000ACB00000}"/>
    <cellStyle name="Percent 6 2 2 2 2 2" xfId="22379" xr:uid="{00000000-0005-0000-0000-0000ADB00000}"/>
    <cellStyle name="Percent 6 2 2 2 2 2 2" xfId="22380" xr:uid="{00000000-0005-0000-0000-0000AEB00000}"/>
    <cellStyle name="Percent 6 2 2 2 2 2 2 2" xfId="45648" xr:uid="{00000000-0005-0000-0000-0000AFB00000}"/>
    <cellStyle name="Percent 6 2 2 2 2 2 3" xfId="22381" xr:uid="{00000000-0005-0000-0000-0000B0B00000}"/>
    <cellStyle name="Percent 6 2 2 2 2 2 3 2" xfId="45649" xr:uid="{00000000-0005-0000-0000-0000B1B00000}"/>
    <cellStyle name="Percent 6 2 2 2 2 2 4" xfId="45647" xr:uid="{00000000-0005-0000-0000-0000B2B00000}"/>
    <cellStyle name="Percent 6 2 2 2 2 3" xfId="22382" xr:uid="{00000000-0005-0000-0000-0000B3B00000}"/>
    <cellStyle name="Percent 6 2 2 2 2 3 2" xfId="22383" xr:uid="{00000000-0005-0000-0000-0000B4B00000}"/>
    <cellStyle name="Percent 6 2 2 2 2 3 2 2" xfId="45651" xr:uid="{00000000-0005-0000-0000-0000B5B00000}"/>
    <cellStyle name="Percent 6 2 2 2 2 3 3" xfId="45650" xr:uid="{00000000-0005-0000-0000-0000B6B00000}"/>
    <cellStyle name="Percent 6 2 2 2 2 4" xfId="22384" xr:uid="{00000000-0005-0000-0000-0000B7B00000}"/>
    <cellStyle name="Percent 6 2 2 2 2 4 2" xfId="45652" xr:uid="{00000000-0005-0000-0000-0000B8B00000}"/>
    <cellStyle name="Percent 6 2 2 2 2 5" xfId="22385" xr:uid="{00000000-0005-0000-0000-0000B9B00000}"/>
    <cellStyle name="Percent 6 2 2 2 2 5 2" xfId="45653" xr:uid="{00000000-0005-0000-0000-0000BAB00000}"/>
    <cellStyle name="Percent 6 2 2 2 2 6" xfId="22386" xr:uid="{00000000-0005-0000-0000-0000BBB00000}"/>
    <cellStyle name="Percent 6 2 2 2 2 6 2" xfId="45654" xr:uid="{00000000-0005-0000-0000-0000BCB00000}"/>
    <cellStyle name="Percent 6 2 2 2 2 7" xfId="41378" xr:uid="{00000000-0005-0000-0000-0000BDB00000}"/>
    <cellStyle name="Percent 6 2 2 2 3" xfId="22387" xr:uid="{00000000-0005-0000-0000-0000BEB00000}"/>
    <cellStyle name="Percent 6 2 2 2 3 2" xfId="22388" xr:uid="{00000000-0005-0000-0000-0000BFB00000}"/>
    <cellStyle name="Percent 6 2 2 2 3 2 2" xfId="45656" xr:uid="{00000000-0005-0000-0000-0000C0B00000}"/>
    <cellStyle name="Percent 6 2 2 2 3 3" xfId="22389" xr:uid="{00000000-0005-0000-0000-0000C1B00000}"/>
    <cellStyle name="Percent 6 2 2 2 3 3 2" xfId="45657" xr:uid="{00000000-0005-0000-0000-0000C2B00000}"/>
    <cellStyle name="Percent 6 2 2 2 3 4" xfId="45655" xr:uid="{00000000-0005-0000-0000-0000C3B00000}"/>
    <cellStyle name="Percent 6 2 2 2 4" xfId="22390" xr:uid="{00000000-0005-0000-0000-0000C4B00000}"/>
    <cellStyle name="Percent 6 2 2 2 4 2" xfId="22391" xr:uid="{00000000-0005-0000-0000-0000C5B00000}"/>
    <cellStyle name="Percent 6 2 2 2 4 2 2" xfId="45659" xr:uid="{00000000-0005-0000-0000-0000C6B00000}"/>
    <cellStyle name="Percent 6 2 2 2 4 3" xfId="45658" xr:uid="{00000000-0005-0000-0000-0000C7B00000}"/>
    <cellStyle name="Percent 6 2 2 2 5" xfId="22392" xr:uid="{00000000-0005-0000-0000-0000C8B00000}"/>
    <cellStyle name="Percent 6 2 2 2 5 2" xfId="45660" xr:uid="{00000000-0005-0000-0000-0000C9B00000}"/>
    <cellStyle name="Percent 6 2 2 2 6" xfId="22393" xr:uid="{00000000-0005-0000-0000-0000CAB00000}"/>
    <cellStyle name="Percent 6 2 2 2 6 2" xfId="45661" xr:uid="{00000000-0005-0000-0000-0000CBB00000}"/>
    <cellStyle name="Percent 6 2 2 2 7" xfId="22394" xr:uid="{00000000-0005-0000-0000-0000CCB00000}"/>
    <cellStyle name="Percent 6 2 2 2 7 2" xfId="45662" xr:uid="{00000000-0005-0000-0000-0000CDB00000}"/>
    <cellStyle name="Percent 6 2 2 2 8" xfId="41136" xr:uid="{00000000-0005-0000-0000-0000CEB00000}"/>
    <cellStyle name="Percent 6 2 2 3" xfId="17767" xr:uid="{00000000-0005-0000-0000-0000CFB00000}"/>
    <cellStyle name="Percent 6 2 2 3 2" xfId="18001" xr:uid="{00000000-0005-0000-0000-0000D0B00000}"/>
    <cellStyle name="Percent 6 2 2 3 2 2" xfId="22395" xr:uid="{00000000-0005-0000-0000-0000D1B00000}"/>
    <cellStyle name="Percent 6 2 2 3 2 2 2" xfId="22396" xr:uid="{00000000-0005-0000-0000-0000D2B00000}"/>
    <cellStyle name="Percent 6 2 2 3 2 2 2 2" xfId="45664" xr:uid="{00000000-0005-0000-0000-0000D3B00000}"/>
    <cellStyle name="Percent 6 2 2 3 2 2 3" xfId="22397" xr:uid="{00000000-0005-0000-0000-0000D4B00000}"/>
    <cellStyle name="Percent 6 2 2 3 2 2 3 2" xfId="45665" xr:uid="{00000000-0005-0000-0000-0000D5B00000}"/>
    <cellStyle name="Percent 6 2 2 3 2 2 4" xfId="45663" xr:uid="{00000000-0005-0000-0000-0000D6B00000}"/>
    <cellStyle name="Percent 6 2 2 3 2 3" xfId="22398" xr:uid="{00000000-0005-0000-0000-0000D7B00000}"/>
    <cellStyle name="Percent 6 2 2 3 2 3 2" xfId="22399" xr:uid="{00000000-0005-0000-0000-0000D8B00000}"/>
    <cellStyle name="Percent 6 2 2 3 2 3 2 2" xfId="45667" xr:uid="{00000000-0005-0000-0000-0000D9B00000}"/>
    <cellStyle name="Percent 6 2 2 3 2 3 3" xfId="45666" xr:uid="{00000000-0005-0000-0000-0000DAB00000}"/>
    <cellStyle name="Percent 6 2 2 3 2 4" xfId="22400" xr:uid="{00000000-0005-0000-0000-0000DBB00000}"/>
    <cellStyle name="Percent 6 2 2 3 2 4 2" xfId="45668" xr:uid="{00000000-0005-0000-0000-0000DCB00000}"/>
    <cellStyle name="Percent 6 2 2 3 2 5" xfId="22401" xr:uid="{00000000-0005-0000-0000-0000DDB00000}"/>
    <cellStyle name="Percent 6 2 2 3 2 5 2" xfId="45669" xr:uid="{00000000-0005-0000-0000-0000DEB00000}"/>
    <cellStyle name="Percent 6 2 2 3 2 6" xfId="22402" xr:uid="{00000000-0005-0000-0000-0000DFB00000}"/>
    <cellStyle name="Percent 6 2 2 3 2 6 2" xfId="45670" xr:uid="{00000000-0005-0000-0000-0000E0B00000}"/>
    <cellStyle name="Percent 6 2 2 3 2 7" xfId="41461" xr:uid="{00000000-0005-0000-0000-0000E1B00000}"/>
    <cellStyle name="Percent 6 2 2 3 3" xfId="22403" xr:uid="{00000000-0005-0000-0000-0000E2B00000}"/>
    <cellStyle name="Percent 6 2 2 3 3 2" xfId="22404" xr:uid="{00000000-0005-0000-0000-0000E3B00000}"/>
    <cellStyle name="Percent 6 2 2 3 3 2 2" xfId="45672" xr:uid="{00000000-0005-0000-0000-0000E4B00000}"/>
    <cellStyle name="Percent 6 2 2 3 3 3" xfId="22405" xr:uid="{00000000-0005-0000-0000-0000E5B00000}"/>
    <cellStyle name="Percent 6 2 2 3 3 3 2" xfId="45673" xr:uid="{00000000-0005-0000-0000-0000E6B00000}"/>
    <cellStyle name="Percent 6 2 2 3 3 4" xfId="45671" xr:uid="{00000000-0005-0000-0000-0000E7B00000}"/>
    <cellStyle name="Percent 6 2 2 3 4" xfId="22406" xr:uid="{00000000-0005-0000-0000-0000E8B00000}"/>
    <cellStyle name="Percent 6 2 2 3 4 2" xfId="22407" xr:uid="{00000000-0005-0000-0000-0000E9B00000}"/>
    <cellStyle name="Percent 6 2 2 3 4 2 2" xfId="45675" xr:uid="{00000000-0005-0000-0000-0000EAB00000}"/>
    <cellStyle name="Percent 6 2 2 3 4 3" xfId="45674" xr:uid="{00000000-0005-0000-0000-0000EBB00000}"/>
    <cellStyle name="Percent 6 2 2 3 5" xfId="22408" xr:uid="{00000000-0005-0000-0000-0000ECB00000}"/>
    <cellStyle name="Percent 6 2 2 3 5 2" xfId="45676" xr:uid="{00000000-0005-0000-0000-0000EDB00000}"/>
    <cellStyle name="Percent 6 2 2 3 6" xfId="22409" xr:uid="{00000000-0005-0000-0000-0000EEB00000}"/>
    <cellStyle name="Percent 6 2 2 3 6 2" xfId="45677" xr:uid="{00000000-0005-0000-0000-0000EFB00000}"/>
    <cellStyle name="Percent 6 2 2 3 7" xfId="22410" xr:uid="{00000000-0005-0000-0000-0000F0B00000}"/>
    <cellStyle name="Percent 6 2 2 3 7 2" xfId="45678" xr:uid="{00000000-0005-0000-0000-0000F1B00000}"/>
    <cellStyle name="Percent 6 2 2 3 8" xfId="41227" xr:uid="{00000000-0005-0000-0000-0000F2B00000}"/>
    <cellStyle name="Percent 6 2 2 4" xfId="17843" xr:uid="{00000000-0005-0000-0000-0000F3B00000}"/>
    <cellStyle name="Percent 6 2 2 4 2" xfId="22411" xr:uid="{00000000-0005-0000-0000-0000F4B00000}"/>
    <cellStyle name="Percent 6 2 2 4 2 2" xfId="22412" xr:uid="{00000000-0005-0000-0000-0000F5B00000}"/>
    <cellStyle name="Percent 6 2 2 4 2 2 2" xfId="45680" xr:uid="{00000000-0005-0000-0000-0000F6B00000}"/>
    <cellStyle name="Percent 6 2 2 4 2 3" xfId="22413" xr:uid="{00000000-0005-0000-0000-0000F7B00000}"/>
    <cellStyle name="Percent 6 2 2 4 2 3 2" xfId="45681" xr:uid="{00000000-0005-0000-0000-0000F8B00000}"/>
    <cellStyle name="Percent 6 2 2 4 2 4" xfId="45679" xr:uid="{00000000-0005-0000-0000-0000F9B00000}"/>
    <cellStyle name="Percent 6 2 2 4 3" xfId="22414" xr:uid="{00000000-0005-0000-0000-0000FAB00000}"/>
    <cellStyle name="Percent 6 2 2 4 3 2" xfId="22415" xr:uid="{00000000-0005-0000-0000-0000FBB00000}"/>
    <cellStyle name="Percent 6 2 2 4 3 2 2" xfId="45683" xr:uid="{00000000-0005-0000-0000-0000FCB00000}"/>
    <cellStyle name="Percent 6 2 2 4 3 3" xfId="45682" xr:uid="{00000000-0005-0000-0000-0000FDB00000}"/>
    <cellStyle name="Percent 6 2 2 4 4" xfId="22416" xr:uid="{00000000-0005-0000-0000-0000FEB00000}"/>
    <cellStyle name="Percent 6 2 2 4 4 2" xfId="45684" xr:uid="{00000000-0005-0000-0000-0000FFB00000}"/>
    <cellStyle name="Percent 6 2 2 4 5" xfId="22417" xr:uid="{00000000-0005-0000-0000-000000B10000}"/>
    <cellStyle name="Percent 6 2 2 4 5 2" xfId="45685" xr:uid="{00000000-0005-0000-0000-000001B10000}"/>
    <cellStyle name="Percent 6 2 2 4 6" xfId="22418" xr:uid="{00000000-0005-0000-0000-000002B10000}"/>
    <cellStyle name="Percent 6 2 2 4 6 2" xfId="45686" xr:uid="{00000000-0005-0000-0000-000003B10000}"/>
    <cellStyle name="Percent 6 2 2 4 7" xfId="41303" xr:uid="{00000000-0005-0000-0000-000004B10000}"/>
    <cellStyle name="Percent 6 2 2 5" xfId="22419" xr:uid="{00000000-0005-0000-0000-000005B10000}"/>
    <cellStyle name="Percent 6 2 2 5 2" xfId="22420" xr:uid="{00000000-0005-0000-0000-000006B10000}"/>
    <cellStyle name="Percent 6 2 2 5 2 2" xfId="45688" xr:uid="{00000000-0005-0000-0000-000007B10000}"/>
    <cellStyle name="Percent 6 2 2 5 3" xfId="22421" xr:uid="{00000000-0005-0000-0000-000008B10000}"/>
    <cellStyle name="Percent 6 2 2 5 3 2" xfId="45689" xr:uid="{00000000-0005-0000-0000-000009B10000}"/>
    <cellStyle name="Percent 6 2 2 5 4" xfId="45687" xr:uid="{00000000-0005-0000-0000-00000AB10000}"/>
    <cellStyle name="Percent 6 2 2 6" xfId="22422" xr:uid="{00000000-0005-0000-0000-00000BB10000}"/>
    <cellStyle name="Percent 6 2 2 6 2" xfId="22423" xr:uid="{00000000-0005-0000-0000-00000CB10000}"/>
    <cellStyle name="Percent 6 2 2 6 2 2" xfId="45691" xr:uid="{00000000-0005-0000-0000-00000DB10000}"/>
    <cellStyle name="Percent 6 2 2 6 3" xfId="45690" xr:uid="{00000000-0005-0000-0000-00000EB10000}"/>
    <cellStyle name="Percent 6 2 2 7" xfId="22424" xr:uid="{00000000-0005-0000-0000-00000FB10000}"/>
    <cellStyle name="Percent 6 2 2 7 2" xfId="45692" xr:uid="{00000000-0005-0000-0000-000010B10000}"/>
    <cellStyle name="Percent 6 2 2 8" xfId="22425" xr:uid="{00000000-0005-0000-0000-000011B10000}"/>
    <cellStyle name="Percent 6 2 2 8 2" xfId="45693" xr:uid="{00000000-0005-0000-0000-000012B10000}"/>
    <cellStyle name="Percent 6 2 2 9" xfId="22426" xr:uid="{00000000-0005-0000-0000-000013B10000}"/>
    <cellStyle name="Percent 6 2 2 9 2" xfId="45694" xr:uid="{00000000-0005-0000-0000-000014B10000}"/>
    <cellStyle name="Percent 6 2 3" xfId="17671" xr:uid="{00000000-0005-0000-0000-000015B10000}"/>
    <cellStyle name="Percent 6 2 3 10" xfId="41137" xr:uid="{00000000-0005-0000-0000-000016B10000}"/>
    <cellStyle name="Percent 6 2 3 2" xfId="17714" xr:uid="{00000000-0005-0000-0000-000017B10000}"/>
    <cellStyle name="Percent 6 2 3 2 2" xfId="17943" xr:uid="{00000000-0005-0000-0000-000018B10000}"/>
    <cellStyle name="Percent 6 2 3 2 2 2" xfId="22427" xr:uid="{00000000-0005-0000-0000-000019B10000}"/>
    <cellStyle name="Percent 6 2 3 2 2 2 2" xfId="22428" xr:uid="{00000000-0005-0000-0000-00001AB10000}"/>
    <cellStyle name="Percent 6 2 3 2 2 2 2 2" xfId="45696" xr:uid="{00000000-0005-0000-0000-00001BB10000}"/>
    <cellStyle name="Percent 6 2 3 2 2 2 3" xfId="22429" xr:uid="{00000000-0005-0000-0000-00001CB10000}"/>
    <cellStyle name="Percent 6 2 3 2 2 2 3 2" xfId="45697" xr:uid="{00000000-0005-0000-0000-00001DB10000}"/>
    <cellStyle name="Percent 6 2 3 2 2 2 4" xfId="45695" xr:uid="{00000000-0005-0000-0000-00001EB10000}"/>
    <cellStyle name="Percent 6 2 3 2 2 3" xfId="22430" xr:uid="{00000000-0005-0000-0000-00001FB10000}"/>
    <cellStyle name="Percent 6 2 3 2 2 3 2" xfId="22431" xr:uid="{00000000-0005-0000-0000-000020B10000}"/>
    <cellStyle name="Percent 6 2 3 2 2 3 2 2" xfId="45699" xr:uid="{00000000-0005-0000-0000-000021B10000}"/>
    <cellStyle name="Percent 6 2 3 2 2 3 3" xfId="45698" xr:uid="{00000000-0005-0000-0000-000022B10000}"/>
    <cellStyle name="Percent 6 2 3 2 2 4" xfId="22432" xr:uid="{00000000-0005-0000-0000-000023B10000}"/>
    <cellStyle name="Percent 6 2 3 2 2 4 2" xfId="45700" xr:uid="{00000000-0005-0000-0000-000024B10000}"/>
    <cellStyle name="Percent 6 2 3 2 2 5" xfId="22433" xr:uid="{00000000-0005-0000-0000-000025B10000}"/>
    <cellStyle name="Percent 6 2 3 2 2 5 2" xfId="45701" xr:uid="{00000000-0005-0000-0000-000026B10000}"/>
    <cellStyle name="Percent 6 2 3 2 2 6" xfId="22434" xr:uid="{00000000-0005-0000-0000-000027B10000}"/>
    <cellStyle name="Percent 6 2 3 2 2 6 2" xfId="45702" xr:uid="{00000000-0005-0000-0000-000028B10000}"/>
    <cellStyle name="Percent 6 2 3 2 2 7" xfId="41403" xr:uid="{00000000-0005-0000-0000-000029B10000}"/>
    <cellStyle name="Percent 6 2 3 2 3" xfId="22435" xr:uid="{00000000-0005-0000-0000-00002AB10000}"/>
    <cellStyle name="Percent 6 2 3 2 3 2" xfId="22436" xr:uid="{00000000-0005-0000-0000-00002BB10000}"/>
    <cellStyle name="Percent 6 2 3 2 3 2 2" xfId="45704" xr:uid="{00000000-0005-0000-0000-00002CB10000}"/>
    <cellStyle name="Percent 6 2 3 2 3 3" xfId="22437" xr:uid="{00000000-0005-0000-0000-00002DB10000}"/>
    <cellStyle name="Percent 6 2 3 2 3 3 2" xfId="45705" xr:uid="{00000000-0005-0000-0000-00002EB10000}"/>
    <cellStyle name="Percent 6 2 3 2 3 4" xfId="45703" xr:uid="{00000000-0005-0000-0000-00002FB10000}"/>
    <cellStyle name="Percent 6 2 3 2 4" xfId="22438" xr:uid="{00000000-0005-0000-0000-000030B10000}"/>
    <cellStyle name="Percent 6 2 3 2 4 2" xfId="22439" xr:uid="{00000000-0005-0000-0000-000031B10000}"/>
    <cellStyle name="Percent 6 2 3 2 4 2 2" xfId="45707" xr:uid="{00000000-0005-0000-0000-000032B10000}"/>
    <cellStyle name="Percent 6 2 3 2 4 3" xfId="45706" xr:uid="{00000000-0005-0000-0000-000033B10000}"/>
    <cellStyle name="Percent 6 2 3 2 5" xfId="22440" xr:uid="{00000000-0005-0000-0000-000034B10000}"/>
    <cellStyle name="Percent 6 2 3 2 5 2" xfId="45708" xr:uid="{00000000-0005-0000-0000-000035B10000}"/>
    <cellStyle name="Percent 6 2 3 2 6" xfId="22441" xr:uid="{00000000-0005-0000-0000-000036B10000}"/>
    <cellStyle name="Percent 6 2 3 2 6 2" xfId="45709" xr:uid="{00000000-0005-0000-0000-000037B10000}"/>
    <cellStyle name="Percent 6 2 3 2 7" xfId="22442" xr:uid="{00000000-0005-0000-0000-000038B10000}"/>
    <cellStyle name="Percent 6 2 3 2 7 2" xfId="45710" xr:uid="{00000000-0005-0000-0000-000039B10000}"/>
    <cellStyle name="Percent 6 2 3 2 8" xfId="41174" xr:uid="{00000000-0005-0000-0000-00003AB10000}"/>
    <cellStyle name="Percent 6 2 3 3" xfId="17791" xr:uid="{00000000-0005-0000-0000-00003BB10000}"/>
    <cellStyle name="Percent 6 2 3 3 2" xfId="18027" xr:uid="{00000000-0005-0000-0000-00003CB10000}"/>
    <cellStyle name="Percent 6 2 3 3 2 2" xfId="22443" xr:uid="{00000000-0005-0000-0000-00003DB10000}"/>
    <cellStyle name="Percent 6 2 3 3 2 2 2" xfId="22444" xr:uid="{00000000-0005-0000-0000-00003EB10000}"/>
    <cellStyle name="Percent 6 2 3 3 2 2 2 2" xfId="45712" xr:uid="{00000000-0005-0000-0000-00003FB10000}"/>
    <cellStyle name="Percent 6 2 3 3 2 2 3" xfId="22445" xr:uid="{00000000-0005-0000-0000-000040B10000}"/>
    <cellStyle name="Percent 6 2 3 3 2 2 3 2" xfId="45713" xr:uid="{00000000-0005-0000-0000-000041B10000}"/>
    <cellStyle name="Percent 6 2 3 3 2 2 4" xfId="45711" xr:uid="{00000000-0005-0000-0000-000042B10000}"/>
    <cellStyle name="Percent 6 2 3 3 2 3" xfId="22446" xr:uid="{00000000-0005-0000-0000-000043B10000}"/>
    <cellStyle name="Percent 6 2 3 3 2 3 2" xfId="22447" xr:uid="{00000000-0005-0000-0000-000044B10000}"/>
    <cellStyle name="Percent 6 2 3 3 2 3 2 2" xfId="45715" xr:uid="{00000000-0005-0000-0000-000045B10000}"/>
    <cellStyle name="Percent 6 2 3 3 2 3 3" xfId="45714" xr:uid="{00000000-0005-0000-0000-000046B10000}"/>
    <cellStyle name="Percent 6 2 3 3 2 4" xfId="22448" xr:uid="{00000000-0005-0000-0000-000047B10000}"/>
    <cellStyle name="Percent 6 2 3 3 2 4 2" xfId="45716" xr:uid="{00000000-0005-0000-0000-000048B10000}"/>
    <cellStyle name="Percent 6 2 3 3 2 5" xfId="22449" xr:uid="{00000000-0005-0000-0000-000049B10000}"/>
    <cellStyle name="Percent 6 2 3 3 2 5 2" xfId="45717" xr:uid="{00000000-0005-0000-0000-00004AB10000}"/>
    <cellStyle name="Percent 6 2 3 3 2 6" xfId="22450" xr:uid="{00000000-0005-0000-0000-00004BB10000}"/>
    <cellStyle name="Percent 6 2 3 3 2 6 2" xfId="45718" xr:uid="{00000000-0005-0000-0000-00004CB10000}"/>
    <cellStyle name="Percent 6 2 3 3 2 7" xfId="41487" xr:uid="{00000000-0005-0000-0000-00004DB10000}"/>
    <cellStyle name="Percent 6 2 3 3 3" xfId="22451" xr:uid="{00000000-0005-0000-0000-00004EB10000}"/>
    <cellStyle name="Percent 6 2 3 3 3 2" xfId="22452" xr:uid="{00000000-0005-0000-0000-00004FB10000}"/>
    <cellStyle name="Percent 6 2 3 3 3 2 2" xfId="45720" xr:uid="{00000000-0005-0000-0000-000050B10000}"/>
    <cellStyle name="Percent 6 2 3 3 3 3" xfId="22453" xr:uid="{00000000-0005-0000-0000-000051B10000}"/>
    <cellStyle name="Percent 6 2 3 3 3 3 2" xfId="45721" xr:uid="{00000000-0005-0000-0000-000052B10000}"/>
    <cellStyle name="Percent 6 2 3 3 3 4" xfId="45719" xr:uid="{00000000-0005-0000-0000-000053B10000}"/>
    <cellStyle name="Percent 6 2 3 3 4" xfId="22454" xr:uid="{00000000-0005-0000-0000-000054B10000}"/>
    <cellStyle name="Percent 6 2 3 3 4 2" xfId="22455" xr:uid="{00000000-0005-0000-0000-000055B10000}"/>
    <cellStyle name="Percent 6 2 3 3 4 2 2" xfId="45723" xr:uid="{00000000-0005-0000-0000-000056B10000}"/>
    <cellStyle name="Percent 6 2 3 3 4 3" xfId="45722" xr:uid="{00000000-0005-0000-0000-000057B10000}"/>
    <cellStyle name="Percent 6 2 3 3 5" xfId="22456" xr:uid="{00000000-0005-0000-0000-000058B10000}"/>
    <cellStyle name="Percent 6 2 3 3 5 2" xfId="45724" xr:uid="{00000000-0005-0000-0000-000059B10000}"/>
    <cellStyle name="Percent 6 2 3 3 6" xfId="22457" xr:uid="{00000000-0005-0000-0000-00005AB10000}"/>
    <cellStyle name="Percent 6 2 3 3 6 2" xfId="45725" xr:uid="{00000000-0005-0000-0000-00005BB10000}"/>
    <cellStyle name="Percent 6 2 3 3 7" xfId="22458" xr:uid="{00000000-0005-0000-0000-00005CB10000}"/>
    <cellStyle name="Percent 6 2 3 3 7 2" xfId="45726" xr:uid="{00000000-0005-0000-0000-00005DB10000}"/>
    <cellStyle name="Percent 6 2 3 3 8" xfId="41251" xr:uid="{00000000-0005-0000-0000-00005EB10000}"/>
    <cellStyle name="Percent 6 2 3 4" xfId="17871" xr:uid="{00000000-0005-0000-0000-00005FB10000}"/>
    <cellStyle name="Percent 6 2 3 4 2" xfId="22459" xr:uid="{00000000-0005-0000-0000-000060B10000}"/>
    <cellStyle name="Percent 6 2 3 4 2 2" xfId="22460" xr:uid="{00000000-0005-0000-0000-000061B10000}"/>
    <cellStyle name="Percent 6 2 3 4 2 2 2" xfId="45728" xr:uid="{00000000-0005-0000-0000-000062B10000}"/>
    <cellStyle name="Percent 6 2 3 4 2 3" xfId="22461" xr:uid="{00000000-0005-0000-0000-000063B10000}"/>
    <cellStyle name="Percent 6 2 3 4 2 3 2" xfId="45729" xr:uid="{00000000-0005-0000-0000-000064B10000}"/>
    <cellStyle name="Percent 6 2 3 4 2 4" xfId="45727" xr:uid="{00000000-0005-0000-0000-000065B10000}"/>
    <cellStyle name="Percent 6 2 3 4 3" xfId="22462" xr:uid="{00000000-0005-0000-0000-000066B10000}"/>
    <cellStyle name="Percent 6 2 3 4 3 2" xfId="22463" xr:uid="{00000000-0005-0000-0000-000067B10000}"/>
    <cellStyle name="Percent 6 2 3 4 3 2 2" xfId="45731" xr:uid="{00000000-0005-0000-0000-000068B10000}"/>
    <cellStyle name="Percent 6 2 3 4 3 3" xfId="45730" xr:uid="{00000000-0005-0000-0000-000069B10000}"/>
    <cellStyle name="Percent 6 2 3 4 4" xfId="22464" xr:uid="{00000000-0005-0000-0000-00006AB10000}"/>
    <cellStyle name="Percent 6 2 3 4 4 2" xfId="45732" xr:uid="{00000000-0005-0000-0000-00006BB10000}"/>
    <cellStyle name="Percent 6 2 3 4 5" xfId="22465" xr:uid="{00000000-0005-0000-0000-00006CB10000}"/>
    <cellStyle name="Percent 6 2 3 4 5 2" xfId="45733" xr:uid="{00000000-0005-0000-0000-00006DB10000}"/>
    <cellStyle name="Percent 6 2 3 4 6" xfId="22466" xr:uid="{00000000-0005-0000-0000-00006EB10000}"/>
    <cellStyle name="Percent 6 2 3 4 6 2" xfId="45734" xr:uid="{00000000-0005-0000-0000-00006FB10000}"/>
    <cellStyle name="Percent 6 2 3 4 7" xfId="41331" xr:uid="{00000000-0005-0000-0000-000070B10000}"/>
    <cellStyle name="Percent 6 2 3 5" xfId="22467" xr:uid="{00000000-0005-0000-0000-000071B10000}"/>
    <cellStyle name="Percent 6 2 3 5 2" xfId="22468" xr:uid="{00000000-0005-0000-0000-000072B10000}"/>
    <cellStyle name="Percent 6 2 3 5 2 2" xfId="45736" xr:uid="{00000000-0005-0000-0000-000073B10000}"/>
    <cellStyle name="Percent 6 2 3 5 3" xfId="22469" xr:uid="{00000000-0005-0000-0000-000074B10000}"/>
    <cellStyle name="Percent 6 2 3 5 3 2" xfId="45737" xr:uid="{00000000-0005-0000-0000-000075B10000}"/>
    <cellStyle name="Percent 6 2 3 5 4" xfId="45735" xr:uid="{00000000-0005-0000-0000-000076B10000}"/>
    <cellStyle name="Percent 6 2 3 6" xfId="22470" xr:uid="{00000000-0005-0000-0000-000077B10000}"/>
    <cellStyle name="Percent 6 2 3 6 2" xfId="22471" xr:uid="{00000000-0005-0000-0000-000078B10000}"/>
    <cellStyle name="Percent 6 2 3 6 2 2" xfId="45739" xr:uid="{00000000-0005-0000-0000-000079B10000}"/>
    <cellStyle name="Percent 6 2 3 6 3" xfId="45738" xr:uid="{00000000-0005-0000-0000-00007AB10000}"/>
    <cellStyle name="Percent 6 2 3 7" xfId="22472" xr:uid="{00000000-0005-0000-0000-00007BB10000}"/>
    <cellStyle name="Percent 6 2 3 7 2" xfId="45740" xr:uid="{00000000-0005-0000-0000-00007CB10000}"/>
    <cellStyle name="Percent 6 2 3 8" xfId="22473" xr:uid="{00000000-0005-0000-0000-00007DB10000}"/>
    <cellStyle name="Percent 6 2 3 8 2" xfId="45741" xr:uid="{00000000-0005-0000-0000-00007EB10000}"/>
    <cellStyle name="Percent 6 2 3 9" xfId="22474" xr:uid="{00000000-0005-0000-0000-00007FB10000}"/>
    <cellStyle name="Percent 6 2 3 9 2" xfId="45742" xr:uid="{00000000-0005-0000-0000-000080B10000}"/>
    <cellStyle name="Percent 6 2 4" xfId="17703" xr:uid="{00000000-0005-0000-0000-000081B10000}"/>
    <cellStyle name="Percent 6 2 4 2" xfId="17893" xr:uid="{00000000-0005-0000-0000-000082B10000}"/>
    <cellStyle name="Percent 6 2 4 2 2" xfId="22475" xr:uid="{00000000-0005-0000-0000-000083B10000}"/>
    <cellStyle name="Percent 6 2 4 2 2 2" xfId="22476" xr:uid="{00000000-0005-0000-0000-000084B10000}"/>
    <cellStyle name="Percent 6 2 4 2 2 2 2" xfId="45744" xr:uid="{00000000-0005-0000-0000-000085B10000}"/>
    <cellStyle name="Percent 6 2 4 2 2 3" xfId="22477" xr:uid="{00000000-0005-0000-0000-000086B10000}"/>
    <cellStyle name="Percent 6 2 4 2 2 3 2" xfId="45745" xr:uid="{00000000-0005-0000-0000-000087B10000}"/>
    <cellStyle name="Percent 6 2 4 2 2 4" xfId="45743" xr:uid="{00000000-0005-0000-0000-000088B10000}"/>
    <cellStyle name="Percent 6 2 4 2 3" xfId="22478" xr:uid="{00000000-0005-0000-0000-000089B10000}"/>
    <cellStyle name="Percent 6 2 4 2 3 2" xfId="22479" xr:uid="{00000000-0005-0000-0000-00008AB10000}"/>
    <cellStyle name="Percent 6 2 4 2 3 2 2" xfId="45747" xr:uid="{00000000-0005-0000-0000-00008BB10000}"/>
    <cellStyle name="Percent 6 2 4 2 3 3" xfId="45746" xr:uid="{00000000-0005-0000-0000-00008CB10000}"/>
    <cellStyle name="Percent 6 2 4 2 4" xfId="22480" xr:uid="{00000000-0005-0000-0000-00008DB10000}"/>
    <cellStyle name="Percent 6 2 4 2 4 2" xfId="45748" xr:uid="{00000000-0005-0000-0000-00008EB10000}"/>
    <cellStyle name="Percent 6 2 4 2 5" xfId="22481" xr:uid="{00000000-0005-0000-0000-00008FB10000}"/>
    <cellStyle name="Percent 6 2 4 2 5 2" xfId="45749" xr:uid="{00000000-0005-0000-0000-000090B10000}"/>
    <cellStyle name="Percent 6 2 4 2 6" xfId="22482" xr:uid="{00000000-0005-0000-0000-000091B10000}"/>
    <cellStyle name="Percent 6 2 4 2 6 2" xfId="45750" xr:uid="{00000000-0005-0000-0000-000092B10000}"/>
    <cellStyle name="Percent 6 2 4 2 7" xfId="41353" xr:uid="{00000000-0005-0000-0000-000093B10000}"/>
    <cellStyle name="Percent 6 2 4 3" xfId="22483" xr:uid="{00000000-0005-0000-0000-000094B10000}"/>
    <cellStyle name="Percent 6 2 4 3 2" xfId="22484" xr:uid="{00000000-0005-0000-0000-000095B10000}"/>
    <cellStyle name="Percent 6 2 4 3 2 2" xfId="45752" xr:uid="{00000000-0005-0000-0000-000096B10000}"/>
    <cellStyle name="Percent 6 2 4 3 3" xfId="22485" xr:uid="{00000000-0005-0000-0000-000097B10000}"/>
    <cellStyle name="Percent 6 2 4 3 3 2" xfId="45753" xr:uid="{00000000-0005-0000-0000-000098B10000}"/>
    <cellStyle name="Percent 6 2 4 3 4" xfId="45751" xr:uid="{00000000-0005-0000-0000-000099B10000}"/>
    <cellStyle name="Percent 6 2 4 4" xfId="22486" xr:uid="{00000000-0005-0000-0000-00009AB10000}"/>
    <cellStyle name="Percent 6 2 4 4 2" xfId="22487" xr:uid="{00000000-0005-0000-0000-00009BB10000}"/>
    <cellStyle name="Percent 6 2 4 4 2 2" xfId="45755" xr:uid="{00000000-0005-0000-0000-00009CB10000}"/>
    <cellStyle name="Percent 6 2 4 4 3" xfId="45754" xr:uid="{00000000-0005-0000-0000-00009DB10000}"/>
    <cellStyle name="Percent 6 2 4 5" xfId="22488" xr:uid="{00000000-0005-0000-0000-00009EB10000}"/>
    <cellStyle name="Percent 6 2 4 5 2" xfId="45756" xr:uid="{00000000-0005-0000-0000-00009FB10000}"/>
    <cellStyle name="Percent 6 2 4 6" xfId="22489" xr:uid="{00000000-0005-0000-0000-0000A0B10000}"/>
    <cellStyle name="Percent 6 2 4 6 2" xfId="45757" xr:uid="{00000000-0005-0000-0000-0000A1B10000}"/>
    <cellStyle name="Percent 6 2 4 7" xfId="22490" xr:uid="{00000000-0005-0000-0000-0000A2B10000}"/>
    <cellStyle name="Percent 6 2 4 7 2" xfId="45758" xr:uid="{00000000-0005-0000-0000-0000A3B10000}"/>
    <cellStyle name="Percent 6 2 4 8" xfId="41163" xr:uid="{00000000-0005-0000-0000-0000A4B10000}"/>
    <cellStyle name="Percent 6 2 5" xfId="17740" xr:uid="{00000000-0005-0000-0000-0000A5B10000}"/>
    <cellStyle name="Percent 6 2 5 2" xfId="17972" xr:uid="{00000000-0005-0000-0000-0000A6B10000}"/>
    <cellStyle name="Percent 6 2 5 2 2" xfId="22491" xr:uid="{00000000-0005-0000-0000-0000A7B10000}"/>
    <cellStyle name="Percent 6 2 5 2 2 2" xfId="22492" xr:uid="{00000000-0005-0000-0000-0000A8B10000}"/>
    <cellStyle name="Percent 6 2 5 2 2 2 2" xfId="45760" xr:uid="{00000000-0005-0000-0000-0000A9B10000}"/>
    <cellStyle name="Percent 6 2 5 2 2 3" xfId="22493" xr:uid="{00000000-0005-0000-0000-0000AAB10000}"/>
    <cellStyle name="Percent 6 2 5 2 2 3 2" xfId="45761" xr:uid="{00000000-0005-0000-0000-0000ABB10000}"/>
    <cellStyle name="Percent 6 2 5 2 2 4" xfId="45759" xr:uid="{00000000-0005-0000-0000-0000ACB10000}"/>
    <cellStyle name="Percent 6 2 5 2 3" xfId="22494" xr:uid="{00000000-0005-0000-0000-0000ADB10000}"/>
    <cellStyle name="Percent 6 2 5 2 3 2" xfId="22495" xr:uid="{00000000-0005-0000-0000-0000AEB10000}"/>
    <cellStyle name="Percent 6 2 5 2 3 2 2" xfId="45763" xr:uid="{00000000-0005-0000-0000-0000AFB10000}"/>
    <cellStyle name="Percent 6 2 5 2 3 3" xfId="45762" xr:uid="{00000000-0005-0000-0000-0000B0B10000}"/>
    <cellStyle name="Percent 6 2 5 2 4" xfId="22496" xr:uid="{00000000-0005-0000-0000-0000B1B10000}"/>
    <cellStyle name="Percent 6 2 5 2 4 2" xfId="45764" xr:uid="{00000000-0005-0000-0000-0000B2B10000}"/>
    <cellStyle name="Percent 6 2 5 2 5" xfId="22497" xr:uid="{00000000-0005-0000-0000-0000B3B10000}"/>
    <cellStyle name="Percent 6 2 5 2 5 2" xfId="45765" xr:uid="{00000000-0005-0000-0000-0000B4B10000}"/>
    <cellStyle name="Percent 6 2 5 2 6" xfId="22498" xr:uid="{00000000-0005-0000-0000-0000B5B10000}"/>
    <cellStyle name="Percent 6 2 5 2 6 2" xfId="45766" xr:uid="{00000000-0005-0000-0000-0000B6B10000}"/>
    <cellStyle name="Percent 6 2 5 2 7" xfId="41432" xr:uid="{00000000-0005-0000-0000-0000B7B10000}"/>
    <cellStyle name="Percent 6 2 5 3" xfId="22499" xr:uid="{00000000-0005-0000-0000-0000B8B10000}"/>
    <cellStyle name="Percent 6 2 5 3 2" xfId="22500" xr:uid="{00000000-0005-0000-0000-0000B9B10000}"/>
    <cellStyle name="Percent 6 2 5 3 2 2" xfId="45768" xr:uid="{00000000-0005-0000-0000-0000BAB10000}"/>
    <cellStyle name="Percent 6 2 5 3 3" xfId="22501" xr:uid="{00000000-0005-0000-0000-0000BBB10000}"/>
    <cellStyle name="Percent 6 2 5 3 3 2" xfId="45769" xr:uid="{00000000-0005-0000-0000-0000BCB10000}"/>
    <cellStyle name="Percent 6 2 5 3 4" xfId="45767" xr:uid="{00000000-0005-0000-0000-0000BDB10000}"/>
    <cellStyle name="Percent 6 2 5 4" xfId="22502" xr:uid="{00000000-0005-0000-0000-0000BEB10000}"/>
    <cellStyle name="Percent 6 2 5 4 2" xfId="22503" xr:uid="{00000000-0005-0000-0000-0000BFB10000}"/>
    <cellStyle name="Percent 6 2 5 4 2 2" xfId="45771" xr:uid="{00000000-0005-0000-0000-0000C0B10000}"/>
    <cellStyle name="Percent 6 2 5 4 3" xfId="45770" xr:uid="{00000000-0005-0000-0000-0000C1B10000}"/>
    <cellStyle name="Percent 6 2 5 5" xfId="22504" xr:uid="{00000000-0005-0000-0000-0000C2B10000}"/>
    <cellStyle name="Percent 6 2 5 5 2" xfId="45772" xr:uid="{00000000-0005-0000-0000-0000C3B10000}"/>
    <cellStyle name="Percent 6 2 5 6" xfId="22505" xr:uid="{00000000-0005-0000-0000-0000C4B10000}"/>
    <cellStyle name="Percent 6 2 5 6 2" xfId="45773" xr:uid="{00000000-0005-0000-0000-0000C5B10000}"/>
    <cellStyle name="Percent 6 2 5 7" xfId="22506" xr:uid="{00000000-0005-0000-0000-0000C6B10000}"/>
    <cellStyle name="Percent 6 2 5 7 2" xfId="45774" xr:uid="{00000000-0005-0000-0000-0000C7B10000}"/>
    <cellStyle name="Percent 6 2 5 8" xfId="41200" xr:uid="{00000000-0005-0000-0000-0000C8B10000}"/>
    <cellStyle name="Percent 6 2 6" xfId="17816" xr:uid="{00000000-0005-0000-0000-0000C9B10000}"/>
    <cellStyle name="Percent 6 2 6 2" xfId="22507" xr:uid="{00000000-0005-0000-0000-0000CAB10000}"/>
    <cellStyle name="Percent 6 2 6 2 2" xfId="22508" xr:uid="{00000000-0005-0000-0000-0000CBB10000}"/>
    <cellStyle name="Percent 6 2 6 2 2 2" xfId="45776" xr:uid="{00000000-0005-0000-0000-0000CCB10000}"/>
    <cellStyle name="Percent 6 2 6 2 3" xfId="22509" xr:uid="{00000000-0005-0000-0000-0000CDB10000}"/>
    <cellStyle name="Percent 6 2 6 2 3 2" xfId="45777" xr:uid="{00000000-0005-0000-0000-0000CEB10000}"/>
    <cellStyle name="Percent 6 2 6 2 4" xfId="45775" xr:uid="{00000000-0005-0000-0000-0000CFB10000}"/>
    <cellStyle name="Percent 6 2 6 3" xfId="22510" xr:uid="{00000000-0005-0000-0000-0000D0B10000}"/>
    <cellStyle name="Percent 6 2 6 3 2" xfId="22511" xr:uid="{00000000-0005-0000-0000-0000D1B10000}"/>
    <cellStyle name="Percent 6 2 6 3 2 2" xfId="45779" xr:uid="{00000000-0005-0000-0000-0000D2B10000}"/>
    <cellStyle name="Percent 6 2 6 3 3" xfId="45778" xr:uid="{00000000-0005-0000-0000-0000D3B10000}"/>
    <cellStyle name="Percent 6 2 6 4" xfId="22512" xr:uid="{00000000-0005-0000-0000-0000D4B10000}"/>
    <cellStyle name="Percent 6 2 6 4 2" xfId="45780" xr:uid="{00000000-0005-0000-0000-0000D5B10000}"/>
    <cellStyle name="Percent 6 2 6 5" xfId="22513" xr:uid="{00000000-0005-0000-0000-0000D6B10000}"/>
    <cellStyle name="Percent 6 2 6 5 2" xfId="45781" xr:uid="{00000000-0005-0000-0000-0000D7B10000}"/>
    <cellStyle name="Percent 6 2 6 6" xfId="22514" xr:uid="{00000000-0005-0000-0000-0000D8B10000}"/>
    <cellStyle name="Percent 6 2 6 6 2" xfId="45782" xr:uid="{00000000-0005-0000-0000-0000D9B10000}"/>
    <cellStyle name="Percent 6 2 6 7" xfId="41276" xr:uid="{00000000-0005-0000-0000-0000DAB10000}"/>
    <cellStyle name="Percent 6 2 7" xfId="22515" xr:uid="{00000000-0005-0000-0000-0000DBB10000}"/>
    <cellStyle name="Percent 6 2 7 2" xfId="22516" xr:uid="{00000000-0005-0000-0000-0000DCB10000}"/>
    <cellStyle name="Percent 6 2 7 2 2" xfId="45784" xr:uid="{00000000-0005-0000-0000-0000DDB10000}"/>
    <cellStyle name="Percent 6 2 7 3" xfId="22517" xr:uid="{00000000-0005-0000-0000-0000DEB10000}"/>
    <cellStyle name="Percent 6 2 7 3 2" xfId="45785" xr:uid="{00000000-0005-0000-0000-0000DFB10000}"/>
    <cellStyle name="Percent 6 2 7 4" xfId="45783" xr:uid="{00000000-0005-0000-0000-0000E0B10000}"/>
    <cellStyle name="Percent 6 2 8" xfId="22518" xr:uid="{00000000-0005-0000-0000-0000E1B10000}"/>
    <cellStyle name="Percent 6 2 8 2" xfId="22519" xr:uid="{00000000-0005-0000-0000-0000E2B10000}"/>
    <cellStyle name="Percent 6 2 8 2 2" xfId="45787" xr:uid="{00000000-0005-0000-0000-0000E3B10000}"/>
    <cellStyle name="Percent 6 2 8 3" xfId="45786" xr:uid="{00000000-0005-0000-0000-0000E4B10000}"/>
    <cellStyle name="Percent 6 2 9" xfId="22520" xr:uid="{00000000-0005-0000-0000-0000E5B10000}"/>
    <cellStyle name="Percent 6 2 9 2" xfId="45788" xr:uid="{00000000-0005-0000-0000-0000E6B10000}"/>
    <cellStyle name="Percent 6 3" xfId="168" xr:uid="{00000000-0005-0000-0000-0000E7B10000}"/>
    <cellStyle name="Percent 6 3 10" xfId="23709" xr:uid="{00000000-0005-0000-0000-0000E8B10000}"/>
    <cellStyle name="Percent 6 3 2" xfId="17672" xr:uid="{00000000-0005-0000-0000-0000E9B10000}"/>
    <cellStyle name="Percent 6 3 2 2" xfId="17917" xr:uid="{00000000-0005-0000-0000-0000EAB10000}"/>
    <cellStyle name="Percent 6 3 2 2 2" xfId="22521" xr:uid="{00000000-0005-0000-0000-0000EBB10000}"/>
    <cellStyle name="Percent 6 3 2 2 2 2" xfId="22522" xr:uid="{00000000-0005-0000-0000-0000ECB10000}"/>
    <cellStyle name="Percent 6 3 2 2 2 2 2" xfId="45790" xr:uid="{00000000-0005-0000-0000-0000EDB10000}"/>
    <cellStyle name="Percent 6 3 2 2 2 3" xfId="22523" xr:uid="{00000000-0005-0000-0000-0000EEB10000}"/>
    <cellStyle name="Percent 6 3 2 2 2 3 2" xfId="45791" xr:uid="{00000000-0005-0000-0000-0000EFB10000}"/>
    <cellStyle name="Percent 6 3 2 2 2 4" xfId="45789" xr:uid="{00000000-0005-0000-0000-0000F0B10000}"/>
    <cellStyle name="Percent 6 3 2 2 3" xfId="22524" xr:uid="{00000000-0005-0000-0000-0000F1B10000}"/>
    <cellStyle name="Percent 6 3 2 2 3 2" xfId="22525" xr:uid="{00000000-0005-0000-0000-0000F2B10000}"/>
    <cellStyle name="Percent 6 3 2 2 3 2 2" xfId="45793" xr:uid="{00000000-0005-0000-0000-0000F3B10000}"/>
    <cellStyle name="Percent 6 3 2 2 3 3" xfId="45792" xr:uid="{00000000-0005-0000-0000-0000F4B10000}"/>
    <cellStyle name="Percent 6 3 2 2 4" xfId="22526" xr:uid="{00000000-0005-0000-0000-0000F5B10000}"/>
    <cellStyle name="Percent 6 3 2 2 4 2" xfId="45794" xr:uid="{00000000-0005-0000-0000-0000F6B10000}"/>
    <cellStyle name="Percent 6 3 2 2 5" xfId="22527" xr:uid="{00000000-0005-0000-0000-0000F7B10000}"/>
    <cellStyle name="Percent 6 3 2 2 5 2" xfId="45795" xr:uid="{00000000-0005-0000-0000-0000F8B10000}"/>
    <cellStyle name="Percent 6 3 2 2 6" xfId="22528" xr:uid="{00000000-0005-0000-0000-0000F9B10000}"/>
    <cellStyle name="Percent 6 3 2 2 6 2" xfId="45796" xr:uid="{00000000-0005-0000-0000-0000FAB10000}"/>
    <cellStyle name="Percent 6 3 2 2 7" xfId="41377" xr:uid="{00000000-0005-0000-0000-0000FBB10000}"/>
    <cellStyle name="Percent 6 3 2 3" xfId="22529" xr:uid="{00000000-0005-0000-0000-0000FCB10000}"/>
    <cellStyle name="Percent 6 3 2 3 2" xfId="22530" xr:uid="{00000000-0005-0000-0000-0000FDB10000}"/>
    <cellStyle name="Percent 6 3 2 3 2 2" xfId="45798" xr:uid="{00000000-0005-0000-0000-0000FEB10000}"/>
    <cellStyle name="Percent 6 3 2 3 3" xfId="22531" xr:uid="{00000000-0005-0000-0000-0000FFB10000}"/>
    <cellStyle name="Percent 6 3 2 3 3 2" xfId="45799" xr:uid="{00000000-0005-0000-0000-000000B20000}"/>
    <cellStyle name="Percent 6 3 2 3 4" xfId="45797" xr:uid="{00000000-0005-0000-0000-000001B20000}"/>
    <cellStyle name="Percent 6 3 2 4" xfId="22532" xr:uid="{00000000-0005-0000-0000-000002B20000}"/>
    <cellStyle name="Percent 6 3 2 4 2" xfId="22533" xr:uid="{00000000-0005-0000-0000-000003B20000}"/>
    <cellStyle name="Percent 6 3 2 4 2 2" xfId="45801" xr:uid="{00000000-0005-0000-0000-000004B20000}"/>
    <cellStyle name="Percent 6 3 2 4 3" xfId="45800" xr:uid="{00000000-0005-0000-0000-000005B20000}"/>
    <cellStyle name="Percent 6 3 2 5" xfId="22534" xr:uid="{00000000-0005-0000-0000-000006B20000}"/>
    <cellStyle name="Percent 6 3 2 5 2" xfId="45802" xr:uid="{00000000-0005-0000-0000-000007B20000}"/>
    <cellStyle name="Percent 6 3 2 6" xfId="22535" xr:uid="{00000000-0005-0000-0000-000008B20000}"/>
    <cellStyle name="Percent 6 3 2 6 2" xfId="45803" xr:uid="{00000000-0005-0000-0000-000009B20000}"/>
    <cellStyle name="Percent 6 3 2 7" xfId="22536" xr:uid="{00000000-0005-0000-0000-00000AB20000}"/>
    <cellStyle name="Percent 6 3 2 7 2" xfId="45804" xr:uid="{00000000-0005-0000-0000-00000BB20000}"/>
    <cellStyle name="Percent 6 3 2 8" xfId="41138" xr:uid="{00000000-0005-0000-0000-00000CB20000}"/>
    <cellStyle name="Percent 6 3 3" xfId="17768" xr:uid="{00000000-0005-0000-0000-00000DB20000}"/>
    <cellStyle name="Percent 6 3 3 2" xfId="18002" xr:uid="{00000000-0005-0000-0000-00000EB20000}"/>
    <cellStyle name="Percent 6 3 3 2 2" xfId="22537" xr:uid="{00000000-0005-0000-0000-00000FB20000}"/>
    <cellStyle name="Percent 6 3 3 2 2 2" xfId="22538" xr:uid="{00000000-0005-0000-0000-000010B20000}"/>
    <cellStyle name="Percent 6 3 3 2 2 2 2" xfId="45806" xr:uid="{00000000-0005-0000-0000-000011B20000}"/>
    <cellStyle name="Percent 6 3 3 2 2 3" xfId="22539" xr:uid="{00000000-0005-0000-0000-000012B20000}"/>
    <cellStyle name="Percent 6 3 3 2 2 3 2" xfId="45807" xr:uid="{00000000-0005-0000-0000-000013B20000}"/>
    <cellStyle name="Percent 6 3 3 2 2 4" xfId="45805" xr:uid="{00000000-0005-0000-0000-000014B20000}"/>
    <cellStyle name="Percent 6 3 3 2 3" xfId="22540" xr:uid="{00000000-0005-0000-0000-000015B20000}"/>
    <cellStyle name="Percent 6 3 3 2 3 2" xfId="22541" xr:uid="{00000000-0005-0000-0000-000016B20000}"/>
    <cellStyle name="Percent 6 3 3 2 3 2 2" xfId="45809" xr:uid="{00000000-0005-0000-0000-000017B20000}"/>
    <cellStyle name="Percent 6 3 3 2 3 3" xfId="45808" xr:uid="{00000000-0005-0000-0000-000018B20000}"/>
    <cellStyle name="Percent 6 3 3 2 4" xfId="22542" xr:uid="{00000000-0005-0000-0000-000019B20000}"/>
    <cellStyle name="Percent 6 3 3 2 4 2" xfId="45810" xr:uid="{00000000-0005-0000-0000-00001AB20000}"/>
    <cellStyle name="Percent 6 3 3 2 5" xfId="22543" xr:uid="{00000000-0005-0000-0000-00001BB20000}"/>
    <cellStyle name="Percent 6 3 3 2 5 2" xfId="45811" xr:uid="{00000000-0005-0000-0000-00001CB20000}"/>
    <cellStyle name="Percent 6 3 3 2 6" xfId="22544" xr:uid="{00000000-0005-0000-0000-00001DB20000}"/>
    <cellStyle name="Percent 6 3 3 2 6 2" xfId="45812" xr:uid="{00000000-0005-0000-0000-00001EB20000}"/>
    <cellStyle name="Percent 6 3 3 2 7" xfId="41462" xr:uid="{00000000-0005-0000-0000-00001FB20000}"/>
    <cellStyle name="Percent 6 3 3 3" xfId="22545" xr:uid="{00000000-0005-0000-0000-000020B20000}"/>
    <cellStyle name="Percent 6 3 3 3 2" xfId="22546" xr:uid="{00000000-0005-0000-0000-000021B20000}"/>
    <cellStyle name="Percent 6 3 3 3 2 2" xfId="45814" xr:uid="{00000000-0005-0000-0000-000022B20000}"/>
    <cellStyle name="Percent 6 3 3 3 3" xfId="22547" xr:uid="{00000000-0005-0000-0000-000023B20000}"/>
    <cellStyle name="Percent 6 3 3 3 3 2" xfId="45815" xr:uid="{00000000-0005-0000-0000-000024B20000}"/>
    <cellStyle name="Percent 6 3 3 3 4" xfId="45813" xr:uid="{00000000-0005-0000-0000-000025B20000}"/>
    <cellStyle name="Percent 6 3 3 4" xfId="22548" xr:uid="{00000000-0005-0000-0000-000026B20000}"/>
    <cellStyle name="Percent 6 3 3 4 2" xfId="22549" xr:uid="{00000000-0005-0000-0000-000027B20000}"/>
    <cellStyle name="Percent 6 3 3 4 2 2" xfId="45817" xr:uid="{00000000-0005-0000-0000-000028B20000}"/>
    <cellStyle name="Percent 6 3 3 4 3" xfId="45816" xr:uid="{00000000-0005-0000-0000-000029B20000}"/>
    <cellStyle name="Percent 6 3 3 5" xfId="22550" xr:uid="{00000000-0005-0000-0000-00002AB20000}"/>
    <cellStyle name="Percent 6 3 3 5 2" xfId="45818" xr:uid="{00000000-0005-0000-0000-00002BB20000}"/>
    <cellStyle name="Percent 6 3 3 6" xfId="22551" xr:uid="{00000000-0005-0000-0000-00002CB20000}"/>
    <cellStyle name="Percent 6 3 3 6 2" xfId="45819" xr:uid="{00000000-0005-0000-0000-00002DB20000}"/>
    <cellStyle name="Percent 6 3 3 7" xfId="22552" xr:uid="{00000000-0005-0000-0000-00002EB20000}"/>
    <cellStyle name="Percent 6 3 3 7 2" xfId="45820" xr:uid="{00000000-0005-0000-0000-00002FB20000}"/>
    <cellStyle name="Percent 6 3 3 8" xfId="41228" xr:uid="{00000000-0005-0000-0000-000030B20000}"/>
    <cellStyle name="Percent 6 3 4" xfId="17842" xr:uid="{00000000-0005-0000-0000-000031B20000}"/>
    <cellStyle name="Percent 6 3 4 2" xfId="22553" xr:uid="{00000000-0005-0000-0000-000032B20000}"/>
    <cellStyle name="Percent 6 3 4 2 2" xfId="22554" xr:uid="{00000000-0005-0000-0000-000033B20000}"/>
    <cellStyle name="Percent 6 3 4 2 2 2" xfId="45822" xr:uid="{00000000-0005-0000-0000-000034B20000}"/>
    <cellStyle name="Percent 6 3 4 2 3" xfId="22555" xr:uid="{00000000-0005-0000-0000-000035B20000}"/>
    <cellStyle name="Percent 6 3 4 2 3 2" xfId="45823" xr:uid="{00000000-0005-0000-0000-000036B20000}"/>
    <cellStyle name="Percent 6 3 4 2 4" xfId="45821" xr:uid="{00000000-0005-0000-0000-000037B20000}"/>
    <cellStyle name="Percent 6 3 4 3" xfId="22556" xr:uid="{00000000-0005-0000-0000-000038B20000}"/>
    <cellStyle name="Percent 6 3 4 3 2" xfId="22557" xr:uid="{00000000-0005-0000-0000-000039B20000}"/>
    <cellStyle name="Percent 6 3 4 3 2 2" xfId="45825" xr:uid="{00000000-0005-0000-0000-00003AB20000}"/>
    <cellStyle name="Percent 6 3 4 3 3" xfId="45824" xr:uid="{00000000-0005-0000-0000-00003BB20000}"/>
    <cellStyle name="Percent 6 3 4 4" xfId="22558" xr:uid="{00000000-0005-0000-0000-00003CB20000}"/>
    <cellStyle name="Percent 6 3 4 4 2" xfId="45826" xr:uid="{00000000-0005-0000-0000-00003DB20000}"/>
    <cellStyle name="Percent 6 3 4 5" xfId="22559" xr:uid="{00000000-0005-0000-0000-00003EB20000}"/>
    <cellStyle name="Percent 6 3 4 5 2" xfId="45827" xr:uid="{00000000-0005-0000-0000-00003FB20000}"/>
    <cellStyle name="Percent 6 3 4 6" xfId="22560" xr:uid="{00000000-0005-0000-0000-000040B20000}"/>
    <cellStyle name="Percent 6 3 4 6 2" xfId="45828" xr:uid="{00000000-0005-0000-0000-000041B20000}"/>
    <cellStyle name="Percent 6 3 4 7" xfId="41302" xr:uid="{00000000-0005-0000-0000-000042B20000}"/>
    <cellStyle name="Percent 6 3 5" xfId="22561" xr:uid="{00000000-0005-0000-0000-000043B20000}"/>
    <cellStyle name="Percent 6 3 5 2" xfId="22562" xr:uid="{00000000-0005-0000-0000-000044B20000}"/>
    <cellStyle name="Percent 6 3 5 2 2" xfId="45830" xr:uid="{00000000-0005-0000-0000-000045B20000}"/>
    <cellStyle name="Percent 6 3 5 3" xfId="22563" xr:uid="{00000000-0005-0000-0000-000046B20000}"/>
    <cellStyle name="Percent 6 3 5 3 2" xfId="45831" xr:uid="{00000000-0005-0000-0000-000047B20000}"/>
    <cellStyle name="Percent 6 3 5 4" xfId="45829" xr:uid="{00000000-0005-0000-0000-000048B20000}"/>
    <cellStyle name="Percent 6 3 6" xfId="22564" xr:uid="{00000000-0005-0000-0000-000049B20000}"/>
    <cellStyle name="Percent 6 3 6 2" xfId="22565" xr:uid="{00000000-0005-0000-0000-00004AB20000}"/>
    <cellStyle name="Percent 6 3 6 2 2" xfId="45833" xr:uid="{00000000-0005-0000-0000-00004BB20000}"/>
    <cellStyle name="Percent 6 3 6 3" xfId="45832" xr:uid="{00000000-0005-0000-0000-00004CB20000}"/>
    <cellStyle name="Percent 6 3 7" xfId="22566" xr:uid="{00000000-0005-0000-0000-00004DB20000}"/>
    <cellStyle name="Percent 6 3 7 2" xfId="45834" xr:uid="{00000000-0005-0000-0000-00004EB20000}"/>
    <cellStyle name="Percent 6 3 8" xfId="22567" xr:uid="{00000000-0005-0000-0000-00004FB20000}"/>
    <cellStyle name="Percent 6 3 8 2" xfId="45835" xr:uid="{00000000-0005-0000-0000-000050B20000}"/>
    <cellStyle name="Percent 6 3 9" xfId="22568" xr:uid="{00000000-0005-0000-0000-000051B20000}"/>
    <cellStyle name="Percent 6 3 9 2" xfId="45836" xr:uid="{00000000-0005-0000-0000-000052B20000}"/>
    <cellStyle name="Percent 6 4" xfId="17673" xr:uid="{00000000-0005-0000-0000-000053B20000}"/>
    <cellStyle name="Percent 6 4 10" xfId="41139" xr:uid="{00000000-0005-0000-0000-000054B20000}"/>
    <cellStyle name="Percent 6 4 2" xfId="17709" xr:uid="{00000000-0005-0000-0000-000055B20000}"/>
    <cellStyle name="Percent 6 4 2 2" xfId="17930" xr:uid="{00000000-0005-0000-0000-000056B20000}"/>
    <cellStyle name="Percent 6 4 2 2 2" xfId="22569" xr:uid="{00000000-0005-0000-0000-000057B20000}"/>
    <cellStyle name="Percent 6 4 2 2 2 2" xfId="22570" xr:uid="{00000000-0005-0000-0000-000058B20000}"/>
    <cellStyle name="Percent 6 4 2 2 2 2 2" xfId="45838" xr:uid="{00000000-0005-0000-0000-000059B20000}"/>
    <cellStyle name="Percent 6 4 2 2 2 3" xfId="22571" xr:uid="{00000000-0005-0000-0000-00005AB20000}"/>
    <cellStyle name="Percent 6 4 2 2 2 3 2" xfId="45839" xr:uid="{00000000-0005-0000-0000-00005BB20000}"/>
    <cellStyle name="Percent 6 4 2 2 2 4" xfId="45837" xr:uid="{00000000-0005-0000-0000-00005CB20000}"/>
    <cellStyle name="Percent 6 4 2 2 3" xfId="22572" xr:uid="{00000000-0005-0000-0000-00005DB20000}"/>
    <cellStyle name="Percent 6 4 2 2 3 2" xfId="22573" xr:uid="{00000000-0005-0000-0000-00005EB20000}"/>
    <cellStyle name="Percent 6 4 2 2 3 2 2" xfId="45841" xr:uid="{00000000-0005-0000-0000-00005FB20000}"/>
    <cellStyle name="Percent 6 4 2 2 3 3" xfId="45840" xr:uid="{00000000-0005-0000-0000-000060B20000}"/>
    <cellStyle name="Percent 6 4 2 2 4" xfId="22574" xr:uid="{00000000-0005-0000-0000-000061B20000}"/>
    <cellStyle name="Percent 6 4 2 2 4 2" xfId="45842" xr:uid="{00000000-0005-0000-0000-000062B20000}"/>
    <cellStyle name="Percent 6 4 2 2 5" xfId="22575" xr:uid="{00000000-0005-0000-0000-000063B20000}"/>
    <cellStyle name="Percent 6 4 2 2 5 2" xfId="45843" xr:uid="{00000000-0005-0000-0000-000064B20000}"/>
    <cellStyle name="Percent 6 4 2 2 6" xfId="22576" xr:uid="{00000000-0005-0000-0000-000065B20000}"/>
    <cellStyle name="Percent 6 4 2 2 6 2" xfId="45844" xr:uid="{00000000-0005-0000-0000-000066B20000}"/>
    <cellStyle name="Percent 6 4 2 2 7" xfId="41390" xr:uid="{00000000-0005-0000-0000-000067B20000}"/>
    <cellStyle name="Percent 6 4 2 3" xfId="22577" xr:uid="{00000000-0005-0000-0000-000068B20000}"/>
    <cellStyle name="Percent 6 4 2 3 2" xfId="22578" xr:uid="{00000000-0005-0000-0000-000069B20000}"/>
    <cellStyle name="Percent 6 4 2 3 2 2" xfId="45846" xr:uid="{00000000-0005-0000-0000-00006AB20000}"/>
    <cellStyle name="Percent 6 4 2 3 3" xfId="22579" xr:uid="{00000000-0005-0000-0000-00006BB20000}"/>
    <cellStyle name="Percent 6 4 2 3 3 2" xfId="45847" xr:uid="{00000000-0005-0000-0000-00006CB20000}"/>
    <cellStyle name="Percent 6 4 2 3 4" xfId="45845" xr:uid="{00000000-0005-0000-0000-00006DB20000}"/>
    <cellStyle name="Percent 6 4 2 4" xfId="22580" xr:uid="{00000000-0005-0000-0000-00006EB20000}"/>
    <cellStyle name="Percent 6 4 2 4 2" xfId="22581" xr:uid="{00000000-0005-0000-0000-00006FB20000}"/>
    <cellStyle name="Percent 6 4 2 4 2 2" xfId="45849" xr:uid="{00000000-0005-0000-0000-000070B20000}"/>
    <cellStyle name="Percent 6 4 2 4 3" xfId="45848" xr:uid="{00000000-0005-0000-0000-000071B20000}"/>
    <cellStyle name="Percent 6 4 2 5" xfId="22582" xr:uid="{00000000-0005-0000-0000-000072B20000}"/>
    <cellStyle name="Percent 6 4 2 5 2" xfId="45850" xr:uid="{00000000-0005-0000-0000-000073B20000}"/>
    <cellStyle name="Percent 6 4 2 6" xfId="22583" xr:uid="{00000000-0005-0000-0000-000074B20000}"/>
    <cellStyle name="Percent 6 4 2 6 2" xfId="45851" xr:uid="{00000000-0005-0000-0000-000075B20000}"/>
    <cellStyle name="Percent 6 4 2 7" xfId="22584" xr:uid="{00000000-0005-0000-0000-000076B20000}"/>
    <cellStyle name="Percent 6 4 2 7 2" xfId="45852" xr:uid="{00000000-0005-0000-0000-000077B20000}"/>
    <cellStyle name="Percent 6 4 2 8" xfId="41169" xr:uid="{00000000-0005-0000-0000-000078B20000}"/>
    <cellStyle name="Percent 6 4 3" xfId="17792" xr:uid="{00000000-0005-0000-0000-000079B20000}"/>
    <cellStyle name="Percent 6 4 3 2" xfId="18028" xr:uid="{00000000-0005-0000-0000-00007AB20000}"/>
    <cellStyle name="Percent 6 4 3 2 2" xfId="22585" xr:uid="{00000000-0005-0000-0000-00007BB20000}"/>
    <cellStyle name="Percent 6 4 3 2 2 2" xfId="22586" xr:uid="{00000000-0005-0000-0000-00007CB20000}"/>
    <cellStyle name="Percent 6 4 3 2 2 2 2" xfId="45854" xr:uid="{00000000-0005-0000-0000-00007DB20000}"/>
    <cellStyle name="Percent 6 4 3 2 2 3" xfId="22587" xr:uid="{00000000-0005-0000-0000-00007EB20000}"/>
    <cellStyle name="Percent 6 4 3 2 2 3 2" xfId="45855" xr:uid="{00000000-0005-0000-0000-00007FB20000}"/>
    <cellStyle name="Percent 6 4 3 2 2 4" xfId="45853" xr:uid="{00000000-0005-0000-0000-000080B20000}"/>
    <cellStyle name="Percent 6 4 3 2 3" xfId="22588" xr:uid="{00000000-0005-0000-0000-000081B20000}"/>
    <cellStyle name="Percent 6 4 3 2 3 2" xfId="22589" xr:uid="{00000000-0005-0000-0000-000082B20000}"/>
    <cellStyle name="Percent 6 4 3 2 3 2 2" xfId="45857" xr:uid="{00000000-0005-0000-0000-000083B20000}"/>
    <cellStyle name="Percent 6 4 3 2 3 3" xfId="45856" xr:uid="{00000000-0005-0000-0000-000084B20000}"/>
    <cellStyle name="Percent 6 4 3 2 4" xfId="22590" xr:uid="{00000000-0005-0000-0000-000085B20000}"/>
    <cellStyle name="Percent 6 4 3 2 4 2" xfId="45858" xr:uid="{00000000-0005-0000-0000-000086B20000}"/>
    <cellStyle name="Percent 6 4 3 2 5" xfId="22591" xr:uid="{00000000-0005-0000-0000-000087B20000}"/>
    <cellStyle name="Percent 6 4 3 2 5 2" xfId="45859" xr:uid="{00000000-0005-0000-0000-000088B20000}"/>
    <cellStyle name="Percent 6 4 3 2 6" xfId="22592" xr:uid="{00000000-0005-0000-0000-000089B20000}"/>
    <cellStyle name="Percent 6 4 3 2 6 2" xfId="45860" xr:uid="{00000000-0005-0000-0000-00008AB20000}"/>
    <cellStyle name="Percent 6 4 3 2 7" xfId="41488" xr:uid="{00000000-0005-0000-0000-00008BB20000}"/>
    <cellStyle name="Percent 6 4 3 3" xfId="22593" xr:uid="{00000000-0005-0000-0000-00008CB20000}"/>
    <cellStyle name="Percent 6 4 3 3 2" xfId="22594" xr:uid="{00000000-0005-0000-0000-00008DB20000}"/>
    <cellStyle name="Percent 6 4 3 3 2 2" xfId="45862" xr:uid="{00000000-0005-0000-0000-00008EB20000}"/>
    <cellStyle name="Percent 6 4 3 3 3" xfId="22595" xr:uid="{00000000-0005-0000-0000-00008FB20000}"/>
    <cellStyle name="Percent 6 4 3 3 3 2" xfId="45863" xr:uid="{00000000-0005-0000-0000-000090B20000}"/>
    <cellStyle name="Percent 6 4 3 3 4" xfId="45861" xr:uid="{00000000-0005-0000-0000-000091B20000}"/>
    <cellStyle name="Percent 6 4 3 4" xfId="22596" xr:uid="{00000000-0005-0000-0000-000092B20000}"/>
    <cellStyle name="Percent 6 4 3 4 2" xfId="22597" xr:uid="{00000000-0005-0000-0000-000093B20000}"/>
    <cellStyle name="Percent 6 4 3 4 2 2" xfId="45865" xr:uid="{00000000-0005-0000-0000-000094B20000}"/>
    <cellStyle name="Percent 6 4 3 4 3" xfId="45864" xr:uid="{00000000-0005-0000-0000-000095B20000}"/>
    <cellStyle name="Percent 6 4 3 5" xfId="22598" xr:uid="{00000000-0005-0000-0000-000096B20000}"/>
    <cellStyle name="Percent 6 4 3 5 2" xfId="45866" xr:uid="{00000000-0005-0000-0000-000097B20000}"/>
    <cellStyle name="Percent 6 4 3 6" xfId="22599" xr:uid="{00000000-0005-0000-0000-000098B20000}"/>
    <cellStyle name="Percent 6 4 3 6 2" xfId="45867" xr:uid="{00000000-0005-0000-0000-000099B20000}"/>
    <cellStyle name="Percent 6 4 3 7" xfId="22600" xr:uid="{00000000-0005-0000-0000-00009AB20000}"/>
    <cellStyle name="Percent 6 4 3 7 2" xfId="45868" xr:uid="{00000000-0005-0000-0000-00009BB20000}"/>
    <cellStyle name="Percent 6 4 3 8" xfId="41252" xr:uid="{00000000-0005-0000-0000-00009CB20000}"/>
    <cellStyle name="Percent 6 4 4" xfId="17857" xr:uid="{00000000-0005-0000-0000-00009DB20000}"/>
    <cellStyle name="Percent 6 4 4 2" xfId="22601" xr:uid="{00000000-0005-0000-0000-00009EB20000}"/>
    <cellStyle name="Percent 6 4 4 2 2" xfId="22602" xr:uid="{00000000-0005-0000-0000-00009FB20000}"/>
    <cellStyle name="Percent 6 4 4 2 2 2" xfId="45870" xr:uid="{00000000-0005-0000-0000-0000A0B20000}"/>
    <cellStyle name="Percent 6 4 4 2 3" xfId="22603" xr:uid="{00000000-0005-0000-0000-0000A1B20000}"/>
    <cellStyle name="Percent 6 4 4 2 3 2" xfId="45871" xr:uid="{00000000-0005-0000-0000-0000A2B20000}"/>
    <cellStyle name="Percent 6 4 4 2 4" xfId="45869" xr:uid="{00000000-0005-0000-0000-0000A3B20000}"/>
    <cellStyle name="Percent 6 4 4 3" xfId="22604" xr:uid="{00000000-0005-0000-0000-0000A4B20000}"/>
    <cellStyle name="Percent 6 4 4 3 2" xfId="22605" xr:uid="{00000000-0005-0000-0000-0000A5B20000}"/>
    <cellStyle name="Percent 6 4 4 3 2 2" xfId="45873" xr:uid="{00000000-0005-0000-0000-0000A6B20000}"/>
    <cellStyle name="Percent 6 4 4 3 3" xfId="45872" xr:uid="{00000000-0005-0000-0000-0000A7B20000}"/>
    <cellStyle name="Percent 6 4 4 4" xfId="22606" xr:uid="{00000000-0005-0000-0000-0000A8B20000}"/>
    <cellStyle name="Percent 6 4 4 4 2" xfId="45874" xr:uid="{00000000-0005-0000-0000-0000A9B20000}"/>
    <cellStyle name="Percent 6 4 4 5" xfId="22607" xr:uid="{00000000-0005-0000-0000-0000AAB20000}"/>
    <cellStyle name="Percent 6 4 4 5 2" xfId="45875" xr:uid="{00000000-0005-0000-0000-0000ABB20000}"/>
    <cellStyle name="Percent 6 4 4 6" xfId="22608" xr:uid="{00000000-0005-0000-0000-0000ACB20000}"/>
    <cellStyle name="Percent 6 4 4 6 2" xfId="45876" xr:uid="{00000000-0005-0000-0000-0000ADB20000}"/>
    <cellStyle name="Percent 6 4 4 7" xfId="41317" xr:uid="{00000000-0005-0000-0000-0000AEB20000}"/>
    <cellStyle name="Percent 6 4 5" xfId="22609" xr:uid="{00000000-0005-0000-0000-0000AFB20000}"/>
    <cellStyle name="Percent 6 4 5 2" xfId="22610" xr:uid="{00000000-0005-0000-0000-0000B0B20000}"/>
    <cellStyle name="Percent 6 4 5 2 2" xfId="45878" xr:uid="{00000000-0005-0000-0000-0000B1B20000}"/>
    <cellStyle name="Percent 6 4 5 3" xfId="22611" xr:uid="{00000000-0005-0000-0000-0000B2B20000}"/>
    <cellStyle name="Percent 6 4 5 3 2" xfId="45879" xr:uid="{00000000-0005-0000-0000-0000B3B20000}"/>
    <cellStyle name="Percent 6 4 5 4" xfId="45877" xr:uid="{00000000-0005-0000-0000-0000B4B20000}"/>
    <cellStyle name="Percent 6 4 6" xfId="22612" xr:uid="{00000000-0005-0000-0000-0000B5B20000}"/>
    <cellStyle name="Percent 6 4 6 2" xfId="22613" xr:uid="{00000000-0005-0000-0000-0000B6B20000}"/>
    <cellStyle name="Percent 6 4 6 2 2" xfId="45881" xr:uid="{00000000-0005-0000-0000-0000B7B20000}"/>
    <cellStyle name="Percent 6 4 6 3" xfId="45880" xr:uid="{00000000-0005-0000-0000-0000B8B20000}"/>
    <cellStyle name="Percent 6 4 7" xfId="22614" xr:uid="{00000000-0005-0000-0000-0000B9B20000}"/>
    <cellStyle name="Percent 6 4 7 2" xfId="45882" xr:uid="{00000000-0005-0000-0000-0000BAB20000}"/>
    <cellStyle name="Percent 6 4 8" xfId="22615" xr:uid="{00000000-0005-0000-0000-0000BBB20000}"/>
    <cellStyle name="Percent 6 4 8 2" xfId="45883" xr:uid="{00000000-0005-0000-0000-0000BCB20000}"/>
    <cellStyle name="Percent 6 4 9" xfId="22616" xr:uid="{00000000-0005-0000-0000-0000BDB20000}"/>
    <cellStyle name="Percent 6 4 9 2" xfId="45884" xr:uid="{00000000-0005-0000-0000-0000BEB20000}"/>
    <cellStyle name="Percent 6 5" xfId="17692" xr:uid="{00000000-0005-0000-0000-0000BFB20000}"/>
    <cellStyle name="Percent 6 5 2" xfId="17881" xr:uid="{00000000-0005-0000-0000-0000C0B20000}"/>
    <cellStyle name="Percent 6 5 2 2" xfId="22617" xr:uid="{00000000-0005-0000-0000-0000C1B20000}"/>
    <cellStyle name="Percent 6 5 2 2 2" xfId="22618" xr:uid="{00000000-0005-0000-0000-0000C2B20000}"/>
    <cellStyle name="Percent 6 5 2 2 2 2" xfId="45886" xr:uid="{00000000-0005-0000-0000-0000C3B20000}"/>
    <cellStyle name="Percent 6 5 2 2 3" xfId="22619" xr:uid="{00000000-0005-0000-0000-0000C4B20000}"/>
    <cellStyle name="Percent 6 5 2 2 3 2" xfId="45887" xr:uid="{00000000-0005-0000-0000-0000C5B20000}"/>
    <cellStyle name="Percent 6 5 2 2 4" xfId="45885" xr:uid="{00000000-0005-0000-0000-0000C6B20000}"/>
    <cellStyle name="Percent 6 5 2 3" xfId="22620" xr:uid="{00000000-0005-0000-0000-0000C7B20000}"/>
    <cellStyle name="Percent 6 5 2 3 2" xfId="22621" xr:uid="{00000000-0005-0000-0000-0000C8B20000}"/>
    <cellStyle name="Percent 6 5 2 3 2 2" xfId="45889" xr:uid="{00000000-0005-0000-0000-0000C9B20000}"/>
    <cellStyle name="Percent 6 5 2 3 3" xfId="45888" xr:uid="{00000000-0005-0000-0000-0000CAB20000}"/>
    <cellStyle name="Percent 6 5 2 4" xfId="22622" xr:uid="{00000000-0005-0000-0000-0000CBB20000}"/>
    <cellStyle name="Percent 6 5 2 4 2" xfId="45890" xr:uid="{00000000-0005-0000-0000-0000CCB20000}"/>
    <cellStyle name="Percent 6 5 2 5" xfId="22623" xr:uid="{00000000-0005-0000-0000-0000CDB20000}"/>
    <cellStyle name="Percent 6 5 2 5 2" xfId="45891" xr:uid="{00000000-0005-0000-0000-0000CEB20000}"/>
    <cellStyle name="Percent 6 5 2 6" xfId="22624" xr:uid="{00000000-0005-0000-0000-0000CFB20000}"/>
    <cellStyle name="Percent 6 5 2 6 2" xfId="45892" xr:uid="{00000000-0005-0000-0000-0000D0B20000}"/>
    <cellStyle name="Percent 6 5 2 7" xfId="41341" xr:uid="{00000000-0005-0000-0000-0000D1B20000}"/>
    <cellStyle name="Percent 6 5 3" xfId="22625" xr:uid="{00000000-0005-0000-0000-0000D2B20000}"/>
    <cellStyle name="Percent 6 5 3 2" xfId="22626" xr:uid="{00000000-0005-0000-0000-0000D3B20000}"/>
    <cellStyle name="Percent 6 5 3 2 2" xfId="45894" xr:uid="{00000000-0005-0000-0000-0000D4B20000}"/>
    <cellStyle name="Percent 6 5 3 3" xfId="22627" xr:uid="{00000000-0005-0000-0000-0000D5B20000}"/>
    <cellStyle name="Percent 6 5 3 3 2" xfId="45895" xr:uid="{00000000-0005-0000-0000-0000D6B20000}"/>
    <cellStyle name="Percent 6 5 3 4" xfId="45893" xr:uid="{00000000-0005-0000-0000-0000D7B20000}"/>
    <cellStyle name="Percent 6 5 4" xfId="22628" xr:uid="{00000000-0005-0000-0000-0000D8B20000}"/>
    <cellStyle name="Percent 6 5 4 2" xfId="22629" xr:uid="{00000000-0005-0000-0000-0000D9B20000}"/>
    <cellStyle name="Percent 6 5 4 2 2" xfId="45897" xr:uid="{00000000-0005-0000-0000-0000DAB20000}"/>
    <cellStyle name="Percent 6 5 4 3" xfId="45896" xr:uid="{00000000-0005-0000-0000-0000DBB20000}"/>
    <cellStyle name="Percent 6 5 5" xfId="22630" xr:uid="{00000000-0005-0000-0000-0000DCB20000}"/>
    <cellStyle name="Percent 6 5 5 2" xfId="45898" xr:uid="{00000000-0005-0000-0000-0000DDB20000}"/>
    <cellStyle name="Percent 6 5 6" xfId="22631" xr:uid="{00000000-0005-0000-0000-0000DEB20000}"/>
    <cellStyle name="Percent 6 5 6 2" xfId="45899" xr:uid="{00000000-0005-0000-0000-0000DFB20000}"/>
    <cellStyle name="Percent 6 5 7" xfId="22632" xr:uid="{00000000-0005-0000-0000-0000E0B20000}"/>
    <cellStyle name="Percent 6 5 7 2" xfId="45900" xr:uid="{00000000-0005-0000-0000-0000E1B20000}"/>
    <cellStyle name="Percent 6 5 8" xfId="41152" xr:uid="{00000000-0005-0000-0000-0000E2B20000}"/>
    <cellStyle name="Percent 6 6" xfId="17739" xr:uid="{00000000-0005-0000-0000-0000E3B20000}"/>
    <cellStyle name="Percent 6 6 2" xfId="17971" xr:uid="{00000000-0005-0000-0000-0000E4B20000}"/>
    <cellStyle name="Percent 6 6 2 2" xfId="22633" xr:uid="{00000000-0005-0000-0000-0000E5B20000}"/>
    <cellStyle name="Percent 6 6 2 2 2" xfId="22634" xr:uid="{00000000-0005-0000-0000-0000E6B20000}"/>
    <cellStyle name="Percent 6 6 2 2 2 2" xfId="45902" xr:uid="{00000000-0005-0000-0000-0000E7B20000}"/>
    <cellStyle name="Percent 6 6 2 2 3" xfId="22635" xr:uid="{00000000-0005-0000-0000-0000E8B20000}"/>
    <cellStyle name="Percent 6 6 2 2 3 2" xfId="45903" xr:uid="{00000000-0005-0000-0000-0000E9B20000}"/>
    <cellStyle name="Percent 6 6 2 2 4" xfId="45901" xr:uid="{00000000-0005-0000-0000-0000EAB20000}"/>
    <cellStyle name="Percent 6 6 2 3" xfId="22636" xr:uid="{00000000-0005-0000-0000-0000EBB20000}"/>
    <cellStyle name="Percent 6 6 2 3 2" xfId="22637" xr:uid="{00000000-0005-0000-0000-0000ECB20000}"/>
    <cellStyle name="Percent 6 6 2 3 2 2" xfId="45905" xr:uid="{00000000-0005-0000-0000-0000EDB20000}"/>
    <cellStyle name="Percent 6 6 2 3 3" xfId="45904" xr:uid="{00000000-0005-0000-0000-0000EEB20000}"/>
    <cellStyle name="Percent 6 6 2 4" xfId="22638" xr:uid="{00000000-0005-0000-0000-0000EFB20000}"/>
    <cellStyle name="Percent 6 6 2 4 2" xfId="45906" xr:uid="{00000000-0005-0000-0000-0000F0B20000}"/>
    <cellStyle name="Percent 6 6 2 5" xfId="22639" xr:uid="{00000000-0005-0000-0000-0000F1B20000}"/>
    <cellStyle name="Percent 6 6 2 5 2" xfId="45907" xr:uid="{00000000-0005-0000-0000-0000F2B20000}"/>
    <cellStyle name="Percent 6 6 2 6" xfId="22640" xr:uid="{00000000-0005-0000-0000-0000F3B20000}"/>
    <cellStyle name="Percent 6 6 2 6 2" xfId="45908" xr:uid="{00000000-0005-0000-0000-0000F4B20000}"/>
    <cellStyle name="Percent 6 6 2 7" xfId="41431" xr:uid="{00000000-0005-0000-0000-0000F5B20000}"/>
    <cellStyle name="Percent 6 6 3" xfId="22641" xr:uid="{00000000-0005-0000-0000-0000F6B20000}"/>
    <cellStyle name="Percent 6 6 3 2" xfId="22642" xr:uid="{00000000-0005-0000-0000-0000F7B20000}"/>
    <cellStyle name="Percent 6 6 3 2 2" xfId="45910" xr:uid="{00000000-0005-0000-0000-0000F8B20000}"/>
    <cellStyle name="Percent 6 6 3 3" xfId="22643" xr:uid="{00000000-0005-0000-0000-0000F9B20000}"/>
    <cellStyle name="Percent 6 6 3 3 2" xfId="45911" xr:uid="{00000000-0005-0000-0000-0000FAB20000}"/>
    <cellStyle name="Percent 6 6 3 4" xfId="45909" xr:uid="{00000000-0005-0000-0000-0000FBB20000}"/>
    <cellStyle name="Percent 6 6 4" xfId="22644" xr:uid="{00000000-0005-0000-0000-0000FCB20000}"/>
    <cellStyle name="Percent 6 6 4 2" xfId="22645" xr:uid="{00000000-0005-0000-0000-0000FDB20000}"/>
    <cellStyle name="Percent 6 6 4 2 2" xfId="45913" xr:uid="{00000000-0005-0000-0000-0000FEB20000}"/>
    <cellStyle name="Percent 6 6 4 3" xfId="45912" xr:uid="{00000000-0005-0000-0000-0000FFB20000}"/>
    <cellStyle name="Percent 6 6 5" xfId="22646" xr:uid="{00000000-0005-0000-0000-000000B30000}"/>
    <cellStyle name="Percent 6 6 5 2" xfId="45914" xr:uid="{00000000-0005-0000-0000-000001B30000}"/>
    <cellStyle name="Percent 6 6 6" xfId="22647" xr:uid="{00000000-0005-0000-0000-000002B30000}"/>
    <cellStyle name="Percent 6 6 6 2" xfId="45915" xr:uid="{00000000-0005-0000-0000-000003B30000}"/>
    <cellStyle name="Percent 6 6 7" xfId="22648" xr:uid="{00000000-0005-0000-0000-000004B30000}"/>
    <cellStyle name="Percent 6 6 7 2" xfId="45916" xr:uid="{00000000-0005-0000-0000-000005B30000}"/>
    <cellStyle name="Percent 6 6 8" xfId="41199" xr:uid="{00000000-0005-0000-0000-000006B30000}"/>
    <cellStyle name="Percent 6 7" xfId="17802" xr:uid="{00000000-0005-0000-0000-000007B30000}"/>
    <cellStyle name="Percent 6 7 2" xfId="22649" xr:uid="{00000000-0005-0000-0000-000008B30000}"/>
    <cellStyle name="Percent 6 7 2 2" xfId="22650" xr:uid="{00000000-0005-0000-0000-000009B30000}"/>
    <cellStyle name="Percent 6 7 2 2 2" xfId="45918" xr:uid="{00000000-0005-0000-0000-00000AB30000}"/>
    <cellStyle name="Percent 6 7 2 3" xfId="22651" xr:uid="{00000000-0005-0000-0000-00000BB30000}"/>
    <cellStyle name="Percent 6 7 2 3 2" xfId="45919" xr:uid="{00000000-0005-0000-0000-00000CB30000}"/>
    <cellStyle name="Percent 6 7 2 4" xfId="45917" xr:uid="{00000000-0005-0000-0000-00000DB30000}"/>
    <cellStyle name="Percent 6 7 3" xfId="22652" xr:uid="{00000000-0005-0000-0000-00000EB30000}"/>
    <cellStyle name="Percent 6 7 3 2" xfId="22653" xr:uid="{00000000-0005-0000-0000-00000FB30000}"/>
    <cellStyle name="Percent 6 7 3 2 2" xfId="45921" xr:uid="{00000000-0005-0000-0000-000010B30000}"/>
    <cellStyle name="Percent 6 7 3 3" xfId="45920" xr:uid="{00000000-0005-0000-0000-000011B30000}"/>
    <cellStyle name="Percent 6 7 4" xfId="22654" xr:uid="{00000000-0005-0000-0000-000012B30000}"/>
    <cellStyle name="Percent 6 7 4 2" xfId="45922" xr:uid="{00000000-0005-0000-0000-000013B30000}"/>
    <cellStyle name="Percent 6 7 5" xfId="22655" xr:uid="{00000000-0005-0000-0000-000014B30000}"/>
    <cellStyle name="Percent 6 7 5 2" xfId="45923" xr:uid="{00000000-0005-0000-0000-000015B30000}"/>
    <cellStyle name="Percent 6 7 6" xfId="22656" xr:uid="{00000000-0005-0000-0000-000016B30000}"/>
    <cellStyle name="Percent 6 7 6 2" xfId="45924" xr:uid="{00000000-0005-0000-0000-000017B30000}"/>
    <cellStyle name="Percent 6 7 7" xfId="41262" xr:uid="{00000000-0005-0000-0000-000018B30000}"/>
    <cellStyle name="Percent 6 8" xfId="22657" xr:uid="{00000000-0005-0000-0000-000019B30000}"/>
    <cellStyle name="Percent 6 8 2" xfId="22658" xr:uid="{00000000-0005-0000-0000-00001AB30000}"/>
    <cellStyle name="Percent 6 8 2 2" xfId="45926" xr:uid="{00000000-0005-0000-0000-00001BB30000}"/>
    <cellStyle name="Percent 6 8 3" xfId="22659" xr:uid="{00000000-0005-0000-0000-00001CB30000}"/>
    <cellStyle name="Percent 6 8 3 2" xfId="45927" xr:uid="{00000000-0005-0000-0000-00001DB30000}"/>
    <cellStyle name="Percent 6 8 4" xfId="45925" xr:uid="{00000000-0005-0000-0000-00001EB30000}"/>
    <cellStyle name="Percent 6 9" xfId="22660" xr:uid="{00000000-0005-0000-0000-00001FB30000}"/>
    <cellStyle name="Percent 6 9 2" xfId="22661" xr:uid="{00000000-0005-0000-0000-000020B30000}"/>
    <cellStyle name="Percent 6 9 2 2" xfId="45929" xr:uid="{00000000-0005-0000-0000-000021B30000}"/>
    <cellStyle name="Percent 6 9 3" xfId="45928" xr:uid="{00000000-0005-0000-0000-000022B30000}"/>
    <cellStyle name="Percent 7" xfId="169" xr:uid="{00000000-0005-0000-0000-000023B30000}"/>
    <cellStyle name="Percent 7 10" xfId="22662" xr:uid="{00000000-0005-0000-0000-000024B30000}"/>
    <cellStyle name="Percent 7 10 2" xfId="45930" xr:uid="{00000000-0005-0000-0000-000025B30000}"/>
    <cellStyle name="Percent 7 11" xfId="22663" xr:uid="{00000000-0005-0000-0000-000026B30000}"/>
    <cellStyle name="Percent 7 11 2" xfId="45931" xr:uid="{00000000-0005-0000-0000-000027B30000}"/>
    <cellStyle name="Percent 7 12" xfId="22664" xr:uid="{00000000-0005-0000-0000-000028B30000}"/>
    <cellStyle name="Percent 7 12 2" xfId="45932" xr:uid="{00000000-0005-0000-0000-000029B30000}"/>
    <cellStyle name="Percent 7 13" xfId="23710" xr:uid="{00000000-0005-0000-0000-00002AB30000}"/>
    <cellStyle name="Percent 7 2" xfId="170" xr:uid="{00000000-0005-0000-0000-00002BB30000}"/>
    <cellStyle name="Percent 7 2 10" xfId="22665" xr:uid="{00000000-0005-0000-0000-00002CB30000}"/>
    <cellStyle name="Percent 7 2 10 2" xfId="45933" xr:uid="{00000000-0005-0000-0000-00002DB30000}"/>
    <cellStyle name="Percent 7 2 11" xfId="22666" xr:uid="{00000000-0005-0000-0000-00002EB30000}"/>
    <cellStyle name="Percent 7 2 11 2" xfId="45934" xr:uid="{00000000-0005-0000-0000-00002FB30000}"/>
    <cellStyle name="Percent 7 2 12" xfId="23711" xr:uid="{00000000-0005-0000-0000-000030B30000}"/>
    <cellStyle name="Percent 7 2 2" xfId="171" xr:uid="{00000000-0005-0000-0000-000031B30000}"/>
    <cellStyle name="Percent 7 2 2 10" xfId="23712" xr:uid="{00000000-0005-0000-0000-000032B30000}"/>
    <cellStyle name="Percent 7 2 2 2" xfId="17674" xr:uid="{00000000-0005-0000-0000-000033B30000}"/>
    <cellStyle name="Percent 7 2 2 2 2" xfId="17920" xr:uid="{00000000-0005-0000-0000-000034B30000}"/>
    <cellStyle name="Percent 7 2 2 2 2 2" xfId="22667" xr:uid="{00000000-0005-0000-0000-000035B30000}"/>
    <cellStyle name="Percent 7 2 2 2 2 2 2" xfId="22668" xr:uid="{00000000-0005-0000-0000-000036B30000}"/>
    <cellStyle name="Percent 7 2 2 2 2 2 2 2" xfId="45936" xr:uid="{00000000-0005-0000-0000-000037B30000}"/>
    <cellStyle name="Percent 7 2 2 2 2 2 3" xfId="22669" xr:uid="{00000000-0005-0000-0000-000038B30000}"/>
    <cellStyle name="Percent 7 2 2 2 2 2 3 2" xfId="45937" xr:uid="{00000000-0005-0000-0000-000039B30000}"/>
    <cellStyle name="Percent 7 2 2 2 2 2 4" xfId="45935" xr:uid="{00000000-0005-0000-0000-00003AB30000}"/>
    <cellStyle name="Percent 7 2 2 2 2 3" xfId="22670" xr:uid="{00000000-0005-0000-0000-00003BB30000}"/>
    <cellStyle name="Percent 7 2 2 2 2 3 2" xfId="22671" xr:uid="{00000000-0005-0000-0000-00003CB30000}"/>
    <cellStyle name="Percent 7 2 2 2 2 3 2 2" xfId="45939" xr:uid="{00000000-0005-0000-0000-00003DB30000}"/>
    <cellStyle name="Percent 7 2 2 2 2 3 3" xfId="45938" xr:uid="{00000000-0005-0000-0000-00003EB30000}"/>
    <cellStyle name="Percent 7 2 2 2 2 4" xfId="22672" xr:uid="{00000000-0005-0000-0000-00003FB30000}"/>
    <cellStyle name="Percent 7 2 2 2 2 4 2" xfId="45940" xr:uid="{00000000-0005-0000-0000-000040B30000}"/>
    <cellStyle name="Percent 7 2 2 2 2 5" xfId="22673" xr:uid="{00000000-0005-0000-0000-000041B30000}"/>
    <cellStyle name="Percent 7 2 2 2 2 5 2" xfId="45941" xr:uid="{00000000-0005-0000-0000-000042B30000}"/>
    <cellStyle name="Percent 7 2 2 2 2 6" xfId="22674" xr:uid="{00000000-0005-0000-0000-000043B30000}"/>
    <cellStyle name="Percent 7 2 2 2 2 6 2" xfId="45942" xr:uid="{00000000-0005-0000-0000-000044B30000}"/>
    <cellStyle name="Percent 7 2 2 2 2 7" xfId="41380" xr:uid="{00000000-0005-0000-0000-000045B30000}"/>
    <cellStyle name="Percent 7 2 2 2 3" xfId="22675" xr:uid="{00000000-0005-0000-0000-000046B30000}"/>
    <cellStyle name="Percent 7 2 2 2 3 2" xfId="22676" xr:uid="{00000000-0005-0000-0000-000047B30000}"/>
    <cellStyle name="Percent 7 2 2 2 3 2 2" xfId="45944" xr:uid="{00000000-0005-0000-0000-000048B30000}"/>
    <cellStyle name="Percent 7 2 2 2 3 3" xfId="22677" xr:uid="{00000000-0005-0000-0000-000049B30000}"/>
    <cellStyle name="Percent 7 2 2 2 3 3 2" xfId="45945" xr:uid="{00000000-0005-0000-0000-00004AB30000}"/>
    <cellStyle name="Percent 7 2 2 2 3 4" xfId="45943" xr:uid="{00000000-0005-0000-0000-00004BB30000}"/>
    <cellStyle name="Percent 7 2 2 2 4" xfId="22678" xr:uid="{00000000-0005-0000-0000-00004CB30000}"/>
    <cellStyle name="Percent 7 2 2 2 4 2" xfId="22679" xr:uid="{00000000-0005-0000-0000-00004DB30000}"/>
    <cellStyle name="Percent 7 2 2 2 4 2 2" xfId="45947" xr:uid="{00000000-0005-0000-0000-00004EB30000}"/>
    <cellStyle name="Percent 7 2 2 2 4 3" xfId="45946" xr:uid="{00000000-0005-0000-0000-00004FB30000}"/>
    <cellStyle name="Percent 7 2 2 2 5" xfId="22680" xr:uid="{00000000-0005-0000-0000-000050B30000}"/>
    <cellStyle name="Percent 7 2 2 2 5 2" xfId="45948" xr:uid="{00000000-0005-0000-0000-000051B30000}"/>
    <cellStyle name="Percent 7 2 2 2 6" xfId="22681" xr:uid="{00000000-0005-0000-0000-000052B30000}"/>
    <cellStyle name="Percent 7 2 2 2 6 2" xfId="45949" xr:uid="{00000000-0005-0000-0000-000053B30000}"/>
    <cellStyle name="Percent 7 2 2 2 7" xfId="22682" xr:uid="{00000000-0005-0000-0000-000054B30000}"/>
    <cellStyle name="Percent 7 2 2 2 7 2" xfId="45950" xr:uid="{00000000-0005-0000-0000-000055B30000}"/>
    <cellStyle name="Percent 7 2 2 2 8" xfId="41140" xr:uid="{00000000-0005-0000-0000-000056B30000}"/>
    <cellStyle name="Percent 7 2 2 3" xfId="17769" xr:uid="{00000000-0005-0000-0000-000057B30000}"/>
    <cellStyle name="Percent 7 2 2 3 2" xfId="18003" xr:uid="{00000000-0005-0000-0000-000058B30000}"/>
    <cellStyle name="Percent 7 2 2 3 2 2" xfId="22683" xr:uid="{00000000-0005-0000-0000-000059B30000}"/>
    <cellStyle name="Percent 7 2 2 3 2 2 2" xfId="22684" xr:uid="{00000000-0005-0000-0000-00005AB30000}"/>
    <cellStyle name="Percent 7 2 2 3 2 2 2 2" xfId="45952" xr:uid="{00000000-0005-0000-0000-00005BB30000}"/>
    <cellStyle name="Percent 7 2 2 3 2 2 3" xfId="22685" xr:uid="{00000000-0005-0000-0000-00005CB30000}"/>
    <cellStyle name="Percent 7 2 2 3 2 2 3 2" xfId="45953" xr:uid="{00000000-0005-0000-0000-00005DB30000}"/>
    <cellStyle name="Percent 7 2 2 3 2 2 4" xfId="45951" xr:uid="{00000000-0005-0000-0000-00005EB30000}"/>
    <cellStyle name="Percent 7 2 2 3 2 3" xfId="22686" xr:uid="{00000000-0005-0000-0000-00005FB30000}"/>
    <cellStyle name="Percent 7 2 2 3 2 3 2" xfId="22687" xr:uid="{00000000-0005-0000-0000-000060B30000}"/>
    <cellStyle name="Percent 7 2 2 3 2 3 2 2" xfId="45955" xr:uid="{00000000-0005-0000-0000-000061B30000}"/>
    <cellStyle name="Percent 7 2 2 3 2 3 3" xfId="45954" xr:uid="{00000000-0005-0000-0000-000062B30000}"/>
    <cellStyle name="Percent 7 2 2 3 2 4" xfId="22688" xr:uid="{00000000-0005-0000-0000-000063B30000}"/>
    <cellStyle name="Percent 7 2 2 3 2 4 2" xfId="45956" xr:uid="{00000000-0005-0000-0000-000064B30000}"/>
    <cellStyle name="Percent 7 2 2 3 2 5" xfId="22689" xr:uid="{00000000-0005-0000-0000-000065B30000}"/>
    <cellStyle name="Percent 7 2 2 3 2 5 2" xfId="45957" xr:uid="{00000000-0005-0000-0000-000066B30000}"/>
    <cellStyle name="Percent 7 2 2 3 2 6" xfId="22690" xr:uid="{00000000-0005-0000-0000-000067B30000}"/>
    <cellStyle name="Percent 7 2 2 3 2 6 2" xfId="45958" xr:uid="{00000000-0005-0000-0000-000068B30000}"/>
    <cellStyle name="Percent 7 2 2 3 2 7" xfId="41463" xr:uid="{00000000-0005-0000-0000-000069B30000}"/>
    <cellStyle name="Percent 7 2 2 3 3" xfId="22691" xr:uid="{00000000-0005-0000-0000-00006AB30000}"/>
    <cellStyle name="Percent 7 2 2 3 3 2" xfId="22692" xr:uid="{00000000-0005-0000-0000-00006BB30000}"/>
    <cellStyle name="Percent 7 2 2 3 3 2 2" xfId="45960" xr:uid="{00000000-0005-0000-0000-00006CB30000}"/>
    <cellStyle name="Percent 7 2 2 3 3 3" xfId="22693" xr:uid="{00000000-0005-0000-0000-00006DB30000}"/>
    <cellStyle name="Percent 7 2 2 3 3 3 2" xfId="45961" xr:uid="{00000000-0005-0000-0000-00006EB30000}"/>
    <cellStyle name="Percent 7 2 2 3 3 4" xfId="45959" xr:uid="{00000000-0005-0000-0000-00006FB30000}"/>
    <cellStyle name="Percent 7 2 2 3 4" xfId="22694" xr:uid="{00000000-0005-0000-0000-000070B30000}"/>
    <cellStyle name="Percent 7 2 2 3 4 2" xfId="22695" xr:uid="{00000000-0005-0000-0000-000071B30000}"/>
    <cellStyle name="Percent 7 2 2 3 4 2 2" xfId="45963" xr:uid="{00000000-0005-0000-0000-000072B30000}"/>
    <cellStyle name="Percent 7 2 2 3 4 3" xfId="45962" xr:uid="{00000000-0005-0000-0000-000073B30000}"/>
    <cellStyle name="Percent 7 2 2 3 5" xfId="22696" xr:uid="{00000000-0005-0000-0000-000074B30000}"/>
    <cellStyle name="Percent 7 2 2 3 5 2" xfId="45964" xr:uid="{00000000-0005-0000-0000-000075B30000}"/>
    <cellStyle name="Percent 7 2 2 3 6" xfId="22697" xr:uid="{00000000-0005-0000-0000-000076B30000}"/>
    <cellStyle name="Percent 7 2 2 3 6 2" xfId="45965" xr:uid="{00000000-0005-0000-0000-000077B30000}"/>
    <cellStyle name="Percent 7 2 2 3 7" xfId="22698" xr:uid="{00000000-0005-0000-0000-000078B30000}"/>
    <cellStyle name="Percent 7 2 2 3 7 2" xfId="45966" xr:uid="{00000000-0005-0000-0000-000079B30000}"/>
    <cellStyle name="Percent 7 2 2 3 8" xfId="41229" xr:uid="{00000000-0005-0000-0000-00007AB30000}"/>
    <cellStyle name="Percent 7 2 2 4" xfId="17845" xr:uid="{00000000-0005-0000-0000-00007BB30000}"/>
    <cellStyle name="Percent 7 2 2 4 2" xfId="22699" xr:uid="{00000000-0005-0000-0000-00007CB30000}"/>
    <cellStyle name="Percent 7 2 2 4 2 2" xfId="22700" xr:uid="{00000000-0005-0000-0000-00007DB30000}"/>
    <cellStyle name="Percent 7 2 2 4 2 2 2" xfId="45968" xr:uid="{00000000-0005-0000-0000-00007EB30000}"/>
    <cellStyle name="Percent 7 2 2 4 2 3" xfId="22701" xr:uid="{00000000-0005-0000-0000-00007FB30000}"/>
    <cellStyle name="Percent 7 2 2 4 2 3 2" xfId="45969" xr:uid="{00000000-0005-0000-0000-000080B30000}"/>
    <cellStyle name="Percent 7 2 2 4 2 4" xfId="45967" xr:uid="{00000000-0005-0000-0000-000081B30000}"/>
    <cellStyle name="Percent 7 2 2 4 3" xfId="22702" xr:uid="{00000000-0005-0000-0000-000082B30000}"/>
    <cellStyle name="Percent 7 2 2 4 3 2" xfId="22703" xr:uid="{00000000-0005-0000-0000-000083B30000}"/>
    <cellStyle name="Percent 7 2 2 4 3 2 2" xfId="45971" xr:uid="{00000000-0005-0000-0000-000084B30000}"/>
    <cellStyle name="Percent 7 2 2 4 3 3" xfId="45970" xr:uid="{00000000-0005-0000-0000-000085B30000}"/>
    <cellStyle name="Percent 7 2 2 4 4" xfId="22704" xr:uid="{00000000-0005-0000-0000-000086B30000}"/>
    <cellStyle name="Percent 7 2 2 4 4 2" xfId="45972" xr:uid="{00000000-0005-0000-0000-000087B30000}"/>
    <cellStyle name="Percent 7 2 2 4 5" xfId="22705" xr:uid="{00000000-0005-0000-0000-000088B30000}"/>
    <cellStyle name="Percent 7 2 2 4 5 2" xfId="45973" xr:uid="{00000000-0005-0000-0000-000089B30000}"/>
    <cellStyle name="Percent 7 2 2 4 6" xfId="22706" xr:uid="{00000000-0005-0000-0000-00008AB30000}"/>
    <cellStyle name="Percent 7 2 2 4 6 2" xfId="45974" xr:uid="{00000000-0005-0000-0000-00008BB30000}"/>
    <cellStyle name="Percent 7 2 2 4 7" xfId="41305" xr:uid="{00000000-0005-0000-0000-00008CB30000}"/>
    <cellStyle name="Percent 7 2 2 5" xfId="22707" xr:uid="{00000000-0005-0000-0000-00008DB30000}"/>
    <cellStyle name="Percent 7 2 2 5 2" xfId="22708" xr:uid="{00000000-0005-0000-0000-00008EB30000}"/>
    <cellStyle name="Percent 7 2 2 5 2 2" xfId="45976" xr:uid="{00000000-0005-0000-0000-00008FB30000}"/>
    <cellStyle name="Percent 7 2 2 5 3" xfId="22709" xr:uid="{00000000-0005-0000-0000-000090B30000}"/>
    <cellStyle name="Percent 7 2 2 5 3 2" xfId="45977" xr:uid="{00000000-0005-0000-0000-000091B30000}"/>
    <cellStyle name="Percent 7 2 2 5 4" xfId="45975" xr:uid="{00000000-0005-0000-0000-000092B30000}"/>
    <cellStyle name="Percent 7 2 2 6" xfId="22710" xr:uid="{00000000-0005-0000-0000-000093B30000}"/>
    <cellStyle name="Percent 7 2 2 6 2" xfId="22711" xr:uid="{00000000-0005-0000-0000-000094B30000}"/>
    <cellStyle name="Percent 7 2 2 6 2 2" xfId="45979" xr:uid="{00000000-0005-0000-0000-000095B30000}"/>
    <cellStyle name="Percent 7 2 2 6 3" xfId="45978" xr:uid="{00000000-0005-0000-0000-000096B30000}"/>
    <cellStyle name="Percent 7 2 2 7" xfId="22712" xr:uid="{00000000-0005-0000-0000-000097B30000}"/>
    <cellStyle name="Percent 7 2 2 7 2" xfId="45980" xr:uid="{00000000-0005-0000-0000-000098B30000}"/>
    <cellStyle name="Percent 7 2 2 8" xfId="22713" xr:uid="{00000000-0005-0000-0000-000099B30000}"/>
    <cellStyle name="Percent 7 2 2 8 2" xfId="45981" xr:uid="{00000000-0005-0000-0000-00009AB30000}"/>
    <cellStyle name="Percent 7 2 2 9" xfId="22714" xr:uid="{00000000-0005-0000-0000-00009BB30000}"/>
    <cellStyle name="Percent 7 2 2 9 2" xfId="45982" xr:uid="{00000000-0005-0000-0000-00009CB30000}"/>
    <cellStyle name="Percent 7 2 3" xfId="17675" xr:uid="{00000000-0005-0000-0000-00009DB30000}"/>
    <cellStyle name="Percent 7 2 3 10" xfId="41141" xr:uid="{00000000-0005-0000-0000-00009EB30000}"/>
    <cellStyle name="Percent 7 2 3 2" xfId="17718" xr:uid="{00000000-0005-0000-0000-00009FB30000}"/>
    <cellStyle name="Percent 7 2 3 2 2" xfId="17948" xr:uid="{00000000-0005-0000-0000-0000A0B30000}"/>
    <cellStyle name="Percent 7 2 3 2 2 2" xfId="22715" xr:uid="{00000000-0005-0000-0000-0000A1B30000}"/>
    <cellStyle name="Percent 7 2 3 2 2 2 2" xfId="22716" xr:uid="{00000000-0005-0000-0000-0000A2B30000}"/>
    <cellStyle name="Percent 7 2 3 2 2 2 2 2" xfId="45984" xr:uid="{00000000-0005-0000-0000-0000A3B30000}"/>
    <cellStyle name="Percent 7 2 3 2 2 2 3" xfId="22717" xr:uid="{00000000-0005-0000-0000-0000A4B30000}"/>
    <cellStyle name="Percent 7 2 3 2 2 2 3 2" xfId="45985" xr:uid="{00000000-0005-0000-0000-0000A5B30000}"/>
    <cellStyle name="Percent 7 2 3 2 2 2 4" xfId="45983" xr:uid="{00000000-0005-0000-0000-0000A6B30000}"/>
    <cellStyle name="Percent 7 2 3 2 2 3" xfId="22718" xr:uid="{00000000-0005-0000-0000-0000A7B30000}"/>
    <cellStyle name="Percent 7 2 3 2 2 3 2" xfId="22719" xr:uid="{00000000-0005-0000-0000-0000A8B30000}"/>
    <cellStyle name="Percent 7 2 3 2 2 3 2 2" xfId="45987" xr:uid="{00000000-0005-0000-0000-0000A9B30000}"/>
    <cellStyle name="Percent 7 2 3 2 2 3 3" xfId="45986" xr:uid="{00000000-0005-0000-0000-0000AAB30000}"/>
    <cellStyle name="Percent 7 2 3 2 2 4" xfId="22720" xr:uid="{00000000-0005-0000-0000-0000ABB30000}"/>
    <cellStyle name="Percent 7 2 3 2 2 4 2" xfId="45988" xr:uid="{00000000-0005-0000-0000-0000ACB30000}"/>
    <cellStyle name="Percent 7 2 3 2 2 5" xfId="22721" xr:uid="{00000000-0005-0000-0000-0000ADB30000}"/>
    <cellStyle name="Percent 7 2 3 2 2 5 2" xfId="45989" xr:uid="{00000000-0005-0000-0000-0000AEB30000}"/>
    <cellStyle name="Percent 7 2 3 2 2 6" xfId="22722" xr:uid="{00000000-0005-0000-0000-0000AFB30000}"/>
    <cellStyle name="Percent 7 2 3 2 2 6 2" xfId="45990" xr:uid="{00000000-0005-0000-0000-0000B0B30000}"/>
    <cellStyle name="Percent 7 2 3 2 2 7" xfId="41408" xr:uid="{00000000-0005-0000-0000-0000B1B30000}"/>
    <cellStyle name="Percent 7 2 3 2 3" xfId="22723" xr:uid="{00000000-0005-0000-0000-0000B2B30000}"/>
    <cellStyle name="Percent 7 2 3 2 3 2" xfId="22724" xr:uid="{00000000-0005-0000-0000-0000B3B30000}"/>
    <cellStyle name="Percent 7 2 3 2 3 2 2" xfId="45992" xr:uid="{00000000-0005-0000-0000-0000B4B30000}"/>
    <cellStyle name="Percent 7 2 3 2 3 3" xfId="22725" xr:uid="{00000000-0005-0000-0000-0000B5B30000}"/>
    <cellStyle name="Percent 7 2 3 2 3 3 2" xfId="45993" xr:uid="{00000000-0005-0000-0000-0000B6B30000}"/>
    <cellStyle name="Percent 7 2 3 2 3 4" xfId="45991" xr:uid="{00000000-0005-0000-0000-0000B7B30000}"/>
    <cellStyle name="Percent 7 2 3 2 4" xfId="22726" xr:uid="{00000000-0005-0000-0000-0000B8B30000}"/>
    <cellStyle name="Percent 7 2 3 2 4 2" xfId="22727" xr:uid="{00000000-0005-0000-0000-0000B9B30000}"/>
    <cellStyle name="Percent 7 2 3 2 4 2 2" xfId="45995" xr:uid="{00000000-0005-0000-0000-0000BAB30000}"/>
    <cellStyle name="Percent 7 2 3 2 4 3" xfId="45994" xr:uid="{00000000-0005-0000-0000-0000BBB30000}"/>
    <cellStyle name="Percent 7 2 3 2 5" xfId="22728" xr:uid="{00000000-0005-0000-0000-0000BCB30000}"/>
    <cellStyle name="Percent 7 2 3 2 5 2" xfId="45996" xr:uid="{00000000-0005-0000-0000-0000BDB30000}"/>
    <cellStyle name="Percent 7 2 3 2 6" xfId="22729" xr:uid="{00000000-0005-0000-0000-0000BEB30000}"/>
    <cellStyle name="Percent 7 2 3 2 6 2" xfId="45997" xr:uid="{00000000-0005-0000-0000-0000BFB30000}"/>
    <cellStyle name="Percent 7 2 3 2 7" xfId="22730" xr:uid="{00000000-0005-0000-0000-0000C0B30000}"/>
    <cellStyle name="Percent 7 2 3 2 7 2" xfId="45998" xr:uid="{00000000-0005-0000-0000-0000C1B30000}"/>
    <cellStyle name="Percent 7 2 3 2 8" xfId="41178" xr:uid="{00000000-0005-0000-0000-0000C2B30000}"/>
    <cellStyle name="Percent 7 2 3 3" xfId="17793" xr:uid="{00000000-0005-0000-0000-0000C3B30000}"/>
    <cellStyle name="Percent 7 2 3 3 2" xfId="18029" xr:uid="{00000000-0005-0000-0000-0000C4B30000}"/>
    <cellStyle name="Percent 7 2 3 3 2 2" xfId="22731" xr:uid="{00000000-0005-0000-0000-0000C5B30000}"/>
    <cellStyle name="Percent 7 2 3 3 2 2 2" xfId="22732" xr:uid="{00000000-0005-0000-0000-0000C6B30000}"/>
    <cellStyle name="Percent 7 2 3 3 2 2 2 2" xfId="46000" xr:uid="{00000000-0005-0000-0000-0000C7B30000}"/>
    <cellStyle name="Percent 7 2 3 3 2 2 3" xfId="22733" xr:uid="{00000000-0005-0000-0000-0000C8B30000}"/>
    <cellStyle name="Percent 7 2 3 3 2 2 3 2" xfId="46001" xr:uid="{00000000-0005-0000-0000-0000C9B30000}"/>
    <cellStyle name="Percent 7 2 3 3 2 2 4" xfId="45999" xr:uid="{00000000-0005-0000-0000-0000CAB30000}"/>
    <cellStyle name="Percent 7 2 3 3 2 3" xfId="22734" xr:uid="{00000000-0005-0000-0000-0000CBB30000}"/>
    <cellStyle name="Percent 7 2 3 3 2 3 2" xfId="22735" xr:uid="{00000000-0005-0000-0000-0000CCB30000}"/>
    <cellStyle name="Percent 7 2 3 3 2 3 2 2" xfId="46003" xr:uid="{00000000-0005-0000-0000-0000CDB30000}"/>
    <cellStyle name="Percent 7 2 3 3 2 3 3" xfId="46002" xr:uid="{00000000-0005-0000-0000-0000CEB30000}"/>
    <cellStyle name="Percent 7 2 3 3 2 4" xfId="22736" xr:uid="{00000000-0005-0000-0000-0000CFB30000}"/>
    <cellStyle name="Percent 7 2 3 3 2 4 2" xfId="46004" xr:uid="{00000000-0005-0000-0000-0000D0B30000}"/>
    <cellStyle name="Percent 7 2 3 3 2 5" xfId="22737" xr:uid="{00000000-0005-0000-0000-0000D1B30000}"/>
    <cellStyle name="Percent 7 2 3 3 2 5 2" xfId="46005" xr:uid="{00000000-0005-0000-0000-0000D2B30000}"/>
    <cellStyle name="Percent 7 2 3 3 2 6" xfId="22738" xr:uid="{00000000-0005-0000-0000-0000D3B30000}"/>
    <cellStyle name="Percent 7 2 3 3 2 6 2" xfId="46006" xr:uid="{00000000-0005-0000-0000-0000D4B30000}"/>
    <cellStyle name="Percent 7 2 3 3 2 7" xfId="41489" xr:uid="{00000000-0005-0000-0000-0000D5B30000}"/>
    <cellStyle name="Percent 7 2 3 3 3" xfId="22739" xr:uid="{00000000-0005-0000-0000-0000D6B30000}"/>
    <cellStyle name="Percent 7 2 3 3 3 2" xfId="22740" xr:uid="{00000000-0005-0000-0000-0000D7B30000}"/>
    <cellStyle name="Percent 7 2 3 3 3 2 2" xfId="46008" xr:uid="{00000000-0005-0000-0000-0000D8B30000}"/>
    <cellStyle name="Percent 7 2 3 3 3 3" xfId="22741" xr:uid="{00000000-0005-0000-0000-0000D9B30000}"/>
    <cellStyle name="Percent 7 2 3 3 3 3 2" xfId="46009" xr:uid="{00000000-0005-0000-0000-0000DAB30000}"/>
    <cellStyle name="Percent 7 2 3 3 3 4" xfId="46007" xr:uid="{00000000-0005-0000-0000-0000DBB30000}"/>
    <cellStyle name="Percent 7 2 3 3 4" xfId="22742" xr:uid="{00000000-0005-0000-0000-0000DCB30000}"/>
    <cellStyle name="Percent 7 2 3 3 4 2" xfId="22743" xr:uid="{00000000-0005-0000-0000-0000DDB30000}"/>
    <cellStyle name="Percent 7 2 3 3 4 2 2" xfId="46011" xr:uid="{00000000-0005-0000-0000-0000DEB30000}"/>
    <cellStyle name="Percent 7 2 3 3 4 3" xfId="46010" xr:uid="{00000000-0005-0000-0000-0000DFB30000}"/>
    <cellStyle name="Percent 7 2 3 3 5" xfId="22744" xr:uid="{00000000-0005-0000-0000-0000E0B30000}"/>
    <cellStyle name="Percent 7 2 3 3 5 2" xfId="46012" xr:uid="{00000000-0005-0000-0000-0000E1B30000}"/>
    <cellStyle name="Percent 7 2 3 3 6" xfId="22745" xr:uid="{00000000-0005-0000-0000-0000E2B30000}"/>
    <cellStyle name="Percent 7 2 3 3 6 2" xfId="46013" xr:uid="{00000000-0005-0000-0000-0000E3B30000}"/>
    <cellStyle name="Percent 7 2 3 3 7" xfId="22746" xr:uid="{00000000-0005-0000-0000-0000E4B30000}"/>
    <cellStyle name="Percent 7 2 3 3 7 2" xfId="46014" xr:uid="{00000000-0005-0000-0000-0000E5B30000}"/>
    <cellStyle name="Percent 7 2 3 3 8" xfId="41253" xr:uid="{00000000-0005-0000-0000-0000E6B30000}"/>
    <cellStyle name="Percent 7 2 3 4" xfId="17876" xr:uid="{00000000-0005-0000-0000-0000E7B30000}"/>
    <cellStyle name="Percent 7 2 3 4 2" xfId="22747" xr:uid="{00000000-0005-0000-0000-0000E8B30000}"/>
    <cellStyle name="Percent 7 2 3 4 2 2" xfId="22748" xr:uid="{00000000-0005-0000-0000-0000E9B30000}"/>
    <cellStyle name="Percent 7 2 3 4 2 2 2" xfId="46016" xr:uid="{00000000-0005-0000-0000-0000EAB30000}"/>
    <cellStyle name="Percent 7 2 3 4 2 3" xfId="22749" xr:uid="{00000000-0005-0000-0000-0000EBB30000}"/>
    <cellStyle name="Percent 7 2 3 4 2 3 2" xfId="46017" xr:uid="{00000000-0005-0000-0000-0000ECB30000}"/>
    <cellStyle name="Percent 7 2 3 4 2 4" xfId="46015" xr:uid="{00000000-0005-0000-0000-0000EDB30000}"/>
    <cellStyle name="Percent 7 2 3 4 3" xfId="22750" xr:uid="{00000000-0005-0000-0000-0000EEB30000}"/>
    <cellStyle name="Percent 7 2 3 4 3 2" xfId="22751" xr:uid="{00000000-0005-0000-0000-0000EFB30000}"/>
    <cellStyle name="Percent 7 2 3 4 3 2 2" xfId="46019" xr:uid="{00000000-0005-0000-0000-0000F0B30000}"/>
    <cellStyle name="Percent 7 2 3 4 3 3" xfId="46018" xr:uid="{00000000-0005-0000-0000-0000F1B30000}"/>
    <cellStyle name="Percent 7 2 3 4 4" xfId="22752" xr:uid="{00000000-0005-0000-0000-0000F2B30000}"/>
    <cellStyle name="Percent 7 2 3 4 4 2" xfId="46020" xr:uid="{00000000-0005-0000-0000-0000F3B30000}"/>
    <cellStyle name="Percent 7 2 3 4 5" xfId="22753" xr:uid="{00000000-0005-0000-0000-0000F4B30000}"/>
    <cellStyle name="Percent 7 2 3 4 5 2" xfId="46021" xr:uid="{00000000-0005-0000-0000-0000F5B30000}"/>
    <cellStyle name="Percent 7 2 3 4 6" xfId="22754" xr:uid="{00000000-0005-0000-0000-0000F6B30000}"/>
    <cellStyle name="Percent 7 2 3 4 6 2" xfId="46022" xr:uid="{00000000-0005-0000-0000-0000F7B30000}"/>
    <cellStyle name="Percent 7 2 3 4 7" xfId="41336" xr:uid="{00000000-0005-0000-0000-0000F8B30000}"/>
    <cellStyle name="Percent 7 2 3 5" xfId="22755" xr:uid="{00000000-0005-0000-0000-0000F9B30000}"/>
    <cellStyle name="Percent 7 2 3 5 2" xfId="22756" xr:uid="{00000000-0005-0000-0000-0000FAB30000}"/>
    <cellStyle name="Percent 7 2 3 5 2 2" xfId="46024" xr:uid="{00000000-0005-0000-0000-0000FBB30000}"/>
    <cellStyle name="Percent 7 2 3 5 3" xfId="22757" xr:uid="{00000000-0005-0000-0000-0000FCB30000}"/>
    <cellStyle name="Percent 7 2 3 5 3 2" xfId="46025" xr:uid="{00000000-0005-0000-0000-0000FDB30000}"/>
    <cellStyle name="Percent 7 2 3 5 4" xfId="46023" xr:uid="{00000000-0005-0000-0000-0000FEB30000}"/>
    <cellStyle name="Percent 7 2 3 6" xfId="22758" xr:uid="{00000000-0005-0000-0000-0000FFB30000}"/>
    <cellStyle name="Percent 7 2 3 6 2" xfId="22759" xr:uid="{00000000-0005-0000-0000-000000B40000}"/>
    <cellStyle name="Percent 7 2 3 6 2 2" xfId="46027" xr:uid="{00000000-0005-0000-0000-000001B40000}"/>
    <cellStyle name="Percent 7 2 3 6 3" xfId="46026" xr:uid="{00000000-0005-0000-0000-000002B40000}"/>
    <cellStyle name="Percent 7 2 3 7" xfId="22760" xr:uid="{00000000-0005-0000-0000-000003B40000}"/>
    <cellStyle name="Percent 7 2 3 7 2" xfId="46028" xr:uid="{00000000-0005-0000-0000-000004B40000}"/>
    <cellStyle name="Percent 7 2 3 8" xfId="22761" xr:uid="{00000000-0005-0000-0000-000005B40000}"/>
    <cellStyle name="Percent 7 2 3 8 2" xfId="46029" xr:uid="{00000000-0005-0000-0000-000006B40000}"/>
    <cellStyle name="Percent 7 2 3 9" xfId="22762" xr:uid="{00000000-0005-0000-0000-000007B40000}"/>
    <cellStyle name="Percent 7 2 3 9 2" xfId="46030" xr:uid="{00000000-0005-0000-0000-000008B40000}"/>
    <cellStyle name="Percent 7 2 4" xfId="17707" xr:uid="{00000000-0005-0000-0000-000009B40000}"/>
    <cellStyle name="Percent 7 2 4 2" xfId="17898" xr:uid="{00000000-0005-0000-0000-00000AB40000}"/>
    <cellStyle name="Percent 7 2 4 2 2" xfId="22763" xr:uid="{00000000-0005-0000-0000-00000BB40000}"/>
    <cellStyle name="Percent 7 2 4 2 2 2" xfId="22764" xr:uid="{00000000-0005-0000-0000-00000CB40000}"/>
    <cellStyle name="Percent 7 2 4 2 2 2 2" xfId="46032" xr:uid="{00000000-0005-0000-0000-00000DB40000}"/>
    <cellStyle name="Percent 7 2 4 2 2 3" xfId="22765" xr:uid="{00000000-0005-0000-0000-00000EB40000}"/>
    <cellStyle name="Percent 7 2 4 2 2 3 2" xfId="46033" xr:uid="{00000000-0005-0000-0000-00000FB40000}"/>
    <cellStyle name="Percent 7 2 4 2 2 4" xfId="46031" xr:uid="{00000000-0005-0000-0000-000010B40000}"/>
    <cellStyle name="Percent 7 2 4 2 3" xfId="22766" xr:uid="{00000000-0005-0000-0000-000011B40000}"/>
    <cellStyle name="Percent 7 2 4 2 3 2" xfId="22767" xr:uid="{00000000-0005-0000-0000-000012B40000}"/>
    <cellStyle name="Percent 7 2 4 2 3 2 2" xfId="46035" xr:uid="{00000000-0005-0000-0000-000013B40000}"/>
    <cellStyle name="Percent 7 2 4 2 3 3" xfId="46034" xr:uid="{00000000-0005-0000-0000-000014B40000}"/>
    <cellStyle name="Percent 7 2 4 2 4" xfId="22768" xr:uid="{00000000-0005-0000-0000-000015B40000}"/>
    <cellStyle name="Percent 7 2 4 2 4 2" xfId="46036" xr:uid="{00000000-0005-0000-0000-000016B40000}"/>
    <cellStyle name="Percent 7 2 4 2 5" xfId="22769" xr:uid="{00000000-0005-0000-0000-000017B40000}"/>
    <cellStyle name="Percent 7 2 4 2 5 2" xfId="46037" xr:uid="{00000000-0005-0000-0000-000018B40000}"/>
    <cellStyle name="Percent 7 2 4 2 6" xfId="22770" xr:uid="{00000000-0005-0000-0000-000019B40000}"/>
    <cellStyle name="Percent 7 2 4 2 6 2" xfId="46038" xr:uid="{00000000-0005-0000-0000-00001AB40000}"/>
    <cellStyle name="Percent 7 2 4 2 7" xfId="41358" xr:uid="{00000000-0005-0000-0000-00001BB40000}"/>
    <cellStyle name="Percent 7 2 4 3" xfId="22771" xr:uid="{00000000-0005-0000-0000-00001CB40000}"/>
    <cellStyle name="Percent 7 2 4 3 2" xfId="22772" xr:uid="{00000000-0005-0000-0000-00001DB40000}"/>
    <cellStyle name="Percent 7 2 4 3 2 2" xfId="46040" xr:uid="{00000000-0005-0000-0000-00001EB40000}"/>
    <cellStyle name="Percent 7 2 4 3 3" xfId="22773" xr:uid="{00000000-0005-0000-0000-00001FB40000}"/>
    <cellStyle name="Percent 7 2 4 3 3 2" xfId="46041" xr:uid="{00000000-0005-0000-0000-000020B40000}"/>
    <cellStyle name="Percent 7 2 4 3 4" xfId="46039" xr:uid="{00000000-0005-0000-0000-000021B40000}"/>
    <cellStyle name="Percent 7 2 4 4" xfId="22774" xr:uid="{00000000-0005-0000-0000-000022B40000}"/>
    <cellStyle name="Percent 7 2 4 4 2" xfId="22775" xr:uid="{00000000-0005-0000-0000-000023B40000}"/>
    <cellStyle name="Percent 7 2 4 4 2 2" xfId="46043" xr:uid="{00000000-0005-0000-0000-000024B40000}"/>
    <cellStyle name="Percent 7 2 4 4 3" xfId="46042" xr:uid="{00000000-0005-0000-0000-000025B40000}"/>
    <cellStyle name="Percent 7 2 4 5" xfId="22776" xr:uid="{00000000-0005-0000-0000-000026B40000}"/>
    <cellStyle name="Percent 7 2 4 5 2" xfId="46044" xr:uid="{00000000-0005-0000-0000-000027B40000}"/>
    <cellStyle name="Percent 7 2 4 6" xfId="22777" xr:uid="{00000000-0005-0000-0000-000028B40000}"/>
    <cellStyle name="Percent 7 2 4 6 2" xfId="46045" xr:uid="{00000000-0005-0000-0000-000029B40000}"/>
    <cellStyle name="Percent 7 2 4 7" xfId="22778" xr:uid="{00000000-0005-0000-0000-00002AB40000}"/>
    <cellStyle name="Percent 7 2 4 7 2" xfId="46046" xr:uid="{00000000-0005-0000-0000-00002BB40000}"/>
    <cellStyle name="Percent 7 2 4 8" xfId="41167" xr:uid="{00000000-0005-0000-0000-00002CB40000}"/>
    <cellStyle name="Percent 7 2 5" xfId="17742" xr:uid="{00000000-0005-0000-0000-00002DB40000}"/>
    <cellStyle name="Percent 7 2 5 2" xfId="17974" xr:uid="{00000000-0005-0000-0000-00002EB40000}"/>
    <cellStyle name="Percent 7 2 5 2 2" xfId="22779" xr:uid="{00000000-0005-0000-0000-00002FB40000}"/>
    <cellStyle name="Percent 7 2 5 2 2 2" xfId="22780" xr:uid="{00000000-0005-0000-0000-000030B40000}"/>
    <cellStyle name="Percent 7 2 5 2 2 2 2" xfId="46048" xr:uid="{00000000-0005-0000-0000-000031B40000}"/>
    <cellStyle name="Percent 7 2 5 2 2 3" xfId="22781" xr:uid="{00000000-0005-0000-0000-000032B40000}"/>
    <cellStyle name="Percent 7 2 5 2 2 3 2" xfId="46049" xr:uid="{00000000-0005-0000-0000-000033B40000}"/>
    <cellStyle name="Percent 7 2 5 2 2 4" xfId="46047" xr:uid="{00000000-0005-0000-0000-000034B40000}"/>
    <cellStyle name="Percent 7 2 5 2 3" xfId="22782" xr:uid="{00000000-0005-0000-0000-000035B40000}"/>
    <cellStyle name="Percent 7 2 5 2 3 2" xfId="22783" xr:uid="{00000000-0005-0000-0000-000036B40000}"/>
    <cellStyle name="Percent 7 2 5 2 3 2 2" xfId="46051" xr:uid="{00000000-0005-0000-0000-000037B40000}"/>
    <cellStyle name="Percent 7 2 5 2 3 3" xfId="46050" xr:uid="{00000000-0005-0000-0000-000038B40000}"/>
    <cellStyle name="Percent 7 2 5 2 4" xfId="22784" xr:uid="{00000000-0005-0000-0000-000039B40000}"/>
    <cellStyle name="Percent 7 2 5 2 4 2" xfId="46052" xr:uid="{00000000-0005-0000-0000-00003AB40000}"/>
    <cellStyle name="Percent 7 2 5 2 5" xfId="22785" xr:uid="{00000000-0005-0000-0000-00003BB40000}"/>
    <cellStyle name="Percent 7 2 5 2 5 2" xfId="46053" xr:uid="{00000000-0005-0000-0000-00003CB40000}"/>
    <cellStyle name="Percent 7 2 5 2 6" xfId="22786" xr:uid="{00000000-0005-0000-0000-00003DB40000}"/>
    <cellStyle name="Percent 7 2 5 2 6 2" xfId="46054" xr:uid="{00000000-0005-0000-0000-00003EB40000}"/>
    <cellStyle name="Percent 7 2 5 2 7" xfId="41434" xr:uid="{00000000-0005-0000-0000-00003FB40000}"/>
    <cellStyle name="Percent 7 2 5 3" xfId="22787" xr:uid="{00000000-0005-0000-0000-000040B40000}"/>
    <cellStyle name="Percent 7 2 5 3 2" xfId="22788" xr:uid="{00000000-0005-0000-0000-000041B40000}"/>
    <cellStyle name="Percent 7 2 5 3 2 2" xfId="46056" xr:uid="{00000000-0005-0000-0000-000042B40000}"/>
    <cellStyle name="Percent 7 2 5 3 3" xfId="22789" xr:uid="{00000000-0005-0000-0000-000043B40000}"/>
    <cellStyle name="Percent 7 2 5 3 3 2" xfId="46057" xr:uid="{00000000-0005-0000-0000-000044B40000}"/>
    <cellStyle name="Percent 7 2 5 3 4" xfId="46055" xr:uid="{00000000-0005-0000-0000-000045B40000}"/>
    <cellStyle name="Percent 7 2 5 4" xfId="22790" xr:uid="{00000000-0005-0000-0000-000046B40000}"/>
    <cellStyle name="Percent 7 2 5 4 2" xfId="22791" xr:uid="{00000000-0005-0000-0000-000047B40000}"/>
    <cellStyle name="Percent 7 2 5 4 2 2" xfId="46059" xr:uid="{00000000-0005-0000-0000-000048B40000}"/>
    <cellStyle name="Percent 7 2 5 4 3" xfId="46058" xr:uid="{00000000-0005-0000-0000-000049B40000}"/>
    <cellStyle name="Percent 7 2 5 5" xfId="22792" xr:uid="{00000000-0005-0000-0000-00004AB40000}"/>
    <cellStyle name="Percent 7 2 5 5 2" xfId="46060" xr:uid="{00000000-0005-0000-0000-00004BB40000}"/>
    <cellStyle name="Percent 7 2 5 6" xfId="22793" xr:uid="{00000000-0005-0000-0000-00004CB40000}"/>
    <cellStyle name="Percent 7 2 5 6 2" xfId="46061" xr:uid="{00000000-0005-0000-0000-00004DB40000}"/>
    <cellStyle name="Percent 7 2 5 7" xfId="22794" xr:uid="{00000000-0005-0000-0000-00004EB40000}"/>
    <cellStyle name="Percent 7 2 5 7 2" xfId="46062" xr:uid="{00000000-0005-0000-0000-00004FB40000}"/>
    <cellStyle name="Percent 7 2 5 8" xfId="41202" xr:uid="{00000000-0005-0000-0000-000050B40000}"/>
    <cellStyle name="Percent 7 2 6" xfId="17821" xr:uid="{00000000-0005-0000-0000-000051B40000}"/>
    <cellStyle name="Percent 7 2 6 2" xfId="22795" xr:uid="{00000000-0005-0000-0000-000052B40000}"/>
    <cellStyle name="Percent 7 2 6 2 2" xfId="22796" xr:uid="{00000000-0005-0000-0000-000053B40000}"/>
    <cellStyle name="Percent 7 2 6 2 2 2" xfId="46064" xr:uid="{00000000-0005-0000-0000-000054B40000}"/>
    <cellStyle name="Percent 7 2 6 2 3" xfId="22797" xr:uid="{00000000-0005-0000-0000-000055B40000}"/>
    <cellStyle name="Percent 7 2 6 2 3 2" xfId="46065" xr:uid="{00000000-0005-0000-0000-000056B40000}"/>
    <cellStyle name="Percent 7 2 6 2 4" xfId="46063" xr:uid="{00000000-0005-0000-0000-000057B40000}"/>
    <cellStyle name="Percent 7 2 6 3" xfId="22798" xr:uid="{00000000-0005-0000-0000-000058B40000}"/>
    <cellStyle name="Percent 7 2 6 3 2" xfId="22799" xr:uid="{00000000-0005-0000-0000-000059B40000}"/>
    <cellStyle name="Percent 7 2 6 3 2 2" xfId="46067" xr:uid="{00000000-0005-0000-0000-00005AB40000}"/>
    <cellStyle name="Percent 7 2 6 3 3" xfId="46066" xr:uid="{00000000-0005-0000-0000-00005BB40000}"/>
    <cellStyle name="Percent 7 2 6 4" xfId="22800" xr:uid="{00000000-0005-0000-0000-00005CB40000}"/>
    <cellStyle name="Percent 7 2 6 4 2" xfId="46068" xr:uid="{00000000-0005-0000-0000-00005DB40000}"/>
    <cellStyle name="Percent 7 2 6 5" xfId="22801" xr:uid="{00000000-0005-0000-0000-00005EB40000}"/>
    <cellStyle name="Percent 7 2 6 5 2" xfId="46069" xr:uid="{00000000-0005-0000-0000-00005FB40000}"/>
    <cellStyle name="Percent 7 2 6 6" xfId="22802" xr:uid="{00000000-0005-0000-0000-000060B40000}"/>
    <cellStyle name="Percent 7 2 6 6 2" xfId="46070" xr:uid="{00000000-0005-0000-0000-000061B40000}"/>
    <cellStyle name="Percent 7 2 6 7" xfId="41281" xr:uid="{00000000-0005-0000-0000-000062B40000}"/>
    <cellStyle name="Percent 7 2 7" xfId="22803" xr:uid="{00000000-0005-0000-0000-000063B40000}"/>
    <cellStyle name="Percent 7 2 7 2" xfId="22804" xr:uid="{00000000-0005-0000-0000-000064B40000}"/>
    <cellStyle name="Percent 7 2 7 2 2" xfId="46072" xr:uid="{00000000-0005-0000-0000-000065B40000}"/>
    <cellStyle name="Percent 7 2 7 3" xfId="22805" xr:uid="{00000000-0005-0000-0000-000066B40000}"/>
    <cellStyle name="Percent 7 2 7 3 2" xfId="46073" xr:uid="{00000000-0005-0000-0000-000067B40000}"/>
    <cellStyle name="Percent 7 2 7 4" xfId="46071" xr:uid="{00000000-0005-0000-0000-000068B40000}"/>
    <cellStyle name="Percent 7 2 8" xfId="22806" xr:uid="{00000000-0005-0000-0000-000069B40000}"/>
    <cellStyle name="Percent 7 2 8 2" xfId="22807" xr:uid="{00000000-0005-0000-0000-00006AB40000}"/>
    <cellStyle name="Percent 7 2 8 2 2" xfId="46075" xr:uid="{00000000-0005-0000-0000-00006BB40000}"/>
    <cellStyle name="Percent 7 2 8 3" xfId="46074" xr:uid="{00000000-0005-0000-0000-00006CB40000}"/>
    <cellStyle name="Percent 7 2 9" xfId="22808" xr:uid="{00000000-0005-0000-0000-00006DB40000}"/>
    <cellStyle name="Percent 7 2 9 2" xfId="46076" xr:uid="{00000000-0005-0000-0000-00006EB40000}"/>
    <cellStyle name="Percent 7 3" xfId="172" xr:uid="{00000000-0005-0000-0000-00006FB40000}"/>
    <cellStyle name="Percent 7 3 10" xfId="23713" xr:uid="{00000000-0005-0000-0000-000070B40000}"/>
    <cellStyle name="Percent 7 3 2" xfId="17676" xr:uid="{00000000-0005-0000-0000-000071B40000}"/>
    <cellStyle name="Percent 7 3 2 2" xfId="17919" xr:uid="{00000000-0005-0000-0000-000072B40000}"/>
    <cellStyle name="Percent 7 3 2 2 2" xfId="22809" xr:uid="{00000000-0005-0000-0000-000073B40000}"/>
    <cellStyle name="Percent 7 3 2 2 2 2" xfId="22810" xr:uid="{00000000-0005-0000-0000-000074B40000}"/>
    <cellStyle name="Percent 7 3 2 2 2 2 2" xfId="46078" xr:uid="{00000000-0005-0000-0000-000075B40000}"/>
    <cellStyle name="Percent 7 3 2 2 2 3" xfId="22811" xr:uid="{00000000-0005-0000-0000-000076B40000}"/>
    <cellStyle name="Percent 7 3 2 2 2 3 2" xfId="46079" xr:uid="{00000000-0005-0000-0000-000077B40000}"/>
    <cellStyle name="Percent 7 3 2 2 2 4" xfId="46077" xr:uid="{00000000-0005-0000-0000-000078B40000}"/>
    <cellStyle name="Percent 7 3 2 2 3" xfId="22812" xr:uid="{00000000-0005-0000-0000-000079B40000}"/>
    <cellStyle name="Percent 7 3 2 2 3 2" xfId="22813" xr:uid="{00000000-0005-0000-0000-00007AB40000}"/>
    <cellStyle name="Percent 7 3 2 2 3 2 2" xfId="46081" xr:uid="{00000000-0005-0000-0000-00007BB40000}"/>
    <cellStyle name="Percent 7 3 2 2 3 3" xfId="46080" xr:uid="{00000000-0005-0000-0000-00007CB40000}"/>
    <cellStyle name="Percent 7 3 2 2 4" xfId="22814" xr:uid="{00000000-0005-0000-0000-00007DB40000}"/>
    <cellStyle name="Percent 7 3 2 2 4 2" xfId="46082" xr:uid="{00000000-0005-0000-0000-00007EB40000}"/>
    <cellStyle name="Percent 7 3 2 2 5" xfId="22815" xr:uid="{00000000-0005-0000-0000-00007FB40000}"/>
    <cellStyle name="Percent 7 3 2 2 5 2" xfId="46083" xr:uid="{00000000-0005-0000-0000-000080B40000}"/>
    <cellStyle name="Percent 7 3 2 2 6" xfId="22816" xr:uid="{00000000-0005-0000-0000-000081B40000}"/>
    <cellStyle name="Percent 7 3 2 2 6 2" xfId="46084" xr:uid="{00000000-0005-0000-0000-000082B40000}"/>
    <cellStyle name="Percent 7 3 2 2 7" xfId="41379" xr:uid="{00000000-0005-0000-0000-000083B40000}"/>
    <cellStyle name="Percent 7 3 2 3" xfId="22817" xr:uid="{00000000-0005-0000-0000-000084B40000}"/>
    <cellStyle name="Percent 7 3 2 3 2" xfId="22818" xr:uid="{00000000-0005-0000-0000-000085B40000}"/>
    <cellStyle name="Percent 7 3 2 3 2 2" xfId="46086" xr:uid="{00000000-0005-0000-0000-000086B40000}"/>
    <cellStyle name="Percent 7 3 2 3 3" xfId="22819" xr:uid="{00000000-0005-0000-0000-000087B40000}"/>
    <cellStyle name="Percent 7 3 2 3 3 2" xfId="46087" xr:uid="{00000000-0005-0000-0000-000088B40000}"/>
    <cellStyle name="Percent 7 3 2 3 4" xfId="46085" xr:uid="{00000000-0005-0000-0000-000089B40000}"/>
    <cellStyle name="Percent 7 3 2 4" xfId="22820" xr:uid="{00000000-0005-0000-0000-00008AB40000}"/>
    <cellStyle name="Percent 7 3 2 4 2" xfId="22821" xr:uid="{00000000-0005-0000-0000-00008BB40000}"/>
    <cellStyle name="Percent 7 3 2 4 2 2" xfId="46089" xr:uid="{00000000-0005-0000-0000-00008CB40000}"/>
    <cellStyle name="Percent 7 3 2 4 3" xfId="46088" xr:uid="{00000000-0005-0000-0000-00008DB40000}"/>
    <cellStyle name="Percent 7 3 2 5" xfId="22822" xr:uid="{00000000-0005-0000-0000-00008EB40000}"/>
    <cellStyle name="Percent 7 3 2 5 2" xfId="46090" xr:uid="{00000000-0005-0000-0000-00008FB40000}"/>
    <cellStyle name="Percent 7 3 2 6" xfId="22823" xr:uid="{00000000-0005-0000-0000-000090B40000}"/>
    <cellStyle name="Percent 7 3 2 6 2" xfId="46091" xr:uid="{00000000-0005-0000-0000-000091B40000}"/>
    <cellStyle name="Percent 7 3 2 7" xfId="22824" xr:uid="{00000000-0005-0000-0000-000092B40000}"/>
    <cellStyle name="Percent 7 3 2 7 2" xfId="46092" xr:uid="{00000000-0005-0000-0000-000093B40000}"/>
    <cellStyle name="Percent 7 3 2 8" xfId="41142" xr:uid="{00000000-0005-0000-0000-000094B40000}"/>
    <cellStyle name="Percent 7 3 3" xfId="17770" xr:uid="{00000000-0005-0000-0000-000095B40000}"/>
    <cellStyle name="Percent 7 3 3 2" xfId="18004" xr:uid="{00000000-0005-0000-0000-000096B40000}"/>
    <cellStyle name="Percent 7 3 3 2 2" xfId="22825" xr:uid="{00000000-0005-0000-0000-000097B40000}"/>
    <cellStyle name="Percent 7 3 3 2 2 2" xfId="22826" xr:uid="{00000000-0005-0000-0000-000098B40000}"/>
    <cellStyle name="Percent 7 3 3 2 2 2 2" xfId="46094" xr:uid="{00000000-0005-0000-0000-000099B40000}"/>
    <cellStyle name="Percent 7 3 3 2 2 3" xfId="22827" xr:uid="{00000000-0005-0000-0000-00009AB40000}"/>
    <cellStyle name="Percent 7 3 3 2 2 3 2" xfId="46095" xr:uid="{00000000-0005-0000-0000-00009BB40000}"/>
    <cellStyle name="Percent 7 3 3 2 2 4" xfId="46093" xr:uid="{00000000-0005-0000-0000-00009CB40000}"/>
    <cellStyle name="Percent 7 3 3 2 3" xfId="22828" xr:uid="{00000000-0005-0000-0000-00009DB40000}"/>
    <cellStyle name="Percent 7 3 3 2 3 2" xfId="22829" xr:uid="{00000000-0005-0000-0000-00009EB40000}"/>
    <cellStyle name="Percent 7 3 3 2 3 2 2" xfId="46097" xr:uid="{00000000-0005-0000-0000-00009FB40000}"/>
    <cellStyle name="Percent 7 3 3 2 3 3" xfId="46096" xr:uid="{00000000-0005-0000-0000-0000A0B40000}"/>
    <cellStyle name="Percent 7 3 3 2 4" xfId="22830" xr:uid="{00000000-0005-0000-0000-0000A1B40000}"/>
    <cellStyle name="Percent 7 3 3 2 4 2" xfId="46098" xr:uid="{00000000-0005-0000-0000-0000A2B40000}"/>
    <cellStyle name="Percent 7 3 3 2 5" xfId="22831" xr:uid="{00000000-0005-0000-0000-0000A3B40000}"/>
    <cellStyle name="Percent 7 3 3 2 5 2" xfId="46099" xr:uid="{00000000-0005-0000-0000-0000A4B40000}"/>
    <cellStyle name="Percent 7 3 3 2 6" xfId="22832" xr:uid="{00000000-0005-0000-0000-0000A5B40000}"/>
    <cellStyle name="Percent 7 3 3 2 6 2" xfId="46100" xr:uid="{00000000-0005-0000-0000-0000A6B40000}"/>
    <cellStyle name="Percent 7 3 3 2 7" xfId="41464" xr:uid="{00000000-0005-0000-0000-0000A7B40000}"/>
    <cellStyle name="Percent 7 3 3 3" xfId="22833" xr:uid="{00000000-0005-0000-0000-0000A8B40000}"/>
    <cellStyle name="Percent 7 3 3 3 2" xfId="22834" xr:uid="{00000000-0005-0000-0000-0000A9B40000}"/>
    <cellStyle name="Percent 7 3 3 3 2 2" xfId="46102" xr:uid="{00000000-0005-0000-0000-0000AAB40000}"/>
    <cellStyle name="Percent 7 3 3 3 3" xfId="22835" xr:uid="{00000000-0005-0000-0000-0000ABB40000}"/>
    <cellStyle name="Percent 7 3 3 3 3 2" xfId="46103" xr:uid="{00000000-0005-0000-0000-0000ACB40000}"/>
    <cellStyle name="Percent 7 3 3 3 4" xfId="46101" xr:uid="{00000000-0005-0000-0000-0000ADB40000}"/>
    <cellStyle name="Percent 7 3 3 4" xfId="22836" xr:uid="{00000000-0005-0000-0000-0000AEB40000}"/>
    <cellStyle name="Percent 7 3 3 4 2" xfId="22837" xr:uid="{00000000-0005-0000-0000-0000AFB40000}"/>
    <cellStyle name="Percent 7 3 3 4 2 2" xfId="46105" xr:uid="{00000000-0005-0000-0000-0000B0B40000}"/>
    <cellStyle name="Percent 7 3 3 4 3" xfId="46104" xr:uid="{00000000-0005-0000-0000-0000B1B40000}"/>
    <cellStyle name="Percent 7 3 3 5" xfId="22838" xr:uid="{00000000-0005-0000-0000-0000B2B40000}"/>
    <cellStyle name="Percent 7 3 3 5 2" xfId="46106" xr:uid="{00000000-0005-0000-0000-0000B3B40000}"/>
    <cellStyle name="Percent 7 3 3 6" xfId="22839" xr:uid="{00000000-0005-0000-0000-0000B4B40000}"/>
    <cellStyle name="Percent 7 3 3 6 2" xfId="46107" xr:uid="{00000000-0005-0000-0000-0000B5B40000}"/>
    <cellStyle name="Percent 7 3 3 7" xfId="22840" xr:uid="{00000000-0005-0000-0000-0000B6B40000}"/>
    <cellStyle name="Percent 7 3 3 7 2" xfId="46108" xr:uid="{00000000-0005-0000-0000-0000B7B40000}"/>
    <cellStyle name="Percent 7 3 3 8" xfId="41230" xr:uid="{00000000-0005-0000-0000-0000B8B40000}"/>
    <cellStyle name="Percent 7 3 4" xfId="17844" xr:uid="{00000000-0005-0000-0000-0000B9B40000}"/>
    <cellStyle name="Percent 7 3 4 2" xfId="22841" xr:uid="{00000000-0005-0000-0000-0000BAB40000}"/>
    <cellStyle name="Percent 7 3 4 2 2" xfId="22842" xr:uid="{00000000-0005-0000-0000-0000BBB40000}"/>
    <cellStyle name="Percent 7 3 4 2 2 2" xfId="46110" xr:uid="{00000000-0005-0000-0000-0000BCB40000}"/>
    <cellStyle name="Percent 7 3 4 2 3" xfId="22843" xr:uid="{00000000-0005-0000-0000-0000BDB40000}"/>
    <cellStyle name="Percent 7 3 4 2 3 2" xfId="46111" xr:uid="{00000000-0005-0000-0000-0000BEB40000}"/>
    <cellStyle name="Percent 7 3 4 2 4" xfId="46109" xr:uid="{00000000-0005-0000-0000-0000BFB40000}"/>
    <cellStyle name="Percent 7 3 4 3" xfId="22844" xr:uid="{00000000-0005-0000-0000-0000C0B40000}"/>
    <cellStyle name="Percent 7 3 4 3 2" xfId="22845" xr:uid="{00000000-0005-0000-0000-0000C1B40000}"/>
    <cellStyle name="Percent 7 3 4 3 2 2" xfId="46113" xr:uid="{00000000-0005-0000-0000-0000C2B40000}"/>
    <cellStyle name="Percent 7 3 4 3 3" xfId="46112" xr:uid="{00000000-0005-0000-0000-0000C3B40000}"/>
    <cellStyle name="Percent 7 3 4 4" xfId="22846" xr:uid="{00000000-0005-0000-0000-0000C4B40000}"/>
    <cellStyle name="Percent 7 3 4 4 2" xfId="46114" xr:uid="{00000000-0005-0000-0000-0000C5B40000}"/>
    <cellStyle name="Percent 7 3 4 5" xfId="22847" xr:uid="{00000000-0005-0000-0000-0000C6B40000}"/>
    <cellStyle name="Percent 7 3 4 5 2" xfId="46115" xr:uid="{00000000-0005-0000-0000-0000C7B40000}"/>
    <cellStyle name="Percent 7 3 4 6" xfId="22848" xr:uid="{00000000-0005-0000-0000-0000C8B40000}"/>
    <cellStyle name="Percent 7 3 4 6 2" xfId="46116" xr:uid="{00000000-0005-0000-0000-0000C9B40000}"/>
    <cellStyle name="Percent 7 3 4 7" xfId="41304" xr:uid="{00000000-0005-0000-0000-0000CAB40000}"/>
    <cellStyle name="Percent 7 3 5" xfId="22849" xr:uid="{00000000-0005-0000-0000-0000CBB40000}"/>
    <cellStyle name="Percent 7 3 5 2" xfId="22850" xr:uid="{00000000-0005-0000-0000-0000CCB40000}"/>
    <cellStyle name="Percent 7 3 5 2 2" xfId="46118" xr:uid="{00000000-0005-0000-0000-0000CDB40000}"/>
    <cellStyle name="Percent 7 3 5 3" xfId="22851" xr:uid="{00000000-0005-0000-0000-0000CEB40000}"/>
    <cellStyle name="Percent 7 3 5 3 2" xfId="46119" xr:uid="{00000000-0005-0000-0000-0000CFB40000}"/>
    <cellStyle name="Percent 7 3 5 4" xfId="46117" xr:uid="{00000000-0005-0000-0000-0000D0B40000}"/>
    <cellStyle name="Percent 7 3 6" xfId="22852" xr:uid="{00000000-0005-0000-0000-0000D1B40000}"/>
    <cellStyle name="Percent 7 3 6 2" xfId="22853" xr:uid="{00000000-0005-0000-0000-0000D2B40000}"/>
    <cellStyle name="Percent 7 3 6 2 2" xfId="46121" xr:uid="{00000000-0005-0000-0000-0000D3B40000}"/>
    <cellStyle name="Percent 7 3 6 3" xfId="46120" xr:uid="{00000000-0005-0000-0000-0000D4B40000}"/>
    <cellStyle name="Percent 7 3 7" xfId="22854" xr:uid="{00000000-0005-0000-0000-0000D5B40000}"/>
    <cellStyle name="Percent 7 3 7 2" xfId="46122" xr:uid="{00000000-0005-0000-0000-0000D6B40000}"/>
    <cellStyle name="Percent 7 3 8" xfId="22855" xr:uid="{00000000-0005-0000-0000-0000D7B40000}"/>
    <cellStyle name="Percent 7 3 8 2" xfId="46123" xr:uid="{00000000-0005-0000-0000-0000D8B40000}"/>
    <cellStyle name="Percent 7 3 9" xfId="22856" xr:uid="{00000000-0005-0000-0000-0000D9B40000}"/>
    <cellStyle name="Percent 7 3 9 2" xfId="46124" xr:uid="{00000000-0005-0000-0000-0000DAB40000}"/>
    <cellStyle name="Percent 7 4" xfId="17677" xr:uid="{00000000-0005-0000-0000-0000DBB40000}"/>
    <cellStyle name="Percent 7 4 10" xfId="41143" xr:uid="{00000000-0005-0000-0000-0000DCB40000}"/>
    <cellStyle name="Percent 7 4 2" xfId="17710" xr:uid="{00000000-0005-0000-0000-0000DDB40000}"/>
    <cellStyle name="Percent 7 4 2 2" xfId="17934" xr:uid="{00000000-0005-0000-0000-0000DEB40000}"/>
    <cellStyle name="Percent 7 4 2 2 2" xfId="22857" xr:uid="{00000000-0005-0000-0000-0000DFB40000}"/>
    <cellStyle name="Percent 7 4 2 2 2 2" xfId="22858" xr:uid="{00000000-0005-0000-0000-0000E0B40000}"/>
    <cellStyle name="Percent 7 4 2 2 2 2 2" xfId="46126" xr:uid="{00000000-0005-0000-0000-0000E1B40000}"/>
    <cellStyle name="Percent 7 4 2 2 2 3" xfId="22859" xr:uid="{00000000-0005-0000-0000-0000E2B40000}"/>
    <cellStyle name="Percent 7 4 2 2 2 3 2" xfId="46127" xr:uid="{00000000-0005-0000-0000-0000E3B40000}"/>
    <cellStyle name="Percent 7 4 2 2 2 4" xfId="46125" xr:uid="{00000000-0005-0000-0000-0000E4B40000}"/>
    <cellStyle name="Percent 7 4 2 2 3" xfId="22860" xr:uid="{00000000-0005-0000-0000-0000E5B40000}"/>
    <cellStyle name="Percent 7 4 2 2 3 2" xfId="22861" xr:uid="{00000000-0005-0000-0000-0000E6B40000}"/>
    <cellStyle name="Percent 7 4 2 2 3 2 2" xfId="46129" xr:uid="{00000000-0005-0000-0000-0000E7B40000}"/>
    <cellStyle name="Percent 7 4 2 2 3 3" xfId="46128" xr:uid="{00000000-0005-0000-0000-0000E8B40000}"/>
    <cellStyle name="Percent 7 4 2 2 4" xfId="22862" xr:uid="{00000000-0005-0000-0000-0000E9B40000}"/>
    <cellStyle name="Percent 7 4 2 2 4 2" xfId="46130" xr:uid="{00000000-0005-0000-0000-0000EAB40000}"/>
    <cellStyle name="Percent 7 4 2 2 5" xfId="22863" xr:uid="{00000000-0005-0000-0000-0000EBB40000}"/>
    <cellStyle name="Percent 7 4 2 2 5 2" xfId="46131" xr:uid="{00000000-0005-0000-0000-0000ECB40000}"/>
    <cellStyle name="Percent 7 4 2 2 6" xfId="22864" xr:uid="{00000000-0005-0000-0000-0000EDB40000}"/>
    <cellStyle name="Percent 7 4 2 2 6 2" xfId="46132" xr:uid="{00000000-0005-0000-0000-0000EEB40000}"/>
    <cellStyle name="Percent 7 4 2 2 7" xfId="41394" xr:uid="{00000000-0005-0000-0000-0000EFB40000}"/>
    <cellStyle name="Percent 7 4 2 3" xfId="22865" xr:uid="{00000000-0005-0000-0000-0000F0B40000}"/>
    <cellStyle name="Percent 7 4 2 3 2" xfId="22866" xr:uid="{00000000-0005-0000-0000-0000F1B40000}"/>
    <cellStyle name="Percent 7 4 2 3 2 2" xfId="46134" xr:uid="{00000000-0005-0000-0000-0000F2B40000}"/>
    <cellStyle name="Percent 7 4 2 3 3" xfId="22867" xr:uid="{00000000-0005-0000-0000-0000F3B40000}"/>
    <cellStyle name="Percent 7 4 2 3 3 2" xfId="46135" xr:uid="{00000000-0005-0000-0000-0000F4B40000}"/>
    <cellStyle name="Percent 7 4 2 3 4" xfId="46133" xr:uid="{00000000-0005-0000-0000-0000F5B40000}"/>
    <cellStyle name="Percent 7 4 2 4" xfId="22868" xr:uid="{00000000-0005-0000-0000-0000F6B40000}"/>
    <cellStyle name="Percent 7 4 2 4 2" xfId="22869" xr:uid="{00000000-0005-0000-0000-0000F7B40000}"/>
    <cellStyle name="Percent 7 4 2 4 2 2" xfId="46137" xr:uid="{00000000-0005-0000-0000-0000F8B40000}"/>
    <cellStyle name="Percent 7 4 2 4 3" xfId="46136" xr:uid="{00000000-0005-0000-0000-0000F9B40000}"/>
    <cellStyle name="Percent 7 4 2 5" xfId="22870" xr:uid="{00000000-0005-0000-0000-0000FAB40000}"/>
    <cellStyle name="Percent 7 4 2 5 2" xfId="46138" xr:uid="{00000000-0005-0000-0000-0000FBB40000}"/>
    <cellStyle name="Percent 7 4 2 6" xfId="22871" xr:uid="{00000000-0005-0000-0000-0000FCB40000}"/>
    <cellStyle name="Percent 7 4 2 6 2" xfId="46139" xr:uid="{00000000-0005-0000-0000-0000FDB40000}"/>
    <cellStyle name="Percent 7 4 2 7" xfId="22872" xr:uid="{00000000-0005-0000-0000-0000FEB40000}"/>
    <cellStyle name="Percent 7 4 2 7 2" xfId="46140" xr:uid="{00000000-0005-0000-0000-0000FFB40000}"/>
    <cellStyle name="Percent 7 4 2 8" xfId="41170" xr:uid="{00000000-0005-0000-0000-000000B50000}"/>
    <cellStyle name="Percent 7 4 3" xfId="17794" xr:uid="{00000000-0005-0000-0000-000001B50000}"/>
    <cellStyle name="Percent 7 4 3 2" xfId="18030" xr:uid="{00000000-0005-0000-0000-000002B50000}"/>
    <cellStyle name="Percent 7 4 3 2 2" xfId="22873" xr:uid="{00000000-0005-0000-0000-000003B50000}"/>
    <cellStyle name="Percent 7 4 3 2 2 2" xfId="22874" xr:uid="{00000000-0005-0000-0000-000004B50000}"/>
    <cellStyle name="Percent 7 4 3 2 2 2 2" xfId="46142" xr:uid="{00000000-0005-0000-0000-000005B50000}"/>
    <cellStyle name="Percent 7 4 3 2 2 3" xfId="22875" xr:uid="{00000000-0005-0000-0000-000006B50000}"/>
    <cellStyle name="Percent 7 4 3 2 2 3 2" xfId="46143" xr:uid="{00000000-0005-0000-0000-000007B50000}"/>
    <cellStyle name="Percent 7 4 3 2 2 4" xfId="46141" xr:uid="{00000000-0005-0000-0000-000008B50000}"/>
    <cellStyle name="Percent 7 4 3 2 3" xfId="22876" xr:uid="{00000000-0005-0000-0000-000009B50000}"/>
    <cellStyle name="Percent 7 4 3 2 3 2" xfId="22877" xr:uid="{00000000-0005-0000-0000-00000AB50000}"/>
    <cellStyle name="Percent 7 4 3 2 3 2 2" xfId="46145" xr:uid="{00000000-0005-0000-0000-00000BB50000}"/>
    <cellStyle name="Percent 7 4 3 2 3 3" xfId="46144" xr:uid="{00000000-0005-0000-0000-00000CB50000}"/>
    <cellStyle name="Percent 7 4 3 2 4" xfId="22878" xr:uid="{00000000-0005-0000-0000-00000DB50000}"/>
    <cellStyle name="Percent 7 4 3 2 4 2" xfId="46146" xr:uid="{00000000-0005-0000-0000-00000EB50000}"/>
    <cellStyle name="Percent 7 4 3 2 5" xfId="22879" xr:uid="{00000000-0005-0000-0000-00000FB50000}"/>
    <cellStyle name="Percent 7 4 3 2 5 2" xfId="46147" xr:uid="{00000000-0005-0000-0000-000010B50000}"/>
    <cellStyle name="Percent 7 4 3 2 6" xfId="22880" xr:uid="{00000000-0005-0000-0000-000011B50000}"/>
    <cellStyle name="Percent 7 4 3 2 6 2" xfId="46148" xr:uid="{00000000-0005-0000-0000-000012B50000}"/>
    <cellStyle name="Percent 7 4 3 2 7" xfId="41490" xr:uid="{00000000-0005-0000-0000-000013B50000}"/>
    <cellStyle name="Percent 7 4 3 3" xfId="22881" xr:uid="{00000000-0005-0000-0000-000014B50000}"/>
    <cellStyle name="Percent 7 4 3 3 2" xfId="22882" xr:uid="{00000000-0005-0000-0000-000015B50000}"/>
    <cellStyle name="Percent 7 4 3 3 2 2" xfId="46150" xr:uid="{00000000-0005-0000-0000-000016B50000}"/>
    <cellStyle name="Percent 7 4 3 3 3" xfId="22883" xr:uid="{00000000-0005-0000-0000-000017B50000}"/>
    <cellStyle name="Percent 7 4 3 3 3 2" xfId="46151" xr:uid="{00000000-0005-0000-0000-000018B50000}"/>
    <cellStyle name="Percent 7 4 3 3 4" xfId="46149" xr:uid="{00000000-0005-0000-0000-000019B50000}"/>
    <cellStyle name="Percent 7 4 3 4" xfId="22884" xr:uid="{00000000-0005-0000-0000-00001AB50000}"/>
    <cellStyle name="Percent 7 4 3 4 2" xfId="22885" xr:uid="{00000000-0005-0000-0000-00001BB50000}"/>
    <cellStyle name="Percent 7 4 3 4 2 2" xfId="46153" xr:uid="{00000000-0005-0000-0000-00001CB50000}"/>
    <cellStyle name="Percent 7 4 3 4 3" xfId="46152" xr:uid="{00000000-0005-0000-0000-00001DB50000}"/>
    <cellStyle name="Percent 7 4 3 5" xfId="22886" xr:uid="{00000000-0005-0000-0000-00001EB50000}"/>
    <cellStyle name="Percent 7 4 3 5 2" xfId="46154" xr:uid="{00000000-0005-0000-0000-00001FB50000}"/>
    <cellStyle name="Percent 7 4 3 6" xfId="22887" xr:uid="{00000000-0005-0000-0000-000020B50000}"/>
    <cellStyle name="Percent 7 4 3 6 2" xfId="46155" xr:uid="{00000000-0005-0000-0000-000021B50000}"/>
    <cellStyle name="Percent 7 4 3 7" xfId="22888" xr:uid="{00000000-0005-0000-0000-000022B50000}"/>
    <cellStyle name="Percent 7 4 3 7 2" xfId="46156" xr:uid="{00000000-0005-0000-0000-000023B50000}"/>
    <cellStyle name="Percent 7 4 3 8" xfId="41254" xr:uid="{00000000-0005-0000-0000-000024B50000}"/>
    <cellStyle name="Percent 7 4 4" xfId="17862" xr:uid="{00000000-0005-0000-0000-000025B50000}"/>
    <cellStyle name="Percent 7 4 4 2" xfId="22889" xr:uid="{00000000-0005-0000-0000-000026B50000}"/>
    <cellStyle name="Percent 7 4 4 2 2" xfId="22890" xr:uid="{00000000-0005-0000-0000-000027B50000}"/>
    <cellStyle name="Percent 7 4 4 2 2 2" xfId="46158" xr:uid="{00000000-0005-0000-0000-000028B50000}"/>
    <cellStyle name="Percent 7 4 4 2 3" xfId="22891" xr:uid="{00000000-0005-0000-0000-000029B50000}"/>
    <cellStyle name="Percent 7 4 4 2 3 2" xfId="46159" xr:uid="{00000000-0005-0000-0000-00002AB50000}"/>
    <cellStyle name="Percent 7 4 4 2 4" xfId="46157" xr:uid="{00000000-0005-0000-0000-00002BB50000}"/>
    <cellStyle name="Percent 7 4 4 3" xfId="22892" xr:uid="{00000000-0005-0000-0000-00002CB50000}"/>
    <cellStyle name="Percent 7 4 4 3 2" xfId="22893" xr:uid="{00000000-0005-0000-0000-00002DB50000}"/>
    <cellStyle name="Percent 7 4 4 3 2 2" xfId="46161" xr:uid="{00000000-0005-0000-0000-00002EB50000}"/>
    <cellStyle name="Percent 7 4 4 3 3" xfId="46160" xr:uid="{00000000-0005-0000-0000-00002FB50000}"/>
    <cellStyle name="Percent 7 4 4 4" xfId="22894" xr:uid="{00000000-0005-0000-0000-000030B50000}"/>
    <cellStyle name="Percent 7 4 4 4 2" xfId="46162" xr:uid="{00000000-0005-0000-0000-000031B50000}"/>
    <cellStyle name="Percent 7 4 4 5" xfId="22895" xr:uid="{00000000-0005-0000-0000-000032B50000}"/>
    <cellStyle name="Percent 7 4 4 5 2" xfId="46163" xr:uid="{00000000-0005-0000-0000-000033B50000}"/>
    <cellStyle name="Percent 7 4 4 6" xfId="22896" xr:uid="{00000000-0005-0000-0000-000034B50000}"/>
    <cellStyle name="Percent 7 4 4 6 2" xfId="46164" xr:uid="{00000000-0005-0000-0000-000035B50000}"/>
    <cellStyle name="Percent 7 4 4 7" xfId="41322" xr:uid="{00000000-0005-0000-0000-000036B50000}"/>
    <cellStyle name="Percent 7 4 5" xfId="22897" xr:uid="{00000000-0005-0000-0000-000037B50000}"/>
    <cellStyle name="Percent 7 4 5 2" xfId="22898" xr:uid="{00000000-0005-0000-0000-000038B50000}"/>
    <cellStyle name="Percent 7 4 5 2 2" xfId="46166" xr:uid="{00000000-0005-0000-0000-000039B50000}"/>
    <cellStyle name="Percent 7 4 5 3" xfId="22899" xr:uid="{00000000-0005-0000-0000-00003AB50000}"/>
    <cellStyle name="Percent 7 4 5 3 2" xfId="46167" xr:uid="{00000000-0005-0000-0000-00003BB50000}"/>
    <cellStyle name="Percent 7 4 5 4" xfId="46165" xr:uid="{00000000-0005-0000-0000-00003CB50000}"/>
    <cellStyle name="Percent 7 4 6" xfId="22900" xr:uid="{00000000-0005-0000-0000-00003DB50000}"/>
    <cellStyle name="Percent 7 4 6 2" xfId="22901" xr:uid="{00000000-0005-0000-0000-00003EB50000}"/>
    <cellStyle name="Percent 7 4 6 2 2" xfId="46169" xr:uid="{00000000-0005-0000-0000-00003FB50000}"/>
    <cellStyle name="Percent 7 4 6 3" xfId="46168" xr:uid="{00000000-0005-0000-0000-000040B50000}"/>
    <cellStyle name="Percent 7 4 7" xfId="22902" xr:uid="{00000000-0005-0000-0000-000041B50000}"/>
    <cellStyle name="Percent 7 4 7 2" xfId="46170" xr:uid="{00000000-0005-0000-0000-000042B50000}"/>
    <cellStyle name="Percent 7 4 8" xfId="22903" xr:uid="{00000000-0005-0000-0000-000043B50000}"/>
    <cellStyle name="Percent 7 4 8 2" xfId="46171" xr:uid="{00000000-0005-0000-0000-000044B50000}"/>
    <cellStyle name="Percent 7 4 9" xfId="22904" xr:uid="{00000000-0005-0000-0000-000045B50000}"/>
    <cellStyle name="Percent 7 4 9 2" xfId="46172" xr:uid="{00000000-0005-0000-0000-000046B50000}"/>
    <cellStyle name="Percent 7 5" xfId="17696" xr:uid="{00000000-0005-0000-0000-000047B50000}"/>
    <cellStyle name="Percent 7 5 2" xfId="17885" xr:uid="{00000000-0005-0000-0000-000048B50000}"/>
    <cellStyle name="Percent 7 5 2 2" xfId="22905" xr:uid="{00000000-0005-0000-0000-000049B50000}"/>
    <cellStyle name="Percent 7 5 2 2 2" xfId="22906" xr:uid="{00000000-0005-0000-0000-00004AB50000}"/>
    <cellStyle name="Percent 7 5 2 2 2 2" xfId="46174" xr:uid="{00000000-0005-0000-0000-00004BB50000}"/>
    <cellStyle name="Percent 7 5 2 2 3" xfId="22907" xr:uid="{00000000-0005-0000-0000-00004CB50000}"/>
    <cellStyle name="Percent 7 5 2 2 3 2" xfId="46175" xr:uid="{00000000-0005-0000-0000-00004DB50000}"/>
    <cellStyle name="Percent 7 5 2 2 4" xfId="46173" xr:uid="{00000000-0005-0000-0000-00004EB50000}"/>
    <cellStyle name="Percent 7 5 2 3" xfId="22908" xr:uid="{00000000-0005-0000-0000-00004FB50000}"/>
    <cellStyle name="Percent 7 5 2 3 2" xfId="22909" xr:uid="{00000000-0005-0000-0000-000050B50000}"/>
    <cellStyle name="Percent 7 5 2 3 2 2" xfId="46177" xr:uid="{00000000-0005-0000-0000-000051B50000}"/>
    <cellStyle name="Percent 7 5 2 3 3" xfId="46176" xr:uid="{00000000-0005-0000-0000-000052B50000}"/>
    <cellStyle name="Percent 7 5 2 4" xfId="22910" xr:uid="{00000000-0005-0000-0000-000053B50000}"/>
    <cellStyle name="Percent 7 5 2 4 2" xfId="46178" xr:uid="{00000000-0005-0000-0000-000054B50000}"/>
    <cellStyle name="Percent 7 5 2 5" xfId="22911" xr:uid="{00000000-0005-0000-0000-000055B50000}"/>
    <cellStyle name="Percent 7 5 2 5 2" xfId="46179" xr:uid="{00000000-0005-0000-0000-000056B50000}"/>
    <cellStyle name="Percent 7 5 2 6" xfId="22912" xr:uid="{00000000-0005-0000-0000-000057B50000}"/>
    <cellStyle name="Percent 7 5 2 6 2" xfId="46180" xr:uid="{00000000-0005-0000-0000-000058B50000}"/>
    <cellStyle name="Percent 7 5 2 7" xfId="41345" xr:uid="{00000000-0005-0000-0000-000059B50000}"/>
    <cellStyle name="Percent 7 5 3" xfId="22913" xr:uid="{00000000-0005-0000-0000-00005AB50000}"/>
    <cellStyle name="Percent 7 5 3 2" xfId="22914" xr:uid="{00000000-0005-0000-0000-00005BB50000}"/>
    <cellStyle name="Percent 7 5 3 2 2" xfId="46182" xr:uid="{00000000-0005-0000-0000-00005CB50000}"/>
    <cellStyle name="Percent 7 5 3 3" xfId="22915" xr:uid="{00000000-0005-0000-0000-00005DB50000}"/>
    <cellStyle name="Percent 7 5 3 3 2" xfId="46183" xr:uid="{00000000-0005-0000-0000-00005EB50000}"/>
    <cellStyle name="Percent 7 5 3 4" xfId="46181" xr:uid="{00000000-0005-0000-0000-00005FB50000}"/>
    <cellStyle name="Percent 7 5 4" xfId="22916" xr:uid="{00000000-0005-0000-0000-000060B50000}"/>
    <cellStyle name="Percent 7 5 4 2" xfId="22917" xr:uid="{00000000-0005-0000-0000-000061B50000}"/>
    <cellStyle name="Percent 7 5 4 2 2" xfId="46185" xr:uid="{00000000-0005-0000-0000-000062B50000}"/>
    <cellStyle name="Percent 7 5 4 3" xfId="46184" xr:uid="{00000000-0005-0000-0000-000063B50000}"/>
    <cellStyle name="Percent 7 5 5" xfId="22918" xr:uid="{00000000-0005-0000-0000-000064B50000}"/>
    <cellStyle name="Percent 7 5 5 2" xfId="46186" xr:uid="{00000000-0005-0000-0000-000065B50000}"/>
    <cellStyle name="Percent 7 5 6" xfId="22919" xr:uid="{00000000-0005-0000-0000-000066B50000}"/>
    <cellStyle name="Percent 7 5 6 2" xfId="46187" xr:uid="{00000000-0005-0000-0000-000067B50000}"/>
    <cellStyle name="Percent 7 5 7" xfId="22920" xr:uid="{00000000-0005-0000-0000-000068B50000}"/>
    <cellStyle name="Percent 7 5 7 2" xfId="46188" xr:uid="{00000000-0005-0000-0000-000069B50000}"/>
    <cellStyle name="Percent 7 5 8" xfId="41156" xr:uid="{00000000-0005-0000-0000-00006AB50000}"/>
    <cellStyle name="Percent 7 6" xfId="17741" xr:uid="{00000000-0005-0000-0000-00006BB50000}"/>
    <cellStyle name="Percent 7 6 2" xfId="17973" xr:uid="{00000000-0005-0000-0000-00006CB50000}"/>
    <cellStyle name="Percent 7 6 2 2" xfId="22921" xr:uid="{00000000-0005-0000-0000-00006DB50000}"/>
    <cellStyle name="Percent 7 6 2 2 2" xfId="22922" xr:uid="{00000000-0005-0000-0000-00006EB50000}"/>
    <cellStyle name="Percent 7 6 2 2 2 2" xfId="46190" xr:uid="{00000000-0005-0000-0000-00006FB50000}"/>
    <cellStyle name="Percent 7 6 2 2 3" xfId="22923" xr:uid="{00000000-0005-0000-0000-000070B50000}"/>
    <cellStyle name="Percent 7 6 2 2 3 2" xfId="46191" xr:uid="{00000000-0005-0000-0000-000071B50000}"/>
    <cellStyle name="Percent 7 6 2 2 4" xfId="46189" xr:uid="{00000000-0005-0000-0000-000072B50000}"/>
    <cellStyle name="Percent 7 6 2 3" xfId="22924" xr:uid="{00000000-0005-0000-0000-000073B50000}"/>
    <cellStyle name="Percent 7 6 2 3 2" xfId="22925" xr:uid="{00000000-0005-0000-0000-000074B50000}"/>
    <cellStyle name="Percent 7 6 2 3 2 2" xfId="46193" xr:uid="{00000000-0005-0000-0000-000075B50000}"/>
    <cellStyle name="Percent 7 6 2 3 3" xfId="46192" xr:uid="{00000000-0005-0000-0000-000076B50000}"/>
    <cellStyle name="Percent 7 6 2 4" xfId="22926" xr:uid="{00000000-0005-0000-0000-000077B50000}"/>
    <cellStyle name="Percent 7 6 2 4 2" xfId="46194" xr:uid="{00000000-0005-0000-0000-000078B50000}"/>
    <cellStyle name="Percent 7 6 2 5" xfId="22927" xr:uid="{00000000-0005-0000-0000-000079B50000}"/>
    <cellStyle name="Percent 7 6 2 5 2" xfId="46195" xr:uid="{00000000-0005-0000-0000-00007AB50000}"/>
    <cellStyle name="Percent 7 6 2 6" xfId="22928" xr:uid="{00000000-0005-0000-0000-00007BB50000}"/>
    <cellStyle name="Percent 7 6 2 6 2" xfId="46196" xr:uid="{00000000-0005-0000-0000-00007CB50000}"/>
    <cellStyle name="Percent 7 6 2 7" xfId="41433" xr:uid="{00000000-0005-0000-0000-00007DB50000}"/>
    <cellStyle name="Percent 7 6 3" xfId="22929" xr:uid="{00000000-0005-0000-0000-00007EB50000}"/>
    <cellStyle name="Percent 7 6 3 2" xfId="22930" xr:uid="{00000000-0005-0000-0000-00007FB50000}"/>
    <cellStyle name="Percent 7 6 3 2 2" xfId="46198" xr:uid="{00000000-0005-0000-0000-000080B50000}"/>
    <cellStyle name="Percent 7 6 3 3" xfId="22931" xr:uid="{00000000-0005-0000-0000-000081B50000}"/>
    <cellStyle name="Percent 7 6 3 3 2" xfId="46199" xr:uid="{00000000-0005-0000-0000-000082B50000}"/>
    <cellStyle name="Percent 7 6 3 4" xfId="46197" xr:uid="{00000000-0005-0000-0000-000083B50000}"/>
    <cellStyle name="Percent 7 6 4" xfId="22932" xr:uid="{00000000-0005-0000-0000-000084B50000}"/>
    <cellStyle name="Percent 7 6 4 2" xfId="22933" xr:uid="{00000000-0005-0000-0000-000085B50000}"/>
    <cellStyle name="Percent 7 6 4 2 2" xfId="46201" xr:uid="{00000000-0005-0000-0000-000086B50000}"/>
    <cellStyle name="Percent 7 6 4 3" xfId="46200" xr:uid="{00000000-0005-0000-0000-000087B50000}"/>
    <cellStyle name="Percent 7 6 5" xfId="22934" xr:uid="{00000000-0005-0000-0000-000088B50000}"/>
    <cellStyle name="Percent 7 6 5 2" xfId="46202" xr:uid="{00000000-0005-0000-0000-000089B50000}"/>
    <cellStyle name="Percent 7 6 6" xfId="22935" xr:uid="{00000000-0005-0000-0000-00008AB50000}"/>
    <cellStyle name="Percent 7 6 6 2" xfId="46203" xr:uid="{00000000-0005-0000-0000-00008BB50000}"/>
    <cellStyle name="Percent 7 6 7" xfId="22936" xr:uid="{00000000-0005-0000-0000-00008CB50000}"/>
    <cellStyle name="Percent 7 6 7 2" xfId="46204" xr:uid="{00000000-0005-0000-0000-00008DB50000}"/>
    <cellStyle name="Percent 7 6 8" xfId="41201" xr:uid="{00000000-0005-0000-0000-00008EB50000}"/>
    <cellStyle name="Percent 7 7" xfId="17807" xr:uid="{00000000-0005-0000-0000-00008FB50000}"/>
    <cellStyle name="Percent 7 7 2" xfId="22937" xr:uid="{00000000-0005-0000-0000-000090B50000}"/>
    <cellStyle name="Percent 7 7 2 2" xfId="22938" xr:uid="{00000000-0005-0000-0000-000091B50000}"/>
    <cellStyle name="Percent 7 7 2 2 2" xfId="46206" xr:uid="{00000000-0005-0000-0000-000092B50000}"/>
    <cellStyle name="Percent 7 7 2 3" xfId="22939" xr:uid="{00000000-0005-0000-0000-000093B50000}"/>
    <cellStyle name="Percent 7 7 2 3 2" xfId="46207" xr:uid="{00000000-0005-0000-0000-000094B50000}"/>
    <cellStyle name="Percent 7 7 2 4" xfId="46205" xr:uid="{00000000-0005-0000-0000-000095B50000}"/>
    <cellStyle name="Percent 7 7 3" xfId="22940" xr:uid="{00000000-0005-0000-0000-000096B50000}"/>
    <cellStyle name="Percent 7 7 3 2" xfId="22941" xr:uid="{00000000-0005-0000-0000-000097B50000}"/>
    <cellStyle name="Percent 7 7 3 2 2" xfId="46209" xr:uid="{00000000-0005-0000-0000-000098B50000}"/>
    <cellStyle name="Percent 7 7 3 3" xfId="46208" xr:uid="{00000000-0005-0000-0000-000099B50000}"/>
    <cellStyle name="Percent 7 7 4" xfId="22942" xr:uid="{00000000-0005-0000-0000-00009AB50000}"/>
    <cellStyle name="Percent 7 7 4 2" xfId="46210" xr:uid="{00000000-0005-0000-0000-00009BB50000}"/>
    <cellStyle name="Percent 7 7 5" xfId="22943" xr:uid="{00000000-0005-0000-0000-00009CB50000}"/>
    <cellStyle name="Percent 7 7 5 2" xfId="46211" xr:uid="{00000000-0005-0000-0000-00009DB50000}"/>
    <cellStyle name="Percent 7 7 6" xfId="22944" xr:uid="{00000000-0005-0000-0000-00009EB50000}"/>
    <cellStyle name="Percent 7 7 6 2" xfId="46212" xr:uid="{00000000-0005-0000-0000-00009FB50000}"/>
    <cellStyle name="Percent 7 7 7" xfId="41267" xr:uid="{00000000-0005-0000-0000-0000A0B50000}"/>
    <cellStyle name="Percent 7 8" xfId="22945" xr:uid="{00000000-0005-0000-0000-0000A1B50000}"/>
    <cellStyle name="Percent 7 8 2" xfId="22946" xr:uid="{00000000-0005-0000-0000-0000A2B50000}"/>
    <cellStyle name="Percent 7 8 2 2" xfId="46214" xr:uid="{00000000-0005-0000-0000-0000A3B50000}"/>
    <cellStyle name="Percent 7 8 3" xfId="22947" xr:uid="{00000000-0005-0000-0000-0000A4B50000}"/>
    <cellStyle name="Percent 7 8 3 2" xfId="46215" xr:uid="{00000000-0005-0000-0000-0000A5B50000}"/>
    <cellStyle name="Percent 7 8 4" xfId="46213" xr:uid="{00000000-0005-0000-0000-0000A6B50000}"/>
    <cellStyle name="Percent 7 9" xfId="22948" xr:uid="{00000000-0005-0000-0000-0000A7B50000}"/>
    <cellStyle name="Percent 7 9 2" xfId="22949" xr:uid="{00000000-0005-0000-0000-0000A8B50000}"/>
    <cellStyle name="Percent 7 9 2 2" xfId="46217" xr:uid="{00000000-0005-0000-0000-0000A9B50000}"/>
    <cellStyle name="Percent 7 9 3" xfId="46216" xr:uid="{00000000-0005-0000-0000-0000AAB50000}"/>
    <cellStyle name="Percent 8" xfId="173" xr:uid="{00000000-0005-0000-0000-0000ABB50000}"/>
    <cellStyle name="Percent 8 10" xfId="22950" xr:uid="{00000000-0005-0000-0000-0000ACB50000}"/>
    <cellStyle name="Percent 8 10 2" xfId="46218" xr:uid="{00000000-0005-0000-0000-0000ADB50000}"/>
    <cellStyle name="Percent 8 11" xfId="22951" xr:uid="{00000000-0005-0000-0000-0000AEB50000}"/>
    <cellStyle name="Percent 8 11 2" xfId="46219" xr:uid="{00000000-0005-0000-0000-0000AFB50000}"/>
    <cellStyle name="Percent 8 12" xfId="23714" xr:uid="{00000000-0005-0000-0000-0000B0B50000}"/>
    <cellStyle name="Percent 8 2" xfId="174" xr:uid="{00000000-0005-0000-0000-0000B1B50000}"/>
    <cellStyle name="Percent 8 2 10" xfId="23715" xr:uid="{00000000-0005-0000-0000-0000B2B50000}"/>
    <cellStyle name="Percent 8 2 2" xfId="17678" xr:uid="{00000000-0005-0000-0000-0000B3B50000}"/>
    <cellStyle name="Percent 8 2 2 2" xfId="17921" xr:uid="{00000000-0005-0000-0000-0000B4B50000}"/>
    <cellStyle name="Percent 8 2 2 2 2" xfId="22952" xr:uid="{00000000-0005-0000-0000-0000B5B50000}"/>
    <cellStyle name="Percent 8 2 2 2 2 2" xfId="22953" xr:uid="{00000000-0005-0000-0000-0000B6B50000}"/>
    <cellStyle name="Percent 8 2 2 2 2 2 2" xfId="46221" xr:uid="{00000000-0005-0000-0000-0000B7B50000}"/>
    <cellStyle name="Percent 8 2 2 2 2 3" xfId="22954" xr:uid="{00000000-0005-0000-0000-0000B8B50000}"/>
    <cellStyle name="Percent 8 2 2 2 2 3 2" xfId="46222" xr:uid="{00000000-0005-0000-0000-0000B9B50000}"/>
    <cellStyle name="Percent 8 2 2 2 2 4" xfId="46220" xr:uid="{00000000-0005-0000-0000-0000BAB50000}"/>
    <cellStyle name="Percent 8 2 2 2 3" xfId="22955" xr:uid="{00000000-0005-0000-0000-0000BBB50000}"/>
    <cellStyle name="Percent 8 2 2 2 3 2" xfId="22956" xr:uid="{00000000-0005-0000-0000-0000BCB50000}"/>
    <cellStyle name="Percent 8 2 2 2 3 2 2" xfId="46224" xr:uid="{00000000-0005-0000-0000-0000BDB50000}"/>
    <cellStyle name="Percent 8 2 2 2 3 3" xfId="46223" xr:uid="{00000000-0005-0000-0000-0000BEB50000}"/>
    <cellStyle name="Percent 8 2 2 2 4" xfId="22957" xr:uid="{00000000-0005-0000-0000-0000BFB50000}"/>
    <cellStyle name="Percent 8 2 2 2 4 2" xfId="46225" xr:uid="{00000000-0005-0000-0000-0000C0B50000}"/>
    <cellStyle name="Percent 8 2 2 2 5" xfId="22958" xr:uid="{00000000-0005-0000-0000-0000C1B50000}"/>
    <cellStyle name="Percent 8 2 2 2 5 2" xfId="46226" xr:uid="{00000000-0005-0000-0000-0000C2B50000}"/>
    <cellStyle name="Percent 8 2 2 2 6" xfId="22959" xr:uid="{00000000-0005-0000-0000-0000C3B50000}"/>
    <cellStyle name="Percent 8 2 2 2 6 2" xfId="46227" xr:uid="{00000000-0005-0000-0000-0000C4B50000}"/>
    <cellStyle name="Percent 8 2 2 2 7" xfId="41381" xr:uid="{00000000-0005-0000-0000-0000C5B50000}"/>
    <cellStyle name="Percent 8 2 2 3" xfId="22960" xr:uid="{00000000-0005-0000-0000-0000C6B50000}"/>
    <cellStyle name="Percent 8 2 2 3 2" xfId="22961" xr:uid="{00000000-0005-0000-0000-0000C7B50000}"/>
    <cellStyle name="Percent 8 2 2 3 2 2" xfId="46229" xr:uid="{00000000-0005-0000-0000-0000C8B50000}"/>
    <cellStyle name="Percent 8 2 2 3 3" xfId="22962" xr:uid="{00000000-0005-0000-0000-0000C9B50000}"/>
    <cellStyle name="Percent 8 2 2 3 3 2" xfId="46230" xr:uid="{00000000-0005-0000-0000-0000CAB50000}"/>
    <cellStyle name="Percent 8 2 2 3 4" xfId="46228" xr:uid="{00000000-0005-0000-0000-0000CBB50000}"/>
    <cellStyle name="Percent 8 2 2 4" xfId="22963" xr:uid="{00000000-0005-0000-0000-0000CCB50000}"/>
    <cellStyle name="Percent 8 2 2 4 2" xfId="22964" xr:uid="{00000000-0005-0000-0000-0000CDB50000}"/>
    <cellStyle name="Percent 8 2 2 4 2 2" xfId="46232" xr:uid="{00000000-0005-0000-0000-0000CEB50000}"/>
    <cellStyle name="Percent 8 2 2 4 3" xfId="46231" xr:uid="{00000000-0005-0000-0000-0000CFB50000}"/>
    <cellStyle name="Percent 8 2 2 5" xfId="22965" xr:uid="{00000000-0005-0000-0000-0000D0B50000}"/>
    <cellStyle name="Percent 8 2 2 5 2" xfId="46233" xr:uid="{00000000-0005-0000-0000-0000D1B50000}"/>
    <cellStyle name="Percent 8 2 2 6" xfId="22966" xr:uid="{00000000-0005-0000-0000-0000D2B50000}"/>
    <cellStyle name="Percent 8 2 2 6 2" xfId="46234" xr:uid="{00000000-0005-0000-0000-0000D3B50000}"/>
    <cellStyle name="Percent 8 2 2 7" xfId="22967" xr:uid="{00000000-0005-0000-0000-0000D4B50000}"/>
    <cellStyle name="Percent 8 2 2 7 2" xfId="46235" xr:uid="{00000000-0005-0000-0000-0000D5B50000}"/>
    <cellStyle name="Percent 8 2 2 8" xfId="41144" xr:uid="{00000000-0005-0000-0000-0000D6B50000}"/>
    <cellStyle name="Percent 8 2 3" xfId="17771" xr:uid="{00000000-0005-0000-0000-0000D7B50000}"/>
    <cellStyle name="Percent 8 2 3 2" xfId="18005" xr:uid="{00000000-0005-0000-0000-0000D8B50000}"/>
    <cellStyle name="Percent 8 2 3 2 2" xfId="22968" xr:uid="{00000000-0005-0000-0000-0000D9B50000}"/>
    <cellStyle name="Percent 8 2 3 2 2 2" xfId="22969" xr:uid="{00000000-0005-0000-0000-0000DAB50000}"/>
    <cellStyle name="Percent 8 2 3 2 2 2 2" xfId="46237" xr:uid="{00000000-0005-0000-0000-0000DBB50000}"/>
    <cellStyle name="Percent 8 2 3 2 2 3" xfId="22970" xr:uid="{00000000-0005-0000-0000-0000DCB50000}"/>
    <cellStyle name="Percent 8 2 3 2 2 3 2" xfId="46238" xr:uid="{00000000-0005-0000-0000-0000DDB50000}"/>
    <cellStyle name="Percent 8 2 3 2 2 4" xfId="46236" xr:uid="{00000000-0005-0000-0000-0000DEB50000}"/>
    <cellStyle name="Percent 8 2 3 2 3" xfId="22971" xr:uid="{00000000-0005-0000-0000-0000DFB50000}"/>
    <cellStyle name="Percent 8 2 3 2 3 2" xfId="22972" xr:uid="{00000000-0005-0000-0000-0000E0B50000}"/>
    <cellStyle name="Percent 8 2 3 2 3 2 2" xfId="46240" xr:uid="{00000000-0005-0000-0000-0000E1B50000}"/>
    <cellStyle name="Percent 8 2 3 2 3 3" xfId="46239" xr:uid="{00000000-0005-0000-0000-0000E2B50000}"/>
    <cellStyle name="Percent 8 2 3 2 4" xfId="22973" xr:uid="{00000000-0005-0000-0000-0000E3B50000}"/>
    <cellStyle name="Percent 8 2 3 2 4 2" xfId="46241" xr:uid="{00000000-0005-0000-0000-0000E4B50000}"/>
    <cellStyle name="Percent 8 2 3 2 5" xfId="22974" xr:uid="{00000000-0005-0000-0000-0000E5B50000}"/>
    <cellStyle name="Percent 8 2 3 2 5 2" xfId="46242" xr:uid="{00000000-0005-0000-0000-0000E6B50000}"/>
    <cellStyle name="Percent 8 2 3 2 6" xfId="22975" xr:uid="{00000000-0005-0000-0000-0000E7B50000}"/>
    <cellStyle name="Percent 8 2 3 2 6 2" xfId="46243" xr:uid="{00000000-0005-0000-0000-0000E8B50000}"/>
    <cellStyle name="Percent 8 2 3 2 7" xfId="41465" xr:uid="{00000000-0005-0000-0000-0000E9B50000}"/>
    <cellStyle name="Percent 8 2 3 3" xfId="22976" xr:uid="{00000000-0005-0000-0000-0000EAB50000}"/>
    <cellStyle name="Percent 8 2 3 3 2" xfId="22977" xr:uid="{00000000-0005-0000-0000-0000EBB50000}"/>
    <cellStyle name="Percent 8 2 3 3 2 2" xfId="46245" xr:uid="{00000000-0005-0000-0000-0000ECB50000}"/>
    <cellStyle name="Percent 8 2 3 3 3" xfId="22978" xr:uid="{00000000-0005-0000-0000-0000EDB50000}"/>
    <cellStyle name="Percent 8 2 3 3 3 2" xfId="46246" xr:uid="{00000000-0005-0000-0000-0000EEB50000}"/>
    <cellStyle name="Percent 8 2 3 3 4" xfId="46244" xr:uid="{00000000-0005-0000-0000-0000EFB50000}"/>
    <cellStyle name="Percent 8 2 3 4" xfId="22979" xr:uid="{00000000-0005-0000-0000-0000F0B50000}"/>
    <cellStyle name="Percent 8 2 3 4 2" xfId="22980" xr:uid="{00000000-0005-0000-0000-0000F1B50000}"/>
    <cellStyle name="Percent 8 2 3 4 2 2" xfId="46248" xr:uid="{00000000-0005-0000-0000-0000F2B50000}"/>
    <cellStyle name="Percent 8 2 3 4 3" xfId="46247" xr:uid="{00000000-0005-0000-0000-0000F3B50000}"/>
    <cellStyle name="Percent 8 2 3 5" xfId="22981" xr:uid="{00000000-0005-0000-0000-0000F4B50000}"/>
    <cellStyle name="Percent 8 2 3 5 2" xfId="46249" xr:uid="{00000000-0005-0000-0000-0000F5B50000}"/>
    <cellStyle name="Percent 8 2 3 6" xfId="22982" xr:uid="{00000000-0005-0000-0000-0000F6B50000}"/>
    <cellStyle name="Percent 8 2 3 6 2" xfId="46250" xr:uid="{00000000-0005-0000-0000-0000F7B50000}"/>
    <cellStyle name="Percent 8 2 3 7" xfId="22983" xr:uid="{00000000-0005-0000-0000-0000F8B50000}"/>
    <cellStyle name="Percent 8 2 3 7 2" xfId="46251" xr:uid="{00000000-0005-0000-0000-0000F9B50000}"/>
    <cellStyle name="Percent 8 2 3 8" xfId="41231" xr:uid="{00000000-0005-0000-0000-0000FAB50000}"/>
    <cellStyle name="Percent 8 2 4" xfId="17846" xr:uid="{00000000-0005-0000-0000-0000FBB50000}"/>
    <cellStyle name="Percent 8 2 4 2" xfId="22984" xr:uid="{00000000-0005-0000-0000-0000FCB50000}"/>
    <cellStyle name="Percent 8 2 4 2 2" xfId="22985" xr:uid="{00000000-0005-0000-0000-0000FDB50000}"/>
    <cellStyle name="Percent 8 2 4 2 2 2" xfId="46253" xr:uid="{00000000-0005-0000-0000-0000FEB50000}"/>
    <cellStyle name="Percent 8 2 4 2 3" xfId="22986" xr:uid="{00000000-0005-0000-0000-0000FFB50000}"/>
    <cellStyle name="Percent 8 2 4 2 3 2" xfId="46254" xr:uid="{00000000-0005-0000-0000-000000B60000}"/>
    <cellStyle name="Percent 8 2 4 2 4" xfId="46252" xr:uid="{00000000-0005-0000-0000-000001B60000}"/>
    <cellStyle name="Percent 8 2 4 3" xfId="22987" xr:uid="{00000000-0005-0000-0000-000002B60000}"/>
    <cellStyle name="Percent 8 2 4 3 2" xfId="22988" xr:uid="{00000000-0005-0000-0000-000003B60000}"/>
    <cellStyle name="Percent 8 2 4 3 2 2" xfId="46256" xr:uid="{00000000-0005-0000-0000-000004B60000}"/>
    <cellStyle name="Percent 8 2 4 3 3" xfId="46255" xr:uid="{00000000-0005-0000-0000-000005B60000}"/>
    <cellStyle name="Percent 8 2 4 4" xfId="22989" xr:uid="{00000000-0005-0000-0000-000006B60000}"/>
    <cellStyle name="Percent 8 2 4 4 2" xfId="46257" xr:uid="{00000000-0005-0000-0000-000007B60000}"/>
    <cellStyle name="Percent 8 2 4 5" xfId="22990" xr:uid="{00000000-0005-0000-0000-000008B60000}"/>
    <cellStyle name="Percent 8 2 4 5 2" xfId="46258" xr:uid="{00000000-0005-0000-0000-000009B60000}"/>
    <cellStyle name="Percent 8 2 4 6" xfId="22991" xr:uid="{00000000-0005-0000-0000-00000AB60000}"/>
    <cellStyle name="Percent 8 2 4 6 2" xfId="46259" xr:uid="{00000000-0005-0000-0000-00000BB60000}"/>
    <cellStyle name="Percent 8 2 4 7" xfId="41306" xr:uid="{00000000-0005-0000-0000-00000CB60000}"/>
    <cellStyle name="Percent 8 2 5" xfId="22992" xr:uid="{00000000-0005-0000-0000-00000DB60000}"/>
    <cellStyle name="Percent 8 2 5 2" xfId="22993" xr:uid="{00000000-0005-0000-0000-00000EB60000}"/>
    <cellStyle name="Percent 8 2 5 2 2" xfId="46261" xr:uid="{00000000-0005-0000-0000-00000FB60000}"/>
    <cellStyle name="Percent 8 2 5 3" xfId="22994" xr:uid="{00000000-0005-0000-0000-000010B60000}"/>
    <cellStyle name="Percent 8 2 5 3 2" xfId="46262" xr:uid="{00000000-0005-0000-0000-000011B60000}"/>
    <cellStyle name="Percent 8 2 5 4" xfId="46260" xr:uid="{00000000-0005-0000-0000-000012B60000}"/>
    <cellStyle name="Percent 8 2 6" xfId="22995" xr:uid="{00000000-0005-0000-0000-000013B60000}"/>
    <cellStyle name="Percent 8 2 6 2" xfId="22996" xr:uid="{00000000-0005-0000-0000-000014B60000}"/>
    <cellStyle name="Percent 8 2 6 2 2" xfId="46264" xr:uid="{00000000-0005-0000-0000-000015B60000}"/>
    <cellStyle name="Percent 8 2 6 3" xfId="46263" xr:uid="{00000000-0005-0000-0000-000016B60000}"/>
    <cellStyle name="Percent 8 2 7" xfId="22997" xr:uid="{00000000-0005-0000-0000-000017B60000}"/>
    <cellStyle name="Percent 8 2 7 2" xfId="46265" xr:uid="{00000000-0005-0000-0000-000018B60000}"/>
    <cellStyle name="Percent 8 2 8" xfId="22998" xr:uid="{00000000-0005-0000-0000-000019B60000}"/>
    <cellStyle name="Percent 8 2 8 2" xfId="46266" xr:uid="{00000000-0005-0000-0000-00001AB60000}"/>
    <cellStyle name="Percent 8 2 9" xfId="22999" xr:uid="{00000000-0005-0000-0000-00001BB60000}"/>
    <cellStyle name="Percent 8 2 9 2" xfId="46267" xr:uid="{00000000-0005-0000-0000-00001CB60000}"/>
    <cellStyle name="Percent 8 3" xfId="17679" xr:uid="{00000000-0005-0000-0000-00001DB60000}"/>
    <cellStyle name="Percent 8 3 10" xfId="41145" xr:uid="{00000000-0005-0000-0000-00001EB60000}"/>
    <cellStyle name="Percent 8 3 2" xfId="17711" xr:uid="{00000000-0005-0000-0000-00001FB60000}"/>
    <cellStyle name="Percent 8 3 2 2" xfId="17936" xr:uid="{00000000-0005-0000-0000-000020B60000}"/>
    <cellStyle name="Percent 8 3 2 2 2" xfId="23000" xr:uid="{00000000-0005-0000-0000-000021B60000}"/>
    <cellStyle name="Percent 8 3 2 2 2 2" xfId="23001" xr:uid="{00000000-0005-0000-0000-000022B60000}"/>
    <cellStyle name="Percent 8 3 2 2 2 2 2" xfId="46269" xr:uid="{00000000-0005-0000-0000-000023B60000}"/>
    <cellStyle name="Percent 8 3 2 2 2 3" xfId="23002" xr:uid="{00000000-0005-0000-0000-000024B60000}"/>
    <cellStyle name="Percent 8 3 2 2 2 3 2" xfId="46270" xr:uid="{00000000-0005-0000-0000-000025B60000}"/>
    <cellStyle name="Percent 8 3 2 2 2 4" xfId="46268" xr:uid="{00000000-0005-0000-0000-000026B60000}"/>
    <cellStyle name="Percent 8 3 2 2 3" xfId="23003" xr:uid="{00000000-0005-0000-0000-000027B60000}"/>
    <cellStyle name="Percent 8 3 2 2 3 2" xfId="23004" xr:uid="{00000000-0005-0000-0000-000028B60000}"/>
    <cellStyle name="Percent 8 3 2 2 3 2 2" xfId="46272" xr:uid="{00000000-0005-0000-0000-000029B60000}"/>
    <cellStyle name="Percent 8 3 2 2 3 3" xfId="46271" xr:uid="{00000000-0005-0000-0000-00002AB60000}"/>
    <cellStyle name="Percent 8 3 2 2 4" xfId="23005" xr:uid="{00000000-0005-0000-0000-00002BB60000}"/>
    <cellStyle name="Percent 8 3 2 2 4 2" xfId="46273" xr:uid="{00000000-0005-0000-0000-00002CB60000}"/>
    <cellStyle name="Percent 8 3 2 2 5" xfId="23006" xr:uid="{00000000-0005-0000-0000-00002DB60000}"/>
    <cellStyle name="Percent 8 3 2 2 5 2" xfId="46274" xr:uid="{00000000-0005-0000-0000-00002EB60000}"/>
    <cellStyle name="Percent 8 3 2 2 6" xfId="23007" xr:uid="{00000000-0005-0000-0000-00002FB60000}"/>
    <cellStyle name="Percent 8 3 2 2 6 2" xfId="46275" xr:uid="{00000000-0005-0000-0000-000030B60000}"/>
    <cellStyle name="Percent 8 3 2 2 7" xfId="41396" xr:uid="{00000000-0005-0000-0000-000031B60000}"/>
    <cellStyle name="Percent 8 3 2 3" xfId="23008" xr:uid="{00000000-0005-0000-0000-000032B60000}"/>
    <cellStyle name="Percent 8 3 2 3 2" xfId="23009" xr:uid="{00000000-0005-0000-0000-000033B60000}"/>
    <cellStyle name="Percent 8 3 2 3 2 2" xfId="46277" xr:uid="{00000000-0005-0000-0000-000034B60000}"/>
    <cellStyle name="Percent 8 3 2 3 3" xfId="23010" xr:uid="{00000000-0005-0000-0000-000035B60000}"/>
    <cellStyle name="Percent 8 3 2 3 3 2" xfId="46278" xr:uid="{00000000-0005-0000-0000-000036B60000}"/>
    <cellStyle name="Percent 8 3 2 3 4" xfId="46276" xr:uid="{00000000-0005-0000-0000-000037B60000}"/>
    <cellStyle name="Percent 8 3 2 4" xfId="23011" xr:uid="{00000000-0005-0000-0000-000038B60000}"/>
    <cellStyle name="Percent 8 3 2 4 2" xfId="23012" xr:uid="{00000000-0005-0000-0000-000039B60000}"/>
    <cellStyle name="Percent 8 3 2 4 2 2" xfId="46280" xr:uid="{00000000-0005-0000-0000-00003AB60000}"/>
    <cellStyle name="Percent 8 3 2 4 3" xfId="46279" xr:uid="{00000000-0005-0000-0000-00003BB60000}"/>
    <cellStyle name="Percent 8 3 2 5" xfId="23013" xr:uid="{00000000-0005-0000-0000-00003CB60000}"/>
    <cellStyle name="Percent 8 3 2 5 2" xfId="46281" xr:uid="{00000000-0005-0000-0000-00003DB60000}"/>
    <cellStyle name="Percent 8 3 2 6" xfId="23014" xr:uid="{00000000-0005-0000-0000-00003EB60000}"/>
    <cellStyle name="Percent 8 3 2 6 2" xfId="46282" xr:uid="{00000000-0005-0000-0000-00003FB60000}"/>
    <cellStyle name="Percent 8 3 2 7" xfId="23015" xr:uid="{00000000-0005-0000-0000-000040B60000}"/>
    <cellStyle name="Percent 8 3 2 7 2" xfId="46283" xr:uid="{00000000-0005-0000-0000-000041B60000}"/>
    <cellStyle name="Percent 8 3 2 8" xfId="41171" xr:uid="{00000000-0005-0000-0000-000042B60000}"/>
    <cellStyle name="Percent 8 3 3" xfId="17795" xr:uid="{00000000-0005-0000-0000-000043B60000}"/>
    <cellStyle name="Percent 8 3 3 2" xfId="18031" xr:uid="{00000000-0005-0000-0000-000044B60000}"/>
    <cellStyle name="Percent 8 3 3 2 2" xfId="23016" xr:uid="{00000000-0005-0000-0000-000045B60000}"/>
    <cellStyle name="Percent 8 3 3 2 2 2" xfId="23017" xr:uid="{00000000-0005-0000-0000-000046B60000}"/>
    <cellStyle name="Percent 8 3 3 2 2 2 2" xfId="46285" xr:uid="{00000000-0005-0000-0000-000047B60000}"/>
    <cellStyle name="Percent 8 3 3 2 2 3" xfId="23018" xr:uid="{00000000-0005-0000-0000-000048B60000}"/>
    <cellStyle name="Percent 8 3 3 2 2 3 2" xfId="46286" xr:uid="{00000000-0005-0000-0000-000049B60000}"/>
    <cellStyle name="Percent 8 3 3 2 2 4" xfId="46284" xr:uid="{00000000-0005-0000-0000-00004AB60000}"/>
    <cellStyle name="Percent 8 3 3 2 3" xfId="23019" xr:uid="{00000000-0005-0000-0000-00004BB60000}"/>
    <cellStyle name="Percent 8 3 3 2 3 2" xfId="23020" xr:uid="{00000000-0005-0000-0000-00004CB60000}"/>
    <cellStyle name="Percent 8 3 3 2 3 2 2" xfId="46288" xr:uid="{00000000-0005-0000-0000-00004DB60000}"/>
    <cellStyle name="Percent 8 3 3 2 3 3" xfId="46287" xr:uid="{00000000-0005-0000-0000-00004EB60000}"/>
    <cellStyle name="Percent 8 3 3 2 4" xfId="23021" xr:uid="{00000000-0005-0000-0000-00004FB60000}"/>
    <cellStyle name="Percent 8 3 3 2 4 2" xfId="46289" xr:uid="{00000000-0005-0000-0000-000050B60000}"/>
    <cellStyle name="Percent 8 3 3 2 5" xfId="23022" xr:uid="{00000000-0005-0000-0000-000051B60000}"/>
    <cellStyle name="Percent 8 3 3 2 5 2" xfId="46290" xr:uid="{00000000-0005-0000-0000-000052B60000}"/>
    <cellStyle name="Percent 8 3 3 2 6" xfId="23023" xr:uid="{00000000-0005-0000-0000-000053B60000}"/>
    <cellStyle name="Percent 8 3 3 2 6 2" xfId="46291" xr:uid="{00000000-0005-0000-0000-000054B60000}"/>
    <cellStyle name="Percent 8 3 3 2 7" xfId="41491" xr:uid="{00000000-0005-0000-0000-000055B60000}"/>
    <cellStyle name="Percent 8 3 3 3" xfId="23024" xr:uid="{00000000-0005-0000-0000-000056B60000}"/>
    <cellStyle name="Percent 8 3 3 3 2" xfId="23025" xr:uid="{00000000-0005-0000-0000-000057B60000}"/>
    <cellStyle name="Percent 8 3 3 3 2 2" xfId="46293" xr:uid="{00000000-0005-0000-0000-000058B60000}"/>
    <cellStyle name="Percent 8 3 3 3 3" xfId="23026" xr:uid="{00000000-0005-0000-0000-000059B60000}"/>
    <cellStyle name="Percent 8 3 3 3 3 2" xfId="46294" xr:uid="{00000000-0005-0000-0000-00005AB60000}"/>
    <cellStyle name="Percent 8 3 3 3 4" xfId="46292" xr:uid="{00000000-0005-0000-0000-00005BB60000}"/>
    <cellStyle name="Percent 8 3 3 4" xfId="23027" xr:uid="{00000000-0005-0000-0000-00005CB60000}"/>
    <cellStyle name="Percent 8 3 3 4 2" xfId="23028" xr:uid="{00000000-0005-0000-0000-00005DB60000}"/>
    <cellStyle name="Percent 8 3 3 4 2 2" xfId="46296" xr:uid="{00000000-0005-0000-0000-00005EB60000}"/>
    <cellStyle name="Percent 8 3 3 4 3" xfId="46295" xr:uid="{00000000-0005-0000-0000-00005FB60000}"/>
    <cellStyle name="Percent 8 3 3 5" xfId="23029" xr:uid="{00000000-0005-0000-0000-000060B60000}"/>
    <cellStyle name="Percent 8 3 3 5 2" xfId="46297" xr:uid="{00000000-0005-0000-0000-000061B60000}"/>
    <cellStyle name="Percent 8 3 3 6" xfId="23030" xr:uid="{00000000-0005-0000-0000-000062B60000}"/>
    <cellStyle name="Percent 8 3 3 6 2" xfId="46298" xr:uid="{00000000-0005-0000-0000-000063B60000}"/>
    <cellStyle name="Percent 8 3 3 7" xfId="23031" xr:uid="{00000000-0005-0000-0000-000064B60000}"/>
    <cellStyle name="Percent 8 3 3 7 2" xfId="46299" xr:uid="{00000000-0005-0000-0000-000065B60000}"/>
    <cellStyle name="Percent 8 3 3 8" xfId="41255" xr:uid="{00000000-0005-0000-0000-000066B60000}"/>
    <cellStyle name="Percent 8 3 4" xfId="17864" xr:uid="{00000000-0005-0000-0000-000067B60000}"/>
    <cellStyle name="Percent 8 3 4 2" xfId="23032" xr:uid="{00000000-0005-0000-0000-000068B60000}"/>
    <cellStyle name="Percent 8 3 4 2 2" xfId="23033" xr:uid="{00000000-0005-0000-0000-000069B60000}"/>
    <cellStyle name="Percent 8 3 4 2 2 2" xfId="46301" xr:uid="{00000000-0005-0000-0000-00006AB60000}"/>
    <cellStyle name="Percent 8 3 4 2 3" xfId="23034" xr:uid="{00000000-0005-0000-0000-00006BB60000}"/>
    <cellStyle name="Percent 8 3 4 2 3 2" xfId="46302" xr:uid="{00000000-0005-0000-0000-00006CB60000}"/>
    <cellStyle name="Percent 8 3 4 2 4" xfId="46300" xr:uid="{00000000-0005-0000-0000-00006DB60000}"/>
    <cellStyle name="Percent 8 3 4 3" xfId="23035" xr:uid="{00000000-0005-0000-0000-00006EB60000}"/>
    <cellStyle name="Percent 8 3 4 3 2" xfId="23036" xr:uid="{00000000-0005-0000-0000-00006FB60000}"/>
    <cellStyle name="Percent 8 3 4 3 2 2" xfId="46304" xr:uid="{00000000-0005-0000-0000-000070B60000}"/>
    <cellStyle name="Percent 8 3 4 3 3" xfId="46303" xr:uid="{00000000-0005-0000-0000-000071B60000}"/>
    <cellStyle name="Percent 8 3 4 4" xfId="23037" xr:uid="{00000000-0005-0000-0000-000072B60000}"/>
    <cellStyle name="Percent 8 3 4 4 2" xfId="46305" xr:uid="{00000000-0005-0000-0000-000073B60000}"/>
    <cellStyle name="Percent 8 3 4 5" xfId="23038" xr:uid="{00000000-0005-0000-0000-000074B60000}"/>
    <cellStyle name="Percent 8 3 4 5 2" xfId="46306" xr:uid="{00000000-0005-0000-0000-000075B60000}"/>
    <cellStyle name="Percent 8 3 4 6" xfId="23039" xr:uid="{00000000-0005-0000-0000-000076B60000}"/>
    <cellStyle name="Percent 8 3 4 6 2" xfId="46307" xr:uid="{00000000-0005-0000-0000-000077B60000}"/>
    <cellStyle name="Percent 8 3 4 7" xfId="41324" xr:uid="{00000000-0005-0000-0000-000078B60000}"/>
    <cellStyle name="Percent 8 3 5" xfId="23040" xr:uid="{00000000-0005-0000-0000-000079B60000}"/>
    <cellStyle name="Percent 8 3 5 2" xfId="23041" xr:uid="{00000000-0005-0000-0000-00007AB60000}"/>
    <cellStyle name="Percent 8 3 5 2 2" xfId="46309" xr:uid="{00000000-0005-0000-0000-00007BB60000}"/>
    <cellStyle name="Percent 8 3 5 3" xfId="23042" xr:uid="{00000000-0005-0000-0000-00007CB60000}"/>
    <cellStyle name="Percent 8 3 5 3 2" xfId="46310" xr:uid="{00000000-0005-0000-0000-00007DB60000}"/>
    <cellStyle name="Percent 8 3 5 4" xfId="46308" xr:uid="{00000000-0005-0000-0000-00007EB60000}"/>
    <cellStyle name="Percent 8 3 6" xfId="23043" xr:uid="{00000000-0005-0000-0000-00007FB60000}"/>
    <cellStyle name="Percent 8 3 6 2" xfId="23044" xr:uid="{00000000-0005-0000-0000-000080B60000}"/>
    <cellStyle name="Percent 8 3 6 2 2" xfId="46312" xr:uid="{00000000-0005-0000-0000-000081B60000}"/>
    <cellStyle name="Percent 8 3 6 3" xfId="46311" xr:uid="{00000000-0005-0000-0000-000082B60000}"/>
    <cellStyle name="Percent 8 3 7" xfId="23045" xr:uid="{00000000-0005-0000-0000-000083B60000}"/>
    <cellStyle name="Percent 8 3 7 2" xfId="46313" xr:uid="{00000000-0005-0000-0000-000084B60000}"/>
    <cellStyle name="Percent 8 3 8" xfId="23046" xr:uid="{00000000-0005-0000-0000-000085B60000}"/>
    <cellStyle name="Percent 8 3 8 2" xfId="46314" xr:uid="{00000000-0005-0000-0000-000086B60000}"/>
    <cellStyle name="Percent 8 3 9" xfId="23047" xr:uid="{00000000-0005-0000-0000-000087B60000}"/>
    <cellStyle name="Percent 8 3 9 2" xfId="46315" xr:uid="{00000000-0005-0000-0000-000088B60000}"/>
    <cellStyle name="Percent 8 4" xfId="17697" xr:uid="{00000000-0005-0000-0000-000089B60000}"/>
    <cellStyle name="Percent 8 4 2" xfId="17886" xr:uid="{00000000-0005-0000-0000-00008AB60000}"/>
    <cellStyle name="Percent 8 4 2 2" xfId="23048" xr:uid="{00000000-0005-0000-0000-00008BB60000}"/>
    <cellStyle name="Percent 8 4 2 2 2" xfId="23049" xr:uid="{00000000-0005-0000-0000-00008CB60000}"/>
    <cellStyle name="Percent 8 4 2 2 2 2" xfId="46317" xr:uid="{00000000-0005-0000-0000-00008DB60000}"/>
    <cellStyle name="Percent 8 4 2 2 3" xfId="23050" xr:uid="{00000000-0005-0000-0000-00008EB60000}"/>
    <cellStyle name="Percent 8 4 2 2 3 2" xfId="46318" xr:uid="{00000000-0005-0000-0000-00008FB60000}"/>
    <cellStyle name="Percent 8 4 2 2 4" xfId="46316" xr:uid="{00000000-0005-0000-0000-000090B60000}"/>
    <cellStyle name="Percent 8 4 2 3" xfId="23051" xr:uid="{00000000-0005-0000-0000-000091B60000}"/>
    <cellStyle name="Percent 8 4 2 3 2" xfId="23052" xr:uid="{00000000-0005-0000-0000-000092B60000}"/>
    <cellStyle name="Percent 8 4 2 3 2 2" xfId="46320" xr:uid="{00000000-0005-0000-0000-000093B60000}"/>
    <cellStyle name="Percent 8 4 2 3 3" xfId="46319" xr:uid="{00000000-0005-0000-0000-000094B60000}"/>
    <cellStyle name="Percent 8 4 2 4" xfId="23053" xr:uid="{00000000-0005-0000-0000-000095B60000}"/>
    <cellStyle name="Percent 8 4 2 4 2" xfId="46321" xr:uid="{00000000-0005-0000-0000-000096B60000}"/>
    <cellStyle name="Percent 8 4 2 5" xfId="23054" xr:uid="{00000000-0005-0000-0000-000097B60000}"/>
    <cellStyle name="Percent 8 4 2 5 2" xfId="46322" xr:uid="{00000000-0005-0000-0000-000098B60000}"/>
    <cellStyle name="Percent 8 4 2 6" xfId="23055" xr:uid="{00000000-0005-0000-0000-000099B60000}"/>
    <cellStyle name="Percent 8 4 2 6 2" xfId="46323" xr:uid="{00000000-0005-0000-0000-00009AB60000}"/>
    <cellStyle name="Percent 8 4 2 7" xfId="41346" xr:uid="{00000000-0005-0000-0000-00009BB60000}"/>
    <cellStyle name="Percent 8 4 3" xfId="23056" xr:uid="{00000000-0005-0000-0000-00009CB60000}"/>
    <cellStyle name="Percent 8 4 3 2" xfId="23057" xr:uid="{00000000-0005-0000-0000-00009DB60000}"/>
    <cellStyle name="Percent 8 4 3 2 2" xfId="46325" xr:uid="{00000000-0005-0000-0000-00009EB60000}"/>
    <cellStyle name="Percent 8 4 3 3" xfId="23058" xr:uid="{00000000-0005-0000-0000-00009FB60000}"/>
    <cellStyle name="Percent 8 4 3 3 2" xfId="46326" xr:uid="{00000000-0005-0000-0000-0000A0B60000}"/>
    <cellStyle name="Percent 8 4 3 4" xfId="46324" xr:uid="{00000000-0005-0000-0000-0000A1B60000}"/>
    <cellStyle name="Percent 8 4 4" xfId="23059" xr:uid="{00000000-0005-0000-0000-0000A2B60000}"/>
    <cellStyle name="Percent 8 4 4 2" xfId="23060" xr:uid="{00000000-0005-0000-0000-0000A3B60000}"/>
    <cellStyle name="Percent 8 4 4 2 2" xfId="46328" xr:uid="{00000000-0005-0000-0000-0000A4B60000}"/>
    <cellStyle name="Percent 8 4 4 3" xfId="46327" xr:uid="{00000000-0005-0000-0000-0000A5B60000}"/>
    <cellStyle name="Percent 8 4 5" xfId="23061" xr:uid="{00000000-0005-0000-0000-0000A6B60000}"/>
    <cellStyle name="Percent 8 4 5 2" xfId="46329" xr:uid="{00000000-0005-0000-0000-0000A7B60000}"/>
    <cellStyle name="Percent 8 4 6" xfId="23062" xr:uid="{00000000-0005-0000-0000-0000A8B60000}"/>
    <cellStyle name="Percent 8 4 6 2" xfId="46330" xr:uid="{00000000-0005-0000-0000-0000A9B60000}"/>
    <cellStyle name="Percent 8 4 7" xfId="23063" xr:uid="{00000000-0005-0000-0000-0000AAB60000}"/>
    <cellStyle name="Percent 8 4 7 2" xfId="46331" xr:uid="{00000000-0005-0000-0000-0000ABB60000}"/>
    <cellStyle name="Percent 8 4 8" xfId="41157" xr:uid="{00000000-0005-0000-0000-0000ACB60000}"/>
    <cellStyle name="Percent 8 5" xfId="17743" xr:uid="{00000000-0005-0000-0000-0000ADB60000}"/>
    <cellStyle name="Percent 8 5 2" xfId="17975" xr:uid="{00000000-0005-0000-0000-0000AEB60000}"/>
    <cellStyle name="Percent 8 5 2 2" xfId="23064" xr:uid="{00000000-0005-0000-0000-0000AFB60000}"/>
    <cellStyle name="Percent 8 5 2 2 2" xfId="23065" xr:uid="{00000000-0005-0000-0000-0000B0B60000}"/>
    <cellStyle name="Percent 8 5 2 2 2 2" xfId="46333" xr:uid="{00000000-0005-0000-0000-0000B1B60000}"/>
    <cellStyle name="Percent 8 5 2 2 3" xfId="23066" xr:uid="{00000000-0005-0000-0000-0000B2B60000}"/>
    <cellStyle name="Percent 8 5 2 2 3 2" xfId="46334" xr:uid="{00000000-0005-0000-0000-0000B3B60000}"/>
    <cellStyle name="Percent 8 5 2 2 4" xfId="46332" xr:uid="{00000000-0005-0000-0000-0000B4B60000}"/>
    <cellStyle name="Percent 8 5 2 3" xfId="23067" xr:uid="{00000000-0005-0000-0000-0000B5B60000}"/>
    <cellStyle name="Percent 8 5 2 3 2" xfId="23068" xr:uid="{00000000-0005-0000-0000-0000B6B60000}"/>
    <cellStyle name="Percent 8 5 2 3 2 2" xfId="46336" xr:uid="{00000000-0005-0000-0000-0000B7B60000}"/>
    <cellStyle name="Percent 8 5 2 3 3" xfId="46335" xr:uid="{00000000-0005-0000-0000-0000B8B60000}"/>
    <cellStyle name="Percent 8 5 2 4" xfId="23069" xr:uid="{00000000-0005-0000-0000-0000B9B60000}"/>
    <cellStyle name="Percent 8 5 2 4 2" xfId="46337" xr:uid="{00000000-0005-0000-0000-0000BAB60000}"/>
    <cellStyle name="Percent 8 5 2 5" xfId="23070" xr:uid="{00000000-0005-0000-0000-0000BBB60000}"/>
    <cellStyle name="Percent 8 5 2 5 2" xfId="46338" xr:uid="{00000000-0005-0000-0000-0000BCB60000}"/>
    <cellStyle name="Percent 8 5 2 6" xfId="23071" xr:uid="{00000000-0005-0000-0000-0000BDB60000}"/>
    <cellStyle name="Percent 8 5 2 6 2" xfId="46339" xr:uid="{00000000-0005-0000-0000-0000BEB60000}"/>
    <cellStyle name="Percent 8 5 2 7" xfId="41435" xr:uid="{00000000-0005-0000-0000-0000BFB60000}"/>
    <cellStyle name="Percent 8 5 3" xfId="23072" xr:uid="{00000000-0005-0000-0000-0000C0B60000}"/>
    <cellStyle name="Percent 8 5 3 2" xfId="23073" xr:uid="{00000000-0005-0000-0000-0000C1B60000}"/>
    <cellStyle name="Percent 8 5 3 2 2" xfId="46341" xr:uid="{00000000-0005-0000-0000-0000C2B60000}"/>
    <cellStyle name="Percent 8 5 3 3" xfId="23074" xr:uid="{00000000-0005-0000-0000-0000C3B60000}"/>
    <cellStyle name="Percent 8 5 3 3 2" xfId="46342" xr:uid="{00000000-0005-0000-0000-0000C4B60000}"/>
    <cellStyle name="Percent 8 5 3 4" xfId="46340" xr:uid="{00000000-0005-0000-0000-0000C5B60000}"/>
    <cellStyle name="Percent 8 5 4" xfId="23075" xr:uid="{00000000-0005-0000-0000-0000C6B60000}"/>
    <cellStyle name="Percent 8 5 4 2" xfId="23076" xr:uid="{00000000-0005-0000-0000-0000C7B60000}"/>
    <cellStyle name="Percent 8 5 4 2 2" xfId="46344" xr:uid="{00000000-0005-0000-0000-0000C8B60000}"/>
    <cellStyle name="Percent 8 5 4 3" xfId="46343" xr:uid="{00000000-0005-0000-0000-0000C9B60000}"/>
    <cellStyle name="Percent 8 5 5" xfId="23077" xr:uid="{00000000-0005-0000-0000-0000CAB60000}"/>
    <cellStyle name="Percent 8 5 5 2" xfId="46345" xr:uid="{00000000-0005-0000-0000-0000CBB60000}"/>
    <cellStyle name="Percent 8 5 6" xfId="23078" xr:uid="{00000000-0005-0000-0000-0000CCB60000}"/>
    <cellStyle name="Percent 8 5 6 2" xfId="46346" xr:uid="{00000000-0005-0000-0000-0000CDB60000}"/>
    <cellStyle name="Percent 8 5 7" xfId="23079" xr:uid="{00000000-0005-0000-0000-0000CEB60000}"/>
    <cellStyle name="Percent 8 5 7 2" xfId="46347" xr:uid="{00000000-0005-0000-0000-0000CFB60000}"/>
    <cellStyle name="Percent 8 5 8" xfId="41203" xr:uid="{00000000-0005-0000-0000-0000D0B60000}"/>
    <cellStyle name="Percent 8 6" xfId="17809" xr:uid="{00000000-0005-0000-0000-0000D1B60000}"/>
    <cellStyle name="Percent 8 6 2" xfId="23080" xr:uid="{00000000-0005-0000-0000-0000D2B60000}"/>
    <cellStyle name="Percent 8 6 2 2" xfId="23081" xr:uid="{00000000-0005-0000-0000-0000D3B60000}"/>
    <cellStyle name="Percent 8 6 2 2 2" xfId="46349" xr:uid="{00000000-0005-0000-0000-0000D4B60000}"/>
    <cellStyle name="Percent 8 6 2 3" xfId="23082" xr:uid="{00000000-0005-0000-0000-0000D5B60000}"/>
    <cellStyle name="Percent 8 6 2 3 2" xfId="46350" xr:uid="{00000000-0005-0000-0000-0000D6B60000}"/>
    <cellStyle name="Percent 8 6 2 4" xfId="46348" xr:uid="{00000000-0005-0000-0000-0000D7B60000}"/>
    <cellStyle name="Percent 8 6 3" xfId="23083" xr:uid="{00000000-0005-0000-0000-0000D8B60000}"/>
    <cellStyle name="Percent 8 6 3 2" xfId="23084" xr:uid="{00000000-0005-0000-0000-0000D9B60000}"/>
    <cellStyle name="Percent 8 6 3 2 2" xfId="46352" xr:uid="{00000000-0005-0000-0000-0000DAB60000}"/>
    <cellStyle name="Percent 8 6 3 3" xfId="46351" xr:uid="{00000000-0005-0000-0000-0000DBB60000}"/>
    <cellStyle name="Percent 8 6 4" xfId="23085" xr:uid="{00000000-0005-0000-0000-0000DCB60000}"/>
    <cellStyle name="Percent 8 6 4 2" xfId="46353" xr:uid="{00000000-0005-0000-0000-0000DDB60000}"/>
    <cellStyle name="Percent 8 6 5" xfId="23086" xr:uid="{00000000-0005-0000-0000-0000DEB60000}"/>
    <cellStyle name="Percent 8 6 5 2" xfId="46354" xr:uid="{00000000-0005-0000-0000-0000DFB60000}"/>
    <cellStyle name="Percent 8 6 6" xfId="23087" xr:uid="{00000000-0005-0000-0000-0000E0B60000}"/>
    <cellStyle name="Percent 8 6 6 2" xfId="46355" xr:uid="{00000000-0005-0000-0000-0000E1B60000}"/>
    <cellStyle name="Percent 8 6 7" xfId="41269" xr:uid="{00000000-0005-0000-0000-0000E2B60000}"/>
    <cellStyle name="Percent 8 7" xfId="23088" xr:uid="{00000000-0005-0000-0000-0000E3B60000}"/>
    <cellStyle name="Percent 8 7 2" xfId="23089" xr:uid="{00000000-0005-0000-0000-0000E4B60000}"/>
    <cellStyle name="Percent 8 7 2 2" xfId="46357" xr:uid="{00000000-0005-0000-0000-0000E5B60000}"/>
    <cellStyle name="Percent 8 7 3" xfId="23090" xr:uid="{00000000-0005-0000-0000-0000E6B60000}"/>
    <cellStyle name="Percent 8 7 3 2" xfId="46358" xr:uid="{00000000-0005-0000-0000-0000E7B60000}"/>
    <cellStyle name="Percent 8 7 4" xfId="46356" xr:uid="{00000000-0005-0000-0000-0000E8B60000}"/>
    <cellStyle name="Percent 8 8" xfId="23091" xr:uid="{00000000-0005-0000-0000-0000E9B60000}"/>
    <cellStyle name="Percent 8 8 2" xfId="23092" xr:uid="{00000000-0005-0000-0000-0000EAB60000}"/>
    <cellStyle name="Percent 8 8 2 2" xfId="46360" xr:uid="{00000000-0005-0000-0000-0000EBB60000}"/>
    <cellStyle name="Percent 8 8 3" xfId="46359" xr:uid="{00000000-0005-0000-0000-0000ECB60000}"/>
    <cellStyle name="Percent 8 9" xfId="23093" xr:uid="{00000000-0005-0000-0000-0000EDB60000}"/>
    <cellStyle name="Percent 8 9 2" xfId="46361" xr:uid="{00000000-0005-0000-0000-0000EEB60000}"/>
    <cellStyle name="Percent 9" xfId="175" xr:uid="{00000000-0005-0000-0000-0000EFB60000}"/>
    <cellStyle name="Percent_0710AttachCSecondNOFOpt1" xfId="15" xr:uid="{00000000-0005-0000-0000-0000F0B60000}"/>
    <cellStyle name="Title 2" xfId="23094" xr:uid="{00000000-0005-0000-0000-0000F1B60000}"/>
    <cellStyle name="Title 3" xfId="23095" xr:uid="{00000000-0005-0000-0000-0000F2B60000}"/>
    <cellStyle name="TITLE1" xfId="176" xr:uid="{00000000-0005-0000-0000-0000F3B60000}"/>
    <cellStyle name="TITLE2" xfId="177" xr:uid="{00000000-0005-0000-0000-0000F4B60000}"/>
    <cellStyle name="TITLE2 2" xfId="17680" xr:uid="{00000000-0005-0000-0000-0000F5B60000}"/>
    <cellStyle name="TITLE2 2 2" xfId="41146" xr:uid="{00000000-0005-0000-0000-0000F6B60000}"/>
    <cellStyle name="TITLE2 3" xfId="23716" xr:uid="{00000000-0005-0000-0000-0000F7B60000}"/>
    <cellStyle name="Total" xfId="16" builtinId="25" customBuiltin="1"/>
    <cellStyle name="Total 2" xfId="184" xr:uid="{00000000-0005-0000-0000-0000F9B60000}"/>
    <cellStyle name="Total 2 2" xfId="23096" xr:uid="{00000000-0005-0000-0000-0000FAB60000}"/>
    <cellStyle name="Total 3" xfId="23097" xr:uid="{00000000-0005-0000-0000-0000FBB60000}"/>
    <cellStyle name="Total 3 10" xfId="23098" xr:uid="{00000000-0005-0000-0000-0000FCB60000}"/>
    <cellStyle name="Total 3 11" xfId="23099" xr:uid="{00000000-0005-0000-0000-0000FDB60000}"/>
    <cellStyle name="Total 3 12" xfId="23100" xr:uid="{00000000-0005-0000-0000-0000FEB60000}"/>
    <cellStyle name="Total 3 13" xfId="23101" xr:uid="{00000000-0005-0000-0000-0000FFB60000}"/>
    <cellStyle name="Total 3 14" xfId="23102" xr:uid="{00000000-0005-0000-0000-000000B70000}"/>
    <cellStyle name="Total 3 15" xfId="23103" xr:uid="{00000000-0005-0000-0000-000001B70000}"/>
    <cellStyle name="Total 3 2" xfId="23104" xr:uid="{00000000-0005-0000-0000-000002B70000}"/>
    <cellStyle name="Total 3 3" xfId="23105" xr:uid="{00000000-0005-0000-0000-000003B70000}"/>
    <cellStyle name="Total 3 4" xfId="23106" xr:uid="{00000000-0005-0000-0000-000004B70000}"/>
    <cellStyle name="Total 3 5" xfId="23107" xr:uid="{00000000-0005-0000-0000-000005B70000}"/>
    <cellStyle name="Total 3 6" xfId="23108" xr:uid="{00000000-0005-0000-0000-000006B70000}"/>
    <cellStyle name="Total 3 7" xfId="23109" xr:uid="{00000000-0005-0000-0000-000007B70000}"/>
    <cellStyle name="Total 3 8" xfId="23110" xr:uid="{00000000-0005-0000-0000-000008B70000}"/>
    <cellStyle name="Total 3 9" xfId="23111" xr:uid="{00000000-0005-0000-0000-000009B70000}"/>
    <cellStyle name="Total 4" xfId="23628" xr:uid="{00000000-0005-0000-0000-00000AB70000}"/>
    <cellStyle name="Warning Text 2" xfId="23112" xr:uid="{00000000-0005-0000-0000-00000BB70000}"/>
    <cellStyle name="Warning Text 3" xfId="23113" xr:uid="{00000000-0005-0000-0000-00000CB70000}"/>
  </cellStyles>
  <dxfs count="12">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9" defaultPivotStyle="PivotStyleLight16"/>
  <colors>
    <mruColors>
      <color rgb="FFCCFFFF"/>
      <color rgb="FFEAED7B"/>
      <color rgb="FF00FF00"/>
      <color rgb="FFDAEEF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2.xml"/><Relationship Id="rId50" Type="http://schemas.openxmlformats.org/officeDocument/2006/relationships/styles" Target="styles.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3.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Escapement</a:t>
            </a:r>
            <a:r>
              <a:rPr lang="en-US" baseline="0"/>
              <a:t> Trend</a:t>
            </a:r>
            <a:endParaRPr lang="en-US"/>
          </a:p>
        </c:rich>
      </c:tx>
      <c:overlay val="0"/>
      <c:spPr>
        <a:noFill/>
        <a:ln>
          <a:noFill/>
        </a:ln>
        <a:effectLst/>
      </c:spPr>
    </c:title>
    <c:autoTitleDeleted val="0"/>
    <c:plotArea>
      <c:layout>
        <c:manualLayout>
          <c:layoutTarget val="inner"/>
          <c:xMode val="edge"/>
          <c:yMode val="edge"/>
          <c:x val="0.10804178338200786"/>
          <c:y val="0.15315896481794772"/>
          <c:w val="0.84299965629589269"/>
          <c:h val="0.71801131321985878"/>
        </c:manualLayout>
      </c:layout>
      <c:barChart>
        <c:barDir val="col"/>
        <c:grouping val="clustered"/>
        <c:varyColors val="0"/>
        <c:ser>
          <c:idx val="3"/>
          <c:order val="2"/>
          <c:tx>
            <c:v>2016</c:v>
          </c:tx>
          <c:spPr>
            <a:solidFill>
              <a:schemeClr val="accent4"/>
            </a:solidFill>
            <a:ln>
              <a:noFill/>
            </a:ln>
            <a:effectLst/>
          </c:spPr>
          <c:invertIfNegative val="0"/>
          <c:val>
            <c:numRef>
              <c:f>'2'!$E$105:$J$105</c:f>
            </c:numRef>
          </c:val>
          <c:extLs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3-4D0A-4D35-BB52-30D6361EA74C}"/>
            </c:ext>
          </c:extLst>
        </c:ser>
        <c:ser>
          <c:idx val="2"/>
          <c:order val="3"/>
          <c:tx>
            <c:v>2017</c:v>
          </c:tx>
          <c:spPr>
            <a:solidFill>
              <a:schemeClr val="accent3"/>
            </a:solidFill>
            <a:ln>
              <a:noFill/>
            </a:ln>
            <a:effectLst/>
          </c:spPr>
          <c:invertIfNegative val="0"/>
          <c:val>
            <c:numRef>
              <c:f>'2'!$E$104:$J$104</c:f>
            </c:numRef>
          </c:val>
          <c:extLs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2-4D0A-4D35-BB52-30D6361EA74C}"/>
            </c:ext>
          </c:extLst>
        </c:ser>
        <c:ser>
          <c:idx val="1"/>
          <c:order val="4"/>
          <c:tx>
            <c:v>2018</c:v>
          </c:tx>
          <c:spPr>
            <a:solidFill>
              <a:schemeClr val="accent2"/>
            </a:solidFill>
            <a:ln>
              <a:noFill/>
            </a:ln>
            <a:effectLst/>
          </c:spPr>
          <c:invertIfNegative val="0"/>
          <c:val>
            <c:numRef>
              <c:f>'2'!$E$103:$J$103</c:f>
            </c:numRef>
          </c:val>
          <c:extLs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1-4D0A-4D35-BB52-30D6361EA74C}"/>
            </c:ext>
          </c:extLst>
        </c:ser>
        <c:ser>
          <c:idx val="0"/>
          <c:order val="5"/>
          <c:tx>
            <c:strRef>
              <c:f>'2'!$A$102</c:f>
              <c:strCache>
                <c:ptCount val="1"/>
                <c:pt idx="0">
                  <c:v>2019</c:v>
                </c:pt>
              </c:strCache>
            </c:strRef>
          </c:tx>
          <c:spPr>
            <a:solidFill>
              <a:schemeClr val="accent1"/>
            </a:solidFill>
            <a:ln>
              <a:noFill/>
            </a:ln>
            <a:effectLst/>
          </c:spPr>
          <c:invertIfNegative val="0"/>
          <c:val>
            <c:numRef>
              <c:f>'2'!$E$102:$J$102</c:f>
            </c:numRef>
          </c:val>
          <c:extLs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0-4D0A-4D35-BB52-30D6361EA74C}"/>
            </c:ext>
          </c:extLst>
        </c:ser>
        <c:ser>
          <c:idx val="7"/>
          <c:order val="6"/>
          <c:tx>
            <c:v>2020</c:v>
          </c:tx>
          <c:invertIfNegative val="0"/>
          <c:val>
            <c:numRef>
              <c:f>'2'!$E$101:$J$101</c:f>
            </c:numRef>
          </c:val>
          <c:extLs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1-9D23-466A-8A88-FA2914A0EB6D}"/>
            </c:ext>
          </c:extLst>
        </c:ser>
        <c:ser>
          <c:idx val="6"/>
          <c:order val="7"/>
          <c:tx>
            <c:strRef>
              <c:f>'2'!$A$100</c:f>
              <c:strCache>
                <c:ptCount val="1"/>
                <c:pt idx="0">
                  <c:v>Modeled 2022</c:v>
                </c:pt>
              </c:strCache>
            </c:strRef>
          </c:tx>
          <c:spPr>
            <a:solidFill>
              <a:schemeClr val="accent1">
                <a:lumMod val="60000"/>
              </a:schemeClr>
            </a:solidFill>
            <a:ln>
              <a:noFill/>
            </a:ln>
            <a:effectLst/>
          </c:spPr>
          <c:invertIfNegative val="0"/>
          <c:val>
            <c:numRef>
              <c:f>'2'!$E$100:$J$100</c:f>
            </c:numRef>
          </c:val>
          <c:extLs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4-385D-44D7-855D-05D5BE6F869B}"/>
            </c:ext>
          </c:extLst>
        </c:ser>
        <c:dLbls>
          <c:showLegendKey val="0"/>
          <c:showVal val="0"/>
          <c:showCatName val="0"/>
          <c:showSerName val="0"/>
          <c:showPercent val="0"/>
          <c:showBubbleSize val="0"/>
        </c:dLbls>
        <c:gapWidth val="219"/>
        <c:overlap val="-27"/>
        <c:axId val="76729728"/>
        <c:axId val="76739712"/>
        <c:extLst>
          <c:ext xmlns:c15="http://schemas.microsoft.com/office/drawing/2012/chart" uri="{02D57815-91ED-43cb-92C2-25804820EDAC}">
            <c15:filteredBarSeries>
              <c15:ser>
                <c:idx val="5"/>
                <c:order val="0"/>
                <c:tx>
                  <c:v>2014</c:v>
                </c:tx>
                <c:spPr>
                  <a:solidFill>
                    <a:schemeClr val="accent6"/>
                  </a:solidFill>
                  <a:ln>
                    <a:noFill/>
                  </a:ln>
                  <a:effectLst/>
                </c:spPr>
                <c:invertIfNegative val="0"/>
                <c:val>
                  <c:numRef>
                    <c:extLst>
                      <c:ext uri="{02D57815-91ED-43cb-92C2-25804820EDAC}">
                        <c15:formulaRef>
                          <c15:sqref>'2'!$E$107:$J$107</c15:sqref>
                        </c15:formulaRef>
                      </c:ext>
                    </c:extLst>
                  </c:numRef>
                </c:val>
                <c:extLst>
                  <c:ex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0-DB90-43BC-A1CB-897F5F949992}"/>
                  </c:ext>
                </c:extLst>
              </c15:ser>
            </c15:filteredBarSeries>
            <c15:filteredBarSeries>
              <c15:ser>
                <c:idx val="4"/>
                <c:order val="1"/>
                <c:tx>
                  <c:v>2015</c:v>
                </c:tx>
                <c:spPr>
                  <a:solidFill>
                    <a:schemeClr val="accent5"/>
                  </a:solidFill>
                  <a:ln>
                    <a:noFill/>
                  </a:ln>
                  <a:effectLst/>
                </c:spPr>
                <c:invertIfNegative val="0"/>
                <c:val>
                  <c:numRef>
                    <c:extLst xmlns:c15="http://schemas.microsoft.com/office/drawing/2012/chart">
                      <c:ext xmlns:c15="http://schemas.microsoft.com/office/drawing/2012/chart" uri="{02D57815-91ED-43cb-92C2-25804820EDAC}">
                        <c15:formulaRef>
                          <c15:sqref>'2'!$E$106:$J$106</c15:sqref>
                        </c15:formulaRef>
                      </c:ext>
                    </c:extLst>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'2'!$E$99:$J$99</c15:sqref>
                              </c15:formulaRef>
                            </c:ext>
                          </c:extLst>
                        </c:multiLvlStrRef>
                      </c15:cat>
                    </c15:filteredCategoryTitle>
                  </c:ext>
                  <c:ext xmlns:c16="http://schemas.microsoft.com/office/drawing/2014/chart" uri="{C3380CC4-5D6E-409C-BE32-E72D297353CC}">
                    <c16:uniqueId val="{00000004-4D0A-4D35-BB52-30D6361EA74C}"/>
                  </c:ext>
                </c:extLst>
              </c15:ser>
            </c15:filteredBarSeries>
          </c:ext>
        </c:extLst>
      </c:barChart>
      <c:catAx>
        <c:axId val="7672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39712"/>
        <c:crosses val="autoZero"/>
        <c:auto val="1"/>
        <c:lblAlgn val="ctr"/>
        <c:lblOffset val="100"/>
        <c:noMultiLvlLbl val="0"/>
      </c:catAx>
      <c:valAx>
        <c:axId val="7673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29728"/>
        <c:crosses val="autoZero"/>
        <c:crossBetween val="between"/>
      </c:valAx>
      <c:spPr>
        <a:noFill/>
        <a:ln>
          <a:noFill/>
        </a:ln>
        <a:effectLst/>
      </c:spPr>
    </c:plotArea>
    <c:legend>
      <c:legendPos val="r"/>
      <c:layout>
        <c:manualLayout>
          <c:xMode val="edge"/>
          <c:yMode val="edge"/>
          <c:x val="0.71920363079615057"/>
          <c:y val="8.730169145523474E-2"/>
          <c:w val="0.14297318709912071"/>
          <c:h val="0.4175080895431088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459554</xdr:colOff>
      <xdr:row>64</xdr:row>
      <xdr:rowOff>171237</xdr:rowOff>
    </xdr:from>
    <xdr:to>
      <xdr:col>11</xdr:col>
      <xdr:colOff>362163</xdr:colOff>
      <xdr:row>67</xdr:row>
      <xdr:rowOff>66697</xdr:rowOff>
    </xdr:to>
    <xdr:sp macro="" textlink="">
      <xdr:nvSpPr>
        <xdr:cNvPr id="2" name="WordArt 236">
          <a:extLst>
            <a:ext uri="{FF2B5EF4-FFF2-40B4-BE49-F238E27FC236}">
              <a16:creationId xmlns:a16="http://schemas.microsoft.com/office/drawing/2014/main" id="{00000000-0008-0000-0200-000002000000}"/>
            </a:ext>
          </a:extLst>
        </xdr:cNvPr>
        <xdr:cNvSpPr>
          <a:spLocks noChangeArrowheads="1" noChangeShapeType="1" noTextEdit="1"/>
        </xdr:cNvSpPr>
      </xdr:nvSpPr>
      <xdr:spPr bwMode="auto">
        <a:xfrm>
          <a:off x="6367194" y="12474540"/>
          <a:ext cx="3575621" cy="460539"/>
        </a:xfrm>
        <a:prstGeom prst="rect">
          <a:avLst/>
        </a:prstGeom>
      </xdr:spPr>
      <xdr:txBody>
        <a:bodyPr wrap="none" fromWordArt="1">
          <a:prstTxWarp prst="textPlain">
            <a:avLst>
              <a:gd name="adj" fmla="val 50000"/>
            </a:avLst>
          </a:prstTxWarp>
        </a:bodyPr>
        <a:lstStyle/>
        <a:p>
          <a:pPr algn="ctr" rtl="0"/>
          <a:endParaRPr lang="en-US" sz="1200" kern="10" spc="0">
            <a:ln w="9525">
              <a:solidFill>
                <a:srgbClr val="000000"/>
              </a:solidFill>
              <a:round/>
              <a:headEnd/>
              <a:tailEnd/>
            </a:ln>
            <a:solidFill>
              <a:srgbClr val="FFFFFF"/>
            </a:solidFill>
            <a:effectLst/>
            <a:latin typeface="Arial Black"/>
          </a:endParaRPr>
        </a:p>
      </xdr:txBody>
    </xdr:sp>
    <xdr:clientData/>
  </xdr:twoCellAnchor>
  <xdr:twoCellAnchor>
    <xdr:from>
      <xdr:col>7</xdr:col>
      <xdr:colOff>1</xdr:colOff>
      <xdr:row>63</xdr:row>
      <xdr:rowOff>47625</xdr:rowOff>
    </xdr:from>
    <xdr:to>
      <xdr:col>7</xdr:col>
      <xdr:colOff>152401</xdr:colOff>
      <xdr:row>68</xdr:row>
      <xdr:rowOff>47625</xdr:rowOff>
    </xdr:to>
    <xdr:sp macro="" textlink="">
      <xdr:nvSpPr>
        <xdr:cNvPr id="30722" name="Arc 235">
          <a:extLst>
            <a:ext uri="{FF2B5EF4-FFF2-40B4-BE49-F238E27FC236}">
              <a16:creationId xmlns:a16="http://schemas.microsoft.com/office/drawing/2014/main" id="{00000000-0008-0000-0200-000002780000}"/>
            </a:ext>
          </a:extLst>
        </xdr:cNvPr>
        <xdr:cNvSpPr>
          <a:spLocks/>
        </xdr:cNvSpPr>
      </xdr:nvSpPr>
      <xdr:spPr bwMode="auto">
        <a:xfrm>
          <a:off x="5890261" y="12247245"/>
          <a:ext cx="152400" cy="952500"/>
        </a:xfrm>
        <a:custGeom>
          <a:avLst/>
          <a:gdLst>
            <a:gd name="T0" fmla="*/ 0 w 21600"/>
            <a:gd name="T1" fmla="*/ 0 h 43167"/>
            <a:gd name="T2" fmla="*/ 2147483647 w 21600"/>
            <a:gd name="T3" fmla="*/ 2147483647 h 43167"/>
            <a:gd name="T4" fmla="*/ 0 w 21600"/>
            <a:gd name="T5" fmla="*/ 2147483647 h 43167"/>
            <a:gd name="T6" fmla="*/ 0 60000 65536"/>
            <a:gd name="T7" fmla="*/ 0 60000 65536"/>
            <a:gd name="T8" fmla="*/ 0 60000 65536"/>
            <a:gd name="T9" fmla="*/ 0 w 21600"/>
            <a:gd name="T10" fmla="*/ 0 h 43167"/>
            <a:gd name="T11" fmla="*/ 21600 w 21600"/>
            <a:gd name="T12" fmla="*/ 43167 h 43167"/>
          </a:gdLst>
          <a:ahLst/>
          <a:cxnLst>
            <a:cxn ang="T6">
              <a:pos x="T0" y="T1"/>
            </a:cxn>
            <a:cxn ang="T7">
              <a:pos x="T2" y="T3"/>
            </a:cxn>
            <a:cxn ang="T8">
              <a:pos x="T4" y="T5"/>
            </a:cxn>
          </a:cxnLst>
          <a:rect l="T9" t="T10" r="T11" b="T12"/>
          <a:pathLst>
            <a:path w="21600" h="43167" fill="none" extrusionOk="0">
              <a:moveTo>
                <a:pt x="-1" y="0"/>
              </a:moveTo>
              <a:cubicBezTo>
                <a:pt x="11929" y="0"/>
                <a:pt x="21600" y="9670"/>
                <a:pt x="21600" y="21600"/>
              </a:cubicBezTo>
              <a:cubicBezTo>
                <a:pt x="21600" y="33068"/>
                <a:pt x="12636" y="42538"/>
                <a:pt x="1185" y="43167"/>
              </a:cubicBezTo>
            </a:path>
            <a:path w="21600" h="43167" stroke="0" extrusionOk="0">
              <a:moveTo>
                <a:pt x="-1" y="0"/>
              </a:moveTo>
              <a:cubicBezTo>
                <a:pt x="11929" y="0"/>
                <a:pt x="21600" y="9670"/>
                <a:pt x="21600" y="21600"/>
              </a:cubicBezTo>
              <a:cubicBezTo>
                <a:pt x="21600" y="33068"/>
                <a:pt x="12636" y="42538"/>
                <a:pt x="1185" y="43167"/>
              </a:cubicBezTo>
              <a:lnTo>
                <a:pt x="0" y="21600"/>
              </a:lnTo>
              <a:close/>
            </a:path>
          </a:pathLst>
        </a:custGeom>
        <a:noFill/>
        <a:ln w="9525">
          <a:solidFill>
            <a:srgbClr val="000000"/>
          </a:solidFill>
          <a:round/>
          <a:headEnd/>
          <a:tailEnd/>
        </a:ln>
      </xdr:spPr>
    </xdr:sp>
    <xdr:clientData/>
  </xdr:twoCellAnchor>
  <xdr:oneCellAnchor>
    <xdr:from>
      <xdr:col>5</xdr:col>
      <xdr:colOff>614397</xdr:colOff>
      <xdr:row>7</xdr:row>
      <xdr:rowOff>110913</xdr:rowOff>
    </xdr:from>
    <xdr:ext cx="5633296" cy="1242060"/>
    <xdr:sp macro="" textlink="">
      <xdr:nvSpPr>
        <xdr:cNvPr id="8" name="Rectangle 7">
          <a:extLst>
            <a:ext uri="{FF2B5EF4-FFF2-40B4-BE49-F238E27FC236}">
              <a16:creationId xmlns:a16="http://schemas.microsoft.com/office/drawing/2014/main" id="{00000000-0008-0000-0200-000008000000}"/>
            </a:ext>
          </a:extLst>
        </xdr:cNvPr>
        <xdr:cNvSpPr/>
      </xdr:nvSpPr>
      <xdr:spPr>
        <a:xfrm>
          <a:off x="5091147" y="1359746"/>
          <a:ext cx="5633296" cy="1242060"/>
        </a:xfrm>
        <a:prstGeom prst="rect">
          <a:avLst/>
        </a:prstGeom>
        <a:noFill/>
      </xdr:spPr>
      <xdr:txBody>
        <a:bodyPr wrap="square" lIns="91440" tIns="45720" rIns="91440" bIns="45720">
          <a:no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r>
            <a:rPr lang="en-US" sz="2400" b="1">
              <a:solidFill>
                <a:srgbClr val="FF0000"/>
              </a:solidFill>
              <a:effectLst>
                <a:outerShdw blurRad="50800" dist="38100" algn="tr" rotWithShape="0">
                  <a:prstClr val="black">
                    <a:alpha val="40000"/>
                  </a:prstClr>
                </a:outerShdw>
              </a:effectLst>
              <a:latin typeface="+mn-lt"/>
              <a:ea typeface="+mn-ea"/>
              <a:cs typeface="+mn-cs"/>
            </a:rPr>
            <a:t>Final 2022 PFMC April</a:t>
          </a:r>
          <a:r>
            <a:rPr lang="en-US" sz="2400" b="1" baseline="0">
              <a:solidFill>
                <a:srgbClr val="FF0000"/>
              </a:solidFill>
              <a:effectLst>
                <a:outerShdw blurRad="50800" dist="38100" algn="tr" rotWithShape="0">
                  <a:prstClr val="black">
                    <a:alpha val="40000"/>
                  </a:prstClr>
                </a:outerShdw>
              </a:effectLst>
              <a:latin typeface="+mn-lt"/>
              <a:ea typeface="+mn-ea"/>
              <a:cs typeface="+mn-cs"/>
            </a:rPr>
            <a:t> Coho; Coho2229</a:t>
          </a:r>
          <a:endParaRPr lang="en-US" sz="2400">
            <a:solidFill>
              <a:srgbClr val="FF0000"/>
            </a:solidFill>
          </a:endParaRPr>
        </a:p>
        <a:p>
          <a:r>
            <a:rPr lang="en-US" sz="2400" b="1" baseline="0">
              <a:solidFill>
                <a:srgbClr val="FF0000"/>
              </a:solidFill>
              <a:effectLst>
                <a:outerShdw blurRad="50800" dist="38100" algn="tr" rotWithShape="0">
                  <a:prstClr val="black">
                    <a:alpha val="40000"/>
                  </a:prstClr>
                </a:outerShdw>
              </a:effectLst>
              <a:latin typeface="+mn-lt"/>
              <a:ea typeface="+mn-ea"/>
              <a:cs typeface="+mn-cs"/>
            </a:rPr>
            <a:t>NT 200,000 mk,  T 52,000</a:t>
          </a:r>
          <a:endParaRPr lang="en-US" sz="2400" b="1">
            <a:solidFill>
              <a:srgbClr val="FF0000"/>
            </a:solidFill>
            <a:effectLst>
              <a:outerShdw blurRad="50800" dist="38100" algn="tr" rotWithShape="0">
                <a:prstClr val="black">
                  <a:alpha val="40000"/>
                </a:prstClr>
              </a:outerShdw>
            </a:effectLst>
            <a:latin typeface="+mn-lt"/>
            <a:ea typeface="+mn-ea"/>
            <a:cs typeface="+mn-cs"/>
          </a:endParaRPr>
        </a:p>
      </xdr:txBody>
    </xdr:sp>
    <xdr:clientData/>
  </xdr:oneCellAnchor>
  <xdr:oneCellAnchor>
    <xdr:from>
      <xdr:col>7</xdr:col>
      <xdr:colOff>160020</xdr:colOff>
      <xdr:row>9</xdr:row>
      <xdr:rowOff>22860</xdr:rowOff>
    </xdr:from>
    <xdr:ext cx="4160520" cy="2651760"/>
    <xdr:sp macro="" textlink="">
      <xdr:nvSpPr>
        <xdr:cNvPr id="5" name="Rectangle 4">
          <a:extLst>
            <a:ext uri="{FF2B5EF4-FFF2-40B4-BE49-F238E27FC236}">
              <a16:creationId xmlns:a16="http://schemas.microsoft.com/office/drawing/2014/main" id="{00000000-0008-0000-0200-000005000000}"/>
            </a:ext>
          </a:extLst>
        </xdr:cNvPr>
        <xdr:cNvSpPr/>
      </xdr:nvSpPr>
      <xdr:spPr>
        <a:xfrm>
          <a:off x="6050280" y="1950720"/>
          <a:ext cx="4160520" cy="2651760"/>
        </a:xfrm>
        <a:prstGeom prst="rect">
          <a:avLst/>
        </a:prstGeom>
        <a:noFill/>
      </xdr:spPr>
      <xdr:txBody>
        <a:bodyPr wrap="square" lIns="91440" tIns="45720" rIns="91440" bIns="45720">
          <a:no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36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7</xdr:col>
      <xdr:colOff>427803</xdr:colOff>
      <xdr:row>64</xdr:row>
      <xdr:rowOff>0</xdr:rowOff>
    </xdr:from>
    <xdr:to>
      <xdr:col>11</xdr:col>
      <xdr:colOff>867832</xdr:colOff>
      <xdr:row>67</xdr:row>
      <xdr:rowOff>31749</xdr:rowOff>
    </xdr:to>
    <xdr:sp macro="" textlink="">
      <xdr:nvSpPr>
        <xdr:cNvPr id="6" name="WordArt 236">
          <a:extLst>
            <a:ext uri="{FF2B5EF4-FFF2-40B4-BE49-F238E27FC236}">
              <a16:creationId xmlns:a16="http://schemas.microsoft.com/office/drawing/2014/main" id="{00000000-0008-0000-0200-000006000000}"/>
            </a:ext>
          </a:extLst>
        </xdr:cNvPr>
        <xdr:cNvSpPr>
          <a:spLocks noChangeArrowheads="1" noChangeShapeType="1" noTextEdit="1"/>
        </xdr:cNvSpPr>
      </xdr:nvSpPr>
      <xdr:spPr bwMode="auto">
        <a:xfrm>
          <a:off x="6767220" y="11916833"/>
          <a:ext cx="3996029" cy="603249"/>
        </a:xfrm>
        <a:prstGeom prst="rect">
          <a:avLst/>
        </a:prstGeom>
      </xdr:spPr>
      <xdr:txBody>
        <a:bodyPr wrap="none" fromWordArt="1">
          <a:prstTxWarp prst="textPlain">
            <a:avLst>
              <a:gd name="adj" fmla="val 50000"/>
            </a:avLst>
          </a:prstTxWarp>
        </a:bodyPr>
        <a:lstStyle/>
        <a:p>
          <a:pPr algn="ctr" rtl="0"/>
          <a:r>
            <a:rPr lang="en-US" sz="700" kern="10" spc="0">
              <a:ln w="9525">
                <a:solidFill>
                  <a:srgbClr val="000000"/>
                </a:solidFill>
                <a:round/>
                <a:headEnd/>
                <a:tailEnd/>
              </a:ln>
              <a:solidFill>
                <a:srgbClr val="FFFFFF"/>
              </a:solidFill>
              <a:effectLst/>
              <a:latin typeface="Arial Black"/>
            </a:rPr>
            <a:t>2021 </a:t>
          </a:r>
          <a:r>
            <a:rPr lang="en-US" sz="700" kern="10" spc="0" baseline="0">
              <a:ln w="9525">
                <a:solidFill>
                  <a:srgbClr val="000000"/>
                </a:solidFill>
                <a:round/>
                <a:headEnd/>
                <a:tailEnd/>
              </a:ln>
              <a:solidFill>
                <a:srgbClr val="FFFFFF"/>
              </a:solidFill>
              <a:effectLst/>
              <a:latin typeface="Arial Black"/>
            </a:rPr>
            <a:t>Total</a:t>
          </a:r>
          <a:r>
            <a:rPr lang="en-US" sz="700" kern="10" spc="0">
              <a:ln w="9525">
                <a:solidFill>
                  <a:srgbClr val="000000"/>
                </a:solidFill>
                <a:round/>
                <a:headEnd/>
                <a:tailEnd/>
              </a:ln>
              <a:solidFill>
                <a:srgbClr val="FFFFFF"/>
              </a:solidFill>
              <a:effectLst/>
              <a:latin typeface="Arial Black"/>
            </a:rPr>
            <a:t> Mortality  (Fraser Panel and other</a:t>
          </a:r>
          <a:r>
            <a:rPr lang="en-US" sz="1200" kern="10" spc="0">
              <a:ln w="9525">
                <a:solidFill>
                  <a:srgbClr val="000000"/>
                </a:solidFill>
                <a:round/>
                <a:headEnd/>
                <a:tailEnd/>
              </a:ln>
              <a:solidFill>
                <a:srgbClr val="FFFFFF"/>
              </a:solidFill>
              <a:effectLst/>
              <a:latin typeface="Arial Black"/>
            </a:rPr>
            <a: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107</xdr:row>
      <xdr:rowOff>144991</xdr:rowOff>
    </xdr:from>
    <xdr:to>
      <xdr:col>23</xdr:col>
      <xdr:colOff>163286</xdr:colOff>
      <xdr:row>123</xdr:row>
      <xdr:rowOff>176893</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200025</xdr:colOff>
      <xdr:row>21</xdr:row>
      <xdr:rowOff>152400</xdr:rowOff>
    </xdr:from>
    <xdr:to>
      <xdr:col>26</xdr:col>
      <xdr:colOff>428625</xdr:colOff>
      <xdr:row>21</xdr:row>
      <xdr:rowOff>152400</xdr:rowOff>
    </xdr:to>
    <xdr:sp macro="" textlink="">
      <xdr:nvSpPr>
        <xdr:cNvPr id="3" name="Line 55">
          <a:extLst>
            <a:ext uri="{FF2B5EF4-FFF2-40B4-BE49-F238E27FC236}">
              <a16:creationId xmlns:a16="http://schemas.microsoft.com/office/drawing/2014/main" id="{00000000-0008-0000-1D00-000003000000}"/>
            </a:ext>
          </a:extLst>
        </xdr:cNvPr>
        <xdr:cNvSpPr>
          <a:spLocks noChangeShapeType="1"/>
        </xdr:cNvSpPr>
      </xdr:nvSpPr>
      <xdr:spPr bwMode="auto">
        <a:xfrm flipH="1">
          <a:off x="24450675" y="4448175"/>
          <a:ext cx="228600" cy="0"/>
        </a:xfrm>
        <a:prstGeom prst="line">
          <a:avLst/>
        </a:prstGeom>
        <a:noFill/>
        <a:ln w="9525">
          <a:solidFill>
            <a:srgbClr val="000000"/>
          </a:solidFill>
          <a:round/>
          <a:headEnd/>
          <a:tailEnd type="triangle" w="med" len="med"/>
        </a:ln>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4" name="Line 56">
          <a:extLst>
            <a:ext uri="{FF2B5EF4-FFF2-40B4-BE49-F238E27FC236}">
              <a16:creationId xmlns:a16="http://schemas.microsoft.com/office/drawing/2014/main" id="{00000000-0008-0000-1D00-000004000000}"/>
            </a:ext>
          </a:extLst>
        </xdr:cNvPr>
        <xdr:cNvSpPr>
          <a:spLocks noChangeShapeType="1"/>
        </xdr:cNvSpPr>
      </xdr:nvSpPr>
      <xdr:spPr bwMode="auto">
        <a:xfrm flipH="1">
          <a:off x="24450675" y="4448175"/>
          <a:ext cx="228600" cy="0"/>
        </a:xfrm>
        <a:prstGeom prst="line">
          <a:avLst/>
        </a:prstGeom>
        <a:noFill/>
        <a:ln w="9525">
          <a:solidFill>
            <a:srgbClr val="000000"/>
          </a:solidFill>
          <a:round/>
          <a:headEnd/>
          <a:tailEnd type="triangle" w="med" len="med"/>
        </a:ln>
      </xdr:spPr>
    </xdr:sp>
    <xdr:clientData/>
  </xdr:twoCellAnchor>
  <xdr:twoCellAnchor>
    <xdr:from>
      <xdr:col>26</xdr:col>
      <xdr:colOff>198120</xdr:colOff>
      <xdr:row>21</xdr:row>
      <xdr:rowOff>152400</xdr:rowOff>
    </xdr:from>
    <xdr:to>
      <xdr:col>26</xdr:col>
      <xdr:colOff>419100</xdr:colOff>
      <xdr:row>21</xdr:row>
      <xdr:rowOff>152400</xdr:rowOff>
    </xdr:to>
    <xdr:sp macro="" textlink="">
      <xdr:nvSpPr>
        <xdr:cNvPr id="7" name="Line 55">
          <a:extLst>
            <a:ext uri="{FF2B5EF4-FFF2-40B4-BE49-F238E27FC236}">
              <a16:creationId xmlns:a16="http://schemas.microsoft.com/office/drawing/2014/main" id="{00000000-0008-0000-1D00-000007000000}"/>
            </a:ext>
          </a:extLst>
        </xdr:cNvPr>
        <xdr:cNvSpPr>
          <a:spLocks noChangeShapeType="1"/>
        </xdr:cNvSpPr>
      </xdr:nvSpPr>
      <xdr:spPr bwMode="auto">
        <a:xfrm flipH="1">
          <a:off x="24985980" y="4366260"/>
          <a:ext cx="2209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198120</xdr:colOff>
      <xdr:row>21</xdr:row>
      <xdr:rowOff>152400</xdr:rowOff>
    </xdr:from>
    <xdr:to>
      <xdr:col>26</xdr:col>
      <xdr:colOff>419100</xdr:colOff>
      <xdr:row>21</xdr:row>
      <xdr:rowOff>152400</xdr:rowOff>
    </xdr:to>
    <xdr:sp macro="" textlink="">
      <xdr:nvSpPr>
        <xdr:cNvPr id="8" name="Line 56">
          <a:extLst>
            <a:ext uri="{FF2B5EF4-FFF2-40B4-BE49-F238E27FC236}">
              <a16:creationId xmlns:a16="http://schemas.microsoft.com/office/drawing/2014/main" id="{00000000-0008-0000-1D00-000008000000}"/>
            </a:ext>
          </a:extLst>
        </xdr:cNvPr>
        <xdr:cNvSpPr>
          <a:spLocks noChangeShapeType="1"/>
        </xdr:cNvSpPr>
      </xdr:nvSpPr>
      <xdr:spPr bwMode="auto">
        <a:xfrm flipH="1">
          <a:off x="24985980" y="4366260"/>
          <a:ext cx="2209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15" name="Line 55">
          <a:extLst>
            <a:ext uri="{FF2B5EF4-FFF2-40B4-BE49-F238E27FC236}">
              <a16:creationId xmlns:a16="http://schemas.microsoft.com/office/drawing/2014/main" id="{00000000-0008-0000-1D00-00000F000000}"/>
            </a:ext>
          </a:extLst>
        </xdr:cNvPr>
        <xdr:cNvSpPr>
          <a:spLocks noChangeShapeType="1"/>
        </xdr:cNvSpPr>
      </xdr:nvSpPr>
      <xdr:spPr bwMode="auto">
        <a:xfrm flipH="1">
          <a:off x="24450675" y="4448175"/>
          <a:ext cx="228600" cy="0"/>
        </a:xfrm>
        <a:prstGeom prst="line">
          <a:avLst/>
        </a:prstGeom>
        <a:noFill/>
        <a:ln w="9525">
          <a:solidFill>
            <a:srgbClr val="000000"/>
          </a:solidFill>
          <a:round/>
          <a:headEnd/>
          <a:tailEnd type="triangle" w="med" len="med"/>
        </a:ln>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16" name="Line 56">
          <a:extLst>
            <a:ext uri="{FF2B5EF4-FFF2-40B4-BE49-F238E27FC236}">
              <a16:creationId xmlns:a16="http://schemas.microsoft.com/office/drawing/2014/main" id="{00000000-0008-0000-1D00-000010000000}"/>
            </a:ext>
          </a:extLst>
        </xdr:cNvPr>
        <xdr:cNvSpPr>
          <a:spLocks noChangeShapeType="1"/>
        </xdr:cNvSpPr>
      </xdr:nvSpPr>
      <xdr:spPr bwMode="auto">
        <a:xfrm flipH="1">
          <a:off x="24450675" y="4448175"/>
          <a:ext cx="228600" cy="0"/>
        </a:xfrm>
        <a:prstGeom prst="line">
          <a:avLst/>
        </a:prstGeom>
        <a:noFill/>
        <a:ln w="9525">
          <a:solidFill>
            <a:srgbClr val="000000"/>
          </a:solidFill>
          <a:round/>
          <a:headEnd/>
          <a:tailEnd type="triangle" w="med" len="med"/>
        </a:ln>
      </xdr:spPr>
    </xdr:sp>
    <xdr:clientData/>
  </xdr:twoCellAnchor>
  <xdr:twoCellAnchor>
    <xdr:from>
      <xdr:col>26</xdr:col>
      <xdr:colOff>198120</xdr:colOff>
      <xdr:row>21</xdr:row>
      <xdr:rowOff>152400</xdr:rowOff>
    </xdr:from>
    <xdr:to>
      <xdr:col>26</xdr:col>
      <xdr:colOff>419100</xdr:colOff>
      <xdr:row>21</xdr:row>
      <xdr:rowOff>152400</xdr:rowOff>
    </xdr:to>
    <xdr:sp macro="" textlink="">
      <xdr:nvSpPr>
        <xdr:cNvPr id="19" name="Line 55">
          <a:extLst>
            <a:ext uri="{FF2B5EF4-FFF2-40B4-BE49-F238E27FC236}">
              <a16:creationId xmlns:a16="http://schemas.microsoft.com/office/drawing/2014/main" id="{00000000-0008-0000-1D00-000013000000}"/>
            </a:ext>
          </a:extLst>
        </xdr:cNvPr>
        <xdr:cNvSpPr>
          <a:spLocks noChangeShapeType="1"/>
        </xdr:cNvSpPr>
      </xdr:nvSpPr>
      <xdr:spPr bwMode="auto">
        <a:xfrm flipH="1">
          <a:off x="24448770" y="4448175"/>
          <a:ext cx="2209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198120</xdr:colOff>
      <xdr:row>21</xdr:row>
      <xdr:rowOff>152400</xdr:rowOff>
    </xdr:from>
    <xdr:to>
      <xdr:col>26</xdr:col>
      <xdr:colOff>419100</xdr:colOff>
      <xdr:row>21</xdr:row>
      <xdr:rowOff>152400</xdr:rowOff>
    </xdr:to>
    <xdr:sp macro="" textlink="">
      <xdr:nvSpPr>
        <xdr:cNvPr id="20" name="Line 56">
          <a:extLst>
            <a:ext uri="{FF2B5EF4-FFF2-40B4-BE49-F238E27FC236}">
              <a16:creationId xmlns:a16="http://schemas.microsoft.com/office/drawing/2014/main" id="{00000000-0008-0000-1D00-000014000000}"/>
            </a:ext>
          </a:extLst>
        </xdr:cNvPr>
        <xdr:cNvSpPr>
          <a:spLocks noChangeShapeType="1"/>
        </xdr:cNvSpPr>
      </xdr:nvSpPr>
      <xdr:spPr bwMode="auto">
        <a:xfrm flipH="1">
          <a:off x="24448770" y="4448175"/>
          <a:ext cx="2209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25" name="Line 55">
          <a:extLst>
            <a:ext uri="{FF2B5EF4-FFF2-40B4-BE49-F238E27FC236}">
              <a16:creationId xmlns:a16="http://schemas.microsoft.com/office/drawing/2014/main" id="{00000000-0008-0000-1D00-000019000000}"/>
            </a:ext>
          </a:extLst>
        </xdr:cNvPr>
        <xdr:cNvSpPr>
          <a:spLocks noChangeShapeType="1"/>
        </xdr:cNvSpPr>
      </xdr:nvSpPr>
      <xdr:spPr bwMode="auto">
        <a:xfrm flipH="1">
          <a:off x="26250900" y="4448175"/>
          <a:ext cx="2286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26" name="Line 56">
          <a:extLst>
            <a:ext uri="{FF2B5EF4-FFF2-40B4-BE49-F238E27FC236}">
              <a16:creationId xmlns:a16="http://schemas.microsoft.com/office/drawing/2014/main" id="{00000000-0008-0000-1D00-00001A000000}"/>
            </a:ext>
          </a:extLst>
        </xdr:cNvPr>
        <xdr:cNvSpPr>
          <a:spLocks noChangeShapeType="1"/>
        </xdr:cNvSpPr>
      </xdr:nvSpPr>
      <xdr:spPr bwMode="auto">
        <a:xfrm flipH="1">
          <a:off x="26250900" y="4448175"/>
          <a:ext cx="2286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29" name="Line 55">
          <a:extLst>
            <a:ext uri="{FF2B5EF4-FFF2-40B4-BE49-F238E27FC236}">
              <a16:creationId xmlns:a16="http://schemas.microsoft.com/office/drawing/2014/main" id="{00000000-0008-0000-1D00-00001D000000}"/>
            </a:ext>
          </a:extLst>
        </xdr:cNvPr>
        <xdr:cNvSpPr>
          <a:spLocks noChangeShapeType="1"/>
        </xdr:cNvSpPr>
      </xdr:nvSpPr>
      <xdr:spPr bwMode="auto">
        <a:xfrm flipH="1">
          <a:off x="26250900" y="4448175"/>
          <a:ext cx="2286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26</xdr:col>
      <xdr:colOff>200025</xdr:colOff>
      <xdr:row>21</xdr:row>
      <xdr:rowOff>152400</xdr:rowOff>
    </xdr:from>
    <xdr:to>
      <xdr:col>26</xdr:col>
      <xdr:colOff>428625</xdr:colOff>
      <xdr:row>21</xdr:row>
      <xdr:rowOff>152400</xdr:rowOff>
    </xdr:to>
    <xdr:sp macro="" textlink="">
      <xdr:nvSpPr>
        <xdr:cNvPr id="30" name="Line 56">
          <a:extLst>
            <a:ext uri="{FF2B5EF4-FFF2-40B4-BE49-F238E27FC236}">
              <a16:creationId xmlns:a16="http://schemas.microsoft.com/office/drawing/2014/main" id="{00000000-0008-0000-1D00-00001E000000}"/>
            </a:ext>
          </a:extLst>
        </xdr:cNvPr>
        <xdr:cNvSpPr>
          <a:spLocks noChangeShapeType="1"/>
        </xdr:cNvSpPr>
      </xdr:nvSpPr>
      <xdr:spPr bwMode="auto">
        <a:xfrm flipH="1">
          <a:off x="26250900" y="4448175"/>
          <a:ext cx="2286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11</xdr:col>
          <xdr:colOff>28575</xdr:colOff>
          <xdr:row>4</xdr:row>
          <xdr:rowOff>28575</xdr:rowOff>
        </xdr:from>
        <xdr:to>
          <xdr:col>17</xdr:col>
          <xdr:colOff>38100</xdr:colOff>
          <xdr:row>10</xdr:row>
          <xdr:rowOff>104775</xdr:rowOff>
        </xdr:to>
        <xdr:sp macro="" textlink="">
          <xdr:nvSpPr>
            <xdr:cNvPr id="22540" name="Button 12" hidden="1">
              <a:extLst>
                <a:ext uri="{63B3BB69-23CF-44E3-9099-C40C66FF867C}">
                  <a14:compatExt spid="_x0000_s22540"/>
                </a:ext>
                <a:ext uri="{FF2B5EF4-FFF2-40B4-BE49-F238E27FC236}">
                  <a16:creationId xmlns:a16="http://schemas.microsoft.com/office/drawing/2014/main" id="{00000000-0008-0000-2000-00000C5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800" b="1" i="0" u="none" strike="noStrike" baseline="0">
                  <a:solidFill>
                    <a:srgbClr val="000000"/>
                  </a:solidFill>
                  <a:latin typeface="Calibri"/>
                  <a:cs typeface="Calibri"/>
                </a:rPr>
                <a:t>The Go Between Button, transfer to/from Coho TAMM &amp;</a:t>
              </a:r>
            </a:p>
            <a:p>
              <a:pPr algn="ctr" rtl="0">
                <a:defRPr sz="1000"/>
              </a:pPr>
              <a:r>
                <a:rPr lang="en-US" sz="1800" b="1" i="0" u="none" strike="noStrike" baseline="0">
                  <a:solidFill>
                    <a:srgbClr val="000000"/>
                  </a:solidFill>
                  <a:latin typeface="Calibri"/>
                  <a:cs typeface="Calibri"/>
                </a:rPr>
                <a:t>the Col R Harvest Model</a:t>
              </a:r>
            </a:p>
            <a:p>
              <a:pPr algn="ctr" rtl="0">
                <a:defRPr sz="1000"/>
              </a:pPr>
              <a:r>
                <a:rPr lang="en-US" sz="1800" b="1" i="0" u="none" strike="noStrike" baseline="0">
                  <a:solidFill>
                    <a:srgbClr val="000000"/>
                  </a:solidFill>
                  <a:latin typeface="Calibri"/>
                  <a:cs typeface="Calibri"/>
                </a:rPr>
                <a:t>(Click Me!)</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174171</xdr:colOff>
      <xdr:row>25</xdr:row>
      <xdr:rowOff>76200</xdr:rowOff>
    </xdr:to>
    <xdr:pic>
      <xdr:nvPicPr>
        <xdr:cNvPr id="6" name="Picture 5">
          <a:extLst>
            <a:ext uri="{FF2B5EF4-FFF2-40B4-BE49-F238E27FC236}">
              <a16:creationId xmlns:a16="http://schemas.microsoft.com/office/drawing/2014/main" id="{00000000-0008-0000-23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1129" y="419100"/>
          <a:ext cx="8289471" cy="4332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bellman/Documents/FRAM_Model/Coho_FRAM/2021_Files/MB_StartingFiles/Orig_StartingPackage_2021/TAMMFiles_4StartingModelRuns/CohoBPFisheries_21US_20Can_Forecasts0218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bellman/Documents/FRAM_Model/Coho_FRAM/2022_Files/MB_StartingFiles/BKCoho2019_v3d_postseason_wColRrv_Finalrv%20(GR-JD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kyle_vandegraaf_dfw_wa_gov/Documents/21PFMC/Modeling/Coho2102.xlsx%20%20-%20%20version%2018.0:%203/5/2021%201:04%20P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endents_Overview"/>
      <sheetName val="Contents"/>
      <sheetName val="1"/>
      <sheetName val="2"/>
      <sheetName val="4"/>
      <sheetName val="7"/>
      <sheetName val="Sk"/>
      <sheetName val="StSn"/>
      <sheetName val="HdC"/>
      <sheetName val="SPS"/>
      <sheetName val="NS"/>
      <sheetName val="JDF"/>
      <sheetName val="PFMCTables"/>
      <sheetName val="WACoastTerminal"/>
      <sheetName val="Thompson"/>
      <sheetName val="Input_Harvestnew"/>
      <sheetName val="Input_Stockdata"/>
      <sheetName val="Tami"/>
      <sheetName val="Tami_Precedents"/>
      <sheetName val="FishSumAllPRN"/>
      <sheetName val="StockSumPRN"/>
      <sheetName val="Table2PRN"/>
      <sheetName val="TRunsPRN"/>
      <sheetName val="LandedCNRTMbyTP"/>
      <sheetName val="FisheryConvTemplate"/>
      <sheetName val="NT-Tsummary"/>
      <sheetName val="PS_HatcheryEsc."/>
      <sheetName val="Documentation"/>
      <sheetName val="fram_unm_mrkprn"/>
      <sheetName val="FramScalarsOPIstyle"/>
      <sheetName val="ColR&amp;OCN&amp;RogKlam"/>
      <sheetName val="ColRPercent"/>
      <sheetName val="ColRHarvestInput"/>
      <sheetName val="AttachC"/>
      <sheetName val="AttachCStkInput"/>
      <sheetName val="SportMatrix"/>
      <sheetName val="RunLog"/>
      <sheetName val="Preseason2021_Tracking"/>
      <sheetName val="Preseason2020_Tracking"/>
      <sheetName val="CohoStock_Reference"/>
      <sheetName val="CohoFishery_Reference"/>
      <sheetName val="TAAETRSList18_Reference"/>
      <sheetName val="Defined_Names0519"/>
    </sheetNames>
    <sheetDataSet>
      <sheetData sheetId="0"/>
      <sheetData sheetId="1"/>
      <sheetData sheetId="2"/>
      <sheetData sheetId="3"/>
      <sheetData sheetId="4">
        <row r="23">
          <cell r="C23">
            <v>0.6646503706880097</v>
          </cell>
          <cell r="D23">
            <v>0.68710760694991968</v>
          </cell>
          <cell r="E23">
            <v>0.63337520596440278</v>
          </cell>
          <cell r="F23">
            <v>0.85605958931687021</v>
          </cell>
          <cell r="G23">
            <v>0.6053434006098446</v>
          </cell>
          <cell r="H23">
            <v>0.87639145563079468</v>
          </cell>
          <cell r="I23">
            <v>0.93003935286401396</v>
          </cell>
          <cell r="N23">
            <v>0.39689622391307061</v>
          </cell>
          <cell r="O23">
            <v>0.61454704890524758</v>
          </cell>
          <cell r="P23">
            <v>0.64386717057687259</v>
          </cell>
          <cell r="Q23">
            <v>0.35513910270858606</v>
          </cell>
        </row>
        <row r="30">
          <cell r="C30">
            <v>0.25804069734624935</v>
          </cell>
          <cell r="D30">
            <v>0.39611622134618185</v>
          </cell>
          <cell r="E30">
            <v>0.34202326378126174</v>
          </cell>
          <cell r="F30">
            <v>0.39397396322641259</v>
          </cell>
          <cell r="G30">
            <v>0.17598373747640481</v>
          </cell>
          <cell r="H30">
            <v>0.52867122151385082</v>
          </cell>
          <cell r="I30">
            <v>0.39496533200074957</v>
          </cell>
          <cell r="N30">
            <v>0.13147431490724873</v>
          </cell>
          <cell r="O30">
            <v>0.22682020417007559</v>
          </cell>
          <cell r="P30">
            <v>0.27501800265618342</v>
          </cell>
          <cell r="Q30">
            <v>0.1247727072009223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endents_Overview"/>
      <sheetName val="Contents"/>
      <sheetName val="1"/>
      <sheetName val="2"/>
      <sheetName val="4"/>
      <sheetName val="7"/>
      <sheetName val="Sk"/>
      <sheetName val="StSn"/>
      <sheetName val="HdC"/>
      <sheetName val="SPS"/>
      <sheetName val="NS"/>
      <sheetName val="JDF"/>
      <sheetName val="PFMCTable7"/>
      <sheetName val="WACoastTerminal"/>
      <sheetName val="Thompson"/>
      <sheetName val="Input_Harvestnew"/>
      <sheetName val="Input_Stockdata"/>
      <sheetName val="Tami"/>
      <sheetName val="Tami_Precedents"/>
      <sheetName val="FishSumAllPRN"/>
      <sheetName val="StockSumPRN"/>
      <sheetName val="Table2PRN"/>
      <sheetName val="TRunsPRN"/>
      <sheetName val="LandedCNRTMbyTP"/>
      <sheetName val="FisheryConvTemplate"/>
      <sheetName val="NT-Tsummary"/>
      <sheetName val="PS_HatcheryEsc."/>
      <sheetName val="Documentation"/>
      <sheetName val="fram_unm_mrkprn"/>
      <sheetName val="FramScalarsOPIstyle"/>
      <sheetName val="ColR&amp;OCN&amp;RogKlam"/>
      <sheetName val="ColRPercent"/>
      <sheetName val="ColRHarvestInput"/>
      <sheetName val="AttachC"/>
      <sheetName val="AttachCStkInput"/>
      <sheetName val="SportMatrix"/>
      <sheetName val="RunLog"/>
      <sheetName val="Preseason2019_Tracking"/>
      <sheetName val="Preseason2018_Tracking"/>
      <sheetName val="CohoStock_Reference"/>
      <sheetName val="CohoFishery_Reference"/>
      <sheetName val="TAAETRSList18_Refere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267">
          <cell r="B2267">
            <v>0</v>
          </cell>
          <cell r="D2267">
            <v>0</v>
          </cell>
          <cell r="E2267">
            <v>0</v>
          </cell>
        </row>
        <row r="2268">
          <cell r="B2268">
            <v>0</v>
          </cell>
          <cell r="D2268">
            <v>0</v>
          </cell>
          <cell r="E2268">
            <v>0</v>
          </cell>
        </row>
        <row r="2269">
          <cell r="B2269">
            <v>0</v>
          </cell>
          <cell r="D2269">
            <v>0</v>
          </cell>
          <cell r="E2269">
            <v>0</v>
          </cell>
        </row>
        <row r="2270">
          <cell r="B2270">
            <v>0</v>
          </cell>
          <cell r="D2270">
            <v>0</v>
          </cell>
          <cell r="E2270">
            <v>0</v>
          </cell>
        </row>
        <row r="2271">
          <cell r="B2271">
            <v>0</v>
          </cell>
          <cell r="D2271">
            <v>0</v>
          </cell>
          <cell r="E2271">
            <v>0</v>
          </cell>
        </row>
        <row r="2272">
          <cell r="B2272">
            <v>0</v>
          </cell>
          <cell r="D2272">
            <v>0</v>
          </cell>
          <cell r="E2272">
            <v>0</v>
          </cell>
        </row>
        <row r="2273">
          <cell r="B2273">
            <v>0</v>
          </cell>
          <cell r="D2273">
            <v>0</v>
          </cell>
          <cell r="E2273">
            <v>0</v>
          </cell>
        </row>
        <row r="2274">
          <cell r="B2274">
            <v>0</v>
          </cell>
          <cell r="D2274">
            <v>0</v>
          </cell>
          <cell r="E2274">
            <v>0</v>
          </cell>
        </row>
        <row r="2275">
          <cell r="B2275">
            <v>0</v>
          </cell>
          <cell r="D2275">
            <v>0</v>
          </cell>
          <cell r="E2275">
            <v>0</v>
          </cell>
        </row>
        <row r="2276">
          <cell r="B2276">
            <v>0</v>
          </cell>
          <cell r="D2276">
            <v>0</v>
          </cell>
          <cell r="E2276">
            <v>0</v>
          </cell>
        </row>
        <row r="2277">
          <cell r="B2277">
            <v>0</v>
          </cell>
          <cell r="D2277">
            <v>0</v>
          </cell>
          <cell r="E2277">
            <v>0</v>
          </cell>
        </row>
        <row r="2278">
          <cell r="B2278">
            <v>0</v>
          </cell>
          <cell r="D2278">
            <v>0</v>
          </cell>
          <cell r="E2278">
            <v>0</v>
          </cell>
        </row>
        <row r="2279">
          <cell r="B2279">
            <v>0</v>
          </cell>
          <cell r="D2279">
            <v>0</v>
          </cell>
          <cell r="E2279">
            <v>0</v>
          </cell>
        </row>
        <row r="2280">
          <cell r="B2280">
            <v>0</v>
          </cell>
          <cell r="D2280">
            <v>0</v>
          </cell>
          <cell r="E2280">
            <v>0</v>
          </cell>
        </row>
        <row r="2281">
          <cell r="B2281">
            <v>4</v>
          </cell>
          <cell r="D2281">
            <v>1</v>
          </cell>
          <cell r="E2281">
            <v>11</v>
          </cell>
        </row>
        <row r="2282">
          <cell r="B2282">
            <v>0</v>
          </cell>
          <cell r="D2282">
            <v>0</v>
          </cell>
          <cell r="E2282">
            <v>0</v>
          </cell>
        </row>
        <row r="2283">
          <cell r="B2283">
            <v>0</v>
          </cell>
          <cell r="D2283">
            <v>0</v>
          </cell>
          <cell r="E2283">
            <v>1</v>
          </cell>
        </row>
        <row r="2284">
          <cell r="B2284">
            <v>0</v>
          </cell>
          <cell r="D2284">
            <v>0</v>
          </cell>
          <cell r="E2284">
            <v>0</v>
          </cell>
        </row>
        <row r="2285">
          <cell r="B2285">
            <v>0</v>
          </cell>
          <cell r="D2285">
            <v>0</v>
          </cell>
          <cell r="E2285">
            <v>3</v>
          </cell>
        </row>
        <row r="2286">
          <cell r="B2286">
            <v>0</v>
          </cell>
          <cell r="D2286">
            <v>0</v>
          </cell>
          <cell r="E2286">
            <v>0</v>
          </cell>
        </row>
        <row r="2287">
          <cell r="B2287">
            <v>0</v>
          </cell>
          <cell r="D2287">
            <v>0</v>
          </cell>
          <cell r="E2287">
            <v>0</v>
          </cell>
        </row>
        <row r="2288">
          <cell r="B2288">
            <v>0</v>
          </cell>
          <cell r="D2288">
            <v>0</v>
          </cell>
          <cell r="E2288">
            <v>0</v>
          </cell>
        </row>
        <row r="2289">
          <cell r="B2289">
            <v>0</v>
          </cell>
          <cell r="D2289">
            <v>0</v>
          </cell>
          <cell r="E2289">
            <v>0</v>
          </cell>
        </row>
        <row r="2290">
          <cell r="B2290">
            <v>0</v>
          </cell>
          <cell r="D2290">
            <v>0</v>
          </cell>
          <cell r="E2290">
            <v>0</v>
          </cell>
        </row>
        <row r="2291">
          <cell r="B2291">
            <v>0</v>
          </cell>
          <cell r="D2291">
            <v>0</v>
          </cell>
          <cell r="E2291">
            <v>0</v>
          </cell>
        </row>
        <row r="2292">
          <cell r="B2292">
            <v>0</v>
          </cell>
          <cell r="D2292">
            <v>0</v>
          </cell>
          <cell r="E2292">
            <v>0</v>
          </cell>
        </row>
        <row r="2293">
          <cell r="B2293">
            <v>0</v>
          </cell>
          <cell r="D2293">
            <v>0</v>
          </cell>
          <cell r="E2293">
            <v>0</v>
          </cell>
        </row>
        <row r="2294">
          <cell r="B2294">
            <v>0</v>
          </cell>
          <cell r="D2294">
            <v>0</v>
          </cell>
          <cell r="E2294">
            <v>0</v>
          </cell>
        </row>
        <row r="2295">
          <cell r="B2295">
            <v>0</v>
          </cell>
          <cell r="D2295">
            <v>0</v>
          </cell>
          <cell r="E2295">
            <v>0</v>
          </cell>
        </row>
        <row r="2296">
          <cell r="B2296">
            <v>0</v>
          </cell>
          <cell r="D2296">
            <v>0</v>
          </cell>
          <cell r="E2296">
            <v>0</v>
          </cell>
        </row>
        <row r="2297">
          <cell r="B2297">
            <v>1</v>
          </cell>
          <cell r="D2297">
            <v>0</v>
          </cell>
          <cell r="E2297">
            <v>9</v>
          </cell>
        </row>
        <row r="2298">
          <cell r="B2298">
            <v>0</v>
          </cell>
          <cell r="D2298">
            <v>0</v>
          </cell>
          <cell r="E2298">
            <v>2</v>
          </cell>
        </row>
        <row r="2299">
          <cell r="B2299">
            <v>0</v>
          </cell>
          <cell r="D2299">
            <v>0</v>
          </cell>
          <cell r="E2299">
            <v>2</v>
          </cell>
        </row>
        <row r="2300">
          <cell r="B2300">
            <v>1</v>
          </cell>
          <cell r="D2300">
            <v>0</v>
          </cell>
          <cell r="E2300">
            <v>1</v>
          </cell>
        </row>
        <row r="2301">
          <cell r="B2301">
            <v>2</v>
          </cell>
          <cell r="D2301">
            <v>0</v>
          </cell>
          <cell r="E2301">
            <v>15</v>
          </cell>
        </row>
        <row r="2302">
          <cell r="B2302">
            <v>0</v>
          </cell>
          <cell r="D2302">
            <v>0</v>
          </cell>
          <cell r="E2302">
            <v>2</v>
          </cell>
        </row>
        <row r="2303">
          <cell r="B2303">
            <v>0</v>
          </cell>
          <cell r="D2303">
            <v>0</v>
          </cell>
          <cell r="E2303">
            <v>0</v>
          </cell>
        </row>
        <row r="2304">
          <cell r="B2304">
            <v>0</v>
          </cell>
          <cell r="D2304">
            <v>0</v>
          </cell>
          <cell r="E2304">
            <v>3</v>
          </cell>
        </row>
        <row r="2305">
          <cell r="B2305">
            <v>1</v>
          </cell>
          <cell r="D2305">
            <v>0</v>
          </cell>
          <cell r="E2305">
            <v>6</v>
          </cell>
        </row>
        <row r="2306">
          <cell r="B2306">
            <v>1</v>
          </cell>
          <cell r="D2306">
            <v>0</v>
          </cell>
          <cell r="E2306">
            <v>3</v>
          </cell>
        </row>
        <row r="2307">
          <cell r="B2307">
            <v>46</v>
          </cell>
          <cell r="D2307">
            <v>7</v>
          </cell>
          <cell r="E2307">
            <v>73</v>
          </cell>
        </row>
        <row r="2308">
          <cell r="B2308">
            <v>0</v>
          </cell>
          <cell r="D2308">
            <v>0</v>
          </cell>
          <cell r="E2308">
            <v>1</v>
          </cell>
        </row>
        <row r="2344">
          <cell r="B2344">
            <v>0</v>
          </cell>
          <cell r="D2344">
            <v>0</v>
          </cell>
          <cell r="E2344">
            <v>0</v>
          </cell>
        </row>
        <row r="2345">
          <cell r="B2345">
            <v>4</v>
          </cell>
          <cell r="D2345">
            <v>1</v>
          </cell>
          <cell r="E2345">
            <v>6</v>
          </cell>
        </row>
        <row r="2346">
          <cell r="B2346">
            <v>0</v>
          </cell>
          <cell r="D2346">
            <v>0</v>
          </cell>
          <cell r="E2346">
            <v>0</v>
          </cell>
        </row>
        <row r="2347">
          <cell r="B2347">
            <v>0</v>
          </cell>
          <cell r="D2347">
            <v>0</v>
          </cell>
          <cell r="E2347">
            <v>0</v>
          </cell>
        </row>
        <row r="2348">
          <cell r="B2348">
            <v>0</v>
          </cell>
          <cell r="D2348">
            <v>0</v>
          </cell>
          <cell r="E2348">
            <v>0</v>
          </cell>
        </row>
        <row r="2349">
          <cell r="B2349">
            <v>0</v>
          </cell>
          <cell r="D2349">
            <v>0</v>
          </cell>
          <cell r="E2349">
            <v>0</v>
          </cell>
        </row>
        <row r="2350">
          <cell r="B2350">
            <v>0</v>
          </cell>
          <cell r="D2350">
            <v>0</v>
          </cell>
          <cell r="E2350">
            <v>0</v>
          </cell>
        </row>
        <row r="2351">
          <cell r="B2351">
            <v>1</v>
          </cell>
          <cell r="D2351">
            <v>0</v>
          </cell>
          <cell r="E2351">
            <v>1</v>
          </cell>
        </row>
        <row r="2352">
          <cell r="B2352">
            <v>0</v>
          </cell>
          <cell r="D2352">
            <v>0</v>
          </cell>
          <cell r="E2352">
            <v>0</v>
          </cell>
        </row>
        <row r="2353">
          <cell r="B2353">
            <v>0</v>
          </cell>
          <cell r="D2353">
            <v>0</v>
          </cell>
          <cell r="E2353">
            <v>0</v>
          </cell>
        </row>
        <row r="2354">
          <cell r="B2354">
            <v>0</v>
          </cell>
          <cell r="D2354">
            <v>0</v>
          </cell>
          <cell r="E2354">
            <v>0</v>
          </cell>
        </row>
        <row r="2355">
          <cell r="B2355">
            <v>7</v>
          </cell>
          <cell r="D2355">
            <v>1</v>
          </cell>
          <cell r="E2355">
            <v>81</v>
          </cell>
        </row>
        <row r="2356">
          <cell r="B2356">
            <v>3</v>
          </cell>
          <cell r="D2356">
            <v>0</v>
          </cell>
          <cell r="E2356">
            <v>29</v>
          </cell>
        </row>
        <row r="2357">
          <cell r="B2357">
            <v>0</v>
          </cell>
          <cell r="D2357">
            <v>0</v>
          </cell>
          <cell r="E2357">
            <v>0</v>
          </cell>
        </row>
        <row r="2359">
          <cell r="B2359">
            <v>0</v>
          </cell>
          <cell r="D2359">
            <v>0</v>
          </cell>
          <cell r="E2359">
            <v>0</v>
          </cell>
        </row>
        <row r="2360">
          <cell r="B2360">
            <v>0</v>
          </cell>
          <cell r="D2360">
            <v>0</v>
          </cell>
          <cell r="E2360">
            <v>0</v>
          </cell>
        </row>
        <row r="2361">
          <cell r="B2361">
            <v>0</v>
          </cell>
          <cell r="D2361">
            <v>0</v>
          </cell>
          <cell r="E2361">
            <v>0</v>
          </cell>
        </row>
        <row r="2365">
          <cell r="B2365">
            <v>0</v>
          </cell>
          <cell r="D2365">
            <v>0</v>
          </cell>
          <cell r="E2365">
            <v>0</v>
          </cell>
        </row>
        <row r="2366">
          <cell r="B2366">
            <v>0</v>
          </cell>
          <cell r="D2366">
            <v>0</v>
          </cell>
          <cell r="E2366">
            <v>0</v>
          </cell>
        </row>
        <row r="2370">
          <cell r="B2370">
            <v>0</v>
          </cell>
          <cell r="D2370">
            <v>0</v>
          </cell>
          <cell r="E2370">
            <v>0</v>
          </cell>
        </row>
        <row r="2371">
          <cell r="B2371">
            <v>1</v>
          </cell>
          <cell r="D2371">
            <v>0</v>
          </cell>
          <cell r="E2371">
            <v>3</v>
          </cell>
        </row>
        <row r="2373">
          <cell r="B2373">
            <v>0</v>
          </cell>
          <cell r="D2373">
            <v>0</v>
          </cell>
          <cell r="E2373">
            <v>0</v>
          </cell>
        </row>
        <row r="2374">
          <cell r="B2374">
            <v>0</v>
          </cell>
          <cell r="D2374">
            <v>0</v>
          </cell>
          <cell r="E2374">
            <v>0</v>
          </cell>
        </row>
        <row r="2375">
          <cell r="B2375">
            <v>0</v>
          </cell>
          <cell r="D2375">
            <v>0</v>
          </cell>
          <cell r="E2375">
            <v>0</v>
          </cell>
        </row>
        <row r="2376">
          <cell r="B2376">
            <v>0</v>
          </cell>
          <cell r="D2376">
            <v>0</v>
          </cell>
          <cell r="E2376">
            <v>0</v>
          </cell>
        </row>
        <row r="2379">
          <cell r="B2379">
            <v>0</v>
          </cell>
          <cell r="D2379">
            <v>0</v>
          </cell>
          <cell r="E2379">
            <v>0</v>
          </cell>
        </row>
        <row r="2382">
          <cell r="B2382">
            <v>1</v>
          </cell>
          <cell r="D2382">
            <v>0</v>
          </cell>
          <cell r="E2382">
            <v>1</v>
          </cell>
        </row>
        <row r="2383">
          <cell r="B2383">
            <v>0</v>
          </cell>
          <cell r="D2383">
            <v>0</v>
          </cell>
          <cell r="E2383">
            <v>0</v>
          </cell>
        </row>
        <row r="2384">
          <cell r="B2384">
            <v>0</v>
          </cell>
          <cell r="D2384">
            <v>0</v>
          </cell>
          <cell r="E2384">
            <v>0</v>
          </cell>
        </row>
        <row r="2385">
          <cell r="B2385">
            <v>0</v>
          </cell>
          <cell r="D2385">
            <v>0</v>
          </cell>
          <cell r="E2385">
            <v>0</v>
          </cell>
        </row>
        <row r="2386">
          <cell r="B2386">
            <v>0</v>
          </cell>
          <cell r="D2386">
            <v>0</v>
          </cell>
          <cell r="E2386">
            <v>0</v>
          </cell>
        </row>
        <row r="2387">
          <cell r="B2387">
            <v>0</v>
          </cell>
          <cell r="D2387">
            <v>0</v>
          </cell>
          <cell r="E2387">
            <v>0</v>
          </cell>
        </row>
        <row r="2388">
          <cell r="B2388">
            <v>0</v>
          </cell>
          <cell r="D2388">
            <v>0</v>
          </cell>
          <cell r="E2388">
            <v>0</v>
          </cell>
        </row>
        <row r="2393">
          <cell r="B2393">
            <v>0</v>
          </cell>
          <cell r="D2393">
            <v>0</v>
          </cell>
          <cell r="E2393">
            <v>0</v>
          </cell>
        </row>
        <row r="2394">
          <cell r="B2394">
            <v>0</v>
          </cell>
          <cell r="D2394">
            <v>0</v>
          </cell>
          <cell r="E2394">
            <v>0</v>
          </cell>
        </row>
        <row r="2395">
          <cell r="B2395">
            <v>0</v>
          </cell>
          <cell r="D2395">
            <v>0</v>
          </cell>
          <cell r="E2395">
            <v>0</v>
          </cell>
        </row>
        <row r="2396">
          <cell r="B2396">
            <v>0</v>
          </cell>
          <cell r="D2396">
            <v>0</v>
          </cell>
          <cell r="E2396">
            <v>0</v>
          </cell>
        </row>
        <row r="2397">
          <cell r="B2397">
            <v>0</v>
          </cell>
          <cell r="D2397">
            <v>0</v>
          </cell>
          <cell r="E2397">
            <v>0</v>
          </cell>
        </row>
        <row r="2400">
          <cell r="B2400">
            <v>0</v>
          </cell>
          <cell r="D2400">
            <v>0</v>
          </cell>
          <cell r="E2400">
            <v>0</v>
          </cell>
        </row>
        <row r="2401">
          <cell r="B2401">
            <v>0</v>
          </cell>
          <cell r="D2401">
            <v>0</v>
          </cell>
          <cell r="E2401">
            <v>0</v>
          </cell>
        </row>
        <row r="2402">
          <cell r="B2402">
            <v>0</v>
          </cell>
          <cell r="D2402">
            <v>0</v>
          </cell>
          <cell r="E2402">
            <v>0</v>
          </cell>
        </row>
        <row r="2403">
          <cell r="B2403">
            <v>0</v>
          </cell>
          <cell r="D2403">
            <v>0</v>
          </cell>
          <cell r="E2403">
            <v>0</v>
          </cell>
        </row>
        <row r="2404">
          <cell r="B2404">
            <v>0</v>
          </cell>
          <cell r="D2404">
            <v>0</v>
          </cell>
          <cell r="E2404">
            <v>0</v>
          </cell>
        </row>
        <row r="2405">
          <cell r="B2405">
            <v>0</v>
          </cell>
          <cell r="D2405">
            <v>0</v>
          </cell>
          <cell r="E2405">
            <v>0</v>
          </cell>
        </row>
        <row r="2406">
          <cell r="B2406">
            <v>0</v>
          </cell>
          <cell r="D2406">
            <v>0</v>
          </cell>
          <cell r="E2406">
            <v>0</v>
          </cell>
        </row>
        <row r="2407">
          <cell r="B2407">
            <v>0</v>
          </cell>
          <cell r="D2407">
            <v>0</v>
          </cell>
          <cell r="E2407">
            <v>0</v>
          </cell>
        </row>
        <row r="2408">
          <cell r="B2408">
            <v>0</v>
          </cell>
          <cell r="D2408">
            <v>0</v>
          </cell>
          <cell r="E2408">
            <v>0</v>
          </cell>
        </row>
        <row r="2409">
          <cell r="B2409">
            <v>0</v>
          </cell>
          <cell r="D2409">
            <v>0</v>
          </cell>
          <cell r="E2409">
            <v>0</v>
          </cell>
        </row>
        <row r="2410">
          <cell r="B2410">
            <v>0</v>
          </cell>
          <cell r="D2410">
            <v>0</v>
          </cell>
          <cell r="E2410">
            <v>0</v>
          </cell>
        </row>
        <row r="2416">
          <cell r="B2416">
            <v>0</v>
          </cell>
          <cell r="D2416">
            <v>0</v>
          </cell>
          <cell r="E2416">
            <v>0</v>
          </cell>
        </row>
        <row r="2417">
          <cell r="B2417">
            <v>0</v>
          </cell>
          <cell r="D2417">
            <v>0</v>
          </cell>
          <cell r="E2417">
            <v>0</v>
          </cell>
        </row>
        <row r="2418">
          <cell r="B2418">
            <v>0</v>
          </cell>
          <cell r="D2418">
            <v>0</v>
          </cell>
          <cell r="E2418">
            <v>1</v>
          </cell>
        </row>
        <row r="2419">
          <cell r="B2419">
            <v>0</v>
          </cell>
          <cell r="D2419">
            <v>0</v>
          </cell>
          <cell r="E2419">
            <v>0</v>
          </cell>
        </row>
        <row r="2420">
          <cell r="B2420">
            <v>0</v>
          </cell>
          <cell r="D2420">
            <v>0</v>
          </cell>
          <cell r="E2420">
            <v>0</v>
          </cell>
        </row>
        <row r="2421">
          <cell r="B2421">
            <v>0</v>
          </cell>
          <cell r="D2421">
            <v>0</v>
          </cell>
          <cell r="E2421">
            <v>0</v>
          </cell>
        </row>
        <row r="2422">
          <cell r="B2422">
            <v>0</v>
          </cell>
          <cell r="D2422">
            <v>0</v>
          </cell>
          <cell r="E2422">
            <v>0</v>
          </cell>
        </row>
        <row r="2423">
          <cell r="B2423">
            <v>0</v>
          </cell>
          <cell r="D2423">
            <v>0</v>
          </cell>
          <cell r="E2423">
            <v>0</v>
          </cell>
        </row>
        <row r="2424">
          <cell r="B2424">
            <v>0</v>
          </cell>
          <cell r="D2424">
            <v>0</v>
          </cell>
          <cell r="E2424">
            <v>0</v>
          </cell>
        </row>
        <row r="2434">
          <cell r="B2434">
            <v>0</v>
          </cell>
          <cell r="D2434">
            <v>0</v>
          </cell>
          <cell r="E2434">
            <v>0</v>
          </cell>
        </row>
        <row r="2435">
          <cell r="B2435">
            <v>2</v>
          </cell>
          <cell r="D2435">
            <v>0</v>
          </cell>
          <cell r="E2435">
            <v>4</v>
          </cell>
        </row>
        <row r="2436">
          <cell r="B2436">
            <v>0</v>
          </cell>
          <cell r="D2436">
            <v>0</v>
          </cell>
          <cell r="E2436">
            <v>1</v>
          </cell>
        </row>
        <row r="2437">
          <cell r="B2437">
            <v>0</v>
          </cell>
          <cell r="D2437">
            <v>0</v>
          </cell>
          <cell r="E2437">
            <v>0</v>
          </cell>
        </row>
        <row r="2438">
          <cell r="B2438">
            <v>1</v>
          </cell>
          <cell r="D2438">
            <v>0</v>
          </cell>
          <cell r="E2438">
            <v>4</v>
          </cell>
        </row>
        <row r="2439">
          <cell r="B2439">
            <v>1</v>
          </cell>
          <cell r="D2439">
            <v>0</v>
          </cell>
          <cell r="E2439">
            <v>2</v>
          </cell>
        </row>
        <row r="2440">
          <cell r="B2440">
            <v>0</v>
          </cell>
          <cell r="D2440">
            <v>0</v>
          </cell>
          <cell r="E2440">
            <v>0</v>
          </cell>
        </row>
        <row r="2441">
          <cell r="B2441">
            <v>0</v>
          </cell>
          <cell r="D2441">
            <v>0</v>
          </cell>
          <cell r="E2441">
            <v>0</v>
          </cell>
        </row>
        <row r="2442">
          <cell r="B2442">
            <v>0</v>
          </cell>
          <cell r="D2442">
            <v>0</v>
          </cell>
          <cell r="E2442">
            <v>0</v>
          </cell>
        </row>
        <row r="2443">
          <cell r="B2443">
            <v>0</v>
          </cell>
          <cell r="D2443">
            <v>0</v>
          </cell>
          <cell r="E2443">
            <v>0</v>
          </cell>
        </row>
        <row r="2444">
          <cell r="B2444">
            <v>0</v>
          </cell>
          <cell r="D2444">
            <v>0</v>
          </cell>
          <cell r="E2444">
            <v>0</v>
          </cell>
        </row>
        <row r="2445">
          <cell r="B2445">
            <v>2</v>
          </cell>
          <cell r="D2445">
            <v>0</v>
          </cell>
          <cell r="E2445">
            <v>4</v>
          </cell>
        </row>
        <row r="2446">
          <cell r="B2446">
            <v>0</v>
          </cell>
          <cell r="D2446">
            <v>0</v>
          </cell>
          <cell r="E2446">
            <v>0</v>
          </cell>
        </row>
        <row r="2447">
          <cell r="B2447">
            <v>0</v>
          </cell>
          <cell r="D2447">
            <v>0</v>
          </cell>
          <cell r="E2447">
            <v>0</v>
          </cell>
        </row>
        <row r="2448">
          <cell r="B2448">
            <v>0</v>
          </cell>
          <cell r="D2448">
            <v>0</v>
          </cell>
          <cell r="E2448">
            <v>0</v>
          </cell>
        </row>
        <row r="2449">
          <cell r="B2449">
            <v>0</v>
          </cell>
          <cell r="D2449">
            <v>0</v>
          </cell>
          <cell r="E2449">
            <v>0</v>
          </cell>
        </row>
        <row r="2450">
          <cell r="B2450">
            <v>1</v>
          </cell>
          <cell r="D2450">
            <v>0</v>
          </cell>
          <cell r="E2450">
            <v>7</v>
          </cell>
        </row>
        <row r="2451">
          <cell r="B2451">
            <v>0</v>
          </cell>
          <cell r="D2451">
            <v>0</v>
          </cell>
          <cell r="E2451">
            <v>0</v>
          </cell>
        </row>
        <row r="2452">
          <cell r="B2452">
            <v>0</v>
          </cell>
          <cell r="D2452">
            <v>0</v>
          </cell>
          <cell r="E2452">
            <v>0</v>
          </cell>
        </row>
        <row r="2453">
          <cell r="B2453">
            <v>1</v>
          </cell>
          <cell r="D2453">
            <v>0</v>
          </cell>
          <cell r="E2453">
            <v>19</v>
          </cell>
        </row>
        <row r="2454">
          <cell r="B2454">
            <v>19</v>
          </cell>
          <cell r="D2454">
            <v>3</v>
          </cell>
          <cell r="E2454">
            <v>47</v>
          </cell>
        </row>
        <row r="2455">
          <cell r="B2455">
            <v>0</v>
          </cell>
          <cell r="D2455">
            <v>0</v>
          </cell>
          <cell r="E2455">
            <v>1</v>
          </cell>
        </row>
        <row r="2456">
          <cell r="B2456">
            <v>0</v>
          </cell>
          <cell r="D2456">
            <v>0</v>
          </cell>
          <cell r="E2456">
            <v>0</v>
          </cell>
        </row>
        <row r="2457">
          <cell r="B2457">
            <v>0</v>
          </cell>
          <cell r="D2457">
            <v>0</v>
          </cell>
          <cell r="E2457">
            <v>0</v>
          </cell>
        </row>
        <row r="2458">
          <cell r="B2458">
            <v>1</v>
          </cell>
          <cell r="D2458">
            <v>0</v>
          </cell>
          <cell r="E2458">
            <v>1</v>
          </cell>
        </row>
        <row r="2459">
          <cell r="B2459">
            <v>0</v>
          </cell>
          <cell r="D2459">
            <v>0</v>
          </cell>
          <cell r="E2459">
            <v>0</v>
          </cell>
        </row>
        <row r="2460">
          <cell r="B2460">
            <v>3</v>
          </cell>
          <cell r="D2460">
            <v>0</v>
          </cell>
          <cell r="E2460">
            <v>4</v>
          </cell>
        </row>
        <row r="2461">
          <cell r="B2461">
            <v>0</v>
          </cell>
          <cell r="D2461">
            <v>0</v>
          </cell>
          <cell r="E2461">
            <v>0</v>
          </cell>
        </row>
        <row r="2462">
          <cell r="B2462">
            <v>1</v>
          </cell>
          <cell r="D2462">
            <v>0</v>
          </cell>
          <cell r="E2462">
            <v>2</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PM"/>
    </sheetNames>
    <definedNames>
      <definedName name="ColRTransferBtn"/>
    </defined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A.Fowler" id="{368F4811-F19A-4AD5-A6A5-FF971F647A59}" userId="A.Fowler" providerId="None"/>
  <person displayName="Marlene Bellman" id="{A33805DC-14EC-4744-8ABC-C0D5D48C939F}" userId="Marlene Bellman" providerId="None"/>
  <person displayName="Marlene Bellman" id="{D56B89DC-B5EA-4850-B790-FF6A9ECBAB2C}" userId="S-1-5-21-1456422598-649268237-1544898942-664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9" dT="2019-04-30T17:51:00.54" personId="{A33805DC-14EC-4744-8ABC-C0D5D48C939F}" id="{2FAFF71F-243C-4EB7-97D3-ED37299AD4D7}">
    <text>Note: The Area 10 Test fishery catch is already accounted for in the Area 10 TR and Area 10 NT net fishery results from the model run (see Tami formulas + Input_Harvestnew).</text>
  </threadedComment>
</ThreadedComments>
</file>

<file path=xl/threadedComments/threadedComment2.xml><?xml version="1.0" encoding="utf-8"?>
<ThreadedComments xmlns="http://schemas.microsoft.com/office/spreadsheetml/2018/threadedcomments" xmlns:x="http://schemas.openxmlformats.org/spreadsheetml/2006/main">
  <threadedComment ref="B56" dT="2020-03-18T08:27:55.05" personId="{D56B89DC-B5EA-4850-B790-FF6A9ECBAB2C}" id="{A8DC141D-6B07-487B-885D-D10B69B838D8}">
    <text>Grant Kirby/SSIT 4/13/21 
Fishery input for Cascade SSIT setnet fishery, quota = XXXX.  Utilizing the Cascade River Sport fishery wild encounter rate (13.4% see cell note C37, based on creel data (1997-2000) derived calculation (B. Barkdull 3/21/19)) to calculate wild impacts.</text>
  </threadedComment>
</ThreadedComments>
</file>

<file path=xl/threadedComments/threadedComment3.xml><?xml version="1.0" encoding="utf-8"?>
<ThreadedComments xmlns="http://schemas.microsoft.com/office/spreadsheetml/2018/threadedcomments" xmlns:x="http://schemas.openxmlformats.org/spreadsheetml/2006/main">
  <threadedComment ref="H279" dT="2022-03-15T01:05:10.76" personId="{368F4811-F19A-4AD5-A6A5-FF971F647A59}" id="{E025BB75-AC08-477C-A99F-016149410A6A}">
    <text>AF Updated this row.</text>
  </threadedComment>
  <threadedComment ref="H280" dT="2022-03-15T01:05:10.76" personId="{368F4811-F19A-4AD5-A6A5-FF971F647A59}" id="{0693D06D-9169-4778-90A2-9E8F422C0D79}">
    <text>AF Updated this row.</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3.xml"/><Relationship Id="rId1" Type="http://schemas.openxmlformats.org/officeDocument/2006/relationships/printerSettings" Target="../printerSettings/printerSettings30.bin"/><Relationship Id="rId4" Type="http://schemas.openxmlformats.org/officeDocument/2006/relationships/comments" Target="../comments18.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4.xml"/><Relationship Id="rId1" Type="http://schemas.openxmlformats.org/officeDocument/2006/relationships/printerSettings" Target="../printerSettings/printerSettings33.bin"/><Relationship Id="rId5" Type="http://schemas.openxmlformats.org/officeDocument/2006/relationships/comments" Target="../comments20.xml"/><Relationship Id="rId4" Type="http://schemas.openxmlformats.org/officeDocument/2006/relationships/ctrlProp" Target="../ctrlProps/ctrlProp1.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8">
    <tabColor rgb="FFC00000"/>
  </sheetPr>
  <dimension ref="B2:D49"/>
  <sheetViews>
    <sheetView showGridLines="0" zoomScale="90" zoomScaleNormal="90" workbookViewId="0">
      <selection activeCell="A20" sqref="A20"/>
    </sheetView>
  </sheetViews>
  <sheetFormatPr defaultRowHeight="12.75" x14ac:dyDescent="0.2"/>
  <cols>
    <col min="1" max="2" width="30.5703125" customWidth="1"/>
    <col min="3" max="3" width="33.5703125" customWidth="1"/>
    <col min="4" max="4" width="135.85546875" customWidth="1"/>
  </cols>
  <sheetData>
    <row r="2" spans="2:4" ht="25.35" customHeight="1" x14ac:dyDescent="0.2">
      <c r="B2" s="1940" t="s">
        <v>0</v>
      </c>
      <c r="C2" s="1940" t="s">
        <v>1</v>
      </c>
      <c r="D2" s="180"/>
    </row>
    <row r="3" spans="2:4" ht="25.35" customHeight="1" x14ac:dyDescent="0.2">
      <c r="B3" s="484" t="s">
        <v>2</v>
      </c>
      <c r="C3" s="858" t="s">
        <v>3</v>
      </c>
    </row>
    <row r="4" spans="2:4" ht="25.35" customHeight="1" x14ac:dyDescent="0.2">
      <c r="B4" s="484" t="s">
        <v>4</v>
      </c>
      <c r="C4" s="858" t="s">
        <v>3</v>
      </c>
    </row>
    <row r="5" spans="2:4" ht="25.35" customHeight="1" x14ac:dyDescent="0.2">
      <c r="B5" s="484" t="s">
        <v>5</v>
      </c>
      <c r="C5" s="858" t="s">
        <v>3</v>
      </c>
    </row>
    <row r="6" spans="2:4" ht="25.35" customHeight="1" x14ac:dyDescent="0.2">
      <c r="B6" s="484" t="s">
        <v>6</v>
      </c>
      <c r="C6" s="858" t="s">
        <v>3</v>
      </c>
    </row>
    <row r="7" spans="2:4" ht="25.35" customHeight="1" x14ac:dyDescent="0.2">
      <c r="B7" s="484" t="s">
        <v>7</v>
      </c>
      <c r="C7" s="858" t="s">
        <v>3</v>
      </c>
    </row>
    <row r="8" spans="2:4" ht="25.35" customHeight="1" x14ac:dyDescent="0.2">
      <c r="B8" s="484" t="s">
        <v>8</v>
      </c>
      <c r="C8" s="858" t="s">
        <v>3</v>
      </c>
    </row>
    <row r="9" spans="2:4" ht="25.35" customHeight="1" x14ac:dyDescent="0.2">
      <c r="B9" s="484" t="s">
        <v>9</v>
      </c>
      <c r="C9" s="858" t="s">
        <v>3</v>
      </c>
    </row>
    <row r="10" spans="2:4" ht="102" x14ac:dyDescent="0.2">
      <c r="B10" s="1994">
        <v>1</v>
      </c>
      <c r="C10" s="1995" t="s">
        <v>10</v>
      </c>
      <c r="D10" s="1379" t="s">
        <v>11</v>
      </c>
    </row>
    <row r="11" spans="2:4" ht="76.5" x14ac:dyDescent="0.2">
      <c r="B11" s="1994">
        <v>2</v>
      </c>
      <c r="C11" s="1995" t="s">
        <v>12</v>
      </c>
      <c r="D11" s="1379" t="s">
        <v>13</v>
      </c>
    </row>
    <row r="12" spans="2:4" ht="25.5" x14ac:dyDescent="0.2">
      <c r="B12" s="1994">
        <v>4</v>
      </c>
      <c r="C12" s="1995" t="s">
        <v>14</v>
      </c>
      <c r="D12" s="180" t="s">
        <v>15</v>
      </c>
    </row>
    <row r="13" spans="2:4" ht="25.5" x14ac:dyDescent="0.2">
      <c r="B13" s="1994">
        <v>7</v>
      </c>
      <c r="C13" s="1995" t="s">
        <v>16</v>
      </c>
      <c r="D13" s="180" t="s">
        <v>17</v>
      </c>
    </row>
    <row r="14" spans="2:4" ht="25.5" x14ac:dyDescent="0.2">
      <c r="B14" s="1994" t="s">
        <v>18</v>
      </c>
      <c r="C14" s="1995" t="s">
        <v>19</v>
      </c>
      <c r="D14" s="180" t="s">
        <v>20</v>
      </c>
    </row>
    <row r="15" spans="2:4" ht="25.35" customHeight="1" x14ac:dyDescent="0.2">
      <c r="B15" s="1994" t="s">
        <v>21</v>
      </c>
      <c r="C15" s="1996"/>
      <c r="D15" s="180" t="s">
        <v>22</v>
      </c>
    </row>
    <row r="16" spans="2:4" ht="25.35" customHeight="1" x14ac:dyDescent="0.2">
      <c r="B16" s="1994" t="s">
        <v>23</v>
      </c>
      <c r="C16" s="1996"/>
      <c r="D16" s="180" t="s">
        <v>24</v>
      </c>
    </row>
    <row r="17" spans="2:4" ht="76.5" x14ac:dyDescent="0.2">
      <c r="B17" s="1994" t="s">
        <v>25</v>
      </c>
      <c r="C17" s="1995" t="s">
        <v>26</v>
      </c>
      <c r="D17" s="1379" t="s">
        <v>27</v>
      </c>
    </row>
    <row r="18" spans="2:4" ht="25.35" customHeight="1" x14ac:dyDescent="0.2">
      <c r="B18" s="1994" t="s">
        <v>28</v>
      </c>
      <c r="C18" s="1996"/>
      <c r="D18" s="1009" t="s">
        <v>29</v>
      </c>
    </row>
    <row r="19" spans="2:4" ht="25.35" customHeight="1" x14ac:dyDescent="0.2">
      <c r="B19" s="1994" t="s">
        <v>30</v>
      </c>
      <c r="C19" s="1997" t="s">
        <v>31</v>
      </c>
      <c r="D19" s="1009" t="s">
        <v>32</v>
      </c>
    </row>
    <row r="20" spans="2:4" ht="25.35" customHeight="1" x14ac:dyDescent="0.2">
      <c r="B20" s="1994" t="s">
        <v>33</v>
      </c>
      <c r="C20" s="1996"/>
      <c r="D20" s="180" t="s">
        <v>22</v>
      </c>
    </row>
    <row r="21" spans="2:4" ht="25.5" x14ac:dyDescent="0.2">
      <c r="B21" s="1994" t="s">
        <v>34</v>
      </c>
      <c r="C21" s="1995" t="s">
        <v>35</v>
      </c>
      <c r="D21" s="1379" t="s">
        <v>36</v>
      </c>
    </row>
    <row r="22" spans="2:4" ht="25.35" customHeight="1" x14ac:dyDescent="0.2">
      <c r="B22" s="1994" t="s">
        <v>37</v>
      </c>
      <c r="C22" s="1996"/>
      <c r="D22" s="180" t="s">
        <v>22</v>
      </c>
    </row>
    <row r="23" spans="2:4" ht="204" x14ac:dyDescent="0.2">
      <c r="B23" s="1994" t="s">
        <v>38</v>
      </c>
      <c r="C23" s="1995" t="s">
        <v>39</v>
      </c>
      <c r="D23" s="1379" t="s">
        <v>40</v>
      </c>
    </row>
    <row r="24" spans="2:4" ht="25.35" customHeight="1" x14ac:dyDescent="0.2">
      <c r="B24" s="1998" t="s">
        <v>41</v>
      </c>
      <c r="C24" s="1999"/>
      <c r="D24" s="180" t="s">
        <v>42</v>
      </c>
    </row>
    <row r="25" spans="2:4" ht="25.35" customHeight="1" x14ac:dyDescent="0.2">
      <c r="B25" s="1994" t="s">
        <v>43</v>
      </c>
      <c r="C25" s="1996"/>
      <c r="D25" s="1379" t="s">
        <v>22</v>
      </c>
    </row>
    <row r="26" spans="2:4" ht="38.25" x14ac:dyDescent="0.2">
      <c r="B26" s="1994" t="s">
        <v>44</v>
      </c>
      <c r="C26" s="1995" t="s">
        <v>45</v>
      </c>
      <c r="D26" s="180" t="s">
        <v>46</v>
      </c>
    </row>
    <row r="27" spans="2:4" ht="63.75" x14ac:dyDescent="0.2">
      <c r="B27" s="1994" t="s">
        <v>47</v>
      </c>
      <c r="C27" s="1995" t="s">
        <v>48</v>
      </c>
      <c r="D27" s="1379" t="s">
        <v>49</v>
      </c>
    </row>
    <row r="28" spans="2:4" ht="51" x14ac:dyDescent="0.2">
      <c r="B28" s="1994" t="s">
        <v>50</v>
      </c>
      <c r="C28" s="1995" t="s">
        <v>51</v>
      </c>
      <c r="D28" s="1379" t="s">
        <v>52</v>
      </c>
    </row>
    <row r="29" spans="2:4" ht="114.75" x14ac:dyDescent="0.2">
      <c r="B29" s="1994" t="s">
        <v>53</v>
      </c>
      <c r="C29" s="1995" t="s">
        <v>54</v>
      </c>
      <c r="D29" s="1379" t="s">
        <v>55</v>
      </c>
    </row>
    <row r="30" spans="2:4" ht="25.35" customHeight="1" x14ac:dyDescent="0.2">
      <c r="B30" s="1994" t="s">
        <v>56</v>
      </c>
      <c r="C30" s="1996"/>
      <c r="D30" s="180" t="s">
        <v>22</v>
      </c>
    </row>
    <row r="31" spans="2:4" ht="25.35" customHeight="1" x14ac:dyDescent="0.2">
      <c r="B31" s="1994" t="s">
        <v>57</v>
      </c>
      <c r="C31" s="1996"/>
      <c r="D31" s="180" t="s">
        <v>22</v>
      </c>
    </row>
    <row r="32" spans="2:4" ht="25.35" customHeight="1" x14ac:dyDescent="0.2">
      <c r="B32" s="1994" t="s">
        <v>58</v>
      </c>
      <c r="C32" s="1996"/>
      <c r="D32" s="180" t="s">
        <v>22</v>
      </c>
    </row>
    <row r="33" spans="2:4" ht="25.35" customHeight="1" x14ac:dyDescent="0.2">
      <c r="B33" s="1994" t="s">
        <v>59</v>
      </c>
      <c r="C33" s="1996"/>
      <c r="D33" s="180" t="s">
        <v>22</v>
      </c>
    </row>
    <row r="34" spans="2:4" ht="25.35" customHeight="1" x14ac:dyDescent="0.2">
      <c r="B34" s="484" t="s">
        <v>60</v>
      </c>
      <c r="C34" s="858" t="s">
        <v>3</v>
      </c>
    </row>
    <row r="35" spans="2:4" ht="25.35" customHeight="1" x14ac:dyDescent="0.2">
      <c r="B35" s="1994" t="s">
        <v>61</v>
      </c>
      <c r="C35" s="1997" t="s">
        <v>62</v>
      </c>
      <c r="D35" s="180" t="s">
        <v>63</v>
      </c>
    </row>
    <row r="36" spans="2:4" ht="25.35" customHeight="1" x14ac:dyDescent="0.2">
      <c r="B36" s="1994" t="s">
        <v>64</v>
      </c>
      <c r="C36" s="1997" t="s">
        <v>65</v>
      </c>
      <c r="D36" s="180" t="s">
        <v>66</v>
      </c>
    </row>
    <row r="37" spans="2:4" ht="89.25" x14ac:dyDescent="0.2">
      <c r="B37" s="1994" t="s">
        <v>67</v>
      </c>
      <c r="C37" s="1995" t="s">
        <v>68</v>
      </c>
      <c r="D37" s="1379" t="s">
        <v>69</v>
      </c>
    </row>
    <row r="38" spans="2:4" ht="25.35" customHeight="1" x14ac:dyDescent="0.2">
      <c r="B38" s="1994" t="s">
        <v>70</v>
      </c>
      <c r="C38" s="1996"/>
      <c r="D38" s="180" t="s">
        <v>22</v>
      </c>
    </row>
    <row r="39" spans="2:4" ht="25.5" x14ac:dyDescent="0.2">
      <c r="B39" s="1994" t="s">
        <v>71</v>
      </c>
      <c r="C39" s="1995" t="s">
        <v>72</v>
      </c>
      <c r="D39" s="180" t="s">
        <v>73</v>
      </c>
    </row>
    <row r="40" spans="2:4" ht="25.35" customHeight="1" x14ac:dyDescent="0.2">
      <c r="B40" s="1994" t="s">
        <v>74</v>
      </c>
      <c r="C40" s="1996"/>
      <c r="D40" s="180" t="s">
        <v>22</v>
      </c>
    </row>
    <row r="41" spans="2:4" ht="25.35" customHeight="1" x14ac:dyDescent="0.2">
      <c r="B41" s="1994" t="s">
        <v>75</v>
      </c>
      <c r="C41" s="1997" t="s">
        <v>62</v>
      </c>
      <c r="D41" s="180" t="s">
        <v>76</v>
      </c>
    </row>
    <row r="42" spans="2:4" ht="25.35" customHeight="1" x14ac:dyDescent="0.2">
      <c r="B42" s="484" t="s">
        <v>77</v>
      </c>
      <c r="C42" s="858" t="s">
        <v>3</v>
      </c>
    </row>
    <row r="43" spans="2:4" ht="25.35" customHeight="1" x14ac:dyDescent="0.2">
      <c r="B43" s="484" t="s">
        <v>78</v>
      </c>
      <c r="C43" s="858" t="s">
        <v>3</v>
      </c>
    </row>
    <row r="44" spans="2:4" ht="25.35" customHeight="1" x14ac:dyDescent="0.2">
      <c r="B44" s="484" t="s">
        <v>79</v>
      </c>
      <c r="C44" s="858" t="s">
        <v>3</v>
      </c>
    </row>
    <row r="45" spans="2:4" ht="25.35" customHeight="1" x14ac:dyDescent="0.2">
      <c r="B45" s="484" t="s">
        <v>80</v>
      </c>
      <c r="C45" s="858" t="s">
        <v>3</v>
      </c>
    </row>
    <row r="46" spans="2:4" ht="25.35" customHeight="1" x14ac:dyDescent="0.2">
      <c r="B46" s="484" t="s">
        <v>81</v>
      </c>
      <c r="C46" s="858" t="s">
        <v>3</v>
      </c>
    </row>
    <row r="47" spans="2:4" ht="25.35" customHeight="1" x14ac:dyDescent="0.2">
      <c r="B47" s="484" t="s">
        <v>82</v>
      </c>
      <c r="C47" s="858" t="s">
        <v>3</v>
      </c>
    </row>
    <row r="48" spans="2:4" ht="25.35" customHeight="1" x14ac:dyDescent="0.2">
      <c r="B48" s="484" t="s">
        <v>83</v>
      </c>
      <c r="C48" s="858" t="s">
        <v>3</v>
      </c>
    </row>
    <row r="49" spans="2:3" ht="25.35" customHeight="1" x14ac:dyDescent="0.2">
      <c r="B49" s="484" t="s">
        <v>84</v>
      </c>
      <c r="C49" s="858" t="s">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0">
    <tabColor rgb="FF000000"/>
  </sheetPr>
  <dimension ref="A1:H38"/>
  <sheetViews>
    <sheetView zoomScale="85" zoomScaleNormal="85" workbookViewId="0">
      <pane ySplit="1" topLeftCell="A2" activePane="bottomLeft" state="frozen"/>
      <selection activeCell="H1" sqref="H1"/>
      <selection pane="bottomLeft" activeCell="A48" sqref="A48"/>
    </sheetView>
  </sheetViews>
  <sheetFormatPr defaultColWidth="11.28515625" defaultRowHeight="18.75" x14ac:dyDescent="0.3"/>
  <cols>
    <col min="1" max="1" width="52.85546875" style="665" bestFit="1" customWidth="1"/>
    <col min="2" max="2" width="165.28515625" style="662" customWidth="1"/>
    <col min="3" max="16384" width="11.28515625" style="661"/>
  </cols>
  <sheetData>
    <row r="1" spans="1:8" x14ac:dyDescent="0.3">
      <c r="A1" s="1914" t="s">
        <v>85</v>
      </c>
      <c r="B1" s="1915"/>
      <c r="C1" s="1916"/>
      <c r="D1" s="1916"/>
      <c r="E1" s="660"/>
      <c r="F1" s="660"/>
      <c r="G1" s="660"/>
      <c r="H1" s="660"/>
    </row>
    <row r="2" spans="1:8" x14ac:dyDescent="0.3">
      <c r="A2" s="664">
        <v>1</v>
      </c>
      <c r="B2" s="662" t="s">
        <v>86</v>
      </c>
    </row>
    <row r="3" spans="1:8" x14ac:dyDescent="0.3">
      <c r="A3" s="664">
        <v>2</v>
      </c>
      <c r="B3" s="663" t="s">
        <v>87</v>
      </c>
    </row>
    <row r="4" spans="1:8" x14ac:dyDescent="0.3">
      <c r="A4" s="664">
        <v>4</v>
      </c>
      <c r="B4" s="662" t="s">
        <v>88</v>
      </c>
    </row>
    <row r="5" spans="1:8" x14ac:dyDescent="0.3">
      <c r="A5" s="664">
        <v>7</v>
      </c>
      <c r="B5" s="663" t="s">
        <v>89</v>
      </c>
    </row>
    <row r="6" spans="1:8" x14ac:dyDescent="0.3">
      <c r="A6" s="664" t="s">
        <v>18</v>
      </c>
      <c r="B6" s="662" t="s">
        <v>90</v>
      </c>
    </row>
    <row r="7" spans="1:8" x14ac:dyDescent="0.3">
      <c r="A7" s="664" t="s">
        <v>21</v>
      </c>
      <c r="B7" s="662" t="s">
        <v>91</v>
      </c>
    </row>
    <row r="8" spans="1:8" x14ac:dyDescent="0.3">
      <c r="A8" s="666" t="s">
        <v>23</v>
      </c>
      <c r="B8" s="662" t="s">
        <v>92</v>
      </c>
    </row>
    <row r="9" spans="1:8" x14ac:dyDescent="0.3">
      <c r="A9" s="666" t="s">
        <v>25</v>
      </c>
      <c r="B9" s="662" t="s">
        <v>93</v>
      </c>
    </row>
    <row r="10" spans="1:8" x14ac:dyDescent="0.3">
      <c r="A10" s="666" t="s">
        <v>28</v>
      </c>
      <c r="B10" s="662" t="s">
        <v>94</v>
      </c>
    </row>
    <row r="11" spans="1:8" x14ac:dyDescent="0.3">
      <c r="A11" s="666" t="s">
        <v>30</v>
      </c>
      <c r="B11" s="662" t="s">
        <v>95</v>
      </c>
    </row>
    <row r="12" spans="1:8" x14ac:dyDescent="0.3">
      <c r="A12" s="666" t="s">
        <v>33</v>
      </c>
      <c r="B12" s="662" t="s">
        <v>96</v>
      </c>
    </row>
    <row r="13" spans="1:8" x14ac:dyDescent="0.3">
      <c r="A13" s="666" t="s">
        <v>34</v>
      </c>
      <c r="B13" s="662" t="s">
        <v>97</v>
      </c>
    </row>
    <row r="14" spans="1:8" x14ac:dyDescent="0.3">
      <c r="A14" s="666" t="s">
        <v>37</v>
      </c>
      <c r="B14" s="662" t="s">
        <v>98</v>
      </c>
    </row>
    <row r="15" spans="1:8" x14ac:dyDescent="0.3">
      <c r="A15" s="666" t="s">
        <v>38</v>
      </c>
      <c r="B15" s="662" t="s">
        <v>99</v>
      </c>
    </row>
    <row r="16" spans="1:8" x14ac:dyDescent="0.3">
      <c r="A16" s="666" t="s">
        <v>43</v>
      </c>
      <c r="B16" s="662" t="s">
        <v>100</v>
      </c>
    </row>
    <row r="17" spans="1:2" x14ac:dyDescent="0.3">
      <c r="A17" s="666" t="s">
        <v>44</v>
      </c>
      <c r="B17" s="662" t="s">
        <v>101</v>
      </c>
    </row>
    <row r="18" spans="1:2" x14ac:dyDescent="0.3">
      <c r="A18" s="666" t="s">
        <v>50</v>
      </c>
      <c r="B18" s="662" t="s">
        <v>102</v>
      </c>
    </row>
    <row r="19" spans="1:2" x14ac:dyDescent="0.3">
      <c r="A19" s="666" t="s">
        <v>47</v>
      </c>
      <c r="B19" s="662" t="s">
        <v>103</v>
      </c>
    </row>
    <row r="20" spans="1:2" x14ac:dyDescent="0.3">
      <c r="A20" s="666" t="s">
        <v>53</v>
      </c>
      <c r="B20" s="662" t="s">
        <v>104</v>
      </c>
    </row>
    <row r="21" spans="1:2" x14ac:dyDescent="0.3">
      <c r="A21" s="666" t="s">
        <v>56</v>
      </c>
      <c r="B21" s="662" t="s">
        <v>105</v>
      </c>
    </row>
    <row r="22" spans="1:2" x14ac:dyDescent="0.3">
      <c r="A22" s="666" t="s">
        <v>57</v>
      </c>
      <c r="B22" s="662" t="s">
        <v>106</v>
      </c>
    </row>
    <row r="23" spans="1:2" x14ac:dyDescent="0.3">
      <c r="A23" s="666" t="s">
        <v>58</v>
      </c>
      <c r="B23" s="662" t="s">
        <v>107</v>
      </c>
    </row>
    <row r="24" spans="1:2" x14ac:dyDescent="0.3">
      <c r="A24" s="666" t="s">
        <v>59</v>
      </c>
      <c r="B24" s="662" t="s">
        <v>108</v>
      </c>
    </row>
    <row r="25" spans="1:2" x14ac:dyDescent="0.3">
      <c r="A25" s="948" t="s">
        <v>60</v>
      </c>
      <c r="B25" s="662" t="s">
        <v>109</v>
      </c>
    </row>
    <row r="26" spans="1:2" x14ac:dyDescent="0.3">
      <c r="A26" s="666" t="s">
        <v>61</v>
      </c>
      <c r="B26" s="662" t="s">
        <v>110</v>
      </c>
    </row>
    <row r="27" spans="1:2" x14ac:dyDescent="0.3">
      <c r="A27" s="666" t="s">
        <v>64</v>
      </c>
      <c r="B27" s="662" t="s">
        <v>111</v>
      </c>
    </row>
    <row r="28" spans="1:2" x14ac:dyDescent="0.3">
      <c r="A28" s="666" t="s">
        <v>67</v>
      </c>
      <c r="B28" s="662" t="s">
        <v>111</v>
      </c>
    </row>
    <row r="29" spans="1:2" x14ac:dyDescent="0.3">
      <c r="A29" s="666" t="s">
        <v>70</v>
      </c>
      <c r="B29" s="662" t="s">
        <v>112</v>
      </c>
    </row>
    <row r="30" spans="1:2" x14ac:dyDescent="0.3">
      <c r="A30" s="666" t="s">
        <v>71</v>
      </c>
      <c r="B30" s="662" t="s">
        <v>112</v>
      </c>
    </row>
    <row r="31" spans="1:2" x14ac:dyDescent="0.3">
      <c r="A31" s="666" t="s">
        <v>74</v>
      </c>
      <c r="B31" s="662" t="s">
        <v>112</v>
      </c>
    </row>
    <row r="32" spans="1:2" x14ac:dyDescent="0.3">
      <c r="A32" s="666" t="s">
        <v>75</v>
      </c>
      <c r="B32" s="662" t="s">
        <v>112</v>
      </c>
    </row>
    <row r="33" spans="1:2" x14ac:dyDescent="0.3">
      <c r="A33" s="666" t="s">
        <v>77</v>
      </c>
      <c r="B33" s="662" t="s">
        <v>113</v>
      </c>
    </row>
    <row r="34" spans="1:2" x14ac:dyDescent="0.3">
      <c r="A34" s="666" t="s">
        <v>78</v>
      </c>
      <c r="B34" s="662" t="s">
        <v>114</v>
      </c>
    </row>
    <row r="35" spans="1:2" x14ac:dyDescent="0.3">
      <c r="A35" s="1156" t="s">
        <v>115</v>
      </c>
      <c r="B35" s="662" t="s">
        <v>116</v>
      </c>
    </row>
    <row r="36" spans="1:2" x14ac:dyDescent="0.3">
      <c r="A36" s="1156" t="s">
        <v>83</v>
      </c>
      <c r="B36" s="662" t="s">
        <v>117</v>
      </c>
    </row>
    <row r="37" spans="1:2" x14ac:dyDescent="0.3">
      <c r="A37" s="1156" t="s">
        <v>84</v>
      </c>
      <c r="B37" s="662" t="s">
        <v>118</v>
      </c>
    </row>
    <row r="38" spans="1:2" x14ac:dyDescent="0.3">
      <c r="A38" s="1156" t="s">
        <v>119</v>
      </c>
      <c r="B38" s="662" t="s">
        <v>120</v>
      </c>
    </row>
  </sheetData>
  <hyperlinks>
    <hyperlink ref="A2" location="'1'!Print_Area" display="'1'!Print_Area" xr:uid="{00000000-0004-0000-0100-000000000000}"/>
    <hyperlink ref="A3" location="'2'!Print_Area" display="'2'!Print_Area" xr:uid="{00000000-0004-0000-0100-000001000000}"/>
    <hyperlink ref="A4" location="'4'!Print_Area" display="'4'!Print_Area" xr:uid="{00000000-0004-0000-0100-000002000000}"/>
    <hyperlink ref="A5" location="'7'!Print_Area" display="'7'!Print_Area" xr:uid="{00000000-0004-0000-0100-000003000000}"/>
    <hyperlink ref="A6" location="Sk!Print_Area" display="Sk" xr:uid="{00000000-0004-0000-0100-000004000000}"/>
    <hyperlink ref="A7" location="StSn!Print_Area" display="StSn" xr:uid="{00000000-0004-0000-0100-000005000000}"/>
    <hyperlink ref="A8" location="HdC!Print_Area" display="HdC" xr:uid="{00000000-0004-0000-0100-000006000000}"/>
    <hyperlink ref="A9" location="SPS!Print_Area" display="SPS" xr:uid="{00000000-0004-0000-0100-000007000000}"/>
    <hyperlink ref="A10" location="NS!Print_Area" display="NS" xr:uid="{00000000-0004-0000-0100-000008000000}"/>
    <hyperlink ref="A11" location="JDF!Print_Area" display="JDF" xr:uid="{00000000-0004-0000-0100-000009000000}"/>
    <hyperlink ref="A12" location="PFMCTable7!Print_Area" display="PFMCTable7" xr:uid="{00000000-0004-0000-0100-00000A000000}"/>
    <hyperlink ref="A13" location="WACoastTerminal!Print_Area" display="WACoastTerminal" xr:uid="{00000000-0004-0000-0100-00000B000000}"/>
    <hyperlink ref="A14" location="Thompson!Print_Area" display="Thompson" xr:uid="{00000000-0004-0000-0100-00000C000000}"/>
    <hyperlink ref="A15" location="Input_Harvestnew!Print_Area" display="Input_Harvestnew" xr:uid="{00000000-0004-0000-0100-00000D000000}"/>
    <hyperlink ref="A16" location="Tami!Print_Area" display="Tami" xr:uid="{00000000-0004-0000-0100-00000E000000}"/>
    <hyperlink ref="A17" location="FishSumAllPRN!Print_Area" display="FishSumAllPRN" xr:uid="{00000000-0004-0000-0100-00000F000000}"/>
    <hyperlink ref="A18" location="Table2PRN!Print_Area" display="Table2PRN" xr:uid="{00000000-0004-0000-0100-000010000000}"/>
    <hyperlink ref="A19" location="StockSumPRN!Print_Area" display="StockSumPRN" xr:uid="{00000000-0004-0000-0100-000011000000}"/>
    <hyperlink ref="A20" location="TRunsPRN!Print_Area" display="TRunsPRN" xr:uid="{00000000-0004-0000-0100-000012000000}"/>
    <hyperlink ref="A21" location="LandedCNRTMbyTP!Print_Area" display="LandedCNRTMbyTP" xr:uid="{00000000-0004-0000-0100-000013000000}"/>
    <hyperlink ref="A22" location="FisheryConvTemplate!Print_Titles" display="FisheryConvTemplate" xr:uid="{00000000-0004-0000-0100-000014000000}"/>
    <hyperlink ref="A23" location="'NT-Tsummary'!Print_Area" display="NT-Tsummary" xr:uid="{00000000-0004-0000-0100-000015000000}"/>
    <hyperlink ref="A24" location="PS_HatcheryEsc.!Print_Area" display="PS_HatcheryEsc." xr:uid="{00000000-0004-0000-0100-000016000000}"/>
    <hyperlink ref="A25" location="Documentation!A1" display="Documentation" xr:uid="{00000000-0004-0000-0100-000017000000}"/>
    <hyperlink ref="A26" location="fram_unm_mrkprn!Print_Area" display="fram_unm_mrkprn" xr:uid="{00000000-0004-0000-0100-000018000000}"/>
    <hyperlink ref="A27" location="FramScalarsOPIstyle!Print_Area" display="FramScalarsOPIstyle" xr:uid="{00000000-0004-0000-0100-000019000000}"/>
    <hyperlink ref="A28" location="'ColR&amp;OCN&amp;RogKlam'!Print_Area" display="ColR&amp;OCN&amp;RogKlam" xr:uid="{00000000-0004-0000-0100-00001A000000}"/>
    <hyperlink ref="A29" location="ColRPercent!Print_Area" display="ColRPercent" xr:uid="{00000000-0004-0000-0100-00001B000000}"/>
    <hyperlink ref="A30" location="ColRHarvestInput!Print_Area" display="ColRHarvestInput" xr:uid="{00000000-0004-0000-0100-00001C000000}"/>
    <hyperlink ref="A31" location="AttachC!Print_Area" display="AttachC" xr:uid="{00000000-0004-0000-0100-00001D000000}"/>
    <hyperlink ref="A32" location="AttachCStkInput!Print_Area" display="AttachCStkInput" xr:uid="{00000000-0004-0000-0100-00001E000000}"/>
    <hyperlink ref="A34" location="RunLog!A1" display="RunLog" xr:uid="{00000000-0004-0000-0100-00001F000000}"/>
    <hyperlink ref="A33" location="SportMatrix!A1" display="SportMatrix" xr:uid="{00000000-0004-0000-0100-000020000000}"/>
    <hyperlink ref="A36" location="CohoStock_Reference!A1" display="Stock_Reference" xr:uid="{00000000-0004-0000-0100-000021000000}"/>
    <hyperlink ref="A37" location="CohoFishery_Reference!A1" display="Fishery_Reference" xr:uid="{00000000-0004-0000-0100-000022000000}"/>
    <hyperlink ref="A38" location="TAAETRSList18_Reference!A1" display="TAAETRSList18_Reference!A1" xr:uid="{00000000-0004-0000-0100-000023000000}"/>
    <hyperlink ref="A35" location="Preseason2021_Tracking!A1" display="Preseason2021_Tracking" xr:uid="{00000000-0004-0000-0100-000024000000}"/>
  </hyperlink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ransitionEvaluation="1" transitionEntry="1" codeName="Sheet1">
    <pageSetUpPr fitToPage="1"/>
  </sheetPr>
  <dimension ref="A1:O163"/>
  <sheetViews>
    <sheetView zoomScale="70" zoomScaleNormal="70" workbookViewId="0">
      <selection activeCell="L2" sqref="L2:L3"/>
    </sheetView>
  </sheetViews>
  <sheetFormatPr defaultColWidth="12.5703125" defaultRowHeight="15" x14ac:dyDescent="0.2"/>
  <cols>
    <col min="1" max="1" width="22.5703125" style="2" customWidth="1"/>
    <col min="2" max="2" width="9.140625" style="2" customWidth="1"/>
    <col min="3" max="4" width="11.28515625" style="2" customWidth="1"/>
    <col min="5" max="8" width="12.5703125" style="2"/>
    <col min="9" max="9" width="20" style="2" customWidth="1"/>
    <col min="10" max="10" width="12.5703125" style="2"/>
    <col min="11" max="11" width="8.28515625" style="2" customWidth="1"/>
    <col min="12" max="12" width="15.5703125" style="2" customWidth="1"/>
    <col min="13" max="14" width="12.5703125" style="2"/>
    <col min="15" max="15" width="12.85546875" style="2" bestFit="1" customWidth="1"/>
    <col min="16" max="16384" width="12.5703125" style="2"/>
  </cols>
  <sheetData>
    <row r="1" spans="1:14" ht="15.75" x14ac:dyDescent="0.25">
      <c r="A1" s="1" t="s">
        <v>121</v>
      </c>
      <c r="K1" s="6"/>
      <c r="L1" s="1496"/>
    </row>
    <row r="2" spans="1:14" x14ac:dyDescent="0.2">
      <c r="A2" s="2" t="s">
        <v>122</v>
      </c>
      <c r="C2" s="2" t="str">
        <f>Input_Harvestnew!$B$3</f>
        <v>bc-Coho2229</v>
      </c>
      <c r="F2" s="7"/>
      <c r="I2" s="7"/>
      <c r="L2" s="545">
        <v>44663.592256944445</v>
      </c>
      <c r="N2" s="545">
        <f ca="1">NOW()</f>
        <v>44773.562242245367</v>
      </c>
    </row>
    <row r="3" spans="1:14" x14ac:dyDescent="0.2">
      <c r="A3" s="2" t="s">
        <v>123</v>
      </c>
      <c r="C3" s="2" t="str">
        <f>Input_Harvestnew!$B$4</f>
        <v>Final PFMC April - Adopted+NOF</v>
      </c>
      <c r="L3" s="546">
        <v>44663.592256944445</v>
      </c>
      <c r="N3" s="546">
        <f ca="1">NOW()</f>
        <v>44773.562242245367</v>
      </c>
    </row>
    <row r="4" spans="1:14" x14ac:dyDescent="0.2">
      <c r="A4" s="2" t="s">
        <v>124</v>
      </c>
    </row>
    <row r="5" spans="1:14" ht="12.6" customHeight="1" x14ac:dyDescent="0.2">
      <c r="A5" s="6" t="s">
        <v>125</v>
      </c>
      <c r="B5" s="6" t="s">
        <v>125</v>
      </c>
      <c r="C5" s="6" t="s">
        <v>125</v>
      </c>
      <c r="D5" s="6" t="s">
        <v>125</v>
      </c>
      <c r="E5" s="6" t="s">
        <v>125</v>
      </c>
      <c r="F5" s="6" t="s">
        <v>125</v>
      </c>
      <c r="G5" s="6" t="s">
        <v>125</v>
      </c>
      <c r="H5" s="6" t="s">
        <v>125</v>
      </c>
      <c r="I5" s="6" t="s">
        <v>125</v>
      </c>
      <c r="J5" s="6" t="s">
        <v>125</v>
      </c>
      <c r="K5" s="6" t="s">
        <v>125</v>
      </c>
      <c r="L5" s="6" t="s">
        <v>125</v>
      </c>
    </row>
    <row r="6" spans="1:14" x14ac:dyDescent="0.2">
      <c r="A6" s="2" t="s">
        <v>126</v>
      </c>
      <c r="C6" s="2" t="s">
        <v>127</v>
      </c>
      <c r="E6" s="7" t="s">
        <v>128</v>
      </c>
    </row>
    <row r="7" spans="1:14" ht="11.1" customHeight="1" x14ac:dyDescent="0.2">
      <c r="A7" s="6" t="s">
        <v>129</v>
      </c>
      <c r="B7" s="6" t="s">
        <v>129</v>
      </c>
      <c r="C7" s="6" t="s">
        <v>129</v>
      </c>
      <c r="D7" s="6" t="s">
        <v>129</v>
      </c>
      <c r="E7" s="6" t="s">
        <v>129</v>
      </c>
      <c r="F7" s="6" t="s">
        <v>129</v>
      </c>
      <c r="G7" s="6" t="s">
        <v>129</v>
      </c>
      <c r="H7" s="6" t="s">
        <v>129</v>
      </c>
      <c r="I7" s="6" t="s">
        <v>129</v>
      </c>
      <c r="J7" s="6" t="s">
        <v>129</v>
      </c>
      <c r="K7" s="6" t="s">
        <v>129</v>
      </c>
      <c r="L7" s="6" t="s">
        <v>129</v>
      </c>
    </row>
    <row r="8" spans="1:14" ht="16.5" x14ac:dyDescent="0.25">
      <c r="A8" s="1212" t="s">
        <v>130</v>
      </c>
      <c r="B8" s="1212"/>
      <c r="C8" s="1212"/>
      <c r="D8" s="1212"/>
      <c r="E8" s="1359"/>
    </row>
    <row r="9" spans="1:14" ht="16.5" x14ac:dyDescent="0.25">
      <c r="A9" s="1213" t="s">
        <v>131</v>
      </c>
      <c r="B9" s="1212"/>
      <c r="C9" s="1214">
        <f>SUM(FishSumAllPRN!G1021:G1022)</f>
        <v>10329</v>
      </c>
      <c r="D9" s="1215"/>
      <c r="E9" s="1360"/>
      <c r="G9" s="19"/>
      <c r="H9" s="1362"/>
    </row>
    <row r="10" spans="1:14" ht="16.5" x14ac:dyDescent="0.25">
      <c r="A10" s="1213" t="s">
        <v>132</v>
      </c>
      <c r="B10" s="1212"/>
      <c r="C10" s="1216">
        <f>SUM(FishSumAllPRN!G1032)</f>
        <v>0</v>
      </c>
      <c r="D10" s="1215"/>
      <c r="E10" s="1360"/>
      <c r="G10" s="19"/>
      <c r="H10" s="1362"/>
    </row>
    <row r="11" spans="1:14" ht="16.5" x14ac:dyDescent="0.25">
      <c r="A11" s="1213" t="s">
        <v>133</v>
      </c>
      <c r="B11" s="1212"/>
      <c r="C11" s="1216">
        <f>SUM(FishSumAllPRN!G1036,FishSumAllPRN!G1038:G1039)</f>
        <v>29877</v>
      </c>
      <c r="D11" s="1215"/>
      <c r="E11" s="1360"/>
      <c r="G11" s="19"/>
      <c r="H11" s="1362"/>
    </row>
    <row r="12" spans="1:14" ht="16.5" x14ac:dyDescent="0.25">
      <c r="A12" s="1213" t="s">
        <v>134</v>
      </c>
      <c r="B12" s="1212"/>
      <c r="C12" s="1216">
        <f>SUM(FishSumAllPRN!G1023)</f>
        <v>0</v>
      </c>
      <c r="D12" s="1215"/>
      <c r="E12" s="1360"/>
      <c r="G12" s="19"/>
      <c r="H12" s="1362"/>
    </row>
    <row r="13" spans="1:14" ht="9.6" customHeight="1" x14ac:dyDescent="0.25">
      <c r="A13" s="1212"/>
      <c r="B13" s="1212"/>
      <c r="C13" s="1212"/>
      <c r="D13" s="1215"/>
      <c r="E13" s="1212"/>
      <c r="G13" s="19"/>
      <c r="H13" s="1"/>
      <c r="I13" s="1"/>
      <c r="J13" s="1"/>
      <c r="K13" s="1"/>
      <c r="L13" s="1"/>
    </row>
    <row r="14" spans="1:14" ht="16.5" x14ac:dyDescent="0.25">
      <c r="A14" s="1212" t="s">
        <v>135</v>
      </c>
      <c r="B14" s="1212"/>
      <c r="C14" s="1216">
        <f>SUM(FishSumAllPRN!G850:G855,FishSumAllPRN!G862:G869)</f>
        <v>164234</v>
      </c>
      <c r="D14" s="1215"/>
      <c r="E14" s="2423" t="s">
        <v>7511</v>
      </c>
      <c r="G14" s="19"/>
      <c r="H14" s="1361"/>
      <c r="I14" s="1"/>
      <c r="J14" s="1"/>
      <c r="K14" s="1"/>
      <c r="L14" s="1"/>
    </row>
    <row r="15" spans="1:14" ht="8.85" customHeight="1" x14ac:dyDescent="0.25">
      <c r="A15" s="1212"/>
      <c r="B15" s="1212"/>
      <c r="C15" s="1212"/>
      <c r="D15" s="1215"/>
      <c r="E15" s="1215"/>
      <c r="G15" s="19"/>
      <c r="H15" s="1"/>
      <c r="I15" s="343"/>
      <c r="J15" s="343"/>
      <c r="K15" s="343"/>
      <c r="L15" s="343"/>
    </row>
    <row r="16" spans="1:14" ht="16.5" x14ac:dyDescent="0.25">
      <c r="A16" s="1212" t="s">
        <v>136</v>
      </c>
      <c r="B16" s="1212"/>
      <c r="C16" s="1212"/>
      <c r="D16" s="1215"/>
      <c r="E16" s="1215"/>
      <c r="G16" s="1362"/>
      <c r="H16" s="1363"/>
      <c r="I16" s="1363"/>
      <c r="J16" s="1363"/>
      <c r="K16" s="1363"/>
      <c r="L16" s="1363"/>
    </row>
    <row r="17" spans="1:15" ht="16.5" x14ac:dyDescent="0.25">
      <c r="A17" s="1212" t="s">
        <v>137</v>
      </c>
      <c r="B17" s="1212"/>
      <c r="C17" s="1216">
        <f>SUM(FishSumAllPRN!G883,FishSumAllPRN!G886,FishSumAllPRN!G890)</f>
        <v>55380</v>
      </c>
      <c r="D17" s="1215"/>
      <c r="E17" s="2423" t="s">
        <v>7512</v>
      </c>
      <c r="G17" s="19"/>
      <c r="H17" s="1364"/>
      <c r="I17" s="35"/>
      <c r="J17" s="1364"/>
      <c r="K17" s="1364"/>
      <c r="L17" s="1363"/>
    </row>
    <row r="18" spans="1:15" ht="16.5" x14ac:dyDescent="0.25">
      <c r="A18" s="1213" t="s">
        <v>138</v>
      </c>
      <c r="B18" s="1212"/>
      <c r="C18" s="1216">
        <f>SUM(FishSumAllPRN!G882,FishSumAllPRN!G881,FishSumAllPRN!G885,FishSumAllPRN!G889)</f>
        <v>44756</v>
      </c>
      <c r="D18" s="1215"/>
      <c r="E18" s="2423" t="s">
        <v>7513</v>
      </c>
      <c r="G18" s="19"/>
      <c r="H18" s="1365"/>
      <c r="I18" s="1363"/>
      <c r="J18" s="1363"/>
      <c r="K18" s="1363"/>
      <c r="L18" s="1363"/>
      <c r="O18" s="629"/>
    </row>
    <row r="19" spans="1:15" ht="16.5" x14ac:dyDescent="0.25">
      <c r="A19" s="1213" t="s">
        <v>139</v>
      </c>
      <c r="B19" s="1212"/>
      <c r="C19" s="1216">
        <f>SUM(FishSumAllPRN!G880,FishSumAllPRN!G884,FishSumAllPRN!G887:G888)</f>
        <v>198715</v>
      </c>
      <c r="D19" s="1215"/>
      <c r="E19" s="2423" t="s">
        <v>7514</v>
      </c>
      <c r="G19" s="19"/>
      <c r="H19" s="1362"/>
      <c r="I19" s="368"/>
      <c r="J19" s="368"/>
      <c r="K19" s="368"/>
      <c r="L19" s="1363"/>
      <c r="O19" s="629"/>
    </row>
    <row r="20" spans="1:15" ht="16.5" x14ac:dyDescent="0.25">
      <c r="A20" s="1212" t="s">
        <v>140</v>
      </c>
      <c r="B20" s="1212"/>
      <c r="C20" s="1217">
        <f>C18+C19</f>
        <v>243471</v>
      </c>
      <c r="D20" s="1215"/>
      <c r="E20" s="1215"/>
      <c r="G20" s="19"/>
      <c r="H20" s="368"/>
      <c r="I20" s="368"/>
      <c r="J20" s="368"/>
      <c r="K20" s="368"/>
      <c r="L20" s="368"/>
    </row>
    <row r="21" spans="1:15" ht="16.5" x14ac:dyDescent="0.25">
      <c r="A21" s="1213" t="s">
        <v>141</v>
      </c>
      <c r="B21" s="1212"/>
      <c r="C21" s="1214">
        <v>0</v>
      </c>
      <c r="D21" s="1215"/>
      <c r="E21" s="2424" t="s">
        <v>142</v>
      </c>
      <c r="G21" s="19"/>
      <c r="H21" s="1366"/>
    </row>
    <row r="22" spans="1:15" ht="16.5" x14ac:dyDescent="0.25">
      <c r="A22" s="1212" t="s">
        <v>143</v>
      </c>
      <c r="B22" s="1212"/>
      <c r="C22" s="1214">
        <v>50</v>
      </c>
      <c r="D22" s="1215"/>
      <c r="E22" s="2424" t="s">
        <v>144</v>
      </c>
      <c r="G22" s="19"/>
      <c r="H22" s="1366"/>
    </row>
    <row r="23" spans="1:15" ht="16.5" x14ac:dyDescent="0.25">
      <c r="A23" s="1213" t="s">
        <v>145</v>
      </c>
      <c r="B23" s="1212"/>
      <c r="C23" s="1216">
        <f>SUM(FishSumAllPRN!G870)</f>
        <v>65601</v>
      </c>
      <c r="D23" s="1215"/>
      <c r="E23" s="2423" t="s">
        <v>7515</v>
      </c>
      <c r="G23" s="19"/>
    </row>
    <row r="24" spans="1:15" ht="8.1" customHeight="1" x14ac:dyDescent="0.2">
      <c r="D24" s="19"/>
      <c r="E24" s="19"/>
      <c r="G24" s="19"/>
    </row>
    <row r="25" spans="1:15" ht="16.5" x14ac:dyDescent="0.25">
      <c r="A25" s="1212" t="s">
        <v>146</v>
      </c>
      <c r="B25" s="1212"/>
      <c r="C25" s="1212"/>
      <c r="D25" s="19"/>
      <c r="E25" s="19"/>
      <c r="G25" s="19"/>
    </row>
    <row r="26" spans="1:15" ht="16.5" x14ac:dyDescent="0.25">
      <c r="A26" s="1212" t="s">
        <v>147</v>
      </c>
      <c r="B26" s="1212"/>
      <c r="C26" s="1218">
        <f>SUM(FishSumAllPRN!G891,FishSumAllPRN!F890)</f>
        <v>412</v>
      </c>
      <c r="D26" s="1212" t="s">
        <v>7519</v>
      </c>
      <c r="G26" s="19"/>
    </row>
    <row r="27" spans="1:15" ht="8.85" customHeight="1" x14ac:dyDescent="0.25">
      <c r="A27" s="1212"/>
      <c r="B27" s="1212"/>
      <c r="C27" s="1218"/>
      <c r="D27" s="1357"/>
      <c r="E27" s="1358"/>
      <c r="F27" s="19"/>
      <c r="G27" s="19"/>
    </row>
    <row r="28" spans="1:15" ht="31.35" customHeight="1" x14ac:dyDescent="0.25">
      <c r="A28" s="1212" t="s">
        <v>148</v>
      </c>
      <c r="B28" s="1213" t="s">
        <v>149</v>
      </c>
      <c r="C28" s="1218">
        <f>SUM(FishSumAllPRN!G938)</f>
        <v>23032</v>
      </c>
      <c r="D28" s="2435" t="s">
        <v>150</v>
      </c>
      <c r="E28" s="2435"/>
      <c r="F28" s="2435"/>
      <c r="G28" s="2435"/>
      <c r="H28" s="2435"/>
      <c r="I28" s="2435"/>
      <c r="J28" s="2435"/>
      <c r="K28" s="2435"/>
      <c r="L28" s="2435"/>
    </row>
    <row r="29" spans="1:15" ht="20.85" customHeight="1" x14ac:dyDescent="0.25">
      <c r="A29" s="1212"/>
      <c r="B29" s="1213" t="s">
        <v>151</v>
      </c>
      <c r="C29" s="1218">
        <f>SUM(FishSumAllPRN!G939)</f>
        <v>8373</v>
      </c>
      <c r="D29" s="2430" t="s">
        <v>152</v>
      </c>
      <c r="E29" s="2430"/>
      <c r="F29" s="2430"/>
      <c r="G29" s="2430"/>
      <c r="H29" s="2430"/>
      <c r="I29" s="2430"/>
      <c r="J29" s="2430"/>
      <c r="K29" s="2430"/>
      <c r="L29" s="2430"/>
    </row>
    <row r="30" spans="1:15" ht="14.1" customHeight="1" x14ac:dyDescent="0.25">
      <c r="A30" s="1212"/>
      <c r="B30" s="1213"/>
      <c r="C30" s="1218"/>
      <c r="D30" s="2431"/>
      <c r="E30" s="2431"/>
      <c r="F30" s="2431"/>
      <c r="G30" s="2431"/>
      <c r="H30" s="2431"/>
      <c r="I30" s="2431"/>
      <c r="J30" s="2431"/>
      <c r="K30" s="2431"/>
      <c r="L30" s="2431"/>
      <c r="O30" s="1221"/>
    </row>
    <row r="31" spans="1:15" ht="13.5" customHeight="1" x14ac:dyDescent="0.25">
      <c r="A31" s="1212"/>
      <c r="B31" s="1213"/>
      <c r="C31" s="1218"/>
      <c r="D31" s="2435"/>
      <c r="E31" s="2435"/>
      <c r="F31" s="2435"/>
      <c r="G31" s="2435"/>
      <c r="H31" s="2435"/>
      <c r="I31" s="2435"/>
      <c r="J31" s="2435"/>
      <c r="K31" s="2435"/>
      <c r="L31" s="2435"/>
      <c r="O31" s="1221"/>
    </row>
    <row r="32" spans="1:15" ht="16.5" customHeight="1" x14ac:dyDescent="0.25">
      <c r="A32" s="1213"/>
      <c r="B32" s="1213" t="s">
        <v>153</v>
      </c>
      <c r="C32" s="1218">
        <f>SUM(FishSumAllPRN!G940)</f>
        <v>5720</v>
      </c>
      <c r="D32" s="2430" t="s">
        <v>154</v>
      </c>
      <c r="E32" s="2430"/>
      <c r="F32" s="2430"/>
      <c r="G32" s="2430"/>
      <c r="H32" s="2430"/>
      <c r="I32" s="2430"/>
      <c r="J32" s="2430"/>
      <c r="K32" s="2430"/>
      <c r="L32" s="2430"/>
    </row>
    <row r="33" spans="1:15" ht="15" customHeight="1" x14ac:dyDescent="0.25">
      <c r="A33" s="1212"/>
      <c r="B33" s="1213"/>
      <c r="C33" s="1218"/>
      <c r="D33" s="2431"/>
      <c r="E33" s="2431"/>
      <c r="F33" s="2431"/>
      <c r="G33" s="2431"/>
      <c r="H33" s="2431"/>
      <c r="I33" s="2431"/>
      <c r="J33" s="2431"/>
      <c r="K33" s="2431"/>
      <c r="L33" s="2431"/>
      <c r="O33" s="1221"/>
    </row>
    <row r="34" spans="1:15" ht="16.5" hidden="1" customHeight="1" x14ac:dyDescent="0.25">
      <c r="A34" s="1212"/>
      <c r="B34" s="1213"/>
      <c r="C34" s="1218"/>
      <c r="D34" s="2431"/>
      <c r="E34" s="2431"/>
      <c r="F34" s="2431"/>
      <c r="G34" s="2431"/>
      <c r="H34" s="2431"/>
      <c r="I34" s="2431"/>
      <c r="J34" s="2431"/>
      <c r="K34" s="2431"/>
      <c r="L34" s="2431"/>
      <c r="O34" s="1221"/>
    </row>
    <row r="35" spans="1:15" ht="16.5" x14ac:dyDescent="0.25">
      <c r="A35" s="1212"/>
      <c r="B35" s="1213"/>
      <c r="C35" s="1218"/>
      <c r="D35" s="2435"/>
      <c r="E35" s="2435"/>
      <c r="F35" s="2435"/>
      <c r="G35" s="2435"/>
      <c r="H35" s="2435"/>
      <c r="I35" s="2435"/>
      <c r="J35" s="2435"/>
      <c r="K35" s="2435"/>
      <c r="L35" s="2435"/>
      <c r="O35" s="1221"/>
    </row>
    <row r="36" spans="1:15" ht="16.5" hidden="1" x14ac:dyDescent="0.25">
      <c r="A36" s="1212"/>
      <c r="B36" s="1213"/>
      <c r="C36" s="1218"/>
      <c r="D36" s="2425"/>
      <c r="E36" s="2426"/>
      <c r="F36" s="2426"/>
      <c r="G36" s="2426"/>
      <c r="H36" s="2426"/>
      <c r="I36" s="2426"/>
      <c r="J36" s="2426"/>
      <c r="K36" s="2426"/>
      <c r="L36" s="2426"/>
    </row>
    <row r="37" spans="1:15" ht="16.5" hidden="1" x14ac:dyDescent="0.25">
      <c r="A37" s="1212"/>
      <c r="B37" s="1213"/>
      <c r="C37" s="1218"/>
      <c r="D37" s="2427"/>
      <c r="E37" s="2428"/>
      <c r="F37" s="2428"/>
      <c r="G37" s="2428"/>
      <c r="H37" s="2428"/>
      <c r="I37" s="2428"/>
      <c r="J37" s="2428"/>
      <c r="K37" s="2428"/>
      <c r="L37" s="2426"/>
    </row>
    <row r="38" spans="1:15" ht="16.5" x14ac:dyDescent="0.25">
      <c r="A38" s="1212"/>
      <c r="B38" s="1213" t="s">
        <v>155</v>
      </c>
      <c r="C38" s="1219">
        <f>SUM(FishSumAllPRN!G953)</f>
        <v>3016</v>
      </c>
      <c r="D38" s="2436" t="s">
        <v>156</v>
      </c>
      <c r="E38" s="2436"/>
      <c r="F38" s="2436"/>
      <c r="G38" s="2436"/>
      <c r="H38" s="2436"/>
      <c r="I38" s="2436"/>
      <c r="J38" s="2436"/>
      <c r="K38" s="2436"/>
      <c r="L38" s="2436"/>
    </row>
    <row r="39" spans="1:15" ht="16.5" hidden="1" x14ac:dyDescent="0.25">
      <c r="A39" s="1212"/>
      <c r="B39" s="1213"/>
      <c r="C39" s="1218"/>
      <c r="D39" s="2427"/>
      <c r="E39" s="2428"/>
      <c r="F39" s="2428"/>
      <c r="G39" s="2428"/>
      <c r="H39" s="2428"/>
      <c r="I39" s="2428"/>
      <c r="J39" s="2428"/>
      <c r="K39" s="2428"/>
      <c r="L39" s="2426"/>
    </row>
    <row r="40" spans="1:15" ht="16.5" x14ac:dyDescent="0.25">
      <c r="A40" s="1212"/>
      <c r="B40" s="1213" t="s">
        <v>157</v>
      </c>
      <c r="C40" s="1219">
        <f>SUM(FishSumAllPRN!G962)</f>
        <v>4681</v>
      </c>
      <c r="D40" s="2437" t="s">
        <v>158</v>
      </c>
      <c r="E40" s="2437"/>
      <c r="F40" s="2437"/>
      <c r="G40" s="2437"/>
      <c r="H40" s="2437"/>
      <c r="I40" s="2437"/>
      <c r="J40" s="2437"/>
      <c r="K40" s="2437"/>
      <c r="L40" s="2437"/>
    </row>
    <row r="41" spans="1:15" ht="16.5" x14ac:dyDescent="0.25">
      <c r="A41" s="1212"/>
      <c r="B41" s="1213"/>
      <c r="C41" s="1218"/>
      <c r="D41" s="2438"/>
      <c r="E41" s="2438"/>
      <c r="F41" s="2438"/>
      <c r="G41" s="2438"/>
      <c r="H41" s="2438"/>
      <c r="I41" s="2438"/>
      <c r="J41" s="2438"/>
      <c r="K41" s="2438"/>
      <c r="L41" s="2438"/>
    </row>
    <row r="42" spans="1:15" ht="21" customHeight="1" x14ac:dyDescent="0.25">
      <c r="A42" s="1212"/>
      <c r="B42" s="1213" t="s">
        <v>159</v>
      </c>
      <c r="C42" s="1218">
        <f>SUM(FishSumAllPRN!G954)</f>
        <v>12821</v>
      </c>
      <c r="D42" s="2430" t="s">
        <v>160</v>
      </c>
      <c r="E42" s="2430"/>
      <c r="F42" s="2430"/>
      <c r="G42" s="2430"/>
      <c r="H42" s="2430"/>
      <c r="I42" s="2430"/>
      <c r="J42" s="2430"/>
      <c r="K42" s="2430"/>
      <c r="L42" s="2430"/>
    </row>
    <row r="43" spans="1:15" ht="16.5" x14ac:dyDescent="0.25">
      <c r="A43" s="1212"/>
      <c r="B43" s="1213"/>
      <c r="C43" s="1218"/>
      <c r="D43" s="2431"/>
      <c r="E43" s="2431"/>
      <c r="F43" s="2431"/>
      <c r="G43" s="2431"/>
      <c r="H43" s="2431"/>
      <c r="I43" s="2431"/>
      <c r="J43" s="2431"/>
      <c r="K43" s="2431"/>
      <c r="L43" s="2431"/>
      <c r="N43" s="1207"/>
    </row>
    <row r="44" spans="1:15" ht="10.35" customHeight="1" x14ac:dyDescent="0.25">
      <c r="A44" s="1212"/>
      <c r="B44" s="1213"/>
      <c r="C44" s="1218"/>
      <c r="D44" s="2435"/>
      <c r="E44" s="2435"/>
      <c r="F44" s="2435"/>
      <c r="G44" s="2435"/>
      <c r="H44" s="2435"/>
      <c r="I44" s="2435"/>
      <c r="J44" s="2435"/>
      <c r="K44" s="2435"/>
      <c r="L44" s="2435"/>
      <c r="N44" s="1208"/>
    </row>
    <row r="45" spans="1:15" ht="16.5" hidden="1" x14ac:dyDescent="0.25">
      <c r="A45" s="1212"/>
      <c r="B45" s="1213"/>
      <c r="C45" s="1218"/>
      <c r="D45" s="2429"/>
      <c r="E45" s="2429"/>
      <c r="F45" s="2429"/>
      <c r="G45" s="2429"/>
      <c r="H45" s="2429"/>
      <c r="I45" s="2429"/>
      <c r="J45" s="2429"/>
      <c r="K45" s="2429"/>
      <c r="L45" s="2429"/>
      <c r="N45" s="1208"/>
    </row>
    <row r="46" spans="1:15" ht="19.5" customHeight="1" x14ac:dyDescent="0.25">
      <c r="A46" s="1212"/>
      <c r="B46" s="1213" t="s">
        <v>161</v>
      </c>
      <c r="C46" s="1218">
        <f>SUM(FishSumAllPRN!G965)</f>
        <v>25894</v>
      </c>
      <c r="D46" s="2431" t="s">
        <v>162</v>
      </c>
      <c r="E46" s="2431"/>
      <c r="F46" s="2431"/>
      <c r="G46" s="2431"/>
      <c r="H46" s="2431"/>
      <c r="I46" s="2431"/>
      <c r="J46" s="2431"/>
      <c r="K46" s="2431"/>
      <c r="L46" s="2431"/>
    </row>
    <row r="47" spans="1:15" ht="16.5" x14ac:dyDescent="0.25">
      <c r="A47" s="1212"/>
      <c r="B47" s="1213"/>
      <c r="C47" s="1218"/>
      <c r="D47" s="2431"/>
      <c r="E47" s="2431"/>
      <c r="F47" s="2431"/>
      <c r="G47" s="2431"/>
      <c r="H47" s="2431"/>
      <c r="I47" s="2431"/>
      <c r="J47" s="2431"/>
      <c r="K47" s="2431"/>
      <c r="L47" s="2431"/>
      <c r="O47" s="1221"/>
    </row>
    <row r="48" spans="1:15" ht="16.5" hidden="1" customHeight="1" x14ac:dyDescent="0.25">
      <c r="A48" s="1212"/>
      <c r="B48" s="1213"/>
      <c r="C48" s="1218"/>
      <c r="D48" s="2431"/>
      <c r="E48" s="2431"/>
      <c r="F48" s="2431"/>
      <c r="G48" s="2431"/>
      <c r="H48" s="2431"/>
      <c r="I48" s="2431"/>
      <c r="J48" s="2431"/>
      <c r="K48" s="2431"/>
      <c r="L48" s="2431"/>
      <c r="O48" s="1221"/>
    </row>
    <row r="49" spans="1:15" ht="14.1" customHeight="1" x14ac:dyDescent="0.25">
      <c r="A49" s="1212"/>
      <c r="B49" s="1213"/>
      <c r="C49" s="1218"/>
      <c r="D49" s="2431"/>
      <c r="E49" s="2431"/>
      <c r="F49" s="2431"/>
      <c r="G49" s="2431"/>
      <c r="H49" s="2431"/>
      <c r="I49" s="2431"/>
      <c r="J49" s="2431"/>
      <c r="K49" s="2431"/>
      <c r="L49" s="2431"/>
      <c r="O49" s="1222"/>
    </row>
    <row r="50" spans="1:15" ht="11.1" customHeight="1" x14ac:dyDescent="0.25">
      <c r="A50" s="1212"/>
      <c r="B50" s="1213"/>
      <c r="C50" s="1218"/>
      <c r="D50" s="2431"/>
      <c r="E50" s="2431"/>
      <c r="F50" s="2431"/>
      <c r="G50" s="2431"/>
      <c r="H50" s="2431"/>
      <c r="I50" s="2431"/>
      <c r="J50" s="2431"/>
      <c r="K50" s="2431"/>
      <c r="L50" s="2431"/>
      <c r="O50" s="1222"/>
    </row>
    <row r="51" spans="1:15" ht="16.5" x14ac:dyDescent="0.25">
      <c r="A51" s="1212"/>
      <c r="B51" s="1213"/>
      <c r="C51" s="1218"/>
      <c r="D51" s="2435"/>
      <c r="E51" s="2435"/>
      <c r="F51" s="2435"/>
      <c r="G51" s="2435"/>
      <c r="H51" s="2435"/>
      <c r="I51" s="2435"/>
      <c r="J51" s="2435"/>
      <c r="K51" s="2435"/>
      <c r="L51" s="2435"/>
      <c r="O51" s="1222"/>
    </row>
    <row r="52" spans="1:15" ht="16.5" x14ac:dyDescent="0.25">
      <c r="A52" s="1212"/>
      <c r="B52" s="1213" t="s">
        <v>163</v>
      </c>
      <c r="C52" s="1218">
        <f>SUM(FishSumAllPRN!G976)</f>
        <v>4792</v>
      </c>
      <c r="D52" s="2430" t="s">
        <v>164</v>
      </c>
      <c r="E52" s="2430"/>
      <c r="F52" s="2430"/>
      <c r="G52" s="2430"/>
      <c r="H52" s="2430"/>
      <c r="I52" s="2430"/>
      <c r="J52" s="2430"/>
      <c r="K52" s="2430"/>
      <c r="L52" s="2430"/>
    </row>
    <row r="53" spans="1:15" ht="15" customHeight="1" x14ac:dyDescent="0.25">
      <c r="A53" s="1212"/>
      <c r="B53" s="1213"/>
      <c r="C53" s="1218"/>
      <c r="D53" s="2431"/>
      <c r="E53" s="2431"/>
      <c r="F53" s="2431"/>
      <c r="G53" s="2431"/>
      <c r="H53" s="2431"/>
      <c r="I53" s="2431"/>
      <c r="J53" s="2431"/>
      <c r="K53" s="2431"/>
      <c r="L53" s="2431"/>
      <c r="O53" s="1221"/>
    </row>
    <row r="54" spans="1:15" ht="16.5" x14ac:dyDescent="0.25">
      <c r="A54" s="1212"/>
      <c r="B54" s="1213"/>
      <c r="C54" s="1218"/>
      <c r="D54" s="2435"/>
      <c r="E54" s="2435"/>
      <c r="F54" s="2435"/>
      <c r="G54" s="2435"/>
      <c r="H54" s="2435"/>
      <c r="I54" s="2435"/>
      <c r="J54" s="2435"/>
      <c r="K54" s="2435"/>
      <c r="L54" s="2435"/>
      <c r="O54" s="1223"/>
    </row>
    <row r="55" spans="1:15" ht="16.5" x14ac:dyDescent="0.25">
      <c r="A55" s="1212"/>
      <c r="B55" s="1213" t="s">
        <v>165</v>
      </c>
      <c r="C55" s="1218">
        <f>SUM(FishSumAllPRN!G983)</f>
        <v>1058</v>
      </c>
      <c r="D55" s="2430" t="s">
        <v>166</v>
      </c>
      <c r="E55" s="2430"/>
      <c r="F55" s="2430"/>
      <c r="G55" s="2430"/>
      <c r="H55" s="2430"/>
      <c r="I55" s="2430"/>
      <c r="J55" s="2430"/>
      <c r="K55" s="2430"/>
      <c r="L55" s="2430"/>
    </row>
    <row r="56" spans="1:15" ht="15" customHeight="1" x14ac:dyDescent="0.25">
      <c r="A56" s="1212"/>
      <c r="B56" s="1213"/>
      <c r="C56" s="1218"/>
      <c r="D56" s="2431"/>
      <c r="E56" s="2431"/>
      <c r="F56" s="2431"/>
      <c r="G56" s="2431"/>
      <c r="H56" s="2431"/>
      <c r="I56" s="2431"/>
      <c r="J56" s="2431"/>
      <c r="K56" s="2431"/>
      <c r="L56" s="2431"/>
      <c r="O56" s="1221"/>
    </row>
    <row r="57" spans="1:15" ht="16.5" x14ac:dyDescent="0.25">
      <c r="A57" s="1212"/>
      <c r="B57" s="1213"/>
      <c r="C57" s="1218"/>
      <c r="D57" s="2435"/>
      <c r="E57" s="2435"/>
      <c r="F57" s="2435"/>
      <c r="G57" s="2435"/>
      <c r="H57" s="2435"/>
      <c r="I57" s="2435"/>
      <c r="J57" s="2435"/>
      <c r="K57" s="2435"/>
      <c r="L57" s="2435"/>
      <c r="O57" s="1222"/>
    </row>
    <row r="58" spans="1:15" ht="16.5" x14ac:dyDescent="0.25">
      <c r="A58" s="1212"/>
      <c r="B58" s="1213" t="s">
        <v>167</v>
      </c>
      <c r="C58" s="1218">
        <f>SUM(FishSumAllPRN!G999)</f>
        <v>8002</v>
      </c>
      <c r="D58" s="2430" t="s">
        <v>168</v>
      </c>
      <c r="E58" s="2430"/>
      <c r="F58" s="2430"/>
      <c r="G58" s="2430"/>
      <c r="H58" s="2430"/>
      <c r="I58" s="2430"/>
      <c r="J58" s="2430"/>
      <c r="K58" s="2430"/>
      <c r="L58" s="2430"/>
    </row>
    <row r="59" spans="1:15" ht="13.5" customHeight="1" x14ac:dyDescent="0.25">
      <c r="A59" s="1212"/>
      <c r="B59" s="1213"/>
      <c r="C59" s="1218"/>
      <c r="D59" s="2431"/>
      <c r="E59" s="2431"/>
      <c r="F59" s="2431"/>
      <c r="G59" s="2431"/>
      <c r="H59" s="2431"/>
      <c r="I59" s="2431"/>
      <c r="J59" s="2431"/>
      <c r="K59" s="2431"/>
      <c r="L59" s="2431"/>
      <c r="O59" s="1221"/>
    </row>
    <row r="60" spans="1:15" ht="16.5" x14ac:dyDescent="0.25">
      <c r="A60" s="1212"/>
      <c r="B60" s="1213"/>
      <c r="C60" s="1218"/>
      <c r="D60" s="2431"/>
      <c r="E60" s="2431"/>
      <c r="F60" s="2431"/>
      <c r="G60" s="2431"/>
      <c r="H60" s="2431"/>
      <c r="I60" s="2431"/>
      <c r="J60" s="2431"/>
      <c r="K60" s="2431"/>
      <c r="L60" s="2431"/>
      <c r="O60" s="1221"/>
    </row>
    <row r="61" spans="1:15" ht="16.5" x14ac:dyDescent="0.25">
      <c r="A61" s="1212"/>
      <c r="B61" s="1213"/>
      <c r="C61" s="1218"/>
      <c r="D61" s="2431"/>
      <c r="E61" s="2431"/>
      <c r="F61" s="2431"/>
      <c r="G61" s="2431"/>
      <c r="H61" s="2431"/>
      <c r="I61" s="2431"/>
      <c r="J61" s="2431"/>
      <c r="K61" s="2431"/>
      <c r="L61" s="2431"/>
      <c r="O61" s="1222"/>
    </row>
    <row r="62" spans="1:15" ht="16.350000000000001" customHeight="1" x14ac:dyDescent="0.2">
      <c r="B62" s="7"/>
      <c r="C62" s="90"/>
      <c r="D62" s="2431"/>
      <c r="E62" s="2431"/>
      <c r="F62" s="2431"/>
      <c r="G62" s="2431"/>
      <c r="H62" s="2431"/>
      <c r="I62" s="2431"/>
      <c r="J62" s="2431"/>
      <c r="K62" s="2431"/>
      <c r="L62" s="2431"/>
    </row>
    <row r="63" spans="1:15" x14ac:dyDescent="0.2">
      <c r="A63" s="6" t="s">
        <v>129</v>
      </c>
      <c r="B63" s="6" t="s">
        <v>129</v>
      </c>
      <c r="C63" s="6" t="s">
        <v>129</v>
      </c>
      <c r="D63" s="6" t="s">
        <v>129</v>
      </c>
      <c r="E63" s="6" t="s">
        <v>129</v>
      </c>
      <c r="F63" s="6" t="s">
        <v>129</v>
      </c>
      <c r="G63" s="6" t="s">
        <v>129</v>
      </c>
      <c r="H63" s="6" t="s">
        <v>129</v>
      </c>
      <c r="I63" s="6" t="s">
        <v>129</v>
      </c>
      <c r="J63" s="6" t="s">
        <v>129</v>
      </c>
      <c r="K63" s="6" t="s">
        <v>129</v>
      </c>
      <c r="L63" s="6" t="s">
        <v>129</v>
      </c>
    </row>
    <row r="64" spans="1:15" ht="16.5" x14ac:dyDescent="0.25">
      <c r="A64" s="1212" t="s">
        <v>169</v>
      </c>
      <c r="B64" s="1212"/>
      <c r="C64" s="1213" t="s">
        <v>170</v>
      </c>
      <c r="D64" s="1213" t="s">
        <v>171</v>
      </c>
      <c r="E64" s="1213" t="s">
        <v>172</v>
      </c>
      <c r="F64" s="1213" t="s">
        <v>173</v>
      </c>
      <c r="G64" s="1213" t="s">
        <v>174</v>
      </c>
      <c r="J64" s="7"/>
      <c r="K64" s="7"/>
    </row>
    <row r="65" spans="1:12" ht="16.5" x14ac:dyDescent="0.25">
      <c r="A65" s="1212" t="s">
        <v>175</v>
      </c>
      <c r="B65" s="1212"/>
      <c r="C65" s="1216">
        <f>FishSumAllPRN!C927</f>
        <v>0</v>
      </c>
      <c r="D65" s="1216">
        <f>FishSumAllPRN!D927</f>
        <v>0</v>
      </c>
      <c r="E65" s="1216">
        <f>FishSumAllPRN!E927</f>
        <v>0</v>
      </c>
      <c r="F65" s="1216">
        <f>FishSumAllPRN!F927</f>
        <v>0</v>
      </c>
      <c r="G65" s="1217">
        <f>SUM(C65:F65)</f>
        <v>0</v>
      </c>
      <c r="J65" s="20"/>
      <c r="K65" s="20"/>
    </row>
    <row r="66" spans="1:12" ht="16.5" x14ac:dyDescent="0.25">
      <c r="A66" s="1213" t="s">
        <v>176</v>
      </c>
      <c r="B66" s="1212"/>
      <c r="C66" s="930">
        <f>FishSumAllPRN!C928</f>
        <v>35</v>
      </c>
      <c r="D66" s="1216">
        <f>FishSumAllPRN!D928</f>
        <v>367</v>
      </c>
      <c r="E66" s="1216">
        <f>FishSumAllPRN!E928</f>
        <v>213</v>
      </c>
      <c r="F66" s="1216">
        <f>FishSumAllPRN!F928</f>
        <v>2269</v>
      </c>
      <c r="G66" s="1217">
        <f>SUM(C66:F66)</f>
        <v>2884</v>
      </c>
      <c r="J66" s="20"/>
      <c r="K66" s="20"/>
    </row>
    <row r="67" spans="1:12" ht="16.5" x14ac:dyDescent="0.25">
      <c r="A67" s="1212" t="s">
        <v>177</v>
      </c>
      <c r="B67" s="1212"/>
      <c r="C67" s="1216">
        <f>SUM(FishSumAllPRN!C934)</f>
        <v>0</v>
      </c>
      <c r="D67" s="1216">
        <f>SUM(FishSumAllPRN!D934)</f>
        <v>221</v>
      </c>
      <c r="E67" s="1216">
        <f>SUM(FishSumAllPRN!E934)</f>
        <v>2345</v>
      </c>
      <c r="F67" s="1216">
        <f>SUM(FishSumAllPRN!F934)</f>
        <v>4998</v>
      </c>
      <c r="G67" s="1217">
        <f>SUM(C67:F67)</f>
        <v>7564</v>
      </c>
      <c r="J67" s="20"/>
      <c r="K67" s="20"/>
    </row>
    <row r="68" spans="1:12" ht="16.5" x14ac:dyDescent="0.25">
      <c r="A68" s="1213" t="s">
        <v>176</v>
      </c>
      <c r="B68" s="1212"/>
      <c r="C68" s="1216">
        <f>SUM(FishSumAllPRN!C935)</f>
        <v>0</v>
      </c>
      <c r="D68" s="1216">
        <f>SUM(FishSumAllPRN!D935)</f>
        <v>426</v>
      </c>
      <c r="E68" s="1216">
        <f>SUM(FishSumAllPRN!E935)</f>
        <v>1591</v>
      </c>
      <c r="F68" s="1216">
        <f>SUM(FishSumAllPRN!F935)</f>
        <v>4818</v>
      </c>
      <c r="G68" s="1217">
        <f>SUM(C68:F68)</f>
        <v>6835</v>
      </c>
      <c r="J68" s="20"/>
      <c r="K68" s="20"/>
    </row>
    <row r="69" spans="1:12" x14ac:dyDescent="0.2">
      <c r="C69" s="20"/>
      <c r="D69" s="20"/>
      <c r="E69" s="20"/>
      <c r="F69" s="20"/>
      <c r="G69" s="20"/>
      <c r="H69" s="20"/>
    </row>
    <row r="70" spans="1:12" ht="16.5" x14ac:dyDescent="0.25">
      <c r="A70" s="1212" t="s">
        <v>178</v>
      </c>
      <c r="B70" s="1362" t="s">
        <v>7507</v>
      </c>
      <c r="C70" s="19"/>
      <c r="D70" s="852"/>
      <c r="E70" s="1453"/>
      <c r="F70" s="1453"/>
      <c r="G70" s="1453"/>
      <c r="H70" s="1453"/>
      <c r="I70" s="19"/>
      <c r="J70" s="19"/>
      <c r="K70" s="19"/>
      <c r="L70" s="19"/>
    </row>
    <row r="71" spans="1:12" ht="16.5" x14ac:dyDescent="0.25">
      <c r="A71" s="1212" t="s">
        <v>179</v>
      </c>
      <c r="B71" s="1362" t="s">
        <v>7508</v>
      </c>
      <c r="C71" s="19"/>
      <c r="D71" s="852"/>
      <c r="E71" s="19"/>
      <c r="F71" s="19"/>
      <c r="G71" s="19"/>
      <c r="H71" s="19"/>
      <c r="I71" s="19"/>
      <c r="J71" s="19"/>
      <c r="K71" s="19"/>
      <c r="L71" s="19"/>
    </row>
    <row r="72" spans="1:12" ht="16.5" x14ac:dyDescent="0.25">
      <c r="A72" s="1212" t="s">
        <v>180</v>
      </c>
      <c r="B72" s="1362" t="s">
        <v>7509</v>
      </c>
      <c r="C72" s="19"/>
      <c r="D72" s="852"/>
      <c r="E72" s="19"/>
      <c r="F72" s="19"/>
      <c r="G72" s="19"/>
      <c r="H72" s="19"/>
      <c r="I72" s="19"/>
      <c r="J72" s="19"/>
      <c r="K72" s="19"/>
      <c r="L72" s="19"/>
    </row>
    <row r="73" spans="1:12" ht="16.5" x14ac:dyDescent="0.25">
      <c r="A73" s="1212" t="s">
        <v>181</v>
      </c>
      <c r="B73" s="1362" t="s">
        <v>7510</v>
      </c>
      <c r="C73" s="19"/>
      <c r="D73" s="852"/>
      <c r="E73" s="19"/>
      <c r="F73" s="19"/>
      <c r="G73" s="19"/>
      <c r="H73" s="19"/>
      <c r="I73" s="19"/>
      <c r="J73" s="19"/>
      <c r="K73" s="19"/>
      <c r="L73" s="19"/>
    </row>
    <row r="74" spans="1:12" ht="32.85" customHeight="1" x14ac:dyDescent="0.2">
      <c r="A74" s="1220" t="s">
        <v>182</v>
      </c>
      <c r="B74" s="2434" t="s">
        <v>183</v>
      </c>
      <c r="C74" s="2434"/>
      <c r="D74" s="2434"/>
      <c r="E74" s="2434"/>
      <c r="F74" s="2434"/>
      <c r="G74" s="2434"/>
      <c r="H74" s="2434"/>
      <c r="I74" s="2434"/>
      <c r="J74" s="2434"/>
      <c r="K74" s="2434"/>
      <c r="L74" s="2434"/>
    </row>
    <row r="75" spans="1:12" ht="31.35" customHeight="1" x14ac:dyDescent="0.25">
      <c r="A75" s="1212"/>
      <c r="B75" s="2433" t="s">
        <v>184</v>
      </c>
      <c r="C75" s="2433"/>
      <c r="D75" s="2433"/>
      <c r="E75" s="2433"/>
      <c r="F75" s="2433"/>
      <c r="G75" s="2433"/>
      <c r="H75" s="2433"/>
      <c r="I75" s="2433"/>
      <c r="J75" s="2433"/>
      <c r="K75" s="2433"/>
      <c r="L75" s="2433"/>
    </row>
    <row r="76" spans="1:12" ht="31.5" customHeight="1" x14ac:dyDescent="0.2">
      <c r="A76" s="1220" t="s">
        <v>185</v>
      </c>
      <c r="B76" s="2434" t="s">
        <v>186</v>
      </c>
      <c r="C76" s="2434"/>
      <c r="D76" s="2434"/>
      <c r="E76" s="2434"/>
      <c r="F76" s="2434"/>
      <c r="G76" s="2434"/>
      <c r="H76" s="2434"/>
      <c r="I76" s="2434"/>
      <c r="J76" s="2434"/>
      <c r="K76" s="2434"/>
      <c r="L76" s="2434"/>
    </row>
    <row r="77" spans="1:12" ht="30.6" customHeight="1" x14ac:dyDescent="0.25">
      <c r="A77" s="1212"/>
      <c r="B77" s="2433" t="s">
        <v>187</v>
      </c>
      <c r="C77" s="2433"/>
      <c r="D77" s="2433"/>
      <c r="E77" s="2433"/>
      <c r="F77" s="2433"/>
      <c r="G77" s="2433"/>
      <c r="H77" s="2433"/>
      <c r="I77" s="2433"/>
      <c r="J77" s="2433"/>
      <c r="K77" s="2433"/>
      <c r="L77" s="2433"/>
    </row>
    <row r="78" spans="1:12" ht="30.6" customHeight="1" x14ac:dyDescent="0.2">
      <c r="A78" s="1220" t="s">
        <v>188</v>
      </c>
      <c r="B78" s="2432" t="s">
        <v>189</v>
      </c>
      <c r="C78" s="2432"/>
      <c r="D78" s="2432"/>
      <c r="E78" s="2432"/>
      <c r="F78" s="2432"/>
      <c r="G78" s="2432"/>
      <c r="H78" s="2432"/>
      <c r="I78" s="2432"/>
      <c r="J78" s="2432"/>
      <c r="K78" s="2432"/>
      <c r="L78" s="2432"/>
    </row>
    <row r="79" spans="1:12" ht="32.1" customHeight="1" x14ac:dyDescent="0.2">
      <c r="A79" s="924"/>
      <c r="B79" s="2432" t="s">
        <v>190</v>
      </c>
      <c r="C79" s="2432"/>
      <c r="D79" s="2432"/>
      <c r="E79" s="2432"/>
      <c r="F79" s="2432"/>
      <c r="G79" s="2432"/>
      <c r="H79" s="2432"/>
      <c r="I79" s="2432"/>
      <c r="J79" s="2432"/>
      <c r="K79" s="2432"/>
      <c r="L79" s="2432"/>
    </row>
    <row r="80" spans="1:12" x14ac:dyDescent="0.2">
      <c r="A80" s="6" t="s">
        <v>125</v>
      </c>
      <c r="B80" s="6" t="s">
        <v>125</v>
      </c>
      <c r="C80" s="6" t="s">
        <v>125</v>
      </c>
      <c r="D80" s="6" t="s">
        <v>125</v>
      </c>
      <c r="E80" s="6" t="s">
        <v>125</v>
      </c>
      <c r="F80" s="6" t="s">
        <v>125</v>
      </c>
      <c r="G80" s="6" t="s">
        <v>125</v>
      </c>
      <c r="H80" s="6" t="s">
        <v>125</v>
      </c>
      <c r="I80" s="6" t="s">
        <v>125</v>
      </c>
      <c r="J80" s="6" t="s">
        <v>125</v>
      </c>
      <c r="K80" s="6" t="s">
        <v>125</v>
      </c>
      <c r="L80" s="6" t="s">
        <v>125</v>
      </c>
    </row>
    <row r="82" spans="3:3" x14ac:dyDescent="0.2">
      <c r="C82" s="859"/>
    </row>
    <row r="83" spans="3:3" x14ac:dyDescent="0.2">
      <c r="C83" s="859"/>
    </row>
    <row r="84" spans="3:3" x14ac:dyDescent="0.2">
      <c r="C84" s="859"/>
    </row>
    <row r="85" spans="3:3" x14ac:dyDescent="0.2">
      <c r="C85" s="859"/>
    </row>
    <row r="86" spans="3:3" x14ac:dyDescent="0.2">
      <c r="C86" s="859"/>
    </row>
    <row r="87" spans="3:3" x14ac:dyDescent="0.2">
      <c r="C87" s="859"/>
    </row>
    <row r="97" spans="1:1" x14ac:dyDescent="0.2">
      <c r="A97" s="2" t="s">
        <v>191</v>
      </c>
    </row>
    <row r="151" spans="7:12" x14ac:dyDescent="0.2">
      <c r="G151" s="890">
        <f>SPS!D50*C155</f>
        <v>0</v>
      </c>
    </row>
    <row r="152" spans="7:12" x14ac:dyDescent="0.2">
      <c r="G152" s="890">
        <f>SPS!D50*C156</f>
        <v>0</v>
      </c>
    </row>
    <row r="153" spans="7:12" x14ac:dyDescent="0.2">
      <c r="G153" s="890" t="e">
        <f>SPS!C47/G151</f>
        <v>#DIV/0!</v>
      </c>
    </row>
    <row r="154" spans="7:12" x14ac:dyDescent="0.2">
      <c r="G154" s="890" t="e">
        <f>SPS!C47/G152</f>
        <v>#DIV/0!</v>
      </c>
    </row>
    <row r="156" spans="7:12" x14ac:dyDescent="0.2">
      <c r="L156" s="2">
        <f>IF(SPS!BB39="&gt;&gt;&gt;recalc",0,SPS!BB39)</f>
        <v>0</v>
      </c>
    </row>
    <row r="157" spans="7:12" x14ac:dyDescent="0.2">
      <c r="L157" s="20">
        <f>SPS!BB41</f>
        <v>42871.093106447603</v>
      </c>
    </row>
    <row r="158" spans="7:12" x14ac:dyDescent="0.2">
      <c r="L158" s="2">
        <f>SPS!C47</f>
        <v>0</v>
      </c>
    </row>
    <row r="163" spans="13:13" x14ac:dyDescent="0.2">
      <c r="M163" s="890">
        <f>SUM(SPS!Z36:AC36)*(C157/(1-C157))</f>
        <v>0</v>
      </c>
    </row>
  </sheetData>
  <mergeCells count="16">
    <mergeCell ref="D46:L51"/>
    <mergeCell ref="D52:L54"/>
    <mergeCell ref="D55:L57"/>
    <mergeCell ref="D28:L28"/>
    <mergeCell ref="D42:L44"/>
    <mergeCell ref="D29:L31"/>
    <mergeCell ref="D32:L35"/>
    <mergeCell ref="D38:L38"/>
    <mergeCell ref="D40:L41"/>
    <mergeCell ref="D58:L62"/>
    <mergeCell ref="B78:L78"/>
    <mergeCell ref="B77:L77"/>
    <mergeCell ref="B75:L75"/>
    <mergeCell ref="B79:L79"/>
    <mergeCell ref="B74:L74"/>
    <mergeCell ref="B76:L76"/>
  </mergeCells>
  <phoneticPr fontId="16" type="noConversion"/>
  <pageMargins left="0.4" right="0.2" top="0.3" bottom="0.3" header="0.36" footer="0.2"/>
  <pageSetup scale="61"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ransitionEvaluation="1" transitionEntry="1" codeName="Sheet4"/>
  <dimension ref="A1:BZ153"/>
  <sheetViews>
    <sheetView zoomScale="80" zoomScaleNormal="80" workbookViewId="0">
      <selection activeCell="Z48" sqref="Z48"/>
    </sheetView>
  </sheetViews>
  <sheetFormatPr defaultColWidth="9.140625" defaultRowHeight="15" x14ac:dyDescent="0.2"/>
  <cols>
    <col min="1" max="1" width="48.28515625" style="2" customWidth="1"/>
    <col min="2" max="2" width="11.5703125" style="2" hidden="1" customWidth="1"/>
    <col min="3" max="3" width="11.85546875" style="2" hidden="1" customWidth="1"/>
    <col min="4" max="4" width="15" style="2" hidden="1" customWidth="1"/>
    <col min="5" max="5" width="12.5703125" style="2"/>
    <col min="6" max="8" width="9.140625" style="2" hidden="1" customWidth="1"/>
    <col min="9" max="9" width="14.28515625" style="2" customWidth="1"/>
    <col min="10" max="10" width="17.85546875" style="2" customWidth="1"/>
    <col min="11" max="13" width="9.140625" style="2" hidden="1" customWidth="1"/>
    <col min="14" max="14" width="19.28515625" style="2" hidden="1" customWidth="1"/>
    <col min="15" max="15" width="2.28515625" style="2" hidden="1" customWidth="1"/>
    <col min="16" max="16" width="17.140625" style="2" customWidth="1"/>
    <col min="17" max="19" width="9.140625" style="2" hidden="1" customWidth="1"/>
    <col min="20" max="20" width="25.28515625" style="2" customWidth="1"/>
    <col min="21" max="23" width="9.140625" style="2" hidden="1" customWidth="1"/>
    <col min="24" max="24" width="12.5703125" style="2"/>
    <col min="25" max="25" width="47" style="2" customWidth="1"/>
    <col min="26" max="26" width="13.28515625" style="2" customWidth="1"/>
    <col min="27" max="27" width="11.5703125" style="2" customWidth="1"/>
    <col min="28" max="28" width="11.28515625" style="2" customWidth="1"/>
    <col min="29" max="29" width="10.85546875" style="2" customWidth="1"/>
    <col min="30" max="30" width="9.140625" style="2" customWidth="1"/>
    <col min="31" max="31" width="11.5703125" style="2" customWidth="1"/>
    <col min="32" max="32" width="13" style="2" hidden="1" customWidth="1"/>
    <col min="33" max="33" width="11.7109375" style="2" customWidth="1"/>
    <col min="34" max="35" width="10.28515625" style="2" customWidth="1"/>
    <col min="36" max="36" width="13.28515625" style="2" hidden="1" customWidth="1"/>
    <col min="37" max="37" width="11.5703125" style="2" customWidth="1"/>
    <col min="38" max="38" width="10.28515625" style="2" customWidth="1"/>
    <col min="39" max="39" width="11.28515625" style="2" customWidth="1"/>
    <col min="40" max="40" width="9.85546875" style="2" hidden="1" customWidth="1"/>
    <col min="41" max="41" width="13.7109375" style="2" customWidth="1"/>
    <col min="42" max="42" width="42.5703125" style="2" customWidth="1"/>
    <col min="43" max="45" width="9.140625" style="2" hidden="1" customWidth="1"/>
    <col min="46" max="46" width="25.85546875" style="2" customWidth="1"/>
    <col min="47" max="48" width="9.140625" style="2" hidden="1" customWidth="1"/>
    <col min="49" max="49" width="7.28515625" style="2" hidden="1" customWidth="1"/>
    <col min="50" max="50" width="23.5703125" style="2" customWidth="1"/>
    <col min="51" max="51" width="5" style="2" customWidth="1"/>
    <col min="52" max="52" width="41.85546875" style="2" customWidth="1"/>
    <col min="53" max="53" width="11.28515625" style="2" hidden="1" customWidth="1"/>
    <col min="54" max="54" width="14.140625" style="2" hidden="1" customWidth="1"/>
    <col min="55" max="55" width="12.5703125" style="2" customWidth="1"/>
    <col min="56" max="56" width="14.85546875" style="2" customWidth="1"/>
    <col min="57" max="57" width="13.85546875" style="2" customWidth="1"/>
    <col min="58" max="58" width="17.140625" style="2" customWidth="1"/>
    <col min="59" max="59" width="14.85546875" style="2" customWidth="1"/>
    <col min="60" max="60" width="12.5703125" style="2"/>
    <col min="61" max="61" width="14.85546875" style="2" customWidth="1"/>
    <col min="62" max="69" width="12.5703125" style="2"/>
    <col min="70" max="70" width="23.5703125" style="2" customWidth="1"/>
    <col min="71" max="16384" width="9.140625" style="2"/>
  </cols>
  <sheetData>
    <row r="1" spans="1:78" ht="15.75" x14ac:dyDescent="0.25">
      <c r="A1" s="1" t="s">
        <v>192</v>
      </c>
      <c r="F1" s="6" t="s">
        <v>125</v>
      </c>
      <c r="G1" s="6" t="s">
        <v>125</v>
      </c>
      <c r="H1" s="6" t="s">
        <v>125</v>
      </c>
      <c r="I1" s="6"/>
      <c r="J1" s="6"/>
      <c r="K1" s="6" t="s">
        <v>125</v>
      </c>
      <c r="L1" s="6" t="s">
        <v>125</v>
      </c>
      <c r="M1" s="6" t="s">
        <v>125</v>
      </c>
      <c r="O1" s="1" t="s">
        <v>193</v>
      </c>
      <c r="T1" s="545">
        <f>'1'!$L$2</f>
        <v>44663.592256944445</v>
      </c>
      <c r="U1" s="6" t="s">
        <v>125</v>
      </c>
      <c r="V1" s="6" t="s">
        <v>125</v>
      </c>
      <c r="W1" s="6" t="s">
        <v>125</v>
      </c>
      <c r="Y1" s="1" t="s">
        <v>194</v>
      </c>
      <c r="AD1" s="6" t="s">
        <v>125</v>
      </c>
      <c r="AE1" s="6"/>
      <c r="AF1" s="6" t="s">
        <v>125</v>
      </c>
      <c r="AG1" s="6"/>
      <c r="AH1" s="6"/>
      <c r="AI1" s="6"/>
      <c r="AJ1" s="6" t="s">
        <v>125</v>
      </c>
      <c r="AK1" s="6"/>
      <c r="AL1" s="6"/>
      <c r="AM1" s="6"/>
      <c r="AN1" s="6" t="s">
        <v>125</v>
      </c>
      <c r="AP1" s="1" t="s">
        <v>195</v>
      </c>
      <c r="AU1" s="6"/>
      <c r="AV1" s="6"/>
      <c r="AW1" s="6"/>
      <c r="AX1" s="6"/>
      <c r="AZ1" s="1" t="s">
        <v>196</v>
      </c>
      <c r="BH1" s="6"/>
      <c r="BI1" s="6"/>
      <c r="BJ1" s="6"/>
      <c r="BK1" s="6"/>
      <c r="BL1" s="6"/>
      <c r="BM1" s="6"/>
      <c r="BN1" s="6"/>
      <c r="BO1" s="6"/>
      <c r="BP1" s="6"/>
      <c r="BQ1" s="6"/>
      <c r="BR1" s="6"/>
      <c r="BS1" s="6"/>
      <c r="BT1" s="6"/>
      <c r="BU1" s="6"/>
      <c r="BV1" s="6"/>
      <c r="BW1" s="6"/>
    </row>
    <row r="2" spans="1:78" ht="15.75" x14ac:dyDescent="0.25">
      <c r="A2" s="2" t="s">
        <v>197</v>
      </c>
      <c r="F2" s="1047" t="s">
        <v>198</v>
      </c>
      <c r="G2" s="96"/>
      <c r="H2" s="1047" t="s">
        <v>199</v>
      </c>
      <c r="J2" s="7"/>
      <c r="M2" s="545">
        <f>'1'!$L$2</f>
        <v>44663.592256944445</v>
      </c>
      <c r="O2" s="2" t="s">
        <v>197</v>
      </c>
      <c r="T2" s="546">
        <f>'1'!$L$3</f>
        <v>44663.592256944445</v>
      </c>
      <c r="W2" s="545">
        <f>'1'!$L$2</f>
        <v>44663.592256944445</v>
      </c>
      <c r="Y2" s="2" t="s">
        <v>197</v>
      </c>
      <c r="AC2" s="1"/>
      <c r="AE2" s="368"/>
      <c r="AF2" s="369" t="s">
        <v>200</v>
      </c>
      <c r="AG2" s="370" t="s">
        <v>201</v>
      </c>
      <c r="AH2" s="370" t="s">
        <v>202</v>
      </c>
      <c r="AI2" s="367"/>
      <c r="AJ2" s="213"/>
      <c r="AK2" s="7"/>
      <c r="AN2" s="545">
        <f>'1'!$L$2</f>
        <v>44663.592256944445</v>
      </c>
      <c r="AP2" s="2" t="s">
        <v>197</v>
      </c>
      <c r="AU2" s="7"/>
      <c r="AX2" s="545">
        <f>'1'!$L$2</f>
        <v>44663.592256944445</v>
      </c>
      <c r="AZ2" s="2" t="s">
        <v>197</v>
      </c>
      <c r="BP2" s="545">
        <f>'1'!$L$2</f>
        <v>44663.592256944445</v>
      </c>
      <c r="BT2" s="7"/>
      <c r="BW2" s="545"/>
    </row>
    <row r="3" spans="1:78" x14ac:dyDescent="0.2">
      <c r="A3" s="2" t="s">
        <v>122</v>
      </c>
      <c r="B3" s="157" t="str">
        <f>Input_Harvestnew!$B$3</f>
        <v>bc-Coho2229</v>
      </c>
      <c r="E3" s="157" t="str">
        <f>Input_Harvestnew!$B$3</f>
        <v>bc-Coho2229</v>
      </c>
      <c r="F3" s="1047">
        <f>Sk!C54</f>
        <v>448.78579259573786</v>
      </c>
      <c r="G3" s="96"/>
      <c r="H3" s="1047">
        <f>Sk!F54</f>
        <v>3349.1477059383419</v>
      </c>
      <c r="M3" s="546">
        <f>'1'!$L$3</f>
        <v>44663.592256944445</v>
      </c>
      <c r="O3" s="2" t="s">
        <v>122</v>
      </c>
      <c r="T3" s="30"/>
      <c r="W3" s="546">
        <f>'1'!$L$3</f>
        <v>44663.592256944445</v>
      </c>
      <c r="Y3" s="2" t="s">
        <v>122</v>
      </c>
      <c r="Z3" s="157" t="str">
        <f>Input_Harvestnew!$B$3</f>
        <v>bc-Coho2229</v>
      </c>
      <c r="AE3" s="20"/>
      <c r="AF3" s="370"/>
      <c r="AG3" s="370"/>
      <c r="AH3" s="370"/>
      <c r="AI3" s="367"/>
      <c r="AJ3" s="213"/>
      <c r="AM3" s="545">
        <f>'1'!$L$2</f>
        <v>44663.592256944445</v>
      </c>
      <c r="AN3" s="546">
        <f>'1'!$L$3</f>
        <v>44663.592256944445</v>
      </c>
      <c r="AP3" s="2" t="s">
        <v>122</v>
      </c>
      <c r="AQ3" s="157" t="str">
        <f>Input_Harvestnew!$B$3</f>
        <v>bc-Coho2229</v>
      </c>
      <c r="AX3" s="546">
        <f>'1'!$L$3</f>
        <v>44663.592256944445</v>
      </c>
      <c r="AZ3" s="2" t="s">
        <v>122</v>
      </c>
      <c r="BA3" s="157" t="str">
        <f>Input_Harvestnew!$B$3</f>
        <v>bc-Coho2229</v>
      </c>
      <c r="BC3" s="2" t="str">
        <f>Input_Harvestnew!B3</f>
        <v>bc-Coho2229</v>
      </c>
      <c r="BG3" s="157"/>
      <c r="BP3" s="546">
        <f>'1'!$L$3</f>
        <v>44663.592256944445</v>
      </c>
      <c r="BW3" s="546"/>
    </row>
    <row r="4" spans="1:78" x14ac:dyDescent="0.2">
      <c r="A4" s="2" t="s">
        <v>123</v>
      </c>
      <c r="B4" s="2" t="str">
        <f>Input_Harvestnew!$B$4</f>
        <v>Final PFMC April - Adopted+NOF</v>
      </c>
      <c r="E4" s="2" t="str">
        <f>Input_Harvestnew!$B$4</f>
        <v>Final PFMC April - Adopted+NOF</v>
      </c>
      <c r="O4" s="2" t="s">
        <v>123</v>
      </c>
      <c r="Y4" s="2" t="s">
        <v>123</v>
      </c>
      <c r="Z4" s="2" t="str">
        <f>Input_Harvestnew!$B$4</f>
        <v>Final PFMC April - Adopted+NOF</v>
      </c>
      <c r="AE4" s="629"/>
      <c r="AF4" s="630"/>
      <c r="AG4" s="630"/>
      <c r="AH4" s="630"/>
      <c r="AI4" s="631"/>
      <c r="AJ4" s="632"/>
      <c r="AK4" s="20"/>
      <c r="AM4" s="546">
        <f>'1'!$L$3</f>
        <v>44663.592256944445</v>
      </c>
      <c r="AP4" s="2" t="s">
        <v>123</v>
      </c>
      <c r="AQ4" s="2" t="str">
        <f>Input_Harvestnew!$B$4</f>
        <v>Final PFMC April - Adopted+NOF</v>
      </c>
      <c r="AZ4" s="2" t="s">
        <v>123</v>
      </c>
      <c r="BA4" s="2" t="str">
        <f>Input_Harvestnew!$B$4</f>
        <v>Final PFMC April - Adopted+NOF</v>
      </c>
      <c r="BC4" s="2" t="str">
        <f>Input_Harvestnew!B4</f>
        <v>Final PFMC April - Adopted+NOF</v>
      </c>
    </row>
    <row r="5" spans="1:78" x14ac:dyDescent="0.2">
      <c r="A5" s="505" t="s">
        <v>203</v>
      </c>
      <c r="O5" s="5" t="s">
        <v>204</v>
      </c>
      <c r="Y5" s="505" t="s">
        <v>204</v>
      </c>
      <c r="AP5" s="5" t="s">
        <v>204</v>
      </c>
      <c r="AZ5" s="5" t="s">
        <v>203</v>
      </c>
    </row>
    <row r="6" spans="1:78" x14ac:dyDescent="0.2">
      <c r="A6" s="6" t="s">
        <v>125</v>
      </c>
      <c r="B6" s="6" t="s">
        <v>125</v>
      </c>
      <c r="C6" s="6" t="s">
        <v>125</v>
      </c>
      <c r="D6" s="6" t="s">
        <v>125</v>
      </c>
      <c r="E6" s="6" t="s">
        <v>125</v>
      </c>
      <c r="F6" s="6" t="s">
        <v>125</v>
      </c>
      <c r="G6" s="6" t="s">
        <v>125</v>
      </c>
      <c r="H6" s="6" t="s">
        <v>125</v>
      </c>
      <c r="I6" s="6" t="s">
        <v>125</v>
      </c>
      <c r="J6" s="6" t="s">
        <v>125</v>
      </c>
      <c r="K6" s="6" t="s">
        <v>125</v>
      </c>
      <c r="L6" s="6" t="s">
        <v>125</v>
      </c>
      <c r="M6" s="6" t="s">
        <v>125</v>
      </c>
      <c r="O6" s="6" t="s">
        <v>125</v>
      </c>
      <c r="P6" s="6" t="s">
        <v>125</v>
      </c>
      <c r="Q6" s="6" t="s">
        <v>125</v>
      </c>
      <c r="R6" s="6" t="s">
        <v>125</v>
      </c>
      <c r="S6" s="6" t="s">
        <v>125</v>
      </c>
      <c r="T6" s="6" t="s">
        <v>125</v>
      </c>
      <c r="U6" s="6" t="s">
        <v>125</v>
      </c>
      <c r="V6" s="6" t="s">
        <v>125</v>
      </c>
      <c r="W6" s="6" t="s">
        <v>125</v>
      </c>
      <c r="Y6" s="6" t="s">
        <v>125</v>
      </c>
      <c r="Z6" s="6" t="s">
        <v>125</v>
      </c>
      <c r="AA6" s="6" t="s">
        <v>125</v>
      </c>
      <c r="AB6" s="6" t="s">
        <v>125</v>
      </c>
      <c r="AC6" s="6" t="s">
        <v>125</v>
      </c>
      <c r="AD6" s="6" t="s">
        <v>125</v>
      </c>
      <c r="AE6" s="6" t="s">
        <v>125</v>
      </c>
      <c r="AF6" s="6" t="s">
        <v>125</v>
      </c>
      <c r="AG6" s="6" t="s">
        <v>125</v>
      </c>
      <c r="AH6" s="6" t="s">
        <v>125</v>
      </c>
      <c r="AI6" s="6" t="s">
        <v>125</v>
      </c>
      <c r="AJ6" s="6" t="s">
        <v>125</v>
      </c>
      <c r="AK6" s="6" t="s">
        <v>125</v>
      </c>
      <c r="AL6" s="6" t="s">
        <v>125</v>
      </c>
      <c r="AM6" s="6" t="s">
        <v>125</v>
      </c>
      <c r="AN6" s="6" t="s">
        <v>125</v>
      </c>
      <c r="AP6" s="6" t="s">
        <v>125</v>
      </c>
      <c r="AQ6" s="6" t="s">
        <v>125</v>
      </c>
      <c r="AR6" s="6" t="s">
        <v>125</v>
      </c>
      <c r="AS6" s="6" t="s">
        <v>125</v>
      </c>
      <c r="AT6" s="6" t="s">
        <v>125</v>
      </c>
      <c r="AU6" s="6" t="s">
        <v>125</v>
      </c>
      <c r="AV6" s="6" t="s">
        <v>125</v>
      </c>
      <c r="AW6" s="6" t="s">
        <v>125</v>
      </c>
      <c r="AX6" s="6" t="s">
        <v>125</v>
      </c>
      <c r="AZ6" s="6" t="s">
        <v>125</v>
      </c>
      <c r="BA6" s="6" t="s">
        <v>125</v>
      </c>
      <c r="BB6" s="6" t="s">
        <v>125</v>
      </c>
      <c r="BC6" s="6" t="s">
        <v>125</v>
      </c>
      <c r="BD6" s="6" t="s">
        <v>125</v>
      </c>
      <c r="BE6" s="6" t="s">
        <v>125</v>
      </c>
      <c r="BF6" s="6" t="s">
        <v>125</v>
      </c>
      <c r="BG6" s="6"/>
      <c r="BH6" s="6" t="s">
        <v>125</v>
      </c>
      <c r="BI6" s="6" t="s">
        <v>125</v>
      </c>
      <c r="BJ6" s="6" t="s">
        <v>125</v>
      </c>
      <c r="BK6" s="6" t="s">
        <v>125</v>
      </c>
      <c r="BL6" s="6" t="s">
        <v>125</v>
      </c>
      <c r="BM6" s="6" t="s">
        <v>125</v>
      </c>
      <c r="BN6" s="6" t="s">
        <v>125</v>
      </c>
      <c r="BO6" s="6" t="s">
        <v>125</v>
      </c>
      <c r="BP6" s="6" t="s">
        <v>125</v>
      </c>
    </row>
    <row r="7" spans="1:78" x14ac:dyDescent="0.2">
      <c r="B7" s="32" t="s">
        <v>205</v>
      </c>
      <c r="E7" s="855" t="s">
        <v>206</v>
      </c>
      <c r="H7" s="724" t="s">
        <v>206</v>
      </c>
      <c r="I7" s="855" t="s">
        <v>207</v>
      </c>
      <c r="J7" s="779" t="s">
        <v>208</v>
      </c>
      <c r="K7" s="2" t="s">
        <v>209</v>
      </c>
      <c r="M7" s="2" t="s">
        <v>209</v>
      </c>
      <c r="P7" s="855" t="s">
        <v>210</v>
      </c>
      <c r="S7" s="2" t="s">
        <v>210</v>
      </c>
      <c r="T7" s="855" t="s">
        <v>211</v>
      </c>
      <c r="W7" s="2" t="s">
        <v>211</v>
      </c>
      <c r="Z7" s="855" t="s">
        <v>212</v>
      </c>
      <c r="AA7" s="1224" t="s">
        <v>213</v>
      </c>
      <c r="AB7" s="2" t="s">
        <v>214</v>
      </c>
      <c r="AD7" s="2" t="s">
        <v>214</v>
      </c>
      <c r="AE7" s="2" t="s">
        <v>215</v>
      </c>
      <c r="AG7" s="2" t="s">
        <v>215</v>
      </c>
      <c r="AJ7" s="2" t="s">
        <v>215</v>
      </c>
      <c r="AK7" s="32" t="s">
        <v>216</v>
      </c>
      <c r="AQ7" s="32" t="s">
        <v>217</v>
      </c>
      <c r="AT7" s="2" t="s">
        <v>217</v>
      </c>
      <c r="AU7" s="32" t="s">
        <v>218</v>
      </c>
      <c r="AX7" s="2" t="s">
        <v>218</v>
      </c>
      <c r="AZ7" s="215"/>
      <c r="BA7" s="1224" t="s">
        <v>219</v>
      </c>
      <c r="BB7" s="1224" t="s">
        <v>220</v>
      </c>
      <c r="BC7" s="265" t="s">
        <v>221</v>
      </c>
      <c r="BD7" s="2" t="s">
        <v>222</v>
      </c>
      <c r="BE7" s="1224" t="s">
        <v>223</v>
      </c>
      <c r="BF7" s="1224" t="s">
        <v>220</v>
      </c>
      <c r="BG7" s="1224" t="s">
        <v>219</v>
      </c>
      <c r="BH7" s="750" t="s">
        <v>224</v>
      </c>
      <c r="BI7" s="1224" t="s">
        <v>225</v>
      </c>
      <c r="BJ7" s="1224" t="s">
        <v>226</v>
      </c>
      <c r="BK7" s="1224" t="s">
        <v>227</v>
      </c>
      <c r="BL7" s="1224" t="s">
        <v>228</v>
      </c>
      <c r="BM7" s="1224" t="s">
        <v>229</v>
      </c>
      <c r="BN7" s="1224" t="s">
        <v>230</v>
      </c>
      <c r="BO7" s="1224" t="s">
        <v>231</v>
      </c>
      <c r="BP7" s="1224" t="s">
        <v>232</v>
      </c>
      <c r="BZ7" s="762"/>
    </row>
    <row r="8" spans="1:78" x14ac:dyDescent="0.2">
      <c r="A8" s="1917" t="s">
        <v>233</v>
      </c>
      <c r="B8" s="1918" t="s">
        <v>234</v>
      </c>
      <c r="C8" s="1917" t="s">
        <v>235</v>
      </c>
      <c r="D8" s="1917" t="s">
        <v>236</v>
      </c>
      <c r="E8" s="1918" t="s">
        <v>237</v>
      </c>
      <c r="F8" s="1917" t="s">
        <v>234</v>
      </c>
      <c r="G8" s="1917" t="s">
        <v>235</v>
      </c>
      <c r="H8" s="1917" t="s">
        <v>236</v>
      </c>
      <c r="I8" s="1918" t="s">
        <v>237</v>
      </c>
      <c r="J8" s="1919" t="s">
        <v>237</v>
      </c>
      <c r="K8" s="1917" t="s">
        <v>234</v>
      </c>
      <c r="L8" s="1917" t="s">
        <v>235</v>
      </c>
      <c r="M8" s="1917" t="s">
        <v>236</v>
      </c>
      <c r="O8" s="1917" t="s">
        <v>233</v>
      </c>
      <c r="P8" s="1918" t="s">
        <v>237</v>
      </c>
      <c r="Q8" s="1917" t="s">
        <v>234</v>
      </c>
      <c r="R8" s="1917" t="s">
        <v>235</v>
      </c>
      <c r="S8" s="1917" t="s">
        <v>236</v>
      </c>
      <c r="T8" s="1918" t="s">
        <v>237</v>
      </c>
      <c r="U8" s="1917" t="s">
        <v>234</v>
      </c>
      <c r="V8" s="1917" t="s">
        <v>235</v>
      </c>
      <c r="W8" s="1917" t="s">
        <v>236</v>
      </c>
      <c r="Y8" s="1917" t="s">
        <v>233</v>
      </c>
      <c r="Z8" s="1918" t="s">
        <v>237</v>
      </c>
      <c r="AA8" s="1917" t="s">
        <v>237</v>
      </c>
      <c r="AB8" s="1917" t="s">
        <v>234</v>
      </c>
      <c r="AC8" s="1917" t="s">
        <v>235</v>
      </c>
      <c r="AD8" s="1917" t="s">
        <v>236</v>
      </c>
      <c r="AE8" s="1917" t="s">
        <v>237</v>
      </c>
      <c r="AF8" s="1917" t="s">
        <v>238</v>
      </c>
      <c r="AG8" s="1917" t="s">
        <v>239</v>
      </c>
      <c r="AH8" s="1917" t="s">
        <v>234</v>
      </c>
      <c r="AI8" s="1917" t="s">
        <v>235</v>
      </c>
      <c r="AJ8" s="1917" t="s">
        <v>236</v>
      </c>
      <c r="AK8" s="1918" t="s">
        <v>237</v>
      </c>
      <c r="AL8" s="1917" t="s">
        <v>234</v>
      </c>
      <c r="AM8" s="1917" t="s">
        <v>235</v>
      </c>
      <c r="AN8" s="1917" t="s">
        <v>236</v>
      </c>
      <c r="AO8" s="1920"/>
      <c r="AP8" s="1917" t="s">
        <v>233</v>
      </c>
      <c r="AQ8" s="1918" t="s">
        <v>237</v>
      </c>
      <c r="AR8" s="1917" t="s">
        <v>234</v>
      </c>
      <c r="AS8" s="1917" t="s">
        <v>235</v>
      </c>
      <c r="AT8" s="1917" t="s">
        <v>236</v>
      </c>
      <c r="AU8" s="1918" t="s">
        <v>237</v>
      </c>
      <c r="AV8" s="1917" t="s">
        <v>234</v>
      </c>
      <c r="AW8" s="1917" t="s">
        <v>235</v>
      </c>
      <c r="AX8" s="1917" t="s">
        <v>236</v>
      </c>
      <c r="AZ8" s="1921" t="s">
        <v>233</v>
      </c>
      <c r="BA8" s="1920" t="s">
        <v>240</v>
      </c>
      <c r="BB8" s="1920" t="s">
        <v>241</v>
      </c>
      <c r="BC8" s="1352" t="s">
        <v>240</v>
      </c>
      <c r="BD8" s="1920" t="s">
        <v>240</v>
      </c>
      <c r="BE8" s="1920" t="s">
        <v>242</v>
      </c>
      <c r="BF8" s="1920" t="s">
        <v>241</v>
      </c>
      <c r="BG8" s="1920" t="s">
        <v>240</v>
      </c>
      <c r="BH8" s="1922" t="s">
        <v>243</v>
      </c>
      <c r="BI8" s="1923" t="s">
        <v>244</v>
      </c>
      <c r="BJ8" s="1920" t="s">
        <v>245</v>
      </c>
      <c r="BK8" s="1920" t="s">
        <v>240</v>
      </c>
      <c r="BL8" s="1920" t="s">
        <v>240</v>
      </c>
      <c r="BM8" s="1920" t="s">
        <v>246</v>
      </c>
      <c r="BN8" s="1920" t="s">
        <v>247</v>
      </c>
      <c r="BO8" s="1920" t="s">
        <v>240</v>
      </c>
      <c r="BP8" s="1920" t="s">
        <v>240</v>
      </c>
      <c r="BQ8" s="1224"/>
      <c r="BZ8" s="762"/>
    </row>
    <row r="9" spans="1:78" ht="18" customHeight="1" x14ac:dyDescent="0.25">
      <c r="A9" s="2" t="s">
        <v>248</v>
      </c>
      <c r="B9" s="1053">
        <f>SUM(TRunsPRN!C176:C178)</f>
        <v>516804</v>
      </c>
      <c r="C9" s="1046">
        <f>SUM(TRunsPRN!C179:C181)</f>
        <v>2468255</v>
      </c>
      <c r="E9" s="854">
        <f>SUM(TRunsPRN!C11)-Sk!C54-Sk!B56</f>
        <v>45869.214207404264</v>
      </c>
      <c r="F9" s="20">
        <f>SUM(TRunsPRN!$C77)-Sk!G54+Sk!C54</f>
        <v>7277.6380866573963</v>
      </c>
      <c r="G9" s="1322">
        <f>SUM(TRunsPRN!$C76)-Sk!C54-Sk!B56</f>
        <v>46952.214207404264</v>
      </c>
      <c r="H9" s="20">
        <f>SUM(F9:G9)</f>
        <v>54229.85229406166</v>
      </c>
      <c r="I9" s="854">
        <f>SUM(TRunsPRN!C12)</f>
        <v>16017</v>
      </c>
      <c r="J9" s="1087">
        <f>SUM(TRunsPRN!C13)</f>
        <v>42871</v>
      </c>
      <c r="K9" s="20">
        <f>SUM(TRunsPRN!C81)</f>
        <v>9573</v>
      </c>
      <c r="L9" s="20">
        <f>SUM(TRunsPRN!C80)</f>
        <v>60637</v>
      </c>
      <c r="M9" s="20">
        <f>SUM(K9:L9)</f>
        <v>70210</v>
      </c>
      <c r="N9" s="20"/>
      <c r="O9" s="20" t="s">
        <v>248</v>
      </c>
      <c r="P9" s="854">
        <f>SUM(TRunsPRN!C31)</f>
        <v>11350</v>
      </c>
      <c r="Q9" s="20">
        <f>SUM(TRunsPRN!C84)</f>
        <v>15383</v>
      </c>
      <c r="R9" s="20">
        <f>SUM(TRunsPRN!C83)</f>
        <v>13866</v>
      </c>
      <c r="S9" s="20">
        <f>SUM(Q9:R9)</f>
        <v>29249</v>
      </c>
      <c r="T9" s="854">
        <f>SUM(TRunsPRN!C15)</f>
        <v>6519</v>
      </c>
      <c r="U9" s="20">
        <f>SUM(TRunsPRN!C183)</f>
        <v>4535</v>
      </c>
      <c r="V9" s="20">
        <f>SUM(TRunsPRN!C182)</f>
        <v>8334</v>
      </c>
      <c r="W9" s="20">
        <f>SUM(U9:V9)</f>
        <v>12869</v>
      </c>
      <c r="X9" s="20"/>
      <c r="Y9" s="20" t="s">
        <v>249</v>
      </c>
      <c r="Z9" s="1498">
        <f>SUM(TRunsPRN!D16)</f>
        <v>11636.098053614196</v>
      </c>
      <c r="AA9" s="1347">
        <f>SUM(TRunsPRN!D17)</f>
        <v>3922.124919189815</v>
      </c>
      <c r="AB9" s="20">
        <f>SUM(TRunsPRN!D55)</f>
        <v>15134.069454087854</v>
      </c>
      <c r="AC9" s="20">
        <f>SUM(TRunsPRN!D54)</f>
        <v>14140.363251378532</v>
      </c>
      <c r="AD9" s="20">
        <f>SUM(AB9:AC9)</f>
        <v>29274.432705466388</v>
      </c>
      <c r="AE9" s="1347">
        <f>SUM(TRunsPRN!D18)</f>
        <v>15213.51862402221</v>
      </c>
      <c r="AF9" s="20">
        <f>AG3*AH9+AH3*AI9</f>
        <v>0</v>
      </c>
      <c r="AG9" s="20">
        <f>TRunsPRN!D209</f>
        <v>15183.154043248731</v>
      </c>
      <c r="AH9" s="20">
        <f>SUM(TRunsPRN!D59)</f>
        <v>12790.25989967681</v>
      </c>
      <c r="AI9" s="20">
        <f>SUM(TRunsPRN!D58)</f>
        <v>17606.412767594131</v>
      </c>
      <c r="AJ9" s="20">
        <f>SUM(AH9:AI9)</f>
        <v>30396.672667270941</v>
      </c>
      <c r="AK9" s="1498">
        <f>SUM(TRunsPRN!D19)</f>
        <v>111109.16480190745</v>
      </c>
      <c r="AL9" s="20">
        <f>SUM(TRunsPRN!D61)</f>
        <v>62948.375839769142</v>
      </c>
      <c r="AM9" s="20">
        <f>SUM(TRunsPRN!D60)</f>
        <v>113515.74948590493</v>
      </c>
      <c r="AN9" s="20">
        <f>SUM(AL9:AM9)</f>
        <v>176464.12532567407</v>
      </c>
      <c r="AP9" s="20" t="s">
        <v>248</v>
      </c>
      <c r="AQ9" s="854">
        <f>SUM(TRunsPRN!C32:C34)</f>
        <v>15903</v>
      </c>
      <c r="AR9" s="20">
        <f>SUM(TRunsPRN!C87,TRunsPRN!C90,TRunsPRN!C93)</f>
        <v>43199</v>
      </c>
      <c r="AS9" s="20">
        <f>SUM(TRunsPRN!C86,TRunsPRN!C89,TRunsPRN!C92)</f>
        <v>42374</v>
      </c>
      <c r="AT9" s="20">
        <f>SUM(AR9:AS9)</f>
        <v>85573</v>
      </c>
      <c r="AU9" s="854">
        <f>SUM(TRunsPRN!C35)</f>
        <v>15511</v>
      </c>
      <c r="AV9" s="20">
        <f>SUM(TRunsPRN!C47)</f>
        <v>15680</v>
      </c>
      <c r="AW9" s="20">
        <f>SUM(TRunsPRN!C46)</f>
        <v>15532</v>
      </c>
      <c r="AX9" s="20">
        <f>SUM(AV9:AW9)</f>
        <v>31212</v>
      </c>
      <c r="AY9" s="20"/>
      <c r="AZ9" s="215" t="s">
        <v>248</v>
      </c>
      <c r="BA9" s="751">
        <f>SUM(TRunsPRN!C107)</f>
        <v>28</v>
      </c>
      <c r="BB9" s="751">
        <f>TRunsPRN!$C$109</f>
        <v>8379</v>
      </c>
      <c r="BC9" s="813">
        <f>SUM(TRunsPRN!$C$165)</f>
        <v>729</v>
      </c>
      <c r="BD9" s="752">
        <f>SUM(TRunsPRN!$C$164)</f>
        <v>12067</v>
      </c>
      <c r="BE9" s="752">
        <f>SUM(TRunsPRN!$C$186)</f>
        <v>10006</v>
      </c>
      <c r="BF9" s="752">
        <f>SUM(TRunsPRN!$C$187)</f>
        <v>8379</v>
      </c>
      <c r="BG9" s="751">
        <f>SUM(TRunsPRN!$C$107)</f>
        <v>28</v>
      </c>
      <c r="BH9" s="752">
        <f>SUM(TRunsPRN!$C$188)</f>
        <v>5662</v>
      </c>
      <c r="BI9" s="752">
        <f>SUM(TRunsPRN!$C$189)</f>
        <v>33177</v>
      </c>
      <c r="BJ9" s="752">
        <f>SUM(TRunsPRN!$C$190)</f>
        <v>9817</v>
      </c>
      <c r="BK9" s="752">
        <f>SUM(TRunsPRN!$C$191)</f>
        <v>9187</v>
      </c>
      <c r="BL9" s="752">
        <f>SUM(TRunsPRN!$C$192)</f>
        <v>4895</v>
      </c>
      <c r="BM9" s="752">
        <f>SUM(TRunsPRN!$C$193)</f>
        <v>6878</v>
      </c>
      <c r="BN9" s="752">
        <f>SUM(TRunsPRN!$C$194)</f>
        <v>10477</v>
      </c>
      <c r="BO9" s="752">
        <f>SUM(TRunsPRN!$C$195)</f>
        <v>3108</v>
      </c>
      <c r="BP9" s="752">
        <f>SUM(TRunsPRN!$C$196)</f>
        <v>1897</v>
      </c>
      <c r="BQ9" s="20"/>
      <c r="BZ9" s="762"/>
    </row>
    <row r="10" spans="1:78" ht="14.45" customHeight="1" x14ac:dyDescent="0.2">
      <c r="A10" s="2" t="s">
        <v>250</v>
      </c>
      <c r="B10" s="32"/>
      <c r="E10" s="854">
        <v>25000</v>
      </c>
      <c r="F10" s="1268"/>
      <c r="G10" s="1268"/>
      <c r="H10" s="1045"/>
      <c r="I10" s="854">
        <v>10000</v>
      </c>
      <c r="J10" s="1269">
        <v>55000</v>
      </c>
      <c r="K10" s="1268"/>
      <c r="L10" s="1268"/>
      <c r="M10" s="1045"/>
      <c r="N10" s="1268"/>
      <c r="O10" s="2" t="s">
        <v>250</v>
      </c>
      <c r="P10" s="854">
        <v>14350</v>
      </c>
      <c r="Q10" s="1268"/>
      <c r="R10" s="1268"/>
      <c r="S10" s="1268">
        <f>'7'!D17</f>
        <v>29249</v>
      </c>
      <c r="T10" s="854">
        <v>11000</v>
      </c>
      <c r="U10" s="1268"/>
      <c r="V10" s="1268"/>
      <c r="W10" s="1268">
        <f>'7'!D20</f>
        <v>12869</v>
      </c>
      <c r="X10" s="20"/>
      <c r="Y10" s="1044" t="s">
        <v>251</v>
      </c>
      <c r="Z10" s="854">
        <v>6300</v>
      </c>
      <c r="AA10" s="1050">
        <v>2000</v>
      </c>
      <c r="AB10" s="20"/>
      <c r="AC10" s="20"/>
      <c r="AD10" s="20"/>
      <c r="AE10" s="1050">
        <v>5800</v>
      </c>
      <c r="AF10" s="20"/>
      <c r="AG10" s="20"/>
      <c r="AH10" s="20"/>
      <c r="AI10" s="20"/>
      <c r="AJ10" s="20"/>
      <c r="AK10" s="854">
        <v>35400</v>
      </c>
      <c r="AL10" s="20"/>
      <c r="AM10" s="20"/>
      <c r="AN10" s="20"/>
      <c r="AO10" s="1268"/>
      <c r="AP10" s="20" t="s">
        <v>251</v>
      </c>
      <c r="AQ10" s="854" t="str">
        <f>Input_Stockdata!C122</f>
        <v>n/a</v>
      </c>
      <c r="AR10" s="20"/>
      <c r="AS10" s="20"/>
      <c r="AT10" s="20"/>
      <c r="AU10" s="854" t="str">
        <f>Input_Stockdata!C123</f>
        <v>n/a</v>
      </c>
      <c r="AV10" s="20"/>
      <c r="AW10" s="20"/>
      <c r="AX10" s="20"/>
      <c r="AY10" s="20"/>
      <c r="AZ10" s="919" t="s">
        <v>252</v>
      </c>
      <c r="BA10" s="20"/>
      <c r="BB10" s="20"/>
      <c r="BC10" s="814">
        <v>3500</v>
      </c>
      <c r="BD10" s="90">
        <v>4800</v>
      </c>
      <c r="BE10" s="90">
        <v>400</v>
      </c>
      <c r="BF10" s="819" t="s">
        <v>253</v>
      </c>
      <c r="BG10" s="20"/>
      <c r="BH10" s="90">
        <v>2000</v>
      </c>
      <c r="BI10" s="90">
        <v>8000</v>
      </c>
      <c r="BJ10" s="90">
        <v>1800</v>
      </c>
      <c r="BK10" s="90">
        <v>2410</v>
      </c>
      <c r="BL10" s="90">
        <v>1280</v>
      </c>
      <c r="BM10" s="90">
        <v>550</v>
      </c>
      <c r="BN10" s="90">
        <v>1500</v>
      </c>
      <c r="BO10" s="90">
        <v>500</v>
      </c>
      <c r="BP10" s="90">
        <v>350</v>
      </c>
      <c r="BQ10" s="20"/>
      <c r="BZ10" s="762"/>
    </row>
    <row r="11" spans="1:78" ht="14.45" customHeight="1" x14ac:dyDescent="0.2">
      <c r="A11" s="2" t="s">
        <v>254</v>
      </c>
      <c r="B11" s="32"/>
      <c r="E11" s="1270">
        <f>ERSK</f>
        <v>0.43236088201016915</v>
      </c>
      <c r="F11" s="100"/>
      <c r="G11" s="100"/>
      <c r="H11" s="100"/>
      <c r="I11" s="1144">
        <f>SUM(ERST)</f>
        <v>0.359294371774871</v>
      </c>
      <c r="J11" s="1281">
        <f>SUM(ERSN)</f>
        <v>0.33508592344438243</v>
      </c>
      <c r="K11" s="100"/>
      <c r="L11" s="100"/>
      <c r="M11" s="100"/>
      <c r="N11" s="100"/>
      <c r="O11" s="100" t="s">
        <v>254</v>
      </c>
      <c r="P11" s="1144">
        <f>SUM(ERHC)</f>
        <v>0.44080405971325809</v>
      </c>
      <c r="Q11" s="1049"/>
      <c r="R11" s="1049"/>
      <c r="S11" s="1049"/>
      <c r="T11" s="1271">
        <f>SUM(ERJDF)</f>
        <v>0.10942622950819672</v>
      </c>
      <c r="U11" s="1049"/>
      <c r="V11" s="1049"/>
      <c r="W11" s="1049"/>
      <c r="X11" s="1049"/>
      <c r="Y11" s="1049" t="s">
        <v>255</v>
      </c>
      <c r="Z11" s="1499">
        <f>SUM(ERQF)</f>
        <v>6.6056145995356391E-2</v>
      </c>
      <c r="AA11" s="100">
        <f>SUM(ERHO)</f>
        <v>0.16446089809924438</v>
      </c>
      <c r="AB11" s="1049"/>
      <c r="AC11" s="1049"/>
      <c r="AD11" s="1049"/>
      <c r="AE11" s="100">
        <f>SUM(ERQUEETS)</f>
        <v>0.1510558961374758</v>
      </c>
      <c r="AF11" s="629"/>
      <c r="AG11" s="629"/>
      <c r="AJ11" s="1280"/>
      <c r="AK11" s="1499">
        <f>SUM(ERGH)</f>
        <v>7.427670931694183E-2</v>
      </c>
      <c r="AL11" s="1049"/>
      <c r="AM11" s="1049"/>
      <c r="AN11" s="1049"/>
      <c r="AO11" s="1486"/>
      <c r="AP11" s="1049" t="s">
        <v>254</v>
      </c>
      <c r="AQ11" s="1271">
        <f>SUM(ERSPS)</f>
        <v>0.49150229657969963</v>
      </c>
      <c r="AR11" s="100"/>
      <c r="AS11" s="100"/>
      <c r="AT11" s="100"/>
      <c r="AU11" s="1271">
        <f>SUM(ERNS)</f>
        <v>0.57369795245293387</v>
      </c>
      <c r="AV11" s="1049"/>
      <c r="AW11" s="1049"/>
      <c r="AX11" s="1049"/>
      <c r="AY11" s="1049"/>
      <c r="AZ11" s="266" t="s">
        <v>256</v>
      </c>
      <c r="BA11" s="753">
        <f t="shared" ref="BA11:BG11" si="0">SUM(BA17,BA18,BA21,BA22,BA23,BA24,BA25,BA26,BA27,BA31:BA39,BA42,BA44,BA47,BA49,BA51,BA53,BA55)/SUM(BA15:BA59,BA9)</f>
        <v>0.15479930191972077</v>
      </c>
      <c r="BB11" s="753">
        <f t="shared" si="0"/>
        <v>0.22102649006622516</v>
      </c>
      <c r="BC11" s="815"/>
      <c r="BD11" s="753"/>
      <c r="BE11" s="753"/>
      <c r="BF11" s="753">
        <f t="shared" si="0"/>
        <v>0.21916683767699568</v>
      </c>
      <c r="BG11" s="753">
        <f t="shared" si="0"/>
        <v>0.15418118466898956</v>
      </c>
      <c r="BH11" s="753"/>
      <c r="BI11" s="753"/>
      <c r="BJ11" s="753"/>
      <c r="BK11" s="753"/>
      <c r="BL11" s="753"/>
      <c r="BM11" s="753"/>
      <c r="BN11" s="753"/>
      <c r="BO11" s="753"/>
      <c r="BP11" s="753"/>
      <c r="BQ11" s="1049"/>
      <c r="BZ11" s="762"/>
    </row>
    <row r="12" spans="1:78" ht="14.45" customHeight="1" x14ac:dyDescent="0.2">
      <c r="A12" s="1111" t="s">
        <v>257</v>
      </c>
      <c r="B12" s="32"/>
      <c r="E12" s="1272">
        <v>0.6</v>
      </c>
      <c r="F12" s="1049"/>
      <c r="G12" s="1049"/>
      <c r="H12" s="1049"/>
      <c r="I12" s="1273">
        <v>0.5</v>
      </c>
      <c r="J12" s="1274">
        <v>0.4</v>
      </c>
      <c r="K12" s="1049"/>
      <c r="L12" s="1049"/>
      <c r="M12" s="1049"/>
      <c r="N12" s="1049"/>
      <c r="O12" s="2" t="s">
        <v>258</v>
      </c>
      <c r="P12" s="1275">
        <v>0.45</v>
      </c>
      <c r="Q12" s="1049"/>
      <c r="R12" s="1049"/>
      <c r="S12" s="1049"/>
      <c r="T12" s="1276" t="s">
        <v>259</v>
      </c>
      <c r="U12" s="1049"/>
      <c r="V12" s="1049"/>
      <c r="W12" s="1049"/>
      <c r="X12" s="1049"/>
      <c r="Y12" s="1113" t="s">
        <v>254</v>
      </c>
      <c r="Z12" s="1271">
        <f>IF(Z38="na","na",IF(Z39="na","na",SUM(Z15:Z39)/(Z9+SUM(Z15:Z35))))</f>
        <v>0.37378993048131781</v>
      </c>
      <c r="AA12" s="1237">
        <f>IF(AA38="na","na",IF(AA39="na","na",SUM(AA15:AA39)/(AA9+SUM(AA15:AA35))))</f>
        <v>0.53582649082002431</v>
      </c>
      <c r="AB12" s="1049"/>
      <c r="AC12" s="1049"/>
      <c r="AD12" s="1049"/>
      <c r="AE12" s="1237">
        <f>IF(AE38="na","na",IF(AE39="na","na",SUM(AE15:AE39)/(AE9+SUM(AE15:AE35))))</f>
        <v>0.36295729007718663</v>
      </c>
      <c r="AF12" s="1049"/>
      <c r="AH12" s="1049"/>
      <c r="AI12" s="1049"/>
      <c r="AJ12" s="1049"/>
      <c r="AK12" s="1271">
        <f>IF(AK38="na","na",IF(AK39="na","na",SUM(AK15:AK39)/(AK9+SUM(AK15:AK35))))</f>
        <v>0.50170087810482367</v>
      </c>
      <c r="AL12" s="1049"/>
      <c r="AM12" s="1049"/>
      <c r="AN12" s="1049"/>
      <c r="AO12" s="1485"/>
      <c r="AP12" s="1049"/>
      <c r="AQ12" s="1277"/>
      <c r="AR12" s="1049"/>
      <c r="AS12" s="1049"/>
      <c r="AT12" s="1049"/>
      <c r="AU12" s="1277"/>
      <c r="AV12" s="1049"/>
      <c r="AW12" s="1049"/>
      <c r="AX12" s="1049"/>
      <c r="AY12" s="1049"/>
      <c r="AZ12" s="215" t="s">
        <v>254</v>
      </c>
      <c r="BA12" s="312">
        <f>SUM(BA15:BA61)/(SUM(BA15:BA59)+BA9)</f>
        <v>0.99511343804537522</v>
      </c>
      <c r="BB12" s="312">
        <f>SUM(BB15:BB59)/(SUM(BB15:BB59)+BB9)</f>
        <v>0.42197847682119205</v>
      </c>
      <c r="BC12" s="1114">
        <f>SUM(BC15:BC61)/(SUM(BC15:BC59)+BC9)</f>
        <v>0.55629945222154598</v>
      </c>
      <c r="BD12" s="312">
        <f t="shared" ref="BD12:BP12" si="1">SUM(BD15:BD61)/(SUM(BD15:BD59)+BD9)</f>
        <v>0.79594494047619047</v>
      </c>
      <c r="BE12" s="312">
        <f t="shared" si="1"/>
        <v>0.55320384014288904</v>
      </c>
      <c r="BF12" s="312">
        <f t="shared" si="1"/>
        <v>0.42684178124358713</v>
      </c>
      <c r="BG12" s="312">
        <f t="shared" si="1"/>
        <v>0.99512195121951219</v>
      </c>
      <c r="BH12" s="312">
        <f t="shared" si="1"/>
        <v>0.56712538226299691</v>
      </c>
      <c r="BI12" s="312">
        <f t="shared" si="1"/>
        <v>0.56698689500339372</v>
      </c>
      <c r="BJ12" s="312">
        <f t="shared" si="1"/>
        <v>0.63369033847072431</v>
      </c>
      <c r="BK12" s="312">
        <f t="shared" si="1"/>
        <v>0.4691743225284567</v>
      </c>
      <c r="BL12" s="312">
        <f t="shared" si="1"/>
        <v>0.63616768247361377</v>
      </c>
      <c r="BM12" s="312">
        <f t="shared" si="1"/>
        <v>0.60815814960405634</v>
      </c>
      <c r="BN12" s="312">
        <f t="shared" si="1"/>
        <v>0.68989402640459419</v>
      </c>
      <c r="BO12" s="312">
        <f t="shared" si="1"/>
        <v>0.63923389437028444</v>
      </c>
      <c r="BP12" s="312">
        <f t="shared" si="1"/>
        <v>0.21318954790543343</v>
      </c>
      <c r="BQ12" s="1049"/>
      <c r="BZ12" s="762"/>
    </row>
    <row r="13" spans="1:78" ht="14.45" customHeight="1" x14ac:dyDescent="0.2">
      <c r="A13" s="2" t="s">
        <v>260</v>
      </c>
      <c r="B13" s="32"/>
      <c r="E13" s="1277">
        <f>SUM(ERSUSSK)</f>
        <v>0.4148995234644986</v>
      </c>
      <c r="F13" s="1278"/>
      <c r="G13" s="1278"/>
      <c r="H13" s="1278"/>
      <c r="I13" s="1277">
        <f>SUM(ERSUSST)</f>
        <v>0.34861394455778233</v>
      </c>
      <c r="J13" s="1378">
        <f>SUM(ERSUSSN)</f>
        <v>0.32444630560208448</v>
      </c>
      <c r="K13" s="1049"/>
      <c r="L13" s="1049"/>
      <c r="M13" s="1049"/>
      <c r="N13" s="1049"/>
      <c r="O13" s="1049" t="s">
        <v>260</v>
      </c>
      <c r="P13" s="1277">
        <f>SUM(ERSUSHC)</f>
        <v>0.42060403015223924</v>
      </c>
      <c r="Q13" s="1049"/>
      <c r="R13" s="1049"/>
      <c r="S13" s="1049"/>
      <c r="T13" s="1144">
        <f>SUM(ERSUSJDF)</f>
        <v>8.8934426229508201E-2</v>
      </c>
      <c r="U13" s="1049"/>
      <c r="V13" s="1049"/>
      <c r="W13" s="1049"/>
      <c r="X13" s="1049"/>
      <c r="Y13" s="1049" t="s">
        <v>261</v>
      </c>
      <c r="Z13" s="1499">
        <f>SUM(ERSUSQF)</f>
        <v>5.8110145444274633E-2</v>
      </c>
      <c r="AA13" s="100">
        <f>SUM(ERSUSHO)</f>
        <v>0.13591457640844293</v>
      </c>
      <c r="AB13" s="1049"/>
      <c r="AC13" s="764"/>
      <c r="AD13" s="1049"/>
      <c r="AE13" s="100">
        <f>SUM(ERSUSQUEETS)</f>
        <v>0.12778648029361639</v>
      </c>
      <c r="AF13" s="1049"/>
      <c r="AG13" s="1049"/>
      <c r="AH13" s="1049"/>
      <c r="AI13" s="1049"/>
      <c r="AJ13" s="1049"/>
      <c r="AK13" s="1499">
        <f>SUM(ERSUSGH)</f>
        <v>5.7680051441524202E-2</v>
      </c>
      <c r="AL13" s="1049"/>
      <c r="AM13" s="1049"/>
      <c r="AN13" s="1049"/>
      <c r="AO13" s="1484"/>
      <c r="AP13" s="1049" t="s">
        <v>260</v>
      </c>
      <c r="AQ13" s="1271">
        <f>SUM(ERSUSSPS)</f>
        <v>0.4797035383226354</v>
      </c>
      <c r="AR13" s="1049"/>
      <c r="AS13" s="1049"/>
      <c r="AT13" s="1049"/>
      <c r="AU13" s="1271">
        <f>SUM(ERSUSNS)</f>
        <v>0.54846777518208056</v>
      </c>
      <c r="AV13" s="1049"/>
      <c r="AW13" s="1049"/>
      <c r="AX13" s="1049"/>
      <c r="AY13" s="1049"/>
      <c r="AZ13" s="215" t="s">
        <v>260</v>
      </c>
      <c r="BA13" s="753">
        <f t="shared" ref="BA13:BP13" si="2">SUM(BA17:BA59)/SUM(BA15:BA59,BA9)</f>
        <v>0.96910994764397906</v>
      </c>
      <c r="BB13" s="753">
        <f t="shared" si="2"/>
        <v>0.39631622516556292</v>
      </c>
      <c r="BC13" s="815">
        <f t="shared" si="2"/>
        <v>0.44674376141205113</v>
      </c>
      <c r="BD13" s="753">
        <f t="shared" si="2"/>
        <v>0.69138933982683981</v>
      </c>
      <c r="BE13" s="753">
        <f t="shared" si="2"/>
        <v>0.50212100915382896</v>
      </c>
      <c r="BF13" s="753">
        <f t="shared" si="2"/>
        <v>0.40153225254805391</v>
      </c>
      <c r="BG13" s="753">
        <f t="shared" si="2"/>
        <v>0.96916376306620211</v>
      </c>
      <c r="BH13" s="753">
        <f t="shared" si="2"/>
        <v>0.53126911314984715</v>
      </c>
      <c r="BI13" s="753">
        <f t="shared" si="2"/>
        <v>0.5473424528794445</v>
      </c>
      <c r="BJ13" s="753">
        <f t="shared" si="2"/>
        <v>0.60100011195283054</v>
      </c>
      <c r="BK13" s="753">
        <f t="shared" si="2"/>
        <v>0.43329288727104642</v>
      </c>
      <c r="BL13" s="753">
        <f t="shared" si="2"/>
        <v>0.60115950646647842</v>
      </c>
      <c r="BM13" s="753">
        <f t="shared" si="2"/>
        <v>0.55494787215860542</v>
      </c>
      <c r="BN13" s="753">
        <f t="shared" si="2"/>
        <v>0.63595997868687471</v>
      </c>
      <c r="BO13" s="753">
        <f t="shared" si="2"/>
        <v>0.59674985490423682</v>
      </c>
      <c r="BP13" s="753">
        <f t="shared" si="2"/>
        <v>0.1758606387391124</v>
      </c>
      <c r="BQ13" s="1049"/>
      <c r="BZ13" s="762"/>
    </row>
    <row r="14" spans="1:78" ht="14.45" customHeight="1" x14ac:dyDescent="0.2">
      <c r="A14" s="6" t="s">
        <v>129</v>
      </c>
      <c r="B14" s="6" t="s">
        <v>129</v>
      </c>
      <c r="C14" s="6" t="s">
        <v>129</v>
      </c>
      <c r="D14" s="6" t="s">
        <v>129</v>
      </c>
      <c r="E14" s="6" t="s">
        <v>129</v>
      </c>
      <c r="F14" s="6" t="s">
        <v>129</v>
      </c>
      <c r="G14" s="6" t="s">
        <v>129</v>
      </c>
      <c r="H14" s="6" t="s">
        <v>129</v>
      </c>
      <c r="I14" s="6" t="s">
        <v>129</v>
      </c>
      <c r="J14" s="705" t="s">
        <v>129</v>
      </c>
      <c r="K14" s="6" t="s">
        <v>129</v>
      </c>
      <c r="L14" s="6" t="s">
        <v>129</v>
      </c>
      <c r="M14" s="6" t="s">
        <v>129</v>
      </c>
      <c r="N14" s="1049"/>
      <c r="O14" s="6" t="s">
        <v>129</v>
      </c>
      <c r="P14" s="6" t="s">
        <v>129</v>
      </c>
      <c r="Q14" s="6" t="s">
        <v>129</v>
      </c>
      <c r="R14" s="6" t="s">
        <v>129</v>
      </c>
      <c r="S14" s="6" t="s">
        <v>129</v>
      </c>
      <c r="T14" s="6" t="s">
        <v>129</v>
      </c>
      <c r="U14" s="6" t="s">
        <v>129</v>
      </c>
      <c r="V14" s="6" t="s">
        <v>129</v>
      </c>
      <c r="W14" s="6" t="s">
        <v>129</v>
      </c>
      <c r="X14" s="1049"/>
      <c r="Y14" s="6" t="s">
        <v>129</v>
      </c>
      <c r="Z14" s="6" t="s">
        <v>129</v>
      </c>
      <c r="AA14" s="6" t="s">
        <v>129</v>
      </c>
      <c r="AB14" s="6" t="s">
        <v>129</v>
      </c>
      <c r="AC14" s="6" t="s">
        <v>129</v>
      </c>
      <c r="AD14" s="6" t="s">
        <v>129</v>
      </c>
      <c r="AE14" s="6" t="s">
        <v>129</v>
      </c>
      <c r="AF14" s="6" t="s">
        <v>129</v>
      </c>
      <c r="AG14" s="6" t="s">
        <v>129</v>
      </c>
      <c r="AH14" s="6" t="s">
        <v>129</v>
      </c>
      <c r="AI14" s="6"/>
      <c r="AJ14" s="6" t="s">
        <v>129</v>
      </c>
      <c r="AK14" s="6" t="s">
        <v>129</v>
      </c>
      <c r="AL14" s="6" t="s">
        <v>129</v>
      </c>
      <c r="AM14" s="6" t="s">
        <v>129</v>
      </c>
      <c r="AN14" s="6" t="s">
        <v>129</v>
      </c>
      <c r="AO14" s="1485"/>
      <c r="AP14" s="6" t="s">
        <v>129</v>
      </c>
      <c r="AQ14" s="6" t="s">
        <v>129</v>
      </c>
      <c r="AR14" s="6" t="s">
        <v>129</v>
      </c>
      <c r="AS14" s="6" t="s">
        <v>129</v>
      </c>
      <c r="AT14" s="6" t="s">
        <v>129</v>
      </c>
      <c r="AU14" s="6" t="s">
        <v>129</v>
      </c>
      <c r="AV14" s="6" t="s">
        <v>129</v>
      </c>
      <c r="AW14" s="6" t="s">
        <v>129</v>
      </c>
      <c r="AX14" s="6" t="s">
        <v>129</v>
      </c>
      <c r="AY14" s="1049"/>
      <c r="AZ14" s="706" t="s">
        <v>129</v>
      </c>
      <c r="BA14" s="6" t="s">
        <v>129</v>
      </c>
      <c r="BB14" s="6" t="s">
        <v>129</v>
      </c>
      <c r="BC14" s="705" t="s">
        <v>129</v>
      </c>
      <c r="BD14" s="6" t="s">
        <v>129</v>
      </c>
      <c r="BE14" s="6" t="s">
        <v>129</v>
      </c>
      <c r="BF14" s="6"/>
      <c r="BG14" s="6"/>
      <c r="BH14" s="6" t="s">
        <v>129</v>
      </c>
      <c r="BI14" s="6" t="s">
        <v>129</v>
      </c>
      <c r="BJ14" s="6" t="s">
        <v>129</v>
      </c>
      <c r="BK14" s="6" t="s">
        <v>129</v>
      </c>
      <c r="BL14" s="6" t="s">
        <v>129</v>
      </c>
      <c r="BM14" s="6" t="s">
        <v>129</v>
      </c>
      <c r="BN14" s="6" t="s">
        <v>129</v>
      </c>
      <c r="BO14" s="6" t="s">
        <v>129</v>
      </c>
      <c r="BP14" s="6" t="s">
        <v>129</v>
      </c>
      <c r="BQ14" s="1049"/>
      <c r="BZ14" s="762"/>
    </row>
    <row r="15" spans="1:78" x14ac:dyDescent="0.2">
      <c r="A15" s="2" t="s">
        <v>262</v>
      </c>
      <c r="B15" s="181">
        <f>SUM(Table2PRN!G6898:G6924)</f>
        <v>53658</v>
      </c>
      <c r="C15" s="14">
        <f>SUM(Table2PRN!G6688:G6714)</f>
        <v>184937</v>
      </c>
      <c r="D15" s="20">
        <f>B15+C15</f>
        <v>238595</v>
      </c>
      <c r="E15" s="181">
        <f>SUM(Table2PRN!G178:G204)</f>
        <v>1409</v>
      </c>
      <c r="F15" s="14">
        <f>SUM(Table2PRN!G598:G624)</f>
        <v>1285</v>
      </c>
      <c r="G15" s="14">
        <f>SUM(Table2PRN!G388:G414)</f>
        <v>1438</v>
      </c>
      <c r="H15" s="20">
        <f>F15+G15</f>
        <v>2723</v>
      </c>
      <c r="I15" s="181">
        <f>SUM(Table2PRN!G808:G834)</f>
        <v>267</v>
      </c>
      <c r="J15" s="1088">
        <f>SUM(Table2PRN!G1018:G1044)</f>
        <v>686</v>
      </c>
      <c r="K15" s="14">
        <f>SUM(Table2PRN!G1438:G1464)</f>
        <v>537</v>
      </c>
      <c r="L15" s="14">
        <f>SUM(Table2PRN!G1228:G1254)</f>
        <v>976</v>
      </c>
      <c r="M15" s="20">
        <f>K15+L15</f>
        <v>1513</v>
      </c>
      <c r="O15" s="2" t="s">
        <v>262</v>
      </c>
      <c r="P15" s="181">
        <f>SUM(Table2PRN!G1648:G1674)</f>
        <v>404</v>
      </c>
      <c r="Q15" s="14">
        <f>SUM(Table2PRN!G2068:G2094)</f>
        <v>3091</v>
      </c>
      <c r="R15" s="14">
        <f>SUM(Table2PRN!G1858:G1884)</f>
        <v>535</v>
      </c>
      <c r="S15" s="20">
        <f>Q15+R15</f>
        <v>3626</v>
      </c>
      <c r="T15" s="1108">
        <f>SUM(JDF!N9,JDF!P9)</f>
        <v>110</v>
      </c>
      <c r="U15" s="14">
        <f>SUM(Table2PRN!G2698:G2724)</f>
        <v>396</v>
      </c>
      <c r="V15" s="14">
        <f>SUM(Table2PRN!G2488:G2514)</f>
        <v>145</v>
      </c>
      <c r="W15" s="20">
        <f>U15+V15</f>
        <v>541</v>
      </c>
      <c r="X15" s="20"/>
      <c r="Y15" s="2" t="s">
        <v>262</v>
      </c>
      <c r="Z15" s="1108">
        <f>SUM(Table2PRN!G2908:G2934)</f>
        <v>90</v>
      </c>
      <c r="AA15" s="20">
        <f>SUM(Table2PRN!G3118:G3144)</f>
        <v>114</v>
      </c>
      <c r="AB15" s="20">
        <f>SUM(Table2PRN!G3538:G3564)</f>
        <v>238</v>
      </c>
      <c r="AC15" s="20">
        <f>SUM(Table2PRN!G3328:G3354)</f>
        <v>109</v>
      </c>
      <c r="AD15" s="20">
        <f>AB15+AC15</f>
        <v>347</v>
      </c>
      <c r="AE15" s="20">
        <f>SUM(Table2PRN!G3748:G3774)</f>
        <v>384</v>
      </c>
      <c r="AF15" s="1109">
        <f>AG$3*AH15+AH$3*AI15</f>
        <v>0</v>
      </c>
      <c r="AG15" s="1109">
        <f>SUM(Table2PRN!G4168:G4194)</f>
        <v>754</v>
      </c>
      <c r="AH15" s="20">
        <f>SUM(Table2PRN!G4588:G4614)</f>
        <v>696</v>
      </c>
      <c r="AI15" s="20">
        <f>SUM(Table2PRN!G4378:G4404)</f>
        <v>446</v>
      </c>
      <c r="AJ15" s="20">
        <f>AH15+AI15</f>
        <v>1142</v>
      </c>
      <c r="AK15" s="1108">
        <f>SUM(Table2PRN!G4798:G4824)</f>
        <v>1462</v>
      </c>
      <c r="AL15" s="20">
        <f>SUM(Table2PRN!G5218:G5244)</f>
        <v>1298</v>
      </c>
      <c r="AM15" s="20">
        <f>SUM(Table2PRN!G5008:G5034)</f>
        <v>1496</v>
      </c>
      <c r="AN15" s="20">
        <f>AL15+AM15</f>
        <v>2794</v>
      </c>
      <c r="AP15" s="2" t="s">
        <v>262</v>
      </c>
      <c r="AQ15" s="181">
        <f>SUM(Table2PRN!G5428:G5454)</f>
        <v>367</v>
      </c>
      <c r="AR15" s="14">
        <f>SUM(Table2PRN!G5848:G5874)</f>
        <v>5579</v>
      </c>
      <c r="AS15" s="14">
        <f>SUM(Table2PRN!G5638:G5664)</f>
        <v>1053</v>
      </c>
      <c r="AT15" s="20">
        <f>AR15+AS15</f>
        <v>6632</v>
      </c>
      <c r="AU15" s="181">
        <f>SUM(Table2PRN!G6058:G6084)</f>
        <v>912</v>
      </c>
      <c r="AV15" s="14">
        <f>SUM(Table2PRN!G6478:G6504)</f>
        <v>7830</v>
      </c>
      <c r="AW15" s="14">
        <f>SUM(Table2PRN!G6268:G6294)</f>
        <v>912</v>
      </c>
      <c r="AX15" s="20">
        <f>AV15+AW15</f>
        <v>8742</v>
      </c>
      <c r="AZ15" s="215" t="s">
        <v>262</v>
      </c>
      <c r="BA15" s="90">
        <f>SUM(Table2PRN!$G$8788:$G$8814)</f>
        <v>149</v>
      </c>
      <c r="BB15" s="754">
        <f>SUM(Table2PRN!$G$8998:$G$9024)</f>
        <v>372</v>
      </c>
      <c r="BC15" s="816">
        <f>SUM(StockSumPRN!$H$176:$I$202)</f>
        <v>180</v>
      </c>
      <c r="BD15" s="755">
        <f>SUM(StockSumPRN!F176:G202)</f>
        <v>6174</v>
      </c>
      <c r="BE15" s="30">
        <f>SUM(StockSumPRN!J381:K407)</f>
        <v>1144</v>
      </c>
      <c r="BF15" s="30">
        <f>SUM(StockSumPRN!H791:I817)</f>
        <v>370</v>
      </c>
      <c r="BG15" s="30">
        <f>SUM(StockSumPRN!$D$791:$E$817)</f>
        <v>149</v>
      </c>
      <c r="BH15" s="30">
        <f>SUM(StockSumPRN!J2021:K2047)</f>
        <v>468</v>
      </c>
      <c r="BI15" s="30">
        <f>SUM(StockSumPRN!F2021:G2047)</f>
        <v>1498</v>
      </c>
      <c r="BJ15" s="30">
        <f>SUM(StockSumPRN!D1816:E1842)</f>
        <v>874</v>
      </c>
      <c r="BK15" s="30">
        <f>SUM(StockSumPRN!D1611:E1637)</f>
        <v>620</v>
      </c>
      <c r="BL15" s="30">
        <f>SUM(StockSumPRN!H1406:I1432)</f>
        <v>470</v>
      </c>
      <c r="BM15" s="754">
        <f>SUM(StockSumPRN!$H$1201:$I$1227)</f>
        <v>930</v>
      </c>
      <c r="BN15" s="30">
        <f>SUM(StockSumPRN!$H$996:$I$1022)</f>
        <v>1812</v>
      </c>
      <c r="BO15" s="30">
        <f>SUM(StockSumPRN!J2226:K2252)</f>
        <v>323</v>
      </c>
      <c r="BP15" s="30">
        <f>SUM(StockSumPRN!D2431:E2457)</f>
        <v>78</v>
      </c>
      <c r="BZ15" s="762"/>
    </row>
    <row r="16" spans="1:78" x14ac:dyDescent="0.2">
      <c r="A16" s="2" t="s">
        <v>263</v>
      </c>
      <c r="B16" s="1108">
        <f>SUM(Table2PRN!G6925:G6929)</f>
        <v>99782</v>
      </c>
      <c r="C16" s="20">
        <f>SUM(Table2PRN!G6715:G6719)</f>
        <v>1956243</v>
      </c>
      <c r="D16" s="20">
        <f>B16+C16</f>
        <v>2056025</v>
      </c>
      <c r="E16" s="1108">
        <f>SUM(Table2PRN!G205:G209)</f>
        <v>2</v>
      </c>
      <c r="F16" s="20">
        <f>SUM(Table2PRN!G625:G629)</f>
        <v>0</v>
      </c>
      <c r="G16" s="20">
        <f>SUM(Table2PRN!G415:G419)</f>
        <v>2</v>
      </c>
      <c r="H16" s="20">
        <f>F16+G16</f>
        <v>2</v>
      </c>
      <c r="I16" s="1108">
        <f>SUM(Table2PRN!G835:G839)</f>
        <v>0</v>
      </c>
      <c r="J16" s="1335">
        <f>SUM(Table2PRN!G1045:G1049)</f>
        <v>0</v>
      </c>
      <c r="K16" s="20">
        <f>SUM(Table2PRN!G1465:G1469)</f>
        <v>0</v>
      </c>
      <c r="L16" s="20">
        <f>SUM(Table2PRN!G1255:G1259)</f>
        <v>0</v>
      </c>
      <c r="M16" s="20">
        <f>K16+L16</f>
        <v>0</v>
      </c>
      <c r="O16" s="2" t="s">
        <v>263</v>
      </c>
      <c r="P16" s="1108">
        <f>SUM(Table2PRN!G1675:G1679)</f>
        <v>6</v>
      </c>
      <c r="Q16" s="20">
        <f>SUM(Table2PRN!G2095:G2099)</f>
        <v>14</v>
      </c>
      <c r="R16" s="20">
        <f>SUM(Table2PRN!G1885:G1889)</f>
        <v>7</v>
      </c>
      <c r="S16" s="20">
        <f>Q16+R16</f>
        <v>21</v>
      </c>
      <c r="T16" s="1108">
        <f>SUM(JDF!N10,JDF!P10)</f>
        <v>40</v>
      </c>
      <c r="U16" s="20">
        <f>SUM(Table2PRN!G2725:G2729)</f>
        <v>53</v>
      </c>
      <c r="V16" s="20">
        <f>SUM(Table2PRN!G2515:G2519)</f>
        <v>51</v>
      </c>
      <c r="W16" s="20">
        <f>U16+V16</f>
        <v>104</v>
      </c>
      <c r="Y16" s="2" t="s">
        <v>263</v>
      </c>
      <c r="Z16" s="1108">
        <f>SUM(Table2PRN!G2935:G2939)</f>
        <v>9</v>
      </c>
      <c r="AA16" s="20">
        <f>SUM(Table2PRN!G3145:G3149)</f>
        <v>20</v>
      </c>
      <c r="AB16" s="20">
        <f>SUM(Table2PRN!G3565:G3569)</f>
        <v>13</v>
      </c>
      <c r="AC16" s="20">
        <f>SUM(Table2PRN!G3355:G3359)</f>
        <v>11</v>
      </c>
      <c r="AD16" s="20">
        <f>AB16+AC16</f>
        <v>24</v>
      </c>
      <c r="AE16" s="20">
        <f>SUM(Table2PRN!G3775:G3779)</f>
        <v>33</v>
      </c>
      <c r="AF16" s="1109">
        <f>AG$3*AH16+AH$3*AI16</f>
        <v>0</v>
      </c>
      <c r="AG16" s="1109">
        <f>SUM(Table2PRN!G4195:G4199)</f>
        <v>37</v>
      </c>
      <c r="AH16" s="20">
        <f>SUM(Table2PRN!G4615:G4619)</f>
        <v>32</v>
      </c>
      <c r="AI16" s="20">
        <f>SUM(Table2PRN!G4405:G4409)</f>
        <v>38</v>
      </c>
      <c r="AJ16" s="20">
        <f>AH16+AI16</f>
        <v>70</v>
      </c>
      <c r="AK16" s="1108">
        <f>SUM(Table2PRN!G4825:G4829)</f>
        <v>530</v>
      </c>
      <c r="AL16" s="20">
        <f>SUM(Table2PRN!G5245:G5249)</f>
        <v>316</v>
      </c>
      <c r="AM16" s="20">
        <f>SUM(Table2PRN!G5035:G5039)</f>
        <v>541</v>
      </c>
      <c r="AN16" s="20">
        <f>AL16+AM16</f>
        <v>857</v>
      </c>
      <c r="AP16" s="2" t="s">
        <v>263</v>
      </c>
      <c r="AQ16" s="1108">
        <f>SUM(Table2PRN!G5455:G5459)</f>
        <v>2</v>
      </c>
      <c r="AR16" s="20">
        <f>SUM(Table2PRN!G5875:G5879)</f>
        <v>9</v>
      </c>
      <c r="AS16" s="20">
        <f>SUM(Table2PRN!G5665:G5669)</f>
        <v>6</v>
      </c>
      <c r="AT16" s="20">
        <f>AR16+AS16</f>
        <v>15</v>
      </c>
      <c r="AU16" s="1108">
        <f>SUM(Table2PRN!G6085:G6089)</f>
        <v>6</v>
      </c>
      <c r="AV16" s="20">
        <f>SUM(Table2PRN!G6505:G6509)</f>
        <v>11</v>
      </c>
      <c r="AW16" s="20">
        <f>SUM(Table2PRN!G6295:G6299)</f>
        <v>6</v>
      </c>
      <c r="AX16" s="20">
        <f>AV16+AW16</f>
        <v>17</v>
      </c>
      <c r="AZ16" s="215" t="s">
        <v>263</v>
      </c>
      <c r="BA16" s="90">
        <f>SUM(Table2PRN!$G$8815:G8819)</f>
        <v>0</v>
      </c>
      <c r="BB16" s="754">
        <f>SUM(Table2PRN!$G$9025:$G$9029)</f>
        <v>0</v>
      </c>
      <c r="BC16" s="817">
        <f>SUM(StockSumPRN!$H$203:$I$207)</f>
        <v>0</v>
      </c>
      <c r="BD16" s="30">
        <f>SUM(StockSumPRN!F203:G207)</f>
        <v>9</v>
      </c>
      <c r="BE16" s="30">
        <f>SUM(StockSumPRN!J408:K412)</f>
        <v>0</v>
      </c>
      <c r="BF16" s="30">
        <f>SUM(StockSumPRN!H818:I822)</f>
        <v>0</v>
      </c>
      <c r="BG16" s="30">
        <f>SUM(StockSumPRN!$D$818:$E$822)</f>
        <v>0</v>
      </c>
      <c r="BH16" s="30">
        <f>SUM(StockSumPRN!J2048:K2052)</f>
        <v>1</v>
      </c>
      <c r="BI16" s="30">
        <f>SUM(StockSumPRN!F2048:G2052)</f>
        <v>4</v>
      </c>
      <c r="BJ16" s="30">
        <f>SUM(StockSumPRN!D1843:E1847)</f>
        <v>1</v>
      </c>
      <c r="BK16" s="30">
        <f>SUM(StockSumPRN!D1638:E1642)</f>
        <v>1</v>
      </c>
      <c r="BL16" s="30">
        <f>SUM(StockSumPRN!H1433:I1437)</f>
        <v>1</v>
      </c>
      <c r="BM16" s="754">
        <f>SUM(StockSumPRN!$H$1228:$I$1232)</f>
        <v>4</v>
      </c>
      <c r="BN16" s="30">
        <f>SUM(StockSumPRN!$H$1023:$I$1027)</f>
        <v>9</v>
      </c>
      <c r="BO16" s="30">
        <f>SUM(StockSumPRN!J2253:K2257)</f>
        <v>43</v>
      </c>
      <c r="BP16" s="30">
        <f>SUM(StockSumPRN!D2458:E2462)</f>
        <v>12</v>
      </c>
      <c r="BQ16" s="20"/>
      <c r="BZ16" s="764"/>
    </row>
    <row r="17" spans="1:78" x14ac:dyDescent="0.2">
      <c r="A17" s="2" t="s">
        <v>264</v>
      </c>
      <c r="B17" s="1108">
        <f>SUM(Table2PRN!G6735,Table2PRN!G6737,Table2PRN!G6739,Table2PRN!G6747,Table2PRN!G6749,Table2PRN!G6751,Table2PRN!G6753)</f>
        <v>13915</v>
      </c>
      <c r="C17" s="20">
        <f>SUM(Table2PRN!G6525,Table2PRN!G6527,Table2PRN!G6529,Table2PRN!G6537,Table2PRN!G6539,Table2PRN!G6541,Table2PRN!G6543)</f>
        <v>6204</v>
      </c>
      <c r="D17" s="20">
        <f>B17+C17</f>
        <v>20119</v>
      </c>
      <c r="E17" s="1108">
        <f>SUM(Table2PRN!G15,Table2PRN!G17,Table2PRN!G19,Table2PRN!G27,Table2PRN!G29,Table2PRN!G31,Table2PRN!G33)</f>
        <v>26</v>
      </c>
      <c r="F17" s="20">
        <f>SUM(Table2PRN!G435,Table2PRN!G437,Table2PRN!G439,Table2PRN!G447,Table2PRN!G449,Table2PRN!G451,Table2PRN!G453)</f>
        <v>11</v>
      </c>
      <c r="G17" s="20">
        <f>SUM(Table2PRN!G225,Table2PRN!G227,Table2PRN!G229,Table2PRN!G237,Table2PRN!G239,Table2PRN!G241,Table2PRN!G243)</f>
        <v>27</v>
      </c>
      <c r="H17" s="20">
        <f>F17+G17</f>
        <v>38</v>
      </c>
      <c r="I17" s="1108">
        <f>SUM(Table2PRN!G645,Table2PRN!G647,Table2PRN!G649,Table2PRN!G657,Table2PRN!G659,Table2PRN!G661,Table2PRN!G663)</f>
        <v>8</v>
      </c>
      <c r="J17" s="1335">
        <f>SUM(Table2PRN!G855,Table2PRN!G857,Table2PRN!G859,Table2PRN!G867,Table2PRN!G869,Table2PRN!G871,Table2PRN!G873)</f>
        <v>21</v>
      </c>
      <c r="K17" s="20">
        <f>SUM(Table2PRN!G1275,Table2PRN!G1277,Table2PRN!G1279,Table2PRN!G1287,Table2PRN!G1289,Table2PRN!G1291,Table2PRN!G1293)</f>
        <v>12</v>
      </c>
      <c r="L17" s="20">
        <f>SUM(Table2PRN!G1065,Table2PRN!G1067,Table2PRN!G1069,Table2PRN!G1077,Table2PRN!G1079,Table2PRN!G1081,Table2PRN!G1083)</f>
        <v>31</v>
      </c>
      <c r="M17" s="20">
        <f>K17+L17</f>
        <v>43</v>
      </c>
      <c r="O17" s="2" t="s">
        <v>264</v>
      </c>
      <c r="P17" s="1108">
        <f>SUM(Table2PRN!G1485,Table2PRN!G1487,Table2PRN!G1489,Table2PRN!G1497,Table2PRN!G1499,Table2PRN!G1501,Table2PRN!G1503)</f>
        <v>11</v>
      </c>
      <c r="Q17" s="20">
        <f>SUM(Table2PRN!G1905,Table2PRN!G1907,Table2PRN!G1909,Table2PRN!G1917,Table2PRN!G1919,Table2PRN!G1921,Table2PRN!G1923)</f>
        <v>51</v>
      </c>
      <c r="R17" s="20">
        <f>SUM(Table2PRN!G1695,Table2PRN!G1697,Table2PRN!G1699,Table2PRN!G1707,Table2PRN!G1709,Table2PRN!G1711,Table2PRN!G1713)</f>
        <v>14</v>
      </c>
      <c r="S17" s="20">
        <f>Q17+R17</f>
        <v>65</v>
      </c>
      <c r="T17" s="1108">
        <f>SUM(StockSumPRN!E2268:H2268,StockSumPRN!E2270:H2270,StockSumPRN!E2272:H2272,StockSumPRN!E2280:H2280,StockSumPRN!E2282:H2282,StockSumPRN!E2284:H2284,StockSumPRN!E2286:H2286,StockSumPRN!B2473:C2473,StockSumPRN!B2475:C2475,StockSumPRN!B2477:C2477,StockSumPRN!B2485:C2485,StockSumPRN!B2487:C2487,StockSumPRN!B2489:C2489,StockSumPRN!B2491:C2491)</f>
        <v>8</v>
      </c>
      <c r="U17" s="20">
        <f>SUM(Table2PRN!G2535,Table2PRN!G2537,Table2PRN!G2539,Table2PRN!G2547,Table2PRN!G2549,Table2PRN!G2551,Table2PRN!G2553)</f>
        <v>12</v>
      </c>
      <c r="V17" s="20">
        <f>SUM(Table2PRN!G2325,Table2PRN!G2327,Table2PRN!G2329,Table2PRN!G2337,Table2PRN!G2339,Table2PRN!G2341,Table2PRN!G2343)</f>
        <v>8</v>
      </c>
      <c r="W17" s="20">
        <f>U17+V17</f>
        <v>20</v>
      </c>
      <c r="Y17" s="2" t="s">
        <v>264</v>
      </c>
      <c r="Z17" s="1108">
        <f>SUM(Table2PRN!G2745,Table2PRN!G2747,Table2PRN!G2749,Table2PRN!G2757,Table2PRN!G2759,Table2PRN!G2761,Table2PRN!G2763)</f>
        <v>29</v>
      </c>
      <c r="AA17" s="20">
        <f>SUM(Table2PRN!G2955,Table2PRN!G2957,Table2PRN!G2959,Table2PRN!G2967,Table2PRN!G2969,Table2PRN!G2971,Table2PRN!G2973)</f>
        <v>16</v>
      </c>
      <c r="AB17" s="20">
        <f>SUM(Table2PRN!G3375,Table2PRN!G3377,Table2PRN!G3379,Table2PRN!G3387,Table2PRN!G3389,Table2PRN!G3391,Table2PRN!G3393)</f>
        <v>70</v>
      </c>
      <c r="AC17" s="20">
        <f>SUM(Table2PRN!G3165,Table2PRN!G3167,Table2PRN!G3169,Table2PRN!G3177,Table2PRN!G3179,Table2PRN!G3181,Table2PRN!G3183)</f>
        <v>35</v>
      </c>
      <c r="AD17" s="20">
        <f>AB17+AC17</f>
        <v>105</v>
      </c>
      <c r="AE17" s="20">
        <f>SUM(Table2PRN!G3585,Table2PRN!G3587,Table2PRN!G3589,Table2PRN!G3597,Table2PRN!G3599,Table2PRN!G3601,Table2PRN!G3603)</f>
        <v>84</v>
      </c>
      <c r="AF17" s="1109">
        <f>AG$3*AH17+AH$3*AI17</f>
        <v>0</v>
      </c>
      <c r="AG17" s="1109">
        <f>SUM(Table2PRN!G4005,Table2PRN!G4007,Table2PRN!G4009,Table2PRN!G4017,Table2PRN!G4019,Table2PRN!G4021,Table2PRN!G4023)</f>
        <v>186</v>
      </c>
      <c r="AH17" s="20">
        <f>SUM(Table2PRN!G4425,Table2PRN!G4427,Table2PRN!G4429,Table2PRN!G4437,Table2PRN!G4439,Table2PRN!G4441,Table2PRN!G4443)</f>
        <v>172</v>
      </c>
      <c r="AI17" s="20">
        <f>SUM(Table2PRN!G4215,Table2PRN!G4217,Table2PRN!G4219,Table2PRN!G4227,Table2PRN!G4229,Table2PRN!G4231,Table2PRN!G4233)</f>
        <v>98</v>
      </c>
      <c r="AJ17" s="20">
        <f>AH17+AI17</f>
        <v>270</v>
      </c>
      <c r="AK17" s="1108">
        <f>SUM(Table2PRN!G4635,Table2PRN!G4637,Table2PRN!G4639,Table2PRN!G4647,Table2PRN!G4649,Table2PRN!G4651,Table2PRN!G4653)</f>
        <v>132</v>
      </c>
      <c r="AL17" s="20">
        <f>SUM(Table2PRN!G5055,Table2PRN!G5057,Table2PRN!G5059,Table2PRN!G5067,Table2PRN!G5069,Table2PRN!G5071,Table2PRN!G5073)</f>
        <v>187</v>
      </c>
      <c r="AM17" s="20">
        <f>SUM(Table2PRN!G4845,Table2PRN!G4847,Table2PRN!G4849,Table2PRN!G4857,Table2PRN!G4859,Table2PRN!G4861,Table2PRN!G4863)</f>
        <v>136</v>
      </c>
      <c r="AN17" s="20">
        <f>AL17+AM17</f>
        <v>323</v>
      </c>
      <c r="AP17" s="2" t="s">
        <v>264</v>
      </c>
      <c r="AQ17" s="1108">
        <f>SUM(Table2PRN!G5265,Table2PRN!G5267,Table2PRN!G5269,Table2PRN!G5277,Table2PRN!G5279,Table2PRN!G5281,Table2PRN!G5283)</f>
        <v>14</v>
      </c>
      <c r="AR17" s="20">
        <f>SUM(Table2PRN!G5685,Table2PRN!G5687,Table2PRN!G5689,Table2PRN!G5697,Table2PRN!G5699,Table2PRN!G5701,Table2PRN!G5703)</f>
        <v>135</v>
      </c>
      <c r="AS17" s="2">
        <f>SUM(Table2PRN!G5477,Table2PRN!G5475,Table2PRN!G5479,Table2PRN!G5487,Table2PRN!G5489,Table2PRN!G5491,Table2PRN!G5493)</f>
        <v>43</v>
      </c>
      <c r="AT17" s="20">
        <f>AR17+AS17</f>
        <v>178</v>
      </c>
      <c r="AU17" s="1108">
        <f>SUM(Table2PRN!G5895,Table2PRN!G5897,Table2PRN!G5899,Table2PRN!G5907,Table2PRN!G5909,Table2PRN!G5911,Table2PRN!G5913)</f>
        <v>11</v>
      </c>
      <c r="AV17" s="20">
        <f>SUM(Table2PRN!G6315,Table2PRN!G6317,Table2PRN!G6319,Table2PRN!G6327,Table2PRN!G6329,Table2PRN!G6331,Table2PRN!G6333)</f>
        <v>38</v>
      </c>
      <c r="AW17" s="20">
        <f>SUM(Table2PRN!G6105,Table2PRN!G6107,Table2PRN!G6109,Table2PRN!G6117,Table2PRN!G6119,Table2PRN!G6121,Table2PRN!G6123)</f>
        <v>11</v>
      </c>
      <c r="AX17" s="20">
        <f>AV17+AW17</f>
        <v>49</v>
      </c>
      <c r="AZ17" s="215" t="s">
        <v>264</v>
      </c>
      <c r="BA17" s="90">
        <f>SUM(Table2PRN!G8625,Table2PRN!G8627,Table2PRN!G8629,Table2PRN!G8637,Table2PRN!G8639,Table2PRN!G8641,Table2PRN!G8643)</f>
        <v>4</v>
      </c>
      <c r="BB17" s="754">
        <f>SUM(Table2PRN!$G$8835,Table2PRN!$G$8837,Table2PRN!$G$8839,Table2PRN!$G$8847,Table2PRN!$G$8849,Table2PRN!$G$8851,Table2PRN!$G$8853)</f>
        <v>9</v>
      </c>
      <c r="BC17" s="817">
        <f>SUM(StockSumPRN!$H$13:$I$13,StockSumPRN!H15:I15,StockSumPRN!H17:I17,StockSumPRN!H25:I25,StockSumPRN!H27:I27,StockSumPRN!H29:I29,StockSumPRN!H31:I31)</f>
        <v>1</v>
      </c>
      <c r="BD17" s="30">
        <f>SUM(StockSumPRN!F13:G13,StockSumPRN!F15:G15,StockSumPRN!F17:G17,StockSumPRN!F25:G25,StockSumPRN!F27:G27,StockSumPRN!F29:G29,StockSumPRN!F31:G31)</f>
        <v>29</v>
      </c>
      <c r="BE17" s="30">
        <f>SUM(StockSumPRN!J218:K218,StockSumPRN!J220:K220,StockSumPRN!J222:K222,StockSumPRN!J230:K230,StockSumPRN!J232:K232,StockSumPRN!J234:K234,StockSumPRN!J236:K236)</f>
        <v>9</v>
      </c>
      <c r="BF17" s="30">
        <f>SUM(StockSumPRN!H628:I628,StockSumPRN!H630:I630,StockSumPRN!H632:I632,StockSumPRN!H640:I640,StockSumPRN!H642:I642,StockSumPRN!H644:I644,StockSumPRN!H646:I646)</f>
        <v>9</v>
      </c>
      <c r="BG17" s="30">
        <f>SUM(StockSumPRN!$D$628:$E$628,StockSumPRN!$D$630:$E$630,StockSumPRN!$D$632:$E$632,StockSumPRN!$D$640:$E$640,StockSumPRN!$D$642:$E$642,StockSumPRN!$D$644:$E$644,StockSumPRN!$D$646:$E$646)</f>
        <v>4</v>
      </c>
      <c r="BH17" s="30">
        <f>SUM(StockSumPRN!J1858:K1858,StockSumPRN!J1860:K1860,StockSumPRN!J1862:K1862,StockSumPRN!J1870:K1870,StockSumPRN!J1872:K1872,StockSumPRN!J1874:K1874,StockSumPRN!J1876:K1876)</f>
        <v>11</v>
      </c>
      <c r="BI17" s="30">
        <f>SUM(StockSumPRN!F1858:G1858,StockSumPRN!F1860:G1860,StockSumPRN!F1862:G1862,StockSumPRN!F1870:G1870,StockSumPRN!F1872:G1872,StockSumPRN!F1874:G1874,StockSumPRN!F1876:G1876)</f>
        <v>46</v>
      </c>
      <c r="BJ17" s="30">
        <f>SUM(StockSumPRN!D1653:E1653,StockSumPRN!D1655:E1655,StockSumPRN!D1657:E1657,StockSumPRN!D1665:E1665,StockSumPRN!D1667:E1667,StockSumPRN!D1669:E1669,StockSumPRN!D1671:E1671)</f>
        <v>22</v>
      </c>
      <c r="BK17" s="30">
        <f>SUM(StockSumPRN!D1448:E1448,StockSumPRN!D1450:E1450,StockSumPRN!D1452:E1452,StockSumPRN!D1460:E1460,StockSumPRN!D1462:E1462,StockSumPRN!D1464:E1464,StockSumPRN!D1466:E1466)</f>
        <v>15</v>
      </c>
      <c r="BL17" s="30">
        <f>SUM(StockSumPRN!H1243:I1243,StockSumPRN!H1245:I1245,StockSumPRN!H1247:I1247,StockSumPRN!H1255:I1255,StockSumPRN!H1257:I1257,StockSumPRN!H1259:I1259,StockSumPRN!H1261:I1261)</f>
        <v>11</v>
      </c>
      <c r="BM17" s="754">
        <f>SUM(StockSumPRN!$H$1038:$I$1038,StockSumPRN!$H$1040:$I$1040,StockSumPRN!$H$1042:$I$1042,StockSumPRN!$H$1050:$I$1050,StockSumPRN!$H$1052:$I$1052,StockSumPRN!$H$1054:$I$1054,StockSumPRN!$H$1056:$I$1056)</f>
        <v>16</v>
      </c>
      <c r="BN17" s="30">
        <f>SUM(StockSumPRN!$H$833:$I$833,StockSumPRN!$H$835:$I$835,StockSumPRN!$H$837:$I$837,StockSumPRN!$H$845:$I$845,StockSumPRN!$H$847:$I$847,StockSumPRN!$H$849:$I$849,StockSumPRN!$H$851:$I$851)</f>
        <v>32</v>
      </c>
      <c r="BO17" s="30">
        <f>SUM(StockSumPRN!J2063:K2063,StockSumPRN!J2065:K2065,StockSumPRN!J2067:K2067,StockSumPRN!J2075:K2075,StockSumPRN!J2077:K2077,StockSumPRN!J2079:K2079,StockSumPRN!J2081:K2081)</f>
        <v>10</v>
      </c>
      <c r="BP17" s="30">
        <f>SUM(StockSumPRN!D2268:E2268,StockSumPRN!D2270:E2270,StockSumPRN!D2272:E2272,StockSumPRN!D2280:E2280,StockSumPRN!D2282:E2282,StockSumPRN!D2284:E2284,StockSumPRN!D2286:E2286)</f>
        <v>2</v>
      </c>
      <c r="BQ17" s="20"/>
      <c r="BZ17" s="764"/>
    </row>
    <row r="18" spans="1:78" x14ac:dyDescent="0.2">
      <c r="A18" s="2" t="s">
        <v>265</v>
      </c>
      <c r="B18" s="1108">
        <f>SUM(Table2PRN!G6734,Table2PRN!G6736,Table2PRN!G6738,Table2PRN!G6746,Table2PRN!G6748,Table2PRN!G6750,Table2PRN!G6752)</f>
        <v>110591</v>
      </c>
      <c r="C18" s="20">
        <f>SUM(Table2PRN!G6524,Table2PRN!G6526,Table2PRN!G6528,Table2PRN!G6536,Table2PRN!G6538,Table2PRN!G6540,Table2PRN!G6542)</f>
        <v>33521</v>
      </c>
      <c r="D18" s="20">
        <f>B18+C18</f>
        <v>144112</v>
      </c>
      <c r="E18" s="1108">
        <f>SUM(Table2PRN!G14,Table2PRN!G16,Table2PRN!G18,Table2PRN!G26,Table2PRN!G28,Table2PRN!G30,Table2PRN!G32)</f>
        <v>79</v>
      </c>
      <c r="F18" s="20">
        <f>SUM(Table2PRN!G434,Table2PRN!G438,Table2PRN!G436,Table2PRN!G446,Table2PRN!G448,Table2PRN!G450,Table2PRN!G452)</f>
        <v>73</v>
      </c>
      <c r="G18" s="20">
        <f>SUM(Table2PRN!G224,Table2PRN!G226,Table2PRN!G228,Table2PRN!G236,Table2PRN!G238,Table2PRN!G240,Table2PRN!G242)</f>
        <v>81</v>
      </c>
      <c r="H18" s="20">
        <f>F18+G18</f>
        <v>154</v>
      </c>
      <c r="I18" s="1108">
        <f>SUM(Table2PRN!G644,Table2PRN!G646,Table2PRN!G648,Table2PRN!G656,Table2PRN!G658,Table2PRN!G660,Table2PRN!G662)</f>
        <v>24</v>
      </c>
      <c r="J18" s="1335">
        <f>SUM(Table2PRN!G854,Table2PRN!G856,Table2PRN!G858,Table2PRN!G866,Table2PRN!G868,Table2PRN!G870,Table2PRN!G872)</f>
        <v>64</v>
      </c>
      <c r="K18" s="20">
        <f>SUM(Table2PRN!G1274,Table2PRN!G1276,Table2PRN!G1278,Table2PRN!G1286,Table2PRN!G1288,Table2PRN!G1290,Table2PRN!G1292)</f>
        <v>78</v>
      </c>
      <c r="L18" s="20">
        <f>SUM(Table2PRN!G1064,Table2PRN!G1066,Table2PRN!G1068,Table2PRN!G1076,Table2PRN!G1078,Table2PRN!G1080,Table2PRN!G1082)</f>
        <v>90</v>
      </c>
      <c r="M18" s="20">
        <f>K18+L18</f>
        <v>168</v>
      </c>
      <c r="O18" s="2" t="s">
        <v>265</v>
      </c>
      <c r="P18" s="1108">
        <f>SUM(Table2PRN!G1484,Table2PRN!G1486,Table2PRN!G1488,Table2PRN!G1496,Table2PRN!G1498,Table2PRN!G1500,Table2PRN!G1502)</f>
        <v>22</v>
      </c>
      <c r="Q18" s="20">
        <f>SUM(Table2PRN!G1904,Table2PRN!G1906,Table2PRN!G1908,Table2PRN!G1916,Table2PRN!G1918,Table2PRN!G1920,Table2PRN!G1922)</f>
        <v>284</v>
      </c>
      <c r="R18" s="20">
        <f>SUM(Table2PRN!G1694,Table2PRN!G1696,Table2PRN!G1698,Table2PRN!G1706,Table2PRN!G1708,Table2PRN!G1710,Table2PRN!G1712)</f>
        <v>31</v>
      </c>
      <c r="S18" s="20">
        <f>Q18+R18</f>
        <v>315</v>
      </c>
      <c r="T18" s="1108">
        <f>SUM(StockSumPRN!B2474:C2474,StockSumPRN!B2476:C2476,StockSumPRN!B2484:C2484,StockSumPRN!B2486:C2486,StockSumPRN!B2488:C2488,StockSumPRN!B2490:C2490,StockSumPRN!F2267:I2267,StockSumPRN!F2269:I2269,StockSumPRN!F2271:I2271,StockSumPRN!F2279:I2279,StockSumPRN!F2281:I2281,StockSumPRN!F2283:I2283,StockSumPRN!F2285:I2285)</f>
        <v>31</v>
      </c>
      <c r="U18" s="20">
        <f>SUM(Table2PRN!G2536,Table2PRN!G2538,Table2PRN!G2534,Table2PRN!G2548,Table2PRN!G2550,Table2PRN!G2552,Table2PRN!G2546)</f>
        <v>83</v>
      </c>
      <c r="V18" s="20">
        <f>SUM(Table2PRN!G2324,Table2PRN!G2326,Table2PRN!G2328,Table2PRN!G2336,Table2PRN!G2338,Table2PRN!G2340,Table2PRN!G2342)</f>
        <v>42</v>
      </c>
      <c r="W18" s="20">
        <f>U18+V18</f>
        <v>125</v>
      </c>
      <c r="Y18" s="2" t="s">
        <v>265</v>
      </c>
      <c r="Z18" s="1108">
        <f>SUM(Table2PRN!G2744,Table2PRN!G2746,Table2PRN!G2748,Table2PRN!G2756,Table2PRN!G2758,Table2PRN!G2760,Table2PRN!G2762)</f>
        <v>39</v>
      </c>
      <c r="AA18" s="20">
        <f>SUM(Table2PRN!G2954,Table2PRN!G2956,Table2PRN!G2958,Table2PRN!G2966,Table2PRN!G2968,Table2PRN!G2970,Table2PRN!G2972)</f>
        <v>33</v>
      </c>
      <c r="AB18" s="20">
        <f>SUM(Table2PRN!G3374,Table2PRN!G3376,Table2PRN!G3378,Table2PRN!G3386,Table2PRN!G3388,Table2PRN!G3390,Table2PRN!G3392)</f>
        <v>260</v>
      </c>
      <c r="AC18" s="20">
        <f>SUM(Table2PRN!G3164,Table2PRN!G3166,Table2PRN!G3168,Table2PRN!G3176,Table2PRN!G3178,Table2PRN!G3180,Table2PRN!G3182)</f>
        <v>48</v>
      </c>
      <c r="AD18" s="20">
        <f>AB18+AC18</f>
        <v>308</v>
      </c>
      <c r="AE18" s="20">
        <f>SUM(Table2PRN!G3584,Table2PRN!G3586,Table2PRN!G3588,Table2PRN!G3596,Table2PRN!G3598,Table2PRN!G3600,Table2PRN!G3602)</f>
        <v>234</v>
      </c>
      <c r="AF18" s="1109">
        <f>AG$3*AH18+AH$3*AI18</f>
        <v>0</v>
      </c>
      <c r="AG18" s="1109">
        <f>SUM(Table2PRN!G4004,Table2PRN!G4006,Table2PRN!G4008,Table2PRN!G4016,Table2PRN!G4018,Table2PRN!G4020,Table2PRN!G4022)</f>
        <v>943</v>
      </c>
      <c r="AH18" s="20">
        <f>SUM(Table2PRN!G4424,Table2PRN!G4426,Table2PRN!G4428,Table2PRN!G4436,Table2PRN!G4438,Table2PRN!G4440,Table2PRN!G4442)</f>
        <v>905</v>
      </c>
      <c r="AI18" s="20">
        <f>SUM(Table2PRN!G4214,Table2PRN!G4216,Table2PRN!G4218,Table2PRN!G4226,Table2PRN!G4228,Table2PRN!G4230,Table2PRN!G4232)</f>
        <v>271</v>
      </c>
      <c r="AJ18" s="20">
        <f>AH18+AI18</f>
        <v>1176</v>
      </c>
      <c r="AK18" s="1108">
        <f>SUM(Table2PRN!G4634,Table2PRN!G4636,Table2PRN!G4638,Table2PRN!G4646,Table2PRN!G4648,Table2PRN!G4650,Table2PRN!G4652)</f>
        <v>743</v>
      </c>
      <c r="AL18" s="20">
        <f>SUM(Table2PRN!G5054,Table2PRN!G5056,Table2PRN!G5058,Table2PRN!G5066,Table2PRN!G5068,Table2PRN!G5070,Table2PRN!G5072)</f>
        <v>1406</v>
      </c>
      <c r="AM18" s="20">
        <f>SUM(Table2PRN!G4844,Table2PRN!G4846,Table2PRN!G4848,Table2PRN!G4856,Table2PRN!G4858,Table2PRN!G4860,Table2PRN!G4862)</f>
        <v>758</v>
      </c>
      <c r="AN18" s="20">
        <f>AL18+AM18</f>
        <v>2164</v>
      </c>
      <c r="AP18" s="2" t="s">
        <v>265</v>
      </c>
      <c r="AQ18" s="1108">
        <f>SUM(Table2PRN!G5264,Table2PRN!G5266,Table2PRN!G5268,Table2PRN!G5276,Table2PRN!G5278,Table2PRN!G5280,Table2PRN!G5282)</f>
        <v>29</v>
      </c>
      <c r="AR18" s="20">
        <f>SUM(Table2PRN!G5684,Table2PRN!G5686,Table2PRN!G5688,Table2PRN!G5696,Table2PRN!G5698,Table2PRN!G5700,Table2PRN!G5702)</f>
        <v>530</v>
      </c>
      <c r="AS18" s="2">
        <f>SUM(Table2PRN!G5474,Table2PRN!G5476,Table2PRN!G5478,Table2PRN!G5486,Table2PRN!G5488,Table2PRN!G5490,Table2PRN!G5492)</f>
        <v>84</v>
      </c>
      <c r="AT18" s="20">
        <f>AR18+AS18</f>
        <v>614</v>
      </c>
      <c r="AU18" s="1108">
        <f>SUM(Table2PRN!G5894,Table2PRN!G5896,Table2PRN!G5898,Table2PRN!G5906,Table2PRN!G5908,Table2PRN!G5910,Table2PRN!G5912)</f>
        <v>27</v>
      </c>
      <c r="AV18" s="20">
        <f>SUM(Table2PRN!G6314,Table2PRN!G6316,Table2PRN!G6318,Table2PRN!G6326,Table2PRN!G6328,Table2PRN!G6330,Table2PRN!G6332)</f>
        <v>261</v>
      </c>
      <c r="AW18" s="20">
        <f>SUM(Table2PRN!G6104,Table2PRN!G6106,Table2PRN!G6108,Table2PRN!G6116,Table2PRN!G6118,Table2PRN!G6120,Table2PRN!G6122)</f>
        <v>28</v>
      </c>
      <c r="AX18" s="20">
        <f>AV18+AW18</f>
        <v>289</v>
      </c>
      <c r="AZ18" s="215" t="s">
        <v>265</v>
      </c>
      <c r="BA18" s="90">
        <f>SUM(Table2PRN!G8624,Table2PRN!G8626,Table2PRN!G8628,Table2PRN!G8636,Table2PRN!G8638,Table2PRN!G8640,Table2PRN!G8642)</f>
        <v>21</v>
      </c>
      <c r="BB18" s="754">
        <f>SUM(Table2PRN!$G$8834,Table2PRN!$G$8836,Table2PRN!$G$8838,Table2PRN!$G$8846,Table2PRN!$G$8848,Table2PRN!$G$8850,Table2PRN!$G$8852)</f>
        <v>53</v>
      </c>
      <c r="BC18" s="817">
        <f>SUM(StockSumPRN!H12:I12,StockSumPRN!H14:I14,StockSumPRN!H16:I16,StockSumPRN!H24:I24,StockSumPRN!H26:I26,StockSumPRN!H28:I28,StockSumPRN!H30:I30)</f>
        <v>5</v>
      </c>
      <c r="BD18" s="30">
        <f>SUM(StockSumPRN!F12:G12,StockSumPRN!F14:G14,StockSumPRN!F16:G16,StockSumPRN!F24:G24,StockSumPRN!F26:G26,StockSumPRN!F28:G28,StockSumPRN!F30:G30)</f>
        <v>206</v>
      </c>
      <c r="BE18" s="30">
        <f>SUM(StockSumPRN!J217:K217,StockSumPRN!J219:K219,StockSumPRN!J221:K221,StockSumPRN!J229:K229,StockSumPRN!J231:K231,StockSumPRN!J233:K233,StockSumPRN!J235:K235)</f>
        <v>65</v>
      </c>
      <c r="BF18" s="30">
        <f>SUM(StockSumPRN!H627:I627,StockSumPRN!H629:I629,StockSumPRN!H631:I631,StockSumPRN!H639:I639,StockSumPRN!H641:I641,StockSumPRN!H643:I643,StockSumPRN!H645:I645)</f>
        <v>53</v>
      </c>
      <c r="BG18" s="30">
        <f>SUM(StockSumPRN!$D$627:$E$627,StockSumPRN!$D$629:$E$629,StockSumPRN!$D$631:$E$631,StockSumPRN!$D$639:$E$639,StockSumPRN!$D$641:$E$641,StockSumPRN!$D$643:$E$643,StockSumPRN!$D$645:$E$645)</f>
        <v>21</v>
      </c>
      <c r="BH18" s="30">
        <f>SUM(StockSumPRN!J1855:K1857,StockSumPRN!J1859:K1859,StockSumPRN!J1861:K1861,StockSumPRN!J1863:K1869,StockSumPRN!J1871:K1871,StockSumPRN!J1873:K1873,StockSumPRN!J1875:K1875)</f>
        <v>45</v>
      </c>
      <c r="BI18" s="30">
        <f>SUM(StockSumPRN!F1855:G1857,StockSumPRN!F1859:G1859,StockSumPRN!F1861:G1861,StockSumPRN!F1863:G1869,StockSumPRN!F1871:G1871,StockSumPRN!F1873:G1873,StockSumPRN!F1875:G1875)</f>
        <v>132</v>
      </c>
      <c r="BJ18" s="30">
        <f>SUM(StockSumPRN!D1650:E1652,StockSumPRN!D1654:E1654,StockSumPRN!D1656:E1656,StockSumPRN!D1658:E1664,StockSumPRN!D1666:E1666,StockSumPRN!D1668:E1668,StockSumPRN!D1670:E1670)</f>
        <v>82</v>
      </c>
      <c r="BK18" s="30">
        <f>SUM(StockSumPRN!D1445:E1447,StockSumPRN!D1449:E1449,StockSumPRN!D1451:E1451,StockSumPRN!D1453:E1459,StockSumPRN!D1461:E1461,StockSumPRN!D1463:E1463,StockSumPRN!D1465:E1465)</f>
        <v>58</v>
      </c>
      <c r="BL18" s="30">
        <f>SUM(StockSumPRN!H1240:I1242,StockSumPRN!H1244:I1244,StockSumPRN!H1246:I1246,StockSumPRN!H1248:I1254,StockSumPRN!H1256:I1256,StockSumPRN!H1258:I1258,StockSumPRN!H1260:I1260)</f>
        <v>45</v>
      </c>
      <c r="BM18" s="754">
        <f>SUM(StockSumPRN!$H$1035:$I$1037,StockSumPRN!$H$1039:$I$1039,StockSumPRN!$H$1041:$I$1041,StockSumPRN!$H$1043:$I$1049,StockSumPRN!$H$1051:$I$1051,StockSumPRN!$H$1053:$I$1053,StockSumPRN!$H$1055:$I$1055)</f>
        <v>87</v>
      </c>
      <c r="BN18" s="30">
        <f>SUM(StockSumPRN!$H$830:$I$832,StockSumPRN!$H$834:$I$834,StockSumPRN!$H$836:$I$836,StockSumPRN!$H$838:$I$844,StockSumPRN!$H$846:$I$846,StockSumPRN!$H$848:$I$848,StockSumPRN!$H$850:$I$850)</f>
        <v>167</v>
      </c>
      <c r="BO18" s="30">
        <f>SUM(StockSumPRN!J2060:K2062,StockSumPRN!J2064:K2064,StockSumPRN!J2066:K2066,StockSumPRN!J2068:K2074,StockSumPRN!J2076:K2076,StockSumPRN!J2078:K2078,StockSumPRN!J2080:K2080)</f>
        <v>65</v>
      </c>
      <c r="BP18" s="30">
        <f>SUM(StockSumPRN!D2265:E2267,StockSumPRN!D2269:E2269,StockSumPRN!D2271:E2271,StockSumPRN!D2273:E2279,StockSumPRN!D2281:E2281,StockSumPRN!D2283:E2283,StockSumPRN!D2285:E2285)</f>
        <v>16</v>
      </c>
      <c r="BQ18" s="20"/>
      <c r="BZ18" s="764"/>
    </row>
    <row r="19" spans="1:78" x14ac:dyDescent="0.2">
      <c r="A19" s="2" t="s">
        <v>266</v>
      </c>
      <c r="B19" s="1500" t="s">
        <v>129</v>
      </c>
      <c r="C19" s="1501" t="s">
        <v>129</v>
      </c>
      <c r="D19" s="1501" t="s">
        <v>129</v>
      </c>
      <c r="E19" s="1500" t="s">
        <v>129</v>
      </c>
      <c r="F19" s="1501" t="s">
        <v>129</v>
      </c>
      <c r="G19" s="1501" t="s">
        <v>129</v>
      </c>
      <c r="H19" s="1501" t="s">
        <v>129</v>
      </c>
      <c r="I19" s="1500" t="s">
        <v>129</v>
      </c>
      <c r="J19" s="1502" t="s">
        <v>129</v>
      </c>
      <c r="K19" s="1501" t="s">
        <v>129</v>
      </c>
      <c r="L19" s="1501" t="s">
        <v>129</v>
      </c>
      <c r="M19" s="1501" t="s">
        <v>129</v>
      </c>
      <c r="O19" s="2" t="s">
        <v>266</v>
      </c>
      <c r="P19" s="1500" t="s">
        <v>129</v>
      </c>
      <c r="Q19" s="1501" t="s">
        <v>129</v>
      </c>
      <c r="R19" s="1501" t="s">
        <v>129</v>
      </c>
      <c r="S19" s="1501" t="s">
        <v>129</v>
      </c>
      <c r="T19" s="1500" t="s">
        <v>129</v>
      </c>
      <c r="U19" s="1501" t="s">
        <v>129</v>
      </c>
      <c r="V19" s="1501" t="s">
        <v>129</v>
      </c>
      <c r="W19" s="1501" t="s">
        <v>129</v>
      </c>
      <c r="Y19" s="2" t="s">
        <v>266</v>
      </c>
      <c r="Z19" s="1500" t="s">
        <v>129</v>
      </c>
      <c r="AA19" s="1501" t="s">
        <v>129</v>
      </c>
      <c r="AB19" s="1501" t="s">
        <v>129</v>
      </c>
      <c r="AC19" s="1501" t="s">
        <v>129</v>
      </c>
      <c r="AD19" s="1501" t="s">
        <v>129</v>
      </c>
      <c r="AE19" s="1501" t="s">
        <v>129</v>
      </c>
      <c r="AF19" s="1501" t="s">
        <v>129</v>
      </c>
      <c r="AG19" s="1501" t="s">
        <v>129</v>
      </c>
      <c r="AH19" s="1501" t="s">
        <v>129</v>
      </c>
      <c r="AI19" s="1501"/>
      <c r="AJ19" s="1501" t="s">
        <v>129</v>
      </c>
      <c r="AK19" s="1500" t="s">
        <v>129</v>
      </c>
      <c r="AL19" s="1501" t="s">
        <v>129</v>
      </c>
      <c r="AM19" s="1501" t="s">
        <v>129</v>
      </c>
      <c r="AN19" s="1501" t="s">
        <v>129</v>
      </c>
      <c r="AP19" s="2" t="s">
        <v>266</v>
      </c>
      <c r="AQ19" s="1500" t="s">
        <v>129</v>
      </c>
      <c r="AR19" s="1501" t="s">
        <v>129</v>
      </c>
      <c r="AS19" s="1501" t="s">
        <v>129</v>
      </c>
      <c r="AT19" s="1501" t="s">
        <v>129</v>
      </c>
      <c r="AU19" s="1500" t="s">
        <v>129</v>
      </c>
      <c r="AV19" s="1501" t="s">
        <v>129</v>
      </c>
      <c r="AW19" s="1501" t="s">
        <v>129</v>
      </c>
      <c r="AX19" s="1501" t="s">
        <v>129</v>
      </c>
      <c r="AZ19" s="215" t="s">
        <v>266</v>
      </c>
      <c r="BA19" s="90"/>
      <c r="BB19" s="754"/>
      <c r="BC19" s="817"/>
      <c r="BD19" s="30"/>
      <c r="BE19" s="30"/>
      <c r="BF19" s="30"/>
      <c r="BG19" s="30"/>
      <c r="BH19" s="30"/>
      <c r="BI19" s="30"/>
      <c r="BJ19" s="30"/>
      <c r="BK19" s="30"/>
      <c r="BL19" s="30"/>
      <c r="BM19" s="754"/>
      <c r="BN19" s="30"/>
      <c r="BO19" s="30"/>
      <c r="BP19" s="30"/>
      <c r="BQ19" s="20"/>
      <c r="BZ19" s="764"/>
    </row>
    <row r="20" spans="1:78" x14ac:dyDescent="0.2">
      <c r="A20" s="2" t="s">
        <v>267</v>
      </c>
      <c r="B20" s="1108">
        <f>SUM(Table2PRN!G6767,Table2PRN!G6770,Table2PRN!G6774)</f>
        <v>28180</v>
      </c>
      <c r="C20" s="20">
        <f>SUM(Table2PRN!G6557,Table2PRN!G6560,Table2PRN!G6564)</f>
        <v>27198</v>
      </c>
      <c r="D20" s="20">
        <f t="shared" ref="D20:D27" si="3">B20+C20</f>
        <v>55378</v>
      </c>
      <c r="E20" s="1108">
        <f>SUM(Table2PRN!G47,Table2PRN!G50,Table2PRN!G54)</f>
        <v>2430</v>
      </c>
      <c r="F20" s="20">
        <f>SUM(Table2PRN!G467,Table2PRN!G470,Table2PRN!G474)</f>
        <v>550</v>
      </c>
      <c r="G20" s="20">
        <f>SUM(Table2PRN!G257,Table2PRN!G260,Table2PRN!G264)</f>
        <v>2481</v>
      </c>
      <c r="H20" s="20">
        <f t="shared" ref="H20:H27" si="4">F20+G20</f>
        <v>3031</v>
      </c>
      <c r="I20" s="1108">
        <f>SUM(Table2PRN!G677,Table2PRN!G680,Table2PRN!G684)</f>
        <v>517</v>
      </c>
      <c r="J20" s="1335">
        <f>SUM(Table2PRN!G887,Table2PRN!G890,Table2PRN!G894)</f>
        <v>1337</v>
      </c>
      <c r="K20" s="20">
        <f>SUM(Table2PRN!G1307,Table2PRN!G1310,Table2PRN!G1314)</f>
        <v>392</v>
      </c>
      <c r="L20" s="20">
        <f>SUM(Table2PRN!G1097,Table2PRN!G1100,Table2PRN!G1104)</f>
        <v>1902</v>
      </c>
      <c r="M20" s="20">
        <f t="shared" ref="M20:M27" si="5">K20+L20</f>
        <v>2294</v>
      </c>
      <c r="O20" s="2" t="s">
        <v>267</v>
      </c>
      <c r="P20" s="1108">
        <f>SUM(Table2PRN!G1517,Table2PRN!G1520,Table2PRN!G1524)</f>
        <v>653</v>
      </c>
      <c r="Q20" s="20">
        <f>SUM(Table2PRN!G1937,Table2PRN!G1940,Table2PRN!G1944)</f>
        <v>1679</v>
      </c>
      <c r="R20" s="20">
        <f>SUM(Table2PRN!G1727,Table2PRN!G1730,Table2PRN!G1734)</f>
        <v>869</v>
      </c>
      <c r="S20" s="20">
        <f t="shared" ref="S20:S27" si="6">Q20+R20</f>
        <v>2548</v>
      </c>
      <c r="T20" s="1108">
        <f>SUM(StockSumPRN!F2300:I2300,StockSumPRN!F2303:I2303,StockSumPRN!F2307:I2307,StockSumPRN!B2505:C2505,StockSumPRN!B2508:C2508,StockSumPRN!B2512:C2512)</f>
        <v>188</v>
      </c>
      <c r="U20" s="20">
        <f>SUM(Table2PRN!G2567,Table2PRN!G2570,Table2PRN!G2574)</f>
        <v>255</v>
      </c>
      <c r="V20" s="20">
        <f>SUM(Table2PRN!G2357,Table2PRN!G2360,Table2PRN!G2364)</f>
        <v>247</v>
      </c>
      <c r="W20" s="20">
        <f t="shared" ref="W20:W27" si="7">U20+V20</f>
        <v>502</v>
      </c>
      <c r="Y20" s="2" t="s">
        <v>267</v>
      </c>
      <c r="Z20" s="1108">
        <f>SUM(Table2PRN!G2777,Table2PRN!G2780,Table2PRN!G2784)</f>
        <v>390</v>
      </c>
      <c r="AA20" s="20">
        <f>SUM(Table2PRN!G2987,Table2PRN!G2990,Table2PRN!G2994)</f>
        <v>344</v>
      </c>
      <c r="AB20" s="20">
        <f>SUM(Table2PRN!G3407,Table2PRN!G3410,Table2PRN!G3414)</f>
        <v>530</v>
      </c>
      <c r="AC20" s="20">
        <f>SUM(Table2PRN!G3197,Table2PRN!G3200,Table2PRN!G3204)</f>
        <v>474</v>
      </c>
      <c r="AD20" s="20">
        <f t="shared" ref="AD20:AD28" si="8">AB20+AC20</f>
        <v>1004</v>
      </c>
      <c r="AE20" s="20">
        <f>SUM(Table2PRN!G3617,Table2PRN!G3620,Table2PRN!G3624)</f>
        <v>903</v>
      </c>
      <c r="AF20" s="1109">
        <f t="shared" ref="AF20:AF28" si="9">AG$3*AH20+AH$3*AI20</f>
        <v>0</v>
      </c>
      <c r="AG20" s="1109">
        <f>SUM(Table2PRN!G4037,Table2PRN!G4040,Table2PRN!G4044)</f>
        <v>1000</v>
      </c>
      <c r="AH20" s="20">
        <f>SUM(Table2PRN!G4457,Table2PRN!G4460,Table2PRN!G4465,Table2PRN!G4465,Table2PRN!G4464)</f>
        <v>859</v>
      </c>
      <c r="AI20" s="20">
        <f>SUM(Table2PRN!G4247,Table2PRN!G4250,Table2PRN!G4254)</f>
        <v>1045</v>
      </c>
      <c r="AJ20" s="20">
        <f t="shared" ref="AJ20:AJ28" si="10">AH20+AI20</f>
        <v>1904</v>
      </c>
      <c r="AK20" s="1108">
        <f>SUM(Table2PRN!G4667,Table2PRN!G4670,Table2PRN!G4674)</f>
        <v>2829</v>
      </c>
      <c r="AL20" s="20">
        <f>SUM(Table2PRN!G5087,Table2PRN!G5090,Table2PRN!G5094)</f>
        <v>1682</v>
      </c>
      <c r="AM20" s="20">
        <f>SUM(Table2PRN!G4877,Table2PRN!G4880,Table2PRN!G4884)</f>
        <v>2891</v>
      </c>
      <c r="AN20" s="20">
        <f t="shared" ref="AN20:AN28" si="11">AL20+AM20</f>
        <v>4573</v>
      </c>
      <c r="AP20" s="2" t="s">
        <v>267</v>
      </c>
      <c r="AQ20" s="1108">
        <f>SUM(Table2PRN!G5297,Table2PRN!G5300,Table2PRN!G5304)</f>
        <v>908</v>
      </c>
      <c r="AR20" s="20">
        <f>SUM(Table2PRN!G5717,Table2PRN!G5720,Table2PRN!G5724)</f>
        <v>4175</v>
      </c>
      <c r="AS20" s="2">
        <f>SUM(Table2PRN!G5507,Table2PRN!G5510,Table2PRN!G5514)</f>
        <v>2599</v>
      </c>
      <c r="AT20" s="20">
        <f t="shared" ref="AT20:AT27" si="12">AR20+AS20</f>
        <v>6774</v>
      </c>
      <c r="AU20" s="1108">
        <f>SUM(Table2PRN!G5927,Table2PRN!G5930,Table2PRN!G5934)</f>
        <v>1105</v>
      </c>
      <c r="AV20" s="20">
        <f>SUM(Table2PRN!G6347,Table2PRN!G6350,Table2PRN!G6354)</f>
        <v>2077</v>
      </c>
      <c r="AW20" s="20">
        <f>SUM(Table2PRN!G6137,Table2PRN!G6140,Table2PRN!G6144)</f>
        <v>1107</v>
      </c>
      <c r="AX20" s="20">
        <f>AV20+AW20</f>
        <v>3184</v>
      </c>
      <c r="AZ20" s="215" t="s">
        <v>268</v>
      </c>
      <c r="BA20" s="90">
        <f>SUM(Table2PRN!G8657,Table2PRN!G8660,Table2PRN!G8664)</f>
        <v>110</v>
      </c>
      <c r="BB20" s="754">
        <f>SUM(Table2PRN!$G$8867,Table2PRN!$G$8870,Table2PRN!$G$8874)</f>
        <v>302</v>
      </c>
      <c r="BC20" s="817">
        <f>SUM(StockSumPRN!H45:I45,StockSumPRN!H48:I48,StockSumPRN!H52:I52)</f>
        <v>48</v>
      </c>
      <c r="BD20" s="30">
        <f>SUM(StockSumPRN!F45:G45,StockSumPRN!F48:G48,StockSumPRN!F52:G52)</f>
        <v>1639</v>
      </c>
      <c r="BE20" s="30">
        <f>SUM(StockSumPRN!J250:K250,StockSumPRN!J253:K253,StockSumPRN!J257:K257)</f>
        <v>530</v>
      </c>
      <c r="BF20" s="30">
        <f>SUM(StockSumPRN!H660:I660,StockSumPRN!H663:I663,StockSumPRN!H667:I667)</f>
        <v>302</v>
      </c>
      <c r="BG20" s="30">
        <f>SUM(StockSumPRN!$D$660:$E$660,StockSumPRN!$D$663:$E$663,StockSumPRN!$D$667:$E$667)</f>
        <v>110</v>
      </c>
      <c r="BH20" s="30">
        <f>SUM(StockSumPRN!J1890:K1890,StockSumPRN!J1893:K1893,StockSumPRN!J1897:K1897)</f>
        <v>356</v>
      </c>
      <c r="BI20" s="30">
        <f>SUM(StockSumPRN!F1890:G1890,StockSumPRN!F1893:G1893,StockSumPRN!F1897:G1897)</f>
        <v>2185</v>
      </c>
      <c r="BJ20" s="30">
        <f>SUM(StockSumPRN!D1685:E1685,StockSumPRN!D1688:E1688,StockSumPRN!D1692:E1692)</f>
        <v>740</v>
      </c>
      <c r="BK20" s="30">
        <f>SUM(StockSumPRN!D1480:E1480,StockSumPRN!D1483:E1483,StockSumPRN!D1487:E1487)</f>
        <v>473</v>
      </c>
      <c r="BL20" s="30">
        <f>SUM(StockSumPRN!H1275:I1275,StockSumPRN!H1278:I1278,StockSumPRN!H1282:I1282)</f>
        <v>352</v>
      </c>
      <c r="BM20" s="754">
        <f>SUM(StockSumPRN!$H$1070:$I$1070,StockSumPRN!$H$1073:$I$1073,StockSumPRN!$H$1077:$I$1077)</f>
        <v>526</v>
      </c>
      <c r="BN20" s="30">
        <f>SUM(StockSumPRN!$H$865:$I$865,StockSumPRN!$H$868:$I$868,StockSumPRN!$H$872:$I$872)</f>
        <v>1080</v>
      </c>
      <c r="BO20" s="30">
        <f>SUM(StockSumPRN!J2095:K2095,StockSumPRN!J2098:K2098,StockSumPRN!J2102:K2102)</f>
        <v>209</v>
      </c>
      <c r="BP20" s="30">
        <f>SUM(StockSumPRN!D2300:E2300,StockSumPRN!D2303:E2303,StockSumPRN!D2307:E2307)</f>
        <v>58</v>
      </c>
      <c r="BQ20" s="20"/>
      <c r="BZ20" s="764"/>
    </row>
    <row r="21" spans="1:78" x14ac:dyDescent="0.2">
      <c r="A21" s="2" t="s">
        <v>269</v>
      </c>
      <c r="B21" s="1108">
        <f>SUM(Table2PRN!G6766,Table2PRN!G6769,Table2PRN!G6773)</f>
        <v>21406</v>
      </c>
      <c r="C21" s="20">
        <f>SUM(Table2PRN!G6556,Table2PRN!G6559,Table2PRN!G6563)</f>
        <v>5796</v>
      </c>
      <c r="D21" s="20">
        <f t="shared" si="3"/>
        <v>27202</v>
      </c>
      <c r="E21" s="1108">
        <f>SUM(Table2PRN!G46,Table2PRN!G49,Table2PRN!G53)</f>
        <v>283</v>
      </c>
      <c r="F21" s="20">
        <f>SUM(Table2PRN!G466,Table2PRN!G469,Table2PRN!G473)</f>
        <v>190</v>
      </c>
      <c r="G21" s="20">
        <f>SUM(Table2PRN!G256,Table2PRN!G259,Table2PRN!G263)</f>
        <v>289</v>
      </c>
      <c r="H21" s="20">
        <f t="shared" si="4"/>
        <v>479</v>
      </c>
      <c r="I21" s="1108">
        <f>SUM(Table2PRN!G676,Table2PRN!G679,Table2PRN!G683)</f>
        <v>71</v>
      </c>
      <c r="J21" s="1335">
        <f>SUM(Table2PRN!G886,Table2PRN!G889,Table2PRN!G893)</f>
        <v>184</v>
      </c>
      <c r="K21" s="20">
        <f>SUM(Table2PRN!G1306,Table2PRN!G1309,Table2PRN!G1313)</f>
        <v>149</v>
      </c>
      <c r="L21" s="20">
        <f>SUM(Table2PRN!G1096,Table2PRN!G1099,Table2PRN!G1103)</f>
        <v>262</v>
      </c>
      <c r="M21" s="20">
        <f t="shared" si="5"/>
        <v>411</v>
      </c>
      <c r="O21" s="2" t="s">
        <v>269</v>
      </c>
      <c r="P21" s="1108">
        <f>SUM(Table2PRN!G1516,Table2PRN!G1519,Table2PRN!G1523)</f>
        <v>86</v>
      </c>
      <c r="Q21" s="20">
        <f>SUM(Table2PRN!G1936,Table2PRN!G1939,Table2PRN!G1943)</f>
        <v>614</v>
      </c>
      <c r="R21" s="20">
        <f>SUM(Table2PRN!G1726,Table2PRN!G1729,Table2PRN!G1733)</f>
        <v>114</v>
      </c>
      <c r="S21" s="20">
        <f t="shared" si="6"/>
        <v>728</v>
      </c>
      <c r="T21" s="1108">
        <f>SUM(StockSumPRN!B2507:C2507,StockSumPRN!B2504:C2504,StockSumPRN!B2511:C2511,StockSumPRN!F2299:I2299,StockSumPRN!F2302:I2302,StockSumPRN!F2306:I2306)</f>
        <v>24</v>
      </c>
      <c r="U21" s="20">
        <f>SUM(Table2PRN!G2566,Table2PRN!G2569,Table2PRN!G2573)</f>
        <v>97</v>
      </c>
      <c r="V21" s="20">
        <f>SUM(Table2PRN!G2356,Table2PRN!G2359,Table2PRN!G2363)</f>
        <v>30</v>
      </c>
      <c r="W21" s="20">
        <f t="shared" si="7"/>
        <v>127</v>
      </c>
      <c r="Y21" s="2" t="s">
        <v>269</v>
      </c>
      <c r="Z21" s="1108">
        <f>SUM(Table2PRN!G2776,Table2PRN!G2779,Table2PRN!G2783)</f>
        <v>112</v>
      </c>
      <c r="AA21" s="20">
        <f>SUM(Table2PRN!G2986,Table2PRN!G2989,Table2PRN!G2993)</f>
        <v>89</v>
      </c>
      <c r="AB21" s="20">
        <f>SUM(Table2PRN!G3409,Table2PRN!G3406,Table2PRN!G3413)</f>
        <v>443</v>
      </c>
      <c r="AC21" s="20">
        <f>SUM(Table2PRN!G3196,Table2PRN!G3199,Table2PRN!G3203)</f>
        <v>137</v>
      </c>
      <c r="AD21" s="20">
        <f t="shared" si="8"/>
        <v>580</v>
      </c>
      <c r="AE21" s="20">
        <f>SUM(Table2PRN!G3616,Table2PRN!G3619,Table2PRN!G3623)</f>
        <v>305</v>
      </c>
      <c r="AF21" s="1109">
        <f t="shared" si="9"/>
        <v>0</v>
      </c>
      <c r="AG21" s="1109">
        <f>SUM(Table2PRN!G4036,Table2PRN!G4039,Table2PRN!G4043)</f>
        <v>858</v>
      </c>
      <c r="AH21" s="20">
        <f>SUM(Table2PRN!G4456,Table2PRN!G4459,Table2PRN!G4463)</f>
        <v>811</v>
      </c>
      <c r="AI21" s="20">
        <f>SUM(Table2PRN!G4246,Table2PRN!G4249,Table2PRN!G4253)</f>
        <v>353</v>
      </c>
      <c r="AJ21" s="20">
        <f t="shared" si="10"/>
        <v>1164</v>
      </c>
      <c r="AK21" s="1108">
        <f>SUM(Table2PRN!G4666,Table2PRN!G4669,Table2PRN!G4673)</f>
        <v>658</v>
      </c>
      <c r="AL21" s="20">
        <f>SUM(Table2PRN!G5086,Table2PRN!G5089,Table2PRN!G5093)</f>
        <v>1168</v>
      </c>
      <c r="AM21" s="20">
        <f>SUM(Table2PRN!G4876,Table2PRN!G4879,Table2PRN!G4883)</f>
        <v>673</v>
      </c>
      <c r="AN21" s="20">
        <f t="shared" si="11"/>
        <v>1841</v>
      </c>
      <c r="AP21" s="2" t="s">
        <v>269</v>
      </c>
      <c r="AQ21" s="1108">
        <f>SUM(Table2PRN!G5296,Table2PRN!G5299,Table2PRN!G5303)</f>
        <v>119</v>
      </c>
      <c r="AR21" s="20">
        <f>SUM(Table2PRN!G5716,Table2PRN!G5719,Table2PRN!G5723)</f>
        <v>1629</v>
      </c>
      <c r="AS21" s="2">
        <f>SUM(Table2PRN!G5506,Table2PRN!G5509,Table2PRN!G5513)</f>
        <v>342</v>
      </c>
      <c r="AT21" s="20">
        <f t="shared" si="12"/>
        <v>1971</v>
      </c>
      <c r="AU21" s="1108">
        <f>SUM(Table2PRN!G5926,Table2PRN!G5929,Table2PRN!G5933)</f>
        <v>88</v>
      </c>
      <c r="AV21" s="20">
        <f>SUM(Table2PRN!G6346,Table2PRN!G6349,Table2PRN!G6353)</f>
        <v>499</v>
      </c>
      <c r="AW21" s="20">
        <f>SUM(Table2PRN!G6136,Table2PRN!G6139,Table2PRN!G6143)</f>
        <v>89</v>
      </c>
      <c r="AX21" s="20">
        <f t="shared" ref="AX21:AX27" si="13">AV21+AW21</f>
        <v>588</v>
      </c>
      <c r="AZ21" s="215" t="s">
        <v>270</v>
      </c>
      <c r="BA21" s="90">
        <f>SUM(Table2PRN!G8656,Table2PRN!G8659,Table2PRN!G8663)</f>
        <v>43</v>
      </c>
      <c r="BB21" s="754">
        <f>SUM(Table2PRN!G8866,Table2PRN!G8869,Table2PRN!G8873)</f>
        <v>105</v>
      </c>
      <c r="BC21" s="817">
        <f>SUM(StockSumPRN!H44:I44,StockSumPRN!H47:I47,StockSumPRN!H51:I51)</f>
        <v>12</v>
      </c>
      <c r="BD21" s="30">
        <f>SUM(StockSumPRN!F44:G44,StockSumPRN!F47:G47,StockSumPRN!F51:G51)</f>
        <v>393</v>
      </c>
      <c r="BE21" s="30">
        <f>SUM(StockSumPRN!J249:K249,StockSumPRN!J252:K252,StockSumPRN!J256:K256)</f>
        <v>172</v>
      </c>
      <c r="BF21" s="30">
        <f>SUM(StockSumPRN!H659:I659,StockSumPRN!H662:I662,StockSumPRN!H666:I666)</f>
        <v>106</v>
      </c>
      <c r="BG21" s="30">
        <f>SUM(StockSumPRN!$D$659:$E$659,StockSumPRN!$D$662:$E$662,StockSumPRN!$D$666:$E$666)</f>
        <v>43</v>
      </c>
      <c r="BH21" s="30">
        <f>SUM(StockSumPRN!J1889:K1889,StockSumPRN!J1892:K1892,StockSumPRN!J1896:K1896)</f>
        <v>138</v>
      </c>
      <c r="BI21" s="30">
        <f>SUM(StockSumPRN!F1889:G1889,StockSumPRN!F1892:G1892,StockSumPRN!F1896:G1896)</f>
        <v>458</v>
      </c>
      <c r="BJ21" s="30">
        <f>SUM(StockSumPRN!E1684:F1684,StockSumPRN!E1687:F1687,StockSumPRN!E1691:F1691)</f>
        <v>254</v>
      </c>
      <c r="BK21" s="30">
        <f>SUM(StockSumPRN!E1479:F1479,StockSumPRN!E1482:F1482,StockSumPRN!E1486:F1486)</f>
        <v>186</v>
      </c>
      <c r="BL21" s="30">
        <f>SUM(StockSumPRN!F1274:I1274,StockSumPRN!F1277:I1277,StockSumPRN!F1281:I1281)</f>
        <v>689</v>
      </c>
      <c r="BM21" s="754">
        <f>SUM(StockSumPRN!$H$1069:$I$1069,StockSumPRN!$H$1072:$I$1072,StockSumPRN!$H$1076:$I$1076)</f>
        <v>189</v>
      </c>
      <c r="BN21" s="30">
        <f>SUM(StockSumPRN!$H$864:$I$864,StockSumPRN!$H$867:$I$867,StockSumPRN!$H$871:$I$871)</f>
        <v>365</v>
      </c>
      <c r="BO21" s="30">
        <f>SUM(StockSumPRN!J2094:K2094,StockSumPRN!J2097:K2097,StockSumPRN!J2101:K2101)</f>
        <v>79</v>
      </c>
      <c r="BP21" s="30">
        <f>SUM(StockSumPRN!D2299:E2299,StockSumPRN!D2302:E2302,StockSumPRN!D2306:E2306)</f>
        <v>19</v>
      </c>
      <c r="BQ21" s="20"/>
      <c r="BZ21" s="764"/>
    </row>
    <row r="22" spans="1:78" x14ac:dyDescent="0.2">
      <c r="A22" s="2" t="s">
        <v>271</v>
      </c>
      <c r="B22" s="1108">
        <f>SUM(Table2PRN!G6765)</f>
        <v>14091</v>
      </c>
      <c r="C22" s="20">
        <f>SUM(Table2PRN!G6555)</f>
        <v>3462</v>
      </c>
      <c r="D22" s="20">
        <f t="shared" si="3"/>
        <v>17553</v>
      </c>
      <c r="E22" s="1108">
        <f>SUM(Table2PRN!G45)</f>
        <v>40</v>
      </c>
      <c r="F22" s="20">
        <f>SUM(Table2PRN!G465)</f>
        <v>23</v>
      </c>
      <c r="G22" s="20">
        <f>SUM(Table2PRN!G255)</f>
        <v>41</v>
      </c>
      <c r="H22" s="20">
        <f t="shared" si="4"/>
        <v>64</v>
      </c>
      <c r="I22" s="1108">
        <f>SUM(Table2PRN!G675)</f>
        <v>11</v>
      </c>
      <c r="J22" s="1335">
        <f>SUM(Table2PRN!G885)</f>
        <v>28</v>
      </c>
      <c r="K22" s="20">
        <f>SUM(Table2PRN!G1305)</f>
        <v>19</v>
      </c>
      <c r="L22" s="20">
        <f>SUM(Table2PRN!G1095)</f>
        <v>40</v>
      </c>
      <c r="M22" s="20">
        <f t="shared" si="5"/>
        <v>59</v>
      </c>
      <c r="O22" s="2" t="s">
        <v>271</v>
      </c>
      <c r="P22" s="1108">
        <f>SUM(Table2PRN!G1515)</f>
        <v>8</v>
      </c>
      <c r="Q22" s="20">
        <f>SUM(Table2PRN!G1935)</f>
        <v>53</v>
      </c>
      <c r="R22" s="20">
        <f>SUM(Table2PRN!G1725)</f>
        <v>11</v>
      </c>
      <c r="S22" s="20">
        <f t="shared" si="6"/>
        <v>64</v>
      </c>
      <c r="T22" s="1108">
        <f>SUM(StockSumPRN!F2298:I2298,StockSumPRN!B2503:C2503)</f>
        <v>5</v>
      </c>
      <c r="U22" s="20">
        <f>SUM(Table2PRN!G2565)</f>
        <v>15</v>
      </c>
      <c r="V22" s="20">
        <f>SUM(Table2PRN!G2355)</f>
        <v>6</v>
      </c>
      <c r="W22" s="20">
        <f t="shared" si="7"/>
        <v>21</v>
      </c>
      <c r="Y22" s="2" t="s">
        <v>271</v>
      </c>
      <c r="Z22" s="1108">
        <f>SUM(Table2PRN!G2775)</f>
        <v>13</v>
      </c>
      <c r="AA22" s="20">
        <f>SUM(Table2PRN!G2985)</f>
        <v>11</v>
      </c>
      <c r="AB22" s="20">
        <f>SUM(Table2PRN!G3405)</f>
        <v>48</v>
      </c>
      <c r="AC22" s="20">
        <f>SUM(Table2PRN!G3195)</f>
        <v>16</v>
      </c>
      <c r="AD22" s="20">
        <f t="shared" si="8"/>
        <v>64</v>
      </c>
      <c r="AE22" s="20">
        <f>SUM(Table2PRN!G3615)</f>
        <v>65</v>
      </c>
      <c r="AF22" s="1109">
        <f t="shared" si="9"/>
        <v>0</v>
      </c>
      <c r="AG22" s="1109">
        <f>SUM(Table2PRN!G4035)</f>
        <v>179</v>
      </c>
      <c r="AH22" s="20">
        <f>SUM(Table2PRN!G4455)</f>
        <v>169</v>
      </c>
      <c r="AI22" s="20">
        <f>SUM(Table2PRN!G4245)</f>
        <v>75</v>
      </c>
      <c r="AJ22" s="20">
        <f t="shared" si="10"/>
        <v>244</v>
      </c>
      <c r="AK22" s="1108">
        <f>SUM(Table2PRN!G4665)</f>
        <v>243</v>
      </c>
      <c r="AL22" s="20">
        <f>SUM(Table2PRN!G5085)</f>
        <v>403</v>
      </c>
      <c r="AM22" s="20">
        <f>SUM(Table2PRN!G4875)</f>
        <v>248</v>
      </c>
      <c r="AN22" s="20">
        <f t="shared" si="11"/>
        <v>651</v>
      </c>
      <c r="AP22" s="2" t="s">
        <v>271</v>
      </c>
      <c r="AQ22" s="1108">
        <f>SUM(Table2PRN!G5295)</f>
        <v>13</v>
      </c>
      <c r="AR22" s="20">
        <f>SUM(Table2PRN!G5715)</f>
        <v>152</v>
      </c>
      <c r="AS22" s="2">
        <f>SUM(Table2PRN!G5505)</f>
        <v>37</v>
      </c>
      <c r="AT22" s="20">
        <f t="shared" si="12"/>
        <v>189</v>
      </c>
      <c r="AU22" s="1108">
        <f>SUM(Table2PRN!G5925)</f>
        <v>7</v>
      </c>
      <c r="AV22" s="20">
        <f>SUM(Table2PRN!G6345)</f>
        <v>35</v>
      </c>
      <c r="AW22" s="20">
        <f>SUM(Table2PRN!G6135)</f>
        <v>7</v>
      </c>
      <c r="AX22" s="20">
        <f t="shared" si="13"/>
        <v>42</v>
      </c>
      <c r="AZ22" s="215" t="s">
        <v>272</v>
      </c>
      <c r="BA22" s="90">
        <f>Table2PRN!G8655</f>
        <v>6</v>
      </c>
      <c r="BB22" s="754">
        <f>Table2PRN!G8865</f>
        <v>14</v>
      </c>
      <c r="BC22" s="817">
        <f>SUM(StockSumPRN!H43:I43)</f>
        <v>1</v>
      </c>
      <c r="BD22" s="30">
        <f>SUM(StockSumPRN!F43:G43)</f>
        <v>28</v>
      </c>
      <c r="BE22" s="30">
        <f>SUM(StockSumPRN!J248:K248)</f>
        <v>21</v>
      </c>
      <c r="BF22" s="30">
        <f>SUM(StockSumPRN!H658:I658)</f>
        <v>14</v>
      </c>
      <c r="BG22" s="30">
        <f>SUM(StockSumPRN!$D$658:$E$658)</f>
        <v>6</v>
      </c>
      <c r="BH22" s="30">
        <f>SUM(StockSumPRN!J1888:K1888)</f>
        <v>13</v>
      </c>
      <c r="BI22" s="30">
        <f>SUM(StockSumPRN!F1888:G1888)</f>
        <v>46</v>
      </c>
      <c r="BJ22" s="30">
        <f>SUM(StockSumPRN!D1683:E1683)</f>
        <v>24</v>
      </c>
      <c r="BK22" s="30">
        <f>SUM(StockSumPRN!D1478:E1478)</f>
        <v>17</v>
      </c>
      <c r="BL22" s="30">
        <f>SUM(StockSumPRN!H1273:I1273)</f>
        <v>13</v>
      </c>
      <c r="BM22" s="754">
        <f>SUM(StockSumPRN!$H$1068:$I$1068)</f>
        <v>16</v>
      </c>
      <c r="BN22" s="30">
        <f>SUM(StockSumPRN!$H$863:$I$863)</f>
        <v>32</v>
      </c>
      <c r="BO22" s="30">
        <f>SUM(StockSumPRN!J2093:K2093)</f>
        <v>13</v>
      </c>
      <c r="BP22" s="30">
        <f>SUM(StockSumPRN!D2298:E2298)</f>
        <v>3</v>
      </c>
    </row>
    <row r="23" spans="1:78" x14ac:dyDescent="0.2">
      <c r="A23" s="7" t="s">
        <v>273</v>
      </c>
      <c r="B23" s="1108">
        <f>SUM(Table2PRN!G6764)</f>
        <v>88249</v>
      </c>
      <c r="C23" s="20">
        <f>SUM(Table2PRN!G6554)</f>
        <v>9457</v>
      </c>
      <c r="D23" s="20">
        <f t="shared" si="3"/>
        <v>97706</v>
      </c>
      <c r="E23" s="1108">
        <f>SUM(Table2PRN!G44)</f>
        <v>30</v>
      </c>
      <c r="F23" s="20">
        <f>SUM(Table2PRN!G464)</f>
        <v>33</v>
      </c>
      <c r="G23" s="20">
        <f>SUM(Table2PRN!G254)</f>
        <v>30</v>
      </c>
      <c r="H23" s="20">
        <f t="shared" si="4"/>
        <v>63</v>
      </c>
      <c r="I23" s="1108">
        <f>SUM(Table2PRN!G674)</f>
        <v>7</v>
      </c>
      <c r="J23" s="1335">
        <f>SUM(Table2PRN!G884)</f>
        <v>18</v>
      </c>
      <c r="K23" s="20">
        <f>SUM(Table2PRN!G1304)</f>
        <v>25</v>
      </c>
      <c r="L23" s="20">
        <f>SUM(Table2PRN!G1094)</f>
        <v>25</v>
      </c>
      <c r="M23" s="20">
        <f t="shared" si="5"/>
        <v>50</v>
      </c>
      <c r="O23" s="7" t="s">
        <v>273</v>
      </c>
      <c r="P23" s="1108">
        <f>SUM(Table2PRN!G1514)</f>
        <v>11</v>
      </c>
      <c r="Q23" s="20">
        <f>SUM(Table2PRN!G1934)</f>
        <v>136</v>
      </c>
      <c r="R23" s="20">
        <f>SUM(Table2PRN!G1724)</f>
        <v>14</v>
      </c>
      <c r="S23" s="20">
        <f t="shared" si="6"/>
        <v>150</v>
      </c>
      <c r="T23" s="1108">
        <f>SUM(StockSumPRN!B2502:C2502,StockSumPRN!F2297:I2297)</f>
        <v>4</v>
      </c>
      <c r="U23" s="20">
        <f>SUM(Table2PRN!G2564)</f>
        <v>27</v>
      </c>
      <c r="V23" s="20">
        <f>SUM(Table2PRN!G2354)</f>
        <v>5</v>
      </c>
      <c r="W23" s="20">
        <f t="shared" si="7"/>
        <v>32</v>
      </c>
      <c r="Y23" s="2" t="s">
        <v>274</v>
      </c>
      <c r="Z23" s="1108">
        <f>SUM(Table2PRN!G2786:G2810,Table2PRN!G2814:G2819)</f>
        <v>64</v>
      </c>
      <c r="AA23" s="20">
        <f>SUM(Table2PRN!G2996:G3023,Table2PRN!G3027:G3029)</f>
        <v>18</v>
      </c>
      <c r="AB23" s="20">
        <f>SUM(Table2PRN!G3416:G3440,Table2PRN!G3444:G3449)</f>
        <v>90</v>
      </c>
      <c r="AC23" s="20">
        <f>SUM(Table2PRN!G3206:G3230,Table2PRN!G3234:G3239)</f>
        <v>78</v>
      </c>
      <c r="AD23" s="20">
        <f t="shared" si="8"/>
        <v>168</v>
      </c>
      <c r="AE23" s="1109">
        <f>SUM(Table2PRN!G3626:G3645,Table2PRN!G3651:G3658)</f>
        <v>403</v>
      </c>
      <c r="AF23" s="1109">
        <f t="shared" si="9"/>
        <v>0</v>
      </c>
      <c r="AG23" s="1109">
        <f>SUM(Table2PRN!G4046:G4065,Table2PRN!G4071:G4079)</f>
        <v>474</v>
      </c>
      <c r="AH23" s="20">
        <f>SUM(Table2PRN!G4466:G4485,Table2PRN!G4491:G4499)</f>
        <v>400</v>
      </c>
      <c r="AI23" s="20">
        <f>SUM(Table2PRN!G4256:G4275,Table2PRN!G4281:G4289)</f>
        <v>476</v>
      </c>
      <c r="AJ23" s="20">
        <f t="shared" si="10"/>
        <v>876</v>
      </c>
      <c r="AK23" s="1108">
        <f>SUM(Table2PRN!G4676:G4678,Table2PRN!G4693:G4709)</f>
        <v>806</v>
      </c>
      <c r="AL23" s="20">
        <f>SUM(Table2PRN!G5096:G5098,Table2PRN!G5113:G5129)</f>
        <v>459</v>
      </c>
      <c r="AM23" s="20">
        <f>SUM(Table2PRN!G4886:G4888,Table2PRN!G4903:G4919)</f>
        <v>825</v>
      </c>
      <c r="AN23" s="14">
        <f t="shared" si="11"/>
        <v>1284</v>
      </c>
      <c r="AP23" s="7" t="s">
        <v>273</v>
      </c>
      <c r="AQ23" s="1108">
        <f>SUM(Table2PRN!G5294)</f>
        <v>14</v>
      </c>
      <c r="AR23" s="20">
        <f>SUM(Table2PRN!G5714)</f>
        <v>301</v>
      </c>
      <c r="AS23" s="2">
        <f>SUM(Table2PRN!G5504)</f>
        <v>39</v>
      </c>
      <c r="AT23" s="20">
        <f t="shared" si="12"/>
        <v>340</v>
      </c>
      <c r="AU23" s="1108">
        <f>SUM(Table2PRN!G5924)</f>
        <v>10</v>
      </c>
      <c r="AV23" s="20">
        <f>SUM(Table2PRN!G6344)</f>
        <v>91</v>
      </c>
      <c r="AW23" s="20">
        <f>SUM(Table2PRN!G6134)</f>
        <v>10</v>
      </c>
      <c r="AX23" s="20">
        <f t="shared" si="13"/>
        <v>101</v>
      </c>
      <c r="AZ23" s="811" t="s">
        <v>273</v>
      </c>
      <c r="BA23" s="90">
        <f>Table2PRN!G8654</f>
        <v>7</v>
      </c>
      <c r="BB23" s="754">
        <f>Table2PRN!G8864</f>
        <v>17</v>
      </c>
      <c r="BC23" s="817">
        <f>SUM(StockSumPRN!H42:I42)</f>
        <v>2</v>
      </c>
      <c r="BD23" s="30">
        <f>SUM(StockSumPRN!F42:G42)</f>
        <v>72</v>
      </c>
      <c r="BE23" s="30">
        <f>SUM(StockSumPRN!J247:K247)</f>
        <v>29</v>
      </c>
      <c r="BF23" s="30">
        <f>SUM(StockSumPRN!H657:I657)</f>
        <v>18</v>
      </c>
      <c r="BG23" s="30">
        <f>SUM(StockSumPRN!$D$657:$E$657)</f>
        <v>7</v>
      </c>
      <c r="BH23" s="30">
        <f>SUM(StockSumPRN!J1887:K1887)</f>
        <v>25</v>
      </c>
      <c r="BI23" s="30">
        <f>SUM(StockSumPRN!F1887:G1887)</f>
        <v>71</v>
      </c>
      <c r="BJ23" s="30">
        <f>SUM(StockSumPRN!D1682:E1682)</f>
        <v>46</v>
      </c>
      <c r="BK23" s="30">
        <f>SUM(StockSumPRN!D1477:E1477)</f>
        <v>33</v>
      </c>
      <c r="BL23" s="30">
        <f>SUM(StockSumPRN!H1272:I1272)</f>
        <v>25</v>
      </c>
      <c r="BM23" s="30">
        <f>SUM(StockSumPRN!$H$1067:$I$1067)</f>
        <v>41</v>
      </c>
      <c r="BN23" s="30">
        <f>SUM(StockSumPRN!$H$862:$I$862)</f>
        <v>78</v>
      </c>
      <c r="BO23" s="30">
        <f>SUM(StockSumPRN!J2092:K2092)</f>
        <v>22</v>
      </c>
      <c r="BP23" s="30">
        <f>SUM(StockSumPRN!D2297:E2297)</f>
        <v>5</v>
      </c>
      <c r="BQ23" s="20"/>
      <c r="BR23" s="20"/>
      <c r="BS23" s="20"/>
      <c r="BT23" s="20"/>
      <c r="BU23" s="20"/>
      <c r="BV23" s="20"/>
      <c r="BW23" s="20"/>
    </row>
    <row r="24" spans="1:78" x14ac:dyDescent="0.2">
      <c r="A24" s="7" t="s">
        <v>145</v>
      </c>
      <c r="B24" s="1108">
        <f>SUM(Table2PRN!G6754)</f>
        <v>57596</v>
      </c>
      <c r="C24" s="20">
        <f>SUM(Table2PRN!G6544)</f>
        <v>8005</v>
      </c>
      <c r="D24" s="20">
        <f t="shared" si="3"/>
        <v>65601</v>
      </c>
      <c r="E24" s="1108">
        <f>SUM(Table2PRN!G34)</f>
        <v>2</v>
      </c>
      <c r="F24" s="20">
        <f>SUM(Table2PRN!G454)</f>
        <v>2</v>
      </c>
      <c r="G24" s="20">
        <f>SUM(Table2PRN!G244)</f>
        <v>2</v>
      </c>
      <c r="H24" s="20">
        <f t="shared" si="4"/>
        <v>4</v>
      </c>
      <c r="I24" s="1108">
        <f>SUM(Table2PRN!G664)</f>
        <v>0</v>
      </c>
      <c r="J24" s="1335">
        <f>SUM(Table2PRN!G874)</f>
        <v>0</v>
      </c>
      <c r="K24" s="20">
        <f>SUM(Table2PRN!G1294)</f>
        <v>0</v>
      </c>
      <c r="L24" s="20">
        <f>SUM(Table2PRN!G1084)</f>
        <v>1</v>
      </c>
      <c r="M24" s="20">
        <f t="shared" si="5"/>
        <v>1</v>
      </c>
      <c r="O24" s="7" t="s">
        <v>145</v>
      </c>
      <c r="P24" s="1108">
        <f>SUM(Table2PRN!G1504)</f>
        <v>4</v>
      </c>
      <c r="Q24" s="20">
        <f>SUM(Table2PRN!G1924)</f>
        <v>38</v>
      </c>
      <c r="R24" s="20">
        <f>SUM(Table2PRN!G1714)</f>
        <v>5</v>
      </c>
      <c r="S24" s="20">
        <f t="shared" si="6"/>
        <v>43</v>
      </c>
      <c r="T24" s="1108">
        <f>SUM(StockSumPRN!F2287:I2287,StockSumPRN!B2492:C2492)</f>
        <v>0</v>
      </c>
      <c r="U24" s="20">
        <f>SUM(Table2PRN!G2554)</f>
        <v>0</v>
      </c>
      <c r="V24" s="20">
        <f>SUM(Table2PRN!G2344)</f>
        <v>0</v>
      </c>
      <c r="W24" s="20">
        <f t="shared" si="7"/>
        <v>0</v>
      </c>
      <c r="X24" s="20"/>
      <c r="Y24" s="7" t="s">
        <v>273</v>
      </c>
      <c r="Z24" s="1108">
        <f>SUM(Table2PRN!G2774)</f>
        <v>22</v>
      </c>
      <c r="AA24" s="20">
        <f>SUM(Table2PRN!G2984)</f>
        <v>12</v>
      </c>
      <c r="AB24" s="20">
        <f>SUM(Table2PRN!G3404)</f>
        <v>142</v>
      </c>
      <c r="AC24" s="20">
        <f>SUM(Table2PRN!G3194)</f>
        <v>26</v>
      </c>
      <c r="AD24" s="20">
        <f t="shared" si="8"/>
        <v>168</v>
      </c>
      <c r="AE24" s="1109">
        <f>SUM(Table2PRN!G3614)</f>
        <v>115</v>
      </c>
      <c r="AF24" s="1109">
        <f t="shared" si="9"/>
        <v>0</v>
      </c>
      <c r="AG24" s="1109">
        <f>Table2PRN!G4034</f>
        <v>547</v>
      </c>
      <c r="AH24" s="20">
        <f>SUM(Table2PRN!G4454)</f>
        <v>529</v>
      </c>
      <c r="AI24" s="20">
        <f>SUM(Table2PRN!G4244)</f>
        <v>133</v>
      </c>
      <c r="AJ24" s="20">
        <f t="shared" si="10"/>
        <v>662</v>
      </c>
      <c r="AK24" s="1108">
        <f>SUM(Table2PRN!G4664)</f>
        <v>312</v>
      </c>
      <c r="AL24" s="20">
        <f>SUM(Table2PRN!G5084)</f>
        <v>899</v>
      </c>
      <c r="AM24" s="20">
        <f>SUM(Table2PRN!G4874)</f>
        <v>319</v>
      </c>
      <c r="AN24" s="20">
        <f t="shared" si="11"/>
        <v>1218</v>
      </c>
      <c r="AP24" s="7" t="s">
        <v>145</v>
      </c>
      <c r="AQ24" s="1108">
        <f>SUM(Table2PRN!G5284)</f>
        <v>0</v>
      </c>
      <c r="AR24" s="20">
        <f>SUM(Table2PRN!G5704)</f>
        <v>7</v>
      </c>
      <c r="AS24" s="2">
        <f>SUM(Table2PRN!G5494)</f>
        <v>1</v>
      </c>
      <c r="AT24" s="20">
        <f t="shared" si="12"/>
        <v>8</v>
      </c>
      <c r="AU24" s="1108">
        <f>SUM(Table2PRN!G5914)</f>
        <v>1</v>
      </c>
      <c r="AV24" s="20">
        <f>SUM(Table2PRN!G6334)</f>
        <v>5</v>
      </c>
      <c r="AW24" s="20">
        <f>SUM(Table2PRN!G6124)</f>
        <v>1</v>
      </c>
      <c r="AX24" s="20">
        <f t="shared" si="13"/>
        <v>6</v>
      </c>
      <c r="AZ24" s="811" t="s">
        <v>145</v>
      </c>
      <c r="BA24" s="90">
        <f>Table2PRN!G8644</f>
        <v>0</v>
      </c>
      <c r="BB24" s="754">
        <f>Table2PRN!G8854</f>
        <v>0</v>
      </c>
      <c r="BC24" s="817">
        <f>SUM(StockSumPRN!H32:I32)</f>
        <v>0</v>
      </c>
      <c r="BD24" s="30">
        <f>SUM(StockSumPRN!F32:G32)</f>
        <v>4</v>
      </c>
      <c r="BE24" s="30">
        <f>SUM(StockSumPRN!J237:K237)</f>
        <v>2</v>
      </c>
      <c r="BF24" s="30">
        <f>SUM(StockSumPRN!H647:I647)</f>
        <v>0</v>
      </c>
      <c r="BG24" s="30">
        <f>SUM(StockSumPRN!$D$647:$E$647)</f>
        <v>0</v>
      </c>
      <c r="BH24" s="30">
        <f>SUM(StockSumPRN!J1877:K1877)</f>
        <v>1</v>
      </c>
      <c r="BI24" s="30">
        <f>SUM(StockSumPRN!F1877:G1877)</f>
        <v>2</v>
      </c>
      <c r="BJ24" s="30">
        <f>SUM(StockSumPRN!D1672:E1672)</f>
        <v>1</v>
      </c>
      <c r="BK24" s="30">
        <f>SUM(StockSumPRN!D1467:E1467)</f>
        <v>1</v>
      </c>
      <c r="BL24" s="30">
        <f>SUM(StockSumPRN!H1262:I1262)</f>
        <v>1</v>
      </c>
      <c r="BM24" s="30">
        <f>SUM(StockSumPRN!$H$1057:$I$1057)</f>
        <v>12</v>
      </c>
      <c r="BN24" s="30">
        <f>SUM(StockSumPRN!$H$852:$I$852)</f>
        <v>23</v>
      </c>
      <c r="BO24" s="30">
        <f>SUM(StockSumPRN!J2082:K2082)</f>
        <v>0</v>
      </c>
      <c r="BP24" s="30">
        <f>SUM(StockSumPRN!D2287:E2287)</f>
        <v>0</v>
      </c>
      <c r="BQ24" s="20"/>
      <c r="BR24" s="20"/>
      <c r="BS24" s="20"/>
      <c r="BT24" s="20"/>
      <c r="BU24" s="20"/>
      <c r="BV24" s="20"/>
      <c r="BW24" s="20"/>
    </row>
    <row r="25" spans="1:78" x14ac:dyDescent="0.2">
      <c r="A25" s="7" t="s">
        <v>275</v>
      </c>
      <c r="B25" s="1108">
        <f>SUM(Table2PRN!G6768)</f>
        <v>65124</v>
      </c>
      <c r="C25" s="20">
        <f>SUM(Table2PRN!G6558)</f>
        <v>8755</v>
      </c>
      <c r="D25" s="20">
        <f t="shared" si="3"/>
        <v>73879</v>
      </c>
      <c r="E25" s="1108">
        <f>SUM(Table2PRN!G48)</f>
        <v>134</v>
      </c>
      <c r="F25" s="20">
        <f>SUM(Table2PRN!G468)</f>
        <v>149</v>
      </c>
      <c r="G25" s="20">
        <f>SUM(Table2PRN!G258)</f>
        <v>137</v>
      </c>
      <c r="H25" s="20">
        <f t="shared" si="4"/>
        <v>286</v>
      </c>
      <c r="I25" s="1108">
        <f>SUM(Table2PRN!G678)</f>
        <v>33</v>
      </c>
      <c r="J25" s="1335">
        <f>SUM(Table2PRN!G888)</f>
        <v>86</v>
      </c>
      <c r="K25" s="20">
        <f>SUM(Table2PRN!G1308)</f>
        <v>122</v>
      </c>
      <c r="L25" s="20">
        <f>SUM(Table2PRN!G1098)</f>
        <v>123</v>
      </c>
      <c r="M25" s="20">
        <f t="shared" si="5"/>
        <v>245</v>
      </c>
      <c r="O25" s="7" t="s">
        <v>275</v>
      </c>
      <c r="P25" s="1108">
        <f>SUM(Table2PRN!G1518)</f>
        <v>43</v>
      </c>
      <c r="Q25" s="20">
        <f>SUM(Table2PRN!G1938)</f>
        <v>533</v>
      </c>
      <c r="R25" s="20">
        <f>SUM(Table2PRN!G1728)</f>
        <v>57</v>
      </c>
      <c r="S25" s="20">
        <f t="shared" si="6"/>
        <v>590</v>
      </c>
      <c r="T25" s="1108">
        <f>SUM(StockSumPRN!F2301:I2301,StockSumPRN!B2506:C2506)</f>
        <v>12</v>
      </c>
      <c r="U25" s="20">
        <f>SUM(Table2PRN!G2568)</f>
        <v>81</v>
      </c>
      <c r="V25" s="20">
        <f>SUM(Table2PRN!G2358)</f>
        <v>16</v>
      </c>
      <c r="W25" s="20">
        <f t="shared" si="7"/>
        <v>97</v>
      </c>
      <c r="Y25" s="7" t="s">
        <v>145</v>
      </c>
      <c r="Z25" s="1108">
        <f>SUM(Table2PRN!G2764)</f>
        <v>3</v>
      </c>
      <c r="AA25" s="20">
        <f>SUM(Table2PRN!G2974)</f>
        <v>1</v>
      </c>
      <c r="AB25" s="20">
        <f>SUM(Table2PRN!G3394)</f>
        <v>18</v>
      </c>
      <c r="AC25" s="20">
        <f>SUM(Table2PRN!G3184)</f>
        <v>3</v>
      </c>
      <c r="AD25" s="20">
        <f t="shared" si="8"/>
        <v>21</v>
      </c>
      <c r="AE25" s="1109">
        <f>SUM(Table2PRN!G3604)</f>
        <v>7</v>
      </c>
      <c r="AF25" s="1109">
        <f t="shared" si="9"/>
        <v>0</v>
      </c>
      <c r="AG25" s="1109">
        <f>Table2PRN!G4024</f>
        <v>32</v>
      </c>
      <c r="AH25" s="20">
        <f>SUM(Table2PRN!G4444)</f>
        <v>31</v>
      </c>
      <c r="AI25" s="20">
        <f>SUM(Table2PRN!G4234)</f>
        <v>9</v>
      </c>
      <c r="AJ25" s="20">
        <f t="shared" si="10"/>
        <v>40</v>
      </c>
      <c r="AK25" s="1108">
        <f>SUM(Table2PRN!G4654)</f>
        <v>60</v>
      </c>
      <c r="AL25" s="20">
        <f>SUM(Table2PRN!G5074)</f>
        <v>166</v>
      </c>
      <c r="AM25" s="20">
        <f>SUM(Table2PRN!G4864)</f>
        <v>62</v>
      </c>
      <c r="AN25" s="20">
        <f t="shared" si="11"/>
        <v>228</v>
      </c>
      <c r="AP25" s="7" t="s">
        <v>275</v>
      </c>
      <c r="AQ25" s="1108">
        <f>SUM(Table2PRN!G5298)</f>
        <v>53</v>
      </c>
      <c r="AR25" s="20">
        <f>SUM(Table2PRN!G5718)</f>
        <v>1173</v>
      </c>
      <c r="AS25" s="2">
        <f>SUM(Table2PRN!G5508)</f>
        <v>151</v>
      </c>
      <c r="AT25" s="20">
        <f t="shared" si="12"/>
        <v>1324</v>
      </c>
      <c r="AU25" s="1108">
        <f>SUM(Table2PRN!G5928)</f>
        <v>53</v>
      </c>
      <c r="AV25" s="20">
        <f>SUM(Table2PRN!G6348)</f>
        <v>484</v>
      </c>
      <c r="AW25" s="20">
        <f>SUM(Table2PRN!G6138)</f>
        <v>53</v>
      </c>
      <c r="AX25" s="20">
        <f t="shared" si="13"/>
        <v>537</v>
      </c>
      <c r="AZ25" s="811" t="s">
        <v>275</v>
      </c>
      <c r="BA25" s="90">
        <f>Table2PRN!G8658</f>
        <v>34</v>
      </c>
      <c r="BB25" s="754">
        <f>Table2PRN!G8868</f>
        <v>83</v>
      </c>
      <c r="BC25" s="817">
        <f>SUM(StockSumPRN!H46:I46)</f>
        <v>11</v>
      </c>
      <c r="BD25" s="30">
        <f>SUM(StockSumPRN!F46:G46)</f>
        <v>381</v>
      </c>
      <c r="BE25" s="30">
        <f>SUM(StockSumPRN!J251:K251)</f>
        <v>132</v>
      </c>
      <c r="BF25" s="30">
        <f>SUM(StockSumPRN!H661:I661)</f>
        <v>83</v>
      </c>
      <c r="BG25" s="30">
        <f>SUM(StockSumPRN!$D$661:$E$661)</f>
        <v>34</v>
      </c>
      <c r="BH25" s="30">
        <f>SUM(StockSumPRN!J1891:K1891)</f>
        <v>99</v>
      </c>
      <c r="BI25" s="30">
        <f>SUM(StockSumPRN!F1891:G1891)</f>
        <v>273</v>
      </c>
      <c r="BJ25" s="30">
        <f>SUM(StockSumPRN!D1686:E1686)</f>
        <v>179</v>
      </c>
      <c r="BK25" s="30">
        <f>SUM(StockSumPRN!D1481:E1481)</f>
        <v>130</v>
      </c>
      <c r="BL25" s="30">
        <f>SUM(StockSumPRN!H1276:I1276)</f>
        <v>99</v>
      </c>
      <c r="BM25" s="30">
        <f>SUM(StockSumPRN!$H$1071:$I$1071)</f>
        <v>162</v>
      </c>
      <c r="BN25" s="30">
        <f>SUM(StockSumPRN!$H$866:$I$866)</f>
        <v>310</v>
      </c>
      <c r="BO25" s="30">
        <f>SUM(StockSumPRN!J2096:K2096)</f>
        <v>66</v>
      </c>
      <c r="BP25" s="30">
        <f>SUM(StockSumPRN!D2301:E2301)</f>
        <v>16</v>
      </c>
      <c r="BQ25" s="20"/>
      <c r="BR25" s="20"/>
      <c r="BS25" s="20"/>
      <c r="BT25" s="20"/>
      <c r="BU25" s="20"/>
      <c r="BV25" s="20"/>
      <c r="BW25" s="20"/>
    </row>
    <row r="26" spans="1:78" x14ac:dyDescent="0.2">
      <c r="A26" s="7" t="s">
        <v>276</v>
      </c>
      <c r="B26" s="1108">
        <f>SUM(Table2PRN!G6771)</f>
        <v>4569</v>
      </c>
      <c r="C26" s="20">
        <f>SUM(Table2PRN!G6561)</f>
        <v>704</v>
      </c>
      <c r="D26" s="20">
        <f t="shared" si="3"/>
        <v>5273</v>
      </c>
      <c r="E26" s="1108">
        <f>SUM(Table2PRN!G51)</f>
        <v>24</v>
      </c>
      <c r="F26" s="20">
        <f>SUM(Table2PRN!G471)</f>
        <v>26</v>
      </c>
      <c r="G26" s="20">
        <f>SUM(Table2PRN!G261)</f>
        <v>24</v>
      </c>
      <c r="H26" s="20">
        <f t="shared" si="4"/>
        <v>50</v>
      </c>
      <c r="I26" s="1108">
        <f>SUM(Table2PRN!G681)</f>
        <v>11</v>
      </c>
      <c r="J26" s="1335">
        <f>SUM(Table2PRN!G891)</f>
        <v>29</v>
      </c>
      <c r="K26" s="20">
        <f>SUM(Table2PRN!G1311)</f>
        <v>40</v>
      </c>
      <c r="L26" s="20">
        <f>SUM(Table2PRN!G1101)</f>
        <v>41</v>
      </c>
      <c r="M26" s="20">
        <f t="shared" si="5"/>
        <v>81</v>
      </c>
      <c r="O26" s="7" t="s">
        <v>276</v>
      </c>
      <c r="P26" s="1108">
        <f>SUM(Table2PRN!G1521)</f>
        <v>34</v>
      </c>
      <c r="Q26" s="20">
        <f>SUM(Table2PRN!G1941)</f>
        <v>376</v>
      </c>
      <c r="R26" s="20">
        <f>SUM(Table2PRN!G1731)</f>
        <v>45</v>
      </c>
      <c r="S26" s="20">
        <f t="shared" si="6"/>
        <v>421</v>
      </c>
      <c r="T26" s="1108">
        <f>SUM(StockSumPRN!F2304:I2304,StockSumPRN!B2509:C2509)</f>
        <v>2</v>
      </c>
      <c r="U26" s="20">
        <f>SUM(Table2PRN!G2571)</f>
        <v>15</v>
      </c>
      <c r="V26" s="20">
        <f>SUM(Table2PRN!G2361)</f>
        <v>3</v>
      </c>
      <c r="W26" s="20">
        <f t="shared" si="7"/>
        <v>18</v>
      </c>
      <c r="Y26" s="7" t="s">
        <v>275</v>
      </c>
      <c r="Z26" s="1108">
        <f>SUM(Table2PRN!G2778)</f>
        <v>47</v>
      </c>
      <c r="AA26" s="20">
        <f>SUM(Table2PRN!G2988)</f>
        <v>60</v>
      </c>
      <c r="AB26" s="20">
        <f>SUM(Table2PRN!G3408)</f>
        <v>311</v>
      </c>
      <c r="AC26" s="20">
        <f>SUM(Table2PRN!G3198)</f>
        <v>58</v>
      </c>
      <c r="AD26" s="20">
        <f t="shared" si="8"/>
        <v>369</v>
      </c>
      <c r="AE26" s="1109">
        <f>SUM(Table2PRN!G3618)</f>
        <v>341</v>
      </c>
      <c r="AF26" s="1109">
        <f t="shared" si="9"/>
        <v>0</v>
      </c>
      <c r="AG26" s="1109">
        <f>Table2PRN!G4038</f>
        <v>1588</v>
      </c>
      <c r="AH26" s="20">
        <f>SUM(Table2PRN!G4458)</f>
        <v>1535</v>
      </c>
      <c r="AI26" s="20">
        <f>SUM(Table2PRN!G4248)</f>
        <v>394</v>
      </c>
      <c r="AJ26" s="20">
        <f t="shared" si="10"/>
        <v>1929</v>
      </c>
      <c r="AK26" s="1108">
        <f>SUM(Table2PRN!G4668)</f>
        <v>1580</v>
      </c>
      <c r="AL26" s="20">
        <f>SUM(Table2PRN!G5088)</f>
        <v>4415</v>
      </c>
      <c r="AM26" s="20">
        <f>SUM(Table2PRN!G4878)</f>
        <v>1614</v>
      </c>
      <c r="AN26" s="20">
        <f t="shared" si="11"/>
        <v>6029</v>
      </c>
      <c r="AP26" s="7" t="s">
        <v>276</v>
      </c>
      <c r="AQ26" s="1108">
        <f>SUM(Table2PRN!G5301)</f>
        <v>10</v>
      </c>
      <c r="AR26" s="20">
        <f>SUM(Table2PRN!G5721)</f>
        <v>222</v>
      </c>
      <c r="AS26" s="2">
        <f>SUM(Table2PRN!G5511)</f>
        <v>29</v>
      </c>
      <c r="AT26" s="20">
        <f t="shared" si="12"/>
        <v>251</v>
      </c>
      <c r="AU26" s="1108">
        <f>SUM(Table2PRN!G5931)</f>
        <v>15</v>
      </c>
      <c r="AV26" s="20">
        <f>SUM(Table2PRN!G6351)</f>
        <v>140</v>
      </c>
      <c r="AW26" s="20">
        <f>SUM(Table2PRN!G6141)</f>
        <v>15</v>
      </c>
      <c r="AX26" s="20">
        <f t="shared" si="13"/>
        <v>155</v>
      </c>
      <c r="AZ26" s="811" t="s">
        <v>276</v>
      </c>
      <c r="BA26" s="90">
        <f>Table2PRN!G8661</f>
        <v>11</v>
      </c>
      <c r="BB26" s="754">
        <f>Table2PRN!G8871</f>
        <v>27</v>
      </c>
      <c r="BC26" s="817">
        <f>SUM(StockSumPRN!H49:I49)</f>
        <v>3</v>
      </c>
      <c r="BD26" s="30">
        <f>SUM(StockSumPRN!F49:G49)</f>
        <v>110</v>
      </c>
      <c r="BE26" s="30">
        <f>SUM(StockSumPRN!J254:K254)</f>
        <v>23</v>
      </c>
      <c r="BF26" s="30">
        <f>SUM(StockSumPRN!H664:I664)</f>
        <v>27</v>
      </c>
      <c r="BG26" s="30">
        <f>SUM(StockSumPRN!$D$664:$E$664)</f>
        <v>11</v>
      </c>
      <c r="BH26" s="30">
        <f>SUM(StockSumPRN!J1894:K1894)</f>
        <v>19</v>
      </c>
      <c r="BI26" s="30">
        <f>SUM(StockSumPRN!F1894:G1894)</f>
        <v>52</v>
      </c>
      <c r="BJ26" s="30">
        <f>SUM(StockSumPRN!D1689:E1689)</f>
        <v>34</v>
      </c>
      <c r="BK26" s="30">
        <f>SUM(StockSumPRN!D1484:E1484)</f>
        <v>24</v>
      </c>
      <c r="BL26" s="30">
        <f>SUM(StockSumPRN!H1279:I1279)</f>
        <v>19</v>
      </c>
      <c r="BM26" s="30">
        <f>SUM(StockSumPRN!$H$1074:$I$1074)</f>
        <v>115</v>
      </c>
      <c r="BN26" s="30">
        <f>SUM(StockSumPRN!$H$869:$I$869)</f>
        <v>219</v>
      </c>
      <c r="BO26" s="30">
        <f>SUM(StockSumPRN!J2099:K2099)</f>
        <v>13</v>
      </c>
      <c r="BP26" s="30">
        <f>SUM(StockSumPRN!D2304:E2304)</f>
        <v>3</v>
      </c>
      <c r="BQ26" s="20"/>
      <c r="BR26" s="20"/>
      <c r="BS26" s="20"/>
      <c r="BT26" s="20"/>
      <c r="BU26" s="20"/>
      <c r="BV26" s="20"/>
      <c r="BW26" s="20"/>
    </row>
    <row r="27" spans="1:78" x14ac:dyDescent="0.2">
      <c r="A27" s="7" t="s">
        <v>277</v>
      </c>
      <c r="B27" s="1108">
        <f>SUM(Table2PRN!G6772)</f>
        <v>18179</v>
      </c>
      <c r="C27" s="20">
        <f>SUM(Table2PRN!G6562)</f>
        <v>3678</v>
      </c>
      <c r="D27" s="20">
        <f t="shared" si="3"/>
        <v>21857</v>
      </c>
      <c r="E27" s="1108">
        <f>SUM(Table2PRN!G52)</f>
        <v>564</v>
      </c>
      <c r="F27" s="20">
        <f>SUM(Table2PRN!G472)</f>
        <v>630</v>
      </c>
      <c r="G27" s="20">
        <f>SUM(Table2PRN!G262)</f>
        <v>576</v>
      </c>
      <c r="H27" s="20">
        <f t="shared" si="4"/>
        <v>1206</v>
      </c>
      <c r="I27" s="1108">
        <f>SUM(Table2PRN!G682)</f>
        <v>125</v>
      </c>
      <c r="J27" s="1335">
        <f>SUM(Table2PRN!G892)</f>
        <v>323</v>
      </c>
      <c r="K27" s="20">
        <f>SUM(Table2PRN!G1312)</f>
        <v>451</v>
      </c>
      <c r="L27" s="20">
        <f>SUM(Table2PRN!G1102)</f>
        <v>459</v>
      </c>
      <c r="M27" s="20">
        <f t="shared" si="5"/>
        <v>910</v>
      </c>
      <c r="O27" s="7" t="s">
        <v>277</v>
      </c>
      <c r="P27" s="1108">
        <f>SUM(Table2PRN!G1522)</f>
        <v>121</v>
      </c>
      <c r="Q27" s="20">
        <f>SUM(Table2PRN!G1942)</f>
        <v>1496</v>
      </c>
      <c r="R27" s="20">
        <f>SUM(Table2PRN!G1732)</f>
        <v>162</v>
      </c>
      <c r="S27" s="20">
        <f t="shared" si="6"/>
        <v>1658</v>
      </c>
      <c r="T27" s="1108">
        <f>SUM(StockSumPRN!B2510:C2510,StockSumPRN!F2305:I2305)</f>
        <v>11</v>
      </c>
      <c r="U27" s="20">
        <f>SUM(Table2PRN!G2572)</f>
        <v>74</v>
      </c>
      <c r="V27" s="20">
        <f>SUM(Table2PRN!G2362)</f>
        <v>15</v>
      </c>
      <c r="W27" s="20">
        <f t="shared" si="7"/>
        <v>89</v>
      </c>
      <c r="Y27" s="7" t="s">
        <v>276</v>
      </c>
      <c r="Z27" s="1108">
        <f>SUM(Table2PRN!G2781)</f>
        <v>6</v>
      </c>
      <c r="AA27" s="20">
        <f>SUM(Table2PRN!G2991)</f>
        <v>14</v>
      </c>
      <c r="AB27" s="20">
        <f>SUM(Table2PRN!G3411)</f>
        <v>39</v>
      </c>
      <c r="AC27" s="20">
        <f>SUM(Table2PRN!G3201)</f>
        <v>7</v>
      </c>
      <c r="AD27" s="20">
        <f t="shared" si="8"/>
        <v>46</v>
      </c>
      <c r="AE27" s="1109">
        <f>SUM(Table2PRN!G3621)</f>
        <v>58</v>
      </c>
      <c r="AF27" s="1109">
        <f t="shared" si="9"/>
        <v>0</v>
      </c>
      <c r="AG27" s="1109">
        <f>Table2PRN!G4041</f>
        <v>261</v>
      </c>
      <c r="AH27" s="20">
        <f>SUM(Table2PRN!G4461)</f>
        <v>252</v>
      </c>
      <c r="AI27" s="20">
        <f>SUM(Table2PRN!G4251)</f>
        <v>67</v>
      </c>
      <c r="AJ27" s="20">
        <f t="shared" si="10"/>
        <v>319</v>
      </c>
      <c r="AK27" s="1108">
        <f>SUM(Table2PRN!G4671)</f>
        <v>52</v>
      </c>
      <c r="AL27" s="20">
        <f>SUM(Table2PRN!G5091)</f>
        <v>147</v>
      </c>
      <c r="AM27" s="20">
        <f>SUM(Table2PRN!G4881)</f>
        <v>53</v>
      </c>
      <c r="AN27" s="20">
        <f t="shared" si="11"/>
        <v>200</v>
      </c>
      <c r="AP27" s="7" t="s">
        <v>277</v>
      </c>
      <c r="AQ27" s="1108">
        <f>SUM(Table2PRN!G5302)</f>
        <v>164</v>
      </c>
      <c r="AR27" s="20">
        <f>SUM(Table2PRN!G5722)</f>
        <v>3668</v>
      </c>
      <c r="AS27" s="2">
        <f>SUM(Table2PRN!G5512)</f>
        <v>469</v>
      </c>
      <c r="AT27" s="20">
        <f t="shared" si="12"/>
        <v>4137</v>
      </c>
      <c r="AU27" s="1108">
        <f>SUM(Table2PRN!G5932)</f>
        <v>272</v>
      </c>
      <c r="AV27" s="20">
        <f>SUM(Table2PRN!G6352)</f>
        <v>2520</v>
      </c>
      <c r="AW27" s="20">
        <f>SUM(Table2PRN!G6142)</f>
        <v>273</v>
      </c>
      <c r="AX27" s="20">
        <f t="shared" si="13"/>
        <v>2793</v>
      </c>
      <c r="AZ27" s="811" t="s">
        <v>277</v>
      </c>
      <c r="BA27" s="90">
        <f>Table2PRN!G8662</f>
        <v>131</v>
      </c>
      <c r="BB27" s="754">
        <f>Table2PRN!G8872</f>
        <v>315</v>
      </c>
      <c r="BC27" s="817">
        <f>SUM(StockSumPRN!H50:I50)</f>
        <v>58</v>
      </c>
      <c r="BD27" s="30">
        <f>SUM(StockSumPRN!F50:G50)</f>
        <v>1987</v>
      </c>
      <c r="BE27" s="30">
        <f>SUM(StockSumPRN!J255:K255)</f>
        <v>560</v>
      </c>
      <c r="BF27" s="30">
        <f>SUM(StockSumPRN!H665:I665)</f>
        <v>314</v>
      </c>
      <c r="BG27" s="30">
        <f>SUM(StockSumPRN!$D$665:$E$665)</f>
        <v>131</v>
      </c>
      <c r="BH27" s="30">
        <f>SUM(StockSumPRN!J1895:K1895)</f>
        <v>311</v>
      </c>
      <c r="BI27" s="30">
        <f>SUM(StockSumPRN!F1895:G1895)</f>
        <v>854</v>
      </c>
      <c r="BJ27" s="30">
        <f>SUM(StockSumPRN!D1690:E1690)</f>
        <v>562</v>
      </c>
      <c r="BK27" s="30">
        <f>SUM(StockSumPRN!D1485:E1485)</f>
        <v>407</v>
      </c>
      <c r="BL27" s="30">
        <f>SUM(StockSumPRN!H1280:I1280)</f>
        <v>310</v>
      </c>
      <c r="BM27" s="30">
        <f>SUM(StockSumPRN!$H$1075:$I$1075)</f>
        <v>450</v>
      </c>
      <c r="BN27" s="30">
        <f>SUM(StockSumPRN!$H$870:$I$870)</f>
        <v>860</v>
      </c>
      <c r="BO27" s="30">
        <f>SUM(StockSumPRN!J2100:K2100)</f>
        <v>60</v>
      </c>
      <c r="BP27" s="30">
        <f>SUM(StockSumPRN!D2305:E2305)</f>
        <v>15</v>
      </c>
    </row>
    <row r="28" spans="1:78" x14ac:dyDescent="0.2">
      <c r="A28" s="2" t="s">
        <v>278</v>
      </c>
      <c r="B28" s="1500" t="s">
        <v>129</v>
      </c>
      <c r="C28" s="1501" t="s">
        <v>129</v>
      </c>
      <c r="D28" s="1501" t="s">
        <v>129</v>
      </c>
      <c r="E28" s="1500" t="s">
        <v>129</v>
      </c>
      <c r="F28" s="1501" t="s">
        <v>129</v>
      </c>
      <c r="G28" s="1501" t="s">
        <v>129</v>
      </c>
      <c r="H28" s="1501" t="s">
        <v>129</v>
      </c>
      <c r="I28" s="1500" t="s">
        <v>129</v>
      </c>
      <c r="J28" s="1502" t="s">
        <v>129</v>
      </c>
      <c r="K28" s="1501" t="s">
        <v>129</v>
      </c>
      <c r="L28" s="1501" t="s">
        <v>129</v>
      </c>
      <c r="M28" s="1501" t="s">
        <v>129</v>
      </c>
      <c r="O28" s="2" t="s">
        <v>278</v>
      </c>
      <c r="P28" s="1500" t="s">
        <v>129</v>
      </c>
      <c r="Q28" s="1501" t="s">
        <v>129</v>
      </c>
      <c r="R28" s="1501" t="s">
        <v>129</v>
      </c>
      <c r="S28" s="1501" t="s">
        <v>129</v>
      </c>
      <c r="T28" s="1500" t="s">
        <v>129</v>
      </c>
      <c r="U28" s="1501" t="s">
        <v>129</v>
      </c>
      <c r="V28" s="1501" t="s">
        <v>129</v>
      </c>
      <c r="W28" s="1501" t="s">
        <v>129</v>
      </c>
      <c r="Y28" s="7" t="s">
        <v>277</v>
      </c>
      <c r="Z28" s="1108">
        <f>SUM(Table2PRN!G2782)</f>
        <v>22</v>
      </c>
      <c r="AA28" s="20">
        <f>SUM(Table2PRN!G2992)</f>
        <v>21</v>
      </c>
      <c r="AB28" s="20">
        <f>SUM(Table2PRN!G3412)</f>
        <v>147</v>
      </c>
      <c r="AC28" s="20">
        <f>SUM(Table2PRN!G3202)</f>
        <v>27</v>
      </c>
      <c r="AD28" s="20">
        <f t="shared" si="8"/>
        <v>174</v>
      </c>
      <c r="AE28" s="1109">
        <f>SUM(Table2PRN!G3622)</f>
        <v>79</v>
      </c>
      <c r="AF28" s="1109">
        <f t="shared" si="9"/>
        <v>0</v>
      </c>
      <c r="AG28" s="1109">
        <f>Table2PRN!G4042</f>
        <v>379</v>
      </c>
      <c r="AH28" s="20">
        <f>SUM(Table2PRN!G4462)</f>
        <v>367</v>
      </c>
      <c r="AI28" s="20">
        <f>SUM(Table2PRN!G4252)</f>
        <v>92</v>
      </c>
      <c r="AJ28" s="20">
        <f t="shared" si="10"/>
        <v>459</v>
      </c>
      <c r="AK28" s="1108">
        <f>SUM(Table2PRN!G4672)</f>
        <v>121</v>
      </c>
      <c r="AL28" s="20">
        <f>SUM(Table2PRN!G5092)</f>
        <v>350</v>
      </c>
      <c r="AM28" s="20">
        <f>SUM(Table2PRN!G4882)</f>
        <v>124</v>
      </c>
      <c r="AN28" s="20">
        <f t="shared" si="11"/>
        <v>474</v>
      </c>
      <c r="AP28" s="2" t="s">
        <v>278</v>
      </c>
      <c r="AQ28" s="1500" t="s">
        <v>129</v>
      </c>
      <c r="AR28" s="1501" t="s">
        <v>129</v>
      </c>
      <c r="AS28" s="1501" t="s">
        <v>129</v>
      </c>
      <c r="AT28" s="1501" t="s">
        <v>129</v>
      </c>
      <c r="AU28" s="1500" t="s">
        <v>129</v>
      </c>
      <c r="AV28" s="1501" t="s">
        <v>129</v>
      </c>
      <c r="AW28" s="1501" t="s">
        <v>129</v>
      </c>
      <c r="AX28" s="1501" t="s">
        <v>129</v>
      </c>
      <c r="AZ28" s="781" t="s">
        <v>279</v>
      </c>
      <c r="BA28" s="90"/>
      <c r="BB28" s="754"/>
      <c r="BC28" s="817">
        <f>SUM(StockSumPRN!H33:I41)</f>
        <v>0</v>
      </c>
      <c r="BD28" s="30">
        <f>SUM(StockSumPRN!F33:G41)</f>
        <v>0</v>
      </c>
      <c r="BE28" s="30">
        <f>SUM(StockSumPRN!J238:K246)</f>
        <v>0</v>
      </c>
      <c r="BF28" s="30">
        <f>SUM(StockSumPRN!H648:I656)</f>
        <v>0</v>
      </c>
      <c r="BG28" s="30">
        <f>SUM(StockSumPRN!$D$648:$E$656)</f>
        <v>0</v>
      </c>
      <c r="BH28" s="30">
        <f>SUM(StockSumPRN!J1878:K1886)</f>
        <v>0</v>
      </c>
      <c r="BI28" s="30">
        <f>SUM(StockSumPRN!F1878:G1886)</f>
        <v>0</v>
      </c>
      <c r="BJ28" s="30">
        <f>SUM(StockSumPRN!D1673:E1681)</f>
        <v>0</v>
      </c>
      <c r="BK28" s="30">
        <f>SUM(StockSumPRN!D1468:E1476)</f>
        <v>0</v>
      </c>
      <c r="BL28" s="30">
        <f>SUM(StockSumPRN!H1263:I1271)</f>
        <v>0</v>
      </c>
      <c r="BM28" s="30">
        <f>SUM(StockSumPRN!H1058:I1066)</f>
        <v>0</v>
      </c>
      <c r="BN28" s="30">
        <f>SUM(StockSumPRN!$H$853:$I$861)</f>
        <v>0</v>
      </c>
      <c r="BO28" s="30">
        <f>SUM(StockSumPRN!J2083:K2091)</f>
        <v>0</v>
      </c>
      <c r="BP28" s="30">
        <f>SUM(StockSumPRN!D2288:E2296)</f>
        <v>0</v>
      </c>
    </row>
    <row r="29" spans="1:78" x14ac:dyDescent="0.2">
      <c r="A29" s="2" t="s">
        <v>267</v>
      </c>
      <c r="B29" s="1108">
        <f>SUM(Table2PRN!G6775)</f>
        <v>186</v>
      </c>
      <c r="C29" s="20">
        <f>SUM(Table2PRN!G6565)</f>
        <v>224</v>
      </c>
      <c r="D29" s="20">
        <f t="shared" ref="D29:D35" si="14">B29+C29</f>
        <v>410</v>
      </c>
      <c r="E29" s="1108">
        <f>SUM(Table2PRN!G55)</f>
        <v>45</v>
      </c>
      <c r="F29" s="20">
        <f>SUM(Table2PRN!G475)</f>
        <v>10</v>
      </c>
      <c r="G29" s="20">
        <f>SUM(Table2PRN!G265)</f>
        <v>46</v>
      </c>
      <c r="H29" s="20">
        <f t="shared" ref="H29:H38" si="15">F29+G29</f>
        <v>56</v>
      </c>
      <c r="I29" s="1108">
        <f>SUM(Table2PRN!G685)</f>
        <v>15</v>
      </c>
      <c r="J29" s="1335">
        <f>SUM(Table2PRN!G895)</f>
        <v>38</v>
      </c>
      <c r="K29" s="20">
        <f>SUM(Table2PRN!G1315)</f>
        <v>11</v>
      </c>
      <c r="L29" s="20">
        <f>SUM(Table2PRN!G1105)</f>
        <v>54</v>
      </c>
      <c r="M29" s="20">
        <f t="shared" ref="M29:M39" si="16">K29+L29</f>
        <v>65</v>
      </c>
      <c r="O29" s="2" t="s">
        <v>267</v>
      </c>
      <c r="P29" s="1108">
        <f>SUM(Table2PRN!G1525)</f>
        <v>21</v>
      </c>
      <c r="Q29" s="20">
        <f>SUM(Table2PRN!G1945)</f>
        <v>53</v>
      </c>
      <c r="R29" s="20">
        <f>SUM(Table2PRN!G1735)</f>
        <v>28</v>
      </c>
      <c r="S29" s="20">
        <f t="shared" ref="S29:S39" si="17">Q29+R29</f>
        <v>81</v>
      </c>
      <c r="T29" s="1108">
        <f>SUM(JDF!N13,JDF!P13)</f>
        <v>3</v>
      </c>
      <c r="U29" s="20">
        <f>SUM(Table2PRN!G2575)</f>
        <v>4</v>
      </c>
      <c r="V29" s="20">
        <f>SUM(Table2PRN!G2365)</f>
        <v>4</v>
      </c>
      <c r="W29" s="20">
        <f t="shared" ref="W29:W39" si="18">U29+V29</f>
        <v>8</v>
      </c>
      <c r="Y29" s="2" t="s">
        <v>280</v>
      </c>
      <c r="Z29" s="1500" t="s">
        <v>129</v>
      </c>
      <c r="AA29" s="1501" t="s">
        <v>129</v>
      </c>
      <c r="AB29" s="1501" t="s">
        <v>129</v>
      </c>
      <c r="AC29" s="1501" t="s">
        <v>129</v>
      </c>
      <c r="AD29" s="1501" t="s">
        <v>129</v>
      </c>
      <c r="AE29" s="1501" t="s">
        <v>129</v>
      </c>
      <c r="AF29" s="1501" t="s">
        <v>129</v>
      </c>
      <c r="AG29" s="1501" t="s">
        <v>129</v>
      </c>
      <c r="AH29" s="1501" t="s">
        <v>129</v>
      </c>
      <c r="AI29" s="1501"/>
      <c r="AJ29" s="1501" t="s">
        <v>129</v>
      </c>
      <c r="AK29" s="1500" t="s">
        <v>129</v>
      </c>
      <c r="AL29" s="1501" t="s">
        <v>129</v>
      </c>
      <c r="AM29" s="1501" t="s">
        <v>129</v>
      </c>
      <c r="AN29" s="1501" t="s">
        <v>129</v>
      </c>
      <c r="AP29" s="2" t="s">
        <v>267</v>
      </c>
      <c r="AQ29" s="1108">
        <f>SUM(Table2PRN!G5305)</f>
        <v>13</v>
      </c>
      <c r="AR29" s="20">
        <f>SUM(Table2PRN!G5725)</f>
        <v>59</v>
      </c>
      <c r="AS29" s="2">
        <f>SUM(Table2PRN!G5515)</f>
        <v>38</v>
      </c>
      <c r="AT29" s="20">
        <f t="shared" ref="AT29:AT39" si="19">AR29+AS29</f>
        <v>97</v>
      </c>
      <c r="AU29" s="1108">
        <f>SUM(Table2PRN!G5935)</f>
        <v>3</v>
      </c>
      <c r="AV29" s="20">
        <f>SUM(Table2PRN!G6355)</f>
        <v>6</v>
      </c>
      <c r="AW29" s="20">
        <f>SUM(Table2PRN!G6145)</f>
        <v>3</v>
      </c>
      <c r="AX29" s="20">
        <f t="shared" ref="AX29:AX39" si="20">AV29+AW29</f>
        <v>9</v>
      </c>
      <c r="AZ29" s="215" t="s">
        <v>278</v>
      </c>
      <c r="BA29" s="756" t="s">
        <v>129</v>
      </c>
      <c r="BB29" s="756" t="s">
        <v>129</v>
      </c>
      <c r="BC29" s="810" t="s">
        <v>129</v>
      </c>
      <c r="BD29" s="756" t="s">
        <v>129</v>
      </c>
      <c r="BE29" s="756" t="s">
        <v>129</v>
      </c>
      <c r="BF29" s="756" t="s">
        <v>129</v>
      </c>
      <c r="BG29" s="756" t="s">
        <v>129</v>
      </c>
      <c r="BH29" s="756" t="s">
        <v>129</v>
      </c>
      <c r="BI29" s="756" t="s">
        <v>129</v>
      </c>
      <c r="BJ29" s="756" t="s">
        <v>129</v>
      </c>
      <c r="BK29" s="756" t="s">
        <v>129</v>
      </c>
      <c r="BL29" s="756" t="s">
        <v>129</v>
      </c>
      <c r="BM29" s="756" t="s">
        <v>129</v>
      </c>
      <c r="BN29" s="756" t="s">
        <v>129</v>
      </c>
      <c r="BO29" s="756"/>
      <c r="BP29" s="756"/>
      <c r="BQ29" s="1501"/>
      <c r="BR29" s="1501"/>
      <c r="BS29" s="1501"/>
      <c r="BT29" s="1501"/>
      <c r="BU29" s="1501"/>
      <c r="BV29" s="1501"/>
      <c r="BW29" s="1501"/>
    </row>
    <row r="30" spans="1:78" x14ac:dyDescent="0.2">
      <c r="A30" s="2" t="s">
        <v>281</v>
      </c>
      <c r="B30" s="1503">
        <f>SUM(Table2PRN!G6822)</f>
        <v>19585</v>
      </c>
      <c r="C30" s="20">
        <f>SUM(Table2PRN!G6612)</f>
        <v>3448</v>
      </c>
      <c r="D30" s="20">
        <f t="shared" si="14"/>
        <v>23033</v>
      </c>
      <c r="E30" s="1108">
        <f>SUM(Table2PRN!G102)</f>
        <v>519</v>
      </c>
      <c r="F30" s="20">
        <f>SUM(Table2PRN!G522)</f>
        <v>784</v>
      </c>
      <c r="G30" s="20">
        <f>SUM(Table2PRN!G312)</f>
        <v>530</v>
      </c>
      <c r="H30" s="20">
        <f t="shared" si="15"/>
        <v>1314</v>
      </c>
      <c r="I30" s="1108">
        <f>SUM(Table2PRN!G732)</f>
        <v>132</v>
      </c>
      <c r="J30" s="1335">
        <f>SUM(Table2PRN!G942)</f>
        <v>343</v>
      </c>
      <c r="K30" s="20">
        <f>SUM(Table2PRN!G1362)</f>
        <v>666</v>
      </c>
      <c r="L30" s="20">
        <f>SUM(Table2PRN!G1152)</f>
        <v>487</v>
      </c>
      <c r="M30" s="20">
        <f t="shared" si="16"/>
        <v>1153</v>
      </c>
      <c r="O30" s="2" t="s">
        <v>282</v>
      </c>
      <c r="P30" s="1108">
        <f>SUM(Table2PRN!G1572)</f>
        <v>219</v>
      </c>
      <c r="Q30" s="20">
        <f>SUM(Table2PRN!G1992)</f>
        <v>3603</v>
      </c>
      <c r="R30" s="20">
        <f>SUM(Table2PRN!G1782)</f>
        <v>292</v>
      </c>
      <c r="S30" s="20">
        <f t="shared" si="17"/>
        <v>3895</v>
      </c>
      <c r="T30" s="1108">
        <f>SUM(StockSumPRN!B2560:C2560,StockSumPRN!F2355:I2355)</f>
        <v>85</v>
      </c>
      <c r="U30" s="20">
        <f>SUM(Table2PRN!G2622)</f>
        <v>778</v>
      </c>
      <c r="V30" s="20">
        <f>SUM(Table2PRN!G2412)</f>
        <v>112</v>
      </c>
      <c r="W30" s="20">
        <f t="shared" si="18"/>
        <v>890</v>
      </c>
      <c r="Y30" s="2" t="s">
        <v>267</v>
      </c>
      <c r="Z30" s="1108">
        <f>SUM(Table2PRN!G2785)</f>
        <v>0</v>
      </c>
      <c r="AA30" s="20">
        <f>SUM(Table2PRN!G2995)</f>
        <v>0</v>
      </c>
      <c r="AB30" s="20">
        <f>SUM(Table2PRN!G3415)</f>
        <v>0</v>
      </c>
      <c r="AC30" s="20">
        <f>SUM(Table2PRN!G3205)</f>
        <v>0</v>
      </c>
      <c r="AD30" s="20">
        <f t="shared" ref="AD30:AD35" si="21">AB30+AC30</f>
        <v>0</v>
      </c>
      <c r="AE30" s="1109">
        <f>SUM(Table2PRN!G3625)</f>
        <v>0</v>
      </c>
      <c r="AF30" s="1109">
        <f t="shared" ref="AF30:AF35" si="22">AG$3*AH30+AH$3*AI30</f>
        <v>0</v>
      </c>
      <c r="AG30" s="1109">
        <f>Table2PRN!G4045</f>
        <v>0</v>
      </c>
      <c r="AH30" s="20">
        <f>SUM(Table2PRN!G4465)</f>
        <v>0</v>
      </c>
      <c r="AI30" s="20">
        <f>SUM(Table2PRN!G4255)</f>
        <v>0</v>
      </c>
      <c r="AJ30" s="20">
        <f t="shared" ref="AJ30:AJ35" si="23">AH30+AI30</f>
        <v>0</v>
      </c>
      <c r="AK30" s="1108">
        <f>SUM(Table2PRN!G4675)</f>
        <v>3</v>
      </c>
      <c r="AL30" s="20">
        <f>SUM(Table2PRN!G5095)</f>
        <v>2</v>
      </c>
      <c r="AM30" s="20">
        <f>SUM(Table2PRN!G4885)</f>
        <v>3</v>
      </c>
      <c r="AN30" s="20">
        <f t="shared" ref="AN30:AN35" si="24">AL30+AM30</f>
        <v>5</v>
      </c>
      <c r="AP30" s="2" t="s">
        <v>282</v>
      </c>
      <c r="AQ30" s="1108">
        <f>SUM(Table2PRN!G5352)</f>
        <v>252</v>
      </c>
      <c r="AR30" s="20">
        <f>SUM(Table2PRN!G5772)</f>
        <v>7630</v>
      </c>
      <c r="AS30" s="2">
        <f>SUM(Table2PRN!G5562)</f>
        <v>717</v>
      </c>
      <c r="AT30" s="20">
        <f t="shared" si="19"/>
        <v>8347</v>
      </c>
      <c r="AU30" s="1108">
        <f>SUM(Table2PRN!G5982)</f>
        <v>148</v>
      </c>
      <c r="AV30" s="20">
        <f>SUM(Table2PRN!G6402)</f>
        <v>1855</v>
      </c>
      <c r="AW30" s="20">
        <f>SUM(Table2PRN!G6192)</f>
        <v>148</v>
      </c>
      <c r="AX30" s="20">
        <f t="shared" si="20"/>
        <v>2003</v>
      </c>
      <c r="AZ30" s="215" t="s">
        <v>283</v>
      </c>
      <c r="BA30" s="90">
        <f>Table2PRN!G8665</f>
        <v>3</v>
      </c>
      <c r="BB30" s="754">
        <f>Table2PRN!G8875</f>
        <v>8</v>
      </c>
      <c r="BC30" s="817">
        <f>SUM(StockSumPRN!$H$53:$I$53)</f>
        <v>0</v>
      </c>
      <c r="BD30" s="30">
        <f>SUM(StockSumPRN!F53:G53)</f>
        <v>5</v>
      </c>
      <c r="BE30" s="30">
        <f>SUM(StockSumPRN!J258:K258)</f>
        <v>9</v>
      </c>
      <c r="BF30" s="30">
        <f>SUM(StockSumPRN!H668:I668)</f>
        <v>8</v>
      </c>
      <c r="BG30" s="30">
        <f>SUM(StockSumPRN!$D$668:$E$668)</f>
        <v>3</v>
      </c>
      <c r="BH30" s="30">
        <f>SUM(StockSumPRN!J1898:K1898)</f>
        <v>5</v>
      </c>
      <c r="BI30" s="30">
        <f>SUM(StockSumPRN!F1898:G1898)</f>
        <v>31</v>
      </c>
      <c r="BJ30" s="30">
        <f>SUM(StockSumPRN!D1693:E1693)</f>
        <v>11</v>
      </c>
      <c r="BK30" s="30">
        <f>SUM(StockSumPRN!D1488:E1488)</f>
        <v>6</v>
      </c>
      <c r="BL30" s="30">
        <f>SUM(StockSumPRN!H1283:I1283)</f>
        <v>5</v>
      </c>
      <c r="BM30" s="809">
        <f>SUM(StockSumPRN!$H$1078:$I$1078)</f>
        <v>17</v>
      </c>
      <c r="BN30" s="30">
        <f>SUM(StockSumPRN!$H$873:$I$873)</f>
        <v>34</v>
      </c>
      <c r="BO30" s="30">
        <f>SUM(StockSumPRN!J2103:K2103)</f>
        <v>3</v>
      </c>
      <c r="BP30" s="30">
        <f>SUM(StockSumPRN!D2308:E2308)</f>
        <v>1</v>
      </c>
      <c r="BQ30" s="20"/>
      <c r="BT30" s="20"/>
      <c r="BW30" s="20"/>
    </row>
    <row r="31" spans="1:78" x14ac:dyDescent="0.2">
      <c r="A31" s="7" t="s">
        <v>151</v>
      </c>
      <c r="B31" s="1503">
        <f>SUM(Table2PRN!G6823)</f>
        <v>7029</v>
      </c>
      <c r="C31" s="20">
        <f>SUM(Table2PRN!G6613)</f>
        <v>1344</v>
      </c>
      <c r="D31" s="20">
        <f>B31+C31</f>
        <v>8373</v>
      </c>
      <c r="E31" s="1108">
        <f>SUM(Table2PRN!G103)</f>
        <v>279</v>
      </c>
      <c r="F31" s="20">
        <f>SUM(Table2PRN!G523)</f>
        <v>419</v>
      </c>
      <c r="G31" s="20">
        <f>SUM(Table2PRN!G313)</f>
        <v>285</v>
      </c>
      <c r="H31" s="20">
        <f>F31+G31</f>
        <v>704</v>
      </c>
      <c r="I31" s="1108">
        <f>SUM(Table2PRN!G733)</f>
        <v>60</v>
      </c>
      <c r="J31" s="1335">
        <f>SUM(Table2PRN!G943)</f>
        <v>156</v>
      </c>
      <c r="K31" s="20">
        <f>SUM(Table2PRN!G1363)</f>
        <v>301</v>
      </c>
      <c r="L31" s="20">
        <f>SUM(Table2PRN!G1153)</f>
        <v>221</v>
      </c>
      <c r="M31" s="20">
        <f>K31+L31</f>
        <v>522</v>
      </c>
      <c r="O31" s="7" t="s">
        <v>151</v>
      </c>
      <c r="P31" s="1108">
        <f>SUM(Table2PRN!G1573)</f>
        <v>95</v>
      </c>
      <c r="Q31" s="20">
        <f>SUM(Table2PRN!G1993)</f>
        <v>1544</v>
      </c>
      <c r="R31" s="20">
        <f>SUM(Table2PRN!G1783)</f>
        <v>127</v>
      </c>
      <c r="S31" s="20">
        <f>Q31+R31</f>
        <v>1671</v>
      </c>
      <c r="T31" s="1108">
        <f>SUM(StockSumPRN!F2356:I2356,StockSumPRN!B2561:C2561)</f>
        <v>37</v>
      </c>
      <c r="U31" s="20">
        <f>SUM(Table2PRN!G2623)</f>
        <v>335</v>
      </c>
      <c r="V31" s="20">
        <f>SUM(Table2PRN!G2413)</f>
        <v>48</v>
      </c>
      <c r="W31" s="20">
        <f>U31+V31</f>
        <v>383</v>
      </c>
      <c r="Y31" s="2" t="s">
        <v>284</v>
      </c>
      <c r="Z31" s="1108">
        <f>SUM(Table2PRN!G2832)</f>
        <v>11</v>
      </c>
      <c r="AA31" s="20">
        <f>SUM(Table2PRN!G3042)</f>
        <v>9</v>
      </c>
      <c r="AB31" s="20">
        <f>SUM(Table2PRN!G3462)</f>
        <v>100</v>
      </c>
      <c r="AC31" s="20">
        <f>SUM(Table2PRN!G3252)</f>
        <v>13</v>
      </c>
      <c r="AD31" s="20">
        <f t="shared" si="21"/>
        <v>113</v>
      </c>
      <c r="AE31" s="1109">
        <f>SUM(Table2PRN!G3672)</f>
        <v>24</v>
      </c>
      <c r="AF31" s="1109">
        <f t="shared" si="22"/>
        <v>0</v>
      </c>
      <c r="AG31" s="1109">
        <f>Table2PRN!G4092</f>
        <v>157</v>
      </c>
      <c r="AH31" s="20">
        <f>SUM(Table2PRN!G4512)</f>
        <v>154</v>
      </c>
      <c r="AI31" s="20">
        <f>SUM(Table2PRN!G4302)</f>
        <v>28</v>
      </c>
      <c r="AJ31" s="20">
        <f t="shared" si="23"/>
        <v>182</v>
      </c>
      <c r="AK31" s="1108">
        <f>SUM(Table2PRN!G4722)</f>
        <v>79</v>
      </c>
      <c r="AL31" s="20">
        <f>SUM(Table2PRN!G5142)</f>
        <v>330</v>
      </c>
      <c r="AM31" s="20">
        <f>SUM(Table2PRN!G4932)</f>
        <v>81</v>
      </c>
      <c r="AN31" s="20">
        <f t="shared" si="24"/>
        <v>411</v>
      </c>
      <c r="AP31" s="7" t="s">
        <v>151</v>
      </c>
      <c r="AQ31" s="1108">
        <f>SUM(Table2PRN!G5353)</f>
        <v>101</v>
      </c>
      <c r="AR31" s="20">
        <f>SUM(Table2PRN!G5773)</f>
        <v>3048</v>
      </c>
      <c r="AS31" s="2">
        <f>SUM(Table2PRN!G5563)</f>
        <v>287</v>
      </c>
      <c r="AT31" s="20">
        <f>AR31+AS31</f>
        <v>3335</v>
      </c>
      <c r="AU31" s="1108">
        <f>SUM(Table2PRN!G5983)</f>
        <v>61</v>
      </c>
      <c r="AV31" s="20">
        <f>SUM(Table2PRN!G6403)</f>
        <v>769</v>
      </c>
      <c r="AW31" s="20">
        <f>SUM(Table2PRN!G6193)</f>
        <v>61</v>
      </c>
      <c r="AX31" s="20">
        <f>AV31+AW31</f>
        <v>830</v>
      </c>
      <c r="AZ31" s="215" t="s">
        <v>285</v>
      </c>
      <c r="BA31" s="90">
        <f>Table2PRN!G8712</f>
        <v>186</v>
      </c>
      <c r="BB31" s="754">
        <f>Table2PRN!G8922</f>
        <v>448</v>
      </c>
      <c r="BC31" s="817">
        <f>SUM(StockSumPRN!$H$100:$I$100)</f>
        <v>43</v>
      </c>
      <c r="BD31" s="30">
        <f>SUM(StockSumPRN!F100:G100)</f>
        <v>1462</v>
      </c>
      <c r="BE31" s="30">
        <f>SUM(StockSumPRN!J305:K305)</f>
        <v>693</v>
      </c>
      <c r="BF31" s="30">
        <f>SUM(StockSumPRN!H715:I715)</f>
        <v>448</v>
      </c>
      <c r="BG31" s="30">
        <f>SUM(StockSumPRN!$D$715:$E$715)</f>
        <v>186</v>
      </c>
      <c r="BH31" s="30">
        <f>SUM(StockSumPRN!J1945:K1945)</f>
        <v>644</v>
      </c>
      <c r="BI31" s="30">
        <f>SUM(StockSumPRN!F1945:G1945)</f>
        <v>1621</v>
      </c>
      <c r="BJ31" s="30">
        <f>SUM(StockSumPRN!D1740:E1740)</f>
        <v>1152</v>
      </c>
      <c r="BK31" s="30">
        <f>SUM(StockSumPRN!D1535:E1535)</f>
        <v>846</v>
      </c>
      <c r="BL31" s="30">
        <f>SUM(StockSumPRN!H1330:I1330)</f>
        <v>646</v>
      </c>
      <c r="BM31" s="30">
        <f>SUM(StockSumPRN!$H$1125:$I$1125)</f>
        <v>1080</v>
      </c>
      <c r="BN31" s="30">
        <f>SUM(StockSumPRN!$H$920:$I$920)</f>
        <v>2057</v>
      </c>
      <c r="BO31" s="30">
        <f>SUM(StockSumPRN!J2150:K2150)</f>
        <v>636</v>
      </c>
      <c r="BP31" s="30">
        <f>SUM(StockSumPRN!D2355:E2355)</f>
        <v>149</v>
      </c>
      <c r="BQ31" s="20"/>
      <c r="BR31" s="20"/>
      <c r="BS31" s="20"/>
      <c r="BT31" s="20"/>
      <c r="BU31" s="20"/>
      <c r="BV31" s="20"/>
      <c r="BW31" s="20"/>
    </row>
    <row r="32" spans="1:78" x14ac:dyDescent="0.2">
      <c r="A32" s="7" t="s">
        <v>286</v>
      </c>
      <c r="B32" s="1108">
        <f>SUM(Table2PRN!G6824)</f>
        <v>4142</v>
      </c>
      <c r="C32" s="20">
        <f>SUM(Table2PRN!G6614)</f>
        <v>1578</v>
      </c>
      <c r="D32" s="20">
        <f t="shared" si="14"/>
        <v>5720</v>
      </c>
      <c r="E32" s="1108">
        <f>SUM(Table2PRN!G104)</f>
        <v>241</v>
      </c>
      <c r="F32" s="20">
        <f>SUM(Table2PRN!G524)</f>
        <v>322</v>
      </c>
      <c r="G32" s="20">
        <f>SUM(Table2PRN!G314)</f>
        <v>246</v>
      </c>
      <c r="H32" s="20">
        <f t="shared" si="15"/>
        <v>568</v>
      </c>
      <c r="I32" s="1108">
        <f>SUM(Table2PRN!G734)</f>
        <v>19</v>
      </c>
      <c r="J32" s="1335">
        <f>SUM(Table2PRN!G944)</f>
        <v>49</v>
      </c>
      <c r="K32" s="20">
        <f>SUM(Table2PRN!G1364)</f>
        <v>84</v>
      </c>
      <c r="L32" s="20">
        <f>SUM(Table2PRN!G1154)</f>
        <v>69</v>
      </c>
      <c r="M32" s="20">
        <f t="shared" si="16"/>
        <v>153</v>
      </c>
      <c r="O32" s="7" t="s">
        <v>286</v>
      </c>
      <c r="P32" s="1108">
        <f>SUM(Table2PRN!G1574)</f>
        <v>19</v>
      </c>
      <c r="Q32" s="20">
        <f>SUM(Table2PRN!G1994)</f>
        <v>278</v>
      </c>
      <c r="R32" s="20">
        <f>SUM(Table2PRN!G1784)</f>
        <v>26</v>
      </c>
      <c r="S32" s="20">
        <f t="shared" si="17"/>
        <v>304</v>
      </c>
      <c r="T32" s="1108">
        <f>SUM(JDF!N15,JDF!P15)</f>
        <v>0</v>
      </c>
      <c r="U32" s="20">
        <f>SUM(Table2PRN!G2624)</f>
        <v>0</v>
      </c>
      <c r="V32" s="20">
        <f>SUM(Table2PRN!G2414)</f>
        <v>0</v>
      </c>
      <c r="W32" s="20">
        <f t="shared" si="18"/>
        <v>0</v>
      </c>
      <c r="Y32" s="7" t="s">
        <v>151</v>
      </c>
      <c r="Z32" s="1108">
        <f>SUM(Table2PRN!G2833)</f>
        <v>1</v>
      </c>
      <c r="AA32" s="20">
        <f>SUM(Table2PRN!G3043)</f>
        <v>3</v>
      </c>
      <c r="AB32" s="20">
        <f>SUM(Table2PRN!G3463)</f>
        <v>7</v>
      </c>
      <c r="AC32" s="20">
        <f>SUM(Table2PRN!G3253)</f>
        <v>1</v>
      </c>
      <c r="AD32" s="20">
        <f t="shared" si="21"/>
        <v>8</v>
      </c>
      <c r="AE32" s="1109">
        <f>SUM(Table2PRN!G3673)</f>
        <v>2</v>
      </c>
      <c r="AF32" s="1109">
        <f t="shared" si="22"/>
        <v>0</v>
      </c>
      <c r="AG32" s="1109">
        <f>Table2PRN!G4093</f>
        <v>11</v>
      </c>
      <c r="AH32" s="20">
        <f>SUM(Table2PRN!G4513)</f>
        <v>11</v>
      </c>
      <c r="AI32" s="20">
        <f>SUM(Table2PRN!G4303)</f>
        <v>2</v>
      </c>
      <c r="AJ32" s="20">
        <f t="shared" si="23"/>
        <v>13</v>
      </c>
      <c r="AK32" s="1108">
        <f>SUM(Table2PRN!G4723)</f>
        <v>2</v>
      </c>
      <c r="AL32" s="20">
        <f>SUM(Table2PRN!G5143)</f>
        <v>8</v>
      </c>
      <c r="AM32" s="20">
        <f>SUM(Table2PRN!G4933)</f>
        <v>2</v>
      </c>
      <c r="AN32" s="20">
        <f t="shared" si="24"/>
        <v>10</v>
      </c>
      <c r="AP32" s="7" t="s">
        <v>286</v>
      </c>
      <c r="AQ32" s="1108">
        <f>SUM(Table2PRN!G5354)</f>
        <v>21</v>
      </c>
      <c r="AR32" s="20">
        <f>SUM(Table2PRN!G5774)</f>
        <v>554</v>
      </c>
      <c r="AS32" s="2">
        <f>SUM(Table2PRN!G5564)</f>
        <v>58</v>
      </c>
      <c r="AT32" s="20">
        <f t="shared" si="19"/>
        <v>612</v>
      </c>
      <c r="AU32" s="1108">
        <f>SUM(Table2PRN!G5984)</f>
        <v>166</v>
      </c>
      <c r="AV32" s="20">
        <f>SUM(Table2PRN!G6404)</f>
        <v>1843</v>
      </c>
      <c r="AW32" s="20">
        <f>SUM(Table2PRN!G6194)</f>
        <v>166</v>
      </c>
      <c r="AX32" s="20">
        <f t="shared" si="20"/>
        <v>2009</v>
      </c>
      <c r="AZ32" s="811" t="s">
        <v>151</v>
      </c>
      <c r="BA32" s="90">
        <f>Table2PRN!G8713</f>
        <v>85</v>
      </c>
      <c r="BB32" s="754">
        <f>Table2PRN!G8923</f>
        <v>204</v>
      </c>
      <c r="BC32" s="817">
        <f>SUM(StockSumPRN!$H$101:$I$101)</f>
        <v>18</v>
      </c>
      <c r="BD32" s="30">
        <f>SUM(StockSumPRN!F101:G101)</f>
        <v>606</v>
      </c>
      <c r="BE32" s="30">
        <f>SUM(StockSumPRN!J306:K306)</f>
        <v>370</v>
      </c>
      <c r="BF32" s="30">
        <f>SUM(StockSumPRN!H716:I716)</f>
        <v>204</v>
      </c>
      <c r="BG32" s="30">
        <f>SUM(StockSumPRN!$D$716:$E$716)</f>
        <v>84</v>
      </c>
      <c r="BH32" s="30">
        <f>SUM(StockSumPRN!J1946:K1946)</f>
        <v>257</v>
      </c>
      <c r="BI32" s="30">
        <f>SUM(StockSumPRN!F1946:G1946)</f>
        <v>648</v>
      </c>
      <c r="BJ32" s="30">
        <f>SUM(StockSumPRN!D1741:E1741)</f>
        <v>460</v>
      </c>
      <c r="BK32" s="30">
        <f>SUM(StockSumPRN!D1536:E1536)</f>
        <v>337</v>
      </c>
      <c r="BL32" s="30">
        <f>SUM(StockSumPRN!H1331:I1331)</f>
        <v>258</v>
      </c>
      <c r="BM32" s="30">
        <f>SUM(StockSumPRN!$H$1126:$I$1126)</f>
        <v>470</v>
      </c>
      <c r="BN32" s="30">
        <f>SUM(StockSumPRN!$H$921:$I$921)</f>
        <v>893</v>
      </c>
      <c r="BO32" s="30">
        <f>SUM(StockSumPRN!J2151:K2151)</f>
        <v>273</v>
      </c>
      <c r="BP32" s="30">
        <f>SUM(StockSumPRN!D2356:E2356)</f>
        <v>64</v>
      </c>
      <c r="BQ32" s="20"/>
      <c r="BR32" s="20"/>
      <c r="BS32" s="20"/>
      <c r="BT32" s="20"/>
      <c r="BU32" s="20"/>
      <c r="BV32" s="20"/>
      <c r="BW32" s="20"/>
    </row>
    <row r="33" spans="1:75" x14ac:dyDescent="0.2">
      <c r="A33" s="7" t="s">
        <v>287</v>
      </c>
      <c r="B33" s="1108">
        <f>SUM(Table2PRN!G6837,Table2PRN!G6846)</f>
        <v>3606</v>
      </c>
      <c r="C33" s="20">
        <f>SUM(Table2PRN!G6627,Table2PRN!G6636)</f>
        <v>4090</v>
      </c>
      <c r="D33" s="20">
        <f t="shared" si="14"/>
        <v>7696</v>
      </c>
      <c r="E33" s="1108">
        <f>SUM(Table2PRN!G117,Table2PRN!G126)</f>
        <v>1267</v>
      </c>
      <c r="F33" s="20">
        <f>SUM(Table2PRN!G537,Table2PRN!G546)</f>
        <v>320</v>
      </c>
      <c r="G33" s="20">
        <f>SUM(Table2PRN!G327,Table2PRN!G336)</f>
        <v>1294</v>
      </c>
      <c r="H33" s="20">
        <f t="shared" si="15"/>
        <v>1614</v>
      </c>
      <c r="I33" s="1108">
        <f>SUM(Table2PRN!G747,Table2PRN!G756)</f>
        <v>508</v>
      </c>
      <c r="J33" s="1335">
        <f>SUM(Table2PRN!G957,Table2PRN!G966)</f>
        <v>1561</v>
      </c>
      <c r="K33" s="20">
        <f>SUM(Table2PRN!G1377,Table2PRN!G1386)</f>
        <v>1702</v>
      </c>
      <c r="L33" s="1109">
        <f>SUM(Table2PRN!G1167,Table2PRN!G1176)</f>
        <v>2142</v>
      </c>
      <c r="M33" s="20">
        <f t="shared" si="16"/>
        <v>3844</v>
      </c>
      <c r="O33" s="7" t="s">
        <v>288</v>
      </c>
      <c r="P33" s="1108">
        <f>SUM(Table2PRN!G1587,Table2PRN!G1596)</f>
        <v>7</v>
      </c>
      <c r="Q33" s="20">
        <f>SUM(Table2PRN!G2007,Table2PRN!G2016)</f>
        <v>67</v>
      </c>
      <c r="R33" s="20">
        <f>SUM(Table2PRN!G1797,Table2PRN!G1806)</f>
        <v>9</v>
      </c>
      <c r="S33" s="20">
        <f t="shared" si="17"/>
        <v>76</v>
      </c>
      <c r="T33" s="1108">
        <f>SUM(JDF!N17,JDF!P17)</f>
        <v>0</v>
      </c>
      <c r="U33" s="20">
        <f>SUM(Table2PRN!G2637,Table2PRN!G2646)</f>
        <v>0</v>
      </c>
      <c r="V33" s="20">
        <f>SUM(Table2PRN!G2427,Table2PRN!G2436)</f>
        <v>0</v>
      </c>
      <c r="W33" s="20">
        <f t="shared" si="18"/>
        <v>0</v>
      </c>
      <c r="Y33" s="7" t="s">
        <v>289</v>
      </c>
      <c r="Z33" s="1108">
        <f>SUM(Table2PRN!G2834,Table2PRN!G2847,Table2PRN!G2856,Table2PRN!G2859,Table2PRN!G2848,Table2PRN!G2870,Table2PRN!G2877)</f>
        <v>11</v>
      </c>
      <c r="AA33" s="20">
        <f>SUM(Table2PRN!G3044,Table2PRN!G3057,Table2PRN!G3066,Table2PRN!G3058,Table2PRN!G3069,Table2PRN!G3080,Table2PRN!G3087)</f>
        <v>6</v>
      </c>
      <c r="AB33" s="20">
        <f>SUM(Table2PRN!G3464,Table2PRN!G3477,Table2PRN!G3478,Table2PRN!G3486,Table2PRN!G3489,Table2PRN!G3500,Table2PRN!G3507)</f>
        <v>90</v>
      </c>
      <c r="AC33" s="20">
        <f>SUM(Table2PRN!G3254,Table2PRN!G3267,Table2PRN!G3276,Table2PRN!G3279,Table2PRN!G3290,Table2PRN!G3297,Table2PRN!G3313)</f>
        <v>13</v>
      </c>
      <c r="AD33" s="20">
        <f t="shared" si="21"/>
        <v>103</v>
      </c>
      <c r="AE33" s="1109">
        <f>SUM(Table2PRN!G3674,Table2PRN!G3687,Table2PRN!G3688,Table2PRN!G3696,Table2PRN!G3699,Table2PRN!G3710,Table2PRN!G3717,Table2PRN!G3733)</f>
        <v>3</v>
      </c>
      <c r="AF33" s="1109">
        <f t="shared" si="22"/>
        <v>0</v>
      </c>
      <c r="AG33" s="1109">
        <f>SUM(Table2PRN!G4094,Table2PRN!G4107,Table2PRN!G4108,Table2PRN!G4116,Table2PRN!G4119,Table2PRN!G4130,Table2PRN!G4137,Table2PRN!G4153)</f>
        <v>2</v>
      </c>
      <c r="AH33" s="20">
        <f>SUM(Table2PRN!G4514,Table2PRN!G4527,Table2PRN!G4528,Table2PRN!G4536,Table2PRN!G4539,Table2PRN!G4550,Table2PRN!G4557,Table2PRN!G4573)</f>
        <v>2</v>
      </c>
      <c r="AI33" s="20">
        <f>SUM(Table2PRN!G4304,Table2PRN!G4317,Table2PRN!G4318,Table2PRN!G4326,Table2PRN!G4329,Table2PRN!G4340,Table2PRN!G4347,Table2PRN!G4363)</f>
        <v>3</v>
      </c>
      <c r="AJ33" s="20">
        <f t="shared" si="23"/>
        <v>5</v>
      </c>
      <c r="AK33" s="1108">
        <f>SUM(Table2PRN!G4724,Table2PRN!G4737,Table2PRN!G4738,Table2PRN!G4749,Table2PRN!G4760,Table2PRN!G4767,Table2PRN!G4783)</f>
        <v>0</v>
      </c>
      <c r="AL33" s="20">
        <f>SUM(Table2PRN!G5144,Table2PRN!G5157,Table2PRN!G5158,Table2PRN!G5166,Table2PRN!G5169,Table2PRN!G5180,Table2PRN!G5187,Table2PRN!G5203)</f>
        <v>0</v>
      </c>
      <c r="AM33" s="20">
        <f>SUM(Table2PRN!G4934,Table2PRN!G4947,Table2PRN!G4948,Table2PRN!G4956,Table2PRN!G4959,Table2PRN!G4970,Table2PRN!G4977,Table2PRN!G4993)</f>
        <v>0</v>
      </c>
      <c r="AN33" s="20">
        <f t="shared" si="24"/>
        <v>0</v>
      </c>
      <c r="AP33" s="7" t="s">
        <v>288</v>
      </c>
      <c r="AQ33" s="1108">
        <f>SUM(Table2PRN!G5367)</f>
        <v>0</v>
      </c>
      <c r="AR33" s="20">
        <f>SUM(Table2PRN!G5787,Table2PRN!G5796)</f>
        <v>559</v>
      </c>
      <c r="AS33" s="2">
        <f>SUM(Table2PRN!G5577,Table2PRN!G5586)</f>
        <v>95</v>
      </c>
      <c r="AT33" s="20">
        <f t="shared" si="19"/>
        <v>654</v>
      </c>
      <c r="AU33" s="1108">
        <f>SUM(Table2PRN!G5997,Table2PRN!G6006)</f>
        <v>549</v>
      </c>
      <c r="AV33" s="20">
        <f>SUM(Table2PRN!G6417,Table2PRN!G6426)</f>
        <v>958</v>
      </c>
      <c r="AW33" s="20">
        <f>SUM(Table2PRN!G6207,Table2PRN!G6216)</f>
        <v>550</v>
      </c>
      <c r="AX33" s="20">
        <f t="shared" si="20"/>
        <v>1508</v>
      </c>
      <c r="AZ33" s="811" t="s">
        <v>286</v>
      </c>
      <c r="BA33" s="90">
        <f>Table2PRN!G8714</f>
        <v>23</v>
      </c>
      <c r="BB33" s="754">
        <f>Table2PRN!G8924</f>
        <v>57</v>
      </c>
      <c r="BC33" s="817">
        <f>SUM(StockSumPRN!$H$102:$I$102)</f>
        <v>42</v>
      </c>
      <c r="BD33" s="30">
        <f>SUM(StockSumPRN!F102:G102)</f>
        <v>1453</v>
      </c>
      <c r="BE33" s="30">
        <f>SUM(StockSumPRN!J307:K307)</f>
        <v>285</v>
      </c>
      <c r="BF33" s="30">
        <f>SUM(StockSumPRN!H717:I717)</f>
        <v>57</v>
      </c>
      <c r="BG33" s="30">
        <f>SUM(StockSumPRN!$D$717:$E$717)</f>
        <v>23</v>
      </c>
      <c r="BH33" s="30">
        <f>SUM(StockSumPRN!J1947:K1947)</f>
        <v>47</v>
      </c>
      <c r="BI33" s="30">
        <f>SUM(StockSumPRN!F1947:G1947)</f>
        <v>121</v>
      </c>
      <c r="BJ33" s="30">
        <f>SUM(StockSumPRN!D1742:E1742)</f>
        <v>84</v>
      </c>
      <c r="BK33" s="30">
        <f>SUM(StockSumPRN!D1537:E1537)</f>
        <v>61</v>
      </c>
      <c r="BL33" s="30">
        <f>SUM(StockSumPRN!H1332:I1332)</f>
        <v>47</v>
      </c>
      <c r="BM33" s="30">
        <f>SUM(StockSumPRN!$H$1127:$I$1127)</f>
        <v>82</v>
      </c>
      <c r="BN33" s="30">
        <f>SUM(StockSumPRN!$H$922:$I$922)</f>
        <v>157</v>
      </c>
      <c r="BO33" s="30">
        <f>SUM(StockSumPRN!J2152:K2152)</f>
        <v>0</v>
      </c>
      <c r="BP33" s="30">
        <f>SUM(StockSumPRN!D2357:E2357)</f>
        <v>0</v>
      </c>
      <c r="BQ33" s="20"/>
      <c r="BR33" s="20"/>
      <c r="BS33" s="20"/>
      <c r="BT33" s="20"/>
      <c r="BU33" s="20"/>
      <c r="BV33" s="20"/>
      <c r="BW33" s="20"/>
    </row>
    <row r="34" spans="1:75" x14ac:dyDescent="0.2">
      <c r="A34" s="7" t="s">
        <v>290</v>
      </c>
      <c r="B34" s="1108">
        <f>SUM(Table2PRN!G6838)</f>
        <v>10202</v>
      </c>
      <c r="C34" s="20">
        <f>SUM(Table2PRN!G6628)</f>
        <v>2618</v>
      </c>
      <c r="D34" s="20">
        <f t="shared" si="14"/>
        <v>12820</v>
      </c>
      <c r="E34" s="1108">
        <f>SUM(Table2PRN!G118)</f>
        <v>595</v>
      </c>
      <c r="F34" s="20">
        <f>SUM(Table2PRN!G538)</f>
        <v>529</v>
      </c>
      <c r="G34" s="20">
        <f>SUM(Table2PRN!G328)</f>
        <v>607</v>
      </c>
      <c r="H34" s="20">
        <f t="shared" si="15"/>
        <v>1136</v>
      </c>
      <c r="I34" s="1108">
        <f>SUM(Table2PRN!G748)</f>
        <v>157</v>
      </c>
      <c r="J34" s="1335">
        <f>SUM(Table2PRN!G958)</f>
        <v>410</v>
      </c>
      <c r="K34" s="20">
        <f>SUM(Table2PRN!G1378)</f>
        <v>451</v>
      </c>
      <c r="L34" s="1109">
        <f>SUM(Table2PRN!G1168)</f>
        <v>582</v>
      </c>
      <c r="M34" s="20">
        <f t="shared" si="16"/>
        <v>1033</v>
      </c>
      <c r="O34" s="7" t="s">
        <v>290</v>
      </c>
      <c r="P34" s="1108">
        <f>SUM(Table2PRN!G1588)</f>
        <v>306</v>
      </c>
      <c r="Q34" s="20">
        <f>SUM(Table2PRN!G2008)</f>
        <v>2880</v>
      </c>
      <c r="R34" s="20">
        <f>SUM(Table2PRN!G1798)</f>
        <v>407</v>
      </c>
      <c r="S34" s="20">
        <f t="shared" si="17"/>
        <v>3287</v>
      </c>
      <c r="T34" s="1108">
        <f>SUM(JDF!N16,JDF!P16)</f>
        <v>4</v>
      </c>
      <c r="U34" s="20">
        <f>SUM(Table2PRN!G2638)</f>
        <v>19</v>
      </c>
      <c r="V34" s="20">
        <f>SUM(Table2PRN!G2428)</f>
        <v>5</v>
      </c>
      <c r="W34" s="20">
        <f t="shared" si="18"/>
        <v>24</v>
      </c>
      <c r="Y34" s="2" t="s">
        <v>291</v>
      </c>
      <c r="Z34" s="1108">
        <f>SUM(Table2PRN!G2821,Table2PRN!G2823,Table2PRN!G2828,Table2PRN!G2837,Table2PRN!G2842,Table2PRN!G2850,Table2PRN!G2852,Table2PRN!G2860,Table2PRN!G2862,Table2PRN!G2864,Table2PRN!G2871,Table2PRN!G2873,Table2PRN!G2878,Table2PRN!G2880,Table2PRN!G2882,Table2PRN!G2884,Table2PRN!G2886,Table2PRN!G2894,Table2PRN!G2896,Table2PRN!G2898,Table2PRN!G2900)</f>
        <v>0</v>
      </c>
      <c r="AA34" s="20">
        <f>SUM(Table2PRN!G3031,Table2PRN!G3033,Table2PRN!G3038,Table2PRN!G3047,Table2PRN!G3052,Table2PRN!G3060,Table2PRN!G3062,Table2PRN!G3070,Table2PRN!G3072,Table2PRN!G3074,Table2PRN!G3081,Table2PRN!G3083,Table2PRN!G3088,Table2PRN!G3090,Table2PRN!G3092,Table2PRN!G3094,Table2PRN!G3096,Table2PRN!G3104,Table2PRN!G3106,Table2PRN!G3108,Table2PRN!G3110)</f>
        <v>0</v>
      </c>
      <c r="AB34" s="20">
        <f>SUM(Table2PRN!G3451,Table2PRN!G3453,Table2PRN!G3458,Table2PRN!G3467,Table2PRN!G3472,Table2PRN!G3480,Table2PRN!G3482,Table2PRN!G3490,Table2PRN!G3492,Table2PRN!G3494,Table2PRN!G3501,Table2PRN!G3503,Table2PRN!G3508,Table2PRN!G3510,Table2PRN!G3512,Table2PRN!G3514,Table2PRN!G3516,Table2PRN!G3524,Table2PRN!G3526,Table2PRN!G3528,Table2PRN!G3530)</f>
        <v>1</v>
      </c>
      <c r="AC34" s="20">
        <f>SUM(Table2PRN!G3241,Table2PRN!G3243,Table2PRN!G3248,Table2PRN!G3257,Table2PRN!G3262,Table2PRN!G3270,Table2PRN!G3272,Table2PRN!G3280,Table2PRN!G3282,Table2PRN!G3284,Table2PRN!G3291,Table2PRN!G3293,Table2PRN!G3298,Table2PRN!G3300,Table2PRN!G3302,Table2PRN!G3304,Table2PRN!G3306,Table2PRN!G3314,Table2PRN!G3316,Table2PRN!G3318,Table2PRN!G3320)</f>
        <v>0</v>
      </c>
      <c r="AD34" s="20">
        <f t="shared" si="21"/>
        <v>1</v>
      </c>
      <c r="AE34" s="1109">
        <f>SUM(Table2PRN!G3661,Table2PRN!G3663,Table2PRN!G3668,Table2PRN!G3677,Table2PRN!G3682,Table2PRN!G3690,Table2PRN!G3692,Table2PRN!G3700,Table2PRN!G3702,Table2PRN!G3704,Table2PRN!G3711,Table2PRN!G3713,Table2PRN!G3718,Table2PRN!G3720,Table2PRN!G3722,Table2PRN!G3724,Table2PRN!G3726,Table2PRN!G3734,Table2PRN!G3736,Table2PRN!G3738,Table2PRN!G3740)</f>
        <v>10</v>
      </c>
      <c r="AF34" s="1109">
        <f t="shared" si="22"/>
        <v>0</v>
      </c>
      <c r="AG34" s="1109">
        <f>SUM(Table2PRN!G4081,Table2PRN!G4083,Table2PRN!G4088,Table2PRN!G4097,Table2PRN!G4102,Table2PRN!G4110,Table2PRN!G4112,Table2PRN!G4120,Table2PRN!G4122,Table2PRN!G4124,Table2PRN!G4131,Table2PRN!G4133,Table2PRN!G4138,Table2PRN!G4141,Table2PRN!G4142,Table2PRN!G4144,Table2PRN!G4146,Table2PRN!G4154,Table2PRN!G4156,Table2PRN!G4158,Table2PRN!G4160)</f>
        <v>10</v>
      </c>
      <c r="AH34" s="20">
        <f>SUM(Table2PRN!G4501,Table2PRN!G4503,Table2PRN!G4508,Table2PRN!G4517,Table2PRN!G4522,Table2PRN!G4530,Table2PRN!G4532,Table2PRN!G4540,Table2PRN!G4542,Table2PRN!G4544,Table2PRN!G4551,Table2PRN!G4553,Table2PRN!G4558,Table2PRN!G4560,Table2PRN!G4562,Table2PRN!G4564,Table2PRN!G4574,Table2PRN!G4576,Table2PRN!G4578,Table2PRN!G4580)</f>
        <v>9</v>
      </c>
      <c r="AI34" s="20">
        <f>SUM(Table2PRN!G4291,Table2PRN!G4293,Table2PRN!G4298,Table2PRN!G4307,Table2PRN!G4312,Table2PRN!G4320,Table2PRN!G4322,Table2PRN!G4330,Table2PRN!G4332,Table2PRN!G4334,Table2PRN!G4341,Table2PRN!G4343,Table2PRN!G4348,Table2PRN!G4350,Table2PRN!G4352,Table2PRN!G4354,Table2PRN!G4364,Table2PRN!G4366,Table2PRN!G4368,Table2PRN!G4370)</f>
        <v>11</v>
      </c>
      <c r="AJ34" s="20">
        <f t="shared" si="23"/>
        <v>20</v>
      </c>
      <c r="AK34" s="1108">
        <f>SUM(Table2PRN!G4711,Table2PRN!G4713,Table2PRN!G4718,Table2PRN!G4727,Table2PRN!G4732,Table2PRN!G4740,Table2PRN!G4742,Table2PRN!G4750,Table2PRN!G4752,Table2PRN!G4754,Table2PRN!G4761,Table2PRN!G4763,Table2PRN!G4768,Table2PRN!G4770,Table2PRN!G4772,Table2PRN!G4774,Table2PRN!G4776,Table2PRN!G4784,Table2PRN!G4786,Table2PRN!G4788,Table2PRN!G4790)</f>
        <v>9</v>
      </c>
      <c r="AL34" s="20">
        <f>SUM(Table2PRN!G5131,Table2PRN!G5133,Table2PRN!G5138,Table2PRN!G5147,Table2PRN!G5152,Table2PRN!G5160,Table2PRN!G5162,Table2PRN!G5170,Table2PRN!G5172,Table2PRN!G5174,Table2PRN!G5181,Table2PRN!G5183,Table2PRN!G5188,Table2PRN!G5190,Table2PRN!G5192,Table2PRN!G5194,Table2PRN!G5196,Table2PRN!G5204,Table2PRN!G5206,Table2PRN!G5208,Table2PRN!G5210)</f>
        <v>7</v>
      </c>
      <c r="AM34" s="20">
        <f>SUM(Table2PRN!G4921,Table2PRN!G4923,Table2PRN!G4928,Table2PRN!G4937,Table2PRN!G4942,Table2PRN!G4950,Table2PRN!G4952,Table2PRN!G4960,Table2PRN!G4962,Table2PRN!G4964,Table2PRN!G4971,Table2PRN!G4973,Table2PRN!G4978,Table2PRN!G4980,Table2PRN!G4982,Table2PRN!G4984,Table2PRN!G4986,Table2PRN!G4994,Table2PRN!G4996,Table2PRN!G4998,Table2PRN!G5000)</f>
        <v>10</v>
      </c>
      <c r="AN34" s="20">
        <f t="shared" si="24"/>
        <v>17</v>
      </c>
      <c r="AP34" s="7" t="s">
        <v>290</v>
      </c>
      <c r="AQ34" s="1108">
        <f>SUM(Table2PRN!G5368)</f>
        <v>339</v>
      </c>
      <c r="AR34" s="20">
        <f>SUM(Table2PRN!G5788)</f>
        <v>6087</v>
      </c>
      <c r="AS34" s="2">
        <f>SUM(Table2PRN!G5578)</f>
        <v>968</v>
      </c>
      <c r="AT34" s="20">
        <f t="shared" si="19"/>
        <v>7055</v>
      </c>
      <c r="AU34" s="1108">
        <f>SUM(Table2PRN!G5998)</f>
        <v>18</v>
      </c>
      <c r="AV34" s="20">
        <f>SUM(Table2PRN!G6418)</f>
        <v>128</v>
      </c>
      <c r="AW34" s="20">
        <f>SUM(Table2PRN!G6208)</f>
        <v>18</v>
      </c>
      <c r="AX34" s="20">
        <f t="shared" si="20"/>
        <v>146</v>
      </c>
      <c r="AZ34" s="811" t="s">
        <v>287</v>
      </c>
      <c r="BA34" s="90">
        <f>SUM(Table2PRN!G8727,Table2PRN!G8736)</f>
        <v>174</v>
      </c>
      <c r="BB34" s="754">
        <f>SUM(Table2PRN!G8937,Table2PRN!G8946)</f>
        <v>1461</v>
      </c>
      <c r="BC34" s="817">
        <f>SUM(StockSumPRN!$H$115:$I$115,StockSumPRN!$H$124:$I$124)</f>
        <v>22</v>
      </c>
      <c r="BD34" s="30">
        <f>SUM(StockSumPRN!F115:G115,StockSumPRN!F124:G124)</f>
        <v>756</v>
      </c>
      <c r="BE34" s="30">
        <f>SUM(StockSumPRN!J320:K320,StockSumPRN!J329:K329)</f>
        <v>306</v>
      </c>
      <c r="BF34" s="30">
        <f>SUM(StockSumPRN!H730:I730,StockSumPRN!H739:I739)</f>
        <v>1460</v>
      </c>
      <c r="BG34" s="30">
        <f>SUM(StockSumPRN!$D$730:$E$730,StockSumPRN!$D$739:$E$739)</f>
        <v>173</v>
      </c>
      <c r="BH34" s="30">
        <f>SUM(StockSumPRN!J1960:K1960,StockSumPRN!J1969:K1969)</f>
        <v>47</v>
      </c>
      <c r="BI34" s="30">
        <f>SUM(StockSumPRN!F1960:G1960,StockSumPRN!F1969:G1969)</f>
        <v>144</v>
      </c>
      <c r="BJ34" s="30">
        <f>SUM(StockSumPRN!D1755:E1755,StockSumPRN!D1764:E1764)</f>
        <v>87</v>
      </c>
      <c r="BK34" s="30">
        <f>SUM(StockSumPRN!D1550:E1550,StockSumPRN!D1559:E1559)</f>
        <v>62</v>
      </c>
      <c r="BL34" s="30">
        <f>SUM(StockSumPRN!H1345:I1345,StockSumPRN!H1354:I1354)</f>
        <v>47</v>
      </c>
      <c r="BM34" s="30">
        <f>SUM(StockSumPRN!$H$1140:$I$1140,StockSumPRN!$H$1149:$I$1149)</f>
        <v>20</v>
      </c>
      <c r="BN34" s="30">
        <f>SUM(StockSumPRN!$H$935:$I$935,StockSumPRN!$H$944:$I$944)</f>
        <v>40</v>
      </c>
      <c r="BO34" s="30">
        <f>SUM(StockSumPRN!J2165:K2165,StockSumPRN!J2174:K2174)</f>
        <v>0</v>
      </c>
      <c r="BP34" s="30">
        <f>SUM(StockSumPRN!D2370:E2370,StockSumPRN!D2379:E2379)</f>
        <v>0</v>
      </c>
      <c r="BQ34" s="20"/>
      <c r="BR34" s="20"/>
      <c r="BS34" s="20"/>
      <c r="BT34" s="20"/>
      <c r="BU34" s="20"/>
      <c r="BV34" s="20"/>
      <c r="BW34" s="20"/>
    </row>
    <row r="35" spans="1:75" x14ac:dyDescent="0.2">
      <c r="A35" s="7" t="s">
        <v>167</v>
      </c>
      <c r="B35" s="1108">
        <f>SUM(Table2PRN!G6883)</f>
        <v>5018</v>
      </c>
      <c r="C35" s="20">
        <f>SUM(Table2PRN!G6673)</f>
        <v>2984</v>
      </c>
      <c r="D35" s="20">
        <f t="shared" si="14"/>
        <v>8002</v>
      </c>
      <c r="E35" s="1108">
        <f>SUM(Table2PRN!G163)</f>
        <v>12</v>
      </c>
      <c r="F35" s="20">
        <f>SUM(Table2PRN!G583)</f>
        <v>2</v>
      </c>
      <c r="G35" s="20">
        <f>SUM(Table2PRN!G373)</f>
        <v>12</v>
      </c>
      <c r="H35" s="20">
        <f t="shared" si="15"/>
        <v>14</v>
      </c>
      <c r="I35" s="1108">
        <f>SUM(Table2PRN!G793)</f>
        <v>0</v>
      </c>
      <c r="J35" s="1335">
        <f>SUM(Table2PRN!G1003)</f>
        <v>0</v>
      </c>
      <c r="K35" s="20">
        <f>SUM(Table2PRN!G1423)</f>
        <v>0</v>
      </c>
      <c r="L35" s="20">
        <f>SUM(Table2PRN!G1213)</f>
        <v>0</v>
      </c>
      <c r="M35" s="20">
        <f t="shared" si="16"/>
        <v>0</v>
      </c>
      <c r="O35" s="7" t="s">
        <v>167</v>
      </c>
      <c r="P35" s="1108">
        <f>SUM(Table2PRN!G1633)</f>
        <v>1840</v>
      </c>
      <c r="Q35" s="20">
        <f>SUM(Table2PRN!G2053)</f>
        <v>4108</v>
      </c>
      <c r="R35" s="20">
        <f>SUM(Table2PRN!G1843)</f>
        <v>2488</v>
      </c>
      <c r="S35" s="20">
        <f t="shared" si="17"/>
        <v>6596</v>
      </c>
      <c r="T35" s="1108">
        <f>SUM(JDF!N19,JDF!P19)</f>
        <v>0</v>
      </c>
      <c r="U35" s="20">
        <f>SUM(Table2PRN!G2683)</f>
        <v>0</v>
      </c>
      <c r="V35" s="20">
        <f>SUM(Table2PRN!G2473)</f>
        <v>0</v>
      </c>
      <c r="W35" s="20">
        <f t="shared" si="18"/>
        <v>0</v>
      </c>
      <c r="Y35" s="215" t="s">
        <v>292</v>
      </c>
      <c r="Z35" s="1504">
        <f>SUM(Table2PRN!G2822,Table2PRN!G2824,Table2PRN!G2829,Table2PRN!G2838,Table2PRN!G2843,Table2PRN!G2851,Table2PRN!G2853,Table2PRN!G2861,Table2PRN!G2863,Table2PRN!G2865,Table2PRN!G2872,Table2PRN!G2874,Table2PRN!G2879,Table2PRN!G2881,Table2PRN!G2883,Table2PRN!G2885,Table2PRN!G2887,Table2PRN!G2895,Table2PRN!G2897,Table2PRN!G2899,Table2PRN!G2901)</f>
        <v>18</v>
      </c>
      <c r="AA35" s="20">
        <f>SUM(Table2PRN!G3032,Table2PRN!G3034,Table2PRN!G3039,Table2PRN!G3048,Table2PRN!G3053,Table2PRN!G3061,Table2PRN!G3063,Table2PRN!G3071,Table2PRN!G3073,Table2PRN!G3075,Table2PRN!G3082,Table2PRN!G3084,Table2PRN!G3089,Table2PRN!G3091,Table2PRN!G3093,Table2PRN!G3095,Table2PRN!G3097,Table2PRN!G3105,Table2PRN!G3107,Table2PRN!G3109,Table2PRN!G3111)</f>
        <v>19</v>
      </c>
      <c r="AB35" s="20">
        <f>SUM(Table2PRN!G3452,Table2PRN!G3454,Table2PRN!G3459,Table2PRN!G3468,Table2PRN!G3473,Table2PRN!G3481,Table2PRN!G3483,Table2PRN!G3491,Table2PRN!G3493,Table2PRN!G3495,Table2PRN!G3502,Table2PRN!G3504,Table2PRN!G3509,Table2PRN!G3511,Table2PRN!G3513,Table2PRN!G3515,Table2PRN!G3517,Table2PRN!G3525,Table2PRN!G3527,Table2PRN!G3529,Table2PRN!G3531)</f>
        <v>25</v>
      </c>
      <c r="AC35" s="20">
        <f>SUM(Table2PRN!G3242,Table2PRN!G3244,Table2PRN!G3249,Table2PRN!G3258,Table2PRN!G3263,Table2PRN!G3271,Table2PRN!G3273,Table2PRN!G3281,Table2PRN!G3283,Table2PRN!G3285,Table2PRN!G3292,Table2PRN!G3294,Table2PRN!G3299,Table2PRN!G3301,Table2PRN!G3303,Table2PRN!G3305,Table2PRN!G3307,Table2PRN!G3315,Table2PRN!G3317,Table2PRN!G3319,Table2PRN!G3321)</f>
        <v>22</v>
      </c>
      <c r="AD35" s="20">
        <f t="shared" si="21"/>
        <v>47</v>
      </c>
      <c r="AE35" s="1109">
        <f>SUM(Table2PRN!G3662,Table2PRN!G3664,Table2PRN!G3669,Table2PRN!G3678,Table2PRN!G3683,Table2PRN!G3691,Table2PRN!G3693,Table2PRN!G3701,Table2PRN!G3703,Table2PRN!G3705,Table2PRN!G3712,Table2PRN!G3714,Table2PRN!G3719,Table2PRN!G3721,Table2PRN!G3723,Table2PRN!G3725,Table2PRN!G3727,Table2PRN!G3735,Table2PRN!G3737,Table2PRN!G3739,Table2PRN!G3741)</f>
        <v>60</v>
      </c>
      <c r="AF35" s="1109">
        <f t="shared" si="22"/>
        <v>0</v>
      </c>
      <c r="AG35" s="1109">
        <f>SUM(Table2PRN!G4082,Table2PRN!G4084,Table2PRN!G4089,Table2PRN!G4098,Table2PRN!G4103,Table2PRN!G4111,Table2PRN!G4113,Table2PRN!G4121,Table2PRN!G4123,Table2PRN!G4125,Table2PRN!G4132,Table2PRN!G4134,Table2PRN!G4139,Table2PRN!G4142,Table2PRN!G4143,Table2PRN!G4145,Table2PRN!G4147,Table2PRN!G4155,Table2PRN!G4157,Table2PRN!G4159,Table2PRN!G4161)</f>
        <v>61</v>
      </c>
      <c r="AH35" s="20">
        <f>SUM(Table2PRN!G4502,Table2PRN!G4504,Table2PRN!G4509,Table2PRN!G4518,Table2PRN!G4523,Table2PRN!G4531,Table2PRN!G4533,Table2PRN!G4541,Table2PRN!G4543,Table2PRN!G4545,Table2PRN!G4552,Table2PRN!G4554,Table2PRN!G4559,Table2PRN!G4561,Table2PRN!G4563,Table2PRN!G4565,Table2PRN!G4575,Table2PRN!G4577,Table2PRN!G4579,Table2PRN!G4581)</f>
        <v>51</v>
      </c>
      <c r="AI35" s="20">
        <f>SUM(Table2PRN!G4292,Table2PRN!G4294,Table2PRN!G4299,Table2PRN!G4308,Table2PRN!G4313,Table2PRN!G4321,Table2PRN!G4323,Table2PRN!G4331,Table2PRN!G4333,Table2PRN!G4335,Table2PRN!G4342,Table2PRN!G4344,Table2PRN!G4349,Table2PRN!G4351,Table2PRN!G4353,Table2PRN!G4355,Table2PRN!G4365,Table2PRN!G4367,Table2PRN!G4369,Table2PRN!G4371)</f>
        <v>68</v>
      </c>
      <c r="AJ35" s="20">
        <f t="shared" si="23"/>
        <v>119</v>
      </c>
      <c r="AK35" s="1108">
        <f>SUM(Table2PRN!G4712,Table2PRN!G4714,Table2PRN!G4719,Table2PRN!G4728,Table2PRN!G4733,Table2PRN!G4741,Table2PRN!G4743,Table2PRN!G4751,Table2PRN!G4753,Table2PRN!G4755,Table2PRN!G4762,Table2PRN!G4764,Table2PRN!G4769,Table2PRN!G4771,Table2PRN!G4773,Table2PRN!G4775,Table2PRN!G4777,Table2PRN!G4785,Table2PRN!G4787,Table2PRN!G4789,Table2PRN!G4791)</f>
        <v>100</v>
      </c>
      <c r="AL35" s="20">
        <f>SUM(Table2PRN!G5132,Table2PRN!G5134,Table2PRN!G5139,Table2PRN!G5148,Table2PRN!G5153,Table2PRN!G5161,Table2PRN!G5163,Table2PRN!G5171,Table2PRN!G5173,Table2PRN!G5175,Table2PRN!G5182,Table2PRN!G5184,Table2PRN!G5189,Table2PRN!G5191,Table2PRN!G5193,Table2PRN!G5195,Table2PRN!G5197,Table2PRN!G5205,Table2PRN!G5207,Table2PRN!G5209,Table2PRN!G5211)</f>
        <v>57</v>
      </c>
      <c r="AM35" s="20">
        <f>SUM(Table2PRN!G4922,Table2PRN!G4924,Table2PRN!G4929,Table2PRN!G4938,Table2PRN!G4943,Table2PRN!G4951,Table2PRN!G4953,Table2PRN!G4961,Table2PRN!G4963,Table2PRN!G4965,Table2PRN!G4972,Table2PRN!G4974,Table2PRN!G4979,Table2PRN!G4981,Table2PRN!G4983,Table2PRN!G4985,Table2PRN!G4987,Table2PRN!G4995,Table2PRN!G4997,Table2PRN!G4999,Table2PRN!G5001)</f>
        <v>102</v>
      </c>
      <c r="AN35" s="20">
        <f t="shared" si="24"/>
        <v>159</v>
      </c>
      <c r="AP35" s="7" t="s">
        <v>167</v>
      </c>
      <c r="AQ35" s="1108">
        <f>SUM(Table2PRN!G5413)</f>
        <v>0</v>
      </c>
      <c r="AR35" s="20">
        <f>SUM(Table2PRN!G5833)</f>
        <v>0</v>
      </c>
      <c r="AS35" s="2">
        <f>SUM(Table2PRN!G5623)</f>
        <v>0</v>
      </c>
      <c r="AT35" s="20">
        <f t="shared" si="19"/>
        <v>0</v>
      </c>
      <c r="AU35" s="1108">
        <f>SUM(Table2PRN!G6043)</f>
        <v>483</v>
      </c>
      <c r="AV35" s="20">
        <f>SUM(Table2PRN!G6463)</f>
        <v>908</v>
      </c>
      <c r="AW35" s="20">
        <f>SUM(Table2PRN!G6253)</f>
        <v>484</v>
      </c>
      <c r="AX35" s="20">
        <f t="shared" si="20"/>
        <v>1392</v>
      </c>
      <c r="AZ35" s="811" t="s">
        <v>290</v>
      </c>
      <c r="BA35" s="90">
        <f>Table2PRN!G8728</f>
        <v>129</v>
      </c>
      <c r="BB35" s="754">
        <f>Table2PRN!G8938</f>
        <v>316</v>
      </c>
      <c r="BC35" s="817">
        <f>SUM(StockSumPRN!$H$116:$I$116)</f>
        <v>3</v>
      </c>
      <c r="BD35" s="30">
        <f>SUM(StockSumPRN!F116:G116)</f>
        <v>101</v>
      </c>
      <c r="BE35" s="30">
        <f>SUM(StockSumPRN!J321:K321)</f>
        <v>472</v>
      </c>
      <c r="BF35" s="30">
        <f>SUM(StockSumPRN!H731:I731)</f>
        <v>316</v>
      </c>
      <c r="BG35" s="30">
        <f>SUM(StockSumPRN!$D$731:$E$731)</f>
        <v>129</v>
      </c>
      <c r="BH35" s="30">
        <f>SUM(StockSumPRN!J1961:K1961)</f>
        <v>514</v>
      </c>
      <c r="BI35" s="30">
        <f>SUM(StockSumPRN!F1961:G1961)</f>
        <v>1527</v>
      </c>
      <c r="BJ35" s="30">
        <f>SUM(StockSumPRN!D1756:E1756)</f>
        <v>940</v>
      </c>
      <c r="BK35" s="30">
        <f>SUM(StockSumPRN!D1551:E1551)</f>
        <v>677</v>
      </c>
      <c r="BL35" s="30">
        <f>SUM(StockSumPRN!H1346:I1346)</f>
        <v>515</v>
      </c>
      <c r="BM35" s="30">
        <f>SUM(StockSumPRN!$H$1141:$I$1141)</f>
        <v>889</v>
      </c>
      <c r="BN35" s="30">
        <f>SUM(StockSumPRN!$H$936:$I$936)</f>
        <v>1709</v>
      </c>
      <c r="BO35" s="30">
        <f>SUM(StockSumPRN!J2166:K2166)</f>
        <v>16</v>
      </c>
      <c r="BP35" s="30">
        <f>SUM(StockSumPRN!D2371:E2371)</f>
        <v>4</v>
      </c>
      <c r="BQ35" s="20"/>
      <c r="BR35" s="20"/>
      <c r="BS35" s="20"/>
      <c r="BT35" s="20"/>
      <c r="BU35" s="20"/>
      <c r="BV35" s="20"/>
      <c r="BW35" s="20"/>
    </row>
    <row r="36" spans="1:75" ht="15.75" x14ac:dyDescent="0.25">
      <c r="A36" s="7" t="s">
        <v>161</v>
      </c>
      <c r="B36" s="1503">
        <f>SUM(Table2PRN!G6849)</f>
        <v>14668</v>
      </c>
      <c r="C36" s="1109">
        <f>SUM(Table2PRN!G6639)</f>
        <v>11226</v>
      </c>
      <c r="D36" s="20">
        <f>B36+C36</f>
        <v>25894</v>
      </c>
      <c r="E36" s="1503">
        <f>SUM(Table2PRN!G129)</f>
        <v>1442</v>
      </c>
      <c r="F36" s="1109">
        <f>SUM(Table2PRN!G549)</f>
        <v>334</v>
      </c>
      <c r="G36" s="1109">
        <f>SUM(Table2PRN!G339)</f>
        <v>1472</v>
      </c>
      <c r="H36" s="20">
        <f t="shared" si="15"/>
        <v>1806</v>
      </c>
      <c r="I36" s="1503">
        <f>SUM(Table2PRN!G759)</f>
        <v>133</v>
      </c>
      <c r="J36" s="1505">
        <f>SUM(Table2PRN!G969)</f>
        <v>345</v>
      </c>
      <c r="K36" s="1109">
        <f>SUM(Table2PRN!G1389)</f>
        <v>101</v>
      </c>
      <c r="L36" s="1109">
        <f>SUM(Table2PRN!G1179)</f>
        <v>491</v>
      </c>
      <c r="M36" s="20">
        <f t="shared" si="16"/>
        <v>592</v>
      </c>
      <c r="O36" s="7" t="s">
        <v>161</v>
      </c>
      <c r="P36" s="1503">
        <f>SUM(Table2PRN!G1599)</f>
        <v>837</v>
      </c>
      <c r="Q36" s="1109">
        <f>SUM(Table2PRN!G2019)</f>
        <v>1936</v>
      </c>
      <c r="R36" s="1109">
        <f>SUM(Table2PRN!G1809)</f>
        <v>1106</v>
      </c>
      <c r="S36" s="20">
        <f t="shared" si="17"/>
        <v>3042</v>
      </c>
      <c r="T36" s="1503">
        <f>SUM(Table2PRN!G2229)</f>
        <v>5</v>
      </c>
      <c r="U36" s="1109">
        <f>SUM(Table2PRN!G2649)</f>
        <v>6</v>
      </c>
      <c r="V36" s="1109">
        <f>SUM(Table2PRN!G2439)</f>
        <v>6</v>
      </c>
      <c r="W36" s="20">
        <f t="shared" si="18"/>
        <v>12</v>
      </c>
      <c r="Y36" s="1057" t="s">
        <v>293</v>
      </c>
      <c r="Z36" s="1500" t="s">
        <v>129</v>
      </c>
      <c r="AA36" s="1501" t="s">
        <v>129</v>
      </c>
      <c r="AB36" s="1501" t="s">
        <v>129</v>
      </c>
      <c r="AC36" s="1501" t="s">
        <v>129</v>
      </c>
      <c r="AD36" s="1501" t="s">
        <v>129</v>
      </c>
      <c r="AE36" s="1501" t="s">
        <v>129</v>
      </c>
      <c r="AF36" s="1501" t="s">
        <v>129</v>
      </c>
      <c r="AG36" s="1501" t="s">
        <v>129</v>
      </c>
      <c r="AH36" s="1501" t="s">
        <v>129</v>
      </c>
      <c r="AI36" s="1501"/>
      <c r="AJ36" s="1501" t="s">
        <v>129</v>
      </c>
      <c r="AK36" s="1500" t="s">
        <v>129</v>
      </c>
      <c r="AL36" s="1501" t="s">
        <v>129</v>
      </c>
      <c r="AM36" s="1501" t="s">
        <v>129</v>
      </c>
      <c r="AN36" s="1501" t="s">
        <v>129</v>
      </c>
      <c r="AP36" s="7" t="s">
        <v>161</v>
      </c>
      <c r="AQ36" s="1503">
        <f>SUM(Table2PRN!G5379)</f>
        <v>2813</v>
      </c>
      <c r="AR36" s="1109">
        <f>SUM(Table2PRN!G5799)</f>
        <v>12104</v>
      </c>
      <c r="AS36" s="22">
        <f>SUM(Table2PRN!G5600)</f>
        <v>1464</v>
      </c>
      <c r="AT36" s="20">
        <f t="shared" si="19"/>
        <v>13568</v>
      </c>
      <c r="AU36" s="1503">
        <f>SUM(Table2PRN!G6009)</f>
        <v>44</v>
      </c>
      <c r="AV36" s="1109">
        <f>SUM(Table2PRN!G6429)</f>
        <v>79</v>
      </c>
      <c r="AW36" s="1109">
        <f>SUM(Table2PRN!G6219)</f>
        <v>44</v>
      </c>
      <c r="AX36" s="20">
        <f t="shared" si="20"/>
        <v>123</v>
      </c>
      <c r="AZ36" s="811" t="s">
        <v>167</v>
      </c>
      <c r="BA36" s="90">
        <f>Table2PRN!G8773</f>
        <v>0</v>
      </c>
      <c r="BB36" s="754">
        <f>Table2PRN!G8983</f>
        <v>0</v>
      </c>
      <c r="BC36" s="817">
        <f>SUM(StockSumPRN!$H$161:$I$161)</f>
        <v>21</v>
      </c>
      <c r="BD36" s="30">
        <f>SUM(StockSumPRN!F161:G161)</f>
        <v>716</v>
      </c>
      <c r="BE36" s="30">
        <f>SUM(StockSumPRN!J366:K366)</f>
        <v>2</v>
      </c>
      <c r="BF36" s="30">
        <f>SUM(StockSumPRN!H776:I776)</f>
        <v>0</v>
      </c>
      <c r="BG36" s="30">
        <f>SUM(StockSumPRN!$D$776:$E$776)</f>
        <v>0</v>
      </c>
      <c r="BH36" s="30">
        <f>SUM(StockSumPRN!J2006:K2006)</f>
        <v>0</v>
      </c>
      <c r="BI36" s="30">
        <f>SUM(StockSumPRN!F2006:G2006)</f>
        <v>0</v>
      </c>
      <c r="BJ36" s="30">
        <f>SUM(StockSumPRN!D1801:E1801)</f>
        <v>0</v>
      </c>
      <c r="BK36" s="30">
        <f>SUM(StockSumPRN!D1596:E1596)</f>
        <v>0</v>
      </c>
      <c r="BL36" s="30">
        <f>SUM(StockSumPRN!H1391:I1391)</f>
        <v>0</v>
      </c>
      <c r="BM36" s="30">
        <f>SUM(StockSumPRN!$H$1186:$I$1186)</f>
        <v>1324</v>
      </c>
      <c r="BN36" s="30">
        <f>SUM(StockSumPRN!$H$981:$I$981)</f>
        <v>2812</v>
      </c>
      <c r="BO36" s="30">
        <f>SUM(StockSumPRN!J2211:K2211)</f>
        <v>0</v>
      </c>
      <c r="BP36" s="30">
        <f>SUM(StockSumPRN!D2416:E2416)</f>
        <v>0</v>
      </c>
      <c r="BQ36" s="20"/>
      <c r="BR36" s="20"/>
      <c r="BS36" s="20"/>
      <c r="BT36" s="20"/>
      <c r="BU36" s="20"/>
      <c r="BV36" s="20"/>
      <c r="BW36" s="20"/>
    </row>
    <row r="37" spans="1:75" ht="15.75" x14ac:dyDescent="0.25">
      <c r="A37" s="7" t="s">
        <v>163</v>
      </c>
      <c r="B37" s="1503">
        <f>SUM(Table2PRN!G6860)</f>
        <v>3066</v>
      </c>
      <c r="C37" s="1109">
        <f>SUM(Table2PRN!G6650)</f>
        <v>1726</v>
      </c>
      <c r="D37" s="20">
        <f>B37+C37</f>
        <v>4792</v>
      </c>
      <c r="E37" s="1503">
        <f>SUM(Table2PRN!G140)</f>
        <v>38</v>
      </c>
      <c r="F37" s="1109">
        <f>SUM(Table2PRN!G560)</f>
        <v>8</v>
      </c>
      <c r="G37" s="1109">
        <f>SUM(Table2PRN!G350)</f>
        <v>38</v>
      </c>
      <c r="H37" s="20">
        <f t="shared" si="15"/>
        <v>46</v>
      </c>
      <c r="I37" s="1503">
        <f>SUM(Table2PRN!G770)</f>
        <v>13</v>
      </c>
      <c r="J37" s="1505">
        <f>SUM(Table2PRN!G980)</f>
        <v>34</v>
      </c>
      <c r="K37" s="1109">
        <f>SUM(Table2PRN!G1400)</f>
        <v>10</v>
      </c>
      <c r="L37" s="1109">
        <f>SUM(Table2PRN!G1190)</f>
        <v>48</v>
      </c>
      <c r="M37" s="20">
        <f t="shared" si="16"/>
        <v>58</v>
      </c>
      <c r="O37" s="7" t="s">
        <v>163</v>
      </c>
      <c r="P37" s="1503">
        <f>SUM(Table2PRN!G1610)</f>
        <v>53</v>
      </c>
      <c r="Q37" s="1109">
        <f>SUM(Table2PRN!G2030)</f>
        <v>118</v>
      </c>
      <c r="R37" s="1109">
        <f>SUM(Table2PRN!G1820)</f>
        <v>70</v>
      </c>
      <c r="S37" s="20">
        <f t="shared" si="17"/>
        <v>188</v>
      </c>
      <c r="T37" s="1503">
        <f>SUM(Table2PRN!G2240)</f>
        <v>0</v>
      </c>
      <c r="U37" s="1109">
        <f>SUM(Table2PRN!G2660)</f>
        <v>0</v>
      </c>
      <c r="V37" s="1109">
        <f>SUM(Table2PRN!G2450)</f>
        <v>0</v>
      </c>
      <c r="W37" s="20">
        <f t="shared" si="18"/>
        <v>0</v>
      </c>
      <c r="Y37" s="168" t="s">
        <v>291</v>
      </c>
      <c r="Z37" s="1277" t="s">
        <v>294</v>
      </c>
      <c r="AA37" s="1506" t="s">
        <v>294</v>
      </c>
      <c r="AB37" s="1506" t="s">
        <v>294</v>
      </c>
      <c r="AC37" s="1506" t="s">
        <v>294</v>
      </c>
      <c r="AD37" s="1506" t="s">
        <v>294</v>
      </c>
      <c r="AE37" s="1507" t="s">
        <v>294</v>
      </c>
      <c r="AF37" s="1506" t="s">
        <v>294</v>
      </c>
      <c r="AG37" s="1506" t="s">
        <v>294</v>
      </c>
      <c r="AH37" s="1506" t="s">
        <v>294</v>
      </c>
      <c r="AI37" s="1506" t="s">
        <v>294</v>
      </c>
      <c r="AJ37" s="1506" t="s">
        <v>294</v>
      </c>
      <c r="AK37" s="1508">
        <f>IF(WACoastTerminal!M75=-99,WACoastTerminal!L78+WACoastTerminal!L80+WACoastTerminal!L100,IF(WACoastTerminal!M75=-88,(WACoastTerminal!J78+WACoastTerminal!J80+WACoastTerminal!J100),"na"))</f>
        <v>8938.4997090036268</v>
      </c>
      <c r="AL37" s="185" t="s">
        <v>295</v>
      </c>
      <c r="AM37" s="185" t="s">
        <v>295</v>
      </c>
      <c r="AN37" s="755">
        <f>IF(WACoastTerminal!M75=-99,SUM(WACoastTerminal!L76:L80,WACoastTerminal!L100),IF(WACoastTerminal!M75=-88,SUM(WACoastTerminal!J76:J80,WACoastTerminal!J100),"na"))</f>
        <v>10704.593625247049</v>
      </c>
      <c r="AP37" s="7" t="s">
        <v>163</v>
      </c>
      <c r="AQ37" s="1503">
        <f>SUM(Table2PRN!G5390)</f>
        <v>930</v>
      </c>
      <c r="AR37" s="1109">
        <f>SUM(Table2PRN!G5810)</f>
        <v>2925</v>
      </c>
      <c r="AS37" s="22">
        <f>SUM(Table2PRN!G5589)</f>
        <v>7987</v>
      </c>
      <c r="AT37" s="20">
        <f>AR37+AS37</f>
        <v>10912</v>
      </c>
      <c r="AU37" s="1503">
        <f>SUM(Table2PRN!G6020)</f>
        <v>0</v>
      </c>
      <c r="AV37" s="1109">
        <f>SUM(Table2PRN!G6440)</f>
        <v>0</v>
      </c>
      <c r="AW37" s="1109">
        <f>SUM(Table2PRN!G6230)</f>
        <v>0</v>
      </c>
      <c r="AX37" s="20">
        <f>AV37+AW37</f>
        <v>0</v>
      </c>
      <c r="AZ37" s="811" t="s">
        <v>161</v>
      </c>
      <c r="BA37" s="90">
        <f>Table2PRN!G8739</f>
        <v>28</v>
      </c>
      <c r="BB37" s="754">
        <f>Table2PRN!G8949</f>
        <v>78</v>
      </c>
      <c r="BC37" s="817">
        <f>SUM(StockSumPRN!$H$127:$I$127)</f>
        <v>2</v>
      </c>
      <c r="BD37" s="30">
        <f>SUM(StockSumPRN!F127:G127)</f>
        <v>62</v>
      </c>
      <c r="BE37" s="30">
        <f>SUM(StockSumPRN!J332:K332)</f>
        <v>321</v>
      </c>
      <c r="BF37" s="30">
        <f>SUM(StockSumPRN!H742:I742)</f>
        <v>78</v>
      </c>
      <c r="BG37" s="30">
        <f>SUM(StockSumPRN!$D$742:$E$742)</f>
        <v>28</v>
      </c>
      <c r="BH37" s="30">
        <f>SUM(StockSumPRN!J1972:K1972)</f>
        <v>1088</v>
      </c>
      <c r="BI37" s="30">
        <f>SUM(StockSumPRN!F1972:G1972)</f>
        <v>6750</v>
      </c>
      <c r="BJ37" s="30">
        <f>SUM(StockSumPRN!D1767:E1767)</f>
        <v>1708</v>
      </c>
      <c r="BK37" s="30">
        <f>SUM(StockSumPRN!D1562:E1562)</f>
        <v>1451</v>
      </c>
      <c r="BL37" s="30">
        <f>SUM(StockSumPRN!H1357:I1357)</f>
        <v>754</v>
      </c>
      <c r="BM37" s="30">
        <f>SUM(StockSumPRN!$H$1152:$I$1152)</f>
        <v>624</v>
      </c>
      <c r="BN37" s="30">
        <f>SUM(StockSumPRN!$H$947:$I$947)</f>
        <v>1281</v>
      </c>
      <c r="BO37" s="30">
        <f>SUM(StockSumPRN!J2177:K2177)</f>
        <v>5</v>
      </c>
      <c r="BP37" s="30">
        <f>SUM(StockSumPRN!D2382:E2382)</f>
        <v>1</v>
      </c>
      <c r="BQ37" s="20"/>
      <c r="BR37" s="20"/>
      <c r="BS37" s="20"/>
      <c r="BT37" s="20"/>
      <c r="BU37" s="20"/>
      <c r="BV37" s="20"/>
      <c r="BW37" s="20"/>
    </row>
    <row r="38" spans="1:75" ht="15.75" x14ac:dyDescent="0.25">
      <c r="A38" s="7" t="s">
        <v>165</v>
      </c>
      <c r="B38" s="1503">
        <f>SUM(Table2PRN!G6867)</f>
        <v>854</v>
      </c>
      <c r="C38" s="1109">
        <f>SUM(Table2PRN!G6657)</f>
        <v>205</v>
      </c>
      <c r="D38" s="20">
        <f>B38+C38</f>
        <v>1059</v>
      </c>
      <c r="E38" s="1503">
        <f>SUM(Table2PRN!G147)</f>
        <v>18</v>
      </c>
      <c r="F38" s="1109">
        <f>SUM(Table2PRN!G567)</f>
        <v>10</v>
      </c>
      <c r="G38" s="1109">
        <f>SUM(Table2PRN!G357)</f>
        <v>18</v>
      </c>
      <c r="H38" s="20">
        <f t="shared" si="15"/>
        <v>28</v>
      </c>
      <c r="I38" s="1503">
        <f>SUM(Table2PRN!G777)</f>
        <v>1</v>
      </c>
      <c r="J38" s="1505">
        <f>SUM(Table2PRN!G987)</f>
        <v>1</v>
      </c>
      <c r="K38" s="1109">
        <f>SUM(Table2PRN!G1407)</f>
        <v>1</v>
      </c>
      <c r="L38" s="1109">
        <f>SUM(Table2PRN!G1197)</f>
        <v>2</v>
      </c>
      <c r="M38" s="20">
        <f t="shared" si="16"/>
        <v>3</v>
      </c>
      <c r="O38" s="7" t="s">
        <v>165</v>
      </c>
      <c r="P38" s="1503">
        <f>SUM(Table2PRN!G1617)</f>
        <v>1</v>
      </c>
      <c r="Q38" s="1109">
        <f>SUM(Table2PRN!G2037)</f>
        <v>6</v>
      </c>
      <c r="R38" s="1109">
        <f>SUM(Table2PRN!G1827)</f>
        <v>2</v>
      </c>
      <c r="S38" s="20">
        <f t="shared" si="17"/>
        <v>8</v>
      </c>
      <c r="T38" s="1503">
        <f>SUM(Table2PRN!G2247)</f>
        <v>0</v>
      </c>
      <c r="U38" s="1109">
        <f>SUM(Table2PRN!G2667)</f>
        <v>0</v>
      </c>
      <c r="V38" s="1109">
        <f>SUM(Table2PRN!G2457)</f>
        <v>0</v>
      </c>
      <c r="W38" s="20">
        <f t="shared" si="18"/>
        <v>0</v>
      </c>
      <c r="Y38" s="1057" t="s">
        <v>292</v>
      </c>
      <c r="Z38" s="1508">
        <f>IF(WACoastTerminal!M13=-99,WACoastTerminal!L15,IF(WACoastTerminal!M13=-88,WACoastTerminal!J15*1.02,"na"))</f>
        <v>2314.4199028638636</v>
      </c>
      <c r="AA38" s="185">
        <f>IF(WACoastTerminal!M30=-99,WACoastTerminal!L32,IF(WACoastTerminal!M30=-88,WACoastTerminal!J32*1.02,"na"))</f>
        <v>1166.5654589644651</v>
      </c>
      <c r="AB38" s="185" t="s">
        <v>295</v>
      </c>
      <c r="AC38" s="185" t="s">
        <v>295</v>
      </c>
      <c r="AD38" s="185">
        <f>IF(WACoastTerminal!M13=-99,SUM(WACoastTerminal!L14:L15),IF(WACoastTerminal!M13=-88,SUM(WACoastTerminal!J14:J15)*1.02,"na"))</f>
        <v>3836.4670766414929</v>
      </c>
      <c r="AE38" s="185">
        <f>IF(WACoastTerminal!M44=-99,WACoastTerminal!L47,IF(WACoastTerminal!M44=-88,WACoastTerminal!J47*1.02,"na"))</f>
        <v>2482.3962235595263</v>
      </c>
      <c r="AF38" s="185">
        <f>IF(WACoastTerminal!M44=-99,WACoastTerminal!L46,IF(WACoastTerminal!M44=-88,WACoastTerminal!J46*1.02,"na"))</f>
        <v>0</v>
      </c>
      <c r="AG38" s="185">
        <f>IF(WACoastTerminal!M44=-99,WACoastTerminal!L45,IF(WACoastTerminal!M44=-88,WACoastTerminal!J45*1.02,"na"))</f>
        <v>7842.6790598224225</v>
      </c>
      <c r="AH38" s="185" t="s">
        <v>295</v>
      </c>
      <c r="AI38" s="185" t="s">
        <v>295</v>
      </c>
      <c r="AJ38" s="185">
        <f>IF(WACoastTerminal!M44=-99,SUM(WACoastTerminal!L45:L47),IF(WACoastTerminal!M44=-88,SUM(WACoastTerminal!J45:J47)*1.02,"na"))</f>
        <v>10325.075283381948</v>
      </c>
      <c r="AK38" s="1508">
        <f>IF(WACoastTerminal!M84=-99,SUM(WACoastTerminal!L87,WACoastTerminal!L89,WACoastTerminal!L94,WACoastTerminal!L96),IF(WACoastTerminal!M84=-88,SUM(WACoastTerminal!J87,WACoastTerminal!J89,WACoastTerminal!J94,WACoastTerminal!J96)*1.02,"na"))</f>
        <v>27069.916526313376</v>
      </c>
      <c r="AL38" s="185" t="s">
        <v>295</v>
      </c>
      <c r="AM38" s="185" t="s">
        <v>295</v>
      </c>
      <c r="AN38" s="755">
        <f>IF(WACoastTerminal!M84=-99,SUM(WACoastTerminal!L85:L89,WACoastTerminal!L92:L96),IF(WACoastTerminal!M84=-88,SUM(WACoastTerminal!J85:J89,WACoastTerminal!J92:J96)*1.02,"na"))</f>
        <v>35154.138837398532</v>
      </c>
      <c r="AP38" s="7" t="s">
        <v>165</v>
      </c>
      <c r="AQ38" s="1503">
        <f>SUM(Table2PRN!G5397)</f>
        <v>119</v>
      </c>
      <c r="AR38" s="1109">
        <f>SUM(Table2PRN!G5817)</f>
        <v>836</v>
      </c>
      <c r="AS38" s="22">
        <f>SUM(Table2PRN!G5607)</f>
        <v>183</v>
      </c>
      <c r="AT38" s="20">
        <f>AR38+AS38</f>
        <v>1019</v>
      </c>
      <c r="AU38" s="1503">
        <f>SUM(Table2PRN!G6027)</f>
        <v>0</v>
      </c>
      <c r="AV38" s="1109">
        <f>SUM(Table2PRN!G6447)</f>
        <v>0</v>
      </c>
      <c r="AW38" s="1109">
        <f>SUM(Table2PRN!G6237)</f>
        <v>0</v>
      </c>
      <c r="AX38" s="20">
        <f>AV38+AW38</f>
        <v>0</v>
      </c>
      <c r="AZ38" s="811" t="s">
        <v>163</v>
      </c>
      <c r="BA38" s="90">
        <f>Table2PRN!G8750</f>
        <v>3</v>
      </c>
      <c r="BB38" s="754">
        <f>Table2PRN!G8960</f>
        <v>7</v>
      </c>
      <c r="BC38" s="817">
        <f>SUM(StockSumPRN!$H$138:$I$138)</f>
        <v>0</v>
      </c>
      <c r="BD38" s="30">
        <f>SUM(StockSumPRN!F138:G138)</f>
        <v>0</v>
      </c>
      <c r="BE38" s="30">
        <f>SUM(StockSumPRN!J343:K343)</f>
        <v>8</v>
      </c>
      <c r="BF38" s="30">
        <f>SUM(StockSumPRN!H753:I753)</f>
        <v>7</v>
      </c>
      <c r="BG38" s="30">
        <f>SUM(StockSumPRN!$D$753:$E$753)</f>
        <v>3</v>
      </c>
      <c r="BH38" s="30">
        <f>SUM(StockSumPRN!J1983:K1983)</f>
        <v>71</v>
      </c>
      <c r="BI38" s="30">
        <f>SUM(StockSumPRN!F1983:G1983)</f>
        <v>566</v>
      </c>
      <c r="BJ38" s="30">
        <f>SUM(StockSumPRN!D1778:E1778)</f>
        <v>572</v>
      </c>
      <c r="BK38" s="30">
        <f>SUM(StockSumPRN!D1573:E1573)</f>
        <v>556</v>
      </c>
      <c r="BL38" s="30">
        <f>SUM(StockSumPRN!H1368:I1368)</f>
        <v>398</v>
      </c>
      <c r="BM38" s="30">
        <f>SUM(StockSumPRN!$H$1163:$I$1163)</f>
        <v>40</v>
      </c>
      <c r="BN38" s="30">
        <f>SUM(StockSumPRN!$H$958:$I$958)</f>
        <v>82</v>
      </c>
      <c r="BO38" s="30">
        <f>SUM(StockSumPRN!J2188:K2188)</f>
        <v>0</v>
      </c>
      <c r="BP38" s="30">
        <f>SUM(StockSumPRN!D2393:E2393)</f>
        <v>0</v>
      </c>
      <c r="BQ38" s="20"/>
      <c r="BR38" s="20"/>
      <c r="BS38" s="20"/>
      <c r="BT38" s="20"/>
      <c r="BU38" s="20"/>
      <c r="BV38" s="20"/>
      <c r="BW38" s="20"/>
    </row>
    <row r="39" spans="1:75" ht="15.75" x14ac:dyDescent="0.25">
      <c r="A39" s="7" t="s">
        <v>296</v>
      </c>
      <c r="B39" s="854" t="s">
        <v>297</v>
      </c>
      <c r="C39" s="1050" t="s">
        <v>297</v>
      </c>
      <c r="D39" s="1050" t="s">
        <v>297</v>
      </c>
      <c r="E39" s="1503">
        <f>SUM(Table2PRN!G119)+Sk!$C$37</f>
        <v>5396.7857925957378</v>
      </c>
      <c r="F39" s="1050" t="s">
        <v>297</v>
      </c>
      <c r="G39" s="1050" t="s">
        <v>297</v>
      </c>
      <c r="H39" s="1509">
        <f>SUM(Table2PRN!G329,Table2PRN!G539,Sk!F54)</f>
        <v>9348.1477059383415</v>
      </c>
      <c r="I39" s="1108">
        <f>SUM(Table2PRN!G757)</f>
        <v>653</v>
      </c>
      <c r="J39" s="1335">
        <f>SUM(Table2PRN!G968)</f>
        <v>50</v>
      </c>
      <c r="K39" s="1050">
        <f>SUM(Table2PRN!G1387,Table2PRN!G1388)</f>
        <v>1798</v>
      </c>
      <c r="L39" s="1050">
        <f>SUM(Table2PRN!G1178,Table2PRN!G1177)</f>
        <v>813</v>
      </c>
      <c r="M39" s="20">
        <f t="shared" si="16"/>
        <v>2611</v>
      </c>
      <c r="O39" s="7" t="s">
        <v>296</v>
      </c>
      <c r="P39" s="1108">
        <f>SUM(Table2PRN!G1644,Table2PRN!G1645,Table2PRN!G1646,Table2PRN!G1647)</f>
        <v>0</v>
      </c>
      <c r="Q39" s="1050">
        <f>SUM(Table2PRN!G2064,Table2PRN!G2065,Table2PRN!G2066,Table2PRN!G2067)</f>
        <v>1683</v>
      </c>
      <c r="R39" s="1050">
        <f>SUM(Table2PRN!G1854,Table2PRN!G1855,Table2PRN!G1856,Table2PRN!G1857)</f>
        <v>353</v>
      </c>
      <c r="S39" s="20">
        <f t="shared" si="17"/>
        <v>2036</v>
      </c>
      <c r="T39" s="854">
        <f>SUM(JDF!N26:O26)</f>
        <v>0</v>
      </c>
      <c r="U39" s="1050">
        <f>SUM(Table2PRN!G2620,Table2PRN!G2621,Table2PRN!G2625,Table2PRN!G2626)</f>
        <v>600</v>
      </c>
      <c r="V39" s="1050">
        <f>SUM(Table2PRN!G2415,Table2PRN!G2416,Table2PRN!G2410,Table2PRN!G2411)</f>
        <v>14</v>
      </c>
      <c r="W39" s="20">
        <f t="shared" si="18"/>
        <v>614</v>
      </c>
      <c r="Y39" s="1057" t="s">
        <v>298</v>
      </c>
      <c r="Z39" s="1508">
        <f>IF(WACoastTerminal!M21=-99,WACoastTerminal!L23,IF(WACoastTerminal!M21=-88,WACoastTerminal!J23*1.05,"na"))</f>
        <v>1479.5880480073131</v>
      </c>
      <c r="AA39" s="185">
        <f>IF(WACoastTerminal!M37=-99,WACoastTerminal!L39,IF(WACoastTerminal!M37=-88,WACoastTerminal!J39*1.05,"na"))</f>
        <v>568.31590079060425</v>
      </c>
      <c r="AB39" s="185" t="s">
        <v>295</v>
      </c>
      <c r="AC39" s="185" t="s">
        <v>295</v>
      </c>
      <c r="AD39" s="185">
        <f>IF(WACoastTerminal!M21=-99,SUM(WACoastTerminal!L22:L23),IF(WACoastTerminal!M21=-88,SUM(WACoastTerminal!J22:J23)*1.05,"na"))</f>
        <v>3722.3904906635785</v>
      </c>
      <c r="AE39" s="185">
        <f>IF(WACoastTerminal!M53=-99,WACoastTerminal!L56,IF(WACoastTerminal!M53=-88,WACoastTerminal!J56*1.05,"na"))</f>
        <v>1058.2584408944347</v>
      </c>
      <c r="AF39" s="185">
        <f>IF(WACoastTerminal!M53=-99,WACoastTerminal!L55,IF(WACoastTerminal!M53=-88,WACoastTerminal!J55*1.05,"na"))</f>
        <v>0</v>
      </c>
      <c r="AG39" s="185">
        <f>IF(WACoastTerminal!M53=-99,WACoastTerminal!L54,IF(WACoastTerminal!M53=-88,WACoastTerminal!J54*1.05,"na"))</f>
        <v>1121.9880160185471</v>
      </c>
      <c r="AH39" s="185" t="s">
        <v>295</v>
      </c>
      <c r="AI39" s="185" t="s">
        <v>295</v>
      </c>
      <c r="AJ39" s="185">
        <f>IF(WACoastTerminal!M53=-99,SUM(WACoastTerminal!L54:L56),IF(WACoastTerminal!M53=-88,SUM(WACoastTerminal!J54:J56)*1.05,"na"))</f>
        <v>2180.246456912982</v>
      </c>
      <c r="AK39" s="1508">
        <f>IF(WACoastTerminal!M102=-99,SUM(WACoastTerminal!L105,WACoastTerminal!L107,WACoastTerminal!L114,WACoastTerminal!L116,WACoastTerminal!L121,WACoastTerminal!L126),IF(WACoastTerminal!M102=-88,SUM(WACoastTerminal!J105,WACoastTerminal!J107,WACoastTerminal!J114,WACoastTerminal!J116,WACoastTerminal!J121,WACoastTerminal!J126),"na"))</f>
        <v>14891.183547350523</v>
      </c>
      <c r="AL39" s="185" t="s">
        <v>295</v>
      </c>
      <c r="AM39" s="185" t="s">
        <v>295</v>
      </c>
      <c r="AN39" s="755">
        <f>IF(WACoastTerminal!M102=-99,SUM(WACoastTerminal!L103:L107,WACoastTerminal!L112:L116,WACoastTerminal!L119:L121,WACoastTerminal!L124:L126),IF(WACoastTerminal!M102=-88,SUM(WACoastTerminal!J103:J107,WACoastTerminal!J112:J116,WACoastTerminal!J119:J121,WACoastTerminal!J124:J126),"na"))</f>
        <v>24879.937427298093</v>
      </c>
      <c r="AP39" s="7" t="s">
        <v>296</v>
      </c>
      <c r="AQ39" s="854">
        <f>SUM(Table2PRN!G5388,Table2PRN!G5389,Table2PRN!G5396,Table2PRN!G5410,Table2PRN!G5411,Table2PRN!G5412)</f>
        <v>679</v>
      </c>
      <c r="AR39" s="1050">
        <f>SUM(Table2PRN!G5808,Table2PRN!G5809,Table2PRN!G5816,Table2PRN!G5831,Table2PRN!G5832,Table2PRN!G5830)</f>
        <v>5585</v>
      </c>
      <c r="AS39" s="2">
        <f>SUM(Table2PRN!G5598,Table2PRN!G5599,Table2PRN!G5606,Table2PRN!G5621,Table2PRN!G5622,Table2PRN!G5620)</f>
        <v>2921</v>
      </c>
      <c r="AT39" s="20">
        <f t="shared" si="19"/>
        <v>8506</v>
      </c>
      <c r="AU39" s="854">
        <f>SUM(Table2PRN!G5990,Table2PRN!G5991)</f>
        <v>914</v>
      </c>
      <c r="AV39" s="1050">
        <f>SUM(Table2PRN!G6410,Table2PRN!G6411)</f>
        <v>1461</v>
      </c>
      <c r="AW39" s="1050">
        <f>SUM(Table2PRN!G6200,Table2PRN!G6201)</f>
        <v>916</v>
      </c>
      <c r="AX39" s="20">
        <f t="shared" si="20"/>
        <v>2377</v>
      </c>
      <c r="AZ39" s="811" t="s">
        <v>165</v>
      </c>
      <c r="BA39" s="90">
        <f>Table2PRN!G8757</f>
        <v>0</v>
      </c>
      <c r="BB39" s="754">
        <f>Table2PRN!G8967</f>
        <v>1</v>
      </c>
      <c r="BC39" s="817">
        <f>SUM(StockSumPRN!$H$145:$I$145)</f>
        <v>0</v>
      </c>
      <c r="BD39" s="30">
        <f>SUM(StockSumPRN!F145:G145)</f>
        <v>0</v>
      </c>
      <c r="BE39" s="30">
        <f>SUM(StockSumPRN!J350:K350)</f>
        <v>9</v>
      </c>
      <c r="BF39" s="30">
        <f>SUM(StockSumPRN!H760:I760)</f>
        <v>1</v>
      </c>
      <c r="BG39" s="30">
        <f>SUM(StockSumPRN!$D$760:$E$760)</f>
        <v>0</v>
      </c>
      <c r="BH39" s="30">
        <f>SUM(StockSumPRN!J1990:K1990)</f>
        <v>33</v>
      </c>
      <c r="BI39" s="30">
        <f>SUM(StockSumPRN!F1990:G1990)</f>
        <v>117</v>
      </c>
      <c r="BJ39" s="30">
        <f>SUM(StockSumPRN!D1785:E1785)</f>
        <v>68</v>
      </c>
      <c r="BK39" s="30">
        <f>SUM(StockSumPRN!D1580:E1580)</f>
        <v>143</v>
      </c>
      <c r="BL39" s="30">
        <f>SUM(StockSumPRN!H1375:I1375)</f>
        <v>150</v>
      </c>
      <c r="BM39" s="30">
        <f>SUM(StockSumPRN!$H$1170:$I$1170)</f>
        <v>2</v>
      </c>
      <c r="BN39" s="30">
        <f>SUM(StockSumPRN!$H$965:$I$965)</f>
        <v>4</v>
      </c>
      <c r="BO39" s="30">
        <f>SUM(StockSumPRN!J2195:K2195)</f>
        <v>0</v>
      </c>
      <c r="BP39" s="30">
        <f>SUM(StockSumPRN!D2400:E2400)</f>
        <v>0</v>
      </c>
      <c r="BQ39" s="20"/>
      <c r="BR39" s="20"/>
      <c r="BS39" s="20"/>
      <c r="BT39" s="20"/>
      <c r="BU39" s="20"/>
      <c r="BV39" s="20"/>
      <c r="BW39" s="20"/>
    </row>
    <row r="40" spans="1:75" x14ac:dyDescent="0.2">
      <c r="A40" s="2" t="s">
        <v>299</v>
      </c>
      <c r="B40" s="1500" t="s">
        <v>129</v>
      </c>
      <c r="C40" s="1501" t="s">
        <v>129</v>
      </c>
      <c r="D40" s="1501" t="s">
        <v>129</v>
      </c>
      <c r="E40" s="1500" t="s">
        <v>129</v>
      </c>
      <c r="F40" s="1501" t="s">
        <v>129</v>
      </c>
      <c r="G40" s="1501" t="s">
        <v>129</v>
      </c>
      <c r="H40" s="1501" t="s">
        <v>129</v>
      </c>
      <c r="I40" s="1500" t="s">
        <v>129</v>
      </c>
      <c r="J40" s="1502" t="s">
        <v>129</v>
      </c>
      <c r="K40" s="1501" t="s">
        <v>129</v>
      </c>
      <c r="L40" s="1501" t="s">
        <v>129</v>
      </c>
      <c r="M40" s="1501" t="s">
        <v>129</v>
      </c>
      <c r="O40" s="2" t="s">
        <v>299</v>
      </c>
      <c r="P40" s="1500" t="s">
        <v>129</v>
      </c>
      <c r="Q40" s="1501" t="s">
        <v>129</v>
      </c>
      <c r="R40" s="1501" t="s">
        <v>129</v>
      </c>
      <c r="S40" s="1501" t="s">
        <v>129</v>
      </c>
      <c r="T40" s="1500" t="s">
        <v>129</v>
      </c>
      <c r="U40" s="1501" t="s">
        <v>129</v>
      </c>
      <c r="V40" s="1501" t="s">
        <v>129</v>
      </c>
      <c r="W40" s="1501" t="s">
        <v>129</v>
      </c>
      <c r="Y40" s="6" t="s">
        <v>125</v>
      </c>
      <c r="Z40" s="6" t="s">
        <v>125</v>
      </c>
      <c r="AA40" s="6" t="s">
        <v>125</v>
      </c>
      <c r="AB40" s="6" t="s">
        <v>125</v>
      </c>
      <c r="AC40" s="6" t="s">
        <v>125</v>
      </c>
      <c r="AD40" s="6" t="s">
        <v>125</v>
      </c>
      <c r="AE40" s="6" t="s">
        <v>125</v>
      </c>
      <c r="AF40" s="6" t="s">
        <v>125</v>
      </c>
      <c r="AG40" s="6" t="s">
        <v>125</v>
      </c>
      <c r="AH40" s="6" t="s">
        <v>125</v>
      </c>
      <c r="AI40" s="6"/>
      <c r="AJ40" s="6" t="s">
        <v>125</v>
      </c>
      <c r="AK40" s="6" t="s">
        <v>125</v>
      </c>
      <c r="AL40" s="6" t="s">
        <v>125</v>
      </c>
      <c r="AM40" s="6" t="s">
        <v>125</v>
      </c>
      <c r="AN40" s="6" t="s">
        <v>125</v>
      </c>
      <c r="AP40" s="2" t="s">
        <v>299</v>
      </c>
      <c r="AQ40" s="1500" t="s">
        <v>129</v>
      </c>
      <c r="AR40" s="1501" t="s">
        <v>129</v>
      </c>
      <c r="AS40" s="1501" t="s">
        <v>129</v>
      </c>
      <c r="AT40" s="1501" t="s">
        <v>129</v>
      </c>
      <c r="AU40" s="1500" t="s">
        <v>129</v>
      </c>
      <c r="AV40" s="1501" t="s">
        <v>129</v>
      </c>
      <c r="AW40" s="1501" t="s">
        <v>129</v>
      </c>
      <c r="AX40" s="1501" t="s">
        <v>129</v>
      </c>
      <c r="AZ40" s="811" t="s">
        <v>296</v>
      </c>
      <c r="BA40" s="90">
        <v>0</v>
      </c>
      <c r="BB40" s="818">
        <f>SUM(StockSumPRN!$F$98:$G$99,StockSumPRN!$F$103:$G$103,StockSumPRN!$F$104:$G$104,StockSumPRN!$F$108:$G$108,StockSumPRN!$F$109:$G$109,StockSumPRN!$F$117:$G$117,StockSumPRN!$F$125:$G$126,StockSumPRN!$F$136:$G$136,StockSumPRN!$F$137:$G$137,StockSumPRN!$F$144:$G$144,StockSumPRN!$F$158:$G$158,StockSumPRN!$F$159:$G$160,StockSumPRN!$F$172:$G$172,StockSumPRN!$F$174:$G$174,StockSumPRN!$F$175:$G$175)</f>
        <v>1199</v>
      </c>
      <c r="BC40" s="817">
        <f>SUM(StockSumPRN!H98:I99,StockSumPRN!H103:I103,StockSumPRN!H104:I104,StockSumPRN!H108:I108,StockSumPRN!H109:I109,StockSumPRN!H117:I117,StockSumPRN!H125:I126,StockSumPRN!H136:I136,StockSumPRN!H137:I137,StockSumPRN!H144:I144,StockSumPRN!H158:I158,StockSumPRN!H159:I160,StockSumPRN!H172:I172,StockSumPRN!H174:I174,StockSumPRN!H175:I175)</f>
        <v>0</v>
      </c>
      <c r="BD40" s="30">
        <f>SUM(StockSumPRN!$F$98:$G$99,StockSumPRN!$F$103:$G$103,StockSumPRN!$F$104:$G$104,StockSumPRN!$F$108:$G$108,StockSumPRN!$F$109:$G$109,StockSumPRN!$F$117:$G$117,StockSumPRN!$F$125:$G$126,StockSumPRN!$F$136:$G$136,StockSumPRN!$F$137:$G$137,StockSumPRN!$F$144:$G$144,StockSumPRN!$F$158:$G$158,StockSumPRN!$F$159:$G$160,StockSumPRN!$F$172:$G$172,StockSumPRN!$F$174:$G$174,StockSumPRN!$F$175:$G$175)</f>
        <v>1199</v>
      </c>
      <c r="BE40" s="30">
        <f>SUM(StockSumPRN!$J$303:$K$304,StockSumPRN!$J$308:$K$308,StockSumPRN!$J$309:$K$309,StockSumPRN!$J$313:$K$314,StockSumPRN!$J$322:$K$322,StockSumPRN!$J$330:$K$331,StockSumPRN!$J$341:$K$341,StockSumPRN!$J$342:$K$342,StockSumPRN!$J$349:$K$349,StockSumPRN!$J$363:$K$365,StockSumPRN!$J$379:$K$379,StockSumPRN!$J$377:$K$377,StockSumPRN!$J$380:$K$380)</f>
        <v>924</v>
      </c>
      <c r="BF40" s="30">
        <f>SUM(StockSumPRN!$H$713:$I$714,StockSumPRN!$H$718:$I$719,StockSumPRN!$H$723:$I$724,StockSumPRN!$H$732:$I$732,StockSumPRN!$H$740:$I$741,StockSumPRN!$H$751:$I$752,StockSumPRN!$H$759:$I$759,StockSumPRN!$H$773:$I$775,StockSumPRN!$H$787:$I$787,StockSumPRN!$H$789:$I$789,StockSumPRN!$H$790:$I$790)</f>
        <v>1898</v>
      </c>
      <c r="BG40" s="30">
        <f>SUM(StockSumPRN!$D$713:$E$714,StockSumPRN!$D$718:$E$719,StockSumPRN!$D$723:$E$724,StockSumPRN!$D$732:$E$732,StockSumPRN!$D$740:$E$741,StockSumPRN!$D$751:$E$752,StockSumPRN!$D$759:$E$759,StockSumPRN!$D$773:$E$775,StockSumPRN!$D$787:$E$787,StockSumPRN!$D$789:$E$789,StockSumPRN!$D$790:$E$790)</f>
        <v>0</v>
      </c>
      <c r="BH40" s="30">
        <f>SUM(StockSumPRN!$J$1943:$K$1944,StockSumPRN!$J$1948:$K$1949,StockSumPRN!$J$1953:$K$1954,StockSumPRN!$J$1962:$K$1962,StockSumPRN!$J$1970:$K$1971,StockSumPRN!$J$1981:$K$1982,StockSumPRN!$J$1989:$K$1989,StockSumPRN!$J$2003:$K$2003,StockSumPRN!$J$2004:$K$2005,StockSumPRN!$J$2017:$K$2017,StockSumPRN!$J$2019:$K$2020)</f>
        <v>424</v>
      </c>
      <c r="BI40" s="30">
        <f>SUM(StockSumPRN!$F$1943:$G$1944,StockSumPRN!$F$1948:$G$1949,StockSumPRN!$F$1953:$G$1954,StockSumPRN!$F$1962:$G$1962,StockSumPRN!$F$1970:$G$1971,StockSumPRN!$F$1981:$G$1982,StockSumPRN!$F$1989:$G$1989,StockSumPRN!$F$2003:$G$2003,StockSumPRN!$F$2004:$G$2005,StockSumPRN!$F$2017:$G$2017,StockSumPRN!$F$2019:$G$2020)</f>
        <v>2172</v>
      </c>
      <c r="BJ40" s="30">
        <f>SUM(StockSumPRN!$D$1738:$E$1739,StockSumPRN!$D$1743:$E$1744,StockSumPRN!$D$1748:$E$1749,StockSumPRN!$D$1757:$E$1757,StockSumPRN!$D$1765:$E$1766,StockSumPRN!$D$1776:$E$1777,StockSumPRN!$D$1784:$E$1784,StockSumPRN!$D$1798:$E$1798,StockSumPRN!$D$1799:$E$1800,StockSumPRN!$D$1812:$E$1812,StockSumPRN!$D$1814:$E$1815)</f>
        <v>3413</v>
      </c>
      <c r="BK40" s="30">
        <f>SUM(StockSumPRN!$D$1533:$E$1534,StockSumPRN!$D$1538:$E$1539,StockSumPRN!$D$1543:$E$1544,StockSumPRN!$D$1552:$E$1552,StockSumPRN!$D$1560:$E$1561,StockSumPRN!$D$1571:$E$1572,StockSumPRN!$D$1579:$E$1579,StockSumPRN!$D$1593:$E$1593,StockSumPRN!$D$1594:$E$1595,StockSumPRN!$D$1607:$E$1607,StockSumPRN!$D$1609:$E$1610)</f>
        <v>0</v>
      </c>
      <c r="BL40" s="30">
        <f>SUM(StockSumPRN!$H$1328:$I$1329,StockSumPRN!$H$1333:$I$1334,StockSumPRN!$H$1338:$I$1339,StockSumPRN!$H$1347:$I$1347,StockSumPRN!$H$1355:$I$1356,StockSumPRN!$H$1366:$I$1367,StockSumPRN!$H$1374:$I$1374,StockSumPRN!$H$1388:$I$1390,StockSumPRN!$H$1402:$I$1402,StockSumPRN!$H$1404:$I$1405)</f>
        <v>1818</v>
      </c>
      <c r="BM40" s="30">
        <f>SUM(StockSumPRN!$H$1123:$I$1124,StockSumPRN!$H$1128:$I$1129,StockSumPRN!$H$1133:$I$1134,StockSumPRN!$H$1142:$I$1142,StockSumPRN!$H$1150:$I$1151,StockSumPRN!$H$1161:$I$1162,StockSumPRN!$H$1169:$I$1169,StockSumPRN!$H$1183:$I$1185,StockSumPRN!$H$1197:$I$1197,StockSumPRN!$H$1199:$I$1200)</f>
        <v>0</v>
      </c>
      <c r="BN40" s="30">
        <f>SUM(StockSumPRN!$H$918:$I$919,StockSumPRN!$H$923:$I$924,StockSumPRN!$H$928:$I$929,StockSumPRN!$H$937:$I$937,StockSumPRN!$H$945:$I$946,StockSumPRN!$H$956:$I$957,StockSumPRN!$H$964:$I$964,StockSumPRN!$H$978:$I$980,StockSumPRN!$H$992:$I$992,StockSumPRN!$H$994:$I$995)</f>
        <v>0</v>
      </c>
      <c r="BO40" s="30">
        <f>SUM(StockSumPRN!$J$2148:$K$2149,StockSumPRN!$J$2153:$K$2154,StockSumPRN!$J$2158:$K$2159,StockSumPRN!$J$2167:$K$2167,StockSumPRN!$J$2175:$K$2176,StockSumPRN!$J$2186:$K$2187,StockSumPRN!$J$2194:$K$2194,StockSumPRN!$J$2208:$K$2210,StockSumPRN!$J$2222:$K$2222,StockSumPRN!$J$2224:$K$2225)</f>
        <v>601</v>
      </c>
      <c r="BP40" s="30">
        <f>SUM(StockSumPRN!$D$2353:$E$2354,StockSumPRN!$D$2358:$E$2359,StockSumPRN!$D$2363:$E$2364,StockSumPRN!$D$2372:$E$2372,StockSumPRN!$D$2380:$E$2381,StockSumPRN!$D$2391:$E$2392,StockSumPRN!$D$2399:$E$2399,StockSumPRN!$D$2413:$E$2415,StockSumPRN!$D$2427:$E$2427,StockSumPRN!$D$2429:$E$2430)</f>
        <v>0</v>
      </c>
    </row>
    <row r="41" spans="1:75" x14ac:dyDescent="0.2">
      <c r="A41" s="7" t="s">
        <v>300</v>
      </c>
      <c r="B41" s="1108">
        <f>SUM(Table2PRN!G6818)</f>
        <v>4103</v>
      </c>
      <c r="C41" s="20">
        <f>SUM(Table2PRN!G6608)</f>
        <v>3461</v>
      </c>
      <c r="D41" s="20">
        <f>B41+C41</f>
        <v>7564</v>
      </c>
      <c r="E41" s="1108">
        <f>SUM(Table2PRN!G98)</f>
        <v>191</v>
      </c>
      <c r="F41" s="20">
        <f>SUM(Table2PRN!G518)</f>
        <v>65</v>
      </c>
      <c r="G41" s="20">
        <f>SUM(Table2PRN!G308)</f>
        <v>195</v>
      </c>
      <c r="H41" s="20">
        <f>F41+G41</f>
        <v>260</v>
      </c>
      <c r="I41" s="1108">
        <f>SUM(Table2PRN!G728)</f>
        <v>6</v>
      </c>
      <c r="J41" s="1335">
        <f>SUM(Table2PRN!G938)</f>
        <v>17</v>
      </c>
      <c r="K41" s="20">
        <f>SUM(Table2PRN!G1358)</f>
        <v>9</v>
      </c>
      <c r="L41" s="20">
        <f>SUM(Table2PRN!G1148)</f>
        <v>24</v>
      </c>
      <c r="M41" s="20">
        <f>K41+L41</f>
        <v>33</v>
      </c>
      <c r="O41" s="7" t="s">
        <v>300</v>
      </c>
      <c r="P41" s="1108">
        <f>SUM(Table2PRN!G1568)</f>
        <v>12</v>
      </c>
      <c r="Q41" s="20">
        <f>SUM(Table2PRN!G1988)</f>
        <v>39</v>
      </c>
      <c r="R41" s="20">
        <f>SUM(Table2PRN!G1778)</f>
        <v>15</v>
      </c>
      <c r="S41" s="20">
        <f>Q41+R41</f>
        <v>54</v>
      </c>
      <c r="T41" s="1108">
        <f>SUM(Table2PRN!G2198)</f>
        <v>8</v>
      </c>
      <c r="U41" s="20">
        <f>SUM(Table2PRN!G2618)</f>
        <v>14</v>
      </c>
      <c r="V41" s="20">
        <f>SUM(Table2PRN!G2408)</f>
        <v>11</v>
      </c>
      <c r="W41" s="20">
        <f>U41+V41</f>
        <v>25</v>
      </c>
      <c r="Y41" s="2" t="s">
        <v>301</v>
      </c>
      <c r="AP41" s="7" t="s">
        <v>300</v>
      </c>
      <c r="AQ41" s="1108">
        <f>SUM(Table2PRN!G5348)</f>
        <v>28</v>
      </c>
      <c r="AR41" s="20">
        <f>SUM(Table2PRN!G5768)</f>
        <v>200</v>
      </c>
      <c r="AS41" s="2">
        <f>SUM(Table2PRN!G5558)</f>
        <v>79</v>
      </c>
      <c r="AT41" s="20">
        <f>AR41+AS41</f>
        <v>279</v>
      </c>
      <c r="AU41" s="1108">
        <f>SUM(Table2PRN!G5978)</f>
        <v>565</v>
      </c>
      <c r="AV41" s="20">
        <f>SUM(Table2PRN!G6398)</f>
        <v>1369</v>
      </c>
      <c r="AW41" s="20">
        <f>SUM(Table2PRN!G6188)</f>
        <v>566</v>
      </c>
      <c r="AX41" s="20">
        <f>AV41+AW41</f>
        <v>1935</v>
      </c>
      <c r="AZ41" s="215" t="s">
        <v>299</v>
      </c>
      <c r="BA41" s="756" t="s">
        <v>129</v>
      </c>
      <c r="BB41" s="756" t="s">
        <v>129</v>
      </c>
      <c r="BC41" s="810" t="s">
        <v>129</v>
      </c>
      <c r="BD41" s="756" t="s">
        <v>129</v>
      </c>
      <c r="BE41" s="756" t="s">
        <v>129</v>
      </c>
      <c r="BF41" s="756" t="s">
        <v>129</v>
      </c>
      <c r="BG41" s="756" t="s">
        <v>129</v>
      </c>
      <c r="BH41" s="756" t="s">
        <v>129</v>
      </c>
      <c r="BI41" s="756" t="s">
        <v>129</v>
      </c>
      <c r="BJ41" s="756" t="s">
        <v>129</v>
      </c>
      <c r="BK41" s="756" t="s">
        <v>129</v>
      </c>
      <c r="BL41" s="756" t="s">
        <v>129</v>
      </c>
      <c r="BM41" s="756" t="s">
        <v>129</v>
      </c>
      <c r="BN41" s="756" t="s">
        <v>129</v>
      </c>
      <c r="BO41" s="756" t="s">
        <v>129</v>
      </c>
      <c r="BP41" s="756" t="s">
        <v>129</v>
      </c>
      <c r="BQ41" s="20"/>
      <c r="BR41" s="20"/>
      <c r="BS41" s="20"/>
      <c r="BT41" s="20"/>
      <c r="BU41" s="1050"/>
      <c r="BV41" s="1050"/>
      <c r="BW41" s="1050"/>
    </row>
    <row r="42" spans="1:75" x14ac:dyDescent="0.2">
      <c r="A42" s="7" t="s">
        <v>302</v>
      </c>
      <c r="B42" s="1108">
        <f>SUM(Table2PRN!G6819)</f>
        <v>3155</v>
      </c>
      <c r="C42" s="20">
        <f>SUM(Table2PRN!G6609)</f>
        <v>3681</v>
      </c>
      <c r="D42" s="20">
        <f>B42+C42</f>
        <v>6836</v>
      </c>
      <c r="E42" s="1108">
        <f>SUM(Table2PRN!G99)</f>
        <v>214</v>
      </c>
      <c r="F42" s="20">
        <f>SUM(Table2PRN!G519)</f>
        <v>44</v>
      </c>
      <c r="G42" s="20">
        <f>SUM(Table2PRN!G309)</f>
        <v>218</v>
      </c>
      <c r="H42" s="20">
        <f>F42+G42</f>
        <v>262</v>
      </c>
      <c r="I42" s="1108">
        <f>SUM(Table2PRN!G729)</f>
        <v>8</v>
      </c>
      <c r="J42" s="1335">
        <f>SUM(Table2PRN!G939)</f>
        <v>20</v>
      </c>
      <c r="K42" s="20">
        <f>SUM(Table2PRN!G1359)</f>
        <v>5</v>
      </c>
      <c r="L42" s="20">
        <f>SUM(Table2PRN!G1149)</f>
        <v>28</v>
      </c>
      <c r="M42" s="20">
        <f>K42+L42</f>
        <v>33</v>
      </c>
      <c r="O42" s="7" t="s">
        <v>302</v>
      </c>
      <c r="P42" s="1108">
        <f>SUM(Table2PRN!G1569)</f>
        <v>13</v>
      </c>
      <c r="Q42" s="20">
        <f>SUM(Table2PRN!G1989)</f>
        <v>25</v>
      </c>
      <c r="R42" s="20">
        <f>SUM(Table2PRN!G1779)</f>
        <v>17</v>
      </c>
      <c r="S42" s="20">
        <f>Q42+R42</f>
        <v>42</v>
      </c>
      <c r="T42" s="1108">
        <f>SUM(Table2PRN!G2199)</f>
        <v>9</v>
      </c>
      <c r="U42" s="20">
        <f>SUM(Table2PRN!G2619)</f>
        <v>11</v>
      </c>
      <c r="V42" s="20">
        <f>SUM(Table2PRN!G2409)</f>
        <v>12</v>
      </c>
      <c r="W42" s="20">
        <f>U42+V42</f>
        <v>23</v>
      </c>
      <c r="Y42" s="20">
        <f>AK9+SUM(AK15:AK18)+SUM(AK20:AK28)+SUM(AK30:AK35)</f>
        <v>120830.16480190745</v>
      </c>
      <c r="AP42" s="7" t="s">
        <v>302</v>
      </c>
      <c r="AQ42" s="1108">
        <f>SUM(Table2PRN!G5349)</f>
        <v>29</v>
      </c>
      <c r="AR42" s="20">
        <f>SUM(Table2PRN!G5769)</f>
        <v>113</v>
      </c>
      <c r="AS42" s="2">
        <f>SUM(Table2PRN!G5559)</f>
        <v>82</v>
      </c>
      <c r="AT42" s="20">
        <f>AR42+AS42</f>
        <v>195</v>
      </c>
      <c r="AU42" s="1108">
        <f>SUM(Table2PRN!G5979)</f>
        <v>618</v>
      </c>
      <c r="AV42" s="20">
        <f>SUM(Table2PRN!G6399)</f>
        <v>996</v>
      </c>
      <c r="AW42" s="20">
        <f>SUM(Table2PRN!G6189)</f>
        <v>619</v>
      </c>
      <c r="AX42" s="20">
        <f>AV42+AW42</f>
        <v>1615</v>
      </c>
      <c r="AZ42" s="811" t="s">
        <v>300</v>
      </c>
      <c r="BA42" s="90">
        <f>SUM(Table2PRN!G8708)</f>
        <v>2</v>
      </c>
      <c r="BB42" s="754">
        <f>Table2PRN!G8918</f>
        <v>6</v>
      </c>
      <c r="BC42" s="817">
        <f>SUM(StockSumPRN!$H$96:$I$96)</f>
        <v>31</v>
      </c>
      <c r="BD42" s="30">
        <f>SUM(StockSumPRN!F96:G96)</f>
        <v>1082</v>
      </c>
      <c r="BE42" s="30">
        <f>SUM(StockSumPRN!J301:K301)</f>
        <v>60</v>
      </c>
      <c r="BF42" s="30">
        <f>SUM(StockSumPRN!H711:I711)</f>
        <v>7</v>
      </c>
      <c r="BG42" s="30">
        <f>SUM(StockSumPRN!$D$711:$E$711)</f>
        <v>2</v>
      </c>
      <c r="BH42" s="30">
        <f>SUM(StockSumPRN!J1941:K1941)</f>
        <v>16</v>
      </c>
      <c r="BI42" s="30">
        <f>SUM(StockSumPRN!F1941:G1941)</f>
        <v>80</v>
      </c>
      <c r="BJ42" s="30">
        <f>SUM(StockSumPRN!D1736:E1736)</f>
        <v>34</v>
      </c>
      <c r="BK42" s="30">
        <f>SUM(StockSumPRN!D1531:E1531)</f>
        <v>22</v>
      </c>
      <c r="BL42" s="30">
        <f>SUM(StockSumPRN!H1326:I1326)</f>
        <v>18</v>
      </c>
      <c r="BM42" s="30">
        <f>SUM(StockSumPRN!$H$1121:$I$1121)</f>
        <v>13</v>
      </c>
      <c r="BN42" s="30">
        <f>SUM(StockSumPRN!$H$916:$I$916)</f>
        <v>24</v>
      </c>
      <c r="BO42" s="30">
        <f>SUM(StockSumPRN!J2146:K2146)</f>
        <v>12</v>
      </c>
      <c r="BP42" s="30">
        <f>SUM(StockSumPRN!D2351:E2351)</f>
        <v>4</v>
      </c>
      <c r="BQ42" s="20"/>
      <c r="BR42" s="20"/>
      <c r="BS42" s="20"/>
      <c r="BT42" s="20"/>
      <c r="BU42" s="1050"/>
      <c r="BV42" s="1050"/>
      <c r="BW42" s="1050"/>
    </row>
    <row r="43" spans="1:75" x14ac:dyDescent="0.2">
      <c r="A43" s="7" t="s">
        <v>303</v>
      </c>
      <c r="B43" s="1108">
        <f>SUM(Table2PRN!G6811)</f>
        <v>0</v>
      </c>
      <c r="C43" s="20">
        <f>SUM(Table2PRN!G6601)</f>
        <v>0</v>
      </c>
      <c r="D43" s="20">
        <f>B43+C43</f>
        <v>0</v>
      </c>
      <c r="E43" s="1108">
        <f>SUM(Table2PRN!G91)</f>
        <v>0</v>
      </c>
      <c r="F43" s="20">
        <f>SUM(Table2PRN!G511)</f>
        <v>0</v>
      </c>
      <c r="G43" s="20">
        <f>SUM(Table2PRN!G301)</f>
        <v>0</v>
      </c>
      <c r="H43" s="20">
        <f>F43+G43</f>
        <v>0</v>
      </c>
      <c r="I43" s="1108">
        <f>SUM(Table2PRN!G721)</f>
        <v>0</v>
      </c>
      <c r="J43" s="1335">
        <f>SUM(Table2PRN!G931)</f>
        <v>0</v>
      </c>
      <c r="K43" s="20">
        <f>SUM(Table2PRN!G1351)</f>
        <v>0</v>
      </c>
      <c r="L43" s="20">
        <f>SUM(Table2PRN!G1141)</f>
        <v>0</v>
      </c>
      <c r="M43" s="20">
        <f>K43+L43</f>
        <v>0</v>
      </c>
      <c r="O43" s="7" t="s">
        <v>303</v>
      </c>
      <c r="P43" s="1108">
        <f>SUM(Table2PRN!G1561)</f>
        <v>0</v>
      </c>
      <c r="Q43" s="20">
        <f>SUM(Table2PRN!G1981)</f>
        <v>0</v>
      </c>
      <c r="R43" s="20">
        <f>SUM(Table2PRN!G1771)</f>
        <v>0</v>
      </c>
      <c r="S43" s="20">
        <f>Q43+R43</f>
        <v>0</v>
      </c>
      <c r="T43" s="1108">
        <f>SUM(Table2PRN!G2191)</f>
        <v>0</v>
      </c>
      <c r="U43" s="20">
        <f>SUM(Table2PRN!G2611)</f>
        <v>0</v>
      </c>
      <c r="V43" s="20">
        <f>SUM(Table2PRN!G2401)</f>
        <v>0</v>
      </c>
      <c r="W43" s="20">
        <f>U43+V43</f>
        <v>0</v>
      </c>
      <c r="Y43" s="2" t="s">
        <v>304</v>
      </c>
      <c r="AP43" s="7" t="s">
        <v>303</v>
      </c>
      <c r="AQ43" s="1108">
        <f>SUM(Table2PRN!G5341)</f>
        <v>0</v>
      </c>
      <c r="AR43" s="20">
        <f>SUM(Table2PRN!G5761)</f>
        <v>0</v>
      </c>
      <c r="AS43" s="2">
        <f>SUM(Table2PRN!G5551)</f>
        <v>0</v>
      </c>
      <c r="AT43" s="20">
        <f>AR43+AS43</f>
        <v>0</v>
      </c>
      <c r="AU43" s="1108">
        <f>SUM(Table2PRN!G5971)</f>
        <v>0</v>
      </c>
      <c r="AV43" s="20">
        <f>SUM(Table2PRN!G6391)</f>
        <v>0</v>
      </c>
      <c r="AW43" s="20">
        <f>SUM(Table2PRN!G6181)</f>
        <v>0</v>
      </c>
      <c r="AX43" s="20">
        <f>AV43+AW43</f>
        <v>0</v>
      </c>
      <c r="AZ43" s="811" t="s">
        <v>302</v>
      </c>
      <c r="BA43" s="90">
        <f>SUM(Table2PRN!G8709)</f>
        <v>1</v>
      </c>
      <c r="BB43" s="754">
        <f>Table2PRN!G8919</f>
        <v>4</v>
      </c>
      <c r="BC43" s="817">
        <f>SUM(StockSumPRN!$H$97:$I$97)</f>
        <v>23</v>
      </c>
      <c r="BD43" s="30">
        <f>SUM(StockSumPRN!F97:G97)</f>
        <v>787</v>
      </c>
      <c r="BE43" s="30">
        <f>SUM(StockSumPRN!J302:K302)</f>
        <v>43</v>
      </c>
      <c r="BF43" s="30">
        <f>SUM(StockSumPRN!H712:I712)</f>
        <v>5</v>
      </c>
      <c r="BG43" s="30">
        <f>SUM(StockSumPRN!$D$712:$E$712)</f>
        <v>1</v>
      </c>
      <c r="BH43" s="30">
        <f>SUM(StockSumPRN!J1942:K1942)</f>
        <v>9</v>
      </c>
      <c r="BI43" s="30">
        <f>SUM(StockSumPRN!F1942:G1942)</f>
        <v>67</v>
      </c>
      <c r="BJ43" s="30">
        <f>SUM(StockSumPRN!D1737:E1737)</f>
        <v>21</v>
      </c>
      <c r="BK43" s="30">
        <f>SUM(StockSumPRN!D1532:E1532)</f>
        <v>13</v>
      </c>
      <c r="BL43" s="30">
        <f>SUM(StockSumPRN!H1327:I1327)</f>
        <v>10</v>
      </c>
      <c r="BM43" s="30">
        <f>SUM(StockSumPRN!$H$1122:$I$1122)</f>
        <v>9</v>
      </c>
      <c r="BN43" s="30">
        <f>SUM(StockSumPRN!$H$917:$I$917)</f>
        <v>17</v>
      </c>
      <c r="BO43" s="30">
        <f>SUM(StockSumPRN!J2147:K2147)</f>
        <v>9</v>
      </c>
      <c r="BP43" s="30">
        <f>SUM(StockSumPRN!D2352:E2352)</f>
        <v>3</v>
      </c>
    </row>
    <row r="44" spans="1:75" x14ac:dyDescent="0.2">
      <c r="A44" s="7" t="s">
        <v>305</v>
      </c>
      <c r="B44" s="1108">
        <f>SUM(Table2PRN!G6812)</f>
        <v>1290</v>
      </c>
      <c r="C44" s="20">
        <f>SUM(Table2PRN!G6602)</f>
        <v>1595</v>
      </c>
      <c r="D44" s="20">
        <f>B44+C44</f>
        <v>2885</v>
      </c>
      <c r="E44" s="1108">
        <f>SUM(Table2PRN!G92)</f>
        <v>185</v>
      </c>
      <c r="F44" s="20">
        <f>SUM(Table2PRN!G512)</f>
        <v>38</v>
      </c>
      <c r="G44" s="20">
        <f>SUM(Table2PRN!G302)</f>
        <v>189</v>
      </c>
      <c r="H44" s="20">
        <f>F44+G44</f>
        <v>227</v>
      </c>
      <c r="I44" s="1108">
        <f>SUM(Table2PRN!G722)</f>
        <v>34</v>
      </c>
      <c r="J44" s="1335">
        <f>SUM(Table2PRN!G932)</f>
        <v>89</v>
      </c>
      <c r="K44" s="20">
        <f>SUM(Table2PRN!G1352)</f>
        <v>22</v>
      </c>
      <c r="L44" s="20">
        <f>SUM(Table2PRN!G1142)</f>
        <v>127</v>
      </c>
      <c r="M44" s="20">
        <f>K44+L44</f>
        <v>149</v>
      </c>
      <c r="O44" s="7" t="s">
        <v>305</v>
      </c>
      <c r="P44" s="1108">
        <f>SUM(Table2PRN!G1562)</f>
        <v>126</v>
      </c>
      <c r="Q44" s="20">
        <f>SUM(Table2PRN!G1982)</f>
        <v>266</v>
      </c>
      <c r="R44" s="20">
        <f>SUM(Table2PRN!G1772)</f>
        <v>171</v>
      </c>
      <c r="S44" s="20">
        <f>Q44+R44</f>
        <v>437</v>
      </c>
      <c r="T44" s="1108">
        <f>SUM(Table2PRN!G2192)</f>
        <v>195</v>
      </c>
      <c r="U44" s="20">
        <f>SUM(Table2PRN!G2612)</f>
        <v>243</v>
      </c>
      <c r="V44" s="20">
        <f>SUM(Table2PRN!G2402)</f>
        <v>259</v>
      </c>
      <c r="W44" s="20">
        <f>U44+V44</f>
        <v>502</v>
      </c>
      <c r="Y44" s="2" t="s">
        <v>306</v>
      </c>
      <c r="AP44" s="7" t="s">
        <v>305</v>
      </c>
      <c r="AQ44" s="1108">
        <f>SUM(Table2PRN!G5342)</f>
        <v>60</v>
      </c>
      <c r="AR44" s="20">
        <f>SUM(Table2PRN!G5762)</f>
        <v>237</v>
      </c>
      <c r="AS44" s="2">
        <f>SUM(Table2PRN!G5552)</f>
        <v>186</v>
      </c>
      <c r="AT44" s="20">
        <f>AR44+AS44</f>
        <v>423</v>
      </c>
      <c r="AU44" s="1108">
        <f>SUM(Table2PRN!G5972)</f>
        <v>36</v>
      </c>
      <c r="AV44" s="20">
        <f>SUM(Table2PRN!G6392)</f>
        <v>60</v>
      </c>
      <c r="AW44" s="20">
        <f>SUM(Table2PRN!G6182)</f>
        <v>36</v>
      </c>
      <c r="AX44" s="20">
        <f>AV44+AW44</f>
        <v>96</v>
      </c>
      <c r="AZ44" s="811" t="s">
        <v>303</v>
      </c>
      <c r="BA44" s="90">
        <f>Table2PRN!G8701</f>
        <v>0</v>
      </c>
      <c r="BB44" s="754">
        <f>Table2PRN!G8911</f>
        <v>0</v>
      </c>
      <c r="BC44" s="817">
        <f>SUM(StockSumPRN!$H$89:$I$89)</f>
        <v>0</v>
      </c>
      <c r="BD44" s="30">
        <f>SUM(StockSumPRN!F89:G89)</f>
        <v>0</v>
      </c>
      <c r="BE44" s="30">
        <f>SUM(StockSumPRN!J294:K294)</f>
        <v>0</v>
      </c>
      <c r="BF44" s="30">
        <f>SUM(StockSumPRN!H704:I704)</f>
        <v>0</v>
      </c>
      <c r="BG44" s="30">
        <f>SUM(StockSumPRN!$D$704:$E$704)</f>
        <v>0</v>
      </c>
      <c r="BH44" s="30">
        <f>SUM(StockSumPRN!J1934:K1934)</f>
        <v>0</v>
      </c>
      <c r="BI44" s="30">
        <f>SUM(StockSumPRN!F1934:G1934)</f>
        <v>0</v>
      </c>
      <c r="BJ44" s="30">
        <f>SUM(StockSumPRN!D1729:E1729)</f>
        <v>0</v>
      </c>
      <c r="BK44" s="30">
        <f>SUM(StockSumPRN!D1524:E1524)</f>
        <v>0</v>
      </c>
      <c r="BL44" s="30">
        <f>SUM(StockSumPRN!H1319:I1319)</f>
        <v>0</v>
      </c>
      <c r="BM44" s="30">
        <f>SUM(StockSumPRN!$H$1114:$I$1114)</f>
        <v>0</v>
      </c>
      <c r="BN44" s="30">
        <f>SUM(StockSumPRN!$H$909:$I$909)</f>
        <v>0</v>
      </c>
      <c r="BO44" s="30">
        <f>SUM(StockSumPRN!J2139:K2139)</f>
        <v>0</v>
      </c>
      <c r="BP44" s="30">
        <f>SUM(StockSumPRN!D2344:E2344)</f>
        <v>0</v>
      </c>
      <c r="BQ44" s="20"/>
      <c r="BR44" s="20"/>
      <c r="BS44" s="20"/>
      <c r="BT44" s="20"/>
      <c r="BU44" s="20"/>
      <c r="BV44" s="20"/>
      <c r="BW44" s="20"/>
    </row>
    <row r="45" spans="1:75" x14ac:dyDescent="0.2">
      <c r="A45" s="7"/>
      <c r="B45" s="1108">
        <v>0</v>
      </c>
      <c r="C45" s="20">
        <v>0</v>
      </c>
      <c r="D45" s="20">
        <v>0</v>
      </c>
      <c r="E45" s="760" t="s">
        <v>294</v>
      </c>
      <c r="F45" s="20">
        <v>0</v>
      </c>
      <c r="G45" s="20">
        <v>0</v>
      </c>
      <c r="H45" s="20">
        <v>0</v>
      </c>
      <c r="I45" s="760" t="s">
        <v>294</v>
      </c>
      <c r="J45" s="1089" t="s">
        <v>294</v>
      </c>
      <c r="K45" s="20">
        <v>0</v>
      </c>
      <c r="L45" s="20">
        <v>0</v>
      </c>
      <c r="M45" s="20">
        <v>0</v>
      </c>
      <c r="O45" s="7" t="s">
        <v>307</v>
      </c>
      <c r="P45" s="760" t="s">
        <v>294</v>
      </c>
      <c r="Q45" s="20">
        <v>0</v>
      </c>
      <c r="R45" s="20">
        <v>0</v>
      </c>
      <c r="S45" s="20">
        <v>0</v>
      </c>
      <c r="T45" s="760" t="s">
        <v>294</v>
      </c>
      <c r="U45" s="20">
        <v>0</v>
      </c>
      <c r="V45" s="20">
        <v>0</v>
      </c>
      <c r="W45" s="20">
        <v>0</v>
      </c>
      <c r="AP45" s="7"/>
      <c r="AQ45" s="760" t="s">
        <v>294</v>
      </c>
      <c r="AR45" s="1268" t="s">
        <v>294</v>
      </c>
      <c r="AS45" s="1268" t="s">
        <v>294</v>
      </c>
      <c r="AT45" s="1268" t="s">
        <v>294</v>
      </c>
      <c r="AU45" s="1510" t="s">
        <v>294</v>
      </c>
      <c r="AV45" s="1268" t="s">
        <v>294</v>
      </c>
      <c r="AW45" s="1268" t="s">
        <v>294</v>
      </c>
      <c r="AX45" s="1268" t="s">
        <v>294</v>
      </c>
      <c r="AZ45" s="811" t="s">
        <v>305</v>
      </c>
      <c r="BA45" s="90">
        <f>Table2PRN!G8702</f>
        <v>4</v>
      </c>
      <c r="BB45" s="754">
        <f>Table2PRN!G8912</f>
        <v>21</v>
      </c>
      <c r="BC45" s="817">
        <f>SUM(StockSumPRN!$H$90:$I$90)</f>
        <v>1</v>
      </c>
      <c r="BD45" s="30">
        <f>SUM(StockSumPRN!F90:G90)</f>
        <v>47</v>
      </c>
      <c r="BE45" s="30">
        <f>SUM(StockSumPRN!J295:K295)</f>
        <v>37</v>
      </c>
      <c r="BF45" s="30">
        <f>SUM(StockSumPRN!H705:I705)</f>
        <v>21</v>
      </c>
      <c r="BG45" s="30">
        <f>SUM(StockSumPRN!$D$705:$E$705)</f>
        <v>4</v>
      </c>
      <c r="BH45" s="30">
        <f>SUM(StockSumPRN!J1935:K1935)</f>
        <v>19</v>
      </c>
      <c r="BI45" s="30">
        <f>SUM(StockSumPRN!F1935:G1935)</f>
        <v>160</v>
      </c>
      <c r="BJ45" s="30">
        <f>SUM(StockSumPRN!D1730:E1730)</f>
        <v>49</v>
      </c>
      <c r="BK45" s="30">
        <f>SUM(StockSumPRN!D1525:E1525)</f>
        <v>29</v>
      </c>
      <c r="BL45" s="30">
        <f>SUM(StockSumPRN!H1320:I1320)</f>
        <v>23</v>
      </c>
      <c r="BM45" s="30">
        <f>SUM(StockSumPRN!$H$1115:$I$1115)</f>
        <v>81</v>
      </c>
      <c r="BN45" s="30">
        <f>SUM(StockSumPRN!$H$910:$I$910)</f>
        <v>207</v>
      </c>
      <c r="BO45" s="30">
        <f>SUM(StockSumPRN!J2140:K2140)</f>
        <v>201</v>
      </c>
      <c r="BP45" s="30">
        <f>SUM(StockSumPRN!D2345:E2345)</f>
        <v>56</v>
      </c>
      <c r="BQ45" s="20"/>
      <c r="BR45" s="20"/>
      <c r="BS45" s="20"/>
      <c r="BT45" s="20"/>
      <c r="BU45" s="20"/>
      <c r="BV45" s="20"/>
      <c r="BW45" s="20"/>
    </row>
    <row r="46" spans="1:75" x14ac:dyDescent="0.2">
      <c r="A46" s="7"/>
      <c r="B46" s="1108">
        <v>0</v>
      </c>
      <c r="C46" s="20">
        <v>0</v>
      </c>
      <c r="D46" s="20">
        <v>0</v>
      </c>
      <c r="E46" s="760" t="s">
        <v>294</v>
      </c>
      <c r="F46" s="20">
        <v>0</v>
      </c>
      <c r="G46" s="20">
        <v>0</v>
      </c>
      <c r="H46" s="20">
        <v>0</v>
      </c>
      <c r="I46" s="760" t="s">
        <v>294</v>
      </c>
      <c r="J46" s="1089" t="s">
        <v>294</v>
      </c>
      <c r="K46" s="20">
        <v>0</v>
      </c>
      <c r="L46" s="20">
        <v>0</v>
      </c>
      <c r="M46" s="20">
        <v>0</v>
      </c>
      <c r="O46" s="7" t="s">
        <v>308</v>
      </c>
      <c r="P46" s="760" t="s">
        <v>294</v>
      </c>
      <c r="Q46" s="20">
        <v>0</v>
      </c>
      <c r="R46" s="20">
        <v>0</v>
      </c>
      <c r="S46" s="20">
        <v>0</v>
      </c>
      <c r="T46" s="760" t="s">
        <v>294</v>
      </c>
      <c r="U46" s="20">
        <v>0</v>
      </c>
      <c r="V46" s="20">
        <v>0</v>
      </c>
      <c r="W46" s="20">
        <v>0</v>
      </c>
      <c r="Y46" s="6" t="s">
        <v>125</v>
      </c>
      <c r="Z46" s="6" t="s">
        <v>125</v>
      </c>
      <c r="AA46" s="6" t="s">
        <v>125</v>
      </c>
      <c r="AB46" s="6" t="s">
        <v>125</v>
      </c>
      <c r="AC46" s="6" t="s">
        <v>125</v>
      </c>
      <c r="AD46" s="6" t="s">
        <v>125</v>
      </c>
      <c r="AE46" s="6" t="s">
        <v>125</v>
      </c>
      <c r="AF46" s="6" t="s">
        <v>125</v>
      </c>
      <c r="AG46" s="6" t="s">
        <v>125</v>
      </c>
      <c r="AH46" s="6" t="s">
        <v>125</v>
      </c>
      <c r="AI46" s="6" t="s">
        <v>125</v>
      </c>
      <c r="AJ46" s="6" t="s">
        <v>125</v>
      </c>
      <c r="AK46" s="6" t="s">
        <v>125</v>
      </c>
      <c r="AL46" s="6" t="s">
        <v>125</v>
      </c>
      <c r="AM46" s="6" t="s">
        <v>125</v>
      </c>
      <c r="AN46" s="6" t="s">
        <v>125</v>
      </c>
      <c r="AP46" s="7"/>
      <c r="AQ46" s="760" t="s">
        <v>294</v>
      </c>
      <c r="AR46" s="1268" t="s">
        <v>294</v>
      </c>
      <c r="AS46" s="1268" t="s">
        <v>294</v>
      </c>
      <c r="AT46" s="1268" t="s">
        <v>294</v>
      </c>
      <c r="AU46" s="1510" t="s">
        <v>294</v>
      </c>
      <c r="AV46" s="1268" t="s">
        <v>294</v>
      </c>
      <c r="AW46" s="1268" t="s">
        <v>294</v>
      </c>
      <c r="AX46" s="1268" t="s">
        <v>294</v>
      </c>
      <c r="AZ46" s="215" t="s">
        <v>309</v>
      </c>
      <c r="BA46" s="756" t="s">
        <v>129</v>
      </c>
      <c r="BB46" s="756" t="s">
        <v>129</v>
      </c>
      <c r="BC46" s="810" t="s">
        <v>129</v>
      </c>
      <c r="BD46" s="756" t="s">
        <v>129</v>
      </c>
      <c r="BE46" s="756" t="s">
        <v>129</v>
      </c>
      <c r="BF46" s="756" t="s">
        <v>129</v>
      </c>
      <c r="BG46" s="756" t="s">
        <v>129</v>
      </c>
      <c r="BH46" s="756" t="s">
        <v>129</v>
      </c>
      <c r="BI46" s="756" t="s">
        <v>129</v>
      </c>
      <c r="BJ46" s="756" t="s">
        <v>129</v>
      </c>
      <c r="BK46" s="756" t="s">
        <v>129</v>
      </c>
      <c r="BL46" s="756" t="s">
        <v>129</v>
      </c>
      <c r="BM46" s="756" t="s">
        <v>129</v>
      </c>
      <c r="BN46" s="756" t="s">
        <v>129</v>
      </c>
      <c r="BO46" s="756" t="s">
        <v>129</v>
      </c>
      <c r="BP46" s="756" t="s">
        <v>129</v>
      </c>
      <c r="BQ46" s="20"/>
      <c r="BR46" s="20"/>
      <c r="BS46" s="20"/>
      <c r="BT46" s="20"/>
      <c r="BU46" s="1050"/>
      <c r="BV46" s="1050"/>
      <c r="BW46" s="1050"/>
    </row>
    <row r="47" spans="1:75" x14ac:dyDescent="0.2">
      <c r="A47" s="2" t="s">
        <v>309</v>
      </c>
      <c r="B47" s="1500" t="s">
        <v>129</v>
      </c>
      <c r="C47" s="1501" t="s">
        <v>129</v>
      </c>
      <c r="D47" s="1501" t="s">
        <v>129</v>
      </c>
      <c r="E47" s="1500" t="s">
        <v>129</v>
      </c>
      <c r="F47" s="1501" t="s">
        <v>129</v>
      </c>
      <c r="G47" s="1501" t="s">
        <v>129</v>
      </c>
      <c r="H47" s="1501" t="s">
        <v>129</v>
      </c>
      <c r="I47" s="1500" t="s">
        <v>129</v>
      </c>
      <c r="J47" s="1502" t="s">
        <v>129</v>
      </c>
      <c r="K47" s="1501" t="s">
        <v>129</v>
      </c>
      <c r="L47" s="1501" t="s">
        <v>129</v>
      </c>
      <c r="M47" s="1501" t="s">
        <v>129</v>
      </c>
      <c r="O47" s="2" t="s">
        <v>309</v>
      </c>
      <c r="P47" s="1500" t="s">
        <v>129</v>
      </c>
      <c r="Q47" s="1501" t="s">
        <v>129</v>
      </c>
      <c r="R47" s="1501" t="s">
        <v>129</v>
      </c>
      <c r="S47" s="1501" t="s">
        <v>129</v>
      </c>
      <c r="T47" s="1500" t="s">
        <v>129</v>
      </c>
      <c r="U47" s="1501" t="s">
        <v>129</v>
      </c>
      <c r="V47" s="1501" t="s">
        <v>129</v>
      </c>
      <c r="W47" s="1501" t="s">
        <v>129</v>
      </c>
      <c r="Y47" s="7" t="s">
        <v>310</v>
      </c>
      <c r="Z47" s="30">
        <f>SUM(Z37:Z39)</f>
        <v>3794.0079508711769</v>
      </c>
      <c r="AA47" s="30">
        <f>SUM(AA37:AA39)</f>
        <v>1734.8813597550693</v>
      </c>
      <c r="AC47" s="7" t="s">
        <v>310</v>
      </c>
      <c r="AD47" s="7" t="s">
        <v>310</v>
      </c>
      <c r="AE47" s="30">
        <f>SUM(AE37:AE39)</f>
        <v>3540.6546644539612</v>
      </c>
      <c r="AF47" s="30"/>
      <c r="AG47" s="30"/>
      <c r="AI47" s="7" t="s">
        <v>310</v>
      </c>
      <c r="AJ47" s="7" t="s">
        <v>310</v>
      </c>
      <c r="AK47" s="30">
        <f>SUM(AK37:AK39)</f>
        <v>50899.59978266753</v>
      </c>
      <c r="AL47" s="30"/>
      <c r="AM47" s="30"/>
      <c r="AN47" s="629">
        <f>SUM(AN37:AN39)</f>
        <v>70738.669889943674</v>
      </c>
      <c r="AP47" s="2" t="s">
        <v>309</v>
      </c>
      <c r="AQ47" s="1500" t="s">
        <v>129</v>
      </c>
      <c r="AR47" s="1501" t="s">
        <v>129</v>
      </c>
      <c r="AS47" s="1501" t="s">
        <v>129</v>
      </c>
      <c r="AT47" s="1501" t="s">
        <v>129</v>
      </c>
      <c r="AU47" s="1500" t="s">
        <v>129</v>
      </c>
      <c r="AV47" s="1501" t="s">
        <v>129</v>
      </c>
      <c r="AW47" s="1501" t="s">
        <v>129</v>
      </c>
      <c r="AX47" s="1501" t="s">
        <v>129</v>
      </c>
      <c r="AZ47" s="811" t="s">
        <v>311</v>
      </c>
      <c r="BA47" s="90">
        <f>Table2PRN!G8722</f>
        <v>0</v>
      </c>
      <c r="BB47" s="754">
        <f>Table2PRN!G8932</f>
        <v>0</v>
      </c>
      <c r="BC47" s="817">
        <f>SUM(StockSumPRN!$H$110:$I$110)</f>
        <v>0</v>
      </c>
      <c r="BD47" s="30">
        <f>SUM(StockSumPRN!F110:G110)</f>
        <v>0</v>
      </c>
      <c r="BE47" s="30">
        <f>SUM(StockSumPRN!J315:K315)</f>
        <v>0</v>
      </c>
      <c r="BF47" s="30">
        <f>SUM(StockSumPRN!H725:I725)</f>
        <v>0</v>
      </c>
      <c r="BG47" s="30">
        <f>SUM(StockSumPRN!$D$725:$E$725)</f>
        <v>0</v>
      </c>
      <c r="BH47" s="30">
        <f>SUM(StockSumPRN!J1955:K1955)</f>
        <v>0</v>
      </c>
      <c r="BI47" s="30">
        <f>SUM(StockSumPRN!F1955:G1955)</f>
        <v>0</v>
      </c>
      <c r="BJ47" s="30">
        <f>SUM(StockSumPRN!D1750:E1750)</f>
        <v>0</v>
      </c>
      <c r="BK47" s="30">
        <f>SUM(StockSumPRN!D1545:E1545)</f>
        <v>0</v>
      </c>
      <c r="BL47" s="30">
        <f>SUM(StockSumPRN!H1340:I1340)</f>
        <v>0</v>
      </c>
      <c r="BM47" s="809">
        <f>SUM(StockSumPRN!$H$1135:$I$1135)</f>
        <v>0</v>
      </c>
      <c r="BN47" s="30">
        <f>SUM(StockSumPRN!$H$930:$I$930)</f>
        <v>0</v>
      </c>
      <c r="BO47" s="30">
        <f>SUM(StockSumPRN!J2160:K2160)</f>
        <v>0</v>
      </c>
      <c r="BP47" s="30">
        <f>SUM(StockSumPRN!D2365:E2365)</f>
        <v>0</v>
      </c>
      <c r="BQ47" s="20"/>
      <c r="BR47" s="20"/>
      <c r="BS47" s="20"/>
      <c r="BT47" s="20"/>
      <c r="BU47" s="1050"/>
      <c r="BV47" s="1050"/>
      <c r="BW47" s="1050"/>
    </row>
    <row r="48" spans="1:75" x14ac:dyDescent="0.2">
      <c r="A48" s="7" t="s">
        <v>311</v>
      </c>
      <c r="B48" s="1108">
        <f>SUM(Table2PRN!G6832)</f>
        <v>0</v>
      </c>
      <c r="C48" s="20">
        <f>SUM(Table2PRN!G6622)</f>
        <v>0</v>
      </c>
      <c r="D48" s="20">
        <f t="shared" ref="D48:D57" si="25">B48+C48</f>
        <v>0</v>
      </c>
      <c r="E48" s="1108">
        <f>SUM(Table2PRN!G112)</f>
        <v>0</v>
      </c>
      <c r="F48" s="20">
        <f>SUM(Table2PRN!G532)</f>
        <v>0</v>
      </c>
      <c r="G48" s="20">
        <f>SUM(Table2PRN!G322)</f>
        <v>0</v>
      </c>
      <c r="H48" s="20">
        <f t="shared" ref="H48:H59" si="26">F48+G48</f>
        <v>0</v>
      </c>
      <c r="I48" s="1108">
        <f>SUM(Table2PRN!G742)</f>
        <v>0</v>
      </c>
      <c r="J48" s="1335">
        <f>SUM(Table2PRN!G952)</f>
        <v>0</v>
      </c>
      <c r="K48" s="20">
        <f>SUM(Table2PRN!G1372)</f>
        <v>0</v>
      </c>
      <c r="L48" s="20">
        <f>SUM(Table2PRN!G1162)</f>
        <v>0</v>
      </c>
      <c r="M48" s="20">
        <f t="shared" ref="M48:M60" si="27">K48+L48</f>
        <v>0</v>
      </c>
      <c r="O48" s="7" t="s">
        <v>311</v>
      </c>
      <c r="P48" s="1108">
        <f>SUM(Table2PRN!G1582)</f>
        <v>0</v>
      </c>
      <c r="Q48" s="20">
        <f>SUM(Table2PRN!G2002)</f>
        <v>0</v>
      </c>
      <c r="R48" s="20">
        <f>SUM(Table2PRN!G1792)</f>
        <v>0</v>
      </c>
      <c r="S48" s="20">
        <f t="shared" ref="S48:S60" si="28">Q48+R48</f>
        <v>0</v>
      </c>
      <c r="T48" s="1108">
        <f>SUM(Table2PRN!G2212)</f>
        <v>0</v>
      </c>
      <c r="U48" s="20">
        <f>SUM(Table2PRN!G2632)</f>
        <v>0</v>
      </c>
      <c r="V48" s="20">
        <f>SUM(Table2PRN!G2422)</f>
        <v>0</v>
      </c>
      <c r="W48" s="20">
        <f t="shared" ref="W48:W60" si="29">U48+V48</f>
        <v>0</v>
      </c>
      <c r="Y48" s="7" t="s">
        <v>312</v>
      </c>
      <c r="Z48" s="1331">
        <f>Z9-Z47</f>
        <v>7842.0901027430191</v>
      </c>
      <c r="AA48" s="1331">
        <f>AA9-AA47</f>
        <v>2187.2435594347457</v>
      </c>
      <c r="AC48" s="7" t="s">
        <v>312</v>
      </c>
      <c r="AD48" s="2" t="s">
        <v>312</v>
      </c>
      <c r="AE48" s="1331">
        <f>AE9-AE47</f>
        <v>11672.863959568249</v>
      </c>
      <c r="AF48" s="30"/>
      <c r="AG48" s="30"/>
      <c r="AI48" s="7" t="s">
        <v>312</v>
      </c>
      <c r="AJ48" s="2" t="s">
        <v>312</v>
      </c>
      <c r="AK48" s="1331">
        <f>AK9-AK47</f>
        <v>60209.565019239919</v>
      </c>
      <c r="AN48" s="1331">
        <f>AN9-AN47</f>
        <v>105725.4554357304</v>
      </c>
      <c r="AP48" s="7" t="s">
        <v>311</v>
      </c>
      <c r="AQ48" s="1108">
        <f>SUM(Table2PRN!G5362)</f>
        <v>0</v>
      </c>
      <c r="AR48" s="20">
        <f>SUM(Table2PRN!G5782)</f>
        <v>0</v>
      </c>
      <c r="AS48" s="2">
        <f>SUM(Table2PRN!G5572)</f>
        <v>0</v>
      </c>
      <c r="AT48" s="20">
        <f t="shared" ref="AT48:AT57" si="30">AR48+AS48</f>
        <v>0</v>
      </c>
      <c r="AU48" s="1108">
        <f>SUM(Table2PRN!G5992)</f>
        <v>0</v>
      </c>
      <c r="AV48" s="20">
        <f>SUM(Table2PRN!G6412)</f>
        <v>0</v>
      </c>
      <c r="AW48" s="20">
        <f>SUM(Table2PRN!G6202)</f>
        <v>0</v>
      </c>
      <c r="AX48" s="20">
        <f t="shared" ref="AX48:AX57" si="31">AV48+AW48</f>
        <v>0</v>
      </c>
      <c r="AZ48" s="811" t="s">
        <v>313</v>
      </c>
      <c r="BA48" s="90">
        <f>Table2PRN!G8723</f>
        <v>0</v>
      </c>
      <c r="BB48" s="754">
        <f>Table2PRN!G8933</f>
        <v>0</v>
      </c>
      <c r="BC48" s="817">
        <f>SUM(StockSumPRN!$H$111:$I$111)</f>
        <v>0</v>
      </c>
      <c r="BD48" s="30">
        <f>SUM(StockSumPRN!F111:G111)</f>
        <v>3</v>
      </c>
      <c r="BE48" s="30">
        <f>SUM(StockSumPRN!J316:K316)</f>
        <v>122</v>
      </c>
      <c r="BF48" s="30">
        <f>SUM(StockSumPRN!H726:I726)</f>
        <v>0</v>
      </c>
      <c r="BG48" s="30">
        <f>SUM(StockSumPRN!$D$726:$E$726)</f>
        <v>0</v>
      </c>
      <c r="BH48" s="30">
        <f>SUM(StockSumPRN!J1956:K1956)</f>
        <v>0</v>
      </c>
      <c r="BI48" s="30">
        <f>SUM(StockSumPRN!F1956:G1956)</f>
        <v>0</v>
      </c>
      <c r="BJ48" s="30">
        <f>SUM(StockSumPRN!D1751:E1751)</f>
        <v>0</v>
      </c>
      <c r="BK48" s="30">
        <f>SUM(StockSumPRN!D1546:E1546)</f>
        <v>0</v>
      </c>
      <c r="BL48" s="30">
        <f>SUM(StockSumPRN!H1341:I1341)</f>
        <v>0</v>
      </c>
      <c r="BM48" s="809">
        <f>SUM(StockSumPRN!$H$1136:$I$1136)</f>
        <v>0</v>
      </c>
      <c r="BN48" s="30">
        <f>SUM(StockSumPRN!$H$931:$I$931)</f>
        <v>0</v>
      </c>
      <c r="BO48" s="30">
        <f>SUM(StockSumPRN!J2161:K2161)</f>
        <v>0</v>
      </c>
      <c r="BP48" s="30">
        <f>SUM(StockSumPRN!D2366:E2366)</f>
        <v>0</v>
      </c>
    </row>
    <row r="49" spans="1:75" x14ac:dyDescent="0.2">
      <c r="A49" s="7" t="s">
        <v>313</v>
      </c>
      <c r="B49" s="1108">
        <f>SUM(Table2PRN!G6833)</f>
        <v>127</v>
      </c>
      <c r="C49" s="20">
        <f>SUM(Table2PRN!G6623)</f>
        <v>520</v>
      </c>
      <c r="D49" s="20">
        <f t="shared" si="25"/>
        <v>647</v>
      </c>
      <c r="E49" s="1108">
        <f>SUM(Table2PRN!G113)</f>
        <v>500</v>
      </c>
      <c r="F49" s="20">
        <f>SUM(Table2PRN!G533)</f>
        <v>121</v>
      </c>
      <c r="G49" s="20">
        <f>SUM(Table2PRN!G323)</f>
        <v>512</v>
      </c>
      <c r="H49" s="20">
        <f t="shared" si="26"/>
        <v>633</v>
      </c>
      <c r="I49" s="1108">
        <f>SUM(Table2PRN!G743)</f>
        <v>1</v>
      </c>
      <c r="J49" s="1335">
        <f>SUM(Table2PRN!G953)</f>
        <v>2</v>
      </c>
      <c r="K49" s="20">
        <f>SUM(Table2PRN!G1373)</f>
        <v>0</v>
      </c>
      <c r="L49" s="20">
        <f>SUM(Table2PRN!G1163)</f>
        <v>3</v>
      </c>
      <c r="M49" s="20">
        <f t="shared" si="27"/>
        <v>3</v>
      </c>
      <c r="O49" s="7" t="s">
        <v>313</v>
      </c>
      <c r="P49" s="1108">
        <f>SUM(Table2PRN!G1583)</f>
        <v>0</v>
      </c>
      <c r="Q49" s="20">
        <f>SUM(Table2PRN!G2003)</f>
        <v>1</v>
      </c>
      <c r="R49" s="20">
        <f>SUM(Table2PRN!G1793)</f>
        <v>0</v>
      </c>
      <c r="S49" s="20">
        <f t="shared" si="28"/>
        <v>1</v>
      </c>
      <c r="T49" s="1108">
        <f>SUM(Table2PRN!G2213)</f>
        <v>0</v>
      </c>
      <c r="U49" s="20">
        <f>SUM(Table2PRN!G2633)</f>
        <v>0</v>
      </c>
      <c r="V49" s="20">
        <f>SUM(Table2PRN!G2423)</f>
        <v>0</v>
      </c>
      <c r="W49" s="20">
        <f t="shared" si="29"/>
        <v>0</v>
      </c>
      <c r="AE49" s="30">
        <f>SUM(AE38:AE39,AE9)</f>
        <v>18754.173288476173</v>
      </c>
      <c r="AI49" s="7" t="s">
        <v>314</v>
      </c>
      <c r="AK49" s="20">
        <f>SUM(AK9,AK15:AK35)</f>
        <v>120830.16480190745</v>
      </c>
      <c r="AL49" s="20"/>
      <c r="AM49" s="20"/>
      <c r="AN49" s="20">
        <f>SUM(AN9,AN15:AN35)</f>
        <v>199702.12532567407</v>
      </c>
      <c r="AO49" s="1511"/>
      <c r="AP49" s="7" t="s">
        <v>313</v>
      </c>
      <c r="AQ49" s="1108">
        <f>SUM(Table2PRN!G5363)</f>
        <v>0</v>
      </c>
      <c r="AR49" s="20">
        <f>SUM(Table2PRN!G5783)</f>
        <v>0</v>
      </c>
      <c r="AS49" s="2">
        <f>SUM(Table2PRN!G5573)</f>
        <v>0</v>
      </c>
      <c r="AT49" s="20">
        <f t="shared" si="30"/>
        <v>0</v>
      </c>
      <c r="AU49" s="1108">
        <f>SUM(Table2PRN!G5993)</f>
        <v>2</v>
      </c>
      <c r="AV49" s="20">
        <f>SUM(Table2PRN!G6413)</f>
        <v>4</v>
      </c>
      <c r="AW49" s="20">
        <f>SUM(Table2PRN!G6203)</f>
        <v>2</v>
      </c>
      <c r="AX49" s="20">
        <f t="shared" si="31"/>
        <v>6</v>
      </c>
      <c r="AZ49" s="811" t="s">
        <v>315</v>
      </c>
      <c r="BA49" s="90">
        <f>Table2PRN!G8730</f>
        <v>0</v>
      </c>
      <c r="BB49" s="754">
        <f>Table2PRN!G8940</f>
        <v>0</v>
      </c>
      <c r="BC49" s="817">
        <f>SUM(StockSumPRN!$H$118:$I$118)</f>
        <v>0</v>
      </c>
      <c r="BD49" s="30">
        <f>SUM(StockSumPRN!F118:G118)</f>
        <v>0</v>
      </c>
      <c r="BE49" s="30">
        <f>SUM(StockSumPRN!J323:K323)</f>
        <v>0</v>
      </c>
      <c r="BF49" s="30">
        <f>SUM(StockSumPRN!H733:I733)</f>
        <v>0</v>
      </c>
      <c r="BG49" s="30">
        <f>SUM(StockSumPRN!$D$733:$E$733)</f>
        <v>0</v>
      </c>
      <c r="BH49" s="30">
        <f>SUM(StockSumPRN!J1963:K1963)</f>
        <v>0</v>
      </c>
      <c r="BI49" s="30">
        <f>SUM(StockSumPRN!F1963:G1963)</f>
        <v>0</v>
      </c>
      <c r="BJ49" s="30">
        <f>SUM(StockSumPRN!D1758:E1758)</f>
        <v>0</v>
      </c>
      <c r="BK49" s="30">
        <f>SUM(StockSumPRN!D1553:E1553)</f>
        <v>0</v>
      </c>
      <c r="BL49" s="30">
        <f>SUM(StockSumPRN!H1348:I1348)</f>
        <v>0</v>
      </c>
      <c r="BM49" s="809">
        <f>SUM(StockSumPRN!$H$1143:$I$1143)</f>
        <v>0</v>
      </c>
      <c r="BN49" s="30">
        <f>SUM(StockSumPRN!$H$938:$I$938)</f>
        <v>0</v>
      </c>
      <c r="BO49" s="30">
        <f>SUM(StockSumPRN!J2168:K2168)</f>
        <v>0</v>
      </c>
      <c r="BP49" s="30">
        <f>SUM(StockSumPRN!D2373:E2373)</f>
        <v>0</v>
      </c>
      <c r="BQ49" s="20"/>
      <c r="BR49" s="20"/>
      <c r="BS49" s="20"/>
      <c r="BT49" s="20"/>
      <c r="BU49" s="20"/>
      <c r="BV49" s="20"/>
      <c r="BW49" s="20"/>
    </row>
    <row r="50" spans="1:75" x14ac:dyDescent="0.2">
      <c r="A50" s="7" t="s">
        <v>315</v>
      </c>
      <c r="B50" s="1108">
        <f>SUM(Table2PRN!G6840,Table2PRN!G6842)</f>
        <v>5</v>
      </c>
      <c r="C50" s="20">
        <f>SUM(Table2PRN!G6630)</f>
        <v>0</v>
      </c>
      <c r="D50" s="20">
        <f t="shared" si="25"/>
        <v>5</v>
      </c>
      <c r="E50" s="1108">
        <f>SUM(Table2PRN!G120,Table2PRN!G122)</f>
        <v>0</v>
      </c>
      <c r="F50" s="20">
        <f>SUM(Table2PRN!G540,Table2PRN!G542)</f>
        <v>0</v>
      </c>
      <c r="G50" s="20">
        <f>SUM(Table2PRN!G330,Table2PRN!G332)</f>
        <v>0</v>
      </c>
      <c r="H50" s="20">
        <f t="shared" si="26"/>
        <v>0</v>
      </c>
      <c r="I50" s="1108">
        <f>SUM(Table2PRN!G750)</f>
        <v>0</v>
      </c>
      <c r="J50" s="1335">
        <f>SUM(Table2PRN!G960)</f>
        <v>0</v>
      </c>
      <c r="K50" s="20">
        <f>SUM(Table2PRN!G1380)</f>
        <v>0</v>
      </c>
      <c r="L50" s="20">
        <f>SUM(Table2PRN!G1170)</f>
        <v>0</v>
      </c>
      <c r="M50" s="20">
        <f t="shared" si="27"/>
        <v>0</v>
      </c>
      <c r="O50" s="7" t="s">
        <v>315</v>
      </c>
      <c r="P50" s="1108">
        <f>SUM(Table2PRN!G1590,Table2PRN!G1592)</f>
        <v>0</v>
      </c>
      <c r="Q50" s="20">
        <f>SUM(Table2PRN!G2010,Table2PRN!G2012)</f>
        <v>0</v>
      </c>
      <c r="R50" s="20">
        <f>SUM(Table2PRN!G1800,Table2PRN!G1802)</f>
        <v>0</v>
      </c>
      <c r="S50" s="20">
        <f t="shared" si="28"/>
        <v>0</v>
      </c>
      <c r="T50" s="1108">
        <f>SUM(Table2PRN!G2220,Table2PRN!G2222)</f>
        <v>0</v>
      </c>
      <c r="U50" s="20">
        <f>SUM(Table2PRN!G2640,Table2PRN!G2642)</f>
        <v>0</v>
      </c>
      <c r="V50" s="20">
        <f>SUM(Table2PRN!G2430,Table2PRN!G2432)</f>
        <v>0</v>
      </c>
      <c r="W50" s="20">
        <f t="shared" si="29"/>
        <v>0</v>
      </c>
      <c r="AE50" s="20">
        <f>AE9+SUM(AE15:AE35)</f>
        <v>18323.51862402221</v>
      </c>
      <c r="AF50" s="2" t="s">
        <v>316</v>
      </c>
      <c r="AI50" s="2" t="s">
        <v>317</v>
      </c>
      <c r="AN50" s="20"/>
      <c r="AP50" s="7" t="s">
        <v>315</v>
      </c>
      <c r="AQ50" s="1108">
        <f>SUM(Table2PRN!G5370,Table2PRN!G5372)</f>
        <v>0</v>
      </c>
      <c r="AR50" s="20">
        <f>SUM(Table2PRN!G5790,Table2PRN!G5792)</f>
        <v>0</v>
      </c>
      <c r="AS50" s="2">
        <f>SUM(Table2PRN!G5580,Table2PRN!G5582)</f>
        <v>0</v>
      </c>
      <c r="AT50" s="20">
        <f t="shared" si="30"/>
        <v>0</v>
      </c>
      <c r="AU50" s="1108">
        <f>SUM(Table2PRN!G6000,Table2PRN!G6002)</f>
        <v>0</v>
      </c>
      <c r="AV50" s="20">
        <f>SUM(Table2PRN!G6420,Table2PRN!G6422)</f>
        <v>0</v>
      </c>
      <c r="AW50" s="20">
        <f>SUM(Table2PRN!G6210,Table2PRN!G6212)</f>
        <v>0</v>
      </c>
      <c r="AX50" s="20">
        <f t="shared" si="31"/>
        <v>0</v>
      </c>
      <c r="AZ50" s="811" t="s">
        <v>318</v>
      </c>
      <c r="BA50" s="90">
        <f>Table2PRN!G8731</f>
        <v>294</v>
      </c>
      <c r="BB50" s="754">
        <f>Table2PRN!G8941</f>
        <v>380</v>
      </c>
      <c r="BC50" s="817">
        <f>SUM(StockSumPRN!$H$119:$I$119)</f>
        <v>0</v>
      </c>
      <c r="BD50" s="30">
        <f>SUM(StockSumPRN!F119:G119)</f>
        <v>9</v>
      </c>
      <c r="BE50" s="30">
        <f>SUM(StockSumPRN!J324:K324)</f>
        <v>202</v>
      </c>
      <c r="BF50" s="30">
        <f>SUM(StockSumPRN!H734:I734)</f>
        <v>380</v>
      </c>
      <c r="BG50" s="30">
        <f>SUM(StockSumPRN!$D$734:$E$734)</f>
        <v>294</v>
      </c>
      <c r="BH50" s="30">
        <f>SUM(StockSumPRN!J1964:K1964)</f>
        <v>28</v>
      </c>
      <c r="BI50" s="30">
        <f>SUM(StockSumPRN!F1964:G1964)</f>
        <v>191</v>
      </c>
      <c r="BJ50" s="30">
        <f>SUM(StockSumPRN!D1759:E1759)</f>
        <v>62</v>
      </c>
      <c r="BK50" s="30">
        <f>SUM(StockSumPRN!D1554:E1554)</f>
        <v>38</v>
      </c>
      <c r="BL50" s="30">
        <f>SUM(StockSumPRN!H1349:I1349)</f>
        <v>29</v>
      </c>
      <c r="BM50" s="809">
        <f>SUM(StockSumPRN!$H$1144:$I$1144)</f>
        <v>14</v>
      </c>
      <c r="BN50" s="30">
        <f>SUM(StockSumPRN!$H$939:$I$939)</f>
        <v>28</v>
      </c>
      <c r="BO50" s="30">
        <f>SUM(StockSumPRN!J2169:K2169)</f>
        <v>0</v>
      </c>
      <c r="BP50" s="30">
        <f>SUM(StockSumPRN!D2374:E2374)</f>
        <v>0</v>
      </c>
      <c r="BQ50" s="1501"/>
      <c r="BR50" s="1501"/>
      <c r="BS50" s="1501"/>
      <c r="BT50" s="1501"/>
      <c r="BU50" s="1501"/>
      <c r="BV50" s="1501"/>
      <c r="BW50" s="1501"/>
    </row>
    <row r="51" spans="1:75" x14ac:dyDescent="0.2">
      <c r="A51" s="7" t="s">
        <v>318</v>
      </c>
      <c r="B51" s="1108">
        <f>SUM(Table2PRN!G6841)</f>
        <v>1295</v>
      </c>
      <c r="C51" s="20">
        <f>SUM(Table2PRN!G6631)</f>
        <v>4453</v>
      </c>
      <c r="D51" s="20">
        <f>B51+C51</f>
        <v>5748</v>
      </c>
      <c r="E51" s="1108">
        <f>SUM(Table2PRN!G121,Table2PRN!G123)</f>
        <v>1005</v>
      </c>
      <c r="F51" s="20">
        <f>SUM(Table2PRN!G541,Table2PRN!G543)</f>
        <v>208</v>
      </c>
      <c r="G51" s="20">
        <f>SUM(Table2PRN!G331,Table2PRN!G333)</f>
        <v>1026</v>
      </c>
      <c r="H51" s="20">
        <f t="shared" si="26"/>
        <v>1234</v>
      </c>
      <c r="I51" s="1108">
        <f>SUM(Table2PRN!G751)</f>
        <v>785</v>
      </c>
      <c r="J51" s="1335">
        <f>SUM(Table2PRN!G961)</f>
        <v>2288</v>
      </c>
      <c r="K51" s="20">
        <f>SUM(Table2PRN!G1381)</f>
        <v>685</v>
      </c>
      <c r="L51" s="20">
        <f>SUM(Table2PRN!G1171)</f>
        <v>3141</v>
      </c>
      <c r="M51" s="20">
        <f t="shared" si="27"/>
        <v>3826</v>
      </c>
      <c r="O51" s="7" t="s">
        <v>318</v>
      </c>
      <c r="P51" s="1108">
        <f>SUM(Table2PRN!G1591,Table2PRN!G1593)</f>
        <v>19</v>
      </c>
      <c r="Q51" s="20">
        <f>SUM(Table2PRN!G2011,Table2PRN!G2013)</f>
        <v>41</v>
      </c>
      <c r="R51" s="20">
        <f>SUM(Table2PRN!G1801,Table2PRN!G1803)</f>
        <v>25</v>
      </c>
      <c r="S51" s="20">
        <f t="shared" si="28"/>
        <v>66</v>
      </c>
      <c r="T51" s="1108">
        <f>SUM(Table2PRN!G2221,Table2PRN!G2223)</f>
        <v>0</v>
      </c>
      <c r="U51" s="20">
        <f>SUM(Table2PRN!G2641,Table2PRN!G2643)</f>
        <v>0</v>
      </c>
      <c r="V51" s="20">
        <f>SUM(Table2PRN!G2431,Table2PRN!G2433)</f>
        <v>0</v>
      </c>
      <c r="W51" s="20">
        <f t="shared" si="29"/>
        <v>0</v>
      </c>
      <c r="Z51" s="2" t="s">
        <v>317</v>
      </c>
      <c r="AE51" s="923">
        <f>SUM(AE17,AE18,AE21,AE22,AE24,AE26,AE27,AE28)/SUM(AE9,AE38:AE39)</f>
        <v>6.8304797033475903E-2</v>
      </c>
      <c r="AF51" s="30" t="s">
        <v>319</v>
      </c>
      <c r="AG51" s="30"/>
      <c r="AI51" s="2" t="s">
        <v>237</v>
      </c>
      <c r="AJ51" s="2" t="s">
        <v>238</v>
      </c>
      <c r="AK51" s="2" t="s">
        <v>239</v>
      </c>
      <c r="AM51" s="2" t="s">
        <v>236</v>
      </c>
      <c r="AP51" s="7" t="s">
        <v>318</v>
      </c>
      <c r="AQ51" s="1108">
        <f>SUM(Table2PRN!G5371,Table2PRN!G5373)</f>
        <v>81</v>
      </c>
      <c r="AR51" s="20">
        <f>SUM(Table2PRN!G5791,Table2PRN!G5793)</f>
        <v>339</v>
      </c>
      <c r="AS51" s="2">
        <f>SUM(Table2PRN!G5581,Table2PRN!G5583)</f>
        <v>232</v>
      </c>
      <c r="AT51" s="20">
        <f t="shared" si="30"/>
        <v>571</v>
      </c>
      <c r="AU51" s="1108">
        <f>SUM(Table2PRN!G6001,Table2PRN!G6003)</f>
        <v>7</v>
      </c>
      <c r="AV51" s="20">
        <f>SUM(Table2PRN!G6421,Table2PRN!G6423)</f>
        <v>11</v>
      </c>
      <c r="AW51" s="20">
        <f>SUM(Table2PRN!G6211,Table2PRN!G6213)</f>
        <v>7</v>
      </c>
      <c r="AX51" s="20">
        <f t="shared" si="31"/>
        <v>18</v>
      </c>
      <c r="AZ51" s="811" t="s">
        <v>320</v>
      </c>
      <c r="BA51" s="90">
        <f>SUM(Table2PRN!G8774,Table2PRN!G8776,Table2PRN!G8778,Table2PRN!G8780)</f>
        <v>0</v>
      </c>
      <c r="BB51" s="754">
        <f>SUM(Table2PRN!G8984,Table2PRN!G8986,Table2PRN!G8988,Table2PRN!G8990)</f>
        <v>1</v>
      </c>
      <c r="BC51" s="817">
        <f>SUM(StockSumPRN!$H$162:$I$162,StockSumPRN!$H$164:$I$164,StockSumPRN!$H$166:$I$166,StockSumPRN!$H$168:$I$168)</f>
        <v>0</v>
      </c>
      <c r="BD51" s="30">
        <f>SUM(StockSumPRN!F162:G162,StockSumPRN!F164:G164,StockSumPRN!F166:G166,StockSumPRN!F168:G168)</f>
        <v>8</v>
      </c>
      <c r="BE51" s="30">
        <f>SUM(StockSumPRN!J367:K367,StockSumPRN!J369:K369,StockSumPRN!J371:K371,StockSumPRN!J373:K373)</f>
        <v>1</v>
      </c>
      <c r="BF51" s="30">
        <f>SUM(StockSumPRN!H777:I777,StockSumPRN!H779:I779,StockSumPRN!H781:I781,StockSumPRN!H783:I783)</f>
        <v>1</v>
      </c>
      <c r="BG51" s="30">
        <f>SUM(StockSumPRN!$D$777:$E$777,StockSumPRN!$D$779:$E$779,StockSumPRN!$D$781:$E$781,StockSumPRN!$D$783:$E$783)</f>
        <v>0</v>
      </c>
      <c r="BH51" s="30">
        <f>SUM(StockSumPRN!J2007:K2007,StockSumPRN!J2009:K2009,StockSumPRN!J2011:K2011,StockSumPRN!J2013:K2013)</f>
        <v>9</v>
      </c>
      <c r="BI51" s="30">
        <f>SUM(StockSumPRN!F2007:G2007,StockSumPRN!F2009:G2009,StockSumPRN!F2011:G2011,StockSumPRN!F2013:G2013)</f>
        <v>79</v>
      </c>
      <c r="BJ51" s="30">
        <f>SUM(StockSumPRN!D1802:E1802,StockSumPRN!D1804:E1804,StockSumPRN!D1806:E1806,StockSumPRN!D1808:E1808)</f>
        <v>23</v>
      </c>
      <c r="BK51" s="30">
        <f>SUM(StockSumPRN!D1597:E1597,StockSumPRN!D1599:E1599,StockSumPRN!D1601:E1601,StockSumPRN!D1603:E1603)</f>
        <v>13</v>
      </c>
      <c r="BL51" s="30">
        <f>SUM(StockSumPRN!H1392:I1392,StockSumPRN!H1394:I1394,StockSumPRN!H1396:I1396,StockSumPRN!H1398:I1398)</f>
        <v>11</v>
      </c>
      <c r="BM51" s="809">
        <f>SUM(StockSumPRN!$H$1187:$I$1187,StockSumPRN!$H$1189:$I$1189,StockSumPRN!$H$1191:$I$1191,StockSumPRN!$H$1193:$I$1193)</f>
        <v>239</v>
      </c>
      <c r="BN51" s="30">
        <f>SUM(StockSumPRN!$H$982:$I$982,StockSumPRN!$H$984:$I$984,StockSumPRN!$H$986:$I$986,StockSumPRN!$H$988:$I$988)</f>
        <v>1819</v>
      </c>
      <c r="BO51" s="30">
        <f>SUM(StockSumPRN!J2212:K2212,StockSumPRN!J2214:K2214,StockSumPRN!J2216:K2216,StockSumPRN!J2218:K2218)</f>
        <v>4</v>
      </c>
      <c r="BP51" s="30">
        <f>SUM(StockSumPRN!D2417:E2417,StockSumPRN!D2419:E2419,StockSumPRN!D2421:E2421,StockSumPRN!D2423:E2423)</f>
        <v>1</v>
      </c>
    </row>
    <row r="52" spans="1:75" x14ac:dyDescent="0.2">
      <c r="A52" s="7" t="s">
        <v>320</v>
      </c>
      <c r="B52" s="1108">
        <f>SUM(Table2PRN!G6884,Table2PRN!G6886,Table2PRN!G6888,Table2PRN!G6890)</f>
        <v>2723</v>
      </c>
      <c r="C52" s="20">
        <f>SUM(Table2PRN!G6674,Table2PRN!G6676,Table2PRN!G6678,Table2PRN!G6680)</f>
        <v>1271</v>
      </c>
      <c r="D52" s="20">
        <f t="shared" si="25"/>
        <v>3994</v>
      </c>
      <c r="E52" s="1108">
        <f>SUM(Table2PRN!G164,Table2PRN!G166,Table2PRN!G168,Table2PRN!G170)</f>
        <v>9</v>
      </c>
      <c r="F52" s="20">
        <f>SUM(Table2PRN!G584,Table2PRN!G586,Table2PRN!G588,Table2PRN!G590)</f>
        <v>2</v>
      </c>
      <c r="G52" s="20">
        <f>SUM(Table2PRN!G374,Table2PRN!G376,Table2PRN!G378,Table2PRN!G380)</f>
        <v>9</v>
      </c>
      <c r="H52" s="20">
        <f t="shared" si="26"/>
        <v>11</v>
      </c>
      <c r="I52" s="1108">
        <f>SUM(Table2PRN!G794,Table2PRN!G796,Table2PRN!G798,Table2PRN!G800)</f>
        <v>3</v>
      </c>
      <c r="J52" s="1335">
        <f>SUM(Table2PRN!G1004,Table2PRN!G1006,Table2PRN!G1008,Table2PRN!G1010)</f>
        <v>6</v>
      </c>
      <c r="K52" s="20">
        <f>SUM(Table2PRN!G1424,Table2PRN!G1426,Table2PRN!G1428,Table2PRN!G1430)</f>
        <v>2</v>
      </c>
      <c r="L52" s="20">
        <f>SUM(Table2PRN!G1214,Table2PRN!G1216,Table2PRN!G1218,Table2PRN!G1220)</f>
        <v>9</v>
      </c>
      <c r="M52" s="20">
        <f t="shared" si="27"/>
        <v>11</v>
      </c>
      <c r="O52" s="7" t="s">
        <v>320</v>
      </c>
      <c r="P52" s="1108">
        <f>SUM(Table2PRN!G1634,Table2PRN!G1640)</f>
        <v>565</v>
      </c>
      <c r="Q52" s="20">
        <f>SUM(Table2PRN!G2054,Table2PRN!G2060)</f>
        <v>534</v>
      </c>
      <c r="R52" s="20">
        <f>SUM(Table2PRN!G1844,Table2PRN!G1850)</f>
        <v>657</v>
      </c>
      <c r="S52" s="20">
        <f t="shared" si="28"/>
        <v>1191</v>
      </c>
      <c r="T52" s="1108">
        <f>SUM(Table2PRN!G2264,Table2PRN!G2266,Table2PRN!G2268,Table2PRN!G2270)</f>
        <v>4</v>
      </c>
      <c r="U52" s="20">
        <f>SUM(Table2PRN!G2684,Table2PRN!G2686,Table2PRN!G2688,Table2PRN!G2690)</f>
        <v>5</v>
      </c>
      <c r="V52" s="20">
        <f>SUM(Table2PRN!G2474,Table2PRN!G2476,Table2PRN!G2478,Table2PRN!G2480)</f>
        <v>5</v>
      </c>
      <c r="W52" s="20">
        <f t="shared" si="29"/>
        <v>10</v>
      </c>
      <c r="Z52" s="2" t="s">
        <v>237</v>
      </c>
      <c r="AA52" s="2" t="s">
        <v>238</v>
      </c>
      <c r="AB52" s="2" t="s">
        <v>239</v>
      </c>
      <c r="AD52" s="2" t="s">
        <v>236</v>
      </c>
      <c r="AF52" s="30"/>
      <c r="AG52" s="30"/>
      <c r="AH52" s="2" t="s">
        <v>274</v>
      </c>
      <c r="AI52" s="20">
        <f>AE23</f>
        <v>403</v>
      </c>
      <c r="AK52" s="20">
        <f>AG23</f>
        <v>474</v>
      </c>
      <c r="AM52" s="20">
        <f t="shared" ref="AM52:AM57" si="32">AI52+AK52</f>
        <v>877</v>
      </c>
      <c r="AO52" s="1512"/>
      <c r="AP52" s="7" t="s">
        <v>320</v>
      </c>
      <c r="AQ52" s="1108">
        <f>SUM(Table2PRN!G5414,Table2PRN!G5416,Table2PRN!G5418,Table2PRN!G5420)</f>
        <v>29</v>
      </c>
      <c r="AR52" s="20">
        <f>SUM(Table2PRN!G5834,Table2PRN!G5836,Table2PRN!G5838,Table2PRN!G5840)</f>
        <v>111</v>
      </c>
      <c r="AS52" s="2">
        <f>SUM(Table2PRN!G5624,Table2PRN!G5626,Table2PRN!G5628,Table2PRN!G5630)</f>
        <v>91</v>
      </c>
      <c r="AT52" s="20">
        <f t="shared" si="30"/>
        <v>202</v>
      </c>
      <c r="AU52" s="1108">
        <f>SUM(Table2PRN!G6044,Table2PRN!G6046,Table2PRN!G6048,Table2PRN!G6050)</f>
        <v>5</v>
      </c>
      <c r="AV52" s="20">
        <f>SUM(Table2PRN!G6464,Table2PRN!G6466,Table2PRN!G6468,Table2PRN!G6470)</f>
        <v>9</v>
      </c>
      <c r="AW52" s="20">
        <f>SUM(Table2PRN!G6254,Table2PRN!G6256,Table2PRN!G6258,Table2PRN!G6260)</f>
        <v>5</v>
      </c>
      <c r="AX52" s="20">
        <f t="shared" si="31"/>
        <v>14</v>
      </c>
      <c r="AZ52" s="811" t="s">
        <v>321</v>
      </c>
      <c r="BA52" s="90">
        <f>SUM(Table2PRN!G8775,Table2PRN!G8777,Table2PRN!G8779,Table2PRN!G8781)</f>
        <v>1</v>
      </c>
      <c r="BB52" s="754">
        <f>SUM(Table2PRN!G8985,Table2PRN!G8987,Table2PRN!G8989,Table2PRN!G8991)</f>
        <v>6</v>
      </c>
      <c r="BC52" s="817">
        <f>SUM(StockSumPRN!$H$163:$I$163,StockSumPRN!$H$165:$I$165,StockSumPRN!$H$167:$I$167,StockSumPRN!$H$169:$I$169)</f>
        <v>0</v>
      </c>
      <c r="BD52" s="30">
        <f>SUM(StockSumPRN!F163:G163,StockSumPRN!F165:G165,StockSumPRN!F167:G167,StockSumPRN!F169:G169)</f>
        <v>20</v>
      </c>
      <c r="BE52" s="30">
        <f>SUM(StockSumPRN!J368:K368,StockSumPRN!J370:K370,StockSumPRN!J372:K372,StockSumPRN!J374:K374)</f>
        <v>4</v>
      </c>
      <c r="BF52" s="30">
        <f>SUM(StockSumPRN!H778:I778,StockSumPRN!H780:I780,StockSumPRN!H782:I782,StockSumPRN!H784:I784)</f>
        <v>7</v>
      </c>
      <c r="BG52" s="30">
        <f>SUM(StockSumPRN!$D$778:$E$778,StockSumPRN!$D$780:$E$780,StockSumPRN!$D$782:$E$782,StockSumPRN!$D$784:$E$784)</f>
        <v>1</v>
      </c>
      <c r="BH52" s="30">
        <f>SUM(StockSumPRN!J2008:K2008,StockSumPRN!J2010:K2010,StockSumPRN!J2012:K2012,StockSumPRN!J2014:K2014)</f>
        <v>28</v>
      </c>
      <c r="BI52" s="30">
        <f>SUM(StockSumPRN!F2008:G2008,StockSumPRN!F2010:G2010,StockSumPRN!F2012:G2012,StockSumPRN!F2014:G2014)</f>
        <v>242</v>
      </c>
      <c r="BJ52" s="30">
        <f>SUM(StockSumPRN!D1803:E1803,StockSumPRN!D1805:E1805,StockSumPRN!D1807:E1807,StockSumPRN!D1809:E1809)</f>
        <v>74</v>
      </c>
      <c r="BK52" s="30">
        <f>SUM(StockSumPRN!D1598:E1598,StockSumPRN!D1600:E1600,StockSumPRN!D1602:E1602,StockSumPRN!D1604:E1604)</f>
        <v>43</v>
      </c>
      <c r="BL52" s="30">
        <f>SUM(StockSumPRN!H1393:I1393,StockSumPRN!H1395:I1395,StockSumPRN!H1397:I1397,StockSumPRN!H1399:I1399)</f>
        <v>35</v>
      </c>
      <c r="BM52" s="809">
        <f>SUM(StockSumPRN!$H$1188:$I$1188,StockSumPRN!$H$1190:$I$1190,StockSumPRN!$H$1192:$I$1192,StockSumPRN!$H$1194:$I$1194)</f>
        <v>1667</v>
      </c>
      <c r="BN52" s="30">
        <f>SUM(StockSumPRN!$H$983:$I$983,StockSumPRN!$H$985:$I$985,StockSumPRN!$H$987:$I$987,StockSumPRN!$H$989:$I$989)</f>
        <v>5441</v>
      </c>
      <c r="BO52" s="30">
        <f>SUM(StockSumPRN!J2213:K2213,StockSumPRN!J2215:K2215,StockSumPRN!J2217:K2217,StockSumPRN!J2219:K2219)</f>
        <v>14</v>
      </c>
      <c r="BP52" s="30">
        <f>SUM(StockSumPRN!D2418:E2418,StockSumPRN!D2420:E2420,StockSumPRN!D2422:E2422,StockSumPRN!D2424:E2424)</f>
        <v>3</v>
      </c>
      <c r="BQ52" s="20"/>
      <c r="BT52" s="20"/>
      <c r="BW52" s="20"/>
    </row>
    <row r="53" spans="1:75" x14ac:dyDescent="0.2">
      <c r="A53" s="7" t="s">
        <v>321</v>
      </c>
      <c r="B53" s="1108">
        <f>SUM(Table2PRN!G6885,Table2PRN!G6887,Table2PRN!G6889,Table2PRN!G6891)</f>
        <v>9819</v>
      </c>
      <c r="C53" s="20">
        <f>SUM(Table2PRN!G6675,Table2PRN!G6677,Table2PRN!G6679,Table2PRN!G6681)</f>
        <v>4943</v>
      </c>
      <c r="D53" s="20">
        <f t="shared" si="25"/>
        <v>14762</v>
      </c>
      <c r="E53" s="1108">
        <f>SUM(Table2PRN!G165,Table2PRN!G167,Table2PRN!G169,Table2PRN!G171)</f>
        <v>25</v>
      </c>
      <c r="F53" s="20">
        <f>SUM(Table2PRN!G585,Table2PRN!G587,Table2PRN!G589,Table2PRN!G591)</f>
        <v>5</v>
      </c>
      <c r="G53" s="20">
        <f>SUM(Table2PRN!G375,Table2PRN!G377,Table2PRN!G379,Table2PRN!G381)</f>
        <v>25</v>
      </c>
      <c r="H53" s="20">
        <f t="shared" si="26"/>
        <v>30</v>
      </c>
      <c r="I53" s="1108">
        <f>SUM(Table2PRN!G795,Table2PRN!G797,Table2PRN!G799,Table2PRN!G801)</f>
        <v>10</v>
      </c>
      <c r="J53" s="1335">
        <f>SUM(Table2PRN!G1005,Table2PRN!G1007,Table2PRN!G1009,Table2PRN!G1011)</f>
        <v>27</v>
      </c>
      <c r="K53" s="20">
        <f>SUM(Table2PRN!G1425,Table2PRN!G1427,Table2PRN!G1429,Table2PRN!G1431)</f>
        <v>6</v>
      </c>
      <c r="L53" s="20">
        <f>SUM(Table2PRN!G1215,Table2PRN!G1217,Table2PRN!G1219,Table2PRN!G1221)</f>
        <v>38</v>
      </c>
      <c r="M53" s="20">
        <f t="shared" si="27"/>
        <v>44</v>
      </c>
      <c r="O53" s="7" t="s">
        <v>321</v>
      </c>
      <c r="P53" s="1108">
        <f>SUM(Table2PRN!G1635,Table2PRN!G1641)</f>
        <v>2120</v>
      </c>
      <c r="Q53" s="20">
        <f>SUM(Table2PRN!G2055,Table2PRN!G2061)</f>
        <v>1932</v>
      </c>
      <c r="R53" s="20">
        <f>SUM(Table2PRN!G1845,Table2PRN!G1851)</f>
        <v>2353</v>
      </c>
      <c r="S53" s="20">
        <f t="shared" si="28"/>
        <v>4285</v>
      </c>
      <c r="T53" s="1108">
        <f>SUM(Table2PRN!G2265,Table2PRN!G2267,Table2PRN!G2269,Table2PRN!G2271)</f>
        <v>12</v>
      </c>
      <c r="U53" s="20">
        <f>SUM(Table2PRN!G2685,Table2PRN!G2687,Table2PRN!G2689,Table2PRN!G2691)</f>
        <v>17</v>
      </c>
      <c r="V53" s="20">
        <f>SUM(Table2PRN!G2475,Table2PRN!G2477,Table2PRN!G2479,Table2PRN!G2481)</f>
        <v>17</v>
      </c>
      <c r="W53" s="20">
        <f t="shared" si="29"/>
        <v>34</v>
      </c>
      <c r="Y53" s="2" t="s">
        <v>264</v>
      </c>
      <c r="Z53" s="20">
        <f>AE17</f>
        <v>84</v>
      </c>
      <c r="AB53" s="20">
        <f>AG17</f>
        <v>186</v>
      </c>
      <c r="AD53" s="20">
        <f>Z53+AB53</f>
        <v>270</v>
      </c>
      <c r="AF53" s="30"/>
      <c r="AG53" s="30"/>
      <c r="AH53" s="2" t="s">
        <v>267</v>
      </c>
      <c r="AI53" s="20">
        <f>AE20</f>
        <v>903</v>
      </c>
      <c r="AK53" s="20">
        <f>AG20</f>
        <v>1000</v>
      </c>
      <c r="AM53" s="20">
        <f t="shared" si="32"/>
        <v>1903</v>
      </c>
      <c r="AP53" s="7" t="s">
        <v>321</v>
      </c>
      <c r="AQ53" s="1108">
        <f>SUM(Table2PRN!G5415,Table2PRN!G5417,Table2PRN!G5419,Table2PRN!G5421)</f>
        <v>93</v>
      </c>
      <c r="AR53" s="20">
        <f>SUM(Table2PRN!G5835,Table2PRN!G5837,Table2PRN!G5839,Table2PRN!G5841)</f>
        <v>358</v>
      </c>
      <c r="AS53" s="2">
        <f>SUM(Table2PRN!G5625,Table2PRN!G5627,Table2PRN!G5629,Table2PRN!G5631)</f>
        <v>284</v>
      </c>
      <c r="AT53" s="20">
        <f t="shared" si="30"/>
        <v>642</v>
      </c>
      <c r="AU53" s="1108">
        <f>SUM(Table2PRN!G6045,Table2PRN!G6047,Table2PRN!G6049,Table2PRN!G6051)</f>
        <v>17</v>
      </c>
      <c r="AV53" s="20">
        <f>SUM(Table2PRN!G6465,Table2PRN!G6467,Table2PRN!G6469,Table2PRN!G6471)</f>
        <v>26</v>
      </c>
      <c r="AW53" s="20">
        <f>SUM(Table2PRN!G6255,Table2PRN!G6257,Table2PRN!G6259,Table2PRN!G6261)</f>
        <v>17</v>
      </c>
      <c r="AX53" s="20">
        <f t="shared" si="31"/>
        <v>43</v>
      </c>
      <c r="AZ53" s="811" t="s">
        <v>322</v>
      </c>
      <c r="BA53" s="758">
        <f>SUM(Table2PRN!G8740,Table2PRN!G8742,Table2PRN!G8744,Table2PRN!G8751,Table2PRN!G8753,Table2PRN!G8758,Table2PRN!G8760,Table2PRN!G8762,Table2PRN!G8764,Table2PRN!G8766)</f>
        <v>0</v>
      </c>
      <c r="BB53" s="185">
        <f>SUM(Table2PRN!G8950,Table2PRN!G8952,Table2PRN!G8954,Table2PRN!G8961,Table2PRN!G8963,Table2PRN!G8968,Table2PRN!G8970,Table2PRN!G8972,Table2PRN!G8974,Table2PRN!G8976)</f>
        <v>1</v>
      </c>
      <c r="BC53" s="817">
        <f>SUM(StockSumPRN!$H$128:$I$128,StockSumPRN!$H$130:$I$130,StockSumPRN!$H$132:$I$132,StockSumPRN!$H$139:$I$139,StockSumPRN!$H$141:$I$141,StockSumPRN!$H$146:$I$146,StockSumPRN!$H$148:$I$148,StockSumPRN!$H$150:$I$150,StockSumPRN!$H$152:$I$152,StockSumPRN!$H$154:$I$154)</f>
        <v>0</v>
      </c>
      <c r="BD53" s="30">
        <f>SUM(StockSumPRN!F128:G128,StockSumPRN!F130:G130,StockSumPRN!F132:G132,StockSumPRN!F139:G139,StockSumPRN!F141:G141,StockSumPRN!F146:G146,StockSumPRN!F148:G148,StockSumPRN!F150:G150,StockSumPRN!F152:G152,StockSumPRN!F154:G154)</f>
        <v>3</v>
      </c>
      <c r="BE53" s="30">
        <f>SUM(StockSumPRN!J333:K333,StockSumPRN!J335:K335,StockSumPRN!J337:K337,StockSumPRN!J344:K344,StockSumPRN!J346:K346,StockSumPRN!J351:K351,StockSumPRN!J353:K353,StockSumPRN!J355:K355,StockSumPRN!J357:K357,StockSumPRN!J359:K359)</f>
        <v>1</v>
      </c>
      <c r="BF53" s="30">
        <f>SUM(StockSumPRN!H743:I743,StockSumPRN!H745:I745,StockSumPRN!H747:I747,StockSumPRN!H754:I754,StockSumPRN!H756:I756,StockSumPRN!H761:I761,StockSumPRN!H763:I763,StockSumPRN!H765:I765,StockSumPRN!H767:I767,StockSumPRN!H769:I769)</f>
        <v>0</v>
      </c>
      <c r="BG53" s="30">
        <f>SUM(StockSumPRN!$D$743:$E$743,StockSumPRN!$D$745:$E$745,StockSumPRN!$D$747:$E$747,StockSumPRN!$D$754:$E$754,StockSumPRN!$D$756:$E$756,StockSumPRN!$D$761:$E$761,StockSumPRN!$D$763:$E$763,StockSumPRN!$D$765:$E$765,StockSumPRN!$D$767:$E$767,StockSumPRN!$D$769:$E$769)</f>
        <v>0</v>
      </c>
      <c r="BH53" s="755">
        <f>SUM(StockSumPRN!J1973:K1973,StockSumPRN!J1975:K1975,StockSumPRN!J1977:K1977,StockSumPRN!J1984:K1984,StockSumPRN!J1986:K1986,StockSumPRN!J1991:K1991,StockSumPRN!J1993:K1993,StockSumPRN!J1995:K1995,StockSumPRN!J1997:K1997,StockSumPRN!J1999:K1999)</f>
        <v>10</v>
      </c>
      <c r="BI53" s="755">
        <f>SUM(StockSumPRN!F1973:G1973,StockSumPRN!F1975:G1975,StockSumPRN!F1977:G1977,StockSumPRN!F1984:G1984,StockSumPRN!F1986:G1986,StockSumPRN!F1991:G1991,StockSumPRN!F1993:G1993,StockSumPRN!F1995:G1995,StockSumPRN!F1997:G1997,StockSumPRN!F1999:G1999)</f>
        <v>109</v>
      </c>
      <c r="BJ53" s="755">
        <f>SUM(StockSumPRN!D1768:E1768,StockSumPRN!D1770:E1770,StockSumPRN!D1772:E1772,StockSumPRN!D1779:E1779,StockSumPRN!D1781:E1781,StockSumPRN!D1786:E1786,StockSumPRN!D1788:E1788,StockSumPRN!D1790:E1790,StockSumPRN!D1792:E1792,StockSumPRN!D1794:E1794)</f>
        <v>44</v>
      </c>
      <c r="BK53" s="755">
        <f>SUM(StockSumPRN!D1563:E1563,StockSumPRN!D1565:E1565,StockSumPRN!D1567:E1567,StockSumPRN!D1574:E1574,StockSumPRN!D1576:E1576,StockSumPRN!D1581:E1581,StockSumPRN!D1583:E1583,StockSumPRN!D1585:E1585,StockSumPRN!D1587:E1587,StockSumPRN!D1589:E1589)</f>
        <v>557</v>
      </c>
      <c r="BL53" s="755">
        <f>SUM(StockSumPRN!H1358:I1358,StockSumPRN!H1360:I1360,StockSumPRN!H1362:I1362,StockSumPRN!H1369:I1369,StockSumPRN!H1371:I1371,StockSumPRN!H1376:I1376,StockSumPRN!H1378:I1378,StockSumPRN!H1380:I1380,StockSumPRN!H1382:I1382,StockSumPRN!H1384:I1384)</f>
        <v>20</v>
      </c>
      <c r="BM53" s="809">
        <f>SUM(StockSumPRN!$H$1153:$I$1153,StockSumPRN!$H$1155:$I$1155,StockSumPRN!$H$1157:$I$1157,StockSumPRN!$H$1164:$I$1164,StockSumPRN!$H$1166:$I$1166,StockSumPRN!$H$1171:$I$1171,StockSumPRN!$H$1173:$I$1173,StockSumPRN!$H$1175:$I$1175,StockSumPRN!$H$1177:$I$1177,StockSumPRN!$H$1179:$I$1179)</f>
        <v>9</v>
      </c>
      <c r="BN53" s="30">
        <f>SUM(StockSumPRN!$H$948:$I$948,StockSumPRN!$H$950:$I$950,StockSumPRN!$H$952:$I$952,StockSumPRN!$H$959:$I$959,StockSumPRN!$H$961:$I$961,StockSumPRN!$H$966:$I$966,StockSumPRN!$H$968:$I$968,StockSumPRN!$H$970:$I$970,StockSumPRN!$H$972:$I$972,StockSumPRN!$H$974:$I$974)</f>
        <v>18</v>
      </c>
      <c r="BO53" s="755">
        <f>SUM(StockSumPRN!J2178:K2178,StockSumPRN!J2180:K2180,StockSumPRN!J2182:K2182,StockSumPRN!J2189:K2189,StockSumPRN!J2191:K2191,StockSumPRN!J2196:K2196,StockSumPRN!J2198:K2198,StockSumPRN!J2200:K2200,StockSumPRN!J2202:K2202,StockSumPRN!J2204:K2204)</f>
        <v>0</v>
      </c>
      <c r="BP53" s="755">
        <f>SUM(StockSumPRN!D2383:E2383,StockSumPRN!D2385:E2385,StockSumPRN!D2387:E2387,StockSumPRN!D2394:E2394,StockSumPRN!D2396:E2396,StockSumPRN!D2401:E2401,StockSumPRN!D2403:E2403,StockSumPRN!D2405:E2405,StockSumPRN!D2407:E2407,StockSumPRN!D2409:E2409)</f>
        <v>0</v>
      </c>
      <c r="BQ53" s="20"/>
      <c r="BR53" s="20"/>
      <c r="BS53" s="20"/>
      <c r="BT53" s="20"/>
      <c r="BW53" s="7"/>
    </row>
    <row r="54" spans="1:75" x14ac:dyDescent="0.2">
      <c r="A54" s="7" t="s">
        <v>322</v>
      </c>
      <c r="B54" s="1108">
        <f>SUM(Table2PRN!G6850,Table2PRN!G6852,Table2PRN!G6854,Table2PRN!G6861,Table2PRN!G6863,Table2PRN!G6868,Table2PRN!G6870,Table2PRN!G6872,Table2PRN!G6874,Table2PRN!G6876)</f>
        <v>765</v>
      </c>
      <c r="C54" s="20">
        <f>SUM(Table2PRN!G6640,Table2PRN!G6642,Table2PRN!G6644,Table2PRN!G6651,Table2PRN!G6653,Table2PRN!G6653,Table2PRN!G6653,Table2PRN!G6658,Table2PRN!G6660,Table2PRN!G6662,Table2PRN!G6664,Table2PRN!G6666)</f>
        <v>220</v>
      </c>
      <c r="D54" s="20">
        <f t="shared" si="25"/>
        <v>985</v>
      </c>
      <c r="E54" s="1108">
        <f>SUM(Table2PRN!G130,Table2PRN!G132,Table2PRN!G134,Table2PRN!G141,Table2PRN!G143,Table2PRN!G148,Table2PRN!G150,Table2PRN!G152,Table2PRN!G154,Table2PRN!G156)</f>
        <v>3</v>
      </c>
      <c r="F54" s="20">
        <f>SUM(Table2PRN!G550,Table2PRN!G552,Table2PRN!G554,Table2PRN!G561,Table2PRN!G563,Table2PRN!G568,Table2PRN!G570,Table2PRN!G572,Table2PRN!G574,Table2PRN!G576)</f>
        <v>1</v>
      </c>
      <c r="G54" s="20">
        <f>SUM(Table2PRN!G340,Table2PRN!G342,Table2PRN!G344,Table2PRN!G351,Table2PRN!G353,Table2PRN!G358,Table2PRN!G360,Table2PRN!G362,Table2PRN!G364,Table2PRN!G366)</f>
        <v>3</v>
      </c>
      <c r="H54" s="20">
        <f t="shared" si="26"/>
        <v>4</v>
      </c>
      <c r="I54" s="1108">
        <f>SUM(Table2PRN!G760,Table2PRN!G762,Table2PRN!G764,Table2PRN!G771,Table2PRN!G773,Table2PRN!G778,Table2PRN!G780,Table2PRN!G782,Table2PRN!G784,Table2PRN!G786)</f>
        <v>1</v>
      </c>
      <c r="J54" s="1335">
        <f>SUM(Table2PRN!G970,Table2PRN!G972,Table2PRN!G974,Table2PRN!G981,Table2PRN!G983,Table2PRN!G988,Table2PRN!G990,Table2PRN!G992,Table2PRN!G994,Table2PRN!G996)</f>
        <v>2</v>
      </c>
      <c r="K54" s="20">
        <f>SUM(Table2PRN!G1390,Table2PRN!G1392,Table2PRN!G1394,Table2PRN!G1401,Table2PRN!G1403,Table2PRN!G1408,Table2PRN!G1410,Table2PRN!G1412,Table2PRN!G1414,Table2PRN!G1416)</f>
        <v>1</v>
      </c>
      <c r="L54" s="20">
        <f>SUM(Table2PRN!G1180,Table2PRN!G1182,Table2PRN!G1184,Table2PRN!G1191,Table2PRN!G1193,Table2PRN!G1198,Table2PRN!G1200,Table2PRN!G1202,Table2PRN!G1204,Table2PRN!G1206)</f>
        <v>3</v>
      </c>
      <c r="M54" s="20">
        <f t="shared" si="27"/>
        <v>4</v>
      </c>
      <c r="O54" s="7" t="s">
        <v>322</v>
      </c>
      <c r="P54" s="1108">
        <f>SUM(Table2PRN!G1611,Table2PRN!G1613,Table2PRN!G1618,Table2PRN!G1620,Table2PRN!G1622,Table2PRN!G1624,Table2PRN!G1626,Table2PRN!G1600,Table2PRN!G1602,Table2PRN!G1604)</f>
        <v>13</v>
      </c>
      <c r="Q54" s="20">
        <f>SUM(Table2PRN!G2020,Table2PRN!G2022,Table2PRN!G2024,Table2PRN!G2031,Table2PRN!G2033,Table2PRN!G2038,Table2PRN!G2040,Table2PRN!G2042,Table2PRN!G2044,Table2PRN!G2046)</f>
        <v>25</v>
      </c>
      <c r="R54" s="20">
        <f>SUM(Table2PRN!G1810,Table2PRN!G1812,Table2PRN!G1814,Table2PRN!G1821,Table2PRN!G1823,Table2PRN!G1828,Table2PRN!G1830,Table2PRN!G1832,Table2PRN!G1834,Table2PRN!G1836)</f>
        <v>18</v>
      </c>
      <c r="S54" s="20">
        <f t="shared" si="28"/>
        <v>43</v>
      </c>
      <c r="T54" s="1108">
        <f>SUM(Table2PRN!G2230,Table2PRN!G2232,Table2PRN!G2234,Table2PRN!G2241,Table2PRN!G2243,Table2PRN!G2248,Table2PRN!G2250,Table2PRN!G2252,Table2PRN!G2254,Table2PRN!G2256)</f>
        <v>0</v>
      </c>
      <c r="U54" s="20">
        <f>SUM(Table2PRN!G2650,Table2PRN!G2652,Table2PRN!G2654,Table2PRN!G2661,Table2PRN!G2663,Table2PRN!G2668,Table2PRN!G2670,Table2PRN!G2672,Table2PRN!G2674,Table2PRN!G2676)</f>
        <v>0</v>
      </c>
      <c r="V54" s="20">
        <f>SUM(Table2PRN!G2440,Table2PRN!G2442,Table2PRN!G2444,Table2PRN!G2451,Table2PRN!G2453,Table2PRN!G2458,Table2PRN!G2460,Table2PRN!G2462,Table2PRN!G2464,Table2PRN!G2466)</f>
        <v>0</v>
      </c>
      <c r="W54" s="20">
        <f t="shared" si="29"/>
        <v>0</v>
      </c>
      <c r="Y54" s="2" t="s">
        <v>265</v>
      </c>
      <c r="Z54" s="20">
        <f>AE18</f>
        <v>234</v>
      </c>
      <c r="AB54" s="20">
        <f>AG18</f>
        <v>943</v>
      </c>
      <c r="AD54" s="20">
        <f t="shared" ref="AD54:AD67" si="33">Z54+AB54</f>
        <v>1177</v>
      </c>
      <c r="AF54" s="30"/>
      <c r="AG54" s="30"/>
      <c r="AH54" s="2" t="s">
        <v>323</v>
      </c>
      <c r="AI54" s="20">
        <f>AE35</f>
        <v>60</v>
      </c>
      <c r="AK54" s="20">
        <f>AG35</f>
        <v>61</v>
      </c>
      <c r="AM54" s="20">
        <f t="shared" si="32"/>
        <v>121</v>
      </c>
      <c r="AP54" s="7" t="s">
        <v>322</v>
      </c>
      <c r="AQ54" s="1108">
        <f>SUM(Table2PRN!G5380,Table2PRN!G5382,Table2PRN!G5384,Table2PRN!G5391,Table2PRN!G5393,Table2PRN!G5398,Table2PRN!G5400,Table2PRN!G5402,Table2PRN!G5404,Table2PRN!G5406)</f>
        <v>82</v>
      </c>
      <c r="AR54" s="20">
        <f>SUM(Table2PRN!G5800,Table2PRN!G5802,Table2PRN!G5804,Table2PRN!G5811,Table2PRN!G5813,Table2PRN!G5818,Table2PRN!G5820,Table2PRN!G5822,Table2PRN!G5824,Table2PRN!G5826)</f>
        <v>733</v>
      </c>
      <c r="AS54" s="2">
        <f>SUM(Table2PRN!G5590,Table2PRN!G5592,Table2PRN!G5594,Table2PRN!G5601,Table2PRN!G5603,Table2PRN!G5608,Table2PRN!G5610,Table2PRN!G5612,Table2PRN!G5614,Table2PRN!G5616)</f>
        <v>189</v>
      </c>
      <c r="AT54" s="20">
        <f t="shared" si="30"/>
        <v>922</v>
      </c>
      <c r="AU54" s="1108">
        <f>SUM(Table2PRN!G6010,Table2PRN!G6012,Table2PRN!G6014,Table2PRN!G6021,Table2PRN!G6023,Table2PRN!G6028,Table2PRN!G6030,Table2PRN!G6032,Table2PRN!G6034,Table2PRN!G6036)</f>
        <v>2</v>
      </c>
      <c r="AV54" s="20">
        <f>SUM(Table2PRN!G6430,Table2PRN!G6432,Table2PRN!G6434,Table2PRN!G6441,Table2PRN!G6443,Table2PRN!G6448,Table2PRN!G6450,Table2PRN!G6452,Table2PRN!G6454,Table2PRN!G6456)</f>
        <v>4</v>
      </c>
      <c r="AW54" s="20">
        <f>SUM(Table2PRN!G6220,Table2PRN!G6222,Table2PRN!G6224,Table2PRN!G6231,Table2PRN!G6233,Table2PRN!G6238,Table2PRN!G6240,Table2PRN!G6242,Table2PRN!G6244,Table2PRN!G6246)</f>
        <v>2</v>
      </c>
      <c r="AX54" s="20">
        <f t="shared" si="31"/>
        <v>6</v>
      </c>
      <c r="AZ54" s="811" t="s">
        <v>324</v>
      </c>
      <c r="BA54" s="90">
        <f>SUM(Table2PRN!G8741,Table2PRN!G8743,Table2PRN!G8745,Table2PRN!G8752,Table2PRN!G8754,Table2PRN!G8759,Table2PRN!G8761,Table2PRN!G8763,Table2PRN!G8765,Table2PRN!G8767)</f>
        <v>3</v>
      </c>
      <c r="BB54" s="185">
        <f>SUM(Table2PRN!G8951,Table2PRN!G8953,Table2PRN!G8955,Table2PRN!G8962,Table2PRN!G8964,Table2PRN!G8969,Table2PRN!G8971,Table2PRN!G8973,Table2PRN!G8975,Table2PRN!G8977)</f>
        <v>8</v>
      </c>
      <c r="BC54" s="817">
        <f>SUM(StockSumPRN!$H$129:$I$129,StockSumPRN!$H$131:$I$131,StockSumPRN!$H$133:$I$133,StockSumPRN!$H$134:$I$134,StockSumPRN!$H$140:$I$140,StockSumPRN!$H$142:$I$142,StockSumPRN!$H$147:$I$147,StockSumPRN!$H$149:$I$149,StockSumPRN!$H$151:$I$151,StockSumPRN!$H$153:$I$153,StockSumPRN!$H$155:$I$155)</f>
        <v>1</v>
      </c>
      <c r="BD54" s="30">
        <f>SUM(StockSumPRN!F129:G129,StockSumPRN!F131:G131,StockSumPRN!F133:G133,StockSumPRN!F134:G134,StockSumPRN!F140:G140,StockSumPRN!F142:G142,StockSumPRN!F147:G147,StockSumPRN!F149:G149,StockSumPRN!F151:G151,StockSumPRN!F153:G153,StockSumPRN!F155:G155)</f>
        <v>29</v>
      </c>
      <c r="BE54" s="30">
        <f>SUM(StockSumPRN!J334:K334,StockSumPRN!J336:K336,StockSumPRN!J338:K338,StockSumPRN!J339:K339,StockSumPRN!J345:K345,StockSumPRN!J347:K347,StockSumPRN!J352:K352,StockSumPRN!J354:K354,StockSumPRN!J356:K356,StockSumPRN!J358:K358,StockSumPRN!J360:K360)</f>
        <v>10</v>
      </c>
      <c r="BF54" s="30">
        <f>SUM(StockSumPRN!H744:I744,StockSumPRN!H746:I746,StockSumPRN!H748:I748,StockSumPRN!H749:I749,StockSumPRN!H755:I755,StockSumPRN!H757:I757,StockSumPRN!H762:I762,StockSumPRN!H764:I764,StockSumPRN!H766:I766,StockSumPRN!H768:I768,StockSumPRN!H770:I770)</f>
        <v>38</v>
      </c>
      <c r="BG54" s="30">
        <f>SUM(StockSumPRN!$D$744:$E$744,StockSumPRN!$D$746:$E$746,StockSumPRN!$D$748:$E$748,StockSumPRN!$D$749:$E$749,StockSumPRN!$D$755:$E$755,StockSumPRN!$D$757:$E$757,StockSumPRN!$D$762:$E$762,StockSumPRN!$D$764:$E$764,StockSumPRN!$D$766:$E$766,StockSumPRN!$D$768:$E$768,StockSumPRN!$D$770:$E$770)</f>
        <v>14</v>
      </c>
      <c r="BH54" s="755">
        <f>SUM(StockSumPRN!J1974:K1974,StockSumPRN!J1976:K1976,StockSumPRN!J1978:K1978,StockSumPRN!J1985:K1985,StockSumPRN!J1987:K1987,StockSumPRN!J1992:K1992,StockSumPRN!J1994:K1994,StockSumPRN!J1996:K1996,StockSumPRN!J1998:K1998,StockSumPRN!J2000:K2000)</f>
        <v>80</v>
      </c>
      <c r="BI54" s="755">
        <f>SUM(StockSumPRN!F1974:G1974,StockSumPRN!F1976:G1976,StockSumPRN!F1978:G1978,StockSumPRN!F1979:G1979,StockSumPRN!F1985:G1985,StockSumPRN!F1987:G1987,StockSumPRN!F1992:G1992,StockSumPRN!F1994:G1994,StockSumPRN!F1996:G1996,StockSumPRN!F1998:G1998,StockSumPRN!F2000:G2000)</f>
        <v>3143</v>
      </c>
      <c r="BJ54" s="755">
        <f>SUM(StockSumPRN!D1769:E1769,StockSumPRN!D1771:E1771,StockSumPRN!D1773:E1773,StockSumPRN!D1774:E1774,StockSumPRN!D1780:E1780,StockSumPRN!D1782:E1782,StockSumPRN!D1787:E1787,StockSumPRN!D1789:E1789,StockSumPRN!D1791:E1791,StockSumPRN!D1793:E1793,StockSumPRN!D1795:E1795)</f>
        <v>407</v>
      </c>
      <c r="BK54" s="755">
        <f>SUM(StockSumPRN!D1564:E1564,StockSumPRN!D1566:E1566,StockSumPRN!D1568:E1568,StockSumPRN!D1569:E1569,StockSumPRN!D1575:E1575,StockSumPRN!D1577:E1577,StockSumPRN!D1582:E1582,StockSumPRN!D1584:E1584,StockSumPRN!D1586:E1586,StockSumPRN!D1588:E1588,StockSumPRN!D1590:E1590)</f>
        <v>1284</v>
      </c>
      <c r="BL54" s="755">
        <f>SUM(StockSumPRN!H1359:I1359,StockSumPRN!H1361:I1361,StockSumPRN!H1363:I1363,StockSumPRN!H1364:I1364,StockSumPRN!H1370:I1370,StockSumPRN!H1372:I1372,StockSumPRN!H1377:I1377,StockSumPRN!H1379:I1379,StockSumPRN!H1381:I1381,StockSumPRN!H1383:I1383,StockSumPRN!H1385:I1385)</f>
        <v>141</v>
      </c>
      <c r="BM54" s="809">
        <f>SUM(StockSumPRN!$H$1154:$I$1154,StockSumPRN!$H$1156:$I$1156,StockSumPRN!$H$1158:$I$1158,StockSumPRN!$H$1159:$I$1159,StockSumPRN!$H$1165:$I$1165,StockSumPRN!$H$1167:$I$1167,StockSumPRN!$H$1172:$I$1172,StockSumPRN!$H$1174:$I$1174,StockSumPRN!$H$1176:$I$1176,StockSumPRN!$H$1178:$I$1178,StockSumPRN!$H$1180:$I$1180)</f>
        <v>224</v>
      </c>
      <c r="BN54" s="30">
        <f>SUM(StockSumPRN!$H$949:$I$949,StockSumPRN!$H$951:$I$951,StockSumPRN!$H$953:$I$953,StockSumPRN!$H$954:$I$954,StockSumPRN!$H$960:$I$960,StockSumPRN!$H$962:$I$962,StockSumPRN!$H$967:$I$967,StockSumPRN!$H$969:$I$969,StockSumPRN!$H$971:$I$971,StockSumPRN!$H$973:$I$973,StockSumPRN!$H$975:$I$975)</f>
        <v>472</v>
      </c>
      <c r="BO54" s="755">
        <f>SUM(StockSumPRN!J2179:K2179,StockSumPRN!J2181:K2181,StockSumPRN!J2183:K2183,StockSumPRN!J2184:K2184,StockSumPRN!J2190:K2190,StockSumPRN!J2192:K2192,StockSumPRN!J2197:K2197,StockSumPRN!J2199:K2199,StockSumPRN!J2201:K2201,StockSumPRN!J2203:K2203,StockSumPRN!J2205:K2205)</f>
        <v>4</v>
      </c>
      <c r="BP54" s="755">
        <f>SUM(StockSumPRN!D2384:E2384,StockSumPRN!D2386:E2386,StockSumPRN!D2388:E2388,StockSumPRN!D2389:E2389,StockSumPRN!D2395:E2395,StockSumPRN!D2397:E2397,StockSumPRN!D2402:E2402,StockSumPRN!D2404:E2404,StockSumPRN!D2406:E2406,StockSumPRN!D2408:E2408,StockSumPRN!D2410:E2410)</f>
        <v>1</v>
      </c>
      <c r="BQ54" s="20"/>
      <c r="BR54" s="20"/>
      <c r="BS54" s="20"/>
      <c r="BT54" s="20"/>
      <c r="BW54" s="1050"/>
    </row>
    <row r="55" spans="1:75" x14ac:dyDescent="0.2">
      <c r="A55" s="7" t="s">
        <v>324</v>
      </c>
      <c r="B55" s="1108">
        <f>SUM(Table2PRN!G6851,Table2PRN!G6853,Table2PRN!G6855,Table2PRN!G6862,Table2PRN!G6864,Table2PRN!G6869,Table2PRN!G6871,Table2PRN!G6873,Table2PRN!G6875,Table2PRN!G6877)</f>
        <v>37717</v>
      </c>
      <c r="C55" s="20">
        <f>SUM(Table2PRN!G6641,Table2PRN!G6643,Table2PRN!G6645,Table2PRN!G6652,Table2PRN!G6654,Table2PRN!G6659,Table2PRN!G6661,Table2PRN!G6663,Table2PRN!G6665,Table2PRN!G6667)</f>
        <v>7809</v>
      </c>
      <c r="D55" s="20">
        <f t="shared" si="25"/>
        <v>45526</v>
      </c>
      <c r="E55" s="1108">
        <f>SUM(Table2PRN!G131,Table2PRN!G133,Table2PRN!G135,Table2PRN!G136,Table2PRN!G136,Table2PRN!G142,Table2PRN!G144,Table2PRN!G149,Table2PRN!G151,Table2PRN!G153,Table2PRN!G155,Table2PRN!G157)</f>
        <v>55</v>
      </c>
      <c r="F55" s="20">
        <f>SUM(Table2PRN!G551,Table2PRN!G553,Table2PRN!G555,Table2PRN!G562,Table2PRN!G564,Table2PRN!G569,Table2PRN!G571,Table2PRN!G573,Table2PRN!G575,Table2PRN!G577)</f>
        <v>11</v>
      </c>
      <c r="G55" s="20">
        <f>SUM(Table2PRN!G341,Table2PRN!G343,Table2PRN!G345,Table2PRN!G352,Table2PRN!G354,Table2PRN!G359,Table2PRN!G361,Table2PRN!G363,Table2PRN!G365,Table2PRN!G367)</f>
        <v>56</v>
      </c>
      <c r="H55" s="20">
        <f t="shared" si="26"/>
        <v>67</v>
      </c>
      <c r="I55" s="1108">
        <f>SUM(Table2PRN!G761,Table2PRN!G763,Table2PRN!G765,Table2PRN!G772,Table2PRN!G774,Table2PRN!G779,Table2PRN!G781,Table2PRN!G783,Table2PRN!G785,Table2PRN!G787)</f>
        <v>15</v>
      </c>
      <c r="J55" s="1335">
        <f>SUM(Table2PRN!G971,Table2PRN!G973,Table2PRN!G975,Table2PRN!G982,Table2PRN!G984,Table2PRN!G989,Table2PRN!G991,Table2PRN!G993,Table2PRN!G995,Table2PRN!G997)</f>
        <v>39</v>
      </c>
      <c r="K55" s="20">
        <f>SUM(Table2PRN!G1391,Table2PRN!G1393,Table2PRN!G1395,Table2PRN!G1402,Table2PRN!G1404,Table2PRN!G1409,Table2PRN!G1411,Table2PRN!G1413,Table2PRN!G1415)</f>
        <v>10</v>
      </c>
      <c r="L55" s="20">
        <f>SUM(Table2PRN!G1181,Table2PRN!G1183,Table2PRN!G1185,Table2PRN!G1192,Table2PRN!G1194,Table2PRN!G1199,Table2PRN!G1201,Table2PRN!G1203,Table2PRN!G1205,Table2PRN!G1207)</f>
        <v>55</v>
      </c>
      <c r="M55" s="20">
        <f t="shared" si="27"/>
        <v>65</v>
      </c>
      <c r="O55" s="7" t="s">
        <v>324</v>
      </c>
      <c r="P55" s="1108">
        <f>SUM(Table2PRN!G1612,Table2PRN!G1614,Table2PRN!G1619,Table2PRN!G1621,Table2PRN!G1623,Table2PRN!G1625,Table2PRN!G1627,Table2PRN!G1601,Table2PRN!G1603,Table2PRN!G1605)</f>
        <v>249</v>
      </c>
      <c r="Q55" s="20">
        <f>SUM(Table2PRN!G2021,Table2PRN!G2023,Table2PRN!G2025,Table2PRN!G2032,Table2PRN!G2034,Table2PRN!G2039,Table2PRN!G2041,Table2PRN!G2043,Table2PRN!G2045,Table2PRN!G2047)</f>
        <v>524</v>
      </c>
      <c r="R55" s="20">
        <f>SUM(Table2PRN!G1811,Table2PRN!G1813,Table2PRN!G1815,Table2PRN!G1822,Table2PRN!G1824,Table2PRN!G1829,Table2PRN!G1831,Table2PRN!G1833,Table2PRN!G1835,Table2PRN!G1837)</f>
        <v>330</v>
      </c>
      <c r="S55" s="20">
        <f t="shared" si="28"/>
        <v>854</v>
      </c>
      <c r="T55" s="1108">
        <f>SUM(Table2PRN!G2231,Table2PRN!G2233,Table2PRN!G2235,Table2PRN!G2242,Table2PRN!G2244,Table2PRN!G2249,Table2PRN!G2251,Table2PRN!G2253,Table2PRN!G2255,Table2PRN!G2257)</f>
        <v>4</v>
      </c>
      <c r="U55" s="20">
        <f>SUM(Table2PRN!G2651,Table2PRN!G2653,Table2PRN!G2655,Table2PRN!G2662,Table2PRN!G2664,Table2PRN!G2669,Table2PRN!G2671,Table2PRN!G2673,Table2PRN!G2675,Table2PRN!G2677)</f>
        <v>6</v>
      </c>
      <c r="V55" s="20">
        <f>SUM(Table2PRN!G2441,Table2PRN!G2443,Table2PRN!G2445,Table2PRN!G2452,Table2PRN!G2454,Table2PRN!G2459,Table2PRN!G2461,Table2PRN!G2463,Table2PRN!G2465,Table2PRN!G2467)</f>
        <v>6</v>
      </c>
      <c r="W55" s="20">
        <f t="shared" si="29"/>
        <v>12</v>
      </c>
      <c r="AB55" s="2" t="s">
        <v>129</v>
      </c>
      <c r="AD55" s="20">
        <f t="shared" si="33"/>
        <v>0</v>
      </c>
      <c r="AF55" s="30"/>
      <c r="AG55" s="30"/>
      <c r="AH55" s="2" t="s">
        <v>236</v>
      </c>
      <c r="AI55" s="20">
        <f>SUM(AI52:AI54)</f>
        <v>1366</v>
      </c>
      <c r="AK55" s="20">
        <f>SUM(AK52:AK54)</f>
        <v>1535</v>
      </c>
      <c r="AM55" s="20">
        <f t="shared" si="32"/>
        <v>2901</v>
      </c>
      <c r="AP55" s="7" t="s">
        <v>324</v>
      </c>
      <c r="AQ55" s="1108">
        <f>SUM(Table2PRN!G5381,Table2PRN!G5383,Table2PRN!G5385,Table2PRN!G5392,Table2PRN!G5394,Table2PRN!G5399,Table2PRN!G5401,Table2PRN!G5403,Table2PRN!G5405,Table2PRN!G5407)</f>
        <v>4541</v>
      </c>
      <c r="AR55" s="20">
        <f>SUM(Table2PRN!G5801,Table2PRN!G5803,Table2PRN!G5805,Table2PRN!G5812,Table2PRN!G5814,Table2PRN!G5819,Table2PRN!G5821,Table2PRN!G5823,Table2PRN!G5825,Table2PRN!G5827)</f>
        <v>37122</v>
      </c>
      <c r="AS55" s="2">
        <f>SUM(Table2PRN!G5591,Table2PRN!G5593,Table2PRN!G5595,Table2PRN!G5602,Table2PRN!G5604,Table2PRN!G5609,Table2PRN!G5611,Table2PRN!G5613,Table2PRN!G5615,Table2PRN!G5617)</f>
        <v>7292</v>
      </c>
      <c r="AT55" s="20">
        <f t="shared" si="30"/>
        <v>44414</v>
      </c>
      <c r="AU55" s="1108">
        <f>SUM(Table2PRN!G6011,Table2PRN!G6013,Table2PRN!G6015,Table2PRN!G6022,Table2PRN!G6024,Table2PRN!G6029,Table2PRN!G6031,Table2PRN!G6033,Table2PRN!G6035,Table2PRN!G6037)</f>
        <v>22</v>
      </c>
      <c r="AV55" s="20">
        <f>SUM(Table2PRN!G6431,Table2PRN!G6433,Table2PRN!G6435,Table2PRN!G6442,Table2PRN!G6444,Table2PRN!G6449,Table2PRN!G6451,Table2PRN!G6453,Table2PRN!G6455,Table2PRN!G6457)</f>
        <v>37</v>
      </c>
      <c r="AW55" s="20">
        <f>SUM(Table2PRN!G6221,Table2PRN!G6223,Table2PRN!G6225,Table2PRN!G6232,Table2PRN!G6234,Table2PRN!G6239,Table2PRN!G6241,Table2PRN!G6243,Table2PRN!G6245,Table2PRN!G6247)</f>
        <v>22</v>
      </c>
      <c r="AX55" s="20">
        <f t="shared" si="31"/>
        <v>59</v>
      </c>
      <c r="AZ55" s="811" t="s">
        <v>325</v>
      </c>
      <c r="BA55" s="90">
        <f>Table2PRN!G8717</f>
        <v>0</v>
      </c>
      <c r="BB55" s="754">
        <f>Table2PRN!G8927</f>
        <v>1</v>
      </c>
      <c r="BC55" s="817">
        <f>SUM(StockSumPRN!$H$105:$I$105)</f>
        <v>40</v>
      </c>
      <c r="BD55" s="30">
        <f>SUM(StockSumPRN!F105:G105)</f>
        <v>1345</v>
      </c>
      <c r="BE55" s="30">
        <f>SUM(StockSumPRN!J310:K310)</f>
        <v>9</v>
      </c>
      <c r="BF55" s="30">
        <f>SUM(StockSumPRN!H720:I720)</f>
        <v>1</v>
      </c>
      <c r="BG55" s="30">
        <f>SUM(StockSumPRN!$D$720:$E$720)</f>
        <v>0</v>
      </c>
      <c r="BH55" s="30">
        <f>SUM(StockSumPRN!J1950:K1950)</f>
        <v>1</v>
      </c>
      <c r="BI55" s="30">
        <f>SUM(StockSumPRN!F1950:G1950)</f>
        <v>9</v>
      </c>
      <c r="BJ55" s="30">
        <f>SUM(StockSumPRN!D1745:E1745)</f>
        <v>3</v>
      </c>
      <c r="BK55" s="30">
        <f>SUM(StockSumPRN!D1540:E1540)</f>
        <v>2</v>
      </c>
      <c r="BL55" s="30">
        <f>SUM(StockSumPRN!H1335:I1335)</f>
        <v>1</v>
      </c>
      <c r="BM55" s="809">
        <f>SUM(StockSumPRN!$H$1130:$I$1130)</f>
        <v>0</v>
      </c>
      <c r="BN55" s="30">
        <f>SUM(StockSumPRN!$H$925:$I$925)</f>
        <v>0</v>
      </c>
      <c r="BO55" s="30">
        <f>SUM(StockSumPRN!J2155:K2155)</f>
        <v>0</v>
      </c>
      <c r="BP55" s="30">
        <f>SUM(StockSumPRN!D2360:E2360)</f>
        <v>0</v>
      </c>
      <c r="BQ55" s="20"/>
      <c r="BT55" s="20"/>
      <c r="BW55" s="1050"/>
    </row>
    <row r="56" spans="1:75" x14ac:dyDescent="0.2">
      <c r="A56" s="7" t="s">
        <v>326</v>
      </c>
      <c r="B56" s="1108">
        <f>SUM(Table2PRN!G6827)</f>
        <v>1784</v>
      </c>
      <c r="C56" s="20">
        <f>SUM(Table2PRN!G6617)</f>
        <v>1127</v>
      </c>
      <c r="D56" s="20">
        <f t="shared" si="25"/>
        <v>2911</v>
      </c>
      <c r="E56" s="1108">
        <f>SUM(Table2PRN!G107)</f>
        <v>46</v>
      </c>
      <c r="F56" s="20">
        <f>SUM(Table2PRN!G527)</f>
        <v>10</v>
      </c>
      <c r="G56" s="20"/>
      <c r="H56" s="20">
        <f t="shared" si="26"/>
        <v>10</v>
      </c>
      <c r="I56" s="1108">
        <f>SUM(Table2PRN!G737)</f>
        <v>1</v>
      </c>
      <c r="J56" s="1335">
        <f>SUM(Table2PRN!G947)</f>
        <v>4</v>
      </c>
      <c r="K56" s="20">
        <f>SUM(Table2PRN!G1367)</f>
        <v>1</v>
      </c>
      <c r="L56" s="20">
        <f>SUM(Table2PRN!G1157)</f>
        <v>6</v>
      </c>
      <c r="M56" s="20">
        <f t="shared" si="27"/>
        <v>7</v>
      </c>
      <c r="O56" s="7" t="s">
        <v>326</v>
      </c>
      <c r="P56" s="1108">
        <f>SUM(Table2PRN!G1577)</f>
        <v>0</v>
      </c>
      <c r="Q56" s="20">
        <f>SUM(Table2PRN!G1997)</f>
        <v>1</v>
      </c>
      <c r="R56" s="20">
        <f>SUM(Table2PRN!G1787)</f>
        <v>0</v>
      </c>
      <c r="S56" s="20">
        <f t="shared" si="28"/>
        <v>1</v>
      </c>
      <c r="T56" s="1108">
        <f>SUM(Table2PRN!G2207)</f>
        <v>0</v>
      </c>
      <c r="U56" s="20">
        <f>SUM(Table2PRN!G2627)</f>
        <v>0</v>
      </c>
      <c r="V56" s="20">
        <f>SUM(Table2PRN!G2417)</f>
        <v>0</v>
      </c>
      <c r="W56" s="20">
        <f t="shared" si="29"/>
        <v>0</v>
      </c>
      <c r="Y56" s="2" t="s">
        <v>269</v>
      </c>
      <c r="Z56" s="20">
        <f>AE21</f>
        <v>305</v>
      </c>
      <c r="AB56" s="20">
        <f>AG21</f>
        <v>858</v>
      </c>
      <c r="AD56" s="20">
        <f t="shared" si="33"/>
        <v>1163</v>
      </c>
      <c r="AF56" s="30"/>
      <c r="AG56" s="30"/>
      <c r="AH56" s="2" t="s">
        <v>327</v>
      </c>
      <c r="AI56" s="20">
        <f>AE9-AE10</f>
        <v>9413.5186240222101</v>
      </c>
      <c r="AK56" s="20">
        <f>AG9</f>
        <v>15183.154043248731</v>
      </c>
      <c r="AM56" s="20">
        <f t="shared" si="32"/>
        <v>24596.672667270941</v>
      </c>
      <c r="AP56" s="7" t="s">
        <v>326</v>
      </c>
      <c r="AQ56" s="1108">
        <f>SUM(Table2PRN!G5357)</f>
        <v>4</v>
      </c>
      <c r="AR56" s="20">
        <f>SUM(Table2PRN!G5777)</f>
        <v>16</v>
      </c>
      <c r="AS56" s="20">
        <f>SUM(Table2PRN!G5567)</f>
        <v>11</v>
      </c>
      <c r="AT56" s="20">
        <f t="shared" si="30"/>
        <v>27</v>
      </c>
      <c r="AU56" s="1108">
        <f>SUM(Table2PRN!G5987)</f>
        <v>903</v>
      </c>
      <c r="AV56" s="20">
        <f>SUM(Table2PRN!G6407)</f>
        <v>1721</v>
      </c>
      <c r="AW56" s="20">
        <f>SUM(Table2PRN!G6197)</f>
        <v>905</v>
      </c>
      <c r="AX56" s="20">
        <f t="shared" si="31"/>
        <v>2626</v>
      </c>
      <c r="AZ56" s="811" t="s">
        <v>328</v>
      </c>
      <c r="BA56" s="90">
        <f>Table2PRN!G8718</f>
        <v>2</v>
      </c>
      <c r="BB56" s="754">
        <f>Table2PRN!G8928</f>
        <v>7</v>
      </c>
      <c r="BC56" s="817">
        <f>SUM(StockSumPRN!$H$106:$I$106)</f>
        <v>346</v>
      </c>
      <c r="BD56" s="30">
        <f>SUM(StockSumPRN!F106:G106)</f>
        <v>11494</v>
      </c>
      <c r="BE56" s="30">
        <f>SUM(StockSumPRN!J311:K311)</f>
        <v>78</v>
      </c>
      <c r="BF56" s="30">
        <f>SUM(StockSumPRN!H721:I721)</f>
        <v>7</v>
      </c>
      <c r="BG56" s="30">
        <f>SUM(StockSumPRN!$D$721:$E$721)</f>
        <v>2</v>
      </c>
      <c r="BH56" s="30">
        <f>SUM(StockSumPRN!J1951:K1951)</f>
        <v>11</v>
      </c>
      <c r="BI56" s="30">
        <f>SUM(StockSumPRN!F1951:G1951)</f>
        <v>76</v>
      </c>
      <c r="BJ56" s="30">
        <f>SUM(StockSumPRN!D1746:E1746)</f>
        <v>25</v>
      </c>
      <c r="BK56" s="30">
        <f>SUM(StockSumPRN!D1541:E1541)</f>
        <v>15</v>
      </c>
      <c r="BL56" s="30">
        <f>SUM(StockSumPRN!H1336:I1336)</f>
        <v>12</v>
      </c>
      <c r="BM56" s="809">
        <f>SUM(StockSumPRN!$H$1131:$I$1131)</f>
        <v>2</v>
      </c>
      <c r="BN56" s="30">
        <f>SUM(StockSumPRN!$H$926:$I$926)</f>
        <v>5</v>
      </c>
      <c r="BO56" s="30">
        <f>SUM(StockSumPRN!J2156:K2156)</f>
        <v>0</v>
      </c>
      <c r="BP56" s="30">
        <f>SUM(StockSumPRN!D2361:E2361)</f>
        <v>0</v>
      </c>
      <c r="BQ56" s="20"/>
      <c r="BT56" s="20"/>
      <c r="BW56" s="7"/>
    </row>
    <row r="57" spans="1:75" x14ac:dyDescent="0.2">
      <c r="A57" s="7" t="s">
        <v>329</v>
      </c>
      <c r="B57" s="1108">
        <f>SUM(Table2PRN!G6828)</f>
        <v>15241</v>
      </c>
      <c r="C57" s="20">
        <f>SUM(Table2PRN!G6618)</f>
        <v>9623</v>
      </c>
      <c r="D57" s="20">
        <f t="shared" si="25"/>
        <v>24864</v>
      </c>
      <c r="E57" s="1108">
        <f>SUM(Table2PRN!G108)</f>
        <v>386</v>
      </c>
      <c r="F57" s="20">
        <f>SUM(Table2PRN!G528)</f>
        <v>81</v>
      </c>
      <c r="G57" s="20">
        <f>SUM(Table2PRN!G318)</f>
        <v>394</v>
      </c>
      <c r="H57" s="20">
        <f t="shared" si="26"/>
        <v>475</v>
      </c>
      <c r="I57" s="1108">
        <f>SUM(Table2PRN!G738)</f>
        <v>12</v>
      </c>
      <c r="J57" s="1335">
        <f>SUM(Table2PRN!G948)</f>
        <v>33</v>
      </c>
      <c r="K57" s="20">
        <f>SUM(Table2PRN!G1368)</f>
        <v>9</v>
      </c>
      <c r="L57" s="20">
        <f>SUM(Table2PRN!G1158)</f>
        <v>46</v>
      </c>
      <c r="M57" s="20">
        <f t="shared" si="27"/>
        <v>55</v>
      </c>
      <c r="O57" s="7" t="s">
        <v>329</v>
      </c>
      <c r="P57" s="1108">
        <f>SUM(Table2PRN!G1578)</f>
        <v>3</v>
      </c>
      <c r="Q57" s="20">
        <f>SUM(Table2PRN!G1998)</f>
        <v>7</v>
      </c>
      <c r="R57" s="20">
        <f>SUM(Table2PRN!G1788)</f>
        <v>4</v>
      </c>
      <c r="S57" s="20">
        <f t="shared" si="28"/>
        <v>11</v>
      </c>
      <c r="T57" s="1108">
        <f>SUM(Table2PRN!G2208)</f>
        <v>0</v>
      </c>
      <c r="U57" s="20">
        <f>SUM(Table2PRN!G2628)</f>
        <v>0</v>
      </c>
      <c r="V57" s="20">
        <f>SUM(Table2PRN!G2418)</f>
        <v>0</v>
      </c>
      <c r="W57" s="20">
        <f t="shared" si="29"/>
        <v>0</v>
      </c>
      <c r="Y57" s="2" t="s">
        <v>271</v>
      </c>
      <c r="Z57" s="20">
        <f>AE22</f>
        <v>65</v>
      </c>
      <c r="AB57" s="20">
        <f>AG22</f>
        <v>179</v>
      </c>
      <c r="AD57" s="20">
        <f t="shared" si="33"/>
        <v>244</v>
      </c>
      <c r="AF57" s="30"/>
      <c r="AG57" s="30"/>
      <c r="AH57" s="2" t="s">
        <v>330</v>
      </c>
      <c r="AI57" s="20">
        <f>SUM(AI55:AI56)</f>
        <v>10779.51862402221</v>
      </c>
      <c r="AK57" s="20">
        <f>SUM(AK55:AK56)</f>
        <v>16718.154043248731</v>
      </c>
      <c r="AM57" s="20">
        <f t="shared" si="32"/>
        <v>27497.672667270941</v>
      </c>
      <c r="AP57" s="7" t="s">
        <v>329</v>
      </c>
      <c r="AQ57" s="1108">
        <f>SUM(Table2PRN!G5358)</f>
        <v>32</v>
      </c>
      <c r="AR57" s="20">
        <f>SUM(Table2PRN!G5778)</f>
        <v>136</v>
      </c>
      <c r="AS57" s="20">
        <f>SUM(Table2PRN!G5568)</f>
        <v>92</v>
      </c>
      <c r="AT57" s="20">
        <f t="shared" si="30"/>
        <v>228</v>
      </c>
      <c r="AU57" s="1108">
        <f>SUM(Table2PRN!G5988)</f>
        <v>7750</v>
      </c>
      <c r="AV57" s="20">
        <f>SUM(Table2PRN!G6408)</f>
        <v>14710</v>
      </c>
      <c r="AW57" s="20">
        <f>SUM(Table2PRN!G6198)</f>
        <v>7768</v>
      </c>
      <c r="AX57" s="20">
        <f t="shared" si="31"/>
        <v>22478</v>
      </c>
      <c r="AZ57" s="215" t="s">
        <v>331</v>
      </c>
      <c r="BA57" s="756" t="s">
        <v>129</v>
      </c>
      <c r="BB57" s="756" t="s">
        <v>129</v>
      </c>
      <c r="BC57" s="810" t="s">
        <v>129</v>
      </c>
      <c r="BD57" s="756" t="s">
        <v>129</v>
      </c>
      <c r="BE57" s="756" t="s">
        <v>129</v>
      </c>
      <c r="BF57" s="756" t="s">
        <v>129</v>
      </c>
      <c r="BG57" s="756" t="s">
        <v>129</v>
      </c>
      <c r="BH57" s="756" t="s">
        <v>129</v>
      </c>
      <c r="BI57" s="756" t="s">
        <v>129</v>
      </c>
      <c r="BJ57" s="756" t="s">
        <v>129</v>
      </c>
      <c r="BK57" s="756" t="s">
        <v>129</v>
      </c>
      <c r="BL57" s="756" t="s">
        <v>129</v>
      </c>
      <c r="BM57" s="756" t="s">
        <v>129</v>
      </c>
      <c r="BN57" s="756" t="s">
        <v>129</v>
      </c>
      <c r="BO57" s="756" t="s">
        <v>129</v>
      </c>
      <c r="BP57" s="756" t="s">
        <v>129</v>
      </c>
      <c r="BQ57" s="1501"/>
      <c r="BR57" s="1501"/>
      <c r="BS57" s="1501"/>
      <c r="BT57" s="1501"/>
      <c r="BU57" s="1501"/>
      <c r="BV57" s="1501"/>
      <c r="BW57" s="1501"/>
    </row>
    <row r="58" spans="1:75" x14ac:dyDescent="0.2">
      <c r="A58" s="2" t="s">
        <v>331</v>
      </c>
      <c r="B58" s="1500" t="s">
        <v>129</v>
      </c>
      <c r="C58" s="1501" t="s">
        <v>129</v>
      </c>
      <c r="D58" s="1501" t="s">
        <v>129</v>
      </c>
      <c r="E58" s="1500" t="s">
        <v>129</v>
      </c>
      <c r="F58" s="1501" t="s">
        <v>129</v>
      </c>
      <c r="G58" s="1501" t="s">
        <v>129</v>
      </c>
      <c r="H58" s="1501" t="s">
        <v>129</v>
      </c>
      <c r="I58" s="1500" t="s">
        <v>129</v>
      </c>
      <c r="J58" s="1502" t="s">
        <v>129</v>
      </c>
      <c r="K58" s="1501" t="s">
        <v>129</v>
      </c>
      <c r="L58" s="1501" t="s">
        <v>129</v>
      </c>
      <c r="M58" s="1501" t="s">
        <v>129</v>
      </c>
      <c r="O58" s="2" t="s">
        <v>331</v>
      </c>
      <c r="P58" s="1500" t="s">
        <v>129</v>
      </c>
      <c r="Q58" s="1501" t="s">
        <v>129</v>
      </c>
      <c r="R58" s="1501" t="s">
        <v>129</v>
      </c>
      <c r="S58" s="1501" t="s">
        <v>129</v>
      </c>
      <c r="T58" s="1500" t="s">
        <v>129</v>
      </c>
      <c r="U58" s="1501" t="s">
        <v>129</v>
      </c>
      <c r="V58" s="1501" t="s">
        <v>129</v>
      </c>
      <c r="W58" s="1501" t="s">
        <v>129</v>
      </c>
      <c r="Y58" s="2" t="s">
        <v>273</v>
      </c>
      <c r="Z58" s="20">
        <f>AE24</f>
        <v>115</v>
      </c>
      <c r="AB58" s="20">
        <f>AG24</f>
        <v>547</v>
      </c>
      <c r="AD58" s="20">
        <f t="shared" si="33"/>
        <v>662</v>
      </c>
      <c r="AF58" s="30"/>
      <c r="AG58" s="30"/>
      <c r="AP58" s="2" t="s">
        <v>331</v>
      </c>
      <c r="AQ58" s="1500" t="s">
        <v>129</v>
      </c>
      <c r="AR58" s="1501" t="s">
        <v>129</v>
      </c>
      <c r="AS58" s="1501" t="s">
        <v>129</v>
      </c>
      <c r="AT58" s="1501" t="s">
        <v>129</v>
      </c>
      <c r="AU58" s="1500" t="s">
        <v>129</v>
      </c>
      <c r="AV58" s="1501" t="s">
        <v>129</v>
      </c>
      <c r="AW58" s="1501" t="s">
        <v>129</v>
      </c>
      <c r="AX58" s="1501" t="s">
        <v>129</v>
      </c>
      <c r="AZ58" s="811" t="s">
        <v>332</v>
      </c>
      <c r="BA58" s="90">
        <f>SUM(Table2PRN!G8732)</f>
        <v>4</v>
      </c>
      <c r="BB58" s="754">
        <f>Table2PRN!G8942</f>
        <v>0</v>
      </c>
      <c r="BC58" s="265"/>
      <c r="BD58" s="757"/>
      <c r="BE58" s="757"/>
      <c r="BF58" s="30"/>
      <c r="BG58" s="2">
        <f>SUM(StockSumPRN!$D$735:$E$735)</f>
        <v>4</v>
      </c>
      <c r="BH58" s="757"/>
      <c r="BI58" s="757"/>
      <c r="BJ58" s="757"/>
      <c r="BK58" s="757"/>
      <c r="BL58" s="757"/>
      <c r="BM58" s="812"/>
      <c r="BN58" s="757"/>
      <c r="BO58" s="30">
        <f>SUM(StockSumPRN!$J$2141:$K$2141)</f>
        <v>2081</v>
      </c>
      <c r="BP58" s="757"/>
    </row>
    <row r="59" spans="1:75" x14ac:dyDescent="0.2">
      <c r="A59" s="7" t="s">
        <v>332</v>
      </c>
      <c r="B59" s="1513" t="s">
        <v>333</v>
      </c>
      <c r="E59" s="1108">
        <v>0</v>
      </c>
      <c r="F59" s="20">
        <v>0</v>
      </c>
      <c r="G59" s="20">
        <v>0</v>
      </c>
      <c r="H59" s="20">
        <f t="shared" si="26"/>
        <v>0</v>
      </c>
      <c r="I59" s="1108">
        <f>SUM(Table2PRN!G752)</f>
        <v>5</v>
      </c>
      <c r="J59" s="1335">
        <f>SUM(Table2PRN!G962)</f>
        <v>12</v>
      </c>
      <c r="K59" s="20">
        <f>SUM(Table2PRN!G1382)</f>
        <v>5</v>
      </c>
      <c r="L59" s="20">
        <f>SUM(Table2PRN!G1172)</f>
        <v>16</v>
      </c>
      <c r="M59" s="20">
        <f t="shared" si="27"/>
        <v>21</v>
      </c>
      <c r="O59" s="7" t="s">
        <v>332</v>
      </c>
      <c r="P59" s="1108">
        <f>SUM(Table2PRN!G1636,Table2PRN!G1638)</f>
        <v>90</v>
      </c>
      <c r="Q59" s="20">
        <f>SUM(Table2PRN!G2056,Table2PRN!G2058)</f>
        <v>2054</v>
      </c>
      <c r="R59" s="20">
        <f>SUM(Table2PRN!G1846,Table2PRN!G1848)</f>
        <v>484</v>
      </c>
      <c r="S59" s="20">
        <f t="shared" si="28"/>
        <v>2538</v>
      </c>
      <c r="T59" s="1108">
        <f>SUM(Table2PRN!G2193)</f>
        <v>0</v>
      </c>
      <c r="U59" s="2">
        <f>SUM(Table2PRN!G2613)</f>
        <v>2061</v>
      </c>
      <c r="V59" s="2">
        <f>SUM(Table2PRN!G2403)</f>
        <v>193</v>
      </c>
      <c r="W59" s="20">
        <f t="shared" si="29"/>
        <v>2254</v>
      </c>
      <c r="Y59" s="2" t="s">
        <v>145</v>
      </c>
      <c r="Z59" s="20">
        <f>AE25</f>
        <v>7</v>
      </c>
      <c r="AB59" s="20">
        <f>AG25</f>
        <v>32</v>
      </c>
      <c r="AD59" s="20">
        <f t="shared" si="33"/>
        <v>39</v>
      </c>
      <c r="AF59" s="30"/>
      <c r="AG59" s="30"/>
      <c r="AP59" s="7" t="s">
        <v>332</v>
      </c>
      <c r="AQ59" s="854" t="s">
        <v>297</v>
      </c>
      <c r="AT59" s="1050" t="s">
        <v>297</v>
      </c>
      <c r="AU59" s="854" t="s">
        <v>297</v>
      </c>
      <c r="AX59" s="1050" t="s">
        <v>297</v>
      </c>
      <c r="AZ59" s="811" t="s">
        <v>334</v>
      </c>
      <c r="BA59" s="90">
        <f>SUM(Table2PRN!G8733,Table2PRN!G8734,Table2PRN!G8735)</f>
        <v>4244</v>
      </c>
      <c r="BB59" s="754">
        <f>SUM(Table2PRN!G8943,Table2PRN!G8944,Table2PRN!G8945)</f>
        <v>606</v>
      </c>
      <c r="BC59" s="265"/>
      <c r="BD59" s="30">
        <f>SUM(StockSumPRN!$F$107:$G$107)</f>
        <v>14850</v>
      </c>
      <c r="BE59" s="1456">
        <f>SUM(StockSumPRN!$J$317:$K$319)+(Sk!E56-Sk!B56)</f>
        <v>5736</v>
      </c>
      <c r="BF59" s="30"/>
      <c r="BG59" s="30">
        <f>SUM(StockSumPRN!$D$736:$E$738)</f>
        <v>4245</v>
      </c>
      <c r="BH59" s="30">
        <f>SUM(StockSumPRN!$J$1979:$K$1979)</f>
        <v>2590</v>
      </c>
      <c r="BI59" s="30">
        <f>SUM(StockSumPRN!$F$1980:$G$1980)</f>
        <v>19961</v>
      </c>
      <c r="BJ59" s="30">
        <f>SUM(StockSumPRN!$D$1783:$E$1783)</f>
        <v>4924</v>
      </c>
      <c r="BK59" s="757"/>
      <c r="BL59" s="30">
        <f>SUM(StockSumPRN!H1386:I1386)</f>
        <v>1586</v>
      </c>
      <c r="BM59" s="809">
        <f>SUM(StockSumPRN!$H$1195:$I$1195)</f>
        <v>1321</v>
      </c>
      <c r="BN59" s="809">
        <f>SUM(StockSumPRN!$H$991:$I$991)</f>
        <v>1218</v>
      </c>
      <c r="BO59" s="30">
        <f>SUM(StockSumPRN!$J$2142:$K$2142)</f>
        <v>745</v>
      </c>
      <c r="BP59" s="30">
        <f>SUM(StockSumPRN!D2348:E2348)</f>
        <v>0</v>
      </c>
    </row>
    <row r="60" spans="1:75" x14ac:dyDescent="0.2">
      <c r="A60" s="7" t="s">
        <v>334</v>
      </c>
      <c r="B60" s="32"/>
      <c r="C60" s="1268" t="s">
        <v>335</v>
      </c>
      <c r="E60" s="1108">
        <f>SUM(Table2PRN!G114,Table2PRN!G116)+Sk!B56</f>
        <v>15924</v>
      </c>
      <c r="F60" s="20">
        <f>SUM(Table2PRN!G534,Table2PRN!G536)</f>
        <v>1979</v>
      </c>
      <c r="G60" s="1322">
        <f>SUM(Table2PRN!G324,Table2PRN!G326)+Sk!B56</f>
        <v>16122</v>
      </c>
      <c r="H60" s="20">
        <f>F60+G60</f>
        <v>18101</v>
      </c>
      <c r="I60" s="1108">
        <f>SUM(Table2PRN!G754,Table2PRN!G753)</f>
        <v>5336</v>
      </c>
      <c r="J60" s="1335">
        <f>SUM(Table2PRN!G963,Table2PRN!G965)</f>
        <v>13303</v>
      </c>
      <c r="K60" s="20">
        <f>SUM(Table2PRN!G1383,Table2PRN!G1384,Table2PRN!G1385)</f>
        <v>5152</v>
      </c>
      <c r="L60" s="20">
        <f>SUM(Table2PRN!G1173,Table2PRN!G1174,Table2PRN!G1175)</f>
        <v>18786</v>
      </c>
      <c r="M60" s="20">
        <f t="shared" si="27"/>
        <v>23938</v>
      </c>
      <c r="O60" s="7" t="s">
        <v>334</v>
      </c>
      <c r="P60" s="1108">
        <f>SUM(Table2PRN!G1637,Table2PRN!G1642,Table2PRN!G1643,Table2PRN!G1639)</f>
        <v>936</v>
      </c>
      <c r="Q60" s="20">
        <f>SUM(Table2PRN!G2057,Table2PRN!G2062,Table2PRN!G2063,Table2PRN!G2059)</f>
        <v>9700</v>
      </c>
      <c r="R60" s="20">
        <f>SUM(Table2PRN!G1847,Table2PRN!G1852,Table2PRN!G1853,Table2PRN!G1849)</f>
        <v>2677</v>
      </c>
      <c r="S60" s="20">
        <f t="shared" si="28"/>
        <v>12377</v>
      </c>
      <c r="T60" s="1108">
        <f>SUM(Table2PRN!G2194,Table2PRN!G2195,Table2PRN!G2196,Table2PRN!G2197)</f>
        <v>0</v>
      </c>
      <c r="U60" s="2">
        <f>SUM(Table2PRN!G2614,Table2PRN!G2615,Table2PRN!G2616,Table2PRN!G2617)</f>
        <v>738</v>
      </c>
      <c r="V60" s="2">
        <f>SUM(Table2PRN!G2404,Table2PRN!G2405,Table2PRN!G2406,Table2PRN!G2407)</f>
        <v>67</v>
      </c>
      <c r="W60" s="20">
        <f t="shared" si="29"/>
        <v>805</v>
      </c>
      <c r="Y60" s="2" t="s">
        <v>275</v>
      </c>
      <c r="Z60" s="20">
        <f>AE26</f>
        <v>341</v>
      </c>
      <c r="AB60" s="20">
        <f>AG26</f>
        <v>1588</v>
      </c>
      <c r="AD60" s="20">
        <f t="shared" si="33"/>
        <v>1929</v>
      </c>
      <c r="AF60" s="30"/>
      <c r="AG60" s="30"/>
      <c r="AP60" s="7" t="s">
        <v>334</v>
      </c>
      <c r="AQ60" s="1108">
        <f>SUM(Table2PRN!G5386,Table2PRN!G5387,Table2PRN!G5395,Table2PRN!G5408,Table2PRN!G5409)</f>
        <v>3421</v>
      </c>
      <c r="AR60" s="2">
        <f>SUM(Table2PRN!G5807,Table2PRN!G5806,Table2PRN!G5815,Table2PRN!G5828,Table2PRN!G5829)</f>
        <v>13705</v>
      </c>
      <c r="AS60" s="2">
        <f>SUM(Table2PRN!G5597,Table2PRN!G5596,Table2PRN!G5605,Table2PRN!G5618,Table2PRN!G5619)</f>
        <v>18993</v>
      </c>
      <c r="AT60" s="20">
        <f>AR60+AS60</f>
        <v>32698</v>
      </c>
      <c r="AU60" s="1108">
        <f>SUM(Table2PRN!G5989)</f>
        <v>6054</v>
      </c>
      <c r="AV60" s="2">
        <f>SUM(Table2PRN!G6409)</f>
        <v>18313</v>
      </c>
      <c r="AW60" s="2">
        <f>SUM(Table2PRN!G6199)</f>
        <v>6080</v>
      </c>
      <c r="AX60" s="20">
        <f>AV60+AW60</f>
        <v>24393</v>
      </c>
      <c r="BA60" s="810" t="s">
        <v>129</v>
      </c>
      <c r="BB60" s="756" t="s">
        <v>129</v>
      </c>
      <c r="BC60" s="810" t="s">
        <v>129</v>
      </c>
      <c r="BD60" s="756" t="s">
        <v>129</v>
      </c>
      <c r="BE60" s="756" t="s">
        <v>129</v>
      </c>
      <c r="BF60" s="756" t="s">
        <v>129</v>
      </c>
      <c r="BG60" s="756" t="s">
        <v>129</v>
      </c>
      <c r="BH60" s="756" t="s">
        <v>129</v>
      </c>
      <c r="BI60" s="756" t="s">
        <v>129</v>
      </c>
      <c r="BJ60" s="756" t="s">
        <v>129</v>
      </c>
      <c r="BK60" s="756" t="s">
        <v>129</v>
      </c>
      <c r="BL60" s="756" t="s">
        <v>129</v>
      </c>
      <c r="BM60" s="756" t="s">
        <v>129</v>
      </c>
      <c r="BN60" s="756" t="s">
        <v>129</v>
      </c>
      <c r="BO60" s="756" t="s">
        <v>129</v>
      </c>
      <c r="BP60" s="756" t="s">
        <v>129</v>
      </c>
      <c r="BQ60" s="6"/>
      <c r="BR60" s="6"/>
      <c r="BS60" s="6"/>
      <c r="BT60" s="6"/>
      <c r="BU60" s="6"/>
      <c r="BV60" s="6"/>
      <c r="BW60" s="6"/>
    </row>
    <row r="61" spans="1:75" x14ac:dyDescent="0.2">
      <c r="A61" s="7" t="s">
        <v>336</v>
      </c>
      <c r="B61" s="97" t="e">
        <f>SUM(Table2PRN!G6732:G6733,Table2PRN!G6740:G6745,Table2PRN!G6755:G6763,Table2PRN!G6776:G6809,Table2PRN!G6813:G6817,Table2PRN!G6820:G6821,Table2PRN!G6825:G6826,Table2PRN!G6829:G6831,Table2PRN!G6834:G6836,Table2PRN!G6839,Table2PRN!G6844:G6845,Table2PRN!G6847:G6848,Table2PRN!G6857:G6859,Table2PRN!G6865:G6866,Table2PRN!G6878:G6882,Table2PRN!G6892:G6897,Table2PRN!G6898:G6899,Table2PRN!#REF!)</f>
        <v>#REF!</v>
      </c>
      <c r="C61" s="96">
        <f>SUM(Table2PRN!G6522:G6523,Table2PRN!G6530:G6535,Table2PRN!G6545:G6553,Table2PRN!G6566:G6599,Table2PRN!G6605:G6607,Table2PRN!G6610:G6611,Table2PRN!G6615:G6616,Table2PRN!G6619:G6621,Table2PRN!G6624,Table2PRN!G6625,Table2PRN!G6626,Table2PRN!G6629,Table2PRN!G6634:G6635,Table2PRN!G6637:G6638,Table2PRN!G6647:G6649,Table2PRN!G6655:G6656,Table2PRN!G6668:G6672,Table2PRN!G6682:G6689)</f>
        <v>242277</v>
      </c>
      <c r="E61" s="1108">
        <f>SUM(Table2PRN!G115)</f>
        <v>1519</v>
      </c>
      <c r="F61" s="20">
        <f>SUM(Table2PRN!G535)</f>
        <v>428</v>
      </c>
      <c r="G61" s="20">
        <f>SUM(Table2PRN!G325)</f>
        <v>1567</v>
      </c>
      <c r="H61" s="20">
        <f>F61+G61</f>
        <v>1995</v>
      </c>
      <c r="I61" s="854" t="s">
        <v>297</v>
      </c>
      <c r="J61" s="1087" t="s">
        <v>297</v>
      </c>
      <c r="M61" s="20"/>
      <c r="O61" s="7" t="s">
        <v>336</v>
      </c>
      <c r="P61" s="854" t="s">
        <v>297</v>
      </c>
      <c r="S61" s="7" t="s">
        <v>297</v>
      </c>
      <c r="T61" s="854" t="s">
        <v>297</v>
      </c>
      <c r="W61" s="7" t="s">
        <v>297</v>
      </c>
      <c r="Y61" s="2" t="s">
        <v>276</v>
      </c>
      <c r="Z61" s="20">
        <f>AE27</f>
        <v>58</v>
      </c>
      <c r="AB61" s="20">
        <f>AG27</f>
        <v>261</v>
      </c>
      <c r="AD61" s="20">
        <f t="shared" si="33"/>
        <v>319</v>
      </c>
      <c r="AF61" s="30"/>
      <c r="AG61" s="30"/>
      <c r="AP61" s="7" t="s">
        <v>336</v>
      </c>
      <c r="AQ61" s="854">
        <f>SUM(SPS!C8)*SUM(TRunsPRN!D24:D26)/SUM(TRunsPRN!D48:D53)+0.02*SUM(SPS!C8)*SUM(TRunsPRN!D24:D26)/SUM(TRunsPRN!D48:D53)</f>
        <v>11.477530639553034</v>
      </c>
      <c r="AU61" s="854" t="s">
        <v>297</v>
      </c>
      <c r="AX61" s="7" t="s">
        <v>297</v>
      </c>
      <c r="AZ61" s="157" t="s">
        <v>337</v>
      </c>
      <c r="BA61" s="265">
        <f>SUM(Table2PRN!G8666:G8699)</f>
        <v>0</v>
      </c>
      <c r="BB61" s="2">
        <f>SUM(Table2PRN!G8876:G8909)</f>
        <v>0</v>
      </c>
      <c r="BC61" s="30">
        <f>SUM(StockSumPRN!$H$54:$I$88)</f>
        <v>0</v>
      </c>
      <c r="BD61" s="30">
        <f>SUM(StockSumPRN!$F$54:$G$88)</f>
        <v>0</v>
      </c>
      <c r="BE61" s="30">
        <f>SUM(StockSumPRN!$J$259:$K$293)</f>
        <v>0</v>
      </c>
      <c r="BF61" s="30">
        <f>SUM(StockSumPRN!$H$669:$I$703)</f>
        <v>0</v>
      </c>
      <c r="BG61" s="30">
        <f>SUM(StockSumPRN!$D$669:$E$703)</f>
        <v>0</v>
      </c>
      <c r="BH61" s="2">
        <f>SUM(StockSumPRN!$J$1899:$K$1933)</f>
        <v>0</v>
      </c>
      <c r="BI61" s="2">
        <f>SUM(StockSumPRN!$F$1899:$G$1933)</f>
        <v>3</v>
      </c>
      <c r="BJ61" s="2">
        <f>SUM(StockSumPRN!$D$1694:$E$1728)</f>
        <v>1</v>
      </c>
      <c r="BK61" s="30">
        <f>SUM(StockSumPRN!$D$1489:$E$1523)</f>
        <v>0</v>
      </c>
      <c r="BL61" s="30">
        <f>SUM(StockSumPRN!$H$1284:$I$1318)</f>
        <v>0</v>
      </c>
      <c r="BM61" s="2">
        <f>SUM(StockSumPRN!$H$1079:$I$1113)</f>
        <v>0</v>
      </c>
      <c r="BN61" s="30">
        <f>SUM(StockSumPRN!$H$874:$I$908)</f>
        <v>1</v>
      </c>
      <c r="BO61" s="2">
        <f>SUM(StockSumPRN!$J$2104:$K$2138)</f>
        <v>0</v>
      </c>
      <c r="BP61" s="2">
        <f>SUM(StockSumPRN!$D$2309:$E$2343)</f>
        <v>0</v>
      </c>
    </row>
    <row r="62" spans="1:75" x14ac:dyDescent="0.2">
      <c r="A62" s="6" t="s">
        <v>125</v>
      </c>
      <c r="B62" s="6" t="s">
        <v>125</v>
      </c>
      <c r="C62" s="6" t="s">
        <v>125</v>
      </c>
      <c r="D62" s="6" t="s">
        <v>125</v>
      </c>
      <c r="E62" s="6" t="s">
        <v>125</v>
      </c>
      <c r="F62" s="6" t="s">
        <v>125</v>
      </c>
      <c r="G62" s="6" t="s">
        <v>125</v>
      </c>
      <c r="H62" s="6" t="s">
        <v>125</v>
      </c>
      <c r="I62" s="6" t="s">
        <v>125</v>
      </c>
      <c r="J62" s="6"/>
      <c r="K62" s="6" t="s">
        <v>125</v>
      </c>
      <c r="L62" s="6" t="s">
        <v>125</v>
      </c>
      <c r="M62" s="6" t="s">
        <v>125</v>
      </c>
      <c r="O62" s="6" t="s">
        <v>125</v>
      </c>
      <c r="P62" s="6" t="s">
        <v>125</v>
      </c>
      <c r="Q62" s="6" t="s">
        <v>125</v>
      </c>
      <c r="R62" s="6" t="s">
        <v>125</v>
      </c>
      <c r="S62" s="6" t="s">
        <v>125</v>
      </c>
      <c r="T62" s="6" t="s">
        <v>125</v>
      </c>
      <c r="U62" s="6" t="s">
        <v>125</v>
      </c>
      <c r="V62" s="6" t="s">
        <v>125</v>
      </c>
      <c r="W62" s="6" t="s">
        <v>125</v>
      </c>
      <c r="Y62" s="2" t="s">
        <v>277</v>
      </c>
      <c r="Z62" s="20">
        <f>AE28</f>
        <v>79</v>
      </c>
      <c r="AB62" s="20">
        <f>AG28</f>
        <v>379</v>
      </c>
      <c r="AD62" s="20">
        <f t="shared" si="33"/>
        <v>458</v>
      </c>
      <c r="AF62" s="30"/>
      <c r="AG62" s="30"/>
      <c r="AP62" s="6" t="s">
        <v>125</v>
      </c>
      <c r="AQ62" s="6" t="s">
        <v>125</v>
      </c>
      <c r="AR62" s="6" t="s">
        <v>125</v>
      </c>
      <c r="AS62" s="6" t="s">
        <v>125</v>
      </c>
      <c r="AT62" s="6" t="s">
        <v>125</v>
      </c>
      <c r="AU62" s="6" t="s">
        <v>125</v>
      </c>
      <c r="AV62" s="6" t="s">
        <v>125</v>
      </c>
      <c r="AW62" s="6" t="s">
        <v>125</v>
      </c>
      <c r="AX62" s="6" t="s">
        <v>125</v>
      </c>
      <c r="AZ62" s="6" t="s">
        <v>125</v>
      </c>
      <c r="BA62" s="6" t="s">
        <v>125</v>
      </c>
      <c r="BB62" s="6" t="s">
        <v>125</v>
      </c>
      <c r="BC62" s="6" t="s">
        <v>125</v>
      </c>
      <c r="BD62" s="6" t="s">
        <v>125</v>
      </c>
      <c r="BE62" s="6" t="s">
        <v>125</v>
      </c>
      <c r="BF62" s="6" t="s">
        <v>125</v>
      </c>
      <c r="BG62" s="6"/>
      <c r="BH62" s="6" t="s">
        <v>125</v>
      </c>
      <c r="BI62" s="6" t="s">
        <v>125</v>
      </c>
      <c r="BJ62" s="6" t="s">
        <v>125</v>
      </c>
      <c r="BK62" s="6" t="s">
        <v>125</v>
      </c>
      <c r="BL62" s="6" t="s">
        <v>125</v>
      </c>
      <c r="BM62" s="6" t="s">
        <v>125</v>
      </c>
      <c r="BN62" s="6" t="s">
        <v>125</v>
      </c>
      <c r="BO62" s="6" t="s">
        <v>125</v>
      </c>
      <c r="BP62" s="6" t="s">
        <v>125</v>
      </c>
    </row>
    <row r="63" spans="1:75" x14ac:dyDescent="0.2">
      <c r="A63" s="2" t="s">
        <v>301</v>
      </c>
      <c r="O63" s="7" t="s">
        <v>236</v>
      </c>
      <c r="P63" s="34">
        <f>SUM(P15:P61)</f>
        <v>8947</v>
      </c>
      <c r="Q63" s="34"/>
      <c r="R63" s="34"/>
      <c r="S63" s="34">
        <f>SUM(S15:S61)</f>
        <v>53313</v>
      </c>
      <c r="T63" s="34">
        <f>SUM(T15:T61)</f>
        <v>801</v>
      </c>
      <c r="U63" s="34"/>
      <c r="V63" s="34"/>
      <c r="W63" s="34">
        <f>SUM(W15:W61)</f>
        <v>7272</v>
      </c>
      <c r="Y63" s="2" t="s">
        <v>282</v>
      </c>
      <c r="Z63" s="20">
        <f>AE31</f>
        <v>24</v>
      </c>
      <c r="AB63" s="20">
        <f>AG31</f>
        <v>157</v>
      </c>
      <c r="AD63" s="20">
        <f t="shared" si="33"/>
        <v>181</v>
      </c>
      <c r="AF63" s="30"/>
      <c r="AG63" s="30"/>
      <c r="AP63" s="2" t="s">
        <v>301</v>
      </c>
      <c r="BD63" s="30"/>
      <c r="BE63" s="30"/>
      <c r="BH63" s="30"/>
      <c r="BK63" s="30"/>
      <c r="BL63" s="30"/>
    </row>
    <row r="64" spans="1:75" x14ac:dyDescent="0.2">
      <c r="A64" s="2" t="s">
        <v>304</v>
      </c>
      <c r="O64" s="505"/>
      <c r="Y64" s="2" t="s">
        <v>151</v>
      </c>
      <c r="Z64" s="20">
        <f>AE32</f>
        <v>2</v>
      </c>
      <c r="AB64" s="20">
        <f>AG32</f>
        <v>11</v>
      </c>
      <c r="AD64" s="20">
        <f t="shared" si="33"/>
        <v>13</v>
      </c>
      <c r="AF64" s="30"/>
      <c r="AG64" s="30"/>
      <c r="AZ64" s="1476" t="s">
        <v>338</v>
      </c>
      <c r="BC64" s="30">
        <f>SUM(BC15:BC39)+SUM(BC42:BC54)</f>
        <v>528</v>
      </c>
      <c r="BD64" s="30">
        <f>SUM(BD15:BD39)+SUM(BD42:BD54)</f>
        <v>18181</v>
      </c>
      <c r="BE64" s="30"/>
      <c r="BH64" s="30"/>
      <c r="BK64" s="30">
        <f>SUM(BK15:BK39)+SUM(BK42:BK56)</f>
        <v>8120</v>
      </c>
      <c r="BL64" s="30">
        <f>SUM(BL15:BL39)+SUM(BL42:BL56)</f>
        <v>5155</v>
      </c>
      <c r="BO64" s="30">
        <f>SUM(BO15:BO39)+SUM(BO42:BO56)</f>
        <v>2080</v>
      </c>
      <c r="BP64" s="30">
        <f>SUM(BP15:BP39)+SUM(BP42:BP56)</f>
        <v>514</v>
      </c>
    </row>
    <row r="65" spans="1:77" x14ac:dyDescent="0.2">
      <c r="A65" s="2" t="s">
        <v>339</v>
      </c>
      <c r="O65" s="505" t="s">
        <v>301</v>
      </c>
      <c r="P65" s="34"/>
      <c r="Q65" s="34"/>
      <c r="R65" s="34"/>
      <c r="S65" s="34"/>
      <c r="T65" s="34"/>
      <c r="U65" s="34"/>
      <c r="V65" s="34"/>
      <c r="W65" s="34"/>
      <c r="Y65" s="2" t="s">
        <v>289</v>
      </c>
      <c r="Z65" s="20">
        <f>AE33</f>
        <v>3</v>
      </c>
      <c r="AB65" s="20">
        <f>AG33</f>
        <v>2</v>
      </c>
      <c r="AD65" s="20">
        <f t="shared" si="33"/>
        <v>5</v>
      </c>
      <c r="AF65" s="30"/>
      <c r="AG65" s="30"/>
      <c r="AP65" s="6" t="s">
        <v>125</v>
      </c>
      <c r="AQ65" s="6" t="s">
        <v>125</v>
      </c>
      <c r="AR65" s="6" t="s">
        <v>125</v>
      </c>
      <c r="AS65" s="6" t="s">
        <v>125</v>
      </c>
      <c r="AT65" s="6" t="s">
        <v>125</v>
      </c>
      <c r="AU65" s="6" t="s">
        <v>125</v>
      </c>
      <c r="AV65" s="6" t="s">
        <v>125</v>
      </c>
      <c r="AW65" s="6" t="s">
        <v>125</v>
      </c>
      <c r="AX65" s="6" t="s">
        <v>125</v>
      </c>
      <c r="AZ65" s="1476" t="s">
        <v>340</v>
      </c>
      <c r="BA65" s="214"/>
      <c r="BB65" s="214"/>
      <c r="BC65" s="90">
        <f>SUM(BC15:BC59)+BC9</f>
        <v>1643</v>
      </c>
      <c r="BD65" s="90">
        <f>SUM(BD15:BD59)+BD9</f>
        <v>59136</v>
      </c>
      <c r="BE65" s="90"/>
      <c r="BF65" s="90"/>
      <c r="BG65" s="90"/>
      <c r="BH65" s="90"/>
      <c r="BI65" s="90"/>
      <c r="BJ65" s="90"/>
      <c r="BK65" s="90">
        <f>SUM(BK15:BK59)+BK9</f>
        <v>17307</v>
      </c>
      <c r="BL65" s="90">
        <f>SUM(BL15:BL59)+BL9</f>
        <v>13454</v>
      </c>
      <c r="BM65" s="214"/>
      <c r="BN65" s="214"/>
      <c r="BO65" s="90">
        <f>SUM(BO15:BO59)+BO9</f>
        <v>8615</v>
      </c>
      <c r="BP65" s="90">
        <f>SUM(BP15:BP59)+BP9</f>
        <v>2411</v>
      </c>
      <c r="BR65" s="761"/>
      <c r="BS65" s="762" t="s">
        <v>341</v>
      </c>
      <c r="BT65" s="762"/>
      <c r="BU65" s="762"/>
      <c r="BV65" s="762"/>
      <c r="BW65" s="762"/>
      <c r="BX65" s="762" t="s">
        <v>47</v>
      </c>
      <c r="BY65" s="762"/>
    </row>
    <row r="66" spans="1:77" ht="15.75" x14ac:dyDescent="0.25">
      <c r="A66" s="6" t="s">
        <v>125</v>
      </c>
      <c r="B66" s="6" t="s">
        <v>125</v>
      </c>
      <c r="C66" s="6" t="s">
        <v>125</v>
      </c>
      <c r="D66" s="6" t="s">
        <v>125</v>
      </c>
      <c r="E66" s="6" t="s">
        <v>125</v>
      </c>
      <c r="F66" s="6" t="s">
        <v>125</v>
      </c>
      <c r="G66" s="6" t="s">
        <v>125</v>
      </c>
      <c r="H66" s="6" t="s">
        <v>125</v>
      </c>
      <c r="I66" s="6" t="s">
        <v>125</v>
      </c>
      <c r="J66" s="6" t="s">
        <v>125</v>
      </c>
      <c r="K66" s="6" t="s">
        <v>125</v>
      </c>
      <c r="L66" s="6" t="s">
        <v>125</v>
      </c>
      <c r="M66" s="6" t="s">
        <v>125</v>
      </c>
      <c r="O66" s="6" t="s">
        <v>125</v>
      </c>
      <c r="P66" s="6" t="s">
        <v>125</v>
      </c>
      <c r="Q66" s="6" t="s">
        <v>125</v>
      </c>
      <c r="R66" s="6" t="s">
        <v>125</v>
      </c>
      <c r="S66" s="6" t="s">
        <v>125</v>
      </c>
      <c r="T66" s="6" t="s">
        <v>125</v>
      </c>
      <c r="U66" s="6" t="s">
        <v>125</v>
      </c>
      <c r="V66" s="6" t="s">
        <v>125</v>
      </c>
      <c r="W66" s="6" t="s">
        <v>125</v>
      </c>
      <c r="Y66" s="2" t="s">
        <v>291</v>
      </c>
      <c r="AB66" s="20">
        <f>AG34</f>
        <v>10</v>
      </c>
      <c r="AD66" s="20">
        <f t="shared" si="33"/>
        <v>10</v>
      </c>
      <c r="AE66" s="20"/>
      <c r="AF66" s="30"/>
      <c r="AG66" s="30"/>
      <c r="AP66" s="1" t="s">
        <v>342</v>
      </c>
      <c r="AZ66" s="1476" t="s">
        <v>343</v>
      </c>
      <c r="BA66" s="19"/>
      <c r="BB66" s="19"/>
      <c r="BC66" s="2">
        <f>BC64/BC65</f>
        <v>0.32136335970785151</v>
      </c>
      <c r="BD66" s="2">
        <f>BD64/BD65</f>
        <v>0.30744385822510822</v>
      </c>
      <c r="BK66" s="2">
        <f>BK64/BK65</f>
        <v>0.4691743225284567</v>
      </c>
      <c r="BL66" s="2">
        <f>BL64/BL65</f>
        <v>0.3831574253010257</v>
      </c>
      <c r="BO66" s="2">
        <f>BO64/BO65</f>
        <v>0.24143934997098085</v>
      </c>
      <c r="BP66" s="2">
        <f>BP64/BP65</f>
        <v>0.21318954790543343</v>
      </c>
      <c r="BR66" s="762"/>
      <c r="BS66" s="762" t="s">
        <v>344</v>
      </c>
      <c r="BT66" s="762"/>
      <c r="BU66" s="762"/>
      <c r="BV66" s="762"/>
      <c r="BW66" s="762"/>
      <c r="BX66" s="762" t="s">
        <v>345</v>
      </c>
      <c r="BY66" s="762" t="s">
        <v>346</v>
      </c>
    </row>
    <row r="67" spans="1:77" ht="15.75" x14ac:dyDescent="0.25">
      <c r="A67" s="1" t="s">
        <v>347</v>
      </c>
      <c r="E67" s="2" t="s">
        <v>348</v>
      </c>
      <c r="H67" s="2" t="s">
        <v>174</v>
      </c>
      <c r="I67" s="2" t="s">
        <v>348</v>
      </c>
      <c r="J67" s="2" t="s">
        <v>348</v>
      </c>
      <c r="M67" s="2" t="s">
        <v>174</v>
      </c>
      <c r="O67" s="1" t="s">
        <v>349</v>
      </c>
      <c r="P67" s="2" t="s">
        <v>348</v>
      </c>
      <c r="S67" s="2" t="s">
        <v>174</v>
      </c>
      <c r="T67" s="2" t="s">
        <v>348</v>
      </c>
      <c r="W67" s="2" t="s">
        <v>174</v>
      </c>
      <c r="Y67" s="2" t="s">
        <v>350</v>
      </c>
      <c r="Z67" s="20">
        <f>SUM(Z53:Z66)</f>
        <v>1317</v>
      </c>
      <c r="AB67" s="20">
        <f>SUM(AB53:AB66)</f>
        <v>5153</v>
      </c>
      <c r="AD67" s="20">
        <f t="shared" si="33"/>
        <v>6470</v>
      </c>
      <c r="AF67" s="30"/>
      <c r="AG67" s="30"/>
      <c r="AP67" s="7" t="s">
        <v>351</v>
      </c>
      <c r="AQ67" s="1108">
        <f>SUM(AQ17:AQ18,AQ21:AQ27,AQ30:AQ39,AQ41,AQ43,AQ45,AQ48,AQ50,AQ52,AQ54,AQ56,AQ59)</f>
        <v>5813</v>
      </c>
      <c r="AS67" s="215"/>
      <c r="AT67" s="20">
        <f>SUM(AT17:AT18,AT21:AT27,AT30:AT39,AT41,AT43,AT45,AT48,AT50,AT52,AT54,AT56,AT59)</f>
        <v>64450</v>
      </c>
      <c r="AU67" s="1108">
        <f>SUM(AU17:AU18,AU21:AU27,AU30:AU39,AU41,AU43,AU45,AU48,AU50,AU52,AU54,AU56,AU59)</f>
        <v>4342</v>
      </c>
      <c r="AW67" s="215"/>
      <c r="AX67" s="266">
        <f>SUM(AX17:AX18,AX21:AX27,AX30:AX39,AX41,AX43,AX45,AX48,AX50,AX52,AX54,AX56,AX59)</f>
        <v>19529</v>
      </c>
      <c r="BR67" s="762" t="s">
        <v>221</v>
      </c>
      <c r="BS67" s="762" t="s">
        <v>352</v>
      </c>
      <c r="BT67" s="762" t="s">
        <v>353</v>
      </c>
      <c r="BU67" s="762" t="s">
        <v>354</v>
      </c>
      <c r="BV67" s="762" t="s">
        <v>355</v>
      </c>
      <c r="BW67" s="762"/>
      <c r="BX67" s="765" t="s">
        <v>356</v>
      </c>
      <c r="BY67" s="765" t="s">
        <v>357</v>
      </c>
    </row>
    <row r="68" spans="1:77" x14ac:dyDescent="0.2">
      <c r="A68" s="157" t="s">
        <v>351</v>
      </c>
      <c r="E68" s="1108">
        <f>SUM(E17:E18,E21:E27,E30:E39,E41,E43,E45,E48,E50,E52,E54,E56,E59)</f>
        <v>11238.785792595738</v>
      </c>
      <c r="H68" s="20">
        <f>SUM(H17:H18,H21:H27,H30:H39,H41,H43,H45,H48,H50,H52,H54,H56,H59)</f>
        <v>19207.14770593834</v>
      </c>
      <c r="I68" s="1108">
        <f>SUM(I17:I18,I21:I27,I30:I39,I41,I43,I45,I48,I50,I52,I54,I56,I59)</f>
        <v>1982</v>
      </c>
      <c r="J68" s="20">
        <f>SUM(J17:J18,J21:J27,J30:J39,J41,J43,J45,J48,J50,J52,J54,J56,J59)</f>
        <v>3743</v>
      </c>
      <c r="M68" s="20">
        <f>SUM(M17:M18,M21:M27,M30:M39,M41,M43,M45,M48,M50,M52,M54,M56,M59)</f>
        <v>12013</v>
      </c>
      <c r="O68" s="7" t="s">
        <v>351</v>
      </c>
      <c r="P68" s="1108">
        <f>SUM(P17:P18,P21:P27,P30:P39,P41,P43,P45,P48,P50,P52,P54,P56,P59)</f>
        <v>4397</v>
      </c>
      <c r="S68" s="20">
        <f>SUM(S17:S18,S21:S27,S30:S39,S41,S43,S45,S48,S50,S52,S54,S56,S59)</f>
        <v>28964</v>
      </c>
      <c r="T68" s="1108">
        <f>SUM(T17:T18,T21:T27,T30:T39,T41,T43,T45,T48,T50,T52,T54,T56,T59)</f>
        <v>240</v>
      </c>
      <c r="W68" s="20">
        <f>SUM(W17:W18,W21:W27,W30:W39,W41,W43,W45,W48,W50,W52,W54,W56,W59)</f>
        <v>4741</v>
      </c>
      <c r="AF68" s="30"/>
      <c r="AG68" s="30"/>
      <c r="AP68" s="7" t="s">
        <v>358</v>
      </c>
      <c r="AQ68" s="1108">
        <f>SUM(AQ20,AQ29,AQ42,AQ44,AQ46,AQ49,AQ51,AQ53,AQ55,AQ57,AQ60)</f>
        <v>9178</v>
      </c>
      <c r="AS68" s="215"/>
      <c r="AT68" s="20">
        <f>SUM(AT20,AT29,AT42,AT44,AT46,AT49,AT51,AT53,AT55,AT57,AT60)</f>
        <v>86042</v>
      </c>
      <c r="AU68" s="1108">
        <f>SUM(AU20,AU29,AU42,AU44,AU46,AU49,AU51,AU53,AU55,AU57,AU60)</f>
        <v>15614</v>
      </c>
      <c r="AW68" s="215"/>
      <c r="AX68" s="266">
        <f>SUM(AX20,AX29,AX42,AX44,AX46,AX49,AX51,AX53,AX55,AX57,AX60)</f>
        <v>51901</v>
      </c>
      <c r="BR68" s="763" t="s">
        <v>359</v>
      </c>
      <c r="BS68" s="762" t="s">
        <v>360</v>
      </c>
      <c r="BT68" s="762" t="s">
        <v>361</v>
      </c>
      <c r="BU68" s="762" t="s">
        <v>362</v>
      </c>
      <c r="BV68" s="762" t="s">
        <v>363</v>
      </c>
      <c r="BW68" s="762"/>
      <c r="BX68" s="762" t="s">
        <v>364</v>
      </c>
      <c r="BY68" s="762" t="s">
        <v>357</v>
      </c>
    </row>
    <row r="69" spans="1:77" x14ac:dyDescent="0.2">
      <c r="A69" s="157" t="s">
        <v>358</v>
      </c>
      <c r="E69" s="1108">
        <f>SUM(E20,E29,E42,E44,E46,E49,E51,E53,E55,E57,E60)</f>
        <v>20769</v>
      </c>
      <c r="H69" s="20">
        <f>SUM(H20,H29,H42,H44,H46,H49,H51,H53,H55,H57,H60)</f>
        <v>24116</v>
      </c>
      <c r="I69" s="1108">
        <f>SUM(I20,I29,I42,I44,I46,I49,I51,I53,I55,I57,I60)</f>
        <v>6733</v>
      </c>
      <c r="J69" s="20">
        <f>SUM(J20,J29,J42,J44,J46,J49,J51,J53,J55,J57,J60)</f>
        <v>17176</v>
      </c>
      <c r="M69" s="20">
        <f>SUM(M20,M29,M42,M44,M46,M49,M51,M53,M55,M57,M60)</f>
        <v>30472</v>
      </c>
      <c r="O69" s="7" t="s">
        <v>358</v>
      </c>
      <c r="P69" s="1108">
        <f>SUM(P20,P29,P42,P44,P46,P49,P51,P53,P55,P57,P60)</f>
        <v>4140</v>
      </c>
      <c r="S69" s="20">
        <f>SUM(S20,S29,S42,S44,S46,S49,S51,S53,S55,S57,S60)</f>
        <v>20702</v>
      </c>
      <c r="T69" s="1108">
        <f>SUM(T20,T29,T42,T44,T46,T49,T51,T53,T55,T57,T60)</f>
        <v>411</v>
      </c>
      <c r="W69" s="20">
        <f>SUM(W20,W29,W42,W44,W46,W49,W51,W53,W55,W57,W60)</f>
        <v>1886</v>
      </c>
      <c r="AF69" s="30"/>
      <c r="AG69" s="30"/>
      <c r="AP69" s="7" t="s">
        <v>365</v>
      </c>
      <c r="AQ69" s="1108">
        <f>AQ67-AQ68</f>
        <v>-3365</v>
      </c>
      <c r="AS69" s="215"/>
      <c r="AT69" s="20">
        <f>AT67-AT68</f>
        <v>-21592</v>
      </c>
      <c r="AU69" s="1108">
        <f>AU67-AU68</f>
        <v>-11272</v>
      </c>
      <c r="AW69" s="215"/>
      <c r="AX69" s="266">
        <f>AX67-AX68</f>
        <v>-32372</v>
      </c>
      <c r="BR69" s="763" t="s">
        <v>366</v>
      </c>
      <c r="BS69" s="762" t="s">
        <v>367</v>
      </c>
      <c r="BT69" s="762" t="s">
        <v>368</v>
      </c>
      <c r="BU69" s="762" t="s">
        <v>369</v>
      </c>
      <c r="BV69" s="762" t="s">
        <v>370</v>
      </c>
      <c r="BW69" s="762"/>
      <c r="BX69" s="762" t="s">
        <v>371</v>
      </c>
      <c r="BY69" s="762" t="s">
        <v>372</v>
      </c>
    </row>
    <row r="70" spans="1:77" x14ac:dyDescent="0.2">
      <c r="A70" s="157" t="s">
        <v>365</v>
      </c>
      <c r="E70" s="1108">
        <f>E68-E69</f>
        <v>-9530.2142074042622</v>
      </c>
      <c r="H70" s="20">
        <f>H68-H69</f>
        <v>-4908.8522940616604</v>
      </c>
      <c r="I70" s="1108">
        <f>I68-I69</f>
        <v>-4751</v>
      </c>
      <c r="J70" s="20">
        <f>J68-J69</f>
        <v>-13433</v>
      </c>
      <c r="M70" s="20">
        <f>M68-M69</f>
        <v>-18459</v>
      </c>
      <c r="O70" s="7" t="s">
        <v>365</v>
      </c>
      <c r="P70" s="1108">
        <f>P68-P69</f>
        <v>257</v>
      </c>
      <c r="S70" s="20">
        <f>S68-S69</f>
        <v>8262</v>
      </c>
      <c r="T70" s="1108">
        <f>T68-T69</f>
        <v>-171</v>
      </c>
      <c r="W70" s="20">
        <f>W68-W69</f>
        <v>2855</v>
      </c>
      <c r="AF70" s="30"/>
      <c r="AG70" s="30"/>
      <c r="AP70" s="6" t="s">
        <v>125</v>
      </c>
      <c r="AQ70" s="1514" t="s">
        <v>125</v>
      </c>
      <c r="AR70" s="6" t="s">
        <v>125</v>
      </c>
      <c r="AS70" s="706" t="s">
        <v>125</v>
      </c>
      <c r="AT70" s="6" t="s">
        <v>125</v>
      </c>
      <c r="AU70" s="1514" t="s">
        <v>125</v>
      </c>
      <c r="AV70" s="6" t="s">
        <v>125</v>
      </c>
      <c r="AW70" s="706" t="s">
        <v>125</v>
      </c>
      <c r="AX70" s="706" t="s">
        <v>125</v>
      </c>
      <c r="BR70" s="763" t="s">
        <v>373</v>
      </c>
      <c r="BS70" s="762" t="s">
        <v>374</v>
      </c>
      <c r="BT70" s="762" t="s">
        <v>375</v>
      </c>
      <c r="BU70" s="762" t="s">
        <v>376</v>
      </c>
      <c r="BV70" s="762" t="s">
        <v>377</v>
      </c>
      <c r="BW70" s="762"/>
      <c r="BX70" s="762" t="s">
        <v>356</v>
      </c>
      <c r="BY70" s="762" t="s">
        <v>378</v>
      </c>
    </row>
    <row r="71" spans="1:77" x14ac:dyDescent="0.2">
      <c r="A71" s="6" t="s">
        <v>125</v>
      </c>
      <c r="B71" s="6" t="s">
        <v>125</v>
      </c>
      <c r="C71" s="6" t="s">
        <v>125</v>
      </c>
      <c r="D71" s="6" t="s">
        <v>125</v>
      </c>
      <c r="E71" s="1514" t="s">
        <v>125</v>
      </c>
      <c r="F71" s="6" t="s">
        <v>125</v>
      </c>
      <c r="G71" s="6" t="s">
        <v>125</v>
      </c>
      <c r="H71" s="6" t="s">
        <v>125</v>
      </c>
      <c r="I71" s="1514" t="s">
        <v>125</v>
      </c>
      <c r="J71" s="6" t="s">
        <v>125</v>
      </c>
      <c r="K71" s="6" t="s">
        <v>125</v>
      </c>
      <c r="L71" s="6" t="s">
        <v>125</v>
      </c>
      <c r="M71" s="6" t="s">
        <v>125</v>
      </c>
      <c r="O71" s="6" t="s">
        <v>125</v>
      </c>
      <c r="P71" s="1514" t="s">
        <v>125</v>
      </c>
      <c r="Q71" s="6" t="s">
        <v>125</v>
      </c>
      <c r="R71" s="6" t="s">
        <v>125</v>
      </c>
      <c r="S71" s="6" t="s">
        <v>125</v>
      </c>
      <c r="T71" s="1514" t="s">
        <v>125</v>
      </c>
      <c r="U71" s="6" t="s">
        <v>125</v>
      </c>
      <c r="V71" s="6" t="s">
        <v>125</v>
      </c>
      <c r="W71" s="6" t="s">
        <v>125</v>
      </c>
      <c r="AF71" s="30"/>
      <c r="AG71" s="30"/>
      <c r="AP71" s="7" t="s">
        <v>379</v>
      </c>
      <c r="AQ71" s="1108">
        <f>SUM(AQ21:AQ27,AQ30:AQ39,AQ41,AQ43,AQ45,AQ48,AQ50,AQ52,AQ54,AQ56,AQ59)</f>
        <v>5770</v>
      </c>
      <c r="AS71" s="215"/>
      <c r="AT71" s="20">
        <f>SUM(AT21:AT27,AT30:AT39,AT41,AT43,AT45,AT48,AT50,AT52,AT54,AT56,AT59)</f>
        <v>63658</v>
      </c>
      <c r="AU71" s="1108">
        <f>SUM(AU21:AU27,AU30:AU39,AU41,AU43,AU45,AU48,AU50,AU52,AU54,AU56,AU59)</f>
        <v>4304</v>
      </c>
      <c r="AW71" s="215"/>
      <c r="AX71" s="266">
        <f>SUM(AX21:AX27,AX30:AX39,AX41,AX43,AX45,AX48,AX50,AX52,AX54,AX56,AX59)</f>
        <v>19191</v>
      </c>
      <c r="BR71" s="763" t="s">
        <v>380</v>
      </c>
      <c r="BS71" s="762">
        <v>99100</v>
      </c>
      <c r="BT71" s="762" t="s">
        <v>381</v>
      </c>
      <c r="BU71" s="762" t="s">
        <v>382</v>
      </c>
      <c r="BV71" s="762" t="s">
        <v>383</v>
      </c>
      <c r="BW71" s="762"/>
      <c r="BX71" s="762" t="s">
        <v>371</v>
      </c>
      <c r="BY71" s="762" t="s">
        <v>384</v>
      </c>
    </row>
    <row r="72" spans="1:77" x14ac:dyDescent="0.2">
      <c r="A72" s="157" t="s">
        <v>379</v>
      </c>
      <c r="E72" s="1108">
        <f>SUM(E21:E27,E30:E39,E41,E43,E45,E48,E50,E52,E54,E56,E59)</f>
        <v>11133.785792595738</v>
      </c>
      <c r="H72" s="20">
        <f>SUM(H21:H27,H30:H39,H41,H43,H45,H48,H50,H52,H54,H56,H59)</f>
        <v>19015.14770593834</v>
      </c>
      <c r="I72" s="1108">
        <f>SUM(I21:I27,I30:I39,I41,I43,I45,I48,I50,I52,I54,I56,I59)</f>
        <v>1950</v>
      </c>
      <c r="J72" s="20">
        <f>SUM(J21:J27,J30:J39,J41,J43,J45,J48,J50,J52,J54,J56,J59)</f>
        <v>3658</v>
      </c>
      <c r="M72" s="20">
        <f>SUM(M21:M27,M30:M39,M41,M43,M45,M48,M50,M52,M54,M56,M59)</f>
        <v>11802</v>
      </c>
      <c r="O72" s="7" t="s">
        <v>379</v>
      </c>
      <c r="P72" s="1108">
        <f>SUM(P21:P27,P30:P39,P41,P43,P45,P48,P50,P52,P54,P56,P59)</f>
        <v>4364</v>
      </c>
      <c r="S72" s="20">
        <f>SUM(S21:S27,S30:S39,S41,S43,S45,S48,S50,S52,S54,S56,S59)</f>
        <v>28584</v>
      </c>
      <c r="T72" s="1108">
        <f>SUM(T21:T27,T30:T39,T41,T43,T45,T48,T50,T52,T54,T56,T59)</f>
        <v>201</v>
      </c>
      <c r="W72" s="20">
        <f>SUM(W21:W27,W30:W39,W41,W43,W45,W48,W50,W52,W54,W56,W59)</f>
        <v>4596</v>
      </c>
      <c r="AF72" s="30"/>
      <c r="AG72" s="30"/>
      <c r="AP72" s="7" t="s">
        <v>385</v>
      </c>
      <c r="AQ72" s="1108">
        <f>SUM(AQ20,AQ29,AQ42,AQ44,AQ46,AQ49,AQ51,AQ53,AQ55,AQ57,AQ60)</f>
        <v>9178</v>
      </c>
      <c r="AS72" s="215"/>
      <c r="AT72" s="20">
        <f>SUM(AT20,AT29,AT42,AT44,AT46,AT49,AT51,AT53,AT55,AT57,AT60)</f>
        <v>86042</v>
      </c>
      <c r="AU72" s="1108">
        <f>SUM(AU20,AU29,AU42,AU44,AU46,AU49,AU51,AU53,AU55,AU57,AU60)</f>
        <v>15614</v>
      </c>
      <c r="AW72" s="215"/>
      <c r="AX72" s="266">
        <f>SUM(AX20,AX29,AX42,AX44,AX46,AX49,AX51,AX53,AX55,AX57,AX60)</f>
        <v>51901</v>
      </c>
      <c r="BR72" s="763" t="s">
        <v>386</v>
      </c>
      <c r="BS72" s="762" t="s">
        <v>387</v>
      </c>
      <c r="BT72" s="762" t="s">
        <v>388</v>
      </c>
      <c r="BU72" s="762" t="s">
        <v>389</v>
      </c>
      <c r="BV72" s="762" t="s">
        <v>390</v>
      </c>
      <c r="BW72" s="762"/>
      <c r="BX72" s="762" t="s">
        <v>364</v>
      </c>
      <c r="BY72" s="762" t="s">
        <v>384</v>
      </c>
    </row>
    <row r="73" spans="1:77" x14ac:dyDescent="0.2">
      <c r="A73" s="157" t="s">
        <v>385</v>
      </c>
      <c r="E73" s="1108">
        <f>SUM(E20,E29,E42,E44,E46,E49,E51,E53,E55,E57,E60)</f>
        <v>20769</v>
      </c>
      <c r="H73" s="20">
        <f>SUM(H20,H29,H42,H44,H46,H49,H51,H53,H55,H57,H60)</f>
        <v>24116</v>
      </c>
      <c r="I73" s="1108">
        <f>SUM(I20,I29,I42,I44,I46,I49,I51,I53,I55,I57,I60)</f>
        <v>6733</v>
      </c>
      <c r="J73" s="20">
        <f>SUM(J20,J29,J42,J44,J46,J49,J51,J53,J55,J57,J60)</f>
        <v>17176</v>
      </c>
      <c r="M73" s="20">
        <f>SUM(M20,M29,M42,M44,M46,M49,M51,M53,M55,M57,M60)</f>
        <v>30472</v>
      </c>
      <c r="O73" s="7" t="s">
        <v>385</v>
      </c>
      <c r="P73" s="1108">
        <f>SUM(P20,P29,P42,P44,P46,P49,P51,P53,P55,P57,P60)</f>
        <v>4140</v>
      </c>
      <c r="S73" s="20">
        <f>SUM(S20,S29,S42,S44,S46,S49,S51,S53,S55,S57,S60)</f>
        <v>20702</v>
      </c>
      <c r="T73" s="1108">
        <f>SUM(T20,T29,T42,T44,T46,T49,T51,T53,T55,T57,T60)</f>
        <v>411</v>
      </c>
      <c r="W73" s="20">
        <f>SUM(W20,W29,W42,W44,W46,W49,W51,W53,W55,W57,W60)</f>
        <v>1886</v>
      </c>
      <c r="AP73" s="7" t="s">
        <v>391</v>
      </c>
      <c r="AQ73" s="1108">
        <f>AQ71-AQ72</f>
        <v>-3408</v>
      </c>
      <c r="AS73" s="215"/>
      <c r="AT73" s="20">
        <f>AT71-AT72</f>
        <v>-22384</v>
      </c>
      <c r="AU73" s="1108">
        <f>AU71-AU72</f>
        <v>-11310</v>
      </c>
      <c r="AW73" s="215"/>
      <c r="AX73" s="266">
        <f>AX71-AX72</f>
        <v>-32710</v>
      </c>
      <c r="BR73" s="763" t="s">
        <v>392</v>
      </c>
      <c r="BS73" s="762" t="s">
        <v>393</v>
      </c>
      <c r="BT73" s="762" t="s">
        <v>394</v>
      </c>
      <c r="BU73" s="762" t="s">
        <v>395</v>
      </c>
      <c r="BV73" s="762" t="s">
        <v>396</v>
      </c>
      <c r="BW73" s="762"/>
      <c r="BX73" s="762" t="s">
        <v>397</v>
      </c>
      <c r="BY73" s="762" t="s">
        <v>398</v>
      </c>
    </row>
    <row r="74" spans="1:77" x14ac:dyDescent="0.2">
      <c r="A74" s="157" t="s">
        <v>391</v>
      </c>
      <c r="E74" s="1108">
        <f>E72-E73</f>
        <v>-9635.2142074042622</v>
      </c>
      <c r="H74" s="20">
        <f>H72-H73</f>
        <v>-5100.8522940616604</v>
      </c>
      <c r="I74" s="1108">
        <f>I72-I73</f>
        <v>-4783</v>
      </c>
      <c r="J74" s="20">
        <f>J72-J73</f>
        <v>-13518</v>
      </c>
      <c r="M74" s="20">
        <f>M72-M73</f>
        <v>-18670</v>
      </c>
      <c r="O74" s="7" t="s">
        <v>391</v>
      </c>
      <c r="P74" s="1108">
        <f>P72-P73</f>
        <v>224</v>
      </c>
      <c r="S74" s="20">
        <f>S72-S73</f>
        <v>7882</v>
      </c>
      <c r="T74" s="1108">
        <f>T72-T73</f>
        <v>-210</v>
      </c>
      <c r="W74" s="20">
        <f>W72-W73</f>
        <v>2710</v>
      </c>
      <c r="AP74" s="6" t="s">
        <v>125</v>
      </c>
      <c r="AQ74" s="6" t="s">
        <v>125</v>
      </c>
      <c r="AR74" s="6" t="s">
        <v>125</v>
      </c>
      <c r="AS74" s="6" t="s">
        <v>125</v>
      </c>
      <c r="AT74" s="6" t="s">
        <v>125</v>
      </c>
      <c r="AU74" s="6" t="s">
        <v>125</v>
      </c>
      <c r="AV74" s="6" t="s">
        <v>125</v>
      </c>
      <c r="AW74" s="6" t="s">
        <v>125</v>
      </c>
      <c r="AX74" s="6" t="s">
        <v>125</v>
      </c>
      <c r="BR74" s="763" t="s">
        <v>227</v>
      </c>
      <c r="BS74" s="762" t="s">
        <v>399</v>
      </c>
      <c r="BT74" s="762" t="s">
        <v>400</v>
      </c>
      <c r="BU74" s="762" t="s">
        <v>401</v>
      </c>
      <c r="BV74" s="762" t="s">
        <v>402</v>
      </c>
      <c r="BW74" s="762"/>
      <c r="BX74" s="762" t="s">
        <v>397</v>
      </c>
      <c r="BY74" s="762" t="s">
        <v>403</v>
      </c>
    </row>
    <row r="75" spans="1:77" x14ac:dyDescent="0.2">
      <c r="A75" s="6" t="s">
        <v>125</v>
      </c>
      <c r="B75" s="6" t="s">
        <v>125</v>
      </c>
      <c r="C75" s="6" t="s">
        <v>125</v>
      </c>
      <c r="D75" s="6" t="s">
        <v>125</v>
      </c>
      <c r="E75" s="6" t="s">
        <v>125</v>
      </c>
      <c r="F75" s="6" t="s">
        <v>125</v>
      </c>
      <c r="G75" s="6" t="s">
        <v>125</v>
      </c>
      <c r="H75" s="6" t="s">
        <v>125</v>
      </c>
      <c r="I75" s="6" t="s">
        <v>125</v>
      </c>
      <c r="J75" s="6" t="s">
        <v>125</v>
      </c>
      <c r="K75" s="6" t="s">
        <v>125</v>
      </c>
      <c r="L75" s="6" t="s">
        <v>125</v>
      </c>
      <c r="M75" s="6" t="s">
        <v>125</v>
      </c>
      <c r="O75" s="6" t="s">
        <v>125</v>
      </c>
      <c r="P75" s="6" t="s">
        <v>125</v>
      </c>
      <c r="Q75" s="6" t="s">
        <v>125</v>
      </c>
      <c r="R75" s="6" t="s">
        <v>125</v>
      </c>
      <c r="S75" s="6" t="s">
        <v>125</v>
      </c>
      <c r="T75" s="6" t="s">
        <v>125</v>
      </c>
      <c r="U75" s="6" t="s">
        <v>125</v>
      </c>
      <c r="V75" s="6" t="s">
        <v>125</v>
      </c>
      <c r="W75" s="6" t="s">
        <v>125</v>
      </c>
      <c r="BR75" s="763" t="s">
        <v>228</v>
      </c>
      <c r="BS75" s="762" t="s">
        <v>404</v>
      </c>
      <c r="BT75" s="762" t="s">
        <v>405</v>
      </c>
      <c r="BU75" s="762" t="s">
        <v>406</v>
      </c>
      <c r="BV75" s="762" t="s">
        <v>407</v>
      </c>
      <c r="BW75" s="762"/>
      <c r="BX75" s="762" t="s">
        <v>408</v>
      </c>
      <c r="BY75" s="762" t="s">
        <v>409</v>
      </c>
    </row>
    <row r="76" spans="1:77" x14ac:dyDescent="0.2">
      <c r="BR76" s="762" t="s">
        <v>410</v>
      </c>
      <c r="BS76" s="762" t="s">
        <v>411</v>
      </c>
      <c r="BT76" s="762" t="s">
        <v>412</v>
      </c>
      <c r="BU76" s="762" t="s">
        <v>413</v>
      </c>
      <c r="BV76" s="762" t="s">
        <v>414</v>
      </c>
      <c r="BW76" s="762"/>
      <c r="BX76" s="765" t="s">
        <v>408</v>
      </c>
      <c r="BY76" s="765" t="s">
        <v>415</v>
      </c>
    </row>
    <row r="77" spans="1:77" x14ac:dyDescent="0.2">
      <c r="C77" s="1224" t="s">
        <v>416</v>
      </c>
      <c r="D77" s="1224"/>
      <c r="E77" s="1224"/>
      <c r="F77" s="1224"/>
      <c r="G77" s="1224"/>
      <c r="H77" s="1224"/>
      <c r="I77" s="1224"/>
      <c r="J77" s="1224"/>
      <c r="BR77" s="762" t="s">
        <v>417</v>
      </c>
      <c r="BS77" s="762" t="s">
        <v>418</v>
      </c>
      <c r="BT77" s="762" t="s">
        <v>419</v>
      </c>
      <c r="BU77" s="762" t="s">
        <v>420</v>
      </c>
      <c r="BV77" s="762" t="s">
        <v>421</v>
      </c>
      <c r="BW77" s="762"/>
      <c r="BX77" s="765" t="s">
        <v>408</v>
      </c>
      <c r="BY77" s="765" t="s">
        <v>422</v>
      </c>
    </row>
    <row r="78" spans="1:77" ht="15.75" x14ac:dyDescent="0.25">
      <c r="C78" s="221" t="s">
        <v>423</v>
      </c>
      <c r="D78" s="1224"/>
      <c r="E78" s="1224"/>
      <c r="F78" s="1224" t="s">
        <v>424</v>
      </c>
      <c r="G78" s="1224" t="s">
        <v>424</v>
      </c>
      <c r="H78" s="1224" t="s">
        <v>425</v>
      </c>
      <c r="I78" s="1224" t="s">
        <v>426</v>
      </c>
      <c r="J78" s="2106" t="s">
        <v>236</v>
      </c>
      <c r="BR78" s="763" t="s">
        <v>231</v>
      </c>
      <c r="BS78" s="762">
        <v>109110</v>
      </c>
      <c r="BT78" s="762" t="s">
        <v>427</v>
      </c>
      <c r="BU78" s="762" t="s">
        <v>428</v>
      </c>
      <c r="BV78" s="762" t="s">
        <v>429</v>
      </c>
      <c r="BW78" s="762"/>
      <c r="BX78" s="762" t="s">
        <v>430</v>
      </c>
      <c r="BY78" s="762" t="s">
        <v>431</v>
      </c>
    </row>
    <row r="79" spans="1:77" ht="15.75" x14ac:dyDescent="0.25">
      <c r="C79" s="1224" t="s">
        <v>432</v>
      </c>
      <c r="D79" s="225" t="s">
        <v>433</v>
      </c>
      <c r="E79" s="1224" t="s">
        <v>434</v>
      </c>
      <c r="F79" s="1224" t="s">
        <v>435</v>
      </c>
      <c r="G79" s="1224" t="s">
        <v>436</v>
      </c>
      <c r="H79" s="1224" t="s">
        <v>435</v>
      </c>
      <c r="I79" s="1224" t="s">
        <v>436</v>
      </c>
      <c r="J79" s="2106" t="s">
        <v>436</v>
      </c>
      <c r="BR79" s="763" t="s">
        <v>232</v>
      </c>
      <c r="BS79" s="762">
        <v>113114</v>
      </c>
      <c r="BT79" s="762" t="s">
        <v>437</v>
      </c>
      <c r="BU79" s="762" t="s">
        <v>438</v>
      </c>
      <c r="BV79" s="762" t="s">
        <v>439</v>
      </c>
      <c r="BW79" s="762"/>
      <c r="BX79" s="762" t="s">
        <v>397</v>
      </c>
      <c r="BY79" s="762" t="s">
        <v>440</v>
      </c>
    </row>
    <row r="80" spans="1:77" ht="15.75" x14ac:dyDescent="0.25">
      <c r="C80" s="1224">
        <v>1447</v>
      </c>
      <c r="D80" s="2106">
        <v>15</v>
      </c>
      <c r="E80" s="1224">
        <f>C80*D80</f>
        <v>21705</v>
      </c>
      <c r="F80" s="222">
        <v>0.05</v>
      </c>
      <c r="G80" s="223">
        <f>F80*E80</f>
        <v>1085.25</v>
      </c>
      <c r="H80" s="1224">
        <v>0.48</v>
      </c>
      <c r="I80" s="223">
        <f>H80*E80</f>
        <v>10418.4</v>
      </c>
      <c r="J80" s="224">
        <f>I80+G80</f>
        <v>11503.65</v>
      </c>
    </row>
    <row r="96" hidden="1" x14ac:dyDescent="0.2"/>
    <row r="97" spans="1:41" ht="15.75" hidden="1" thickBot="1" x14ac:dyDescent="0.25">
      <c r="Z97" s="2" t="s">
        <v>212</v>
      </c>
      <c r="AA97" s="2" t="s">
        <v>213</v>
      </c>
      <c r="AE97" s="2" t="s">
        <v>215</v>
      </c>
      <c r="AF97" s="2" t="s">
        <v>216</v>
      </c>
      <c r="AK97" s="2" t="s">
        <v>216</v>
      </c>
      <c r="AO97" s="1482" t="s">
        <v>441</v>
      </c>
    </row>
    <row r="98" spans="1:41" hidden="1" x14ac:dyDescent="0.2">
      <c r="A98" s="2" t="s">
        <v>442</v>
      </c>
      <c r="Y98" s="2" t="s">
        <v>443</v>
      </c>
      <c r="Z98" s="20">
        <f>SUM(Z16:Z35)+SUM(Z37:Z39)</f>
        <v>4591.0079508711769</v>
      </c>
      <c r="AA98" s="30">
        <f>SUM(AA16:AA35)+SUM(AA37:AA39)</f>
        <v>2410.8813597550693</v>
      </c>
      <c r="AE98" s="30">
        <f>SUM(AE16:AE35)+SUM(AE37:AE39)</f>
        <v>6266.6546644539612</v>
      </c>
      <c r="AK98" s="20">
        <f>SUM(AK16:AK35)+SUM(AK37:AK39)</f>
        <v>59158.59978266753</v>
      </c>
      <c r="AO98" s="1479" t="s">
        <v>444</v>
      </c>
    </row>
    <row r="99" spans="1:41" ht="30.75" hidden="1" thickBot="1" x14ac:dyDescent="0.25">
      <c r="A99" s="2" t="s">
        <v>445</v>
      </c>
      <c r="E99" s="22" t="s">
        <v>446</v>
      </c>
      <c r="I99" s="946" t="s">
        <v>447</v>
      </c>
      <c r="J99" s="2" t="s">
        <v>448</v>
      </c>
      <c r="Y99" s="2" t="s">
        <v>449</v>
      </c>
      <c r="Z99" s="30">
        <f>SUM(Z15:Z35)+SUM(Z37:Z39)</f>
        <v>4681.0079508711769</v>
      </c>
      <c r="AA99" s="30">
        <f>SUM(AA15:AA35)+SUM(AA37:AA39)</f>
        <v>2524.8813597550693</v>
      </c>
      <c r="AE99" s="30">
        <f>SUM(AE15:AE35)+SUM(AE37:AE39)</f>
        <v>6650.6546644539612</v>
      </c>
      <c r="AK99" s="30">
        <f>SUM(AK15:AK35)+SUM(AK37:AK39)</f>
        <v>60620.59978266753</v>
      </c>
      <c r="AO99" s="1515">
        <f>AK48+(AN48-AK48)*WACoastTerminal!H109</f>
        <v>65625.955978802289</v>
      </c>
    </row>
    <row r="100" spans="1:41" hidden="1" x14ac:dyDescent="0.2">
      <c r="A100" s="7" t="s">
        <v>450</v>
      </c>
      <c r="E100" s="1109">
        <f>J9</f>
        <v>42871</v>
      </c>
      <c r="I100" s="1279">
        <f>T9</f>
        <v>6519</v>
      </c>
      <c r="J100" s="20">
        <f>AE48</f>
        <v>11672.863959568249</v>
      </c>
      <c r="Y100" s="2" t="s">
        <v>451</v>
      </c>
      <c r="Z100" s="30">
        <f>Z9+SUM(Z15:Z35)</f>
        <v>12523.098053614196</v>
      </c>
      <c r="AA100" s="30">
        <f>AA9+SUM(AA15:AA35)</f>
        <v>4712.124919189815</v>
      </c>
      <c r="AE100" s="30">
        <f>AE9+SUM(AE15:AE35)</f>
        <v>18323.51862402221</v>
      </c>
      <c r="AK100" s="30">
        <f>AK9+SUM(AK15:AK35)</f>
        <v>120830.16480190745</v>
      </c>
      <c r="AO100" s="1477" t="s">
        <v>452</v>
      </c>
    </row>
    <row r="101" spans="1:41" ht="16.5" hidden="1" thickBot="1" x14ac:dyDescent="0.3">
      <c r="A101" s="7">
        <v>2020</v>
      </c>
      <c r="E101" s="1109">
        <v>42675</v>
      </c>
      <c r="I101" s="1279">
        <v>8548</v>
      </c>
      <c r="J101" s="20">
        <v>4181</v>
      </c>
      <c r="Y101" s="1" t="s">
        <v>453</v>
      </c>
      <c r="Z101" s="857">
        <f>Z99/Z100</f>
        <v>0.37378993048131781</v>
      </c>
      <c r="AA101" s="857">
        <f>AA99/AA100</f>
        <v>0.53582649082002431</v>
      </c>
      <c r="AB101" s="1"/>
      <c r="AC101" s="1"/>
      <c r="AD101" s="1"/>
      <c r="AE101" s="857">
        <f>AE99/AE100</f>
        <v>0.36295729007718663</v>
      </c>
      <c r="AK101" s="857">
        <f>AK99/AK100</f>
        <v>0.50170087810482367</v>
      </c>
      <c r="AO101" s="1516">
        <f>((AK49+(AN49-AK49)*WACoastTerminal!H109)-'2'!AK10)/(AK49+(AN49-AK49)*WACoastTerminal!H109)</f>
        <v>0.72814385678176874</v>
      </c>
    </row>
    <row r="102" spans="1:41" hidden="1" x14ac:dyDescent="0.2">
      <c r="A102" s="7">
        <v>2019</v>
      </c>
      <c r="E102" s="1280">
        <v>40314</v>
      </c>
      <c r="F102" s="1280"/>
      <c r="G102" s="1280"/>
      <c r="H102" s="1280"/>
      <c r="I102" s="1280">
        <v>4625</v>
      </c>
      <c r="J102" s="1280">
        <v>1700</v>
      </c>
      <c r="Y102" s="2" t="s">
        <v>454</v>
      </c>
      <c r="Z102" s="100">
        <f>Z98/Z100</f>
        <v>0.36660321042093902</v>
      </c>
      <c r="AA102" s="100">
        <f>AA98/AA100</f>
        <v>0.51163358380778812</v>
      </c>
      <c r="AE102" s="100">
        <f>AE98/AE100</f>
        <v>0.34200061642300245</v>
      </c>
      <c r="AK102" s="100">
        <f>AK98/AK100</f>
        <v>0.48960125047957925</v>
      </c>
      <c r="AO102" s="1478" t="s">
        <v>455</v>
      </c>
    </row>
    <row r="103" spans="1:41" ht="15.75" hidden="1" thickBot="1" x14ac:dyDescent="0.25">
      <c r="A103" s="7">
        <v>2018</v>
      </c>
      <c r="E103" s="1280">
        <v>58135</v>
      </c>
      <c r="F103" s="1280"/>
      <c r="G103" s="1280"/>
      <c r="H103" s="1280"/>
      <c r="I103" s="1280">
        <v>5470</v>
      </c>
      <c r="J103" s="1280">
        <v>2631</v>
      </c>
      <c r="Y103" s="2" t="s">
        <v>456</v>
      </c>
      <c r="Z103" s="20">
        <f>Z48</f>
        <v>7842.0901027430191</v>
      </c>
      <c r="AA103" s="20">
        <f>AA48</f>
        <v>2187.2435594347457</v>
      </c>
      <c r="AE103" s="20">
        <f>AE48</f>
        <v>11672.863959568249</v>
      </c>
      <c r="AK103" s="20">
        <f>AK48</f>
        <v>60209.565019239919</v>
      </c>
      <c r="AO103" s="1516">
        <f>(SUM(AK15:AK39)+(SUM(AN15:AN39)-SUM(AK15:AK39))*WACoastTerminal!H109)/(AK49+(AN49-AK49)*WACoastTerminal!H109)</f>
        <v>0.49602205402806177</v>
      </c>
    </row>
    <row r="104" spans="1:41" hidden="1" x14ac:dyDescent="0.2">
      <c r="A104" s="2">
        <v>2017</v>
      </c>
      <c r="E104" s="2">
        <v>18195</v>
      </c>
      <c r="I104" s="2">
        <v>5530</v>
      </c>
      <c r="J104" s="2">
        <v>5232</v>
      </c>
      <c r="Y104" s="2" t="s">
        <v>457</v>
      </c>
      <c r="AO104" s="2" t="s">
        <v>458</v>
      </c>
    </row>
    <row r="105" spans="1:41" ht="15.75" hidden="1" thickBot="1" x14ac:dyDescent="0.25">
      <c r="A105" s="2">
        <v>2016</v>
      </c>
      <c r="E105" s="2">
        <v>44141</v>
      </c>
      <c r="I105" s="2">
        <v>8435</v>
      </c>
      <c r="J105" s="2">
        <v>5156</v>
      </c>
      <c r="Y105" s="1110" t="s">
        <v>459</v>
      </c>
      <c r="Z105" s="1110">
        <v>12479</v>
      </c>
      <c r="AA105" s="1110">
        <v>4679</v>
      </c>
      <c r="AB105" s="1110"/>
      <c r="AC105" s="1110"/>
      <c r="AD105" s="1110"/>
      <c r="AE105" s="1110">
        <v>18160</v>
      </c>
      <c r="AF105" s="1110"/>
      <c r="AG105" s="1110"/>
      <c r="AH105" s="1110"/>
      <c r="AI105" s="1110"/>
      <c r="AJ105" s="1110"/>
      <c r="AK105" s="1110">
        <v>120381</v>
      </c>
    </row>
    <row r="106" spans="1:41" hidden="1" x14ac:dyDescent="0.2">
      <c r="AO106" s="1479" t="s">
        <v>460</v>
      </c>
    </row>
    <row r="107" spans="1:41" ht="15.75" hidden="1" thickBot="1" x14ac:dyDescent="0.25">
      <c r="Y107" s="2" t="s">
        <v>461</v>
      </c>
      <c r="Z107" s="100">
        <f>MAX((((Z105-Z10)/Z105)),0.2)</f>
        <v>0.49515185511659587</v>
      </c>
      <c r="AA107" s="100">
        <f>MAX((((AA105-AA10)/AA105)),0.02)</f>
        <v>0.5725582389399444</v>
      </c>
      <c r="AE107" s="100">
        <f>MAX((((AE105-AE10)/AE105)),0.2)</f>
        <v>0.68061674008810569</v>
      </c>
      <c r="AK107" s="100">
        <f>MAX((((AK105-AK10)/AK105)),0.2)</f>
        <v>0.70593366062750762</v>
      </c>
      <c r="AO107" s="1483">
        <f>AK9+(AN9-AK9)*WACoastTerminal!H109</f>
        <v>118886.40510423567</v>
      </c>
    </row>
    <row r="108" spans="1:41" hidden="1" x14ac:dyDescent="0.2">
      <c r="Z108" s="100"/>
      <c r="AA108" s="100"/>
      <c r="AB108" s="100"/>
      <c r="AC108" s="100"/>
      <c r="AD108" s="100"/>
      <c r="AE108" s="100"/>
      <c r="AF108" s="100"/>
      <c r="AG108" s="100"/>
      <c r="AH108" s="100"/>
      <c r="AI108" s="100"/>
      <c r="AJ108" s="100"/>
      <c r="AK108" s="100"/>
    </row>
    <row r="109" spans="1:41" hidden="1" x14ac:dyDescent="0.2"/>
    <row r="110" spans="1:41" hidden="1" x14ac:dyDescent="0.2"/>
    <row r="111" spans="1:41" hidden="1" x14ac:dyDescent="0.2"/>
    <row r="112" spans="1:41"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53" spans="12:12" x14ac:dyDescent="0.2">
      <c r="L153" s="20"/>
    </row>
  </sheetData>
  <phoneticPr fontId="16" type="noConversion"/>
  <pageMargins left="0.25" right="0.25" top="0.45" bottom="0.57999999999999996" header="0.21" footer="0.38"/>
  <pageSetup scale="74" orientation="landscape" r:id="rId1"/>
  <headerFooter scaleWithDoc="0"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ransitionEvaluation="1" transitionEntry="1" codeName="Sheet5"/>
  <dimension ref="A1:Q152"/>
  <sheetViews>
    <sheetView zoomScale="90" zoomScaleNormal="90" zoomScaleSheetLayoutView="90" workbookViewId="0">
      <selection activeCell="Q20" sqref="Q20"/>
    </sheetView>
  </sheetViews>
  <sheetFormatPr defaultColWidth="12.5703125" defaultRowHeight="15" x14ac:dyDescent="0.2"/>
  <cols>
    <col min="1" max="1" width="35.5703125" style="2" customWidth="1"/>
    <col min="2" max="2" width="8.5703125" style="2" customWidth="1"/>
    <col min="3" max="6" width="12.5703125" style="2"/>
    <col min="7" max="7" width="14.5703125" style="2" customWidth="1"/>
    <col min="8" max="8" width="17.140625" style="2" hidden="1" customWidth="1"/>
    <col min="9" max="9" width="17" style="2" hidden="1" customWidth="1"/>
    <col min="10" max="11" width="17" style="2" customWidth="1"/>
    <col min="12" max="12" width="15.5703125" style="2" hidden="1" customWidth="1"/>
    <col min="13" max="13" width="15.7109375" style="2" hidden="1" customWidth="1"/>
    <col min="14" max="14" width="14" style="2" customWidth="1"/>
    <col min="15" max="15" width="12.85546875" style="2" bestFit="1" customWidth="1"/>
    <col min="16" max="17" width="13.28515625" style="2" bestFit="1" customWidth="1"/>
    <col min="18" max="16384" width="12.5703125" style="2"/>
  </cols>
  <sheetData>
    <row r="1" spans="1:17" ht="15.75" x14ac:dyDescent="0.25">
      <c r="A1" s="1" t="s">
        <v>462</v>
      </c>
      <c r="H1" s="6"/>
      <c r="I1" s="6"/>
      <c r="J1" s="6"/>
      <c r="K1" s="6"/>
      <c r="L1" s="6"/>
      <c r="M1" s="6"/>
      <c r="N1" s="6"/>
      <c r="O1" s="6"/>
      <c r="P1" s="6"/>
      <c r="Q1" s="6"/>
    </row>
    <row r="2" spans="1:17" x14ac:dyDescent="0.2">
      <c r="A2" s="2" t="s">
        <v>463</v>
      </c>
    </row>
    <row r="3" spans="1:17" x14ac:dyDescent="0.2">
      <c r="A3" s="2" t="s">
        <v>122</v>
      </c>
      <c r="B3" s="157" t="str">
        <f>Input_Harvestnew!$B$3</f>
        <v>bc-Coho2229</v>
      </c>
      <c r="E3" s="7"/>
      <c r="Q3" s="545">
        <f>'1'!$L$2</f>
        <v>44663.592256944445</v>
      </c>
    </row>
    <row r="4" spans="1:17" x14ac:dyDescent="0.2">
      <c r="A4" s="2" t="s">
        <v>123</v>
      </c>
      <c r="B4" s="2" t="str">
        <f>Input_Harvestnew!$B$4</f>
        <v>Final PFMC April - Adopted+NOF</v>
      </c>
      <c r="Q4" s="546">
        <f>'1'!$L$3</f>
        <v>44663.592256944445</v>
      </c>
    </row>
    <row r="5" spans="1:17" hidden="1" x14ac:dyDescent="0.2">
      <c r="A5" s="2" t="s">
        <v>464</v>
      </c>
    </row>
    <row r="6" spans="1:17" x14ac:dyDescent="0.2">
      <c r="A6" s="6" t="s">
        <v>125</v>
      </c>
      <c r="B6" s="6" t="s">
        <v>125</v>
      </c>
      <c r="C6" s="6" t="s">
        <v>125</v>
      </c>
      <c r="D6" s="6" t="s">
        <v>125</v>
      </c>
      <c r="E6" s="6" t="s">
        <v>125</v>
      </c>
      <c r="F6" s="6" t="s">
        <v>125</v>
      </c>
      <c r="G6" s="6" t="s">
        <v>125</v>
      </c>
      <c r="H6" s="6" t="s">
        <v>125</v>
      </c>
      <c r="I6" s="6" t="s">
        <v>125</v>
      </c>
      <c r="J6" s="6"/>
      <c r="K6" s="6"/>
      <c r="L6" s="6"/>
      <c r="M6" s="6"/>
      <c r="N6" s="6" t="s">
        <v>125</v>
      </c>
      <c r="O6" s="6" t="s">
        <v>125</v>
      </c>
      <c r="P6" s="6" t="s">
        <v>125</v>
      </c>
      <c r="Q6" s="6" t="s">
        <v>125</v>
      </c>
    </row>
    <row r="7" spans="1:17" x14ac:dyDescent="0.2">
      <c r="A7" s="7" t="s">
        <v>465</v>
      </c>
      <c r="C7" s="1224" t="s">
        <v>466</v>
      </c>
      <c r="D7" s="1224" t="s">
        <v>467</v>
      </c>
      <c r="E7" s="1224" t="s">
        <v>468</v>
      </c>
      <c r="F7" s="1224" t="s">
        <v>469</v>
      </c>
      <c r="G7" s="1252" t="s">
        <v>470</v>
      </c>
      <c r="H7" s="1224" t="s">
        <v>471</v>
      </c>
      <c r="I7" s="1224" t="s">
        <v>472</v>
      </c>
      <c r="J7" s="1224" t="s">
        <v>471</v>
      </c>
      <c r="K7" s="1224" t="s">
        <v>472</v>
      </c>
      <c r="L7" s="1224" t="s">
        <v>471</v>
      </c>
      <c r="M7" s="1224" t="s">
        <v>472</v>
      </c>
      <c r="N7" s="855" t="s">
        <v>473</v>
      </c>
      <c r="O7" s="1224" t="s">
        <v>474</v>
      </c>
      <c r="P7" s="1224" t="s">
        <v>448</v>
      </c>
      <c r="Q7" s="1224" t="s">
        <v>475</v>
      </c>
    </row>
    <row r="8" spans="1:17" x14ac:dyDescent="0.2">
      <c r="C8" s="1224" t="s">
        <v>237</v>
      </c>
      <c r="D8" s="1224" t="s">
        <v>237</v>
      </c>
      <c r="E8" s="1224" t="s">
        <v>237</v>
      </c>
      <c r="F8" s="1224" t="s">
        <v>237</v>
      </c>
      <c r="G8" s="1252" t="s">
        <v>476</v>
      </c>
      <c r="H8" s="1224" t="s">
        <v>237</v>
      </c>
      <c r="I8" s="1224" t="s">
        <v>237</v>
      </c>
      <c r="J8" s="1224" t="s">
        <v>240</v>
      </c>
      <c r="K8" s="1224" t="s">
        <v>240</v>
      </c>
      <c r="L8" s="1224" t="s">
        <v>236</v>
      </c>
      <c r="M8" s="1224" t="s">
        <v>236</v>
      </c>
      <c r="N8" s="855" t="s">
        <v>477</v>
      </c>
      <c r="O8" s="1224" t="s">
        <v>237</v>
      </c>
      <c r="P8" s="1224" t="s">
        <v>237</v>
      </c>
      <c r="Q8" s="1224" t="s">
        <v>237</v>
      </c>
    </row>
    <row r="9" spans="1:17" ht="13.35" customHeight="1" x14ac:dyDescent="0.2">
      <c r="A9" s="6" t="s">
        <v>129</v>
      </c>
      <c r="B9" s="6" t="s">
        <v>129</v>
      </c>
      <c r="C9" s="6" t="s">
        <v>129</v>
      </c>
      <c r="D9" s="6" t="s">
        <v>129</v>
      </c>
      <c r="E9" s="6" t="s">
        <v>129</v>
      </c>
      <c r="F9" s="6" t="s">
        <v>129</v>
      </c>
      <c r="G9" s="706" t="s">
        <v>129</v>
      </c>
      <c r="H9" s="6" t="s">
        <v>129</v>
      </c>
      <c r="I9" s="6" t="s">
        <v>129</v>
      </c>
      <c r="J9" s="6"/>
      <c r="K9" s="6"/>
      <c r="L9" s="6"/>
      <c r="M9" s="6"/>
      <c r="N9" s="1514" t="s">
        <v>129</v>
      </c>
      <c r="O9" s="6" t="s">
        <v>129</v>
      </c>
      <c r="P9" s="6" t="s">
        <v>129</v>
      </c>
      <c r="Q9" s="6" t="s">
        <v>129</v>
      </c>
    </row>
    <row r="10" spans="1:17" ht="16.5" x14ac:dyDescent="0.25">
      <c r="A10" s="2" t="s">
        <v>478</v>
      </c>
      <c r="C10" s="1225">
        <f>'2'!E9</f>
        <v>45869.214207404264</v>
      </c>
      <c r="D10" s="1225">
        <f>TRunsPRN!C12</f>
        <v>16017</v>
      </c>
      <c r="E10" s="1225">
        <f>TRunsPRN!C13</f>
        <v>42871</v>
      </c>
      <c r="F10" s="1225">
        <f>TRunsPRN!C14</f>
        <v>11350</v>
      </c>
      <c r="G10" s="1247">
        <f>TRunsPRN!C15</f>
        <v>6519</v>
      </c>
      <c r="H10" s="1225">
        <f>SUM(TRunsPRN!C24:C26)</f>
        <v>15903</v>
      </c>
      <c r="I10" s="1225">
        <f>TRunsPRN!C27</f>
        <v>15511</v>
      </c>
      <c r="J10" s="1225">
        <f>L10-H10</f>
        <v>69671</v>
      </c>
      <c r="K10" s="1225">
        <f>M10-I10</f>
        <v>15701</v>
      </c>
      <c r="L10" s="1225">
        <f>TRunsPRN!C40</f>
        <v>85574</v>
      </c>
      <c r="M10" s="1225">
        <f>TRunsPRN!C44</f>
        <v>31212</v>
      </c>
      <c r="N10" s="928" t="s">
        <v>297</v>
      </c>
      <c r="O10" s="1226" t="s">
        <v>297</v>
      </c>
      <c r="P10" s="1226" t="s">
        <v>297</v>
      </c>
      <c r="Q10" s="1226" t="s">
        <v>297</v>
      </c>
    </row>
    <row r="11" spans="1:17" ht="16.5" x14ac:dyDescent="0.25">
      <c r="A11" s="2" t="s">
        <v>479</v>
      </c>
      <c r="C11" s="1226" t="s">
        <v>297</v>
      </c>
      <c r="D11" s="1226" t="s">
        <v>297</v>
      </c>
      <c r="E11" s="1226" t="s">
        <v>297</v>
      </c>
      <c r="F11" s="1226" t="s">
        <v>297</v>
      </c>
      <c r="G11" s="1246" t="s">
        <v>297</v>
      </c>
      <c r="H11" s="1226" t="s">
        <v>297</v>
      </c>
      <c r="I11" s="1226" t="s">
        <v>297</v>
      </c>
      <c r="J11" s="1226" t="s">
        <v>297</v>
      </c>
      <c r="K11" s="1226" t="s">
        <v>297</v>
      </c>
      <c r="L11" s="1226" t="s">
        <v>297</v>
      </c>
      <c r="M11" s="1226" t="s">
        <v>297</v>
      </c>
      <c r="N11" s="927">
        <f>SUM(TRunsPRN!D16)</f>
        <v>11636.098053614196</v>
      </c>
      <c r="O11" s="1225">
        <f>SUM(TRunsPRN!D17)</f>
        <v>3922.124919189815</v>
      </c>
      <c r="P11" s="1225">
        <f>SUM(TRunsPRN!D18)</f>
        <v>15213.51862402221</v>
      </c>
      <c r="Q11" s="1225">
        <f>SUM(TRunsPRN!D19)</f>
        <v>111109.16480190745</v>
      </c>
    </row>
    <row r="12" spans="1:17" ht="11.85" customHeight="1" x14ac:dyDescent="0.25">
      <c r="A12" s="6" t="s">
        <v>129</v>
      </c>
      <c r="C12" s="1227" t="s">
        <v>129</v>
      </c>
      <c r="D12" s="1227" t="s">
        <v>129</v>
      </c>
      <c r="E12" s="1227" t="s">
        <v>129</v>
      </c>
      <c r="F12" s="1227" t="s">
        <v>129</v>
      </c>
      <c r="G12" s="1248" t="s">
        <v>129</v>
      </c>
      <c r="H12" s="1227" t="s">
        <v>129</v>
      </c>
      <c r="I12" s="1227" t="s">
        <v>129</v>
      </c>
      <c r="J12" s="1227"/>
      <c r="K12" s="1227"/>
      <c r="L12" s="1227"/>
      <c r="M12" s="1227"/>
      <c r="N12" s="929" t="s">
        <v>129</v>
      </c>
      <c r="O12" s="1227" t="s">
        <v>129</v>
      </c>
      <c r="P12" s="1227" t="s">
        <v>129</v>
      </c>
      <c r="Q12" s="1227" t="s">
        <v>129</v>
      </c>
    </row>
    <row r="13" spans="1:17" ht="18.75" x14ac:dyDescent="0.25">
      <c r="A13" s="2" t="s">
        <v>480</v>
      </c>
      <c r="C13" s="1226"/>
      <c r="D13" s="1226"/>
      <c r="E13" s="1226"/>
      <c r="F13" s="1226"/>
      <c r="G13" s="1246"/>
      <c r="H13" s="1226"/>
      <c r="I13" s="1260"/>
      <c r="J13" s="1226"/>
      <c r="K13" s="1226"/>
      <c r="L13" s="1226"/>
      <c r="M13" s="1260"/>
      <c r="N13" s="928"/>
      <c r="O13" s="1226"/>
      <c r="P13" s="1226"/>
      <c r="Q13" s="1226"/>
    </row>
    <row r="14" spans="1:17" ht="16.5" x14ac:dyDescent="0.25">
      <c r="A14" s="2" t="s">
        <v>481</v>
      </c>
      <c r="C14" s="930">
        <f>SUM('2'!E15:E38,'2'!E41:E46)</f>
        <v>10069</v>
      </c>
      <c r="D14" s="930">
        <f>SUM('2'!I15:I38,'2'!I41:I46)</f>
        <v>2160</v>
      </c>
      <c r="E14" s="930">
        <f>SUM('2'!J15:J38,'2'!J41:J46)</f>
        <v>5839</v>
      </c>
      <c r="F14" s="930">
        <f>SUM('2'!P15:P38,'2'!P41:P46)</f>
        <v>4952</v>
      </c>
      <c r="G14" s="1254">
        <f>SUM('2'!T15:T38,'2'!T41:T46)</f>
        <v>781</v>
      </c>
      <c r="H14" s="1228">
        <f>SUM('2'!AQ15:AQ38,'2'!AQ41:AQ46)</f>
        <v>6398</v>
      </c>
      <c r="I14" s="1228">
        <f>SUM('2'!AU15:AU38,'2'!AU41:AU46)</f>
        <v>5198</v>
      </c>
      <c r="J14" s="1262">
        <f>L14-H14</f>
        <v>62531</v>
      </c>
      <c r="K14" s="1262">
        <f>M14-I14</f>
        <v>22971</v>
      </c>
      <c r="L14" s="1228">
        <f>SUM('2'!AR15:AR38,'2'!AR41:AR46,'2'!AS15:AS38,'2'!AS41:AS46)</f>
        <v>68929</v>
      </c>
      <c r="M14" s="1228">
        <f>SUM('2'!AV15:AV38,'2'!AV41:AV46,'2'!AW15:AW38,'2'!AW41:AW46)</f>
        <v>28169</v>
      </c>
      <c r="N14" s="931">
        <f>SUM('2'!Z15:Z22,'2'!Z24:Z35)</f>
        <v>823</v>
      </c>
      <c r="O14" s="1228">
        <f>SUM('2'!AA15:AA22,'2'!AA24:AA35)</f>
        <v>772</v>
      </c>
      <c r="P14" s="1228">
        <f>SUM('2'!AE15:AE22,'2'!AE24:AE35)</f>
        <v>2707</v>
      </c>
      <c r="Q14" s="1228">
        <f>SUM('2'!AK15:AK22,'2'!AK24:AK35)</f>
        <v>8915</v>
      </c>
    </row>
    <row r="15" spans="1:17" ht="16.5" x14ac:dyDescent="0.25">
      <c r="A15" s="2" t="s">
        <v>482</v>
      </c>
      <c r="C15" s="930">
        <f>SUM('2'!E50:E57)</f>
        <v>1529</v>
      </c>
      <c r="D15" s="930">
        <f>SUM('2'!I48:I49,'2'!I52:I57)</f>
        <v>43</v>
      </c>
      <c r="E15" s="930">
        <f>SUM('2'!J48:J49,'2'!J52:J57)</f>
        <v>113</v>
      </c>
      <c r="F15" s="930">
        <f>SUM('2'!P48:P51,'2'!P54:P57)</f>
        <v>284</v>
      </c>
      <c r="G15" s="1254">
        <f>SUM('2'!T48:T57)</f>
        <v>20</v>
      </c>
      <c r="H15" s="1228">
        <f>SUM('2'!AQ48:AQ53,'2'!AQ56:AQ57)</f>
        <v>239</v>
      </c>
      <c r="I15" s="1228">
        <f>SUM('2'!AU48:AU55)</f>
        <v>55</v>
      </c>
      <c r="J15" s="1262">
        <f t="shared" ref="J15:K17" si="0">L15-H15</f>
        <v>1431</v>
      </c>
      <c r="K15" s="1262">
        <f t="shared" si="0"/>
        <v>91</v>
      </c>
      <c r="L15" s="1228">
        <f>SUM('2'!AR48:AR53,'2'!AR56:AR57,'2'!AS48:AS53,'2'!AS56:AS57)</f>
        <v>1670</v>
      </c>
      <c r="M15" s="1228">
        <f>SUM('2'!AV48:AV55,'2'!AW48:AW55)</f>
        <v>146</v>
      </c>
      <c r="N15" s="1107">
        <f>SUM('2'!Z23)</f>
        <v>64</v>
      </c>
      <c r="O15" s="1229">
        <f>SUM('2'!AA23)</f>
        <v>18</v>
      </c>
      <c r="P15" s="1229">
        <f>SUM('2'!AE23)</f>
        <v>403</v>
      </c>
      <c r="Q15" s="1229">
        <f>SUM('2'!AK23)</f>
        <v>806</v>
      </c>
    </row>
    <row r="16" spans="1:17" ht="16.5" x14ac:dyDescent="0.25">
      <c r="A16" s="2" t="s">
        <v>483</v>
      </c>
      <c r="C16" s="930">
        <f>SUM('2'!E48:E49)</f>
        <v>500</v>
      </c>
      <c r="D16" s="930">
        <f>SUM('2'!I50:I51)</f>
        <v>785</v>
      </c>
      <c r="E16" s="930">
        <f>SUM('2'!J50:J51)</f>
        <v>2288</v>
      </c>
      <c r="F16" s="930">
        <f>SUM('2'!P52:P53)</f>
        <v>2685</v>
      </c>
      <c r="G16" s="1254">
        <f>SUM('2'!T48:T49)</f>
        <v>0</v>
      </c>
      <c r="H16" s="1228">
        <f>SUM('2'!AQ54:AQ55)</f>
        <v>4623</v>
      </c>
      <c r="I16" s="1228">
        <f>SUM('2'!AU56:AU57)</f>
        <v>8653</v>
      </c>
      <c r="J16" s="1262">
        <f t="shared" si="0"/>
        <v>40713</v>
      </c>
      <c r="K16" s="1262">
        <f t="shared" si="0"/>
        <v>16451</v>
      </c>
      <c r="L16" s="1228">
        <f>SUM('2'!AR54:AR55,'2'!AS54:AS55)</f>
        <v>45336</v>
      </c>
      <c r="M16" s="1228">
        <f>SUM('2'!AV56:AV57,'2'!AW56:AW57)</f>
        <v>25104</v>
      </c>
      <c r="N16" s="1205" t="s">
        <v>297</v>
      </c>
      <c r="O16" s="1230" t="s">
        <v>297</v>
      </c>
      <c r="P16" s="1230" t="s">
        <v>297</v>
      </c>
      <c r="Q16" s="1230" t="s">
        <v>297</v>
      </c>
    </row>
    <row r="17" spans="1:17" ht="16.5" x14ac:dyDescent="0.25">
      <c r="A17" s="2" t="s">
        <v>484</v>
      </c>
      <c r="C17" s="930">
        <f>SUM('2'!E39,'2'!E59)</f>
        <v>5396.7857925957378</v>
      </c>
      <c r="D17" s="930">
        <f>SUM('2'!I39,'2'!I59)</f>
        <v>658</v>
      </c>
      <c r="E17" s="930">
        <f>SUM('2'!J39,'2'!J59)</f>
        <v>62</v>
      </c>
      <c r="F17" s="930">
        <f>SUM('2'!P39,'2'!P59)</f>
        <v>90</v>
      </c>
      <c r="G17" s="1254">
        <f>SUM('2'!T39,'2'!T59)</f>
        <v>0</v>
      </c>
      <c r="H17" s="1228">
        <f>SUM('2'!AQ39,'2'!AQ59)</f>
        <v>679</v>
      </c>
      <c r="I17" s="1228">
        <f>SUM('2'!AU39,'2'!AU59)</f>
        <v>914</v>
      </c>
      <c r="J17" s="1262">
        <f t="shared" si="0"/>
        <v>7827</v>
      </c>
      <c r="K17" s="1262">
        <f t="shared" si="0"/>
        <v>1463</v>
      </c>
      <c r="L17" s="1228">
        <f>SUM('2'!AR39,'2'!AR59,'2'!AS39,'2'!AS59)</f>
        <v>8506</v>
      </c>
      <c r="M17" s="1228">
        <f>SUM('2'!AV39,'2'!AV59,'2'!AW39,'2'!AW59)</f>
        <v>2377</v>
      </c>
      <c r="N17" s="1205" t="s">
        <v>297</v>
      </c>
      <c r="O17" s="1230" t="s">
        <v>297</v>
      </c>
      <c r="P17" s="1230" t="s">
        <v>297</v>
      </c>
      <c r="Q17" s="1230" t="s">
        <v>297</v>
      </c>
    </row>
    <row r="18" spans="1:17" ht="16.5" x14ac:dyDescent="0.25">
      <c r="A18" s="2" t="s">
        <v>485</v>
      </c>
      <c r="C18" s="930">
        <f>SUM('2'!E60)</f>
        <v>15924</v>
      </c>
      <c r="D18" s="930">
        <f>SUM('2'!I60)</f>
        <v>5336</v>
      </c>
      <c r="E18" s="930">
        <f>SUM('2'!J60)</f>
        <v>13303</v>
      </c>
      <c r="F18" s="930">
        <f>SUM('2'!P60)</f>
        <v>936</v>
      </c>
      <c r="G18" s="1254">
        <f>SUM('2'!T60)</f>
        <v>0</v>
      </c>
      <c r="H18" s="1228">
        <f>SUM('2'!AQ60)</f>
        <v>3421</v>
      </c>
      <c r="I18" s="1228">
        <f>SUM('2'!AU60)</f>
        <v>6054</v>
      </c>
      <c r="J18" s="1262">
        <f>L18-H18</f>
        <v>29277</v>
      </c>
      <c r="K18" s="1262">
        <f>M18-I18</f>
        <v>18339</v>
      </c>
      <c r="L18" s="1228">
        <f>SUM('2'!AR60,'2'!AS60)</f>
        <v>32698</v>
      </c>
      <c r="M18" s="1228">
        <f>SUM('2'!AV60,'2'!AW60)</f>
        <v>24393</v>
      </c>
      <c r="N18" s="1205" t="s">
        <v>297</v>
      </c>
      <c r="O18" s="1230" t="s">
        <v>297</v>
      </c>
      <c r="P18" s="1230" t="s">
        <v>297</v>
      </c>
      <c r="Q18" s="1230" t="s">
        <v>297</v>
      </c>
    </row>
    <row r="19" spans="1:17" ht="16.5" x14ac:dyDescent="0.25">
      <c r="A19" s="2" t="s">
        <v>486</v>
      </c>
      <c r="C19" s="930">
        <f>SUM('2'!E61)</f>
        <v>1519</v>
      </c>
      <c r="D19" s="930">
        <f>SUM('2'!I61)</f>
        <v>0</v>
      </c>
      <c r="E19" s="930">
        <f>SUM('2'!J61)</f>
        <v>0</v>
      </c>
      <c r="F19" s="930">
        <f>SUM('2'!P61)</f>
        <v>0</v>
      </c>
      <c r="G19" s="1254">
        <f>SUM('2'!T61)</f>
        <v>0</v>
      </c>
      <c r="H19" s="1228">
        <f>SUM('2'!AQ61)</f>
        <v>11.477530639553034</v>
      </c>
      <c r="I19" s="1228">
        <f>SUM('2'!AU61)</f>
        <v>0</v>
      </c>
      <c r="J19" s="1262" t="s">
        <v>191</v>
      </c>
      <c r="K19" s="1262" t="s">
        <v>191</v>
      </c>
      <c r="L19" s="1228"/>
      <c r="M19" s="1228">
        <f>SUM('2'!AV61,'2'!AW61)</f>
        <v>0</v>
      </c>
      <c r="N19" s="1206" t="s">
        <v>297</v>
      </c>
      <c r="O19" s="1231" t="s">
        <v>297</v>
      </c>
      <c r="P19" s="1231" t="s">
        <v>297</v>
      </c>
      <c r="Q19" s="1231" t="s">
        <v>297</v>
      </c>
    </row>
    <row r="20" spans="1:17" ht="18.75" x14ac:dyDescent="0.25">
      <c r="A20" s="2" t="s">
        <v>487</v>
      </c>
      <c r="C20" s="930">
        <f t="shared" ref="C20:I20" si="1">C10</f>
        <v>45869.214207404264</v>
      </c>
      <c r="D20" s="930">
        <f t="shared" si="1"/>
        <v>16017</v>
      </c>
      <c r="E20" s="930">
        <f t="shared" si="1"/>
        <v>42871</v>
      </c>
      <c r="F20" s="930">
        <f t="shared" si="1"/>
        <v>11350</v>
      </c>
      <c r="G20" s="1254">
        <f t="shared" si="1"/>
        <v>6519</v>
      </c>
      <c r="H20" s="1228">
        <f t="shared" si="1"/>
        <v>15903</v>
      </c>
      <c r="I20" s="1228">
        <f t="shared" si="1"/>
        <v>15511</v>
      </c>
      <c r="J20" s="1262">
        <f>L20-H20</f>
        <v>69671</v>
      </c>
      <c r="K20" s="1262">
        <f>M20-I20</f>
        <v>15701</v>
      </c>
      <c r="L20" s="1228">
        <f>L10</f>
        <v>85574</v>
      </c>
      <c r="M20" s="1228">
        <f>M10</f>
        <v>31212</v>
      </c>
      <c r="N20" s="931">
        <f>N11</f>
        <v>11636.098053614196</v>
      </c>
      <c r="O20" s="1228">
        <f>O11</f>
        <v>3922.124919189815</v>
      </c>
      <c r="P20" s="1228">
        <f>P11</f>
        <v>15213.51862402221</v>
      </c>
      <c r="Q20" s="1228">
        <f>Q11</f>
        <v>111109.16480190745</v>
      </c>
    </row>
    <row r="21" spans="1:17" ht="18.75" x14ac:dyDescent="0.25">
      <c r="A21" s="2" t="s">
        <v>488</v>
      </c>
      <c r="C21" s="930">
        <f>SUM(C14:C20)</f>
        <v>80807</v>
      </c>
      <c r="D21" s="930">
        <f t="shared" ref="D21:G21" si="2">SUM(D14:D20)</f>
        <v>24999</v>
      </c>
      <c r="E21" s="930">
        <f t="shared" si="2"/>
        <v>64476</v>
      </c>
      <c r="F21" s="930">
        <f t="shared" si="2"/>
        <v>20297</v>
      </c>
      <c r="G21" s="1254">
        <f t="shared" si="2"/>
        <v>7320</v>
      </c>
      <c r="H21" s="1228">
        <f>SUM(H14:H20)</f>
        <v>31274.477530639553</v>
      </c>
      <c r="I21" s="1228">
        <f>SUM(I14:I20)</f>
        <v>36385</v>
      </c>
      <c r="J21" s="1262">
        <f>L21-H21</f>
        <v>211438.52246936044</v>
      </c>
      <c r="K21" s="1262">
        <f>M21-I21</f>
        <v>75016</v>
      </c>
      <c r="L21" s="1228">
        <f>SUM(L14:L20)</f>
        <v>242713</v>
      </c>
      <c r="M21" s="1228">
        <f>SUM(M14:M20)</f>
        <v>111401</v>
      </c>
      <c r="N21" s="931">
        <f>SUM(N14,N16:N20)</f>
        <v>12459.098053614196</v>
      </c>
      <c r="O21" s="1228">
        <f>SUM(O14, O16:O20)</f>
        <v>4694.124919189815</v>
      </c>
      <c r="P21" s="1228">
        <f>SUM(P14,P16:P20)</f>
        <v>17920.51862402221</v>
      </c>
      <c r="Q21" s="1228">
        <f>SUM(Q14,Q16:Q20)</f>
        <v>120024.16480190745</v>
      </c>
    </row>
    <row r="22" spans="1:17" ht="8.85" customHeight="1" x14ac:dyDescent="0.25">
      <c r="A22" s="6" t="s">
        <v>129</v>
      </c>
      <c r="C22" s="1227" t="s">
        <v>129</v>
      </c>
      <c r="D22" s="1227" t="s">
        <v>129</v>
      </c>
      <c r="E22" s="1227" t="s">
        <v>129</v>
      </c>
      <c r="F22" s="1227" t="s">
        <v>129</v>
      </c>
      <c r="G22" s="1248" t="s">
        <v>129</v>
      </c>
      <c r="H22" s="1227" t="s">
        <v>129</v>
      </c>
      <c r="I22" s="1227" t="s">
        <v>129</v>
      </c>
      <c r="J22" s="1227"/>
      <c r="K22" s="1227"/>
      <c r="L22" s="1227"/>
      <c r="M22" s="1227"/>
      <c r="N22" s="929" t="s">
        <v>129</v>
      </c>
      <c r="O22" s="1227" t="s">
        <v>129</v>
      </c>
      <c r="P22" s="1227" t="s">
        <v>129</v>
      </c>
      <c r="Q22" s="1227" t="s">
        <v>129</v>
      </c>
    </row>
    <row r="23" spans="1:17" ht="18.75" x14ac:dyDescent="0.25">
      <c r="A23" s="2" t="s">
        <v>489</v>
      </c>
      <c r="C23" s="1263">
        <f t="shared" ref="C23:G23" si="3">SUM(C14:C19)/C21</f>
        <v>0.43236088201016915</v>
      </c>
      <c r="D23" s="1263">
        <f>SUM(D14:D19)/D21</f>
        <v>0.359294371774871</v>
      </c>
      <c r="E23" s="1263">
        <f t="shared" si="3"/>
        <v>0.33508592344438243</v>
      </c>
      <c r="F23" s="1263">
        <f>SUM(F14:F19)/F21</f>
        <v>0.44080405971325809</v>
      </c>
      <c r="G23" s="1249">
        <f t="shared" si="3"/>
        <v>0.10942622950819672</v>
      </c>
      <c r="H23" s="1232">
        <f t="shared" ref="H23:M23" si="4">SUM(H14:H19)/H21</f>
        <v>0.49150229657969963</v>
      </c>
      <c r="I23" s="1263">
        <f t="shared" si="4"/>
        <v>0.57369795245293387</v>
      </c>
      <c r="J23" s="1263">
        <f t="shared" si="4"/>
        <v>0.67054479166891268</v>
      </c>
      <c r="K23" s="1263">
        <f t="shared" si="4"/>
        <v>0.79069798442998829</v>
      </c>
      <c r="L23" s="1263">
        <f t="shared" si="4"/>
        <v>0.64742720826655353</v>
      </c>
      <c r="M23" s="1263">
        <f t="shared" si="4"/>
        <v>0.71982298184037841</v>
      </c>
      <c r="N23" s="932">
        <f>SUM(N14,N16:N19)/N21</f>
        <v>6.6056145995356391E-2</v>
      </c>
      <c r="O23" s="1232">
        <f>SUM(O14,O16:O19)/O21</f>
        <v>0.16446089809924438</v>
      </c>
      <c r="P23" s="1263">
        <f>SUM(P14,P16:P19)/P21</f>
        <v>0.1510558961374758</v>
      </c>
      <c r="Q23" s="1263">
        <f>SUM(Q14,Q16:Q19)/Q21</f>
        <v>7.427670931694183E-2</v>
      </c>
    </row>
    <row r="24" spans="1:17" ht="9.6" customHeight="1" x14ac:dyDescent="0.25">
      <c r="A24" s="6" t="s">
        <v>129</v>
      </c>
      <c r="B24" s="6" t="s">
        <v>129</v>
      </c>
      <c r="C24" s="1227" t="s">
        <v>129</v>
      </c>
      <c r="D24" s="1227" t="s">
        <v>129</v>
      </c>
      <c r="E24" s="1227" t="s">
        <v>129</v>
      </c>
      <c r="F24" s="1227" t="s">
        <v>129</v>
      </c>
      <c r="G24" s="1248" t="s">
        <v>129</v>
      </c>
      <c r="H24" s="1227" t="s">
        <v>129</v>
      </c>
      <c r="I24" s="1227" t="s">
        <v>129</v>
      </c>
      <c r="J24" s="1227"/>
      <c r="K24" s="1227"/>
      <c r="L24" s="1227"/>
      <c r="M24" s="1227"/>
      <c r="N24" s="929" t="s">
        <v>129</v>
      </c>
      <c r="O24" s="1227" t="s">
        <v>129</v>
      </c>
      <c r="P24" s="1227" t="s">
        <v>129</v>
      </c>
      <c r="Q24" s="1227" t="s">
        <v>129</v>
      </c>
    </row>
    <row r="25" spans="1:17" ht="16.5" hidden="1" x14ac:dyDescent="0.25">
      <c r="C25" s="1226"/>
      <c r="D25" s="1226"/>
      <c r="E25" s="1226"/>
      <c r="F25" s="1263"/>
      <c r="G25" s="1246"/>
      <c r="H25" s="1226"/>
      <c r="I25" s="1226"/>
      <c r="J25" s="1226"/>
      <c r="K25" s="1226"/>
      <c r="L25" s="1226"/>
      <c r="M25" s="1226"/>
      <c r="N25" s="928"/>
      <c r="O25" s="1226"/>
      <c r="P25" s="1226"/>
      <c r="Q25" s="1226"/>
    </row>
    <row r="26" spans="1:17" ht="16.5" x14ac:dyDescent="0.25">
      <c r="A26" s="2" t="s">
        <v>490</v>
      </c>
      <c r="C26" s="1263">
        <f>'2'!E15/C$21</f>
        <v>1.7436608214634872E-2</v>
      </c>
      <c r="D26" s="1263">
        <f>'2'!I15/D$21</f>
        <v>1.0680427217088683E-2</v>
      </c>
      <c r="E26" s="1263">
        <f>'2'!J15/E$21</f>
        <v>1.0639617842297909E-2</v>
      </c>
      <c r="F26" s="1263">
        <f>'2'!P15/F$21</f>
        <v>1.9904419372321031E-2</v>
      </c>
      <c r="G26" s="1249">
        <f>'2'!T15/G$21</f>
        <v>1.5027322404371584E-2</v>
      </c>
      <c r="H26" s="1232">
        <f>'2'!AQ15/H$21</f>
        <v>1.1734808347811749E-2</v>
      </c>
      <c r="I26" s="1232">
        <f>'2'!AU15/I$21</f>
        <v>2.5065274151436032E-2</v>
      </c>
      <c r="J26" s="1257">
        <f>(('2'!AR15 +'2'!AS15)-'2'!AQ15)/(L$21-H$21)</f>
        <v>2.9630362182027928E-2</v>
      </c>
      <c r="K26" s="1264">
        <f>(('2'!AV15 + '2'!AW15)-'2'!AU15)/(M$21-I$21)</f>
        <v>0.10437773275034659</v>
      </c>
      <c r="L26" s="1232">
        <f>SUM('2'!AR15,'2'!AS15)/L$21</f>
        <v>2.7324453160728925E-2</v>
      </c>
      <c r="M26" s="1232">
        <f>SUM('2'!AV15,'2'!AW15)/M$21</f>
        <v>7.847326325616466E-2</v>
      </c>
      <c r="N26" s="932">
        <f>'2'!Z15/N$21</f>
        <v>7.2236368646197754E-3</v>
      </c>
      <c r="O26" s="1263">
        <f>'2'!AA15/O$21</f>
        <v>2.4285676662323653E-2</v>
      </c>
      <c r="P26" s="1263">
        <f>'2'!AE15/P$21</f>
        <v>2.1427951280676288E-2</v>
      </c>
      <c r="Q26" s="1263">
        <f>'2'!AK15/Q$21</f>
        <v>1.2180880428644862E-2</v>
      </c>
    </row>
    <row r="27" spans="1:17" ht="16.5" x14ac:dyDescent="0.25">
      <c r="A27" s="2" t="s">
        <v>491</v>
      </c>
      <c r="C27" s="1263">
        <f>'2'!E16/C$21</f>
        <v>2.4750331035677601E-5</v>
      </c>
      <c r="D27" s="1263">
        <f>'2'!I16/D$21</f>
        <v>0</v>
      </c>
      <c r="E27" s="1263">
        <f>'2'!J16/E$21</f>
        <v>0</v>
      </c>
      <c r="F27" s="1263">
        <f>'2'!P16/F$21</f>
        <v>2.9561018869783711E-4</v>
      </c>
      <c r="G27" s="1249">
        <f>'2'!T16/G$21</f>
        <v>5.4644808743169399E-3</v>
      </c>
      <c r="H27" s="1232">
        <f>'2'!AQ16/H$21</f>
        <v>6.3949909252380101E-5</v>
      </c>
      <c r="I27" s="1232">
        <f>'2'!AU16/I$21</f>
        <v>1.6490311941734232E-4</v>
      </c>
      <c r="J27" s="1257">
        <f>(('2'!AR16 +'2'!AS16)-'2'!AQ16)/(L$21-H$21)</f>
        <v>6.1483592716099448E-5</v>
      </c>
      <c r="K27" s="1264">
        <f>(('2'!AV16 + '2'!AW16)-'2'!AU16)/(M$21-I$21)</f>
        <v>1.4663538445131705E-4</v>
      </c>
      <c r="L27" s="1232">
        <f>SUM('2'!AR16,'2'!AS16)/L$21</f>
        <v>6.1801386823120315E-5</v>
      </c>
      <c r="M27" s="1232">
        <f>SUM('2'!AV16,'2'!AW16)/M$21</f>
        <v>1.5260186174271325E-4</v>
      </c>
      <c r="N27" s="932">
        <f>'2'!Z16/N$21</f>
        <v>7.223636864619776E-4</v>
      </c>
      <c r="O27" s="1263">
        <f>'2'!AA16/O$21</f>
        <v>4.2606450284778342E-3</v>
      </c>
      <c r="P27" s="1263">
        <f>'2'!AE16/P$21</f>
        <v>1.8414645631831185E-3</v>
      </c>
      <c r="Q27" s="1263">
        <f>'2'!AK16/Q$21</f>
        <v>4.4157774467727612E-3</v>
      </c>
    </row>
    <row r="28" spans="1:17" ht="16.5" hidden="1" x14ac:dyDescent="0.25">
      <c r="C28" s="1263"/>
      <c r="D28" s="1263"/>
      <c r="E28" s="1263"/>
      <c r="F28" s="1263"/>
      <c r="G28" s="1249"/>
      <c r="H28" s="1232"/>
      <c r="I28" s="1232"/>
      <c r="J28" s="1257"/>
      <c r="K28" s="1257"/>
      <c r="L28" s="1232"/>
      <c r="M28" s="1232"/>
      <c r="N28" s="932"/>
      <c r="O28" s="1263"/>
      <c r="P28" s="1263"/>
      <c r="Q28" s="1263"/>
    </row>
    <row r="29" spans="1:17" ht="11.1" customHeight="1" x14ac:dyDescent="0.25">
      <c r="A29" s="6" t="s">
        <v>129</v>
      </c>
      <c r="B29" s="6" t="s">
        <v>129</v>
      </c>
      <c r="C29" s="1227" t="s">
        <v>129</v>
      </c>
      <c r="D29" s="1227" t="s">
        <v>129</v>
      </c>
      <c r="E29" s="1227" t="s">
        <v>129</v>
      </c>
      <c r="F29" s="1227" t="s">
        <v>129</v>
      </c>
      <c r="G29" s="1248" t="s">
        <v>129</v>
      </c>
      <c r="H29" s="1233" t="s">
        <v>129</v>
      </c>
      <c r="I29" s="1233" t="s">
        <v>129</v>
      </c>
      <c r="J29" s="1265"/>
      <c r="K29" s="1265"/>
      <c r="L29" s="1233"/>
      <c r="M29" s="1233"/>
      <c r="N29" s="933" t="s">
        <v>129</v>
      </c>
      <c r="O29" s="1227" t="s">
        <v>129</v>
      </c>
      <c r="P29" s="1227" t="s">
        <v>129</v>
      </c>
      <c r="Q29" s="1227" t="s">
        <v>129</v>
      </c>
    </row>
    <row r="30" spans="1:17" ht="18.75" x14ac:dyDescent="0.25">
      <c r="A30" s="2" t="s">
        <v>492</v>
      </c>
      <c r="C30" s="1263">
        <f t="shared" ref="C30:G30" si="5">SUM(C33:C38, C41:C62)</f>
        <v>0.4148995234644986</v>
      </c>
      <c r="D30" s="1263">
        <f t="shared" si="5"/>
        <v>0.34861394455778233</v>
      </c>
      <c r="E30" s="1263">
        <f t="shared" si="5"/>
        <v>0.32444630560208448</v>
      </c>
      <c r="F30" s="1263">
        <f t="shared" si="5"/>
        <v>0.42060403015223924</v>
      </c>
      <c r="G30" s="1249">
        <f t="shared" si="5"/>
        <v>8.8934426229508201E-2</v>
      </c>
      <c r="H30" s="1263">
        <f t="shared" ref="H30:M30" si="6">SUM(H33:H38, H41:H62)</f>
        <v>0.4797035383226354</v>
      </c>
      <c r="I30" s="1263">
        <f t="shared" si="6"/>
        <v>0.54846777518208056</v>
      </c>
      <c r="J30" s="1263">
        <f t="shared" si="6"/>
        <v>0.64079866283115106</v>
      </c>
      <c r="K30" s="1263">
        <f t="shared" si="6"/>
        <v>0.68617361629519036</v>
      </c>
      <c r="L30" s="1263">
        <f t="shared" si="6"/>
        <v>0.62004095371900148</v>
      </c>
      <c r="M30" s="1263">
        <f t="shared" si="6"/>
        <v>0.64119711672247104</v>
      </c>
      <c r="N30" s="932">
        <f>SUM(N33:N38, N42)</f>
        <v>5.8110145444274633E-2</v>
      </c>
      <c r="O30" s="1232">
        <f>SUM(O33:O38, O42)</f>
        <v>0.13591457640844293</v>
      </c>
      <c r="P30" s="1232">
        <f>SUM(P33:P38, P42)</f>
        <v>0.12778648029361639</v>
      </c>
      <c r="Q30" s="1232">
        <f>SUM(Q33:Q38, Q42)</f>
        <v>5.7680051441524202E-2</v>
      </c>
    </row>
    <row r="31" spans="1:17" ht="11.85" customHeight="1" thickBot="1" x14ac:dyDescent="0.3">
      <c r="A31" s="6" t="s">
        <v>129</v>
      </c>
      <c r="B31" s="6" t="s">
        <v>129</v>
      </c>
      <c r="C31" s="1227" t="s">
        <v>129</v>
      </c>
      <c r="D31" s="1227" t="s">
        <v>129</v>
      </c>
      <c r="E31" s="1227" t="s">
        <v>129</v>
      </c>
      <c r="F31" s="1227" t="s">
        <v>129</v>
      </c>
      <c r="G31" s="1248" t="s">
        <v>129</v>
      </c>
      <c r="H31" s="1233" t="s">
        <v>129</v>
      </c>
      <c r="I31" s="1233" t="s">
        <v>129</v>
      </c>
      <c r="J31" s="1265"/>
      <c r="K31" s="1265"/>
      <c r="L31" s="1233"/>
      <c r="M31" s="1233"/>
      <c r="N31" s="933" t="s">
        <v>129</v>
      </c>
      <c r="O31" s="1227" t="s">
        <v>129</v>
      </c>
      <c r="P31" s="1227" t="s">
        <v>129</v>
      </c>
      <c r="Q31" s="1227" t="s">
        <v>129</v>
      </c>
    </row>
    <row r="32" spans="1:17" ht="17.25" hidden="1" thickBot="1" x14ac:dyDescent="0.3">
      <c r="C32" s="1226"/>
      <c r="D32" s="1226"/>
      <c r="E32" s="1226"/>
      <c r="F32" s="1263"/>
      <c r="G32" s="1246"/>
      <c r="H32" s="1232"/>
      <c r="I32" s="1232"/>
      <c r="J32" s="1257"/>
      <c r="K32" s="1257"/>
      <c r="L32" s="1232"/>
      <c r="M32" s="1232"/>
      <c r="N32" s="932"/>
      <c r="O32" s="1226"/>
      <c r="P32" s="1226"/>
      <c r="Q32" s="1226"/>
    </row>
    <row r="33" spans="1:17" ht="16.5" x14ac:dyDescent="0.25">
      <c r="A33" s="25" t="s">
        <v>493</v>
      </c>
      <c r="B33" s="25"/>
      <c r="C33" s="934">
        <f>SUM('2'!E17:E18)/C$21</f>
        <v>1.2993923793730741E-3</v>
      </c>
      <c r="D33" s="934">
        <f>SUM('2'!I17:I18)/D$21</f>
        <v>1.280051202048082E-3</v>
      </c>
      <c r="E33" s="934">
        <f>SUM('2'!J17:J18)/E$21</f>
        <v>1.318319995036913E-3</v>
      </c>
      <c r="F33" s="934">
        <f>SUM('2'!P17:P18)/F$21</f>
        <v>1.6258560378381041E-3</v>
      </c>
      <c r="G33" s="1250">
        <f>SUM('2'!T17:T18)/G$21</f>
        <v>5.3278688524590161E-3</v>
      </c>
      <c r="H33" s="936">
        <f>SUM('2'!AQ17:AQ18)/H$21</f>
        <v>1.3749230489261723E-3</v>
      </c>
      <c r="I33" s="936">
        <f>SUM('2'!AU17:AU18)/I$21</f>
        <v>1.0443864229765013E-3</v>
      </c>
      <c r="J33" s="1266">
        <f>(('2'!AR17 +'2'!AR18 + '2'!AS17 + '2'!AS18)-('2'!AQ17 + '2'!AQ18))/(L$21-H$21)</f>
        <v>3.5424008418737298E-3</v>
      </c>
      <c r="K33" s="1266">
        <f>(('2'!AV17 +'2'!AV18 + '2'!AW17 + '2'!AW18)-('2'!AU17 + '2'!AU18))/(M$21-I$21)</f>
        <v>3.9991468486722829E-3</v>
      </c>
      <c r="L33" s="936">
        <f>SUM('2'!AR17:AR18,'2'!AS17:AS18)/L$21</f>
        <v>3.2631132242607525E-3</v>
      </c>
      <c r="M33" s="936">
        <f>SUM('2'!AV17:AV18,'2'!AW17:AW18)/M$21</f>
        <v>3.0340840746492402E-3</v>
      </c>
      <c r="N33" s="935">
        <f>SUM('2'!Z17:Z18)/N$21</f>
        <v>5.4578589643793857E-3</v>
      </c>
      <c r="O33" s="934">
        <f>SUM('2'!AA17:AA18)/O$21</f>
        <v>1.0438580319770694E-2</v>
      </c>
      <c r="P33" s="934">
        <f>SUM('2'!AE17:AE18)/P$21</f>
        <v>1.774502215431005E-2</v>
      </c>
      <c r="Q33" s="934">
        <f>SUM('2'!AK17:AK18)/Q$21</f>
        <v>7.2901986149550308E-3</v>
      </c>
    </row>
    <row r="34" spans="1:17" ht="16.5" x14ac:dyDescent="0.25">
      <c r="C34" s="1226"/>
      <c r="D34" s="1226"/>
      <c r="E34" s="1226"/>
      <c r="F34" s="1226"/>
      <c r="G34" s="1246"/>
      <c r="H34" s="1232"/>
      <c r="I34" s="1232"/>
      <c r="J34" s="1257"/>
      <c r="K34" s="1267"/>
      <c r="L34" s="1261"/>
      <c r="M34" s="1232"/>
      <c r="N34" s="932"/>
      <c r="O34" s="1226"/>
      <c r="P34" s="1226"/>
      <c r="Q34" s="1226"/>
    </row>
    <row r="35" spans="1:17" ht="16.5" x14ac:dyDescent="0.25">
      <c r="A35" s="2" t="s">
        <v>494</v>
      </c>
      <c r="B35" s="7" t="s">
        <v>495</v>
      </c>
      <c r="C35" s="1263">
        <f>SUM('2'!E21:E22)/C$21</f>
        <v>3.9971784622619324E-3</v>
      </c>
      <c r="D35" s="1263">
        <f>SUM('2'!I21:I22)/D$21</f>
        <v>3.2801312052482099E-3</v>
      </c>
      <c r="E35" s="1263">
        <f>SUM('2'!J21:J22)/E$21</f>
        <v>3.2880451640920653E-3</v>
      </c>
      <c r="F35" s="1263">
        <f>SUM('2'!P21:P22)/F$21</f>
        <v>4.6312262895994482E-3</v>
      </c>
      <c r="G35" s="1249">
        <f>SUM('2'!T21:T22)/G$21</f>
        <v>3.9617486338797813E-3</v>
      </c>
      <c r="H35" s="1232">
        <f>SUM('2'!AQ21:AQ22)/H$21</f>
        <v>4.2206940106570869E-3</v>
      </c>
      <c r="I35" s="1232">
        <f>SUM('2'!AU21:AU22)/I$21</f>
        <v>2.6109660574412533E-3</v>
      </c>
      <c r="J35" s="1257">
        <f>(('2'!AR21 +'2'!AR22 + '2'!AS21 + '2'!AS22)-('2'!AQ21 + '2'!AQ22))/(L$21-H$21)</f>
        <v>9.5914404637115151E-3</v>
      </c>
      <c r="K35" s="1257">
        <f>(('2'!AV21 +'2'!AV22 + '2'!AW21 + '2'!AW22)-('2'!AU21 + '2'!AU22))/(M$21-I$21)</f>
        <v>7.1318118801322388E-3</v>
      </c>
      <c r="L35" s="1232">
        <f>SUM('2'!AR21:AR22,'2'!AS21:AS22)/L$21</f>
        <v>8.8993997025293252E-3</v>
      </c>
      <c r="M35" s="1232">
        <f>SUM('2'!AV21:AV22,'2'!AW21:AW22)/M$21</f>
        <v>5.6552454645829031E-3</v>
      </c>
      <c r="N35" s="932">
        <f>SUM('2'!Z21:Z22)/N$21</f>
        <v>1.0032828978638577E-2</v>
      </c>
      <c r="O35" s="1263">
        <f>SUM('2'!AA21:AA22)/O$21</f>
        <v>2.1303225142389172E-2</v>
      </c>
      <c r="P35" s="1263">
        <f>SUM('2'!AE21:AE22)/P$21</f>
        <v>2.0646723890234964E-2</v>
      </c>
      <c r="Q35" s="1263">
        <f>SUM('2'!AK21:AK22)/Q$21</f>
        <v>7.506821659513694E-3</v>
      </c>
    </row>
    <row r="36" spans="1:17" ht="16.5" x14ac:dyDescent="0.25">
      <c r="B36" s="7" t="s">
        <v>176</v>
      </c>
      <c r="C36" s="1263">
        <f>SUM('2'!E20)/C$21</f>
        <v>3.0071652208348287E-2</v>
      </c>
      <c r="D36" s="1263">
        <f>SUM('2'!I20)/D$21</f>
        <v>2.0680827233089324E-2</v>
      </c>
      <c r="E36" s="1263">
        <f>SUM('2'!J20)/E$21</f>
        <v>2.073639803958062E-2</v>
      </c>
      <c r="F36" s="1263">
        <f>SUM('2'!P20)/F$21</f>
        <v>3.217224220328127E-2</v>
      </c>
      <c r="G36" s="1249">
        <f>SUM('2'!T20)/G$21</f>
        <v>2.5683060109289616E-2</v>
      </c>
      <c r="H36" s="1232">
        <f>SUM('2'!AQ20)/H$21</f>
        <v>2.9033258800580566E-2</v>
      </c>
      <c r="I36" s="1232">
        <f>SUM('2'!AU20)/I$21</f>
        <v>3.036965782602721E-2</v>
      </c>
      <c r="J36" s="1257">
        <f>(('2'!AR20 +'2'!AS20)-'2'!AQ20)/(L$21-H$21)</f>
        <v>2.7743288836356877E-2</v>
      </c>
      <c r="K36" s="1264">
        <f>(('2'!AV20 + '2'!AW20)-'2'!AU20)/(M$21-I$21)</f>
        <v>2.7714087661298924E-2</v>
      </c>
      <c r="L36" s="1232">
        <f>SUM('2'!AR20,'2'!AS20)/L$21</f>
        <v>2.7909506289321134E-2</v>
      </c>
      <c r="M36" s="1232">
        <f>SUM('2'!AV20,'2'!AW20)/M$21</f>
        <v>2.8581431046399944E-2</v>
      </c>
      <c r="N36" s="932">
        <f>SUM('2'!Z20)/N$21</f>
        <v>3.1302426413352361E-2</v>
      </c>
      <c r="O36" s="1263">
        <f>SUM('2'!AA20)/O$21</f>
        <v>7.3283094489818748E-2</v>
      </c>
      <c r="P36" s="1263">
        <f>SUM('2'!AE20)/P$21</f>
        <v>5.0389166683465332E-2</v>
      </c>
      <c r="Q36" s="1263">
        <f>SUM('2'!AK20)/Q$21</f>
        <v>2.3570253579094608E-2</v>
      </c>
    </row>
    <row r="37" spans="1:17" ht="16.5" x14ac:dyDescent="0.25">
      <c r="C37" s="1226"/>
      <c r="D37" s="1226"/>
      <c r="E37" s="1226"/>
      <c r="F37" s="1226"/>
      <c r="G37" s="1246"/>
      <c r="H37" s="1232"/>
      <c r="I37" s="1232"/>
      <c r="J37" s="1257"/>
      <c r="K37" s="1257"/>
      <c r="L37" s="1232"/>
      <c r="M37" s="1232"/>
      <c r="N37" s="932"/>
      <c r="O37" s="1226"/>
      <c r="P37" s="1226"/>
      <c r="Q37" s="1226"/>
    </row>
    <row r="38" spans="1:17" ht="16.5" x14ac:dyDescent="0.25">
      <c r="A38" s="2" t="s">
        <v>496</v>
      </c>
      <c r="C38" s="1263">
        <f>SUM('2'!E23:E27)/C$21</f>
        <v>9.3308748004504553E-3</v>
      </c>
      <c r="D38" s="1263">
        <f>SUM('2'!I23:I27)/D$21</f>
        <v>7.0402816112644503E-3</v>
      </c>
      <c r="E38" s="1263">
        <f>SUM('2'!J23:J27)/E$21</f>
        <v>7.0723990321980273E-3</v>
      </c>
      <c r="F38" s="1263">
        <f>SUM('2'!P23:P27)/F$21</f>
        <v>1.0494161698773218E-2</v>
      </c>
      <c r="G38" s="1249">
        <f>SUM('2'!T23:T27)/G$21</f>
        <v>3.9617486338797813E-3</v>
      </c>
      <c r="H38" s="1232">
        <f>SUM('2'!AQ23:AQ27)/H$21</f>
        <v>7.7059640649118025E-3</v>
      </c>
      <c r="I38" s="1232">
        <f>SUM('2'!AU23:AU27)/I$21</f>
        <v>9.6468324859145249E-3</v>
      </c>
      <c r="J38" s="1257">
        <f>(('2'!AR23 +'2'!AR24 + '2'!AR25 +'2'!AR26 +'2'!AR27 + '2'!AS23 + '2'!AS24+ '2'!AS25 + '2'!AS26 + '2'!AS27)-('2'!AQ23 + '2'!AQ24 + '2'!AQ25 + '2'!AQ26 + '2'!AQ27))/(L$21-H$21)</f>
        <v>2.7521002001152515E-2</v>
      </c>
      <c r="K38" s="1257">
        <f>(('2'!AV23 +'2'!AV24 + '2'!AV25 +'2'!AV26 +'2'!AV27 + '2'!AW23 + '2'!AW24+ '2'!AW25 + '2'!AW26 + '2'!AW27)-('2'!AU23 + '2'!AU24 + '2'!AU25 + '2'!AU26 + '2'!AU27))/(M$21-I$21)</f>
        <v>4.3204116455156233E-2</v>
      </c>
      <c r="L38" s="1232">
        <f>SUM('2'!AR23:AR27,'2'!AS23:AS27)/L$21</f>
        <v>2.4967760276540605E-2</v>
      </c>
      <c r="M38" s="1232">
        <f>SUM('2'!AV23:AV27,'2'!AW23:AW27)/M$21</f>
        <v>3.2243875728225062E-2</v>
      </c>
      <c r="N38" s="932">
        <f>SUM('2'!Z24:Z28)/N$21</f>
        <v>8.0262631829108623E-3</v>
      </c>
      <c r="O38" s="1263">
        <f>SUM('2'!AA24:AA28)/O$21</f>
        <v>2.3007483153780303E-2</v>
      </c>
      <c r="P38" s="1263">
        <f>SUM('2'!AE24:AE28)/P$21</f>
        <v>3.3481173876056702E-2</v>
      </c>
      <c r="Q38" s="1263">
        <f>SUM('2'!AK24:AK28)/Q$21</f>
        <v>1.770476806489079E-2</v>
      </c>
    </row>
    <row r="39" spans="1:17" ht="17.25" thickBot="1" x14ac:dyDescent="0.3">
      <c r="A39" s="1243" t="s">
        <v>497</v>
      </c>
      <c r="B39" s="217"/>
      <c r="C39" s="937">
        <f>SUM(C33:C38)</f>
        <v>4.4699097850433744E-2</v>
      </c>
      <c r="D39" s="937">
        <f t="shared" ref="D39:Q39" si="7">SUM(D33:D38)</f>
        <v>3.2281291251650066E-2</v>
      </c>
      <c r="E39" s="937">
        <f t="shared" si="7"/>
        <v>3.2415162230907624E-2</v>
      </c>
      <c r="F39" s="937">
        <f t="shared" si="7"/>
        <v>4.8923486229492039E-2</v>
      </c>
      <c r="G39" s="1251">
        <f t="shared" si="7"/>
        <v>3.8934426229508198E-2</v>
      </c>
      <c r="H39" s="937">
        <f>SUM(H33:H38)</f>
        <v>4.2334839925075626E-2</v>
      </c>
      <c r="I39" s="937">
        <f t="shared" si="7"/>
        <v>4.3671842792359486E-2</v>
      </c>
      <c r="J39" s="937">
        <f>SUM(J33:J38)</f>
        <v>6.8398132143094634E-2</v>
      </c>
      <c r="K39" s="937">
        <f>SUM(K33:K38)</f>
        <v>8.2049162845259677E-2</v>
      </c>
      <c r="L39" s="937">
        <f>SUM(L33:L38)</f>
        <v>6.5039779492651814E-2</v>
      </c>
      <c r="M39" s="937">
        <f>SUM(M33:M38)</f>
        <v>6.9514636313857153E-2</v>
      </c>
      <c r="N39" s="938">
        <f>SUM(N33:N38)</f>
        <v>5.4819377539281178E-2</v>
      </c>
      <c r="O39" s="937">
        <f t="shared" si="7"/>
        <v>0.12803238310575893</v>
      </c>
      <c r="P39" s="937">
        <f t="shared" si="7"/>
        <v>0.12226208660406704</v>
      </c>
      <c r="Q39" s="937">
        <f t="shared" si="7"/>
        <v>5.6072041918454121E-2</v>
      </c>
    </row>
    <row r="40" spans="1:17" ht="16.5" x14ac:dyDescent="0.25">
      <c r="C40" s="1226"/>
      <c r="D40" s="1226"/>
      <c r="E40" s="1226"/>
      <c r="F40" s="1226"/>
      <c r="G40" s="1246"/>
      <c r="H40" s="1232"/>
      <c r="I40" s="1232"/>
      <c r="J40" s="1257"/>
      <c r="K40" s="1257"/>
      <c r="L40" s="1232"/>
      <c r="M40" s="1232"/>
      <c r="N40" s="928"/>
      <c r="O40" s="1226"/>
      <c r="P40" s="1226"/>
      <c r="Q40" s="1226"/>
    </row>
    <row r="41" spans="1:17" ht="16.5" x14ac:dyDescent="0.25">
      <c r="A41" s="2" t="s">
        <v>498</v>
      </c>
      <c r="B41" s="7" t="s">
        <v>176</v>
      </c>
      <c r="C41" s="1263">
        <f>SUM('2'!E29)/C$21</f>
        <v>5.5688244830274603E-4</v>
      </c>
      <c r="D41" s="1263">
        <f>SUM('2'!I29)/D$21</f>
        <v>6.0002400096003836E-4</v>
      </c>
      <c r="E41" s="1263">
        <f>SUM('2'!J29)/E$21</f>
        <v>5.8936658601650227E-4</v>
      </c>
      <c r="F41" s="1263">
        <f>SUM('2'!P29)/F$21</f>
        <v>1.03463566044243E-3</v>
      </c>
      <c r="G41" s="1249">
        <f>SUM('2'!T29)/G$21</f>
        <v>4.0983606557377049E-4</v>
      </c>
      <c r="H41" s="1232">
        <f>SUM('2'!AQ29)/H$21</f>
        <v>4.1567441014047068E-4</v>
      </c>
      <c r="I41" s="1232">
        <f>SUM('2'!AU29)/I$21</f>
        <v>8.2451559708671162E-5</v>
      </c>
      <c r="J41" s="1257">
        <f>(('2'!AR29 +'2'!AS29)-'2'!AQ29)/(L$21-H$21)</f>
        <v>3.9727859908864261E-4</v>
      </c>
      <c r="K41" s="1264">
        <f>(('2'!AV29 + '2'!AW29)-'2'!AU29)/(M$21-I$21)</f>
        <v>7.998293697344567E-5</v>
      </c>
      <c r="L41" s="1232">
        <f>SUM('2'!AR29,'2'!AS29)/L$21</f>
        <v>3.996489681228447E-4</v>
      </c>
      <c r="M41" s="1232">
        <f>SUM('2'!AV29,'2'!AW29)/M$21</f>
        <v>8.0789220922612901E-5</v>
      </c>
      <c r="N41" s="2439" t="s">
        <v>499</v>
      </c>
      <c r="O41" s="2440"/>
      <c r="P41" s="2440"/>
      <c r="Q41" s="2440"/>
    </row>
    <row r="42" spans="1:17" ht="16.5" x14ac:dyDescent="0.25">
      <c r="C42" s="1226"/>
      <c r="D42" s="1226"/>
      <c r="E42" s="1226"/>
      <c r="F42" s="1226"/>
      <c r="G42" s="1246"/>
      <c r="H42" s="1232"/>
      <c r="I42" s="1232"/>
      <c r="J42" s="1257"/>
      <c r="K42" s="1257"/>
      <c r="L42" s="1232"/>
      <c r="M42" s="1232"/>
      <c r="N42" s="932">
        <f>SUM('2'!Z30:Z35)/N21</f>
        <v>3.2907679049934534E-3</v>
      </c>
      <c r="O42" s="1263">
        <f>SUM('2'!AA30:AA35)/O21</f>
        <v>7.8821933026839933E-3</v>
      </c>
      <c r="P42" s="1263">
        <f>SUM('2'!AE30:AE35)/P21</f>
        <v>5.5243936895493558E-3</v>
      </c>
      <c r="Q42" s="1263">
        <f>SUM('2'!AK30:AK35)/Q21</f>
        <v>1.608009523070081E-3</v>
      </c>
    </row>
    <row r="43" spans="1:17" ht="16.5" x14ac:dyDescent="0.25">
      <c r="A43" s="2" t="s">
        <v>500</v>
      </c>
      <c r="C43" s="1263">
        <f>SUM('2'!E30,'2'!E31)/C$21</f>
        <v>9.8753820832353633E-3</v>
      </c>
      <c r="D43" s="1263">
        <f>SUM('2'!I30,'2'!I31)/D$21</f>
        <v>7.6803072122884914E-3</v>
      </c>
      <c r="E43" s="1263">
        <f>SUM('2'!J30,'2'!J31)/E$21</f>
        <v>7.7393138532167007E-3</v>
      </c>
      <c r="F43" s="1263">
        <f>SUM('2'!P30,'2'!P31)/F$21</f>
        <v>1.5470266541853475E-2</v>
      </c>
      <c r="G43" s="1249">
        <f>SUM('2'!T30,'2'!T31)/G$21</f>
        <v>1.6666666666666666E-2</v>
      </c>
      <c r="H43" s="1232">
        <f>SUM('2'!AQ30,'2'!AQ31)/H$21</f>
        <v>1.1287158983045088E-2</v>
      </c>
      <c r="I43" s="1232">
        <f>SUM('2'!AU30,'2'!AU31)/I$21</f>
        <v>5.7441253263707569E-3</v>
      </c>
      <c r="J43" s="1257">
        <f>(('2'!AR30 +'2'!AR31 + '2'!AS30 + '2'!AS31)-('2'!AQ30 + '2'!AQ31))/(L$21-H$21)</f>
        <v>5.3580586298514671E-2</v>
      </c>
      <c r="K43" s="1257">
        <f>(('2'!AV30 +'2'!AV31 + '2'!AW30 + '2'!AW31)-('2'!AU30 + '2'!AU31))/(M$21-I$21)</f>
        <v>3.4979204436386906E-2</v>
      </c>
      <c r="L43" s="1232">
        <f>SUM('2'!AR30,'2'!AR31,'2'!AS30,'2'!AS31)/L$21</f>
        <v>4.8130920057846097E-2</v>
      </c>
      <c r="M43" s="1232">
        <f>SUM('2'!AV30,'2'!AV31,'2'!AW30,'2'!AW31)/M$21</f>
        <v>2.543065143041804E-2</v>
      </c>
      <c r="N43" s="939" t="s">
        <v>129</v>
      </c>
      <c r="O43" s="1234" t="s">
        <v>129</v>
      </c>
      <c r="P43" s="1234" t="s">
        <v>129</v>
      </c>
      <c r="Q43" s="1234" t="s">
        <v>129</v>
      </c>
    </row>
    <row r="44" spans="1:17" ht="16.5" x14ac:dyDescent="0.25">
      <c r="A44" s="2" t="s">
        <v>501</v>
      </c>
      <c r="C44" s="1263">
        <f>SUM('2'!E32)/C$21</f>
        <v>2.9824148897991511E-3</v>
      </c>
      <c r="D44" s="1263">
        <f>SUM('2'!I32)/D$21</f>
        <v>7.6003040121604864E-4</v>
      </c>
      <c r="E44" s="1263">
        <f>SUM('2'!J32)/E$21</f>
        <v>7.5997270302127925E-4</v>
      </c>
      <c r="F44" s="1263">
        <f>SUM('2'!P32)/F$21</f>
        <v>9.3609893087648419E-4</v>
      </c>
      <c r="G44" s="1249">
        <f>SUM('2'!T32)/G$21</f>
        <v>0</v>
      </c>
      <c r="H44" s="1232">
        <f>SUM('2'!AQ32)/H$21</f>
        <v>6.7147404714999108E-4</v>
      </c>
      <c r="I44" s="1232">
        <f>SUM('2'!AU32)/I$21</f>
        <v>4.5623196372131369E-3</v>
      </c>
      <c r="J44" s="1257">
        <f>(('2'!AR32 +'2'!AS32)-'2'!AQ32)/(L$21-H$21)</f>
        <v>2.7951387150165212E-3</v>
      </c>
      <c r="K44" s="1264">
        <f>(('2'!AV32 + '2'!AW32)-'2'!AU32)/(M$21-I$21)</f>
        <v>2.4568092140343393E-2</v>
      </c>
      <c r="L44" s="1232">
        <f>SUM('2'!AR32,'2'!AS32)/L$21</f>
        <v>2.5214965823833085E-3</v>
      </c>
      <c r="M44" s="1232">
        <f>SUM('2'!AV32,'2'!AW32)/M$21</f>
        <v>1.8033949425947701E-2</v>
      </c>
      <c r="N44" s="940"/>
      <c r="O44" s="1226"/>
      <c r="P44" s="1226"/>
      <c r="Q44" s="1226"/>
    </row>
    <row r="45" spans="1:17" ht="16.5" x14ac:dyDescent="0.25">
      <c r="A45" s="2" t="s">
        <v>502</v>
      </c>
      <c r="C45" s="1263">
        <f>SUM('2'!E33)/C$21</f>
        <v>1.567933471110176E-2</v>
      </c>
      <c r="D45" s="1263">
        <f>SUM('2'!I33)/D$21</f>
        <v>2.0320812832513302E-2</v>
      </c>
      <c r="E45" s="1263">
        <f>SUM('2'!J33)/E$21</f>
        <v>2.4210558967677896E-2</v>
      </c>
      <c r="F45" s="1263">
        <f>SUM('2'!P33)/F$21</f>
        <v>3.4487855348080997E-4</v>
      </c>
      <c r="G45" s="1249">
        <f>SUM('2'!T33)/G$21</f>
        <v>0</v>
      </c>
      <c r="H45" s="1232">
        <f>SUM('2'!AQ33)/H$21</f>
        <v>0</v>
      </c>
      <c r="I45" s="1232">
        <f>SUM('2'!AU33)/I$21</f>
        <v>1.5088635426686821E-2</v>
      </c>
      <c r="J45" s="1257">
        <f>(('2'!AR33 +'2'!AS33)-'2'!AQ33)/(L$21-H$21)</f>
        <v>3.0930976643330031E-3</v>
      </c>
      <c r="K45" s="1264">
        <f>(('2'!AV33 + '2'!AW33)-'2'!AU33)/(M$21-I$21)</f>
        <v>1.2783939426255731E-2</v>
      </c>
      <c r="L45" s="1232">
        <f>SUM('2'!AR33,'2'!AS33)/L$21</f>
        <v>2.6945404654880457E-3</v>
      </c>
      <c r="M45" s="1232">
        <f>SUM('2'!AV33,'2'!AW33)/M$21</f>
        <v>1.3536682794588917E-2</v>
      </c>
      <c r="N45" s="2102"/>
      <c r="O45" s="1226"/>
      <c r="P45" s="1226"/>
      <c r="Q45" s="1226"/>
    </row>
    <row r="46" spans="1:17" ht="16.5" x14ac:dyDescent="0.25">
      <c r="A46" s="2" t="s">
        <v>503</v>
      </c>
      <c r="C46" s="1263">
        <f>SUM('2'!E34)/C$21</f>
        <v>7.3632234831140864E-3</v>
      </c>
      <c r="D46" s="1263">
        <f>SUM('2'!I34)/D$21</f>
        <v>6.280251210048402E-3</v>
      </c>
      <c r="E46" s="1263">
        <f>SUM('2'!J34)/E$21</f>
        <v>6.3589552701780504E-3</v>
      </c>
      <c r="F46" s="1263">
        <f>SUM('2'!P34)/F$21</f>
        <v>1.5076119623589693E-2</v>
      </c>
      <c r="G46" s="1249">
        <f>SUM('2'!T34)/G$21</f>
        <v>5.4644808743169399E-4</v>
      </c>
      <c r="H46" s="1232">
        <f>SUM('2'!AQ34)/H$21</f>
        <v>1.0839509618278427E-2</v>
      </c>
      <c r="I46" s="1232">
        <f>SUM('2'!AU34)/I$21</f>
        <v>4.9470935825202697E-4</v>
      </c>
      <c r="J46" s="1257">
        <f>(('2'!AR34 +'2'!AS34)-'2'!AQ34)/(L$21-H$21)</f>
        <v>3.1763369898563376E-2</v>
      </c>
      <c r="K46" s="1264">
        <f>(('2'!AV34 + '2'!AW34)-'2'!AU34)/(M$21-I$21)</f>
        <v>1.7063026554335074E-3</v>
      </c>
      <c r="L46" s="1232">
        <f>SUM('2'!AR34,'2'!AS34)/L$21</f>
        <v>2.906725226914092E-2</v>
      </c>
      <c r="M46" s="1232">
        <f>SUM('2'!AV34,'2'!AW34)/M$21</f>
        <v>1.3105806949668315E-3</v>
      </c>
      <c r="N46" s="940"/>
      <c r="O46" s="1226"/>
      <c r="P46" s="1226"/>
      <c r="Q46" s="1226"/>
    </row>
    <row r="47" spans="1:17" ht="16.5" x14ac:dyDescent="0.25">
      <c r="A47" s="2" t="s">
        <v>504</v>
      </c>
      <c r="C47" s="1263">
        <f>SUM('2'!E36:'2'!E38)/C$21</f>
        <v>1.8537997945722525E-2</v>
      </c>
      <c r="D47" s="1263">
        <f>SUM('2'!I36:'2'!I38)/D$21</f>
        <v>5.8802352094083762E-3</v>
      </c>
      <c r="E47" s="1263">
        <f>SUM('2'!J36:'2'!J38)/E$21</f>
        <v>5.8936658601650227E-3</v>
      </c>
      <c r="F47" s="1263">
        <f>SUM('2'!P36:'2'!P38)/F$21</f>
        <v>4.3898113021628812E-2</v>
      </c>
      <c r="G47" s="1249">
        <f>SUM('2'!T36:'2'!T38)/G$21</f>
        <v>6.8306010928961749E-4</v>
      </c>
      <c r="H47" s="1232">
        <f>SUM('2'!AQ36:'2'!AQ38)/H$21</f>
        <v>0.12348727476634598</v>
      </c>
      <c r="I47" s="1232">
        <f>SUM('2'!AU36:'2'!AU38)/I$21</f>
        <v>1.2092895423938437E-3</v>
      </c>
      <c r="J47" s="1257">
        <f>(('2'!AR36 +'2'!AR37 + '2'!AR38 + '2'!AS36 + '2'!AS37 + '2'!AS38)-('2'!AQ36 + '2'!AQ37 + '2'!AQ38))/(L$21-H$21)</f>
        <v>0.10233234581524953</v>
      </c>
      <c r="K47" s="1257">
        <f>(('2'!AV36 +'2'!AV37 + '2'!AV38 + '2'!AW36 + '2'!AW37 + '2'!AW38)-('2'!AU36 + '2'!AU37 + '2'!AU38))/(M$21-I$21)</f>
        <v>1.053108670150368E-3</v>
      </c>
      <c r="L47" s="1232">
        <f>SUM('2'!AR36:AR38,'2'!AS36:AS38)/L$21</f>
        <v>0.10505823750684966</v>
      </c>
      <c r="M47" s="1232">
        <f>SUM('2'!AV36:'2'!AV38,'2'!AW36:'2'!AW38)/M$21</f>
        <v>1.1041193526090431E-3</v>
      </c>
      <c r="N47" s="928"/>
      <c r="O47" s="1226"/>
      <c r="P47" s="1226"/>
      <c r="Q47" s="1226"/>
    </row>
    <row r="48" spans="1:17" ht="16.5" x14ac:dyDescent="0.25">
      <c r="A48" s="2" t="s">
        <v>505</v>
      </c>
      <c r="C48" s="1263">
        <f>SUM('2'!E35)/C$21</f>
        <v>1.4850198621406562E-4</v>
      </c>
      <c r="D48" s="1263">
        <f>SUM('2'!I35)/D$21</f>
        <v>0</v>
      </c>
      <c r="E48" s="1263">
        <f>SUM('2'!J35)/E$21</f>
        <v>0</v>
      </c>
      <c r="F48" s="1263">
        <f>SUM('2'!P35)/F$21</f>
        <v>9.0653791200670047E-2</v>
      </c>
      <c r="G48" s="1249">
        <f>SUM('2'!T35)/G$21</f>
        <v>0</v>
      </c>
      <c r="H48" s="1232">
        <f>SUM('2'!AQ35)/H$21</f>
        <v>0</v>
      </c>
      <c r="I48" s="1232">
        <f>SUM('2'!AU35)/I$21</f>
        <v>1.3274701113096057E-2</v>
      </c>
      <c r="J48" s="1257">
        <f>(('2'!AR35 +'2'!AS35)-'2'!AQ35)/(L$21-H$21)</f>
        <v>0</v>
      </c>
      <c r="K48" s="1264">
        <f>(('2'!AV35 + '2'!AW35)-'2'!AU35)/(M$21-I$21)</f>
        <v>1.2117414951477019E-2</v>
      </c>
      <c r="L48" s="1232">
        <f>SUM('2'!AR35,'2'!AS35)/L$21</f>
        <v>0</v>
      </c>
      <c r="M48" s="1232">
        <f>SUM('2'!AV35,'2'!AW35)/M$21</f>
        <v>1.2495399502697463E-2</v>
      </c>
      <c r="N48" s="928"/>
      <c r="O48" s="1226"/>
      <c r="P48" s="1226"/>
      <c r="Q48" s="1226"/>
    </row>
    <row r="49" spans="1:17" ht="16.5" x14ac:dyDescent="0.25">
      <c r="A49" s="2" t="s">
        <v>506</v>
      </c>
      <c r="C49" s="1263">
        <f>SUM('2'!E39)/C$21</f>
        <v>6.6786117447693125E-2</v>
      </c>
      <c r="D49" s="1263">
        <f>SUM('2'!I39)/D$21</f>
        <v>2.6121044841793672E-2</v>
      </c>
      <c r="E49" s="1263">
        <f>SUM('2'!J39)/E$21</f>
        <v>7.7548235002171352E-4</v>
      </c>
      <c r="F49" s="1263">
        <f>SUM('2'!P39)/F$21</f>
        <v>0</v>
      </c>
      <c r="G49" s="1249">
        <f>SUM('2'!T39)/G$21</f>
        <v>0</v>
      </c>
      <c r="H49" s="1232">
        <f>SUM('2'!AQ39)/H$21</f>
        <v>2.1710994191183046E-2</v>
      </c>
      <c r="I49" s="1232">
        <f>SUM('2'!AU39)/I$21</f>
        <v>2.5120241857908478E-2</v>
      </c>
      <c r="J49" s="1257">
        <f>(('2'!AR39 +'2'!AS39)-'2'!AQ39)/(L$21-H$21)</f>
        <v>3.7017852322223876E-2</v>
      </c>
      <c r="K49" s="1264">
        <f>(('2'!AV39 + '2'!AW39)-'2'!AU39)/(M$21-I$21)</f>
        <v>1.9502506132025168E-2</v>
      </c>
      <c r="L49" s="1232">
        <f>SUM('2'!AR39,'2'!AS39)/L$21</f>
        <v>3.5045506421164094E-2</v>
      </c>
      <c r="M49" s="1232">
        <f>SUM('2'!AV39,'2'!AW39)/M$21</f>
        <v>2.1337330903672319E-2</v>
      </c>
      <c r="N49" s="928"/>
      <c r="O49" s="1226"/>
      <c r="P49" s="1226"/>
      <c r="Q49" s="1226"/>
    </row>
    <row r="50" spans="1:17" ht="16.5" x14ac:dyDescent="0.25">
      <c r="C50" s="1226"/>
      <c r="D50" s="1226"/>
      <c r="E50" s="1226"/>
      <c r="F50" s="1226"/>
      <c r="G50" s="1246"/>
      <c r="H50" s="1232"/>
      <c r="I50" s="1232"/>
      <c r="J50" s="1257"/>
      <c r="K50" s="1257"/>
      <c r="L50" s="1232"/>
      <c r="M50" s="1232"/>
      <c r="N50" s="928"/>
      <c r="O50" s="1226"/>
      <c r="P50" s="1226"/>
      <c r="Q50" s="1226"/>
    </row>
    <row r="51" spans="1:17" ht="16.5" x14ac:dyDescent="0.25">
      <c r="A51" s="2" t="s">
        <v>507</v>
      </c>
      <c r="B51" s="7" t="s">
        <v>508</v>
      </c>
      <c r="C51" s="1263">
        <f>SUM('2'!E41,'2'!E43,'2'!E45)/C$21</f>
        <v>2.3636566139072111E-3</v>
      </c>
      <c r="D51" s="1263">
        <f>SUM('2'!I41,'2'!I43,'2'!I45)/D$21</f>
        <v>2.4000960038401536E-4</v>
      </c>
      <c r="E51" s="1263">
        <f>SUM('2'!J41,'2'!J43,'2'!J45)/E$21</f>
        <v>2.636639990073826E-4</v>
      </c>
      <c r="F51" s="1263">
        <f>SUM('2'!P41,'2'!P43,'2'!P45)/F$21</f>
        <v>5.9122037739567422E-4</v>
      </c>
      <c r="G51" s="1249">
        <f>SUM('2'!T41,'2'!T43,'2'!T45)/G$21</f>
        <v>1.092896174863388E-3</v>
      </c>
      <c r="H51" s="1232">
        <f>SUM('2'!AQ41,'2'!AQ43,'2'!AQ45)/H$21</f>
        <v>8.9529872953332144E-4</v>
      </c>
      <c r="I51" s="1232">
        <f>SUM('2'!AU41,'2'!AU43,'2'!AU45)/I$21</f>
        <v>1.5528377078466401E-2</v>
      </c>
      <c r="J51" s="1257">
        <f>(('2'!AR41 +'2'!AR43 + '2'!AR45 + '2'!AS41 + '2'!AS43 + '2'!AS45)-('2'!AQ41 + '2'!AQ43 + '2'!AQ45))/(L$21-H$21)</f>
        <v>1.1871062901339202E-3</v>
      </c>
      <c r="K51" s="1257">
        <f>(('2'!AV41 +'2'!AV43 + '2'!AV45 + '2'!AW41 + '2'!AW43 + '2'!AW45)-('2'!AU41 + '2'!AU43 + '2'!AU45))/(M$21-I$21)</f>
        <v>1.826277060893676E-2</v>
      </c>
      <c r="L51" s="1232">
        <f>SUM('2'!AR41,'2'!AR43,'2'!AR45,'2'!AS41,'2'!AS43,'2'!AS45)/L$21</f>
        <v>1.1495057949100379E-3</v>
      </c>
      <c r="M51" s="1232">
        <f>SUM('2'!AV41,'2'!AV43,'2'!AV45,'2'!AW41,'2'!AW43,'2'!AW45)/M$21</f>
        <v>1.7369682498361773E-2</v>
      </c>
      <c r="N51" s="928"/>
      <c r="O51" s="1226"/>
      <c r="P51" s="1226"/>
      <c r="Q51" s="1226"/>
    </row>
    <row r="52" spans="1:17" ht="16.5" x14ac:dyDescent="0.25">
      <c r="B52" s="7" t="s">
        <v>176</v>
      </c>
      <c r="C52" s="1263">
        <f>SUM('2'!E42,'2'!E44,'2'!E46)/C$21</f>
        <v>4.9376910416176817E-3</v>
      </c>
      <c r="D52" s="1263">
        <f>SUM('2'!I42,'2'!I44,'2'!I46)/D$21</f>
        <v>1.6800672026881075E-3</v>
      </c>
      <c r="E52" s="1263">
        <f>SUM('2'!J42,'2'!J44,'2'!J46)/E$21</f>
        <v>1.6905515230473355E-3</v>
      </c>
      <c r="F52" s="1263">
        <f>SUM('2'!P42,'2'!P44,'2'!P46)/F$21</f>
        <v>6.8483027048332262E-3</v>
      </c>
      <c r="G52" s="1249">
        <f>SUM('2'!T42,'2'!T44,'2'!T46)/G$21</f>
        <v>2.7868852459016394E-2</v>
      </c>
      <c r="H52" s="1232">
        <f>SUM('2'!AQ42,'2'!AQ44,'2'!AQ46)/H$21</f>
        <v>2.8457709617309146E-3</v>
      </c>
      <c r="I52" s="1232">
        <f>SUM('2'!AU42,'2'!AU44,'2'!AU46)/I$21</f>
        <v>1.797444001649031E-2</v>
      </c>
      <c r="J52" s="1257">
        <f>(('2'!AR42 +'2'!AR44 + '2'!AR46 + '2'!AS42 + '2'!AS44 + '2'!AS46)-('2'!AQ42 + '2'!AQ44 + '2'!AQ46))/(L$21-H$21)</f>
        <v>2.501909272832047E-3</v>
      </c>
      <c r="K52" s="1257">
        <f>(('2'!AV42 +'2'!AV44 + '2'!AV46 + '2'!AW42 + '2'!AW44 + '2'!AW46)-('2'!AU42 + '2'!AU44 + '2'!AU46))/(M$21-I$21)</f>
        <v>1.4090327396822011E-2</v>
      </c>
      <c r="L52" s="1232">
        <f>SUM('2'!AR42,'2'!AR44,'2'!AR46,'2'!AS42,'2'!AS44,'2'!AS46)/L$21</f>
        <v>2.5462171371125569E-3</v>
      </c>
      <c r="M52" s="1232">
        <f>SUM('2'!AV42,'2'!AV44,'2'!AV46,'2'!AW42,'2'!AW44,'2'!AW46)/M$21</f>
        <v>1.5358928555398964E-2</v>
      </c>
      <c r="N52" s="928"/>
      <c r="O52" s="1226"/>
      <c r="P52" s="1226"/>
      <c r="Q52" s="1226"/>
    </row>
    <row r="53" spans="1:17" ht="16.5" x14ac:dyDescent="0.25">
      <c r="C53" s="1263"/>
      <c r="D53" s="1226"/>
      <c r="E53" s="1226"/>
      <c r="F53" s="1226"/>
      <c r="G53" s="1246"/>
      <c r="H53" s="1232"/>
      <c r="I53" s="1232"/>
      <c r="J53" s="1257"/>
      <c r="K53" s="1257"/>
      <c r="L53" s="1232"/>
      <c r="M53" s="1232"/>
      <c r="N53" s="928"/>
      <c r="O53" s="1226"/>
      <c r="P53" s="1226"/>
      <c r="Q53" s="1226"/>
    </row>
    <row r="54" spans="1:17" ht="16.5" x14ac:dyDescent="0.25">
      <c r="A54" s="2" t="s">
        <v>509</v>
      </c>
      <c r="B54" s="7" t="s">
        <v>508</v>
      </c>
      <c r="C54" s="1235">
        <f>SUM('2'!E50,'2'!E52,'2'!E54,'2'!E56)/C$21</f>
        <v>7.1775960003465044E-4</v>
      </c>
      <c r="D54" s="1235">
        <f>SUM('2'!I48,'2'!I52,'2'!I54,'2'!I56)/D$21</f>
        <v>2.0000800032001279E-4</v>
      </c>
      <c r="E54" s="1235">
        <f>SUM('2'!J48,'2'!J52,'2'!J54,'2'!J56)/E$21</f>
        <v>1.8611576400521124E-4</v>
      </c>
      <c r="F54" s="1235">
        <f>SUM('2'!P48,'2'!P50,'2'!P54,'2'!P56)/F$21</f>
        <v>6.4048874217864714E-4</v>
      </c>
      <c r="G54" s="1255">
        <f>SUM('2'!T48,'2'!T50,'2'!T52,'2'!T54,'2'!T56)/G$21</f>
        <v>5.4644808743169399E-4</v>
      </c>
      <c r="H54" s="1236">
        <f>SUM('2'!AQ50,'2'!AQ52,'2'!AQ48,'2'!AQ56)/H$21</f>
        <v>1.0551735026642717E-3</v>
      </c>
      <c r="I54" s="1236">
        <f>SUM('2'!AU50,'2'!AU52,'2'!AU54,'2'!AU48)/I$21</f>
        <v>1.9238697265356602E-4</v>
      </c>
      <c r="J54" s="1257">
        <f>(('2'!AR50 +'2'!AR52 + '2'!AR48 + '2'!AR56 + '2'!AS50 + '2'!AS52 + '2'!AS48 + '2'!AS56)-('2'!AQ50 + '2'!AQ52 + '2'!AQ48 + '2'!AQ56))/(L$21-H$21)</f>
        <v>9.2698339787349949E-4</v>
      </c>
      <c r="K54" s="1257">
        <f>(('2'!AV50 +'2'!AV52 + '2'!AV54 + '2'!AV48 + '2'!AW50 + '2'!AW52 + '2'!AW54 + '2'!AW48)-('2'!AU50 + '2'!AU52 + '2'!AU54 + '2'!AU48))/(M$21-I$21)</f>
        <v>1.7329636344246561E-4</v>
      </c>
      <c r="L54" s="1236">
        <f>SUM('2'!AR50,'2'!AR52,'2'!AR48,'2'!AR56,'2'!AS50,'2'!AS52,'2'!AS48,'2'!AS56)/L$21</f>
        <v>9.4350117216630337E-4</v>
      </c>
      <c r="M54" s="1236">
        <f>SUM('2'!AV50,'2'!AV52,'2'!AV54,'2'!AV48,'2'!AW50,'2'!AW52,'2'!AW54,'2'!AW48)/M$21</f>
        <v>1.7953160205025091E-4</v>
      </c>
      <c r="N54" s="928"/>
      <c r="O54" s="1226"/>
      <c r="P54" s="1226"/>
      <c r="Q54" s="1226"/>
    </row>
    <row r="55" spans="1:17" ht="16.5" x14ac:dyDescent="0.25">
      <c r="B55" s="7" t="s">
        <v>176</v>
      </c>
      <c r="C55" s="1235">
        <f>SUM('2'!E51,'2'!E53,'2'!E55,'2'!E57)/C$21</f>
        <v>1.8203868476740877E-2</v>
      </c>
      <c r="D55" s="1235">
        <f>SUM('2'!I49,'2'!I53,'2'!I55,'2'!I57)/D$21</f>
        <v>1.5200608024320973E-3</v>
      </c>
      <c r="E55" s="1235">
        <f>SUM('2'!J49,'2'!J53,'2'!J55,'2'!J57)/E$21</f>
        <v>1.5664743470438613E-3</v>
      </c>
      <c r="F55" s="1235">
        <f>SUM('2'!P49,'2'!P51,'2'!P55,'2'!P57)/F$21</f>
        <v>1.3351726856185643E-2</v>
      </c>
      <c r="G55" s="1255">
        <f>SUM('2'!T49,'2'!T51,'2'!T53,'2'!T55,'2'!T57)/G$21</f>
        <v>2.185792349726776E-3</v>
      </c>
      <c r="H55" s="1236">
        <f>SUM('2'!AQ51,'2'!AQ53,'2'!AQ49,'2'!AQ57)/H$21</f>
        <v>6.5868406529951502E-3</v>
      </c>
      <c r="I55" s="1236">
        <f>SUM('2'!AU51,'2'!AU53,'2'!AU55,'2'!AU49)/I$21</f>
        <v>1.3192249553387386E-3</v>
      </c>
      <c r="J55" s="1257">
        <f>(('2'!AR51 +'2'!AR53 + '2'!AR49 + '2'!AR57 + '2'!AS51 + '2'!AS53 + '2'!AS49 + '2'!AS57)-('2'!AQ51 + '2'!AQ53 + '2'!AQ49 + '2'!AQ57))/(L$21-H$21)</f>
        <v>5.840941308029448E-3</v>
      </c>
      <c r="K55" s="1257">
        <f>(('2'!AV51 +'2'!AV53 + '2'!AV55 + '2'!AV49 + '2'!AW51 + '2'!AW53 + '2'!AW55 + '2'!AW49)-('2'!AU51 + '2'!AU53 + '2'!AU55 + '2'!AU49))/(M$21-I$21)</f>
        <v>1.0397781806547937E-3</v>
      </c>
      <c r="L55" s="1236">
        <f>SUM('2'!AR51,'2'!AR53,'2'!AR49,'2'!AR57,'2'!AS51,'2'!AS53,'2'!AS49,'2'!AS57)/L$21</f>
        <v>5.9370532274744241E-3</v>
      </c>
      <c r="M55" s="1236">
        <f>SUM('2'!AV51,'2'!AV53,'2'!AV55,'2'!AV49,'2'!AW51,'2'!AW53,'2'!AW55,'2'!AW49)/M$21</f>
        <v>1.1310490929165805E-3</v>
      </c>
      <c r="N55" s="928"/>
      <c r="O55" s="1226"/>
      <c r="P55" s="1226"/>
      <c r="Q55" s="1226"/>
    </row>
    <row r="56" spans="1:17" ht="16.5" x14ac:dyDescent="0.25">
      <c r="C56" s="1226"/>
      <c r="D56" s="1226"/>
      <c r="E56" s="1226"/>
      <c r="F56" s="1226"/>
      <c r="G56" s="1246"/>
      <c r="H56" s="1232"/>
      <c r="I56" s="1232"/>
      <c r="J56" s="1257"/>
      <c r="K56" s="1257"/>
      <c r="L56" s="1232"/>
      <c r="M56" s="1232"/>
      <c r="N56" s="928"/>
      <c r="O56" s="1226"/>
      <c r="P56" s="1226"/>
      <c r="Q56" s="1226"/>
    </row>
    <row r="57" spans="1:17" ht="16.5" x14ac:dyDescent="0.25">
      <c r="A57" s="2" t="s">
        <v>510</v>
      </c>
      <c r="B57" s="7" t="s">
        <v>508</v>
      </c>
      <c r="C57" s="1235">
        <f>SUM('2'!E48)/C$21</f>
        <v>0</v>
      </c>
      <c r="D57" s="1235">
        <f>SUM('2'!I50)/D$21</f>
        <v>0</v>
      </c>
      <c r="E57" s="1235">
        <f>SUM('2'!J50)/E$21</f>
        <v>0</v>
      </c>
      <c r="F57" s="1235">
        <f>SUM('2'!P52)/F$21</f>
        <v>2.7836626102379664E-2</v>
      </c>
      <c r="G57" s="1255" t="s">
        <v>294</v>
      </c>
      <c r="H57" s="1236">
        <f>SUM('2'!AQ54)/H$21</f>
        <v>2.6219462793475841E-3</v>
      </c>
      <c r="I57" s="1236">
        <f>SUM('2'!AU56)/I$21</f>
        <v>2.4817919472310018E-2</v>
      </c>
      <c r="J57" s="1257">
        <f>(('2'!AR54 +'2'!AS54)-'2'!AQ54)/(L$21-H$21)</f>
        <v>3.9727859908864262E-3</v>
      </c>
      <c r="K57" s="1257">
        <f>(('2'!AV56 + '2'!AW56)-'2'!AU56)/(M$21-I$21)</f>
        <v>2.2968433400874479E-2</v>
      </c>
      <c r="L57" s="1236">
        <f>SUM('2'!AR54,'2'!AS54)/L$21</f>
        <v>3.7987252433944619E-3</v>
      </c>
      <c r="M57" s="1236">
        <f>SUM('2'!AV56,'2'!AW56)/M$21</f>
        <v>2.3572499349197942E-2</v>
      </c>
      <c r="N57" s="928"/>
      <c r="O57" s="1226"/>
      <c r="P57" s="1226"/>
      <c r="Q57" s="1226"/>
    </row>
    <row r="58" spans="1:17" ht="16.5" x14ac:dyDescent="0.25">
      <c r="B58" s="7" t="s">
        <v>176</v>
      </c>
      <c r="C58" s="1235">
        <f>SUM('2'!E49)/C$21</f>
        <v>6.1875827589194009E-3</v>
      </c>
      <c r="D58" s="1235">
        <f>SUM('2'!I51)/D$21</f>
        <v>3.1401256050242007E-2</v>
      </c>
      <c r="E58" s="1235">
        <f>SUM('2'!J51)/E$21</f>
        <v>3.5486072336993607E-2</v>
      </c>
      <c r="F58" s="1235">
        <f>SUM('2'!P53)/F$21</f>
        <v>0.10444893333990245</v>
      </c>
      <c r="G58" s="1255" t="s">
        <v>294</v>
      </c>
      <c r="H58" s="1236">
        <f>SUM('2'!AQ55)/H$21</f>
        <v>0.14519826895752902</v>
      </c>
      <c r="I58" s="1236">
        <f>SUM('2'!AU57)/I$21</f>
        <v>0.21299986258073381</v>
      </c>
      <c r="J58" s="1257">
        <f>(('2'!AR55 +'2'!AS55)-'2'!AQ55)/(L$21-H$21)</f>
        <v>0.18857963787454105</v>
      </c>
      <c r="K58" s="1257">
        <f>(('2'!AV57 + '2'!AW57)-'2'!AU57)/(M$21-I$21)</f>
        <v>0.19633144929081797</v>
      </c>
      <c r="L58" s="1236">
        <f>SUM('2'!AR55,'2'!AS55)/L$21</f>
        <v>0.18298978629080437</v>
      </c>
      <c r="M58" s="1236">
        <f>SUM('2'!AV57,'2'!AW57)/M$21</f>
        <v>0.20177556754427697</v>
      </c>
      <c r="N58" s="928"/>
      <c r="O58" s="1226"/>
      <c r="P58" s="1226"/>
      <c r="Q58" s="1226"/>
    </row>
    <row r="59" spans="1:17" ht="16.5" x14ac:dyDescent="0.25">
      <c r="C59" s="1226"/>
      <c r="D59" s="1226"/>
      <c r="E59" s="1226"/>
      <c r="F59" s="1226"/>
      <c r="G59" s="1246"/>
      <c r="H59" s="1232"/>
      <c r="I59" s="1232"/>
      <c r="J59" s="1257"/>
      <c r="K59" s="1257"/>
      <c r="L59" s="1232"/>
      <c r="M59" s="1232"/>
      <c r="N59" s="928"/>
      <c r="O59" s="1226"/>
      <c r="P59" s="1226"/>
      <c r="Q59" s="1226"/>
    </row>
    <row r="60" spans="1:17" ht="16.5" x14ac:dyDescent="0.25">
      <c r="A60" s="2" t="s">
        <v>511</v>
      </c>
      <c r="B60" s="7" t="s">
        <v>508</v>
      </c>
      <c r="C60" s="1263">
        <f>SUM('2'!E59)/C$21</f>
        <v>0</v>
      </c>
      <c r="D60" s="1263">
        <f>SUM('2'!I59)/D$21</f>
        <v>2.0000800032001279E-4</v>
      </c>
      <c r="E60" s="1263">
        <f>SUM('2'!J59)/E$21</f>
        <v>1.8611576400521124E-4</v>
      </c>
      <c r="F60" s="1263">
        <f>SUM('2'!P59)/F$21</f>
        <v>4.4341528304675569E-3</v>
      </c>
      <c r="G60" s="1249">
        <f>SUM('2'!T59)/G$21</f>
        <v>0</v>
      </c>
      <c r="H60" s="1232">
        <f>SUM('2'!AQ59)/H$21</f>
        <v>0</v>
      </c>
      <c r="I60" s="1232">
        <f>SUM('2'!AU59)/I$21</f>
        <v>0</v>
      </c>
      <c r="J60" s="1257">
        <f>(('2'!AR59 +'2'!AS59)-'2'!AQ59)/(L$21-H$21)</f>
        <v>0</v>
      </c>
      <c r="K60" s="1257">
        <f>(('2'!AV59 + '2'!AW59)-'2'!AU59)/(M$21-I$21)</f>
        <v>0</v>
      </c>
      <c r="L60" s="1232">
        <f>SUM('2'!AR59,'2'!AS59)/L$21</f>
        <v>0</v>
      </c>
      <c r="M60" s="1232">
        <f>SUM('2'!AV59,'2'!AW59)/M$21</f>
        <v>0</v>
      </c>
      <c r="N60" s="928"/>
      <c r="O60" s="1226"/>
      <c r="P60" s="1226"/>
      <c r="Q60" s="1226"/>
    </row>
    <row r="61" spans="1:17" ht="16.5" x14ac:dyDescent="0.25">
      <c r="B61" s="7" t="s">
        <v>176</v>
      </c>
      <c r="C61" s="1263">
        <f>SUM('2'!E60)/C$21</f>
        <v>0.19706213570606507</v>
      </c>
      <c r="D61" s="1263">
        <f>SUM('2'!I60)/D$21</f>
        <v>0.21344853794151766</v>
      </c>
      <c r="E61" s="1263">
        <f>SUM('2'!J60)/E$21</f>
        <v>0.20632483404677709</v>
      </c>
      <c r="F61" s="1263">
        <f>SUM('2'!P60)/F$21</f>
        <v>4.6115189436862589E-2</v>
      </c>
      <c r="G61" s="1249">
        <f>SUM('2'!T60)/G$21</f>
        <v>0</v>
      </c>
      <c r="H61" s="1232">
        <f>SUM('2'!AQ60)/H$21</f>
        <v>0.10938631977619617</v>
      </c>
      <c r="I61" s="1232">
        <f>SUM('2'!AU60)/I$21</f>
        <v>0.16638724749209841</v>
      </c>
      <c r="J61" s="1257">
        <f>(('2'!AR60 +'2'!AS60)-'2'!AQ60)/(L$21-H$21)</f>
        <v>0.13846578030378798</v>
      </c>
      <c r="K61" s="1257">
        <f>(('2'!AV60 + '2'!AW60)-'2'!AU60)/(M$21-I$21)</f>
        <v>0.24446784685933667</v>
      </c>
      <c r="L61" s="1232">
        <f>SUM('2'!AR60,'2'!AS60)/L$21</f>
        <v>0.13471878308949253</v>
      </c>
      <c r="M61" s="1232">
        <f>SUM('2'!AV60,'2'!AW60)/M$21</f>
        <v>0.21896571844058851</v>
      </c>
      <c r="N61" s="928"/>
      <c r="O61" s="1226"/>
      <c r="P61" s="1226"/>
      <c r="Q61" s="1226"/>
    </row>
    <row r="62" spans="1:17" ht="16.5" x14ac:dyDescent="0.25">
      <c r="B62" s="7" t="s">
        <v>512</v>
      </c>
      <c r="C62" s="1263">
        <f>SUM('2'!E61)/C$21</f>
        <v>1.8797876421597137E-2</v>
      </c>
      <c r="D62" s="1263">
        <f>SUM('2'!I61)/D$21</f>
        <v>0</v>
      </c>
      <c r="E62" s="1263">
        <f>SUM('2'!J61)/E$21</f>
        <v>0</v>
      </c>
      <c r="F62" s="1263">
        <f>SUM('2'!P62)/F$21</f>
        <v>0</v>
      </c>
      <c r="G62" s="1249">
        <f>SUM('2'!T61)/G$21</f>
        <v>0</v>
      </c>
      <c r="H62" s="1232">
        <f>SUM('2'!AQ61)/H$21</f>
        <v>3.6699352142041436E-4</v>
      </c>
      <c r="I62" s="1232">
        <f>SUM('2'!AU61)/I$21</f>
        <v>0</v>
      </c>
      <c r="J62" s="1257">
        <f>(('2'!AR61 +'2'!AS61)-'2'!AQ61)/(L$21-H$21)</f>
        <v>-5.4283063017602403E-5</v>
      </c>
      <c r="K62" s="1257">
        <f>(('2'!AV61 + '2'!AW61)-'2'!AU61)/(M$21-I$21)</f>
        <v>0</v>
      </c>
      <c r="L62" s="1232">
        <f>SUM('2'!AR61,'2'!AS61)/L$21</f>
        <v>0</v>
      </c>
      <c r="M62" s="1232">
        <f>SUM('2'!AV61,'2'!AW61)/M$21</f>
        <v>0</v>
      </c>
      <c r="N62" s="928"/>
      <c r="O62" s="1226"/>
      <c r="P62" s="1226"/>
      <c r="Q62" s="1226"/>
    </row>
    <row r="63" spans="1:17" ht="10.5" customHeight="1" x14ac:dyDescent="0.2">
      <c r="A63" s="6" t="s">
        <v>125</v>
      </c>
      <c r="B63" s="6" t="s">
        <v>125</v>
      </c>
      <c r="C63" s="6" t="s">
        <v>125</v>
      </c>
      <c r="D63" s="6" t="s">
        <v>125</v>
      </c>
      <c r="E63" s="6" t="s">
        <v>125</v>
      </c>
      <c r="F63" s="6" t="s">
        <v>125</v>
      </c>
      <c r="G63" s="6" t="s">
        <v>125</v>
      </c>
      <c r="H63" s="6" t="s">
        <v>125</v>
      </c>
      <c r="I63" s="6" t="s">
        <v>125</v>
      </c>
      <c r="J63" s="6"/>
      <c r="K63" s="6"/>
      <c r="L63" s="6"/>
      <c r="M63" s="6"/>
      <c r="N63" s="6" t="s">
        <v>125</v>
      </c>
      <c r="O63" s="6" t="s">
        <v>125</v>
      </c>
      <c r="P63" s="6" t="s">
        <v>125</v>
      </c>
      <c r="Q63" s="6" t="s">
        <v>125</v>
      </c>
    </row>
    <row r="64" spans="1:17" x14ac:dyDescent="0.2">
      <c r="A64" s="2" t="s">
        <v>513</v>
      </c>
      <c r="C64" s="1224"/>
      <c r="D64" s="1224"/>
      <c r="E64" s="1224"/>
      <c r="F64" s="1224"/>
      <c r="G64" s="1224"/>
      <c r="H64" s="1224"/>
      <c r="I64" s="1224"/>
      <c r="J64" s="1224"/>
      <c r="K64" s="1224"/>
      <c r="L64" s="1224"/>
      <c r="M64" s="1224"/>
      <c r="N64" s="1224"/>
      <c r="O64" s="1224"/>
      <c r="P64" s="1224"/>
      <c r="Q64" s="1224"/>
    </row>
    <row r="65" spans="1:17" x14ac:dyDescent="0.2">
      <c r="A65" s="2" t="s">
        <v>514</v>
      </c>
      <c r="C65" s="1224"/>
      <c r="D65" s="1224"/>
      <c r="E65" s="1224"/>
      <c r="F65" s="1224"/>
      <c r="G65" s="1224"/>
      <c r="H65" s="1224"/>
      <c r="I65" s="1224"/>
      <c r="J65" s="1224"/>
      <c r="K65" s="1224"/>
      <c r="L65" s="1224"/>
      <c r="M65" s="1224"/>
      <c r="N65" s="1224"/>
      <c r="O65" s="1224"/>
      <c r="P65" s="1224"/>
      <c r="Q65" s="1224"/>
    </row>
    <row r="66" spans="1:17" ht="18" x14ac:dyDescent="0.2">
      <c r="A66" s="1244" t="s">
        <v>515</v>
      </c>
      <c r="C66" s="1224"/>
      <c r="D66" s="1224"/>
      <c r="E66" s="1224"/>
      <c r="F66" s="1224"/>
      <c r="G66" s="1224"/>
      <c r="H66" s="1224"/>
      <c r="I66" s="1224"/>
      <c r="J66" s="1224"/>
      <c r="K66" s="1224"/>
      <c r="L66" s="1224"/>
      <c r="M66" s="1224"/>
      <c r="N66" s="1224"/>
      <c r="O66" s="1224"/>
      <c r="P66" s="1224"/>
      <c r="Q66" s="1224"/>
    </row>
    <row r="67" spans="1:17" ht="18" x14ac:dyDescent="0.2">
      <c r="A67" s="1245" t="s">
        <v>516</v>
      </c>
      <c r="C67" s="1224"/>
      <c r="D67" s="1224"/>
      <c r="E67" s="1224"/>
      <c r="F67" s="1224"/>
      <c r="G67" s="1224"/>
      <c r="H67" s="1224"/>
      <c r="I67" s="1224"/>
      <c r="J67" s="1224"/>
      <c r="K67" s="1224"/>
      <c r="L67" s="1224"/>
      <c r="M67" s="1224"/>
      <c r="N67" s="1224"/>
      <c r="O67" s="1224"/>
      <c r="P67" s="1224"/>
      <c r="Q67" s="1224"/>
    </row>
    <row r="68" spans="1:17" ht="18" x14ac:dyDescent="0.2">
      <c r="A68" s="1245" t="s">
        <v>517</v>
      </c>
      <c r="C68" s="1224"/>
      <c r="D68" s="1224"/>
      <c r="E68" s="1224"/>
      <c r="F68" s="1224"/>
      <c r="G68" s="1224"/>
      <c r="H68" s="1224"/>
      <c r="I68" s="1224"/>
      <c r="J68" s="1224"/>
      <c r="K68" s="1224"/>
      <c r="L68" s="1224"/>
      <c r="M68" s="1224"/>
      <c r="N68" s="1224"/>
      <c r="O68" s="1224"/>
      <c r="P68" s="1224"/>
      <c r="Q68" s="1224"/>
    </row>
    <row r="69" spans="1:17" ht="18" x14ac:dyDescent="0.2">
      <c r="A69" s="1245" t="s">
        <v>518</v>
      </c>
      <c r="C69" s="1224"/>
      <c r="D69" s="1224"/>
      <c r="E69" s="1224"/>
      <c r="F69" s="1224"/>
      <c r="G69" s="1224"/>
      <c r="H69" s="1224"/>
      <c r="I69" s="1224"/>
      <c r="J69" s="1224"/>
      <c r="K69" s="1224"/>
      <c r="L69" s="1224"/>
      <c r="M69" s="1224"/>
      <c r="N69" s="1224"/>
      <c r="O69" s="1224"/>
      <c r="P69" s="1224"/>
      <c r="Q69" s="1224"/>
    </row>
    <row r="70" spans="1:17" ht="18" x14ac:dyDescent="0.2">
      <c r="A70" s="1245" t="s">
        <v>519</v>
      </c>
      <c r="C70" s="1224"/>
      <c r="D70" s="1224"/>
      <c r="E70" s="1224"/>
      <c r="F70" s="1224"/>
      <c r="G70" s="1224"/>
      <c r="H70" s="1224"/>
      <c r="I70" s="1224"/>
      <c r="J70" s="1224"/>
      <c r="K70" s="1224"/>
      <c r="L70" s="1224"/>
      <c r="M70" s="1224"/>
      <c r="N70" s="1224"/>
      <c r="O70" s="1224"/>
      <c r="P70" s="1224"/>
      <c r="Q70" s="1224"/>
    </row>
    <row r="71" spans="1:17" x14ac:dyDescent="0.2">
      <c r="A71" s="6" t="s">
        <v>125</v>
      </c>
      <c r="B71" s="6" t="s">
        <v>125</v>
      </c>
      <c r="C71" s="6" t="s">
        <v>125</v>
      </c>
      <c r="D71" s="6" t="s">
        <v>125</v>
      </c>
      <c r="E71" s="6" t="s">
        <v>125</v>
      </c>
      <c r="F71" s="6" t="s">
        <v>125</v>
      </c>
      <c r="G71" s="6" t="s">
        <v>125</v>
      </c>
      <c r="H71" s="6" t="s">
        <v>125</v>
      </c>
      <c r="I71" s="6" t="s">
        <v>125</v>
      </c>
      <c r="J71" s="6"/>
      <c r="K71" s="6"/>
      <c r="L71" s="6"/>
      <c r="M71" s="6"/>
      <c r="N71" s="6" t="s">
        <v>125</v>
      </c>
      <c r="O71" s="6" t="s">
        <v>125</v>
      </c>
      <c r="P71" s="6" t="s">
        <v>125</v>
      </c>
      <c r="Q71" s="6" t="s">
        <v>125</v>
      </c>
    </row>
    <row r="72" spans="1:17" x14ac:dyDescent="0.2">
      <c r="C72" s="1224" t="s">
        <v>466</v>
      </c>
      <c r="D72" s="1224" t="s">
        <v>467</v>
      </c>
      <c r="E72" s="1224" t="s">
        <v>468</v>
      </c>
      <c r="F72" s="1224" t="s">
        <v>469</v>
      </c>
      <c r="G72" s="1224" t="s">
        <v>470</v>
      </c>
      <c r="H72" s="1224" t="s">
        <v>471</v>
      </c>
      <c r="I72" s="1224" t="s">
        <v>520</v>
      </c>
      <c r="J72" s="1224" t="s">
        <v>521</v>
      </c>
      <c r="K72" s="1224" t="s">
        <v>522</v>
      </c>
      <c r="L72" s="1224" t="s">
        <v>523</v>
      </c>
      <c r="M72" s="1224" t="s">
        <v>524</v>
      </c>
      <c r="N72" s="1224" t="s">
        <v>473</v>
      </c>
      <c r="O72" s="1224" t="s">
        <v>474</v>
      </c>
      <c r="P72" s="1224" t="s">
        <v>448</v>
      </c>
      <c r="Q72" s="1224" t="s">
        <v>475</v>
      </c>
    </row>
    <row r="73" spans="1:17" x14ac:dyDescent="0.2">
      <c r="A73" s="7" t="s">
        <v>525</v>
      </c>
      <c r="B73" s="1237" t="s">
        <v>526</v>
      </c>
      <c r="C73" s="1238">
        <f>C33+C35+C38+SUM(C43:C49)+C51+C54+C57+C60+C62/2</f>
        <v>0.14848077261370599</v>
      </c>
      <c r="D73" s="1238">
        <f t="shared" ref="D73:E73" si="8">D33+D35+D38+SUM(D43:D49)+D51+D54+D57+D60+D62/2</f>
        <v>7.9283171326853072E-2</v>
      </c>
      <c r="E73" s="1238">
        <f t="shared" si="8"/>
        <v>5.8052608722625479E-2</v>
      </c>
      <c r="F73" s="1238">
        <f>F33+F35+F38+SUM(F43:F49)+F51+F54+F57+F60+F62/2</f>
        <v>0.21663299995073165</v>
      </c>
      <c r="G73" s="1238">
        <f>G33+G35+G38+SUM(G43:G49)+G51+G54+G57+G60+G62/2</f>
        <v>3.2786885245901641E-2</v>
      </c>
      <c r="H73" s="1238">
        <f>H33+H35+H38+SUM(H43:H49)+H51+H54+H57+H60+H62/2</f>
        <v>0.18605390800275295</v>
      </c>
      <c r="I73" s="1238">
        <f>I33+I35+I38+SUM(I43:I49)+I51+I54+I57+I60+I62/2</f>
        <v>0.11933489075168338</v>
      </c>
      <c r="J73" s="1238">
        <f>J33+J35+J38+SUM(J43:J49)+J51+J54+J57+J60+J62/2</f>
        <v>0.27729696816802374</v>
      </c>
      <c r="K73" s="1238">
        <f t="shared" ref="K73:L73" si="9">K33+K35+K38+SUM(K43:K49)+K51+K54+K57+K60+K62/2</f>
        <v>0.20245014396928657</v>
      </c>
      <c r="L73" s="1238">
        <f t="shared" si="9"/>
        <v>0.26553995871667357</v>
      </c>
      <c r="M73" s="1238">
        <f>M33+M35+M38+SUM(M43:M49)+M51+M54+M57+M60+M62/2</f>
        <v>0.17530363282196748</v>
      </c>
      <c r="N73" s="1238"/>
      <c r="O73" s="1268"/>
      <c r="P73" s="1268"/>
      <c r="Q73" s="1268"/>
    </row>
    <row r="74" spans="1:17" x14ac:dyDescent="0.2">
      <c r="B74" s="1237" t="s">
        <v>527</v>
      </c>
      <c r="C74" s="1238">
        <f>C36+C41+C52+C55+C58+C61+C62/2</f>
        <v>0.26641875085079264</v>
      </c>
      <c r="D74" s="1238">
        <f t="shared" ref="D74:H74" si="10">D36+D41+D52+D55+D58+D61+D62/2</f>
        <v>0.26933077323092924</v>
      </c>
      <c r="E74" s="1238">
        <f t="shared" si="10"/>
        <v>0.26639369687945902</v>
      </c>
      <c r="F74" s="1238">
        <f t="shared" si="10"/>
        <v>0.20397103020150759</v>
      </c>
      <c r="G74" s="1238">
        <f t="shared" si="10"/>
        <v>5.6147540983606553E-2</v>
      </c>
      <c r="H74" s="1238">
        <f t="shared" si="10"/>
        <v>0.2936496303198825</v>
      </c>
      <c r="I74" s="1238">
        <f>I36+I41+I52+I55+I58+I61+I62/2</f>
        <v>0.4291328844303971</v>
      </c>
      <c r="J74" s="1238">
        <f>J36+J41+J52+J55+J58+J61+J62/2</f>
        <v>0.36350169466312726</v>
      </c>
      <c r="K74" s="1238">
        <f>K36+K41+K52+K55+K58+K61+K62/2</f>
        <v>0.48372347232590385</v>
      </c>
      <c r="L74" s="1238">
        <f t="shared" ref="L74" si="11">L36+L41+L52+L55+L58+L61+L62/2</f>
        <v>0.35450099500232785</v>
      </c>
      <c r="M74" s="1238">
        <f>M36+M41+M52+M55+M58+M61+M62/2</f>
        <v>0.46589348390050356</v>
      </c>
      <c r="N74" s="1268"/>
      <c r="O74" s="1268"/>
      <c r="P74" s="1268"/>
      <c r="Q74" s="1268"/>
    </row>
    <row r="75" spans="1:17" ht="15.75" x14ac:dyDescent="0.25">
      <c r="A75" s="7" t="s">
        <v>528</v>
      </c>
      <c r="C75" s="1239">
        <f t="shared" ref="C75:H75" si="12">SUM(C73:C74)</f>
        <v>0.41489952346449865</v>
      </c>
      <c r="D75" s="1239">
        <f t="shared" si="12"/>
        <v>0.34861394455778233</v>
      </c>
      <c r="E75" s="1239">
        <f t="shared" si="12"/>
        <v>0.32444630560208448</v>
      </c>
      <c r="F75" s="1239">
        <f t="shared" si="12"/>
        <v>0.42060403015223924</v>
      </c>
      <c r="G75" s="1239">
        <f t="shared" si="12"/>
        <v>8.8934426229508201E-2</v>
      </c>
      <c r="H75" s="1239">
        <f t="shared" si="12"/>
        <v>0.47970353832263546</v>
      </c>
      <c r="I75" s="1239">
        <f>SUM(I73:I74)</f>
        <v>0.54846777518208045</v>
      </c>
      <c r="J75" s="1239">
        <f>SUM(J73:J74)</f>
        <v>0.64079866283115106</v>
      </c>
      <c r="K75" s="1239">
        <f t="shared" ref="K75:L75" si="13">SUM(K73:K74)</f>
        <v>0.68617361629519036</v>
      </c>
      <c r="L75" s="1239">
        <f t="shared" si="13"/>
        <v>0.62004095371900148</v>
      </c>
      <c r="M75" s="1239">
        <f>SUM(M73:M74)</f>
        <v>0.64119711672247104</v>
      </c>
      <c r="N75" s="6"/>
      <c r="O75" s="6"/>
      <c r="P75" s="6"/>
      <c r="Q75" s="6"/>
    </row>
    <row r="76" spans="1:17" x14ac:dyDescent="0.2">
      <c r="A76" s="7" t="s">
        <v>529</v>
      </c>
      <c r="B76" s="1237" t="s">
        <v>526</v>
      </c>
      <c r="C76" s="1238">
        <f t="shared" ref="C76:Q76" si="14">SUM(C33,C35,C38)</f>
        <v>1.4627445642085462E-2</v>
      </c>
      <c r="D76" s="1238">
        <f t="shared" si="14"/>
        <v>1.1600464018560741E-2</v>
      </c>
      <c r="E76" s="1238">
        <f t="shared" si="14"/>
        <v>1.1678764191327006E-2</v>
      </c>
      <c r="F76" s="1238">
        <f t="shared" si="14"/>
        <v>1.6751244026210772E-2</v>
      </c>
      <c r="G76" s="1238">
        <f t="shared" si="14"/>
        <v>1.3251366120218579E-2</v>
      </c>
      <c r="H76" s="1238">
        <f t="shared" si="14"/>
        <v>1.3301581124495062E-2</v>
      </c>
      <c r="I76" s="1238">
        <f>SUM(I33,I35,I38)</f>
        <v>1.330218496633228E-2</v>
      </c>
      <c r="J76" s="1238">
        <f t="shared" ref="J76" si="15">SUM(J33,J35,J38)</f>
        <v>4.0654843306737756E-2</v>
      </c>
      <c r="K76" s="1238">
        <f>SUM(K33,K35,K38)</f>
        <v>5.4335075183960753E-2</v>
      </c>
      <c r="L76" s="1238">
        <f>SUM(L33,L35,L38)</f>
        <v>3.7130273203330684E-2</v>
      </c>
      <c r="M76" s="1238">
        <f>SUM(M33,M35,M38)</f>
        <v>4.0933205267457209E-2</v>
      </c>
      <c r="N76" s="1517">
        <f t="shared" si="14"/>
        <v>2.3516951125928824E-2</v>
      </c>
      <c r="O76" s="1240">
        <f t="shared" si="14"/>
        <v>5.4749288615940167E-2</v>
      </c>
      <c r="P76" s="1240">
        <f t="shared" si="14"/>
        <v>7.1872919920601713E-2</v>
      </c>
      <c r="Q76" s="1240">
        <f t="shared" si="14"/>
        <v>3.2501788339359516E-2</v>
      </c>
    </row>
    <row r="77" spans="1:17" x14ac:dyDescent="0.2">
      <c r="A77" s="7"/>
      <c r="B77" s="1237" t="s">
        <v>527</v>
      </c>
      <c r="C77" s="1240">
        <f>C36</f>
        <v>3.0071652208348287E-2</v>
      </c>
      <c r="D77" s="1240">
        <f t="shared" ref="D77:H77" si="16">D36</f>
        <v>2.0680827233089324E-2</v>
      </c>
      <c r="E77" s="1240">
        <f t="shared" si="16"/>
        <v>2.073639803958062E-2</v>
      </c>
      <c r="F77" s="1240">
        <f t="shared" si="16"/>
        <v>3.217224220328127E-2</v>
      </c>
      <c r="G77" s="1240">
        <f t="shared" si="16"/>
        <v>2.5683060109289616E-2</v>
      </c>
      <c r="H77" s="1240">
        <f t="shared" si="16"/>
        <v>2.9033258800580566E-2</v>
      </c>
      <c r="I77" s="1240">
        <f>I36</f>
        <v>3.036965782602721E-2</v>
      </c>
      <c r="J77" s="1240">
        <f t="shared" ref="J77" si="17">J36</f>
        <v>2.7743288836356877E-2</v>
      </c>
      <c r="K77" s="1240">
        <f>K36</f>
        <v>2.7714087661298924E-2</v>
      </c>
      <c r="L77" s="1240">
        <f>L36</f>
        <v>2.7909506289321134E-2</v>
      </c>
      <c r="M77" s="1240">
        <f>M36</f>
        <v>2.8581431046399944E-2</v>
      </c>
      <c r="N77" s="1517">
        <f>SUM(N36)</f>
        <v>3.1302426413352361E-2</v>
      </c>
      <c r="O77" s="1240">
        <f>SUM(O36)</f>
        <v>7.3283094489818748E-2</v>
      </c>
      <c r="P77" s="1240">
        <f>SUM(P36)</f>
        <v>5.0389166683465332E-2</v>
      </c>
      <c r="Q77" s="1240">
        <f>SUM(Q36)</f>
        <v>2.3570253579094608E-2</v>
      </c>
    </row>
    <row r="78" spans="1:17" ht="15.75" x14ac:dyDescent="0.25">
      <c r="A78" s="7" t="s">
        <v>530</v>
      </c>
      <c r="B78" s="1"/>
      <c r="C78" s="1239">
        <f t="shared" ref="C78:Q78" si="18">SUM(C76:C77)</f>
        <v>4.4699097850433751E-2</v>
      </c>
      <c r="D78" s="1239">
        <f t="shared" si="18"/>
        <v>3.2281291251650066E-2</v>
      </c>
      <c r="E78" s="1239">
        <f t="shared" si="18"/>
        <v>3.2415162230907624E-2</v>
      </c>
      <c r="F78" s="1239">
        <f t="shared" si="18"/>
        <v>4.8923486229492039E-2</v>
      </c>
      <c r="G78" s="1239">
        <f t="shared" si="18"/>
        <v>3.8934426229508198E-2</v>
      </c>
      <c r="H78" s="1239">
        <f t="shared" si="18"/>
        <v>4.2334839925075626E-2</v>
      </c>
      <c r="I78" s="1239">
        <f>SUM(I76:I77)</f>
        <v>4.3671842792359486E-2</v>
      </c>
      <c r="J78" s="1239">
        <f t="shared" ref="J78:L78" si="19">SUM(J76:J77)</f>
        <v>6.8398132143094634E-2</v>
      </c>
      <c r="K78" s="1239">
        <f t="shared" si="19"/>
        <v>8.2049162845259677E-2</v>
      </c>
      <c r="L78" s="1239">
        <f t="shared" si="19"/>
        <v>6.5039779492651814E-2</v>
      </c>
      <c r="M78" s="1239">
        <f>SUM(M76:M77)</f>
        <v>6.9514636313857153E-2</v>
      </c>
      <c r="N78" s="1241">
        <f t="shared" si="18"/>
        <v>5.4819377539281185E-2</v>
      </c>
      <c r="O78" s="857">
        <f t="shared" si="18"/>
        <v>0.12803238310575893</v>
      </c>
      <c r="P78" s="857">
        <f t="shared" si="18"/>
        <v>0.12226208660406704</v>
      </c>
      <c r="Q78" s="857">
        <f t="shared" si="18"/>
        <v>5.6072041918454121E-2</v>
      </c>
    </row>
    <row r="79" spans="1:17" ht="19.5" customHeight="1" x14ac:dyDescent="0.2">
      <c r="A79" s="6"/>
      <c r="B79" s="6"/>
      <c r="C79" s="6"/>
      <c r="D79" s="6"/>
      <c r="E79" s="6"/>
      <c r="F79" s="1282" t="s">
        <v>531</v>
      </c>
      <c r="G79" s="6"/>
    </row>
    <row r="80" spans="1:17" ht="15.75" x14ac:dyDescent="0.25">
      <c r="A80" s="156"/>
      <c r="B80" s="1"/>
      <c r="C80" s="857"/>
      <c r="D80" s="857"/>
      <c r="E80" s="857"/>
      <c r="G80" s="1"/>
      <c r="J80" s="1" t="s">
        <v>532</v>
      </c>
      <c r="K80" s="1"/>
      <c r="L80" s="1"/>
      <c r="M80" s="1"/>
    </row>
    <row r="81" spans="1:17" x14ac:dyDescent="0.2">
      <c r="A81" s="6"/>
      <c r="B81" s="6"/>
      <c r="C81" s="6"/>
      <c r="D81" s="6"/>
      <c r="E81" s="6"/>
      <c r="F81" s="6"/>
      <c r="G81" s="6"/>
      <c r="H81" s="6"/>
      <c r="I81" s="6"/>
      <c r="J81" s="6"/>
      <c r="K81" s="6"/>
      <c r="L81" s="6"/>
      <c r="M81" s="6"/>
      <c r="N81" s="1224" t="s">
        <v>473</v>
      </c>
      <c r="O81" s="1224" t="s">
        <v>474</v>
      </c>
      <c r="P81" s="1224" t="s">
        <v>448</v>
      </c>
      <c r="Q81" s="1224" t="s">
        <v>475</v>
      </c>
    </row>
    <row r="82" spans="1:17" x14ac:dyDescent="0.2">
      <c r="O82" s="6"/>
      <c r="P82" s="6"/>
      <c r="Q82" s="6"/>
    </row>
    <row r="83" spans="1:17" x14ac:dyDescent="0.2">
      <c r="H83" s="7"/>
      <c r="I83" s="1237"/>
      <c r="J83" s="2130" t="s">
        <v>529</v>
      </c>
      <c r="K83" s="2131" t="s">
        <v>526</v>
      </c>
      <c r="L83" s="2132"/>
      <c r="M83" s="2132"/>
      <c r="N83" s="2133">
        <f>SUM('2'!Z17:Z18,'2'!Z21:Z22,'2'!Z24:Z28)/(N$15+N$21)</f>
        <v>2.3396766418788798E-2</v>
      </c>
      <c r="O83" s="2133">
        <f>SUM('2'!AA17:AA18,'2'!AA21:AA22,'2'!AA24:AA28)/(O$15+O$21)</f>
        <v>5.4540150018813086E-2</v>
      </c>
      <c r="P83" s="2133">
        <f>SUM('2'!AE17:AE18,'2'!AE21:AE22,'2'!AE24:AE28)/(P$15+P$21)</f>
        <v>7.0292176215076219E-2</v>
      </c>
      <c r="Q83" s="2133">
        <f>SUM('2'!AK17:AK18,'2'!AK21:AK22,'2'!AK24:AK28)/(Q$15+Q$21)</f>
        <v>3.2284984518521638E-2</v>
      </c>
    </row>
    <row r="84" spans="1:17" x14ac:dyDescent="0.2">
      <c r="C84" s="20"/>
      <c r="D84" s="20"/>
      <c r="E84" s="20"/>
      <c r="H84" s="7"/>
      <c r="I84" s="1237"/>
      <c r="J84" s="7"/>
      <c r="K84" s="1237" t="s">
        <v>527</v>
      </c>
      <c r="N84" s="1242">
        <f>SUM('2'!Z20)/(N$15+N$21)</f>
        <v>3.1142453594974851E-2</v>
      </c>
      <c r="O84" s="1242">
        <f>SUM('2'!AA20)/(O$15+O$21)</f>
        <v>7.3003158001835419E-2</v>
      </c>
      <c r="P84" s="1242">
        <f>SUM('2'!AE20)/(P$15+P$21)</f>
        <v>4.9280927889917558E-2</v>
      </c>
      <c r="Q84" s="1242">
        <f>SUM('2'!AK20)/(Q$15+Q$21)</f>
        <v>2.3413027737220638E-2</v>
      </c>
    </row>
    <row r="85" spans="1:17" x14ac:dyDescent="0.2">
      <c r="A85" s="6"/>
      <c r="B85" s="6"/>
      <c r="C85" s="6"/>
      <c r="D85" s="6"/>
      <c r="E85" s="6"/>
      <c r="I85" s="7"/>
      <c r="J85" s="1924" t="s">
        <v>533</v>
      </c>
      <c r="K85" s="1925" t="s">
        <v>534</v>
      </c>
      <c r="L85" s="1924"/>
      <c r="M85" s="1924"/>
      <c r="N85" s="1926">
        <f>SUM('2'!Z23)/(N$15+N$21)</f>
        <v>5.1105564873804889E-3</v>
      </c>
      <c r="O85" s="1926">
        <f>SUM('2'!AA23)/(O$15+O$21)</f>
        <v>3.8199326861425506E-3</v>
      </c>
      <c r="P85" s="1926">
        <f>SUM('2'!AE23)/(P$15+P$21)</f>
        <v>2.1993592402698537E-2</v>
      </c>
      <c r="Q85" s="1926">
        <f>SUM('2'!AK23)/(Q$15+Q$21)</f>
        <v>6.6705197441498179E-3</v>
      </c>
    </row>
    <row r="86" spans="1:17" x14ac:dyDescent="0.2">
      <c r="C86" s="1224"/>
      <c r="D86" s="1224"/>
      <c r="E86" s="1224"/>
      <c r="N86" s="1242"/>
    </row>
    <row r="87" spans="1:17" ht="15.75" x14ac:dyDescent="0.25">
      <c r="H87" s="11"/>
      <c r="I87" s="1"/>
      <c r="J87" s="1"/>
      <c r="K87" s="11" t="s">
        <v>535</v>
      </c>
      <c r="M87" s="1"/>
      <c r="N87" s="1241">
        <f>SUM(N83:N85)</f>
        <v>5.9649776501144142E-2</v>
      </c>
      <c r="O87" s="857">
        <f>SUM(O83:O85)</f>
        <v>0.13136324070679106</v>
      </c>
      <c r="P87" s="857">
        <f>SUM(P83:P85)</f>
        <v>0.14156669650769232</v>
      </c>
      <c r="Q87" s="857">
        <f>SUM(Q83:Q85)</f>
        <v>6.2368531999892098E-2</v>
      </c>
    </row>
    <row r="88" spans="1:17" x14ac:dyDescent="0.2">
      <c r="C88" s="20"/>
      <c r="D88" s="20"/>
      <c r="E88" s="20"/>
      <c r="F88" s="20"/>
      <c r="G88" s="20"/>
    </row>
    <row r="89" spans="1:17" x14ac:dyDescent="0.2">
      <c r="B89" s="7"/>
      <c r="C89" s="20"/>
      <c r="D89" s="20"/>
      <c r="E89" s="20"/>
      <c r="F89" s="20"/>
      <c r="G89" s="20"/>
    </row>
    <row r="152" spans="16:16" x14ac:dyDescent="0.2">
      <c r="P152" s="20"/>
    </row>
  </sheetData>
  <mergeCells count="1">
    <mergeCell ref="N41:Q41"/>
  </mergeCells>
  <phoneticPr fontId="16" type="noConversion"/>
  <pageMargins left="0.5" right="0.25" top="0.45" bottom="0.31" header="0.23" footer="0.26"/>
  <pageSetup scale="59" fitToHeight="2" orientation="landscape" r:id="rId1"/>
  <headerFooter alignWithMargins="0"/>
  <rowBreaks count="1" manualBreakCount="1">
    <brk id="63" max="12" man="1"/>
  </row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ransitionEvaluation="1" transitionEntry="1" codeName="Sheet2">
    <pageSetUpPr fitToPage="1"/>
  </sheetPr>
  <dimension ref="A1:L171"/>
  <sheetViews>
    <sheetView topLeftCell="A22" zoomScaleNormal="100" workbookViewId="0">
      <selection activeCell="F47" sqref="F47"/>
    </sheetView>
  </sheetViews>
  <sheetFormatPr defaultColWidth="12.5703125" defaultRowHeight="15" x14ac:dyDescent="0.2"/>
  <cols>
    <col min="1" max="1" width="35.140625" style="2" customWidth="1"/>
    <col min="2" max="2" width="13.28515625" style="2" customWidth="1"/>
    <col min="3" max="3" width="14.5703125" style="2" customWidth="1"/>
    <col min="4" max="4" width="13.5703125" style="2" customWidth="1"/>
    <col min="5" max="5" width="17.85546875" style="2" customWidth="1"/>
    <col min="6" max="7" width="12.5703125" style="2"/>
    <col min="8" max="8" width="5.140625" style="2" customWidth="1"/>
    <col min="9" max="9" width="13.140625" style="2" customWidth="1"/>
    <col min="10" max="16384" width="12.5703125" style="2"/>
  </cols>
  <sheetData>
    <row r="1" spans="1:9" ht="15.75" x14ac:dyDescent="0.25">
      <c r="A1" s="1" t="s">
        <v>536</v>
      </c>
      <c r="H1" s="6" t="s">
        <v>125</v>
      </c>
      <c r="I1" s="6" t="s">
        <v>125</v>
      </c>
    </row>
    <row r="2" spans="1:9" x14ac:dyDescent="0.2">
      <c r="A2" s="2" t="s">
        <v>122</v>
      </c>
      <c r="B2" s="157" t="str">
        <f>Input_Harvestnew!$B$3</f>
        <v>bc-Coho2229</v>
      </c>
      <c r="G2" s="7"/>
      <c r="I2" s="545">
        <f>'1'!$L$2</f>
        <v>44663.592256944445</v>
      </c>
    </row>
    <row r="3" spans="1:9" x14ac:dyDescent="0.2">
      <c r="A3" s="2" t="s">
        <v>123</v>
      </c>
      <c r="B3" s="2" t="str">
        <f>Input_Harvestnew!$B$4</f>
        <v>Final PFMC April - Adopted+NOF</v>
      </c>
      <c r="I3" s="546">
        <f>'1'!$L$3</f>
        <v>44663.592256944445</v>
      </c>
    </row>
    <row r="4" spans="1:9" x14ac:dyDescent="0.2">
      <c r="A4" s="2" t="s">
        <v>537</v>
      </c>
    </row>
    <row r="5" spans="1:9" x14ac:dyDescent="0.2">
      <c r="A5" s="6" t="s">
        <v>125</v>
      </c>
      <c r="B5" s="6" t="s">
        <v>125</v>
      </c>
      <c r="C5" s="6" t="s">
        <v>125</v>
      </c>
      <c r="D5" s="6" t="s">
        <v>125</v>
      </c>
      <c r="E5" s="6" t="s">
        <v>125</v>
      </c>
      <c r="F5" s="6" t="s">
        <v>125</v>
      </c>
      <c r="G5" s="6" t="s">
        <v>125</v>
      </c>
      <c r="H5" s="6" t="s">
        <v>125</v>
      </c>
      <c r="I5" s="6" t="s">
        <v>125</v>
      </c>
    </row>
    <row r="6" spans="1:9" ht="15.75" x14ac:dyDescent="0.25">
      <c r="A6" s="1" t="s">
        <v>538</v>
      </c>
      <c r="C6" s="168"/>
    </row>
    <row r="7" spans="1:9" x14ac:dyDescent="0.2">
      <c r="B7" s="855" t="s">
        <v>539</v>
      </c>
      <c r="C7" s="1224" t="s">
        <v>540</v>
      </c>
      <c r="E7" s="855" t="s">
        <v>237</v>
      </c>
      <c r="H7" s="855"/>
    </row>
    <row r="8" spans="1:9" x14ac:dyDescent="0.2">
      <c r="B8" s="855" t="s">
        <v>541</v>
      </c>
      <c r="C8" s="1224" t="s">
        <v>542</v>
      </c>
      <c r="E8" s="855" t="s">
        <v>541</v>
      </c>
      <c r="F8" s="1224" t="s">
        <v>237</v>
      </c>
      <c r="H8" s="855"/>
    </row>
    <row r="9" spans="1:9" x14ac:dyDescent="0.2">
      <c r="B9" s="855" t="s">
        <v>543</v>
      </c>
      <c r="C9" s="1224" t="s">
        <v>544</v>
      </c>
      <c r="D9" s="1224" t="s">
        <v>540</v>
      </c>
      <c r="E9" s="855" t="s">
        <v>543</v>
      </c>
      <c r="F9" s="1224" t="s">
        <v>541</v>
      </c>
      <c r="G9" s="1224" t="s">
        <v>237</v>
      </c>
      <c r="H9" s="855"/>
    </row>
    <row r="10" spans="1:9" x14ac:dyDescent="0.2">
      <c r="A10" s="2" t="s">
        <v>545</v>
      </c>
      <c r="B10" s="855" t="s">
        <v>546</v>
      </c>
      <c r="C10" s="1224" t="s">
        <v>547</v>
      </c>
      <c r="D10" s="1224" t="s">
        <v>548</v>
      </c>
      <c r="E10" s="855" t="s">
        <v>546</v>
      </c>
      <c r="F10" s="1224" t="s">
        <v>543</v>
      </c>
      <c r="G10" s="1224" t="s">
        <v>548</v>
      </c>
      <c r="H10" s="855"/>
    </row>
    <row r="11" spans="1:9" x14ac:dyDescent="0.2">
      <c r="B11" s="855" t="s">
        <v>549</v>
      </c>
      <c r="C11" s="221" t="s">
        <v>550</v>
      </c>
      <c r="D11" s="1224" t="s">
        <v>551</v>
      </c>
      <c r="E11" s="855" t="s">
        <v>552</v>
      </c>
      <c r="F11" s="1224" t="s">
        <v>553</v>
      </c>
      <c r="G11" s="1224" t="s">
        <v>551</v>
      </c>
      <c r="H11" s="855"/>
    </row>
    <row r="12" spans="1:9" x14ac:dyDescent="0.2">
      <c r="A12" s="6" t="s">
        <v>129</v>
      </c>
      <c r="B12" s="1514" t="s">
        <v>129</v>
      </c>
      <c r="C12" s="6" t="s">
        <v>129</v>
      </c>
      <c r="D12" s="6" t="s">
        <v>129</v>
      </c>
      <c r="E12" s="1514" t="s">
        <v>129</v>
      </c>
      <c r="F12" s="6" t="s">
        <v>129</v>
      </c>
      <c r="G12" s="6" t="s">
        <v>129</v>
      </c>
      <c r="H12" s="1514" t="s">
        <v>129</v>
      </c>
      <c r="I12" s="6" t="s">
        <v>129</v>
      </c>
    </row>
    <row r="13" spans="1:9" x14ac:dyDescent="0.2">
      <c r="A13" s="2" t="s">
        <v>466</v>
      </c>
      <c r="B13" s="1108"/>
      <c r="C13" s="20">
        <f>TRunsPRN!B37</f>
        <v>86262</v>
      </c>
      <c r="D13" s="1050">
        <f>SUM(TRunsPRN!C37)-Sk!F37</f>
        <v>56765.85229406166</v>
      </c>
      <c r="E13" s="1108">
        <f>SUM(TRunsPRN!D28)</f>
        <v>64753.501799152429</v>
      </c>
      <c r="F13" s="20">
        <f>SUM('2'!E9,'2'!E29:E39,'2'!E41:E46,'2'!E48:E57,'2'!E59:E61)</f>
        <v>75784</v>
      </c>
      <c r="G13" s="20">
        <f>'2'!E9</f>
        <v>45869.214207404264</v>
      </c>
      <c r="H13" s="1108"/>
    </row>
    <row r="14" spans="1:9" x14ac:dyDescent="0.2">
      <c r="A14" s="2" t="s">
        <v>554</v>
      </c>
      <c r="B14" s="1108"/>
      <c r="C14" s="20">
        <f>SUM(TRunsPRN!B38)</f>
        <v>104171</v>
      </c>
      <c r="D14" s="20">
        <f>SUM(TRunsPRN!C38)</f>
        <v>70210</v>
      </c>
      <c r="E14" s="32"/>
      <c r="H14" s="32"/>
    </row>
    <row r="15" spans="1:9" x14ac:dyDescent="0.2">
      <c r="A15" s="1050" t="s">
        <v>555</v>
      </c>
      <c r="B15" s="32"/>
      <c r="E15" s="1108">
        <f>SUM(TRunsPRN!D29)</f>
        <v>17039.650691565919</v>
      </c>
      <c r="F15" s="20">
        <f>SUM('2'!I9,'2'!I29:I39,'2'!I41:I46,'2'!I48:I57,'2'!I59:I60)</f>
        <v>23925</v>
      </c>
      <c r="G15" s="20">
        <f>SUM('2'!I9)</f>
        <v>16017</v>
      </c>
      <c r="H15" s="1108"/>
    </row>
    <row r="16" spans="1:9" x14ac:dyDescent="0.2">
      <c r="A16" s="7" t="s">
        <v>556</v>
      </c>
      <c r="B16" s="32"/>
      <c r="E16" s="1108">
        <f>SUM(TRunsPRN!D30)</f>
        <v>45249.823525973021</v>
      </c>
      <c r="F16" s="20">
        <f>SUM('2'!J9,'2'!J29:J39,'2'!J41:J46,'2'!J48:'2'!J57,'2'!J59:'2'!J60)</f>
        <v>61700</v>
      </c>
      <c r="G16" s="20">
        <f>SUM('2'!J9)</f>
        <v>42871</v>
      </c>
      <c r="H16" s="1108"/>
    </row>
    <row r="17" spans="1:9" x14ac:dyDescent="0.2">
      <c r="A17" s="2" t="s">
        <v>557</v>
      </c>
      <c r="B17" s="1108"/>
      <c r="C17" s="20">
        <f>SUM(TRunsPRN!B39)</f>
        <v>57775</v>
      </c>
      <c r="D17" s="20">
        <f>SUM(TRunsPRN!C39)</f>
        <v>29249</v>
      </c>
      <c r="E17" s="1108">
        <f>SUM(TRunsPRN!D31)</f>
        <v>15192.408753721775</v>
      </c>
      <c r="F17" s="20">
        <f>SUM('2'!P9,'2'!P29:P39,'2'!P41:P46,'2'!P48:'2'!P57,'2'!P59:'2'!P60)</f>
        <v>18894</v>
      </c>
      <c r="G17" s="20">
        <f>SUM('2'!P9)</f>
        <v>11350</v>
      </c>
      <c r="H17" s="1108"/>
    </row>
    <row r="18" spans="1:9" x14ac:dyDescent="0.2">
      <c r="A18" s="2" t="s">
        <v>558</v>
      </c>
      <c r="B18" s="1108"/>
      <c r="C18" s="20">
        <f>SUM(TRunsPRN!B40)</f>
        <v>187553</v>
      </c>
      <c r="D18" s="20">
        <f>SUM(TRunsPRN!C40)</f>
        <v>85574</v>
      </c>
      <c r="E18" s="1108">
        <f>SUM(TRunsPRN!D32:D34)</f>
        <v>23749.48296675126</v>
      </c>
      <c r="F18" s="20">
        <f>SUM('2'!AQ9,'2'!AQ29:AQ39,'2'!AQ41:AQ46,'2'!AQ48:AQ57,'2'!AQ59:AQ61)</f>
        <v>29581.477530639553</v>
      </c>
      <c r="G18" s="20">
        <f>SUM('2'!AQ9)</f>
        <v>15903</v>
      </c>
      <c r="H18" s="1108"/>
    </row>
    <row r="19" spans="1:9" x14ac:dyDescent="0.2">
      <c r="A19" s="2" t="s">
        <v>559</v>
      </c>
      <c r="B19" s="1108"/>
      <c r="C19" s="20">
        <f>SUM(TRunsPRN!B44)</f>
        <v>84370</v>
      </c>
      <c r="D19" s="20">
        <f>SUM(TRunsPRN!C44)</f>
        <v>31212</v>
      </c>
      <c r="E19" s="1108">
        <f>SUM(TRunsPRN!D35)</f>
        <v>31370.485906302085</v>
      </c>
      <c r="F19" s="20">
        <f>SUM('2'!AU9,'2'!AU29:AU39,'2'!AU41:'2'!AU46,'2'!AU48:'2'!AU57,'2'!AU59:'2'!AU61)</f>
        <v>33878</v>
      </c>
      <c r="G19" s="20">
        <f>SUM('2'!AU9)</f>
        <v>15511</v>
      </c>
      <c r="H19" s="1108"/>
    </row>
    <row r="20" spans="1:9" x14ac:dyDescent="0.2">
      <c r="A20" s="2" t="s">
        <v>560</v>
      </c>
      <c r="B20" s="1108"/>
      <c r="C20" s="20">
        <f>SUM(TRunsPRN!B45)</f>
        <v>16431</v>
      </c>
      <c r="D20" s="20">
        <f>SUM(TRunsPRN!C45)</f>
        <v>12869</v>
      </c>
      <c r="E20" s="1108">
        <f>SUM(TRunsPRN!D36)</f>
        <v>6729.0097231197578</v>
      </c>
      <c r="F20" s="20">
        <f>SUM('2'!T9,'2'!T29:T39,'2'!T41:T46,'2'!T48:'2'!T57,'2'!T59:'2'!T60)</f>
        <v>6885</v>
      </c>
      <c r="G20" s="20">
        <f>SUM('2'!T9)</f>
        <v>6519</v>
      </c>
      <c r="H20" s="1108"/>
    </row>
    <row r="21" spans="1:9" x14ac:dyDescent="0.2">
      <c r="A21" s="6" t="s">
        <v>125</v>
      </c>
      <c r="B21" s="6" t="s">
        <v>125</v>
      </c>
      <c r="C21" s="6" t="s">
        <v>125</v>
      </c>
      <c r="D21" s="6" t="s">
        <v>125</v>
      </c>
      <c r="E21" s="6" t="s">
        <v>125</v>
      </c>
      <c r="F21" s="6" t="s">
        <v>125</v>
      </c>
      <c r="G21" s="6" t="s">
        <v>125</v>
      </c>
      <c r="H21" s="6" t="s">
        <v>125</v>
      </c>
      <c r="I21" s="6" t="s">
        <v>125</v>
      </c>
    </row>
    <row r="22" spans="1:9" ht="15.75" thickBot="1" x14ac:dyDescent="0.25">
      <c r="A22" s="505" t="s">
        <v>561</v>
      </c>
    </row>
    <row r="23" spans="1:9" ht="15.75" thickBot="1" x14ac:dyDescent="0.25">
      <c r="A23" s="618" t="s">
        <v>562</v>
      </c>
      <c r="C23" s="141">
        <f>SUM(C13:C20)</f>
        <v>536562</v>
      </c>
      <c r="D23" s="617" t="s">
        <v>563</v>
      </c>
      <c r="E23" s="617"/>
      <c r="F23" s="617"/>
      <c r="G23" s="1520"/>
    </row>
    <row r="24" spans="1:9" ht="15.75" x14ac:dyDescent="0.25">
      <c r="A24" s="1"/>
    </row>
    <row r="25" spans="1:9" ht="15.75" x14ac:dyDescent="0.25">
      <c r="A25" s="1" t="s">
        <v>564</v>
      </c>
      <c r="B25" s="2" t="s">
        <v>565</v>
      </c>
      <c r="C25" s="1224"/>
      <c r="D25" s="1224"/>
      <c r="E25" s="1224"/>
      <c r="F25" s="1224"/>
      <c r="G25" s="1224"/>
    </row>
    <row r="26" spans="1:9" x14ac:dyDescent="0.2">
      <c r="B26" s="1224"/>
      <c r="C26" s="1224"/>
      <c r="D26" s="1224"/>
      <c r="E26" s="1224"/>
      <c r="F26" s="1224"/>
      <c r="G26" s="1224"/>
      <c r="H26" s="7"/>
    </row>
    <row r="27" spans="1:9" x14ac:dyDescent="0.2">
      <c r="A27" s="2134"/>
      <c r="B27" s="2135"/>
      <c r="C27" s="2441" t="s">
        <v>566</v>
      </c>
      <c r="D27" s="2442"/>
      <c r="E27" s="2443"/>
      <c r="F27" s="20"/>
      <c r="G27" s="20"/>
    </row>
    <row r="28" spans="1:9" x14ac:dyDescent="0.2">
      <c r="A28" s="1927" t="s">
        <v>567</v>
      </c>
      <c r="B28" s="1928"/>
      <c r="C28" s="1929" t="s">
        <v>568</v>
      </c>
      <c r="D28" s="1930" t="s">
        <v>569</v>
      </c>
      <c r="E28" s="1931" t="s">
        <v>570</v>
      </c>
      <c r="F28" s="20"/>
      <c r="G28" s="20"/>
    </row>
    <row r="29" spans="1:9" x14ac:dyDescent="0.2">
      <c r="A29" s="2134" t="s">
        <v>571</v>
      </c>
      <c r="B29" s="2136"/>
      <c r="C29" s="2137">
        <f>SUM(TRunsPRN!D170)</f>
        <v>34093.985828886871</v>
      </c>
      <c r="D29" s="2138">
        <f>SUM('4'!$N$11,C43)</f>
        <v>12485.927705368607</v>
      </c>
      <c r="E29" s="2136">
        <f>SUM(C42,TRunsPRN!D20)</f>
        <v>21608.058123518269</v>
      </c>
      <c r="F29" s="20"/>
      <c r="G29" s="20"/>
    </row>
    <row r="30" spans="1:9" x14ac:dyDescent="0.2">
      <c r="A30" s="1521" t="s">
        <v>572</v>
      </c>
      <c r="B30" s="1522"/>
      <c r="C30" s="1523">
        <f>SUM(TRunsPRN!D171)</f>
        <v>4595.9055366797966</v>
      </c>
      <c r="D30" s="1524">
        <f>SUM('4'!$O$11)</f>
        <v>3922.124919189815</v>
      </c>
      <c r="E30" s="1522">
        <f>SUM(TRunsPRN!D21)</f>
        <v>0</v>
      </c>
      <c r="F30" s="20"/>
      <c r="G30" s="20"/>
    </row>
    <row r="31" spans="1:9" x14ac:dyDescent="0.2">
      <c r="A31" s="1521" t="s">
        <v>573</v>
      </c>
      <c r="B31" s="1522"/>
      <c r="C31" s="1523">
        <f>SUM(TRunsPRN!D172)</f>
        <v>31340.422652877267</v>
      </c>
      <c r="D31" s="1524">
        <f>SUM('4'!$P$11)</f>
        <v>15213.51862402221</v>
      </c>
      <c r="E31" s="1522">
        <f>SUM('2'!AF9:AG9)</f>
        <v>15183.154043248731</v>
      </c>
      <c r="F31" s="20"/>
      <c r="G31" s="20"/>
    </row>
    <row r="32" spans="1:9" x14ac:dyDescent="0.2">
      <c r="A32" s="1521" t="s">
        <v>574</v>
      </c>
      <c r="B32" s="1522"/>
      <c r="C32" s="1523">
        <f>SUM(TRunsPRN!D173)</f>
        <v>50717.640570272044</v>
      </c>
      <c r="D32" s="1524">
        <f>SUM(TRunsPRN!D23)</f>
        <v>17384.686175938234</v>
      </c>
      <c r="E32" s="1522">
        <f>SUM(TRunsPRN!D22)</f>
        <v>32889.832026983167</v>
      </c>
      <c r="F32" s="20"/>
      <c r="G32" s="20"/>
    </row>
    <row r="33" spans="1:9" x14ac:dyDescent="0.2">
      <c r="A33" s="1521" t="s">
        <v>575</v>
      </c>
      <c r="B33" s="1522"/>
      <c r="C33" s="1523">
        <f>SUM(TRunsPRN!D174)</f>
        <v>176983.07661545236</v>
      </c>
      <c r="D33" s="1524">
        <f>SUM('4'!$Q$11)</f>
        <v>111109.16480190745</v>
      </c>
      <c r="E33" s="1522">
        <f>SUM('2'!AN9,-'2'!AK9)</f>
        <v>65354.960523766626</v>
      </c>
      <c r="F33" s="20"/>
      <c r="G33" s="20"/>
    </row>
    <row r="34" spans="1:9" x14ac:dyDescent="0.2">
      <c r="A34" s="1927" t="s">
        <v>576</v>
      </c>
      <c r="B34" s="1932"/>
      <c r="C34" s="1933">
        <f>SUM(TRunsPRN!D175)</f>
        <v>87760.763230972909</v>
      </c>
      <c r="D34" s="1934">
        <f>SUM(TRunsPRN!D70)</f>
        <v>31911.866238441537</v>
      </c>
      <c r="E34" s="1931">
        <f>SUM(TRunsPRN!D68:D69)-TRunsPRN!D70</f>
        <v>54177.099916383551</v>
      </c>
      <c r="F34" s="20"/>
      <c r="G34" s="20"/>
    </row>
    <row r="35" spans="1:9" x14ac:dyDescent="0.2">
      <c r="A35" s="7"/>
      <c r="B35" s="20"/>
      <c r="C35" s="20"/>
      <c r="D35" s="20"/>
      <c r="E35" s="20"/>
      <c r="F35" s="20"/>
      <c r="G35" s="20"/>
    </row>
    <row r="36" spans="1:9" x14ac:dyDescent="0.2">
      <c r="A36" s="7"/>
      <c r="B36" s="20"/>
      <c r="C36" s="20"/>
      <c r="D36" s="20"/>
      <c r="E36" s="20"/>
      <c r="F36" s="20"/>
      <c r="G36" s="20"/>
    </row>
    <row r="37" spans="1:9" ht="15.75" x14ac:dyDescent="0.25">
      <c r="A37" s="2139"/>
      <c r="B37" s="2132"/>
      <c r="C37" s="2023" t="s">
        <v>577</v>
      </c>
      <c r="D37" s="20"/>
      <c r="E37" s="2140"/>
      <c r="F37" s="2132"/>
      <c r="G37" s="2024"/>
    </row>
    <row r="38" spans="1:9" x14ac:dyDescent="0.2">
      <c r="A38" s="265"/>
      <c r="B38" s="1224"/>
      <c r="C38" s="1526" t="s">
        <v>444</v>
      </c>
      <c r="D38" s="20"/>
      <c r="E38" s="265" t="s">
        <v>578</v>
      </c>
      <c r="G38" s="215"/>
    </row>
    <row r="39" spans="1:9" x14ac:dyDescent="0.2">
      <c r="A39" s="1527" t="s">
        <v>579</v>
      </c>
      <c r="B39" s="1935"/>
      <c r="C39" s="1936" t="s">
        <v>580</v>
      </c>
      <c r="D39" s="20"/>
      <c r="E39" s="265"/>
      <c r="G39" s="215"/>
    </row>
    <row r="40" spans="1:9" x14ac:dyDescent="0.2">
      <c r="A40" s="33"/>
      <c r="B40" s="20"/>
      <c r="C40" s="1522"/>
      <c r="D40" s="20"/>
      <c r="E40" s="2141" t="s">
        <v>581</v>
      </c>
      <c r="F40" s="2132"/>
      <c r="G40" s="2025">
        <v>0.21</v>
      </c>
    </row>
    <row r="41" spans="1:9" x14ac:dyDescent="0.2">
      <c r="A41" s="33"/>
      <c r="B41" s="20"/>
      <c r="C41" s="1522"/>
      <c r="D41" s="20"/>
      <c r="E41" s="1335" t="s">
        <v>582</v>
      </c>
      <c r="G41" s="266">
        <f>E34*G40</f>
        <v>11377.190982440545</v>
      </c>
    </row>
    <row r="42" spans="1:9" ht="15.75" x14ac:dyDescent="0.25">
      <c r="A42" s="1521" t="s">
        <v>583</v>
      </c>
      <c r="B42" s="20"/>
      <c r="C42" s="162">
        <f>SUM(TRunsPRN!D57)</f>
        <v>3969.7234716660787</v>
      </c>
      <c r="D42" s="20"/>
      <c r="E42" s="1336" t="s">
        <v>584</v>
      </c>
      <c r="F42" s="1935"/>
      <c r="G42" s="1937">
        <f>D34+G41</f>
        <v>43289.057220882081</v>
      </c>
    </row>
    <row r="43" spans="1:9" x14ac:dyDescent="0.2">
      <c r="A43" s="1521" t="s">
        <v>585</v>
      </c>
      <c r="B43" s="20"/>
      <c r="C43" s="162">
        <f>SUM(TRunsPRN!D56)</f>
        <v>849.82965175441086</v>
      </c>
      <c r="D43" s="20"/>
    </row>
    <row r="44" spans="1:9" x14ac:dyDescent="0.2">
      <c r="A44" s="33"/>
      <c r="B44" s="20"/>
      <c r="C44" s="162"/>
      <c r="D44" s="6"/>
      <c r="H44" s="6"/>
      <c r="I44" s="6"/>
    </row>
    <row r="45" spans="1:9" x14ac:dyDescent="0.2">
      <c r="A45" s="1521"/>
      <c r="B45" s="20"/>
      <c r="C45" s="162"/>
    </row>
    <row r="46" spans="1:9" x14ac:dyDescent="0.2">
      <c r="A46" s="32" t="s">
        <v>586</v>
      </c>
      <c r="B46" s="20"/>
      <c r="C46" s="162">
        <f>SUM('ColR&amp;OCN&amp;RogKlam'!B11:C11)</f>
        <v>379247.20208269625</v>
      </c>
    </row>
    <row r="47" spans="1:9" x14ac:dyDescent="0.2">
      <c r="A47" s="32" t="s">
        <v>587</v>
      </c>
      <c r="B47" s="6"/>
      <c r="C47" s="162">
        <f>SUM('ColR&amp;OCN&amp;RogKlam'!E11:F11)</f>
        <v>241084.62170392292</v>
      </c>
    </row>
    <row r="48" spans="1:9" x14ac:dyDescent="0.2">
      <c r="A48" s="33" t="s">
        <v>236</v>
      </c>
      <c r="B48" s="6"/>
      <c r="C48" s="162">
        <f>SUM(C46:C47)</f>
        <v>620331.82378661912</v>
      </c>
    </row>
    <row r="49" spans="1:3" x14ac:dyDescent="0.2">
      <c r="A49" s="32"/>
      <c r="B49" s="6"/>
      <c r="C49" s="162"/>
    </row>
    <row r="50" spans="1:3" x14ac:dyDescent="0.2">
      <c r="A50" s="32" t="s">
        <v>588</v>
      </c>
      <c r="C50" s="162">
        <f>TRunsPRN!C71+(TRunsPRN!D71-TRunsPRN!C71)*1.05</f>
        <v>30571.844928384438</v>
      </c>
    </row>
    <row r="51" spans="1:3" x14ac:dyDescent="0.2">
      <c r="A51" s="32" t="s">
        <v>589</v>
      </c>
      <c r="C51" s="162">
        <f>TRunsPRN!C72+(TRunsPRN!D72-TRunsPRN!C72)*1.05</f>
        <v>62132.879182898942</v>
      </c>
    </row>
    <row r="52" spans="1:3" x14ac:dyDescent="0.2">
      <c r="A52" s="32" t="s">
        <v>590</v>
      </c>
      <c r="C52" s="162">
        <f>TRunsPRN!C73+(TRunsPRN!D73-TRunsPRN!C73)*1.05</f>
        <v>105292.6553572532</v>
      </c>
    </row>
    <row r="53" spans="1:3" x14ac:dyDescent="0.2">
      <c r="A53" s="1528" t="s">
        <v>236</v>
      </c>
      <c r="B53" s="1529"/>
      <c r="C53" s="1530">
        <f>SUM(C50:C52)</f>
        <v>197997.37946853659</v>
      </c>
    </row>
    <row r="56" spans="1:3" x14ac:dyDescent="0.2">
      <c r="A56" s="2140" t="s">
        <v>591</v>
      </c>
      <c r="B56" s="2132"/>
      <c r="C56" s="2024"/>
    </row>
    <row r="57" spans="1:3" x14ac:dyDescent="0.2">
      <c r="A57" s="265"/>
      <c r="B57" s="7" t="s">
        <v>592</v>
      </c>
      <c r="C57" s="267">
        <f>SUM('2'!H33,'2'!H39:H61)+SUM('2'!M33,'2'!M39:M61)+SUM('2'!S35,'2'!S39:S61)+SUM('2'!W39:W61)+SUM('2'!AT36:AT61)+SUM('2'!AX39:AX61)</f>
        <v>273998.14770593832</v>
      </c>
    </row>
    <row r="58" spans="1:3" x14ac:dyDescent="0.2">
      <c r="A58" s="265"/>
      <c r="B58" s="7" t="s">
        <v>593</v>
      </c>
      <c r="C58" s="266">
        <f>SUM('2'!H9,'2'!M9,'2'!S9,'2'!W9,'2'!AT9,'2'!AX9)</f>
        <v>283342.85229406168</v>
      </c>
    </row>
    <row r="59" spans="1:3" x14ac:dyDescent="0.2">
      <c r="A59" s="1334"/>
      <c r="B59" s="1518" t="s">
        <v>594</v>
      </c>
      <c r="C59" s="1531">
        <f>SUM(C57:C58)</f>
        <v>557341</v>
      </c>
    </row>
    <row r="159" spans="7:7" x14ac:dyDescent="0.2">
      <c r="G159" s="2">
        <f>SPS!D50*C168</f>
        <v>0</v>
      </c>
    </row>
    <row r="160" spans="7:7" x14ac:dyDescent="0.2">
      <c r="G160" s="2">
        <f>SPS!D50*C169</f>
        <v>0</v>
      </c>
    </row>
    <row r="161" spans="7:12" x14ac:dyDescent="0.2">
      <c r="G161" s="2" t="e">
        <f>SPS!C47/G159</f>
        <v>#DIV/0!</v>
      </c>
    </row>
    <row r="162" spans="7:12" x14ac:dyDescent="0.2">
      <c r="G162" s="2" t="e">
        <f>SPS!C47/G160</f>
        <v>#DIV/0!</v>
      </c>
    </row>
    <row r="164" spans="7:12" x14ac:dyDescent="0.2">
      <c r="K164" s="2">
        <f>IF(SPS!BB39="&gt;&gt;&gt;recalc",0,SPS!BB39)</f>
        <v>0</v>
      </c>
    </row>
    <row r="165" spans="7:12" x14ac:dyDescent="0.2">
      <c r="K165" s="20">
        <f>SPS!BB41</f>
        <v>42871.093106447603</v>
      </c>
    </row>
    <row r="166" spans="7:12" x14ac:dyDescent="0.2">
      <c r="K166" s="2">
        <f>SPS!C47</f>
        <v>0</v>
      </c>
    </row>
    <row r="171" spans="7:12" x14ac:dyDescent="0.2">
      <c r="L171" s="2">
        <f>SUM(SPS!Z36:AC36)*(C170/(1-C170))</f>
        <v>0</v>
      </c>
    </row>
  </sheetData>
  <mergeCells count="1">
    <mergeCell ref="C27:E27"/>
  </mergeCells>
  <phoneticPr fontId="16" type="noConversion"/>
  <pageMargins left="0.27" right="0.39" top="0.57999999999999996" bottom="0.82" header="0.5" footer="0.5"/>
  <pageSetup scale="67"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ransitionEvaluation="1" transitionEntry="1" codeName="Sheet3">
    <pageSetUpPr fitToPage="1"/>
  </sheetPr>
  <dimension ref="A1:AJ165"/>
  <sheetViews>
    <sheetView topLeftCell="A28" zoomScaleNormal="100" workbookViewId="0">
      <selection activeCell="H56" sqref="H56:I56"/>
    </sheetView>
  </sheetViews>
  <sheetFormatPr defaultColWidth="12.5703125" defaultRowHeight="15" x14ac:dyDescent="0.2"/>
  <cols>
    <col min="1" max="1" width="41.5703125" style="2" customWidth="1"/>
    <col min="2" max="4" width="12.5703125" style="2"/>
    <col min="5" max="5" width="15.140625" style="2" customWidth="1"/>
    <col min="6" max="6" width="13.85546875" style="2" customWidth="1"/>
    <col min="7" max="7" width="12.5703125" style="2"/>
    <col min="8" max="8" width="26.85546875" style="2" customWidth="1"/>
    <col min="9" max="9" width="26.140625" style="2" customWidth="1"/>
    <col min="10" max="10" width="12.5703125" style="2"/>
    <col min="11" max="11" width="33.140625" style="2" customWidth="1"/>
    <col min="12" max="13" width="12.5703125" style="2"/>
    <col min="14" max="14" width="16.5703125" style="2" customWidth="1"/>
    <col min="15" max="15" width="39.5703125" style="2" customWidth="1"/>
    <col min="16" max="16" width="12.5703125" style="2"/>
    <col min="17" max="17" width="12.5703125" style="2" customWidth="1"/>
    <col min="18" max="18" width="13.85546875" style="2" hidden="1" customWidth="1"/>
    <col min="19" max="19" width="3.28515625" style="2" hidden="1" customWidth="1"/>
    <col min="20" max="20" width="3" style="2" hidden="1" customWidth="1"/>
    <col min="21" max="21" width="4.5703125" style="2" hidden="1" customWidth="1"/>
    <col min="22" max="22" width="4.85546875" style="2" hidden="1" customWidth="1"/>
    <col min="23" max="24" width="4" style="2" hidden="1" customWidth="1"/>
    <col min="25" max="25" width="6.28515625" style="2" hidden="1" customWidth="1"/>
    <col min="26" max="26" width="0" style="2" hidden="1" customWidth="1"/>
    <col min="27" max="27" width="33.140625" style="2" hidden="1" customWidth="1"/>
    <col min="28" max="32" width="0" style="2" hidden="1" customWidth="1"/>
    <col min="33" max="33" width="13.85546875" style="2" hidden="1" customWidth="1"/>
    <col min="34" max="37" width="0" style="2" hidden="1" customWidth="1"/>
    <col min="38" max="16384" width="12.5703125" style="2"/>
  </cols>
  <sheetData>
    <row r="1" spans="1:36" ht="15.75" x14ac:dyDescent="0.25">
      <c r="A1" s="1" t="s">
        <v>595</v>
      </c>
      <c r="G1" s="6" t="s">
        <v>125</v>
      </c>
      <c r="H1" s="6" t="s">
        <v>125</v>
      </c>
      <c r="I1" s="6" t="s">
        <v>125</v>
      </c>
      <c r="K1" s="1" t="s">
        <v>596</v>
      </c>
      <c r="O1" s="6" t="s">
        <v>125</v>
      </c>
      <c r="P1" s="6" t="s">
        <v>125</v>
      </c>
      <c r="R1" s="1" t="s">
        <v>597</v>
      </c>
      <c r="Y1" s="6" t="s">
        <v>125</v>
      </c>
      <c r="AA1" s="1" t="s">
        <v>598</v>
      </c>
      <c r="AH1" s="6" t="s">
        <v>125</v>
      </c>
      <c r="AJ1" s="2" t="s">
        <v>125</v>
      </c>
    </row>
    <row r="2" spans="1:36" x14ac:dyDescent="0.2">
      <c r="A2" s="2" t="s">
        <v>599</v>
      </c>
      <c r="I2" s="545">
        <f>'1'!$L$2</f>
        <v>44663.592256944445</v>
      </c>
      <c r="K2" s="2" t="s">
        <v>600</v>
      </c>
      <c r="P2" s="545">
        <f>'1'!$L$2</f>
        <v>44663.592256944445</v>
      </c>
      <c r="R2" s="2" t="s">
        <v>601</v>
      </c>
      <c r="Y2" s="545">
        <f ca="1">NOW()</f>
        <v>44773.562242361113</v>
      </c>
      <c r="AA2" s="2" t="s">
        <v>601</v>
      </c>
      <c r="AH2" s="545"/>
      <c r="AI2" s="545"/>
      <c r="AJ2" s="545">
        <f>'1'!$L$2</f>
        <v>44663.592256944445</v>
      </c>
    </row>
    <row r="3" spans="1:36" x14ac:dyDescent="0.2">
      <c r="A3" s="2" t="s">
        <v>602</v>
      </c>
      <c r="B3" s="157" t="str">
        <f>Input_Harvestnew!$B$3</f>
        <v>bc-Coho2229</v>
      </c>
      <c r="I3" s="546">
        <f>'1'!$L$3</f>
        <v>44663.592256944445</v>
      </c>
      <c r="K3" s="7" t="s">
        <v>602</v>
      </c>
      <c r="L3" s="2" t="str">
        <f>Input_Harvestnew!$B$3</f>
        <v>bc-Coho2229</v>
      </c>
      <c r="P3" s="546">
        <f>'1'!$L$3</f>
        <v>44663.592256944445</v>
      </c>
      <c r="R3" s="2" t="s">
        <v>602</v>
      </c>
      <c r="S3" s="2" t="s">
        <v>603</v>
      </c>
      <c r="W3" s="2" t="s">
        <v>604</v>
      </c>
      <c r="X3" s="2" t="s">
        <v>605</v>
      </c>
      <c r="Y3" s="546">
        <f ca="1">NOW()</f>
        <v>44773.562242361113</v>
      </c>
      <c r="AA3" s="2" t="s">
        <v>602</v>
      </c>
      <c r="AF3" s="2" t="s">
        <v>604</v>
      </c>
      <c r="AH3" s="546"/>
      <c r="AI3" s="546"/>
      <c r="AJ3" s="546">
        <f>'1'!$L$3</f>
        <v>44663.592256944445</v>
      </c>
    </row>
    <row r="4" spans="1:36" x14ac:dyDescent="0.2">
      <c r="A4" s="2" t="s">
        <v>123</v>
      </c>
      <c r="B4" s="2" t="str">
        <f>Input_Harvestnew!$B$4</f>
        <v>Final PFMC April - Adopted+NOF</v>
      </c>
      <c r="K4" s="7" t="s">
        <v>123</v>
      </c>
      <c r="L4" s="2" t="str">
        <f>Input_Harvestnew!$B$4</f>
        <v>Final PFMC April - Adopted+NOF</v>
      </c>
      <c r="R4" s="2" t="s">
        <v>123</v>
      </c>
      <c r="S4" s="2" t="s">
        <v>606</v>
      </c>
      <c r="W4" s="2" t="s">
        <v>607</v>
      </c>
      <c r="X4" s="2" t="s">
        <v>608</v>
      </c>
      <c r="AA4" s="2" t="s">
        <v>123</v>
      </c>
      <c r="AF4" s="2" t="s">
        <v>607</v>
      </c>
    </row>
    <row r="5" spans="1:36" x14ac:dyDescent="0.2">
      <c r="A5" s="6" t="s">
        <v>125</v>
      </c>
      <c r="B5" s="6" t="s">
        <v>125</v>
      </c>
      <c r="C5" s="6" t="s">
        <v>125</v>
      </c>
      <c r="D5" s="6" t="s">
        <v>125</v>
      </c>
      <c r="E5" s="6" t="s">
        <v>125</v>
      </c>
      <c r="F5" s="6" t="s">
        <v>125</v>
      </c>
      <c r="G5" s="6" t="s">
        <v>125</v>
      </c>
      <c r="H5" s="6" t="s">
        <v>125</v>
      </c>
      <c r="I5" s="6" t="s">
        <v>125</v>
      </c>
      <c r="K5" s="6" t="s">
        <v>125</v>
      </c>
      <c r="L5" s="6" t="s">
        <v>125</v>
      </c>
      <c r="M5" s="6"/>
      <c r="N5" s="6" t="s">
        <v>125</v>
      </c>
      <c r="O5" s="6" t="s">
        <v>125</v>
      </c>
      <c r="P5" s="6" t="s">
        <v>125</v>
      </c>
      <c r="R5" s="6" t="s">
        <v>125</v>
      </c>
      <c r="S5" s="6" t="s">
        <v>125</v>
      </c>
      <c r="T5" s="6" t="s">
        <v>125</v>
      </c>
      <c r="U5" s="6" t="s">
        <v>125</v>
      </c>
      <c r="V5" s="6" t="s">
        <v>125</v>
      </c>
      <c r="W5" s="6" t="s">
        <v>125</v>
      </c>
      <c r="X5" s="6" t="s">
        <v>125</v>
      </c>
      <c r="Y5" s="6" t="s">
        <v>125</v>
      </c>
      <c r="AA5" s="6" t="s">
        <v>125</v>
      </c>
      <c r="AB5" s="6" t="s">
        <v>125</v>
      </c>
      <c r="AC5" s="6" t="s">
        <v>125</v>
      </c>
      <c r="AD5" s="6" t="s">
        <v>125</v>
      </c>
      <c r="AE5" s="6" t="s">
        <v>125</v>
      </c>
      <c r="AF5" s="6" t="s">
        <v>125</v>
      </c>
      <c r="AG5" s="6" t="s">
        <v>125</v>
      </c>
      <c r="AH5" s="6" t="s">
        <v>125</v>
      </c>
      <c r="AI5" s="6" t="s">
        <v>125</v>
      </c>
      <c r="AJ5" s="6" t="s">
        <v>125</v>
      </c>
    </row>
    <row r="6" spans="1:36" ht="15.75" x14ac:dyDescent="0.25">
      <c r="B6" s="1224" t="s">
        <v>609</v>
      </c>
      <c r="C6" s="7" t="s">
        <v>610</v>
      </c>
      <c r="E6" s="1224" t="s">
        <v>201</v>
      </c>
      <c r="F6" s="1224" t="s">
        <v>611</v>
      </c>
      <c r="G6" s="1224" t="s">
        <v>612</v>
      </c>
      <c r="H6" s="2" t="s">
        <v>613</v>
      </c>
      <c r="L6" s="2142" t="s">
        <v>614</v>
      </c>
      <c r="M6" s="2142" t="s">
        <v>615</v>
      </c>
      <c r="N6" s="2142" t="s">
        <v>616</v>
      </c>
      <c r="AA6" s="168" t="s">
        <v>617</v>
      </c>
      <c r="AJ6" s="2" t="s">
        <v>618</v>
      </c>
    </row>
    <row r="7" spans="1:36" ht="15.75" x14ac:dyDescent="0.25">
      <c r="A7" s="2" t="s">
        <v>619</v>
      </c>
      <c r="B7" s="1532"/>
      <c r="C7" s="20"/>
      <c r="E7" s="20"/>
      <c r="F7" s="20"/>
      <c r="G7" s="1094">
        <f>SUM('7'!C13)</f>
        <v>86262</v>
      </c>
      <c r="H7" s="2" t="s">
        <v>620</v>
      </c>
      <c r="K7" s="1533" t="s">
        <v>621</v>
      </c>
      <c r="L7" s="1534" t="s">
        <v>622</v>
      </c>
      <c r="M7" s="1534" t="s">
        <v>622</v>
      </c>
      <c r="N7" s="1534" t="s">
        <v>623</v>
      </c>
      <c r="O7" s="1534" t="s">
        <v>624</v>
      </c>
      <c r="S7" s="7" t="s">
        <v>174</v>
      </c>
      <c r="T7" s="7" t="s">
        <v>170</v>
      </c>
      <c r="U7" s="7" t="s">
        <v>171</v>
      </c>
      <c r="V7" s="7" t="s">
        <v>172</v>
      </c>
      <c r="W7" s="7" t="s">
        <v>625</v>
      </c>
      <c r="X7" s="7" t="s">
        <v>626</v>
      </c>
      <c r="Y7" s="7" t="s">
        <v>627</v>
      </c>
      <c r="AA7" s="1"/>
      <c r="AB7" s="2" t="s">
        <v>236</v>
      </c>
      <c r="AC7" s="2" t="s">
        <v>628</v>
      </c>
      <c r="AE7" s="2" t="s">
        <v>628</v>
      </c>
      <c r="AJ7" s="2" t="s">
        <v>629</v>
      </c>
    </row>
    <row r="8" spans="1:36" x14ac:dyDescent="0.2">
      <c r="A8" s="6" t="s">
        <v>129</v>
      </c>
      <c r="B8" s="6" t="s">
        <v>129</v>
      </c>
      <c r="C8" s="6" t="s">
        <v>129</v>
      </c>
      <c r="D8" s="6" t="s">
        <v>129</v>
      </c>
      <c r="E8" s="6" t="s">
        <v>129</v>
      </c>
      <c r="F8" s="6" t="s">
        <v>129</v>
      </c>
      <c r="G8" s="6" t="s">
        <v>129</v>
      </c>
      <c r="H8" s="6" t="s">
        <v>129</v>
      </c>
      <c r="I8" s="6" t="s">
        <v>129</v>
      </c>
      <c r="R8" s="2" t="s">
        <v>630</v>
      </c>
      <c r="S8" s="1063" t="e">
        <f>SUM(S17:S22)</f>
        <v>#REF!</v>
      </c>
      <c r="T8" s="1535" t="s">
        <v>297</v>
      </c>
      <c r="U8" s="1063" t="e">
        <f>SUM(U17:U22)</f>
        <v>#REF!</v>
      </c>
      <c r="V8" s="1063" t="e">
        <f>SUM(V17:V22)</f>
        <v>#REF!</v>
      </c>
      <c r="W8" s="1063" t="e">
        <f>SUM(W17:W22)</f>
        <v>#REF!</v>
      </c>
      <c r="X8" s="1535" t="s">
        <v>297</v>
      </c>
      <c r="Y8" s="1535" t="s">
        <v>297</v>
      </c>
      <c r="AB8" s="2" t="s">
        <v>631</v>
      </c>
      <c r="AC8" s="2" t="s">
        <v>632</v>
      </c>
      <c r="AD8" s="2" t="s">
        <v>542</v>
      </c>
      <c r="AE8" s="2" t="s">
        <v>542</v>
      </c>
      <c r="AF8" s="2" t="s">
        <v>628</v>
      </c>
      <c r="AG8" s="2" t="s">
        <v>236</v>
      </c>
      <c r="AH8" s="2" t="s">
        <v>628</v>
      </c>
      <c r="AI8" s="2" t="s">
        <v>633</v>
      </c>
      <c r="AJ8" s="2" t="s">
        <v>542</v>
      </c>
    </row>
    <row r="9" spans="1:36" ht="15.75" x14ac:dyDescent="0.25">
      <c r="A9" s="1" t="s">
        <v>634</v>
      </c>
      <c r="K9" s="1495" t="s">
        <v>635</v>
      </c>
      <c r="R9" s="2" t="s">
        <v>636</v>
      </c>
      <c r="S9" s="1063" t="e">
        <f>SUM(S25:S31)</f>
        <v>#REF!</v>
      </c>
      <c r="T9" s="1535" t="s">
        <v>297</v>
      </c>
      <c r="U9" s="1063" t="e">
        <f>SUM(U25:U31)</f>
        <v>#REF!</v>
      </c>
      <c r="V9" s="1063" t="e">
        <f>SUM(V25:V31)</f>
        <v>#REF!</v>
      </c>
      <c r="W9" s="1063" t="e">
        <f>SUM(W25:W31)</f>
        <v>#REF!</v>
      </c>
      <c r="X9" s="1535" t="s">
        <v>297</v>
      </c>
      <c r="Y9" s="1535" t="s">
        <v>297</v>
      </c>
      <c r="AA9" s="2" t="s">
        <v>637</v>
      </c>
      <c r="AB9" s="2" t="s">
        <v>638</v>
      </c>
      <c r="AC9" s="2" t="s">
        <v>639</v>
      </c>
      <c r="AD9" s="2" t="s">
        <v>640</v>
      </c>
      <c r="AE9" s="2" t="s">
        <v>641</v>
      </c>
      <c r="AF9" s="2" t="s">
        <v>642</v>
      </c>
      <c r="AG9" s="2" t="s">
        <v>643</v>
      </c>
      <c r="AH9" s="2" t="s">
        <v>644</v>
      </c>
      <c r="AI9" s="2" t="s">
        <v>645</v>
      </c>
      <c r="AJ9" s="2" t="s">
        <v>646</v>
      </c>
    </row>
    <row r="10" spans="1:36" ht="15.75" x14ac:dyDescent="0.25">
      <c r="B10" s="1224" t="s">
        <v>176</v>
      </c>
      <c r="C10" s="1224" t="s">
        <v>495</v>
      </c>
      <c r="D10" s="1224" t="s">
        <v>174</v>
      </c>
      <c r="E10" s="1224" t="s">
        <v>647</v>
      </c>
      <c r="F10" s="1224" t="s">
        <v>648</v>
      </c>
      <c r="G10" s="1224" t="s">
        <v>649</v>
      </c>
      <c r="K10" s="2" t="s">
        <v>650</v>
      </c>
      <c r="L10" s="2" t="str">
        <f>Input_Harvestnew!C14</f>
        <v>PK 4/10/2022</v>
      </c>
      <c r="O10" s="1"/>
      <c r="T10" s="2" t="s">
        <v>651</v>
      </c>
      <c r="AA10" s="6" t="s">
        <v>125</v>
      </c>
      <c r="AB10" s="6" t="s">
        <v>125</v>
      </c>
      <c r="AC10" s="6" t="s">
        <v>125</v>
      </c>
      <c r="AD10" s="6" t="s">
        <v>125</v>
      </c>
      <c r="AE10" s="6" t="s">
        <v>125</v>
      </c>
      <c r="AF10" s="6" t="s">
        <v>125</v>
      </c>
      <c r="AG10" s="6" t="s">
        <v>125</v>
      </c>
      <c r="AH10" s="6" t="s">
        <v>125</v>
      </c>
      <c r="AI10" s="6" t="s">
        <v>125</v>
      </c>
      <c r="AJ10" s="6" t="s">
        <v>125</v>
      </c>
    </row>
    <row r="11" spans="1:36" ht="15.75" x14ac:dyDescent="0.25">
      <c r="A11" s="1224" t="s">
        <v>233</v>
      </c>
      <c r="B11" s="7" t="s">
        <v>652</v>
      </c>
      <c r="C11" s="7" t="s">
        <v>652</v>
      </c>
      <c r="D11" s="7" t="s">
        <v>652</v>
      </c>
      <c r="E11" s="1224" t="s">
        <v>649</v>
      </c>
      <c r="F11" s="1224" t="s">
        <v>649</v>
      </c>
      <c r="G11" s="1224" t="s">
        <v>174</v>
      </c>
      <c r="H11" s="1"/>
      <c r="K11" s="2" t="s">
        <v>653</v>
      </c>
      <c r="O11" s="2" t="str">
        <f>Input_Harvestnew!C14</f>
        <v>PK 4/10/2022</v>
      </c>
      <c r="AA11" s="2" t="s">
        <v>654</v>
      </c>
      <c r="AH11" s="20">
        <f>SUM('2'!E9)</f>
        <v>45869.214207404264</v>
      </c>
    </row>
    <row r="12" spans="1:36" x14ac:dyDescent="0.2">
      <c r="K12" s="2" t="s">
        <v>655</v>
      </c>
      <c r="L12" s="867">
        <f>SUM(Input_Harvestnew!C16)</f>
        <v>0</v>
      </c>
      <c r="M12" s="867">
        <f>SUM(Input_Harvestnew!E16)</f>
        <v>0</v>
      </c>
      <c r="N12" s="2" t="str">
        <f>Input_Harvestnew!G16</f>
        <v>%TAA</v>
      </c>
      <c r="O12" s="1049" t="str">
        <f>Input_Harvestnew!H16</f>
        <v>Spring Chinook: Swinomish wks 18-21: 7,6,4,2. USIT no fishery.  No S/F directed fisheries.</v>
      </c>
      <c r="R12" s="2" t="s">
        <v>656</v>
      </c>
      <c r="AA12" s="2" t="s">
        <v>657</v>
      </c>
      <c r="AB12" s="20"/>
      <c r="AC12" s="20"/>
      <c r="AD12" s="20"/>
      <c r="AE12" s="20"/>
      <c r="AF12" s="20"/>
      <c r="AG12" s="20"/>
      <c r="AH12" s="1096">
        <f>SUM(TRunsPRN!D104)-(Sk!F37-Sk!C37)</f>
        <v>8360.5339091916776</v>
      </c>
      <c r="AJ12" s="20"/>
    </row>
    <row r="13" spans="1:36" x14ac:dyDescent="0.2">
      <c r="A13" s="2" t="s">
        <v>655</v>
      </c>
      <c r="B13" s="1094">
        <f>'2'!$E$49*((Input_Harvestnew!C16+Input_Harvestnew!E16)/(SUM(Input_Harvestnew!$C$16:$C$21)+SUM(Input_Harvestnew!$E$16:$E$21)))</f>
        <v>0</v>
      </c>
      <c r="C13" s="1094">
        <f>IF(SUM(Input_Harvestnew!C36:C39)=0,0,'2'!$E$48*((Input_Harvestnew!$C36+Input_Harvestnew!$E36)/(SUM(Input_Harvestnew!$C$36:$C$39)+SUM(Input_Harvestnew!$E$36:$E$39))))</f>
        <v>0</v>
      </c>
      <c r="D13" s="1094">
        <f t="shared" ref="D13:D18" si="0">SUM(B13:C13)</f>
        <v>0</v>
      </c>
      <c r="E13" s="1094">
        <f>'2'!$D$49*((Input_Harvestnew!C16+Input_Harvestnew!E16)/((SUM(Input_Harvestnew!$C$16:$C$21)+SUM(Input_Harvestnew!$E$16:$E$21))))</f>
        <v>0</v>
      </c>
      <c r="F13" s="1094">
        <f>IF(SUM(Input_Harvestnew!C36:C39)=0,0,'2'!$D$48*((Input_Harvestnew!$C36+Input_Harvestnew!$E36)/(SUM(Input_Harvestnew!$C$36:$C$39)+SUM(Input_Harvestnew!$E$36:$E$39))))</f>
        <v>0</v>
      </c>
      <c r="G13" s="1094">
        <f t="shared" ref="G13:G18" si="1">SUM(E13:F13)</f>
        <v>0</v>
      </c>
      <c r="H13" s="702" t="str">
        <f>Input_Harvestnew!H16</f>
        <v>Spring Chinook: Swinomish wks 18-21: 7,6,4,2. USIT no fishery.  No S/F directed fisheries.</v>
      </c>
      <c r="I13" s="702">
        <f>Input_Harvestnew!H36</f>
        <v>0</v>
      </c>
      <c r="K13" s="2" t="s">
        <v>658</v>
      </c>
      <c r="L13" s="867">
        <f>SUM(Input_Harvestnew!C17)</f>
        <v>0</v>
      </c>
      <c r="M13" s="867">
        <f>SUM(Input_Harvestnew!E17)</f>
        <v>0</v>
      </c>
      <c r="N13" s="2" t="str">
        <f>Input_Harvestnew!G17</f>
        <v>%TAA</v>
      </c>
      <c r="O13" s="1049" t="str">
        <f>Input_Harvestnew!H17</f>
        <v>Swin wks 26-29: 3.833,5,5,4; USIT No fishery scheduled</v>
      </c>
      <c r="AB13" s="20"/>
      <c r="AC13" s="20"/>
      <c r="AD13" s="20"/>
      <c r="AE13" s="20"/>
      <c r="AF13" s="20"/>
      <c r="AG13" s="20"/>
      <c r="AH13" s="20"/>
      <c r="AI13" s="1063"/>
      <c r="AJ13" s="20"/>
    </row>
    <row r="14" spans="1:36" x14ac:dyDescent="0.2">
      <c r="A14" s="2" t="s">
        <v>658</v>
      </c>
      <c r="B14" s="1094">
        <f>'2'!$E$49*((Input_Harvestnew!C17+Input_Harvestnew!E17)/(SUM(Input_Harvestnew!$C$16:$C$21)+SUM(Input_Harvestnew!$E$16:$E$21)))</f>
        <v>0</v>
      </c>
      <c r="C14" s="1094">
        <f>IF(SUM(Input_Harvestnew!C36:C39)=0,0,'2'!$E$48*((Input_Harvestnew!C37+Input_Harvestnew!E37)/(SUM(Input_Harvestnew!$C$36:$C$39)+SUM(Input_Harvestnew!$E$36:$E$39))))</f>
        <v>0</v>
      </c>
      <c r="D14" s="1094">
        <f t="shared" si="0"/>
        <v>0</v>
      </c>
      <c r="E14" s="1094">
        <f>'2'!$D$49*((Input_Harvestnew!C17+Input_Harvestnew!E17)/((SUM(Input_Harvestnew!$C$16:$C$21)+SUM(Input_Harvestnew!$E$16:$E$21))))</f>
        <v>0</v>
      </c>
      <c r="F14" s="1094">
        <f>IF(SUM(Input_Harvestnew!C36:C39)=0,0,'2'!$D$48*((Input_Harvestnew!$C37+Input_Harvestnew!$E37)/(SUM(Input_Harvestnew!$C$36:$C$39)+SUM(Input_Harvestnew!$E$36:$E$39))))</f>
        <v>0</v>
      </c>
      <c r="G14" s="1094">
        <f t="shared" si="1"/>
        <v>0</v>
      </c>
      <c r="H14" s="1049" t="str">
        <f>Input_Harvestnew!H17</f>
        <v>Swin wks 26-29: 3.833,5,5,4; USIT No fishery scheduled</v>
      </c>
      <c r="I14" s="5"/>
      <c r="K14" s="2" t="s">
        <v>659</v>
      </c>
      <c r="L14" s="867">
        <f>SUM(Input_Harvestnew!C18)</f>
        <v>0</v>
      </c>
      <c r="M14" s="867">
        <f>SUM(Input_Harvestnew!E18)</f>
        <v>0</v>
      </c>
      <c r="N14" s="2" t="str">
        <f>Input_Harvestnew!G18</f>
        <v>%TAA</v>
      </c>
      <c r="O14" s="1049" t="str">
        <f>Input_Harvestnew!H18</f>
        <v>Swin no fishery.  USIT no fishery</v>
      </c>
      <c r="S14" s="7" t="s">
        <v>174</v>
      </c>
      <c r="T14" s="7" t="s">
        <v>170</v>
      </c>
      <c r="U14" s="7" t="s">
        <v>171</v>
      </c>
      <c r="V14" s="7" t="s">
        <v>172</v>
      </c>
      <c r="W14" s="7" t="s">
        <v>625</v>
      </c>
      <c r="X14" s="7" t="s">
        <v>626</v>
      </c>
      <c r="Y14" s="7" t="s">
        <v>627</v>
      </c>
      <c r="AB14" s="20"/>
      <c r="AC14" s="20"/>
      <c r="AD14" s="20"/>
      <c r="AE14" s="20"/>
      <c r="AF14" s="20"/>
      <c r="AG14" s="20"/>
      <c r="AH14" s="20"/>
      <c r="AI14" s="1063"/>
      <c r="AJ14" s="20"/>
    </row>
    <row r="15" spans="1:36" x14ac:dyDescent="0.2">
      <c r="A15" s="2" t="s">
        <v>659</v>
      </c>
      <c r="B15" s="1094">
        <f>'2'!$E$49*((Input_Harvestnew!C18+Input_Harvestnew!E18)/(SUM(Input_Harvestnew!$C$16:$C$21)+SUM(Input_Harvestnew!$E$16:$E$21)))</f>
        <v>0</v>
      </c>
      <c r="C15" s="1094">
        <f>IF(SUM(Input_Harvestnew!C36:C39)=0,0,'2'!$E$48*((Input_Harvestnew!C38+Input_Harvestnew!E38)/(SUM(Input_Harvestnew!$C$36:$C$39)+SUM(Input_Harvestnew!$E$36:$E$39))))</f>
        <v>0</v>
      </c>
      <c r="D15" s="1094">
        <f t="shared" si="0"/>
        <v>0</v>
      </c>
      <c r="E15" s="1094">
        <f>'2'!$D$49*((Input_Harvestnew!C18+Input_Harvestnew!E18)/((SUM(Input_Harvestnew!$C$16:$C$21)+SUM(Input_Harvestnew!$E$16:$E$21))))</f>
        <v>0</v>
      </c>
      <c r="F15" s="1094">
        <f>IF(SUM(Input_Harvestnew!C36:C39)=0,0,'2'!$D$48*((Input_Harvestnew!$C38+Input_Harvestnew!$E38)/(SUM(Input_Harvestnew!$C$36:$C$39)+SUM(Input_Harvestnew!$E$36:$E$39))))</f>
        <v>0</v>
      </c>
      <c r="G15" s="1094">
        <f t="shared" si="1"/>
        <v>0</v>
      </c>
      <c r="H15" s="1049" t="str">
        <f>Input_Harvestnew!H18</f>
        <v>Swin no fishery.  USIT no fishery</v>
      </c>
      <c r="I15" s="5"/>
      <c r="K15" s="2" t="s">
        <v>660</v>
      </c>
      <c r="L15" s="867">
        <f>SUM(Input_Harvestnew!C19)</f>
        <v>5.1741203170050185E-3</v>
      </c>
      <c r="M15" s="867">
        <f>SUM(Input_Harvestnew!E19)</f>
        <v>2.406307701246467E-3</v>
      </c>
      <c r="N15" s="2" t="str">
        <f>Input_Harvestnew!G19</f>
        <v>%TAA</v>
      </c>
      <c r="O15" s="2" t="str">
        <f>Input_Harvestnew!H19</f>
        <v>Swin wks 38-41: 2.375,3,2,1.5.  USIT no fishery.</v>
      </c>
      <c r="R15" s="2" t="s">
        <v>661</v>
      </c>
      <c r="AB15" s="20"/>
      <c r="AC15" s="20"/>
      <c r="AD15" s="20"/>
      <c r="AE15" s="20"/>
      <c r="AF15" s="20"/>
      <c r="AG15" s="20"/>
      <c r="AH15" s="20"/>
      <c r="AI15" s="1063"/>
      <c r="AJ15" s="20"/>
    </row>
    <row r="16" spans="1:36" x14ac:dyDescent="0.2">
      <c r="A16" s="2" t="s">
        <v>660</v>
      </c>
      <c r="B16" s="1094">
        <f>'2'!$E$49*((Input_Harvestnew!C19+Input_Harvestnew!E19)/(SUM(Input_Harvestnew!$C$16:$C$21)+SUM(Input_Harvestnew!$E$16:$E$21)))</f>
        <v>500</v>
      </c>
      <c r="C16" s="1094">
        <f>IF(SUM(Input_Harvestnew!C35:C38)=0,0,'2'!$E$48*((Input_Harvestnew!C38+Input_Harvestnew!E38)/(SUM(Input_Harvestnew!$C$36:$C$39)+SUM(Input_Harvestnew!$E$36:$E$39))))</f>
        <v>0</v>
      </c>
      <c r="D16" s="1094">
        <f t="shared" si="0"/>
        <v>500</v>
      </c>
      <c r="E16" s="1094">
        <f>'2'!$D$49*((Input_Harvestnew!C19+Input_Harvestnew!E19)/((SUM(Input_Harvestnew!$C$16:$C$21)+SUM(Input_Harvestnew!$E$16:$E$21))))</f>
        <v>647</v>
      </c>
      <c r="F16" s="1094">
        <f>IF(SUM(Input_Harvestnew!C35:C38)=0,0,'2'!$D$48*((Input_Harvestnew!$C38+Input_Harvestnew!$E38)/(SUM(Input_Harvestnew!$C$36:$C$39)+SUM(Input_Harvestnew!$E$36:$E$39))))</f>
        <v>0</v>
      </c>
      <c r="G16" s="1094">
        <f t="shared" si="1"/>
        <v>647</v>
      </c>
      <c r="H16" s="1049" t="str">
        <f>Input_Harvestnew!H19</f>
        <v>Swin wks 38-41: 2.375,3,2,1.5.  USIT no fishery.</v>
      </c>
      <c r="I16" s="5"/>
      <c r="K16" s="2" t="s">
        <v>662</v>
      </c>
      <c r="L16" s="867">
        <f>SUM(Input_Harvestnew!C20)</f>
        <v>0</v>
      </c>
      <c r="M16" s="867">
        <f>SUM(Input_Harvestnew!E20)</f>
        <v>0</v>
      </c>
      <c r="N16" s="2" t="str">
        <f>Input_Harvestnew!G20</f>
        <v>%TAA</v>
      </c>
      <c r="O16" s="2" t="str">
        <f>Input_Harvestnew!H20</f>
        <v>No fisheries for Swin or USIT</v>
      </c>
      <c r="AB16" s="20"/>
      <c r="AC16" s="20"/>
      <c r="AD16" s="20"/>
      <c r="AE16" s="20"/>
      <c r="AF16" s="20"/>
      <c r="AG16" s="20"/>
      <c r="AH16" s="20"/>
      <c r="AI16" s="1063"/>
      <c r="AJ16" s="20"/>
    </row>
    <row r="17" spans="1:36" x14ac:dyDescent="0.2">
      <c r="A17" s="2" t="s">
        <v>662</v>
      </c>
      <c r="B17" s="1094">
        <f>'2'!$E$49*((Input_Harvestnew!C20+Input_Harvestnew!E20)/(SUM(Input_Harvestnew!$C$16:$C$21)+SUM(Input_Harvestnew!$E$16:$E$21)))</f>
        <v>0</v>
      </c>
      <c r="C17" s="1094">
        <f>IF(SUM(Input_Harvestnew!C36:C39)=0,0,'2'!$E$48*((Input_Harvestnew!C39+Input_Harvestnew!E39)/(SUM(Input_Harvestnew!$C$36:$C$39)+SUM(Input_Harvestnew!$E$36:$E$39))))</f>
        <v>0</v>
      </c>
      <c r="D17" s="1094">
        <f t="shared" si="0"/>
        <v>0</v>
      </c>
      <c r="E17" s="1094">
        <f>'2'!$D$49*((Input_Harvestnew!C20+Input_Harvestnew!E20)/((SUM(Input_Harvestnew!$C$16:$C$21)+SUM(Input_Harvestnew!$E$16:$E$21))))</f>
        <v>0</v>
      </c>
      <c r="F17" s="1094">
        <f>IF(SUM(Input_Harvestnew!C36:C39)=0,0,'2'!$D$48*((Input_Harvestnew!$C39+Input_Harvestnew!$E39)/(SUM(Input_Harvestnew!$C$36:$C$39)+SUM(Input_Harvestnew!$E$36:$E$39))))</f>
        <v>0</v>
      </c>
      <c r="G17" s="1094">
        <f t="shared" si="1"/>
        <v>0</v>
      </c>
      <c r="H17" s="1049" t="str">
        <f>Input_Harvestnew!H20</f>
        <v>No fisheries for Swin or USIT</v>
      </c>
      <c r="I17" s="5"/>
      <c r="K17" s="2" t="s">
        <v>663</v>
      </c>
      <c r="L17" s="867">
        <f>SUM(Input_Harvestnew!C21)</f>
        <v>0</v>
      </c>
      <c r="M17" s="867">
        <f>SUM(Input_Harvestnew!E21)</f>
        <v>0</v>
      </c>
      <c r="N17" s="2" t="str">
        <f>Input_Harvestnew!G21</f>
        <v>%TAA</v>
      </c>
      <c r="O17" s="2" t="str">
        <f>Input_Harvestnew!H21</f>
        <v>No fisheries for Swin or USIT</v>
      </c>
      <c r="R17" s="7" t="s">
        <v>664</v>
      </c>
      <c r="S17" s="1536" t="e">
        <f>SUM(T17:Y17)</f>
        <v>#REF!</v>
      </c>
      <c r="T17" s="1537" t="s">
        <v>297</v>
      </c>
      <c r="U17" s="1536" t="e">
        <f>Input_Harvestnew!$C37*Input_Harvestnew!#REF!</f>
        <v>#REF!</v>
      </c>
      <c r="V17" s="1536" t="e">
        <f>Input_Harvestnew!$C37*Input_Harvestnew!#REF!</f>
        <v>#REF!</v>
      </c>
      <c r="W17" s="1536" t="e">
        <f>Input_Harvestnew!$C37*Input_Harvestnew!#REF!</f>
        <v>#REF!</v>
      </c>
      <c r="X17" s="1537" t="s">
        <v>297</v>
      </c>
      <c r="Y17" s="1537" t="s">
        <v>297</v>
      </c>
      <c r="AB17" s="20"/>
      <c r="AC17" s="20"/>
      <c r="AD17" s="20"/>
      <c r="AJ17" s="20"/>
    </row>
    <row r="18" spans="1:36" x14ac:dyDescent="0.2">
      <c r="A18" s="2" t="s">
        <v>663</v>
      </c>
      <c r="B18" s="1094">
        <f>'2'!$E$49*((Input_Harvestnew!C21+Input_Harvestnew!E21)/(SUM(Input_Harvestnew!$C$16:$C$21)+SUM(Input_Harvestnew!$E$16:$E$21)))</f>
        <v>0</v>
      </c>
      <c r="C18" s="1538" t="s">
        <v>297</v>
      </c>
      <c r="D18" s="1094">
        <f t="shared" si="0"/>
        <v>0</v>
      </c>
      <c r="E18" s="1094">
        <f>'2'!$D$49*(Input_Harvestnew!C21/(SUM(Input_Harvestnew!$C$16:$C$21)))</f>
        <v>0</v>
      </c>
      <c r="F18" s="1538" t="s">
        <v>297</v>
      </c>
      <c r="G18" s="1094">
        <f t="shared" si="1"/>
        <v>0</v>
      </c>
      <c r="H18" s="2" t="str">
        <f>Input_Harvestnew!H21</f>
        <v>No fisheries for Swin or USIT</v>
      </c>
      <c r="I18" s="5"/>
      <c r="K18" s="2" t="s">
        <v>665</v>
      </c>
      <c r="L18" s="2">
        <f>Input_Harvestnew!C22</f>
        <v>0</v>
      </c>
      <c r="M18" s="2">
        <f>SUM(Input_Harvestnew!E22)</f>
        <v>4.0138572101312535</v>
      </c>
      <c r="N18" s="2" t="str">
        <f>Input_Harvestnew!G22</f>
        <v>Catch</v>
      </c>
      <c r="O18" s="1049" t="str">
        <f>Input_Harvestnew!H22</f>
        <v xml:space="preserve"> WK 44-45 Bay and Jetty chum tests 1,1.</v>
      </c>
      <c r="R18" s="7" t="s">
        <v>666</v>
      </c>
      <c r="S18" s="1536" t="e">
        <f>SUM(T18:Y18)</f>
        <v>#REF!</v>
      </c>
      <c r="T18" s="1537" t="s">
        <v>297</v>
      </c>
      <c r="U18" s="1536" t="e">
        <f>Input_Harvestnew!$C38*Input_Harvestnew!#REF!</f>
        <v>#REF!</v>
      </c>
      <c r="V18" s="1536" t="e">
        <f>Input_Harvestnew!$C38*Input_Harvestnew!#REF!</f>
        <v>#REF!</v>
      </c>
      <c r="W18" s="1536" t="e">
        <f>Input_Harvestnew!$C38*Input_Harvestnew!#REF!</f>
        <v>#REF!</v>
      </c>
      <c r="X18" s="1537" t="s">
        <v>297</v>
      </c>
      <c r="Y18" s="1537" t="s">
        <v>297</v>
      </c>
      <c r="AE18" s="20"/>
      <c r="AF18" s="20"/>
      <c r="AJ18" s="20"/>
    </row>
    <row r="19" spans="1:36" x14ac:dyDescent="0.2">
      <c r="A19" s="2" t="s">
        <v>665</v>
      </c>
      <c r="B19" s="1538" t="s">
        <v>297</v>
      </c>
      <c r="C19" s="1538" t="s">
        <v>297</v>
      </c>
      <c r="D19" s="1539">
        <f>SUM('2'!$E$61)*(Input_Harvestnew!$C$22+Input_Harvestnew!$E$22)/(Input_Harvestnew!$C$32+Input_Harvestnew!$C$22+Input_Harvestnew!$E$22+Input_Harvestnew!$E$32)</f>
        <v>3.1173131370462608</v>
      </c>
      <c r="E19" s="1098" t="s">
        <v>297</v>
      </c>
      <c r="F19" s="1538" t="s">
        <v>297</v>
      </c>
      <c r="G19" s="1539">
        <f>SUM('2'!$H$61)*(Input_Harvestnew!$C$22+Input_Harvestnew!$E$22)/(Input_Harvestnew!$C$32+Input_Harvestnew!$C$22+Input_Harvestnew!$E$22+Input_Harvestnew!$E$32)</f>
        <v>4.0941670233096055</v>
      </c>
      <c r="H19" s="702" t="str">
        <f>Input_Harvestnew!H22</f>
        <v xml:space="preserve"> WK 44-45 Bay and Jetty chum tests 1,1.</v>
      </c>
      <c r="I19" s="5"/>
      <c r="R19" s="7" t="s">
        <v>667</v>
      </c>
      <c r="S19" s="1536" t="e">
        <f>SUM(T19:Y19)</f>
        <v>#REF!</v>
      </c>
      <c r="T19" s="1537" t="s">
        <v>297</v>
      </c>
      <c r="U19" s="1536" t="e">
        <f>Input_Harvestnew!$C39*Input_Harvestnew!#REF!</f>
        <v>#REF!</v>
      </c>
      <c r="V19" s="1536" t="e">
        <f>Input_Harvestnew!$C39*Input_Harvestnew!#REF!</f>
        <v>#REF!</v>
      </c>
      <c r="W19" s="1536" t="e">
        <f>Input_Harvestnew!$C39*Input_Harvestnew!#REF!</f>
        <v>#REF!</v>
      </c>
      <c r="X19" s="1537" t="s">
        <v>297</v>
      </c>
      <c r="Y19" s="1537" t="s">
        <v>297</v>
      </c>
      <c r="AB19" s="20"/>
      <c r="AD19" s="20"/>
    </row>
    <row r="20" spans="1:36" x14ac:dyDescent="0.2">
      <c r="A20" s="7" t="s">
        <v>668</v>
      </c>
      <c r="B20" s="20">
        <f t="shared" ref="B20:G20" si="2">SUM(B13:B19)</f>
        <v>500</v>
      </c>
      <c r="C20" s="20">
        <f t="shared" si="2"/>
        <v>0</v>
      </c>
      <c r="D20" s="20">
        <f t="shared" si="2"/>
        <v>503.11731313704627</v>
      </c>
      <c r="E20" s="20">
        <f t="shared" si="2"/>
        <v>647</v>
      </c>
      <c r="F20" s="20">
        <f t="shared" si="2"/>
        <v>0</v>
      </c>
      <c r="G20" s="20">
        <f t="shared" si="2"/>
        <v>651.09416702330964</v>
      </c>
      <c r="H20" s="7"/>
      <c r="K20" s="2" t="s">
        <v>669</v>
      </c>
      <c r="O20" s="2" t="str">
        <f>Input_Harvestnew!C14</f>
        <v>PK 4/10/2022</v>
      </c>
      <c r="R20" s="7" t="s">
        <v>670</v>
      </c>
      <c r="S20" s="1536" t="e">
        <f>SUM(T20:Y20)</f>
        <v>#REF!</v>
      </c>
      <c r="T20" s="1537" t="s">
        <v>297</v>
      </c>
      <c r="U20" s="1536" t="e">
        <f>Input_Harvestnew!$C40*Input_Harvestnew!#REF!</f>
        <v>#REF!</v>
      </c>
      <c r="V20" s="1536" t="e">
        <f>Input_Harvestnew!$C40*Input_Harvestnew!#REF!</f>
        <v>#REF!</v>
      </c>
      <c r="W20" s="1536" t="e">
        <f>Input_Harvestnew!$C40*Input_Harvestnew!#REF!</f>
        <v>#REF!</v>
      </c>
      <c r="X20" s="1537" t="s">
        <v>297</v>
      </c>
      <c r="Y20" s="1537" t="s">
        <v>297</v>
      </c>
      <c r="AE20" s="20"/>
      <c r="AF20" s="20"/>
      <c r="AG20" s="20"/>
      <c r="AI20" s="1063"/>
      <c r="AJ20" s="20"/>
    </row>
    <row r="21" spans="1:36" x14ac:dyDescent="0.2">
      <c r="A21" s="6" t="s">
        <v>125</v>
      </c>
      <c r="B21" s="6" t="s">
        <v>125</v>
      </c>
      <c r="C21" s="6" t="s">
        <v>125</v>
      </c>
      <c r="D21" s="6" t="s">
        <v>125</v>
      </c>
      <c r="E21" s="6" t="s">
        <v>125</v>
      </c>
      <c r="F21" s="6" t="s">
        <v>125</v>
      </c>
      <c r="G21" s="6" t="s">
        <v>125</v>
      </c>
      <c r="H21" s="6" t="s">
        <v>125</v>
      </c>
      <c r="I21" s="6" t="s">
        <v>125</v>
      </c>
      <c r="K21" s="2" t="s">
        <v>671</v>
      </c>
      <c r="L21" s="862"/>
      <c r="M21" s="867">
        <f>SUM(Input_Harvestnew!E25)</f>
        <v>0</v>
      </c>
      <c r="N21" s="2" t="str">
        <f>Input_Harvestnew!G25</f>
        <v>Catch</v>
      </c>
      <c r="O21" s="1049" t="str">
        <f>Input_Harvestnew!H25</f>
        <v>Spring Chinook: Swinomish wks 18-21: 7,6,4,2.  SSIT: no 78C fishery.  Upper Skagit wks 18-21: 0.625,0.75,0.75,0.625 .  No S/F directed fisheries.</v>
      </c>
      <c r="R21" s="7" t="s">
        <v>672</v>
      </c>
      <c r="S21" s="1537" t="s">
        <v>297</v>
      </c>
      <c r="T21" s="1535" t="s">
        <v>297</v>
      </c>
      <c r="U21" s="1537" t="s">
        <v>297</v>
      </c>
      <c r="V21" s="1537" t="s">
        <v>297</v>
      </c>
      <c r="W21" s="1537" t="s">
        <v>297</v>
      </c>
      <c r="X21" s="1535" t="s">
        <v>297</v>
      </c>
      <c r="Y21" s="1535" t="s">
        <v>297</v>
      </c>
      <c r="AB21" s="20"/>
      <c r="AC21" s="20"/>
      <c r="AD21" s="20"/>
      <c r="AE21" s="20"/>
      <c r="AF21" s="20"/>
      <c r="AG21" s="20"/>
      <c r="AJ21" s="20"/>
    </row>
    <row r="22" spans="1:36" x14ac:dyDescent="0.2">
      <c r="B22" s="1224" t="s">
        <v>673</v>
      </c>
      <c r="C22" s="1224" t="s">
        <v>674</v>
      </c>
      <c r="E22" s="1224" t="s">
        <v>201</v>
      </c>
      <c r="F22" s="1224" t="s">
        <v>611</v>
      </c>
      <c r="G22" s="1224" t="s">
        <v>675</v>
      </c>
      <c r="K22" s="2" t="s">
        <v>676</v>
      </c>
      <c r="L22" s="862"/>
      <c r="M22" s="867">
        <f>SUM(Input_Harvestnew!E26)</f>
        <v>0.22068010680261854</v>
      </c>
      <c r="N22" s="2" t="str">
        <f>Input_Harvestnew!G26</f>
        <v>Catch</v>
      </c>
      <c r="O22" s="1049" t="str">
        <f>Input_Harvestnew!H26</f>
        <v>Swin wks 26-29: 3.833,5,5,4;  Swin 78D/O (Baker) wk 28,29 (contingency): 1,1. SSIT: no 78C fishery. USIT wks 27-28: 1,0.375 .  USIT 250 C&amp;S sockeye.  Swin 100 C&amp;S sockeye.</v>
      </c>
      <c r="R22" s="7" t="s">
        <v>677</v>
      </c>
      <c r="S22" s="1537" t="s">
        <v>297</v>
      </c>
      <c r="T22" s="1535" t="s">
        <v>297</v>
      </c>
      <c r="U22" s="1537" t="s">
        <v>297</v>
      </c>
      <c r="V22" s="1537" t="s">
        <v>297</v>
      </c>
      <c r="W22" s="1537" t="s">
        <v>297</v>
      </c>
      <c r="X22" s="1535" t="s">
        <v>297</v>
      </c>
      <c r="Y22" s="1535" t="s">
        <v>297</v>
      </c>
      <c r="AB22" s="20"/>
      <c r="AC22" s="20"/>
      <c r="AD22" s="20"/>
    </row>
    <row r="23" spans="1:36" x14ac:dyDescent="0.2">
      <c r="A23" s="2" t="s">
        <v>678</v>
      </c>
      <c r="B23" s="1540">
        <f>C23/G23</f>
        <v>0.82115199997608945</v>
      </c>
      <c r="C23" s="1094">
        <f>SUM(TRunsPRN!D75)</f>
        <v>68709.240798400875</v>
      </c>
      <c r="E23" s="20">
        <f>TRunsPRN!D77</f>
        <v>13536.844381418539</v>
      </c>
      <c r="F23" s="20">
        <f>TRunsPRN!D76</f>
        <v>70137.360638360464</v>
      </c>
      <c r="G23" s="1094">
        <f>SUM(TRunsPRN!D76:D77)</f>
        <v>83674.205019779009</v>
      </c>
      <c r="K23" s="2" t="s">
        <v>679</v>
      </c>
      <c r="L23" s="862"/>
      <c r="M23" s="867">
        <f>SUM(Input_Harvestnew!E27)</f>
        <v>0</v>
      </c>
      <c r="N23" s="2" t="str">
        <f>Input_Harvestnew!G27</f>
        <v>Catch</v>
      </c>
      <c r="O23" s="2" t="str">
        <f>Input_Harvestnew!H27</f>
        <v>Swin no fishery.  SSIT no 78C fishery.  USIT no fishery</v>
      </c>
      <c r="AE23" s="20"/>
      <c r="AG23" s="20"/>
    </row>
    <row r="24" spans="1:36" x14ac:dyDescent="0.2">
      <c r="A24" s="6" t="s">
        <v>129</v>
      </c>
      <c r="B24" s="6" t="s">
        <v>129</v>
      </c>
      <c r="C24" s="6" t="s">
        <v>129</v>
      </c>
      <c r="D24" s="6" t="s">
        <v>129</v>
      </c>
      <c r="E24" s="6" t="s">
        <v>129</v>
      </c>
      <c r="F24" s="6" t="s">
        <v>129</v>
      </c>
      <c r="G24" s="6" t="s">
        <v>129</v>
      </c>
      <c r="H24" s="6" t="s">
        <v>129</v>
      </c>
      <c r="I24" s="6" t="s">
        <v>129</v>
      </c>
      <c r="K24" s="2" t="s">
        <v>680</v>
      </c>
      <c r="L24" s="862"/>
      <c r="M24" s="867">
        <f>SUM(Input_Harvestnew!E28)</f>
        <v>0</v>
      </c>
      <c r="N24" s="2" t="str">
        <f>Input_Harvestnew!G28</f>
        <v>Catch</v>
      </c>
      <c r="O24" s="2" t="str">
        <f>Input_Harvestnew!H28</f>
        <v>N/A</v>
      </c>
      <c r="R24" s="2" t="s">
        <v>681</v>
      </c>
      <c r="AB24" s="20"/>
      <c r="AC24" s="20"/>
      <c r="AD24" s="20"/>
      <c r="AE24" s="20"/>
      <c r="AF24" s="20"/>
      <c r="AG24" s="20"/>
      <c r="AI24" s="1063"/>
    </row>
    <row r="25" spans="1:36" ht="15.75" x14ac:dyDescent="0.25">
      <c r="A25" s="1" t="s">
        <v>682</v>
      </c>
      <c r="K25" s="2" t="s">
        <v>683</v>
      </c>
      <c r="L25" s="862"/>
      <c r="M25" s="867">
        <f>SUM(Input_Harvestnew!E29)</f>
        <v>15259.640111418277</v>
      </c>
      <c r="N25" s="2" t="str">
        <f>Input_Harvestnew!G29</f>
        <v>Catch</v>
      </c>
      <c r="O25" s="2" t="str">
        <f>Input_Harvestnew!H29</f>
        <v>Swin wks 38-41: 2.375,3,2,1.5. SSIT: no 78C fisheries.  USIT wks 39-41: 0.5,1.125,1.125.  USIT 200 C&amp;S coho, Swin 100 C&amp;S coho.</v>
      </c>
      <c r="R25" s="7" t="s">
        <v>664</v>
      </c>
      <c r="S25" s="1536" t="e">
        <f t="shared" ref="S25:S31" si="3">SUM(T25:Y25)</f>
        <v>#REF!</v>
      </c>
      <c r="T25" s="1537" t="s">
        <v>297</v>
      </c>
      <c r="U25" s="1536" t="e">
        <f>Input_Harvestnew!$C16*Input_Harvestnew!#REF!</f>
        <v>#REF!</v>
      </c>
      <c r="V25" s="1536" t="e">
        <f>Input_Harvestnew!$C16*Input_Harvestnew!#REF!</f>
        <v>#REF!</v>
      </c>
      <c r="W25" s="1536" t="e">
        <f>Input_Harvestnew!$C16*Input_Harvestnew!#REF!</f>
        <v>#REF!</v>
      </c>
      <c r="X25" s="1537" t="s">
        <v>297</v>
      </c>
      <c r="Y25" s="1537" t="s">
        <v>297</v>
      </c>
      <c r="AB25" s="20"/>
      <c r="AD25" s="20"/>
    </row>
    <row r="26" spans="1:36" x14ac:dyDescent="0.2">
      <c r="B26" s="1224" t="s">
        <v>176</v>
      </c>
      <c r="C26" s="1224" t="s">
        <v>495</v>
      </c>
      <c r="D26" s="1224" t="s">
        <v>348</v>
      </c>
      <c r="E26" s="1224" t="s">
        <v>176</v>
      </c>
      <c r="F26" s="1224" t="s">
        <v>495</v>
      </c>
      <c r="G26" s="1224" t="s">
        <v>649</v>
      </c>
      <c r="K26" s="2" t="s">
        <v>684</v>
      </c>
      <c r="L26" s="862"/>
      <c r="M26" s="867">
        <f>SUM(Input_Harvestnew!E30)</f>
        <v>0</v>
      </c>
      <c r="N26" s="2" t="str">
        <f>Input_Harvestnew!G30</f>
        <v>Catch</v>
      </c>
      <c r="O26" s="2" t="str">
        <f>Input_Harvestnew!H30</f>
        <v>No fisheries for Swin, SSIT, or USIT</v>
      </c>
      <c r="R26" s="7" t="s">
        <v>666</v>
      </c>
      <c r="S26" s="1536" t="e">
        <f t="shared" si="3"/>
        <v>#REF!</v>
      </c>
      <c r="T26" s="1537" t="s">
        <v>297</v>
      </c>
      <c r="U26" s="1536" t="e">
        <f>Input_Harvestnew!$C17*Input_Harvestnew!#REF!</f>
        <v>#REF!</v>
      </c>
      <c r="V26" s="1536" t="e">
        <f>Input_Harvestnew!$C17*Input_Harvestnew!#REF!</f>
        <v>#REF!</v>
      </c>
      <c r="W26" s="1536" t="e">
        <f>Input_Harvestnew!$C17*Input_Harvestnew!#REF!</f>
        <v>#REF!</v>
      </c>
      <c r="X26" s="1537" t="s">
        <v>297</v>
      </c>
      <c r="Y26" s="1537" t="s">
        <v>297</v>
      </c>
    </row>
    <row r="27" spans="1:36" x14ac:dyDescent="0.2">
      <c r="B27" s="1224" t="s">
        <v>348</v>
      </c>
      <c r="C27" s="1224" t="s">
        <v>348</v>
      </c>
      <c r="D27" s="1224" t="s">
        <v>174</v>
      </c>
      <c r="E27" s="1224" t="s">
        <v>649</v>
      </c>
      <c r="F27" s="1224" t="s">
        <v>649</v>
      </c>
      <c r="G27" s="1224" t="s">
        <v>174</v>
      </c>
      <c r="K27" s="2" t="s">
        <v>685</v>
      </c>
      <c r="L27" s="862"/>
      <c r="M27" s="867">
        <f>SUM(Input_Harvestnew!E31)</f>
        <v>0</v>
      </c>
      <c r="N27" s="2" t="str">
        <f>Input_Harvestnew!G31</f>
        <v>Catch</v>
      </c>
      <c r="O27" s="2" t="str">
        <f>Input_Harvestnew!H31</f>
        <v>No fisheries for Swin, SSIT, or USIT during S/F chinook management period</v>
      </c>
      <c r="R27" s="7"/>
      <c r="S27" s="1536"/>
      <c r="T27" s="1535"/>
      <c r="U27" s="1536"/>
      <c r="V27" s="1536"/>
      <c r="W27" s="1536"/>
      <c r="X27" s="1535"/>
      <c r="Y27" s="1535"/>
    </row>
    <row r="28" spans="1:36" ht="15.75" x14ac:dyDescent="0.25">
      <c r="H28" s="1"/>
      <c r="K28" s="2" t="s">
        <v>686</v>
      </c>
      <c r="L28" s="862"/>
      <c r="M28" s="2">
        <f>SUM(Input_Harvestnew!E32)</f>
        <v>1951.8528889732486</v>
      </c>
      <c r="N28" s="2" t="str">
        <f>Input_Harvestnew!G32</f>
        <v>Catch</v>
      </c>
      <c r="O28" s="2" t="str">
        <f>Input_Harvestnew!H32</f>
        <v>Wks 19-45 Blakes (chinook wks 19-35, sockeye wks 24-29; coho wks 34-45, chum wks 44-45), 1/wk; Wks 34-42 Spudhouse coho, 1/wk; Wks 23-44 River Area 3, 78D (sockeye wks 23-30, coho wks 35-44, steelhead wks 7-18), 1/wk.</v>
      </c>
      <c r="R28" s="7" t="s">
        <v>667</v>
      </c>
      <c r="S28" s="1536" t="e">
        <f t="shared" si="3"/>
        <v>#REF!</v>
      </c>
      <c r="T28" s="1537" t="s">
        <v>297</v>
      </c>
      <c r="U28" s="1536" t="e">
        <f>Input_Harvestnew!$C18*Input_Harvestnew!#REF!</f>
        <v>#REF!</v>
      </c>
      <c r="V28" s="1536" t="e">
        <f>Input_Harvestnew!$C18*Input_Harvestnew!#REF!</f>
        <v>#REF!</v>
      </c>
      <c r="W28" s="1536" t="e">
        <f>Input_Harvestnew!$C18*Input_Harvestnew!#REF!</f>
        <v>#REF!</v>
      </c>
      <c r="X28" s="1537" t="s">
        <v>297</v>
      </c>
      <c r="Y28" s="1537" t="s">
        <v>297</v>
      </c>
      <c r="AA28" s="505"/>
    </row>
    <row r="29" spans="1:36" x14ac:dyDescent="0.2">
      <c r="A29" s="2" t="s">
        <v>671</v>
      </c>
      <c r="B29" s="1094">
        <f>$B$40*Input_Harvestnew!E25/(SUM(Input_Harvestnew!$E$25:$E$31))</f>
        <v>0</v>
      </c>
      <c r="C29" s="1098" t="s">
        <v>297</v>
      </c>
      <c r="D29" s="20">
        <f t="shared" ref="D29:D34" si="4">SUM(B29:C29)</f>
        <v>0</v>
      </c>
      <c r="E29" s="1094">
        <f>$E$40*Input_Harvestnew!E25/(SUM(Input_Harvestnew!$E$25:$E$31))</f>
        <v>0</v>
      </c>
      <c r="F29" s="1098" t="s">
        <v>297</v>
      </c>
      <c r="G29" s="890"/>
      <c r="H29" s="702" t="str">
        <f>Input_Harvestnew!H25</f>
        <v>Spring Chinook: Swinomish wks 18-21: 7,6,4,2.  SSIT: no 78C fishery.  Upper Skagit wks 18-21: 0.625,0.75,0.75,0.625 .  No S/F directed fisheries.</v>
      </c>
      <c r="N29" s="1541"/>
      <c r="R29" s="7" t="s">
        <v>670</v>
      </c>
      <c r="S29" s="1536" t="e">
        <f t="shared" si="3"/>
        <v>#REF!</v>
      </c>
      <c r="T29" s="1537" t="s">
        <v>297</v>
      </c>
      <c r="U29" s="1536" t="e">
        <f>Input_Harvestnew!$C19*Input_Harvestnew!#REF!</f>
        <v>#REF!</v>
      </c>
      <c r="V29" s="1536" t="e">
        <f>Input_Harvestnew!$C19*Input_Harvestnew!#REF!</f>
        <v>#REF!</v>
      </c>
      <c r="W29" s="1536" t="e">
        <f>Input_Harvestnew!$C19*Input_Harvestnew!#REF!</f>
        <v>#REF!</v>
      </c>
      <c r="X29" s="1537" t="s">
        <v>297</v>
      </c>
      <c r="Y29" s="1537" t="s">
        <v>297</v>
      </c>
      <c r="AA29" s="505"/>
    </row>
    <row r="30" spans="1:36" x14ac:dyDescent="0.2">
      <c r="A30" s="2" t="s">
        <v>676</v>
      </c>
      <c r="B30" s="1094">
        <f>$B$40*Input_Harvestnew!E26/(SUM(Input_Harvestnew!$E$25:$E$30))</f>
        <v>0.19361023735644356</v>
      </c>
      <c r="C30" s="1098" t="s">
        <v>297</v>
      </c>
      <c r="D30" s="1109">
        <f>SUM(B30:C30)</f>
        <v>0.19361023735644356</v>
      </c>
      <c r="E30" s="1094">
        <f>$E$40*Input_Harvestnew!E26/(SUM(Input_Harvestnew!$E$25:$E$31))</f>
        <v>0.22509287006670481</v>
      </c>
      <c r="F30" s="1098" t="s">
        <v>297</v>
      </c>
      <c r="G30" s="890"/>
      <c r="H30" s="702" t="str">
        <f>Input_Harvestnew!H26</f>
        <v>Swin wks 26-29: 3.833,5,5,4;  Swin 78D/O (Baker) wk 28,29 (contingency): 1,1. SSIT: no 78C fishery. USIT wks 27-28: 1,0.375 .  USIT 250 C&amp;S sockeye.  Swin 100 C&amp;S sockeye.</v>
      </c>
      <c r="I30" s="505"/>
      <c r="K30" s="1495" t="s">
        <v>687</v>
      </c>
      <c r="R30" s="7" t="s">
        <v>672</v>
      </c>
      <c r="S30" s="1536" t="e">
        <f t="shared" si="3"/>
        <v>#REF!</v>
      </c>
      <c r="T30" s="1537" t="s">
        <v>297</v>
      </c>
      <c r="U30" s="1536" t="e">
        <f>Input_Harvestnew!$C21*Input_Harvestnew!#REF!</f>
        <v>#REF!</v>
      </c>
      <c r="V30" s="1536" t="e">
        <f>Input_Harvestnew!$C21*Input_Harvestnew!#REF!</f>
        <v>#REF!</v>
      </c>
      <c r="W30" s="1536" t="e">
        <f>Input_Harvestnew!$C21*Input_Harvestnew!#REF!</f>
        <v>#REF!</v>
      </c>
      <c r="X30" s="1537" t="s">
        <v>297</v>
      </c>
      <c r="Y30" s="1537" t="s">
        <v>297</v>
      </c>
      <c r="AA30" s="505"/>
    </row>
    <row r="31" spans="1:36" x14ac:dyDescent="0.2">
      <c r="A31" s="2" t="s">
        <v>679</v>
      </c>
      <c r="B31" s="1094">
        <f>$B$40*Input_Harvestnew!E27/(SUM(Input_Harvestnew!$E$25:$E$31))</f>
        <v>0</v>
      </c>
      <c r="C31" s="1098" t="s">
        <v>297</v>
      </c>
      <c r="D31" s="20">
        <f t="shared" si="4"/>
        <v>0</v>
      </c>
      <c r="E31" s="1094">
        <f>$E$40*Input_Harvestnew!E27/(SUM(Input_Harvestnew!$E$25:$E$31))</f>
        <v>0</v>
      </c>
      <c r="F31" s="1098" t="s">
        <v>297</v>
      </c>
      <c r="G31" s="890"/>
      <c r="H31" s="702" t="str">
        <f>Input_Harvestnew!H27</f>
        <v>Swin no fishery.  SSIT no 78C fishery.  USIT no fishery</v>
      </c>
      <c r="K31" s="2" t="s">
        <v>650</v>
      </c>
      <c r="O31" s="2" t="str">
        <f>Input_Harvestnew!C35</f>
        <v>KA 2/28/22</v>
      </c>
      <c r="R31" s="7" t="s">
        <v>677</v>
      </c>
      <c r="S31" s="1536" t="e">
        <f t="shared" si="3"/>
        <v>#REF!</v>
      </c>
      <c r="T31" s="1537" t="s">
        <v>297</v>
      </c>
      <c r="U31" s="1536" t="e">
        <f>(+Input_Harvestnew!$C22/$G$7)*Input_Harvestnew!#REF!</f>
        <v>#REF!</v>
      </c>
      <c r="V31" s="1536" t="e">
        <f>(+Input_Harvestnew!$C22/$G$7)*Input_Harvestnew!#REF!</f>
        <v>#REF!</v>
      </c>
      <c r="W31" s="1536" t="e">
        <f>(+Input_Harvestnew!$C22/$G$7)*Input_Harvestnew!#REF!</f>
        <v>#REF!</v>
      </c>
      <c r="X31" s="1537" t="s">
        <v>297</v>
      </c>
      <c r="Y31" s="1537" t="s">
        <v>297</v>
      </c>
      <c r="AA31" s="505"/>
    </row>
    <row r="32" spans="1:36" x14ac:dyDescent="0.2">
      <c r="A32" s="1542" t="s">
        <v>680</v>
      </c>
      <c r="B32" s="1094">
        <f>$B$40*Input_Harvestnew!E28/(SUM(Input_Harvestnew!$E$25:$E$31))</f>
        <v>0</v>
      </c>
      <c r="C32" s="1098" t="s">
        <v>297</v>
      </c>
      <c r="D32" s="1543">
        <f t="shared" si="4"/>
        <v>0</v>
      </c>
      <c r="E32" s="1094">
        <f>$E$40*Input_Harvestnew!E28/(SUM(Input_Harvestnew!$E$25:$E$31))</f>
        <v>0</v>
      </c>
      <c r="F32" s="1098" t="s">
        <v>297</v>
      </c>
      <c r="G32" s="890"/>
      <c r="H32" s="702" t="str">
        <f>Input_Harvestnew!H28</f>
        <v>N/A</v>
      </c>
      <c r="K32" s="7" t="s">
        <v>688</v>
      </c>
      <c r="L32" s="1544">
        <f>Input_Harvestnew!C36</f>
        <v>0</v>
      </c>
      <c r="M32" s="2">
        <f>Input_Harvestnew!E36</f>
        <v>0</v>
      </c>
      <c r="N32" s="2" t="str">
        <f>Input_Harvestnew!G36</f>
        <v>%TAA</v>
      </c>
      <c r="O32" s="2">
        <f>Input_Harvestnew!H36</f>
        <v>0</v>
      </c>
      <c r="AA32" s="505"/>
    </row>
    <row r="33" spans="1:27" x14ac:dyDescent="0.2">
      <c r="A33" s="2" t="s">
        <v>683</v>
      </c>
      <c r="B33" s="1094">
        <f>$B$40*Input_Harvestnew!E29/(SUM(Input_Harvestnew!$E$25:$E$31))</f>
        <v>13387.806389762643</v>
      </c>
      <c r="C33" s="1098" t="s">
        <v>297</v>
      </c>
      <c r="D33" s="20">
        <f t="shared" si="4"/>
        <v>13387.806389762643</v>
      </c>
      <c r="E33" s="1094">
        <f>$E$40*Input_Harvestnew!E29/(SUM(Input_Harvestnew!$E$25:$E$31))</f>
        <v>15564.774907129933</v>
      </c>
      <c r="F33" s="1098" t="s">
        <v>297</v>
      </c>
      <c r="G33" s="890"/>
      <c r="H33" s="702" t="str">
        <f>Input_Harvestnew!H29</f>
        <v>Swin wks 38-41: 2.375,3,2,1.5. SSIT: no 78C fisheries.  USIT wks 39-41: 0.5,1.125,1.125.  USIT 200 C&amp;S coho, Swin 100 C&amp;S coho.</v>
      </c>
      <c r="K33" s="7" t="s">
        <v>666</v>
      </c>
      <c r="L33" s="1544">
        <f>Input_Harvestnew!C37</f>
        <v>0</v>
      </c>
      <c r="M33" s="2">
        <f>Input_Harvestnew!E37</f>
        <v>0</v>
      </c>
      <c r="N33" s="2" t="str">
        <f>Input_Harvestnew!G37</f>
        <v>%TAA</v>
      </c>
      <c r="O33" s="2" t="str">
        <f>Input_Harvestnew!H37</f>
        <v>KA 2/28/2022 Closed, pending coho forecast</v>
      </c>
      <c r="R33" s="6" t="s">
        <v>689</v>
      </c>
      <c r="S33" s="6" t="s">
        <v>689</v>
      </c>
      <c r="T33" s="6" t="s">
        <v>689</v>
      </c>
      <c r="U33" s="6" t="s">
        <v>689</v>
      </c>
      <c r="V33" s="6" t="s">
        <v>689</v>
      </c>
      <c r="W33" s="6" t="s">
        <v>689</v>
      </c>
      <c r="X33" s="6" t="s">
        <v>689</v>
      </c>
      <c r="Y33" s="6" t="s">
        <v>689</v>
      </c>
      <c r="AA33" s="505"/>
    </row>
    <row r="34" spans="1:27" x14ac:dyDescent="0.2">
      <c r="A34" s="2" t="s">
        <v>684</v>
      </c>
      <c r="B34" s="1094">
        <f>$B$40*Input_Harvestnew!E30/(SUM(Input_Harvestnew!$E$25:$E$31))</f>
        <v>0</v>
      </c>
      <c r="C34" s="1098" t="s">
        <v>297</v>
      </c>
      <c r="D34" s="20">
        <f t="shared" si="4"/>
        <v>0</v>
      </c>
      <c r="E34" s="1094">
        <f>$E$40*Input_Harvestnew!E30/(SUM(Input_Harvestnew!$E$25:$E$31))</f>
        <v>0</v>
      </c>
      <c r="F34" s="1098" t="s">
        <v>297</v>
      </c>
      <c r="G34" s="890"/>
      <c r="H34" s="702" t="str">
        <f>Input_Harvestnew!H30</f>
        <v>No fisheries for Swin, SSIT, or USIT</v>
      </c>
      <c r="K34" s="7" t="s">
        <v>667</v>
      </c>
      <c r="L34" s="1544">
        <f>Input_Harvestnew!C38</f>
        <v>0</v>
      </c>
      <c r="M34" s="2">
        <f>Input_Harvestnew!E38</f>
        <v>0</v>
      </c>
      <c r="N34" s="2" t="str">
        <f>Input_Harvestnew!G38</f>
        <v>%TAA</v>
      </c>
      <c r="O34" s="2" t="str">
        <f>Input_Harvestnew!H38</f>
        <v>KA 2/28/2022 Closed, pending coho forecast</v>
      </c>
      <c r="AA34" s="505"/>
    </row>
    <row r="35" spans="1:27" x14ac:dyDescent="0.2">
      <c r="A35" s="2" t="s">
        <v>685</v>
      </c>
      <c r="B35" s="1094">
        <f>$B$40*Input_Harvestnew!E31/(SUM(Input_Harvestnew!$E$25:$E$31))</f>
        <v>0</v>
      </c>
      <c r="C35" s="1098" t="s">
        <v>297</v>
      </c>
      <c r="D35" s="20">
        <f>SUM(B35:C35)</f>
        <v>0</v>
      </c>
      <c r="E35" s="1094">
        <f>$E$40*Input_Harvestnew!E31/(SUM(Input_Harvestnew!$E$25:$E$31))</f>
        <v>0</v>
      </c>
      <c r="F35" s="1098" t="s">
        <v>297</v>
      </c>
      <c r="G35" s="890"/>
      <c r="H35" s="702" t="str">
        <f>Input_Harvestnew!H31</f>
        <v>No fisheries for Swin, SSIT, or USIT during S/F chinook management period</v>
      </c>
      <c r="K35" s="7" t="s">
        <v>690</v>
      </c>
      <c r="L35" s="1544">
        <f>Input_Harvestnew!C39</f>
        <v>0</v>
      </c>
      <c r="M35" s="2">
        <f>Input_Harvestnew!E39</f>
        <v>0</v>
      </c>
      <c r="N35" s="2" t="str">
        <f>Input_Harvestnew!G39</f>
        <v>%TAA</v>
      </c>
      <c r="O35" s="2" t="str">
        <f>Input_Harvestnew!H39</f>
        <v>Closed</v>
      </c>
    </row>
    <row r="36" spans="1:27" x14ac:dyDescent="0.2">
      <c r="A36" s="2" t="s">
        <v>686</v>
      </c>
      <c r="B36" s="1545" t="s">
        <v>297</v>
      </c>
      <c r="C36" s="7" t="s">
        <v>297</v>
      </c>
      <c r="D36" s="1539">
        <f>SUM('2'!$E$61)*(Input_Harvestnew!$C$32+Input_Harvestnew!$E$32)/(Input_Harvestnew!$C$32+Input_Harvestnew!$C$22+Input_Harvestnew!$E$22+Input_Harvestnew!$E$32)</f>
        <v>1515.8826868629537</v>
      </c>
      <c r="E36" s="1098" t="s">
        <v>297</v>
      </c>
      <c r="F36" s="1098" t="s">
        <v>297</v>
      </c>
      <c r="G36" s="1094">
        <f>SUM('2'!H61)</f>
        <v>1995</v>
      </c>
      <c r="H36" s="702" t="str">
        <f>Input_Harvestnew!H32</f>
        <v>Wks 19-45 Blakes (chinook wks 19-35, sockeye wks 24-29; coho wks 34-45, chum wks 44-45), 1/wk; Wks 34-42 Spudhouse coho, 1/wk; Wks 23-44 River Area 3, 78D (sockeye wks 23-30, coho wks 35-44, steelhead wks 7-18), 1/wk.</v>
      </c>
      <c r="K36" s="7" t="s">
        <v>691</v>
      </c>
      <c r="L36" s="862"/>
    </row>
    <row r="37" spans="1:27" x14ac:dyDescent="0.2">
      <c r="A37" s="1542" t="s">
        <v>692</v>
      </c>
      <c r="B37" s="1098" t="s">
        <v>297</v>
      </c>
      <c r="C37" s="1097">
        <f>F37*0.134</f>
        <v>448.78579259573786</v>
      </c>
      <c r="D37" s="1096">
        <f>SUM(B37:C37)</f>
        <v>448.78579259573786</v>
      </c>
      <c r="E37" s="1098" t="s">
        <v>297</v>
      </c>
      <c r="F37" s="1097">
        <f>SUM(Input_Harvestnew!E40)+0.05*Input_Harvestnew!E40</f>
        <v>3349.1477059383419</v>
      </c>
      <c r="G37" s="1094"/>
      <c r="H37" s="702">
        <f>Input_Harvestnew!H40</f>
        <v>0</v>
      </c>
      <c r="K37" s="7" t="s">
        <v>693</v>
      </c>
      <c r="L37" s="862"/>
      <c r="M37" s="1546">
        <f>Input_Harvestnew!E40</f>
        <v>3189.66448184604</v>
      </c>
      <c r="N37" s="2" t="str">
        <f>Input_Harvestnew!G40</f>
        <v>Catch</v>
      </c>
      <c r="O37" s="2">
        <f>Input_Harvestnew!H40</f>
        <v>0</v>
      </c>
    </row>
    <row r="38" spans="1:27" x14ac:dyDescent="0.2">
      <c r="A38" s="2" t="s">
        <v>694</v>
      </c>
      <c r="B38" s="1098" t="s">
        <v>297</v>
      </c>
      <c r="C38" s="1539">
        <f>SUM(Table2PRN!G119)</f>
        <v>4948</v>
      </c>
      <c r="D38" s="1096">
        <f>SUM(B38:C38)</f>
        <v>4948</v>
      </c>
      <c r="E38" s="1098" t="s">
        <v>297</v>
      </c>
      <c r="F38" s="1547">
        <f>SUM(Table2PRN!G329,Table2PRN!G539)</f>
        <v>5999</v>
      </c>
      <c r="G38" s="890"/>
      <c r="H38" s="505" t="str">
        <f>Input_Harvestnew!H42</f>
        <v xml:space="preserve">AF 3/16/22 Skagit season proposal September 1 - Oct 31; 2 fish limit. In season management changes possible pending sport monitoring and in season update. </v>
      </c>
      <c r="K38" s="1095" t="s">
        <v>695</v>
      </c>
      <c r="L38" s="862"/>
      <c r="M38" s="2">
        <f>Input_Harvestnew!E41</f>
        <v>0.35827110200000001</v>
      </c>
      <c r="N38" s="2" t="str">
        <f>Input_Harvestnew!G41</f>
        <v>Proportion</v>
      </c>
      <c r="O38" s="2" t="str">
        <f>Input_Harvestnew!H41</f>
        <v xml:space="preserve">AF 3/16/22 Cascade Season Proposal: Sept 16-Oct 31; 4 fish limit. In season management changes possible pending sport monitoring and in season update. </v>
      </c>
    </row>
    <row r="39" spans="1:27" x14ac:dyDescent="0.2">
      <c r="A39" s="2" t="s">
        <v>696</v>
      </c>
      <c r="B39" s="1545" t="s">
        <v>297</v>
      </c>
      <c r="C39" s="1094">
        <f>F39*$B$23</f>
        <v>0</v>
      </c>
      <c r="E39" s="1098" t="s">
        <v>297</v>
      </c>
      <c r="F39" s="1094">
        <f>Input_Harvestnew!C43+Input_Harvestnew!E43</f>
        <v>0</v>
      </c>
      <c r="G39" s="890"/>
      <c r="H39" s="505"/>
      <c r="K39" s="7" t="s">
        <v>697</v>
      </c>
      <c r="L39" s="862"/>
      <c r="M39" s="1546">
        <f>Input_Harvestnew!E42</f>
        <v>5713.2709322584442</v>
      </c>
      <c r="N39" s="2" t="str">
        <f>Input_Harvestnew!G42</f>
        <v>Catch</v>
      </c>
      <c r="O39" s="2" t="str">
        <f>Input_Harvestnew!H42</f>
        <v xml:space="preserve">AF 3/16/22 Skagit season proposal September 1 - Oct 31; 2 fish limit. In season management changes possible pending sport monitoring and in season update. </v>
      </c>
    </row>
    <row r="40" spans="1:27" x14ac:dyDescent="0.2">
      <c r="A40" s="7" t="s">
        <v>698</v>
      </c>
      <c r="B40" s="1548">
        <f>SUM('2'!E60)-B56</f>
        <v>13388</v>
      </c>
      <c r="C40" s="1094">
        <f>SUM(C37,C38)</f>
        <v>5396.7857925957378</v>
      </c>
      <c r="D40" s="20">
        <f>SUM(B40:C40,D36)</f>
        <v>20300.668479458691</v>
      </c>
      <c r="E40" s="1548">
        <f>SUM('2'!H60)-B56</f>
        <v>15565</v>
      </c>
      <c r="F40" s="20">
        <f>SUM(F37,F38)</f>
        <v>9348.1477059383415</v>
      </c>
      <c r="G40" s="20">
        <f>SUM(E29:G39)</f>
        <v>26908.147705938343</v>
      </c>
      <c r="H40" s="157" t="s">
        <v>699</v>
      </c>
      <c r="I40" s="1454" t="s">
        <v>700</v>
      </c>
    </row>
    <row r="41" spans="1:27" x14ac:dyDescent="0.2">
      <c r="A41" s="6" t="s">
        <v>125</v>
      </c>
      <c r="B41" s="6" t="s">
        <v>125</v>
      </c>
      <c r="C41" s="6" t="s">
        <v>125</v>
      </c>
      <c r="D41" s="6" t="s">
        <v>125</v>
      </c>
      <c r="E41" s="6" t="s">
        <v>125</v>
      </c>
      <c r="F41" s="6" t="s">
        <v>125</v>
      </c>
      <c r="G41" s="6" t="s">
        <v>125</v>
      </c>
      <c r="H41" s="6" t="s">
        <v>125</v>
      </c>
      <c r="I41" s="6" t="s">
        <v>125</v>
      </c>
      <c r="K41" s="6" t="s">
        <v>701</v>
      </c>
      <c r="L41" s="6" t="s">
        <v>701</v>
      </c>
      <c r="M41" s="6"/>
      <c r="N41" s="6" t="s">
        <v>701</v>
      </c>
      <c r="O41" s="6" t="s">
        <v>701</v>
      </c>
      <c r="P41" s="6" t="s">
        <v>701</v>
      </c>
    </row>
    <row r="42" spans="1:27" ht="15.75" x14ac:dyDescent="0.25">
      <c r="A42" s="1" t="s">
        <v>702</v>
      </c>
    </row>
    <row r="43" spans="1:27" x14ac:dyDescent="0.2">
      <c r="B43" s="1224" t="s">
        <v>176</v>
      </c>
      <c r="C43" s="1224" t="s">
        <v>495</v>
      </c>
      <c r="D43" s="1224" t="s">
        <v>348</v>
      </c>
      <c r="E43" s="1224" t="s">
        <v>176</v>
      </c>
      <c r="F43" s="1224" t="s">
        <v>495</v>
      </c>
      <c r="H43" s="20"/>
    </row>
    <row r="44" spans="1:27" x14ac:dyDescent="0.2">
      <c r="B44" s="1224" t="s">
        <v>348</v>
      </c>
      <c r="C44" s="1224" t="s">
        <v>348</v>
      </c>
      <c r="D44" s="1224" t="s">
        <v>512</v>
      </c>
      <c r="E44" s="1224" t="s">
        <v>174</v>
      </c>
      <c r="F44" s="1224" t="s">
        <v>174</v>
      </c>
      <c r="G44" s="1224" t="s">
        <v>174</v>
      </c>
    </row>
    <row r="45" spans="1:27" x14ac:dyDescent="0.2">
      <c r="A45" s="6" t="s">
        <v>129</v>
      </c>
      <c r="B45" s="1501" t="s">
        <v>129</v>
      </c>
      <c r="C45" s="1501" t="s">
        <v>129</v>
      </c>
      <c r="D45" s="1501" t="s">
        <v>129</v>
      </c>
      <c r="E45" s="1501" t="s">
        <v>129</v>
      </c>
      <c r="F45" s="1501" t="s">
        <v>129</v>
      </c>
      <c r="G45" s="1501" t="s">
        <v>129</v>
      </c>
      <c r="H45" s="1501" t="s">
        <v>129</v>
      </c>
      <c r="I45" s="1501" t="s">
        <v>129</v>
      </c>
    </row>
    <row r="46" spans="1:27" x14ac:dyDescent="0.2">
      <c r="A46" s="2" t="s">
        <v>703</v>
      </c>
      <c r="B46" s="1094">
        <f>B13+B29</f>
        <v>0</v>
      </c>
      <c r="C46" s="1094">
        <f>C13+C29</f>
        <v>0</v>
      </c>
      <c r="D46" s="1094">
        <v>0</v>
      </c>
      <c r="E46" s="1094">
        <f>E13+E29</f>
        <v>0</v>
      </c>
      <c r="F46" s="1094">
        <f>F13+F29</f>
        <v>0</v>
      </c>
      <c r="G46" s="1094">
        <f t="shared" ref="G46:G52" si="5">SUM(E46,F46)</f>
        <v>0</v>
      </c>
    </row>
    <row r="47" spans="1:27" x14ac:dyDescent="0.2">
      <c r="A47" s="2" t="s">
        <v>704</v>
      </c>
      <c r="B47" s="1094">
        <f>B14+B30</f>
        <v>0.19361023735644356</v>
      </c>
      <c r="C47" s="1094">
        <f>C14+C30</f>
        <v>0</v>
      </c>
      <c r="D47" s="1094">
        <v>0</v>
      </c>
      <c r="E47" s="1094">
        <f>E14+E30</f>
        <v>0.22509287006670481</v>
      </c>
      <c r="F47" s="1094">
        <f>F14+F30</f>
        <v>0</v>
      </c>
      <c r="G47" s="1094">
        <f t="shared" si="5"/>
        <v>0.22509287006670481</v>
      </c>
    </row>
    <row r="48" spans="1:27" x14ac:dyDescent="0.2">
      <c r="A48" s="2" t="s">
        <v>705</v>
      </c>
      <c r="B48" s="1548">
        <f>B15+B31</f>
        <v>0</v>
      </c>
      <c r="C48" s="1094">
        <f>C14+C31</f>
        <v>0</v>
      </c>
      <c r="D48" s="1094">
        <v>0</v>
      </c>
      <c r="E48" s="1548">
        <f>E15+E31</f>
        <v>0</v>
      </c>
      <c r="F48" s="1094">
        <f>F14+F31</f>
        <v>0</v>
      </c>
      <c r="G48" s="1094">
        <f t="shared" si="5"/>
        <v>0</v>
      </c>
      <c r="H48" s="1454" t="s">
        <v>700</v>
      </c>
      <c r="I48" s="1549"/>
    </row>
    <row r="49" spans="1:10" x14ac:dyDescent="0.2">
      <c r="A49" s="1550" t="s">
        <v>706</v>
      </c>
      <c r="B49" s="1094">
        <f>B32</f>
        <v>0</v>
      </c>
      <c r="C49" s="1098" t="s">
        <v>297</v>
      </c>
      <c r="D49" s="890">
        <v>0</v>
      </c>
      <c r="E49" s="1094">
        <f>E32</f>
        <v>0</v>
      </c>
      <c r="F49" s="1098" t="s">
        <v>297</v>
      </c>
      <c r="G49" s="1094">
        <f t="shared" si="5"/>
        <v>0</v>
      </c>
    </row>
    <row r="50" spans="1:10" x14ac:dyDescent="0.2">
      <c r="A50" s="2" t="s">
        <v>667</v>
      </c>
      <c r="B50" s="1094">
        <f>B16+B33</f>
        <v>13887.806389762643</v>
      </c>
      <c r="C50" s="1094">
        <f>C16+C33</f>
        <v>0</v>
      </c>
      <c r="D50" s="1094">
        <v>0</v>
      </c>
      <c r="E50" s="1094">
        <f>E16+E33</f>
        <v>16211.774907129933</v>
      </c>
      <c r="F50" s="1094">
        <f>F16+F33</f>
        <v>0</v>
      </c>
      <c r="G50" s="1094">
        <f t="shared" si="5"/>
        <v>16211.774907129933</v>
      </c>
    </row>
    <row r="51" spans="1:10" x14ac:dyDescent="0.2">
      <c r="A51" s="2" t="s">
        <v>707</v>
      </c>
      <c r="B51" s="1094">
        <f>B17+B34</f>
        <v>0</v>
      </c>
      <c r="C51" s="1094">
        <f>C17+C34</f>
        <v>0</v>
      </c>
      <c r="D51" s="1094">
        <v>0</v>
      </c>
      <c r="E51" s="1094">
        <f>E17+E34</f>
        <v>0</v>
      </c>
      <c r="F51" s="1094">
        <f>F17+F34</f>
        <v>0</v>
      </c>
      <c r="G51" s="1094">
        <f t="shared" si="5"/>
        <v>0</v>
      </c>
    </row>
    <row r="52" spans="1:10" x14ac:dyDescent="0.2">
      <c r="A52" s="2" t="s">
        <v>708</v>
      </c>
      <c r="B52" s="1094">
        <f>B18+B35</f>
        <v>0</v>
      </c>
      <c r="C52" s="1098" t="s">
        <v>297</v>
      </c>
      <c r="D52" s="1094">
        <v>0</v>
      </c>
      <c r="E52" s="1094">
        <f>E18+E35</f>
        <v>0</v>
      </c>
      <c r="F52" s="1098" t="s">
        <v>297</v>
      </c>
      <c r="G52" s="1094">
        <f t="shared" si="5"/>
        <v>0</v>
      </c>
    </row>
    <row r="53" spans="1:10" x14ac:dyDescent="0.2">
      <c r="A53" s="2" t="s">
        <v>709</v>
      </c>
      <c r="B53" s="1538" t="s">
        <v>297</v>
      </c>
      <c r="C53" s="1538" t="s">
        <v>297</v>
      </c>
      <c r="D53" s="1094">
        <f>D19+D36</f>
        <v>1519</v>
      </c>
      <c r="E53" s="1098" t="s">
        <v>297</v>
      </c>
      <c r="F53" s="1098" t="s">
        <v>297</v>
      </c>
      <c r="G53" s="1094">
        <f>G19+G36</f>
        <v>1999.0941670233096</v>
      </c>
    </row>
    <row r="54" spans="1:10" x14ac:dyDescent="0.2">
      <c r="A54" s="1550" t="s">
        <v>692</v>
      </c>
      <c r="B54" s="1538" t="s">
        <v>297</v>
      </c>
      <c r="C54" s="1093">
        <f>C37</f>
        <v>448.78579259573786</v>
      </c>
      <c r="D54" s="1094">
        <v>0</v>
      </c>
      <c r="E54" s="1098" t="s">
        <v>297</v>
      </c>
      <c r="F54" s="1538">
        <f>F37</f>
        <v>3349.1477059383419</v>
      </c>
      <c r="G54" s="1094">
        <f>SUM(E54,F54)</f>
        <v>3349.1477059383419</v>
      </c>
    </row>
    <row r="55" spans="1:10" x14ac:dyDescent="0.2">
      <c r="A55" s="2" t="s">
        <v>697</v>
      </c>
      <c r="B55" s="1538" t="s">
        <v>297</v>
      </c>
      <c r="C55" s="1094">
        <f>C38</f>
        <v>4948</v>
      </c>
      <c r="D55" s="1094">
        <v>0</v>
      </c>
      <c r="E55" s="1538" t="s">
        <v>297</v>
      </c>
      <c r="F55" s="1094">
        <f>F38</f>
        <v>5999</v>
      </c>
      <c r="G55" s="1094">
        <f>SUM(E55,F55)</f>
        <v>5999</v>
      </c>
    </row>
    <row r="56" spans="1:10" ht="50.1" customHeight="1" x14ac:dyDescent="0.2">
      <c r="A56" s="1323" t="s">
        <v>710</v>
      </c>
      <c r="B56" s="2072">
        <f>((4000)*0.134)+2000</f>
        <v>2536</v>
      </c>
      <c r="C56" s="1324" t="s">
        <v>297</v>
      </c>
      <c r="D56" s="1324" t="s">
        <v>297</v>
      </c>
      <c r="E56" s="2072">
        <f>B56+(4000-((4000)*0.134))</f>
        <v>6000</v>
      </c>
      <c r="F56" s="1324" t="str">
        <f>C56</f>
        <v>n/a</v>
      </c>
      <c r="G56" s="1322">
        <f>SUM(E56,F56)</f>
        <v>6000</v>
      </c>
      <c r="H56" s="2444" t="s">
        <v>711</v>
      </c>
      <c r="I56" s="2444"/>
      <c r="J56" s="1455" t="s">
        <v>700</v>
      </c>
    </row>
    <row r="57" spans="1:10" x14ac:dyDescent="0.2">
      <c r="A57" s="6" t="s">
        <v>129</v>
      </c>
      <c r="B57" s="1501" t="s">
        <v>129</v>
      </c>
      <c r="C57" s="1501" t="s">
        <v>129</v>
      </c>
      <c r="D57" s="1501" t="s">
        <v>129</v>
      </c>
      <c r="E57" s="1501" t="s">
        <v>129</v>
      </c>
      <c r="F57" s="1501" t="s">
        <v>129</v>
      </c>
      <c r="G57" s="1501" t="s">
        <v>129</v>
      </c>
      <c r="H57" s="1501" t="s">
        <v>129</v>
      </c>
      <c r="I57" s="1501" t="s">
        <v>129</v>
      </c>
    </row>
    <row r="58" spans="1:10" x14ac:dyDescent="0.2">
      <c r="A58" s="2" t="s">
        <v>712</v>
      </c>
      <c r="B58" s="20">
        <f>SUM(B46:B56)</f>
        <v>16424</v>
      </c>
      <c r="C58" s="20">
        <f>SUM(C46:C56)</f>
        <v>5396.7857925957378</v>
      </c>
      <c r="D58" s="20">
        <f>SUM(D46:D56)</f>
        <v>1519</v>
      </c>
      <c r="E58" s="20">
        <f>SUM(E46:E56)</f>
        <v>22212</v>
      </c>
      <c r="F58" s="20">
        <f>SUM(F46:F56)</f>
        <v>9348.1477059383415</v>
      </c>
      <c r="G58" s="20"/>
      <c r="H58" s="1322">
        <f>SUM(G46:G56)</f>
        <v>33559.241872961647</v>
      </c>
      <c r="I58" s="2" t="s">
        <v>713</v>
      </c>
    </row>
    <row r="59" spans="1:10" x14ac:dyDescent="0.2">
      <c r="A59" s="6" t="s">
        <v>125</v>
      </c>
      <c r="B59" s="6" t="s">
        <v>125</v>
      </c>
      <c r="C59" s="6" t="s">
        <v>125</v>
      </c>
      <c r="D59" s="6" t="s">
        <v>125</v>
      </c>
      <c r="E59" s="6" t="s">
        <v>125</v>
      </c>
      <c r="F59" s="6" t="s">
        <v>125</v>
      </c>
      <c r="G59" s="6" t="s">
        <v>125</v>
      </c>
      <c r="H59" s="6" t="s">
        <v>125</v>
      </c>
      <c r="I59" s="6" t="s">
        <v>125</v>
      </c>
    </row>
    <row r="60" spans="1:10" x14ac:dyDescent="0.2">
      <c r="H60" s="20"/>
    </row>
    <row r="61" spans="1:10" x14ac:dyDescent="0.2">
      <c r="E61" s="20"/>
    </row>
    <row r="64" spans="1:10" ht="15.75" x14ac:dyDescent="0.25">
      <c r="B64" s="1"/>
    </row>
    <row r="66" spans="2:4" x14ac:dyDescent="0.2">
      <c r="B66" s="7"/>
      <c r="C66" s="7"/>
    </row>
    <row r="67" spans="2:4" x14ac:dyDescent="0.2">
      <c r="B67" s="7"/>
      <c r="C67" s="7"/>
    </row>
    <row r="68" spans="2:4" x14ac:dyDescent="0.2">
      <c r="B68" s="7"/>
      <c r="C68" s="7"/>
    </row>
    <row r="69" spans="2:4" x14ac:dyDescent="0.2">
      <c r="B69" s="20"/>
      <c r="C69" s="20"/>
      <c r="D69" s="20"/>
    </row>
    <row r="70" spans="2:4" x14ac:dyDescent="0.2">
      <c r="B70" s="20"/>
      <c r="C70" s="20"/>
      <c r="D70" s="20"/>
    </row>
    <row r="71" spans="2:4" x14ac:dyDescent="0.2">
      <c r="B71" s="20"/>
      <c r="C71" s="20"/>
    </row>
    <row r="72" spans="2:4" x14ac:dyDescent="0.2">
      <c r="B72" s="20"/>
      <c r="C72" s="20"/>
    </row>
    <row r="73" spans="2:4" x14ac:dyDescent="0.2">
      <c r="B73" s="20"/>
      <c r="C73" s="20"/>
      <c r="D73" s="20"/>
    </row>
    <row r="74" spans="2:4" x14ac:dyDescent="0.2">
      <c r="B74" s="20"/>
      <c r="C74" s="20"/>
    </row>
    <row r="76" spans="2:4" x14ac:dyDescent="0.2">
      <c r="B76" s="7"/>
    </row>
    <row r="77" spans="2:4" x14ac:dyDescent="0.2">
      <c r="B77" s="7"/>
    </row>
    <row r="78" spans="2:4" x14ac:dyDescent="0.2">
      <c r="B78" s="20"/>
      <c r="D78" s="20"/>
    </row>
    <row r="79" spans="2:4" x14ac:dyDescent="0.2">
      <c r="B79" s="20"/>
    </row>
    <row r="80" spans="2:4" x14ac:dyDescent="0.2">
      <c r="B80" s="20"/>
    </row>
    <row r="82" spans="2:4" x14ac:dyDescent="0.2">
      <c r="B82" s="20"/>
    </row>
    <row r="83" spans="2:4" x14ac:dyDescent="0.2">
      <c r="B83" s="20"/>
    </row>
    <row r="92" spans="2:4" x14ac:dyDescent="0.2">
      <c r="B92" s="34"/>
      <c r="C92" s="34"/>
      <c r="D92" s="34"/>
    </row>
    <row r="93" spans="2:4" x14ac:dyDescent="0.2">
      <c r="B93" s="34"/>
      <c r="C93" s="34"/>
      <c r="D93" s="34"/>
    </row>
    <row r="98" spans="4:4" x14ac:dyDescent="0.2">
      <c r="D98" s="34"/>
    </row>
    <row r="99" spans="4:4" x14ac:dyDescent="0.2">
      <c r="D99" s="34"/>
    </row>
    <row r="153" spans="3:13" x14ac:dyDescent="0.2">
      <c r="G153" s="890">
        <f>SPS!D50*C157</f>
        <v>0</v>
      </c>
    </row>
    <row r="154" spans="3:13" x14ac:dyDescent="0.2">
      <c r="G154" s="890">
        <f>SPS!D50*C158</f>
        <v>0</v>
      </c>
    </row>
    <row r="155" spans="3:13" x14ac:dyDescent="0.2">
      <c r="G155" s="2" t="e">
        <f>SPS!C47/G153</f>
        <v>#DIV/0!</v>
      </c>
    </row>
    <row r="156" spans="3:13" x14ac:dyDescent="0.2">
      <c r="G156" s="2" t="e">
        <f>SPS!C47/G154</f>
        <v>#DIV/0!</v>
      </c>
    </row>
    <row r="157" spans="3:13" x14ac:dyDescent="0.2">
      <c r="C157" s="890"/>
    </row>
    <row r="158" spans="3:13" x14ac:dyDescent="0.2">
      <c r="C158" s="890"/>
      <c r="L158" s="2">
        <f>IF(SPS!BB39="&gt;&gt;&gt;recalc",0,SPS!BB39)</f>
        <v>0</v>
      </c>
    </row>
    <row r="159" spans="3:13" x14ac:dyDescent="0.2">
      <c r="C159" s="890"/>
      <c r="L159" s="20">
        <f>SPS!BB41</f>
        <v>42871.093106447603</v>
      </c>
      <c r="M159" s="20"/>
    </row>
    <row r="160" spans="3:13" x14ac:dyDescent="0.2">
      <c r="L160" s="2">
        <f>SPS!C47</f>
        <v>0</v>
      </c>
    </row>
    <row r="165" spans="14:14" x14ac:dyDescent="0.2">
      <c r="N165" s="2">
        <f>SUM(SPS!Z36:AC36)*(C159/(1-C159))</f>
        <v>0</v>
      </c>
    </row>
  </sheetData>
  <mergeCells count="1">
    <mergeCell ref="H56:I56"/>
  </mergeCells>
  <phoneticPr fontId="16" type="noConversion"/>
  <pageMargins left="0.5" right="0.66700000000000004" top="0.75" bottom="0.66700000000000004" header="0.5" footer="0.5"/>
  <pageSetup scale="53"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ransitionEvaluation="1" transitionEntry="1" codeName="Sheet9">
    <pageSetUpPr fitToPage="1"/>
  </sheetPr>
  <dimension ref="A1:AZ165"/>
  <sheetViews>
    <sheetView topLeftCell="A69" zoomScaleNormal="100" workbookViewId="0">
      <selection activeCell="J9274" sqref="J9274"/>
    </sheetView>
  </sheetViews>
  <sheetFormatPr defaultColWidth="12.5703125" defaultRowHeight="15" x14ac:dyDescent="0.2"/>
  <cols>
    <col min="1" max="1" width="42.85546875" style="2" customWidth="1"/>
    <col min="2" max="2" width="13.85546875" style="2" customWidth="1"/>
    <col min="3" max="3" width="15" style="2" customWidth="1"/>
    <col min="4" max="4" width="15.140625" style="2" customWidth="1"/>
    <col min="5" max="5" width="17.28515625" style="2" customWidth="1"/>
    <col min="6" max="7" width="13.85546875" style="2" customWidth="1"/>
    <col min="8" max="8" width="19.5703125" style="2" customWidth="1"/>
    <col min="9" max="9" width="24.140625" style="2" customWidth="1"/>
    <col min="10" max="10" width="27" style="2" customWidth="1"/>
    <col min="11" max="11" width="12.5703125" style="2"/>
    <col min="12" max="12" width="38.28515625" style="2" customWidth="1"/>
    <col min="13" max="13" width="14.5703125" style="2" customWidth="1"/>
    <col min="14" max="14" width="12.5703125" style="2"/>
    <col min="15" max="15" width="4.85546875" style="2" customWidth="1"/>
    <col min="16" max="16" width="12.5703125" style="2"/>
    <col min="17" max="17" width="6.5703125" style="2" customWidth="1"/>
    <col min="18" max="21" width="12.5703125" style="2"/>
    <col min="22" max="22" width="9.5703125" style="2" customWidth="1"/>
    <col min="23" max="23" width="33.5703125" style="2" customWidth="1"/>
    <col min="24" max="24" width="12.5703125" style="2"/>
    <col min="25" max="25" width="33.5703125" style="2" customWidth="1"/>
    <col min="26" max="26" width="13.28515625" style="2" customWidth="1"/>
    <col min="27" max="27" width="12.85546875" style="2" customWidth="1"/>
    <col min="28" max="28" width="12.28515625" style="2" customWidth="1"/>
    <col min="29" max="29" width="14.85546875" style="2" customWidth="1"/>
    <col min="30" max="30" width="13.5703125" style="2" customWidth="1"/>
    <col min="31" max="32" width="14.5703125" style="2" customWidth="1"/>
    <col min="33" max="36" width="12.5703125" style="2"/>
    <col min="37" max="37" width="12.5703125" style="2" customWidth="1"/>
    <col min="38" max="38" width="14.85546875" style="2" customWidth="1"/>
    <col min="39" max="40" width="12.5703125" style="2"/>
    <col min="41" max="41" width="16.5703125" style="2" customWidth="1"/>
    <col min="42" max="42" width="11.140625" style="2" customWidth="1"/>
    <col min="43" max="43" width="14.5703125" style="2" customWidth="1"/>
    <col min="44" max="44" width="7.28515625" style="2" customWidth="1"/>
    <col min="45" max="45" width="26.28515625" style="2" customWidth="1"/>
    <col min="46" max="16384" width="12.5703125" style="2"/>
  </cols>
  <sheetData>
    <row r="1" spans="1:52" ht="15.75" x14ac:dyDescent="0.25">
      <c r="A1" s="1" t="s">
        <v>714</v>
      </c>
      <c r="I1" s="6" t="s">
        <v>125</v>
      </c>
      <c r="J1" s="1551" t="s">
        <v>125</v>
      </c>
      <c r="L1" s="1" t="s">
        <v>715</v>
      </c>
      <c r="S1" s="6" t="s">
        <v>125</v>
      </c>
      <c r="W1" s="1" t="s">
        <v>716</v>
      </c>
      <c r="X1" s="1"/>
      <c r="Y1" s="1"/>
      <c r="Z1" s="1"/>
      <c r="AA1" s="1"/>
      <c r="AB1" s="1"/>
      <c r="AE1" s="6" t="s">
        <v>125</v>
      </c>
      <c r="AF1" s="6"/>
      <c r="AG1" s="6"/>
      <c r="AH1" s="6"/>
      <c r="AI1" s="6"/>
      <c r="AJ1" s="6"/>
      <c r="AK1" s="6"/>
      <c r="AL1" s="6"/>
    </row>
    <row r="2" spans="1:52" x14ac:dyDescent="0.2">
      <c r="A2" s="2" t="s">
        <v>717</v>
      </c>
      <c r="J2" s="1091">
        <f ca="1">NOW()</f>
        <v>44773.562242361113</v>
      </c>
      <c r="L2" s="2" t="s">
        <v>718</v>
      </c>
      <c r="S2" s="545">
        <f ca="1">NOW()</f>
        <v>44773.562242361113</v>
      </c>
      <c r="W2" s="2" t="s">
        <v>719</v>
      </c>
      <c r="AK2" s="545">
        <f>'1'!$L$2</f>
        <v>44663.592256944445</v>
      </c>
      <c r="AL2" s="545"/>
    </row>
    <row r="3" spans="1:52" x14ac:dyDescent="0.2">
      <c r="A3" s="2" t="s">
        <v>602</v>
      </c>
      <c r="B3" s="157" t="str">
        <f>Input_Harvestnew!$B$3</f>
        <v>bc-Coho2229</v>
      </c>
      <c r="J3" s="1092">
        <f ca="1">NOW()</f>
        <v>44773.562242361113</v>
      </c>
      <c r="L3" s="157" t="s">
        <v>602</v>
      </c>
      <c r="M3" s="157" t="str">
        <f>Input_Harvestnew!$B$3</f>
        <v>bc-Coho2229</v>
      </c>
      <c r="S3" s="546">
        <f ca="1">NOW()</f>
        <v>44773.562242361113</v>
      </c>
      <c r="W3" s="157" t="s">
        <v>602</v>
      </c>
      <c r="X3" s="157" t="str">
        <f>B3</f>
        <v>bc-Coho2229</v>
      </c>
      <c r="Y3" s="157"/>
      <c r="Z3" s="157"/>
      <c r="AA3" s="157"/>
      <c r="AB3" s="157"/>
      <c r="AK3" s="546">
        <f>'1'!$L$3</f>
        <v>44663.592256944445</v>
      </c>
      <c r="AL3" s="546"/>
      <c r="AS3" s="2" t="s">
        <v>720</v>
      </c>
    </row>
    <row r="4" spans="1:52" x14ac:dyDescent="0.2">
      <c r="A4" s="2" t="s">
        <v>123</v>
      </c>
      <c r="B4" s="2" t="str">
        <f>Input_Harvestnew!$B$4</f>
        <v>Final PFMC April - Adopted+NOF</v>
      </c>
      <c r="J4" s="1552"/>
      <c r="L4" s="157" t="s">
        <v>123</v>
      </c>
      <c r="M4" s="157" t="str">
        <f>Input_Harvestnew!$B$4</f>
        <v>Final PFMC April - Adopted+NOF</v>
      </c>
      <c r="W4" s="157" t="s">
        <v>123</v>
      </c>
      <c r="X4" s="157" t="str">
        <f>B4</f>
        <v>Final PFMC April - Adopted+NOF</v>
      </c>
      <c r="Y4" s="157"/>
      <c r="Z4" s="157"/>
      <c r="AA4" s="157"/>
      <c r="AB4" s="157"/>
    </row>
    <row r="5" spans="1:52" x14ac:dyDescent="0.2">
      <c r="A5" s="6" t="s">
        <v>125</v>
      </c>
      <c r="B5" s="6" t="s">
        <v>125</v>
      </c>
      <c r="C5" s="6" t="s">
        <v>125</v>
      </c>
      <c r="D5" s="6" t="s">
        <v>125</v>
      </c>
      <c r="E5" s="6" t="s">
        <v>125</v>
      </c>
      <c r="F5" s="6" t="s">
        <v>125</v>
      </c>
      <c r="G5" s="6" t="s">
        <v>125</v>
      </c>
      <c r="H5" s="6" t="s">
        <v>125</v>
      </c>
      <c r="I5" s="6" t="s">
        <v>125</v>
      </c>
      <c r="J5" s="1551" t="s">
        <v>125</v>
      </c>
      <c r="L5" s="6" t="s">
        <v>125</v>
      </c>
      <c r="M5" s="6"/>
      <c r="N5" s="6"/>
      <c r="O5" s="6"/>
      <c r="P5" s="6"/>
      <c r="Q5" s="6"/>
      <c r="R5" s="6"/>
      <c r="S5" s="6"/>
      <c r="T5" s="6" t="s">
        <v>125</v>
      </c>
      <c r="U5" s="6" t="s">
        <v>125</v>
      </c>
      <c r="W5" s="6" t="s">
        <v>125</v>
      </c>
      <c r="X5" s="6"/>
      <c r="Y5" s="6"/>
      <c r="Z5" s="6"/>
      <c r="AA5" s="6"/>
      <c r="AB5" s="6"/>
      <c r="AC5" s="6"/>
      <c r="AD5" s="6"/>
      <c r="AE5" s="6"/>
      <c r="AF5" s="6"/>
      <c r="AG5" s="6"/>
      <c r="AH5" s="6"/>
      <c r="AI5" s="6"/>
      <c r="AJ5" s="6"/>
      <c r="AK5" s="6"/>
      <c r="AL5" s="6"/>
      <c r="AS5" s="6" t="s">
        <v>125</v>
      </c>
      <c r="AT5" s="6"/>
      <c r="AU5" s="6"/>
      <c r="AV5" s="6"/>
      <c r="AW5" s="6"/>
      <c r="AX5" s="6"/>
    </row>
    <row r="6" spans="1:52" x14ac:dyDescent="0.2">
      <c r="A6" s="2" t="s">
        <v>619</v>
      </c>
      <c r="B6" s="1224" t="s">
        <v>721</v>
      </c>
      <c r="C6" s="1224" t="s">
        <v>722</v>
      </c>
      <c r="D6" s="1224" t="s">
        <v>723</v>
      </c>
      <c r="E6" s="1224" t="s">
        <v>724</v>
      </c>
      <c r="F6" s="1224" t="s">
        <v>201</v>
      </c>
      <c r="G6" s="1224" t="s">
        <v>611</v>
      </c>
      <c r="H6" s="1224" t="s">
        <v>725</v>
      </c>
      <c r="J6" s="1552" t="s">
        <v>613</v>
      </c>
      <c r="X6" s="2445" t="s">
        <v>726</v>
      </c>
      <c r="Y6" s="2445"/>
      <c r="Z6" s="2445"/>
      <c r="AA6" s="2445" t="s">
        <v>727</v>
      </c>
      <c r="AB6" s="2445"/>
      <c r="AC6" s="221" t="s">
        <v>728</v>
      </c>
      <c r="AD6" s="221" t="s">
        <v>728</v>
      </c>
      <c r="AE6" s="221" t="s">
        <v>729</v>
      </c>
      <c r="AF6" s="221" t="s">
        <v>730</v>
      </c>
      <c r="AG6" s="221" t="s">
        <v>730</v>
      </c>
      <c r="AH6" s="1224" t="s">
        <v>731</v>
      </c>
      <c r="AI6" s="1224" t="s">
        <v>731</v>
      </c>
      <c r="AJ6" s="1224" t="s">
        <v>633</v>
      </c>
      <c r="AK6" s="1224"/>
      <c r="AL6" s="7"/>
      <c r="AN6" s="1224" t="s">
        <v>732</v>
      </c>
      <c r="AO6" s="1224" t="s">
        <v>733</v>
      </c>
      <c r="AQ6" s="1224" t="s">
        <v>734</v>
      </c>
      <c r="AT6" s="1224" t="s">
        <v>726</v>
      </c>
      <c r="AU6" s="1224"/>
      <c r="AV6" s="1224"/>
      <c r="AW6" s="1224" t="s">
        <v>727</v>
      </c>
      <c r="AX6" s="1224"/>
    </row>
    <row r="7" spans="1:52" ht="15.75" x14ac:dyDescent="0.25">
      <c r="A7" s="7" t="s">
        <v>735</v>
      </c>
      <c r="B7" s="1063" t="e">
        <f>C7/I7</f>
        <v>#DIV/0!</v>
      </c>
      <c r="C7" s="20" t="e">
        <f>SUM(C27,C23,B23)</f>
        <v>#DIV/0!</v>
      </c>
      <c r="D7" s="1063" t="e">
        <f>E7/I7</f>
        <v>#DIV/0!</v>
      </c>
      <c r="E7" s="20" t="e">
        <f>SUM(E27,E23,D23)</f>
        <v>#DIV/0!</v>
      </c>
      <c r="F7" s="1553"/>
      <c r="G7" s="1553"/>
      <c r="H7" s="1554">
        <f>SUM(TRunsPRN!D38)</f>
        <v>106903.2882742519</v>
      </c>
      <c r="I7" s="20" t="e">
        <f>I27+H23</f>
        <v>#DIV/0!</v>
      </c>
      <c r="J7" s="1552" t="s">
        <v>736</v>
      </c>
      <c r="L7" s="156" t="s">
        <v>233</v>
      </c>
      <c r="M7" s="11" t="s">
        <v>737</v>
      </c>
      <c r="N7" s="156" t="s">
        <v>738</v>
      </c>
      <c r="O7" s="156"/>
      <c r="P7" s="156"/>
      <c r="Q7" s="156"/>
      <c r="R7" s="156" t="s">
        <v>739</v>
      </c>
      <c r="W7" s="2" t="s">
        <v>637</v>
      </c>
      <c r="X7" s="1224" t="s">
        <v>740</v>
      </c>
      <c r="Y7" s="1224" t="s">
        <v>334</v>
      </c>
      <c r="Z7" s="1224" t="s">
        <v>741</v>
      </c>
      <c r="AA7" s="1224" t="s">
        <v>334</v>
      </c>
      <c r="AB7" s="1224" t="s">
        <v>741</v>
      </c>
      <c r="AC7" s="1224" t="s">
        <v>334</v>
      </c>
      <c r="AD7" s="1224" t="s">
        <v>332</v>
      </c>
      <c r="AE7" s="1224" t="s">
        <v>742</v>
      </c>
      <c r="AF7" s="1224" t="s">
        <v>334</v>
      </c>
      <c r="AG7" s="1224" t="s">
        <v>332</v>
      </c>
      <c r="AH7" s="1224" t="s">
        <v>552</v>
      </c>
      <c r="AI7" s="1224" t="s">
        <v>742</v>
      </c>
      <c r="AJ7" s="1224" t="s">
        <v>645</v>
      </c>
      <c r="AK7" s="1224" t="s">
        <v>444</v>
      </c>
      <c r="AL7" s="7"/>
      <c r="AN7" s="1224" t="s">
        <v>743</v>
      </c>
      <c r="AO7" s="1224" t="s">
        <v>743</v>
      </c>
      <c r="AP7" s="1224" t="s">
        <v>744</v>
      </c>
      <c r="AQ7" s="1224" t="s">
        <v>745</v>
      </c>
      <c r="AS7" s="2" t="s">
        <v>637</v>
      </c>
      <c r="AT7" s="1224" t="s">
        <v>740</v>
      </c>
      <c r="AU7" s="1224" t="s">
        <v>334</v>
      </c>
      <c r="AV7" s="1224" t="s">
        <v>741</v>
      </c>
      <c r="AW7" s="1224" t="s">
        <v>334</v>
      </c>
      <c r="AX7" s="1224" t="s">
        <v>741</v>
      </c>
    </row>
    <row r="8" spans="1:52" x14ac:dyDescent="0.2">
      <c r="A8" s="7" t="s">
        <v>746</v>
      </c>
      <c r="B8" s="1063" t="e">
        <f>C8/I8</f>
        <v>#DIV/0!</v>
      </c>
      <c r="C8" s="20" t="e">
        <f>SUM(C27,C18,B23)</f>
        <v>#DIV/0!</v>
      </c>
      <c r="D8" s="1063" t="e">
        <f>E8/I8</f>
        <v>#DIV/0!</v>
      </c>
      <c r="E8" s="20" t="e">
        <f>SUM(E27,E18,D23)</f>
        <v>#DIV/0!</v>
      </c>
      <c r="H8" s="20"/>
      <c r="I8" s="20" t="e">
        <f>I27+H18+H20</f>
        <v>#DIV/0!</v>
      </c>
      <c r="J8" s="1552"/>
      <c r="L8" s="6" t="s">
        <v>129</v>
      </c>
      <c r="M8" s="6"/>
      <c r="N8" s="6"/>
      <c r="O8" s="6"/>
      <c r="P8" s="6"/>
      <c r="Q8" s="6"/>
      <c r="R8" s="6"/>
      <c r="S8" s="6"/>
      <c r="W8" s="6" t="s">
        <v>129</v>
      </c>
      <c r="X8" s="6"/>
      <c r="Y8" s="6"/>
      <c r="Z8" s="6"/>
      <c r="AA8" s="6"/>
      <c r="AB8" s="6"/>
      <c r="AC8" s="6"/>
      <c r="AD8" s="6"/>
      <c r="AE8" s="6"/>
      <c r="AF8" s="6"/>
      <c r="AG8" s="6"/>
      <c r="AH8" s="6"/>
      <c r="AI8" s="6"/>
      <c r="AJ8" s="6"/>
      <c r="AK8" s="6"/>
      <c r="AL8" s="7"/>
      <c r="AS8" s="6" t="s">
        <v>129</v>
      </c>
      <c r="AT8" s="6"/>
      <c r="AU8" s="6"/>
      <c r="AV8" s="6"/>
      <c r="AW8" s="6"/>
      <c r="AX8" s="6"/>
    </row>
    <row r="9" spans="1:52" ht="15.75" x14ac:dyDescent="0.25">
      <c r="A9" s="6" t="s">
        <v>129</v>
      </c>
      <c r="B9" s="6" t="s">
        <v>129</v>
      </c>
      <c r="C9" s="6" t="s">
        <v>129</v>
      </c>
      <c r="D9" s="6" t="s">
        <v>129</v>
      </c>
      <c r="E9" s="6" t="s">
        <v>129</v>
      </c>
      <c r="F9" s="6" t="s">
        <v>129</v>
      </c>
      <c r="G9" s="6" t="s">
        <v>129</v>
      </c>
      <c r="H9" s="6" t="s">
        <v>129</v>
      </c>
      <c r="J9" s="1552"/>
      <c r="L9" s="156" t="s">
        <v>635</v>
      </c>
      <c r="M9" s="2" t="s">
        <v>650</v>
      </c>
      <c r="N9" s="1037" t="str">
        <f>Input_Harvestnew!$C$49</f>
        <v>DH (04/11/22)</v>
      </c>
      <c r="O9" s="1037"/>
      <c r="P9" s="1037"/>
      <c r="Q9" s="1037"/>
      <c r="R9" s="1037"/>
      <c r="S9"/>
      <c r="T9" s="2106"/>
      <c r="U9" s="2106"/>
      <c r="W9" s="2" t="s">
        <v>747</v>
      </c>
      <c r="X9" s="1036">
        <f>SUM('2'!I15:I16)</f>
        <v>267</v>
      </c>
      <c r="Y9" s="1035">
        <f>SUM('2'!I20,'2'!I29,'2'!I42,'2'!I44,'2'!I46)</f>
        <v>574</v>
      </c>
      <c r="Z9" s="1035">
        <f>SUM('2'!I17:I18, '2'!I21:I27,'2'!I30:I38,'2'!I41,'2'!I43,'2'!I45)-AE9</f>
        <v>816</v>
      </c>
      <c r="AA9" s="1036">
        <f>SUM('2'!I49,'2'!I53,'2'!I55,'2'!I57)</f>
        <v>38</v>
      </c>
      <c r="AB9" s="1036">
        <f>SUM('2'!I48,'2'!I52,'2'!I54,'2'!I56)</f>
        <v>5</v>
      </c>
      <c r="AC9" s="1027">
        <f>SUM(StockSumPRN!$J$529:$K$529)</f>
        <v>785</v>
      </c>
      <c r="AD9" s="1027">
        <f>SUM(StockSumPRN!$J$528:$K$528)</f>
        <v>0</v>
      </c>
      <c r="AE9" s="1027">
        <f>SUM(StockSumPRN!$J$534:$K$534)</f>
        <v>503</v>
      </c>
      <c r="AF9" s="1012">
        <f>SUM(StockSumPRN!$J$531:$K$531)</f>
        <v>5133</v>
      </c>
      <c r="AG9" s="1012">
        <f>SUM(StockSumPRN!$J$530:$K$530)</f>
        <v>5</v>
      </c>
      <c r="AH9" s="1012">
        <f>SUM(StockSumPRN!$J$532:$K$533)</f>
        <v>203</v>
      </c>
      <c r="AI9" s="1012">
        <f>SUM(StockSumPRN!$J$535:$K$536)</f>
        <v>653</v>
      </c>
      <c r="AJ9" s="1012">
        <f>'2'!I10</f>
        <v>10000</v>
      </c>
      <c r="AK9" s="1020">
        <f>TRunsPRN!$C$105</f>
        <v>16017</v>
      </c>
      <c r="AL9" s="7"/>
      <c r="AM9" s="7" t="s">
        <v>747</v>
      </c>
      <c r="AN9" s="20">
        <f>SUM(X9:AI9)</f>
        <v>8982</v>
      </c>
      <c r="AO9" s="20">
        <f>SUM(StockSumPRN!J618:K618)</f>
        <v>9036</v>
      </c>
      <c r="AP9" s="1034">
        <f>AN9-AO9</f>
        <v>-54</v>
      </c>
      <c r="AQ9" s="1034">
        <f>SUM(StockSumPRN!J464:K497)</f>
        <v>0</v>
      </c>
      <c r="AS9" s="2" t="s">
        <v>747</v>
      </c>
      <c r="AT9" s="1012"/>
      <c r="AW9" s="1012"/>
      <c r="AX9" s="1012"/>
    </row>
    <row r="10" spans="1:52" ht="15.75" x14ac:dyDescent="0.25">
      <c r="J10" s="1552"/>
      <c r="L10" s="157"/>
      <c r="M10" s="1067" t="s">
        <v>748</v>
      </c>
      <c r="N10" s="1326"/>
      <c r="P10" s="1067" t="s">
        <v>749</v>
      </c>
      <c r="Q10" s="1326"/>
      <c r="R10" s="1037"/>
      <c r="S10"/>
      <c r="W10" s="157" t="s">
        <v>750</v>
      </c>
      <c r="X10" s="1033">
        <f>SUM(StockSumPRN!B791:C822)</f>
        <v>21</v>
      </c>
      <c r="Y10" s="1024">
        <f>SUM(StockSumPRN!B660:C660,StockSumPRN!B663:C663,StockSumPRN!B667:C668,StockSumPRN!B703:C703,StockSumPRN!B705:C705,StockSumPRN!B712:C712)</f>
        <v>8</v>
      </c>
      <c r="Z10" s="1024">
        <f>SUM(StockSumPRN!B627:C647,StockSumPRN!B657:C659,StockSumPRN!B661:C662, StockSumPRN!B664:C666, StockSumPRN!B704:C704, StockSumPRN!B711:C711, StockSumPRN!B715:C717, StockSumPRN!B730:C731, StockSumPRN!B742:C742,StockSumPRN!B753:C753,StockSumPRN!B760:C760,StockSumPRN!B776:C776)</f>
        <v>45</v>
      </c>
      <c r="AA10" s="1024">
        <f>SUM(StockSumPRN!B721:C721, StockSumPRN!B726:C726, StockSumPRN!B729:C729,StockSumPRN!B744:C744, StockSumPRN!B746:C746, StockSumPRN!B748:C748, StockSumPRN!B755:C755, StockSumPRN!B757:C757, StockSumPRN!B762:C762, StockSumPRN!B764:C764, StockSumPRN!B766:C766, StockSumPRN!B768:C768, StockSumPRN!B770:C770, StockSumPRN!B778:C778,StockSumPRN!B780:C780,StockSumPRN!B782:C782)</f>
        <v>0</v>
      </c>
      <c r="AB10" s="1024">
        <f>SUM(StockSumPRN!B720:C720, StockSumPRN!B725:C725, StockSumPRN!B743:C743, StockSumPRN!B745:C745, StockSumPRN!B747:C747, StockSumPRN!B754:C754, StockSumPRN!B756:C756, StockSumPRN!B761:C761, StockSumPRN!B777:C777, StockSumPRN!B779:C779, StockSumPRN!B781:C781)</f>
        <v>0</v>
      </c>
      <c r="AC10" s="1027">
        <f>SUM(StockSumPRN!$B$734:$C$734)</f>
        <v>15</v>
      </c>
      <c r="AD10" s="1027">
        <f>SUM(StockSumPRN!$B$733:$C$733)</f>
        <v>0</v>
      </c>
      <c r="AE10" s="1027">
        <f>SUM(StockSumPRN!$B$739:$C$739)</f>
        <v>141</v>
      </c>
      <c r="AF10" s="1012">
        <f>SUM(StockSumPRN!$B$736:$C$736)</f>
        <v>300</v>
      </c>
      <c r="AG10" s="1012">
        <f>SUM(StockSumPRN!$B$735:$C$735)</f>
        <v>0</v>
      </c>
      <c r="AH10" s="1012">
        <f>SUM(StockSumPRN!$B$737:$C$738)</f>
        <v>3</v>
      </c>
      <c r="AI10" s="1012">
        <f>SUM(StockSumPRN!$B$740:$C$741)</f>
        <v>10</v>
      </c>
      <c r="AJ10" s="14">
        <v>0</v>
      </c>
      <c r="AK10" s="1020">
        <f>TRunsPRN!$C$106</f>
        <v>1401</v>
      </c>
      <c r="AL10" s="7"/>
      <c r="AM10" s="7" t="s">
        <v>750</v>
      </c>
      <c r="AN10" s="20">
        <f t="shared" ref="AN10:AN17" si="0">SUM(X10:AI10)</f>
        <v>543</v>
      </c>
      <c r="AO10" s="20">
        <f>SUM(StockSumPRN!B823:C823)</f>
        <v>547</v>
      </c>
      <c r="AP10" s="20">
        <f t="shared" ref="AP10:AP15" si="1">AN10-AO10</f>
        <v>-4</v>
      </c>
      <c r="AQ10" s="20">
        <f>SUM(StockSumPRN!B669:C702)</f>
        <v>0</v>
      </c>
      <c r="AS10" s="157" t="s">
        <v>750</v>
      </c>
      <c r="AT10" s="1032"/>
      <c r="AU10" s="22">
        <f>SUM(StockSumPRN!B660:C660,StockSumPRN!B663:C663,StockSumPRN!B667:C668,StockSumPRN!B703:C703,StockSumPRN!B705:C705,StockSumPRN!B712:C712)</f>
        <v>8</v>
      </c>
      <c r="AV10" s="22">
        <f>SUM(StockSumPRN!B627:C647,StockSumPRN!B657:C659,StockSumPRN!B661:C662, StockSumPRN!B664:C666, StockSumPRN!B704:C704, StockSumPRN!B711:C711, StockSumPRN!B715:C717, StockSumPRN!B730:C731, StockSumPRN!B742:C742,StockSumPRN!B753:C753,StockSumPRN!B760:C760,StockSumPRN!B776:C776)</f>
        <v>45</v>
      </c>
      <c r="AW10" s="22">
        <f>SUM(StockSumPRN!B721:C721, StockSumPRN!B726:C726, StockSumPRN!B729:C729,StockSumPRN!B744:C744, StockSumPRN!B746:C746, StockSumPRN!B748:C748, StockSumPRN!B755:C755, StockSumPRN!B757:C757, StockSumPRN!B762:C762, StockSumPRN!B764:C764, StockSumPRN!B766:C766, StockSumPRN!B768:C768, StockSumPRN!B770:C770, StockSumPRN!B778:C778,StockSumPRN!B780:C780,StockSumPRN!B782:C782)</f>
        <v>0</v>
      </c>
      <c r="AX10" s="22">
        <f>SUM(StockSumPRN!B720:C720, StockSumPRN!B725:C725, StockSumPRN!B743:C743, StockSumPRN!B745:C745, StockSumPRN!B747:C747, StockSumPRN!B754:C754, StockSumPRN!B756:C756, StockSumPRN!B761:C761, StockSumPRN!B777:C777, StockSumPRN!B779:C779, StockSumPRN!B781:C781)</f>
        <v>0</v>
      </c>
      <c r="AY10"/>
      <c r="AZ10"/>
    </row>
    <row r="11" spans="1:52" ht="15.75" x14ac:dyDescent="0.25">
      <c r="A11" s="1" t="s">
        <v>751</v>
      </c>
      <c r="B11" s="7" t="s">
        <v>176</v>
      </c>
      <c r="C11" s="7" t="s">
        <v>495</v>
      </c>
      <c r="D11" s="7" t="s">
        <v>176</v>
      </c>
      <c r="E11" s="7" t="s">
        <v>495</v>
      </c>
      <c r="F11" s="7" t="s">
        <v>647</v>
      </c>
      <c r="G11" s="7" t="s">
        <v>648</v>
      </c>
      <c r="H11" s="7" t="s">
        <v>649</v>
      </c>
      <c r="I11" s="1"/>
      <c r="J11" s="1552"/>
      <c r="L11" s="157" t="s">
        <v>752</v>
      </c>
      <c r="M11" s="1555">
        <f>SUM(M12:M17)</f>
        <v>4.4537303625050484E-2</v>
      </c>
      <c r="N11" s="1037" t="str">
        <f>Input_Harvestnew!G51</f>
        <v>%TAA</v>
      </c>
      <c r="O11" s="1037"/>
      <c r="P11" s="1555">
        <f>SUM(P12:P17)</f>
        <v>9.5617200471520818E-3</v>
      </c>
      <c r="Q11" s="1037"/>
      <c r="R11" s="1037"/>
      <c r="S11"/>
      <c r="W11" s="2" t="s">
        <v>753</v>
      </c>
      <c r="X11" s="1036">
        <f>SUM('2'!J15:J16)</f>
        <v>686</v>
      </c>
      <c r="Y11" s="1035">
        <f>SUM('2'!J20,'2'!J29,'2'!J42,'2'!J44,'2'!J46)</f>
        <v>1484</v>
      </c>
      <c r="Z11" s="1035">
        <f>SUM('2'!J17:J18,'2'!J21:J27,'2'!J30:J38,'2'!J41,'2'!J43,'2'!J45)-AE11</f>
        <v>2121</v>
      </c>
      <c r="AA11" s="1035">
        <f>SUM('2'!J49,'2'!J53,'2'!J55,'2'!J57)</f>
        <v>101</v>
      </c>
      <c r="AB11" s="1035">
        <f>SUM('2'!J48,'2'!J52,'2'!J54,'2'!J56)</f>
        <v>12</v>
      </c>
      <c r="AC11" s="1027">
        <f>SUM(StockSumPRN!$F$734:$G$734)</f>
        <v>2288</v>
      </c>
      <c r="AD11" s="1027">
        <f>SUM(StockSumPRN!$F$733:$G$733)</f>
        <v>0</v>
      </c>
      <c r="AE11" s="1027">
        <f>SUM(StockSumPRN!$F$739:$G$739)</f>
        <v>1548</v>
      </c>
      <c r="AF11" s="1012">
        <f>SUM(StockSumPRN!$F$736:$G$736)</f>
        <v>13303</v>
      </c>
      <c r="AG11" s="1012">
        <f>SUM(StockSumPRN!$F$735:$G$735)</f>
        <v>12</v>
      </c>
      <c r="AH11" s="1012">
        <f>SUM(StockSumPRN!$F$737:$G$738)</f>
        <v>0</v>
      </c>
      <c r="AI11" s="1012">
        <f>SUM(StockSumPRN!$F$740:$G$741)</f>
        <v>50</v>
      </c>
      <c r="AJ11" s="1012">
        <f>'2'!J10</f>
        <v>55000</v>
      </c>
      <c r="AK11" s="1020">
        <f>TRunsPRN!$C$108</f>
        <v>42871</v>
      </c>
      <c r="AL11" s="6"/>
      <c r="AM11" s="7" t="s">
        <v>753</v>
      </c>
      <c r="AN11" s="20">
        <f t="shared" si="0"/>
        <v>21605</v>
      </c>
      <c r="AO11" s="20">
        <f>SUM(StockSumPRN!F823:G823)</f>
        <v>21750</v>
      </c>
      <c r="AP11" s="1034">
        <f t="shared" si="1"/>
        <v>-145</v>
      </c>
      <c r="AQ11" s="1034">
        <f>SUM(StockSumPRN!F669:G702)</f>
        <v>2</v>
      </c>
      <c r="AS11" s="2" t="s">
        <v>753</v>
      </c>
      <c r="AT11" s="1012"/>
      <c r="AU11" s="1031">
        <f>SUM(StockSumPRN!F660:G660,StockSumPRN!F663:G663,StockSumPRN!F667:G668,StockSumPRN!F703:G703,StockSumPRN!F705:G705,StockSumPRN!F712:G712)</f>
        <v>1484</v>
      </c>
      <c r="AV11" s="1031">
        <f>SUM(StockSumPRN!F627:G647,StockSumPRN!F657:G659,StockSumPRN!F661:G662, StockSumPRN!F664:G666, StockSumPRN!F704:G704, StockSumPRN!F711:G711, StockSumPRN!F715:G717, StockSumPRN!F730:G731, StockSumPRN!F742:G742,StockSumPRN!F753:G753,StockSumPRN!F760:G760,StockSumPRN!F776:G776)</f>
        <v>2121</v>
      </c>
      <c r="AW11" s="1031">
        <f>SUM(StockSumPRN!F721:G721, StockSumPRN!F726:G726, StockSumPRN!F729:G729,StockSumPRN!F744:G744, StockSumPRN!F746:G746, StockSumPRN!F748:G748, StockSumPRN!F755:G755, StockSumPRN!F757:G757, StockSumPRN!F762:G762, StockSumPRN!F764:G764, StockSumPRN!F766:G766, StockSumPRN!F768:G768, StockSumPRN!F770:G770, StockSumPRN!F778:G778,StockSumPRN!F780:G780,StockSumPRN!F782:G782)</f>
        <v>101</v>
      </c>
      <c r="AX11" s="1031">
        <f>SUM(StockSumPRN!F720:G720, StockSumPRN!F725:G725, StockSumPRN!F743:G743, StockSumPRN!F745:G745, StockSumPRN!F747:G747, StockSumPRN!F754:G754, StockSumPRN!F756:G756, StockSumPRN!F761:G761, StockSumPRN!F777:G777, StockSumPRN!F779:G779, StockSumPRN!F781:G781)</f>
        <v>12</v>
      </c>
      <c r="AY11" s="37">
        <f>SUM(AU11:AX11)</f>
        <v>3718</v>
      </c>
      <c r="AZ11" s="1" t="s">
        <v>754</v>
      </c>
    </row>
    <row r="12" spans="1:52" x14ac:dyDescent="0.2">
      <c r="B12" s="7" t="s">
        <v>755</v>
      </c>
      <c r="C12" s="7" t="s">
        <v>755</v>
      </c>
      <c r="D12" s="7" t="s">
        <v>756</v>
      </c>
      <c r="E12" s="7" t="s">
        <v>756</v>
      </c>
      <c r="F12" s="7" t="s">
        <v>649</v>
      </c>
      <c r="G12" s="7" t="s">
        <v>649</v>
      </c>
      <c r="H12" s="7" t="s">
        <v>174</v>
      </c>
      <c r="I12" s="2" t="s">
        <v>757</v>
      </c>
      <c r="J12" s="1552" t="s">
        <v>758</v>
      </c>
      <c r="L12" s="157" t="s">
        <v>759</v>
      </c>
      <c r="M12" s="1030">
        <f>Input_Harvestnew!C52</f>
        <v>0</v>
      </c>
      <c r="N12" s="1037" t="str">
        <f>Input_Harvestnew!G52</f>
        <v>%TAA</v>
      </c>
      <c r="O12" s="1037"/>
      <c r="P12" s="1029">
        <f>Input_Harvestnew!E52</f>
        <v>0</v>
      </c>
      <c r="Q12" s="1037"/>
      <c r="R12" s="1037" t="str">
        <f>Input_Harvestnew!H52</f>
        <v>Closed</v>
      </c>
      <c r="S12"/>
      <c r="W12" s="157" t="s">
        <v>760</v>
      </c>
      <c r="X12" s="1033">
        <f>SUM(StockSumPRN!H791:I822)</f>
        <v>370</v>
      </c>
      <c r="Y12" s="1028">
        <f>SUM(StockSumPRN!H660:I660,StockSumPRN!H663:I663,StockSumPRN!H667:I668,StockSumPRN!H703:I703,StockSumPRN!H705:I705,StockSumPRN!H712:I712)</f>
        <v>336</v>
      </c>
      <c r="Z12" s="1028">
        <f>SUM(StockSumPRN!H627:I647, StockSumPRN!H657:I659, StockSumPRN!H661:I662,StockSumPRN!H664:I666, StockSumPRN!H704:I704, StockSumPRN!H711:I711, StockSumPRN!H715:I717, StockSumPRN!H730:I731, StockSumPRN!H742:I742,StockSumPRN!H753:I753,StockSumPRN!H760:I760,StockSumPRN!H776:I776)</f>
        <v>1745</v>
      </c>
      <c r="AA12" s="1028">
        <f>SUM(StockSumPRN!H721:I721, StockSumPRN!H726:I726,StockSumPRN!H729:I729, StockSumPRN!H744:I744, StockSumPRN!H746:I746, StockSumPRN!H748:I748, StockSumPRN!H755:I755, StockSumPRN!H757:I757, StockSumPRN!H762:I762,StockSumPRN!H764:I764, StockSumPRN!H766:I766, StockSumPRN!H768:I768, StockSumPRN!H770:I770, StockSumPRN!H778:I778, StockSumPRN!H780:I780, StockSumPRN!H782:I782)</f>
        <v>22</v>
      </c>
      <c r="AB12" s="1028">
        <f>SUM(StockSumPRN!H720:I720, StockSumPRN!H725:I725,StockSumPRN!H743:I743, StockSumPRN!H745:I745, StockSumPRN!H747:I747,  StockSumPRN!H754:I754, StockSumPRN!H756:I756, StockSumPRN!H761:I761, StockSumPRN!H777:I777, StockSumPRN!H779:I779, StockSumPRN!H781:I781)</f>
        <v>2</v>
      </c>
      <c r="AC12" s="1027">
        <f>SUM(StockSumPRN!$H$734:$I$734)</f>
        <v>380</v>
      </c>
      <c r="AD12" s="1027">
        <f>SUM(StockSumPRN!$H$733:$I$733)</f>
        <v>0</v>
      </c>
      <c r="AE12" s="1027">
        <f>SUM(StockSumPRN!$H$739:$I$739)</f>
        <v>1457</v>
      </c>
      <c r="AF12" s="1027">
        <f>SUM(StockSumPRN!$H$736:$I$736)</f>
        <v>606</v>
      </c>
      <c r="AG12" s="1027">
        <f>SUM(StockSumPRN!$H$735:$I$735)</f>
        <v>0</v>
      </c>
      <c r="AH12" s="1012">
        <f>SUM(StockSumPRN!$H$737:$I$738)</f>
        <v>0</v>
      </c>
      <c r="AI12" s="1012">
        <f>SUM(StockSumPRN!$H$740:$I$741)</f>
        <v>1898</v>
      </c>
      <c r="AJ12" s="14">
        <v>6300</v>
      </c>
      <c r="AK12" s="1020">
        <f>TRunsPRN!$C$109</f>
        <v>8379</v>
      </c>
      <c r="AL12" s="1050"/>
      <c r="AM12" s="7" t="s">
        <v>760</v>
      </c>
      <c r="AN12" s="20">
        <f t="shared" si="0"/>
        <v>6816</v>
      </c>
      <c r="AO12" s="20">
        <f>SUM(StockSumPRN!H823:I823)</f>
        <v>6850</v>
      </c>
      <c r="AP12" s="20">
        <f t="shared" si="1"/>
        <v>-34</v>
      </c>
      <c r="AQ12" s="20">
        <f>SUM(StockSumPRN!H669:I702)</f>
        <v>0</v>
      </c>
      <c r="AS12" s="157" t="s">
        <v>760</v>
      </c>
      <c r="AT12" s="1032"/>
      <c r="AU12" s="1026"/>
      <c r="AV12" s="1025"/>
      <c r="AW12" s="1025"/>
      <c r="AX12" s="1025"/>
      <c r="AY12" s="37"/>
      <c r="AZ12" s="37"/>
    </row>
    <row r="13" spans="1:52" x14ac:dyDescent="0.2">
      <c r="A13" s="2" t="s">
        <v>759</v>
      </c>
      <c r="B13" s="20">
        <f>Table2PRN!E$751*(M12/M$11)+Table2PRN!F$751*(P12/P$11)</f>
        <v>0</v>
      </c>
      <c r="C13" s="1050" t="s">
        <v>761</v>
      </c>
      <c r="D13" s="20">
        <f>Table2PRN!E$961*($M12/$M$11)+Table2PRN!F$961*($P12/$P$11)</f>
        <v>0</v>
      </c>
      <c r="E13" s="1050" t="s">
        <v>761</v>
      </c>
      <c r="F13" s="20">
        <f>FishSumAllPRN!E$957*($M12/$M$11)+FishSumAllPRN!F$957*($P12/$P$11)</f>
        <v>0</v>
      </c>
      <c r="G13" s="1050" t="s">
        <v>761</v>
      </c>
      <c r="H13" s="20">
        <f t="shared" ref="H13:H18" si="2">SUM(F13:G13)</f>
        <v>0</v>
      </c>
      <c r="I13" s="157" t="str">
        <f>R12</f>
        <v>Closed</v>
      </c>
      <c r="J13" s="1552" t="str">
        <f>R29</f>
        <v>NT:closed</v>
      </c>
      <c r="L13" s="157" t="s">
        <v>762</v>
      </c>
      <c r="M13" s="1030">
        <f>Input_Harvestnew!C53</f>
        <v>0</v>
      </c>
      <c r="N13" s="1037" t="str">
        <f>Input_Harvestnew!G53</f>
        <v>%TAA</v>
      </c>
      <c r="O13" s="1037"/>
      <c r="P13" s="1029">
        <f>Input_Harvestnew!E53</f>
        <v>0</v>
      </c>
      <c r="Q13" s="1037"/>
      <c r="R13" s="1037">
        <f>Input_Harvestnew!H53</f>
        <v>0</v>
      </c>
      <c r="S13"/>
      <c r="W13" s="157" t="s">
        <v>763</v>
      </c>
      <c r="X13" s="1509" t="s">
        <v>294</v>
      </c>
      <c r="Y13" s="1023" t="s">
        <v>294</v>
      </c>
      <c r="Z13" s="1023" t="s">
        <v>294</v>
      </c>
      <c r="AA13" s="1023" t="s">
        <v>294</v>
      </c>
      <c r="AB13" s="1023" t="s">
        <v>294</v>
      </c>
      <c r="AC13" s="1509" t="s">
        <v>294</v>
      </c>
      <c r="AD13" s="1509" t="s">
        <v>294</v>
      </c>
      <c r="AE13" s="1509" t="s">
        <v>294</v>
      </c>
      <c r="AF13" s="1509" t="s">
        <v>294</v>
      </c>
      <c r="AG13" s="1509" t="s">
        <v>294</v>
      </c>
      <c r="AH13" s="1509" t="s">
        <v>294</v>
      </c>
      <c r="AI13" s="1509" t="s">
        <v>294</v>
      </c>
      <c r="AJ13" s="1509" t="s">
        <v>294</v>
      </c>
      <c r="AK13" s="1509" t="s">
        <v>294</v>
      </c>
      <c r="AL13" s="323"/>
      <c r="AM13" s="7" t="s">
        <v>763</v>
      </c>
      <c r="AN13" s="20">
        <f t="shared" si="0"/>
        <v>0</v>
      </c>
      <c r="AO13" s="20"/>
      <c r="AP13" s="20">
        <f t="shared" si="1"/>
        <v>0</v>
      </c>
      <c r="AQ13" s="20"/>
      <c r="AS13" s="157" t="s">
        <v>763</v>
      </c>
      <c r="AT13" s="1509"/>
      <c r="AU13" s="1509"/>
      <c r="AV13" s="1509"/>
      <c r="AW13" s="1509"/>
      <c r="AX13" s="1509"/>
      <c r="AY13" s="37"/>
      <c r="AZ13" s="37"/>
    </row>
    <row r="14" spans="1:52" x14ac:dyDescent="0.2">
      <c r="A14" s="2" t="s">
        <v>762</v>
      </c>
      <c r="B14" s="20">
        <f>Table2PRN!E$751*(M13/M$11)+Table2PRN!F$751*(P13/P$11)</f>
        <v>0</v>
      </c>
      <c r="C14" s="20" t="e">
        <f>Table2PRN!E$750*(M30/SUM(M$30:M$32))+Table2PRN!F$750*(P30/SUM(P$30:P$32))</f>
        <v>#DIV/0!</v>
      </c>
      <c r="D14" s="20">
        <f>Table2PRN!E$961*(M13/M$11)+Table2PRN!F$961*(P13/P$11)</f>
        <v>0</v>
      </c>
      <c r="E14" s="20" t="e">
        <f>Table2PRN!E$960*(M30/SUM(M$30:M$32))+Table2PRN!F$960*(P30/SUM(P$30:P$32))</f>
        <v>#DIV/0!</v>
      </c>
      <c r="F14" s="20">
        <f>FishSumAllPRN!E$957*($M13/$M$11)+FishSumAllPRN!F$957*($P13/$P$11)</f>
        <v>0</v>
      </c>
      <c r="G14" s="20" t="e">
        <f>FishSumAllPRN!E$956*($M30/SUM(M$30:M$32))+FishSumAllPRN!F$956*($P30/SUM(P$30:P$32))</f>
        <v>#DIV/0!</v>
      </c>
      <c r="H14" s="20" t="e">
        <f t="shared" si="2"/>
        <v>#DIV/0!</v>
      </c>
      <c r="I14" s="157">
        <f>R13</f>
        <v>0</v>
      </c>
      <c r="J14" s="1552" t="str">
        <f>R30</f>
        <v>KA 2/28/2022 Closed</v>
      </c>
      <c r="L14" s="157" t="s">
        <v>764</v>
      </c>
      <c r="M14" s="1030">
        <f>Input_Harvestnew!C54</f>
        <v>4.4537303625050484E-2</v>
      </c>
      <c r="N14" s="1037" t="str">
        <f>Input_Harvestnew!G54</f>
        <v>%TAA</v>
      </c>
      <c r="O14" s="1037"/>
      <c r="P14" s="1029">
        <f>Input_Harvestnew!E54</f>
        <v>9.5617200471520818E-3</v>
      </c>
      <c r="Q14" s="1037"/>
      <c r="R14" s="1037" t="str">
        <f>Input_Harvestnew!H54</f>
        <v xml:space="preserve">DH (04/11/22) 8A Tulalip Comm (based on 2017-20 wks 37-40 and based on 2012-2014 wks 41-42), schedule to 3,3,3,2,2 days per wk for wks 37-41. </v>
      </c>
      <c r="S14"/>
      <c r="T14" s="100"/>
      <c r="U14" s="100"/>
      <c r="W14" s="2" t="s">
        <v>765</v>
      </c>
      <c r="X14" s="1011">
        <f>SUM(StockSumPRN!D791:E822)</f>
        <v>149</v>
      </c>
      <c r="Y14" s="1024">
        <f>SUM(StockSumPRN!D660:E660,StockSumPRN!D663:E663,StockSumPRN!D667:E668,StockSumPRN!D703:E703,StockSumPRN!D705:E705,StockSumPRN!D712:E712)</f>
        <v>118</v>
      </c>
      <c r="Z14" s="1024">
        <f>SUM(StockSumPRN!D627:E647,StockSumPRN!D657:E659, StockSumPRN!D661:E662, StockSumPRN!D664:E666,StockSumPRN!D704:E704,StockSumPRN!D711:E711,StockSumPRN!D715:E717, StockSumPRN!D730:E731, StockSumPRN!D742:E742, StockSumPRN!D753:E753, StockSumPRN!D760:E760,StockSumPRN!D776:E776)</f>
        <v>713</v>
      </c>
      <c r="AA14" s="1024">
        <f>SUM(StockSumPRN!D721:E721, StockSumPRN!D726:E726,StockSumPRN!D729:E729, StockSumPRN!D744:E744, StockSumPRN!D746:E746, StockSumPRN!D748:E748, StockSumPRN!D755:E755, StockSumPRN!D757:E757, StockSumPRN!D762:E762, StockSumPRN!D764:E764, StockSumPRN!D766:E766, StockSumPRN!D768:E768, StockSumPRN!D770:E770, StockSumPRN!D778:E778, StockSumPRN!D780:E780, StockSumPRN!D782:E782)</f>
        <v>6</v>
      </c>
      <c r="AB14" s="1024">
        <f>SUM(StockSumPRN!D720:E720, StockSumPRN!D725:E725, StockSumPRN!D743:E743, StockSumPRN!D745:E745, StockSumPRN!D747:E747, StockSumPRN!D754:E754, StockSumPRN!D756:E756, StockSumPRN!D761:E761, StockSumPRN!D777:E777, StockSumPRN!D779:E779, StockSumPRN!D781:E781)</f>
        <v>0</v>
      </c>
      <c r="AC14" s="1027">
        <f>SUM(StockSumPRN!$D$734:$E$734)</f>
        <v>294</v>
      </c>
      <c r="AD14" s="1027">
        <f>SUM(StockSumPRN!$D$733:$E$733)</f>
        <v>0</v>
      </c>
      <c r="AE14" s="1027">
        <f>SUM(StockSumPRN!$D$739:$E$739)</f>
        <v>172</v>
      </c>
      <c r="AF14" s="1027">
        <f>SUM(StockSumPRN!$D$736:$E$736)</f>
        <v>4245</v>
      </c>
      <c r="AG14" s="1027">
        <f>SUM(StockSumPRN!$D$735:$E$735)</f>
        <v>4</v>
      </c>
      <c r="AH14" s="1027">
        <f>SUM(StockSumPRN!$D$737:$E$738)</f>
        <v>0</v>
      </c>
      <c r="AI14" s="1027">
        <f>SUM(StockSumPRN!$D$740:$E$741)</f>
        <v>0</v>
      </c>
      <c r="AJ14" s="14">
        <v>0</v>
      </c>
      <c r="AK14" s="1020">
        <f>TRunsPRN!$C$107</f>
        <v>28</v>
      </c>
      <c r="AL14" s="1050"/>
      <c r="AM14" s="7" t="s">
        <v>765</v>
      </c>
      <c r="AN14" s="20">
        <f t="shared" si="0"/>
        <v>5701</v>
      </c>
      <c r="AO14" s="20">
        <f>SUM(StockSumPRN!D823:E823)</f>
        <v>5717</v>
      </c>
      <c r="AP14" s="20">
        <f t="shared" si="1"/>
        <v>-16</v>
      </c>
      <c r="AQ14" s="20">
        <f>SUM(StockSumPRN!D669:E702)</f>
        <v>0</v>
      </c>
      <c r="AS14" s="2" t="s">
        <v>765</v>
      </c>
      <c r="AT14" s="21"/>
      <c r="AU14" s="21"/>
      <c r="AV14" s="8"/>
      <c r="AW14" s="8"/>
      <c r="AX14" s="8"/>
      <c r="AY14" s="37"/>
      <c r="AZ14" s="37"/>
    </row>
    <row r="15" spans="1:52" x14ac:dyDescent="0.2">
      <c r="A15" s="2" t="s">
        <v>764</v>
      </c>
      <c r="B15" s="20">
        <f>Table2PRN!E$751*(M14/M$11)+Table2PRN!F$751*(P14/P$11)</f>
        <v>785</v>
      </c>
      <c r="C15" s="20" t="e">
        <f>Table2PRN!E$750*(M31/SUM(M$30:M$32))+Table2PRN!F$750*(P31/SUM(P$30:P$32))</f>
        <v>#DIV/0!</v>
      </c>
      <c r="D15" s="20">
        <f>Table2PRN!E$961*(M14/M$11)+Table2PRN!F$961*(P14/P$11)</f>
        <v>2288</v>
      </c>
      <c r="E15" s="20" t="e">
        <f>Table2PRN!E$960*(M31/SUM(M$30:M$32))+Table2PRN!F$960*(P31/SUM(P$30:P$32))</f>
        <v>#DIV/0!</v>
      </c>
      <c r="F15" s="20">
        <f>FishSumAllPRN!E$957*($M14/$M$11)+FishSumAllPRN!F$957*($P14/$P$11)</f>
        <v>5748</v>
      </c>
      <c r="G15" s="20" t="e">
        <f>FishSumAllPRN!E$956*($M31/SUM(M$30:M$32))+FishSumAllPRN!F$956*($P31/SUM(P$30:P$32))</f>
        <v>#DIV/0!</v>
      </c>
      <c r="H15" s="20" t="e">
        <f t="shared" si="2"/>
        <v>#DIV/0!</v>
      </c>
      <c r="I15" s="2" t="str">
        <f>R14</f>
        <v xml:space="preserve">DH (04/11/22) 8A Tulalip Comm (based on 2017-20 wks 37-40 and based on 2012-2014 wks 41-42), schedule to 3,3,3,2,2 days per wk for wks 37-41. </v>
      </c>
      <c r="J15" s="1552" t="str">
        <f>R31</f>
        <v>KA 2/28/2022 Closed</v>
      </c>
      <c r="L15" s="157" t="s">
        <v>766</v>
      </c>
      <c r="M15" s="1030">
        <f>Input_Harvestnew!C55</f>
        <v>0</v>
      </c>
      <c r="N15" s="1037" t="str">
        <f>Input_Harvestnew!G55</f>
        <v>%TAA</v>
      </c>
      <c r="O15" s="1037"/>
      <c r="P15" s="1029">
        <f>Input_Harvestnew!E55</f>
        <v>0</v>
      </c>
      <c r="Q15" s="1037"/>
      <c r="R15" s="1037" t="str">
        <f>Input_Harvestnew!H55</f>
        <v>DH (02/25/22): 8A Tulalip Commercial Fishery Closed</v>
      </c>
      <c r="S15"/>
      <c r="T15" s="100"/>
      <c r="U15" s="100"/>
      <c r="W15" s="2" t="s">
        <v>767</v>
      </c>
      <c r="X15" s="1011">
        <f>SUM(StockSumPRN!J791:K822)</f>
        <v>18</v>
      </c>
      <c r="Y15" s="1024">
        <f>SUM(StockSumPRN!J660:K660,StockSumPRN!J663:K663,StockSumPRN!J667:K668,StockSumPRN!J703:K703,StockSumPRN!J705:K705,StockSumPRN!J712:K712)</f>
        <v>21</v>
      </c>
      <c r="Z15" s="1024">
        <f>SUM(StockSumPRN!J627:K647,StockSumPRN!J657:K659, StockSumPRN!J661:K662, StockSumPRN!J664:K666,StockSumPRN!J704:K704,StockSumPRN!J711:K711,StockSumPRN!J715:K717, StockSumPRN!J730:K731, StockSumPRN!J742:K742, StockSumPRN!J753:K753, StockSumPRN!J760:K760,StockSumPRN!J776:K776)</f>
        <v>90</v>
      </c>
      <c r="AA15" s="1024">
        <f>SUM(StockSumPRN!J721:K721, StockSumPRN!J726:K726,StockSumPRN!J729:K729, StockSumPRN!J744:K744, StockSumPRN!J746:K746, StockSumPRN!J748:K748, StockSumPRN!J755:K755, StockSumPRN!J757:K757, StockSumPRN!J762:K762, StockSumPRN!J764:K764, StockSumPRN!J766:K766, StockSumPRN!J768:K768, StockSumPRN!J770:K770, StockSumPRN!J778:K778, StockSumPRN!J780:K780, StockSumPRN!J782:K782)</f>
        <v>0</v>
      </c>
      <c r="AB15" s="1024">
        <f>SUM(StockSumPRN!J720:K720, StockSumPRN!J725:K725, StockSumPRN!J743:K743, StockSumPRN!J745:K745, StockSumPRN!J747:K747, StockSumPRN!J754:K754, StockSumPRN!J756:K756, StockSumPRN!J761:K761, StockSumPRN!J777:K777, StockSumPRN!J779:K779, StockSumPRN!J781:K781)</f>
        <v>0</v>
      </c>
      <c r="AC15" s="1023">
        <f>SUM(StockSumPRN!$J$734:$K$734)</f>
        <v>63</v>
      </c>
      <c r="AD15" s="1027">
        <f>SUM(StockSumPRN!$J$733:$K$733)</f>
        <v>0</v>
      </c>
      <c r="AE15" s="1027">
        <f>SUM(StockSumPRN!$J$739:$K$739)</f>
        <v>0</v>
      </c>
      <c r="AF15" s="1027">
        <f>SUM(StockSumPRN!$J$736:$K$736)</f>
        <v>144</v>
      </c>
      <c r="AG15" s="1027">
        <f>SUM(StockSumPRN!$J$735:$K$735)</f>
        <v>0</v>
      </c>
      <c r="AH15" s="1027">
        <f>SUM(StockSumPRN!$J$737:$K$738)</f>
        <v>0</v>
      </c>
      <c r="AI15" s="1027">
        <f>SUM(StockSumPRN!$J$740:$K$741)</f>
        <v>0</v>
      </c>
      <c r="AJ15" s="14">
        <v>0</v>
      </c>
      <c r="AK15" s="1023">
        <f>TRunsPRN!C218</f>
        <v>1513</v>
      </c>
      <c r="AL15" s="1050"/>
      <c r="AM15" s="7" t="s">
        <v>767</v>
      </c>
      <c r="AN15" s="20">
        <f t="shared" si="0"/>
        <v>336</v>
      </c>
      <c r="AO15" s="20">
        <f>SUM(StockSumPRN!J823:K823)</f>
        <v>340</v>
      </c>
      <c r="AP15" s="20">
        <f t="shared" si="1"/>
        <v>-4</v>
      </c>
      <c r="AQ15" s="20">
        <f>SUM(StockSumPRN!J669:K702)</f>
        <v>0</v>
      </c>
      <c r="AS15" s="2" t="s">
        <v>767</v>
      </c>
      <c r="AT15" s="21"/>
      <c r="AU15" s="21"/>
      <c r="AV15" s="21"/>
      <c r="AW15" s="1022"/>
      <c r="AX15" s="1022"/>
      <c r="AY15" s="37"/>
      <c r="AZ15" s="37"/>
    </row>
    <row r="16" spans="1:52" ht="15.75" x14ac:dyDescent="0.25">
      <c r="A16" s="2" t="s">
        <v>766</v>
      </c>
      <c r="B16" s="20">
        <f>Table2PRN!E$751*(M15/M$11)+Table2PRN!F$751*(P15/P$11)</f>
        <v>0</v>
      </c>
      <c r="C16" s="20" t="e">
        <f>Table2PRN!E$750*(M32/SUM(M$30:M$32))+Table2PRN!F$750*(P32/SUM(P$30:P$32))</f>
        <v>#DIV/0!</v>
      </c>
      <c r="D16" s="20">
        <f>Table2PRN!E$961*(M15/M$11)+Table2PRN!F$961*(P15/P$11)</f>
        <v>0</v>
      </c>
      <c r="E16" s="20" t="e">
        <f>Table2PRN!E$960*(M32/SUM(M$30:M$32))+Table2PRN!F$960*(P32/SUM(P$30:P$32))</f>
        <v>#DIV/0!</v>
      </c>
      <c r="F16" s="20">
        <f>FishSumAllPRN!E$957*($M15/$M$11)+FishSumAllPRN!F$957*($P15/$P$11)</f>
        <v>0</v>
      </c>
      <c r="G16" s="20" t="e">
        <f>FishSumAllPRN!E$956*($M32/SUM(M$30:M$32))+FishSumAllPRN!F$956*($P32/SUM(P$30:P$32))</f>
        <v>#DIV/0!</v>
      </c>
      <c r="H16" s="20" t="e">
        <f t="shared" si="2"/>
        <v>#DIV/0!</v>
      </c>
      <c r="I16" s="2" t="str">
        <f>R15</f>
        <v>DH (02/25/22): 8A Tulalip Commercial Fishery Closed</v>
      </c>
      <c r="J16" s="1552" t="str">
        <f>R32</f>
        <v>KA 2/28/2022 Closed</v>
      </c>
      <c r="L16" s="157" t="s">
        <v>768</v>
      </c>
      <c r="M16" s="1030">
        <f>Input_Harvestnew!C56</f>
        <v>0</v>
      </c>
      <c r="N16" s="1037" t="str">
        <f>Input_Harvestnew!G56</f>
        <v>%TAA</v>
      </c>
      <c r="O16" s="1037"/>
      <c r="P16" s="1029">
        <f>Input_Harvestnew!E56</f>
        <v>0</v>
      </c>
      <c r="Q16" s="1037"/>
      <c r="R16" s="1037" t="str">
        <f>Input_Harvestnew!H56</f>
        <v>DH (02/25/22):  begin wk 49</v>
      </c>
      <c r="S16"/>
      <c r="T16" s="100"/>
      <c r="U16" s="100"/>
      <c r="AL16" s="1509"/>
      <c r="AM16" s="7"/>
      <c r="AN16" s="20">
        <f t="shared" si="0"/>
        <v>0</v>
      </c>
      <c r="AY16" s="1"/>
      <c r="AZ16" s="1"/>
    </row>
    <row r="17" spans="1:52" ht="15.75" x14ac:dyDescent="0.25">
      <c r="A17" s="2" t="s">
        <v>768</v>
      </c>
      <c r="B17" s="20">
        <f>Table2PRN!E$751*(M16/M$11)+Table2PRN!F$751*(P16/P$11)</f>
        <v>0</v>
      </c>
      <c r="C17" s="1050" t="s">
        <v>761</v>
      </c>
      <c r="D17" s="20">
        <f>Table2PRN!E$961*(M16/M$11)+Table2PRN!F$961*(P16/P$11)</f>
        <v>0</v>
      </c>
      <c r="E17" s="1050" t="s">
        <v>761</v>
      </c>
      <c r="F17" s="20">
        <f>FishSumAllPRN!E$957*($M16/$M$11)+FishSumAllPRN!F$957*($P16/$P$11)</f>
        <v>0</v>
      </c>
      <c r="G17" s="1050" t="s">
        <v>761</v>
      </c>
      <c r="H17" s="1050" t="s">
        <v>761</v>
      </c>
      <c r="I17" s="2" t="str">
        <f>R16</f>
        <v>DH (02/25/22):  begin wk 49</v>
      </c>
      <c r="J17" s="1552" t="e">
        <f>#REF!</f>
        <v>#REF!</v>
      </c>
      <c r="L17" s="157" t="s">
        <v>769</v>
      </c>
      <c r="M17" s="1030">
        <f>Input_Harvestnew!C57</f>
        <v>0</v>
      </c>
      <c r="N17" s="1037" t="str">
        <f>Input_Harvestnew!G57</f>
        <v>%TAA</v>
      </c>
      <c r="O17" s="1037"/>
      <c r="P17" s="1029">
        <f>Input_Harvestnew!E57</f>
        <v>0</v>
      </c>
      <c r="Q17" s="1037"/>
      <c r="R17" s="1037" t="str">
        <f>Input_Harvestnew!H57</f>
        <v>DH (02/25/22):  Closed</v>
      </c>
      <c r="S17"/>
      <c r="T17" s="100"/>
      <c r="U17" s="100"/>
      <c r="W17" s="2" t="s">
        <v>770</v>
      </c>
      <c r="X17" s="1509" t="s">
        <v>294</v>
      </c>
      <c r="Y17" s="1509" t="s">
        <v>294</v>
      </c>
      <c r="Z17" s="1509" t="s">
        <v>294</v>
      </c>
      <c r="AA17" s="1509" t="s">
        <v>294</v>
      </c>
      <c r="AB17" s="1509" t="s">
        <v>294</v>
      </c>
      <c r="AC17" s="20">
        <f t="shared" ref="AC17:AI17" si="3">AC24-AC23</f>
        <v>1923</v>
      </c>
      <c r="AD17" s="20">
        <f t="shared" si="3"/>
        <v>0</v>
      </c>
      <c r="AE17" s="20">
        <f>AE24-AE23</f>
        <v>860</v>
      </c>
      <c r="AF17" s="20">
        <f t="shared" si="3"/>
        <v>0</v>
      </c>
      <c r="AG17" s="20">
        <f>AG24-AG23</f>
        <v>0</v>
      </c>
      <c r="AH17" s="1509">
        <f t="shared" si="3"/>
        <v>0</v>
      </c>
      <c r="AI17" s="1509">
        <f t="shared" si="3"/>
        <v>0</v>
      </c>
      <c r="AJ17" s="1509" t="s">
        <v>294</v>
      </c>
      <c r="AK17" s="1509" t="s">
        <v>294</v>
      </c>
      <c r="AL17" s="1050"/>
      <c r="AM17" s="7" t="s">
        <v>770</v>
      </c>
      <c r="AN17" s="20">
        <f t="shared" si="0"/>
        <v>2783</v>
      </c>
      <c r="AS17" s="2" t="s">
        <v>770</v>
      </c>
      <c r="AT17" s="1509" t="s">
        <v>294</v>
      </c>
      <c r="AU17" s="1509" t="s">
        <v>294</v>
      </c>
      <c r="AV17" s="1509" t="s">
        <v>294</v>
      </c>
      <c r="AW17" s="1509" t="s">
        <v>294</v>
      </c>
      <c r="AX17" s="1509" t="s">
        <v>294</v>
      </c>
      <c r="AY17" s="1"/>
      <c r="AZ17" s="1"/>
    </row>
    <row r="18" spans="1:52" ht="15.75" x14ac:dyDescent="0.25">
      <c r="A18" s="2" t="s">
        <v>771</v>
      </c>
      <c r="B18" s="1012">
        <f t="shared" ref="B18:G18" si="4">SUM(B13:B17)</f>
        <v>785</v>
      </c>
      <c r="C18" s="1012" t="e">
        <f>SUM(C13:C17)</f>
        <v>#DIV/0!</v>
      </c>
      <c r="D18" s="1012">
        <f t="shared" si="4"/>
        <v>2288</v>
      </c>
      <c r="E18" s="1012" t="e">
        <f t="shared" si="4"/>
        <v>#DIV/0!</v>
      </c>
      <c r="F18" s="1012">
        <f t="shared" si="4"/>
        <v>5748</v>
      </c>
      <c r="G18" s="1012" t="e">
        <f t="shared" si="4"/>
        <v>#DIV/0!</v>
      </c>
      <c r="H18" s="20" t="e">
        <f t="shared" si="2"/>
        <v>#DIV/0!</v>
      </c>
      <c r="I18" s="157" t="str">
        <f>N9</f>
        <v>DH (04/11/22)</v>
      </c>
      <c r="J18" s="1552" t="str">
        <f>N26</f>
        <v>KA 2/28/22</v>
      </c>
      <c r="L18" s="157"/>
      <c r="M18" s="1029"/>
      <c r="N18" s="1037"/>
      <c r="O18" s="1037"/>
      <c r="P18" s="1029"/>
      <c r="Q18" s="1037"/>
      <c r="R18" s="1037"/>
      <c r="S18"/>
      <c r="T18" s="100"/>
      <c r="U18" s="100"/>
      <c r="W18" s="6" t="s">
        <v>129</v>
      </c>
      <c r="X18" s="6"/>
      <c r="Y18" s="6"/>
      <c r="Z18" s="6"/>
      <c r="AA18" s="6"/>
      <c r="AB18" s="6"/>
      <c r="AC18" s="6"/>
      <c r="AD18" s="6"/>
      <c r="AE18" s="6"/>
      <c r="AF18" s="6" t="s">
        <v>129</v>
      </c>
      <c r="AG18" s="6"/>
      <c r="AH18" s="6" t="s">
        <v>129</v>
      </c>
      <c r="AI18" s="6" t="s">
        <v>129</v>
      </c>
      <c r="AJ18" s="6" t="s">
        <v>129</v>
      </c>
      <c r="AK18" s="6" t="s">
        <v>129</v>
      </c>
      <c r="AL18" s="1050"/>
      <c r="AS18" s="6" t="s">
        <v>129</v>
      </c>
      <c r="AT18" s="6"/>
      <c r="AU18" s="6"/>
      <c r="AV18" s="6"/>
      <c r="AW18" s="6"/>
      <c r="AX18" s="6"/>
      <c r="AY18" s="1"/>
      <c r="AZ18" s="1"/>
    </row>
    <row r="19" spans="1:52" ht="15.75" x14ac:dyDescent="0.25">
      <c r="B19" s="20"/>
      <c r="C19" s="20"/>
      <c r="D19" s="20"/>
      <c r="E19" s="20"/>
      <c r="F19" s="20"/>
      <c r="G19" s="1021"/>
      <c r="H19" s="20"/>
      <c r="J19" s="1552"/>
      <c r="L19" s="157" t="s">
        <v>772</v>
      </c>
      <c r="M19" s="1029"/>
      <c r="N19" s="1037"/>
      <c r="O19" s="1037"/>
      <c r="P19" s="1029"/>
      <c r="Q19" s="1037"/>
      <c r="R19" s="1037"/>
      <c r="S19"/>
      <c r="T19" s="100"/>
      <c r="U19" s="100"/>
      <c r="W19" s="2" t="s">
        <v>773</v>
      </c>
      <c r="X19" s="20">
        <f t="shared" ref="X19:AI19" si="5">X9</f>
        <v>267</v>
      </c>
      <c r="Y19" s="20">
        <f t="shared" si="5"/>
        <v>574</v>
      </c>
      <c r="Z19" s="20">
        <f t="shared" si="5"/>
        <v>816</v>
      </c>
      <c r="AA19" s="20">
        <f t="shared" si="5"/>
        <v>38</v>
      </c>
      <c r="AB19" s="20">
        <f t="shared" si="5"/>
        <v>5</v>
      </c>
      <c r="AC19" s="20">
        <f t="shared" si="5"/>
        <v>785</v>
      </c>
      <c r="AD19" s="20">
        <f t="shared" si="5"/>
        <v>0</v>
      </c>
      <c r="AE19" s="20">
        <f>AE9</f>
        <v>503</v>
      </c>
      <c r="AF19" s="20">
        <f t="shared" si="5"/>
        <v>5133</v>
      </c>
      <c r="AG19" s="20">
        <f t="shared" si="5"/>
        <v>5</v>
      </c>
      <c r="AH19" s="20">
        <f t="shared" si="5"/>
        <v>203</v>
      </c>
      <c r="AI19" s="20">
        <f t="shared" si="5"/>
        <v>653</v>
      </c>
      <c r="AJ19" s="1509" t="s">
        <v>294</v>
      </c>
      <c r="AK19" s="20">
        <f>AK9</f>
        <v>16017</v>
      </c>
      <c r="AY19" s="1"/>
      <c r="AZ19" s="1"/>
    </row>
    <row r="20" spans="1:52" x14ac:dyDescent="0.2">
      <c r="A20" s="2" t="s">
        <v>769</v>
      </c>
      <c r="B20" s="20">
        <f>Table2PRN!E$751*(M17/M$11)+Table2PRN!F$751*(P17/P$11)</f>
        <v>0</v>
      </c>
      <c r="C20" s="1050" t="s">
        <v>297</v>
      </c>
      <c r="D20" s="20">
        <f>Table2PRN!E$961*(M17/M$11)+Table2PRN!F$961*(P17/P$11)</f>
        <v>0</v>
      </c>
      <c r="E20" s="7" t="s">
        <v>297</v>
      </c>
      <c r="F20" s="20">
        <f>FishSumAllPRN!E$957*($M17/$M$11)+FishSumAllPRN!F$957*($P17/$P$11)</f>
        <v>0</v>
      </c>
      <c r="G20" s="1050" t="s">
        <v>297</v>
      </c>
      <c r="H20" s="20">
        <f>SUM(F20:G20)</f>
        <v>0</v>
      </c>
      <c r="I20" s="2" t="str">
        <f>R17</f>
        <v>DH (02/25/22):  Closed</v>
      </c>
      <c r="J20" s="1552" t="s">
        <v>774</v>
      </c>
      <c r="L20" s="157" t="s">
        <v>775</v>
      </c>
      <c r="M20" s="1029">
        <f>Input_Harvestnew!C62</f>
        <v>0.15018405303419613</v>
      </c>
      <c r="N20" s="1037" t="str">
        <f>Input_Harvestnew!G62</f>
        <v>%TAA</v>
      </c>
      <c r="O20" s="1037"/>
      <c r="P20" s="1029">
        <f>Input_Harvestnew!E62</f>
        <v>7.6448051408352535E-2</v>
      </c>
      <c r="Q20" s="1037"/>
      <c r="R20" s="1037" t="str">
        <f>Input_Harvestnew!H62</f>
        <v>DH (02/25/22): based on 2017-2020</v>
      </c>
      <c r="S20"/>
      <c r="W20" s="2" t="s">
        <v>776</v>
      </c>
      <c r="X20" s="20">
        <f t="shared" ref="X20:AI20" si="6">X11</f>
        <v>686</v>
      </c>
      <c r="Y20" s="20">
        <f t="shared" si="6"/>
        <v>1484</v>
      </c>
      <c r="Z20" s="20">
        <f t="shared" si="6"/>
        <v>2121</v>
      </c>
      <c r="AA20" s="20">
        <f t="shared" si="6"/>
        <v>101</v>
      </c>
      <c r="AB20" s="20">
        <f t="shared" si="6"/>
        <v>12</v>
      </c>
      <c r="AC20" s="20">
        <f t="shared" si="6"/>
        <v>2288</v>
      </c>
      <c r="AD20" s="20">
        <f t="shared" si="6"/>
        <v>0</v>
      </c>
      <c r="AE20" s="20">
        <f>AE11</f>
        <v>1548</v>
      </c>
      <c r="AF20" s="20">
        <f t="shared" si="6"/>
        <v>13303</v>
      </c>
      <c r="AG20" s="20">
        <f t="shared" si="6"/>
        <v>12</v>
      </c>
      <c r="AH20" s="20">
        <f t="shared" si="6"/>
        <v>0</v>
      </c>
      <c r="AI20" s="20">
        <f t="shared" si="6"/>
        <v>50</v>
      </c>
      <c r="AJ20" s="1509" t="s">
        <v>294</v>
      </c>
      <c r="AK20" s="20">
        <f>AK11</f>
        <v>42871</v>
      </c>
      <c r="AL20" s="1509"/>
      <c r="AO20"/>
      <c r="AS20" s="2" t="s">
        <v>747</v>
      </c>
      <c r="AU20" s="1109">
        <f>SUM('2'!I20,'2'!I29,'2'!I42,'2'!I44,'2'!I46)</f>
        <v>574</v>
      </c>
      <c r="AV20" s="1109">
        <f>SUM('2'!I17:I18, '2'!I21:I27,'2'!I30:I38,'2'!I41,'2'!I43,'2'!I45)-AE9</f>
        <v>816</v>
      </c>
    </row>
    <row r="21" spans="1:52" x14ac:dyDescent="0.2">
      <c r="A21" s="22" t="s">
        <v>777</v>
      </c>
      <c r="B21" s="1050" t="s">
        <v>297</v>
      </c>
      <c r="C21" s="1020">
        <f>SUM(StockSumPRN!$J$534:$K$534)</f>
        <v>503</v>
      </c>
      <c r="D21" s="1050" t="s">
        <v>297</v>
      </c>
      <c r="E21" s="1020">
        <f>SUM(StockSumPRN!$F$739:$G$739)</f>
        <v>1548</v>
      </c>
      <c r="F21" s="7" t="s">
        <v>297</v>
      </c>
      <c r="G21" s="1021">
        <f>FishSumAllPRN!G$962</f>
        <v>4681</v>
      </c>
      <c r="H21" s="20">
        <f>SUM(F21:G21)</f>
        <v>4681</v>
      </c>
      <c r="I21" s="2" t="s">
        <v>774</v>
      </c>
      <c r="J21" s="1552" t="str">
        <f>R33</f>
        <v>KA 2/28/2022 Closed</v>
      </c>
      <c r="L21" s="157" t="s">
        <v>778</v>
      </c>
      <c r="M21" s="1019"/>
      <c r="N21" s="1037" t="str">
        <f>Input_Harvestnew!G63</f>
        <v>Catch</v>
      </c>
      <c r="O21" s="1037"/>
      <c r="P21" s="1029">
        <f>Input_Harvestnew!E63</f>
        <v>0</v>
      </c>
      <c r="Q21" s="1037"/>
      <c r="R21" s="1037" t="str">
        <f>Input_Harvestnew!H63</f>
        <v>closed</v>
      </c>
      <c r="S21"/>
      <c r="W21" s="7" t="s">
        <v>779</v>
      </c>
      <c r="X21" s="20">
        <f t="shared" ref="X21:AI21" si="7">X10+X12+X13+X14</f>
        <v>540</v>
      </c>
      <c r="Y21" s="20">
        <f t="shared" si="7"/>
        <v>462</v>
      </c>
      <c r="Z21" s="20">
        <f t="shared" si="7"/>
        <v>2503</v>
      </c>
      <c r="AA21" s="20">
        <f t="shared" si="7"/>
        <v>28</v>
      </c>
      <c r="AB21" s="20">
        <f t="shared" si="7"/>
        <v>2</v>
      </c>
      <c r="AC21" s="20">
        <f t="shared" si="7"/>
        <v>689</v>
      </c>
      <c r="AD21" s="20">
        <f t="shared" si="7"/>
        <v>0</v>
      </c>
      <c r="AE21" s="20">
        <f>AE10+AE12+AE13+AE14</f>
        <v>1770</v>
      </c>
      <c r="AF21" s="20">
        <f t="shared" si="7"/>
        <v>5151</v>
      </c>
      <c r="AG21" s="20">
        <f t="shared" si="7"/>
        <v>4</v>
      </c>
      <c r="AH21" s="20">
        <f t="shared" si="7"/>
        <v>3</v>
      </c>
      <c r="AI21" s="20">
        <f t="shared" si="7"/>
        <v>1908</v>
      </c>
      <c r="AJ21" s="1509" t="s">
        <v>294</v>
      </c>
      <c r="AK21" s="20">
        <f>AK10+AK12+AK13+AK14</f>
        <v>9808</v>
      </c>
      <c r="AL21" s="1509"/>
      <c r="AS21" s="157" t="s">
        <v>750</v>
      </c>
    </row>
    <row r="22" spans="1:52" x14ac:dyDescent="0.2">
      <c r="B22" s="20"/>
      <c r="C22" s="20"/>
      <c r="D22" s="20"/>
      <c r="E22" s="20"/>
      <c r="F22" s="20"/>
      <c r="G22" s="20"/>
      <c r="H22" s="20"/>
      <c r="J22" s="1552"/>
      <c r="L22" s="157" t="s">
        <v>780</v>
      </c>
      <c r="M22" s="1019"/>
      <c r="N22" s="1037" t="str">
        <f>Input_Harvestnew!G64</f>
        <v>%TAA</v>
      </c>
      <c r="O22" s="1037"/>
      <c r="P22" s="1029">
        <f>Input_Harvestnew!E64</f>
        <v>1.0554464846247585E-2</v>
      </c>
      <c r="Q22" s="1037"/>
      <c r="R22" s="1037" t="str">
        <f>Input_Harvestnew!H64</f>
        <v>KKO 2/15/2022</v>
      </c>
      <c r="S22"/>
      <c r="W22" s="6" t="s">
        <v>125</v>
      </c>
      <c r="X22" s="6"/>
      <c r="Y22" s="6"/>
      <c r="Z22" s="6"/>
      <c r="AA22" s="6"/>
      <c r="AB22" s="6"/>
      <c r="AC22" s="6"/>
      <c r="AD22" s="6"/>
      <c r="AE22" s="6"/>
      <c r="AF22" s="6" t="s">
        <v>125</v>
      </c>
      <c r="AG22" s="6"/>
      <c r="AH22" s="6" t="s">
        <v>125</v>
      </c>
      <c r="AI22" s="6" t="s">
        <v>125</v>
      </c>
      <c r="AJ22" s="6" t="s">
        <v>125</v>
      </c>
      <c r="AK22" s="6" t="s">
        <v>125</v>
      </c>
      <c r="AL22" s="1509"/>
      <c r="AS22" s="2" t="s">
        <v>753</v>
      </c>
      <c r="AU22" s="1035">
        <f>SUM('2'!J20,'2'!J29,'2'!J42,'2'!J44,'2'!J46)</f>
        <v>1484</v>
      </c>
      <c r="AV22" s="1035">
        <f>SUM('2'!J17:J18,'2'!J21:J27,'2'!J30:J38,'2'!J41,'2'!J43,'2'!J45)-AE11</f>
        <v>2121</v>
      </c>
      <c r="AW22" s="1035">
        <f>SUM('2'!J49,'2'!J53,'2'!J55,'2'!J57)</f>
        <v>101</v>
      </c>
      <c r="AX22" s="1035">
        <f>SUM('2'!J48,'2'!J52,'2'!J54,'2'!J56)</f>
        <v>12</v>
      </c>
      <c r="AY22" s="37">
        <f>SUM(AU22:AX22)</f>
        <v>3718</v>
      </c>
      <c r="AZ22" s="37" t="s">
        <v>781</v>
      </c>
    </row>
    <row r="23" spans="1:52" x14ac:dyDescent="0.2">
      <c r="A23" s="7" t="s">
        <v>782</v>
      </c>
      <c r="B23" s="20">
        <f t="shared" ref="B23:H23" si="8">SUM(B18,B20,B21)</f>
        <v>785</v>
      </c>
      <c r="C23" s="20" t="e">
        <f>SUM(C18,C20,C21)</f>
        <v>#DIV/0!</v>
      </c>
      <c r="D23" s="20">
        <f t="shared" si="8"/>
        <v>2288</v>
      </c>
      <c r="E23" s="20" t="e">
        <f t="shared" si="8"/>
        <v>#DIV/0!</v>
      </c>
      <c r="F23" s="20">
        <f t="shared" si="8"/>
        <v>5748</v>
      </c>
      <c r="G23" s="20" t="e">
        <f>SUM(G18,G20,G21)</f>
        <v>#DIV/0!</v>
      </c>
      <c r="H23" s="20" t="e">
        <f t="shared" si="8"/>
        <v>#DIV/0!</v>
      </c>
      <c r="J23" s="1552"/>
      <c r="L23" s="157" t="s">
        <v>783</v>
      </c>
      <c r="M23" s="1019"/>
      <c r="N23" s="1037" t="str">
        <f>Input_Harvestnew!G65</f>
        <v>%TAA</v>
      </c>
      <c r="O23" s="1037"/>
      <c r="P23" s="1029">
        <f>Input_Harvestnew!E65</f>
        <v>5.0953798945714394E-4</v>
      </c>
      <c r="Q23" s="1037"/>
      <c r="R23" s="1037" t="str">
        <f>Input_Harvestnew!H65</f>
        <v>KKO 2/15/2022</v>
      </c>
      <c r="S23"/>
      <c r="W23" s="2" t="s">
        <v>784</v>
      </c>
      <c r="X23" s="20">
        <f t="shared" ref="X23:AD23" si="9">SUM(X9:X15)</f>
        <v>1511</v>
      </c>
      <c r="Y23" s="20">
        <f>SUM(Y9:Y15)</f>
        <v>2541</v>
      </c>
      <c r="Z23" s="20">
        <f>SUM(Z9:Z15)</f>
        <v>5530</v>
      </c>
      <c r="AA23" s="20">
        <f>SUM(AA9:AA15)</f>
        <v>167</v>
      </c>
      <c r="AB23" s="20">
        <f>SUM(AB9:AB15)</f>
        <v>19</v>
      </c>
      <c r="AC23" s="20">
        <f t="shared" si="9"/>
        <v>3825</v>
      </c>
      <c r="AD23" s="20">
        <f t="shared" si="9"/>
        <v>0</v>
      </c>
      <c r="AE23" s="20">
        <f>SUM(AE9:AE15)</f>
        <v>3821</v>
      </c>
      <c r="AF23" s="20">
        <f>SUM(AF9:AF15)</f>
        <v>23731</v>
      </c>
      <c r="AG23" s="20">
        <f>SUM(AG9:AG15)</f>
        <v>21</v>
      </c>
      <c r="AH23" s="20">
        <f>SUM(AH9:AH15)</f>
        <v>206</v>
      </c>
      <c r="AI23" s="20">
        <f>SUM(AI9:AI15)</f>
        <v>2611</v>
      </c>
      <c r="AJ23" s="1509" t="s">
        <v>294</v>
      </c>
      <c r="AK23" s="20">
        <f>SUM(AK9:AK15)</f>
        <v>70209</v>
      </c>
      <c r="AL23" s="1509"/>
      <c r="AS23" s="157" t="s">
        <v>760</v>
      </c>
    </row>
    <row r="24" spans="1:52" x14ac:dyDescent="0.2">
      <c r="A24" s="6" t="s">
        <v>129</v>
      </c>
      <c r="B24" s="6" t="s">
        <v>129</v>
      </c>
      <c r="C24" s="6" t="s">
        <v>129</v>
      </c>
      <c r="D24" s="6" t="s">
        <v>129</v>
      </c>
      <c r="E24" s="6" t="s">
        <v>129</v>
      </c>
      <c r="F24" s="6" t="s">
        <v>129</v>
      </c>
      <c r="G24" s="6" t="s">
        <v>129</v>
      </c>
      <c r="H24" s="6" t="s">
        <v>129</v>
      </c>
      <c r="I24" s="6" t="s">
        <v>129</v>
      </c>
      <c r="J24" s="1551" t="s">
        <v>129</v>
      </c>
      <c r="L24" s="157" t="s">
        <v>785</v>
      </c>
      <c r="M24" s="1019"/>
      <c r="N24" s="1037" t="str">
        <f>Input_Harvestnew!G66</f>
        <v>%TAA</v>
      </c>
      <c r="O24" s="1037"/>
      <c r="P24" s="1029">
        <f>Input_Harvestnew!E66+Input_Harvestnew!C66</f>
        <v>0</v>
      </c>
      <c r="Q24" s="1037"/>
      <c r="R24" s="1037" t="str">
        <f>Input_Harvestnew!H66</f>
        <v>KKO 2/12/21: Northern 8A CLOSED for Salmon in 2021</v>
      </c>
      <c r="S24"/>
      <c r="W24" s="2" t="s">
        <v>786</v>
      </c>
      <c r="X24" s="1509" t="s">
        <v>294</v>
      </c>
      <c r="Y24" s="1509" t="s">
        <v>294</v>
      </c>
      <c r="Z24" s="1509" t="s">
        <v>294</v>
      </c>
      <c r="AA24" s="1509" t="s">
        <v>294</v>
      </c>
      <c r="AB24" s="1509" t="s">
        <v>294</v>
      </c>
      <c r="AC24" s="1027">
        <f>FishSumAllPRN!$G$957</f>
        <v>5748</v>
      </c>
      <c r="AD24" s="1027">
        <f>FishSumAllPRN!$G$956</f>
        <v>0</v>
      </c>
      <c r="AE24" s="1027">
        <f>FishSumAllPRN!$G$962</f>
        <v>4681</v>
      </c>
      <c r="AF24" s="1027">
        <f>FishSumAllPRN!$G$959</f>
        <v>23731</v>
      </c>
      <c r="AG24" s="1027">
        <f>FishSumAllPRN!$G$958</f>
        <v>21</v>
      </c>
      <c r="AH24" s="1027">
        <f>SUM(FishSumAllPRN!$G$960:$G$961)</f>
        <v>206</v>
      </c>
      <c r="AI24" s="1027">
        <f>SUM(FishSumAllPRN!$G$963:$G$964)</f>
        <v>2611</v>
      </c>
      <c r="AJ24" s="1509" t="s">
        <v>294</v>
      </c>
      <c r="AK24" s="1509" t="s">
        <v>294</v>
      </c>
      <c r="AL24" s="6"/>
      <c r="AS24" s="157" t="s">
        <v>763</v>
      </c>
    </row>
    <row r="25" spans="1:52" x14ac:dyDescent="0.2">
      <c r="A25" s="6" t="s">
        <v>125</v>
      </c>
      <c r="B25" s="6" t="s">
        <v>125</v>
      </c>
      <c r="C25" s="6" t="s">
        <v>125</v>
      </c>
      <c r="D25" s="6" t="s">
        <v>125</v>
      </c>
      <c r="E25" s="6" t="s">
        <v>125</v>
      </c>
      <c r="F25" s="6" t="s">
        <v>125</v>
      </c>
      <c r="G25" s="6" t="s">
        <v>125</v>
      </c>
      <c r="H25" s="6" t="s">
        <v>125</v>
      </c>
      <c r="I25" s="6" t="s">
        <v>125</v>
      </c>
      <c r="J25" s="1551" t="s">
        <v>125</v>
      </c>
      <c r="L25" s="157"/>
      <c r="M25"/>
      <c r="N25" s="1037"/>
      <c r="O25" s="1037"/>
      <c r="P25" s="1029"/>
      <c r="Q25" s="1037"/>
      <c r="R25" s="1037"/>
      <c r="S25"/>
      <c r="W25" s="6" t="s">
        <v>125</v>
      </c>
      <c r="X25" s="6"/>
      <c r="Y25" s="6"/>
      <c r="Z25" s="6"/>
      <c r="AA25" s="6"/>
      <c r="AB25" s="6"/>
      <c r="AC25" s="6"/>
      <c r="AD25" s="6"/>
      <c r="AE25" s="6"/>
      <c r="AF25" s="6" t="s">
        <v>125</v>
      </c>
      <c r="AG25" s="6"/>
      <c r="AH25" s="6" t="s">
        <v>125</v>
      </c>
      <c r="AI25" s="6" t="s">
        <v>125</v>
      </c>
      <c r="AJ25" s="6" t="s">
        <v>125</v>
      </c>
      <c r="AK25" s="6" t="s">
        <v>125</v>
      </c>
      <c r="AL25" s="20"/>
      <c r="AS25" s="2" t="s">
        <v>765</v>
      </c>
    </row>
    <row r="26" spans="1:52" ht="15.75" x14ac:dyDescent="0.25">
      <c r="B26" s="1224" t="s">
        <v>721</v>
      </c>
      <c r="C26" s="2" t="s">
        <v>787</v>
      </c>
      <c r="D26" s="1224" t="s">
        <v>723</v>
      </c>
      <c r="E26" s="2" t="s">
        <v>788</v>
      </c>
      <c r="F26" s="1224" t="s">
        <v>201</v>
      </c>
      <c r="G26" s="1224" t="s">
        <v>202</v>
      </c>
      <c r="H26" s="1224" t="s">
        <v>675</v>
      </c>
      <c r="J26" s="1552"/>
      <c r="L26" s="156" t="s">
        <v>687</v>
      </c>
      <c r="M26" s="2" t="s">
        <v>650</v>
      </c>
      <c r="N26" s="1037" t="str">
        <f>Input_Harvestnew!C69</f>
        <v>KA 2/28/22</v>
      </c>
      <c r="O26" s="1037"/>
      <c r="P26" s="1029"/>
      <c r="Q26" s="1037"/>
      <c r="R26" s="1037"/>
      <c r="S26"/>
      <c r="AH26" s="20"/>
      <c r="AL26" s="20"/>
      <c r="AS26" s="2" t="s">
        <v>767</v>
      </c>
    </row>
    <row r="27" spans="1:52" ht="15.75" x14ac:dyDescent="0.25">
      <c r="A27" s="2" t="s">
        <v>789</v>
      </c>
      <c r="B27" s="1063">
        <f>C27/H27</f>
        <v>0.17434594317803648</v>
      </c>
      <c r="C27" s="20">
        <f>SUM(B45,B36:C39)</f>
        <v>16873</v>
      </c>
      <c r="D27" s="1063">
        <f>E27/H27</f>
        <v>0.44349565739017982</v>
      </c>
      <c r="E27" s="20">
        <f>SUM(C45,D34:E35)</f>
        <v>42921</v>
      </c>
      <c r="F27" s="20">
        <f>SUM(TRunsPRN!D81)</f>
        <v>16527.162083430965</v>
      </c>
      <c r="G27" s="20">
        <f>SUM(TRunsPRN!D80)</f>
        <v>80251.688588017321</v>
      </c>
      <c r="H27" s="1556">
        <f>F27+G27</f>
        <v>96778.850671448279</v>
      </c>
      <c r="I27" s="1018">
        <f>I45+H40</f>
        <v>96778</v>
      </c>
      <c r="J27" s="1552"/>
      <c r="L27" s="157"/>
      <c r="M27"/>
      <c r="N27" s="1037"/>
      <c r="O27" s="1037"/>
      <c r="P27" s="1029"/>
      <c r="Q27" s="1037"/>
      <c r="R27" s="1037"/>
      <c r="S27"/>
      <c r="T27" s="1224"/>
      <c r="U27" s="1224"/>
      <c r="W27" s="1557"/>
      <c r="X27" s="1557"/>
      <c r="Y27" s="1557"/>
      <c r="Z27" s="1557"/>
      <c r="AA27" s="1557"/>
      <c r="AB27" s="1557"/>
      <c r="AC27" s="1557"/>
      <c r="AD27" s="1557"/>
      <c r="AE27" s="1557"/>
      <c r="AF27" s="1557"/>
      <c r="AG27" s="1557"/>
      <c r="AH27" s="1557"/>
      <c r="AI27" s="1557"/>
      <c r="AJ27" s="1557"/>
      <c r="AK27" s="1557"/>
      <c r="AL27" s="20"/>
    </row>
    <row r="28" spans="1:52" x14ac:dyDescent="0.2">
      <c r="A28" s="6" t="s">
        <v>129</v>
      </c>
      <c r="B28" s="6" t="s">
        <v>129</v>
      </c>
      <c r="C28" s="6" t="s">
        <v>129</v>
      </c>
      <c r="D28" s="6" t="s">
        <v>129</v>
      </c>
      <c r="E28" s="6" t="s">
        <v>129</v>
      </c>
      <c r="F28" s="6" t="s">
        <v>129</v>
      </c>
      <c r="G28" s="1501" t="s">
        <v>129</v>
      </c>
      <c r="H28" s="6" t="s">
        <v>129</v>
      </c>
      <c r="I28" s="20"/>
      <c r="J28" s="1552"/>
      <c r="L28" s="157" t="s">
        <v>752</v>
      </c>
      <c r="M28" s="1037"/>
      <c r="N28" s="1029"/>
      <c r="O28" s="1037"/>
      <c r="P28" s="1029"/>
      <c r="Q28" s="1037"/>
      <c r="R28" s="1037"/>
      <c r="S28"/>
      <c r="T28" s="1224"/>
      <c r="U28" s="1224"/>
      <c r="AC28" s="20"/>
      <c r="AL28" s="6"/>
      <c r="AS28" s="2" t="s">
        <v>770</v>
      </c>
    </row>
    <row r="29" spans="1:52" ht="15.75" x14ac:dyDescent="0.25">
      <c r="A29" s="1"/>
      <c r="B29" s="20"/>
      <c r="J29" s="1552"/>
      <c r="L29" s="157" t="s">
        <v>759</v>
      </c>
      <c r="M29" s="8"/>
      <c r="N29" s="1037"/>
      <c r="O29" s="1037"/>
      <c r="P29" s="1029"/>
      <c r="Q29" s="1037"/>
      <c r="R29" s="1037" t="s">
        <v>790</v>
      </c>
      <c r="S29"/>
      <c r="T29" s="1224"/>
      <c r="U29" s="1224"/>
      <c r="W29" s="1237"/>
      <c r="Z29" s="20"/>
      <c r="AA29" s="1017"/>
      <c r="AB29" s="1017"/>
      <c r="AC29" s="20"/>
      <c r="AD29" s="1017"/>
      <c r="AE29" s="1017"/>
      <c r="AF29" s="20"/>
      <c r="AI29" s="1017"/>
      <c r="AJ29" s="1017"/>
      <c r="AK29" s="20"/>
      <c r="AL29" s="20"/>
    </row>
    <row r="30" spans="1:52" ht="15.75" x14ac:dyDescent="0.25">
      <c r="A30" s="1" t="s">
        <v>772</v>
      </c>
      <c r="B30" s="7" t="s">
        <v>176</v>
      </c>
      <c r="C30" s="7" t="s">
        <v>495</v>
      </c>
      <c r="D30" s="7" t="s">
        <v>176</v>
      </c>
      <c r="E30" s="7" t="s">
        <v>495</v>
      </c>
      <c r="F30" s="7" t="s">
        <v>647</v>
      </c>
      <c r="G30" s="7" t="s">
        <v>648</v>
      </c>
      <c r="H30" s="7" t="s">
        <v>649</v>
      </c>
      <c r="J30" s="1552"/>
      <c r="L30" s="157" t="s">
        <v>762</v>
      </c>
      <c r="M30" s="1037">
        <f>Input_Harvestnew!C70</f>
        <v>0</v>
      </c>
      <c r="N30" s="1037" t="str">
        <f>Input_Harvestnew!G70</f>
        <v>%TAA</v>
      </c>
      <c r="O30" s="1037"/>
      <c r="P30" s="1029">
        <f>Input_Harvestnew!E70</f>
        <v>0</v>
      </c>
      <c r="Q30" s="1037"/>
      <c r="R30" s="1037" t="str">
        <f>Input_Harvestnew!H70</f>
        <v>KA 2/28/2022 Closed</v>
      </c>
      <c r="S30"/>
      <c r="T30" s="1224"/>
      <c r="U30" s="1224"/>
      <c r="W30" s="1237"/>
      <c r="Z30" s="1509"/>
      <c r="AA30" s="1509"/>
      <c r="AB30" s="1509"/>
      <c r="AC30" s="1509"/>
      <c r="AD30" s="1509"/>
      <c r="AE30" s="1109"/>
      <c r="AF30" s="1109"/>
      <c r="AG30" s="20"/>
      <c r="AH30" s="20"/>
      <c r="AI30" s="1109"/>
      <c r="AJ30" s="1109"/>
      <c r="AK30" s="20"/>
      <c r="AL30" s="1509"/>
    </row>
    <row r="31" spans="1:52" x14ac:dyDescent="0.2">
      <c r="B31" s="7" t="s">
        <v>755</v>
      </c>
      <c r="C31" s="7" t="s">
        <v>755</v>
      </c>
      <c r="D31" s="7" t="s">
        <v>756</v>
      </c>
      <c r="E31" s="7" t="s">
        <v>756</v>
      </c>
      <c r="F31" s="7" t="s">
        <v>649</v>
      </c>
      <c r="G31" s="7" t="s">
        <v>649</v>
      </c>
      <c r="H31" s="7" t="s">
        <v>174</v>
      </c>
      <c r="I31" s="2" t="s">
        <v>757</v>
      </c>
      <c r="J31" s="1552" t="s">
        <v>758</v>
      </c>
      <c r="L31" s="157" t="s">
        <v>764</v>
      </c>
      <c r="M31" s="1037">
        <f>Input_Harvestnew!C71</f>
        <v>0</v>
      </c>
      <c r="N31" s="1037" t="str">
        <f>Input_Harvestnew!G71</f>
        <v>%TAA</v>
      </c>
      <c r="O31" s="1037"/>
      <c r="P31" s="1029">
        <f>Input_Harvestnew!E71</f>
        <v>0</v>
      </c>
      <c r="Q31" s="1037"/>
      <c r="R31" s="1037" t="str">
        <f>Input_Harvestnew!H71</f>
        <v>KA 2/28/2022 Closed</v>
      </c>
      <c r="S31"/>
      <c r="W31" s="1237"/>
      <c r="Y31" s="1016"/>
      <c r="Z31" s="1017"/>
      <c r="AA31" s="6"/>
      <c r="AB31" s="6"/>
      <c r="AC31" s="6"/>
      <c r="AD31" s="6"/>
      <c r="AG31" s="6"/>
      <c r="AH31" s="6"/>
      <c r="AI31" s="6"/>
      <c r="AJ31" s="6"/>
      <c r="AK31" s="6"/>
      <c r="AL31" s="6"/>
    </row>
    <row r="32" spans="1:52" x14ac:dyDescent="0.2">
      <c r="A32" s="2" t="s">
        <v>775</v>
      </c>
      <c r="B32" s="1012">
        <f>SUM(Table2PRN!G753)</f>
        <v>5133</v>
      </c>
      <c r="C32" s="1012">
        <f>SUM(Table2PRN!G752)</f>
        <v>5</v>
      </c>
      <c r="D32" s="1012">
        <f>SUM(Table2PRN!G963)</f>
        <v>13303</v>
      </c>
      <c r="E32" s="1012">
        <f>SUM(Table2PRN!G962)</f>
        <v>12</v>
      </c>
      <c r="F32" s="1012">
        <f>SUM(FishSumAllPRN!G959)</f>
        <v>23731</v>
      </c>
      <c r="G32" s="1012">
        <f>SUM(FishSumAllPRN!G958)</f>
        <v>21</v>
      </c>
      <c r="H32" s="20">
        <f t="shared" ref="H32:H37" si="10">SUM(F32:G32)</f>
        <v>23752</v>
      </c>
      <c r="I32" s="157" t="str">
        <f>R20</f>
        <v>DH (02/25/22): based on 2017-2020</v>
      </c>
      <c r="J32" s="1552" t="str">
        <f>R37</f>
        <v>KA 2/28/2022 Closed</v>
      </c>
      <c r="L32" s="157" t="s">
        <v>766</v>
      </c>
      <c r="M32" s="1037">
        <f>Input_Harvestnew!C72</f>
        <v>0</v>
      </c>
      <c r="N32" s="1037" t="str">
        <f>Input_Harvestnew!G72</f>
        <v>%TAA</v>
      </c>
      <c r="O32" s="1037"/>
      <c r="P32" s="1029">
        <f>Input_Harvestnew!E72</f>
        <v>0</v>
      </c>
      <c r="Q32" s="1037"/>
      <c r="R32" s="1037" t="str">
        <f>Input_Harvestnew!H72</f>
        <v>KA 2/28/2022 Closed</v>
      </c>
      <c r="S32"/>
      <c r="Y32" s="6"/>
      <c r="Z32" s="6"/>
      <c r="AA32" s="6"/>
      <c r="AB32" s="6"/>
      <c r="AC32" s="6"/>
      <c r="AD32" s="6"/>
      <c r="AE32" s="6"/>
      <c r="AF32" s="6"/>
      <c r="AG32" s="6"/>
      <c r="AH32" s="6"/>
      <c r="AI32" s="6"/>
      <c r="AJ32" s="6"/>
      <c r="AK32" s="6"/>
      <c r="AL32" s="6"/>
    </row>
    <row r="33" spans="1:31" x14ac:dyDescent="0.2">
      <c r="A33" s="2" t="s">
        <v>791</v>
      </c>
      <c r="B33" s="1050" t="s">
        <v>297</v>
      </c>
      <c r="C33" s="20">
        <f>SUM(Input_Harvestnew!C74)*C27/$H$27</f>
        <v>0</v>
      </c>
      <c r="D33" s="1050" t="s">
        <v>297</v>
      </c>
      <c r="E33" s="20">
        <f>SUM(Input_Harvestnew!C74)*E27/$H$27</f>
        <v>0</v>
      </c>
      <c r="F33" s="1050" t="s">
        <v>297</v>
      </c>
      <c r="G33" s="20">
        <f>SUM(Input_Harvestnew!C74)</f>
        <v>0</v>
      </c>
      <c r="H33" s="20">
        <f t="shared" si="10"/>
        <v>0</v>
      </c>
      <c r="I33" s="2" t="s">
        <v>774</v>
      </c>
      <c r="J33" s="1552" t="str">
        <f>R38</f>
        <v>KA 2/28/2022 Closed</v>
      </c>
      <c r="L33" s="1558" t="s">
        <v>777</v>
      </c>
      <c r="M33" s="1037" t="s">
        <v>792</v>
      </c>
      <c r="N33" s="1037" t="str">
        <f>Input_Harvestnew!G74</f>
        <v>Catch</v>
      </c>
      <c r="O33" s="1037"/>
      <c r="P33" s="1029">
        <f>Input_Harvestnew!E74</f>
        <v>0</v>
      </c>
      <c r="Q33" s="1037"/>
      <c r="R33" s="1037" t="str">
        <f>Input_Harvestnew!H74</f>
        <v>KA 2/28/2022 Closed</v>
      </c>
      <c r="S33"/>
      <c r="T33" s="100"/>
      <c r="U33" s="100"/>
      <c r="W33" s="6"/>
      <c r="AE33" s="20"/>
    </row>
    <row r="34" spans="1:31" x14ac:dyDescent="0.2">
      <c r="A34" s="2" t="s">
        <v>778</v>
      </c>
      <c r="B34" s="1050" t="s">
        <v>297</v>
      </c>
      <c r="C34" s="1050" t="s">
        <v>297</v>
      </c>
      <c r="D34" s="20">
        <f>Table2PRN!G965</f>
        <v>0</v>
      </c>
      <c r="E34" s="1050" t="s">
        <v>297</v>
      </c>
      <c r="F34" s="1050" t="s">
        <v>297</v>
      </c>
      <c r="G34" s="1050" t="s">
        <v>297</v>
      </c>
      <c r="H34" s="20">
        <f t="shared" si="10"/>
        <v>0</v>
      </c>
      <c r="I34" s="2" t="str">
        <f>R21</f>
        <v>closed</v>
      </c>
      <c r="J34" s="1552" t="s">
        <v>774</v>
      </c>
      <c r="S34"/>
      <c r="T34" s="100"/>
      <c r="U34" s="100"/>
    </row>
    <row r="35" spans="1:31" x14ac:dyDescent="0.2">
      <c r="A35" s="2" t="s">
        <v>793</v>
      </c>
      <c r="B35" s="1050" t="s">
        <v>297</v>
      </c>
      <c r="C35" s="1050" t="s">
        <v>297</v>
      </c>
      <c r="D35" s="1050" t="s">
        <v>297</v>
      </c>
      <c r="E35" s="20">
        <f>SUM('2'!J39)</f>
        <v>50</v>
      </c>
      <c r="F35" s="1050" t="s">
        <v>297</v>
      </c>
      <c r="G35" s="20">
        <f>SUM(FishSumAllPRN!G964)</f>
        <v>1948</v>
      </c>
      <c r="H35" s="20">
        <f t="shared" si="10"/>
        <v>1948</v>
      </c>
      <c r="I35" s="2" t="s">
        <v>774</v>
      </c>
      <c r="J35" s="1552" t="str">
        <f>R39</f>
        <v>PV/AHB, 3/16/2022, Snoh/Sky MSF Quota = 1475, SFRS Snoh R Wild = 0.025 (FRAM MSF Quota input combined + stock-fishery-rate-scaler)</v>
      </c>
      <c r="L35" s="157"/>
      <c r="M35" s="1037"/>
      <c r="N35" s="1037"/>
      <c r="O35" s="1037"/>
      <c r="Q35" s="1037"/>
      <c r="R35" s="1037"/>
      <c r="S35"/>
      <c r="T35" s="100"/>
      <c r="U35" s="100"/>
    </row>
    <row r="36" spans="1:31" x14ac:dyDescent="0.2">
      <c r="A36" s="2" t="s">
        <v>794</v>
      </c>
      <c r="B36" s="1050" t="s">
        <v>297</v>
      </c>
      <c r="C36" s="20">
        <f>SUM('2'!I39)</f>
        <v>653</v>
      </c>
      <c r="D36" s="1050" t="s">
        <v>297</v>
      </c>
      <c r="E36" s="1050" t="s">
        <v>297</v>
      </c>
      <c r="F36" s="1050" t="s">
        <v>297</v>
      </c>
      <c r="G36" s="20">
        <f>SUM(FishSumAllPRN!G963)</f>
        <v>663</v>
      </c>
      <c r="H36" s="20">
        <f t="shared" si="10"/>
        <v>663</v>
      </c>
      <c r="I36" s="2" t="s">
        <v>774</v>
      </c>
      <c r="J36" s="1552" t="str">
        <f>R40</f>
        <v>PV, KKO, 3/15/22  5 yr avg harvest rate. 9/1-11/15 2 coho only, release Chinook, chum, and pink.</v>
      </c>
      <c r="L36" s="157" t="s">
        <v>772</v>
      </c>
      <c r="M36" s="1037"/>
      <c r="N36" s="1037"/>
      <c r="O36" s="1037"/>
      <c r="Q36" s="1037"/>
      <c r="R36" s="1037"/>
      <c r="S36"/>
      <c r="T36" s="100"/>
      <c r="U36" s="100"/>
    </row>
    <row r="37" spans="1:31" x14ac:dyDescent="0.2">
      <c r="A37" s="2" t="s">
        <v>780</v>
      </c>
      <c r="B37" s="1559">
        <f>$P22/($P$22+$P$23+$P$24)*Table2PRN!G$754</f>
        <v>193.6511039995398</v>
      </c>
      <c r="C37" s="1050" t="s">
        <v>297</v>
      </c>
      <c r="D37" s="1050" t="s">
        <v>297</v>
      </c>
      <c r="E37" s="1050" t="s">
        <v>297</v>
      </c>
      <c r="F37" s="1559">
        <f>$P22/($P$22+$P$23+$P$24)*FishSumAllPRN!G$960</f>
        <v>196.51294297490247</v>
      </c>
      <c r="G37" s="7" t="s">
        <v>297</v>
      </c>
      <c r="H37" s="20">
        <f t="shared" si="10"/>
        <v>196.51294297490247</v>
      </c>
      <c r="I37" s="2" t="str">
        <f>R22</f>
        <v>KKO 2/15/2022</v>
      </c>
      <c r="J37" s="1552" t="s">
        <v>774</v>
      </c>
      <c r="L37" s="157" t="s">
        <v>775</v>
      </c>
      <c r="M37" s="1037">
        <f>Input_Harvestnew!C73</f>
        <v>0</v>
      </c>
      <c r="N37" s="1037" t="str">
        <f>Input_Harvestnew!G73</f>
        <v>%TAA</v>
      </c>
      <c r="O37" s="1037"/>
      <c r="P37" s="1029">
        <f>Input_Harvestnew!E73</f>
        <v>0</v>
      </c>
      <c r="Q37" s="1037"/>
      <c r="R37" s="1037" t="str">
        <f>Input_Harvestnew!H73</f>
        <v>KA 2/28/2022 Closed</v>
      </c>
      <c r="S37"/>
      <c r="T37" s="1224"/>
      <c r="U37" s="1224"/>
    </row>
    <row r="38" spans="1:31" x14ac:dyDescent="0.2">
      <c r="A38" s="2" t="s">
        <v>783</v>
      </c>
      <c r="B38" s="1559">
        <f>$P23/($P$22+$P$23+$P$24)*Table2PRN!G$754</f>
        <v>9.3488960004601971</v>
      </c>
      <c r="C38" s="1050" t="s">
        <v>297</v>
      </c>
      <c r="D38" s="1050" t="s">
        <v>297</v>
      </c>
      <c r="E38" s="1050" t="s">
        <v>297</v>
      </c>
      <c r="F38" s="1559">
        <f>$P23/($P$22+$P$23+$P$24)*FishSumAllPRN!G$960</f>
        <v>9.4870570250975401</v>
      </c>
      <c r="G38" s="7" t="s">
        <v>297</v>
      </c>
      <c r="H38" s="20">
        <f>SUM(F38:G38)</f>
        <v>9.4870570250975401</v>
      </c>
      <c r="I38" s="2" t="str">
        <f>R23</f>
        <v>KKO 2/15/2022</v>
      </c>
      <c r="J38" s="1552" t="s">
        <v>774</v>
      </c>
      <c r="L38" s="157" t="s">
        <v>791</v>
      </c>
      <c r="M38" s="1037">
        <f>Input_Harvestnew!C74</f>
        <v>0</v>
      </c>
      <c r="N38" s="1037" t="str">
        <f>Input_Harvestnew!G74</f>
        <v>Catch</v>
      </c>
      <c r="O38" s="1037"/>
      <c r="P38" s="1029">
        <f>Input_Harvestnew!E74</f>
        <v>0</v>
      </c>
      <c r="Q38" s="1037"/>
      <c r="R38" s="1037" t="str">
        <f>Input_Harvestnew!H74</f>
        <v>KA 2/28/2022 Closed</v>
      </c>
      <c r="S38"/>
      <c r="T38" s="1224"/>
      <c r="U38" s="1224"/>
    </row>
    <row r="39" spans="1:31" x14ac:dyDescent="0.2">
      <c r="A39" s="157" t="s">
        <v>785</v>
      </c>
      <c r="B39" s="1559">
        <f>$P24/($P$22+$P$23+$P$24)*Table2PRN!G$754</f>
        <v>0</v>
      </c>
      <c r="C39" s="1050" t="s">
        <v>297</v>
      </c>
      <c r="D39" s="1050" t="s">
        <v>297</v>
      </c>
      <c r="E39" s="1050" t="s">
        <v>297</v>
      </c>
      <c r="F39" s="1559">
        <f>$P24/($P$22+$P$23+$P$24)*FishSumAllPRN!G$960</f>
        <v>0</v>
      </c>
      <c r="G39" s="7" t="s">
        <v>297</v>
      </c>
      <c r="H39" s="20">
        <f>SUM(F39:G39)</f>
        <v>0</v>
      </c>
      <c r="I39" s="2" t="str">
        <f>R24</f>
        <v>KKO 2/12/21: Northern 8A CLOSED for Salmon in 2021</v>
      </c>
      <c r="J39" s="1552"/>
      <c r="L39" s="157" t="s">
        <v>795</v>
      </c>
      <c r="M39" s="1010"/>
      <c r="N39" s="1037" t="str">
        <f>Input_Harvestnew!G75</f>
        <v>Catch</v>
      </c>
      <c r="O39" s="1037"/>
      <c r="P39" s="1030">
        <f>Input_Harvestnew!E75</f>
        <v>0</v>
      </c>
      <c r="Q39" s="1037"/>
      <c r="R39" s="1037" t="str">
        <f>Input_Harvestnew!H75</f>
        <v>PV/AHB, 3/16/2022, Snoh/Sky MSF Quota = 1475, SFRS Snoh R Wild = 0.025 (FRAM MSF Quota input combined + stock-fishery-rate-scaler)</v>
      </c>
      <c r="S39"/>
      <c r="T39" s="1224"/>
      <c r="U39" s="1224"/>
    </row>
    <row r="40" spans="1:31" x14ac:dyDescent="0.2">
      <c r="A40" s="7" t="s">
        <v>796</v>
      </c>
      <c r="B40" s="20">
        <f>SUM(B32:B39)</f>
        <v>5336</v>
      </c>
      <c r="C40" s="20">
        <f t="shared" ref="C40:H40" si="11">SUM(C32:C39)</f>
        <v>658</v>
      </c>
      <c r="D40" s="20">
        <f t="shared" si="11"/>
        <v>13303</v>
      </c>
      <c r="E40" s="20">
        <f t="shared" si="11"/>
        <v>62</v>
      </c>
      <c r="F40" s="20">
        <f t="shared" si="11"/>
        <v>23937</v>
      </c>
      <c r="G40" s="20">
        <f t="shared" si="11"/>
        <v>2632</v>
      </c>
      <c r="H40" s="20">
        <f t="shared" si="11"/>
        <v>26569</v>
      </c>
      <c r="J40" s="1552"/>
      <c r="L40" s="157" t="s">
        <v>797</v>
      </c>
      <c r="M40" s="1010"/>
      <c r="N40" s="1037" t="str">
        <f>Input_Harvestnew!G76</f>
        <v>%TAA</v>
      </c>
      <c r="O40" s="1037"/>
      <c r="P40" s="1015">
        <f>Input_Harvestnew!E76</f>
        <v>3.4582616297614215E-2</v>
      </c>
      <c r="Q40" s="1037"/>
      <c r="R40" s="1037" t="str">
        <f>Input_Harvestnew!H76</f>
        <v>PV, KKO, 3/15/22  5 yr avg harvest rate. 9/1-11/15 2 coho only, release Chinook, chum, and pink.</v>
      </c>
    </row>
    <row r="41" spans="1:31" x14ac:dyDescent="0.2">
      <c r="A41" s="6" t="s">
        <v>125</v>
      </c>
      <c r="B41" s="6" t="s">
        <v>125</v>
      </c>
      <c r="C41" s="6" t="s">
        <v>125</v>
      </c>
      <c r="D41" s="6" t="s">
        <v>125</v>
      </c>
      <c r="E41" s="6" t="s">
        <v>125</v>
      </c>
      <c r="F41" s="6" t="s">
        <v>125</v>
      </c>
      <c r="G41" s="6" t="s">
        <v>125</v>
      </c>
      <c r="H41" s="6" t="s">
        <v>125</v>
      </c>
      <c r="I41" s="6" t="s">
        <v>125</v>
      </c>
      <c r="J41" s="1551" t="s">
        <v>125</v>
      </c>
      <c r="L41" s="6" t="s">
        <v>125</v>
      </c>
      <c r="M41" s="6"/>
      <c r="N41" s="6"/>
      <c r="O41" s="6"/>
      <c r="P41" s="6"/>
      <c r="Q41" s="6"/>
      <c r="R41" s="6"/>
      <c r="S41" s="6"/>
      <c r="T41" s="6" t="s">
        <v>798</v>
      </c>
      <c r="U41" s="6" t="s">
        <v>798</v>
      </c>
    </row>
    <row r="42" spans="1:31" ht="15.75" x14ac:dyDescent="0.25">
      <c r="A42" s="1" t="s">
        <v>799</v>
      </c>
      <c r="J42" s="1552"/>
    </row>
    <row r="43" spans="1:31" x14ac:dyDescent="0.2">
      <c r="B43" s="7" t="s">
        <v>755</v>
      </c>
      <c r="C43" s="7" t="s">
        <v>756</v>
      </c>
      <c r="D43" s="7" t="s">
        <v>800</v>
      </c>
      <c r="E43" s="7" t="s">
        <v>801</v>
      </c>
      <c r="F43" s="7" t="s">
        <v>802</v>
      </c>
      <c r="G43" s="22" t="s">
        <v>803</v>
      </c>
      <c r="H43" s="7" t="s">
        <v>804</v>
      </c>
      <c r="I43" s="1050" t="s">
        <v>805</v>
      </c>
      <c r="J43" s="1552"/>
      <c r="L43" s="1557"/>
      <c r="M43" s="1557"/>
      <c r="N43" s="1557"/>
      <c r="O43" s="1557"/>
      <c r="P43" s="1557"/>
      <c r="Q43" s="1557"/>
      <c r="R43" s="1557"/>
      <c r="S43" s="1557"/>
    </row>
    <row r="44" spans="1:31" x14ac:dyDescent="0.2">
      <c r="A44" s="2" t="s">
        <v>806</v>
      </c>
      <c r="B44" s="1014">
        <f>'2'!I10</f>
        <v>10000</v>
      </c>
      <c r="C44" s="1014">
        <f>'2'!J10</f>
        <v>55000</v>
      </c>
      <c r="D44" s="1560"/>
      <c r="E44" s="1560"/>
      <c r="F44" s="1560"/>
      <c r="H44" s="331"/>
      <c r="I44" s="331"/>
      <c r="J44" s="1552"/>
    </row>
    <row r="45" spans="1:31" x14ac:dyDescent="0.2">
      <c r="A45" s="2" t="s">
        <v>807</v>
      </c>
      <c r="B45" s="1014">
        <f>TRunsPRN!$C$105</f>
        <v>16017</v>
      </c>
      <c r="C45" s="1014">
        <f>TRunsPRN!$C$108</f>
        <v>42871</v>
      </c>
      <c r="D45" s="1014">
        <f>TRunsPRN!$C$106</f>
        <v>1401</v>
      </c>
      <c r="E45" s="1014">
        <f>TRunsPRN!$C$109</f>
        <v>8379</v>
      </c>
      <c r="F45" s="1014">
        <f>TRunsPRN!$C$107</f>
        <v>28</v>
      </c>
      <c r="G45" s="1014">
        <f>TRunsPRN!$C$218</f>
        <v>1513</v>
      </c>
      <c r="H45" s="90">
        <f>SUM(B45,C45)</f>
        <v>58888</v>
      </c>
      <c r="I45" s="20">
        <f>SUM(B45:G45)</f>
        <v>70209</v>
      </c>
      <c r="J45" s="1552"/>
    </row>
    <row r="46" spans="1:31" x14ac:dyDescent="0.2">
      <c r="A46" s="6" t="s">
        <v>125</v>
      </c>
      <c r="B46" s="6" t="s">
        <v>125</v>
      </c>
      <c r="C46" s="6" t="s">
        <v>125</v>
      </c>
      <c r="D46" s="6" t="s">
        <v>125</v>
      </c>
      <c r="E46" s="6" t="s">
        <v>125</v>
      </c>
      <c r="F46" s="6" t="s">
        <v>125</v>
      </c>
      <c r="G46" s="6" t="s">
        <v>125</v>
      </c>
      <c r="H46" s="6" t="s">
        <v>125</v>
      </c>
      <c r="I46" s="6" t="s">
        <v>125</v>
      </c>
      <c r="J46" s="1551" t="s">
        <v>125</v>
      </c>
    </row>
    <row r="47" spans="1:31" x14ac:dyDescent="0.2">
      <c r="J47" s="1552"/>
    </row>
    <row r="48" spans="1:31" ht="15.75" x14ac:dyDescent="0.25">
      <c r="D48" s="168"/>
      <c r="E48" s="1013" t="s">
        <v>808</v>
      </c>
      <c r="F48" s="1013" t="s">
        <v>176</v>
      </c>
      <c r="G48" s="1013" t="s">
        <v>508</v>
      </c>
      <c r="H48" s="168"/>
      <c r="J48" s="1552"/>
    </row>
    <row r="49" spans="4:10" ht="15.75" x14ac:dyDescent="0.25">
      <c r="D49" s="1013" t="s">
        <v>809</v>
      </c>
      <c r="E49" s="168">
        <v>0.02</v>
      </c>
      <c r="F49" s="168">
        <f>E49*F40</f>
        <v>478.74</v>
      </c>
      <c r="G49" s="168">
        <f>E49*G32</f>
        <v>0.42</v>
      </c>
      <c r="H49" s="168">
        <f>F49+G49</f>
        <v>479.16</v>
      </c>
      <c r="I49" s="1556">
        <f>I27-H51</f>
        <v>96168.29</v>
      </c>
      <c r="J49" s="1552"/>
    </row>
    <row r="50" spans="4:10" ht="15.75" x14ac:dyDescent="0.25">
      <c r="D50" s="1013" t="s">
        <v>810</v>
      </c>
      <c r="E50" s="168">
        <v>0.05</v>
      </c>
      <c r="F50" s="1013" t="s">
        <v>761</v>
      </c>
      <c r="G50" s="168">
        <f>E50*(G35+G36)</f>
        <v>130.55000000000001</v>
      </c>
      <c r="H50" s="168">
        <f>F50+G50</f>
        <v>130.55000000000001</v>
      </c>
      <c r="J50" s="1552"/>
    </row>
    <row r="51" spans="4:10" ht="15.75" x14ac:dyDescent="0.25">
      <c r="D51" s="168"/>
      <c r="E51" s="168"/>
      <c r="F51" s="168"/>
      <c r="G51" s="168"/>
      <c r="H51" s="168">
        <f>SUM(H49:H50)</f>
        <v>609.71</v>
      </c>
      <c r="J51" s="1552"/>
    </row>
    <row r="52" spans="4:10" x14ac:dyDescent="0.2">
      <c r="J52" s="1552"/>
    </row>
    <row r="53" spans="4:10" x14ac:dyDescent="0.2">
      <c r="J53" s="1552"/>
    </row>
    <row r="54" spans="4:10" x14ac:dyDescent="0.2">
      <c r="J54" s="1552"/>
    </row>
    <row r="55" spans="4:10" x14ac:dyDescent="0.2">
      <c r="J55" s="1552"/>
    </row>
    <row r="56" spans="4:10" x14ac:dyDescent="0.2">
      <c r="J56" s="1552"/>
    </row>
    <row r="57" spans="4:10" x14ac:dyDescent="0.2">
      <c r="J57" s="1552"/>
    </row>
    <row r="58" spans="4:10" x14ac:dyDescent="0.2">
      <c r="J58" s="1552"/>
    </row>
    <row r="59" spans="4:10" x14ac:dyDescent="0.2">
      <c r="J59" s="1552"/>
    </row>
    <row r="60" spans="4:10" x14ac:dyDescent="0.2">
      <c r="J60" s="1552"/>
    </row>
    <row r="61" spans="4:10" x14ac:dyDescent="0.2">
      <c r="J61" s="1552"/>
    </row>
    <row r="62" spans="4:10" x14ac:dyDescent="0.2">
      <c r="J62" s="1552"/>
    </row>
    <row r="63" spans="4:10" x14ac:dyDescent="0.2">
      <c r="J63" s="1552"/>
    </row>
    <row r="64" spans="4:10" x14ac:dyDescent="0.2">
      <c r="J64" s="1552"/>
    </row>
    <row r="65" spans="1:10" x14ac:dyDescent="0.2">
      <c r="J65" s="1552"/>
    </row>
    <row r="66" spans="1:10" x14ac:dyDescent="0.2">
      <c r="J66" s="1552"/>
    </row>
    <row r="67" spans="1:10" x14ac:dyDescent="0.2">
      <c r="J67" s="1552"/>
    </row>
    <row r="68" spans="1:10" x14ac:dyDescent="0.2">
      <c r="J68" s="1552"/>
    </row>
    <row r="69" spans="1:10" x14ac:dyDescent="0.2">
      <c r="J69" s="1552"/>
    </row>
    <row r="70" spans="1:10" x14ac:dyDescent="0.2">
      <c r="J70" s="1552"/>
    </row>
    <row r="71" spans="1:10" x14ac:dyDescent="0.2">
      <c r="J71" s="1552"/>
    </row>
    <row r="72" spans="1:10" x14ac:dyDescent="0.2">
      <c r="J72" s="1552"/>
    </row>
    <row r="73" spans="1:10" x14ac:dyDescent="0.2">
      <c r="J73" s="1552"/>
    </row>
    <row r="74" spans="1:10" ht="15.75" x14ac:dyDescent="0.25">
      <c r="A74" s="2143" t="s">
        <v>811</v>
      </c>
      <c r="B74" s="2144" t="s">
        <v>812</v>
      </c>
      <c r="C74" s="2143"/>
      <c r="D74" s="2143"/>
      <c r="E74" s="2143"/>
      <c r="F74" s="2143"/>
      <c r="G74" s="2143"/>
      <c r="H74" s="2143"/>
      <c r="I74" s="2143"/>
      <c r="J74" s="2145"/>
    </row>
    <row r="75" spans="1:10" x14ac:dyDescent="0.2">
      <c r="J75" s="1552"/>
    </row>
    <row r="76" spans="1:10" x14ac:dyDescent="0.2">
      <c r="B76" s="2" t="s">
        <v>813</v>
      </c>
      <c r="D76" s="2" t="s">
        <v>814</v>
      </c>
      <c r="J76" s="1552"/>
    </row>
    <row r="77" spans="1:10" x14ac:dyDescent="0.2">
      <c r="A77" s="2" t="s">
        <v>815</v>
      </c>
      <c r="B77" s="1561" t="s">
        <v>816</v>
      </c>
      <c r="C77" s="1561" t="s">
        <v>817</v>
      </c>
      <c r="D77" s="1561" t="s">
        <v>816</v>
      </c>
      <c r="E77" s="1561" t="s">
        <v>817</v>
      </c>
      <c r="J77" s="1552"/>
    </row>
    <row r="78" spans="1:10" x14ac:dyDescent="0.2">
      <c r="B78" s="1561" t="s">
        <v>818</v>
      </c>
      <c r="C78" s="1561" t="s">
        <v>819</v>
      </c>
      <c r="D78" s="1561" t="s">
        <v>818</v>
      </c>
      <c r="E78" s="1561" t="s">
        <v>819</v>
      </c>
      <c r="F78" s="2" t="s">
        <v>820</v>
      </c>
      <c r="J78" s="1552"/>
    </row>
    <row r="79" spans="1:10" x14ac:dyDescent="0.2">
      <c r="A79" s="1529" t="s">
        <v>821</v>
      </c>
      <c r="B79" s="1562" t="s">
        <v>822</v>
      </c>
      <c r="C79" s="1562" t="s">
        <v>823</v>
      </c>
      <c r="D79" s="1562" t="s">
        <v>822</v>
      </c>
      <c r="E79" s="1562" t="s">
        <v>823</v>
      </c>
      <c r="F79" s="1529"/>
      <c r="G79" s="1529"/>
      <c r="H79" s="1529"/>
      <c r="I79" s="1529"/>
      <c r="J79" s="1563"/>
    </row>
    <row r="80" spans="1:10" x14ac:dyDescent="0.2">
      <c r="A80" s="2" t="s">
        <v>824</v>
      </c>
      <c r="B80" s="1522" t="e">
        <f>C7</f>
        <v>#DIV/0!</v>
      </c>
      <c r="C80" s="1522" t="e">
        <f>C7</f>
        <v>#DIV/0!</v>
      </c>
      <c r="D80" s="1522" t="e">
        <f>E7</f>
        <v>#DIV/0!</v>
      </c>
      <c r="E80" s="1522" t="e">
        <f>E7</f>
        <v>#DIV/0!</v>
      </c>
      <c r="F80" s="20" t="s">
        <v>825</v>
      </c>
      <c r="J80" s="1552"/>
    </row>
    <row r="81" spans="1:10" x14ac:dyDescent="0.2">
      <c r="A81" s="2" t="s">
        <v>826</v>
      </c>
      <c r="B81" s="1522"/>
      <c r="C81" s="1522"/>
      <c r="D81" s="1522"/>
      <c r="E81" s="1522"/>
      <c r="F81" s="20" t="s">
        <v>827</v>
      </c>
      <c r="J81" s="1552"/>
    </row>
    <row r="82" spans="1:10" x14ac:dyDescent="0.2">
      <c r="A82" s="2" t="s">
        <v>828</v>
      </c>
      <c r="B82" s="1522"/>
      <c r="C82" s="1522">
        <f>B20+C40</f>
        <v>658</v>
      </c>
      <c r="D82" s="1522"/>
      <c r="E82" s="1522">
        <f>D20+E20</f>
        <v>0</v>
      </c>
      <c r="F82" s="2" t="s">
        <v>829</v>
      </c>
      <c r="J82" s="1552"/>
    </row>
    <row r="83" spans="1:10" x14ac:dyDescent="0.2">
      <c r="A83" s="2" t="s">
        <v>830</v>
      </c>
      <c r="B83" s="1522">
        <f>B40+C40</f>
        <v>5994</v>
      </c>
      <c r="C83" s="1522">
        <f>B83</f>
        <v>5994</v>
      </c>
      <c r="D83" s="1522">
        <f>D40+E40</f>
        <v>13365</v>
      </c>
      <c r="E83" s="1522">
        <f>D83</f>
        <v>13365</v>
      </c>
      <c r="F83" s="2" t="s">
        <v>831</v>
      </c>
      <c r="J83" s="1552"/>
    </row>
    <row r="84" spans="1:10" x14ac:dyDescent="0.2">
      <c r="A84" s="2" t="s">
        <v>832</v>
      </c>
      <c r="B84" s="1522">
        <f>C36</f>
        <v>653</v>
      </c>
      <c r="C84" s="1522">
        <f>B84</f>
        <v>653</v>
      </c>
      <c r="D84" s="1522">
        <f>E33+E35</f>
        <v>50</v>
      </c>
      <c r="E84" s="1522">
        <f>D84</f>
        <v>50</v>
      </c>
      <c r="F84" s="20" t="s">
        <v>833</v>
      </c>
      <c r="J84" s="1552"/>
    </row>
    <row r="85" spans="1:10" x14ac:dyDescent="0.2">
      <c r="A85" s="1529" t="s">
        <v>834</v>
      </c>
      <c r="B85" s="1525" t="e">
        <f>B80-B81-B83+B84</f>
        <v>#DIV/0!</v>
      </c>
      <c r="C85" s="1525" t="e">
        <f>C80-C82-C83+C84</f>
        <v>#DIV/0!</v>
      </c>
      <c r="D85" s="1525" t="e">
        <f>D80-D81-D83+D84</f>
        <v>#DIV/0!</v>
      </c>
      <c r="E85" s="1525" t="e">
        <f>E80-E82-E83+E84</f>
        <v>#DIV/0!</v>
      </c>
      <c r="F85" s="1529" t="s">
        <v>835</v>
      </c>
      <c r="G85" s="1529"/>
      <c r="H85" s="1529"/>
      <c r="I85" s="1529"/>
      <c r="J85" s="1563"/>
    </row>
    <row r="86" spans="1:10" x14ac:dyDescent="0.2">
      <c r="C86" s="724"/>
      <c r="E86" s="724"/>
      <c r="J86" s="1552"/>
    </row>
    <row r="87" spans="1:10" x14ac:dyDescent="0.2">
      <c r="B87" s="7" t="s">
        <v>817</v>
      </c>
      <c r="C87" s="724"/>
      <c r="D87" s="7" t="s">
        <v>817</v>
      </c>
      <c r="E87" s="724"/>
      <c r="F87" s="2" t="s">
        <v>820</v>
      </c>
      <c r="J87" s="1552"/>
    </row>
    <row r="88" spans="1:10" x14ac:dyDescent="0.2">
      <c r="A88" s="1529" t="s">
        <v>821</v>
      </c>
      <c r="B88" s="1564" t="s">
        <v>836</v>
      </c>
      <c r="C88" s="1565"/>
      <c r="D88" s="1564" t="s">
        <v>836</v>
      </c>
      <c r="E88" s="1565"/>
      <c r="F88" s="1529"/>
      <c r="G88" s="1529"/>
      <c r="H88" s="1529"/>
      <c r="I88" s="1529"/>
      <c r="J88" s="1563"/>
    </row>
    <row r="89" spans="1:10" x14ac:dyDescent="0.2">
      <c r="A89" s="2" t="s">
        <v>837</v>
      </c>
      <c r="B89" s="20">
        <f>C27</f>
        <v>16873</v>
      </c>
      <c r="C89" s="724"/>
      <c r="D89" s="20">
        <f>E27</f>
        <v>42921</v>
      </c>
      <c r="E89" s="724"/>
      <c r="F89" s="20" t="s">
        <v>838</v>
      </c>
      <c r="J89" s="1552"/>
    </row>
    <row r="90" spans="1:10" x14ac:dyDescent="0.2">
      <c r="A90" s="2" t="s">
        <v>830</v>
      </c>
      <c r="B90" s="20">
        <f>B40+C40</f>
        <v>5994</v>
      </c>
      <c r="C90" s="724"/>
      <c r="D90" s="20">
        <f>D40+E40</f>
        <v>13365</v>
      </c>
      <c r="E90" s="724"/>
      <c r="F90" s="2" t="s">
        <v>831</v>
      </c>
      <c r="J90" s="1552"/>
    </row>
    <row r="91" spans="1:10" x14ac:dyDescent="0.2">
      <c r="A91" s="2" t="s">
        <v>839</v>
      </c>
      <c r="B91" s="20">
        <f>B89-B90</f>
        <v>10879</v>
      </c>
      <c r="C91" s="724"/>
      <c r="D91" s="20">
        <f>D89-D90</f>
        <v>29556</v>
      </c>
      <c r="E91" s="724"/>
      <c r="F91" s="2" t="s">
        <v>840</v>
      </c>
      <c r="J91" s="1552"/>
    </row>
    <row r="92" spans="1:10" x14ac:dyDescent="0.2">
      <c r="C92" s="724"/>
      <c r="E92" s="724"/>
      <c r="J92" s="1552"/>
    </row>
    <row r="93" spans="1:10" x14ac:dyDescent="0.2">
      <c r="A93" s="2" t="s">
        <v>841</v>
      </c>
      <c r="B93" s="20" t="e">
        <f>B85-B91</f>
        <v>#DIV/0!</v>
      </c>
      <c r="C93" s="724"/>
      <c r="D93" s="20" t="e">
        <f>D85-D91</f>
        <v>#DIV/0!</v>
      </c>
      <c r="E93" s="724"/>
      <c r="J93" s="1552"/>
    </row>
    <row r="94" spans="1:10" x14ac:dyDescent="0.2">
      <c r="A94" s="2" t="s">
        <v>842</v>
      </c>
      <c r="B94" s="20" t="e">
        <f>C85-B91</f>
        <v>#DIV/0!</v>
      </c>
      <c r="C94" s="724"/>
      <c r="D94" s="20" t="e">
        <f>E85-D91</f>
        <v>#DIV/0!</v>
      </c>
      <c r="E94" s="724"/>
      <c r="J94" s="1552"/>
    </row>
    <row r="153" spans="7:12" x14ac:dyDescent="0.2">
      <c r="G153" s="2">
        <f>SPS!D50*C157</f>
        <v>0</v>
      </c>
    </row>
    <row r="154" spans="7:12" x14ac:dyDescent="0.2">
      <c r="G154" s="2">
        <f>SPS!D50*C158</f>
        <v>0</v>
      </c>
    </row>
    <row r="155" spans="7:12" x14ac:dyDescent="0.2">
      <c r="G155" s="2" t="e">
        <f>SPS!C47/G153</f>
        <v>#DIV/0!</v>
      </c>
    </row>
    <row r="156" spans="7:12" x14ac:dyDescent="0.2">
      <c r="G156" s="2" t="e">
        <f>SPS!C47/G154</f>
        <v>#DIV/0!</v>
      </c>
    </row>
    <row r="158" spans="7:12" x14ac:dyDescent="0.2">
      <c r="L158" s="2">
        <f>IF(SPS!BB39="&gt;&gt;&gt;recalc",0,SPS!BB39)</f>
        <v>0</v>
      </c>
    </row>
    <row r="159" spans="7:12" x14ac:dyDescent="0.2">
      <c r="L159" s="20">
        <f>SPS!BB41</f>
        <v>42871.093106447603</v>
      </c>
    </row>
    <row r="160" spans="7:12" x14ac:dyDescent="0.2">
      <c r="L160" s="2">
        <f>SPS!C47</f>
        <v>0</v>
      </c>
    </row>
    <row r="165" spans="13:13" x14ac:dyDescent="0.2">
      <c r="M165" s="2">
        <f>SUM(SPS!Z36:AC36)*(C159/(1-C159))</f>
        <v>0</v>
      </c>
    </row>
  </sheetData>
  <mergeCells count="2">
    <mergeCell ref="X6:Z6"/>
    <mergeCell ref="AA6:AB6"/>
  </mergeCells>
  <phoneticPr fontId="16" type="noConversion"/>
  <pageMargins left="0.5" right="0.66700000000000004" top="0.75" bottom="0.66700000000000004" header="0.5" footer="0.5"/>
  <pageSetup scale="63" orientation="landscape"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ransitionEvaluation="1" transitionEntry="1" codeName="Sheet10">
    <pageSetUpPr fitToPage="1"/>
  </sheetPr>
  <dimension ref="A1:BV161"/>
  <sheetViews>
    <sheetView topLeftCell="AE1" zoomScaleNormal="100" workbookViewId="0">
      <selection activeCell="AE16" sqref="AE16"/>
    </sheetView>
  </sheetViews>
  <sheetFormatPr defaultColWidth="20.85546875" defaultRowHeight="15" x14ac:dyDescent="0.2"/>
  <cols>
    <col min="1" max="30" width="0" style="2" hidden="1" customWidth="1"/>
    <col min="31" max="31" width="11.85546875" style="2" customWidth="1"/>
    <col min="32" max="16384" width="20.85546875" style="2"/>
  </cols>
  <sheetData>
    <row r="1" spans="1:74" ht="15.75" x14ac:dyDescent="0.25">
      <c r="A1" s="1" t="s">
        <v>843</v>
      </c>
      <c r="H1" s="6" t="s">
        <v>125</v>
      </c>
      <c r="I1" s="6" t="s">
        <v>125</v>
      </c>
      <c r="M1" s="1" t="s">
        <v>844</v>
      </c>
      <c r="T1" s="6" t="s">
        <v>125</v>
      </c>
      <c r="U1" s="6" t="s">
        <v>125</v>
      </c>
      <c r="W1" s="1" t="s">
        <v>845</v>
      </c>
      <c r="AA1" s="6" t="s">
        <v>125</v>
      </c>
      <c r="AB1" s="6" t="s">
        <v>125</v>
      </c>
      <c r="AC1" s="6" t="s">
        <v>125</v>
      </c>
      <c r="AD1" s="6" t="s">
        <v>125</v>
      </c>
      <c r="AF1" s="1" t="s">
        <v>846</v>
      </c>
      <c r="AT1" s="7" t="s">
        <v>602</v>
      </c>
      <c r="AU1" s="7">
        <f>'1'!$F$2</f>
        <v>0</v>
      </c>
      <c r="BA1"/>
      <c r="BB1"/>
      <c r="BC1"/>
      <c r="BD1"/>
      <c r="BE1"/>
      <c r="BF1"/>
      <c r="BG1"/>
      <c r="BK1" s="1" t="s">
        <v>847</v>
      </c>
      <c r="BR1" s="6" t="s">
        <v>125</v>
      </c>
      <c r="BS1" s="6" t="s">
        <v>125</v>
      </c>
      <c r="BT1" s="6" t="s">
        <v>125</v>
      </c>
    </row>
    <row r="2" spans="1:74" ht="15.75" x14ac:dyDescent="0.25">
      <c r="A2" s="2" t="s">
        <v>848</v>
      </c>
      <c r="I2" s="545">
        <f>'1'!$L$2</f>
        <v>44663.592256944445</v>
      </c>
      <c r="M2" s="2" t="s">
        <v>849</v>
      </c>
      <c r="U2" s="545">
        <f>'1'!$L$2</f>
        <v>44663.592256944445</v>
      </c>
      <c r="W2" s="2" t="s">
        <v>850</v>
      </c>
      <c r="AD2" s="545">
        <f ca="1">NOW()</f>
        <v>44773.562242361113</v>
      </c>
      <c r="AF2" s="1"/>
      <c r="AU2" s="545">
        <f>'1'!$L$2</f>
        <v>44663.592256944445</v>
      </c>
      <c r="BA2" t="str">
        <f>'2'!O3</f>
        <v>FRAM Run Number:</v>
      </c>
      <c r="BB2" s="2146" t="str">
        <f>'2'!E3</f>
        <v>bc-Coho2229</v>
      </c>
      <c r="BC2" s="2026"/>
      <c r="BD2" s="2147"/>
      <c r="BE2" s="2026"/>
      <c r="BF2"/>
      <c r="BG2"/>
      <c r="BK2" s="2" t="s">
        <v>851</v>
      </c>
      <c r="BR2" s="2" t="s">
        <v>604</v>
      </c>
      <c r="BS2" s="2" t="s">
        <v>605</v>
      </c>
    </row>
    <row r="3" spans="1:74" ht="21" thickBot="1" x14ac:dyDescent="0.35">
      <c r="A3" s="2" t="s">
        <v>602</v>
      </c>
      <c r="B3" s="157" t="str">
        <f>Input_Harvestnew!$B$3</f>
        <v>bc-Coho2229</v>
      </c>
      <c r="F3" s="7"/>
      <c r="I3" s="546">
        <f>'1'!$L$3</f>
        <v>44663.592256944445</v>
      </c>
      <c r="M3" s="7" t="s">
        <v>602</v>
      </c>
      <c r="N3" s="157" t="str">
        <f>Input_Harvestnew!$B$3</f>
        <v>bc-Coho2229</v>
      </c>
      <c r="O3" s="168" t="s">
        <v>852</v>
      </c>
      <c r="R3" s="7"/>
      <c r="S3" s="2" t="s">
        <v>605</v>
      </c>
      <c r="U3" s="546">
        <f>'1'!$L$3</f>
        <v>44663.592256944445</v>
      </c>
      <c r="W3" s="2" t="s">
        <v>602</v>
      </c>
      <c r="X3" s="2" t="s">
        <v>603</v>
      </c>
      <c r="AB3" s="2" t="s">
        <v>604</v>
      </c>
      <c r="AC3" s="2" t="s">
        <v>605</v>
      </c>
      <c r="AD3" s="546">
        <f ca="1">NOW()</f>
        <v>44773.562242361113</v>
      </c>
      <c r="AF3" s="1062"/>
      <c r="AG3" s="2115"/>
      <c r="AH3" s="2115"/>
      <c r="AI3" s="2115"/>
      <c r="AJ3" s="2115"/>
      <c r="AK3" s="1062" t="s">
        <v>853</v>
      </c>
      <c r="AL3" s="2115"/>
      <c r="AM3" s="2115"/>
      <c r="AN3" s="2115"/>
      <c r="AO3" s="2115"/>
      <c r="AP3" s="2115"/>
      <c r="AQ3" s="2115"/>
      <c r="AR3" s="2115"/>
      <c r="AS3" s="2115"/>
      <c r="AT3" s="2115"/>
      <c r="AU3" s="546"/>
      <c r="BA3" t="str">
        <f>'2'!O4</f>
        <v>Run Description:</v>
      </c>
      <c r="BB3" s="46" t="str">
        <f>'2'!E4</f>
        <v>Final PFMC April - Adopted+NOF</v>
      </c>
      <c r="BC3" s="47"/>
      <c r="BD3" s="202"/>
      <c r="BE3" s="47"/>
      <c r="BF3"/>
      <c r="BG3"/>
      <c r="BM3" s="2" t="s">
        <v>602</v>
      </c>
      <c r="BN3" s="2" t="s">
        <v>603</v>
      </c>
      <c r="BP3" s="168" t="s">
        <v>852</v>
      </c>
      <c r="BT3" s="2" t="s">
        <v>607</v>
      </c>
      <c r="BU3" s="2" t="s">
        <v>608</v>
      </c>
      <c r="BV3" s="545">
        <f>'1'!$L$2</f>
        <v>44663.592256944445</v>
      </c>
    </row>
    <row r="4" spans="1:74" ht="16.5" thickBot="1" x14ac:dyDescent="0.3">
      <c r="A4" s="2" t="s">
        <v>123</v>
      </c>
      <c r="B4" s="2" t="str">
        <f>Input_Harvestnew!$B$4</f>
        <v>Final PFMC April - Adopted+NOF</v>
      </c>
      <c r="M4" s="7" t="s">
        <v>123</v>
      </c>
      <c r="N4" s="2" t="str">
        <f>Input_Harvestnew!$B$4</f>
        <v>Final PFMC April - Adopted+NOF</v>
      </c>
      <c r="S4" s="2" t="s">
        <v>608</v>
      </c>
      <c r="V4" s="2">
        <f>837/6270</f>
        <v>0.13349282296650719</v>
      </c>
      <c r="W4" s="2" t="s">
        <v>123</v>
      </c>
      <c r="X4" s="2" t="s">
        <v>606</v>
      </c>
      <c r="AB4" s="2" t="s">
        <v>607</v>
      </c>
      <c r="AC4" s="2" t="s">
        <v>608</v>
      </c>
      <c r="AF4" s="25"/>
      <c r="AG4" s="2454" t="s">
        <v>854</v>
      </c>
      <c r="AH4" s="2455"/>
      <c r="AI4" s="2455"/>
      <c r="AJ4" s="2456"/>
      <c r="AK4" s="2454" t="s">
        <v>855</v>
      </c>
      <c r="AL4" s="2456"/>
      <c r="AM4" s="2454" t="s">
        <v>856</v>
      </c>
      <c r="AN4" s="2456"/>
      <c r="AO4" s="2454" t="s">
        <v>857</v>
      </c>
      <c r="AP4" s="2455"/>
      <c r="AQ4" s="2455"/>
      <c r="AR4" s="2456"/>
      <c r="AS4" s="2113"/>
      <c r="AT4" s="2450" t="s">
        <v>236</v>
      </c>
      <c r="AU4" s="2451"/>
      <c r="AW4" s="546"/>
      <c r="BA4"/>
      <c r="BB4" s="46"/>
      <c r="BC4" s="47"/>
      <c r="BD4" s="46"/>
      <c r="BE4" s="47"/>
      <c r="BF4"/>
      <c r="BG4"/>
      <c r="BM4" s="2" t="s">
        <v>123</v>
      </c>
      <c r="BN4" s="2" t="s">
        <v>606</v>
      </c>
      <c r="BV4" s="546">
        <f>'1'!$L$3</f>
        <v>44663.592256944445</v>
      </c>
    </row>
    <row r="5" spans="1:74" ht="16.5" thickBot="1" x14ac:dyDescent="0.3">
      <c r="A5" s="6" t="s">
        <v>125</v>
      </c>
      <c r="B5" s="6" t="s">
        <v>125</v>
      </c>
      <c r="C5" s="6" t="s">
        <v>125</v>
      </c>
      <c r="D5" s="6" t="s">
        <v>125</v>
      </c>
      <c r="E5" s="6" t="s">
        <v>125</v>
      </c>
      <c r="F5" s="6" t="s">
        <v>125</v>
      </c>
      <c r="G5" s="6" t="s">
        <v>125</v>
      </c>
      <c r="H5" s="6" t="s">
        <v>125</v>
      </c>
      <c r="I5" s="6" t="s">
        <v>125</v>
      </c>
      <c r="M5" s="6" t="s">
        <v>125</v>
      </c>
      <c r="N5" s="6" t="s">
        <v>125</v>
      </c>
      <c r="O5" s="6" t="s">
        <v>125</v>
      </c>
      <c r="P5" s="6" t="s">
        <v>125</v>
      </c>
      <c r="Q5" s="6" t="s">
        <v>125</v>
      </c>
      <c r="R5" s="6" t="s">
        <v>125</v>
      </c>
      <c r="S5" s="6" t="s">
        <v>125</v>
      </c>
      <c r="T5" s="6" t="s">
        <v>125</v>
      </c>
      <c r="U5" s="6" t="s">
        <v>125</v>
      </c>
      <c r="V5" s="2">
        <f>2171/15694</f>
        <v>0.13833312093793806</v>
      </c>
      <c r="W5" s="6" t="s">
        <v>125</v>
      </c>
      <c r="X5" s="6" t="s">
        <v>125</v>
      </c>
      <c r="Y5" s="6" t="s">
        <v>125</v>
      </c>
      <c r="Z5" s="6" t="s">
        <v>125</v>
      </c>
      <c r="AA5" s="6" t="s">
        <v>125</v>
      </c>
      <c r="AB5" s="6" t="s">
        <v>125</v>
      </c>
      <c r="AC5" s="6" t="s">
        <v>125</v>
      </c>
      <c r="AD5" s="6" t="s">
        <v>125</v>
      </c>
      <c r="AF5" s="1"/>
      <c r="AG5" s="2465" t="s">
        <v>858</v>
      </c>
      <c r="AH5" s="2466"/>
      <c r="AI5" s="2459" t="s">
        <v>240</v>
      </c>
      <c r="AJ5" s="2460"/>
      <c r="AK5" s="2457" t="s">
        <v>859</v>
      </c>
      <c r="AL5" s="2458"/>
      <c r="AM5" s="2457" t="s">
        <v>859</v>
      </c>
      <c r="AN5" s="2460"/>
      <c r="AO5" s="2463" t="s">
        <v>860</v>
      </c>
      <c r="AP5" s="2464"/>
      <c r="AQ5" s="2459" t="s">
        <v>858</v>
      </c>
      <c r="AR5" s="2460"/>
      <c r="AS5" s="1066" t="s">
        <v>861</v>
      </c>
      <c r="AT5" s="2452"/>
      <c r="AU5" s="2453"/>
      <c r="BA5"/>
      <c r="BB5" s="592" t="s">
        <v>557</v>
      </c>
      <c r="BC5" s="593"/>
      <c r="BD5" s="592" t="s">
        <v>557</v>
      </c>
      <c r="BE5" s="47"/>
      <c r="BF5"/>
      <c r="BG5"/>
      <c r="BM5" s="6" t="s">
        <v>125</v>
      </c>
      <c r="BN5" s="6" t="s">
        <v>125</v>
      </c>
      <c r="BO5" s="6" t="s">
        <v>125</v>
      </c>
      <c r="BP5" s="6" t="s">
        <v>125</v>
      </c>
      <c r="BQ5" s="6" t="s">
        <v>125</v>
      </c>
      <c r="BR5" s="6" t="s">
        <v>125</v>
      </c>
      <c r="BS5" s="6" t="s">
        <v>125</v>
      </c>
      <c r="BT5" s="6" t="s">
        <v>125</v>
      </c>
      <c r="BU5" s="6" t="s">
        <v>125</v>
      </c>
      <c r="BV5" s="6" t="s">
        <v>125</v>
      </c>
    </row>
    <row r="6" spans="1:74" ht="16.5" thickBot="1" x14ac:dyDescent="0.3">
      <c r="A6" s="168" t="s">
        <v>852</v>
      </c>
      <c r="B6" s="1224" t="s">
        <v>862</v>
      </c>
      <c r="C6" s="1224" t="s">
        <v>863</v>
      </c>
      <c r="E6" s="1224" t="s">
        <v>201</v>
      </c>
      <c r="F6" s="1224" t="s">
        <v>611</v>
      </c>
      <c r="G6" s="1224" t="s">
        <v>864</v>
      </c>
      <c r="H6" s="2" t="s">
        <v>613</v>
      </c>
      <c r="M6" s="2" t="s">
        <v>865</v>
      </c>
      <c r="AF6" s="1043" t="s">
        <v>866</v>
      </c>
      <c r="AG6" s="2461">
        <f>SUM(AG27:AG29)</f>
        <v>20290</v>
      </c>
      <c r="AH6" s="2460"/>
      <c r="AI6" s="2462">
        <f>SUM(AI27,AI29)</f>
        <v>17499</v>
      </c>
      <c r="AJ6" s="2449"/>
      <c r="AK6" s="2448">
        <f>SUM(AK27,AK29)</f>
        <v>8789</v>
      </c>
      <c r="AL6" s="2449"/>
      <c r="AM6" s="2448">
        <f>SUM(AM27,AM29)</f>
        <v>35956</v>
      </c>
      <c r="AN6" s="2449"/>
      <c r="AO6" s="2448">
        <f>SUM(AI6,AK6,AM6)</f>
        <v>62244</v>
      </c>
      <c r="AP6" s="2449"/>
      <c r="AQ6" s="2462">
        <f>SUM(AG6)</f>
        <v>20290</v>
      </c>
      <c r="AR6" s="2449"/>
      <c r="AS6" s="2103"/>
      <c r="AT6" s="2448">
        <f>SUM(AO6,AQ6)</f>
        <v>82534</v>
      </c>
      <c r="AU6" s="2449"/>
      <c r="BA6" t="str">
        <f>'2'!O8</f>
        <v>FISHERY</v>
      </c>
      <c r="BB6" s="594" t="str">
        <f>'2'!P8</f>
        <v>Wild</v>
      </c>
      <c r="BC6" s="595" t="s">
        <v>867</v>
      </c>
      <c r="BD6" s="594" t="s">
        <v>237</v>
      </c>
      <c r="BE6" s="596" t="s">
        <v>867</v>
      </c>
      <c r="BF6"/>
      <c r="BG6" s="597" t="s">
        <v>868</v>
      </c>
      <c r="BM6" s="2" t="s">
        <v>869</v>
      </c>
    </row>
    <row r="7" spans="1:74" ht="16.5" thickBot="1" x14ac:dyDescent="0.3">
      <c r="A7" s="2" t="s">
        <v>619</v>
      </c>
      <c r="B7" s="1063"/>
      <c r="C7" s="20"/>
      <c r="G7" s="20">
        <f>TRunsPRN!D39</f>
        <v>58669.705233521119</v>
      </c>
      <c r="H7" s="2" t="s">
        <v>870</v>
      </c>
      <c r="M7" s="2" t="s">
        <v>871</v>
      </c>
      <c r="X7" s="7"/>
      <c r="Y7" s="7"/>
      <c r="Z7" s="7"/>
      <c r="AA7" s="7"/>
      <c r="AB7" s="7"/>
      <c r="AC7" s="7"/>
      <c r="AD7" s="7"/>
      <c r="AF7" s="1042" t="s">
        <v>126</v>
      </c>
      <c r="AG7" s="2104" t="s">
        <v>872</v>
      </c>
      <c r="AH7" s="2105" t="s">
        <v>867</v>
      </c>
      <c r="AI7" s="24" t="s">
        <v>872</v>
      </c>
      <c r="AJ7" s="1054" t="s">
        <v>867</v>
      </c>
      <c r="AK7" s="23" t="s">
        <v>872</v>
      </c>
      <c r="AL7" s="1054" t="s">
        <v>867</v>
      </c>
      <c r="AM7" s="23" t="s">
        <v>872</v>
      </c>
      <c r="AN7" s="1054" t="s">
        <v>867</v>
      </c>
      <c r="AO7" s="23" t="s">
        <v>872</v>
      </c>
      <c r="AP7" s="1054" t="s">
        <v>867</v>
      </c>
      <c r="AQ7" s="24" t="s">
        <v>872</v>
      </c>
      <c r="AR7" s="1054" t="s">
        <v>867</v>
      </c>
      <c r="AS7" s="24"/>
      <c r="AT7" s="23" t="s">
        <v>872</v>
      </c>
      <c r="AU7" s="1054" t="s">
        <v>867</v>
      </c>
      <c r="BA7" s="36" t="str">
        <f>'2'!O9</f>
        <v>Projected Spawning Escapement</v>
      </c>
      <c r="BB7" s="200">
        <f>'2'!P9</f>
        <v>11350</v>
      </c>
      <c r="BC7" s="47"/>
      <c r="BD7" s="46"/>
      <c r="BE7" s="47"/>
      <c r="BF7"/>
      <c r="BG7">
        <f>BB7-BD7</f>
        <v>11350</v>
      </c>
      <c r="BM7" s="2" t="s">
        <v>873</v>
      </c>
    </row>
    <row r="8" spans="1:74" ht="15.75" x14ac:dyDescent="0.25">
      <c r="A8" s="6" t="s">
        <v>129</v>
      </c>
      <c r="B8" s="6" t="s">
        <v>129</v>
      </c>
      <c r="C8" s="6" t="s">
        <v>129</v>
      </c>
      <c r="D8" s="6" t="s">
        <v>129</v>
      </c>
      <c r="E8" s="6" t="s">
        <v>129</v>
      </c>
      <c r="F8" s="6" t="s">
        <v>129</v>
      </c>
      <c r="G8" s="6" t="s">
        <v>129</v>
      </c>
      <c r="H8" s="6" t="s">
        <v>129</v>
      </c>
      <c r="I8" s="6" t="s">
        <v>129</v>
      </c>
      <c r="M8" s="2" t="s">
        <v>874</v>
      </c>
      <c r="X8" s="1063"/>
      <c r="Y8" s="1535"/>
      <c r="Z8" s="1063"/>
      <c r="AA8" s="1063"/>
      <c r="AB8" s="1063"/>
      <c r="AC8" s="1063"/>
      <c r="AD8" s="1535"/>
      <c r="AE8" s="129"/>
      <c r="AF8" s="1041" t="s">
        <v>490</v>
      </c>
      <c r="AG8" s="130">
        <f>SUM(StockSumPRN!F1000:G1022,StockSumPRN!F1205:G1227,StockSumPRN!J1205:K1227)</f>
        <v>402</v>
      </c>
      <c r="AH8" s="98">
        <f>AG8/AG$6</f>
        <v>1.9812715623459834E-2</v>
      </c>
      <c r="AI8" s="130">
        <f>SUM(StockSumPRN!D1205:E1227,StockSumPRN!H1205:I1227)</f>
        <v>930</v>
      </c>
      <c r="AJ8" s="98">
        <f>AI8/AI$6</f>
        <v>5.3145894051088632E-2</v>
      </c>
      <c r="AK8" s="130">
        <f>SUM(StockSumPRN!B1000:E1022)</f>
        <v>471</v>
      </c>
      <c r="AL8" s="98">
        <f t="shared" ref="AL8:AL25" si="0">AK8/AK$6</f>
        <v>5.3589714415746954E-2</v>
      </c>
      <c r="AM8" s="130">
        <f>SUM(StockSumPRN!H1000:K1022,StockSumPRN!B1205:C1227)</f>
        <v>1817</v>
      </c>
      <c r="AN8" s="98">
        <f t="shared" ref="AN8:AN25" si="1">AM8/AM$6</f>
        <v>5.053398598286795E-2</v>
      </c>
      <c r="AO8" s="130">
        <f t="shared" ref="AO8:AO25" si="2">SUM(AI8,AK8,AM8)</f>
        <v>3218</v>
      </c>
      <c r="AP8" s="98">
        <f t="shared" ref="AP8:AP25" si="3">AO8/AO$6</f>
        <v>5.1699762226078014E-2</v>
      </c>
      <c r="AQ8" s="130">
        <f>SUM(AG8)</f>
        <v>402</v>
      </c>
      <c r="AR8" s="98">
        <f t="shared" ref="AR8:AR25" si="4">AQ8/AQ$6</f>
        <v>1.9812715623459834E-2</v>
      </c>
      <c r="AS8" s="1058"/>
      <c r="AT8" s="130">
        <f>SUM(AQ8,AO8,AS8)</f>
        <v>3620</v>
      </c>
      <c r="AU8" s="98">
        <f>(AT8-AS8)/AT$6</f>
        <v>4.3860711949014954E-2</v>
      </c>
      <c r="BA8" t="str">
        <f>'2'!O10</f>
        <v>Spawning Low/Normal Esc. Breakpoint</v>
      </c>
      <c r="BB8" s="200">
        <f>'2'!P10</f>
        <v>14350</v>
      </c>
      <c r="BC8" s="47"/>
      <c r="BD8" s="46"/>
      <c r="BE8" s="47"/>
      <c r="BF8"/>
      <c r="BG8"/>
      <c r="BO8" s="7" t="s">
        <v>875</v>
      </c>
      <c r="BP8" s="7" t="s">
        <v>876</v>
      </c>
      <c r="BQ8" s="7" t="s">
        <v>544</v>
      </c>
      <c r="BR8" s="7" t="s">
        <v>877</v>
      </c>
    </row>
    <row r="9" spans="1:74" ht="15.75" x14ac:dyDescent="0.25">
      <c r="A9" s="1" t="s">
        <v>878</v>
      </c>
      <c r="M9" s="6" t="s">
        <v>125</v>
      </c>
      <c r="N9" s="6" t="s">
        <v>125</v>
      </c>
      <c r="O9" s="6" t="s">
        <v>125</v>
      </c>
      <c r="P9" s="6" t="s">
        <v>125</v>
      </c>
      <c r="Q9" s="6" t="s">
        <v>125</v>
      </c>
      <c r="R9" s="6" t="s">
        <v>125</v>
      </c>
      <c r="S9" s="6"/>
      <c r="T9" s="6" t="s">
        <v>125</v>
      </c>
      <c r="U9" s="6" t="s">
        <v>125</v>
      </c>
      <c r="X9" s="1063"/>
      <c r="Y9" s="1535"/>
      <c r="Z9" s="1063"/>
      <c r="AA9" s="1063"/>
      <c r="AB9" s="1063"/>
      <c r="AC9" s="1063"/>
      <c r="AD9" s="1535"/>
      <c r="AF9" s="1" t="s">
        <v>879</v>
      </c>
      <c r="AG9" s="131">
        <f>SUM(StockSumPRN!F832:G851,StockSumPRN!F1037:G1056,StockSumPRN!J1037:K1056)</f>
        <v>35</v>
      </c>
      <c r="AH9" s="1055">
        <f t="shared" ref="AH9:AJ24" si="5">AG9/AG$6</f>
        <v>1.7249876786594382E-3</v>
      </c>
      <c r="AI9" s="131">
        <f>SUM(StockSumPRN!D1037:E1056,StockSumPRN!H1037:I1056)</f>
        <v>103</v>
      </c>
      <c r="AJ9" s="1055">
        <f t="shared" si="5"/>
        <v>5.8860506314646552E-3</v>
      </c>
      <c r="AK9" s="131">
        <f>SUM(StockSumPRN!B832:E851)</f>
        <v>39</v>
      </c>
      <c r="AL9" s="1055">
        <f t="shared" si="0"/>
        <v>4.4373648879280922E-3</v>
      </c>
      <c r="AM9" s="131">
        <f>SUM(StockSumPRN!H832:K851,StockSumPRN!B1037:C1056)</f>
        <v>199</v>
      </c>
      <c r="AN9" s="1055">
        <f t="shared" si="1"/>
        <v>5.5345422182667709E-3</v>
      </c>
      <c r="AO9" s="131">
        <f t="shared" si="2"/>
        <v>341</v>
      </c>
      <c r="AP9" s="1055">
        <f t="shared" si="3"/>
        <v>5.4784396889660048E-3</v>
      </c>
      <c r="AQ9" s="131">
        <f t="shared" ref="AQ9:AQ29" si="6">SUM(AG9)</f>
        <v>35</v>
      </c>
      <c r="AR9" s="1055">
        <f t="shared" si="4"/>
        <v>1.7249876786594382E-3</v>
      </c>
      <c r="AS9" s="1059"/>
      <c r="AT9" s="131">
        <f t="shared" ref="AT9:AT25" si="7">SUM(AQ9,AO9,AS9)</f>
        <v>376</v>
      </c>
      <c r="AU9" s="1055">
        <f t="shared" ref="AU9:AU21" si="8">(AT9-AS9)/AT$6</f>
        <v>4.5556982576877405E-3</v>
      </c>
      <c r="BA9" s="137" t="str">
        <f>'2'!O11</f>
        <v>Projected Exploitation Rate (all fisheries)</v>
      </c>
      <c r="BB9" s="46"/>
      <c r="BC9" s="598">
        <f>'2'!P11</f>
        <v>0.44080405971325809</v>
      </c>
      <c r="BD9" s="46"/>
      <c r="BE9" s="598"/>
      <c r="BF9"/>
      <c r="BG9" s="1039">
        <f>BC9-BE9</f>
        <v>0.44080405971325809</v>
      </c>
      <c r="BM9" s="2" t="s">
        <v>637</v>
      </c>
      <c r="BN9" s="7" t="s">
        <v>855</v>
      </c>
      <c r="BO9" s="7" t="s">
        <v>856</v>
      </c>
      <c r="BP9" s="7" t="s">
        <v>880</v>
      </c>
      <c r="BQ9" s="2" t="s">
        <v>881</v>
      </c>
    </row>
    <row r="10" spans="1:74" ht="15.75" x14ac:dyDescent="0.25">
      <c r="B10" s="7" t="s">
        <v>882</v>
      </c>
      <c r="C10" s="7" t="s">
        <v>883</v>
      </c>
      <c r="D10" s="7" t="s">
        <v>652</v>
      </c>
      <c r="E10" s="7" t="s">
        <v>884</v>
      </c>
      <c r="F10" s="7" t="s">
        <v>885</v>
      </c>
      <c r="G10" s="7" t="s">
        <v>649</v>
      </c>
      <c r="Y10" s="7"/>
      <c r="AF10" s="1" t="s">
        <v>886</v>
      </c>
      <c r="AG10" s="131">
        <f>SUM('2'!P20:P27)</f>
        <v>960</v>
      </c>
      <c r="AH10" s="1055">
        <f t="shared" si="5"/>
        <v>4.7313947757516017E-2</v>
      </c>
      <c r="AI10" s="131">
        <f>SUM(StockSumPRN!D1057:E1077,StockSumPRN!H1057:I1077)</f>
        <v>1511</v>
      </c>
      <c r="AJ10" s="1055">
        <f t="shared" si="5"/>
        <v>8.634779130236013E-2</v>
      </c>
      <c r="AK10" s="131">
        <f>SUM(StockSumPRN!B852:E872)</f>
        <v>755</v>
      </c>
      <c r="AL10" s="1055">
        <f t="shared" si="0"/>
        <v>8.5902833086813069E-2</v>
      </c>
      <c r="AM10" s="131">
        <f>SUM(StockSumPRN!H852:K872,StockSumPRN!B1057:C1077)</f>
        <v>2979</v>
      </c>
      <c r="AN10" s="1055">
        <f t="shared" si="1"/>
        <v>8.2851262654355329E-2</v>
      </c>
      <c r="AO10" s="131">
        <f t="shared" si="2"/>
        <v>5245</v>
      </c>
      <c r="AP10" s="1055">
        <f t="shared" si="3"/>
        <v>8.4265150054623733E-2</v>
      </c>
      <c r="AQ10" s="131">
        <f t="shared" si="6"/>
        <v>960</v>
      </c>
      <c r="AR10" s="1055">
        <f t="shared" si="4"/>
        <v>4.7313947757516017E-2</v>
      </c>
      <c r="AS10" s="1059"/>
      <c r="AT10" s="131">
        <f t="shared" si="7"/>
        <v>6205</v>
      </c>
      <c r="AU10" s="1055">
        <f t="shared" si="8"/>
        <v>7.5181137470618165E-2</v>
      </c>
      <c r="BA10" t="str">
        <f>'2'!O12</f>
        <v>Exploitation Rate Ceiling (updated annually)</v>
      </c>
      <c r="BB10" s="46"/>
      <c r="BC10" s="598">
        <f>'2'!P12</f>
        <v>0.45</v>
      </c>
      <c r="BD10" s="46"/>
      <c r="BE10" s="598"/>
      <c r="BF10"/>
      <c r="BG10"/>
      <c r="BM10" s="6" t="s">
        <v>129</v>
      </c>
      <c r="BN10" s="6" t="s">
        <v>129</v>
      </c>
      <c r="BO10" s="6" t="s">
        <v>129</v>
      </c>
      <c r="BP10" s="6" t="s">
        <v>129</v>
      </c>
      <c r="BQ10" s="4"/>
    </row>
    <row r="11" spans="1:74" ht="15.75" x14ac:dyDescent="0.25">
      <c r="A11" s="1224" t="s">
        <v>233</v>
      </c>
      <c r="B11" s="7" t="s">
        <v>652</v>
      </c>
      <c r="C11" s="7" t="s">
        <v>652</v>
      </c>
      <c r="D11" s="7" t="s">
        <v>174</v>
      </c>
      <c r="E11" s="7" t="s">
        <v>649</v>
      </c>
      <c r="F11" s="7" t="s">
        <v>649</v>
      </c>
      <c r="G11" s="7" t="s">
        <v>174</v>
      </c>
      <c r="H11" s="1"/>
      <c r="O11" s="2148" t="s">
        <v>616</v>
      </c>
      <c r="Q11" s="2149" t="s">
        <v>887</v>
      </c>
      <c r="AE11" s="30"/>
      <c r="AF11" s="1" t="s">
        <v>888</v>
      </c>
      <c r="AG11" s="131">
        <f>SUM('2'!P29)</f>
        <v>21</v>
      </c>
      <c r="AH11" s="1055">
        <f t="shared" si="5"/>
        <v>1.0349926071956629E-3</v>
      </c>
      <c r="AI11" s="131">
        <f>SUM(StockSumPRN!D1078:E1078,StockSumPRN!H1078:I1078)</f>
        <v>17</v>
      </c>
      <c r="AJ11" s="1055">
        <f t="shared" si="5"/>
        <v>9.7148408480484598E-4</v>
      </c>
      <c r="AK11" s="131">
        <f>SUM(StockSumPRN!B873:E873)</f>
        <v>9</v>
      </c>
      <c r="AL11" s="1055">
        <f t="shared" si="0"/>
        <v>1.0240072818295596E-3</v>
      </c>
      <c r="AM11" s="131">
        <f>SUM(StockSumPRN!H873:K873,StockSumPRN!B1078:C1078)</f>
        <v>34</v>
      </c>
      <c r="AN11" s="1055">
        <f t="shared" si="1"/>
        <v>9.4560017799532757E-4</v>
      </c>
      <c r="AO11" s="131">
        <f t="shared" si="2"/>
        <v>60</v>
      </c>
      <c r="AP11" s="1055">
        <f t="shared" si="3"/>
        <v>9.6394833236938501E-4</v>
      </c>
      <c r="AQ11" s="131">
        <f t="shared" si="6"/>
        <v>21</v>
      </c>
      <c r="AR11" s="1055">
        <f t="shared" si="4"/>
        <v>1.0349926071956629E-3</v>
      </c>
      <c r="AS11" s="1059"/>
      <c r="AT11" s="131">
        <f t="shared" si="7"/>
        <v>81</v>
      </c>
      <c r="AU11" s="1055">
        <f t="shared" si="8"/>
        <v>9.8141372040613556E-4</v>
      </c>
      <c r="AV11" s="20"/>
      <c r="AW11" s="20"/>
      <c r="AX11" s="20"/>
      <c r="AY11" s="20"/>
      <c r="AZ11" s="20"/>
      <c r="BA11" s="137" t="str">
        <f>'2'!O13</f>
        <v>Exploitation in Southern U.S. Fisheries</v>
      </c>
      <c r="BB11" s="46"/>
      <c r="BC11" s="598">
        <f>'2'!P13</f>
        <v>0.42060403015223924</v>
      </c>
      <c r="BD11" s="46"/>
      <c r="BE11" s="598"/>
      <c r="BF11"/>
      <c r="BG11" s="1039">
        <f>BC11-BE11</f>
        <v>0.42060403015223924</v>
      </c>
      <c r="BH11" s="20"/>
      <c r="BI11" s="20"/>
      <c r="BJ11" s="20"/>
      <c r="BK11" s="1063"/>
      <c r="BM11" s="2" t="s">
        <v>889</v>
      </c>
      <c r="BN11" s="551">
        <v>1.3000000000000001E-2</v>
      </c>
      <c r="BO11" s="551">
        <v>0</v>
      </c>
      <c r="BP11" s="551">
        <v>0</v>
      </c>
      <c r="BQ11" s="4"/>
      <c r="BR11" s="1063"/>
    </row>
    <row r="12" spans="1:74" ht="15.75" x14ac:dyDescent="0.25">
      <c r="H12" s="2" t="str">
        <f>Input_Harvestnew!C82</f>
        <v>CG 2/11/22</v>
      </c>
      <c r="I12" s="2" t="str">
        <f>Input_Harvestnew!C118</f>
        <v>KA 04/12/22</v>
      </c>
      <c r="M12" s="1533" t="s">
        <v>621</v>
      </c>
      <c r="N12" s="1534" t="s">
        <v>622</v>
      </c>
      <c r="O12" s="1566" t="s">
        <v>623</v>
      </c>
      <c r="P12" s="1533" t="s">
        <v>890</v>
      </c>
      <c r="Q12" s="1534" t="s">
        <v>891</v>
      </c>
      <c r="R12" s="1534" t="s">
        <v>892</v>
      </c>
      <c r="S12" s="1534" t="s">
        <v>893</v>
      </c>
      <c r="T12" s="1567" t="s">
        <v>624</v>
      </c>
      <c r="AF12" s="1" t="s">
        <v>894</v>
      </c>
      <c r="AG12" s="131">
        <f>SUM('2'!P30:P31)</f>
        <v>314</v>
      </c>
      <c r="AH12" s="1055">
        <f t="shared" si="5"/>
        <v>1.547560374568753E-2</v>
      </c>
      <c r="AI12" s="131">
        <f>SUM(StockSumPRN!D1125:E1126,StockSumPRN!H1125:I1126)</f>
        <v>1550</v>
      </c>
      <c r="AJ12" s="1055">
        <f t="shared" si="5"/>
        <v>8.8576490085147716E-2</v>
      </c>
      <c r="AK12" s="131">
        <f>SUM(StockSumPRN!B920:E921)</f>
        <v>748</v>
      </c>
      <c r="AL12" s="1055">
        <f t="shared" si="0"/>
        <v>8.5106382978723402E-2</v>
      </c>
      <c r="AM12" s="131">
        <f>SUM(StockSumPRN!H920:K921,StockSumPRN!B1125:C1126)</f>
        <v>2954</v>
      </c>
      <c r="AN12" s="1055">
        <f t="shared" si="1"/>
        <v>8.2155968405829352E-2</v>
      </c>
      <c r="AO12" s="131">
        <f t="shared" si="2"/>
        <v>5252</v>
      </c>
      <c r="AP12" s="1055">
        <f t="shared" si="3"/>
        <v>8.4377610693400162E-2</v>
      </c>
      <c r="AQ12" s="131">
        <f t="shared" si="6"/>
        <v>314</v>
      </c>
      <c r="AR12" s="1055">
        <f t="shared" si="4"/>
        <v>1.547560374568753E-2</v>
      </c>
      <c r="AS12" s="1059"/>
      <c r="AT12" s="131">
        <f t="shared" si="7"/>
        <v>5566</v>
      </c>
      <c r="AU12" s="1055">
        <f t="shared" si="8"/>
        <v>6.7438873676303093E-2</v>
      </c>
      <c r="AV12" s="20"/>
      <c r="AW12" s="20"/>
      <c r="AX12" s="20"/>
      <c r="AY12" s="20"/>
      <c r="AZ12" s="20"/>
      <c r="BA12" t="str">
        <f>'2'!O14</f>
        <v>-</v>
      </c>
      <c r="BB12" s="46"/>
      <c r="BC12" s="47"/>
      <c r="BD12" s="46"/>
      <c r="BE12" s="47"/>
      <c r="BF12"/>
      <c r="BG12"/>
      <c r="BH12" s="20"/>
      <c r="BI12" s="20"/>
      <c r="BJ12" s="20"/>
      <c r="BK12" s="1063"/>
      <c r="BM12" s="20" t="s">
        <v>895</v>
      </c>
      <c r="BN12" s="551">
        <v>0.6099</v>
      </c>
      <c r="BO12" s="551">
        <v>1E-4</v>
      </c>
      <c r="BP12" s="551">
        <v>0</v>
      </c>
      <c r="BQ12" s="4"/>
      <c r="BR12" s="1063"/>
    </row>
    <row r="13" spans="1:74" ht="15.75" x14ac:dyDescent="0.25">
      <c r="A13" s="2" t="s">
        <v>896</v>
      </c>
      <c r="B13" s="20">
        <f t="shared" ref="B13:B21" si="9">B$22*(N17/(SUM(N$17:N$19)))</f>
        <v>0</v>
      </c>
      <c r="C13" s="20" t="e">
        <f t="shared" ref="C13:C21" si="10">C$22*(N41/(SUM(N$41:N$43)))</f>
        <v>#DIV/0!</v>
      </c>
      <c r="D13" s="20" t="e">
        <f>SUM(B13:C13)</f>
        <v>#DIV/0!</v>
      </c>
      <c r="E13" s="20">
        <f t="shared" ref="E13:E21" si="11">E$22*(N17/(SUM(N$17:N$19)))</f>
        <v>0</v>
      </c>
      <c r="F13" s="20" t="e">
        <f t="shared" ref="F13:F21" si="12">F$22*(N41/(SUM(N$41:N$43)))</f>
        <v>#DIV/0!</v>
      </c>
      <c r="G13" s="34" t="e">
        <f>E13+F13</f>
        <v>#DIV/0!</v>
      </c>
      <c r="H13" s="2">
        <f>Input_Harvestnew!H84</f>
        <v>0</v>
      </c>
      <c r="I13" s="5" t="str">
        <f>Input_Harvestnew!H120</f>
        <v>KA 04/04/2022: Wk 42-47: PS 1-1-1-2-1-1; GN 1-2-2-2-2-1; Coho retention for all gears.</v>
      </c>
      <c r="AF13" s="1" t="s">
        <v>897</v>
      </c>
      <c r="AG13" s="131">
        <f>SUM('2'!P32)</f>
        <v>19</v>
      </c>
      <c r="AH13" s="1055">
        <f t="shared" si="5"/>
        <v>9.3642188270083788E-4</v>
      </c>
      <c r="AI13" s="131">
        <f>SUM(StockSumPRN!D1127:E1127,StockSumPRN!H1127:I1127)</f>
        <v>82</v>
      </c>
      <c r="AJ13" s="1055">
        <f t="shared" si="5"/>
        <v>4.6859820561174926E-3</v>
      </c>
      <c r="AK13" s="131">
        <f>SUM(StockSumPRN!B922:E922)</f>
        <v>45</v>
      </c>
      <c r="AL13" s="1055">
        <f t="shared" si="0"/>
        <v>5.1200364091477987E-3</v>
      </c>
      <c r="AM13" s="131">
        <f>SUM(StockSumPRN!H922:K922,StockSumPRN!B1127:C1127)</f>
        <v>157</v>
      </c>
      <c r="AN13" s="1055">
        <f t="shared" si="1"/>
        <v>4.3664478807431302E-3</v>
      </c>
      <c r="AO13" s="131">
        <f t="shared" si="2"/>
        <v>284</v>
      </c>
      <c r="AP13" s="1055">
        <f t="shared" si="3"/>
        <v>4.5626887732150888E-3</v>
      </c>
      <c r="AQ13" s="131">
        <f t="shared" si="6"/>
        <v>19</v>
      </c>
      <c r="AR13" s="1055">
        <f t="shared" si="4"/>
        <v>9.3642188270083788E-4</v>
      </c>
      <c r="AS13" s="1059"/>
      <c r="AT13" s="131">
        <f t="shared" si="7"/>
        <v>303</v>
      </c>
      <c r="AU13" s="1055">
        <f t="shared" si="8"/>
        <v>3.6712142874451739E-3</v>
      </c>
      <c r="AV13" s="20"/>
      <c r="AW13" s="20"/>
      <c r="AX13" s="20" t="s">
        <v>542</v>
      </c>
      <c r="AY13" s="20"/>
      <c r="AZ13" s="20"/>
      <c r="BA13" t="str">
        <f>'2'!O15</f>
        <v xml:space="preserve">CANADIAN </v>
      </c>
      <c r="BB13" s="200">
        <f>'2'!P15</f>
        <v>404</v>
      </c>
      <c r="BC13" s="207">
        <f>BB13/(BB$7+BB$61)</f>
        <v>1.9904419372321031E-2</v>
      </c>
      <c r="BD13" s="46"/>
      <c r="BE13" s="207"/>
      <c r="BF13"/>
      <c r="BG13" s="321">
        <f>BC13-BE13</f>
        <v>1.9904419372321031E-2</v>
      </c>
      <c r="BH13" s="20"/>
      <c r="BI13" s="20"/>
      <c r="BJ13" s="20"/>
      <c r="BM13" s="20" t="s">
        <v>898</v>
      </c>
      <c r="BN13" s="1063" t="e">
        <f>BN$29*((Input_Stockdata!$D$33/SUM(Input_Stockdata!$D$33,Input_Stockdata!$D$38)))</f>
        <v>#DIV/0!</v>
      </c>
      <c r="BO13" s="1063" t="e">
        <f>BO$29*((Input_Stockdata!$D$33/SUM(Input_Stockdata!$D$33,Input_Stockdata!$D$38)))</f>
        <v>#DIV/0!</v>
      </c>
      <c r="BP13" s="1063" t="e">
        <f>BP$29*((Input_Stockdata!$D$33/SUM(Input_Stockdata!$D$33,Input_Stockdata!$D$38)))</f>
        <v>#DIV/0!</v>
      </c>
      <c r="BQ13" s="1051" t="s">
        <v>899</v>
      </c>
      <c r="BR13" s="1063"/>
    </row>
    <row r="14" spans="1:74" ht="15.75" x14ac:dyDescent="0.25">
      <c r="A14" s="2" t="s">
        <v>900</v>
      </c>
      <c r="B14" s="20">
        <f t="shared" si="9"/>
        <v>2120</v>
      </c>
      <c r="C14" s="20" t="e">
        <f t="shared" si="10"/>
        <v>#DIV/0!</v>
      </c>
      <c r="D14" s="20" t="e">
        <f>SUM(B14:C14)</f>
        <v>#DIV/0!</v>
      </c>
      <c r="E14" s="20">
        <f t="shared" si="11"/>
        <v>3117</v>
      </c>
      <c r="F14" s="20" t="e">
        <f t="shared" si="12"/>
        <v>#DIV/0!</v>
      </c>
      <c r="G14" s="34" t="e">
        <f>E14+F14</f>
        <v>#DIV/0!</v>
      </c>
      <c r="H14" s="2">
        <f>Input_Harvestnew!H95</f>
        <v>0</v>
      </c>
      <c r="I14" s="5" t="str">
        <f>Input_Harvestnew!H122</f>
        <v>NO FISHERY</v>
      </c>
      <c r="M14" s="2" t="s">
        <v>635</v>
      </c>
      <c r="AF14" s="1" t="s">
        <v>901</v>
      </c>
      <c r="AG14" s="131">
        <f>SUM('2'!P34)</f>
        <v>306</v>
      </c>
      <c r="AH14" s="1055">
        <f t="shared" si="5"/>
        <v>1.508132084770823E-2</v>
      </c>
      <c r="AI14" s="131">
        <f>SUM(StockSumPRN!D1141:E1141,StockSumPRN!H1141:I1141)</f>
        <v>889</v>
      </c>
      <c r="AJ14" s="1055">
        <f t="shared" si="5"/>
        <v>5.0802903023029887E-2</v>
      </c>
      <c r="AK14" s="131">
        <f>SUM(StockSumPRN!B936:E936)</f>
        <v>379</v>
      </c>
      <c r="AL14" s="1055">
        <f t="shared" si="0"/>
        <v>4.312208442371146E-2</v>
      </c>
      <c r="AM14" s="131">
        <f>SUM(StockSumPRN!H936:K936,StockSumPRN!B1141:C1141)</f>
        <v>1713</v>
      </c>
      <c r="AN14" s="1055">
        <f t="shared" si="1"/>
        <v>4.7641561908999888E-2</v>
      </c>
      <c r="AO14" s="131">
        <f t="shared" si="2"/>
        <v>2981</v>
      </c>
      <c r="AP14" s="1055">
        <f t="shared" si="3"/>
        <v>4.7892166313218944E-2</v>
      </c>
      <c r="AQ14" s="131">
        <f t="shared" si="6"/>
        <v>306</v>
      </c>
      <c r="AR14" s="1055">
        <f t="shared" si="4"/>
        <v>1.508132084770823E-2</v>
      </c>
      <c r="AS14" s="1059"/>
      <c r="AT14" s="131">
        <f t="shared" si="7"/>
        <v>3287</v>
      </c>
      <c r="AU14" s="1055">
        <f t="shared" si="8"/>
        <v>3.982601109845639E-2</v>
      </c>
      <c r="AV14" s="20"/>
      <c r="AW14" s="20"/>
      <c r="AX14" s="20" t="s">
        <v>902</v>
      </c>
      <c r="AY14" s="20" t="s">
        <v>902</v>
      </c>
      <c r="AZ14" s="20"/>
      <c r="BA14" t="str">
        <f>'2'!O16</f>
        <v>ALASKA</v>
      </c>
      <c r="BB14" s="200">
        <f>'2'!P16</f>
        <v>6</v>
      </c>
      <c r="BC14" s="207">
        <f>BB14/(BB$7+BB$61)</f>
        <v>2.9561018869783711E-4</v>
      </c>
      <c r="BD14" s="46"/>
      <c r="BE14" s="207"/>
      <c r="BF14"/>
      <c r="BG14" s="321">
        <f>BC14-BE14</f>
        <v>2.9561018869783711E-4</v>
      </c>
      <c r="BH14" s="20"/>
      <c r="BI14" s="20"/>
      <c r="BJ14" s="20"/>
      <c r="BK14" s="1063"/>
      <c r="BM14" s="20" t="s">
        <v>903</v>
      </c>
      <c r="BN14" s="1063" t="e">
        <f>BN$28*((Input_Stockdata!$D34/SUM(Input_Stockdata!$D$34,Input_Stockdata!$D$36)))</f>
        <v>#DIV/0!</v>
      </c>
      <c r="BO14" s="1063" t="e">
        <f>BO$28*((Input_Stockdata!$D34/SUM(Input_Stockdata!$D$34,Input_Stockdata!$D$36)))</f>
        <v>#DIV/0!</v>
      </c>
      <c r="BP14" s="1063" t="e">
        <f>BP$28*((Input_Stockdata!$D34/SUM(Input_Stockdata!$D$34,Input_Stockdata!$D$36)))</f>
        <v>#DIV/0!</v>
      </c>
      <c r="BQ14" s="1051" t="s">
        <v>904</v>
      </c>
      <c r="BR14" s="1063"/>
    </row>
    <row r="15" spans="1:74" ht="15.75" x14ac:dyDescent="0.25">
      <c r="A15" s="2" t="s">
        <v>905</v>
      </c>
      <c r="B15" s="20">
        <f t="shared" si="9"/>
        <v>0</v>
      </c>
      <c r="C15" s="20" t="e">
        <f t="shared" si="10"/>
        <v>#DIV/0!</v>
      </c>
      <c r="D15" s="20" t="e">
        <f>SUM(B15:C15)</f>
        <v>#DIV/0!</v>
      </c>
      <c r="E15" s="20">
        <f t="shared" si="11"/>
        <v>0</v>
      </c>
      <c r="F15" s="20" t="e">
        <f t="shared" si="12"/>
        <v>#DIV/0!</v>
      </c>
      <c r="G15" s="34" t="e">
        <f>E15+F15</f>
        <v>#DIV/0!</v>
      </c>
      <c r="H15" s="2" t="str">
        <f>Input_Harvestnew!H87</f>
        <v>CG  2/11/22:  12: 10/09 - 11/20 7 d/wk; 12B: 10/16-11/20, 7 d/wk</v>
      </c>
      <c r="I15" s="5"/>
      <c r="M15" s="7" t="s">
        <v>650</v>
      </c>
      <c r="N15" s="2" t="str">
        <f>Input_Harvestnew!C82</f>
        <v>CG 2/11/22</v>
      </c>
      <c r="T15" s="1"/>
      <c r="X15" s="7"/>
      <c r="Y15" s="7"/>
      <c r="Z15" s="7"/>
      <c r="AA15" s="7"/>
      <c r="AB15" s="7"/>
      <c r="AC15" s="7"/>
      <c r="AD15" s="7"/>
      <c r="AF15" s="1" t="s">
        <v>906</v>
      </c>
      <c r="AG15" s="131">
        <f>SUM('2'!P33,'2'!P36,'2'!P37,'2'!P38)</f>
        <v>898</v>
      </c>
      <c r="AH15" s="1055">
        <f t="shared" si="5"/>
        <v>4.4258255298176438E-2</v>
      </c>
      <c r="AI15" s="131">
        <f>SUM(StockSumPRN!D1140:E1140,StockSumPRN!H1140:I1140,StockSumPRN!D1149:E1149,StockSumPRN!H1149:I1149,StockSumPRN!D1152:E1152,StockSumPRN!H1152:I1152,StockSumPRN!D1163:E1163,StockSumPRN!H1163:I1163,StockSumPRN!D1170:E1170,StockSumPRN!H1170:I1170)</f>
        <v>686</v>
      </c>
      <c r="AJ15" s="1055">
        <f t="shared" si="5"/>
        <v>3.9202240128007312E-2</v>
      </c>
      <c r="AK15" s="131">
        <f>SUM(StockSumPRN!B935:E935,StockSumPRN!B944:E944,StockSumPRN!B947:E947,StockSumPRN!B958:E958,StockSumPRN!B965:E965)</f>
        <v>313</v>
      </c>
      <c r="AL15" s="1055">
        <f t="shared" si="0"/>
        <v>3.5612697690294688E-2</v>
      </c>
      <c r="AM15" s="131">
        <f>SUM(StockSumPRN!H935:K935,StockSumPRN!H944:K944,StockSumPRN!H947:K947,StockSumPRN!H958:K958,StockSumPRN!H965:K965,StockSumPRN!B1140:C1140,StockSumPRN!B1152:C1152,StockSumPRN!B1163:C1163,StockSumPRN!B1170:C1170,StockSumPRN!B1149:C1149)</f>
        <v>1419</v>
      </c>
      <c r="AN15" s="1055">
        <f t="shared" si="1"/>
        <v>3.9464901546334412E-2</v>
      </c>
      <c r="AO15" s="131">
        <f t="shared" si="2"/>
        <v>2418</v>
      </c>
      <c r="AP15" s="1055">
        <f t="shared" si="3"/>
        <v>3.8847117794486213E-2</v>
      </c>
      <c r="AQ15" s="131">
        <f t="shared" si="6"/>
        <v>898</v>
      </c>
      <c r="AR15" s="1055">
        <f t="shared" si="4"/>
        <v>4.4258255298176438E-2</v>
      </c>
      <c r="AS15" s="1059"/>
      <c r="AT15" s="131">
        <f t="shared" si="7"/>
        <v>3316</v>
      </c>
      <c r="AU15" s="1055">
        <f t="shared" si="8"/>
        <v>4.017738144279933E-2</v>
      </c>
      <c r="AV15" s="20"/>
      <c r="AW15" s="20"/>
      <c r="AX15" s="1070" t="s">
        <v>907</v>
      </c>
      <c r="AY15" s="1070" t="s">
        <v>907</v>
      </c>
      <c r="AZ15" s="1070"/>
      <c r="BA15" t="str">
        <f>'2'!O17</f>
        <v>S. of Falcon Troll</v>
      </c>
      <c r="BB15" s="200">
        <f>'2'!P17</f>
        <v>11</v>
      </c>
      <c r="BC15" s="207">
        <f>BB15/(BB$7+BB$61)</f>
        <v>5.4195201261270142E-4</v>
      </c>
      <c r="BD15" s="46"/>
      <c r="BE15" s="207"/>
      <c r="BF15"/>
      <c r="BG15" s="321">
        <f>BC15-BE15</f>
        <v>5.4195201261270142E-4</v>
      </c>
      <c r="BH15" s="20"/>
      <c r="BI15" s="20"/>
      <c r="BJ15" s="20"/>
      <c r="BK15" s="1063"/>
      <c r="BM15" s="20" t="s">
        <v>908</v>
      </c>
      <c r="BN15" s="551">
        <v>1.8000000000000002E-2</v>
      </c>
      <c r="BO15" s="551">
        <v>0.72609999999999997</v>
      </c>
      <c r="BP15" s="551">
        <v>0</v>
      </c>
      <c r="BQ15" s="4"/>
      <c r="BR15" s="1063"/>
    </row>
    <row r="16" spans="1:74" ht="15.75" x14ac:dyDescent="0.25">
      <c r="A16" s="7" t="str">
        <f>Input_Harvestnew!B88</f>
        <v>Week 44 (10/26)</v>
      </c>
      <c r="B16" s="20">
        <f t="shared" si="9"/>
        <v>0</v>
      </c>
      <c r="C16" s="20" t="e">
        <f t="shared" si="10"/>
        <v>#DIV/0!</v>
      </c>
      <c r="E16" s="20">
        <f t="shared" si="11"/>
        <v>0</v>
      </c>
      <c r="F16" s="20" t="e">
        <f t="shared" si="12"/>
        <v>#DIV/0!</v>
      </c>
      <c r="G16" s="34"/>
      <c r="H16" s="2">
        <f>Input_Harvestnew!H88</f>
        <v>0</v>
      </c>
      <c r="I16" s="5">
        <f>Input_Harvestnew!H124</f>
        <v>0</v>
      </c>
      <c r="M16" s="2" t="s">
        <v>909</v>
      </c>
      <c r="V16" s="1"/>
      <c r="AF16" s="1" t="s">
        <v>910</v>
      </c>
      <c r="AG16" s="131">
        <f>SUM('2'!P43:P44)</f>
        <v>126</v>
      </c>
      <c r="AH16" s="1055">
        <f t="shared" si="5"/>
        <v>6.2099556431739773E-3</v>
      </c>
      <c r="AI16" s="131">
        <f>SUM(StockSumPRN!D1114:E1115,StockSumPRN!H1114:I1115)</f>
        <v>81</v>
      </c>
      <c r="AJ16" s="1055">
        <f t="shared" si="5"/>
        <v>4.6288359334819128E-3</v>
      </c>
      <c r="AK16" s="131">
        <f>SUM(StockSumPRN!B909:E910)</f>
        <v>21</v>
      </c>
      <c r="AL16" s="1055">
        <f t="shared" si="0"/>
        <v>2.3893503242689725E-3</v>
      </c>
      <c r="AM16" s="131">
        <f>SUM(StockSumPRN!H909:K910,StockSumPRN!B1114:C1115)</f>
        <v>209</v>
      </c>
      <c r="AN16" s="1055">
        <f t="shared" si="1"/>
        <v>5.8126599176771612E-3</v>
      </c>
      <c r="AO16" s="131">
        <f t="shared" si="2"/>
        <v>311</v>
      </c>
      <c r="AP16" s="1055">
        <f t="shared" si="3"/>
        <v>4.9964655227813124E-3</v>
      </c>
      <c r="AQ16" s="131">
        <f t="shared" si="6"/>
        <v>126</v>
      </c>
      <c r="AR16" s="1055">
        <f t="shared" si="4"/>
        <v>6.2099556431739773E-3</v>
      </c>
      <c r="AS16" s="1059"/>
      <c r="AT16" s="131">
        <f t="shared" si="7"/>
        <v>437</v>
      </c>
      <c r="AU16" s="1055">
        <f t="shared" si="8"/>
        <v>5.2947876026849545E-3</v>
      </c>
      <c r="AV16" s="20"/>
      <c r="AW16" s="20"/>
      <c r="AX16" s="1070" t="s">
        <v>911</v>
      </c>
      <c r="AY16" s="1070" t="s">
        <v>912</v>
      </c>
      <c r="AZ16" s="1070"/>
      <c r="BA16" t="str">
        <f>'2'!O18</f>
        <v>S. of Falcon Sport</v>
      </c>
      <c r="BB16" s="200">
        <f>'2'!P18</f>
        <v>22</v>
      </c>
      <c r="BC16" s="207">
        <f>BB16/(BB$7+BB$61)</f>
        <v>1.0839040252254028E-3</v>
      </c>
      <c r="BD16" s="46"/>
      <c r="BE16" s="207"/>
      <c r="BF16"/>
      <c r="BG16" s="321">
        <f>BC16-BE16</f>
        <v>1.0839040252254028E-3</v>
      </c>
      <c r="BH16" s="20"/>
      <c r="BI16" s="20"/>
      <c r="BJ16" s="20"/>
      <c r="BK16" s="1063"/>
      <c r="BM16" s="20"/>
      <c r="BN16" s="1063"/>
      <c r="BO16" s="1063"/>
      <c r="BP16" s="1063"/>
      <c r="BQ16" s="1051"/>
      <c r="BR16" s="1063"/>
    </row>
    <row r="17" spans="1:70" ht="15.75" x14ac:dyDescent="0.25">
      <c r="A17" s="7" t="str">
        <f>Input_Harvestnew!B89</f>
        <v>Week 45 (11/02)</v>
      </c>
      <c r="B17" s="20">
        <f t="shared" si="9"/>
        <v>0</v>
      </c>
      <c r="C17" s="20" t="e">
        <f t="shared" si="10"/>
        <v>#DIV/0!</v>
      </c>
      <c r="E17" s="20">
        <f t="shared" si="11"/>
        <v>0</v>
      </c>
      <c r="F17" s="20" t="e">
        <f t="shared" si="12"/>
        <v>#DIV/0!</v>
      </c>
      <c r="G17" s="34"/>
      <c r="H17" s="2">
        <f>Input_Harvestnew!H89</f>
        <v>0</v>
      </c>
      <c r="I17" s="5">
        <f>Input_Harvestnew!H125</f>
        <v>0</v>
      </c>
      <c r="M17" s="2" t="s">
        <v>896</v>
      </c>
      <c r="N17" s="129">
        <f>SUM(Input_Harvestnew!C85)</f>
        <v>0</v>
      </c>
      <c r="O17" s="129" t="str">
        <f>Input_Harvestnew!G85</f>
        <v>%TAA</v>
      </c>
      <c r="P17" s="1063" t="e">
        <f>Input_Harvestnew!#REF!</f>
        <v>#REF!</v>
      </c>
      <c r="Q17" s="1063" t="e">
        <f>Input_Harvestnew!#REF!</f>
        <v>#REF!</v>
      </c>
      <c r="R17" s="1063" t="e">
        <f>Input_Harvestnew!#REF!</f>
        <v>#REF!</v>
      </c>
      <c r="S17" s="1063" t="e">
        <f>Input_Harvestnew!#REF!</f>
        <v>#REF!</v>
      </c>
      <c r="T17" s="2">
        <f t="shared" ref="T17:T25" si="13">H13</f>
        <v>0</v>
      </c>
      <c r="AF17" s="1" t="s">
        <v>913</v>
      </c>
      <c r="AG17" s="131">
        <f>SUM('2'!P41:P42)</f>
        <v>25</v>
      </c>
      <c r="AH17" s="1055">
        <f t="shared" si="5"/>
        <v>1.2321340561853129E-3</v>
      </c>
      <c r="AI17" s="131">
        <f>SUM(StockSumPRN!D1121:E1122,StockSumPRN!H1121:I1122)</f>
        <v>22</v>
      </c>
      <c r="AJ17" s="1055">
        <f t="shared" si="5"/>
        <v>1.2572146979827419E-3</v>
      </c>
      <c r="AK17" s="131">
        <f>SUM(StockSumPRN!B916:E917)</f>
        <v>7</v>
      </c>
      <c r="AL17" s="1055">
        <f t="shared" si="0"/>
        <v>7.9645010808965754E-4</v>
      </c>
      <c r="AM17" s="131">
        <f>SUM(StockSumPRN!H916:K917,StockSumPRN!B1121:C1122)</f>
        <v>41</v>
      </c>
      <c r="AN17" s="1055">
        <f t="shared" si="1"/>
        <v>1.140282567582601E-3</v>
      </c>
      <c r="AO17" s="131">
        <f t="shared" si="2"/>
        <v>70</v>
      </c>
      <c r="AP17" s="1055">
        <f t="shared" si="3"/>
        <v>1.1246063877642825E-3</v>
      </c>
      <c r="AQ17" s="131">
        <f t="shared" si="6"/>
        <v>25</v>
      </c>
      <c r="AR17" s="1055">
        <f t="shared" si="4"/>
        <v>1.2321340561853129E-3</v>
      </c>
      <c r="AS17" s="1059"/>
      <c r="AT17" s="131">
        <f t="shared" si="7"/>
        <v>95</v>
      </c>
      <c r="AU17" s="1055">
        <f t="shared" si="8"/>
        <v>1.1510407831923813E-3</v>
      </c>
      <c r="AW17" s="20" t="s">
        <v>914</v>
      </c>
      <c r="AX17" s="20">
        <f>SUM(AG20:AG25)</f>
        <v>5550</v>
      </c>
      <c r="AY17" s="20">
        <f>AG23</f>
        <v>852</v>
      </c>
      <c r="AZ17" s="20"/>
      <c r="BA17" t="str">
        <f>'2'!O19</f>
        <v xml:space="preserve">NORTH OF CAPE FALCON OCEAN: </v>
      </c>
      <c r="BB17" s="46"/>
      <c r="BC17" s="207"/>
      <c r="BD17" s="46"/>
      <c r="BE17" s="207"/>
      <c r="BF17"/>
      <c r="BG17"/>
      <c r="BH17" s="20"/>
      <c r="BI17" s="20"/>
      <c r="BJ17" s="20"/>
      <c r="BK17" s="1063"/>
      <c r="BM17" s="20" t="s">
        <v>915</v>
      </c>
      <c r="BN17" s="551">
        <v>2.1100000000000001E-2</v>
      </c>
      <c r="BO17" s="551">
        <v>0.13139999999999999</v>
      </c>
      <c r="BP17" s="551">
        <v>0</v>
      </c>
      <c r="BQ17" s="4"/>
      <c r="BR17" s="1063"/>
    </row>
    <row r="18" spans="1:70" ht="15.75" x14ac:dyDescent="0.25">
      <c r="A18" s="7" t="str">
        <f>Input_Harvestnew!B90</f>
        <v>Week 46 (11/09)</v>
      </c>
      <c r="B18" s="20">
        <f t="shared" si="9"/>
        <v>0</v>
      </c>
      <c r="C18" s="20" t="e">
        <f t="shared" si="10"/>
        <v>#DIV/0!</v>
      </c>
      <c r="E18" s="20">
        <f t="shared" si="11"/>
        <v>0</v>
      </c>
      <c r="F18" s="20" t="e">
        <f t="shared" si="12"/>
        <v>#DIV/0!</v>
      </c>
      <c r="G18" s="34"/>
      <c r="H18" s="2">
        <f>Input_Harvestnew!H90</f>
        <v>0</v>
      </c>
      <c r="I18" s="5">
        <f>Input_Harvestnew!H126</f>
        <v>0</v>
      </c>
      <c r="M18" s="2" t="s">
        <v>900</v>
      </c>
      <c r="N18" s="129">
        <f>SUM(Input_Harvestnew!C86)</f>
        <v>1.3886176141334895E-3</v>
      </c>
      <c r="O18" s="129" t="str">
        <f>Input_Harvestnew!G86</f>
        <v>%TAA</v>
      </c>
      <c r="P18" s="1063" t="e">
        <f>Input_Harvestnew!#REF!</f>
        <v>#REF!</v>
      </c>
      <c r="Q18" s="1063" t="e">
        <f>Input_Harvestnew!#REF!</f>
        <v>#REF!</v>
      </c>
      <c r="R18" s="1063" t="e">
        <f>Input_Harvestnew!#REF!</f>
        <v>#REF!</v>
      </c>
      <c r="S18" s="1063" t="e">
        <f>Input_Harvestnew!#REF!</f>
        <v>#REF!</v>
      </c>
      <c r="T18" s="2">
        <f t="shared" si="13"/>
        <v>0</v>
      </c>
      <c r="X18" s="1063"/>
      <c r="Y18" s="1535"/>
      <c r="Z18" s="1063"/>
      <c r="AA18" s="1063"/>
      <c r="AB18" s="1063"/>
      <c r="AC18" s="1063"/>
      <c r="AD18" s="1535"/>
      <c r="AF18" s="1" t="s">
        <v>916</v>
      </c>
      <c r="AG18" s="131">
        <f>SUM('2'!P48:P51,'2'!P56:P57)</f>
        <v>22</v>
      </c>
      <c r="AH18" s="1055">
        <f t="shared" si="5"/>
        <v>1.0842779694430753E-3</v>
      </c>
      <c r="AI18" s="131">
        <f>SUM(StockSumPRN!D1130:E1131,StockSumPRN!H1130:I1131,StockSumPRN!D1135:E1136,StockSumPRN!H1135:I1136,StockSumPRN!D1143:E1144,StockSumPRN!H1143:I1144,StockSumPRN!D1145:E1146,StockSumPRN!H1145:I1146)</f>
        <v>16</v>
      </c>
      <c r="AJ18" s="1055">
        <f t="shared" si="5"/>
        <v>9.1433796216926677E-4</v>
      </c>
      <c r="AK18" s="131">
        <f>SUM(StockSumPRN!B925:E926,StockSumPRN!B930:E931,StockSumPRN!B938:E941)</f>
        <v>7</v>
      </c>
      <c r="AL18" s="1055">
        <f t="shared" si="0"/>
        <v>7.9645010808965754E-4</v>
      </c>
      <c r="AM18" s="131">
        <f>SUM(StockSumPRN!H925:K926,StockSumPRN!H930:K931,StockSumPRN!H938:K939,StockSumPRN!H940:K941,StockSumPRN!B1130:C1131,StockSumPRN!B1135:C1136,StockSumPRN!B1143:C1146)</f>
        <v>33</v>
      </c>
      <c r="AN18" s="1055">
        <f t="shared" si="1"/>
        <v>9.177884080542886E-4</v>
      </c>
      <c r="AO18" s="131">
        <f t="shared" si="2"/>
        <v>56</v>
      </c>
      <c r="AP18" s="1055">
        <f t="shared" si="3"/>
        <v>8.9968511021142603E-4</v>
      </c>
      <c r="AQ18" s="131">
        <f t="shared" si="6"/>
        <v>22</v>
      </c>
      <c r="AR18" s="1055">
        <f t="shared" si="4"/>
        <v>1.0842779694430753E-3</v>
      </c>
      <c r="AS18" s="1059"/>
      <c r="AT18" s="131">
        <f t="shared" si="7"/>
        <v>78</v>
      </c>
      <c r="AU18" s="1055">
        <f t="shared" si="8"/>
        <v>9.4506506409479732E-4</v>
      </c>
      <c r="AW18" s="20" t="s">
        <v>917</v>
      </c>
      <c r="AX18" s="20">
        <f>SUM(AI20:AI25)</f>
        <v>4551</v>
      </c>
      <c r="AY18" s="20">
        <f>AI23</f>
        <v>256</v>
      </c>
      <c r="AZ18" s="20"/>
      <c r="BA18" t="str">
        <f>'2'!O20</f>
        <v>Treaty Troll</v>
      </c>
      <c r="BB18" s="200">
        <f>'2'!P20</f>
        <v>653</v>
      </c>
      <c r="BC18" s="207">
        <f t="shared" ref="BC18:BC25" si="14">BB18/(BB$7+BB$61)</f>
        <v>3.217224220328127E-2</v>
      </c>
      <c r="BD18" s="46"/>
      <c r="BE18" s="207"/>
      <c r="BF18"/>
      <c r="BG18" s="321">
        <f t="shared" ref="BG18:BG25" si="15">BC18-BE18</f>
        <v>3.217224220328127E-2</v>
      </c>
      <c r="BH18" s="20"/>
      <c r="BI18" s="20"/>
      <c r="BJ18" s="20"/>
      <c r="BM18" s="20" t="s">
        <v>918</v>
      </c>
      <c r="BN18" s="1063" t="e">
        <f>BN$29*((Input_Stockdata!$D$38/SUM(Input_Stockdata!$D$33,Input_Stockdata!$D$38)))</f>
        <v>#DIV/0!</v>
      </c>
      <c r="BO18" s="1063" t="e">
        <f>BO$29*((Input_Stockdata!$D$38/SUM(Input_Stockdata!$D$33,Input_Stockdata!$D$38)))</f>
        <v>#DIV/0!</v>
      </c>
      <c r="BP18" s="1063" t="e">
        <f>BP$29*((Input_Stockdata!$D$38/SUM(Input_Stockdata!$D$33,Input_Stockdata!$D$38)))</f>
        <v>#DIV/0!</v>
      </c>
      <c r="BQ18" s="1051" t="s">
        <v>899</v>
      </c>
      <c r="BR18" s="1063"/>
    </row>
    <row r="19" spans="1:70" ht="15.75" x14ac:dyDescent="0.25">
      <c r="A19" s="7" t="str">
        <f>Input_Harvestnew!B91</f>
        <v>Week 47 (11/16)</v>
      </c>
      <c r="B19" s="20">
        <f t="shared" si="9"/>
        <v>0</v>
      </c>
      <c r="C19" s="20" t="e">
        <f t="shared" si="10"/>
        <v>#DIV/0!</v>
      </c>
      <c r="E19" s="20">
        <f t="shared" si="11"/>
        <v>0</v>
      </c>
      <c r="F19" s="20" t="e">
        <f t="shared" si="12"/>
        <v>#DIV/0!</v>
      </c>
      <c r="G19" s="34"/>
      <c r="H19" s="2">
        <f>Input_Harvestnew!H91</f>
        <v>0</v>
      </c>
      <c r="I19" s="5">
        <f>Input_Harvestnew!H127</f>
        <v>0</v>
      </c>
      <c r="M19" s="2" t="s">
        <v>905</v>
      </c>
      <c r="N19" s="129">
        <f>SUM(Input_Harvestnew!C87)</f>
        <v>0</v>
      </c>
      <c r="O19" s="129" t="str">
        <f>Input_Harvestnew!G86</f>
        <v>%TAA</v>
      </c>
      <c r="T19" s="2" t="str">
        <f t="shared" si="13"/>
        <v>CG  2/11/22:  12: 10/09 - 11/20 7 d/wk; 12B: 10/16-11/20, 7 d/wk</v>
      </c>
      <c r="X19" s="1063"/>
      <c r="Y19" s="1535"/>
      <c r="Z19" s="1063"/>
      <c r="AA19" s="1063"/>
      <c r="AB19" s="1063"/>
      <c r="AC19" s="1063"/>
      <c r="AD19" s="1535"/>
      <c r="AF19" s="1" t="s">
        <v>919</v>
      </c>
      <c r="AG19" s="131">
        <f>SUM('2'!P54:P55)</f>
        <v>262</v>
      </c>
      <c r="AH19" s="1055">
        <f t="shared" si="5"/>
        <v>1.291276490882208E-2</v>
      </c>
      <c r="AI19" s="131">
        <f>SUM(StockSumPRN!D1153:E1158,StockSumPRN!H1153:I1158,StockSumPRN!D1164:E1167,StockSumPRN!H1164:I1167,StockSumPRN!D1171:E1180,StockSumPRN!H1171:I1180)</f>
        <v>183</v>
      </c>
      <c r="AJ19" s="1055">
        <f t="shared" si="5"/>
        <v>1.045774044231099E-2</v>
      </c>
      <c r="AK19" s="131">
        <f>SUM(StockSumPRN!B948:E953,StockSumPRN!B959:E962,StockSumPRN!B966:E973,StockSumPRN!B974:E975)</f>
        <v>60</v>
      </c>
      <c r="AL19" s="1055">
        <f t="shared" si="0"/>
        <v>6.8267152121970643E-3</v>
      </c>
      <c r="AM19" s="131">
        <f>SUM(StockSumPRN!H948:K953,StockSumPRN!H959:K962,StockSumPRN!H966:K975,StockSumPRN!B1153:C1158,StockSumPRN!B1164:C1167,StockSumPRN!B1171:C1180)</f>
        <v>390</v>
      </c>
      <c r="AN19" s="1055">
        <f t="shared" si="1"/>
        <v>1.0846590277005229E-2</v>
      </c>
      <c r="AO19" s="131">
        <f t="shared" si="2"/>
        <v>633</v>
      </c>
      <c r="AP19" s="1055">
        <f t="shared" si="3"/>
        <v>1.0169654906497011E-2</v>
      </c>
      <c r="AQ19" s="131">
        <f t="shared" si="6"/>
        <v>262</v>
      </c>
      <c r="AR19" s="1055">
        <f t="shared" si="4"/>
        <v>1.291276490882208E-2</v>
      </c>
      <c r="AS19" s="1059"/>
      <c r="AT19" s="131">
        <f t="shared" si="7"/>
        <v>895</v>
      </c>
      <c r="AU19" s="1055">
        <f t="shared" si="8"/>
        <v>1.0844015799549276E-2</v>
      </c>
      <c r="AW19" s="1109" t="s">
        <v>856</v>
      </c>
      <c r="AX19" s="20">
        <f>SUM(AM20:AM25)</f>
        <v>13446</v>
      </c>
      <c r="AY19" s="20">
        <f>AM23</f>
        <v>1010</v>
      </c>
      <c r="AZ19" s="20"/>
      <c r="BA19" t="str">
        <f>'2'!O21</f>
        <v>NT Troll N. Leadbttr</v>
      </c>
      <c r="BB19" s="200">
        <f>'2'!P21</f>
        <v>86</v>
      </c>
      <c r="BC19" s="207">
        <f t="shared" si="14"/>
        <v>4.2370793713356657E-3</v>
      </c>
      <c r="BD19" s="46"/>
      <c r="BE19" s="207"/>
      <c r="BF19"/>
      <c r="BG19" s="321">
        <f t="shared" si="15"/>
        <v>4.2370793713356657E-3</v>
      </c>
      <c r="BH19" s="20"/>
      <c r="BI19" s="20"/>
      <c r="BJ19" s="20"/>
      <c r="BM19" s="20" t="s">
        <v>920</v>
      </c>
      <c r="BN19" s="1063" t="e">
        <f>BN$31*((Input_Stockdata!$D39/SUM(Input_Stockdata!$D$39,Input_Stockdata!$D$44)))</f>
        <v>#DIV/0!</v>
      </c>
      <c r="BO19" s="1063" t="e">
        <f>BO$31*((Input_Stockdata!$D39/SUM(Input_Stockdata!$D$39,Input_Stockdata!$D$44)))</f>
        <v>#DIV/0!</v>
      </c>
      <c r="BP19" s="1063" t="e">
        <f>BP$31*((Input_Stockdata!$D39/SUM(Input_Stockdata!$D$39,Input_Stockdata!$D$44)))</f>
        <v>#DIV/0!</v>
      </c>
      <c r="BQ19" s="1051" t="s">
        <v>921</v>
      </c>
      <c r="BR19" s="1063"/>
    </row>
    <row r="20" spans="1:70" ht="15.75" x14ac:dyDescent="0.25">
      <c r="A20" s="7" t="str">
        <f>Input_Harvestnew!B92</f>
        <v>Week 48 (11/23)</v>
      </c>
      <c r="B20" s="20">
        <f t="shared" si="9"/>
        <v>0</v>
      </c>
      <c r="C20" s="20" t="e">
        <f t="shared" si="10"/>
        <v>#DIV/0!</v>
      </c>
      <c r="E20" s="20">
        <f t="shared" si="11"/>
        <v>0</v>
      </c>
      <c r="F20" s="20" t="e">
        <f t="shared" si="12"/>
        <v>#DIV/0!</v>
      </c>
      <c r="G20" s="34"/>
      <c r="H20" s="2">
        <f>Input_Harvestnew!H92</f>
        <v>0</v>
      </c>
      <c r="I20" s="5">
        <f>Input_Harvestnew!H128</f>
        <v>0</v>
      </c>
      <c r="M20" s="7" t="str">
        <f>Input_Harvestnew!B88</f>
        <v>Week 44 (10/26)</v>
      </c>
      <c r="N20" s="129">
        <f>SUM(Input_Harvestnew!C88)</f>
        <v>0</v>
      </c>
      <c r="O20" s="129" t="str">
        <f>Input_Harvestnew!G88</f>
        <v>%TAA</v>
      </c>
      <c r="P20" s="1063" t="e">
        <f>Input_Harvestnew!#REF!</f>
        <v>#REF!</v>
      </c>
      <c r="Q20" s="1063" t="e">
        <f>Input_Harvestnew!#REF!</f>
        <v>#REF!</v>
      </c>
      <c r="R20" s="1063" t="e">
        <f>Input_Harvestnew!#REF!</f>
        <v>#REF!</v>
      </c>
      <c r="S20" s="1063" t="e">
        <f>Input_Harvestnew!#REF!</f>
        <v>#REF!</v>
      </c>
      <c r="T20" s="2">
        <f t="shared" si="13"/>
        <v>0</v>
      </c>
      <c r="V20" s="1495"/>
      <c r="W20" s="1495"/>
      <c r="X20" s="1495"/>
      <c r="Y20" s="1495"/>
      <c r="Z20" s="1495"/>
      <c r="AA20" s="1495"/>
      <c r="AB20" s="1495"/>
      <c r="AC20" s="1495"/>
      <c r="AD20" s="1495"/>
      <c r="AE20" s="1495"/>
      <c r="AF20" s="1" t="s">
        <v>922</v>
      </c>
      <c r="AG20" s="131">
        <f>SUM('2'!P35)</f>
        <v>1840</v>
      </c>
      <c r="AH20" s="1055">
        <f t="shared" si="5"/>
        <v>9.0685066535239028E-2</v>
      </c>
      <c r="AI20" s="131">
        <f>SUM(StockSumPRN!D1186:E1186,StockSumPRN!H1186:I1186)</f>
        <v>1324</v>
      </c>
      <c r="AJ20" s="1055">
        <f t="shared" si="5"/>
        <v>7.5661466369506825E-2</v>
      </c>
      <c r="AK20" s="131">
        <f>SUM(StockSumPRN!B981:E981)</f>
        <v>596</v>
      </c>
      <c r="AL20" s="1055">
        <f t="shared" si="0"/>
        <v>6.7812037774490838E-2</v>
      </c>
      <c r="AM20" s="131">
        <f>SUM(StockSumPRN!H981:K981,StockSumPRN!B1186:C1186)</f>
        <v>2836</v>
      </c>
      <c r="AN20" s="1055">
        <f t="shared" si="1"/>
        <v>7.8874179552786736E-2</v>
      </c>
      <c r="AO20" s="131">
        <f t="shared" si="2"/>
        <v>4756</v>
      </c>
      <c r="AP20" s="1055">
        <f t="shared" si="3"/>
        <v>7.6408971145813256E-2</v>
      </c>
      <c r="AQ20" s="131">
        <f t="shared" si="6"/>
        <v>1840</v>
      </c>
      <c r="AR20" s="1055">
        <f t="shared" si="4"/>
        <v>9.0685066535239028E-2</v>
      </c>
      <c r="AS20" s="1568">
        <f>StockSumPRN!H5081-HdC!AO20-HdC!AQ20</f>
        <v>1406</v>
      </c>
      <c r="AT20" s="131">
        <f t="shared" si="7"/>
        <v>8002</v>
      </c>
      <c r="AU20" s="1055">
        <f t="shared" si="8"/>
        <v>7.99185790098626E-2</v>
      </c>
      <c r="AW20" s="20" t="s">
        <v>923</v>
      </c>
      <c r="AX20" s="20">
        <f>SUM(AX17:AX19)</f>
        <v>23547</v>
      </c>
      <c r="AY20" s="20">
        <f>SUM(AY17:AY19)</f>
        <v>2118</v>
      </c>
      <c r="AZ20" s="20"/>
      <c r="BA20" t="str">
        <f>'2'!O22</f>
        <v>NT Troll S. Leadbttr</v>
      </c>
      <c r="BB20" s="200">
        <f>'2'!P22</f>
        <v>8</v>
      </c>
      <c r="BC20" s="207">
        <f t="shared" si="14"/>
        <v>3.9414691826378283E-4</v>
      </c>
      <c r="BD20" s="46"/>
      <c r="BE20" s="207"/>
      <c r="BF20"/>
      <c r="BG20" s="321">
        <f t="shared" si="15"/>
        <v>3.9414691826378283E-4</v>
      </c>
      <c r="BH20" s="20"/>
      <c r="BI20" s="20"/>
      <c r="BJ20" s="20"/>
      <c r="BK20" s="1063"/>
      <c r="BM20" s="20"/>
      <c r="BN20" s="551"/>
      <c r="BO20" s="1064"/>
      <c r="BP20" s="1064"/>
      <c r="BQ20" s="4"/>
      <c r="BR20" s="1063"/>
    </row>
    <row r="21" spans="1:70" ht="15.75" x14ac:dyDescent="0.25">
      <c r="A21" s="7">
        <f>Input_Harvestnew!B93</f>
        <v>0</v>
      </c>
      <c r="B21" s="20">
        <f t="shared" si="9"/>
        <v>0</v>
      </c>
      <c r="C21" s="20" t="e">
        <f t="shared" si="10"/>
        <v>#DIV/0!</v>
      </c>
      <c r="E21" s="20">
        <f t="shared" si="11"/>
        <v>0</v>
      </c>
      <c r="F21" s="20" t="e">
        <f t="shared" si="12"/>
        <v>#DIV/0!</v>
      </c>
      <c r="G21" s="34"/>
      <c r="H21" s="2">
        <f>Input_Harvestnew!H93</f>
        <v>0</v>
      </c>
      <c r="I21" s="5">
        <f>Input_Harvestnew!H128</f>
        <v>0</v>
      </c>
      <c r="M21" s="7" t="str">
        <f>Input_Harvestnew!B89</f>
        <v>Week 45 (11/02)</v>
      </c>
      <c r="N21" s="129">
        <f>SUM(Input_Harvestnew!C89)</f>
        <v>0</v>
      </c>
      <c r="O21" s="129" t="str">
        <f>Input_Harvestnew!G89</f>
        <v>%TAA</v>
      </c>
      <c r="T21" s="2">
        <f t="shared" si="13"/>
        <v>0</v>
      </c>
      <c r="V21" s="1"/>
      <c r="X21" s="1063"/>
      <c r="Y21" s="1535"/>
      <c r="Z21" s="1063"/>
      <c r="AA21" s="1063"/>
      <c r="AB21" s="1063"/>
      <c r="AC21" s="1063"/>
      <c r="AD21" s="1535"/>
      <c r="AE21" s="1"/>
      <c r="AF21" s="1" t="s">
        <v>924</v>
      </c>
      <c r="AG21" s="131">
        <f>SUM(StockSumPRN!F1197:G1200,StockSumPRN!J1197:K1200,StockSumPRN!F992:G995)</f>
        <v>0</v>
      </c>
      <c r="AH21" s="1055">
        <f t="shared" si="5"/>
        <v>0</v>
      </c>
      <c r="AI21" s="131">
        <f>SUM(StockSumPRN!D1198:E1200,StockSumPRN!H1198:I1200)</f>
        <v>0</v>
      </c>
      <c r="AJ21" s="1055">
        <f t="shared" si="5"/>
        <v>0</v>
      </c>
      <c r="AK21" s="131">
        <f>SUM(StockSumPRN!B992:E995)</f>
        <v>0</v>
      </c>
      <c r="AL21" s="1055">
        <f t="shared" si="0"/>
        <v>0</v>
      </c>
      <c r="AM21" s="131">
        <f>SUM(StockSumPRN!H992:K995,StockSumPRN!B1197:C1200)</f>
        <v>2037</v>
      </c>
      <c r="AN21" s="1055">
        <f t="shared" si="1"/>
        <v>5.6652575369896541E-2</v>
      </c>
      <c r="AO21" s="131">
        <f t="shared" si="2"/>
        <v>2037</v>
      </c>
      <c r="AP21" s="1055">
        <f t="shared" si="3"/>
        <v>3.2726045883940617E-2</v>
      </c>
      <c r="AQ21" s="131">
        <f t="shared" si="6"/>
        <v>0</v>
      </c>
      <c r="AR21" s="1055">
        <f t="shared" si="4"/>
        <v>0</v>
      </c>
      <c r="AS21" s="1059"/>
      <c r="AT21" s="131">
        <f t="shared" si="7"/>
        <v>2037</v>
      </c>
      <c r="AU21" s="1055">
        <f t="shared" si="8"/>
        <v>2.4680737635398745E-2</v>
      </c>
      <c r="AW21" s="20"/>
      <c r="AX21" s="20"/>
      <c r="AY21" s="20"/>
      <c r="AZ21" s="20"/>
      <c r="BA21" t="str">
        <f>'2'!O23</f>
        <v>Sport:       Area 1</v>
      </c>
      <c r="BB21" s="200">
        <f>'2'!P23</f>
        <v>11</v>
      </c>
      <c r="BC21" s="207">
        <f t="shared" si="14"/>
        <v>5.4195201261270142E-4</v>
      </c>
      <c r="BD21" s="46"/>
      <c r="BE21" s="207"/>
      <c r="BF21"/>
      <c r="BG21" s="321">
        <f t="shared" si="15"/>
        <v>5.4195201261270142E-4</v>
      </c>
      <c r="BH21" s="20"/>
      <c r="BI21" s="20"/>
      <c r="BJ21" s="20"/>
      <c r="BM21" s="20" t="s">
        <v>925</v>
      </c>
      <c r="BN21" s="551">
        <v>1.8000000000000002E-2</v>
      </c>
      <c r="BO21" s="551">
        <v>6.3E-3</v>
      </c>
      <c r="BP21" s="551">
        <v>0.4073</v>
      </c>
      <c r="BQ21" s="4"/>
      <c r="BR21" s="1063"/>
    </row>
    <row r="22" spans="1:70" ht="15" customHeight="1" x14ac:dyDescent="0.25">
      <c r="A22" s="7" t="s">
        <v>668</v>
      </c>
      <c r="B22" s="20">
        <f>SUM(Table2PRN!G1635,Table2PRN!G1641)</f>
        <v>2120</v>
      </c>
      <c r="C22" s="20">
        <f>SUM(Table2PRN!G1634,Table2PRN!G1640)</f>
        <v>565</v>
      </c>
      <c r="D22" s="20">
        <f>SUM(B22:C22)</f>
        <v>2685</v>
      </c>
      <c r="E22" s="1559">
        <f>SUM(FishSumAllPRN!F1001,FishSumAllPRN!F1007)</f>
        <v>3117</v>
      </c>
      <c r="F22" s="1559">
        <f>SUM(FishSumAllPRN!G1000,FishSumAllPRN!G1006)</f>
        <v>1376</v>
      </c>
      <c r="G22" s="20">
        <f>SUM(E22:F22)</f>
        <v>4493</v>
      </c>
      <c r="I22" s="5"/>
      <c r="M22" s="7" t="str">
        <f>Input_Harvestnew!B90</f>
        <v>Week 46 (11/09)</v>
      </c>
      <c r="N22" s="129">
        <f>SUM(Input_Harvestnew!C90)</f>
        <v>0</v>
      </c>
      <c r="O22" s="129" t="str">
        <f>Input_Harvestnew!G90</f>
        <v>%TAA</v>
      </c>
      <c r="P22" s="1063" t="e">
        <f>Input_Harvestnew!#REF!</f>
        <v>#REF!</v>
      </c>
      <c r="Q22" s="1063" t="e">
        <f>Input_Harvestnew!#REF!</f>
        <v>#REF!</v>
      </c>
      <c r="R22" s="1063" t="e">
        <f>Input_Harvestnew!#REF!</f>
        <v>#REF!</v>
      </c>
      <c r="S22" s="1063" t="e">
        <f>Input_Harvestnew!#REF!</f>
        <v>#REF!</v>
      </c>
      <c r="T22" s="2">
        <f t="shared" si="13"/>
        <v>0</v>
      </c>
      <c r="V22" s="129"/>
      <c r="W22" s="129"/>
      <c r="X22" s="129"/>
      <c r="Y22" s="1139"/>
      <c r="Z22" s="129"/>
      <c r="AA22" s="129"/>
      <c r="AB22" s="129"/>
      <c r="AC22" s="129"/>
      <c r="AD22" s="1139"/>
      <c r="AE22" s="1544"/>
      <c r="AF22" s="1" t="s">
        <v>926</v>
      </c>
      <c r="AG22" s="132">
        <f>SUM('2'!P52:P53)</f>
        <v>2685</v>
      </c>
      <c r="AH22" s="1055">
        <f t="shared" si="5"/>
        <v>0.13233119763430262</v>
      </c>
      <c r="AI22" s="132">
        <f>SUM(StockSumPRN!D1187:E1188,StockSumPRN!H1187:I1188,StockSumPRN!D1193:E1194,StockSumPRN!H1193:I1194)</f>
        <v>1650</v>
      </c>
      <c r="AJ22" s="1055">
        <f t="shared" si="5"/>
        <v>9.4291102348705635E-2</v>
      </c>
      <c r="AK22" s="132">
        <f>SUM(StockSumPRN!B982:E983,StockSumPRN!B988:E989)</f>
        <v>80</v>
      </c>
      <c r="AL22" s="1055">
        <f t="shared" si="0"/>
        <v>9.1022869495960852E-3</v>
      </c>
      <c r="AM22" s="132">
        <f>SUM(StockSumPRN!H982:K983,StockSumPRN!H988:K989,StockSumPRN!B1187:C1188,StockSumPRN!B1193:C1194)</f>
        <v>1061</v>
      </c>
      <c r="AN22" s="1055">
        <f t="shared" si="1"/>
        <v>2.9508287907442431E-2</v>
      </c>
      <c r="AO22" s="132">
        <f t="shared" si="2"/>
        <v>2791</v>
      </c>
      <c r="AP22" s="1055">
        <f t="shared" si="3"/>
        <v>4.4839663260715895E-2</v>
      </c>
      <c r="AQ22" s="132">
        <f t="shared" si="6"/>
        <v>2685</v>
      </c>
      <c r="AR22" s="1055">
        <f t="shared" si="4"/>
        <v>0.13233119763430262</v>
      </c>
      <c r="AS22" s="1568">
        <f>SUM(StockSumPRN!H5082:H5083,StockSumPRN!H5088:H5089)-HdC!AO22-HdC!AQ22</f>
        <v>504</v>
      </c>
      <c r="AT22" s="132">
        <f t="shared" si="7"/>
        <v>5980</v>
      </c>
      <c r="AU22" s="1055">
        <f>(AT22-AS22)/AT$6</f>
        <v>6.6348413986962951E-2</v>
      </c>
      <c r="AV22" s="221"/>
      <c r="AW22" s="629"/>
      <c r="AX22" s="1569"/>
      <c r="AY22" s="20"/>
      <c r="AZ22" s="20"/>
      <c r="BA22" t="str">
        <f>'2'!O24</f>
        <v>Buoy 10</v>
      </c>
      <c r="BB22" s="200">
        <f>'2'!P24</f>
        <v>4</v>
      </c>
      <c r="BC22" s="207">
        <f t="shared" si="14"/>
        <v>1.9707345913189142E-4</v>
      </c>
      <c r="BD22" s="46"/>
      <c r="BE22" s="207"/>
      <c r="BF22"/>
      <c r="BG22" s="321">
        <f t="shared" si="15"/>
        <v>1.9707345913189142E-4</v>
      </c>
      <c r="BH22" s="20"/>
      <c r="BI22" s="20"/>
      <c r="BJ22" s="20"/>
      <c r="BK22" s="1063"/>
      <c r="BN22" s="1063"/>
      <c r="BO22" s="1063"/>
      <c r="BP22" s="1063"/>
      <c r="BQ22" s="4"/>
      <c r="BR22" s="1063"/>
    </row>
    <row r="23" spans="1:70" ht="15.75" x14ac:dyDescent="0.25">
      <c r="A23" s="7"/>
      <c r="B23" s="20"/>
      <c r="C23" s="20"/>
      <c r="D23" s="20"/>
      <c r="E23" s="20"/>
      <c r="F23" s="20"/>
      <c r="G23" s="20"/>
      <c r="M23" s="7" t="str">
        <f>Input_Harvestnew!B91</f>
        <v>Week 47 (11/16)</v>
      </c>
      <c r="N23" s="129">
        <f>SUM(Input_Harvestnew!C91)</f>
        <v>0</v>
      </c>
      <c r="O23" s="129" t="str">
        <f>Input_Harvestnew!G91</f>
        <v>%TAA</v>
      </c>
      <c r="T23" s="2">
        <f t="shared" si="13"/>
        <v>0</v>
      </c>
      <c r="V23" s="129"/>
      <c r="W23" s="129"/>
      <c r="X23" s="129"/>
      <c r="Y23" s="129"/>
      <c r="Z23" s="129"/>
      <c r="AA23" s="129"/>
      <c r="AB23" s="129"/>
      <c r="AC23" s="129"/>
      <c r="AD23" s="129"/>
      <c r="AE23" s="129"/>
      <c r="AF23" s="1" t="s">
        <v>927</v>
      </c>
      <c r="AG23" s="131">
        <f>SUM(StockSumPRN!F984:G985,StockSumPRN!F1189:G1190,StockSumPRN!J1189:K1190)</f>
        <v>852</v>
      </c>
      <c r="AH23" s="1055">
        <f t="shared" si="5"/>
        <v>4.1991128634795469E-2</v>
      </c>
      <c r="AI23" s="131">
        <f>SUM(StockSumPRN!D1189:E1190,StockSumPRN!H1189:I1190)</f>
        <v>256</v>
      </c>
      <c r="AJ23" s="1055">
        <f t="shared" si="5"/>
        <v>1.4629407394708268E-2</v>
      </c>
      <c r="AK23" s="131">
        <f>SUM(StockSumPRN!B984:E985)</f>
        <v>4803</v>
      </c>
      <c r="AL23" s="1055">
        <f t="shared" si="0"/>
        <v>0.54647855273637502</v>
      </c>
      <c r="AM23" s="131">
        <f>SUM(StockSumPRN!B1189:C1190,StockSumPRN!H984:K985)</f>
        <v>1010</v>
      </c>
      <c r="AN23" s="1055">
        <f t="shared" si="1"/>
        <v>2.8089887640449437E-2</v>
      </c>
      <c r="AO23" s="1084">
        <f t="shared" si="2"/>
        <v>6069</v>
      </c>
      <c r="AP23" s="1085">
        <f t="shared" si="3"/>
        <v>9.7503373819163297E-2</v>
      </c>
      <c r="AQ23" s="1084">
        <f t="shared" si="6"/>
        <v>852</v>
      </c>
      <c r="AR23" s="1055">
        <f t="shared" si="4"/>
        <v>4.1991128634795469E-2</v>
      </c>
      <c r="AS23" s="1568">
        <f>SUM(StockSumPRN!H5084:H5085)-AO23-AQ23</f>
        <v>577</v>
      </c>
      <c r="AT23" s="131">
        <f t="shared" si="7"/>
        <v>7498</v>
      </c>
      <c r="AU23" s="1055">
        <f>(AT23-AS23)/AT$6</f>
        <v>8.3856350110257591E-2</v>
      </c>
      <c r="AV23" s="221"/>
      <c r="AX23" s="1509" t="s">
        <v>928</v>
      </c>
      <c r="AY23" s="20">
        <f>AT23-AY20-AS23</f>
        <v>4803</v>
      </c>
      <c r="AZ23" s="20"/>
      <c r="BA23" t="str">
        <f>'2'!O25</f>
        <v>Area 2</v>
      </c>
      <c r="BB23" s="200">
        <f>'2'!P25</f>
        <v>43</v>
      </c>
      <c r="BC23" s="207">
        <f t="shared" si="14"/>
        <v>2.1185396856678329E-3</v>
      </c>
      <c r="BD23" s="46"/>
      <c r="BE23" s="207"/>
      <c r="BF23"/>
      <c r="BG23" s="321">
        <f t="shared" si="15"/>
        <v>2.1185396856678329E-3</v>
      </c>
      <c r="BH23" s="20"/>
      <c r="BI23" s="20"/>
      <c r="BJ23" s="20"/>
      <c r="BK23" s="1063"/>
      <c r="BM23" s="2" t="s">
        <v>929</v>
      </c>
      <c r="BN23" s="1063">
        <f>BN30</f>
        <v>2.6100000000000002E-2</v>
      </c>
      <c r="BO23" s="1063">
        <f>BO30</f>
        <v>1.5700000000000002E-2</v>
      </c>
      <c r="BP23" s="1063">
        <f>BP30</f>
        <v>0.5927</v>
      </c>
      <c r="BR23" s="1063"/>
    </row>
    <row r="24" spans="1:70" ht="15.75" x14ac:dyDescent="0.25">
      <c r="A24" s="7"/>
      <c r="E24" s="20"/>
      <c r="F24" s="20"/>
      <c r="G24" s="20"/>
      <c r="M24" s="7" t="str">
        <f>Input_Harvestnew!B92</f>
        <v>Week 48 (11/23)</v>
      </c>
      <c r="N24" s="129">
        <f>SUM(Input_Harvestnew!C92)</f>
        <v>0</v>
      </c>
      <c r="O24" s="129"/>
      <c r="T24" s="2">
        <f t="shared" si="13"/>
        <v>0</v>
      </c>
      <c r="V24" s="129"/>
      <c r="W24" s="129"/>
      <c r="X24" s="129"/>
      <c r="Y24" s="129"/>
      <c r="Z24" s="129"/>
      <c r="AA24" s="129"/>
      <c r="AB24" s="129"/>
      <c r="AC24" s="129"/>
      <c r="AD24" s="129"/>
      <c r="AE24" s="129"/>
      <c r="AF24" s="1" t="s">
        <v>930</v>
      </c>
      <c r="AG24" s="131">
        <f>SUM(StockSumPRN!$F$986:$G$987,StockSumPRN!$F$1191:$G$1192,StockSumPRN!$J$1191:$K$1192)</f>
        <v>0</v>
      </c>
      <c r="AH24" s="1055">
        <f t="shared" si="5"/>
        <v>0</v>
      </c>
      <c r="AI24" s="131">
        <f>SUM(StockSumPRN!$D$1191:$E$1192,StockSumPRN!$H$1191:$I$1192)</f>
        <v>0</v>
      </c>
      <c r="AJ24" s="1055">
        <f t="shared" si="5"/>
        <v>0</v>
      </c>
      <c r="AK24" s="131">
        <f>SUM(StockSumPRN!B986:E987)</f>
        <v>0</v>
      </c>
      <c r="AL24" s="1055">
        <f t="shared" si="0"/>
        <v>0</v>
      </c>
      <c r="AM24" s="131">
        <f>SUM(StockSumPRN!H986:K987,StockSumPRN!H991:K991,StockSumPRN!B1191:C1192,StockSumPRN!B1196:C1196)</f>
        <v>6502</v>
      </c>
      <c r="AN24" s="1055">
        <f t="shared" si="1"/>
        <v>0.18083212815663588</v>
      </c>
      <c r="AO24" s="131">
        <f t="shared" si="2"/>
        <v>6502</v>
      </c>
      <c r="AP24" s="1055">
        <f t="shared" si="3"/>
        <v>0.10445986761776235</v>
      </c>
      <c r="AQ24" s="131">
        <f t="shared" si="6"/>
        <v>0</v>
      </c>
      <c r="AR24" s="1055">
        <f t="shared" si="4"/>
        <v>0</v>
      </c>
      <c r="AS24" s="1568">
        <f>SUM(StockSumPRN!H5086:H5087,StockSumPRN!H5091)-HdC!AO24-AQ24</f>
        <v>-1</v>
      </c>
      <c r="AT24" s="131">
        <f t="shared" si="7"/>
        <v>6501</v>
      </c>
      <c r="AU24" s="1055">
        <f>(AT24-AS24)/AT$6</f>
        <v>7.8779654445440661E-2</v>
      </c>
      <c r="AV24" s="1086"/>
      <c r="AW24" s="20"/>
      <c r="AX24" s="20"/>
      <c r="AY24" s="20"/>
      <c r="AZ24" s="20"/>
      <c r="BA24" t="str">
        <f>'2'!O26</f>
        <v>Area 3</v>
      </c>
      <c r="BB24" s="200">
        <f>'2'!P26</f>
        <v>34</v>
      </c>
      <c r="BC24" s="207">
        <f t="shared" si="14"/>
        <v>1.6751244026210769E-3</v>
      </c>
      <c r="BD24" s="46"/>
      <c r="BE24" s="207"/>
      <c r="BF24"/>
      <c r="BG24" s="321">
        <f t="shared" si="15"/>
        <v>1.6751244026210769E-3</v>
      </c>
      <c r="BH24" s="20"/>
      <c r="BI24" s="20"/>
      <c r="BJ24" s="20"/>
      <c r="BM24" s="20" t="s">
        <v>931</v>
      </c>
      <c r="BN24" s="1063" t="e">
        <f>BN$31*((Input_Stockdata!$D44/SUM(Input_Stockdata!$D$39,Input_Stockdata!$D$44)))</f>
        <v>#DIV/0!</v>
      </c>
      <c r="BO24" s="1063" t="e">
        <f>BO$31*((Input_Stockdata!$D44/SUM(Input_Stockdata!$D$39,Input_Stockdata!$D$44)))</f>
        <v>#DIV/0!</v>
      </c>
      <c r="BP24" s="1063" t="e">
        <f>BP$31*((Input_Stockdata!$D44/SUM(Input_Stockdata!$D$39,Input_Stockdata!$D$44)))</f>
        <v>#DIV/0!</v>
      </c>
      <c r="BQ24" s="1051" t="s">
        <v>921</v>
      </c>
      <c r="BR24" s="1063"/>
    </row>
    <row r="25" spans="1:70" ht="16.5" thickBot="1" x14ac:dyDescent="0.3">
      <c r="A25" s="6" t="s">
        <v>129</v>
      </c>
      <c r="B25" s="6" t="s">
        <v>129</v>
      </c>
      <c r="C25" s="6" t="s">
        <v>129</v>
      </c>
      <c r="D25" s="6" t="s">
        <v>129</v>
      </c>
      <c r="E25" s="6" t="s">
        <v>129</v>
      </c>
      <c r="F25" s="6" t="s">
        <v>129</v>
      </c>
      <c r="G25" s="6" t="s">
        <v>129</v>
      </c>
      <c r="H25" s="6" t="s">
        <v>129</v>
      </c>
      <c r="I25" s="6" t="s">
        <v>129</v>
      </c>
      <c r="M25" s="7">
        <f>Input_Harvestnew!B93</f>
        <v>0</v>
      </c>
      <c r="N25" s="129">
        <f>SUM(Input_Harvestnew!C93)</f>
        <v>0</v>
      </c>
      <c r="O25" s="129">
        <f>Input_Harvestnew!G93</f>
        <v>0</v>
      </c>
      <c r="T25" s="2">
        <f t="shared" si="13"/>
        <v>0</v>
      </c>
      <c r="X25" s="1063"/>
      <c r="Y25" s="1535"/>
      <c r="Z25" s="1063"/>
      <c r="AA25" s="1063"/>
      <c r="AB25" s="1063"/>
      <c r="AC25" s="1063"/>
      <c r="AD25" s="1535"/>
      <c r="AF25" s="1042" t="s">
        <v>932</v>
      </c>
      <c r="AG25" s="131">
        <f>SUM(StockSumPRN!F990:G990,StockSumPRN!F1195:G1195,StockSumPRN!J1195:K1195)</f>
        <v>173</v>
      </c>
      <c r="AH25" s="1055">
        <f>AG25/AG$6</f>
        <v>8.5263676688023659E-3</v>
      </c>
      <c r="AI25" s="131">
        <f>SUM(StockSumPRN!D1195:E1195,StockSumPRN!H1195:I1195)</f>
        <v>1321</v>
      </c>
      <c r="AJ25" s="1055">
        <f>AI25/AI$6</f>
        <v>7.5490028001600096E-2</v>
      </c>
      <c r="AK25" s="131">
        <f>SUM(StockSumPRN!B990:E990)</f>
        <v>0</v>
      </c>
      <c r="AL25" s="1055">
        <f t="shared" si="0"/>
        <v>0</v>
      </c>
      <c r="AM25" s="131">
        <f>SUM(StockSumPRN!H990:K990,StockSumPRN!B1195:C1195)</f>
        <v>0</v>
      </c>
      <c r="AN25" s="1055">
        <f t="shared" si="1"/>
        <v>0</v>
      </c>
      <c r="AO25" s="131">
        <f t="shared" si="2"/>
        <v>1321</v>
      </c>
      <c r="AP25" s="1055">
        <f t="shared" si="3"/>
        <v>2.1222929117665958E-2</v>
      </c>
      <c r="AQ25" s="131">
        <f t="shared" si="6"/>
        <v>173</v>
      </c>
      <c r="AR25" s="1055">
        <f t="shared" si="4"/>
        <v>8.5263676688023659E-3</v>
      </c>
      <c r="AS25" s="1059"/>
      <c r="AT25" s="131">
        <f t="shared" si="7"/>
        <v>1494</v>
      </c>
      <c r="AU25" s="1055">
        <f>(AT25-AS25)/AT$6</f>
        <v>1.8101630843046501E-2</v>
      </c>
      <c r="AX25" s="20"/>
      <c r="AY25" s="20" t="s">
        <v>542</v>
      </c>
      <c r="AZ25" s="20"/>
      <c r="BA25" t="str">
        <f>'2'!O27</f>
        <v>Area 4 *</v>
      </c>
      <c r="BB25" s="200">
        <f>'2'!P27</f>
        <v>121</v>
      </c>
      <c r="BC25" s="207">
        <f t="shared" si="14"/>
        <v>5.9614721387397148E-3</v>
      </c>
      <c r="BD25" s="46"/>
      <c r="BE25" s="207"/>
      <c r="BF25"/>
      <c r="BG25" s="321">
        <f t="shared" si="15"/>
        <v>5.9614721387397148E-3</v>
      </c>
      <c r="BH25" s="1063"/>
      <c r="BI25" s="1063"/>
      <c r="BJ25" s="1063"/>
      <c r="BM25" s="20"/>
      <c r="BN25" s="1063"/>
      <c r="BO25" s="1063"/>
      <c r="BP25" s="1063"/>
      <c r="BR25" s="1063"/>
    </row>
    <row r="26" spans="1:70" ht="15.75" x14ac:dyDescent="0.25">
      <c r="A26" s="6" t="s">
        <v>125</v>
      </c>
      <c r="B26" s="6" t="s">
        <v>125</v>
      </c>
      <c r="C26" s="6" t="s">
        <v>125</v>
      </c>
      <c r="D26" s="6" t="s">
        <v>125</v>
      </c>
      <c r="E26" s="6" t="s">
        <v>125</v>
      </c>
      <c r="F26" s="6" t="s">
        <v>125</v>
      </c>
      <c r="G26" s="6" t="s">
        <v>125</v>
      </c>
      <c r="H26" s="6" t="s">
        <v>125</v>
      </c>
      <c r="I26" s="6" t="s">
        <v>125</v>
      </c>
      <c r="M26" s="2" t="s">
        <v>933</v>
      </c>
      <c r="X26" s="1063"/>
      <c r="Y26" s="1535"/>
      <c r="Z26" s="1063"/>
      <c r="AA26" s="1063"/>
      <c r="AB26" s="1063"/>
      <c r="AC26" s="1063"/>
      <c r="AD26" s="1535"/>
      <c r="AF26" s="1"/>
      <c r="AG26" s="130"/>
      <c r="AH26" s="95"/>
      <c r="AI26" s="130"/>
      <c r="AJ26" s="95"/>
      <c r="AK26" s="130"/>
      <c r="AL26" s="95"/>
      <c r="AM26" s="130"/>
      <c r="AN26" s="95"/>
      <c r="AO26" s="130"/>
      <c r="AP26" s="95"/>
      <c r="AQ26" s="130"/>
      <c r="AR26" s="95"/>
      <c r="AS26" s="1060"/>
      <c r="AT26" s="130"/>
      <c r="AU26" s="1069"/>
      <c r="AX26" s="20"/>
      <c r="AY26" s="20" t="s">
        <v>934</v>
      </c>
      <c r="AZ26" s="20"/>
      <c r="BA26" t="str">
        <f>'2'!O28</f>
        <v>PUGET SOUND:</v>
      </c>
      <c r="BB26" s="200" t="str">
        <f>'2'!P28</f>
        <v>-</v>
      </c>
      <c r="BC26" s="207"/>
      <c r="BD26" s="46"/>
      <c r="BE26" s="207"/>
      <c r="BF26"/>
      <c r="BG26"/>
      <c r="BH26" s="1063"/>
      <c r="BI26" s="1063"/>
      <c r="BJ26" s="1063"/>
      <c r="BM26" s="20" t="s">
        <v>935</v>
      </c>
      <c r="BN26" s="551">
        <v>0.12920000000000001</v>
      </c>
      <c r="BO26" s="1064">
        <v>0</v>
      </c>
      <c r="BP26" s="1064">
        <v>0</v>
      </c>
      <c r="BR26" s="1063"/>
    </row>
    <row r="27" spans="1:70" ht="15.75" x14ac:dyDescent="0.25">
      <c r="M27" s="2" t="s">
        <v>936</v>
      </c>
      <c r="N27" s="129">
        <f>SUM(Input_Harvestnew!C108)</f>
        <v>0</v>
      </c>
      <c r="O27" s="129" t="str">
        <f>Input_Harvestnew!G108</f>
        <v>%TAA</v>
      </c>
      <c r="T27" s="2">
        <f>H35</f>
        <v>0</v>
      </c>
      <c r="V27" s="1546"/>
      <c r="W27" s="1546"/>
      <c r="X27" s="1546"/>
      <c r="Y27" s="1546"/>
      <c r="Z27" s="1546"/>
      <c r="AA27" s="1546"/>
      <c r="AB27" s="1546"/>
      <c r="AC27" s="1546"/>
      <c r="AD27" s="1546"/>
      <c r="AE27" s="1546"/>
      <c r="AF27" s="1" t="s">
        <v>937</v>
      </c>
      <c r="AG27" s="131">
        <f>SUM(AG8:AG25)</f>
        <v>8940</v>
      </c>
      <c r="AH27" s="1055">
        <f>AG27/AG$6</f>
        <v>0.44061113849186789</v>
      </c>
      <c r="AI27" s="131">
        <f>SUM(AI8:AI25)</f>
        <v>10621</v>
      </c>
      <c r="AJ27" s="1055">
        <f>AI27/AI$6</f>
        <v>0.60694896851248648</v>
      </c>
      <c r="AK27" s="131">
        <f>SUM(AK8:AK25)</f>
        <v>8333</v>
      </c>
      <c r="AL27" s="1055">
        <f>AK27/AK$6</f>
        <v>0.94811696438730231</v>
      </c>
      <c r="AM27" s="131">
        <f>SUM(AM8:AM25)</f>
        <v>25391</v>
      </c>
      <c r="AN27" s="1055">
        <f>AM27/AM$6</f>
        <v>0.70616865057292244</v>
      </c>
      <c r="AO27" s="131">
        <f>SUM(AI27,AK27,AM27)</f>
        <v>44345</v>
      </c>
      <c r="AP27" s="1055">
        <f>AO27/AO$6</f>
        <v>0.712438146648673</v>
      </c>
      <c r="AQ27" s="131">
        <f t="shared" si="6"/>
        <v>8940</v>
      </c>
      <c r="AR27" s="1055">
        <f>AQ27/AQ$6</f>
        <v>0.44061113849186789</v>
      </c>
      <c r="AS27" s="131">
        <f>SUM(AS8:AS25)</f>
        <v>2486</v>
      </c>
      <c r="AT27" s="131">
        <f>SUM(AQ27,AO27,AS27)</f>
        <v>55771</v>
      </c>
      <c r="AU27" s="1055">
        <f>(AT27-AS27)/AT$6</f>
        <v>0.64561271718322144</v>
      </c>
      <c r="AY27" s="1070" t="s">
        <v>907</v>
      </c>
      <c r="AZ27" s="1070"/>
      <c r="BA27" t="str">
        <f>'2'!O29</f>
        <v>Treaty Troll</v>
      </c>
      <c r="BB27" s="200">
        <f>'2'!P29</f>
        <v>21</v>
      </c>
      <c r="BC27" s="207">
        <f t="shared" ref="BC27:BC37" si="16">BB27/(BB$7+BB$61)</f>
        <v>1.03463566044243E-3</v>
      </c>
      <c r="BD27" s="46"/>
      <c r="BE27" s="207"/>
      <c r="BF27"/>
      <c r="BG27" s="321">
        <f t="shared" ref="BG27:BG37" si="17">BC27-BE27</f>
        <v>1.03463566044243E-3</v>
      </c>
    </row>
    <row r="28" spans="1:70" ht="15.75" x14ac:dyDescent="0.25">
      <c r="B28" s="1224" t="s">
        <v>938</v>
      </c>
      <c r="C28" s="1224" t="s">
        <v>863</v>
      </c>
      <c r="E28" s="1224" t="s">
        <v>201</v>
      </c>
      <c r="F28" s="1224" t="s">
        <v>611</v>
      </c>
      <c r="G28" s="1224" t="s">
        <v>864</v>
      </c>
      <c r="H28" s="2" t="s">
        <v>939</v>
      </c>
      <c r="J28" s="7"/>
      <c r="K28" s="7"/>
      <c r="L28" s="7"/>
      <c r="M28" s="2" t="s">
        <v>940</v>
      </c>
      <c r="N28" s="129">
        <f>SUM(Input_Harvestnew!C109)</f>
        <v>0</v>
      </c>
      <c r="O28" s="129" t="str">
        <f>Input_Harvestnew!G109</f>
        <v>%TAA</v>
      </c>
      <c r="T28" s="2" t="str">
        <f>H36</f>
        <v>CG 2/11/22: wb 10/02 - wb 10/23-7 d/wk</v>
      </c>
      <c r="V28" s="1546"/>
      <c r="W28" s="1546"/>
      <c r="X28" s="1546"/>
      <c r="Y28" s="1570"/>
      <c r="Z28" s="1546"/>
      <c r="AA28" s="1546"/>
      <c r="AB28" s="1546"/>
      <c r="AC28" s="1546"/>
      <c r="AD28" s="1570"/>
      <c r="AE28" s="1546"/>
      <c r="AF28" s="1"/>
      <c r="AG28" s="131"/>
      <c r="AH28" s="1052"/>
      <c r="AI28" s="131"/>
      <c r="AJ28" s="1052"/>
      <c r="AK28" s="131"/>
      <c r="AL28" s="1052"/>
      <c r="AM28" s="131"/>
      <c r="AN28" s="1052"/>
      <c r="AO28" s="131"/>
      <c r="AP28" s="1052"/>
      <c r="AQ28" s="131"/>
      <c r="AR28" s="1052"/>
      <c r="AS28" s="30"/>
      <c r="AT28" s="131"/>
      <c r="AU28" s="1052"/>
      <c r="AX28" s="20"/>
      <c r="AY28" s="1070" t="s">
        <v>941</v>
      </c>
      <c r="AZ28" s="1070"/>
      <c r="BA28" s="180" t="s">
        <v>942</v>
      </c>
      <c r="BB28" s="200">
        <f>'2'!P30</f>
        <v>219</v>
      </c>
      <c r="BC28" s="207">
        <f t="shared" si="16"/>
        <v>1.0789771887471055E-2</v>
      </c>
      <c r="BD28" s="46"/>
      <c r="BE28" s="207"/>
      <c r="BF28"/>
      <c r="BG28" s="321">
        <f t="shared" si="17"/>
        <v>1.0789771887471055E-2</v>
      </c>
      <c r="BH28" s="20"/>
      <c r="BI28" s="20"/>
      <c r="BJ28" s="20"/>
      <c r="BM28" s="2" t="s">
        <v>943</v>
      </c>
      <c r="BN28" s="551">
        <v>0</v>
      </c>
      <c r="BO28" s="551">
        <v>0.1186</v>
      </c>
      <c r="BP28" s="551">
        <v>0</v>
      </c>
      <c r="BQ28" s="1063"/>
    </row>
    <row r="29" spans="1:70" ht="16.5" thickBot="1" x14ac:dyDescent="0.3">
      <c r="A29" s="2" t="s">
        <v>678</v>
      </c>
      <c r="B29" s="1063">
        <f>C29/G29</f>
        <v>0.26787745088063664</v>
      </c>
      <c r="C29" s="20">
        <f>TRunsPRN!D82</f>
        <v>12376.223899088604</v>
      </c>
      <c r="E29" s="20">
        <f>TRunsPRN!D84</f>
        <v>28820.917229241339</v>
      </c>
      <c r="F29" s="20">
        <f>TRunsPRN!D83</f>
        <v>17380.149185278635</v>
      </c>
      <c r="G29" s="20">
        <f>TRunsPRN!D83+TRunsPRN!D84</f>
        <v>46201.06641451997</v>
      </c>
      <c r="H29" s="34">
        <f>G29-C29</f>
        <v>33824.842515431366</v>
      </c>
      <c r="J29" s="20"/>
      <c r="K29" s="20"/>
      <c r="L29" s="20"/>
      <c r="M29" s="2" t="s">
        <v>944</v>
      </c>
      <c r="N29" s="129">
        <f>SUM(Input_Harvestnew!C110)</f>
        <v>0</v>
      </c>
      <c r="O29" s="129" t="str">
        <f>Input_Harvestnew!G110</f>
        <v>%TAA</v>
      </c>
      <c r="T29" s="2" t="str">
        <f>H37</f>
        <v>CG 2/11/22:wb 10/30- wb 11/20 7 d/wk</v>
      </c>
      <c r="X29" s="1063"/>
      <c r="Y29" s="1535"/>
      <c r="Z29" s="1063"/>
      <c r="AA29" s="1063"/>
      <c r="AB29" s="1063"/>
      <c r="AC29" s="1063"/>
      <c r="AD29" s="1535"/>
      <c r="AF29" s="1042" t="s">
        <v>945</v>
      </c>
      <c r="AG29" s="131">
        <f>SUM('2'!P9)</f>
        <v>11350</v>
      </c>
      <c r="AH29" s="1055">
        <f>AG29/AG$6</f>
        <v>0.55938886150813205</v>
      </c>
      <c r="AI29" s="131">
        <f>SUM(TRunsPRN!C114)</f>
        <v>6878</v>
      </c>
      <c r="AJ29" s="1055">
        <f>AI29/AI$6</f>
        <v>0.39305103148751358</v>
      </c>
      <c r="AK29" s="131">
        <f>SUM(TRunsPRN!C113)</f>
        <v>456</v>
      </c>
      <c r="AL29" s="1055">
        <f>AK29/AK$6</f>
        <v>5.1883035612697692E-2</v>
      </c>
      <c r="AM29" s="131">
        <f>SUM(TRunsPRN!C112-TRunsPRN!C113)</f>
        <v>10565</v>
      </c>
      <c r="AN29" s="1055">
        <f>AM29/AM$6</f>
        <v>0.29383134942707756</v>
      </c>
      <c r="AO29" s="131">
        <f>SUM(AI29,AK29,AM29)</f>
        <v>17899</v>
      </c>
      <c r="AP29" s="1055">
        <f>AO29/AO$6</f>
        <v>0.28756185335132706</v>
      </c>
      <c r="AQ29" s="131">
        <f t="shared" si="6"/>
        <v>11350</v>
      </c>
      <c r="AR29" s="1055">
        <f>AQ29/AQ$6</f>
        <v>0.55938886150813205</v>
      </c>
      <c r="AS29" s="572"/>
      <c r="AT29" s="131">
        <f>SUM(AQ29,AO29)</f>
        <v>29249</v>
      </c>
      <c r="AU29" s="1055">
        <f>AT29/AT$6</f>
        <v>0.35438728281677856</v>
      </c>
      <c r="AX29" s="20" t="s">
        <v>946</v>
      </c>
      <c r="AY29" s="20">
        <f>AG29+AI29+AM29</f>
        <v>28793</v>
      </c>
      <c r="AZ29" s="20"/>
      <c r="BA29" s="1326" t="s">
        <v>151</v>
      </c>
      <c r="BB29" s="200">
        <f>'2'!P31</f>
        <v>95</v>
      </c>
      <c r="BC29" s="207">
        <f t="shared" si="16"/>
        <v>4.680494654382421E-3</v>
      </c>
      <c r="BD29" s="46"/>
      <c r="BE29" s="207"/>
      <c r="BF29"/>
      <c r="BG29" s="321">
        <f t="shared" si="17"/>
        <v>4.680494654382421E-3</v>
      </c>
      <c r="BH29" s="20"/>
      <c r="BI29" s="20"/>
      <c r="BJ29" s="20"/>
      <c r="BM29" s="2" t="s">
        <v>947</v>
      </c>
      <c r="BN29" s="551">
        <v>9.0700000000000003E-2</v>
      </c>
      <c r="BO29" s="551">
        <v>3.7000000000000002E-3</v>
      </c>
      <c r="BP29" s="551">
        <v>0</v>
      </c>
    </row>
    <row r="30" spans="1:70" ht="16.5" thickBot="1" x14ac:dyDescent="0.3">
      <c r="A30" s="6" t="s">
        <v>129</v>
      </c>
      <c r="B30" s="6" t="s">
        <v>129</v>
      </c>
      <c r="C30" s="6" t="s">
        <v>129</v>
      </c>
      <c r="D30" s="6" t="s">
        <v>129</v>
      </c>
      <c r="E30" s="6" t="s">
        <v>129</v>
      </c>
      <c r="F30" s="6" t="s">
        <v>129</v>
      </c>
      <c r="G30" s="6" t="s">
        <v>129</v>
      </c>
      <c r="H30" s="6" t="s">
        <v>129</v>
      </c>
      <c r="I30" s="6" t="s">
        <v>129</v>
      </c>
      <c r="J30" s="20"/>
      <c r="K30" s="20"/>
      <c r="L30" s="20"/>
      <c r="M30" s="2" t="s">
        <v>948</v>
      </c>
      <c r="N30" s="7"/>
      <c r="O30" s="7"/>
      <c r="T30" s="2" t="str">
        <f>Input_Harvestnew!H97</f>
        <v>CG 2/11/22: 12C: GN &amp; BS 10/2 - 10/15 5 d/wk</v>
      </c>
      <c r="AF30" s="1040" t="s">
        <v>949</v>
      </c>
      <c r="AG30" s="1571">
        <f>AG6*(1-'2'!P12)</f>
        <v>11159.5</v>
      </c>
      <c r="AH30" s="1056">
        <f>AG30/AG$6</f>
        <v>0.55000000000000004</v>
      </c>
      <c r="AI30" s="1571">
        <v>550</v>
      </c>
      <c r="AJ30" s="1056">
        <f>AI30/AI$6</f>
        <v>3.143036744956855E-2</v>
      </c>
      <c r="AK30" s="1571">
        <f>0.1*(SUM(AK23,AK29))</f>
        <v>525.9</v>
      </c>
      <c r="AL30" s="1056"/>
      <c r="AM30" s="1572">
        <f>(TRunsPRN!C201+TRunsPRN!C202)/TRunsPRN!C202*1300</f>
        <v>1310.9191562470173</v>
      </c>
      <c r="AN30" s="1056"/>
      <c r="AO30" s="1571"/>
      <c r="AP30" s="1056"/>
      <c r="AQ30" s="1571"/>
      <c r="AR30" s="1056"/>
      <c r="AS30" s="1061"/>
      <c r="AT30" s="1571"/>
      <c r="AU30" s="1056"/>
      <c r="BA30" s="1326" t="s">
        <v>286</v>
      </c>
      <c r="BB30" s="200">
        <f>'2'!P32</f>
        <v>19</v>
      </c>
      <c r="BC30" s="207">
        <f t="shared" si="16"/>
        <v>9.3609893087648419E-4</v>
      </c>
      <c r="BD30" s="46"/>
      <c r="BE30" s="207"/>
      <c r="BF30"/>
      <c r="BG30" s="321">
        <f t="shared" si="17"/>
        <v>9.3609893087648419E-4</v>
      </c>
      <c r="BM30" s="2" t="s">
        <v>950</v>
      </c>
      <c r="BN30" s="551">
        <v>2.6100000000000002E-2</v>
      </c>
      <c r="BO30" s="551">
        <v>1.5700000000000002E-2</v>
      </c>
      <c r="BP30" s="551">
        <v>0.5927</v>
      </c>
    </row>
    <row r="31" spans="1:70" ht="15.75" x14ac:dyDescent="0.25">
      <c r="A31" s="1" t="s">
        <v>951</v>
      </c>
      <c r="M31" s="2" t="s">
        <v>952</v>
      </c>
      <c r="N31" s="129">
        <f>SUM(Input_Harvestnew!C112)</f>
        <v>0.64435314687038892</v>
      </c>
      <c r="O31" s="129" t="str">
        <f>Input_Harvestnew!G112</f>
        <v>%TAA</v>
      </c>
      <c r="T31" s="2" t="str">
        <f>H39</f>
        <v>CG 2/11/22: 8/7-10/29 7d/wk</v>
      </c>
      <c r="V31" s="1546"/>
      <c r="W31" s="6"/>
      <c r="X31" s="6"/>
      <c r="Y31" s="6"/>
      <c r="Z31" s="6"/>
      <c r="AA31" s="6"/>
      <c r="AB31" s="6"/>
      <c r="AC31" s="6"/>
      <c r="AD31" s="6"/>
      <c r="AF31" s="505" t="s">
        <v>953</v>
      </c>
      <c r="AH31" s="90"/>
      <c r="AI31" s="90"/>
      <c r="AJ31" s="90"/>
      <c r="AK31" s="90"/>
      <c r="AL31" s="90"/>
      <c r="AM31" s="1573"/>
      <c r="AP31" s="129"/>
      <c r="AX31" s="7" t="s">
        <v>954</v>
      </c>
      <c r="AY31" s="20">
        <f>AX20+AY29</f>
        <v>52340</v>
      </c>
      <c r="AZ31" s="20"/>
      <c r="BA31" s="1326" t="s">
        <v>288</v>
      </c>
      <c r="BB31" s="200">
        <f>'2'!P33</f>
        <v>7</v>
      </c>
      <c r="BC31" s="207">
        <f t="shared" si="16"/>
        <v>3.4487855348080997E-4</v>
      </c>
      <c r="BD31" s="46"/>
      <c r="BE31" s="207"/>
      <c r="BF31"/>
      <c r="BG31" s="321">
        <f t="shared" si="17"/>
        <v>3.4487855348080997E-4</v>
      </c>
      <c r="BM31" s="2" t="s">
        <v>955</v>
      </c>
      <c r="BN31" s="551">
        <v>7.3800000000000004E-2</v>
      </c>
      <c r="BO31" s="551">
        <v>4.1000000000000003E-3</v>
      </c>
      <c r="BP31" s="551">
        <v>0</v>
      </c>
    </row>
    <row r="32" spans="1:70" x14ac:dyDescent="0.2">
      <c r="B32" s="7" t="s">
        <v>882</v>
      </c>
      <c r="C32" s="7" t="s">
        <v>883</v>
      </c>
      <c r="D32" s="7" t="s">
        <v>348</v>
      </c>
      <c r="E32" s="7" t="s">
        <v>882</v>
      </c>
      <c r="F32" s="7" t="s">
        <v>883</v>
      </c>
      <c r="G32" s="7" t="s">
        <v>649</v>
      </c>
      <c r="M32" s="2" t="s">
        <v>956</v>
      </c>
      <c r="N32" s="129">
        <f>SUM(Input_Harvestnew!C113)</f>
        <v>0</v>
      </c>
      <c r="O32" s="129" t="str">
        <f>Input_Harvestnew!G113</f>
        <v>%TAA</v>
      </c>
      <c r="T32" s="2" t="str">
        <f>H39</f>
        <v>CG 2/11/22: 8/7-10/29 7d/wk</v>
      </c>
      <c r="AF32" s="169" t="s">
        <v>957</v>
      </c>
      <c r="AH32" s="90"/>
      <c r="AI32" s="90"/>
      <c r="AJ32" s="90"/>
      <c r="AK32" s="90"/>
      <c r="AL32" s="90"/>
      <c r="AM32" s="90"/>
      <c r="AN32" s="20"/>
      <c r="AO32" s="20"/>
      <c r="AP32" s="20"/>
      <c r="AQ32" s="20"/>
      <c r="AR32" s="20"/>
      <c r="AS32" s="1063"/>
      <c r="AT32" s="100"/>
      <c r="AX32" s="7" t="s">
        <v>958</v>
      </c>
      <c r="AY32" s="129">
        <f>AY20/AY31</f>
        <v>4.0466182651891482E-2</v>
      </c>
      <c r="AZ32" s="129"/>
      <c r="BA32" s="2122" t="s">
        <v>290</v>
      </c>
      <c r="BB32" s="599">
        <f>'2'!P34</f>
        <v>306</v>
      </c>
      <c r="BC32" s="626">
        <f t="shared" si="16"/>
        <v>1.5076119623589693E-2</v>
      </c>
      <c r="BD32" s="202"/>
      <c r="BE32" s="626"/>
      <c r="BF32" s="180"/>
      <c r="BG32" s="1038">
        <f t="shared" si="17"/>
        <v>1.5076119623589693E-2</v>
      </c>
    </row>
    <row r="33" spans="1:72" x14ac:dyDescent="0.2">
      <c r="B33" s="7" t="s">
        <v>348</v>
      </c>
      <c r="C33" s="7" t="s">
        <v>348</v>
      </c>
      <c r="D33" s="7" t="s">
        <v>174</v>
      </c>
      <c r="E33" s="7" t="s">
        <v>649</v>
      </c>
      <c r="F33" s="7" t="s">
        <v>649</v>
      </c>
      <c r="G33" s="7" t="s">
        <v>174</v>
      </c>
      <c r="M33" s="2" t="s">
        <v>959</v>
      </c>
      <c r="T33" s="2">
        <f>Input_Harvestnew!H100</f>
        <v>0</v>
      </c>
      <c r="AF33" s="1068" t="s">
        <v>960</v>
      </c>
      <c r="AH33" s="90"/>
      <c r="AI33" s="90"/>
      <c r="AK33" s="90"/>
      <c r="AL33" s="90"/>
      <c r="AM33" s="90"/>
      <c r="AN33" s="20"/>
      <c r="AO33" s="20"/>
      <c r="AP33" s="1063"/>
      <c r="AQ33" s="1063"/>
      <c r="AR33" s="1063"/>
      <c r="AS33" s="1063"/>
      <c r="AT33" s="1574"/>
      <c r="BA33" s="2122" t="s">
        <v>167</v>
      </c>
      <c r="BB33" s="599">
        <f>'2'!P35</f>
        <v>1840</v>
      </c>
      <c r="BC33" s="626">
        <f t="shared" si="16"/>
        <v>9.0653791200670047E-2</v>
      </c>
      <c r="BD33" s="202"/>
      <c r="BE33" s="626"/>
      <c r="BF33" s="180"/>
      <c r="BG33" s="1038">
        <f t="shared" si="17"/>
        <v>9.0653791200670047E-2</v>
      </c>
      <c r="BN33" s="7" t="s">
        <v>961</v>
      </c>
      <c r="BO33" s="1063" t="e">
        <f>SUM(BN13,BN18,BN19,BN24,BN21)</f>
        <v>#DIV/0!</v>
      </c>
      <c r="BP33" s="1063" t="e">
        <f>SUM(BO13,BO18,BO19,BO24,BO21)</f>
        <v>#DIV/0!</v>
      </c>
      <c r="BQ33" s="1063" t="e">
        <f>SUM(BP13,BP18,BP19,BP24,BP21)</f>
        <v>#DIV/0!</v>
      </c>
    </row>
    <row r="34" spans="1:72" ht="15.75" x14ac:dyDescent="0.25">
      <c r="H34" s="1" t="str">
        <f>Input_Harvestnew!C82</f>
        <v>CG 2/11/22</v>
      </c>
      <c r="M34" s="2" t="s">
        <v>962</v>
      </c>
      <c r="N34" s="1139">
        <f>SUM(Input_Harvestnew!C114)</f>
        <v>0.18703327756287624</v>
      </c>
      <c r="O34" s="783" t="str">
        <f>Input_Harvestnew!G114</f>
        <v>%ETRS</v>
      </c>
      <c r="T34" s="2" t="str">
        <f>H39</f>
        <v>CG 2/11/22: 8/7-10/29 7d/wk</v>
      </c>
      <c r="V34" s="1546"/>
      <c r="AF34" s="1068" t="s">
        <v>963</v>
      </c>
      <c r="BA34" s="2122" t="s">
        <v>161</v>
      </c>
      <c r="BB34" s="599">
        <f>'2'!P36</f>
        <v>837</v>
      </c>
      <c r="BC34" s="626">
        <f t="shared" si="16"/>
        <v>4.1237621323348281E-2</v>
      </c>
      <c r="BD34" s="202"/>
      <c r="BE34" s="626"/>
      <c r="BF34" s="180"/>
      <c r="BG34" s="1038">
        <f t="shared" si="17"/>
        <v>4.1237621323348281E-2</v>
      </c>
      <c r="BL34" s="7" t="s">
        <v>964</v>
      </c>
      <c r="BM34" s="1063" t="e">
        <f>SUM(BN11,BN14,BN16)</f>
        <v>#DIV/0!</v>
      </c>
      <c r="BN34" s="1063" t="e">
        <f>SUM(BO11,BO14,BO16)</f>
        <v>#DIV/0!</v>
      </c>
      <c r="BO34" s="1063" t="e">
        <f>SUM(BP11,BP14,BP16)</f>
        <v>#DIV/0!</v>
      </c>
    </row>
    <row r="35" spans="1:72" x14ac:dyDescent="0.2">
      <c r="A35" s="2" t="s">
        <v>936</v>
      </c>
      <c r="B35" s="20" t="e">
        <f>N27/(SUM($N$27:$N$29))*Table2PRN!$G$1642</f>
        <v>#DIV/0!</v>
      </c>
      <c r="C35" s="1050" t="s">
        <v>297</v>
      </c>
      <c r="E35" s="20" t="e">
        <f>N27/SUM($N$27:$N$29)*FishSumAllPRN!$G$1008</f>
        <v>#DIV/0!</v>
      </c>
      <c r="F35" s="1050" t="s">
        <v>297</v>
      </c>
      <c r="H35" s="505">
        <f>Input_Harvestnew!H107</f>
        <v>0</v>
      </c>
      <c r="I35" s="5"/>
      <c r="M35" s="2" t="s">
        <v>965</v>
      </c>
      <c r="T35" s="2">
        <f>Input_Harvestnew!H102</f>
        <v>0</v>
      </c>
      <c r="AG35" s="20"/>
      <c r="AH35" s="20"/>
      <c r="AI35" s="20"/>
      <c r="AJ35" s="20"/>
      <c r="BA35" s="1326" t="s">
        <v>163</v>
      </c>
      <c r="BB35" s="200">
        <f>'2'!P37</f>
        <v>53</v>
      </c>
      <c r="BC35" s="207">
        <f t="shared" si="16"/>
        <v>2.6112233334975614E-3</v>
      </c>
      <c r="BD35" s="46"/>
      <c r="BE35" s="207"/>
      <c r="BF35"/>
      <c r="BG35" s="321">
        <f t="shared" si="17"/>
        <v>2.6112233334975614E-3</v>
      </c>
      <c r="BL35" s="7" t="s">
        <v>966</v>
      </c>
      <c r="BM35" s="1063">
        <f>SUM(BN12,BN15,BN17,BN20,BN22,BN30)</f>
        <v>0.67510000000000003</v>
      </c>
      <c r="BN35" s="1063">
        <f>SUM(BO12,BO15,BO17,BO20,BO22,BO30)</f>
        <v>0.87329999999999997</v>
      </c>
      <c r="BO35" s="1063">
        <f>SUM(BP12,BP15,BP17,BP20,BP22,BP30)</f>
        <v>0.5927</v>
      </c>
    </row>
    <row r="36" spans="1:72" x14ac:dyDescent="0.2">
      <c r="A36" s="2" t="s">
        <v>940</v>
      </c>
      <c r="B36" s="20" t="e">
        <f>N28/(SUM($N$27:$N$29))*Table2PRN!$G$1642</f>
        <v>#DIV/0!</v>
      </c>
      <c r="C36" s="1050" t="s">
        <v>297</v>
      </c>
      <c r="E36" s="20" t="e">
        <f>N28/SUM($N$27:$N$29)*FishSumAllPRN!$G$1008</f>
        <v>#DIV/0!</v>
      </c>
      <c r="F36" s="1050" t="s">
        <v>297</v>
      </c>
      <c r="H36" s="505" t="str">
        <f>Input_Harvestnew!H109</f>
        <v>CG 2/11/22: wb 10/02 - wb 10/23-7 d/wk</v>
      </c>
      <c r="I36" s="5"/>
      <c r="M36" s="2" t="s">
        <v>967</v>
      </c>
      <c r="N36" s="7">
        <f>Input_Harvestnew!C115</f>
        <v>0</v>
      </c>
      <c r="O36" s="7" t="str">
        <f>Input_Harvestnew!G115</f>
        <v>Catch</v>
      </c>
      <c r="T36" s="2">
        <f>Input_Harvestnew!H103</f>
        <v>0</v>
      </c>
      <c r="AG36" s="20"/>
      <c r="AH36" s="20"/>
      <c r="AI36" s="20"/>
      <c r="AJ36" s="20"/>
      <c r="AL36" s="7" t="s">
        <v>968</v>
      </c>
      <c r="AM36" s="1575">
        <f>(TRunsPRN!C201+TRunsPRN!C202)/(AO40)*1300</f>
        <v>1311.7477290830632</v>
      </c>
      <c r="BA36" s="1326" t="s">
        <v>165</v>
      </c>
      <c r="BB36" s="200">
        <f>'2'!P38</f>
        <v>1</v>
      </c>
      <c r="BC36" s="207">
        <f t="shared" si="16"/>
        <v>4.9268364782972854E-5</v>
      </c>
      <c r="BD36" s="46"/>
      <c r="BE36" s="207"/>
      <c r="BF36"/>
      <c r="BG36" s="321">
        <f t="shared" si="17"/>
        <v>4.9268364782972854E-5</v>
      </c>
      <c r="BK36" s="6" t="s">
        <v>129</v>
      </c>
      <c r="BL36" s="6" t="s">
        <v>129</v>
      </c>
      <c r="BM36" s="6" t="s">
        <v>129</v>
      </c>
      <c r="BN36" s="6" t="s">
        <v>129</v>
      </c>
    </row>
    <row r="37" spans="1:72" ht="15.75" x14ac:dyDescent="0.25">
      <c r="A37" s="2" t="s">
        <v>944</v>
      </c>
      <c r="B37" s="20" t="e">
        <f>N29/(SUM($N$27:$N$29))*Table2PRN!$G$1642</f>
        <v>#DIV/0!</v>
      </c>
      <c r="C37" s="1050" t="s">
        <v>297</v>
      </c>
      <c r="E37" s="20" t="e">
        <f>N29/SUM($N$27:$N$29)*FishSumAllPRN!$G$1008</f>
        <v>#DIV/0!</v>
      </c>
      <c r="F37" s="1050" t="s">
        <v>297</v>
      </c>
      <c r="H37" s="505" t="str">
        <f>Input_Harvestnew!H110</f>
        <v>CG 2/11/22:wb 10/30- wb 11/20 7 d/wk</v>
      </c>
      <c r="I37" s="5"/>
      <c r="T37" s="2" t="s">
        <v>191</v>
      </c>
      <c r="AH37" s="168" t="s">
        <v>969</v>
      </c>
      <c r="AK37" s="20"/>
      <c r="AL37" s="20"/>
      <c r="AM37" s="20"/>
      <c r="AN37" s="2" t="s">
        <v>970</v>
      </c>
      <c r="AO37" s="2467" t="s">
        <v>971</v>
      </c>
      <c r="AP37" s="2468"/>
      <c r="AQ37" s="2468"/>
      <c r="BA37" t="str">
        <f>'2'!O39</f>
        <v>Freshwater Sport</v>
      </c>
      <c r="BB37" s="200">
        <f>'2'!P39</f>
        <v>0</v>
      </c>
      <c r="BC37" s="207">
        <f t="shared" si="16"/>
        <v>0</v>
      </c>
      <c r="BD37" s="46"/>
      <c r="BE37" s="207"/>
      <c r="BF37"/>
      <c r="BG37" s="321">
        <f t="shared" si="17"/>
        <v>0</v>
      </c>
      <c r="BK37" s="2" t="s">
        <v>786</v>
      </c>
      <c r="BL37" s="1063" t="e">
        <f>SUM(BN11:BN24,BN26)</f>
        <v>#DIV/0!</v>
      </c>
      <c r="BM37" s="1063" t="e">
        <f>SUM(BO11:BO24,BO26)</f>
        <v>#DIV/0!</v>
      </c>
      <c r="BN37" s="1063" t="e">
        <f>SUM(BP11:BP24,BP26)</f>
        <v>#DIV/0!</v>
      </c>
    </row>
    <row r="38" spans="1:72" ht="15.75" x14ac:dyDescent="0.25">
      <c r="A38" s="2" t="s">
        <v>972</v>
      </c>
      <c r="B38" s="7" t="s">
        <v>297</v>
      </c>
      <c r="C38" s="20">
        <f>Table2PRN!G1647</f>
        <v>0</v>
      </c>
      <c r="E38" s="7" t="s">
        <v>297</v>
      </c>
      <c r="F38" s="2">
        <f>FishSumAllPRN!G1013</f>
        <v>0</v>
      </c>
      <c r="H38" s="715" t="str">
        <f>Input_Harvestnew!H143</f>
        <v>Closed</v>
      </c>
      <c r="I38" s="5"/>
      <c r="M38" s="2" t="s">
        <v>687</v>
      </c>
      <c r="T38" s="2" t="s">
        <v>191</v>
      </c>
      <c r="AF38" s="505"/>
      <c r="AH38" s="1082" t="s">
        <v>973</v>
      </c>
      <c r="AK38" s="20"/>
      <c r="AL38" s="20"/>
      <c r="AM38" s="20" t="s">
        <v>974</v>
      </c>
      <c r="AN38" s="2" t="s">
        <v>975</v>
      </c>
      <c r="AO38" s="1495" t="s">
        <v>976</v>
      </c>
      <c r="AQ38" s="1072"/>
      <c r="BA38" t="str">
        <f>'2'!O40</f>
        <v>Pre-terminal net:</v>
      </c>
      <c r="BB38" s="200" t="str">
        <f>'2'!P40</f>
        <v>-</v>
      </c>
      <c r="BC38" s="207"/>
      <c r="BD38" s="46"/>
      <c r="BE38" s="207"/>
      <c r="BF38"/>
      <c r="BG38"/>
      <c r="BK38" s="6" t="s">
        <v>125</v>
      </c>
      <c r="BL38" s="6" t="s">
        <v>125</v>
      </c>
      <c r="BM38" s="6" t="s">
        <v>125</v>
      </c>
      <c r="BN38" s="6" t="s">
        <v>125</v>
      </c>
      <c r="BO38" s="6" t="s">
        <v>125</v>
      </c>
      <c r="BP38" s="6" t="s">
        <v>125</v>
      </c>
      <c r="BQ38" s="6" t="s">
        <v>125</v>
      </c>
      <c r="BR38" s="6" t="s">
        <v>125</v>
      </c>
      <c r="BS38" s="6" t="s">
        <v>125</v>
      </c>
      <c r="BT38" s="6" t="s">
        <v>125</v>
      </c>
    </row>
    <row r="39" spans="1:72" ht="15.75" x14ac:dyDescent="0.25">
      <c r="A39" s="2" t="s">
        <v>977</v>
      </c>
      <c r="B39" s="20">
        <f>N31/(SUM($N$32,$N$31))*Table2PRN!G1637</f>
        <v>763</v>
      </c>
      <c r="C39" s="20">
        <f>N52/(SUM($N$52,$N$53))*Table2PRN!G1636</f>
        <v>90</v>
      </c>
      <c r="E39" s="20">
        <f>N31/SUM($N$31:$N$32)*FishSumAllPRN!G1003</f>
        <v>6164</v>
      </c>
      <c r="F39" s="20">
        <f>N52/(SUM($N$52,$N$53))*Table2PRN!G1637</f>
        <v>763</v>
      </c>
      <c r="H39" s="505" t="str">
        <f>Input_Harvestnew!H112</f>
        <v>CG 2/11/22: 8/7-10/29 7d/wk</v>
      </c>
      <c r="I39" s="505" t="str">
        <f>Input_Harvestnew!H144</f>
        <v>KA 2/28/22: 9A 33-44 7d/wk</v>
      </c>
      <c r="M39" s="7" t="s">
        <v>650</v>
      </c>
      <c r="N39" s="2" t="str">
        <f>Input_Harvestnew!C118</f>
        <v>KA 04/12/22</v>
      </c>
      <c r="T39" s="2" t="s">
        <v>191</v>
      </c>
      <c r="AF39" s="505"/>
      <c r="AH39" s="1083" t="s">
        <v>978</v>
      </c>
      <c r="AI39" s="221"/>
      <c r="AL39" s="7" t="s">
        <v>979</v>
      </c>
      <c r="AM39" s="30">
        <f>TRunsPRN!D201</f>
        <v>212.32489131913445</v>
      </c>
      <c r="AN39" s="2">
        <f>TRunsPRN!$C201</f>
        <v>88</v>
      </c>
      <c r="AO39" s="30">
        <f>(AM39/(AM39+AM40))*AN$41</f>
        <v>94.617856018185691</v>
      </c>
      <c r="AQ39" s="90"/>
      <c r="BA39" t="str">
        <f>'2'!O41</f>
        <v>6/7/7A NTrty</v>
      </c>
      <c r="BB39" s="200">
        <f>'2'!P41</f>
        <v>12</v>
      </c>
      <c r="BC39" s="207">
        <f t="shared" ref="BC39:BC44" si="18">BB39/(BB$7+BB$61)</f>
        <v>5.9122037739567422E-4</v>
      </c>
      <c r="BD39" s="46"/>
      <c r="BE39" s="207"/>
      <c r="BF39"/>
      <c r="BG39" s="321">
        <f t="shared" ref="BG39:BG44" si="19">BC39-BE39</f>
        <v>5.9122037739567422E-4</v>
      </c>
    </row>
    <row r="40" spans="1:72" x14ac:dyDescent="0.2">
      <c r="A40" s="2" t="s">
        <v>980</v>
      </c>
      <c r="B40" s="20">
        <f>N32/(SUM($N$32,$N$31))*Table2PRN!G1637</f>
        <v>0</v>
      </c>
      <c r="C40" s="20">
        <f>N53/(SUM($N$52,$N$53))*Table2PRN!G1636</f>
        <v>0</v>
      </c>
      <c r="E40" s="20">
        <f>N32/SUM($N$31:$N$32)*FishSumAllPRN!G1003</f>
        <v>0</v>
      </c>
      <c r="F40" s="20">
        <f>N53/(SUM($N$52,$N$53))*Table2PRN!G1637</f>
        <v>0</v>
      </c>
      <c r="H40" s="505"/>
      <c r="I40" s="5"/>
      <c r="M40" s="2" t="s">
        <v>909</v>
      </c>
      <c r="T40" s="2" t="s">
        <v>191</v>
      </c>
      <c r="AF40" s="505"/>
      <c r="AG40" s="7"/>
      <c r="AK40" s="20"/>
      <c r="AL40" s="7" t="s">
        <v>981</v>
      </c>
      <c r="AM40" s="1080">
        <f>TRunsPRN!D202</f>
        <v>23495.805594701458</v>
      </c>
      <c r="AN40" s="1495">
        <f>TRunsPRN!$C202</f>
        <v>10477</v>
      </c>
      <c r="AO40" s="1080">
        <f>AM40/(AM39+AM40)*AN$41</f>
        <v>10470.382143981815</v>
      </c>
      <c r="AP40" s="1495"/>
      <c r="AQ40" s="1081"/>
      <c r="AT40" s="7" t="s">
        <v>602</v>
      </c>
      <c r="AU40" s="7">
        <f>'1'!$F$2</f>
        <v>0</v>
      </c>
      <c r="BA40" t="str">
        <f>'2'!O42</f>
        <v>6/7/7A Trty</v>
      </c>
      <c r="BB40" s="200">
        <f>'2'!P42</f>
        <v>13</v>
      </c>
      <c r="BC40" s="207">
        <f t="shared" si="18"/>
        <v>6.4048874217864714E-4</v>
      </c>
      <c r="BD40" s="46"/>
      <c r="BE40" s="207"/>
      <c r="BF40"/>
      <c r="BG40" s="321">
        <f t="shared" si="19"/>
        <v>6.4048874217864714E-4</v>
      </c>
    </row>
    <row r="41" spans="1:72" x14ac:dyDescent="0.2">
      <c r="A41" s="2" t="s">
        <v>982</v>
      </c>
      <c r="B41" s="1050" t="s">
        <v>297</v>
      </c>
      <c r="C41" s="20">
        <f>Input_Harvestnew!C146</f>
        <v>0</v>
      </c>
      <c r="E41" s="7" t="s">
        <v>297</v>
      </c>
      <c r="F41" s="20">
        <f>Input_Harvestnew!C146</f>
        <v>0</v>
      </c>
      <c r="H41" s="1065" t="s">
        <v>983</v>
      </c>
      <c r="I41" s="5"/>
      <c r="M41" s="2" t="s">
        <v>896</v>
      </c>
      <c r="N41" s="129">
        <f>SUM(Input_Harvestnew!C121)</f>
        <v>0</v>
      </c>
      <c r="O41" s="129" t="str">
        <f>Input_Harvestnew!G121</f>
        <v>%TAA</v>
      </c>
      <c r="P41" s="1063" t="e">
        <f>Input_Harvestnew!#REF!</f>
        <v>#REF!</v>
      </c>
      <c r="Q41" s="1063" t="e">
        <f>Input_Harvestnew!#REF!</f>
        <v>#REF!</v>
      </c>
      <c r="R41" s="1063" t="e">
        <f>Input_Harvestnew!#REF!</f>
        <v>#REF!</v>
      </c>
      <c r="S41" s="1063" t="e">
        <f>Input_Harvestnew!#REF!</f>
        <v>#REF!</v>
      </c>
      <c r="T41" s="2" t="str">
        <f>Input_Harvestnew!H120</f>
        <v>KA 04/04/2022: Wk 42-47: PS 1-1-1-2-1-1; GN 1-2-2-2-2-1; Coho retention for all gears.</v>
      </c>
      <c r="AF41" s="505"/>
      <c r="AG41" s="7"/>
      <c r="AL41" s="2" t="s">
        <v>984</v>
      </c>
      <c r="AM41" s="2">
        <f>SUM(AM39:AM40)</f>
        <v>23708.130486020593</v>
      </c>
      <c r="AN41" s="2">
        <f>SUM(AN39:AN40)</f>
        <v>10565</v>
      </c>
      <c r="AO41" s="2">
        <f>SUM(AO39:AO40)</f>
        <v>10565</v>
      </c>
      <c r="BA41" t="str">
        <f>'2'!O43</f>
        <v>4B/5/6C NTrty</v>
      </c>
      <c r="BB41" s="200">
        <f>'2'!P43</f>
        <v>0</v>
      </c>
      <c r="BC41" s="207">
        <f t="shared" si="18"/>
        <v>0</v>
      </c>
      <c r="BD41" s="46"/>
      <c r="BE41" s="207"/>
      <c r="BF41"/>
      <c r="BG41" s="321">
        <f t="shared" si="19"/>
        <v>0</v>
      </c>
    </row>
    <row r="42" spans="1:72" x14ac:dyDescent="0.2">
      <c r="A42" s="22" t="s">
        <v>985</v>
      </c>
      <c r="B42" s="7" t="s">
        <v>297</v>
      </c>
      <c r="C42" s="20">
        <f>Table2PRN!G1644</f>
        <v>0</v>
      </c>
      <c r="E42" s="7" t="s">
        <v>297</v>
      </c>
      <c r="F42" s="2">
        <f>FishSumAllPRN!G1010</f>
        <v>0</v>
      </c>
      <c r="H42" s="505" t="str">
        <f>Input_Harvestnew!H147</f>
        <v>Closed</v>
      </c>
      <c r="I42" s="5"/>
      <c r="M42" s="2" t="s">
        <v>900</v>
      </c>
      <c r="N42" s="129">
        <f>SUM(Input_Harvestnew!C122)</f>
        <v>0</v>
      </c>
      <c r="O42" s="129" t="str">
        <f>Input_Harvestnew!G122</f>
        <v>%TAA</v>
      </c>
      <c r="P42" s="1063" t="e">
        <f>Input_Harvestnew!#REF!</f>
        <v>#REF!</v>
      </c>
      <c r="Q42" s="1063" t="e">
        <f>Input_Harvestnew!#REF!</f>
        <v>#REF!</v>
      </c>
      <c r="R42" s="1063" t="e">
        <f>Input_Harvestnew!#REF!</f>
        <v>#REF!</v>
      </c>
      <c r="S42" s="1063" t="e">
        <f>Input_Harvestnew!#REF!</f>
        <v>#REF!</v>
      </c>
      <c r="T42" s="2" t="str">
        <f>Input_Harvestnew!H122</f>
        <v>NO FISHERY</v>
      </c>
      <c r="AF42" s="505"/>
      <c r="AG42" s="7"/>
      <c r="BA42" t="str">
        <f>'2'!O44</f>
        <v>4B/5/6C Trty</v>
      </c>
      <c r="BB42" s="200">
        <f>'2'!P44</f>
        <v>126</v>
      </c>
      <c r="BC42" s="207">
        <f t="shared" si="18"/>
        <v>6.2078139626545797E-3</v>
      </c>
      <c r="BD42" s="46"/>
      <c r="BE42" s="207"/>
      <c r="BF42"/>
      <c r="BG42" s="321">
        <f t="shared" si="19"/>
        <v>6.2078139626545797E-3</v>
      </c>
    </row>
    <row r="43" spans="1:72" x14ac:dyDescent="0.2">
      <c r="A43" s="22" t="s">
        <v>986</v>
      </c>
      <c r="B43" s="7" t="s">
        <v>297</v>
      </c>
      <c r="C43" s="20">
        <f>Table2PRN!G1646</f>
        <v>0</v>
      </c>
      <c r="E43" s="7" t="s">
        <v>297</v>
      </c>
      <c r="F43" s="2">
        <f>FishSumAllPRN!G1012</f>
        <v>0</v>
      </c>
      <c r="H43" s="505" t="str">
        <f>Input_Harvestnew!H148</f>
        <v>MD/MEB 03/16/22:  Dewatto, Union and Tahuya closed.</v>
      </c>
      <c r="I43" s="5"/>
      <c r="M43" s="2" t="s">
        <v>905</v>
      </c>
      <c r="N43" s="129">
        <f>SUM(Input_Harvestnew!C123)</f>
        <v>0</v>
      </c>
      <c r="O43" s="129" t="str">
        <f>Input_Harvestnew!G123</f>
        <v>%TAA</v>
      </c>
      <c r="AF43" s="505"/>
      <c r="AO43" s="2107"/>
      <c r="AP43" s="2108"/>
      <c r="AQ43" s="2108"/>
      <c r="BA43" t="str">
        <f>'2'!O45</f>
        <v>6B/9 NTrty</v>
      </c>
      <c r="BB43" s="200" t="str">
        <f>'2'!P45</f>
        <v>--</v>
      </c>
      <c r="BC43" s="207">
        <f t="shared" si="18"/>
        <v>0</v>
      </c>
      <c r="BD43" s="46"/>
      <c r="BE43" s="207"/>
      <c r="BF43"/>
      <c r="BG43" s="321">
        <f t="shared" si="19"/>
        <v>0</v>
      </c>
    </row>
    <row r="44" spans="1:72" x14ac:dyDescent="0.2">
      <c r="A44" s="2" t="s">
        <v>962</v>
      </c>
      <c r="B44" s="20">
        <f>Table2PRN!G1639</f>
        <v>0</v>
      </c>
      <c r="C44" s="20">
        <f>Table2PRN!G1638</f>
        <v>0</v>
      </c>
      <c r="E44" s="20">
        <f>FishSumAllPRN!G1005</f>
        <v>3993</v>
      </c>
      <c r="F44" s="20">
        <f>FishSumAllPRN!G1004</f>
        <v>1284</v>
      </c>
      <c r="H44" s="505" t="str">
        <f>Input_Harvestnew!H114</f>
        <v>CG 2/11/22:  8/21-10/08 BS 5d/wk, GN Closed Until Escapement reaches 1,500 then (1) GN day/wk; when escapement reaches 2,500 GN (2)day/wk; when escapement reaches 3,500 GN will be determined.</v>
      </c>
      <c r="I44" s="505" t="str">
        <f>Input_Harvestnew!H149</f>
        <v xml:space="preserve">KA 2/28/22 12A Wks 34-40 BS 3-5-5-5-5-5-5. </v>
      </c>
      <c r="M44" s="7" t="str">
        <f>Input_Harvestnew!B124</f>
        <v xml:space="preserve">Week 42 </v>
      </c>
      <c r="N44" s="129">
        <f>SUM(Input_Harvestnew!C124)</f>
        <v>0</v>
      </c>
      <c r="O44" s="129" t="str">
        <f>Input_Harvestnew!G124</f>
        <v>%TAA</v>
      </c>
      <c r="P44" s="1063" t="e">
        <f>Input_Harvestnew!#REF!</f>
        <v>#REF!</v>
      </c>
      <c r="Q44" s="1063" t="e">
        <f>Input_Harvestnew!#REF!</f>
        <v>#REF!</v>
      </c>
      <c r="R44" s="1063" t="e">
        <f>Input_Harvestnew!#REF!</f>
        <v>#REF!</v>
      </c>
      <c r="S44" s="1063" t="e">
        <f>Input_Harvestnew!#REF!</f>
        <v>#REF!</v>
      </c>
      <c r="T44" s="2">
        <f>Input_Harvestnew!H124</f>
        <v>0</v>
      </c>
      <c r="AF44" s="505"/>
      <c r="AG44" s="7"/>
      <c r="AO44" s="2446"/>
      <c r="AP44" s="2447"/>
      <c r="AQ44" s="2447"/>
      <c r="BA44" t="str">
        <f>'2'!O46</f>
        <v>6B/9 Trty</v>
      </c>
      <c r="BB44" s="200" t="str">
        <f>'2'!P46</f>
        <v>--</v>
      </c>
      <c r="BC44" s="207">
        <f t="shared" si="18"/>
        <v>0</v>
      </c>
      <c r="BD44" s="46"/>
      <c r="BE44" s="207"/>
      <c r="BF44"/>
      <c r="BG44" s="321">
        <f t="shared" si="19"/>
        <v>0</v>
      </c>
    </row>
    <row r="45" spans="1:72" x14ac:dyDescent="0.2">
      <c r="A45" s="2" t="s">
        <v>987</v>
      </c>
      <c r="B45" s="1050" t="s">
        <v>297</v>
      </c>
      <c r="C45" s="20">
        <f>Input_Harvestnew!C150</f>
        <v>0</v>
      </c>
      <c r="E45" s="1050" t="s">
        <v>297</v>
      </c>
      <c r="F45" s="20">
        <f>Input_Harvestnew!C150</f>
        <v>0</v>
      </c>
      <c r="H45" s="1065" t="s">
        <v>983</v>
      </c>
      <c r="I45" s="5"/>
      <c r="M45" s="7" t="str">
        <f>Input_Harvestnew!B125</f>
        <v>Week 43</v>
      </c>
      <c r="N45" s="129">
        <f>SUM(Input_Harvestnew!C125)</f>
        <v>0</v>
      </c>
      <c r="O45" s="129" t="str">
        <f>Input_Harvestnew!G125</f>
        <v>%TAA</v>
      </c>
      <c r="T45" s="2">
        <f>Input_Harvestnew!H125</f>
        <v>0</v>
      </c>
      <c r="AF45" s="505"/>
      <c r="AJ45"/>
      <c r="AL45"/>
      <c r="AN45"/>
      <c r="AO45"/>
      <c r="AP45"/>
      <c r="AQ45"/>
      <c r="AS45"/>
      <c r="BA45" t="str">
        <f>'2'!O47</f>
        <v>Terminal net:</v>
      </c>
      <c r="BB45" s="46"/>
      <c r="BC45" s="207"/>
      <c r="BD45" s="46"/>
      <c r="BE45" s="207"/>
      <c r="BF45"/>
      <c r="BG45"/>
    </row>
    <row r="46" spans="1:72" x14ac:dyDescent="0.2">
      <c r="A46" s="2" t="s">
        <v>988</v>
      </c>
      <c r="B46" s="1050">
        <f>Table2PRN!G1643</f>
        <v>0</v>
      </c>
      <c r="C46" s="20">
        <f>Table2PRN!G1645</f>
        <v>0</v>
      </c>
      <c r="E46" s="7">
        <f>FishSumAllPRN!G1009</f>
        <v>1224</v>
      </c>
      <c r="F46" s="2">
        <f>FishSumAllPRN!G1011</f>
        <v>2036</v>
      </c>
      <c r="H46" s="505" t="s">
        <v>989</v>
      </c>
      <c r="I46" s="5"/>
      <c r="M46" s="7" t="str">
        <f>Input_Harvestnew!B126</f>
        <v>Week 44</v>
      </c>
      <c r="N46" s="129">
        <f>SUM(Input_Harvestnew!C126)</f>
        <v>0</v>
      </c>
      <c r="O46" s="129" t="str">
        <f>Input_Harvestnew!G126</f>
        <v>%TAA</v>
      </c>
      <c r="P46" s="1063" t="e">
        <f>Input_Harvestnew!#REF!</f>
        <v>#REF!</v>
      </c>
      <c r="Q46" s="1063" t="e">
        <f>Input_Harvestnew!#REF!</f>
        <v>#REF!</v>
      </c>
      <c r="R46" s="1063" t="e">
        <f>Input_Harvestnew!#REF!</f>
        <v>#REF!</v>
      </c>
      <c r="S46" s="1063" t="e">
        <f>Input_Harvestnew!#REF!</f>
        <v>#REF!</v>
      </c>
      <c r="T46" s="2">
        <f>Input_Harvestnew!H126</f>
        <v>0</v>
      </c>
      <c r="AF46" s="505"/>
      <c r="AU46" s="1224"/>
      <c r="BA46" t="str">
        <f>'2'!O48</f>
        <v>Skagit Bay (8) NTrty</v>
      </c>
      <c r="BB46" s="200">
        <f>'2'!P48</f>
        <v>0</v>
      </c>
      <c r="BC46" s="207">
        <f t="shared" ref="BC46:BC55" si="20">BB46/(BB$7+BB$61)</f>
        <v>0</v>
      </c>
      <c r="BD46" s="46"/>
      <c r="BE46" s="207"/>
      <c r="BF46"/>
      <c r="BG46" s="321">
        <f t="shared" ref="BG46:BG55" si="21">BC46-BE46</f>
        <v>0</v>
      </c>
    </row>
    <row r="47" spans="1:72" x14ac:dyDescent="0.2">
      <c r="M47" s="7" t="str">
        <f>Input_Harvestnew!B127</f>
        <v>Week 45</v>
      </c>
      <c r="N47" s="129">
        <f>SUM(Input_Harvestnew!C127)</f>
        <v>0</v>
      </c>
      <c r="O47" s="129" t="str">
        <f>Input_Harvestnew!G127</f>
        <v>%TAA</v>
      </c>
      <c r="T47" s="2">
        <f>Input_Harvestnew!H127</f>
        <v>0</v>
      </c>
      <c r="AI47" s="1072"/>
      <c r="AJ47" s="1495"/>
      <c r="AK47" s="1495"/>
      <c r="AL47" s="1495"/>
      <c r="AM47" s="1079"/>
      <c r="AN47" s="1495"/>
      <c r="AO47" s="1495"/>
      <c r="AS47" s="1495"/>
      <c r="AT47" s="1495"/>
      <c r="AU47" s="1495"/>
      <c r="BA47" t="str">
        <f>'2'!O49</f>
        <v>Skagit Bay (8) Trty</v>
      </c>
      <c r="BB47" s="200">
        <f>'2'!P49</f>
        <v>0</v>
      </c>
      <c r="BC47" s="207">
        <f t="shared" si="20"/>
        <v>0</v>
      </c>
      <c r="BD47" s="46"/>
      <c r="BE47" s="207"/>
      <c r="BF47"/>
      <c r="BG47" s="321">
        <f t="shared" si="21"/>
        <v>0</v>
      </c>
    </row>
    <row r="48" spans="1:72" x14ac:dyDescent="0.2">
      <c r="A48" s="2" t="s">
        <v>990</v>
      </c>
      <c r="B48" s="20" t="e">
        <f>SUM(B35:B46)</f>
        <v>#DIV/0!</v>
      </c>
      <c r="C48" s="20">
        <f>SUM(C35:C46)</f>
        <v>90</v>
      </c>
      <c r="D48" s="20" t="e">
        <f>SUM(B35:C46)</f>
        <v>#DIV/0!</v>
      </c>
      <c r="E48" s="20">
        <f>SUM(FishSumAllPRN!G1008,FishSumAllPRN!G1009,FishSumAllPRN!G1003,FishSumAllPRN!G1005)</f>
        <v>12875</v>
      </c>
      <c r="F48" s="20">
        <f>SUM(FishSumAllPRN!G1002,FishSumAllPRN!G1004,FishSumAllPRN!G1010,FishSumAllPRN!G1011,FishSumAllPRN!G1012,FishSumAllPRN!G1013)</f>
        <v>4654</v>
      </c>
      <c r="G48" s="20" t="e">
        <f>SUM(E35:F46)</f>
        <v>#DIV/0!</v>
      </c>
      <c r="M48" s="7" t="str">
        <f>Input_Harvestnew!B128</f>
        <v>Week 46</v>
      </c>
      <c r="N48" s="129">
        <f>SUM(Input_Harvestnew!C128)</f>
        <v>0</v>
      </c>
      <c r="O48" s="129" t="str">
        <f>Input_Harvestnew!G128</f>
        <v>%TAA</v>
      </c>
      <c r="T48" s="2">
        <f>Input_Harvestnew!H128</f>
        <v>0</v>
      </c>
      <c r="AG48" s="7"/>
      <c r="AJ48"/>
      <c r="AK48"/>
      <c r="AL48"/>
      <c r="AN48"/>
      <c r="AO48"/>
      <c r="AS48"/>
      <c r="AT48" s="1073"/>
      <c r="AU48" s="7"/>
      <c r="BA48" t="str">
        <f>'2'!O50</f>
        <v>Area 8A Ntrty</v>
      </c>
      <c r="BB48" s="200">
        <f>'2'!P50</f>
        <v>0</v>
      </c>
      <c r="BC48" s="207">
        <f t="shared" si="20"/>
        <v>0</v>
      </c>
      <c r="BD48" s="46"/>
      <c r="BE48" s="207"/>
      <c r="BF48"/>
      <c r="BG48" s="321">
        <f t="shared" si="21"/>
        <v>0</v>
      </c>
    </row>
    <row r="49" spans="1:59" x14ac:dyDescent="0.2">
      <c r="A49" s="6" t="s">
        <v>125</v>
      </c>
      <c r="B49" s="6" t="s">
        <v>125</v>
      </c>
      <c r="C49" s="6" t="s">
        <v>125</v>
      </c>
      <c r="D49" s="6" t="s">
        <v>125</v>
      </c>
      <c r="E49" s="6" t="s">
        <v>125</v>
      </c>
      <c r="F49" s="6" t="s">
        <v>125</v>
      </c>
      <c r="G49" s="6" t="s">
        <v>125</v>
      </c>
      <c r="H49" s="6" t="s">
        <v>125</v>
      </c>
      <c r="I49" s="6" t="s">
        <v>125</v>
      </c>
      <c r="M49" s="7"/>
      <c r="N49" s="129">
        <f>SUM(Input_Harvestnew!C129)</f>
        <v>0</v>
      </c>
      <c r="O49" s="129" t="str">
        <f>Input_Harvestnew!G129</f>
        <v>%TAA</v>
      </c>
      <c r="AG49" s="7"/>
      <c r="AI49" s="7"/>
      <c r="AJ49" s="174"/>
      <c r="AK49" s="30"/>
      <c r="AL49" s="30"/>
      <c r="AN49" s="30"/>
      <c r="AO49" s="30"/>
      <c r="AP49" s="30"/>
      <c r="AQ49" s="30"/>
      <c r="AS49" s="174"/>
      <c r="AT49" s="1074"/>
      <c r="AU49" s="30"/>
      <c r="BA49" t="str">
        <f>'2'!O51</f>
        <v>Area 8A Trty</v>
      </c>
      <c r="BB49" s="200">
        <f>'2'!P51</f>
        <v>19</v>
      </c>
      <c r="BC49" s="207">
        <f t="shared" si="20"/>
        <v>9.3609893087648419E-4</v>
      </c>
      <c r="BD49" s="46"/>
      <c r="BE49" s="207"/>
      <c r="BF49"/>
      <c r="BG49" s="1038">
        <f t="shared" si="21"/>
        <v>9.3609893087648419E-4</v>
      </c>
    </row>
    <row r="50" spans="1:59" ht="15.75" x14ac:dyDescent="0.25">
      <c r="A50" s="1" t="s">
        <v>991</v>
      </c>
      <c r="M50" s="2" t="s">
        <v>933</v>
      </c>
      <c r="T50" s="2" t="s">
        <v>191</v>
      </c>
      <c r="AH50" s="764"/>
      <c r="AI50" s="7"/>
      <c r="AJ50" s="174"/>
      <c r="AK50" s="30"/>
      <c r="AL50" s="30"/>
      <c r="AN50" s="30"/>
      <c r="AO50" s="30"/>
      <c r="AP50" s="30"/>
      <c r="AQ50" s="30"/>
      <c r="AR50" s="606"/>
      <c r="AS50" s="174"/>
      <c r="AT50" s="1074"/>
      <c r="AU50" s="30"/>
      <c r="BA50" t="str">
        <f>'2'!O52</f>
        <v>Hood Canal NTrty</v>
      </c>
      <c r="BB50" s="200">
        <f>'2'!P52</f>
        <v>565</v>
      </c>
      <c r="BC50" s="207">
        <f t="shared" si="20"/>
        <v>2.7836626102379664E-2</v>
      </c>
      <c r="BD50" s="46"/>
      <c r="BE50" s="207"/>
      <c r="BF50"/>
      <c r="BG50" s="1038">
        <f t="shared" si="21"/>
        <v>2.7836626102379664E-2</v>
      </c>
    </row>
    <row r="51" spans="1:59" x14ac:dyDescent="0.2">
      <c r="M51" s="2" t="s">
        <v>992</v>
      </c>
      <c r="N51" s="2">
        <f>SUM(Input_Harvestnew!C143)</f>
        <v>0</v>
      </c>
      <c r="O51" s="2" t="str">
        <f>Input_Harvestnew!G143</f>
        <v>Catch</v>
      </c>
      <c r="T51" s="20" t="str">
        <f>Input_Harvestnew!H143</f>
        <v>Closed</v>
      </c>
      <c r="AG51" s="7"/>
      <c r="AI51" s="7"/>
      <c r="AJ51" s="174"/>
      <c r="AK51" s="30"/>
      <c r="AL51" s="30"/>
      <c r="AN51" s="30"/>
      <c r="AO51" s="30"/>
      <c r="AP51" s="30"/>
      <c r="AQ51" s="30"/>
      <c r="AS51" s="174"/>
      <c r="AT51" s="1074"/>
      <c r="AU51" s="30"/>
      <c r="BA51" t="str">
        <f>'2'!O53</f>
        <v>Hood Canal Trty</v>
      </c>
      <c r="BB51" s="200">
        <f>'2'!P53</f>
        <v>2120</v>
      </c>
      <c r="BC51" s="207">
        <f t="shared" si="20"/>
        <v>0.10444893333990245</v>
      </c>
      <c r="BD51" s="46"/>
      <c r="BE51" s="207"/>
      <c r="BF51"/>
      <c r="BG51" s="1038">
        <f t="shared" si="21"/>
        <v>0.10444893333990245</v>
      </c>
    </row>
    <row r="52" spans="1:59" ht="15.75" x14ac:dyDescent="0.25">
      <c r="A52" s="2" t="s">
        <v>993</v>
      </c>
      <c r="D52" s="20">
        <f>Input_Stockdata!C121</f>
        <v>10750</v>
      </c>
      <c r="M52" s="2" t="s">
        <v>994</v>
      </c>
      <c r="N52" s="2">
        <f>SUM(Input_Harvestnew!C144)</f>
        <v>0.16518136250537296</v>
      </c>
      <c r="O52" s="2" t="str">
        <f>Input_Harvestnew!G144</f>
        <v>%TAA</v>
      </c>
      <c r="T52" s="20" t="str">
        <f>Input_Harvestnew!H144</f>
        <v>KA 2/28/22: 9A 33-44 7d/wk</v>
      </c>
      <c r="AH52" s="764"/>
      <c r="AK52" s="343"/>
      <c r="AL52" s="343"/>
      <c r="AN52" s="30"/>
      <c r="AO52" s="30"/>
      <c r="AP52" s="30"/>
      <c r="AQ52" s="30"/>
      <c r="AS52" s="90"/>
      <c r="AT52" s="214"/>
      <c r="AU52" s="90"/>
      <c r="BA52" t="str">
        <f>'2'!O54</f>
        <v>South Pgt Snd NTrty</v>
      </c>
      <c r="BB52" s="200">
        <f>'2'!P54</f>
        <v>13</v>
      </c>
      <c r="BC52" s="207">
        <f t="shared" si="20"/>
        <v>6.4048874217864714E-4</v>
      </c>
      <c r="BD52" s="46"/>
      <c r="BE52" s="207"/>
      <c r="BF52"/>
      <c r="BG52" s="1038">
        <f t="shared" si="21"/>
        <v>6.4048874217864714E-4</v>
      </c>
    </row>
    <row r="53" spans="1:59" ht="15.75" x14ac:dyDescent="0.25">
      <c r="A53" s="2" t="s">
        <v>995</v>
      </c>
      <c r="C53" s="7" t="s">
        <v>996</v>
      </c>
      <c r="D53" s="20">
        <f>'2'!P9</f>
        <v>11350</v>
      </c>
      <c r="F53" s="1050" t="s">
        <v>997</v>
      </c>
      <c r="G53" s="20"/>
      <c r="M53" s="2" t="s">
        <v>998</v>
      </c>
      <c r="N53" s="2">
        <f>SUM(Input_Harvestnew!C145)</f>
        <v>0</v>
      </c>
      <c r="O53" s="2">
        <f>Input_Harvestnew!G145</f>
        <v>0</v>
      </c>
      <c r="T53" s="2" t="s">
        <v>191</v>
      </c>
      <c r="AG53" s="7"/>
      <c r="AH53" s="1224"/>
      <c r="AI53" s="1075"/>
      <c r="AJ53" s="1076"/>
      <c r="AK53" s="1078"/>
      <c r="AL53" s="1077"/>
      <c r="AM53" s="1077"/>
      <c r="AN53" s="1077"/>
      <c r="AO53" s="1077"/>
      <c r="AP53" s="1077"/>
      <c r="AQ53" s="1077"/>
      <c r="AR53" s="1077"/>
      <c r="AS53" s="1076"/>
      <c r="BA53" t="str">
        <f>'2'!O55</f>
        <v>South Pgt Snd Trty</v>
      </c>
      <c r="BB53" s="200">
        <f>'2'!P55</f>
        <v>249</v>
      </c>
      <c r="BC53" s="207">
        <f t="shared" si="20"/>
        <v>1.2267822830960241E-2</v>
      </c>
      <c r="BD53" s="46"/>
      <c r="BE53" s="207"/>
      <c r="BF53"/>
      <c r="BG53" s="1038">
        <f t="shared" si="21"/>
        <v>1.2267822830960241E-2</v>
      </c>
    </row>
    <row r="54" spans="1:59" ht="15.75" x14ac:dyDescent="0.25">
      <c r="A54" s="6" t="s">
        <v>125</v>
      </c>
      <c r="B54" s="6" t="s">
        <v>125</v>
      </c>
      <c r="C54" s="6" t="s">
        <v>125</v>
      </c>
      <c r="D54" s="6" t="s">
        <v>125</v>
      </c>
      <c r="E54" s="6" t="s">
        <v>125</v>
      </c>
      <c r="F54" s="6" t="s">
        <v>125</v>
      </c>
      <c r="G54" s="6" t="s">
        <v>125</v>
      </c>
      <c r="H54" s="6" t="s">
        <v>125</v>
      </c>
      <c r="I54" s="6" t="s">
        <v>125</v>
      </c>
      <c r="M54" s="2" t="s">
        <v>999</v>
      </c>
      <c r="N54" s="2">
        <f>SUM(Input_Harvestnew!C146)</f>
        <v>0</v>
      </c>
      <c r="O54" s="2" t="str">
        <f>Input_Harvestnew!G146</f>
        <v>%TAA</v>
      </c>
      <c r="T54" s="2" t="str">
        <f>Input_Harvestnew!H146</f>
        <v>general opening</v>
      </c>
      <c r="AH54" s="764"/>
      <c r="AI54" s="1075"/>
      <c r="AJ54" s="1076"/>
      <c r="AK54" s="1078"/>
      <c r="AL54" s="1077"/>
      <c r="AM54" s="1077"/>
      <c r="AN54" s="1077"/>
      <c r="AO54" s="1077"/>
      <c r="AP54" s="1077"/>
      <c r="AQ54" s="1077"/>
      <c r="AR54" s="1077"/>
      <c r="AS54" s="1076"/>
      <c r="BA54" t="str">
        <f>'2'!O56</f>
        <v>B'ham Bay(7B) Ntrty</v>
      </c>
      <c r="BB54" s="200">
        <f>'2'!P56</f>
        <v>0</v>
      </c>
      <c r="BC54" s="207">
        <f t="shared" si="20"/>
        <v>0</v>
      </c>
      <c r="BD54" s="46"/>
      <c r="BE54" s="207"/>
      <c r="BF54"/>
      <c r="BG54" s="1038">
        <f t="shared" si="21"/>
        <v>0</v>
      </c>
    </row>
    <row r="55" spans="1:59" ht="15.75" x14ac:dyDescent="0.25">
      <c r="M55" s="22" t="s">
        <v>985</v>
      </c>
      <c r="N55" s="2">
        <f>SUM(Input_Harvestnew!C147)</f>
        <v>0</v>
      </c>
      <c r="O55" s="2" t="str">
        <f>Input_Harvestnew!G147</f>
        <v>Catch</v>
      </c>
      <c r="T55" s="2" t="str">
        <f>Input_Harvestnew!H147</f>
        <v>Closed</v>
      </c>
      <c r="AL55" s="1071"/>
      <c r="BA55" t="str">
        <f>'2'!O57</f>
        <v>B'ham Bay(7B) Trty</v>
      </c>
      <c r="BB55" s="200">
        <f>'2'!P57</f>
        <v>3</v>
      </c>
      <c r="BC55" s="207">
        <f t="shared" si="20"/>
        <v>1.4780509434891856E-4</v>
      </c>
      <c r="BD55" s="46"/>
      <c r="BE55" s="207"/>
      <c r="BF55"/>
      <c r="BG55" s="1038">
        <f t="shared" si="21"/>
        <v>1.4780509434891856E-4</v>
      </c>
    </row>
    <row r="56" spans="1:59" x14ac:dyDescent="0.2">
      <c r="M56" s="22" t="s">
        <v>986</v>
      </c>
      <c r="N56" s="2">
        <f>SUM(Input_Harvestnew!C148)</f>
        <v>0</v>
      </c>
      <c r="O56" s="2" t="str">
        <f>Input_Harvestnew!G148</f>
        <v>Catch</v>
      </c>
      <c r="T56" s="2" t="str">
        <f>Input_Harvestnew!H148</f>
        <v>MD/MEB 03/16/22:  Dewatto, Union and Tahuya closed.</v>
      </c>
      <c r="AI56" s="7"/>
      <c r="BA56" t="str">
        <f>'2'!O58</f>
        <v>Local Extreme Terminal Net:</v>
      </c>
      <c r="BB56" s="200" t="str">
        <f>'2'!P58</f>
        <v>-</v>
      </c>
      <c r="BC56" s="207"/>
      <c r="BD56" s="46"/>
      <c r="BE56" s="207"/>
      <c r="BF56"/>
      <c r="BG56" s="180"/>
    </row>
    <row r="57" spans="1:59" ht="15.75" x14ac:dyDescent="0.25">
      <c r="M57" s="2" t="s">
        <v>962</v>
      </c>
      <c r="N57" s="2">
        <f>SUM(Input_Harvestnew!C149)</f>
        <v>6.6594901830239708E-2</v>
      </c>
      <c r="O57" s="2" t="str">
        <f>Input_Harvestnew!G149</f>
        <v>%ETRS</v>
      </c>
      <c r="T57" s="2" t="str">
        <f>Input_Harvestnew!H149</f>
        <v xml:space="preserve">KA 2/28/22 12A Wks 34-40 BS 3-5-5-5-5-5-5. </v>
      </c>
      <c r="AI57" s="11"/>
      <c r="BA57" t="str">
        <f>'2'!O59</f>
        <v>Nontreaty</v>
      </c>
      <c r="BB57" s="200">
        <f>'2'!P59</f>
        <v>90</v>
      </c>
      <c r="BC57" s="207">
        <f>BB57/(BB$7+BB$61)</f>
        <v>4.4341528304675569E-3</v>
      </c>
      <c r="BD57" s="46"/>
      <c r="BE57" s="207"/>
      <c r="BF57"/>
      <c r="BG57" s="1038">
        <f>BC57-BE57</f>
        <v>4.4341528304675569E-3</v>
      </c>
    </row>
    <row r="58" spans="1:59" x14ac:dyDescent="0.2">
      <c r="A58" s="6" t="s">
        <v>125</v>
      </c>
      <c r="B58" s="6" t="s">
        <v>125</v>
      </c>
      <c r="C58" s="6" t="s">
        <v>125</v>
      </c>
      <c r="D58" s="6" t="s">
        <v>125</v>
      </c>
      <c r="E58" s="6" t="s">
        <v>125</v>
      </c>
      <c r="F58" s="6" t="s">
        <v>125</v>
      </c>
      <c r="G58" s="6" t="s">
        <v>125</v>
      </c>
      <c r="H58" s="6" t="s">
        <v>125</v>
      </c>
      <c r="I58" s="6" t="s">
        <v>125</v>
      </c>
      <c r="M58" s="2" t="s">
        <v>987</v>
      </c>
      <c r="N58" s="2">
        <f>SUM(Input_Harvestnew!C150)</f>
        <v>0</v>
      </c>
      <c r="O58" s="2">
        <f>Input_Harvestnew!G150</f>
        <v>0</v>
      </c>
      <c r="T58" s="2" t="str">
        <f>Input_Harvestnew!H151</f>
        <v>MD 03/14/22:  ETRS 5 yr avg (2016-2020), Def #40</v>
      </c>
      <c r="AI58" s="22"/>
      <c r="BA58" t="str">
        <f>'2'!O60</f>
        <v>Treaty</v>
      </c>
      <c r="BB58" s="200">
        <f>'2'!P60</f>
        <v>936</v>
      </c>
      <c r="BC58" s="207">
        <f>BB58/(BB$7+BB$61)</f>
        <v>4.6115189436862589E-2</v>
      </c>
      <c r="BD58" s="46"/>
      <c r="BE58" s="207"/>
      <c r="BF58"/>
      <c r="BG58" s="1038">
        <f>BC58-BE58</f>
        <v>4.6115189436862589E-2</v>
      </c>
    </row>
    <row r="59" spans="1:59" x14ac:dyDescent="0.2">
      <c r="M59" s="22" t="s">
        <v>1000</v>
      </c>
      <c r="N59" s="2">
        <f>SUM(Input_Harvestnew!C151)</f>
        <v>0</v>
      </c>
      <c r="O59" s="2" t="str">
        <f>Input_Harvestnew!G151</f>
        <v>%ETRS</v>
      </c>
      <c r="T59" s="2" t="str">
        <f>Input_Harvestnew!H151</f>
        <v>MD 03/14/22:  ETRS 5 yr avg (2016-2020), Def #40</v>
      </c>
      <c r="AI59" s="22"/>
      <c r="BA59" t="str">
        <f>'2'!O61</f>
        <v>Test</v>
      </c>
      <c r="BB59" s="46"/>
      <c r="BC59" s="207"/>
      <c r="BD59" s="46"/>
      <c r="BE59" s="207"/>
      <c r="BF59"/>
      <c r="BG59" s="180"/>
    </row>
    <row r="60" spans="1:59" x14ac:dyDescent="0.2">
      <c r="M60" s="6" t="s">
        <v>1001</v>
      </c>
      <c r="N60" s="6" t="s">
        <v>1001</v>
      </c>
      <c r="O60" s="6" t="s">
        <v>1001</v>
      </c>
      <c r="P60" s="6" t="s">
        <v>1001</v>
      </c>
      <c r="Q60" s="6" t="s">
        <v>1001</v>
      </c>
      <c r="R60" s="6" t="s">
        <v>1001</v>
      </c>
      <c r="S60" s="6" t="s">
        <v>1001</v>
      </c>
      <c r="T60" s="6" t="s">
        <v>1001</v>
      </c>
      <c r="U60" s="6" t="s">
        <v>1001</v>
      </c>
      <c r="AI60" s="22"/>
      <c r="BA60"/>
      <c r="BB60" s="46"/>
      <c r="BC60" s="207"/>
      <c r="BD60" s="46"/>
      <c r="BE60" s="207"/>
      <c r="BF60"/>
      <c r="BG60"/>
    </row>
    <row r="61" spans="1:59" x14ac:dyDescent="0.2">
      <c r="AI61" s="22"/>
      <c r="BA61" t="str">
        <f>'2'!O63</f>
        <v>Total</v>
      </c>
      <c r="BB61" s="46">
        <f>SUM(BB13:BB59)</f>
        <v>8947</v>
      </c>
      <c r="BC61" s="207">
        <f>BB61/(BB$7+BB$61)</f>
        <v>0.44080405971325809</v>
      </c>
      <c r="BD61" s="46"/>
      <c r="BE61" s="207"/>
      <c r="BF61"/>
      <c r="BG61" s="321">
        <f>BC61-BE61</f>
        <v>0.44080405971325809</v>
      </c>
    </row>
    <row r="62" spans="1:59" x14ac:dyDescent="0.2">
      <c r="AI62" s="22"/>
      <c r="BA62"/>
      <c r="BB62" s="46">
        <f>'2'!P63</f>
        <v>8947</v>
      </c>
      <c r="BC62" s="47"/>
      <c r="BD62" s="46"/>
      <c r="BE62" s="47"/>
      <c r="BF62"/>
      <c r="BG62"/>
    </row>
    <row r="63" spans="1:59" x14ac:dyDescent="0.2">
      <c r="AI63" s="22"/>
    </row>
    <row r="64" spans="1:59" x14ac:dyDescent="0.2">
      <c r="AI64" s="22"/>
    </row>
    <row r="65" spans="35:35" x14ac:dyDescent="0.2">
      <c r="AI65" s="22"/>
    </row>
    <row r="66" spans="35:35" x14ac:dyDescent="0.2">
      <c r="AI66" s="22"/>
    </row>
    <row r="67" spans="35:35" x14ac:dyDescent="0.2">
      <c r="AI67" s="22"/>
    </row>
    <row r="149" spans="7:13" x14ac:dyDescent="0.2">
      <c r="G149" s="2">
        <f>SPS!D50*C153</f>
        <v>0</v>
      </c>
    </row>
    <row r="150" spans="7:13" x14ac:dyDescent="0.2">
      <c r="G150" s="2">
        <f>SPS!D50*C154</f>
        <v>0</v>
      </c>
    </row>
    <row r="151" spans="7:13" x14ac:dyDescent="0.2">
      <c r="G151" s="2" t="e">
        <f>SPS!C47/G149</f>
        <v>#DIV/0!</v>
      </c>
    </row>
    <row r="152" spans="7:13" x14ac:dyDescent="0.2">
      <c r="G152" s="2" t="e">
        <f>SPS!C47/G150</f>
        <v>#DIV/0!</v>
      </c>
    </row>
    <row r="154" spans="7:13" x14ac:dyDescent="0.2">
      <c r="M154" s="2">
        <f>IF(SPS!BB39="&gt;&gt;&gt;recalc",0,SPS!BB39)</f>
        <v>0</v>
      </c>
    </row>
    <row r="155" spans="7:13" x14ac:dyDescent="0.2">
      <c r="M155" s="20">
        <f>SPS!BB41</f>
        <v>42871.093106447603</v>
      </c>
    </row>
    <row r="156" spans="7:13" x14ac:dyDescent="0.2">
      <c r="M156" s="2">
        <f>SPS!C47</f>
        <v>0</v>
      </c>
    </row>
    <row r="161" spans="14:14" x14ac:dyDescent="0.2">
      <c r="N161" s="2">
        <f>SUM(SPS!Z36:AC36)*(C155/(1-C155))</f>
        <v>0</v>
      </c>
    </row>
  </sheetData>
  <mergeCells count="20">
    <mergeCell ref="AQ5:AR5"/>
    <mergeCell ref="AM6:AN6"/>
    <mergeCell ref="AG5:AH5"/>
    <mergeCell ref="AO37:AQ37"/>
    <mergeCell ref="AO44:AQ44"/>
    <mergeCell ref="AT6:AU6"/>
    <mergeCell ref="AT4:AU5"/>
    <mergeCell ref="AG4:AJ4"/>
    <mergeCell ref="AK5:AL5"/>
    <mergeCell ref="AI5:AJ5"/>
    <mergeCell ref="AK4:AL4"/>
    <mergeCell ref="AG6:AH6"/>
    <mergeCell ref="AI6:AJ6"/>
    <mergeCell ref="AK6:AL6"/>
    <mergeCell ref="AM4:AN4"/>
    <mergeCell ref="AO4:AR4"/>
    <mergeCell ref="AO6:AP6"/>
    <mergeCell ref="AQ6:AR6"/>
    <mergeCell ref="AO5:AP5"/>
    <mergeCell ref="AM5:AN5"/>
  </mergeCells>
  <phoneticPr fontId="16" type="noConversion"/>
  <pageMargins left="0.5" right="0.66700000000000004" top="1.02" bottom="0.66700000000000004" header="0.5" footer="0.5"/>
  <pageSetup scale="37" orientation="landscape" r:id="rId1"/>
  <headerFooter scaleWithDoc="0" alignWithMargins="0">
    <oddFooter>&amp;F</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ransitionEvaluation="1" transitionEntry="1" codeName="Sheet11"/>
  <dimension ref="A1:BJ161"/>
  <sheetViews>
    <sheetView topLeftCell="AJ35" zoomScaleNormal="100" workbookViewId="0">
      <selection activeCell="J9274" sqref="J9274"/>
    </sheetView>
  </sheetViews>
  <sheetFormatPr defaultColWidth="12.5703125" defaultRowHeight="15" x14ac:dyDescent="0.2"/>
  <cols>
    <col min="1" max="1" width="33.140625" style="2" customWidth="1"/>
    <col min="2" max="2" width="15.140625" style="2" customWidth="1"/>
    <col min="3" max="3" width="15.5703125" style="2" customWidth="1"/>
    <col min="4" max="4" width="14.5703125" style="2" customWidth="1"/>
    <col min="5" max="5" width="12.5703125" style="2"/>
    <col min="6" max="6" width="14.140625" style="2" customWidth="1"/>
    <col min="7" max="11" width="12.5703125" style="2"/>
    <col min="12" max="12" width="33.140625" style="2" hidden="1" customWidth="1"/>
    <col min="13" max="13" width="16.140625" style="2" hidden="1" customWidth="1"/>
    <col min="14" max="23" width="0" style="2" hidden="1" customWidth="1"/>
    <col min="24" max="24" width="33.140625" style="2" hidden="1" customWidth="1"/>
    <col min="25" max="25" width="16.85546875" style="2" hidden="1" customWidth="1"/>
    <col min="26" max="32" width="0" style="2" hidden="1" customWidth="1"/>
    <col min="33" max="33" width="31" style="2" customWidth="1"/>
    <col min="34" max="34" width="14" style="2" hidden="1" customWidth="1"/>
    <col min="35" max="35" width="0" style="2" hidden="1" customWidth="1"/>
    <col min="36" max="36" width="15.140625" style="2" customWidth="1"/>
    <col min="37" max="37" width="10.85546875" style="2" customWidth="1"/>
    <col min="38" max="38" width="13.85546875" style="2" hidden="1" customWidth="1"/>
    <col min="39" max="39" width="12.5703125" style="2" customWidth="1"/>
    <col min="40" max="40" width="14.85546875" style="2" customWidth="1"/>
    <col min="41" max="42" width="12.5703125" style="2" customWidth="1"/>
    <col min="43" max="44" width="14.5703125" style="2" customWidth="1"/>
    <col min="45" max="45" width="14.28515625" style="2" customWidth="1"/>
    <col min="46" max="46" width="13" style="2" customWidth="1"/>
    <col min="47" max="48" width="15.140625" style="2" hidden="1" customWidth="1"/>
    <col min="49" max="49" width="11.5703125" style="2" customWidth="1"/>
    <col min="50" max="50" width="12.5703125" style="2"/>
    <col min="51" max="51" width="15.140625" style="2" customWidth="1"/>
    <col min="52" max="52" width="0" style="2" hidden="1" customWidth="1"/>
    <col min="53" max="53" width="33.140625" style="2" hidden="1" customWidth="1"/>
    <col min="54" max="54" width="16.140625" style="2" hidden="1" customWidth="1"/>
    <col min="55" max="55" width="22" style="2" hidden="1" customWidth="1"/>
    <col min="56" max="56" width="13.5703125" style="2" hidden="1" customWidth="1"/>
    <col min="57" max="57" width="14.5703125" style="2" hidden="1" customWidth="1"/>
    <col min="58" max="59" width="0" style="2" hidden="1" customWidth="1"/>
    <col min="60" max="60" width="17.5703125" style="2" hidden="1" customWidth="1"/>
    <col min="61" max="62" width="0" style="2" hidden="1" customWidth="1"/>
    <col min="63" max="16384" width="12.5703125" style="2"/>
  </cols>
  <sheetData>
    <row r="1" spans="1:62" ht="15.75" x14ac:dyDescent="0.25">
      <c r="A1" s="1" t="s">
        <v>1002</v>
      </c>
      <c r="I1" s="6" t="s">
        <v>125</v>
      </c>
      <c r="J1" s="6" t="s">
        <v>125</v>
      </c>
      <c r="L1" s="1" t="s">
        <v>1003</v>
      </c>
      <c r="T1" s="6" t="s">
        <v>1004</v>
      </c>
      <c r="U1" s="6" t="s">
        <v>125</v>
      </c>
      <c r="V1" s="6" t="s">
        <v>125</v>
      </c>
      <c r="X1" s="1" t="s">
        <v>1005</v>
      </c>
      <c r="AB1" s="6" t="s">
        <v>125</v>
      </c>
      <c r="AC1" s="6" t="s">
        <v>125</v>
      </c>
      <c r="AD1" s="6" t="s">
        <v>125</v>
      </c>
      <c r="AE1" s="6" t="s">
        <v>125</v>
      </c>
      <c r="AG1" s="1" t="s">
        <v>1006</v>
      </c>
      <c r="AV1" s="6" t="s">
        <v>125</v>
      </c>
      <c r="AW1" s="6"/>
      <c r="AX1" s="6"/>
      <c r="AY1" s="6"/>
      <c r="BA1" s="1" t="s">
        <v>1007</v>
      </c>
      <c r="BI1" s="6" t="s">
        <v>125</v>
      </c>
      <c r="BJ1" s="6" t="s">
        <v>125</v>
      </c>
    </row>
    <row r="2" spans="1:62" x14ac:dyDescent="0.2">
      <c r="A2" s="2" t="s">
        <v>1008</v>
      </c>
      <c r="L2" s="2" t="s">
        <v>1009</v>
      </c>
      <c r="V2" s="545">
        <f>'1'!$L$2</f>
        <v>44663.592256944445</v>
      </c>
      <c r="X2" s="2" t="s">
        <v>1010</v>
      </c>
      <c r="AE2" s="545">
        <f>'1'!$L$2</f>
        <v>44663.592256944445</v>
      </c>
      <c r="AG2" s="2" t="s">
        <v>1011</v>
      </c>
      <c r="AX2" s="545">
        <f>'1'!$L$2</f>
        <v>44663.592256944445</v>
      </c>
      <c r="BA2" s="2" t="s">
        <v>1012</v>
      </c>
      <c r="BG2" s="2" t="s">
        <v>604</v>
      </c>
      <c r="BJ2" s="545">
        <f>'1'!$L$2</f>
        <v>44663.592256944445</v>
      </c>
    </row>
    <row r="3" spans="1:62" x14ac:dyDescent="0.2">
      <c r="A3" s="2" t="s">
        <v>602</v>
      </c>
      <c r="B3" s="157" t="str">
        <f>Input_Harvestnew!$B$3</f>
        <v>bc-Coho2229</v>
      </c>
      <c r="G3" s="7"/>
      <c r="J3" s="545">
        <f>'1'!$L$2</f>
        <v>44663.592256944445</v>
      </c>
      <c r="L3" s="2" t="s">
        <v>602</v>
      </c>
      <c r="M3" s="157" t="str">
        <f>Input_Harvestnew!$B$3</f>
        <v>bc-Coho2229</v>
      </c>
      <c r="V3" s="546">
        <f>'1'!$L$3</f>
        <v>44663.592256944445</v>
      </c>
      <c r="X3" s="2" t="s">
        <v>602</v>
      </c>
      <c r="Y3" s="157" t="str">
        <f>Input_Harvestnew!$B$3</f>
        <v>bc-Coho2229</v>
      </c>
      <c r="AE3" s="546">
        <f>'1'!$L$3</f>
        <v>44663.592256944445</v>
      </c>
      <c r="AG3" s="2" t="s">
        <v>602</v>
      </c>
      <c r="AJ3" s="157" t="str">
        <f>Input_Harvestnew!$B$3</f>
        <v>bc-Coho2229</v>
      </c>
      <c r="AX3" s="546">
        <f>'1'!$L$3</f>
        <v>44663.592256944445</v>
      </c>
      <c r="BA3" s="2" t="s">
        <v>602</v>
      </c>
      <c r="BG3" s="2" t="s">
        <v>607</v>
      </c>
      <c r="BJ3" s="546">
        <f>'1'!$L$3</f>
        <v>44663.592256944445</v>
      </c>
    </row>
    <row r="4" spans="1:62" x14ac:dyDescent="0.2">
      <c r="A4" s="2" t="s">
        <v>123</v>
      </c>
      <c r="B4" s="2" t="str">
        <f>Input_Harvestnew!$B$4</f>
        <v>Final PFMC April - Adopted+NOF</v>
      </c>
      <c r="J4" s="546">
        <f>'1'!$L$3</f>
        <v>44663.592256944445</v>
      </c>
      <c r="L4" s="2" t="s">
        <v>123</v>
      </c>
      <c r="M4" s="2" t="str">
        <f>Input_Harvestnew!$B$4</f>
        <v>Final PFMC April - Adopted+NOF</v>
      </c>
      <c r="X4" s="2" t="s">
        <v>123</v>
      </c>
      <c r="Y4" s="2" t="str">
        <f>Input_Harvestnew!$B$4</f>
        <v>Final PFMC April - Adopted+NOF</v>
      </c>
      <c r="AG4" s="2" t="s">
        <v>123</v>
      </c>
      <c r="AJ4" s="2" t="str">
        <f>Input_Harvestnew!$B$4</f>
        <v>Final PFMC April - Adopted+NOF</v>
      </c>
      <c r="BA4" s="2" t="s">
        <v>123</v>
      </c>
      <c r="BB4" s="2" t="str">
        <f>Input_Harvestnew!$B$4</f>
        <v>Final PFMC April - Adopted+NOF</v>
      </c>
    </row>
    <row r="5" spans="1:62" ht="15.75" x14ac:dyDescent="0.25">
      <c r="A5" s="6" t="s">
        <v>125</v>
      </c>
      <c r="B5" s="6" t="s">
        <v>125</v>
      </c>
      <c r="C5" s="6" t="s">
        <v>125</v>
      </c>
      <c r="D5" s="6" t="s">
        <v>125</v>
      </c>
      <c r="E5" s="6" t="s">
        <v>125</v>
      </c>
      <c r="F5" s="6" t="s">
        <v>125</v>
      </c>
      <c r="G5" s="6" t="s">
        <v>125</v>
      </c>
      <c r="H5" s="6" t="s">
        <v>125</v>
      </c>
      <c r="I5" s="6" t="s">
        <v>125</v>
      </c>
      <c r="J5" s="6" t="s">
        <v>125</v>
      </c>
      <c r="L5" s="168" t="s">
        <v>1013</v>
      </c>
      <c r="M5" s="6" t="s">
        <v>125</v>
      </c>
      <c r="N5" s="6" t="s">
        <v>125</v>
      </c>
      <c r="O5" s="6" t="s">
        <v>125</v>
      </c>
      <c r="P5" s="6" t="s">
        <v>125</v>
      </c>
      <c r="Q5" s="6" t="s">
        <v>125</v>
      </c>
      <c r="R5" s="6" t="s">
        <v>125</v>
      </c>
      <c r="S5" s="6" t="s">
        <v>125</v>
      </c>
      <c r="T5" s="6" t="s">
        <v>125</v>
      </c>
      <c r="U5" s="6" t="s">
        <v>125</v>
      </c>
      <c r="V5" s="6" t="s">
        <v>125</v>
      </c>
      <c r="X5" s="168" t="s">
        <v>1013</v>
      </c>
      <c r="Y5" s="6" t="s">
        <v>125</v>
      </c>
      <c r="Z5" s="6" t="s">
        <v>125</v>
      </c>
      <c r="AA5" s="6" t="s">
        <v>125</v>
      </c>
      <c r="AB5" s="6" t="s">
        <v>125</v>
      </c>
      <c r="AC5" s="6" t="s">
        <v>125</v>
      </c>
      <c r="AD5" s="6" t="s">
        <v>125</v>
      </c>
      <c r="AE5" s="6" t="s">
        <v>125</v>
      </c>
      <c r="AG5" s="6" t="s">
        <v>125</v>
      </c>
      <c r="AH5" s="6" t="s">
        <v>125</v>
      </c>
      <c r="AI5" s="6" t="s">
        <v>125</v>
      </c>
      <c r="AJ5" s="6" t="s">
        <v>125</v>
      </c>
      <c r="AK5" s="6" t="s">
        <v>125</v>
      </c>
      <c r="AL5" s="6" t="s">
        <v>125</v>
      </c>
      <c r="AM5" s="6" t="s">
        <v>125</v>
      </c>
      <c r="AN5" s="6" t="s">
        <v>125</v>
      </c>
      <c r="AO5" s="6" t="s">
        <v>125</v>
      </c>
      <c r="AP5" s="6" t="s">
        <v>125</v>
      </c>
      <c r="AQ5" s="6" t="s">
        <v>125</v>
      </c>
      <c r="AR5" s="6" t="s">
        <v>125</v>
      </c>
      <c r="AS5" s="6" t="s">
        <v>125</v>
      </c>
      <c r="AT5" s="6" t="s">
        <v>125</v>
      </c>
      <c r="AU5" s="6" t="s">
        <v>125</v>
      </c>
      <c r="AV5" s="6" t="s">
        <v>125</v>
      </c>
      <c r="AW5" s="6" t="s">
        <v>125</v>
      </c>
      <c r="AX5" s="6" t="s">
        <v>125</v>
      </c>
      <c r="AY5" s="6" t="s">
        <v>125</v>
      </c>
      <c r="BA5" s="6" t="s">
        <v>125</v>
      </c>
      <c r="BB5" s="6" t="s">
        <v>125</v>
      </c>
      <c r="BC5" s="6" t="s">
        <v>125</v>
      </c>
      <c r="BD5" s="6" t="s">
        <v>125</v>
      </c>
      <c r="BE5" s="6" t="s">
        <v>125</v>
      </c>
      <c r="BF5" s="6" t="s">
        <v>125</v>
      </c>
      <c r="BG5" s="6" t="s">
        <v>125</v>
      </c>
      <c r="BH5" s="6" t="s">
        <v>125</v>
      </c>
      <c r="BI5" s="6" t="s">
        <v>125</v>
      </c>
      <c r="BJ5" s="6" t="s">
        <v>125</v>
      </c>
    </row>
    <row r="6" spans="1:62" ht="15.75" x14ac:dyDescent="0.25">
      <c r="A6" s="1501" t="s">
        <v>129</v>
      </c>
      <c r="B6" s="20" t="s">
        <v>1014</v>
      </c>
      <c r="E6" s="6" t="s">
        <v>129</v>
      </c>
      <c r="F6" s="6" t="s">
        <v>129</v>
      </c>
      <c r="G6" s="6" t="s">
        <v>129</v>
      </c>
      <c r="H6" s="6" t="s">
        <v>129</v>
      </c>
      <c r="I6" s="6" t="s">
        <v>129</v>
      </c>
      <c r="J6" s="6" t="s">
        <v>129</v>
      </c>
      <c r="L6" s="20" t="s">
        <v>1015</v>
      </c>
      <c r="AG6" s="1" t="s">
        <v>1016</v>
      </c>
      <c r="AU6" s="1224" t="s">
        <v>1017</v>
      </c>
      <c r="AV6" s="7" t="s">
        <v>236</v>
      </c>
      <c r="AW6" s="7"/>
      <c r="BA6" s="168" t="s">
        <v>1013</v>
      </c>
    </row>
    <row r="7" spans="1:62" x14ac:dyDescent="0.2">
      <c r="A7" s="1050" t="s">
        <v>1018</v>
      </c>
      <c r="C7" s="20">
        <f>AY46</f>
        <v>85574</v>
      </c>
      <c r="D7" s="1063"/>
      <c r="E7" s="20" t="s">
        <v>1019</v>
      </c>
      <c r="X7" s="2" t="s">
        <v>1020</v>
      </c>
      <c r="AH7" s="1224" t="s">
        <v>236</v>
      </c>
      <c r="AI7" s="7" t="s">
        <v>628</v>
      </c>
      <c r="AJ7" s="1224" t="s">
        <v>1021</v>
      </c>
      <c r="AK7" s="1224" t="s">
        <v>1022</v>
      </c>
      <c r="AL7" s="1224" t="s">
        <v>646</v>
      </c>
      <c r="AM7" s="1224" t="s">
        <v>1023</v>
      </c>
      <c r="AN7" s="1224" t="s">
        <v>1021</v>
      </c>
      <c r="AO7" s="1224" t="s">
        <v>1022</v>
      </c>
      <c r="AP7" s="1224" t="s">
        <v>1023</v>
      </c>
      <c r="AQ7" s="1224" t="s">
        <v>1021</v>
      </c>
      <c r="AR7" s="1224" t="s">
        <v>1022</v>
      </c>
      <c r="AS7" s="1224" t="s">
        <v>1023</v>
      </c>
      <c r="AT7" s="1224"/>
      <c r="AU7" s="1224" t="s">
        <v>1024</v>
      </c>
      <c r="AV7" s="7" t="s">
        <v>628</v>
      </c>
      <c r="AW7" s="7"/>
      <c r="AX7" s="7" t="s">
        <v>629</v>
      </c>
      <c r="AY7" s="1224"/>
    </row>
    <row r="8" spans="1:62" ht="15.75" x14ac:dyDescent="0.25">
      <c r="A8" s="7" t="s">
        <v>1025</v>
      </c>
      <c r="C8" s="20">
        <f>SUM(Input_Harvestnew!C159)</f>
        <v>75</v>
      </c>
      <c r="E8" s="2">
        <f>Input_Harvestnew!H142</f>
        <v>0</v>
      </c>
      <c r="L8" s="2" t="s">
        <v>1026</v>
      </c>
      <c r="M8" s="7" t="s">
        <v>174</v>
      </c>
      <c r="N8" s="1050" t="s">
        <v>171</v>
      </c>
      <c r="O8" s="1050" t="s">
        <v>172</v>
      </c>
      <c r="P8" s="1050" t="s">
        <v>625</v>
      </c>
      <c r="Q8" s="1050" t="s">
        <v>626</v>
      </c>
      <c r="R8" s="7" t="s">
        <v>1027</v>
      </c>
      <c r="S8" s="1"/>
      <c r="X8" s="2" t="s">
        <v>1028</v>
      </c>
      <c r="Y8" s="20">
        <f>Y13+Y14</f>
        <v>985</v>
      </c>
      <c r="Z8" s="20" t="e">
        <f>Z13+Z14</f>
        <v>#REF!</v>
      </c>
      <c r="AA8" s="20" t="e">
        <f>AA13+AA14</f>
        <v>#REF!</v>
      </c>
      <c r="AB8" s="20" t="e">
        <f>AB13+AB14</f>
        <v>#REF!</v>
      </c>
      <c r="AC8" s="20" t="e">
        <f>AC13+AC14</f>
        <v>#REF!</v>
      </c>
      <c r="AH8" s="1224" t="s">
        <v>631</v>
      </c>
      <c r="AI8" s="7" t="s">
        <v>632</v>
      </c>
      <c r="AJ8" s="1224" t="s">
        <v>543</v>
      </c>
      <c r="AK8" s="1224" t="s">
        <v>161</v>
      </c>
      <c r="AL8" s="1224" t="s">
        <v>1029</v>
      </c>
      <c r="AM8" s="221" t="s">
        <v>1030</v>
      </c>
      <c r="AN8" s="1224" t="s">
        <v>543</v>
      </c>
      <c r="AO8" s="1224" t="s">
        <v>1031</v>
      </c>
      <c r="AP8" s="221" t="s">
        <v>1032</v>
      </c>
      <c r="AQ8" s="1224" t="s">
        <v>543</v>
      </c>
      <c r="AR8" s="1224" t="s">
        <v>1033</v>
      </c>
      <c r="AS8" s="1224" t="s">
        <v>1033</v>
      </c>
      <c r="AT8" s="1224" t="s">
        <v>731</v>
      </c>
      <c r="AU8" s="1224" t="s">
        <v>1034</v>
      </c>
      <c r="AV8" s="7" t="s">
        <v>1035</v>
      </c>
      <c r="AW8" s="7" t="s">
        <v>731</v>
      </c>
      <c r="AX8" s="7" t="s">
        <v>542</v>
      </c>
      <c r="AY8" s="1224"/>
      <c r="BA8" s="2" t="s">
        <v>1036</v>
      </c>
    </row>
    <row r="9" spans="1:62" x14ac:dyDescent="0.2">
      <c r="A9" s="20" t="s">
        <v>1037</v>
      </c>
      <c r="C9" s="20">
        <f>(SUM(B13:D19,C21)-C7-C8)/2</f>
        <v>84256.425187771849</v>
      </c>
      <c r="E9" s="20" t="s">
        <v>1038</v>
      </c>
      <c r="L9" s="6" t="s">
        <v>129</v>
      </c>
      <c r="M9" s="6" t="s">
        <v>129</v>
      </c>
      <c r="N9" s="6" t="s">
        <v>129</v>
      </c>
      <c r="O9" s="6" t="s">
        <v>129</v>
      </c>
      <c r="P9" s="6" t="s">
        <v>129</v>
      </c>
      <c r="Q9" s="6" t="s">
        <v>129</v>
      </c>
      <c r="R9" s="6"/>
      <c r="S9" s="6" t="s">
        <v>129</v>
      </c>
      <c r="T9" s="6" t="s">
        <v>129</v>
      </c>
      <c r="U9" s="6" t="s">
        <v>129</v>
      </c>
      <c r="V9" s="6" t="s">
        <v>129</v>
      </c>
      <c r="X9" s="2" t="s">
        <v>1039</v>
      </c>
      <c r="Y9" s="20">
        <f>Y17+Y18</f>
        <v>42871.093106447603</v>
      </c>
      <c r="Z9" s="20" t="e">
        <f>Z17+Z18</f>
        <v>#REF!</v>
      </c>
      <c r="AA9" s="20" t="e">
        <f>AA17+AA18</f>
        <v>#REF!</v>
      </c>
      <c r="AB9" s="20" t="e">
        <f>AB17+AB18</f>
        <v>#REF!</v>
      </c>
      <c r="AC9" s="20" t="e">
        <f>AC17+AC18</f>
        <v>#REF!</v>
      </c>
      <c r="AG9" s="2" t="s">
        <v>637</v>
      </c>
      <c r="AH9" s="1224" t="s">
        <v>1040</v>
      </c>
      <c r="AI9" s="7" t="s">
        <v>1041</v>
      </c>
      <c r="AJ9" s="1224" t="s">
        <v>161</v>
      </c>
      <c r="AK9" s="1224" t="s">
        <v>1042</v>
      </c>
      <c r="AL9" s="1224" t="s">
        <v>1043</v>
      </c>
      <c r="AM9" s="1224" t="s">
        <v>1042</v>
      </c>
      <c r="AN9" s="1224" t="s">
        <v>163</v>
      </c>
      <c r="AO9" s="1224" t="s">
        <v>1042</v>
      </c>
      <c r="AP9" s="1224" t="s">
        <v>1042</v>
      </c>
      <c r="AQ9" s="1224" t="s">
        <v>165</v>
      </c>
      <c r="AR9" s="1224" t="s">
        <v>1042</v>
      </c>
      <c r="AS9" s="1224" t="s">
        <v>1042</v>
      </c>
      <c r="AT9" s="1224" t="s">
        <v>552</v>
      </c>
      <c r="AU9" s="1224" t="s">
        <v>1044</v>
      </c>
      <c r="AV9" s="1224" t="s">
        <v>1045</v>
      </c>
      <c r="AW9" s="1224" t="s">
        <v>298</v>
      </c>
      <c r="AX9" s="7" t="s">
        <v>541</v>
      </c>
      <c r="AY9" s="1224" t="s">
        <v>1046</v>
      </c>
    </row>
    <row r="10" spans="1:62" ht="15.75" x14ac:dyDescent="0.25">
      <c r="C10" s="1"/>
      <c r="L10" s="2" t="s">
        <v>1047</v>
      </c>
      <c r="M10" s="20">
        <f>SUM(Table2PRN!G5590,Table2PRN!G5800)</f>
        <v>276</v>
      </c>
      <c r="N10" s="20" t="e">
        <f t="shared" ref="N10:Q11" si="0">Z13</f>
        <v>#REF!</v>
      </c>
      <c r="O10" s="20" t="e">
        <f t="shared" si="0"/>
        <v>#REF!</v>
      </c>
      <c r="P10" s="20" t="e">
        <f t="shared" si="0"/>
        <v>#REF!</v>
      </c>
      <c r="Q10" s="20" t="e">
        <f t="shared" si="0"/>
        <v>#REF!</v>
      </c>
      <c r="R10" s="2">
        <f>SUM(Input_Harvestnew!H176)</f>
        <v>0</v>
      </c>
      <c r="X10" s="2" t="s">
        <v>1048</v>
      </c>
      <c r="Y10" s="20">
        <f>Y8+Y9</f>
        <v>43856.093106447603</v>
      </c>
      <c r="Z10" s="20" t="e">
        <f>Z8+Z9</f>
        <v>#REF!</v>
      </c>
      <c r="AA10" s="20" t="e">
        <f>AA8+AA9</f>
        <v>#REF!</v>
      </c>
      <c r="AB10" s="20" t="e">
        <f>AB8+AB9</f>
        <v>#REF!</v>
      </c>
      <c r="AC10" s="20" t="e">
        <f>AC8+AC9</f>
        <v>#REF!</v>
      </c>
      <c r="AG10" s="6" t="s">
        <v>129</v>
      </c>
      <c r="AH10" s="6" t="s">
        <v>129</v>
      </c>
      <c r="AI10" s="6" t="s">
        <v>129</v>
      </c>
      <c r="AJ10" s="6" t="s">
        <v>129</v>
      </c>
      <c r="AK10" s="6" t="s">
        <v>129</v>
      </c>
      <c r="AL10" s="6" t="s">
        <v>129</v>
      </c>
      <c r="AM10" s="6"/>
      <c r="AN10" s="6"/>
      <c r="AO10" s="6" t="s">
        <v>129</v>
      </c>
      <c r="AP10" s="6" t="s">
        <v>129</v>
      </c>
      <c r="AQ10" s="6" t="s">
        <v>129</v>
      </c>
      <c r="AR10" s="6" t="s">
        <v>129</v>
      </c>
      <c r="AS10" s="6" t="s">
        <v>129</v>
      </c>
      <c r="AT10" s="6" t="s">
        <v>129</v>
      </c>
      <c r="AU10" s="6" t="s">
        <v>129</v>
      </c>
      <c r="AV10" s="6" t="s">
        <v>129</v>
      </c>
      <c r="AW10" s="6" t="s">
        <v>129</v>
      </c>
      <c r="AX10" s="6" t="s">
        <v>129</v>
      </c>
      <c r="AY10" s="6" t="s">
        <v>129</v>
      </c>
      <c r="BA10" s="2" t="s">
        <v>1049</v>
      </c>
    </row>
    <row r="11" spans="1:62" x14ac:dyDescent="0.2">
      <c r="A11" s="1268" t="s">
        <v>233</v>
      </c>
      <c r="B11" s="1050" t="s">
        <v>1050</v>
      </c>
      <c r="D11" s="1050" t="s">
        <v>1051</v>
      </c>
      <c r="L11" s="2" t="s">
        <v>1052</v>
      </c>
      <c r="M11" s="20">
        <f>SUM(Table2PRN!G5601,Table2PRN!G5811)</f>
        <v>84</v>
      </c>
      <c r="N11" s="20" t="e">
        <f t="shared" si="0"/>
        <v>#REF!</v>
      </c>
      <c r="O11" s="20" t="e">
        <f t="shared" si="0"/>
        <v>#REF!</v>
      </c>
      <c r="P11" s="20" t="e">
        <f t="shared" si="0"/>
        <v>#REF!</v>
      </c>
      <c r="Q11" s="20" t="e">
        <f t="shared" si="0"/>
        <v>#REF!</v>
      </c>
      <c r="R11" s="2">
        <f>SUM(Input_Harvestnew!H203)</f>
        <v>0</v>
      </c>
      <c r="AF11" s="187">
        <f>TRunsPRN!D159</f>
        <v>1005.6176333633431</v>
      </c>
      <c r="AG11" s="331" t="s">
        <v>1053</v>
      </c>
      <c r="AH11" s="20" t="e">
        <f>AJ11+AI11</f>
        <v>#DIV/0!</v>
      </c>
      <c r="AI11" s="332" t="e">
        <f>SUM('2'!$AS$41:$AS$46)*Input_Stockdata!F49+SUM('2'!$AR$41:$AR$46)*Input_Stockdata!G49</f>
        <v>#DIV/0!</v>
      </c>
      <c r="AJ11" s="34">
        <f>AJ$46*((TRunsPRN!D159)/SUM(TRunsPRN!D$139:D$161))</f>
        <v>1171.2800236916655</v>
      </c>
      <c r="AK11" s="34">
        <f>AJ11/$AJ$46*$AK$46</f>
        <v>18.378024214670262</v>
      </c>
      <c r="AL11" s="20">
        <f>AJ11-AK11</f>
        <v>1152.9019994769953</v>
      </c>
      <c r="AM11" s="20">
        <f>SUM(StockSumPRN!B2178:C2183)</f>
        <v>10</v>
      </c>
      <c r="AN11" s="20">
        <v>0</v>
      </c>
      <c r="AO11" s="20">
        <v>0</v>
      </c>
      <c r="AP11" s="20">
        <f>SUM(StockSumPRN!B2189:C2192)</f>
        <v>0</v>
      </c>
      <c r="AQ11" s="20">
        <v>0</v>
      </c>
      <c r="AR11" s="20">
        <v>0</v>
      </c>
      <c r="AS11" s="20">
        <f>SUM(StockSumPRN!B2196:C2205)</f>
        <v>0</v>
      </c>
      <c r="AT11" s="20">
        <f>SUM(StockSumPRN!B2184:C2184)</f>
        <v>303</v>
      </c>
      <c r="AU11" s="20">
        <f>AJ11*(1-Input_Stockdata!E49)</f>
        <v>937.60965896517826</v>
      </c>
      <c r="AV11" s="20" t="e">
        <f>AU11+AI11</f>
        <v>#DIV/0!</v>
      </c>
      <c r="AW11" s="20">
        <f>SUM(StockSumPRN!B2187:C2187)</f>
        <v>52</v>
      </c>
      <c r="AX11" s="20">
        <f>SUM(AT11,AW11,AY11)</f>
        <v>1047</v>
      </c>
      <c r="AY11" s="20">
        <f>SUM(TRunsPRN!C118)</f>
        <v>692</v>
      </c>
      <c r="BA11" s="2" t="s">
        <v>1054</v>
      </c>
      <c r="BB11" s="34">
        <f>BB19*0.284</f>
        <v>23928.824753327204</v>
      </c>
      <c r="BC11" s="7" t="s">
        <v>1055</v>
      </c>
      <c r="BE11" s="7" t="s">
        <v>1056</v>
      </c>
      <c r="BF11" s="7" t="s">
        <v>1057</v>
      </c>
    </row>
    <row r="12" spans="1:62" x14ac:dyDescent="0.2">
      <c r="A12" s="1501" t="s">
        <v>129</v>
      </c>
      <c r="B12" s="1501" t="s">
        <v>129</v>
      </c>
      <c r="D12" s="1501" t="s">
        <v>129</v>
      </c>
      <c r="E12" s="6" t="s">
        <v>129</v>
      </c>
      <c r="F12" s="6" t="s">
        <v>129</v>
      </c>
      <c r="G12" s="6" t="s">
        <v>129</v>
      </c>
      <c r="H12" s="6" t="s">
        <v>129</v>
      </c>
      <c r="I12" s="6" t="s">
        <v>129</v>
      </c>
      <c r="J12" s="6" t="s">
        <v>129</v>
      </c>
      <c r="L12" s="7" t="s">
        <v>1058</v>
      </c>
      <c r="M12" s="20">
        <f>SUM(M10:M11)</f>
        <v>360</v>
      </c>
      <c r="N12" s="20" t="e">
        <f>Z8</f>
        <v>#REF!</v>
      </c>
      <c r="O12" s="20" t="e">
        <f>AA8</f>
        <v>#REF!</v>
      </c>
      <c r="P12" s="20" t="e">
        <f>AB8</f>
        <v>#REF!</v>
      </c>
      <c r="Q12" s="20" t="e">
        <f>AC8</f>
        <v>#REF!</v>
      </c>
      <c r="X12" s="2" t="s">
        <v>1059</v>
      </c>
      <c r="Y12" s="1063">
        <f>IF(SUM(Y13:Y14)&gt;0,+Y13/SUM(Y13:Y14),0)</f>
        <v>0.33807106598984771</v>
      </c>
      <c r="Z12" s="1063" t="e">
        <f>IF(SUM(Z13:Z14)&gt;0,+Z13/SUM(Z13:Z14),0)</f>
        <v>#REF!</v>
      </c>
      <c r="AA12" s="1063" t="e">
        <f>IF(SUM(AA13:AA14)&gt;0,+AA13/SUM(AA13:AA14),0)</f>
        <v>#REF!</v>
      </c>
      <c r="AB12" s="1063" t="e">
        <f>IF(SUM(AB13:AB14)&gt;0,+AB13/SUM(AB13:AB14),0)</f>
        <v>#REF!</v>
      </c>
      <c r="AC12" s="1063" t="e">
        <f>IF(SUM(AC13:AC14)&gt;0,+AC13/SUM(AC13:AC14),0)</f>
        <v>#REF!</v>
      </c>
      <c r="AF12" s="608"/>
      <c r="AG12" s="331" t="s">
        <v>1060</v>
      </c>
      <c r="AH12" s="20" t="e">
        <f>AJ12+AI12</f>
        <v>#DIV/0!</v>
      </c>
      <c r="AI12" s="332" t="e">
        <f>SUM('2'!$AS$41:$AS$46)*Input_Stockdata!F50+SUM('2'!$AR$41:$AR$46)*Input_Stockdata!G50</f>
        <v>#DIV/0!</v>
      </c>
      <c r="AJ12" s="34">
        <f>AJ$46*((TRunsPRN!D158)/SUM(TRunsPRN!D$139:D$161))</f>
        <v>9716.599644337939</v>
      </c>
      <c r="AK12" s="34">
        <f>AJ12/$AJ$46*$AK$46</f>
        <v>152.4587630079034</v>
      </c>
      <c r="AL12" s="20">
        <f>AJ12-AK12</f>
        <v>9564.140881330035</v>
      </c>
      <c r="AM12" s="20">
        <f>SUM(StockSumPRN!J1973:K1978)</f>
        <v>90</v>
      </c>
      <c r="AN12" s="20">
        <v>0</v>
      </c>
      <c r="AO12" s="20">
        <v>0</v>
      </c>
      <c r="AP12" s="20">
        <f>SUM(StockSumPRN!J1984:K1987)</f>
        <v>0</v>
      </c>
      <c r="AQ12" s="20">
        <v>0</v>
      </c>
      <c r="AR12" s="20">
        <v>0</v>
      </c>
      <c r="AS12" s="20">
        <f>SUM(StockSumPRN!J1991:K2000)</f>
        <v>0</v>
      </c>
      <c r="AT12" s="20">
        <f>SUM(StockSumPRN!J1979:K1979)</f>
        <v>2590</v>
      </c>
      <c r="AU12" s="20">
        <f>AJ12*(1-Input_Stockdata!E50)</f>
        <v>7778.1380152925203</v>
      </c>
      <c r="AV12" s="20" t="e">
        <f>AU12+AI12</f>
        <v>#DIV/0!</v>
      </c>
      <c r="AW12" s="20">
        <f>SUM(StockSumPRN!J1982:K1982)</f>
        <v>424</v>
      </c>
      <c r="AX12" s="20">
        <f>SUM(AT12,AW12,AY12)</f>
        <v>8676</v>
      </c>
      <c r="AY12" s="20">
        <f>SUM(TRunsPRN!C119)</f>
        <v>5662</v>
      </c>
      <c r="AZ12" s="34">
        <f>AJ12-AK12-AM12-AT12-AW12</f>
        <v>6460.140881330035</v>
      </c>
      <c r="BA12" s="2" t="s">
        <v>1061</v>
      </c>
      <c r="BB12" s="34" t="str">
        <f>IF(BC14&lt;&gt;"&gt;&gt;TOO LOW&lt;&lt;",((+BB19*BE16)-BB20)*0.6,"&gt;&gt;&gt;RECALC")</f>
        <v>&gt;&gt;&gt;RECALC</v>
      </c>
      <c r="BC12" s="1049">
        <v>0.3</v>
      </c>
      <c r="BE12" s="1049">
        <v>0.56999999999999995</v>
      </c>
      <c r="BF12" s="1049">
        <v>0.3</v>
      </c>
      <c r="BG12" s="2" t="s">
        <v>1062</v>
      </c>
    </row>
    <row r="13" spans="1:62" x14ac:dyDescent="0.2">
      <c r="A13" s="1050" t="s">
        <v>1063</v>
      </c>
      <c r="B13" s="1050" t="s">
        <v>297</v>
      </c>
      <c r="D13" s="20">
        <f>SUM('2'!AT17)</f>
        <v>178</v>
      </c>
      <c r="E13" s="20" t="s">
        <v>1064</v>
      </c>
      <c r="M13" s="20"/>
      <c r="N13" s="20"/>
      <c r="O13" s="20"/>
      <c r="P13" s="20"/>
      <c r="Q13" s="20"/>
      <c r="X13" s="2" t="s">
        <v>1065</v>
      </c>
      <c r="Y13" s="20">
        <f>$D35</f>
        <v>333</v>
      </c>
      <c r="Z13" s="20" t="e">
        <f>$D35*Input_Harvestnew!#REF!</f>
        <v>#REF!</v>
      </c>
      <c r="AA13" s="20" t="e">
        <f>$D35*Input_Harvestnew!#REF!</f>
        <v>#REF!</v>
      </c>
      <c r="AB13" s="20" t="e">
        <f>$D35*Input_Harvestnew!#REF!</f>
        <v>#REF!</v>
      </c>
      <c r="AC13" s="20" t="e">
        <f>$D35*Input_Harvestnew!#REF!</f>
        <v>#REF!</v>
      </c>
      <c r="AG13" s="1576" t="s">
        <v>129</v>
      </c>
      <c r="AH13" s="6" t="s">
        <v>129</v>
      </c>
      <c r="AI13" s="1576" t="s">
        <v>129</v>
      </c>
      <c r="AJ13" s="605" t="s">
        <v>129</v>
      </c>
      <c r="AK13" s="605" t="s">
        <v>129</v>
      </c>
      <c r="AL13" s="6" t="s">
        <v>129</v>
      </c>
      <c r="AM13" s="6"/>
      <c r="AN13" s="6"/>
      <c r="AO13" s="6" t="s">
        <v>129</v>
      </c>
      <c r="AP13" s="6" t="s">
        <v>129</v>
      </c>
      <c r="AQ13" s="6" t="s">
        <v>129</v>
      </c>
      <c r="AR13" s="6" t="s">
        <v>129</v>
      </c>
      <c r="AS13" s="6" t="s">
        <v>129</v>
      </c>
      <c r="AT13" s="6" t="s">
        <v>129</v>
      </c>
      <c r="AU13" s="6" t="s">
        <v>129</v>
      </c>
      <c r="AV13" s="6" t="s">
        <v>129</v>
      </c>
      <c r="AW13" s="6" t="s">
        <v>129</v>
      </c>
      <c r="AX13" s="6" t="s">
        <v>129</v>
      </c>
      <c r="AY13" s="6" t="s">
        <v>129</v>
      </c>
      <c r="BA13" s="2" t="s">
        <v>1066</v>
      </c>
      <c r="BB13" s="34">
        <f>0.284*(BB19-BB20-BB12)</f>
        <v>21801.948753327204</v>
      </c>
      <c r="BC13" s="1049">
        <f>1-BC12</f>
        <v>0.7</v>
      </c>
      <c r="BE13" s="1049">
        <f>1-BE12</f>
        <v>0.43000000000000005</v>
      </c>
      <c r="BF13" s="1049">
        <f>1-BF12</f>
        <v>0.7</v>
      </c>
      <c r="BG13" s="2" t="s">
        <v>1067</v>
      </c>
    </row>
    <row r="14" spans="1:62" x14ac:dyDescent="0.2">
      <c r="A14" s="1050" t="s">
        <v>1068</v>
      </c>
      <c r="B14" s="1050" t="s">
        <v>297</v>
      </c>
      <c r="D14" s="20">
        <f>SUM('2'!AT18)</f>
        <v>614</v>
      </c>
      <c r="E14" s="20" t="s">
        <v>1064</v>
      </c>
      <c r="M14" s="20"/>
      <c r="N14" s="20"/>
      <c r="O14" s="20"/>
      <c r="P14" s="20"/>
      <c r="Q14" s="20"/>
      <c r="X14" s="2" t="s">
        <v>1069</v>
      </c>
      <c r="Y14" s="20">
        <f>$D36</f>
        <v>652</v>
      </c>
      <c r="Z14" s="20" t="e">
        <f>$D36*Input_Harvestnew!#REF!</f>
        <v>#REF!</v>
      </c>
      <c r="AA14" s="20" t="e">
        <f>$D36*Input_Harvestnew!#REF!</f>
        <v>#REF!</v>
      </c>
      <c r="AB14" s="20" t="e">
        <f>$D36*Input_Harvestnew!#REF!</f>
        <v>#REF!</v>
      </c>
      <c r="AC14" s="20" t="e">
        <f>$D36*Input_Harvestnew!#REF!</f>
        <v>#REF!</v>
      </c>
      <c r="AF14" s="608"/>
      <c r="AG14" s="331" t="s">
        <v>1070</v>
      </c>
      <c r="AH14" s="20" t="e">
        <f>AJ14+AI14</f>
        <v>#DIV/0!</v>
      </c>
      <c r="AI14" s="332" t="e">
        <f>SUM('2'!$AS$41:$AS$46)*Input_Stockdata!F52+SUM('2'!$AR$41:$AR$46)*Input_Stockdata!G52</f>
        <v>#DIV/0!</v>
      </c>
      <c r="AJ14" s="34">
        <f>AJ$46*((TRunsPRN!D157)/SUM(TRunsPRN!D$139:D$161))</f>
        <v>3741.6123983306688</v>
      </c>
      <c r="AK14" s="34">
        <f>AJ14/$AJ$46*$AK$46</f>
        <v>58.707945040931726</v>
      </c>
      <c r="AL14" s="20">
        <f>AJ14-AK14</f>
        <v>3682.9044532897369</v>
      </c>
      <c r="AM14" s="20">
        <f>SUM(StockSumPRN!H1973:I1978)</f>
        <v>245</v>
      </c>
      <c r="AN14" s="20">
        <v>0</v>
      </c>
      <c r="AO14" s="20">
        <v>0</v>
      </c>
      <c r="AP14" s="20">
        <f>SUM(StockSumPRN!H1984:I1987)</f>
        <v>0</v>
      </c>
      <c r="AQ14" s="20">
        <v>0</v>
      </c>
      <c r="AR14" s="20">
        <v>0</v>
      </c>
      <c r="AS14" s="20">
        <f>SUM(StockSumPRN!H1991:I2000)</f>
        <v>0</v>
      </c>
      <c r="AT14" s="20">
        <f>SUM(StockSumPRN!H1980:I1980)</f>
        <v>1312</v>
      </c>
      <c r="AU14" s="20">
        <f>AJ14*(1-Input_Stockdata!E51)</f>
        <v>2933.0574422762079</v>
      </c>
      <c r="AV14" s="20" t="e">
        <f>AU14+AI14</f>
        <v>#DIV/0!</v>
      </c>
      <c r="AW14" s="20">
        <f>SUM(StockSumPRN!H1981:I1981)</f>
        <v>88</v>
      </c>
      <c r="AX14" s="20">
        <f>SUM(AT14,AW14,AY14)</f>
        <v>3052</v>
      </c>
      <c r="AY14" s="20">
        <f>SUM(TRunsPRN!C120)</f>
        <v>1652</v>
      </c>
      <c r="BA14" s="2" t="s">
        <v>1071</v>
      </c>
      <c r="BB14" s="34">
        <f>((BB19-SUM(B13:B17,B24))*0.284)*0.9</f>
        <v>19671.595877994481</v>
      </c>
      <c r="BC14" s="20" t="str">
        <f>IF(BB19&gt;229999,(229999*BC12),IF(BB19&lt;120000,"&gt;&gt;TOO LOW&lt;&lt;",(BB19*BC12)))</f>
        <v>&gt;&gt;TOO LOW&lt;&lt;</v>
      </c>
      <c r="BE14" s="34">
        <f>IF(AND(230000&lt;BB19,BB19&lt;349999),(BB19-230000)*BE12,IF(BB19&gt;349999,(349999-230000)*BE12,0))</f>
        <v>0</v>
      </c>
      <c r="BF14" s="2">
        <f>IF(BB19&gt;349999,((BB19-350000)*BF12),0)</f>
        <v>0</v>
      </c>
    </row>
    <row r="15" spans="1:62" x14ac:dyDescent="0.2">
      <c r="A15" s="1050" t="s">
        <v>1072</v>
      </c>
      <c r="B15" s="20">
        <f>SUM('2'!AT20)</f>
        <v>6774</v>
      </c>
      <c r="D15" s="20">
        <f>SUM('2'!AT21:AT22)</f>
        <v>2160</v>
      </c>
      <c r="E15" s="20" t="s">
        <v>1064</v>
      </c>
      <c r="L15" s="7"/>
      <c r="M15" s="20"/>
      <c r="N15" s="20"/>
      <c r="O15" s="20"/>
      <c r="P15" s="20"/>
      <c r="Q15" s="20"/>
      <c r="X15" s="2" t="s">
        <v>1073</v>
      </c>
      <c r="AF15" s="608"/>
      <c r="AG15" s="331" t="s">
        <v>1074</v>
      </c>
      <c r="AH15" s="20" t="e">
        <f>AJ15+AI15</f>
        <v>#DIV/0!</v>
      </c>
      <c r="AI15" s="332" t="e">
        <f>SUM('2'!$AS$41:$AS$46)*Input_Stockdata!F53+SUM('2'!$AR$41:$AR$46)*Input_Stockdata!G53</f>
        <v>#DIV/0!</v>
      </c>
      <c r="AJ15" s="34">
        <f>AJ$46*((TRunsPRN!D156)/SUM(TRunsPRN!D$139:D$161))</f>
        <v>65714.968788939674</v>
      </c>
      <c r="AK15" s="34">
        <f>AJ15/$AJ$46*$AK$46</f>
        <v>1031.1038037368244</v>
      </c>
      <c r="AL15" s="20">
        <f>AJ15-AK15</f>
        <v>64683.864985202847</v>
      </c>
      <c r="AM15" s="20">
        <f>SUM(StockSumPRN!F1973:G1978)</f>
        <v>3143</v>
      </c>
      <c r="AN15" s="20">
        <v>0</v>
      </c>
      <c r="AO15" s="20">
        <v>0</v>
      </c>
      <c r="AP15" s="20">
        <f>SUM(StockSumPRN!F1984:G1987)</f>
        <v>39</v>
      </c>
      <c r="AQ15" s="20">
        <v>0</v>
      </c>
      <c r="AR15" s="20">
        <v>0</v>
      </c>
      <c r="AS15" s="20">
        <f>SUM(StockSumPRN!F1991:G2000)</f>
        <v>0</v>
      </c>
      <c r="AT15" s="20">
        <f>SUM(StockSumPRN!F1980:G1980)</f>
        <v>19961</v>
      </c>
      <c r="AU15" s="20">
        <f>AJ15*(1-Input_Stockdata!E52)</f>
        <v>51514.095463587386</v>
      </c>
      <c r="AV15" s="20" t="e">
        <f>AU15+AI15</f>
        <v>#DIV/0!</v>
      </c>
      <c r="AW15" s="20">
        <f>SUM(StockSumPRN!F1981:G1981)</f>
        <v>2172</v>
      </c>
      <c r="AX15" s="20">
        <f>SUM(AT15,AW15,AY15)</f>
        <v>55310</v>
      </c>
      <c r="AY15" s="20">
        <f>SUM(TRunsPRN!C121)</f>
        <v>33177</v>
      </c>
      <c r="BA15" s="2" t="s">
        <v>1075</v>
      </c>
      <c r="BB15" s="34" t="str">
        <f>IF(BE15="&gt;&gt;&gt;RECALC","&gt;&gt;&gt;RECALC",(BB14-BB13)/3)</f>
        <v>&gt;&gt;&gt;RECALC</v>
      </c>
      <c r="BC15" s="7" t="s">
        <v>1076</v>
      </c>
      <c r="BE15" s="20" t="str">
        <f>IF(BC14="&gt;&gt;TOO LOW&lt;&lt;","&gt;&gt;&gt;RECALC",SUM(BC14:BF14))</f>
        <v>&gt;&gt;&gt;RECALC</v>
      </c>
    </row>
    <row r="16" spans="1:62" x14ac:dyDescent="0.2">
      <c r="A16" s="1050" t="s">
        <v>1077</v>
      </c>
      <c r="B16" s="1050" t="s">
        <v>297</v>
      </c>
      <c r="D16" s="20">
        <f>SUM('2'!AT23:'2'!AT27)</f>
        <v>6060</v>
      </c>
      <c r="E16" s="20" t="s">
        <v>1064</v>
      </c>
      <c r="X16" s="2" t="s">
        <v>1078</v>
      </c>
      <c r="Y16" s="1063">
        <f>IF(SUM(Y17:Y18)&gt;0,+Y17/SUM(Y17:Y18),0)</f>
        <v>0</v>
      </c>
      <c r="Z16" s="1063" t="e">
        <f>IF(SUM(Z17:Z18)&gt;0,+Z17/SUM(Z17:Z18),0)</f>
        <v>#REF!</v>
      </c>
      <c r="AA16" s="1063" t="e">
        <f>IF(SUM(AA17:AA18)&gt;0,+AA17/SUM(AA17:AA18),0)</f>
        <v>#REF!</v>
      </c>
      <c r="AB16" s="1063" t="e">
        <f>IF(SUM(AB17:AB18)&gt;0,+AB17/SUM(AB17:AB18),0)</f>
        <v>#REF!</v>
      </c>
      <c r="AC16" s="1063" t="e">
        <f>IF(SUM(AC17:AC18)&gt;0,+AC17/SUM(AC17:AC18),0)</f>
        <v>#REF!</v>
      </c>
      <c r="AF16" s="608"/>
      <c r="AG16" s="331"/>
      <c r="AI16" s="331"/>
      <c r="AJ16" s="34"/>
      <c r="AK16" s="34"/>
      <c r="BA16" s="2" t="s">
        <v>1079</v>
      </c>
      <c r="BB16" s="34" t="str">
        <f>IF(BE15="&gt;&gt;&gt;RECALC","&gt;&gt;&gt;RECALC",+BE15-BB20-BB15)</f>
        <v>&gt;&gt;&gt;RECALC</v>
      </c>
      <c r="BC16" s="7" t="s">
        <v>1080</v>
      </c>
      <c r="BE16" s="1532">
        <f>BE15/BB19</f>
        <v>0</v>
      </c>
    </row>
    <row r="17" spans="1:62" x14ac:dyDescent="0.2">
      <c r="A17" s="1050" t="s">
        <v>1081</v>
      </c>
      <c r="B17" s="20">
        <f>'2'!AT29</f>
        <v>97</v>
      </c>
      <c r="D17" s="1050" t="s">
        <v>297</v>
      </c>
      <c r="E17" s="20" t="s">
        <v>1064</v>
      </c>
      <c r="L17" s="7"/>
      <c r="M17" s="20"/>
      <c r="N17" s="20"/>
      <c r="O17" s="20"/>
      <c r="P17" s="20"/>
      <c r="Q17" s="20"/>
      <c r="X17" s="2" t="s">
        <v>1082</v>
      </c>
      <c r="Y17" s="20">
        <f>BC39</f>
        <v>0</v>
      </c>
      <c r="Z17" s="20" t="e">
        <f>$Y17*Input_Harvestnew!#REF!</f>
        <v>#REF!</v>
      </c>
      <c r="AA17" s="20" t="e">
        <f>$Y17*Input_Harvestnew!#REF!</f>
        <v>#REF!</v>
      </c>
      <c r="AB17" s="20" t="e">
        <f>$Y17*Input_Harvestnew!#REF!</f>
        <v>#REF!</v>
      </c>
      <c r="AC17" s="20" t="e">
        <f>$Y17*Input_Harvestnew!#REF!</f>
        <v>#REF!</v>
      </c>
      <c r="AF17" s="608"/>
      <c r="AG17" s="331" t="s">
        <v>1083</v>
      </c>
      <c r="AH17" s="20" t="e">
        <f>AJ17+AI17</f>
        <v>#DIV/0!</v>
      </c>
      <c r="AI17" s="332" t="e">
        <f>SUM('2'!$AS$41:$AS$46)*Input_Stockdata!F53+SUM('2'!$AR$41:$AR$46)*Input_Stockdata!G53</f>
        <v>#DIV/0!</v>
      </c>
      <c r="AJ17" s="34">
        <f>AJ$46*((TRunsPRN!D160)/SUM(TRunsPRN!D$139:D$161))</f>
        <v>0</v>
      </c>
      <c r="AK17" s="34">
        <f>AJ17/$AJ$46*$AK$46</f>
        <v>0</v>
      </c>
      <c r="AL17" s="20">
        <f>AJ17-AK17</f>
        <v>0</v>
      </c>
      <c r="AM17" s="20">
        <f>SUM(StockSumPRN!D2178:E2183)</f>
        <v>0</v>
      </c>
      <c r="AN17" s="20">
        <v>0</v>
      </c>
      <c r="AO17" s="20">
        <v>0</v>
      </c>
      <c r="AP17" s="20">
        <f>SUM(StockSumPRN!D2189:E2192)</f>
        <v>0</v>
      </c>
      <c r="AQ17" s="20">
        <v>0</v>
      </c>
      <c r="AR17" s="20">
        <v>0</v>
      </c>
      <c r="AS17" s="20">
        <f>SUM(StockSumPRN!D2196:E2205)</f>
        <v>0</v>
      </c>
      <c r="AT17" s="1050" t="s">
        <v>297</v>
      </c>
      <c r="AU17" s="20">
        <f>AJ17*(1-Input_Stockdata!E53)</f>
        <v>0</v>
      </c>
      <c r="AV17" s="20" t="e">
        <f>AU17+AI17</f>
        <v>#DIV/0!</v>
      </c>
      <c r="AW17" s="1050" t="s">
        <v>297</v>
      </c>
      <c r="AX17" s="20">
        <f>SUM(AT17,AW17,AY17)</f>
        <v>0</v>
      </c>
      <c r="AY17" s="1509">
        <f>SUM(TRunsPRN!C117)</f>
        <v>0</v>
      </c>
    </row>
    <row r="18" spans="1:62" ht="15.75" x14ac:dyDescent="0.25">
      <c r="A18" s="1050" t="s">
        <v>1084</v>
      </c>
      <c r="B18" s="7" t="s">
        <v>297</v>
      </c>
      <c r="D18" s="20">
        <f>SUM('2'!AT30:AT38)</f>
        <v>45502</v>
      </c>
      <c r="E18" s="20" t="s">
        <v>1064</v>
      </c>
      <c r="M18" s="1" t="s">
        <v>1085</v>
      </c>
      <c r="N18" s="1" t="s">
        <v>1086</v>
      </c>
      <c r="X18" s="2" t="s">
        <v>1087</v>
      </c>
      <c r="Y18" s="20">
        <f>BC41</f>
        <v>42871.093106447603</v>
      </c>
      <c r="Z18" s="20" t="e">
        <f>$Y18*Input_Harvestnew!#REF!</f>
        <v>#REF!</v>
      </c>
      <c r="AA18" s="20" t="e">
        <f>$Y18*Input_Harvestnew!#REF!</f>
        <v>#REF!</v>
      </c>
      <c r="AB18" s="20" t="e">
        <f>$Y18*Input_Harvestnew!#REF!</f>
        <v>#REF!</v>
      </c>
      <c r="AC18" s="20" t="e">
        <f>$Y18*Input_Harvestnew!#REF!</f>
        <v>#REF!</v>
      </c>
      <c r="AF18" s="1576"/>
      <c r="AG18" s="1576" t="s">
        <v>129</v>
      </c>
      <c r="AH18" s="6" t="s">
        <v>129</v>
      </c>
      <c r="AI18" s="1576" t="s">
        <v>129</v>
      </c>
      <c r="AJ18" s="605" t="s">
        <v>129</v>
      </c>
      <c r="AK18" s="605" t="s">
        <v>129</v>
      </c>
      <c r="AL18" s="6" t="s">
        <v>129</v>
      </c>
      <c r="AM18" s="6"/>
      <c r="AN18" s="6"/>
      <c r="AO18" s="6" t="s">
        <v>129</v>
      </c>
      <c r="AP18" s="6" t="s">
        <v>129</v>
      </c>
      <c r="AQ18" s="6" t="s">
        <v>129</v>
      </c>
      <c r="AR18" s="6" t="s">
        <v>129</v>
      </c>
      <c r="AS18" s="6" t="s">
        <v>129</v>
      </c>
      <c r="AT18" s="6" t="s">
        <v>129</v>
      </c>
      <c r="AU18" s="6" t="s">
        <v>129</v>
      </c>
      <c r="AV18" s="6" t="s">
        <v>129</v>
      </c>
      <c r="AW18" s="6" t="s">
        <v>129</v>
      </c>
      <c r="AX18" s="6" t="s">
        <v>129</v>
      </c>
      <c r="AY18" s="6" t="s">
        <v>129</v>
      </c>
    </row>
    <row r="19" spans="1:62" x14ac:dyDescent="0.2">
      <c r="A19" s="1050" t="s">
        <v>296</v>
      </c>
      <c r="B19" s="1050" t="s">
        <v>297</v>
      </c>
      <c r="D19" s="1559">
        <f>SUM(Input_Harvestnew!E181:E182,Input_Harvestnew!E207,Input_Harvestnew!E233:E235)</f>
        <v>4326.8503755437023</v>
      </c>
      <c r="E19" s="20" t="str">
        <f>Input_Harvestnew!H143</f>
        <v>Closed</v>
      </c>
      <c r="L19" s="2" t="s">
        <v>1088</v>
      </c>
      <c r="M19" s="20">
        <f t="shared" ref="M19:Q20" si="1">Y17</f>
        <v>0</v>
      </c>
      <c r="N19" s="20" t="e">
        <f t="shared" si="1"/>
        <v>#REF!</v>
      </c>
      <c r="O19" s="20" t="e">
        <f t="shared" si="1"/>
        <v>#REF!</v>
      </c>
      <c r="P19" s="20" t="e">
        <f t="shared" si="1"/>
        <v>#REF!</v>
      </c>
      <c r="Q19" s="20" t="e">
        <f t="shared" si="1"/>
        <v>#REF!</v>
      </c>
      <c r="R19" s="2" t="s">
        <v>1089</v>
      </c>
      <c r="AF19" s="608"/>
      <c r="AG19" s="331" t="s">
        <v>1090</v>
      </c>
      <c r="AH19" s="20">
        <f>AJ19+AI18</f>
        <v>68.313364637064709</v>
      </c>
      <c r="AI19" s="332" t="e">
        <f>SUM('2'!$AS$41:$AS$46)*Input_Stockdata!F56+SUM('2'!$AR$41:$AR$46)*Input_Stockdata!G56</f>
        <v>#DIV/0!</v>
      </c>
      <c r="AJ19" s="34">
        <f>AJ$46*((TRunsPRN!D161)/SUM(TRunsPRN!D$139:D$161))</f>
        <v>68.313364637064709</v>
      </c>
      <c r="AK19" s="34">
        <f>AJ19/$AJ$46*$AK$46</f>
        <v>1.0718740558116699</v>
      </c>
      <c r="AL19" s="20">
        <f>AJ19-AK19</f>
        <v>67.241490581253032</v>
      </c>
      <c r="AM19" s="20">
        <f>SUM(StockSumPRN!F2178:G2183)</f>
        <v>1</v>
      </c>
      <c r="AN19" s="20">
        <v>0</v>
      </c>
      <c r="AO19" s="20">
        <v>0</v>
      </c>
      <c r="AP19" s="20">
        <f>SUM(StockSumPRN!F2189:G2192)</f>
        <v>0</v>
      </c>
      <c r="AQ19" s="20">
        <v>0</v>
      </c>
      <c r="AR19" s="20">
        <v>0</v>
      </c>
      <c r="AS19" s="20">
        <f>SUM(StockSumPRN!F2196:G2205)</f>
        <v>0</v>
      </c>
      <c r="AT19" s="1050" t="s">
        <v>297</v>
      </c>
      <c r="AU19" s="20">
        <f>AJ19*(1-Input_Stockdata!E56)</f>
        <v>59.815182076213858</v>
      </c>
      <c r="AV19" s="20">
        <f>AU19+AI18</f>
        <v>59.815182076213858</v>
      </c>
      <c r="AW19" s="1050" t="s">
        <v>297</v>
      </c>
      <c r="AX19" s="20">
        <f>SUM(AT19,AW19,AY19)</f>
        <v>58</v>
      </c>
      <c r="AY19" s="20">
        <f>SUM(TRunsPRN!C116)</f>
        <v>58</v>
      </c>
      <c r="BA19" s="2" t="s">
        <v>1091</v>
      </c>
      <c r="BB19" s="20">
        <f>C9</f>
        <v>84256.425187771849</v>
      </c>
      <c r="BC19" s="2" t="s">
        <v>1092</v>
      </c>
      <c r="BF19" s="2" t="str">
        <f>IF(C9&lt;230000,"   below","&gt;&gt;ABOVE&lt;&lt;")</f>
        <v xml:space="preserve">   below</v>
      </c>
      <c r="BG19" s="2" t="s">
        <v>1093</v>
      </c>
    </row>
    <row r="20" spans="1:62" x14ac:dyDescent="0.2">
      <c r="A20" s="1501" t="s">
        <v>129</v>
      </c>
      <c r="B20" s="1501" t="s">
        <v>129</v>
      </c>
      <c r="D20" s="1501" t="s">
        <v>129</v>
      </c>
      <c r="E20" s="6" t="s">
        <v>129</v>
      </c>
      <c r="F20" s="6" t="s">
        <v>129</v>
      </c>
      <c r="G20" s="6" t="s">
        <v>129</v>
      </c>
      <c r="H20" s="6" t="s">
        <v>129</v>
      </c>
      <c r="I20" s="6" t="s">
        <v>129</v>
      </c>
      <c r="J20" s="6" t="s">
        <v>129</v>
      </c>
      <c r="L20" s="2" t="s">
        <v>1094</v>
      </c>
      <c r="M20" s="20">
        <f t="shared" si="1"/>
        <v>42871.093106447603</v>
      </c>
      <c r="N20" s="20" t="e">
        <f t="shared" si="1"/>
        <v>#REF!</v>
      </c>
      <c r="O20" s="20" t="e">
        <f t="shared" si="1"/>
        <v>#REF!</v>
      </c>
      <c r="P20" s="20" t="e">
        <f t="shared" si="1"/>
        <v>#REF!</v>
      </c>
      <c r="Q20" s="20" t="e">
        <f t="shared" si="1"/>
        <v>#REF!</v>
      </c>
      <c r="R20" s="2" t="s">
        <v>191</v>
      </c>
      <c r="X20" s="1050" t="s">
        <v>1095</v>
      </c>
      <c r="Y20" s="20">
        <f>BC42</f>
        <v>33187.072074914897</v>
      </c>
      <c r="Z20" s="20"/>
      <c r="AA20" s="20"/>
      <c r="AB20" s="20"/>
      <c r="AC20" s="20"/>
      <c r="AF20" s="1576"/>
      <c r="AG20" s="1576" t="s">
        <v>129</v>
      </c>
      <c r="AH20" s="6" t="s">
        <v>129</v>
      </c>
      <c r="AI20" s="1576" t="s">
        <v>129</v>
      </c>
      <c r="AJ20" s="605" t="s">
        <v>129</v>
      </c>
      <c r="AK20" s="605" t="s">
        <v>129</v>
      </c>
      <c r="AL20" s="6" t="s">
        <v>129</v>
      </c>
      <c r="AM20" s="6"/>
      <c r="AN20" s="6"/>
      <c r="AO20" s="6" t="s">
        <v>129</v>
      </c>
      <c r="AP20" s="6" t="s">
        <v>129</v>
      </c>
      <c r="AQ20" s="6" t="s">
        <v>129</v>
      </c>
      <c r="AR20" s="6" t="s">
        <v>129</v>
      </c>
      <c r="AS20" s="6" t="s">
        <v>129</v>
      </c>
      <c r="AT20" s="6" t="s">
        <v>129</v>
      </c>
      <c r="AU20" s="6" t="s">
        <v>129</v>
      </c>
      <c r="AV20" s="6" t="s">
        <v>129</v>
      </c>
      <c r="AW20" s="6" t="s">
        <v>129</v>
      </c>
      <c r="AX20" s="6" t="s">
        <v>129</v>
      </c>
      <c r="AY20" s="6" t="s">
        <v>129</v>
      </c>
      <c r="BA20" s="7" t="s">
        <v>1096</v>
      </c>
      <c r="BB20" s="20">
        <f>SUM(B13:B19,B23:B25)</f>
        <v>7489</v>
      </c>
    </row>
    <row r="21" spans="1:62" x14ac:dyDescent="0.2">
      <c r="A21" s="20" t="s">
        <v>1097</v>
      </c>
      <c r="C21" s="20">
        <f>'7'!C18+SUM('2'!AT41:AT46)</f>
        <v>188450</v>
      </c>
      <c r="E21" s="20" t="s">
        <v>1098</v>
      </c>
      <c r="L21" s="7" t="s">
        <v>1099</v>
      </c>
      <c r="M21" s="20">
        <f>Y9</f>
        <v>42871.093106447603</v>
      </c>
      <c r="N21" s="20" t="e">
        <f>Z9</f>
        <v>#REF!</v>
      </c>
      <c r="O21" s="20" t="e">
        <f>AA9</f>
        <v>#REF!</v>
      </c>
      <c r="P21" s="20" t="e">
        <f>AB9</f>
        <v>#REF!</v>
      </c>
      <c r="Q21" s="20" t="e">
        <f>AC9</f>
        <v>#REF!</v>
      </c>
      <c r="R21" s="2" t="s">
        <v>1100</v>
      </c>
      <c r="X21" s="7" t="s">
        <v>1101</v>
      </c>
      <c r="Y21" s="20">
        <f>Y20+Y9</f>
        <v>76058.165181362507</v>
      </c>
      <c r="AF21" s="608"/>
      <c r="AG21" s="331" t="s">
        <v>1102</v>
      </c>
      <c r="AH21" s="20">
        <f>AJ21+AI20</f>
        <v>694.76500288957345</v>
      </c>
      <c r="AI21" s="332" t="e">
        <f>SUM('2'!$AS$41:$AS$46)*Input_Stockdata!F58+SUM('2'!$AR$41:$AR$46)*Input_Stockdata!G58</f>
        <v>#DIV/0!</v>
      </c>
      <c r="AJ21" s="34">
        <f>AJ$46*((TRunsPRN!D155)/SUM(TRunsPRN!D$139:D$161))</f>
        <v>694.76500288957345</v>
      </c>
      <c r="AK21" s="34">
        <f>AJ21/$AJ$46*$AK$46</f>
        <v>10.901242903781705</v>
      </c>
      <c r="AL21" s="20">
        <f>AJ21-AK21</f>
        <v>683.86375998579172</v>
      </c>
      <c r="AM21" s="20">
        <f>SUM(StockSumPRN!D1973:E1978)</f>
        <v>333</v>
      </c>
      <c r="AN21" s="20">
        <v>0</v>
      </c>
      <c r="AO21" s="20">
        <v>0</v>
      </c>
      <c r="AP21" s="20">
        <f>SUM(StockSumPRN!D1984:E1987)</f>
        <v>0</v>
      </c>
      <c r="AQ21" s="20">
        <v>0</v>
      </c>
      <c r="AR21" s="20">
        <v>0</v>
      </c>
      <c r="AS21" s="20">
        <f>SUM(StockSumPRN!D1991:E2000)</f>
        <v>0</v>
      </c>
      <c r="AT21" s="1050" t="s">
        <v>297</v>
      </c>
      <c r="AU21" s="20">
        <f>AJ21*(1-Input_Stockdata!E58)</f>
        <v>570.78402711494357</v>
      </c>
      <c r="AV21" s="20">
        <f>AU21+AI20</f>
        <v>570.78402711494357</v>
      </c>
      <c r="AW21" s="1050" t="s">
        <v>297</v>
      </c>
      <c r="AX21" s="20">
        <f>SUM(AT21,AW21,AY21)</f>
        <v>264</v>
      </c>
      <c r="AY21" s="20">
        <f>SUM(TRunsPRN!C122)</f>
        <v>264</v>
      </c>
      <c r="BA21" s="7" t="s">
        <v>161</v>
      </c>
      <c r="BB21" s="20" t="str">
        <f>IF(BC14&lt;&gt;"&gt;&gt;TOO LOW&lt;&lt;",+BB16*0.6+BB15,"&gt;&gt;&gt;RECALC")</f>
        <v>&gt;&gt;&gt;RECALC</v>
      </c>
      <c r="BC21" s="1007">
        <f>SUM(BB20:BB21)/BB19</f>
        <v>8.8883429166502076E-2</v>
      </c>
      <c r="BD21" s="2" t="s">
        <v>1103</v>
      </c>
    </row>
    <row r="22" spans="1:62" x14ac:dyDescent="0.2">
      <c r="A22" s="1501" t="s">
        <v>129</v>
      </c>
      <c r="B22" s="1501" t="s">
        <v>129</v>
      </c>
      <c r="D22" s="1501" t="s">
        <v>129</v>
      </c>
      <c r="E22" s="6" t="s">
        <v>129</v>
      </c>
      <c r="F22" s="6" t="s">
        <v>129</v>
      </c>
      <c r="G22" s="6" t="s">
        <v>129</v>
      </c>
      <c r="H22" s="6" t="s">
        <v>129</v>
      </c>
      <c r="I22" s="6" t="s">
        <v>129</v>
      </c>
      <c r="J22" s="6" t="s">
        <v>129</v>
      </c>
      <c r="M22" s="20"/>
      <c r="N22" s="20"/>
      <c r="O22" s="20"/>
      <c r="P22" s="20"/>
      <c r="Q22" s="20"/>
      <c r="U22" s="20"/>
      <c r="V22" s="20"/>
      <c r="X22" s="6" t="s">
        <v>1104</v>
      </c>
      <c r="Y22" s="6" t="s">
        <v>1104</v>
      </c>
      <c r="Z22" s="6" t="s">
        <v>1104</v>
      </c>
      <c r="AA22" s="6" t="s">
        <v>1104</v>
      </c>
      <c r="AB22" s="6" t="s">
        <v>1104</v>
      </c>
      <c r="AC22" s="6" t="s">
        <v>1104</v>
      </c>
      <c r="AD22" s="6" t="s">
        <v>1104</v>
      </c>
      <c r="AE22" s="6" t="s">
        <v>1104</v>
      </c>
      <c r="AF22" s="608"/>
      <c r="AG22" s="331" t="s">
        <v>1105</v>
      </c>
      <c r="AH22" s="20" t="e">
        <f>AJ22+AI21</f>
        <v>#DIV/0!</v>
      </c>
      <c r="AI22" s="332" t="e">
        <f>SUM('2'!$AS$41:$AS$46)*Input_Stockdata!F59+SUM('2'!$AR$41:$AR$46)*Input_Stockdata!G59</f>
        <v>#DIV/0!</v>
      </c>
      <c r="AJ22" s="34">
        <f>AJ$46*((TRunsPRN!D154)/SUM(TRunsPRN!D$139:D$161))</f>
        <v>9392.0809618857511</v>
      </c>
      <c r="AK22" s="34">
        <f>AJ22/$AJ$46*$AK$46</f>
        <v>147.36688738159356</v>
      </c>
      <c r="AL22" s="20">
        <f>AJ22-AK22</f>
        <v>9244.7140745041579</v>
      </c>
      <c r="AM22" s="20">
        <f>SUM(StockSumPRN!B1973:C1978)</f>
        <v>3110</v>
      </c>
      <c r="AN22" s="20">
        <v>0</v>
      </c>
      <c r="AO22" s="20">
        <v>0</v>
      </c>
      <c r="AP22" s="20">
        <f>SUM(StockSumPRN!B1984:C1987)</f>
        <v>19</v>
      </c>
      <c r="AQ22" s="20">
        <v>0</v>
      </c>
      <c r="AR22" s="20">
        <v>0</v>
      </c>
      <c r="AS22" s="20">
        <f>SUM(StockSumPRN!B1991:C2000)</f>
        <v>1</v>
      </c>
      <c r="AT22" s="1050" t="s">
        <v>297</v>
      </c>
      <c r="AU22" s="20">
        <f>AJ22*(1-Input_Stockdata!E59)</f>
        <v>7716.0619376603809</v>
      </c>
      <c r="AV22" s="20" t="e">
        <f>AU22+AI21</f>
        <v>#DIV/0!</v>
      </c>
      <c r="AW22" s="1050" t="s">
        <v>297</v>
      </c>
      <c r="AX22" s="20">
        <f>SUM(AT22,AW22,AY22)</f>
        <v>4889</v>
      </c>
      <c r="AY22" s="20">
        <f>SUM(TRunsPRN!C123)</f>
        <v>4889</v>
      </c>
      <c r="BA22" s="7" t="s">
        <v>1106</v>
      </c>
      <c r="BB22" s="20">
        <f>SUM(B36:B37)</f>
        <v>76058</v>
      </c>
      <c r="BC22" s="1008">
        <f>1-BC21</f>
        <v>0.91111657083349795</v>
      </c>
      <c r="BD22" s="2" t="s">
        <v>1107</v>
      </c>
    </row>
    <row r="23" spans="1:62" x14ac:dyDescent="0.2">
      <c r="A23" s="1050" t="s">
        <v>1108</v>
      </c>
      <c r="B23" s="20">
        <f>'2'!AT42</f>
        <v>195</v>
      </c>
      <c r="D23" s="20">
        <f>SUM('2'!AT41)</f>
        <v>279</v>
      </c>
      <c r="E23" s="20" t="s">
        <v>1064</v>
      </c>
      <c r="M23" s="20"/>
      <c r="N23" s="20"/>
      <c r="O23" s="20"/>
      <c r="P23" s="20"/>
      <c r="Q23" s="20"/>
      <c r="U23" s="20"/>
      <c r="V23" s="20"/>
      <c r="AF23" s="1576"/>
      <c r="AG23" s="1576" t="s">
        <v>129</v>
      </c>
      <c r="AH23" s="6" t="s">
        <v>129</v>
      </c>
      <c r="AI23" s="1576" t="s">
        <v>129</v>
      </c>
      <c r="AJ23" s="605" t="s">
        <v>129</v>
      </c>
      <c r="AK23" s="605" t="s">
        <v>129</v>
      </c>
      <c r="AL23" s="6" t="s">
        <v>129</v>
      </c>
      <c r="AM23" s="6"/>
      <c r="AN23" s="6"/>
      <c r="AO23" s="6" t="s">
        <v>129</v>
      </c>
      <c r="AP23" s="6" t="s">
        <v>129</v>
      </c>
      <c r="AQ23" s="6" t="s">
        <v>129</v>
      </c>
      <c r="AR23" s="6" t="s">
        <v>129</v>
      </c>
      <c r="AS23" s="6" t="s">
        <v>129</v>
      </c>
      <c r="AT23" s="6" t="s">
        <v>129</v>
      </c>
      <c r="AU23" s="6" t="s">
        <v>129</v>
      </c>
      <c r="AV23" s="6" t="s">
        <v>129</v>
      </c>
      <c r="AW23" s="6" t="s">
        <v>129</v>
      </c>
      <c r="AX23" s="6" t="s">
        <v>129</v>
      </c>
      <c r="AY23" s="6" t="s">
        <v>129</v>
      </c>
      <c r="BA23" s="7" t="s">
        <v>1109</v>
      </c>
      <c r="BB23" s="20">
        <f>B36</f>
        <v>42871</v>
      </c>
    </row>
    <row r="24" spans="1:62" x14ac:dyDescent="0.2">
      <c r="A24" s="1050" t="s">
        <v>1110</v>
      </c>
      <c r="B24" s="20">
        <f>SUM('2'!AT44)</f>
        <v>423</v>
      </c>
      <c r="D24" s="20">
        <f>SUM('2'!AT43)</f>
        <v>0</v>
      </c>
      <c r="E24" s="20" t="s">
        <v>1064</v>
      </c>
      <c r="L24" s="7"/>
      <c r="M24" s="20"/>
      <c r="N24" s="20"/>
      <c r="O24" s="20"/>
      <c r="P24" s="20"/>
      <c r="Q24" s="20"/>
      <c r="U24" s="20"/>
      <c r="V24" s="20"/>
      <c r="AF24" s="608"/>
      <c r="AG24" s="331" t="s">
        <v>1111</v>
      </c>
      <c r="AH24" s="20">
        <f>AJ24+AI23</f>
        <v>76.398995661602868</v>
      </c>
      <c r="AI24" s="332" t="e">
        <f>SUM('2'!$AS$41:$AS$46)*Input_Stockdata!F61+SUM('2'!$AR$41:$AR$46)*Input_Stockdata!G61</f>
        <v>#DIV/0!</v>
      </c>
      <c r="AJ24" s="34">
        <f>AJ$46*((TRunsPRN!D153)/SUM(TRunsPRN!D$139:D$161))</f>
        <v>76.398995661602868</v>
      </c>
      <c r="AK24" s="34">
        <f>AJ24/$AJ$46*$AK$46</f>
        <v>1.198742029100839</v>
      </c>
      <c r="AL24" s="20">
        <f>AJ24-AK24</f>
        <v>75.200253632502026</v>
      </c>
      <c r="AM24" s="20">
        <f>SUM(StockSumPRN!J1768:K1773)</f>
        <v>1</v>
      </c>
      <c r="AN24" s="20">
        <f>TRunsPRN!D153/SUM(TRunsPRN!D$139:D$153)*SPS!$AN$46</f>
        <v>64.654645362654961</v>
      </c>
      <c r="AO24" s="20">
        <f>AN24/SUM($AN$24:$AN$41)*$AO$46</f>
        <v>0.3985597272817058</v>
      </c>
      <c r="AP24" s="20">
        <f>SUM(StockSumPRN!J1779:K1782)</f>
        <v>0</v>
      </c>
      <c r="AQ24" s="20">
        <v>0</v>
      </c>
      <c r="AR24" s="20">
        <v>0</v>
      </c>
      <c r="AS24" s="20">
        <f>SUM(StockSumPRN!J1786:K1795)</f>
        <v>0</v>
      </c>
      <c r="AT24" s="1050" t="s">
        <v>297</v>
      </c>
      <c r="AU24" s="20">
        <f>AJ24*(1-Input_Stockdata!E61)</f>
        <v>64.713616477169381</v>
      </c>
      <c r="AV24" s="20">
        <f>AU24+AI23</f>
        <v>64.713616477169381</v>
      </c>
      <c r="AW24" s="1050" t="s">
        <v>297</v>
      </c>
      <c r="AX24" s="20">
        <f>SUM(AT24,AW24,AY24)</f>
        <v>65</v>
      </c>
      <c r="AY24" s="20">
        <f>SUM(TRunsPRN!C124)</f>
        <v>65</v>
      </c>
      <c r="BA24" s="7" t="s">
        <v>1112</v>
      </c>
      <c r="BB24" s="20">
        <f>SUM(B37)</f>
        <v>33187</v>
      </c>
      <c r="BC24" s="2">
        <f>Input_Harvestnew!C147</f>
        <v>0</v>
      </c>
    </row>
    <row r="25" spans="1:62" x14ac:dyDescent="0.2">
      <c r="A25" s="1050" t="s">
        <v>1113</v>
      </c>
      <c r="B25" s="20">
        <v>0</v>
      </c>
      <c r="D25" s="20">
        <v>0</v>
      </c>
      <c r="E25" s="20" t="s">
        <v>1114</v>
      </c>
      <c r="AF25" s="608"/>
      <c r="AG25" s="331" t="s">
        <v>1115</v>
      </c>
      <c r="AH25" s="20" t="e">
        <f>AJ25+AI24</f>
        <v>#DIV/0!</v>
      </c>
      <c r="AI25" s="332" t="e">
        <f>SUM('2'!$AS$41:$AS$46)*Input_Stockdata!F62+SUM('2'!$AR$41:$AR$46)*Input_Stockdata!G62</f>
        <v>#DIV/0!</v>
      </c>
      <c r="AJ25" s="34">
        <f>AJ$46*((TRunsPRN!D152)/SUM(TRunsPRN!D$139:D$161))</f>
        <v>0</v>
      </c>
      <c r="AK25" s="34">
        <f>AJ25/$AJ$46*$AK$46</f>
        <v>0</v>
      </c>
      <c r="AL25" s="20">
        <f>AJ25-AK25</f>
        <v>0</v>
      </c>
      <c r="AM25" s="20">
        <f>SUM(StockSumPRN!H1768:I1773)</f>
        <v>0</v>
      </c>
      <c r="AN25" s="20">
        <f>TRunsPRN!D152/SUM(TRunsPRN!D$139:D$153)*SPS!$AN$46</f>
        <v>0</v>
      </c>
      <c r="AO25" s="20">
        <f>AN25/SUM($AN$24:$AN$41)*$AO$46</f>
        <v>0</v>
      </c>
      <c r="AP25" s="20">
        <f>SUM(StockSumPRN!H1779:I1782)</f>
        <v>0</v>
      </c>
      <c r="AQ25" s="20">
        <v>0</v>
      </c>
      <c r="AR25" s="20">
        <v>0</v>
      </c>
      <c r="AS25" s="20">
        <f>SUM(StockSumPRN!H1786:I1795)</f>
        <v>0</v>
      </c>
      <c r="AT25" s="1050" t="s">
        <v>297</v>
      </c>
      <c r="AU25" s="20">
        <f>AJ25*(1-Input_Stockdata!E62)</f>
        <v>0</v>
      </c>
      <c r="AV25" s="20" t="e">
        <f>AU25+AI24</f>
        <v>#DIV/0!</v>
      </c>
      <c r="AW25" s="1050" t="s">
        <v>297</v>
      </c>
      <c r="AX25" s="20">
        <f>SUM(AT25,AW25,AY25)</f>
        <v>0</v>
      </c>
      <c r="AY25" s="20">
        <f>SUM(TRunsPRN!C125)</f>
        <v>0</v>
      </c>
      <c r="BA25" s="7" t="s">
        <v>1116</v>
      </c>
      <c r="BB25" s="20">
        <f>BB21+BB23+BB24</f>
        <v>76058</v>
      </c>
      <c r="BC25" s="2" t="str">
        <f>IF(ROUND(BB25,0)=ROUND(BD25,0),"     =","&gt;&gt;NOT =&lt;&lt;")</f>
        <v>&gt;&gt;NOT =&lt;&lt;</v>
      </c>
      <c r="BD25" s="20">
        <f>B32</f>
        <v>76767.425187771849</v>
      </c>
      <c r="BE25" s="2" t="s">
        <v>1117</v>
      </c>
    </row>
    <row r="26" spans="1:62" x14ac:dyDescent="0.2">
      <c r="A26" s="1501" t="s">
        <v>129</v>
      </c>
      <c r="B26" s="1501" t="s">
        <v>129</v>
      </c>
      <c r="D26" s="1501" t="s">
        <v>129</v>
      </c>
      <c r="E26" s="6" t="s">
        <v>129</v>
      </c>
      <c r="F26" s="6" t="s">
        <v>129</v>
      </c>
      <c r="G26" s="6" t="s">
        <v>129</v>
      </c>
      <c r="H26" s="6" t="s">
        <v>129</v>
      </c>
      <c r="I26" s="6" t="s">
        <v>129</v>
      </c>
      <c r="J26" s="6" t="s">
        <v>129</v>
      </c>
      <c r="L26" s="7"/>
      <c r="M26" s="20"/>
      <c r="N26" s="20"/>
      <c r="O26" s="20"/>
      <c r="P26" s="20"/>
      <c r="Q26" s="20"/>
      <c r="AG26" s="331"/>
      <c r="AI26" s="331"/>
      <c r="AJ26" s="34"/>
      <c r="AK26" s="34"/>
    </row>
    <row r="27" spans="1:62" x14ac:dyDescent="0.2">
      <c r="A27" s="2" t="s">
        <v>1118</v>
      </c>
      <c r="L27" s="6" t="s">
        <v>125</v>
      </c>
      <c r="M27" s="6" t="s">
        <v>125</v>
      </c>
      <c r="N27" s="6" t="s">
        <v>125</v>
      </c>
      <c r="O27" s="6" t="s">
        <v>125</v>
      </c>
      <c r="P27" s="6" t="s">
        <v>125</v>
      </c>
      <c r="Q27" s="6" t="s">
        <v>125</v>
      </c>
      <c r="R27" s="6" t="s">
        <v>125</v>
      </c>
      <c r="S27" s="6" t="s">
        <v>125</v>
      </c>
      <c r="T27" s="6" t="s">
        <v>125</v>
      </c>
      <c r="U27" s="6" t="s">
        <v>125</v>
      </c>
      <c r="V27" s="6" t="s">
        <v>125</v>
      </c>
      <c r="AF27" s="608"/>
      <c r="AG27" s="331" t="s">
        <v>1119</v>
      </c>
      <c r="AH27" s="20">
        <f>AJ27+AI26</f>
        <v>3112.1453558579137</v>
      </c>
      <c r="AI27" s="332" t="e">
        <f>SUM('2'!$AS$41:$AS$46)*Input_Stockdata!F63+SUM('2'!$AR$41:$AR$46)*Input_Stockdata!G63</f>
        <v>#DIV/0!</v>
      </c>
      <c r="AJ27" s="34">
        <f>AJ$46*((TRunsPRN!D151)/SUM(TRunsPRN!D$139:D$161))</f>
        <v>3112.1453558579137</v>
      </c>
      <c r="AK27" s="34">
        <f>AJ27/$AJ$46*$AK$46</f>
        <v>48.831262851441494</v>
      </c>
      <c r="AL27" s="20">
        <f>AJ27-AK27</f>
        <v>3063.3140930064724</v>
      </c>
      <c r="AM27" s="20">
        <f>SUM(StockSumPRN!F1768:G1773)</f>
        <v>46</v>
      </c>
      <c r="AN27" s="20">
        <f>TRunsPRN!D151/SUM(TRunsPRN!D$139:D$153)*SPS!$AN$46</f>
        <v>2633.7342861321786</v>
      </c>
      <c r="AO27" s="20">
        <f>AN27/SUM($AN$24:$AN$41)*$AO$46</f>
        <v>16.235498824955808</v>
      </c>
      <c r="AP27" s="20">
        <f>SUM(StockSumPRN!F1779:G1782)</f>
        <v>38</v>
      </c>
      <c r="AQ27" s="20">
        <v>0</v>
      </c>
      <c r="AR27" s="20">
        <v>0</v>
      </c>
      <c r="AS27" s="20">
        <f>SUM(StockSumPRN!F1786:G1795)</f>
        <v>1</v>
      </c>
      <c r="AT27" s="20">
        <f>SUM(StockSumPRN!F1783:G1783)</f>
        <v>932</v>
      </c>
      <c r="AU27" s="20">
        <f>AJ27*(1-Input_Stockdata!E63)</f>
        <v>2636.1364993887341</v>
      </c>
      <c r="AV27" s="20">
        <f>AU27+AI26</f>
        <v>2636.1364993887341</v>
      </c>
      <c r="AW27" s="20">
        <f>SUM(StockSumPRN!F1784:G1784)</f>
        <v>418</v>
      </c>
      <c r="AX27" s="20">
        <f>SUM(AT27,AW27,AY27)</f>
        <v>3005</v>
      </c>
      <c r="AY27" s="1509">
        <f>SUM(TRunsPRN!C126)</f>
        <v>1655</v>
      </c>
      <c r="BA27" s="2" t="s">
        <v>1120</v>
      </c>
    </row>
    <row r="28" spans="1:62" x14ac:dyDescent="0.2">
      <c r="B28" s="20">
        <f>SUM(B13:B25)</f>
        <v>7489</v>
      </c>
      <c r="D28" s="20">
        <f>SUM(D13:D25)</f>
        <v>59119.850375543705</v>
      </c>
      <c r="L28" s="2" t="s">
        <v>1121</v>
      </c>
      <c r="AF28" s="608"/>
      <c r="AG28" s="331" t="s">
        <v>1122</v>
      </c>
      <c r="AH28" s="20" t="e">
        <f>AJ28+AI27</f>
        <v>#DIV/0!</v>
      </c>
      <c r="AI28" s="332" t="e">
        <f>SUM('2'!$AS$41:$AS$46)*Input_Stockdata!F64+SUM('2'!$AR$41:$AR$46)*Input_Stockdata!G64</f>
        <v>#DIV/0!</v>
      </c>
      <c r="AJ28" s="34">
        <f>AJ$46*((TRunsPRN!D150)/SUM(TRunsPRN!D$139:D$161))</f>
        <v>17711.428143254969</v>
      </c>
      <c r="AK28" s="34">
        <f>AJ28/$AJ$46*$AK$46</f>
        <v>277.90199500475637</v>
      </c>
      <c r="AL28" s="20">
        <f>AJ28-AK28</f>
        <v>17433.526148250214</v>
      </c>
      <c r="AM28" s="20">
        <f>SUM(StockSumPRN!D1768:E1773)</f>
        <v>247</v>
      </c>
      <c r="AN28" s="20">
        <f>TRunsPRN!D150/SUM(TRunsPRN!D$139:D$153)*SPS!$AN$46</f>
        <v>14988.758628980537</v>
      </c>
      <c r="AO28" s="20">
        <f>AN28/SUM($AN$24:$AN$41)*$AO$46</f>
        <v>92.397313726638714</v>
      </c>
      <c r="AP28" s="20">
        <f>SUM(StockSumPRN!D1779:E1782)</f>
        <v>198</v>
      </c>
      <c r="AQ28" s="20">
        <v>0</v>
      </c>
      <c r="AR28" s="20">
        <v>0</v>
      </c>
      <c r="AS28" s="20">
        <f>SUM(StockSumPRN!D1786:E1795)</f>
        <v>6</v>
      </c>
      <c r="AT28" s="20">
        <f>SUM(StockSumPRN!D1783:E1783)</f>
        <v>4924</v>
      </c>
      <c r="AU28" s="20">
        <f>AJ28*(1-Input_Stockdata!E64)</f>
        <v>15002.429785887834</v>
      </c>
      <c r="AV28" s="20" t="e">
        <f>AU28+AI27</f>
        <v>#DIV/0!</v>
      </c>
      <c r="AW28" s="20">
        <f>SUM(StockSumPRN!D1784:E1784)</f>
        <v>3413</v>
      </c>
      <c r="AX28" s="20">
        <f>SUM(AT28,AW28,AY28)</f>
        <v>18154</v>
      </c>
      <c r="AY28" s="1509">
        <f>SUM(TRunsPRN!C127)</f>
        <v>9817</v>
      </c>
      <c r="BA28" s="2" t="s">
        <v>1123</v>
      </c>
      <c r="BB28" s="7" t="s">
        <v>1124</v>
      </c>
      <c r="BC28" s="7" t="s">
        <v>1125</v>
      </c>
      <c r="BD28" s="7" t="s">
        <v>1126</v>
      </c>
      <c r="BE28" s="7" t="s">
        <v>1127</v>
      </c>
      <c r="BG28" s="2" t="s">
        <v>1128</v>
      </c>
      <c r="BH28" s="7" t="s">
        <v>1129</v>
      </c>
      <c r="BI28" s="7" t="s">
        <v>1125</v>
      </c>
      <c r="BJ28" s="7" t="s">
        <v>1126</v>
      </c>
    </row>
    <row r="29" spans="1:62" x14ac:dyDescent="0.2">
      <c r="A29" s="2" t="s">
        <v>1130</v>
      </c>
      <c r="C29" s="20">
        <f>SUM('7'!C18)</f>
        <v>187553</v>
      </c>
      <c r="E29" s="2" t="s">
        <v>1131</v>
      </c>
      <c r="L29" s="2" t="s">
        <v>1132</v>
      </c>
      <c r="AF29" s="1576"/>
      <c r="AG29" s="1576" t="s">
        <v>129</v>
      </c>
      <c r="AH29" s="6" t="s">
        <v>129</v>
      </c>
      <c r="AI29" s="1576" t="s">
        <v>129</v>
      </c>
      <c r="AJ29" s="605" t="s">
        <v>129</v>
      </c>
      <c r="AK29" s="605" t="s">
        <v>129</v>
      </c>
      <c r="AL29" s="6" t="s">
        <v>129</v>
      </c>
      <c r="AM29" s="6"/>
      <c r="AN29" s="6"/>
      <c r="AO29" s="6" t="s">
        <v>129</v>
      </c>
      <c r="AP29" s="6" t="s">
        <v>129</v>
      </c>
      <c r="AQ29" s="6" t="s">
        <v>129</v>
      </c>
      <c r="AR29" s="6" t="s">
        <v>129</v>
      </c>
      <c r="AS29" s="6" t="s">
        <v>129</v>
      </c>
      <c r="AT29" s="6" t="s">
        <v>129</v>
      </c>
      <c r="AU29" s="6" t="s">
        <v>129</v>
      </c>
      <c r="AV29" s="6" t="s">
        <v>129</v>
      </c>
      <c r="AW29" s="6" t="s">
        <v>129</v>
      </c>
      <c r="AX29" s="6" t="s">
        <v>129</v>
      </c>
      <c r="AY29" s="6" t="s">
        <v>129</v>
      </c>
      <c r="BA29" s="7" t="s">
        <v>161</v>
      </c>
      <c r="BB29" s="20" t="str">
        <f>IF(BB21&lt;&gt;"&gt;&gt;&gt;RECALC",BB21,"&gt;&gt;&gt;RECALC")</f>
        <v>&gt;&gt;&gt;RECALC</v>
      </c>
      <c r="BC29" s="1063">
        <f>BB12/SUM(BB$12+BB$22)</f>
        <v>0</v>
      </c>
      <c r="BD29" s="1063">
        <f>BB12/(BB$12+BB$23)</f>
        <v>0</v>
      </c>
      <c r="BG29" s="2">
        <v>0</v>
      </c>
      <c r="BH29" s="20" t="str">
        <f>IF(BB29&lt;&gt;"&gt;&gt;&gt;RECALC",+BB29+BG29,"&gt;&gt;&gt;RECALC")</f>
        <v>&gt;&gt;&gt;RECALC</v>
      </c>
      <c r="BI29" s="1063">
        <f>BH29/BH$33</f>
        <v>0</v>
      </c>
      <c r="BJ29" s="1063">
        <f>BH29/(BH29+BH31)</f>
        <v>0</v>
      </c>
    </row>
    <row r="30" spans="1:62" x14ac:dyDescent="0.2">
      <c r="A30" s="6" t="s">
        <v>125</v>
      </c>
      <c r="B30" s="6" t="s">
        <v>125</v>
      </c>
      <c r="D30" s="6" t="s">
        <v>125</v>
      </c>
      <c r="E30" s="6" t="s">
        <v>125</v>
      </c>
      <c r="F30" s="6" t="s">
        <v>125</v>
      </c>
      <c r="G30" s="6" t="s">
        <v>125</v>
      </c>
      <c r="H30" s="6" t="s">
        <v>125</v>
      </c>
      <c r="I30" s="6" t="s">
        <v>125</v>
      </c>
      <c r="J30" s="6" t="s">
        <v>125</v>
      </c>
      <c r="L30" s="2" t="s">
        <v>1133</v>
      </c>
      <c r="AF30" s="608"/>
      <c r="AG30" s="331" t="s">
        <v>1134</v>
      </c>
      <c r="AH30" s="20">
        <f>AJ30+AI29</f>
        <v>1521.3402993003967</v>
      </c>
      <c r="AI30" s="332" t="e">
        <f>SUM('2'!$AS$41:$AS$46)*Input_Stockdata!F66+SUM('2'!$AR$41:$AR$46)*Input_Stockdata!G66</f>
        <v>#DIV/0!</v>
      </c>
      <c r="AJ30" s="34">
        <f>AJ$46*((TRunsPRN!D146)/SUM(TRunsPRN!D$139:D$161))</f>
        <v>1521.3402993003967</v>
      </c>
      <c r="AK30" s="34">
        <f>AJ30/$AJ$46*$AK$46</f>
        <v>23.870661407827907</v>
      </c>
      <c r="AL30" s="20">
        <f>AJ30-AK30</f>
        <v>1497.4696378925689</v>
      </c>
      <c r="AM30" s="20">
        <f>SUM(StockSumPRN!F1563:G1568)</f>
        <v>15</v>
      </c>
      <c r="AN30" s="20">
        <f>TRunsPRN!D146/SUM(TRunsPRN!D$139:D$153)*SPS!$AN$46</f>
        <v>1287.4739605591153</v>
      </c>
      <c r="AO30" s="20">
        <f>AN30/SUM($AN$24:$AN$41)*$AO$46</f>
        <v>7.9365568819457115</v>
      </c>
      <c r="AP30" s="20">
        <f>SUM(StockSumPRN!F1574:G1577)</f>
        <v>5</v>
      </c>
      <c r="AQ30" s="20">
        <f>TRunsPRN!D146/SUM(TRunsPRN!D$139:D$149)*SPS!$AQ$46</f>
        <v>1281.9066778012864</v>
      </c>
      <c r="AR30" s="20">
        <f>AQ30/$AQ$46*$AR$46</f>
        <v>703.14011076850329</v>
      </c>
      <c r="AS30" s="20">
        <f>SUM(StockSumPRN!F1581:G1590)</f>
        <v>4</v>
      </c>
      <c r="AT30" s="1050" t="s">
        <v>297</v>
      </c>
      <c r="AU30" s="20">
        <f>AJ30*(1-Input_Stockdata!E66)</f>
        <v>-2778.659700699603</v>
      </c>
      <c r="AV30" s="20">
        <f>AU30+AI29</f>
        <v>-2778.659700699603</v>
      </c>
      <c r="AW30" s="1050" t="s">
        <v>297</v>
      </c>
      <c r="AX30" s="20">
        <f>SUM(AT30,AW30,AY30)</f>
        <v>1281</v>
      </c>
      <c r="AY30" s="20">
        <f>SUM(TRunsPRN!C131)</f>
        <v>1281</v>
      </c>
      <c r="BA30" s="7" t="s">
        <v>1106</v>
      </c>
      <c r="BB30" s="20">
        <f>BB22</f>
        <v>76058</v>
      </c>
      <c r="BE30" s="1063">
        <f>BE32+BE31</f>
        <v>1</v>
      </c>
      <c r="BH30" s="20">
        <f>BH31+BH32</f>
        <v>76058.165181362507</v>
      </c>
    </row>
    <row r="31" spans="1:62" x14ac:dyDescent="0.2">
      <c r="A31" s="20" t="s">
        <v>1135</v>
      </c>
      <c r="L31" s="6" t="s">
        <v>1136</v>
      </c>
      <c r="M31" s="6" t="s">
        <v>1136</v>
      </c>
      <c r="N31" s="6" t="s">
        <v>1136</v>
      </c>
      <c r="O31" s="6" t="s">
        <v>1136</v>
      </c>
      <c r="P31" s="6" t="s">
        <v>1136</v>
      </c>
      <c r="Q31" s="6" t="s">
        <v>1136</v>
      </c>
      <c r="R31" s="6" t="s">
        <v>1136</v>
      </c>
      <c r="S31" s="6" t="s">
        <v>1136</v>
      </c>
      <c r="T31" s="6" t="s">
        <v>1136</v>
      </c>
      <c r="U31" s="6" t="s">
        <v>1136</v>
      </c>
      <c r="V31" s="6" t="s">
        <v>1136</v>
      </c>
      <c r="AF31" s="608"/>
      <c r="AG31" s="331" t="s">
        <v>1137</v>
      </c>
      <c r="AH31" s="20" t="e">
        <f>AJ31+AI30</f>
        <v>#DIV/0!</v>
      </c>
      <c r="AI31" s="332" t="e">
        <f>SUM('2'!$AS$41:$AS$46)*Input_Stockdata!F67+SUM('2'!$AR$41:$AR$46)*Input_Stockdata!G67</f>
        <v>#DIV/0!</v>
      </c>
      <c r="AJ31" s="34">
        <f>AJ$46*((SUM(TRunsPRN!D144,TRunsPRN!D148,TRunsPRN!D147)/SUM(TRunsPRN!D$139:D$161)))</f>
        <v>0</v>
      </c>
      <c r="AK31" s="34">
        <f>AJ31/$AJ$46*$AK$46</f>
        <v>0</v>
      </c>
      <c r="AL31" s="20">
        <f>AJ31-AK31</f>
        <v>0</v>
      </c>
      <c r="AM31" s="20">
        <f>SUM(StockSumPRN!B1563:C1568,StockSumPRN!H1563:K1568)</f>
        <v>0</v>
      </c>
      <c r="AN31" s="20">
        <f>SUM(TRunsPRN!D144,TRunsPRN!D147,TRunsPRN!D148)/SUM(TRunsPRN!D$139:D$153)*SPS!$AN$46</f>
        <v>0</v>
      </c>
      <c r="AO31" s="20">
        <f>AN31/SUM($AN$24:$AN$41)*$AO$46</f>
        <v>0</v>
      </c>
      <c r="AP31" s="20">
        <f>SUM(StockSumPRN!B1574:C1577,StockSumPRN!H1574:K1577)</f>
        <v>0</v>
      </c>
      <c r="AQ31" s="20">
        <f>SUM(TRunsPRN!D147,TRunsPRN!D144,TRunsPRN!D148)/SUM(TRunsPRN!D$139:D$149)*SPS!$AQ$46</f>
        <v>0</v>
      </c>
      <c r="AR31" s="20">
        <f>AQ31/$AQ$46*$AR$46</f>
        <v>0</v>
      </c>
      <c r="AS31" s="20">
        <f>SUM(StockSumPRN!H1581:K1590,StockSumPRN!B1581:C1590)</f>
        <v>0</v>
      </c>
      <c r="AT31" s="1050" t="s">
        <v>297</v>
      </c>
      <c r="AU31" s="20">
        <f>AJ31*(1-Input_Stockdata!E67)</f>
        <v>0</v>
      </c>
      <c r="AV31" s="20" t="e">
        <f>AU31+AI30</f>
        <v>#DIV/0!</v>
      </c>
      <c r="AW31" s="1050" t="s">
        <v>297</v>
      </c>
      <c r="AX31" s="20">
        <f>SUM(AT31,AW31,AY31)</f>
        <v>0</v>
      </c>
      <c r="AY31" s="1509">
        <f>SUM(TRunsPRN!C133,TRunsPRN!C130)</f>
        <v>0</v>
      </c>
      <c r="BA31" s="7" t="s">
        <v>1138</v>
      </c>
      <c r="BB31" s="20">
        <f>BB23</f>
        <v>42871</v>
      </c>
      <c r="BC31" s="1063">
        <f>BB23/SUM(BB$12+BB$22)</f>
        <v>0.56366194220200372</v>
      </c>
      <c r="BD31" s="1063">
        <f>BB23/(BB$12+BB$23)</f>
        <v>1</v>
      </c>
      <c r="BE31" s="1063">
        <f>BB31/BB30</f>
        <v>0.56366194220200372</v>
      </c>
      <c r="BG31" s="20">
        <f>Input_Harvestnew!C144*BE31</f>
        <v>9.3106447605351764E-2</v>
      </c>
      <c r="BH31" s="20">
        <f>BB31+BG31</f>
        <v>42871.093106447603</v>
      </c>
      <c r="BI31" s="1063">
        <f>BH31/BH$33</f>
        <v>0.56366194220200372</v>
      </c>
      <c r="BJ31" s="1063">
        <f>BH31/(BH29+BH31)</f>
        <v>1</v>
      </c>
    </row>
    <row r="32" spans="1:62" x14ac:dyDescent="0.2">
      <c r="A32" s="1050" t="s">
        <v>1139</v>
      </c>
      <c r="B32" s="20">
        <f>$C9-SUM(B13:B16,B17:B19,B23:B25)</f>
        <v>76767.425187771849</v>
      </c>
      <c r="D32" s="20">
        <f>$C9-SUM(D13:D16,D17:D19,D23:D25)</f>
        <v>25136.574812228144</v>
      </c>
      <c r="E32" s="20" t="s">
        <v>1140</v>
      </c>
      <c r="AF32" s="1576"/>
      <c r="AG32" s="1576" t="s">
        <v>129</v>
      </c>
      <c r="AH32" s="6" t="s">
        <v>129</v>
      </c>
      <c r="AI32" s="1576" t="s">
        <v>129</v>
      </c>
      <c r="AJ32" s="605" t="s">
        <v>129</v>
      </c>
      <c r="AK32" s="605" t="s">
        <v>129</v>
      </c>
      <c r="AL32" s="6" t="s">
        <v>129</v>
      </c>
      <c r="AM32" s="6"/>
      <c r="AN32" s="6"/>
      <c r="AO32" s="605" t="s">
        <v>129</v>
      </c>
      <c r="AP32" s="6"/>
      <c r="AQ32" s="605" t="s">
        <v>129</v>
      </c>
      <c r="AR32" s="605" t="s">
        <v>129</v>
      </c>
      <c r="AS32" s="6"/>
      <c r="AT32" s="6"/>
      <c r="AU32" s="6" t="s">
        <v>129</v>
      </c>
      <c r="AV32" s="6" t="s">
        <v>129</v>
      </c>
      <c r="AW32" s="605" t="s">
        <v>129</v>
      </c>
      <c r="AX32" s="6" t="s">
        <v>129</v>
      </c>
      <c r="AY32" s="6" t="s">
        <v>129</v>
      </c>
      <c r="BA32" s="2" t="s">
        <v>1141</v>
      </c>
      <c r="BB32" s="20">
        <f>BB24</f>
        <v>33187</v>
      </c>
      <c r="BC32" s="1063">
        <f>BB24/SUM(BB$12+BB$22)</f>
        <v>0.43633805779799628</v>
      </c>
      <c r="BE32" s="1063">
        <f>BB32/BB30</f>
        <v>0.43633805779799628</v>
      </c>
      <c r="BG32" s="20">
        <f>Input_Harvestnew!C144*BE32</f>
        <v>7.20749149000212E-2</v>
      </c>
      <c r="BH32" s="20">
        <f>BB32+BG32</f>
        <v>33187.072074914897</v>
      </c>
      <c r="BI32" s="1063">
        <f>BH32/BH$33</f>
        <v>0.43633805779799623</v>
      </c>
    </row>
    <row r="33" spans="1:62" x14ac:dyDescent="0.2">
      <c r="A33" s="7" t="s">
        <v>1142</v>
      </c>
      <c r="B33" s="20">
        <f>SUM(Input_Harvestnew!C157)</f>
        <v>0</v>
      </c>
      <c r="D33" s="20">
        <f>-Input_Harvestnew!C157</f>
        <v>0</v>
      </c>
      <c r="AF33" s="608"/>
      <c r="AG33" s="331" t="s">
        <v>1143</v>
      </c>
      <c r="AH33" s="20">
        <f>AJ33+AI32</f>
        <v>3400.7368559423694</v>
      </c>
      <c r="AI33" s="332" t="e">
        <f>SUM('2'!$AS$41:$AS$46)*Input_Stockdata!F69+SUM('2'!$AR$41:$AR$46)*Input_Stockdata!G69</f>
        <v>#DIV/0!</v>
      </c>
      <c r="AJ33" s="34">
        <f>AJ$46*((TRunsPRN!D143)/SUM(TRunsPRN!D$139:D$161))</f>
        <v>3400.7368559423694</v>
      </c>
      <c r="AK33" s="34">
        <f>AJ33/$AJ$46*$AK$46</f>
        <v>53.359421335681411</v>
      </c>
      <c r="AL33" s="20">
        <f>AJ33-AK33</f>
        <v>3347.377434606688</v>
      </c>
      <c r="AM33" s="20">
        <f>SUM(StockSumPRN!J1358:K1363)</f>
        <v>40</v>
      </c>
      <c r="AN33" s="20">
        <f>TRunsPRN!D143/SUM(TRunsPRN!D$139:D$153)*SPS!$AN$46</f>
        <v>2877.962380115026</v>
      </c>
      <c r="AO33" s="20">
        <f>AN33/SUM($AN$24:$AN$41)*$AO$46</f>
        <v>17.74102842745145</v>
      </c>
      <c r="AP33" s="20">
        <f>SUM(StockSumPRN!J1369:K1372)</f>
        <v>10</v>
      </c>
      <c r="AQ33" s="20">
        <f>TRunsPRN!D143/SUM(TRunsPRN!D$139:D$149)*SPS!$AQ$46</f>
        <v>2865.5175223335632</v>
      </c>
      <c r="AR33" s="20">
        <f>AQ33/$AQ$46*$AR$46</f>
        <v>1571.768322104833</v>
      </c>
      <c r="AS33" s="20">
        <f>SUM(StockSumPRN!J1376:K1385)</f>
        <v>9</v>
      </c>
      <c r="AT33" s="20">
        <f>SUM(StockSumPRN!J1386:K1386,StockSumPRN!J1387:K1387)</f>
        <v>867</v>
      </c>
      <c r="AU33" s="20">
        <f>AJ33*(1-Input_Stockdata!E69)</f>
        <v>1643.6278293565074</v>
      </c>
      <c r="AV33" s="20">
        <f>AU33+AI32</f>
        <v>1643.6278293565074</v>
      </c>
      <c r="AW33" s="20">
        <f>SUM(StockSumPRN!J1389:K1389)</f>
        <v>116</v>
      </c>
      <c r="AX33" s="20">
        <f>SUM(AT33,AW33,AY33)</f>
        <v>2974</v>
      </c>
      <c r="AY33" s="20">
        <f>SUM(TRunsPRN!C134)</f>
        <v>1991</v>
      </c>
      <c r="BA33" s="7" t="s">
        <v>174</v>
      </c>
      <c r="BB33" s="20">
        <f>SUM(BB29:BB32)-BB30</f>
        <v>76058</v>
      </c>
      <c r="BC33" s="1063">
        <f>SUM(BC29:BC32)</f>
        <v>1</v>
      </c>
      <c r="BD33" s="1063">
        <f>SUM(BD29:BD32)</f>
        <v>1</v>
      </c>
      <c r="BG33" s="20">
        <f>SUM(BG29:BG32)</f>
        <v>0.16518136250537296</v>
      </c>
      <c r="BH33" s="20">
        <f>SUM(BH29:BH32)-BH30</f>
        <v>76058.165181362507</v>
      </c>
      <c r="BI33" s="1063">
        <f>SUM(BI29:BI32)</f>
        <v>1</v>
      </c>
      <c r="BJ33" s="1063">
        <f>SUM(BJ29:BJ32)</f>
        <v>1</v>
      </c>
    </row>
    <row r="34" spans="1:62" x14ac:dyDescent="0.2">
      <c r="A34" s="7" t="s">
        <v>1144</v>
      </c>
      <c r="B34" s="20">
        <f>B32+B33</f>
        <v>76767.425187771849</v>
      </c>
      <c r="D34" s="20">
        <f>D32+D33</f>
        <v>25136.574812228144</v>
      </c>
      <c r="AF34" s="608"/>
      <c r="AG34" s="331" t="s">
        <v>1145</v>
      </c>
      <c r="AH34" s="20" t="e">
        <f>AJ34+AI33</f>
        <v>#DIV/0!</v>
      </c>
      <c r="AI34" s="332" t="e">
        <f>SUM('2'!$AS$41:$AS$46)*Input_Stockdata!F70+SUM('2'!$AR$41:$AR$46)*Input_Stockdata!G70</f>
        <v>#DIV/0!</v>
      </c>
      <c r="AJ34" s="34">
        <f>AJ$46*((TRunsPRN!D142)/SUM(TRunsPRN!D$139:D$161))</f>
        <v>7741.6638455273242</v>
      </c>
      <c r="AK34" s="34">
        <f>AJ34/$AJ$46*$AK$46</f>
        <v>121.47094011431049</v>
      </c>
      <c r="AL34" s="20">
        <f>AJ34-AK34</f>
        <v>7620.1929054130132</v>
      </c>
      <c r="AM34" s="20">
        <f>SUM(StockSumPRN!H1358:I1363)</f>
        <v>110</v>
      </c>
      <c r="AN34" s="20">
        <f>TRunsPRN!D142/SUM(TRunsPRN!D$139:D$153)*SPS!$AN$46</f>
        <v>6551.5852154195118</v>
      </c>
      <c r="AO34" s="20">
        <f>AN34/SUM($AN$24:$AN$41)*$AO$46</f>
        <v>40.3868585478114</v>
      </c>
      <c r="AP34" s="20">
        <f>SUM(StockSumPRN!H1369:I1372)</f>
        <v>24</v>
      </c>
      <c r="AQ34" s="20">
        <f>TRunsPRN!D142/SUM(TRunsPRN!D$139:D$149)*SPS!$AQ$46</f>
        <v>6523.254912420286</v>
      </c>
      <c r="AR34" s="20">
        <f>AQ34/$AQ$46*$AR$46</f>
        <v>3578.0780778500603</v>
      </c>
      <c r="AS34" s="20">
        <f>SUM(StockSumPRN!H1376:I1385)</f>
        <v>27</v>
      </c>
      <c r="AT34" s="20">
        <f>SUM(StockSumPRN!H1386:I1386,StockSumPRN!H1387:I1387)</f>
        <v>1586</v>
      </c>
      <c r="AU34" s="20">
        <f>AJ34*(1-Input_Stockdata!E70)</f>
        <v>3741.6638455273242</v>
      </c>
      <c r="AV34" s="20" t="e">
        <f>AU34+AI33</f>
        <v>#DIV/0!</v>
      </c>
      <c r="AW34" s="20">
        <f>SUM(StockSumPRN!H1389:I1389)</f>
        <v>1818</v>
      </c>
      <c r="AX34" s="20">
        <f>SUM(AT34,AW34,AY34)</f>
        <v>8299</v>
      </c>
      <c r="AY34" s="20">
        <f>SUM(TRunsPRN!C135)</f>
        <v>4895</v>
      </c>
      <c r="BA34" s="2" t="s">
        <v>1146</v>
      </c>
    </row>
    <row r="35" spans="1:62" x14ac:dyDescent="0.2">
      <c r="A35" s="7" t="s">
        <v>161</v>
      </c>
      <c r="B35" s="20">
        <f>SUM(FishSumAllPRN!G967)</f>
        <v>2657</v>
      </c>
      <c r="D35" s="332">
        <f>SUM(FishSumAllPRN!G966)</f>
        <v>333</v>
      </c>
      <c r="AF35" s="1576"/>
      <c r="AG35" s="1576" t="s">
        <v>129</v>
      </c>
      <c r="AH35" s="6" t="s">
        <v>129</v>
      </c>
      <c r="AI35" s="1576" t="s">
        <v>129</v>
      </c>
      <c r="AJ35" s="605" t="s">
        <v>129</v>
      </c>
      <c r="AK35" s="605" t="s">
        <v>129</v>
      </c>
      <c r="AL35" s="6" t="s">
        <v>129</v>
      </c>
      <c r="AM35" s="6"/>
      <c r="AN35" s="6"/>
      <c r="AO35" s="6" t="s">
        <v>129</v>
      </c>
      <c r="AP35" s="6" t="s">
        <v>129</v>
      </c>
      <c r="AQ35" s="6" t="s">
        <v>129</v>
      </c>
      <c r="AR35" s="6" t="s">
        <v>129</v>
      </c>
      <c r="AS35" s="6" t="s">
        <v>129</v>
      </c>
      <c r="AT35" s="6" t="s">
        <v>129</v>
      </c>
      <c r="AU35" s="6" t="s">
        <v>129</v>
      </c>
      <c r="AV35" s="6" t="s">
        <v>129</v>
      </c>
      <c r="AW35" s="6" t="s">
        <v>129</v>
      </c>
      <c r="AX35" s="6" t="s">
        <v>129</v>
      </c>
      <c r="AY35" s="6" t="s">
        <v>129</v>
      </c>
    </row>
    <row r="36" spans="1:62" x14ac:dyDescent="0.2">
      <c r="A36" s="7" t="s">
        <v>1138</v>
      </c>
      <c r="B36" s="20">
        <f>SUM(FishSumAllPRN!G969,FishSumAllPRN!G971,FishSumAllPRN!G978,FishSumAllPRN!G980,FishSumAllPRN!G985,FishSumAllPRN!G987,FishSumAllPRN!G989,FishSumAllPRN!G991,FishSumAllPRN!G993)</f>
        <v>42871</v>
      </c>
      <c r="D36" s="332">
        <f>SUM(FishSumAllPRN!G977,FishSumAllPRN!G979,FishSumAllPRN!G984,FishSumAllPRN!G986,FishSumAllPRN!G988,FishSumAllPRN!G990,FishSumAllPRN!G992)</f>
        <v>652</v>
      </c>
      <c r="AF36" s="608"/>
      <c r="AG36" s="331" t="s">
        <v>1147</v>
      </c>
      <c r="AH36" s="20">
        <f>AJ36+AI35</f>
        <v>717.6984132043824</v>
      </c>
      <c r="AI36" s="332" t="e">
        <f>SUM('2'!$AS$41:$AS$46)*Input_Stockdata!F72+SUM('2'!$AR$41:$AR$46)*Input_Stockdata!G72</f>
        <v>#DIV/0!</v>
      </c>
      <c r="AJ36" s="34">
        <f>AJ$46*((TRunsPRN!D149)/SUM(TRunsPRN!D$139:D$161))</f>
        <v>717.6984132043824</v>
      </c>
      <c r="AK36" s="34">
        <f>AJ36/$AJ$46*$AK$46</f>
        <v>11.261080655271847</v>
      </c>
      <c r="AL36" s="20">
        <f>AJ36-AK36</f>
        <v>706.43733254911058</v>
      </c>
      <c r="AM36" s="20">
        <f>SUM(StockSumPRN!B1768:C1773)</f>
        <v>7</v>
      </c>
      <c r="AN36" s="20">
        <f>TRunsPRN!D149/SUM(TRunsPRN!D$139:D$153)*SPS!$AN$46</f>
        <v>607.37102603550136</v>
      </c>
      <c r="AO36" s="20">
        <f>AN36/SUM($AN$24:$AN$41)*$AO$46</f>
        <v>3.744102672556656</v>
      </c>
      <c r="AP36" s="20">
        <f>SUM(StockSumPRN!B1779:C1782)</f>
        <v>3</v>
      </c>
      <c r="AQ36" s="20">
        <f>TRunsPRN!D149/SUM(TRunsPRN!D$139:D$149)*SPS!$AQ$46</f>
        <v>604.74463797295448</v>
      </c>
      <c r="AR36" s="20">
        <f>AQ36/$AQ$46*$AR$46</f>
        <v>331.70917906465326</v>
      </c>
      <c r="AS36" s="1109">
        <f>SUM(StockSumPRN!B1786:C1795)</f>
        <v>86</v>
      </c>
      <c r="AT36" s="1050" t="s">
        <v>297</v>
      </c>
      <c r="AU36" s="20">
        <f>AJ36*(1-Input_Stockdata!E72)</f>
        <v>358.8492066021912</v>
      </c>
      <c r="AV36" s="20">
        <f>AU36+AI35</f>
        <v>358.8492066021912</v>
      </c>
      <c r="AW36" s="1050" t="s">
        <v>297</v>
      </c>
      <c r="AX36" s="20">
        <f>SUM(AT36,AW36,AY36)</f>
        <v>521</v>
      </c>
      <c r="AY36" s="1509">
        <f>SUM(TRunsPRN!C128)</f>
        <v>521</v>
      </c>
      <c r="BA36" s="2" t="s">
        <v>1148</v>
      </c>
    </row>
    <row r="37" spans="1:62" x14ac:dyDescent="0.2">
      <c r="A37" s="7" t="s">
        <v>1141</v>
      </c>
      <c r="B37" s="20">
        <f>SUM(FishSumAllPRN!G973,FishSumAllPRN!G972,FishSumAllPRN!G981,FishSumAllPRN!G994,FishSumAllPRN!G995)</f>
        <v>33187</v>
      </c>
      <c r="D37" s="7" t="s">
        <v>297</v>
      </c>
      <c r="AF37" s="608"/>
      <c r="AG37" s="331" t="s">
        <v>1149</v>
      </c>
      <c r="AH37" s="20" t="e">
        <f>AJ37+AI36</f>
        <v>#DIV/0!</v>
      </c>
      <c r="AI37" s="332" t="e">
        <f>SUM('2'!$AS$41:$AS$46)*Input_Stockdata!F73+SUM('2'!$AR$41:$AR$46)*Input_Stockdata!G73</f>
        <v>#DIV/0!</v>
      </c>
      <c r="AJ37" s="34">
        <f>AJ$46*((TRunsPRN!D145)/SUM(TRunsPRN!D$139:D$161))</f>
        <v>12846.335485098887</v>
      </c>
      <c r="AK37" s="34">
        <f>AJ37/$AJ$46*$AK$46</f>
        <v>201.56603018875953</v>
      </c>
      <c r="AL37" s="20">
        <f>AJ37-AK37</f>
        <v>12644.769454910127</v>
      </c>
      <c r="AM37" s="20">
        <f>SUM(StockSumPRN!D1563:E1568)</f>
        <v>129</v>
      </c>
      <c r="AN37" s="20">
        <f>TRunsPRN!D145/SUM(TRunsPRN!D$139:D$153)*SPS!$AN$46</f>
        <v>10871.54690720882</v>
      </c>
      <c r="AO37" s="20">
        <f>AN37/SUM($AN$24:$AN$41)*$AO$46</f>
        <v>67.017006220718869</v>
      </c>
      <c r="AP37" s="20">
        <f>SUM(StockSumPRN!D1574:E1577)</f>
        <v>36</v>
      </c>
      <c r="AQ37" s="20">
        <f>TRunsPRN!D145/SUM(TRunsPRN!D$139:D$149)*SPS!$AQ$46</f>
        <v>10824.536266604367</v>
      </c>
      <c r="AR37" s="20">
        <f>AQ37/$AQ$46*$AR$46</f>
        <v>5937.3788757949778</v>
      </c>
      <c r="AS37" s="1109">
        <f>SUM(StockSumPRN!D1581:E1590)</f>
        <v>1672</v>
      </c>
      <c r="AT37" s="1050" t="s">
        <v>297</v>
      </c>
      <c r="AU37" s="20">
        <f>AJ37*(1-Input_Stockdata!E73)</f>
        <v>6423.1677425494436</v>
      </c>
      <c r="AV37" s="20" t="e">
        <f>AU37+AI36</f>
        <v>#DIV/0!</v>
      </c>
      <c r="AW37" s="1050" t="s">
        <v>297</v>
      </c>
      <c r="AX37" s="20">
        <f>SUM(AT37,AW37,AY37)</f>
        <v>9187</v>
      </c>
      <c r="AY37" s="20">
        <f>SUM(TRunsPRN!C132)</f>
        <v>9187</v>
      </c>
      <c r="BA37" s="2" t="s">
        <v>1150</v>
      </c>
      <c r="BB37" s="7" t="s">
        <v>1151</v>
      </c>
      <c r="BC37" s="7" t="s">
        <v>1152</v>
      </c>
      <c r="BD37" s="2" t="s">
        <v>1153</v>
      </c>
      <c r="BI37" s="7" t="s">
        <v>1125</v>
      </c>
      <c r="BJ37" s="7" t="s">
        <v>1126</v>
      </c>
    </row>
    <row r="38" spans="1:62" x14ac:dyDescent="0.2">
      <c r="A38" s="6" t="s">
        <v>125</v>
      </c>
      <c r="B38" s="6" t="s">
        <v>125</v>
      </c>
      <c r="D38" s="6" t="s">
        <v>125</v>
      </c>
      <c r="E38" s="6" t="s">
        <v>125</v>
      </c>
      <c r="F38" s="6" t="s">
        <v>125</v>
      </c>
      <c r="G38" s="6" t="s">
        <v>125</v>
      </c>
      <c r="H38" s="6" t="s">
        <v>125</v>
      </c>
      <c r="I38" s="6" t="s">
        <v>125</v>
      </c>
      <c r="J38" s="6" t="s">
        <v>125</v>
      </c>
      <c r="AF38" s="1576"/>
      <c r="AG38" s="1576" t="s">
        <v>129</v>
      </c>
      <c r="AH38" s="6" t="s">
        <v>129</v>
      </c>
      <c r="AI38" s="1576" t="s">
        <v>129</v>
      </c>
      <c r="AJ38" s="605" t="s">
        <v>129</v>
      </c>
      <c r="AK38" s="605" t="s">
        <v>129</v>
      </c>
      <c r="AL38" s="6" t="s">
        <v>129</v>
      </c>
      <c r="AM38" s="6"/>
      <c r="AN38" s="6"/>
      <c r="AO38" s="6" t="s">
        <v>129</v>
      </c>
      <c r="AP38" s="6" t="s">
        <v>129</v>
      </c>
      <c r="AQ38" s="6" t="s">
        <v>129</v>
      </c>
      <c r="AR38" s="6" t="s">
        <v>129</v>
      </c>
      <c r="AS38" s="6" t="s">
        <v>129</v>
      </c>
      <c r="AT38" s="6" t="s">
        <v>129</v>
      </c>
      <c r="AU38" s="6" t="s">
        <v>129</v>
      </c>
      <c r="AV38" s="6" t="s">
        <v>129</v>
      </c>
      <c r="AW38" s="6" t="s">
        <v>129</v>
      </c>
      <c r="AX38" s="6" t="s">
        <v>129</v>
      </c>
      <c r="AY38" s="6" t="s">
        <v>129</v>
      </c>
      <c r="BA38" s="2" t="s">
        <v>1154</v>
      </c>
      <c r="BC38" s="2">
        <f>Input_Harvestnew!C148</f>
        <v>0</v>
      </c>
      <c r="BD38" s="2" t="s">
        <v>1155</v>
      </c>
    </row>
    <row r="39" spans="1:62" x14ac:dyDescent="0.2">
      <c r="A39" s="2" t="s">
        <v>1156</v>
      </c>
      <c r="AF39" s="608"/>
      <c r="AG39" s="331" t="s">
        <v>1157</v>
      </c>
      <c r="AH39" s="20">
        <f>AJ39+AI38</f>
        <v>13072.420729919315</v>
      </c>
      <c r="AI39" s="332" t="e">
        <f>SUM('2'!$AS$41:$AS$46)*Input_Stockdata!F75+SUM('2'!$AR$41:$AR$46)*Input_Stockdata!G75</f>
        <v>#DIV/0!</v>
      </c>
      <c r="AJ39" s="34">
        <f>AJ$46*((TRunsPRN!D139)/SUM(TRunsPRN!D$139:D$161))</f>
        <v>13072.420729919315</v>
      </c>
      <c r="AK39" s="34">
        <f>AJ39/$AJ$46*$AK$46</f>
        <v>205.11343133950541</v>
      </c>
      <c r="AL39" s="20">
        <f>AJ39-AK39</f>
        <v>12867.30729857981</v>
      </c>
      <c r="AM39" s="20">
        <f>SUM(StockSumPRN!B1358:C1363)</f>
        <v>122</v>
      </c>
      <c r="AN39" s="20">
        <f>TRunsPRN!D139/SUM(TRunsPRN!D$139:D$153)*SPS!$AN$46</f>
        <v>11062.877450221968</v>
      </c>
      <c r="AO39" s="20">
        <f>AN39/SUM($AN$24:$AN$41)*$AO$46</f>
        <v>68.196452007115937</v>
      </c>
      <c r="AP39" s="20">
        <f>SUM(StockSumPRN!B1369:C1372)</f>
        <v>36</v>
      </c>
      <c r="AQ39" s="20">
        <f>TRunsPRN!D139/SUM(TRunsPRN!D$139:D$149)*SPS!$AQ$46</f>
        <v>11015.039459887897</v>
      </c>
      <c r="AR39" s="20">
        <f>AQ39/$AQ$46*$AR$46</f>
        <v>6041.8720021252693</v>
      </c>
      <c r="AS39" s="20">
        <f>SUM(StockSumPRN!B1376:C1385)</f>
        <v>3524</v>
      </c>
      <c r="AT39" s="1050" t="s">
        <v>297</v>
      </c>
      <c r="AU39" s="20">
        <f>AJ39*(1-Input_Stockdata!E75)</f>
        <v>8923.4831045909887</v>
      </c>
      <c r="AV39" s="20">
        <f>AU39+AI38</f>
        <v>8923.4831045909887</v>
      </c>
      <c r="AW39" s="20">
        <f>SUM(StockSumPRN!B1388:C1388)</f>
        <v>0</v>
      </c>
      <c r="AX39" s="20">
        <f>SUM(AT39,AW39,AY39)</f>
        <v>7541</v>
      </c>
      <c r="AY39" s="1509">
        <f>SUM(TRunsPRN!C138)</f>
        <v>7541</v>
      </c>
      <c r="BA39" s="7" t="s">
        <v>161</v>
      </c>
      <c r="BB39" s="20" t="str">
        <f>BH29</f>
        <v>&gt;&gt;&gt;RECALC</v>
      </c>
      <c r="BC39" s="20">
        <f>IF(Input_Harvestnew!C148&gt;1,Input_Harvestnew!C148,BB39*Input_Harvestnew!C148)</f>
        <v>0</v>
      </c>
      <c r="BD39" s="2" t="s">
        <v>1158</v>
      </c>
      <c r="BI39" s="1063">
        <f>BC39/BC$43</f>
        <v>0</v>
      </c>
      <c r="BJ39" s="1063">
        <f>BC39/(BC$39+BC$41)</f>
        <v>0</v>
      </c>
    </row>
    <row r="40" spans="1:62" x14ac:dyDescent="0.2">
      <c r="A40" s="2" t="s">
        <v>1036</v>
      </c>
      <c r="AF40" s="608"/>
      <c r="AG40" s="331" t="s">
        <v>1159</v>
      </c>
      <c r="AH40" s="20" t="e">
        <f>AJ40+AI39</f>
        <v>#DIV/0!</v>
      </c>
      <c r="AI40" s="332" t="e">
        <f>SUM('2'!$AS$41:$AS$46)*Input_Stockdata!F76+SUM('2'!$AR$41:$AR$46)*Input_Stockdata!G76</f>
        <v>#DIV/0!</v>
      </c>
      <c r="AJ40" s="34">
        <f>AJ$46*((TRunsPRN!D141)/SUM(TRunsPRN!D$139:D$161))</f>
        <v>39544.43542922433</v>
      </c>
      <c r="AK40" s="34">
        <f>AJ40/$AJ$46*$AK$46</f>
        <v>620.4738210963144</v>
      </c>
      <c r="AL40" s="20">
        <f>AJ40-AK40</f>
        <v>38923.961608128018</v>
      </c>
      <c r="AM40" s="20">
        <f>SUM(StockSumPRN!F1358:G1363)</f>
        <v>601</v>
      </c>
      <c r="AN40" s="20">
        <f>TRunsPRN!D141/SUM(TRunsPRN!D$139:D$153)*SPS!$AN$46</f>
        <v>33465.511249225579</v>
      </c>
      <c r="AO40" s="20">
        <f>AN40/SUM($AN$24:$AN$41)*$AO$46</f>
        <v>206.29615957244647</v>
      </c>
      <c r="AP40" s="20">
        <f>SUM(StockSumPRN!F1369:G1372)</f>
        <v>90</v>
      </c>
      <c r="AQ40" s="20">
        <f>TRunsPRN!D141/SUM(TRunsPRN!D$139:D$149)*SPS!$AQ$46</f>
        <v>33320.80000110151</v>
      </c>
      <c r="AR40" s="20">
        <f>AQ40/$AQ$46*$AR$46</f>
        <v>18276.830450602829</v>
      </c>
      <c r="AS40" s="20">
        <f>SUM(StockSumPRN!F1376:G1385)</f>
        <v>31169</v>
      </c>
      <c r="AT40" s="1050" t="s">
        <v>297</v>
      </c>
      <c r="AU40" s="20">
        <f>AJ40*(1-Input_Stockdata!E76)</f>
        <v>39148.991074932084</v>
      </c>
      <c r="AV40" s="20" t="e">
        <f>AU40+AI39</f>
        <v>#DIV/0!</v>
      </c>
      <c r="AW40" s="1050" t="s">
        <v>297</v>
      </c>
      <c r="AX40" s="20">
        <f>SUM(AT40,AW40,AY40)</f>
        <v>2043</v>
      </c>
      <c r="AY40" s="20">
        <f>SUM(TRunsPRN!C136)</f>
        <v>2043</v>
      </c>
      <c r="BA40" s="7" t="s">
        <v>1106</v>
      </c>
      <c r="BB40" s="20">
        <f>BH30</f>
        <v>76058.165181362507</v>
      </c>
      <c r="BC40" s="20">
        <f>BC41+BC42</f>
        <v>76058.165181362507</v>
      </c>
    </row>
    <row r="41" spans="1:62" x14ac:dyDescent="0.2">
      <c r="A41" s="2" t="s">
        <v>1120</v>
      </c>
      <c r="AF41" s="608"/>
      <c r="AG41" s="331" t="s">
        <v>1160</v>
      </c>
      <c r="AH41" s="20" t="e">
        <f>AJ41+AI40</f>
        <v>#DIV/0!</v>
      </c>
      <c r="AI41" s="332" t="e">
        <f>SUM('2'!$AS$41:$AS$46)*Input_Stockdata!F77+SUM('2'!$AR$41:$AR$46)*Input_Stockdata!G77</f>
        <v>#DIV/0!</v>
      </c>
      <c r="AJ41" s="34">
        <f>AJ$46*((TRunsPRN!D140)/SUM(TRunsPRN!D$139:D$161))</f>
        <v>316.37352402497766</v>
      </c>
      <c r="AK41" s="34">
        <f>AJ41/$AJ$46*$AK$46</f>
        <v>4.9640736355136532</v>
      </c>
      <c r="AL41" s="20">
        <f>AJ41-AK41</f>
        <v>311.40945038946398</v>
      </c>
      <c r="AM41" s="20">
        <f>SUM(StockSumPRN!D1358:E1363)</f>
        <v>4</v>
      </c>
      <c r="AN41" s="20">
        <f>TRunsPRN!D140/SUM(TRunsPRN!D$139:D$153)*SPS!$AN$46</f>
        <v>267.73935731525268</v>
      </c>
      <c r="AO41" s="20">
        <f>AN41/SUM($AN$24:$AN$41)*$AO$46</f>
        <v>1.6504633910772777</v>
      </c>
      <c r="AP41" s="20">
        <f>SUM(StockSumPRN!D1369:E1372)</f>
        <v>1</v>
      </c>
      <c r="AQ41" s="20">
        <f>TRunsPRN!D140/SUM(TRunsPRN!D$139:D$149)*SPS!$AQ$46</f>
        <v>266.58160131145274</v>
      </c>
      <c r="AR41" s="20">
        <f>AQ41/$AQ$46*$AR$46</f>
        <v>146.2229816888717</v>
      </c>
      <c r="AS41" s="20">
        <f>SUM(StockSumPRN!D1376:E1385)</f>
        <v>83</v>
      </c>
      <c r="AT41" s="1050" t="s">
        <v>297</v>
      </c>
      <c r="AU41" s="20">
        <f>AJ41*(1-Input_Stockdata!E77)</f>
        <v>215.96258678511984</v>
      </c>
      <c r="AV41" s="20" t="e">
        <f>AU41+AI40</f>
        <v>#DIV/0!</v>
      </c>
      <c r="AW41" s="20">
        <f>SUM(StockSumPRN!D1390:E1390)</f>
        <v>5</v>
      </c>
      <c r="AX41" s="20">
        <f>SUM(AT41,AW41,AY41)</f>
        <v>189</v>
      </c>
      <c r="AY41" s="20">
        <f>SUM(TRunsPRN!C137)</f>
        <v>184</v>
      </c>
      <c r="BA41" s="7" t="s">
        <v>1138</v>
      </c>
      <c r="BB41" s="20">
        <f>BH31</f>
        <v>42871.093106447603</v>
      </c>
      <c r="BC41" s="20">
        <f>BB41+((BB39-BC39)*(1-BE32))</f>
        <v>42871.093106447603</v>
      </c>
      <c r="BD41" s="2" t="s">
        <v>1161</v>
      </c>
      <c r="BI41" s="1063">
        <f>BC41/BC$43</f>
        <v>0.56366194220200372</v>
      </c>
      <c r="BJ41" s="1063">
        <f>BC41/(BC$39+BC$41)</f>
        <v>1</v>
      </c>
    </row>
    <row r="42" spans="1:62" x14ac:dyDescent="0.2">
      <c r="A42" s="2" t="s">
        <v>1148</v>
      </c>
      <c r="AG42" s="1576" t="s">
        <v>129</v>
      </c>
      <c r="AH42" s="6" t="s">
        <v>129</v>
      </c>
      <c r="AI42" s="6" t="s">
        <v>129</v>
      </c>
      <c r="AJ42" s="6" t="s">
        <v>129</v>
      </c>
      <c r="AK42" s="6" t="s">
        <v>129</v>
      </c>
      <c r="AL42" s="6" t="s">
        <v>129</v>
      </c>
      <c r="AM42" s="6"/>
      <c r="AN42" s="6"/>
      <c r="AO42" s="6" t="s">
        <v>129</v>
      </c>
      <c r="AP42" s="6" t="s">
        <v>129</v>
      </c>
      <c r="AQ42" s="6" t="s">
        <v>129</v>
      </c>
      <c r="AR42" s="6" t="s">
        <v>129</v>
      </c>
      <c r="AS42" s="6" t="s">
        <v>129</v>
      </c>
      <c r="AT42" s="6" t="s">
        <v>129</v>
      </c>
      <c r="AU42" s="6" t="s">
        <v>129</v>
      </c>
      <c r="AV42" s="6" t="s">
        <v>129</v>
      </c>
      <c r="AW42" s="6" t="s">
        <v>129</v>
      </c>
      <c r="AX42" s="6" t="s">
        <v>129</v>
      </c>
      <c r="AY42" s="6" t="s">
        <v>129</v>
      </c>
      <c r="BA42" s="7" t="s">
        <v>1141</v>
      </c>
      <c r="BB42" s="20">
        <f>BH32</f>
        <v>33187.072074914897</v>
      </c>
      <c r="BC42" s="20">
        <f>BB42+((BB39-BC39)*BE32)</f>
        <v>33187.072074914897</v>
      </c>
      <c r="BI42" s="1063">
        <f>BC42/BC$43</f>
        <v>0.43633805779799623</v>
      </c>
    </row>
    <row r="43" spans="1:62" x14ac:dyDescent="0.2">
      <c r="A43" s="6" t="s">
        <v>125</v>
      </c>
      <c r="B43" s="6" t="s">
        <v>125</v>
      </c>
      <c r="D43" s="6" t="s">
        <v>125</v>
      </c>
      <c r="E43" s="6" t="s">
        <v>125</v>
      </c>
      <c r="F43" s="6" t="s">
        <v>125</v>
      </c>
      <c r="G43" s="6" t="s">
        <v>125</v>
      </c>
      <c r="H43" s="6" t="s">
        <v>125</v>
      </c>
      <c r="I43" s="6" t="s">
        <v>125</v>
      </c>
      <c r="J43" s="6" t="s">
        <v>125</v>
      </c>
      <c r="AG43" s="7" t="s">
        <v>1162</v>
      </c>
      <c r="AH43" s="20" t="e">
        <f>AH11+AH14+AH19+AH21+AH24+AH27+AH30+AH33+AH36+AH39+AH41</f>
        <v>#DIV/0!</v>
      </c>
      <c r="AI43" s="20" t="e">
        <f>SUM(AI11,AI14,AI19,AI21,AI24,AI27,AI30,AI33,AI36,AI39,AI41)</f>
        <v>#DIV/0!</v>
      </c>
      <c r="AJ43" s="20">
        <f>AJ11+AJ14+AJ19+AJ21+AJ24+AJ27+AJ30+AJ33+AJ36+AJ39+AJ41</f>
        <v>27893.084963459925</v>
      </c>
      <c r="AK43" s="20">
        <f>AK11+AK14+AK19+AK21+AK24+AK27+AK30+AK33+AK36+AK39+AK41</f>
        <v>437.65775946953795</v>
      </c>
      <c r="AL43" s="20">
        <f>AL11+AL14+AL19+AL21+AL24+AL27+AL30+AL33+AL36+AL39+AL41</f>
        <v>27455.427203990392</v>
      </c>
      <c r="AM43" s="20">
        <f t="shared" ref="AM43:AY43" si="2">AM11+AM14+AM19+AM21+AM24+AM27+AM30+AM33+AM36+AM39+AM41</f>
        <v>824</v>
      </c>
      <c r="AN43" s="20">
        <f>AN11+AN14+AN19+AN21+AN24+AN27+AN30+AN33+AN36+AN39+AN41</f>
        <v>18801.813105741694</v>
      </c>
      <c r="AO43" s="20">
        <f t="shared" si="2"/>
        <v>115.90266193238456</v>
      </c>
      <c r="AP43" s="20">
        <f t="shared" si="2"/>
        <v>93</v>
      </c>
      <c r="AQ43" s="20">
        <f>AQ11+AQ14+AQ19+AQ21+AQ24+AQ27+AQ30+AQ33+AQ36+AQ39+AQ41</f>
        <v>16033.789899307154</v>
      </c>
      <c r="AR43" s="20">
        <f>AR11+AR14+AR19+AR21+AR24+AR27+AR30+AR33+AR36+AR39+AR41</f>
        <v>8794.7125957521312</v>
      </c>
      <c r="AS43" s="20">
        <f t="shared" si="2"/>
        <v>3707</v>
      </c>
      <c r="AT43" s="20">
        <f t="shared" si="2"/>
        <v>3414</v>
      </c>
      <c r="AU43" s="20">
        <f t="shared" si="2"/>
        <v>15565.37945293365</v>
      </c>
      <c r="AV43" s="20" t="e">
        <f t="shared" si="2"/>
        <v>#DIV/0!</v>
      </c>
      <c r="AW43" s="20">
        <f t="shared" si="2"/>
        <v>679</v>
      </c>
      <c r="AX43" s="20">
        <f>H58</f>
        <v>19998.591823987208</v>
      </c>
      <c r="AY43" s="20">
        <f t="shared" si="2"/>
        <v>15904</v>
      </c>
      <c r="BA43" s="7" t="s">
        <v>174</v>
      </c>
      <c r="BB43" s="20">
        <f>SUM(BB39,BB41:BB42)</f>
        <v>76058.165181362507</v>
      </c>
      <c r="BC43" s="20">
        <f>SUM(BC39,BC41:BC42)</f>
        <v>76058.165181362507</v>
      </c>
      <c r="BI43" s="1063">
        <f>BC43/BC$43</f>
        <v>1</v>
      </c>
      <c r="BJ43" s="1063">
        <f>BJ39+BJ41</f>
        <v>1</v>
      </c>
    </row>
    <row r="44" spans="1:62" x14ac:dyDescent="0.2">
      <c r="A44" s="2" t="s">
        <v>1163</v>
      </c>
      <c r="AG44" s="7" t="s">
        <v>779</v>
      </c>
      <c r="AH44" s="20" t="e">
        <f>SUM(AH12,AH15,AH20,AH22,AH25,AH28,AH31,AH34,AH37,AH40,AH42)</f>
        <v>#DIV/0!</v>
      </c>
      <c r="AI44" s="20" t="e">
        <f>SUM(AI12,AI15,AI20,AI22,AI25,AI28,AI31,AI34,AI37,AI40,AI42)</f>
        <v>#DIV/0!</v>
      </c>
      <c r="AJ44" s="20">
        <f>SUM(AJ12,AJ15,AJ20,AJ22,AJ25,AJ28,AJ31,AJ34,AJ37,AJ40,AJ42,AJ17)</f>
        <v>162667.51229826885</v>
      </c>
      <c r="AK44" s="20">
        <f>SUM(AK12,AK15,AK20,AK22,AK25,AK28,AK31,AK34,AK37,AK40,AK42,AK17)</f>
        <v>2552.3422405304618</v>
      </c>
      <c r="AL44" s="20">
        <f>SUM(AL12,AL15,AL20,AL22,AL25,AL28,AL31,AL34,AL37,AL40,AL42)</f>
        <v>160115.1700577384</v>
      </c>
      <c r="AM44" s="20">
        <f t="shared" ref="AM44:AT44" si="3">SUM(AM12,AM15,AM20,AM22,AM25,AM28,AM31,AM34,AM37,AM40,AM42,AM17)</f>
        <v>7430</v>
      </c>
      <c r="AN44" s="20">
        <f t="shared" si="3"/>
        <v>65877.402000834452</v>
      </c>
      <c r="AO44" s="20">
        <f t="shared" si="3"/>
        <v>406.09733806761545</v>
      </c>
      <c r="AP44" s="20">
        <f t="shared" si="3"/>
        <v>406</v>
      </c>
      <c r="AQ44" s="20">
        <f t="shared" si="3"/>
        <v>50668.591180126168</v>
      </c>
      <c r="AR44" s="20">
        <f t="shared" si="3"/>
        <v>27792.287404247865</v>
      </c>
      <c r="AS44" s="20">
        <f t="shared" si="3"/>
        <v>32875</v>
      </c>
      <c r="AT44" s="20">
        <f t="shared" si="3"/>
        <v>29061</v>
      </c>
      <c r="AU44" s="20">
        <f>SUM(AU12,AU15,AU20,AU22,AU25,AU28,AU31,AU34,AU37,AU40,AU42)</f>
        <v>131324.54786543697</v>
      </c>
      <c r="AV44" s="20" t="e">
        <f>SUM(AV12,AV15,AV20,AV22,AV25,AV28,AV31,AV34,AV37,AV40,AV42)</f>
        <v>#DIV/0!</v>
      </c>
      <c r="AW44" s="20">
        <f>SUM(AW12,AW15,AW20,AW22,AW25,AW28,AW31,AW34,AW37,AW40,AW42,AW17)</f>
        <v>7827</v>
      </c>
      <c r="AX44" s="20">
        <f>K58</f>
        <v>69219.316234561513</v>
      </c>
      <c r="AY44" s="20">
        <f>SUM(AY12,AY15,AY20,AY22,AY25,AY28,AY31,AY34,AY37,AY40,AY42,AY17)</f>
        <v>69670</v>
      </c>
      <c r="AZ44" s="20">
        <f>AY11+AY14+AY19+AY21+AY24+AY27+AY30+AY33+AY36+AY39+AY41</f>
        <v>15904</v>
      </c>
      <c r="BA44" s="6" t="s">
        <v>125</v>
      </c>
      <c r="BB44" s="6" t="s">
        <v>125</v>
      </c>
      <c r="BC44" s="6" t="s">
        <v>125</v>
      </c>
      <c r="BD44" s="6" t="s">
        <v>125</v>
      </c>
      <c r="BE44" s="6" t="s">
        <v>125</v>
      </c>
      <c r="BF44" s="6" t="s">
        <v>125</v>
      </c>
      <c r="BG44" s="6" t="s">
        <v>125</v>
      </c>
      <c r="BH44" s="6" t="s">
        <v>125</v>
      </c>
      <c r="BI44" s="6" t="s">
        <v>125</v>
      </c>
      <c r="BJ44" s="6" t="s">
        <v>125</v>
      </c>
    </row>
    <row r="45" spans="1:62" x14ac:dyDescent="0.2">
      <c r="A45" s="2" t="s">
        <v>1164</v>
      </c>
      <c r="E45" s="2" t="str">
        <f>Input_Harvestnew!H152</f>
        <v>=</v>
      </c>
      <c r="AG45" s="6" t="s">
        <v>125</v>
      </c>
      <c r="AH45" s="6" t="s">
        <v>125</v>
      </c>
      <c r="AI45" s="6" t="s">
        <v>125</v>
      </c>
      <c r="AJ45" s="6" t="s">
        <v>125</v>
      </c>
      <c r="AK45" s="6" t="s">
        <v>125</v>
      </c>
      <c r="AL45" s="6" t="s">
        <v>125</v>
      </c>
      <c r="AM45" s="6"/>
      <c r="AN45" s="6" t="s">
        <v>125</v>
      </c>
      <c r="AO45" s="6" t="s">
        <v>125</v>
      </c>
      <c r="AP45" s="6" t="s">
        <v>125</v>
      </c>
      <c r="AQ45" s="6" t="s">
        <v>125</v>
      </c>
      <c r="AR45" s="6" t="s">
        <v>125</v>
      </c>
      <c r="AS45" s="6" t="s">
        <v>125</v>
      </c>
      <c r="AT45" s="6" t="s">
        <v>125</v>
      </c>
      <c r="AU45" s="6" t="s">
        <v>125</v>
      </c>
      <c r="AV45" s="6" t="s">
        <v>125</v>
      </c>
      <c r="AW45" s="6" t="s">
        <v>125</v>
      </c>
      <c r="AX45" s="6" t="s">
        <v>125</v>
      </c>
      <c r="AY45" s="6" t="s">
        <v>125</v>
      </c>
      <c r="BA45" s="2" t="s">
        <v>1165</v>
      </c>
    </row>
    <row r="46" spans="1:62" x14ac:dyDescent="0.2">
      <c r="A46" s="2" t="s">
        <v>161</v>
      </c>
      <c r="B46" s="20">
        <f>B35</f>
        <v>2657</v>
      </c>
      <c r="D46" s="20">
        <f>D35</f>
        <v>333</v>
      </c>
      <c r="E46" s="4" t="str">
        <f>Input_Harvestnew!H150</f>
        <v>general opening</v>
      </c>
      <c r="AG46" s="2" t="s">
        <v>236</v>
      </c>
      <c r="AH46" s="20">
        <f>AJ46+AI46</f>
        <v>191457.59726172881</v>
      </c>
      <c r="AI46" s="20">
        <f>SUM('2'!AT41:AT46)</f>
        <v>897</v>
      </c>
      <c r="AJ46" s="20">
        <f>F56</f>
        <v>190560.59726172881</v>
      </c>
      <c r="AK46" s="20">
        <f>SUM(FishSumAllPRN!G966:G967)</f>
        <v>2990</v>
      </c>
      <c r="AL46" s="20">
        <f>D56+E56</f>
        <v>84679.215106576157</v>
      </c>
      <c r="AM46" s="20">
        <f>SUM(AM43:AM44)</f>
        <v>8254</v>
      </c>
      <c r="AN46" s="20">
        <f>SUM(D56,E56)</f>
        <v>84679.215106576157</v>
      </c>
      <c r="AO46" s="14">
        <f>SUM(StockSumPRN!H5059:H5062)</f>
        <v>522</v>
      </c>
      <c r="AP46" s="20">
        <f>SUM(AP43:AP44)</f>
        <v>499</v>
      </c>
      <c r="AQ46" s="20">
        <f>SUM(E56)</f>
        <v>66702.381079433326</v>
      </c>
      <c r="AR46" s="20">
        <f>SUM(FishSumAllPRN!G984:G993)</f>
        <v>36587</v>
      </c>
      <c r="AS46" s="20">
        <f>SUM(AS43:AS44)</f>
        <v>36582</v>
      </c>
      <c r="AT46" s="20">
        <f>SUM(AT43:AT44)</f>
        <v>32475</v>
      </c>
      <c r="AU46" s="20">
        <f>SUM(AU43:AU44)</f>
        <v>146889.92731837061</v>
      </c>
      <c r="AV46" s="20" t="e">
        <f>SUM(AV43:AV44)</f>
        <v>#DIV/0!</v>
      </c>
      <c r="AW46" s="20">
        <f>SUM(AW43:AW44)</f>
        <v>8506</v>
      </c>
      <c r="AX46" s="20">
        <f>F60</f>
        <v>126683.24247560732</v>
      </c>
      <c r="AY46" s="20">
        <f>AY43+AY44</f>
        <v>85574</v>
      </c>
      <c r="BA46" s="2" t="s">
        <v>1166</v>
      </c>
      <c r="BD46" s="20">
        <f>BC40</f>
        <v>76058.165181362507</v>
      </c>
    </row>
    <row r="47" spans="1:62" x14ac:dyDescent="0.2">
      <c r="A47" s="2" t="s">
        <v>1167</v>
      </c>
      <c r="B47" s="20">
        <f>B36</f>
        <v>42871</v>
      </c>
      <c r="D47" s="20">
        <f>D36</f>
        <v>652</v>
      </c>
      <c r="E47" s="4" t="s">
        <v>1168</v>
      </c>
      <c r="AL47" s="2" t="s">
        <v>1169</v>
      </c>
      <c r="AY47" s="1063"/>
    </row>
    <row r="48" spans="1:62" x14ac:dyDescent="0.2">
      <c r="A48" s="2" t="s">
        <v>1170</v>
      </c>
      <c r="B48" s="20">
        <f>B37</f>
        <v>33187</v>
      </c>
      <c r="D48" s="1050" t="s">
        <v>297</v>
      </c>
      <c r="AG48" s="6" t="s">
        <v>1171</v>
      </c>
      <c r="AH48" s="6" t="s">
        <v>1171</v>
      </c>
      <c r="AI48" s="6" t="s">
        <v>1171</v>
      </c>
      <c r="AJ48" s="6" t="s">
        <v>1171</v>
      </c>
      <c r="AK48" s="6" t="s">
        <v>1171</v>
      </c>
      <c r="AL48" s="6" t="s">
        <v>1171</v>
      </c>
      <c r="AM48" s="6"/>
      <c r="AN48" s="6"/>
      <c r="AO48" s="6"/>
      <c r="AP48" s="6"/>
      <c r="AQ48" s="6"/>
      <c r="AR48" s="6"/>
      <c r="AS48" s="6"/>
      <c r="AT48" s="6"/>
      <c r="AU48" s="6" t="s">
        <v>1171</v>
      </c>
      <c r="AV48" s="6" t="s">
        <v>1171</v>
      </c>
      <c r="AW48" s="6"/>
      <c r="AX48" s="6" t="s">
        <v>1171</v>
      </c>
      <c r="AY48" s="6" t="s">
        <v>1171</v>
      </c>
      <c r="BA48" s="2" t="s">
        <v>1172</v>
      </c>
      <c r="BD48" s="20">
        <f>BD46-BD49</f>
        <v>52753.943369793036</v>
      </c>
    </row>
    <row r="49" spans="1:62" x14ac:dyDescent="0.2">
      <c r="A49" s="2" t="s">
        <v>1173</v>
      </c>
      <c r="B49" s="20">
        <f>SUM(B46:B48)</f>
        <v>78715</v>
      </c>
      <c r="D49" s="20">
        <f>SUM(D46:D48)</f>
        <v>985</v>
      </c>
      <c r="E49" s="21" t="s">
        <v>1174</v>
      </c>
      <c r="AH49" s="20"/>
      <c r="AI49" s="20"/>
      <c r="AJ49" s="20"/>
      <c r="AU49" s="20"/>
      <c r="AV49" s="20"/>
      <c r="AW49" s="20"/>
      <c r="AX49" s="20"/>
      <c r="AY49" s="20"/>
      <c r="BA49" s="2" t="s">
        <v>1175</v>
      </c>
      <c r="BD49" s="20">
        <f>BD46*BD52</f>
        <v>23304.221811569474</v>
      </c>
      <c r="BE49" s="20">
        <f>BC42-BD49</f>
        <v>9882.8502633454227</v>
      </c>
    </row>
    <row r="50" spans="1:62" x14ac:dyDescent="0.2">
      <c r="E50" s="21"/>
      <c r="F50" s="21" t="s">
        <v>1176</v>
      </c>
      <c r="AI50" s="20"/>
      <c r="AJ50" s="20"/>
      <c r="AU50" s="20"/>
      <c r="AX50" s="20"/>
      <c r="BA50" s="2" t="s">
        <v>1177</v>
      </c>
      <c r="BD50" s="4">
        <v>391</v>
      </c>
      <c r="BE50" s="2" t="s">
        <v>1178</v>
      </c>
    </row>
    <row r="51" spans="1:62" x14ac:dyDescent="0.2">
      <c r="A51" s="2" t="s">
        <v>1179</v>
      </c>
      <c r="B51" s="34">
        <f>B34-B49</f>
        <v>-1947.5748122281511</v>
      </c>
      <c r="D51" s="20">
        <f>D34-D49</f>
        <v>24151.574812228144</v>
      </c>
      <c r="E51" s="21" t="s">
        <v>1180</v>
      </c>
      <c r="AG51" s="2" t="s">
        <v>1181</v>
      </c>
      <c r="AH51" s="20"/>
      <c r="AI51" s="1268" t="s">
        <v>1182</v>
      </c>
      <c r="BA51" s="2" t="s">
        <v>1183</v>
      </c>
      <c r="BD51" s="1063">
        <f>(BD49+BD50)/((BD48-BD50)+(BD49+BD50))</f>
        <v>0.31154080242492904</v>
      </c>
    </row>
    <row r="52" spans="1:62" x14ac:dyDescent="0.2">
      <c r="A52" s="6" t="s">
        <v>125</v>
      </c>
      <c r="B52" s="6" t="s">
        <v>125</v>
      </c>
      <c r="C52" s="6" t="s">
        <v>125</v>
      </c>
      <c r="D52" s="6" t="s">
        <v>125</v>
      </c>
      <c r="E52" s="6" t="s">
        <v>125</v>
      </c>
      <c r="F52" s="6" t="s">
        <v>125</v>
      </c>
      <c r="G52" s="6" t="s">
        <v>125</v>
      </c>
      <c r="H52" s="6" t="s">
        <v>125</v>
      </c>
      <c r="I52" s="6" t="s">
        <v>125</v>
      </c>
      <c r="J52" s="6" t="s">
        <v>125</v>
      </c>
      <c r="AG52" s="2" t="s">
        <v>1184</v>
      </c>
      <c r="AH52" s="34" t="s">
        <v>1185</v>
      </c>
      <c r="AI52" s="1268" t="s">
        <v>1182</v>
      </c>
      <c r="AU52" s="20"/>
      <c r="AX52" s="20" t="s">
        <v>1186</v>
      </c>
      <c r="AY52" s="34">
        <f>SUM(AY11:AY41)</f>
        <v>85574</v>
      </c>
      <c r="BA52" s="2" t="s">
        <v>1187</v>
      </c>
      <c r="BD52" s="1063">
        <v>0.30640000000000001</v>
      </c>
    </row>
    <row r="53" spans="1:62" x14ac:dyDescent="0.2">
      <c r="A53" s="6"/>
      <c r="B53" s="6"/>
      <c r="C53" s="7" t="s">
        <v>161</v>
      </c>
      <c r="D53" s="7" t="s">
        <v>163</v>
      </c>
      <c r="E53" s="7" t="s">
        <v>165</v>
      </c>
      <c r="F53" s="7" t="s">
        <v>1188</v>
      </c>
      <c r="G53" s="6"/>
      <c r="H53" s="6"/>
      <c r="I53" s="6"/>
      <c r="J53" s="6"/>
      <c r="K53" s="6"/>
      <c r="AH53" s="2" t="s">
        <v>1189</v>
      </c>
      <c r="AI53" s="2">
        <f>Input_Harvestnew!C143</f>
        <v>0</v>
      </c>
      <c r="AJ53" s="1268" t="s">
        <v>1182</v>
      </c>
      <c r="AY53" s="2" t="s">
        <v>1190</v>
      </c>
      <c r="AZ53" s="34"/>
      <c r="BA53" s="2" t="s">
        <v>1191</v>
      </c>
      <c r="BD53" s="1063">
        <f>BD51-BD52</f>
        <v>5.1408024249290363E-3</v>
      </c>
    </row>
    <row r="54" spans="1:62" x14ac:dyDescent="0.2">
      <c r="A54" s="2" t="s">
        <v>1192</v>
      </c>
      <c r="B54" s="1224" t="s">
        <v>201</v>
      </c>
      <c r="C54" s="20">
        <f>C56*TRunsPRN!D49/SUM(TRunsPRN!D$48:D$49)</f>
        <v>32808.38021481227</v>
      </c>
      <c r="D54" s="20">
        <f>D56*TRunsPRN!D51/SUM(TRunsPRN!D$50:D$51)</f>
        <v>12299.243295022923</v>
      </c>
      <c r="E54" s="20">
        <f>E56*TRunsPRN!D53/SUM(TRunsPRN!D$52:D$53)</f>
        <v>49838.472993564981</v>
      </c>
      <c r="F54" s="20">
        <f>SUM(C54:E54)</f>
        <v>94946.096503400171</v>
      </c>
      <c r="G54" s="1224"/>
      <c r="H54" s="20"/>
      <c r="AH54" s="2" t="s">
        <v>1193</v>
      </c>
      <c r="AI54" s="34">
        <f>AH51-AH52-AI53</f>
        <v>0</v>
      </c>
      <c r="AY54" s="2" t="s">
        <v>1194</v>
      </c>
      <c r="AZ54" s="34"/>
      <c r="BA54" s="6" t="s">
        <v>1195</v>
      </c>
      <c r="BB54" s="6" t="s">
        <v>1195</v>
      </c>
      <c r="BC54" s="6" t="s">
        <v>1195</v>
      </c>
      <c r="BD54" s="6" t="s">
        <v>1195</v>
      </c>
      <c r="BE54" s="6" t="s">
        <v>1195</v>
      </c>
      <c r="BF54" s="6" t="s">
        <v>1195</v>
      </c>
      <c r="BG54" s="6" t="s">
        <v>1195</v>
      </c>
      <c r="BH54" s="6" t="s">
        <v>1195</v>
      </c>
      <c r="BI54" s="6" t="s">
        <v>1195</v>
      </c>
      <c r="BJ54" s="6" t="s">
        <v>1195</v>
      </c>
    </row>
    <row r="55" spans="1:62" x14ac:dyDescent="0.2">
      <c r="B55" s="1224" t="s">
        <v>611</v>
      </c>
      <c r="C55" s="20">
        <f>C56*TRunsPRN!D48/SUM(TRunsPRN!D$48:D$49)</f>
        <v>47784.945488049656</v>
      </c>
      <c r="D55" s="20">
        <f>D56*TRunsPRN!D50/SUM(TRunsPRN!D$50:D$51)</f>
        <v>5677.5907321199174</v>
      </c>
      <c r="E55" s="20">
        <f>E56*TRunsPRN!D52/SUM(TRunsPRN!D$52:D$53)</f>
        <v>16863.908085868341</v>
      </c>
      <c r="F55" s="20">
        <f>SUM(C55:E55)</f>
        <v>70326.444306037913</v>
      </c>
      <c r="H55" s="1063"/>
      <c r="AH55" s="2" t="s">
        <v>1196</v>
      </c>
      <c r="AI55" s="34">
        <f>AI54*H59</f>
        <v>0</v>
      </c>
      <c r="AY55" s="2" t="s">
        <v>1197</v>
      </c>
      <c r="AZ55" s="1063">
        <f>AY52/AJ46</f>
        <v>0.44906450352098176</v>
      </c>
    </row>
    <row r="56" spans="1:62" x14ac:dyDescent="0.2">
      <c r="B56" s="1268" t="s">
        <v>1198</v>
      </c>
      <c r="C56" s="20">
        <f>SUM(TRunsPRN!D41)</f>
        <v>80593.325702861926</v>
      </c>
      <c r="D56" s="629">
        <f>SUM(TRunsPRN!D42)</f>
        <v>17976.834027142839</v>
      </c>
      <c r="E56" s="20">
        <f>SUM(TRunsPRN!D43)</f>
        <v>66702.381079433326</v>
      </c>
      <c r="F56" s="20">
        <f>SUM(TRunsPRN!D40)</f>
        <v>190560.59726172881</v>
      </c>
    </row>
    <row r="57" spans="1:62" x14ac:dyDescent="0.2">
      <c r="A57" s="6" t="s">
        <v>125</v>
      </c>
      <c r="B57" s="6" t="s">
        <v>125</v>
      </c>
      <c r="C57" s="6" t="s">
        <v>125</v>
      </c>
      <c r="D57" s="6" t="s">
        <v>125</v>
      </c>
      <c r="E57" s="6" t="s">
        <v>125</v>
      </c>
      <c r="F57" s="6" t="s">
        <v>125</v>
      </c>
      <c r="G57" s="6" t="s">
        <v>125</v>
      </c>
      <c r="H57" s="6" t="s">
        <v>125</v>
      </c>
      <c r="I57" s="6" t="s">
        <v>125</v>
      </c>
      <c r="J57" s="6" t="s">
        <v>125</v>
      </c>
      <c r="AJ57" s="7"/>
    </row>
    <row r="58" spans="1:62" x14ac:dyDescent="0.2">
      <c r="A58" s="2" t="s">
        <v>1199</v>
      </c>
      <c r="B58" s="1224" t="s">
        <v>201</v>
      </c>
      <c r="C58" s="20">
        <f>SUM(TRunsPRN!D87)</f>
        <v>28545.676937313183</v>
      </c>
      <c r="D58" s="30">
        <f>SUM(TRunsPRN!D90)</f>
        <v>14656.846382903044</v>
      </c>
      <c r="E58" s="30">
        <f>SUM(TRunsPRN!D93)</f>
        <v>19221.956965560246</v>
      </c>
      <c r="F58" s="20">
        <f>SUM(C58:E58)</f>
        <v>62424.480285776473</v>
      </c>
      <c r="G58" s="1224" t="s">
        <v>1200</v>
      </c>
      <c r="H58" s="20">
        <f>SUM(TRunsPRN!D85,TRunsPRN!D88,TRunsPRN!D91)</f>
        <v>19998.591823987208</v>
      </c>
      <c r="J58" s="2" t="s">
        <v>1201</v>
      </c>
      <c r="K58" s="34">
        <v>69219.316234561513</v>
      </c>
      <c r="AI58" s="7"/>
      <c r="AK58" s="7"/>
      <c r="AL58" s="7"/>
      <c r="AM58" s="7"/>
      <c r="AN58" s="7"/>
      <c r="AO58" s="7"/>
      <c r="AP58" s="7"/>
      <c r="AQ58" s="7"/>
      <c r="AR58" s="7"/>
      <c r="AS58" s="7"/>
      <c r="AT58" s="7"/>
      <c r="AU58" s="7"/>
    </row>
    <row r="59" spans="1:62" x14ac:dyDescent="0.2">
      <c r="B59" s="1224" t="s">
        <v>611</v>
      </c>
      <c r="C59" s="20">
        <f>SUM(TRunsPRN!D86)</f>
        <v>44859.013639696903</v>
      </c>
      <c r="D59" s="30">
        <f>SUM(TRunsPRN!D89)</f>
        <v>6566.763462349285</v>
      </c>
      <c r="E59" s="30">
        <f>SUM(TRunsPRN!D92)</f>
        <v>12832.98508778466</v>
      </c>
      <c r="F59" s="20">
        <f>SUM(C59:E59)</f>
        <v>64258.76218983085</v>
      </c>
      <c r="G59" s="2" t="s">
        <v>938</v>
      </c>
      <c r="H59" s="1063">
        <f>H58/C60</f>
        <v>0.27244296879102503</v>
      </c>
      <c r="J59" s="2" t="s">
        <v>1202</v>
      </c>
      <c r="K59" s="34">
        <v>4067.2695866965478</v>
      </c>
      <c r="AI59" s="7"/>
      <c r="AJ59" s="7"/>
      <c r="AK59" s="7"/>
      <c r="AL59" s="7"/>
      <c r="AM59" s="7"/>
      <c r="AN59" s="7"/>
      <c r="AO59" s="7"/>
      <c r="AP59" s="7"/>
      <c r="AQ59" s="7"/>
      <c r="AR59" s="7"/>
      <c r="AS59" s="7"/>
      <c r="AT59" s="7"/>
      <c r="AU59" s="7"/>
      <c r="AV59" s="7"/>
      <c r="AW59" s="7"/>
    </row>
    <row r="60" spans="1:62" x14ac:dyDescent="0.2">
      <c r="B60" s="1268" t="s">
        <v>1198</v>
      </c>
      <c r="C60" s="20">
        <f>C58+C59</f>
        <v>73404.690577010086</v>
      </c>
      <c r="D60" s="20">
        <f>D58+D59</f>
        <v>21223.609845252329</v>
      </c>
      <c r="E60" s="20">
        <f>E58+E59</f>
        <v>32054.942053344908</v>
      </c>
      <c r="F60" s="20">
        <f>SUM(C60:E60)</f>
        <v>126683.24247560732</v>
      </c>
      <c r="J60" s="2" t="s">
        <v>1203</v>
      </c>
      <c r="K60" s="34">
        <v>65152.046647864961</v>
      </c>
      <c r="AI60" s="7"/>
      <c r="AJ60" s="7"/>
      <c r="AK60" s="7"/>
      <c r="AL60" s="7"/>
      <c r="AM60" s="7"/>
      <c r="AN60" s="7"/>
      <c r="AO60" s="7"/>
      <c r="AP60" s="7"/>
      <c r="AQ60" s="7"/>
      <c r="AR60" s="7"/>
      <c r="AS60" s="7"/>
      <c r="AT60" s="7"/>
      <c r="AU60" s="7"/>
      <c r="AV60" s="7"/>
      <c r="AW60" s="7"/>
    </row>
    <row r="61" spans="1:62" x14ac:dyDescent="0.2">
      <c r="A61" s="6" t="s">
        <v>125</v>
      </c>
      <c r="B61" s="6" t="s">
        <v>125</v>
      </c>
      <c r="C61" s="6" t="s">
        <v>125</v>
      </c>
      <c r="D61" s="6" t="s">
        <v>125</v>
      </c>
      <c r="E61" s="6" t="s">
        <v>125</v>
      </c>
      <c r="F61" s="6" t="s">
        <v>125</v>
      </c>
      <c r="G61" s="6" t="s">
        <v>125</v>
      </c>
      <c r="H61" s="6" t="s">
        <v>125</v>
      </c>
      <c r="I61" s="6" t="s">
        <v>125</v>
      </c>
      <c r="J61" s="6" t="s">
        <v>125</v>
      </c>
      <c r="K61" s="1048"/>
    </row>
    <row r="149" spans="7:12" x14ac:dyDescent="0.2">
      <c r="G149" s="2">
        <f>SPS!D50*C153</f>
        <v>0</v>
      </c>
      <c r="K149" s="1048"/>
    </row>
    <row r="150" spans="7:12" x14ac:dyDescent="0.2">
      <c r="G150" s="2">
        <f>SPS!D50*C154</f>
        <v>0</v>
      </c>
      <c r="K150" s="1048"/>
    </row>
    <row r="151" spans="7:12" x14ac:dyDescent="0.2">
      <c r="G151" s="2" t="e">
        <f>SPS!C47/G149</f>
        <v>#DIV/0!</v>
      </c>
      <c r="K151" s="1048"/>
    </row>
    <row r="152" spans="7:12" x14ac:dyDescent="0.2">
      <c r="G152" s="2" t="e">
        <f>SPS!C47/G150</f>
        <v>#DIV/0!</v>
      </c>
      <c r="K152" s="1048"/>
    </row>
    <row r="154" spans="7:12" x14ac:dyDescent="0.2">
      <c r="K154" s="1048"/>
      <c r="L154" s="2">
        <f>IF(SPS!BB39="&gt;&gt;&gt;recalc",0,SPS!BB39)</f>
        <v>0</v>
      </c>
    </row>
    <row r="155" spans="7:12" x14ac:dyDescent="0.2">
      <c r="K155" s="1048"/>
      <c r="L155" s="20">
        <f>SPS!BB41</f>
        <v>42871.093106447603</v>
      </c>
    </row>
    <row r="156" spans="7:12" x14ac:dyDescent="0.2">
      <c r="K156" s="1048"/>
      <c r="L156" s="2">
        <f>SPS!C47</f>
        <v>0</v>
      </c>
    </row>
    <row r="161" spans="13:13" x14ac:dyDescent="0.2">
      <c r="M161" s="2">
        <f>SUM(SPS!Z36:AC36)*(C155/(1-C155))</f>
        <v>0</v>
      </c>
    </row>
  </sheetData>
  <phoneticPr fontId="16" type="noConversion"/>
  <pageMargins left="0.21" right="0.17" top="0.64" bottom="0.51" header="0.5" footer="0.5"/>
  <pageSetup scale="65" orientation="landscape"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ransitionEvaluation="1" transitionEntry="1" codeName="Sheet12">
    <pageSetUpPr fitToPage="1"/>
  </sheetPr>
  <dimension ref="A1:BO167"/>
  <sheetViews>
    <sheetView zoomScaleNormal="100" workbookViewId="0">
      <selection activeCell="J9274" sqref="J9274"/>
    </sheetView>
  </sheetViews>
  <sheetFormatPr defaultColWidth="12.5703125" defaultRowHeight="15" x14ac:dyDescent="0.2"/>
  <cols>
    <col min="1" max="1" width="30.5703125" style="2" customWidth="1"/>
    <col min="2" max="21" width="12.5703125" style="2"/>
    <col min="22" max="34" width="11.28515625" style="2" customWidth="1"/>
    <col min="35" max="54" width="11.28515625" style="2" hidden="1" customWidth="1"/>
    <col min="55" max="67" width="11.28515625" style="2" customWidth="1"/>
    <col min="68" max="16384" width="12.5703125" style="2"/>
  </cols>
  <sheetData>
    <row r="1" spans="1:67" ht="16.5" thickTop="1" x14ac:dyDescent="0.25">
      <c r="A1" s="1005"/>
      <c r="B1" s="992" t="s">
        <v>1204</v>
      </c>
      <c r="C1" s="976"/>
      <c r="D1" s="976"/>
      <c r="E1" s="976"/>
      <c r="F1" s="976"/>
      <c r="G1" s="976"/>
      <c r="H1" s="976"/>
      <c r="I1" s="989" t="s">
        <v>1205</v>
      </c>
      <c r="J1" s="976" t="str">
        <f>Input_Harvestnew!B4</f>
        <v>Final PFMC April - Adopted+NOF</v>
      </c>
      <c r="K1" s="976"/>
      <c r="L1" s="976"/>
      <c r="M1" s="976"/>
      <c r="N1" s="976"/>
      <c r="O1" s="976"/>
      <c r="P1" s="976"/>
      <c r="Q1" s="989" t="s">
        <v>602</v>
      </c>
      <c r="R1" s="976"/>
      <c r="S1" s="990" t="str">
        <f>Input_Harvestnew!B3</f>
        <v>bc-Coho2229</v>
      </c>
      <c r="T1" s="976"/>
      <c r="U1" s="976"/>
      <c r="V1" s="976"/>
      <c r="W1" s="976"/>
      <c r="X1" s="992" t="s">
        <v>1206</v>
      </c>
      <c r="Y1" s="976"/>
      <c r="Z1" s="976"/>
      <c r="AA1" s="976"/>
      <c r="AB1" s="976"/>
      <c r="AC1" s="976"/>
      <c r="AD1" s="1577"/>
      <c r="AE1" s="976"/>
      <c r="AF1" s="1578" t="s">
        <v>125</v>
      </c>
      <c r="AG1" s="1578" t="s">
        <v>125</v>
      </c>
      <c r="AH1" s="976"/>
      <c r="AI1" s="992" t="s">
        <v>1207</v>
      </c>
      <c r="AJ1" s="976"/>
      <c r="AK1" s="976"/>
      <c r="AL1" s="976"/>
      <c r="AM1" s="976"/>
      <c r="AN1" s="976"/>
      <c r="AO1" s="976"/>
      <c r="AP1" s="976"/>
      <c r="AQ1" s="1578" t="s">
        <v>125</v>
      </c>
      <c r="AR1" s="1578" t="s">
        <v>125</v>
      </c>
      <c r="AS1" s="1578" t="s">
        <v>125</v>
      </c>
      <c r="AT1" s="976"/>
      <c r="AU1" s="992" t="s">
        <v>1208</v>
      </c>
      <c r="AV1" s="976"/>
      <c r="AW1" s="976"/>
      <c r="AX1" s="976"/>
      <c r="AY1" s="976"/>
      <c r="AZ1" s="1578" t="s">
        <v>125</v>
      </c>
      <c r="BA1" s="1578" t="s">
        <v>125</v>
      </c>
      <c r="BB1" s="1578" t="s">
        <v>125</v>
      </c>
      <c r="BC1" s="976"/>
      <c r="BD1" s="992" t="s">
        <v>1209</v>
      </c>
      <c r="BE1" s="976"/>
      <c r="BF1" s="976"/>
      <c r="BG1" s="976"/>
      <c r="BH1" s="1578" t="s">
        <v>125</v>
      </c>
      <c r="BI1" s="1578"/>
      <c r="BJ1" s="1578"/>
      <c r="BK1" s="1578"/>
      <c r="BL1" s="1578" t="s">
        <v>125</v>
      </c>
      <c r="BM1" s="1578" t="s">
        <v>125</v>
      </c>
      <c r="BN1" s="976"/>
    </row>
    <row r="2" spans="1:67" x14ac:dyDescent="0.2">
      <c r="A2" s="988"/>
      <c r="S2" s="993">
        <f>'1'!$L$2</f>
        <v>44663.592256944445</v>
      </c>
      <c r="X2" s="2" t="s">
        <v>1210</v>
      </c>
      <c r="AD2" s="977"/>
      <c r="AI2" s="2" t="s">
        <v>1211</v>
      </c>
      <c r="AS2" s="545">
        <f>'1'!$L$2</f>
        <v>44663.592256944445</v>
      </c>
      <c r="AU2" s="2" t="s">
        <v>1212</v>
      </c>
      <c r="BB2" s="545">
        <f>'1'!$L$2</f>
        <v>44663.592256944445</v>
      </c>
      <c r="BD2" s="2" t="s">
        <v>1213</v>
      </c>
      <c r="BM2" s="545">
        <f>'1'!$L$2</f>
        <v>44663.592256944445</v>
      </c>
    </row>
    <row r="3" spans="1:67" ht="16.5" thickBot="1" x14ac:dyDescent="0.3">
      <c r="A3" s="994"/>
      <c r="B3"/>
      <c r="C3"/>
      <c r="D3"/>
      <c r="E3"/>
      <c r="F3"/>
      <c r="G3"/>
      <c r="H3"/>
      <c r="I3"/>
      <c r="J3"/>
      <c r="K3"/>
      <c r="L3"/>
      <c r="M3"/>
      <c r="N3"/>
      <c r="O3"/>
      <c r="P3"/>
      <c r="Q3"/>
      <c r="R3"/>
      <c r="S3"/>
      <c r="T3"/>
      <c r="X3" s="2" t="s">
        <v>602</v>
      </c>
      <c r="Y3" s="157" t="str">
        <f>Input_Harvestnew!$B$3</f>
        <v>bc-Coho2229</v>
      </c>
      <c r="AD3" s="1579"/>
      <c r="AG3" s="545">
        <f>'1'!$L$2</f>
        <v>44663.592256944445</v>
      </c>
      <c r="AI3" s="2" t="s">
        <v>602</v>
      </c>
      <c r="AJ3" s="157" t="str">
        <f>Input_Harvestnew!$B$3</f>
        <v>bc-Coho2229</v>
      </c>
      <c r="AS3" s="546">
        <f>'1'!$L$3</f>
        <v>44663.592256944445</v>
      </c>
      <c r="AU3" s="2" t="s">
        <v>602</v>
      </c>
      <c r="AV3" s="157" t="str">
        <f>Input_Harvestnew!$B$3</f>
        <v>bc-Coho2229</v>
      </c>
      <c r="BB3" s="546">
        <f>'1'!$L$3</f>
        <v>44663.592256944445</v>
      </c>
      <c r="BD3" s="2" t="s">
        <v>602</v>
      </c>
      <c r="BE3" s="157" t="str">
        <f>Input_Harvestnew!$B$3</f>
        <v>bc-Coho2229</v>
      </c>
      <c r="BM3" s="546">
        <f>'1'!$L$3</f>
        <v>44663.592256944445</v>
      </c>
    </row>
    <row r="4" spans="1:67" ht="21.6" customHeight="1" thickBot="1" x14ac:dyDescent="0.35">
      <c r="A4" s="995"/>
      <c r="B4" s="558"/>
      <c r="C4" s="558"/>
      <c r="D4" s="558"/>
      <c r="E4" s="558"/>
      <c r="F4" s="558"/>
      <c r="G4" s="558"/>
      <c r="H4" s="559" t="s">
        <v>1214</v>
      </c>
      <c r="I4" s="558"/>
      <c r="J4" s="558"/>
      <c r="K4" s="558"/>
      <c r="L4" s="558"/>
      <c r="M4" s="558"/>
      <c r="N4" s="558"/>
      <c r="O4" s="558"/>
      <c r="P4" s="558"/>
      <c r="Q4" s="558"/>
      <c r="R4" s="2469" t="s">
        <v>1215</v>
      </c>
      <c r="S4" s="2470"/>
      <c r="T4" s="2473" t="s">
        <v>1216</v>
      </c>
      <c r="X4" s="2" t="s">
        <v>123</v>
      </c>
      <c r="Y4" s="2" t="str">
        <f>Input_Harvestnew!$B$4</f>
        <v>Final PFMC April - Adopted+NOF</v>
      </c>
      <c r="AD4" s="977"/>
      <c r="AG4" s="546">
        <f>'1'!$L$3</f>
        <v>44663.592256944445</v>
      </c>
      <c r="AI4" s="2" t="s">
        <v>123</v>
      </c>
      <c r="AJ4" s="2" t="str">
        <f>Input_Harvestnew!$B$4</f>
        <v>Final PFMC April - Adopted+NOF</v>
      </c>
      <c r="AU4" s="2" t="s">
        <v>123</v>
      </c>
      <c r="AV4" s="2" t="str">
        <f>Input_Harvestnew!$B$4</f>
        <v>Final PFMC April - Adopted+NOF</v>
      </c>
      <c r="BD4" s="2" t="s">
        <v>123</v>
      </c>
      <c r="BE4" s="2" t="str">
        <f>Input_Harvestnew!$B$4</f>
        <v>Final PFMC April - Adopted+NOF</v>
      </c>
    </row>
    <row r="5" spans="1:67" ht="21.6" customHeight="1" thickBot="1" x14ac:dyDescent="0.3">
      <c r="A5" s="996"/>
      <c r="B5" s="2455" t="s">
        <v>1217</v>
      </c>
      <c r="C5" s="2455"/>
      <c r="D5" s="2455"/>
      <c r="E5" s="2455"/>
      <c r="F5" s="2455"/>
      <c r="G5" s="2456"/>
      <c r="H5" s="2454" t="s">
        <v>1218</v>
      </c>
      <c r="I5" s="2456"/>
      <c r="J5" s="2475" t="s">
        <v>1219</v>
      </c>
      <c r="K5" s="2476"/>
      <c r="L5" s="2477" t="s">
        <v>1220</v>
      </c>
      <c r="M5" s="2478"/>
      <c r="N5" s="2479" t="s">
        <v>1221</v>
      </c>
      <c r="O5" s="2479"/>
      <c r="P5" s="2479"/>
      <c r="Q5" s="2479"/>
      <c r="R5" s="2471"/>
      <c r="S5" s="2472"/>
      <c r="T5" s="2474"/>
      <c r="X5" s="6" t="s">
        <v>125</v>
      </c>
      <c r="Y5" s="6" t="s">
        <v>125</v>
      </c>
      <c r="Z5" s="6" t="s">
        <v>125</v>
      </c>
      <c r="AA5" s="6" t="s">
        <v>125</v>
      </c>
      <c r="AB5" s="6" t="s">
        <v>125</v>
      </c>
      <c r="AC5" s="6" t="s">
        <v>125</v>
      </c>
      <c r="AD5" s="1580" t="s">
        <v>125</v>
      </c>
      <c r="AE5" s="6" t="s">
        <v>125</v>
      </c>
      <c r="AF5" s="6" t="s">
        <v>125</v>
      </c>
      <c r="AG5" s="6" t="s">
        <v>125</v>
      </c>
      <c r="AI5" s="6" t="s">
        <v>125</v>
      </c>
      <c r="AJ5" s="6" t="s">
        <v>125</v>
      </c>
      <c r="AK5" s="6" t="s">
        <v>125</v>
      </c>
      <c r="AL5" s="6" t="s">
        <v>125</v>
      </c>
      <c r="AM5" s="6" t="s">
        <v>125</v>
      </c>
      <c r="AN5" s="6" t="s">
        <v>125</v>
      </c>
      <c r="AO5" s="6" t="s">
        <v>125</v>
      </c>
      <c r="AP5" s="6" t="s">
        <v>125</v>
      </c>
      <c r="AQ5" s="6" t="s">
        <v>125</v>
      </c>
      <c r="AR5" s="6" t="s">
        <v>125</v>
      </c>
      <c r="AS5" s="6" t="s">
        <v>125</v>
      </c>
      <c r="AU5" s="6" t="s">
        <v>125</v>
      </c>
      <c r="AV5" s="6" t="s">
        <v>125</v>
      </c>
      <c r="AW5" s="6" t="s">
        <v>125</v>
      </c>
      <c r="AX5" s="6" t="s">
        <v>125</v>
      </c>
      <c r="AY5" s="6" t="s">
        <v>125</v>
      </c>
      <c r="AZ5" s="6" t="s">
        <v>125</v>
      </c>
      <c r="BA5" s="6" t="s">
        <v>125</v>
      </c>
      <c r="BB5" s="6" t="s">
        <v>125</v>
      </c>
      <c r="BD5" s="6" t="s">
        <v>125</v>
      </c>
      <c r="BE5" s="6" t="s">
        <v>125</v>
      </c>
      <c r="BF5" s="6" t="s">
        <v>125</v>
      </c>
      <c r="BG5" s="6" t="s">
        <v>125</v>
      </c>
      <c r="BH5" s="6" t="s">
        <v>125</v>
      </c>
      <c r="BI5" s="6"/>
      <c r="BJ5" s="6"/>
      <c r="BK5" s="6"/>
      <c r="BL5" s="6" t="s">
        <v>125</v>
      </c>
      <c r="BM5" s="6" t="s">
        <v>125</v>
      </c>
    </row>
    <row r="6" spans="1:67" ht="16.350000000000001" customHeight="1" x14ac:dyDescent="0.25">
      <c r="A6" s="997"/>
      <c r="B6" s="2485" t="s">
        <v>858</v>
      </c>
      <c r="C6" s="2466"/>
      <c r="D6" s="2465" t="s">
        <v>1222</v>
      </c>
      <c r="E6" s="2485"/>
      <c r="F6" s="2465" t="s">
        <v>1223</v>
      </c>
      <c r="G6" s="2466"/>
      <c r="H6" s="2485" t="s">
        <v>858</v>
      </c>
      <c r="I6" s="2488"/>
      <c r="J6" s="2465" t="s">
        <v>858</v>
      </c>
      <c r="K6" s="2485"/>
      <c r="L6" s="2489" t="s">
        <v>240</v>
      </c>
      <c r="M6" s="2488"/>
      <c r="N6" s="2490" t="s">
        <v>1224</v>
      </c>
      <c r="O6" s="2490"/>
      <c r="P6" s="2465" t="s">
        <v>858</v>
      </c>
      <c r="Q6" s="2466"/>
      <c r="R6" s="2106"/>
      <c r="S6" s="560"/>
      <c r="T6" s="561"/>
      <c r="Y6" s="20" t="s">
        <v>1225</v>
      </c>
      <c r="AD6" s="977"/>
      <c r="AI6" s="168" t="s">
        <v>1013</v>
      </c>
      <c r="AU6" s="168" t="s">
        <v>1013</v>
      </c>
      <c r="BB6" s="1"/>
    </row>
    <row r="7" spans="1:67" ht="16.5" thickBot="1" x14ac:dyDescent="0.3">
      <c r="A7" s="998" t="s">
        <v>1226</v>
      </c>
      <c r="B7" s="2480">
        <f>B31+B33</f>
        <v>19163</v>
      </c>
      <c r="C7" s="2481"/>
      <c r="D7" s="2482">
        <f>D31+D33</f>
        <v>59136</v>
      </c>
      <c r="E7" s="2483"/>
      <c r="F7" s="2484">
        <f>F31+F33</f>
        <v>1716</v>
      </c>
      <c r="G7" s="2483"/>
      <c r="H7" s="2482">
        <f>H31+H33</f>
        <v>14356</v>
      </c>
      <c r="I7" s="2483"/>
      <c r="J7" s="2482">
        <f>J31+J33</f>
        <v>2869</v>
      </c>
      <c r="K7" s="2483"/>
      <c r="L7" s="2484">
        <f>L31+L33</f>
        <v>14164</v>
      </c>
      <c r="M7" s="2483"/>
      <c r="N7" s="2491">
        <f>SUM(D7+F7+L7)</f>
        <v>75016</v>
      </c>
      <c r="O7" s="2491"/>
      <c r="P7" s="2486">
        <f>SUM(B7+H7+J7)</f>
        <v>36388</v>
      </c>
      <c r="Q7" s="2487"/>
      <c r="R7" s="2462"/>
      <c r="S7" s="2462"/>
      <c r="T7" s="562">
        <f>SUM(N7,P7)</f>
        <v>111404</v>
      </c>
      <c r="X7" s="1501" t="s">
        <v>129</v>
      </c>
      <c r="Y7" s="1501" t="s">
        <v>129</v>
      </c>
      <c r="AA7" s="1501" t="s">
        <v>129</v>
      </c>
      <c r="AB7" s="6" t="s">
        <v>129</v>
      </c>
      <c r="AC7" s="6" t="s">
        <v>129</v>
      </c>
      <c r="AD7" s="1580" t="s">
        <v>129</v>
      </c>
      <c r="AJ7" s="7" t="s">
        <v>171</v>
      </c>
      <c r="AK7" s="7" t="s">
        <v>172</v>
      </c>
      <c r="AL7" s="7" t="s">
        <v>625</v>
      </c>
      <c r="AM7" s="7" t="s">
        <v>626</v>
      </c>
      <c r="AN7" s="7" t="s">
        <v>627</v>
      </c>
      <c r="AO7" s="981" t="s">
        <v>174</v>
      </c>
      <c r="AP7" s="20" t="s">
        <v>191</v>
      </c>
      <c r="AU7" s="2" t="s">
        <v>1048</v>
      </c>
      <c r="AV7" s="20" t="e">
        <f t="shared" ref="AV7:BA7" si="0">AV9+AV11</f>
        <v>#REF!</v>
      </c>
      <c r="AW7" s="20" t="e">
        <f t="shared" si="0"/>
        <v>#REF!</v>
      </c>
      <c r="AX7" s="20" t="e">
        <f t="shared" si="0"/>
        <v>#REF!</v>
      </c>
      <c r="AY7" s="20" t="e">
        <f t="shared" si="0"/>
        <v>#REF!</v>
      </c>
      <c r="AZ7" s="20">
        <f t="shared" si="0"/>
        <v>0</v>
      </c>
      <c r="BA7" s="20">
        <f t="shared" si="0"/>
        <v>0</v>
      </c>
      <c r="BE7" s="1224" t="s">
        <v>236</v>
      </c>
      <c r="BF7" s="1224" t="s">
        <v>628</v>
      </c>
      <c r="BG7" s="1224" t="s">
        <v>1022</v>
      </c>
      <c r="BH7" s="1224" t="s">
        <v>1227</v>
      </c>
      <c r="BI7" s="1224" t="s">
        <v>1228</v>
      </c>
      <c r="BJ7" s="1224"/>
      <c r="BK7" s="1224"/>
      <c r="BL7" s="1224" t="s">
        <v>236</v>
      </c>
    </row>
    <row r="8" spans="1:67" ht="32.25" thickBot="1" x14ac:dyDescent="0.3">
      <c r="A8" s="999" t="s">
        <v>126</v>
      </c>
      <c r="B8" s="563" t="s">
        <v>872</v>
      </c>
      <c r="C8" s="1581" t="s">
        <v>867</v>
      </c>
      <c r="D8" s="563" t="s">
        <v>872</v>
      </c>
      <c r="E8" s="1582" t="s">
        <v>867</v>
      </c>
      <c r="F8" s="563" t="s">
        <v>872</v>
      </c>
      <c r="G8" s="1581" t="s">
        <v>867</v>
      </c>
      <c r="H8" s="1582" t="s">
        <v>872</v>
      </c>
      <c r="I8" s="1581" t="s">
        <v>867</v>
      </c>
      <c r="J8" s="563" t="s">
        <v>872</v>
      </c>
      <c r="K8" s="1582" t="s">
        <v>867</v>
      </c>
      <c r="L8" s="563" t="s">
        <v>872</v>
      </c>
      <c r="M8" s="1581" t="s">
        <v>867</v>
      </c>
      <c r="N8" s="1582" t="s">
        <v>872</v>
      </c>
      <c r="O8" s="1582" t="s">
        <v>867</v>
      </c>
      <c r="P8" s="563" t="s">
        <v>872</v>
      </c>
      <c r="Q8" s="1581" t="s">
        <v>867</v>
      </c>
      <c r="R8" s="1583" t="s">
        <v>1229</v>
      </c>
      <c r="S8" s="1583" t="s">
        <v>1230</v>
      </c>
      <c r="T8" s="564" t="s">
        <v>872</v>
      </c>
      <c r="X8" s="20" t="s">
        <v>1018</v>
      </c>
      <c r="Z8" s="20">
        <f>BM36</f>
        <v>31212</v>
      </c>
      <c r="AA8" s="1063"/>
      <c r="AB8" s="20" t="s">
        <v>1231</v>
      </c>
      <c r="AD8" s="977"/>
      <c r="AI8" s="2" t="s">
        <v>1232</v>
      </c>
      <c r="AJ8" s="20" t="e">
        <f>AW9</f>
        <v>#REF!</v>
      </c>
      <c r="AK8" s="20" t="e">
        <f>AX9</f>
        <v>#REF!</v>
      </c>
      <c r="AL8" s="20" t="e">
        <f>AY9</f>
        <v>#REF!</v>
      </c>
      <c r="AM8" s="1050" t="s">
        <v>1233</v>
      </c>
      <c r="AN8" s="1050" t="s">
        <v>1233</v>
      </c>
      <c r="AO8" s="20" t="e">
        <f>SUM(AJ8:AN8)</f>
        <v>#REF!</v>
      </c>
      <c r="AP8" s="2" t="str">
        <f>Input_Harvestnew!H170</f>
        <v>JJS/CS/JO/MGM 2/23/22: inputs for 2022 (10F,G,D); 4-Yr avg (18-21)</v>
      </c>
      <c r="BE8" s="1224" t="s">
        <v>631</v>
      </c>
      <c r="BF8" s="1224" t="s">
        <v>632</v>
      </c>
      <c r="BG8" s="1224" t="s">
        <v>542</v>
      </c>
      <c r="BH8" s="1224" t="s">
        <v>745</v>
      </c>
      <c r="BI8" s="1224" t="s">
        <v>1234</v>
      </c>
      <c r="BJ8" s="1224" t="s">
        <v>731</v>
      </c>
      <c r="BK8" s="1224" t="s">
        <v>731</v>
      </c>
      <c r="BL8" s="1224" t="s">
        <v>628</v>
      </c>
      <c r="BM8" s="1224" t="s">
        <v>628</v>
      </c>
    </row>
    <row r="9" spans="1:67" x14ac:dyDescent="0.2">
      <c r="A9" s="1000" t="s">
        <v>491</v>
      </c>
      <c r="B9" s="565">
        <f>SUM(StockSumPRN!B203:C207)</f>
        <v>3</v>
      </c>
      <c r="C9" s="1055">
        <f>B9/B$7</f>
        <v>1.5655168814903721E-4</v>
      </c>
      <c r="D9" s="566">
        <f>SUM(StockSumPRN!F203:G207)</f>
        <v>9</v>
      </c>
      <c r="E9" s="312">
        <f>D9/D$7</f>
        <v>1.5219155844155844E-4</v>
      </c>
      <c r="F9" s="566">
        <f>SUM(StockSumPRN!H203:I207)</f>
        <v>0</v>
      </c>
      <c r="G9" s="1055">
        <f>F9/F$7</f>
        <v>0</v>
      </c>
      <c r="H9" s="7">
        <f>SUM(StockSumPRN!B408:C412)</f>
        <v>3</v>
      </c>
      <c r="I9" s="1055">
        <f>H9/H$7</f>
        <v>2.0897185845639453E-4</v>
      </c>
      <c r="J9" s="565">
        <f>SUM(StockSumPRN!D408:E412)</f>
        <v>0</v>
      </c>
      <c r="K9" s="312">
        <f>J9/J$7</f>
        <v>0</v>
      </c>
      <c r="L9" s="567">
        <f>SUM(StockSumPRN!D203:E207,StockSumPRN!J203:K207,StockSumPRN!F408:G412)</f>
        <v>3</v>
      </c>
      <c r="M9" s="1584">
        <f>IF(L7=0,"na",L9/L$7)</f>
        <v>2.1180457497881955E-4</v>
      </c>
      <c r="N9" s="568">
        <f>SUM(D9+F9+L9)</f>
        <v>12</v>
      </c>
      <c r="O9" s="312">
        <f>N9/N$7</f>
        <v>1.5996587394689134E-4</v>
      </c>
      <c r="P9" s="131">
        <f>SUM(B9+H9+J9)</f>
        <v>6</v>
      </c>
      <c r="Q9" s="1055">
        <f>P9/P$7</f>
        <v>1.6488952401890733E-4</v>
      </c>
      <c r="R9" s="569"/>
      <c r="S9" s="569"/>
      <c r="T9" s="570">
        <f>SUM(P9,N9,R9)</f>
        <v>18</v>
      </c>
      <c r="X9" s="2" t="s">
        <v>1025</v>
      </c>
      <c r="Z9" s="2">
        <v>0</v>
      </c>
      <c r="AB9" s="2" t="s">
        <v>297</v>
      </c>
      <c r="AD9" s="977"/>
      <c r="AI9" s="545" t="s">
        <v>1235</v>
      </c>
      <c r="AJ9" s="20"/>
      <c r="AK9" s="20"/>
      <c r="AL9" s="20"/>
      <c r="AM9" s="1050" t="s">
        <v>1233</v>
      </c>
      <c r="AN9" s="1050" t="s">
        <v>1233</v>
      </c>
      <c r="AO9" s="20"/>
      <c r="AP9" s="2" t="s">
        <v>191</v>
      </c>
      <c r="AU9" s="2" t="s">
        <v>1236</v>
      </c>
      <c r="AV9" s="20" t="e">
        <f>SUM(AW9:BA9)</f>
        <v>#REF!</v>
      </c>
      <c r="AW9" s="20" t="e">
        <f>$AA36*Input_Harvestnew!#REF!</f>
        <v>#REF!</v>
      </c>
      <c r="AX9" s="20" t="e">
        <f>$AA36*Input_Harvestnew!#REF!</f>
        <v>#REF!</v>
      </c>
      <c r="AY9" s="20" t="e">
        <f>$AA36*Input_Harvestnew!#REF!</f>
        <v>#REF!</v>
      </c>
      <c r="AZ9" s="1050" t="s">
        <v>1233</v>
      </c>
      <c r="BA9" s="1050" t="s">
        <v>1233</v>
      </c>
      <c r="BD9" s="2" t="s">
        <v>637</v>
      </c>
      <c r="BE9" s="1224" t="s">
        <v>1040</v>
      </c>
      <c r="BF9" s="1224" t="s">
        <v>1237</v>
      </c>
      <c r="BG9" s="1224" t="s">
        <v>646</v>
      </c>
      <c r="BH9" s="1224" t="s">
        <v>1238</v>
      </c>
      <c r="BI9" s="1224" t="s">
        <v>1239</v>
      </c>
      <c r="BJ9" s="1224" t="s">
        <v>552</v>
      </c>
      <c r="BK9" s="1224" t="s">
        <v>298</v>
      </c>
      <c r="BL9" s="1224" t="s">
        <v>1237</v>
      </c>
      <c r="BM9" s="1224" t="s">
        <v>644</v>
      </c>
    </row>
    <row r="10" spans="1:67" x14ac:dyDescent="0.2">
      <c r="A10" s="1001" t="s">
        <v>1240</v>
      </c>
      <c r="B10" s="132">
        <f>SUM(StockSumPRN!B200:C201,StockSumPRN!B178:C178)</f>
        <v>93</v>
      </c>
      <c r="C10" s="1055">
        <f t="shared" ref="C10:C29" si="1">B10/B$7</f>
        <v>4.8531023326201534E-3</v>
      </c>
      <c r="D10" s="566">
        <f>SUM(StockSumPRN!F200:G201,StockSumPRN!F178:G178)</f>
        <v>2313</v>
      </c>
      <c r="E10" s="312">
        <f t="shared" ref="E10:G29" si="2">D10/D$7</f>
        <v>3.911323051948052E-2</v>
      </c>
      <c r="F10" s="566">
        <f>SUM(StockSumPRN!H200:I201,StockSumPRN!H178:I178)</f>
        <v>68</v>
      </c>
      <c r="G10" s="1055">
        <f t="shared" si="2"/>
        <v>3.9627039627039624E-2</v>
      </c>
      <c r="H10" s="174">
        <f>SUM(StockSumPRN!B405:C406,StockSumPRN!B383:C383)</f>
        <v>69</v>
      </c>
      <c r="I10" s="1055">
        <f t="shared" ref="I10:I29" si="3">H10/H$7</f>
        <v>4.8063527444970741E-3</v>
      </c>
      <c r="J10" s="131">
        <f>SUM(StockSumPRN!D405:E406,StockSumPRN!D383:E383)</f>
        <v>14</v>
      </c>
      <c r="K10" s="312">
        <f t="shared" ref="K10:K29" si="4">J10/J$7</f>
        <v>4.8797490414778672E-3</v>
      </c>
      <c r="L10" s="567">
        <f>SUM(StockSumPRN!D200:E201,StockSumPRN!J200:K201,StockSumPRN!D178:E178,StockSumPRN!J178:K178,StockSumPRN!F405:G406,StockSumPRN!F383:G383)</f>
        <v>554</v>
      </c>
      <c r="M10" s="1288" t="str">
        <f t="shared" ref="M10:M33" si="5">IF(L8=0,"na",L10/L$7)</f>
        <v>na</v>
      </c>
      <c r="N10" s="568">
        <f t="shared" ref="N10:N27" si="6">SUM(D10+F10+L10)</f>
        <v>2935</v>
      </c>
      <c r="O10" s="312">
        <f t="shared" ref="O10:O29" si="7">N10/N$7</f>
        <v>3.9124986669510503E-2</v>
      </c>
      <c r="P10" s="131">
        <f t="shared" ref="P10:P27" si="8">SUM(B10+H10+J10)</f>
        <v>176</v>
      </c>
      <c r="Q10" s="1055">
        <f t="shared" ref="Q10:Q29" si="9">P10/P$7</f>
        <v>4.8367593712212815E-3</v>
      </c>
      <c r="R10" s="569"/>
      <c r="S10" s="569"/>
      <c r="T10" s="570">
        <f t="shared" ref="T10:T29" si="10">SUM(P10,N10,R10)</f>
        <v>3111</v>
      </c>
      <c r="X10" s="20" t="s">
        <v>1037</v>
      </c>
      <c r="Z10" s="20">
        <f>(+Z22+SUM(Y14:Y20,AA14:AA20)-Z8-Z9)/2</f>
        <v>37977.896541400332</v>
      </c>
      <c r="AB10" s="20" t="s">
        <v>1038</v>
      </c>
      <c r="AD10" s="977"/>
      <c r="AI10" s="7" t="s">
        <v>1241</v>
      </c>
      <c r="AJ10" s="20" t="e">
        <f t="shared" ref="AJ10:AO10" si="11">AJ8-AJ9</f>
        <v>#REF!</v>
      </c>
      <c r="AK10" s="20" t="e">
        <f t="shared" si="11"/>
        <v>#REF!</v>
      </c>
      <c r="AL10" s="20" t="e">
        <f t="shared" si="11"/>
        <v>#REF!</v>
      </c>
      <c r="AM10" s="20">
        <f t="shared" si="11"/>
        <v>0</v>
      </c>
      <c r="AN10" s="20">
        <f t="shared" si="11"/>
        <v>0</v>
      </c>
      <c r="AO10" s="20" t="e">
        <f t="shared" si="11"/>
        <v>#REF!</v>
      </c>
      <c r="AP10" s="2" t="s">
        <v>1242</v>
      </c>
      <c r="BD10" s="6" t="s">
        <v>129</v>
      </c>
      <c r="BE10" s="6" t="s">
        <v>129</v>
      </c>
      <c r="BF10" s="6" t="s">
        <v>129</v>
      </c>
      <c r="BG10" s="6" t="s">
        <v>129</v>
      </c>
      <c r="BH10" s="6" t="s">
        <v>129</v>
      </c>
      <c r="BI10" s="6"/>
      <c r="BJ10" s="6"/>
      <c r="BK10" s="6"/>
      <c r="BL10" s="6" t="s">
        <v>129</v>
      </c>
      <c r="BM10" s="6" t="s">
        <v>129</v>
      </c>
    </row>
    <row r="11" spans="1:67" ht="15.75" x14ac:dyDescent="0.25">
      <c r="A11" s="1001" t="s">
        <v>1243</v>
      </c>
      <c r="B11" s="132">
        <f>SUM(StockSumPRN!B199:C199,StockSumPRN!B202:C202)</f>
        <v>127</v>
      </c>
      <c r="C11" s="1055">
        <f t="shared" si="1"/>
        <v>6.6273547983092419E-3</v>
      </c>
      <c r="D11" s="566">
        <f>SUM(StockSumPRN!F199:G199,StockSumPRN!F202:G202)</f>
        <v>910</v>
      </c>
      <c r="E11" s="312">
        <f t="shared" si="2"/>
        <v>1.5388257575757576E-2</v>
      </c>
      <c r="F11" s="566">
        <f>SUM(StockSumPRN!H199:I199,StockSumPRN!H202:I202)</f>
        <v>27</v>
      </c>
      <c r="G11" s="1055">
        <f t="shared" si="2"/>
        <v>1.5734265734265736E-2</v>
      </c>
      <c r="H11" s="174">
        <f>SUM(StockSumPRN!B404:C404,StockSumPRN!B407:C407)</f>
        <v>95</v>
      </c>
      <c r="I11" s="1055">
        <f t="shared" si="3"/>
        <v>6.6174421844524935E-3</v>
      </c>
      <c r="J11" s="131">
        <f>SUM(StockSumPRN!D404:E404,StockSumPRN!D407:E407)</f>
        <v>19</v>
      </c>
      <c r="K11" s="312">
        <f t="shared" si="4"/>
        <v>6.6225165562913907E-3</v>
      </c>
      <c r="L11" s="567">
        <f>SUM(StockSumPRN!D199:E199,StockSumPRN!J199:K199,StockSumPRN!D202:E202,StockSumPRN!J202:K202,StockSumPRN!F404:G404,StockSumPRN!F407:G407)</f>
        <v>218</v>
      </c>
      <c r="M11" s="1288">
        <f t="shared" si="5"/>
        <v>1.5391132448460887E-2</v>
      </c>
      <c r="N11" s="568">
        <f t="shared" si="6"/>
        <v>1155</v>
      </c>
      <c r="O11" s="312">
        <f t="shared" si="7"/>
        <v>1.539671536738829E-2</v>
      </c>
      <c r="P11" s="131">
        <f t="shared" si="8"/>
        <v>241</v>
      </c>
      <c r="Q11" s="1055">
        <f t="shared" si="9"/>
        <v>6.6230625480927776E-3</v>
      </c>
      <c r="R11" s="569"/>
      <c r="S11" s="569"/>
      <c r="T11" s="570">
        <f t="shared" si="10"/>
        <v>1396</v>
      </c>
      <c r="Z11" s="1"/>
      <c r="AD11" s="977"/>
      <c r="AU11" s="2" t="s">
        <v>1244</v>
      </c>
      <c r="AV11" s="20" t="e">
        <f>SUM(AW11:BA11)</f>
        <v>#REF!</v>
      </c>
      <c r="AW11" s="20" t="e">
        <f>$Y36*Input_Harvestnew!#REF!</f>
        <v>#REF!</v>
      </c>
      <c r="AX11" s="20" t="e">
        <f>$Y36*Input_Harvestnew!#REF!</f>
        <v>#REF!</v>
      </c>
      <c r="AY11" s="20" t="e">
        <f>$Y36*Input_Harvestnew!#REF!</f>
        <v>#REF!</v>
      </c>
      <c r="AZ11" s="1050" t="s">
        <v>1233</v>
      </c>
      <c r="BA11" s="1050" t="s">
        <v>1233</v>
      </c>
      <c r="BD11" s="2" t="s">
        <v>1245</v>
      </c>
    </row>
    <row r="12" spans="1:67" x14ac:dyDescent="0.2">
      <c r="A12" s="1001" t="s">
        <v>1246</v>
      </c>
      <c r="B12" s="132">
        <f>SUM(StockSumPRN!B195:C197)</f>
        <v>19</v>
      </c>
      <c r="C12" s="1055">
        <f t="shared" si="1"/>
        <v>9.9149402494390229E-4</v>
      </c>
      <c r="D12" s="566">
        <f>SUM(StockSumPRN!F195:G197)</f>
        <v>475</v>
      </c>
      <c r="E12" s="312">
        <f t="shared" si="2"/>
        <v>8.0323322510822519E-3</v>
      </c>
      <c r="F12" s="566">
        <f>SUM(StockSumPRN!H195:I197)</f>
        <v>14</v>
      </c>
      <c r="G12" s="1055">
        <f t="shared" si="2"/>
        <v>8.1585081585081581E-3</v>
      </c>
      <c r="H12" s="174">
        <f>SUM(StockSumPRN!B400:C402)</f>
        <v>14</v>
      </c>
      <c r="I12" s="1055">
        <f t="shared" si="3"/>
        <v>9.752020061298412E-4</v>
      </c>
      <c r="J12" s="131">
        <f>SUM(StockSumPRN!D400:E402)</f>
        <v>3</v>
      </c>
      <c r="K12" s="312">
        <f t="shared" si="4"/>
        <v>1.0456605088881143E-3</v>
      </c>
      <c r="L12" s="567">
        <f>SUM(StockSumPRN!D195:E197,StockSumPRN!J195:K197,StockSumPRN!F400:G402)</f>
        <v>114</v>
      </c>
      <c r="M12" s="1288">
        <f t="shared" si="5"/>
        <v>8.0485738491951429E-3</v>
      </c>
      <c r="N12" s="568">
        <f t="shared" si="6"/>
        <v>603</v>
      </c>
      <c r="O12" s="312">
        <f t="shared" si="7"/>
        <v>8.0382851658312889E-3</v>
      </c>
      <c r="P12" s="131">
        <f t="shared" si="8"/>
        <v>36</v>
      </c>
      <c r="Q12" s="1055">
        <f t="shared" si="9"/>
        <v>9.8933714411344391E-4</v>
      </c>
      <c r="R12" s="569"/>
      <c r="S12" s="569"/>
      <c r="T12" s="570">
        <f t="shared" si="10"/>
        <v>639</v>
      </c>
      <c r="X12" s="1268" t="s">
        <v>233</v>
      </c>
      <c r="Y12" s="1050" t="s">
        <v>1050</v>
      </c>
      <c r="AA12" s="1050" t="s">
        <v>1051</v>
      </c>
      <c r="AD12" s="977"/>
      <c r="AI12" s="2" t="s">
        <v>1247</v>
      </c>
      <c r="AJ12" s="20" t="e">
        <f>AW11</f>
        <v>#REF!</v>
      </c>
      <c r="AK12" s="20" t="e">
        <f>AX11</f>
        <v>#REF!</v>
      </c>
      <c r="AL12" s="20" t="e">
        <f>AY11</f>
        <v>#REF!</v>
      </c>
      <c r="AM12" s="1050" t="s">
        <v>1233</v>
      </c>
      <c r="AN12" s="1050" t="s">
        <v>1233</v>
      </c>
      <c r="AO12" s="20" t="e">
        <f>SUM(AJ12:AN12)</f>
        <v>#REF!</v>
      </c>
      <c r="AU12" s="1050" t="s">
        <v>1095</v>
      </c>
      <c r="AV12" s="20">
        <f>Y34*Input_Harvestnew!C168</f>
        <v>0</v>
      </c>
      <c r="BD12" s="2" t="s">
        <v>1248</v>
      </c>
      <c r="BE12" s="20">
        <f>BG12+BF12</f>
        <v>25</v>
      </c>
      <c r="BF12" s="20">
        <f>SUM(StockSumPRN!D499:E500,StockSumPRN!D506:E507)</f>
        <v>25</v>
      </c>
      <c r="BG12" s="1109">
        <f>TRunsPRN!D168/SUM(TRunsPRN!D$162:D$169)*NS!$AJ$36</f>
        <v>0</v>
      </c>
      <c r="BH12" s="20">
        <f>TRunsPRN!D168/SUM(TRunsPRN!D$162:D$169)*NS!$BH$36</f>
        <v>841.44332695234561</v>
      </c>
      <c r="BI12" s="20">
        <f>SUM(StockSumPRN!D310:E311)</f>
        <v>0</v>
      </c>
      <c r="BJ12" s="20">
        <v>0</v>
      </c>
      <c r="BK12" s="1509" t="s">
        <v>294</v>
      </c>
      <c r="BL12" s="20">
        <f>BE12-BM12</f>
        <v>-2420</v>
      </c>
      <c r="BM12" s="20">
        <f>SUM(TRunsPRN!C168)</f>
        <v>2445</v>
      </c>
      <c r="BO12" s="20"/>
    </row>
    <row r="13" spans="1:67" x14ac:dyDescent="0.2">
      <c r="A13" s="1001" t="s">
        <v>1249</v>
      </c>
      <c r="B13" s="132">
        <f>SUM(StockSumPRN!B198:C198)</f>
        <v>88</v>
      </c>
      <c r="C13" s="1055">
        <f t="shared" si="1"/>
        <v>4.5921828523717585E-3</v>
      </c>
      <c r="D13" s="566">
        <f>SUM(StockSumPRN!F198:G198)</f>
        <v>2035</v>
      </c>
      <c r="E13" s="312">
        <f t="shared" si="2"/>
        <v>3.4412202380952384E-2</v>
      </c>
      <c r="F13" s="566">
        <f>SUM(StockSumPRN!H198:I198)</f>
        <v>59</v>
      </c>
      <c r="G13" s="1055">
        <f t="shared" si="2"/>
        <v>3.4382284382284384E-2</v>
      </c>
      <c r="H13" s="174">
        <f>SUM(StockSumPRN!B403:C403)</f>
        <v>67</v>
      </c>
      <c r="I13" s="1055">
        <f t="shared" si="3"/>
        <v>4.6670381721928113E-3</v>
      </c>
      <c r="J13" s="131">
        <f>SUM(StockSumPRN!D403:E403)</f>
        <v>13</v>
      </c>
      <c r="K13" s="312">
        <f t="shared" si="4"/>
        <v>4.5311955385151622E-3</v>
      </c>
      <c r="L13" s="567">
        <f>SUM(StockSumPRN!D198:E198,StockSumPRN!J198:K198,StockSumPRN!F403:G403)</f>
        <v>487</v>
      </c>
      <c r="M13" s="1288">
        <f t="shared" si="5"/>
        <v>3.4382942671561709E-2</v>
      </c>
      <c r="N13" s="568">
        <f t="shared" si="6"/>
        <v>2581</v>
      </c>
      <c r="O13" s="312">
        <f t="shared" si="7"/>
        <v>3.4405993388077212E-2</v>
      </c>
      <c r="P13" s="131">
        <f t="shared" si="8"/>
        <v>168</v>
      </c>
      <c r="Q13" s="1055">
        <f t="shared" si="9"/>
        <v>4.616906672529405E-3</v>
      </c>
      <c r="R13" s="569"/>
      <c r="S13" s="569"/>
      <c r="T13" s="570">
        <f t="shared" si="10"/>
        <v>2749</v>
      </c>
      <c r="X13" s="1501" t="s">
        <v>129</v>
      </c>
      <c r="Y13" s="1501" t="s">
        <v>129</v>
      </c>
      <c r="AA13" s="1501" t="s">
        <v>129</v>
      </c>
      <c r="AB13" s="6" t="s">
        <v>129</v>
      </c>
      <c r="AC13" s="6" t="s">
        <v>129</v>
      </c>
      <c r="AD13" s="1580" t="s">
        <v>129</v>
      </c>
      <c r="AI13" s="545" t="s">
        <v>1250</v>
      </c>
      <c r="AJ13" s="20"/>
      <c r="AK13" s="20"/>
      <c r="AL13" s="20"/>
      <c r="AM13" s="1050" t="s">
        <v>1233</v>
      </c>
      <c r="AN13" s="1050" t="s">
        <v>1233</v>
      </c>
      <c r="AO13" s="20"/>
      <c r="AU13" s="7" t="s">
        <v>1251</v>
      </c>
      <c r="AV13" s="20" t="e">
        <f>AV11+AV12</f>
        <v>#REF!</v>
      </c>
      <c r="BD13" s="2" t="s">
        <v>1252</v>
      </c>
      <c r="BE13" s="1509" t="s">
        <v>294</v>
      </c>
      <c r="BF13" s="1509" t="s">
        <v>294</v>
      </c>
      <c r="BG13" s="1509" t="s">
        <v>294</v>
      </c>
      <c r="BH13" s="1509" t="s">
        <v>294</v>
      </c>
      <c r="BI13" s="1509" t="s">
        <v>294</v>
      </c>
      <c r="BJ13" s="1509" t="s">
        <v>294</v>
      </c>
      <c r="BK13" s="1509" t="s">
        <v>294</v>
      </c>
      <c r="BL13" s="20">
        <f>BE13-BM13</f>
        <v>0</v>
      </c>
      <c r="BM13" s="1509" t="s">
        <v>294</v>
      </c>
    </row>
    <row r="14" spans="1:67" x14ac:dyDescent="0.2">
      <c r="A14" s="1000" t="s">
        <v>1253</v>
      </c>
      <c r="B14" s="132">
        <f>SUM(StockSumPRN!B179:C194)</f>
        <v>153</v>
      </c>
      <c r="C14" s="1055">
        <f t="shared" si="1"/>
        <v>7.984136095600898E-3</v>
      </c>
      <c r="D14" s="566">
        <f>SUM(StockSumPRN!F179:G194)</f>
        <v>441</v>
      </c>
      <c r="E14" s="312">
        <f t="shared" si="2"/>
        <v>7.457386363636364E-3</v>
      </c>
      <c r="F14" s="566">
        <f>SUM(StockSumPRN!H179:I194)</f>
        <v>12</v>
      </c>
      <c r="G14" s="1055">
        <f t="shared" si="2"/>
        <v>6.993006993006993E-3</v>
      </c>
      <c r="H14" s="174">
        <f>SUM(StockSumPRN!B384:C399)</f>
        <v>115</v>
      </c>
      <c r="I14" s="1055">
        <f t="shared" si="3"/>
        <v>8.0105879074951238E-3</v>
      </c>
      <c r="J14" s="131">
        <f>SUM(StockSumPRN!D384:E399)</f>
        <v>23</v>
      </c>
      <c r="K14" s="312">
        <f t="shared" si="4"/>
        <v>8.0167305681422101E-3</v>
      </c>
      <c r="L14" s="567">
        <f>SUM(StockSumPRN!D179:E194,StockSumPRN!J179:K194,StockSumPRN!F384:G399)</f>
        <v>105</v>
      </c>
      <c r="M14" s="1288">
        <f t="shared" si="5"/>
        <v>7.4131601242586843E-3</v>
      </c>
      <c r="N14" s="568">
        <f t="shared" si="6"/>
        <v>558</v>
      </c>
      <c r="O14" s="312">
        <f t="shared" si="7"/>
        <v>7.4384131385304472E-3</v>
      </c>
      <c r="P14" s="131">
        <f t="shared" si="8"/>
        <v>291</v>
      </c>
      <c r="Q14" s="1055">
        <f t="shared" si="9"/>
        <v>7.997141914917006E-3</v>
      </c>
      <c r="R14" s="569"/>
      <c r="S14" s="569"/>
      <c r="T14" s="570">
        <f t="shared" si="10"/>
        <v>849</v>
      </c>
      <c r="X14" s="1050" t="s">
        <v>1063</v>
      </c>
      <c r="Y14" s="1050" t="s">
        <v>297</v>
      </c>
      <c r="AA14" s="20">
        <f>SUM('2'!AX17)</f>
        <v>49</v>
      </c>
      <c r="AB14" s="20" t="s">
        <v>1064</v>
      </c>
      <c r="AD14" s="977"/>
      <c r="AI14" s="7" t="s">
        <v>1241</v>
      </c>
      <c r="AJ14" s="20" t="e">
        <f t="shared" ref="AJ14:AO14" si="12">AJ12-AJ13</f>
        <v>#REF!</v>
      </c>
      <c r="AK14" s="20" t="e">
        <f t="shared" si="12"/>
        <v>#REF!</v>
      </c>
      <c r="AL14" s="20" t="e">
        <f t="shared" si="12"/>
        <v>#REF!</v>
      </c>
      <c r="AM14" s="20">
        <f t="shared" si="12"/>
        <v>0</v>
      </c>
      <c r="AN14" s="20">
        <f t="shared" si="12"/>
        <v>0</v>
      </c>
      <c r="AO14" s="20" t="e">
        <f t="shared" si="12"/>
        <v>#REF!</v>
      </c>
      <c r="AP14" s="2" t="s">
        <v>1242</v>
      </c>
      <c r="AU14" s="6" t="s">
        <v>1254</v>
      </c>
      <c r="AV14" s="6" t="s">
        <v>1254</v>
      </c>
      <c r="AW14" s="6" t="s">
        <v>1254</v>
      </c>
      <c r="AX14" s="6" t="s">
        <v>1254</v>
      </c>
      <c r="AY14" s="6" t="s">
        <v>1254</v>
      </c>
      <c r="AZ14" s="6" t="s">
        <v>1254</v>
      </c>
      <c r="BA14" s="6" t="s">
        <v>1254</v>
      </c>
      <c r="BB14" s="6" t="s">
        <v>1254</v>
      </c>
      <c r="BD14" s="6" t="s">
        <v>125</v>
      </c>
      <c r="BE14" s="6" t="s">
        <v>125</v>
      </c>
      <c r="BF14" s="6"/>
      <c r="BG14" s="6" t="s">
        <v>125</v>
      </c>
      <c r="BH14" s="6" t="s">
        <v>125</v>
      </c>
      <c r="BI14" s="6"/>
      <c r="BJ14" s="6"/>
      <c r="BK14" s="6"/>
      <c r="BL14" s="6" t="s">
        <v>125</v>
      </c>
      <c r="BM14" s="6" t="s">
        <v>125</v>
      </c>
    </row>
    <row r="15" spans="1:67" x14ac:dyDescent="0.2">
      <c r="A15" s="1000" t="s">
        <v>1255</v>
      </c>
      <c r="B15" s="132">
        <f>SUM(StockSumPRN!B10:C31)</f>
        <v>21</v>
      </c>
      <c r="C15" s="1055">
        <f t="shared" si="1"/>
        <v>1.0958618170432604E-3</v>
      </c>
      <c r="D15" s="566">
        <f>SUM(StockSumPRN!F10:G31)</f>
        <v>235</v>
      </c>
      <c r="E15" s="312">
        <f t="shared" si="2"/>
        <v>3.973890692640693E-3</v>
      </c>
      <c r="F15" s="566">
        <f>SUM(StockSumPRN!H10:I31)</f>
        <v>6</v>
      </c>
      <c r="G15" s="1055">
        <f t="shared" si="2"/>
        <v>3.4965034965034965E-3</v>
      </c>
      <c r="H15" s="174">
        <f>SUM(StockSumPRN!B215:C236)</f>
        <v>16</v>
      </c>
      <c r="I15" s="1055">
        <f t="shared" si="3"/>
        <v>1.1145165784341043E-3</v>
      </c>
      <c r="J15" s="131">
        <f>SUM(StockSumPRN!D215:E236)</f>
        <v>3</v>
      </c>
      <c r="K15" s="312">
        <f t="shared" si="4"/>
        <v>1.0456605088881143E-3</v>
      </c>
      <c r="L15" s="567">
        <f>SUM(StockSumPRN!D10:E31,StockSumPRN!J10:K31,StockSumPRN!F215:G236)</f>
        <v>57</v>
      </c>
      <c r="M15" s="1288">
        <f t="shared" si="5"/>
        <v>4.0242869245975714E-3</v>
      </c>
      <c r="N15" s="568">
        <f t="shared" si="6"/>
        <v>298</v>
      </c>
      <c r="O15" s="312">
        <f t="shared" si="7"/>
        <v>3.9724858696811348E-3</v>
      </c>
      <c r="P15" s="131">
        <f t="shared" si="8"/>
        <v>40</v>
      </c>
      <c r="Q15" s="1055">
        <f t="shared" si="9"/>
        <v>1.0992634934593821E-3</v>
      </c>
      <c r="R15" s="569"/>
      <c r="S15" s="569"/>
      <c r="T15" s="570">
        <f t="shared" si="10"/>
        <v>338</v>
      </c>
      <c r="X15" s="1050" t="s">
        <v>1068</v>
      </c>
      <c r="Y15" s="1050" t="s">
        <v>297</v>
      </c>
      <c r="AA15" s="20">
        <f>SUM('2'!AX18)</f>
        <v>289</v>
      </c>
      <c r="AB15" s="20" t="s">
        <v>1064</v>
      </c>
      <c r="AD15" s="977"/>
      <c r="BD15" s="2" t="s">
        <v>1256</v>
      </c>
      <c r="BE15" s="20">
        <f t="shared" ref="BE15:BM15" si="13">BE12+BE13</f>
        <v>25</v>
      </c>
      <c r="BF15" s="20"/>
      <c r="BG15" s="20">
        <f>BG12+BG13</f>
        <v>0</v>
      </c>
      <c r="BH15" s="20">
        <f t="shared" si="13"/>
        <v>841.44332695234561</v>
      </c>
      <c r="BI15" s="20">
        <f t="shared" si="13"/>
        <v>0</v>
      </c>
      <c r="BJ15" s="20">
        <f t="shared" si="13"/>
        <v>0</v>
      </c>
      <c r="BK15" s="20">
        <f t="shared" si="13"/>
        <v>0</v>
      </c>
      <c r="BL15" s="20">
        <f t="shared" si="13"/>
        <v>-2420</v>
      </c>
      <c r="BM15" s="20">
        <f t="shared" si="13"/>
        <v>2445</v>
      </c>
    </row>
    <row r="16" spans="1:67" x14ac:dyDescent="0.2">
      <c r="A16" s="1000" t="s">
        <v>1257</v>
      </c>
      <c r="B16" s="132">
        <f>SUM(StockSumPRN!B32:C32,StockSumPRN!B42:C42,StockSumPRN!B46:C46,StockSumPRN!B49:C50)</f>
        <v>184</v>
      </c>
      <c r="C16" s="1055">
        <f t="shared" si="1"/>
        <v>9.6018368731409492E-3</v>
      </c>
      <c r="D16" s="566">
        <f>SUM(StockSumPRN!F32:G32,StockSumPRN!F42:G42,StockSumPRN!F46:G46,StockSumPRN!F49:G50)</f>
        <v>2554</v>
      </c>
      <c r="E16" s="312">
        <f t="shared" si="2"/>
        <v>4.3188582251082248E-2</v>
      </c>
      <c r="F16" s="566">
        <f>SUM(StockSumPRN!H32:I32,StockSumPRN!H42:I42,StockSumPRN!H46:I46,StockSumPRN!H49:I50)</f>
        <v>74</v>
      </c>
      <c r="G16" s="1055">
        <f t="shared" si="2"/>
        <v>4.312354312354312E-2</v>
      </c>
      <c r="H16" s="174">
        <f>SUM(StockSumPRN!B237:C237,StockSumPRN!B247:C247,StockSumPRN!B251:C251,StockSumPRN!B254:C255)</f>
        <v>138</v>
      </c>
      <c r="I16" s="1055">
        <f t="shared" si="3"/>
        <v>9.6127054889941482E-3</v>
      </c>
      <c r="J16" s="131">
        <f>SUM(StockSumPRN!D237:E237,StockSumPRN!D247:E247,StockSumPRN!D251:E251,StockSumPRN!D254:E255)</f>
        <v>28</v>
      </c>
      <c r="K16" s="312">
        <f t="shared" si="4"/>
        <v>9.7594980829557344E-3</v>
      </c>
      <c r="L16" s="567">
        <f>SUM(StockSumPRN!D32:E32,StockSumPRN!J32:K32,StockSumPRN!D42:E42,StockSumPRN!J42:K42,StockSumPRN!D46:E46,StockSumPRN!J46:K46,StockSumPRN!D49:E50,StockSumPRN!J49:K50,StockSumPRN!F237:G237,StockSumPRN!F247:G247,StockSumPRN!F251:G251,StockSumPRN!F254:G255)</f>
        <v>611</v>
      </c>
      <c r="M16" s="1288">
        <f t="shared" si="5"/>
        <v>4.3137531770686244E-2</v>
      </c>
      <c r="N16" s="568">
        <f t="shared" si="6"/>
        <v>3239</v>
      </c>
      <c r="O16" s="312">
        <f t="shared" si="7"/>
        <v>4.3177455476165083E-2</v>
      </c>
      <c r="P16" s="131">
        <f t="shared" si="8"/>
        <v>350</v>
      </c>
      <c r="Q16" s="1055">
        <f t="shared" si="9"/>
        <v>9.6185555677695943E-3</v>
      </c>
      <c r="R16" s="569"/>
      <c r="S16" s="569"/>
      <c r="T16" s="570">
        <f t="shared" si="10"/>
        <v>3589</v>
      </c>
      <c r="X16" s="1050" t="s">
        <v>1072</v>
      </c>
      <c r="Y16" s="20">
        <f>SUM('2'!AX20)</f>
        <v>3184</v>
      </c>
      <c r="AA16" s="20">
        <f>SUM('2'!AX21:AX22)</f>
        <v>630</v>
      </c>
      <c r="AB16" s="20" t="s">
        <v>1064</v>
      </c>
      <c r="AD16" s="977"/>
      <c r="AI16" s="6" t="s">
        <v>1258</v>
      </c>
      <c r="AJ16" s="6" t="s">
        <v>1258</v>
      </c>
      <c r="AK16" s="6" t="s">
        <v>1258</v>
      </c>
      <c r="AL16" s="6" t="s">
        <v>1258</v>
      </c>
      <c r="AM16" s="6" t="s">
        <v>1258</v>
      </c>
      <c r="AN16" s="6" t="s">
        <v>1258</v>
      </c>
      <c r="AO16" s="6" t="s">
        <v>1258</v>
      </c>
      <c r="AP16" s="6" t="s">
        <v>1258</v>
      </c>
      <c r="AQ16" s="6" t="s">
        <v>1258</v>
      </c>
      <c r="AR16" s="6" t="s">
        <v>1258</v>
      </c>
      <c r="AS16" s="6" t="s">
        <v>1258</v>
      </c>
      <c r="BD16" s="6" t="s">
        <v>125</v>
      </c>
      <c r="BE16" s="6" t="s">
        <v>125</v>
      </c>
      <c r="BF16" s="6"/>
      <c r="BG16" s="6" t="s">
        <v>125</v>
      </c>
      <c r="BH16" s="6" t="s">
        <v>125</v>
      </c>
      <c r="BI16" s="6"/>
      <c r="BJ16" s="6"/>
      <c r="BK16" s="6"/>
      <c r="BL16" s="6" t="s">
        <v>125</v>
      </c>
      <c r="BM16" s="6" t="s">
        <v>125</v>
      </c>
    </row>
    <row r="17" spans="1:66" x14ac:dyDescent="0.2">
      <c r="A17" s="1000" t="s">
        <v>1259</v>
      </c>
      <c r="B17" s="132">
        <f>SUM(StockSumPRN!B43:C44,StockSumPRN!B47:C47,StockSumPRN!B51:C51)</f>
        <v>51</v>
      </c>
      <c r="C17" s="1055">
        <f t="shared" si="1"/>
        <v>2.6613786985336327E-3</v>
      </c>
      <c r="D17" s="566">
        <f>SUM(StockSumPRN!F43:G44,StockSumPRN!F47:G47,StockSumPRN!F51:G51)</f>
        <v>421</v>
      </c>
      <c r="E17" s="312">
        <f t="shared" si="2"/>
        <v>7.1191829004329001E-3</v>
      </c>
      <c r="F17" s="566">
        <f>SUM(StockSumPRN!H43:I44,StockSumPRN!H47:I47,StockSumPRN!H51:I51)</f>
        <v>13</v>
      </c>
      <c r="G17" s="1055">
        <f t="shared" si="2"/>
        <v>7.575757575757576E-3</v>
      </c>
      <c r="H17" s="174">
        <f>SUM(StockSumPRN!B248:C249,StockSumPRN!B252:C252,StockSumPRN!B256:C256)</f>
        <v>38</v>
      </c>
      <c r="I17" s="1055">
        <f t="shared" si="3"/>
        <v>2.6469768737809973E-3</v>
      </c>
      <c r="J17" s="131">
        <f>SUM(StockSumPRN!D248:E249,StockSumPRN!D252:E252,StockSumPRN!D256:E256)</f>
        <v>8</v>
      </c>
      <c r="K17" s="312">
        <f t="shared" si="4"/>
        <v>2.7884280237016382E-3</v>
      </c>
      <c r="L17" s="567">
        <f>SUM(StockSumPRN!D43:E44,StockSumPRN!J43:K44,StockSumPRN!D47:E47,StockSumPRN!J47:K47,StockSumPRN!D51:E51,StockSumPRN!J51:K51,StockSumPRN!F248:G249,StockSumPRN!F252:G252,StockSumPRN!F256:G256)</f>
        <v>101</v>
      </c>
      <c r="M17" s="1288">
        <f t="shared" si="5"/>
        <v>7.1307540242869245E-3</v>
      </c>
      <c r="N17" s="568">
        <f t="shared" si="6"/>
        <v>535</v>
      </c>
      <c r="O17" s="312">
        <f t="shared" si="7"/>
        <v>7.1318118801322388E-3</v>
      </c>
      <c r="P17" s="131">
        <f t="shared" si="8"/>
        <v>97</v>
      </c>
      <c r="Q17" s="1055">
        <f t="shared" si="9"/>
        <v>2.665713971639002E-3</v>
      </c>
      <c r="R17" s="569"/>
      <c r="S17" s="569"/>
      <c r="T17" s="570">
        <f t="shared" si="10"/>
        <v>632</v>
      </c>
      <c r="X17" s="1050" t="s">
        <v>1077</v>
      </c>
      <c r="Y17" s="1050" t="s">
        <v>297</v>
      </c>
      <c r="AA17" s="20">
        <f>SUM('2'!AX23:AX27)</f>
        <v>3592</v>
      </c>
      <c r="AB17" s="20" t="s">
        <v>1064</v>
      </c>
      <c r="AD17" s="977"/>
      <c r="BD17" s="2" t="s">
        <v>1260</v>
      </c>
    </row>
    <row r="18" spans="1:66" x14ac:dyDescent="0.2">
      <c r="A18" s="1000" t="s">
        <v>1261</v>
      </c>
      <c r="B18" s="132">
        <f>SUM(StockSumPRN!B45:C45,StockSumPRN!B48:C48,StockSumPRN!B52:C52)</f>
        <v>581</v>
      </c>
      <c r="C18" s="1055">
        <f t="shared" si="1"/>
        <v>3.0318843604863539E-2</v>
      </c>
      <c r="D18" s="566">
        <f>SUM(StockSumPRN!F45:G45,StockSumPRN!F48:G48,StockSumPRN!F52:G52)</f>
        <v>1639</v>
      </c>
      <c r="E18" s="312">
        <f t="shared" si="2"/>
        <v>2.7715773809523808E-2</v>
      </c>
      <c r="F18" s="566">
        <f>SUM(StockSumPRN!H45:I45,StockSumPRN!H48:I48,StockSumPRN!H52:I52)</f>
        <v>48</v>
      </c>
      <c r="G18" s="1055">
        <f t="shared" si="2"/>
        <v>2.7972027972027972E-2</v>
      </c>
      <c r="H18" s="174">
        <f>SUM(StockSumPRN!B250:C250,StockSumPRN!B253:C253,StockSumPRN!B257:C257)</f>
        <v>437</v>
      </c>
      <c r="I18" s="1055">
        <f t="shared" si="3"/>
        <v>3.0440234048481472E-2</v>
      </c>
      <c r="J18" s="131">
        <f>SUM(StockSumPRN!D250:E250,StockSumPRN!D253:E253,StockSumPRN!D257:E257)</f>
        <v>88</v>
      </c>
      <c r="K18" s="312">
        <f t="shared" si="4"/>
        <v>3.067270826071802E-2</v>
      </c>
      <c r="L18" s="567">
        <f>SUM(StockSumPRN!D45:E45,StockSumPRN!J45:K45,StockSumPRN!D48:E48,StockSumPRN!J48:K48,StockSumPRN!D52:E52,StockSumPRN!J52:K52,StockSumPRN!F250:G250,StockSumPRN!F253:G253,StockSumPRN!F257:G257)</f>
        <v>393</v>
      </c>
      <c r="M18" s="1288">
        <f t="shared" si="5"/>
        <v>2.7746399322225359E-2</v>
      </c>
      <c r="N18" s="568">
        <f t="shared" si="6"/>
        <v>2080</v>
      </c>
      <c r="O18" s="312">
        <f t="shared" si="7"/>
        <v>2.7727418150794499E-2</v>
      </c>
      <c r="P18" s="131">
        <f t="shared" si="8"/>
        <v>1106</v>
      </c>
      <c r="Q18" s="1055">
        <f t="shared" si="9"/>
        <v>3.0394635594151918E-2</v>
      </c>
      <c r="R18" s="569"/>
      <c r="S18" s="569"/>
      <c r="T18" s="570">
        <f t="shared" si="10"/>
        <v>3186</v>
      </c>
      <c r="X18" s="1050" t="s">
        <v>1081</v>
      </c>
      <c r="Y18" s="20">
        <f>SUM('2'!AX29)</f>
        <v>9</v>
      </c>
      <c r="AA18" s="1050" t="s">
        <v>297</v>
      </c>
      <c r="AB18" s="20" t="s">
        <v>1064</v>
      </c>
      <c r="AD18" s="977"/>
      <c r="BD18" s="2" t="s">
        <v>1217</v>
      </c>
    </row>
    <row r="19" spans="1:66" x14ac:dyDescent="0.2">
      <c r="A19" s="1000" t="s">
        <v>1262</v>
      </c>
      <c r="B19" s="132">
        <f>SUM(StockSumPRN!B54:C88)</f>
        <v>0</v>
      </c>
      <c r="C19" s="1055">
        <f t="shared" si="1"/>
        <v>0</v>
      </c>
      <c r="D19" s="566">
        <f>SUM(StockSumPRN!F54:G88)</f>
        <v>0</v>
      </c>
      <c r="E19" s="312">
        <f t="shared" si="2"/>
        <v>0</v>
      </c>
      <c r="F19" s="566">
        <f>SUM(StockSumPRN!H54:I88)</f>
        <v>0</v>
      </c>
      <c r="G19" s="1055">
        <f t="shared" si="2"/>
        <v>0</v>
      </c>
      <c r="H19" s="174">
        <f>SUM(StockSumPRN!B259:C293)</f>
        <v>0</v>
      </c>
      <c r="I19" s="312">
        <f t="shared" si="3"/>
        <v>0</v>
      </c>
      <c r="J19" s="131">
        <f>SUM(StockSumPRN!D259:E293)</f>
        <v>0</v>
      </c>
      <c r="K19" s="312">
        <f t="shared" si="4"/>
        <v>0</v>
      </c>
      <c r="L19" s="567">
        <f>SUM(StockSumPRN!D54:E88,StockSumPRN!J54:K88,StockSumPRN!F259:G293)</f>
        <v>0</v>
      </c>
      <c r="M19" s="1288">
        <f t="shared" si="5"/>
        <v>0</v>
      </c>
      <c r="N19" s="568">
        <f t="shared" si="6"/>
        <v>0</v>
      </c>
      <c r="O19" s="312">
        <f t="shared" si="7"/>
        <v>0</v>
      </c>
      <c r="P19" s="131">
        <f t="shared" si="8"/>
        <v>0</v>
      </c>
      <c r="Q19" s="1055">
        <f t="shared" si="9"/>
        <v>0</v>
      </c>
      <c r="R19" s="569"/>
      <c r="S19" s="569"/>
      <c r="T19" s="570">
        <f t="shared" si="10"/>
        <v>0</v>
      </c>
      <c r="X19" s="1050" t="s">
        <v>1084</v>
      </c>
      <c r="Y19" s="7" t="s">
        <v>297</v>
      </c>
      <c r="AA19" s="20">
        <f>SUM('2'!AX30:AX38)</f>
        <v>8011</v>
      </c>
      <c r="AB19" s="20" t="s">
        <v>1064</v>
      </c>
      <c r="AD19" s="977"/>
      <c r="BD19" s="7" t="s">
        <v>1263</v>
      </c>
      <c r="BE19" s="20">
        <f>BG19+BF19</f>
        <v>17550.857542826776</v>
      </c>
      <c r="BF19" s="20">
        <f>SUM(StockSumPRN!B89:C90,StockSumPRN!B96:C97)</f>
        <v>626</v>
      </c>
      <c r="BG19" s="1109">
        <f>TRunsPRN!D162/SUM(TRunsPRN!D$162:D$169)*NS!$BG$36</f>
        <v>16924.857542826776</v>
      </c>
      <c r="BH19" s="20">
        <f>TRunsPRN!D162/SUM(TRunsPRN!D$162:D$169)*NS!$BH$36</f>
        <v>5481.7740313776731</v>
      </c>
      <c r="BI19" s="20">
        <f>SUM(StockSumPRN!B105:C106)</f>
        <v>4929</v>
      </c>
      <c r="BJ19" s="20">
        <f>SUM(StockSumPRN!B107:C107)</f>
        <v>6054</v>
      </c>
      <c r="BK19" s="20">
        <f>SUM(StockSumPRN!B108:C108)</f>
        <v>489</v>
      </c>
      <c r="BL19" s="20">
        <f>BE19-BM19</f>
        <v>12605.857542826776</v>
      </c>
      <c r="BM19" s="20">
        <f>SUM(TRunsPRN!C162)</f>
        <v>4945</v>
      </c>
      <c r="BN19" s="20">
        <f>BG19-BH19-BJ19-BK19</f>
        <v>4900.0835114491019</v>
      </c>
    </row>
    <row r="20" spans="1:66" x14ac:dyDescent="0.2">
      <c r="A20" s="1000" t="s">
        <v>1264</v>
      </c>
      <c r="B20" s="132">
        <f>SUM(StockSumPRN!B53:C53,StockSumPRN!B89:C90)</f>
        <v>20</v>
      </c>
      <c r="C20" s="1055">
        <f t="shared" si="1"/>
        <v>1.0436779209935813E-3</v>
      </c>
      <c r="D20" s="566">
        <f>SUM(StockSumPRN!F53:G53,StockSumPRN!F89:G90)</f>
        <v>52</v>
      </c>
      <c r="E20" s="312">
        <f t="shared" si="2"/>
        <v>8.7932900432900437E-4</v>
      </c>
      <c r="F20" s="566">
        <f>SUM(StockSumPRN!H53:I53,StockSumPRN!H89:I90)</f>
        <v>1</v>
      </c>
      <c r="G20" s="1055">
        <f t="shared" si="2"/>
        <v>5.8275058275058275E-4</v>
      </c>
      <c r="H20" s="174">
        <f>SUM(StockSumPRN!B258:C258,StockSumPRN!B294:C295)</f>
        <v>15</v>
      </c>
      <c r="I20" s="1055">
        <f t="shared" si="3"/>
        <v>1.0448592922819727E-3</v>
      </c>
      <c r="J20" s="131">
        <f>SUM(StockSumPRN!D258:E258,StockSumPRN!D294:E295)</f>
        <v>3</v>
      </c>
      <c r="K20" s="312">
        <f t="shared" si="4"/>
        <v>1.0456605088881143E-3</v>
      </c>
      <c r="L20" s="567">
        <f>SUM(StockSumPRN!D53:E53,StockSumPRN!J53:K53,StockSumPRN!D89:E90,StockSumPRN!J89:K90,StockSumPRN!F258:G258,StockSumPRN!F294:G295)</f>
        <v>12</v>
      </c>
      <c r="M20" s="1288">
        <f t="shared" si="5"/>
        <v>8.4721829991527822E-4</v>
      </c>
      <c r="N20" s="568">
        <f>SUM(D20+F20+L20)</f>
        <v>65</v>
      </c>
      <c r="O20" s="312">
        <f t="shared" si="7"/>
        <v>8.6648181721232808E-4</v>
      </c>
      <c r="P20" s="131">
        <f t="shared" si="8"/>
        <v>38</v>
      </c>
      <c r="Q20" s="1055">
        <f t="shared" si="9"/>
        <v>1.044300318786413E-3</v>
      </c>
      <c r="R20" s="569"/>
      <c r="S20" s="569"/>
      <c r="T20" s="570">
        <f t="shared" si="10"/>
        <v>103</v>
      </c>
      <c r="X20" s="1050" t="s">
        <v>296</v>
      </c>
      <c r="Y20" s="1050" t="s">
        <v>297</v>
      </c>
      <c r="AA20" s="2">
        <f>Input_Harvestnew!C165</f>
        <v>2000</v>
      </c>
      <c r="AB20" s="2" t="str">
        <f>Input_Harvestnew!H165</f>
        <v>CS/JO/DH 2/23/22: Sept.: combined SUQ/TUL combined avg comm. catch ('17 &amp; '18) =2,000 (rounded); Oct-Dec coho by-catch in chum fishery avg -7yr 2013-2019, data: Suquamish and Tulalip combined catch, wks 41-46, drift gillnet and purse seine)= 500 (rounded)</v>
      </c>
      <c r="AD20" s="977"/>
      <c r="BD20" s="7" t="s">
        <v>240</v>
      </c>
    </row>
    <row r="21" spans="1:66" x14ac:dyDescent="0.2">
      <c r="A21" s="1000" t="s">
        <v>1265</v>
      </c>
      <c r="B21" s="132">
        <f>SUM(StockSumPRN!B100:C101)</f>
        <v>110</v>
      </c>
      <c r="C21" s="1055">
        <f t="shared" si="1"/>
        <v>5.7402285654646976E-3</v>
      </c>
      <c r="D21" s="566">
        <f>SUM(StockSumPRN!F100:G101)</f>
        <v>2068</v>
      </c>
      <c r="E21" s="312">
        <f t="shared" si="2"/>
        <v>3.4970238095238096E-2</v>
      </c>
      <c r="F21" s="566">
        <f>SUM(StockSumPRN!H100:I101)</f>
        <v>61</v>
      </c>
      <c r="G21" s="1055">
        <f t="shared" si="2"/>
        <v>3.5547785547785545E-2</v>
      </c>
      <c r="H21" s="174">
        <f>SUM(StockSumPRN!B305:C306)</f>
        <v>82</v>
      </c>
      <c r="I21" s="1055">
        <f t="shared" si="3"/>
        <v>5.7118974644747838E-3</v>
      </c>
      <c r="J21" s="131">
        <f>SUM(StockSumPRN!D305:E306)</f>
        <v>17</v>
      </c>
      <c r="K21" s="312">
        <f t="shared" si="4"/>
        <v>5.9254095503659815E-3</v>
      </c>
      <c r="L21" s="567">
        <f>SUM(StockSumPRN!D100:E101,StockSumPRN!J100:K101,StockSumPRN!F305:G306)</f>
        <v>495</v>
      </c>
      <c r="M21" s="1288" t="str">
        <f t="shared" si="5"/>
        <v>na</v>
      </c>
      <c r="N21" s="568">
        <f t="shared" si="6"/>
        <v>2624</v>
      </c>
      <c r="O21" s="312">
        <f t="shared" si="7"/>
        <v>3.4979204436386906E-2</v>
      </c>
      <c r="P21" s="131">
        <f t="shared" si="8"/>
        <v>209</v>
      </c>
      <c r="Q21" s="1055">
        <f t="shared" si="9"/>
        <v>5.7436517533252717E-3</v>
      </c>
      <c r="R21" s="569"/>
      <c r="S21" s="569"/>
      <c r="T21" s="570">
        <f t="shared" si="10"/>
        <v>2833</v>
      </c>
      <c r="X21" s="1501" t="s">
        <v>129</v>
      </c>
      <c r="Y21" s="1501" t="s">
        <v>129</v>
      </c>
      <c r="AA21" s="1501" t="s">
        <v>129</v>
      </c>
      <c r="AB21" s="6" t="s">
        <v>129</v>
      </c>
      <c r="AC21" s="6" t="s">
        <v>129</v>
      </c>
      <c r="AD21" s="1580" t="s">
        <v>129</v>
      </c>
      <c r="BD21" s="7" t="s">
        <v>1266</v>
      </c>
      <c r="BE21" s="20">
        <f>BG21+BF21</f>
        <v>10600.428721737895</v>
      </c>
      <c r="BF21" s="20">
        <f>SUM(StockSumPRN!D89:E90,StockSumPRN!D96:E97)</f>
        <v>455</v>
      </c>
      <c r="BG21" s="1109">
        <f>TRunsPRN!D163/SUM(TRunsPRN!D$162:D$169)*NS!$BG$36</f>
        <v>10145.428721737895</v>
      </c>
      <c r="BH21" s="20">
        <f>TRunsPRN!D163/SUM(TRunsPRN!D$162:D$169)*NS!$BH$36</f>
        <v>3285.9920719147872</v>
      </c>
      <c r="BI21" s="20">
        <f>SUM(StockSumPRN!D105:E106)</f>
        <v>3227</v>
      </c>
      <c r="BJ21" s="20">
        <f>SUM(StockSumPRN!D107:E107)</f>
        <v>3417</v>
      </c>
      <c r="BK21" s="20">
        <f>SUM(StockSumPRN!D108:E108)</f>
        <v>264</v>
      </c>
      <c r="BL21" s="20">
        <f>BE21-BM21</f>
        <v>7695.4287217378951</v>
      </c>
      <c r="BM21" s="20">
        <f>SUM(TRunsPRN!C163)</f>
        <v>2905</v>
      </c>
      <c r="BN21" s="20">
        <f>BG21-BH21-BJ21-BK21</f>
        <v>3178.4366498231084</v>
      </c>
    </row>
    <row r="22" spans="1:66" x14ac:dyDescent="0.2">
      <c r="A22" s="1001" t="s">
        <v>1267</v>
      </c>
      <c r="B22" s="132">
        <f>SUM(StockSumPRN!B102:C102)</f>
        <v>87</v>
      </c>
      <c r="C22" s="1055">
        <f t="shared" si="1"/>
        <v>4.5399989563220788E-3</v>
      </c>
      <c r="D22" s="566">
        <f>SUM(StockSumPRN!F102:G102)</f>
        <v>1453</v>
      </c>
      <c r="E22" s="312">
        <f t="shared" si="2"/>
        <v>2.45704816017316E-2</v>
      </c>
      <c r="F22" s="566">
        <f>SUM(StockSumPRN!H102:I102)</f>
        <v>42</v>
      </c>
      <c r="G22" s="1055">
        <f t="shared" si="2"/>
        <v>2.4475524475524476E-2</v>
      </c>
      <c r="H22" s="174">
        <f>SUM(StockSumPRN!B307:C307)</f>
        <v>66</v>
      </c>
      <c r="I22" s="1055">
        <f t="shared" si="3"/>
        <v>4.5973808860406799E-3</v>
      </c>
      <c r="J22" s="131">
        <f>SUM(StockSumPRN!D307:E307)</f>
        <v>13</v>
      </c>
      <c r="K22" s="312">
        <f t="shared" si="4"/>
        <v>4.5311955385151622E-3</v>
      </c>
      <c r="L22" s="567">
        <f>SUM(StockSumPRN!D102:E102,StockSumPRN!J102:K102,StockSumPRN!F307:G307)</f>
        <v>348</v>
      </c>
      <c r="M22" s="1288">
        <f t="shared" si="5"/>
        <v>2.4569330697543065E-2</v>
      </c>
      <c r="N22" s="568">
        <f t="shared" si="6"/>
        <v>1843</v>
      </c>
      <c r="O22" s="312">
        <f t="shared" si="7"/>
        <v>2.4568092140343393E-2</v>
      </c>
      <c r="P22" s="131">
        <f t="shared" si="8"/>
        <v>166</v>
      </c>
      <c r="Q22" s="1055">
        <f t="shared" si="9"/>
        <v>4.5619434978564364E-3</v>
      </c>
      <c r="R22" s="569"/>
      <c r="S22" s="569"/>
      <c r="T22" s="570">
        <f t="shared" si="10"/>
        <v>2009</v>
      </c>
      <c r="X22" s="20" t="s">
        <v>1097</v>
      </c>
      <c r="Z22" s="20">
        <f>Z48+SUM(Y24:Y26,AA24:AA26)</f>
        <v>89403.793082800665</v>
      </c>
      <c r="AB22" s="20" t="s">
        <v>1098</v>
      </c>
      <c r="AD22" s="977"/>
      <c r="BD22" s="7" t="s">
        <v>1268</v>
      </c>
      <c r="BE22" s="20">
        <f>BG22+BF22</f>
        <v>44158.151815652447</v>
      </c>
      <c r="BF22" s="20">
        <f>SUM(StockSumPRN!F96:G97,StockSumPRN!F89:G90)</f>
        <v>1916</v>
      </c>
      <c r="BG22" s="1109">
        <f>TRunsPRN!D164/SUM(TRunsPRN!D$162:D$169)*NS!$BG$36</f>
        <v>42242.151815652447</v>
      </c>
      <c r="BH22" s="20">
        <f>TRunsPRN!D164/SUM(TRunsPRN!D$162:D$169)*NS!$BH$36</f>
        <v>13681.765430911953</v>
      </c>
      <c r="BI22" s="20">
        <f>SUM(StockSumPRN!F105:G106)</f>
        <v>12839</v>
      </c>
      <c r="BJ22" s="20">
        <f>SUM(StockSumPRN!F107:G107)</f>
        <v>14850</v>
      </c>
      <c r="BK22" s="20">
        <f>SUM(StockSumPRN!F108:G108)</f>
        <v>1199</v>
      </c>
      <c r="BL22" s="20">
        <f>BE22-BM22</f>
        <v>32091.151815652447</v>
      </c>
      <c r="BM22" s="20">
        <f>SUM(TRunsPRN!C164)</f>
        <v>12067</v>
      </c>
      <c r="BN22" s="20">
        <f>BG22-BH22-BJ22-BK22</f>
        <v>12511.386384740494</v>
      </c>
    </row>
    <row r="23" spans="1:66" x14ac:dyDescent="0.2">
      <c r="A23" s="1001" t="s">
        <v>1269</v>
      </c>
      <c r="B23" s="132">
        <f>SUM(StockSumPRN!B115:C116,StockSumPRN!B124:C124,StockSumPRN!B127:C127,StockSumPRN!B138:C138,StockSumPRN!B145:C145,StockSumPRN!B161:C161)</f>
        <v>574</v>
      </c>
      <c r="C23" s="1055">
        <f t="shared" si="1"/>
        <v>2.9953556332515785E-2</v>
      </c>
      <c r="D23" s="566">
        <f>SUM(StockSumPRN!F115:G116,StockSumPRN!F124:G124,StockSumPRN!F127:G127,StockSumPRN!F138:G138,StockSumPRN!F145:G145,StockSumPRN!F161:G161)</f>
        <v>1635</v>
      </c>
      <c r="E23" s="312">
        <f t="shared" si="2"/>
        <v>2.7648133116883116E-2</v>
      </c>
      <c r="F23" s="566">
        <f>SUM(StockSumPRN!H115:I116,StockSumPRN!H124:I124,StockSumPRN!H127:I127,StockSumPRN!H138:I138,StockSumPRN!H145:I145,StockSumPRN!H161:I161)</f>
        <v>48</v>
      </c>
      <c r="G23" s="1055">
        <f t="shared" si="2"/>
        <v>2.7972027972027972E-2</v>
      </c>
      <c r="H23" s="174">
        <f>SUM(StockSumPRN!B320:C321,StockSumPRN!B329:C329,StockSumPRN!B332:C332,StockSumPRN!B343:C343,StockSumPRN!B350:C350,StockSumPRN!B366:C366)</f>
        <v>433</v>
      </c>
      <c r="I23" s="1055">
        <f t="shared" si="3"/>
        <v>3.0161604903872947E-2</v>
      </c>
      <c r="J23" s="131">
        <f>SUM(StockSumPRN!D320:E321,StockSumPRN!D329:E329,StockSumPRN!D332:E332,StockSumPRN!D343:E343,StockSumPRN!D350:E350,StockSumPRN!D366:E366)</f>
        <v>86</v>
      </c>
      <c r="K23" s="312">
        <f t="shared" si="4"/>
        <v>2.9975601254792612E-2</v>
      </c>
      <c r="L23" s="567">
        <f>SUM(StockSumPRN!D115:E116,StockSumPRN!J115:K116,StockSumPRN!D124:E124,StockSumPRN!J124:K124,StockSumPRN!D127:E127,StockSumPRN!J127:K127,StockSumPRN!D138:E138,StockSumPRN!J138:K138,StockSumPRN!D145:E145,StockSumPRN!J145:K145,StockSumPRN!D161:E161,StockSumPRN!J161:K161,StockSumPRN!F320:G321,StockSumPRN!F329:G329,StockSumPRN!F332:G332,StockSumPRN!F343:G343,StockSumPRN!F350:G350,StockSumPRN!F366:G366)</f>
        <v>391</v>
      </c>
      <c r="M23" s="1288">
        <f t="shared" si="5"/>
        <v>2.7605196272239479E-2</v>
      </c>
      <c r="N23" s="568">
        <f t="shared" si="6"/>
        <v>2074</v>
      </c>
      <c r="O23" s="312">
        <f t="shared" si="7"/>
        <v>2.7647435213821053E-2</v>
      </c>
      <c r="P23" s="131">
        <f t="shared" si="8"/>
        <v>1093</v>
      </c>
      <c r="Q23" s="1055">
        <f t="shared" si="9"/>
        <v>3.0037374958777618E-2</v>
      </c>
      <c r="R23" s="569"/>
      <c r="S23" s="569"/>
      <c r="T23" s="570">
        <f t="shared" si="10"/>
        <v>3167</v>
      </c>
      <c r="X23" s="1501" t="s">
        <v>129</v>
      </c>
      <c r="Y23" s="1501" t="s">
        <v>129</v>
      </c>
      <c r="AA23" s="1501" t="s">
        <v>129</v>
      </c>
      <c r="AB23" s="6" t="s">
        <v>129</v>
      </c>
      <c r="AC23" s="6" t="s">
        <v>129</v>
      </c>
      <c r="AD23" s="1580" t="s">
        <v>129</v>
      </c>
      <c r="BD23" s="2" t="s">
        <v>1270</v>
      </c>
      <c r="BE23" s="20">
        <f>BG23+BF23</f>
        <v>1317.0853817215304</v>
      </c>
      <c r="BF23" s="20">
        <f>SUM(StockSumPRN!H89:I90,StockSumPRN!H96:I97)</f>
        <v>55</v>
      </c>
      <c r="BG23" s="1109">
        <f>TRunsPRN!D165/SUM(TRunsPRN!D$162:D$169)*NS!$BG$36</f>
        <v>1262.0853817215304</v>
      </c>
      <c r="BH23" s="20">
        <f>TRunsPRN!D165/SUM(TRunsPRN!D$162:D$169)*NS!$BH$36</f>
        <v>408.77548619809221</v>
      </c>
      <c r="BI23" s="20">
        <f>SUM(StockSumPRN!H105:I106)</f>
        <v>386</v>
      </c>
      <c r="BJ23" s="1509" t="s">
        <v>294</v>
      </c>
      <c r="BK23" s="1509" t="s">
        <v>294</v>
      </c>
      <c r="BL23" s="20">
        <f>BE23-BM23</f>
        <v>588.08538172153044</v>
      </c>
      <c r="BM23" s="20">
        <f>SUM(TRunsPRN!C165)</f>
        <v>729</v>
      </c>
      <c r="BN23" s="20">
        <f>BG23-BH23-BJ23-BK23</f>
        <v>853.30989552343817</v>
      </c>
    </row>
    <row r="24" spans="1:66" x14ac:dyDescent="0.2">
      <c r="A24" s="1001" t="s">
        <v>1271</v>
      </c>
      <c r="B24" s="132">
        <f>SUM(StockSumPRN!B96:C97)</f>
        <v>608</v>
      </c>
      <c r="C24" s="1055">
        <f t="shared" si="1"/>
        <v>3.1727808798204873E-2</v>
      </c>
      <c r="D24" s="566">
        <f>SUM(StockSumPRN!F96:G97)</f>
        <v>1869</v>
      </c>
      <c r="E24" s="312">
        <f t="shared" si="2"/>
        <v>3.160511363636364E-2</v>
      </c>
      <c r="F24" s="566">
        <f>SUM(StockSumPRN!H96:I97)</f>
        <v>54</v>
      </c>
      <c r="G24" s="1055">
        <f t="shared" si="2"/>
        <v>3.1468531468531472E-2</v>
      </c>
      <c r="H24" s="174">
        <f>SUM(StockSumPRN!B301:C302)</f>
        <v>475</v>
      </c>
      <c r="I24" s="1055">
        <f t="shared" si="3"/>
        <v>3.3087210922262467E-2</v>
      </c>
      <c r="J24" s="131">
        <f>SUM(StockSumPRN!D301:E302)</f>
        <v>101</v>
      </c>
      <c r="K24" s="312">
        <f t="shared" si="4"/>
        <v>3.5203903799233181E-2</v>
      </c>
      <c r="L24" s="567">
        <f>SUM(StockSumPRN!D96:E97,StockSumPRN!J96:K97,StockSumPRN!F301:G302)</f>
        <v>444</v>
      </c>
      <c r="M24" s="1288">
        <f t="shared" si="5"/>
        <v>3.1347077096865295E-2</v>
      </c>
      <c r="N24" s="568">
        <f t="shared" si="6"/>
        <v>2367</v>
      </c>
      <c r="O24" s="312">
        <f t="shared" si="7"/>
        <v>3.1553268636024312E-2</v>
      </c>
      <c r="P24" s="131">
        <f t="shared" si="8"/>
        <v>1184</v>
      </c>
      <c r="Q24" s="1055">
        <f t="shared" si="9"/>
        <v>3.2538199406397711E-2</v>
      </c>
      <c r="R24" s="569"/>
      <c r="S24" s="569"/>
      <c r="T24" s="570">
        <f t="shared" si="10"/>
        <v>3551</v>
      </c>
      <c r="X24" s="1050" t="s">
        <v>1108</v>
      </c>
      <c r="Y24" s="20">
        <f>SUM('2'!AX42)</f>
        <v>1615</v>
      </c>
      <c r="AA24" s="20">
        <f>SUM('2'!AX41)</f>
        <v>1935</v>
      </c>
      <c r="AB24" s="20" t="s">
        <v>1064</v>
      </c>
      <c r="AD24" s="977"/>
    </row>
    <row r="25" spans="1:66" x14ac:dyDescent="0.2">
      <c r="A25" s="1000" t="s">
        <v>1272</v>
      </c>
      <c r="B25" s="132">
        <f>SUM(StockSumPRN!B91:C92,StockSumPRN!B110:C111,StockSumPRN!B114:C114,StockSumPRN!B118:C121,StockSumPRN!B128:C134,StockSumPRN!B139:C142,StockSumPRN!B146:C155,StockSumPRN!B162:C169)</f>
        <v>27</v>
      </c>
      <c r="C25" s="1055">
        <f t="shared" si="1"/>
        <v>1.4089651933413348E-3</v>
      </c>
      <c r="D25" s="566">
        <f>SUM(StockSumPRN!F91:G92,StockSumPRN!F110:G111,StockSumPRN!F114:G114,StockSumPRN!F118:G121,StockSumPRN!F128:G134,StockSumPRN!F139:G142,StockSumPRN!F146:G155,StockSumPRN!F162:G169)</f>
        <v>72</v>
      </c>
      <c r="E25" s="312">
        <f t="shared" si="2"/>
        <v>1.2175324675324675E-3</v>
      </c>
      <c r="F25" s="566">
        <f>SUM(StockSumPRN!H91:I92,StockSumPRN!H110:I111,StockSumPRN!H114:I114,StockSumPRN!H118:I121,StockSumPRN!H128:I134,StockSumPRN!H139:I142,StockSumPRN!H146:I155,StockSumPRN!H162:I169)</f>
        <v>1</v>
      </c>
      <c r="G25" s="1055">
        <f t="shared" si="2"/>
        <v>5.8275058275058275E-4</v>
      </c>
      <c r="H25" s="174">
        <f>SUM(StockSumPRN!B296:C297,StockSumPRN!B315:C316,StockSumPRN!B319:C319,StockSumPRN!B323:C326,StockSumPRN!B333:C339,StockSumPRN!B344:C347,StockSumPRN!B351:C360,StockSumPRN!B367:C374)</f>
        <v>23</v>
      </c>
      <c r="I25" s="1055">
        <f t="shared" si="3"/>
        <v>1.6021175814990248E-3</v>
      </c>
      <c r="J25" s="131">
        <f>SUM(StockSumPRN!D296:E297,StockSumPRN!D315:E316,StockSumPRN!D319:E319,StockSumPRN!D323:E326,StockSumPRN!D333:E339,StockSumPRN!D344:E347,StockSumPRN!D351:E360,StockSumPRN!D367:E374)</f>
        <v>5</v>
      </c>
      <c r="K25" s="312">
        <f t="shared" si="4"/>
        <v>1.7427675148135239E-3</v>
      </c>
      <c r="L25" s="567">
        <f>SUM(StockSumPRN!D91:E92,StockSumPRN!J91:K92,StockSumPRN!D110:E111,StockSumPRN!J110:K111,StockSumPRN!D114:E114,StockSumPRN!J114:K114,StockSumPRN!D118:E121,StockSumPRN!J118:K121,StockSumPRN!D128:E134,StockSumPRN!J128:K134,StockSumPRN!D139:E142,StockSumPRN!J139:K142,StockSumPRN!D146:E155,StockSumPRN!J146:K155,StockSumPRN!D162:E169,StockSumPRN!J162:K169,StockSumPRN!F296:G297,StockSumPRN!F315:G316,StockSumPRN!F319:G319,StockSumPRN!F323:G326,StockSumPRN!F333:G339,StockSumPRN!F344:G347,StockSumPRN!F351:G360,StockSumPRN!F367:G374)</f>
        <v>18</v>
      </c>
      <c r="M25" s="1288">
        <f t="shared" si="5"/>
        <v>1.2708274498729173E-3</v>
      </c>
      <c r="N25" s="568">
        <f t="shared" si="6"/>
        <v>91</v>
      </c>
      <c r="O25" s="312">
        <f t="shared" si="7"/>
        <v>1.2130745440972592E-3</v>
      </c>
      <c r="P25" s="131">
        <f t="shared" si="8"/>
        <v>55</v>
      </c>
      <c r="Q25" s="1055">
        <f t="shared" si="9"/>
        <v>1.5114873035066505E-3</v>
      </c>
      <c r="R25" s="569"/>
      <c r="S25" s="569"/>
      <c r="T25" s="570">
        <f t="shared" si="10"/>
        <v>146</v>
      </c>
      <c r="X25" s="1050" t="s">
        <v>1110</v>
      </c>
      <c r="Y25" s="20">
        <f>SUM('2'!AX44)</f>
        <v>96</v>
      </c>
      <c r="AA25" s="20">
        <f>SUM('2'!AX43)</f>
        <v>0</v>
      </c>
      <c r="AB25" s="20" t="s">
        <v>1064</v>
      </c>
      <c r="AD25" s="977"/>
      <c r="BD25" s="2" t="s">
        <v>1273</v>
      </c>
      <c r="BE25" s="1509" t="s">
        <v>294</v>
      </c>
      <c r="BF25" s="1509" t="s">
        <v>294</v>
      </c>
      <c r="BG25" s="1509" t="s">
        <v>294</v>
      </c>
      <c r="BH25" s="1509" t="s">
        <v>294</v>
      </c>
      <c r="BI25" s="1509" t="s">
        <v>294</v>
      </c>
      <c r="BJ25" s="1509" t="s">
        <v>294</v>
      </c>
      <c r="BK25" s="1509" t="s">
        <v>294</v>
      </c>
      <c r="BL25" s="1509" t="s">
        <v>294</v>
      </c>
      <c r="BM25" s="1509" t="s">
        <v>294</v>
      </c>
    </row>
    <row r="26" spans="1:66" x14ac:dyDescent="0.2">
      <c r="A26" s="1001" t="s">
        <v>1274</v>
      </c>
      <c r="B26" s="132">
        <f>SUM(StockSumPRN!B105:C105)</f>
        <v>515</v>
      </c>
      <c r="C26" s="1055">
        <f t="shared" si="1"/>
        <v>2.6874706465584722E-2</v>
      </c>
      <c r="D26" s="566">
        <f>SUM(StockSumPRN!F105:G105)</f>
        <v>1345</v>
      </c>
      <c r="E26" s="312">
        <f t="shared" si="2"/>
        <v>2.27441829004329E-2</v>
      </c>
      <c r="F26" s="566">
        <f>SUM(StockSumPRN!H105:I105)</f>
        <v>40</v>
      </c>
      <c r="G26" s="1055">
        <f t="shared" si="2"/>
        <v>2.3310023310023312E-2</v>
      </c>
      <c r="H26" s="174">
        <f>SUM(StockSumPRN!B310:C310)</f>
        <v>388</v>
      </c>
      <c r="I26" s="1055">
        <f t="shared" si="3"/>
        <v>2.7027027027027029E-2</v>
      </c>
      <c r="J26" s="131">
        <f>SUM(StockSumPRN!D310:E310)</f>
        <v>0</v>
      </c>
      <c r="K26" s="312">
        <f t="shared" si="4"/>
        <v>0</v>
      </c>
      <c r="L26" s="567">
        <f>SUM(StockSumPRN!D105:E105,StockSumPRN!J105:K105,StockSumPRN!F310:G310)</f>
        <v>338</v>
      </c>
      <c r="M26" s="1288">
        <f t="shared" si="5"/>
        <v>2.3863315447613668E-2</v>
      </c>
      <c r="N26" s="568">
        <f t="shared" si="6"/>
        <v>1723</v>
      </c>
      <c r="O26" s="312">
        <f t="shared" si="7"/>
        <v>2.2968433400874479E-2</v>
      </c>
      <c r="P26" s="131">
        <f t="shared" si="8"/>
        <v>903</v>
      </c>
      <c r="Q26" s="1055">
        <f t="shared" si="9"/>
        <v>2.4815873364845552E-2</v>
      </c>
      <c r="R26" s="571">
        <f>FishSumAllPRN!G943-N26-P26</f>
        <v>285</v>
      </c>
      <c r="S26" s="572">
        <f>StockSumPRN!B4820</f>
        <v>122</v>
      </c>
      <c r="T26" s="570">
        <f t="shared" si="10"/>
        <v>2911</v>
      </c>
      <c r="U26" s="2">
        <f>FishSumAllPRN!G943</f>
        <v>2911</v>
      </c>
      <c r="X26" s="1050" t="s">
        <v>1113</v>
      </c>
      <c r="Y26" s="20">
        <v>0</v>
      </c>
      <c r="AA26" s="20">
        <v>0</v>
      </c>
      <c r="AB26" s="20" t="s">
        <v>1275</v>
      </c>
      <c r="AD26" s="977"/>
      <c r="BD26" s="2" t="s">
        <v>1276</v>
      </c>
      <c r="BE26" s="20">
        <f>BG26+BF26</f>
        <v>0</v>
      </c>
      <c r="BF26" s="20">
        <f>SUM(StockSumPRN!J89:K90,StockSumPRN!J96:K97)</f>
        <v>0</v>
      </c>
      <c r="BG26" s="1109">
        <f>TRunsPRN!D166/SUM(TRunsPRN!D$162:D$169)*NS!$BG$36</f>
        <v>0</v>
      </c>
      <c r="BH26" s="20">
        <f>TRunsPRN!D166/SUM(TRunsPRN!D$162:D$169)*NS!$BH$36</f>
        <v>0</v>
      </c>
      <c r="BI26" s="20">
        <f>SUM(StockSumPRN!J105:K106)</f>
        <v>0</v>
      </c>
      <c r="BJ26" s="1509" t="s">
        <v>294</v>
      </c>
      <c r="BK26" s="1509" t="s">
        <v>294</v>
      </c>
      <c r="BL26" s="20">
        <f>BE26-BM26</f>
        <v>0</v>
      </c>
      <c r="BM26" s="20">
        <f>SUM(TRunsPRN!C166)</f>
        <v>0</v>
      </c>
    </row>
    <row r="27" spans="1:66" x14ac:dyDescent="0.2">
      <c r="A27" s="1001" t="s">
        <v>1277</v>
      </c>
      <c r="B27" s="132">
        <f>SUM(StockSumPRN!B106:C106)</f>
        <v>4414</v>
      </c>
      <c r="C27" s="1055">
        <f t="shared" si="1"/>
        <v>0.23033971716328341</v>
      </c>
      <c r="D27" s="566">
        <f>SUM(StockSumPRN!F106:G106)</f>
        <v>11494</v>
      </c>
      <c r="E27" s="312">
        <f t="shared" si="2"/>
        <v>0.1943655303030303</v>
      </c>
      <c r="F27" s="566">
        <f>SUM(StockSumPRN!H106:I106)</f>
        <v>346</v>
      </c>
      <c r="G27" s="1055">
        <f t="shared" si="2"/>
        <v>0.20163170163170163</v>
      </c>
      <c r="H27" s="174">
        <f>SUM(StockSumPRN!B311:C311)</f>
        <v>3336</v>
      </c>
      <c r="I27" s="1055">
        <f t="shared" si="3"/>
        <v>0.23237670660351073</v>
      </c>
      <c r="J27" s="131">
        <f>SUM(StockSumPRN!D311:E311)</f>
        <v>0</v>
      </c>
      <c r="K27" s="312">
        <f t="shared" si="4"/>
        <v>0</v>
      </c>
      <c r="L27" s="567">
        <f>SUM(StockSumPRN!D106:E106,StockSumPRN!J106:K106,StockSumPRN!F311:G311)</f>
        <v>2889</v>
      </c>
      <c r="M27" s="1288">
        <f t="shared" si="5"/>
        <v>0.20396780570460321</v>
      </c>
      <c r="N27" s="568">
        <f t="shared" si="6"/>
        <v>14729</v>
      </c>
      <c r="O27" s="312">
        <f t="shared" si="7"/>
        <v>0.19634477978031353</v>
      </c>
      <c r="P27" s="131">
        <f t="shared" si="8"/>
        <v>7750</v>
      </c>
      <c r="Q27" s="1055">
        <f t="shared" si="9"/>
        <v>0.2129823018577553</v>
      </c>
      <c r="R27" s="571">
        <f>FishSumAllPRN!G944-N27-P27</f>
        <v>2386</v>
      </c>
      <c r="S27" s="572">
        <f>StockSumPRN!B4821</f>
        <v>1014</v>
      </c>
      <c r="T27" s="570">
        <f t="shared" si="10"/>
        <v>24865</v>
      </c>
      <c r="U27" s="2">
        <f>FishSumAllPRN!G944</f>
        <v>24865</v>
      </c>
      <c r="X27" s="1501" t="s">
        <v>129</v>
      </c>
      <c r="Y27" s="1501" t="s">
        <v>129</v>
      </c>
      <c r="AA27" s="1501" t="s">
        <v>129</v>
      </c>
      <c r="AB27" s="6" t="s">
        <v>129</v>
      </c>
      <c r="AC27" s="6" t="s">
        <v>129</v>
      </c>
      <c r="AD27" s="1580" t="s">
        <v>129</v>
      </c>
    </row>
    <row r="28" spans="1:66" x14ac:dyDescent="0.2">
      <c r="A28" s="1000" t="s">
        <v>1278</v>
      </c>
      <c r="B28" s="132">
        <f>SUM(StockSumPRN!B107:C107)</f>
        <v>6054</v>
      </c>
      <c r="C28" s="1055">
        <f t="shared" si="1"/>
        <v>0.3159213066847571</v>
      </c>
      <c r="D28" s="566">
        <f>SUM(StockSumPRN!F107:G107)</f>
        <v>14850</v>
      </c>
      <c r="E28" s="312">
        <f t="shared" si="2"/>
        <v>0.25111607142857145</v>
      </c>
      <c r="F28" s="566">
        <f>SUM(StockSumPRN!H107:I107)</f>
        <v>73</v>
      </c>
      <c r="G28" s="1055">
        <f t="shared" si="2"/>
        <v>4.2540792540792544E-2</v>
      </c>
      <c r="H28" s="174">
        <f>SUM(StockSumPRN!B312:C312)</f>
        <v>0</v>
      </c>
      <c r="I28" s="1055">
        <f t="shared" si="3"/>
        <v>0</v>
      </c>
      <c r="J28" s="131">
        <f>SUM(StockSumPRN!D312:E312)</f>
        <v>0</v>
      </c>
      <c r="K28" s="312">
        <f t="shared" si="4"/>
        <v>0</v>
      </c>
      <c r="L28" s="567">
        <f>SUM(StockSumPRN!D107:E107,StockSumPRN!J107:K107,StockSumPRN!F312:G312)</f>
        <v>3417</v>
      </c>
      <c r="M28" s="1288">
        <f t="shared" si="5"/>
        <v>0.24124541090087545</v>
      </c>
      <c r="N28" s="568">
        <f>SUM(D28+F28+L28)</f>
        <v>18340</v>
      </c>
      <c r="O28" s="312">
        <f t="shared" si="7"/>
        <v>0.24448117734883226</v>
      </c>
      <c r="P28" s="131">
        <f>SUM(B28+J28)</f>
        <v>6054</v>
      </c>
      <c r="Q28" s="1055">
        <f t="shared" si="9"/>
        <v>0.16637352973507749</v>
      </c>
      <c r="R28" s="571">
        <f>FishSumAllPRN!G945-N28-P28</f>
        <v>-1</v>
      </c>
      <c r="S28" s="572">
        <v>0</v>
      </c>
      <c r="T28" s="570">
        <f t="shared" si="10"/>
        <v>24393</v>
      </c>
      <c r="U28" s="2">
        <f>FishSumAllPRN!G945</f>
        <v>24393</v>
      </c>
      <c r="X28" s="2" t="s">
        <v>1279</v>
      </c>
      <c r="Y28" s="20">
        <f>SUM(Y14:Y26)</f>
        <v>4904</v>
      </c>
      <c r="AA28" s="20">
        <f>SUM(AA14:AA26)</f>
        <v>16506</v>
      </c>
      <c r="AD28" s="977"/>
      <c r="BD28" s="2" t="s">
        <v>1280</v>
      </c>
      <c r="BE28" s="1509" t="s">
        <v>294</v>
      </c>
      <c r="BF28" s="1509" t="s">
        <v>294</v>
      </c>
      <c r="BG28" s="1509" t="s">
        <v>294</v>
      </c>
      <c r="BH28" s="1509" t="s">
        <v>294</v>
      </c>
      <c r="BI28" s="1509" t="s">
        <v>294</v>
      </c>
      <c r="BJ28" s="1509" t="s">
        <v>294</v>
      </c>
      <c r="BK28" s="1509" t="s">
        <v>294</v>
      </c>
      <c r="BL28" s="1509" t="s">
        <v>294</v>
      </c>
      <c r="BM28" s="1509" t="s">
        <v>294</v>
      </c>
    </row>
    <row r="29" spans="1:66" ht="15.75" thickBot="1" x14ac:dyDescent="0.25">
      <c r="A29" s="1002" t="s">
        <v>1281</v>
      </c>
      <c r="B29" s="573">
        <f>SUM(StockSumPRN!B108:C109)</f>
        <v>489</v>
      </c>
      <c r="C29" s="314">
        <f t="shared" si="1"/>
        <v>2.5517925168293064E-2</v>
      </c>
      <c r="D29" s="566">
        <f>SUM(StockSumPRN!F108:G109)</f>
        <v>1199</v>
      </c>
      <c r="E29" s="313">
        <f t="shared" si="2"/>
        <v>2.027529761904762E-2</v>
      </c>
      <c r="F29" s="566">
        <f>SUM(StockSumPRN!H108:I109)</f>
        <v>0</v>
      </c>
      <c r="G29" s="314">
        <f t="shared" si="2"/>
        <v>0</v>
      </c>
      <c r="H29" s="574">
        <f>SUM(StockSumPRN!B313:C314)</f>
        <v>425</v>
      </c>
      <c r="I29" s="314">
        <f t="shared" si="3"/>
        <v>2.9604346614655892E-2</v>
      </c>
      <c r="J29" s="575">
        <f>SUM(StockSumPRN!D313:E314)</f>
        <v>0</v>
      </c>
      <c r="K29" s="313">
        <f t="shared" si="4"/>
        <v>0</v>
      </c>
      <c r="L29" s="567">
        <f>SUM(StockSumPRN!D108:E109,StockSumPRN!J108:K109,StockSumPRN!F313:G314)</f>
        <v>264</v>
      </c>
      <c r="M29" s="576">
        <f t="shared" si="5"/>
        <v>1.863880259813612E-2</v>
      </c>
      <c r="N29" s="568">
        <f>SUM(D29+F29+L29)</f>
        <v>1463</v>
      </c>
      <c r="O29" s="313">
        <f t="shared" si="7"/>
        <v>1.9502506132025168E-2</v>
      </c>
      <c r="P29" s="575">
        <f>SUM(B29+H29+J29)</f>
        <v>914</v>
      </c>
      <c r="Q29" s="314">
        <f t="shared" si="9"/>
        <v>2.5118170825546883E-2</v>
      </c>
      <c r="R29" s="577">
        <f>IF((FishSumAllPRN!G946+FishSumAllPRN!G947-N29-P29)&lt;0,0,(FishSumAllPRN!G946+FishSumAllPRN!G947-N29-P29))</f>
        <v>0</v>
      </c>
      <c r="S29" s="578">
        <v>0</v>
      </c>
      <c r="T29" s="579">
        <f t="shared" si="10"/>
        <v>2377</v>
      </c>
      <c r="U29" s="2">
        <f>FishSumAllPRN!G946+FishSumAllPRN!G947</f>
        <v>2377</v>
      </c>
      <c r="X29" s="2" t="s">
        <v>1282</v>
      </c>
      <c r="Z29" s="20">
        <f>$Z$48</f>
        <v>85757.793082800665</v>
      </c>
      <c r="AD29" s="977"/>
      <c r="BD29" s="2" t="s">
        <v>1283</v>
      </c>
      <c r="BE29" s="20">
        <f>BG29+BF29</f>
        <v>13074.331734784739</v>
      </c>
      <c r="BF29" s="20">
        <f>SUM(StockSumPRN!B294:C295,StockSumPRN!B301:C302)</f>
        <v>489</v>
      </c>
      <c r="BG29" s="1109">
        <f>TRunsPRN!D167/SUM(TRunsPRN!D$162:D$169)*NS!$BG$36</f>
        <v>12585.331734784739</v>
      </c>
      <c r="BH29" s="20">
        <f>TRunsPRN!D167/SUM(TRunsPRN!D$162:D$169)*NS!$BH$36</f>
        <v>4076.2496526451505</v>
      </c>
      <c r="BI29" s="20">
        <f>SUM(StockSumPRN!B310:C311)</f>
        <v>3724</v>
      </c>
      <c r="BJ29" s="20">
        <f>SUM(StockSumPRN!B312:C312)</f>
        <v>0</v>
      </c>
      <c r="BK29" s="20">
        <f>SUM(StockSumPRN!B314:C314)</f>
        <v>425</v>
      </c>
      <c r="BL29" s="20">
        <f>BE29-BM29</f>
        <v>4953.3317347847387</v>
      </c>
      <c r="BM29" s="20">
        <f>SUM(TRunsPRN!C167)</f>
        <v>8121</v>
      </c>
      <c r="BN29" s="20">
        <f>BG29-BH29-BJ29-BK29</f>
        <v>8084.0820821395882</v>
      </c>
    </row>
    <row r="30" spans="1:66" x14ac:dyDescent="0.2">
      <c r="A30" s="1003"/>
      <c r="B30" s="130"/>
      <c r="C30" s="98"/>
      <c r="D30" s="580"/>
      <c r="E30" s="581"/>
      <c r="F30" s="130"/>
      <c r="G30" s="98"/>
      <c r="H30" s="130"/>
      <c r="I30" s="98"/>
      <c r="J30" s="130"/>
      <c r="K30" s="98"/>
      <c r="L30" s="581"/>
      <c r="M30" s="581"/>
      <c r="N30" s="130"/>
      <c r="O30" s="98"/>
      <c r="P30" s="130"/>
      <c r="Q30" s="98"/>
      <c r="R30" s="582"/>
      <c r="S30" s="583"/>
      <c r="T30" s="1585"/>
      <c r="X30" s="1501" t="s">
        <v>129</v>
      </c>
      <c r="Y30" s="1501" t="s">
        <v>129</v>
      </c>
      <c r="AA30" s="1501" t="s">
        <v>129</v>
      </c>
      <c r="AB30" s="6" t="s">
        <v>129</v>
      </c>
      <c r="AC30" s="6" t="s">
        <v>129</v>
      </c>
      <c r="AD30" s="1580" t="s">
        <v>129</v>
      </c>
      <c r="BD30" s="6" t="s">
        <v>129</v>
      </c>
      <c r="BE30" s="6" t="s">
        <v>129</v>
      </c>
      <c r="BF30" s="6"/>
      <c r="BG30" s="6" t="s">
        <v>129</v>
      </c>
      <c r="BH30" s="6" t="s">
        <v>129</v>
      </c>
      <c r="BI30" s="6"/>
      <c r="BJ30" s="6"/>
      <c r="BK30" s="6"/>
      <c r="BL30" s="6" t="s">
        <v>129</v>
      </c>
      <c r="BM30" s="6" t="s">
        <v>129</v>
      </c>
    </row>
    <row r="31" spans="1:66" ht="15.75" thickBot="1" x14ac:dyDescent="0.25">
      <c r="A31" s="1004" t="s">
        <v>1284</v>
      </c>
      <c r="B31" s="575">
        <f>SUM(B9:B29)</f>
        <v>14218</v>
      </c>
      <c r="C31" s="584">
        <f>B31/B$7</f>
        <v>0.74195063403433703</v>
      </c>
      <c r="D31" s="585">
        <f>SUM(D9:D29)</f>
        <v>47069</v>
      </c>
      <c r="E31" s="584">
        <f>D31/D$7</f>
        <v>0.79594494047619047</v>
      </c>
      <c r="F31" s="131">
        <f>SUM(F9:F29)</f>
        <v>987</v>
      </c>
      <c r="G31" s="584">
        <f>F31/F$7</f>
        <v>0.57517482517482521</v>
      </c>
      <c r="H31" s="575">
        <f>SUM(H9:H29)</f>
        <v>6235</v>
      </c>
      <c r="I31" s="584">
        <f>H31/H$7</f>
        <v>0.43431317915854001</v>
      </c>
      <c r="J31" s="575">
        <f>SUM(J9:J29)</f>
        <v>424</v>
      </c>
      <c r="K31" s="584">
        <f>J31/J$7</f>
        <v>0.14778668525618682</v>
      </c>
      <c r="L31" s="217">
        <f>SUM(L9:L29)</f>
        <v>11259</v>
      </c>
      <c r="M31" s="586">
        <f t="shared" si="5"/>
        <v>0.79490256989550978</v>
      </c>
      <c r="N31" s="575">
        <f>SUM(N9:N29)</f>
        <v>59315</v>
      </c>
      <c r="O31" s="584">
        <f>N31/N$7</f>
        <v>0.79069798442998829</v>
      </c>
      <c r="P31" s="575">
        <f>SUM(P9:P29)</f>
        <v>20877</v>
      </c>
      <c r="Q31" s="584">
        <f>P31/P$7</f>
        <v>0.57373309882378809</v>
      </c>
      <c r="R31" s="26"/>
      <c r="S31" s="30"/>
      <c r="T31" s="1585"/>
      <c r="X31" s="1050" t="s">
        <v>1139</v>
      </c>
      <c r="Y31" s="20">
        <f>Z10-Y28</f>
        <v>33073.896541400332</v>
      </c>
      <c r="AA31" s="20">
        <f>Z10-AA28</f>
        <v>21471.896541400332</v>
      </c>
      <c r="AB31" s="20" t="s">
        <v>1140</v>
      </c>
      <c r="AD31" s="977"/>
      <c r="AF31" s="20">
        <f>Y31+AA31</f>
        <v>54545.793082800665</v>
      </c>
      <c r="BD31" s="7" t="s">
        <v>1162</v>
      </c>
      <c r="BE31" s="20">
        <f t="shared" ref="BE31:BM31" si="14">BE19+BE29</f>
        <v>30625.189277611513</v>
      </c>
      <c r="BF31" s="20">
        <f>BF19+BF29</f>
        <v>1115</v>
      </c>
      <c r="BG31" s="20">
        <f t="shared" si="14"/>
        <v>29510.189277611513</v>
      </c>
      <c r="BH31" s="20">
        <f t="shared" si="14"/>
        <v>9558.0236840228245</v>
      </c>
      <c r="BI31" s="20">
        <f>BI19+BI29</f>
        <v>8653</v>
      </c>
      <c r="BJ31" s="20">
        <f>BJ19+BJ29</f>
        <v>6054</v>
      </c>
      <c r="BK31" s="20">
        <f>BK19+BK29</f>
        <v>914</v>
      </c>
      <c r="BL31" s="20">
        <f t="shared" si="14"/>
        <v>17559.189277611513</v>
      </c>
      <c r="BM31" s="20">
        <f t="shared" si="14"/>
        <v>13066</v>
      </c>
    </row>
    <row r="32" spans="1:66" x14ac:dyDescent="0.2">
      <c r="A32" s="1003"/>
      <c r="B32" s="130"/>
      <c r="C32" s="95"/>
      <c r="D32" s="587"/>
      <c r="E32" s="25"/>
      <c r="F32" s="130"/>
      <c r="G32" s="95"/>
      <c r="H32" s="583"/>
      <c r="I32" s="95"/>
      <c r="J32" s="130"/>
      <c r="K32" s="95"/>
      <c r="L32" s="25"/>
      <c r="M32" s="25"/>
      <c r="N32" s="130"/>
      <c r="O32" s="95"/>
      <c r="P32" s="130"/>
      <c r="Q32" s="25"/>
      <c r="R32" s="89"/>
      <c r="S32" s="216"/>
      <c r="T32" s="588"/>
      <c r="X32" s="7" t="s">
        <v>1285</v>
      </c>
      <c r="Y32" s="20">
        <f>Input_Harvestnew!C242</f>
        <v>0</v>
      </c>
      <c r="AB32" s="2" t="str">
        <f>Input_Harvestnew!H167</f>
        <v>CS/JO: 2/23/22: 3-yr avg harvest rate ('15-'17), proportioned by time step, 10E harvest rate includes coho landed in Miller Bay (A10 on-Res). (No coho fisheries in 2018/19).</v>
      </c>
      <c r="AD32" s="977"/>
      <c r="BD32" s="7" t="s">
        <v>779</v>
      </c>
      <c r="BE32" s="20">
        <f t="shared" ref="BE32:BM32" si="15">BE21+BE22+BE23+BE25+BE26+BE28</f>
        <v>56075.665919111874</v>
      </c>
      <c r="BF32" s="20">
        <f>BF21+BF22+BF23+BF25+BF26+BF28</f>
        <v>2426</v>
      </c>
      <c r="BG32" s="20">
        <f t="shared" si="15"/>
        <v>53649.665919111874</v>
      </c>
      <c r="BH32" s="20">
        <f t="shared" si="15"/>
        <v>17376.532989024836</v>
      </c>
      <c r="BI32" s="20">
        <f>BI21+BI22+BI23+BI25+BI26+BI28</f>
        <v>16452</v>
      </c>
      <c r="BJ32" s="20">
        <f>BJ21+BJ22+BJ23+BJ25+BJ26+BJ28</f>
        <v>18267</v>
      </c>
      <c r="BK32" s="20">
        <f>BK21+BK22+BK23+BK25+BK26+BK28</f>
        <v>1463</v>
      </c>
      <c r="BL32" s="20">
        <f t="shared" si="15"/>
        <v>40374.665919111874</v>
      </c>
      <c r="BM32" s="20">
        <f t="shared" si="15"/>
        <v>15701</v>
      </c>
    </row>
    <row r="33" spans="1:65" ht="15.75" thickBot="1" x14ac:dyDescent="0.25">
      <c r="A33" s="1004" t="s">
        <v>1286</v>
      </c>
      <c r="B33" s="575">
        <f>TRunsPRN!$C162</f>
        <v>4945</v>
      </c>
      <c r="C33" s="314">
        <f>B33/B$7</f>
        <v>0.25804936596566297</v>
      </c>
      <c r="D33" s="575">
        <f>TRunsPRN!$C164</f>
        <v>12067</v>
      </c>
      <c r="E33" s="314">
        <f>D33/D$7</f>
        <v>0.20405505952380953</v>
      </c>
      <c r="F33" s="575">
        <f>TRunsPRN!$C165</f>
        <v>729</v>
      </c>
      <c r="G33" s="314">
        <f>F33/F$7</f>
        <v>0.42482517482517484</v>
      </c>
      <c r="H33" s="574">
        <f>TRunsPRN!$C167</f>
        <v>8121</v>
      </c>
      <c r="I33" s="314">
        <f>H33/H$7</f>
        <v>0.56568682084146005</v>
      </c>
      <c r="J33" s="575">
        <f>TRunsPRN!$C168</f>
        <v>2445</v>
      </c>
      <c r="K33" s="314">
        <f>J33/J$7</f>
        <v>0.85221331474381312</v>
      </c>
      <c r="L33" s="575">
        <f>SUM(TRunsPRN!$C163,TRunsPRN!$C166,TRunsPRN!$C169)</f>
        <v>2905</v>
      </c>
      <c r="M33" s="576">
        <f t="shared" si="5"/>
        <v>0.20509743010449025</v>
      </c>
      <c r="N33" s="575">
        <f>SUM(D33+F33+L33)</f>
        <v>15701</v>
      </c>
      <c r="O33" s="314">
        <f>N33/N$7</f>
        <v>0.20930201557001174</v>
      </c>
      <c r="P33" s="575">
        <f>SUM(B33+H33+J33)</f>
        <v>15511</v>
      </c>
      <c r="Q33" s="314">
        <f>P33/P$7</f>
        <v>0.42626690117621197</v>
      </c>
      <c r="R33" s="589"/>
      <c r="S33" s="590"/>
      <c r="T33" s="591"/>
      <c r="X33" s="7" t="s">
        <v>1142</v>
      </c>
      <c r="Y33" s="20">
        <f>Y31*Y32</f>
        <v>0</v>
      </c>
      <c r="AA33" s="20">
        <f>-Y33</f>
        <v>0</v>
      </c>
      <c r="AB33" s="2" t="s">
        <v>1287</v>
      </c>
      <c r="AD33" s="977"/>
      <c r="BD33" s="6" t="s">
        <v>125</v>
      </c>
      <c r="BE33" s="6" t="s">
        <v>125</v>
      </c>
      <c r="BF33" s="6"/>
      <c r="BG33" s="6" t="s">
        <v>125</v>
      </c>
      <c r="BH33" s="6" t="s">
        <v>125</v>
      </c>
      <c r="BI33" s="6"/>
      <c r="BJ33" s="6"/>
      <c r="BK33" s="6"/>
      <c r="BL33" s="6" t="s">
        <v>125</v>
      </c>
      <c r="BM33" s="6" t="s">
        <v>125</v>
      </c>
    </row>
    <row r="34" spans="1:65" x14ac:dyDescent="0.2">
      <c r="A34" s="988"/>
      <c r="X34" s="2" t="s">
        <v>1288</v>
      </c>
      <c r="Y34" s="20">
        <f>Y31+Y33</f>
        <v>33073.896541400332</v>
      </c>
      <c r="AA34" s="20">
        <f>AA31+AA33</f>
        <v>21471.896541400332</v>
      </c>
      <c r="AD34" s="977"/>
      <c r="BD34" s="7" t="s">
        <v>1289</v>
      </c>
      <c r="BE34" s="20">
        <f t="shared" ref="BE34:BM34" si="16">SUM(BE19:BE29)</f>
        <v>86700.85519672338</v>
      </c>
      <c r="BF34" s="20">
        <f t="shared" si="16"/>
        <v>3541</v>
      </c>
      <c r="BG34" s="20">
        <f t="shared" si="16"/>
        <v>83159.85519672338</v>
      </c>
      <c r="BH34" s="20">
        <f t="shared" si="16"/>
        <v>26934.556673047657</v>
      </c>
      <c r="BI34" s="20">
        <f t="shared" si="16"/>
        <v>25105</v>
      </c>
      <c r="BJ34" s="20">
        <f t="shared" si="16"/>
        <v>24321</v>
      </c>
      <c r="BK34" s="20">
        <f t="shared" si="16"/>
        <v>2377</v>
      </c>
      <c r="BL34" s="20">
        <f t="shared" si="16"/>
        <v>57933.855196723394</v>
      </c>
      <c r="BM34" s="20">
        <f t="shared" si="16"/>
        <v>28767</v>
      </c>
    </row>
    <row r="35" spans="1:65" x14ac:dyDescent="0.2">
      <c r="A35" s="988" t="s">
        <v>1290</v>
      </c>
      <c r="B35" s="2">
        <f>StockSumPRN!B208+StockSumPRN!C208</f>
        <v>14218</v>
      </c>
      <c r="D35" s="2">
        <f>StockSumPRN!F208+StockSumPRN!G208</f>
        <v>47071</v>
      </c>
      <c r="F35" s="2">
        <f>StockSumPRN!H208+StockSumPRN!I208</f>
        <v>988</v>
      </c>
      <c r="H35" s="2">
        <f>StockSumPRN!B413+StockSumPRN!C413</f>
        <v>6231</v>
      </c>
      <c r="J35" s="2">
        <f>StockSumPRN!D413+StockSumPRN!E413</f>
        <v>424</v>
      </c>
      <c r="L35" s="2">
        <f>StockSumPRN!D208+StockSumPRN!E208+StockSumPRN!J208+StockSumPRN!K208+StockSumPRN!F413+StockSumPRN!G413</f>
        <v>11260</v>
      </c>
      <c r="N35" s="2">
        <f>D35+F35+L35</f>
        <v>59319</v>
      </c>
      <c r="P35" s="90">
        <f>B35+H35+J35</f>
        <v>20873</v>
      </c>
      <c r="X35" s="1050" t="s">
        <v>1291</v>
      </c>
      <c r="Y35" s="2">
        <f>Input_Harvestnew!C168</f>
        <v>0</v>
      </c>
      <c r="AA35" s="1049">
        <v>0</v>
      </c>
      <c r="AB35" s="2">
        <f>Input_Harvestnew!H168</f>
        <v>0</v>
      </c>
      <c r="AD35" s="977"/>
      <c r="AF35" s="20">
        <f>Y34*Input_Harvestnew!C168</f>
        <v>0</v>
      </c>
      <c r="BD35" s="6" t="s">
        <v>125</v>
      </c>
      <c r="BE35" s="6" t="s">
        <v>125</v>
      </c>
      <c r="BF35" s="6"/>
      <c r="BG35" s="6" t="s">
        <v>125</v>
      </c>
      <c r="BH35" s="6" t="s">
        <v>125</v>
      </c>
      <c r="BI35" s="6"/>
      <c r="BJ35" s="6"/>
      <c r="BK35" s="6"/>
      <c r="BL35" s="6" t="s">
        <v>125</v>
      </c>
      <c r="BM35" s="6" t="s">
        <v>125</v>
      </c>
    </row>
    <row r="36" spans="1:65" x14ac:dyDescent="0.2">
      <c r="A36" s="988"/>
      <c r="X36" s="20" t="s">
        <v>1292</v>
      </c>
      <c r="Y36" s="20">
        <f>Y34-(Y34*Input_Harvestnew!C168)</f>
        <v>33073.896541400332</v>
      </c>
      <c r="AA36" s="20">
        <f>AA34-(AA34*AA35)</f>
        <v>21471.896541400332</v>
      </c>
      <c r="AD36" s="1006" t="str">
        <f>Input_Harvestnew!H170</f>
        <v>JJS/CS/JO/MGM 2/23/22: inputs for 2022 (10F,G,D); 4-Yr avg (18-21)</v>
      </c>
      <c r="AF36" s="20">
        <f>Y36+AA36</f>
        <v>54545.793082800665</v>
      </c>
      <c r="BD36" s="2" t="s">
        <v>1293</v>
      </c>
      <c r="BE36" s="20">
        <f>BE15+BE34</f>
        <v>86725.85519672338</v>
      </c>
      <c r="BF36" s="20">
        <f>BF15+BF34</f>
        <v>3541</v>
      </c>
      <c r="BG36" s="20">
        <f>$Z$48</f>
        <v>85757.793082800665</v>
      </c>
      <c r="BH36" s="20">
        <f>SUM(StockSumPRN!H5025:H5026)</f>
        <v>27776</v>
      </c>
      <c r="BI36" s="20">
        <f>SUM(BI34,BI15)</f>
        <v>25105</v>
      </c>
      <c r="BJ36" s="20">
        <f>SUM(BJ34,BJ15)</f>
        <v>24321</v>
      </c>
      <c r="BK36" s="20">
        <f>SUM(BK34,BK15)</f>
        <v>2377</v>
      </c>
      <c r="BL36" s="20">
        <f>BL15+BL34</f>
        <v>55513.855196723394</v>
      </c>
      <c r="BM36" s="20">
        <f>BM15+BM34</f>
        <v>31212</v>
      </c>
    </row>
    <row r="37" spans="1:65" x14ac:dyDescent="0.2">
      <c r="A37" s="988"/>
      <c r="X37" s="2" t="s">
        <v>1294</v>
      </c>
      <c r="Y37" s="20">
        <f>Y34*Input_Harvestnew!C168</f>
        <v>0</v>
      </c>
      <c r="AA37" s="20">
        <f>AA34*AA35</f>
        <v>0</v>
      </c>
      <c r="AD37" s="977"/>
      <c r="BM37" s="1063"/>
    </row>
    <row r="38" spans="1:65" x14ac:dyDescent="0.2">
      <c r="A38" s="988"/>
      <c r="X38" s="6" t="s">
        <v>125</v>
      </c>
      <c r="Y38" s="6" t="s">
        <v>125</v>
      </c>
      <c r="AA38" s="6" t="s">
        <v>125</v>
      </c>
      <c r="AB38" s="6" t="s">
        <v>125</v>
      </c>
      <c r="AC38" s="6" t="s">
        <v>125</v>
      </c>
      <c r="AD38" s="1580" t="s">
        <v>125</v>
      </c>
      <c r="BD38" s="6" t="s">
        <v>1295</v>
      </c>
      <c r="BE38" s="6" t="s">
        <v>1295</v>
      </c>
      <c r="BF38" s="6" t="s">
        <v>1295</v>
      </c>
      <c r="BG38" s="6" t="s">
        <v>1295</v>
      </c>
      <c r="BH38" s="6" t="s">
        <v>1295</v>
      </c>
      <c r="BI38" s="6" t="s">
        <v>1295</v>
      </c>
      <c r="BJ38" s="6" t="s">
        <v>1295</v>
      </c>
      <c r="BK38" s="6" t="s">
        <v>1295</v>
      </c>
      <c r="BL38" s="6" t="s">
        <v>1295</v>
      </c>
      <c r="BM38" s="6" t="s">
        <v>1295</v>
      </c>
    </row>
    <row r="39" spans="1:65" x14ac:dyDescent="0.2">
      <c r="A39" s="988"/>
      <c r="X39" s="2" t="s">
        <v>1296</v>
      </c>
      <c r="AD39" s="977"/>
    </row>
    <row r="40" spans="1:65" x14ac:dyDescent="0.2">
      <c r="A40" s="988"/>
      <c r="X40" s="2" t="s">
        <v>1297</v>
      </c>
      <c r="Y40" s="20">
        <f>SUM(FishSumAllPRN!G108)</f>
        <v>24377</v>
      </c>
      <c r="AA40" s="20">
        <f>SUM(FishSumAllPRN!G107)</f>
        <v>2854</v>
      </c>
      <c r="AD40" s="977"/>
    </row>
    <row r="41" spans="1:65" x14ac:dyDescent="0.2">
      <c r="A41" s="988"/>
      <c r="X41" s="2" t="s">
        <v>1170</v>
      </c>
      <c r="Y41" s="20">
        <f>SUM(FishSumAllPRN!G109)</f>
        <v>23915</v>
      </c>
      <c r="AA41" s="1050" t="s">
        <v>297</v>
      </c>
      <c r="AD41" s="977"/>
    </row>
    <row r="42" spans="1:65" x14ac:dyDescent="0.2">
      <c r="A42" s="988"/>
      <c r="X42" s="2" t="s">
        <v>1298</v>
      </c>
      <c r="Y42" s="20">
        <f>SUM(Y40:Y41)</f>
        <v>48292</v>
      </c>
      <c r="AA42" s="20">
        <f>SUM(AA40:AA41)</f>
        <v>2854</v>
      </c>
      <c r="AB42" s="2" t="s">
        <v>1174</v>
      </c>
      <c r="AD42" s="977"/>
    </row>
    <row r="43" spans="1:65" x14ac:dyDescent="0.2">
      <c r="A43" s="988"/>
      <c r="AC43" s="2" t="s">
        <v>1176</v>
      </c>
      <c r="AD43" s="977"/>
    </row>
    <row r="44" spans="1:65" x14ac:dyDescent="0.2">
      <c r="A44" s="988"/>
      <c r="X44" s="2" t="s">
        <v>1179</v>
      </c>
      <c r="Y44" s="20">
        <f>Y34-Y42</f>
        <v>-15218.103458599668</v>
      </c>
      <c r="AA44" s="20">
        <f>AA34-AA42</f>
        <v>18617.896541400332</v>
      </c>
      <c r="AB44" s="2" t="s">
        <v>1180</v>
      </c>
      <c r="AD44" s="977"/>
    </row>
    <row r="45" spans="1:65" x14ac:dyDescent="0.2">
      <c r="A45" s="988"/>
      <c r="X45" s="6" t="s">
        <v>125</v>
      </c>
      <c r="Y45" s="6" t="s">
        <v>125</v>
      </c>
      <c r="Z45" s="6" t="s">
        <v>125</v>
      </c>
      <c r="AA45" s="6" t="s">
        <v>125</v>
      </c>
      <c r="AB45" s="6" t="s">
        <v>125</v>
      </c>
      <c r="AC45" s="6" t="s">
        <v>125</v>
      </c>
      <c r="AD45" s="1580" t="s">
        <v>125</v>
      </c>
      <c r="AE45" s="6" t="s">
        <v>125</v>
      </c>
      <c r="AF45" s="6" t="s">
        <v>125</v>
      </c>
      <c r="AG45" s="6" t="s">
        <v>125</v>
      </c>
    </row>
    <row r="46" spans="1:65" x14ac:dyDescent="0.2">
      <c r="A46" s="988"/>
      <c r="X46" s="2" t="s">
        <v>1192</v>
      </c>
      <c r="Y46" s="1224" t="s">
        <v>1299</v>
      </c>
      <c r="Z46" s="20">
        <f>$Z$48*TRunsPRN!D47/(SUM(TRunsPRN!D$46:D$47))</f>
        <v>53577.913420900979</v>
      </c>
      <c r="AC46" s="1224" t="s">
        <v>1300</v>
      </c>
      <c r="AD46" s="1586"/>
    </row>
    <row r="47" spans="1:65" x14ac:dyDescent="0.2">
      <c r="A47" s="988"/>
      <c r="Y47" s="1224" t="s">
        <v>611</v>
      </c>
      <c r="Z47" s="20">
        <f>$Z$48*TRunsPRN!D46/(SUM(TRunsPRN!D$46:D$47))</f>
        <v>32179.879661899697</v>
      </c>
      <c r="AC47" s="2" t="s">
        <v>1301</v>
      </c>
      <c r="AD47" s="1587">
        <f>AD46/Z48</f>
        <v>0</v>
      </c>
    </row>
    <row r="48" spans="1:65" x14ac:dyDescent="0.2">
      <c r="A48" s="988"/>
      <c r="Y48" s="1268" t="s">
        <v>1198</v>
      </c>
      <c r="Z48" s="20">
        <f>SUM(TRunsPRN!D44)</f>
        <v>85757.793082800665</v>
      </c>
      <c r="AA48" s="20" t="s">
        <v>1064</v>
      </c>
      <c r="AD48" s="977"/>
    </row>
    <row r="49" spans="1:33" x14ac:dyDescent="0.2">
      <c r="A49" s="988"/>
      <c r="X49" s="6" t="s">
        <v>125</v>
      </c>
      <c r="Y49" s="6" t="s">
        <v>125</v>
      </c>
      <c r="Z49" s="6" t="s">
        <v>125</v>
      </c>
      <c r="AA49" s="6" t="s">
        <v>125</v>
      </c>
      <c r="AB49" s="6" t="s">
        <v>125</v>
      </c>
      <c r="AC49" s="6" t="s">
        <v>125</v>
      </c>
      <c r="AD49" s="1580" t="s">
        <v>125</v>
      </c>
      <c r="AE49" s="6" t="s">
        <v>125</v>
      </c>
      <c r="AF49" s="6" t="s">
        <v>125</v>
      </c>
      <c r="AG49" s="6" t="s">
        <v>125</v>
      </c>
    </row>
    <row r="50" spans="1:33" x14ac:dyDescent="0.2">
      <c r="A50" s="988"/>
      <c r="X50" s="2" t="s">
        <v>1199</v>
      </c>
      <c r="Y50" s="1224" t="s">
        <v>201</v>
      </c>
      <c r="Z50" s="20">
        <f>SUM(TRunsPRN!D97)</f>
        <v>35454.617313085662</v>
      </c>
      <c r="AC50" s="1224" t="s">
        <v>1200</v>
      </c>
      <c r="AD50" s="1586">
        <f>SUM(TRunsPRN!D95)</f>
        <v>22478.724507942563</v>
      </c>
    </row>
    <row r="51" spans="1:33" x14ac:dyDescent="0.2">
      <c r="A51" s="988"/>
      <c r="Y51" s="1224" t="s">
        <v>611</v>
      </c>
      <c r="Z51" s="20">
        <f>SUM(TRunsPRN!D96)</f>
        <v>22527.260917398555</v>
      </c>
      <c r="AC51" s="2" t="s">
        <v>938</v>
      </c>
      <c r="AD51" s="1587">
        <f>AD50/Z52</f>
        <v>0.38768534573142333</v>
      </c>
    </row>
    <row r="52" spans="1:33" x14ac:dyDescent="0.2">
      <c r="A52" s="988"/>
      <c r="Y52" s="1268" t="s">
        <v>1198</v>
      </c>
      <c r="Z52" s="20">
        <f>Z50+Z51</f>
        <v>57981.878230484217</v>
      </c>
      <c r="AA52" s="20" t="s">
        <v>1064</v>
      </c>
      <c r="AD52" s="977"/>
    </row>
    <row r="53" spans="1:33" x14ac:dyDescent="0.2">
      <c r="A53" s="988"/>
      <c r="X53" s="6" t="s">
        <v>125</v>
      </c>
      <c r="Y53" s="6" t="s">
        <v>125</v>
      </c>
      <c r="Z53" s="6" t="s">
        <v>125</v>
      </c>
      <c r="AA53" s="6" t="s">
        <v>125</v>
      </c>
      <c r="AB53" s="6" t="s">
        <v>125</v>
      </c>
      <c r="AC53" s="6" t="s">
        <v>125</v>
      </c>
      <c r="AD53" s="1580"/>
      <c r="AE53" s="6" t="s">
        <v>125</v>
      </c>
      <c r="AF53" s="6" t="s">
        <v>125</v>
      </c>
      <c r="AG53" s="6" t="s">
        <v>125</v>
      </c>
    </row>
    <row r="54" spans="1:33" x14ac:dyDescent="0.2">
      <c r="A54" s="988"/>
      <c r="AD54" s="977"/>
    </row>
    <row r="55" spans="1:33" x14ac:dyDescent="0.2">
      <c r="A55" s="988"/>
      <c r="AD55" s="977"/>
    </row>
    <row r="56" spans="1:33" x14ac:dyDescent="0.2">
      <c r="A56" s="988"/>
      <c r="AD56" s="977"/>
    </row>
    <row r="57" spans="1:33" x14ac:dyDescent="0.2">
      <c r="A57" s="988"/>
      <c r="AD57" s="977"/>
    </row>
    <row r="58" spans="1:33" x14ac:dyDescent="0.2">
      <c r="A58" s="988"/>
      <c r="AD58" s="977"/>
    </row>
    <row r="59" spans="1:33" x14ac:dyDescent="0.2">
      <c r="A59" s="988"/>
      <c r="AD59" s="977"/>
    </row>
    <row r="60" spans="1:33" x14ac:dyDescent="0.2">
      <c r="A60" s="988"/>
      <c r="AD60" s="977"/>
    </row>
    <row r="61" spans="1:33" x14ac:dyDescent="0.2">
      <c r="A61" s="988"/>
      <c r="AD61" s="977"/>
    </row>
    <row r="62" spans="1:33" x14ac:dyDescent="0.2">
      <c r="A62" s="988"/>
      <c r="AD62" s="977"/>
    </row>
    <row r="63" spans="1:33" x14ac:dyDescent="0.2">
      <c r="A63" s="988"/>
      <c r="AD63" s="977"/>
    </row>
    <row r="64" spans="1:33" x14ac:dyDescent="0.2">
      <c r="A64" s="988"/>
      <c r="AD64" s="977"/>
    </row>
    <row r="65" spans="1:30" x14ac:dyDescent="0.2">
      <c r="A65" s="988"/>
      <c r="AD65" s="977"/>
    </row>
    <row r="66" spans="1:30" x14ac:dyDescent="0.2">
      <c r="A66" s="988"/>
      <c r="AD66" s="977"/>
    </row>
    <row r="67" spans="1:30" x14ac:dyDescent="0.2">
      <c r="A67" s="988"/>
      <c r="AD67" s="977"/>
    </row>
    <row r="68" spans="1:30" x14ac:dyDescent="0.2">
      <c r="A68" s="988"/>
      <c r="AD68" s="977"/>
    </row>
    <row r="69" spans="1:30" x14ac:dyDescent="0.2">
      <c r="A69" s="988"/>
      <c r="AD69" s="977"/>
    </row>
    <row r="70" spans="1:30" x14ac:dyDescent="0.2">
      <c r="A70" s="988"/>
      <c r="AD70" s="977"/>
    </row>
    <row r="71" spans="1:30" x14ac:dyDescent="0.2">
      <c r="A71" s="988"/>
      <c r="AD71" s="977"/>
    </row>
    <row r="72" spans="1:30" x14ac:dyDescent="0.2">
      <c r="A72" s="988"/>
      <c r="AD72" s="977"/>
    </row>
    <row r="73" spans="1:30" x14ac:dyDescent="0.2">
      <c r="A73" s="988"/>
      <c r="AD73" s="977"/>
    </row>
    <row r="74" spans="1:30" x14ac:dyDescent="0.2">
      <c r="A74" s="988"/>
      <c r="AD74" s="977"/>
    </row>
    <row r="75" spans="1:30" x14ac:dyDescent="0.2">
      <c r="A75" s="988"/>
      <c r="AD75" s="977"/>
    </row>
    <row r="76" spans="1:30" x14ac:dyDescent="0.2">
      <c r="A76" s="988"/>
      <c r="AD76" s="977"/>
    </row>
    <row r="77" spans="1:30" x14ac:dyDescent="0.2">
      <c r="A77" s="988"/>
      <c r="AD77" s="977"/>
    </row>
    <row r="78" spans="1:30" x14ac:dyDescent="0.2">
      <c r="A78" s="988"/>
      <c r="AD78" s="977"/>
    </row>
    <row r="79" spans="1:30" x14ac:dyDescent="0.2">
      <c r="A79" s="988"/>
      <c r="AD79" s="977"/>
    </row>
    <row r="80" spans="1:30" x14ac:dyDescent="0.2">
      <c r="A80" s="988"/>
      <c r="AD80" s="977"/>
    </row>
    <row r="81" spans="1:30" x14ac:dyDescent="0.2">
      <c r="A81" s="988"/>
      <c r="AD81" s="977"/>
    </row>
    <row r="82" spans="1:30" x14ac:dyDescent="0.2">
      <c r="A82" s="988"/>
      <c r="AD82" s="977"/>
    </row>
    <row r="83" spans="1:30" x14ac:dyDescent="0.2">
      <c r="A83" s="988"/>
      <c r="AD83" s="977"/>
    </row>
    <row r="84" spans="1:30" x14ac:dyDescent="0.2">
      <c r="A84" s="988"/>
      <c r="AD84" s="977"/>
    </row>
    <row r="85" spans="1:30" x14ac:dyDescent="0.2">
      <c r="A85" s="988"/>
      <c r="AD85" s="977"/>
    </row>
    <row r="86" spans="1:30" x14ac:dyDescent="0.2">
      <c r="A86" s="988"/>
      <c r="AD86" s="977"/>
    </row>
    <row r="87" spans="1:30" x14ac:dyDescent="0.2">
      <c r="A87" s="988"/>
      <c r="AD87" s="977"/>
    </row>
    <row r="88" spans="1:30" x14ac:dyDescent="0.2">
      <c r="A88" s="988"/>
      <c r="AD88" s="977"/>
    </row>
    <row r="89" spans="1:30" x14ac:dyDescent="0.2">
      <c r="A89" s="988"/>
      <c r="AD89" s="977"/>
    </row>
    <row r="90" spans="1:30" x14ac:dyDescent="0.2">
      <c r="A90" s="988"/>
      <c r="AD90" s="977"/>
    </row>
    <row r="91" spans="1:30" x14ac:dyDescent="0.2">
      <c r="A91" s="988"/>
      <c r="AD91" s="977"/>
    </row>
    <row r="92" spans="1:30" x14ac:dyDescent="0.2">
      <c r="A92" s="988"/>
      <c r="AD92" s="977"/>
    </row>
    <row r="93" spans="1:30" x14ac:dyDescent="0.2">
      <c r="A93" s="988"/>
      <c r="AD93" s="977"/>
    </row>
    <row r="94" spans="1:30" x14ac:dyDescent="0.2">
      <c r="A94" s="988"/>
      <c r="AD94" s="977"/>
    </row>
    <row r="95" spans="1:30" x14ac:dyDescent="0.2">
      <c r="A95" s="988"/>
      <c r="AD95" s="977"/>
    </row>
    <row r="96" spans="1:30" x14ac:dyDescent="0.2">
      <c r="A96" s="988"/>
      <c r="AD96" s="977"/>
    </row>
    <row r="97" spans="1:30" x14ac:dyDescent="0.2">
      <c r="A97" s="988"/>
      <c r="AD97" s="977"/>
    </row>
    <row r="98" spans="1:30" x14ac:dyDescent="0.2">
      <c r="A98" s="988"/>
      <c r="AD98" s="977"/>
    </row>
    <row r="99" spans="1:30" x14ac:dyDescent="0.2">
      <c r="A99" s="988"/>
      <c r="AD99" s="977"/>
    </row>
    <row r="100" spans="1:30" x14ac:dyDescent="0.2">
      <c r="A100" s="988"/>
      <c r="AD100" s="977"/>
    </row>
    <row r="101" spans="1:30" x14ac:dyDescent="0.2">
      <c r="A101" s="988"/>
      <c r="AD101" s="977"/>
    </row>
    <row r="102" spans="1:30" x14ac:dyDescent="0.2">
      <c r="A102" s="988"/>
      <c r="AD102" s="977"/>
    </row>
    <row r="103" spans="1:30" x14ac:dyDescent="0.2">
      <c r="A103" s="988"/>
      <c r="AD103" s="977"/>
    </row>
    <row r="104" spans="1:30" x14ac:dyDescent="0.2">
      <c r="A104" s="988"/>
      <c r="AD104" s="977"/>
    </row>
    <row r="105" spans="1:30" x14ac:dyDescent="0.2">
      <c r="A105" s="988"/>
      <c r="AD105" s="977"/>
    </row>
    <row r="106" spans="1:30" x14ac:dyDescent="0.2">
      <c r="A106" s="988"/>
      <c r="AD106" s="977"/>
    </row>
    <row r="107" spans="1:30" x14ac:dyDescent="0.2">
      <c r="A107" s="988"/>
      <c r="AD107" s="977"/>
    </row>
    <row r="108" spans="1:30" x14ac:dyDescent="0.2">
      <c r="A108" s="988"/>
      <c r="AD108" s="977"/>
    </row>
    <row r="109" spans="1:30" x14ac:dyDescent="0.2">
      <c r="A109" s="988"/>
      <c r="AD109" s="977"/>
    </row>
    <row r="110" spans="1:30" x14ac:dyDescent="0.2">
      <c r="A110" s="988"/>
      <c r="AD110" s="977"/>
    </row>
    <row r="111" spans="1:30" x14ac:dyDescent="0.2">
      <c r="A111" s="988"/>
      <c r="AD111" s="977"/>
    </row>
    <row r="112" spans="1:30" x14ac:dyDescent="0.2">
      <c r="A112" s="988"/>
      <c r="AD112" s="977"/>
    </row>
    <row r="113" spans="1:30" x14ac:dyDescent="0.2">
      <c r="A113" s="988"/>
      <c r="AD113" s="977"/>
    </row>
    <row r="114" spans="1:30" x14ac:dyDescent="0.2">
      <c r="A114" s="988"/>
      <c r="AD114" s="977"/>
    </row>
    <row r="115" spans="1:30" x14ac:dyDescent="0.2">
      <c r="A115" s="988"/>
      <c r="AD115" s="977"/>
    </row>
    <row r="116" spans="1:30" x14ac:dyDescent="0.2">
      <c r="A116" s="988"/>
      <c r="AD116" s="977"/>
    </row>
    <row r="117" spans="1:30" x14ac:dyDescent="0.2">
      <c r="A117" s="988"/>
      <c r="AD117" s="977"/>
    </row>
    <row r="118" spans="1:30" x14ac:dyDescent="0.2">
      <c r="A118" s="988"/>
      <c r="AD118" s="977"/>
    </row>
    <row r="119" spans="1:30" x14ac:dyDescent="0.2">
      <c r="A119" s="988"/>
      <c r="AD119" s="977"/>
    </row>
    <row r="120" spans="1:30" x14ac:dyDescent="0.2">
      <c r="A120" s="988"/>
      <c r="AD120" s="977"/>
    </row>
    <row r="121" spans="1:30" x14ac:dyDescent="0.2">
      <c r="A121" s="988"/>
      <c r="AD121" s="977"/>
    </row>
    <row r="122" spans="1:30" x14ac:dyDescent="0.2">
      <c r="A122" s="988"/>
      <c r="AD122" s="977"/>
    </row>
    <row r="123" spans="1:30" x14ac:dyDescent="0.2">
      <c r="A123" s="988"/>
      <c r="AD123" s="977"/>
    </row>
    <row r="124" spans="1:30" x14ac:dyDescent="0.2">
      <c r="A124" s="988"/>
      <c r="AD124" s="977"/>
    </row>
    <row r="125" spans="1:30" x14ac:dyDescent="0.2">
      <c r="A125" s="988"/>
      <c r="AD125" s="977"/>
    </row>
    <row r="126" spans="1:30" x14ac:dyDescent="0.2">
      <c r="A126" s="988"/>
      <c r="AD126" s="977"/>
    </row>
    <row r="127" spans="1:30" x14ac:dyDescent="0.2">
      <c r="A127" s="988"/>
      <c r="AD127" s="977"/>
    </row>
    <row r="128" spans="1:30" x14ac:dyDescent="0.2">
      <c r="A128" s="988"/>
      <c r="AD128" s="977"/>
    </row>
    <row r="129" spans="1:30" x14ac:dyDescent="0.2">
      <c r="A129" s="988"/>
      <c r="AD129" s="977"/>
    </row>
    <row r="130" spans="1:30" x14ac:dyDescent="0.2">
      <c r="A130" s="988"/>
      <c r="AD130" s="977"/>
    </row>
    <row r="131" spans="1:30" x14ac:dyDescent="0.2">
      <c r="A131" s="988"/>
      <c r="AD131" s="977"/>
    </row>
    <row r="132" spans="1:30" x14ac:dyDescent="0.2">
      <c r="A132" s="988"/>
      <c r="AD132" s="977"/>
    </row>
    <row r="133" spans="1:30" x14ac:dyDescent="0.2">
      <c r="A133" s="988"/>
      <c r="AD133" s="977"/>
    </row>
    <row r="134" spans="1:30" x14ac:dyDescent="0.2">
      <c r="A134" s="988"/>
      <c r="AD134" s="977"/>
    </row>
    <row r="135" spans="1:30" x14ac:dyDescent="0.2">
      <c r="A135" s="988"/>
      <c r="AD135" s="977"/>
    </row>
    <row r="136" spans="1:30" x14ac:dyDescent="0.2">
      <c r="A136" s="988"/>
      <c r="AD136" s="977"/>
    </row>
    <row r="137" spans="1:30" x14ac:dyDescent="0.2">
      <c r="A137" s="988"/>
      <c r="AD137" s="977"/>
    </row>
    <row r="138" spans="1:30" x14ac:dyDescent="0.2">
      <c r="A138" s="988"/>
      <c r="AD138" s="977"/>
    </row>
    <row r="139" spans="1:30" x14ac:dyDescent="0.2">
      <c r="A139" s="988"/>
      <c r="AD139" s="977"/>
    </row>
    <row r="140" spans="1:30" x14ac:dyDescent="0.2">
      <c r="A140" s="988"/>
      <c r="AD140" s="977"/>
    </row>
    <row r="141" spans="1:30" x14ac:dyDescent="0.2">
      <c r="A141" s="988"/>
      <c r="AD141" s="977"/>
    </row>
    <row r="142" spans="1:30" x14ac:dyDescent="0.2">
      <c r="A142" s="988"/>
      <c r="AD142" s="977"/>
    </row>
    <row r="143" spans="1:30" x14ac:dyDescent="0.2">
      <c r="A143" s="988"/>
      <c r="AD143" s="977"/>
    </row>
    <row r="144" spans="1:30" x14ac:dyDescent="0.2">
      <c r="A144" s="988"/>
      <c r="AD144" s="977"/>
    </row>
    <row r="145" spans="1:35" x14ac:dyDescent="0.2">
      <c r="A145" s="988"/>
      <c r="AD145" s="977"/>
    </row>
    <row r="146" spans="1:35" x14ac:dyDescent="0.2">
      <c r="A146" s="988"/>
      <c r="AD146" s="977"/>
    </row>
    <row r="147" spans="1:35" x14ac:dyDescent="0.2">
      <c r="A147" s="988"/>
      <c r="AD147" s="977"/>
    </row>
    <row r="148" spans="1:35" x14ac:dyDescent="0.2">
      <c r="A148" s="988"/>
      <c r="AD148" s="977"/>
    </row>
    <row r="149" spans="1:35" x14ac:dyDescent="0.2">
      <c r="A149" s="988"/>
      <c r="AD149" s="977">
        <f>SPS!D50*Z153</f>
        <v>0</v>
      </c>
    </row>
    <row r="150" spans="1:35" x14ac:dyDescent="0.2">
      <c r="A150" s="988"/>
      <c r="AD150" s="977">
        <f>SPS!D50*Z154</f>
        <v>0</v>
      </c>
    </row>
    <row r="151" spans="1:35" x14ac:dyDescent="0.2">
      <c r="A151" s="988"/>
      <c r="AD151" s="977" t="e">
        <f>SPS!C47/AD149</f>
        <v>#DIV/0!</v>
      </c>
    </row>
    <row r="152" spans="1:35" x14ac:dyDescent="0.2">
      <c r="A152" s="988"/>
      <c r="AD152" s="977" t="e">
        <f>SPS!C47/AD150</f>
        <v>#DIV/0!</v>
      </c>
    </row>
    <row r="153" spans="1:35" x14ac:dyDescent="0.2">
      <c r="A153" s="988"/>
      <c r="AD153" s="977"/>
    </row>
    <row r="154" spans="1:35" x14ac:dyDescent="0.2">
      <c r="A154" s="988"/>
      <c r="AD154" s="977"/>
      <c r="AI154" s="2">
        <f>IF(SPS!BB39="&gt;&gt;&gt;recalc",0,SPS!BB39)</f>
        <v>0</v>
      </c>
    </row>
    <row r="155" spans="1:35" x14ac:dyDescent="0.2">
      <c r="A155" s="988"/>
      <c r="AD155" s="977"/>
      <c r="AI155" s="20">
        <f>SPS!BB41</f>
        <v>42871.093106447603</v>
      </c>
    </row>
    <row r="156" spans="1:35" x14ac:dyDescent="0.2">
      <c r="A156" s="988"/>
      <c r="AD156" s="977"/>
      <c r="AI156" s="2">
        <f>SPS!C47</f>
        <v>0</v>
      </c>
    </row>
    <row r="157" spans="1:35" x14ac:dyDescent="0.2">
      <c r="A157" s="988"/>
      <c r="AD157" s="977"/>
    </row>
    <row r="158" spans="1:35" x14ac:dyDescent="0.2">
      <c r="A158" s="988"/>
      <c r="AD158" s="977"/>
    </row>
    <row r="159" spans="1:35" x14ac:dyDescent="0.2">
      <c r="A159" s="988"/>
      <c r="AD159" s="977"/>
    </row>
    <row r="160" spans="1:35" x14ac:dyDescent="0.2">
      <c r="A160" s="988"/>
      <c r="AD160" s="977"/>
    </row>
    <row r="161" spans="1:36" x14ac:dyDescent="0.2">
      <c r="A161" s="988"/>
      <c r="AD161" s="977"/>
      <c r="AJ161" s="2">
        <f>SUM(SPS!Z36:AC36)*(Z155/(1-Z155))</f>
        <v>0</v>
      </c>
    </row>
    <row r="162" spans="1:36" x14ac:dyDescent="0.2">
      <c r="A162" s="988"/>
      <c r="AD162" s="977"/>
    </row>
    <row r="163" spans="1:36" x14ac:dyDescent="0.2">
      <c r="A163" s="988"/>
      <c r="AD163" s="977"/>
    </row>
    <row r="164" spans="1:36" x14ac:dyDescent="0.2">
      <c r="A164" s="988"/>
      <c r="AD164" s="977"/>
    </row>
    <row r="165" spans="1:36" x14ac:dyDescent="0.2">
      <c r="A165" s="988"/>
      <c r="AD165" s="977"/>
    </row>
    <row r="166" spans="1:36" ht="15.75" thickBot="1" x14ac:dyDescent="0.25">
      <c r="A166" s="991"/>
      <c r="B166" s="978"/>
      <c r="C166" s="978"/>
      <c r="D166" s="978"/>
      <c r="E166" s="978"/>
      <c r="F166" s="978"/>
      <c r="G166" s="978"/>
      <c r="H166" s="978"/>
      <c r="I166" s="978"/>
      <c r="J166" s="978"/>
      <c r="K166" s="978"/>
      <c r="L166" s="978"/>
      <c r="M166" s="978"/>
      <c r="N166" s="978"/>
      <c r="O166" s="978"/>
      <c r="P166" s="978"/>
      <c r="Q166" s="978"/>
      <c r="R166" s="978"/>
      <c r="S166" s="978"/>
      <c r="T166" s="978"/>
      <c r="U166" s="978"/>
      <c r="V166" s="978"/>
      <c r="W166" s="978"/>
      <c r="X166" s="978"/>
      <c r="Y166" s="978"/>
      <c r="Z166" s="978"/>
      <c r="AA166" s="978"/>
      <c r="AB166" s="978"/>
      <c r="AC166" s="978"/>
      <c r="AD166" s="979"/>
    </row>
    <row r="167" spans="1:36" ht="15.75" thickTop="1" x14ac:dyDescent="0.2"/>
  </sheetData>
  <mergeCells count="24">
    <mergeCell ref="P7:Q7"/>
    <mergeCell ref="H6:I6"/>
    <mergeCell ref="J6:K6"/>
    <mergeCell ref="L6:M6"/>
    <mergeCell ref="N6:O6"/>
    <mergeCell ref="J7:K7"/>
    <mergeCell ref="L7:M7"/>
    <mergeCell ref="N7:O7"/>
    <mergeCell ref="R7:S7"/>
    <mergeCell ref="R4:S5"/>
    <mergeCell ref="T4:T5"/>
    <mergeCell ref="B5:G5"/>
    <mergeCell ref="H5:I5"/>
    <mergeCell ref="J5:K5"/>
    <mergeCell ref="L5:M5"/>
    <mergeCell ref="N5:Q5"/>
    <mergeCell ref="B7:C7"/>
    <mergeCell ref="D7:E7"/>
    <mergeCell ref="F7:G7"/>
    <mergeCell ref="H7:I7"/>
    <mergeCell ref="P6:Q6"/>
    <mergeCell ref="B6:C6"/>
    <mergeCell ref="D6:E6"/>
    <mergeCell ref="F6:G6"/>
  </mergeCells>
  <phoneticPr fontId="16" type="noConversion"/>
  <pageMargins left="0.5" right="0.66700000000000004" top="0.75" bottom="0.66700000000000004" header="0.5" footer="0.5"/>
  <pageSetup scale="83"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ransitionEvaluation="1" transitionEntry="1" codeName="Sheet13">
    <pageSetUpPr fitToPage="1"/>
  </sheetPr>
  <dimension ref="A1:AH166"/>
  <sheetViews>
    <sheetView zoomScale="40" zoomScaleNormal="40" workbookViewId="0">
      <selection activeCell="AD38" sqref="AD38"/>
    </sheetView>
  </sheetViews>
  <sheetFormatPr defaultColWidth="12.5703125" defaultRowHeight="15" x14ac:dyDescent="0.2"/>
  <cols>
    <col min="1" max="1" width="43.28515625" style="2" customWidth="1"/>
    <col min="2" max="5" width="12.5703125" style="2" customWidth="1"/>
    <col min="6" max="6" width="13.85546875" style="2" customWidth="1"/>
    <col min="7" max="9" width="16.28515625" style="2" customWidth="1"/>
    <col min="10" max="10" width="53.5703125" style="2" customWidth="1"/>
    <col min="11" max="12" width="12.5703125" style="2" customWidth="1"/>
    <col min="13" max="13" width="34" style="2" customWidth="1"/>
    <col min="14" max="26" width="9.5703125" style="2" customWidth="1"/>
    <col min="27" max="27" width="12.85546875" style="2" customWidth="1"/>
    <col min="28" max="29" width="12.5703125" style="2"/>
    <col min="30" max="30" width="36.28515625" style="2" bestFit="1" customWidth="1"/>
    <col min="31" max="16384" width="12.5703125" style="2"/>
  </cols>
  <sheetData>
    <row r="1" spans="1:34" ht="15.75" x14ac:dyDescent="0.25">
      <c r="A1" s="1" t="s">
        <v>1302</v>
      </c>
      <c r="H1" s="6" t="s">
        <v>125</v>
      </c>
      <c r="I1" s="6" t="s">
        <v>125</v>
      </c>
      <c r="J1" s="6" t="s">
        <v>125</v>
      </c>
      <c r="N1" s="11"/>
      <c r="R1" s="11" t="s">
        <v>1205</v>
      </c>
      <c r="S1" s="2" t="str">
        <f>Input_Harvestnew!B4</f>
        <v>Final PFMC April - Adopted+NOF</v>
      </c>
      <c r="Z1" s="11" t="s">
        <v>602</v>
      </c>
      <c r="AA1" s="1224" t="str">
        <f>Input_Harvestnew!B3</f>
        <v>bc-Coho2229</v>
      </c>
    </row>
    <row r="2" spans="1:34" ht="15.75" x14ac:dyDescent="0.25">
      <c r="A2" s="2" t="s">
        <v>1303</v>
      </c>
      <c r="J2" s="981">
        <f>'1'!$L$2</f>
        <v>44663.592256944445</v>
      </c>
      <c r="M2" s="1" t="s">
        <v>1304</v>
      </c>
      <c r="AA2" s="993">
        <f>'1'!$L$2</f>
        <v>44663.592256944445</v>
      </c>
    </row>
    <row r="3" spans="1:34" ht="20.25" x14ac:dyDescent="0.3">
      <c r="A3" s="2" t="s">
        <v>602</v>
      </c>
      <c r="B3" s="157" t="str">
        <f>Input_Harvestnew!$B$3</f>
        <v>bc-Coho2229</v>
      </c>
      <c r="E3" s="168" t="s">
        <v>852</v>
      </c>
      <c r="H3" s="7"/>
      <c r="J3" s="982">
        <f>'1'!$L$3</f>
        <v>44663.592256944445</v>
      </c>
      <c r="M3" s="2492" t="s">
        <v>1305</v>
      </c>
      <c r="N3" s="2493"/>
      <c r="O3" s="2493"/>
      <c r="P3" s="2493"/>
      <c r="Q3" s="2493"/>
      <c r="R3" s="2493"/>
      <c r="S3" s="2493"/>
      <c r="T3" s="2493"/>
      <c r="U3" s="2493"/>
      <c r="V3" s="2493"/>
      <c r="W3" s="2493"/>
      <c r="X3" s="2493"/>
      <c r="Y3" s="2493"/>
      <c r="Z3" s="2493"/>
      <c r="AA3" s="2493"/>
    </row>
    <row r="4" spans="1:34" ht="15.75" thickBot="1" x14ac:dyDescent="0.25">
      <c r="A4" s="2" t="s">
        <v>123</v>
      </c>
      <c r="B4" s="2" t="str">
        <f>Input_Harvestnew!$B$4</f>
        <v>Final PFMC April - Adopted+NOF</v>
      </c>
      <c r="H4" s="7"/>
    </row>
    <row r="5" spans="1:34" ht="16.5" thickBot="1" x14ac:dyDescent="0.3">
      <c r="A5" s="6" t="s">
        <v>125</v>
      </c>
      <c r="B5" s="6" t="s">
        <v>125</v>
      </c>
      <c r="C5" s="6" t="s">
        <v>125</v>
      </c>
      <c r="D5" s="6" t="s">
        <v>125</v>
      </c>
      <c r="E5" s="6" t="s">
        <v>125</v>
      </c>
      <c r="F5" s="6" t="s">
        <v>125</v>
      </c>
      <c r="G5" s="6" t="s">
        <v>125</v>
      </c>
      <c r="H5" s="6" t="s">
        <v>125</v>
      </c>
      <c r="I5" s="6" t="s">
        <v>125</v>
      </c>
      <c r="J5" s="6" t="s">
        <v>125</v>
      </c>
      <c r="M5" s="89"/>
      <c r="N5" s="2454" t="s">
        <v>1306</v>
      </c>
      <c r="O5" s="2455"/>
      <c r="P5" s="2455"/>
      <c r="Q5" s="2494"/>
      <c r="R5" s="2454" t="s">
        <v>1307</v>
      </c>
      <c r="S5" s="2494"/>
      <c r="T5" s="2454" t="s">
        <v>1308</v>
      </c>
      <c r="U5" s="2494"/>
      <c r="V5" s="2454" t="s">
        <v>857</v>
      </c>
      <c r="W5" s="2455"/>
      <c r="X5" s="2455"/>
      <c r="Y5" s="2495"/>
      <c r="Z5" s="2450" t="s">
        <v>236</v>
      </c>
      <c r="AA5" s="2451"/>
    </row>
    <row r="6" spans="1:34" ht="15.75" x14ac:dyDescent="0.25">
      <c r="B6" s="1268" t="s">
        <v>609</v>
      </c>
      <c r="C6" s="1224" t="s">
        <v>201</v>
      </c>
      <c r="D6" s="1224" t="s">
        <v>611</v>
      </c>
      <c r="E6" s="1224" t="s">
        <v>864</v>
      </c>
      <c r="J6" s="2" t="s">
        <v>1309</v>
      </c>
      <c r="M6" s="92"/>
      <c r="N6" s="2457" t="s">
        <v>1310</v>
      </c>
      <c r="O6" s="2493"/>
      <c r="P6" s="2457" t="s">
        <v>1311</v>
      </c>
      <c r="Q6" s="2459"/>
      <c r="R6" s="2457" t="s">
        <v>1312</v>
      </c>
      <c r="S6" s="2493"/>
      <c r="T6" s="2457" t="s">
        <v>1312</v>
      </c>
      <c r="U6" s="2493"/>
      <c r="V6" s="2457" t="s">
        <v>858</v>
      </c>
      <c r="W6" s="2493"/>
      <c r="X6" s="2463" t="s">
        <v>1313</v>
      </c>
      <c r="Y6" s="2464"/>
      <c r="Z6" s="2496"/>
      <c r="AA6" s="2497"/>
      <c r="AD6" s="604"/>
      <c r="AE6" s="110" t="s">
        <v>1314</v>
      </c>
      <c r="AF6" s="1464"/>
      <c r="AG6" s="110" t="s">
        <v>1315</v>
      </c>
      <c r="AH6" s="1464"/>
    </row>
    <row r="7" spans="1:34" ht="16.5" thickBot="1" x14ac:dyDescent="0.3">
      <c r="A7" s="2" t="s">
        <v>1316</v>
      </c>
      <c r="B7" s="1532">
        <f>TRunsPRN!D15/JDF!E7</f>
        <v>0.42657209416234815</v>
      </c>
      <c r="C7" s="20"/>
      <c r="D7" s="20"/>
      <c r="E7" s="20">
        <f>B20</f>
        <v>15283</v>
      </c>
      <c r="J7" s="20" t="s">
        <v>1317</v>
      </c>
      <c r="M7" s="94" t="s">
        <v>1226</v>
      </c>
      <c r="N7" s="2501">
        <f>SUM(N31,N33)</f>
        <v>1413</v>
      </c>
      <c r="O7" s="2502"/>
      <c r="P7" s="2498">
        <f>SUM(P33,P31)</f>
        <v>5908</v>
      </c>
      <c r="Q7" s="2499"/>
      <c r="R7" s="2498">
        <f>SUM(R33,R31)</f>
        <v>3606</v>
      </c>
      <c r="S7" s="2499"/>
      <c r="T7" s="2498">
        <f>SUM(T33,T31)</f>
        <v>9201</v>
      </c>
      <c r="U7" s="2499"/>
      <c r="V7" s="2498">
        <f>SUM(V33,V31)</f>
        <v>7321</v>
      </c>
      <c r="W7" s="2499"/>
      <c r="X7" s="2498">
        <f>SUM(X33,X31)</f>
        <v>12807</v>
      </c>
      <c r="Y7" s="2499"/>
      <c r="Z7" s="2498">
        <f>SUM(V7:Y7)</f>
        <v>20128</v>
      </c>
      <c r="AA7" s="2500"/>
      <c r="AD7" s="94" t="s">
        <v>1226</v>
      </c>
      <c r="AE7" s="1465">
        <f>SUM(AE31,AE33)</f>
        <v>1172</v>
      </c>
      <c r="AF7" s="1466"/>
      <c r="AG7" s="1465">
        <f>SUM(AG31,AG33)</f>
        <v>2260</v>
      </c>
      <c r="AH7" s="1466"/>
    </row>
    <row r="8" spans="1:34" ht="16.5" thickBot="1" x14ac:dyDescent="0.3">
      <c r="A8" s="6" t="s">
        <v>129</v>
      </c>
      <c r="B8" s="6" t="s">
        <v>129</v>
      </c>
      <c r="C8" s="6" t="s">
        <v>129</v>
      </c>
      <c r="D8" s="6" t="s">
        <v>129</v>
      </c>
      <c r="E8" s="6" t="s">
        <v>129</v>
      </c>
      <c r="F8" s="6" t="s">
        <v>129</v>
      </c>
      <c r="G8" s="6" t="s">
        <v>129</v>
      </c>
      <c r="H8" s="6" t="s">
        <v>129</v>
      </c>
      <c r="I8" s="6" t="s">
        <v>129</v>
      </c>
      <c r="J8" s="6" t="s">
        <v>129</v>
      </c>
      <c r="M8" s="93" t="s">
        <v>126</v>
      </c>
      <c r="N8" s="2109" t="s">
        <v>872</v>
      </c>
      <c r="O8" s="2110" t="s">
        <v>867</v>
      </c>
      <c r="P8" s="2109" t="s">
        <v>872</v>
      </c>
      <c r="Q8" s="2110" t="s">
        <v>867</v>
      </c>
      <c r="R8" s="2109" t="s">
        <v>872</v>
      </c>
      <c r="S8" s="2110" t="s">
        <v>867</v>
      </c>
      <c r="T8" s="2109" t="s">
        <v>872</v>
      </c>
      <c r="U8" s="2110" t="s">
        <v>867</v>
      </c>
      <c r="V8" s="2109" t="s">
        <v>872</v>
      </c>
      <c r="W8" s="2110" t="s">
        <v>867</v>
      </c>
      <c r="X8" s="2109" t="s">
        <v>872</v>
      </c>
      <c r="Y8" s="2111" t="s">
        <v>867</v>
      </c>
      <c r="Z8" s="2109" t="s">
        <v>872</v>
      </c>
      <c r="AA8" s="2111" t="s">
        <v>867</v>
      </c>
      <c r="AD8" s="1467" t="s">
        <v>126</v>
      </c>
      <c r="AE8" s="93" t="s">
        <v>872</v>
      </c>
      <c r="AF8" s="1468" t="s">
        <v>867</v>
      </c>
      <c r="AG8" s="93" t="s">
        <v>872</v>
      </c>
      <c r="AH8" s="1468" t="s">
        <v>867</v>
      </c>
    </row>
    <row r="9" spans="1:34" ht="15.75" x14ac:dyDescent="0.25">
      <c r="C9" s="1224" t="s">
        <v>1181</v>
      </c>
      <c r="G9" s="1224" t="s">
        <v>1318</v>
      </c>
      <c r="H9" s="1224" t="s">
        <v>1318</v>
      </c>
      <c r="I9" s="1224" t="s">
        <v>1319</v>
      </c>
      <c r="J9" s="2" t="s">
        <v>1309</v>
      </c>
      <c r="M9" s="92" t="s">
        <v>490</v>
      </c>
      <c r="N9" s="1588">
        <f>SUM(StockSumPRN!F2431:G2457,StockSumPRN!B2636:C2662)</f>
        <v>21</v>
      </c>
      <c r="O9" s="100">
        <f>N9/N$7</f>
        <v>1.4861995753715499E-2</v>
      </c>
      <c r="P9" s="1588">
        <f>SUM(StockSumPRN!H2431:I2457)</f>
        <v>89</v>
      </c>
      <c r="Q9" s="100">
        <f t="shared" ref="Q9:Q29" si="0">P9/P$7</f>
        <v>1.5064319566689235E-2</v>
      </c>
      <c r="R9" s="99">
        <f>SUM(StockSumPRN!B2434:E2457)</f>
        <v>94</v>
      </c>
      <c r="S9" s="100">
        <f t="shared" ref="S9:S29" si="1">R9/R$7</f>
        <v>2.6067665002773157E-2</v>
      </c>
      <c r="T9" s="99">
        <f>SUM(StockSumPRN!H2230:K2252)</f>
        <v>332</v>
      </c>
      <c r="U9" s="100">
        <f t="shared" ref="U9:U29" si="2">T9/T$7</f>
        <v>3.6083034452776871E-2</v>
      </c>
      <c r="V9" s="99">
        <f>SUM(N9,P9)</f>
        <v>110</v>
      </c>
      <c r="W9" s="100">
        <f t="shared" ref="W9:W29" si="3">V9/V$7</f>
        <v>1.5025269771889086E-2</v>
      </c>
      <c r="X9" s="99">
        <f>SUM(R9,T9)</f>
        <v>426</v>
      </c>
      <c r="Y9" s="1589">
        <f t="shared" ref="Y9:Y29" si="4">X9/X$7</f>
        <v>3.3263059264464746E-2</v>
      </c>
      <c r="Z9" s="99">
        <f>SUM(V9,X9)</f>
        <v>536</v>
      </c>
      <c r="AA9" s="1589">
        <f t="shared" ref="AA9:AA29" si="5">Z9/Z$7</f>
        <v>2.6629570747217807E-2</v>
      </c>
      <c r="AD9" s="146" t="s">
        <v>490</v>
      </c>
      <c r="AE9" s="99">
        <f>SUM([2]StockSumPRN!B2434:B2457)</f>
        <v>27</v>
      </c>
      <c r="AF9" s="1469">
        <f>AE9/AE$7</f>
        <v>2.303754266211604E-2</v>
      </c>
      <c r="AG9" s="26">
        <f>SUM([2]StockSumPRN!D2434:E2457)</f>
        <v>92</v>
      </c>
      <c r="AH9" s="1055">
        <f>AG9/AG$7</f>
        <v>4.0707964601769911E-2</v>
      </c>
    </row>
    <row r="10" spans="1:34" ht="15.75" x14ac:dyDescent="0.25">
      <c r="B10" s="1224" t="s">
        <v>1320</v>
      </c>
      <c r="C10" s="1224" t="s">
        <v>1321</v>
      </c>
      <c r="D10" s="1224" t="s">
        <v>334</v>
      </c>
      <c r="E10" s="1224" t="s">
        <v>1322</v>
      </c>
      <c r="F10" s="1224" t="s">
        <v>731</v>
      </c>
      <c r="G10" s="1224" t="s">
        <v>236</v>
      </c>
      <c r="H10" s="1224" t="s">
        <v>237</v>
      </c>
      <c r="I10" s="1224" t="s">
        <v>237</v>
      </c>
      <c r="J10" s="1"/>
      <c r="M10" s="92" t="s">
        <v>491</v>
      </c>
      <c r="N10" s="99">
        <f>SUM(StockSumPRN!F2458:G2462,StockSumPRN!B2663:C2667)</f>
        <v>8</v>
      </c>
      <c r="O10" s="100">
        <f t="shared" ref="O10:O29" si="6">N10/N$7</f>
        <v>5.661712668082095E-3</v>
      </c>
      <c r="P10" s="99">
        <f>SUM(StockSumPRN!H2458:I2462)</f>
        <v>32</v>
      </c>
      <c r="Q10" s="100">
        <f t="shared" si="0"/>
        <v>5.4163845633039944E-3</v>
      </c>
      <c r="R10" s="99">
        <f>SUM(StockSumPRN!B2458:E2462)</f>
        <v>18</v>
      </c>
      <c r="S10" s="100">
        <f t="shared" si="1"/>
        <v>4.9916805324459234E-3</v>
      </c>
      <c r="T10" s="99">
        <f>SUM(StockSumPRN!H2253:K2257)</f>
        <v>46</v>
      </c>
      <c r="U10" s="100">
        <f t="shared" si="2"/>
        <v>4.9994565808064344E-3</v>
      </c>
      <c r="V10" s="99">
        <f t="shared" ref="V10:V29" si="7">SUM(N10,P10)</f>
        <v>40</v>
      </c>
      <c r="W10" s="100">
        <f t="shared" si="3"/>
        <v>5.4637344625051223E-3</v>
      </c>
      <c r="X10" s="99">
        <f t="shared" ref="X10:X29" si="8">SUM(R10,T10)</f>
        <v>64</v>
      </c>
      <c r="Y10" s="1589">
        <f t="shared" si="4"/>
        <v>4.9972671195439994E-3</v>
      </c>
      <c r="Z10" s="99">
        <f t="shared" ref="Z10:Z29" si="9">SUM(V10,X10)</f>
        <v>104</v>
      </c>
      <c r="AA10" s="1589">
        <f t="shared" si="5"/>
        <v>5.1669316375198724E-3</v>
      </c>
      <c r="AD10" s="146" t="s">
        <v>491</v>
      </c>
      <c r="AE10" s="99">
        <f>SUM([2]StockSumPRN!B2458:B2462)</f>
        <v>5</v>
      </c>
      <c r="AF10" s="1469">
        <f t="shared" ref="AF10:AF33" si="10">AE10/AE$7</f>
        <v>4.2662116040955633E-3</v>
      </c>
      <c r="AG10" s="26">
        <f>SUM([2]StockSumPRN!D2458:E2462)</f>
        <v>7</v>
      </c>
      <c r="AH10" s="1055">
        <f t="shared" ref="AH10:AH33" si="11">AG10/AG$7</f>
        <v>3.0973451327433628E-3</v>
      </c>
    </row>
    <row r="11" spans="1:34" ht="15.75" x14ac:dyDescent="0.25">
      <c r="B11" s="1224" t="s">
        <v>1323</v>
      </c>
      <c r="C11" s="1224" t="s">
        <v>237</v>
      </c>
      <c r="D11" s="1224" t="s">
        <v>552</v>
      </c>
      <c r="E11" s="1224" t="s">
        <v>552</v>
      </c>
      <c r="F11" s="1224" t="s">
        <v>298</v>
      </c>
      <c r="G11" s="1224" t="s">
        <v>444</v>
      </c>
      <c r="H11" s="1224" t="s">
        <v>444</v>
      </c>
      <c r="I11" s="1224" t="s">
        <v>444</v>
      </c>
      <c r="J11" s="983">
        <f>Input_Harvestnew!C177</f>
        <v>0</v>
      </c>
      <c r="M11" s="92" t="s">
        <v>879</v>
      </c>
      <c r="N11" s="99">
        <f>SUM(StockSumPRN!F2267:G2286,StockSumPRN!B2472:C2491)</f>
        <v>7</v>
      </c>
      <c r="O11" s="100">
        <f t="shared" si="6"/>
        <v>4.953998584571833E-3</v>
      </c>
      <c r="P11" s="99">
        <f>SUM(StockSumPRN!H2267:I2286)</f>
        <v>30</v>
      </c>
      <c r="Q11" s="100">
        <f t="shared" si="0"/>
        <v>5.0778605280974946E-3</v>
      </c>
      <c r="R11" s="99">
        <f>SUM(StockSumPRN!B2267:E2286)</f>
        <v>24</v>
      </c>
      <c r="S11" s="100">
        <f t="shared" si="1"/>
        <v>6.6555740432612314E-3</v>
      </c>
      <c r="T11" s="99">
        <f>SUM(StockSumPRN!H2062:K2081)</f>
        <v>77</v>
      </c>
      <c r="U11" s="100">
        <f t="shared" si="2"/>
        <v>8.3686555809151172E-3</v>
      </c>
      <c r="V11" s="99">
        <f t="shared" si="7"/>
        <v>37</v>
      </c>
      <c r="W11" s="100">
        <f t="shared" si="3"/>
        <v>5.0539543778172378E-3</v>
      </c>
      <c r="X11" s="99">
        <f t="shared" si="8"/>
        <v>101</v>
      </c>
      <c r="Y11" s="1589">
        <f t="shared" si="4"/>
        <v>7.8863121730303742E-3</v>
      </c>
      <c r="Z11" s="99">
        <f t="shared" si="9"/>
        <v>138</v>
      </c>
      <c r="AA11" s="1589">
        <f t="shared" si="5"/>
        <v>6.8561208267090617E-3</v>
      </c>
      <c r="AD11" s="146" t="s">
        <v>879</v>
      </c>
      <c r="AE11" s="99">
        <f>SUM([2]StockSumPRN!B2267:B2286)</f>
        <v>4</v>
      </c>
      <c r="AF11" s="1469">
        <f t="shared" si="10"/>
        <v>3.4129692832764505E-3</v>
      </c>
      <c r="AG11" s="26">
        <f>SUM([2]StockSumPRN!D2267:E2286)</f>
        <v>16</v>
      </c>
      <c r="AH11" s="1055">
        <f t="shared" si="11"/>
        <v>7.0796460176991149E-3</v>
      </c>
    </row>
    <row r="12" spans="1:34" ht="15.75" x14ac:dyDescent="0.25">
      <c r="A12" s="6" t="s">
        <v>129</v>
      </c>
      <c r="B12" s="6" t="s">
        <v>129</v>
      </c>
      <c r="C12" s="6" t="s">
        <v>129</v>
      </c>
      <c r="D12" s="6" t="s">
        <v>129</v>
      </c>
      <c r="E12" s="6" t="s">
        <v>129</v>
      </c>
      <c r="F12" s="6" t="s">
        <v>129</v>
      </c>
      <c r="G12" s="6" t="s">
        <v>129</v>
      </c>
      <c r="H12" s="6" t="s">
        <v>129</v>
      </c>
      <c r="I12" s="6" t="s">
        <v>129</v>
      </c>
      <c r="J12" s="984" t="s">
        <v>129</v>
      </c>
      <c r="M12" s="92" t="s">
        <v>886</v>
      </c>
      <c r="N12" s="99">
        <f>SUM(StockSumPRN!F2287:G2307,StockSumPRN!B2492:C2512)</f>
        <v>47</v>
      </c>
      <c r="O12" s="100">
        <f t="shared" si="6"/>
        <v>3.3262561924982309E-2</v>
      </c>
      <c r="P12" s="99">
        <f>SUM(StockSumPRN!H2287:I2307)</f>
        <v>199</v>
      </c>
      <c r="Q12" s="100">
        <f t="shared" si="0"/>
        <v>3.3683141503046715E-2</v>
      </c>
      <c r="R12" s="99">
        <f>SUM(StockSumPRN!B2287:E2307)</f>
        <v>160</v>
      </c>
      <c r="S12" s="100">
        <f t="shared" si="1"/>
        <v>4.4370493621741544E-2</v>
      </c>
      <c r="T12" s="99">
        <f>SUM(StockSumPRN!H2082:K2102)</f>
        <v>481</v>
      </c>
      <c r="U12" s="100">
        <f t="shared" si="2"/>
        <v>5.2276926421041189E-2</v>
      </c>
      <c r="V12" s="99">
        <f t="shared" si="7"/>
        <v>246</v>
      </c>
      <c r="W12" s="100">
        <f t="shared" si="3"/>
        <v>3.3601966944406501E-2</v>
      </c>
      <c r="X12" s="99">
        <f t="shared" si="8"/>
        <v>641</v>
      </c>
      <c r="Y12" s="1589">
        <f t="shared" si="4"/>
        <v>5.0050753494182872E-2</v>
      </c>
      <c r="Z12" s="99">
        <f t="shared" si="9"/>
        <v>887</v>
      </c>
      <c r="AA12" s="1589">
        <f t="shared" si="5"/>
        <v>4.4067965023847376E-2</v>
      </c>
      <c r="AD12" s="146" t="s">
        <v>886</v>
      </c>
      <c r="AE12" s="99">
        <f>SUM([2]StockSumPRN!B2287:B2307)</f>
        <v>52</v>
      </c>
      <c r="AF12" s="1469">
        <f t="shared" si="10"/>
        <v>4.4368600682593858E-2</v>
      </c>
      <c r="AG12" s="26">
        <f>SUM([2]StockSumPRN!D2287:E2307)</f>
        <v>123</v>
      </c>
      <c r="AH12" s="1055">
        <f t="shared" si="11"/>
        <v>5.442477876106195E-2</v>
      </c>
    </row>
    <row r="13" spans="1:34" ht="15.75" x14ac:dyDescent="0.25">
      <c r="A13" s="2" t="s">
        <v>1324</v>
      </c>
      <c r="B13" s="20">
        <f>SUM(D13:G13)</f>
        <v>0</v>
      </c>
      <c r="C13" s="1532">
        <f>Input_Stockdata!L104</f>
        <v>1</v>
      </c>
      <c r="D13" s="1050">
        <f>SUM(StockSumPRN!F2350:G2350)</f>
        <v>0</v>
      </c>
      <c r="E13" s="1050" t="s">
        <v>297</v>
      </c>
      <c r="F13" s="1050">
        <f>SUM(StockSumPRN!F2353:G2353)</f>
        <v>0</v>
      </c>
      <c r="G13" s="1050">
        <f>N30</f>
        <v>0</v>
      </c>
      <c r="H13" s="1050">
        <f>G13*C13</f>
        <v>0</v>
      </c>
      <c r="I13" s="1050">
        <f>H13</f>
        <v>0</v>
      </c>
      <c r="J13" s="983" t="str">
        <f>Input_Harvestnew!H178</f>
        <v>closed</v>
      </c>
      <c r="M13" s="92" t="s">
        <v>888</v>
      </c>
      <c r="N13" s="99">
        <f>SUM(StockSumPRN!F2308:G2308,StockSumPRN!B2513:C2513)</f>
        <v>1</v>
      </c>
      <c r="O13" s="100">
        <f t="shared" si="6"/>
        <v>7.0771408351026188E-4</v>
      </c>
      <c r="P13" s="99">
        <f>SUM(StockSumPRN!H2308:I2308)</f>
        <v>2</v>
      </c>
      <c r="Q13" s="100">
        <f t="shared" si="0"/>
        <v>3.3852403520649965E-4</v>
      </c>
      <c r="R13" s="99">
        <f>SUM(StockSumPRN!B2308:E2308)</f>
        <v>1</v>
      </c>
      <c r="S13" s="100">
        <f t="shared" si="1"/>
        <v>2.7731558513588466E-4</v>
      </c>
      <c r="T13" s="99">
        <f>SUM(StockSumPRN!H2103:K2103)</f>
        <v>3</v>
      </c>
      <c r="U13" s="100">
        <f t="shared" si="2"/>
        <v>3.2605151613955004E-4</v>
      </c>
      <c r="V13" s="99">
        <f t="shared" si="7"/>
        <v>3</v>
      </c>
      <c r="W13" s="100">
        <f t="shared" si="3"/>
        <v>4.0978008468788414E-4</v>
      </c>
      <c r="X13" s="99">
        <f t="shared" si="8"/>
        <v>4</v>
      </c>
      <c r="Y13" s="1589">
        <f t="shared" si="4"/>
        <v>3.1232919497149996E-4</v>
      </c>
      <c r="Z13" s="99">
        <f t="shared" si="9"/>
        <v>7</v>
      </c>
      <c r="AA13" s="1589">
        <f t="shared" si="5"/>
        <v>3.4777424483306834E-4</v>
      </c>
      <c r="AD13" s="146" t="s">
        <v>888</v>
      </c>
      <c r="AE13" s="99">
        <f>SUM([2]StockSumPRN!B2308:B2308)</f>
        <v>0</v>
      </c>
      <c r="AF13" s="1469">
        <f t="shared" si="10"/>
        <v>0</v>
      </c>
      <c r="AG13" s="26">
        <f>SUM([2]StockSumPRN!D2308:E2308)</f>
        <v>1</v>
      </c>
      <c r="AH13" s="1055">
        <f t="shared" si="11"/>
        <v>4.4247787610619468E-4</v>
      </c>
    </row>
    <row r="14" spans="1:34" ht="15.75" x14ac:dyDescent="0.25">
      <c r="A14" s="2" t="s">
        <v>1325</v>
      </c>
      <c r="B14" s="20">
        <f>SUM(D14:G14)</f>
        <v>7058</v>
      </c>
      <c r="C14" s="1532">
        <f>SUM(StockSumPRN!H2141:I2142,StockSumPRN!H2153:I2153)/SUM(StockSumPRN!H2141:K2142,StockSumPRN!H2153:K2153)</f>
        <v>6.672113289760348E-2</v>
      </c>
      <c r="D14" s="1050">
        <f>SUM(StockSumPRN!H2142:K2142)</f>
        <v>805</v>
      </c>
      <c r="E14" s="1050">
        <f>SUM(StockSumPRN!H2141:K2141)</f>
        <v>2254</v>
      </c>
      <c r="F14" s="1050">
        <f>SUM(StockSumPRN!H2153:K2153)</f>
        <v>613</v>
      </c>
      <c r="G14" s="1050">
        <f>SUM(TRunsPRN!C99)</f>
        <v>3386</v>
      </c>
      <c r="H14" s="1050">
        <f>G14*C14</f>
        <v>225.91775599128539</v>
      </c>
      <c r="I14" s="1050" t="s">
        <v>297</v>
      </c>
      <c r="J14" s="985" t="s">
        <v>1326</v>
      </c>
      <c r="M14" s="92" t="s">
        <v>894</v>
      </c>
      <c r="N14" s="99">
        <f>SUM(StockSumPRN!F2355:G2356,StockSumPRN!B2560:C2561)</f>
        <v>23</v>
      </c>
      <c r="O14" s="100">
        <f t="shared" si="6"/>
        <v>1.6277423920736021E-2</v>
      </c>
      <c r="P14" s="99">
        <f>SUM(StockSumPRN!H2355:I2356)</f>
        <v>99</v>
      </c>
      <c r="Q14" s="100">
        <f t="shared" si="0"/>
        <v>1.6756939742721733E-2</v>
      </c>
      <c r="R14" s="99">
        <f>SUM(StockSumPRN!B2355:E2356)</f>
        <v>233</v>
      </c>
      <c r="S14" s="100">
        <f t="shared" si="1"/>
        <v>6.4614531336661118E-2</v>
      </c>
      <c r="T14" s="99">
        <f>SUM(StockSumPRN!H2150:K2151)</f>
        <v>919</v>
      </c>
      <c r="U14" s="100">
        <f t="shared" si="2"/>
        <v>9.9880447777415504E-2</v>
      </c>
      <c r="V14" s="99">
        <f t="shared" si="7"/>
        <v>122</v>
      </c>
      <c r="W14" s="100">
        <f t="shared" si="3"/>
        <v>1.6664390110640623E-2</v>
      </c>
      <c r="X14" s="99">
        <f t="shared" si="8"/>
        <v>1152</v>
      </c>
      <c r="Y14" s="1589">
        <f t="shared" si="4"/>
        <v>8.9950808151791989E-2</v>
      </c>
      <c r="Z14" s="99">
        <f t="shared" si="9"/>
        <v>1274</v>
      </c>
      <c r="AA14" s="1589">
        <f t="shared" si="5"/>
        <v>6.3294912559618444E-2</v>
      </c>
      <c r="AD14" s="146" t="s">
        <v>894</v>
      </c>
      <c r="AE14" s="99">
        <f>SUM([2]StockSumPRN!B2355:B2356)</f>
        <v>10</v>
      </c>
      <c r="AF14" s="1469">
        <f t="shared" si="10"/>
        <v>8.5324232081911266E-3</v>
      </c>
      <c r="AG14" s="26">
        <f>SUM([2]StockSumPRN!D2355:E2356)</f>
        <v>111</v>
      </c>
      <c r="AH14" s="1055">
        <f t="shared" si="11"/>
        <v>4.9115044247787613E-2</v>
      </c>
    </row>
    <row r="15" spans="1:34" ht="15.75" x14ac:dyDescent="0.25">
      <c r="A15" s="2" t="s">
        <v>1327</v>
      </c>
      <c r="B15" s="20">
        <f>SUM(D15:G15)</f>
        <v>2964</v>
      </c>
      <c r="C15" s="1532" t="e">
        <f>SUM(StockSumPRN!B2348:C2348,StockSumPRN!B2353:C2353)/SUM(StockSumPRN!B2348:E2348,StockSumPRN!B2359:E2359)</f>
        <v>#DIV/0!</v>
      </c>
      <c r="D15" s="1050">
        <f>SUM(StockSumPRN!B2348:E2348)</f>
        <v>0</v>
      </c>
      <c r="E15" s="1050" t="s">
        <v>297</v>
      </c>
      <c r="F15" s="1050">
        <f>SUM(StockSumPRN!B2359:E2359)</f>
        <v>0</v>
      </c>
      <c r="G15" s="1050">
        <f>SUM(TRunsPRN!C100)</f>
        <v>2964</v>
      </c>
      <c r="H15" s="1050" t="e">
        <f>G15*C15</f>
        <v>#DIV/0!</v>
      </c>
      <c r="I15" s="1050" t="s">
        <v>297</v>
      </c>
      <c r="J15" s="985">
        <f>Input_Harvestnew!H180</f>
        <v>0</v>
      </c>
      <c r="M15" s="92" t="s">
        <v>897</v>
      </c>
      <c r="N15" s="99">
        <f>SUM(StockSumPRN!F2357:G2357,StockSumPRN!B2562:C2562)</f>
        <v>0</v>
      </c>
      <c r="O15" s="100">
        <f t="shared" si="6"/>
        <v>0</v>
      </c>
      <c r="P15" s="99">
        <f>SUM(StockSumPRN!H2357:I2357)</f>
        <v>0</v>
      </c>
      <c r="Q15" s="100">
        <f t="shared" si="0"/>
        <v>0</v>
      </c>
      <c r="R15" s="99">
        <f>SUM(StockSumPRN!B2357:E2357)</f>
        <v>0</v>
      </c>
      <c r="S15" s="100">
        <f t="shared" si="1"/>
        <v>0</v>
      </c>
      <c r="T15" s="99">
        <f>SUM(StockSumPRN!H2152:K2152)</f>
        <v>0</v>
      </c>
      <c r="U15" s="100">
        <f t="shared" si="2"/>
        <v>0</v>
      </c>
      <c r="V15" s="99">
        <f t="shared" si="7"/>
        <v>0</v>
      </c>
      <c r="W15" s="100">
        <f t="shared" si="3"/>
        <v>0</v>
      </c>
      <c r="X15" s="99">
        <f t="shared" si="8"/>
        <v>0</v>
      </c>
      <c r="Y15" s="1589">
        <f t="shared" si="4"/>
        <v>0</v>
      </c>
      <c r="Z15" s="99">
        <f t="shared" si="9"/>
        <v>0</v>
      </c>
      <c r="AA15" s="1589">
        <f t="shared" si="5"/>
        <v>0</v>
      </c>
      <c r="AD15" s="146" t="s">
        <v>897</v>
      </c>
      <c r="AE15" s="99">
        <f>SUM([2]StockSumPRN!B2357:B2357)</f>
        <v>0</v>
      </c>
      <c r="AF15" s="1469">
        <f t="shared" si="10"/>
        <v>0</v>
      </c>
      <c r="AG15" s="26">
        <f>SUM([2]StockSumPRN!D2357:E2357)</f>
        <v>0</v>
      </c>
      <c r="AH15" s="1055">
        <f t="shared" si="11"/>
        <v>0</v>
      </c>
    </row>
    <row r="16" spans="1:34" ht="15.75" x14ac:dyDescent="0.25">
      <c r="A16" s="2" t="s">
        <v>1328</v>
      </c>
      <c r="B16" s="20">
        <f>SUM(D16:G16)</f>
        <v>0</v>
      </c>
      <c r="C16" s="1532">
        <v>0</v>
      </c>
      <c r="D16" s="1050" t="s">
        <v>297</v>
      </c>
      <c r="E16" s="1050" t="s">
        <v>297</v>
      </c>
      <c r="F16" s="1050" t="s">
        <v>297</v>
      </c>
      <c r="G16" s="1050">
        <f>SUM(TRunsPRN!C101)</f>
        <v>0</v>
      </c>
      <c r="H16" s="1050">
        <f>G16*C16</f>
        <v>0</v>
      </c>
      <c r="I16" s="1050" t="s">
        <v>297</v>
      </c>
      <c r="J16" s="983" t="s">
        <v>1329</v>
      </c>
      <c r="M16" s="92" t="s">
        <v>1330</v>
      </c>
      <c r="N16" s="99">
        <f>SUM(StockSumPRN!F2371:G2371,StockSumPRN!B2576:C2576)</f>
        <v>1</v>
      </c>
      <c r="O16" s="100">
        <f t="shared" si="6"/>
        <v>7.0771408351026188E-4</v>
      </c>
      <c r="P16" s="99">
        <f>SUM(StockSumPRN!H2371:I2371)</f>
        <v>3</v>
      </c>
      <c r="Q16" s="100">
        <f t="shared" si="0"/>
        <v>5.077860528097495E-4</v>
      </c>
      <c r="R16" s="99">
        <f>SUM(StockSumPRN!B2371:E2371)</f>
        <v>5</v>
      </c>
      <c r="S16" s="100">
        <f t="shared" si="1"/>
        <v>1.3865779256794233E-3</v>
      </c>
      <c r="T16" s="99">
        <f>SUM(StockSumPRN!H2166:K2166)</f>
        <v>16</v>
      </c>
      <c r="U16" s="100">
        <f t="shared" si="2"/>
        <v>1.7389414194109336E-3</v>
      </c>
      <c r="V16" s="99">
        <f t="shared" si="7"/>
        <v>4</v>
      </c>
      <c r="W16" s="100">
        <f t="shared" si="3"/>
        <v>5.4637344625051219E-4</v>
      </c>
      <c r="X16" s="99">
        <f t="shared" si="8"/>
        <v>21</v>
      </c>
      <c r="Y16" s="1589">
        <f t="shared" si="4"/>
        <v>1.6397282736003748E-3</v>
      </c>
      <c r="Z16" s="99">
        <f t="shared" si="9"/>
        <v>25</v>
      </c>
      <c r="AA16" s="1589">
        <f t="shared" si="5"/>
        <v>1.2420508744038156E-3</v>
      </c>
      <c r="AD16" s="146" t="s">
        <v>1330</v>
      </c>
      <c r="AE16" s="99">
        <f>SUM([2]StockSumPRN!B2371:B2371)</f>
        <v>1</v>
      </c>
      <c r="AF16" s="1469">
        <f t="shared" si="10"/>
        <v>8.5324232081911264E-4</v>
      </c>
      <c r="AG16" s="26">
        <f>SUM([2]StockSumPRN!D2371:E2371)</f>
        <v>3</v>
      </c>
      <c r="AH16" s="1055">
        <f t="shared" si="11"/>
        <v>1.3274336283185841E-3</v>
      </c>
    </row>
    <row r="17" spans="1:34" ht="15.75" x14ac:dyDescent="0.25">
      <c r="A17" s="2" t="s">
        <v>1331</v>
      </c>
      <c r="B17" s="20">
        <f>SUM(D17:G17)</f>
        <v>5261</v>
      </c>
      <c r="C17" s="1532">
        <f>SUM(Input_Stockdata!L112)</f>
        <v>1</v>
      </c>
      <c r="D17" s="1050">
        <f>SUM(StockSumPRN!H2349:I2349)</f>
        <v>0</v>
      </c>
      <c r="E17" s="1050" t="s">
        <v>297</v>
      </c>
      <c r="F17" s="1050">
        <f>SUM(StockSumPRN!H2354:I2354)</f>
        <v>0</v>
      </c>
      <c r="G17" s="1050">
        <f>SUM(TRunsPRN!C102)</f>
        <v>5261</v>
      </c>
      <c r="H17" s="1050">
        <f>G17*C17</f>
        <v>5261</v>
      </c>
      <c r="I17" s="1050">
        <f>H17</f>
        <v>5261</v>
      </c>
      <c r="J17" s="985" t="str">
        <f>Input_Harvestnew!H181</f>
        <v>DA 3/16/22 CRC area 746 arith mean 2016-2020, 8/20-12/31, 6 salmon, 3 adults, release chinook,except (Tukwila International Blvd./Old Hwy. 99 to South 212th St. Bridge, 2 adult Chinook).</v>
      </c>
      <c r="M17" s="92" t="s">
        <v>1332</v>
      </c>
      <c r="N17" s="99">
        <f>SUM(StockSumPRN!F2370:G2370,StockSumPRN!F2379:G2379,StockSumPRN!B2575:C2575,StockSumPRN!B2584:C2584)</f>
        <v>0</v>
      </c>
      <c r="O17" s="100">
        <f t="shared" si="6"/>
        <v>0</v>
      </c>
      <c r="P17" s="99">
        <f>SUM(StockSumPRN!H2370:I2370,StockSumPRN!H2379:I2379)</f>
        <v>0</v>
      </c>
      <c r="Q17" s="100">
        <f t="shared" si="0"/>
        <v>0</v>
      </c>
      <c r="R17" s="99">
        <f>SUM(StockSumPRN!B2370:E2370,StockSumPRN!B2379:E2379)</f>
        <v>0</v>
      </c>
      <c r="S17" s="100">
        <f t="shared" si="1"/>
        <v>0</v>
      </c>
      <c r="T17" s="99">
        <f>SUM(StockSumPRN!H2165:K2165,StockSumPRN!H2174:K2174)</f>
        <v>0</v>
      </c>
      <c r="U17" s="100">
        <f t="shared" si="2"/>
        <v>0</v>
      </c>
      <c r="V17" s="99">
        <f t="shared" si="7"/>
        <v>0</v>
      </c>
      <c r="W17" s="100">
        <f t="shared" si="3"/>
        <v>0</v>
      </c>
      <c r="X17" s="99">
        <f t="shared" si="8"/>
        <v>0</v>
      </c>
      <c r="Y17" s="1589">
        <f t="shared" si="4"/>
        <v>0</v>
      </c>
      <c r="Z17" s="99">
        <f t="shared" si="9"/>
        <v>0</v>
      </c>
      <c r="AA17" s="1589">
        <f t="shared" si="5"/>
        <v>0</v>
      </c>
      <c r="AC17" s="2">
        <f>51/(51+294)</f>
        <v>0.14782608695652175</v>
      </c>
      <c r="AD17" s="146" t="s">
        <v>1332</v>
      </c>
      <c r="AE17" s="99">
        <f>SUM([2]StockSumPRN!B2370:B2370,[2]StockSumPRN!B2379:B2379)</f>
        <v>0</v>
      </c>
      <c r="AF17" s="1469">
        <f t="shared" si="10"/>
        <v>0</v>
      </c>
      <c r="AG17" s="26">
        <f>SUM([2]StockSumPRN!D2370:E2370,[2]StockSumPRN!D2379:E2379)</f>
        <v>0</v>
      </c>
      <c r="AH17" s="1055">
        <f t="shared" si="11"/>
        <v>0</v>
      </c>
    </row>
    <row r="18" spans="1:34" ht="15.75" x14ac:dyDescent="0.25">
      <c r="A18" s="6" t="s">
        <v>125</v>
      </c>
      <c r="B18" s="6" t="s">
        <v>125</v>
      </c>
      <c r="C18" s="6" t="s">
        <v>125</v>
      </c>
      <c r="D18" s="6" t="s">
        <v>125</v>
      </c>
      <c r="E18" s="6" t="s">
        <v>125</v>
      </c>
      <c r="F18" s="6" t="s">
        <v>125</v>
      </c>
      <c r="G18" s="6" t="s">
        <v>125</v>
      </c>
      <c r="H18" s="6" t="s">
        <v>125</v>
      </c>
      <c r="I18" s="6" t="s">
        <v>125</v>
      </c>
      <c r="J18" s="6" t="s">
        <v>125</v>
      </c>
      <c r="M18" s="92" t="s">
        <v>1333</v>
      </c>
      <c r="N18" s="99">
        <f>SUM(StockSumPRN!F2382:G2382,StockSumPRN!F2393:G2393,StockSumPRN!F2400:G2400,StockSumPRN!B2587:C2587,StockSumPRN!B2598:C2598,StockSumPRN!B2605:C2605)</f>
        <v>1</v>
      </c>
      <c r="O18" s="100">
        <f t="shared" si="6"/>
        <v>7.0771408351026188E-4</v>
      </c>
      <c r="P18" s="99">
        <f>SUM(StockSumPRN!H2382:I2382,StockSumPRN!H2393:I2393,StockSumPRN!H2400:I2400)</f>
        <v>4</v>
      </c>
      <c r="Q18" s="100">
        <f t="shared" si="0"/>
        <v>6.770480704129993E-4</v>
      </c>
      <c r="R18" s="99">
        <f>SUM(StockSumPRN!B2382:E2382,StockSumPRN!B2393:E2393,StockSumPRN!B2400:E2400)</f>
        <v>2</v>
      </c>
      <c r="S18" s="100">
        <f t="shared" si="1"/>
        <v>5.5463117027176932E-4</v>
      </c>
      <c r="T18" s="99">
        <f>SUM(StockSumPRN!H2177:K2177,StockSumPRN!H2188:K2188,StockSumPRN!H2195:K2195)</f>
        <v>5</v>
      </c>
      <c r="U18" s="100">
        <f t="shared" si="2"/>
        <v>5.4341919356591672E-4</v>
      </c>
      <c r="V18" s="99">
        <f t="shared" si="7"/>
        <v>5</v>
      </c>
      <c r="W18" s="100">
        <f t="shared" si="3"/>
        <v>6.8296680781314029E-4</v>
      </c>
      <c r="X18" s="99">
        <f t="shared" si="8"/>
        <v>7</v>
      </c>
      <c r="Y18" s="1589">
        <f t="shared" si="4"/>
        <v>5.4657609120012493E-4</v>
      </c>
      <c r="Z18" s="99">
        <f t="shared" si="9"/>
        <v>12</v>
      </c>
      <c r="AA18" s="1589">
        <f t="shared" si="5"/>
        <v>5.9618441971383144E-4</v>
      </c>
      <c r="AD18" s="146" t="s">
        <v>1333</v>
      </c>
      <c r="AE18" s="99">
        <f>SUM([2]StockSumPRN!B2382:B2382,[2]StockSumPRN!B2393:B2393,[2]StockSumPRN!B2400:B2400)</f>
        <v>1</v>
      </c>
      <c r="AF18" s="1469">
        <f t="shared" si="10"/>
        <v>8.5324232081911264E-4</v>
      </c>
      <c r="AG18" s="26">
        <f>SUM([2]StockSumPRN!D2382:E2382,[2]StockSumPRN!D2393:E2393,[2]StockSumPRN!D2400:E2400)</f>
        <v>1</v>
      </c>
      <c r="AH18" s="1055">
        <f t="shared" si="11"/>
        <v>4.4247787610619468E-4</v>
      </c>
    </row>
    <row r="19" spans="1:34" ht="15.75" x14ac:dyDescent="0.25">
      <c r="C19" s="20"/>
      <c r="M19" s="92" t="s">
        <v>922</v>
      </c>
      <c r="N19" s="99">
        <f>SUM(StockSumPRN!F2416:G2416,StockSumPRN!B2621:C2621)</f>
        <v>0</v>
      </c>
      <c r="O19" s="101">
        <f t="shared" si="6"/>
        <v>0</v>
      </c>
      <c r="P19" s="99">
        <f>SUM(StockSumPRN!H2416:I2416)</f>
        <v>0</v>
      </c>
      <c r="Q19" s="100">
        <f t="shared" si="0"/>
        <v>0</v>
      </c>
      <c r="R19" s="99">
        <f>SUM(StockSumPRN!B2416:E2416)</f>
        <v>0</v>
      </c>
      <c r="S19" s="100">
        <f t="shared" si="1"/>
        <v>0</v>
      </c>
      <c r="T19" s="99">
        <f>SUM(StockSumPRN!H2211:K2211)</f>
        <v>0</v>
      </c>
      <c r="U19" s="100">
        <f t="shared" si="2"/>
        <v>0</v>
      </c>
      <c r="V19" s="99">
        <f t="shared" si="7"/>
        <v>0</v>
      </c>
      <c r="W19" s="100">
        <f t="shared" si="3"/>
        <v>0</v>
      </c>
      <c r="X19" s="99">
        <f t="shared" si="8"/>
        <v>0</v>
      </c>
      <c r="Y19" s="1589">
        <f t="shared" si="4"/>
        <v>0</v>
      </c>
      <c r="Z19" s="99">
        <f t="shared" si="9"/>
        <v>0</v>
      </c>
      <c r="AA19" s="1589">
        <f t="shared" si="5"/>
        <v>0</v>
      </c>
      <c r="AD19" s="146" t="s">
        <v>922</v>
      </c>
      <c r="AE19" s="99">
        <f>SUM([2]StockSumPRN!B2416:B2416)</f>
        <v>0</v>
      </c>
      <c r="AF19" s="1469">
        <f t="shared" si="10"/>
        <v>0</v>
      </c>
      <c r="AG19" s="26">
        <f>SUM([2]StockSumPRN!D2416:E2416)</f>
        <v>0</v>
      </c>
      <c r="AH19" s="1055">
        <f t="shared" si="11"/>
        <v>0</v>
      </c>
    </row>
    <row r="20" spans="1:34" ht="15.75" x14ac:dyDescent="0.25">
      <c r="A20" s="7" t="s">
        <v>1334</v>
      </c>
      <c r="B20" s="20">
        <f>B13+B14+B15+B16+B17</f>
        <v>15283</v>
      </c>
      <c r="C20" s="20"/>
      <c r="D20" s="20">
        <f>D13+D14+D15+D16+D17</f>
        <v>805</v>
      </c>
      <c r="E20" s="20">
        <f>E13+E14+E15+E16+E17</f>
        <v>2254</v>
      </c>
      <c r="F20" s="20">
        <f>F13+F14+F15+F16+F17</f>
        <v>613</v>
      </c>
      <c r="G20" s="20">
        <f>G13+G14+G15+G16+G17</f>
        <v>11611</v>
      </c>
      <c r="H20" s="20" t="e">
        <f>H13+H14+H15+H16+H17</f>
        <v>#DIV/0!</v>
      </c>
      <c r="I20" s="20">
        <f>H17+H13</f>
        <v>5261</v>
      </c>
      <c r="J20" s="2" t="s">
        <v>1335</v>
      </c>
      <c r="M20" s="92" t="s">
        <v>910</v>
      </c>
      <c r="N20" s="99">
        <f>SUM(StockSumPRN!F2344:G2345,StockSumPRN!B2549:C2550)</f>
        <v>38</v>
      </c>
      <c r="O20" s="100">
        <f t="shared" si="6"/>
        <v>2.689313517338995E-2</v>
      </c>
      <c r="P20" s="99">
        <f>SUM(StockSumPRN!H2344:I2345)</f>
        <v>158</v>
      </c>
      <c r="Q20" s="100">
        <f t="shared" si="0"/>
        <v>2.6743398781313474E-2</v>
      </c>
      <c r="R20" s="99">
        <f>SUM(StockSumPRN!B2344:E2345)</f>
        <v>88</v>
      </c>
      <c r="S20" s="100">
        <f t="shared" si="1"/>
        <v>2.4403771491957847E-2</v>
      </c>
      <c r="T20" s="99">
        <f>SUM(StockSumPRN!H2139:K2140)</f>
        <v>218</v>
      </c>
      <c r="U20" s="100">
        <f t="shared" si="2"/>
        <v>2.369307683947397E-2</v>
      </c>
      <c r="V20" s="99">
        <f t="shared" si="7"/>
        <v>196</v>
      </c>
      <c r="W20" s="100">
        <f t="shared" si="3"/>
        <v>2.67722988662751E-2</v>
      </c>
      <c r="X20" s="99">
        <f t="shared" si="8"/>
        <v>306</v>
      </c>
      <c r="Y20" s="1589">
        <f t="shared" si="4"/>
        <v>2.3893183415319746E-2</v>
      </c>
      <c r="Z20" s="99">
        <f t="shared" si="9"/>
        <v>502</v>
      </c>
      <c r="AA20" s="1589">
        <f t="shared" si="5"/>
        <v>2.4940381558028617E-2</v>
      </c>
      <c r="AD20" s="146" t="s">
        <v>910</v>
      </c>
      <c r="AE20" s="99">
        <f>SUM([2]StockSumPRN!B2344:B2345)</f>
        <v>4</v>
      </c>
      <c r="AF20" s="1469">
        <f t="shared" si="10"/>
        <v>3.4129692832764505E-3</v>
      </c>
      <c r="AG20" s="26">
        <f>SUM([2]StockSumPRN!D2344:E2345)</f>
        <v>7</v>
      </c>
      <c r="AH20" s="1055">
        <f t="shared" si="11"/>
        <v>3.0973451327433628E-3</v>
      </c>
    </row>
    <row r="21" spans="1:34" ht="15.75" x14ac:dyDescent="0.25">
      <c r="A21" s="6" t="s">
        <v>125</v>
      </c>
      <c r="B21" s="6" t="s">
        <v>125</v>
      </c>
      <c r="C21" s="6" t="s">
        <v>125</v>
      </c>
      <c r="D21" s="6" t="s">
        <v>125</v>
      </c>
      <c r="E21" s="6" t="s">
        <v>125</v>
      </c>
      <c r="F21" s="6" t="s">
        <v>125</v>
      </c>
      <c r="G21" s="6" t="s">
        <v>125</v>
      </c>
      <c r="H21" s="6" t="s">
        <v>125</v>
      </c>
      <c r="I21" s="6" t="s">
        <v>125</v>
      </c>
      <c r="J21" s="6" t="s">
        <v>125</v>
      </c>
      <c r="M21" s="92" t="s">
        <v>1336</v>
      </c>
      <c r="N21" s="99">
        <f>SUM(StockSumPRN!F2351:G2352,StockSumPRN!B2556:C2557)</f>
        <v>4</v>
      </c>
      <c r="O21" s="100">
        <f t="shared" si="6"/>
        <v>2.8308563340410475E-3</v>
      </c>
      <c r="P21" s="99">
        <f>SUM(StockSumPRN!H2351:I2352)</f>
        <v>14</v>
      </c>
      <c r="Q21" s="100">
        <f t="shared" si="0"/>
        <v>2.3696682464454978E-3</v>
      </c>
      <c r="R21" s="99">
        <f>SUM(StockSumPRN!B2351:E2352)</f>
        <v>9</v>
      </c>
      <c r="S21" s="100">
        <f t="shared" si="1"/>
        <v>2.4958402662229617E-3</v>
      </c>
      <c r="T21" s="99">
        <f>SUM(StockSumPRN!H2146:K2147)</f>
        <v>23</v>
      </c>
      <c r="U21" s="100">
        <f t="shared" si="2"/>
        <v>2.4997282904032172E-3</v>
      </c>
      <c r="V21" s="99">
        <f t="shared" si="7"/>
        <v>18</v>
      </c>
      <c r="W21" s="100">
        <f t="shared" si="3"/>
        <v>2.458680508127305E-3</v>
      </c>
      <c r="X21" s="99">
        <f t="shared" si="8"/>
        <v>32</v>
      </c>
      <c r="Y21" s="1589">
        <f t="shared" si="4"/>
        <v>2.4986335597719997E-3</v>
      </c>
      <c r="Z21" s="99">
        <f t="shared" si="9"/>
        <v>50</v>
      </c>
      <c r="AA21" s="1589">
        <f t="shared" si="5"/>
        <v>2.4841017488076312E-3</v>
      </c>
      <c r="AD21" s="146" t="s">
        <v>1336</v>
      </c>
      <c r="AE21" s="99">
        <f>SUM([2]StockSumPRN!B2351:B2352)</f>
        <v>1</v>
      </c>
      <c r="AF21" s="1469">
        <f t="shared" si="10"/>
        <v>8.5324232081911264E-4</v>
      </c>
      <c r="AG21" s="26">
        <f>SUM([2]StockSumPRN!D2351:E2352)</f>
        <v>1</v>
      </c>
      <c r="AH21" s="1055">
        <f t="shared" si="11"/>
        <v>4.4247787610619468E-4</v>
      </c>
    </row>
    <row r="22" spans="1:34" ht="15.75" x14ac:dyDescent="0.25">
      <c r="A22" s="20" t="s">
        <v>1337</v>
      </c>
      <c r="M22" s="92" t="s">
        <v>1338</v>
      </c>
      <c r="N22" s="99">
        <v>0</v>
      </c>
      <c r="O22" s="100">
        <f t="shared" si="6"/>
        <v>0</v>
      </c>
      <c r="P22" s="99">
        <v>0</v>
      </c>
      <c r="Q22" s="100">
        <f t="shared" si="0"/>
        <v>0</v>
      </c>
      <c r="R22" s="99">
        <v>0</v>
      </c>
      <c r="S22" s="100">
        <f t="shared" si="1"/>
        <v>0</v>
      </c>
      <c r="T22" s="99">
        <v>0</v>
      </c>
      <c r="U22" s="100">
        <f t="shared" si="2"/>
        <v>0</v>
      </c>
      <c r="V22" s="99">
        <f t="shared" si="7"/>
        <v>0</v>
      </c>
      <c r="W22" s="100">
        <f t="shared" si="3"/>
        <v>0</v>
      </c>
      <c r="X22" s="99">
        <f t="shared" si="8"/>
        <v>0</v>
      </c>
      <c r="Y22" s="1589">
        <f t="shared" si="4"/>
        <v>0</v>
      </c>
      <c r="Z22" s="99">
        <f t="shared" si="9"/>
        <v>0</v>
      </c>
      <c r="AA22" s="1589">
        <f t="shared" si="5"/>
        <v>0</v>
      </c>
      <c r="AD22" s="146" t="s">
        <v>1338</v>
      </c>
      <c r="AE22" s="99">
        <v>0</v>
      </c>
      <c r="AF22" s="1469">
        <f t="shared" si="10"/>
        <v>0</v>
      </c>
      <c r="AG22" s="26">
        <v>0</v>
      </c>
      <c r="AH22" s="1055">
        <f t="shared" si="11"/>
        <v>0</v>
      </c>
    </row>
    <row r="23" spans="1:34" ht="15.75" x14ac:dyDescent="0.25">
      <c r="A23" s="2" t="s">
        <v>1339</v>
      </c>
      <c r="M23" s="92" t="s">
        <v>916</v>
      </c>
      <c r="N23" s="99">
        <f>SUM(StockSumPRN!F2360:G2361,StockSumPRN!F2365:G2366,StockSumPRN!F2373:G2374,StockSumPRN!F2375:G2376,StockSumPRN!B2565:C2566,StockSumPRN!B2570:C2571,StockSumPRN!B2578:C2581)</f>
        <v>0</v>
      </c>
      <c r="O23" s="100">
        <f t="shared" si="6"/>
        <v>0</v>
      </c>
      <c r="P23" s="99">
        <f>SUM(StockSumPRN!H2360:I2361,StockSumPRN!H2365:I2366,StockSumPRN!H2373:I2374,StockSumPRN!H2375:I2376)</f>
        <v>0</v>
      </c>
      <c r="Q23" s="100">
        <f t="shared" si="0"/>
        <v>0</v>
      </c>
      <c r="R23" s="99">
        <f>SUM(StockSumPRN!B2360:E2361,StockSumPRN!B2365:E2366,StockSumPRN!B2373:E2374,StockSumPRN!B2375:E2376)</f>
        <v>0</v>
      </c>
      <c r="S23" s="100">
        <f t="shared" si="1"/>
        <v>0</v>
      </c>
      <c r="T23" s="99">
        <f>SUM(StockSumPRN!H2155:K2156,StockSumPRN!H2160:K2161,StockSumPRN!H2168:K2169,StockSumPRN!H2170:K2171)</f>
        <v>0</v>
      </c>
      <c r="U23" s="100">
        <f t="shared" si="2"/>
        <v>0</v>
      </c>
      <c r="V23" s="99">
        <f t="shared" si="7"/>
        <v>0</v>
      </c>
      <c r="W23" s="100">
        <f t="shared" si="3"/>
        <v>0</v>
      </c>
      <c r="X23" s="99">
        <f t="shared" si="8"/>
        <v>0</v>
      </c>
      <c r="Y23" s="1589">
        <f t="shared" si="4"/>
        <v>0</v>
      </c>
      <c r="Z23" s="99">
        <f t="shared" si="9"/>
        <v>0</v>
      </c>
      <c r="AA23" s="1589">
        <f t="shared" si="5"/>
        <v>0</v>
      </c>
      <c r="AD23" s="146" t="s">
        <v>916</v>
      </c>
      <c r="AE23" s="99">
        <f>SUM([2]StockSumPRN!B2360:B2361,[2]StockSumPRN!B2365:B2366,[2]StockSumPRN!B2373:B2374,[2]StockSumPRN!B2375:B2376)</f>
        <v>0</v>
      </c>
      <c r="AF23" s="1469">
        <f t="shared" si="10"/>
        <v>0</v>
      </c>
      <c r="AG23" s="26">
        <f>SUM([2]StockSumPRN!D2360:E2361,[2]StockSumPRN!D2365:E2366,[2]StockSumPRN!D2373:E2374,[2]StockSumPRN!D2375:E2376)</f>
        <v>0</v>
      </c>
      <c r="AH23" s="1055">
        <f t="shared" si="11"/>
        <v>0</v>
      </c>
    </row>
    <row r="24" spans="1:34" ht="15.75" x14ac:dyDescent="0.25">
      <c r="A24" s="2" t="s">
        <v>1340</v>
      </c>
      <c r="M24" s="92" t="s">
        <v>919</v>
      </c>
      <c r="N24" s="99">
        <f>SUM(StockSumPRN!F2383:G2388,StockSumPRN!F2394:G2397,StockSumPRN!F2401:G2410,StockSumPRN!B2588:C2593,StockSumPRN!B2599:C2602,StockSumPRN!B2606:C2615)</f>
        <v>1</v>
      </c>
      <c r="O24" s="100">
        <f t="shared" si="6"/>
        <v>7.0771408351026188E-4</v>
      </c>
      <c r="P24" s="99">
        <f>SUM(StockSumPRN!H2383:I2388,StockSumPRN!H2394:I2397,StockSumPRN!H2401:I2410)</f>
        <v>3</v>
      </c>
      <c r="Q24" s="100">
        <f t="shared" si="0"/>
        <v>5.077860528097495E-4</v>
      </c>
      <c r="R24" s="99">
        <f>SUM(StockSumPRN!B2383:E2388,StockSumPRN!B2394:E2397,StockSumPRN!B2401:E2410)</f>
        <v>1</v>
      </c>
      <c r="S24" s="100">
        <f t="shared" si="1"/>
        <v>2.7731558513588466E-4</v>
      </c>
      <c r="T24" s="99">
        <f>SUM(StockSumPRN!H2178:K2183,StockSumPRN!H2189:K2192,StockSumPRN!H2196:K2205)</f>
        <v>4</v>
      </c>
      <c r="U24" s="100">
        <f t="shared" si="2"/>
        <v>4.3473535485273341E-4</v>
      </c>
      <c r="V24" s="99">
        <f t="shared" si="7"/>
        <v>4</v>
      </c>
      <c r="W24" s="100">
        <f t="shared" si="3"/>
        <v>5.4637344625051219E-4</v>
      </c>
      <c r="X24" s="99">
        <f t="shared" si="8"/>
        <v>5</v>
      </c>
      <c r="Y24" s="1589">
        <f t="shared" si="4"/>
        <v>3.9041149371437495E-4</v>
      </c>
      <c r="Z24" s="99">
        <f t="shared" si="9"/>
        <v>9</v>
      </c>
      <c r="AA24" s="1589">
        <f t="shared" si="5"/>
        <v>4.4713831478537363E-4</v>
      </c>
      <c r="AD24" s="146" t="s">
        <v>919</v>
      </c>
      <c r="AE24" s="99">
        <f>SUM([2]StockSumPRN!B2383:B2388,[2]StockSumPRN!B2394:B2397,[2]StockSumPRN!B2401:B2410)</f>
        <v>0</v>
      </c>
      <c r="AF24" s="1469">
        <f t="shared" si="10"/>
        <v>0</v>
      </c>
      <c r="AG24" s="26">
        <f>SUM([2]StockSumPRN!D2383:E2388,[2]StockSumPRN!D2394:E2397,[2]StockSumPRN!D2401:E2410)</f>
        <v>0</v>
      </c>
      <c r="AH24" s="1055">
        <f t="shared" si="11"/>
        <v>0</v>
      </c>
    </row>
    <row r="25" spans="1:34" ht="15.75" x14ac:dyDescent="0.25">
      <c r="A25" s="2" t="s">
        <v>1341</v>
      </c>
      <c r="M25" s="92" t="s">
        <v>1342</v>
      </c>
      <c r="N25" s="99">
        <f>SUM(StockSumPRN!F2417:G2424,StockSumPRN!B2622:C2629)</f>
        <v>3</v>
      </c>
      <c r="O25" s="100">
        <f t="shared" si="6"/>
        <v>2.1231422505307855E-3</v>
      </c>
      <c r="P25" s="99">
        <f>SUM(StockSumPRN!H2417:I2424)</f>
        <v>14</v>
      </c>
      <c r="Q25" s="100">
        <f t="shared" si="0"/>
        <v>2.3696682464454978E-3</v>
      </c>
      <c r="R25" s="99">
        <f>SUM(StockSumPRN!B2417:E2424)</f>
        <v>7</v>
      </c>
      <c r="S25" s="100">
        <f t="shared" si="1"/>
        <v>1.9412090959511925E-3</v>
      </c>
      <c r="T25" s="99">
        <f>SUM(StockSumPRN!H2212:K2219)</f>
        <v>19</v>
      </c>
      <c r="U25" s="100">
        <f t="shared" si="2"/>
        <v>2.0649929355504837E-3</v>
      </c>
      <c r="V25" s="99">
        <f t="shared" si="7"/>
        <v>17</v>
      </c>
      <c r="W25" s="100">
        <f t="shared" si="3"/>
        <v>2.3220871465646771E-3</v>
      </c>
      <c r="X25" s="99">
        <f t="shared" si="8"/>
        <v>26</v>
      </c>
      <c r="Y25" s="1589">
        <f t="shared" si="4"/>
        <v>2.0301397673147497E-3</v>
      </c>
      <c r="Z25" s="99">
        <f t="shared" si="9"/>
        <v>43</v>
      </c>
      <c r="AA25" s="1589">
        <f t="shared" si="5"/>
        <v>2.136327503974563E-3</v>
      </c>
      <c r="AD25" s="146" t="s">
        <v>1342</v>
      </c>
      <c r="AE25" s="99">
        <f>SUM([2]StockSumPRN!B2417:B2424)</f>
        <v>0</v>
      </c>
      <c r="AF25" s="1469">
        <f t="shared" si="10"/>
        <v>0</v>
      </c>
      <c r="AG25" s="26">
        <f>SUM([2]StockSumPRN!D2417:E2424)</f>
        <v>1</v>
      </c>
      <c r="AH25" s="1055">
        <f t="shared" si="11"/>
        <v>4.4247787610619468E-4</v>
      </c>
    </row>
    <row r="26" spans="1:34" ht="15.75" x14ac:dyDescent="0.25">
      <c r="A26" s="6" t="s">
        <v>125</v>
      </c>
      <c r="B26" s="6" t="s">
        <v>125</v>
      </c>
      <c r="C26" s="6" t="s">
        <v>125</v>
      </c>
      <c r="D26" s="6" t="s">
        <v>125</v>
      </c>
      <c r="E26" s="6" t="s">
        <v>125</v>
      </c>
      <c r="F26" s="6" t="s">
        <v>125</v>
      </c>
      <c r="G26" s="6" t="s">
        <v>125</v>
      </c>
      <c r="H26" s="6" t="s">
        <v>125</v>
      </c>
      <c r="I26" s="6" t="s">
        <v>125</v>
      </c>
      <c r="J26" s="6" t="s">
        <v>125</v>
      </c>
      <c r="M26" s="92" t="s">
        <v>1343</v>
      </c>
      <c r="N26" s="99">
        <f>SUM(StockSumPRN!F2358:G2359,StockSumPRN!F2353:G2354,StockSumPRN!B2558:C2559,StockSumPRN!B2563:C2564)</f>
        <v>0</v>
      </c>
      <c r="O26" s="100">
        <f t="shared" si="6"/>
        <v>0</v>
      </c>
      <c r="P26" s="99">
        <f>SUM(StockSumPRN!H2353:I2354,StockSumPRN!H2358:I2359)</f>
        <v>0</v>
      </c>
      <c r="Q26" s="100">
        <f t="shared" si="0"/>
        <v>0</v>
      </c>
      <c r="R26" s="99">
        <f>SUM(StockSumPRN!B2353:E2354,StockSumPRN!B2359:E2359)</f>
        <v>0</v>
      </c>
      <c r="S26" s="100">
        <f t="shared" si="1"/>
        <v>0</v>
      </c>
      <c r="T26" s="99">
        <f>SUM(StockSumPRN!H2148:K2149,StockSumPRN!H2153:K2153,StockSumPRN!H2154:K2154)</f>
        <v>613</v>
      </c>
      <c r="U26" s="100">
        <f t="shared" si="2"/>
        <v>6.6623193131181396E-2</v>
      </c>
      <c r="V26" s="99">
        <f t="shared" si="7"/>
        <v>0</v>
      </c>
      <c r="W26" s="100">
        <f t="shared" si="3"/>
        <v>0</v>
      </c>
      <c r="X26" s="99">
        <f t="shared" si="8"/>
        <v>613</v>
      </c>
      <c r="Y26" s="1589">
        <f t="shared" si="4"/>
        <v>4.7864449129382369E-2</v>
      </c>
      <c r="Z26" s="99">
        <f t="shared" si="9"/>
        <v>613</v>
      </c>
      <c r="AA26" s="1589">
        <f t="shared" si="5"/>
        <v>3.0455087440381556E-2</v>
      </c>
      <c r="AD26" s="146" t="s">
        <v>1343</v>
      </c>
      <c r="AE26" s="99">
        <f>SUM([2]StockSumPRN!B2353:B2354,[2]StockSumPRN!B2359:B2359)</f>
        <v>0</v>
      </c>
      <c r="AF26" s="1469">
        <f t="shared" si="10"/>
        <v>0</v>
      </c>
      <c r="AG26" s="26">
        <f>SUM([2]StockSumPRN!D2353:E2354,[2]StockSumPRN!D2359:E2359)</f>
        <v>0</v>
      </c>
      <c r="AH26" s="1055">
        <f t="shared" si="11"/>
        <v>0</v>
      </c>
    </row>
    <row r="27" spans="1:34" ht="15.75" x14ac:dyDescent="0.25">
      <c r="M27" s="92" t="s">
        <v>1344</v>
      </c>
      <c r="N27" s="99">
        <f>SUM(StockSumPRN!F2346:G2347,StockSumPRN!B2551:C2552)</f>
        <v>0</v>
      </c>
      <c r="O27" s="100">
        <f t="shared" si="6"/>
        <v>0</v>
      </c>
      <c r="P27" s="99">
        <f>SUM(StockSumPRN!H2346:I2347)</f>
        <v>0</v>
      </c>
      <c r="Q27" s="100">
        <f t="shared" si="0"/>
        <v>0</v>
      </c>
      <c r="R27" s="99">
        <f>SUM(StockSumPRN!B2346:E2347)</f>
        <v>0</v>
      </c>
      <c r="S27" s="100">
        <f t="shared" si="1"/>
        <v>0</v>
      </c>
      <c r="T27" s="99">
        <f>SUM(StockSumPRN!H2141:K2142)-((Input_Harvestnew!C265+Input_Harvestnew!E265)*SUM(StockSumPRN!H2142:K2142))</f>
        <v>3059</v>
      </c>
      <c r="U27" s="100">
        <f t="shared" si="2"/>
        <v>0.33246386262362787</v>
      </c>
      <c r="V27" s="99">
        <f t="shared" si="7"/>
        <v>0</v>
      </c>
      <c r="W27" s="100">
        <f t="shared" si="3"/>
        <v>0</v>
      </c>
      <c r="X27" s="99">
        <f t="shared" si="8"/>
        <v>3059</v>
      </c>
      <c r="Y27" s="1589">
        <f t="shared" si="4"/>
        <v>0.23885375185445459</v>
      </c>
      <c r="Z27" s="99">
        <f t="shared" si="9"/>
        <v>3059</v>
      </c>
      <c r="AA27" s="1589">
        <f t="shared" si="5"/>
        <v>0.15197734499205087</v>
      </c>
      <c r="AC27" s="2">
        <f>134/500</f>
        <v>0.26800000000000002</v>
      </c>
      <c r="AD27" s="146" t="s">
        <v>1344</v>
      </c>
      <c r="AE27" s="99">
        <f>SUM([2]StockSumPRN!B2346:B2347)</f>
        <v>0</v>
      </c>
      <c r="AF27" s="1469">
        <f t="shared" si="10"/>
        <v>0</v>
      </c>
      <c r="AG27" s="26">
        <f>SUM([2]StockSumPRN!D2346:E2347)</f>
        <v>0</v>
      </c>
      <c r="AH27" s="1055">
        <f t="shared" si="11"/>
        <v>0</v>
      </c>
    </row>
    <row r="28" spans="1:34" ht="15.75" x14ac:dyDescent="0.25">
      <c r="M28" s="92" t="s">
        <v>1345</v>
      </c>
      <c r="N28" s="99">
        <f>SUM(StockSumPRN!F2348:G2348,StockSumPRN!B2553:C2553,StockSumPRN!F2346:G2347)</f>
        <v>0</v>
      </c>
      <c r="O28" s="100">
        <f t="shared" si="6"/>
        <v>0</v>
      </c>
      <c r="P28" s="99">
        <f>SUM(StockSumPRN!H2346:I2347,StockSumPRN!H2348:I2348)</f>
        <v>0</v>
      </c>
      <c r="Q28" s="100">
        <f t="shared" si="0"/>
        <v>0</v>
      </c>
      <c r="R28" s="99">
        <f>SUM(StockSumPRN!B2348:E2348)</f>
        <v>0</v>
      </c>
      <c r="S28" s="100">
        <f t="shared" si="1"/>
        <v>0</v>
      </c>
      <c r="T28" s="99">
        <f>SUM(StockSumPRN!H2142:K2142)*(Input_Harvestnew!C265+Input_Harvestnew!E265)+SUM(StockSumPRN!H2143:K2143)</f>
        <v>0</v>
      </c>
      <c r="U28" s="100">
        <f t="shared" si="2"/>
        <v>0</v>
      </c>
      <c r="V28" s="99">
        <f t="shared" si="7"/>
        <v>0</v>
      </c>
      <c r="W28" s="100">
        <f t="shared" si="3"/>
        <v>0</v>
      </c>
      <c r="X28" s="99">
        <f t="shared" si="8"/>
        <v>0</v>
      </c>
      <c r="Y28" s="1589">
        <f t="shared" si="4"/>
        <v>0</v>
      </c>
      <c r="Z28" s="99">
        <f t="shared" si="9"/>
        <v>0</v>
      </c>
      <c r="AA28" s="1589">
        <f t="shared" si="5"/>
        <v>0</v>
      </c>
      <c r="AD28" s="146" t="s">
        <v>1345</v>
      </c>
      <c r="AE28" s="99">
        <f>SUM([2]StockSumPRN!B2348:B2348)</f>
        <v>0</v>
      </c>
      <c r="AF28" s="1469">
        <f t="shared" si="10"/>
        <v>0</v>
      </c>
      <c r="AG28" s="26">
        <f>SUM([2]StockSumPRN!D2348:E2348)</f>
        <v>0</v>
      </c>
      <c r="AH28" s="1055">
        <f t="shared" si="11"/>
        <v>0</v>
      </c>
    </row>
    <row r="29" spans="1:34" ht="15.75" x14ac:dyDescent="0.25">
      <c r="M29" s="92" t="s">
        <v>1346</v>
      </c>
      <c r="N29" s="99">
        <f>SUM(StockSumPRN!F2349:G2350,StockSumPRN!B2554:C2555)</f>
        <v>0</v>
      </c>
      <c r="O29" s="100">
        <f t="shared" si="6"/>
        <v>0</v>
      </c>
      <c r="P29" s="99">
        <f>SUM(StockSumPRN!H2348:I2349)</f>
        <v>0</v>
      </c>
      <c r="Q29" s="100">
        <f t="shared" si="0"/>
        <v>0</v>
      </c>
      <c r="R29" s="99">
        <f>SUM(StockSumPRN!B2349:E2350)</f>
        <v>0</v>
      </c>
      <c r="S29" s="100">
        <f t="shared" si="1"/>
        <v>0</v>
      </c>
      <c r="T29" s="99">
        <f>SUM(StockSumPRN!H2144:K2145)</f>
        <v>0</v>
      </c>
      <c r="U29" s="100">
        <f t="shared" si="2"/>
        <v>0</v>
      </c>
      <c r="V29" s="99">
        <f t="shared" si="7"/>
        <v>0</v>
      </c>
      <c r="W29" s="100">
        <f t="shared" si="3"/>
        <v>0</v>
      </c>
      <c r="X29" s="99">
        <f t="shared" si="8"/>
        <v>0</v>
      </c>
      <c r="Y29" s="1589">
        <f t="shared" si="4"/>
        <v>0</v>
      </c>
      <c r="Z29" s="99">
        <f t="shared" si="9"/>
        <v>0</v>
      </c>
      <c r="AA29" s="1589">
        <f t="shared" si="5"/>
        <v>0</v>
      </c>
      <c r="AD29" s="146" t="s">
        <v>1346</v>
      </c>
      <c r="AE29" s="99">
        <f>SUM([2]StockSumPRN!B2349:B2350)</f>
        <v>0</v>
      </c>
      <c r="AF29" s="1469">
        <f t="shared" si="10"/>
        <v>0</v>
      </c>
      <c r="AG29" s="26">
        <f>SUM([2]StockSumPRN!D2349:E2350)</f>
        <v>0</v>
      </c>
      <c r="AH29" s="1055">
        <f t="shared" si="11"/>
        <v>0</v>
      </c>
    </row>
    <row r="30" spans="1:34" x14ac:dyDescent="0.2">
      <c r="M30" s="26"/>
      <c r="N30" s="99"/>
      <c r="P30" s="99"/>
      <c r="R30" s="99"/>
      <c r="T30" s="99"/>
      <c r="V30" s="99"/>
      <c r="X30" s="99"/>
      <c r="Y30" s="1052"/>
      <c r="Z30" s="99"/>
      <c r="AA30" s="1052"/>
      <c r="AD30" s="1470"/>
      <c r="AE30" s="1471"/>
      <c r="AF30" s="1472"/>
      <c r="AG30" s="1471"/>
      <c r="AH30" s="1085"/>
    </row>
    <row r="31" spans="1:34" ht="16.5" thickBot="1" x14ac:dyDescent="0.3">
      <c r="M31" s="91" t="s">
        <v>1347</v>
      </c>
      <c r="N31" s="102">
        <f>SUM(N9:N29)</f>
        <v>155</v>
      </c>
      <c r="O31" s="103">
        <f>N31/N$7</f>
        <v>0.10969568294409059</v>
      </c>
      <c r="P31" s="102">
        <f>SUM(P9:P29)</f>
        <v>647</v>
      </c>
      <c r="Q31" s="103">
        <f>P31/P$7</f>
        <v>0.10951252538930265</v>
      </c>
      <c r="R31" s="102">
        <f>SUM(R9:R29)</f>
        <v>642</v>
      </c>
      <c r="S31" s="103">
        <f>R31/R$7</f>
        <v>0.17803660565723795</v>
      </c>
      <c r="T31" s="102">
        <f>SUM(T9:T29)</f>
        <v>5815</v>
      </c>
      <c r="U31" s="103">
        <f>T31/T$7</f>
        <v>0.63199652211716117</v>
      </c>
      <c r="V31" s="102">
        <f>SUM(N31,P31)</f>
        <v>802</v>
      </c>
      <c r="W31" s="103">
        <f>V31/V$7</f>
        <v>0.1095478759732277</v>
      </c>
      <c r="X31" s="102">
        <f>SUM(R31,T31)</f>
        <v>6457</v>
      </c>
      <c r="Y31" s="104">
        <f>X31/X$7</f>
        <v>0.50417740298274383</v>
      </c>
      <c r="Z31" s="102">
        <f>SUM(V31,X31)</f>
        <v>7259</v>
      </c>
      <c r="AA31" s="104">
        <f>Z31/Z$7</f>
        <v>0.36064189189189189</v>
      </c>
      <c r="AD31" s="94" t="s">
        <v>1347</v>
      </c>
      <c r="AE31" s="99">
        <f>SUM(AE9:AE29)</f>
        <v>105</v>
      </c>
      <c r="AF31" s="1469">
        <f>AE31/AE$7</f>
        <v>8.9590443686006827E-2</v>
      </c>
      <c r="AG31" s="99">
        <f>SUM(AG9:AG29)</f>
        <v>363</v>
      </c>
      <c r="AH31" s="1055">
        <f t="shared" si="11"/>
        <v>0.16061946902654867</v>
      </c>
    </row>
    <row r="32" spans="1:34" ht="15.75" x14ac:dyDescent="0.25">
      <c r="M32" s="26"/>
      <c r="N32" s="99"/>
      <c r="P32" s="99"/>
      <c r="R32" s="99"/>
      <c r="T32" s="99"/>
      <c r="V32" s="99"/>
      <c r="X32" s="99"/>
      <c r="Y32" s="1052"/>
      <c r="Z32" s="99"/>
      <c r="AA32" s="1052"/>
      <c r="AD32" s="146" t="s">
        <v>1348</v>
      </c>
      <c r="AE32" s="1473">
        <f>SUM(AE11:AE29)</f>
        <v>73</v>
      </c>
      <c r="AF32" s="1474">
        <f>SUM(AF11:AF29)</f>
        <v>6.2286689419795226E-2</v>
      </c>
      <c r="AG32" s="1473">
        <f>SUM(AG11:AG29)</f>
        <v>264</v>
      </c>
      <c r="AH32" s="1474">
        <f>SUM(AH11:AH29)</f>
        <v>0.1168141592920354</v>
      </c>
    </row>
    <row r="33" spans="13:34" ht="15.75" x14ac:dyDescent="0.25">
      <c r="M33" s="92" t="s">
        <v>1286</v>
      </c>
      <c r="N33" s="99">
        <f>TRunsPRN!C15-TRunsPRN!C102</f>
        <v>1258</v>
      </c>
      <c r="O33" s="100">
        <f>N33/N$7</f>
        <v>0.8903043170559094</v>
      </c>
      <c r="P33" s="99">
        <f>SUM(TRunsPRN!C102)</f>
        <v>5261</v>
      </c>
      <c r="Q33" s="100">
        <f>P33/P$7</f>
        <v>0.89048747461069733</v>
      </c>
      <c r="R33" s="358">
        <f>SUM(TRunsPRN!C100)</f>
        <v>2964</v>
      </c>
      <c r="S33" s="100">
        <f>R33/R$7</f>
        <v>0.82196339434276211</v>
      </c>
      <c r="T33" s="345">
        <f>SUM(TRunsPRN!C99)</f>
        <v>3386</v>
      </c>
      <c r="U33" s="100">
        <f>T33/T$7</f>
        <v>0.36800347788283883</v>
      </c>
      <c r="V33" s="99">
        <f>SUM(N33,P33)</f>
        <v>6519</v>
      </c>
      <c r="W33" s="100">
        <f>V33/V$7</f>
        <v>0.89045212402677232</v>
      </c>
      <c r="X33" s="99">
        <f>SUM(R33,T33)</f>
        <v>6350</v>
      </c>
      <c r="Y33" s="1589">
        <f>X33/X$7</f>
        <v>0.49582259701725617</v>
      </c>
      <c r="Z33" s="99">
        <f>SUM(V33,X33)</f>
        <v>12869</v>
      </c>
      <c r="AA33" s="1589">
        <f>Z33/Z$7</f>
        <v>0.63935810810810811</v>
      </c>
      <c r="AD33" s="146" t="s">
        <v>1286</v>
      </c>
      <c r="AE33" s="99">
        <f>R39</f>
        <v>1067</v>
      </c>
      <c r="AF33" s="1469">
        <f t="shared" si="10"/>
        <v>0.91040955631399323</v>
      </c>
      <c r="AG33" s="99">
        <f>R40</f>
        <v>1897</v>
      </c>
      <c r="AH33" s="1055">
        <f t="shared" si="11"/>
        <v>0.83938053097345133</v>
      </c>
    </row>
    <row r="34" spans="13:34" ht="16.5" thickBot="1" x14ac:dyDescent="0.3">
      <c r="M34" s="91" t="s">
        <v>1349</v>
      </c>
      <c r="N34" s="102">
        <f>N7*(1-'2'!T12)</f>
        <v>1413</v>
      </c>
      <c r="O34" s="103">
        <f>N34/N$7</f>
        <v>1</v>
      </c>
      <c r="P34" s="102">
        <f>P7*(1-'2'!T12)</f>
        <v>5908</v>
      </c>
      <c r="Q34" s="103">
        <f>P34/P$7</f>
        <v>1</v>
      </c>
      <c r="R34" s="344">
        <f>( 800/TRunsPRN!D200)*(TRunsPRN!D199+TRunsPRN!D200)</f>
        <v>1249.9211607770919</v>
      </c>
      <c r="S34" s="1590"/>
      <c r="T34" s="344">
        <f>(650/TRunsPRN!D198)*(TRunsPRN!D197+TRunsPRN!D198)</f>
        <v>702.06215553129232</v>
      </c>
      <c r="U34" s="1590"/>
      <c r="V34" s="102">
        <f>SUM(N34,P34)</f>
        <v>7321</v>
      </c>
      <c r="W34" s="103">
        <f>V34/V$7</f>
        <v>1</v>
      </c>
      <c r="X34" s="102">
        <f>SUM(R34,T34)</f>
        <v>1951.9833163083842</v>
      </c>
      <c r="Y34" s="105"/>
      <c r="Z34" s="102">
        <f>SUM(V34,X34)</f>
        <v>9272.983316308384</v>
      </c>
      <c r="AA34" s="105"/>
      <c r="AD34" s="94" t="s">
        <v>1349</v>
      </c>
      <c r="AE34" s="1475"/>
      <c r="AF34" s="873"/>
      <c r="AG34" s="1475"/>
      <c r="AH34" s="873"/>
    </row>
    <row r="35" spans="13:34" ht="15.75" thickBot="1" x14ac:dyDescent="0.25">
      <c r="M35" s="505" t="s">
        <v>953</v>
      </c>
      <c r="R35" s="344">
        <f>( 800/TRunsPRN!C200)*(TRunsPRN!C199+TRunsPRN!C200)</f>
        <v>1249.9736425935689</v>
      </c>
      <c r="S35" s="2114"/>
      <c r="T35" s="344">
        <f>(650/TRunsPRN!C198)*(TRunsPRN!C197+TRunsPRN!C198)</f>
        <v>708.14028314028315</v>
      </c>
    </row>
    <row r="36" spans="13:34" x14ac:dyDescent="0.2">
      <c r="M36" s="169" t="s">
        <v>1350</v>
      </c>
      <c r="O36" s="5"/>
    </row>
    <row r="38" spans="13:34" x14ac:dyDescent="0.2">
      <c r="N38" s="2">
        <v>1462</v>
      </c>
      <c r="O38" s="2">
        <v>1462</v>
      </c>
      <c r="P38" s="2">
        <v>1091</v>
      </c>
      <c r="R38" s="1519" t="s">
        <v>1351</v>
      </c>
      <c r="S38" s="1519"/>
      <c r="T38" s="1519"/>
    </row>
    <row r="39" spans="13:34" x14ac:dyDescent="0.2">
      <c r="N39" s="2">
        <v>1715.9486329743165</v>
      </c>
      <c r="O39" s="2">
        <v>1193.7033968516985</v>
      </c>
      <c r="P39" s="2">
        <v>1193.0174563591022</v>
      </c>
      <c r="Q39" s="1488">
        <f>R39/R41</f>
        <v>0.35998650472334681</v>
      </c>
      <c r="R39" s="755">
        <f>TRunsPRN!C199</f>
        <v>1067</v>
      </c>
      <c r="S39" s="1224" t="s">
        <v>1263</v>
      </c>
      <c r="T39" s="755">
        <f>TRunsPRN!C197</f>
        <v>278</v>
      </c>
    </row>
    <row r="40" spans="13:34" x14ac:dyDescent="0.2">
      <c r="N40" s="2">
        <v>1715.6122448979593</v>
      </c>
      <c r="O40" s="2">
        <v>1193.4693877551022</v>
      </c>
      <c r="P40" s="2">
        <v>1193.9808481532148</v>
      </c>
      <c r="Q40" s="1488">
        <f>R40/R41</f>
        <v>0.64001349527665319</v>
      </c>
      <c r="R40" s="755">
        <f>TRunsPRN!C200</f>
        <v>1897</v>
      </c>
      <c r="S40" s="1224" t="s">
        <v>1352</v>
      </c>
      <c r="T40" s="755">
        <f>TRunsPRN!C198</f>
        <v>3108</v>
      </c>
    </row>
    <row r="41" spans="13:34" x14ac:dyDescent="0.2">
      <c r="R41" s="986">
        <f>SUM(R39:R40)</f>
        <v>2964</v>
      </c>
      <c r="S41" s="1224" t="s">
        <v>350</v>
      </c>
      <c r="T41" s="987">
        <f>SUM(T39:T40)</f>
        <v>3386</v>
      </c>
    </row>
    <row r="43" spans="13:34" ht="15.75" x14ac:dyDescent="0.25">
      <c r="M43" s="2150" t="s">
        <v>1353</v>
      </c>
      <c r="N43" s="2151" t="s">
        <v>232</v>
      </c>
      <c r="O43" s="2132"/>
      <c r="P43" s="2132"/>
      <c r="Q43" s="2132"/>
      <c r="R43" s="2151" t="s">
        <v>231</v>
      </c>
      <c r="S43" s="2132"/>
      <c r="T43" s="2024"/>
    </row>
    <row r="44" spans="13:34" x14ac:dyDescent="0.2">
      <c r="M44" s="265"/>
      <c r="N44" s="7" t="s">
        <v>1354</v>
      </c>
      <c r="O44" s="2">
        <v>795</v>
      </c>
      <c r="P44" s="2">
        <f>O44/O46</f>
        <v>0.5426621160409556</v>
      </c>
      <c r="R44" s="7" t="s">
        <v>1354</v>
      </c>
      <c r="S44" s="2">
        <f>96+6307</f>
        <v>6403</v>
      </c>
      <c r="T44" s="215">
        <f>S44/S46</f>
        <v>0.82480999613551464</v>
      </c>
    </row>
    <row r="45" spans="13:34" x14ac:dyDescent="0.2">
      <c r="M45" s="265"/>
      <c r="N45" s="7" t="s">
        <v>1355</v>
      </c>
      <c r="O45" s="2">
        <v>670</v>
      </c>
      <c r="P45" s="2">
        <f>O45/O46</f>
        <v>0.45733788395904434</v>
      </c>
      <c r="R45" s="7" t="s">
        <v>1355</v>
      </c>
      <c r="S45" s="2">
        <f>1360</f>
        <v>1360</v>
      </c>
      <c r="T45" s="215">
        <f>S45/S46</f>
        <v>0.17519000386448538</v>
      </c>
    </row>
    <row r="46" spans="13:34" x14ac:dyDescent="0.2">
      <c r="M46" s="1334"/>
      <c r="N46" s="1518" t="s">
        <v>236</v>
      </c>
      <c r="O46" s="1519">
        <f>O44+O45</f>
        <v>1465</v>
      </c>
      <c r="P46" s="1519"/>
      <c r="Q46" s="1519"/>
      <c r="R46" s="1518" t="s">
        <v>236</v>
      </c>
      <c r="S46" s="1519">
        <f>S44+S45</f>
        <v>7763</v>
      </c>
      <c r="T46" s="1591"/>
    </row>
    <row r="150" spans="7:12" x14ac:dyDescent="0.2">
      <c r="G150" s="2">
        <f>SPS!D50*C154</f>
        <v>0</v>
      </c>
    </row>
    <row r="151" spans="7:12" x14ac:dyDescent="0.2">
      <c r="G151" s="2">
        <f>SPS!D50*C155</f>
        <v>0</v>
      </c>
    </row>
    <row r="152" spans="7:12" x14ac:dyDescent="0.2">
      <c r="G152" s="2" t="e">
        <f>SPS!C47/G150</f>
        <v>#DIV/0!</v>
      </c>
    </row>
    <row r="153" spans="7:12" x14ac:dyDescent="0.2">
      <c r="G153" s="2" t="e">
        <f>SPS!C47/G151</f>
        <v>#DIV/0!</v>
      </c>
    </row>
    <row r="155" spans="7:12" x14ac:dyDescent="0.2">
      <c r="L155" s="2">
        <f>IF(SPS!BB39="&gt;&gt;&gt;recalc",0,SPS!BB39)</f>
        <v>0</v>
      </c>
    </row>
    <row r="156" spans="7:12" x14ac:dyDescent="0.2">
      <c r="L156" s="20">
        <f>SPS!BB41</f>
        <v>42871.093106447603</v>
      </c>
    </row>
    <row r="157" spans="7:12" x14ac:dyDescent="0.2">
      <c r="L157" s="2">
        <f>SPS!C47</f>
        <v>0</v>
      </c>
    </row>
    <row r="166" spans="13:13" x14ac:dyDescent="0.2">
      <c r="M166" s="2">
        <f>SUM(SPS!Z36:AC36)*(C156/(1-C156))</f>
        <v>0</v>
      </c>
    </row>
  </sheetData>
  <mergeCells count="19">
    <mergeCell ref="X7:Y7"/>
    <mergeCell ref="R5:S5"/>
    <mergeCell ref="Z7:AA7"/>
    <mergeCell ref="N7:O7"/>
    <mergeCell ref="P7:Q7"/>
    <mergeCell ref="R7:S7"/>
    <mergeCell ref="T7:U7"/>
    <mergeCell ref="V7:W7"/>
    <mergeCell ref="M3:AA3"/>
    <mergeCell ref="N5:Q5"/>
    <mergeCell ref="T5:U5"/>
    <mergeCell ref="V5:Y5"/>
    <mergeCell ref="Z5:AA6"/>
    <mergeCell ref="N6:O6"/>
    <mergeCell ref="P6:Q6"/>
    <mergeCell ref="R6:S6"/>
    <mergeCell ref="T6:U6"/>
    <mergeCell ref="V6:W6"/>
    <mergeCell ref="X6:Y6"/>
  </mergeCells>
  <phoneticPr fontId="16" type="noConversion"/>
  <pageMargins left="0.5" right="0.66700000000000004" top="0.75" bottom="0.66700000000000004" header="0.5" footer="0.5"/>
  <pageSetup scale="98" orientation="landscape"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9">
    <pageSetUpPr fitToPage="1"/>
  </sheetPr>
  <dimension ref="A2:AZ132"/>
  <sheetViews>
    <sheetView zoomScale="90" zoomScaleNormal="90" workbookViewId="0">
      <selection activeCell="D12" sqref="D12"/>
    </sheetView>
  </sheetViews>
  <sheetFormatPr defaultRowHeight="12.75" x14ac:dyDescent="0.2"/>
  <cols>
    <col min="1" max="1" width="34.85546875" customWidth="1"/>
    <col min="2" max="6" width="13.28515625" customWidth="1"/>
    <col min="8" max="8" width="16.85546875" customWidth="1"/>
    <col min="9" max="9" width="11.7109375" customWidth="1"/>
    <col min="10" max="10" width="12.140625" customWidth="1"/>
    <col min="11" max="11" width="10.28515625" customWidth="1"/>
    <col min="13" max="13" width="12.5703125" bestFit="1" customWidth="1"/>
  </cols>
  <sheetData>
    <row r="2" spans="1:12" x14ac:dyDescent="0.2">
      <c r="A2" s="1337" t="s">
        <v>1356</v>
      </c>
      <c r="B2" s="1337"/>
      <c r="C2" s="1337"/>
      <c r="D2" s="1337"/>
      <c r="E2" s="1337"/>
      <c r="F2" s="1337"/>
    </row>
    <row r="3" spans="1:12" ht="13.5" thickBot="1" x14ac:dyDescent="0.25"/>
    <row r="4" spans="1:12" ht="18.75" thickBot="1" x14ac:dyDescent="0.3">
      <c r="A4" s="300" t="s">
        <v>1357</v>
      </c>
      <c r="B4" s="300" t="str">
        <f>Input_Harvestnew!B3</f>
        <v>bc-Coho2229</v>
      </c>
      <c r="C4" s="301"/>
      <c r="D4" s="301"/>
      <c r="E4" s="301"/>
      <c r="F4" s="302"/>
    </row>
    <row r="5" spans="1:12" ht="18.75" thickBot="1" x14ac:dyDescent="0.3">
      <c r="A5" s="303"/>
      <c r="B5" s="304" t="str">
        <f>Input_Harvestnew!B4</f>
        <v>Final PFMC April - Adopted+NOF</v>
      </c>
      <c r="C5" s="305"/>
      <c r="D5" s="305"/>
      <c r="E5" s="305"/>
      <c r="F5" s="306"/>
      <c r="H5" s="1292" t="s">
        <v>1358</v>
      </c>
      <c r="I5" s="1989"/>
      <c r="J5" s="1990" t="s">
        <v>1359</v>
      </c>
    </row>
    <row r="6" spans="1:12" ht="19.5" thickTop="1" thickBot="1" x14ac:dyDescent="0.3">
      <c r="A6" s="307" t="s">
        <v>126</v>
      </c>
      <c r="B6" s="308" t="s">
        <v>1360</v>
      </c>
      <c r="C6" s="309"/>
      <c r="D6" s="309" t="s">
        <v>1361</v>
      </c>
      <c r="E6" s="309"/>
      <c r="F6" s="310" t="s">
        <v>1362</v>
      </c>
      <c r="H6" s="1991" t="s">
        <v>1363</v>
      </c>
      <c r="I6" s="2027"/>
      <c r="J6" s="1904" t="s">
        <v>1364</v>
      </c>
      <c r="L6" s="180" t="s">
        <v>1365</v>
      </c>
    </row>
    <row r="7" spans="1:12" ht="15.75" x14ac:dyDescent="0.25">
      <c r="A7" s="311" t="s">
        <v>1366</v>
      </c>
      <c r="B7" s="1286">
        <f>'ColR&amp;OCN&amp;RogKlam'!AC11</f>
        <v>0</v>
      </c>
      <c r="C7" s="1285"/>
      <c r="D7" s="1285">
        <f>'ColR&amp;OCN&amp;RogKlam'!U11</f>
        <v>0</v>
      </c>
      <c r="E7" s="1285"/>
      <c r="F7" s="1288">
        <f>'ColR&amp;OCN&amp;RogKlam'!X11</f>
        <v>0</v>
      </c>
      <c r="H7" s="1293" t="s">
        <v>1367</v>
      </c>
      <c r="I7" s="2018"/>
      <c r="J7" s="1294"/>
    </row>
    <row r="8" spans="1:12" ht="15.75" x14ac:dyDescent="0.25">
      <c r="A8" s="311" t="s">
        <v>1368</v>
      </c>
      <c r="B8" s="1286">
        <f>'ColR&amp;OCN&amp;RogKlam'!AC12</f>
        <v>1.4828917688934581E-3</v>
      </c>
      <c r="C8" s="1285"/>
      <c r="D8" s="1285">
        <f>'ColR&amp;OCN&amp;RogKlam'!U12</f>
        <v>2.9092536645406735E-3</v>
      </c>
      <c r="E8" s="1285"/>
      <c r="F8" s="1288">
        <f>'ColR&amp;OCN&amp;RogKlam'!X12</f>
        <v>8.3171610756861659E-4</v>
      </c>
      <c r="H8" s="1295"/>
      <c r="I8" s="2019"/>
      <c r="J8" s="1296"/>
      <c r="K8" s="180"/>
      <c r="L8" s="180"/>
    </row>
    <row r="9" spans="1:12" ht="15.75" x14ac:dyDescent="0.25">
      <c r="A9" s="311" t="s">
        <v>1369</v>
      </c>
      <c r="B9" s="1286">
        <f>SUM('ColR&amp;OCN&amp;RogKlam'!AC13)</f>
        <v>1.9262305451605744E-3</v>
      </c>
      <c r="C9" s="1285"/>
      <c r="D9" s="1285">
        <f>SUM('ColR&amp;OCN&amp;RogKlam'!U13)</f>
        <v>2.7302226697997089E-4</v>
      </c>
      <c r="E9" s="1285"/>
      <c r="F9" s="1288">
        <f>SUM('ColR&amp;OCN&amp;RogKlam'!X13)</f>
        <v>0</v>
      </c>
      <c r="H9" s="1297" t="s">
        <v>1370</v>
      </c>
      <c r="I9" s="2018"/>
      <c r="J9" s="1298" t="str">
        <f>IF(LEN(ROUND(Thompson!C13*100,1))&lt;3,TEXT(ROUND(Thompson!C13*100,1),"#.0"),ROUND(Thompson!C13*100,1))&amp;"%("&amp;IF(LEN(ROUND(Thompson!E13*100,1))&lt;3,TEXT(ROUND(Thompson!E13*100,1),"#.0"),ROUND(Thompson!E13*100,1))&amp;"%)"</f>
        <v>9.5%(4.8%)</v>
      </c>
      <c r="K9" s="180"/>
      <c r="L9" s="1488">
        <v>0.1</v>
      </c>
    </row>
    <row r="10" spans="1:12" ht="15.75" x14ac:dyDescent="0.25">
      <c r="A10" s="311"/>
      <c r="B10" s="1286"/>
      <c r="C10" s="1285"/>
      <c r="D10" s="1285"/>
      <c r="E10" s="1285"/>
      <c r="F10" s="1288"/>
      <c r="H10" s="1297"/>
      <c r="I10" s="2018"/>
      <c r="J10" s="1299"/>
      <c r="K10" s="180"/>
      <c r="L10" s="180"/>
    </row>
    <row r="11" spans="1:12" ht="15.75" x14ac:dyDescent="0.25">
      <c r="A11" s="311" t="s">
        <v>1371</v>
      </c>
      <c r="B11" s="1286"/>
      <c r="C11" s="1285"/>
      <c r="D11" s="1285"/>
      <c r="E11" s="1285"/>
      <c r="F11" s="1288"/>
      <c r="H11" s="1297" t="s">
        <v>466</v>
      </c>
      <c r="I11" s="2018"/>
      <c r="J11" s="1300" t="str">
        <f>IF(LEN(ROUND(ERSK*100,1))&lt;3,TEXT(ROUND(ERSK*100,1),"#.0"),ROUND(ERSK*100,1))&amp;"%("&amp;IF(LEN(ROUND('4'!C39*100,1))&lt;3,TEXT(ROUND('4'!C39*100,1),"#.0"),ROUND('4'!C39*100,1))&amp;"%)"</f>
        <v>43.2%(4.5%)</v>
      </c>
      <c r="K11" s="180"/>
      <c r="L11" s="1488">
        <v>0.6</v>
      </c>
    </row>
    <row r="12" spans="1:12" ht="15.75" x14ac:dyDescent="0.25">
      <c r="A12" s="311" t="s">
        <v>1372</v>
      </c>
      <c r="B12" s="1286">
        <f>'ColR&amp;OCN&amp;RogKlam'!AC15</f>
        <v>2.1402561612895273E-2</v>
      </c>
      <c r="C12" s="1285"/>
      <c r="D12" s="1285">
        <f>'ColR&amp;OCN&amp;RogKlam'!U15</f>
        <v>4.9233523553765248E-3</v>
      </c>
      <c r="E12" s="1285"/>
      <c r="F12" s="1288">
        <f>'ColR&amp;OCN&amp;RogKlam'!X15</f>
        <v>0</v>
      </c>
      <c r="H12" s="1297" t="s">
        <v>1373</v>
      </c>
      <c r="I12" s="2018"/>
      <c r="J12" s="1300" t="str">
        <f>IF(LEN(ROUND(ERST*100,1))&lt;3,TEXT(ROUND(ERST*100,1),"#.0"),ROUND(ERST*100,1))&amp;"%("&amp;IF(LEN(ROUND('4'!D39*100,1))&lt;3,TEXT(ROUND('4'!D39*100,1),"#.0"),ROUND('4'!D39*100,1))&amp;"%)"</f>
        <v>35.9%(3.2%)</v>
      </c>
      <c r="K12" s="180"/>
      <c r="L12" s="1488">
        <v>0.5</v>
      </c>
    </row>
    <row r="13" spans="1:12" ht="15.75" x14ac:dyDescent="0.25">
      <c r="A13" s="311" t="s">
        <v>1374</v>
      </c>
      <c r="B13" s="1286">
        <f>'ColR&amp;OCN&amp;RogKlam'!AC18</f>
        <v>5.0250157158276257E-2</v>
      </c>
      <c r="C13" s="1285"/>
      <c r="D13" s="1285">
        <f>'ColR&amp;OCN&amp;RogKlam'!U18</f>
        <v>8.8709857894147919E-3</v>
      </c>
      <c r="E13" s="1285"/>
      <c r="F13" s="1288">
        <f>'ColR&amp;OCN&amp;RogKlam'!X18</f>
        <v>5.5447740504574439E-4</v>
      </c>
      <c r="H13" s="1297" t="s">
        <v>446</v>
      </c>
      <c r="I13" s="2018"/>
      <c r="J13" s="1300" t="str">
        <f>IF(LEN(ROUND(ERSN*100,1))&lt;3,TEXT(ROUND(ERSN*100,1),"#.0"),ROUND(ERSN*100,1))&amp;"%("&amp;IF(LEN(ROUND('4'!E39*100,1))&lt;3,TEXT(ROUND('4'!E39*100,1),"#.0"),ROUND('4'!E39*100,1))&amp;"%)"</f>
        <v>33.5%(3.2%)</v>
      </c>
      <c r="K13" s="180"/>
      <c r="L13" s="1488">
        <v>0.4</v>
      </c>
    </row>
    <row r="14" spans="1:12" ht="15.75" x14ac:dyDescent="0.25">
      <c r="A14" s="311" t="s">
        <v>1375</v>
      </c>
      <c r="B14" s="1286">
        <f>'ColR&amp;OCN&amp;RogKlam'!AC16</f>
        <v>1.5792032961514869E-2</v>
      </c>
      <c r="C14" s="1285"/>
      <c r="D14" s="1285">
        <f>'ColR&amp;OCN&amp;RogKlam'!U16</f>
        <v>3.2315094550744096E-3</v>
      </c>
      <c r="E14" s="1285"/>
      <c r="F14" s="1288">
        <f>'ColR&amp;OCN&amp;RogKlam'!X16</f>
        <v>0</v>
      </c>
      <c r="H14" s="1297" t="s">
        <v>557</v>
      </c>
      <c r="I14" s="2018"/>
      <c r="J14" s="1300" t="str">
        <f>IF(LEN(ROUND(ERHC*100,1))&lt;3,TEXT(ROUND(ERHC*100,1),"#.0"),ROUND(ERHC*100,1))&amp;"%("&amp;IF(LEN(ROUND('4'!F39*100,1))&lt;3,TEXT(ROUND('4'!F39*100,1),"#.0"),ROUND('4'!F39*100,1))&amp;"%)"</f>
        <v>44.1%(4.9%)</v>
      </c>
      <c r="K14" s="180"/>
      <c r="L14" s="1488">
        <v>0.45</v>
      </c>
    </row>
    <row r="15" spans="1:12" ht="15.75" x14ac:dyDescent="0.25">
      <c r="A15" s="311"/>
      <c r="B15" s="1286"/>
      <c r="C15" s="1285"/>
      <c r="D15" s="1285"/>
      <c r="E15" s="1285"/>
      <c r="F15" s="1288"/>
      <c r="H15" s="1297" t="s">
        <v>1376</v>
      </c>
      <c r="I15" s="2018"/>
      <c r="J15" s="1300" t="str">
        <f>IF(LEN(ROUND(ERJDF*100,1))&lt;3,TEXT(ROUND(ERJDF*100,1),"#.0"),ROUND(ERJDF*100,1))&amp;"%("&amp;IF(LEN(ROUND('4'!G39*100,1))&lt;3,TEXT(ROUND('4'!G39*100,1),"#.0"),ROUND('4'!G39*100,1))&amp;"%)"</f>
        <v>10.9%(3.9%)</v>
      </c>
      <c r="K15" s="180"/>
      <c r="L15" s="1488">
        <v>0.2</v>
      </c>
    </row>
    <row r="16" spans="1:12" ht="15.75" x14ac:dyDescent="0.25">
      <c r="A16" s="311" t="s">
        <v>1377</v>
      </c>
      <c r="B16" s="1286"/>
      <c r="C16" s="1285"/>
      <c r="D16" s="1285"/>
      <c r="E16" s="1285"/>
      <c r="F16" s="1288"/>
      <c r="H16" s="1297"/>
      <c r="I16" s="2018"/>
      <c r="J16" s="1300"/>
      <c r="K16" s="180"/>
      <c r="L16" s="180"/>
    </row>
    <row r="17" spans="1:12" ht="15.75" x14ac:dyDescent="0.25">
      <c r="A17" s="311" t="s">
        <v>1378</v>
      </c>
      <c r="B17" s="1287"/>
      <c r="C17" s="1285"/>
      <c r="D17" s="1285"/>
      <c r="E17" s="1285"/>
      <c r="F17" s="1288"/>
      <c r="H17" s="1297"/>
      <c r="I17" s="2018"/>
      <c r="J17" s="1300"/>
      <c r="K17" s="180"/>
      <c r="L17" s="180"/>
    </row>
    <row r="18" spans="1:12" ht="15.75" x14ac:dyDescent="0.25">
      <c r="A18" s="311" t="s">
        <v>1379</v>
      </c>
      <c r="B18" s="1286">
        <f>SUM('ColR&amp;OCN&amp;RogKlam'!AC30:AC32)</f>
        <v>3.7485057910585151E-2</v>
      </c>
      <c r="C18" s="1285"/>
      <c r="D18" s="1285">
        <f>SUM('ColR&amp;OCN&amp;RogKlam'!U30:U32)</f>
        <v>7.6432807429786281E-2</v>
      </c>
      <c r="E18" s="1285"/>
      <c r="F18" s="1288">
        <f>SUM('ColR&amp;OCN&amp;RogKlam'!X30:X32)</f>
        <v>5.2675353479345721E-3</v>
      </c>
      <c r="H18" s="1297" t="s">
        <v>1380</v>
      </c>
      <c r="I18" s="2018"/>
      <c r="J18" s="1298">
        <f>IF(LEN(ROUND('4'!N11/1000,1))&lt;3,TEXT(ROUND('4'!N11/1000,1),"#.0"),ROUND('4'!N11/1000,1))</f>
        <v>11.6</v>
      </c>
      <c r="K18" s="180"/>
      <c r="L18" s="1106">
        <v>6300</v>
      </c>
    </row>
    <row r="19" spans="1:12" ht="15.75" x14ac:dyDescent="0.25">
      <c r="A19" s="311" t="s">
        <v>1381</v>
      </c>
      <c r="B19" s="1286">
        <f>'ColR&amp;OCN&amp;RogKlam'!AC33</f>
        <v>4.5862632027632722E-4</v>
      </c>
      <c r="C19" s="1285"/>
      <c r="D19" s="1285">
        <f>'ColR&amp;OCN&amp;RogKlam'!U33</f>
        <v>1.7097459997762112E-3</v>
      </c>
      <c r="E19" s="1285"/>
      <c r="F19" s="1288">
        <f>'ColR&amp;OCN&amp;RogKlam'!X33</f>
        <v>3.3268644302744664E-3</v>
      </c>
      <c r="H19" s="61"/>
      <c r="J19" s="1992">
        <f>'2'!Z101</f>
        <v>0.37378993048131781</v>
      </c>
      <c r="L19" s="951">
        <f>MIN(('2'!Z100-L18)/'2'!Z100,0.59)</f>
        <v>0.49692959577348317</v>
      </c>
    </row>
    <row r="20" spans="1:12" ht="15.75" x14ac:dyDescent="0.25">
      <c r="A20" s="311" t="s">
        <v>1382</v>
      </c>
      <c r="B20" s="1286">
        <f>'ColR&amp;OCN&amp;RogKlam'!AC34</f>
        <v>3.2103842419342908E-4</v>
      </c>
      <c r="C20" s="1285"/>
      <c r="D20" s="1285">
        <f>'ColR&amp;OCN&amp;RogKlam'!U34</f>
        <v>1.7052702249076871E-3</v>
      </c>
      <c r="E20" s="1285"/>
      <c r="F20" s="1288">
        <f>'ColR&amp;OCN&amp;RogKlam'!X34</f>
        <v>7.2082062655946773E-3</v>
      </c>
      <c r="H20" s="1297" t="s">
        <v>474</v>
      </c>
      <c r="I20" s="2018"/>
      <c r="J20" s="1298">
        <f>IF(LEN(ROUND('4'!O11/1000,1))&lt;3,TEXT(ROUND('4'!O11/1000,1),"#.0"),ROUND('4'!O11/1000,1))</f>
        <v>3.9</v>
      </c>
      <c r="K20" s="180"/>
      <c r="L20" s="1106">
        <v>2000</v>
      </c>
    </row>
    <row r="21" spans="1:12" ht="15.75" x14ac:dyDescent="0.25">
      <c r="A21" s="311" t="s">
        <v>1383</v>
      </c>
      <c r="B21" s="1286">
        <f>'ColR&amp;OCN&amp;RogKlam'!AC35</f>
        <v>2.4460070414737456E-4</v>
      </c>
      <c r="C21" s="1285"/>
      <c r="D21" s="1285">
        <f>'ColR&amp;OCN&amp;RogKlam'!U35</f>
        <v>1.8977285442542239E-3</v>
      </c>
      <c r="E21" s="1285"/>
      <c r="F21" s="1288">
        <f>'ColR&amp;OCN&amp;RogKlam'!X35</f>
        <v>4.4358192403659551E-3</v>
      </c>
      <c r="H21" s="61"/>
      <c r="J21" s="1992">
        <f>'2'!AA101</f>
        <v>0.53582649082002431</v>
      </c>
      <c r="L21" s="951">
        <f>MIN(('2'!AA100-L20)/'2'!AA100,0.65)</f>
        <v>0.57556303487304994</v>
      </c>
    </row>
    <row r="22" spans="1:12" ht="15.75" x14ac:dyDescent="0.25">
      <c r="A22" s="311" t="s">
        <v>1384</v>
      </c>
      <c r="B22" s="1286">
        <f>'ColR&amp;OCN&amp;RogKlam'!AC36</f>
        <v>9.1725264055265453E-5</v>
      </c>
      <c r="C22" s="1285"/>
      <c r="D22" s="1285">
        <f>'ColR&amp;OCN&amp;RogKlam'!U36</f>
        <v>1.0160008951549738E-3</v>
      </c>
      <c r="E22" s="1285"/>
      <c r="F22" s="1288">
        <f>'ColR&amp;OCN&amp;RogKlam'!X36</f>
        <v>2.4951483227058499E-3</v>
      </c>
      <c r="H22" s="1297" t="s">
        <v>1385</v>
      </c>
      <c r="I22" s="2018"/>
      <c r="J22" s="1298">
        <f>IF(LEN(ROUND('4'!P11/1000,1))&lt;3,TEXT(ROUND('4'!P11/1000,1),"#.0"),ROUND('4'!P11/1000,1))</f>
        <v>15.2</v>
      </c>
      <c r="K22" s="180"/>
      <c r="L22" s="1106">
        <v>5800</v>
      </c>
    </row>
    <row r="23" spans="1:12" ht="15.75" x14ac:dyDescent="0.25">
      <c r="A23" s="311" t="s">
        <v>1386</v>
      </c>
      <c r="B23" s="1287"/>
      <c r="C23" s="1285"/>
      <c r="D23" s="1285"/>
      <c r="E23" s="1285"/>
      <c r="F23" s="1288"/>
      <c r="H23" s="61"/>
      <c r="J23" s="1992">
        <f>'2'!AE101</f>
        <v>0.36295729007718663</v>
      </c>
      <c r="L23" s="951">
        <f>MIN(('2'!AE100-L22)/'2'!AE100,0.65)</f>
        <v>0.65</v>
      </c>
    </row>
    <row r="24" spans="1:12" ht="15.75" x14ac:dyDescent="0.25">
      <c r="A24" s="311" t="s">
        <v>1379</v>
      </c>
      <c r="B24" s="1286">
        <f>SUM('ColR&amp;OCN&amp;RogKlam'!AC22:AC24)</f>
        <v>8.3622865730383668E-3</v>
      </c>
      <c r="C24" s="1285"/>
      <c r="D24" s="1285">
        <f>SUM('ColR&amp;OCN&amp;RogKlam'!U22:U24)</f>
        <v>8.7143336690164476E-3</v>
      </c>
      <c r="E24" s="1285"/>
      <c r="F24" s="1288">
        <f>SUM('ColR&amp;OCN&amp;RogKlam'!X22:X24)</f>
        <v>1.1089548100914888E-3</v>
      </c>
      <c r="H24" s="1297" t="s">
        <v>1387</v>
      </c>
      <c r="I24" s="2018"/>
      <c r="J24" s="1298">
        <f>IF(LEN(ROUND('2'!AO107/1000,1))&lt;3,TEXT(ROUND('2'!AO107/1000,1),"#.0"),ROUND('2'!AO107/1000,1))</f>
        <v>118.9</v>
      </c>
      <c r="K24" s="180"/>
      <c r="L24" s="1106">
        <v>35400</v>
      </c>
    </row>
    <row r="25" spans="1:12" ht="15.75" x14ac:dyDescent="0.25">
      <c r="A25" s="311" t="s">
        <v>1381</v>
      </c>
      <c r="B25" s="1286">
        <f>'ColR&amp;OCN&amp;RogKlam'!AC25</f>
        <v>4.5862632027632727E-5</v>
      </c>
      <c r="C25" s="1285"/>
      <c r="D25" s="1285">
        <f>'ColR&amp;OCN&amp;RogKlam'!U25</f>
        <v>1.8350676960948863E-4</v>
      </c>
      <c r="E25" s="1285"/>
      <c r="F25" s="1288">
        <f>'ColR&amp;OCN&amp;RogKlam'!X25</f>
        <v>5.5447740504574439E-4</v>
      </c>
      <c r="H25" s="61"/>
      <c r="J25" s="1992">
        <f>'2'!AO103</f>
        <v>0.49602205402806177</v>
      </c>
      <c r="L25" s="951">
        <f>MIN('2'!AO101,0.65)</f>
        <v>0.65</v>
      </c>
    </row>
    <row r="26" spans="1:12" ht="15.75" x14ac:dyDescent="0.25">
      <c r="A26" s="311" t="s">
        <v>1382</v>
      </c>
      <c r="B26" s="1286">
        <f>'ColR&amp;OCN&amp;RogKlam'!AC26</f>
        <v>0</v>
      </c>
      <c r="C26" s="1285"/>
      <c r="D26" s="1285">
        <f>'ColR&amp;OCN&amp;RogKlam'!U26</f>
        <v>0</v>
      </c>
      <c r="E26" s="1285"/>
      <c r="F26" s="1288">
        <f>'ColR&amp;OCN&amp;RogKlam'!X26</f>
        <v>0</v>
      </c>
      <c r="H26" s="1297" t="s">
        <v>1388</v>
      </c>
      <c r="I26" s="2018"/>
      <c r="J26" s="1298">
        <f>IF(LEN(ROUND('7'!G42/1000,1))&lt;3,TEXT(ROUND('7'!G42/1000,1),"#.0"),ROUND('7'!G42/1000,1))</f>
        <v>43.3</v>
      </c>
      <c r="K26" s="180"/>
      <c r="L26" s="1106">
        <v>17200</v>
      </c>
    </row>
    <row r="27" spans="1:12" ht="15.75" x14ac:dyDescent="0.25">
      <c r="A27" s="311" t="s">
        <v>1383</v>
      </c>
      <c r="B27" s="1286">
        <f>'ColR&amp;OCN&amp;RogKlam'!AC27</f>
        <v>4.5862632027632727E-5</v>
      </c>
      <c r="C27" s="1285"/>
      <c r="D27" s="1285">
        <f>'ColR&amp;OCN&amp;RogKlam'!U27</f>
        <v>1.0160008951549738E-3</v>
      </c>
      <c r="E27" s="1285"/>
      <c r="F27" s="1288">
        <f>'ColR&amp;OCN&amp;RogKlam'!X27</f>
        <v>2.4951483227058499E-3</v>
      </c>
      <c r="H27" s="61"/>
      <c r="J27" s="1993"/>
    </row>
    <row r="28" spans="1:12" ht="15.75" x14ac:dyDescent="0.25">
      <c r="A28" s="311" t="s">
        <v>1384</v>
      </c>
      <c r="B28" s="1286">
        <f>'ColR&amp;OCN&amp;RogKlam'!AC28</f>
        <v>1.5287544009210909E-4</v>
      </c>
      <c r="C28" s="1285"/>
      <c r="D28" s="1285">
        <f>'ColR&amp;OCN&amp;RogKlam'!U28</f>
        <v>1.3516840102942823E-3</v>
      </c>
      <c r="E28" s="1285"/>
      <c r="F28" s="1288">
        <f>'ColR&amp;OCN&amp;RogKlam'!X28</f>
        <v>8.3171610756861659E-4</v>
      </c>
      <c r="H28" s="1297" t="s">
        <v>1389</v>
      </c>
      <c r="I28" s="2018"/>
      <c r="J28" s="1301">
        <f>B33</f>
        <v>0.17529288859465661</v>
      </c>
      <c r="K28" s="180"/>
      <c r="L28" s="1488">
        <v>0.23</v>
      </c>
    </row>
    <row r="29" spans="1:12" ht="15.75" x14ac:dyDescent="0.25">
      <c r="A29" s="311"/>
      <c r="B29" s="1286"/>
      <c r="C29" s="1285"/>
      <c r="D29" s="1285"/>
      <c r="E29" s="1285"/>
      <c r="F29" s="1288"/>
      <c r="H29" s="1297" t="s">
        <v>1390</v>
      </c>
      <c r="I29" s="2018"/>
      <c r="J29" s="1299"/>
      <c r="K29" s="180"/>
      <c r="L29" s="180"/>
    </row>
    <row r="30" spans="1:12" ht="16.5" thickBot="1" x14ac:dyDescent="0.3">
      <c r="A30" s="311" t="s">
        <v>145</v>
      </c>
      <c r="B30" s="1286">
        <f>'ColR&amp;OCN&amp;RogKlam'!AC20</f>
        <v>1.950690615575312E-2</v>
      </c>
      <c r="C30" s="1285"/>
      <c r="D30" s="1285">
        <f>'ColR&amp;OCN&amp;RogKlam'!U20</f>
        <v>1.2755958375293723E-3</v>
      </c>
      <c r="E30" s="1285"/>
      <c r="F30" s="576">
        <f>'ColR&amp;OCN&amp;RogKlam'!X20</f>
        <v>0</v>
      </c>
      <c r="H30" s="1297" t="s">
        <v>1391</v>
      </c>
      <c r="I30" s="2018"/>
      <c r="J30" s="1302">
        <f>AttachC!L66</f>
        <v>0.63262626770260877</v>
      </c>
      <c r="K30" s="180"/>
      <c r="L30" s="1488">
        <v>0.5</v>
      </c>
    </row>
    <row r="31" spans="1:12" ht="15.75" x14ac:dyDescent="0.25">
      <c r="A31" s="1328" t="s">
        <v>731</v>
      </c>
      <c r="B31" s="1329">
        <f>'ColR&amp;OCN&amp;RogKlam'!P15-PFMCTables!B30</f>
        <v>1.7724172491719797E-2</v>
      </c>
      <c r="C31" s="1592"/>
      <c r="D31" s="1592">
        <f>'ColR&amp;OCN&amp;RogKlam'!U38</f>
        <v>3.4038267875125879E-2</v>
      </c>
      <c r="E31" s="1592"/>
      <c r="F31" s="1291">
        <f>'ColR&amp;OCN&amp;RogKlam'!X38</f>
        <v>2.4951483227058499E-3</v>
      </c>
      <c r="H31" s="1297" t="s">
        <v>1392</v>
      </c>
      <c r="I31" s="2018"/>
      <c r="J31" s="1298">
        <f>IF(LEN(ROUND('ColR&amp;OCN&amp;RogKlam'!D11/1000,1))&lt;3,TEXT(ROUND('ColR&amp;OCN&amp;RogKlam'!D11/1000,1),"#.0"),ROUND('ColR&amp;OCN&amp;RogKlam'!D11/1000,1))</f>
        <v>379.2</v>
      </c>
      <c r="K31" s="180"/>
      <c r="L31" s="1106">
        <v>77200</v>
      </c>
    </row>
    <row r="32" spans="1:12" ht="16.5" customHeight="1" thickBot="1" x14ac:dyDescent="0.3">
      <c r="A32" s="311"/>
      <c r="B32" s="1330"/>
      <c r="C32" s="1285"/>
      <c r="D32" s="1285"/>
      <c r="E32" s="1285"/>
      <c r="F32" s="1288"/>
      <c r="H32" s="1297"/>
      <c r="I32" s="2018"/>
      <c r="J32" s="1298"/>
      <c r="K32" s="180"/>
      <c r="L32" s="180"/>
    </row>
    <row r="33" spans="1:15" ht="16.350000000000001" customHeight="1" thickBot="1" x14ac:dyDescent="0.3">
      <c r="A33" s="311" t="s">
        <v>1393</v>
      </c>
      <c r="B33" s="1290">
        <f>SUM(B7:B31)</f>
        <v>0.17529288859465661</v>
      </c>
      <c r="C33" s="1326"/>
      <c r="D33" s="1290">
        <f>SUM(D7:D31)</f>
        <v>0.14954906568199616</v>
      </c>
      <c r="E33" s="1326"/>
      <c r="F33" s="1290">
        <f>SUM(F7:F30)</f>
        <v>2.9110063764901585E-2</v>
      </c>
      <c r="H33" s="1297" t="s">
        <v>1394</v>
      </c>
      <c r="I33" s="2018"/>
      <c r="J33" s="1298">
        <f>IF(LEN(ROUND('ColR&amp;OCN&amp;RogKlam'!G11/1000,1))&lt;3,TEXT(ROUND('ColR&amp;OCN&amp;RogKlam'!G11/1000,1),"#.0"),ROUND('ColR&amp;OCN&amp;RogKlam'!G11/1000,1))</f>
        <v>241.1</v>
      </c>
      <c r="K33" s="180"/>
      <c r="L33" s="1106">
        <v>9700</v>
      </c>
    </row>
    <row r="34" spans="1:15" ht="13.5" customHeight="1" x14ac:dyDescent="0.2">
      <c r="A34" s="61"/>
      <c r="B34" s="2507" t="s">
        <v>1395</v>
      </c>
      <c r="D34" t="s">
        <v>1396</v>
      </c>
      <c r="F34" s="1327" t="s">
        <v>1397</v>
      </c>
      <c r="H34" s="1297"/>
      <c r="I34" s="2018"/>
      <c r="J34" s="1298"/>
      <c r="K34" s="180"/>
      <c r="L34" s="180"/>
    </row>
    <row r="35" spans="1:15" ht="13.5" thickBot="1" x14ac:dyDescent="0.25">
      <c r="A35" s="61"/>
      <c r="B35" s="2508"/>
      <c r="F35" s="1327"/>
      <c r="H35" s="2020" t="s">
        <v>1398</v>
      </c>
      <c r="I35" s="2021"/>
      <c r="J35" s="2022">
        <f>D33</f>
        <v>0.14954906568199616</v>
      </c>
      <c r="K35" s="180"/>
      <c r="L35" s="1488">
        <v>0.15</v>
      </c>
    </row>
    <row r="36" spans="1:15" ht="48.75" customHeight="1" thickBot="1" x14ac:dyDescent="0.25">
      <c r="A36" s="62"/>
      <c r="B36" s="2509"/>
      <c r="C36" s="63"/>
      <c r="D36" s="63"/>
      <c r="E36" s="63"/>
      <c r="F36" s="1289"/>
      <c r="H36" s="2503" t="s">
        <v>1399</v>
      </c>
      <c r="I36" s="2504"/>
      <c r="J36" s="1303">
        <f>F33</f>
        <v>2.9110063764901585E-2</v>
      </c>
      <c r="K36" s="180"/>
      <c r="L36" s="1488">
        <v>0.13</v>
      </c>
    </row>
    <row r="37" spans="1:15" ht="13.5" thickBot="1" x14ac:dyDescent="0.25">
      <c r="H37" s="2505"/>
      <c r="I37" s="2506"/>
      <c r="J37" s="1304"/>
      <c r="K37" s="180"/>
      <c r="L37" s="180"/>
    </row>
    <row r="38" spans="1:15" ht="13.5" thickBot="1" x14ac:dyDescent="0.25"/>
    <row r="39" spans="1:15" ht="16.5" thickBot="1" x14ac:dyDescent="0.3">
      <c r="A39" s="1392" t="s">
        <v>1400</v>
      </c>
      <c r="B39" s="1393"/>
      <c r="C39" s="1393"/>
      <c r="D39" s="1393"/>
      <c r="E39" s="1394"/>
      <c r="G39" s="1392" t="s">
        <v>1401</v>
      </c>
      <c r="H39" s="1393"/>
      <c r="I39" s="1393"/>
      <c r="J39" s="1393"/>
      <c r="K39" s="1393"/>
      <c r="L39" s="1393"/>
      <c r="M39" s="1393"/>
      <c r="N39" s="1393"/>
      <c r="O39" s="1394"/>
    </row>
    <row r="40" spans="1:15" x14ac:dyDescent="0.2">
      <c r="A40" s="48"/>
      <c r="B40" s="2515" t="s">
        <v>1402</v>
      </c>
      <c r="C40" s="2515"/>
      <c r="D40" s="2516" t="s">
        <v>1403</v>
      </c>
      <c r="E40" s="81"/>
      <c r="G40" s="1410"/>
      <c r="H40" s="2518" t="s">
        <v>1404</v>
      </c>
      <c r="I40" s="2518"/>
      <c r="J40" s="2518"/>
      <c r="K40" s="2518"/>
      <c r="L40" s="2518"/>
      <c r="M40" s="2518"/>
      <c r="N40" s="2518"/>
      <c r="O40" s="2519"/>
    </row>
    <row r="41" spans="1:15" ht="25.5" x14ac:dyDescent="0.2">
      <c r="A41" s="78" t="s">
        <v>1405</v>
      </c>
      <c r="B41" s="1593" t="s">
        <v>1406</v>
      </c>
      <c r="C41" s="1593" t="s">
        <v>1407</v>
      </c>
      <c r="D41" s="2517"/>
      <c r="E41" s="1395" t="s">
        <v>622</v>
      </c>
      <c r="G41" s="50"/>
      <c r="H41" s="2517" t="s">
        <v>1360</v>
      </c>
      <c r="I41" s="2517"/>
      <c r="J41" s="2121"/>
      <c r="K41" s="2517" t="s">
        <v>1361</v>
      </c>
      <c r="L41" s="2517"/>
      <c r="M41" s="2121"/>
      <c r="N41" s="2517" t="s">
        <v>1362</v>
      </c>
      <c r="O41" s="2520"/>
    </row>
    <row r="42" spans="1:15" x14ac:dyDescent="0.2">
      <c r="A42" s="1396" t="s">
        <v>1408</v>
      </c>
      <c r="B42" s="1397"/>
      <c r="C42" s="1397"/>
      <c r="D42" s="1397"/>
      <c r="E42" s="1327"/>
      <c r="G42" s="78" t="s">
        <v>126</v>
      </c>
      <c r="H42" s="2117" t="s">
        <v>1409</v>
      </c>
      <c r="I42" s="2117" t="s">
        <v>1410</v>
      </c>
      <c r="J42" s="2117"/>
      <c r="K42" s="2117" t="s">
        <v>1409</v>
      </c>
      <c r="L42" s="2117" t="s">
        <v>1410</v>
      </c>
      <c r="M42" s="2117"/>
      <c r="N42" s="2117" t="s">
        <v>1409</v>
      </c>
      <c r="O42" s="2118" t="s">
        <v>1410</v>
      </c>
    </row>
    <row r="43" spans="1:15" x14ac:dyDescent="0.2">
      <c r="A43" s="1398" t="s">
        <v>466</v>
      </c>
      <c r="B43" s="1399">
        <f>('4'!C21-(SUM('2'!E15:E27)))/1000</f>
        <v>75.784000000000006</v>
      </c>
      <c r="C43" s="1400">
        <f>'2'!E11</f>
        <v>0.43236088201016915</v>
      </c>
      <c r="D43" s="1401" t="s">
        <v>1411</v>
      </c>
      <c r="E43" s="1402">
        <f>'2'!E12</f>
        <v>0.6</v>
      </c>
      <c r="G43" s="50" t="s">
        <v>1412</v>
      </c>
      <c r="H43" s="1411">
        <f>'ColR&amp;OCN&amp;RogKlam'!AB11</f>
        <v>0</v>
      </c>
      <c r="I43" s="1412">
        <f>'ColR&amp;OCN&amp;RogKlam'!AC11</f>
        <v>0</v>
      </c>
      <c r="J43" s="1413"/>
      <c r="K43" s="1414">
        <f>'ColR&amp;OCN&amp;RogKlam'!T11</f>
        <v>0</v>
      </c>
      <c r="L43" s="1412">
        <f>'ColR&amp;OCN&amp;RogKlam'!U11</f>
        <v>0</v>
      </c>
      <c r="M43" s="1413"/>
      <c r="N43" s="1414">
        <f>'ColR&amp;OCN&amp;RogKlam'!W11</f>
        <v>0</v>
      </c>
      <c r="O43" s="1415">
        <f>'ColR&amp;OCN&amp;RogKlam'!X11</f>
        <v>0</v>
      </c>
    </row>
    <row r="44" spans="1:15" x14ac:dyDescent="0.2">
      <c r="A44" s="1398" t="s">
        <v>1373</v>
      </c>
      <c r="B44" s="1399">
        <f>('4'!E21-(SUM('2'!I15:I27)))/1000</f>
        <v>63.402000000000001</v>
      </c>
      <c r="C44" s="1400">
        <f>'2'!I11</f>
        <v>0.359294371774871</v>
      </c>
      <c r="D44" s="1401" t="s">
        <v>1411</v>
      </c>
      <c r="E44" s="1402">
        <f>'2'!I12</f>
        <v>0.5</v>
      </c>
      <c r="G44" s="892"/>
      <c r="H44" s="1414"/>
      <c r="I44" s="1412"/>
      <c r="J44" s="1413"/>
      <c r="K44" s="1414"/>
      <c r="L44" s="1412"/>
      <c r="M44" s="1413"/>
      <c r="N44" s="1414"/>
      <c r="O44" s="1415"/>
    </row>
    <row r="45" spans="1:15" x14ac:dyDescent="0.2">
      <c r="A45" s="1398" t="s">
        <v>446</v>
      </c>
      <c r="B45" s="1399">
        <f>('4'!E21-(SUM('2'!J15:J27)))/1000</f>
        <v>61.7</v>
      </c>
      <c r="C45" s="1400">
        <f>'2'!J11</f>
        <v>0.33508592344438243</v>
      </c>
      <c r="D45" s="1401" t="s">
        <v>1411</v>
      </c>
      <c r="E45" s="1402">
        <f>'2'!J12</f>
        <v>0.4</v>
      </c>
      <c r="G45" s="50" t="s">
        <v>1413</v>
      </c>
      <c r="H45" s="1411">
        <f>'ColR&amp;OCN&amp;RogKlam'!AB12</f>
        <v>97</v>
      </c>
      <c r="I45" s="1412">
        <f>'ColR&amp;OCN&amp;RogKlam'!AC12</f>
        <v>1.4828917688934581E-3</v>
      </c>
      <c r="J45" s="1413"/>
      <c r="K45" s="1414">
        <f>'ColR&amp;OCN&amp;RogKlam'!T12</f>
        <v>650</v>
      </c>
      <c r="L45" s="1412">
        <f>'ColR&amp;OCN&amp;RogKlam'!U12</f>
        <v>2.9092536645406735E-3</v>
      </c>
      <c r="M45" s="1413"/>
      <c r="N45" s="1414">
        <f>'ColR&amp;OCN&amp;RogKlam'!W12</f>
        <v>3</v>
      </c>
      <c r="O45" s="1415">
        <f>'ColR&amp;OCN&amp;RogKlam'!X12</f>
        <v>8.3171610756861659E-4</v>
      </c>
    </row>
    <row r="46" spans="1:15" x14ac:dyDescent="0.2">
      <c r="A46" s="1398" t="s">
        <v>557</v>
      </c>
      <c r="B46" s="1399">
        <f>('4'!F21-(SUM('2'!P15:P27)))/1000</f>
        <v>18.893999999999998</v>
      </c>
      <c r="C46" s="1400">
        <f>'2'!P11</f>
        <v>0.44080405971325809</v>
      </c>
      <c r="D46" s="1401" t="s">
        <v>1411</v>
      </c>
      <c r="E46" s="1402">
        <f>'2'!P12</f>
        <v>0.45</v>
      </c>
      <c r="G46" s="892"/>
      <c r="H46" s="1412"/>
      <c r="I46" s="1412"/>
      <c r="J46" s="1413"/>
      <c r="K46" s="1414"/>
      <c r="L46" s="1412"/>
      <c r="M46" s="1413"/>
      <c r="N46" s="1414"/>
      <c r="O46" s="1415"/>
    </row>
    <row r="47" spans="1:15" x14ac:dyDescent="0.2">
      <c r="A47" s="1398" t="s">
        <v>1376</v>
      </c>
      <c r="B47" s="1399">
        <f>('4'!G21-(SUM('2'!T15:T27)))/1000</f>
        <v>6.8849999999999998</v>
      </c>
      <c r="C47" s="1400">
        <f>'2'!T11</f>
        <v>0.10942622950819672</v>
      </c>
      <c r="D47" s="1401" t="s">
        <v>1411</v>
      </c>
      <c r="E47" s="1403"/>
      <c r="G47" s="50" t="s">
        <v>1414</v>
      </c>
      <c r="H47" s="1411">
        <f>SUM('ColR&amp;OCN&amp;RogKlam'!AB13)</f>
        <v>126</v>
      </c>
      <c r="I47" s="1412">
        <f>SUM('ColR&amp;OCN&amp;RogKlam'!AC13)</f>
        <v>1.9262305451605744E-3</v>
      </c>
      <c r="J47" s="1413"/>
      <c r="K47" s="1414">
        <f>'ColR&amp;OCN&amp;RogKlam'!T13</f>
        <v>61</v>
      </c>
      <c r="L47" s="1412">
        <f>'ColR&amp;OCN&amp;RogKlam'!U13</f>
        <v>2.7302226697997089E-4</v>
      </c>
      <c r="M47" s="1413"/>
      <c r="N47" s="1414">
        <f>'ColR&amp;OCN&amp;RogKlam'!W13</f>
        <v>0</v>
      </c>
      <c r="O47" s="1415">
        <f>'ColR&amp;OCN&amp;RogKlam'!X13</f>
        <v>0</v>
      </c>
    </row>
    <row r="48" spans="1:15" x14ac:dyDescent="0.2">
      <c r="A48" s="1398" t="s">
        <v>1380</v>
      </c>
      <c r="B48" s="1399">
        <f>'2'!Z9/1000</f>
        <v>11.636098053614196</v>
      </c>
      <c r="C48" s="1400">
        <f>'2'!Z101</f>
        <v>0.37378993048131781</v>
      </c>
      <c r="D48" s="1401" t="s">
        <v>1415</v>
      </c>
      <c r="E48" s="1404"/>
      <c r="G48" s="892"/>
      <c r="H48" s="1414"/>
      <c r="I48" s="1412"/>
      <c r="J48" s="1413"/>
      <c r="K48" s="1414"/>
      <c r="L48" s="1412"/>
      <c r="M48" s="1413"/>
      <c r="N48" s="1414"/>
      <c r="O48" s="1415"/>
    </row>
    <row r="49" spans="1:15" x14ac:dyDescent="0.2">
      <c r="A49" s="1398" t="s">
        <v>474</v>
      </c>
      <c r="B49" s="1399">
        <f>'2'!AA9/1000</f>
        <v>3.9221249191898151</v>
      </c>
      <c r="C49" s="1400">
        <f>'2'!AA101</f>
        <v>0.53582649082002431</v>
      </c>
      <c r="D49" s="1401" t="s">
        <v>1416</v>
      </c>
      <c r="E49" s="1404"/>
      <c r="G49" s="50" t="s">
        <v>1417</v>
      </c>
      <c r="H49" s="1414"/>
      <c r="I49" s="1412"/>
      <c r="J49" s="1413"/>
      <c r="K49" s="1414"/>
      <c r="L49" s="1412"/>
      <c r="M49" s="1413"/>
      <c r="N49" s="1414"/>
      <c r="O49" s="1415"/>
    </row>
    <row r="50" spans="1:15" x14ac:dyDescent="0.2">
      <c r="A50" s="1398" t="s">
        <v>448</v>
      </c>
      <c r="B50" s="1399">
        <f>'2'!AE9/1000</f>
        <v>15.21351862402221</v>
      </c>
      <c r="C50" s="1400">
        <f>'2'!AE101</f>
        <v>0.36295729007718663</v>
      </c>
      <c r="D50" s="1401" t="s">
        <v>1418</v>
      </c>
      <c r="E50" s="1404"/>
      <c r="G50" s="892" t="s">
        <v>1419</v>
      </c>
      <c r="H50" s="1414">
        <f>'ColR&amp;OCN&amp;RogKlam'!AB18</f>
        <v>3287</v>
      </c>
      <c r="I50" s="1416">
        <f>'ColR&amp;OCN&amp;RogKlam'!AC18</f>
        <v>5.0250157158276257E-2</v>
      </c>
      <c r="J50" s="1413"/>
      <c r="K50" s="1414">
        <f>'ColR&amp;OCN&amp;RogKlam'!T18</f>
        <v>1982</v>
      </c>
      <c r="L50" s="1412">
        <f>'ColR&amp;OCN&amp;RogKlam'!U18</f>
        <v>8.8709857894147919E-3</v>
      </c>
      <c r="M50" s="1413"/>
      <c r="N50" s="1414">
        <f>'ColR&amp;OCN&amp;RogKlam'!W18</f>
        <v>2</v>
      </c>
      <c r="O50" s="1415">
        <f>'ColR&amp;OCN&amp;RogKlam'!X18</f>
        <v>5.5447740504574439E-4</v>
      </c>
    </row>
    <row r="51" spans="1:15" x14ac:dyDescent="0.2">
      <c r="A51" s="1398" t="s">
        <v>1420</v>
      </c>
      <c r="B51" s="1399">
        <f>'2'!AO107/1000</f>
        <v>118.88640510423568</v>
      </c>
      <c r="C51" s="1400">
        <f>'2'!AO103</f>
        <v>0.49602205402806177</v>
      </c>
      <c r="D51" s="1401" t="s">
        <v>1421</v>
      </c>
      <c r="E51" s="1404"/>
      <c r="G51" s="892" t="s">
        <v>1422</v>
      </c>
      <c r="H51" s="1414">
        <f>'ColR&amp;OCN&amp;RogKlam'!AB15</f>
        <v>1400</v>
      </c>
      <c r="I51" s="1416">
        <f>'ColR&amp;OCN&amp;RogKlam'!AC15</f>
        <v>2.1402561612895273E-2</v>
      </c>
      <c r="J51" s="1413"/>
      <c r="K51" s="1414">
        <f>'ColR&amp;OCN&amp;RogKlam'!T15</f>
        <v>1100</v>
      </c>
      <c r="L51" s="1412">
        <f>'ColR&amp;OCN&amp;RogKlam'!U15</f>
        <v>4.9233523553765248E-3</v>
      </c>
      <c r="M51" s="1413"/>
      <c r="N51" s="1414">
        <f>'ColR&amp;OCN&amp;RogKlam'!W15</f>
        <v>0</v>
      </c>
      <c r="O51" s="1415">
        <f>'ColR&amp;OCN&amp;RogKlam'!X15</f>
        <v>0</v>
      </c>
    </row>
    <row r="52" spans="1:15" x14ac:dyDescent="0.2">
      <c r="A52" s="1398" t="s">
        <v>1360</v>
      </c>
      <c r="B52" s="1399">
        <f>'ColR&amp;OCN&amp;RogKlam'!P11/1000</f>
        <v>55.023730743243604</v>
      </c>
      <c r="C52" s="1400">
        <f>'ColR&amp;OCN&amp;RogKlam'!P18</f>
        <v>0.17546617715712753</v>
      </c>
      <c r="D52" s="1401" t="s">
        <v>1411</v>
      </c>
      <c r="E52" s="1403"/>
      <c r="G52" s="892" t="s">
        <v>1423</v>
      </c>
      <c r="H52" s="1414">
        <f>'ColR&amp;OCN&amp;RogKlam'!AB16</f>
        <v>1033</v>
      </c>
      <c r="I52" s="1416">
        <f>'ColR&amp;OCN&amp;RogKlam'!AC16</f>
        <v>1.5792032961514869E-2</v>
      </c>
      <c r="J52" s="1413"/>
      <c r="K52" s="1414">
        <f>'ColR&amp;OCN&amp;RogKlam'!T16</f>
        <v>722</v>
      </c>
      <c r="L52" s="1412">
        <f>'ColR&amp;OCN&amp;RogKlam'!U16</f>
        <v>3.2315094550744096E-3</v>
      </c>
      <c r="M52" s="1413"/>
      <c r="N52" s="1414">
        <f>'ColR&amp;OCN&amp;RogKlam'!W16</f>
        <v>0</v>
      </c>
      <c r="O52" s="1415">
        <f>'ColR&amp;OCN&amp;RogKlam'!X16</f>
        <v>0</v>
      </c>
    </row>
    <row r="53" spans="1:15" x14ac:dyDescent="0.2">
      <c r="A53" s="1398" t="s">
        <v>1361</v>
      </c>
      <c r="B53" s="1489">
        <f>'ColR&amp;OCN&amp;RogKlam'!T42/1000</f>
        <v>190.012</v>
      </c>
      <c r="C53" s="1400">
        <f>'ColR&amp;OCN&amp;RogKlam'!U41</f>
        <v>0.14954906568199616</v>
      </c>
      <c r="D53" s="1401" t="s">
        <v>1411</v>
      </c>
      <c r="E53" s="1403"/>
      <c r="G53" s="892"/>
      <c r="H53" s="1414"/>
      <c r="I53" s="1412"/>
      <c r="J53" s="1413"/>
      <c r="K53" s="1414"/>
      <c r="L53" s="1412"/>
      <c r="M53" s="1413"/>
      <c r="N53" s="1414"/>
      <c r="O53" s="1415"/>
    </row>
    <row r="54" spans="1:15" x14ac:dyDescent="0.2">
      <c r="A54" s="1398" t="s">
        <v>1424</v>
      </c>
      <c r="B54" s="1399">
        <f>'ColR&amp;OCN&amp;RogKlam'!W42/1000</f>
        <v>3.4929999999999999</v>
      </c>
      <c r="C54" s="1400">
        <f>'ColR&amp;OCN&amp;RogKlam'!X43</f>
        <v>2.9110063764901585E-2</v>
      </c>
      <c r="D54" s="1401" t="s">
        <v>1411</v>
      </c>
      <c r="E54" s="1403"/>
      <c r="G54" s="50" t="s">
        <v>1425</v>
      </c>
      <c r="H54" s="1414"/>
      <c r="I54" s="1412"/>
      <c r="J54" s="1413"/>
      <c r="K54" s="1414"/>
      <c r="L54" s="1412"/>
      <c r="M54" s="1413"/>
      <c r="N54" s="1414"/>
      <c r="O54" s="1415"/>
    </row>
    <row r="55" spans="1:15" x14ac:dyDescent="0.2">
      <c r="A55" s="1398"/>
      <c r="B55" s="1399"/>
      <c r="C55" s="1405"/>
      <c r="D55" s="1401"/>
      <c r="E55" s="1327"/>
      <c r="G55" s="892" t="s">
        <v>1426</v>
      </c>
      <c r="H55" s="1414"/>
      <c r="I55" s="1412"/>
      <c r="J55" s="1413"/>
      <c r="K55" s="1414"/>
      <c r="L55" s="1412"/>
      <c r="M55" s="1413"/>
      <c r="N55" s="1414"/>
      <c r="O55" s="1415"/>
    </row>
    <row r="56" spans="1:15" x14ac:dyDescent="0.2">
      <c r="A56" s="1396" t="s">
        <v>1427</v>
      </c>
      <c r="B56" s="1399"/>
      <c r="C56" s="1405"/>
      <c r="D56" s="1401"/>
      <c r="E56" s="1327"/>
      <c r="G56" s="892" t="s">
        <v>1428</v>
      </c>
      <c r="H56" s="1414">
        <f>SUM('ColR&amp;OCN&amp;RogKlam'!AB30:AB32)</f>
        <v>2452</v>
      </c>
      <c r="I56" s="1416">
        <f>SUM('ColR&amp;OCN&amp;RogKlam'!AC30:AC32)</f>
        <v>3.7485057910585151E-2</v>
      </c>
      <c r="J56" s="1413"/>
      <c r="K56" s="1414">
        <f>SUM('ColR&amp;OCN&amp;RogKlam'!T30:T32)</f>
        <v>17077</v>
      </c>
      <c r="L56" s="1412">
        <f>SUM('ColR&amp;OCN&amp;RogKlam'!U30:U32)</f>
        <v>7.6432807429786281E-2</v>
      </c>
      <c r="M56" s="1413"/>
      <c r="N56" s="1414">
        <f>SUM('ColR&amp;OCN&amp;RogKlam'!W30:W32)</f>
        <v>19</v>
      </c>
      <c r="O56" s="1415">
        <f>SUM('ColR&amp;OCN&amp;RogKlam'!X30:X32)</f>
        <v>5.2675353479345721E-3</v>
      </c>
    </row>
    <row r="57" spans="1:15" x14ac:dyDescent="0.2">
      <c r="A57" s="1398" t="s">
        <v>1429</v>
      </c>
      <c r="B57" s="1399">
        <f>'ColR&amp;OCN&amp;RogKlam'!D11/1000</f>
        <v>379.24720208269628</v>
      </c>
      <c r="C57" s="1400">
        <f>'ColR&amp;OCN&amp;RogKlam'!D16</f>
        <v>0.50642035466667834</v>
      </c>
      <c r="D57" s="1401" t="s">
        <v>1430</v>
      </c>
      <c r="E57" s="1327"/>
      <c r="G57" s="892" t="s">
        <v>1431</v>
      </c>
      <c r="H57" s="1414">
        <f>SUM('ColR&amp;OCN&amp;RogKlam'!AB33:AB34)</f>
        <v>51</v>
      </c>
      <c r="I57" s="1416">
        <f>SUM('ColR&amp;OCN&amp;RogKlam'!AC33:AC34)</f>
        <v>7.7966474446975625E-4</v>
      </c>
      <c r="J57" s="1413"/>
      <c r="K57" s="1414">
        <f>SUM('ColR&amp;OCN&amp;RogKlam'!T33:T34)</f>
        <v>763</v>
      </c>
      <c r="L57" s="1412">
        <f>SUM('ColR&amp;OCN&amp;RogKlam'!U33:U34)</f>
        <v>3.4150162246838981E-3</v>
      </c>
      <c r="M57" s="1413"/>
      <c r="N57" s="1414">
        <f>SUM('ColR&amp;OCN&amp;RogKlam'!W33:W34)</f>
        <v>38</v>
      </c>
      <c r="O57" s="1415">
        <f>SUM('ColR&amp;OCN&amp;RogKlam'!X33:X34)</f>
        <v>1.0535070695869144E-2</v>
      </c>
    </row>
    <row r="58" spans="1:15" ht="13.5" thickBot="1" x14ac:dyDescent="0.25">
      <c r="A58" s="1406" t="s">
        <v>1432</v>
      </c>
      <c r="B58" s="1490">
        <f>'ColR&amp;OCN&amp;RogKlam'!G11/1000</f>
        <v>241.08462170392292</v>
      </c>
      <c r="C58" s="1407">
        <f>'ColR&amp;OCN&amp;RogKlam'!G16</f>
        <v>0.46631126590515282</v>
      </c>
      <c r="D58" s="1408" t="s">
        <v>1433</v>
      </c>
      <c r="E58" s="1289"/>
      <c r="G58" s="892" t="s">
        <v>1383</v>
      </c>
      <c r="H58" s="1414">
        <f>'ColR&amp;OCN&amp;RogKlam'!AB35</f>
        <v>16</v>
      </c>
      <c r="I58" s="1416">
        <f>'ColR&amp;OCN&amp;RogKlam'!AC35</f>
        <v>2.4460070414737456E-4</v>
      </c>
      <c r="J58" s="1413"/>
      <c r="K58" s="1414">
        <f>'ColR&amp;OCN&amp;RogKlam'!T35</f>
        <v>424</v>
      </c>
      <c r="L58" s="1412">
        <f>'ColR&amp;OCN&amp;RogKlam'!U35</f>
        <v>1.8977285442542239E-3</v>
      </c>
      <c r="M58" s="1413"/>
      <c r="N58" s="1414">
        <f>'ColR&amp;OCN&amp;RogKlam'!W35</f>
        <v>16</v>
      </c>
      <c r="O58" s="1415">
        <f>'ColR&amp;OCN&amp;RogKlam'!X35</f>
        <v>4.4358192403659551E-3</v>
      </c>
    </row>
    <row r="59" spans="1:15" x14ac:dyDescent="0.2">
      <c r="A59" s="1409" t="s">
        <v>1434</v>
      </c>
      <c r="B59" s="180"/>
      <c r="C59" s="180"/>
      <c r="D59" s="180"/>
      <c r="G59" s="892" t="s">
        <v>1435</v>
      </c>
      <c r="H59" s="1414">
        <f>'ColR&amp;OCN&amp;RogKlam'!AB36</f>
        <v>6</v>
      </c>
      <c r="I59" s="1416">
        <f>'ColR&amp;OCN&amp;RogKlam'!AC36</f>
        <v>9.1725264055265453E-5</v>
      </c>
      <c r="J59" s="1413"/>
      <c r="K59" s="1414">
        <f>'ColR&amp;OCN&amp;RogKlam'!T36</f>
        <v>227</v>
      </c>
      <c r="L59" s="1412">
        <f>'ColR&amp;OCN&amp;RogKlam'!U36</f>
        <v>1.0160008951549738E-3</v>
      </c>
      <c r="M59" s="1413"/>
      <c r="N59" s="1414">
        <f>'ColR&amp;OCN&amp;RogKlam'!W36</f>
        <v>9</v>
      </c>
      <c r="O59" s="1415">
        <f>'ColR&amp;OCN&amp;RogKlam'!X36</f>
        <v>2.4951483227058499E-3</v>
      </c>
    </row>
    <row r="60" spans="1:15" x14ac:dyDescent="0.2">
      <c r="A60" s="1409" t="s">
        <v>1436</v>
      </c>
      <c r="B60" s="180"/>
      <c r="C60" s="180"/>
      <c r="D60" s="180"/>
      <c r="G60" s="892" t="s">
        <v>1437</v>
      </c>
      <c r="H60" s="1414"/>
      <c r="I60" s="1412"/>
      <c r="J60" s="1413"/>
      <c r="K60" s="1414"/>
      <c r="L60" s="1412"/>
      <c r="M60" s="1413"/>
      <c r="N60" s="1414"/>
      <c r="O60" s="1415"/>
    </row>
    <row r="61" spans="1:15" x14ac:dyDescent="0.2">
      <c r="B61" s="180"/>
      <c r="C61" s="180"/>
      <c r="D61" s="180"/>
      <c r="G61" s="892" t="s">
        <v>1428</v>
      </c>
      <c r="H61" s="1414">
        <f>SUM('ColR&amp;OCN&amp;RogKlam'!AB22:AB24)</f>
        <v>547</v>
      </c>
      <c r="I61" s="1416">
        <f>SUM('ColR&amp;OCN&amp;RogKlam'!AC22:AC24)</f>
        <v>8.3622865730383668E-3</v>
      </c>
      <c r="J61" s="1413"/>
      <c r="K61" s="1414">
        <f>SUM('ColR&amp;OCN&amp;RogKlam'!T22:T24)</f>
        <v>1947</v>
      </c>
      <c r="L61" s="1412">
        <f>SUM('ColR&amp;OCN&amp;RogKlam'!U22:U24)</f>
        <v>8.7143336690164476E-3</v>
      </c>
      <c r="M61" s="1413"/>
      <c r="N61" s="1414">
        <f>SUM('ColR&amp;OCN&amp;RogKlam'!W22:W24)</f>
        <v>4</v>
      </c>
      <c r="O61" s="1415">
        <f>SUM('ColR&amp;OCN&amp;RogKlam'!X22:X24)</f>
        <v>1.1089548100914888E-3</v>
      </c>
    </row>
    <row r="62" spans="1:15" ht="13.5" thickBot="1" x14ac:dyDescent="0.25">
      <c r="B62" s="180"/>
      <c r="C62" s="180"/>
      <c r="D62" s="180"/>
      <c r="G62" s="892" t="s">
        <v>1431</v>
      </c>
      <c r="H62" s="1414">
        <f>SUM('ColR&amp;OCN&amp;RogKlam'!AB25:AB26)</f>
        <v>3</v>
      </c>
      <c r="I62" s="1416">
        <f>SUM('ColR&amp;OCN&amp;RogKlam'!AC25:AC26)</f>
        <v>4.5862632027632727E-5</v>
      </c>
      <c r="J62" s="1413"/>
      <c r="K62" s="1414">
        <f>SUM('ColR&amp;OCN&amp;RogKlam'!T25:T26)</f>
        <v>41</v>
      </c>
      <c r="L62" s="1412">
        <f>SUM('ColR&amp;OCN&amp;RogKlam'!U25:U26)</f>
        <v>1.8350676960948863E-4</v>
      </c>
      <c r="M62" s="1413"/>
      <c r="N62" s="1414">
        <f>SUM('ColR&amp;OCN&amp;RogKlam'!W25:W26)</f>
        <v>2</v>
      </c>
      <c r="O62" s="1415">
        <f>SUM('ColR&amp;OCN&amp;RogKlam'!X25:X26)</f>
        <v>5.5447740504574439E-4</v>
      </c>
    </row>
    <row r="63" spans="1:15" ht="16.5" thickBot="1" x14ac:dyDescent="0.3">
      <c r="A63" s="1392" t="s">
        <v>1438</v>
      </c>
      <c r="B63" s="1491"/>
      <c r="C63" s="1492"/>
      <c r="D63" s="180"/>
      <c r="G63" s="892" t="s">
        <v>1383</v>
      </c>
      <c r="H63" s="1414">
        <f>'ColR&amp;OCN&amp;RogKlam'!AB27</f>
        <v>3</v>
      </c>
      <c r="I63" s="1416">
        <f>'ColR&amp;OCN&amp;RogKlam'!AC27</f>
        <v>4.5862632027632727E-5</v>
      </c>
      <c r="J63" s="1413"/>
      <c r="K63" s="1414">
        <f>'ColR&amp;OCN&amp;RogKlam'!T27</f>
        <v>227</v>
      </c>
      <c r="L63" s="1412">
        <f>'ColR&amp;OCN&amp;RogKlam'!U27</f>
        <v>1.0160008951549738E-3</v>
      </c>
      <c r="M63" s="1413"/>
      <c r="N63" s="1414">
        <f>'ColR&amp;OCN&amp;RogKlam'!W27</f>
        <v>9</v>
      </c>
      <c r="O63" s="1415">
        <f>'ColR&amp;OCN&amp;RogKlam'!X27</f>
        <v>2.4951483227058499E-3</v>
      </c>
    </row>
    <row r="64" spans="1:15" x14ac:dyDescent="0.2">
      <c r="A64" s="78" t="s">
        <v>1439</v>
      </c>
      <c r="B64" s="1594" t="s">
        <v>1440</v>
      </c>
      <c r="C64" s="1595" t="s">
        <v>1441</v>
      </c>
      <c r="D64" s="180"/>
      <c r="G64" s="892" t="s">
        <v>1435</v>
      </c>
      <c r="H64" s="1414">
        <f>'ColR&amp;OCN&amp;RogKlam'!AB28</f>
        <v>10</v>
      </c>
      <c r="I64" s="1416">
        <f>'ColR&amp;OCN&amp;RogKlam'!AC28</f>
        <v>1.5287544009210909E-4</v>
      </c>
      <c r="J64" s="1413"/>
      <c r="K64" s="1414">
        <f>'ColR&amp;OCN&amp;RogKlam'!T28</f>
        <v>302</v>
      </c>
      <c r="L64" s="1412">
        <f>'ColR&amp;OCN&amp;RogKlam'!U28</f>
        <v>1.3516840102942823E-3</v>
      </c>
      <c r="M64" s="1413"/>
      <c r="N64" s="1414">
        <f>'ColR&amp;OCN&amp;RogKlam'!W28</f>
        <v>3</v>
      </c>
      <c r="O64" s="1415">
        <f>'ColR&amp;OCN&amp;RogKlam'!X28</f>
        <v>8.3171610756861659E-4</v>
      </c>
    </row>
    <row r="65" spans="1:52" x14ac:dyDescent="0.2">
      <c r="A65" s="1441" t="s">
        <v>1388</v>
      </c>
      <c r="B65" s="858"/>
      <c r="C65" s="1493"/>
      <c r="D65" s="180"/>
      <c r="G65" s="892"/>
      <c r="H65" s="1414"/>
      <c r="I65" s="1412"/>
      <c r="J65" s="1413"/>
      <c r="K65" s="1414"/>
      <c r="L65" s="1412"/>
      <c r="M65" s="1413"/>
      <c r="N65" s="1414"/>
      <c r="O65" s="1415"/>
    </row>
    <row r="66" spans="1:52" x14ac:dyDescent="0.2">
      <c r="A66" s="1441" t="s">
        <v>1420</v>
      </c>
      <c r="B66" s="720">
        <f>'2'!AO99</f>
        <v>65625.955978802289</v>
      </c>
      <c r="C66" s="1494">
        <f>'2'!AO103</f>
        <v>0.49602205402806177</v>
      </c>
      <c r="D66" s="180"/>
      <c r="G66" s="50" t="s">
        <v>1442</v>
      </c>
      <c r="H66" s="1414">
        <f>'ColR&amp;OCN&amp;RogKlam'!AB20</f>
        <v>1276</v>
      </c>
      <c r="I66" s="1416">
        <f>'ColR&amp;OCN&amp;RogKlam'!AC20</f>
        <v>1.950690615575312E-2</v>
      </c>
      <c r="J66" s="1413"/>
      <c r="K66" s="1414">
        <f>'ColR&amp;OCN&amp;RogKlam'!T20</f>
        <v>285</v>
      </c>
      <c r="L66" s="1412">
        <f>'ColR&amp;OCN&amp;RogKlam'!U20</f>
        <v>1.2755958375293723E-3</v>
      </c>
      <c r="M66" s="1413"/>
      <c r="N66" s="1414">
        <f>'ColR&amp;OCN&amp;RogKlam'!W20</f>
        <v>0</v>
      </c>
      <c r="O66" s="1415">
        <f>'ColR&amp;OCN&amp;RogKlam'!X20</f>
        <v>0</v>
      </c>
    </row>
    <row r="67" spans="1:52" x14ac:dyDescent="0.2">
      <c r="A67" s="1441" t="s">
        <v>448</v>
      </c>
      <c r="B67" s="720">
        <f>'2'!AE48</f>
        <v>11672.863959568249</v>
      </c>
      <c r="C67" s="1494">
        <f>'2'!AE101</f>
        <v>0.36295729007718663</v>
      </c>
      <c r="D67" s="180"/>
      <c r="G67" s="892"/>
      <c r="H67" s="1414"/>
      <c r="I67" s="1412"/>
      <c r="J67" s="1413"/>
      <c r="K67" s="1414"/>
      <c r="L67" s="1412"/>
      <c r="M67" s="1413"/>
      <c r="N67" s="1414"/>
      <c r="O67" s="1415"/>
    </row>
    <row r="68" spans="1:52" x14ac:dyDescent="0.2">
      <c r="A68" s="1441" t="s">
        <v>474</v>
      </c>
      <c r="B68" s="720">
        <f>'2'!AA48</f>
        <v>2187.2435594347457</v>
      </c>
      <c r="C68" s="1494">
        <f>'2'!AA101</f>
        <v>0.53582649082002431</v>
      </c>
      <c r="D68" s="180"/>
      <c r="G68" s="50" t="s">
        <v>1443</v>
      </c>
      <c r="H68" s="1414">
        <f>SUM('ColR&amp;OCN&amp;RogKlam'!P43:P45)</f>
        <v>1156.3335743985792</v>
      </c>
      <c r="I68" s="1412">
        <f>(SUM('ColR&amp;OCN&amp;RogKlam'!P43:P45))/'ColR&amp;OCN&amp;RogKlam'!P47</f>
        <v>1.7699688358654479E-2</v>
      </c>
      <c r="J68" s="1413"/>
      <c r="K68" s="1414">
        <f>'ColR&amp;OCN&amp;RogKlam'!T38</f>
        <v>7605</v>
      </c>
      <c r="L68" s="1412">
        <f>'ColR&amp;OCN&amp;RogKlam'!U38</f>
        <v>3.4038267875125879E-2</v>
      </c>
      <c r="M68" s="1413"/>
      <c r="N68" s="1414" t="s">
        <v>1444</v>
      </c>
      <c r="O68" s="1415" t="s">
        <v>1444</v>
      </c>
    </row>
    <row r="69" spans="1:52" x14ac:dyDescent="0.2">
      <c r="A69" s="1441" t="s">
        <v>1380</v>
      </c>
      <c r="B69" s="720">
        <f>'2'!Z48</f>
        <v>7842.0901027430191</v>
      </c>
      <c r="C69" s="1494">
        <f>'2'!Z101</f>
        <v>0.37378993048131781</v>
      </c>
      <c r="D69" s="180"/>
      <c r="G69" s="892"/>
      <c r="H69" s="1414"/>
      <c r="I69" s="1412"/>
      <c r="J69" s="1413"/>
      <c r="K69" s="1414"/>
      <c r="L69" s="1412"/>
      <c r="M69" s="1413"/>
      <c r="N69" s="1414"/>
      <c r="O69" s="1415"/>
    </row>
    <row r="70" spans="1:52" ht="13.5" thickBot="1" x14ac:dyDescent="0.25">
      <c r="A70" s="1441" t="s">
        <v>1445</v>
      </c>
      <c r="B70" s="36">
        <f>'4'!G10</f>
        <v>6519</v>
      </c>
      <c r="C70" s="1442">
        <f>'2'!T11</f>
        <v>0.10942622950819672</v>
      </c>
      <c r="G70" s="55" t="s">
        <v>174</v>
      </c>
      <c r="H70" s="1417">
        <f>SUM('ColR&amp;OCN&amp;RogKlam'!P20:P45)</f>
        <v>11463.333574398581</v>
      </c>
      <c r="I70" s="1418">
        <f>'ColR&amp;OCN&amp;RogKlam'!P18</f>
        <v>0.17546617715712753</v>
      </c>
      <c r="J70" s="1419"/>
      <c r="K70" s="1417">
        <f>'ColR&amp;OCN&amp;RogKlam'!T41</f>
        <v>33413</v>
      </c>
      <c r="L70" s="1418">
        <f>'ColR&amp;OCN&amp;RogKlam'!U41</f>
        <v>0.14954906568199616</v>
      </c>
      <c r="M70" s="1419"/>
      <c r="N70" s="1417">
        <f>SUM('ColR&amp;OCN&amp;RogKlam'!W11:W36)</f>
        <v>105</v>
      </c>
      <c r="O70" s="1420">
        <f>'ColR&amp;OCN&amp;RogKlam'!X43</f>
        <v>2.9110063764901585E-2</v>
      </c>
    </row>
    <row r="71" spans="1:52" x14ac:dyDescent="0.2">
      <c r="A71" s="1441" t="s">
        <v>557</v>
      </c>
      <c r="B71" s="36">
        <f>'4'!F10</f>
        <v>11350</v>
      </c>
      <c r="C71" s="1442">
        <f>'2'!P11</f>
        <v>0.44080405971325809</v>
      </c>
      <c r="G71" s="37"/>
      <c r="H71" s="1414"/>
      <c r="I71" s="1412"/>
      <c r="J71" s="1413"/>
      <c r="K71" s="1414"/>
      <c r="L71" s="1412"/>
      <c r="M71" s="1413"/>
      <c r="N71" s="1414"/>
      <c r="O71" s="1412"/>
    </row>
    <row r="72" spans="1:52" x14ac:dyDescent="0.2">
      <c r="A72" s="1441" t="s">
        <v>466</v>
      </c>
      <c r="B72" s="36">
        <f>'4'!C10</f>
        <v>45869.214207404264</v>
      </c>
      <c r="C72" s="1442">
        <f>'2'!E11</f>
        <v>0.43236088201016915</v>
      </c>
      <c r="G72" s="37"/>
      <c r="H72" s="1414"/>
      <c r="I72" s="1412"/>
      <c r="J72" s="1413"/>
      <c r="K72" s="1414"/>
      <c r="L72" s="1412"/>
      <c r="M72" s="1413"/>
      <c r="N72" s="1414"/>
      <c r="O72" s="1412"/>
    </row>
    <row r="73" spans="1:52" x14ac:dyDescent="0.2">
      <c r="A73" s="1441" t="s">
        <v>1373</v>
      </c>
      <c r="B73" s="36">
        <f>'4'!D10</f>
        <v>16017</v>
      </c>
      <c r="C73" s="1442">
        <f>'2'!I11</f>
        <v>0.359294371774871</v>
      </c>
      <c r="G73" s="37"/>
      <c r="H73" s="1414"/>
      <c r="I73" s="1412"/>
      <c r="J73" s="1413"/>
      <c r="K73" s="1414"/>
      <c r="L73" s="1412"/>
      <c r="M73" s="1413"/>
      <c r="N73" s="1414"/>
      <c r="O73" s="1412"/>
    </row>
    <row r="74" spans="1:52" ht="13.5" thickBot="1" x14ac:dyDescent="0.25">
      <c r="A74" s="1443" t="s">
        <v>446</v>
      </c>
      <c r="B74" s="1423">
        <f>'4'!E10</f>
        <v>42871</v>
      </c>
      <c r="C74" s="1444">
        <f>'2'!J11</f>
        <v>0.33508592344438243</v>
      </c>
      <c r="G74" s="37"/>
      <c r="H74" s="1414"/>
      <c r="I74" s="1412"/>
      <c r="J74" s="1413"/>
      <c r="K74" s="1414"/>
      <c r="L74" s="1412"/>
      <c r="M74" s="1413"/>
      <c r="N74" s="1414"/>
      <c r="O74" s="1412"/>
    </row>
    <row r="75" spans="1:52" x14ac:dyDescent="0.2">
      <c r="G75" s="37"/>
      <c r="H75" s="1414"/>
      <c r="I75" s="1412"/>
      <c r="J75" s="1413"/>
      <c r="K75" s="1414"/>
      <c r="L75" s="1412"/>
      <c r="M75" s="1413"/>
      <c r="N75" s="1414"/>
      <c r="O75" s="1412"/>
    </row>
    <row r="76" spans="1:52" ht="13.5" thickBot="1" x14ac:dyDescent="0.25">
      <c r="G76" s="37"/>
      <c r="H76" s="1414"/>
      <c r="I76" s="1412"/>
      <c r="J76" s="1413"/>
      <c r="K76" s="1414"/>
      <c r="L76" s="1412"/>
      <c r="M76" s="1413"/>
      <c r="N76" s="1414"/>
      <c r="O76" s="1412"/>
    </row>
    <row r="77" spans="1:52" ht="12.75" customHeight="1" x14ac:dyDescent="0.2">
      <c r="A77" s="2521" t="s">
        <v>1446</v>
      </c>
      <c r="B77" s="2524" t="s">
        <v>1385</v>
      </c>
      <c r="C77" s="2518"/>
      <c r="D77" s="2518"/>
      <c r="E77" s="2518"/>
      <c r="F77" s="2518"/>
      <c r="G77" s="2518"/>
      <c r="H77" s="2518"/>
      <c r="I77" s="2518"/>
      <c r="J77" s="2518"/>
      <c r="K77" s="2518"/>
      <c r="L77" s="2518"/>
      <c r="M77" s="2519"/>
      <c r="N77" s="1427"/>
      <c r="O77" s="2524" t="s">
        <v>1447</v>
      </c>
      <c r="P77" s="2518"/>
      <c r="Q77" s="2518"/>
      <c r="R77" s="2518"/>
      <c r="S77" s="2518"/>
      <c r="T77" s="2518"/>
      <c r="U77" s="2518"/>
      <c r="V77" s="2518"/>
      <c r="W77" s="2518"/>
      <c r="X77" s="2518"/>
      <c r="Y77" s="2518"/>
      <c r="Z77" s="2519"/>
      <c r="AA77" s="1427"/>
      <c r="AB77" s="2524" t="s">
        <v>1448</v>
      </c>
      <c r="AC77" s="2518"/>
      <c r="AD77" s="2518"/>
      <c r="AE77" s="2518"/>
      <c r="AF77" s="2518"/>
      <c r="AG77" s="2518"/>
      <c r="AH77" s="2518"/>
      <c r="AI77" s="2518"/>
      <c r="AJ77" s="2518"/>
      <c r="AK77" s="2518"/>
      <c r="AL77" s="2518"/>
      <c r="AM77" s="2519"/>
      <c r="AN77" s="1427"/>
      <c r="AO77" s="2524" t="s">
        <v>1449</v>
      </c>
      <c r="AP77" s="2518"/>
      <c r="AQ77" s="2518"/>
      <c r="AR77" s="2518"/>
      <c r="AS77" s="2518"/>
      <c r="AT77" s="2518"/>
      <c r="AU77" s="2518"/>
      <c r="AV77" s="2518"/>
      <c r="AW77" s="2518"/>
      <c r="AX77" s="2518"/>
      <c r="AY77" s="2518"/>
      <c r="AZ77" s="2519"/>
    </row>
    <row r="78" spans="1:52" ht="12.75" customHeight="1" x14ac:dyDescent="0.2">
      <c r="A78" s="2522"/>
      <c r="B78" s="892" t="s">
        <v>1450</v>
      </c>
      <c r="C78" s="180" t="s">
        <v>1441</v>
      </c>
      <c r="D78" s="180" t="s">
        <v>1451</v>
      </c>
      <c r="E78" s="180" t="s">
        <v>1452</v>
      </c>
      <c r="F78" s="180" t="s">
        <v>1453</v>
      </c>
      <c r="G78" s="180" t="s">
        <v>1454</v>
      </c>
      <c r="H78" s="180" t="s">
        <v>1455</v>
      </c>
      <c r="I78" s="180" t="s">
        <v>1456</v>
      </c>
      <c r="J78" s="180" t="s">
        <v>1457</v>
      </c>
      <c r="K78" s="180" t="s">
        <v>1458</v>
      </c>
      <c r="L78" s="180" t="s">
        <v>1459</v>
      </c>
      <c r="M78" s="902" t="s">
        <v>1460</v>
      </c>
      <c r="N78" s="858"/>
      <c r="O78" s="892" t="s">
        <v>1450</v>
      </c>
      <c r="P78" s="180" t="s">
        <v>1441</v>
      </c>
      <c r="Q78" s="180" t="s">
        <v>1451</v>
      </c>
      <c r="R78" s="180" t="s">
        <v>1452</v>
      </c>
      <c r="S78" s="180" t="s">
        <v>1453</v>
      </c>
      <c r="T78" s="180" t="s">
        <v>1454</v>
      </c>
      <c r="U78" s="180" t="s">
        <v>1455</v>
      </c>
      <c r="V78" s="180" t="s">
        <v>1456</v>
      </c>
      <c r="W78" s="180" t="s">
        <v>1457</v>
      </c>
      <c r="X78" s="180" t="s">
        <v>1458</v>
      </c>
      <c r="Y78" s="180" t="s">
        <v>1459</v>
      </c>
      <c r="Z78" s="902" t="s">
        <v>1460</v>
      </c>
      <c r="AA78" s="858"/>
      <c r="AB78" s="892" t="s">
        <v>1450</v>
      </c>
      <c r="AC78" s="180" t="s">
        <v>1441</v>
      </c>
      <c r="AD78" s="180" t="s">
        <v>1451</v>
      </c>
      <c r="AE78" s="180" t="s">
        <v>1452</v>
      </c>
      <c r="AF78" s="180" t="s">
        <v>1453</v>
      </c>
      <c r="AG78" s="180" t="s">
        <v>1454</v>
      </c>
      <c r="AH78" s="180" t="s">
        <v>1455</v>
      </c>
      <c r="AI78" s="180" t="s">
        <v>1456</v>
      </c>
      <c r="AJ78" s="180" t="s">
        <v>1457</v>
      </c>
      <c r="AK78" s="180" t="s">
        <v>1458</v>
      </c>
      <c r="AL78" s="180" t="s">
        <v>1459</v>
      </c>
      <c r="AM78" s="902" t="s">
        <v>1460</v>
      </c>
      <c r="AN78" s="858"/>
      <c r="AO78" s="892" t="s">
        <v>1450</v>
      </c>
      <c r="AP78" s="180" t="s">
        <v>1441</v>
      </c>
      <c r="AQ78" s="180" t="s">
        <v>1451</v>
      </c>
      <c r="AR78" s="180" t="s">
        <v>1452</v>
      </c>
      <c r="AS78" s="180" t="s">
        <v>1453</v>
      </c>
      <c r="AT78" s="180" t="s">
        <v>1454</v>
      </c>
      <c r="AU78" s="180" t="s">
        <v>1455</v>
      </c>
      <c r="AV78" s="180" t="s">
        <v>1456</v>
      </c>
      <c r="AW78" s="180" t="s">
        <v>1457</v>
      </c>
      <c r="AX78" s="180" t="s">
        <v>1458</v>
      </c>
      <c r="AY78" s="180" t="s">
        <v>1459</v>
      </c>
      <c r="AZ78" s="902" t="s">
        <v>1460</v>
      </c>
    </row>
    <row r="79" spans="1:52" ht="13.5" customHeight="1" thickBot="1" x14ac:dyDescent="0.25">
      <c r="A79" s="2523"/>
      <c r="B79" s="1421">
        <f>E91</f>
        <v>15213.51862402221</v>
      </c>
      <c r="C79" s="1422">
        <f>E94</f>
        <v>0.36295729007718663</v>
      </c>
      <c r="D79" s="1422">
        <f>E99</f>
        <v>6.991015351825515E-2</v>
      </c>
      <c r="E79" s="1422">
        <f>E100</f>
        <v>4.9280927889917558E-2</v>
      </c>
      <c r="F79" s="1423">
        <f>J100</f>
        <v>903</v>
      </c>
      <c r="G79" s="1423">
        <f>J99</f>
        <v>1281</v>
      </c>
      <c r="H79" s="1423">
        <f>J102</f>
        <v>370</v>
      </c>
      <c r="I79" s="1423">
        <f>J103</f>
        <v>593</v>
      </c>
      <c r="J79" s="1423">
        <f>J104</f>
        <v>318</v>
      </c>
      <c r="K79" s="1422">
        <f>E101</f>
        <v>5.2555408148383845E-2</v>
      </c>
      <c r="L79" s="1422">
        <f>E104</f>
        <v>1.7354745369871302E-2</v>
      </c>
      <c r="M79" s="1424">
        <f>E96</f>
        <v>0.1932300633466843</v>
      </c>
      <c r="N79" s="1428"/>
      <c r="O79" s="1421">
        <f>F91</f>
        <v>111109.16480190745</v>
      </c>
      <c r="P79" s="1422">
        <f>F94</f>
        <v>0.50170087810482367</v>
      </c>
      <c r="Q79" s="1422">
        <f>F99</f>
        <v>3.1788419773299569E-2</v>
      </c>
      <c r="R79" s="1422">
        <f>F100</f>
        <v>2.3413027737220638E-2</v>
      </c>
      <c r="S79" s="1423">
        <f>K100</f>
        <v>2829</v>
      </c>
      <c r="T79" s="1423">
        <f>K99</f>
        <v>3841</v>
      </c>
      <c r="U79" s="1423">
        <f>K102</f>
        <v>901</v>
      </c>
      <c r="V79" s="1423">
        <f>K103</f>
        <v>2065</v>
      </c>
      <c r="W79" s="1423">
        <f>K104</f>
        <v>875</v>
      </c>
      <c r="X79" s="1422">
        <f>F101</f>
        <v>2.4546850572144365E-2</v>
      </c>
      <c r="Y79" s="1422">
        <f>F104</f>
        <v>7.2415692011551991E-3</v>
      </c>
      <c r="Z79" s="1424">
        <f>F96</f>
        <v>0.42124911329976122</v>
      </c>
      <c r="AA79" s="1428"/>
      <c r="AB79" s="1421">
        <f>D91</f>
        <v>3922.124919189815</v>
      </c>
      <c r="AC79" s="1422">
        <f>D94</f>
        <v>0.53582649082002431</v>
      </c>
      <c r="AD79" s="1422">
        <f>D99</f>
        <v>5.432793153624961E-2</v>
      </c>
      <c r="AE79" s="1422">
        <f>D100</f>
        <v>7.3003158001835419E-2</v>
      </c>
      <c r="AF79" s="1423">
        <f>I100</f>
        <v>344</v>
      </c>
      <c r="AG79" s="1423">
        <f>I99</f>
        <v>256</v>
      </c>
      <c r="AH79" s="1423">
        <f>I102</f>
        <v>100</v>
      </c>
      <c r="AI79" s="1423">
        <f>I103</f>
        <v>107</v>
      </c>
      <c r="AJ79" s="1423">
        <f>I104</f>
        <v>49</v>
      </c>
      <c r="AK79" s="1422">
        <f>D101</f>
        <v>4.3929225890639335E-2</v>
      </c>
      <c r="AL79" s="1422">
        <f>D104</f>
        <v>1.0398705645610276E-2</v>
      </c>
      <c r="AM79" s="1424">
        <f>D96</f>
        <v>0.36817388959487907</v>
      </c>
      <c r="AN79" s="1428"/>
      <c r="AO79" s="1421">
        <f>C91</f>
        <v>11636.098053614196</v>
      </c>
      <c r="AP79" s="1422">
        <f>C94</f>
        <v>0.37378993048131781</v>
      </c>
      <c r="AQ79" s="1422">
        <f>C99</f>
        <v>2.3157209083442837E-2</v>
      </c>
      <c r="AR79" s="1422">
        <f>C100</f>
        <v>3.1142453594974851E-2</v>
      </c>
      <c r="AS79" s="1423">
        <f>H100</f>
        <v>390</v>
      </c>
      <c r="AT79" s="1423">
        <f>H99</f>
        <v>290</v>
      </c>
      <c r="AU79" s="1423">
        <f>H102</f>
        <v>125</v>
      </c>
      <c r="AV79" s="1423">
        <f>H103</f>
        <v>97</v>
      </c>
      <c r="AW79" s="1423">
        <f>H104</f>
        <v>68</v>
      </c>
      <c r="AX79" s="1422">
        <f>C101</f>
        <v>1.772724281560107E-2</v>
      </c>
      <c r="AY79" s="1422">
        <f>C104</f>
        <v>5.4299662678417692E-3</v>
      </c>
      <c r="AZ79" s="1424">
        <f>C96</f>
        <v>0.30296081166402888</v>
      </c>
    </row>
    <row r="80" spans="1:52" ht="13.5" customHeight="1" x14ac:dyDescent="0.25">
      <c r="A80" s="1425"/>
      <c r="B80" s="36"/>
      <c r="C80" s="88"/>
      <c r="D80" s="88"/>
      <c r="E80" s="88"/>
      <c r="F80" s="36"/>
      <c r="G80" s="36"/>
      <c r="H80" s="36"/>
      <c r="I80" s="36"/>
      <c r="J80" s="88"/>
      <c r="K80" s="88"/>
      <c r="L80" s="88"/>
      <c r="M80" s="36"/>
      <c r="N80" s="88"/>
      <c r="O80" s="88"/>
      <c r="P80" s="88"/>
      <c r="Q80" s="36"/>
      <c r="R80" s="36"/>
      <c r="S80" s="36"/>
      <c r="T80" s="36"/>
      <c r="U80" s="88"/>
      <c r="V80" s="88"/>
      <c r="W80" s="88"/>
      <c r="X80" s="36"/>
      <c r="Y80" s="88"/>
      <c r="Z80" s="88"/>
      <c r="AA80" s="88"/>
      <c r="AB80" s="36"/>
      <c r="AC80" s="36"/>
      <c r="AD80" s="36"/>
      <c r="AE80" s="36"/>
      <c r="AF80" s="88"/>
      <c r="AG80" s="88"/>
      <c r="AH80" s="88"/>
      <c r="AI80" s="36"/>
      <c r="AJ80" s="88"/>
      <c r="AK80" s="88"/>
      <c r="AL80" s="88"/>
      <c r="AM80" s="36"/>
      <c r="AN80" s="36"/>
      <c r="AO80" s="36"/>
      <c r="AP80" s="36"/>
      <c r="AQ80" s="88"/>
      <c r="AR80" s="88"/>
      <c r="AS80" s="88"/>
    </row>
    <row r="81" spans="1:45" ht="13.5" customHeight="1" x14ac:dyDescent="0.25">
      <c r="A81" s="1425"/>
      <c r="B81" s="36"/>
      <c r="C81" s="88"/>
      <c r="D81" s="88"/>
      <c r="E81" s="88"/>
      <c r="F81" s="36"/>
      <c r="G81" s="36"/>
      <c r="H81" s="36"/>
      <c r="I81" s="36"/>
      <c r="J81" s="88"/>
      <c r="K81" s="88"/>
      <c r="L81" s="88"/>
      <c r="M81" s="36"/>
      <c r="N81" s="88"/>
      <c r="O81" s="88"/>
      <c r="P81" s="88"/>
      <c r="Q81" s="36"/>
      <c r="R81" s="36"/>
      <c r="S81" s="36"/>
      <c r="T81" s="36"/>
      <c r="U81" s="88"/>
      <c r="V81" s="88"/>
      <c r="W81" s="88"/>
      <c r="X81" s="36"/>
      <c r="Y81" s="88"/>
      <c r="Z81" s="88"/>
      <c r="AA81" s="88"/>
      <c r="AB81" s="36"/>
      <c r="AC81" s="36"/>
      <c r="AD81" s="36"/>
      <c r="AE81" s="36"/>
      <c r="AF81" s="88"/>
      <c r="AG81" s="88"/>
      <c r="AH81" s="88"/>
      <c r="AI81" s="36"/>
      <c r="AJ81" s="88"/>
      <c r="AK81" s="88"/>
      <c r="AL81" s="88"/>
      <c r="AM81" s="36"/>
      <c r="AN81" s="36"/>
      <c r="AO81" s="36"/>
      <c r="AP81" s="36"/>
      <c r="AQ81" s="88"/>
      <c r="AR81" s="88"/>
      <c r="AS81" s="88"/>
    </row>
    <row r="82" spans="1:45" ht="18" x14ac:dyDescent="0.25">
      <c r="A82" s="2512" t="s">
        <v>1461</v>
      </c>
      <c r="B82" s="2513"/>
      <c r="C82" s="2514" t="s">
        <v>1360</v>
      </c>
      <c r="D82" s="2514"/>
      <c r="E82" s="2152" t="s">
        <v>1361</v>
      </c>
      <c r="F82" s="2514" t="s">
        <v>448</v>
      </c>
      <c r="G82" s="2514"/>
      <c r="H82" s="2514"/>
      <c r="I82" s="2514"/>
      <c r="J82" s="2514" t="s">
        <v>1420</v>
      </c>
      <c r="K82" s="2514"/>
      <c r="L82" s="2514"/>
      <c r="M82" s="2514"/>
      <c r="N82" s="2514" t="s">
        <v>37</v>
      </c>
      <c r="O82" s="2514"/>
      <c r="P82" s="2514" t="s">
        <v>466</v>
      </c>
      <c r="Q82" s="2514"/>
      <c r="R82" s="2514"/>
      <c r="S82" s="2514" t="s">
        <v>467</v>
      </c>
      <c r="T82" s="2514"/>
      <c r="U82" s="2514"/>
      <c r="V82" s="2514" t="s">
        <v>446</v>
      </c>
      <c r="W82" s="2514"/>
      <c r="X82" s="2514"/>
      <c r="Y82" s="2514" t="s">
        <v>557</v>
      </c>
      <c r="Z82" s="2514"/>
      <c r="AA82" s="2514"/>
      <c r="AB82" s="2514" t="s">
        <v>30</v>
      </c>
      <c r="AC82" s="2514"/>
      <c r="AD82" s="2514"/>
      <c r="AE82" s="2028"/>
    </row>
    <row r="83" spans="1:45" x14ac:dyDescent="0.2">
      <c r="A83" s="106" t="s">
        <v>1462</v>
      </c>
      <c r="B83" s="37" t="s">
        <v>624</v>
      </c>
      <c r="C83" s="37" t="s">
        <v>1441</v>
      </c>
      <c r="D83" s="37" t="s">
        <v>1463</v>
      </c>
      <c r="E83" s="37" t="s">
        <v>1441</v>
      </c>
      <c r="F83" s="37" t="s">
        <v>460</v>
      </c>
      <c r="G83" s="37" t="s">
        <v>1464</v>
      </c>
      <c r="H83" s="37" t="s">
        <v>1441</v>
      </c>
      <c r="I83" s="37" t="s">
        <v>1465</v>
      </c>
      <c r="J83" s="37" t="s">
        <v>460</v>
      </c>
      <c r="K83" s="37" t="s">
        <v>1464</v>
      </c>
      <c r="L83" s="37" t="s">
        <v>1441</v>
      </c>
      <c r="M83" s="37" t="s">
        <v>1465</v>
      </c>
      <c r="N83" s="37" t="s">
        <v>1441</v>
      </c>
      <c r="O83" s="37" t="s">
        <v>1463</v>
      </c>
      <c r="P83" s="37" t="s">
        <v>1441</v>
      </c>
      <c r="Q83" s="37" t="s">
        <v>1463</v>
      </c>
      <c r="R83" s="37" t="s">
        <v>1464</v>
      </c>
      <c r="S83" s="37" t="s">
        <v>1441</v>
      </c>
      <c r="T83" s="37" t="s">
        <v>1463</v>
      </c>
      <c r="U83" s="37" t="s">
        <v>1464</v>
      </c>
      <c r="V83" s="37" t="s">
        <v>1441</v>
      </c>
      <c r="W83" s="37" t="s">
        <v>1463</v>
      </c>
      <c r="X83" s="37" t="s">
        <v>1464</v>
      </c>
      <c r="Y83" s="37" t="s">
        <v>1441</v>
      </c>
      <c r="Z83" s="37" t="s">
        <v>1463</v>
      </c>
      <c r="AA83" s="37" t="s">
        <v>1464</v>
      </c>
      <c r="AB83" s="37" t="s">
        <v>1441</v>
      </c>
      <c r="AC83" s="37" t="s">
        <v>1463</v>
      </c>
      <c r="AD83" s="37" t="s">
        <v>1464</v>
      </c>
      <c r="AE83" s="47"/>
    </row>
    <row r="84" spans="1:45" x14ac:dyDescent="0.2">
      <c r="A84" s="1355" t="str">
        <f>Input_Harvestnew!B3</f>
        <v>bc-Coho2229</v>
      </c>
      <c r="B84" s="1596" t="str">
        <f>Input_Harvestnew!B4</f>
        <v>Final PFMC April - Adopted+NOF</v>
      </c>
      <c r="C84" s="1597">
        <f>'ColR&amp;OCN&amp;RogKlam'!P18</f>
        <v>0.17546617715712753</v>
      </c>
      <c r="D84" s="1597">
        <f>'ColR&amp;OCN&amp;RogKlam'!P13</f>
        <v>0.1382350985096546</v>
      </c>
      <c r="E84" s="1597">
        <f>'ColR&amp;OCN&amp;RogKlam'!U41</f>
        <v>0.14954906568199616</v>
      </c>
      <c r="F84" s="1598">
        <f>'2'!AE9</f>
        <v>15213.51862402221</v>
      </c>
      <c r="G84" s="1598">
        <f>'2'!AE48</f>
        <v>11672.863959568249</v>
      </c>
      <c r="H84" s="1597">
        <f>'2'!AE12</f>
        <v>0.36295729007718663</v>
      </c>
      <c r="I84" s="1597">
        <f>E99</f>
        <v>6.991015351825515E-2</v>
      </c>
      <c r="J84" s="1598">
        <f>'2'!AK9</f>
        <v>111109.16480190745</v>
      </c>
      <c r="K84" s="1598">
        <f>'2'!AK48</f>
        <v>60209.565019239919</v>
      </c>
      <c r="L84" s="1597">
        <f>'2'!AK12</f>
        <v>0.50170087810482367</v>
      </c>
      <c r="M84" s="1597">
        <f>F99</f>
        <v>3.1788419773299569E-2</v>
      </c>
      <c r="N84" s="1597">
        <f>Thompson!C13</f>
        <v>9.5116813253513913E-2</v>
      </c>
      <c r="O84" s="1597">
        <f>Thompson!E13</f>
        <v>4.7641717148875905E-2</v>
      </c>
      <c r="P84" s="1597">
        <f>ERSK</f>
        <v>0.43236088201016915</v>
      </c>
      <c r="Q84" s="1597">
        <f>'4'!C39</f>
        <v>4.4699097850433744E-2</v>
      </c>
      <c r="R84" s="1598">
        <f>'4'!C10</f>
        <v>45869.214207404264</v>
      </c>
      <c r="S84" s="1597">
        <f>ERST</f>
        <v>0.359294371774871</v>
      </c>
      <c r="T84" s="1597">
        <f>'4'!D39</f>
        <v>3.2281291251650066E-2</v>
      </c>
      <c r="U84" s="1598">
        <f>'4'!D10</f>
        <v>16017</v>
      </c>
      <c r="V84" s="1597">
        <f>ERSN</f>
        <v>0.33508592344438243</v>
      </c>
      <c r="W84" s="1597">
        <f>'4'!E39</f>
        <v>3.2415162230907624E-2</v>
      </c>
      <c r="X84" s="1598">
        <f>'4'!E10</f>
        <v>42871</v>
      </c>
      <c r="Y84" s="1597">
        <f>ERHC</f>
        <v>0.44080405971325809</v>
      </c>
      <c r="Z84" s="1597">
        <f>'4'!F39</f>
        <v>4.8923486229492039E-2</v>
      </c>
      <c r="AA84" s="1598">
        <f>'4'!F10</f>
        <v>11350</v>
      </c>
      <c r="AB84" s="1597">
        <f>ERJDF</f>
        <v>0.10942622950819672</v>
      </c>
      <c r="AC84" s="1597">
        <f>'4'!G39</f>
        <v>3.8934426229508198E-2</v>
      </c>
      <c r="AD84" s="1598">
        <f>'4'!G10</f>
        <v>6519</v>
      </c>
      <c r="AE84" s="1599"/>
    </row>
    <row r="85" spans="1:45" x14ac:dyDescent="0.2">
      <c r="C85" s="1426"/>
      <c r="D85" s="1426"/>
      <c r="E85" s="1426"/>
      <c r="F85" s="36"/>
      <c r="G85" s="36"/>
      <c r="H85" s="1426"/>
      <c r="I85" s="1426"/>
      <c r="J85" s="36"/>
      <c r="K85" s="36"/>
      <c r="L85" s="1426"/>
      <c r="M85" s="1426"/>
      <c r="N85" s="1426"/>
      <c r="O85" s="1426"/>
      <c r="P85" s="1426"/>
      <c r="Q85" s="1426"/>
      <c r="R85" s="36"/>
      <c r="S85" s="1426"/>
      <c r="T85" s="1426"/>
      <c r="U85" s="36"/>
      <c r="V85" s="1426"/>
      <c r="W85" s="1426"/>
      <c r="X85" s="36"/>
      <c r="Y85" s="1426"/>
      <c r="Z85" s="1426"/>
      <c r="AA85" s="36"/>
      <c r="AB85" s="1426"/>
      <c r="AC85" s="1426"/>
      <c r="AD85" s="36"/>
    </row>
    <row r="87" spans="1:45" ht="18" x14ac:dyDescent="0.25">
      <c r="A87" s="2153" t="s">
        <v>1466</v>
      </c>
      <c r="B87" s="2154"/>
      <c r="C87" s="2154"/>
      <c r="D87" s="2154"/>
      <c r="E87" s="2132"/>
      <c r="F87" s="2024"/>
      <c r="G87" s="2155"/>
      <c r="H87" s="2139"/>
      <c r="I87" s="2154"/>
      <c r="J87" s="2132"/>
      <c r="K87" s="2024"/>
    </row>
    <row r="88" spans="1:45" ht="15.75" x14ac:dyDescent="0.25">
      <c r="A88" s="1343"/>
      <c r="B88" s="1"/>
      <c r="C88" s="2459" t="s">
        <v>1467</v>
      </c>
      <c r="D88" s="2459"/>
      <c r="E88" s="2459"/>
      <c r="F88" s="2511"/>
      <c r="H88" s="2510" t="s">
        <v>1468</v>
      </c>
      <c r="I88" s="2459"/>
      <c r="J88" s="2459"/>
      <c r="K88" s="2511"/>
    </row>
    <row r="89" spans="1:45" ht="15" x14ac:dyDescent="0.2">
      <c r="A89" s="705"/>
      <c r="B89" s="6"/>
      <c r="C89" s="1497" t="s">
        <v>473</v>
      </c>
      <c r="D89" s="1497" t="s">
        <v>474</v>
      </c>
      <c r="E89" s="1497" t="s">
        <v>448</v>
      </c>
      <c r="F89" s="1600" t="s">
        <v>475</v>
      </c>
      <c r="H89" s="1352" t="s">
        <v>473</v>
      </c>
      <c r="I89" s="1497" t="s">
        <v>474</v>
      </c>
      <c r="J89" s="1497" t="s">
        <v>448</v>
      </c>
      <c r="K89" s="1600" t="s">
        <v>475</v>
      </c>
    </row>
    <row r="90" spans="1:45" ht="15" x14ac:dyDescent="0.2">
      <c r="A90" s="2156" t="s">
        <v>1469</v>
      </c>
      <c r="B90" s="2157"/>
      <c r="C90" s="20">
        <f>SUM('4'!N21,'4'!N15)</f>
        <v>12523.098053614196</v>
      </c>
      <c r="D90" s="20">
        <f>SUM('4'!O21,'4'!O15)</f>
        <v>4712.124919189815</v>
      </c>
      <c r="E90" s="20">
        <f>SUM('4'!P21,'4'!P15)</f>
        <v>18323.51862402221</v>
      </c>
      <c r="F90" s="266">
        <f>SUM('4'!Q21,'4'!Q15)</f>
        <v>120830.16480190745</v>
      </c>
      <c r="H90" s="1335">
        <f>SUM('4'!N21,'4'!N15)</f>
        <v>12523.098053614196</v>
      </c>
      <c r="I90" s="20">
        <f>SUM('4'!O21,'4'!O15)</f>
        <v>4712.124919189815</v>
      </c>
      <c r="J90" s="20">
        <f>SUM('4'!P21,'4'!P15)</f>
        <v>18323.51862402221</v>
      </c>
      <c r="K90" s="266">
        <f>SUM('4'!Q21,'4'!Q15)</f>
        <v>120830.16480190745</v>
      </c>
    </row>
    <row r="91" spans="1:45" ht="15" x14ac:dyDescent="0.2">
      <c r="A91" s="265" t="s">
        <v>566</v>
      </c>
      <c r="B91" s="7"/>
      <c r="C91" s="1347">
        <f>'2'!Z9</f>
        <v>11636.098053614196</v>
      </c>
      <c r="D91" s="1347">
        <f>'2'!AA9</f>
        <v>3922.124919189815</v>
      </c>
      <c r="E91" s="1347">
        <f>'2'!AE9</f>
        <v>15213.51862402221</v>
      </c>
      <c r="F91" s="1348">
        <f>'2'!AK9</f>
        <v>111109.16480190745</v>
      </c>
      <c r="H91" s="1349">
        <f>'2'!Z9</f>
        <v>11636.098053614196</v>
      </c>
      <c r="I91" s="1347">
        <f>'2'!AA9</f>
        <v>3922.124919189815</v>
      </c>
      <c r="J91" s="1347">
        <f>'2'!AE9</f>
        <v>15213.51862402221</v>
      </c>
      <c r="K91" s="1348">
        <f>'2'!AK9</f>
        <v>111109.16480190745</v>
      </c>
    </row>
    <row r="92" spans="1:45" ht="15" x14ac:dyDescent="0.2">
      <c r="A92" s="265" t="s">
        <v>1470</v>
      </c>
      <c r="B92" s="7"/>
      <c r="C92" s="1331">
        <f>'2'!Z48</f>
        <v>7842.0901027430191</v>
      </c>
      <c r="D92" s="1331">
        <f>'2'!AA48</f>
        <v>2187.2435594347457</v>
      </c>
      <c r="E92" s="1331">
        <f>'2'!AE48</f>
        <v>11672.863959568249</v>
      </c>
      <c r="F92" s="1332">
        <f>'2'!AK48</f>
        <v>60209.565019239919</v>
      </c>
      <c r="H92" s="1344">
        <f>'2'!Z48</f>
        <v>7842.0901027430191</v>
      </c>
      <c r="I92" s="1331">
        <f>'2'!AA48</f>
        <v>2187.2435594347457</v>
      </c>
      <c r="J92" s="1331">
        <f>'2'!AE48</f>
        <v>11672.863959568249</v>
      </c>
      <c r="K92" s="1332">
        <f>'2'!AK48</f>
        <v>60209.565019239919</v>
      </c>
    </row>
    <row r="93" spans="1:45" ht="15.75" x14ac:dyDescent="0.25">
      <c r="A93" s="1334" t="s">
        <v>1471</v>
      </c>
      <c r="B93" s="1518"/>
      <c r="C93" s="1601">
        <f>'2'!Z10</f>
        <v>6300</v>
      </c>
      <c r="D93" s="1601">
        <f>'2'!AA10</f>
        <v>2000</v>
      </c>
      <c r="E93" s="1601">
        <f>'2'!AE10</f>
        <v>5800</v>
      </c>
      <c r="F93" s="1602">
        <f>'2'!AK10</f>
        <v>35400</v>
      </c>
      <c r="G93" s="37"/>
      <c r="H93" s="1356">
        <f>'2'!Z10</f>
        <v>6300</v>
      </c>
      <c r="I93" s="1601">
        <f>'2'!AA10</f>
        <v>2000</v>
      </c>
      <c r="J93" s="1601">
        <f>'2'!AE10</f>
        <v>5800</v>
      </c>
      <c r="K93" s="1602">
        <f>'2'!AK10</f>
        <v>35400</v>
      </c>
    </row>
    <row r="94" spans="1:45" ht="15" x14ac:dyDescent="0.2">
      <c r="A94" s="265" t="s">
        <v>1472</v>
      </c>
      <c r="B94" s="7" t="s">
        <v>1473</v>
      </c>
      <c r="C94" s="1242">
        <f>SUM('2'!Z15:Z18,'2'!Z20:Z28,'2'!Z30:Z35,'2'!Z38:Z39)/SUM('2'!Z9,'2'!Z15:Z18,'2'!Z20:Z28,'2'!Z30:Z35)</f>
        <v>0.37378993048131781</v>
      </c>
      <c r="D94" s="1242">
        <f>'2'!AA12</f>
        <v>0.53582649082002431</v>
      </c>
      <c r="E94" s="1242">
        <f>'2'!AE12</f>
        <v>0.36295729007718663</v>
      </c>
      <c r="F94" s="1333">
        <f>'2'!AK12</f>
        <v>0.50170087810482367</v>
      </c>
      <c r="H94" s="1335">
        <f>SUM('2'!Z15:Z18,'2'!Z20:Z28,'2'!Z30:Z35,'2'!Z38:Z39)</f>
        <v>4681.0079508711769</v>
      </c>
      <c r="I94" s="20">
        <f>SUM('2'!AA15:AA18,'2'!AA20:AA28,'2'!AA30:AA35,'2'!AA38:AA39)</f>
        <v>2524.8813597550693</v>
      </c>
      <c r="J94" s="20">
        <f>SUM('2'!AE15:AE18,'2'!AE20:AE28,'2'!AE30:AE35,'2'!AE38:AE39)</f>
        <v>6650.6546644539612</v>
      </c>
      <c r="K94" s="266">
        <f>SUM('2'!AK15:AK18,'2'!AK20:AK28,'2'!AK30:AK35,'2'!AK37:AK39)</f>
        <v>60620.59978266753</v>
      </c>
    </row>
    <row r="95" spans="1:45" ht="15" x14ac:dyDescent="0.2">
      <c r="A95" s="265" t="s">
        <v>1474</v>
      </c>
      <c r="B95" s="7" t="s">
        <v>1473</v>
      </c>
      <c r="C95" s="1242">
        <f>SUM('2'!Z$17:Z$18,'2'!Z$20:Z$28,'2'!Z$30:Z$35,'2'!Z$38:Z$39)/SUM('4'!N$21,'4'!N$15)</f>
        <v>0.36588453841490115</v>
      </c>
      <c r="D95" s="1242">
        <f>SUM('2'!AA$17:AA$18,'2'!AA$20:AA$28,'2'!AA$30:AA$35,'2'!AA$38:AA$39)/SUM('4'!O$21,'4'!O$15)</f>
        <v>0.50738921415651872</v>
      </c>
      <c r="E95" s="1242">
        <f>SUM('2'!AE$17:AE$18,'2'!AE$20:AE$28,'2'!AE$30:AE$35,'2'!AE$38:AE$39)/SUM('4'!P$21,'4'!P$15)</f>
        <v>0.34019965228084598</v>
      </c>
      <c r="F95" s="1333">
        <f>SUM('2'!AK$17:AK$18,'2'!AK$20:AK$28,'2'!AK$30:AK$35,'2'!AK$37:AK$39)/SUM('4'!Q$21,'4'!Q$15)</f>
        <v>0.48521492856345094</v>
      </c>
      <c r="H95" s="1335">
        <f>SUM('2'!Z17:Z18,'2'!Z20:Z28,'2'!Z30:Z35,'2'!Z38:Z39)</f>
        <v>4582.0079508711769</v>
      </c>
      <c r="I95" s="20">
        <f>SUM('2'!AA17:AA18,'2'!AA20:AA28,'2'!AA30:AA35,'2'!AA38:AA39)</f>
        <v>2390.8813597550693</v>
      </c>
      <c r="J95" s="20">
        <f>SUM('2'!AE17:AE18,'2'!AE20:AE28,'2'!AE30:AE35,'2'!AE38:AE39)</f>
        <v>6233.6546644539612</v>
      </c>
      <c r="K95" s="266">
        <f>SUM('2'!AK17:AK18,'2'!AK20:AK28,'2'!AK30:AK35,'2'!AK37:AK39)</f>
        <v>58628.59978266753</v>
      </c>
    </row>
    <row r="96" spans="1:45" ht="15" x14ac:dyDescent="0.2">
      <c r="A96" s="265" t="s">
        <v>1475</v>
      </c>
      <c r="B96" s="7" t="s">
        <v>1473</v>
      </c>
      <c r="C96" s="1242">
        <f>SUM('2'!Z$38:Z$39)/SUM('4'!N$21,'4'!N$15)</f>
        <v>0.30296081166402888</v>
      </c>
      <c r="D96" s="1242">
        <f>SUM('2'!AA$38:AA$39)/SUM('4'!O$21,'4'!O$15)</f>
        <v>0.36817388959487907</v>
      </c>
      <c r="E96" s="1242">
        <f>SUM('2'!AE$38:AE$39)/SUM('4'!P$21,'4'!P$15)</f>
        <v>0.1932300633466843</v>
      </c>
      <c r="F96" s="1333">
        <f>SUM('2'!AK$37:AK$39)/SUM('4'!Q$21,'4'!Q$15)</f>
        <v>0.42124911329976122</v>
      </c>
      <c r="H96" s="1335">
        <f>SUM('2'!Z38:Z39)</f>
        <v>3794.0079508711769</v>
      </c>
      <c r="I96" s="20">
        <f>SUM('2'!AA38:AA39)</f>
        <v>1734.8813597550693</v>
      </c>
      <c r="J96" s="20">
        <f>SUM('2'!AE38:AE39)</f>
        <v>3540.6546644539612</v>
      </c>
      <c r="K96" s="266">
        <f>SUM('2'!AK37:AK39)</f>
        <v>50899.59978266753</v>
      </c>
    </row>
    <row r="97" spans="1:11" ht="15" x14ac:dyDescent="0.2">
      <c r="A97" s="265" t="s">
        <v>1476</v>
      </c>
      <c r="B97" s="7" t="s">
        <v>527</v>
      </c>
      <c r="C97" s="1242">
        <f>SUM('2'!Z$38)/SUM('4'!N$21,'4'!N$15)</f>
        <v>0.18481208826724124</v>
      </c>
      <c r="D97" s="1242">
        <f>SUM('2'!AA$38)/SUM('4'!O$21,'4'!O$15)</f>
        <v>0.24756675151240259</v>
      </c>
      <c r="E97" s="1242">
        <f>SUM('2'!AE$38)/SUM('4'!P$21,'4'!P$15)</f>
        <v>0.13547595712894872</v>
      </c>
      <c r="F97" s="1333">
        <f>SUM('2'!AK$38)/SUM('4'!Q$21,'4'!Q$15)</f>
        <v>0.2240327700511921</v>
      </c>
      <c r="H97" s="1335">
        <f>'2'!Z38</f>
        <v>2314.4199028638636</v>
      </c>
      <c r="I97" s="20">
        <f>'2'!AA38</f>
        <v>1166.5654589644651</v>
      </c>
      <c r="J97" s="20">
        <f>'2'!AE38</f>
        <v>2482.3962235595263</v>
      </c>
      <c r="K97" s="266">
        <f>'2'!AK38</f>
        <v>27069.916526313376</v>
      </c>
    </row>
    <row r="98" spans="1:11" ht="15" x14ac:dyDescent="0.2">
      <c r="A98" s="265" t="s">
        <v>1477</v>
      </c>
      <c r="B98" s="7" t="s">
        <v>1473</v>
      </c>
      <c r="C98" s="1242">
        <f>SUM('2'!Z$17:Z$18,'2'!Z$20:Z$22,'2'!Z$24,'2'!Z$26:Z$28)/SUM('4'!N$21,'4'!N$15)</f>
        <v>5.4299662678417689E-2</v>
      </c>
      <c r="D98" s="1242">
        <f>SUM('2'!AA$17:AA$18,'2'!AA$20:AA$22,'2'!AA$24,'2'!AA$26:AA$28)/SUM('4'!O$21,'4'!O$15)</f>
        <v>0.12733108953808503</v>
      </c>
      <c r="E98" s="1242">
        <f>SUM('2'!AE$17:AE$18,'2'!AE$20:AE$22,'2'!AE$24,'2'!AE$26:AE$28)/SUM('4'!P$21,'4'!P$15)</f>
        <v>0.11919108140817271</v>
      </c>
      <c r="F98" s="1333">
        <f>SUM('2'!AK$17:AK$18,'2'!AK$20:AK$22,'2'!AK$24,'2'!AK$26:AK$28)/SUM('4'!Q$21,'4'!Q$15)</f>
        <v>5.5201447510520203E-2</v>
      </c>
      <c r="H98" s="1335">
        <f>SUM('2'!Z17:Z18,'2'!Z20:Z22,'2'!Z24,'2'!Z26:Z28)</f>
        <v>680</v>
      </c>
      <c r="I98" s="20">
        <f>SUM('2'!AA17:AA18,'2'!AA20:AA22,'2'!AA24,'2'!AA26:AA28)</f>
        <v>600</v>
      </c>
      <c r="J98" s="20">
        <f>SUM('2'!AE17:AE18,'2'!AE20:AE22,'2'!AE24,'2'!AE26:AE28)</f>
        <v>2184</v>
      </c>
      <c r="K98" s="266">
        <f>SUM('2'!AK17:AK22,'2'!AK24,'2'!AK26:AK28)</f>
        <v>6670</v>
      </c>
    </row>
    <row r="99" spans="1:11" ht="15" x14ac:dyDescent="0.2">
      <c r="A99" s="265" t="s">
        <v>1478</v>
      </c>
      <c r="B99" s="7" t="s">
        <v>526</v>
      </c>
      <c r="C99" s="1242">
        <f>SUM('2'!Z$17:Z$18,'2'!Z$21:Z$22,'2'!Z$24,'2'!Z$26,'2'!Z$27,'2'!Z$28)/SUM('4'!N$21,'4'!N$15)</f>
        <v>2.3157209083442837E-2</v>
      </c>
      <c r="D99" s="1242">
        <f>SUM('2'!AA$17:AA$18,'2'!AA$21:AA$22,'2'!AA$24,'2'!AA$26,'2'!AA$27,'2'!AA$28)/SUM('4'!O$21,'4'!O$15)</f>
        <v>5.432793153624961E-2</v>
      </c>
      <c r="E99" s="1242">
        <f>SUM('2'!AE$17:AE$18,'2'!AE$21:AE$22,'2'!AE$24,'2'!AE$26,'2'!AE$27,'2'!AE$28)/SUM('4'!P$21,'4'!P$15)</f>
        <v>6.991015351825515E-2</v>
      </c>
      <c r="F99" s="1333">
        <f>SUM('2'!AK$17:AK$18,'2'!AK$21:AK$22,'2'!AK$24,'2'!AK$26,'2'!AK$27,'2'!AK$28)/SUM('4'!Q$21,'4'!Q$15)</f>
        <v>3.1788419773299569E-2</v>
      </c>
      <c r="H99" s="1335">
        <f>SUM('2'!Z17:Z18,'2'!Z21:Z22,'2'!Z24,'2'!Z26:Z28)</f>
        <v>290</v>
      </c>
      <c r="I99" s="20">
        <f>SUM('2'!AA17:AA18,'2'!AA21:AA22,'2'!AA24,'2'!AA26:AA28)</f>
        <v>256</v>
      </c>
      <c r="J99" s="20">
        <f>SUM('2'!AE17:AE18,'2'!AE21:AE22,'2'!AE24,'2'!AE26:AE28)</f>
        <v>1281</v>
      </c>
      <c r="K99" s="266">
        <f>SUM('2'!AK17:AK18,'2'!AK21:AK22,'2'!AK24,'2'!AK26:AK28)</f>
        <v>3841</v>
      </c>
    </row>
    <row r="100" spans="1:11" ht="15" x14ac:dyDescent="0.2">
      <c r="A100" s="265" t="s">
        <v>1479</v>
      </c>
      <c r="B100" s="7" t="s">
        <v>527</v>
      </c>
      <c r="C100" s="1242">
        <f>'4'!N84</f>
        <v>3.1142453594974851E-2</v>
      </c>
      <c r="D100" s="1242">
        <f>'4'!O84</f>
        <v>7.3003158001835419E-2</v>
      </c>
      <c r="E100" s="1242">
        <f>'4'!P84</f>
        <v>4.9280927889917558E-2</v>
      </c>
      <c r="F100" s="1333">
        <f>'4'!Q84</f>
        <v>2.3413027737220638E-2</v>
      </c>
      <c r="H100" s="1335">
        <f>'2'!Z20</f>
        <v>390</v>
      </c>
      <c r="I100" s="20">
        <f>'2'!AA20</f>
        <v>344</v>
      </c>
      <c r="J100" s="20">
        <f>'2'!AE20</f>
        <v>903</v>
      </c>
      <c r="K100" s="266">
        <f>'2'!AK20</f>
        <v>2829</v>
      </c>
    </row>
    <row r="101" spans="1:11" ht="15" x14ac:dyDescent="0.2">
      <c r="A101" s="265" t="s">
        <v>1480</v>
      </c>
      <c r="B101" s="7" t="s">
        <v>526</v>
      </c>
      <c r="C101" s="1242">
        <f>SUM('2'!Z$21:Z$22,'2'!Z$24,'2'!Z$26,'2'!Z$27,'2'!Z$28)/SUM('4'!N$21,'4'!N$15)</f>
        <v>1.772724281560107E-2</v>
      </c>
      <c r="D101" s="1242">
        <f>SUM('2'!AA$21:AA$22,'2'!AA$24,'2'!AA$26,'2'!AA$27,'2'!AA$28)/SUM('4'!O$21,'4'!O$15)</f>
        <v>4.3929225890639335E-2</v>
      </c>
      <c r="E101" s="1242">
        <f>SUM('2'!AE$21:AE$22,'2'!AE$24,'2'!AE$26,'2'!AE$27,'2'!AE$28)/SUM('4'!P$21,'4'!P$15)</f>
        <v>5.2555408148383845E-2</v>
      </c>
      <c r="F101" s="1333">
        <f>SUM('2'!AK$21:AK$22,'2'!AK$24,'2'!AK$26,'2'!AK$27,'2'!AK$28)/SUM('4'!Q$21,'4'!Q$15)</f>
        <v>2.4546850572144365E-2</v>
      </c>
      <c r="H101" s="1335">
        <f>SUM('2'!Z21:Z22,'2'!Z24,'2'!Z26:Z28)</f>
        <v>222</v>
      </c>
      <c r="I101" s="20">
        <f>SUM('2'!AA21:AA22,'2'!AA24,'2'!AA26:AA28)</f>
        <v>207</v>
      </c>
      <c r="J101" s="20">
        <f>SUM('2'!AE21:AE22,'2'!AE24,'2'!AE26:AE28)</f>
        <v>963</v>
      </c>
      <c r="K101" s="266">
        <f>SUM('2'!AK21:AK22,'2'!AK24,'2'!AK26:AK28)</f>
        <v>2966</v>
      </c>
    </row>
    <row r="102" spans="1:11" ht="15" x14ac:dyDescent="0.2">
      <c r="A102" s="265" t="s">
        <v>1481</v>
      </c>
      <c r="B102" s="7" t="s">
        <v>526</v>
      </c>
      <c r="C102" s="1242">
        <f>SUM('2'!Z$21:Z$22)/SUM('4'!N$21,'4'!N$15)</f>
        <v>9.9815556394150171E-3</v>
      </c>
      <c r="D102" s="1242">
        <f>SUM('2'!AA$21:AA$22)/SUM('4'!O$21,'4'!O$15)</f>
        <v>2.1221848256347504E-2</v>
      </c>
      <c r="E102" s="1242">
        <f>SUM('2'!AE$21:AE$22)/SUM('4'!P$21,'4'!P$15)</f>
        <v>2.0192628260542078E-2</v>
      </c>
      <c r="F102" s="1333">
        <f>SUM('2'!AK$21:AK$22)/SUM('4'!Q$21,'4'!Q$15)</f>
        <v>7.4567472574180969E-3</v>
      </c>
      <c r="H102" s="1335">
        <f>SUM('2'!Z21:Z22)</f>
        <v>125</v>
      </c>
      <c r="I102" s="20">
        <f>SUM('2'!AA21:AA22)</f>
        <v>100</v>
      </c>
      <c r="J102" s="20">
        <f>SUM('2'!AE21:AE22)</f>
        <v>370</v>
      </c>
      <c r="K102" s="266">
        <f>SUM('2'!AK21:AK22)</f>
        <v>901</v>
      </c>
    </row>
    <row r="103" spans="1:11" ht="15" x14ac:dyDescent="0.2">
      <c r="A103" s="265" t="s">
        <v>1482</v>
      </c>
      <c r="B103" s="7" t="s">
        <v>526</v>
      </c>
      <c r="C103" s="1242">
        <f>SUM('2'!Z$24,'2'!Z$26,'2'!Z$27,'2'!Z$28)/SUM('4'!N$21,'4'!N$15)</f>
        <v>7.745687176186053E-3</v>
      </c>
      <c r="D103" s="1242">
        <f>SUM('2'!AA$24,'2'!AA$26,'2'!AA$27,'2'!AA$28)/SUM('4'!O$21,'4'!O$15)</f>
        <v>2.2707377634291828E-2</v>
      </c>
      <c r="E103" s="1242">
        <f>SUM('2'!AE$24,'2'!AE$26,'2'!AE$27,'2'!AE$28)/SUM('4'!P$21,'4'!P$15)</f>
        <v>3.2362779887841767E-2</v>
      </c>
      <c r="F103" s="1333">
        <f>SUM('2'!AK$24,'2'!AK$26,'2'!AK$27,'2'!AK$28)/SUM('4'!Q$21,'4'!Q$15)</f>
        <v>1.7090103314726272E-2</v>
      </c>
      <c r="H103" s="1335">
        <f>SUM('2'!Z24,'2'!Z26,'2'!Z27,'2'!Z28)</f>
        <v>97</v>
      </c>
      <c r="I103" s="20">
        <f>SUM('2'!AA24,'2'!AA26,'2'!AA27,'2'!AA28)</f>
        <v>107</v>
      </c>
      <c r="J103" s="20">
        <f>SUM('2'!AE24,'2'!AE26:AE28)</f>
        <v>593</v>
      </c>
      <c r="K103" s="266">
        <f>SUM('2'!AK24,'2'!AK26:AK28)</f>
        <v>2065</v>
      </c>
    </row>
    <row r="104" spans="1:11" ht="15" x14ac:dyDescent="0.2">
      <c r="A104" s="265" t="s">
        <v>1483</v>
      </c>
      <c r="B104" s="7" t="s">
        <v>526</v>
      </c>
      <c r="C104" s="1242">
        <f>SUM('2'!Z$17:Z$18)/SUM('4'!N$21,'4'!N$15)</f>
        <v>5.4299662678417692E-3</v>
      </c>
      <c r="D104" s="1242">
        <f>SUM('2'!AA$17:AA$18)/SUM('4'!O$21,'4'!O$15)</f>
        <v>1.0398705645610276E-2</v>
      </c>
      <c r="E104" s="1242">
        <f>SUM('2'!AE$17:AE$18)/SUM('4'!P$21,'4'!P$15)</f>
        <v>1.7354745369871302E-2</v>
      </c>
      <c r="F104" s="1333">
        <f>SUM('2'!AK$17:AK$18)/SUM('4'!Q$21,'4'!Q$15)</f>
        <v>7.2415692011551991E-3</v>
      </c>
      <c r="H104" s="1335">
        <f>SUM('2'!Z17:Z18)</f>
        <v>68</v>
      </c>
      <c r="I104" s="20">
        <f>SUM('2'!AA17:AA18)</f>
        <v>49</v>
      </c>
      <c r="J104" s="20">
        <f>SUM('2'!AE17:AE18)</f>
        <v>318</v>
      </c>
      <c r="K104" s="266">
        <f>SUM('2'!AK17:AK18)</f>
        <v>875</v>
      </c>
    </row>
    <row r="105" spans="1:11" ht="15" x14ac:dyDescent="0.2">
      <c r="A105" s="265" t="s">
        <v>1484</v>
      </c>
      <c r="B105" s="7" t="s">
        <v>526</v>
      </c>
      <c r="C105" s="1242">
        <f>SUM('2'!Z$17)/SUM('4'!N$21,'4'!N$15)</f>
        <v>2.3157209083442837E-3</v>
      </c>
      <c r="D105" s="1242">
        <f>SUM('2'!AA$17)/SUM('4'!O$21,'4'!O$15)</f>
        <v>3.3954957210156006E-3</v>
      </c>
      <c r="E105" s="1242">
        <f>SUM('2'!AE$17)/SUM('4'!P$21,'4'!P$15)</f>
        <v>4.5842723618527963E-3</v>
      </c>
      <c r="F105" s="1333">
        <f>SUM('2'!AK$17)/SUM('4'!Q$21,'4'!Q$15)</f>
        <v>1.0924424394885557E-3</v>
      </c>
      <c r="H105" s="1335">
        <f>'2'!Z17</f>
        <v>29</v>
      </c>
      <c r="I105" s="20">
        <f>'2'!AA17</f>
        <v>16</v>
      </c>
      <c r="J105" s="20">
        <f>'2'!AE17</f>
        <v>84</v>
      </c>
      <c r="K105" s="266">
        <f>'2'!AK17</f>
        <v>132</v>
      </c>
    </row>
    <row r="106" spans="1:11" ht="15" x14ac:dyDescent="0.2">
      <c r="A106" s="1334" t="s">
        <v>1485</v>
      </c>
      <c r="B106" s="1518" t="s">
        <v>526</v>
      </c>
      <c r="C106" s="1603">
        <f>SUM('2'!Z$18)/SUM('4'!N$21,'4'!N$15)</f>
        <v>3.1142453594974855E-3</v>
      </c>
      <c r="D106" s="1603">
        <f>SUM('2'!AA$18)/SUM('4'!O$21,'4'!O$15)</f>
        <v>7.0032099245946767E-3</v>
      </c>
      <c r="E106" s="1603">
        <f>SUM('2'!AE$18)/SUM('4'!P$21,'4'!P$15)</f>
        <v>1.2770473008018505E-2</v>
      </c>
      <c r="F106" s="1604">
        <f>SUM('2'!AK$18)/SUM('4'!Q$21,'4'!Q$15)</f>
        <v>6.1491267616666434E-3</v>
      </c>
      <c r="G106" s="1596"/>
      <c r="H106" s="1345">
        <f>'2'!Z18</f>
        <v>39</v>
      </c>
      <c r="I106" s="1605">
        <f>'2'!AA18</f>
        <v>33</v>
      </c>
      <c r="J106" s="1605">
        <f>'2'!AE18</f>
        <v>234</v>
      </c>
      <c r="K106" s="1531">
        <f>'2'!AK18</f>
        <v>743</v>
      </c>
    </row>
    <row r="109" spans="1:11" ht="18" x14ac:dyDescent="0.25">
      <c r="A109" s="2153" t="s">
        <v>1486</v>
      </c>
      <c r="B109" s="2154"/>
      <c r="C109" s="2024"/>
    </row>
    <row r="110" spans="1:11" ht="18" x14ac:dyDescent="0.25">
      <c r="A110" s="1351"/>
      <c r="B110" s="1"/>
      <c r="C110" s="2116" t="s">
        <v>1487</v>
      </c>
    </row>
    <row r="111" spans="1:11" ht="15" x14ac:dyDescent="0.2">
      <c r="A111" s="1350"/>
      <c r="B111" s="1606"/>
      <c r="C111" s="1600" t="s">
        <v>448</v>
      </c>
    </row>
    <row r="112" spans="1:11" ht="15" x14ac:dyDescent="0.2">
      <c r="A112" s="265" t="s">
        <v>1488</v>
      </c>
      <c r="B112" s="7" t="s">
        <v>1473</v>
      </c>
      <c r="C112" s="1346">
        <f>SUM('2'!AE15:AG18,'2'!AE20:AG28,'2'!AE30:AG35,'2'!AE38:AG39)</f>
        <v>23094.32174029493</v>
      </c>
    </row>
    <row r="113" spans="1:3" ht="15" x14ac:dyDescent="0.2">
      <c r="A113" s="265" t="s">
        <v>1489</v>
      </c>
      <c r="B113" s="7" t="s">
        <v>1473</v>
      </c>
      <c r="C113" s="1346">
        <f>SUM('2'!AE15:AG18,'2'!AE20:AG22,'2'!AE24:AG28,'2'!AE30:AG35,'2'!AE38:AG39)</f>
        <v>22217.32174029493</v>
      </c>
    </row>
    <row r="114" spans="1:3" ht="15" x14ac:dyDescent="0.2">
      <c r="A114" s="265" t="s">
        <v>1490</v>
      </c>
      <c r="B114" s="7" t="s">
        <v>526</v>
      </c>
      <c r="C114" s="1346">
        <f>SUM('2'!AE15:AG18,'2'!AE21:AG22,'2'!AE24:AG28,'2'!AE31:AG34,'2'!AE39:AG39)</f>
        <v>9868.2464569129825</v>
      </c>
    </row>
    <row r="115" spans="1:3" ht="15" x14ac:dyDescent="0.2">
      <c r="A115" s="265" t="s">
        <v>1491</v>
      </c>
      <c r="B115" s="7" t="s">
        <v>527</v>
      </c>
      <c r="C115" s="1346">
        <f>SUM('2'!AE20:AG20,'2'!AE30:AG30,'2'!AE35:AG35,'2'!AE38:AG38)</f>
        <v>12349.07528338195</v>
      </c>
    </row>
    <row r="116" spans="1:3" ht="15" x14ac:dyDescent="0.2">
      <c r="A116" s="265" t="s">
        <v>1492</v>
      </c>
      <c r="B116" s="7" t="s">
        <v>1473</v>
      </c>
      <c r="C116" s="1346">
        <f>SUM('2'!AE17:AG18,'2'!AE20:AG28,'2'!AE30:AG35,'2'!AE38:AG39)</f>
        <v>21886.32174029493</v>
      </c>
    </row>
    <row r="117" spans="1:3" ht="15" x14ac:dyDescent="0.2">
      <c r="A117" s="265" t="s">
        <v>1493</v>
      </c>
      <c r="B117" s="7" t="s">
        <v>1473</v>
      </c>
      <c r="C117" s="1346">
        <f>SUM('2'!AE17:AG18,'2'!AE20:AG22,'2'!AE24:AG28,'2'!AE30:AG35,'2'!AE38:AG39)</f>
        <v>21009.32174029493</v>
      </c>
    </row>
    <row r="118" spans="1:3" ht="15" x14ac:dyDescent="0.2">
      <c r="A118" s="265" t="s">
        <v>1494</v>
      </c>
      <c r="B118" s="7" t="s">
        <v>1473</v>
      </c>
      <c r="C118" s="1346">
        <f>SUM('2'!AE23:AG23)</f>
        <v>877</v>
      </c>
    </row>
    <row r="119" spans="1:3" ht="15" x14ac:dyDescent="0.2">
      <c r="A119" s="265" t="s">
        <v>1495</v>
      </c>
      <c r="B119" s="7" t="s">
        <v>526</v>
      </c>
      <c r="C119" s="1346">
        <f>SUM(Table2PRN!G3626:G3632,Table2PRN!G3635,Table2PRN!G3639:G3643,Table2PRN!G3651,Table2PRN!G3654,Table2PRN!G3657,Table2PRN!G4046:G4052,Table2PRN!G4055,Table2PRN!G4059,Table2PRN!G4060:G4062,Table2PRN!G4063,Table2PRN!G4071,Table2PRN!G4074,Table2PRN!G4077)</f>
        <v>95</v>
      </c>
    </row>
    <row r="120" spans="1:3" ht="15" x14ac:dyDescent="0.2">
      <c r="A120" s="265" t="s">
        <v>1496</v>
      </c>
      <c r="B120" s="7" t="s">
        <v>527</v>
      </c>
      <c r="C120" s="1346">
        <f>SUM(Table2PRN!G3633,Table2PRN!G3634,Table2PRN!G3636,Table2PRN!G3637,Table2PRN!G3638,Table2PRN!G3644,Table2PRN!G3645,Table2PRN!G3652,Table2PRN!G3653,Table2PRN!G3655,Table2PRN!G3656,Table2PRN!G3658,Table2PRN!G3659,Table2PRN!G4053,Table2PRN!G4054,Table2PRN!G4056,Table2PRN!G4057,Table2PRN!G4058,Table2PRN!G4064,Table2PRN!G4065,Table2PRN!G4072,Table2PRN!G4073,Table2PRN!G4075,Table2PRN!G4076,Table2PRN!G4078,Table2PRN!G4079)</f>
        <v>782</v>
      </c>
    </row>
    <row r="121" spans="1:3" ht="15" x14ac:dyDescent="0.2">
      <c r="A121" s="265" t="s">
        <v>1497</v>
      </c>
      <c r="B121" s="7" t="s">
        <v>526</v>
      </c>
      <c r="C121" s="1346">
        <f>C122+C119</f>
        <v>8755.2464569129825</v>
      </c>
    </row>
    <row r="122" spans="1:3" ht="15" x14ac:dyDescent="0.2">
      <c r="A122" s="265" t="s">
        <v>1498</v>
      </c>
      <c r="B122" s="7" t="s">
        <v>526</v>
      </c>
      <c r="C122" s="1346">
        <f>SUM('2'!AE17:AG18,'2'!AE21:AG22,'2'!AE24:AG28,'2'!AE31:AG34,'2'!AE39:AG39)</f>
        <v>8660.2464569129825</v>
      </c>
    </row>
    <row r="123" spans="1:3" ht="15" x14ac:dyDescent="0.2">
      <c r="A123" s="265" t="s">
        <v>1499</v>
      </c>
      <c r="B123" s="7" t="s">
        <v>527</v>
      </c>
      <c r="C123" s="1346">
        <f>C124+C120</f>
        <v>13131.07528338195</v>
      </c>
    </row>
    <row r="124" spans="1:3" ht="15" x14ac:dyDescent="0.2">
      <c r="A124" s="265" t="s">
        <v>1500</v>
      </c>
      <c r="B124" s="7" t="s">
        <v>527</v>
      </c>
      <c r="C124" s="1346">
        <f>SUM('2'!AE20:AG20,'2'!AE30:AG30,'2'!AE35:AG35,'2'!AE38:AG38)</f>
        <v>12349.07528338195</v>
      </c>
    </row>
    <row r="125" spans="1:3" ht="15" x14ac:dyDescent="0.2">
      <c r="A125" s="265" t="s">
        <v>1501</v>
      </c>
      <c r="B125" s="7" t="s">
        <v>1473</v>
      </c>
      <c r="C125" s="1346">
        <f>SUM('2'!AE20:AG28,'2'!AE30:AG35,'2'!AE38:AG39)</f>
        <v>20439.32174029493</v>
      </c>
    </row>
    <row r="126" spans="1:3" ht="15" x14ac:dyDescent="0.2">
      <c r="A126" s="265" t="s">
        <v>1502</v>
      </c>
      <c r="B126" s="7" t="s">
        <v>1473</v>
      </c>
      <c r="C126" s="1346">
        <f>SUM('2'!AE20:AG22,'2'!AE24:AG28,'2'!AE30,'2'!AE30,'2'!AE30:AG35,'2'!AE38:AG39)</f>
        <v>19562.32174029493</v>
      </c>
    </row>
    <row r="127" spans="1:3" ht="15" x14ac:dyDescent="0.2">
      <c r="A127" s="265" t="s">
        <v>1503</v>
      </c>
      <c r="B127" s="7" t="s">
        <v>526</v>
      </c>
      <c r="C127" s="1346">
        <f>SUM('2'!AE21:AG22,'2'!AE24:AG28,'2'!AE31:AG34,'2'!AE39:AG39)</f>
        <v>7213.2464569129825</v>
      </c>
    </row>
    <row r="128" spans="1:3" ht="15" x14ac:dyDescent="0.2">
      <c r="A128" s="265" t="s">
        <v>1504</v>
      </c>
      <c r="B128" s="7" t="s">
        <v>527</v>
      </c>
      <c r="C128" s="1346">
        <f>SUM('2'!AE20:AG20,'2'!AE30:AG30,'2'!AE35:AG35,'2'!AE38:AG38)</f>
        <v>12349.07528338195</v>
      </c>
    </row>
    <row r="129" spans="1:3" ht="15" x14ac:dyDescent="0.2">
      <c r="A129" s="265" t="s">
        <v>1505</v>
      </c>
      <c r="B129" s="7" t="s">
        <v>526</v>
      </c>
      <c r="C129" s="1346">
        <f>SUM('2'!AE21:AG22,'2'!AE24:AG24,'2'!AE26:AG28)</f>
        <v>4775</v>
      </c>
    </row>
    <row r="130" spans="1:3" ht="15" x14ac:dyDescent="0.2">
      <c r="A130" s="265" t="s">
        <v>1506</v>
      </c>
      <c r="B130" s="7" t="s">
        <v>527</v>
      </c>
      <c r="C130" s="1346">
        <f>SUM('2'!AE20:AG20)</f>
        <v>1903</v>
      </c>
    </row>
    <row r="131" spans="1:3" ht="15" x14ac:dyDescent="0.2">
      <c r="A131" s="265" t="s">
        <v>1507</v>
      </c>
      <c r="B131" s="7" t="s">
        <v>527</v>
      </c>
      <c r="C131" s="1346">
        <f>SUM('2'!AE38:AG38)</f>
        <v>10325.07528338195</v>
      </c>
    </row>
    <row r="132" spans="1:3" ht="15" x14ac:dyDescent="0.2">
      <c r="A132" s="1334" t="s">
        <v>1508</v>
      </c>
      <c r="B132" s="1518" t="s">
        <v>526</v>
      </c>
      <c r="C132" s="1607">
        <f>SUM('2'!AE39:AG39)</f>
        <v>2180.2464569129816</v>
      </c>
    </row>
  </sheetData>
  <mergeCells count="25">
    <mergeCell ref="O77:Z77"/>
    <mergeCell ref="AB77:AM77"/>
    <mergeCell ref="AO77:AZ77"/>
    <mergeCell ref="AB82:AD82"/>
    <mergeCell ref="N82:O82"/>
    <mergeCell ref="P82:R82"/>
    <mergeCell ref="S82:U82"/>
    <mergeCell ref="V82:X82"/>
    <mergeCell ref="Y82:AA82"/>
    <mergeCell ref="H36:I37"/>
    <mergeCell ref="B34:B36"/>
    <mergeCell ref="H88:K88"/>
    <mergeCell ref="C88:F88"/>
    <mergeCell ref="A82:B82"/>
    <mergeCell ref="C82:D82"/>
    <mergeCell ref="F82:I82"/>
    <mergeCell ref="J82:M82"/>
    <mergeCell ref="B40:C40"/>
    <mergeCell ref="D40:D41"/>
    <mergeCell ref="H40:O40"/>
    <mergeCell ref="H41:I41"/>
    <mergeCell ref="K41:L41"/>
    <mergeCell ref="N41:O41"/>
    <mergeCell ref="A77:A79"/>
    <mergeCell ref="B77:M77"/>
  </mergeCells>
  <phoneticPr fontId="74" type="noConversion"/>
  <conditionalFormatting sqref="K92">
    <cfRule type="expression" dxfId="11" priority="9">
      <formula>$K$92&lt;$K$93</formula>
    </cfRule>
  </conditionalFormatting>
  <conditionalFormatting sqref="J92">
    <cfRule type="expression" dxfId="10" priority="10">
      <formula>$J$92&lt;$J$93</formula>
    </cfRule>
  </conditionalFormatting>
  <conditionalFormatting sqref="I92">
    <cfRule type="expression" dxfId="9" priority="11">
      <formula>$I$92&lt;$I$93</formula>
    </cfRule>
  </conditionalFormatting>
  <conditionalFormatting sqref="H92">
    <cfRule type="expression" dxfId="8" priority="12">
      <formula>$H$92&lt;$H$93</formula>
    </cfRule>
  </conditionalFormatting>
  <conditionalFormatting sqref="F92">
    <cfRule type="expression" dxfId="7" priority="8">
      <formula>$F$92&lt;$F$93</formula>
    </cfRule>
  </conditionalFormatting>
  <conditionalFormatting sqref="E92">
    <cfRule type="expression" dxfId="6" priority="7">
      <formula>$E$92&lt;$E$93</formula>
    </cfRule>
  </conditionalFormatting>
  <conditionalFormatting sqref="D92">
    <cfRule type="expression" dxfId="5" priority="6">
      <formula>$D$92&lt;$D$93</formula>
    </cfRule>
  </conditionalFormatting>
  <conditionalFormatting sqref="C92">
    <cfRule type="expression" dxfId="4" priority="5">
      <formula>$C$92&lt;$C$93</formula>
    </cfRule>
  </conditionalFormatting>
  <conditionalFormatting sqref="J28">
    <cfRule type="expression" dxfId="3" priority="4">
      <formula>$J$28&gt;$L$28</formula>
    </cfRule>
  </conditionalFormatting>
  <conditionalFormatting sqref="J30">
    <cfRule type="expression" dxfId="2" priority="3">
      <formula>$J$30&lt;$L$30</formula>
    </cfRule>
  </conditionalFormatting>
  <conditionalFormatting sqref="J35">
    <cfRule type="expression" dxfId="1" priority="2">
      <formula>$J$35&gt;$L$35</formula>
    </cfRule>
  </conditionalFormatting>
  <conditionalFormatting sqref="J36">
    <cfRule type="expression" dxfId="0" priority="1">
      <formula>$J$36&gt;$L$36</formula>
    </cfRule>
  </conditionalFormatting>
  <pageMargins left="0.52" right="0.59" top="1" bottom="1" header="0.5" footer="0.5"/>
  <pageSetup scale="95" orientation="portrait" horizontalDpi="4294967293" verticalDpi="4294967293"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theme="6" tint="0.59999389629810485"/>
    <pageSetUpPr fitToPage="1"/>
  </sheetPr>
  <dimension ref="A1:AG197"/>
  <sheetViews>
    <sheetView topLeftCell="F1" zoomScale="90" zoomScaleNormal="90" workbookViewId="0">
      <selection activeCell="P25" sqref="P25"/>
    </sheetView>
  </sheetViews>
  <sheetFormatPr defaultColWidth="9.140625" defaultRowHeight="12.75" x14ac:dyDescent="0.2"/>
  <cols>
    <col min="1" max="3" width="9.140625" style="44" hidden="1" customWidth="1"/>
    <col min="4" max="4" width="9.5703125" style="44" hidden="1" customWidth="1"/>
    <col min="5" max="5" width="2" style="44" hidden="1" customWidth="1"/>
    <col min="6" max="6" width="2.85546875" style="44" customWidth="1"/>
    <col min="7" max="7" width="20.140625" style="44" customWidth="1"/>
    <col min="8" max="8" width="14.140625" style="44" customWidth="1"/>
    <col min="9" max="9" width="12.140625" style="44" customWidth="1"/>
    <col min="10" max="10" width="10.5703125" style="44" customWidth="1"/>
    <col min="11" max="11" width="13" style="44" customWidth="1"/>
    <col min="12" max="12" width="10.5703125" style="44" customWidth="1"/>
    <col min="13" max="13" width="17.5703125" style="44" customWidth="1"/>
    <col min="14" max="14" width="9.28515625" style="44" customWidth="1"/>
    <col min="15" max="15" width="15.5703125" style="44" customWidth="1"/>
    <col min="16" max="16" width="16.28515625" style="44" customWidth="1"/>
    <col min="17" max="17" width="10.28515625" style="44" customWidth="1"/>
    <col min="18" max="18" width="9.28515625" style="44" customWidth="1"/>
    <col min="19" max="19" width="13.5703125" style="44" customWidth="1"/>
    <col min="20" max="20" width="11.28515625" style="44" customWidth="1"/>
    <col min="21" max="21" width="8.28515625" style="44" customWidth="1"/>
    <col min="22" max="22" width="18.28515625" style="44" customWidth="1"/>
    <col min="23" max="23" width="13.5703125" style="44" customWidth="1"/>
    <col min="24" max="24" width="7.85546875" style="44" customWidth="1"/>
    <col min="25" max="25" width="7.28515625" style="44" customWidth="1"/>
    <col min="26" max="26" width="10.140625" style="44" customWidth="1"/>
    <col min="27" max="27" width="15.28515625" style="44" customWidth="1"/>
    <col min="28" max="28" width="9.28515625" style="44" customWidth="1"/>
    <col min="29" max="29" width="13" style="44" customWidth="1"/>
    <col min="30" max="31" width="9.140625" style="44"/>
    <col min="32" max="32" width="12" style="44" customWidth="1"/>
    <col min="33" max="33" width="16.5703125" style="44" customWidth="1"/>
    <col min="34" max="16384" width="9.140625" style="44"/>
  </cols>
  <sheetData>
    <row r="1" spans="1:29" ht="12.75" customHeight="1" x14ac:dyDescent="0.2">
      <c r="A1" s="180"/>
      <c r="B1" s="180"/>
      <c r="C1" s="180"/>
      <c r="D1" s="180"/>
      <c r="E1" s="180"/>
      <c r="F1" s="180"/>
      <c r="G1" s="37" t="s">
        <v>1509</v>
      </c>
      <c r="H1" s="180"/>
      <c r="I1" s="180"/>
      <c r="J1" s="180"/>
      <c r="K1" s="180"/>
      <c r="L1" s="180"/>
      <c r="M1" s="180"/>
      <c r="N1" s="180"/>
      <c r="O1" s="180"/>
      <c r="P1" s="180"/>
      <c r="Q1" s="180"/>
      <c r="R1" s="180"/>
      <c r="S1" s="180"/>
      <c r="T1" s="180"/>
      <c r="U1" s="180"/>
      <c r="V1" s="37" t="s">
        <v>1510</v>
      </c>
      <c r="W1" s="180"/>
      <c r="X1" s="180"/>
      <c r="Y1" s="180"/>
      <c r="Z1" s="180"/>
      <c r="AA1" s="180"/>
      <c r="AB1" s="180"/>
      <c r="AC1" s="180"/>
    </row>
    <row r="2" spans="1:29" ht="12.75" customHeight="1" x14ac:dyDescent="0.2">
      <c r="A2" s="180"/>
      <c r="B2" s="180"/>
      <c r="C2" s="180"/>
      <c r="D2" s="180"/>
      <c r="E2" s="180"/>
      <c r="F2" s="180"/>
      <c r="G2" s="550" t="s">
        <v>1511</v>
      </c>
      <c r="H2" s="180" t="str">
        <f>Input_Harvestnew!B4</f>
        <v>Final PFMC April - Adopted+NOF</v>
      </c>
      <c r="I2" s="180"/>
      <c r="J2" s="180"/>
      <c r="K2" s="550" t="s">
        <v>1512</v>
      </c>
      <c r="L2" s="959"/>
      <c r="M2" s="180"/>
      <c r="N2" s="180"/>
      <c r="O2" s="180"/>
      <c r="P2" s="180"/>
      <c r="Q2" s="180"/>
      <c r="R2" s="180"/>
      <c r="S2" s="180"/>
      <c r="T2" s="180"/>
      <c r="U2" s="180"/>
      <c r="V2" s="37"/>
      <c r="W2" s="180"/>
      <c r="X2" s="180"/>
      <c r="Y2" s="180"/>
      <c r="Z2" s="180"/>
      <c r="AA2" s="180"/>
      <c r="AB2" s="180"/>
      <c r="AC2" s="180"/>
    </row>
    <row r="3" spans="1:29" ht="12.75" customHeight="1" x14ac:dyDescent="0.2">
      <c r="A3" s="180"/>
      <c r="B3" s="180"/>
      <c r="C3" s="180"/>
      <c r="D3" s="180"/>
      <c r="E3" s="180"/>
      <c r="F3" s="180"/>
      <c r="G3" s="180"/>
      <c r="H3" s="180"/>
      <c r="I3" s="180"/>
      <c r="J3" s="180"/>
      <c r="K3" s="180"/>
      <c r="L3" s="180"/>
      <c r="M3" s="180"/>
      <c r="N3" s="180"/>
      <c r="O3" s="180"/>
      <c r="P3" s="180"/>
      <c r="Q3" s="180"/>
      <c r="R3" s="180"/>
      <c r="S3" s="180"/>
      <c r="T3" s="180"/>
      <c r="U3" s="180"/>
      <c r="V3" s="37"/>
      <c r="W3" s="180"/>
      <c r="X3" s="180"/>
      <c r="Y3" s="180"/>
      <c r="Z3" s="180"/>
      <c r="AA3" s="180"/>
      <c r="AB3" s="180"/>
      <c r="AC3" s="180"/>
    </row>
    <row r="4" spans="1:29" ht="12.75" customHeight="1" x14ac:dyDescent="0.2">
      <c r="A4" s="180"/>
      <c r="B4" s="180"/>
      <c r="C4" s="1106"/>
      <c r="D4" s="180"/>
      <c r="E4" s="180"/>
      <c r="F4" s="180"/>
      <c r="G4" s="2147"/>
      <c r="H4" s="2158"/>
      <c r="I4" s="2159" t="s">
        <v>1513</v>
      </c>
      <c r="J4" s="2159"/>
      <c r="K4" s="2158"/>
      <c r="L4" s="2158"/>
      <c r="M4" s="2160" t="s">
        <v>126</v>
      </c>
      <c r="N4" s="2158"/>
      <c r="O4" s="2158"/>
      <c r="P4" s="2028"/>
      <c r="Q4" s="180"/>
      <c r="R4" s="180"/>
      <c r="S4" s="180"/>
      <c r="T4" s="180"/>
      <c r="U4" s="180"/>
      <c r="V4" s="2147"/>
      <c r="W4" s="2161" t="s">
        <v>1514</v>
      </c>
      <c r="X4" s="2158"/>
      <c r="Y4" s="2158"/>
      <c r="Z4" s="2158"/>
      <c r="AA4" s="2158"/>
      <c r="AB4" s="2028"/>
      <c r="AC4" s="2028"/>
    </row>
    <row r="5" spans="1:29" ht="12.75" customHeight="1" x14ac:dyDescent="0.2">
      <c r="A5" s="180"/>
      <c r="B5" s="180"/>
      <c r="C5" s="180"/>
      <c r="D5" s="1106"/>
      <c r="E5" s="180"/>
      <c r="F5" s="180"/>
      <c r="G5" s="202"/>
      <c r="H5" s="180"/>
      <c r="I5" s="320" t="s">
        <v>1515</v>
      </c>
      <c r="J5" s="320"/>
      <c r="K5" s="180"/>
      <c r="L5" s="180"/>
      <c r="M5" s="173" t="s">
        <v>1516</v>
      </c>
      <c r="N5" s="180"/>
      <c r="O5" s="180"/>
      <c r="P5" s="203"/>
      <c r="Q5" s="180"/>
      <c r="R5" s="180"/>
      <c r="S5" s="180"/>
      <c r="T5" s="180"/>
      <c r="U5" s="180"/>
      <c r="V5" s="202"/>
      <c r="W5" s="109" t="s">
        <v>473</v>
      </c>
      <c r="X5" s="67" t="s">
        <v>474</v>
      </c>
      <c r="Y5" s="67" t="s">
        <v>448</v>
      </c>
      <c r="Z5" s="67" t="s">
        <v>1517</v>
      </c>
      <c r="AA5" s="67" t="s">
        <v>1518</v>
      </c>
      <c r="AB5" s="108" t="s">
        <v>1519</v>
      </c>
      <c r="AC5" s="108" t="s">
        <v>236</v>
      </c>
    </row>
    <row r="6" spans="1:29" ht="12.75" customHeight="1" thickBot="1" x14ac:dyDescent="0.25">
      <c r="A6" s="180"/>
      <c r="B6" s="180"/>
      <c r="C6" s="1608"/>
      <c r="D6" s="1608"/>
      <c r="E6" s="180"/>
      <c r="F6" s="180"/>
      <c r="G6" s="202"/>
      <c r="H6" s="2121" t="s">
        <v>970</v>
      </c>
      <c r="I6" s="2121" t="s">
        <v>542</v>
      </c>
      <c r="J6" s="2528" t="s">
        <v>542</v>
      </c>
      <c r="K6" s="2529"/>
      <c r="L6" s="2121" t="s">
        <v>542</v>
      </c>
      <c r="M6" s="107"/>
      <c r="N6" s="180"/>
      <c r="O6" s="180"/>
      <c r="P6" s="203"/>
      <c r="Q6" s="180"/>
      <c r="R6" s="180"/>
      <c r="S6" s="180"/>
      <c r="T6" s="180"/>
      <c r="U6" s="180"/>
      <c r="V6" s="1609" t="s">
        <v>1520</v>
      </c>
      <c r="W6" s="1610"/>
      <c r="X6" s="1611"/>
      <c r="Y6" s="1611"/>
      <c r="Z6" s="1611"/>
      <c r="AA6" s="1611"/>
      <c r="AB6" s="1612"/>
      <c r="AC6" s="1612"/>
    </row>
    <row r="7" spans="1:29" ht="12.75" customHeight="1" x14ac:dyDescent="0.2">
      <c r="A7" s="180"/>
      <c r="B7" s="180"/>
      <c r="C7" s="180"/>
      <c r="D7" s="180"/>
      <c r="E7" s="180"/>
      <c r="F7" s="180"/>
      <c r="G7" s="202"/>
      <c r="H7" s="2121" t="s">
        <v>577</v>
      </c>
      <c r="I7" s="2121" t="s">
        <v>1521</v>
      </c>
      <c r="J7" s="2528" t="s">
        <v>1124</v>
      </c>
      <c r="K7" s="2529"/>
      <c r="L7" s="2121" t="s">
        <v>1124</v>
      </c>
      <c r="M7" s="126" t="s">
        <v>1522</v>
      </c>
      <c r="N7" s="180"/>
      <c r="O7" s="180"/>
      <c r="P7" s="203"/>
      <c r="Q7" s="180"/>
      <c r="R7" s="180"/>
      <c r="S7" s="180"/>
      <c r="T7" s="180"/>
      <c r="U7" s="180"/>
      <c r="V7" s="2162" t="s">
        <v>1523</v>
      </c>
      <c r="W7" s="2163">
        <f>SUM(StockSumPRN!H2540:I2541)</f>
        <v>142</v>
      </c>
      <c r="X7" s="2164">
        <f>SUM(StockSumPRN!H2543:I2544)</f>
        <v>5</v>
      </c>
      <c r="Y7" s="2164">
        <f>SUM(StockSumPRN!H2537:I2538)</f>
        <v>0</v>
      </c>
      <c r="Z7" s="2164">
        <f>SUM(StockSumPRN!H2532:I2532)</f>
        <v>0</v>
      </c>
      <c r="AA7" s="2164">
        <f>SUM(StockSumPRN!H2519:I2519)</f>
        <v>0</v>
      </c>
      <c r="AB7" s="2029">
        <f>SUM(StockSumPRN!H2516:I2516)</f>
        <v>0</v>
      </c>
      <c r="AC7" s="2028">
        <f>SUM(W7:AB7)</f>
        <v>147</v>
      </c>
    </row>
    <row r="8" spans="1:29" ht="12.75" customHeight="1" x14ac:dyDescent="0.2">
      <c r="A8" s="180"/>
      <c r="B8" s="180"/>
      <c r="C8" s="180"/>
      <c r="D8" s="180"/>
      <c r="E8" s="180"/>
      <c r="F8" s="180"/>
      <c r="G8" s="116" t="s">
        <v>545</v>
      </c>
      <c r="H8" s="2121" t="s">
        <v>444</v>
      </c>
      <c r="I8" s="2121" t="s">
        <v>1524</v>
      </c>
      <c r="J8" s="2528" t="s">
        <v>1525</v>
      </c>
      <c r="K8" s="2529"/>
      <c r="L8" s="2121" t="s">
        <v>1525</v>
      </c>
      <c r="M8" s="127" t="s">
        <v>1526</v>
      </c>
      <c r="N8" s="180"/>
      <c r="O8" s="180"/>
      <c r="P8" s="203"/>
      <c r="Q8" s="180"/>
      <c r="R8" s="180"/>
      <c r="S8" s="180"/>
      <c r="T8" s="180"/>
      <c r="U8" s="180"/>
      <c r="V8" s="106" t="s">
        <v>1380</v>
      </c>
      <c r="W8" s="1613">
        <f>SUM(StockSumPRN!B2745:C2746)</f>
        <v>1308</v>
      </c>
      <c r="X8" s="550">
        <f>SUM(StockSumPRN!B2748:C2749)</f>
        <v>61</v>
      </c>
      <c r="Y8" s="550">
        <f>SUM(StockSumPRN!B2742:C2743)</f>
        <v>0</v>
      </c>
      <c r="Z8" s="550">
        <f>SUM(StockSumPRN!B2737:C2738)</f>
        <v>3</v>
      </c>
      <c r="AA8" s="550">
        <f>SUM(StockSumPRN!B2724:C2724)</f>
        <v>0</v>
      </c>
      <c r="AB8" s="1614">
        <f>SUM(StockSumPRN!B2721:C2721)</f>
        <v>0</v>
      </c>
      <c r="AC8" s="203">
        <f t="shared" ref="AC8:AC14" si="0">SUM(W8:AB8)</f>
        <v>1372</v>
      </c>
    </row>
    <row r="9" spans="1:29" ht="12.75" customHeight="1" thickBot="1" x14ac:dyDescent="0.25">
      <c r="A9" s="180"/>
      <c r="B9" s="180"/>
      <c r="C9" s="180"/>
      <c r="D9" s="180"/>
      <c r="E9" s="180"/>
      <c r="F9" s="180"/>
      <c r="G9" s="202"/>
      <c r="H9" s="2119" t="s">
        <v>1527</v>
      </c>
      <c r="I9" s="2121" t="s">
        <v>1528</v>
      </c>
      <c r="J9" s="2528" t="s">
        <v>1529</v>
      </c>
      <c r="K9" s="2529"/>
      <c r="L9" s="2121" t="s">
        <v>970</v>
      </c>
      <c r="M9" s="128" t="s">
        <v>1530</v>
      </c>
      <c r="N9" s="37"/>
      <c r="O9" s="123" t="s">
        <v>1531</v>
      </c>
      <c r="P9" s="1615"/>
      <c r="Q9" s="180"/>
      <c r="R9" s="180"/>
      <c r="S9" s="180"/>
      <c r="T9" s="180"/>
      <c r="U9" s="180"/>
      <c r="V9" s="106" t="s">
        <v>474</v>
      </c>
      <c r="W9" s="1616">
        <f>SUM(StockSumPRN!F2745:G2746)</f>
        <v>0</v>
      </c>
      <c r="X9" s="1617">
        <f>SUM(StockSumPRN!F2748:G2749)</f>
        <v>1166</v>
      </c>
      <c r="Y9" s="550">
        <f>SUM(StockSumPRN!F2742:G2743)</f>
        <v>14</v>
      </c>
      <c r="Z9" s="550">
        <f>SUM(StockSumPRN!F2737:G2738)</f>
        <v>3</v>
      </c>
      <c r="AA9" s="550">
        <f>SUM(StockSumPRN!F2724:G2724)</f>
        <v>1</v>
      </c>
      <c r="AB9" s="1614">
        <f>SUM(StockSumPRN!F2721:G2721)</f>
        <v>0</v>
      </c>
      <c r="AC9" s="203">
        <f t="shared" si="0"/>
        <v>1184</v>
      </c>
    </row>
    <row r="10" spans="1:29" ht="12.75" customHeight="1" x14ac:dyDescent="0.2">
      <c r="A10" s="180"/>
      <c r="B10" s="180"/>
      <c r="C10" s="180"/>
      <c r="D10" s="180"/>
      <c r="E10" s="180"/>
      <c r="F10" s="180"/>
      <c r="G10" s="1610"/>
      <c r="H10" s="1594"/>
      <c r="I10" s="1611"/>
      <c r="J10" s="2535" t="s">
        <v>1527</v>
      </c>
      <c r="K10" s="2536"/>
      <c r="L10" s="1618" t="s">
        <v>1532</v>
      </c>
      <c r="M10" s="1611"/>
      <c r="N10" s="1611"/>
      <c r="O10" s="1619" t="s">
        <v>1527</v>
      </c>
      <c r="P10" s="1612"/>
      <c r="Q10" s="180"/>
      <c r="R10" s="180"/>
      <c r="S10" s="180"/>
      <c r="T10" s="180"/>
      <c r="U10" s="180"/>
      <c r="V10" s="106" t="s">
        <v>448</v>
      </c>
      <c r="W10" s="1616">
        <f>SUM(StockSumPRN!J2745:K2746)</f>
        <v>0</v>
      </c>
      <c r="X10" s="550">
        <f>SUM(StockSumPRN!J2748:K2749)</f>
        <v>242</v>
      </c>
      <c r="Y10" s="1617">
        <f>SUM(StockSumPRN!J2742:K2743)</f>
        <v>2640</v>
      </c>
      <c r="Z10" s="550">
        <f>SUM(StockSumPRN!J2737:K2738)</f>
        <v>110</v>
      </c>
      <c r="AA10" s="550">
        <f>SUM(StockSumPRN!J2724:K2724,StockSumPRN!J2722:K2722)</f>
        <v>48</v>
      </c>
      <c r="AB10" s="1614">
        <f>SUM(StockSumPRN!J2721:K2721)</f>
        <v>3</v>
      </c>
      <c r="AC10" s="203">
        <f t="shared" si="0"/>
        <v>3043</v>
      </c>
    </row>
    <row r="11" spans="1:29" ht="12.75" customHeight="1" x14ac:dyDescent="0.2">
      <c r="A11" s="118"/>
      <c r="B11" s="118"/>
      <c r="C11" s="193" t="s">
        <v>1533</v>
      </c>
      <c r="D11" s="118"/>
      <c r="E11" s="180"/>
      <c r="F11" s="180"/>
      <c r="G11" s="180"/>
      <c r="H11" s="180"/>
      <c r="I11" s="180"/>
      <c r="J11" s="180"/>
      <c r="K11" s="180"/>
      <c r="L11" s="180"/>
      <c r="M11" s="180"/>
      <c r="N11" s="180"/>
      <c r="O11" s="180"/>
      <c r="P11" s="180"/>
      <c r="Q11" s="180"/>
      <c r="R11" s="180"/>
      <c r="S11" s="180"/>
      <c r="T11" s="180"/>
      <c r="U11" s="180"/>
      <c r="V11" s="106" t="s">
        <v>1517</v>
      </c>
      <c r="W11" s="1616">
        <f>SUM(StockSumPRN!F2950:G2951)</f>
        <v>0</v>
      </c>
      <c r="X11" s="550">
        <f>SUM(StockSumPRN!F2953:G2954)</f>
        <v>7</v>
      </c>
      <c r="Y11" s="550">
        <f>SUM(StockSumPRN!F2947:G2948)</f>
        <v>309</v>
      </c>
      <c r="Z11" s="1617">
        <f>SUM(StockSumPRN!F2942:G2943)</f>
        <v>4810</v>
      </c>
      <c r="AA11" s="550">
        <f>SUM(StockSumPRN!F2929:G2929,StockSumPRN!F2927:G2927)</f>
        <v>14</v>
      </c>
      <c r="AB11" s="1614">
        <f>SUM(StockSumPRN!F2926:G2926)</f>
        <v>0</v>
      </c>
      <c r="AC11" s="203">
        <f t="shared" si="0"/>
        <v>5140</v>
      </c>
    </row>
    <row r="12" spans="1:29" ht="12.75" customHeight="1" thickBot="1" x14ac:dyDescent="0.25">
      <c r="A12" s="118" t="s">
        <v>1534</v>
      </c>
      <c r="B12" s="118" t="s">
        <v>861</v>
      </c>
      <c r="C12" s="194" t="s">
        <v>1535</v>
      </c>
      <c r="D12" s="118" t="s">
        <v>1536</v>
      </c>
      <c r="E12" s="180"/>
      <c r="F12" s="180"/>
      <c r="G12" s="2147"/>
      <c r="H12" s="2165" t="s">
        <v>1537</v>
      </c>
      <c r="I12" s="2158"/>
      <c r="J12" s="2158"/>
      <c r="K12" s="2158"/>
      <c r="L12" s="2158"/>
      <c r="M12" s="2096" t="s">
        <v>7520</v>
      </c>
      <c r="N12" s="2409"/>
      <c r="O12" s="2097"/>
      <c r="P12" s="2171"/>
      <c r="Q12" s="121"/>
      <c r="R12" s="121"/>
      <c r="S12" s="121"/>
      <c r="T12" s="121"/>
      <c r="U12" s="121"/>
      <c r="V12" s="106" t="s">
        <v>1420</v>
      </c>
      <c r="W12" s="1616">
        <f>SUM(StockSumPRN!J2950:K2950,StockSumPRN!D3155:E3155,StockSumPRN!H3155:I3155)</f>
        <v>0</v>
      </c>
      <c r="X12" s="550">
        <f>SUM(StockSumPRN!J2953:K2953,StockSumPRN!D3158:E3158,StockSumPRN!H3158:I3158)</f>
        <v>1</v>
      </c>
      <c r="Y12" s="550">
        <f>SUM(StockSumPRN!J2947:K2947,StockSumPRN!D3152:E3152,StockSumPRN!H3152:I3152)</f>
        <v>11</v>
      </c>
      <c r="Z12" s="550">
        <f>SUM(StockSumPRN!J2942:K2942,StockSumPRN!D3147:E3147,StockSumPRN!H3147:I3147)</f>
        <v>67</v>
      </c>
      <c r="AA12" s="1617">
        <f>SUM(StockSumPRN!J2929:K2929,StockSumPRN!D3134:E3134,StockSumPRN!H3134:I3134,StockSumPRN!J2927:K2927,StockSumPRN!D3132:E3132,StockSumPRN!H3132:I3132)</f>
        <v>7027</v>
      </c>
      <c r="AB12" s="1614">
        <f>SUM(StockSumPRN!J2926:K2926,StockSumPRN!D3131:E3131,StockSumPRN!H3131:I3131)</f>
        <v>729</v>
      </c>
      <c r="AC12" s="203">
        <f t="shared" si="0"/>
        <v>7835</v>
      </c>
    </row>
    <row r="13" spans="1:29" ht="13.5" thickBot="1" x14ac:dyDescent="0.25">
      <c r="A13" s="118" t="s">
        <v>1538</v>
      </c>
      <c r="B13" s="118" t="s">
        <v>1539</v>
      </c>
      <c r="C13" s="118" t="s">
        <v>1540</v>
      </c>
      <c r="D13" s="118" t="s">
        <v>1541</v>
      </c>
      <c r="E13" s="180"/>
      <c r="F13" s="180"/>
      <c r="G13" s="202"/>
      <c r="H13" s="180"/>
      <c r="I13" s="37" t="s">
        <v>1542</v>
      </c>
      <c r="J13" s="79" t="s">
        <v>1543</v>
      </c>
      <c r="K13" s="192" t="s">
        <v>1544</v>
      </c>
      <c r="L13" s="180"/>
      <c r="M13" s="1620">
        <v>-88</v>
      </c>
      <c r="N13" s="180"/>
      <c r="O13" s="124" t="s">
        <v>1545</v>
      </c>
      <c r="P13" s="1615"/>
      <c r="Q13" s="124" t="s">
        <v>1546</v>
      </c>
      <c r="R13" s="170"/>
      <c r="S13" s="121"/>
      <c r="T13" s="121"/>
      <c r="U13" s="121"/>
      <c r="V13" s="1621" t="s">
        <v>1519</v>
      </c>
      <c r="W13" s="1622">
        <f>SUM(StockSumPRN!B3360:C3361)</f>
        <v>0</v>
      </c>
      <c r="X13" s="1623">
        <f>SUM(StockSumPRN!B3363:C3364)</f>
        <v>0</v>
      </c>
      <c r="Y13" s="1623">
        <f>SUM(StockSumPRN!B3357:C3358)</f>
        <v>2</v>
      </c>
      <c r="Z13" s="1623">
        <f>SUM(StockSumPRN!B3352:C3352)</f>
        <v>0</v>
      </c>
      <c r="AA13" s="1623">
        <f>SUM(StockSumPRN!B3339:C3339,StockSumPRN!B3337:C3337)</f>
        <v>9</v>
      </c>
      <c r="AB13" s="1624">
        <f>SUM(StockSumPRN!B3336:C3336)</f>
        <v>11996</v>
      </c>
      <c r="AC13" s="1612">
        <f t="shared" si="0"/>
        <v>12007</v>
      </c>
    </row>
    <row r="14" spans="1:29" ht="15" x14ac:dyDescent="0.25">
      <c r="A14" s="195">
        <v>0</v>
      </c>
      <c r="B14" s="189">
        <f>A14*L$18</f>
        <v>0</v>
      </c>
      <c r="C14" s="189">
        <f>B14+H14</f>
        <v>17638.33465185219</v>
      </c>
      <c r="D14" s="189">
        <f>C14*I14</f>
        <v>1492.2031115466953</v>
      </c>
      <c r="E14" s="497"/>
      <c r="F14" s="180"/>
      <c r="G14" s="202" t="s">
        <v>1547</v>
      </c>
      <c r="H14" s="1625">
        <f>TRunsPRN!$D20</f>
        <v>17638.33465185219</v>
      </c>
      <c r="I14" s="2091">
        <v>8.4599999999999995E-2</v>
      </c>
      <c r="J14" s="1626">
        <f>IF(I14="na","na",I14*H14)</f>
        <v>1492.2031115466953</v>
      </c>
      <c r="K14" s="189">
        <f>D14+A14*D$22</f>
        <v>1492.2031115466953</v>
      </c>
      <c r="L14" s="1627">
        <f>SUM(StockSumPRN!D2745:E2746)</f>
        <v>2743</v>
      </c>
      <c r="M14" s="2122"/>
      <c r="N14" s="180"/>
      <c r="O14" s="180" t="s">
        <v>1548</v>
      </c>
      <c r="P14" s="1628">
        <f>IF(I14="na","",SUM(J14:J17))</f>
        <v>4526.1053126882953</v>
      </c>
      <c r="Q14" s="627"/>
      <c r="R14" s="180"/>
      <c r="S14" s="180"/>
      <c r="T14" s="180"/>
      <c r="U14" s="180"/>
      <c r="V14" s="2000" t="s">
        <v>236</v>
      </c>
      <c r="W14" s="2001">
        <f t="shared" ref="W14:AB14" si="1">SUM(W7:W13)</f>
        <v>1450</v>
      </c>
      <c r="X14" s="2002">
        <f t="shared" si="1"/>
        <v>1482</v>
      </c>
      <c r="Y14" s="2002">
        <f t="shared" si="1"/>
        <v>2976</v>
      </c>
      <c r="Z14" s="2002">
        <f t="shared" si="1"/>
        <v>4993</v>
      </c>
      <c r="AA14" s="2002">
        <f t="shared" si="1"/>
        <v>7099</v>
      </c>
      <c r="AB14" s="2003">
        <f t="shared" si="1"/>
        <v>12728</v>
      </c>
      <c r="AC14" s="2004">
        <f t="shared" si="0"/>
        <v>30728</v>
      </c>
    </row>
    <row r="15" spans="1:29" ht="15" x14ac:dyDescent="0.25">
      <c r="A15" s="195">
        <v>0</v>
      </c>
      <c r="B15" s="189">
        <f>A15*L$18</f>
        <v>0</v>
      </c>
      <c r="C15" s="189">
        <f>B15+H15</f>
        <v>11636.098053614196</v>
      </c>
      <c r="D15" s="189">
        <f>C15*I15</f>
        <v>2269.0391204547682</v>
      </c>
      <c r="E15" s="497"/>
      <c r="F15" s="180"/>
      <c r="G15" s="202" t="s">
        <v>1549</v>
      </c>
      <c r="H15" s="1627">
        <f>TRunsPRN!$D16</f>
        <v>11636.098053614196</v>
      </c>
      <c r="I15" s="2091">
        <v>0.19500000000000001</v>
      </c>
      <c r="J15" s="1626">
        <f>IF(I15="na","na",I15*H15)</f>
        <v>2269.0391204547682</v>
      </c>
      <c r="K15" s="189">
        <f>D15+A15*D$22</f>
        <v>2269.0391204547682</v>
      </c>
      <c r="L15" s="1627">
        <f>SUM(Table2PRN!G2812:G2813)</f>
        <v>1308</v>
      </c>
      <c r="M15" s="37" t="s">
        <v>1550</v>
      </c>
      <c r="N15" s="180"/>
      <c r="O15" s="180" t="s">
        <v>1551</v>
      </c>
      <c r="P15" s="1629">
        <f>IF(P$14="","",(L$19/(1-L$19)*P$14))</f>
        <v>0</v>
      </c>
      <c r="Q15" s="2121" t="s">
        <v>614</v>
      </c>
      <c r="R15" s="2121" t="s">
        <v>615</v>
      </c>
      <c r="S15" s="180"/>
      <c r="T15" s="180"/>
      <c r="U15" s="180"/>
      <c r="V15" s="180"/>
      <c r="W15" s="180"/>
      <c r="X15" s="180"/>
      <c r="Y15" s="180"/>
      <c r="Z15" s="180"/>
      <c r="AA15" s="180"/>
      <c r="AB15" s="180"/>
      <c r="AC15" s="180"/>
    </row>
    <row r="16" spans="1:29" ht="15" x14ac:dyDescent="0.25">
      <c r="A16" s="195">
        <v>0</v>
      </c>
      <c r="B16" s="189">
        <f>A16*L$18</f>
        <v>0</v>
      </c>
      <c r="C16" s="189">
        <f>B16+H16</f>
        <v>3969.7234716660787</v>
      </c>
      <c r="D16" s="189">
        <f>C16*I16</f>
        <v>629.99511495340676</v>
      </c>
      <c r="E16" s="497"/>
      <c r="F16" s="180"/>
      <c r="G16" s="202" t="s">
        <v>1552</v>
      </c>
      <c r="H16" s="1106">
        <f>TRunsPRN!$D$57</f>
        <v>3969.7234716660787</v>
      </c>
      <c r="I16" s="2091">
        <v>0.15870000000000001</v>
      </c>
      <c r="J16" s="1626">
        <f>IF(I16="na","na",I16*H16)</f>
        <v>629.99511495340676</v>
      </c>
      <c r="K16" s="189">
        <f>D16+A16*D$22</f>
        <v>629.99511495340676</v>
      </c>
      <c r="L16" s="1627">
        <f>SUM(StockSumPRN!J2540:K2541)</f>
        <v>423</v>
      </c>
      <c r="M16" s="175">
        <f>SUM(L14:L18)</f>
        <v>4616</v>
      </c>
      <c r="N16" s="67" t="s">
        <v>1553</v>
      </c>
      <c r="O16" s="37" t="s">
        <v>1554</v>
      </c>
      <c r="P16" s="172">
        <f>IF(P14="","base period",P14+P15)</f>
        <v>4526.1053126882953</v>
      </c>
      <c r="Q16" s="171">
        <f>Q17/(Q17+R17)*P16</f>
        <v>1434.9953635544105</v>
      </c>
      <c r="R16" s="176">
        <f>R17/(Q17+R17)*P16</f>
        <v>3091.109949133885</v>
      </c>
      <c r="S16" s="180" t="s">
        <v>1555</v>
      </c>
      <c r="T16" s="180"/>
      <c r="U16" s="180"/>
      <c r="V16" s="180" t="s">
        <v>1556</v>
      </c>
      <c r="W16" s="180"/>
      <c r="X16" s="180"/>
      <c r="Y16" s="180"/>
      <c r="Z16" s="180"/>
      <c r="AA16" s="180"/>
      <c r="AB16" s="180"/>
      <c r="AC16" s="180"/>
    </row>
    <row r="17" spans="1:29" ht="15" x14ac:dyDescent="0.25">
      <c r="A17" s="195">
        <v>0</v>
      </c>
      <c r="B17" s="189">
        <f>A17*L$18</f>
        <v>0</v>
      </c>
      <c r="C17" s="189">
        <f>B17+H17</f>
        <v>849.82965175441086</v>
      </c>
      <c r="D17" s="189">
        <f>C17*I17</f>
        <v>134.86796573342502</v>
      </c>
      <c r="E17" s="497"/>
      <c r="F17" s="180"/>
      <c r="G17" s="202" t="s">
        <v>1557</v>
      </c>
      <c r="H17" s="1106">
        <f>TRunsPRN!$D$56</f>
        <v>849.82965175441086</v>
      </c>
      <c r="I17" s="2091">
        <v>0.15870000000000001</v>
      </c>
      <c r="J17" s="1626">
        <f>IF(I17="na","na",I17*H17)</f>
        <v>134.86796573342502</v>
      </c>
      <c r="K17" s="189">
        <f>D17+A17*D$22</f>
        <v>134.86796573342502</v>
      </c>
      <c r="L17" s="1627">
        <f>SUM(StockSumPRN!H2540:I2541)</f>
        <v>142</v>
      </c>
      <c r="M17" s="180"/>
      <c r="N17" s="180"/>
      <c r="O17" s="180"/>
      <c r="P17" s="120"/>
      <c r="Q17" s="2406">
        <v>1259</v>
      </c>
      <c r="R17" s="2093">
        <v>2712</v>
      </c>
      <c r="S17" s="180" t="s">
        <v>1558</v>
      </c>
      <c r="T17" s="180"/>
      <c r="U17" s="180"/>
      <c r="V17" s="180"/>
      <c r="W17" s="180"/>
      <c r="X17" s="180"/>
      <c r="Y17" s="180"/>
      <c r="Z17" s="180"/>
      <c r="AA17" s="180"/>
      <c r="AB17" s="180"/>
      <c r="AC17" s="180"/>
    </row>
    <row r="18" spans="1:29" x14ac:dyDescent="0.2">
      <c r="A18" s="118"/>
      <c r="B18" s="118"/>
      <c r="C18" s="118"/>
      <c r="D18" s="118"/>
      <c r="E18" s="180"/>
      <c r="F18" s="180"/>
      <c r="G18" s="116" t="s">
        <v>1559</v>
      </c>
      <c r="H18" s="1630" t="s">
        <v>1560</v>
      </c>
      <c r="I18" s="2119" t="s">
        <v>1560</v>
      </c>
      <c r="J18" s="1627" t="s">
        <v>1560</v>
      </c>
      <c r="K18" s="189">
        <f>D22</f>
        <v>0</v>
      </c>
      <c r="L18" s="1627">
        <f>SUM(Table2PRN!G6592:G6593)+SUM(Table2PRN!G6802:G6803)-L14-L15-L16-L17</f>
        <v>0</v>
      </c>
      <c r="M18" s="180"/>
      <c r="N18" s="180"/>
      <c r="O18" s="118"/>
      <c r="P18" s="191"/>
      <c r="Q18" s="1106"/>
      <c r="R18" s="497">
        <f>SUM(Q16:R16)</f>
        <v>4526.1053126882953</v>
      </c>
      <c r="S18" s="180" t="s">
        <v>1561</v>
      </c>
      <c r="T18" s="180"/>
      <c r="U18" s="180"/>
      <c r="V18" s="37" t="s">
        <v>1562</v>
      </c>
      <c r="W18" s="180"/>
      <c r="X18" s="180"/>
      <c r="Y18" s="180"/>
      <c r="Z18" s="180"/>
      <c r="AA18" s="180"/>
      <c r="AB18" s="180"/>
      <c r="AC18" s="180"/>
    </row>
    <row r="19" spans="1:29" x14ac:dyDescent="0.2">
      <c r="A19" s="118"/>
      <c r="B19" s="118"/>
      <c r="C19" s="196" t="s">
        <v>1563</v>
      </c>
      <c r="D19" s="189">
        <f>SUM(D14:D18)</f>
        <v>4526.1053126882953</v>
      </c>
      <c r="E19" s="180"/>
      <c r="F19" s="180"/>
      <c r="G19" s="202"/>
      <c r="H19" s="133"/>
      <c r="I19" s="180"/>
      <c r="J19" s="180"/>
      <c r="K19" s="67" t="s">
        <v>1564</v>
      </c>
      <c r="L19" s="1631">
        <f>L18/(L14+L15+L16+L17+L18)</f>
        <v>0</v>
      </c>
      <c r="M19" s="2122"/>
      <c r="N19" s="180"/>
      <c r="O19" s="180"/>
      <c r="P19" s="120"/>
      <c r="Q19" s="180"/>
      <c r="R19" s="177">
        <f>R18+0.02*R18</f>
        <v>4616.627418942061</v>
      </c>
      <c r="S19" s="180" t="s">
        <v>1565</v>
      </c>
      <c r="T19" s="180"/>
      <c r="U19" s="180"/>
      <c r="V19" s="37" t="s">
        <v>1566</v>
      </c>
      <c r="W19" s="180"/>
      <c r="X19" s="180"/>
      <c r="Y19" s="180"/>
      <c r="Z19" s="180"/>
      <c r="AA19" s="180"/>
      <c r="AB19" s="180"/>
      <c r="AC19" s="180"/>
    </row>
    <row r="20" spans="1:29" ht="13.5" thickBot="1" x14ac:dyDescent="0.25">
      <c r="A20" s="118"/>
      <c r="B20" s="118"/>
      <c r="C20" s="196" t="s">
        <v>1567</v>
      </c>
      <c r="D20" s="118">
        <f>B14*I14+B15*I15+B16*I16+B17*I17</f>
        <v>0</v>
      </c>
      <c r="E20" s="180"/>
      <c r="F20" s="180"/>
      <c r="G20" s="202"/>
      <c r="H20" s="1632"/>
      <c r="I20" s="180"/>
      <c r="J20" s="180"/>
      <c r="K20" s="180"/>
      <c r="L20" s="180"/>
      <c r="M20" s="2410" t="s">
        <v>7521</v>
      </c>
      <c r="N20" s="2094"/>
      <c r="O20" s="2094"/>
      <c r="P20" s="2411"/>
      <c r="Q20" s="180"/>
      <c r="R20" s="180"/>
      <c r="S20" s="180"/>
      <c r="T20" s="180"/>
      <c r="U20" s="180"/>
      <c r="V20" s="37"/>
      <c r="W20" s="180"/>
      <c r="X20" s="180"/>
      <c r="Y20" s="180"/>
      <c r="Z20" s="180"/>
      <c r="AA20" s="180"/>
      <c r="AB20" s="180"/>
      <c r="AC20" s="180"/>
    </row>
    <row r="21" spans="1:29" ht="13.5" thickBot="1" x14ac:dyDescent="0.25">
      <c r="A21" s="118"/>
      <c r="B21" s="118"/>
      <c r="C21" s="196" t="s">
        <v>1568</v>
      </c>
      <c r="D21" s="189">
        <f>D19-D20</f>
        <v>4526.1053126882953</v>
      </c>
      <c r="E21" s="180"/>
      <c r="F21" s="180"/>
      <c r="G21" s="202"/>
      <c r="H21" s="1106"/>
      <c r="I21" s="37" t="s">
        <v>1569</v>
      </c>
      <c r="J21" s="37"/>
      <c r="K21" s="180"/>
      <c r="L21" s="180"/>
      <c r="M21" s="1620">
        <v>-88</v>
      </c>
      <c r="N21" s="180"/>
      <c r="O21" s="124" t="s">
        <v>1545</v>
      </c>
      <c r="P21" s="1615"/>
      <c r="Q21" s="124" t="s">
        <v>1546</v>
      </c>
      <c r="R21" s="170"/>
      <c r="S21" s="180"/>
      <c r="T21" s="180"/>
      <c r="U21" s="180"/>
      <c r="V21" s="2147"/>
      <c r="W21" s="2161" t="s">
        <v>1514</v>
      </c>
      <c r="X21" s="2158"/>
      <c r="Y21" s="2158"/>
      <c r="Z21" s="2158"/>
      <c r="AA21" s="2158"/>
      <c r="AB21" s="2028"/>
      <c r="AC21" s="2028"/>
    </row>
    <row r="22" spans="1:29" ht="15" x14ac:dyDescent="0.25">
      <c r="A22" s="194"/>
      <c r="B22" s="194"/>
      <c r="C22" s="192" t="s">
        <v>1570</v>
      </c>
      <c r="D22" s="197">
        <f>L18-D20</f>
        <v>0</v>
      </c>
      <c r="E22" s="180"/>
      <c r="F22" s="180"/>
      <c r="G22" s="202" t="s">
        <v>1547</v>
      </c>
      <c r="H22" s="1625">
        <f>TRunsPRN!D20</f>
        <v>17638.33465185219</v>
      </c>
      <c r="I22" s="2091">
        <v>0.1211</v>
      </c>
      <c r="J22" s="1626">
        <f>IF(I22="na","na",I22*H22)</f>
        <v>2136.0023263393005</v>
      </c>
      <c r="K22" s="189">
        <f>I22*C14</f>
        <v>2136.0023263393005</v>
      </c>
      <c r="L22" s="1627">
        <f>SUM(StockSumPRN!D2744:E2744)</f>
        <v>2318</v>
      </c>
      <c r="M22" s="37" t="s">
        <v>1550</v>
      </c>
      <c r="N22" s="180"/>
      <c r="O22" s="180" t="s">
        <v>1548</v>
      </c>
      <c r="P22" s="1628">
        <f>IF(I22="na","",SUM(J22:J25))</f>
        <v>3978.1934446796886</v>
      </c>
      <c r="Q22" s="2121" t="s">
        <v>1571</v>
      </c>
      <c r="R22" s="2121"/>
      <c r="S22" s="180"/>
      <c r="T22" s="180"/>
      <c r="U22" s="180"/>
      <c r="V22" s="202"/>
      <c r="W22" s="109" t="s">
        <v>473</v>
      </c>
      <c r="X22" s="67" t="s">
        <v>474</v>
      </c>
      <c r="Y22" s="67" t="s">
        <v>448</v>
      </c>
      <c r="Z22" s="67" t="s">
        <v>1517</v>
      </c>
      <c r="AA22" s="67" t="s">
        <v>1518</v>
      </c>
      <c r="AB22" s="108" t="s">
        <v>1519</v>
      </c>
      <c r="AC22" s="108"/>
    </row>
    <row r="23" spans="1:29" ht="15" x14ac:dyDescent="0.25">
      <c r="A23" s="194"/>
      <c r="B23" s="194"/>
      <c r="C23" s="194"/>
      <c r="D23" s="194"/>
      <c r="E23" s="180"/>
      <c r="F23" s="180"/>
      <c r="G23" s="202" t="s">
        <v>1549</v>
      </c>
      <c r="H23" s="1627">
        <f>TRunsPRN!D16</f>
        <v>11636.098053614196</v>
      </c>
      <c r="I23" s="2091">
        <v>0.1211</v>
      </c>
      <c r="J23" s="1626">
        <f>IF(I23="na","na",I23*H23)</f>
        <v>1409.1314742926791</v>
      </c>
      <c r="K23" s="189">
        <f>I23*C15</f>
        <v>1409.1314742926791</v>
      </c>
      <c r="L23" s="1627">
        <f>SUM(Table2PRN!G2811)</f>
        <v>1483</v>
      </c>
      <c r="M23" s="175">
        <f>SUM(L22:L25)</f>
        <v>4177</v>
      </c>
      <c r="N23" s="37" t="s">
        <v>1572</v>
      </c>
      <c r="O23" s="37" t="s">
        <v>1554</v>
      </c>
      <c r="P23" s="172">
        <f>IF(P22="","base period",P22)</f>
        <v>3978.1934446796886</v>
      </c>
      <c r="Q23" s="822">
        <f>P23</f>
        <v>3978.1934446796886</v>
      </c>
      <c r="R23" s="180"/>
      <c r="S23" s="180"/>
      <c r="T23" s="180"/>
      <c r="U23" s="180"/>
      <c r="V23" s="1609" t="s">
        <v>1520</v>
      </c>
      <c r="W23" s="1610"/>
      <c r="X23" s="1611"/>
      <c r="Y23" s="1611"/>
      <c r="Z23" s="1611"/>
      <c r="AA23" s="1611"/>
      <c r="AB23" s="1612"/>
      <c r="AC23" s="1612"/>
    </row>
    <row r="24" spans="1:29" ht="15" x14ac:dyDescent="0.25">
      <c r="A24" s="194"/>
      <c r="B24" s="194"/>
      <c r="C24" s="192" t="s">
        <v>1573</v>
      </c>
      <c r="D24" s="198">
        <f>SUM(D20:D23)</f>
        <v>4526.1053126882953</v>
      </c>
      <c r="E24" s="180"/>
      <c r="F24" s="180"/>
      <c r="G24" s="202" t="s">
        <v>1552</v>
      </c>
      <c r="H24" s="1106">
        <f>TRunsPRN!D$57</f>
        <v>3969.7234716660787</v>
      </c>
      <c r="I24" s="2091">
        <v>0.10680000000000001</v>
      </c>
      <c r="J24" s="1626">
        <f>IF(I24="na","na",I24*H24)</f>
        <v>423.96646677393721</v>
      </c>
      <c r="K24" s="189">
        <f>I24*C16</f>
        <v>423.96646677393721</v>
      </c>
      <c r="L24" s="1627">
        <f>SUM(StockSumPRN!J2539:K2539)</f>
        <v>308</v>
      </c>
      <c r="M24" s="180"/>
      <c r="N24" s="180"/>
      <c r="O24" s="180"/>
      <c r="P24" s="120"/>
      <c r="Q24" s="177">
        <f>Q23+0.05*Q23</f>
        <v>4177.1031169136731</v>
      </c>
      <c r="R24" s="180" t="s">
        <v>1574</v>
      </c>
      <c r="S24" s="180"/>
      <c r="T24" s="180"/>
      <c r="U24" s="180"/>
      <c r="V24" s="2162" t="s">
        <v>1523</v>
      </c>
      <c r="W24" s="2166">
        <f>W7/W$14</f>
        <v>9.7931034482758625E-2</v>
      </c>
      <c r="X24" s="2167">
        <f t="shared" ref="W24:AB31" si="2">X7/X$14</f>
        <v>3.3738191632928477E-3</v>
      </c>
      <c r="Y24" s="2167">
        <f t="shared" si="2"/>
        <v>0</v>
      </c>
      <c r="Z24" s="2167">
        <f t="shared" si="2"/>
        <v>0</v>
      </c>
      <c r="AA24" s="2167">
        <f t="shared" si="2"/>
        <v>0</v>
      </c>
      <c r="AB24" s="2030">
        <f t="shared" si="2"/>
        <v>0</v>
      </c>
      <c r="AC24" s="2028"/>
    </row>
    <row r="25" spans="1:29" ht="15" x14ac:dyDescent="0.25">
      <c r="A25" s="180"/>
      <c r="B25" s="180"/>
      <c r="C25" s="180"/>
      <c r="D25" s="180"/>
      <c r="E25" s="180"/>
      <c r="F25" s="180"/>
      <c r="G25" s="202" t="s">
        <v>1557</v>
      </c>
      <c r="H25" s="1106">
        <f>TRunsPRN!D$56</f>
        <v>849.82965175441086</v>
      </c>
      <c r="I25" s="2091">
        <v>1.0699999999999999E-2</v>
      </c>
      <c r="J25" s="1626">
        <f>IF(I25="na","na",I25*H25)</f>
        <v>9.093177273772195</v>
      </c>
      <c r="K25" s="189">
        <f>I25*C17</f>
        <v>9.093177273772195</v>
      </c>
      <c r="L25" s="1627">
        <f>SUM(StockSumPRN!H2539:I2539)</f>
        <v>68</v>
      </c>
      <c r="M25" s="180"/>
      <c r="N25" s="180"/>
      <c r="O25" s="180"/>
      <c r="P25" s="120"/>
      <c r="Q25" s="180"/>
      <c r="R25" s="180"/>
      <c r="S25" s="180"/>
      <c r="T25" s="180"/>
      <c r="U25" s="180"/>
      <c r="V25" s="106" t="s">
        <v>1380</v>
      </c>
      <c r="W25" s="1633">
        <f t="shared" si="2"/>
        <v>0.90206896551724136</v>
      </c>
      <c r="X25" s="1634">
        <f t="shared" si="2"/>
        <v>4.1160593792172739E-2</v>
      </c>
      <c r="Y25" s="1634">
        <f t="shared" si="2"/>
        <v>0</v>
      </c>
      <c r="Z25" s="1634">
        <f t="shared" si="2"/>
        <v>6.0084117764870821E-4</v>
      </c>
      <c r="AA25" s="1634">
        <f t="shared" si="2"/>
        <v>0</v>
      </c>
      <c r="AB25" s="1635">
        <f t="shared" si="2"/>
        <v>0</v>
      </c>
      <c r="AC25" s="203"/>
    </row>
    <row r="26" spans="1:29" x14ac:dyDescent="0.2">
      <c r="A26" s="180"/>
      <c r="B26" s="180"/>
      <c r="C26" s="180"/>
      <c r="D26" s="180"/>
      <c r="E26" s="180"/>
      <c r="F26" s="180"/>
      <c r="G26" s="202"/>
      <c r="H26" s="133"/>
      <c r="I26" s="550" t="s">
        <v>1575</v>
      </c>
      <c r="J26" s="1106">
        <f>SUM(J22:J25)</f>
        <v>3978.1934446796886</v>
      </c>
      <c r="K26" s="190">
        <f>SUM(K22:K25)</f>
        <v>3978.1934446796886</v>
      </c>
      <c r="L26" s="180"/>
      <c r="M26" s="550"/>
      <c r="N26" s="180"/>
      <c r="O26" s="37"/>
      <c r="P26" s="148"/>
      <c r="Q26" s="180"/>
      <c r="R26" s="180"/>
      <c r="S26" s="180"/>
      <c r="T26" s="180"/>
      <c r="U26" s="180"/>
      <c r="V26" s="106" t="s">
        <v>474</v>
      </c>
      <c r="W26" s="1633">
        <f t="shared" si="2"/>
        <v>0</v>
      </c>
      <c r="X26" s="1634">
        <f t="shared" si="2"/>
        <v>0.78677462887989202</v>
      </c>
      <c r="Y26" s="1634">
        <f t="shared" si="2"/>
        <v>4.7043010752688174E-3</v>
      </c>
      <c r="Z26" s="1634">
        <f t="shared" si="2"/>
        <v>6.0084117764870821E-4</v>
      </c>
      <c r="AA26" s="1634">
        <f t="shared" si="2"/>
        <v>1.4086491055078181E-4</v>
      </c>
      <c r="AB26" s="1635">
        <f t="shared" si="2"/>
        <v>0</v>
      </c>
      <c r="AC26" s="203"/>
    </row>
    <row r="27" spans="1:29" x14ac:dyDescent="0.2">
      <c r="A27" s="180"/>
      <c r="B27" s="180"/>
      <c r="C27" s="180"/>
      <c r="D27" s="180"/>
      <c r="E27" s="180"/>
      <c r="F27" s="180"/>
      <c r="G27" s="1610"/>
      <c r="H27" s="1594"/>
      <c r="I27" s="1623" t="s">
        <v>1576</v>
      </c>
      <c r="J27" s="1636">
        <f>SUM(J22:J25)+SUM(J22:J25)*0.05</f>
        <v>4177.1031169136731</v>
      </c>
      <c r="K27" s="1637">
        <f>SUM(K22:K25)+SUM(K22:K25)*0.05</f>
        <v>4177.1031169136731</v>
      </c>
      <c r="L27" s="1636">
        <f>SUM(L22:L25)</f>
        <v>4177</v>
      </c>
      <c r="M27" s="1623"/>
      <c r="N27" s="1611"/>
      <c r="O27" s="1611"/>
      <c r="P27" s="1638"/>
      <c r="Q27" s="180"/>
      <c r="R27" s="180"/>
      <c r="S27" s="180"/>
      <c r="T27" s="180"/>
      <c r="U27" s="180"/>
      <c r="V27" s="106" t="s">
        <v>448</v>
      </c>
      <c r="W27" s="1633">
        <f t="shared" si="2"/>
        <v>0</v>
      </c>
      <c r="X27" s="1634">
        <f t="shared" si="2"/>
        <v>0.16329284750337381</v>
      </c>
      <c r="Y27" s="1634">
        <f t="shared" si="2"/>
        <v>0.88709677419354838</v>
      </c>
      <c r="Z27" s="1634">
        <f t="shared" si="2"/>
        <v>2.2030843180452633E-2</v>
      </c>
      <c r="AA27" s="1634">
        <f t="shared" si="2"/>
        <v>6.7615157064375266E-3</v>
      </c>
      <c r="AB27" s="1635">
        <f t="shared" si="2"/>
        <v>2.3570081709616594E-4</v>
      </c>
      <c r="AC27" s="203"/>
    </row>
    <row r="28" spans="1:29" x14ac:dyDescent="0.2">
      <c r="A28" s="180"/>
      <c r="B28" s="180"/>
      <c r="C28" s="180"/>
      <c r="D28" s="180"/>
      <c r="E28" s="180"/>
      <c r="F28" s="180"/>
      <c r="G28" s="180"/>
      <c r="H28" s="180"/>
      <c r="I28" s="180"/>
      <c r="J28" s="180"/>
      <c r="K28" s="180"/>
      <c r="L28" s="180"/>
      <c r="M28" s="180"/>
      <c r="N28" s="180"/>
      <c r="O28" s="180"/>
      <c r="P28" s="118"/>
      <c r="Q28" s="180"/>
      <c r="R28" s="180"/>
      <c r="S28" s="180"/>
      <c r="T28" s="180"/>
      <c r="U28" s="180"/>
      <c r="V28" s="106" t="s">
        <v>1517</v>
      </c>
      <c r="W28" s="1633">
        <f t="shared" si="2"/>
        <v>0</v>
      </c>
      <c r="X28" s="1634">
        <f t="shared" si="2"/>
        <v>4.7233468286099868E-3</v>
      </c>
      <c r="Y28" s="1634">
        <f t="shared" si="2"/>
        <v>0.10383064516129033</v>
      </c>
      <c r="Z28" s="1634">
        <f t="shared" si="2"/>
        <v>0.96334868816342878</v>
      </c>
      <c r="AA28" s="1634">
        <f t="shared" si="2"/>
        <v>1.972108747710945E-3</v>
      </c>
      <c r="AB28" s="1635">
        <f t="shared" si="2"/>
        <v>0</v>
      </c>
      <c r="AC28" s="203"/>
    </row>
    <row r="29" spans="1:29" ht="15" customHeight="1" thickBot="1" x14ac:dyDescent="0.25">
      <c r="A29" s="180"/>
      <c r="B29" s="180"/>
      <c r="C29" s="180"/>
      <c r="D29" s="180"/>
      <c r="E29" s="180"/>
      <c r="F29" s="180"/>
      <c r="G29" s="2147"/>
      <c r="H29" s="2165" t="s">
        <v>1577</v>
      </c>
      <c r="I29" s="2158"/>
      <c r="J29" s="2158"/>
      <c r="K29" s="2158"/>
      <c r="L29" s="2158"/>
      <c r="M29" s="2096" t="s">
        <v>7522</v>
      </c>
      <c r="N29" s="2097"/>
      <c r="O29" s="2097"/>
      <c r="P29" s="2171"/>
      <c r="Q29" s="180"/>
      <c r="R29" s="180"/>
      <c r="S29" s="180"/>
      <c r="T29" s="180"/>
      <c r="U29" s="180"/>
      <c r="V29" s="106" t="s">
        <v>1420</v>
      </c>
      <c r="W29" s="1633">
        <f t="shared" si="2"/>
        <v>0</v>
      </c>
      <c r="X29" s="1634">
        <f t="shared" si="2"/>
        <v>6.7476383265856947E-4</v>
      </c>
      <c r="Y29" s="1634">
        <f t="shared" si="2"/>
        <v>3.6962365591397851E-3</v>
      </c>
      <c r="Z29" s="1634">
        <f t="shared" si="2"/>
        <v>1.3418786300821149E-2</v>
      </c>
      <c r="AA29" s="1634">
        <f t="shared" si="2"/>
        <v>0.98985772644034375</v>
      </c>
      <c r="AB29" s="1635">
        <f t="shared" si="2"/>
        <v>5.7275298554368324E-2</v>
      </c>
      <c r="AC29" s="203"/>
    </row>
    <row r="30" spans="1:29" ht="15" thickBot="1" x14ac:dyDescent="0.25">
      <c r="A30" s="180"/>
      <c r="B30" s="180"/>
      <c r="C30" s="180"/>
      <c r="D30" s="180"/>
      <c r="E30" s="180"/>
      <c r="F30" s="180"/>
      <c r="G30" s="202"/>
      <c r="H30" s="180"/>
      <c r="I30" s="37" t="s">
        <v>1542</v>
      </c>
      <c r="J30" s="37"/>
      <c r="K30" s="543"/>
      <c r="L30" s="180"/>
      <c r="M30" s="1620">
        <v>-88</v>
      </c>
      <c r="N30" s="180"/>
      <c r="O30" s="124" t="s">
        <v>1545</v>
      </c>
      <c r="P30" s="1615"/>
      <c r="Q30" s="820" t="s">
        <v>1546</v>
      </c>
      <c r="R30" s="121"/>
      <c r="S30" s="180"/>
      <c r="T30" s="180"/>
      <c r="U30" s="180"/>
      <c r="V30" s="1621" t="s">
        <v>1519</v>
      </c>
      <c r="W30" s="1633">
        <f t="shared" si="2"/>
        <v>0</v>
      </c>
      <c r="X30" s="1634">
        <f t="shared" si="2"/>
        <v>0</v>
      </c>
      <c r="Y30" s="1634">
        <f t="shared" si="2"/>
        <v>6.7204301075268823E-4</v>
      </c>
      <c r="Z30" s="1634">
        <f t="shared" si="2"/>
        <v>0</v>
      </c>
      <c r="AA30" s="1634">
        <f t="shared" si="2"/>
        <v>1.2677841949570363E-3</v>
      </c>
      <c r="AB30" s="1635">
        <f t="shared" si="2"/>
        <v>0.94248900062853547</v>
      </c>
      <c r="AC30" s="1612"/>
    </row>
    <row r="31" spans="1:29" ht="14.25" x14ac:dyDescent="0.2">
      <c r="A31" s="180"/>
      <c r="B31" s="180"/>
      <c r="C31" s="180"/>
      <c r="D31" s="180"/>
      <c r="E31" s="180"/>
      <c r="F31" s="180"/>
      <c r="G31" s="542" t="s">
        <v>1578</v>
      </c>
      <c r="H31" s="1106">
        <f>TRunsPRN!D21</f>
        <v>0</v>
      </c>
      <c r="I31" s="2095" t="s">
        <v>761</v>
      </c>
      <c r="J31" s="1626" t="str">
        <f>IF(I31="na","na",I31*H31)</f>
        <v>na</v>
      </c>
      <c r="K31" s="180"/>
      <c r="L31" s="1106">
        <f>SUM(StockSumPRN!H2748:I2749)</f>
        <v>0</v>
      </c>
      <c r="M31" s="2122"/>
      <c r="N31" s="37"/>
      <c r="O31" s="180" t="s">
        <v>1548</v>
      </c>
      <c r="P31" s="1628">
        <f>IF(I32="na","",SUM(J31:J32))</f>
        <v>1143.6916264357501</v>
      </c>
      <c r="Q31" s="497"/>
      <c r="R31" s="180"/>
      <c r="S31" s="180"/>
      <c r="T31" s="180"/>
      <c r="U31" s="180"/>
      <c r="V31" s="2000"/>
      <c r="W31" s="2005">
        <f t="shared" si="2"/>
        <v>1</v>
      </c>
      <c r="X31" s="2006">
        <f t="shared" si="2"/>
        <v>1</v>
      </c>
      <c r="Y31" s="2006">
        <f t="shared" si="2"/>
        <v>1</v>
      </c>
      <c r="Z31" s="2006">
        <f t="shared" si="2"/>
        <v>1</v>
      </c>
      <c r="AA31" s="2006">
        <f t="shared" si="2"/>
        <v>1</v>
      </c>
      <c r="AB31" s="2007">
        <f t="shared" si="2"/>
        <v>1</v>
      </c>
      <c r="AC31" s="2004"/>
    </row>
    <row r="32" spans="1:29" ht="15" x14ac:dyDescent="0.25">
      <c r="A32" s="180"/>
      <c r="B32" s="180"/>
      <c r="C32" s="180"/>
      <c r="D32" s="180"/>
      <c r="E32" s="180"/>
      <c r="F32" s="180"/>
      <c r="G32" s="542" t="s">
        <v>1448</v>
      </c>
      <c r="H32" s="1106">
        <f>TRunsPRN!D17</f>
        <v>3922.124919189815</v>
      </c>
      <c r="I32" s="2406">
        <v>0.29160000000000003</v>
      </c>
      <c r="J32" s="1626">
        <f>IF(I32="na","na",I32*H32)</f>
        <v>1143.6916264357501</v>
      </c>
      <c r="K32" s="180"/>
      <c r="L32" s="1106">
        <f>SUM(Table2PRN!G3025:G3026)</f>
        <v>1166</v>
      </c>
      <c r="M32" s="37" t="s">
        <v>1550</v>
      </c>
      <c r="N32" s="180"/>
      <c r="O32" s="550" t="s">
        <v>1579</v>
      </c>
      <c r="P32" s="1629">
        <f>IF(P31="","",L35/(1-L35)*P31)</f>
        <v>309.95416291054636</v>
      </c>
      <c r="Q32" s="2121" t="s">
        <v>614</v>
      </c>
      <c r="R32" s="2121" t="s">
        <v>615</v>
      </c>
      <c r="S32" s="180">
        <f>Q34/(Q34+R34)</f>
        <v>0.14182111200644643</v>
      </c>
      <c r="T32" s="180"/>
      <c r="U32" s="180"/>
      <c r="V32" s="180" t="s">
        <v>1556</v>
      </c>
      <c r="W32" s="180"/>
      <c r="X32" s="180"/>
      <c r="Y32" s="180"/>
      <c r="Z32" s="180"/>
      <c r="AA32" s="180"/>
      <c r="AB32" s="180"/>
      <c r="AC32" s="180"/>
    </row>
    <row r="33" spans="3:29" x14ac:dyDescent="0.2">
      <c r="C33" s="180"/>
      <c r="D33" s="180"/>
      <c r="E33" s="180"/>
      <c r="F33" s="180"/>
      <c r="G33" s="116" t="s">
        <v>1559</v>
      </c>
      <c r="H33" s="1639" t="s">
        <v>1560</v>
      </c>
      <c r="I33" s="2119" t="s">
        <v>1560</v>
      </c>
      <c r="J33" s="2119"/>
      <c r="K33" s="550" t="s">
        <v>1580</v>
      </c>
      <c r="L33" s="1106">
        <f>SUM(X7:X8,X10:X13)</f>
        <v>316</v>
      </c>
      <c r="M33" s="178">
        <f>SUM(L31:L34)</f>
        <v>1840</v>
      </c>
      <c r="N33" s="180"/>
      <c r="O33" s="550" t="s">
        <v>1581</v>
      </c>
      <c r="P33" s="1629">
        <f>IF(P31="","",L36/(1-L36)*P31)</f>
        <v>351.15060228473283</v>
      </c>
      <c r="Q33" s="821">
        <f>Q34/(Q34+R34)*$P34</f>
        <v>255.95823120633452</v>
      </c>
      <c r="R33" s="821">
        <f>R34/(R34+Q34)*$P34</f>
        <v>1548.8381604246945</v>
      </c>
      <c r="S33" s="180" t="s">
        <v>1582</v>
      </c>
      <c r="T33" s="180"/>
      <c r="U33" s="180"/>
      <c r="V33" s="180"/>
      <c r="W33" s="180"/>
      <c r="X33" s="180"/>
      <c r="Y33" s="180"/>
      <c r="Z33" s="180"/>
      <c r="AA33" s="180"/>
      <c r="AB33" s="180"/>
      <c r="AC33" s="180"/>
    </row>
    <row r="34" spans="3:29" ht="15" x14ac:dyDescent="0.25">
      <c r="C34" s="180"/>
      <c r="D34" s="180"/>
      <c r="E34" s="180"/>
      <c r="F34" s="180"/>
      <c r="G34" s="202"/>
      <c r="H34" s="1106"/>
      <c r="I34" s="180"/>
      <c r="J34" s="180"/>
      <c r="K34" s="550" t="s">
        <v>1583</v>
      </c>
      <c r="L34" s="1106">
        <f>SUM(Table2PRN!G6595:G6596)+SUM(Table2PRN!G6805:G6806)-L31-L32-L33</f>
        <v>358</v>
      </c>
      <c r="M34" s="180"/>
      <c r="N34" s="67" t="s">
        <v>1553</v>
      </c>
      <c r="O34" s="37" t="s">
        <v>1554</v>
      </c>
      <c r="P34" s="172">
        <f>(P31+P32+P33)</f>
        <v>1804.7963916310291</v>
      </c>
      <c r="Q34" s="2414">
        <v>176</v>
      </c>
      <c r="R34" s="2414">
        <v>1065</v>
      </c>
      <c r="S34" s="180" t="s">
        <v>1584</v>
      </c>
      <c r="T34" s="180"/>
      <c r="U34" s="180"/>
      <c r="V34" s="180"/>
      <c r="W34" s="180"/>
      <c r="X34" s="180"/>
      <c r="Y34" s="180"/>
      <c r="Z34" s="180"/>
      <c r="AA34" s="180"/>
      <c r="AB34" s="180"/>
      <c r="AC34" s="180"/>
    </row>
    <row r="35" spans="3:29" x14ac:dyDescent="0.2">
      <c r="C35" s="180"/>
      <c r="D35" s="180"/>
      <c r="E35" s="180"/>
      <c r="F35" s="180"/>
      <c r="G35" s="202"/>
      <c r="H35" s="1106"/>
      <c r="I35" s="180"/>
      <c r="J35" s="180"/>
      <c r="K35" s="67" t="s">
        <v>1585</v>
      </c>
      <c r="L35" s="1640">
        <f>(L33)/(L31+L32+L33)</f>
        <v>0.21322537112010798</v>
      </c>
      <c r="M35" s="2122"/>
      <c r="N35" s="180"/>
      <c r="O35" s="180"/>
      <c r="P35" s="120"/>
      <c r="Q35" s="180"/>
      <c r="R35" s="497">
        <f>SUM(Q33:R33)</f>
        <v>1804.7963916310291</v>
      </c>
      <c r="S35" s="180" t="s">
        <v>1586</v>
      </c>
      <c r="T35" s="180"/>
      <c r="U35" s="180"/>
      <c r="V35" s="37" t="s">
        <v>1587</v>
      </c>
      <c r="W35" s="180"/>
      <c r="X35" s="180"/>
      <c r="Y35" s="180"/>
      <c r="Z35" s="180"/>
      <c r="AA35" s="180"/>
      <c r="AB35" s="180"/>
      <c r="AC35" s="180"/>
    </row>
    <row r="36" spans="3:29" ht="13.5" thickBot="1" x14ac:dyDescent="0.25">
      <c r="C36" s="180"/>
      <c r="D36" s="180"/>
      <c r="E36" s="180"/>
      <c r="F36" s="180"/>
      <c r="G36" s="202"/>
      <c r="H36" s="1106"/>
      <c r="I36" s="180"/>
      <c r="J36" s="180"/>
      <c r="K36" s="67" t="s">
        <v>1588</v>
      </c>
      <c r="L36" s="1640">
        <f>(L34)/(L31+L32+L34)</f>
        <v>0.23490813648293962</v>
      </c>
      <c r="M36" s="2410"/>
      <c r="N36" s="2094"/>
      <c r="O36" s="2094"/>
      <c r="P36" s="2411"/>
      <c r="Q36" s="180"/>
      <c r="R36" s="177">
        <f>R35+R35*0.02</f>
        <v>1840.8923194636498</v>
      </c>
      <c r="S36" s="180" t="s">
        <v>1565</v>
      </c>
      <c r="T36" s="180"/>
      <c r="U36" s="180"/>
      <c r="V36" s="37"/>
      <c r="W36" s="180"/>
      <c r="X36" s="180"/>
      <c r="Y36" s="180"/>
      <c r="Z36" s="180"/>
      <c r="AA36" s="180"/>
      <c r="AB36" s="180"/>
      <c r="AC36" s="180"/>
    </row>
    <row r="37" spans="3:29" ht="13.5" thickBot="1" x14ac:dyDescent="0.25">
      <c r="C37" s="180"/>
      <c r="D37" s="180"/>
      <c r="E37" s="180"/>
      <c r="F37" s="180"/>
      <c r="G37" s="202"/>
      <c r="H37" s="1106"/>
      <c r="I37" s="37" t="s">
        <v>1569</v>
      </c>
      <c r="J37" s="37"/>
      <c r="K37" s="180"/>
      <c r="L37" s="180"/>
      <c r="M37" s="1620">
        <v>-88</v>
      </c>
      <c r="N37" s="180"/>
      <c r="O37" s="124" t="s">
        <v>1545</v>
      </c>
      <c r="P37" s="1615"/>
      <c r="Q37" s="124" t="s">
        <v>1546</v>
      </c>
      <c r="R37" s="170"/>
      <c r="S37" s="180"/>
      <c r="T37" s="180"/>
      <c r="U37" s="180"/>
      <c r="V37" s="37"/>
      <c r="W37" s="180"/>
      <c r="X37" s="180"/>
      <c r="Y37" s="180"/>
      <c r="Z37" s="180"/>
      <c r="AA37" s="180"/>
      <c r="AB37" s="180"/>
      <c r="AC37" s="180"/>
    </row>
    <row r="38" spans="3:29" ht="14.25" x14ac:dyDescent="0.2">
      <c r="C38" s="180"/>
      <c r="D38" s="180"/>
      <c r="E38" s="180"/>
      <c r="F38" s="180"/>
      <c r="G38" s="542" t="s">
        <v>1578</v>
      </c>
      <c r="H38" s="1106">
        <f>TRunsPRN!D21</f>
        <v>0</v>
      </c>
      <c r="I38" s="2095" t="s">
        <v>761</v>
      </c>
      <c r="J38" s="1626" t="str">
        <f>IF(I38="na","na",I38*H38)</f>
        <v>na</v>
      </c>
      <c r="K38" s="180"/>
      <c r="L38" s="1641">
        <f>SUM(StockSumPRN!H2747:I2747)</f>
        <v>0</v>
      </c>
      <c r="M38" s="37" t="s">
        <v>1550</v>
      </c>
      <c r="N38" s="37"/>
      <c r="O38" s="180" t="s">
        <v>1548</v>
      </c>
      <c r="P38" s="1628">
        <f>IF(I39="na","",SUM(J38:J39))</f>
        <v>541.25323884819454</v>
      </c>
      <c r="Q38" s="2121" t="s">
        <v>1571</v>
      </c>
      <c r="R38" s="180"/>
      <c r="S38" s="180"/>
      <c r="T38" s="180"/>
      <c r="U38" s="180"/>
      <c r="V38" s="2147"/>
      <c r="W38" s="2161" t="s">
        <v>1514</v>
      </c>
      <c r="X38" s="2158"/>
      <c r="Y38" s="2158"/>
      <c r="Z38" s="2158"/>
      <c r="AA38" s="2158"/>
      <c r="AB38" s="2028"/>
      <c r="AC38" s="2028"/>
    </row>
    <row r="39" spans="3:29" ht="15" x14ac:dyDescent="0.25">
      <c r="C39" s="180"/>
      <c r="D39" s="180"/>
      <c r="E39" s="180"/>
      <c r="F39" s="180"/>
      <c r="G39" s="542" t="s">
        <v>1448</v>
      </c>
      <c r="H39" s="1106">
        <f>TRunsPRN!D17</f>
        <v>3922.124919189815</v>
      </c>
      <c r="I39" s="2091">
        <v>0.13800000000000001</v>
      </c>
      <c r="J39" s="1626">
        <f>IF(I39="na","na",I39*H39)</f>
        <v>541.25323884819454</v>
      </c>
      <c r="K39" s="180"/>
      <c r="L39" s="1106">
        <f>SUM(Table2PRN!G3024)</f>
        <v>568</v>
      </c>
      <c r="M39" s="1106">
        <f>SUM(L38:L39)</f>
        <v>568</v>
      </c>
      <c r="N39" s="37" t="s">
        <v>1572</v>
      </c>
      <c r="O39" s="37" t="s">
        <v>1554</v>
      </c>
      <c r="P39" s="172">
        <f>IF(P38="","base period",P38)</f>
        <v>541.25323884819454</v>
      </c>
      <c r="Q39" s="176">
        <f>P39</f>
        <v>541.25323884819454</v>
      </c>
      <c r="R39" s="777"/>
      <c r="S39" s="180"/>
      <c r="T39" s="497"/>
      <c r="U39" s="180"/>
      <c r="V39" s="202"/>
      <c r="W39" s="109" t="s">
        <v>473</v>
      </c>
      <c r="X39" s="67" t="s">
        <v>474</v>
      </c>
      <c r="Y39" s="67" t="s">
        <v>448</v>
      </c>
      <c r="Z39" s="67" t="s">
        <v>1517</v>
      </c>
      <c r="AA39" s="67" t="s">
        <v>1518</v>
      </c>
      <c r="AB39" s="108" t="s">
        <v>1519</v>
      </c>
      <c r="AC39" s="108"/>
    </row>
    <row r="40" spans="3:29" x14ac:dyDescent="0.2">
      <c r="C40" s="180"/>
      <c r="D40" s="180"/>
      <c r="E40" s="180"/>
      <c r="F40" s="180"/>
      <c r="G40" s="202"/>
      <c r="H40" s="37"/>
      <c r="I40" s="180"/>
      <c r="J40" s="180"/>
      <c r="K40" s="180"/>
      <c r="L40" s="180"/>
      <c r="M40" s="550"/>
      <c r="N40" s="180"/>
      <c r="O40" s="37"/>
      <c r="P40" s="117"/>
      <c r="Q40" s="177">
        <f>Q39+0.05*Q39</f>
        <v>568.31590079060425</v>
      </c>
      <c r="R40" s="180" t="s">
        <v>1574</v>
      </c>
      <c r="S40" s="180"/>
      <c r="T40" s="180"/>
      <c r="U40" s="180"/>
      <c r="V40" s="1609" t="s">
        <v>1520</v>
      </c>
      <c r="W40" s="1610"/>
      <c r="X40" s="1611"/>
      <c r="Y40" s="1611"/>
      <c r="Z40" s="1611"/>
      <c r="AA40" s="1611"/>
      <c r="AB40" s="1612"/>
      <c r="AC40" s="1612"/>
    </row>
    <row r="41" spans="3:29" x14ac:dyDescent="0.2">
      <c r="C41" s="180"/>
      <c r="D41" s="180"/>
      <c r="E41" s="180"/>
      <c r="F41" s="203"/>
      <c r="G41" s="1610"/>
      <c r="H41" s="1594"/>
      <c r="I41" s="1611"/>
      <c r="J41" s="1611"/>
      <c r="K41" s="1611"/>
      <c r="L41" s="1611"/>
      <c r="M41" s="1623"/>
      <c r="N41" s="1611"/>
      <c r="O41" s="1611"/>
      <c r="P41" s="1612"/>
      <c r="Q41" s="180"/>
      <c r="R41"/>
      <c r="S41" s="180"/>
      <c r="T41" s="180"/>
      <c r="U41" s="180"/>
      <c r="V41" s="2162" t="s">
        <v>1523</v>
      </c>
      <c r="W41" s="2168">
        <f t="shared" ref="W41:AC47" si="3">W7/$AC7</f>
        <v>0.96598639455782309</v>
      </c>
      <c r="X41" s="2169">
        <f t="shared" si="3"/>
        <v>3.4013605442176874E-2</v>
      </c>
      <c r="Y41" s="2169">
        <f t="shared" si="3"/>
        <v>0</v>
      </c>
      <c r="Z41" s="2169">
        <f t="shared" si="3"/>
        <v>0</v>
      </c>
      <c r="AA41" s="2169">
        <f t="shared" si="3"/>
        <v>0</v>
      </c>
      <c r="AB41" s="2031">
        <f t="shared" si="3"/>
        <v>0</v>
      </c>
      <c r="AC41" s="2170">
        <f t="shared" si="3"/>
        <v>1</v>
      </c>
    </row>
    <row r="42" spans="3:29" x14ac:dyDescent="0.2">
      <c r="C42" s="180"/>
      <c r="D42" s="180"/>
      <c r="E42" s="180"/>
      <c r="F42" s="203"/>
      <c r="G42" s="180"/>
      <c r="H42" s="180"/>
      <c r="I42" s="180"/>
      <c r="J42" s="180"/>
      <c r="K42" s="180"/>
      <c r="L42" s="180"/>
      <c r="M42" s="180"/>
      <c r="N42" s="180"/>
      <c r="O42" s="180"/>
      <c r="P42" s="180"/>
      <c r="Q42" s="180"/>
      <c r="R42" s="180"/>
      <c r="S42" s="180"/>
      <c r="T42" s="180"/>
      <c r="U42" s="180"/>
      <c r="V42" s="106" t="s">
        <v>1380</v>
      </c>
      <c r="W42" s="1642">
        <f>W8/$AC8</f>
        <v>0.95335276967930027</v>
      </c>
      <c r="X42" s="1643">
        <f t="shared" si="3"/>
        <v>4.4460641399416911E-2</v>
      </c>
      <c r="Y42" s="1643">
        <f t="shared" si="3"/>
        <v>0</v>
      </c>
      <c r="Z42" s="1643">
        <f t="shared" si="3"/>
        <v>2.1865889212827989E-3</v>
      </c>
      <c r="AA42" s="1643">
        <f t="shared" si="3"/>
        <v>0</v>
      </c>
      <c r="AB42" s="1644">
        <f t="shared" si="3"/>
        <v>0</v>
      </c>
      <c r="AC42" s="1645">
        <f t="shared" si="3"/>
        <v>1</v>
      </c>
    </row>
    <row r="43" spans="3:29" ht="13.5" thickBot="1" x14ac:dyDescent="0.25">
      <c r="C43" s="180"/>
      <c r="D43" s="180"/>
      <c r="E43" s="180"/>
      <c r="F43" s="203"/>
      <c r="G43" s="2147"/>
      <c r="H43" s="2165" t="s">
        <v>1589</v>
      </c>
      <c r="I43" s="2158"/>
      <c r="J43" s="2158"/>
      <c r="K43" s="2158"/>
      <c r="L43" s="2158"/>
      <c r="M43" s="2096" t="s">
        <v>1590</v>
      </c>
      <c r="N43" s="2097"/>
      <c r="O43" s="2097"/>
      <c r="P43" s="2171"/>
      <c r="Q43" s="180"/>
      <c r="R43" s="180"/>
      <c r="S43" s="180"/>
      <c r="T43" s="180"/>
      <c r="U43" s="180"/>
      <c r="V43" s="106" t="s">
        <v>474</v>
      </c>
      <c r="W43" s="1642">
        <f t="shared" si="3"/>
        <v>0</v>
      </c>
      <c r="X43" s="1643">
        <f t="shared" si="3"/>
        <v>0.98479729729729726</v>
      </c>
      <c r="Y43" s="1643">
        <f t="shared" si="3"/>
        <v>1.1824324324324325E-2</v>
      </c>
      <c r="Z43" s="1643">
        <f t="shared" si="3"/>
        <v>2.5337837837837839E-3</v>
      </c>
      <c r="AA43" s="1643">
        <f t="shared" si="3"/>
        <v>8.4459459459459464E-4</v>
      </c>
      <c r="AB43" s="1644">
        <f t="shared" si="3"/>
        <v>0</v>
      </c>
      <c r="AC43" s="1645">
        <f t="shared" si="3"/>
        <v>1</v>
      </c>
    </row>
    <row r="44" spans="3:29" ht="13.5" thickBot="1" x14ac:dyDescent="0.25">
      <c r="C44" s="180"/>
      <c r="D44" s="180"/>
      <c r="E44" s="180"/>
      <c r="F44" s="203"/>
      <c r="G44" s="542"/>
      <c r="H44" s="180"/>
      <c r="I44" s="37" t="s">
        <v>1542</v>
      </c>
      <c r="J44" s="37"/>
      <c r="K44" s="180"/>
      <c r="L44" s="180"/>
      <c r="M44" s="1620">
        <v>-88</v>
      </c>
      <c r="N44" s="180"/>
      <c r="O44" s="124" t="s">
        <v>1545</v>
      </c>
      <c r="P44" s="1615"/>
      <c r="Q44" s="124" t="s">
        <v>1546</v>
      </c>
      <c r="R44" s="170"/>
      <c r="S44" s="180"/>
      <c r="T44" s="180"/>
      <c r="U44" s="180"/>
      <c r="V44" s="106" t="s">
        <v>448</v>
      </c>
      <c r="W44" s="1642">
        <f t="shared" si="3"/>
        <v>0</v>
      </c>
      <c r="X44" s="1643">
        <f t="shared" si="3"/>
        <v>7.952678278015117E-2</v>
      </c>
      <c r="Y44" s="1643">
        <f t="shared" si="3"/>
        <v>0.86756490305619449</v>
      </c>
      <c r="Z44" s="1643">
        <f t="shared" si="3"/>
        <v>3.6148537627341437E-2</v>
      </c>
      <c r="AA44" s="1643">
        <f t="shared" si="3"/>
        <v>1.5773907328294447E-2</v>
      </c>
      <c r="AB44" s="1644">
        <f t="shared" si="3"/>
        <v>9.8586920801840296E-4</v>
      </c>
      <c r="AC44" s="1645">
        <f t="shared" si="3"/>
        <v>1</v>
      </c>
    </row>
    <row r="45" spans="3:29" ht="15" x14ac:dyDescent="0.25">
      <c r="C45" s="180"/>
      <c r="D45" s="180"/>
      <c r="E45" s="180"/>
      <c r="F45" s="203"/>
      <c r="G45" s="542" t="s">
        <v>1591</v>
      </c>
      <c r="H45" s="553">
        <f>'2'!AG9</f>
        <v>15183.154043248731</v>
      </c>
      <c r="I45" s="2091">
        <v>0.50641000000000003</v>
      </c>
      <c r="J45" s="1626">
        <f>IF(I45="na","na",I45*H45)</f>
        <v>7688.9010390415906</v>
      </c>
      <c r="K45" s="180"/>
      <c r="L45" s="1627">
        <f>SUM(StockSumPRN!B2947:B2948)+SUM(StockSumPRN!C2947:C2948)</f>
        <v>7685</v>
      </c>
      <c r="M45" s="1639"/>
      <c r="N45" s="37"/>
      <c r="O45" s="180" t="s">
        <v>1548</v>
      </c>
      <c r="P45" s="1628">
        <f>IF(I45="na","",SUM(J45:J47))</f>
        <v>10122.622826845047</v>
      </c>
      <c r="Q45" s="497"/>
      <c r="R45" s="180"/>
      <c r="S45" s="180"/>
      <c r="T45" s="180"/>
      <c r="U45" s="180"/>
      <c r="V45" s="106" t="s">
        <v>1517</v>
      </c>
      <c r="W45" s="1642">
        <f t="shared" si="3"/>
        <v>0</v>
      </c>
      <c r="X45" s="1643">
        <f t="shared" si="3"/>
        <v>1.3618677042801556E-3</v>
      </c>
      <c r="Y45" s="1643">
        <f t="shared" si="3"/>
        <v>6.0116731517509729E-2</v>
      </c>
      <c r="Z45" s="1643">
        <f t="shared" si="3"/>
        <v>0.93579766536964981</v>
      </c>
      <c r="AA45" s="1643">
        <f t="shared" si="3"/>
        <v>2.7237354085603111E-3</v>
      </c>
      <c r="AB45" s="1644">
        <f t="shared" si="3"/>
        <v>0</v>
      </c>
      <c r="AC45" s="1645">
        <f t="shared" si="3"/>
        <v>1</v>
      </c>
    </row>
    <row r="46" spans="3:29" ht="14.25" x14ac:dyDescent="0.2">
      <c r="C46" s="180"/>
      <c r="D46" s="180"/>
      <c r="E46" s="180"/>
      <c r="F46" s="203"/>
      <c r="G46" s="2122" t="s">
        <v>1592</v>
      </c>
      <c r="H46" s="1646">
        <f>'2'!AF9</f>
        <v>0</v>
      </c>
      <c r="I46" s="2095" t="s">
        <v>761</v>
      </c>
      <c r="J46" s="1626" t="str">
        <f>IF(I46="na","na",I46*H46)</f>
        <v>na</v>
      </c>
      <c r="K46" s="180"/>
      <c r="L46" s="1627">
        <v>0</v>
      </c>
      <c r="M46" s="133" t="s">
        <v>1550</v>
      </c>
      <c r="N46" s="180"/>
      <c r="O46" s="180" t="s">
        <v>1551</v>
      </c>
      <c r="P46" s="1628">
        <f>IF(P45="","",L51/(1-L51)*P45)</f>
        <v>924.51654486342659</v>
      </c>
      <c r="Q46" s="2121" t="s">
        <v>614</v>
      </c>
      <c r="R46" s="2121" t="s">
        <v>615</v>
      </c>
      <c r="S46" s="180"/>
      <c r="T46" s="180"/>
      <c r="U46" s="180"/>
      <c r="V46" s="106" t="s">
        <v>1420</v>
      </c>
      <c r="W46" s="1642">
        <f t="shared" si="3"/>
        <v>0</v>
      </c>
      <c r="X46" s="1643">
        <f t="shared" si="3"/>
        <v>1.2763241863433312E-4</v>
      </c>
      <c r="Y46" s="1643">
        <f t="shared" si="3"/>
        <v>1.4039566049776644E-3</v>
      </c>
      <c r="Z46" s="1643">
        <f t="shared" si="3"/>
        <v>8.5513720485003199E-3</v>
      </c>
      <c r="AA46" s="1643">
        <f t="shared" si="3"/>
        <v>0.89687300574345885</v>
      </c>
      <c r="AB46" s="1644">
        <f t="shared" si="3"/>
        <v>9.3044033184428845E-2</v>
      </c>
      <c r="AC46" s="1645">
        <f t="shared" si="3"/>
        <v>1</v>
      </c>
    </row>
    <row r="47" spans="3:29" ht="15" x14ac:dyDescent="0.25">
      <c r="C47" s="180"/>
      <c r="D47" s="180"/>
      <c r="E47" s="180"/>
      <c r="F47" s="203"/>
      <c r="G47" s="2122" t="s">
        <v>1385</v>
      </c>
      <c r="H47" s="553">
        <f>SUM(TRunsPRN!D18)</f>
        <v>15213.51862402221</v>
      </c>
      <c r="I47" s="2091">
        <v>0.159971</v>
      </c>
      <c r="J47" s="1626">
        <f>IF(I47="na","na",I47*H47)</f>
        <v>2433.7217878034571</v>
      </c>
      <c r="K47" s="180"/>
      <c r="L47" s="1627">
        <f>SUM(StockSumPRN!J2742:K2743)</f>
        <v>2640</v>
      </c>
      <c r="M47" s="178">
        <f>SUM(L45:L50)</f>
        <v>11268</v>
      </c>
      <c r="N47" s="67" t="s">
        <v>1553</v>
      </c>
      <c r="O47" s="37" t="s">
        <v>1554</v>
      </c>
      <c r="P47" s="172">
        <f>IF(P45="","base period",P45+P46)</f>
        <v>11047.139371708474</v>
      </c>
      <c r="Q47" s="176">
        <f>Q48/(Q48+R48)*$P47</f>
        <v>9279.5013949427357</v>
      </c>
      <c r="R47" s="176">
        <f>R48/(R48+Q48)*$P47</f>
        <v>1767.6379767657381</v>
      </c>
      <c r="S47" s="211" t="s">
        <v>1582</v>
      </c>
      <c r="T47" s="180"/>
      <c r="U47" s="180"/>
      <c r="V47" s="1621" t="s">
        <v>1519</v>
      </c>
      <c r="W47" s="1647">
        <f t="shared" si="3"/>
        <v>0</v>
      </c>
      <c r="X47" s="1648">
        <f t="shared" si="3"/>
        <v>0</v>
      </c>
      <c r="Y47" s="1648">
        <f t="shared" si="3"/>
        <v>1.6656950112434413E-4</v>
      </c>
      <c r="Z47" s="1648">
        <f t="shared" si="3"/>
        <v>0</v>
      </c>
      <c r="AA47" s="1648">
        <f t="shared" si="3"/>
        <v>7.4956275505954858E-4</v>
      </c>
      <c r="AB47" s="1649">
        <f t="shared" si="3"/>
        <v>0.99908386774381608</v>
      </c>
      <c r="AC47" s="1650">
        <f t="shared" si="3"/>
        <v>1</v>
      </c>
    </row>
    <row r="48" spans="3:29" ht="15" x14ac:dyDescent="0.25">
      <c r="C48" s="180"/>
      <c r="D48" s="180"/>
      <c r="E48" s="180"/>
      <c r="F48" s="203"/>
      <c r="G48" s="2121" t="s">
        <v>1559</v>
      </c>
      <c r="H48" s="2119" t="s">
        <v>1560</v>
      </c>
      <c r="I48" s="2119" t="s">
        <v>1560</v>
      </c>
      <c r="J48" s="2119"/>
      <c r="K48" s="550" t="s">
        <v>1593</v>
      </c>
      <c r="L48" s="1106">
        <f>Y11</f>
        <v>309</v>
      </c>
      <c r="M48" s="1639"/>
      <c r="N48" s="180"/>
      <c r="O48" s="180"/>
      <c r="P48" s="120"/>
      <c r="Q48" s="2093">
        <v>7759</v>
      </c>
      <c r="R48" s="2093">
        <v>1478</v>
      </c>
      <c r="S48" s="180" t="s">
        <v>1594</v>
      </c>
      <c r="T48" s="180"/>
      <c r="U48" s="180"/>
      <c r="V48" s="37"/>
      <c r="W48" s="550"/>
      <c r="X48" s="550"/>
      <c r="Y48" s="550"/>
      <c r="Z48" s="550"/>
      <c r="AA48" s="550"/>
      <c r="AB48" s="550"/>
      <c r="AC48" s="180"/>
    </row>
    <row r="49" spans="4:28" x14ac:dyDescent="0.2">
      <c r="D49" s="180"/>
      <c r="E49" s="180"/>
      <c r="F49" s="203"/>
      <c r="G49" s="2122"/>
      <c r="H49" s="180"/>
      <c r="I49" s="180"/>
      <c r="J49" s="180"/>
      <c r="K49" s="550" t="s">
        <v>1595</v>
      </c>
      <c r="L49" s="1106">
        <f>SUM(Y7:Y9,Y12:Y13)</f>
        <v>27</v>
      </c>
      <c r="M49" s="1106"/>
      <c r="N49" s="190"/>
      <c r="O49" s="118"/>
      <c r="P49" s="120"/>
      <c r="Q49" s="180"/>
      <c r="R49" s="497">
        <f>SUM(Q47:R47)</f>
        <v>11047.139371708474</v>
      </c>
      <c r="S49" s="180" t="s">
        <v>1586</v>
      </c>
      <c r="T49" s="180"/>
      <c r="U49" s="180"/>
      <c r="V49" s="180" t="s">
        <v>1556</v>
      </c>
      <c r="W49" s="180"/>
      <c r="X49" s="180"/>
      <c r="Y49" s="180"/>
      <c r="Z49" s="180"/>
      <c r="AA49" s="180"/>
      <c r="AB49" s="180"/>
    </row>
    <row r="50" spans="4:28" x14ac:dyDescent="0.2">
      <c r="D50" s="371">
        <f>SUM(Table2PRN!G6589:G6590)+SUM(Table2PRN!G6799:G6800)</f>
        <v>11268</v>
      </c>
      <c r="E50" s="180"/>
      <c r="F50" s="180"/>
      <c r="G50" s="542"/>
      <c r="H50" s="180"/>
      <c r="I50" s="180"/>
      <c r="J50" s="180"/>
      <c r="K50" s="550" t="s">
        <v>1583</v>
      </c>
      <c r="L50" s="371">
        <f>SUM(Table2PRN!G6589:G6590)+SUM(Table2PRN!G6799:G6800)-L45-L46-L47-L48-L49</f>
        <v>607</v>
      </c>
      <c r="M50" s="1106"/>
      <c r="N50" s="180"/>
      <c r="O50" s="180"/>
      <c r="P50" s="120"/>
      <c r="Q50" s="180"/>
      <c r="R50" s="177">
        <f>R49+R49*0.02</f>
        <v>11268.082159142643</v>
      </c>
      <c r="S50" s="180" t="s">
        <v>1565</v>
      </c>
      <c r="T50" s="180"/>
      <c r="U50" s="180"/>
      <c r="V50" s="180"/>
      <c r="W50" s="180"/>
      <c r="X50" s="180"/>
      <c r="Y50" s="180"/>
      <c r="Z50" s="180"/>
      <c r="AA50" s="180"/>
      <c r="AB50" s="180"/>
    </row>
    <row r="51" spans="4:28" ht="12" customHeight="1" x14ac:dyDescent="0.2">
      <c r="D51" s="180"/>
      <c r="E51" s="180"/>
      <c r="F51" s="180"/>
      <c r="G51" s="122"/>
      <c r="H51" s="37"/>
      <c r="I51" s="180"/>
      <c r="J51" s="180"/>
      <c r="K51" s="67" t="s">
        <v>1564</v>
      </c>
      <c r="L51" s="1631">
        <f>(L48+L49+L50)/(L45+L46+L47+L48+L49+L50)</f>
        <v>8.3688320908768196E-2</v>
      </c>
      <c r="M51" s="1651">
        <v>0.25634708820912888</v>
      </c>
      <c r="N51" s="180"/>
      <c r="O51" s="180"/>
      <c r="P51" s="120"/>
      <c r="Q51" s="180"/>
      <c r="R51" s="180"/>
      <c r="S51" s="180"/>
      <c r="T51" s="180"/>
      <c r="U51" s="180"/>
      <c r="V51" s="180"/>
      <c r="W51" s="180"/>
      <c r="X51" s="180"/>
      <c r="Y51" s="180"/>
      <c r="Z51" s="180"/>
      <c r="AA51" s="180"/>
      <c r="AB51" s="180"/>
    </row>
    <row r="52" spans="4:28" ht="13.5" thickBot="1" x14ac:dyDescent="0.25">
      <c r="D52" s="180"/>
      <c r="E52" s="180"/>
      <c r="F52" s="180"/>
      <c r="G52" s="122"/>
      <c r="H52" s="118"/>
      <c r="I52" s="118"/>
      <c r="J52" s="118"/>
      <c r="K52" s="118"/>
      <c r="L52" s="118"/>
      <c r="M52" s="2096" t="s">
        <v>1596</v>
      </c>
      <c r="N52" s="2097"/>
      <c r="O52" s="2097"/>
      <c r="P52" s="2171"/>
      <c r="Q52" s="180"/>
      <c r="R52" s="180"/>
      <c r="S52" s="180"/>
      <c r="T52" s="180"/>
      <c r="U52" s="180"/>
      <c r="V52" s="37" t="s">
        <v>1597</v>
      </c>
      <c r="W52" s="180"/>
      <c r="X52" s="180"/>
      <c r="Y52" s="180"/>
      <c r="Z52" s="180"/>
      <c r="AA52" s="180"/>
      <c r="AB52" s="180"/>
    </row>
    <row r="53" spans="4:28" ht="13.5" thickBot="1" x14ac:dyDescent="0.25">
      <c r="D53" s="180"/>
      <c r="E53" s="180"/>
      <c r="F53" s="180"/>
      <c r="G53" s="542"/>
      <c r="H53" s="180"/>
      <c r="I53" s="37" t="s">
        <v>1569</v>
      </c>
      <c r="J53" s="37"/>
      <c r="K53" s="180"/>
      <c r="L53" s="180"/>
      <c r="M53" s="1620">
        <v>-88</v>
      </c>
      <c r="N53" s="180"/>
      <c r="O53" s="124" t="s">
        <v>1545</v>
      </c>
      <c r="P53" s="1615"/>
      <c r="Q53" s="124" t="s">
        <v>1546</v>
      </c>
      <c r="R53" s="170"/>
      <c r="S53" s="180"/>
      <c r="T53" s="180"/>
      <c r="U53" s="180"/>
      <c r="V53" s="550" t="s">
        <v>1598</v>
      </c>
      <c r="W53" s="37">
        <f>L2</f>
        <v>0</v>
      </c>
      <c r="X53" s="180" t="s">
        <v>1599</v>
      </c>
      <c r="Y53" s="180" t="str">
        <f>H2</f>
        <v>Final PFMC April - Adopted+NOF</v>
      </c>
      <c r="Z53" s="180"/>
      <c r="AA53" s="180"/>
      <c r="AB53" s="180"/>
    </row>
    <row r="54" spans="4:28" ht="15" x14ac:dyDescent="0.25">
      <c r="D54" s="180"/>
      <c r="E54" s="180"/>
      <c r="F54" s="180"/>
      <c r="G54" s="542" t="s">
        <v>1591</v>
      </c>
      <c r="H54" s="553">
        <f>'2'!AG9</f>
        <v>15183.154043248731</v>
      </c>
      <c r="I54" s="2091">
        <v>7.0377999999999996E-2</v>
      </c>
      <c r="J54" s="1652">
        <f>IF(I54="na","na",I54*H54)</f>
        <v>1068.560015255759</v>
      </c>
      <c r="K54" s="180"/>
      <c r="L54" s="1627">
        <f>SUM(StockSumPRN!B2944:C2946)</f>
        <v>236</v>
      </c>
      <c r="M54" s="133" t="s">
        <v>1550</v>
      </c>
      <c r="N54" s="37"/>
      <c r="O54" s="180" t="s">
        <v>1548</v>
      </c>
      <c r="P54" s="1628">
        <f>IF(I54="na","",SUM(J54:J56))</f>
        <v>2076.4251970599826</v>
      </c>
      <c r="Q54" s="2121" t="s">
        <v>1571</v>
      </c>
      <c r="R54" s="180"/>
      <c r="S54" s="180"/>
      <c r="T54" s="180"/>
      <c r="U54" s="180"/>
      <c r="V54" s="180"/>
      <c r="W54" s="180"/>
      <c r="X54" s="180"/>
      <c r="Y54" s="180"/>
      <c r="Z54" s="180"/>
      <c r="AA54" s="180"/>
      <c r="AB54" s="180"/>
    </row>
    <row r="55" spans="4:28" ht="14.25" x14ac:dyDescent="0.2">
      <c r="D55" s="180"/>
      <c r="E55" s="180"/>
      <c r="F55" s="180"/>
      <c r="G55" s="542" t="s">
        <v>1592</v>
      </c>
      <c r="H55" s="1646">
        <f>'2'!AF9</f>
        <v>0</v>
      </c>
      <c r="I55" s="2095" t="s">
        <v>761</v>
      </c>
      <c r="J55" s="1652" t="str">
        <f>IF(I55="na","na",I55*H55)</f>
        <v>na</v>
      </c>
      <c r="K55" s="180"/>
      <c r="L55" s="1627">
        <v>0</v>
      </c>
      <c r="M55" s="178">
        <f>SUM(L54:L57)</f>
        <v>2180</v>
      </c>
      <c r="N55" s="37" t="s">
        <v>1572</v>
      </c>
      <c r="O55" s="37" t="s">
        <v>1554</v>
      </c>
      <c r="P55" s="172">
        <f>IF(P54="","base period",P54)</f>
        <v>2076.4251970599826</v>
      </c>
      <c r="Q55" s="176">
        <f>P55</f>
        <v>2076.4251970599826</v>
      </c>
      <c r="R55" s="180"/>
      <c r="S55" s="180"/>
      <c r="T55" s="180"/>
      <c r="U55" s="180"/>
      <c r="V55" s="125" t="s">
        <v>1600</v>
      </c>
      <c r="W55" s="2121" t="s">
        <v>577</v>
      </c>
      <c r="X55" s="2534" t="s">
        <v>1601</v>
      </c>
      <c r="Y55" s="2447"/>
      <c r="Z55" s="2447"/>
      <c r="AA55" s="2447"/>
      <c r="AB55" s="79" t="s">
        <v>1602</v>
      </c>
    </row>
    <row r="56" spans="4:28" ht="15" x14ac:dyDescent="0.25">
      <c r="D56" s="180"/>
      <c r="E56" s="180"/>
      <c r="F56" s="180"/>
      <c r="G56" s="542" t="s">
        <v>1385</v>
      </c>
      <c r="H56" s="553">
        <f>SUM(TRunsPRN!D18)</f>
        <v>15213.51862402221</v>
      </c>
      <c r="I56" s="2091">
        <v>6.6248000000000001E-2</v>
      </c>
      <c r="J56" s="1652">
        <f>IF(I56="na","na",I56*H56)</f>
        <v>1007.8651818042234</v>
      </c>
      <c r="K56" s="180"/>
      <c r="L56" s="1627">
        <f>SUM(StockSumPRN!J2739:K2741)</f>
        <v>1944</v>
      </c>
      <c r="M56" s="1106"/>
      <c r="N56" s="180"/>
      <c r="O56" s="180"/>
      <c r="P56" s="203"/>
      <c r="Q56" s="177">
        <f>Q55+0.05*Q55</f>
        <v>2180.2464569129816</v>
      </c>
      <c r="R56" s="180" t="s">
        <v>1574</v>
      </c>
      <c r="S56" s="180"/>
      <c r="T56" s="180"/>
      <c r="U56" s="180"/>
      <c r="V56" s="180"/>
      <c r="W56" s="2121" t="s">
        <v>1603</v>
      </c>
      <c r="X56" s="2122" t="s">
        <v>1604</v>
      </c>
      <c r="Y56" s="2122" t="s">
        <v>1605</v>
      </c>
      <c r="Z56" s="2122" t="s">
        <v>1606</v>
      </c>
      <c r="AA56" s="2122" t="s">
        <v>1607</v>
      </c>
      <c r="AB56" s="180"/>
    </row>
    <row r="57" spans="4:28" x14ac:dyDescent="0.2">
      <c r="D57" s="180"/>
      <c r="E57" s="180"/>
      <c r="F57" s="180"/>
      <c r="G57" s="202"/>
      <c r="H57" s="37"/>
      <c r="I57" s="180"/>
      <c r="J57" s="180"/>
      <c r="K57" s="180"/>
      <c r="L57" s="180"/>
      <c r="M57" s="550"/>
      <c r="N57" s="180"/>
      <c r="O57" s="37"/>
      <c r="P57" s="117"/>
      <c r="Q57" s="180"/>
      <c r="R57" s="180"/>
      <c r="S57" s="180"/>
      <c r="T57" s="180"/>
      <c r="U57" s="180"/>
      <c r="V57" s="180"/>
      <c r="W57" s="180"/>
      <c r="X57" s="180"/>
      <c r="Y57" s="180"/>
      <c r="Z57" s="180"/>
      <c r="AA57" s="180"/>
      <c r="AB57" s="959"/>
    </row>
    <row r="58" spans="4:28" x14ac:dyDescent="0.2">
      <c r="D58" s="180"/>
      <c r="E58" s="180"/>
      <c r="F58" s="180"/>
      <c r="G58" s="1653"/>
      <c r="H58" s="1654"/>
      <c r="I58" s="1655"/>
      <c r="J58" s="1655"/>
      <c r="K58" s="1655"/>
      <c r="L58" s="1655"/>
      <c r="M58" s="1656"/>
      <c r="N58" s="1655"/>
      <c r="O58" s="1655"/>
      <c r="P58" s="1638"/>
      <c r="Q58" s="180"/>
      <c r="R58" s="180"/>
      <c r="S58" s="180"/>
      <c r="T58" s="180"/>
      <c r="U58" s="180"/>
      <c r="V58" s="180" t="str">
        <f t="shared" ref="V58:W62" si="4">G14</f>
        <v>Quillayute Falls Hatch</v>
      </c>
      <c r="W58" s="1657">
        <f t="shared" si="4"/>
        <v>17638.33465185219</v>
      </c>
      <c r="X58" s="1658" t="s">
        <v>1560</v>
      </c>
      <c r="Y58" s="1658" t="s">
        <v>1560</v>
      </c>
      <c r="Z58" s="1659">
        <f>IF(M$13 =-99, L14,J14)</f>
        <v>1492.2031115466953</v>
      </c>
      <c r="AA58" s="1659">
        <f>IF(M$13 =-99, L22,J22)</f>
        <v>2136.0023263393005</v>
      </c>
      <c r="AB58" s="959" t="str">
        <f>IF(M13 =-99, "Base Period Effort","Season Harvest Rate")</f>
        <v>Season Harvest Rate</v>
      </c>
    </row>
    <row r="59" spans="4:28" x14ac:dyDescent="0.2">
      <c r="D59" s="180"/>
      <c r="E59" s="180"/>
      <c r="F59" s="180"/>
      <c r="G59" s="180"/>
      <c r="H59" s="180"/>
      <c r="I59" s="37"/>
      <c r="J59" s="37"/>
      <c r="K59" s="180"/>
      <c r="L59" s="180"/>
      <c r="M59" s="2002"/>
      <c r="N59" s="180"/>
      <c r="O59" s="180"/>
      <c r="P59" s="180"/>
      <c r="Q59" s="180"/>
      <c r="R59" s="180"/>
      <c r="S59" s="180"/>
      <c r="T59" s="180"/>
      <c r="U59" s="180"/>
      <c r="V59" s="180" t="str">
        <f t="shared" si="4"/>
        <v>Quillayute Falls Wild</v>
      </c>
      <c r="W59" s="1657">
        <f t="shared" si="4"/>
        <v>11636.098053614196</v>
      </c>
      <c r="X59" s="1658" t="s">
        <v>1560</v>
      </c>
      <c r="Y59" s="1658" t="s">
        <v>1560</v>
      </c>
      <c r="Z59" s="1659">
        <f>IF(M$13 =-99, L15,J15)</f>
        <v>2269.0391204547682</v>
      </c>
      <c r="AA59" s="1659">
        <f>IF(M$13 =-99, L23,J23)</f>
        <v>1409.1314742926791</v>
      </c>
      <c r="AB59" s="959" t="str">
        <f>AB$58</f>
        <v>Season Harvest Rate</v>
      </c>
    </row>
    <row r="60" spans="4:28" ht="13.5" thickBot="1" x14ac:dyDescent="0.25">
      <c r="D60" s="180"/>
      <c r="E60" s="180"/>
      <c r="F60" s="180"/>
      <c r="G60" s="2147"/>
      <c r="H60" s="2165" t="s">
        <v>1608</v>
      </c>
      <c r="I60" s="2158"/>
      <c r="J60" s="2158"/>
      <c r="K60" s="2158"/>
      <c r="L60" s="2158"/>
      <c r="M60" s="2096" t="s">
        <v>1609</v>
      </c>
      <c r="N60" s="2097"/>
      <c r="O60" s="2097"/>
      <c r="P60" s="2171"/>
      <c r="Q60" s="180"/>
      <c r="R60" s="180"/>
      <c r="S60" s="180"/>
      <c r="T60" s="180"/>
      <c r="U60" s="180"/>
      <c r="V60" s="180" t="str">
        <f t="shared" si="4"/>
        <v>Quillayute Smmr Hatch</v>
      </c>
      <c r="W60" s="1657">
        <f t="shared" si="4"/>
        <v>3969.7234716660787</v>
      </c>
      <c r="X60" s="1658" t="s">
        <v>1560</v>
      </c>
      <c r="Y60" s="1658" t="s">
        <v>1560</v>
      </c>
      <c r="Z60" s="1659">
        <f>IF(M$13 =-99, L16,J16)</f>
        <v>629.99511495340676</v>
      </c>
      <c r="AA60" s="1659">
        <f>IF(M$13 =-99, L24,J24)</f>
        <v>423.96646677393721</v>
      </c>
      <c r="AB60" s="959" t="str">
        <f>AB$58</f>
        <v>Season Harvest Rate</v>
      </c>
    </row>
    <row r="61" spans="4:28" ht="13.5" thickBot="1" x14ac:dyDescent="0.25">
      <c r="D61" s="180"/>
      <c r="E61" s="180"/>
      <c r="F61" s="180"/>
      <c r="G61" s="202"/>
      <c r="H61" s="180"/>
      <c r="I61" s="37" t="s">
        <v>1542</v>
      </c>
      <c r="J61" s="37"/>
      <c r="K61" s="180"/>
      <c r="L61" s="180"/>
      <c r="M61" s="1620">
        <v>-88</v>
      </c>
      <c r="N61" s="180"/>
      <c r="O61" s="124" t="s">
        <v>1545</v>
      </c>
      <c r="P61" s="1615"/>
      <c r="Q61" s="124" t="s">
        <v>1546</v>
      </c>
      <c r="R61" s="170"/>
      <c r="S61" s="180"/>
      <c r="T61" s="180"/>
      <c r="U61" s="180"/>
      <c r="V61" s="180" t="str">
        <f t="shared" si="4"/>
        <v>Quillayute Smmr Wild</v>
      </c>
      <c r="W61" s="1657">
        <f t="shared" si="4"/>
        <v>849.82965175441086</v>
      </c>
      <c r="X61" s="1658" t="s">
        <v>1560</v>
      </c>
      <c r="Y61" s="1658" t="s">
        <v>1560</v>
      </c>
      <c r="Z61" s="1659">
        <f>IF(M$13 =-99, L17,J17)</f>
        <v>134.86796573342502</v>
      </c>
      <c r="AA61" s="1659">
        <f>IF(M$13 =-99, L25,J25)</f>
        <v>9.093177273772195</v>
      </c>
      <c r="AB61" s="959" t="str">
        <f>AB$58</f>
        <v>Season Harvest Rate</v>
      </c>
    </row>
    <row r="62" spans="4:28" ht="15" x14ac:dyDescent="0.25">
      <c r="D62" s="180"/>
      <c r="E62" s="180"/>
      <c r="F62" s="180"/>
      <c r="G62" s="542" t="s">
        <v>1610</v>
      </c>
      <c r="H62" s="1625">
        <f>TRunsPRN!D22</f>
        <v>32889.832026983167</v>
      </c>
      <c r="I62" s="2091">
        <v>0.34411714344778893</v>
      </c>
      <c r="J62" s="1626">
        <f>IF(I62="na","na",I62*H62)</f>
        <v>11317.955045603048</v>
      </c>
      <c r="K62" s="180"/>
      <c r="L62" s="1625">
        <f>SUM(StockSumPRN!H2942:I2943)</f>
        <v>11535</v>
      </c>
      <c r="M62" s="1625"/>
      <c r="N62" s="180"/>
      <c r="O62" s="180" t="s">
        <v>1548</v>
      </c>
      <c r="P62" s="1628">
        <f>IF(I62="na","",SUM(J62:J63))</f>
        <v>16023.827517173151</v>
      </c>
      <c r="Q62" s="180"/>
      <c r="R62" s="180"/>
      <c r="S62" s="180"/>
      <c r="T62" s="180"/>
      <c r="U62" s="180"/>
      <c r="V62" s="180" t="str">
        <f t="shared" si="4"/>
        <v>Non-Local</v>
      </c>
      <c r="W62" s="1658" t="str">
        <f t="shared" si="4"/>
        <v>-------------</v>
      </c>
      <c r="X62" s="1658" t="s">
        <v>1560</v>
      </c>
      <c r="Y62" s="1658" t="s">
        <v>1560</v>
      </c>
      <c r="Z62" s="1659">
        <f>IF(M$13 =-99, L18,P15)</f>
        <v>0</v>
      </c>
      <c r="AA62" s="1658" t="s">
        <v>1560</v>
      </c>
      <c r="AB62" s="959" t="s">
        <v>1611</v>
      </c>
    </row>
    <row r="63" spans="4:28" ht="15" x14ac:dyDescent="0.25">
      <c r="D63" s="180"/>
      <c r="E63" s="180"/>
      <c r="F63" s="180"/>
      <c r="G63" s="542" t="s">
        <v>1612</v>
      </c>
      <c r="H63" s="1627">
        <f>TRunsPRN!D23</f>
        <v>17384.686175938234</v>
      </c>
      <c r="I63" s="2091">
        <v>0.27069067706746397</v>
      </c>
      <c r="J63" s="1626">
        <f>IF(I63="na","na",I63*H63)</f>
        <v>4705.8724715701019</v>
      </c>
      <c r="K63" s="180"/>
      <c r="L63" s="1625">
        <f>SUM(StockSumPRN!F2942:G2943)</f>
        <v>4810</v>
      </c>
      <c r="M63" s="149" t="s">
        <v>1550</v>
      </c>
      <c r="N63" s="180"/>
      <c r="O63" s="180" t="s">
        <v>1551</v>
      </c>
      <c r="P63" s="1628">
        <f>IF(P62="","",L65/(1-L65)*P62)</f>
        <v>434.2952334113005</v>
      </c>
      <c r="Q63" s="2121" t="s">
        <v>614</v>
      </c>
      <c r="R63" s="2121" t="s">
        <v>615</v>
      </c>
      <c r="S63" s="180"/>
      <c r="T63" s="180"/>
      <c r="U63" s="180"/>
      <c r="V63" s="180"/>
      <c r="W63" s="1657"/>
      <c r="X63" s="180"/>
      <c r="Y63" s="180"/>
      <c r="Z63" s="1657"/>
      <c r="AA63" s="1657"/>
      <c r="AB63" s="959"/>
    </row>
    <row r="64" spans="4:28" x14ac:dyDescent="0.2">
      <c r="D64" s="180"/>
      <c r="E64" s="180"/>
      <c r="F64" s="180"/>
      <c r="G64" s="116" t="s">
        <v>1559</v>
      </c>
      <c r="H64" s="2119" t="s">
        <v>1560</v>
      </c>
      <c r="I64" s="2119" t="s">
        <v>1560</v>
      </c>
      <c r="J64" s="2119"/>
      <c r="K64" s="1625" t="s">
        <v>1560</v>
      </c>
      <c r="L64" s="1625">
        <f>SUM(Table2PRN!G6584:G6585)+SUM(Table2PRN!G6794:G6795)-L62-L63</f>
        <v>443</v>
      </c>
      <c r="M64" s="150">
        <f>SUM(L62:L64)</f>
        <v>16788</v>
      </c>
      <c r="N64" s="67" t="s">
        <v>1553</v>
      </c>
      <c r="O64" s="37" t="s">
        <v>1554</v>
      </c>
      <c r="P64" s="172">
        <f>IF(P62="","base period",P62+P63)</f>
        <v>16458.122750584451</v>
      </c>
      <c r="Q64" s="176">
        <f>Q65/(Q65+R65)*$P64</f>
        <v>11224.577440775169</v>
      </c>
      <c r="R64" s="176">
        <f>R65/(R65+Q65)*$P64</f>
        <v>5233.5453098092812</v>
      </c>
      <c r="S64" s="180"/>
      <c r="T64" s="180"/>
      <c r="U64" s="180"/>
      <c r="V64" s="180" t="str">
        <f t="shared" ref="V64:W66" si="5">G31</f>
        <v>Hoh Hatch</v>
      </c>
      <c r="W64" s="1657">
        <f t="shared" si="5"/>
        <v>0</v>
      </c>
      <c r="X64" s="1658" t="s">
        <v>1560</v>
      </c>
      <c r="Y64" s="1658" t="s">
        <v>1560</v>
      </c>
      <c r="Z64" s="1658" t="str">
        <f>IF(M$30 =-99, L31,J31)</f>
        <v>na</v>
      </c>
      <c r="AA64" s="1658" t="str">
        <f>IF(M$30 =-99, L38,J38)</f>
        <v>na</v>
      </c>
      <c r="AB64" s="959" t="str">
        <f>IF(M30 =-99, "Base Period Effort","Season Harvest Rate")</f>
        <v>Season Harvest Rate</v>
      </c>
    </row>
    <row r="65" spans="4:30" ht="15" x14ac:dyDescent="0.25">
      <c r="D65" s="180"/>
      <c r="E65" s="180"/>
      <c r="F65" s="180"/>
      <c r="G65" s="202"/>
      <c r="H65" s="37"/>
      <c r="I65" s="180"/>
      <c r="J65" s="180"/>
      <c r="K65" s="67" t="s">
        <v>1564</v>
      </c>
      <c r="L65" s="1631">
        <f>L64/(L62+L63+L64)</f>
        <v>2.638789611627353E-2</v>
      </c>
      <c r="M65" s="2122"/>
      <c r="N65" s="180"/>
      <c r="O65" s="180"/>
      <c r="P65" s="203"/>
      <c r="Q65" s="2093">
        <v>12225</v>
      </c>
      <c r="R65" s="2093">
        <v>5700</v>
      </c>
      <c r="S65" s="180"/>
      <c r="T65" s="180"/>
      <c r="U65" s="180"/>
      <c r="V65" s="180" t="str">
        <f t="shared" si="5"/>
        <v>Hoh Wild</v>
      </c>
      <c r="W65" s="1657">
        <f t="shared" si="5"/>
        <v>3922.124919189815</v>
      </c>
      <c r="X65" s="1658" t="s">
        <v>1560</v>
      </c>
      <c r="Y65" s="1658" t="s">
        <v>1560</v>
      </c>
      <c r="Z65" s="1659">
        <f>IF(M$30 =-99, L32,J32)</f>
        <v>1143.6916264357501</v>
      </c>
      <c r="AA65" s="1659">
        <f>IF(M$30 =-99, L39,J39)</f>
        <v>541.25323884819454</v>
      </c>
      <c r="AB65" s="959" t="str">
        <f>AB64</f>
        <v>Season Harvest Rate</v>
      </c>
      <c r="AC65" s="180"/>
      <c r="AD65" s="180"/>
    </row>
    <row r="66" spans="4:30" x14ac:dyDescent="0.2">
      <c r="D66" s="180"/>
      <c r="E66" s="180"/>
      <c r="F66" s="180"/>
      <c r="G66" s="202"/>
      <c r="H66" s="37"/>
      <c r="I66" s="180"/>
      <c r="J66" s="180"/>
      <c r="K66" s="67"/>
      <c r="L66" s="1631"/>
      <c r="M66" s="2122"/>
      <c r="N66" s="180"/>
      <c r="O66" s="180"/>
      <c r="P66" s="203"/>
      <c r="Q66" s="180"/>
      <c r="R66" s="497">
        <f>SUM(Q64:R64)</f>
        <v>16458.122750584451</v>
      </c>
      <c r="S66" s="180" t="s">
        <v>1586</v>
      </c>
      <c r="T66" s="180"/>
      <c r="U66" s="180"/>
      <c r="V66" s="180" t="str">
        <f t="shared" si="5"/>
        <v>Non-Local</v>
      </c>
      <c r="W66" s="1658" t="str">
        <f t="shared" si="5"/>
        <v>-------------</v>
      </c>
      <c r="X66" s="1658" t="s">
        <v>1560</v>
      </c>
      <c r="Y66" s="1658" t="str">
        <f>K33</f>
        <v xml:space="preserve">Coastal Wild: </v>
      </c>
      <c r="Z66" s="1659">
        <f>IF(M$30 =-99, L33,P32)</f>
        <v>309.95416291054636</v>
      </c>
      <c r="AA66" s="1658" t="s">
        <v>1560</v>
      </c>
      <c r="AB66" s="959" t="s">
        <v>1611</v>
      </c>
      <c r="AC66" s="180"/>
      <c r="AD66" s="180"/>
    </row>
    <row r="67" spans="4:30" ht="13.5" thickBot="1" x14ac:dyDescent="0.25">
      <c r="D67" s="180"/>
      <c r="E67" s="180"/>
      <c r="F67" s="180"/>
      <c r="G67" s="202"/>
      <c r="H67" s="180"/>
      <c r="I67" s="180"/>
      <c r="J67" s="180"/>
      <c r="K67" s="180"/>
      <c r="L67" s="180"/>
      <c r="M67" s="2098" t="s">
        <v>1613</v>
      </c>
      <c r="N67" s="2099"/>
      <c r="O67" s="2094"/>
      <c r="P67" s="2100"/>
      <c r="Q67" s="180"/>
      <c r="R67" s="177">
        <f>R66+R66*0.02</f>
        <v>16787.285205596141</v>
      </c>
      <c r="S67" s="180" t="s">
        <v>1565</v>
      </c>
      <c r="T67" s="180"/>
      <c r="U67" s="180"/>
      <c r="V67" s="180"/>
      <c r="W67" s="1657"/>
      <c r="X67" s="180"/>
      <c r="Y67" s="1658" t="str">
        <f>K34</f>
        <v xml:space="preserve">Other stocks: </v>
      </c>
      <c r="Z67" s="1659">
        <f>IF(M$30 =-99, L34,P33)</f>
        <v>351.15060228473283</v>
      </c>
      <c r="AA67" s="1658" t="s">
        <v>1560</v>
      </c>
      <c r="AB67" s="959" t="s">
        <v>1611</v>
      </c>
      <c r="AC67" s="180"/>
      <c r="AD67" s="180"/>
    </row>
    <row r="68" spans="4:30" ht="13.5" thickBot="1" x14ac:dyDescent="0.25">
      <c r="D68" s="180"/>
      <c r="E68" s="180"/>
      <c r="F68" s="180"/>
      <c r="G68" s="202"/>
      <c r="H68" s="180"/>
      <c r="I68" s="37" t="s">
        <v>1569</v>
      </c>
      <c r="J68" s="37"/>
      <c r="K68" s="180"/>
      <c r="L68" s="180"/>
      <c r="M68" s="1620">
        <v>-88</v>
      </c>
      <c r="N68" s="180"/>
      <c r="O68" s="124" t="s">
        <v>1545</v>
      </c>
      <c r="P68" s="1615"/>
      <c r="Q68" s="124" t="s">
        <v>1546</v>
      </c>
      <c r="R68" s="170"/>
      <c r="S68" s="180"/>
      <c r="T68" s="180"/>
      <c r="U68" s="180"/>
      <c r="V68" s="180"/>
      <c r="W68" s="180"/>
      <c r="X68" s="180"/>
      <c r="Y68" s="180"/>
      <c r="Z68" s="180"/>
      <c r="AA68" s="180"/>
      <c r="AB68" s="180"/>
      <c r="AC68" s="180"/>
      <c r="AD68" s="180"/>
    </row>
    <row r="69" spans="4:30" ht="15" x14ac:dyDescent="0.25">
      <c r="D69" s="180"/>
      <c r="E69" s="180"/>
      <c r="F69" s="180"/>
      <c r="G69" s="542" t="s">
        <v>1614</v>
      </c>
      <c r="H69" s="553">
        <f>TRunsPRN!D22</f>
        <v>32889.832026983167</v>
      </c>
      <c r="I69" s="2091">
        <v>0.08</v>
      </c>
      <c r="J69" s="1652">
        <f>IF(I69="na","na",I69*H69)</f>
        <v>2631.1865621586535</v>
      </c>
      <c r="K69" s="180"/>
      <c r="L69" s="553">
        <f>SUM(StockSumPRN!H2941:I2941)</f>
        <v>0</v>
      </c>
      <c r="M69" s="37" t="s">
        <v>1550</v>
      </c>
      <c r="N69" s="37"/>
      <c r="O69" s="180" t="s">
        <v>1548</v>
      </c>
      <c r="P69" s="1628">
        <f>IF(I69="na","",SUM(J69:J70))</f>
        <v>4021.9614562337119</v>
      </c>
      <c r="Q69" s="2121" t="s">
        <v>1571</v>
      </c>
      <c r="R69" s="180"/>
      <c r="S69" s="180"/>
      <c r="T69" s="180"/>
      <c r="U69" s="180"/>
      <c r="V69" s="180" t="str">
        <f t="shared" ref="V69:W72" si="6">G45</f>
        <v>Queets Hatch</v>
      </c>
      <c r="W69" s="1657">
        <f t="shared" si="6"/>
        <v>15183.154043248731</v>
      </c>
      <c r="X69" s="1658" t="s">
        <v>1560</v>
      </c>
      <c r="Y69" s="1658" t="s">
        <v>1560</v>
      </c>
      <c r="Z69" s="1659">
        <f>IF(M$44 =-99, L45,J45)</f>
        <v>7688.9010390415906</v>
      </c>
      <c r="AA69" s="1659">
        <f>IF(M$44 =-99, L54,J54)</f>
        <v>1068.560015255759</v>
      </c>
      <c r="AB69" s="959" t="str">
        <f>IF(M44 =-99, "Base Period Effort","Season Harvest Rate")</f>
        <v>Season Harvest Rate</v>
      </c>
      <c r="AC69" s="180"/>
      <c r="AD69" s="180"/>
    </row>
    <row r="70" spans="4:30" ht="15" x14ac:dyDescent="0.25">
      <c r="D70" s="180"/>
      <c r="E70" s="180"/>
      <c r="F70" s="180"/>
      <c r="G70" s="542" t="s">
        <v>1612</v>
      </c>
      <c r="H70" s="553">
        <f>TRunsPRN!D23</f>
        <v>17384.686175938234</v>
      </c>
      <c r="I70" s="2091">
        <v>0.08</v>
      </c>
      <c r="J70" s="1652">
        <f>IF(I70="na","na",I70*H70)</f>
        <v>1390.7748940750587</v>
      </c>
      <c r="K70" s="180"/>
      <c r="L70" s="553">
        <f>SUM(StockSumPRN!F2941:G2941)</f>
        <v>0</v>
      </c>
      <c r="M70" s="2121">
        <f>SUM(L69:L70)</f>
        <v>0</v>
      </c>
      <c r="N70" s="37" t="s">
        <v>1572</v>
      </c>
      <c r="O70" s="37" t="s">
        <v>1554</v>
      </c>
      <c r="P70" s="172">
        <f>IF(P69="","base period",P69)</f>
        <v>4021.9614562337119</v>
      </c>
      <c r="Q70" s="176">
        <f>P70</f>
        <v>4021.9614562337119</v>
      </c>
      <c r="R70" s="180"/>
      <c r="S70" s="180"/>
      <c r="T70" s="180"/>
      <c r="U70" s="180"/>
      <c r="V70" s="180" t="str">
        <f t="shared" si="6"/>
        <v>Queest Supple</v>
      </c>
      <c r="W70" s="1657">
        <f t="shared" si="6"/>
        <v>0</v>
      </c>
      <c r="X70" s="1658" t="s">
        <v>1560</v>
      </c>
      <c r="Y70" s="1658" t="s">
        <v>1560</v>
      </c>
      <c r="Z70" s="1659" t="str">
        <f>IF(M$44 =-99, L46,J46)</f>
        <v>na</v>
      </c>
      <c r="AA70" s="1659" t="str">
        <f>IF(M$44 =-99, L55,J55)</f>
        <v>na</v>
      </c>
      <c r="AB70" s="959" t="str">
        <f>AB69</f>
        <v>Season Harvest Rate</v>
      </c>
      <c r="AC70" s="180"/>
      <c r="AD70" s="180"/>
    </row>
    <row r="71" spans="4:30" x14ac:dyDescent="0.2">
      <c r="D71" s="180"/>
      <c r="E71" s="180"/>
      <c r="F71" s="180"/>
      <c r="G71" s="202"/>
      <c r="H71" s="37"/>
      <c r="I71" s="180"/>
      <c r="J71" s="180"/>
      <c r="K71" s="180"/>
      <c r="L71" s="180"/>
      <c r="M71" s="550"/>
      <c r="N71" s="180"/>
      <c r="O71" s="37"/>
      <c r="P71" s="117"/>
      <c r="Q71" s="180"/>
      <c r="R71" s="180"/>
      <c r="S71" s="180"/>
      <c r="T71" s="180"/>
      <c r="U71" s="180"/>
      <c r="V71" s="180" t="str">
        <f t="shared" si="6"/>
        <v>Queets Wild</v>
      </c>
      <c r="W71" s="1657">
        <f t="shared" si="6"/>
        <v>15213.51862402221</v>
      </c>
      <c r="X71" s="1658" t="s">
        <v>1560</v>
      </c>
      <c r="Y71" s="1658" t="s">
        <v>1560</v>
      </c>
      <c r="Z71" s="1659">
        <f>IF(M$44 =-99, L47,J47)</f>
        <v>2433.7217878034571</v>
      </c>
      <c r="AA71" s="1659">
        <f>IF(M$44 =-99, L56,J56)</f>
        <v>1007.8651818042234</v>
      </c>
      <c r="AB71" s="959" t="str">
        <f>AB70</f>
        <v>Season Harvest Rate</v>
      </c>
      <c r="AC71" s="180"/>
      <c r="AD71" s="180"/>
    </row>
    <row r="72" spans="4:30" x14ac:dyDescent="0.2">
      <c r="D72" s="180"/>
      <c r="E72" s="180"/>
      <c r="F72" s="180"/>
      <c r="G72" s="1610"/>
      <c r="H72" s="1594"/>
      <c r="I72" s="1611"/>
      <c r="J72" s="1611"/>
      <c r="K72" s="1611"/>
      <c r="L72" s="1611"/>
      <c r="M72" s="1623"/>
      <c r="N72" s="1611"/>
      <c r="O72" s="1611"/>
      <c r="P72" s="1612"/>
      <c r="Q72" s="180"/>
      <c r="R72"/>
      <c r="S72" s="180"/>
      <c r="T72" s="180"/>
      <c r="U72" s="180"/>
      <c r="V72" s="180" t="str">
        <f t="shared" si="6"/>
        <v>Non-Local</v>
      </c>
      <c r="W72" s="1658" t="str">
        <f t="shared" si="6"/>
        <v>-------------</v>
      </c>
      <c r="X72" s="1658" t="s">
        <v>1560</v>
      </c>
      <c r="Y72" s="1658" t="s">
        <v>1560</v>
      </c>
      <c r="Z72" s="1659">
        <f>IF(M$44 =-99, L48+L49+L50,P46)</f>
        <v>924.51654486342659</v>
      </c>
      <c r="AA72" s="1658" t="s">
        <v>1560</v>
      </c>
      <c r="AB72" s="959" t="s">
        <v>1611</v>
      </c>
      <c r="AC72" s="180"/>
      <c r="AD72" s="180"/>
    </row>
    <row r="73" spans="4:30" x14ac:dyDescent="0.2">
      <c r="D73" s="180"/>
      <c r="E73" s="180"/>
      <c r="F73" s="180"/>
      <c r="G73" s="180"/>
      <c r="H73" s="37"/>
      <c r="I73" s="180"/>
      <c r="J73" s="180"/>
      <c r="K73" s="180"/>
      <c r="L73" s="180"/>
      <c r="M73" s="550"/>
      <c r="N73" s="180"/>
      <c r="O73" s="180"/>
      <c r="P73" s="180"/>
      <c r="Q73" s="180"/>
      <c r="R73" s="180"/>
      <c r="S73" s="180"/>
      <c r="T73" s="180"/>
      <c r="U73" s="180"/>
      <c r="V73" s="180"/>
      <c r="W73" s="1657"/>
      <c r="X73" s="180"/>
      <c r="Y73" s="180"/>
      <c r="Z73" s="1657"/>
      <c r="AA73" s="1657"/>
      <c r="AB73" s="959"/>
      <c r="AC73" s="180"/>
      <c r="AD73" s="180"/>
    </row>
    <row r="74" spans="4:30" ht="13.5" customHeight="1" thickBot="1" x14ac:dyDescent="0.25">
      <c r="D74" s="180"/>
      <c r="E74" s="180"/>
      <c r="F74" s="180"/>
      <c r="G74" s="2172"/>
      <c r="H74" s="2165" t="s">
        <v>1615</v>
      </c>
      <c r="I74" s="2158"/>
      <c r="J74" s="2158"/>
      <c r="K74" s="2158"/>
      <c r="L74" s="2158"/>
      <c r="M74" s="2407" t="s">
        <v>7516</v>
      </c>
      <c r="N74" s="2408"/>
      <c r="O74" s="2408"/>
      <c r="P74" s="2171"/>
      <c r="Q74" s="180"/>
      <c r="R74" s="180"/>
      <c r="S74" s="180"/>
      <c r="T74" s="180"/>
      <c r="U74" s="180"/>
      <c r="V74" s="180" t="str">
        <f>G62</f>
        <v>Quinault Hatch</v>
      </c>
      <c r="W74" s="1657">
        <f>H62</f>
        <v>32889.832026983167</v>
      </c>
      <c r="X74" s="1658" t="s">
        <v>1560</v>
      </c>
      <c r="Y74" s="1658" t="s">
        <v>1560</v>
      </c>
      <c r="Z74" s="1659">
        <f>IF(M$61 =-99, L62,J62)</f>
        <v>11317.955045603048</v>
      </c>
      <c r="AA74" s="1660">
        <f>IF(M$61 =-99, L69,J69)</f>
        <v>2631.1865621586535</v>
      </c>
      <c r="AB74" s="959" t="str">
        <f>IF(M61 =-99, "Base Period Effort","Season Harvest Rate")</f>
        <v>Season Harvest Rate</v>
      </c>
      <c r="AC74" s="180"/>
      <c r="AD74" s="180"/>
    </row>
    <row r="75" spans="4:30" ht="13.5" thickBot="1" x14ac:dyDescent="0.25">
      <c r="D75" s="180"/>
      <c r="E75" s="180"/>
      <c r="F75" s="180"/>
      <c r="G75" s="542"/>
      <c r="H75" s="180"/>
      <c r="I75" s="2121" t="s">
        <v>1616</v>
      </c>
      <c r="J75" s="2121"/>
      <c r="K75" s="180"/>
      <c r="L75" s="180"/>
      <c r="M75" s="1620">
        <v>-88</v>
      </c>
      <c r="N75" s="180"/>
      <c r="O75" s="124" t="s">
        <v>1545</v>
      </c>
      <c r="P75" s="1615"/>
      <c r="Q75" s="124" t="s">
        <v>1546</v>
      </c>
      <c r="R75" s="170"/>
      <c r="S75" s="180"/>
      <c r="T75" s="180"/>
      <c r="U75" s="180"/>
      <c r="V75" s="180" t="str">
        <f>G63</f>
        <v>Quinault Wild</v>
      </c>
      <c r="W75" s="1657">
        <f>H63</f>
        <v>17384.686175938234</v>
      </c>
      <c r="X75" s="1658" t="s">
        <v>1560</v>
      </c>
      <c r="Y75" s="1658" t="s">
        <v>1560</v>
      </c>
      <c r="Z75" s="1659">
        <f>IF(M$61 =-99, L63,J63)</f>
        <v>4705.8724715701019</v>
      </c>
      <c r="AA75" s="1660">
        <f>IF(M$61 =-99, L70,J70)</f>
        <v>1390.7748940750587</v>
      </c>
      <c r="AB75" s="959" t="str">
        <f>AB74</f>
        <v>Season Harvest Rate</v>
      </c>
      <c r="AC75" s="180"/>
      <c r="AD75" s="180"/>
    </row>
    <row r="76" spans="4:30" ht="15" x14ac:dyDescent="0.25">
      <c r="D76" s="180"/>
      <c r="E76" s="180"/>
      <c r="F76" s="180"/>
      <c r="G76" s="542" t="s">
        <v>1617</v>
      </c>
      <c r="H76" s="553">
        <f>TRunsPRN!D$208</f>
        <v>2296.9242186768338</v>
      </c>
      <c r="I76" s="2405">
        <v>3.943E-2</v>
      </c>
      <c r="J76" s="1626">
        <f>IF(I76="na","na",I76*H76)</f>
        <v>90.567721942427553</v>
      </c>
      <c r="K76" s="180"/>
      <c r="L76" s="1661">
        <f>SUM(StockSumPRN!J3134:K3134)</f>
        <v>62</v>
      </c>
      <c r="M76" s="2122"/>
      <c r="N76" s="180"/>
      <c r="O76" s="180" t="s">
        <v>1548</v>
      </c>
      <c r="P76" s="625">
        <f>IF(I76="na","",SUM(J76:J80))</f>
        <v>6011.9146149936932</v>
      </c>
      <c r="Q76" s="2121" t="s">
        <v>614</v>
      </c>
      <c r="R76" s="2121" t="s">
        <v>615</v>
      </c>
      <c r="S76" s="180"/>
      <c r="T76" s="180"/>
      <c r="U76" s="180"/>
      <c r="V76" s="180" t="str">
        <f>G64</f>
        <v>Non-Local</v>
      </c>
      <c r="W76" s="1658" t="s">
        <v>1560</v>
      </c>
      <c r="X76" s="1658" t="s">
        <v>1560</v>
      </c>
      <c r="Y76" s="1658" t="s">
        <v>1560</v>
      </c>
      <c r="Z76" s="1659">
        <f>IF(M$61 =-99, L64,P63)</f>
        <v>434.2952334113005</v>
      </c>
      <c r="AA76" s="1658" t="s">
        <v>1560</v>
      </c>
      <c r="AB76" s="959" t="s">
        <v>1611</v>
      </c>
      <c r="AC76" s="180"/>
      <c r="AD76" s="180"/>
    </row>
    <row r="77" spans="4:30" ht="15" x14ac:dyDescent="0.25">
      <c r="D77" s="180"/>
      <c r="E77" s="180"/>
      <c r="F77" s="180"/>
      <c r="G77" s="542" t="s">
        <v>1618</v>
      </c>
      <c r="H77" s="1646">
        <f>TRunsPRN!D$204</f>
        <v>36909.949326415299</v>
      </c>
      <c r="I77" s="2405">
        <v>3.943E-2</v>
      </c>
      <c r="J77" s="1626">
        <f>IF(I77="na","na",I77*H77)</f>
        <v>1455.3593019405553</v>
      </c>
      <c r="K77" s="180"/>
      <c r="L77" s="1661">
        <f>SUM(StockSumPRN!B3134:C3134)</f>
        <v>1184</v>
      </c>
      <c r="M77" s="37" t="s">
        <v>1550</v>
      </c>
      <c r="N77" s="180"/>
      <c r="O77" s="180" t="s">
        <v>1551</v>
      </c>
      <c r="P77" s="625">
        <f>IF(P76="","",L82/(1-L82)*P76)</f>
        <v>259.76803733463703</v>
      </c>
      <c r="Q77" s="1662">
        <f>Q78/(Q78+R78)*$P78</f>
        <v>0</v>
      </c>
      <c r="R77" s="1662">
        <f>R78/(R78+Q78)*$P78</f>
        <v>6271.6826523283307</v>
      </c>
      <c r="S77" s="180" t="s">
        <v>1582</v>
      </c>
      <c r="T77" s="180"/>
      <c r="U77" s="180"/>
      <c r="V77" s="180"/>
      <c r="W77" s="1657"/>
      <c r="X77" s="180"/>
      <c r="Y77" s="180"/>
      <c r="Z77" s="180"/>
      <c r="AA77" s="180"/>
      <c r="AB77" s="959"/>
      <c r="AC77" s="180"/>
      <c r="AD77" s="180"/>
    </row>
    <row r="78" spans="4:30" ht="15" x14ac:dyDescent="0.25">
      <c r="D78" s="180"/>
      <c r="E78" s="180"/>
      <c r="F78" s="180"/>
      <c r="G78" s="542" t="s">
        <v>1619</v>
      </c>
      <c r="H78" s="497">
        <f>TRunsPRN!D$203+TRunsPRN!D$207</f>
        <v>106748.84008765593</v>
      </c>
      <c r="I78" s="2405">
        <v>3.943E-2</v>
      </c>
      <c r="J78" s="1626">
        <f>IF(I78="na","na",I78*H78)</f>
        <v>4209.1067646562733</v>
      </c>
      <c r="K78" s="180"/>
      <c r="L78" s="1661">
        <f>SUM(StockSumPRN!J2929:K2929)</f>
        <v>3842</v>
      </c>
      <c r="M78" s="2121">
        <f>SUM(L76:L81)</f>
        <v>6398</v>
      </c>
      <c r="N78" s="67" t="s">
        <v>1553</v>
      </c>
      <c r="O78" s="37" t="s">
        <v>1554</v>
      </c>
      <c r="P78" s="172">
        <f>IF(P76="","base period",P76+P77)</f>
        <v>6271.6826523283307</v>
      </c>
      <c r="Q78" s="2404">
        <v>0</v>
      </c>
      <c r="R78" s="2404">
        <v>5747</v>
      </c>
      <c r="S78" s="180"/>
      <c r="T78" s="180"/>
      <c r="U78" s="180"/>
      <c r="V78" s="125" t="s">
        <v>1600</v>
      </c>
      <c r="W78" s="2121" t="s">
        <v>577</v>
      </c>
      <c r="X78" s="2534" t="s">
        <v>1620</v>
      </c>
      <c r="Y78" s="2493"/>
      <c r="Z78" s="2493"/>
      <c r="AA78" s="2493"/>
      <c r="AB78" s="79" t="s">
        <v>1602</v>
      </c>
      <c r="AC78" s="180"/>
      <c r="AD78" s="180"/>
    </row>
    <row r="79" spans="4:30" ht="15" x14ac:dyDescent="0.25">
      <c r="D79" s="180"/>
      <c r="E79" s="180"/>
      <c r="F79" s="180"/>
      <c r="G79" s="542" t="s">
        <v>1621</v>
      </c>
      <c r="H79" s="497">
        <f>TRunsPRN!D$206</f>
        <v>26148.086978674466</v>
      </c>
      <c r="I79" s="2405">
        <v>8.4200000000000004E-3</v>
      </c>
      <c r="J79" s="1626">
        <f>IF(I79="na","na",I79*H79)</f>
        <v>220.16689236043902</v>
      </c>
      <c r="K79" s="180"/>
      <c r="L79" s="1661">
        <f>SUM(StockSumPRN!F3134:G3134)</f>
        <v>876</v>
      </c>
      <c r="M79" s="180"/>
      <c r="N79" s="180"/>
      <c r="O79" s="125"/>
      <c r="P79" s="203"/>
      <c r="Q79" s="180"/>
      <c r="R79" s="497">
        <f>SUM(Q77:R77)</f>
        <v>6271.6826523283307</v>
      </c>
      <c r="S79" s="180" t="s">
        <v>1586</v>
      </c>
      <c r="T79" s="180"/>
      <c r="U79" s="180"/>
      <c r="V79" s="180"/>
      <c r="W79" s="2121" t="s">
        <v>1603</v>
      </c>
      <c r="X79" s="2122" t="s">
        <v>1604</v>
      </c>
      <c r="Y79" s="2122" t="s">
        <v>1605</v>
      </c>
      <c r="Z79" s="2122" t="s">
        <v>1622</v>
      </c>
      <c r="AA79" s="2122" t="s">
        <v>1607</v>
      </c>
      <c r="AB79" s="180"/>
      <c r="AC79" s="180"/>
      <c r="AD79" s="180"/>
    </row>
    <row r="80" spans="4:30" ht="15" x14ac:dyDescent="0.25">
      <c r="D80" s="180"/>
      <c r="E80" s="180"/>
      <c r="F80" s="180"/>
      <c r="G80" s="542" t="s">
        <v>1623</v>
      </c>
      <c r="H80" s="553">
        <f>TRunsPRN!D$205</f>
        <v>4360.3247142515374</v>
      </c>
      <c r="I80" s="2405">
        <v>8.4200000000000004E-3</v>
      </c>
      <c r="J80" s="1626">
        <f>IF(I80="na","na",I80*H80)</f>
        <v>36.713934093997949</v>
      </c>
      <c r="K80" s="180"/>
      <c r="L80" s="1661">
        <f>SUM(StockSumPRN!D3134:E3134)</f>
        <v>169</v>
      </c>
      <c r="M80" s="180"/>
      <c r="N80" s="180"/>
      <c r="O80" s="180"/>
      <c r="P80" s="203"/>
      <c r="Q80" s="180"/>
      <c r="R80" s="177">
        <f>R79+R79*0.02</f>
        <v>6397.1163053748969</v>
      </c>
      <c r="S80" s="180" t="s">
        <v>1565</v>
      </c>
      <c r="T80" s="180"/>
      <c r="U80" s="180"/>
      <c r="V80" s="180" t="str">
        <f t="shared" ref="V80:W82" si="7">G131</f>
        <v>Willapa Hatch</v>
      </c>
      <c r="W80" s="1657">
        <f t="shared" si="7"/>
        <v>54177.099916383551</v>
      </c>
      <c r="X80" s="1659">
        <f>IF(M$130 =-99, L131,J131)</f>
        <v>19362.895510115482</v>
      </c>
      <c r="Y80" s="1659">
        <f>IF(M$130 =-99,L137,J137)</f>
        <v>520.1001591972821</v>
      </c>
      <c r="Z80" s="1658" t="s">
        <v>1560</v>
      </c>
      <c r="AA80" s="1659">
        <f>IF(M$130 =-99, L143,J143)</f>
        <v>3061.0061452756709</v>
      </c>
      <c r="AB80" s="959" t="str">
        <f>IF(M130 =-99, "Base Period Effort","Season Harvest Rate")</f>
        <v>Season Harvest Rate</v>
      </c>
      <c r="AC80" s="180"/>
      <c r="AD80" s="180"/>
    </row>
    <row r="81" spans="7:33" x14ac:dyDescent="0.2">
      <c r="G81" s="116" t="s">
        <v>1559</v>
      </c>
      <c r="H81" s="2119" t="s">
        <v>1560</v>
      </c>
      <c r="I81" s="2119" t="s">
        <v>1560</v>
      </c>
      <c r="J81" s="2119" t="s">
        <v>1560</v>
      </c>
      <c r="K81" s="180"/>
      <c r="L81" s="1663">
        <f>SUM(Table2PRN!G6571)+SUM(Table2PRN!G6781)-L76-L77-L78-L79-L80</f>
        <v>265</v>
      </c>
      <c r="M81" s="2122"/>
      <c r="N81" s="180"/>
      <c r="O81" s="180"/>
      <c r="P81" s="203"/>
      <c r="Q81" s="180"/>
      <c r="R81" s="180"/>
      <c r="S81" s="180"/>
      <c r="T81" s="180"/>
      <c r="U81" s="180"/>
      <c r="V81" s="180" t="str">
        <f t="shared" si="7"/>
        <v>Willapa Wild</v>
      </c>
      <c r="W81" s="1657">
        <f t="shared" si="7"/>
        <v>31911.866238441537</v>
      </c>
      <c r="X81" s="1659">
        <f>IF(M$130 =-99, L132,J132)</f>
        <v>11890.361360443316</v>
      </c>
      <c r="Y81" s="1659">
        <f>IF(M$130 =-99,L138,J138)</f>
        <v>248.91255665984397</v>
      </c>
      <c r="Z81" s="1658" t="s">
        <v>1560</v>
      </c>
      <c r="AA81" s="1659">
        <f>IF(M$130 =-99, L144,J144)</f>
        <v>1088.1946387308562</v>
      </c>
      <c r="AB81" s="959" t="str">
        <f>AB80</f>
        <v>Season Harvest Rate</v>
      </c>
      <c r="AC81" s="180"/>
      <c r="AD81" s="180"/>
      <c r="AE81" s="180"/>
      <c r="AF81" s="180"/>
      <c r="AG81" s="180"/>
    </row>
    <row r="82" spans="7:33" x14ac:dyDescent="0.2">
      <c r="G82" s="122"/>
      <c r="H82" s="37"/>
      <c r="I82" s="180"/>
      <c r="J82" s="180"/>
      <c r="K82" s="67" t="s">
        <v>1564</v>
      </c>
      <c r="L82" s="1631">
        <f>L81/(L76+L77+L78+L79+L80+L81)</f>
        <v>4.1419193497968118E-2</v>
      </c>
      <c r="M82" s="2122"/>
      <c r="N82" s="180"/>
      <c r="O82" s="180"/>
      <c r="P82" s="203"/>
      <c r="Q82" s="180"/>
      <c r="R82" s="180"/>
      <c r="S82" s="180"/>
      <c r="T82" s="180"/>
      <c r="U82" s="180"/>
      <c r="V82" s="180" t="str">
        <f t="shared" si="7"/>
        <v>Non-Local</v>
      </c>
      <c r="W82" s="1658" t="str">
        <f t="shared" si="7"/>
        <v>-------------</v>
      </c>
      <c r="X82" s="1659">
        <f>IF(M$130 =-99, L133,P132)</f>
        <v>1640.212646478602</v>
      </c>
      <c r="Y82" s="1659">
        <f>IF(M$130 =-99,L139,P138)</f>
        <v>0</v>
      </c>
      <c r="Z82" s="1658" t="s">
        <v>1560</v>
      </c>
      <c r="AA82" s="1658" t="s">
        <v>1560</v>
      </c>
      <c r="AB82" s="959" t="s">
        <v>1611</v>
      </c>
      <c r="AC82" s="180"/>
      <c r="AD82" s="180"/>
      <c r="AE82" s="180"/>
      <c r="AF82" s="180"/>
      <c r="AG82" s="180"/>
    </row>
    <row r="83" spans="7:33" ht="13.5" thickBot="1" x14ac:dyDescent="0.25">
      <c r="G83" s="122"/>
      <c r="H83" s="37"/>
      <c r="I83" s="180"/>
      <c r="J83" s="180"/>
      <c r="K83" s="550"/>
      <c r="L83" s="1631"/>
      <c r="M83" s="2096" t="s">
        <v>7517</v>
      </c>
      <c r="N83" s="2097"/>
      <c r="O83" s="2097"/>
      <c r="P83" s="2171"/>
      <c r="Q83" s="180"/>
      <c r="R83" s="180"/>
      <c r="S83" s="180"/>
      <c r="T83" s="180"/>
      <c r="U83" s="180"/>
      <c r="V83" s="180"/>
      <c r="W83" s="180"/>
      <c r="X83" s="180"/>
      <c r="Y83" s="180"/>
      <c r="Z83" s="180"/>
      <c r="AA83" s="180"/>
      <c r="AB83" s="180"/>
      <c r="AC83" s="180"/>
      <c r="AD83" s="180"/>
      <c r="AE83" s="180"/>
      <c r="AF83" s="180"/>
      <c r="AG83" s="180"/>
    </row>
    <row r="84" spans="7:33" ht="13.5" thickBot="1" x14ac:dyDescent="0.25">
      <c r="G84" s="542"/>
      <c r="H84" s="180"/>
      <c r="I84" s="2121" t="s">
        <v>1624</v>
      </c>
      <c r="J84" s="2121"/>
      <c r="K84" s="180"/>
      <c r="L84" s="180"/>
      <c r="M84" s="1620">
        <v>-88</v>
      </c>
      <c r="N84" s="180"/>
      <c r="O84" s="124" t="s">
        <v>1545</v>
      </c>
      <c r="P84" s="1615"/>
      <c r="Q84" s="124" t="s">
        <v>1546</v>
      </c>
      <c r="R84" s="170"/>
      <c r="S84" s="180"/>
      <c r="T84" s="180"/>
      <c r="U84" s="180"/>
      <c r="V84" s="180"/>
      <c r="W84" s="180"/>
      <c r="X84" s="180"/>
      <c r="Y84" s="180"/>
      <c r="Z84" s="180"/>
      <c r="AA84" s="180"/>
      <c r="AB84" s="180"/>
      <c r="AC84" s="180"/>
      <c r="AD84" s="180"/>
      <c r="AE84" s="180"/>
      <c r="AF84" s="180"/>
      <c r="AG84" s="180"/>
    </row>
    <row r="85" spans="7:33" ht="15" x14ac:dyDescent="0.25">
      <c r="G85" s="542" t="s">
        <v>1617</v>
      </c>
      <c r="H85" s="553">
        <f>TRunsPRN!D$208</f>
        <v>2296.9242186768338</v>
      </c>
      <c r="I85" s="2093">
        <v>0</v>
      </c>
      <c r="J85" s="1626">
        <f>IF(I85="na","na",I85*H85)</f>
        <v>0</v>
      </c>
      <c r="K85" s="180"/>
      <c r="L85" s="1661">
        <f>SUM(StockSumPRN!J3136:K3136,StockSumPRN!J3141:K3141)</f>
        <v>114</v>
      </c>
      <c r="M85" s="37" t="s">
        <v>1550</v>
      </c>
      <c r="N85" s="180"/>
      <c r="O85" s="180" t="s">
        <v>1548</v>
      </c>
      <c r="P85" s="625">
        <f>IF(I85="na","",SUM(J85:J89))</f>
        <v>27289.540982152983</v>
      </c>
      <c r="Q85" s="2121" t="s">
        <v>614</v>
      </c>
      <c r="R85" s="2121" t="s">
        <v>615</v>
      </c>
      <c r="S85" s="180"/>
      <c r="T85" s="180"/>
      <c r="U85" s="180"/>
      <c r="V85" s="180"/>
      <c r="W85" s="2121" t="s">
        <v>577</v>
      </c>
      <c r="X85" s="2534" t="s">
        <v>1625</v>
      </c>
      <c r="Y85" s="2493"/>
      <c r="Z85" s="2493"/>
      <c r="AA85" s="2493"/>
      <c r="AB85" s="2493"/>
      <c r="AC85" s="2493"/>
      <c r="AD85" s="2493"/>
      <c r="AE85" s="180"/>
      <c r="AF85" s="180"/>
      <c r="AG85" s="180"/>
    </row>
    <row r="86" spans="7:33" ht="15" x14ac:dyDescent="0.25">
      <c r="G86" s="542" t="s">
        <v>1618</v>
      </c>
      <c r="H86" s="1646">
        <f>TRunsPRN!D$204</f>
        <v>36909.949326415299</v>
      </c>
      <c r="I86" s="2091">
        <v>7.85E-2</v>
      </c>
      <c r="J86" s="1626">
        <f>IF(I86="na","na",I86*H86)</f>
        <v>2897.431022123601</v>
      </c>
      <c r="K86" s="180"/>
      <c r="L86" s="1661">
        <f>SUM(StockSumPRN!B3136:C3136,StockSumPRN!B3141:C3141)</f>
        <v>6623</v>
      </c>
      <c r="M86" s="2121">
        <f>SUM(L85:L89)</f>
        <v>27834</v>
      </c>
      <c r="N86" s="67" t="s">
        <v>1553</v>
      </c>
      <c r="O86" s="37" t="s">
        <v>1554</v>
      </c>
      <c r="P86" s="172">
        <f>IF(P85="","base period",P85)</f>
        <v>27289.540982152983</v>
      </c>
      <c r="Q86" s="1662">
        <f>Q87/(Q87+R87)*$P86</f>
        <v>4443.4781500064655</v>
      </c>
      <c r="R86" s="1662">
        <f>R87/(R87+Q87)*$P86</f>
        <v>22846.062832146519</v>
      </c>
      <c r="S86" s="180"/>
      <c r="T86" s="180"/>
      <c r="U86" s="180"/>
      <c r="V86" s="125" t="s">
        <v>1600</v>
      </c>
      <c r="W86" s="2121" t="s">
        <v>1603</v>
      </c>
      <c r="X86" s="180" t="s">
        <v>1604</v>
      </c>
      <c r="Y86" s="180" t="s">
        <v>1605</v>
      </c>
      <c r="Z86" s="2533" t="s">
        <v>1626</v>
      </c>
      <c r="AA86" s="2493"/>
      <c r="AB86" s="2493"/>
      <c r="AC86" s="2533" t="s">
        <v>1627</v>
      </c>
      <c r="AD86" s="2493"/>
      <c r="AE86" s="79" t="s">
        <v>1602</v>
      </c>
      <c r="AF86" s="180"/>
      <c r="AG86" s="180"/>
    </row>
    <row r="87" spans="7:33" ht="15" x14ac:dyDescent="0.25">
      <c r="G87" s="542" t="s">
        <v>1619</v>
      </c>
      <c r="H87" s="497">
        <f>TRunsPRN!D$203+TRunsPRN!D$207</f>
        <v>106748.84008765593</v>
      </c>
      <c r="I87" s="2091">
        <v>0.22850000000000001</v>
      </c>
      <c r="J87" s="1626">
        <f>IF(I87="na","na",I87*H87)</f>
        <v>24392.109960029382</v>
      </c>
      <c r="K87" s="180"/>
      <c r="L87" s="1661">
        <f>SUM(StockSumPRN!J2931:K2931,StockSumPRN!J2936:K2936)</f>
        <v>21030</v>
      </c>
      <c r="M87" s="180"/>
      <c r="N87" s="180"/>
      <c r="O87" s="180"/>
      <c r="P87" s="203"/>
      <c r="Q87" s="2093">
        <v>4467</v>
      </c>
      <c r="R87" s="2093">
        <v>22967</v>
      </c>
      <c r="S87" s="180"/>
      <c r="T87" s="180"/>
      <c r="U87" s="180"/>
      <c r="V87" s="180"/>
      <c r="W87" s="180"/>
      <c r="X87" s="180"/>
      <c r="Y87" s="180"/>
      <c r="Z87" s="2122" t="s">
        <v>1628</v>
      </c>
      <c r="AA87" s="2122" t="s">
        <v>1629</v>
      </c>
      <c r="AB87" s="2122" t="s">
        <v>1630</v>
      </c>
      <c r="AC87" s="2122" t="s">
        <v>1631</v>
      </c>
      <c r="AD87" s="2122" t="s">
        <v>1630</v>
      </c>
      <c r="AE87" s="180"/>
      <c r="AF87" s="180"/>
      <c r="AG87" s="180"/>
    </row>
    <row r="88" spans="7:33" ht="15" x14ac:dyDescent="0.25">
      <c r="G88" s="542" t="s">
        <v>1621</v>
      </c>
      <c r="H88" s="497">
        <f>TRunsPRN!D$206</f>
        <v>26148.086978674466</v>
      </c>
      <c r="I88" s="2406">
        <v>0</v>
      </c>
      <c r="J88" s="1626">
        <f>IF(I88="na","na",I88*H88)</f>
        <v>0</v>
      </c>
      <c r="K88" s="180"/>
      <c r="L88" s="1661">
        <f>SUM(StockSumPRN!F3136:G3136,StockSumPRN!F3141:G3141)</f>
        <v>67</v>
      </c>
      <c r="M88" s="180"/>
      <c r="N88" s="180"/>
      <c r="O88" s="180"/>
      <c r="P88" s="203"/>
      <c r="Q88" s="180"/>
      <c r="R88" s="180"/>
      <c r="S88" s="180"/>
      <c r="T88" s="180"/>
      <c r="U88" s="180"/>
      <c r="V88" s="180" t="str">
        <f t="shared" ref="V88:W92" si="8">G76</f>
        <v>Grays Harbor NP</v>
      </c>
      <c r="W88" s="1657">
        <f t="shared" si="8"/>
        <v>2296.9242186768338</v>
      </c>
      <c r="X88" s="1664">
        <f>IF(M$75 =-99, L76,J76)</f>
        <v>90.567721942427553</v>
      </c>
      <c r="Y88" s="1659">
        <f>IF(M$75 =-99, L103+L112,J103+J112)</f>
        <v>153.43453780761249</v>
      </c>
      <c r="Z88" s="1659">
        <f>IF(M$75 =-99, L85,J85)</f>
        <v>0</v>
      </c>
      <c r="AA88" s="1658" t="s">
        <v>1560</v>
      </c>
      <c r="AB88" s="1665">
        <f>IF(M$75 =-99, L92,J92)</f>
        <v>0</v>
      </c>
      <c r="AC88" s="627">
        <f>IF(M$75 =-99, L119,J119)</f>
        <v>0</v>
      </c>
      <c r="AD88" s="1666">
        <f>IF(M$75 =-99, L124,J124)</f>
        <v>0</v>
      </c>
      <c r="AE88" s="959" t="str">
        <f>IF(M75 =-99, "Base Period Effort","Season Harvest Rate")</f>
        <v>Season Harvest Rate</v>
      </c>
      <c r="AF88" s="180"/>
      <c r="AG88" s="180"/>
    </row>
    <row r="89" spans="7:33" ht="15" x14ac:dyDescent="0.25">
      <c r="G89" s="542" t="s">
        <v>1623</v>
      </c>
      <c r="H89" s="553">
        <f>TRunsPRN!D$205</f>
        <v>4360.3247142515374</v>
      </c>
      <c r="I89" s="2406">
        <v>0</v>
      </c>
      <c r="J89" s="1626">
        <f>IF(I89="na","na",I89*H89)</f>
        <v>0</v>
      </c>
      <c r="K89" s="180"/>
      <c r="L89" s="1661">
        <f>SUM(StockSumPRN!D3136:E3136,StockSumPRN!D3141:E3141)</f>
        <v>0</v>
      </c>
      <c r="M89" s="180"/>
      <c r="N89" s="180"/>
      <c r="O89" s="180"/>
      <c r="P89" s="625"/>
      <c r="Q89" s="180"/>
      <c r="R89" s="180"/>
      <c r="S89" s="180"/>
      <c r="T89" s="180"/>
      <c r="U89" s="180"/>
      <c r="V89" s="180" t="str">
        <f t="shared" si="8"/>
        <v>Chehalis Hatch</v>
      </c>
      <c r="W89" s="1657">
        <f t="shared" si="8"/>
        <v>36909.949326415299</v>
      </c>
      <c r="X89" s="1664">
        <f>IF(M$75 =-99, L77,J77)</f>
        <v>1455.3593019405553</v>
      </c>
      <c r="Y89" s="1659">
        <f>IF(M$75 =-99, L104,J104)</f>
        <v>1232.7923075022709</v>
      </c>
      <c r="Z89" s="1659">
        <f>IF(M$75 =-99, L86,J86)</f>
        <v>2897.431022123601</v>
      </c>
      <c r="AA89" s="1659">
        <f>IF(M$75 =-99, L99,J99)</f>
        <v>1491.5310522804423</v>
      </c>
      <c r="AB89" s="1665">
        <f>IF(M$75 =-99, L93,J93)</f>
        <v>0</v>
      </c>
      <c r="AC89" s="1667">
        <f>IF(M$75 =-99, L120,J120)</f>
        <v>4383.7946814983452</v>
      </c>
      <c r="AD89" s="1658" t="s">
        <v>1560</v>
      </c>
      <c r="AE89" s="959" t="str">
        <f>AE88</f>
        <v>Season Harvest Rate</v>
      </c>
      <c r="AF89" s="180"/>
      <c r="AG89" s="180"/>
    </row>
    <row r="90" spans="7:33" x14ac:dyDescent="0.2">
      <c r="G90" s="122"/>
      <c r="H90" s="37"/>
      <c r="I90" s="180"/>
      <c r="J90" s="180"/>
      <c r="K90" s="550"/>
      <c r="L90" s="1631"/>
      <c r="M90" s="2122"/>
      <c r="N90" s="180"/>
      <c r="O90" s="180"/>
      <c r="P90" s="203"/>
      <c r="Q90" s="497"/>
      <c r="R90" s="180"/>
      <c r="S90" s="180"/>
      <c r="T90" s="180"/>
      <c r="U90" s="180"/>
      <c r="V90" s="180" t="str">
        <f t="shared" si="8"/>
        <v>Chehalis Wild</v>
      </c>
      <c r="W90" s="1657">
        <f t="shared" si="8"/>
        <v>106748.84008765593</v>
      </c>
      <c r="X90" s="1664">
        <f>IF(M$75 =-99, L78,J78)</f>
        <v>4209.1067646562733</v>
      </c>
      <c r="Y90" s="1659">
        <f>IF(M$75 =-99, L105,J105)</f>
        <v>2785.0772378869433</v>
      </c>
      <c r="Z90" s="1659">
        <f>IF(M$75 =-99, L87,J87)</f>
        <v>24392.109960029382</v>
      </c>
      <c r="AA90" s="1659">
        <f>IF(M$75 =-99, L100,J100)</f>
        <v>4692.679010253355</v>
      </c>
      <c r="AB90" s="1665">
        <f>IF(M$75 =-99, L94,J94)</f>
        <v>0</v>
      </c>
      <c r="AC90" s="1667">
        <f>IF(M$75 =-99, L121,J121)</f>
        <v>11983.624788240255</v>
      </c>
      <c r="AD90" s="1658" t="s">
        <v>1560</v>
      </c>
      <c r="AE90" s="959" t="str">
        <f>AE89</f>
        <v>Season Harvest Rate</v>
      </c>
      <c r="AF90" s="180"/>
      <c r="AG90" s="180"/>
    </row>
    <row r="91" spans="7:33" x14ac:dyDescent="0.2">
      <c r="G91" s="542"/>
      <c r="H91" s="180"/>
      <c r="I91" s="2121" t="s">
        <v>1632</v>
      </c>
      <c r="J91" s="2121"/>
      <c r="K91" s="180"/>
      <c r="L91" s="180"/>
      <c r="M91" s="2122"/>
      <c r="N91" s="180"/>
      <c r="O91" s="124" t="s">
        <v>1545</v>
      </c>
      <c r="P91" s="1615"/>
      <c r="Q91" s="124" t="s">
        <v>1546</v>
      </c>
      <c r="R91" s="170"/>
      <c r="S91" s="180"/>
      <c r="T91" s="180"/>
      <c r="U91" s="180"/>
      <c r="V91" s="180" t="str">
        <f t="shared" si="8"/>
        <v>Humptulips Hatch</v>
      </c>
      <c r="W91" s="1657">
        <f t="shared" si="8"/>
        <v>26148.086978674466</v>
      </c>
      <c r="X91" s="1664">
        <f>IF(M$75 =-99, L79,J79)</f>
        <v>220.16689236043902</v>
      </c>
      <c r="Y91" s="1659">
        <f>IF(M$75 =-99, L106,J106)</f>
        <v>245.53053672975327</v>
      </c>
      <c r="Z91" s="1665">
        <f>IF(M$75 =-99, L88,J88)</f>
        <v>0</v>
      </c>
      <c r="AA91" s="1658" t="s">
        <v>1560</v>
      </c>
      <c r="AB91" s="1659">
        <f>IF(M$75 =-99, L95,J95)</f>
        <v>5028.2771259990996</v>
      </c>
      <c r="AC91" s="1658" t="s">
        <v>1560</v>
      </c>
      <c r="AD91" s="1667">
        <f>IF(M$75 =-99,L125,J125)</f>
        <v>3973.2018164095853</v>
      </c>
      <c r="AE91" s="959" t="str">
        <f>AE90</f>
        <v>Season Harvest Rate</v>
      </c>
      <c r="AF91" s="180"/>
      <c r="AG91" s="180"/>
    </row>
    <row r="92" spans="7:33" ht="15" x14ac:dyDescent="0.25">
      <c r="G92" s="542" t="s">
        <v>1617</v>
      </c>
      <c r="H92" s="553">
        <f>TRunsPRN!D$208</f>
        <v>2296.9242186768338</v>
      </c>
      <c r="I92" s="2406">
        <v>0</v>
      </c>
      <c r="J92" s="1626">
        <f>IF(I92="na","na",I92*H92)</f>
        <v>0</v>
      </c>
      <c r="K92" s="180"/>
      <c r="L92" s="1661">
        <f>SUM(StockSumPRN!J3137:K3137,StockSumPRN!J3139:K3139)</f>
        <v>8</v>
      </c>
      <c r="M92" s="37" t="s">
        <v>1550</v>
      </c>
      <c r="N92" s="180"/>
      <c r="O92" s="180" t="s">
        <v>1548</v>
      </c>
      <c r="P92" s="625">
        <f>IF(I95="na","",SUM(J92:J96))</f>
        <v>7175.3010152965562</v>
      </c>
      <c r="Q92" s="2121" t="s">
        <v>1571</v>
      </c>
      <c r="R92" s="180"/>
      <c r="S92" s="180"/>
      <c r="T92" s="180"/>
      <c r="U92" s="180"/>
      <c r="V92" s="180" t="str">
        <f t="shared" si="8"/>
        <v>Humptulips Wild</v>
      </c>
      <c r="W92" s="1657">
        <f t="shared" si="8"/>
        <v>4360.3247142515374</v>
      </c>
      <c r="X92" s="1664">
        <f>IF(M$75 =-99, L80,J80)</f>
        <v>36.713934093997949</v>
      </c>
      <c r="Y92" s="1659">
        <f>IF(M$75 =-99, L107,J107)</f>
        <v>15.391946241307927</v>
      </c>
      <c r="Z92" s="1665">
        <f>IF(M$75 =-99, L89,J89)</f>
        <v>0</v>
      </c>
      <c r="AA92" s="1658" t="s">
        <v>1560</v>
      </c>
      <c r="AB92" s="1659">
        <f>IF(M$75 =-99, L96,J96)</f>
        <v>2147.0238892974571</v>
      </c>
      <c r="AC92" s="1658" t="s">
        <v>1560</v>
      </c>
      <c r="AD92" s="1667">
        <f>IF(M$75 =-99,L126,J126)</f>
        <v>107.08957498201775</v>
      </c>
      <c r="AE92" s="959" t="str">
        <f>AE91</f>
        <v>Season Harvest Rate</v>
      </c>
      <c r="AF92" s="180"/>
      <c r="AG92" s="180"/>
    </row>
    <row r="93" spans="7:33" ht="15" x14ac:dyDescent="0.25">
      <c r="G93" s="542" t="s">
        <v>1618</v>
      </c>
      <c r="H93" s="1646">
        <f>TRunsPRN!D$204</f>
        <v>36909.949326415299</v>
      </c>
      <c r="I93" s="2406">
        <v>0</v>
      </c>
      <c r="J93" s="1626">
        <f>IF(I93="na","na",I93*H93)</f>
        <v>0</v>
      </c>
      <c r="K93" s="180"/>
      <c r="L93" s="1661">
        <f>SUM(StockSumPRN!B3137:C3137,StockSumPRN!B3139:C3139)</f>
        <v>5</v>
      </c>
      <c r="M93" s="2121">
        <f>SUM(L92:L96)</f>
        <v>7318</v>
      </c>
      <c r="N93" s="67" t="s">
        <v>1553</v>
      </c>
      <c r="O93" s="37" t="s">
        <v>1554</v>
      </c>
      <c r="P93" s="172">
        <f>IF(P92="","base period",P92)</f>
        <v>7175.3010152965562</v>
      </c>
      <c r="Q93" s="1668">
        <f>P93</f>
        <v>7175.3010152965562</v>
      </c>
      <c r="R93" s="180"/>
      <c r="S93" s="180"/>
      <c r="T93" s="180"/>
      <c r="U93" s="180"/>
      <c r="V93" s="180" t="str">
        <f>G81</f>
        <v>Non-Local</v>
      </c>
      <c r="W93" s="1658" t="s">
        <v>1560</v>
      </c>
      <c r="X93" s="1669">
        <f>IF(M$75 =-99, L81,P77)</f>
        <v>259.76803733463703</v>
      </c>
      <c r="Y93" s="1659">
        <f>IF(M$75 =-99, L108,P104)</f>
        <v>528.71996062588914</v>
      </c>
      <c r="Z93" s="1658" t="s">
        <v>1560</v>
      </c>
      <c r="AA93" s="1658" t="s">
        <v>1560</v>
      </c>
      <c r="AB93" s="1658" t="s">
        <v>1560</v>
      </c>
      <c r="AC93" s="1658" t="s">
        <v>1560</v>
      </c>
      <c r="AD93" s="1658" t="s">
        <v>1560</v>
      </c>
      <c r="AE93" s="959" t="s">
        <v>1611</v>
      </c>
      <c r="AF93" s="180"/>
      <c r="AG93" s="180"/>
    </row>
    <row r="94" spans="7:33" ht="15" x14ac:dyDescent="0.25">
      <c r="G94" s="542" t="s">
        <v>1619</v>
      </c>
      <c r="H94" s="497">
        <f>TRunsPRN!D$203+TRunsPRN!D$207</f>
        <v>106748.84008765593</v>
      </c>
      <c r="I94" s="2406">
        <v>0</v>
      </c>
      <c r="J94" s="1626">
        <f>IF(I94="na","na",I94*H94)</f>
        <v>0</v>
      </c>
      <c r="K94" s="180"/>
      <c r="L94" s="1661">
        <f>SUM(StockSumPRN!J2934:K2934,StockSumPRN!J2932:K2932)</f>
        <v>0</v>
      </c>
      <c r="M94" s="180"/>
      <c r="N94" s="180"/>
      <c r="O94" s="180"/>
      <c r="P94" s="203"/>
      <c r="Q94" s="180"/>
      <c r="R94" s="180"/>
      <c r="S94" s="180"/>
      <c r="T94" s="180"/>
      <c r="U94" s="180"/>
      <c r="V94" s="180"/>
      <c r="W94" s="180"/>
      <c r="X94" s="180"/>
      <c r="Y94" s="180"/>
      <c r="Z94" s="180"/>
      <c r="AA94" s="180"/>
      <c r="AB94" s="180"/>
      <c r="AC94" s="180"/>
      <c r="AD94" s="180"/>
      <c r="AE94" s="180"/>
      <c r="AF94" s="180"/>
      <c r="AG94" s="180"/>
    </row>
    <row r="95" spans="7:33" ht="15" x14ac:dyDescent="0.25">
      <c r="G95" s="542" t="s">
        <v>1621</v>
      </c>
      <c r="H95" s="497">
        <f>TRunsPRN!D$206</f>
        <v>26148.086978674466</v>
      </c>
      <c r="I95" s="2406">
        <v>0.1923</v>
      </c>
      <c r="J95" s="1626">
        <f>IF(I95="na","na",I95*H95)</f>
        <v>5028.2771259990996</v>
      </c>
      <c r="K95" s="180"/>
      <c r="L95" s="1661">
        <f>SUM(StockSumPRN!F3139:G3139,StockSumPRN!F3137:G3137)</f>
        <v>6083</v>
      </c>
      <c r="M95" s="180"/>
      <c r="N95" s="180"/>
      <c r="O95" s="180"/>
      <c r="P95" s="203"/>
      <c r="Q95" s="180"/>
      <c r="R95" s="180"/>
      <c r="S95" s="180"/>
      <c r="T95" s="180"/>
      <c r="U95" s="180"/>
      <c r="V95" s="180"/>
      <c r="W95" s="180"/>
      <c r="X95" s="180"/>
      <c r="Y95" s="180"/>
      <c r="Z95" s="180"/>
      <c r="AA95" s="180"/>
      <c r="AB95" s="180"/>
      <c r="AC95" s="180"/>
      <c r="AD95" s="180"/>
      <c r="AE95" s="180"/>
      <c r="AF95" s="180"/>
      <c r="AG95" s="180"/>
    </row>
    <row r="96" spans="7:33" ht="15" x14ac:dyDescent="0.25">
      <c r="G96" s="542" t="s">
        <v>1623</v>
      </c>
      <c r="H96" s="553">
        <f>TRunsPRN!D$205</f>
        <v>4360.3247142515374</v>
      </c>
      <c r="I96" s="2406">
        <v>0.4924</v>
      </c>
      <c r="J96" s="1626">
        <f>IF(I96="na","na",I96*H96)</f>
        <v>2147.0238892974571</v>
      </c>
      <c r="K96" s="180"/>
      <c r="L96" s="1661">
        <f>SUM(StockSumPRN!D3139:E3139,StockSumPRN!D3137:E3137)</f>
        <v>1222</v>
      </c>
      <c r="M96" s="180"/>
      <c r="N96" s="180"/>
      <c r="O96" s="180"/>
      <c r="P96" s="625"/>
      <c r="Q96" s="180"/>
      <c r="R96" s="180"/>
      <c r="S96" s="180"/>
      <c r="T96" s="180"/>
      <c r="U96" s="180"/>
      <c r="V96" s="180"/>
      <c r="W96" s="180"/>
      <c r="X96" s="180"/>
      <c r="Y96" s="180"/>
      <c r="Z96" s="180"/>
      <c r="AA96" s="180"/>
      <c r="AB96" s="180"/>
      <c r="AC96" s="180"/>
      <c r="AD96" s="180"/>
      <c r="AE96" s="180"/>
      <c r="AF96" s="180"/>
      <c r="AG96" s="180"/>
    </row>
    <row r="97" spans="7:19" x14ac:dyDescent="0.2">
      <c r="G97" s="122"/>
      <c r="H97" s="37"/>
      <c r="I97" s="180"/>
      <c r="J97" s="180"/>
      <c r="K97" s="550"/>
      <c r="L97" s="1631"/>
      <c r="M97" s="2407" t="s">
        <v>7518</v>
      </c>
      <c r="N97" s="2408"/>
      <c r="O97" s="2408"/>
      <c r="P97" s="2171"/>
      <c r="Q97" s="180"/>
      <c r="R97" s="180"/>
      <c r="S97" s="180"/>
    </row>
    <row r="98" spans="7:19" x14ac:dyDescent="0.2">
      <c r="G98" s="122"/>
      <c r="H98" s="37"/>
      <c r="I98" s="2121" t="s">
        <v>1633</v>
      </c>
      <c r="J98" s="2121"/>
      <c r="K98" s="550"/>
      <c r="L98" s="550"/>
      <c r="M98" s="2122"/>
      <c r="N98" s="180"/>
      <c r="O98" s="124" t="s">
        <v>1545</v>
      </c>
      <c r="P98" s="1615"/>
      <c r="Q98" s="124" t="s">
        <v>1546</v>
      </c>
      <c r="R98" s="170"/>
      <c r="S98" s="180"/>
    </row>
    <row r="99" spans="7:19" ht="15" x14ac:dyDescent="0.25">
      <c r="G99" s="542" t="s">
        <v>1618</v>
      </c>
      <c r="H99" s="1646">
        <f>TRunsPRN!D$204</f>
        <v>36909.949326415299</v>
      </c>
      <c r="I99" s="2405">
        <v>4.0410000000000001E-2</v>
      </c>
      <c r="J99" s="1626">
        <f>IF(I99="na","na",I99*H99)</f>
        <v>1491.5310522804423</v>
      </c>
      <c r="K99" s="180"/>
      <c r="L99" s="1661">
        <f>SUM(StockSumPRN!B3140:C3140)</f>
        <v>2048</v>
      </c>
      <c r="M99" s="37" t="s">
        <v>1550</v>
      </c>
      <c r="N99" s="180"/>
      <c r="O99" s="180" t="s">
        <v>1548</v>
      </c>
      <c r="P99" s="1628">
        <f>IF(I99="na","",SUM(J99:J100))</f>
        <v>6184.2100625337971</v>
      </c>
      <c r="Q99" s="2121" t="s">
        <v>1571</v>
      </c>
      <c r="R99" s="497"/>
      <c r="S99" s="180"/>
    </row>
    <row r="100" spans="7:19" ht="15" x14ac:dyDescent="0.25">
      <c r="G100" s="542" t="s">
        <v>1619</v>
      </c>
      <c r="H100" s="497">
        <f>TRunsPRN!D$203+TRunsPRN!D$207</f>
        <v>106748.84008765593</v>
      </c>
      <c r="I100" s="2405">
        <v>4.3959999999999999E-2</v>
      </c>
      <c r="J100" s="1626">
        <f>IF(I100="na","na",I100*H100)</f>
        <v>4692.679010253355</v>
      </c>
      <c r="K100" s="180"/>
      <c r="L100" s="1661">
        <f>SUM(StockSumPRN!J2935:K2935)</f>
        <v>4260</v>
      </c>
      <c r="M100" s="41">
        <f>SUM(L99:L100)</f>
        <v>6308</v>
      </c>
      <c r="N100" s="67" t="s">
        <v>1553</v>
      </c>
      <c r="O100" s="37" t="s">
        <v>1554</v>
      </c>
      <c r="P100" s="172">
        <f>IF(P99="","base period",P99)</f>
        <v>6184.2100625337971</v>
      </c>
      <c r="Q100" s="1668">
        <f>P100</f>
        <v>6184.2100625337971</v>
      </c>
      <c r="R100" s="497"/>
      <c r="S100" s="180"/>
    </row>
    <row r="101" spans="7:19" ht="13.5" thickBot="1" x14ac:dyDescent="0.25">
      <c r="G101" s="122"/>
      <c r="H101" s="37"/>
      <c r="I101" s="180"/>
      <c r="J101" s="180"/>
      <c r="K101" s="550"/>
      <c r="L101" s="550"/>
      <c r="M101" s="2407" t="s">
        <v>7516</v>
      </c>
      <c r="N101" s="2408"/>
      <c r="O101" s="2408"/>
      <c r="P101" s="2171"/>
      <c r="Q101" s="180"/>
      <c r="R101" s="497"/>
      <c r="S101" s="180"/>
    </row>
    <row r="102" spans="7:19" ht="13.5" thickBot="1" x14ac:dyDescent="0.25">
      <c r="G102" s="542"/>
      <c r="H102" s="180"/>
      <c r="I102" s="37" t="s">
        <v>1634</v>
      </c>
      <c r="J102" s="37"/>
      <c r="K102" s="180"/>
      <c r="L102" s="180"/>
      <c r="M102" s="1620">
        <v>-88</v>
      </c>
      <c r="N102" s="180"/>
      <c r="O102" s="124" t="s">
        <v>1545</v>
      </c>
      <c r="P102" s="1615"/>
      <c r="Q102" s="124" t="s">
        <v>1546</v>
      </c>
      <c r="R102" s="170"/>
      <c r="S102" s="180"/>
    </row>
    <row r="103" spans="7:19" ht="15" x14ac:dyDescent="0.25">
      <c r="G103" s="542" t="s">
        <v>1617</v>
      </c>
      <c r="H103" s="553">
        <f>TRunsPRN!D$208</f>
        <v>2296.9242186768338</v>
      </c>
      <c r="I103" s="2405">
        <v>3.3399999999999999E-2</v>
      </c>
      <c r="J103" s="1626">
        <f>IF(I103="na","na",I103*H103)</f>
        <v>76.717268903806243</v>
      </c>
      <c r="K103" s="180"/>
      <c r="L103" s="1661">
        <f>SUM(StockSumPRN!J3132:K3132)</f>
        <v>210</v>
      </c>
      <c r="M103" s="2122"/>
      <c r="N103" s="37"/>
      <c r="O103" s="180" t="s">
        <v>1548</v>
      </c>
      <c r="P103" s="625">
        <f>IF(I103="na","",SUM(J103:J107))</f>
        <v>4355.5092972640814</v>
      </c>
      <c r="Q103" s="180"/>
      <c r="R103" s="180"/>
      <c r="S103" s="180"/>
    </row>
    <row r="104" spans="7:19" ht="15" x14ac:dyDescent="0.25">
      <c r="G104" s="542" t="s">
        <v>1618</v>
      </c>
      <c r="H104" s="1646">
        <f>TRunsPRN!D$204</f>
        <v>36909.949326415299</v>
      </c>
      <c r="I104" s="2405">
        <v>3.3399999999999999E-2</v>
      </c>
      <c r="J104" s="1626">
        <f>IF(I104="na","na",I104*H104)</f>
        <v>1232.7923075022709</v>
      </c>
      <c r="K104" s="180"/>
      <c r="L104" s="1661">
        <f>SUM(StockSumPRN!B3132:C3132)</f>
        <v>958</v>
      </c>
      <c r="M104" s="37" t="s">
        <v>1550</v>
      </c>
      <c r="N104" s="180"/>
      <c r="O104" s="180" t="s">
        <v>1551</v>
      </c>
      <c r="P104" s="625">
        <f>IF(P103="","",L109/(1-L109)*P103)</f>
        <v>528.71996062588914</v>
      </c>
      <c r="Q104" s="2121" t="s">
        <v>614</v>
      </c>
      <c r="R104" s="2121" t="s">
        <v>615</v>
      </c>
      <c r="S104" s="180"/>
    </row>
    <row r="105" spans="7:19" ht="15" x14ac:dyDescent="0.25">
      <c r="G105" s="542" t="s">
        <v>1619</v>
      </c>
      <c r="H105" s="497">
        <f>TRunsPRN!D$203+TRunsPRN!D$207</f>
        <v>106748.84008765593</v>
      </c>
      <c r="I105" s="2405">
        <v>2.6089999999999999E-2</v>
      </c>
      <c r="J105" s="1626">
        <f>IF(I105="na","na",I105*H105)</f>
        <v>2785.0772378869433</v>
      </c>
      <c r="K105" s="180"/>
      <c r="L105" s="1661">
        <f>SUM(StockSumPRN!J2927:K2927)</f>
        <v>2605</v>
      </c>
      <c r="M105" s="41">
        <f>SUM(L103:L108)</f>
        <v>5127</v>
      </c>
      <c r="N105" s="37" t="s">
        <v>1572</v>
      </c>
      <c r="O105" s="37" t="s">
        <v>1554</v>
      </c>
      <c r="P105" s="172">
        <f>IF(P103="","base period",P103+P104)</f>
        <v>4884.2292578899705</v>
      </c>
      <c r="Q105" s="1662">
        <f>Q106/(Q106+R106)*$P105</f>
        <v>3521.4495936568233</v>
      </c>
      <c r="R105" s="1662">
        <f>R106/(R106+Q106)*$P105</f>
        <v>1362.7796642331475</v>
      </c>
      <c r="S105" s="180"/>
    </row>
    <row r="106" spans="7:19" ht="15" x14ac:dyDescent="0.25">
      <c r="G106" s="542" t="s">
        <v>1621</v>
      </c>
      <c r="H106" s="497">
        <f>TRunsPRN!D$206</f>
        <v>26148.086978674466</v>
      </c>
      <c r="I106" s="2405">
        <v>9.3900000000000008E-3</v>
      </c>
      <c r="J106" s="1626">
        <f>IF(I106="na","na",I106*H106)</f>
        <v>245.53053672975327</v>
      </c>
      <c r="K106" s="180"/>
      <c r="L106" s="1661">
        <f>SUM(StockSumPRN!F3132:G3132)</f>
        <v>687</v>
      </c>
      <c r="M106" s="180"/>
      <c r="N106" s="180"/>
      <c r="O106" s="180"/>
      <c r="P106" s="203"/>
      <c r="Q106" s="2093">
        <f>112+3025</f>
        <v>3137</v>
      </c>
      <c r="R106" s="2093">
        <f>1155+59</f>
        <v>1214</v>
      </c>
      <c r="S106" s="180"/>
    </row>
    <row r="107" spans="7:19" ht="15" x14ac:dyDescent="0.25">
      <c r="G107" s="542" t="s">
        <v>1623</v>
      </c>
      <c r="H107" s="553">
        <f>TRunsPRN!D$205</f>
        <v>4360.3247142515374</v>
      </c>
      <c r="I107" s="2405">
        <v>3.5300000000000002E-3</v>
      </c>
      <c r="J107" s="1626">
        <f>IF(I107="na","na",I107*H107)</f>
        <v>15.391946241307927</v>
      </c>
      <c r="K107" s="180"/>
      <c r="L107" s="1661">
        <f>SUM(StockSumPRN!D3132:E3132)</f>
        <v>112</v>
      </c>
      <c r="M107" s="180"/>
      <c r="N107" s="180"/>
      <c r="O107" s="180"/>
      <c r="P107" s="203"/>
      <c r="Q107" s="37"/>
      <c r="R107" s="37"/>
      <c r="S107" s="37"/>
    </row>
    <row r="108" spans="7:19" ht="13.5" thickBot="1" x14ac:dyDescent="0.25">
      <c r="G108" s="116" t="s">
        <v>1559</v>
      </c>
      <c r="H108" s="2119" t="s">
        <v>1560</v>
      </c>
      <c r="I108" s="2119" t="s">
        <v>1560</v>
      </c>
      <c r="J108" s="2119"/>
      <c r="K108" s="2119" t="s">
        <v>1560</v>
      </c>
      <c r="L108" s="1663">
        <f>SUM(Table2PRN!G6569)+SUM(Table2PRN!G6779)-L103-L104-L105-L106-L107</f>
        <v>555</v>
      </c>
      <c r="M108" s="2122"/>
      <c r="N108" s="180"/>
      <c r="O108" s="180"/>
      <c r="P108" s="203"/>
      <c r="Q108" s="180"/>
      <c r="R108" s="180"/>
      <c r="S108" s="180"/>
    </row>
    <row r="109" spans="7:19" ht="13.5" thickBot="1" x14ac:dyDescent="0.25">
      <c r="G109" s="1480" t="s">
        <v>1635</v>
      </c>
      <c r="H109" s="1481">
        <v>0.11899999999999999</v>
      </c>
      <c r="I109" s="180"/>
      <c r="J109" s="180"/>
      <c r="K109" s="550" t="s">
        <v>1564</v>
      </c>
      <c r="L109" s="1631">
        <f>L108/(L103+L104+L105+L106+L107+L108)</f>
        <v>0.10825043885313049</v>
      </c>
      <c r="M109" s="2122"/>
      <c r="N109" s="180"/>
      <c r="O109" s="180"/>
      <c r="P109" s="203"/>
      <c r="Q109" s="180"/>
      <c r="R109" s="180"/>
      <c r="S109" s="180"/>
    </row>
    <row r="110" spans="7:19" x14ac:dyDescent="0.2">
      <c r="G110" s="542"/>
      <c r="H110" s="180"/>
      <c r="I110" s="180"/>
      <c r="J110" s="180"/>
      <c r="K110" s="180"/>
      <c r="L110" s="180"/>
      <c r="M110" s="2407" t="s">
        <v>7518</v>
      </c>
      <c r="N110" s="2408"/>
      <c r="O110" s="2408"/>
      <c r="P110" s="2171"/>
      <c r="Q110" s="180"/>
      <c r="R110" s="180"/>
      <c r="S110" s="180"/>
    </row>
    <row r="111" spans="7:19" x14ac:dyDescent="0.2">
      <c r="G111" s="542"/>
      <c r="H111" s="180"/>
      <c r="I111" s="37" t="s">
        <v>1636</v>
      </c>
      <c r="J111" s="37"/>
      <c r="K111" s="180"/>
      <c r="L111" s="180"/>
      <c r="M111" s="2122"/>
      <c r="N111" s="180"/>
      <c r="O111" s="124" t="s">
        <v>1545</v>
      </c>
      <c r="P111" s="1615"/>
      <c r="Q111" s="124" t="s">
        <v>1546</v>
      </c>
      <c r="R111" s="170"/>
      <c r="S111" s="180"/>
    </row>
    <row r="112" spans="7:19" ht="15" x14ac:dyDescent="0.25">
      <c r="G112" s="542" t="s">
        <v>1617</v>
      </c>
      <c r="H112" s="553">
        <f>TRunsPRN!D$208</f>
        <v>2296.9242186768338</v>
      </c>
      <c r="I112" s="2405">
        <v>3.3399999999999999E-2</v>
      </c>
      <c r="J112" s="1626">
        <f>IF(I112="na","na",I112*H112)</f>
        <v>76.717268903806243</v>
      </c>
      <c r="K112" s="180"/>
      <c r="L112" s="1661">
        <f>SUM(StockSumPRN!J3133:K3133)</f>
        <v>81</v>
      </c>
      <c r="M112" s="37" t="s">
        <v>1550</v>
      </c>
      <c r="N112" s="180"/>
      <c r="O112" s="180" t="s">
        <v>1548</v>
      </c>
      <c r="P112" s="625">
        <f>IF(I112="na","",SUM(J112:J116))</f>
        <v>76.717268903806243</v>
      </c>
      <c r="Q112" s="2121" t="s">
        <v>1571</v>
      </c>
      <c r="R112" s="2121"/>
      <c r="S112" s="180"/>
    </row>
    <row r="113" spans="7:18" x14ac:dyDescent="0.2">
      <c r="G113" s="542" t="s">
        <v>1618</v>
      </c>
      <c r="H113" s="1646">
        <f>TRunsPRN!D$204</f>
        <v>36909.949326415299</v>
      </c>
      <c r="I113" s="362">
        <v>0</v>
      </c>
      <c r="J113" s="1626">
        <f>IF(I113="na","na",I113*H113)</f>
        <v>0</v>
      </c>
      <c r="K113" s="180"/>
      <c r="L113" s="1661">
        <f>SUM(StockSumPRN!B3133:C3133)</f>
        <v>0</v>
      </c>
      <c r="M113" s="2121">
        <f>SUM(L112:L116)</f>
        <v>81</v>
      </c>
      <c r="N113" s="37" t="s">
        <v>1572</v>
      </c>
      <c r="O113" s="37" t="s">
        <v>1554</v>
      </c>
      <c r="P113" s="172">
        <f>IF(P112="","base period",P112)</f>
        <v>76.717268903806243</v>
      </c>
      <c r="Q113" s="1668">
        <f>P113</f>
        <v>76.717268903806243</v>
      </c>
      <c r="R113" s="180"/>
    </row>
    <row r="114" spans="7:18" x14ac:dyDescent="0.2">
      <c r="G114" s="542" t="s">
        <v>1619</v>
      </c>
      <c r="H114" s="497">
        <f>TRunsPRN!D$203+TRunsPRN!D$207</f>
        <v>106748.84008765593</v>
      </c>
      <c r="I114" s="362">
        <v>0</v>
      </c>
      <c r="J114" s="1626">
        <f>IF(I114="na","na",I114*H114)</f>
        <v>0</v>
      </c>
      <c r="K114" s="180"/>
      <c r="L114" s="1661">
        <f>SUM(StockSumPRN!J2928:K2928)</f>
        <v>0</v>
      </c>
      <c r="M114" s="180"/>
      <c r="N114" s="180"/>
      <c r="O114" s="180"/>
      <c r="P114" s="203"/>
      <c r="Q114" s="180"/>
      <c r="R114" s="180"/>
    </row>
    <row r="115" spans="7:18" x14ac:dyDescent="0.2">
      <c r="G115" s="542" t="s">
        <v>1621</v>
      </c>
      <c r="H115" s="497">
        <f>TRunsPRN!D$206</f>
        <v>26148.086978674466</v>
      </c>
      <c r="I115" s="362">
        <v>0</v>
      </c>
      <c r="J115" s="1626">
        <f>IF(I115="na","na",I115*H115)</f>
        <v>0</v>
      </c>
      <c r="K115" s="180"/>
      <c r="L115" s="1661">
        <f>SUM(StockSumPRN!F3133:G3133)</f>
        <v>0</v>
      </c>
      <c r="M115" s="180"/>
      <c r="N115" s="180"/>
      <c r="O115" s="180"/>
      <c r="P115" s="203"/>
      <c r="Q115" s="180"/>
      <c r="R115" s="180"/>
    </row>
    <row r="116" spans="7:18" x14ac:dyDescent="0.2">
      <c r="G116" s="542" t="s">
        <v>1623</v>
      </c>
      <c r="H116" s="553">
        <f>TRunsPRN!D$205</f>
        <v>4360.3247142515374</v>
      </c>
      <c r="I116" s="362">
        <v>0</v>
      </c>
      <c r="J116" s="1626">
        <f>IF(I116="na","na",I116*H116)</f>
        <v>0</v>
      </c>
      <c r="K116" s="180"/>
      <c r="L116" s="1661">
        <f>SUM(StockSumPRN!D3133:E3133)</f>
        <v>0</v>
      </c>
      <c r="M116" s="180"/>
      <c r="N116" s="180"/>
      <c r="O116" s="37"/>
      <c r="P116" s="117"/>
      <c r="Q116" s="180"/>
      <c r="R116" s="180"/>
    </row>
    <row r="117" spans="7:18" x14ac:dyDescent="0.2">
      <c r="G117" s="542"/>
      <c r="H117" s="2119"/>
      <c r="I117" s="2119"/>
      <c r="J117" s="2119"/>
      <c r="K117" s="2119"/>
      <c r="L117" s="1663"/>
      <c r="M117" s="2122"/>
      <c r="N117" s="180"/>
      <c r="O117" s="180"/>
      <c r="P117" s="203"/>
      <c r="Q117" s="180"/>
      <c r="R117" s="180"/>
    </row>
    <row r="118" spans="7:18" x14ac:dyDescent="0.2">
      <c r="G118" s="542"/>
      <c r="H118" s="180"/>
      <c r="I118" s="37" t="s">
        <v>1637</v>
      </c>
      <c r="J118" s="37"/>
      <c r="K118" s="180"/>
      <c r="L118" s="180"/>
      <c r="M118" s="2122"/>
      <c r="N118" s="180"/>
      <c r="O118" s="124" t="s">
        <v>1545</v>
      </c>
      <c r="P118" s="1615"/>
      <c r="Q118" s="124" t="s">
        <v>1546</v>
      </c>
      <c r="R118" s="170"/>
    </row>
    <row r="119" spans="7:18" ht="14.25" customHeight="1" x14ac:dyDescent="0.25">
      <c r="G119" s="542" t="s">
        <v>1617</v>
      </c>
      <c r="H119" s="553">
        <f>TRunsPRN!D$208</f>
        <v>2296.9242186768338</v>
      </c>
      <c r="I119" s="2093">
        <v>0</v>
      </c>
      <c r="J119" s="1626">
        <f>IF(I119="na","na",I119*H119)</f>
        <v>0</v>
      </c>
      <c r="K119" s="180"/>
      <c r="L119" s="1661">
        <f>SUM(StockSumPRN!J3138:K3138,StockSumPRN!J3142:K3145)</f>
        <v>0</v>
      </c>
      <c r="M119" s="37" t="s">
        <v>1550</v>
      </c>
      <c r="N119" s="37"/>
      <c r="O119" s="180" t="s">
        <v>1548</v>
      </c>
      <c r="P119" s="625">
        <f>IF(I119="na","",SUM(J119:J121))</f>
        <v>16367.419469738601</v>
      </c>
      <c r="Q119" s="2121" t="s">
        <v>1571</v>
      </c>
      <c r="R119" s="180"/>
    </row>
    <row r="120" spans="7:18" ht="15" x14ac:dyDescent="0.25">
      <c r="G120" s="542" t="s">
        <v>1618</v>
      </c>
      <c r="H120" s="1646">
        <f>TRunsPRN!D$204</f>
        <v>36909.949326415299</v>
      </c>
      <c r="I120" s="2405">
        <v>0.11877</v>
      </c>
      <c r="J120" s="1626">
        <f>IF(I120="na","na",I120*H120)</f>
        <v>4383.7946814983452</v>
      </c>
      <c r="K120" s="180"/>
      <c r="L120" s="1661">
        <f>SUM(StockSumPRN!B3138:C3138,StockSumPRN!B3142:C3145)</f>
        <v>5557</v>
      </c>
      <c r="M120" s="41">
        <f>SUM(L119:L121)</f>
        <v>17185</v>
      </c>
      <c r="N120" s="37" t="s">
        <v>1572</v>
      </c>
      <c r="O120" s="37" t="s">
        <v>1554</v>
      </c>
      <c r="P120" s="172">
        <f>IF(P119="","base period",P119)</f>
        <v>16367.419469738601</v>
      </c>
      <c r="Q120" s="1668">
        <f>P120</f>
        <v>16367.419469738601</v>
      </c>
      <c r="R120" s="180"/>
    </row>
    <row r="121" spans="7:18" ht="15" x14ac:dyDescent="0.25">
      <c r="G121" s="542" t="s">
        <v>1619</v>
      </c>
      <c r="H121" s="497">
        <f>TRunsPRN!D$203+TRunsPRN!D$207</f>
        <v>106748.84008765593</v>
      </c>
      <c r="I121" s="2405">
        <v>0.11226</v>
      </c>
      <c r="J121" s="1626">
        <f>IF(I121="na","na",I121*H121)</f>
        <v>11983.624788240255</v>
      </c>
      <c r="K121" s="180"/>
      <c r="L121" s="1661">
        <f>SUM(StockSumPRN!J2933:K2933,StockSumPRN!J2937:K2940)</f>
        <v>11628</v>
      </c>
      <c r="M121" s="180"/>
      <c r="N121" s="180"/>
      <c r="O121" s="180"/>
      <c r="P121" s="203"/>
      <c r="Q121" s="180"/>
      <c r="R121" s="180"/>
    </row>
    <row r="122" spans="7:18" x14ac:dyDescent="0.2">
      <c r="G122" s="116"/>
      <c r="H122" s="180"/>
      <c r="I122" s="180"/>
      <c r="J122" s="180"/>
      <c r="K122" s="497"/>
      <c r="L122" s="1661"/>
      <c r="M122" s="180"/>
      <c r="N122" s="180"/>
      <c r="O122" s="180"/>
      <c r="P122" s="203"/>
      <c r="Q122" s="180"/>
      <c r="R122" s="180"/>
    </row>
    <row r="123" spans="7:18" x14ac:dyDescent="0.2">
      <c r="G123" s="542"/>
      <c r="H123" s="180"/>
      <c r="I123" s="37" t="s">
        <v>1638</v>
      </c>
      <c r="J123" s="37"/>
      <c r="K123" s="180"/>
      <c r="L123" s="180"/>
      <c r="M123" s="2122"/>
      <c r="N123" s="180"/>
      <c r="O123" s="124" t="s">
        <v>1545</v>
      </c>
      <c r="P123" s="1615"/>
      <c r="Q123" s="124" t="s">
        <v>1546</v>
      </c>
      <c r="R123" s="170"/>
    </row>
    <row r="124" spans="7:18" ht="15" x14ac:dyDescent="0.25">
      <c r="G124" s="542" t="s">
        <v>1617</v>
      </c>
      <c r="H124" s="553">
        <f>TRunsPRN!D$208</f>
        <v>2296.9242186768338</v>
      </c>
      <c r="I124" s="2406">
        <v>0</v>
      </c>
      <c r="J124" s="1626">
        <f>IF(I124="na","na",I124*H124)</f>
        <v>0</v>
      </c>
      <c r="K124" s="180"/>
      <c r="L124" s="1661">
        <f>SUM(StockSumPRN!J3135:K3135)</f>
        <v>0</v>
      </c>
      <c r="M124" s="37" t="s">
        <v>1550</v>
      </c>
      <c r="N124" s="37"/>
      <c r="O124" s="180" t="s">
        <v>1548</v>
      </c>
      <c r="P124" s="625">
        <f>IF(I125="na","",SUM(J124:J126))</f>
        <v>4080.2913913916032</v>
      </c>
      <c r="Q124" s="2121" t="s">
        <v>1571</v>
      </c>
      <c r="R124" s="180"/>
    </row>
    <row r="125" spans="7:18" ht="15" x14ac:dyDescent="0.25">
      <c r="G125" s="542" t="s">
        <v>1621</v>
      </c>
      <c r="H125" s="497">
        <f>TRunsPRN!D$206</f>
        <v>26148.086978674466</v>
      </c>
      <c r="I125" s="2405">
        <v>0.15195</v>
      </c>
      <c r="J125" s="1626">
        <f>IF(I125="na","na",I125*H125)</f>
        <v>3973.2018164095853</v>
      </c>
      <c r="K125" s="180"/>
      <c r="L125" s="1661">
        <f>SUM(StockSumPRN!F3135:G3135)</f>
        <v>3103</v>
      </c>
      <c r="M125" s="2121">
        <f>SUM(L124:L126)</f>
        <v>4284</v>
      </c>
      <c r="N125" s="37" t="s">
        <v>1572</v>
      </c>
      <c r="O125" s="37" t="s">
        <v>1554</v>
      </c>
      <c r="P125" s="172">
        <f>IF(P124="","base period",P124)</f>
        <v>4080.2913913916032</v>
      </c>
      <c r="Q125" s="1668">
        <f>P125</f>
        <v>4080.2913913916032</v>
      </c>
      <c r="R125" s="180"/>
    </row>
    <row r="126" spans="7:18" ht="15" x14ac:dyDescent="0.25">
      <c r="G126" s="542" t="s">
        <v>1623</v>
      </c>
      <c r="H126" s="553">
        <f>TRunsPRN!D$205</f>
        <v>4360.3247142515374</v>
      </c>
      <c r="I126" s="2405">
        <v>2.4559999999999998E-2</v>
      </c>
      <c r="J126" s="1626">
        <f>IF(I126="na","na",I126*H126)</f>
        <v>107.08957498201775</v>
      </c>
      <c r="K126" s="180"/>
      <c r="L126" s="1661">
        <f>SUM(StockSumPRN!D3135:E3135)</f>
        <v>1181</v>
      </c>
      <c r="M126" s="180"/>
      <c r="N126" s="180"/>
      <c r="O126" s="180"/>
      <c r="P126" s="625"/>
      <c r="Q126" s="180"/>
      <c r="R126" s="180"/>
    </row>
    <row r="127" spans="7:18" x14ac:dyDescent="0.2">
      <c r="G127" s="1610"/>
      <c r="H127" s="1611"/>
      <c r="I127" s="1611"/>
      <c r="J127" s="1611"/>
      <c r="K127" s="1611"/>
      <c r="L127" s="1611"/>
      <c r="M127" s="1611"/>
      <c r="N127" s="1611"/>
      <c r="O127" s="1611"/>
      <c r="P127" s="1612"/>
      <c r="Q127" s="180"/>
      <c r="R127" s="180"/>
    </row>
    <row r="129" spans="7:21" ht="13.5" thickBot="1" x14ac:dyDescent="0.25">
      <c r="G129" s="2147"/>
      <c r="H129" s="2165" t="s">
        <v>1639</v>
      </c>
      <c r="I129" s="2158"/>
      <c r="J129" s="2158"/>
      <c r="K129" s="2158"/>
      <c r="L129" s="2158"/>
      <c r="M129" s="2530" t="s">
        <v>1640</v>
      </c>
      <c r="N129" s="2530"/>
      <c r="O129" s="2530"/>
      <c r="P129" s="2530"/>
      <c r="Q129" s="180"/>
      <c r="R129" s="180"/>
      <c r="S129" s="180"/>
      <c r="T129" s="180"/>
      <c r="U129" s="180"/>
    </row>
    <row r="130" spans="7:21" ht="13.5" thickBot="1" x14ac:dyDescent="0.25">
      <c r="G130" s="202"/>
      <c r="H130" s="180"/>
      <c r="I130" s="194" t="s">
        <v>1542</v>
      </c>
      <c r="J130" s="37"/>
      <c r="K130" s="118"/>
      <c r="L130" s="180"/>
      <c r="M130" s="1620">
        <v>-88</v>
      </c>
      <c r="N130" s="180"/>
      <c r="O130" s="124" t="s">
        <v>1545</v>
      </c>
      <c r="P130" s="1615"/>
      <c r="Q130" s="124" t="s">
        <v>1546</v>
      </c>
      <c r="R130" s="170"/>
      <c r="S130" s="180"/>
      <c r="T130" s="180"/>
      <c r="U130" s="180"/>
    </row>
    <row r="131" spans="7:21" ht="15" x14ac:dyDescent="0.25">
      <c r="G131" s="542" t="s">
        <v>1641</v>
      </c>
      <c r="H131" s="553">
        <f>TRunsPRN!D68+TRunsPRN!D69-TRunsPRN!$D70</f>
        <v>54177.099916383551</v>
      </c>
      <c r="I131" s="2091">
        <v>0.3574</v>
      </c>
      <c r="J131" s="1626">
        <f>IF(I131="na","na",I131*H131)</f>
        <v>19362.895510115482</v>
      </c>
      <c r="K131" s="180"/>
      <c r="L131" s="1617">
        <f>SUM(StockSumPRN!D3336:E3336)</f>
        <v>19882</v>
      </c>
      <c r="M131" s="2122"/>
      <c r="N131" s="37"/>
      <c r="O131" s="180" t="s">
        <v>1548</v>
      </c>
      <c r="P131" s="625">
        <f>IF(I131="","",SUM(J131:J132))</f>
        <v>31253.256870558798</v>
      </c>
      <c r="Q131" s="2121" t="s">
        <v>614</v>
      </c>
      <c r="R131" s="2121" t="s">
        <v>615</v>
      </c>
      <c r="S131" s="180"/>
      <c r="T131" s="180"/>
      <c r="U131" s="180"/>
    </row>
    <row r="132" spans="7:21" ht="15" x14ac:dyDescent="0.25">
      <c r="G132" s="542" t="s">
        <v>1642</v>
      </c>
      <c r="H132" s="553">
        <f>TRunsPRN!D70</f>
        <v>31911.866238441537</v>
      </c>
      <c r="I132" s="2091">
        <v>0.37259999999999999</v>
      </c>
      <c r="J132" s="1626">
        <f>IF(I132="na","na",I132*H132)</f>
        <v>11890.361360443316</v>
      </c>
      <c r="K132" s="180"/>
      <c r="L132" s="1617">
        <f>SUM(StockSumPRN!B3336:C3336)</f>
        <v>11996</v>
      </c>
      <c r="M132" s="37" t="s">
        <v>1550</v>
      </c>
      <c r="N132" s="180"/>
      <c r="O132" s="180" t="s">
        <v>1551</v>
      </c>
      <c r="P132" s="625">
        <f>IF(P131="","",L134/(1-L134)*P131)</f>
        <v>1640.212646478602</v>
      </c>
      <c r="Q132" s="1662">
        <f>Q133/(Q133+R133)*$P133</f>
        <v>21633.359977778484</v>
      </c>
      <c r="R132" s="1662">
        <f>R133/(R133+Q133)*$P133</f>
        <v>11260.10953925892</v>
      </c>
      <c r="S132" s="180" t="s">
        <v>1582</v>
      </c>
      <c r="T132" s="180"/>
      <c r="U132" s="180"/>
    </row>
    <row r="133" spans="7:21" ht="15" x14ac:dyDescent="0.25">
      <c r="G133" s="116" t="s">
        <v>1559</v>
      </c>
      <c r="H133" s="2119" t="s">
        <v>1560</v>
      </c>
      <c r="I133" s="212" t="s">
        <v>1560</v>
      </c>
      <c r="J133" s="1670">
        <f>SUM(J131:J132)*L133/(L131+L132)</f>
        <v>1640.2126464786018</v>
      </c>
      <c r="K133" s="2119" t="s">
        <v>1560</v>
      </c>
      <c r="L133" s="1617">
        <f>SUM(Table2PRN!G6778)+SUM(Table2PRN!G6568)-L131-L132</f>
        <v>1673</v>
      </c>
      <c r="M133" s="179">
        <f>SUM(L131:L133)</f>
        <v>33551</v>
      </c>
      <c r="N133" s="67" t="s">
        <v>1553</v>
      </c>
      <c r="O133" s="37" t="s">
        <v>1554</v>
      </c>
      <c r="P133" s="172">
        <f>IF(P131="","base period",P131+P132)</f>
        <v>32893.469517037403</v>
      </c>
      <c r="Q133" s="2093">
        <v>20905</v>
      </c>
      <c r="R133" s="2093">
        <v>10881</v>
      </c>
      <c r="S133" s="2094" t="s">
        <v>1643</v>
      </c>
      <c r="T133" s="2094"/>
      <c r="U133" s="2094"/>
    </row>
    <row r="134" spans="7:21" x14ac:dyDescent="0.2">
      <c r="G134" s="542"/>
      <c r="H134" s="37"/>
      <c r="I134" s="118"/>
      <c r="J134" s="180"/>
      <c r="K134" s="67" t="s">
        <v>1564</v>
      </c>
      <c r="L134" s="1631">
        <f>L133/(L131+L132+L133)</f>
        <v>4.9864385562278325E-2</v>
      </c>
      <c r="M134" s="2122"/>
      <c r="N134" s="180"/>
      <c r="O134" s="180"/>
      <c r="P134" s="203"/>
      <c r="Q134" s="180"/>
      <c r="R134" s="497">
        <f>SUM(Q132:R132)</f>
        <v>32893.469517037403</v>
      </c>
      <c r="S134" s="180" t="s">
        <v>1586</v>
      </c>
      <c r="T134" s="180"/>
      <c r="U134" s="180"/>
    </row>
    <row r="135" spans="7:21" x14ac:dyDescent="0.2">
      <c r="G135" s="542"/>
      <c r="H135" s="180"/>
      <c r="I135" s="118"/>
      <c r="J135" s="180"/>
      <c r="K135" s="180"/>
      <c r="L135" s="118"/>
      <c r="M135" s="119"/>
      <c r="N135" s="118"/>
      <c r="O135" s="118"/>
      <c r="P135" s="120"/>
      <c r="Q135" s="180"/>
      <c r="R135" s="177">
        <f>R134+R134*0.02</f>
        <v>33551.338907378151</v>
      </c>
      <c r="S135" s="180" t="s">
        <v>1565</v>
      </c>
      <c r="T135" s="180"/>
      <c r="U135" s="180"/>
    </row>
    <row r="136" spans="7:21" ht="12" customHeight="1" x14ac:dyDescent="0.2">
      <c r="G136" s="542"/>
      <c r="H136" s="180"/>
      <c r="I136" s="194" t="s">
        <v>1644</v>
      </c>
      <c r="J136" s="180"/>
      <c r="K136" s="180"/>
      <c r="L136" s="180"/>
      <c r="M136" s="2122"/>
      <c r="N136" s="180"/>
      <c r="O136" s="124" t="s">
        <v>1545</v>
      </c>
      <c r="P136" s="1615"/>
      <c r="Q136" s="124" t="s">
        <v>1546</v>
      </c>
      <c r="R136" s="170"/>
      <c r="S136" s="180"/>
      <c r="T136" s="180"/>
      <c r="U136" s="180"/>
    </row>
    <row r="137" spans="7:21" ht="15" x14ac:dyDescent="0.25">
      <c r="G137" s="542" t="s">
        <v>1641</v>
      </c>
      <c r="H137" s="553">
        <f>H131</f>
        <v>54177.099916383551</v>
      </c>
      <c r="I137" s="2092">
        <v>9.5999999999999992E-3</v>
      </c>
      <c r="J137" s="1626">
        <f>IF(I137="na","na",I137*H137)</f>
        <v>520.1001591972821</v>
      </c>
      <c r="K137" s="180"/>
      <c r="L137" s="1641">
        <f>SUM(StockSumPRN!D$3334:E$3334)</f>
        <v>431</v>
      </c>
      <c r="M137" s="180"/>
      <c r="N137" s="37"/>
      <c r="O137" s="180" t="s">
        <v>1548</v>
      </c>
      <c r="P137" s="625">
        <f>IF(I137="","",SUM(J137:J138))</f>
        <v>769.01271585712607</v>
      </c>
      <c r="Q137" s="2121" t="s">
        <v>614</v>
      </c>
      <c r="R137" s="2121" t="s">
        <v>615</v>
      </c>
      <c r="S137" s="180"/>
      <c r="T137" s="180"/>
      <c r="U137" s="180"/>
    </row>
    <row r="138" spans="7:21" ht="15" x14ac:dyDescent="0.25">
      <c r="G138" s="542" t="s">
        <v>1642</v>
      </c>
      <c r="H138" s="553">
        <f>H132</f>
        <v>31911.866238441537</v>
      </c>
      <c r="I138" s="2092">
        <v>7.7999999999999996E-3</v>
      </c>
      <c r="J138" s="1626">
        <f>IF(I138="na","na",I138*H138)</f>
        <v>248.91255665984397</v>
      </c>
      <c r="K138" s="180"/>
      <c r="L138" s="1641">
        <f>SUM(StockSumPRN!B$3334:C$3334)</f>
        <v>377</v>
      </c>
      <c r="M138" s="37" t="s">
        <v>1550</v>
      </c>
      <c r="N138" s="180"/>
      <c r="O138" s="180" t="s">
        <v>1551</v>
      </c>
      <c r="P138" s="625">
        <f>IF(P137="","",L140/(1-L140)*P137)</f>
        <v>0</v>
      </c>
      <c r="Q138" s="1662">
        <f>Q139/(Q139+R139)*$P139</f>
        <v>750.42334995218278</v>
      </c>
      <c r="R138" s="1662">
        <f>R139/(R139+Q139)*$P139</f>
        <v>18.58936590494325</v>
      </c>
      <c r="S138" s="180" t="s">
        <v>1582</v>
      </c>
      <c r="T138" s="180"/>
      <c r="U138" s="180"/>
    </row>
    <row r="139" spans="7:21" ht="15" x14ac:dyDescent="0.25">
      <c r="G139" s="116" t="s">
        <v>1559</v>
      </c>
      <c r="H139" s="2119" t="s">
        <v>1560</v>
      </c>
      <c r="I139" s="212" t="s">
        <v>1560</v>
      </c>
      <c r="J139" s="1670">
        <f>SUM(J137:J138)*L139/(L137+L138)</f>
        <v>0</v>
      </c>
      <c r="K139" s="2119" t="s">
        <v>1560</v>
      </c>
      <c r="L139" s="1617">
        <f>Table2PRN!G$6566+Table2PRN!G$6776-L137-L138</f>
        <v>0</v>
      </c>
      <c r="M139" s="179">
        <f>SUM(L137:L139)</f>
        <v>808</v>
      </c>
      <c r="N139" s="37" t="s">
        <v>1572</v>
      </c>
      <c r="O139" s="37" t="s">
        <v>1554</v>
      </c>
      <c r="P139" s="172">
        <f>IF(P137="","base period",P137+P138)</f>
        <v>769.01271585712607</v>
      </c>
      <c r="Q139" s="2093">
        <v>767</v>
      </c>
      <c r="R139" s="2093">
        <v>19</v>
      </c>
      <c r="S139" s="180" t="s">
        <v>1645</v>
      </c>
      <c r="T139" s="180"/>
      <c r="U139" s="180"/>
    </row>
    <row r="140" spans="7:21" x14ac:dyDescent="0.2">
      <c r="G140" s="542"/>
      <c r="H140" s="37"/>
      <c r="I140" s="118"/>
      <c r="J140" s="67"/>
      <c r="K140" s="67" t="s">
        <v>1564</v>
      </c>
      <c r="L140" s="1631">
        <f>L139/(L137+L138+L139)</f>
        <v>0</v>
      </c>
      <c r="M140" s="550"/>
      <c r="N140" s="180"/>
      <c r="O140" s="37"/>
      <c r="P140" s="117"/>
      <c r="Q140" s="180"/>
      <c r="R140" s="497">
        <f>SUM(Q138:R138)</f>
        <v>769.01271585712607</v>
      </c>
      <c r="S140" s="180" t="s">
        <v>1586</v>
      </c>
      <c r="T140" s="180"/>
      <c r="U140" s="180"/>
    </row>
    <row r="141" spans="7:21" x14ac:dyDescent="0.2">
      <c r="G141" s="542"/>
      <c r="H141" s="37"/>
      <c r="I141" s="118"/>
      <c r="J141" s="67"/>
      <c r="K141" s="67"/>
      <c r="L141" s="1631"/>
      <c r="M141" s="550"/>
      <c r="N141" s="180"/>
      <c r="O141" s="37"/>
      <c r="P141" s="117"/>
      <c r="Q141" s="180"/>
      <c r="R141" s="177">
        <f>R140+0.05*R140</f>
        <v>807.46335164998231</v>
      </c>
      <c r="S141" s="180" t="s">
        <v>1574</v>
      </c>
      <c r="T141" s="180"/>
      <c r="U141" s="180"/>
    </row>
    <row r="142" spans="7:21" x14ac:dyDescent="0.2">
      <c r="G142" s="542"/>
      <c r="H142" s="180"/>
      <c r="I142" s="194" t="s">
        <v>1646</v>
      </c>
      <c r="J142" s="180"/>
      <c r="K142" s="180"/>
      <c r="L142" s="180"/>
      <c r="M142" s="2122"/>
      <c r="N142" s="180"/>
      <c r="O142" s="124" t="s">
        <v>1545</v>
      </c>
      <c r="P142" s="1615"/>
      <c r="Q142" s="124" t="s">
        <v>1546</v>
      </c>
      <c r="R142" s="170"/>
      <c r="S142" s="180"/>
      <c r="T142" s="180"/>
      <c r="U142" s="180"/>
    </row>
    <row r="143" spans="7:21" ht="15" x14ac:dyDescent="0.25">
      <c r="G143" s="542" t="s">
        <v>1641</v>
      </c>
      <c r="H143" s="553">
        <f>H131</f>
        <v>54177.099916383551</v>
      </c>
      <c r="I143" s="2092">
        <v>5.6500000000000002E-2</v>
      </c>
      <c r="J143" s="1626">
        <f>IF(I143="na","na",I143*H143)</f>
        <v>3061.0061452756709</v>
      </c>
      <c r="K143" s="180"/>
      <c r="L143" s="1641">
        <f>SUM(StockSumPRN!D$3335:E$3335)</f>
        <v>2676</v>
      </c>
      <c r="M143" s="37" t="s">
        <v>1550</v>
      </c>
      <c r="N143" s="37"/>
      <c r="O143" s="180" t="s">
        <v>1548</v>
      </c>
      <c r="P143" s="625">
        <f>IF(I143="","",SUM(J143:J144))</f>
        <v>4149.2007840065271</v>
      </c>
      <c r="Q143" s="2121" t="s">
        <v>1571</v>
      </c>
      <c r="R143" s="2121"/>
      <c r="S143" s="180"/>
      <c r="T143" s="180"/>
      <c r="U143" s="180"/>
    </row>
    <row r="144" spans="7:21" ht="15" x14ac:dyDescent="0.25">
      <c r="G144" s="542" t="s">
        <v>1642</v>
      </c>
      <c r="H144" s="553">
        <f>H132</f>
        <v>31911.866238441537</v>
      </c>
      <c r="I144" s="2092">
        <v>3.4099999999999998E-2</v>
      </c>
      <c r="J144" s="1626">
        <f>IF(I144="na","na",I144*H144)</f>
        <v>1088.1946387308562</v>
      </c>
      <c r="K144" s="180"/>
      <c r="L144" s="1641">
        <f>SUM(StockSumPRN!B$3335:C$3335)</f>
        <v>1680</v>
      </c>
      <c r="M144" s="179">
        <f>SUM(L143:L144)</f>
        <v>4356</v>
      </c>
      <c r="N144" s="37" t="s">
        <v>1572</v>
      </c>
      <c r="O144" s="37" t="s">
        <v>1554</v>
      </c>
      <c r="P144" s="172">
        <f>IF(P143="","base period",P143)</f>
        <v>4149.2007840065271</v>
      </c>
      <c r="Q144" s="1668">
        <f>P144</f>
        <v>4149.2007840065271</v>
      </c>
      <c r="R144" s="180"/>
      <c r="S144" s="180"/>
      <c r="T144" s="180"/>
      <c r="U144" s="180"/>
    </row>
    <row r="145" spans="7:32" x14ac:dyDescent="0.2">
      <c r="G145" s="116"/>
      <c r="H145" s="2119"/>
      <c r="I145" s="2119"/>
      <c r="J145" s="2119"/>
      <c r="K145" s="2119"/>
      <c r="L145" s="1617"/>
      <c r="M145" s="180"/>
      <c r="N145" s="180"/>
      <c r="O145" s="180"/>
      <c r="P145" s="203"/>
      <c r="Q145" s="177">
        <f>Q144+0.05*Q144</f>
        <v>4356.6608232068538</v>
      </c>
      <c r="R145" s="180" t="s">
        <v>1574</v>
      </c>
      <c r="S145" s="180"/>
      <c r="T145" s="180"/>
      <c r="U145" s="180"/>
      <c r="V145" s="180"/>
      <c r="W145" s="180"/>
      <c r="X145" s="180"/>
      <c r="Y145" s="180"/>
      <c r="Z145" s="180"/>
      <c r="AA145" s="180"/>
      <c r="AB145" s="180"/>
      <c r="AC145" s="180"/>
      <c r="AD145" s="180"/>
      <c r="AE145" s="180"/>
      <c r="AF145" s="180"/>
    </row>
    <row r="146" spans="7:32" x14ac:dyDescent="0.2">
      <c r="G146" s="1671"/>
      <c r="H146" s="1594"/>
      <c r="I146" s="1611"/>
      <c r="J146" s="1611"/>
      <c r="K146" s="1672"/>
      <c r="L146" s="1673"/>
      <c r="M146" s="1623"/>
      <c r="N146" s="1611"/>
      <c r="O146" s="1594"/>
      <c r="P146" s="1674"/>
      <c r="Q146" s="180"/>
      <c r="R146" s="180"/>
      <c r="S146" s="180"/>
      <c r="T146" s="180"/>
      <c r="U146" s="180"/>
      <c r="V146" s="180"/>
      <c r="W146" s="180"/>
      <c r="X146" s="180"/>
      <c r="Y146" s="180"/>
      <c r="Z146" s="180"/>
      <c r="AA146" s="180"/>
      <c r="AB146" s="180"/>
      <c r="AC146" s="180"/>
      <c r="AD146" s="180"/>
      <c r="AE146" s="180"/>
      <c r="AF146" s="180"/>
    </row>
    <row r="147" spans="7:32" x14ac:dyDescent="0.2">
      <c r="G147" s="180"/>
      <c r="H147" s="37"/>
      <c r="I147" s="180"/>
      <c r="J147" s="180"/>
      <c r="K147" s="180"/>
      <c r="L147" s="180"/>
      <c r="M147" s="550"/>
      <c r="N147" s="180"/>
      <c r="O147" s="180"/>
      <c r="P147" s="180"/>
      <c r="Q147" s="180"/>
      <c r="R147" s="180"/>
      <c r="S147" s="180"/>
      <c r="T147" s="180"/>
      <c r="U147" s="180"/>
      <c r="V147" s="180"/>
      <c r="W147" s="180"/>
      <c r="X147" s="180"/>
      <c r="Y147" s="180"/>
      <c r="Z147" s="180"/>
      <c r="AA147" s="180"/>
      <c r="AB147" s="180"/>
      <c r="AC147" s="180"/>
      <c r="AD147" s="180"/>
      <c r="AE147" s="180"/>
      <c r="AF147" s="180"/>
    </row>
    <row r="148" spans="7:32" x14ac:dyDescent="0.2">
      <c r="G148" s="180"/>
      <c r="H148" s="180"/>
      <c r="I148" s="180"/>
      <c r="J148" s="180"/>
      <c r="K148" s="180"/>
      <c r="L148" s="180"/>
      <c r="M148" s="180"/>
      <c r="N148" s="2531" t="s">
        <v>1647</v>
      </c>
      <c r="O148" s="2531"/>
      <c r="P148" s="2531"/>
      <c r="Q148" s="2531"/>
      <c r="R148" s="2531"/>
      <c r="S148" s="2531"/>
      <c r="T148" s="180"/>
      <c r="U148" s="550"/>
      <c r="V148" s="180"/>
      <c r="W148" s="180"/>
      <c r="X148" s="180"/>
      <c r="Y148" s="180"/>
      <c r="Z148" s="180"/>
      <c r="AA148" s="180"/>
      <c r="AB148" s="180"/>
      <c r="AC148" s="180"/>
      <c r="AD148" s="180"/>
      <c r="AE148" s="180"/>
      <c r="AF148" s="180"/>
    </row>
    <row r="149" spans="7:32" ht="13.5" thickBot="1" x14ac:dyDescent="0.25">
      <c r="G149" s="180"/>
      <c r="H149" s="180"/>
      <c r="I149" s="180"/>
      <c r="J149" s="180"/>
      <c r="K149" s="180"/>
      <c r="L149" s="180"/>
      <c r="M149" s="180"/>
      <c r="N149" s="2532"/>
      <c r="O149" s="2532"/>
      <c r="P149" s="2532"/>
      <c r="Q149" s="2532"/>
      <c r="R149" s="2532"/>
      <c r="S149" s="2532"/>
      <c r="T149" s="180"/>
      <c r="U149" s="180"/>
      <c r="V149" s="180"/>
      <c r="W149" s="180"/>
      <c r="X149" s="180"/>
      <c r="Y149" s="180"/>
      <c r="Z149" s="180"/>
      <c r="AA149" s="180"/>
      <c r="AB149" s="180"/>
      <c r="AC149" s="180"/>
      <c r="AD149" s="180"/>
      <c r="AE149" s="180"/>
      <c r="AF149" s="180"/>
    </row>
    <row r="150" spans="7:32" ht="28.35" customHeight="1" thickBot="1" x14ac:dyDescent="0.25">
      <c r="G150" s="180"/>
      <c r="H150" s="180"/>
      <c r="I150" s="180"/>
      <c r="J150" s="180"/>
      <c r="K150" s="180"/>
      <c r="L150" s="180"/>
      <c r="M150" s="180"/>
      <c r="N150" s="909" t="s">
        <v>1648</v>
      </c>
      <c r="O150" s="908"/>
      <c r="P150" s="907" t="s">
        <v>1649</v>
      </c>
      <c r="Q150" s="906" t="s">
        <v>614</v>
      </c>
      <c r="R150" s="906" t="s">
        <v>1650</v>
      </c>
      <c r="S150" s="905" t="s">
        <v>236</v>
      </c>
      <c r="T150" s="2525"/>
      <c r="U150" s="2526"/>
      <c r="V150" s="2527"/>
      <c r="W150" s="2527"/>
      <c r="X150" s="180"/>
      <c r="Y150" s="180"/>
      <c r="Z150" s="180"/>
      <c r="AA150" s="180"/>
      <c r="AB150" s="180"/>
      <c r="AC150" s="180"/>
      <c r="AD150" s="180"/>
      <c r="AE150" s="180"/>
      <c r="AF150" s="180"/>
    </row>
    <row r="151" spans="7:32" x14ac:dyDescent="0.2">
      <c r="G151" s="180"/>
      <c r="H151" s="180"/>
      <c r="I151" s="180"/>
      <c r="J151" s="180"/>
      <c r="K151" s="180"/>
      <c r="L151" s="180"/>
      <c r="M151" s="180"/>
      <c r="N151" s="668">
        <v>45</v>
      </c>
      <c r="O151" s="669"/>
      <c r="P151" s="904" t="s">
        <v>1651</v>
      </c>
      <c r="Q151" s="914">
        <f>Q138</f>
        <v>750.42334995218278</v>
      </c>
      <c r="R151" s="915">
        <f>R138</f>
        <v>18.58936590494325</v>
      </c>
      <c r="S151" s="903">
        <f>Q151+R151</f>
        <v>769.01271585712607</v>
      </c>
      <c r="T151" s="180"/>
      <c r="U151" s="180"/>
      <c r="V151" s="550"/>
      <c r="W151" s="1657"/>
      <c r="X151" s="1657"/>
      <c r="Y151" s="1675"/>
      <c r="Z151" s="180"/>
      <c r="AA151" s="180">
        <v>45</v>
      </c>
      <c r="AB151" s="180"/>
      <c r="AC151" s="550" t="s">
        <v>1651</v>
      </c>
      <c r="AD151" s="1657">
        <v>3102.4618941064859</v>
      </c>
      <c r="AE151" s="1657">
        <v>305.52970570920911</v>
      </c>
      <c r="AF151" s="1675">
        <v>3407.9915998156948</v>
      </c>
    </row>
    <row r="152" spans="7:32" x14ac:dyDescent="0.2">
      <c r="G152" s="550"/>
      <c r="H152" s="180"/>
      <c r="I152" s="180"/>
      <c r="J152" s="180"/>
      <c r="K152" s="180"/>
      <c r="L152" s="180"/>
      <c r="M152" s="180"/>
      <c r="N152" s="892"/>
      <c r="O152" s="180"/>
      <c r="P152" s="902"/>
      <c r="Q152" s="180"/>
      <c r="R152" s="497"/>
      <c r="S152" s="902"/>
      <c r="T152" s="180"/>
      <c r="U152" s="180"/>
      <c r="V152" s="180"/>
      <c r="W152" s="180"/>
      <c r="X152" s="180"/>
      <c r="Y152" s="180"/>
      <c r="Z152" s="180"/>
      <c r="AA152" s="180"/>
      <c r="AB152" s="180"/>
      <c r="AC152" s="180"/>
      <c r="AD152" s="180"/>
      <c r="AE152" s="180"/>
      <c r="AF152" s="180"/>
    </row>
    <row r="153" spans="7:32" x14ac:dyDescent="0.2">
      <c r="G153" s="550"/>
      <c r="H153" s="180"/>
      <c r="I153" s="180"/>
      <c r="J153" s="180"/>
      <c r="K153" s="180"/>
      <c r="L153" s="180"/>
      <c r="M153" s="180"/>
      <c r="N153" s="901">
        <v>46</v>
      </c>
      <c r="O153" s="898"/>
      <c r="P153" s="900" t="s">
        <v>1652</v>
      </c>
      <c r="Q153" s="912">
        <f>Q144</f>
        <v>4149.2007840065271</v>
      </c>
      <c r="R153" s="913">
        <v>0</v>
      </c>
      <c r="S153" s="899">
        <f>Q153+R153</f>
        <v>4149.2007840065271</v>
      </c>
      <c r="T153" s="180"/>
      <c r="U153" s="180"/>
      <c r="V153" s="550"/>
      <c r="W153" s="1657"/>
      <c r="X153" s="1658"/>
      <c r="Y153" s="180"/>
      <c r="Z153" s="180"/>
      <c r="AA153" s="180">
        <v>46</v>
      </c>
      <c r="AB153" s="180"/>
      <c r="AC153" s="550" t="s">
        <v>1652</v>
      </c>
      <c r="AD153" s="1657">
        <v>3513.7137953773854</v>
      </c>
      <c r="AE153" s="1658" t="s">
        <v>1653</v>
      </c>
      <c r="AF153" s="180"/>
    </row>
    <row r="154" spans="7:32" x14ac:dyDescent="0.2">
      <c r="G154" s="180"/>
      <c r="H154" s="180"/>
      <c r="I154" s="180"/>
      <c r="J154" s="180"/>
      <c r="K154" s="180"/>
      <c r="L154" s="180"/>
      <c r="M154" s="180"/>
      <c r="N154" s="901"/>
      <c r="O154" s="898"/>
      <c r="P154" s="896"/>
      <c r="Q154" s="898"/>
      <c r="R154" s="897"/>
      <c r="S154" s="896"/>
      <c r="T154" s="180"/>
      <c r="U154" s="180"/>
      <c r="V154" s="180"/>
      <c r="W154" s="180"/>
      <c r="X154" s="180"/>
      <c r="Y154" s="180"/>
      <c r="Z154" s="180"/>
      <c r="AA154" s="180"/>
      <c r="AB154" s="180"/>
      <c r="AC154" s="180"/>
      <c r="AD154" s="180"/>
      <c r="AE154" s="180"/>
      <c r="AF154" s="180"/>
    </row>
    <row r="155" spans="7:32" x14ac:dyDescent="0.2">
      <c r="G155" s="180"/>
      <c r="H155" s="180"/>
      <c r="I155" s="180"/>
      <c r="J155" s="180"/>
      <c r="K155" s="180"/>
      <c r="L155" s="180"/>
      <c r="M155" s="180"/>
      <c r="N155" s="892">
        <v>47</v>
      </c>
      <c r="O155" s="180"/>
      <c r="P155" s="893" t="s">
        <v>1654</v>
      </c>
      <c r="Q155" s="916">
        <f>Q132</f>
        <v>21633.359977778484</v>
      </c>
      <c r="R155" s="917">
        <f>R132</f>
        <v>11260.10953925892</v>
      </c>
      <c r="S155" s="895">
        <f>Q155+R155</f>
        <v>32893.469517037403</v>
      </c>
      <c r="T155" s="180"/>
      <c r="U155" s="180"/>
      <c r="V155" s="550"/>
      <c r="W155" s="1657"/>
      <c r="X155" s="1657"/>
      <c r="Y155" s="180"/>
      <c r="Z155" s="180"/>
      <c r="AA155" s="180">
        <v>47</v>
      </c>
      <c r="AB155" s="180"/>
      <c r="AC155" s="550" t="s">
        <v>1654</v>
      </c>
      <c r="AD155" s="1657">
        <v>7001.2355657003218</v>
      </c>
      <c r="AE155" s="1657">
        <v>5558.2169660082327</v>
      </c>
      <c r="AF155" s="180"/>
    </row>
    <row r="156" spans="7:32" x14ac:dyDescent="0.2">
      <c r="G156" s="180"/>
      <c r="H156" s="180"/>
      <c r="I156" s="180"/>
      <c r="J156" s="180"/>
      <c r="K156" s="180"/>
      <c r="L156" s="180"/>
      <c r="M156" s="180"/>
      <c r="N156" s="892"/>
      <c r="O156" s="180"/>
      <c r="P156" s="902"/>
      <c r="Q156" s="180"/>
      <c r="R156" s="497"/>
      <c r="S156" s="902"/>
      <c r="T156" s="180"/>
      <c r="U156" s="180"/>
      <c r="V156" s="180"/>
      <c r="W156" s="180"/>
      <c r="X156" s="180"/>
      <c r="Y156" s="180"/>
      <c r="Z156" s="180"/>
      <c r="AA156" s="180"/>
      <c r="AB156" s="180"/>
      <c r="AC156" s="180"/>
      <c r="AD156" s="180"/>
      <c r="AE156" s="180"/>
      <c r="AF156" s="180"/>
    </row>
    <row r="157" spans="7:32" x14ac:dyDescent="0.2">
      <c r="G157" s="180"/>
      <c r="H157" s="1253"/>
      <c r="I157" s="1253"/>
      <c r="J157" s="180"/>
      <c r="K157" s="180"/>
      <c r="L157" s="180"/>
      <c r="M157" s="180"/>
      <c r="N157" s="901">
        <v>48</v>
      </c>
      <c r="O157" s="898"/>
      <c r="P157" s="900" t="s">
        <v>1655</v>
      </c>
      <c r="Q157" s="916">
        <f>Q105</f>
        <v>3521.4495936568233</v>
      </c>
      <c r="R157" s="917">
        <f>R105</f>
        <v>1362.7796642331475</v>
      </c>
      <c r="S157" s="894">
        <f>Q157+R157</f>
        <v>4884.2292578899705</v>
      </c>
      <c r="T157" s="180"/>
      <c r="U157" s="180"/>
      <c r="V157" s="550"/>
      <c r="W157" s="1657"/>
      <c r="X157" s="1657"/>
      <c r="Y157" s="180"/>
      <c r="Z157" s="180"/>
      <c r="AA157" s="180">
        <v>48</v>
      </c>
      <c r="AB157" s="180"/>
      <c r="AC157" s="550" t="s">
        <v>1655</v>
      </c>
      <c r="AD157" s="1657">
        <v>250.24739694295667</v>
      </c>
      <c r="AE157" s="1657">
        <v>206.40063081192579</v>
      </c>
      <c r="AF157" s="180"/>
    </row>
    <row r="158" spans="7:32" x14ac:dyDescent="0.2">
      <c r="G158" s="180"/>
      <c r="H158" s="180"/>
      <c r="I158" s="180"/>
      <c r="J158" s="180"/>
      <c r="K158" s="180"/>
      <c r="L158" s="180"/>
      <c r="M158" s="180"/>
      <c r="N158" s="901"/>
      <c r="O158" s="898"/>
      <c r="P158" s="896"/>
      <c r="Q158" s="898"/>
      <c r="R158" s="897"/>
      <c r="S158" s="896"/>
      <c r="T158" s="180"/>
      <c r="U158" s="180"/>
      <c r="V158" s="180"/>
      <c r="W158" s="180"/>
      <c r="X158" s="180"/>
      <c r="Y158" s="180"/>
      <c r="Z158" s="180"/>
      <c r="AA158" s="180"/>
      <c r="AB158" s="180"/>
      <c r="AC158" s="180"/>
      <c r="AD158" s="180"/>
      <c r="AE158" s="180"/>
      <c r="AF158" s="180"/>
    </row>
    <row r="159" spans="7:32" x14ac:dyDescent="0.2">
      <c r="G159" s="180"/>
      <c r="H159" s="180"/>
      <c r="I159" s="180"/>
      <c r="J159" s="180"/>
      <c r="K159" s="180"/>
      <c r="L159" s="180"/>
      <c r="M159" s="180"/>
      <c r="N159" s="892">
        <v>49</v>
      </c>
      <c r="O159" s="180"/>
      <c r="P159" s="893" t="s">
        <v>1656</v>
      </c>
      <c r="Q159" s="910">
        <f>Q113</f>
        <v>76.717268903806243</v>
      </c>
      <c r="R159" s="911">
        <v>0</v>
      </c>
      <c r="S159" s="899">
        <f>Q159+R159</f>
        <v>76.717268903806243</v>
      </c>
      <c r="T159" s="180"/>
      <c r="U159" s="180"/>
      <c r="V159" s="550"/>
      <c r="W159" s="646"/>
      <c r="X159" s="1658"/>
      <c r="Y159" s="180"/>
      <c r="Z159" s="180"/>
      <c r="AA159" s="180">
        <v>49</v>
      </c>
      <c r="AB159" s="180"/>
      <c r="AC159" s="550" t="s">
        <v>1656</v>
      </c>
      <c r="AD159" s="646">
        <v>16.629861430050429</v>
      </c>
      <c r="AE159" s="1658" t="s">
        <v>1653</v>
      </c>
      <c r="AF159" s="180"/>
    </row>
    <row r="160" spans="7:32" x14ac:dyDescent="0.2">
      <c r="G160" s="180"/>
      <c r="H160" s="180"/>
      <c r="I160" s="180"/>
      <c r="J160" s="180"/>
      <c r="K160" s="180"/>
      <c r="L160" s="180"/>
      <c r="M160" s="180"/>
      <c r="N160" s="892"/>
      <c r="O160" s="180"/>
      <c r="P160" s="902"/>
      <c r="Q160" s="180"/>
      <c r="R160" s="497"/>
      <c r="S160" s="902"/>
      <c r="T160" s="180"/>
      <c r="U160" s="180"/>
      <c r="V160" s="180"/>
      <c r="W160" s="180"/>
      <c r="X160" s="180"/>
      <c r="Y160" s="180"/>
      <c r="Z160" s="180"/>
      <c r="AA160" s="180"/>
      <c r="AB160" s="180"/>
      <c r="AC160" s="180"/>
      <c r="AD160" s="180"/>
      <c r="AE160" s="180"/>
      <c r="AF160" s="180"/>
    </row>
    <row r="161" spans="7:31" x14ac:dyDescent="0.2">
      <c r="G161" s="180"/>
      <c r="H161" s="180"/>
      <c r="I161" s="180"/>
      <c r="J161" s="180"/>
      <c r="K161" s="180"/>
      <c r="L161" s="180"/>
      <c r="M161" s="180"/>
      <c r="N161" s="901">
        <v>50</v>
      </c>
      <c r="O161" s="898"/>
      <c r="P161" s="900" t="s">
        <v>1657</v>
      </c>
      <c r="Q161" s="918">
        <f>Q77</f>
        <v>0</v>
      </c>
      <c r="R161" s="917">
        <f>R77</f>
        <v>6271.6826523283307</v>
      </c>
      <c r="S161" s="894">
        <f>Q161+R161</f>
        <v>6271.6826523283307</v>
      </c>
      <c r="T161" s="180"/>
      <c r="U161" s="180"/>
      <c r="V161" s="550"/>
      <c r="W161" s="1676"/>
      <c r="X161" s="1657"/>
      <c r="Y161" s="180"/>
      <c r="Z161" s="180"/>
      <c r="AA161" s="180">
        <v>50</v>
      </c>
      <c r="AB161" s="180"/>
      <c r="AC161" s="550" t="s">
        <v>1657</v>
      </c>
      <c r="AD161" s="1676">
        <v>0</v>
      </c>
      <c r="AE161" s="1657">
        <v>795.78110174402343</v>
      </c>
    </row>
    <row r="162" spans="7:31" x14ac:dyDescent="0.2">
      <c r="G162" s="550"/>
      <c r="H162" s="180"/>
      <c r="I162" s="180"/>
      <c r="J162" s="180"/>
      <c r="K162" s="180"/>
      <c r="L162" s="180"/>
      <c r="M162" s="180"/>
      <c r="N162" s="901"/>
      <c r="O162" s="898"/>
      <c r="P162" s="896"/>
      <c r="Q162" s="898"/>
      <c r="R162" s="897"/>
      <c r="S162" s="896"/>
      <c r="T162" s="180"/>
      <c r="U162" s="180"/>
      <c r="V162" s="180"/>
      <c r="W162" s="180"/>
      <c r="X162" s="180"/>
      <c r="Y162" s="180"/>
      <c r="Z162" s="180"/>
      <c r="AA162" s="180"/>
      <c r="AB162" s="180"/>
      <c r="AC162" s="180"/>
      <c r="AD162" s="180"/>
      <c r="AE162" s="180"/>
    </row>
    <row r="163" spans="7:31" x14ac:dyDescent="0.2">
      <c r="G163" s="550"/>
      <c r="H163" s="180"/>
      <c r="I163" s="180"/>
      <c r="J163" s="180"/>
      <c r="K163" s="180"/>
      <c r="L163" s="180"/>
      <c r="M163" s="180"/>
      <c r="N163" s="892">
        <v>51</v>
      </c>
      <c r="O163" s="180"/>
      <c r="P163" s="893" t="s">
        <v>1658</v>
      </c>
      <c r="Q163" s="910">
        <f>Q125</f>
        <v>4080.2913913916032</v>
      </c>
      <c r="R163" s="911">
        <v>0</v>
      </c>
      <c r="S163" s="899">
        <f>Q163+R163</f>
        <v>4080.2913913916032</v>
      </c>
      <c r="T163" s="180"/>
      <c r="U163" s="180"/>
      <c r="V163" s="550"/>
      <c r="W163" s="1657"/>
      <c r="X163" s="1658"/>
      <c r="Y163" s="180"/>
      <c r="Z163" s="180"/>
      <c r="AA163" s="180">
        <v>51</v>
      </c>
      <c r="AB163" s="180"/>
      <c r="AC163" s="550" t="s">
        <v>1658</v>
      </c>
      <c r="AD163" s="1657">
        <v>1080.8315648594501</v>
      </c>
      <c r="AE163" s="1658" t="s">
        <v>1653</v>
      </c>
    </row>
    <row r="164" spans="7:31" x14ac:dyDescent="0.2">
      <c r="G164" s="365"/>
      <c r="H164" s="180"/>
      <c r="I164" s="180"/>
      <c r="J164" s="180"/>
      <c r="K164" s="180"/>
      <c r="L164" s="180"/>
      <c r="M164" s="550"/>
      <c r="N164" s="892"/>
      <c r="O164" s="180"/>
      <c r="P164" s="902"/>
      <c r="Q164" s="180"/>
      <c r="R164" s="497"/>
      <c r="S164" s="902"/>
      <c r="T164" s="180"/>
      <c r="U164" s="180"/>
      <c r="V164" s="180"/>
      <c r="W164" s="180"/>
      <c r="X164" s="180"/>
      <c r="Y164" s="180"/>
      <c r="Z164" s="180"/>
      <c r="AA164" s="180"/>
      <c r="AB164" s="180"/>
      <c r="AC164" s="180"/>
      <c r="AD164" s="180"/>
      <c r="AE164" s="180"/>
    </row>
    <row r="165" spans="7:31" x14ac:dyDescent="0.2">
      <c r="G165" s="365"/>
      <c r="H165" s="180"/>
      <c r="I165" s="180"/>
      <c r="J165" s="180"/>
      <c r="K165" s="180"/>
      <c r="L165" s="180"/>
      <c r="M165" s="180"/>
      <c r="N165" s="901">
        <v>52</v>
      </c>
      <c r="O165" s="898"/>
      <c r="P165" s="900" t="s">
        <v>1659</v>
      </c>
      <c r="Q165" s="916">
        <f>Q86</f>
        <v>4443.4781500064655</v>
      </c>
      <c r="R165" s="917">
        <f>R86</f>
        <v>22846.062832146519</v>
      </c>
      <c r="S165" s="894">
        <f>Q165+R165</f>
        <v>27289.540982152983</v>
      </c>
      <c r="T165" s="180"/>
      <c r="U165" s="180"/>
      <c r="V165" s="550"/>
      <c r="W165" s="1676"/>
      <c r="X165" s="1657"/>
      <c r="Y165" s="180"/>
      <c r="Z165" s="180"/>
      <c r="AA165" s="180">
        <v>52</v>
      </c>
      <c r="AB165" s="180"/>
      <c r="AC165" s="550" t="s">
        <v>1659</v>
      </c>
      <c r="AD165" s="1676">
        <v>2095.5951293977209</v>
      </c>
      <c r="AE165" s="1657">
        <v>733.82891595382557</v>
      </c>
    </row>
    <row r="166" spans="7:31" x14ac:dyDescent="0.2">
      <c r="G166" s="365"/>
      <c r="H166" s="180"/>
      <c r="I166" s="180"/>
      <c r="J166" s="180"/>
      <c r="K166" s="180"/>
      <c r="L166" s="180"/>
      <c r="M166" s="180"/>
      <c r="N166" s="901"/>
      <c r="O166" s="898"/>
      <c r="P166" s="896"/>
      <c r="Q166" s="898"/>
      <c r="R166" s="897"/>
      <c r="S166" s="896"/>
      <c r="T166" s="180"/>
      <c r="U166" s="180"/>
      <c r="V166" s="180"/>
      <c r="W166" s="180"/>
      <c r="X166" s="180"/>
      <c r="Y166" s="180"/>
      <c r="Z166" s="180"/>
      <c r="AA166" s="180"/>
      <c r="AB166" s="180"/>
      <c r="AC166" s="180"/>
      <c r="AD166" s="180"/>
      <c r="AE166" s="180"/>
    </row>
    <row r="167" spans="7:31" x14ac:dyDescent="0.2">
      <c r="G167" s="180"/>
      <c r="H167" s="1253"/>
      <c r="I167" s="1253"/>
      <c r="J167" s="180"/>
      <c r="K167" s="180"/>
      <c r="L167" s="180"/>
      <c r="M167" s="1253"/>
      <c r="N167" s="892">
        <v>54</v>
      </c>
      <c r="O167" s="180"/>
      <c r="P167" s="893" t="s">
        <v>1660</v>
      </c>
      <c r="Q167" s="910">
        <f>Q120</f>
        <v>16367.419469738601</v>
      </c>
      <c r="R167" s="911">
        <v>0</v>
      </c>
      <c r="S167" s="899">
        <f>Q167+R167</f>
        <v>16367.419469738601</v>
      </c>
      <c r="T167" s="180"/>
      <c r="U167" s="180"/>
      <c r="V167" s="550"/>
      <c r="W167" s="1657"/>
      <c r="X167" s="1658"/>
      <c r="Y167" s="180"/>
      <c r="Z167" s="180"/>
      <c r="AA167" s="180">
        <v>54</v>
      </c>
      <c r="AB167" s="180"/>
      <c r="AC167" s="550" t="s">
        <v>1660</v>
      </c>
      <c r="AD167" s="1657">
        <v>1403.5655519679699</v>
      </c>
      <c r="AE167" s="1658" t="s">
        <v>1653</v>
      </c>
    </row>
    <row r="168" spans="7:31" x14ac:dyDescent="0.2">
      <c r="G168" s="550"/>
      <c r="H168" s="366"/>
      <c r="I168" s="180"/>
      <c r="J168" s="180"/>
      <c r="K168" s="180"/>
      <c r="L168" s="180"/>
      <c r="M168" s="180"/>
      <c r="N168" s="892"/>
      <c r="O168" s="180"/>
      <c r="P168" s="902"/>
      <c r="Q168" s="180"/>
      <c r="R168" s="497"/>
      <c r="S168" s="902"/>
      <c r="T168" s="180"/>
      <c r="U168" s="180"/>
      <c r="V168" s="180"/>
      <c r="W168" s="180"/>
      <c r="X168" s="180"/>
      <c r="Y168" s="180"/>
      <c r="Z168" s="180"/>
      <c r="AA168" s="180"/>
      <c r="AB168" s="180"/>
      <c r="AC168" s="180"/>
      <c r="AD168" s="180"/>
      <c r="AE168" s="180"/>
    </row>
    <row r="169" spans="7:31" x14ac:dyDescent="0.2">
      <c r="G169" s="550"/>
      <c r="H169" s="180"/>
      <c r="I169" s="180"/>
      <c r="J169" s="180"/>
      <c r="K169" s="180"/>
      <c r="L169" s="180"/>
      <c r="M169" s="180"/>
      <c r="N169" s="901">
        <v>55</v>
      </c>
      <c r="O169" s="898"/>
      <c r="P169" s="900" t="s">
        <v>1661</v>
      </c>
      <c r="Q169" s="912">
        <f>Q93</f>
        <v>7175.3010152965562</v>
      </c>
      <c r="R169" s="913">
        <v>0</v>
      </c>
      <c r="S169" s="899">
        <f>Q169+R169</f>
        <v>7175.3010152965562</v>
      </c>
      <c r="T169" s="180"/>
      <c r="U169" s="180"/>
      <c r="V169" s="550"/>
      <c r="W169" s="1657"/>
      <c r="X169" s="1658"/>
      <c r="Y169" s="180"/>
      <c r="Z169" s="180"/>
      <c r="AA169" s="180">
        <v>55</v>
      </c>
      <c r="AB169" s="180"/>
      <c r="AC169" s="550" t="s">
        <v>1661</v>
      </c>
      <c r="AD169" s="1657">
        <v>903.29760638631524</v>
      </c>
      <c r="AE169" s="1658" t="s">
        <v>1653</v>
      </c>
    </row>
    <row r="170" spans="7:31" x14ac:dyDescent="0.2">
      <c r="G170" s="180"/>
      <c r="H170" s="180"/>
      <c r="I170" s="180"/>
      <c r="J170" s="180"/>
      <c r="K170" s="180"/>
      <c r="L170" s="180"/>
      <c r="M170" s="180"/>
      <c r="N170" s="901"/>
      <c r="O170" s="898"/>
      <c r="P170" s="896"/>
      <c r="Q170" s="898"/>
      <c r="R170" s="897"/>
      <c r="S170" s="896"/>
      <c r="T170" s="180"/>
      <c r="U170" s="180"/>
      <c r="V170" s="180"/>
      <c r="W170" s="180"/>
      <c r="X170" s="180"/>
      <c r="Y170" s="180"/>
      <c r="Z170" s="180"/>
      <c r="AA170" s="180"/>
      <c r="AB170" s="180"/>
      <c r="AC170" s="180"/>
      <c r="AD170" s="180"/>
      <c r="AE170" s="180"/>
    </row>
    <row r="171" spans="7:31" x14ac:dyDescent="0.2">
      <c r="G171" s="180"/>
      <c r="H171" s="180"/>
      <c r="I171" s="180"/>
      <c r="J171" s="180"/>
      <c r="K171" s="180"/>
      <c r="L171" s="180"/>
      <c r="M171" s="180"/>
      <c r="N171" s="892">
        <v>56</v>
      </c>
      <c r="O171" s="180"/>
      <c r="P171" s="893" t="s">
        <v>1662</v>
      </c>
      <c r="Q171" s="910">
        <f>Q100</f>
        <v>6184.2100625337971</v>
      </c>
      <c r="R171" s="911">
        <v>0</v>
      </c>
      <c r="S171" s="899">
        <f>Q171+R171</f>
        <v>6184.2100625337971</v>
      </c>
      <c r="T171" s="180"/>
      <c r="U171" s="180"/>
      <c r="V171" s="550"/>
      <c r="W171" s="1657"/>
      <c r="X171" s="1658"/>
      <c r="Y171" s="180"/>
      <c r="Z171" s="180"/>
      <c r="AA171" s="180">
        <v>56</v>
      </c>
      <c r="AB171" s="180"/>
      <c r="AC171" s="550" t="s">
        <v>1662</v>
      </c>
      <c r="AD171" s="1657">
        <v>753.44593168467213</v>
      </c>
      <c r="AE171" s="1658" t="s">
        <v>1653</v>
      </c>
    </row>
    <row r="172" spans="7:31" x14ac:dyDescent="0.2">
      <c r="G172" s="180"/>
      <c r="H172" s="180"/>
      <c r="I172" s="180"/>
      <c r="J172" s="180"/>
      <c r="K172" s="180"/>
      <c r="L172" s="180"/>
      <c r="M172" s="180"/>
      <c r="N172" s="892"/>
      <c r="O172" s="180"/>
      <c r="P172" s="902"/>
      <c r="Q172" s="180"/>
      <c r="R172" s="497"/>
      <c r="S172" s="902"/>
      <c r="T172" s="180"/>
      <c r="U172" s="180"/>
      <c r="V172" s="180"/>
      <c r="W172" s="180"/>
      <c r="X172" s="180"/>
      <c r="Y172" s="180"/>
      <c r="Z172" s="180"/>
      <c r="AA172" s="180"/>
      <c r="AB172" s="180"/>
      <c r="AC172" s="180"/>
      <c r="AD172" s="180"/>
      <c r="AE172" s="180"/>
    </row>
    <row r="173" spans="7:31" x14ac:dyDescent="0.2">
      <c r="G173" s="550"/>
      <c r="H173" s="180"/>
      <c r="I173" s="180"/>
      <c r="J173" s="180"/>
      <c r="K173" s="180"/>
      <c r="L173" s="180"/>
      <c r="M173" s="180"/>
      <c r="N173" s="901">
        <v>62</v>
      </c>
      <c r="O173" s="898"/>
      <c r="P173" s="900" t="s">
        <v>1663</v>
      </c>
      <c r="Q173" s="912">
        <f>Q70</f>
        <v>4021.9614562337119</v>
      </c>
      <c r="R173" s="913"/>
      <c r="S173" s="894">
        <f>Q173+R173</f>
        <v>4021.9614562337119</v>
      </c>
      <c r="T173" s="180"/>
      <c r="U173" s="180"/>
      <c r="V173" s="550"/>
      <c r="W173" s="1658"/>
      <c r="X173" s="1658"/>
      <c r="Y173" s="180"/>
      <c r="Z173" s="180"/>
      <c r="AA173" s="180" t="s">
        <v>1664</v>
      </c>
      <c r="AB173" s="180"/>
      <c r="AC173" s="550" t="s">
        <v>1663</v>
      </c>
      <c r="AD173" s="1658">
        <v>50.162139310550238</v>
      </c>
      <c r="AE173" s="1658"/>
    </row>
    <row r="174" spans="7:31" x14ac:dyDescent="0.2">
      <c r="G174" s="550"/>
      <c r="H174" s="180"/>
      <c r="I174" s="180"/>
      <c r="J174" s="180"/>
      <c r="K174" s="180"/>
      <c r="L174" s="180"/>
      <c r="M174" s="180"/>
      <c r="N174" s="901"/>
      <c r="O174" s="898"/>
      <c r="P174" s="896"/>
      <c r="Q174" s="898"/>
      <c r="R174" s="897"/>
      <c r="S174" s="896"/>
      <c r="T174" s="180"/>
      <c r="U174" s="180"/>
      <c r="V174" s="180"/>
      <c r="W174" s="180"/>
      <c r="X174" s="180"/>
      <c r="Y174" s="180"/>
      <c r="Z174" s="180"/>
      <c r="AA174" s="180"/>
      <c r="AB174" s="180"/>
      <c r="AC174" s="180"/>
      <c r="AD174" s="180"/>
      <c r="AE174" s="180"/>
    </row>
    <row r="175" spans="7:31" x14ac:dyDescent="0.2">
      <c r="G175" s="365"/>
      <c r="H175" s="180"/>
      <c r="I175" s="180"/>
      <c r="J175" s="180"/>
      <c r="K175" s="180"/>
      <c r="L175" s="180"/>
      <c r="M175" s="180"/>
      <c r="N175" s="892">
        <v>63</v>
      </c>
      <c r="O175" s="180"/>
      <c r="P175" s="893" t="s">
        <v>1665</v>
      </c>
      <c r="Q175" s="916">
        <f>Q64</f>
        <v>11224.577440775169</v>
      </c>
      <c r="R175" s="917">
        <f>R64</f>
        <v>5233.5453098092812</v>
      </c>
      <c r="S175" s="895">
        <f>Q175+R175</f>
        <v>16458.122750584451</v>
      </c>
      <c r="T175" s="180"/>
      <c r="U175" s="180"/>
      <c r="V175" s="550"/>
      <c r="W175" s="1657"/>
      <c r="X175" s="1657"/>
      <c r="Y175" s="180"/>
      <c r="Z175" s="180"/>
      <c r="AA175" s="180">
        <v>63</v>
      </c>
      <c r="AB175" s="180"/>
      <c r="AC175" s="550" t="s">
        <v>1665</v>
      </c>
      <c r="AD175" s="1657">
        <v>9431.0773464835402</v>
      </c>
      <c r="AE175" s="1657">
        <v>13512.790516209843</v>
      </c>
    </row>
    <row r="176" spans="7:31" x14ac:dyDescent="0.2">
      <c r="G176" s="365"/>
      <c r="H176" s="180"/>
      <c r="I176" s="180"/>
      <c r="J176" s="180"/>
      <c r="K176" s="180"/>
      <c r="L176" s="180"/>
      <c r="M176" s="180"/>
      <c r="N176" s="892"/>
      <c r="O176" s="180"/>
      <c r="P176" s="902"/>
      <c r="Q176" s="180"/>
      <c r="R176" s="497"/>
      <c r="S176" s="902"/>
      <c r="T176" s="180"/>
      <c r="U176" s="180"/>
      <c r="V176" s="180"/>
      <c r="W176" s="180"/>
      <c r="X176" s="180"/>
      <c r="Y176" s="180"/>
      <c r="Z176" s="180"/>
      <c r="AA176" s="180"/>
      <c r="AB176" s="180"/>
      <c r="AC176" s="180"/>
      <c r="AD176" s="180"/>
      <c r="AE176" s="180"/>
    </row>
    <row r="177" spans="7:31" x14ac:dyDescent="0.2">
      <c r="G177" s="365"/>
      <c r="H177" s="180"/>
      <c r="I177" s="180"/>
      <c r="J177" s="180"/>
      <c r="K177" s="180"/>
      <c r="L177" s="180"/>
      <c r="M177" s="180"/>
      <c r="N177" s="901">
        <v>65</v>
      </c>
      <c r="O177" s="898"/>
      <c r="P177" s="900" t="s">
        <v>1666</v>
      </c>
      <c r="Q177" s="912">
        <f>Q55</f>
        <v>2076.4251970599826</v>
      </c>
      <c r="R177" s="913">
        <v>0</v>
      </c>
      <c r="S177" s="899">
        <f>Q177+R177</f>
        <v>2076.4251970599826</v>
      </c>
      <c r="T177" s="180"/>
      <c r="U177" s="180"/>
      <c r="V177" s="550"/>
      <c r="W177" s="1657"/>
      <c r="X177" s="1658"/>
      <c r="Y177" s="180"/>
      <c r="Z177" s="180"/>
      <c r="AA177" s="180">
        <v>65</v>
      </c>
      <c r="AB177" s="180"/>
      <c r="AC177" s="550" t="s">
        <v>1666</v>
      </c>
      <c r="AD177" s="1657">
        <v>38.356082273189955</v>
      </c>
      <c r="AE177" s="1658" t="s">
        <v>1653</v>
      </c>
    </row>
    <row r="178" spans="7:31" x14ac:dyDescent="0.2">
      <c r="G178" s="180"/>
      <c r="H178" s="1253"/>
      <c r="I178" s="1253"/>
      <c r="J178" s="180"/>
      <c r="K178" s="180"/>
      <c r="L178" s="180"/>
      <c r="M178" s="180"/>
      <c r="N178" s="901"/>
      <c r="O178" s="898"/>
      <c r="P178" s="896"/>
      <c r="Q178" s="898"/>
      <c r="R178" s="897"/>
      <c r="S178" s="896"/>
      <c r="T178" s="180"/>
      <c r="U178" s="180"/>
      <c r="V178" s="180"/>
      <c r="W178" s="180"/>
      <c r="X178" s="180"/>
      <c r="Y178" s="180"/>
      <c r="Z178" s="180"/>
      <c r="AA178" s="180"/>
      <c r="AB178" s="180"/>
      <c r="AC178" s="180"/>
      <c r="AD178" s="180"/>
      <c r="AE178" s="180"/>
    </row>
    <row r="179" spans="7:31" x14ac:dyDescent="0.2">
      <c r="G179" s="550"/>
      <c r="H179" s="366"/>
      <c r="I179" s="180"/>
      <c r="J179" s="180"/>
      <c r="K179" s="180"/>
      <c r="L179" s="180"/>
      <c r="M179" s="180"/>
      <c r="N179" s="892">
        <v>68</v>
      </c>
      <c r="O179" s="180"/>
      <c r="P179" s="893" t="s">
        <v>1667</v>
      </c>
      <c r="Q179" s="916">
        <f>Q47</f>
        <v>9279.5013949427357</v>
      </c>
      <c r="R179" s="917">
        <f>R47</f>
        <v>1767.6379767657381</v>
      </c>
      <c r="S179" s="895">
        <f>Q179+R179</f>
        <v>11047.139371708474</v>
      </c>
      <c r="T179" s="180"/>
      <c r="U179" s="180"/>
      <c r="V179" s="550"/>
      <c r="W179" s="1657"/>
      <c r="X179" s="1657"/>
      <c r="Y179" s="180"/>
      <c r="Z179" s="180"/>
      <c r="AA179" s="180">
        <v>68</v>
      </c>
      <c r="AB179" s="180"/>
      <c r="AC179" s="550" t="s">
        <v>1667</v>
      </c>
      <c r="AD179" s="1657">
        <v>3025.1203366664568</v>
      </c>
      <c r="AE179" s="1657">
        <v>171.67492882200014</v>
      </c>
    </row>
    <row r="180" spans="7:31" x14ac:dyDescent="0.2">
      <c r="G180" s="550"/>
      <c r="H180" s="180"/>
      <c r="I180" s="180"/>
      <c r="J180" s="180"/>
      <c r="K180" s="180"/>
      <c r="L180" s="180"/>
      <c r="M180" s="180"/>
      <c r="N180" s="892"/>
      <c r="O180" s="180"/>
      <c r="P180" s="902"/>
      <c r="Q180" s="180"/>
      <c r="R180" s="497"/>
      <c r="S180" s="902"/>
      <c r="T180" s="180"/>
      <c r="U180" s="180"/>
      <c r="V180" s="180"/>
      <c r="W180" s="180"/>
      <c r="X180" s="180"/>
      <c r="Y180" s="180"/>
      <c r="Z180" s="180"/>
      <c r="AA180" s="180"/>
      <c r="AB180" s="180"/>
      <c r="AC180" s="180"/>
      <c r="AD180" s="180"/>
      <c r="AE180" s="180"/>
    </row>
    <row r="181" spans="7:31" x14ac:dyDescent="0.2">
      <c r="G181" s="180"/>
      <c r="H181" s="180"/>
      <c r="I181" s="180"/>
      <c r="J181" s="180"/>
      <c r="K181" s="180"/>
      <c r="L181" s="180"/>
      <c r="M181" s="180"/>
      <c r="N181" s="901">
        <v>70</v>
      </c>
      <c r="O181" s="898"/>
      <c r="P181" s="900" t="s">
        <v>1668</v>
      </c>
      <c r="Q181" s="912">
        <f>Q23</f>
        <v>3978.1934446796886</v>
      </c>
      <c r="R181" s="913">
        <v>0</v>
      </c>
      <c r="S181" s="899">
        <f>Q181+R181</f>
        <v>3978.1934446796886</v>
      </c>
      <c r="T181" s="180"/>
      <c r="U181" s="180"/>
      <c r="V181" s="550"/>
      <c r="W181" s="1657"/>
      <c r="X181" s="1658"/>
      <c r="Y181" s="180"/>
      <c r="Z181" s="180"/>
      <c r="AA181" s="180">
        <v>70</v>
      </c>
      <c r="AB181" s="180"/>
      <c r="AC181" s="550" t="s">
        <v>1668</v>
      </c>
      <c r="AD181" s="1657">
        <v>165.55934419696234</v>
      </c>
      <c r="AE181" s="1658" t="s">
        <v>1653</v>
      </c>
    </row>
    <row r="182" spans="7:31" x14ac:dyDescent="0.2">
      <c r="G182" s="180"/>
      <c r="H182" s="180"/>
      <c r="I182" s="180"/>
      <c r="J182" s="180"/>
      <c r="K182" s="180"/>
      <c r="L182" s="180"/>
      <c r="M182" s="180"/>
      <c r="N182" s="901"/>
      <c r="O182" s="898"/>
      <c r="P182" s="896"/>
      <c r="Q182" s="898"/>
      <c r="R182" s="897"/>
      <c r="S182" s="896"/>
      <c r="T182" s="180"/>
      <c r="U182" s="180"/>
      <c r="V182" s="180"/>
      <c r="W182" s="180"/>
      <c r="X182" s="180"/>
      <c r="Y182" s="180"/>
      <c r="Z182" s="180"/>
      <c r="AA182" s="180"/>
      <c r="AB182" s="180"/>
      <c r="AC182" s="180"/>
      <c r="AD182" s="180"/>
      <c r="AE182" s="180"/>
    </row>
    <row r="183" spans="7:31" x14ac:dyDescent="0.2">
      <c r="G183" s="180"/>
      <c r="H183" s="180"/>
      <c r="I183" s="180"/>
      <c r="J183" s="180"/>
      <c r="K183" s="180"/>
      <c r="L183" s="180"/>
      <c r="M183" s="180"/>
      <c r="N183" s="892">
        <v>71</v>
      </c>
      <c r="O183" s="180"/>
      <c r="P183" s="893" t="s">
        <v>1669</v>
      </c>
      <c r="Q183" s="916">
        <f>Q16</f>
        <v>1434.9953635544105</v>
      </c>
      <c r="R183" s="917">
        <f>R16</f>
        <v>3091.109949133885</v>
      </c>
      <c r="S183" s="895">
        <f>Q183+R183</f>
        <v>4526.1053126882953</v>
      </c>
      <c r="T183" s="180"/>
      <c r="U183" s="497"/>
      <c r="V183" s="550"/>
      <c r="W183" s="1657"/>
      <c r="X183" s="1657"/>
      <c r="Y183" s="180"/>
      <c r="Z183" s="180"/>
      <c r="AA183" s="180">
        <v>71</v>
      </c>
      <c r="AB183" s="497"/>
      <c r="AC183" s="550" t="s">
        <v>1669</v>
      </c>
      <c r="AD183" s="1657">
        <v>1158.7032304068862</v>
      </c>
      <c r="AE183" s="1657">
        <v>234.32374245489575</v>
      </c>
    </row>
    <row r="184" spans="7:31" x14ac:dyDescent="0.2">
      <c r="G184" s="180"/>
      <c r="H184" s="180"/>
      <c r="I184" s="180"/>
      <c r="J184" s="180"/>
      <c r="K184" s="180"/>
      <c r="L184" s="180"/>
      <c r="M184" s="180"/>
      <c r="N184" s="892"/>
      <c r="O184" s="180"/>
      <c r="P184" s="902"/>
      <c r="Q184" s="180"/>
      <c r="R184" s="497"/>
      <c r="S184" s="902"/>
      <c r="T184" s="180"/>
      <c r="U184" s="180"/>
      <c r="V184" s="180"/>
      <c r="W184" s="180"/>
      <c r="X184" s="180"/>
      <c r="Y184" s="180"/>
      <c r="Z184" s="180"/>
      <c r="AA184" s="180"/>
      <c r="AB184" s="180"/>
      <c r="AC184" s="180"/>
      <c r="AD184" s="180"/>
      <c r="AE184" s="180"/>
    </row>
    <row r="185" spans="7:31" x14ac:dyDescent="0.2">
      <c r="G185" s="180"/>
      <c r="H185" s="180"/>
      <c r="I185" s="180"/>
      <c r="J185" s="180"/>
      <c r="K185" s="180"/>
      <c r="L185" s="180"/>
      <c r="M185" s="180"/>
      <c r="N185" s="901">
        <v>73</v>
      </c>
      <c r="O185" s="898"/>
      <c r="P185" s="900" t="s">
        <v>1670</v>
      </c>
      <c r="Q185" s="912">
        <f>Q39</f>
        <v>541.25323884819454</v>
      </c>
      <c r="R185" s="913">
        <v>0</v>
      </c>
      <c r="S185" s="899">
        <f>Q185+R185</f>
        <v>541.25323884819454</v>
      </c>
      <c r="T185" s="180"/>
      <c r="U185" s="180"/>
      <c r="V185" s="550"/>
      <c r="W185" s="1657"/>
      <c r="X185" s="1658"/>
      <c r="Y185" s="180"/>
      <c r="Z185" s="180"/>
      <c r="AA185" s="180">
        <v>73</v>
      </c>
      <c r="AB185" s="180"/>
      <c r="AC185" s="550" t="s">
        <v>1670</v>
      </c>
      <c r="AD185" s="1657">
        <v>7.6995624295120884</v>
      </c>
      <c r="AE185" s="1658" t="s">
        <v>1653</v>
      </c>
    </row>
    <row r="186" spans="7:31" x14ac:dyDescent="0.2">
      <c r="G186" s="180"/>
      <c r="H186" s="180"/>
      <c r="I186" s="180"/>
      <c r="J186" s="180"/>
      <c r="K186" s="180"/>
      <c r="L186" s="180"/>
      <c r="M186" s="180"/>
      <c r="N186" s="901"/>
      <c r="O186" s="898"/>
      <c r="P186" s="896"/>
      <c r="Q186" s="898"/>
      <c r="R186" s="897"/>
      <c r="S186" s="896"/>
      <c r="T186" s="180"/>
      <c r="U186" s="180"/>
      <c r="V186" s="180"/>
      <c r="W186" s="180"/>
      <c r="X186" s="180"/>
      <c r="Y186" s="180"/>
      <c r="Z186" s="180"/>
      <c r="AA186" s="180"/>
      <c r="AB186" s="180"/>
      <c r="AC186" s="180"/>
      <c r="AD186" s="180"/>
      <c r="AE186" s="180"/>
    </row>
    <row r="187" spans="7:31" x14ac:dyDescent="0.2">
      <c r="G187" s="180"/>
      <c r="H187" s="180"/>
      <c r="I187" s="180"/>
      <c r="J187" s="180"/>
      <c r="K187" s="180"/>
      <c r="L187" s="180"/>
      <c r="M187" s="180"/>
      <c r="N187" s="892">
        <v>74</v>
      </c>
      <c r="O187" s="180"/>
      <c r="P187" s="893" t="s">
        <v>1671</v>
      </c>
      <c r="Q187" s="916">
        <f>Q33</f>
        <v>255.95823120633452</v>
      </c>
      <c r="R187" s="917">
        <f>R33</f>
        <v>1548.8381604246945</v>
      </c>
      <c r="S187" s="895">
        <f>Q187+R187</f>
        <v>1804.7963916310291</v>
      </c>
      <c r="T187" s="180"/>
      <c r="U187" s="180"/>
      <c r="V187" s="550"/>
      <c r="W187" s="1657"/>
      <c r="X187" s="1657"/>
      <c r="Y187" s="180"/>
      <c r="Z187" s="180"/>
      <c r="AA187" s="180">
        <v>74</v>
      </c>
      <c r="AB187" s="180"/>
      <c r="AC187" s="550" t="s">
        <v>1671</v>
      </c>
      <c r="AD187" s="1657">
        <v>238.74352340606703</v>
      </c>
      <c r="AE187" s="1657">
        <v>77.074680784635802</v>
      </c>
    </row>
    <row r="188" spans="7:31" ht="13.5" thickBot="1" x14ac:dyDescent="0.25">
      <c r="G188" s="180"/>
      <c r="H188" s="180"/>
      <c r="I188" s="180"/>
      <c r="J188" s="180"/>
      <c r="K188" s="180"/>
      <c r="L188" s="180"/>
      <c r="M188" s="180"/>
      <c r="N188" s="891"/>
      <c r="O188" s="645"/>
      <c r="P188" s="714"/>
      <c r="Q188" s="645"/>
      <c r="R188" s="645"/>
      <c r="S188" s="714"/>
      <c r="T188" s="180"/>
      <c r="U188" s="180"/>
      <c r="V188" s="180"/>
      <c r="W188" s="180"/>
      <c r="X188" s="180"/>
      <c r="Y188" s="180"/>
      <c r="Z188" s="180"/>
      <c r="AA188" s="180"/>
      <c r="AB188" s="180"/>
      <c r="AC188" s="180"/>
      <c r="AD188" s="180"/>
      <c r="AE188" s="180"/>
    </row>
    <row r="189" spans="7:31" x14ac:dyDescent="0.2">
      <c r="G189" s="180"/>
      <c r="H189" s="180"/>
      <c r="I189" s="180"/>
      <c r="J189" s="180"/>
      <c r="K189" s="180"/>
      <c r="L189" s="180"/>
      <c r="M189" s="180"/>
      <c r="N189" s="180"/>
      <c r="O189" s="180"/>
      <c r="P189" s="550"/>
      <c r="Q189" s="1657"/>
      <c r="R189" s="1657"/>
      <c r="S189" s="180"/>
      <c r="T189" s="180"/>
      <c r="U189" s="180"/>
      <c r="V189" s="180"/>
      <c r="W189" s="180"/>
      <c r="X189" s="180"/>
      <c r="Y189" s="180"/>
      <c r="Z189" s="180"/>
      <c r="AA189" s="180"/>
      <c r="AB189" s="180"/>
      <c r="AC189" s="180" t="s">
        <v>1672</v>
      </c>
      <c r="AD189" s="1657"/>
      <c r="AE189" s="1657"/>
    </row>
    <row r="191" spans="7:31" x14ac:dyDescent="0.2">
      <c r="G191" s="180"/>
      <c r="H191" s="180"/>
      <c r="I191" s="180"/>
      <c r="J191" s="180"/>
      <c r="K191" s="180"/>
      <c r="L191" s="180"/>
      <c r="M191" s="180"/>
      <c r="N191" s="180"/>
      <c r="O191" s="180"/>
      <c r="P191" s="550"/>
      <c r="Q191" s="1657"/>
      <c r="R191" s="1657"/>
      <c r="S191" s="180"/>
      <c r="T191" s="180"/>
      <c r="U191" s="180"/>
      <c r="V191" s="180"/>
      <c r="W191" s="180"/>
      <c r="X191" s="180"/>
      <c r="Y191" s="180"/>
      <c r="Z191" s="180"/>
      <c r="AA191" s="180"/>
      <c r="AB191" s="180"/>
      <c r="AC191" s="180"/>
      <c r="AD191" s="180"/>
      <c r="AE191" s="180"/>
    </row>
    <row r="193" spans="16:18" x14ac:dyDescent="0.2">
      <c r="P193" s="550"/>
      <c r="Q193" s="1657"/>
      <c r="R193" s="1657"/>
    </row>
    <row r="195" spans="16:18" x14ac:dyDescent="0.2">
      <c r="P195" s="550"/>
      <c r="Q195" s="1657"/>
      <c r="R195" s="1657"/>
    </row>
    <row r="197" spans="16:18" x14ac:dyDescent="0.2">
      <c r="P197" s="550"/>
      <c r="Q197" s="1657"/>
      <c r="R197" s="1657"/>
    </row>
  </sheetData>
  <sheetProtection selectLockedCells="1" selectUnlockedCells="1"/>
  <mergeCells count="13">
    <mergeCell ref="Z86:AB86"/>
    <mergeCell ref="AC86:AD86"/>
    <mergeCell ref="X55:AA55"/>
    <mergeCell ref="J10:K10"/>
    <mergeCell ref="X78:AA78"/>
    <mergeCell ref="X85:AD85"/>
    <mergeCell ref="T150:W150"/>
    <mergeCell ref="J6:K6"/>
    <mergeCell ref="J7:K7"/>
    <mergeCell ref="J8:K8"/>
    <mergeCell ref="J9:K9"/>
    <mergeCell ref="M129:P129"/>
    <mergeCell ref="N148:S149"/>
  </mergeCells>
  <phoneticPr fontId="0" type="noConversion"/>
  <pageMargins left="0.52" right="0.24" top="0.4" bottom="0.51" header="0.4" footer="0.57999999999999996"/>
  <pageSetup scale="70" fitToHeight="0" orientation="portrait" r:id="rId1"/>
  <headerFooter scaleWithDoc="0" alignWithMargins="0">
    <oddFooter>&amp;L&amp;D&amp;C&amp;F&amp;R&amp;T</oddFooter>
  </headerFooter>
  <rowBreaks count="3" manualBreakCount="3">
    <brk id="50" min="21" max="32" man="1"/>
    <brk id="94" min="21" max="32" man="1"/>
    <brk id="127" min="21" max="32" man="1"/>
  </rowBreaks>
  <colBreaks count="1" manualBreakCount="1">
    <brk id="20" max="145" man="1"/>
  </colBreaks>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pageSetUpPr fitToPage="1"/>
  </sheetPr>
  <dimension ref="A1:I47"/>
  <sheetViews>
    <sheetView zoomScale="80" zoomScaleNormal="80" workbookViewId="0">
      <selection activeCell="D34" sqref="D34"/>
    </sheetView>
  </sheetViews>
  <sheetFormatPr defaultRowHeight="12.75" x14ac:dyDescent="0.2"/>
  <cols>
    <col min="1" max="1" width="43.5703125" customWidth="1"/>
    <col min="2" max="2" width="8.5703125" customWidth="1"/>
    <col min="3" max="3" width="15.5703125" customWidth="1"/>
    <col min="4" max="4" width="14.85546875" customWidth="1"/>
    <col min="5" max="6" width="8.5703125" customWidth="1"/>
  </cols>
  <sheetData>
    <row r="1" spans="1:9" ht="15.75" x14ac:dyDescent="0.25">
      <c r="A1" s="1" t="s">
        <v>1673</v>
      </c>
    </row>
    <row r="2" spans="1:9" ht="15" x14ac:dyDescent="0.2">
      <c r="A2" s="2" t="s">
        <v>197</v>
      </c>
    </row>
    <row r="3" spans="1:9" ht="15" x14ac:dyDescent="0.2">
      <c r="A3" s="2" t="s">
        <v>122</v>
      </c>
      <c r="B3" s="157" t="str">
        <f>Input_Harvestnew!$B$3</f>
        <v>bc-Coho2229</v>
      </c>
    </row>
    <row r="4" spans="1:9" ht="27" customHeight="1" x14ac:dyDescent="0.2">
      <c r="A4" s="2" t="s">
        <v>123</v>
      </c>
      <c r="B4" s="2537" t="str">
        <f>Input_Harvestnew!$B$4</f>
        <v>Final PFMC April - Adopted+NOF</v>
      </c>
      <c r="C4" s="2538"/>
      <c r="D4" s="2538"/>
      <c r="E4" s="2120"/>
      <c r="F4" s="2120"/>
    </row>
    <row r="5" spans="1:9" x14ac:dyDescent="0.2">
      <c r="A5" s="505" t="s">
        <v>1674</v>
      </c>
    </row>
    <row r="6" spans="1:9" x14ac:dyDescent="0.2">
      <c r="A6" s="618" t="s">
        <v>1675</v>
      </c>
    </row>
    <row r="7" spans="1:9" ht="15" x14ac:dyDescent="0.2">
      <c r="A7" s="6" t="s">
        <v>125</v>
      </c>
      <c r="C7" s="1596"/>
    </row>
    <row r="8" spans="1:9" x14ac:dyDescent="0.2">
      <c r="A8" s="2173"/>
      <c r="B8" s="2146"/>
      <c r="C8" s="2174" t="s">
        <v>1676</v>
      </c>
      <c r="D8" s="2026"/>
    </row>
    <row r="9" spans="1:9" x14ac:dyDescent="0.2">
      <c r="A9" s="1677" t="s">
        <v>233</v>
      </c>
      <c r="B9" s="1678"/>
      <c r="C9" s="1618" t="s">
        <v>237</v>
      </c>
      <c r="D9" s="1599"/>
      <c r="E9" s="180"/>
      <c r="F9" s="180"/>
    </row>
    <row r="10" spans="1:9" ht="15" x14ac:dyDescent="0.2">
      <c r="A10" s="2175" t="s">
        <v>1677</v>
      </c>
      <c r="B10" s="2176"/>
      <c r="C10" s="2177">
        <f>TRunsPRN!C184</f>
        <v>71943</v>
      </c>
      <c r="D10" s="2026"/>
      <c r="E10" s="553"/>
      <c r="F10" s="553"/>
    </row>
    <row r="11" spans="1:9" ht="15" x14ac:dyDescent="0.2">
      <c r="A11" s="615" t="s">
        <v>1678</v>
      </c>
      <c r="B11" s="616"/>
      <c r="C11" s="100">
        <f>C43/(C10+C43)</f>
        <v>0.14377015817097699</v>
      </c>
      <c r="D11" s="686"/>
      <c r="E11" s="549"/>
      <c r="F11" s="549"/>
    </row>
    <row r="12" spans="1:9" x14ac:dyDescent="0.2">
      <c r="A12" s="1679"/>
      <c r="B12" s="1680"/>
      <c r="C12" s="547"/>
      <c r="D12" s="686"/>
      <c r="E12" s="549" t="s">
        <v>1679</v>
      </c>
      <c r="F12" s="549"/>
    </row>
    <row r="13" spans="1:9" ht="15.75" x14ac:dyDescent="0.25">
      <c r="A13" s="188" t="s">
        <v>1680</v>
      </c>
      <c r="B13" s="1681"/>
      <c r="C13" s="1682">
        <f>SUM(C19:C41)/(C43+C10)</f>
        <v>9.5116813253513913E-2</v>
      </c>
      <c r="D13" s="1683"/>
      <c r="E13" s="1682">
        <f>SUM(C19:C31)/(C43+C10)</f>
        <v>4.7641717148875905E-2</v>
      </c>
      <c r="F13" s="1684"/>
      <c r="I13" t="str">
        <f>IF(LEN(ROUND(C13*100,1))=1,TEXT(ROUND(C13*100,1),"#.0"),ROUND(C13*100,1))&amp;"%("&amp;IF(LEN(ROUND(E13*100,1))=1,TEXT(ROUND(E13*100,1),"#.0"),ROUND(E13*100,1))&amp;"%)"</f>
        <v>9.5%(4.8%)</v>
      </c>
    </row>
    <row r="14" spans="1:9" ht="15" x14ac:dyDescent="0.2">
      <c r="A14" s="2178" t="s">
        <v>129</v>
      </c>
      <c r="B14" s="2146"/>
      <c r="C14" s="2164" t="s">
        <v>436</v>
      </c>
      <c r="D14" s="2032" t="s">
        <v>1681</v>
      </c>
      <c r="E14" s="550"/>
      <c r="F14" s="550"/>
    </row>
    <row r="15" spans="1:9" ht="15" x14ac:dyDescent="0.2">
      <c r="A15" s="612" t="s">
        <v>1682</v>
      </c>
      <c r="B15" s="46"/>
      <c r="C15" s="185">
        <f>SUM(StockSumPRN!B4893:C4917)</f>
        <v>2909</v>
      </c>
      <c r="D15" s="614">
        <f>C15/(C$10+C$43)</f>
        <v>3.4621472692000999E-2</v>
      </c>
      <c r="E15" s="185"/>
      <c r="F15" s="185"/>
    </row>
    <row r="16" spans="1:9" ht="15" x14ac:dyDescent="0.2">
      <c r="A16" s="612" t="s">
        <v>1683</v>
      </c>
      <c r="B16" s="46"/>
      <c r="C16" s="185">
        <f>SUM(StockSumPRN!B4891:C4892)</f>
        <v>993</v>
      </c>
      <c r="D16" s="614">
        <f>C16/(C$10+C$43)</f>
        <v>1.1818192637730145E-2</v>
      </c>
      <c r="E16" s="185"/>
      <c r="F16" s="185"/>
    </row>
    <row r="17" spans="1:6" x14ac:dyDescent="0.2">
      <c r="A17" s="113"/>
      <c r="B17" s="46"/>
      <c r="C17" s="180"/>
      <c r="D17" s="613"/>
      <c r="E17" s="180"/>
      <c r="F17" s="180"/>
    </row>
    <row r="18" spans="1:6" ht="15" x14ac:dyDescent="0.2">
      <c r="A18" s="612" t="s">
        <v>263</v>
      </c>
      <c r="B18" s="46"/>
      <c r="C18" s="186">
        <f>SUM(StockSumPRN!B4918:C4922)</f>
        <v>186</v>
      </c>
      <c r="D18" s="614">
        <f>C18/(C$10+C$43)</f>
        <v>2.2136795877319305E-3</v>
      </c>
      <c r="E18" s="186"/>
      <c r="F18" s="186"/>
    </row>
    <row r="19" spans="1:6" ht="15" x14ac:dyDescent="0.2">
      <c r="A19" s="612" t="s">
        <v>1684</v>
      </c>
      <c r="B19" s="46"/>
      <c r="C19" s="186">
        <f>SUM(StockSumPRN!B4725:C4746,StockSumPRN!B4748:C4756)</f>
        <v>163</v>
      </c>
      <c r="D19" s="614">
        <f>C19/(C$10+C$43)</f>
        <v>1.9399450150554016E-3</v>
      </c>
      <c r="E19" s="186"/>
      <c r="F19" s="186"/>
    </row>
    <row r="20" spans="1:6" ht="15" x14ac:dyDescent="0.2">
      <c r="A20" s="612" t="s">
        <v>266</v>
      </c>
      <c r="B20" s="46"/>
      <c r="C20" s="187"/>
      <c r="D20" s="614"/>
      <c r="E20" s="187"/>
      <c r="F20" s="187"/>
    </row>
    <row r="21" spans="1:6" ht="15" x14ac:dyDescent="0.2">
      <c r="A21" s="612" t="s">
        <v>1685</v>
      </c>
      <c r="B21" s="46"/>
      <c r="C21" s="186">
        <f>SUM(StockSumPRN!B4760:C4760)</f>
        <v>7</v>
      </c>
      <c r="D21" s="614">
        <f t="shared" ref="D21:D31" si="0">C21/(C$10+C$43)</f>
        <v>8.3310522118943621E-5</v>
      </c>
      <c r="E21" s="186"/>
      <c r="F21" s="186"/>
    </row>
    <row r="22" spans="1:6" ht="15" x14ac:dyDescent="0.2">
      <c r="A22" s="612" t="s">
        <v>1686</v>
      </c>
      <c r="B22" s="46"/>
      <c r="C22" s="186">
        <f>SUM(StockSumPRN!B4763:C4763)</f>
        <v>385</v>
      </c>
      <c r="D22" s="614">
        <f t="shared" si="0"/>
        <v>4.5820787165418994E-3</v>
      </c>
      <c r="E22" s="186"/>
      <c r="F22" s="186"/>
    </row>
    <row r="23" spans="1:6" ht="15" x14ac:dyDescent="0.2">
      <c r="A23" s="612" t="s">
        <v>1687</v>
      </c>
      <c r="B23" s="46"/>
      <c r="C23" s="186">
        <f>SUM(StockSumPRN!B4767:C4767)</f>
        <v>2436</v>
      </c>
      <c r="D23" s="614">
        <f t="shared" si="0"/>
        <v>2.8992061697392379E-2</v>
      </c>
      <c r="E23" s="186"/>
      <c r="F23" s="186"/>
    </row>
    <row r="24" spans="1:6" ht="15" x14ac:dyDescent="0.2">
      <c r="A24" s="612" t="s">
        <v>1688</v>
      </c>
      <c r="B24" s="46"/>
      <c r="C24" s="186">
        <f>SUM(StockSumPRN!B4758:C4758)</f>
        <v>11</v>
      </c>
      <c r="D24" s="614">
        <f t="shared" si="0"/>
        <v>1.3091653475833998E-4</v>
      </c>
      <c r="E24" s="186"/>
      <c r="F24" s="186"/>
    </row>
    <row r="25" spans="1:6" ht="15" x14ac:dyDescent="0.2">
      <c r="A25" s="612" t="s">
        <v>1689</v>
      </c>
      <c r="B25" s="46"/>
      <c r="C25" s="186">
        <f>SUM(StockSumPRN!B4759:C4759)</f>
        <v>100</v>
      </c>
      <c r="D25" s="614">
        <f t="shared" si="0"/>
        <v>1.1901503159849089E-3</v>
      </c>
      <c r="E25" s="186"/>
      <c r="F25" s="186"/>
    </row>
    <row r="26" spans="1:6" ht="15" x14ac:dyDescent="0.2">
      <c r="A26" s="612" t="s">
        <v>1690</v>
      </c>
      <c r="B26" s="46"/>
      <c r="C26" s="186">
        <f>SUM(StockSumPRN!B4762:C4762)</f>
        <v>110</v>
      </c>
      <c r="D26" s="614">
        <f t="shared" si="0"/>
        <v>1.3091653475833997E-3</v>
      </c>
      <c r="E26" s="186"/>
      <c r="F26" s="186"/>
    </row>
    <row r="27" spans="1:6" ht="15" x14ac:dyDescent="0.2">
      <c r="A27" s="612" t="s">
        <v>1691</v>
      </c>
      <c r="B27" s="46"/>
      <c r="C27" s="186">
        <f>SUM(StockSumPRN!B4766:C4766)</f>
        <v>57</v>
      </c>
      <c r="D27" s="614">
        <f t="shared" si="0"/>
        <v>6.7838568011139807E-4</v>
      </c>
      <c r="E27" s="186"/>
      <c r="F27" s="186"/>
    </row>
    <row r="28" spans="1:6" ht="15" x14ac:dyDescent="0.2">
      <c r="A28" s="612" t="s">
        <v>1692</v>
      </c>
      <c r="B28" s="46"/>
      <c r="C28" s="186">
        <f>SUM(StockSumPRN!B4747:C4747,StockSumPRN!B4757:C4757)</f>
        <v>53</v>
      </c>
      <c r="D28" s="614">
        <f t="shared" si="0"/>
        <v>6.3077966747200176E-4</v>
      </c>
      <c r="E28" s="186"/>
      <c r="F28" s="186"/>
    </row>
    <row r="29" spans="1:6" ht="15" x14ac:dyDescent="0.2">
      <c r="A29" s="612" t="s">
        <v>1693</v>
      </c>
      <c r="B29" s="46"/>
      <c r="C29" s="186">
        <f>SUM(StockSumPRN!B4761:C4761)</f>
        <v>178</v>
      </c>
      <c r="D29" s="614">
        <f t="shared" si="0"/>
        <v>2.1184675624531376E-3</v>
      </c>
      <c r="E29" s="186"/>
      <c r="F29" s="186"/>
    </row>
    <row r="30" spans="1:6" ht="15" x14ac:dyDescent="0.2">
      <c r="A30" s="612" t="s">
        <v>1694</v>
      </c>
      <c r="B30" s="46"/>
      <c r="C30" s="186">
        <f>SUM(StockSumPRN!B4764:C4764)</f>
        <v>63</v>
      </c>
      <c r="D30" s="614">
        <f t="shared" si="0"/>
        <v>7.497946990704926E-4</v>
      </c>
      <c r="E30" s="186"/>
      <c r="F30" s="186"/>
    </row>
    <row r="31" spans="1:6" ht="15" x14ac:dyDescent="0.2">
      <c r="A31" s="612" t="s">
        <v>1695</v>
      </c>
      <c r="B31" s="46"/>
      <c r="C31" s="186">
        <f>SUM(StockSumPRN!B4765:C4765)</f>
        <v>440</v>
      </c>
      <c r="D31" s="614">
        <f t="shared" si="0"/>
        <v>5.2366613903335989E-3</v>
      </c>
      <c r="E31" s="186"/>
      <c r="F31" s="186"/>
    </row>
    <row r="32" spans="1:6" ht="15" x14ac:dyDescent="0.2">
      <c r="A32" s="612" t="s">
        <v>278</v>
      </c>
      <c r="B32" s="46"/>
      <c r="C32" s="187"/>
      <c r="D32" s="614"/>
      <c r="E32" s="187"/>
      <c r="F32" s="187"/>
    </row>
    <row r="33" spans="1:6" ht="15" x14ac:dyDescent="0.2">
      <c r="A33" s="612" t="s">
        <v>1696</v>
      </c>
      <c r="B33" s="46"/>
      <c r="C33" s="186">
        <f>SUM(StockSumPRN!B4768:C4768,StockSumPRN!B4803:C4805)</f>
        <v>64</v>
      </c>
      <c r="D33" s="614">
        <f t="shared" ref="D33:D41" si="1">C33/(C$10+C$43)</f>
        <v>7.6169620223034171E-4</v>
      </c>
      <c r="E33" s="186"/>
      <c r="F33" s="186"/>
    </row>
    <row r="34" spans="1:6" ht="15" x14ac:dyDescent="0.2">
      <c r="A34" s="612" t="s">
        <v>1697</v>
      </c>
      <c r="B34" s="46"/>
      <c r="C34" s="186">
        <f>SUM(StockSumPRN!B4811:C4811)</f>
        <v>605</v>
      </c>
      <c r="D34" s="614">
        <f t="shared" si="1"/>
        <v>7.2004094117086989E-3</v>
      </c>
      <c r="E34" s="186"/>
      <c r="F34" s="186"/>
    </row>
    <row r="35" spans="1:6" ht="15" x14ac:dyDescent="0.2">
      <c r="A35" s="612" t="s">
        <v>1698</v>
      </c>
      <c r="B35" s="46"/>
      <c r="C35" s="186">
        <f>SUM(StockSumPRN!B4812:C4812)</f>
        <v>585</v>
      </c>
      <c r="D35" s="614">
        <f t="shared" si="1"/>
        <v>6.9623793485117172E-3</v>
      </c>
      <c r="E35" s="186"/>
      <c r="F35" s="186"/>
    </row>
    <row r="36" spans="1:6" ht="15" x14ac:dyDescent="0.2">
      <c r="A36" s="612" t="s">
        <v>1699</v>
      </c>
      <c r="B36" s="46"/>
      <c r="C36" s="186">
        <f>SUM(StockSumPRN!B4815:C4815)</f>
        <v>554</v>
      </c>
      <c r="D36" s="614">
        <f t="shared" si="1"/>
        <v>6.5934327505563954E-3</v>
      </c>
      <c r="E36" s="186"/>
      <c r="F36" s="186"/>
    </row>
    <row r="37" spans="1:6" ht="15" x14ac:dyDescent="0.2">
      <c r="A37" s="964" t="s">
        <v>1700</v>
      </c>
      <c r="B37" s="46"/>
      <c r="C37" s="186">
        <f>SUM(StockSumPRN!B4816:C4816)</f>
        <v>223</v>
      </c>
      <c r="D37" s="614">
        <f t="shared" si="1"/>
        <v>2.6540352046463466E-3</v>
      </c>
      <c r="E37" s="186"/>
      <c r="F37" s="186"/>
    </row>
    <row r="38" spans="1:6" ht="15" x14ac:dyDescent="0.2">
      <c r="A38" s="964" t="s">
        <v>1701</v>
      </c>
      <c r="B38" s="46"/>
      <c r="C38" s="186">
        <f>SUM(StockSumPRN!B4817:C4817)</f>
        <v>711</v>
      </c>
      <c r="D38" s="614">
        <f t="shared" si="1"/>
        <v>8.4619687466527017E-3</v>
      </c>
      <c r="E38" s="186"/>
      <c r="F38" s="186"/>
    </row>
    <row r="39" spans="1:6" ht="15" x14ac:dyDescent="0.2">
      <c r="A39" s="964" t="s">
        <v>1702</v>
      </c>
      <c r="B39" s="46"/>
      <c r="C39" s="186">
        <f>SUM(StockSumPRN!B4830:C4830,StockSumPRN!B4831:C4831,StockSumPRN!B4839:C4839,StockSumPRN!B4842:C4842,StockSumPRN!B4853:C4853,StockSumPRN!B4860:C4860,StockSumPRN!B4876:C4876)</f>
        <v>67</v>
      </c>
      <c r="D39" s="614">
        <f t="shared" si="1"/>
        <v>7.9740071170988891E-4</v>
      </c>
      <c r="E39" s="186"/>
      <c r="F39" s="186"/>
    </row>
    <row r="40" spans="1:6" ht="15" x14ac:dyDescent="0.2">
      <c r="A40" s="612" t="s">
        <v>1703</v>
      </c>
      <c r="B40" s="46"/>
      <c r="C40" s="186">
        <f>SUM(StockSumPRN!B4820:C4821,StockSumPRN!B4825:C4826,StockSumPRN!B4829:C4829,StockSumPRN!B4833:C4834,StockSumPRN!B4843:C4844,StockSumPRN!B4854:C4855,StockSumPRN!B4877:C4878)</f>
        <v>1173</v>
      </c>
      <c r="D40" s="614">
        <f t="shared" si="1"/>
        <v>1.3960463206502981E-2</v>
      </c>
      <c r="E40" s="186"/>
      <c r="F40" s="186"/>
    </row>
    <row r="41" spans="1:6" ht="15" x14ac:dyDescent="0.2">
      <c r="A41" s="964" t="s">
        <v>1704</v>
      </c>
      <c r="B41" s="46"/>
      <c r="C41" s="186">
        <f>SUM(StockSumPRN!B4769:C4802,StockSumPRN!B4806:C4810,StockSumPRN!B4813:C4814,StockSumPRN!B4818:C4819,StockSumPRN!B4822:C4824,StockSumPRN!B4827:C4828,StockSumPRN!B4832:C4832,StockSumPRN!B4835:C4838,StockSumPRN!B4840:C4841,StockSumPRN!B4845:C4852,StockSumPRN!B4856:C4859,StockSumPRN!B4861:C4875,StockSumPRN!B4879:C4890)</f>
        <v>7</v>
      </c>
      <c r="D41" s="614">
        <f t="shared" si="1"/>
        <v>8.3310522118943621E-5</v>
      </c>
      <c r="E41" s="186"/>
      <c r="F41" s="186"/>
    </row>
    <row r="42" spans="1:6" ht="15" x14ac:dyDescent="0.2">
      <c r="A42" s="964"/>
      <c r="B42" s="46"/>
      <c r="C42" s="187"/>
      <c r="D42" s="1685"/>
      <c r="E42" s="187"/>
      <c r="F42" s="187"/>
    </row>
    <row r="43" spans="1:6" ht="15" x14ac:dyDescent="0.2">
      <c r="A43" s="1686" t="s">
        <v>984</v>
      </c>
      <c r="B43" s="1355"/>
      <c r="C43" s="1687">
        <f>SUM(C15:C41)</f>
        <v>12080</v>
      </c>
      <c r="D43" s="1688">
        <f>SUM(D15:D41)</f>
        <v>0.14377015817097696</v>
      </c>
      <c r="E43" s="187"/>
      <c r="F43" s="187"/>
    </row>
    <row r="44" spans="1:6" ht="15" x14ac:dyDescent="0.2">
      <c r="A44" s="6"/>
      <c r="B44" s="114"/>
      <c r="C44" s="114"/>
      <c r="D44" s="114"/>
      <c r="E44" s="114"/>
      <c r="F44" s="114"/>
    </row>
    <row r="45" spans="1:6" x14ac:dyDescent="0.2">
      <c r="A45" s="505" t="s">
        <v>1705</v>
      </c>
    </row>
    <row r="46" spans="1:6" x14ac:dyDescent="0.2">
      <c r="A46" s="505" t="s">
        <v>1706</v>
      </c>
    </row>
    <row r="47" spans="1:6" ht="15" x14ac:dyDescent="0.2">
      <c r="A47" s="6"/>
      <c r="B47" s="6"/>
      <c r="C47" s="6"/>
      <c r="D47" s="6"/>
      <c r="E47" s="6"/>
      <c r="F47" s="6"/>
    </row>
  </sheetData>
  <mergeCells count="1">
    <mergeCell ref="B4:D4"/>
  </mergeCells>
  <phoneticPr fontId="0" type="noConversion"/>
  <pageMargins left="0.7" right="0.25" top="0.79" bottom="1" header="0.62" footer="0.5"/>
  <pageSetup scale="97"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ransitionEvaluation="1" transitionEntry="1" codeName="Sheet17">
    <tabColor theme="6" tint="0.59999389629810485"/>
    <pageSetUpPr fitToPage="1"/>
  </sheetPr>
  <dimension ref="A1:AJ297"/>
  <sheetViews>
    <sheetView zoomScale="60" zoomScaleNormal="60" zoomScaleSheetLayoutView="80" workbookViewId="0">
      <selection activeCell="H4" sqref="H4"/>
    </sheetView>
  </sheetViews>
  <sheetFormatPr defaultColWidth="12.5703125" defaultRowHeight="15" x14ac:dyDescent="0.2"/>
  <cols>
    <col min="1" max="1" width="11.28515625" style="2" customWidth="1"/>
    <col min="2" max="2" width="43" style="2" customWidth="1"/>
    <col min="3" max="3" width="17.85546875" style="2" customWidth="1"/>
    <col min="4" max="4" width="9.28515625" style="2" customWidth="1"/>
    <col min="5" max="5" width="17.140625" style="2" customWidth="1"/>
    <col min="6" max="6" width="9.28515625" style="2" customWidth="1"/>
    <col min="7" max="7" width="17.5703125" style="2" customWidth="1"/>
    <col min="8" max="8" width="144.28515625" style="2" bestFit="1" customWidth="1"/>
    <col min="9" max="9" width="14.28515625" style="2" customWidth="1"/>
    <col min="10" max="10" width="25.5703125" style="2" customWidth="1"/>
    <col min="11" max="11" width="16.140625" style="2" customWidth="1"/>
    <col min="12" max="12" width="12.5703125" style="2" customWidth="1"/>
    <col min="13" max="13" width="14.5703125" style="2" customWidth="1"/>
    <col min="14" max="17" width="12.5703125" style="2"/>
    <col min="18" max="20" width="13.140625" style="2" bestFit="1" customWidth="1"/>
    <col min="21" max="21" width="16.5703125" style="2" bestFit="1" customWidth="1"/>
    <col min="22" max="22" width="64.140625" style="2" bestFit="1" customWidth="1"/>
    <col min="23" max="23" width="33.28515625" style="2" bestFit="1" customWidth="1"/>
    <col min="24" max="24" width="105.5703125" style="2" bestFit="1" customWidth="1"/>
    <col min="25" max="25" width="26" style="2" bestFit="1" customWidth="1"/>
    <col min="26" max="16384" width="12.5703125" style="2"/>
  </cols>
  <sheetData>
    <row r="1" spans="1:25" ht="23.25" x14ac:dyDescent="0.35">
      <c r="A1" s="1938" t="s">
        <v>1707</v>
      </c>
    </row>
    <row r="2" spans="1:25" s="924" customFormat="1" x14ac:dyDescent="0.2">
      <c r="A2" s="2179" t="s">
        <v>1708</v>
      </c>
      <c r="B2" s="2180" t="s">
        <v>297</v>
      </c>
      <c r="G2" s="925"/>
    </row>
    <row r="3" spans="1:25" s="924" customFormat="1" ht="15.75" x14ac:dyDescent="0.2">
      <c r="A3" s="2179" t="s">
        <v>1709</v>
      </c>
      <c r="B3" s="2181" t="str">
        <f>FishSumAllPRN!A5</f>
        <v>bc-Coho2229</v>
      </c>
    </row>
    <row r="4" spans="1:25" s="924" customFormat="1" ht="35.1" customHeight="1" x14ac:dyDescent="0.2">
      <c r="A4" s="2179" t="s">
        <v>1710</v>
      </c>
      <c r="B4" s="2182" t="s">
        <v>7547</v>
      </c>
    </row>
    <row r="5" spans="1:25" ht="15.75" thickBot="1" x14ac:dyDescent="0.25"/>
    <row r="6" spans="1:25" ht="15.75" x14ac:dyDescent="0.25">
      <c r="A6" s="89"/>
      <c r="B6" s="25"/>
      <c r="C6" s="2112" t="s">
        <v>1711</v>
      </c>
      <c r="D6" s="161" t="s">
        <v>1712</v>
      </c>
      <c r="E6" s="25"/>
      <c r="F6" s="161" t="s">
        <v>1713</v>
      </c>
      <c r="G6" s="25"/>
      <c r="H6" s="604"/>
    </row>
    <row r="7" spans="1:25" ht="15.75" x14ac:dyDescent="0.25">
      <c r="A7" s="26"/>
      <c r="C7" s="2106"/>
      <c r="D7" s="860" t="s">
        <v>1714</v>
      </c>
      <c r="F7" s="156" t="s">
        <v>1715</v>
      </c>
      <c r="H7" s="27"/>
    </row>
    <row r="8" spans="1:25" ht="15.75" x14ac:dyDescent="0.25">
      <c r="A8" s="2104"/>
      <c r="B8" s="2106"/>
      <c r="C8"/>
      <c r="D8"/>
      <c r="E8"/>
      <c r="F8"/>
      <c r="G8" s="2106"/>
      <c r="H8" s="28"/>
    </row>
    <row r="9" spans="1:25" ht="15.75" x14ac:dyDescent="0.25">
      <c r="A9" s="2104"/>
      <c r="B9" s="2106"/>
      <c r="C9" s="153" t="s">
        <v>1716</v>
      </c>
      <c r="E9" s="153" t="s">
        <v>1717</v>
      </c>
      <c r="G9"/>
      <c r="H9" s="28"/>
    </row>
    <row r="10" spans="1:25" ht="15.75" x14ac:dyDescent="0.25">
      <c r="A10" s="2104"/>
      <c r="B10" s="2106"/>
      <c r="C10"/>
      <c r="D10"/>
      <c r="E10"/>
      <c r="F10"/>
      <c r="G10" s="2106" t="s">
        <v>616</v>
      </c>
      <c r="H10" s="28"/>
    </row>
    <row r="11" spans="1:25" ht="16.5" thickBot="1" x14ac:dyDescent="0.3">
      <c r="A11" s="23" t="s">
        <v>1718</v>
      </c>
      <c r="B11" s="24" t="s">
        <v>621</v>
      </c>
      <c r="C11" s="24" t="s">
        <v>622</v>
      </c>
      <c r="D11" s="24" t="s">
        <v>1719</v>
      </c>
      <c r="E11" s="24" t="s">
        <v>622</v>
      </c>
      <c r="F11" s="24" t="s">
        <v>1719</v>
      </c>
      <c r="G11" s="24" t="s">
        <v>623</v>
      </c>
      <c r="H11" s="29" t="s">
        <v>624</v>
      </c>
    </row>
    <row r="12" spans="1:25" ht="15.75" x14ac:dyDescent="0.25">
      <c r="A12" s="1" t="s">
        <v>206</v>
      </c>
    </row>
    <row r="13" spans="1:25" ht="15.75" x14ac:dyDescent="0.25">
      <c r="A13" s="861"/>
      <c r="B13" s="861" t="s">
        <v>635</v>
      </c>
      <c r="C13" s="730"/>
      <c r="D13" s="730"/>
      <c r="E13" s="730"/>
      <c r="F13" s="730"/>
      <c r="G13" s="730"/>
      <c r="H13" s="730"/>
      <c r="T13" s="2140" t="s">
        <v>1720</v>
      </c>
      <c r="U13" s="2132"/>
      <c r="V13" s="2183"/>
      <c r="W13" s="2183"/>
      <c r="X13" s="2183"/>
      <c r="Y13" s="2033"/>
    </row>
    <row r="14" spans="1:25" ht="15.75" x14ac:dyDescent="0.25">
      <c r="B14" s="7" t="s">
        <v>650</v>
      </c>
      <c r="C14" s="2396" t="s">
        <v>7494</v>
      </c>
      <c r="D14" s="1451"/>
      <c r="E14" s="2184" t="s">
        <v>1721</v>
      </c>
      <c r="F14" s="729"/>
      <c r="G14" s="730"/>
      <c r="H14" s="731"/>
      <c r="T14" s="779" t="s">
        <v>970</v>
      </c>
      <c r="U14" s="157"/>
      <c r="V14" s="780" t="s">
        <v>1722</v>
      </c>
      <c r="W14" s="772"/>
      <c r="X14" s="780" t="s">
        <v>1723</v>
      </c>
      <c r="Y14" s="781"/>
    </row>
    <row r="15" spans="1:25" x14ac:dyDescent="0.2">
      <c r="B15" s="2" t="s">
        <v>653</v>
      </c>
      <c r="C15" s="730"/>
      <c r="D15" s="732"/>
      <c r="E15" s="730"/>
      <c r="F15" s="732"/>
      <c r="G15" s="730"/>
      <c r="H15" s="730"/>
      <c r="T15" s="773" t="s">
        <v>1724</v>
      </c>
      <c r="U15" s="1495" t="s">
        <v>1725</v>
      </c>
      <c r="V15" s="782" t="s">
        <v>1726</v>
      </c>
      <c r="W15" s="791" t="s">
        <v>1719</v>
      </c>
      <c r="X15" s="782" t="s">
        <v>1726</v>
      </c>
      <c r="Y15" s="798" t="s">
        <v>1719</v>
      </c>
    </row>
    <row r="16" spans="1:25" x14ac:dyDescent="0.2">
      <c r="B16" s="7" t="s">
        <v>655</v>
      </c>
      <c r="C16" s="2397">
        <v>0</v>
      </c>
      <c r="D16" s="733">
        <v>3</v>
      </c>
      <c r="E16" s="1432">
        <v>0</v>
      </c>
      <c r="F16" s="733">
        <v>3</v>
      </c>
      <c r="G16" s="730" t="str">
        <f>IF(F16=1,"Catch",(IF(F16=3,"%TAA","%ETRS")))</f>
        <v>%TAA</v>
      </c>
      <c r="H16" s="2399" t="s">
        <v>1727</v>
      </c>
      <c r="T16" s="770">
        <v>80</v>
      </c>
      <c r="U16" s="771" t="s">
        <v>1728</v>
      </c>
      <c r="V16" s="804">
        <v>-99</v>
      </c>
      <c r="W16" s="805">
        <v>-99</v>
      </c>
      <c r="X16" s="804">
        <v>-99</v>
      </c>
      <c r="Y16" s="806">
        <v>-99</v>
      </c>
    </row>
    <row r="17" spans="1:25" x14ac:dyDescent="0.2">
      <c r="B17" s="7" t="s">
        <v>658</v>
      </c>
      <c r="C17" s="2397">
        <v>0</v>
      </c>
      <c r="D17" s="733">
        <v>3</v>
      </c>
      <c r="E17" s="2186">
        <v>0</v>
      </c>
      <c r="F17" s="733">
        <v>3</v>
      </c>
      <c r="G17" s="730" t="str">
        <f t="shared" ref="G17:G22" si="0">IF(F17=1,"Catch",(IF(F17=3,"%TAA","%ETRS")))</f>
        <v>%TAA</v>
      </c>
      <c r="H17" s="2400" t="s">
        <v>1729</v>
      </c>
      <c r="T17" s="770">
        <v>81</v>
      </c>
      <c r="U17" s="771" t="s">
        <v>1730</v>
      </c>
      <c r="V17" s="804">
        <v>-99</v>
      </c>
      <c r="W17" s="805">
        <v>-99</v>
      </c>
      <c r="X17" s="804">
        <v>-99</v>
      </c>
      <c r="Y17" s="806">
        <v>-99</v>
      </c>
    </row>
    <row r="18" spans="1:25" x14ac:dyDescent="0.2">
      <c r="A18" s="505" t="s">
        <v>1731</v>
      </c>
      <c r="B18" s="721" t="s">
        <v>659</v>
      </c>
      <c r="C18" s="2397">
        <v>0</v>
      </c>
      <c r="D18" s="733">
        <v>3</v>
      </c>
      <c r="E18" s="2186">
        <v>0</v>
      </c>
      <c r="F18" s="733">
        <v>3</v>
      </c>
      <c r="G18" s="730" t="str">
        <f t="shared" si="0"/>
        <v>%TAA</v>
      </c>
      <c r="H18" s="2399" t="s">
        <v>1732</v>
      </c>
      <c r="T18" s="774">
        <v>82</v>
      </c>
      <c r="U18" s="775" t="s">
        <v>1733</v>
      </c>
      <c r="V18" s="783" t="s">
        <v>1734</v>
      </c>
      <c r="W18" s="792" t="s">
        <v>1735</v>
      </c>
      <c r="X18" s="783" t="s">
        <v>1736</v>
      </c>
      <c r="Y18" s="799" t="s">
        <v>1737</v>
      </c>
    </row>
    <row r="19" spans="1:25" x14ac:dyDescent="0.2">
      <c r="B19" s="7" t="s">
        <v>660</v>
      </c>
      <c r="C19" s="2398">
        <v>5.1741203170050185E-3</v>
      </c>
      <c r="D19" s="733">
        <v>3</v>
      </c>
      <c r="E19" s="2187">
        <v>2.406307701246467E-3</v>
      </c>
      <c r="F19" s="733">
        <v>3</v>
      </c>
      <c r="G19" s="730" t="str">
        <f t="shared" si="0"/>
        <v>%TAA</v>
      </c>
      <c r="H19" s="2396" t="s">
        <v>7495</v>
      </c>
      <c r="T19" s="774">
        <v>83</v>
      </c>
      <c r="U19" t="s">
        <v>1738</v>
      </c>
      <c r="V19" s="783" t="s">
        <v>1739</v>
      </c>
      <c r="W19" s="792" t="s">
        <v>1740</v>
      </c>
      <c r="X19" s="783" t="s">
        <v>1741</v>
      </c>
      <c r="Y19" s="799" t="s">
        <v>1742</v>
      </c>
    </row>
    <row r="20" spans="1:25" x14ac:dyDescent="0.2">
      <c r="B20" s="7" t="s">
        <v>662</v>
      </c>
      <c r="C20" s="2185">
        <v>0</v>
      </c>
      <c r="D20" s="733">
        <v>3</v>
      </c>
      <c r="E20" s="2186">
        <v>0</v>
      </c>
      <c r="F20" s="733">
        <v>3</v>
      </c>
      <c r="G20" s="730" t="str">
        <f t="shared" si="0"/>
        <v>%TAA</v>
      </c>
      <c r="H20" s="2400" t="s">
        <v>1743</v>
      </c>
      <c r="T20" s="774">
        <v>84</v>
      </c>
      <c r="U20" t="s">
        <v>1744</v>
      </c>
      <c r="V20" s="784"/>
      <c r="W20" s="793"/>
      <c r="X20" s="783" t="s">
        <v>1745</v>
      </c>
      <c r="Y20" s="799" t="s">
        <v>1746</v>
      </c>
    </row>
    <row r="21" spans="1:25" x14ac:dyDescent="0.2">
      <c r="B21" s="7" t="s">
        <v>663</v>
      </c>
      <c r="C21" s="2185">
        <v>0</v>
      </c>
      <c r="D21" s="733">
        <v>3</v>
      </c>
      <c r="E21" s="2188">
        <v>0</v>
      </c>
      <c r="F21" s="733">
        <v>3</v>
      </c>
      <c r="G21" s="730" t="str">
        <f t="shared" si="0"/>
        <v>%TAA</v>
      </c>
      <c r="H21" s="2400" t="s">
        <v>1743</v>
      </c>
      <c r="T21" s="774">
        <v>85</v>
      </c>
      <c r="U21" t="s">
        <v>1747</v>
      </c>
      <c r="V21" s="784"/>
      <c r="W21" s="793"/>
      <c r="X21" s="783" t="s">
        <v>1748</v>
      </c>
      <c r="Y21" s="799" t="s">
        <v>1749</v>
      </c>
    </row>
    <row r="22" spans="1:25" x14ac:dyDescent="0.2">
      <c r="B22" s="7" t="s">
        <v>665</v>
      </c>
      <c r="C22" s="878"/>
      <c r="D22" s="733"/>
      <c r="E22" s="2087">
        <v>4.0138572101312535</v>
      </c>
      <c r="F22" s="733">
        <v>1</v>
      </c>
      <c r="G22" s="730" t="str">
        <f t="shared" si="0"/>
        <v>Catch</v>
      </c>
      <c r="H22" s="2400" t="s">
        <v>1750</v>
      </c>
      <c r="T22" s="774">
        <v>86</v>
      </c>
      <c r="U22" t="s">
        <v>1751</v>
      </c>
      <c r="V22" s="784"/>
      <c r="W22" s="794"/>
      <c r="X22" s="783" t="s">
        <v>1752</v>
      </c>
      <c r="Y22" s="781" t="s">
        <v>1753</v>
      </c>
    </row>
    <row r="23" spans="1:25" x14ac:dyDescent="0.2">
      <c r="C23" s="730"/>
      <c r="D23" s="733"/>
      <c r="E23" s="735"/>
      <c r="F23" s="733"/>
      <c r="G23" s="730"/>
      <c r="H23" s="731"/>
      <c r="J23" s="2" t="s">
        <v>1754</v>
      </c>
      <c r="T23" s="770">
        <v>87</v>
      </c>
      <c r="U23" s="771" t="s">
        <v>1755</v>
      </c>
      <c r="V23" s="804">
        <v>-99</v>
      </c>
      <c r="W23" s="805">
        <v>-99</v>
      </c>
      <c r="X23" s="804">
        <v>-99</v>
      </c>
      <c r="Y23" s="806">
        <v>-99</v>
      </c>
    </row>
    <row r="24" spans="1:25" x14ac:dyDescent="0.2">
      <c r="B24" s="2" t="s">
        <v>1756</v>
      </c>
      <c r="C24" s="730"/>
      <c r="D24" s="733"/>
      <c r="E24" s="735"/>
      <c r="F24" s="733"/>
      <c r="G24" s="730"/>
      <c r="H24" s="730"/>
      <c r="T24" s="770">
        <v>88</v>
      </c>
      <c r="U24" s="771" t="s">
        <v>1757</v>
      </c>
      <c r="V24" s="804">
        <v>-99</v>
      </c>
      <c r="W24" s="805">
        <v>-99</v>
      </c>
      <c r="X24" s="804">
        <v>-99</v>
      </c>
      <c r="Y24" s="806">
        <v>-99</v>
      </c>
    </row>
    <row r="25" spans="1:25" ht="31.5" customHeight="1" x14ac:dyDescent="0.25">
      <c r="B25" s="7" t="s">
        <v>1758</v>
      </c>
      <c r="C25" s="878"/>
      <c r="D25" s="734"/>
      <c r="E25" s="2189">
        <f>L27</f>
        <v>0</v>
      </c>
      <c r="F25" s="733">
        <v>1</v>
      </c>
      <c r="G25" s="730" t="str">
        <f>IF(F25=1,"Catch",(IF(F25=3,"%TAA","%ETRS")))</f>
        <v>Catch</v>
      </c>
      <c r="H25" s="2399" t="s">
        <v>1759</v>
      </c>
      <c r="J25" s="2" t="s">
        <v>1760</v>
      </c>
      <c r="K25" s="969">
        <f>TRunsPRN!D37</f>
        <v>87033.365281564315</v>
      </c>
      <c r="T25" s="774">
        <v>89</v>
      </c>
      <c r="U25" t="s">
        <v>1761</v>
      </c>
      <c r="V25" s="784"/>
      <c r="W25" s="794"/>
      <c r="X25" s="784"/>
      <c r="Y25" s="800"/>
    </row>
    <row r="26" spans="1:25" ht="15.75" x14ac:dyDescent="0.25">
      <c r="B26" s="7" t="s">
        <v>676</v>
      </c>
      <c r="C26" s="878"/>
      <c r="D26" s="733"/>
      <c r="E26" s="2190">
        <f>L28</f>
        <v>0.22068010680261854</v>
      </c>
      <c r="F26" s="733">
        <v>1</v>
      </c>
      <c r="G26" s="730" t="str">
        <f t="shared" ref="G26:G32" si="1">IF(F26=1,"Catch",(IF(F26=3,"%TAA","%ETRS")))</f>
        <v>Catch</v>
      </c>
      <c r="H26" s="2396" t="s">
        <v>1762</v>
      </c>
      <c r="K26" s="7" t="s">
        <v>1763</v>
      </c>
      <c r="L26" s="7" t="s">
        <v>1124</v>
      </c>
      <c r="T26" s="774">
        <v>90</v>
      </c>
      <c r="U26" t="s">
        <v>1764</v>
      </c>
      <c r="V26" s="784"/>
      <c r="W26" s="794"/>
      <c r="X26" s="783" t="s">
        <v>1765</v>
      </c>
      <c r="Y26" s="781" t="s">
        <v>1766</v>
      </c>
    </row>
    <row r="27" spans="1:25" ht="15.75" x14ac:dyDescent="0.25">
      <c r="A27" s="505" t="s">
        <v>1767</v>
      </c>
      <c r="B27" s="721" t="s">
        <v>679</v>
      </c>
      <c r="C27" s="878"/>
      <c r="D27" s="733"/>
      <c r="E27" s="2189">
        <f>L29</f>
        <v>0</v>
      </c>
      <c r="F27" s="733">
        <v>1</v>
      </c>
      <c r="G27" s="730" t="str">
        <f t="shared" si="1"/>
        <v>Catch</v>
      </c>
      <c r="H27" s="2399" t="s">
        <v>1768</v>
      </c>
      <c r="J27" s="2" t="s">
        <v>1769</v>
      </c>
      <c r="K27" s="759">
        <v>0</v>
      </c>
      <c r="L27" s="1127">
        <f t="shared" ref="L27:L32" si="2">K27*K$25</f>
        <v>0</v>
      </c>
      <c r="T27" s="770">
        <v>91</v>
      </c>
      <c r="U27" s="771" t="s">
        <v>1770</v>
      </c>
      <c r="V27" s="804">
        <v>-99</v>
      </c>
      <c r="W27" s="805">
        <v>-99</v>
      </c>
      <c r="X27" s="804">
        <v>-99</v>
      </c>
      <c r="Y27" s="806">
        <v>-99</v>
      </c>
    </row>
    <row r="28" spans="1:25" ht="19.5" customHeight="1" x14ac:dyDescent="0.2">
      <c r="B28" s="7" t="s">
        <v>680</v>
      </c>
      <c r="C28" s="878"/>
      <c r="D28" s="733"/>
      <c r="E28" s="2185">
        <v>0</v>
      </c>
      <c r="F28" s="733">
        <v>1</v>
      </c>
      <c r="G28" s="730" t="str">
        <f t="shared" si="1"/>
        <v>Catch</v>
      </c>
      <c r="H28" s="2401" t="s">
        <v>774</v>
      </c>
      <c r="J28" s="2" t="s">
        <v>1771</v>
      </c>
      <c r="K28" s="2052">
        <v>2.5355805338411257E-6</v>
      </c>
      <c r="L28" s="1127">
        <f>K28*K$25</f>
        <v>0.22068010680261854</v>
      </c>
      <c r="T28" s="770">
        <v>92</v>
      </c>
      <c r="U28" s="771" t="s">
        <v>1772</v>
      </c>
      <c r="V28" s="804">
        <v>-99</v>
      </c>
      <c r="W28" s="805">
        <v>-99</v>
      </c>
      <c r="X28" s="804">
        <v>-99</v>
      </c>
      <c r="Y28" s="806">
        <v>-99</v>
      </c>
    </row>
    <row r="29" spans="1:25" ht="15.75" x14ac:dyDescent="0.25">
      <c r="B29" s="7" t="s">
        <v>683</v>
      </c>
      <c r="C29" s="878"/>
      <c r="D29" s="733"/>
      <c r="E29" s="2190">
        <f>L34</f>
        <v>15259.640111418277</v>
      </c>
      <c r="F29" s="733">
        <v>1</v>
      </c>
      <c r="G29" s="730" t="str">
        <f t="shared" si="1"/>
        <v>Catch</v>
      </c>
      <c r="H29" s="2396" t="s">
        <v>7496</v>
      </c>
      <c r="J29" s="2" t="s">
        <v>1773</v>
      </c>
      <c r="K29" s="759">
        <v>0</v>
      </c>
      <c r="L29" s="1127">
        <f t="shared" si="2"/>
        <v>0</v>
      </c>
      <c r="T29" s="770">
        <v>93</v>
      </c>
      <c r="U29" s="771" t="s">
        <v>1774</v>
      </c>
      <c r="V29" s="804">
        <v>-99</v>
      </c>
      <c r="W29" s="805">
        <v>-99</v>
      </c>
      <c r="X29" s="804">
        <v>-99</v>
      </c>
      <c r="Y29" s="806">
        <v>-99</v>
      </c>
    </row>
    <row r="30" spans="1:25" ht="15.75" x14ac:dyDescent="0.25">
      <c r="B30" s="7" t="s">
        <v>684</v>
      </c>
      <c r="C30" s="878"/>
      <c r="D30" s="733"/>
      <c r="E30" s="2189">
        <f>L30</f>
        <v>0</v>
      </c>
      <c r="F30" s="733">
        <v>1</v>
      </c>
      <c r="G30" s="730" t="str">
        <f t="shared" si="1"/>
        <v>Catch</v>
      </c>
      <c r="H30" s="2191" t="s">
        <v>1775</v>
      </c>
      <c r="J30" s="2" t="s">
        <v>1776</v>
      </c>
      <c r="K30" s="759">
        <v>0</v>
      </c>
      <c r="L30" s="1127">
        <f t="shared" si="2"/>
        <v>0</v>
      </c>
      <c r="T30" s="774">
        <v>94</v>
      </c>
      <c r="U30" t="s">
        <v>1777</v>
      </c>
      <c r="V30" s="784"/>
      <c r="W30" s="794"/>
      <c r="X30" s="783" t="s">
        <v>1778</v>
      </c>
      <c r="Y30" s="781" t="s">
        <v>1779</v>
      </c>
    </row>
    <row r="31" spans="1:25" ht="15.75" x14ac:dyDescent="0.25">
      <c r="B31" s="7" t="s">
        <v>685</v>
      </c>
      <c r="C31" s="878"/>
      <c r="D31" s="733"/>
      <c r="E31" s="2189">
        <f>L31</f>
        <v>0</v>
      </c>
      <c r="F31" s="733">
        <v>1</v>
      </c>
      <c r="G31" s="730" t="str">
        <f t="shared" si="1"/>
        <v>Catch</v>
      </c>
      <c r="H31" s="2191" t="s">
        <v>1780</v>
      </c>
      <c r="J31" s="2" t="s">
        <v>1781</v>
      </c>
      <c r="K31" s="759">
        <v>0</v>
      </c>
      <c r="L31" s="1127">
        <f t="shared" si="2"/>
        <v>0</v>
      </c>
      <c r="T31" s="774">
        <v>95</v>
      </c>
      <c r="U31" t="s">
        <v>1782</v>
      </c>
      <c r="V31" s="784"/>
      <c r="W31" s="794"/>
      <c r="X31" s="783" t="s">
        <v>1783</v>
      </c>
      <c r="Y31" s="781" t="s">
        <v>1784</v>
      </c>
    </row>
    <row r="32" spans="1:25" ht="36" customHeight="1" x14ac:dyDescent="0.25">
      <c r="B32" s="7" t="s">
        <v>686</v>
      </c>
      <c r="C32" s="878"/>
      <c r="D32" s="734"/>
      <c r="E32" s="2192">
        <f>L35</f>
        <v>1951.8528889732486</v>
      </c>
      <c r="F32" s="733">
        <v>1</v>
      </c>
      <c r="G32" s="730" t="str">
        <f t="shared" si="1"/>
        <v>Catch</v>
      </c>
      <c r="H32" s="2193" t="s">
        <v>1785</v>
      </c>
      <c r="J32" s="2" t="s">
        <v>1786</v>
      </c>
      <c r="K32" s="2402">
        <v>0.17188396729256517</v>
      </c>
      <c r="L32" s="1127">
        <f t="shared" si="2"/>
        <v>14959.640111418277</v>
      </c>
      <c r="T32" s="774">
        <v>96</v>
      </c>
      <c r="U32" s="776" t="s">
        <v>1274</v>
      </c>
      <c r="V32" s="783" t="s">
        <v>1787</v>
      </c>
      <c r="W32" s="772" t="s">
        <v>1788</v>
      </c>
      <c r="X32" s="783" t="s">
        <v>1789</v>
      </c>
      <c r="Y32" s="781" t="s">
        <v>1790</v>
      </c>
    </row>
    <row r="33" spans="1:25" ht="15.6" customHeight="1" x14ac:dyDescent="0.25">
      <c r="D33" s="34"/>
      <c r="E33" s="184"/>
      <c r="F33" s="183"/>
      <c r="H33" s="504"/>
      <c r="J33" s="2" t="s">
        <v>1791</v>
      </c>
      <c r="K33" s="2" t="s">
        <v>1792</v>
      </c>
      <c r="L33" s="2080">
        <v>300</v>
      </c>
      <c r="T33" s="774">
        <v>97</v>
      </c>
      <c r="U33" t="s">
        <v>1277</v>
      </c>
      <c r="V33" s="783" t="s">
        <v>1793</v>
      </c>
      <c r="W33" s="772" t="s">
        <v>1794</v>
      </c>
      <c r="X33" s="783" t="s">
        <v>1795</v>
      </c>
      <c r="Y33" s="781" t="s">
        <v>1796</v>
      </c>
    </row>
    <row r="34" spans="1:25" ht="15.75" x14ac:dyDescent="0.25">
      <c r="A34" s="768"/>
      <c r="B34" s="835" t="s">
        <v>687</v>
      </c>
      <c r="C34" s="768"/>
      <c r="D34" s="826"/>
      <c r="E34" s="768"/>
      <c r="F34" s="826"/>
      <c r="G34" s="768"/>
      <c r="H34" s="827"/>
      <c r="J34" s="2" t="s">
        <v>1797</v>
      </c>
      <c r="L34" s="1127">
        <f>SUM(L32:L33)</f>
        <v>15259.640111418277</v>
      </c>
      <c r="T34" s="774">
        <v>98</v>
      </c>
      <c r="U34" t="s">
        <v>1798</v>
      </c>
      <c r="V34" s="785"/>
      <c r="W34" s="795"/>
      <c r="X34" s="783" t="s">
        <v>1799</v>
      </c>
      <c r="Y34" s="781" t="s">
        <v>1800</v>
      </c>
    </row>
    <row r="35" spans="1:25" ht="15.75" x14ac:dyDescent="0.25">
      <c r="B35" s="7" t="s">
        <v>650</v>
      </c>
      <c r="C35" s="2194" t="s">
        <v>1801</v>
      </c>
      <c r="D35" s="824"/>
      <c r="E35" s="2194" t="s">
        <v>1801</v>
      </c>
      <c r="F35" s="825"/>
      <c r="G35" s="768"/>
      <c r="H35" s="768"/>
      <c r="J35" s="2" t="s">
        <v>1802</v>
      </c>
      <c r="K35" s="2052">
        <v>2.2426489917501746E-2</v>
      </c>
      <c r="L35" s="1127">
        <f>K35*K$25</f>
        <v>1951.8528889732486</v>
      </c>
      <c r="T35" s="774">
        <v>99</v>
      </c>
      <c r="U35" t="s">
        <v>1803</v>
      </c>
      <c r="V35" s="784"/>
      <c r="W35" s="794"/>
      <c r="X35" s="783" t="s">
        <v>1804</v>
      </c>
      <c r="Y35" s="781" t="s">
        <v>1805</v>
      </c>
    </row>
    <row r="36" spans="1:25" x14ac:dyDescent="0.2">
      <c r="A36" s="505" t="s">
        <v>1806</v>
      </c>
      <c r="B36" s="721" t="s">
        <v>1807</v>
      </c>
      <c r="C36" s="2195">
        <v>0</v>
      </c>
      <c r="D36" s="825">
        <v>3</v>
      </c>
      <c r="E36" s="2195">
        <v>0</v>
      </c>
      <c r="F36" s="825">
        <v>3</v>
      </c>
      <c r="G36" s="768" t="str">
        <f>IF(F36=1,"Catch",(IF(F36=3,"%TAA","%ETRS")))</f>
        <v>%TAA</v>
      </c>
      <c r="H36" s="2196"/>
      <c r="T36" s="774">
        <v>100</v>
      </c>
      <c r="U36" t="s">
        <v>1808</v>
      </c>
      <c r="V36" s="784"/>
      <c r="W36" s="794"/>
      <c r="X36" s="783" t="s">
        <v>1809</v>
      </c>
      <c r="Y36" s="781" t="s">
        <v>1810</v>
      </c>
    </row>
    <row r="37" spans="1:25" x14ac:dyDescent="0.2">
      <c r="B37" s="7" t="s">
        <v>1811</v>
      </c>
      <c r="C37" s="1941">
        <v>0</v>
      </c>
      <c r="D37" s="825">
        <v>3</v>
      </c>
      <c r="E37" s="1941">
        <v>0</v>
      </c>
      <c r="F37" s="825">
        <v>3</v>
      </c>
      <c r="G37" s="768" t="str">
        <f t="shared" ref="G37:G39" si="3">IF(F37=1,"Catch",(IF(F37=3,"%TAA","%ETRS")))</f>
        <v>%TAA</v>
      </c>
      <c r="H37" s="2197" t="s">
        <v>1812</v>
      </c>
      <c r="T37" s="774">
        <v>101</v>
      </c>
      <c r="U37" s="775" t="s">
        <v>1813</v>
      </c>
      <c r="V37" s="786" t="s">
        <v>1814</v>
      </c>
      <c r="W37" s="772" t="s">
        <v>1815</v>
      </c>
      <c r="X37" s="783" t="s">
        <v>1816</v>
      </c>
      <c r="Y37" s="781" t="s">
        <v>1817</v>
      </c>
    </row>
    <row r="38" spans="1:25" x14ac:dyDescent="0.2">
      <c r="B38" s="7" t="s">
        <v>1818</v>
      </c>
      <c r="C38" s="1941">
        <v>0</v>
      </c>
      <c r="D38" s="825">
        <v>3</v>
      </c>
      <c r="E38" s="1941">
        <v>0</v>
      </c>
      <c r="F38" s="825">
        <v>3</v>
      </c>
      <c r="G38" s="768" t="str">
        <f t="shared" si="3"/>
        <v>%TAA</v>
      </c>
      <c r="H38" s="2197" t="s">
        <v>1812</v>
      </c>
      <c r="T38" s="774">
        <v>102</v>
      </c>
      <c r="U38" t="s">
        <v>1819</v>
      </c>
      <c r="V38" s="783" t="s">
        <v>1820</v>
      </c>
      <c r="W38" s="792" t="s">
        <v>1821</v>
      </c>
      <c r="X38" s="783" t="s">
        <v>1822</v>
      </c>
      <c r="Y38" s="799" t="s">
        <v>1823</v>
      </c>
    </row>
    <row r="39" spans="1:25" x14ac:dyDescent="0.2">
      <c r="B39" s="7" t="s">
        <v>1824</v>
      </c>
      <c r="C39" s="1941">
        <v>0</v>
      </c>
      <c r="D39" s="825">
        <v>3</v>
      </c>
      <c r="E39" s="1941">
        <v>0</v>
      </c>
      <c r="F39" s="825">
        <v>3</v>
      </c>
      <c r="G39" s="768" t="str">
        <f t="shared" si="3"/>
        <v>%TAA</v>
      </c>
      <c r="H39" s="2196" t="s">
        <v>1825</v>
      </c>
      <c r="T39" s="774">
        <v>103</v>
      </c>
      <c r="U39" t="s">
        <v>1826</v>
      </c>
      <c r="V39" s="784"/>
      <c r="W39" s="793"/>
      <c r="X39" s="783" t="s">
        <v>1827</v>
      </c>
      <c r="Y39" s="799" t="s">
        <v>1828</v>
      </c>
    </row>
    <row r="40" spans="1:25" ht="15.75" x14ac:dyDescent="0.25">
      <c r="B40" s="31" t="s">
        <v>1829</v>
      </c>
      <c r="C40" s="941"/>
      <c r="D40" s="825"/>
      <c r="E40" s="2198">
        <f>E280</f>
        <v>3189.66448184604</v>
      </c>
      <c r="F40" s="825">
        <v>1</v>
      </c>
      <c r="G40" s="768" t="str">
        <f t="shared" ref="G40:G42" si="4">IF(F40=1,"Catch",(IF(F40=3,"%TAA","%ETRS")))</f>
        <v>Catch</v>
      </c>
      <c r="H40" s="2199"/>
      <c r="T40" s="774">
        <v>104</v>
      </c>
      <c r="U40" t="s">
        <v>1830</v>
      </c>
      <c r="V40" s="784"/>
      <c r="W40" s="793"/>
      <c r="X40" s="783" t="s">
        <v>1831</v>
      </c>
      <c r="Y40" s="799" t="s">
        <v>1832</v>
      </c>
    </row>
    <row r="41" spans="1:25" ht="30.75" x14ac:dyDescent="0.25">
      <c r="B41" s="31" t="s">
        <v>1833</v>
      </c>
      <c r="C41" s="941"/>
      <c r="D41" s="825"/>
      <c r="E41" s="2200">
        <f>D280</f>
        <v>0.35827110200000001</v>
      </c>
      <c r="F41" s="825"/>
      <c r="G41" s="768" t="s">
        <v>1834</v>
      </c>
      <c r="H41" s="2191" t="s">
        <v>1835</v>
      </c>
      <c r="T41" s="774">
        <v>105</v>
      </c>
      <c r="U41" t="s">
        <v>1836</v>
      </c>
      <c r="V41" s="784"/>
      <c r="W41" s="793"/>
      <c r="X41" s="783" t="s">
        <v>1837</v>
      </c>
      <c r="Y41" s="799" t="s">
        <v>1838</v>
      </c>
    </row>
    <row r="42" spans="1:25" ht="30.75" x14ac:dyDescent="0.25">
      <c r="B42" s="2" t="s">
        <v>1839</v>
      </c>
      <c r="C42" s="768"/>
      <c r="D42" s="825"/>
      <c r="E42" s="2198">
        <f>E279</f>
        <v>5713.2709322584442</v>
      </c>
      <c r="F42" s="825">
        <v>1</v>
      </c>
      <c r="G42" s="768" t="str">
        <f t="shared" si="4"/>
        <v>Catch</v>
      </c>
      <c r="H42" s="2191" t="s">
        <v>1840</v>
      </c>
      <c r="T42" s="770">
        <v>106</v>
      </c>
      <c r="U42" s="771" t="s">
        <v>1841</v>
      </c>
      <c r="V42" s="804">
        <v>-99</v>
      </c>
      <c r="W42" s="805">
        <v>-99</v>
      </c>
      <c r="X42" s="804">
        <v>-99</v>
      </c>
      <c r="Y42" s="806">
        <v>-99</v>
      </c>
    </row>
    <row r="43" spans="1:25" ht="15.75" x14ac:dyDescent="0.25">
      <c r="B43" s="2" t="s">
        <v>696</v>
      </c>
      <c r="C43" s="2201">
        <v>0</v>
      </c>
      <c r="D43" s="825"/>
      <c r="E43" s="2196">
        <v>0</v>
      </c>
      <c r="F43" s="824"/>
      <c r="G43" s="768"/>
      <c r="H43" s="2199"/>
      <c r="T43" s="770">
        <v>107</v>
      </c>
      <c r="U43" s="771" t="s">
        <v>1842</v>
      </c>
      <c r="V43" s="804">
        <v>-99</v>
      </c>
      <c r="W43" s="805">
        <v>-99</v>
      </c>
      <c r="X43" s="804">
        <v>-99</v>
      </c>
      <c r="Y43" s="806">
        <v>-99</v>
      </c>
    </row>
    <row r="44" spans="1:25" x14ac:dyDescent="0.2">
      <c r="A44" s="6" t="s">
        <v>125</v>
      </c>
      <c r="B44" s="6" t="s">
        <v>125</v>
      </c>
      <c r="C44" s="6" t="s">
        <v>125</v>
      </c>
      <c r="D44" s="605"/>
      <c r="E44" s="6" t="s">
        <v>125</v>
      </c>
      <c r="F44" s="605"/>
      <c r="G44" s="6" t="s">
        <v>125</v>
      </c>
      <c r="H44" s="6" t="s">
        <v>125</v>
      </c>
      <c r="T44" s="774">
        <v>108</v>
      </c>
      <c r="U44" t="s">
        <v>1843</v>
      </c>
      <c r="V44" s="784"/>
      <c r="W44" s="793"/>
      <c r="X44" s="783" t="s">
        <v>1844</v>
      </c>
      <c r="Y44" s="799" t="s">
        <v>1845</v>
      </c>
    </row>
    <row r="45" spans="1:25" x14ac:dyDescent="0.2">
      <c r="D45" s="34"/>
      <c r="F45" s="34"/>
      <c r="H45" s="21"/>
      <c r="T45" s="774">
        <v>109</v>
      </c>
      <c r="U45" s="777" t="s">
        <v>1846</v>
      </c>
      <c r="V45" s="783" t="s">
        <v>1847</v>
      </c>
      <c r="W45" s="792" t="s">
        <v>1848</v>
      </c>
      <c r="X45" s="783" t="s">
        <v>1849</v>
      </c>
      <c r="Y45" s="799" t="s">
        <v>1850</v>
      </c>
    </row>
    <row r="46" spans="1:25" x14ac:dyDescent="0.2">
      <c r="D46" s="34"/>
      <c r="F46" s="34"/>
      <c r="H46" s="21"/>
      <c r="T46" s="774">
        <v>110</v>
      </c>
      <c r="U46" s="775" t="s">
        <v>1851</v>
      </c>
      <c r="V46" s="783" t="s">
        <v>1852</v>
      </c>
      <c r="W46" s="792" t="s">
        <v>1853</v>
      </c>
      <c r="X46" s="783" t="s">
        <v>1854</v>
      </c>
      <c r="Y46" s="799" t="s">
        <v>1855</v>
      </c>
    </row>
    <row r="47" spans="1:25" ht="15.75" x14ac:dyDescent="0.25">
      <c r="A47" s="1" t="s">
        <v>1856</v>
      </c>
      <c r="D47" s="34"/>
      <c r="F47" s="34"/>
      <c r="H47" s="21"/>
      <c r="T47" s="774">
        <v>111</v>
      </c>
      <c r="U47" s="123" t="s">
        <v>1857</v>
      </c>
      <c r="V47" s="787" t="s">
        <v>1858</v>
      </c>
      <c r="W47" s="796" t="s">
        <v>1859</v>
      </c>
      <c r="X47" s="787" t="s">
        <v>1860</v>
      </c>
      <c r="Y47" s="801" t="s">
        <v>1861</v>
      </c>
    </row>
    <row r="48" spans="1:25" ht="15.75" x14ac:dyDescent="0.25">
      <c r="A48" s="730"/>
      <c r="B48" s="861" t="s">
        <v>635</v>
      </c>
      <c r="C48" s="730"/>
      <c r="D48" s="733"/>
      <c r="E48" s="730"/>
      <c r="F48" s="733"/>
      <c r="G48" s="730"/>
      <c r="H48" s="737"/>
      <c r="T48" s="774">
        <v>112</v>
      </c>
      <c r="U48" s="775" t="s">
        <v>1862</v>
      </c>
      <c r="V48" s="787" t="s">
        <v>1863</v>
      </c>
      <c r="W48" s="796" t="s">
        <v>1864</v>
      </c>
      <c r="X48" s="787" t="s">
        <v>1865</v>
      </c>
      <c r="Y48" s="801" t="s">
        <v>1866</v>
      </c>
    </row>
    <row r="49" spans="1:25" ht="15.75" x14ac:dyDescent="0.25">
      <c r="B49" s="7" t="s">
        <v>650</v>
      </c>
      <c r="C49" s="2202" t="s">
        <v>7498</v>
      </c>
      <c r="D49" s="833"/>
      <c r="E49" s="2202" t="s">
        <v>7498</v>
      </c>
      <c r="F49" s="736"/>
      <c r="G49" s="730"/>
      <c r="H49" s="737"/>
      <c r="T49" s="774">
        <v>113</v>
      </c>
      <c r="U49" t="s">
        <v>1867</v>
      </c>
      <c r="V49" s="784"/>
      <c r="W49" s="793"/>
      <c r="X49" s="783" t="s">
        <v>1868</v>
      </c>
      <c r="Y49" s="799" t="s">
        <v>1869</v>
      </c>
    </row>
    <row r="50" spans="1:25" x14ac:dyDescent="0.2">
      <c r="B50" s="2" t="s">
        <v>752</v>
      </c>
      <c r="C50" s="730"/>
      <c r="D50" s="738"/>
      <c r="E50" s="730"/>
      <c r="F50" s="738"/>
      <c r="G50" s="730"/>
      <c r="H50" s="737"/>
      <c r="T50" s="774">
        <v>114</v>
      </c>
      <c r="U50" t="s">
        <v>1870</v>
      </c>
      <c r="V50" s="784"/>
      <c r="W50" s="793"/>
      <c r="X50" s="783" t="s">
        <v>1871</v>
      </c>
      <c r="Y50" s="799" t="s">
        <v>1872</v>
      </c>
    </row>
    <row r="51" spans="1:25" ht="15.75" x14ac:dyDescent="0.25">
      <c r="B51" s="2" t="s">
        <v>1873</v>
      </c>
      <c r="C51" s="2203">
        <f>SUM(C52:C58)</f>
        <v>4.4537303625050484E-2</v>
      </c>
      <c r="D51" s="739">
        <v>3</v>
      </c>
      <c r="E51" s="2081">
        <f>SUM(E52:E58)</f>
        <v>9.5617200471520818E-3</v>
      </c>
      <c r="F51" s="739">
        <v>3</v>
      </c>
      <c r="G51" s="730" t="str">
        <f t="shared" ref="G51:G58" si="5">IF(F51=1,"Catch",(IF(F51=3,"%TAA","%ETRS")))</f>
        <v>%TAA</v>
      </c>
      <c r="H51" s="2204"/>
      <c r="T51" s="770">
        <v>115</v>
      </c>
      <c r="U51" s="771" t="s">
        <v>1874</v>
      </c>
      <c r="V51" s="804">
        <v>-99</v>
      </c>
      <c r="W51" s="805">
        <v>-99</v>
      </c>
      <c r="X51" s="804">
        <v>-99</v>
      </c>
      <c r="Y51" s="806">
        <v>-99</v>
      </c>
    </row>
    <row r="52" spans="1:25" x14ac:dyDescent="0.2">
      <c r="B52" s="7" t="s">
        <v>1875</v>
      </c>
      <c r="C52" s="2205">
        <v>0</v>
      </c>
      <c r="D52" s="739">
        <v>3</v>
      </c>
      <c r="E52" s="1187">
        <v>0</v>
      </c>
      <c r="F52" s="739">
        <f>F$51</f>
        <v>3</v>
      </c>
      <c r="G52" s="730" t="str">
        <f t="shared" si="5"/>
        <v>%TAA</v>
      </c>
      <c r="H52" s="2206" t="s">
        <v>1825</v>
      </c>
      <c r="I52" s="204"/>
      <c r="T52" s="774">
        <v>116</v>
      </c>
      <c r="U52" t="s">
        <v>1876</v>
      </c>
      <c r="V52" s="784"/>
      <c r="W52" s="793"/>
      <c r="X52" s="783" t="s">
        <v>1877</v>
      </c>
      <c r="Y52" s="799" t="s">
        <v>1878</v>
      </c>
    </row>
    <row r="53" spans="1:25" x14ac:dyDescent="0.2">
      <c r="A53" s="505" t="s">
        <v>1879</v>
      </c>
      <c r="B53" s="721" t="s">
        <v>1880</v>
      </c>
      <c r="C53" s="2207">
        <v>0</v>
      </c>
      <c r="D53" s="739">
        <v>3</v>
      </c>
      <c r="E53" s="2207">
        <v>0</v>
      </c>
      <c r="F53" s="739">
        <f t="shared" ref="F53:F58" si="6">F$51</f>
        <v>3</v>
      </c>
      <c r="G53" s="730" t="str">
        <f t="shared" si="5"/>
        <v>%TAA</v>
      </c>
      <c r="H53" s="2206"/>
      <c r="I53" s="204"/>
      <c r="T53" s="774">
        <v>117</v>
      </c>
      <c r="U53" t="s">
        <v>1881</v>
      </c>
      <c r="V53" s="784"/>
      <c r="W53" s="793"/>
      <c r="X53" s="783" t="s">
        <v>1882</v>
      </c>
      <c r="Y53" s="799" t="s">
        <v>1883</v>
      </c>
    </row>
    <row r="54" spans="1:25" ht="30" x14ac:dyDescent="0.2">
      <c r="B54" s="7" t="s">
        <v>1884</v>
      </c>
      <c r="C54" s="2208">
        <v>4.4537303625050484E-2</v>
      </c>
      <c r="D54" s="739">
        <v>3</v>
      </c>
      <c r="E54" s="2403">
        <v>9.5617200471520818E-3</v>
      </c>
      <c r="F54" s="739">
        <f t="shared" si="6"/>
        <v>3</v>
      </c>
      <c r="G54" s="730" t="str">
        <f t="shared" si="5"/>
        <v>%TAA</v>
      </c>
      <c r="H54" s="2209" t="s">
        <v>7497</v>
      </c>
      <c r="I54" s="204"/>
      <c r="T54" s="770">
        <v>118</v>
      </c>
      <c r="U54" s="771" t="s">
        <v>1885</v>
      </c>
      <c r="V54" s="804">
        <v>-99</v>
      </c>
      <c r="W54" s="805">
        <v>-99</v>
      </c>
      <c r="X54" s="804">
        <v>-99</v>
      </c>
      <c r="Y54" s="806">
        <v>-99</v>
      </c>
    </row>
    <row r="55" spans="1:25" x14ac:dyDescent="0.2">
      <c r="B55" s="7" t="s">
        <v>670</v>
      </c>
      <c r="C55" s="1942">
        <v>0</v>
      </c>
      <c r="D55" s="739">
        <v>3</v>
      </c>
      <c r="E55" s="1942">
        <v>0</v>
      </c>
      <c r="F55" s="739">
        <f t="shared" si="6"/>
        <v>3</v>
      </c>
      <c r="G55" s="730" t="str">
        <f t="shared" si="5"/>
        <v>%TAA</v>
      </c>
      <c r="H55" s="2197" t="s">
        <v>1886</v>
      </c>
      <c r="I55" s="204"/>
      <c r="T55" s="774">
        <v>119</v>
      </c>
      <c r="U55" s="777" t="s">
        <v>1887</v>
      </c>
      <c r="V55" s="783" t="s">
        <v>1888</v>
      </c>
      <c r="W55" s="772" t="s">
        <v>1889</v>
      </c>
      <c r="X55" s="783" t="s">
        <v>1890</v>
      </c>
      <c r="Y55" s="781" t="s">
        <v>1891</v>
      </c>
    </row>
    <row r="56" spans="1:25" x14ac:dyDescent="0.2">
      <c r="B56" s="7" t="s">
        <v>672</v>
      </c>
      <c r="C56" s="1942">
        <v>0</v>
      </c>
      <c r="D56" s="739">
        <v>3</v>
      </c>
      <c r="E56" s="1942">
        <v>0</v>
      </c>
      <c r="F56" s="739">
        <f t="shared" si="6"/>
        <v>3</v>
      </c>
      <c r="G56" s="730" t="str">
        <f t="shared" si="5"/>
        <v>%TAA</v>
      </c>
      <c r="H56" s="2197" t="s">
        <v>1892</v>
      </c>
      <c r="I56" s="204"/>
      <c r="T56" s="774">
        <v>120</v>
      </c>
      <c r="U56" t="s">
        <v>1893</v>
      </c>
      <c r="V56" s="783" t="s">
        <v>1894</v>
      </c>
      <c r="W56" s="772" t="s">
        <v>1895</v>
      </c>
      <c r="X56" s="783" t="s">
        <v>1896</v>
      </c>
      <c r="Y56" s="781" t="s">
        <v>1897</v>
      </c>
    </row>
    <row r="57" spans="1:25" x14ac:dyDescent="0.2">
      <c r="B57" s="606" t="s">
        <v>769</v>
      </c>
      <c r="C57" s="1942">
        <v>0</v>
      </c>
      <c r="D57" s="739">
        <v>3</v>
      </c>
      <c r="E57" s="1942">
        <v>0</v>
      </c>
      <c r="F57" s="739">
        <f t="shared" si="6"/>
        <v>3</v>
      </c>
      <c r="G57" s="730" t="str">
        <f t="shared" si="5"/>
        <v>%TAA</v>
      </c>
      <c r="H57" s="2197" t="s">
        <v>1898</v>
      </c>
      <c r="I57" s="204"/>
      <c r="T57" s="774">
        <v>121</v>
      </c>
      <c r="U57" t="s">
        <v>1899</v>
      </c>
      <c r="V57" s="783" t="s">
        <v>1900</v>
      </c>
      <c r="W57" s="772" t="s">
        <v>1901</v>
      </c>
      <c r="X57" s="783" t="s">
        <v>1902</v>
      </c>
      <c r="Y57" s="781" t="s">
        <v>1903</v>
      </c>
    </row>
    <row r="58" spans="1:25" x14ac:dyDescent="0.2">
      <c r="B58" s="7" t="s">
        <v>1904</v>
      </c>
      <c r="C58" s="2206">
        <v>0</v>
      </c>
      <c r="D58" s="738">
        <v>3</v>
      </c>
      <c r="E58" s="2206">
        <v>0</v>
      </c>
      <c r="F58" s="739">
        <f t="shared" si="6"/>
        <v>3</v>
      </c>
      <c r="G58" s="730" t="str">
        <f t="shared" si="5"/>
        <v>%TAA</v>
      </c>
      <c r="H58" s="1944" t="s">
        <v>1905</v>
      </c>
      <c r="I58" s="204"/>
      <c r="T58" s="774">
        <v>122</v>
      </c>
      <c r="U58" t="s">
        <v>1906</v>
      </c>
      <c r="V58" s="783" t="s">
        <v>1907</v>
      </c>
      <c r="W58" s="772" t="s">
        <v>1908</v>
      </c>
      <c r="X58" s="783" t="s">
        <v>1909</v>
      </c>
      <c r="Y58" s="781" t="s">
        <v>1910</v>
      </c>
    </row>
    <row r="59" spans="1:25" x14ac:dyDescent="0.2">
      <c r="C59" s="730"/>
      <c r="D59" s="738"/>
      <c r="E59" s="730"/>
      <c r="F59" s="738"/>
      <c r="G59" s="730"/>
      <c r="H59" s="730"/>
      <c r="I59" s="205"/>
      <c r="T59" s="774">
        <v>123</v>
      </c>
      <c r="U59" t="s">
        <v>1911</v>
      </c>
      <c r="V59" s="783" t="s">
        <v>1912</v>
      </c>
      <c r="W59" s="772" t="s">
        <v>1913</v>
      </c>
      <c r="X59" s="783" t="s">
        <v>1914</v>
      </c>
      <c r="Y59" s="781" t="s">
        <v>1915</v>
      </c>
    </row>
    <row r="60" spans="1:25" x14ac:dyDescent="0.2">
      <c r="B60" s="2" t="s">
        <v>1916</v>
      </c>
      <c r="C60" s="730"/>
      <c r="D60" s="738"/>
      <c r="E60" s="730"/>
      <c r="F60" s="738"/>
      <c r="G60" s="730"/>
      <c r="H60" s="730"/>
      <c r="I60" s="205"/>
      <c r="T60" s="774">
        <v>124</v>
      </c>
      <c r="U60" t="s">
        <v>1917</v>
      </c>
      <c r="V60" s="783" t="s">
        <v>1918</v>
      </c>
      <c r="W60" s="772" t="s">
        <v>1919</v>
      </c>
      <c r="X60" s="783" t="s">
        <v>1920</v>
      </c>
      <c r="Y60" s="781" t="s">
        <v>1921</v>
      </c>
    </row>
    <row r="61" spans="1:25" x14ac:dyDescent="0.2">
      <c r="C61" s="730"/>
      <c r="D61" s="738"/>
      <c r="E61" s="730"/>
      <c r="F61" s="926"/>
      <c r="G61" s="730"/>
      <c r="H61" s="749"/>
      <c r="I61" s="205"/>
      <c r="T61" s="774">
        <v>125</v>
      </c>
      <c r="U61" t="s">
        <v>1922</v>
      </c>
      <c r="V61" s="783" t="s">
        <v>1923</v>
      </c>
      <c r="W61" s="772" t="s">
        <v>1924</v>
      </c>
      <c r="X61" s="783" t="s">
        <v>1925</v>
      </c>
      <c r="Y61" s="781" t="s">
        <v>1926</v>
      </c>
    </row>
    <row r="62" spans="1:25" x14ac:dyDescent="0.2">
      <c r="B62" s="2" t="s">
        <v>775</v>
      </c>
      <c r="C62" s="2064">
        <v>0.15018405303419613</v>
      </c>
      <c r="D62" s="739">
        <v>3</v>
      </c>
      <c r="E62" s="2064">
        <v>7.6448051408352535E-2</v>
      </c>
      <c r="F62" s="738">
        <v>3</v>
      </c>
      <c r="G62" s="730" t="str">
        <f>IF(F62=1,"Catch",(IF(F62=3,"%TAA","%ETRS")))</f>
        <v>%TAA</v>
      </c>
      <c r="H62" s="2197" t="s">
        <v>1927</v>
      </c>
      <c r="I62" s="204"/>
      <c r="T62" s="774">
        <v>126</v>
      </c>
      <c r="U62" t="s">
        <v>1928</v>
      </c>
      <c r="V62" s="785"/>
      <c r="W62" s="795"/>
      <c r="X62" s="783" t="s">
        <v>1929</v>
      </c>
      <c r="Y62" s="781" t="s">
        <v>1930</v>
      </c>
    </row>
    <row r="63" spans="1:25" x14ac:dyDescent="0.2">
      <c r="B63" s="2" t="s">
        <v>1931</v>
      </c>
      <c r="C63" s="863"/>
      <c r="D63" s="739"/>
      <c r="E63" s="2210">
        <v>0</v>
      </c>
      <c r="F63" s="739">
        <v>1</v>
      </c>
      <c r="G63" s="730" t="str">
        <f>IF(F63=1,"Catch",(IF(F63=3,"%TAA","%ETRS")))</f>
        <v>Catch</v>
      </c>
      <c r="H63" s="2204" t="s">
        <v>1329</v>
      </c>
      <c r="T63" s="774">
        <v>127</v>
      </c>
      <c r="U63" t="s">
        <v>1932</v>
      </c>
      <c r="V63" s="785"/>
      <c r="W63" s="795"/>
      <c r="X63" s="783" t="s">
        <v>1933</v>
      </c>
      <c r="Y63" s="781" t="s">
        <v>1934</v>
      </c>
    </row>
    <row r="64" spans="1:25" ht="35.85" customHeight="1" x14ac:dyDescent="0.2">
      <c r="B64" s="2" t="s">
        <v>1935</v>
      </c>
      <c r="C64" s="862"/>
      <c r="D64" s="739"/>
      <c r="E64" s="2211">
        <v>1.0554464846247585E-2</v>
      </c>
      <c r="F64" s="739">
        <v>3</v>
      </c>
      <c r="G64" s="730" t="str">
        <f>IF(F64=1,"Catch",(IF(F64=3,"%TAA","%ETRS")))</f>
        <v>%TAA</v>
      </c>
      <c r="H64" s="2212" t="s">
        <v>1936</v>
      </c>
      <c r="I64" s="204"/>
      <c r="J64" s="2" t="s">
        <v>1937</v>
      </c>
      <c r="T64" s="774">
        <v>128</v>
      </c>
      <c r="U64" t="s">
        <v>1938</v>
      </c>
      <c r="V64" s="785"/>
      <c r="W64" s="795"/>
      <c r="X64" s="783" t="s">
        <v>1939</v>
      </c>
      <c r="Y64" s="781" t="s">
        <v>1940</v>
      </c>
    </row>
    <row r="65" spans="1:25" ht="50.1" customHeight="1" x14ac:dyDescent="0.2">
      <c r="A65" s="180" t="s">
        <v>1941</v>
      </c>
      <c r="B65" s="722" t="s">
        <v>1942</v>
      </c>
      <c r="C65" s="862"/>
      <c r="D65" s="739"/>
      <c r="E65" s="2211">
        <v>5.0953798945714394E-4</v>
      </c>
      <c r="F65" s="739">
        <v>3</v>
      </c>
      <c r="G65" s="730" t="str">
        <f>IF(F65=1,"Catch",(IF(F65=3,"%TAA","%ETRS")))</f>
        <v>%TAA</v>
      </c>
      <c r="H65" s="2212" t="s">
        <v>1936</v>
      </c>
      <c r="I65" s="204"/>
      <c r="J65" s="2" t="s">
        <v>1943</v>
      </c>
      <c r="T65" s="770">
        <v>129</v>
      </c>
      <c r="U65" s="771" t="s">
        <v>1944</v>
      </c>
      <c r="V65" s="804">
        <v>-99</v>
      </c>
      <c r="W65" s="805">
        <v>-99</v>
      </c>
      <c r="X65" s="804">
        <v>-99</v>
      </c>
      <c r="Y65" s="806">
        <v>-99</v>
      </c>
    </row>
    <row r="66" spans="1:25" x14ac:dyDescent="0.2">
      <c r="B66" s="7" t="s">
        <v>1945</v>
      </c>
      <c r="C66" s="2206">
        <v>0</v>
      </c>
      <c r="D66" s="739">
        <v>3</v>
      </c>
      <c r="E66" s="2206">
        <v>0</v>
      </c>
      <c r="F66" s="739">
        <v>3</v>
      </c>
      <c r="G66" s="730" t="str">
        <f>IF(F66=1,"Catch",(IF(F66=3,"%TAA","%ETRS")))</f>
        <v>%TAA</v>
      </c>
      <c r="H66" s="1944" t="s">
        <v>1905</v>
      </c>
      <c r="J66" s="2">
        <f>0.0008 * 2729</f>
        <v>2.1832000000000003</v>
      </c>
      <c r="K66" s="2" t="s">
        <v>1946</v>
      </c>
      <c r="L66" s="2" t="s">
        <v>1541</v>
      </c>
      <c r="T66" s="774">
        <v>130</v>
      </c>
      <c r="U66" s="775" t="s">
        <v>1947</v>
      </c>
      <c r="V66" s="783" t="s">
        <v>1948</v>
      </c>
      <c r="W66" s="772" t="s">
        <v>1949</v>
      </c>
      <c r="X66" s="783" t="s">
        <v>1950</v>
      </c>
      <c r="Y66" s="781" t="s">
        <v>1951</v>
      </c>
    </row>
    <row r="67" spans="1:25" x14ac:dyDescent="0.2">
      <c r="D67" s="34"/>
      <c r="F67" s="34"/>
      <c r="H67" s="21"/>
      <c r="K67" s="2" t="s">
        <v>1952</v>
      </c>
      <c r="T67" s="774">
        <v>131</v>
      </c>
      <c r="U67" t="s">
        <v>1953</v>
      </c>
      <c r="V67" s="783" t="s">
        <v>1954</v>
      </c>
      <c r="W67" s="772" t="s">
        <v>1955</v>
      </c>
      <c r="X67" s="783" t="s">
        <v>1956</v>
      </c>
      <c r="Y67" s="781" t="s">
        <v>1957</v>
      </c>
    </row>
    <row r="68" spans="1:25" ht="15.75" x14ac:dyDescent="0.25">
      <c r="A68" s="768"/>
      <c r="B68" s="835" t="s">
        <v>687</v>
      </c>
      <c r="C68" s="768"/>
      <c r="D68" s="826"/>
      <c r="E68" s="768"/>
      <c r="F68" s="826"/>
      <c r="G68" s="768"/>
      <c r="H68" s="827"/>
      <c r="T68" s="774">
        <v>132</v>
      </c>
      <c r="U68" t="s">
        <v>1958</v>
      </c>
      <c r="V68" s="788" t="s">
        <v>1959</v>
      </c>
      <c r="W68" s="772" t="s">
        <v>1960</v>
      </c>
      <c r="X68" s="783" t="s">
        <v>1961</v>
      </c>
      <c r="Y68" s="781" t="s">
        <v>1962</v>
      </c>
    </row>
    <row r="69" spans="1:25" ht="15.75" x14ac:dyDescent="0.25">
      <c r="B69" s="7" t="s">
        <v>650</v>
      </c>
      <c r="C69" s="2194" t="s">
        <v>1801</v>
      </c>
      <c r="D69" s="824"/>
      <c r="E69" s="2194" t="s">
        <v>1801</v>
      </c>
      <c r="F69" s="825"/>
      <c r="G69" s="768"/>
      <c r="H69" s="768"/>
      <c r="J69" s="768" t="s">
        <v>1963</v>
      </c>
      <c r="K69" s="768"/>
      <c r="L69" s="768"/>
      <c r="M69" s="768"/>
      <c r="T69" s="774">
        <v>133</v>
      </c>
      <c r="U69" t="s">
        <v>1964</v>
      </c>
      <c r="V69" s="783" t="s">
        <v>1965</v>
      </c>
      <c r="W69" s="772" t="s">
        <v>1966</v>
      </c>
      <c r="X69" s="783" t="s">
        <v>1967</v>
      </c>
      <c r="Y69" s="781" t="s">
        <v>1968</v>
      </c>
    </row>
    <row r="70" spans="1:25" x14ac:dyDescent="0.2">
      <c r="A70" s="505" t="s">
        <v>1969</v>
      </c>
      <c r="B70" s="721" t="s">
        <v>1970</v>
      </c>
      <c r="C70" s="2213">
        <v>0</v>
      </c>
      <c r="D70" s="825">
        <v>3</v>
      </c>
      <c r="E70" s="2213">
        <v>0</v>
      </c>
      <c r="F70" s="825">
        <v>3</v>
      </c>
      <c r="G70" s="768" t="str">
        <f>IF(F70=1,"Catch",(IF(F70=3,"%TAA","%ETRS")))</f>
        <v>%TAA</v>
      </c>
      <c r="H70" s="2197" t="s">
        <v>1971</v>
      </c>
      <c r="J70" s="30">
        <f>SUM(TRunsPRN!$D$105:$D$106)</f>
        <v>23862.888598654834</v>
      </c>
      <c r="K70" s="22" t="s">
        <v>1972</v>
      </c>
      <c r="T70" s="774">
        <v>134</v>
      </c>
      <c r="U70" t="s">
        <v>1973</v>
      </c>
      <c r="V70" s="785"/>
      <c r="W70" s="795"/>
      <c r="X70" s="783" t="s">
        <v>1974</v>
      </c>
      <c r="Y70" s="781" t="s">
        <v>1975</v>
      </c>
    </row>
    <row r="71" spans="1:25" x14ac:dyDescent="0.2">
      <c r="B71" s="7" t="s">
        <v>1976</v>
      </c>
      <c r="C71" s="2214">
        <v>0</v>
      </c>
      <c r="D71" s="825">
        <v>3</v>
      </c>
      <c r="E71" s="2215">
        <v>0</v>
      </c>
      <c r="F71" s="825">
        <v>3</v>
      </c>
      <c r="G71" s="768" t="str">
        <f t="shared" ref="G71:G76" si="7">IF(F71=1,"Catch",(IF(F71=3,"%TAA","%ETRS")))</f>
        <v>%TAA</v>
      </c>
      <c r="H71" s="2197" t="s">
        <v>1971</v>
      </c>
      <c r="J71" s="730">
        <f>0.0008*J70</f>
        <v>19.090310878923869</v>
      </c>
      <c r="K71" s="22" t="s">
        <v>1977</v>
      </c>
      <c r="T71" s="774">
        <v>135</v>
      </c>
      <c r="U71" t="s">
        <v>1978</v>
      </c>
      <c r="V71" s="785"/>
      <c r="W71" s="795"/>
      <c r="X71" s="783" t="s">
        <v>1979</v>
      </c>
      <c r="Y71" s="781" t="s">
        <v>1980</v>
      </c>
    </row>
    <row r="72" spans="1:25" x14ac:dyDescent="0.2">
      <c r="B72" s="7" t="s">
        <v>1981</v>
      </c>
      <c r="C72" s="2216">
        <v>0</v>
      </c>
      <c r="D72" s="825">
        <v>3</v>
      </c>
      <c r="E72" s="2216">
        <v>0</v>
      </c>
      <c r="F72" s="825">
        <v>3</v>
      </c>
      <c r="G72" s="768" t="str">
        <f t="shared" si="7"/>
        <v>%TAA</v>
      </c>
      <c r="H72" s="2197" t="s">
        <v>1971</v>
      </c>
      <c r="J72" s="2" t="s">
        <v>1982</v>
      </c>
      <c r="T72" s="770">
        <v>136</v>
      </c>
      <c r="U72" s="771" t="s">
        <v>1983</v>
      </c>
      <c r="V72" s="804">
        <v>-99</v>
      </c>
      <c r="W72" s="805">
        <v>-99</v>
      </c>
      <c r="X72" s="804">
        <v>-99</v>
      </c>
      <c r="Y72" s="806">
        <v>-99</v>
      </c>
    </row>
    <row r="73" spans="1:25" x14ac:dyDescent="0.2">
      <c r="B73" s="7" t="s">
        <v>775</v>
      </c>
      <c r="C73" s="2217">
        <v>0</v>
      </c>
      <c r="D73" s="825">
        <v>3</v>
      </c>
      <c r="E73" s="2218">
        <v>0</v>
      </c>
      <c r="F73" s="825">
        <v>3</v>
      </c>
      <c r="G73" s="768" t="str">
        <f t="shared" si="7"/>
        <v>%TAA</v>
      </c>
      <c r="H73" s="2197" t="s">
        <v>1971</v>
      </c>
      <c r="T73" s="774">
        <v>137</v>
      </c>
      <c r="U73" t="s">
        <v>1984</v>
      </c>
      <c r="V73" s="783" t="s">
        <v>1985</v>
      </c>
      <c r="W73" s="772" t="s">
        <v>1986</v>
      </c>
      <c r="X73" s="783" t="s">
        <v>1987</v>
      </c>
      <c r="Y73" s="781" t="s">
        <v>1988</v>
      </c>
    </row>
    <row r="74" spans="1:25" x14ac:dyDescent="0.2">
      <c r="B74" s="7" t="s">
        <v>1989</v>
      </c>
      <c r="C74" s="2053">
        <v>0</v>
      </c>
      <c r="D74" s="825">
        <v>1</v>
      </c>
      <c r="E74" s="2053">
        <v>0</v>
      </c>
      <c r="F74" s="825">
        <v>1</v>
      </c>
      <c r="G74" s="768" t="str">
        <f t="shared" si="7"/>
        <v>Catch</v>
      </c>
      <c r="H74" s="2197" t="s">
        <v>1971</v>
      </c>
      <c r="T74" s="774">
        <v>138</v>
      </c>
      <c r="U74" t="s">
        <v>1990</v>
      </c>
      <c r="V74" s="783" t="s">
        <v>1991</v>
      </c>
      <c r="W74" s="772" t="s">
        <v>1992</v>
      </c>
      <c r="X74" s="783" t="s">
        <v>1993</v>
      </c>
      <c r="Y74" s="781" t="s">
        <v>1994</v>
      </c>
    </row>
    <row r="75" spans="1:25" ht="33.6" customHeight="1" x14ac:dyDescent="0.25">
      <c r="B75" s="544" t="s">
        <v>795</v>
      </c>
      <c r="C75" s="862"/>
      <c r="D75" s="824"/>
      <c r="E75" s="2219">
        <v>0</v>
      </c>
      <c r="F75" s="825">
        <v>1</v>
      </c>
      <c r="G75" s="768" t="str">
        <f t="shared" si="7"/>
        <v>Catch</v>
      </c>
      <c r="H75" s="2220" t="s">
        <v>1995</v>
      </c>
      <c r="T75" s="774">
        <v>139</v>
      </c>
      <c r="U75" s="778" t="s">
        <v>1996</v>
      </c>
      <c r="V75" s="789">
        <v>0</v>
      </c>
      <c r="W75" s="797">
        <v>1</v>
      </c>
      <c r="X75" s="789">
        <v>0</v>
      </c>
      <c r="Y75" s="802">
        <v>1</v>
      </c>
    </row>
    <row r="76" spans="1:25" ht="15.75" x14ac:dyDescent="0.25">
      <c r="B76" s="7" t="s">
        <v>797</v>
      </c>
      <c r="C76" s="862"/>
      <c r="D76" s="824"/>
      <c r="E76" s="2221">
        <v>3.4582616297614215E-2</v>
      </c>
      <c r="F76" s="945">
        <v>3</v>
      </c>
      <c r="G76" s="768" t="str">
        <f t="shared" si="7"/>
        <v>%TAA</v>
      </c>
      <c r="H76" s="2073" t="s">
        <v>1997</v>
      </c>
      <c r="T76" s="774">
        <v>140</v>
      </c>
      <c r="U76" s="778" t="s">
        <v>1998</v>
      </c>
      <c r="V76" s="789">
        <v>0</v>
      </c>
      <c r="W76" s="797">
        <v>1</v>
      </c>
      <c r="X76" s="789">
        <v>0</v>
      </c>
      <c r="Y76" s="802">
        <v>1</v>
      </c>
    </row>
    <row r="77" spans="1:25" x14ac:dyDescent="0.2">
      <c r="A77" s="6" t="s">
        <v>125</v>
      </c>
      <c r="B77" s="6" t="s">
        <v>125</v>
      </c>
      <c r="C77" s="6" t="s">
        <v>125</v>
      </c>
      <c r="D77" s="605"/>
      <c r="E77" s="6" t="s">
        <v>125</v>
      </c>
      <c r="F77" s="605"/>
      <c r="G77" s="6" t="s">
        <v>125</v>
      </c>
      <c r="H77" s="1715" t="s">
        <v>125</v>
      </c>
      <c r="T77" s="774">
        <v>141</v>
      </c>
      <c r="U77" t="s">
        <v>1999</v>
      </c>
      <c r="V77" s="783" t="s">
        <v>2000</v>
      </c>
      <c r="W77" s="772" t="s">
        <v>2001</v>
      </c>
      <c r="X77" s="783" t="s">
        <v>2002</v>
      </c>
      <c r="Y77" s="781" t="s">
        <v>2003</v>
      </c>
    </row>
    <row r="78" spans="1:25" x14ac:dyDescent="0.2">
      <c r="D78" s="34"/>
      <c r="F78" s="34"/>
      <c r="H78" s="21"/>
      <c r="T78" s="774">
        <v>142</v>
      </c>
      <c r="U78" t="s">
        <v>2004</v>
      </c>
      <c r="V78" s="783" t="s">
        <v>2005</v>
      </c>
      <c r="W78" s="772" t="s">
        <v>2006</v>
      </c>
      <c r="X78" s="783" t="s">
        <v>2007</v>
      </c>
      <c r="Y78" s="781" t="s">
        <v>2008</v>
      </c>
    </row>
    <row r="79" spans="1:25" x14ac:dyDescent="0.2">
      <c r="D79" s="34"/>
      <c r="F79" s="34"/>
      <c r="H79" s="1439"/>
      <c r="T79" s="774">
        <v>143</v>
      </c>
      <c r="U79" t="s">
        <v>2009</v>
      </c>
      <c r="V79" s="783" t="s">
        <v>2010</v>
      </c>
      <c r="W79" s="772" t="s">
        <v>2011</v>
      </c>
      <c r="X79" s="783" t="s">
        <v>2012</v>
      </c>
      <c r="Y79" s="781" t="s">
        <v>2013</v>
      </c>
    </row>
    <row r="80" spans="1:25" ht="15.75" x14ac:dyDescent="0.25">
      <c r="A80" s="1" t="s">
        <v>210</v>
      </c>
      <c r="D80" s="34"/>
      <c r="F80" s="34"/>
      <c r="H80" s="21"/>
      <c r="T80" s="774">
        <v>144</v>
      </c>
      <c r="U80" t="s">
        <v>2014</v>
      </c>
      <c r="V80" s="783" t="s">
        <v>2015</v>
      </c>
      <c r="W80" s="772" t="s">
        <v>2016</v>
      </c>
      <c r="X80" s="783" t="s">
        <v>2017</v>
      </c>
      <c r="Y80" s="781" t="s">
        <v>2018</v>
      </c>
    </row>
    <row r="81" spans="1:25" ht="15.75" x14ac:dyDescent="0.25">
      <c r="A81" s="730"/>
      <c r="B81" s="861" t="s">
        <v>635</v>
      </c>
      <c r="C81" s="730"/>
      <c r="D81" s="733"/>
      <c r="E81" s="730"/>
      <c r="F81" s="733"/>
      <c r="G81" s="730"/>
      <c r="H81" s="737"/>
      <c r="T81" s="774">
        <v>145</v>
      </c>
      <c r="U81" t="s">
        <v>2019</v>
      </c>
      <c r="V81" s="785"/>
      <c r="W81" s="795"/>
      <c r="X81" s="783" t="s">
        <v>2020</v>
      </c>
      <c r="Y81" s="781" t="s">
        <v>2021</v>
      </c>
    </row>
    <row r="82" spans="1:25" x14ac:dyDescent="0.2">
      <c r="B82" s="7" t="s">
        <v>650</v>
      </c>
      <c r="C82" s="2068" t="s">
        <v>2022</v>
      </c>
      <c r="D82" s="833"/>
      <c r="E82" s="2068" t="s">
        <v>2022</v>
      </c>
      <c r="F82" s="739"/>
      <c r="G82" s="730"/>
      <c r="H82" s="828"/>
      <c r="T82" s="774">
        <v>146</v>
      </c>
      <c r="U82" t="s">
        <v>2023</v>
      </c>
      <c r="V82" s="785"/>
      <c r="W82" s="795"/>
      <c r="X82" s="783" t="s">
        <v>2024</v>
      </c>
      <c r="Y82" s="781" t="s">
        <v>2025</v>
      </c>
    </row>
    <row r="83" spans="1:25" x14ac:dyDescent="0.2">
      <c r="B83" s="2" t="s">
        <v>909</v>
      </c>
      <c r="C83" s="730"/>
      <c r="D83" s="738"/>
      <c r="E83" s="730"/>
      <c r="F83" s="738"/>
      <c r="G83" s="730"/>
      <c r="H83" s="730"/>
      <c r="T83" s="774">
        <v>147</v>
      </c>
      <c r="U83" t="s">
        <v>2026</v>
      </c>
      <c r="V83" s="785"/>
      <c r="W83" s="795"/>
      <c r="X83" s="783" t="s">
        <v>2027</v>
      </c>
      <c r="Y83" s="781" t="s">
        <v>2028</v>
      </c>
    </row>
    <row r="84" spans="1:25" ht="15.75" x14ac:dyDescent="0.25">
      <c r="B84" s="22" t="s">
        <v>2029</v>
      </c>
      <c r="C84" s="2222">
        <f>SUM(C85:C87)</f>
        <v>1.3886176141334895E-3</v>
      </c>
      <c r="D84" s="739">
        <v>3</v>
      </c>
      <c r="E84" s="2222">
        <f>SUM(E85:E87)</f>
        <v>3.7977099621035584E-2</v>
      </c>
      <c r="F84" s="739">
        <v>3</v>
      </c>
      <c r="G84" s="730" t="str">
        <f>IF(F84=1,"Catch",(IF(F84=3,"%TAA","%ETRS")))</f>
        <v>%TAA</v>
      </c>
      <c r="H84" s="2223"/>
      <c r="T84" s="774">
        <v>148</v>
      </c>
      <c r="U84" t="s">
        <v>2030</v>
      </c>
      <c r="V84" s="785"/>
      <c r="W84" s="795"/>
      <c r="X84" s="783" t="s">
        <v>2031</v>
      </c>
      <c r="Y84" s="781" t="s">
        <v>2032</v>
      </c>
    </row>
    <row r="85" spans="1:25" x14ac:dyDescent="0.2">
      <c r="B85" s="2" t="s">
        <v>2033</v>
      </c>
      <c r="C85" s="2224">
        <v>0</v>
      </c>
      <c r="D85" s="739">
        <v>3</v>
      </c>
      <c r="E85" s="2224">
        <v>0</v>
      </c>
      <c r="F85" s="739">
        <f>F$84</f>
        <v>3</v>
      </c>
      <c r="G85" s="730" t="str">
        <f t="shared" ref="G85:G92" si="8">IF(F85=1,"Catch",(IF(F85=3,"%TAA","%ETRS")))</f>
        <v>%TAA</v>
      </c>
      <c r="H85" s="2225" t="s">
        <v>2034</v>
      </c>
      <c r="T85" s="774">
        <v>149</v>
      </c>
      <c r="U85" t="s">
        <v>2035</v>
      </c>
      <c r="V85" s="785"/>
      <c r="W85" s="795"/>
      <c r="X85" s="783" t="s">
        <v>2036</v>
      </c>
      <c r="Y85" s="781" t="s">
        <v>2037</v>
      </c>
    </row>
    <row r="86" spans="1:25" ht="32.1" customHeight="1" x14ac:dyDescent="0.2">
      <c r="B86" s="2" t="s">
        <v>2038</v>
      </c>
      <c r="C86" s="2226">
        <v>1.3886176141334895E-3</v>
      </c>
      <c r="D86" s="739">
        <v>3</v>
      </c>
      <c r="E86" s="2226">
        <v>3.0440602066843538E-2</v>
      </c>
      <c r="F86" s="739">
        <f>F$84</f>
        <v>3</v>
      </c>
      <c r="G86" s="730" t="str">
        <f t="shared" si="8"/>
        <v>%TAA</v>
      </c>
      <c r="H86" s="2227" t="s">
        <v>2039</v>
      </c>
      <c r="T86" s="774">
        <v>150</v>
      </c>
      <c r="U86" t="s">
        <v>2040</v>
      </c>
      <c r="V86" s="785"/>
      <c r="W86" s="795"/>
      <c r="X86" s="783" t="s">
        <v>2041</v>
      </c>
      <c r="Y86" s="803" t="s">
        <v>2042</v>
      </c>
    </row>
    <row r="87" spans="1:25" x14ac:dyDescent="0.2">
      <c r="B87" s="2" t="s">
        <v>2043</v>
      </c>
      <c r="C87" s="2228"/>
      <c r="D87" s="739"/>
      <c r="E87" s="2064">
        <v>7.5364975541920487E-3</v>
      </c>
      <c r="F87" s="739">
        <f t="shared" ref="F87:F92" si="9">F$84</f>
        <v>3</v>
      </c>
      <c r="G87" s="730" t="str">
        <f t="shared" si="8"/>
        <v>%TAA</v>
      </c>
      <c r="H87" s="2225" t="s">
        <v>2044</v>
      </c>
      <c r="T87" s="774">
        <v>151</v>
      </c>
      <c r="U87" t="s">
        <v>2045</v>
      </c>
      <c r="V87" s="785"/>
      <c r="W87" s="795"/>
      <c r="X87" s="783" t="s">
        <v>2046</v>
      </c>
      <c r="Y87" s="803" t="s">
        <v>2047</v>
      </c>
    </row>
    <row r="88" spans="1:25" ht="15.75" x14ac:dyDescent="0.25">
      <c r="B88" s="7" t="s">
        <v>2048</v>
      </c>
      <c r="C88" s="878"/>
      <c r="D88" s="739"/>
      <c r="E88" s="1689"/>
      <c r="F88" s="739">
        <f t="shared" si="9"/>
        <v>3</v>
      </c>
      <c r="G88" s="730" t="str">
        <f t="shared" si="8"/>
        <v>%TAA</v>
      </c>
      <c r="H88" s="1690"/>
      <c r="T88" s="770">
        <v>152</v>
      </c>
      <c r="U88" s="771" t="s">
        <v>2049</v>
      </c>
      <c r="V88" s="804">
        <v>-99</v>
      </c>
      <c r="W88" s="805">
        <v>-99</v>
      </c>
      <c r="X88" s="804">
        <v>-99</v>
      </c>
      <c r="Y88" s="806">
        <v>-99</v>
      </c>
    </row>
    <row r="89" spans="1:25" ht="15.75" x14ac:dyDescent="0.25">
      <c r="B89" s="7" t="s">
        <v>2050</v>
      </c>
      <c r="C89" s="878"/>
      <c r="D89" s="739"/>
      <c r="E89" s="2229"/>
      <c r="F89" s="739">
        <f t="shared" si="9"/>
        <v>3</v>
      </c>
      <c r="G89" s="730" t="str">
        <f t="shared" si="8"/>
        <v>%TAA</v>
      </c>
      <c r="H89" s="2210"/>
      <c r="T89" s="774">
        <v>153</v>
      </c>
      <c r="U89" s="775" t="s">
        <v>2051</v>
      </c>
      <c r="V89" s="783" t="s">
        <v>2052</v>
      </c>
      <c r="W89" s="772" t="s">
        <v>2053</v>
      </c>
      <c r="X89" s="783" t="s">
        <v>2054</v>
      </c>
      <c r="Y89" s="781" t="s">
        <v>2055</v>
      </c>
    </row>
    <row r="90" spans="1:25" ht="15.75" x14ac:dyDescent="0.25">
      <c r="B90" s="7" t="s">
        <v>2056</v>
      </c>
      <c r="C90" s="878"/>
      <c r="D90" s="739"/>
      <c r="E90" s="2229"/>
      <c r="F90" s="739">
        <f t="shared" si="9"/>
        <v>3</v>
      </c>
      <c r="G90" s="730" t="str">
        <f t="shared" si="8"/>
        <v>%TAA</v>
      </c>
      <c r="H90" s="2210"/>
      <c r="T90" s="774">
        <v>154</v>
      </c>
      <c r="U90" s="775" t="s">
        <v>2057</v>
      </c>
      <c r="V90" s="783" t="s">
        <v>2058</v>
      </c>
      <c r="W90" s="792" t="s">
        <v>2059</v>
      </c>
      <c r="X90" s="783" t="s">
        <v>2060</v>
      </c>
      <c r="Y90" s="799" t="s">
        <v>2061</v>
      </c>
    </row>
    <row r="91" spans="1:25" ht="15.75" x14ac:dyDescent="0.25">
      <c r="B91" s="7" t="s">
        <v>2062</v>
      </c>
      <c r="C91" s="878"/>
      <c r="D91" s="739"/>
      <c r="E91" s="2230"/>
      <c r="F91" s="739">
        <f t="shared" si="9"/>
        <v>3</v>
      </c>
      <c r="G91" s="730" t="str">
        <f t="shared" si="8"/>
        <v>%TAA</v>
      </c>
      <c r="H91" s="2231"/>
      <c r="T91" s="774">
        <v>155</v>
      </c>
      <c r="U91" s="776" t="s">
        <v>2063</v>
      </c>
      <c r="V91" s="783" t="s">
        <v>2064</v>
      </c>
      <c r="W91" s="772" t="s">
        <v>2065</v>
      </c>
      <c r="X91" s="783" t="s">
        <v>2066</v>
      </c>
      <c r="Y91" s="781" t="s">
        <v>2067</v>
      </c>
    </row>
    <row r="92" spans="1:25" ht="15.75" x14ac:dyDescent="0.25">
      <c r="B92" s="7" t="s">
        <v>2068</v>
      </c>
      <c r="C92" s="878"/>
      <c r="D92" s="739"/>
      <c r="E92" s="1943"/>
      <c r="F92" s="739">
        <f t="shared" si="9"/>
        <v>3</v>
      </c>
      <c r="G92" s="730" t="str">
        <f t="shared" si="8"/>
        <v>%TAA</v>
      </c>
      <c r="H92" s="1944"/>
      <c r="T92" s="774">
        <v>156</v>
      </c>
      <c r="U92" s="776" t="s">
        <v>2069</v>
      </c>
      <c r="V92" s="783" t="s">
        <v>2070</v>
      </c>
      <c r="W92" s="792" t="s">
        <v>2071</v>
      </c>
      <c r="X92" s="783" t="s">
        <v>2072</v>
      </c>
      <c r="Y92" s="799" t="s">
        <v>2073</v>
      </c>
    </row>
    <row r="93" spans="1:25" ht="15.75" x14ac:dyDescent="0.25">
      <c r="B93" s="7"/>
      <c r="C93" s="829"/>
      <c r="D93" s="739"/>
      <c r="E93" s="829"/>
      <c r="F93" s="739"/>
      <c r="G93" s="730"/>
      <c r="H93" s="865"/>
      <c r="T93" s="774">
        <v>157</v>
      </c>
      <c r="U93" s="775" t="s">
        <v>2074</v>
      </c>
      <c r="V93" s="783" t="s">
        <v>2075</v>
      </c>
      <c r="W93" s="772" t="s">
        <v>2076</v>
      </c>
      <c r="X93" s="783" t="s">
        <v>2077</v>
      </c>
      <c r="Y93" s="781" t="s">
        <v>2078</v>
      </c>
    </row>
    <row r="94" spans="1:25" ht="15.75" x14ac:dyDescent="0.25">
      <c r="B94" s="7"/>
      <c r="C94" s="830"/>
      <c r="D94" s="739"/>
      <c r="E94" s="830"/>
      <c r="F94" s="736"/>
      <c r="G94" s="730"/>
      <c r="H94" s="730"/>
      <c r="T94" s="774">
        <v>158</v>
      </c>
      <c r="U94" s="776" t="s">
        <v>2079</v>
      </c>
      <c r="V94" s="783" t="s">
        <v>2080</v>
      </c>
      <c r="W94" s="792" t="s">
        <v>2081</v>
      </c>
      <c r="X94" s="783" t="s">
        <v>2082</v>
      </c>
      <c r="Y94" s="799" t="s">
        <v>2083</v>
      </c>
    </row>
    <row r="95" spans="1:25" ht="15.75" x14ac:dyDescent="0.25">
      <c r="B95" s="22" t="s">
        <v>2084</v>
      </c>
      <c r="C95" s="2054">
        <f>SUM(C96:C98)</f>
        <v>8.2307390140938935E-2</v>
      </c>
      <c r="D95" s="739">
        <v>3</v>
      </c>
      <c r="E95" s="2054">
        <f>SUM(E96:E98)</f>
        <v>5.0534758243243376E-2</v>
      </c>
      <c r="F95" s="739">
        <v>3</v>
      </c>
      <c r="G95" s="730" t="str">
        <f>IF(F95=1,"Catch",(IF(F95=3,"%TAA","%ETRS")))</f>
        <v>%TAA</v>
      </c>
      <c r="H95" s="2232"/>
      <c r="T95" s="774">
        <v>159</v>
      </c>
      <c r="U95" s="775" t="s">
        <v>2085</v>
      </c>
      <c r="V95" s="783" t="s">
        <v>2086</v>
      </c>
      <c r="W95" s="772" t="s">
        <v>2087</v>
      </c>
      <c r="X95" s="783" t="s">
        <v>2088</v>
      </c>
      <c r="Y95" s="781" t="s">
        <v>2089</v>
      </c>
    </row>
    <row r="96" spans="1:25" ht="15.75" x14ac:dyDescent="0.25">
      <c r="B96" s="2" t="s">
        <v>2033</v>
      </c>
      <c r="C96" s="2233">
        <v>3.352299158005613E-2</v>
      </c>
      <c r="D96" s="739">
        <f>D$95</f>
        <v>3</v>
      </c>
      <c r="E96" s="877"/>
      <c r="F96" s="739">
        <f>F$95</f>
        <v>3</v>
      </c>
      <c r="G96" s="730" t="str">
        <f t="shared" ref="G96:G99" si="10">IF(F96=1,"Catch",(IF(F96=3,"%TAA","%ETRS")))</f>
        <v>%TAA</v>
      </c>
      <c r="H96" s="2225" t="s">
        <v>2090</v>
      </c>
      <c r="I96" s="7"/>
      <c r="J96" s="7"/>
      <c r="K96" s="551"/>
      <c r="L96" s="551"/>
      <c r="M96" s="551"/>
      <c r="N96" s="552"/>
      <c r="T96" s="774">
        <v>160</v>
      </c>
      <c r="U96" s="776" t="s">
        <v>2091</v>
      </c>
      <c r="V96" s="783" t="s">
        <v>2092</v>
      </c>
      <c r="W96" s="772" t="s">
        <v>2093</v>
      </c>
      <c r="X96" s="783" t="s">
        <v>2094</v>
      </c>
      <c r="Y96" s="781" t="s">
        <v>2095</v>
      </c>
    </row>
    <row r="97" spans="1:25" x14ac:dyDescent="0.2">
      <c r="B97" s="2" t="s">
        <v>2038</v>
      </c>
      <c r="C97" s="2233">
        <v>4.8784398560882805E-2</v>
      </c>
      <c r="D97" s="739">
        <v>3</v>
      </c>
      <c r="E97" s="2233">
        <v>5.0218204027352893E-2</v>
      </c>
      <c r="F97" s="739">
        <f t="shared" ref="F97:F99" si="11">F$95</f>
        <v>3</v>
      </c>
      <c r="G97" s="730" t="str">
        <f t="shared" si="10"/>
        <v>%TAA</v>
      </c>
      <c r="H97" s="2234" t="s">
        <v>2096</v>
      </c>
      <c r="T97" s="774">
        <v>161</v>
      </c>
      <c r="U97" t="s">
        <v>2097</v>
      </c>
      <c r="V97" s="790"/>
      <c r="W97" s="793"/>
      <c r="X97" s="783" t="s">
        <v>2098</v>
      </c>
      <c r="Y97" s="799" t="s">
        <v>2099</v>
      </c>
    </row>
    <row r="98" spans="1:25" x14ac:dyDescent="0.2">
      <c r="B98" s="2" t="s">
        <v>2043</v>
      </c>
      <c r="C98" s="877"/>
      <c r="D98" s="739"/>
      <c r="E98" s="2235">
        <v>3.1655421589048282E-4</v>
      </c>
      <c r="F98" s="739">
        <f t="shared" si="11"/>
        <v>3</v>
      </c>
      <c r="G98" s="730" t="str">
        <f t="shared" si="10"/>
        <v>%TAA</v>
      </c>
      <c r="H98" s="2225" t="s">
        <v>2100</v>
      </c>
      <c r="T98" s="774">
        <v>162</v>
      </c>
      <c r="U98" t="s">
        <v>2101</v>
      </c>
      <c r="V98" s="784"/>
      <c r="W98" s="794"/>
      <c r="X98" s="783" t="s">
        <v>2102</v>
      </c>
      <c r="Y98" s="781" t="s">
        <v>2103</v>
      </c>
    </row>
    <row r="99" spans="1:25" x14ac:dyDescent="0.2">
      <c r="B99" s="7" t="s">
        <v>2048</v>
      </c>
      <c r="C99" s="878"/>
      <c r="D99" s="739"/>
      <c r="E99" s="878"/>
      <c r="F99" s="739">
        <f t="shared" si="11"/>
        <v>3</v>
      </c>
      <c r="G99" s="730" t="str">
        <f t="shared" si="10"/>
        <v>%TAA</v>
      </c>
      <c r="H99" s="1691"/>
      <c r="T99" s="774">
        <v>163</v>
      </c>
      <c r="U99" t="s">
        <v>2104</v>
      </c>
      <c r="V99" s="784"/>
      <c r="W99" s="794"/>
      <c r="X99" s="783" t="s">
        <v>2105</v>
      </c>
      <c r="Y99" s="781" t="s">
        <v>2106</v>
      </c>
    </row>
    <row r="100" spans="1:25" x14ac:dyDescent="0.2">
      <c r="B100" s="7" t="s">
        <v>2050</v>
      </c>
      <c r="C100" s="878"/>
      <c r="D100" s="739"/>
      <c r="E100" s="878"/>
      <c r="F100" s="739">
        <f t="shared" ref="F100:F103" si="12">F$95</f>
        <v>3</v>
      </c>
      <c r="G100" s="730" t="str">
        <f t="shared" ref="G100:G103" si="13">IF(F100=1,"Catch",(IF(F100=3,"%TAA","%ETRS")))</f>
        <v>%TAA</v>
      </c>
      <c r="H100" s="2236"/>
      <c r="T100" s="774">
        <v>164</v>
      </c>
      <c r="U100" t="s">
        <v>2107</v>
      </c>
      <c r="V100" s="784"/>
      <c r="W100" s="794"/>
      <c r="X100" s="783" t="s">
        <v>2108</v>
      </c>
      <c r="Y100" s="781" t="s">
        <v>2109</v>
      </c>
    </row>
    <row r="101" spans="1:25" x14ac:dyDescent="0.2">
      <c r="B101" s="7" t="s">
        <v>2056</v>
      </c>
      <c r="C101" s="878"/>
      <c r="D101" s="739"/>
      <c r="E101" s="878"/>
      <c r="F101" s="739">
        <f t="shared" si="12"/>
        <v>3</v>
      </c>
      <c r="G101" s="730" t="str">
        <f t="shared" si="13"/>
        <v>%TAA</v>
      </c>
      <c r="H101" s="2236"/>
      <c r="T101" s="774">
        <v>165</v>
      </c>
      <c r="U101" t="s">
        <v>2110</v>
      </c>
      <c r="V101" s="784"/>
      <c r="W101" s="794"/>
      <c r="X101" s="783" t="s">
        <v>2111</v>
      </c>
      <c r="Y101" s="781" t="s">
        <v>2112</v>
      </c>
    </row>
    <row r="102" spans="1:25" x14ac:dyDescent="0.2">
      <c r="B102" s="7" t="s">
        <v>2062</v>
      </c>
      <c r="C102" s="878"/>
      <c r="D102" s="739"/>
      <c r="E102" s="878"/>
      <c r="F102" s="739">
        <f t="shared" si="12"/>
        <v>3</v>
      </c>
      <c r="G102" s="730" t="str">
        <f t="shared" si="13"/>
        <v>%TAA</v>
      </c>
      <c r="H102" s="2237"/>
      <c r="T102" s="1692">
        <v>166</v>
      </c>
      <c r="U102" s="1596" t="s">
        <v>2113</v>
      </c>
      <c r="V102" s="1693"/>
      <c r="W102" s="1694"/>
      <c r="X102" s="1695" t="s">
        <v>2114</v>
      </c>
      <c r="Y102" s="1696" t="s">
        <v>2115</v>
      </c>
    </row>
    <row r="103" spans="1:25" x14ac:dyDescent="0.2">
      <c r="B103" s="7" t="s">
        <v>2068</v>
      </c>
      <c r="C103" s="878"/>
      <c r="D103" s="739"/>
      <c r="E103" s="878"/>
      <c r="F103" s="739">
        <f t="shared" si="12"/>
        <v>3</v>
      </c>
      <c r="G103" s="730" t="str">
        <f t="shared" si="13"/>
        <v>%TAA</v>
      </c>
      <c r="H103" s="2238"/>
    </row>
    <row r="104" spans="1:25" ht="15.75" x14ac:dyDescent="0.25">
      <c r="B104" s="7"/>
      <c r="C104" s="829"/>
      <c r="D104" s="739"/>
      <c r="E104" s="829"/>
      <c r="F104" s="739"/>
      <c r="G104" s="730"/>
      <c r="H104" s="730"/>
    </row>
    <row r="105" spans="1:25" ht="15.75" x14ac:dyDescent="0.25">
      <c r="B105" s="7"/>
      <c r="C105" s="829"/>
      <c r="D105" s="831"/>
      <c r="E105" s="829"/>
      <c r="F105" s="832"/>
      <c r="G105" s="730"/>
      <c r="H105" s="730"/>
    </row>
    <row r="106" spans="1:25" x14ac:dyDescent="0.2">
      <c r="B106" s="2" t="s">
        <v>2116</v>
      </c>
      <c r="C106" s="730"/>
      <c r="D106" s="738"/>
      <c r="E106" s="730"/>
      <c r="F106" s="738"/>
      <c r="G106" s="730"/>
      <c r="H106" s="730"/>
      <c r="I106" s="19"/>
      <c r="J106" s="1129"/>
      <c r="K106" s="1133"/>
      <c r="L106" s="1129"/>
      <c r="M106" s="19"/>
    </row>
    <row r="107" spans="1:25" ht="53.25" customHeight="1" x14ac:dyDescent="0.25">
      <c r="B107" s="2" t="s">
        <v>2117</v>
      </c>
      <c r="C107" s="878"/>
      <c r="D107" s="738"/>
      <c r="E107" s="2055">
        <v>0.16057055053889072</v>
      </c>
      <c r="F107" s="739">
        <v>3</v>
      </c>
      <c r="G107" s="730" t="s">
        <v>2118</v>
      </c>
      <c r="H107" s="2225"/>
      <c r="I107" s="2539"/>
      <c r="J107" s="2540"/>
      <c r="K107" s="2540"/>
      <c r="L107" s="2540"/>
      <c r="M107" s="2540"/>
    </row>
    <row r="108" spans="1:25" ht="15.75" x14ac:dyDescent="0.25">
      <c r="B108" s="2" t="s">
        <v>936</v>
      </c>
      <c r="C108" s="878"/>
      <c r="D108" s="736"/>
      <c r="E108" s="1188"/>
      <c r="F108" s="739">
        <v>3</v>
      </c>
      <c r="G108" s="730" t="s">
        <v>2118</v>
      </c>
      <c r="H108" s="2225" t="s">
        <v>2119</v>
      </c>
      <c r="I108" s="1128"/>
      <c r="J108" s="1129"/>
      <c r="K108" s="1129"/>
      <c r="L108" s="1129"/>
      <c r="M108" s="19"/>
    </row>
    <row r="109" spans="1:25" ht="15.75" x14ac:dyDescent="0.25">
      <c r="B109" s="2" t="s">
        <v>940</v>
      </c>
      <c r="C109" s="878"/>
      <c r="D109" s="739"/>
      <c r="E109" s="1943"/>
      <c r="F109" s="739">
        <v>3</v>
      </c>
      <c r="G109" s="730" t="s">
        <v>2118</v>
      </c>
      <c r="H109" s="2225" t="s">
        <v>2120</v>
      </c>
      <c r="I109" s="1134"/>
      <c r="J109" s="1135"/>
      <c r="K109" s="1136"/>
      <c r="L109" s="1136"/>
      <c r="M109" s="19"/>
    </row>
    <row r="110" spans="1:25" ht="15.75" x14ac:dyDescent="0.25">
      <c r="B110" s="2" t="s">
        <v>944</v>
      </c>
      <c r="C110" s="878"/>
      <c r="D110" s="739"/>
      <c r="E110" s="1943"/>
      <c r="F110" s="739">
        <v>3</v>
      </c>
      <c r="G110" s="730" t="s">
        <v>2118</v>
      </c>
      <c r="H110" s="2225" t="s">
        <v>2121</v>
      </c>
      <c r="I110" s="19"/>
      <c r="J110" s="1128"/>
      <c r="K110" s="19"/>
      <c r="L110" s="19"/>
      <c r="M110" s="19"/>
    </row>
    <row r="111" spans="1:25" ht="15.75" x14ac:dyDescent="0.25">
      <c r="B111" s="2" t="s">
        <v>948</v>
      </c>
      <c r="C111" s="732"/>
      <c r="D111" s="736"/>
      <c r="E111" s="1697" t="s">
        <v>2122</v>
      </c>
      <c r="F111" s="739"/>
      <c r="G111" s="730" t="s">
        <v>2123</v>
      </c>
      <c r="H111" s="2238"/>
      <c r="I111" s="1130"/>
      <c r="J111" s="19"/>
      <c r="K111" s="19"/>
      <c r="L111" s="19"/>
      <c r="M111" s="19"/>
    </row>
    <row r="112" spans="1:25" ht="15.75" x14ac:dyDescent="0.25">
      <c r="A112" s="129">
        <f>C112/(C112+E112+E113)</f>
        <v>0.8265353406064454</v>
      </c>
      <c r="B112" s="2" t="s">
        <v>2124</v>
      </c>
      <c r="C112" s="2239">
        <f>K126</f>
        <v>0.64435314687038892</v>
      </c>
      <c r="D112" s="833">
        <f>F112</f>
        <v>3</v>
      </c>
      <c r="E112" s="2222">
        <f>L126</f>
        <v>0.12376618255067202</v>
      </c>
      <c r="F112" s="739">
        <v>3</v>
      </c>
      <c r="G112" s="730" t="str">
        <f>IF(F112=1,"Catch",(IF(F112=3,"%TAA","%ETRS")))</f>
        <v>%TAA</v>
      </c>
      <c r="H112" s="2225" t="s">
        <v>2125</v>
      </c>
      <c r="I112" s="19"/>
      <c r="J112" s="1131"/>
      <c r="K112" s="1131"/>
      <c r="L112" s="1131"/>
      <c r="M112" s="19"/>
    </row>
    <row r="113" spans="1:18" ht="15.75" x14ac:dyDescent="0.25">
      <c r="A113" s="129">
        <f>C112+E112+E113+C144+E144</f>
        <v>0.94999999999999984</v>
      </c>
      <c r="B113" s="2" t="s">
        <v>2126</v>
      </c>
      <c r="C113" s="2240"/>
      <c r="D113" s="833">
        <f>F113</f>
        <v>3</v>
      </c>
      <c r="E113" s="2239">
        <f>L127</f>
        <v>1.1463968732426645E-2</v>
      </c>
      <c r="F113" s="739">
        <v>3</v>
      </c>
      <c r="G113" s="730" t="str">
        <f>IF(F113=1,"Catch",(IF(F113=3,"%TAA","%ETRS")))</f>
        <v>%TAA</v>
      </c>
      <c r="H113" s="2225" t="s">
        <v>2127</v>
      </c>
      <c r="I113" s="1132"/>
      <c r="J113" s="166"/>
      <c r="K113" s="1137"/>
      <c r="L113" s="1137"/>
      <c r="M113" s="19"/>
    </row>
    <row r="114" spans="1:18" ht="50.25" customHeight="1" x14ac:dyDescent="0.2">
      <c r="A114" s="864">
        <f>C114+E114+C149+E149+E151</f>
        <v>0.41509591816037222</v>
      </c>
      <c r="B114" s="2" t="s">
        <v>2128</v>
      </c>
      <c r="C114" s="2064">
        <v>0.18703327756287624</v>
      </c>
      <c r="D114" s="739">
        <v>4</v>
      </c>
      <c r="E114" s="2056">
        <v>2.0081206975538144E-2</v>
      </c>
      <c r="F114" s="739">
        <v>4</v>
      </c>
      <c r="G114" s="730" t="str">
        <f>IF(F114=1,"Catch",(IF(F114=3,"%TAA","%ETRS")))</f>
        <v>%ETRS</v>
      </c>
      <c r="H114" s="2241" t="s">
        <v>2129</v>
      </c>
      <c r="I114" s="166"/>
      <c r="J114" s="166"/>
      <c r="K114" s="1137"/>
      <c r="L114" s="1137"/>
      <c r="M114" s="19"/>
    </row>
    <row r="115" spans="1:18" ht="16.5" thickBot="1" x14ac:dyDescent="0.3">
      <c r="B115" s="2" t="s">
        <v>967</v>
      </c>
      <c r="C115" s="878"/>
      <c r="D115" s="834"/>
      <c r="E115" s="2088">
        <v>1200</v>
      </c>
      <c r="F115" s="738">
        <v>1</v>
      </c>
      <c r="G115" s="730" t="str">
        <f>IF(F115=1,"Catch",(IF(F115=3,"%TAA","%ETRS")))</f>
        <v>Catch</v>
      </c>
      <c r="H115" s="2224" t="s">
        <v>2130</v>
      </c>
      <c r="I115" s="7"/>
      <c r="K115" s="7"/>
    </row>
    <row r="116" spans="1:18" x14ac:dyDescent="0.2">
      <c r="D116" s="34"/>
      <c r="F116" s="34"/>
      <c r="H116" s="21"/>
      <c r="I116" s="607"/>
      <c r="J116" s="216"/>
      <c r="K116" s="216"/>
      <c r="L116" s="25"/>
      <c r="M116" s="95"/>
    </row>
    <row r="117" spans="1:18" ht="15.75" x14ac:dyDescent="0.25">
      <c r="A117" s="768"/>
      <c r="B117" s="835" t="s">
        <v>687</v>
      </c>
      <c r="C117" s="768"/>
      <c r="D117" s="826"/>
      <c r="E117" s="768"/>
      <c r="F117" s="826"/>
      <c r="G117" s="768"/>
      <c r="H117" s="827"/>
      <c r="I117" s="1189"/>
      <c r="J117" s="1190" t="s">
        <v>2131</v>
      </c>
      <c r="K117" s="1190"/>
      <c r="L117" s="1190"/>
      <c r="M117" s="1191"/>
    </row>
    <row r="118" spans="1:18" ht="15.75" x14ac:dyDescent="0.25">
      <c r="B118" s="7" t="s">
        <v>650</v>
      </c>
      <c r="C118" s="2418" t="s">
        <v>7529</v>
      </c>
      <c r="D118" s="824"/>
      <c r="E118" s="2194" t="s">
        <v>2132</v>
      </c>
      <c r="F118" s="825"/>
      <c r="G118" s="768"/>
      <c r="H118" s="768"/>
      <c r="I118" s="1189" t="s">
        <v>2133</v>
      </c>
      <c r="J118" s="2242"/>
      <c r="K118" s="2243" t="s">
        <v>2134</v>
      </c>
      <c r="L118" s="2244"/>
      <c r="M118" s="1191"/>
    </row>
    <row r="119" spans="1:18" x14ac:dyDescent="0.2">
      <c r="B119" s="2" t="s">
        <v>909</v>
      </c>
      <c r="C119" s="768"/>
      <c r="D119" s="836"/>
      <c r="E119" s="768"/>
      <c r="F119" s="836"/>
      <c r="G119" s="768"/>
      <c r="H119" s="768"/>
      <c r="I119" s="1192"/>
      <c r="J119" s="1193"/>
      <c r="K119" s="1190" t="s">
        <v>2135</v>
      </c>
      <c r="L119" s="1194" t="s">
        <v>615</v>
      </c>
      <c r="M119" s="1191"/>
    </row>
    <row r="120" spans="1:18" ht="15.75" x14ac:dyDescent="0.25">
      <c r="B120" s="22" t="s">
        <v>2029</v>
      </c>
      <c r="C120" s="2222">
        <f>SUM(C121:C123)</f>
        <v>0</v>
      </c>
      <c r="D120" s="836">
        <f>F120</f>
        <v>3</v>
      </c>
      <c r="E120" s="2222">
        <f>SUM(E121:E123)</f>
        <v>2.3215929976979292E-2</v>
      </c>
      <c r="F120" s="836">
        <v>3</v>
      </c>
      <c r="G120" s="768" t="str">
        <f>IF(F120=1,"Catch",(IF(F120=3,"%TAA","%ETRS")))</f>
        <v>%TAA</v>
      </c>
      <c r="H120" s="2197" t="s">
        <v>2136</v>
      </c>
      <c r="I120" s="1195">
        <v>0.95</v>
      </c>
      <c r="J120" s="1193" t="s">
        <v>2137</v>
      </c>
      <c r="K120" s="2245">
        <v>0.69052643952732573</v>
      </c>
      <c r="L120" s="2246">
        <v>0.13263506477108206</v>
      </c>
      <c r="M120" s="2057" t="s">
        <v>2138</v>
      </c>
      <c r="O120" s="22"/>
      <c r="Q120" s="324"/>
      <c r="R120" s="325"/>
    </row>
    <row r="121" spans="1:18" ht="15.75" x14ac:dyDescent="0.25">
      <c r="B121" s="2" t="s">
        <v>2033</v>
      </c>
      <c r="C121" s="2247">
        <v>0</v>
      </c>
      <c r="D121" s="836">
        <f>D$120</f>
        <v>3</v>
      </c>
      <c r="E121" s="2247">
        <v>0</v>
      </c>
      <c r="F121" s="836">
        <f>F$120</f>
        <v>3</v>
      </c>
      <c r="G121" s="768" t="str">
        <f t="shared" ref="G121:G151" si="14">IF(F121=1,"Catch",(IF(F121=3,"%TAA","%ETRS")))</f>
        <v>%TAA</v>
      </c>
      <c r="H121" s="2196" t="s">
        <v>2139</v>
      </c>
      <c r="I121" s="1196">
        <f>SUM(K120:L122)</f>
        <v>1.0180754462628756</v>
      </c>
      <c r="J121" s="1193" t="s">
        <v>2140</v>
      </c>
      <c r="K121" s="2058"/>
      <c r="L121" s="2059">
        <v>1.2285457982325169E-2</v>
      </c>
      <c r="M121" s="2057" t="s">
        <v>2138</v>
      </c>
      <c r="Q121" s="326"/>
      <c r="R121" s="326"/>
    </row>
    <row r="122" spans="1:18" ht="15.75" x14ac:dyDescent="0.25">
      <c r="B122" s="2" t="s">
        <v>2038</v>
      </c>
      <c r="C122" s="2247">
        <v>0</v>
      </c>
      <c r="D122" s="836">
        <f>D$120</f>
        <v>3</v>
      </c>
      <c r="E122" s="2247">
        <v>0</v>
      </c>
      <c r="F122" s="836">
        <f t="shared" ref="F122:F129" si="15">F$120</f>
        <v>3</v>
      </c>
      <c r="G122" s="768" t="str">
        <f t="shared" si="14"/>
        <v>%TAA</v>
      </c>
      <c r="H122" s="2196" t="s">
        <v>2139</v>
      </c>
      <c r="I122" s="1196">
        <f>I120/I121</f>
        <v>0.93313320096976582</v>
      </c>
      <c r="J122" s="1698" t="s">
        <v>2141</v>
      </c>
      <c r="K122" s="2060">
        <v>0.1770179887862815</v>
      </c>
      <c r="L122" s="2061">
        <v>5.6104951958610497E-3</v>
      </c>
      <c r="M122" s="2057" t="s">
        <v>2142</v>
      </c>
      <c r="N122" s="1200">
        <f>SUM(K120:L122)</f>
        <v>1.0180754462628756</v>
      </c>
    </row>
    <row r="123" spans="1:18" ht="15.75" x14ac:dyDescent="0.25">
      <c r="B123" s="2" t="s">
        <v>2043</v>
      </c>
      <c r="C123" s="842"/>
      <c r="D123" s="825"/>
      <c r="E123" s="2248">
        <f>SUM(E124:E129)</f>
        <v>2.3215929976979292E-2</v>
      </c>
      <c r="F123" s="836">
        <f t="shared" si="15"/>
        <v>3</v>
      </c>
      <c r="G123" s="768" t="str">
        <f t="shared" si="14"/>
        <v>%TAA</v>
      </c>
      <c r="H123" s="2197" t="s">
        <v>2136</v>
      </c>
      <c r="I123" s="1190"/>
      <c r="J123" s="1190"/>
      <c r="K123" s="1190"/>
      <c r="L123" s="1190"/>
      <c r="M123" s="1191"/>
    </row>
    <row r="124" spans="1:18" ht="15.75" x14ac:dyDescent="0.25">
      <c r="B124" s="7" t="s">
        <v>2143</v>
      </c>
      <c r="C124" s="842"/>
      <c r="D124" s="836"/>
      <c r="E124" s="2249">
        <v>5.4341944742197076E-3</v>
      </c>
      <c r="F124" s="836">
        <f t="shared" si="15"/>
        <v>3</v>
      </c>
      <c r="G124" s="768" t="str">
        <f t="shared" si="14"/>
        <v>%TAA</v>
      </c>
      <c r="H124" s="2196"/>
      <c r="I124" s="1192"/>
      <c r="J124" s="2250"/>
      <c r="K124" s="2243" t="s">
        <v>2144</v>
      </c>
      <c r="L124" s="2244"/>
      <c r="M124" s="1191"/>
    </row>
    <row r="125" spans="1:18" ht="15.75" x14ac:dyDescent="0.25">
      <c r="B125" s="7" t="s">
        <v>2145</v>
      </c>
      <c r="C125" s="842"/>
      <c r="D125" s="836"/>
      <c r="E125" s="2249">
        <v>7.7716887367795667E-3</v>
      </c>
      <c r="F125" s="836">
        <f t="shared" si="15"/>
        <v>3</v>
      </c>
      <c r="G125" s="768" t="str">
        <f t="shared" si="14"/>
        <v>%TAA</v>
      </c>
      <c r="H125" s="2251"/>
      <c r="I125" s="1192"/>
      <c r="J125" s="1193"/>
      <c r="K125" s="1190" t="s">
        <v>2135</v>
      </c>
      <c r="L125" s="1194" t="s">
        <v>615</v>
      </c>
      <c r="M125" s="1191"/>
    </row>
    <row r="126" spans="1:18" ht="15.75" x14ac:dyDescent="0.25">
      <c r="B126" s="7" t="s">
        <v>2146</v>
      </c>
      <c r="C126" s="842"/>
      <c r="D126" s="836"/>
      <c r="E126" s="2249">
        <v>3.820334959072583E-3</v>
      </c>
      <c r="F126" s="836">
        <f t="shared" si="15"/>
        <v>3</v>
      </c>
      <c r="G126" s="768" t="str">
        <f t="shared" si="14"/>
        <v>%TAA</v>
      </c>
      <c r="H126" s="2252"/>
      <c r="I126" s="1197">
        <f>I120/I121*SUM(K120:L121)</f>
        <v>0.77958329815348748</v>
      </c>
      <c r="J126" s="1193" t="s">
        <v>2137</v>
      </c>
      <c r="K126" s="2253">
        <f>$I$122*K120</f>
        <v>0.64435314687038892</v>
      </c>
      <c r="L126" s="2254">
        <f>$I$122*L120</f>
        <v>0.12376618255067202</v>
      </c>
      <c r="M126" s="1191"/>
    </row>
    <row r="127" spans="1:18" ht="15.75" x14ac:dyDescent="0.25">
      <c r="B127" s="7" t="s">
        <v>2147</v>
      </c>
      <c r="C127" s="842"/>
      <c r="D127" s="836"/>
      <c r="E127" s="2249">
        <v>6.1565709879029522E-3</v>
      </c>
      <c r="F127" s="836">
        <f t="shared" si="15"/>
        <v>3</v>
      </c>
      <c r="G127" s="768" t="str">
        <f>IF(F127=1,"Catch",(IF(F127=3,"%TAA","%ETRS")))</f>
        <v>%TAA</v>
      </c>
      <c r="H127" s="2255"/>
      <c r="I127" s="1192"/>
      <c r="J127" s="1193" t="s">
        <v>2140</v>
      </c>
      <c r="K127" s="1198"/>
      <c r="L127" s="1199">
        <f>$I$122*L121</f>
        <v>1.1463968732426645E-2</v>
      </c>
      <c r="M127" s="1191"/>
    </row>
    <row r="128" spans="1:18" ht="15.75" x14ac:dyDescent="0.25">
      <c r="B128" s="7" t="s">
        <v>2148</v>
      </c>
      <c r="C128" s="842"/>
      <c r="D128" s="836"/>
      <c r="E128" s="2249">
        <v>3.3140819004482876E-5</v>
      </c>
      <c r="F128" s="836">
        <f t="shared" si="15"/>
        <v>3</v>
      </c>
      <c r="G128" s="768" t="str">
        <f t="shared" si="14"/>
        <v>%TAA</v>
      </c>
      <c r="H128" s="2256"/>
      <c r="I128" s="1197">
        <f>I120/I121*SUM(K122:L122)</f>
        <v>0.17041670184651228</v>
      </c>
      <c r="J128" s="1698" t="s">
        <v>2141</v>
      </c>
      <c r="K128" s="1699">
        <f>$I$122*K122</f>
        <v>0.16518136250537296</v>
      </c>
      <c r="L128" s="1950">
        <f>$I$122*L122</f>
        <v>5.2353393411393142E-3</v>
      </c>
      <c r="M128" s="1191"/>
      <c r="N128" s="1200">
        <f>SUM(K126:L128)</f>
        <v>0.94999999999999984</v>
      </c>
    </row>
    <row r="129" spans="1:21" ht="16.5" thickBot="1" x14ac:dyDescent="0.3">
      <c r="B129" s="7" t="s">
        <v>2149</v>
      </c>
      <c r="C129" s="842"/>
      <c r="D129" s="836"/>
      <c r="E129" s="2249">
        <v>0</v>
      </c>
      <c r="F129" s="836">
        <f t="shared" si="15"/>
        <v>3</v>
      </c>
      <c r="G129" s="768" t="str">
        <f t="shared" si="14"/>
        <v>%TAA</v>
      </c>
      <c r="H129" s="2196" t="s">
        <v>2150</v>
      </c>
      <c r="I129" s="217"/>
      <c r="J129" s="217"/>
      <c r="K129" s="217"/>
      <c r="L129" s="217"/>
      <c r="M129" s="873"/>
    </row>
    <row r="130" spans="1:21" x14ac:dyDescent="0.2">
      <c r="B130" s="7"/>
      <c r="C130" s="826"/>
      <c r="D130" s="838"/>
      <c r="E130" s="826"/>
      <c r="F130" s="838"/>
      <c r="G130" s="768"/>
      <c r="H130" s="768"/>
    </row>
    <row r="131" spans="1:21" ht="15.75" x14ac:dyDescent="0.25">
      <c r="B131" s="22" t="s">
        <v>2084</v>
      </c>
      <c r="C131" s="2415">
        <f>SUM(C132:C134)</f>
        <v>3.3E-4</v>
      </c>
      <c r="D131" s="825">
        <f>F131</f>
        <v>3</v>
      </c>
      <c r="E131" s="2222">
        <f>SUM(E132:E134)</f>
        <v>1.332282153130811E-4</v>
      </c>
      <c r="F131" s="825">
        <v>3</v>
      </c>
      <c r="G131" s="768" t="str">
        <f t="shared" si="14"/>
        <v>%TAA</v>
      </c>
      <c r="H131" s="2417" t="s">
        <v>7528</v>
      </c>
    </row>
    <row r="132" spans="1:21" ht="15.75" x14ac:dyDescent="0.25">
      <c r="B132" s="2" t="s">
        <v>2033</v>
      </c>
      <c r="C132" s="2416">
        <v>3.3E-4</v>
      </c>
      <c r="D132" s="836">
        <f>D$131</f>
        <v>3</v>
      </c>
      <c r="E132" s="2247">
        <v>0</v>
      </c>
      <c r="F132" s="836">
        <f>F$131</f>
        <v>3</v>
      </c>
      <c r="G132" s="768" t="str">
        <f t="shared" si="14"/>
        <v>%TAA</v>
      </c>
      <c r="H132" s="2196" t="s">
        <v>1825</v>
      </c>
      <c r="J132" s="501"/>
      <c r="K132" s="218"/>
      <c r="M132" s="218"/>
      <c r="N132" s="218"/>
      <c r="O132" s="218"/>
      <c r="P132" s="218"/>
      <c r="Q132" s="218"/>
      <c r="R132" s="218"/>
    </row>
    <row r="133" spans="1:21" x14ac:dyDescent="0.2">
      <c r="B133" s="2" t="s">
        <v>2038</v>
      </c>
      <c r="C133" s="2247">
        <v>0</v>
      </c>
      <c r="D133" s="836">
        <f>D$131</f>
        <v>3</v>
      </c>
      <c r="E133" s="2247">
        <v>0</v>
      </c>
      <c r="F133" s="836">
        <f t="shared" ref="F133:F140" si="16">F$131</f>
        <v>3</v>
      </c>
      <c r="G133" s="768" t="str">
        <f t="shared" si="14"/>
        <v>%TAA</v>
      </c>
      <c r="H133" s="2251"/>
      <c r="J133" s="218"/>
      <c r="K133" s="218"/>
      <c r="L133" s="856"/>
      <c r="M133" s="218"/>
      <c r="N133" s="219"/>
      <c r="O133" s="218"/>
      <c r="P133" s="218"/>
      <c r="Q133" s="218"/>
      <c r="R133" s="218"/>
    </row>
    <row r="134" spans="1:21" ht="15.75" x14ac:dyDescent="0.25">
      <c r="B134" s="2" t="s">
        <v>2043</v>
      </c>
      <c r="C134" s="837"/>
      <c r="D134" s="825"/>
      <c r="E134" s="2257">
        <f>SUM(E135:E140)</f>
        <v>1.332282153130811E-4</v>
      </c>
      <c r="F134" s="836">
        <f t="shared" si="16"/>
        <v>3</v>
      </c>
      <c r="G134" s="768" t="str">
        <f t="shared" si="14"/>
        <v>%TAA</v>
      </c>
      <c r="H134" s="2197" t="s">
        <v>2151</v>
      </c>
      <c r="J134" s="218"/>
      <c r="K134" s="218"/>
      <c r="L134" s="218"/>
      <c r="M134" s="218"/>
      <c r="N134" s="219"/>
      <c r="O134" s="218"/>
      <c r="P134" s="218"/>
      <c r="Q134" s="218"/>
      <c r="R134" s="218"/>
    </row>
    <row r="135" spans="1:21" ht="15.75" x14ac:dyDescent="0.25">
      <c r="B135" s="7" t="s">
        <v>2145</v>
      </c>
      <c r="C135" s="866"/>
      <c r="D135" s="825"/>
      <c r="E135" s="2258">
        <v>0</v>
      </c>
      <c r="F135" s="836">
        <f t="shared" si="16"/>
        <v>3</v>
      </c>
      <c r="G135" s="768" t="str">
        <f t="shared" si="14"/>
        <v>%TAA</v>
      </c>
      <c r="H135" s="2251"/>
      <c r="I135" s="502"/>
      <c r="K135" s="220"/>
      <c r="L135" s="220"/>
      <c r="M135" s="220"/>
      <c r="N135" s="220"/>
      <c r="O135" s="503"/>
      <c r="P135" s="218"/>
      <c r="Q135" s="218"/>
      <c r="R135" s="218"/>
    </row>
    <row r="136" spans="1:21" ht="15.75" x14ac:dyDescent="0.25">
      <c r="B136" s="7" t="s">
        <v>2146</v>
      </c>
      <c r="C136" s="837"/>
      <c r="D136" s="825"/>
      <c r="E136" s="2258">
        <v>0</v>
      </c>
      <c r="F136" s="836">
        <f t="shared" si="16"/>
        <v>3</v>
      </c>
      <c r="G136" s="768" t="str">
        <f t="shared" si="14"/>
        <v>%TAA</v>
      </c>
      <c r="H136" s="2251"/>
      <c r="I136" s="7"/>
      <c r="J136" s="218"/>
      <c r="K136" s="220"/>
      <c r="L136" s="220"/>
      <c r="M136" s="220"/>
      <c r="N136" s="220"/>
      <c r="O136" s="503"/>
      <c r="P136" s="218"/>
      <c r="Q136" s="220"/>
      <c r="R136" s="220"/>
    </row>
    <row r="137" spans="1:21" ht="15.75" x14ac:dyDescent="0.25">
      <c r="B137" s="7" t="s">
        <v>2147</v>
      </c>
      <c r="C137" s="837"/>
      <c r="D137" s="825"/>
      <c r="E137" s="2249">
        <v>3.6210177034847401E-5</v>
      </c>
      <c r="F137" s="836">
        <f t="shared" si="16"/>
        <v>3</v>
      </c>
      <c r="G137" s="768" t="str">
        <f t="shared" si="14"/>
        <v>%TAA</v>
      </c>
      <c r="H137" s="2259" t="s">
        <v>2152</v>
      </c>
      <c r="I137" s="502"/>
      <c r="L137" s="220"/>
      <c r="M137" s="220"/>
      <c r="N137" s="220"/>
      <c r="O137" s="218"/>
      <c r="P137" s="218"/>
      <c r="Q137" s="220"/>
      <c r="R137" s="220"/>
      <c r="T137" s="218"/>
      <c r="U137" s="218"/>
    </row>
    <row r="138" spans="1:21" ht="15.75" x14ac:dyDescent="0.25">
      <c r="B138" s="7" t="s">
        <v>2148</v>
      </c>
      <c r="C138" s="837"/>
      <c r="D138" s="825"/>
      <c r="E138" s="2249">
        <v>1.8105088517423677E-5</v>
      </c>
      <c r="F138" s="836">
        <f t="shared" si="16"/>
        <v>3</v>
      </c>
      <c r="G138" s="768" t="str">
        <f t="shared" si="14"/>
        <v>%TAA</v>
      </c>
      <c r="H138" s="2260" t="s">
        <v>2152</v>
      </c>
      <c r="J138" s="218"/>
      <c r="L138" s="220"/>
      <c r="M138" s="220"/>
      <c r="N138" s="220"/>
      <c r="O138" s="218"/>
      <c r="P138" s="218"/>
      <c r="Q138" s="220"/>
      <c r="R138" s="220"/>
      <c r="T138" s="218"/>
      <c r="U138" s="218"/>
    </row>
    <row r="139" spans="1:21" ht="15.75" x14ac:dyDescent="0.25">
      <c r="B139" s="7" t="s">
        <v>2149</v>
      </c>
      <c r="C139" s="837"/>
      <c r="D139" s="825"/>
      <c r="E139" s="2249">
        <v>1.62144266967286E-5</v>
      </c>
      <c r="F139" s="836">
        <f t="shared" si="16"/>
        <v>3</v>
      </c>
      <c r="G139" s="768" t="str">
        <f t="shared" si="14"/>
        <v>%TAA</v>
      </c>
      <c r="H139" s="2260" t="s">
        <v>2152</v>
      </c>
      <c r="I139" s="184"/>
      <c r="J139" s="218"/>
      <c r="K139" s="218"/>
      <c r="L139" s="220"/>
      <c r="M139" s="218"/>
      <c r="N139" s="218"/>
      <c r="O139" s="219"/>
      <c r="P139" s="218"/>
      <c r="Q139" s="218"/>
      <c r="R139" s="218"/>
      <c r="T139" s="218"/>
    </row>
    <row r="140" spans="1:21" ht="15.75" x14ac:dyDescent="0.25">
      <c r="B140" s="7" t="s">
        <v>2153</v>
      </c>
      <c r="C140" s="837"/>
      <c r="D140" s="825"/>
      <c r="E140" s="2249">
        <v>6.2698523064081416E-5</v>
      </c>
      <c r="F140" s="836">
        <f t="shared" si="16"/>
        <v>3</v>
      </c>
      <c r="G140" s="768" t="str">
        <f t="shared" si="14"/>
        <v>%TAA</v>
      </c>
      <c r="H140" s="2260" t="s">
        <v>2154</v>
      </c>
      <c r="I140" s="7"/>
      <c r="J140" s="218"/>
      <c r="K140" s="218"/>
      <c r="L140" s="220"/>
      <c r="M140" s="220"/>
      <c r="N140" s="218"/>
      <c r="O140" s="218"/>
      <c r="P140" s="219"/>
      <c r="Q140" s="218"/>
      <c r="R140" s="218"/>
    </row>
    <row r="141" spans="1:21" x14ac:dyDescent="0.2">
      <c r="B141" s="7"/>
      <c r="C141" s="769"/>
      <c r="D141" s="840"/>
      <c r="E141" s="769"/>
      <c r="F141" s="840"/>
      <c r="G141" s="768"/>
      <c r="H141" s="827"/>
    </row>
    <row r="142" spans="1:21" x14ac:dyDescent="0.2">
      <c r="B142" s="2" t="s">
        <v>933</v>
      </c>
      <c r="C142" s="768"/>
      <c r="D142" s="826"/>
      <c r="E142" s="768"/>
      <c r="F142" s="826"/>
      <c r="G142" s="768"/>
      <c r="H142" s="841"/>
      <c r="T142" s="220"/>
    </row>
    <row r="143" spans="1:21" ht="24" customHeight="1" x14ac:dyDescent="0.25">
      <c r="B143" s="2" t="s">
        <v>992</v>
      </c>
      <c r="C143" s="835"/>
      <c r="D143" s="824"/>
      <c r="E143" s="2196">
        <v>0</v>
      </c>
      <c r="F143" s="825">
        <v>1</v>
      </c>
      <c r="G143" s="768" t="str">
        <f>IF(F143=1,"Catch",(IF(F143=3,"%TAA","%ETRS")))</f>
        <v>Catch</v>
      </c>
      <c r="H143" s="2199" t="s">
        <v>1825</v>
      </c>
    </row>
    <row r="144" spans="1:21" ht="15.75" x14ac:dyDescent="0.25">
      <c r="A144" s="129">
        <f>C144/(C144+E144)</f>
        <v>0.96927918869211194</v>
      </c>
      <c r="B144" s="2" t="s">
        <v>2155</v>
      </c>
      <c r="C144" s="2261">
        <f>K128</f>
        <v>0.16518136250537296</v>
      </c>
      <c r="D144" s="836">
        <f>F144</f>
        <v>3</v>
      </c>
      <c r="E144" s="2261">
        <f>L128</f>
        <v>5.2353393411393142E-3</v>
      </c>
      <c r="F144" s="825">
        <v>3</v>
      </c>
      <c r="G144" s="768" t="str">
        <f t="shared" si="14"/>
        <v>%TAA</v>
      </c>
      <c r="H144" s="2262" t="s">
        <v>2156</v>
      </c>
      <c r="T144" s="218"/>
    </row>
    <row r="145" spans="1:36" x14ac:dyDescent="0.2">
      <c r="B145" s="2" t="s">
        <v>2157</v>
      </c>
      <c r="C145" s="2263" t="s">
        <v>297</v>
      </c>
      <c r="D145" s="836"/>
      <c r="E145" s="2263" t="s">
        <v>297</v>
      </c>
      <c r="F145" s="836"/>
      <c r="G145" s="768"/>
      <c r="H145" s="2089"/>
      <c r="T145" s="218"/>
      <c r="U145" s="218"/>
    </row>
    <row r="146" spans="1:36" x14ac:dyDescent="0.2">
      <c r="B146" s="2" t="s">
        <v>2158</v>
      </c>
      <c r="C146" s="2196">
        <v>0</v>
      </c>
      <c r="D146" s="825">
        <v>3</v>
      </c>
      <c r="E146" s="2196">
        <v>0</v>
      </c>
      <c r="F146" s="825">
        <v>3</v>
      </c>
      <c r="G146" s="768" t="str">
        <f t="shared" si="14"/>
        <v>%TAA</v>
      </c>
      <c r="H146" s="2199" t="s">
        <v>2159</v>
      </c>
    </row>
    <row r="147" spans="1:36" ht="15.75" x14ac:dyDescent="0.25">
      <c r="B147" s="22" t="s">
        <v>985</v>
      </c>
      <c r="C147" s="876"/>
      <c r="D147" s="824"/>
      <c r="E147" s="2196">
        <v>0</v>
      </c>
      <c r="F147" s="825">
        <v>1</v>
      </c>
      <c r="G147" s="768" t="str">
        <f t="shared" si="14"/>
        <v>Catch</v>
      </c>
      <c r="H147" s="2199" t="s">
        <v>1825</v>
      </c>
    </row>
    <row r="148" spans="1:36" ht="16.350000000000001" customHeight="1" x14ac:dyDescent="0.25">
      <c r="B148" s="22" t="s">
        <v>986</v>
      </c>
      <c r="C148" s="876"/>
      <c r="D148" s="824"/>
      <c r="E148" s="2197">
        <v>0</v>
      </c>
      <c r="F148" s="825">
        <v>1</v>
      </c>
      <c r="G148" s="768" t="str">
        <f t="shared" si="14"/>
        <v>Catch</v>
      </c>
      <c r="H148" s="2197" t="s">
        <v>2160</v>
      </c>
    </row>
    <row r="149" spans="1:36" x14ac:dyDescent="0.2">
      <c r="B149" s="2" t="s">
        <v>2161</v>
      </c>
      <c r="C149" s="2264">
        <v>6.6594901830239708E-2</v>
      </c>
      <c r="D149" s="836">
        <v>4</v>
      </c>
      <c r="E149" s="2265">
        <v>0</v>
      </c>
      <c r="F149" s="825">
        <v>4</v>
      </c>
      <c r="G149" s="768" t="str">
        <f t="shared" si="14"/>
        <v>%ETRS</v>
      </c>
      <c r="H149" s="2262" t="s">
        <v>2162</v>
      </c>
      <c r="J149" s="218"/>
      <c r="K149" s="218"/>
      <c r="L149" s="218"/>
      <c r="M149" s="218"/>
      <c r="N149" s="218"/>
      <c r="O149" s="218"/>
      <c r="P149" s="218"/>
      <c r="Q149" s="218"/>
      <c r="R149" s="218"/>
      <c r="S149" s="218"/>
      <c r="T149" s="218"/>
    </row>
    <row r="150" spans="1:36" ht="15.75" x14ac:dyDescent="0.25">
      <c r="B150" s="2" t="s">
        <v>2163</v>
      </c>
      <c r="C150" s="1700">
        <v>0</v>
      </c>
      <c r="D150" s="824"/>
      <c r="E150" s="2266">
        <v>0</v>
      </c>
      <c r="F150" s="825"/>
      <c r="G150" s="768"/>
      <c r="H150" s="2267" t="s">
        <v>2159</v>
      </c>
    </row>
    <row r="151" spans="1:36" ht="15.75" x14ac:dyDescent="0.25">
      <c r="B151" s="2" t="s">
        <v>2164</v>
      </c>
      <c r="C151" s="876"/>
      <c r="D151" s="824"/>
      <c r="E151" s="2056">
        <v>0.14138653179171812</v>
      </c>
      <c r="F151" s="825">
        <v>4</v>
      </c>
      <c r="G151" s="768" t="str">
        <f t="shared" si="14"/>
        <v>%ETRS</v>
      </c>
      <c r="H151" s="2268" t="s">
        <v>2165</v>
      </c>
    </row>
    <row r="152" spans="1:36" x14ac:dyDescent="0.2">
      <c r="A152" s="6" t="s">
        <v>125</v>
      </c>
      <c r="B152" s="6" t="s">
        <v>125</v>
      </c>
      <c r="C152" s="6" t="s">
        <v>125</v>
      </c>
      <c r="D152" s="605"/>
      <c r="E152" s="6" t="s">
        <v>125</v>
      </c>
      <c r="F152" s="605"/>
      <c r="G152" s="6" t="s">
        <v>125</v>
      </c>
      <c r="H152" s="6" t="s">
        <v>125</v>
      </c>
      <c r="J152"/>
      <c r="K152"/>
      <c r="L152"/>
      <c r="M152"/>
      <c r="N152"/>
      <c r="O152"/>
      <c r="P152"/>
      <c r="Q152"/>
      <c r="R152"/>
      <c r="S152"/>
      <c r="T152"/>
      <c r="U152"/>
      <c r="V152"/>
      <c r="W152"/>
      <c r="X152"/>
      <c r="Y152"/>
      <c r="Z152"/>
      <c r="AA152"/>
      <c r="AB152"/>
      <c r="AC152"/>
      <c r="AD152"/>
      <c r="AE152"/>
      <c r="AF152"/>
      <c r="AG152"/>
      <c r="AH152"/>
      <c r="AI152"/>
      <c r="AJ152"/>
    </row>
    <row r="153" spans="1:36" x14ac:dyDescent="0.2">
      <c r="A153" s="6"/>
      <c r="B153" s="6"/>
      <c r="C153" s="6"/>
      <c r="D153" s="605"/>
      <c r="E153" s="6"/>
      <c r="F153" s="605"/>
      <c r="G153" s="6"/>
      <c r="H153" s="164"/>
    </row>
    <row r="154" spans="1:36" x14ac:dyDescent="0.2">
      <c r="C154" s="867"/>
      <c r="E154" s="868"/>
      <c r="F154" s="34"/>
      <c r="G154" s="199"/>
      <c r="H154" s="21"/>
    </row>
    <row r="155" spans="1:36" x14ac:dyDescent="0.2">
      <c r="D155" s="34"/>
      <c r="F155" s="34"/>
      <c r="G155" s="199"/>
      <c r="H155" s="21"/>
    </row>
    <row r="156" spans="1:36" ht="15.75" x14ac:dyDescent="0.25">
      <c r="A156" s="1" t="s">
        <v>2166</v>
      </c>
      <c r="D156" s="34"/>
      <c r="F156" s="34"/>
      <c r="G156" s="199"/>
      <c r="H156" s="21"/>
    </row>
    <row r="157" spans="1:36" ht="15.75" x14ac:dyDescent="0.25">
      <c r="A157" s="1"/>
      <c r="B157" s="608" t="s">
        <v>2167</v>
      </c>
      <c r="C157" s="2269">
        <v>0</v>
      </c>
      <c r="D157" s="7"/>
      <c r="E157" s="2269">
        <v>0</v>
      </c>
      <c r="F157" s="7"/>
      <c r="H157" s="2270" t="s">
        <v>2168</v>
      </c>
    </row>
    <row r="158" spans="1:36" ht="15.75" x14ac:dyDescent="0.25">
      <c r="A158" s="1"/>
      <c r="D158" s="323"/>
      <c r="F158" s="323"/>
    </row>
    <row r="159" spans="1:36" ht="72.75" customHeight="1" x14ac:dyDescent="0.25">
      <c r="A159" s="861"/>
      <c r="B159" s="730" t="s">
        <v>2169</v>
      </c>
      <c r="C159" s="2197">
        <v>75</v>
      </c>
      <c r="D159" s="1201">
        <v>1</v>
      </c>
      <c r="E159" s="2271">
        <v>135</v>
      </c>
      <c r="F159" s="738">
        <v>1</v>
      </c>
      <c r="G159" s="730" t="str">
        <f>IF(F159=1,"Catch",(IF(F159=3,"%TAA","%ETRS")))</f>
        <v>Catch</v>
      </c>
      <c r="H159" s="2272" t="s">
        <v>2170</v>
      </c>
    </row>
    <row r="160" spans="1:36" ht="15.75" x14ac:dyDescent="0.25">
      <c r="A160" s="1"/>
      <c r="C160" s="505"/>
      <c r="D160" s="323"/>
      <c r="E160" s="505"/>
      <c r="F160" s="323"/>
    </row>
    <row r="161" spans="1:12" ht="15.75" x14ac:dyDescent="0.25">
      <c r="A161" s="1"/>
      <c r="C161" s="505"/>
      <c r="D161" s="323"/>
      <c r="E161" s="505"/>
      <c r="F161" s="323"/>
      <c r="G161" s="30"/>
    </row>
    <row r="162" spans="1:12" ht="15.75" x14ac:dyDescent="0.25">
      <c r="A162" s="861"/>
      <c r="B162" s="861" t="s">
        <v>635</v>
      </c>
      <c r="C162" s="741"/>
      <c r="D162" s="738"/>
      <c r="E162" s="741"/>
      <c r="F162" s="738"/>
      <c r="G162" s="759"/>
      <c r="H162" s="730"/>
    </row>
    <row r="163" spans="1:12" ht="15.75" x14ac:dyDescent="0.25">
      <c r="A163" s="1"/>
      <c r="B163" s="155"/>
      <c r="C163" s="742"/>
      <c r="D163" s="743"/>
      <c r="E163" s="744"/>
      <c r="F163" s="732"/>
      <c r="G163" s="730"/>
      <c r="H163" s="730"/>
    </row>
    <row r="164" spans="1:12" ht="15.75" x14ac:dyDescent="0.25">
      <c r="A164" s="1"/>
      <c r="B164" s="2" t="s">
        <v>2171</v>
      </c>
      <c r="C164" s="741"/>
      <c r="D164" s="738"/>
      <c r="E164" s="741"/>
      <c r="F164" s="738"/>
      <c r="G164" s="730"/>
      <c r="H164" s="730"/>
    </row>
    <row r="165" spans="1:12" ht="51" customHeight="1" x14ac:dyDescent="0.2">
      <c r="A165" s="505" t="s">
        <v>2172</v>
      </c>
      <c r="B165" s="2" t="s">
        <v>2173</v>
      </c>
      <c r="C165" s="2197">
        <v>2000</v>
      </c>
      <c r="D165" s="739">
        <v>1</v>
      </c>
      <c r="E165" s="2197">
        <v>500</v>
      </c>
      <c r="F165" s="738">
        <v>1</v>
      </c>
      <c r="G165" s="730" t="str">
        <f>IF(F165=1,"Catch",(IF(F165=3,"%TAA","%ETRS")))</f>
        <v>Catch</v>
      </c>
      <c r="H165" s="2273" t="s">
        <v>2174</v>
      </c>
      <c r="I165" s="2" t="s">
        <v>191</v>
      </c>
    </row>
    <row r="166" spans="1:12" x14ac:dyDescent="0.2">
      <c r="A166" s="505"/>
      <c r="B166" s="2" t="s">
        <v>2175</v>
      </c>
      <c r="C166" s="2211">
        <v>4.1799999999999997E-2</v>
      </c>
      <c r="D166" s="739">
        <v>3</v>
      </c>
      <c r="E166" s="2274">
        <v>5.0000000000000001E-4</v>
      </c>
      <c r="F166" s="738">
        <v>3</v>
      </c>
      <c r="G166" s="730" t="str">
        <f>IF(F166=1,"Catch",(IF(F166=3,"%TAA","%ETRS")))</f>
        <v>%TAA</v>
      </c>
      <c r="H166" s="2262" t="s">
        <v>2176</v>
      </c>
    </row>
    <row r="167" spans="1:12" ht="35.25" customHeight="1" x14ac:dyDescent="0.25">
      <c r="A167" s="1"/>
      <c r="B167" s="2" t="s">
        <v>2177</v>
      </c>
      <c r="C167" s="2211">
        <v>0.1668</v>
      </c>
      <c r="D167" s="739">
        <v>3</v>
      </c>
      <c r="E167" s="2056">
        <v>0.25309999999999999</v>
      </c>
      <c r="F167" s="738">
        <v>3</v>
      </c>
      <c r="G167" s="730" t="s">
        <v>2178</v>
      </c>
      <c r="H167" s="2272" t="s">
        <v>2179</v>
      </c>
    </row>
    <row r="168" spans="1:12" ht="15.75" x14ac:dyDescent="0.25">
      <c r="A168" s="1"/>
      <c r="C168" s="741"/>
      <c r="D168" s="738"/>
      <c r="E168" s="741"/>
      <c r="F168" s="738"/>
      <c r="G168" s="730"/>
      <c r="H168" s="730"/>
    </row>
    <row r="169" spans="1:12" ht="15.75" x14ac:dyDescent="0.25">
      <c r="A169" s="1"/>
      <c r="B169" s="2" t="s">
        <v>2180</v>
      </c>
      <c r="C169" s="741"/>
      <c r="D169" s="738"/>
      <c r="E169" s="741"/>
      <c r="F169" s="738"/>
      <c r="G169" s="730"/>
      <c r="H169" s="730"/>
    </row>
    <row r="170" spans="1:12" ht="15.75" x14ac:dyDescent="0.25">
      <c r="A170" s="1"/>
      <c r="B170" s="2" t="s">
        <v>2181</v>
      </c>
      <c r="C170" s="2211">
        <v>0.2311</v>
      </c>
      <c r="D170" s="739">
        <v>3</v>
      </c>
      <c r="E170" s="2062">
        <v>0.1018</v>
      </c>
      <c r="F170" s="738">
        <v>3</v>
      </c>
      <c r="G170" s="730" t="s">
        <v>2182</v>
      </c>
      <c r="H170" s="2262" t="s">
        <v>2183</v>
      </c>
    </row>
    <row r="171" spans="1:12" ht="15.75" x14ac:dyDescent="0.25">
      <c r="A171" s="1"/>
      <c r="B171" s="2" t="s">
        <v>2184</v>
      </c>
      <c r="C171" s="876"/>
      <c r="D171" s="738"/>
      <c r="E171" s="2056">
        <v>0.34589999999999999</v>
      </c>
      <c r="F171" s="738">
        <v>3</v>
      </c>
      <c r="G171" s="730" t="str">
        <f>IF(F171=1,"Catch",(IF(F171=3,"%TAA","%ETRS")))</f>
        <v>%TAA</v>
      </c>
      <c r="H171" s="2262" t="s">
        <v>2176</v>
      </c>
    </row>
    <row r="172" spans="1:12" ht="15.75" x14ac:dyDescent="0.25">
      <c r="A172" s="1"/>
      <c r="F172" s="34"/>
      <c r="G172" s="199"/>
      <c r="H172" s="21"/>
    </row>
    <row r="173" spans="1:12" ht="15.75" x14ac:dyDescent="0.25">
      <c r="A173" s="835"/>
      <c r="B173" s="835" t="s">
        <v>687</v>
      </c>
      <c r="C173" s="768"/>
      <c r="D173" s="768"/>
      <c r="E173" s="768"/>
      <c r="F173" s="826"/>
      <c r="G173" s="843"/>
      <c r="H173" s="827"/>
    </row>
    <row r="174" spans="1:12" ht="15.75" x14ac:dyDescent="0.25">
      <c r="A174" s="1"/>
      <c r="B174" s="7" t="s">
        <v>650</v>
      </c>
      <c r="C174" s="2194" t="s">
        <v>2185</v>
      </c>
      <c r="D174" s="943"/>
      <c r="E174" s="2194" t="s">
        <v>2185</v>
      </c>
      <c r="F174" s="836"/>
      <c r="G174" s="768"/>
      <c r="H174" s="768"/>
    </row>
    <row r="175" spans="1:12" ht="15.75" x14ac:dyDescent="0.25">
      <c r="A175" s="1"/>
      <c r="B175" s="2" t="s">
        <v>2171</v>
      </c>
      <c r="C175" s="768"/>
      <c r="D175" s="838"/>
      <c r="E175" s="768"/>
      <c r="F175" s="836"/>
      <c r="G175" s="768"/>
      <c r="H175" s="1939"/>
      <c r="J175" s="1495" t="s">
        <v>2186</v>
      </c>
    </row>
    <row r="176" spans="1:12" ht="15.75" x14ac:dyDescent="0.25">
      <c r="A176" s="505" t="s">
        <v>2187</v>
      </c>
      <c r="B176" s="2" t="s">
        <v>2173</v>
      </c>
      <c r="C176" s="2224">
        <v>0</v>
      </c>
      <c r="D176" s="836">
        <v>3</v>
      </c>
      <c r="E176" s="2233">
        <v>1.188599725467362E-3</v>
      </c>
      <c r="F176" s="836">
        <v>3</v>
      </c>
      <c r="G176" s="768" t="s">
        <v>2188</v>
      </c>
      <c r="H176" s="2268" t="s">
        <v>2189</v>
      </c>
      <c r="J176" s="540">
        <f>TRunsPRN!D40</f>
        <v>190560.59726172881</v>
      </c>
      <c r="K176" s="540">
        <f>TRunsPRN!D40</f>
        <v>190560.59726172881</v>
      </c>
      <c r="L176" s="2" t="s">
        <v>2190</v>
      </c>
    </row>
    <row r="177" spans="1:18" ht="15.75" x14ac:dyDescent="0.25">
      <c r="A177" s="1"/>
      <c r="B177" s="2" t="s">
        <v>2175</v>
      </c>
      <c r="C177" s="2267">
        <v>0</v>
      </c>
      <c r="D177" s="836">
        <v>3</v>
      </c>
      <c r="E177" s="2267">
        <v>0</v>
      </c>
      <c r="F177" s="836">
        <v>3</v>
      </c>
      <c r="G177" s="768" t="s">
        <v>2188</v>
      </c>
      <c r="H177" s="2199" t="s">
        <v>1329</v>
      </c>
      <c r="J177" s="134">
        <f>0.5*C159</f>
        <v>37.5</v>
      </c>
      <c r="K177" s="134">
        <f>0.5*E159</f>
        <v>67.5</v>
      </c>
    </row>
    <row r="178" spans="1:18" ht="15.75" x14ac:dyDescent="0.25">
      <c r="A178" s="1"/>
      <c r="B178" s="2" t="s">
        <v>2177</v>
      </c>
      <c r="C178" s="2267">
        <v>0</v>
      </c>
      <c r="D178" s="836">
        <v>3</v>
      </c>
      <c r="E178" s="2267">
        <v>0</v>
      </c>
      <c r="F178" s="836">
        <v>3</v>
      </c>
      <c r="G178" s="768" t="str">
        <f>IF(F178=1,"Catch",(IF(F178=3,"%TAA","%ETRS")))</f>
        <v>%TAA</v>
      </c>
      <c r="H178" s="2199" t="s">
        <v>1329</v>
      </c>
      <c r="J178" s="2074">
        <f>J177/J176</f>
        <v>1.9678779631706844E-4</v>
      </c>
      <c r="K178" s="2074">
        <f>K177/K176</f>
        <v>3.5421803337072323E-4</v>
      </c>
      <c r="L178" s="890" t="s">
        <v>2191</v>
      </c>
      <c r="M178" s="890"/>
      <c r="N178" s="890"/>
      <c r="O178" s="890"/>
      <c r="P178" s="890"/>
      <c r="Q178" s="890"/>
      <c r="R178" s="890"/>
    </row>
    <row r="179" spans="1:18" ht="15.75" x14ac:dyDescent="0.25">
      <c r="A179" s="1"/>
      <c r="C179" s="768"/>
      <c r="D179" s="836"/>
      <c r="E179" s="768"/>
      <c r="F179" s="836"/>
      <c r="G179" s="768"/>
      <c r="H179" s="768"/>
      <c r="L179" s="890" t="s">
        <v>2192</v>
      </c>
      <c r="M179" s="890"/>
      <c r="N179" s="890"/>
      <c r="O179" s="890"/>
      <c r="P179" s="890"/>
      <c r="Q179" s="890"/>
      <c r="R179" s="890"/>
    </row>
    <row r="180" spans="1:18" ht="15.75" x14ac:dyDescent="0.25">
      <c r="A180" s="1"/>
      <c r="B180" s="2" t="s">
        <v>2180</v>
      </c>
      <c r="C180" s="768"/>
      <c r="D180" s="836"/>
      <c r="E180" s="768"/>
      <c r="F180" s="836"/>
      <c r="G180" s="768"/>
      <c r="H180" s="768"/>
      <c r="L180" s="890" t="s">
        <v>2193</v>
      </c>
      <c r="M180" s="890"/>
      <c r="N180" s="890"/>
      <c r="O180" s="890"/>
      <c r="P180" s="890"/>
      <c r="Q180" s="890"/>
      <c r="R180" s="890"/>
    </row>
    <row r="181" spans="1:18" ht="30" customHeight="1" x14ac:dyDescent="0.25">
      <c r="A181" s="1"/>
      <c r="B181" s="2" t="s">
        <v>2194</v>
      </c>
      <c r="C181" s="875"/>
      <c r="D181" s="839"/>
      <c r="E181" s="2197">
        <v>2152</v>
      </c>
      <c r="F181" s="836">
        <v>1</v>
      </c>
      <c r="G181" s="768" t="str">
        <f>IF(F181=1,"Catch",(IF(F181=3,"%TAA","%ETRS")))</f>
        <v>Catch</v>
      </c>
      <c r="H181" s="2268" t="s">
        <v>2195</v>
      </c>
      <c r="L181" s="890" t="s">
        <v>2196</v>
      </c>
      <c r="M181" s="890"/>
      <c r="N181" s="890"/>
      <c r="O181" s="890"/>
    </row>
    <row r="182" spans="1:18" ht="31.5" customHeight="1" x14ac:dyDescent="0.25">
      <c r="A182" s="1"/>
      <c r="B182" s="2" t="s">
        <v>2197</v>
      </c>
      <c r="C182" s="875"/>
      <c r="D182" s="839"/>
      <c r="E182" s="2197">
        <v>454</v>
      </c>
      <c r="F182" s="836">
        <v>1</v>
      </c>
      <c r="G182" s="768" t="str">
        <f>IF(F182=1,"Catch",(IF(F182=3,"%TAA","%ETRS")))</f>
        <v>Catch</v>
      </c>
      <c r="H182" s="2268" t="s">
        <v>2198</v>
      </c>
    </row>
    <row r="183" spans="1:18" ht="15.75" x14ac:dyDescent="0.25">
      <c r="A183" s="1"/>
      <c r="D183" s="34"/>
      <c r="F183" s="34"/>
      <c r="G183" s="199"/>
      <c r="H183" s="21"/>
    </row>
    <row r="184" spans="1:18" ht="15.75" x14ac:dyDescent="0.25">
      <c r="A184" s="1" t="s">
        <v>2199</v>
      </c>
      <c r="D184" s="34"/>
      <c r="F184" s="34"/>
      <c r="G184" s="199"/>
      <c r="H184" s="21"/>
    </row>
    <row r="185" spans="1:18" ht="15.75" x14ac:dyDescent="0.25">
      <c r="A185" s="1"/>
      <c r="D185" s="34"/>
      <c r="F185" s="34"/>
      <c r="G185" s="199"/>
      <c r="H185" s="21"/>
    </row>
    <row r="186" spans="1:18" ht="15.75" x14ac:dyDescent="0.25">
      <c r="A186" s="861"/>
      <c r="B186" s="861" t="s">
        <v>635</v>
      </c>
      <c r="C186" s="730"/>
      <c r="D186" s="733"/>
      <c r="E186" s="730"/>
      <c r="F186" s="733"/>
      <c r="G186" s="874"/>
      <c r="H186" s="737"/>
    </row>
    <row r="187" spans="1:18" ht="15.75" x14ac:dyDescent="0.25">
      <c r="A187" s="1"/>
      <c r="B187" s="7" t="s">
        <v>650</v>
      </c>
      <c r="C187" s="2194" t="s">
        <v>2200</v>
      </c>
      <c r="D187" s="833"/>
      <c r="E187" s="2194" t="s">
        <v>2200</v>
      </c>
      <c r="F187" s="733"/>
      <c r="G187" s="874"/>
      <c r="H187" s="737"/>
    </row>
    <row r="188" spans="1:18" ht="15.75" x14ac:dyDescent="0.25">
      <c r="A188" s="1"/>
      <c r="B188" s="2" t="s">
        <v>2171</v>
      </c>
      <c r="C188" s="737"/>
      <c r="D188" s="733"/>
      <c r="E188" s="737"/>
      <c r="F188" s="733"/>
      <c r="G188" s="874"/>
      <c r="H188" s="737"/>
      <c r="I188" s="165"/>
    </row>
    <row r="189" spans="1:18" ht="36.75" customHeight="1" x14ac:dyDescent="0.2">
      <c r="A189" s="505" t="s">
        <v>2201</v>
      </c>
      <c r="B189" s="2" t="s">
        <v>2202</v>
      </c>
      <c r="C189" s="2197">
        <v>62</v>
      </c>
      <c r="D189" s="738">
        <v>1</v>
      </c>
      <c r="E189" s="2275">
        <v>200</v>
      </c>
      <c r="F189" s="738">
        <v>1</v>
      </c>
      <c r="G189" s="730" t="str">
        <f>IF(F189=1,"Catch",(IF(F189=3,"%TAA","%ETRS")))</f>
        <v>Catch</v>
      </c>
      <c r="H189" s="2268" t="s">
        <v>2203</v>
      </c>
    </row>
    <row r="190" spans="1:18" ht="15.75" x14ac:dyDescent="0.25">
      <c r="A190" s="1"/>
      <c r="B190" s="2" t="s">
        <v>2204</v>
      </c>
      <c r="C190" s="2211">
        <v>7.9000000000000001E-4</v>
      </c>
      <c r="D190" s="738">
        <v>3</v>
      </c>
      <c r="E190" s="2056">
        <v>6.8900000000000003E-3</v>
      </c>
      <c r="F190" s="738">
        <v>3</v>
      </c>
      <c r="G190" s="730" t="s">
        <v>2205</v>
      </c>
      <c r="H190" s="2211" t="s">
        <v>2206</v>
      </c>
    </row>
    <row r="191" spans="1:18" ht="15.75" x14ac:dyDescent="0.25">
      <c r="A191" s="1"/>
      <c r="C191" s="745"/>
      <c r="D191" s="738"/>
      <c r="E191" s="745"/>
      <c r="F191" s="738"/>
      <c r="G191" s="730"/>
      <c r="H191" s="730"/>
    </row>
    <row r="192" spans="1:18" ht="15.75" x14ac:dyDescent="0.25">
      <c r="A192" s="1"/>
      <c r="B192" s="2" t="s">
        <v>2180</v>
      </c>
      <c r="C192" s="745"/>
      <c r="D192" s="738"/>
      <c r="E192" s="745"/>
      <c r="F192" s="738"/>
      <c r="G192" s="730"/>
      <c r="H192" s="730"/>
    </row>
    <row r="193" spans="1:8" ht="15.75" x14ac:dyDescent="0.25">
      <c r="A193" s="1"/>
      <c r="B193" s="2" t="s">
        <v>2207</v>
      </c>
      <c r="C193" s="875"/>
      <c r="D193" s="738"/>
      <c r="E193" s="2063">
        <f>SUM(E194:E198)</f>
        <v>0.27729999999999994</v>
      </c>
      <c r="F193" s="738">
        <v>3</v>
      </c>
      <c r="G193" s="730" t="s">
        <v>2208</v>
      </c>
      <c r="H193" s="2276" t="s">
        <v>2209</v>
      </c>
    </row>
    <row r="194" spans="1:8" ht="15.75" x14ac:dyDescent="0.25">
      <c r="A194" s="1"/>
      <c r="B194" s="7" t="s">
        <v>2210</v>
      </c>
      <c r="C194" s="875"/>
      <c r="D194" s="738"/>
      <c r="E194" s="2088">
        <v>0</v>
      </c>
      <c r="F194" s="738">
        <f>F$193</f>
        <v>3</v>
      </c>
      <c r="G194" s="730"/>
      <c r="H194" s="2211" t="s">
        <v>2211</v>
      </c>
    </row>
    <row r="195" spans="1:8" ht="15.75" x14ac:dyDescent="0.25">
      <c r="A195" s="1"/>
      <c r="B195" s="7" t="s">
        <v>2212</v>
      </c>
      <c r="C195" s="875"/>
      <c r="D195" s="738"/>
      <c r="E195" s="2211">
        <v>4.2000000000000002E-4</v>
      </c>
      <c r="F195" s="738">
        <f>F$193</f>
        <v>3</v>
      </c>
      <c r="G195" s="730"/>
      <c r="H195" s="2262" t="s">
        <v>2213</v>
      </c>
    </row>
    <row r="196" spans="1:8" ht="15.75" x14ac:dyDescent="0.25">
      <c r="A196" s="1"/>
      <c r="B196" s="7" t="s">
        <v>2214</v>
      </c>
      <c r="C196" s="875"/>
      <c r="D196" s="738"/>
      <c r="E196" s="2211">
        <v>0.27567999999999998</v>
      </c>
      <c r="F196" s="738">
        <f>F$193</f>
        <v>3</v>
      </c>
      <c r="G196" s="730"/>
      <c r="H196" s="2262" t="s">
        <v>2215</v>
      </c>
    </row>
    <row r="197" spans="1:8" ht="15.75" x14ac:dyDescent="0.25">
      <c r="A197" s="1"/>
      <c r="B197" s="7" t="s">
        <v>2216</v>
      </c>
      <c r="C197" s="875"/>
      <c r="D197" s="738"/>
      <c r="E197" s="2211">
        <v>1.1999999999999999E-3</v>
      </c>
      <c r="F197" s="738">
        <f>F$193</f>
        <v>3</v>
      </c>
      <c r="G197" s="730"/>
      <c r="H197" s="2262" t="s">
        <v>2217</v>
      </c>
    </row>
    <row r="198" spans="1:8" ht="15.75" x14ac:dyDescent="0.25">
      <c r="A198" s="1"/>
      <c r="B198" s="7" t="s">
        <v>2218</v>
      </c>
      <c r="C198" s="875"/>
      <c r="D198" s="738"/>
      <c r="E198" s="2211">
        <v>0</v>
      </c>
      <c r="F198" s="738">
        <f>F$193</f>
        <v>3</v>
      </c>
      <c r="G198" s="730"/>
      <c r="H198" s="2262" t="s">
        <v>2219</v>
      </c>
    </row>
    <row r="199" spans="1:8" ht="15.75" x14ac:dyDescent="0.25">
      <c r="A199" s="1"/>
      <c r="B199" s="606"/>
      <c r="C199" s="357"/>
      <c r="D199" s="34"/>
      <c r="F199" s="34"/>
      <c r="G199" s="199"/>
      <c r="H199" s="21"/>
    </row>
    <row r="200" spans="1:8" ht="15.75" x14ac:dyDescent="0.25">
      <c r="A200" s="835"/>
      <c r="B200" s="835" t="s">
        <v>687</v>
      </c>
      <c r="C200" s="844"/>
      <c r="D200" s="826"/>
      <c r="E200" s="844"/>
      <c r="F200" s="826"/>
      <c r="G200" s="845"/>
      <c r="H200" s="827"/>
    </row>
    <row r="201" spans="1:8" ht="15.75" x14ac:dyDescent="0.25">
      <c r="A201" s="1"/>
      <c r="B201" s="7" t="s">
        <v>650</v>
      </c>
      <c r="C201" s="2194" t="s">
        <v>2185</v>
      </c>
      <c r="D201" s="943"/>
      <c r="E201" s="2194" t="s">
        <v>2185</v>
      </c>
      <c r="F201" s="836"/>
      <c r="G201" s="846"/>
      <c r="H201" s="768"/>
    </row>
    <row r="202" spans="1:8" ht="15.75" x14ac:dyDescent="0.25">
      <c r="A202" s="1"/>
      <c r="B202" s="2" t="s">
        <v>2171</v>
      </c>
      <c r="C202" s="844"/>
      <c r="D202" s="836"/>
      <c r="E202" s="847"/>
      <c r="F202" s="836"/>
      <c r="G202" s="768"/>
      <c r="H202" s="848"/>
    </row>
    <row r="203" spans="1:8" ht="15.75" x14ac:dyDescent="0.25">
      <c r="A203" s="1"/>
      <c r="B203" s="2" t="s">
        <v>2202</v>
      </c>
      <c r="C203" s="1941">
        <v>0</v>
      </c>
      <c r="D203" s="836">
        <v>3</v>
      </c>
      <c r="E203" s="2233">
        <v>4.6785565024018433E-4</v>
      </c>
      <c r="F203" s="836">
        <v>3</v>
      </c>
      <c r="G203" s="768" t="s">
        <v>2188</v>
      </c>
      <c r="H203" s="2197" t="s">
        <v>2220</v>
      </c>
    </row>
    <row r="204" spans="1:8" ht="15.75" x14ac:dyDescent="0.25">
      <c r="A204" s="1"/>
      <c r="B204" s="2" t="s">
        <v>2204</v>
      </c>
      <c r="C204" s="2277">
        <v>0</v>
      </c>
      <c r="D204" s="836">
        <v>3</v>
      </c>
      <c r="E204" s="1701">
        <v>0</v>
      </c>
      <c r="F204" s="836">
        <v>3</v>
      </c>
      <c r="G204" s="768" t="s">
        <v>2188</v>
      </c>
      <c r="H204" s="2278" t="s">
        <v>1329</v>
      </c>
    </row>
    <row r="205" spans="1:8" ht="15.75" x14ac:dyDescent="0.25">
      <c r="A205" s="1"/>
      <c r="C205" s="768"/>
      <c r="D205" s="836"/>
      <c r="E205" s="768"/>
      <c r="F205" s="836"/>
      <c r="G205" s="768"/>
      <c r="H205" s="848"/>
    </row>
    <row r="206" spans="1:8" ht="15.75" x14ac:dyDescent="0.25">
      <c r="A206" s="1"/>
      <c r="B206" s="2" t="s">
        <v>2180</v>
      </c>
      <c r="C206" s="768"/>
      <c r="D206" s="836"/>
      <c r="E206" s="768"/>
      <c r="F206" s="836"/>
      <c r="G206" s="768"/>
      <c r="H206" s="768"/>
    </row>
    <row r="207" spans="1:8" ht="35.25" customHeight="1" x14ac:dyDescent="0.25">
      <c r="A207" s="1"/>
      <c r="B207" s="2" t="s">
        <v>2221</v>
      </c>
      <c r="C207" s="875"/>
      <c r="D207" s="839"/>
      <c r="E207" s="2221">
        <v>0.1744</v>
      </c>
      <c r="F207" s="836">
        <v>3</v>
      </c>
      <c r="G207" s="768" t="str">
        <f>IF(F207=1,"Catch",(IF(F207=3,"%TAA","%ETRS")))</f>
        <v>%TAA</v>
      </c>
      <c r="H207" s="2279" t="s">
        <v>2222</v>
      </c>
    </row>
    <row r="208" spans="1:8" ht="15.75" x14ac:dyDescent="0.25">
      <c r="A208" s="1"/>
      <c r="D208" s="34"/>
      <c r="F208" s="34"/>
      <c r="G208" s="199"/>
      <c r="H208" s="21"/>
    </row>
    <row r="209" spans="1:11" ht="15.75" x14ac:dyDescent="0.25">
      <c r="A209" s="1" t="s">
        <v>2223</v>
      </c>
      <c r="D209" s="34"/>
      <c r="F209" s="34"/>
      <c r="G209" s="199"/>
      <c r="H209" s="21"/>
    </row>
    <row r="210" spans="1:11" ht="15.75" x14ac:dyDescent="0.25">
      <c r="A210" s="1"/>
      <c r="D210" s="34"/>
      <c r="F210" s="34"/>
      <c r="G210" s="199"/>
      <c r="H210" s="21"/>
    </row>
    <row r="211" spans="1:11" ht="15.75" x14ac:dyDescent="0.25">
      <c r="A211" s="861"/>
      <c r="B211" s="861" t="s">
        <v>635</v>
      </c>
      <c r="C211" s="730"/>
      <c r="D211" s="733"/>
      <c r="E211" s="730"/>
      <c r="F211" s="733"/>
      <c r="G211" s="874"/>
      <c r="H211" s="737"/>
    </row>
    <row r="212" spans="1:11" ht="15.75" x14ac:dyDescent="0.25">
      <c r="A212" s="1"/>
      <c r="C212" s="730"/>
      <c r="D212" s="733"/>
      <c r="E212" s="730"/>
      <c r="F212" s="733"/>
      <c r="G212" s="874"/>
      <c r="H212" s="737"/>
    </row>
    <row r="213" spans="1:11" ht="15.75" x14ac:dyDescent="0.25">
      <c r="A213" s="1"/>
      <c r="B213" s="2" t="s">
        <v>2171</v>
      </c>
      <c r="C213" s="730"/>
      <c r="D213" s="733"/>
      <c r="E213" s="730"/>
      <c r="F213" s="733"/>
      <c r="G213" s="874"/>
      <c r="H213" s="737"/>
    </row>
    <row r="214" spans="1:11" ht="15.75" x14ac:dyDescent="0.25">
      <c r="A214" s="1"/>
      <c r="B214" s="2" t="s">
        <v>2224</v>
      </c>
      <c r="C214" s="2211">
        <v>1.2179802487263035E-3</v>
      </c>
      <c r="D214" s="738">
        <v>3</v>
      </c>
      <c r="E214" s="2211">
        <v>1.9183617871413004E-3</v>
      </c>
      <c r="F214" s="738">
        <v>3</v>
      </c>
      <c r="G214" s="730" t="s">
        <v>2225</v>
      </c>
      <c r="H214" s="2280" t="s">
        <v>2226</v>
      </c>
    </row>
    <row r="215" spans="1:11" ht="15.75" x14ac:dyDescent="0.25">
      <c r="A215" s="1"/>
      <c r="B215" s="2" t="s">
        <v>2227</v>
      </c>
      <c r="C215" s="875"/>
      <c r="D215" s="732"/>
      <c r="E215" s="875"/>
      <c r="F215" s="738"/>
      <c r="G215" s="730"/>
      <c r="H215" s="2065" t="s">
        <v>2228</v>
      </c>
    </row>
    <row r="216" spans="1:11" ht="15.75" x14ac:dyDescent="0.25">
      <c r="A216" s="1"/>
      <c r="B216" s="2" t="s">
        <v>2229</v>
      </c>
      <c r="C216" s="2211">
        <v>4.1624481662097382E-2</v>
      </c>
      <c r="D216" s="738">
        <v>3</v>
      </c>
      <c r="E216" s="2062">
        <v>5.8076381337296298E-2</v>
      </c>
      <c r="F216" s="738">
        <v>3</v>
      </c>
      <c r="G216" s="730" t="s">
        <v>2230</v>
      </c>
      <c r="H216" s="2280" t="s">
        <v>2231</v>
      </c>
    </row>
    <row r="217" spans="1:11" ht="15.75" x14ac:dyDescent="0.25">
      <c r="A217" s="1"/>
      <c r="B217" s="748" t="s">
        <v>2232</v>
      </c>
      <c r="C217" s="2064">
        <v>0.60096229790386035</v>
      </c>
      <c r="D217" s="738">
        <v>4</v>
      </c>
      <c r="E217" s="2056">
        <v>0.33613978824743884</v>
      </c>
      <c r="F217" s="738">
        <v>4</v>
      </c>
      <c r="G217" s="730" t="s">
        <v>2233</v>
      </c>
      <c r="H217" s="2197" t="s">
        <v>2234</v>
      </c>
    </row>
    <row r="218" spans="1:11" ht="15.75" x14ac:dyDescent="0.25">
      <c r="A218" s="1"/>
      <c r="B218" s="748" t="s">
        <v>2235</v>
      </c>
      <c r="C218" s="875"/>
      <c r="D218" s="738"/>
      <c r="E218" s="2088">
        <v>114</v>
      </c>
      <c r="F218" s="738">
        <v>1</v>
      </c>
      <c r="G218" s="730" t="str">
        <f>IF(F218=1,"Catch",(IF(F218=3,"%TAA","%ETRS")))</f>
        <v>Catch</v>
      </c>
      <c r="H218" s="2197" t="s">
        <v>2236</v>
      </c>
    </row>
    <row r="219" spans="1:11" ht="15.75" x14ac:dyDescent="0.25">
      <c r="A219" s="1"/>
      <c r="B219" s="19"/>
      <c r="C219" s="746"/>
      <c r="D219" s="747"/>
      <c r="E219" s="746"/>
      <c r="F219" s="738"/>
      <c r="G219" s="730"/>
      <c r="H219" s="730"/>
    </row>
    <row r="220" spans="1:11" ht="15.75" x14ac:dyDescent="0.25">
      <c r="A220" s="1"/>
      <c r="B220" s="2" t="s">
        <v>2180</v>
      </c>
      <c r="C220" s="730"/>
      <c r="D220" s="738"/>
      <c r="E220" s="730"/>
      <c r="F220" s="738"/>
      <c r="G220" s="730"/>
      <c r="H220" s="730"/>
    </row>
    <row r="221" spans="1:11" ht="36" customHeight="1" x14ac:dyDescent="0.25">
      <c r="A221" s="1"/>
      <c r="B221" s="2" t="s">
        <v>2237</v>
      </c>
      <c r="C221" s="875"/>
      <c r="D221" s="738"/>
      <c r="E221" s="2420">
        <v>0.21943617832346571</v>
      </c>
      <c r="F221" s="738">
        <v>3</v>
      </c>
      <c r="G221" s="730" t="s">
        <v>2208</v>
      </c>
      <c r="H221" s="2419" t="s">
        <v>7532</v>
      </c>
      <c r="J221" s="1495" t="s">
        <v>2238</v>
      </c>
    </row>
    <row r="222" spans="1:11" ht="23.85" customHeight="1" x14ac:dyDescent="0.25">
      <c r="A222" s="1"/>
      <c r="B222" s="924" t="s">
        <v>2239</v>
      </c>
      <c r="C222" s="875"/>
      <c r="D222" s="738"/>
      <c r="E222" s="2281">
        <v>0</v>
      </c>
      <c r="F222" s="738">
        <v>1</v>
      </c>
      <c r="G222" s="730" t="str">
        <f>IF(F222=1,"Catch",(IF(F222=3,"%TAA","%ETRS")))</f>
        <v>Catch</v>
      </c>
      <c r="H222" s="2282"/>
      <c r="J222" s="888" t="s">
        <v>2240</v>
      </c>
      <c r="K222" s="540">
        <f>E222</f>
        <v>0</v>
      </c>
    </row>
    <row r="223" spans="1:11" ht="15.75" x14ac:dyDescent="0.25">
      <c r="A223" s="1"/>
      <c r="B223" s="2" t="s">
        <v>2241</v>
      </c>
      <c r="C223" s="875"/>
      <c r="D223" s="738"/>
      <c r="E223" s="2283">
        <v>1.5</v>
      </c>
      <c r="F223" s="738">
        <v>1</v>
      </c>
      <c r="G223" s="730" t="str">
        <f>IF(F223=1,"Catch",(IF(F223=3,"%TAA","%ETRS")))</f>
        <v>Catch</v>
      </c>
      <c r="H223" s="2191" t="s">
        <v>2242</v>
      </c>
      <c r="J223" s="888" t="s">
        <v>2243</v>
      </c>
      <c r="K223" s="889">
        <f>TRunsPRN!D142+TRunsPRN!D143</f>
        <v>9566.4524253404961</v>
      </c>
    </row>
    <row r="224" spans="1:11" ht="15.75" x14ac:dyDescent="0.25">
      <c r="A224" s="1"/>
      <c r="D224" s="34"/>
      <c r="F224" s="34"/>
      <c r="G224" s="199"/>
      <c r="H224" s="21"/>
      <c r="J224" s="888" t="s">
        <v>2244</v>
      </c>
      <c r="K224" s="134">
        <f>K222/K223</f>
        <v>0</v>
      </c>
    </row>
    <row r="225" spans="1:8" ht="15.75" x14ac:dyDescent="0.25">
      <c r="A225" s="835"/>
      <c r="B225" s="835" t="s">
        <v>687</v>
      </c>
      <c r="C225" s="768"/>
      <c r="D225" s="826"/>
      <c r="E225" s="768"/>
      <c r="F225" s="826"/>
      <c r="G225" s="843"/>
      <c r="H225" s="827"/>
    </row>
    <row r="226" spans="1:8" ht="15.75" x14ac:dyDescent="0.25">
      <c r="A226" s="1"/>
      <c r="B226" s="2" t="s">
        <v>2224</v>
      </c>
      <c r="C226" s="2267">
        <v>0</v>
      </c>
      <c r="D226" s="836">
        <v>1</v>
      </c>
      <c r="E226" s="2267">
        <v>0</v>
      </c>
      <c r="F226" s="836">
        <v>1</v>
      </c>
      <c r="G226" s="768" t="str">
        <f>IF(F226=1,"Catch",(IF(F226=3,"%TAA","%ETRS")))</f>
        <v>Catch</v>
      </c>
      <c r="H226" s="2199" t="s">
        <v>1329</v>
      </c>
    </row>
    <row r="227" spans="1:8" ht="15.75" x14ac:dyDescent="0.25">
      <c r="A227" s="1"/>
      <c r="B227" s="2" t="s">
        <v>2227</v>
      </c>
      <c r="C227" s="875"/>
      <c r="D227" s="838"/>
      <c r="E227" s="875"/>
      <c r="F227" s="836"/>
      <c r="G227" s="768"/>
      <c r="H227" s="2199" t="s">
        <v>1329</v>
      </c>
    </row>
    <row r="228" spans="1:8" ht="45" x14ac:dyDescent="0.25">
      <c r="A228" s="1"/>
      <c r="B228" s="2" t="s">
        <v>2229</v>
      </c>
      <c r="C228" s="2267">
        <v>0</v>
      </c>
      <c r="D228" s="836">
        <v>1</v>
      </c>
      <c r="E228" s="2284">
        <v>551</v>
      </c>
      <c r="F228" s="836">
        <v>1</v>
      </c>
      <c r="G228" s="768" t="str">
        <f>IF(F228=1,"Catch",(IF(F228=3,"%TAA","%ETRS")))</f>
        <v>Catch</v>
      </c>
      <c r="H228" s="2285" t="s">
        <v>2245</v>
      </c>
    </row>
    <row r="229" spans="1:8" ht="15.75" x14ac:dyDescent="0.25">
      <c r="A229" s="1"/>
      <c r="B229" s="2" t="s">
        <v>2232</v>
      </c>
      <c r="C229" s="2267">
        <v>0</v>
      </c>
      <c r="D229" s="836">
        <v>1</v>
      </c>
      <c r="E229" s="2267">
        <v>0</v>
      </c>
      <c r="F229" s="836">
        <v>1</v>
      </c>
      <c r="G229" s="768" t="str">
        <f t="shared" ref="G229:G235" si="17">IF(F229=1,"Catch",(IF(F229=3,"%TAA","%ETRS")))</f>
        <v>Catch</v>
      </c>
      <c r="H229" s="2199" t="s">
        <v>1329</v>
      </c>
    </row>
    <row r="230" spans="1:8" ht="15.75" x14ac:dyDescent="0.25">
      <c r="A230" s="1"/>
      <c r="B230" s="2" t="s">
        <v>2235</v>
      </c>
      <c r="C230" s="875"/>
      <c r="D230" s="836"/>
      <c r="E230" s="2267">
        <v>0</v>
      </c>
      <c r="F230" s="836">
        <v>1</v>
      </c>
      <c r="G230" s="768" t="str">
        <f t="shared" si="17"/>
        <v>Catch</v>
      </c>
      <c r="H230" s="2199" t="s">
        <v>1329</v>
      </c>
    </row>
    <row r="231" spans="1:8" ht="15.75" x14ac:dyDescent="0.25">
      <c r="A231" s="1"/>
      <c r="C231" s="768"/>
      <c r="D231" s="836"/>
      <c r="E231" s="768"/>
      <c r="F231" s="836"/>
      <c r="G231" s="768"/>
      <c r="H231" s="768"/>
    </row>
    <row r="232" spans="1:8" ht="15.75" x14ac:dyDescent="0.25">
      <c r="A232" s="1"/>
      <c r="B232" s="2" t="s">
        <v>2180</v>
      </c>
      <c r="C232" s="768"/>
      <c r="D232" s="836"/>
      <c r="E232" s="768"/>
      <c r="F232" s="836"/>
      <c r="G232" s="768"/>
      <c r="H232" s="768"/>
    </row>
    <row r="233" spans="1:8" ht="44.25" customHeight="1" x14ac:dyDescent="0.25">
      <c r="A233" s="1"/>
      <c r="B233" s="22" t="s">
        <v>2246</v>
      </c>
      <c r="C233" s="875"/>
      <c r="D233" s="879"/>
      <c r="E233" s="2219">
        <v>0</v>
      </c>
      <c r="F233" s="836">
        <v>1</v>
      </c>
      <c r="G233" s="768" t="str">
        <f t="shared" si="17"/>
        <v>Catch</v>
      </c>
      <c r="H233" s="2286" t="s">
        <v>2247</v>
      </c>
    </row>
    <row r="234" spans="1:8" ht="29.85" customHeight="1" x14ac:dyDescent="0.25">
      <c r="A234" s="1"/>
      <c r="B234" s="2" t="s">
        <v>2248</v>
      </c>
      <c r="C234" s="875"/>
      <c r="D234" s="879"/>
      <c r="E234" s="2422">
        <f>E284</f>
        <v>1715.6759755437022</v>
      </c>
      <c r="F234" s="879"/>
      <c r="G234" s="2070" t="s">
        <v>2249</v>
      </c>
      <c r="H234" s="2421" t="s">
        <v>7534</v>
      </c>
    </row>
    <row r="235" spans="1:8" ht="15.75" x14ac:dyDescent="0.25">
      <c r="A235" s="1"/>
      <c r="B235" s="2" t="s">
        <v>2250</v>
      </c>
      <c r="C235" s="875"/>
      <c r="D235" s="879"/>
      <c r="E235" s="2197">
        <v>5</v>
      </c>
      <c r="F235" s="879">
        <v>1</v>
      </c>
      <c r="G235" s="768" t="str">
        <f t="shared" si="17"/>
        <v>Catch</v>
      </c>
      <c r="H235" s="2287" t="s">
        <v>2251</v>
      </c>
    </row>
    <row r="236" spans="1:8" ht="15.75" x14ac:dyDescent="0.25">
      <c r="A236" s="1"/>
      <c r="D236" s="34"/>
      <c r="F236" s="34"/>
      <c r="G236" s="199"/>
      <c r="H236" s="21"/>
    </row>
    <row r="237" spans="1:8" x14ac:dyDescent="0.2">
      <c r="A237" s="6" t="s">
        <v>125</v>
      </c>
      <c r="B237" s="6" t="s">
        <v>125</v>
      </c>
      <c r="C237" s="6" t="s">
        <v>125</v>
      </c>
      <c r="D237" s="605"/>
      <c r="E237" s="6" t="s">
        <v>125</v>
      </c>
      <c r="F237" s="605"/>
      <c r="G237" s="6" t="s">
        <v>125</v>
      </c>
      <c r="H237" s="6" t="s">
        <v>125</v>
      </c>
    </row>
    <row r="238" spans="1:8" x14ac:dyDescent="0.2">
      <c r="B238" s="6"/>
      <c r="C238" s="6"/>
      <c r="D238" s="605"/>
      <c r="E238" s="6"/>
      <c r="F238" s="605"/>
      <c r="G238" s="6"/>
      <c r="H238" s="164"/>
    </row>
    <row r="239" spans="1:8" ht="15.75" x14ac:dyDescent="0.25">
      <c r="A239" s="1" t="s">
        <v>2252</v>
      </c>
      <c r="C239" s="609"/>
      <c r="E239" s="609"/>
      <c r="F239" s="34"/>
      <c r="H239" s="4"/>
    </row>
    <row r="240" spans="1:8" ht="15.75" x14ac:dyDescent="0.25">
      <c r="A240" s="861"/>
      <c r="B240" s="861" t="s">
        <v>635</v>
      </c>
      <c r="C240" s="730"/>
      <c r="D240" s="733"/>
      <c r="E240" s="730"/>
      <c r="F240" s="733"/>
      <c r="G240" s="730"/>
      <c r="H240" s="880"/>
    </row>
    <row r="241" spans="1:8" x14ac:dyDescent="0.2">
      <c r="B241" s="7" t="s">
        <v>650</v>
      </c>
      <c r="C241" s="2068" t="s">
        <v>2253</v>
      </c>
      <c r="D241" s="833"/>
      <c r="E241" s="2068" t="s">
        <v>2253</v>
      </c>
      <c r="F241" s="738"/>
      <c r="G241" s="730"/>
      <c r="H241" s="730"/>
    </row>
    <row r="242" spans="1:8" ht="15.75" x14ac:dyDescent="0.25">
      <c r="A242" s="1"/>
      <c r="B242" s="2" t="s">
        <v>2254</v>
      </c>
      <c r="C242" s="2090">
        <v>0</v>
      </c>
      <c r="D242" s="882"/>
      <c r="E242" s="2090">
        <v>0</v>
      </c>
      <c r="F242" s="738"/>
      <c r="G242" s="730"/>
      <c r="H242" s="2210"/>
    </row>
    <row r="243" spans="1:8" ht="15.75" x14ac:dyDescent="0.25">
      <c r="A243" s="1"/>
      <c r="B243" s="2" t="s">
        <v>2171</v>
      </c>
      <c r="C243" s="730"/>
      <c r="D243" s="738"/>
      <c r="E243" s="730"/>
      <c r="F243" s="738"/>
      <c r="G243" s="730"/>
      <c r="H243" s="730"/>
    </row>
    <row r="244" spans="1:8" ht="15.75" x14ac:dyDescent="0.25">
      <c r="A244" s="1"/>
      <c r="B244" s="2" t="s">
        <v>2255</v>
      </c>
      <c r="C244" s="2064">
        <v>0.27536979126497263</v>
      </c>
      <c r="D244" s="738">
        <v>3</v>
      </c>
      <c r="E244" s="2056">
        <v>1.3557708366282438E-2</v>
      </c>
      <c r="F244" s="738">
        <v>3</v>
      </c>
      <c r="G244" s="730" t="str">
        <f>IF(F244=1,"Catch",(IF(F244=3,"%TAA","%ETRS")))</f>
        <v>%TAA</v>
      </c>
      <c r="H244" s="2197" t="s">
        <v>2256</v>
      </c>
    </row>
    <row r="245" spans="1:8" ht="15.75" x14ac:dyDescent="0.25">
      <c r="A245" s="1"/>
      <c r="C245" s="881"/>
      <c r="D245" s="732"/>
      <c r="E245" s="881"/>
      <c r="F245" s="738"/>
      <c r="G245" s="730"/>
      <c r="H245" s="730"/>
    </row>
    <row r="246" spans="1:8" ht="15.75" x14ac:dyDescent="0.25">
      <c r="A246" s="1"/>
      <c r="B246" s="2" t="s">
        <v>2257</v>
      </c>
      <c r="C246" s="730"/>
      <c r="D246" s="738"/>
      <c r="E246" s="730"/>
      <c r="F246" s="738"/>
      <c r="G246" s="730"/>
      <c r="H246" s="730"/>
    </row>
    <row r="247" spans="1:8" ht="15.75" x14ac:dyDescent="0.25">
      <c r="A247" s="1"/>
      <c r="B247" s="2" t="s">
        <v>2258</v>
      </c>
      <c r="C247" s="875"/>
      <c r="D247" s="738"/>
      <c r="E247" s="2211">
        <v>0.52339827738724365</v>
      </c>
      <c r="F247" s="738">
        <v>3</v>
      </c>
      <c r="G247" s="730" t="s">
        <v>2208</v>
      </c>
      <c r="H247" s="2197" t="s">
        <v>2256</v>
      </c>
    </row>
    <row r="248" spans="1:8" ht="15.75" x14ac:dyDescent="0.25">
      <c r="A248" s="1"/>
      <c r="D248" s="323"/>
      <c r="F248" s="323"/>
    </row>
    <row r="249" spans="1:8" ht="15.75" x14ac:dyDescent="0.25">
      <c r="A249" s="768"/>
      <c r="B249" s="835" t="s">
        <v>687</v>
      </c>
      <c r="C249" s="768"/>
      <c r="D249" s="838"/>
      <c r="E249" s="768"/>
      <c r="F249" s="836"/>
      <c r="G249" s="768"/>
      <c r="H249" s="849"/>
    </row>
    <row r="250" spans="1:8" x14ac:dyDescent="0.2">
      <c r="B250" s="7" t="s">
        <v>650</v>
      </c>
      <c r="C250" s="2194" t="s">
        <v>2259</v>
      </c>
      <c r="D250" s="943"/>
      <c r="E250" s="2194" t="s">
        <v>2259</v>
      </c>
      <c r="F250" s="836"/>
      <c r="G250" s="768"/>
      <c r="H250" s="848"/>
    </row>
    <row r="251" spans="1:8" ht="15.75" x14ac:dyDescent="0.25">
      <c r="A251" s="1"/>
      <c r="B251" s="2" t="s">
        <v>2260</v>
      </c>
      <c r="C251" s="2288">
        <f>SUM(C252:C253)</f>
        <v>3.3369366183047151E-2</v>
      </c>
      <c r="D251" s="836">
        <v>3</v>
      </c>
      <c r="E251" s="2066">
        <f>SUM(E252:E253)</f>
        <v>4.5955339867715457E-4</v>
      </c>
      <c r="F251" s="836">
        <v>3</v>
      </c>
      <c r="G251" s="768" t="str">
        <f>IF(F251=1,"Catch",(IF(F251=3,"%TAA","%ETRS")))</f>
        <v>%TAA</v>
      </c>
      <c r="H251" s="2289" t="s">
        <v>2261</v>
      </c>
    </row>
    <row r="252" spans="1:8" ht="15.75" x14ac:dyDescent="0.25">
      <c r="A252" s="1"/>
      <c r="B252" s="22" t="s">
        <v>2262</v>
      </c>
      <c r="C252" s="2290">
        <v>3.3369366183047151E-2</v>
      </c>
      <c r="D252" s="836">
        <v>3</v>
      </c>
      <c r="E252" s="2067">
        <v>4.5955339867715457E-4</v>
      </c>
      <c r="F252" s="836">
        <v>3</v>
      </c>
      <c r="G252" s="768" t="str">
        <f>IF(F252=1,"Catch",(IF(F252=3,"%TAA","%ETRS")))</f>
        <v>%TAA</v>
      </c>
      <c r="H252" s="2196"/>
    </row>
    <row r="253" spans="1:8" ht="15.75" x14ac:dyDescent="0.25">
      <c r="A253" s="1"/>
      <c r="B253" s="22" t="s">
        <v>2263</v>
      </c>
      <c r="C253" s="2291" t="s">
        <v>297</v>
      </c>
      <c r="D253" s="836"/>
      <c r="E253" s="2263" t="s">
        <v>297</v>
      </c>
      <c r="F253" s="836"/>
      <c r="G253" s="768"/>
      <c r="H253" s="2199"/>
    </row>
    <row r="254" spans="1:8" ht="48" customHeight="1" x14ac:dyDescent="0.25">
      <c r="A254" s="1"/>
      <c r="B254" s="2" t="s">
        <v>2264</v>
      </c>
      <c r="C254" s="875"/>
      <c r="D254" s="839"/>
      <c r="E254" s="2197">
        <v>1859</v>
      </c>
      <c r="F254" s="836">
        <v>1</v>
      </c>
      <c r="G254" s="768" t="str">
        <f>IF(F254=1,"Catch",(IF(F254=3,"%TAA","%ETRS")))</f>
        <v>Catch</v>
      </c>
      <c r="H254" s="2292" t="s">
        <v>2265</v>
      </c>
    </row>
    <row r="255" spans="1:8" ht="33.950000000000003" customHeight="1" x14ac:dyDescent="0.25">
      <c r="A255" s="1"/>
      <c r="B255" s="2" t="s">
        <v>2266</v>
      </c>
      <c r="C255" s="875"/>
      <c r="D255" s="839"/>
      <c r="E255" s="2196">
        <v>153</v>
      </c>
      <c r="F255" s="836">
        <v>1</v>
      </c>
      <c r="G255" s="2070" t="s">
        <v>2267</v>
      </c>
      <c r="H255" s="2268" t="s">
        <v>2268</v>
      </c>
    </row>
    <row r="256" spans="1:8" ht="15.75" x14ac:dyDescent="0.25">
      <c r="A256" s="1"/>
      <c r="C256" s="850"/>
      <c r="D256" s="610"/>
      <c r="E256" s="2293"/>
      <c r="F256" s="34"/>
      <c r="H256" s="21"/>
    </row>
    <row r="257" spans="1:8" x14ac:dyDescent="0.2">
      <c r="A257" s="6" t="s">
        <v>125</v>
      </c>
      <c r="B257" s="6" t="s">
        <v>125</v>
      </c>
      <c r="C257" s="6" t="s">
        <v>125</v>
      </c>
      <c r="D257" s="605"/>
      <c r="E257" s="6" t="s">
        <v>125</v>
      </c>
      <c r="F257" s="605"/>
      <c r="G257" s="6" t="s">
        <v>125</v>
      </c>
      <c r="H257" s="6" t="s">
        <v>125</v>
      </c>
    </row>
    <row r="258" spans="1:8" x14ac:dyDescent="0.2">
      <c r="D258" s="34"/>
      <c r="F258" s="34"/>
    </row>
    <row r="259" spans="1:8" ht="15.75" x14ac:dyDescent="0.25">
      <c r="D259" s="7"/>
      <c r="E259" s="372"/>
      <c r="F259" s="183"/>
      <c r="H259" s="373"/>
    </row>
    <row r="260" spans="1:8" ht="15.75" x14ac:dyDescent="0.25">
      <c r="A260" s="1" t="s">
        <v>2269</v>
      </c>
      <c r="D260" s="34"/>
      <c r="F260" s="34"/>
    </row>
    <row r="261" spans="1:8" ht="15.75" x14ac:dyDescent="0.25">
      <c r="A261" s="730"/>
      <c r="B261" s="861" t="s">
        <v>635</v>
      </c>
      <c r="C261" s="730"/>
      <c r="D261" s="730"/>
      <c r="E261" s="730"/>
      <c r="F261" s="883"/>
      <c r="G261" s="730"/>
      <c r="H261" s="730"/>
    </row>
    <row r="262" spans="1:8" x14ac:dyDescent="0.2">
      <c r="B262" s="7" t="s">
        <v>650</v>
      </c>
      <c r="C262" s="2068" t="s">
        <v>2270</v>
      </c>
      <c r="D262" s="739"/>
      <c r="E262" s="2068" t="s">
        <v>2270</v>
      </c>
      <c r="F262" s="739"/>
      <c r="G262" s="730"/>
      <c r="H262" s="730"/>
    </row>
    <row r="263" spans="1:8" x14ac:dyDescent="0.2">
      <c r="B263" s="7" t="s">
        <v>2271</v>
      </c>
      <c r="C263" s="862"/>
      <c r="D263" s="739"/>
      <c r="E263" s="862"/>
      <c r="F263" s="739"/>
      <c r="G263" s="730"/>
      <c r="H263" s="2236" t="s">
        <v>2272</v>
      </c>
    </row>
    <row r="264" spans="1:8" x14ac:dyDescent="0.2">
      <c r="B264" s="606" t="s">
        <v>2273</v>
      </c>
      <c r="C264" s="2274">
        <v>5.9900000000000002E-2</v>
      </c>
      <c r="D264" s="738">
        <v>3</v>
      </c>
      <c r="E264" s="2211">
        <v>5.3699999999999998E-2</v>
      </c>
      <c r="F264" s="739">
        <v>3</v>
      </c>
      <c r="G264" s="730" t="str">
        <f>IF(F264=1,"Catch",(IF(F264=3,"%TAA","%ETRS")))</f>
        <v>%TAA</v>
      </c>
      <c r="H264" s="2197" t="s">
        <v>2274</v>
      </c>
    </row>
    <row r="265" spans="1:8" x14ac:dyDescent="0.2">
      <c r="B265" s="7" t="s">
        <v>2275</v>
      </c>
      <c r="C265" s="1945">
        <v>0</v>
      </c>
      <c r="D265" s="739" t="s">
        <v>297</v>
      </c>
      <c r="E265" s="2294">
        <v>0</v>
      </c>
      <c r="F265" s="739" t="s">
        <v>297</v>
      </c>
      <c r="G265" s="740"/>
      <c r="H265" s="2223" t="s">
        <v>2276</v>
      </c>
    </row>
    <row r="266" spans="1:8" x14ac:dyDescent="0.2">
      <c r="B266" s="7" t="s">
        <v>2277</v>
      </c>
      <c r="C266" s="862"/>
      <c r="D266" s="739"/>
      <c r="E266" s="2295">
        <v>0</v>
      </c>
      <c r="F266" s="739">
        <v>3</v>
      </c>
      <c r="G266" s="730" t="str">
        <f>IF(F266=1,"Catch",(IF(F266=3,"%TAA","%ETRS")))</f>
        <v>%TAA</v>
      </c>
      <c r="H266" s="2296" t="s">
        <v>2278</v>
      </c>
    </row>
    <row r="267" spans="1:8" x14ac:dyDescent="0.2">
      <c r="B267" s="7" t="s">
        <v>2279</v>
      </c>
      <c r="C267" s="862"/>
      <c r="D267" s="739"/>
      <c r="E267" s="1946">
        <v>0</v>
      </c>
      <c r="F267" s="739">
        <v>3</v>
      </c>
      <c r="G267" s="730" t="str">
        <f>IF(F267=1,"catch",(IF(F267=3,"%TAA of W SJF","%ETRS of W SJF")))</f>
        <v>%TAA of W SJF</v>
      </c>
      <c r="H267" s="1947" t="s">
        <v>2280</v>
      </c>
    </row>
    <row r="268" spans="1:8" x14ac:dyDescent="0.2">
      <c r="D268" s="323"/>
      <c r="F268" s="323"/>
    </row>
    <row r="269" spans="1:8" ht="15.75" x14ac:dyDescent="0.25">
      <c r="A269" s="768"/>
      <c r="B269" s="835" t="s">
        <v>687</v>
      </c>
      <c r="C269" s="768"/>
      <c r="D269" s="838"/>
      <c r="E269" s="768"/>
      <c r="F269" s="825"/>
      <c r="G269" s="768"/>
      <c r="H269" s="768"/>
    </row>
    <row r="270" spans="1:8" x14ac:dyDescent="0.2">
      <c r="B270" s="7" t="s">
        <v>2281</v>
      </c>
      <c r="C270" s="2194" t="s">
        <v>2282</v>
      </c>
      <c r="D270" s="825"/>
      <c r="E270" s="2194" t="s">
        <v>2282</v>
      </c>
      <c r="F270" s="825"/>
      <c r="G270" s="768"/>
      <c r="H270" s="768"/>
    </row>
    <row r="271" spans="1:8" ht="15.75" x14ac:dyDescent="0.25">
      <c r="B271" s="7" t="s">
        <v>2283</v>
      </c>
      <c r="C271" s="851"/>
      <c r="D271" s="825"/>
      <c r="E271" s="1948"/>
      <c r="F271" s="825"/>
      <c r="G271" s="768"/>
      <c r="H271" s="768"/>
    </row>
    <row r="272" spans="1:8" ht="15.75" thickBot="1" x14ac:dyDescent="0.25">
      <c r="B272" s="7" t="s">
        <v>2284</v>
      </c>
      <c r="C272" s="2211">
        <v>4.986892775527204E-2</v>
      </c>
      <c r="D272" s="836">
        <v>3</v>
      </c>
      <c r="E272" s="2211">
        <v>0.26824518012853033</v>
      </c>
      <c r="F272" s="825">
        <v>3</v>
      </c>
      <c r="G272" s="768" t="str">
        <f>IF(F272=1,"Catch",(IF(F272=3,"%TAA","%ETRS")))</f>
        <v>%TAA</v>
      </c>
      <c r="H272" s="2197" t="s">
        <v>2285</v>
      </c>
    </row>
    <row r="273" spans="1:8" ht="16.5" thickBot="1" x14ac:dyDescent="0.3">
      <c r="B273" s="7" t="s">
        <v>2286</v>
      </c>
      <c r="C273" s="862"/>
      <c r="D273" s="824"/>
      <c r="E273" s="2196">
        <v>0</v>
      </c>
      <c r="F273" s="836">
        <v>1</v>
      </c>
      <c r="G273" s="2070" t="s">
        <v>2267</v>
      </c>
      <c r="H273" s="2069" t="s">
        <v>2287</v>
      </c>
    </row>
    <row r="274" spans="1:8" ht="15.75" x14ac:dyDescent="0.25">
      <c r="B274" s="7" t="s">
        <v>2288</v>
      </c>
      <c r="C274" s="862"/>
      <c r="D274" s="824"/>
      <c r="E274" s="2196">
        <v>0</v>
      </c>
      <c r="F274" s="836">
        <v>1</v>
      </c>
      <c r="G274" s="768" t="str">
        <f>IF(F274=1,"Catch",(IF(F274=3,"%TAA","%ETRS")))</f>
        <v>Catch</v>
      </c>
      <c r="H274" s="2196" t="s">
        <v>1825</v>
      </c>
    </row>
    <row r="275" spans="1:8" ht="15.75" x14ac:dyDescent="0.25">
      <c r="B275" s="7" t="s">
        <v>2289</v>
      </c>
      <c r="C275" s="863"/>
      <c r="D275" s="824"/>
      <c r="E275" s="2199">
        <v>0</v>
      </c>
      <c r="F275" s="825">
        <v>1</v>
      </c>
      <c r="G275" s="768" t="str">
        <f>IF(F275=1,"Catch",(IF(F275=3,"%TAA","%ETRS")))</f>
        <v>Catch</v>
      </c>
      <c r="H275" s="2199" t="s">
        <v>1825</v>
      </c>
    </row>
    <row r="276" spans="1:8" x14ac:dyDescent="0.2">
      <c r="A276" s="6" t="s">
        <v>125</v>
      </c>
      <c r="B276" s="6" t="s">
        <v>125</v>
      </c>
      <c r="C276" s="6" t="s">
        <v>125</v>
      </c>
      <c r="D276" s="605"/>
      <c r="E276" s="605"/>
      <c r="F276" s="605"/>
      <c r="G276" s="6" t="s">
        <v>125</v>
      </c>
      <c r="H276" s="6" t="s">
        <v>125</v>
      </c>
    </row>
    <row r="277" spans="1:8" x14ac:dyDescent="0.2">
      <c r="A277"/>
      <c r="B277"/>
      <c r="C277" s="608" t="s">
        <v>2290</v>
      </c>
      <c r="D277" s="331"/>
      <c r="E277" s="331"/>
      <c r="F277" s="331"/>
      <c r="G277" s="331"/>
    </row>
    <row r="278" spans="1:8" ht="52.35" customHeight="1" thickBot="1" x14ac:dyDescent="0.3">
      <c r="A278" s="1" t="s">
        <v>2291</v>
      </c>
      <c r="C278" s="2106" t="s">
        <v>1181</v>
      </c>
      <c r="D278" s="2106" t="s">
        <v>2292</v>
      </c>
      <c r="E278" s="823" t="s">
        <v>2293</v>
      </c>
      <c r="F278" s="2" t="s">
        <v>2294</v>
      </c>
      <c r="G278" s="2" t="s">
        <v>2295</v>
      </c>
    </row>
    <row r="279" spans="1:8" x14ac:dyDescent="0.2">
      <c r="B279" s="2" t="s">
        <v>2296</v>
      </c>
      <c r="C279" s="1338">
        <f>TRunsPRN!D227+TRunsPRN!D228</f>
        <v>83674.205019778994</v>
      </c>
      <c r="D279" s="2076">
        <v>0.10639999999999999</v>
      </c>
      <c r="E279" s="30">
        <f>D279*C279-E280</f>
        <v>5713.2709322584442</v>
      </c>
      <c r="H279" s="2075" t="s">
        <v>2297</v>
      </c>
    </row>
    <row r="280" spans="1:8" ht="25.5" customHeight="1" x14ac:dyDescent="0.2">
      <c r="B280" s="946" t="s">
        <v>2298</v>
      </c>
      <c r="D280" s="2077">
        <v>0.35827110200000001</v>
      </c>
      <c r="E280" s="30">
        <f>D279*C279*D280</f>
        <v>3189.66448184604</v>
      </c>
      <c r="H280" s="2075" t="s">
        <v>2297</v>
      </c>
    </row>
    <row r="281" spans="1:8" x14ac:dyDescent="0.2">
      <c r="B281" s="19" t="s">
        <v>2299</v>
      </c>
      <c r="C281" s="870">
        <f>TRunsPRN!B225+TRunsPRN!B226</f>
        <v>52725</v>
      </c>
      <c r="D281" s="942">
        <f>E281/C281</f>
        <v>4.3345494457579535E-2</v>
      </c>
      <c r="E281" s="870">
        <f>G281+F281*C281</f>
        <v>2285.3911952758808</v>
      </c>
      <c r="F281" s="852">
        <v>2.188343541182618E-2</v>
      </c>
      <c r="G281" s="853">
        <v>1131.5870631873454</v>
      </c>
      <c r="H281" s="768"/>
    </row>
    <row r="282" spans="1:8" x14ac:dyDescent="0.2">
      <c r="B282" s="884" t="s">
        <v>225</v>
      </c>
      <c r="C282" s="1339">
        <f>TRunsPRN!D156+TRunsPRN!D157</f>
        <v>59632.84729718788</v>
      </c>
      <c r="D282" s="1340"/>
      <c r="E282" s="1339">
        <f>C282*D282*G286</f>
        <v>0</v>
      </c>
      <c r="F282" s="852"/>
      <c r="G282" s="853"/>
      <c r="H282" s="768"/>
    </row>
    <row r="283" spans="1:8" x14ac:dyDescent="0.2">
      <c r="B283" s="884" t="s">
        <v>2300</v>
      </c>
      <c r="C283" s="1341">
        <f>TRunsPRN!D150+TRunsPRN!D151</f>
        <v>17878.348709768517</v>
      </c>
      <c r="D283" s="1342">
        <v>2.7655128973731107E-2</v>
      </c>
      <c r="E283" s="1339">
        <f>C283*D283*G288</f>
        <v>74.164205910898119</v>
      </c>
      <c r="F283" s="852"/>
      <c r="G283" s="853"/>
      <c r="H283" s="768"/>
    </row>
    <row r="284" spans="1:8" x14ac:dyDescent="0.2">
      <c r="A284" s="885"/>
      <c r="B284" s="2" t="s">
        <v>2301</v>
      </c>
      <c r="C284" s="1338">
        <f>TRunsPRN!D142+TRunsPRN!D143</f>
        <v>9566.4524253404961</v>
      </c>
      <c r="D284" s="2297">
        <v>0.17934296845495853</v>
      </c>
      <c r="E284" s="2071">
        <f>C284*D284</f>
        <v>1715.6759755437022</v>
      </c>
      <c r="H284" s="2421" t="s">
        <v>7533</v>
      </c>
    </row>
    <row r="285" spans="1:8" x14ac:dyDescent="0.2">
      <c r="B285" s="157" t="s">
        <v>2302</v>
      </c>
      <c r="C285" s="30">
        <f>TRunsPRN!D194+TRunsPRN!D215+TRunsPRN!D216</f>
        <v>13825.201857435695</v>
      </c>
      <c r="D285" s="1115">
        <v>0.12061477768337878</v>
      </c>
      <c r="E285" s="30">
        <f>C285*D285</f>
        <v>1667.5236484624418</v>
      </c>
      <c r="H285" s="961" t="s">
        <v>2303</v>
      </c>
    </row>
    <row r="286" spans="1:8" x14ac:dyDescent="0.2">
      <c r="B286" s="2" t="s">
        <v>2304</v>
      </c>
      <c r="C286" s="30">
        <f>TRunsPRN!D199+TRunsPRN!D200</f>
        <v>2963.9508147972365</v>
      </c>
      <c r="D286" s="1116">
        <v>0</v>
      </c>
      <c r="E286" s="30">
        <f>G286+F286*C286</f>
        <v>0</v>
      </c>
      <c r="F286" s="872">
        <v>0</v>
      </c>
      <c r="G286" s="872">
        <v>0</v>
      </c>
      <c r="H286" s="1941" t="s">
        <v>2305</v>
      </c>
    </row>
    <row r="288" spans="1:8" ht="15.75" x14ac:dyDescent="0.25">
      <c r="G288" s="2008">
        <v>0.15</v>
      </c>
      <c r="H288" s="2009" t="s">
        <v>2306</v>
      </c>
    </row>
    <row r="289" spans="2:8" ht="15.75" x14ac:dyDescent="0.25">
      <c r="B289" s="385" t="s">
        <v>752</v>
      </c>
      <c r="H289" s="1202" t="s">
        <v>2307</v>
      </c>
    </row>
    <row r="290" spans="2:8" ht="15.75" x14ac:dyDescent="0.25">
      <c r="B290" s="385"/>
      <c r="E290" s="1224" t="s">
        <v>426</v>
      </c>
      <c r="F290" s="1224"/>
      <c r="G290" s="1224" t="s">
        <v>426</v>
      </c>
    </row>
    <row r="291" spans="2:8" ht="15.75" x14ac:dyDescent="0.25">
      <c r="B291" s="385"/>
      <c r="C291" s="1224" t="s">
        <v>1181</v>
      </c>
      <c r="D291" s="1224" t="s">
        <v>2292</v>
      </c>
      <c r="E291" s="1224" t="s">
        <v>2308</v>
      </c>
      <c r="F291" s="1224" t="s">
        <v>2292</v>
      </c>
      <c r="G291" s="1224" t="s">
        <v>615</v>
      </c>
    </row>
    <row r="292" spans="2:8" ht="15.75" x14ac:dyDescent="0.25">
      <c r="B292" s="7" t="s">
        <v>2309</v>
      </c>
      <c r="C292" s="872">
        <f>TRunsPRN!D229+TRunsPRN!D78</f>
        <v>18286.662052567845</v>
      </c>
      <c r="D292" s="871">
        <f>E292/C292</f>
        <v>0</v>
      </c>
      <c r="E292" s="1949"/>
      <c r="F292" s="871">
        <f>G292/C292</f>
        <v>0</v>
      </c>
      <c r="G292" s="1949"/>
      <c r="H292" s="2201" t="s">
        <v>1905</v>
      </c>
    </row>
    <row r="293" spans="2:8" ht="15.75" x14ac:dyDescent="0.25">
      <c r="B293" s="7" t="s">
        <v>1904</v>
      </c>
      <c r="C293" s="886"/>
      <c r="D293" s="34"/>
      <c r="E293" s="1702">
        <v>0</v>
      </c>
      <c r="F293" s="887"/>
      <c r="G293" s="1702">
        <v>0</v>
      </c>
      <c r="H293" s="2298"/>
    </row>
    <row r="295" spans="2:8" ht="15.75" x14ac:dyDescent="0.25">
      <c r="B295" s="385" t="s">
        <v>1916</v>
      </c>
    </row>
    <row r="296" spans="2:8" ht="15.6" customHeight="1" x14ac:dyDescent="0.25">
      <c r="B296" s="7" t="s">
        <v>1942</v>
      </c>
      <c r="C296" s="872">
        <f>C292</f>
        <v>18286.662052567845</v>
      </c>
      <c r="D296" s="871">
        <f>E296/C296</f>
        <v>0</v>
      </c>
      <c r="E296" s="2299">
        <v>0</v>
      </c>
      <c r="F296" s="887"/>
      <c r="G296" s="887"/>
      <c r="H296" s="2300"/>
    </row>
    <row r="297" spans="2:8" ht="15.75" x14ac:dyDescent="0.25">
      <c r="C297" s="871"/>
      <c r="D297" s="869"/>
      <c r="E297" s="871"/>
      <c r="F297" s="869"/>
      <c r="H297" s="2298"/>
    </row>
  </sheetData>
  <mergeCells count="1">
    <mergeCell ref="I107:M107"/>
  </mergeCells>
  <phoneticPr fontId="16" type="noConversion"/>
  <pageMargins left="0.7" right="0.23" top="0.91" bottom="0.59" header="0.24" footer="0.59"/>
  <pageSetup scale="42" orientation="portrait" r:id="rId1"/>
  <headerFooter alignWithMargins="0"/>
  <rowBreaks count="4" manualBreakCount="4">
    <brk id="43" max="16383" man="1"/>
    <brk id="76" max="16383" man="1"/>
    <brk id="236" max="16383" man="1"/>
    <brk id="256" max="16383" man="1"/>
  </row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ransitionEvaluation="1" transitionEntry="1" codeName="Sheet15">
    <pageSetUpPr fitToPage="1"/>
  </sheetPr>
  <dimension ref="A1:X209"/>
  <sheetViews>
    <sheetView topLeftCell="A112" workbookViewId="0">
      <selection activeCell="G137" sqref="G137"/>
    </sheetView>
  </sheetViews>
  <sheetFormatPr defaultColWidth="12.5703125" defaultRowHeight="15" x14ac:dyDescent="0.2"/>
  <cols>
    <col min="1" max="1" width="12.5703125" style="2"/>
    <col min="2" max="2" width="26.5703125" style="2" customWidth="1"/>
    <col min="3" max="4" width="15.140625" style="2" customWidth="1"/>
    <col min="5" max="6" width="13.85546875" style="2" customWidth="1"/>
    <col min="7" max="9" width="12.5703125" style="2"/>
    <col min="10" max="10" width="34.28515625" style="2" customWidth="1"/>
    <col min="11" max="11" width="37" style="2" customWidth="1"/>
    <col min="12" max="12" width="40.85546875" style="2" customWidth="1"/>
    <col min="13" max="19" width="12.5703125" style="2"/>
    <col min="20" max="20" width="17.140625" style="2" customWidth="1"/>
    <col min="21" max="21" width="15.85546875" style="2" customWidth="1"/>
    <col min="22" max="16384" width="12.5703125" style="2"/>
  </cols>
  <sheetData>
    <row r="1" spans="1:24" ht="23.25" x14ac:dyDescent="0.35">
      <c r="A1" s="1938" t="s">
        <v>2310</v>
      </c>
    </row>
    <row r="2" spans="1:24" x14ac:dyDescent="0.2">
      <c r="A2" s="2301" t="s">
        <v>1708</v>
      </c>
      <c r="B2" s="2302" t="s">
        <v>2311</v>
      </c>
      <c r="E2" s="8" t="s">
        <v>2312</v>
      </c>
      <c r="F2" s="8"/>
      <c r="G2" s="8"/>
      <c r="H2" s="8"/>
      <c r="I2" s="8"/>
      <c r="T2" t="s">
        <v>2313</v>
      </c>
      <c r="U2"/>
      <c r="V2"/>
      <c r="W2"/>
      <c r="X2"/>
    </row>
    <row r="3" spans="1:24" ht="15.75" x14ac:dyDescent="0.25">
      <c r="A3" s="2301" t="s">
        <v>1709</v>
      </c>
      <c r="B3" s="2303"/>
      <c r="C3" s="167" t="s">
        <v>2314</v>
      </c>
      <c r="T3" t="s">
        <v>545</v>
      </c>
      <c r="U3" t="s">
        <v>2315</v>
      </c>
      <c r="V3" t="s">
        <v>2316</v>
      </c>
      <c r="W3" t="s">
        <v>2317</v>
      </c>
      <c r="X3"/>
    </row>
    <row r="4" spans="1:24" x14ac:dyDescent="0.2">
      <c r="A4" s="2301" t="s">
        <v>1710</v>
      </c>
      <c r="B4" s="2303"/>
      <c r="T4" t="s">
        <v>2318</v>
      </c>
      <c r="U4" t="s">
        <v>2319</v>
      </c>
      <c r="V4" t="s">
        <v>2319</v>
      </c>
      <c r="W4" t="s">
        <v>2320</v>
      </c>
      <c r="X4"/>
    </row>
    <row r="5" spans="1:24" ht="15.75" x14ac:dyDescent="0.25">
      <c r="D5" s="2142" t="s">
        <v>2321</v>
      </c>
      <c r="E5" s="2142" t="s">
        <v>2321</v>
      </c>
      <c r="F5" s="2142"/>
      <c r="G5" s="2142"/>
      <c r="H5" s="2142"/>
      <c r="I5" s="2142"/>
      <c r="K5" s="2142" t="s">
        <v>2322</v>
      </c>
      <c r="L5" s="2304" t="s">
        <v>2323</v>
      </c>
      <c r="T5"/>
      <c r="U5"/>
      <c r="V5"/>
      <c r="W5"/>
      <c r="X5"/>
    </row>
    <row r="6" spans="1:24" ht="15.75" x14ac:dyDescent="0.25">
      <c r="C6" s="9" t="s">
        <v>644</v>
      </c>
      <c r="D6" s="10" t="s">
        <v>2322</v>
      </c>
      <c r="E6" s="10" t="s">
        <v>2322</v>
      </c>
      <c r="F6" s="10" t="s">
        <v>2321</v>
      </c>
      <c r="G6" s="10" t="s">
        <v>2321</v>
      </c>
      <c r="H6" s="10"/>
      <c r="I6" s="10"/>
      <c r="K6" s="9" t="s">
        <v>2324</v>
      </c>
      <c r="L6" s="10" t="s">
        <v>2322</v>
      </c>
      <c r="T6" t="s">
        <v>2325</v>
      </c>
      <c r="U6">
        <v>72106</v>
      </c>
      <c r="V6">
        <v>62430</v>
      </c>
      <c r="W6"/>
      <c r="X6"/>
    </row>
    <row r="7" spans="1:24" ht="15.75" x14ac:dyDescent="0.25">
      <c r="A7" s="1533" t="s">
        <v>1718</v>
      </c>
      <c r="B7" s="1534" t="s">
        <v>2326</v>
      </c>
      <c r="C7" s="1533" t="s">
        <v>645</v>
      </c>
      <c r="D7" s="1534" t="s">
        <v>2327</v>
      </c>
      <c r="E7" s="1534" t="s">
        <v>2327</v>
      </c>
      <c r="F7" s="1534" t="s">
        <v>2328</v>
      </c>
      <c r="G7" s="1534" t="s">
        <v>234</v>
      </c>
      <c r="H7" s="1534"/>
      <c r="I7" s="1534"/>
      <c r="J7" s="2034" t="s">
        <v>2329</v>
      </c>
      <c r="K7" s="1534" t="s">
        <v>2330</v>
      </c>
      <c r="L7" s="1534" t="s">
        <v>2327</v>
      </c>
      <c r="T7" t="s">
        <v>2331</v>
      </c>
      <c r="U7">
        <v>25476</v>
      </c>
      <c r="V7">
        <v>10730</v>
      </c>
      <c r="W7"/>
      <c r="X7"/>
    </row>
    <row r="8" spans="1:24" ht="15.75" x14ac:dyDescent="0.25">
      <c r="B8" s="1"/>
      <c r="T8" t="s">
        <v>2332</v>
      </c>
      <c r="U8">
        <v>132879</v>
      </c>
      <c r="V8">
        <v>69161</v>
      </c>
      <c r="W8"/>
      <c r="X8"/>
    </row>
    <row r="9" spans="1:24" ht="15.75" x14ac:dyDescent="0.25">
      <c r="A9" s="1" t="s">
        <v>206</v>
      </c>
      <c r="D9" s="11" t="s">
        <v>2333</v>
      </c>
      <c r="E9" s="11" t="s">
        <v>2334</v>
      </c>
      <c r="F9" s="11" t="s">
        <v>2333</v>
      </c>
      <c r="G9" s="11" t="s">
        <v>2334</v>
      </c>
      <c r="H9" s="11"/>
      <c r="I9" s="11"/>
      <c r="T9" t="s">
        <v>2335</v>
      </c>
      <c r="U9">
        <v>37366</v>
      </c>
      <c r="V9">
        <v>19330</v>
      </c>
      <c r="W9"/>
      <c r="X9"/>
    </row>
    <row r="10" spans="1:24" ht="15.75" x14ac:dyDescent="0.25">
      <c r="B10" s="7" t="s">
        <v>2336</v>
      </c>
      <c r="C10" s="2305" t="s">
        <v>2337</v>
      </c>
      <c r="D10" s="2306">
        <f t="shared" ref="D10:E15" si="0">F10/F$16</f>
        <v>0.92837456632404913</v>
      </c>
      <c r="E10" s="2306">
        <f t="shared" si="0"/>
        <v>0</v>
      </c>
      <c r="F10" s="2307">
        <v>114528</v>
      </c>
      <c r="G10" s="2307">
        <v>0</v>
      </c>
      <c r="H10" s="2308"/>
      <c r="I10" s="2308"/>
      <c r="J10" s="2" t="s">
        <v>2338</v>
      </c>
      <c r="T10" t="s">
        <v>2339</v>
      </c>
      <c r="U10">
        <v>5016</v>
      </c>
      <c r="V10">
        <v>4955</v>
      </c>
      <c r="W10"/>
      <c r="X10"/>
    </row>
    <row r="11" spans="1:24" ht="15.75" x14ac:dyDescent="0.25">
      <c r="B11" s="7" t="s">
        <v>2340</v>
      </c>
      <c r="C11" s="2305">
        <v>700</v>
      </c>
      <c r="D11" s="2306">
        <f t="shared" si="0"/>
        <v>5.4610745436269897E-2</v>
      </c>
      <c r="E11" s="2306">
        <f t="shared" si="0"/>
        <v>0.43816835755415412</v>
      </c>
      <c r="F11" s="2307">
        <v>6737</v>
      </c>
      <c r="G11" s="2307">
        <v>1598</v>
      </c>
      <c r="H11" s="2308"/>
      <c r="I11" s="2308"/>
      <c r="J11" s="2" t="s">
        <v>2338</v>
      </c>
      <c r="T11" t="s">
        <v>2341</v>
      </c>
      <c r="U11">
        <v>11734</v>
      </c>
      <c r="V11">
        <v>8394</v>
      </c>
      <c r="W11"/>
      <c r="X11"/>
    </row>
    <row r="12" spans="1:24" ht="15.75" x14ac:dyDescent="0.25">
      <c r="B12" s="7" t="s">
        <v>2342</v>
      </c>
      <c r="C12" s="1703">
        <v>0</v>
      </c>
      <c r="D12" s="2306">
        <f t="shared" si="0"/>
        <v>0</v>
      </c>
      <c r="E12" s="2306">
        <f t="shared" si="0"/>
        <v>0</v>
      </c>
      <c r="F12" s="1704">
        <v>0</v>
      </c>
      <c r="G12" s="1704">
        <v>0</v>
      </c>
      <c r="H12" s="1705"/>
      <c r="I12" s="1705"/>
      <c r="J12" s="2" t="s">
        <v>2338</v>
      </c>
      <c r="T12" t="s">
        <v>1448</v>
      </c>
      <c r="U12">
        <v>4827</v>
      </c>
      <c r="V12">
        <v>3047</v>
      </c>
      <c r="W12"/>
      <c r="X12"/>
    </row>
    <row r="13" spans="1:24" ht="15.75" x14ac:dyDescent="0.25">
      <c r="B13" s="7" t="s">
        <v>2343</v>
      </c>
      <c r="C13" s="1703">
        <v>0</v>
      </c>
      <c r="D13" s="2306">
        <f>F13/F$16</f>
        <v>0</v>
      </c>
      <c r="E13" s="2306">
        <f>G13/G$16</f>
        <v>0.56183164244584594</v>
      </c>
      <c r="F13" s="1704">
        <v>0</v>
      </c>
      <c r="G13" s="1704">
        <v>2049</v>
      </c>
      <c r="H13" s="1705"/>
      <c r="I13" s="1705"/>
      <c r="J13" s="2" t="s">
        <v>2338</v>
      </c>
      <c r="T13"/>
      <c r="U13"/>
      <c r="V13"/>
      <c r="W13"/>
      <c r="X13"/>
    </row>
    <row r="14" spans="1:24" ht="15.75" x14ac:dyDescent="0.25">
      <c r="B14" s="7" t="s">
        <v>2344</v>
      </c>
      <c r="C14" s="1703">
        <v>0</v>
      </c>
      <c r="D14" s="2306">
        <f t="shared" si="0"/>
        <v>1.7014688239680945E-2</v>
      </c>
      <c r="E14" s="2306">
        <f t="shared" si="0"/>
        <v>0</v>
      </c>
      <c r="F14" s="1704">
        <v>2099</v>
      </c>
      <c r="G14" s="1704">
        <v>0</v>
      </c>
      <c r="H14" s="1705"/>
      <c r="I14" s="1705"/>
      <c r="J14" s="2" t="s">
        <v>2338</v>
      </c>
      <c r="T14" t="s">
        <v>1385</v>
      </c>
      <c r="U14">
        <v>5981</v>
      </c>
      <c r="V14">
        <v>4929</v>
      </c>
      <c r="W14"/>
      <c r="X14"/>
    </row>
    <row r="15" spans="1:24" ht="15.75" x14ac:dyDescent="0.25">
      <c r="B15" s="7" t="s">
        <v>2345</v>
      </c>
      <c r="C15" s="1703">
        <v>0</v>
      </c>
      <c r="D15" s="2306">
        <f t="shared" si="0"/>
        <v>0</v>
      </c>
      <c r="E15" s="2306">
        <f t="shared" si="0"/>
        <v>0</v>
      </c>
      <c r="F15" s="1704">
        <v>0</v>
      </c>
      <c r="G15" s="1704">
        <v>0</v>
      </c>
      <c r="H15" s="1705"/>
      <c r="I15" s="1705"/>
      <c r="J15" s="2" t="s">
        <v>2338</v>
      </c>
      <c r="T15" t="s">
        <v>2346</v>
      </c>
      <c r="U15">
        <v>68358</v>
      </c>
      <c r="V15">
        <v>39855</v>
      </c>
      <c r="W15"/>
      <c r="X15"/>
    </row>
    <row r="16" spans="1:24" ht="15.75" x14ac:dyDescent="0.25">
      <c r="B16" s="7"/>
      <c r="C16" s="1703"/>
      <c r="D16" s="2306">
        <f>SUM(D10:D15)</f>
        <v>1</v>
      </c>
      <c r="E16" s="2306">
        <f>SUM(E10:E15)</f>
        <v>1</v>
      </c>
      <c r="F16" s="1704">
        <f>SUM(F10:F15)</f>
        <v>123364</v>
      </c>
      <c r="G16" s="1704">
        <f>SUM(G10:G15)</f>
        <v>3647</v>
      </c>
      <c r="H16" s="1705"/>
      <c r="I16" s="1705"/>
      <c r="J16" s="2" t="s">
        <v>2347</v>
      </c>
      <c r="T16" t="s">
        <v>2348</v>
      </c>
      <c r="U16">
        <v>3964</v>
      </c>
      <c r="V16">
        <v>2523</v>
      </c>
      <c r="W16"/>
      <c r="X16"/>
    </row>
    <row r="17" spans="1:24" ht="15.75" x14ac:dyDescent="0.25">
      <c r="A17" s="6" t="s">
        <v>125</v>
      </c>
      <c r="B17" s="6" t="s">
        <v>125</v>
      </c>
      <c r="C17" s="6" t="s">
        <v>125</v>
      </c>
      <c r="D17" s="12" t="s">
        <v>125</v>
      </c>
      <c r="E17" s="6" t="s">
        <v>125</v>
      </c>
      <c r="F17" s="34"/>
      <c r="G17" s="34"/>
      <c r="H17" s="34"/>
      <c r="J17" s="6" t="s">
        <v>125</v>
      </c>
      <c r="K17" s="6" t="s">
        <v>125</v>
      </c>
      <c r="L17" s="6" t="s">
        <v>125</v>
      </c>
      <c r="T17" t="s">
        <v>2349</v>
      </c>
      <c r="U17">
        <v>720</v>
      </c>
      <c r="V17">
        <v>405</v>
      </c>
      <c r="W17"/>
      <c r="X17"/>
    </row>
    <row r="18" spans="1:24" ht="15.75" x14ac:dyDescent="0.25">
      <c r="A18" s="1" t="s">
        <v>1856</v>
      </c>
      <c r="C18" s="11" t="s">
        <v>2350</v>
      </c>
      <c r="D18" s="11" t="s">
        <v>2333</v>
      </c>
      <c r="E18" s="11" t="s">
        <v>2334</v>
      </c>
      <c r="F18" s="13" t="s">
        <v>2333</v>
      </c>
      <c r="G18" s="13" t="s">
        <v>2334</v>
      </c>
      <c r="H18" s="11"/>
      <c r="I18" s="11"/>
      <c r="T18" t="s">
        <v>2351</v>
      </c>
      <c r="U18">
        <v>16797</v>
      </c>
      <c r="V18">
        <v>6583</v>
      </c>
      <c r="W18"/>
      <c r="X18"/>
    </row>
    <row r="19" spans="1:24" ht="15.75" x14ac:dyDescent="0.25">
      <c r="B19" s="7" t="s">
        <v>747</v>
      </c>
      <c r="C19" s="2309" t="e">
        <f t="shared" ref="C19:C25" si="1">(F19+G19)/($F$26+$G$26)</f>
        <v>#DIV/0!</v>
      </c>
      <c r="D19" s="2306" t="e">
        <f t="shared" ref="D19:D25" si="2">F19/$F$26</f>
        <v>#DIV/0!</v>
      </c>
      <c r="E19" s="2306" t="e">
        <f t="shared" ref="E19:E25" si="3">G19/$G$26</f>
        <v>#DIV/0!</v>
      </c>
      <c r="F19" s="2307">
        <v>37800</v>
      </c>
      <c r="G19" s="2307">
        <v>0</v>
      </c>
      <c r="H19" s="2308"/>
      <c r="I19" s="2308"/>
      <c r="J19" s="2" t="s">
        <v>2352</v>
      </c>
      <c r="T19" t="s">
        <v>1612</v>
      </c>
      <c r="U19">
        <v>7378</v>
      </c>
      <c r="V19">
        <v>3902</v>
      </c>
      <c r="W19"/>
      <c r="X19"/>
    </row>
    <row r="20" spans="1:24" ht="15.75" x14ac:dyDescent="0.25">
      <c r="B20" s="7" t="s">
        <v>2353</v>
      </c>
      <c r="C20" s="2309" t="e">
        <f t="shared" si="1"/>
        <v>#DIV/0!</v>
      </c>
      <c r="D20" s="2306" t="e">
        <f t="shared" si="2"/>
        <v>#DIV/0!</v>
      </c>
      <c r="E20" s="2306" t="e">
        <f t="shared" si="3"/>
        <v>#DIV/0!</v>
      </c>
      <c r="F20" s="2307">
        <v>1104</v>
      </c>
      <c r="G20" s="2307">
        <v>232</v>
      </c>
      <c r="H20" s="2308"/>
      <c r="I20" s="2308"/>
      <c r="J20" s="2" t="s">
        <v>2352</v>
      </c>
      <c r="T20" t="s">
        <v>2354</v>
      </c>
      <c r="U20">
        <v>38676</v>
      </c>
      <c r="V20">
        <v>9181</v>
      </c>
      <c r="W20"/>
      <c r="X20"/>
    </row>
    <row r="21" spans="1:24" ht="15.75" x14ac:dyDescent="0.25">
      <c r="B21" s="7" t="s">
        <v>753</v>
      </c>
      <c r="C21" s="2309" t="e">
        <f t="shared" si="1"/>
        <v>#DIV/0!</v>
      </c>
      <c r="D21" s="2306" t="e">
        <f t="shared" si="2"/>
        <v>#DIV/0!</v>
      </c>
      <c r="E21" s="2306" t="e">
        <f t="shared" si="3"/>
        <v>#DIV/0!</v>
      </c>
      <c r="F21" s="2307"/>
      <c r="G21" s="2307"/>
      <c r="H21" s="2308"/>
      <c r="I21" s="2308"/>
      <c r="J21" s="2" t="s">
        <v>2352</v>
      </c>
      <c r="T21" t="s">
        <v>2355</v>
      </c>
      <c r="U21">
        <v>12553</v>
      </c>
      <c r="V21">
        <v>4628</v>
      </c>
      <c r="W21"/>
      <c r="X21"/>
    </row>
    <row r="22" spans="1:24" ht="15.75" x14ac:dyDescent="0.25">
      <c r="B22" s="7" t="s">
        <v>2356</v>
      </c>
      <c r="C22" s="2309" t="e">
        <f t="shared" si="1"/>
        <v>#DIV/0!</v>
      </c>
      <c r="D22" s="2306" t="e">
        <f t="shared" si="2"/>
        <v>#DIV/0!</v>
      </c>
      <c r="E22" s="2306" t="e">
        <f t="shared" si="3"/>
        <v>#DIV/0!</v>
      </c>
      <c r="F22" s="2307"/>
      <c r="G22" s="2307"/>
      <c r="H22" s="2308"/>
      <c r="I22" s="2308"/>
      <c r="J22" s="2" t="s">
        <v>2352</v>
      </c>
      <c r="T22" t="s">
        <v>2357</v>
      </c>
      <c r="U22">
        <v>18312</v>
      </c>
      <c r="V22">
        <v>11358</v>
      </c>
      <c r="W22"/>
      <c r="X22"/>
    </row>
    <row r="23" spans="1:24" ht="15.75" x14ac:dyDescent="0.25">
      <c r="B23" s="7" t="s">
        <v>2358</v>
      </c>
      <c r="C23" s="2309" t="e">
        <f t="shared" si="1"/>
        <v>#DIV/0!</v>
      </c>
      <c r="D23" s="2306" t="e">
        <f t="shared" si="2"/>
        <v>#DIV/0!</v>
      </c>
      <c r="E23" s="2306" t="e">
        <f t="shared" si="3"/>
        <v>#DIV/0!</v>
      </c>
      <c r="F23" s="2307"/>
      <c r="G23" s="2307"/>
      <c r="H23" s="2308"/>
      <c r="I23" s="2308"/>
      <c r="J23" s="2" t="s">
        <v>2352</v>
      </c>
      <c r="T23" t="s">
        <v>2359</v>
      </c>
      <c r="U23">
        <v>27324</v>
      </c>
      <c r="V23">
        <v>8795</v>
      </c>
      <c r="W23"/>
      <c r="X23"/>
    </row>
    <row r="24" spans="1:24" ht="15.75" x14ac:dyDescent="0.25">
      <c r="B24" s="7" t="s">
        <v>765</v>
      </c>
      <c r="C24" s="2309" t="e">
        <f t="shared" si="1"/>
        <v>#DIV/0!</v>
      </c>
      <c r="D24" s="2306" t="e">
        <f t="shared" si="2"/>
        <v>#DIV/0!</v>
      </c>
      <c r="E24" s="2306" t="e">
        <f t="shared" si="3"/>
        <v>#DIV/0!</v>
      </c>
      <c r="F24" s="1704"/>
      <c r="G24" s="1704"/>
      <c r="H24" s="1705"/>
      <c r="I24" s="1705"/>
      <c r="J24" s="2" t="s">
        <v>2352</v>
      </c>
      <c r="T24" t="s">
        <v>2360</v>
      </c>
      <c r="U24">
        <v>73203</v>
      </c>
      <c r="V24">
        <v>62430</v>
      </c>
      <c r="W24"/>
      <c r="X24"/>
    </row>
    <row r="25" spans="1:24" ht="15.75" x14ac:dyDescent="0.25">
      <c r="B25" s="7" t="s">
        <v>767</v>
      </c>
      <c r="C25" s="2309" t="e">
        <f t="shared" si="1"/>
        <v>#DIV/0!</v>
      </c>
      <c r="D25" s="2306" t="e">
        <f t="shared" si="2"/>
        <v>#DIV/0!</v>
      </c>
      <c r="E25" s="2306" t="e">
        <f t="shared" si="3"/>
        <v>#DIV/0!</v>
      </c>
      <c r="F25" s="1704"/>
      <c r="G25" s="1704"/>
      <c r="H25" s="1705"/>
      <c r="I25" s="1705"/>
      <c r="J25" s="2" t="s">
        <v>2352</v>
      </c>
      <c r="T25" t="s">
        <v>2361</v>
      </c>
      <c r="U25">
        <v>20703</v>
      </c>
      <c r="V25">
        <v>10730</v>
      </c>
      <c r="W25"/>
      <c r="X25"/>
    </row>
    <row r="26" spans="1:24" ht="15.75" x14ac:dyDescent="0.25">
      <c r="B26" s="7"/>
      <c r="C26" s="1706"/>
      <c r="D26" s="2306" t="e">
        <f>SUM(D19:D25)</f>
        <v>#DIV/0!</v>
      </c>
      <c r="E26" s="2306" t="e">
        <f>SUM(E19:E25)</f>
        <v>#DIV/0!</v>
      </c>
      <c r="F26" s="1704"/>
      <c r="G26" s="1704"/>
      <c r="H26" s="1705"/>
      <c r="I26" s="1705"/>
      <c r="J26" s="2" t="s">
        <v>2347</v>
      </c>
      <c r="T26" t="s">
        <v>2362</v>
      </c>
      <c r="U26">
        <v>108105</v>
      </c>
      <c r="V26">
        <v>69161</v>
      </c>
      <c r="W26"/>
      <c r="X26"/>
    </row>
    <row r="27" spans="1:24" x14ac:dyDescent="0.2">
      <c r="A27" s="6" t="s">
        <v>125</v>
      </c>
      <c r="B27" s="6" t="s">
        <v>125</v>
      </c>
      <c r="C27" s="6" t="s">
        <v>125</v>
      </c>
      <c r="D27" s="6" t="s">
        <v>125</v>
      </c>
      <c r="E27" s="6" t="s">
        <v>125</v>
      </c>
      <c r="F27" s="6" t="s">
        <v>125</v>
      </c>
      <c r="G27" s="6" t="s">
        <v>125</v>
      </c>
      <c r="H27" s="6" t="s">
        <v>125</v>
      </c>
      <c r="I27" s="6" t="s">
        <v>125</v>
      </c>
      <c r="J27" s="6" t="s">
        <v>125</v>
      </c>
      <c r="K27" s="6" t="s">
        <v>125</v>
      </c>
      <c r="L27" s="6" t="s">
        <v>125</v>
      </c>
      <c r="T27" t="s">
        <v>2363</v>
      </c>
      <c r="U27">
        <v>39180</v>
      </c>
      <c r="V27">
        <v>19330</v>
      </c>
      <c r="W27"/>
      <c r="X27"/>
    </row>
    <row r="28" spans="1:24" ht="15.75" x14ac:dyDescent="0.25">
      <c r="A28" s="2" t="s">
        <v>2364</v>
      </c>
      <c r="C28" s="2142"/>
      <c r="D28" s="2142" t="s">
        <v>2321</v>
      </c>
      <c r="F28" s="2142" t="s">
        <v>2321</v>
      </c>
      <c r="G28" s="2304" t="s">
        <v>2321</v>
      </c>
      <c r="T28" t="s">
        <v>2365</v>
      </c>
      <c r="U28">
        <v>39419</v>
      </c>
      <c r="V28">
        <v>9181</v>
      </c>
      <c r="W28"/>
      <c r="X28"/>
    </row>
    <row r="29" spans="1:24" ht="15.75" x14ac:dyDescent="0.25">
      <c r="C29" s="10" t="s">
        <v>644</v>
      </c>
      <c r="D29" s="10" t="s">
        <v>2322</v>
      </c>
      <c r="F29" s="9" t="s">
        <v>2322</v>
      </c>
      <c r="G29" s="10" t="s">
        <v>2322</v>
      </c>
      <c r="H29" s="34"/>
      <c r="I29" s="34"/>
      <c r="T29" t="s">
        <v>2366</v>
      </c>
      <c r="U29">
        <v>19696</v>
      </c>
      <c r="V29">
        <v>4628</v>
      </c>
      <c r="W29"/>
      <c r="X29"/>
    </row>
    <row r="30" spans="1:24" ht="15.75" x14ac:dyDescent="0.25">
      <c r="A30" s="1" t="s">
        <v>210</v>
      </c>
      <c r="C30" s="1534" t="s">
        <v>645</v>
      </c>
      <c r="D30" s="1534" t="s">
        <v>2327</v>
      </c>
      <c r="F30" s="1533" t="s">
        <v>2328</v>
      </c>
      <c r="G30" s="1534" t="s">
        <v>234</v>
      </c>
      <c r="H30" s="13" t="s">
        <v>2333</v>
      </c>
      <c r="I30" s="13" t="s">
        <v>2334</v>
      </c>
      <c r="T30" t="s">
        <v>2367</v>
      </c>
      <c r="U30">
        <v>18939</v>
      </c>
      <c r="V30">
        <v>11358</v>
      </c>
      <c r="W30"/>
      <c r="X30"/>
    </row>
    <row r="31" spans="1:24" ht="15.75" x14ac:dyDescent="0.25">
      <c r="B31" s="7" t="s">
        <v>2368</v>
      </c>
      <c r="C31" s="2310" t="s">
        <v>1444</v>
      </c>
      <c r="D31" s="2308" t="e">
        <f>(H31+I31)/(H$45+I$45)</f>
        <v>#DIV/0!</v>
      </c>
      <c r="F31" s="2306" t="e">
        <f t="shared" ref="F31:G35" si="4">H31/H$45</f>
        <v>#DIV/0!</v>
      </c>
      <c r="G31" s="2306" t="e">
        <f t="shared" si="4"/>
        <v>#DIV/0!</v>
      </c>
      <c r="H31" s="2307"/>
      <c r="I31" s="2307"/>
      <c r="J31" s="2" t="s">
        <v>2352</v>
      </c>
      <c r="T31" t="s">
        <v>2369</v>
      </c>
      <c r="U31">
        <v>30166</v>
      </c>
      <c r="V31">
        <v>8795</v>
      </c>
      <c r="W31"/>
      <c r="X31"/>
    </row>
    <row r="32" spans="1:24" ht="15.75" x14ac:dyDescent="0.25">
      <c r="B32" s="1050" t="s">
        <v>2370</v>
      </c>
      <c r="C32" s="2310">
        <v>0</v>
      </c>
      <c r="D32" s="2308" t="e">
        <f>(H32+I32)/(H$45+I$45)</f>
        <v>#DIV/0!</v>
      </c>
      <c r="F32" s="2306" t="e">
        <f t="shared" si="4"/>
        <v>#DIV/0!</v>
      </c>
      <c r="G32" s="2306" t="e">
        <f t="shared" si="4"/>
        <v>#DIV/0!</v>
      </c>
      <c r="H32" s="2307"/>
      <c r="I32" s="2307"/>
      <c r="J32" s="2" t="s">
        <v>2352</v>
      </c>
      <c r="T32" t="s">
        <v>2371</v>
      </c>
      <c r="U32">
        <v>5647</v>
      </c>
      <c r="V32">
        <v>4955</v>
      </c>
      <c r="W32"/>
      <c r="X32"/>
    </row>
    <row r="33" spans="1:24" ht="15.75" x14ac:dyDescent="0.25">
      <c r="B33" s="1050" t="s">
        <v>2372</v>
      </c>
      <c r="C33" s="2310">
        <v>2000</v>
      </c>
      <c r="D33" s="2308" t="e">
        <f>(H33+I33)/(H$45+I$45)</f>
        <v>#DIV/0!</v>
      </c>
      <c r="F33" s="2306" t="e">
        <f t="shared" si="4"/>
        <v>#DIV/0!</v>
      </c>
      <c r="G33" s="2306" t="e">
        <f t="shared" si="4"/>
        <v>#DIV/0!</v>
      </c>
      <c r="H33" s="2307"/>
      <c r="I33" s="2307"/>
      <c r="J33" s="2" t="s">
        <v>2352</v>
      </c>
      <c r="T33" t="s">
        <v>2373</v>
      </c>
      <c r="U33">
        <v>88209</v>
      </c>
      <c r="V33">
        <v>74596</v>
      </c>
      <c r="W33"/>
      <c r="X33"/>
    </row>
    <row r="34" spans="1:24" ht="15.75" x14ac:dyDescent="0.25">
      <c r="B34" s="1050" t="s">
        <v>2374</v>
      </c>
      <c r="C34" s="1707" t="s">
        <v>1444</v>
      </c>
      <c r="D34" s="2308" t="e">
        <f>(H34+I34)/(H$45+I$45)</f>
        <v>#DIV/0!</v>
      </c>
      <c r="F34" s="2306" t="e">
        <f t="shared" si="4"/>
        <v>#DIV/0!</v>
      </c>
      <c r="G34" s="2306" t="e">
        <f t="shared" si="4"/>
        <v>#DIV/0!</v>
      </c>
      <c r="H34" s="1704"/>
      <c r="I34" s="1704"/>
      <c r="J34" s="2" t="s">
        <v>2352</v>
      </c>
      <c r="T34" t="s">
        <v>725</v>
      </c>
      <c r="U34">
        <v>231552</v>
      </c>
      <c r="V34">
        <v>99575</v>
      </c>
      <c r="W34"/>
      <c r="X34"/>
    </row>
    <row r="35" spans="1:24" ht="15.75" x14ac:dyDescent="0.25">
      <c r="B35" s="1050" t="s">
        <v>2375</v>
      </c>
      <c r="C35" s="1707">
        <v>2000</v>
      </c>
      <c r="D35" s="2308" t="e">
        <f>(H35+I35)/(H$45+I$45)</f>
        <v>#DIV/0!</v>
      </c>
      <c r="F35" s="2306" t="e">
        <f t="shared" si="4"/>
        <v>#DIV/0!</v>
      </c>
      <c r="G35" s="2306" t="e">
        <f t="shared" si="4"/>
        <v>#DIV/0!</v>
      </c>
      <c r="H35" s="1704"/>
      <c r="I35" s="1704"/>
      <c r="J35" s="2" t="s">
        <v>2352</v>
      </c>
      <c r="T35" t="s">
        <v>2376</v>
      </c>
      <c r="U35">
        <v>95552</v>
      </c>
      <c r="V35">
        <v>38285</v>
      </c>
      <c r="W35"/>
      <c r="X35"/>
    </row>
    <row r="36" spans="1:24" ht="15.75" x14ac:dyDescent="0.25">
      <c r="B36" s="1050"/>
      <c r="C36" s="1707"/>
      <c r="D36" s="1705"/>
      <c r="F36" s="2306"/>
      <c r="G36" s="2306"/>
      <c r="H36" s="1704"/>
      <c r="I36" s="1704"/>
      <c r="J36" s="2" t="s">
        <v>2352</v>
      </c>
      <c r="T36" t="s">
        <v>2377</v>
      </c>
      <c r="U36">
        <v>669884</v>
      </c>
      <c r="V36">
        <v>83868</v>
      </c>
      <c r="W36"/>
      <c r="X36"/>
    </row>
    <row r="37" spans="1:24" ht="15.75" x14ac:dyDescent="0.25">
      <c r="B37" s="1050" t="s">
        <v>2378</v>
      </c>
      <c r="C37" s="1707">
        <v>0</v>
      </c>
      <c r="D37" s="2308" t="e">
        <f>(H37+I37)/(H$45+I$45)</f>
        <v>#DIV/0!</v>
      </c>
      <c r="F37" s="2306" t="e">
        <f t="shared" ref="F37:G39" si="5">H37/H$45</f>
        <v>#DIV/0!</v>
      </c>
      <c r="G37" s="2306" t="e">
        <f t="shared" si="5"/>
        <v>#DIV/0!</v>
      </c>
      <c r="H37" s="2311" t="s">
        <v>2122</v>
      </c>
      <c r="I37" s="2311" t="s">
        <v>2122</v>
      </c>
      <c r="J37" s="2" t="s">
        <v>2352</v>
      </c>
      <c r="T37" t="s">
        <v>2379</v>
      </c>
      <c r="U37">
        <v>392135</v>
      </c>
      <c r="V37">
        <v>38546</v>
      </c>
      <c r="W37"/>
      <c r="X37"/>
    </row>
    <row r="38" spans="1:24" ht="15.75" x14ac:dyDescent="0.25">
      <c r="B38" s="1050" t="s">
        <v>2380</v>
      </c>
      <c r="C38" s="1707">
        <v>4900</v>
      </c>
      <c r="D38" s="2308" t="e">
        <f>(H38+I38)/(H$45+I$45)</f>
        <v>#DIV/0!</v>
      </c>
      <c r="F38" s="2306" t="e">
        <f t="shared" si="5"/>
        <v>#DIV/0!</v>
      </c>
      <c r="G38" s="2306" t="e">
        <f t="shared" si="5"/>
        <v>#DIV/0!</v>
      </c>
      <c r="H38" s="1704"/>
      <c r="I38" s="1704"/>
      <c r="J38" s="2" t="s">
        <v>2352</v>
      </c>
      <c r="T38" t="s">
        <v>2381</v>
      </c>
      <c r="U38">
        <v>122806</v>
      </c>
      <c r="V38">
        <v>18185</v>
      </c>
      <c r="W38"/>
      <c r="X38"/>
    </row>
    <row r="39" spans="1:24" ht="15.75" x14ac:dyDescent="0.25">
      <c r="B39" s="1050" t="s">
        <v>2382</v>
      </c>
      <c r="C39" s="1707">
        <v>2100</v>
      </c>
      <c r="D39" s="2308" t="e">
        <f>(H39+I39)/(H$45+I$45)</f>
        <v>#DIV/0!</v>
      </c>
      <c r="F39" s="2306" t="e">
        <f t="shared" si="5"/>
        <v>#DIV/0!</v>
      </c>
      <c r="G39" s="2306" t="e">
        <f t="shared" si="5"/>
        <v>#DIV/0!</v>
      </c>
      <c r="H39" s="1704"/>
      <c r="I39" s="1704"/>
      <c r="J39" s="2" t="s">
        <v>2352</v>
      </c>
      <c r="T39" t="s">
        <v>2383</v>
      </c>
      <c r="U39">
        <v>154944</v>
      </c>
      <c r="V39">
        <v>27137</v>
      </c>
      <c r="W39"/>
      <c r="X39"/>
    </row>
    <row r="40" spans="1:24" ht="15.75" x14ac:dyDescent="0.25">
      <c r="B40" s="1050"/>
      <c r="C40" s="1707"/>
      <c r="D40" s="1705"/>
      <c r="F40" s="2306"/>
      <c r="G40" s="2306"/>
      <c r="H40" s="1704"/>
      <c r="I40" s="1704"/>
      <c r="J40" s="2" t="s">
        <v>2352</v>
      </c>
      <c r="T40" t="s">
        <v>2384</v>
      </c>
      <c r="U40">
        <v>157210</v>
      </c>
      <c r="V40">
        <v>25259</v>
      </c>
      <c r="W40"/>
      <c r="X40"/>
    </row>
    <row r="41" spans="1:24" ht="15.75" x14ac:dyDescent="0.25">
      <c r="B41" s="1050" t="s">
        <v>925</v>
      </c>
      <c r="C41" s="1707">
        <v>7000</v>
      </c>
      <c r="D41" s="2308" t="e">
        <f>(H41+I41)/(H$45+I$45)</f>
        <v>#DIV/0!</v>
      </c>
      <c r="F41" s="2306" t="e">
        <f>H41/H$45</f>
        <v>#DIV/0!</v>
      </c>
      <c r="G41" s="2306" t="e">
        <f>I41/I$45</f>
        <v>#DIV/0!</v>
      </c>
      <c r="H41" s="1704"/>
      <c r="I41" s="1704"/>
      <c r="J41" s="2" t="s">
        <v>2352</v>
      </c>
      <c r="T41" t="s">
        <v>2385</v>
      </c>
      <c r="U41">
        <v>16470</v>
      </c>
      <c r="V41">
        <v>9193</v>
      </c>
      <c r="W41"/>
      <c r="X41"/>
    </row>
    <row r="42" spans="1:24" ht="15.75" x14ac:dyDescent="0.25">
      <c r="B42" s="7" t="s">
        <v>2386</v>
      </c>
      <c r="C42" s="2310"/>
      <c r="D42" s="2308" t="e">
        <f>(H42+I42)/(H$45+I$45)</f>
        <v>#DIV/0!</v>
      </c>
      <c r="F42" s="2306" t="e">
        <f>H42/H$45</f>
        <v>#DIV/0!</v>
      </c>
      <c r="G42" s="2306" t="e">
        <f>I42/I$45</f>
        <v>#DIV/0!</v>
      </c>
      <c r="H42" s="2307"/>
      <c r="I42" s="2307"/>
      <c r="J42" s="2" t="s">
        <v>2352</v>
      </c>
      <c r="T42" t="s">
        <v>2387</v>
      </c>
      <c r="U42">
        <v>75640</v>
      </c>
      <c r="V42">
        <v>12629</v>
      </c>
      <c r="W42"/>
      <c r="X42"/>
    </row>
    <row r="43" spans="1:24" ht="15.75" x14ac:dyDescent="0.25">
      <c r="B43" s="7" t="s">
        <v>2388</v>
      </c>
      <c r="C43" s="1707">
        <v>800</v>
      </c>
      <c r="D43" s="2308" t="e">
        <f>(H43+I43)/(H$45+I$45)</f>
        <v>#DIV/0!</v>
      </c>
      <c r="F43" s="2306"/>
      <c r="G43" s="2306"/>
      <c r="H43" s="2311" t="s">
        <v>2122</v>
      </c>
      <c r="I43" s="2311" t="s">
        <v>2122</v>
      </c>
      <c r="J43" s="2" t="s">
        <v>2352</v>
      </c>
      <c r="T43" t="s">
        <v>2389</v>
      </c>
      <c r="U43">
        <v>75640</v>
      </c>
      <c r="V43">
        <v>12629</v>
      </c>
      <c r="W43"/>
      <c r="X43"/>
    </row>
    <row r="44" spans="1:24" ht="15.75" x14ac:dyDescent="0.25">
      <c r="B44" s="1050" t="s">
        <v>931</v>
      </c>
      <c r="C44" s="2310">
        <v>5500</v>
      </c>
      <c r="D44" s="2308" t="e">
        <f>(H44+I44)/(H$45+I$45)</f>
        <v>#DIV/0!</v>
      </c>
      <c r="F44" s="2306" t="e">
        <f>H44/H$45</f>
        <v>#DIV/0!</v>
      </c>
      <c r="G44" s="2306" t="e">
        <f>I44/I$45</f>
        <v>#DIV/0!</v>
      </c>
      <c r="H44" s="2307"/>
      <c r="I44" s="2307"/>
      <c r="J44" s="2" t="s">
        <v>2352</v>
      </c>
      <c r="T44" t="s">
        <v>2390</v>
      </c>
      <c r="U44">
        <v>96385</v>
      </c>
      <c r="V44">
        <v>19273</v>
      </c>
      <c r="W44"/>
      <c r="X44"/>
    </row>
    <row r="45" spans="1:24" x14ac:dyDescent="0.2">
      <c r="B45" s="14"/>
      <c r="C45" s="15"/>
      <c r="D45" s="2" t="e">
        <f>SUM(D31:D44)</f>
        <v>#DIV/0!</v>
      </c>
      <c r="F45" s="609" t="e">
        <f>SUM(F31:F44)</f>
        <v>#DIV/0!</v>
      </c>
      <c r="G45" s="609" t="e">
        <f>SUM(G31:G44)</f>
        <v>#DIV/0!</v>
      </c>
      <c r="H45" s="34">
        <f>SUM(H31:H44)</f>
        <v>0</v>
      </c>
      <c r="I45" s="34">
        <f>SUM(I31:I44)</f>
        <v>0</v>
      </c>
      <c r="J45" s="2" t="s">
        <v>2347</v>
      </c>
      <c r="T45" t="s">
        <v>2391</v>
      </c>
      <c r="U45">
        <v>96385</v>
      </c>
      <c r="V45">
        <v>19273</v>
      </c>
      <c r="W45"/>
      <c r="X45"/>
    </row>
    <row r="46" spans="1:24" x14ac:dyDescent="0.2">
      <c r="A46" s="6" t="s">
        <v>125</v>
      </c>
      <c r="B46" s="6" t="s">
        <v>125</v>
      </c>
      <c r="C46" s="6" t="s">
        <v>125</v>
      </c>
      <c r="D46" s="6" t="s">
        <v>125</v>
      </c>
      <c r="E46" s="6" t="s">
        <v>125</v>
      </c>
      <c r="F46" s="6" t="s">
        <v>125</v>
      </c>
      <c r="G46" s="6" t="s">
        <v>125</v>
      </c>
      <c r="H46" s="6" t="s">
        <v>125</v>
      </c>
      <c r="I46" s="6" t="s">
        <v>125</v>
      </c>
      <c r="J46" s="6" t="s">
        <v>125</v>
      </c>
      <c r="K46" s="6" t="s">
        <v>125</v>
      </c>
      <c r="L46" s="6" t="s">
        <v>125</v>
      </c>
      <c r="T46" t="s">
        <v>2392</v>
      </c>
      <c r="U46">
        <v>36289</v>
      </c>
      <c r="V46">
        <v>9092</v>
      </c>
      <c r="W46"/>
      <c r="X46"/>
    </row>
    <row r="47" spans="1:24" ht="15.75" x14ac:dyDescent="0.25">
      <c r="A47" s="2" t="s">
        <v>2364</v>
      </c>
      <c r="D47" s="10" t="s">
        <v>2393</v>
      </c>
      <c r="E47" s="10" t="s">
        <v>2394</v>
      </c>
      <c r="F47" s="10" t="s">
        <v>2328</v>
      </c>
      <c r="G47" s="10" t="s">
        <v>234</v>
      </c>
      <c r="H47" s="10" t="s">
        <v>2321</v>
      </c>
      <c r="I47" s="10" t="s">
        <v>2321</v>
      </c>
      <c r="T47" t="s">
        <v>2395</v>
      </c>
      <c r="U47">
        <v>36289</v>
      </c>
      <c r="V47">
        <v>9092</v>
      </c>
      <c r="W47"/>
      <c r="X47"/>
    </row>
    <row r="48" spans="1:24" ht="15.75" x14ac:dyDescent="0.25">
      <c r="A48" s="1" t="s">
        <v>2396</v>
      </c>
      <c r="D48" s="1534" t="s">
        <v>2397</v>
      </c>
      <c r="E48" s="1534" t="s">
        <v>2398</v>
      </c>
      <c r="F48" s="1534" t="s">
        <v>2397</v>
      </c>
      <c r="G48" s="1534" t="s">
        <v>2399</v>
      </c>
      <c r="H48" s="1534" t="s">
        <v>2328</v>
      </c>
      <c r="I48" s="1534" t="s">
        <v>234</v>
      </c>
      <c r="T48" t="s">
        <v>2400</v>
      </c>
      <c r="U48">
        <v>77220</v>
      </c>
      <c r="V48">
        <v>13569</v>
      </c>
      <c r="W48"/>
      <c r="X48"/>
    </row>
    <row r="49" spans="2:24" ht="15.75" x14ac:dyDescent="0.25">
      <c r="B49" s="7" t="s">
        <v>1053</v>
      </c>
      <c r="C49" s="2305">
        <v>15000</v>
      </c>
      <c r="D49" s="2306" t="e">
        <f t="shared" ref="D49:D54" si="6">(H49+I49)/($H$78+$I$78)</f>
        <v>#DIV/0!</v>
      </c>
      <c r="E49" s="2306">
        <f>E50</f>
        <v>0.19950000000000001</v>
      </c>
      <c r="F49" s="2306" t="e">
        <f t="shared" ref="F49:G54" si="7">H49/H$78</f>
        <v>#DIV/0!</v>
      </c>
      <c r="G49" s="2306" t="e">
        <f t="shared" si="7"/>
        <v>#DIV/0!</v>
      </c>
      <c r="H49" s="2307"/>
      <c r="I49" s="2307"/>
      <c r="J49" s="2" t="s">
        <v>2352</v>
      </c>
      <c r="K49" s="1063" t="e">
        <f t="shared" ref="K49:K54" si="8">D49*E49</f>
        <v>#DIV/0!</v>
      </c>
      <c r="T49" t="s">
        <v>2401</v>
      </c>
      <c r="U49">
        <v>77220</v>
      </c>
      <c r="V49">
        <v>13569</v>
      </c>
      <c r="W49"/>
      <c r="X49"/>
    </row>
    <row r="50" spans="2:24" ht="15.75" x14ac:dyDescent="0.25">
      <c r="B50" s="7" t="s">
        <v>240</v>
      </c>
      <c r="C50" s="2305">
        <v>4400</v>
      </c>
      <c r="D50" s="2306" t="e">
        <f t="shared" si="6"/>
        <v>#DIV/0!</v>
      </c>
      <c r="E50" s="2308">
        <v>0.19950000000000001</v>
      </c>
      <c r="F50" s="2306" t="e">
        <f t="shared" si="7"/>
        <v>#DIV/0!</v>
      </c>
      <c r="G50" s="2306" t="e">
        <f t="shared" si="7"/>
        <v>#DIV/0!</v>
      </c>
      <c r="H50" s="2307"/>
      <c r="I50" s="2307"/>
      <c r="J50" s="2" t="s">
        <v>2352</v>
      </c>
      <c r="K50" s="1063" t="e">
        <f t="shared" si="8"/>
        <v>#DIV/0!</v>
      </c>
      <c r="T50" t="s">
        <v>2402</v>
      </c>
      <c r="U50">
        <v>7849</v>
      </c>
      <c r="V50">
        <v>5458</v>
      </c>
      <c r="W50"/>
      <c r="X50"/>
    </row>
    <row r="51" spans="2:24" ht="15.75" x14ac:dyDescent="0.25">
      <c r="B51" s="7" t="s">
        <v>1070</v>
      </c>
      <c r="C51" s="2305">
        <v>8000</v>
      </c>
      <c r="D51" s="2306" t="e">
        <f t="shared" si="6"/>
        <v>#DIV/0!</v>
      </c>
      <c r="E51" s="2306">
        <f>E52</f>
        <v>0.21609800000000001</v>
      </c>
      <c r="F51" s="2306" t="e">
        <f t="shared" si="7"/>
        <v>#DIV/0!</v>
      </c>
      <c r="G51" s="2306" t="e">
        <f t="shared" si="7"/>
        <v>#DIV/0!</v>
      </c>
      <c r="H51" s="2307"/>
      <c r="I51" s="2307"/>
      <c r="J51" s="2" t="s">
        <v>2352</v>
      </c>
      <c r="K51" s="1063" t="e">
        <f t="shared" si="8"/>
        <v>#DIV/0!</v>
      </c>
      <c r="T51" t="s">
        <v>2403</v>
      </c>
      <c r="U51">
        <v>7849</v>
      </c>
      <c r="V51">
        <v>5458</v>
      </c>
      <c r="W51"/>
      <c r="X51"/>
    </row>
    <row r="52" spans="2:24" ht="15.75" x14ac:dyDescent="0.25">
      <c r="B52" s="7" t="s">
        <v>240</v>
      </c>
      <c r="C52" s="2305">
        <v>3800</v>
      </c>
      <c r="D52" s="2306" t="e">
        <f t="shared" si="6"/>
        <v>#DIV/0!</v>
      </c>
      <c r="E52" s="2308">
        <v>0.21609800000000001</v>
      </c>
      <c r="F52" s="2306" t="e">
        <f t="shared" si="7"/>
        <v>#DIV/0!</v>
      </c>
      <c r="G52" s="2306" t="e">
        <f t="shared" si="7"/>
        <v>#DIV/0!</v>
      </c>
      <c r="H52" s="2307"/>
      <c r="I52" s="2307"/>
      <c r="J52" s="2" t="s">
        <v>2352</v>
      </c>
      <c r="K52" s="1063" t="e">
        <f t="shared" si="8"/>
        <v>#DIV/0!</v>
      </c>
      <c r="T52" t="s">
        <v>2404</v>
      </c>
      <c r="U52">
        <v>1349</v>
      </c>
      <c r="V52">
        <v>843</v>
      </c>
      <c r="W52"/>
      <c r="X52"/>
    </row>
    <row r="53" spans="2:24" ht="15.75" x14ac:dyDescent="0.25">
      <c r="B53" s="7" t="s">
        <v>2405</v>
      </c>
      <c r="C53" s="2305">
        <v>0</v>
      </c>
      <c r="D53" s="2306" t="e">
        <f t="shared" si="6"/>
        <v>#DIV/0!</v>
      </c>
      <c r="E53" s="2306">
        <f>E52</f>
        <v>0.21609800000000001</v>
      </c>
      <c r="F53" s="2306" t="e">
        <f t="shared" si="7"/>
        <v>#DIV/0!</v>
      </c>
      <c r="G53" s="2306" t="e">
        <f t="shared" si="7"/>
        <v>#DIV/0!</v>
      </c>
      <c r="H53" s="2307"/>
      <c r="I53" s="2307"/>
      <c r="J53" s="2" t="s">
        <v>2352</v>
      </c>
      <c r="K53" s="1063" t="e">
        <f t="shared" si="8"/>
        <v>#DIV/0!</v>
      </c>
      <c r="T53" t="s">
        <v>2406</v>
      </c>
      <c r="U53">
        <v>7166</v>
      </c>
      <c r="V53">
        <v>4908</v>
      </c>
      <c r="W53"/>
      <c r="X53"/>
    </row>
    <row r="54" spans="2:24" ht="15.75" x14ac:dyDescent="0.25">
      <c r="B54" s="7" t="s">
        <v>2407</v>
      </c>
      <c r="C54" s="2302">
        <v>0</v>
      </c>
      <c r="D54" s="2306" t="e">
        <f t="shared" si="6"/>
        <v>#DIV/0!</v>
      </c>
      <c r="E54" s="2306">
        <f>E52</f>
        <v>0.21609800000000001</v>
      </c>
      <c r="F54" s="2306" t="e">
        <f t="shared" si="7"/>
        <v>#DIV/0!</v>
      </c>
      <c r="G54" s="2306"/>
      <c r="H54" s="2307"/>
      <c r="I54" s="2307"/>
      <c r="J54" s="2" t="s">
        <v>2352</v>
      </c>
      <c r="K54" s="1063" t="e">
        <f t="shared" si="8"/>
        <v>#DIV/0!</v>
      </c>
      <c r="T54" t="s">
        <v>2408</v>
      </c>
      <c r="U54">
        <v>7938</v>
      </c>
      <c r="V54">
        <v>4486</v>
      </c>
      <c r="W54"/>
      <c r="X54"/>
    </row>
    <row r="55" spans="2:24" ht="15.75" x14ac:dyDescent="0.25">
      <c r="B55" s="6" t="s">
        <v>129</v>
      </c>
      <c r="C55" s="6" t="s">
        <v>129</v>
      </c>
      <c r="D55" s="6" t="s">
        <v>129</v>
      </c>
      <c r="E55" s="6" t="s">
        <v>129</v>
      </c>
      <c r="F55" s="6" t="s">
        <v>129</v>
      </c>
      <c r="G55" s="6" t="s">
        <v>129</v>
      </c>
      <c r="H55" s="2312" t="s">
        <v>129</v>
      </c>
      <c r="I55" s="2312" t="s">
        <v>129</v>
      </c>
      <c r="J55" s="6" t="s">
        <v>129</v>
      </c>
      <c r="K55" s="6" t="s">
        <v>129</v>
      </c>
      <c r="T55" t="s">
        <v>2409</v>
      </c>
      <c r="U55">
        <v>7938</v>
      </c>
      <c r="V55">
        <v>4486</v>
      </c>
      <c r="W55"/>
      <c r="X55"/>
    </row>
    <row r="56" spans="2:24" ht="15.75" x14ac:dyDescent="0.25">
      <c r="B56" s="7" t="s">
        <v>2410</v>
      </c>
      <c r="C56" s="2305">
        <v>700</v>
      </c>
      <c r="D56" s="2306" t="e">
        <f>(H56+I56)/($H$78+$I$78)</f>
        <v>#DIV/0!</v>
      </c>
      <c r="E56" s="2308">
        <v>0.1244</v>
      </c>
      <c r="F56" s="2306" t="e">
        <f>H56/H$78</f>
        <v>#DIV/0!</v>
      </c>
      <c r="G56" s="2306" t="e">
        <f>I56/I$78</f>
        <v>#DIV/0!</v>
      </c>
      <c r="H56" s="2307"/>
      <c r="I56" s="2307"/>
      <c r="J56" s="4" t="s">
        <v>2411</v>
      </c>
      <c r="K56" s="1063" t="e">
        <f>D56*E56</f>
        <v>#DIV/0!</v>
      </c>
      <c r="T56" t="s">
        <v>2412</v>
      </c>
      <c r="U56">
        <v>68841</v>
      </c>
      <c r="V56">
        <v>39638</v>
      </c>
      <c r="W56"/>
      <c r="X56"/>
    </row>
    <row r="57" spans="2:24" ht="15.75" x14ac:dyDescent="0.25">
      <c r="B57" s="6" t="s">
        <v>129</v>
      </c>
      <c r="C57" s="6" t="s">
        <v>129</v>
      </c>
      <c r="D57" s="6" t="s">
        <v>129</v>
      </c>
      <c r="E57" s="6" t="s">
        <v>129</v>
      </c>
      <c r="F57" s="6" t="s">
        <v>129</v>
      </c>
      <c r="G57" s="6" t="s">
        <v>129</v>
      </c>
      <c r="H57" s="2312" t="s">
        <v>129</v>
      </c>
      <c r="I57" s="2312" t="s">
        <v>129</v>
      </c>
      <c r="J57" s="6" t="s">
        <v>129</v>
      </c>
      <c r="K57" s="6" t="s">
        <v>129</v>
      </c>
      <c r="T57" t="s">
        <v>2413</v>
      </c>
      <c r="U57">
        <v>68841</v>
      </c>
      <c r="V57">
        <v>39638</v>
      </c>
      <c r="W57"/>
      <c r="X57"/>
    </row>
    <row r="58" spans="2:24" ht="15.75" x14ac:dyDescent="0.25">
      <c r="B58" s="7" t="s">
        <v>2414</v>
      </c>
      <c r="C58" s="2305">
        <v>1800</v>
      </c>
      <c r="D58" s="2306" t="e">
        <f>(H58+I58)/($H$78+$I$78)</f>
        <v>#DIV/0!</v>
      </c>
      <c r="E58" s="2306">
        <f>C58/(SPS!AJ21+SPS!AJ22)</f>
        <v>0.17845023174596417</v>
      </c>
      <c r="F58" s="2306" t="e">
        <f>H58/H$78</f>
        <v>#DIV/0!</v>
      </c>
      <c r="G58" s="2306"/>
      <c r="H58" s="2307"/>
      <c r="I58" s="2307"/>
      <c r="J58" s="4" t="s">
        <v>2415</v>
      </c>
      <c r="K58" s="1063" t="e">
        <f>D58*E58</f>
        <v>#DIV/0!</v>
      </c>
      <c r="T58" t="s">
        <v>2416</v>
      </c>
      <c r="U58">
        <v>111377</v>
      </c>
      <c r="V58">
        <v>53516</v>
      </c>
      <c r="W58"/>
      <c r="X58"/>
    </row>
    <row r="59" spans="2:24" ht="15.75" x14ac:dyDescent="0.25">
      <c r="B59" s="7" t="s">
        <v>240</v>
      </c>
      <c r="C59" s="2305">
        <v>0</v>
      </c>
      <c r="D59" s="2306" t="e">
        <f>(H59+I59)/($H$78+$I$78)</f>
        <v>#DIV/0!</v>
      </c>
      <c r="E59" s="2306">
        <f>E58</f>
        <v>0.17845023174596417</v>
      </c>
      <c r="F59" s="2306" t="e">
        <f>H59/H$78</f>
        <v>#DIV/0!</v>
      </c>
      <c r="G59" s="2306" t="e">
        <f>I59/I$78</f>
        <v>#DIV/0!</v>
      </c>
      <c r="H59" s="2307"/>
      <c r="I59" s="2307"/>
      <c r="K59" s="1063" t="e">
        <f>D59*E59</f>
        <v>#DIV/0!</v>
      </c>
      <c r="T59" t="s">
        <v>2417</v>
      </c>
      <c r="U59">
        <v>111377</v>
      </c>
      <c r="V59">
        <v>53516</v>
      </c>
      <c r="W59"/>
      <c r="X59"/>
    </row>
    <row r="60" spans="2:24" ht="15.75" x14ac:dyDescent="0.25">
      <c r="B60" s="6" t="s">
        <v>129</v>
      </c>
      <c r="C60" s="6" t="s">
        <v>129</v>
      </c>
      <c r="D60" s="6" t="s">
        <v>129</v>
      </c>
      <c r="E60" s="6" t="s">
        <v>129</v>
      </c>
      <c r="F60" s="6" t="s">
        <v>129</v>
      </c>
      <c r="G60" s="6" t="s">
        <v>129</v>
      </c>
      <c r="H60" s="2312" t="s">
        <v>129</v>
      </c>
      <c r="I60" s="2312" t="s">
        <v>129</v>
      </c>
      <c r="J60" s="6"/>
      <c r="K60" s="6" t="s">
        <v>129</v>
      </c>
      <c r="T60" t="s">
        <v>2418</v>
      </c>
      <c r="U60">
        <v>3695</v>
      </c>
      <c r="V60">
        <v>2178</v>
      </c>
      <c r="W60"/>
      <c r="X60"/>
    </row>
    <row r="61" spans="2:24" ht="15.75" x14ac:dyDescent="0.25">
      <c r="B61" s="7" t="s">
        <v>2419</v>
      </c>
      <c r="C61" s="2305">
        <v>600</v>
      </c>
      <c r="D61" s="2306" t="e">
        <f>(H61+I61)/($H$78+$I$78)</f>
        <v>#DIV/0!</v>
      </c>
      <c r="E61" s="2306">
        <f>E64</f>
        <v>0.152952</v>
      </c>
      <c r="F61" s="2306" t="e">
        <f t="shared" ref="F61:G64" si="9">H61/H$78</f>
        <v>#DIV/0!</v>
      </c>
      <c r="G61" s="2306" t="e">
        <f t="shared" si="9"/>
        <v>#DIV/0!</v>
      </c>
      <c r="H61" s="2307"/>
      <c r="I61" s="2307"/>
      <c r="J61" s="2" t="s">
        <v>2352</v>
      </c>
      <c r="K61" s="1063" t="e">
        <f>D61*E61</f>
        <v>#DIV/0!</v>
      </c>
      <c r="T61" t="s">
        <v>2420</v>
      </c>
      <c r="U61">
        <v>145028</v>
      </c>
      <c r="V61">
        <v>45761</v>
      </c>
      <c r="W61"/>
      <c r="X61"/>
    </row>
    <row r="62" spans="2:24" ht="15.75" x14ac:dyDescent="0.25">
      <c r="B62" s="7" t="s">
        <v>240</v>
      </c>
      <c r="C62" s="1703">
        <v>0</v>
      </c>
      <c r="D62" s="2306" t="e">
        <f>(H62+I62)/($H$78+$I$78)</f>
        <v>#DIV/0!</v>
      </c>
      <c r="E62" s="2306">
        <f>E64</f>
        <v>0.152952</v>
      </c>
      <c r="F62" s="2306" t="e">
        <f t="shared" si="9"/>
        <v>#DIV/0!</v>
      </c>
      <c r="G62" s="2306" t="e">
        <f t="shared" si="9"/>
        <v>#DIV/0!</v>
      </c>
      <c r="H62" s="2307"/>
      <c r="I62" s="2307"/>
      <c r="J62" s="2" t="s">
        <v>2352</v>
      </c>
      <c r="K62" s="1063" t="e">
        <f>D62*E62</f>
        <v>#DIV/0!</v>
      </c>
      <c r="T62" t="s">
        <v>2421</v>
      </c>
      <c r="U62">
        <v>145028</v>
      </c>
      <c r="V62">
        <v>45761</v>
      </c>
      <c r="W62"/>
      <c r="X62"/>
    </row>
    <row r="63" spans="2:24" ht="15.75" x14ac:dyDescent="0.25">
      <c r="B63" s="7" t="s">
        <v>1119</v>
      </c>
      <c r="C63" s="1703">
        <v>11000</v>
      </c>
      <c r="D63" s="2306" t="e">
        <f>(H63+I63)/($H$78+$I$78)</f>
        <v>#DIV/0!</v>
      </c>
      <c r="E63" s="2306">
        <f>E64</f>
        <v>0.152952</v>
      </c>
      <c r="F63" s="2306" t="e">
        <f t="shared" si="9"/>
        <v>#DIV/0!</v>
      </c>
      <c r="G63" s="2306" t="e">
        <f t="shared" si="9"/>
        <v>#DIV/0!</v>
      </c>
      <c r="H63" s="2307"/>
      <c r="I63" s="2307"/>
      <c r="J63" s="2" t="s">
        <v>2352</v>
      </c>
      <c r="K63" s="1063" t="e">
        <f>D63*E63</f>
        <v>#DIV/0!</v>
      </c>
      <c r="T63" t="s">
        <v>2422</v>
      </c>
      <c r="U63">
        <v>4056</v>
      </c>
      <c r="V63">
        <v>1178</v>
      </c>
      <c r="W63"/>
      <c r="X63"/>
    </row>
    <row r="64" spans="2:24" ht="15.75" x14ac:dyDescent="0.25">
      <c r="B64" s="7" t="s">
        <v>240</v>
      </c>
      <c r="C64" s="2305">
        <v>0</v>
      </c>
      <c r="D64" s="2306" t="e">
        <f>(H64+I64)/($H$78+$I$78)</f>
        <v>#DIV/0!</v>
      </c>
      <c r="E64" s="2308">
        <v>0.152952</v>
      </c>
      <c r="F64" s="2306" t="e">
        <f t="shared" si="9"/>
        <v>#DIV/0!</v>
      </c>
      <c r="G64" s="2306" t="e">
        <f t="shared" si="9"/>
        <v>#DIV/0!</v>
      </c>
      <c r="H64" s="2307"/>
      <c r="I64" s="2307"/>
      <c r="J64" s="4" t="s">
        <v>2423</v>
      </c>
      <c r="K64" s="1063" t="e">
        <f>D64*E64</f>
        <v>#DIV/0!</v>
      </c>
      <c r="T64" t="s">
        <v>2424</v>
      </c>
      <c r="U64">
        <v>58435</v>
      </c>
      <c r="V64">
        <v>22205</v>
      </c>
      <c r="W64"/>
      <c r="X64"/>
    </row>
    <row r="65" spans="1:24" ht="15.75" x14ac:dyDescent="0.25">
      <c r="B65" s="6" t="s">
        <v>129</v>
      </c>
      <c r="C65" s="6" t="s">
        <v>129</v>
      </c>
      <c r="D65" s="6" t="s">
        <v>129</v>
      </c>
      <c r="E65" s="6" t="s">
        <v>129</v>
      </c>
      <c r="F65" s="6" t="s">
        <v>129</v>
      </c>
      <c r="G65" s="6" t="s">
        <v>129</v>
      </c>
      <c r="H65" s="2312" t="s">
        <v>129</v>
      </c>
      <c r="I65" s="2312" t="s">
        <v>129</v>
      </c>
      <c r="J65" s="6" t="s">
        <v>129</v>
      </c>
      <c r="K65" s="6" t="s">
        <v>129</v>
      </c>
      <c r="T65" t="s">
        <v>2425</v>
      </c>
      <c r="U65">
        <v>58435</v>
      </c>
      <c r="V65">
        <v>22205</v>
      </c>
      <c r="W65"/>
      <c r="X65"/>
    </row>
    <row r="66" spans="1:24" ht="15.75" x14ac:dyDescent="0.25">
      <c r="B66" s="7" t="s">
        <v>1134</v>
      </c>
      <c r="C66" s="2305">
        <v>4300</v>
      </c>
      <c r="D66" s="2306" t="e">
        <f>(H66+I66)/($H$78+$I$78)</f>
        <v>#DIV/0!</v>
      </c>
      <c r="E66" s="2306">
        <f>C66/(SPS!AJ30+SPS!AJ31)</f>
        <v>2.8264550685848504</v>
      </c>
      <c r="F66" s="2306" t="e">
        <f>H66/H$78</f>
        <v>#DIV/0!</v>
      </c>
      <c r="G66" s="2306" t="e">
        <f>I66/I$78</f>
        <v>#DIV/0!</v>
      </c>
      <c r="H66" s="2307"/>
      <c r="I66" s="2307"/>
      <c r="J66" s="4" t="s">
        <v>2426</v>
      </c>
      <c r="K66" s="1063" t="e">
        <f>D66*E66</f>
        <v>#DIV/0!</v>
      </c>
      <c r="T66" t="s">
        <v>2427</v>
      </c>
      <c r="U66">
        <v>15896</v>
      </c>
      <c r="V66">
        <v>6040</v>
      </c>
      <c r="W66"/>
      <c r="X66"/>
    </row>
    <row r="67" spans="1:24" ht="15.75" x14ac:dyDescent="0.25">
      <c r="B67" s="7" t="s">
        <v>2428</v>
      </c>
      <c r="C67" s="2305">
        <v>3.9030000000000002E-2</v>
      </c>
      <c r="D67" s="2306" t="e">
        <f>(H67+I67)/($H$78+$I$78)</f>
        <v>#DIV/0!</v>
      </c>
      <c r="E67" s="2306">
        <f>E66</f>
        <v>2.8264550685848504</v>
      </c>
      <c r="F67" s="2306" t="e">
        <f>H67/H$78</f>
        <v>#DIV/0!</v>
      </c>
      <c r="G67" s="2306" t="e">
        <f>I67/I$78</f>
        <v>#DIV/0!</v>
      </c>
      <c r="H67" s="2307"/>
      <c r="I67" s="2307"/>
      <c r="J67" s="2" t="s">
        <v>2352</v>
      </c>
      <c r="K67" s="1063" t="e">
        <f>D67*E67</f>
        <v>#DIV/0!</v>
      </c>
      <c r="T67" t="s">
        <v>2429</v>
      </c>
      <c r="U67">
        <v>6356</v>
      </c>
      <c r="V67">
        <v>5548</v>
      </c>
      <c r="W67"/>
      <c r="X67"/>
    </row>
    <row r="68" spans="1:24" ht="15.75" x14ac:dyDescent="0.25">
      <c r="B68" s="6" t="s">
        <v>129</v>
      </c>
      <c r="C68" s="6" t="s">
        <v>129</v>
      </c>
      <c r="D68" s="6" t="s">
        <v>129</v>
      </c>
      <c r="E68" s="6" t="s">
        <v>129</v>
      </c>
      <c r="F68" s="6" t="s">
        <v>129</v>
      </c>
      <c r="G68" s="6" t="s">
        <v>129</v>
      </c>
      <c r="H68" s="2312" t="s">
        <v>129</v>
      </c>
      <c r="I68" s="2312" t="s">
        <v>129</v>
      </c>
      <c r="J68" s="6" t="s">
        <v>129</v>
      </c>
      <c r="K68" s="6" t="s">
        <v>129</v>
      </c>
      <c r="T68" t="s">
        <v>2430</v>
      </c>
      <c r="U68">
        <v>12244</v>
      </c>
      <c r="V68">
        <v>10960</v>
      </c>
      <c r="W68"/>
      <c r="X68"/>
    </row>
    <row r="69" spans="1:24" ht="15.75" x14ac:dyDescent="0.25">
      <c r="B69" s="7" t="s">
        <v>1143</v>
      </c>
      <c r="C69" s="2305">
        <v>4000</v>
      </c>
      <c r="D69" s="2306" t="e">
        <f>(H69+I69)/($H$78+$I$78)</f>
        <v>#DIV/0!</v>
      </c>
      <c r="E69" s="2306">
        <f>C69/(SPS!AJ35+SPS!AJ34)</f>
        <v>0.51668479538942569</v>
      </c>
      <c r="F69" s="2306" t="e">
        <f>H69/H$78</f>
        <v>#DIV/0!</v>
      </c>
      <c r="G69" s="2306" t="e">
        <f>I69/I$78</f>
        <v>#DIV/0!</v>
      </c>
      <c r="H69" s="2307"/>
      <c r="I69" s="2307"/>
      <c r="J69" s="4" t="s">
        <v>2426</v>
      </c>
      <c r="K69" s="1063" t="e">
        <f>D69*E69</f>
        <v>#DIV/0!</v>
      </c>
      <c r="T69" t="s">
        <v>2431</v>
      </c>
      <c r="U69">
        <v>14940</v>
      </c>
      <c r="V69">
        <v>13223</v>
      </c>
      <c r="W69"/>
      <c r="X69"/>
    </row>
    <row r="70" spans="1:24" ht="15.75" x14ac:dyDescent="0.25">
      <c r="B70" s="7" t="s">
        <v>240</v>
      </c>
      <c r="C70" s="2305">
        <v>1000</v>
      </c>
      <c r="D70" s="2306" t="e">
        <f>(H70+I70)/($H$78+$I$78)</f>
        <v>#DIV/0!</v>
      </c>
      <c r="E70" s="2306">
        <f>E69</f>
        <v>0.51668479538942569</v>
      </c>
      <c r="F70" s="2306" t="e">
        <f>H70/H$78</f>
        <v>#DIV/0!</v>
      </c>
      <c r="G70" s="2306" t="e">
        <f>I70/I$78</f>
        <v>#DIV/0!</v>
      </c>
      <c r="H70" s="2307"/>
      <c r="I70" s="2307"/>
      <c r="J70" s="2" t="s">
        <v>2352</v>
      </c>
      <c r="K70" s="1063" t="e">
        <f>D70*E70</f>
        <v>#DIV/0!</v>
      </c>
      <c r="T70" t="s">
        <v>2432</v>
      </c>
      <c r="U70">
        <v>4352</v>
      </c>
      <c r="V70">
        <v>4237</v>
      </c>
      <c r="W70"/>
      <c r="X70"/>
    </row>
    <row r="71" spans="1:24" ht="15.75" x14ac:dyDescent="0.25">
      <c r="B71" s="6" t="s">
        <v>129</v>
      </c>
      <c r="C71" s="6" t="s">
        <v>129</v>
      </c>
      <c r="D71" s="6" t="s">
        <v>129</v>
      </c>
      <c r="E71" s="6" t="s">
        <v>129</v>
      </c>
      <c r="F71" s="6" t="s">
        <v>129</v>
      </c>
      <c r="G71" s="6" t="s">
        <v>129</v>
      </c>
      <c r="H71" s="2312" t="s">
        <v>129</v>
      </c>
      <c r="I71" s="2312" t="s">
        <v>129</v>
      </c>
      <c r="J71" s="6" t="s">
        <v>129</v>
      </c>
      <c r="K71" s="6" t="s">
        <v>129</v>
      </c>
      <c r="T71" t="s">
        <v>2433</v>
      </c>
      <c r="U71">
        <v>65050</v>
      </c>
      <c r="V71">
        <v>62430</v>
      </c>
      <c r="W71"/>
      <c r="X71"/>
    </row>
    <row r="72" spans="1:24" ht="15.75" x14ac:dyDescent="0.25">
      <c r="B72" s="7" t="s">
        <v>1147</v>
      </c>
      <c r="C72" s="2305">
        <v>500</v>
      </c>
      <c r="D72" s="2306" t="e">
        <f>(H72+I72)/($H$78+$I$78)</f>
        <v>#DIV/0!</v>
      </c>
      <c r="E72" s="2306">
        <f>E73</f>
        <v>0.5</v>
      </c>
      <c r="F72" s="2306" t="e">
        <f>H72/H$78</f>
        <v>#DIV/0!</v>
      </c>
      <c r="G72" s="2306" t="e">
        <f>I72/I$78</f>
        <v>#DIV/0!</v>
      </c>
      <c r="H72" s="2307"/>
      <c r="I72" s="2307"/>
      <c r="J72" s="2" t="s">
        <v>2352</v>
      </c>
      <c r="K72" s="1063" t="e">
        <f>D72*E72</f>
        <v>#DIV/0!</v>
      </c>
      <c r="T72" t="s">
        <v>2434</v>
      </c>
      <c r="U72">
        <v>39211</v>
      </c>
      <c r="V72">
        <v>37298</v>
      </c>
      <c r="W72"/>
      <c r="X72"/>
    </row>
    <row r="73" spans="1:24" ht="15.75" x14ac:dyDescent="0.25">
      <c r="B73" s="7" t="s">
        <v>1149</v>
      </c>
      <c r="C73" s="2305">
        <v>7400</v>
      </c>
      <c r="D73" s="2306" t="e">
        <f>(H73+I73)/($H$78+$I$78)</f>
        <v>#DIV/0!</v>
      </c>
      <c r="E73" s="2308">
        <v>0.5</v>
      </c>
      <c r="F73" s="2306" t="e">
        <f>H73/H$78</f>
        <v>#DIV/0!</v>
      </c>
      <c r="G73" s="2306" t="e">
        <f>I73/I$78</f>
        <v>#DIV/0!</v>
      </c>
      <c r="H73" s="2307"/>
      <c r="I73" s="2307"/>
      <c r="J73" s="4" t="s">
        <v>2435</v>
      </c>
      <c r="K73" s="1063" t="e">
        <f>D73*E73</f>
        <v>#DIV/0!</v>
      </c>
      <c r="T73" t="s">
        <v>2436</v>
      </c>
      <c r="U73">
        <v>39211</v>
      </c>
      <c r="V73">
        <v>37298</v>
      </c>
      <c r="W73"/>
      <c r="X73"/>
    </row>
    <row r="74" spans="1:24" ht="15.75" x14ac:dyDescent="0.25">
      <c r="B74" s="6" t="s">
        <v>129</v>
      </c>
      <c r="C74" s="6" t="s">
        <v>129</v>
      </c>
      <c r="D74" s="6" t="s">
        <v>129</v>
      </c>
      <c r="E74" s="6" t="s">
        <v>129</v>
      </c>
      <c r="F74" s="6" t="s">
        <v>129</v>
      </c>
      <c r="G74" s="6" t="s">
        <v>129</v>
      </c>
      <c r="H74" s="2312" t="s">
        <v>129</v>
      </c>
      <c r="I74" s="2312" t="s">
        <v>129</v>
      </c>
      <c r="J74" s="6" t="s">
        <v>129</v>
      </c>
      <c r="K74" s="6" t="s">
        <v>129</v>
      </c>
      <c r="T74" t="s">
        <v>2437</v>
      </c>
      <c r="U74">
        <v>13912</v>
      </c>
      <c r="V74">
        <v>10730</v>
      </c>
      <c r="W74"/>
      <c r="X74"/>
    </row>
    <row r="75" spans="1:24" ht="15.75" x14ac:dyDescent="0.25">
      <c r="B75" s="7" t="s">
        <v>1157</v>
      </c>
      <c r="C75" s="2305">
        <v>8700</v>
      </c>
      <c r="D75" s="2306" t="e">
        <f>(H75+I75)/($H$78+$I$78)</f>
        <v>#DIV/0!</v>
      </c>
      <c r="E75" s="2306">
        <f>(+C75+C77)/SUM(SPS!AJ39:AJ41)</f>
        <v>0.3173809741169441</v>
      </c>
      <c r="F75" s="2306" t="e">
        <f t="shared" ref="F75:G77" si="10">H75/H$78</f>
        <v>#DIV/0!</v>
      </c>
      <c r="G75" s="2306" t="e">
        <f t="shared" si="10"/>
        <v>#DIV/0!</v>
      </c>
      <c r="H75" s="2307"/>
      <c r="I75" s="2307"/>
      <c r="J75" s="4" t="s">
        <v>2438</v>
      </c>
      <c r="K75" s="1063" t="e">
        <f>D75*E75</f>
        <v>#DIV/0!</v>
      </c>
      <c r="T75" t="s">
        <v>2439</v>
      </c>
      <c r="U75">
        <v>98630</v>
      </c>
      <c r="V75">
        <v>69161</v>
      </c>
      <c r="W75"/>
      <c r="X75"/>
    </row>
    <row r="76" spans="1:24" ht="15.75" x14ac:dyDescent="0.25">
      <c r="B76" s="7" t="s">
        <v>1159</v>
      </c>
      <c r="C76" s="2305">
        <v>0</v>
      </c>
      <c r="D76" s="2306" t="e">
        <f>(H76+I76)/($H$78+$I$78)</f>
        <v>#DIV/0!</v>
      </c>
      <c r="E76" s="2306">
        <v>0.01</v>
      </c>
      <c r="F76" s="2306" t="e">
        <f t="shared" si="10"/>
        <v>#DIV/0!</v>
      </c>
      <c r="G76" s="2306" t="e">
        <f t="shared" si="10"/>
        <v>#DIV/0!</v>
      </c>
      <c r="H76" s="2307"/>
      <c r="I76" s="2307"/>
      <c r="J76" s="2" t="s">
        <v>2352</v>
      </c>
      <c r="K76" s="1063" t="e">
        <f>D76*E76</f>
        <v>#DIV/0!</v>
      </c>
      <c r="T76" t="s">
        <v>2440</v>
      </c>
      <c r="U76">
        <v>70485</v>
      </c>
      <c r="V76">
        <v>49878</v>
      </c>
      <c r="W76"/>
      <c r="X76"/>
    </row>
    <row r="77" spans="1:24" ht="15.75" x14ac:dyDescent="0.25">
      <c r="B77" s="7" t="s">
        <v>2441</v>
      </c>
      <c r="C77" s="1703">
        <v>8100</v>
      </c>
      <c r="D77" s="2306" t="e">
        <f>(H77+I77)/($H$78+$I$78)</f>
        <v>#DIV/0!</v>
      </c>
      <c r="E77" s="2306">
        <f>E75</f>
        <v>0.3173809741169441</v>
      </c>
      <c r="F77" s="2306" t="e">
        <f t="shared" si="10"/>
        <v>#DIV/0!</v>
      </c>
      <c r="G77" s="2306" t="e">
        <f t="shared" si="10"/>
        <v>#DIV/0!</v>
      </c>
      <c r="H77" s="2307"/>
      <c r="I77" s="2307"/>
      <c r="J77" s="2" t="s">
        <v>2352</v>
      </c>
      <c r="K77" s="1063" t="e">
        <f>D77*E77</f>
        <v>#DIV/0!</v>
      </c>
      <c r="T77" t="s">
        <v>2442</v>
      </c>
      <c r="U77">
        <v>70485</v>
      </c>
      <c r="V77">
        <v>49878</v>
      </c>
      <c r="W77"/>
      <c r="X77"/>
    </row>
    <row r="78" spans="1:24" x14ac:dyDescent="0.2">
      <c r="B78" s="7"/>
      <c r="C78" s="3"/>
      <c r="D78" s="1063" t="e">
        <f>SUM(D49:D77)</f>
        <v>#DIV/0!</v>
      </c>
      <c r="E78" s="1063"/>
      <c r="F78" s="1063" t="e">
        <f>SUM(F49:F77)</f>
        <v>#DIV/0!</v>
      </c>
      <c r="G78" s="1063" t="e">
        <f>SUM(G49:G77)</f>
        <v>#DIV/0!</v>
      </c>
      <c r="H78" s="34">
        <f>SUM(H49:H77)</f>
        <v>0</v>
      </c>
      <c r="I78" s="34">
        <f>SUM(I49:I77)</f>
        <v>0</v>
      </c>
      <c r="J78" s="2">
        <f>SUM(H78:I78)</f>
        <v>0</v>
      </c>
      <c r="K78" s="1063"/>
      <c r="T78" t="s">
        <v>2443</v>
      </c>
      <c r="U78">
        <v>24687</v>
      </c>
      <c r="V78">
        <v>19330</v>
      </c>
      <c r="W78"/>
      <c r="X78"/>
    </row>
    <row r="79" spans="1:24" x14ac:dyDescent="0.2">
      <c r="B79" s="7" t="s">
        <v>2444</v>
      </c>
      <c r="C79" s="16">
        <f>SUM(C77,C75,C72,C69,C66,C63,C61,C51,C49)</f>
        <v>60200</v>
      </c>
      <c r="D79" s="17"/>
      <c r="E79" s="1063" t="s">
        <v>2445</v>
      </c>
      <c r="F79" s="1063" t="e">
        <f>SUM(F50,F52,F53,F54,F59,F62,F64,F67,F70,F73,F76)</f>
        <v>#DIV/0!</v>
      </c>
      <c r="G79" s="1063" t="e">
        <f>SUM(G50,G52,G53,G54,G59,G62,G64,G67,G70,G73,G76)</f>
        <v>#DIV/0!</v>
      </c>
      <c r="H79" s="1063"/>
      <c r="I79" s="1063"/>
      <c r="K79" s="1063" t="e">
        <f>SUM(K49:K77)</f>
        <v>#DIV/0!</v>
      </c>
      <c r="T79" t="s">
        <v>2446</v>
      </c>
      <c r="U79">
        <v>34034</v>
      </c>
      <c r="V79">
        <v>19142</v>
      </c>
      <c r="W79"/>
      <c r="X79"/>
    </row>
    <row r="80" spans="1:24" x14ac:dyDescent="0.2">
      <c r="A80" s="6" t="s">
        <v>125</v>
      </c>
      <c r="B80" s="6" t="s">
        <v>125</v>
      </c>
      <c r="C80" s="6" t="s">
        <v>125</v>
      </c>
      <c r="D80" s="6" t="s">
        <v>125</v>
      </c>
      <c r="E80" s="6" t="s">
        <v>125</v>
      </c>
      <c r="F80" s="6" t="s">
        <v>125</v>
      </c>
      <c r="G80" s="6" t="s">
        <v>125</v>
      </c>
      <c r="H80" s="6" t="s">
        <v>125</v>
      </c>
      <c r="I80" s="6" t="s">
        <v>125</v>
      </c>
      <c r="J80" s="6" t="s">
        <v>125</v>
      </c>
      <c r="K80" s="6" t="s">
        <v>125</v>
      </c>
      <c r="L80" s="6" t="s">
        <v>125</v>
      </c>
      <c r="T80" t="s">
        <v>2447</v>
      </c>
      <c r="U80">
        <v>34034</v>
      </c>
      <c r="V80">
        <v>19142</v>
      </c>
      <c r="W80"/>
      <c r="X80"/>
    </row>
    <row r="81" spans="1:24" x14ac:dyDescent="0.2">
      <c r="A81" s="2" t="s">
        <v>2364</v>
      </c>
      <c r="T81" t="s">
        <v>2448</v>
      </c>
      <c r="U81">
        <v>20797</v>
      </c>
      <c r="V81">
        <v>9181</v>
      </c>
      <c r="W81"/>
      <c r="X81"/>
    </row>
    <row r="82" spans="1:24" ht="15.75" x14ac:dyDescent="0.25">
      <c r="D82" s="10" t="s">
        <v>2393</v>
      </c>
      <c r="E82" s="10" t="s">
        <v>2394</v>
      </c>
      <c r="F82" s="10" t="s">
        <v>2328</v>
      </c>
      <c r="G82" s="10" t="s">
        <v>234</v>
      </c>
      <c r="H82" s="10" t="s">
        <v>2321</v>
      </c>
      <c r="I82" s="10" t="s">
        <v>2321</v>
      </c>
      <c r="T82" t="s">
        <v>2449</v>
      </c>
      <c r="U82">
        <v>43374</v>
      </c>
      <c r="V82">
        <v>19273</v>
      </c>
      <c r="W82"/>
      <c r="X82"/>
    </row>
    <row r="83" spans="1:24" ht="15.75" x14ac:dyDescent="0.25">
      <c r="A83" s="1" t="s">
        <v>218</v>
      </c>
      <c r="D83" s="1534" t="s">
        <v>2397</v>
      </c>
      <c r="E83" s="1534" t="s">
        <v>435</v>
      </c>
      <c r="F83" s="1534" t="s">
        <v>2397</v>
      </c>
      <c r="G83" s="1534" t="s">
        <v>2399</v>
      </c>
      <c r="H83" s="1534" t="s">
        <v>2328</v>
      </c>
      <c r="I83" s="1534" t="s">
        <v>234</v>
      </c>
      <c r="T83" t="s">
        <v>2450</v>
      </c>
      <c r="U83">
        <v>43374</v>
      </c>
      <c r="V83">
        <v>19273</v>
      </c>
      <c r="W83"/>
      <c r="X83"/>
    </row>
    <row r="84" spans="1:24" ht="15.75" x14ac:dyDescent="0.25">
      <c r="B84" s="7" t="s">
        <v>2451</v>
      </c>
      <c r="C84" s="2305">
        <v>1000</v>
      </c>
      <c r="D84" s="2306" t="e">
        <f>(H84+I84)/($I$84+$I$85+$H$84+$H$85)</f>
        <v>#DIV/0!</v>
      </c>
      <c r="E84" s="2313">
        <v>1</v>
      </c>
      <c r="F84" s="2306" t="e">
        <f>H84/$H$98</f>
        <v>#DIV/0!</v>
      </c>
      <c r="G84" s="2306" t="e">
        <f>I84/$I$98</f>
        <v>#DIV/0!</v>
      </c>
      <c r="H84" s="2307"/>
      <c r="I84" s="2307"/>
      <c r="J84" s="2" t="s">
        <v>2352</v>
      </c>
      <c r="K84" s="1063" t="e">
        <f>L84*E84</f>
        <v>#DIV/0!</v>
      </c>
      <c r="L84" s="1063" t="e">
        <f>D84*$L$87</f>
        <v>#DIV/0!</v>
      </c>
      <c r="T84" t="s">
        <v>2452</v>
      </c>
      <c r="U84">
        <v>12553</v>
      </c>
      <c r="V84">
        <v>4628</v>
      </c>
      <c r="W84"/>
      <c r="X84"/>
    </row>
    <row r="85" spans="1:24" ht="15.75" x14ac:dyDescent="0.25">
      <c r="B85" s="7" t="s">
        <v>2453</v>
      </c>
      <c r="C85" s="2305">
        <v>0</v>
      </c>
      <c r="D85" s="2306" t="e">
        <f>(H85+I85)/($I$84+$I$85+$H$84+$H$85)</f>
        <v>#DIV/0!</v>
      </c>
      <c r="E85" s="2313">
        <v>1</v>
      </c>
      <c r="F85" s="2306" t="e">
        <f>H85/$H$98</f>
        <v>#DIV/0!</v>
      </c>
      <c r="G85" s="2306" t="e">
        <f>I85/$I$98</f>
        <v>#DIV/0!</v>
      </c>
      <c r="H85" s="2307"/>
      <c r="I85" s="2307"/>
      <c r="J85" s="2" t="s">
        <v>2352</v>
      </c>
      <c r="K85" s="1063" t="e">
        <f>L85*E85</f>
        <v>#DIV/0!</v>
      </c>
      <c r="L85" s="1063" t="e">
        <f>D85*$L$87</f>
        <v>#DIV/0!</v>
      </c>
      <c r="T85" t="s">
        <v>2454</v>
      </c>
      <c r="U85">
        <v>23875</v>
      </c>
      <c r="V85">
        <v>9092</v>
      </c>
      <c r="W85"/>
      <c r="X85"/>
    </row>
    <row r="86" spans="1:24" x14ac:dyDescent="0.2">
      <c r="B86" s="6" t="s">
        <v>129</v>
      </c>
      <c r="C86" s="6" t="s">
        <v>129</v>
      </c>
      <c r="D86" s="6" t="s">
        <v>129</v>
      </c>
      <c r="E86" s="6" t="s">
        <v>129</v>
      </c>
      <c r="F86" s="6" t="s">
        <v>129</v>
      </c>
      <c r="G86" s="6" t="s">
        <v>129</v>
      </c>
      <c r="H86" s="6" t="s">
        <v>129</v>
      </c>
      <c r="I86" s="6" t="s">
        <v>129</v>
      </c>
      <c r="J86" s="6" t="s">
        <v>129</v>
      </c>
      <c r="K86" s="6" t="s">
        <v>129</v>
      </c>
      <c r="L86" s="6" t="s">
        <v>129</v>
      </c>
      <c r="T86" t="s">
        <v>2455</v>
      </c>
      <c r="U86">
        <v>23875</v>
      </c>
      <c r="V86">
        <v>9092</v>
      </c>
      <c r="W86"/>
      <c r="X86"/>
    </row>
    <row r="87" spans="1:24" x14ac:dyDescent="0.2">
      <c r="B87" s="2" t="s">
        <v>2456</v>
      </c>
      <c r="C87" s="20">
        <f>C84+C85</f>
        <v>1000</v>
      </c>
      <c r="D87" s="1063" t="e">
        <f>D84+D85</f>
        <v>#DIV/0!</v>
      </c>
      <c r="E87" s="6" t="s">
        <v>2457</v>
      </c>
      <c r="J87" s="2" t="s">
        <v>2458</v>
      </c>
      <c r="L87" s="2314" t="e">
        <f>(H84+I84+H85+I85)/(H98+I98)</f>
        <v>#DIV/0!</v>
      </c>
      <c r="T87" t="s">
        <v>2459</v>
      </c>
      <c r="U87">
        <v>16411</v>
      </c>
      <c r="V87">
        <v>11358</v>
      </c>
      <c r="W87"/>
      <c r="X87"/>
    </row>
    <row r="88" spans="1:24" x14ac:dyDescent="0.2">
      <c r="B88" s="6" t="s">
        <v>129</v>
      </c>
      <c r="C88" s="6" t="s">
        <v>129</v>
      </c>
      <c r="D88" s="6" t="s">
        <v>129</v>
      </c>
      <c r="E88" s="6" t="s">
        <v>129</v>
      </c>
      <c r="F88" s="6" t="s">
        <v>129</v>
      </c>
      <c r="G88" s="6" t="s">
        <v>129</v>
      </c>
      <c r="H88" s="6" t="s">
        <v>129</v>
      </c>
      <c r="I88" s="6" t="s">
        <v>129</v>
      </c>
      <c r="J88" s="6" t="s">
        <v>129</v>
      </c>
      <c r="K88" s="6" t="s">
        <v>129</v>
      </c>
      <c r="L88" s="6" t="s">
        <v>129</v>
      </c>
      <c r="T88" t="s">
        <v>2460</v>
      </c>
      <c r="U88">
        <v>17720</v>
      </c>
      <c r="V88">
        <v>13569</v>
      </c>
      <c r="W88"/>
      <c r="X88"/>
    </row>
    <row r="89" spans="1:24" ht="15.75" x14ac:dyDescent="0.25">
      <c r="B89" s="7" t="s">
        <v>2461</v>
      </c>
      <c r="C89" s="2305">
        <v>9000</v>
      </c>
      <c r="D89" s="2306" t="e">
        <f t="shared" ref="D89:D96" si="11">(H89+I89)/($H$98+$I$98-$H$84-$I$84-$H$85-$I$85)</f>
        <v>#DIV/0!</v>
      </c>
      <c r="E89" s="1063">
        <f>E90</f>
        <v>0.3054</v>
      </c>
      <c r="F89" s="2306" t="e">
        <f t="shared" ref="F89:F96" si="12">H89/$H$98</f>
        <v>#DIV/0!</v>
      </c>
      <c r="G89" s="2306" t="e">
        <f t="shared" ref="G89:G96" si="13">I89/$I$98</f>
        <v>#DIV/0!</v>
      </c>
      <c r="H89" s="2307"/>
      <c r="I89" s="2307"/>
      <c r="J89" s="2" t="s">
        <v>2352</v>
      </c>
      <c r="K89" s="1063" t="e">
        <f t="shared" ref="K89:K96" si="14">L89*E89</f>
        <v>#DIV/0!</v>
      </c>
      <c r="L89" s="1063" t="e">
        <f t="shared" ref="L89:L96" si="15">D89*$L$98</f>
        <v>#DIV/0!</v>
      </c>
      <c r="N89" s="2" t="s">
        <v>2462</v>
      </c>
      <c r="T89" t="s">
        <v>2463</v>
      </c>
      <c r="U89">
        <v>17720</v>
      </c>
      <c r="V89">
        <v>13569</v>
      </c>
      <c r="W89"/>
      <c r="X89"/>
    </row>
    <row r="90" spans="1:24" ht="15.75" x14ac:dyDescent="0.25">
      <c r="B90" s="7" t="s">
        <v>2464</v>
      </c>
      <c r="C90" s="2305">
        <v>1000</v>
      </c>
      <c r="D90" s="2306" t="e">
        <f t="shared" si="11"/>
        <v>#DIV/0!</v>
      </c>
      <c r="E90" s="2302">
        <v>0.3054</v>
      </c>
      <c r="F90" s="2306" t="e">
        <f t="shared" si="12"/>
        <v>#DIV/0!</v>
      </c>
      <c r="G90" s="2306" t="e">
        <f t="shared" si="13"/>
        <v>#DIV/0!</v>
      </c>
      <c r="H90" s="2307"/>
      <c r="I90" s="2307"/>
      <c r="J90" s="4" t="s">
        <v>2465</v>
      </c>
      <c r="K90" s="1063" t="e">
        <f t="shared" si="14"/>
        <v>#DIV/0!</v>
      </c>
      <c r="L90" s="1063" t="e">
        <f t="shared" si="15"/>
        <v>#DIV/0!</v>
      </c>
      <c r="N90" s="2" t="s">
        <v>2466</v>
      </c>
      <c r="T90" t="s">
        <v>2467</v>
      </c>
      <c r="U90">
        <v>12895</v>
      </c>
      <c r="V90">
        <v>5533</v>
      </c>
      <c r="W90"/>
      <c r="X90"/>
    </row>
    <row r="91" spans="1:24" ht="15.75" x14ac:dyDescent="0.25">
      <c r="B91" s="7" t="s">
        <v>2468</v>
      </c>
      <c r="C91" s="2305">
        <v>0</v>
      </c>
      <c r="D91" s="2306" t="e">
        <f t="shared" si="11"/>
        <v>#DIV/0!</v>
      </c>
      <c r="E91" s="1063">
        <f>E90</f>
        <v>0.3054</v>
      </c>
      <c r="F91" s="2306" t="e">
        <f t="shared" si="12"/>
        <v>#DIV/0!</v>
      </c>
      <c r="G91" s="2306" t="e">
        <f t="shared" si="13"/>
        <v>#DIV/0!</v>
      </c>
      <c r="H91" s="2307"/>
      <c r="I91" s="2307"/>
      <c r="J91" s="2" t="s">
        <v>2352</v>
      </c>
      <c r="K91" s="1063" t="e">
        <f t="shared" si="14"/>
        <v>#DIV/0!</v>
      </c>
      <c r="L91" s="1063" t="e">
        <f t="shared" si="15"/>
        <v>#DIV/0!</v>
      </c>
      <c r="N91" s="2" t="s">
        <v>2469</v>
      </c>
      <c r="T91" t="s">
        <v>2470</v>
      </c>
      <c r="U91">
        <v>11387</v>
      </c>
      <c r="V91">
        <v>8795</v>
      </c>
      <c r="W91"/>
      <c r="X91"/>
    </row>
    <row r="92" spans="1:24" ht="15.75" x14ac:dyDescent="0.25">
      <c r="B92" s="7" t="s">
        <v>1270</v>
      </c>
      <c r="C92" s="2305">
        <v>0</v>
      </c>
      <c r="D92" s="2306" t="e">
        <f t="shared" si="11"/>
        <v>#DIV/0!</v>
      </c>
      <c r="E92" s="2302">
        <v>0.40210000000000001</v>
      </c>
      <c r="F92" s="2306" t="e">
        <f t="shared" si="12"/>
        <v>#DIV/0!</v>
      </c>
      <c r="G92" s="2306" t="e">
        <f t="shared" si="13"/>
        <v>#DIV/0!</v>
      </c>
      <c r="H92" s="2307"/>
      <c r="I92" s="2307"/>
      <c r="J92" s="4" t="s">
        <v>2465</v>
      </c>
      <c r="K92" s="1063" t="e">
        <f t="shared" si="14"/>
        <v>#DIV/0!</v>
      </c>
      <c r="L92" s="1063" t="e">
        <f t="shared" si="15"/>
        <v>#DIV/0!</v>
      </c>
      <c r="N92" s="2" t="s">
        <v>2471</v>
      </c>
      <c r="T92" t="s">
        <v>2472</v>
      </c>
      <c r="U92">
        <v>29270</v>
      </c>
      <c r="V92">
        <v>12629</v>
      </c>
      <c r="W92"/>
      <c r="X92"/>
    </row>
    <row r="93" spans="1:24" ht="15.75" x14ac:dyDescent="0.25">
      <c r="B93" s="7" t="s">
        <v>1273</v>
      </c>
      <c r="C93" s="2305">
        <v>0</v>
      </c>
      <c r="D93" s="2306" t="e">
        <f t="shared" si="11"/>
        <v>#DIV/0!</v>
      </c>
      <c r="E93" s="1063">
        <f>E90</f>
        <v>0.3054</v>
      </c>
      <c r="F93" s="2306" t="e">
        <f t="shared" si="12"/>
        <v>#DIV/0!</v>
      </c>
      <c r="G93" s="2306" t="e">
        <f t="shared" si="13"/>
        <v>#DIV/0!</v>
      </c>
      <c r="H93" s="2307"/>
      <c r="I93" s="2307"/>
      <c r="J93" s="2" t="s">
        <v>2352</v>
      </c>
      <c r="K93" s="1063" t="e">
        <f t="shared" si="14"/>
        <v>#DIV/0!</v>
      </c>
      <c r="L93" s="1063" t="e">
        <f t="shared" si="15"/>
        <v>#DIV/0!</v>
      </c>
      <c r="N93" s="2" t="s">
        <v>2473</v>
      </c>
      <c r="T93" t="s">
        <v>2474</v>
      </c>
      <c r="U93">
        <v>29270</v>
      </c>
      <c r="V93">
        <v>12629</v>
      </c>
      <c r="W93"/>
      <c r="X93"/>
    </row>
    <row r="94" spans="1:24" ht="15.75" x14ac:dyDescent="0.25">
      <c r="B94" s="7" t="s">
        <v>2475</v>
      </c>
      <c r="C94" s="1703">
        <v>0</v>
      </c>
      <c r="D94" s="2306" t="e">
        <f t="shared" si="11"/>
        <v>#DIV/0!</v>
      </c>
      <c r="E94" s="1063">
        <f>E90</f>
        <v>0.3054</v>
      </c>
      <c r="F94" s="2306" t="e">
        <f t="shared" si="12"/>
        <v>#DIV/0!</v>
      </c>
      <c r="G94" s="2306" t="e">
        <f t="shared" si="13"/>
        <v>#DIV/0!</v>
      </c>
      <c r="H94" s="2307"/>
      <c r="I94" s="2307"/>
      <c r="J94" s="2" t="s">
        <v>2352</v>
      </c>
      <c r="K94" s="1063" t="e">
        <f t="shared" si="14"/>
        <v>#DIV/0!</v>
      </c>
      <c r="L94" s="1063" t="e">
        <f t="shared" si="15"/>
        <v>#DIV/0!</v>
      </c>
      <c r="N94" s="2" t="s">
        <v>2476</v>
      </c>
      <c r="T94" t="s">
        <v>2477</v>
      </c>
      <c r="U94">
        <v>1155</v>
      </c>
      <c r="V94">
        <v>1155</v>
      </c>
      <c r="W94"/>
      <c r="X94"/>
    </row>
    <row r="95" spans="1:24" ht="15.75" x14ac:dyDescent="0.25">
      <c r="B95" s="7" t="s">
        <v>1280</v>
      </c>
      <c r="C95" s="2302">
        <v>0</v>
      </c>
      <c r="D95" s="2306" t="e">
        <f t="shared" si="11"/>
        <v>#DIV/0!</v>
      </c>
      <c r="E95" s="1063">
        <f>E90</f>
        <v>0.3054</v>
      </c>
      <c r="F95" s="2306" t="e">
        <f t="shared" si="12"/>
        <v>#DIV/0!</v>
      </c>
      <c r="G95" s="2306" t="e">
        <f t="shared" si="13"/>
        <v>#DIV/0!</v>
      </c>
      <c r="H95" s="2307"/>
      <c r="I95" s="2307"/>
      <c r="J95" s="2" t="s">
        <v>2352</v>
      </c>
      <c r="K95" s="1063" t="e">
        <f t="shared" si="14"/>
        <v>#DIV/0!</v>
      </c>
      <c r="L95" s="1063" t="e">
        <f t="shared" si="15"/>
        <v>#DIV/0!</v>
      </c>
      <c r="N95" s="2" t="s">
        <v>2478</v>
      </c>
      <c r="T95" t="s">
        <v>2479</v>
      </c>
      <c r="U95">
        <v>6391</v>
      </c>
      <c r="V95">
        <v>2207</v>
      </c>
      <c r="W95"/>
      <c r="X95"/>
    </row>
    <row r="96" spans="1:24" ht="15.75" x14ac:dyDescent="0.25">
      <c r="B96" s="7" t="s">
        <v>1283</v>
      </c>
      <c r="C96" s="2305">
        <v>8900</v>
      </c>
      <c r="D96" s="2306" t="e">
        <f t="shared" si="11"/>
        <v>#DIV/0!</v>
      </c>
      <c r="E96" s="2302">
        <v>0.46689999999999998</v>
      </c>
      <c r="F96" s="2306" t="e">
        <f t="shared" si="12"/>
        <v>#DIV/0!</v>
      </c>
      <c r="G96" s="2306" t="e">
        <f t="shared" si="13"/>
        <v>#DIV/0!</v>
      </c>
      <c r="H96" s="2307"/>
      <c r="I96" s="2307"/>
      <c r="J96" s="4" t="s">
        <v>2465</v>
      </c>
      <c r="K96" s="1063" t="e">
        <f t="shared" si="14"/>
        <v>#DIV/0!</v>
      </c>
      <c r="L96" s="1063" t="e">
        <f t="shared" si="15"/>
        <v>#DIV/0!</v>
      </c>
      <c r="N96" s="2" t="s">
        <v>2480</v>
      </c>
      <c r="T96" t="s">
        <v>2481</v>
      </c>
      <c r="U96">
        <v>4991</v>
      </c>
      <c r="V96">
        <v>1959</v>
      </c>
      <c r="W96"/>
      <c r="X96"/>
    </row>
    <row r="97" spans="1:24" x14ac:dyDescent="0.2">
      <c r="B97" s="6" t="s">
        <v>129</v>
      </c>
      <c r="C97" s="6" t="s">
        <v>129</v>
      </c>
      <c r="D97" s="6" t="s">
        <v>129</v>
      </c>
      <c r="E97" s="6" t="s">
        <v>129</v>
      </c>
      <c r="F97" s="6" t="s">
        <v>129</v>
      </c>
      <c r="G97" s="6" t="s">
        <v>129</v>
      </c>
      <c r="H97" s="6" t="s">
        <v>129</v>
      </c>
      <c r="I97" s="6" t="s">
        <v>129</v>
      </c>
      <c r="J97" s="6" t="s">
        <v>129</v>
      </c>
      <c r="K97" s="6" t="s">
        <v>129</v>
      </c>
      <c r="L97" s="6" t="s">
        <v>129</v>
      </c>
      <c r="N97" s="2" t="s">
        <v>2482</v>
      </c>
      <c r="T97" t="s">
        <v>2483</v>
      </c>
      <c r="U97">
        <v>72</v>
      </c>
      <c r="V97">
        <v>72</v>
      </c>
      <c r="W97"/>
      <c r="X97"/>
    </row>
    <row r="98" spans="1:24" x14ac:dyDescent="0.2">
      <c r="B98" s="2" t="s">
        <v>2484</v>
      </c>
      <c r="C98" s="20">
        <f>SUM(C89:C96)</f>
        <v>18900</v>
      </c>
      <c r="D98" s="1063" t="e">
        <f>SUM(D89:D96)</f>
        <v>#DIV/0!</v>
      </c>
      <c r="E98" s="6" t="s">
        <v>2457</v>
      </c>
      <c r="F98" s="2" t="e">
        <f>SUM(F84:F96)</f>
        <v>#DIV/0!</v>
      </c>
      <c r="G98" s="2" t="e">
        <f>SUM(G84:G96)</f>
        <v>#DIV/0!</v>
      </c>
      <c r="H98" s="2">
        <f>SUM(H84:H96)</f>
        <v>0</v>
      </c>
      <c r="I98" s="2">
        <f>SUM(I84:I96)</f>
        <v>0</v>
      </c>
      <c r="J98" s="2" t="s">
        <v>2485</v>
      </c>
      <c r="L98" s="2314" t="e">
        <f>1-L87</f>
        <v>#DIV/0!</v>
      </c>
      <c r="N98" s="2" t="s">
        <v>2486</v>
      </c>
      <c r="T98" t="s">
        <v>2487</v>
      </c>
      <c r="U98">
        <v>3143</v>
      </c>
      <c r="V98">
        <v>3082</v>
      </c>
      <c r="W98"/>
      <c r="X98"/>
    </row>
    <row r="99" spans="1:24" x14ac:dyDescent="0.2">
      <c r="B99" s="6" t="s">
        <v>129</v>
      </c>
      <c r="C99" s="6" t="s">
        <v>129</v>
      </c>
      <c r="D99" s="6" t="s">
        <v>129</v>
      </c>
      <c r="E99" s="6" t="s">
        <v>129</v>
      </c>
      <c r="F99" s="6" t="s">
        <v>129</v>
      </c>
      <c r="G99" s="6" t="s">
        <v>129</v>
      </c>
      <c r="H99" s="6" t="s">
        <v>129</v>
      </c>
      <c r="I99" s="6" t="s">
        <v>129</v>
      </c>
      <c r="J99" s="6" t="s">
        <v>129</v>
      </c>
      <c r="K99" s="6" t="s">
        <v>129</v>
      </c>
      <c r="L99" s="6" t="s">
        <v>129</v>
      </c>
      <c r="N99" s="2" t="s">
        <v>2488</v>
      </c>
      <c r="T99" t="s">
        <v>654</v>
      </c>
      <c r="U99">
        <v>59688</v>
      </c>
      <c r="V99">
        <v>59688</v>
      </c>
      <c r="W99"/>
      <c r="X99"/>
    </row>
    <row r="100" spans="1:24" x14ac:dyDescent="0.2">
      <c r="A100" s="6" t="s">
        <v>125</v>
      </c>
      <c r="B100" s="6" t="s">
        <v>125</v>
      </c>
      <c r="C100" s="6" t="s">
        <v>125</v>
      </c>
      <c r="D100" s="6" t="s">
        <v>125</v>
      </c>
      <c r="E100" s="6" t="s">
        <v>125</v>
      </c>
      <c r="F100" s="6" t="s">
        <v>125</v>
      </c>
      <c r="G100" s="6" t="s">
        <v>125</v>
      </c>
      <c r="H100" s="6" t="s">
        <v>125</v>
      </c>
      <c r="I100" s="6" t="s">
        <v>125</v>
      </c>
      <c r="J100" s="6" t="s">
        <v>125</v>
      </c>
      <c r="K100" s="6" t="s">
        <v>125</v>
      </c>
      <c r="L100" s="6" t="s">
        <v>125</v>
      </c>
      <c r="N100" s="2" t="s">
        <v>2489</v>
      </c>
      <c r="T100" t="s">
        <v>2490</v>
      </c>
      <c r="U100">
        <v>12166</v>
      </c>
      <c r="V100">
        <v>12166</v>
      </c>
      <c r="W100"/>
      <c r="X100"/>
    </row>
    <row r="101" spans="1:24" x14ac:dyDescent="0.2">
      <c r="A101" s="2" t="s">
        <v>2364</v>
      </c>
      <c r="N101" s="2" t="s">
        <v>2491</v>
      </c>
      <c r="T101" t="s">
        <v>2492</v>
      </c>
      <c r="U101">
        <v>25374</v>
      </c>
      <c r="V101">
        <v>10730</v>
      </c>
      <c r="W101"/>
      <c r="X101"/>
    </row>
    <row r="102" spans="1:24" ht="15.75" x14ac:dyDescent="0.25">
      <c r="D102" s="2142" t="s">
        <v>2393</v>
      </c>
      <c r="F102" s="2142" t="s">
        <v>2328</v>
      </c>
      <c r="G102" s="2304" t="s">
        <v>234</v>
      </c>
      <c r="H102" s="2304" t="s">
        <v>2321</v>
      </c>
      <c r="I102" s="2304" t="s">
        <v>2321</v>
      </c>
      <c r="N102" s="2" t="s">
        <v>2493</v>
      </c>
      <c r="T102" t="s">
        <v>2494</v>
      </c>
      <c r="U102">
        <v>79</v>
      </c>
      <c r="V102">
        <v>69</v>
      </c>
      <c r="W102"/>
      <c r="X102"/>
    </row>
    <row r="103" spans="1:24" ht="15.75" x14ac:dyDescent="0.25">
      <c r="A103" s="1" t="s">
        <v>2495</v>
      </c>
      <c r="D103" s="1533" t="s">
        <v>2397</v>
      </c>
      <c r="F103" s="1533" t="s">
        <v>2397</v>
      </c>
      <c r="G103" s="1534" t="s">
        <v>2399</v>
      </c>
      <c r="H103" s="1534" t="s">
        <v>2328</v>
      </c>
      <c r="I103" s="1534" t="s">
        <v>234</v>
      </c>
      <c r="J103" s="545" t="s">
        <v>2496</v>
      </c>
      <c r="L103" s="2" t="s">
        <v>2497</v>
      </c>
      <c r="N103" s="2" t="s">
        <v>2498</v>
      </c>
      <c r="T103" t="s">
        <v>2499</v>
      </c>
      <c r="U103">
        <v>30469</v>
      </c>
      <c r="V103">
        <v>587</v>
      </c>
      <c r="W103"/>
      <c r="X103"/>
    </row>
    <row r="104" spans="1:24" ht="15.75" x14ac:dyDescent="0.25">
      <c r="B104" s="7" t="s">
        <v>1324</v>
      </c>
      <c r="C104" s="2310" t="s">
        <v>2500</v>
      </c>
      <c r="D104" s="2306" t="e">
        <f>(H104+I104)/($H$115+$I$115)</f>
        <v>#DIV/0!</v>
      </c>
      <c r="E104" s="18"/>
      <c r="F104" s="2306" t="e">
        <f>H104/H$115</f>
        <v>#DIV/0!</v>
      </c>
      <c r="G104" s="2306" t="e">
        <f>I104/I$115</f>
        <v>#DIV/0!</v>
      </c>
      <c r="H104" s="2307"/>
      <c r="I104" s="2307"/>
      <c r="J104" s="545" t="s">
        <v>2496</v>
      </c>
      <c r="L104" s="1063">
        <v>1</v>
      </c>
      <c r="N104" s="2" t="s">
        <v>2501</v>
      </c>
      <c r="T104" t="s">
        <v>2502</v>
      </c>
      <c r="U104">
        <v>132311</v>
      </c>
      <c r="V104">
        <v>69161</v>
      </c>
      <c r="W104"/>
      <c r="X104"/>
    </row>
    <row r="105" spans="1:24" ht="15.75" x14ac:dyDescent="0.25">
      <c r="B105" s="6" t="s">
        <v>129</v>
      </c>
      <c r="C105" s="12" t="s">
        <v>129</v>
      </c>
      <c r="D105" s="12" t="s">
        <v>129</v>
      </c>
      <c r="E105" s="6" t="s">
        <v>129</v>
      </c>
      <c r="F105" s="6" t="s">
        <v>129</v>
      </c>
      <c r="G105" s="6" t="s">
        <v>129</v>
      </c>
      <c r="H105" s="6" t="s">
        <v>129</v>
      </c>
      <c r="I105" s="6" t="s">
        <v>129</v>
      </c>
      <c r="J105" s="6" t="s">
        <v>129</v>
      </c>
      <c r="K105" s="6" t="s">
        <v>129</v>
      </c>
      <c r="L105" s="6" t="s">
        <v>129</v>
      </c>
      <c r="N105" s="2" t="s">
        <v>2503</v>
      </c>
      <c r="T105" t="s">
        <v>2504</v>
      </c>
      <c r="U105">
        <v>25154</v>
      </c>
      <c r="V105">
        <v>19028</v>
      </c>
      <c r="W105"/>
      <c r="X105"/>
    </row>
    <row r="106" spans="1:24" ht="15.75" x14ac:dyDescent="0.25">
      <c r="B106" s="7" t="s">
        <v>2505</v>
      </c>
      <c r="C106" s="2310" t="s">
        <v>2506</v>
      </c>
      <c r="D106" s="2306" t="e">
        <f>(H106+I106)/($H$115+$I$115)</f>
        <v>#DIV/0!</v>
      </c>
      <c r="E106" s="1063"/>
      <c r="F106" s="2306" t="e">
        <f>H106/H$115</f>
        <v>#DIV/0!</v>
      </c>
      <c r="G106" s="2306" t="e">
        <f>I106/I$115</f>
        <v>#DIV/0!</v>
      </c>
      <c r="H106" s="2307"/>
      <c r="I106" s="2307"/>
      <c r="J106" s="545" t="s">
        <v>2496</v>
      </c>
      <c r="L106" s="1063" t="e">
        <f>D106/SUM(D106:D107)</f>
        <v>#DIV/0!</v>
      </c>
      <c r="N106" s="2" t="s">
        <v>2507</v>
      </c>
      <c r="T106" t="s">
        <v>2508</v>
      </c>
      <c r="U106">
        <v>8089</v>
      </c>
      <c r="V106">
        <v>8089</v>
      </c>
      <c r="W106"/>
      <c r="X106"/>
    </row>
    <row r="107" spans="1:24" ht="15.75" x14ac:dyDescent="0.25">
      <c r="B107" s="7" t="s">
        <v>240</v>
      </c>
      <c r="C107" s="2310">
        <v>800</v>
      </c>
      <c r="D107" s="2306" t="e">
        <f>(H107+I107)/($H$115+$I$115)</f>
        <v>#DIV/0!</v>
      </c>
      <c r="E107" s="1063"/>
      <c r="F107" s="2306" t="e">
        <f>H107/H$115</f>
        <v>#DIV/0!</v>
      </c>
      <c r="G107" s="2306" t="e">
        <f>I107/I$115</f>
        <v>#DIV/0!</v>
      </c>
      <c r="H107" s="2307"/>
      <c r="I107" s="2307"/>
      <c r="J107" s="545" t="s">
        <v>2496</v>
      </c>
      <c r="L107" s="1063" t="e">
        <f>D107/SUM(D106:D107)</f>
        <v>#DIV/0!</v>
      </c>
      <c r="N107" s="2" t="s">
        <v>2509</v>
      </c>
      <c r="T107" t="s">
        <v>2510</v>
      </c>
      <c r="U107">
        <v>8479</v>
      </c>
      <c r="V107">
        <v>8479</v>
      </c>
      <c r="W107"/>
      <c r="X107"/>
    </row>
    <row r="108" spans="1:24" ht="15.75" x14ac:dyDescent="0.25">
      <c r="B108" s="6" t="s">
        <v>129</v>
      </c>
      <c r="C108" s="12" t="s">
        <v>129</v>
      </c>
      <c r="D108" s="12" t="s">
        <v>129</v>
      </c>
      <c r="E108" s="6" t="s">
        <v>129</v>
      </c>
      <c r="F108" s="6" t="s">
        <v>129</v>
      </c>
      <c r="G108" s="6" t="s">
        <v>129</v>
      </c>
      <c r="H108" s="6" t="s">
        <v>129</v>
      </c>
      <c r="I108" s="6" t="s">
        <v>129</v>
      </c>
      <c r="J108" s="6" t="s">
        <v>129</v>
      </c>
      <c r="K108" s="6" t="s">
        <v>129</v>
      </c>
      <c r="L108" s="6" t="s">
        <v>129</v>
      </c>
      <c r="N108" s="2" t="s">
        <v>2511</v>
      </c>
      <c r="T108" t="s">
        <v>2512</v>
      </c>
      <c r="U108">
        <v>7216</v>
      </c>
      <c r="V108">
        <v>7216</v>
      </c>
      <c r="W108"/>
      <c r="X108"/>
    </row>
    <row r="109" spans="1:24" ht="15.75" x14ac:dyDescent="0.25">
      <c r="B109" s="7" t="s">
        <v>2513</v>
      </c>
      <c r="C109" s="2310" t="s">
        <v>2506</v>
      </c>
      <c r="D109" s="2306" t="e">
        <f>(H109+I109)/($H$115+$I$115)</f>
        <v>#DIV/0!</v>
      </c>
      <c r="E109" s="1063"/>
      <c r="F109" s="2306" t="e">
        <f>H109/H$115</f>
        <v>#DIV/0!</v>
      </c>
      <c r="G109" s="2306" t="e">
        <f>I109/I$115</f>
        <v>#DIV/0!</v>
      </c>
      <c r="H109" s="2307"/>
      <c r="I109" s="2307"/>
      <c r="J109" s="545" t="s">
        <v>2496</v>
      </c>
      <c r="L109" s="1063" t="e">
        <f>D109/SUM(D109:D110)</f>
        <v>#DIV/0!</v>
      </c>
      <c r="N109" s="2" t="s">
        <v>2514</v>
      </c>
      <c r="T109" t="s">
        <v>2515</v>
      </c>
      <c r="U109">
        <v>1309</v>
      </c>
      <c r="V109">
        <v>1309</v>
      </c>
      <c r="W109"/>
      <c r="X109"/>
    </row>
    <row r="110" spans="1:24" ht="15.75" x14ac:dyDescent="0.25">
      <c r="B110" s="7" t="s">
        <v>240</v>
      </c>
      <c r="C110" s="1707">
        <v>1100</v>
      </c>
      <c r="D110" s="2306" t="e">
        <f>(H110+I110)/($H$115+$I$115)</f>
        <v>#DIV/0!</v>
      </c>
      <c r="E110" s="1063"/>
      <c r="F110" s="2306" t="e">
        <f>H110/H$115</f>
        <v>#DIV/0!</v>
      </c>
      <c r="G110" s="2306" t="e">
        <f>I110/I$115</f>
        <v>#DIV/0!</v>
      </c>
      <c r="H110" s="2307"/>
      <c r="I110" s="2307"/>
      <c r="J110" s="545" t="s">
        <v>2496</v>
      </c>
      <c r="L110" s="1063" t="e">
        <f>D110/SUM(D109:D110)</f>
        <v>#DIV/0!</v>
      </c>
      <c r="N110" s="2" t="s">
        <v>2516</v>
      </c>
      <c r="T110" t="s">
        <v>2517</v>
      </c>
      <c r="U110">
        <v>11738</v>
      </c>
      <c r="V110">
        <v>11738</v>
      </c>
      <c r="W110"/>
      <c r="X110"/>
    </row>
    <row r="111" spans="1:24" ht="15.75" x14ac:dyDescent="0.25">
      <c r="B111" s="6" t="s">
        <v>129</v>
      </c>
      <c r="C111" s="12" t="s">
        <v>129</v>
      </c>
      <c r="D111" s="12" t="s">
        <v>129</v>
      </c>
      <c r="E111" s="6" t="s">
        <v>129</v>
      </c>
      <c r="F111" s="6" t="s">
        <v>129</v>
      </c>
      <c r="G111" s="6" t="s">
        <v>129</v>
      </c>
      <c r="H111" s="6" t="s">
        <v>129</v>
      </c>
      <c r="I111" s="6" t="s">
        <v>129</v>
      </c>
      <c r="J111" s="6" t="s">
        <v>129</v>
      </c>
      <c r="K111" s="6" t="s">
        <v>129</v>
      </c>
      <c r="L111" s="6" t="s">
        <v>129</v>
      </c>
      <c r="N111" s="2" t="s">
        <v>2518</v>
      </c>
      <c r="T111" t="s">
        <v>2519</v>
      </c>
      <c r="U111">
        <v>4384</v>
      </c>
      <c r="V111">
        <v>2762</v>
      </c>
      <c r="W111"/>
      <c r="X111"/>
    </row>
    <row r="112" spans="1:24" ht="15.75" x14ac:dyDescent="0.25">
      <c r="B112" s="7" t="s">
        <v>1331</v>
      </c>
      <c r="C112" s="2310" t="s">
        <v>2500</v>
      </c>
      <c r="D112" s="2306" t="e">
        <f>(H112+I112)/($H$115+$I$115)</f>
        <v>#DIV/0!</v>
      </c>
      <c r="E112" s="18"/>
      <c r="F112" s="2306" t="e">
        <f>H112/H$115</f>
        <v>#DIV/0!</v>
      </c>
      <c r="G112" s="2306" t="e">
        <f>I112/I$115</f>
        <v>#DIV/0!</v>
      </c>
      <c r="H112" s="2307"/>
      <c r="I112" s="2307"/>
      <c r="J112" s="545" t="s">
        <v>2496</v>
      </c>
      <c r="L112" s="1063">
        <v>1</v>
      </c>
      <c r="N112" s="2" t="s">
        <v>2520</v>
      </c>
      <c r="T112" t="s">
        <v>2521</v>
      </c>
      <c r="U112">
        <v>447</v>
      </c>
      <c r="V112">
        <v>447</v>
      </c>
      <c r="W112"/>
      <c r="X112"/>
    </row>
    <row r="113" spans="1:24" ht="15.75" x14ac:dyDescent="0.25">
      <c r="B113" s="6" t="s">
        <v>129</v>
      </c>
      <c r="C113" s="12" t="s">
        <v>129</v>
      </c>
      <c r="D113" s="12" t="s">
        <v>129</v>
      </c>
      <c r="E113" s="6" t="s">
        <v>129</v>
      </c>
      <c r="F113" s="6" t="s">
        <v>129</v>
      </c>
      <c r="G113" s="6" t="s">
        <v>129</v>
      </c>
      <c r="H113" s="6" t="s">
        <v>129</v>
      </c>
      <c r="I113" s="6" t="s">
        <v>129</v>
      </c>
      <c r="J113" s="6" t="s">
        <v>129</v>
      </c>
      <c r="K113" s="6" t="s">
        <v>129</v>
      </c>
      <c r="L113" s="6" t="s">
        <v>129</v>
      </c>
      <c r="N113" s="2" t="s">
        <v>2522</v>
      </c>
      <c r="T113" t="s">
        <v>2523</v>
      </c>
      <c r="U113">
        <v>998</v>
      </c>
      <c r="V113">
        <v>998</v>
      </c>
      <c r="W113"/>
      <c r="X113"/>
    </row>
    <row r="114" spans="1:24" ht="15.75" x14ac:dyDescent="0.25">
      <c r="B114" s="7" t="s">
        <v>2524</v>
      </c>
      <c r="C114" s="2310">
        <v>0</v>
      </c>
      <c r="D114" s="2306" t="e">
        <f>(H114+I114)/($H$115+$I$115)</f>
        <v>#DIV/0!</v>
      </c>
      <c r="E114" s="18"/>
      <c r="F114" s="2306" t="e">
        <f>H114/H$115</f>
        <v>#DIV/0!</v>
      </c>
      <c r="G114" s="2306" t="e">
        <f>I114/I$115</f>
        <v>#DIV/0!</v>
      </c>
      <c r="H114" s="2307"/>
      <c r="I114" s="2307"/>
      <c r="J114" s="545" t="s">
        <v>2496</v>
      </c>
      <c r="L114" s="1063">
        <v>1</v>
      </c>
      <c r="N114" s="2" t="s">
        <v>2525</v>
      </c>
      <c r="T114" t="s">
        <v>2526</v>
      </c>
      <c r="U114">
        <v>14861</v>
      </c>
      <c r="V114">
        <v>4746</v>
      </c>
      <c r="W114"/>
      <c r="X114"/>
    </row>
    <row r="115" spans="1:24" x14ac:dyDescent="0.2">
      <c r="A115" s="6" t="s">
        <v>125</v>
      </c>
      <c r="B115" s="6" t="s">
        <v>125</v>
      </c>
      <c r="C115" s="6" t="s">
        <v>125</v>
      </c>
      <c r="D115" s="6" t="s">
        <v>125</v>
      </c>
      <c r="E115" s="6" t="s">
        <v>125</v>
      </c>
      <c r="F115" s="6" t="s">
        <v>125</v>
      </c>
      <c r="G115" s="6" t="s">
        <v>125</v>
      </c>
      <c r="H115" s="2">
        <f>SUM(H104:H114)</f>
        <v>0</v>
      </c>
      <c r="I115" s="2">
        <f>SUM(I104:I114)</f>
        <v>0</v>
      </c>
      <c r="J115" s="6" t="s">
        <v>125</v>
      </c>
      <c r="K115" s="6" t="s">
        <v>125</v>
      </c>
      <c r="L115" s="6" t="s">
        <v>125</v>
      </c>
      <c r="T115" t="s">
        <v>2527</v>
      </c>
      <c r="U115">
        <v>37422</v>
      </c>
      <c r="V115">
        <v>11951</v>
      </c>
      <c r="W115"/>
      <c r="X115"/>
    </row>
    <row r="116" spans="1:24" x14ac:dyDescent="0.2">
      <c r="A116" s="2" t="s">
        <v>2528</v>
      </c>
      <c r="T116" t="s">
        <v>2529</v>
      </c>
      <c r="U116">
        <v>4074</v>
      </c>
      <c r="V116">
        <v>2582</v>
      </c>
      <c r="W116"/>
      <c r="X116"/>
    </row>
    <row r="117" spans="1:24" x14ac:dyDescent="0.2">
      <c r="C117" s="1224" t="s">
        <v>2530</v>
      </c>
      <c r="D117" s="1224" t="s">
        <v>1681</v>
      </c>
      <c r="E117" s="1224" t="s">
        <v>2531</v>
      </c>
      <c r="T117" t="s">
        <v>2532</v>
      </c>
      <c r="U117">
        <v>26981</v>
      </c>
      <c r="V117">
        <v>16464</v>
      </c>
      <c r="W117"/>
      <c r="X117"/>
    </row>
    <row r="118" spans="1:24" ht="15.75" x14ac:dyDescent="0.25">
      <c r="A118" s="2" t="s">
        <v>2533</v>
      </c>
      <c r="C118" s="2315">
        <v>25000</v>
      </c>
      <c r="D118" s="2316">
        <v>0.6</v>
      </c>
      <c r="E118" s="1224" t="s">
        <v>2534</v>
      </c>
      <c r="F118" s="19" t="s">
        <v>2535</v>
      </c>
      <c r="L118" s="2" t="s">
        <v>2536</v>
      </c>
      <c r="T118" t="s">
        <v>2537</v>
      </c>
      <c r="U118">
        <v>1405</v>
      </c>
      <c r="V118">
        <v>1405</v>
      </c>
      <c r="W118"/>
      <c r="X118"/>
    </row>
    <row r="119" spans="1:24" ht="15.75" x14ac:dyDescent="0.25">
      <c r="A119" s="2" t="s">
        <v>2538</v>
      </c>
      <c r="C119" s="2315">
        <v>10000</v>
      </c>
      <c r="D119" s="2317">
        <v>0.5</v>
      </c>
      <c r="E119" s="1224" t="s">
        <v>2534</v>
      </c>
      <c r="F119" s="19" t="s">
        <v>2535</v>
      </c>
      <c r="T119" t="s">
        <v>2539</v>
      </c>
      <c r="U119">
        <v>-47</v>
      </c>
      <c r="V119">
        <v>-47</v>
      </c>
      <c r="W119"/>
      <c r="X119"/>
    </row>
    <row r="120" spans="1:24" ht="15.75" x14ac:dyDescent="0.25">
      <c r="A120" s="2" t="s">
        <v>2540</v>
      </c>
      <c r="C120" s="2315">
        <v>50000</v>
      </c>
      <c r="D120" s="2316">
        <v>0.6</v>
      </c>
      <c r="E120" s="1224" t="s">
        <v>2534</v>
      </c>
      <c r="F120" s="19" t="s">
        <v>2535</v>
      </c>
      <c r="T120" t="s">
        <v>2541</v>
      </c>
      <c r="U120">
        <v>416</v>
      </c>
      <c r="V120">
        <v>416</v>
      </c>
      <c r="W120"/>
      <c r="X120"/>
    </row>
    <row r="121" spans="1:24" ht="15.75" x14ac:dyDescent="0.25">
      <c r="A121" s="2" t="s">
        <v>2542</v>
      </c>
      <c r="C121" s="2315">
        <v>10750</v>
      </c>
      <c r="D121" s="2317">
        <v>0.65</v>
      </c>
      <c r="E121" s="1224" t="s">
        <v>2543</v>
      </c>
      <c r="F121" s="19" t="s">
        <v>2535</v>
      </c>
      <c r="T121" t="s">
        <v>2544</v>
      </c>
      <c r="U121">
        <v>185</v>
      </c>
      <c r="V121">
        <v>185</v>
      </c>
      <c r="W121"/>
      <c r="X121"/>
    </row>
    <row r="122" spans="1:24" x14ac:dyDescent="0.2">
      <c r="A122" s="2" t="s">
        <v>2545</v>
      </c>
      <c r="C122" s="2318" t="s">
        <v>297</v>
      </c>
      <c r="D122" s="2319" t="s">
        <v>297</v>
      </c>
      <c r="F122" s="19" t="s">
        <v>2535</v>
      </c>
      <c r="T122" t="s">
        <v>2546</v>
      </c>
      <c r="U122">
        <v>12137</v>
      </c>
      <c r="V122">
        <v>4212</v>
      </c>
      <c r="W122"/>
      <c r="X122"/>
    </row>
    <row r="123" spans="1:24" x14ac:dyDescent="0.2">
      <c r="A123" s="2" t="s">
        <v>2547</v>
      </c>
      <c r="C123" s="2318" t="s">
        <v>297</v>
      </c>
      <c r="D123" s="2319" t="s">
        <v>297</v>
      </c>
      <c r="F123" s="19" t="s">
        <v>2535</v>
      </c>
      <c r="T123" t="s">
        <v>2548</v>
      </c>
      <c r="U123">
        <v>35012</v>
      </c>
      <c r="V123">
        <v>13372</v>
      </c>
      <c r="W123"/>
      <c r="X123"/>
    </row>
    <row r="124" spans="1:24" ht="15.75" x14ac:dyDescent="0.25">
      <c r="A124" s="2" t="s">
        <v>2549</v>
      </c>
      <c r="C124" s="2315">
        <v>7000</v>
      </c>
      <c r="D124" s="2316">
        <v>0.2</v>
      </c>
      <c r="E124" s="1224" t="s">
        <v>2543</v>
      </c>
      <c r="F124" s="19" t="s">
        <v>2535</v>
      </c>
      <c r="T124" t="s">
        <v>2550</v>
      </c>
      <c r="U124">
        <v>613</v>
      </c>
      <c r="V124">
        <v>613</v>
      </c>
      <c r="W124"/>
      <c r="X124"/>
    </row>
    <row r="125" spans="1:24" x14ac:dyDescent="0.2">
      <c r="A125" s="2" t="s">
        <v>2551</v>
      </c>
      <c r="C125" s="2318" t="s">
        <v>297</v>
      </c>
      <c r="D125" s="2319" t="s">
        <v>297</v>
      </c>
      <c r="F125" s="19" t="s">
        <v>2535</v>
      </c>
      <c r="T125" t="s">
        <v>2552</v>
      </c>
      <c r="U125">
        <v>0</v>
      </c>
      <c r="V125">
        <v>0</v>
      </c>
      <c r="W125"/>
      <c r="X125"/>
    </row>
    <row r="126" spans="1:24" ht="15.75" x14ac:dyDescent="0.25">
      <c r="A126" s="6" t="s">
        <v>125</v>
      </c>
      <c r="B126" s="6" t="s">
        <v>125</v>
      </c>
      <c r="C126" s="6" t="s">
        <v>125</v>
      </c>
      <c r="D126" s="6" t="s">
        <v>125</v>
      </c>
      <c r="E126" s="6" t="s">
        <v>125</v>
      </c>
      <c r="G126" s="2317">
        <v>0.6</v>
      </c>
      <c r="J126" s="6" t="s">
        <v>125</v>
      </c>
      <c r="K126" s="6" t="s">
        <v>125</v>
      </c>
      <c r="L126" s="6" t="s">
        <v>125</v>
      </c>
      <c r="T126" t="s">
        <v>2553</v>
      </c>
      <c r="U126">
        <v>881</v>
      </c>
      <c r="V126">
        <v>881</v>
      </c>
      <c r="W126"/>
      <c r="X126"/>
    </row>
    <row r="127" spans="1:24" ht="15.75" x14ac:dyDescent="0.25">
      <c r="A127" s="2" t="s">
        <v>2554</v>
      </c>
      <c r="G127" s="2317">
        <v>0.5</v>
      </c>
      <c r="T127" t="s">
        <v>2555</v>
      </c>
      <c r="U127">
        <v>326</v>
      </c>
      <c r="V127">
        <v>326</v>
      </c>
      <c r="W127"/>
      <c r="X127"/>
    </row>
    <row r="128" spans="1:24" ht="15.75" x14ac:dyDescent="0.25">
      <c r="A128" s="2" t="s">
        <v>2556</v>
      </c>
      <c r="C128" s="2320">
        <v>6300</v>
      </c>
      <c r="D128" s="7" t="s">
        <v>2557</v>
      </c>
      <c r="G128" s="2317">
        <v>0.6</v>
      </c>
      <c r="T128" t="s">
        <v>2558</v>
      </c>
      <c r="U128">
        <v>13729</v>
      </c>
      <c r="V128">
        <v>13729</v>
      </c>
      <c r="W128"/>
      <c r="X128"/>
    </row>
    <row r="129" spans="1:24" ht="15.75" x14ac:dyDescent="0.25">
      <c r="A129" s="2" t="s">
        <v>2559</v>
      </c>
      <c r="C129" s="2320">
        <v>2000</v>
      </c>
      <c r="D129" s="7" t="s">
        <v>2557</v>
      </c>
      <c r="G129" s="2321">
        <v>0.65</v>
      </c>
      <c r="T129" t="s">
        <v>2560</v>
      </c>
      <c r="U129">
        <v>-424</v>
      </c>
      <c r="V129">
        <v>-424</v>
      </c>
      <c r="W129"/>
      <c r="X129"/>
    </row>
    <row r="130" spans="1:24" x14ac:dyDescent="0.2">
      <c r="A130" s="2" t="s">
        <v>2561</v>
      </c>
      <c r="C130" s="1708">
        <v>5800</v>
      </c>
      <c r="D130" s="7" t="s">
        <v>2557</v>
      </c>
      <c r="G130" s="2319" t="s">
        <v>297</v>
      </c>
      <c r="T130" t="s">
        <v>2562</v>
      </c>
      <c r="U130">
        <v>7388</v>
      </c>
      <c r="V130">
        <v>2791</v>
      </c>
      <c r="W130"/>
      <c r="X130"/>
    </row>
    <row r="131" spans="1:24" x14ac:dyDescent="0.2">
      <c r="A131" s="2" t="s">
        <v>2563</v>
      </c>
      <c r="C131" s="1708">
        <v>35400</v>
      </c>
      <c r="D131" s="7" t="s">
        <v>645</v>
      </c>
      <c r="G131" s="2319" t="s">
        <v>297</v>
      </c>
      <c r="T131" t="s">
        <v>2564</v>
      </c>
      <c r="U131">
        <v>5770</v>
      </c>
      <c r="V131">
        <v>2743</v>
      </c>
      <c r="W131"/>
      <c r="X131"/>
    </row>
    <row r="132" spans="1:24" ht="15.75" x14ac:dyDescent="0.25">
      <c r="A132" s="6" t="s">
        <v>125</v>
      </c>
      <c r="B132" s="6" t="s">
        <v>125</v>
      </c>
      <c r="C132" s="6" t="s">
        <v>125</v>
      </c>
      <c r="D132" s="6" t="s">
        <v>125</v>
      </c>
      <c r="E132" s="6" t="s">
        <v>125</v>
      </c>
      <c r="G132" s="2321">
        <v>0.4</v>
      </c>
      <c r="J132" s="6" t="s">
        <v>125</v>
      </c>
      <c r="K132" s="6" t="s">
        <v>125</v>
      </c>
      <c r="L132" s="6" t="s">
        <v>125</v>
      </c>
      <c r="T132" t="s">
        <v>2565</v>
      </c>
      <c r="U132">
        <v>-1148</v>
      </c>
      <c r="V132">
        <v>-1148</v>
      </c>
      <c r="W132"/>
      <c r="X132"/>
    </row>
    <row r="133" spans="1:24" ht="15.75" x14ac:dyDescent="0.25">
      <c r="A133" s="1" t="s">
        <v>2566</v>
      </c>
      <c r="G133" s="2319" t="s">
        <v>297</v>
      </c>
      <c r="T133" t="s">
        <v>2567</v>
      </c>
      <c r="U133">
        <v>3839</v>
      </c>
      <c r="V133">
        <v>3674</v>
      </c>
      <c r="W133"/>
      <c r="X133"/>
    </row>
    <row r="134" spans="1:24" x14ac:dyDescent="0.2">
      <c r="A134" s="2" t="s">
        <v>2568</v>
      </c>
      <c r="C134" s="1224" t="s">
        <v>2569</v>
      </c>
      <c r="D134" s="1224" t="s">
        <v>2570</v>
      </c>
      <c r="E134" s="1224" t="s">
        <v>2571</v>
      </c>
      <c r="F134" s="1224" t="s">
        <v>2572</v>
      </c>
      <c r="G134" s="1224"/>
      <c r="H134" s="1224"/>
      <c r="I134" s="1224"/>
      <c r="T134" t="s">
        <v>2573</v>
      </c>
      <c r="U134">
        <v>3956</v>
      </c>
      <c r="V134">
        <v>3953</v>
      </c>
      <c r="W134"/>
      <c r="X134"/>
    </row>
    <row r="135" spans="1:24" ht="15.75" x14ac:dyDescent="0.25">
      <c r="A135" s="1" t="s">
        <v>466</v>
      </c>
      <c r="C135" s="1224">
        <v>22857</v>
      </c>
      <c r="D135" s="1224">
        <v>0.35</v>
      </c>
      <c r="E135" s="1224">
        <v>62500</v>
      </c>
      <c r="F135" s="1224">
        <v>0.6</v>
      </c>
      <c r="G135" s="1224"/>
      <c r="H135" s="1224"/>
      <c r="I135" s="1224"/>
      <c r="T135" t="s">
        <v>2574</v>
      </c>
      <c r="U135">
        <v>8681</v>
      </c>
      <c r="V135">
        <v>3953</v>
      </c>
      <c r="W135"/>
      <c r="X135"/>
    </row>
    <row r="136" spans="1:24" ht="15.75" x14ac:dyDescent="0.25">
      <c r="A136" s="1" t="s">
        <v>1373</v>
      </c>
      <c r="C136" s="1224">
        <v>9385</v>
      </c>
      <c r="D136" s="1224">
        <v>0.35</v>
      </c>
      <c r="E136" s="1224">
        <v>20000</v>
      </c>
      <c r="F136" s="1224">
        <v>0.5</v>
      </c>
      <c r="G136" s="1224"/>
      <c r="H136" s="166" t="s">
        <v>2569</v>
      </c>
      <c r="I136" s="166" t="s">
        <v>2570</v>
      </c>
      <c r="J136" s="166" t="s">
        <v>2571</v>
      </c>
      <c r="K136" s="166" t="s">
        <v>2572</v>
      </c>
      <c r="T136" t="s">
        <v>2575</v>
      </c>
      <c r="U136">
        <v>7641</v>
      </c>
      <c r="V136">
        <v>3674</v>
      </c>
      <c r="W136"/>
      <c r="X136"/>
    </row>
    <row r="137" spans="1:24" ht="15.75" x14ac:dyDescent="0.25">
      <c r="A137" s="1" t="s">
        <v>446</v>
      </c>
      <c r="C137" s="1224">
        <v>51557</v>
      </c>
      <c r="D137" s="1224">
        <v>0.4</v>
      </c>
      <c r="E137" s="1224">
        <v>125000</v>
      </c>
      <c r="F137" s="1224">
        <v>0.6</v>
      </c>
      <c r="G137" s="1224"/>
      <c r="H137" s="166">
        <v>22857</v>
      </c>
      <c r="I137" s="166">
        <v>0.3</v>
      </c>
      <c r="J137" s="166">
        <v>62500</v>
      </c>
      <c r="K137" s="166">
        <v>0.6</v>
      </c>
      <c r="T137" t="s">
        <v>2576</v>
      </c>
      <c r="U137">
        <v>198652</v>
      </c>
      <c r="V137">
        <v>-1148</v>
      </c>
      <c r="W137"/>
      <c r="X137"/>
    </row>
    <row r="138" spans="1:24" ht="15.75" x14ac:dyDescent="0.25">
      <c r="A138" s="1" t="s">
        <v>557</v>
      </c>
      <c r="C138" s="1224">
        <v>16667</v>
      </c>
      <c r="D138" s="1224">
        <v>0.4</v>
      </c>
      <c r="E138" s="1224">
        <v>41000</v>
      </c>
      <c r="F138" s="1224">
        <v>0.65</v>
      </c>
      <c r="G138" s="1224"/>
      <c r="H138" s="166">
        <v>9385</v>
      </c>
      <c r="I138" s="166">
        <v>0.35</v>
      </c>
      <c r="J138" s="166">
        <v>20000</v>
      </c>
      <c r="K138" s="166">
        <v>0.5</v>
      </c>
      <c r="T138" t="s">
        <v>2577</v>
      </c>
      <c r="U138">
        <v>11430</v>
      </c>
      <c r="V138">
        <v>2743</v>
      </c>
      <c r="W138"/>
      <c r="X138"/>
    </row>
    <row r="139" spans="1:24" ht="15.75" x14ac:dyDescent="0.25">
      <c r="A139" s="1"/>
      <c r="C139" s="1224"/>
      <c r="D139" s="1224"/>
      <c r="E139" s="1224"/>
      <c r="F139" s="1224"/>
      <c r="G139" s="1224"/>
      <c r="H139" s="166">
        <v>51557</v>
      </c>
      <c r="I139" s="166">
        <v>0.4</v>
      </c>
      <c r="J139" s="166">
        <v>125000</v>
      </c>
      <c r="K139" s="166">
        <v>0.6</v>
      </c>
      <c r="T139" t="s">
        <v>2578</v>
      </c>
      <c r="U139">
        <v>14669</v>
      </c>
      <c r="V139">
        <v>2791</v>
      </c>
      <c r="W139"/>
      <c r="X139"/>
    </row>
    <row r="140" spans="1:24" x14ac:dyDescent="0.2">
      <c r="H140" s="166">
        <v>16667</v>
      </c>
      <c r="I140" s="166">
        <v>0.4</v>
      </c>
      <c r="J140" s="166">
        <v>41000</v>
      </c>
      <c r="K140" s="166">
        <v>0.65</v>
      </c>
      <c r="T140" t="s">
        <v>2579</v>
      </c>
      <c r="U140">
        <v>1694</v>
      </c>
      <c r="V140">
        <v>-424</v>
      </c>
      <c r="W140"/>
      <c r="X140"/>
    </row>
    <row r="141" spans="1:24" x14ac:dyDescent="0.2">
      <c r="A141" s="2" t="s">
        <v>2580</v>
      </c>
      <c r="C141" s="2" t="s">
        <v>1709</v>
      </c>
      <c r="D141" s="2" t="s">
        <v>603</v>
      </c>
      <c r="T141" t="s">
        <v>2581</v>
      </c>
      <c r="U141">
        <v>54723</v>
      </c>
      <c r="V141">
        <v>13729</v>
      </c>
      <c r="W141"/>
      <c r="X141"/>
    </row>
    <row r="142" spans="1:24" x14ac:dyDescent="0.2">
      <c r="C142" s="1224" t="s">
        <v>2582</v>
      </c>
      <c r="D142" s="2" t="s">
        <v>2583</v>
      </c>
      <c r="T142" t="s">
        <v>2584</v>
      </c>
      <c r="U142">
        <v>1224</v>
      </c>
      <c r="V142">
        <v>326</v>
      </c>
      <c r="W142"/>
      <c r="X142"/>
    </row>
    <row r="143" spans="1:24" x14ac:dyDescent="0.2">
      <c r="C143" s="1224" t="s">
        <v>1603</v>
      </c>
      <c r="T143" t="s">
        <v>2585</v>
      </c>
      <c r="U143">
        <v>9173</v>
      </c>
      <c r="V143">
        <v>881</v>
      </c>
      <c r="W143"/>
      <c r="X143"/>
    </row>
    <row r="144" spans="1:24" ht="15.75" x14ac:dyDescent="0.25">
      <c r="A144" s="1" t="s">
        <v>466</v>
      </c>
      <c r="C144" s="20" t="e">
        <f>Sk!#REF!</f>
        <v>#REF!</v>
      </c>
      <c r="D144" s="2" t="e">
        <f>IF(Sk!#REF!&gt;=E135,F135,IF(Sk!#REF!&gt;=C135,D135,"Critical"))</f>
        <v>#REF!</v>
      </c>
      <c r="T144" t="s">
        <v>2586</v>
      </c>
      <c r="U144">
        <v>0</v>
      </c>
      <c r="V144">
        <v>0</v>
      </c>
      <c r="W144"/>
      <c r="X144"/>
    </row>
    <row r="145" spans="1:24" ht="15.75" x14ac:dyDescent="0.25">
      <c r="A145" s="1" t="s">
        <v>1373</v>
      </c>
      <c r="C145" s="20">
        <f>StSn!C45</f>
        <v>42871</v>
      </c>
      <c r="D145" s="2">
        <f>IF(StSn!$C$45&gt;=E136,F136,IF(StSn!$C$45&gt;=C136,D136,"Critical"))</f>
        <v>0.5</v>
      </c>
      <c r="T145" t="s">
        <v>2587</v>
      </c>
      <c r="U145">
        <v>2428</v>
      </c>
      <c r="V145">
        <v>613</v>
      </c>
      <c r="W145"/>
      <c r="X145"/>
    </row>
    <row r="146" spans="1:24" ht="15.75" x14ac:dyDescent="0.25">
      <c r="A146" s="1" t="s">
        <v>446</v>
      </c>
      <c r="C146" s="20">
        <f>StSn!E45</f>
        <v>8379</v>
      </c>
      <c r="D146" s="2" t="str">
        <f>IF(StSn!$E$45&gt;=E137,F137,IF(StSn!$E$45&gt;=C137,D137,"Critical"))</f>
        <v>Critical</v>
      </c>
      <c r="T146" t="s">
        <v>2588</v>
      </c>
      <c r="U146">
        <v>77458</v>
      </c>
      <c r="V146">
        <v>13372</v>
      </c>
      <c r="W146"/>
      <c r="X146"/>
    </row>
    <row r="147" spans="1:24" ht="15.75" x14ac:dyDescent="0.25">
      <c r="A147" s="1" t="s">
        <v>2589</v>
      </c>
      <c r="C147" s="20">
        <f>HdC!D53</f>
        <v>11350</v>
      </c>
      <c r="D147" s="2" t="str">
        <f>IF(HdC!$D$53&gt;=E138,F138,IF(HdC!$D$53&gt;=C138,D138,"Critical"))</f>
        <v>Critical</v>
      </c>
      <c r="T147" t="s">
        <v>2590</v>
      </c>
      <c r="U147">
        <v>27737</v>
      </c>
      <c r="V147">
        <v>4212</v>
      </c>
      <c r="W147"/>
      <c r="X147"/>
    </row>
    <row r="148" spans="1:24" ht="15.75" x14ac:dyDescent="0.25">
      <c r="A148" s="1" t="s">
        <v>2591</v>
      </c>
      <c r="C148" s="20">
        <f>HdC!D53</f>
        <v>11350</v>
      </c>
      <c r="D148" s="2">
        <f>IF(HdC!$D$53&gt;=E139,J139,IF(HdC!$D$53&gt;=C139,D139,"Critical"))</f>
        <v>125000</v>
      </c>
      <c r="T148" t="s">
        <v>2592</v>
      </c>
      <c r="U148">
        <v>273</v>
      </c>
      <c r="V148">
        <v>185</v>
      </c>
      <c r="W148"/>
      <c r="X148"/>
    </row>
    <row r="149" spans="1:24" x14ac:dyDescent="0.2">
      <c r="T149" t="s">
        <v>2593</v>
      </c>
      <c r="U149">
        <v>780</v>
      </c>
      <c r="V149">
        <v>416</v>
      </c>
      <c r="W149"/>
      <c r="X149"/>
    </row>
    <row r="150" spans="1:24" x14ac:dyDescent="0.2">
      <c r="G150" s="2">
        <f>SPS!D50*C154</f>
        <v>0</v>
      </c>
      <c r="T150" t="s">
        <v>2594</v>
      </c>
      <c r="U150">
        <v>25130</v>
      </c>
      <c r="V150">
        <v>-47</v>
      </c>
      <c r="W150"/>
      <c r="X150"/>
    </row>
    <row r="151" spans="1:24" x14ac:dyDescent="0.2">
      <c r="G151" s="2">
        <f>SPS!D50*C155</f>
        <v>0</v>
      </c>
      <c r="T151" t="s">
        <v>2595</v>
      </c>
      <c r="U151">
        <v>5549</v>
      </c>
      <c r="V151">
        <v>1405</v>
      </c>
      <c r="W151"/>
      <c r="X151"/>
    </row>
    <row r="152" spans="1:24" x14ac:dyDescent="0.2">
      <c r="G152" s="2" t="e">
        <f>SPS!C47/G150</f>
        <v>#DIV/0!</v>
      </c>
      <c r="T152" t="s">
        <v>2596</v>
      </c>
      <c r="U152">
        <v>76765</v>
      </c>
      <c r="V152">
        <v>16464</v>
      </c>
      <c r="W152"/>
      <c r="X152"/>
    </row>
    <row r="153" spans="1:24" x14ac:dyDescent="0.2">
      <c r="G153" s="2" t="e">
        <f>SPS!C47/G151</f>
        <v>#DIV/0!</v>
      </c>
      <c r="T153" t="s">
        <v>2597</v>
      </c>
      <c r="U153">
        <v>10836</v>
      </c>
      <c r="V153">
        <v>2582</v>
      </c>
      <c r="W153"/>
      <c r="X153"/>
    </row>
    <row r="154" spans="1:24" x14ac:dyDescent="0.2">
      <c r="T154" t="s">
        <v>2598</v>
      </c>
      <c r="U154">
        <v>54228</v>
      </c>
      <c r="V154">
        <v>11951</v>
      </c>
      <c r="W154"/>
      <c r="X154"/>
    </row>
    <row r="155" spans="1:24" x14ac:dyDescent="0.2">
      <c r="L155" s="2">
        <f>IF(SPS!BB39="&gt;&gt;&gt;recalc",0,SPS!BB39)</f>
        <v>0</v>
      </c>
      <c r="T155" t="s">
        <v>2599</v>
      </c>
      <c r="U155">
        <v>21536</v>
      </c>
      <c r="V155">
        <v>4746</v>
      </c>
      <c r="W155"/>
      <c r="X155"/>
    </row>
    <row r="156" spans="1:24" x14ac:dyDescent="0.2">
      <c r="L156" s="20">
        <f>SPS!BB41</f>
        <v>42871.093106447603</v>
      </c>
      <c r="T156" t="s">
        <v>2600</v>
      </c>
      <c r="U156">
        <v>2317</v>
      </c>
      <c r="V156">
        <v>998</v>
      </c>
      <c r="W156"/>
      <c r="X156"/>
    </row>
    <row r="157" spans="1:24" x14ac:dyDescent="0.2">
      <c r="L157" s="2">
        <f>SPS!C47</f>
        <v>0</v>
      </c>
      <c r="T157" t="s">
        <v>2601</v>
      </c>
      <c r="U157">
        <v>657</v>
      </c>
      <c r="V157">
        <v>447</v>
      </c>
      <c r="W157"/>
      <c r="X157"/>
    </row>
    <row r="158" spans="1:24" x14ac:dyDescent="0.2">
      <c r="T158" t="s">
        <v>2602</v>
      </c>
      <c r="U158">
        <v>9247</v>
      </c>
      <c r="V158">
        <v>1028</v>
      </c>
      <c r="W158"/>
      <c r="X158"/>
    </row>
    <row r="159" spans="1:24" x14ac:dyDescent="0.2">
      <c r="T159" t="s">
        <v>2603</v>
      </c>
      <c r="U159">
        <v>41361</v>
      </c>
      <c r="V159">
        <v>4596</v>
      </c>
      <c r="W159"/>
      <c r="X159"/>
    </row>
    <row r="160" spans="1:24" x14ac:dyDescent="0.2">
      <c r="T160" t="s">
        <v>2604</v>
      </c>
      <c r="U160">
        <v>72338</v>
      </c>
      <c r="V160">
        <v>8039</v>
      </c>
      <c r="W160"/>
      <c r="X160"/>
    </row>
    <row r="161" spans="13:24" x14ac:dyDescent="0.2">
      <c r="T161" t="s">
        <v>2605</v>
      </c>
      <c r="U161">
        <v>9773</v>
      </c>
      <c r="V161">
        <v>3531</v>
      </c>
      <c r="W161"/>
      <c r="X161"/>
    </row>
    <row r="162" spans="13:24" x14ac:dyDescent="0.2">
      <c r="M162" s="2">
        <f>SUM(SPS!Z36:AC36)*(C156/(1-C156))</f>
        <v>0</v>
      </c>
      <c r="T162" t="s">
        <v>2606</v>
      </c>
      <c r="U162">
        <v>713</v>
      </c>
      <c r="V162">
        <v>297</v>
      </c>
      <c r="W162"/>
      <c r="X162"/>
    </row>
    <row r="163" spans="13:24" x14ac:dyDescent="0.2">
      <c r="T163" t="s">
        <v>2607</v>
      </c>
      <c r="U163">
        <v>16005</v>
      </c>
      <c r="V163">
        <v>5924</v>
      </c>
      <c r="W163"/>
      <c r="X163"/>
    </row>
    <row r="164" spans="13:24" x14ac:dyDescent="0.2">
      <c r="T164" t="s">
        <v>2608</v>
      </c>
      <c r="U164">
        <v>1843</v>
      </c>
      <c r="V164">
        <v>1843</v>
      </c>
      <c r="W164"/>
      <c r="X164"/>
    </row>
    <row r="165" spans="13:24" x14ac:dyDescent="0.2">
      <c r="T165" t="s">
        <v>2609</v>
      </c>
      <c r="U165">
        <v>0</v>
      </c>
      <c r="V165">
        <v>0</v>
      </c>
      <c r="W165"/>
      <c r="X165"/>
    </row>
    <row r="166" spans="13:24" x14ac:dyDescent="0.2">
      <c r="T166" t="s">
        <v>2610</v>
      </c>
      <c r="U166">
        <v>24577</v>
      </c>
      <c r="V166">
        <v>16667</v>
      </c>
      <c r="W166"/>
      <c r="X166"/>
    </row>
    <row r="167" spans="13:24" x14ac:dyDescent="0.2">
      <c r="T167" t="s">
        <v>2611</v>
      </c>
      <c r="U167">
        <v>6318</v>
      </c>
      <c r="V167">
        <v>3452</v>
      </c>
      <c r="W167"/>
      <c r="X167"/>
    </row>
    <row r="168" spans="13:24" x14ac:dyDescent="0.2">
      <c r="T168" t="s">
        <v>2612</v>
      </c>
      <c r="U168">
        <v>17636</v>
      </c>
      <c r="V168">
        <v>8972</v>
      </c>
      <c r="W168"/>
      <c r="X168"/>
    </row>
    <row r="169" spans="13:24" x14ac:dyDescent="0.2">
      <c r="T169" t="s">
        <v>2613</v>
      </c>
      <c r="U169">
        <v>25098</v>
      </c>
      <c r="V169">
        <v>10484</v>
      </c>
      <c r="W169"/>
      <c r="X169"/>
    </row>
    <row r="170" spans="13:24" x14ac:dyDescent="0.2">
      <c r="T170" t="s">
        <v>2614</v>
      </c>
      <c r="U170">
        <v>139231</v>
      </c>
      <c r="V170">
        <v>79275</v>
      </c>
      <c r="W170"/>
      <c r="X170"/>
    </row>
    <row r="171" spans="13:24" x14ac:dyDescent="0.2">
      <c r="T171" t="s">
        <v>2615</v>
      </c>
      <c r="U171">
        <v>120987</v>
      </c>
      <c r="V171">
        <v>44409</v>
      </c>
      <c r="W171"/>
      <c r="X171"/>
    </row>
    <row r="172" spans="13:24" x14ac:dyDescent="0.2">
      <c r="T172" t="s">
        <v>2616</v>
      </c>
      <c r="U172">
        <v>160159</v>
      </c>
      <c r="V172">
        <v>160159</v>
      </c>
      <c r="W172"/>
      <c r="X172"/>
    </row>
    <row r="173" spans="13:24" x14ac:dyDescent="0.2">
      <c r="T173" t="s">
        <v>2617</v>
      </c>
      <c r="U173">
        <v>279042</v>
      </c>
      <c r="V173">
        <v>279042</v>
      </c>
      <c r="W173"/>
      <c r="X173"/>
    </row>
    <row r="174" spans="13:24" x14ac:dyDescent="0.2">
      <c r="T174" t="s">
        <v>2618</v>
      </c>
      <c r="U174">
        <v>348690</v>
      </c>
      <c r="V174">
        <v>348690</v>
      </c>
      <c r="W174"/>
      <c r="X174"/>
    </row>
    <row r="175" spans="13:24" x14ac:dyDescent="0.2">
      <c r="T175" t="s">
        <v>2619</v>
      </c>
      <c r="U175">
        <v>160159</v>
      </c>
      <c r="V175">
        <v>160159</v>
      </c>
      <c r="W175"/>
      <c r="X175"/>
    </row>
    <row r="176" spans="13:24" x14ac:dyDescent="0.2">
      <c r="T176" t="s">
        <v>2620</v>
      </c>
      <c r="U176">
        <v>279042</v>
      </c>
      <c r="V176">
        <v>279042</v>
      </c>
      <c r="W176"/>
      <c r="X176"/>
    </row>
    <row r="177" spans="20:24" x14ac:dyDescent="0.2">
      <c r="T177" t="s">
        <v>2621</v>
      </c>
      <c r="U177">
        <v>348690</v>
      </c>
      <c r="V177">
        <v>348690</v>
      </c>
      <c r="W177"/>
      <c r="X177"/>
    </row>
    <row r="178" spans="20:24" x14ac:dyDescent="0.2">
      <c r="T178" t="s">
        <v>2622</v>
      </c>
      <c r="U178">
        <v>4597</v>
      </c>
      <c r="V178">
        <v>4597</v>
      </c>
      <c r="W178"/>
      <c r="X178"/>
    </row>
    <row r="179" spans="20:24" x14ac:dyDescent="0.2">
      <c r="T179" t="s">
        <v>2623</v>
      </c>
      <c r="U179">
        <v>4597</v>
      </c>
      <c r="V179">
        <v>4597</v>
      </c>
      <c r="W179"/>
      <c r="X179"/>
    </row>
    <row r="180" spans="20:24" x14ac:dyDescent="0.2">
      <c r="T180" t="s">
        <v>2624</v>
      </c>
      <c r="U180">
        <v>2405</v>
      </c>
      <c r="V180">
        <v>2405</v>
      </c>
      <c r="W180"/>
      <c r="X180"/>
    </row>
    <row r="181" spans="20:24" x14ac:dyDescent="0.2">
      <c r="T181" t="s">
        <v>2625</v>
      </c>
      <c r="U181">
        <v>48905</v>
      </c>
      <c r="V181">
        <v>48905</v>
      </c>
      <c r="W181"/>
      <c r="X181"/>
    </row>
    <row r="182" spans="20:24" x14ac:dyDescent="0.2">
      <c r="T182" t="s">
        <v>2626</v>
      </c>
      <c r="U182">
        <v>4596</v>
      </c>
      <c r="V182">
        <v>4596</v>
      </c>
      <c r="W182"/>
      <c r="X182"/>
    </row>
    <row r="183" spans="20:24" x14ac:dyDescent="0.2">
      <c r="T183" t="s">
        <v>366</v>
      </c>
      <c r="U183">
        <v>10176</v>
      </c>
      <c r="V183">
        <v>10176</v>
      </c>
      <c r="W183"/>
      <c r="X183"/>
    </row>
    <row r="184" spans="20:24" x14ac:dyDescent="0.2">
      <c r="T184" t="s">
        <v>373</v>
      </c>
      <c r="U184">
        <v>19028</v>
      </c>
      <c r="V184">
        <v>19028</v>
      </c>
      <c r="W184"/>
      <c r="X184"/>
    </row>
    <row r="185" spans="20:24" x14ac:dyDescent="0.2">
      <c r="T185" t="s">
        <v>2627</v>
      </c>
      <c r="U185">
        <v>11951</v>
      </c>
      <c r="V185">
        <v>11951</v>
      </c>
      <c r="W185"/>
      <c r="X185"/>
    </row>
    <row r="186" spans="20:24" x14ac:dyDescent="0.2">
      <c r="T186" t="s">
        <v>2628</v>
      </c>
      <c r="U186">
        <v>16464</v>
      </c>
      <c r="V186">
        <v>16464</v>
      </c>
      <c r="W186"/>
      <c r="X186"/>
    </row>
    <row r="187" spans="20:24" x14ac:dyDescent="0.2">
      <c r="T187" t="s">
        <v>392</v>
      </c>
      <c r="U187">
        <v>13372</v>
      </c>
      <c r="V187">
        <v>13372</v>
      </c>
      <c r="W187"/>
      <c r="X187"/>
    </row>
    <row r="188" spans="20:24" x14ac:dyDescent="0.2">
      <c r="T188" t="s">
        <v>227</v>
      </c>
      <c r="U188">
        <v>13729</v>
      </c>
      <c r="V188">
        <v>13729</v>
      </c>
      <c r="W188"/>
      <c r="X188"/>
    </row>
    <row r="189" spans="20:24" x14ac:dyDescent="0.2">
      <c r="T189" t="s">
        <v>2629</v>
      </c>
      <c r="U189">
        <v>2743</v>
      </c>
      <c r="V189">
        <v>2743</v>
      </c>
      <c r="W189"/>
      <c r="X189"/>
    </row>
    <row r="190" spans="20:24" x14ac:dyDescent="0.2">
      <c r="T190" t="s">
        <v>2630</v>
      </c>
      <c r="U190">
        <v>5798</v>
      </c>
      <c r="V190">
        <v>5798</v>
      </c>
      <c r="W190"/>
      <c r="X190"/>
    </row>
    <row r="191" spans="20:24" x14ac:dyDescent="0.2">
      <c r="T191" t="s">
        <v>2631</v>
      </c>
      <c r="U191">
        <v>3434</v>
      </c>
      <c r="V191">
        <v>3434</v>
      </c>
      <c r="W191"/>
      <c r="X191"/>
    </row>
    <row r="192" spans="20:24" x14ac:dyDescent="0.2">
      <c r="T192" t="s">
        <v>2632</v>
      </c>
      <c r="U192">
        <v>1408</v>
      </c>
      <c r="V192">
        <v>1408</v>
      </c>
      <c r="W192"/>
      <c r="X192"/>
    </row>
    <row r="193" spans="20:24" x14ac:dyDescent="0.2">
      <c r="T193" t="s">
        <v>2633</v>
      </c>
      <c r="U193">
        <v>1789</v>
      </c>
      <c r="V193">
        <v>1789</v>
      </c>
      <c r="W193"/>
      <c r="X193"/>
    </row>
    <row r="194" spans="20:24" x14ac:dyDescent="0.2">
      <c r="T194" t="s">
        <v>2634</v>
      </c>
      <c r="U194">
        <v>2312</v>
      </c>
      <c r="V194">
        <v>799</v>
      </c>
      <c r="W194"/>
      <c r="X194"/>
    </row>
    <row r="195" spans="20:24" x14ac:dyDescent="0.2">
      <c r="T195" t="s">
        <v>2635</v>
      </c>
      <c r="U195">
        <v>4079</v>
      </c>
      <c r="V195">
        <v>1408</v>
      </c>
      <c r="W195"/>
      <c r="X195"/>
    </row>
    <row r="196" spans="20:24" x14ac:dyDescent="0.2">
      <c r="T196" t="s">
        <v>2636</v>
      </c>
      <c r="U196">
        <v>435</v>
      </c>
      <c r="V196">
        <v>170</v>
      </c>
      <c r="W196"/>
      <c r="X196"/>
    </row>
    <row r="197" spans="20:24" x14ac:dyDescent="0.2">
      <c r="T197" t="s">
        <v>2637</v>
      </c>
      <c r="U197">
        <v>4556</v>
      </c>
      <c r="V197">
        <v>1789</v>
      </c>
      <c r="W197"/>
      <c r="X197"/>
    </row>
    <row r="198" spans="20:24" x14ac:dyDescent="0.2">
      <c r="T198" t="s">
        <v>2638</v>
      </c>
      <c r="U198">
        <v>8824</v>
      </c>
      <c r="V198">
        <v>2473</v>
      </c>
      <c r="W198"/>
      <c r="X198"/>
    </row>
    <row r="199" spans="20:24" x14ac:dyDescent="0.2">
      <c r="T199" t="s">
        <v>2639</v>
      </c>
      <c r="U199">
        <v>11897</v>
      </c>
      <c r="V199">
        <v>3434</v>
      </c>
      <c r="W199"/>
      <c r="X199"/>
    </row>
    <row r="200" spans="20:24" x14ac:dyDescent="0.2">
      <c r="T200" t="s">
        <v>2640</v>
      </c>
      <c r="U200">
        <v>59708</v>
      </c>
      <c r="V200">
        <v>35506</v>
      </c>
      <c r="W200"/>
      <c r="X200"/>
    </row>
    <row r="201" spans="20:24" x14ac:dyDescent="0.2">
      <c r="T201" t="s">
        <v>2641</v>
      </c>
      <c r="U201">
        <v>33036</v>
      </c>
      <c r="V201">
        <v>20542</v>
      </c>
      <c r="W201"/>
      <c r="X201"/>
    </row>
    <row r="202" spans="20:24" x14ac:dyDescent="0.2">
      <c r="T202" t="s">
        <v>2642</v>
      </c>
      <c r="U202">
        <v>7277</v>
      </c>
      <c r="V202">
        <v>3335</v>
      </c>
      <c r="W202"/>
      <c r="X202"/>
    </row>
    <row r="203" spans="20:24" x14ac:dyDescent="0.2">
      <c r="T203" t="s">
        <v>2643</v>
      </c>
      <c r="U203">
        <v>33623</v>
      </c>
      <c r="V203">
        <v>18521</v>
      </c>
      <c r="W203"/>
      <c r="X203"/>
    </row>
    <row r="204" spans="20:24" x14ac:dyDescent="0.2">
      <c r="T204" t="s">
        <v>2644</v>
      </c>
      <c r="U204">
        <v>1373</v>
      </c>
      <c r="V204">
        <v>1014</v>
      </c>
      <c r="W204"/>
      <c r="X204"/>
    </row>
    <row r="205" spans="20:24" x14ac:dyDescent="0.2">
      <c r="T205" t="s">
        <v>2645</v>
      </c>
      <c r="U205">
        <v>2666</v>
      </c>
      <c r="V205">
        <v>357</v>
      </c>
      <c r="W205"/>
      <c r="X205"/>
    </row>
    <row r="206" spans="20:24" x14ac:dyDescent="0.2">
      <c r="T206" t="s">
        <v>2646</v>
      </c>
      <c r="U206">
        <v>0</v>
      </c>
      <c r="V206">
        <v>0</v>
      </c>
      <c r="W206"/>
      <c r="X206"/>
    </row>
    <row r="207" spans="20:24" x14ac:dyDescent="0.2">
      <c r="T207"/>
      <c r="U207"/>
      <c r="V207"/>
      <c r="W207"/>
      <c r="X207"/>
    </row>
    <row r="208" spans="20:24" x14ac:dyDescent="0.2">
      <c r="T208" t="s">
        <v>2318</v>
      </c>
      <c r="U208" t="s">
        <v>2319</v>
      </c>
      <c r="V208" t="s">
        <v>2319</v>
      </c>
      <c r="W208" t="s">
        <v>2320</v>
      </c>
      <c r="X208"/>
    </row>
    <row r="209" spans="20:24" x14ac:dyDescent="0.2">
      <c r="T209"/>
      <c r="U209"/>
      <c r="V209"/>
      <c r="W209"/>
      <c r="X209"/>
    </row>
  </sheetData>
  <phoneticPr fontId="16" type="noConversion"/>
  <pageMargins left="0.5" right="0.66700000000000004" top="0.75" bottom="0.66700000000000004" header="0.5" footer="0.5"/>
  <pageSetup scale="16" orientation="landscape" r:id="rId1"/>
  <headerFooter alignWithMargins="0"/>
  <rowBreaks count="4" manualBreakCount="4">
    <brk id="27" max="16383" man="1"/>
    <brk id="46" max="16383" man="1"/>
    <brk id="80" max="16383" man="1"/>
    <brk id="100" max="16383"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ransitionEvaluation="1" transitionEntry="1" codeName="Sheet18">
    <tabColor theme="6" tint="0.59999389629810485"/>
    <pageSetUpPr fitToPage="1"/>
  </sheetPr>
  <dimension ref="A1:W109"/>
  <sheetViews>
    <sheetView zoomScale="90" zoomScaleNormal="90" workbookViewId="0">
      <selection activeCell="B30" sqref="B30"/>
    </sheetView>
  </sheetViews>
  <sheetFormatPr defaultColWidth="12.5703125" defaultRowHeight="15" x14ac:dyDescent="0.2"/>
  <cols>
    <col min="1" max="1" width="11.28515625" style="2" customWidth="1"/>
    <col min="2" max="2" width="15.5703125" style="2" bestFit="1" customWidth="1"/>
    <col min="3" max="3" width="25.5703125" style="2" customWidth="1"/>
    <col min="4" max="4" width="8.5703125" style="2" customWidth="1"/>
    <col min="5" max="5" width="24.5703125" style="2" customWidth="1"/>
    <col min="6" max="6" width="8.28515625" style="2" customWidth="1"/>
    <col min="7" max="7" width="13.140625" style="2" customWidth="1"/>
    <col min="8" max="8" width="10.5703125" style="2" customWidth="1"/>
    <col min="9" max="9" width="7.85546875" style="2" customWidth="1"/>
    <col min="10" max="10" width="14.5703125" style="2" customWidth="1"/>
    <col min="11" max="15" width="12.5703125" style="2" customWidth="1"/>
    <col min="16" max="16" width="4.5703125" style="2" customWidth="1"/>
    <col min="17" max="19" width="12.5703125" style="2" customWidth="1"/>
    <col min="20" max="20" width="32" style="157" customWidth="1"/>
    <col min="21" max="21" width="25.5703125" style="157" customWidth="1"/>
    <col min="22" max="22" width="51.28515625" style="157" bestFit="1" customWidth="1"/>
    <col min="23" max="23" width="25.28515625" style="157" bestFit="1" customWidth="1"/>
    <col min="24" max="16384" width="12.5703125" style="2"/>
  </cols>
  <sheetData>
    <row r="1" spans="1:23" x14ac:dyDescent="0.2">
      <c r="A1" s="2" t="s">
        <v>2647</v>
      </c>
      <c r="H1" s="6"/>
      <c r="I1" s="6"/>
      <c r="J1" s="6"/>
      <c r="K1" s="7" t="s">
        <v>2648</v>
      </c>
    </row>
    <row r="2" spans="1:23" x14ac:dyDescent="0.2">
      <c r="A2" s="2" t="s">
        <v>122</v>
      </c>
      <c r="C2" s="505" t="str">
        <f>Input_Harvestnew!$B$3</f>
        <v>bc-Coho2229</v>
      </c>
      <c r="I2" s="7" t="s">
        <v>2649</v>
      </c>
      <c r="K2" s="545">
        <f>'1'!$L$2</f>
        <v>44663.592256944445</v>
      </c>
      <c r="M2" s="1063"/>
    </row>
    <row r="3" spans="1:23" x14ac:dyDescent="0.2">
      <c r="A3" s="2" t="s">
        <v>123</v>
      </c>
      <c r="C3" s="505" t="str">
        <f>Input_Harvestnew!B4</f>
        <v>Final PFMC April - Adopted+NOF</v>
      </c>
      <c r="I3" s="2" t="s">
        <v>607</v>
      </c>
      <c r="K3" s="546">
        <f>'1'!$L$3</f>
        <v>44663.592256944445</v>
      </c>
    </row>
    <row r="4" spans="1:23" x14ac:dyDescent="0.2">
      <c r="A4" s="6" t="s">
        <v>125</v>
      </c>
      <c r="B4" s="6" t="s">
        <v>125</v>
      </c>
      <c r="C4" s="6" t="s">
        <v>125</v>
      </c>
      <c r="D4" s="6" t="s">
        <v>125</v>
      </c>
      <c r="E4" s="6" t="s">
        <v>125</v>
      </c>
      <c r="F4" s="6" t="s">
        <v>125</v>
      </c>
      <c r="G4" s="6" t="s">
        <v>125</v>
      </c>
      <c r="H4" s="6" t="s">
        <v>125</v>
      </c>
      <c r="I4" s="6" t="s">
        <v>125</v>
      </c>
      <c r="J4" s="6" t="s">
        <v>125</v>
      </c>
      <c r="K4" s="6" t="s">
        <v>125</v>
      </c>
      <c r="R4" s="2140" t="s">
        <v>1720</v>
      </c>
      <c r="S4" s="2132"/>
      <c r="T4" s="2183"/>
      <c r="U4" s="2183"/>
      <c r="V4" s="2183"/>
      <c r="W4" s="2033"/>
    </row>
    <row r="5" spans="1:23" x14ac:dyDescent="0.2">
      <c r="A5" s="1224" t="s">
        <v>970</v>
      </c>
      <c r="B5" s="157"/>
      <c r="C5" s="780" t="s">
        <v>1722</v>
      </c>
      <c r="D5" s="772"/>
      <c r="E5" s="780" t="s">
        <v>1723</v>
      </c>
      <c r="F5" s="157"/>
      <c r="G5" s="1495" t="s">
        <v>2650</v>
      </c>
      <c r="I5" s="157"/>
      <c r="J5" s="157"/>
      <c r="K5" s="157"/>
      <c r="L5" s="157"/>
      <c r="N5" s="2322" t="s">
        <v>2651</v>
      </c>
      <c r="O5" s="2323"/>
      <c r="P5" s="2010" t="s">
        <v>2652</v>
      </c>
      <c r="Q5" s="2011" t="s">
        <v>2653</v>
      </c>
      <c r="R5" s="2324" t="s">
        <v>970</v>
      </c>
      <c r="S5" s="2183"/>
      <c r="T5" s="2325" t="s">
        <v>1722</v>
      </c>
      <c r="U5" s="1951"/>
      <c r="V5" s="2325" t="s">
        <v>1723</v>
      </c>
      <c r="W5" s="2033"/>
    </row>
    <row r="6" spans="1:23" x14ac:dyDescent="0.2">
      <c r="A6" s="2107" t="s">
        <v>1724</v>
      </c>
      <c r="B6" s="1495" t="s">
        <v>1725</v>
      </c>
      <c r="C6" s="1495" t="s">
        <v>1726</v>
      </c>
      <c r="D6" s="154" t="s">
        <v>1719</v>
      </c>
      <c r="E6" s="1495" t="s">
        <v>1726</v>
      </c>
      <c r="F6" s="967" t="s">
        <v>1719</v>
      </c>
      <c r="G6" s="1709" t="s">
        <v>2654</v>
      </c>
      <c r="H6" s="1709" t="s">
        <v>1181</v>
      </c>
      <c r="I6" s="17"/>
      <c r="J6" s="17"/>
      <c r="K6" s="34"/>
      <c r="L6" s="34"/>
      <c r="N6" s="770">
        <v>80</v>
      </c>
      <c r="O6" s="771" t="s">
        <v>1728</v>
      </c>
      <c r="P6" s="771"/>
      <c r="Q6" s="771"/>
      <c r="R6" s="807" t="s">
        <v>1724</v>
      </c>
      <c r="S6" s="782" t="s">
        <v>1725</v>
      </c>
      <c r="T6" s="782" t="s">
        <v>1726</v>
      </c>
      <c r="U6" s="791" t="s">
        <v>1719</v>
      </c>
      <c r="V6" s="782" t="s">
        <v>1726</v>
      </c>
      <c r="W6" s="798" t="s">
        <v>1719</v>
      </c>
    </row>
    <row r="7" spans="1:23" s="768" customFormat="1" x14ac:dyDescent="0.2">
      <c r="A7" s="766">
        <v>80</v>
      </c>
      <c r="B7" s="484" t="s">
        <v>1728</v>
      </c>
      <c r="C7" s="968">
        <v>-99</v>
      </c>
      <c r="D7" s="767">
        <v>-99</v>
      </c>
      <c r="E7" s="968">
        <v>-99</v>
      </c>
      <c r="F7" s="969">
        <v>-99</v>
      </c>
      <c r="G7" s="969">
        <v>0</v>
      </c>
      <c r="H7" s="969">
        <v>0</v>
      </c>
      <c r="J7" s="1710" t="s">
        <v>1516</v>
      </c>
      <c r="L7" s="769"/>
      <c r="M7" s="769"/>
      <c r="N7" s="770">
        <v>81</v>
      </c>
      <c r="O7" s="771" t="s">
        <v>1730</v>
      </c>
      <c r="P7" s="771"/>
      <c r="Q7" s="771"/>
      <c r="R7" s="960">
        <v>80</v>
      </c>
      <c r="S7" s="766" t="s">
        <v>1728</v>
      </c>
      <c r="T7" s="961">
        <v>-99</v>
      </c>
      <c r="U7" s="962">
        <v>-99</v>
      </c>
      <c r="V7" s="961">
        <v>-99</v>
      </c>
      <c r="W7" s="963">
        <v>-99</v>
      </c>
    </row>
    <row r="8" spans="1:23" s="768" customFormat="1" x14ac:dyDescent="0.2">
      <c r="A8" s="766">
        <v>81</v>
      </c>
      <c r="B8" s="484" t="s">
        <v>1730</v>
      </c>
      <c r="C8" s="968">
        <v>-99</v>
      </c>
      <c r="D8" s="767">
        <v>-99</v>
      </c>
      <c r="E8" s="968">
        <v>-99</v>
      </c>
      <c r="F8" s="969">
        <v>-99</v>
      </c>
      <c r="G8" s="969">
        <v>0</v>
      </c>
      <c r="H8" s="969">
        <v>0</v>
      </c>
      <c r="J8" s="1711" t="s">
        <v>2655</v>
      </c>
      <c r="L8" s="1710"/>
      <c r="M8" s="769"/>
      <c r="N8" s="770">
        <v>87</v>
      </c>
      <c r="O8" s="771" t="s">
        <v>1755</v>
      </c>
      <c r="P8" s="771"/>
      <c r="Q8" s="771"/>
      <c r="R8" s="960">
        <v>81</v>
      </c>
      <c r="S8" s="766" t="s">
        <v>1730</v>
      </c>
      <c r="T8" s="961">
        <v>-99</v>
      </c>
      <c r="U8" s="962">
        <v>-99</v>
      </c>
      <c r="V8" s="961">
        <v>-99</v>
      </c>
      <c r="W8" s="963">
        <v>-99</v>
      </c>
    </row>
    <row r="9" spans="1:23" ht="15.75" x14ac:dyDescent="0.25">
      <c r="A9" s="86">
        <v>82</v>
      </c>
      <c r="B9" t="s">
        <v>1733</v>
      </c>
      <c r="C9" s="129">
        <f>Input_Harvestnew!C272</f>
        <v>4.986892775527204E-2</v>
      </c>
      <c r="D9" s="944">
        <f>Input_Harvestnew!D272</f>
        <v>3</v>
      </c>
      <c r="E9" s="129">
        <f>Input_Harvestnew!E272</f>
        <v>0.26824518012853033</v>
      </c>
      <c r="F9" s="30">
        <f>Input_Harvestnew!F272</f>
        <v>3</v>
      </c>
      <c r="G9" s="343">
        <v>20</v>
      </c>
      <c r="H9" s="30">
        <v>0</v>
      </c>
      <c r="J9" s="22" t="s">
        <v>2656</v>
      </c>
      <c r="L9" s="2">
        <f>IF(C9=T9,0,1)</f>
        <v>1</v>
      </c>
      <c r="N9" s="770">
        <v>88</v>
      </c>
      <c r="O9" s="771" t="s">
        <v>1757</v>
      </c>
      <c r="P9" s="771"/>
      <c r="Q9" s="771"/>
      <c r="R9" s="774">
        <v>82</v>
      </c>
      <c r="S9" s="86" t="s">
        <v>1733</v>
      </c>
      <c r="T9" s="783" t="s">
        <v>2657</v>
      </c>
      <c r="U9" s="792" t="s">
        <v>2658</v>
      </c>
      <c r="V9" s="783" t="s">
        <v>2659</v>
      </c>
      <c r="W9" s="799" t="s">
        <v>2660</v>
      </c>
    </row>
    <row r="10" spans="1:23" ht="15.75" x14ac:dyDescent="0.25">
      <c r="A10" s="86">
        <v>83</v>
      </c>
      <c r="B10" t="s">
        <v>1738</v>
      </c>
      <c r="C10" s="129">
        <f>Input_Harvestnew!C264</f>
        <v>5.9900000000000002E-2</v>
      </c>
      <c r="D10" s="944">
        <f>Input_Harvestnew!D264</f>
        <v>3</v>
      </c>
      <c r="E10" s="129">
        <f>Input_Harvestnew!E264</f>
        <v>5.3699999999999998E-2</v>
      </c>
      <c r="F10" s="30">
        <f>Input_Harvestnew!F264</f>
        <v>3</v>
      </c>
      <c r="G10" s="343">
        <v>20</v>
      </c>
      <c r="H10" s="30">
        <v>0</v>
      </c>
      <c r="J10" s="22" t="s">
        <v>2661</v>
      </c>
      <c r="L10" s="1063"/>
      <c r="M10" s="17"/>
      <c r="N10" s="770">
        <v>91</v>
      </c>
      <c r="O10" s="771" t="s">
        <v>1770</v>
      </c>
      <c r="P10" s="771"/>
      <c r="Q10" s="771"/>
      <c r="R10" s="774">
        <v>83</v>
      </c>
      <c r="S10" s="86" t="s">
        <v>1738</v>
      </c>
      <c r="T10" s="783" t="s">
        <v>2662</v>
      </c>
      <c r="U10" s="792" t="s">
        <v>2663</v>
      </c>
      <c r="V10" s="783" t="s">
        <v>2664</v>
      </c>
      <c r="W10" s="799" t="s">
        <v>2665</v>
      </c>
    </row>
    <row r="11" spans="1:23" ht="15.75" x14ac:dyDescent="0.25">
      <c r="A11" s="86">
        <v>84</v>
      </c>
      <c r="B11" t="s">
        <v>1744</v>
      </c>
      <c r="C11" s="970"/>
      <c r="D11" s="158"/>
      <c r="E11" s="129">
        <f>Input_Harvestnew!E266</f>
        <v>0</v>
      </c>
      <c r="F11" s="30">
        <f>Input_Harvestnew!F266</f>
        <v>3</v>
      </c>
      <c r="G11" s="343">
        <v>21</v>
      </c>
      <c r="H11" s="30">
        <v>0</v>
      </c>
      <c r="J11" s="1712" t="s">
        <v>2666</v>
      </c>
      <c r="N11" s="770">
        <v>92</v>
      </c>
      <c r="O11" s="771" t="s">
        <v>1772</v>
      </c>
      <c r="P11" s="771"/>
      <c r="Q11" s="771"/>
      <c r="R11" s="774">
        <v>84</v>
      </c>
      <c r="S11" s="86" t="s">
        <v>1744</v>
      </c>
      <c r="T11" s="784"/>
      <c r="U11" s="793"/>
      <c r="V11" s="783" t="s">
        <v>2667</v>
      </c>
      <c r="W11" s="799" t="s">
        <v>2668</v>
      </c>
    </row>
    <row r="12" spans="1:23" ht="15.75" x14ac:dyDescent="0.25">
      <c r="A12" s="86">
        <v>85</v>
      </c>
      <c r="B12" t="s">
        <v>1747</v>
      </c>
      <c r="C12" s="970"/>
      <c r="D12" s="158"/>
      <c r="E12" s="129">
        <f>Input_Harvestnew!E267</f>
        <v>0</v>
      </c>
      <c r="F12" s="30">
        <f>Input_Harvestnew!F267</f>
        <v>3</v>
      </c>
      <c r="G12" s="343">
        <v>22</v>
      </c>
      <c r="H12" s="30">
        <v>0</v>
      </c>
      <c r="J12" s="1712" t="s">
        <v>2669</v>
      </c>
      <c r="L12" s="1063"/>
      <c r="M12" s="17"/>
      <c r="N12" s="770">
        <v>93</v>
      </c>
      <c r="O12" s="771" t="s">
        <v>1774</v>
      </c>
      <c r="P12" s="771"/>
      <c r="Q12" s="771"/>
      <c r="R12" s="774">
        <v>85</v>
      </c>
      <c r="S12" s="86" t="s">
        <v>1747</v>
      </c>
      <c r="T12" s="784"/>
      <c r="U12" s="793"/>
      <c r="V12" s="783" t="s">
        <v>2670</v>
      </c>
      <c r="W12" s="799" t="s">
        <v>2671</v>
      </c>
    </row>
    <row r="13" spans="1:23" x14ac:dyDescent="0.2">
      <c r="A13" s="766">
        <v>86</v>
      </c>
      <c r="B13" s="858" t="s">
        <v>1751</v>
      </c>
      <c r="C13" s="970"/>
      <c r="D13" s="159"/>
      <c r="E13" s="970"/>
      <c r="F13" s="862"/>
      <c r="G13" s="1099"/>
      <c r="H13" s="1099"/>
      <c r="I13" s="768"/>
      <c r="J13" s="1711" t="s">
        <v>2672</v>
      </c>
      <c r="K13" s="768"/>
      <c r="L13" s="1710"/>
      <c r="M13" s="769"/>
      <c r="N13" s="770">
        <v>106</v>
      </c>
      <c r="O13" s="771" t="s">
        <v>1841</v>
      </c>
      <c r="P13" s="771"/>
      <c r="Q13" s="771"/>
      <c r="R13" s="774">
        <v>86</v>
      </c>
      <c r="S13" s="86" t="s">
        <v>1751</v>
      </c>
      <c r="T13" s="784"/>
      <c r="U13" s="794"/>
      <c r="V13" s="784"/>
      <c r="W13" s="800"/>
    </row>
    <row r="14" spans="1:23" s="768" customFormat="1" x14ac:dyDescent="0.2">
      <c r="A14" s="766">
        <v>87</v>
      </c>
      <c r="B14" s="484" t="s">
        <v>1755</v>
      </c>
      <c r="C14" s="968">
        <v>-99</v>
      </c>
      <c r="D14" s="767">
        <v>-99</v>
      </c>
      <c r="E14" s="968">
        <v>-99</v>
      </c>
      <c r="F14" s="969">
        <v>-99</v>
      </c>
      <c r="G14" s="969">
        <v>0</v>
      </c>
      <c r="H14" s="969">
        <v>0</v>
      </c>
      <c r="J14" s="1710"/>
      <c r="L14" s="1710"/>
      <c r="M14" s="769"/>
      <c r="N14" s="770">
        <v>107</v>
      </c>
      <c r="O14" s="771" t="s">
        <v>1842</v>
      </c>
      <c r="P14" s="771"/>
      <c r="Q14" s="771"/>
      <c r="R14" s="960">
        <v>87</v>
      </c>
      <c r="S14" s="766" t="s">
        <v>1755</v>
      </c>
      <c r="T14" s="961">
        <v>-99</v>
      </c>
      <c r="U14" s="962">
        <v>-99</v>
      </c>
      <c r="V14" s="961">
        <v>-99</v>
      </c>
      <c r="W14" s="963">
        <v>-99</v>
      </c>
    </row>
    <row r="15" spans="1:23" s="768" customFormat="1" x14ac:dyDescent="0.2">
      <c r="A15" s="766">
        <v>88</v>
      </c>
      <c r="B15" s="484" t="s">
        <v>1757</v>
      </c>
      <c r="C15" s="968">
        <v>-99</v>
      </c>
      <c r="D15" s="767">
        <v>-99</v>
      </c>
      <c r="E15" s="968">
        <v>-99</v>
      </c>
      <c r="F15" s="969">
        <v>-99</v>
      </c>
      <c r="G15" s="969">
        <v>0</v>
      </c>
      <c r="H15" s="969">
        <v>0</v>
      </c>
      <c r="J15" s="1710"/>
      <c r="L15" s="1710"/>
      <c r="M15" s="769"/>
      <c r="N15" s="770">
        <v>115</v>
      </c>
      <c r="O15" s="771" t="s">
        <v>1874</v>
      </c>
      <c r="P15" s="771"/>
      <c r="Q15" s="771"/>
      <c r="R15" s="960">
        <v>88</v>
      </c>
      <c r="S15" s="766" t="s">
        <v>1757</v>
      </c>
      <c r="T15" s="961">
        <v>-99</v>
      </c>
      <c r="U15" s="962">
        <v>-99</v>
      </c>
      <c r="V15" s="961">
        <v>-99</v>
      </c>
      <c r="W15" s="963">
        <v>-99</v>
      </c>
    </row>
    <row r="16" spans="1:23" x14ac:dyDescent="0.2">
      <c r="A16" s="766">
        <v>89</v>
      </c>
      <c r="B16" s="484" t="s">
        <v>1761</v>
      </c>
      <c r="C16" s="970"/>
      <c r="D16" s="159"/>
      <c r="E16" s="970"/>
      <c r="F16" s="862"/>
      <c r="G16" s="1099"/>
      <c r="H16" s="1099"/>
      <c r="I16" s="768"/>
      <c r="J16" s="826" t="s">
        <v>2673</v>
      </c>
      <c r="K16" s="768"/>
      <c r="L16" s="768"/>
      <c r="M16" s="1710"/>
      <c r="N16" s="770">
        <v>118</v>
      </c>
      <c r="O16" s="771" t="s">
        <v>1885</v>
      </c>
      <c r="P16" s="771"/>
      <c r="Q16" s="771"/>
      <c r="R16" s="774">
        <v>89</v>
      </c>
      <c r="S16" s="86" t="s">
        <v>1761</v>
      </c>
      <c r="T16" s="784"/>
      <c r="U16" s="794"/>
      <c r="V16" s="784"/>
      <c r="W16" s="800"/>
    </row>
    <row r="17" spans="1:23" x14ac:dyDescent="0.2">
      <c r="A17" s="86">
        <v>90</v>
      </c>
      <c r="B17" t="s">
        <v>1764</v>
      </c>
      <c r="C17" s="970"/>
      <c r="D17" s="159"/>
      <c r="E17" s="129">
        <f>Input_Harvestnew!E275</f>
        <v>0</v>
      </c>
      <c r="F17" s="30">
        <f>Input_Harvestnew!F275</f>
        <v>1</v>
      </c>
      <c r="G17" s="30">
        <v>9</v>
      </c>
      <c r="H17" s="30">
        <v>0</v>
      </c>
      <c r="J17" s="1063"/>
      <c r="L17" s="17"/>
      <c r="M17" s="17"/>
      <c r="N17" s="770">
        <v>129</v>
      </c>
      <c r="O17" s="771" t="s">
        <v>1944</v>
      </c>
      <c r="P17" s="771"/>
      <c r="Q17" s="771"/>
      <c r="R17" s="774">
        <v>90</v>
      </c>
      <c r="S17" s="86" t="s">
        <v>1764</v>
      </c>
      <c r="T17" s="784"/>
      <c r="U17" s="794"/>
      <c r="V17" s="783" t="s">
        <v>2674</v>
      </c>
      <c r="W17" s="781" t="s">
        <v>2675</v>
      </c>
    </row>
    <row r="18" spans="1:23" s="768" customFormat="1" x14ac:dyDescent="0.2">
      <c r="A18" s="766">
        <v>91</v>
      </c>
      <c r="B18" s="484" t="s">
        <v>1770</v>
      </c>
      <c r="C18" s="968">
        <v>-99</v>
      </c>
      <c r="D18" s="767">
        <v>-99</v>
      </c>
      <c r="E18" s="968">
        <v>-99</v>
      </c>
      <c r="F18" s="969">
        <v>-99</v>
      </c>
      <c r="G18" s="969">
        <v>0</v>
      </c>
      <c r="H18" s="969">
        <v>0</v>
      </c>
      <c r="J18" s="1710"/>
      <c r="K18" s="971"/>
      <c r="L18" s="769"/>
      <c r="M18" s="769"/>
      <c r="N18" s="770">
        <v>136</v>
      </c>
      <c r="O18" s="771" t="s">
        <v>1983</v>
      </c>
      <c r="P18" s="771"/>
      <c r="Q18" s="771"/>
      <c r="R18" s="960">
        <v>91</v>
      </c>
      <c r="S18" s="766" t="s">
        <v>1770</v>
      </c>
      <c r="T18" s="961">
        <v>-99</v>
      </c>
      <c r="U18" s="962">
        <v>-99</v>
      </c>
      <c r="V18" s="961">
        <v>-99</v>
      </c>
      <c r="W18" s="963">
        <v>-99</v>
      </c>
    </row>
    <row r="19" spans="1:23" s="768" customFormat="1" x14ac:dyDescent="0.2">
      <c r="A19" s="766">
        <v>92</v>
      </c>
      <c r="B19" s="484" t="s">
        <v>1772</v>
      </c>
      <c r="C19" s="968">
        <v>-99</v>
      </c>
      <c r="D19" s="767">
        <v>-99</v>
      </c>
      <c r="E19" s="968">
        <v>-99</v>
      </c>
      <c r="F19" s="969">
        <v>-99</v>
      </c>
      <c r="G19" s="969">
        <v>0</v>
      </c>
      <c r="H19" s="969">
        <v>0</v>
      </c>
      <c r="K19" s="971"/>
      <c r="N19" s="1713">
        <v>152</v>
      </c>
      <c r="O19" s="1714" t="s">
        <v>2049</v>
      </c>
      <c r="P19" s="1714"/>
      <c r="Q19" s="1714"/>
      <c r="R19" s="960">
        <v>92</v>
      </c>
      <c r="S19" s="766" t="s">
        <v>1772</v>
      </c>
      <c r="T19" s="961">
        <v>-99</v>
      </c>
      <c r="U19" s="962">
        <v>-99</v>
      </c>
      <c r="V19" s="961">
        <v>-99</v>
      </c>
      <c r="W19" s="963">
        <v>-99</v>
      </c>
    </row>
    <row r="20" spans="1:23" s="768" customFormat="1" x14ac:dyDescent="0.2">
      <c r="A20" s="766">
        <v>93</v>
      </c>
      <c r="B20" s="484" t="s">
        <v>1774</v>
      </c>
      <c r="C20" s="968">
        <v>-99</v>
      </c>
      <c r="D20" s="767">
        <v>-99</v>
      </c>
      <c r="E20" s="968">
        <v>-99</v>
      </c>
      <c r="F20" s="969">
        <v>-99</v>
      </c>
      <c r="G20" s="969">
        <v>0</v>
      </c>
      <c r="H20" s="969">
        <v>0</v>
      </c>
      <c r="J20" s="1715"/>
      <c r="L20" s="1715"/>
      <c r="M20" s="1715"/>
      <c r="R20" s="960">
        <v>93</v>
      </c>
      <c r="S20" s="766" t="s">
        <v>1774</v>
      </c>
      <c r="T20" s="961">
        <v>-99</v>
      </c>
      <c r="U20" s="962">
        <v>-99</v>
      </c>
      <c r="V20" s="961">
        <v>-99</v>
      </c>
      <c r="W20" s="963">
        <v>-99</v>
      </c>
    </row>
    <row r="21" spans="1:23" x14ac:dyDescent="0.2">
      <c r="A21" s="86">
        <v>94</v>
      </c>
      <c r="B21" t="s">
        <v>1777</v>
      </c>
      <c r="C21" s="970"/>
      <c r="D21" s="159"/>
      <c r="E21" s="1141">
        <v>-99</v>
      </c>
      <c r="F21" s="1142">
        <v>-99</v>
      </c>
      <c r="G21" s="754">
        <v>9</v>
      </c>
      <c r="H21" s="754">
        <v>0</v>
      </c>
      <c r="L21" s="7"/>
      <c r="M21" s="7"/>
      <c r="R21" s="774">
        <v>94</v>
      </c>
      <c r="S21" s="86" t="s">
        <v>1777</v>
      </c>
      <c r="T21" s="784"/>
      <c r="U21" s="794"/>
      <c r="V21" s="783" t="s">
        <v>2676</v>
      </c>
      <c r="W21" s="781" t="s">
        <v>2677</v>
      </c>
    </row>
    <row r="22" spans="1:23" x14ac:dyDescent="0.2">
      <c r="A22" s="86">
        <v>95</v>
      </c>
      <c r="B22" t="s">
        <v>1782</v>
      </c>
      <c r="C22" s="970"/>
      <c r="D22" s="159"/>
      <c r="E22" s="129">
        <f>Input_Harvestnew!E274</f>
        <v>0</v>
      </c>
      <c r="F22" s="30">
        <f>Input_Harvestnew!F274</f>
        <v>1</v>
      </c>
      <c r="G22" s="30">
        <v>21</v>
      </c>
      <c r="H22" s="30">
        <v>0</v>
      </c>
      <c r="M22" s="7"/>
      <c r="R22" s="774">
        <v>95</v>
      </c>
      <c r="S22" s="86" t="s">
        <v>1782</v>
      </c>
      <c r="T22" s="784"/>
      <c r="U22" s="794"/>
      <c r="V22" s="783" t="s">
        <v>2678</v>
      </c>
      <c r="W22" s="781" t="s">
        <v>2679</v>
      </c>
    </row>
    <row r="23" spans="1:23" ht="15.75" x14ac:dyDescent="0.25">
      <c r="A23" s="86">
        <v>96</v>
      </c>
      <c r="B23" t="s">
        <v>1274</v>
      </c>
      <c r="C23" s="129">
        <f>Input_Harvestnew!C251</f>
        <v>3.3369366183047151E-2</v>
      </c>
      <c r="D23" s="30">
        <f>Input_Harvestnew!D251</f>
        <v>3</v>
      </c>
      <c r="E23" s="1100">
        <f>Input_Harvestnew!E251</f>
        <v>4.5955339867715457E-4</v>
      </c>
      <c r="F23" s="30">
        <f>Input_Harvestnew!F251</f>
        <v>3</v>
      </c>
      <c r="G23" s="1">
        <v>41</v>
      </c>
      <c r="H23" s="30">
        <v>0</v>
      </c>
      <c r="R23" s="774">
        <v>96</v>
      </c>
      <c r="S23" s="86" t="s">
        <v>1274</v>
      </c>
      <c r="T23" s="783" t="s">
        <v>2680</v>
      </c>
      <c r="U23" s="772" t="s">
        <v>2681</v>
      </c>
      <c r="V23" s="783" t="s">
        <v>2682</v>
      </c>
      <c r="W23" s="781" t="s">
        <v>2683</v>
      </c>
    </row>
    <row r="24" spans="1:23" ht="15.75" x14ac:dyDescent="0.25">
      <c r="A24" s="86">
        <v>97</v>
      </c>
      <c r="B24" t="s">
        <v>1277</v>
      </c>
      <c r="C24" s="129">
        <f>Input_Harvestnew!C244</f>
        <v>0.27536979126497263</v>
      </c>
      <c r="D24" s="2">
        <f>Input_Harvestnew!D244</f>
        <v>3</v>
      </c>
      <c r="E24" s="1100">
        <f>Input_Harvestnew!E244</f>
        <v>1.3557708366282438E-2</v>
      </c>
      <c r="F24" s="2">
        <f>Input_Harvestnew!F244</f>
        <v>3</v>
      </c>
      <c r="G24" s="343">
        <v>41</v>
      </c>
      <c r="H24" s="30">
        <v>0</v>
      </c>
      <c r="R24" s="774">
        <v>97</v>
      </c>
      <c r="S24" s="86" t="s">
        <v>1277</v>
      </c>
      <c r="T24" s="783" t="s">
        <v>2684</v>
      </c>
      <c r="U24" s="772" t="s">
        <v>2685</v>
      </c>
      <c r="V24" s="783" t="s">
        <v>2686</v>
      </c>
      <c r="W24" s="781" t="s">
        <v>2687</v>
      </c>
    </row>
    <row r="25" spans="1:23" ht="15.75" x14ac:dyDescent="0.25">
      <c r="A25" s="86">
        <v>98</v>
      </c>
      <c r="B25" t="s">
        <v>1798</v>
      </c>
      <c r="C25" s="972"/>
      <c r="D25" s="160"/>
      <c r="E25" s="129">
        <f>Input_Harvestnew!E247</f>
        <v>0.52339827738724365</v>
      </c>
      <c r="F25" s="2">
        <f>Input_Harvestnew!F247</f>
        <v>3</v>
      </c>
      <c r="G25" s="343">
        <v>18</v>
      </c>
      <c r="H25" s="2">
        <v>0</v>
      </c>
      <c r="I25" s="6"/>
      <c r="K25" s="1"/>
      <c r="Q25" s="1"/>
      <c r="R25" s="774">
        <v>98</v>
      </c>
      <c r="S25" s="86" t="s">
        <v>1798</v>
      </c>
      <c r="T25" s="785"/>
      <c r="U25" s="795"/>
      <c r="V25" s="783" t="s">
        <v>2688</v>
      </c>
      <c r="W25" s="781" t="s">
        <v>2689</v>
      </c>
    </row>
    <row r="26" spans="1:23" x14ac:dyDescent="0.2">
      <c r="A26" s="86">
        <v>99</v>
      </c>
      <c r="B26" t="s">
        <v>1803</v>
      </c>
      <c r="C26" s="970"/>
      <c r="D26" s="159"/>
      <c r="E26" s="1139">
        <f>Input_Harvestnew!E254</f>
        <v>1859</v>
      </c>
      <c r="F26" s="7">
        <f>Input_Harvestnew!F254</f>
        <v>1</v>
      </c>
      <c r="G26" s="30">
        <v>8</v>
      </c>
      <c r="H26" s="2">
        <v>0</v>
      </c>
      <c r="K26" s="1224"/>
      <c r="L26" s="1224"/>
      <c r="M26" s="1224"/>
      <c r="N26" s="1224"/>
      <c r="O26" s="1224"/>
      <c r="Q26" s="1224"/>
      <c r="R26" s="774">
        <v>99</v>
      </c>
      <c r="S26" s="86" t="s">
        <v>1803</v>
      </c>
      <c r="T26" s="784"/>
      <c r="U26" s="794"/>
      <c r="V26" s="783" t="s">
        <v>2690</v>
      </c>
      <c r="W26" s="781" t="s">
        <v>2691</v>
      </c>
    </row>
    <row r="27" spans="1:23" x14ac:dyDescent="0.2">
      <c r="A27" s="86">
        <v>100</v>
      </c>
      <c r="B27" t="s">
        <v>1808</v>
      </c>
      <c r="C27" s="970"/>
      <c r="D27" s="159"/>
      <c r="E27" s="1141">
        <v>-99</v>
      </c>
      <c r="F27" s="1142">
        <v>-99</v>
      </c>
      <c r="G27" s="30">
        <v>8</v>
      </c>
      <c r="H27" s="2">
        <v>0</v>
      </c>
      <c r="N27" s="30"/>
      <c r="O27" s="30"/>
      <c r="R27" s="774">
        <v>100</v>
      </c>
      <c r="S27" s="86" t="s">
        <v>1808</v>
      </c>
      <c r="T27" s="784"/>
      <c r="U27" s="794"/>
      <c r="V27" s="783" t="s">
        <v>2692</v>
      </c>
      <c r="W27" s="781" t="s">
        <v>2693</v>
      </c>
    </row>
    <row r="28" spans="1:23" ht="15.75" x14ac:dyDescent="0.25">
      <c r="A28" s="86">
        <v>101</v>
      </c>
      <c r="B28" t="s">
        <v>1813</v>
      </c>
      <c r="C28" s="129">
        <f>SUM(Input_Harvestnew!C36:C39)</f>
        <v>0</v>
      </c>
      <c r="D28" s="944">
        <f>Input_Harvestnew!D36</f>
        <v>3</v>
      </c>
      <c r="E28" s="129">
        <f>SUM(Input_Harvestnew!E36:E39)</f>
        <v>0</v>
      </c>
      <c r="F28" s="30">
        <f>Input_Harvestnew!F36</f>
        <v>3</v>
      </c>
      <c r="G28" s="343">
        <v>1</v>
      </c>
      <c r="H28" s="30">
        <v>0</v>
      </c>
      <c r="N28" s="30"/>
      <c r="O28" s="30"/>
      <c r="R28" s="774">
        <v>101</v>
      </c>
      <c r="S28" s="86" t="s">
        <v>1813</v>
      </c>
      <c r="T28" s="786" t="s">
        <v>2694</v>
      </c>
      <c r="U28" s="772" t="s">
        <v>2695</v>
      </c>
      <c r="V28" s="783" t="s">
        <v>2696</v>
      </c>
      <c r="W28" s="781" t="s">
        <v>2697</v>
      </c>
    </row>
    <row r="29" spans="1:23" ht="15.75" x14ac:dyDescent="0.25">
      <c r="A29" s="86">
        <v>102</v>
      </c>
      <c r="B29" t="s">
        <v>1819</v>
      </c>
      <c r="C29" s="129">
        <f>SUM(Input_Harvestnew!C16:C21)</f>
        <v>5.1741203170050185E-3</v>
      </c>
      <c r="D29" s="30">
        <f>Input_Harvestnew!D16</f>
        <v>3</v>
      </c>
      <c r="E29" s="1100">
        <f>SUM(Input_Harvestnew!E16:E21)</f>
        <v>2.406307701246467E-3</v>
      </c>
      <c r="F29" s="30">
        <f>Input_Harvestnew!F16</f>
        <v>3</v>
      </c>
      <c r="G29" s="343">
        <v>33</v>
      </c>
      <c r="H29" s="30">
        <v>0</v>
      </c>
      <c r="R29" s="774">
        <v>102</v>
      </c>
      <c r="S29" s="86" t="s">
        <v>1819</v>
      </c>
      <c r="T29" s="783" t="s">
        <v>2698</v>
      </c>
      <c r="U29" s="792" t="s">
        <v>2699</v>
      </c>
      <c r="V29" s="783" t="s">
        <v>2700</v>
      </c>
      <c r="W29" s="799" t="s">
        <v>2701</v>
      </c>
    </row>
    <row r="30" spans="1:23" x14ac:dyDescent="0.2">
      <c r="A30" s="86">
        <v>103</v>
      </c>
      <c r="B30" t="s">
        <v>1826</v>
      </c>
      <c r="C30" s="970"/>
      <c r="D30" s="158"/>
      <c r="E30" s="129">
        <f>SUM(Input_Harvestnew!E25:E27,Input_Harvestnew!E29:E31)</f>
        <v>15259.86079152508</v>
      </c>
      <c r="F30" s="30">
        <f>Input_Harvestnew!F27</f>
        <v>1</v>
      </c>
      <c r="G30" s="30">
        <v>33</v>
      </c>
      <c r="H30" s="30">
        <v>0</v>
      </c>
      <c r="R30" s="774">
        <v>103</v>
      </c>
      <c r="S30" s="86" t="s">
        <v>1826</v>
      </c>
      <c r="T30" s="784"/>
      <c r="U30" s="793"/>
      <c r="V30" s="783" t="s">
        <v>2702</v>
      </c>
      <c r="W30" s="799" t="s">
        <v>2703</v>
      </c>
    </row>
    <row r="31" spans="1:23" x14ac:dyDescent="0.2">
      <c r="A31" s="86">
        <v>104</v>
      </c>
      <c r="B31" t="s">
        <v>1830</v>
      </c>
      <c r="C31" s="970"/>
      <c r="D31" s="158"/>
      <c r="E31" s="129">
        <f>SUM(Input_Harvestnew!E32,Input_Harvestnew!E22)</f>
        <v>1955.8667461833797</v>
      </c>
      <c r="F31" s="30">
        <f>Input_Harvestnew!F32</f>
        <v>1</v>
      </c>
      <c r="G31" s="30">
        <v>33</v>
      </c>
      <c r="H31" s="30">
        <v>0</v>
      </c>
      <c r="R31" s="774">
        <v>104</v>
      </c>
      <c r="S31" s="86" t="s">
        <v>1830</v>
      </c>
      <c r="T31" s="784"/>
      <c r="U31" s="793"/>
      <c r="V31" s="783" t="s">
        <v>2704</v>
      </c>
      <c r="W31" s="799" t="s">
        <v>2705</v>
      </c>
    </row>
    <row r="32" spans="1:23" x14ac:dyDescent="0.2">
      <c r="A32" s="86">
        <v>105</v>
      </c>
      <c r="B32" t="s">
        <v>1836</v>
      </c>
      <c r="C32" s="970"/>
      <c r="D32" s="158"/>
      <c r="E32" s="129">
        <f>Input_Harvestnew!E28</f>
        <v>0</v>
      </c>
      <c r="F32" s="30">
        <f>Input_Harvestnew!F26</f>
        <v>1</v>
      </c>
      <c r="G32" s="30">
        <v>33</v>
      </c>
      <c r="H32" s="30">
        <v>0</v>
      </c>
      <c r="R32" s="774">
        <v>105</v>
      </c>
      <c r="S32" s="86" t="s">
        <v>1836</v>
      </c>
      <c r="T32" s="784"/>
      <c r="U32" s="793"/>
      <c r="V32" s="783" t="s">
        <v>2706</v>
      </c>
      <c r="W32" s="799" t="s">
        <v>2707</v>
      </c>
    </row>
    <row r="33" spans="1:23" s="768" customFormat="1" x14ac:dyDescent="0.2">
      <c r="A33" s="766">
        <v>106</v>
      </c>
      <c r="B33" s="484" t="s">
        <v>1841</v>
      </c>
      <c r="C33" s="968">
        <v>-99</v>
      </c>
      <c r="D33" s="767">
        <v>-99</v>
      </c>
      <c r="E33" s="968">
        <v>-99</v>
      </c>
      <c r="F33" s="969">
        <v>-99</v>
      </c>
      <c r="G33" s="969">
        <v>0</v>
      </c>
      <c r="H33" s="969">
        <v>0</v>
      </c>
      <c r="R33" s="960">
        <v>106</v>
      </c>
      <c r="S33" s="766" t="s">
        <v>1841</v>
      </c>
      <c r="T33" s="961">
        <v>-99</v>
      </c>
      <c r="U33" s="962">
        <v>-99</v>
      </c>
      <c r="V33" s="961">
        <v>-99</v>
      </c>
      <c r="W33" s="963">
        <v>-99</v>
      </c>
    </row>
    <row r="34" spans="1:23" s="768" customFormat="1" x14ac:dyDescent="0.2">
      <c r="A34" s="766">
        <v>107</v>
      </c>
      <c r="B34" s="484" t="s">
        <v>1842</v>
      </c>
      <c r="C34" s="968">
        <v>-99</v>
      </c>
      <c r="D34" s="767">
        <v>-99</v>
      </c>
      <c r="E34" s="968">
        <v>-99</v>
      </c>
      <c r="F34" s="969">
        <v>-99</v>
      </c>
      <c r="G34" s="969">
        <v>0</v>
      </c>
      <c r="H34" s="969">
        <v>0</v>
      </c>
      <c r="R34" s="960">
        <v>107</v>
      </c>
      <c r="S34" s="766" t="s">
        <v>1842</v>
      </c>
      <c r="T34" s="961">
        <v>-99</v>
      </c>
      <c r="U34" s="962">
        <v>-99</v>
      </c>
      <c r="V34" s="961">
        <v>-99</v>
      </c>
      <c r="W34" s="963">
        <v>-99</v>
      </c>
    </row>
    <row r="35" spans="1:23" x14ac:dyDescent="0.2">
      <c r="A35" s="86">
        <v>108</v>
      </c>
      <c r="B35" t="s">
        <v>1843</v>
      </c>
      <c r="C35" s="970"/>
      <c r="D35" s="158"/>
      <c r="E35" s="129">
        <f>Input_Harvestnew!E42</f>
        <v>5713.2709322584442</v>
      </c>
      <c r="F35" s="30">
        <f>Input_Harvestnew!F42</f>
        <v>1</v>
      </c>
      <c r="G35" s="30">
        <v>1</v>
      </c>
      <c r="H35" s="30">
        <v>11</v>
      </c>
      <c r="R35" s="774">
        <v>108</v>
      </c>
      <c r="S35" s="86" t="s">
        <v>1843</v>
      </c>
      <c r="T35" s="784"/>
      <c r="U35" s="793"/>
      <c r="V35" s="783" t="s">
        <v>2708</v>
      </c>
      <c r="W35" s="799" t="s">
        <v>2709</v>
      </c>
    </row>
    <row r="36" spans="1:23" ht="15.75" x14ac:dyDescent="0.25">
      <c r="A36" s="86">
        <v>109</v>
      </c>
      <c r="B36" s="180" t="s">
        <v>1846</v>
      </c>
      <c r="C36" s="129">
        <f>SUM(Input_Harvestnew!C70:C72)</f>
        <v>0</v>
      </c>
      <c r="D36" s="944">
        <f>Input_Harvestnew!D70</f>
        <v>3</v>
      </c>
      <c r="E36" s="129">
        <f>SUM(Input_Harvestnew!E70:E72)</f>
        <v>0</v>
      </c>
      <c r="F36" s="30">
        <f>Input_Harvestnew!F70</f>
        <v>3</v>
      </c>
      <c r="G36" s="343">
        <v>9</v>
      </c>
      <c r="H36" s="30">
        <v>0</v>
      </c>
      <c r="R36" s="774">
        <v>109</v>
      </c>
      <c r="S36" s="959" t="s">
        <v>1846</v>
      </c>
      <c r="T36" s="783" t="s">
        <v>2710</v>
      </c>
      <c r="U36" s="792" t="s">
        <v>2711</v>
      </c>
      <c r="V36" s="783" t="s">
        <v>2712</v>
      </c>
      <c r="W36" s="799" t="s">
        <v>2713</v>
      </c>
    </row>
    <row r="37" spans="1:23" ht="15.75" x14ac:dyDescent="0.25">
      <c r="A37" s="86">
        <v>110</v>
      </c>
      <c r="B37" t="s">
        <v>1851</v>
      </c>
      <c r="C37" s="129">
        <f>Input_Harvestnew!C51</f>
        <v>4.4537303625050484E-2</v>
      </c>
      <c r="D37" s="30">
        <f>Input_Harvestnew!D51</f>
        <v>3</v>
      </c>
      <c r="E37" s="1100">
        <f>Input_Harvestnew!E51</f>
        <v>9.5617200471520818E-3</v>
      </c>
      <c r="F37" s="30">
        <f>Input_Harvestnew!F51</f>
        <v>3</v>
      </c>
      <c r="G37" s="343">
        <v>42</v>
      </c>
      <c r="H37" s="30">
        <v>0</v>
      </c>
      <c r="R37" s="774">
        <v>110</v>
      </c>
      <c r="S37" s="86" t="s">
        <v>1851</v>
      </c>
      <c r="T37" s="783" t="s">
        <v>2714</v>
      </c>
      <c r="U37" s="792" t="s">
        <v>2715</v>
      </c>
      <c r="V37" s="783" t="s">
        <v>2716</v>
      </c>
      <c r="W37" s="799" t="s">
        <v>2717</v>
      </c>
    </row>
    <row r="38" spans="1:23" ht="15.75" x14ac:dyDescent="0.25">
      <c r="A38" s="86">
        <v>111</v>
      </c>
      <c r="B38" s="180" t="s">
        <v>1857</v>
      </c>
      <c r="C38" s="129">
        <f>Input_Harvestnew!C73</f>
        <v>0</v>
      </c>
      <c r="D38" s="944">
        <f>Input_Harvestnew!D73</f>
        <v>3</v>
      </c>
      <c r="E38" s="129">
        <f>Input_Harvestnew!E73</f>
        <v>0</v>
      </c>
      <c r="F38" s="30">
        <f>Input_Harvestnew!F73</f>
        <v>3</v>
      </c>
      <c r="G38" s="343">
        <v>2</v>
      </c>
      <c r="H38" s="30">
        <v>43</v>
      </c>
      <c r="J38" s="2" t="s">
        <v>2718</v>
      </c>
      <c r="R38" s="774">
        <v>111</v>
      </c>
      <c r="S38" s="959" t="s">
        <v>1857</v>
      </c>
      <c r="T38" s="783" t="s">
        <v>2719</v>
      </c>
      <c r="U38" s="792" t="s">
        <v>2720</v>
      </c>
      <c r="V38" s="783" t="s">
        <v>2721</v>
      </c>
      <c r="W38" s="799" t="s">
        <v>2722</v>
      </c>
    </row>
    <row r="39" spans="1:23" ht="15.75" x14ac:dyDescent="0.25">
      <c r="A39" s="86">
        <v>112</v>
      </c>
      <c r="B39" t="s">
        <v>1862</v>
      </c>
      <c r="C39" s="129">
        <f>Input_Harvestnew!C62</f>
        <v>0.15018405303419613</v>
      </c>
      <c r="D39" s="944">
        <f>Input_Harvestnew!D62</f>
        <v>3</v>
      </c>
      <c r="E39" s="129">
        <f>Input_Harvestnew!E62</f>
        <v>7.6448051408352535E-2</v>
      </c>
      <c r="F39" s="30">
        <f>Input_Harvestnew!F62</f>
        <v>3</v>
      </c>
      <c r="G39" s="343">
        <v>2</v>
      </c>
      <c r="H39" s="30">
        <v>43</v>
      </c>
      <c r="R39" s="774">
        <v>112</v>
      </c>
      <c r="S39" s="86" t="s">
        <v>1862</v>
      </c>
      <c r="T39" s="783" t="s">
        <v>2723</v>
      </c>
      <c r="U39" s="792" t="s">
        <v>2724</v>
      </c>
      <c r="V39" s="783" t="s">
        <v>2725</v>
      </c>
      <c r="W39" s="799" t="s">
        <v>2726</v>
      </c>
    </row>
    <row r="40" spans="1:23" ht="15.75" x14ac:dyDescent="0.25">
      <c r="A40" s="86">
        <v>113</v>
      </c>
      <c r="B40" t="s">
        <v>1867</v>
      </c>
      <c r="C40" s="970"/>
      <c r="D40" s="158"/>
      <c r="E40" s="129">
        <f>SUM(Input_Harvestnew!E64,Input_Harvestnew!E65,Input_Harvestnew!E66,Input_Harvestnew!C66)</f>
        <v>1.1064002835704729E-2</v>
      </c>
      <c r="F40" s="30">
        <f>Input_Harvestnew!F64</f>
        <v>3</v>
      </c>
      <c r="G40" s="343">
        <v>12</v>
      </c>
      <c r="H40" s="30">
        <v>0</v>
      </c>
      <c r="R40" s="774">
        <v>113</v>
      </c>
      <c r="S40" s="86" t="s">
        <v>1867</v>
      </c>
      <c r="T40" s="784"/>
      <c r="U40" s="793"/>
      <c r="V40" s="783" t="s">
        <v>2727</v>
      </c>
      <c r="W40" s="799" t="s">
        <v>2728</v>
      </c>
    </row>
    <row r="41" spans="1:23" x14ac:dyDescent="0.2">
      <c r="A41" s="86">
        <v>114</v>
      </c>
      <c r="B41" t="s">
        <v>1870</v>
      </c>
      <c r="C41" s="970"/>
      <c r="D41" s="158"/>
      <c r="E41" s="129">
        <f>Input_Harvestnew!E63</f>
        <v>0</v>
      </c>
      <c r="F41" s="30">
        <f>Input_Harvestnew!F63</f>
        <v>1</v>
      </c>
      <c r="G41" s="30">
        <v>2</v>
      </c>
      <c r="H41" s="30">
        <v>13</v>
      </c>
      <c r="R41" s="774">
        <v>114</v>
      </c>
      <c r="S41" s="86" t="s">
        <v>1870</v>
      </c>
      <c r="T41" s="784"/>
      <c r="U41" s="793"/>
      <c r="V41" s="783" t="s">
        <v>2729</v>
      </c>
      <c r="W41" s="799" t="s">
        <v>2730</v>
      </c>
    </row>
    <row r="42" spans="1:23" s="768" customFormat="1" x14ac:dyDescent="0.2">
      <c r="A42" s="766">
        <v>115</v>
      </c>
      <c r="B42" s="484" t="s">
        <v>1874</v>
      </c>
      <c r="C42" s="968">
        <v>-99</v>
      </c>
      <c r="D42" s="767">
        <v>-99</v>
      </c>
      <c r="E42" s="968">
        <v>-99</v>
      </c>
      <c r="F42" s="969">
        <v>-99</v>
      </c>
      <c r="G42" s="969">
        <v>0</v>
      </c>
      <c r="H42" s="969">
        <v>0</v>
      </c>
      <c r="R42" s="960">
        <v>115</v>
      </c>
      <c r="S42" s="766" t="s">
        <v>1874</v>
      </c>
      <c r="T42" s="961">
        <v>-99</v>
      </c>
      <c r="U42" s="962">
        <v>-99</v>
      </c>
      <c r="V42" s="961">
        <v>-99</v>
      </c>
      <c r="W42" s="963">
        <v>-99</v>
      </c>
    </row>
    <row r="43" spans="1:23" ht="15.75" x14ac:dyDescent="0.25">
      <c r="A43" s="86">
        <v>116</v>
      </c>
      <c r="B43" t="s">
        <v>1876</v>
      </c>
      <c r="C43" s="970"/>
      <c r="D43" s="158"/>
      <c r="E43" s="129">
        <f>Input_Harvestnew!E76</f>
        <v>3.4582616297614215E-2</v>
      </c>
      <c r="F43" s="30">
        <f>Input_Harvestnew!F76</f>
        <v>3</v>
      </c>
      <c r="G43" s="343">
        <v>12</v>
      </c>
      <c r="H43" s="30">
        <v>0</v>
      </c>
      <c r="R43" s="774">
        <v>116</v>
      </c>
      <c r="S43" s="86" t="s">
        <v>1876</v>
      </c>
      <c r="T43" s="784"/>
      <c r="U43" s="793"/>
      <c r="V43" s="783" t="s">
        <v>2731</v>
      </c>
      <c r="W43" s="799" t="s">
        <v>2732</v>
      </c>
    </row>
    <row r="44" spans="1:23" x14ac:dyDescent="0.2">
      <c r="A44" s="86">
        <v>117</v>
      </c>
      <c r="B44" t="s">
        <v>1881</v>
      </c>
      <c r="C44" s="970"/>
      <c r="D44" s="158"/>
      <c r="E44" s="1141">
        <v>-99</v>
      </c>
      <c r="F44" s="1142">
        <v>-99</v>
      </c>
      <c r="G44" s="30">
        <v>2</v>
      </c>
      <c r="H44" s="30">
        <v>13</v>
      </c>
      <c r="R44" s="774">
        <v>117</v>
      </c>
      <c r="S44" s="86" t="s">
        <v>1881</v>
      </c>
      <c r="T44" s="784"/>
      <c r="U44" s="793"/>
      <c r="V44" s="783" t="s">
        <v>2733</v>
      </c>
      <c r="W44" s="799" t="s">
        <v>2734</v>
      </c>
    </row>
    <row r="45" spans="1:23" s="768" customFormat="1" x14ac:dyDescent="0.2">
      <c r="A45" s="766">
        <v>118</v>
      </c>
      <c r="B45" s="484" t="s">
        <v>1885</v>
      </c>
      <c r="C45" s="968">
        <v>-99</v>
      </c>
      <c r="D45" s="767">
        <v>-99</v>
      </c>
      <c r="E45" s="968">
        <v>-99</v>
      </c>
      <c r="F45" s="969">
        <v>-99</v>
      </c>
      <c r="G45" s="969">
        <v>0</v>
      </c>
      <c r="H45" s="969">
        <v>0</v>
      </c>
      <c r="R45" s="960">
        <v>118</v>
      </c>
      <c r="S45" s="766" t="s">
        <v>1885</v>
      </c>
      <c r="T45" s="961">
        <v>-99</v>
      </c>
      <c r="U45" s="962">
        <v>-99</v>
      </c>
      <c r="V45" s="961">
        <v>-99</v>
      </c>
      <c r="W45" s="963">
        <v>-99</v>
      </c>
    </row>
    <row r="46" spans="1:23" ht="15.75" x14ac:dyDescent="0.25">
      <c r="A46" s="86">
        <v>119</v>
      </c>
      <c r="B46" s="180" t="s">
        <v>1887</v>
      </c>
      <c r="C46" s="129">
        <f>SUM(Input_Harvestnew!C176,Input_Harvestnew!J178)</f>
        <v>1.9678779631706844E-4</v>
      </c>
      <c r="D46" s="944">
        <f>Input_Harvestnew!D176</f>
        <v>3</v>
      </c>
      <c r="E46" s="129">
        <f>SUM(Input_Harvestnew!E176,Input_Harvestnew!K178)</f>
        <v>1.5428177588380852E-3</v>
      </c>
      <c r="F46" s="30">
        <f>Input_Harvestnew!F176</f>
        <v>3</v>
      </c>
      <c r="G46" s="343">
        <v>4</v>
      </c>
      <c r="H46" s="30">
        <v>0</v>
      </c>
      <c r="R46" s="774">
        <v>119</v>
      </c>
      <c r="S46" s="959" t="s">
        <v>1887</v>
      </c>
      <c r="T46" s="783" t="s">
        <v>2735</v>
      </c>
      <c r="U46" s="772" t="s">
        <v>2736</v>
      </c>
      <c r="V46" s="783" t="s">
        <v>2737</v>
      </c>
      <c r="W46" s="781" t="s">
        <v>2738</v>
      </c>
    </row>
    <row r="47" spans="1:23" x14ac:dyDescent="0.2">
      <c r="A47" s="86">
        <v>120</v>
      </c>
      <c r="B47" t="s">
        <v>1893</v>
      </c>
      <c r="C47" s="129">
        <f>SUM(Input_Harvestnew!C165+(0.5*Input_Harvestnew!C159))</f>
        <v>2037.5</v>
      </c>
      <c r="D47" s="1716">
        <f>Input_Harvestnew!D165</f>
        <v>1</v>
      </c>
      <c r="E47" s="129">
        <f>SUM(Input_Harvestnew!E165+(0.5*Input_Harvestnew!E159))</f>
        <v>567.5</v>
      </c>
      <c r="F47" s="2">
        <f>Input_Harvestnew!F165</f>
        <v>1</v>
      </c>
      <c r="G47" s="30">
        <v>4</v>
      </c>
      <c r="H47" s="30">
        <v>0</v>
      </c>
      <c r="R47" s="774">
        <v>120</v>
      </c>
      <c r="S47" s="86" t="s">
        <v>1893</v>
      </c>
      <c r="T47" s="783" t="s">
        <v>2739</v>
      </c>
      <c r="U47" s="772" t="s">
        <v>2740</v>
      </c>
      <c r="V47" s="783" t="s">
        <v>2741</v>
      </c>
      <c r="W47" s="781" t="s">
        <v>2742</v>
      </c>
    </row>
    <row r="48" spans="1:23" ht="15.75" x14ac:dyDescent="0.25">
      <c r="A48" s="86">
        <v>121</v>
      </c>
      <c r="B48" t="s">
        <v>1899</v>
      </c>
      <c r="C48" s="129">
        <f>Input_Harvestnew!C177</f>
        <v>0</v>
      </c>
      <c r="D48" s="944">
        <f>Input_Harvestnew!D177</f>
        <v>3</v>
      </c>
      <c r="E48" s="129">
        <f>Input_Harvestnew!E177</f>
        <v>0</v>
      </c>
      <c r="F48" s="30">
        <f>Input_Harvestnew!F177</f>
        <v>3</v>
      </c>
      <c r="G48" s="343">
        <v>4</v>
      </c>
      <c r="H48" s="30">
        <v>0</v>
      </c>
      <c r="R48" s="774">
        <v>121</v>
      </c>
      <c r="S48" s="86" t="s">
        <v>1899</v>
      </c>
      <c r="T48" s="783" t="s">
        <v>2743</v>
      </c>
      <c r="U48" s="772" t="s">
        <v>2744</v>
      </c>
      <c r="V48" s="783" t="s">
        <v>2745</v>
      </c>
      <c r="W48" s="781" t="s">
        <v>2746</v>
      </c>
    </row>
    <row r="49" spans="1:23" ht="15.75" x14ac:dyDescent="0.25">
      <c r="A49" s="86">
        <v>122</v>
      </c>
      <c r="B49" t="s">
        <v>1906</v>
      </c>
      <c r="C49" s="129">
        <f>Input_Harvestnew!C166</f>
        <v>4.1799999999999997E-2</v>
      </c>
      <c r="D49" s="1716">
        <f>Input_Harvestnew!D166</f>
        <v>3</v>
      </c>
      <c r="E49" s="129">
        <f>Input_Harvestnew!E166</f>
        <v>5.0000000000000001E-4</v>
      </c>
      <c r="F49" s="2">
        <f>Input_Harvestnew!F166</f>
        <v>3</v>
      </c>
      <c r="G49" s="343">
        <v>5</v>
      </c>
      <c r="H49" s="30">
        <v>0</v>
      </c>
      <c r="R49" s="774">
        <v>122</v>
      </c>
      <c r="S49" s="86" t="s">
        <v>1906</v>
      </c>
      <c r="T49" s="783" t="s">
        <v>2747</v>
      </c>
      <c r="U49" s="772" t="s">
        <v>2748</v>
      </c>
      <c r="V49" s="783" t="s">
        <v>2749</v>
      </c>
      <c r="W49" s="781" t="s">
        <v>2750</v>
      </c>
    </row>
    <row r="50" spans="1:23" ht="15.75" x14ac:dyDescent="0.25">
      <c r="A50" s="86">
        <v>123</v>
      </c>
      <c r="B50" t="s">
        <v>1911</v>
      </c>
      <c r="C50" s="1139">
        <f>Input_Harvestnew!C178</f>
        <v>0</v>
      </c>
      <c r="D50" s="1140">
        <f>Input_Harvestnew!D178</f>
        <v>3</v>
      </c>
      <c r="E50" s="1139">
        <f>Input_Harvestnew!E178</f>
        <v>0</v>
      </c>
      <c r="F50" s="7">
        <f>Input_Harvestnew!F178</f>
        <v>3</v>
      </c>
      <c r="G50" s="343">
        <v>4</v>
      </c>
      <c r="H50" s="30">
        <v>0</v>
      </c>
      <c r="R50" s="774">
        <v>123</v>
      </c>
      <c r="S50" s="86" t="s">
        <v>1911</v>
      </c>
      <c r="T50" s="783" t="s">
        <v>2751</v>
      </c>
      <c r="U50" s="772" t="s">
        <v>2752</v>
      </c>
      <c r="V50" s="783" t="s">
        <v>2753</v>
      </c>
      <c r="W50" s="781" t="s">
        <v>2754</v>
      </c>
    </row>
    <row r="51" spans="1:23" ht="15.75" x14ac:dyDescent="0.25">
      <c r="A51" s="86">
        <v>124</v>
      </c>
      <c r="B51" t="s">
        <v>1917</v>
      </c>
      <c r="C51" s="129">
        <f>Input_Harvestnew!C167</f>
        <v>0.1668</v>
      </c>
      <c r="D51" s="2">
        <f>Input_Harvestnew!D167</f>
        <v>3</v>
      </c>
      <c r="E51" s="1100">
        <f>Input_Harvestnew!E167</f>
        <v>0.25309999999999999</v>
      </c>
      <c r="F51" s="2">
        <f>Input_Harvestnew!F167</f>
        <v>3</v>
      </c>
      <c r="G51" s="343">
        <v>36</v>
      </c>
      <c r="H51" s="30">
        <v>0</v>
      </c>
      <c r="R51" s="774">
        <v>124</v>
      </c>
      <c r="S51" s="86" t="s">
        <v>1917</v>
      </c>
      <c r="T51" s="783" t="s">
        <v>2755</v>
      </c>
      <c r="U51" s="772" t="s">
        <v>2756</v>
      </c>
      <c r="V51" s="783" t="s">
        <v>2757</v>
      </c>
      <c r="W51" s="781" t="s">
        <v>2758</v>
      </c>
    </row>
    <row r="52" spans="1:23" ht="15.75" x14ac:dyDescent="0.25">
      <c r="A52" s="86">
        <v>125</v>
      </c>
      <c r="B52" t="s">
        <v>1922</v>
      </c>
      <c r="C52" s="129">
        <f>Input_Harvestnew!C170</f>
        <v>0.2311</v>
      </c>
      <c r="D52" s="2">
        <f>Input_Harvestnew!D170</f>
        <v>3</v>
      </c>
      <c r="E52" s="1100">
        <f>Input_Harvestnew!E170</f>
        <v>0.1018</v>
      </c>
      <c r="F52" s="2">
        <f>Input_Harvestnew!F170</f>
        <v>3</v>
      </c>
      <c r="G52" s="343">
        <v>27</v>
      </c>
      <c r="H52" s="30">
        <v>0</v>
      </c>
      <c r="R52" s="774">
        <v>125</v>
      </c>
      <c r="S52" s="86" t="s">
        <v>1922</v>
      </c>
      <c r="T52" s="783" t="s">
        <v>2759</v>
      </c>
      <c r="U52" s="772" t="s">
        <v>2760</v>
      </c>
      <c r="V52" s="783" t="s">
        <v>2761</v>
      </c>
      <c r="W52" s="781" t="s">
        <v>2762</v>
      </c>
    </row>
    <row r="53" spans="1:23" ht="15.75" x14ac:dyDescent="0.25">
      <c r="A53" s="86">
        <v>126</v>
      </c>
      <c r="B53" t="s">
        <v>1928</v>
      </c>
      <c r="C53" s="972"/>
      <c r="D53" s="1101"/>
      <c r="E53" s="1100">
        <f>Input_Harvestnew!E171</f>
        <v>0.34589999999999999</v>
      </c>
      <c r="F53" s="2">
        <f>Input_Harvestnew!F171</f>
        <v>3</v>
      </c>
      <c r="G53" s="343">
        <v>5</v>
      </c>
      <c r="H53" s="30">
        <v>0</v>
      </c>
      <c r="R53" s="774">
        <v>126</v>
      </c>
      <c r="S53" s="86" t="s">
        <v>1928</v>
      </c>
      <c r="T53" s="785"/>
      <c r="U53" s="795"/>
      <c r="V53" s="783" t="s">
        <v>2763</v>
      </c>
      <c r="W53" s="781" t="s">
        <v>2764</v>
      </c>
    </row>
    <row r="54" spans="1:23" x14ac:dyDescent="0.2">
      <c r="A54" s="86">
        <v>127</v>
      </c>
      <c r="B54" t="s">
        <v>1932</v>
      </c>
      <c r="C54" s="972"/>
      <c r="D54" s="160"/>
      <c r="E54" s="129">
        <f>Input_Harvestnew!E181</f>
        <v>2152</v>
      </c>
      <c r="F54" s="30">
        <f>Input_Harvestnew!F181</f>
        <v>1</v>
      </c>
      <c r="G54" s="30">
        <v>4</v>
      </c>
      <c r="H54" s="30">
        <v>0</v>
      </c>
      <c r="R54" s="774">
        <v>127</v>
      </c>
      <c r="S54" s="86" t="s">
        <v>1932</v>
      </c>
      <c r="T54" s="785"/>
      <c r="U54" s="795"/>
      <c r="V54" s="783" t="s">
        <v>2765</v>
      </c>
      <c r="W54" s="781" t="s">
        <v>2766</v>
      </c>
    </row>
    <row r="55" spans="1:23" x14ac:dyDescent="0.2">
      <c r="A55" s="86">
        <v>128</v>
      </c>
      <c r="B55" t="s">
        <v>1938</v>
      </c>
      <c r="C55" s="972"/>
      <c r="D55" s="160"/>
      <c r="E55" s="129">
        <f>Input_Harvestnew!E182</f>
        <v>454</v>
      </c>
      <c r="F55" s="30">
        <f>Input_Harvestnew!F182</f>
        <v>1</v>
      </c>
      <c r="G55" s="30">
        <v>4</v>
      </c>
      <c r="H55" s="30">
        <v>0</v>
      </c>
      <c r="R55" s="774">
        <v>128</v>
      </c>
      <c r="S55" s="86" t="s">
        <v>1938</v>
      </c>
      <c r="T55" s="785"/>
      <c r="U55" s="795"/>
      <c r="V55" s="783" t="s">
        <v>2767</v>
      </c>
      <c r="W55" s="781" t="s">
        <v>2768</v>
      </c>
    </row>
    <row r="56" spans="1:23" s="768" customFormat="1" x14ac:dyDescent="0.2">
      <c r="A56" s="766">
        <v>129</v>
      </c>
      <c r="B56" s="484" t="s">
        <v>1944</v>
      </c>
      <c r="C56" s="968">
        <v>-99</v>
      </c>
      <c r="D56" s="767">
        <v>-99</v>
      </c>
      <c r="E56" s="968">
        <v>-99</v>
      </c>
      <c r="F56" s="969">
        <v>-99</v>
      </c>
      <c r="G56" s="969">
        <v>0</v>
      </c>
      <c r="H56" s="969">
        <v>0</v>
      </c>
      <c r="R56" s="960">
        <v>129</v>
      </c>
      <c r="S56" s="766" t="s">
        <v>1944</v>
      </c>
      <c r="T56" s="961">
        <v>-99</v>
      </c>
      <c r="U56" s="962">
        <v>-99</v>
      </c>
      <c r="V56" s="961">
        <v>-99</v>
      </c>
      <c r="W56" s="963">
        <v>-99</v>
      </c>
    </row>
    <row r="57" spans="1:23" ht="15.75" x14ac:dyDescent="0.25">
      <c r="A57" s="86">
        <v>130</v>
      </c>
      <c r="B57" t="s">
        <v>1947</v>
      </c>
      <c r="C57" s="129">
        <f>Input_Harvestnew!C203</f>
        <v>0</v>
      </c>
      <c r="D57" s="944">
        <f>Input_Harvestnew!D203</f>
        <v>3</v>
      </c>
      <c r="E57" s="129">
        <f>Input_Harvestnew!E203</f>
        <v>4.6785565024018433E-4</v>
      </c>
      <c r="F57" s="30">
        <f>Input_Harvestnew!F203</f>
        <v>3</v>
      </c>
      <c r="G57" s="343">
        <v>4</v>
      </c>
      <c r="H57" s="30">
        <v>0</v>
      </c>
      <c r="R57" s="774">
        <v>130</v>
      </c>
      <c r="S57" s="86" t="s">
        <v>1947</v>
      </c>
      <c r="T57" s="783" t="s">
        <v>2769</v>
      </c>
      <c r="U57" s="772" t="s">
        <v>2770</v>
      </c>
      <c r="V57" s="783" t="s">
        <v>2771</v>
      </c>
      <c r="W57" s="781" t="s">
        <v>2772</v>
      </c>
    </row>
    <row r="58" spans="1:23" x14ac:dyDescent="0.2">
      <c r="A58" s="86">
        <v>131</v>
      </c>
      <c r="B58" s="180" t="s">
        <v>1953</v>
      </c>
      <c r="C58" s="129">
        <f>Input_Harvestnew!C189</f>
        <v>62</v>
      </c>
      <c r="D58" s="1716">
        <f>Input_Harvestnew!D189</f>
        <v>1</v>
      </c>
      <c r="E58" s="129">
        <f>Input_Harvestnew!E189</f>
        <v>200</v>
      </c>
      <c r="F58" s="2">
        <f>Input_Harvestnew!F189</f>
        <v>1</v>
      </c>
      <c r="G58" s="30">
        <v>4</v>
      </c>
      <c r="H58" s="30">
        <v>0</v>
      </c>
      <c r="R58" s="774">
        <v>131</v>
      </c>
      <c r="S58" s="86" t="s">
        <v>1953</v>
      </c>
      <c r="T58" s="783" t="s">
        <v>2773</v>
      </c>
      <c r="U58" s="772" t="s">
        <v>2774</v>
      </c>
      <c r="V58" s="783" t="s">
        <v>2775</v>
      </c>
      <c r="W58" s="781" t="s">
        <v>2776</v>
      </c>
    </row>
    <row r="59" spans="1:23" ht="15.75" x14ac:dyDescent="0.25">
      <c r="A59" s="86">
        <v>132</v>
      </c>
      <c r="B59" t="s">
        <v>1958</v>
      </c>
      <c r="C59" s="129">
        <f>Input_Harvestnew!C204</f>
        <v>0</v>
      </c>
      <c r="D59" s="944">
        <f>Input_Harvestnew!D204</f>
        <v>3</v>
      </c>
      <c r="E59" s="129">
        <f>Input_Harvestnew!E204</f>
        <v>0</v>
      </c>
      <c r="F59" s="30">
        <f>Input_Harvestnew!F204</f>
        <v>3</v>
      </c>
      <c r="G59" s="343">
        <v>4</v>
      </c>
      <c r="H59" s="30">
        <v>0</v>
      </c>
      <c r="R59" s="774">
        <v>132</v>
      </c>
      <c r="S59" s="86" t="s">
        <v>1958</v>
      </c>
      <c r="T59" s="788" t="s">
        <v>2777</v>
      </c>
      <c r="U59" s="772" t="s">
        <v>2778</v>
      </c>
      <c r="V59" s="783" t="s">
        <v>2779</v>
      </c>
      <c r="W59" s="781" t="s">
        <v>2780</v>
      </c>
    </row>
    <row r="60" spans="1:23" ht="15.75" x14ac:dyDescent="0.25">
      <c r="A60" s="86">
        <v>133</v>
      </c>
      <c r="B60" t="s">
        <v>1964</v>
      </c>
      <c r="C60" s="129">
        <f>Input_Harvestnew!C190</f>
        <v>7.9000000000000001E-4</v>
      </c>
      <c r="D60" s="2">
        <f>Input_Harvestnew!D190</f>
        <v>3</v>
      </c>
      <c r="E60" s="1100">
        <f>Input_Harvestnew!E190</f>
        <v>6.8900000000000003E-3</v>
      </c>
      <c r="F60" s="2">
        <f>Input_Harvestnew!F190</f>
        <v>3</v>
      </c>
      <c r="G60" s="343">
        <v>37</v>
      </c>
      <c r="H60" s="30">
        <v>0</v>
      </c>
      <c r="R60" s="774">
        <v>133</v>
      </c>
      <c r="S60" s="86" t="s">
        <v>1964</v>
      </c>
      <c r="T60" s="783" t="s">
        <v>2781</v>
      </c>
      <c r="U60" s="772" t="s">
        <v>2782</v>
      </c>
      <c r="V60" s="783" t="s">
        <v>2783</v>
      </c>
      <c r="W60" s="781" t="s">
        <v>2784</v>
      </c>
    </row>
    <row r="61" spans="1:23" ht="15.75" x14ac:dyDescent="0.25">
      <c r="A61" s="86">
        <v>134</v>
      </c>
      <c r="B61" t="s">
        <v>1973</v>
      </c>
      <c r="C61" s="972"/>
      <c r="D61" s="1101"/>
      <c r="E61" s="1100">
        <f>Input_Harvestnew!E193</f>
        <v>0.27729999999999994</v>
      </c>
      <c r="F61" s="2">
        <f>Input_Harvestnew!F193</f>
        <v>3</v>
      </c>
      <c r="G61" s="343">
        <v>30</v>
      </c>
      <c r="H61" s="30">
        <v>0</v>
      </c>
      <c r="R61" s="774">
        <v>134</v>
      </c>
      <c r="S61" s="86" t="s">
        <v>1973</v>
      </c>
      <c r="T61" s="785"/>
      <c r="U61" s="795"/>
      <c r="V61" s="783" t="s">
        <v>2785</v>
      </c>
      <c r="W61" s="781" t="s">
        <v>2786</v>
      </c>
    </row>
    <row r="62" spans="1:23" ht="15.75" x14ac:dyDescent="0.25">
      <c r="A62" s="86">
        <v>135</v>
      </c>
      <c r="B62" t="s">
        <v>1978</v>
      </c>
      <c r="C62" s="972"/>
      <c r="D62" s="160"/>
      <c r="E62" s="129">
        <f>Input_Harvestnew!E207</f>
        <v>0.1744</v>
      </c>
      <c r="F62" s="30">
        <f>Input_Harvestnew!F207</f>
        <v>3</v>
      </c>
      <c r="G62" s="343">
        <v>30</v>
      </c>
      <c r="H62" s="30">
        <v>0</v>
      </c>
      <c r="R62" s="774">
        <v>135</v>
      </c>
      <c r="S62" s="86" t="s">
        <v>1978</v>
      </c>
      <c r="T62" s="785"/>
      <c r="U62" s="795"/>
      <c r="V62" s="783" t="s">
        <v>2787</v>
      </c>
      <c r="W62" s="781" t="s">
        <v>2788</v>
      </c>
    </row>
    <row r="63" spans="1:23" s="768" customFormat="1" x14ac:dyDescent="0.2">
      <c r="A63" s="766">
        <v>136</v>
      </c>
      <c r="B63" s="484" t="s">
        <v>1983</v>
      </c>
      <c r="C63" s="968">
        <v>-99</v>
      </c>
      <c r="D63" s="767">
        <v>-99</v>
      </c>
      <c r="E63" s="968">
        <v>-99</v>
      </c>
      <c r="F63" s="969">
        <v>-99</v>
      </c>
      <c r="G63" s="969">
        <v>0</v>
      </c>
      <c r="H63" s="969">
        <v>0</v>
      </c>
      <c r="R63" s="960">
        <v>136</v>
      </c>
      <c r="S63" s="766" t="s">
        <v>1983</v>
      </c>
      <c r="T63" s="961">
        <v>-99</v>
      </c>
      <c r="U63" s="962">
        <v>-99</v>
      </c>
      <c r="V63" s="961">
        <v>-99</v>
      </c>
      <c r="W63" s="963">
        <v>-99</v>
      </c>
    </row>
    <row r="64" spans="1:23" x14ac:dyDescent="0.2">
      <c r="A64" s="86">
        <v>137</v>
      </c>
      <c r="B64" t="s">
        <v>1984</v>
      </c>
      <c r="C64" s="129">
        <f>Input_Harvestnew!C226</f>
        <v>0</v>
      </c>
      <c r="D64" s="944">
        <f>Input_Harvestnew!D226</f>
        <v>1</v>
      </c>
      <c r="E64" s="129">
        <f>Input_Harvestnew!E226</f>
        <v>0</v>
      </c>
      <c r="F64" s="30">
        <f>Input_Harvestnew!F226</f>
        <v>1</v>
      </c>
      <c r="G64" s="30">
        <v>4</v>
      </c>
      <c r="H64" s="30">
        <v>0</v>
      </c>
      <c r="R64" s="774">
        <v>137</v>
      </c>
      <c r="S64" s="86" t="s">
        <v>1984</v>
      </c>
      <c r="T64" s="783" t="s">
        <v>2789</v>
      </c>
      <c r="U64" s="772" t="s">
        <v>2790</v>
      </c>
      <c r="V64" s="783" t="s">
        <v>2791</v>
      </c>
      <c r="W64" s="781" t="s">
        <v>2792</v>
      </c>
    </row>
    <row r="65" spans="1:23" ht="15.75" x14ac:dyDescent="0.25">
      <c r="A65" s="86">
        <v>138</v>
      </c>
      <c r="B65" t="s">
        <v>1990</v>
      </c>
      <c r="C65" s="129">
        <f>Input_Harvestnew!C214</f>
        <v>1.2179802487263035E-3</v>
      </c>
      <c r="D65" s="1716">
        <f>Input_Harvestnew!D214</f>
        <v>3</v>
      </c>
      <c r="E65" s="129">
        <f>Input_Harvestnew!E214</f>
        <v>1.9183617871413004E-3</v>
      </c>
      <c r="F65" s="2">
        <f>Input_Harvestnew!F214</f>
        <v>3</v>
      </c>
      <c r="G65" s="343">
        <v>7</v>
      </c>
      <c r="H65" s="30">
        <v>0</v>
      </c>
      <c r="R65" s="774">
        <v>138</v>
      </c>
      <c r="S65" s="86" t="s">
        <v>1990</v>
      </c>
      <c r="T65" s="783" t="s">
        <v>2793</v>
      </c>
      <c r="U65" s="772" t="s">
        <v>2794</v>
      </c>
      <c r="V65" s="783" t="s">
        <v>2795</v>
      </c>
      <c r="W65" s="781" t="s">
        <v>2796</v>
      </c>
    </row>
    <row r="66" spans="1:23" x14ac:dyDescent="0.2">
      <c r="A66" s="86">
        <v>139</v>
      </c>
      <c r="B66" s="778" t="s">
        <v>1996</v>
      </c>
      <c r="C66" s="973">
        <v>0</v>
      </c>
      <c r="D66" s="1717">
        <v>1</v>
      </c>
      <c r="E66" s="973">
        <v>0</v>
      </c>
      <c r="F66" s="974">
        <v>1</v>
      </c>
      <c r="G66" s="973">
        <v>0</v>
      </c>
      <c r="H66" s="973">
        <v>0</v>
      </c>
      <c r="J66" s="974" t="s">
        <v>2797</v>
      </c>
      <c r="R66" s="774">
        <v>139</v>
      </c>
      <c r="S66" s="808" t="s">
        <v>1996</v>
      </c>
      <c r="T66" s="789">
        <v>0</v>
      </c>
      <c r="U66" s="797">
        <v>1</v>
      </c>
      <c r="V66" s="789">
        <v>0</v>
      </c>
      <c r="W66" s="802">
        <v>1</v>
      </c>
    </row>
    <row r="67" spans="1:23" x14ac:dyDescent="0.2">
      <c r="A67" s="86">
        <v>140</v>
      </c>
      <c r="B67" s="778" t="s">
        <v>1998</v>
      </c>
      <c r="C67" s="973">
        <v>0</v>
      </c>
      <c r="D67" s="1717">
        <v>1</v>
      </c>
      <c r="E67" s="973">
        <v>0</v>
      </c>
      <c r="F67" s="974">
        <v>1</v>
      </c>
      <c r="G67" s="973">
        <v>0</v>
      </c>
      <c r="H67" s="973">
        <v>0</v>
      </c>
      <c r="R67" s="774">
        <v>140</v>
      </c>
      <c r="S67" s="808" t="s">
        <v>1998</v>
      </c>
      <c r="T67" s="789">
        <v>0</v>
      </c>
      <c r="U67" s="797">
        <v>1</v>
      </c>
      <c r="V67" s="789">
        <v>0</v>
      </c>
      <c r="W67" s="802">
        <v>1</v>
      </c>
    </row>
    <row r="68" spans="1:23" x14ac:dyDescent="0.2">
      <c r="A68" s="86">
        <v>141</v>
      </c>
      <c r="B68" t="s">
        <v>1999</v>
      </c>
      <c r="C68" s="129">
        <f>Input_Harvestnew!C228</f>
        <v>0</v>
      </c>
      <c r="D68" s="944">
        <f>Input_Harvestnew!D228</f>
        <v>1</v>
      </c>
      <c r="E68" s="129">
        <f>Input_Harvestnew!E228</f>
        <v>551</v>
      </c>
      <c r="F68" s="30">
        <f>Input_Harvestnew!F228</f>
        <v>1</v>
      </c>
      <c r="G68" s="30">
        <v>4</v>
      </c>
      <c r="H68" s="30">
        <v>0</v>
      </c>
      <c r="R68" s="774">
        <v>141</v>
      </c>
      <c r="S68" s="86" t="s">
        <v>1999</v>
      </c>
      <c r="T68" s="783" t="s">
        <v>2798</v>
      </c>
      <c r="U68" s="772" t="s">
        <v>2799</v>
      </c>
      <c r="V68" s="783" t="s">
        <v>2800</v>
      </c>
      <c r="W68" s="781" t="s">
        <v>2801</v>
      </c>
    </row>
    <row r="69" spans="1:23" ht="15.75" x14ac:dyDescent="0.25">
      <c r="A69" s="86">
        <v>142</v>
      </c>
      <c r="B69" t="s">
        <v>2004</v>
      </c>
      <c r="C69" s="129">
        <f>Input_Harvestnew!C216</f>
        <v>4.1624481662097382E-2</v>
      </c>
      <c r="D69" s="2">
        <f>Input_Harvestnew!D216</f>
        <v>3</v>
      </c>
      <c r="E69" s="1100">
        <f>Input_Harvestnew!E216</f>
        <v>5.8076381337296298E-2</v>
      </c>
      <c r="F69" s="2">
        <f>Input_Harvestnew!F216</f>
        <v>3</v>
      </c>
      <c r="G69" s="343">
        <v>31</v>
      </c>
      <c r="H69" s="30">
        <v>0</v>
      </c>
      <c r="R69" s="774">
        <v>142</v>
      </c>
      <c r="S69" s="86" t="s">
        <v>2004</v>
      </c>
      <c r="T69" s="783" t="s">
        <v>2802</v>
      </c>
      <c r="U69" s="772" t="s">
        <v>2803</v>
      </c>
      <c r="V69" s="783" t="s">
        <v>2804</v>
      </c>
      <c r="W69" s="781" t="s">
        <v>2805</v>
      </c>
    </row>
    <row r="70" spans="1:23" x14ac:dyDescent="0.2">
      <c r="A70" s="86">
        <v>143</v>
      </c>
      <c r="B70" t="s">
        <v>2009</v>
      </c>
      <c r="C70" s="129">
        <f>Input_Harvestnew!C229</f>
        <v>0</v>
      </c>
      <c r="D70" s="944">
        <f>Input_Harvestnew!D229</f>
        <v>1</v>
      </c>
      <c r="E70" s="129">
        <f>Input_Harvestnew!E229</f>
        <v>0</v>
      </c>
      <c r="F70" s="30">
        <f>Input_Harvestnew!F229</f>
        <v>1</v>
      </c>
      <c r="G70" s="30">
        <v>4</v>
      </c>
      <c r="H70" s="30">
        <v>32</v>
      </c>
      <c r="R70" s="774">
        <v>143</v>
      </c>
      <c r="S70" s="86" t="s">
        <v>2009</v>
      </c>
      <c r="T70" s="783" t="s">
        <v>2806</v>
      </c>
      <c r="U70" s="772" t="s">
        <v>2807</v>
      </c>
      <c r="V70" s="783" t="s">
        <v>2808</v>
      </c>
      <c r="W70" s="781" t="s">
        <v>2809</v>
      </c>
    </row>
    <row r="71" spans="1:23" ht="15.75" x14ac:dyDescent="0.25">
      <c r="A71" s="86">
        <v>144</v>
      </c>
      <c r="B71" t="s">
        <v>2014</v>
      </c>
      <c r="C71" s="129">
        <f>Input_Harvestnew!C217</f>
        <v>0.60096229790386035</v>
      </c>
      <c r="D71" s="2">
        <f>Input_Harvestnew!D217</f>
        <v>4</v>
      </c>
      <c r="E71" s="1100">
        <f>Input_Harvestnew!E217</f>
        <v>0.33613978824743884</v>
      </c>
      <c r="F71" s="2">
        <f>Input_Harvestnew!F217</f>
        <v>4</v>
      </c>
      <c r="G71" s="30">
        <v>29</v>
      </c>
      <c r="H71" s="343">
        <v>32</v>
      </c>
      <c r="R71" s="774">
        <v>144</v>
      </c>
      <c r="S71" s="86" t="s">
        <v>2014</v>
      </c>
      <c r="T71" s="783" t="s">
        <v>2810</v>
      </c>
      <c r="U71" s="772" t="s">
        <v>2811</v>
      </c>
      <c r="V71" s="783" t="s">
        <v>2812</v>
      </c>
      <c r="W71" s="781" t="s">
        <v>2813</v>
      </c>
    </row>
    <row r="72" spans="1:23" x14ac:dyDescent="0.2">
      <c r="A72" s="86">
        <v>145</v>
      </c>
      <c r="B72" t="s">
        <v>2019</v>
      </c>
      <c r="C72" s="972"/>
      <c r="D72" s="160"/>
      <c r="E72" s="129">
        <f>Input_Harvestnew!E230</f>
        <v>0</v>
      </c>
      <c r="F72" s="30">
        <f>Input_Harvestnew!F230</f>
        <v>1</v>
      </c>
      <c r="G72" s="30">
        <v>4</v>
      </c>
      <c r="H72" s="30">
        <v>32</v>
      </c>
      <c r="R72" s="774">
        <v>145</v>
      </c>
      <c r="S72" s="86" t="s">
        <v>2019</v>
      </c>
      <c r="T72" s="785"/>
      <c r="U72" s="795"/>
      <c r="V72" s="783" t="s">
        <v>2814</v>
      </c>
      <c r="W72" s="781" t="s">
        <v>2815</v>
      </c>
    </row>
    <row r="73" spans="1:23" x14ac:dyDescent="0.2">
      <c r="A73" s="86">
        <v>146</v>
      </c>
      <c r="B73" t="s">
        <v>2023</v>
      </c>
      <c r="C73" s="972"/>
      <c r="D73" s="160"/>
      <c r="E73" s="129">
        <f>Input_Harvestnew!E218</f>
        <v>114</v>
      </c>
      <c r="F73" s="2">
        <f>Input_Harvestnew!F218</f>
        <v>1</v>
      </c>
      <c r="G73" s="30">
        <v>4</v>
      </c>
      <c r="H73" s="30">
        <v>32</v>
      </c>
      <c r="R73" s="774">
        <v>146</v>
      </c>
      <c r="S73" s="86" t="s">
        <v>2023</v>
      </c>
      <c r="T73" s="785"/>
      <c r="U73" s="795"/>
      <c r="V73" s="783" t="s">
        <v>2816</v>
      </c>
      <c r="W73" s="781" t="s">
        <v>2817</v>
      </c>
    </row>
    <row r="74" spans="1:23" ht="15.75" x14ac:dyDescent="0.25">
      <c r="A74" s="86">
        <v>147</v>
      </c>
      <c r="B74" t="s">
        <v>2026</v>
      </c>
      <c r="C74" s="972"/>
      <c r="D74" s="160"/>
      <c r="E74" s="129">
        <f>SUM(Input_Harvestnew!E221,Input_Harvestnew!K224)</f>
        <v>0.21943617832346571</v>
      </c>
      <c r="F74" s="2">
        <f>Input_Harvestnew!F221</f>
        <v>3</v>
      </c>
      <c r="G74" s="343">
        <v>16</v>
      </c>
      <c r="H74" s="30">
        <v>0</v>
      </c>
      <c r="R74" s="774">
        <v>147</v>
      </c>
      <c r="S74" s="86" t="s">
        <v>2026</v>
      </c>
      <c r="T74" s="785"/>
      <c r="U74" s="795"/>
      <c r="V74" s="783" t="s">
        <v>2818</v>
      </c>
      <c r="W74" s="781" t="s">
        <v>2819</v>
      </c>
    </row>
    <row r="75" spans="1:23" x14ac:dyDescent="0.2">
      <c r="A75" s="86">
        <v>148</v>
      </c>
      <c r="B75" t="s">
        <v>2030</v>
      </c>
      <c r="C75" s="972"/>
      <c r="D75" s="160"/>
      <c r="E75" s="129">
        <f>Input_Harvestnew!E223</f>
        <v>1.5</v>
      </c>
      <c r="F75" s="2">
        <f>Input_Harvestnew!F223</f>
        <v>1</v>
      </c>
      <c r="G75" s="30">
        <v>0</v>
      </c>
      <c r="H75" s="30">
        <v>0</v>
      </c>
      <c r="R75" s="774">
        <v>148</v>
      </c>
      <c r="S75" s="86" t="s">
        <v>2030</v>
      </c>
      <c r="T75" s="785"/>
      <c r="U75" s="795"/>
      <c r="V75" s="783" t="s">
        <v>2820</v>
      </c>
      <c r="W75" s="781" t="s">
        <v>2821</v>
      </c>
    </row>
    <row r="76" spans="1:23" x14ac:dyDescent="0.2">
      <c r="A76" s="86">
        <v>149</v>
      </c>
      <c r="B76" t="s">
        <v>2035</v>
      </c>
      <c r="C76" s="972"/>
      <c r="D76" s="160"/>
      <c r="E76" s="129">
        <f>Input_Harvestnew!E233</f>
        <v>0</v>
      </c>
      <c r="F76" s="30">
        <f>Input_Harvestnew!F233</f>
        <v>1</v>
      </c>
      <c r="G76" s="30">
        <v>4</v>
      </c>
      <c r="H76" s="30">
        <v>0</v>
      </c>
      <c r="R76" s="774">
        <v>149</v>
      </c>
      <c r="S76" s="86" t="s">
        <v>2035</v>
      </c>
      <c r="T76" s="785"/>
      <c r="U76" s="795"/>
      <c r="V76" s="783" t="s">
        <v>2822</v>
      </c>
      <c r="W76" s="781" t="s">
        <v>2823</v>
      </c>
    </row>
    <row r="77" spans="1:23" x14ac:dyDescent="0.2">
      <c r="A77" s="86">
        <v>150</v>
      </c>
      <c r="B77" t="s">
        <v>2040</v>
      </c>
      <c r="C77" s="972"/>
      <c r="D77" s="160"/>
      <c r="E77" s="1141">
        <v>-99</v>
      </c>
      <c r="F77" s="1142">
        <v>-99</v>
      </c>
      <c r="G77" s="30">
        <v>16</v>
      </c>
      <c r="H77" s="30">
        <v>0</v>
      </c>
      <c r="R77" s="774">
        <v>150</v>
      </c>
      <c r="S77" s="86" t="s">
        <v>2040</v>
      </c>
      <c r="T77" s="785"/>
      <c r="U77" s="795"/>
      <c r="V77" s="783" t="s">
        <v>2824</v>
      </c>
      <c r="W77" s="803" t="s">
        <v>2825</v>
      </c>
    </row>
    <row r="78" spans="1:23" x14ac:dyDescent="0.2">
      <c r="A78" s="86">
        <v>151</v>
      </c>
      <c r="B78" t="s">
        <v>2045</v>
      </c>
      <c r="C78" s="972"/>
      <c r="D78" s="160"/>
      <c r="E78" s="129">
        <f>Input_Harvestnew!E235</f>
        <v>5</v>
      </c>
      <c r="F78" s="30">
        <f>Input_Harvestnew!F235</f>
        <v>1</v>
      </c>
      <c r="G78" s="30">
        <v>4</v>
      </c>
      <c r="H78" s="30">
        <v>0</v>
      </c>
      <c r="R78" s="774">
        <v>151</v>
      </c>
      <c r="S78" s="86" t="s">
        <v>2045</v>
      </c>
      <c r="T78" s="785"/>
      <c r="U78" s="795"/>
      <c r="V78" s="783" t="s">
        <v>2826</v>
      </c>
      <c r="W78" s="803" t="s">
        <v>2827</v>
      </c>
    </row>
    <row r="79" spans="1:23" s="768" customFormat="1" x14ac:dyDescent="0.2">
      <c r="A79" s="766">
        <v>152</v>
      </c>
      <c r="B79" s="484" t="s">
        <v>2049</v>
      </c>
      <c r="C79" s="968">
        <v>-99</v>
      </c>
      <c r="D79" s="767">
        <v>-99</v>
      </c>
      <c r="E79" s="968">
        <v>-99</v>
      </c>
      <c r="F79" s="969">
        <v>-99</v>
      </c>
      <c r="G79" s="969">
        <v>0</v>
      </c>
      <c r="H79" s="969">
        <v>0</v>
      </c>
      <c r="R79" s="960">
        <v>152</v>
      </c>
      <c r="S79" s="766" t="s">
        <v>2049</v>
      </c>
      <c r="T79" s="961">
        <v>-99</v>
      </c>
      <c r="U79" s="962">
        <v>-99</v>
      </c>
      <c r="V79" s="961">
        <v>-99</v>
      </c>
      <c r="W79" s="963">
        <v>-99</v>
      </c>
    </row>
    <row r="80" spans="1:23" ht="15.75" x14ac:dyDescent="0.25">
      <c r="A80" s="86">
        <v>153</v>
      </c>
      <c r="B80" t="s">
        <v>2051</v>
      </c>
      <c r="C80" s="129">
        <f>Input_Harvestnew!C120</f>
        <v>0</v>
      </c>
      <c r="D80" s="944">
        <f>Input_Harvestnew!D120</f>
        <v>3</v>
      </c>
      <c r="E80" s="129">
        <f>Input_Harvestnew!E120</f>
        <v>2.3215929976979292E-2</v>
      </c>
      <c r="F80" s="30">
        <f>Input_Harvestnew!F120</f>
        <v>3</v>
      </c>
      <c r="G80" s="343">
        <v>3</v>
      </c>
      <c r="H80" s="30">
        <v>0</v>
      </c>
      <c r="R80" s="774">
        <v>153</v>
      </c>
      <c r="S80" s="86" t="s">
        <v>2051</v>
      </c>
      <c r="T80" s="783" t="s">
        <v>2828</v>
      </c>
      <c r="U80" s="772" t="s">
        <v>2829</v>
      </c>
      <c r="V80" s="783" t="s">
        <v>2830</v>
      </c>
      <c r="W80" s="781" t="s">
        <v>2831</v>
      </c>
    </row>
    <row r="81" spans="1:23" ht="15.75" x14ac:dyDescent="0.25">
      <c r="A81" s="86">
        <v>154</v>
      </c>
      <c r="B81" t="s">
        <v>2057</v>
      </c>
      <c r="C81" s="129">
        <f>Input_Harvestnew!C84</f>
        <v>1.3886176141334895E-3</v>
      </c>
      <c r="D81" s="944">
        <f>Input_Harvestnew!D84</f>
        <v>3</v>
      </c>
      <c r="E81" s="129">
        <f>Input_Harvestnew!E84</f>
        <v>3.7977099621035584E-2</v>
      </c>
      <c r="F81" s="30">
        <f>Input_Harvestnew!F84</f>
        <v>3</v>
      </c>
      <c r="G81" s="343">
        <v>3</v>
      </c>
      <c r="H81" s="30">
        <v>0</v>
      </c>
      <c r="R81" s="774">
        <v>154</v>
      </c>
      <c r="S81" s="86" t="s">
        <v>2057</v>
      </c>
      <c r="T81" s="783" t="s">
        <v>2832</v>
      </c>
      <c r="U81" s="792" t="s">
        <v>2833</v>
      </c>
      <c r="V81" s="783" t="s">
        <v>2834</v>
      </c>
      <c r="W81" s="799" t="s">
        <v>2835</v>
      </c>
    </row>
    <row r="82" spans="1:23" ht="15.75" x14ac:dyDescent="0.25">
      <c r="A82" s="86">
        <v>155</v>
      </c>
      <c r="B82" t="s">
        <v>2063</v>
      </c>
      <c r="C82" s="129">
        <f>SUM(Input_Harvestnew!C144:C146)</f>
        <v>0.16518136250537296</v>
      </c>
      <c r="D82" s="944">
        <f>Input_Harvestnew!D144</f>
        <v>3</v>
      </c>
      <c r="E82" s="129">
        <f>SUM(Input_Harvestnew!E144:E146)</f>
        <v>5.2353393411393142E-3</v>
      </c>
      <c r="F82" s="30">
        <f>Input_Harvestnew!F144</f>
        <v>3</v>
      </c>
      <c r="G82" s="343">
        <v>23</v>
      </c>
      <c r="H82" s="30">
        <v>0</v>
      </c>
      <c r="R82" s="774">
        <v>155</v>
      </c>
      <c r="S82" s="86" t="s">
        <v>2063</v>
      </c>
      <c r="T82" s="783" t="s">
        <v>2836</v>
      </c>
      <c r="U82" s="772" t="s">
        <v>2837</v>
      </c>
      <c r="V82" s="783" t="s">
        <v>2838</v>
      </c>
      <c r="W82" s="781" t="s">
        <v>2839</v>
      </c>
    </row>
    <row r="83" spans="1:23" ht="15.75" x14ac:dyDescent="0.25">
      <c r="A83" s="86">
        <v>156</v>
      </c>
      <c r="B83" t="s">
        <v>2069</v>
      </c>
      <c r="C83" s="129">
        <f>Input_Harvestnew!C112</f>
        <v>0.64435314687038892</v>
      </c>
      <c r="D83" s="944">
        <f>Input_Harvestnew!D112</f>
        <v>3</v>
      </c>
      <c r="E83" s="129">
        <f>SUM(Input_Harvestnew!E112,Input_Harvestnew!E113)</f>
        <v>0.13523015128309868</v>
      </c>
      <c r="F83" s="30">
        <f>Input_Harvestnew!F112</f>
        <v>3</v>
      </c>
      <c r="G83" s="343">
        <v>23</v>
      </c>
      <c r="H83" s="30">
        <v>17</v>
      </c>
      <c r="R83" s="774">
        <v>156</v>
      </c>
      <c r="S83" s="86" t="s">
        <v>2069</v>
      </c>
      <c r="T83" s="783" t="s">
        <v>2840</v>
      </c>
      <c r="U83" s="792" t="s">
        <v>2841</v>
      </c>
      <c r="V83" s="783" t="s">
        <v>2842</v>
      </c>
      <c r="W83" s="799" t="s">
        <v>2843</v>
      </c>
    </row>
    <row r="84" spans="1:23" ht="15.75" x14ac:dyDescent="0.25">
      <c r="A84" s="86">
        <v>157</v>
      </c>
      <c r="B84" t="s">
        <v>2074</v>
      </c>
      <c r="C84" s="129">
        <f>Input_Harvestnew!C149</f>
        <v>6.6594901830239708E-2</v>
      </c>
      <c r="D84" s="944">
        <f>Input_Harvestnew!D149</f>
        <v>4</v>
      </c>
      <c r="E84" s="129">
        <f>Input_Harvestnew!E149</f>
        <v>0</v>
      </c>
      <c r="F84" s="30">
        <f>Input_Harvestnew!F149</f>
        <v>4</v>
      </c>
      <c r="G84" s="30">
        <v>0</v>
      </c>
      <c r="H84" s="343">
        <v>24</v>
      </c>
      <c r="R84" s="774">
        <v>157</v>
      </c>
      <c r="S84" s="86" t="s">
        <v>2074</v>
      </c>
      <c r="T84" s="783" t="s">
        <v>2844</v>
      </c>
      <c r="U84" s="772" t="s">
        <v>2845</v>
      </c>
      <c r="V84" s="783" t="s">
        <v>2846</v>
      </c>
      <c r="W84" s="781" t="s">
        <v>2847</v>
      </c>
    </row>
    <row r="85" spans="1:23" ht="15.75" x14ac:dyDescent="0.25">
      <c r="A85" s="86">
        <v>158</v>
      </c>
      <c r="B85" t="s">
        <v>2079</v>
      </c>
      <c r="C85" s="129">
        <f>Input_Harvestnew!C114</f>
        <v>0.18703327756287624</v>
      </c>
      <c r="D85" s="30">
        <f>Input_Harvestnew!D114</f>
        <v>4</v>
      </c>
      <c r="E85" s="1100">
        <f>Input_Harvestnew!E114</f>
        <v>2.0081206975538144E-2</v>
      </c>
      <c r="F85" s="30">
        <f>Input_Harvestnew!F114</f>
        <v>4</v>
      </c>
      <c r="G85" s="30">
        <v>0</v>
      </c>
      <c r="H85" s="343">
        <v>24</v>
      </c>
      <c r="R85" s="774">
        <v>158</v>
      </c>
      <c r="S85" s="86" t="s">
        <v>2079</v>
      </c>
      <c r="T85" s="783" t="s">
        <v>2848</v>
      </c>
      <c r="U85" s="792" t="s">
        <v>2849</v>
      </c>
      <c r="V85" s="783" t="s">
        <v>2850</v>
      </c>
      <c r="W85" s="799" t="s">
        <v>2851</v>
      </c>
    </row>
    <row r="86" spans="1:23" ht="15.75" x14ac:dyDescent="0.25">
      <c r="A86" s="86">
        <v>159</v>
      </c>
      <c r="B86" t="s">
        <v>2085</v>
      </c>
      <c r="C86" s="129">
        <f>Input_Harvestnew!C131</f>
        <v>3.3E-4</v>
      </c>
      <c r="D86" s="944">
        <f>Input_Harvestnew!D131</f>
        <v>3</v>
      </c>
      <c r="E86" s="129">
        <f>Input_Harvestnew!E131</f>
        <v>1.332282153130811E-4</v>
      </c>
      <c r="F86" s="30">
        <f>Input_Harvestnew!F131</f>
        <v>3</v>
      </c>
      <c r="G86" s="343">
        <v>34</v>
      </c>
      <c r="H86" s="30">
        <v>0</v>
      </c>
      <c r="R86" s="774">
        <v>159</v>
      </c>
      <c r="S86" s="86" t="s">
        <v>2085</v>
      </c>
      <c r="T86" s="783" t="s">
        <v>2852</v>
      </c>
      <c r="U86" s="772" t="s">
        <v>2853</v>
      </c>
      <c r="V86" s="783" t="s">
        <v>2854</v>
      </c>
      <c r="W86" s="781" t="s">
        <v>2855</v>
      </c>
    </row>
    <row r="87" spans="1:23" ht="15.75" x14ac:dyDescent="0.25">
      <c r="A87" s="86">
        <v>160</v>
      </c>
      <c r="B87" t="s">
        <v>2091</v>
      </c>
      <c r="C87" s="129">
        <f>Input_Harvestnew!C95</f>
        <v>8.2307390140938935E-2</v>
      </c>
      <c r="D87" s="1716">
        <f>Input_Harvestnew!D95</f>
        <v>3</v>
      </c>
      <c r="E87" s="129">
        <f>Input_Harvestnew!E95</f>
        <v>5.0534758243243376E-2</v>
      </c>
      <c r="F87" s="2">
        <f>Input_Harvestnew!F95</f>
        <v>3</v>
      </c>
      <c r="G87" s="343">
        <v>34</v>
      </c>
      <c r="H87" s="30">
        <v>0</v>
      </c>
      <c r="R87" s="774">
        <v>160</v>
      </c>
      <c r="S87" s="86" t="s">
        <v>2091</v>
      </c>
      <c r="T87" s="783" t="s">
        <v>2856</v>
      </c>
      <c r="U87" s="772" t="s">
        <v>2857</v>
      </c>
      <c r="V87" s="783" t="s">
        <v>2858</v>
      </c>
      <c r="W87" s="781" t="s">
        <v>2859</v>
      </c>
    </row>
    <row r="88" spans="1:23" ht="15.75" x14ac:dyDescent="0.25">
      <c r="A88" s="86">
        <v>161</v>
      </c>
      <c r="B88" t="s">
        <v>2097</v>
      </c>
      <c r="C88" s="975"/>
      <c r="D88" s="1099"/>
      <c r="E88" s="1100">
        <f>Input_Harvestnew!E107</f>
        <v>0.16057055053889072</v>
      </c>
      <c r="F88" s="30">
        <f>Input_Harvestnew!F108</f>
        <v>3</v>
      </c>
      <c r="G88" s="343">
        <v>26</v>
      </c>
      <c r="H88" s="30">
        <v>0</v>
      </c>
      <c r="R88" s="774">
        <v>161</v>
      </c>
      <c r="S88" s="86" t="s">
        <v>2097</v>
      </c>
      <c r="T88" s="790"/>
      <c r="U88" s="793"/>
      <c r="V88" s="783" t="s">
        <v>2860</v>
      </c>
      <c r="W88" s="799" t="s">
        <v>2861</v>
      </c>
    </row>
    <row r="89" spans="1:23" x14ac:dyDescent="0.2">
      <c r="A89" s="86">
        <v>162</v>
      </c>
      <c r="B89" t="s">
        <v>2101</v>
      </c>
      <c r="C89" s="970"/>
      <c r="D89" s="159"/>
      <c r="E89" s="129">
        <f>Input_Harvestnew!E115</f>
        <v>1200</v>
      </c>
      <c r="F89" s="2">
        <f>Input_Harvestnew!F115</f>
        <v>1</v>
      </c>
      <c r="G89" s="30">
        <v>0</v>
      </c>
      <c r="H89" s="30">
        <v>0</v>
      </c>
      <c r="R89" s="774">
        <v>162</v>
      </c>
      <c r="S89" s="86" t="s">
        <v>2101</v>
      </c>
      <c r="T89" s="784"/>
      <c r="U89" s="794"/>
      <c r="V89" s="783" t="s">
        <v>2862</v>
      </c>
      <c r="W89" s="781" t="s">
        <v>2863</v>
      </c>
    </row>
    <row r="90" spans="1:23" x14ac:dyDescent="0.2">
      <c r="A90" s="86">
        <v>163</v>
      </c>
      <c r="B90" t="s">
        <v>2104</v>
      </c>
      <c r="C90" s="970"/>
      <c r="D90" s="159"/>
      <c r="E90" s="129">
        <f>Input_Harvestnew!E147</f>
        <v>0</v>
      </c>
      <c r="F90" s="30">
        <f>Input_Harvestnew!F147</f>
        <v>1</v>
      </c>
      <c r="G90" s="30">
        <v>3</v>
      </c>
      <c r="H90" s="30">
        <v>0</v>
      </c>
      <c r="R90" s="774">
        <v>163</v>
      </c>
      <c r="S90" s="86" t="s">
        <v>2104</v>
      </c>
      <c r="T90" s="784"/>
      <c r="U90" s="794"/>
      <c r="V90" s="783" t="s">
        <v>2864</v>
      </c>
      <c r="W90" s="781" t="s">
        <v>2865</v>
      </c>
    </row>
    <row r="91" spans="1:23" ht="15.75" x14ac:dyDescent="0.25">
      <c r="A91" s="86">
        <v>164</v>
      </c>
      <c r="B91" t="s">
        <v>2107</v>
      </c>
      <c r="C91" s="970"/>
      <c r="D91" s="862"/>
      <c r="E91" s="1100">
        <f>Input_Harvestnew!E151</f>
        <v>0.14138653179171812</v>
      </c>
      <c r="F91" s="30">
        <f>Input_Harvestnew!F151</f>
        <v>4</v>
      </c>
      <c r="G91" s="30">
        <v>0</v>
      </c>
      <c r="H91" s="343">
        <v>40</v>
      </c>
      <c r="R91" s="774">
        <v>164</v>
      </c>
      <c r="S91" s="86" t="s">
        <v>2107</v>
      </c>
      <c r="T91" s="784"/>
      <c r="U91" s="794"/>
      <c r="V91" s="783" t="s">
        <v>2866</v>
      </c>
      <c r="W91" s="781" t="s">
        <v>2867</v>
      </c>
    </row>
    <row r="92" spans="1:23" x14ac:dyDescent="0.2">
      <c r="A92" s="86">
        <v>165</v>
      </c>
      <c r="B92" t="s">
        <v>2110</v>
      </c>
      <c r="C92" s="970"/>
      <c r="D92" s="159"/>
      <c r="E92" s="129">
        <f>Input_Harvestnew!E148</f>
        <v>0</v>
      </c>
      <c r="F92" s="30">
        <f>Input_Harvestnew!F148</f>
        <v>1</v>
      </c>
      <c r="G92" s="30">
        <v>3</v>
      </c>
      <c r="H92" s="30">
        <v>0</v>
      </c>
      <c r="R92" s="774">
        <v>165</v>
      </c>
      <c r="S92" s="86" t="s">
        <v>2110</v>
      </c>
      <c r="T92" s="784"/>
      <c r="U92" s="794"/>
      <c r="V92" s="783" t="s">
        <v>2868</v>
      </c>
      <c r="W92" s="781" t="s">
        <v>2869</v>
      </c>
    </row>
    <row r="93" spans="1:23" x14ac:dyDescent="0.2">
      <c r="A93" s="86">
        <v>166</v>
      </c>
      <c r="B93" t="s">
        <v>2113</v>
      </c>
      <c r="C93" s="970"/>
      <c r="D93" s="159"/>
      <c r="E93" s="129">
        <f>Input_Harvestnew!E143</f>
        <v>0</v>
      </c>
      <c r="F93" s="30">
        <f>Input_Harvestnew!F143</f>
        <v>1</v>
      </c>
      <c r="G93" s="30">
        <v>3</v>
      </c>
      <c r="H93" s="30">
        <v>0</v>
      </c>
      <c r="R93" s="1692">
        <v>166</v>
      </c>
      <c r="S93" s="1718" t="s">
        <v>2113</v>
      </c>
      <c r="T93" s="1693"/>
      <c r="U93" s="1694"/>
      <c r="V93" s="1695" t="s">
        <v>2870</v>
      </c>
      <c r="W93" s="1696" t="s">
        <v>2871</v>
      </c>
    </row>
    <row r="94" spans="1:23" x14ac:dyDescent="0.2">
      <c r="C94" s="30"/>
      <c r="D94" s="30"/>
      <c r="E94" s="30"/>
      <c r="F94" s="30"/>
    </row>
    <row r="95" spans="1:23" x14ac:dyDescent="0.2">
      <c r="D95" s="30"/>
      <c r="E95" s="30"/>
      <c r="F95" s="30"/>
    </row>
    <row r="96" spans="1:23" x14ac:dyDescent="0.2">
      <c r="D96" s="30"/>
      <c r="E96" s="30"/>
      <c r="F96" s="30"/>
    </row>
    <row r="97" spans="4:6" x14ac:dyDescent="0.2">
      <c r="D97" s="30"/>
      <c r="E97" s="30"/>
      <c r="F97" s="30"/>
    </row>
    <row r="98" spans="4:6" x14ac:dyDescent="0.2">
      <c r="D98" s="30"/>
      <c r="E98" s="30"/>
      <c r="F98" s="30"/>
    </row>
    <row r="99" spans="4:6" x14ac:dyDescent="0.2">
      <c r="D99" s="30"/>
      <c r="E99" s="30"/>
      <c r="F99" s="30"/>
    </row>
    <row r="100" spans="4:6" x14ac:dyDescent="0.2">
      <c r="D100" s="30"/>
      <c r="E100" s="30"/>
      <c r="F100" s="30"/>
    </row>
    <row r="101" spans="4:6" x14ac:dyDescent="0.2">
      <c r="D101" s="30"/>
      <c r="E101" s="30"/>
      <c r="F101" s="30"/>
    </row>
    <row r="102" spans="4:6" x14ac:dyDescent="0.2">
      <c r="D102" s="30"/>
      <c r="E102" s="30"/>
      <c r="F102" s="30"/>
    </row>
    <row r="103" spans="4:6" x14ac:dyDescent="0.2">
      <c r="D103" s="30"/>
      <c r="E103" s="30"/>
      <c r="F103" s="30"/>
    </row>
    <row r="104" spans="4:6" x14ac:dyDescent="0.2">
      <c r="D104" s="30"/>
      <c r="E104" s="30"/>
      <c r="F104" s="30"/>
    </row>
    <row r="105" spans="4:6" x14ac:dyDescent="0.2">
      <c r="D105" s="30"/>
      <c r="E105" s="30"/>
      <c r="F105" s="30"/>
    </row>
    <row r="106" spans="4:6" x14ac:dyDescent="0.2">
      <c r="D106" s="30"/>
      <c r="E106" s="30"/>
      <c r="F106" s="30"/>
    </row>
    <row r="107" spans="4:6" x14ac:dyDescent="0.2">
      <c r="D107" s="30"/>
      <c r="E107" s="30"/>
      <c r="F107" s="30"/>
    </row>
    <row r="108" spans="4:6" x14ac:dyDescent="0.2">
      <c r="D108" s="30"/>
      <c r="E108" s="30"/>
      <c r="F108" s="30"/>
    </row>
    <row r="109" spans="4:6" x14ac:dyDescent="0.2">
      <c r="D109" s="30"/>
      <c r="E109" s="30"/>
      <c r="F109" s="30"/>
    </row>
  </sheetData>
  <phoneticPr fontId="16" type="noConversion"/>
  <pageMargins left="0.5" right="0.66700000000000004" top="0.75" bottom="0.66700000000000004" header="0.5" footer="0.5"/>
  <pageSetup scale="86" fitToHeight="2" orientation="portrait" r:id="rId1"/>
  <headerFooter alignWithMargins="0"/>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J1557"/>
  <sheetViews>
    <sheetView showGridLines="0" topLeftCell="A415" workbookViewId="0">
      <selection activeCell="C567" sqref="C567"/>
    </sheetView>
  </sheetViews>
  <sheetFormatPr defaultColWidth="15.5703125" defaultRowHeight="12.75" x14ac:dyDescent="0.2"/>
  <cols>
    <col min="3" max="3" width="83" bestFit="1" customWidth="1"/>
    <col min="4" max="4" width="28" bestFit="1" customWidth="1"/>
    <col min="5" max="6" width="30.5703125" bestFit="1" customWidth="1"/>
    <col min="7" max="7" width="25.140625" bestFit="1" customWidth="1"/>
  </cols>
  <sheetData>
    <row r="1" spans="1:3" x14ac:dyDescent="0.2">
      <c r="A1" s="37" t="s">
        <v>2872</v>
      </c>
    </row>
    <row r="2" spans="1:3" x14ac:dyDescent="0.2">
      <c r="A2" s="37" t="s">
        <v>2873</v>
      </c>
    </row>
    <row r="3" spans="1:3" x14ac:dyDescent="0.2">
      <c r="A3" s="37" t="s">
        <v>2874</v>
      </c>
    </row>
    <row r="4" spans="1:3" ht="21" customHeight="1" x14ac:dyDescent="0.2">
      <c r="A4" s="180" t="s">
        <v>2875</v>
      </c>
      <c r="B4" t="s">
        <v>2876</v>
      </c>
      <c r="C4" t="s">
        <v>2647</v>
      </c>
    </row>
    <row r="5" spans="1:3" x14ac:dyDescent="0.2">
      <c r="B5" t="s">
        <v>2877</v>
      </c>
    </row>
    <row r="6" spans="1:3" x14ac:dyDescent="0.2">
      <c r="B6" t="s">
        <v>2878</v>
      </c>
    </row>
    <row r="7" spans="1:3" x14ac:dyDescent="0.2">
      <c r="B7" t="s">
        <v>2879</v>
      </c>
    </row>
    <row r="8" spans="1:3" x14ac:dyDescent="0.2">
      <c r="B8" t="s">
        <v>2880</v>
      </c>
    </row>
    <row r="9" spans="1:3" x14ac:dyDescent="0.2">
      <c r="B9" t="s">
        <v>2881</v>
      </c>
    </row>
    <row r="10" spans="1:3" x14ac:dyDescent="0.2">
      <c r="B10" t="s">
        <v>2882</v>
      </c>
    </row>
    <row r="11" spans="1:3" x14ac:dyDescent="0.2">
      <c r="B11" t="s">
        <v>2883</v>
      </c>
    </row>
    <row r="12" spans="1:3" x14ac:dyDescent="0.2">
      <c r="B12" t="s">
        <v>2884</v>
      </c>
    </row>
    <row r="13" spans="1:3" x14ac:dyDescent="0.2">
      <c r="B13" t="s">
        <v>2885</v>
      </c>
    </row>
    <row r="14" spans="1:3" x14ac:dyDescent="0.2">
      <c r="B14" t="s">
        <v>2886</v>
      </c>
      <c r="C14" t="s">
        <v>2648</v>
      </c>
    </row>
    <row r="15" spans="1:3" x14ac:dyDescent="0.2">
      <c r="B15" t="s">
        <v>2887</v>
      </c>
    </row>
    <row r="16" spans="1:3" x14ac:dyDescent="0.2">
      <c r="B16" t="s">
        <v>2888</v>
      </c>
      <c r="C16" t="s">
        <v>122</v>
      </c>
    </row>
    <row r="17" spans="2:4" x14ac:dyDescent="0.2">
      <c r="B17" t="s">
        <v>2889</v>
      </c>
    </row>
    <row r="18" spans="2:4" x14ac:dyDescent="0.2">
      <c r="B18" t="s">
        <v>2890</v>
      </c>
      <c r="C18" t="s">
        <v>2891</v>
      </c>
      <c r="D18" t="s">
        <v>2892</v>
      </c>
    </row>
    <row r="19" spans="2:4" x14ac:dyDescent="0.2">
      <c r="C19" t="s">
        <v>2893</v>
      </c>
      <c r="D19" t="s">
        <v>2892</v>
      </c>
    </row>
    <row r="20" spans="2:4" x14ac:dyDescent="0.2">
      <c r="B20" t="s">
        <v>2894</v>
      </c>
    </row>
    <row r="21" spans="2:4" x14ac:dyDescent="0.2">
      <c r="B21" t="s">
        <v>2895</v>
      </c>
    </row>
    <row r="22" spans="2:4" x14ac:dyDescent="0.2">
      <c r="B22" t="s">
        <v>2896</v>
      </c>
    </row>
    <row r="23" spans="2:4" x14ac:dyDescent="0.2">
      <c r="B23" t="s">
        <v>2897</v>
      </c>
    </row>
    <row r="24" spans="2:4" x14ac:dyDescent="0.2">
      <c r="B24" t="s">
        <v>2898</v>
      </c>
    </row>
    <row r="25" spans="2:4" x14ac:dyDescent="0.2">
      <c r="B25" t="s">
        <v>2899</v>
      </c>
      <c r="C25" t="s">
        <v>2649</v>
      </c>
    </row>
    <row r="26" spans="2:4" x14ac:dyDescent="0.2">
      <c r="B26" t="s">
        <v>2900</v>
      </c>
    </row>
    <row r="27" spans="2:4" x14ac:dyDescent="0.2">
      <c r="B27" t="s">
        <v>2901</v>
      </c>
      <c r="C27" s="966" t="s">
        <v>2902</v>
      </c>
      <c r="D27" s="87">
        <v>42835</v>
      </c>
    </row>
    <row r="28" spans="2:4" x14ac:dyDescent="0.2">
      <c r="C28" t="s">
        <v>2903</v>
      </c>
      <c r="D28" s="87">
        <v>42835</v>
      </c>
    </row>
    <row r="29" spans="2:4" x14ac:dyDescent="0.2">
      <c r="B29" t="s">
        <v>2904</v>
      </c>
    </row>
    <row r="30" spans="2:4" x14ac:dyDescent="0.2">
      <c r="B30" t="s">
        <v>2905</v>
      </c>
      <c r="C30" t="s">
        <v>123</v>
      </c>
    </row>
    <row r="31" spans="2:4" x14ac:dyDescent="0.2">
      <c r="B31" t="s">
        <v>2906</v>
      </c>
    </row>
    <row r="32" spans="2:4" x14ac:dyDescent="0.2">
      <c r="B32" t="s">
        <v>2907</v>
      </c>
      <c r="C32" t="s">
        <v>2908</v>
      </c>
      <c r="D32" t="s">
        <v>2909</v>
      </c>
    </row>
    <row r="33" spans="2:4" x14ac:dyDescent="0.2">
      <c r="C33" t="s">
        <v>2908</v>
      </c>
      <c r="D33" t="s">
        <v>2909</v>
      </c>
    </row>
    <row r="34" spans="2:4" x14ac:dyDescent="0.2">
      <c r="B34" t="s">
        <v>2910</v>
      </c>
    </row>
    <row r="35" spans="2:4" x14ac:dyDescent="0.2">
      <c r="B35" t="s">
        <v>2911</v>
      </c>
    </row>
    <row r="36" spans="2:4" x14ac:dyDescent="0.2">
      <c r="B36" t="s">
        <v>2912</v>
      </c>
    </row>
    <row r="37" spans="2:4" x14ac:dyDescent="0.2">
      <c r="B37" t="s">
        <v>2913</v>
      </c>
    </row>
    <row r="38" spans="2:4" x14ac:dyDescent="0.2">
      <c r="B38" t="s">
        <v>2914</v>
      </c>
    </row>
    <row r="39" spans="2:4" x14ac:dyDescent="0.2">
      <c r="B39" t="s">
        <v>2915</v>
      </c>
      <c r="C39" t="s">
        <v>607</v>
      </c>
    </row>
    <row r="40" spans="2:4" x14ac:dyDescent="0.2">
      <c r="B40" t="s">
        <v>2916</v>
      </c>
    </row>
    <row r="41" spans="2:4" x14ac:dyDescent="0.2">
      <c r="B41" t="s">
        <v>2917</v>
      </c>
      <c r="C41" s="966" t="s">
        <v>2918</v>
      </c>
      <c r="D41" s="980">
        <v>0.9902777777777777</v>
      </c>
    </row>
    <row r="42" spans="2:4" x14ac:dyDescent="0.2">
      <c r="C42" t="s">
        <v>2919</v>
      </c>
      <c r="D42" s="980">
        <v>0.9902777777777777</v>
      </c>
    </row>
    <row r="43" spans="2:4" x14ac:dyDescent="0.2">
      <c r="B43" t="s">
        <v>2920</v>
      </c>
    </row>
    <row r="44" spans="2:4" x14ac:dyDescent="0.2">
      <c r="B44" t="s">
        <v>2921</v>
      </c>
      <c r="C44" t="s">
        <v>125</v>
      </c>
    </row>
    <row r="45" spans="2:4" x14ac:dyDescent="0.2">
      <c r="B45" t="s">
        <v>2922</v>
      </c>
      <c r="C45" t="s">
        <v>125</v>
      </c>
    </row>
    <row r="46" spans="2:4" x14ac:dyDescent="0.2">
      <c r="B46" t="s">
        <v>2923</v>
      </c>
      <c r="C46" t="s">
        <v>125</v>
      </c>
    </row>
    <row r="47" spans="2:4" x14ac:dyDescent="0.2">
      <c r="B47" t="s">
        <v>2924</v>
      </c>
      <c r="C47" t="s">
        <v>125</v>
      </c>
    </row>
    <row r="48" spans="2:4" x14ac:dyDescent="0.2">
      <c r="B48" t="s">
        <v>2925</v>
      </c>
      <c r="C48" t="s">
        <v>125</v>
      </c>
    </row>
    <row r="49" spans="2:3" x14ac:dyDescent="0.2">
      <c r="B49" t="s">
        <v>2926</v>
      </c>
      <c r="C49" t="s">
        <v>125</v>
      </c>
    </row>
    <row r="50" spans="2:3" x14ac:dyDescent="0.2">
      <c r="B50" t="s">
        <v>2927</v>
      </c>
      <c r="C50" t="s">
        <v>125</v>
      </c>
    </row>
    <row r="51" spans="2:3" x14ac:dyDescent="0.2">
      <c r="B51" t="s">
        <v>2928</v>
      </c>
      <c r="C51" t="s">
        <v>125</v>
      </c>
    </row>
    <row r="52" spans="2:3" x14ac:dyDescent="0.2">
      <c r="B52" t="s">
        <v>2929</v>
      </c>
      <c r="C52" t="s">
        <v>125</v>
      </c>
    </row>
    <row r="53" spans="2:3" x14ac:dyDescent="0.2">
      <c r="B53" t="s">
        <v>2930</v>
      </c>
      <c r="C53" t="s">
        <v>125</v>
      </c>
    </row>
    <row r="54" spans="2:3" x14ac:dyDescent="0.2">
      <c r="B54" t="s">
        <v>2931</v>
      </c>
      <c r="C54" t="s">
        <v>125</v>
      </c>
    </row>
    <row r="55" spans="2:3" x14ac:dyDescent="0.2">
      <c r="B55" t="s">
        <v>2932</v>
      </c>
    </row>
    <row r="56" spans="2:3" x14ac:dyDescent="0.2">
      <c r="B56" t="s">
        <v>2933</v>
      </c>
      <c r="C56" t="s">
        <v>970</v>
      </c>
    </row>
    <row r="57" spans="2:3" x14ac:dyDescent="0.2">
      <c r="B57" t="s">
        <v>2934</v>
      </c>
    </row>
    <row r="58" spans="2:3" x14ac:dyDescent="0.2">
      <c r="B58" t="s">
        <v>2935</v>
      </c>
      <c r="C58" t="s">
        <v>1722</v>
      </c>
    </row>
    <row r="59" spans="2:3" x14ac:dyDescent="0.2">
      <c r="B59" t="s">
        <v>2936</v>
      </c>
    </row>
    <row r="60" spans="2:3" x14ac:dyDescent="0.2">
      <c r="B60" t="s">
        <v>2937</v>
      </c>
      <c r="C60" t="s">
        <v>1723</v>
      </c>
    </row>
    <row r="61" spans="2:3" x14ac:dyDescent="0.2">
      <c r="B61" t="s">
        <v>2938</v>
      </c>
    </row>
    <row r="62" spans="2:3" x14ac:dyDescent="0.2">
      <c r="B62" t="s">
        <v>2939</v>
      </c>
      <c r="C62" t="s">
        <v>2650</v>
      </c>
    </row>
    <row r="63" spans="2:3" x14ac:dyDescent="0.2">
      <c r="B63" t="s">
        <v>2940</v>
      </c>
    </row>
    <row r="64" spans="2:3" x14ac:dyDescent="0.2">
      <c r="B64" t="s">
        <v>2941</v>
      </c>
    </row>
    <row r="65" spans="2:3" x14ac:dyDescent="0.2">
      <c r="B65" t="s">
        <v>2942</v>
      </c>
    </row>
    <row r="66" spans="2:3" x14ac:dyDescent="0.2">
      <c r="B66" t="s">
        <v>2943</v>
      </c>
    </row>
    <row r="67" spans="2:3" x14ac:dyDescent="0.2">
      <c r="B67" t="s">
        <v>2944</v>
      </c>
    </row>
    <row r="68" spans="2:3" x14ac:dyDescent="0.2">
      <c r="B68" t="s">
        <v>2945</v>
      </c>
      <c r="C68" t="s">
        <v>1724</v>
      </c>
    </row>
    <row r="69" spans="2:3" x14ac:dyDescent="0.2">
      <c r="B69" t="s">
        <v>2946</v>
      </c>
      <c r="C69" t="s">
        <v>1725</v>
      </c>
    </row>
    <row r="70" spans="2:3" x14ac:dyDescent="0.2">
      <c r="B70" t="s">
        <v>2947</v>
      </c>
      <c r="C70" t="s">
        <v>1726</v>
      </c>
    </row>
    <row r="71" spans="2:3" x14ac:dyDescent="0.2">
      <c r="B71" t="s">
        <v>2948</v>
      </c>
      <c r="C71" t="s">
        <v>1719</v>
      </c>
    </row>
    <row r="72" spans="2:3" x14ac:dyDescent="0.2">
      <c r="B72" t="s">
        <v>2949</v>
      </c>
      <c r="C72" t="s">
        <v>1726</v>
      </c>
    </row>
    <row r="73" spans="2:3" x14ac:dyDescent="0.2">
      <c r="B73" t="s">
        <v>2950</v>
      </c>
      <c r="C73" t="s">
        <v>1719</v>
      </c>
    </row>
    <row r="74" spans="2:3" x14ac:dyDescent="0.2">
      <c r="B74" t="s">
        <v>2951</v>
      </c>
      <c r="C74" t="s">
        <v>2654</v>
      </c>
    </row>
    <row r="75" spans="2:3" x14ac:dyDescent="0.2">
      <c r="B75" t="s">
        <v>2952</v>
      </c>
      <c r="C75" t="s">
        <v>1181</v>
      </c>
    </row>
    <row r="76" spans="2:3" x14ac:dyDescent="0.2">
      <c r="B76" t="s">
        <v>2953</v>
      </c>
    </row>
    <row r="77" spans="2:3" x14ac:dyDescent="0.2">
      <c r="B77" t="s">
        <v>2954</v>
      </c>
    </row>
    <row r="78" spans="2:3" x14ac:dyDescent="0.2">
      <c r="B78" t="s">
        <v>2955</v>
      </c>
    </row>
    <row r="79" spans="2:3" x14ac:dyDescent="0.2">
      <c r="B79" t="s">
        <v>2956</v>
      </c>
    </row>
    <row r="80" spans="2:3" x14ac:dyDescent="0.2">
      <c r="B80" t="s">
        <v>2957</v>
      </c>
      <c r="C80">
        <v>80</v>
      </c>
    </row>
    <row r="81" spans="2:3" x14ac:dyDescent="0.2">
      <c r="B81" t="s">
        <v>2958</v>
      </c>
      <c r="C81" t="s">
        <v>1728</v>
      </c>
    </row>
    <row r="82" spans="2:3" x14ac:dyDescent="0.2">
      <c r="B82" t="s">
        <v>2959</v>
      </c>
      <c r="C82">
        <v>-99</v>
      </c>
    </row>
    <row r="83" spans="2:3" x14ac:dyDescent="0.2">
      <c r="B83" t="s">
        <v>2960</v>
      </c>
      <c r="C83">
        <v>-99</v>
      </c>
    </row>
    <row r="84" spans="2:3" x14ac:dyDescent="0.2">
      <c r="B84" t="s">
        <v>2961</v>
      </c>
      <c r="C84">
        <v>-99</v>
      </c>
    </row>
    <row r="85" spans="2:3" x14ac:dyDescent="0.2">
      <c r="B85" t="s">
        <v>2962</v>
      </c>
      <c r="C85">
        <v>-99</v>
      </c>
    </row>
    <row r="86" spans="2:3" x14ac:dyDescent="0.2">
      <c r="B86" t="s">
        <v>2963</v>
      </c>
      <c r="C86">
        <v>0</v>
      </c>
    </row>
    <row r="87" spans="2:3" x14ac:dyDescent="0.2">
      <c r="B87" t="s">
        <v>2964</v>
      </c>
      <c r="C87">
        <v>0</v>
      </c>
    </row>
    <row r="88" spans="2:3" x14ac:dyDescent="0.2">
      <c r="B88" t="s">
        <v>2965</v>
      </c>
    </row>
    <row r="89" spans="2:3" x14ac:dyDescent="0.2">
      <c r="B89" t="s">
        <v>2966</v>
      </c>
      <c r="C89" t="s">
        <v>1516</v>
      </c>
    </row>
    <row r="90" spans="2:3" x14ac:dyDescent="0.2">
      <c r="B90" t="s">
        <v>2967</v>
      </c>
    </row>
    <row r="91" spans="2:3" x14ac:dyDescent="0.2">
      <c r="B91" t="s">
        <v>2968</v>
      </c>
    </row>
    <row r="92" spans="2:3" x14ac:dyDescent="0.2">
      <c r="B92" t="s">
        <v>2969</v>
      </c>
      <c r="C92">
        <v>81</v>
      </c>
    </row>
    <row r="93" spans="2:3" x14ac:dyDescent="0.2">
      <c r="B93" t="s">
        <v>2970</v>
      </c>
      <c r="C93" t="s">
        <v>1730</v>
      </c>
    </row>
    <row r="94" spans="2:3" x14ac:dyDescent="0.2">
      <c r="B94" t="s">
        <v>2971</v>
      </c>
      <c r="C94">
        <v>-99</v>
      </c>
    </row>
    <row r="95" spans="2:3" x14ac:dyDescent="0.2">
      <c r="B95" t="s">
        <v>2972</v>
      </c>
      <c r="C95">
        <v>-99</v>
      </c>
    </row>
    <row r="96" spans="2:3" x14ac:dyDescent="0.2">
      <c r="B96" t="s">
        <v>2973</v>
      </c>
      <c r="C96">
        <v>-99</v>
      </c>
    </row>
    <row r="97" spans="2:4" x14ac:dyDescent="0.2">
      <c r="B97" t="s">
        <v>2974</v>
      </c>
      <c r="C97">
        <v>-99</v>
      </c>
    </row>
    <row r="98" spans="2:4" x14ac:dyDescent="0.2">
      <c r="B98" t="s">
        <v>2975</v>
      </c>
      <c r="C98">
        <v>0</v>
      </c>
    </row>
    <row r="99" spans="2:4" x14ac:dyDescent="0.2">
      <c r="B99" t="s">
        <v>2976</v>
      </c>
      <c r="C99">
        <v>0</v>
      </c>
    </row>
    <row r="100" spans="2:4" x14ac:dyDescent="0.2">
      <c r="B100" t="s">
        <v>2977</v>
      </c>
    </row>
    <row r="101" spans="2:4" x14ac:dyDescent="0.2">
      <c r="B101" t="s">
        <v>2978</v>
      </c>
      <c r="C101" t="s">
        <v>2655</v>
      </c>
    </row>
    <row r="102" spans="2:4" x14ac:dyDescent="0.2">
      <c r="B102" t="s">
        <v>2979</v>
      </c>
    </row>
    <row r="103" spans="2:4" x14ac:dyDescent="0.2">
      <c r="B103" t="s">
        <v>2980</v>
      </c>
    </row>
    <row r="104" spans="2:4" x14ac:dyDescent="0.2">
      <c r="B104" t="s">
        <v>2981</v>
      </c>
      <c r="C104">
        <v>82</v>
      </c>
    </row>
    <row r="105" spans="2:4" x14ac:dyDescent="0.2">
      <c r="B105" t="s">
        <v>2982</v>
      </c>
      <c r="C105" t="s">
        <v>1733</v>
      </c>
    </row>
    <row r="106" spans="2:4" x14ac:dyDescent="0.2">
      <c r="B106" t="s">
        <v>2983</v>
      </c>
      <c r="C106" t="s">
        <v>2657</v>
      </c>
      <c r="D106">
        <v>6.7900000000000002E-2</v>
      </c>
    </row>
    <row r="107" spans="2:4" x14ac:dyDescent="0.2">
      <c r="C107" t="s">
        <v>2657</v>
      </c>
      <c r="D107">
        <v>6.7900000000000002E-2</v>
      </c>
    </row>
    <row r="108" spans="2:4" x14ac:dyDescent="0.2">
      <c r="B108" t="s">
        <v>2984</v>
      </c>
      <c r="C108" t="s">
        <v>2658</v>
      </c>
      <c r="D108">
        <v>3</v>
      </c>
    </row>
    <row r="109" spans="2:4" x14ac:dyDescent="0.2">
      <c r="C109" t="s">
        <v>2658</v>
      </c>
      <c r="D109">
        <v>3</v>
      </c>
    </row>
    <row r="110" spans="2:4" x14ac:dyDescent="0.2">
      <c r="B110" t="s">
        <v>2985</v>
      </c>
      <c r="C110" t="s">
        <v>2659</v>
      </c>
      <c r="D110">
        <v>0.20230000000000001</v>
      </c>
    </row>
    <row r="111" spans="2:4" x14ac:dyDescent="0.2">
      <c r="C111" t="s">
        <v>2659</v>
      </c>
      <c r="D111">
        <v>0.20230000000000001</v>
      </c>
    </row>
    <row r="112" spans="2:4" x14ac:dyDescent="0.2">
      <c r="B112" t="s">
        <v>2986</v>
      </c>
      <c r="C112" t="s">
        <v>2660</v>
      </c>
      <c r="D112">
        <v>3</v>
      </c>
    </row>
    <row r="113" spans="2:5" x14ac:dyDescent="0.2">
      <c r="C113" t="s">
        <v>2660</v>
      </c>
      <c r="D113">
        <v>3</v>
      </c>
    </row>
    <row r="114" spans="2:5" x14ac:dyDescent="0.2">
      <c r="B114" t="s">
        <v>2987</v>
      </c>
      <c r="C114">
        <v>20</v>
      </c>
    </row>
    <row r="115" spans="2:5" x14ac:dyDescent="0.2">
      <c r="B115" t="s">
        <v>2988</v>
      </c>
      <c r="C115">
        <v>0</v>
      </c>
    </row>
    <row r="116" spans="2:5" x14ac:dyDescent="0.2">
      <c r="B116" t="s">
        <v>2989</v>
      </c>
    </row>
    <row r="117" spans="2:5" x14ac:dyDescent="0.2">
      <c r="B117" t="s">
        <v>2990</v>
      </c>
      <c r="C117" t="s">
        <v>2656</v>
      </c>
    </row>
    <row r="118" spans="2:5" x14ac:dyDescent="0.2">
      <c r="B118" t="s">
        <v>2991</v>
      </c>
    </row>
    <row r="119" spans="2:5" x14ac:dyDescent="0.2">
      <c r="B119" t="s">
        <v>2992</v>
      </c>
    </row>
    <row r="120" spans="2:5" x14ac:dyDescent="0.2">
      <c r="B120" t="s">
        <v>2993</v>
      </c>
      <c r="C120">
        <v>83</v>
      </c>
    </row>
    <row r="121" spans="2:5" x14ac:dyDescent="0.2">
      <c r="B121" t="s">
        <v>2994</v>
      </c>
      <c r="C121" t="s">
        <v>1738</v>
      </c>
    </row>
    <row r="122" spans="2:5" x14ac:dyDescent="0.2">
      <c r="B122" t="s">
        <v>2995</v>
      </c>
      <c r="C122" t="s">
        <v>2662</v>
      </c>
      <c r="D122">
        <v>5.2999999999999999E-2</v>
      </c>
    </row>
    <row r="123" spans="2:5" x14ac:dyDescent="0.2">
      <c r="C123" t="s">
        <v>2662</v>
      </c>
      <c r="D123">
        <v>5.2999999999999999E-2</v>
      </c>
    </row>
    <row r="124" spans="2:5" x14ac:dyDescent="0.2">
      <c r="B124" t="s">
        <v>2996</v>
      </c>
      <c r="C124" t="s">
        <v>2663</v>
      </c>
      <c r="D124">
        <v>3</v>
      </c>
    </row>
    <row r="125" spans="2:5" x14ac:dyDescent="0.2">
      <c r="C125" t="s">
        <v>2663</v>
      </c>
      <c r="D125" t="s">
        <v>2997</v>
      </c>
      <c r="E125">
        <v>3</v>
      </c>
    </row>
    <row r="126" spans="2:5" x14ac:dyDescent="0.2">
      <c r="D126" t="s">
        <v>2665</v>
      </c>
      <c r="E126">
        <v>3</v>
      </c>
    </row>
    <row r="127" spans="2:5" x14ac:dyDescent="0.2">
      <c r="B127" t="s">
        <v>2998</v>
      </c>
      <c r="C127" t="s">
        <v>2664</v>
      </c>
      <c r="D127">
        <v>0.10199999999999999</v>
      </c>
    </row>
    <row r="128" spans="2:5" x14ac:dyDescent="0.2">
      <c r="C128" t="s">
        <v>2664</v>
      </c>
      <c r="D128">
        <v>0.10199999999999999</v>
      </c>
    </row>
    <row r="129" spans="2:4" x14ac:dyDescent="0.2">
      <c r="B129" t="s">
        <v>2999</v>
      </c>
      <c r="C129" t="s">
        <v>2665</v>
      </c>
      <c r="D129">
        <v>3</v>
      </c>
    </row>
    <row r="130" spans="2:4" x14ac:dyDescent="0.2">
      <c r="C130" t="s">
        <v>2665</v>
      </c>
      <c r="D130">
        <v>3</v>
      </c>
    </row>
    <row r="131" spans="2:4" x14ac:dyDescent="0.2">
      <c r="B131" t="s">
        <v>3000</v>
      </c>
      <c r="C131">
        <v>20</v>
      </c>
    </row>
    <row r="132" spans="2:4" x14ac:dyDescent="0.2">
      <c r="B132" t="s">
        <v>3001</v>
      </c>
      <c r="C132">
        <v>0</v>
      </c>
    </row>
    <row r="133" spans="2:4" x14ac:dyDescent="0.2">
      <c r="B133" t="s">
        <v>3002</v>
      </c>
    </row>
    <row r="134" spans="2:4" x14ac:dyDescent="0.2">
      <c r="B134" t="s">
        <v>3003</v>
      </c>
      <c r="C134" t="s">
        <v>2661</v>
      </c>
    </row>
    <row r="135" spans="2:4" x14ac:dyDescent="0.2">
      <c r="B135" t="s">
        <v>3004</v>
      </c>
    </row>
    <row r="136" spans="2:4" x14ac:dyDescent="0.2">
      <c r="B136" t="s">
        <v>3005</v>
      </c>
    </row>
    <row r="137" spans="2:4" x14ac:dyDescent="0.2">
      <c r="B137" t="s">
        <v>3006</v>
      </c>
      <c r="C137">
        <v>84</v>
      </c>
    </row>
    <row r="138" spans="2:4" x14ac:dyDescent="0.2">
      <c r="B138" t="s">
        <v>3007</v>
      </c>
      <c r="C138" t="s">
        <v>1744</v>
      </c>
    </row>
    <row r="139" spans="2:4" x14ac:dyDescent="0.2">
      <c r="B139" t="s">
        <v>3008</v>
      </c>
    </row>
    <row r="140" spans="2:4" x14ac:dyDescent="0.2">
      <c r="B140" t="s">
        <v>3009</v>
      </c>
    </row>
    <row r="141" spans="2:4" x14ac:dyDescent="0.2">
      <c r="B141" t="s">
        <v>3010</v>
      </c>
      <c r="C141" t="s">
        <v>2667</v>
      </c>
      <c r="D141">
        <v>0</v>
      </c>
    </row>
    <row r="142" spans="2:4" x14ac:dyDescent="0.2">
      <c r="C142" t="s">
        <v>2667</v>
      </c>
      <c r="D142">
        <v>0</v>
      </c>
    </row>
    <row r="143" spans="2:4" x14ac:dyDescent="0.2">
      <c r="B143" t="s">
        <v>3011</v>
      </c>
      <c r="C143" t="s">
        <v>2668</v>
      </c>
      <c r="D143">
        <v>3</v>
      </c>
    </row>
    <row r="144" spans="2:4" x14ac:dyDescent="0.2">
      <c r="C144" t="s">
        <v>2668</v>
      </c>
      <c r="D144">
        <v>3</v>
      </c>
    </row>
    <row r="145" spans="2:4" x14ac:dyDescent="0.2">
      <c r="B145" t="s">
        <v>3012</v>
      </c>
      <c r="C145">
        <v>21</v>
      </c>
    </row>
    <row r="146" spans="2:4" x14ac:dyDescent="0.2">
      <c r="B146" t="s">
        <v>3013</v>
      </c>
      <c r="C146">
        <v>0</v>
      </c>
    </row>
    <row r="147" spans="2:4" x14ac:dyDescent="0.2">
      <c r="B147" t="s">
        <v>3014</v>
      </c>
    </row>
    <row r="148" spans="2:4" x14ac:dyDescent="0.2">
      <c r="B148" t="s">
        <v>3015</v>
      </c>
      <c r="C148" t="s">
        <v>2666</v>
      </c>
    </row>
    <row r="149" spans="2:4" x14ac:dyDescent="0.2">
      <c r="B149" t="s">
        <v>3016</v>
      </c>
    </row>
    <row r="150" spans="2:4" x14ac:dyDescent="0.2">
      <c r="B150" t="s">
        <v>3017</v>
      </c>
    </row>
    <row r="151" spans="2:4" x14ac:dyDescent="0.2">
      <c r="B151" t="s">
        <v>3018</v>
      </c>
      <c r="C151">
        <v>85</v>
      </c>
    </row>
    <row r="152" spans="2:4" x14ac:dyDescent="0.2">
      <c r="B152" t="s">
        <v>3019</v>
      </c>
      <c r="C152" t="s">
        <v>1747</v>
      </c>
    </row>
    <row r="153" spans="2:4" x14ac:dyDescent="0.2">
      <c r="B153" t="s">
        <v>3020</v>
      </c>
    </row>
    <row r="154" spans="2:4" x14ac:dyDescent="0.2">
      <c r="B154" t="s">
        <v>3021</v>
      </c>
    </row>
    <row r="155" spans="2:4" x14ac:dyDescent="0.2">
      <c r="B155" t="s">
        <v>3022</v>
      </c>
      <c r="C155" t="s">
        <v>2670</v>
      </c>
      <c r="D155">
        <v>0</v>
      </c>
    </row>
    <row r="156" spans="2:4" x14ac:dyDescent="0.2">
      <c r="C156" t="s">
        <v>2670</v>
      </c>
      <c r="D156">
        <v>0</v>
      </c>
    </row>
    <row r="157" spans="2:4" x14ac:dyDescent="0.2">
      <c r="B157" t="s">
        <v>3023</v>
      </c>
      <c r="C157" t="s">
        <v>2671</v>
      </c>
      <c r="D157">
        <v>3</v>
      </c>
    </row>
    <row r="158" spans="2:4" x14ac:dyDescent="0.2">
      <c r="C158" t="s">
        <v>2671</v>
      </c>
      <c r="D158">
        <v>3</v>
      </c>
    </row>
    <row r="159" spans="2:4" x14ac:dyDescent="0.2">
      <c r="B159" t="s">
        <v>3024</v>
      </c>
      <c r="C159">
        <v>22</v>
      </c>
    </row>
    <row r="160" spans="2:4" x14ac:dyDescent="0.2">
      <c r="B160" t="s">
        <v>3025</v>
      </c>
      <c r="C160">
        <v>0</v>
      </c>
    </row>
    <row r="161" spans="2:3" x14ac:dyDescent="0.2">
      <c r="B161" t="s">
        <v>3026</v>
      </c>
    </row>
    <row r="162" spans="2:3" x14ac:dyDescent="0.2">
      <c r="B162" t="s">
        <v>3027</v>
      </c>
      <c r="C162" t="s">
        <v>2669</v>
      </c>
    </row>
    <row r="163" spans="2:3" x14ac:dyDescent="0.2">
      <c r="B163" t="s">
        <v>3028</v>
      </c>
    </row>
    <row r="164" spans="2:3" x14ac:dyDescent="0.2">
      <c r="B164" t="s">
        <v>3029</v>
      </c>
    </row>
    <row r="165" spans="2:3" x14ac:dyDescent="0.2">
      <c r="B165" t="s">
        <v>3030</v>
      </c>
      <c r="C165">
        <v>86</v>
      </c>
    </row>
    <row r="166" spans="2:3" x14ac:dyDescent="0.2">
      <c r="B166" t="s">
        <v>3031</v>
      </c>
      <c r="C166" t="s">
        <v>1751</v>
      </c>
    </row>
    <row r="167" spans="2:3" x14ac:dyDescent="0.2">
      <c r="B167" t="s">
        <v>3032</v>
      </c>
    </row>
    <row r="168" spans="2:3" x14ac:dyDescent="0.2">
      <c r="B168" t="s">
        <v>3033</v>
      </c>
    </row>
    <row r="169" spans="2:3" x14ac:dyDescent="0.2">
      <c r="B169" t="s">
        <v>3034</v>
      </c>
    </row>
    <row r="170" spans="2:3" x14ac:dyDescent="0.2">
      <c r="B170" t="s">
        <v>3035</v>
      </c>
    </row>
    <row r="171" spans="2:3" x14ac:dyDescent="0.2">
      <c r="B171" t="s">
        <v>3036</v>
      </c>
    </row>
    <row r="172" spans="2:3" x14ac:dyDescent="0.2">
      <c r="B172" t="s">
        <v>3037</v>
      </c>
    </row>
    <row r="173" spans="2:3" x14ac:dyDescent="0.2">
      <c r="B173" t="s">
        <v>3038</v>
      </c>
    </row>
    <row r="174" spans="2:3" x14ac:dyDescent="0.2">
      <c r="B174" t="s">
        <v>3039</v>
      </c>
      <c r="C174" t="s">
        <v>2672</v>
      </c>
    </row>
    <row r="175" spans="2:3" x14ac:dyDescent="0.2">
      <c r="B175" t="s">
        <v>3040</v>
      </c>
    </row>
    <row r="176" spans="2:3" x14ac:dyDescent="0.2">
      <c r="B176" t="s">
        <v>3041</v>
      </c>
    </row>
    <row r="177" spans="2:3" x14ac:dyDescent="0.2">
      <c r="B177" t="s">
        <v>3042</v>
      </c>
      <c r="C177">
        <v>87</v>
      </c>
    </row>
    <row r="178" spans="2:3" x14ac:dyDescent="0.2">
      <c r="B178" t="s">
        <v>3043</v>
      </c>
      <c r="C178" t="s">
        <v>1755</v>
      </c>
    </row>
    <row r="179" spans="2:3" x14ac:dyDescent="0.2">
      <c r="B179" t="s">
        <v>3044</v>
      </c>
      <c r="C179">
        <v>-99</v>
      </c>
    </row>
    <row r="180" spans="2:3" x14ac:dyDescent="0.2">
      <c r="B180" t="s">
        <v>3045</v>
      </c>
      <c r="C180">
        <v>-99</v>
      </c>
    </row>
    <row r="181" spans="2:3" x14ac:dyDescent="0.2">
      <c r="B181" t="s">
        <v>3046</v>
      </c>
      <c r="C181">
        <v>-99</v>
      </c>
    </row>
    <row r="182" spans="2:3" x14ac:dyDescent="0.2">
      <c r="B182" t="s">
        <v>3047</v>
      </c>
      <c r="C182">
        <v>-99</v>
      </c>
    </row>
    <row r="183" spans="2:3" x14ac:dyDescent="0.2">
      <c r="B183" t="s">
        <v>3048</v>
      </c>
      <c r="C183">
        <v>0</v>
      </c>
    </row>
    <row r="184" spans="2:3" x14ac:dyDescent="0.2">
      <c r="B184" t="s">
        <v>3049</v>
      </c>
      <c r="C184">
        <v>0</v>
      </c>
    </row>
    <row r="185" spans="2:3" x14ac:dyDescent="0.2">
      <c r="B185" t="s">
        <v>3050</v>
      </c>
    </row>
    <row r="186" spans="2:3" x14ac:dyDescent="0.2">
      <c r="B186" t="s">
        <v>3051</v>
      </c>
    </row>
    <row r="187" spans="2:3" x14ac:dyDescent="0.2">
      <c r="B187" t="s">
        <v>3052</v>
      </c>
    </row>
    <row r="188" spans="2:3" x14ac:dyDescent="0.2">
      <c r="B188" t="s">
        <v>3053</v>
      </c>
    </row>
    <row r="189" spans="2:3" x14ac:dyDescent="0.2">
      <c r="B189" t="s">
        <v>3054</v>
      </c>
      <c r="C189">
        <v>88</v>
      </c>
    </row>
    <row r="190" spans="2:3" x14ac:dyDescent="0.2">
      <c r="B190" t="s">
        <v>3055</v>
      </c>
      <c r="C190" t="s">
        <v>1757</v>
      </c>
    </row>
    <row r="191" spans="2:3" x14ac:dyDescent="0.2">
      <c r="B191" t="s">
        <v>3056</v>
      </c>
      <c r="C191">
        <v>-99</v>
      </c>
    </row>
    <row r="192" spans="2:3" x14ac:dyDescent="0.2">
      <c r="B192" t="s">
        <v>3057</v>
      </c>
      <c r="C192">
        <v>-99</v>
      </c>
    </row>
    <row r="193" spans="2:3" x14ac:dyDescent="0.2">
      <c r="B193" t="s">
        <v>3058</v>
      </c>
      <c r="C193">
        <v>-99</v>
      </c>
    </row>
    <row r="194" spans="2:3" x14ac:dyDescent="0.2">
      <c r="B194" t="s">
        <v>3059</v>
      </c>
      <c r="C194">
        <v>-99</v>
      </c>
    </row>
    <row r="195" spans="2:3" x14ac:dyDescent="0.2">
      <c r="B195" t="s">
        <v>3060</v>
      </c>
      <c r="C195">
        <v>0</v>
      </c>
    </row>
    <row r="196" spans="2:3" x14ac:dyDescent="0.2">
      <c r="B196" t="s">
        <v>3061</v>
      </c>
      <c r="C196">
        <v>0</v>
      </c>
    </row>
    <row r="197" spans="2:3" x14ac:dyDescent="0.2">
      <c r="B197" t="s">
        <v>3062</v>
      </c>
    </row>
    <row r="198" spans="2:3" x14ac:dyDescent="0.2">
      <c r="B198" t="s">
        <v>3063</v>
      </c>
    </row>
    <row r="199" spans="2:3" x14ac:dyDescent="0.2">
      <c r="B199" t="s">
        <v>3064</v>
      </c>
    </row>
    <row r="200" spans="2:3" x14ac:dyDescent="0.2">
      <c r="B200" t="s">
        <v>3065</v>
      </c>
    </row>
    <row r="201" spans="2:3" x14ac:dyDescent="0.2">
      <c r="B201" t="s">
        <v>3066</v>
      </c>
      <c r="C201">
        <v>89</v>
      </c>
    </row>
    <row r="202" spans="2:3" x14ac:dyDescent="0.2">
      <c r="B202" t="s">
        <v>3067</v>
      </c>
      <c r="C202" t="s">
        <v>1761</v>
      </c>
    </row>
    <row r="203" spans="2:3" x14ac:dyDescent="0.2">
      <c r="B203" t="s">
        <v>3068</v>
      </c>
    </row>
    <row r="204" spans="2:3" x14ac:dyDescent="0.2">
      <c r="B204" t="s">
        <v>3069</v>
      </c>
    </row>
    <row r="205" spans="2:3" x14ac:dyDescent="0.2">
      <c r="B205" t="s">
        <v>3070</v>
      </c>
    </row>
    <row r="206" spans="2:3" x14ac:dyDescent="0.2">
      <c r="B206" t="s">
        <v>3071</v>
      </c>
    </row>
    <row r="207" spans="2:3" x14ac:dyDescent="0.2">
      <c r="B207" t="s">
        <v>3072</v>
      </c>
    </row>
    <row r="208" spans="2:3" x14ac:dyDescent="0.2">
      <c r="B208" t="s">
        <v>3073</v>
      </c>
    </row>
    <row r="209" spans="2:4" x14ac:dyDescent="0.2">
      <c r="B209" t="s">
        <v>3074</v>
      </c>
    </row>
    <row r="210" spans="2:4" x14ac:dyDescent="0.2">
      <c r="B210" t="s">
        <v>3075</v>
      </c>
      <c r="C210" t="s">
        <v>2673</v>
      </c>
    </row>
    <row r="211" spans="2:4" x14ac:dyDescent="0.2">
      <c r="B211" t="s">
        <v>3076</v>
      </c>
    </row>
    <row r="212" spans="2:4" x14ac:dyDescent="0.2">
      <c r="B212" t="s">
        <v>3077</v>
      </c>
    </row>
    <row r="213" spans="2:4" x14ac:dyDescent="0.2">
      <c r="B213" t="s">
        <v>3078</v>
      </c>
      <c r="C213">
        <v>90</v>
      </c>
    </row>
    <row r="214" spans="2:4" x14ac:dyDescent="0.2">
      <c r="B214" t="s">
        <v>3079</v>
      </c>
      <c r="C214" t="s">
        <v>1764</v>
      </c>
    </row>
    <row r="215" spans="2:4" x14ac:dyDescent="0.2">
      <c r="B215" t="s">
        <v>3080</v>
      </c>
    </row>
    <row r="216" spans="2:4" x14ac:dyDescent="0.2">
      <c r="B216" t="s">
        <v>3081</v>
      </c>
    </row>
    <row r="217" spans="2:4" x14ac:dyDescent="0.2">
      <c r="B217" t="s">
        <v>3082</v>
      </c>
      <c r="C217" t="s">
        <v>2674</v>
      </c>
      <c r="D217">
        <v>0</v>
      </c>
    </row>
    <row r="218" spans="2:4" x14ac:dyDescent="0.2">
      <c r="C218" t="s">
        <v>2674</v>
      </c>
      <c r="D218">
        <v>0</v>
      </c>
    </row>
    <row r="219" spans="2:4" x14ac:dyDescent="0.2">
      <c r="B219" t="s">
        <v>3083</v>
      </c>
      <c r="C219" t="s">
        <v>2675</v>
      </c>
      <c r="D219">
        <v>1</v>
      </c>
    </row>
    <row r="220" spans="2:4" x14ac:dyDescent="0.2">
      <c r="C220" t="s">
        <v>2675</v>
      </c>
      <c r="D220">
        <v>1</v>
      </c>
    </row>
    <row r="221" spans="2:4" x14ac:dyDescent="0.2">
      <c r="B221" t="s">
        <v>3084</v>
      </c>
      <c r="C221">
        <v>9</v>
      </c>
    </row>
    <row r="222" spans="2:4" x14ac:dyDescent="0.2">
      <c r="B222" t="s">
        <v>3085</v>
      </c>
      <c r="C222">
        <v>0</v>
      </c>
    </row>
    <row r="223" spans="2:4" x14ac:dyDescent="0.2">
      <c r="B223" t="s">
        <v>3086</v>
      </c>
    </row>
    <row r="224" spans="2:4" x14ac:dyDescent="0.2">
      <c r="B224" t="s">
        <v>3087</v>
      </c>
    </row>
    <row r="225" spans="2:3" x14ac:dyDescent="0.2">
      <c r="B225" t="s">
        <v>3088</v>
      </c>
    </row>
    <row r="226" spans="2:3" x14ac:dyDescent="0.2">
      <c r="B226" t="s">
        <v>3089</v>
      </c>
    </row>
    <row r="227" spans="2:3" x14ac:dyDescent="0.2">
      <c r="B227" t="s">
        <v>3090</v>
      </c>
      <c r="C227">
        <v>91</v>
      </c>
    </row>
    <row r="228" spans="2:3" x14ac:dyDescent="0.2">
      <c r="B228" t="s">
        <v>3091</v>
      </c>
      <c r="C228" t="s">
        <v>1770</v>
      </c>
    </row>
    <row r="229" spans="2:3" x14ac:dyDescent="0.2">
      <c r="B229" t="s">
        <v>3092</v>
      </c>
      <c r="C229">
        <v>-99</v>
      </c>
    </row>
    <row r="230" spans="2:3" x14ac:dyDescent="0.2">
      <c r="B230" t="s">
        <v>3093</v>
      </c>
      <c r="C230">
        <v>-99</v>
      </c>
    </row>
    <row r="231" spans="2:3" x14ac:dyDescent="0.2">
      <c r="B231" t="s">
        <v>3094</v>
      </c>
      <c r="C231">
        <v>-99</v>
      </c>
    </row>
    <row r="232" spans="2:3" x14ac:dyDescent="0.2">
      <c r="B232" t="s">
        <v>3095</v>
      </c>
      <c r="C232">
        <v>-99</v>
      </c>
    </row>
    <row r="233" spans="2:3" x14ac:dyDescent="0.2">
      <c r="B233" t="s">
        <v>3096</v>
      </c>
      <c r="C233">
        <v>0</v>
      </c>
    </row>
    <row r="234" spans="2:3" x14ac:dyDescent="0.2">
      <c r="B234" t="s">
        <v>3097</v>
      </c>
      <c r="C234">
        <v>0</v>
      </c>
    </row>
    <row r="235" spans="2:3" x14ac:dyDescent="0.2">
      <c r="B235" t="s">
        <v>3098</v>
      </c>
    </row>
    <row r="236" spans="2:3" x14ac:dyDescent="0.2">
      <c r="B236" t="s">
        <v>3099</v>
      </c>
    </row>
    <row r="237" spans="2:3" x14ac:dyDescent="0.2">
      <c r="B237" t="s">
        <v>3100</v>
      </c>
    </row>
    <row r="238" spans="2:3" x14ac:dyDescent="0.2">
      <c r="B238" t="s">
        <v>3101</v>
      </c>
    </row>
    <row r="239" spans="2:3" x14ac:dyDescent="0.2">
      <c r="B239" t="s">
        <v>3102</v>
      </c>
      <c r="C239">
        <v>92</v>
      </c>
    </row>
    <row r="240" spans="2:3" x14ac:dyDescent="0.2">
      <c r="B240" t="s">
        <v>3103</v>
      </c>
      <c r="C240" t="s">
        <v>1772</v>
      </c>
    </row>
    <row r="241" spans="2:3" x14ac:dyDescent="0.2">
      <c r="B241" t="s">
        <v>3104</v>
      </c>
      <c r="C241">
        <v>-99</v>
      </c>
    </row>
    <row r="242" spans="2:3" x14ac:dyDescent="0.2">
      <c r="B242" t="s">
        <v>3105</v>
      </c>
      <c r="C242">
        <v>-99</v>
      </c>
    </row>
    <row r="243" spans="2:3" x14ac:dyDescent="0.2">
      <c r="B243" t="s">
        <v>3106</v>
      </c>
      <c r="C243">
        <v>-99</v>
      </c>
    </row>
    <row r="244" spans="2:3" x14ac:dyDescent="0.2">
      <c r="B244" t="s">
        <v>3107</v>
      </c>
      <c r="C244">
        <v>-99</v>
      </c>
    </row>
    <row r="245" spans="2:3" x14ac:dyDescent="0.2">
      <c r="B245" t="s">
        <v>3108</v>
      </c>
      <c r="C245">
        <v>0</v>
      </c>
    </row>
    <row r="246" spans="2:3" x14ac:dyDescent="0.2">
      <c r="B246" t="s">
        <v>3109</v>
      </c>
      <c r="C246">
        <v>0</v>
      </c>
    </row>
    <row r="247" spans="2:3" x14ac:dyDescent="0.2">
      <c r="B247" t="s">
        <v>3110</v>
      </c>
    </row>
    <row r="248" spans="2:3" x14ac:dyDescent="0.2">
      <c r="B248" t="s">
        <v>3111</v>
      </c>
    </row>
    <row r="249" spans="2:3" x14ac:dyDescent="0.2">
      <c r="B249" t="s">
        <v>3112</v>
      </c>
    </row>
    <row r="250" spans="2:3" x14ac:dyDescent="0.2">
      <c r="B250" t="s">
        <v>3113</v>
      </c>
    </row>
    <row r="251" spans="2:3" x14ac:dyDescent="0.2">
      <c r="B251" t="s">
        <v>3114</v>
      </c>
      <c r="C251">
        <v>93</v>
      </c>
    </row>
    <row r="252" spans="2:3" x14ac:dyDescent="0.2">
      <c r="B252" t="s">
        <v>3115</v>
      </c>
      <c r="C252" t="s">
        <v>1774</v>
      </c>
    </row>
    <row r="253" spans="2:3" x14ac:dyDescent="0.2">
      <c r="B253" t="s">
        <v>3116</v>
      </c>
      <c r="C253">
        <v>-99</v>
      </c>
    </row>
    <row r="254" spans="2:3" x14ac:dyDescent="0.2">
      <c r="B254" t="s">
        <v>3117</v>
      </c>
      <c r="C254">
        <v>-99</v>
      </c>
    </row>
    <row r="255" spans="2:3" x14ac:dyDescent="0.2">
      <c r="B255" t="s">
        <v>3118</v>
      </c>
      <c r="C255">
        <v>-99</v>
      </c>
    </row>
    <row r="256" spans="2:3" x14ac:dyDescent="0.2">
      <c r="B256" t="s">
        <v>3119</v>
      </c>
      <c r="C256">
        <v>-99</v>
      </c>
    </row>
    <row r="257" spans="2:3" x14ac:dyDescent="0.2">
      <c r="B257" t="s">
        <v>3120</v>
      </c>
      <c r="C257">
        <v>0</v>
      </c>
    </row>
    <row r="258" spans="2:3" x14ac:dyDescent="0.2">
      <c r="B258" t="s">
        <v>3121</v>
      </c>
      <c r="C258">
        <v>0</v>
      </c>
    </row>
    <row r="259" spans="2:3" x14ac:dyDescent="0.2">
      <c r="B259" t="s">
        <v>3122</v>
      </c>
    </row>
    <row r="260" spans="2:3" x14ac:dyDescent="0.2">
      <c r="B260" t="s">
        <v>3123</v>
      </c>
    </row>
    <row r="261" spans="2:3" x14ac:dyDescent="0.2">
      <c r="B261" t="s">
        <v>3124</v>
      </c>
    </row>
    <row r="262" spans="2:3" x14ac:dyDescent="0.2">
      <c r="B262" t="s">
        <v>3125</v>
      </c>
    </row>
    <row r="263" spans="2:3" x14ac:dyDescent="0.2">
      <c r="B263" t="s">
        <v>3126</v>
      </c>
      <c r="C263">
        <v>94</v>
      </c>
    </row>
    <row r="264" spans="2:3" x14ac:dyDescent="0.2">
      <c r="B264" t="s">
        <v>3127</v>
      </c>
      <c r="C264" t="s">
        <v>1777</v>
      </c>
    </row>
    <row r="265" spans="2:3" x14ac:dyDescent="0.2">
      <c r="B265" t="s">
        <v>3128</v>
      </c>
    </row>
    <row r="266" spans="2:3" x14ac:dyDescent="0.2">
      <c r="B266" t="s">
        <v>3129</v>
      </c>
    </row>
    <row r="267" spans="2:3" x14ac:dyDescent="0.2">
      <c r="B267" t="s">
        <v>3130</v>
      </c>
      <c r="C267">
        <v>-99</v>
      </c>
    </row>
    <row r="268" spans="2:3" x14ac:dyDescent="0.2">
      <c r="B268" t="s">
        <v>3131</v>
      </c>
      <c r="C268">
        <v>-99</v>
      </c>
    </row>
    <row r="269" spans="2:3" x14ac:dyDescent="0.2">
      <c r="B269" t="s">
        <v>3132</v>
      </c>
      <c r="C269">
        <v>9</v>
      </c>
    </row>
    <row r="270" spans="2:3" x14ac:dyDescent="0.2">
      <c r="B270" t="s">
        <v>3133</v>
      </c>
      <c r="C270">
        <v>0</v>
      </c>
    </row>
    <row r="271" spans="2:3" x14ac:dyDescent="0.2">
      <c r="B271" t="s">
        <v>3134</v>
      </c>
    </row>
    <row r="272" spans="2:3" x14ac:dyDescent="0.2">
      <c r="B272" t="s">
        <v>3135</v>
      </c>
    </row>
    <row r="273" spans="2:4" x14ac:dyDescent="0.2">
      <c r="B273" t="s">
        <v>3136</v>
      </c>
    </row>
    <row r="274" spans="2:4" x14ac:dyDescent="0.2">
      <c r="B274" t="s">
        <v>3137</v>
      </c>
    </row>
    <row r="275" spans="2:4" x14ac:dyDescent="0.2">
      <c r="B275" t="s">
        <v>3138</v>
      </c>
      <c r="C275">
        <v>95</v>
      </c>
    </row>
    <row r="276" spans="2:4" x14ac:dyDescent="0.2">
      <c r="B276" t="s">
        <v>3139</v>
      </c>
      <c r="C276" t="s">
        <v>1782</v>
      </c>
    </row>
    <row r="277" spans="2:4" x14ac:dyDescent="0.2">
      <c r="B277" t="s">
        <v>3140</v>
      </c>
    </row>
    <row r="278" spans="2:4" x14ac:dyDescent="0.2">
      <c r="B278" t="s">
        <v>3141</v>
      </c>
    </row>
    <row r="279" spans="2:4" x14ac:dyDescent="0.2">
      <c r="B279" t="s">
        <v>3142</v>
      </c>
      <c r="C279" t="s">
        <v>2678</v>
      </c>
      <c r="D279">
        <v>0</v>
      </c>
    </row>
    <row r="280" spans="2:4" x14ac:dyDescent="0.2">
      <c r="C280" t="s">
        <v>2678</v>
      </c>
      <c r="D280">
        <v>0</v>
      </c>
    </row>
    <row r="281" spans="2:4" x14ac:dyDescent="0.2">
      <c r="B281" t="s">
        <v>3143</v>
      </c>
      <c r="C281" t="s">
        <v>2679</v>
      </c>
      <c r="D281">
        <v>1</v>
      </c>
    </row>
    <row r="282" spans="2:4" x14ac:dyDescent="0.2">
      <c r="C282" t="s">
        <v>2679</v>
      </c>
      <c r="D282">
        <v>1</v>
      </c>
    </row>
    <row r="283" spans="2:4" x14ac:dyDescent="0.2">
      <c r="B283" t="s">
        <v>3144</v>
      </c>
      <c r="C283">
        <v>21</v>
      </c>
    </row>
    <row r="284" spans="2:4" x14ac:dyDescent="0.2">
      <c r="B284" t="s">
        <v>3145</v>
      </c>
      <c r="C284">
        <v>0</v>
      </c>
    </row>
    <row r="285" spans="2:4" x14ac:dyDescent="0.2">
      <c r="B285" t="s">
        <v>3146</v>
      </c>
    </row>
    <row r="286" spans="2:4" x14ac:dyDescent="0.2">
      <c r="B286" t="s">
        <v>3147</v>
      </c>
    </row>
    <row r="287" spans="2:4" x14ac:dyDescent="0.2">
      <c r="B287" t="s">
        <v>3148</v>
      </c>
    </row>
    <row r="288" spans="2:4" x14ac:dyDescent="0.2">
      <c r="B288" t="s">
        <v>3149</v>
      </c>
    </row>
    <row r="289" spans="2:6" x14ac:dyDescent="0.2">
      <c r="B289" t="s">
        <v>3150</v>
      </c>
      <c r="C289">
        <v>96</v>
      </c>
    </row>
    <row r="290" spans="2:6" x14ac:dyDescent="0.2">
      <c r="B290" t="s">
        <v>3151</v>
      </c>
      <c r="C290" t="s">
        <v>1274</v>
      </c>
    </row>
    <row r="291" spans="2:6" x14ac:dyDescent="0.2">
      <c r="B291" t="s">
        <v>3152</v>
      </c>
      <c r="C291" t="s">
        <v>2680</v>
      </c>
      <c r="D291">
        <v>0.1008</v>
      </c>
    </row>
    <row r="292" spans="2:6" x14ac:dyDescent="0.2">
      <c r="C292" t="s">
        <v>2680</v>
      </c>
      <c r="D292" t="s">
        <v>3153</v>
      </c>
      <c r="E292">
        <v>0.1008</v>
      </c>
    </row>
    <row r="294" spans="2:6" x14ac:dyDescent="0.2">
      <c r="D294" t="s">
        <v>3154</v>
      </c>
      <c r="E294" t="s">
        <v>3155</v>
      </c>
      <c r="F294">
        <v>0.1008</v>
      </c>
    </row>
    <row r="295" spans="2:6" x14ac:dyDescent="0.2">
      <c r="E295" t="s">
        <v>3156</v>
      </c>
      <c r="F295" t="s">
        <v>297</v>
      </c>
    </row>
    <row r="296" spans="2:6" x14ac:dyDescent="0.2">
      <c r="B296" t="s">
        <v>3157</v>
      </c>
      <c r="C296" t="s">
        <v>2681</v>
      </c>
      <c r="D296">
        <v>3</v>
      </c>
    </row>
    <row r="297" spans="2:6" x14ac:dyDescent="0.2">
      <c r="C297" t="s">
        <v>2681</v>
      </c>
      <c r="D297">
        <v>3</v>
      </c>
    </row>
    <row r="298" spans="2:6" x14ac:dyDescent="0.2">
      <c r="B298" t="s">
        <v>3158</v>
      </c>
      <c r="C298" t="s">
        <v>2682</v>
      </c>
      <c r="D298">
        <v>8.8000000000000005E-3</v>
      </c>
    </row>
    <row r="299" spans="2:6" x14ac:dyDescent="0.2">
      <c r="C299" t="s">
        <v>2682</v>
      </c>
      <c r="D299" t="s">
        <v>3159</v>
      </c>
      <c r="E299">
        <v>8.8000000000000005E-3</v>
      </c>
    </row>
    <row r="301" spans="2:6" x14ac:dyDescent="0.2">
      <c r="D301" t="s">
        <v>3160</v>
      </c>
      <c r="E301" t="s">
        <v>3161</v>
      </c>
      <c r="F301">
        <v>8.8000000000000005E-3</v>
      </c>
    </row>
    <row r="302" spans="2:6" x14ac:dyDescent="0.2">
      <c r="E302" t="s">
        <v>3162</v>
      </c>
      <c r="F302" t="s">
        <v>297</v>
      </c>
    </row>
    <row r="303" spans="2:6" x14ac:dyDescent="0.2">
      <c r="B303" t="s">
        <v>3163</v>
      </c>
      <c r="C303" t="s">
        <v>2683</v>
      </c>
      <c r="D303">
        <v>3</v>
      </c>
    </row>
    <row r="304" spans="2:6" x14ac:dyDescent="0.2">
      <c r="C304" t="s">
        <v>2683</v>
      </c>
      <c r="D304">
        <v>3</v>
      </c>
    </row>
    <row r="305" spans="2:4" x14ac:dyDescent="0.2">
      <c r="B305" t="s">
        <v>3164</v>
      </c>
      <c r="C305">
        <v>41</v>
      </c>
    </row>
    <row r="306" spans="2:4" x14ac:dyDescent="0.2">
      <c r="B306" t="s">
        <v>3165</v>
      </c>
      <c r="C306">
        <v>0</v>
      </c>
    </row>
    <row r="307" spans="2:4" x14ac:dyDescent="0.2">
      <c r="B307" t="s">
        <v>3166</v>
      </c>
    </row>
    <row r="308" spans="2:4" x14ac:dyDescent="0.2">
      <c r="B308" t="s">
        <v>3167</v>
      </c>
    </row>
    <row r="309" spans="2:4" x14ac:dyDescent="0.2">
      <c r="B309" t="s">
        <v>3168</v>
      </c>
    </row>
    <row r="310" spans="2:4" x14ac:dyDescent="0.2">
      <c r="B310" t="s">
        <v>3169</v>
      </c>
    </row>
    <row r="311" spans="2:4" x14ac:dyDescent="0.2">
      <c r="B311" t="s">
        <v>3170</v>
      </c>
      <c r="C311">
        <v>97</v>
      </c>
    </row>
    <row r="312" spans="2:4" x14ac:dyDescent="0.2">
      <c r="B312" t="s">
        <v>3171</v>
      </c>
      <c r="C312" t="s">
        <v>1277</v>
      </c>
    </row>
    <row r="313" spans="2:4" x14ac:dyDescent="0.2">
      <c r="B313" t="s">
        <v>3172</v>
      </c>
      <c r="C313" t="s">
        <v>2684</v>
      </c>
      <c r="D313">
        <v>0.2437</v>
      </c>
    </row>
    <row r="314" spans="2:4" x14ac:dyDescent="0.2">
      <c r="C314" t="s">
        <v>2684</v>
      </c>
      <c r="D314">
        <v>0.2437</v>
      </c>
    </row>
    <row r="315" spans="2:4" x14ac:dyDescent="0.2">
      <c r="B315" t="s">
        <v>3173</v>
      </c>
      <c r="C315" t="s">
        <v>2685</v>
      </c>
      <c r="D315">
        <v>3</v>
      </c>
    </row>
    <row r="316" spans="2:4" x14ac:dyDescent="0.2">
      <c r="C316" t="s">
        <v>2685</v>
      </c>
      <c r="D316">
        <v>3</v>
      </c>
    </row>
    <row r="317" spans="2:4" x14ac:dyDescent="0.2">
      <c r="B317" t="s">
        <v>3174</v>
      </c>
      <c r="C317" t="s">
        <v>2686</v>
      </c>
      <c r="D317">
        <v>3.2099999999999997E-2</v>
      </c>
    </row>
    <row r="318" spans="2:4" x14ac:dyDescent="0.2">
      <c r="C318" t="s">
        <v>2686</v>
      </c>
      <c r="D318">
        <v>3.2099999999999997E-2</v>
      </c>
    </row>
    <row r="319" spans="2:4" x14ac:dyDescent="0.2">
      <c r="B319" t="s">
        <v>3175</v>
      </c>
      <c r="C319" t="s">
        <v>2687</v>
      </c>
      <c r="D319">
        <v>3</v>
      </c>
    </row>
    <row r="320" spans="2:4" x14ac:dyDescent="0.2">
      <c r="C320" t="s">
        <v>2687</v>
      </c>
      <c r="D320">
        <v>3</v>
      </c>
    </row>
    <row r="321" spans="2:4" x14ac:dyDescent="0.2">
      <c r="B321" t="s">
        <v>3176</v>
      </c>
      <c r="C321">
        <v>41</v>
      </c>
    </row>
    <row r="322" spans="2:4" x14ac:dyDescent="0.2">
      <c r="B322" t="s">
        <v>3177</v>
      </c>
      <c r="C322">
        <v>0</v>
      </c>
    </row>
    <row r="323" spans="2:4" x14ac:dyDescent="0.2">
      <c r="B323" t="s">
        <v>3178</v>
      </c>
    </row>
    <row r="324" spans="2:4" x14ac:dyDescent="0.2">
      <c r="B324" t="s">
        <v>3179</v>
      </c>
    </row>
    <row r="325" spans="2:4" x14ac:dyDescent="0.2">
      <c r="B325" t="s">
        <v>3180</v>
      </c>
    </row>
    <row r="326" spans="2:4" x14ac:dyDescent="0.2">
      <c r="B326" t="s">
        <v>3181</v>
      </c>
    </row>
    <row r="327" spans="2:4" x14ac:dyDescent="0.2">
      <c r="B327" t="s">
        <v>3182</v>
      </c>
      <c r="C327">
        <v>98</v>
      </c>
    </row>
    <row r="328" spans="2:4" x14ac:dyDescent="0.2">
      <c r="B328" t="s">
        <v>3183</v>
      </c>
      <c r="C328" t="s">
        <v>1798</v>
      </c>
    </row>
    <row r="329" spans="2:4" x14ac:dyDescent="0.2">
      <c r="B329" t="s">
        <v>3184</v>
      </c>
    </row>
    <row r="330" spans="2:4" x14ac:dyDescent="0.2">
      <c r="B330" t="s">
        <v>3185</v>
      </c>
    </row>
    <row r="331" spans="2:4" x14ac:dyDescent="0.2">
      <c r="B331" t="s">
        <v>3186</v>
      </c>
      <c r="C331" t="s">
        <v>2688</v>
      </c>
      <c r="D331">
        <v>0.46910000000000002</v>
      </c>
    </row>
    <row r="332" spans="2:4" x14ac:dyDescent="0.2">
      <c r="C332" t="s">
        <v>2688</v>
      </c>
      <c r="D332">
        <v>0.46910000000000002</v>
      </c>
    </row>
    <row r="333" spans="2:4" x14ac:dyDescent="0.2">
      <c r="B333" t="s">
        <v>3187</v>
      </c>
      <c r="C333" t="s">
        <v>2689</v>
      </c>
      <c r="D333">
        <v>3</v>
      </c>
    </row>
    <row r="334" spans="2:4" x14ac:dyDescent="0.2">
      <c r="C334" t="s">
        <v>2689</v>
      </c>
      <c r="D334">
        <v>3</v>
      </c>
    </row>
    <row r="335" spans="2:4" x14ac:dyDescent="0.2">
      <c r="B335" t="s">
        <v>3188</v>
      </c>
      <c r="C335">
        <v>18</v>
      </c>
    </row>
    <row r="336" spans="2:4" x14ac:dyDescent="0.2">
      <c r="B336" t="s">
        <v>3189</v>
      </c>
      <c r="C336">
        <v>0</v>
      </c>
    </row>
    <row r="337" spans="2:3" x14ac:dyDescent="0.2">
      <c r="B337" t="s">
        <v>3190</v>
      </c>
    </row>
    <row r="338" spans="2:3" x14ac:dyDescent="0.2">
      <c r="B338" t="s">
        <v>3191</v>
      </c>
    </row>
    <row r="339" spans="2:3" x14ac:dyDescent="0.2">
      <c r="B339" t="s">
        <v>3192</v>
      </c>
    </row>
    <row r="340" spans="2:3" x14ac:dyDescent="0.2">
      <c r="B340" t="s">
        <v>3193</v>
      </c>
    </row>
    <row r="341" spans="2:3" x14ac:dyDescent="0.2">
      <c r="B341" t="s">
        <v>3194</v>
      </c>
      <c r="C341">
        <v>99</v>
      </c>
    </row>
    <row r="342" spans="2:3" x14ac:dyDescent="0.2">
      <c r="B342" t="s">
        <v>3195</v>
      </c>
      <c r="C342" t="s">
        <v>1803</v>
      </c>
    </row>
    <row r="343" spans="2:3" x14ac:dyDescent="0.2">
      <c r="B343" t="s">
        <v>3196</v>
      </c>
    </row>
    <row r="344" spans="2:3" x14ac:dyDescent="0.2">
      <c r="B344" t="s">
        <v>3197</v>
      </c>
    </row>
    <row r="345" spans="2:3" x14ac:dyDescent="0.2">
      <c r="B345" t="s">
        <v>3198</v>
      </c>
      <c r="C345">
        <v>-99</v>
      </c>
    </row>
    <row r="346" spans="2:3" x14ac:dyDescent="0.2">
      <c r="B346" t="s">
        <v>3199</v>
      </c>
      <c r="C346">
        <v>-99</v>
      </c>
    </row>
    <row r="347" spans="2:3" x14ac:dyDescent="0.2">
      <c r="B347" t="s">
        <v>3200</v>
      </c>
      <c r="C347">
        <v>8</v>
      </c>
    </row>
    <row r="348" spans="2:3" x14ac:dyDescent="0.2">
      <c r="B348" t="s">
        <v>3201</v>
      </c>
      <c r="C348">
        <v>0</v>
      </c>
    </row>
    <row r="349" spans="2:3" x14ac:dyDescent="0.2">
      <c r="B349" t="s">
        <v>3202</v>
      </c>
    </row>
    <row r="350" spans="2:3" x14ac:dyDescent="0.2">
      <c r="B350" t="s">
        <v>3203</v>
      </c>
      <c r="C350" t="s">
        <v>3204</v>
      </c>
    </row>
    <row r="351" spans="2:3" x14ac:dyDescent="0.2">
      <c r="B351" t="s">
        <v>3205</v>
      </c>
    </row>
    <row r="352" spans="2:3" x14ac:dyDescent="0.2">
      <c r="B352" t="s">
        <v>3206</v>
      </c>
    </row>
    <row r="353" spans="2:4" x14ac:dyDescent="0.2">
      <c r="B353" t="s">
        <v>3207</v>
      </c>
      <c r="C353">
        <v>100</v>
      </c>
    </row>
    <row r="354" spans="2:4" x14ac:dyDescent="0.2">
      <c r="B354" t="s">
        <v>3208</v>
      </c>
      <c r="C354" t="s">
        <v>1808</v>
      </c>
    </row>
    <row r="355" spans="2:4" x14ac:dyDescent="0.2">
      <c r="B355" t="s">
        <v>3209</v>
      </c>
    </row>
    <row r="356" spans="2:4" x14ac:dyDescent="0.2">
      <c r="B356" t="s">
        <v>3210</v>
      </c>
    </row>
    <row r="357" spans="2:4" x14ac:dyDescent="0.2">
      <c r="B357" t="s">
        <v>3211</v>
      </c>
      <c r="C357" t="s">
        <v>2692</v>
      </c>
      <c r="D357">
        <v>182</v>
      </c>
    </row>
    <row r="358" spans="2:4" x14ac:dyDescent="0.2">
      <c r="C358" t="s">
        <v>2692</v>
      </c>
      <c r="D358">
        <v>182</v>
      </c>
    </row>
    <row r="359" spans="2:4" x14ac:dyDescent="0.2">
      <c r="B359" t="s">
        <v>3212</v>
      </c>
      <c r="C359" t="s">
        <v>2693</v>
      </c>
      <c r="D359">
        <v>1</v>
      </c>
    </row>
    <row r="360" spans="2:4" x14ac:dyDescent="0.2">
      <c r="C360" t="s">
        <v>2693</v>
      </c>
      <c r="D360">
        <v>1</v>
      </c>
    </row>
    <row r="361" spans="2:4" x14ac:dyDescent="0.2">
      <c r="B361" t="s">
        <v>3213</v>
      </c>
      <c r="C361">
        <v>8</v>
      </c>
    </row>
    <row r="362" spans="2:4" x14ac:dyDescent="0.2">
      <c r="B362" t="s">
        <v>3214</v>
      </c>
      <c r="C362">
        <v>0</v>
      </c>
    </row>
    <row r="363" spans="2:4" x14ac:dyDescent="0.2">
      <c r="B363" t="s">
        <v>3215</v>
      </c>
    </row>
    <row r="364" spans="2:4" x14ac:dyDescent="0.2">
      <c r="B364" t="s">
        <v>3216</v>
      </c>
      <c r="C364" t="s">
        <v>3204</v>
      </c>
    </row>
    <row r="365" spans="2:4" x14ac:dyDescent="0.2">
      <c r="B365" t="s">
        <v>3217</v>
      </c>
    </row>
    <row r="366" spans="2:4" x14ac:dyDescent="0.2">
      <c r="B366" t="s">
        <v>3218</v>
      </c>
    </row>
    <row r="367" spans="2:4" x14ac:dyDescent="0.2">
      <c r="B367" t="s">
        <v>3219</v>
      </c>
      <c r="C367">
        <v>101</v>
      </c>
    </row>
    <row r="368" spans="2:4" x14ac:dyDescent="0.2">
      <c r="B368" t="s">
        <v>3220</v>
      </c>
      <c r="C368" t="s">
        <v>1813</v>
      </c>
    </row>
    <row r="369" spans="2:5" x14ac:dyDescent="0.2">
      <c r="B369" t="s">
        <v>3221</v>
      </c>
      <c r="C369" t="s">
        <v>2694</v>
      </c>
      <c r="D369">
        <v>0</v>
      </c>
    </row>
    <row r="371" spans="2:5" x14ac:dyDescent="0.2">
      <c r="C371" t="s">
        <v>3222</v>
      </c>
      <c r="D371" t="s">
        <v>3223</v>
      </c>
      <c r="E371">
        <v>0</v>
      </c>
    </row>
    <row r="372" spans="2:5" x14ac:dyDescent="0.2">
      <c r="D372" t="s">
        <v>3224</v>
      </c>
      <c r="E372">
        <v>0</v>
      </c>
    </row>
    <row r="373" spans="2:5" x14ac:dyDescent="0.2">
      <c r="D373" t="s">
        <v>3225</v>
      </c>
      <c r="E373">
        <v>0</v>
      </c>
    </row>
    <row r="374" spans="2:5" x14ac:dyDescent="0.2">
      <c r="D374" t="s">
        <v>3226</v>
      </c>
      <c r="E374">
        <v>0</v>
      </c>
    </row>
    <row r="375" spans="2:5" x14ac:dyDescent="0.2">
      <c r="B375" t="s">
        <v>3227</v>
      </c>
      <c r="C375" t="s">
        <v>2695</v>
      </c>
      <c r="D375">
        <v>3</v>
      </c>
    </row>
    <row r="376" spans="2:5" x14ac:dyDescent="0.2">
      <c r="C376" t="s">
        <v>2695</v>
      </c>
      <c r="D376">
        <v>3</v>
      </c>
    </row>
    <row r="377" spans="2:5" x14ac:dyDescent="0.2">
      <c r="B377" t="s">
        <v>3228</v>
      </c>
      <c r="C377" t="s">
        <v>2696</v>
      </c>
      <c r="D377">
        <v>0</v>
      </c>
    </row>
    <row r="379" spans="2:5" x14ac:dyDescent="0.2">
      <c r="C379" t="s">
        <v>3229</v>
      </c>
      <c r="D379" t="s">
        <v>3230</v>
      </c>
      <c r="E379">
        <v>0</v>
      </c>
    </row>
    <row r="380" spans="2:5" x14ac:dyDescent="0.2">
      <c r="D380" t="s">
        <v>3231</v>
      </c>
      <c r="E380">
        <v>0</v>
      </c>
    </row>
    <row r="381" spans="2:5" x14ac:dyDescent="0.2">
      <c r="D381" t="s">
        <v>3232</v>
      </c>
      <c r="E381">
        <v>0</v>
      </c>
    </row>
    <row r="382" spans="2:5" x14ac:dyDescent="0.2">
      <c r="D382" t="s">
        <v>3233</v>
      </c>
      <c r="E382">
        <v>0</v>
      </c>
    </row>
    <row r="383" spans="2:5" x14ac:dyDescent="0.2">
      <c r="B383" t="s">
        <v>3234</v>
      </c>
      <c r="C383" t="s">
        <v>2697</v>
      </c>
      <c r="D383">
        <v>3</v>
      </c>
    </row>
    <row r="384" spans="2:5" x14ac:dyDescent="0.2">
      <c r="C384" t="s">
        <v>2697</v>
      </c>
      <c r="D384">
        <v>3</v>
      </c>
    </row>
    <row r="385" spans="2:5" x14ac:dyDescent="0.2">
      <c r="B385" t="s">
        <v>3235</v>
      </c>
      <c r="C385">
        <v>1</v>
      </c>
    </row>
    <row r="386" spans="2:5" x14ac:dyDescent="0.2">
      <c r="B386" t="s">
        <v>3236</v>
      </c>
      <c r="C386">
        <v>0</v>
      </c>
    </row>
    <row r="387" spans="2:5" x14ac:dyDescent="0.2">
      <c r="B387" t="s">
        <v>3237</v>
      </c>
    </row>
    <row r="388" spans="2:5" x14ac:dyDescent="0.2">
      <c r="B388" t="s">
        <v>3238</v>
      </c>
    </row>
    <row r="389" spans="2:5" x14ac:dyDescent="0.2">
      <c r="B389" t="s">
        <v>3239</v>
      </c>
    </row>
    <row r="390" spans="2:5" x14ac:dyDescent="0.2">
      <c r="B390" t="s">
        <v>3240</v>
      </c>
    </row>
    <row r="391" spans="2:5" x14ac:dyDescent="0.2">
      <c r="B391" t="s">
        <v>3241</v>
      </c>
      <c r="C391">
        <v>102</v>
      </c>
    </row>
    <row r="392" spans="2:5" x14ac:dyDescent="0.2">
      <c r="B392" t="s">
        <v>3242</v>
      </c>
      <c r="C392" t="s">
        <v>1819</v>
      </c>
    </row>
    <row r="393" spans="2:5" x14ac:dyDescent="0.2">
      <c r="B393" t="s">
        <v>3243</v>
      </c>
      <c r="C393" t="s">
        <v>2698</v>
      </c>
      <c r="D393">
        <v>0</v>
      </c>
    </row>
    <row r="395" spans="2:5" x14ac:dyDescent="0.2">
      <c r="C395" t="s">
        <v>3244</v>
      </c>
      <c r="D395" t="s">
        <v>3245</v>
      </c>
      <c r="E395">
        <v>0</v>
      </c>
    </row>
    <row r="396" spans="2:5" x14ac:dyDescent="0.2">
      <c r="D396" t="s">
        <v>3246</v>
      </c>
      <c r="E396">
        <v>0</v>
      </c>
    </row>
    <row r="397" spans="2:5" x14ac:dyDescent="0.2">
      <c r="D397" t="s">
        <v>3247</v>
      </c>
      <c r="E397">
        <v>0</v>
      </c>
    </row>
    <row r="398" spans="2:5" x14ac:dyDescent="0.2">
      <c r="D398" t="s">
        <v>3248</v>
      </c>
      <c r="E398">
        <v>0</v>
      </c>
    </row>
    <row r="399" spans="2:5" x14ac:dyDescent="0.2">
      <c r="D399" t="s">
        <v>3249</v>
      </c>
      <c r="E399">
        <v>0</v>
      </c>
    </row>
    <row r="400" spans="2:5" x14ac:dyDescent="0.2">
      <c r="D400" t="s">
        <v>3250</v>
      </c>
      <c r="E400">
        <v>0</v>
      </c>
    </row>
    <row r="401" spans="2:5" x14ac:dyDescent="0.2">
      <c r="B401" t="s">
        <v>3251</v>
      </c>
      <c r="C401" t="s">
        <v>2699</v>
      </c>
      <c r="D401">
        <v>3</v>
      </c>
    </row>
    <row r="402" spans="2:5" x14ac:dyDescent="0.2">
      <c r="C402" t="s">
        <v>2699</v>
      </c>
      <c r="D402">
        <v>3</v>
      </c>
    </row>
    <row r="403" spans="2:5" x14ac:dyDescent="0.2">
      <c r="B403" t="s">
        <v>3252</v>
      </c>
      <c r="C403" t="s">
        <v>2700</v>
      </c>
      <c r="D403">
        <v>0</v>
      </c>
    </row>
    <row r="405" spans="2:5" x14ac:dyDescent="0.2">
      <c r="C405" t="s">
        <v>3253</v>
      </c>
      <c r="D405" t="s">
        <v>3254</v>
      </c>
      <c r="E405">
        <v>0</v>
      </c>
    </row>
    <row r="406" spans="2:5" x14ac:dyDescent="0.2">
      <c r="D406" t="s">
        <v>3255</v>
      </c>
      <c r="E406">
        <v>0</v>
      </c>
    </row>
    <row r="407" spans="2:5" x14ac:dyDescent="0.2">
      <c r="D407" t="s">
        <v>3256</v>
      </c>
      <c r="E407">
        <v>0</v>
      </c>
    </row>
    <row r="408" spans="2:5" x14ac:dyDescent="0.2">
      <c r="D408" t="s">
        <v>3257</v>
      </c>
      <c r="E408">
        <v>0</v>
      </c>
    </row>
    <row r="409" spans="2:5" x14ac:dyDescent="0.2">
      <c r="D409" t="s">
        <v>3258</v>
      </c>
      <c r="E409">
        <v>0</v>
      </c>
    </row>
    <row r="410" spans="2:5" x14ac:dyDescent="0.2">
      <c r="D410" t="s">
        <v>3259</v>
      </c>
      <c r="E410">
        <v>0</v>
      </c>
    </row>
    <row r="411" spans="2:5" x14ac:dyDescent="0.2">
      <c r="B411" t="s">
        <v>3260</v>
      </c>
      <c r="C411" t="s">
        <v>2701</v>
      </c>
      <c r="D411">
        <v>3</v>
      </c>
    </row>
    <row r="412" spans="2:5" x14ac:dyDescent="0.2">
      <c r="C412" t="s">
        <v>2701</v>
      </c>
      <c r="D412">
        <v>3</v>
      </c>
    </row>
    <row r="413" spans="2:5" x14ac:dyDescent="0.2">
      <c r="B413" t="s">
        <v>3261</v>
      </c>
      <c r="C413">
        <v>33</v>
      </c>
    </row>
    <row r="414" spans="2:5" x14ac:dyDescent="0.2">
      <c r="B414" t="s">
        <v>3262</v>
      </c>
      <c r="C414">
        <v>0</v>
      </c>
    </row>
    <row r="415" spans="2:5" x14ac:dyDescent="0.2">
      <c r="B415" t="s">
        <v>3263</v>
      </c>
    </row>
    <row r="416" spans="2:5" x14ac:dyDescent="0.2">
      <c r="B416" t="s">
        <v>3264</v>
      </c>
    </row>
    <row r="417" spans="2:8" x14ac:dyDescent="0.2">
      <c r="B417" t="s">
        <v>3265</v>
      </c>
    </row>
    <row r="418" spans="2:8" x14ac:dyDescent="0.2">
      <c r="B418" t="s">
        <v>3266</v>
      </c>
    </row>
    <row r="419" spans="2:8" x14ac:dyDescent="0.2">
      <c r="B419" t="s">
        <v>3267</v>
      </c>
      <c r="C419">
        <v>103</v>
      </c>
    </row>
    <row r="420" spans="2:8" x14ac:dyDescent="0.2">
      <c r="B420" t="s">
        <v>3268</v>
      </c>
      <c r="C420" t="s">
        <v>1826</v>
      </c>
    </row>
    <row r="421" spans="2:8" x14ac:dyDescent="0.2">
      <c r="B421" t="s">
        <v>3269</v>
      </c>
    </row>
    <row r="422" spans="2:8" x14ac:dyDescent="0.2">
      <c r="B422" t="s">
        <v>3270</v>
      </c>
    </row>
    <row r="423" spans="2:8" x14ac:dyDescent="0.2">
      <c r="B423" t="s">
        <v>3271</v>
      </c>
      <c r="C423" t="s">
        <v>2702</v>
      </c>
      <c r="D423">
        <v>300.12209999999999</v>
      </c>
    </row>
    <row r="425" spans="2:8" x14ac:dyDescent="0.2">
      <c r="C425" t="s">
        <v>3272</v>
      </c>
      <c r="D425" t="s">
        <v>3273</v>
      </c>
      <c r="E425" t="s">
        <v>3274</v>
      </c>
      <c r="F425">
        <v>0</v>
      </c>
    </row>
    <row r="426" spans="2:8" x14ac:dyDescent="0.2">
      <c r="E426" t="s">
        <v>3275</v>
      </c>
      <c r="F426" t="s">
        <v>3276</v>
      </c>
      <c r="G426">
        <v>0</v>
      </c>
    </row>
    <row r="427" spans="2:8" x14ac:dyDescent="0.2">
      <c r="F427" t="s">
        <v>3277</v>
      </c>
      <c r="G427">
        <v>0</v>
      </c>
    </row>
    <row r="428" spans="2:8" x14ac:dyDescent="0.2">
      <c r="F428" t="s">
        <v>3278</v>
      </c>
      <c r="G428" t="s">
        <v>3279</v>
      </c>
      <c r="H428">
        <v>16605</v>
      </c>
    </row>
    <row r="429" spans="2:8" x14ac:dyDescent="0.2">
      <c r="G429" t="s">
        <v>3279</v>
      </c>
      <c r="H429">
        <v>16605</v>
      </c>
    </row>
    <row r="430" spans="2:8" x14ac:dyDescent="0.2">
      <c r="D430" t="s">
        <v>3280</v>
      </c>
      <c r="E430" t="s">
        <v>3281</v>
      </c>
      <c r="F430">
        <v>0.122080837</v>
      </c>
    </row>
    <row r="431" spans="2:8" x14ac:dyDescent="0.2">
      <c r="E431" t="s">
        <v>3282</v>
      </c>
      <c r="F431" t="s">
        <v>3283</v>
      </c>
      <c r="G431">
        <v>0.12208084</v>
      </c>
    </row>
    <row r="432" spans="2:8" x14ac:dyDescent="0.2">
      <c r="F432" t="s">
        <v>3284</v>
      </c>
      <c r="G432">
        <v>7.3499999999999999E-6</v>
      </c>
    </row>
    <row r="433" spans="3:8" x14ac:dyDescent="0.2">
      <c r="F433" t="s">
        <v>3278</v>
      </c>
      <c r="G433" t="s">
        <v>3279</v>
      </c>
      <c r="H433">
        <v>16605</v>
      </c>
    </row>
    <row r="434" spans="3:8" x14ac:dyDescent="0.2">
      <c r="G434" t="s">
        <v>3279</v>
      </c>
      <c r="H434">
        <v>16605</v>
      </c>
    </row>
    <row r="435" spans="3:8" x14ac:dyDescent="0.2">
      <c r="D435" t="s">
        <v>3285</v>
      </c>
      <c r="E435" t="s">
        <v>3286</v>
      </c>
      <c r="F435">
        <v>0</v>
      </c>
    </row>
    <row r="436" spans="3:8" x14ac:dyDescent="0.2">
      <c r="E436" t="s">
        <v>3287</v>
      </c>
      <c r="F436" t="s">
        <v>3288</v>
      </c>
      <c r="G436">
        <v>0</v>
      </c>
    </row>
    <row r="437" spans="3:8" x14ac:dyDescent="0.2">
      <c r="F437" t="s">
        <v>3289</v>
      </c>
      <c r="G437">
        <v>0</v>
      </c>
    </row>
    <row r="438" spans="3:8" x14ac:dyDescent="0.2">
      <c r="F438" t="s">
        <v>3278</v>
      </c>
      <c r="G438" t="s">
        <v>3279</v>
      </c>
      <c r="H438">
        <v>16605</v>
      </c>
    </row>
    <row r="439" spans="3:8" x14ac:dyDescent="0.2">
      <c r="G439" t="s">
        <v>3279</v>
      </c>
      <c r="H439">
        <v>16605</v>
      </c>
    </row>
    <row r="441" spans="3:8" x14ac:dyDescent="0.2">
      <c r="C441" t="s">
        <v>3290</v>
      </c>
      <c r="D441" t="s">
        <v>3291</v>
      </c>
      <c r="E441">
        <v>300</v>
      </c>
    </row>
    <row r="442" spans="3:8" x14ac:dyDescent="0.2">
      <c r="D442" t="s">
        <v>3292</v>
      </c>
      <c r="E442" t="s">
        <v>3293</v>
      </c>
      <c r="F442">
        <v>0</v>
      </c>
    </row>
    <row r="443" spans="3:8" x14ac:dyDescent="0.2">
      <c r="E443" t="s">
        <v>3294</v>
      </c>
      <c r="F443" t="s">
        <v>3295</v>
      </c>
      <c r="G443">
        <v>0</v>
      </c>
    </row>
    <row r="444" spans="3:8" x14ac:dyDescent="0.2">
      <c r="F444" t="s">
        <v>3296</v>
      </c>
      <c r="G444">
        <v>0</v>
      </c>
    </row>
    <row r="445" spans="3:8" x14ac:dyDescent="0.2">
      <c r="F445" t="s">
        <v>3278</v>
      </c>
      <c r="G445" t="s">
        <v>3279</v>
      </c>
      <c r="H445">
        <v>16605</v>
      </c>
    </row>
    <row r="446" spans="3:8" x14ac:dyDescent="0.2">
      <c r="G446" t="s">
        <v>3279</v>
      </c>
      <c r="H446">
        <v>16605</v>
      </c>
    </row>
    <row r="447" spans="3:8" x14ac:dyDescent="0.2">
      <c r="D447" t="s">
        <v>3297</v>
      </c>
      <c r="E447" t="s">
        <v>3298</v>
      </c>
      <c r="F447">
        <v>0</v>
      </c>
    </row>
    <row r="448" spans="3:8" x14ac:dyDescent="0.2">
      <c r="E448" t="s">
        <v>3299</v>
      </c>
      <c r="F448" t="s">
        <v>3300</v>
      </c>
      <c r="G448">
        <v>0</v>
      </c>
    </row>
    <row r="449" spans="2:8" x14ac:dyDescent="0.2">
      <c r="F449" t="s">
        <v>3301</v>
      </c>
      <c r="G449">
        <v>0</v>
      </c>
    </row>
    <row r="450" spans="2:8" x14ac:dyDescent="0.2">
      <c r="F450" t="s">
        <v>3278</v>
      </c>
      <c r="G450" t="s">
        <v>3279</v>
      </c>
      <c r="H450">
        <v>16605</v>
      </c>
    </row>
    <row r="451" spans="2:8" x14ac:dyDescent="0.2">
      <c r="G451" t="s">
        <v>3279</v>
      </c>
      <c r="H451">
        <v>16605</v>
      </c>
    </row>
    <row r="452" spans="2:8" x14ac:dyDescent="0.2">
      <c r="B452" t="s">
        <v>3302</v>
      </c>
      <c r="C452" t="s">
        <v>2703</v>
      </c>
      <c r="D452">
        <v>1</v>
      </c>
    </row>
    <row r="453" spans="2:8" x14ac:dyDescent="0.2">
      <c r="C453" t="s">
        <v>2703</v>
      </c>
      <c r="D453">
        <v>1</v>
      </c>
    </row>
    <row r="454" spans="2:8" x14ac:dyDescent="0.2">
      <c r="B454" t="s">
        <v>3303</v>
      </c>
      <c r="C454">
        <v>33</v>
      </c>
    </row>
    <row r="455" spans="2:8" x14ac:dyDescent="0.2">
      <c r="B455" t="s">
        <v>3304</v>
      </c>
      <c r="C455">
        <v>0</v>
      </c>
    </row>
    <row r="456" spans="2:8" x14ac:dyDescent="0.2">
      <c r="B456" t="s">
        <v>3305</v>
      </c>
    </row>
    <row r="457" spans="2:8" x14ac:dyDescent="0.2">
      <c r="B457" t="s">
        <v>3306</v>
      </c>
    </row>
    <row r="458" spans="2:8" x14ac:dyDescent="0.2">
      <c r="B458" t="s">
        <v>3307</v>
      </c>
    </row>
    <row r="459" spans="2:8" x14ac:dyDescent="0.2">
      <c r="B459" t="s">
        <v>3308</v>
      </c>
    </row>
    <row r="460" spans="2:8" x14ac:dyDescent="0.2">
      <c r="B460" t="s">
        <v>3309</v>
      </c>
      <c r="C460">
        <v>104</v>
      </c>
    </row>
    <row r="461" spans="2:8" x14ac:dyDescent="0.2">
      <c r="B461" t="s">
        <v>3310</v>
      </c>
      <c r="C461" t="s">
        <v>1830</v>
      </c>
    </row>
    <row r="462" spans="2:8" x14ac:dyDescent="0.2">
      <c r="B462" t="s">
        <v>3311</v>
      </c>
    </row>
    <row r="463" spans="2:8" x14ac:dyDescent="0.2">
      <c r="B463" t="s">
        <v>3312</v>
      </c>
    </row>
    <row r="464" spans="2:8" x14ac:dyDescent="0.2">
      <c r="B464" t="s">
        <v>3313</v>
      </c>
      <c r="C464" t="s">
        <v>2704</v>
      </c>
      <c r="D464">
        <v>362.45139999999998</v>
      </c>
    </row>
    <row r="465" spans="2:4" x14ac:dyDescent="0.2">
      <c r="C465" t="s">
        <v>3314</v>
      </c>
      <c r="D465">
        <v>361</v>
      </c>
    </row>
    <row r="466" spans="2:4" x14ac:dyDescent="0.2">
      <c r="C466" t="s">
        <v>3315</v>
      </c>
      <c r="D466">
        <v>1</v>
      </c>
    </row>
    <row r="467" spans="2:4" x14ac:dyDescent="0.2">
      <c r="B467" t="s">
        <v>3316</v>
      </c>
      <c r="C467" t="s">
        <v>2705</v>
      </c>
      <c r="D467">
        <v>1</v>
      </c>
    </row>
    <row r="468" spans="2:4" x14ac:dyDescent="0.2">
      <c r="C468" t="s">
        <v>2705</v>
      </c>
      <c r="D468">
        <v>1</v>
      </c>
    </row>
    <row r="469" spans="2:4" x14ac:dyDescent="0.2">
      <c r="B469" t="s">
        <v>3317</v>
      </c>
      <c r="C469">
        <v>33</v>
      </c>
    </row>
    <row r="470" spans="2:4" x14ac:dyDescent="0.2">
      <c r="B470" t="s">
        <v>3318</v>
      </c>
      <c r="C470">
        <v>0</v>
      </c>
    </row>
    <row r="471" spans="2:4" x14ac:dyDescent="0.2">
      <c r="B471" t="s">
        <v>3319</v>
      </c>
    </row>
    <row r="472" spans="2:4" x14ac:dyDescent="0.2">
      <c r="B472" t="s">
        <v>3320</v>
      </c>
    </row>
    <row r="473" spans="2:4" x14ac:dyDescent="0.2">
      <c r="B473" t="s">
        <v>3321</v>
      </c>
    </row>
    <row r="474" spans="2:4" x14ac:dyDescent="0.2">
      <c r="B474" t="s">
        <v>3322</v>
      </c>
    </row>
    <row r="475" spans="2:4" x14ac:dyDescent="0.2">
      <c r="B475" t="s">
        <v>3323</v>
      </c>
      <c r="C475">
        <v>105</v>
      </c>
    </row>
    <row r="476" spans="2:4" x14ac:dyDescent="0.2">
      <c r="B476" t="s">
        <v>3324</v>
      </c>
      <c r="C476" t="s">
        <v>1836</v>
      </c>
    </row>
    <row r="477" spans="2:4" x14ac:dyDescent="0.2">
      <c r="B477" t="s">
        <v>3325</v>
      </c>
    </row>
    <row r="478" spans="2:4" x14ac:dyDescent="0.2">
      <c r="B478" t="s">
        <v>3326</v>
      </c>
    </row>
    <row r="479" spans="2:4" x14ac:dyDescent="0.2">
      <c r="B479" t="s">
        <v>3327</v>
      </c>
      <c r="C479" t="s">
        <v>2706</v>
      </c>
      <c r="D479">
        <v>0</v>
      </c>
    </row>
    <row r="480" spans="2:4" x14ac:dyDescent="0.2">
      <c r="C480" t="s">
        <v>2706</v>
      </c>
      <c r="D480">
        <v>0</v>
      </c>
    </row>
    <row r="481" spans="2:4" x14ac:dyDescent="0.2">
      <c r="B481" t="s">
        <v>3328</v>
      </c>
      <c r="C481" t="s">
        <v>2707</v>
      </c>
      <c r="D481">
        <v>1</v>
      </c>
    </row>
    <row r="482" spans="2:4" x14ac:dyDescent="0.2">
      <c r="C482" t="s">
        <v>2707</v>
      </c>
      <c r="D482">
        <v>1</v>
      </c>
    </row>
    <row r="483" spans="2:4" x14ac:dyDescent="0.2">
      <c r="B483" t="s">
        <v>3329</v>
      </c>
      <c r="C483">
        <v>33</v>
      </c>
    </row>
    <row r="484" spans="2:4" x14ac:dyDescent="0.2">
      <c r="B484" t="s">
        <v>3330</v>
      </c>
      <c r="C484">
        <v>0</v>
      </c>
    </row>
    <row r="485" spans="2:4" x14ac:dyDescent="0.2">
      <c r="B485" t="s">
        <v>3331</v>
      </c>
    </row>
    <row r="486" spans="2:4" x14ac:dyDescent="0.2">
      <c r="B486" t="s">
        <v>3332</v>
      </c>
    </row>
    <row r="487" spans="2:4" x14ac:dyDescent="0.2">
      <c r="B487" t="s">
        <v>3333</v>
      </c>
    </row>
    <row r="488" spans="2:4" x14ac:dyDescent="0.2">
      <c r="B488" t="s">
        <v>3334</v>
      </c>
    </row>
    <row r="489" spans="2:4" x14ac:dyDescent="0.2">
      <c r="B489" t="s">
        <v>3335</v>
      </c>
      <c r="C489">
        <v>106</v>
      </c>
    </row>
    <row r="490" spans="2:4" x14ac:dyDescent="0.2">
      <c r="B490" t="s">
        <v>3336</v>
      </c>
      <c r="C490" t="s">
        <v>1841</v>
      </c>
    </row>
    <row r="491" spans="2:4" x14ac:dyDescent="0.2">
      <c r="B491" t="s">
        <v>3337</v>
      </c>
      <c r="C491">
        <v>-99</v>
      </c>
    </row>
    <row r="492" spans="2:4" x14ac:dyDescent="0.2">
      <c r="B492" t="s">
        <v>3338</v>
      </c>
      <c r="C492">
        <v>-99</v>
      </c>
    </row>
    <row r="493" spans="2:4" x14ac:dyDescent="0.2">
      <c r="B493" t="s">
        <v>3339</v>
      </c>
      <c r="C493">
        <v>-99</v>
      </c>
    </row>
    <row r="494" spans="2:4" x14ac:dyDescent="0.2">
      <c r="B494" t="s">
        <v>3340</v>
      </c>
      <c r="C494">
        <v>-99</v>
      </c>
    </row>
    <row r="495" spans="2:4" x14ac:dyDescent="0.2">
      <c r="B495" t="s">
        <v>3341</v>
      </c>
      <c r="C495">
        <v>0</v>
      </c>
    </row>
    <row r="496" spans="2:4" x14ac:dyDescent="0.2">
      <c r="B496" t="s">
        <v>3342</v>
      </c>
      <c r="C496">
        <v>0</v>
      </c>
    </row>
    <row r="497" spans="2:3" x14ac:dyDescent="0.2">
      <c r="B497" t="s">
        <v>3343</v>
      </c>
    </row>
    <row r="498" spans="2:3" x14ac:dyDescent="0.2">
      <c r="B498" t="s">
        <v>3344</v>
      </c>
    </row>
    <row r="499" spans="2:3" x14ac:dyDescent="0.2">
      <c r="B499" t="s">
        <v>3345</v>
      </c>
    </row>
    <row r="500" spans="2:3" x14ac:dyDescent="0.2">
      <c r="B500" t="s">
        <v>3346</v>
      </c>
    </row>
    <row r="501" spans="2:3" x14ac:dyDescent="0.2">
      <c r="B501" t="s">
        <v>3347</v>
      </c>
      <c r="C501">
        <v>107</v>
      </c>
    </row>
    <row r="502" spans="2:3" x14ac:dyDescent="0.2">
      <c r="B502" t="s">
        <v>3348</v>
      </c>
      <c r="C502" t="s">
        <v>1842</v>
      </c>
    </row>
    <row r="503" spans="2:3" x14ac:dyDescent="0.2">
      <c r="B503" t="s">
        <v>3349</v>
      </c>
      <c r="C503">
        <v>-99</v>
      </c>
    </row>
    <row r="504" spans="2:3" x14ac:dyDescent="0.2">
      <c r="B504" t="s">
        <v>3350</v>
      </c>
      <c r="C504">
        <v>-99</v>
      </c>
    </row>
    <row r="505" spans="2:3" x14ac:dyDescent="0.2">
      <c r="B505" t="s">
        <v>3351</v>
      </c>
      <c r="C505">
        <v>-99</v>
      </c>
    </row>
    <row r="506" spans="2:3" x14ac:dyDescent="0.2">
      <c r="B506" t="s">
        <v>3352</v>
      </c>
      <c r="C506">
        <v>-99</v>
      </c>
    </row>
    <row r="507" spans="2:3" x14ac:dyDescent="0.2">
      <c r="B507" t="s">
        <v>3353</v>
      </c>
      <c r="C507">
        <v>0</v>
      </c>
    </row>
    <row r="508" spans="2:3" x14ac:dyDescent="0.2">
      <c r="B508" t="s">
        <v>3354</v>
      </c>
      <c r="C508">
        <v>0</v>
      </c>
    </row>
    <row r="509" spans="2:3" x14ac:dyDescent="0.2">
      <c r="B509" t="s">
        <v>3355</v>
      </c>
    </row>
    <row r="510" spans="2:3" x14ac:dyDescent="0.2">
      <c r="B510" t="s">
        <v>3356</v>
      </c>
    </row>
    <row r="511" spans="2:3" x14ac:dyDescent="0.2">
      <c r="B511" t="s">
        <v>3357</v>
      </c>
    </row>
    <row r="512" spans="2:3" x14ac:dyDescent="0.2">
      <c r="B512" t="s">
        <v>3358</v>
      </c>
    </row>
    <row r="513" spans="2:4" x14ac:dyDescent="0.2">
      <c r="B513" t="s">
        <v>3359</v>
      </c>
      <c r="C513">
        <v>108</v>
      </c>
    </row>
    <row r="514" spans="2:4" x14ac:dyDescent="0.2">
      <c r="B514" t="s">
        <v>3360</v>
      </c>
      <c r="C514" t="s">
        <v>1843</v>
      </c>
    </row>
    <row r="515" spans="2:4" x14ac:dyDescent="0.2">
      <c r="B515" t="s">
        <v>3361</v>
      </c>
    </row>
    <row r="516" spans="2:4" x14ac:dyDescent="0.2">
      <c r="B516" t="s">
        <v>3362</v>
      </c>
    </row>
    <row r="517" spans="2:4" x14ac:dyDescent="0.2">
      <c r="B517" t="s">
        <v>3363</v>
      </c>
      <c r="C517" t="s">
        <v>2708</v>
      </c>
      <c r="D517">
        <v>0</v>
      </c>
    </row>
    <row r="518" spans="2:4" x14ac:dyDescent="0.2">
      <c r="C518" t="s">
        <v>2708</v>
      </c>
      <c r="D518">
        <v>0</v>
      </c>
    </row>
    <row r="519" spans="2:4" x14ac:dyDescent="0.2">
      <c r="B519" t="s">
        <v>3364</v>
      </c>
      <c r="C519" t="s">
        <v>2709</v>
      </c>
      <c r="D519">
        <v>4</v>
      </c>
    </row>
    <row r="520" spans="2:4" x14ac:dyDescent="0.2">
      <c r="C520" t="s">
        <v>2709</v>
      </c>
      <c r="D520">
        <v>4</v>
      </c>
    </row>
    <row r="521" spans="2:4" x14ac:dyDescent="0.2">
      <c r="B521" t="s">
        <v>3365</v>
      </c>
      <c r="C521">
        <v>1</v>
      </c>
    </row>
    <row r="522" spans="2:4" x14ac:dyDescent="0.2">
      <c r="B522" t="s">
        <v>3366</v>
      </c>
      <c r="C522">
        <v>11</v>
      </c>
    </row>
    <row r="523" spans="2:4" x14ac:dyDescent="0.2">
      <c r="B523" t="s">
        <v>3367</v>
      </c>
    </row>
    <row r="524" spans="2:4" x14ac:dyDescent="0.2">
      <c r="B524" t="s">
        <v>3368</v>
      </c>
    </row>
    <row r="525" spans="2:4" x14ac:dyDescent="0.2">
      <c r="B525" t="s">
        <v>3369</v>
      </c>
    </row>
    <row r="526" spans="2:4" x14ac:dyDescent="0.2">
      <c r="B526" t="s">
        <v>3370</v>
      </c>
    </row>
    <row r="527" spans="2:4" x14ac:dyDescent="0.2">
      <c r="B527" t="s">
        <v>3371</v>
      </c>
      <c r="C527">
        <v>109</v>
      </c>
    </row>
    <row r="528" spans="2:4" x14ac:dyDescent="0.2">
      <c r="B528" t="s">
        <v>3372</v>
      </c>
      <c r="C528" t="s">
        <v>1846</v>
      </c>
    </row>
    <row r="529" spans="2:5" x14ac:dyDescent="0.2">
      <c r="B529" t="s">
        <v>3373</v>
      </c>
      <c r="C529" t="s">
        <v>2710</v>
      </c>
      <c r="D529">
        <v>0</v>
      </c>
    </row>
    <row r="531" spans="2:5" x14ac:dyDescent="0.2">
      <c r="C531" t="s">
        <v>3374</v>
      </c>
      <c r="D531" t="s">
        <v>3375</v>
      </c>
      <c r="E531">
        <v>0</v>
      </c>
    </row>
    <row r="532" spans="2:5" x14ac:dyDescent="0.2">
      <c r="D532" t="s">
        <v>3376</v>
      </c>
      <c r="E532">
        <v>0</v>
      </c>
    </row>
    <row r="533" spans="2:5" x14ac:dyDescent="0.2">
      <c r="D533" t="s">
        <v>3377</v>
      </c>
      <c r="E533">
        <v>0</v>
      </c>
    </row>
    <row r="534" spans="2:5" x14ac:dyDescent="0.2">
      <c r="B534" t="s">
        <v>3378</v>
      </c>
      <c r="C534" t="s">
        <v>2711</v>
      </c>
      <c r="D534">
        <v>3</v>
      </c>
    </row>
    <row r="535" spans="2:5" x14ac:dyDescent="0.2">
      <c r="C535" t="s">
        <v>2711</v>
      </c>
      <c r="D535">
        <v>3</v>
      </c>
    </row>
    <row r="536" spans="2:5" x14ac:dyDescent="0.2">
      <c r="B536" t="s">
        <v>3379</v>
      </c>
      <c r="C536" t="s">
        <v>2712</v>
      </c>
      <c r="D536">
        <v>0</v>
      </c>
    </row>
    <row r="538" spans="2:5" x14ac:dyDescent="0.2">
      <c r="C538" t="s">
        <v>3380</v>
      </c>
      <c r="D538" t="s">
        <v>3381</v>
      </c>
      <c r="E538">
        <v>0</v>
      </c>
    </row>
    <row r="539" spans="2:5" x14ac:dyDescent="0.2">
      <c r="D539" t="s">
        <v>3382</v>
      </c>
      <c r="E539">
        <v>0</v>
      </c>
    </row>
    <row r="540" spans="2:5" x14ac:dyDescent="0.2">
      <c r="D540" t="s">
        <v>3383</v>
      </c>
      <c r="E540">
        <v>0</v>
      </c>
    </row>
    <row r="541" spans="2:5" x14ac:dyDescent="0.2">
      <c r="B541" t="s">
        <v>3384</v>
      </c>
      <c r="C541" t="s">
        <v>2713</v>
      </c>
      <c r="D541">
        <v>3</v>
      </c>
    </row>
    <row r="542" spans="2:5" x14ac:dyDescent="0.2">
      <c r="C542" t="s">
        <v>2713</v>
      </c>
      <c r="D542">
        <v>3</v>
      </c>
    </row>
    <row r="543" spans="2:5" x14ac:dyDescent="0.2">
      <c r="B543" t="s">
        <v>3385</v>
      </c>
      <c r="C543">
        <v>9</v>
      </c>
    </row>
    <row r="544" spans="2:5" x14ac:dyDescent="0.2">
      <c r="B544" t="s">
        <v>3386</v>
      </c>
      <c r="C544">
        <v>0</v>
      </c>
    </row>
    <row r="545" spans="2:6" x14ac:dyDescent="0.2">
      <c r="B545" t="s">
        <v>3387</v>
      </c>
    </row>
    <row r="546" spans="2:6" x14ac:dyDescent="0.2">
      <c r="B546" t="s">
        <v>3388</v>
      </c>
    </row>
    <row r="547" spans="2:6" x14ac:dyDescent="0.2">
      <c r="B547" t="s">
        <v>3389</v>
      </c>
    </row>
    <row r="548" spans="2:6" x14ac:dyDescent="0.2">
      <c r="B548" t="s">
        <v>3390</v>
      </c>
    </row>
    <row r="549" spans="2:6" s="1090" customFormat="1" x14ac:dyDescent="0.2">
      <c r="B549" s="1090" t="s">
        <v>3391</v>
      </c>
      <c r="C549" s="1090">
        <v>110</v>
      </c>
    </row>
    <row r="550" spans="2:6" s="1090" customFormat="1" x14ac:dyDescent="0.2">
      <c r="B550" s="1090" t="s">
        <v>3392</v>
      </c>
      <c r="C550" s="1090" t="s">
        <v>1851</v>
      </c>
    </row>
    <row r="551" spans="2:6" s="1090" customFormat="1" x14ac:dyDescent="0.2">
      <c r="B551" s="1090" t="s">
        <v>3393</v>
      </c>
      <c r="C551" s="1090" t="s">
        <v>2714</v>
      </c>
      <c r="D551" s="1090">
        <v>3.6299999999999999E-2</v>
      </c>
    </row>
    <row r="552" spans="2:6" s="1090" customFormat="1" x14ac:dyDescent="0.2">
      <c r="C552" s="1090" t="s">
        <v>2714</v>
      </c>
      <c r="D552" s="1090" t="s">
        <v>3394</v>
      </c>
      <c r="E552" s="1090">
        <v>3.6299999999999999E-2</v>
      </c>
    </row>
    <row r="553" spans="2:6" s="1090" customFormat="1" x14ac:dyDescent="0.2"/>
    <row r="554" spans="2:6" s="1090" customFormat="1" x14ac:dyDescent="0.2">
      <c r="D554" s="1090" t="s">
        <v>3395</v>
      </c>
      <c r="E554" s="1090" t="s">
        <v>3396</v>
      </c>
      <c r="F554" s="1090">
        <v>0</v>
      </c>
    </row>
    <row r="555" spans="2:6" s="1090" customFormat="1" x14ac:dyDescent="0.2">
      <c r="E555" s="1090" t="s">
        <v>3397</v>
      </c>
      <c r="F555" s="1090">
        <v>0</v>
      </c>
    </row>
    <row r="556" spans="2:6" s="1090" customFormat="1" x14ac:dyDescent="0.2">
      <c r="E556" s="1090" t="s">
        <v>3398</v>
      </c>
      <c r="F556" s="1090">
        <v>3.6299999999999999E-2</v>
      </c>
    </row>
    <row r="557" spans="2:6" s="1090" customFormat="1" x14ac:dyDescent="0.2">
      <c r="E557" s="1090" t="s">
        <v>3399</v>
      </c>
      <c r="F557" s="1090">
        <v>0</v>
      </c>
    </row>
    <row r="558" spans="2:6" s="1090" customFormat="1" x14ac:dyDescent="0.2">
      <c r="E558" s="1090" t="s">
        <v>3400</v>
      </c>
      <c r="F558" s="1090">
        <v>0</v>
      </c>
    </row>
    <row r="559" spans="2:6" s="1090" customFormat="1" x14ac:dyDescent="0.2">
      <c r="E559" s="1090" t="s">
        <v>3401</v>
      </c>
      <c r="F559" s="1090">
        <v>0</v>
      </c>
    </row>
    <row r="560" spans="2:6" s="1090" customFormat="1" x14ac:dyDescent="0.2">
      <c r="E560" s="1090" t="s">
        <v>3402</v>
      </c>
      <c r="F560" s="1090">
        <v>0</v>
      </c>
    </row>
    <row r="561" spans="2:6" s="1090" customFormat="1" x14ac:dyDescent="0.2">
      <c r="B561" s="1090" t="s">
        <v>3403</v>
      </c>
      <c r="C561" s="1090" t="s">
        <v>2715</v>
      </c>
      <c r="D561" s="1090">
        <v>3</v>
      </c>
    </row>
    <row r="562" spans="2:6" s="1090" customFormat="1" x14ac:dyDescent="0.2">
      <c r="C562" s="1090" t="s">
        <v>2715</v>
      </c>
      <c r="D562" s="1090">
        <v>3</v>
      </c>
    </row>
    <row r="563" spans="2:6" x14ac:dyDescent="0.2">
      <c r="B563" t="s">
        <v>3404</v>
      </c>
      <c r="C563" t="s">
        <v>2716</v>
      </c>
      <c r="D563">
        <v>3.3E-3</v>
      </c>
    </row>
    <row r="564" spans="2:6" x14ac:dyDescent="0.2">
      <c r="C564" t="s">
        <v>2716</v>
      </c>
      <c r="D564" t="s">
        <v>3405</v>
      </c>
      <c r="E564">
        <v>3.3E-3</v>
      </c>
    </row>
    <row r="566" spans="2:6" x14ac:dyDescent="0.2">
      <c r="D566" t="s">
        <v>3406</v>
      </c>
      <c r="E566" t="s">
        <v>3407</v>
      </c>
      <c r="F566">
        <v>0</v>
      </c>
    </row>
    <row r="567" spans="2:6" x14ac:dyDescent="0.2">
      <c r="E567" t="s">
        <v>3408</v>
      </c>
      <c r="F567">
        <v>0</v>
      </c>
    </row>
    <row r="568" spans="2:6" x14ac:dyDescent="0.2">
      <c r="E568" t="s">
        <v>3409</v>
      </c>
      <c r="F568">
        <v>3.3E-3</v>
      </c>
    </row>
    <row r="569" spans="2:6" x14ac:dyDescent="0.2">
      <c r="E569" t="s">
        <v>3410</v>
      </c>
      <c r="F569">
        <v>0</v>
      </c>
    </row>
    <row r="570" spans="2:6" x14ac:dyDescent="0.2">
      <c r="E570" t="s">
        <v>3411</v>
      </c>
      <c r="F570">
        <v>0</v>
      </c>
    </row>
    <row r="571" spans="2:6" x14ac:dyDescent="0.2">
      <c r="E571" t="s">
        <v>3412</v>
      </c>
      <c r="F571">
        <v>0</v>
      </c>
    </row>
    <row r="572" spans="2:6" x14ac:dyDescent="0.2">
      <c r="E572" t="s">
        <v>3413</v>
      </c>
      <c r="F572">
        <v>0</v>
      </c>
    </row>
    <row r="573" spans="2:6" x14ac:dyDescent="0.2">
      <c r="B573" t="s">
        <v>3414</v>
      </c>
      <c r="C573" t="s">
        <v>2717</v>
      </c>
      <c r="D573">
        <v>3</v>
      </c>
    </row>
    <row r="574" spans="2:6" x14ac:dyDescent="0.2">
      <c r="C574" t="s">
        <v>2717</v>
      </c>
      <c r="D574">
        <v>3</v>
      </c>
    </row>
    <row r="575" spans="2:6" x14ac:dyDescent="0.2">
      <c r="B575" t="s">
        <v>3415</v>
      </c>
      <c r="C575">
        <v>42</v>
      </c>
    </row>
    <row r="576" spans="2:6" x14ac:dyDescent="0.2">
      <c r="B576" t="s">
        <v>3416</v>
      </c>
      <c r="C576">
        <v>0</v>
      </c>
    </row>
    <row r="577" spans="2:4" x14ac:dyDescent="0.2">
      <c r="B577" t="s">
        <v>3417</v>
      </c>
    </row>
    <row r="578" spans="2:4" x14ac:dyDescent="0.2">
      <c r="B578" t="s">
        <v>3418</v>
      </c>
    </row>
    <row r="579" spans="2:4" x14ac:dyDescent="0.2">
      <c r="B579" t="s">
        <v>3419</v>
      </c>
    </row>
    <row r="580" spans="2:4" x14ac:dyDescent="0.2">
      <c r="B580" t="s">
        <v>3420</v>
      </c>
    </row>
    <row r="581" spans="2:4" x14ac:dyDescent="0.2">
      <c r="B581" t="s">
        <v>3421</v>
      </c>
      <c r="C581">
        <v>111</v>
      </c>
    </row>
    <row r="582" spans="2:4" x14ac:dyDescent="0.2">
      <c r="B582" t="s">
        <v>3422</v>
      </c>
      <c r="C582" t="s">
        <v>1857</v>
      </c>
    </row>
    <row r="583" spans="2:4" x14ac:dyDescent="0.2">
      <c r="B583" t="s">
        <v>3423</v>
      </c>
      <c r="C583" t="s">
        <v>2719</v>
      </c>
      <c r="D583">
        <v>1.2999999999999999E-2</v>
      </c>
    </row>
    <row r="584" spans="2:4" x14ac:dyDescent="0.2">
      <c r="C584" t="s">
        <v>2719</v>
      </c>
      <c r="D584">
        <v>1.2999999999999999E-2</v>
      </c>
    </row>
    <row r="585" spans="2:4" x14ac:dyDescent="0.2">
      <c r="B585" t="s">
        <v>3424</v>
      </c>
      <c r="C585" t="s">
        <v>2720</v>
      </c>
      <c r="D585">
        <v>3</v>
      </c>
    </row>
    <row r="586" spans="2:4" x14ac:dyDescent="0.2">
      <c r="C586" t="s">
        <v>2720</v>
      </c>
      <c r="D586">
        <v>3</v>
      </c>
    </row>
    <row r="587" spans="2:4" x14ac:dyDescent="0.2">
      <c r="B587" t="s">
        <v>3425</v>
      </c>
      <c r="C587" t="s">
        <v>2721</v>
      </c>
      <c r="D587">
        <v>2.1499999999999998E-2</v>
      </c>
    </row>
    <row r="588" spans="2:4" x14ac:dyDescent="0.2">
      <c r="C588" t="s">
        <v>2721</v>
      </c>
      <c r="D588">
        <v>2.155E-2</v>
      </c>
    </row>
    <row r="589" spans="2:4" x14ac:dyDescent="0.2">
      <c r="B589" t="s">
        <v>3426</v>
      </c>
      <c r="C589" t="s">
        <v>2722</v>
      </c>
      <c r="D589">
        <v>3</v>
      </c>
    </row>
    <row r="590" spans="2:4" x14ac:dyDescent="0.2">
      <c r="C590" t="s">
        <v>2722</v>
      </c>
      <c r="D590">
        <v>3</v>
      </c>
    </row>
    <row r="591" spans="2:4" x14ac:dyDescent="0.2">
      <c r="B591" t="s">
        <v>3427</v>
      </c>
      <c r="C591">
        <v>14</v>
      </c>
    </row>
    <row r="592" spans="2:4" x14ac:dyDescent="0.2">
      <c r="B592" t="s">
        <v>3428</v>
      </c>
      <c r="C592">
        <v>43</v>
      </c>
    </row>
    <row r="593" spans="2:4" x14ac:dyDescent="0.2">
      <c r="B593" t="s">
        <v>3429</v>
      </c>
    </row>
    <row r="594" spans="2:4" x14ac:dyDescent="0.2">
      <c r="B594" t="s">
        <v>3430</v>
      </c>
      <c r="C594" t="s">
        <v>3431</v>
      </c>
    </row>
    <row r="595" spans="2:4" x14ac:dyDescent="0.2">
      <c r="B595" t="s">
        <v>3432</v>
      </c>
    </row>
    <row r="596" spans="2:4" x14ac:dyDescent="0.2">
      <c r="B596" t="s">
        <v>3433</v>
      </c>
    </row>
    <row r="597" spans="2:4" x14ac:dyDescent="0.2">
      <c r="B597" t="s">
        <v>3434</v>
      </c>
      <c r="C597">
        <v>112</v>
      </c>
    </row>
    <row r="598" spans="2:4" x14ac:dyDescent="0.2">
      <c r="B598" t="s">
        <v>3435</v>
      </c>
      <c r="C598" t="s">
        <v>1862</v>
      </c>
    </row>
    <row r="599" spans="2:4" x14ac:dyDescent="0.2">
      <c r="B599" t="s">
        <v>3436</v>
      </c>
      <c r="C599" t="s">
        <v>2723</v>
      </c>
      <c r="D599">
        <v>5.7799999999999997E-2</v>
      </c>
    </row>
    <row r="600" spans="2:4" x14ac:dyDescent="0.2">
      <c r="C600" t="s">
        <v>2723</v>
      </c>
      <c r="D600">
        <v>5.7799999999999997E-2</v>
      </c>
    </row>
    <row r="601" spans="2:4" x14ac:dyDescent="0.2">
      <c r="B601" t="s">
        <v>3437</v>
      </c>
      <c r="C601" t="s">
        <v>2724</v>
      </c>
      <c r="D601">
        <v>3</v>
      </c>
    </row>
    <row r="602" spans="2:4" x14ac:dyDescent="0.2">
      <c r="C602" t="s">
        <v>2724</v>
      </c>
      <c r="D602">
        <v>3</v>
      </c>
    </row>
    <row r="603" spans="2:4" x14ac:dyDescent="0.2">
      <c r="B603" t="s">
        <v>3438</v>
      </c>
      <c r="C603" t="s">
        <v>2725</v>
      </c>
      <c r="D603">
        <v>3.0499999999999999E-2</v>
      </c>
    </row>
    <row r="604" spans="2:4" x14ac:dyDescent="0.2">
      <c r="C604" t="s">
        <v>2725</v>
      </c>
      <c r="D604">
        <v>3.0499999999999999E-2</v>
      </c>
    </row>
    <row r="605" spans="2:4" x14ac:dyDescent="0.2">
      <c r="B605" t="s">
        <v>3439</v>
      </c>
      <c r="C605" t="s">
        <v>2726</v>
      </c>
      <c r="D605">
        <v>3</v>
      </c>
    </row>
    <row r="606" spans="2:4" x14ac:dyDescent="0.2">
      <c r="C606" t="s">
        <v>2726</v>
      </c>
      <c r="D606">
        <v>3</v>
      </c>
    </row>
    <row r="607" spans="2:4" x14ac:dyDescent="0.2">
      <c r="B607" t="s">
        <v>3440</v>
      </c>
      <c r="C607">
        <v>2</v>
      </c>
    </row>
    <row r="608" spans="2:4" x14ac:dyDescent="0.2">
      <c r="B608" t="s">
        <v>3441</v>
      </c>
      <c r="C608">
        <v>43</v>
      </c>
    </row>
    <row r="609" spans="2:8" x14ac:dyDescent="0.2">
      <c r="B609" t="s">
        <v>3442</v>
      </c>
    </row>
    <row r="610" spans="2:8" x14ac:dyDescent="0.2">
      <c r="B610" t="s">
        <v>3443</v>
      </c>
    </row>
    <row r="611" spans="2:8" x14ac:dyDescent="0.2">
      <c r="B611" t="s">
        <v>3444</v>
      </c>
    </row>
    <row r="612" spans="2:8" x14ac:dyDescent="0.2">
      <c r="B612" t="s">
        <v>3445</v>
      </c>
    </row>
    <row r="613" spans="2:8" x14ac:dyDescent="0.2">
      <c r="B613" t="s">
        <v>3446</v>
      </c>
      <c r="C613">
        <v>113</v>
      </c>
    </row>
    <row r="614" spans="2:8" x14ac:dyDescent="0.2">
      <c r="B614" t="s">
        <v>3447</v>
      </c>
      <c r="C614" t="s">
        <v>1867</v>
      </c>
    </row>
    <row r="615" spans="2:8" x14ac:dyDescent="0.2">
      <c r="B615" t="s">
        <v>3448</v>
      </c>
    </row>
    <row r="616" spans="2:8" x14ac:dyDescent="0.2">
      <c r="B616" t="s">
        <v>3449</v>
      </c>
    </row>
    <row r="617" spans="2:8" x14ac:dyDescent="0.2">
      <c r="B617" t="s">
        <v>3450</v>
      </c>
      <c r="C617" t="s">
        <v>2727</v>
      </c>
      <c r="D617">
        <v>117.9597</v>
      </c>
    </row>
    <row r="618" spans="2:8" x14ac:dyDescent="0.2">
      <c r="C618" t="s">
        <v>3451</v>
      </c>
      <c r="D618">
        <v>110</v>
      </c>
    </row>
    <row r="619" spans="2:8" x14ac:dyDescent="0.2">
      <c r="C619" t="s">
        <v>3452</v>
      </c>
      <c r="D619" t="s">
        <v>3453</v>
      </c>
      <c r="E619">
        <v>7.9596999999999998</v>
      </c>
    </row>
    <row r="620" spans="2:8" x14ac:dyDescent="0.2">
      <c r="D620" t="s">
        <v>3454</v>
      </c>
      <c r="E620" t="s">
        <v>3455</v>
      </c>
      <c r="F620">
        <v>7.9596789059999997</v>
      </c>
    </row>
    <row r="621" spans="2:8" x14ac:dyDescent="0.2">
      <c r="E621" t="s">
        <v>3456</v>
      </c>
      <c r="F621" t="s">
        <v>3457</v>
      </c>
      <c r="G621">
        <v>8844</v>
      </c>
    </row>
    <row r="623" spans="2:8" x14ac:dyDescent="0.2">
      <c r="F623" t="s">
        <v>3458</v>
      </c>
      <c r="G623" t="s">
        <v>3459</v>
      </c>
      <c r="H623">
        <v>7367</v>
      </c>
    </row>
    <row r="624" spans="2:8" x14ac:dyDescent="0.2">
      <c r="G624" t="s">
        <v>3460</v>
      </c>
      <c r="H624">
        <v>1477</v>
      </c>
    </row>
    <row r="625" spans="2:4" x14ac:dyDescent="0.2">
      <c r="C625" t="s">
        <v>3461</v>
      </c>
      <c r="D625">
        <v>0</v>
      </c>
    </row>
    <row r="626" spans="2:4" x14ac:dyDescent="0.2">
      <c r="C626" t="s">
        <v>3462</v>
      </c>
      <c r="D626">
        <v>0</v>
      </c>
    </row>
    <row r="627" spans="2:4" x14ac:dyDescent="0.2">
      <c r="B627" t="s">
        <v>3463</v>
      </c>
      <c r="C627" t="s">
        <v>2728</v>
      </c>
      <c r="D627">
        <v>1</v>
      </c>
    </row>
    <row r="628" spans="2:4" x14ac:dyDescent="0.2">
      <c r="C628" t="s">
        <v>2728</v>
      </c>
      <c r="D628">
        <v>1</v>
      </c>
    </row>
    <row r="629" spans="2:4" x14ac:dyDescent="0.2">
      <c r="B629" t="s">
        <v>3464</v>
      </c>
      <c r="C629">
        <v>12</v>
      </c>
    </row>
    <row r="630" spans="2:4" x14ac:dyDescent="0.2">
      <c r="B630" t="s">
        <v>3465</v>
      </c>
      <c r="C630">
        <v>0</v>
      </c>
    </row>
    <row r="631" spans="2:4" x14ac:dyDescent="0.2">
      <c r="B631" t="s">
        <v>3466</v>
      </c>
    </row>
    <row r="632" spans="2:4" x14ac:dyDescent="0.2">
      <c r="B632" t="s">
        <v>3467</v>
      </c>
    </row>
    <row r="633" spans="2:4" x14ac:dyDescent="0.2">
      <c r="B633" t="s">
        <v>3468</v>
      </c>
    </row>
    <row r="634" spans="2:4" x14ac:dyDescent="0.2">
      <c r="B634" t="s">
        <v>3469</v>
      </c>
    </row>
    <row r="635" spans="2:4" x14ac:dyDescent="0.2">
      <c r="B635" t="s">
        <v>3470</v>
      </c>
      <c r="C635">
        <v>114</v>
      </c>
    </row>
    <row r="636" spans="2:4" x14ac:dyDescent="0.2">
      <c r="B636" t="s">
        <v>3471</v>
      </c>
      <c r="C636" t="s">
        <v>1870</v>
      </c>
    </row>
    <row r="637" spans="2:4" x14ac:dyDescent="0.2">
      <c r="B637" t="s">
        <v>3472</v>
      </c>
    </row>
    <row r="638" spans="2:4" x14ac:dyDescent="0.2">
      <c r="B638" t="s">
        <v>3473</v>
      </c>
    </row>
    <row r="639" spans="2:4" x14ac:dyDescent="0.2">
      <c r="B639" t="s">
        <v>3474</v>
      </c>
      <c r="C639" t="s">
        <v>2729</v>
      </c>
      <c r="D639">
        <v>0</v>
      </c>
    </row>
    <row r="640" spans="2:4" x14ac:dyDescent="0.2">
      <c r="C640" t="s">
        <v>2729</v>
      </c>
      <c r="D640">
        <v>0</v>
      </c>
    </row>
    <row r="641" spans="2:4" x14ac:dyDescent="0.2">
      <c r="B641" t="s">
        <v>3475</v>
      </c>
      <c r="C641" t="s">
        <v>2730</v>
      </c>
      <c r="D641">
        <v>1</v>
      </c>
    </row>
    <row r="642" spans="2:4" x14ac:dyDescent="0.2">
      <c r="C642" t="s">
        <v>2730</v>
      </c>
      <c r="D642">
        <v>1</v>
      </c>
    </row>
    <row r="643" spans="2:4" x14ac:dyDescent="0.2">
      <c r="B643" t="s">
        <v>3476</v>
      </c>
      <c r="C643">
        <v>2</v>
      </c>
    </row>
    <row r="644" spans="2:4" x14ac:dyDescent="0.2">
      <c r="B644" t="s">
        <v>3477</v>
      </c>
      <c r="C644">
        <v>13</v>
      </c>
    </row>
    <row r="645" spans="2:4" x14ac:dyDescent="0.2">
      <c r="B645" t="s">
        <v>3478</v>
      </c>
    </row>
    <row r="646" spans="2:4" x14ac:dyDescent="0.2">
      <c r="B646" t="s">
        <v>3479</v>
      </c>
    </row>
    <row r="647" spans="2:4" x14ac:dyDescent="0.2">
      <c r="B647" t="s">
        <v>3480</v>
      </c>
    </row>
    <row r="648" spans="2:4" x14ac:dyDescent="0.2">
      <c r="B648" t="s">
        <v>3481</v>
      </c>
    </row>
    <row r="649" spans="2:4" x14ac:dyDescent="0.2">
      <c r="B649" t="s">
        <v>3482</v>
      </c>
      <c r="C649">
        <v>115</v>
      </c>
    </row>
    <row r="650" spans="2:4" x14ac:dyDescent="0.2">
      <c r="B650" t="s">
        <v>3483</v>
      </c>
      <c r="C650" t="s">
        <v>1874</v>
      </c>
    </row>
    <row r="651" spans="2:4" x14ac:dyDescent="0.2">
      <c r="B651" t="s">
        <v>3484</v>
      </c>
      <c r="C651">
        <v>-99</v>
      </c>
    </row>
    <row r="652" spans="2:4" x14ac:dyDescent="0.2">
      <c r="B652" t="s">
        <v>3485</v>
      </c>
      <c r="C652">
        <v>-99</v>
      </c>
    </row>
    <row r="653" spans="2:4" x14ac:dyDescent="0.2">
      <c r="B653" t="s">
        <v>3486</v>
      </c>
      <c r="C653">
        <v>-99</v>
      </c>
    </row>
    <row r="654" spans="2:4" x14ac:dyDescent="0.2">
      <c r="B654" t="s">
        <v>3487</v>
      </c>
      <c r="C654">
        <v>-99</v>
      </c>
    </row>
    <row r="655" spans="2:4" x14ac:dyDescent="0.2">
      <c r="B655" t="s">
        <v>3488</v>
      </c>
      <c r="C655">
        <v>0</v>
      </c>
    </row>
    <row r="656" spans="2:4" x14ac:dyDescent="0.2">
      <c r="B656" t="s">
        <v>3489</v>
      </c>
      <c r="C656">
        <v>0</v>
      </c>
    </row>
    <row r="657" spans="2:4" x14ac:dyDescent="0.2">
      <c r="B657" t="s">
        <v>3490</v>
      </c>
    </row>
    <row r="658" spans="2:4" x14ac:dyDescent="0.2">
      <c r="B658" t="s">
        <v>3491</v>
      </c>
    </row>
    <row r="659" spans="2:4" x14ac:dyDescent="0.2">
      <c r="B659" t="s">
        <v>3492</v>
      </c>
    </row>
    <row r="660" spans="2:4" x14ac:dyDescent="0.2">
      <c r="B660" t="s">
        <v>3493</v>
      </c>
    </row>
    <row r="661" spans="2:4" x14ac:dyDescent="0.2">
      <c r="B661" t="s">
        <v>3494</v>
      </c>
      <c r="C661">
        <v>116</v>
      </c>
    </row>
    <row r="662" spans="2:4" x14ac:dyDescent="0.2">
      <c r="B662" t="s">
        <v>3495</v>
      </c>
      <c r="C662" t="s">
        <v>1876</v>
      </c>
    </row>
    <row r="663" spans="2:4" x14ac:dyDescent="0.2">
      <c r="B663" t="s">
        <v>3496</v>
      </c>
    </row>
    <row r="664" spans="2:4" x14ac:dyDescent="0.2">
      <c r="B664" t="s">
        <v>3497</v>
      </c>
    </row>
    <row r="665" spans="2:4" x14ac:dyDescent="0.2">
      <c r="B665" t="s">
        <v>3498</v>
      </c>
      <c r="C665" t="s">
        <v>2731</v>
      </c>
      <c r="D665">
        <v>0</v>
      </c>
    </row>
    <row r="666" spans="2:4" x14ac:dyDescent="0.2">
      <c r="C666" t="s">
        <v>2731</v>
      </c>
      <c r="D666">
        <v>0</v>
      </c>
    </row>
    <row r="667" spans="2:4" x14ac:dyDescent="0.2">
      <c r="B667" t="s">
        <v>3499</v>
      </c>
      <c r="C667" t="s">
        <v>2732</v>
      </c>
      <c r="D667">
        <v>3</v>
      </c>
    </row>
    <row r="668" spans="2:4" x14ac:dyDescent="0.2">
      <c r="C668" t="s">
        <v>2732</v>
      </c>
      <c r="D668">
        <v>3</v>
      </c>
    </row>
    <row r="669" spans="2:4" x14ac:dyDescent="0.2">
      <c r="B669" t="s">
        <v>3500</v>
      </c>
      <c r="C669">
        <v>2</v>
      </c>
    </row>
    <row r="670" spans="2:4" x14ac:dyDescent="0.2">
      <c r="B670" t="s">
        <v>3501</v>
      </c>
      <c r="C670">
        <v>0</v>
      </c>
    </row>
    <row r="671" spans="2:4" x14ac:dyDescent="0.2">
      <c r="B671" t="s">
        <v>3502</v>
      </c>
    </row>
    <row r="672" spans="2:4" x14ac:dyDescent="0.2">
      <c r="B672" t="s">
        <v>3503</v>
      </c>
    </row>
    <row r="673" spans="2:4" x14ac:dyDescent="0.2">
      <c r="B673" t="s">
        <v>3504</v>
      </c>
    </row>
    <row r="674" spans="2:4" x14ac:dyDescent="0.2">
      <c r="B674" t="s">
        <v>3505</v>
      </c>
    </row>
    <row r="675" spans="2:4" x14ac:dyDescent="0.2">
      <c r="B675" t="s">
        <v>3506</v>
      </c>
      <c r="C675">
        <v>117</v>
      </c>
    </row>
    <row r="676" spans="2:4" x14ac:dyDescent="0.2">
      <c r="B676" t="s">
        <v>3507</v>
      </c>
      <c r="C676" t="s">
        <v>1881</v>
      </c>
    </row>
    <row r="677" spans="2:4" x14ac:dyDescent="0.2">
      <c r="B677" t="s">
        <v>3508</v>
      </c>
    </row>
    <row r="678" spans="2:4" x14ac:dyDescent="0.2">
      <c r="B678" t="s">
        <v>3509</v>
      </c>
    </row>
    <row r="679" spans="2:4" x14ac:dyDescent="0.2">
      <c r="B679" t="s">
        <v>3510</v>
      </c>
      <c r="C679" t="s">
        <v>2733</v>
      </c>
      <c r="D679">
        <v>7400</v>
      </c>
    </row>
    <row r="680" spans="2:4" x14ac:dyDescent="0.2">
      <c r="C680" t="s">
        <v>2733</v>
      </c>
      <c r="D680">
        <v>7400</v>
      </c>
    </row>
    <row r="681" spans="2:4" x14ac:dyDescent="0.2">
      <c r="B681" t="s">
        <v>3511</v>
      </c>
      <c r="C681" t="s">
        <v>2734</v>
      </c>
      <c r="D681">
        <v>1</v>
      </c>
    </row>
    <row r="682" spans="2:4" x14ac:dyDescent="0.2">
      <c r="C682" t="s">
        <v>2734</v>
      </c>
      <c r="D682">
        <v>1</v>
      </c>
    </row>
    <row r="683" spans="2:4" x14ac:dyDescent="0.2">
      <c r="B683" t="s">
        <v>3512</v>
      </c>
      <c r="C683">
        <v>2</v>
      </c>
    </row>
    <row r="684" spans="2:4" x14ac:dyDescent="0.2">
      <c r="B684" t="s">
        <v>3513</v>
      </c>
      <c r="C684">
        <v>13</v>
      </c>
    </row>
    <row r="685" spans="2:4" x14ac:dyDescent="0.2">
      <c r="B685" t="s">
        <v>3514</v>
      </c>
    </row>
    <row r="686" spans="2:4" x14ac:dyDescent="0.2">
      <c r="B686" t="s">
        <v>3515</v>
      </c>
    </row>
    <row r="687" spans="2:4" x14ac:dyDescent="0.2">
      <c r="B687" t="s">
        <v>3516</v>
      </c>
    </row>
    <row r="688" spans="2:4" x14ac:dyDescent="0.2">
      <c r="B688" t="s">
        <v>3517</v>
      </c>
    </row>
    <row r="689" spans="2:4" x14ac:dyDescent="0.2">
      <c r="B689" t="s">
        <v>3518</v>
      </c>
      <c r="C689">
        <v>118</v>
      </c>
    </row>
    <row r="690" spans="2:4" x14ac:dyDescent="0.2">
      <c r="B690" t="s">
        <v>3519</v>
      </c>
      <c r="C690" t="s">
        <v>1885</v>
      </c>
    </row>
    <row r="691" spans="2:4" x14ac:dyDescent="0.2">
      <c r="B691" t="s">
        <v>3520</v>
      </c>
      <c r="C691">
        <v>-99</v>
      </c>
    </row>
    <row r="692" spans="2:4" x14ac:dyDescent="0.2">
      <c r="B692" t="s">
        <v>3521</v>
      </c>
      <c r="C692">
        <v>-99</v>
      </c>
    </row>
    <row r="693" spans="2:4" x14ac:dyDescent="0.2">
      <c r="B693" t="s">
        <v>3522</v>
      </c>
      <c r="C693">
        <v>-99</v>
      </c>
    </row>
    <row r="694" spans="2:4" x14ac:dyDescent="0.2">
      <c r="B694" t="s">
        <v>3523</v>
      </c>
      <c r="C694">
        <v>-99</v>
      </c>
    </row>
    <row r="695" spans="2:4" x14ac:dyDescent="0.2">
      <c r="B695" t="s">
        <v>3524</v>
      </c>
      <c r="C695">
        <v>0</v>
      </c>
    </row>
    <row r="696" spans="2:4" x14ac:dyDescent="0.2">
      <c r="B696" t="s">
        <v>3525</v>
      </c>
      <c r="C696">
        <v>0</v>
      </c>
    </row>
    <row r="697" spans="2:4" x14ac:dyDescent="0.2">
      <c r="B697" t="s">
        <v>3526</v>
      </c>
    </row>
    <row r="698" spans="2:4" x14ac:dyDescent="0.2">
      <c r="B698" t="s">
        <v>3527</v>
      </c>
    </row>
    <row r="699" spans="2:4" x14ac:dyDescent="0.2">
      <c r="B699" t="s">
        <v>3528</v>
      </c>
    </row>
    <row r="700" spans="2:4" x14ac:dyDescent="0.2">
      <c r="B700" t="s">
        <v>3529</v>
      </c>
    </row>
    <row r="701" spans="2:4" x14ac:dyDescent="0.2">
      <c r="B701" t="s">
        <v>3530</v>
      </c>
      <c r="C701">
        <v>119</v>
      </c>
    </row>
    <row r="702" spans="2:4" x14ac:dyDescent="0.2">
      <c r="B702" t="s">
        <v>3531</v>
      </c>
      <c r="C702" t="s">
        <v>1887</v>
      </c>
    </row>
    <row r="703" spans="2:4" x14ac:dyDescent="0.2">
      <c r="B703" t="s">
        <v>3532</v>
      </c>
      <c r="C703" t="s">
        <v>2735</v>
      </c>
      <c r="D703">
        <v>2.2000000000000001E-3</v>
      </c>
    </row>
    <row r="704" spans="2:4" x14ac:dyDescent="0.2">
      <c r="C704" t="s">
        <v>3533</v>
      </c>
      <c r="D704">
        <v>1.75E-3</v>
      </c>
    </row>
    <row r="705" spans="2:7" x14ac:dyDescent="0.2">
      <c r="C705" t="s">
        <v>3534</v>
      </c>
      <c r="D705" t="s">
        <v>3535</v>
      </c>
      <c r="E705">
        <v>4.1190500000000001E-4</v>
      </c>
    </row>
    <row r="706" spans="2:7" x14ac:dyDescent="0.2">
      <c r="D706" t="s">
        <v>3536</v>
      </c>
      <c r="E706" t="s">
        <v>3537</v>
      </c>
      <c r="F706">
        <v>46</v>
      </c>
    </row>
    <row r="707" spans="2:7" x14ac:dyDescent="0.2">
      <c r="E707" t="s">
        <v>3538</v>
      </c>
      <c r="F707">
        <v>92</v>
      </c>
    </row>
    <row r="708" spans="2:7" x14ac:dyDescent="0.2">
      <c r="D708" t="s">
        <v>3539</v>
      </c>
      <c r="E708" t="s">
        <v>3540</v>
      </c>
      <c r="F708">
        <v>111676</v>
      </c>
    </row>
    <row r="709" spans="2:7" x14ac:dyDescent="0.2">
      <c r="E709" t="s">
        <v>3540</v>
      </c>
      <c r="F709">
        <v>111676</v>
      </c>
    </row>
    <row r="710" spans="2:7" x14ac:dyDescent="0.2">
      <c r="B710" t="s">
        <v>3541</v>
      </c>
      <c r="C710" t="s">
        <v>2736</v>
      </c>
      <c r="D710">
        <v>3</v>
      </c>
    </row>
    <row r="711" spans="2:7" x14ac:dyDescent="0.2">
      <c r="C711" t="s">
        <v>2736</v>
      </c>
      <c r="D711">
        <v>3</v>
      </c>
    </row>
    <row r="712" spans="2:7" x14ac:dyDescent="0.2">
      <c r="B712" t="s">
        <v>3542</v>
      </c>
      <c r="C712" t="s">
        <v>2737</v>
      </c>
      <c r="D712">
        <v>2.5000000000000001E-3</v>
      </c>
    </row>
    <row r="713" spans="2:7" x14ac:dyDescent="0.2">
      <c r="C713" t="s">
        <v>3543</v>
      </c>
      <c r="D713">
        <v>1.57E-3</v>
      </c>
    </row>
    <row r="714" spans="2:7" x14ac:dyDescent="0.2">
      <c r="C714" t="s">
        <v>3544</v>
      </c>
      <c r="D714" t="s">
        <v>3545</v>
      </c>
      <c r="E714">
        <v>9.6708199999999997E-4</v>
      </c>
    </row>
    <row r="715" spans="2:7" x14ac:dyDescent="0.2">
      <c r="D715" t="s">
        <v>3546</v>
      </c>
      <c r="E715" t="s">
        <v>3547</v>
      </c>
      <c r="F715">
        <v>108</v>
      </c>
    </row>
    <row r="716" spans="2:7" x14ac:dyDescent="0.2">
      <c r="E716" t="s">
        <v>3548</v>
      </c>
      <c r="F716" t="s">
        <v>3549</v>
      </c>
      <c r="G716">
        <v>216</v>
      </c>
    </row>
    <row r="717" spans="2:7" x14ac:dyDescent="0.2">
      <c r="D717" t="s">
        <v>3550</v>
      </c>
      <c r="E717" t="s">
        <v>3540</v>
      </c>
      <c r="F717">
        <v>111676</v>
      </c>
    </row>
    <row r="718" spans="2:7" x14ac:dyDescent="0.2">
      <c r="E718" t="s">
        <v>3540</v>
      </c>
      <c r="F718">
        <v>111676</v>
      </c>
    </row>
    <row r="719" spans="2:7" x14ac:dyDescent="0.2">
      <c r="B719" t="s">
        <v>3551</v>
      </c>
      <c r="C719" t="s">
        <v>2738</v>
      </c>
      <c r="D719">
        <v>3</v>
      </c>
    </row>
    <row r="720" spans="2:7" x14ac:dyDescent="0.2">
      <c r="C720" t="s">
        <v>2738</v>
      </c>
      <c r="D720">
        <v>3</v>
      </c>
    </row>
    <row r="721" spans="2:5" x14ac:dyDescent="0.2">
      <c r="B721" t="s">
        <v>3552</v>
      </c>
      <c r="C721">
        <v>4</v>
      </c>
    </row>
    <row r="722" spans="2:5" x14ac:dyDescent="0.2">
      <c r="B722" t="s">
        <v>3553</v>
      </c>
      <c r="C722">
        <v>0</v>
      </c>
    </row>
    <row r="723" spans="2:5" x14ac:dyDescent="0.2">
      <c r="B723" t="s">
        <v>3554</v>
      </c>
    </row>
    <row r="724" spans="2:5" x14ac:dyDescent="0.2">
      <c r="B724" t="s">
        <v>3555</v>
      </c>
    </row>
    <row r="725" spans="2:5" x14ac:dyDescent="0.2">
      <c r="B725" t="s">
        <v>3556</v>
      </c>
    </row>
    <row r="726" spans="2:5" x14ac:dyDescent="0.2">
      <c r="B726" t="s">
        <v>3557</v>
      </c>
    </row>
    <row r="727" spans="2:5" x14ac:dyDescent="0.2">
      <c r="B727" t="s">
        <v>3558</v>
      </c>
      <c r="C727">
        <v>120</v>
      </c>
    </row>
    <row r="728" spans="2:5" x14ac:dyDescent="0.2">
      <c r="B728" t="s">
        <v>3559</v>
      </c>
      <c r="C728" t="s">
        <v>1893</v>
      </c>
    </row>
    <row r="729" spans="2:5" x14ac:dyDescent="0.2">
      <c r="B729" t="s">
        <v>3560</v>
      </c>
      <c r="C729" t="s">
        <v>2739</v>
      </c>
      <c r="D729">
        <v>2046</v>
      </c>
    </row>
    <row r="730" spans="2:5" x14ac:dyDescent="0.2">
      <c r="C730" t="s">
        <v>3561</v>
      </c>
      <c r="D730">
        <v>2000</v>
      </c>
    </row>
    <row r="731" spans="2:5" x14ac:dyDescent="0.2">
      <c r="C731" t="s">
        <v>3538</v>
      </c>
      <c r="D731">
        <v>92</v>
      </c>
    </row>
    <row r="732" spans="2:5" x14ac:dyDescent="0.2">
      <c r="B732" t="s">
        <v>3562</v>
      </c>
      <c r="C732" t="s">
        <v>2740</v>
      </c>
      <c r="D732">
        <v>1</v>
      </c>
    </row>
    <row r="733" spans="2:5" x14ac:dyDescent="0.2">
      <c r="C733" t="s">
        <v>2740</v>
      </c>
      <c r="D733">
        <v>1</v>
      </c>
    </row>
    <row r="734" spans="2:5" x14ac:dyDescent="0.2">
      <c r="B734" t="s">
        <v>3563</v>
      </c>
      <c r="C734" t="s">
        <v>2741</v>
      </c>
      <c r="D734">
        <v>608</v>
      </c>
    </row>
    <row r="735" spans="2:5" x14ac:dyDescent="0.2">
      <c r="C735" t="s">
        <v>3564</v>
      </c>
      <c r="D735">
        <v>500</v>
      </c>
    </row>
    <row r="736" spans="2:5" x14ac:dyDescent="0.2">
      <c r="C736" t="s">
        <v>3548</v>
      </c>
      <c r="D736" t="s">
        <v>3549</v>
      </c>
      <c r="E736">
        <v>216</v>
      </c>
    </row>
    <row r="737" spans="2:4" x14ac:dyDescent="0.2">
      <c r="B737" t="s">
        <v>3565</v>
      </c>
      <c r="C737" t="s">
        <v>2742</v>
      </c>
      <c r="D737">
        <v>1</v>
      </c>
    </row>
    <row r="738" spans="2:4" x14ac:dyDescent="0.2">
      <c r="C738" t="s">
        <v>2742</v>
      </c>
      <c r="D738">
        <v>1</v>
      </c>
    </row>
    <row r="739" spans="2:4" x14ac:dyDescent="0.2">
      <c r="B739" t="s">
        <v>3566</v>
      </c>
      <c r="C739">
        <v>4</v>
      </c>
    </row>
    <row r="740" spans="2:4" x14ac:dyDescent="0.2">
      <c r="B740" t="s">
        <v>3567</v>
      </c>
      <c r="C740">
        <v>0</v>
      </c>
    </row>
    <row r="741" spans="2:4" x14ac:dyDescent="0.2">
      <c r="B741" t="s">
        <v>3568</v>
      </c>
    </row>
    <row r="742" spans="2:4" x14ac:dyDescent="0.2">
      <c r="B742" t="s">
        <v>3569</v>
      </c>
    </row>
    <row r="743" spans="2:4" x14ac:dyDescent="0.2">
      <c r="B743" t="s">
        <v>3570</v>
      </c>
    </row>
    <row r="744" spans="2:4" x14ac:dyDescent="0.2">
      <c r="B744" t="s">
        <v>3571</v>
      </c>
    </row>
    <row r="745" spans="2:4" x14ac:dyDescent="0.2">
      <c r="B745" t="s">
        <v>3572</v>
      </c>
      <c r="C745">
        <v>121</v>
      </c>
    </row>
    <row r="746" spans="2:4" x14ac:dyDescent="0.2">
      <c r="B746" t="s">
        <v>3573</v>
      </c>
      <c r="C746" t="s">
        <v>1899</v>
      </c>
    </row>
    <row r="747" spans="2:4" x14ac:dyDescent="0.2">
      <c r="B747" t="s">
        <v>3574</v>
      </c>
      <c r="C747" t="s">
        <v>2743</v>
      </c>
      <c r="D747">
        <v>0</v>
      </c>
    </row>
    <row r="748" spans="2:4" x14ac:dyDescent="0.2">
      <c r="C748" t="s">
        <v>2743</v>
      </c>
      <c r="D748">
        <v>0</v>
      </c>
    </row>
    <row r="749" spans="2:4" x14ac:dyDescent="0.2">
      <c r="B749" t="s">
        <v>3575</v>
      </c>
      <c r="C749" t="s">
        <v>2744</v>
      </c>
      <c r="D749">
        <v>3</v>
      </c>
    </row>
    <row r="750" spans="2:4" x14ac:dyDescent="0.2">
      <c r="C750" t="s">
        <v>2744</v>
      </c>
      <c r="D750">
        <v>3</v>
      </c>
    </row>
    <row r="751" spans="2:4" x14ac:dyDescent="0.2">
      <c r="B751" t="s">
        <v>3576</v>
      </c>
      <c r="C751" t="s">
        <v>2745</v>
      </c>
      <c r="D751">
        <v>0</v>
      </c>
    </row>
    <row r="752" spans="2:4" x14ac:dyDescent="0.2">
      <c r="C752" t="s">
        <v>2745</v>
      </c>
      <c r="D752">
        <v>0</v>
      </c>
    </row>
    <row r="753" spans="2:4" x14ac:dyDescent="0.2">
      <c r="B753" t="s">
        <v>3577</v>
      </c>
      <c r="C753" t="s">
        <v>2746</v>
      </c>
      <c r="D753">
        <v>3</v>
      </c>
    </row>
    <row r="754" spans="2:4" x14ac:dyDescent="0.2">
      <c r="C754" t="s">
        <v>2746</v>
      </c>
      <c r="D754">
        <v>3</v>
      </c>
    </row>
    <row r="755" spans="2:4" x14ac:dyDescent="0.2">
      <c r="B755" t="s">
        <v>3578</v>
      </c>
      <c r="C755">
        <v>4</v>
      </c>
    </row>
    <row r="756" spans="2:4" x14ac:dyDescent="0.2">
      <c r="B756" t="s">
        <v>3579</v>
      </c>
      <c r="C756">
        <v>0</v>
      </c>
    </row>
    <row r="757" spans="2:4" x14ac:dyDescent="0.2">
      <c r="B757" t="s">
        <v>3580</v>
      </c>
    </row>
    <row r="758" spans="2:4" x14ac:dyDescent="0.2">
      <c r="B758" t="s">
        <v>3581</v>
      </c>
    </row>
    <row r="759" spans="2:4" x14ac:dyDescent="0.2">
      <c r="B759" t="s">
        <v>3582</v>
      </c>
    </row>
    <row r="760" spans="2:4" x14ac:dyDescent="0.2">
      <c r="B760" t="s">
        <v>3583</v>
      </c>
    </row>
    <row r="761" spans="2:4" x14ac:dyDescent="0.2">
      <c r="B761" t="s">
        <v>3584</v>
      </c>
      <c r="C761">
        <v>122</v>
      </c>
    </row>
    <row r="762" spans="2:4" x14ac:dyDescent="0.2">
      <c r="B762" t="s">
        <v>3585</v>
      </c>
      <c r="C762" t="s">
        <v>1906</v>
      </c>
    </row>
    <row r="763" spans="2:4" x14ac:dyDescent="0.2">
      <c r="B763" t="s">
        <v>3586</v>
      </c>
      <c r="C763" t="s">
        <v>2747</v>
      </c>
      <c r="D763">
        <v>2.5899999999999999E-2</v>
      </c>
    </row>
    <row r="764" spans="2:4" x14ac:dyDescent="0.2">
      <c r="C764" t="s">
        <v>2747</v>
      </c>
      <c r="D764">
        <v>2.5899999999999999E-2</v>
      </c>
    </row>
    <row r="765" spans="2:4" x14ac:dyDescent="0.2">
      <c r="B765" t="s">
        <v>3587</v>
      </c>
      <c r="C765" t="s">
        <v>2748</v>
      </c>
      <c r="D765">
        <v>3</v>
      </c>
    </row>
    <row r="766" spans="2:4" x14ac:dyDescent="0.2">
      <c r="C766" t="s">
        <v>2748</v>
      </c>
      <c r="D766">
        <v>3</v>
      </c>
    </row>
    <row r="767" spans="2:4" x14ac:dyDescent="0.2">
      <c r="B767" t="s">
        <v>3588</v>
      </c>
      <c r="C767" t="s">
        <v>2749</v>
      </c>
      <c r="D767">
        <v>3.5999999999999999E-3</v>
      </c>
    </row>
    <row r="768" spans="2:4" x14ac:dyDescent="0.2">
      <c r="C768" t="s">
        <v>2749</v>
      </c>
      <c r="D768">
        <v>3.5999999999999999E-3</v>
      </c>
    </row>
    <row r="769" spans="2:4" x14ac:dyDescent="0.2">
      <c r="B769" t="s">
        <v>3589</v>
      </c>
      <c r="C769" t="s">
        <v>2750</v>
      </c>
      <c r="D769">
        <v>3</v>
      </c>
    </row>
    <row r="770" spans="2:4" x14ac:dyDescent="0.2">
      <c r="C770" t="s">
        <v>2750</v>
      </c>
      <c r="D770">
        <v>3</v>
      </c>
    </row>
    <row r="771" spans="2:4" x14ac:dyDescent="0.2">
      <c r="B771" t="s">
        <v>3590</v>
      </c>
      <c r="C771">
        <v>5</v>
      </c>
    </row>
    <row r="772" spans="2:4" x14ac:dyDescent="0.2">
      <c r="B772" t="s">
        <v>3591</v>
      </c>
      <c r="C772">
        <v>0</v>
      </c>
    </row>
    <row r="773" spans="2:4" x14ac:dyDescent="0.2">
      <c r="B773" t="s">
        <v>3592</v>
      </c>
    </row>
    <row r="774" spans="2:4" x14ac:dyDescent="0.2">
      <c r="B774" t="s">
        <v>3593</v>
      </c>
      <c r="C774" t="s">
        <v>3594</v>
      </c>
    </row>
    <row r="775" spans="2:4" x14ac:dyDescent="0.2">
      <c r="B775" t="s">
        <v>3595</v>
      </c>
    </row>
    <row r="776" spans="2:4" x14ac:dyDescent="0.2">
      <c r="B776" t="s">
        <v>3596</v>
      </c>
    </row>
    <row r="777" spans="2:4" x14ac:dyDescent="0.2">
      <c r="B777" t="s">
        <v>3597</v>
      </c>
      <c r="C777">
        <v>123</v>
      </c>
    </row>
    <row r="778" spans="2:4" x14ac:dyDescent="0.2">
      <c r="B778" t="s">
        <v>3598</v>
      </c>
      <c r="C778" t="s">
        <v>1911</v>
      </c>
    </row>
    <row r="779" spans="2:4" x14ac:dyDescent="0.2">
      <c r="B779" t="s">
        <v>3599</v>
      </c>
      <c r="C779">
        <v>-99</v>
      </c>
    </row>
    <row r="780" spans="2:4" x14ac:dyDescent="0.2">
      <c r="B780" t="s">
        <v>3600</v>
      </c>
      <c r="C780">
        <v>-99</v>
      </c>
    </row>
    <row r="781" spans="2:4" x14ac:dyDescent="0.2">
      <c r="B781" t="s">
        <v>3601</v>
      </c>
      <c r="C781">
        <v>-99</v>
      </c>
    </row>
    <row r="782" spans="2:4" x14ac:dyDescent="0.2">
      <c r="B782" t="s">
        <v>3602</v>
      </c>
      <c r="C782">
        <v>-99</v>
      </c>
    </row>
    <row r="783" spans="2:4" x14ac:dyDescent="0.2">
      <c r="B783" t="s">
        <v>3603</v>
      </c>
      <c r="C783">
        <v>4</v>
      </c>
    </row>
    <row r="784" spans="2:4" x14ac:dyDescent="0.2">
      <c r="B784" t="s">
        <v>3604</v>
      </c>
      <c r="C784">
        <v>0</v>
      </c>
    </row>
    <row r="785" spans="2:4" x14ac:dyDescent="0.2">
      <c r="B785" t="s">
        <v>3605</v>
      </c>
    </row>
    <row r="786" spans="2:4" x14ac:dyDescent="0.2">
      <c r="B786" t="s">
        <v>3606</v>
      </c>
    </row>
    <row r="787" spans="2:4" x14ac:dyDescent="0.2">
      <c r="B787" t="s">
        <v>3607</v>
      </c>
    </row>
    <row r="788" spans="2:4" x14ac:dyDescent="0.2">
      <c r="B788" t="s">
        <v>3608</v>
      </c>
    </row>
    <row r="789" spans="2:4" x14ac:dyDescent="0.2">
      <c r="B789" t="s">
        <v>3609</v>
      </c>
      <c r="C789">
        <v>124</v>
      </c>
    </row>
    <row r="790" spans="2:4" x14ac:dyDescent="0.2">
      <c r="B790" t="s">
        <v>3610</v>
      </c>
      <c r="C790" t="s">
        <v>1917</v>
      </c>
    </row>
    <row r="791" spans="2:4" x14ac:dyDescent="0.2">
      <c r="B791" t="s">
        <v>3611</v>
      </c>
      <c r="C791" t="s">
        <v>2755</v>
      </c>
      <c r="D791">
        <v>8.5900000000000004E-2</v>
      </c>
    </row>
    <row r="792" spans="2:4" x14ac:dyDescent="0.2">
      <c r="C792" t="s">
        <v>2755</v>
      </c>
      <c r="D792">
        <v>8.5900000000000004E-2</v>
      </c>
    </row>
    <row r="793" spans="2:4" x14ac:dyDescent="0.2">
      <c r="B793" t="s">
        <v>3612</v>
      </c>
      <c r="C793" t="s">
        <v>2756</v>
      </c>
      <c r="D793">
        <v>3</v>
      </c>
    </row>
    <row r="794" spans="2:4" x14ac:dyDescent="0.2">
      <c r="C794" t="s">
        <v>2756</v>
      </c>
      <c r="D794">
        <v>3</v>
      </c>
    </row>
    <row r="795" spans="2:4" x14ac:dyDescent="0.2">
      <c r="B795" t="s">
        <v>3613</v>
      </c>
      <c r="C795" t="s">
        <v>2757</v>
      </c>
      <c r="D795">
        <v>0.1171</v>
      </c>
    </row>
    <row r="796" spans="2:4" x14ac:dyDescent="0.2">
      <c r="C796" t="s">
        <v>2757</v>
      </c>
      <c r="D796">
        <v>0.1171</v>
      </c>
    </row>
    <row r="797" spans="2:4" x14ac:dyDescent="0.2">
      <c r="B797" t="s">
        <v>3614</v>
      </c>
      <c r="C797" t="s">
        <v>2758</v>
      </c>
      <c r="D797">
        <v>3</v>
      </c>
    </row>
    <row r="798" spans="2:4" x14ac:dyDescent="0.2">
      <c r="C798" t="s">
        <v>2758</v>
      </c>
      <c r="D798">
        <v>3</v>
      </c>
    </row>
    <row r="799" spans="2:4" x14ac:dyDescent="0.2">
      <c r="B799" t="s">
        <v>3615</v>
      </c>
      <c r="C799">
        <v>36</v>
      </c>
    </row>
    <row r="800" spans="2:4" x14ac:dyDescent="0.2">
      <c r="B800" t="s">
        <v>3616</v>
      </c>
      <c r="C800">
        <v>0</v>
      </c>
    </row>
    <row r="801" spans="2:4" x14ac:dyDescent="0.2">
      <c r="B801" t="s">
        <v>3617</v>
      </c>
    </row>
    <row r="802" spans="2:4" x14ac:dyDescent="0.2">
      <c r="B802" t="s">
        <v>3618</v>
      </c>
    </row>
    <row r="803" spans="2:4" x14ac:dyDescent="0.2">
      <c r="B803" t="s">
        <v>3619</v>
      </c>
    </row>
    <row r="804" spans="2:4" x14ac:dyDescent="0.2">
      <c r="B804" t="s">
        <v>3620</v>
      </c>
    </row>
    <row r="805" spans="2:4" x14ac:dyDescent="0.2">
      <c r="B805" t="s">
        <v>3621</v>
      </c>
      <c r="C805">
        <v>125</v>
      </c>
    </row>
    <row r="806" spans="2:4" x14ac:dyDescent="0.2">
      <c r="B806" t="s">
        <v>3622</v>
      </c>
      <c r="C806" t="s">
        <v>1922</v>
      </c>
    </row>
    <row r="807" spans="2:4" x14ac:dyDescent="0.2">
      <c r="B807" t="s">
        <v>3623</v>
      </c>
      <c r="C807" t="s">
        <v>2759</v>
      </c>
      <c r="D807">
        <v>0.2014</v>
      </c>
    </row>
    <row r="808" spans="2:4" x14ac:dyDescent="0.2">
      <c r="C808" t="s">
        <v>2759</v>
      </c>
      <c r="D808">
        <v>0.2014</v>
      </c>
    </row>
    <row r="809" spans="2:4" x14ac:dyDescent="0.2">
      <c r="B809" t="s">
        <v>3624</v>
      </c>
      <c r="C809" t="s">
        <v>2760</v>
      </c>
      <c r="D809">
        <v>3</v>
      </c>
    </row>
    <row r="810" spans="2:4" x14ac:dyDescent="0.2">
      <c r="C810" t="s">
        <v>2760</v>
      </c>
      <c r="D810">
        <v>3</v>
      </c>
    </row>
    <row r="811" spans="2:4" x14ac:dyDescent="0.2">
      <c r="B811" t="s">
        <v>3625</v>
      </c>
      <c r="C811" t="s">
        <v>2761</v>
      </c>
      <c r="D811">
        <v>0.13320000000000001</v>
      </c>
    </row>
    <row r="812" spans="2:4" x14ac:dyDescent="0.2">
      <c r="C812" t="s">
        <v>2761</v>
      </c>
      <c r="D812">
        <v>0.13320000000000001</v>
      </c>
    </row>
    <row r="813" spans="2:4" x14ac:dyDescent="0.2">
      <c r="B813" t="s">
        <v>3626</v>
      </c>
      <c r="C813" t="s">
        <v>2762</v>
      </c>
      <c r="D813">
        <v>3</v>
      </c>
    </row>
    <row r="814" spans="2:4" x14ac:dyDescent="0.2">
      <c r="C814" t="s">
        <v>2762</v>
      </c>
      <c r="D814">
        <v>3</v>
      </c>
    </row>
    <row r="815" spans="2:4" x14ac:dyDescent="0.2">
      <c r="B815" t="s">
        <v>3627</v>
      </c>
      <c r="C815">
        <v>27</v>
      </c>
    </row>
    <row r="816" spans="2:4" x14ac:dyDescent="0.2">
      <c r="B816" t="s">
        <v>3628</v>
      </c>
      <c r="C816">
        <v>0</v>
      </c>
    </row>
    <row r="817" spans="2:4" x14ac:dyDescent="0.2">
      <c r="B817" t="s">
        <v>3629</v>
      </c>
    </row>
    <row r="818" spans="2:4" x14ac:dyDescent="0.2">
      <c r="B818" t="s">
        <v>3630</v>
      </c>
    </row>
    <row r="819" spans="2:4" x14ac:dyDescent="0.2">
      <c r="B819" t="s">
        <v>3631</v>
      </c>
    </row>
    <row r="820" spans="2:4" x14ac:dyDescent="0.2">
      <c r="B820" t="s">
        <v>3632</v>
      </c>
    </row>
    <row r="821" spans="2:4" x14ac:dyDescent="0.2">
      <c r="B821" t="s">
        <v>3633</v>
      </c>
      <c r="C821">
        <v>126</v>
      </c>
    </row>
    <row r="822" spans="2:4" x14ac:dyDescent="0.2">
      <c r="B822" t="s">
        <v>3634</v>
      </c>
      <c r="C822" t="s">
        <v>1928</v>
      </c>
    </row>
    <row r="823" spans="2:4" x14ac:dyDescent="0.2">
      <c r="B823" t="s">
        <v>3635</v>
      </c>
    </row>
    <row r="824" spans="2:4" x14ac:dyDescent="0.2">
      <c r="B824" t="s">
        <v>3636</v>
      </c>
    </row>
    <row r="825" spans="2:4" x14ac:dyDescent="0.2">
      <c r="B825" t="s">
        <v>3637</v>
      </c>
      <c r="C825" t="s">
        <v>2763</v>
      </c>
      <c r="D825">
        <v>0.51139999999999997</v>
      </c>
    </row>
    <row r="826" spans="2:4" x14ac:dyDescent="0.2">
      <c r="C826" t="s">
        <v>2763</v>
      </c>
      <c r="D826">
        <v>0.51139999999999997</v>
      </c>
    </row>
    <row r="827" spans="2:4" x14ac:dyDescent="0.2">
      <c r="B827" t="s">
        <v>3638</v>
      </c>
      <c r="C827" t="s">
        <v>2764</v>
      </c>
      <c r="D827">
        <v>3</v>
      </c>
    </row>
    <row r="828" spans="2:4" x14ac:dyDescent="0.2">
      <c r="C828" t="s">
        <v>2764</v>
      </c>
      <c r="D828">
        <v>3</v>
      </c>
    </row>
    <row r="829" spans="2:4" x14ac:dyDescent="0.2">
      <c r="B829" t="s">
        <v>3639</v>
      </c>
      <c r="C829">
        <v>28</v>
      </c>
    </row>
    <row r="830" spans="2:4" x14ac:dyDescent="0.2">
      <c r="B830" t="s">
        <v>3640</v>
      </c>
      <c r="C830">
        <v>0</v>
      </c>
    </row>
    <row r="831" spans="2:4" x14ac:dyDescent="0.2">
      <c r="B831" t="s">
        <v>3641</v>
      </c>
    </row>
    <row r="832" spans="2:4" x14ac:dyDescent="0.2">
      <c r="B832" t="s">
        <v>3642</v>
      </c>
    </row>
    <row r="833" spans="2:4" x14ac:dyDescent="0.2">
      <c r="B833" t="s">
        <v>3643</v>
      </c>
    </row>
    <row r="834" spans="2:4" x14ac:dyDescent="0.2">
      <c r="B834" t="s">
        <v>3644</v>
      </c>
    </row>
    <row r="835" spans="2:4" x14ac:dyDescent="0.2">
      <c r="B835" t="s">
        <v>3645</v>
      </c>
      <c r="C835">
        <v>127</v>
      </c>
    </row>
    <row r="836" spans="2:4" x14ac:dyDescent="0.2">
      <c r="B836" t="s">
        <v>3646</v>
      </c>
      <c r="C836" t="s">
        <v>1932</v>
      </c>
    </row>
    <row r="837" spans="2:4" x14ac:dyDescent="0.2">
      <c r="B837" t="s">
        <v>3647</v>
      </c>
    </row>
    <row r="838" spans="2:4" x14ac:dyDescent="0.2">
      <c r="B838" t="s">
        <v>3648</v>
      </c>
    </row>
    <row r="839" spans="2:4" x14ac:dyDescent="0.2">
      <c r="B839" t="s">
        <v>3649</v>
      </c>
      <c r="C839" t="s">
        <v>2765</v>
      </c>
      <c r="D839">
        <v>3042</v>
      </c>
    </row>
    <row r="840" spans="2:4" x14ac:dyDescent="0.2">
      <c r="C840" t="s">
        <v>2765</v>
      </c>
      <c r="D840">
        <v>3042</v>
      </c>
    </row>
    <row r="841" spans="2:4" x14ac:dyDescent="0.2">
      <c r="B841" t="s">
        <v>3650</v>
      </c>
      <c r="C841" t="s">
        <v>2766</v>
      </c>
      <c r="D841">
        <v>1</v>
      </c>
    </row>
    <row r="842" spans="2:4" x14ac:dyDescent="0.2">
      <c r="C842" t="s">
        <v>2766</v>
      </c>
      <c r="D842">
        <v>1</v>
      </c>
    </row>
    <row r="843" spans="2:4" x14ac:dyDescent="0.2">
      <c r="B843" t="s">
        <v>3651</v>
      </c>
      <c r="C843">
        <v>4</v>
      </c>
    </row>
    <row r="844" spans="2:4" x14ac:dyDescent="0.2">
      <c r="B844" t="s">
        <v>3652</v>
      </c>
      <c r="C844">
        <v>0</v>
      </c>
    </row>
    <row r="845" spans="2:4" x14ac:dyDescent="0.2">
      <c r="B845" t="s">
        <v>3653</v>
      </c>
    </row>
    <row r="846" spans="2:4" x14ac:dyDescent="0.2">
      <c r="B846" t="s">
        <v>3654</v>
      </c>
    </row>
    <row r="847" spans="2:4" x14ac:dyDescent="0.2">
      <c r="B847" t="s">
        <v>3655</v>
      </c>
    </row>
    <row r="848" spans="2:4" x14ac:dyDescent="0.2">
      <c r="B848" t="s">
        <v>3656</v>
      </c>
    </row>
    <row r="849" spans="2:4" x14ac:dyDescent="0.2">
      <c r="B849" t="s">
        <v>3657</v>
      </c>
      <c r="C849">
        <v>128</v>
      </c>
    </row>
    <row r="850" spans="2:4" x14ac:dyDescent="0.2">
      <c r="B850" t="s">
        <v>3658</v>
      </c>
      <c r="C850" t="s">
        <v>1938</v>
      </c>
    </row>
    <row r="851" spans="2:4" x14ac:dyDescent="0.2">
      <c r="B851" t="s">
        <v>3659</v>
      </c>
    </row>
    <row r="852" spans="2:4" x14ac:dyDescent="0.2">
      <c r="B852" t="s">
        <v>3660</v>
      </c>
    </row>
    <row r="853" spans="2:4" x14ac:dyDescent="0.2">
      <c r="B853" t="s">
        <v>3661</v>
      </c>
      <c r="C853" t="s">
        <v>2767</v>
      </c>
      <c r="D853">
        <v>260.2</v>
      </c>
    </row>
    <row r="854" spans="2:4" x14ac:dyDescent="0.2">
      <c r="C854" t="s">
        <v>2767</v>
      </c>
      <c r="D854">
        <v>260</v>
      </c>
    </row>
    <row r="855" spans="2:4" x14ac:dyDescent="0.2">
      <c r="B855" t="s">
        <v>3662</v>
      </c>
      <c r="C855" t="s">
        <v>2768</v>
      </c>
      <c r="D855">
        <v>1</v>
      </c>
    </row>
    <row r="856" spans="2:4" x14ac:dyDescent="0.2">
      <c r="C856" t="s">
        <v>2768</v>
      </c>
      <c r="D856">
        <v>1</v>
      </c>
    </row>
    <row r="857" spans="2:4" x14ac:dyDescent="0.2">
      <c r="B857" t="s">
        <v>3663</v>
      </c>
      <c r="C857">
        <v>4</v>
      </c>
    </row>
    <row r="858" spans="2:4" x14ac:dyDescent="0.2">
      <c r="B858" t="s">
        <v>3664</v>
      </c>
      <c r="C858">
        <v>0</v>
      </c>
    </row>
    <row r="859" spans="2:4" x14ac:dyDescent="0.2">
      <c r="B859" t="s">
        <v>3665</v>
      </c>
    </row>
    <row r="860" spans="2:4" x14ac:dyDescent="0.2">
      <c r="B860" t="s">
        <v>3666</v>
      </c>
    </row>
    <row r="861" spans="2:4" x14ac:dyDescent="0.2">
      <c r="B861" t="s">
        <v>3667</v>
      </c>
    </row>
    <row r="862" spans="2:4" x14ac:dyDescent="0.2">
      <c r="B862" t="s">
        <v>3668</v>
      </c>
    </row>
    <row r="863" spans="2:4" x14ac:dyDescent="0.2">
      <c r="B863" t="s">
        <v>3669</v>
      </c>
      <c r="C863">
        <v>129</v>
      </c>
    </row>
    <row r="864" spans="2:4" x14ac:dyDescent="0.2">
      <c r="B864" t="s">
        <v>3670</v>
      </c>
      <c r="C864" t="s">
        <v>1944</v>
      </c>
    </row>
    <row r="865" spans="2:4" x14ac:dyDescent="0.2">
      <c r="B865" t="s">
        <v>3671</v>
      </c>
      <c r="C865">
        <v>-99</v>
      </c>
    </row>
    <row r="866" spans="2:4" x14ac:dyDescent="0.2">
      <c r="B866" t="s">
        <v>3672</v>
      </c>
      <c r="C866">
        <v>-99</v>
      </c>
    </row>
    <row r="867" spans="2:4" x14ac:dyDescent="0.2">
      <c r="B867" t="s">
        <v>3673</v>
      </c>
      <c r="C867">
        <v>-99</v>
      </c>
    </row>
    <row r="868" spans="2:4" x14ac:dyDescent="0.2">
      <c r="B868" t="s">
        <v>3674</v>
      </c>
      <c r="C868">
        <v>-99</v>
      </c>
    </row>
    <row r="869" spans="2:4" x14ac:dyDescent="0.2">
      <c r="B869" t="s">
        <v>3675</v>
      </c>
      <c r="C869">
        <v>0</v>
      </c>
    </row>
    <row r="870" spans="2:4" x14ac:dyDescent="0.2">
      <c r="B870" t="s">
        <v>3676</v>
      </c>
      <c r="C870">
        <v>0</v>
      </c>
    </row>
    <row r="871" spans="2:4" x14ac:dyDescent="0.2">
      <c r="B871" t="s">
        <v>3677</v>
      </c>
    </row>
    <row r="872" spans="2:4" x14ac:dyDescent="0.2">
      <c r="B872" t="s">
        <v>3678</v>
      </c>
    </row>
    <row r="873" spans="2:4" x14ac:dyDescent="0.2">
      <c r="B873" t="s">
        <v>3679</v>
      </c>
    </row>
    <row r="874" spans="2:4" x14ac:dyDescent="0.2">
      <c r="B874" t="s">
        <v>3680</v>
      </c>
    </row>
    <row r="875" spans="2:4" x14ac:dyDescent="0.2">
      <c r="B875" t="s">
        <v>3681</v>
      </c>
      <c r="C875">
        <v>130</v>
      </c>
    </row>
    <row r="876" spans="2:4" x14ac:dyDescent="0.2">
      <c r="B876" t="s">
        <v>3682</v>
      </c>
      <c r="C876" t="s">
        <v>1947</v>
      </c>
    </row>
    <row r="877" spans="2:4" x14ac:dyDescent="0.2">
      <c r="B877" t="s">
        <v>3683</v>
      </c>
      <c r="C877" t="s">
        <v>2769</v>
      </c>
      <c r="D877">
        <v>0</v>
      </c>
    </row>
    <row r="878" spans="2:4" x14ac:dyDescent="0.2">
      <c r="C878" t="s">
        <v>2769</v>
      </c>
      <c r="D878">
        <v>0</v>
      </c>
    </row>
    <row r="879" spans="2:4" x14ac:dyDescent="0.2">
      <c r="B879" t="s">
        <v>3684</v>
      </c>
      <c r="C879" t="s">
        <v>2770</v>
      </c>
      <c r="D879">
        <v>3</v>
      </c>
    </row>
    <row r="880" spans="2:4" x14ac:dyDescent="0.2">
      <c r="C880" t="s">
        <v>2770</v>
      </c>
      <c r="D880">
        <v>3</v>
      </c>
    </row>
    <row r="881" spans="2:4" x14ac:dyDescent="0.2">
      <c r="B881" t="s">
        <v>3685</v>
      </c>
      <c r="C881" t="s">
        <v>2771</v>
      </c>
      <c r="D881">
        <v>6.9999999999999999E-4</v>
      </c>
    </row>
    <row r="882" spans="2:4" x14ac:dyDescent="0.2">
      <c r="C882" t="s">
        <v>2771</v>
      </c>
      <c r="D882">
        <v>7.2000000000000005E-4</v>
      </c>
    </row>
    <row r="883" spans="2:4" x14ac:dyDescent="0.2">
      <c r="B883" t="s">
        <v>3686</v>
      </c>
      <c r="C883" t="s">
        <v>2772</v>
      </c>
      <c r="D883">
        <v>3</v>
      </c>
    </row>
    <row r="884" spans="2:4" x14ac:dyDescent="0.2">
      <c r="C884" t="s">
        <v>2772</v>
      </c>
      <c r="D884">
        <v>3</v>
      </c>
    </row>
    <row r="885" spans="2:4" x14ac:dyDescent="0.2">
      <c r="B885" t="s">
        <v>3687</v>
      </c>
      <c r="C885">
        <v>4</v>
      </c>
    </row>
    <row r="886" spans="2:4" x14ac:dyDescent="0.2">
      <c r="B886" t="s">
        <v>3688</v>
      </c>
      <c r="C886">
        <v>0</v>
      </c>
    </row>
    <row r="887" spans="2:4" x14ac:dyDescent="0.2">
      <c r="B887" t="s">
        <v>3689</v>
      </c>
    </row>
    <row r="888" spans="2:4" x14ac:dyDescent="0.2">
      <c r="B888" t="s">
        <v>3690</v>
      </c>
    </row>
    <row r="889" spans="2:4" x14ac:dyDescent="0.2">
      <c r="B889" t="s">
        <v>3691</v>
      </c>
    </row>
    <row r="890" spans="2:4" x14ac:dyDescent="0.2">
      <c r="B890" t="s">
        <v>3692</v>
      </c>
    </row>
    <row r="891" spans="2:4" x14ac:dyDescent="0.2">
      <c r="B891" t="s">
        <v>3693</v>
      </c>
      <c r="C891">
        <v>131</v>
      </c>
    </row>
    <row r="892" spans="2:4" x14ac:dyDescent="0.2">
      <c r="B892" t="s">
        <v>3694</v>
      </c>
      <c r="C892" t="s">
        <v>1953</v>
      </c>
    </row>
    <row r="893" spans="2:4" x14ac:dyDescent="0.2">
      <c r="B893" t="s">
        <v>3695</v>
      </c>
      <c r="C893" t="s">
        <v>2773</v>
      </c>
      <c r="D893">
        <v>347</v>
      </c>
    </row>
    <row r="894" spans="2:4" x14ac:dyDescent="0.2">
      <c r="C894" t="s">
        <v>2773</v>
      </c>
      <c r="D894">
        <v>347</v>
      </c>
    </row>
    <row r="895" spans="2:4" x14ac:dyDescent="0.2">
      <c r="B895" t="s">
        <v>3696</v>
      </c>
      <c r="C895" t="s">
        <v>2774</v>
      </c>
      <c r="D895">
        <v>1</v>
      </c>
    </row>
    <row r="896" spans="2:4" x14ac:dyDescent="0.2">
      <c r="C896" t="s">
        <v>2774</v>
      </c>
      <c r="D896">
        <v>1</v>
      </c>
    </row>
    <row r="897" spans="2:4" x14ac:dyDescent="0.2">
      <c r="B897" t="s">
        <v>3697</v>
      </c>
      <c r="C897" t="s">
        <v>2775</v>
      </c>
      <c r="D897">
        <v>95</v>
      </c>
    </row>
    <row r="898" spans="2:4" x14ac:dyDescent="0.2">
      <c r="C898" t="s">
        <v>2775</v>
      </c>
      <c r="D898">
        <v>95</v>
      </c>
    </row>
    <row r="899" spans="2:4" x14ac:dyDescent="0.2">
      <c r="B899" t="s">
        <v>3698</v>
      </c>
      <c r="C899" t="s">
        <v>2776</v>
      </c>
      <c r="D899">
        <v>1</v>
      </c>
    </row>
    <row r="900" spans="2:4" x14ac:dyDescent="0.2">
      <c r="C900" t="s">
        <v>2776</v>
      </c>
      <c r="D900">
        <v>1</v>
      </c>
    </row>
    <row r="901" spans="2:4" x14ac:dyDescent="0.2">
      <c r="B901" t="s">
        <v>3699</v>
      </c>
      <c r="C901">
        <v>4</v>
      </c>
    </row>
    <row r="902" spans="2:4" x14ac:dyDescent="0.2">
      <c r="B902" t="s">
        <v>3700</v>
      </c>
      <c r="C902">
        <v>0</v>
      </c>
    </row>
    <row r="903" spans="2:4" x14ac:dyDescent="0.2">
      <c r="B903" t="s">
        <v>3701</v>
      </c>
    </row>
    <row r="904" spans="2:4" x14ac:dyDescent="0.2">
      <c r="B904" t="s">
        <v>3702</v>
      </c>
    </row>
    <row r="905" spans="2:4" x14ac:dyDescent="0.2">
      <c r="B905" t="s">
        <v>3703</v>
      </c>
    </row>
    <row r="906" spans="2:4" x14ac:dyDescent="0.2">
      <c r="B906" t="s">
        <v>3704</v>
      </c>
    </row>
    <row r="907" spans="2:4" x14ac:dyDescent="0.2">
      <c r="B907" t="s">
        <v>3705</v>
      </c>
      <c r="C907">
        <v>132</v>
      </c>
    </row>
    <row r="908" spans="2:4" x14ac:dyDescent="0.2">
      <c r="B908" t="s">
        <v>3706</v>
      </c>
      <c r="C908" t="s">
        <v>1958</v>
      </c>
    </row>
    <row r="909" spans="2:4" x14ac:dyDescent="0.2">
      <c r="B909" t="s">
        <v>3707</v>
      </c>
      <c r="C909" t="s">
        <v>2777</v>
      </c>
      <c r="D909">
        <v>0</v>
      </c>
    </row>
    <row r="910" spans="2:4" x14ac:dyDescent="0.2">
      <c r="C910" t="s">
        <v>2777</v>
      </c>
      <c r="D910">
        <v>0</v>
      </c>
    </row>
    <row r="911" spans="2:4" x14ac:dyDescent="0.2">
      <c r="B911" t="s">
        <v>3708</v>
      </c>
      <c r="C911" t="s">
        <v>2778</v>
      </c>
      <c r="D911">
        <v>3</v>
      </c>
    </row>
    <row r="912" spans="2:4" x14ac:dyDescent="0.2">
      <c r="C912" t="s">
        <v>2778</v>
      </c>
      <c r="D912">
        <v>3</v>
      </c>
    </row>
    <row r="913" spans="2:4" x14ac:dyDescent="0.2">
      <c r="B913" t="s">
        <v>3709</v>
      </c>
      <c r="C913" t="s">
        <v>2779</v>
      </c>
      <c r="D913">
        <v>0</v>
      </c>
    </row>
    <row r="914" spans="2:4" x14ac:dyDescent="0.2">
      <c r="C914" t="s">
        <v>2779</v>
      </c>
      <c r="D914">
        <v>0</v>
      </c>
    </row>
    <row r="915" spans="2:4" x14ac:dyDescent="0.2">
      <c r="B915" t="s">
        <v>3710</v>
      </c>
      <c r="C915" t="s">
        <v>2780</v>
      </c>
      <c r="D915">
        <v>3</v>
      </c>
    </row>
    <row r="916" spans="2:4" x14ac:dyDescent="0.2">
      <c r="C916" t="s">
        <v>2780</v>
      </c>
      <c r="D916">
        <v>3</v>
      </c>
    </row>
    <row r="917" spans="2:4" x14ac:dyDescent="0.2">
      <c r="B917" t="s">
        <v>3711</v>
      </c>
      <c r="C917">
        <v>4</v>
      </c>
    </row>
    <row r="918" spans="2:4" x14ac:dyDescent="0.2">
      <c r="B918" t="s">
        <v>3712</v>
      </c>
      <c r="C918">
        <v>0</v>
      </c>
    </row>
    <row r="919" spans="2:4" x14ac:dyDescent="0.2">
      <c r="B919" t="s">
        <v>3713</v>
      </c>
    </row>
    <row r="920" spans="2:4" x14ac:dyDescent="0.2">
      <c r="B920" t="s">
        <v>3714</v>
      </c>
    </row>
    <row r="921" spans="2:4" x14ac:dyDescent="0.2">
      <c r="B921" t="s">
        <v>3715</v>
      </c>
    </row>
    <row r="922" spans="2:4" x14ac:dyDescent="0.2">
      <c r="B922" t="s">
        <v>3716</v>
      </c>
    </row>
    <row r="923" spans="2:4" x14ac:dyDescent="0.2">
      <c r="B923" t="s">
        <v>3717</v>
      </c>
      <c r="C923">
        <v>133</v>
      </c>
    </row>
    <row r="924" spans="2:4" x14ac:dyDescent="0.2">
      <c r="B924" t="s">
        <v>3718</v>
      </c>
      <c r="C924" t="s">
        <v>1964</v>
      </c>
    </row>
    <row r="925" spans="2:4" x14ac:dyDescent="0.2">
      <c r="B925" t="s">
        <v>3719</v>
      </c>
      <c r="C925" t="s">
        <v>2781</v>
      </c>
      <c r="D925">
        <v>6.8999999999999999E-3</v>
      </c>
    </row>
    <row r="926" spans="2:4" x14ac:dyDescent="0.2">
      <c r="C926" t="s">
        <v>2781</v>
      </c>
      <c r="D926">
        <v>6.8999999999999999E-3</v>
      </c>
    </row>
    <row r="927" spans="2:4" x14ac:dyDescent="0.2">
      <c r="B927" t="s">
        <v>3720</v>
      </c>
      <c r="C927" t="s">
        <v>2782</v>
      </c>
      <c r="D927">
        <v>3</v>
      </c>
    </row>
    <row r="928" spans="2:4" x14ac:dyDescent="0.2">
      <c r="C928" t="s">
        <v>2782</v>
      </c>
      <c r="D928">
        <v>3</v>
      </c>
    </row>
    <row r="929" spans="2:5" x14ac:dyDescent="0.2">
      <c r="B929" t="s">
        <v>3721</v>
      </c>
      <c r="C929" t="s">
        <v>2783</v>
      </c>
      <c r="D929">
        <v>7.7000000000000002E-3</v>
      </c>
    </row>
    <row r="930" spans="2:5" x14ac:dyDescent="0.2">
      <c r="C930" t="s">
        <v>2783</v>
      </c>
      <c r="D930">
        <v>7.7000000000000002E-3</v>
      </c>
    </row>
    <row r="931" spans="2:5" x14ac:dyDescent="0.2">
      <c r="B931" t="s">
        <v>3722</v>
      </c>
      <c r="C931" t="s">
        <v>2784</v>
      </c>
      <c r="D931">
        <v>3</v>
      </c>
    </row>
    <row r="932" spans="2:5" x14ac:dyDescent="0.2">
      <c r="C932" t="s">
        <v>2784</v>
      </c>
      <c r="D932">
        <v>3</v>
      </c>
    </row>
    <row r="933" spans="2:5" x14ac:dyDescent="0.2">
      <c r="B933" t="s">
        <v>3723</v>
      </c>
      <c r="C933">
        <v>37</v>
      </c>
    </row>
    <row r="934" spans="2:5" x14ac:dyDescent="0.2">
      <c r="B934" t="s">
        <v>3724</v>
      </c>
      <c r="C934">
        <v>0</v>
      </c>
    </row>
    <row r="935" spans="2:5" x14ac:dyDescent="0.2">
      <c r="B935" t="s">
        <v>3725</v>
      </c>
    </row>
    <row r="936" spans="2:5" x14ac:dyDescent="0.2">
      <c r="B936" t="s">
        <v>3726</v>
      </c>
    </row>
    <row r="937" spans="2:5" x14ac:dyDescent="0.2">
      <c r="B937" t="s">
        <v>3727</v>
      </c>
    </row>
    <row r="938" spans="2:5" x14ac:dyDescent="0.2">
      <c r="B938" t="s">
        <v>3728</v>
      </c>
    </row>
    <row r="939" spans="2:5" x14ac:dyDescent="0.2">
      <c r="B939" t="s">
        <v>3729</v>
      </c>
      <c r="C939">
        <v>134</v>
      </c>
    </row>
    <row r="940" spans="2:5" x14ac:dyDescent="0.2">
      <c r="B940" t="s">
        <v>3730</v>
      </c>
      <c r="C940" t="s">
        <v>1973</v>
      </c>
    </row>
    <row r="941" spans="2:5" x14ac:dyDescent="0.2">
      <c r="B941" t="s">
        <v>3731</v>
      </c>
    </row>
    <row r="942" spans="2:5" x14ac:dyDescent="0.2">
      <c r="B942" t="s">
        <v>3732</v>
      </c>
    </row>
    <row r="943" spans="2:5" x14ac:dyDescent="0.2">
      <c r="B943" t="s">
        <v>3733</v>
      </c>
      <c r="C943" t="s">
        <v>2785</v>
      </c>
      <c r="D943">
        <v>0.2152</v>
      </c>
    </row>
    <row r="944" spans="2:5" x14ac:dyDescent="0.2">
      <c r="C944" t="s">
        <v>2785</v>
      </c>
      <c r="D944" t="s">
        <v>3734</v>
      </c>
      <c r="E944">
        <v>0.2152</v>
      </c>
    </row>
    <row r="946" spans="2:6" x14ac:dyDescent="0.2">
      <c r="D946" t="s">
        <v>3735</v>
      </c>
      <c r="E946" t="s">
        <v>3736</v>
      </c>
      <c r="F946">
        <v>0</v>
      </c>
    </row>
    <row r="947" spans="2:6" x14ac:dyDescent="0.2">
      <c r="E947" t="s">
        <v>3737</v>
      </c>
      <c r="F947">
        <v>4.0000000000000002E-4</v>
      </c>
    </row>
    <row r="948" spans="2:6" x14ac:dyDescent="0.2">
      <c r="E948" t="s">
        <v>3738</v>
      </c>
      <c r="F948">
        <v>0.19739999999999999</v>
      </c>
    </row>
    <row r="949" spans="2:6" x14ac:dyDescent="0.2">
      <c r="E949" t="s">
        <v>3739</v>
      </c>
      <c r="F949">
        <v>1.4E-3</v>
      </c>
    </row>
    <row r="950" spans="2:6" x14ac:dyDescent="0.2">
      <c r="E950" t="s">
        <v>3740</v>
      </c>
      <c r="F950">
        <v>1.61E-2</v>
      </c>
    </row>
    <row r="951" spans="2:6" x14ac:dyDescent="0.2">
      <c r="B951" t="s">
        <v>3741</v>
      </c>
      <c r="C951" t="s">
        <v>2786</v>
      </c>
      <c r="D951">
        <v>3</v>
      </c>
    </row>
    <row r="952" spans="2:6" x14ac:dyDescent="0.2">
      <c r="C952" t="s">
        <v>2786</v>
      </c>
      <c r="D952">
        <v>3</v>
      </c>
    </row>
    <row r="953" spans="2:6" x14ac:dyDescent="0.2">
      <c r="B953" t="s">
        <v>3742</v>
      </c>
      <c r="C953">
        <v>30</v>
      </c>
    </row>
    <row r="954" spans="2:6" x14ac:dyDescent="0.2">
      <c r="B954" t="s">
        <v>3743</v>
      </c>
      <c r="C954">
        <v>0</v>
      </c>
    </row>
    <row r="955" spans="2:6" x14ac:dyDescent="0.2">
      <c r="B955" t="s">
        <v>3744</v>
      </c>
    </row>
    <row r="956" spans="2:6" x14ac:dyDescent="0.2">
      <c r="B956" t="s">
        <v>3745</v>
      </c>
    </row>
    <row r="957" spans="2:6" x14ac:dyDescent="0.2">
      <c r="B957" t="s">
        <v>3746</v>
      </c>
    </row>
    <row r="958" spans="2:6" x14ac:dyDescent="0.2">
      <c r="B958" t="s">
        <v>3747</v>
      </c>
    </row>
    <row r="959" spans="2:6" x14ac:dyDescent="0.2">
      <c r="B959" t="s">
        <v>3748</v>
      </c>
      <c r="C959">
        <v>135</v>
      </c>
    </row>
    <row r="960" spans="2:6" x14ac:dyDescent="0.2">
      <c r="B960" t="s">
        <v>3749</v>
      </c>
      <c r="C960" t="s">
        <v>1978</v>
      </c>
    </row>
    <row r="961" spans="2:4" x14ac:dyDescent="0.2">
      <c r="B961" t="s">
        <v>3750</v>
      </c>
    </row>
    <row r="962" spans="2:4" x14ac:dyDescent="0.2">
      <c r="B962" t="s">
        <v>3751</v>
      </c>
    </row>
    <row r="963" spans="2:4" x14ac:dyDescent="0.2">
      <c r="B963" t="s">
        <v>3752</v>
      </c>
      <c r="C963" t="s">
        <v>2787</v>
      </c>
      <c r="D963">
        <v>5465</v>
      </c>
    </row>
    <row r="964" spans="2:4" x14ac:dyDescent="0.2">
      <c r="C964" t="s">
        <v>2787</v>
      </c>
      <c r="D964">
        <v>5465</v>
      </c>
    </row>
    <row r="965" spans="2:4" x14ac:dyDescent="0.2">
      <c r="B965" t="s">
        <v>3753</v>
      </c>
      <c r="C965" t="s">
        <v>2788</v>
      </c>
      <c r="D965">
        <v>1</v>
      </c>
    </row>
    <row r="966" spans="2:4" x14ac:dyDescent="0.2">
      <c r="C966" t="s">
        <v>2788</v>
      </c>
      <c r="D966">
        <v>1</v>
      </c>
    </row>
    <row r="967" spans="2:4" x14ac:dyDescent="0.2">
      <c r="B967" t="s">
        <v>3754</v>
      </c>
      <c r="C967">
        <v>4</v>
      </c>
    </row>
    <row r="968" spans="2:4" x14ac:dyDescent="0.2">
      <c r="B968" t="s">
        <v>3755</v>
      </c>
      <c r="C968">
        <v>0</v>
      </c>
    </row>
    <row r="969" spans="2:4" x14ac:dyDescent="0.2">
      <c r="B969" t="s">
        <v>3756</v>
      </c>
    </row>
    <row r="970" spans="2:4" x14ac:dyDescent="0.2">
      <c r="B970" t="s">
        <v>3757</v>
      </c>
    </row>
    <row r="971" spans="2:4" x14ac:dyDescent="0.2">
      <c r="B971" t="s">
        <v>3758</v>
      </c>
    </row>
    <row r="972" spans="2:4" x14ac:dyDescent="0.2">
      <c r="B972" t="s">
        <v>3759</v>
      </c>
    </row>
    <row r="973" spans="2:4" x14ac:dyDescent="0.2">
      <c r="B973" t="s">
        <v>3760</v>
      </c>
      <c r="C973">
        <v>136</v>
      </c>
    </row>
    <row r="974" spans="2:4" x14ac:dyDescent="0.2">
      <c r="B974" t="s">
        <v>3761</v>
      </c>
      <c r="C974" t="s">
        <v>1983</v>
      </c>
    </row>
    <row r="975" spans="2:4" x14ac:dyDescent="0.2">
      <c r="B975" t="s">
        <v>3762</v>
      </c>
      <c r="C975">
        <v>-99</v>
      </c>
    </row>
    <row r="976" spans="2:4" x14ac:dyDescent="0.2">
      <c r="B976" t="s">
        <v>3763</v>
      </c>
      <c r="C976">
        <v>-99</v>
      </c>
    </row>
    <row r="977" spans="2:4" x14ac:dyDescent="0.2">
      <c r="B977" t="s">
        <v>3764</v>
      </c>
      <c r="C977">
        <v>-99</v>
      </c>
    </row>
    <row r="978" spans="2:4" x14ac:dyDescent="0.2">
      <c r="B978" t="s">
        <v>3765</v>
      </c>
      <c r="C978">
        <v>-99</v>
      </c>
    </row>
    <row r="979" spans="2:4" x14ac:dyDescent="0.2">
      <c r="B979" t="s">
        <v>3766</v>
      </c>
      <c r="C979">
        <v>0</v>
      </c>
    </row>
    <row r="980" spans="2:4" x14ac:dyDescent="0.2">
      <c r="B980" t="s">
        <v>3767</v>
      </c>
      <c r="C980">
        <v>0</v>
      </c>
    </row>
    <row r="981" spans="2:4" x14ac:dyDescent="0.2">
      <c r="B981" t="s">
        <v>3768</v>
      </c>
    </row>
    <row r="982" spans="2:4" x14ac:dyDescent="0.2">
      <c r="B982" t="s">
        <v>3769</v>
      </c>
    </row>
    <row r="983" spans="2:4" x14ac:dyDescent="0.2">
      <c r="B983" t="s">
        <v>3770</v>
      </c>
    </row>
    <row r="984" spans="2:4" x14ac:dyDescent="0.2">
      <c r="B984" t="s">
        <v>3771</v>
      </c>
    </row>
    <row r="985" spans="2:4" x14ac:dyDescent="0.2">
      <c r="B985" t="s">
        <v>3772</v>
      </c>
      <c r="C985">
        <v>137</v>
      </c>
    </row>
    <row r="986" spans="2:4" x14ac:dyDescent="0.2">
      <c r="B986" t="s">
        <v>3773</v>
      </c>
      <c r="C986" t="s">
        <v>1984</v>
      </c>
    </row>
    <row r="987" spans="2:4" x14ac:dyDescent="0.2">
      <c r="B987" t="s">
        <v>3774</v>
      </c>
      <c r="C987" t="s">
        <v>2789</v>
      </c>
      <c r="D987">
        <v>0</v>
      </c>
    </row>
    <row r="988" spans="2:4" x14ac:dyDescent="0.2">
      <c r="C988" t="s">
        <v>2789</v>
      </c>
      <c r="D988">
        <v>0</v>
      </c>
    </row>
    <row r="989" spans="2:4" x14ac:dyDescent="0.2">
      <c r="B989" t="s">
        <v>3775</v>
      </c>
      <c r="C989" t="s">
        <v>2790</v>
      </c>
      <c r="D989">
        <v>1</v>
      </c>
    </row>
    <row r="990" spans="2:4" x14ac:dyDescent="0.2">
      <c r="C990" t="s">
        <v>2790</v>
      </c>
      <c r="D990">
        <v>1</v>
      </c>
    </row>
    <row r="991" spans="2:4" x14ac:dyDescent="0.2">
      <c r="B991" t="s">
        <v>3776</v>
      </c>
      <c r="C991" t="s">
        <v>2791</v>
      </c>
      <c r="D991">
        <v>0</v>
      </c>
    </row>
    <row r="992" spans="2:4" x14ac:dyDescent="0.2">
      <c r="C992" t="s">
        <v>2791</v>
      </c>
      <c r="D992">
        <v>0</v>
      </c>
    </row>
    <row r="993" spans="2:4" x14ac:dyDescent="0.2">
      <c r="B993" t="s">
        <v>3777</v>
      </c>
      <c r="C993" t="s">
        <v>2792</v>
      </c>
      <c r="D993">
        <v>1</v>
      </c>
    </row>
    <row r="994" spans="2:4" x14ac:dyDescent="0.2">
      <c r="C994" t="s">
        <v>2792</v>
      </c>
      <c r="D994">
        <v>1</v>
      </c>
    </row>
    <row r="995" spans="2:4" x14ac:dyDescent="0.2">
      <c r="B995" t="s">
        <v>3778</v>
      </c>
      <c r="C995">
        <v>4</v>
      </c>
    </row>
    <row r="996" spans="2:4" x14ac:dyDescent="0.2">
      <c r="B996" t="s">
        <v>3779</v>
      </c>
      <c r="C996">
        <v>0</v>
      </c>
    </row>
    <row r="997" spans="2:4" x14ac:dyDescent="0.2">
      <c r="B997" t="s">
        <v>3780</v>
      </c>
    </row>
    <row r="998" spans="2:4" x14ac:dyDescent="0.2">
      <c r="B998" t="s">
        <v>3781</v>
      </c>
    </row>
    <row r="999" spans="2:4" x14ac:dyDescent="0.2">
      <c r="B999" t="s">
        <v>3782</v>
      </c>
    </row>
    <row r="1000" spans="2:4" x14ac:dyDescent="0.2">
      <c r="B1000" t="s">
        <v>3783</v>
      </c>
    </row>
    <row r="1001" spans="2:4" x14ac:dyDescent="0.2">
      <c r="B1001" t="s">
        <v>3784</v>
      </c>
      <c r="C1001">
        <v>138</v>
      </c>
    </row>
    <row r="1002" spans="2:4" x14ac:dyDescent="0.2">
      <c r="B1002" t="s">
        <v>3785</v>
      </c>
      <c r="C1002" t="s">
        <v>1990</v>
      </c>
    </row>
    <row r="1003" spans="2:4" x14ac:dyDescent="0.2">
      <c r="B1003" t="s">
        <v>3786</v>
      </c>
      <c r="C1003" t="s">
        <v>2793</v>
      </c>
      <c r="D1003">
        <v>1E-3</v>
      </c>
    </row>
    <row r="1004" spans="2:4" x14ac:dyDescent="0.2">
      <c r="C1004" t="s">
        <v>2793</v>
      </c>
      <c r="D1004">
        <v>1E-3</v>
      </c>
    </row>
    <row r="1005" spans="2:4" x14ac:dyDescent="0.2">
      <c r="B1005" t="s">
        <v>3787</v>
      </c>
      <c r="C1005" t="s">
        <v>2794</v>
      </c>
      <c r="D1005">
        <v>3</v>
      </c>
    </row>
    <row r="1006" spans="2:4" x14ac:dyDescent="0.2">
      <c r="C1006" t="s">
        <v>2794</v>
      </c>
      <c r="D1006">
        <v>3</v>
      </c>
    </row>
    <row r="1007" spans="2:4" x14ac:dyDescent="0.2">
      <c r="B1007" t="s">
        <v>3788</v>
      </c>
      <c r="C1007" t="s">
        <v>2795</v>
      </c>
      <c r="D1007">
        <v>8.9999999999999998E-4</v>
      </c>
    </row>
    <row r="1008" spans="2:4" x14ac:dyDescent="0.2">
      <c r="C1008" t="s">
        <v>2795</v>
      </c>
      <c r="D1008">
        <v>8.9999999999999998E-4</v>
      </c>
    </row>
    <row r="1009" spans="2:4" x14ac:dyDescent="0.2">
      <c r="B1009" t="s">
        <v>3789</v>
      </c>
      <c r="C1009" t="s">
        <v>2796</v>
      </c>
      <c r="D1009">
        <v>3</v>
      </c>
    </row>
    <row r="1010" spans="2:4" x14ac:dyDescent="0.2">
      <c r="C1010" t="s">
        <v>2796</v>
      </c>
      <c r="D1010">
        <v>3</v>
      </c>
    </row>
    <row r="1011" spans="2:4" x14ac:dyDescent="0.2">
      <c r="B1011" t="s">
        <v>3790</v>
      </c>
      <c r="C1011">
        <v>7</v>
      </c>
    </row>
    <row r="1012" spans="2:4" x14ac:dyDescent="0.2">
      <c r="B1012" t="s">
        <v>3791</v>
      </c>
      <c r="C1012">
        <v>0</v>
      </c>
    </row>
    <row r="1013" spans="2:4" x14ac:dyDescent="0.2">
      <c r="B1013" t="s">
        <v>3792</v>
      </c>
    </row>
    <row r="1014" spans="2:4" x14ac:dyDescent="0.2">
      <c r="B1014" t="s">
        <v>3793</v>
      </c>
    </row>
    <row r="1015" spans="2:4" x14ac:dyDescent="0.2">
      <c r="B1015" t="s">
        <v>3794</v>
      </c>
    </row>
    <row r="1016" spans="2:4" x14ac:dyDescent="0.2">
      <c r="B1016" t="s">
        <v>3795</v>
      </c>
    </row>
    <row r="1017" spans="2:4" x14ac:dyDescent="0.2">
      <c r="B1017" t="s">
        <v>3796</v>
      </c>
      <c r="C1017">
        <v>139</v>
      </c>
    </row>
    <row r="1018" spans="2:4" x14ac:dyDescent="0.2">
      <c r="B1018" t="s">
        <v>3797</v>
      </c>
      <c r="C1018" t="s">
        <v>1996</v>
      </c>
    </row>
    <row r="1019" spans="2:4" x14ac:dyDescent="0.2">
      <c r="B1019" t="s">
        <v>3798</v>
      </c>
      <c r="C1019">
        <v>0</v>
      </c>
    </row>
    <row r="1020" spans="2:4" x14ac:dyDescent="0.2">
      <c r="B1020" t="s">
        <v>3799</v>
      </c>
      <c r="C1020">
        <v>1</v>
      </c>
    </row>
    <row r="1021" spans="2:4" x14ac:dyDescent="0.2">
      <c r="B1021" t="s">
        <v>3800</v>
      </c>
      <c r="C1021">
        <v>0</v>
      </c>
    </row>
    <row r="1022" spans="2:4" x14ac:dyDescent="0.2">
      <c r="B1022" t="s">
        <v>3801</v>
      </c>
      <c r="C1022">
        <v>1</v>
      </c>
    </row>
    <row r="1023" spans="2:4" x14ac:dyDescent="0.2">
      <c r="B1023" t="s">
        <v>3802</v>
      </c>
      <c r="C1023">
        <v>4</v>
      </c>
    </row>
    <row r="1024" spans="2:4" x14ac:dyDescent="0.2">
      <c r="B1024" t="s">
        <v>3803</v>
      </c>
      <c r="C1024">
        <v>0</v>
      </c>
    </row>
    <row r="1025" spans="2:3" x14ac:dyDescent="0.2">
      <c r="B1025" t="s">
        <v>3804</v>
      </c>
    </row>
    <row r="1026" spans="2:3" x14ac:dyDescent="0.2">
      <c r="B1026" t="s">
        <v>3805</v>
      </c>
      <c r="C1026" t="s">
        <v>2797</v>
      </c>
    </row>
    <row r="1027" spans="2:3" x14ac:dyDescent="0.2">
      <c r="B1027" t="s">
        <v>3806</v>
      </c>
    </row>
    <row r="1028" spans="2:3" x14ac:dyDescent="0.2">
      <c r="B1028" t="s">
        <v>3807</v>
      </c>
    </row>
    <row r="1029" spans="2:3" x14ac:dyDescent="0.2">
      <c r="B1029" t="s">
        <v>3808</v>
      </c>
      <c r="C1029">
        <v>140</v>
      </c>
    </row>
    <row r="1030" spans="2:3" x14ac:dyDescent="0.2">
      <c r="B1030" t="s">
        <v>3809</v>
      </c>
      <c r="C1030" t="s">
        <v>1998</v>
      </c>
    </row>
    <row r="1031" spans="2:3" x14ac:dyDescent="0.2">
      <c r="B1031" t="s">
        <v>3810</v>
      </c>
      <c r="C1031">
        <v>0</v>
      </c>
    </row>
    <row r="1032" spans="2:3" x14ac:dyDescent="0.2">
      <c r="B1032" t="s">
        <v>3811</v>
      </c>
      <c r="C1032">
        <v>1</v>
      </c>
    </row>
    <row r="1033" spans="2:3" x14ac:dyDescent="0.2">
      <c r="B1033" t="s">
        <v>3812</v>
      </c>
      <c r="C1033">
        <v>0</v>
      </c>
    </row>
    <row r="1034" spans="2:3" x14ac:dyDescent="0.2">
      <c r="B1034" t="s">
        <v>3813</v>
      </c>
      <c r="C1034">
        <v>1</v>
      </c>
    </row>
    <row r="1035" spans="2:3" x14ac:dyDescent="0.2">
      <c r="B1035" t="s">
        <v>3814</v>
      </c>
      <c r="C1035">
        <v>7</v>
      </c>
    </row>
    <row r="1036" spans="2:3" x14ac:dyDescent="0.2">
      <c r="B1036" t="s">
        <v>3815</v>
      </c>
      <c r="C1036">
        <v>0</v>
      </c>
    </row>
    <row r="1037" spans="2:3" x14ac:dyDescent="0.2">
      <c r="B1037" t="s">
        <v>3816</v>
      </c>
    </row>
    <row r="1038" spans="2:3" x14ac:dyDescent="0.2">
      <c r="B1038" t="s">
        <v>3817</v>
      </c>
    </row>
    <row r="1039" spans="2:3" x14ac:dyDescent="0.2">
      <c r="B1039" t="s">
        <v>3818</v>
      </c>
    </row>
    <row r="1040" spans="2:3" x14ac:dyDescent="0.2">
      <c r="B1040" t="s">
        <v>3819</v>
      </c>
    </row>
    <row r="1041" spans="2:4" x14ac:dyDescent="0.2">
      <c r="B1041" t="s">
        <v>3820</v>
      </c>
      <c r="C1041">
        <v>141</v>
      </c>
    </row>
    <row r="1042" spans="2:4" x14ac:dyDescent="0.2">
      <c r="B1042" t="s">
        <v>3821</v>
      </c>
      <c r="C1042" t="s">
        <v>1999</v>
      </c>
    </row>
    <row r="1043" spans="2:4" x14ac:dyDescent="0.2">
      <c r="B1043" t="s">
        <v>3822</v>
      </c>
      <c r="C1043" t="s">
        <v>2798</v>
      </c>
      <c r="D1043">
        <v>0</v>
      </c>
    </row>
    <row r="1044" spans="2:4" x14ac:dyDescent="0.2">
      <c r="C1044" t="s">
        <v>2798</v>
      </c>
      <c r="D1044">
        <v>0</v>
      </c>
    </row>
    <row r="1045" spans="2:4" x14ac:dyDescent="0.2">
      <c r="B1045" t="s">
        <v>3823</v>
      </c>
      <c r="C1045" t="s">
        <v>2799</v>
      </c>
      <c r="D1045">
        <v>1</v>
      </c>
    </row>
    <row r="1046" spans="2:4" x14ac:dyDescent="0.2">
      <c r="C1046" t="s">
        <v>2799</v>
      </c>
      <c r="D1046">
        <v>1</v>
      </c>
    </row>
    <row r="1047" spans="2:4" x14ac:dyDescent="0.2">
      <c r="B1047" t="s">
        <v>3824</v>
      </c>
      <c r="C1047" t="s">
        <v>2800</v>
      </c>
      <c r="D1047">
        <v>0</v>
      </c>
    </row>
    <row r="1048" spans="2:4" x14ac:dyDescent="0.2">
      <c r="C1048" t="s">
        <v>2800</v>
      </c>
      <c r="D1048">
        <v>0</v>
      </c>
    </row>
    <row r="1049" spans="2:4" x14ac:dyDescent="0.2">
      <c r="B1049" t="s">
        <v>3825</v>
      </c>
      <c r="C1049" t="s">
        <v>2801</v>
      </c>
      <c r="D1049">
        <v>1</v>
      </c>
    </row>
    <row r="1050" spans="2:4" x14ac:dyDescent="0.2">
      <c r="C1050" t="s">
        <v>2801</v>
      </c>
      <c r="D1050">
        <v>1</v>
      </c>
    </row>
    <row r="1051" spans="2:4" x14ac:dyDescent="0.2">
      <c r="B1051" t="s">
        <v>3826</v>
      </c>
      <c r="C1051">
        <v>4</v>
      </c>
    </row>
    <row r="1052" spans="2:4" x14ac:dyDescent="0.2">
      <c r="B1052" t="s">
        <v>3827</v>
      </c>
      <c r="C1052">
        <v>0</v>
      </c>
    </row>
    <row r="1053" spans="2:4" x14ac:dyDescent="0.2">
      <c r="B1053" t="s">
        <v>3828</v>
      </c>
    </row>
    <row r="1054" spans="2:4" x14ac:dyDescent="0.2">
      <c r="B1054" t="s">
        <v>3829</v>
      </c>
    </row>
    <row r="1055" spans="2:4" x14ac:dyDescent="0.2">
      <c r="B1055" t="s">
        <v>3830</v>
      </c>
    </row>
    <row r="1056" spans="2:4" x14ac:dyDescent="0.2">
      <c r="B1056" t="s">
        <v>3831</v>
      </c>
    </row>
    <row r="1057" spans="2:4" x14ac:dyDescent="0.2">
      <c r="B1057" t="s">
        <v>3832</v>
      </c>
      <c r="C1057">
        <v>142</v>
      </c>
    </row>
    <row r="1058" spans="2:4" x14ac:dyDescent="0.2">
      <c r="B1058" t="s">
        <v>3833</v>
      </c>
      <c r="C1058" t="s">
        <v>2004</v>
      </c>
    </row>
    <row r="1059" spans="2:4" x14ac:dyDescent="0.2">
      <c r="B1059" t="s">
        <v>3834</v>
      </c>
      <c r="C1059" t="s">
        <v>2802</v>
      </c>
      <c r="D1059">
        <v>7.0300000000000001E-2</v>
      </c>
    </row>
    <row r="1060" spans="2:4" x14ac:dyDescent="0.2">
      <c r="C1060" t="s">
        <v>2802</v>
      </c>
      <c r="D1060">
        <v>7.0300000000000001E-2</v>
      </c>
    </row>
    <row r="1061" spans="2:4" x14ac:dyDescent="0.2">
      <c r="B1061" t="s">
        <v>3835</v>
      </c>
      <c r="C1061" t="s">
        <v>2803</v>
      </c>
      <c r="D1061">
        <v>3</v>
      </c>
    </row>
    <row r="1062" spans="2:4" x14ac:dyDescent="0.2">
      <c r="C1062" t="s">
        <v>2803</v>
      </c>
      <c r="D1062">
        <v>3</v>
      </c>
    </row>
    <row r="1063" spans="2:4" x14ac:dyDescent="0.2">
      <c r="B1063" t="s">
        <v>3836</v>
      </c>
      <c r="C1063" t="s">
        <v>2804</v>
      </c>
      <c r="D1063">
        <v>6.2199999999999998E-2</v>
      </c>
    </row>
    <row r="1064" spans="2:4" x14ac:dyDescent="0.2">
      <c r="C1064" t="s">
        <v>2804</v>
      </c>
      <c r="D1064">
        <v>6.2199999999999998E-2</v>
      </c>
    </row>
    <row r="1065" spans="2:4" x14ac:dyDescent="0.2">
      <c r="B1065" t="s">
        <v>3837</v>
      </c>
      <c r="C1065" t="s">
        <v>2805</v>
      </c>
      <c r="D1065">
        <v>3</v>
      </c>
    </row>
    <row r="1066" spans="2:4" x14ac:dyDescent="0.2">
      <c r="C1066" t="s">
        <v>2805</v>
      </c>
      <c r="D1066">
        <v>3</v>
      </c>
    </row>
    <row r="1067" spans="2:4" x14ac:dyDescent="0.2">
      <c r="B1067" t="s">
        <v>3838</v>
      </c>
      <c r="C1067">
        <v>31</v>
      </c>
    </row>
    <row r="1068" spans="2:4" x14ac:dyDescent="0.2">
      <c r="B1068" t="s">
        <v>3839</v>
      </c>
      <c r="C1068">
        <v>0</v>
      </c>
    </row>
    <row r="1069" spans="2:4" x14ac:dyDescent="0.2">
      <c r="B1069" t="s">
        <v>3840</v>
      </c>
    </row>
    <row r="1070" spans="2:4" x14ac:dyDescent="0.2">
      <c r="B1070" t="s">
        <v>3841</v>
      </c>
    </row>
    <row r="1071" spans="2:4" x14ac:dyDescent="0.2">
      <c r="B1071" t="s">
        <v>3842</v>
      </c>
    </row>
    <row r="1072" spans="2:4" x14ac:dyDescent="0.2">
      <c r="B1072" t="s">
        <v>3843</v>
      </c>
    </row>
    <row r="1073" spans="2:4" x14ac:dyDescent="0.2">
      <c r="B1073" t="s">
        <v>3844</v>
      </c>
      <c r="C1073">
        <v>143</v>
      </c>
    </row>
    <row r="1074" spans="2:4" x14ac:dyDescent="0.2">
      <c r="B1074" t="s">
        <v>3845</v>
      </c>
      <c r="C1074" t="s">
        <v>2009</v>
      </c>
    </row>
    <row r="1075" spans="2:4" x14ac:dyDescent="0.2">
      <c r="B1075" t="s">
        <v>3846</v>
      </c>
      <c r="C1075" t="s">
        <v>2806</v>
      </c>
      <c r="D1075">
        <v>0</v>
      </c>
    </row>
    <row r="1076" spans="2:4" x14ac:dyDescent="0.2">
      <c r="C1076" t="s">
        <v>2806</v>
      </c>
      <c r="D1076">
        <v>0</v>
      </c>
    </row>
    <row r="1077" spans="2:4" x14ac:dyDescent="0.2">
      <c r="B1077" t="s">
        <v>3847</v>
      </c>
      <c r="C1077" t="s">
        <v>2807</v>
      </c>
      <c r="D1077">
        <v>1</v>
      </c>
    </row>
    <row r="1078" spans="2:4" x14ac:dyDescent="0.2">
      <c r="C1078" t="s">
        <v>2807</v>
      </c>
      <c r="D1078">
        <v>1</v>
      </c>
    </row>
    <row r="1079" spans="2:4" x14ac:dyDescent="0.2">
      <c r="B1079" t="s">
        <v>3848</v>
      </c>
      <c r="C1079" t="s">
        <v>2808</v>
      </c>
      <c r="D1079">
        <v>0</v>
      </c>
    </row>
    <row r="1080" spans="2:4" x14ac:dyDescent="0.2">
      <c r="C1080" t="s">
        <v>2808</v>
      </c>
      <c r="D1080">
        <v>0</v>
      </c>
    </row>
    <row r="1081" spans="2:4" x14ac:dyDescent="0.2">
      <c r="B1081" t="s">
        <v>3849</v>
      </c>
      <c r="C1081" t="s">
        <v>2809</v>
      </c>
      <c r="D1081">
        <v>1</v>
      </c>
    </row>
    <row r="1082" spans="2:4" x14ac:dyDescent="0.2">
      <c r="C1082" t="s">
        <v>2809</v>
      </c>
      <c r="D1082">
        <v>1</v>
      </c>
    </row>
    <row r="1083" spans="2:4" x14ac:dyDescent="0.2">
      <c r="B1083" t="s">
        <v>3850</v>
      </c>
      <c r="C1083">
        <v>4</v>
      </c>
    </row>
    <row r="1084" spans="2:4" x14ac:dyDescent="0.2">
      <c r="B1084" t="s">
        <v>3851</v>
      </c>
      <c r="C1084">
        <v>32</v>
      </c>
    </row>
    <row r="1085" spans="2:4" x14ac:dyDescent="0.2">
      <c r="B1085" t="s">
        <v>3852</v>
      </c>
    </row>
    <row r="1086" spans="2:4" x14ac:dyDescent="0.2">
      <c r="B1086" t="s">
        <v>3853</v>
      </c>
    </row>
    <row r="1087" spans="2:4" x14ac:dyDescent="0.2">
      <c r="B1087" t="s">
        <v>3854</v>
      </c>
    </row>
    <row r="1088" spans="2:4" x14ac:dyDescent="0.2">
      <c r="B1088" t="s">
        <v>3855</v>
      </c>
    </row>
    <row r="1089" spans="2:4" x14ac:dyDescent="0.2">
      <c r="B1089" t="s">
        <v>3856</v>
      </c>
      <c r="C1089">
        <v>144</v>
      </c>
    </row>
    <row r="1090" spans="2:4" x14ac:dyDescent="0.2">
      <c r="B1090" t="s">
        <v>3857</v>
      </c>
      <c r="C1090" t="s">
        <v>2014</v>
      </c>
    </row>
    <row r="1091" spans="2:4" x14ac:dyDescent="0.2">
      <c r="B1091" t="s">
        <v>3858</v>
      </c>
      <c r="C1091" t="s">
        <v>2810</v>
      </c>
      <c r="D1091">
        <v>0.3503</v>
      </c>
    </row>
    <row r="1092" spans="2:4" x14ac:dyDescent="0.2">
      <c r="C1092" t="s">
        <v>2810</v>
      </c>
      <c r="D1092">
        <v>0.3503</v>
      </c>
    </row>
    <row r="1093" spans="2:4" x14ac:dyDescent="0.2">
      <c r="B1093" t="s">
        <v>3859</v>
      </c>
      <c r="C1093" t="s">
        <v>2811</v>
      </c>
      <c r="D1093">
        <v>4</v>
      </c>
    </row>
    <row r="1094" spans="2:4" x14ac:dyDescent="0.2">
      <c r="C1094" t="s">
        <v>2811</v>
      </c>
      <c r="D1094">
        <v>4</v>
      </c>
    </row>
    <row r="1095" spans="2:4" x14ac:dyDescent="0.2">
      <c r="B1095" t="s">
        <v>3860</v>
      </c>
      <c r="C1095" t="s">
        <v>2812</v>
      </c>
      <c r="D1095">
        <v>0.6089</v>
      </c>
    </row>
    <row r="1096" spans="2:4" x14ac:dyDescent="0.2">
      <c r="C1096" t="s">
        <v>2812</v>
      </c>
      <c r="D1096">
        <v>0.6089</v>
      </c>
    </row>
    <row r="1097" spans="2:4" x14ac:dyDescent="0.2">
      <c r="B1097" t="s">
        <v>3861</v>
      </c>
      <c r="C1097" t="s">
        <v>2813</v>
      </c>
      <c r="D1097">
        <v>4</v>
      </c>
    </row>
    <row r="1098" spans="2:4" x14ac:dyDescent="0.2">
      <c r="C1098" t="s">
        <v>2813</v>
      </c>
      <c r="D1098">
        <v>4</v>
      </c>
    </row>
    <row r="1099" spans="2:4" x14ac:dyDescent="0.2">
      <c r="B1099" t="s">
        <v>3862</v>
      </c>
      <c r="C1099">
        <v>29</v>
      </c>
    </row>
    <row r="1100" spans="2:4" x14ac:dyDescent="0.2">
      <c r="B1100" t="s">
        <v>3863</v>
      </c>
      <c r="C1100">
        <v>32</v>
      </c>
    </row>
    <row r="1101" spans="2:4" x14ac:dyDescent="0.2">
      <c r="B1101" t="s">
        <v>3864</v>
      </c>
    </row>
    <row r="1102" spans="2:4" x14ac:dyDescent="0.2">
      <c r="B1102" t="s">
        <v>3865</v>
      </c>
    </row>
    <row r="1103" spans="2:4" x14ac:dyDescent="0.2">
      <c r="B1103" t="s">
        <v>3866</v>
      </c>
    </row>
    <row r="1104" spans="2:4" x14ac:dyDescent="0.2">
      <c r="B1104" t="s">
        <v>3867</v>
      </c>
    </row>
    <row r="1105" spans="2:4" x14ac:dyDescent="0.2">
      <c r="B1105" t="s">
        <v>3868</v>
      </c>
      <c r="C1105">
        <v>145</v>
      </c>
    </row>
    <row r="1106" spans="2:4" x14ac:dyDescent="0.2">
      <c r="B1106" t="s">
        <v>3869</v>
      </c>
      <c r="C1106" t="s">
        <v>2019</v>
      </c>
    </row>
    <row r="1107" spans="2:4" x14ac:dyDescent="0.2">
      <c r="B1107" t="s">
        <v>3870</v>
      </c>
    </row>
    <row r="1108" spans="2:4" x14ac:dyDescent="0.2">
      <c r="B1108" t="s">
        <v>3871</v>
      </c>
    </row>
    <row r="1109" spans="2:4" x14ac:dyDescent="0.2">
      <c r="B1109" t="s">
        <v>3872</v>
      </c>
      <c r="C1109" t="s">
        <v>2814</v>
      </c>
      <c r="D1109">
        <v>0</v>
      </c>
    </row>
    <row r="1110" spans="2:4" x14ac:dyDescent="0.2">
      <c r="C1110" t="s">
        <v>2814</v>
      </c>
      <c r="D1110">
        <v>0</v>
      </c>
    </row>
    <row r="1111" spans="2:4" x14ac:dyDescent="0.2">
      <c r="B1111" t="s">
        <v>3873</v>
      </c>
      <c r="C1111" t="s">
        <v>2815</v>
      </c>
      <c r="D1111">
        <v>1</v>
      </c>
    </row>
    <row r="1112" spans="2:4" x14ac:dyDescent="0.2">
      <c r="C1112" t="s">
        <v>2815</v>
      </c>
      <c r="D1112">
        <v>1</v>
      </c>
    </row>
    <row r="1113" spans="2:4" x14ac:dyDescent="0.2">
      <c r="B1113" t="s">
        <v>3874</v>
      </c>
      <c r="C1113">
        <v>4</v>
      </c>
    </row>
    <row r="1114" spans="2:4" x14ac:dyDescent="0.2">
      <c r="B1114" t="s">
        <v>3875</v>
      </c>
      <c r="C1114">
        <v>32</v>
      </c>
    </row>
    <row r="1115" spans="2:4" x14ac:dyDescent="0.2">
      <c r="B1115" t="s">
        <v>3876</v>
      </c>
    </row>
    <row r="1116" spans="2:4" x14ac:dyDescent="0.2">
      <c r="B1116" t="s">
        <v>3877</v>
      </c>
    </row>
    <row r="1117" spans="2:4" x14ac:dyDescent="0.2">
      <c r="B1117" t="s">
        <v>3878</v>
      </c>
    </row>
    <row r="1118" spans="2:4" x14ac:dyDescent="0.2">
      <c r="B1118" t="s">
        <v>3879</v>
      </c>
    </row>
    <row r="1119" spans="2:4" x14ac:dyDescent="0.2">
      <c r="B1119" t="s">
        <v>3880</v>
      </c>
      <c r="C1119">
        <v>146</v>
      </c>
    </row>
    <row r="1120" spans="2:4" x14ac:dyDescent="0.2">
      <c r="B1120" t="s">
        <v>3881</v>
      </c>
      <c r="C1120" t="s">
        <v>2023</v>
      </c>
    </row>
    <row r="1121" spans="2:4" x14ac:dyDescent="0.2">
      <c r="B1121" t="s">
        <v>3882</v>
      </c>
    </row>
    <row r="1122" spans="2:4" x14ac:dyDescent="0.2">
      <c r="B1122" t="s">
        <v>3883</v>
      </c>
    </row>
    <row r="1123" spans="2:4" x14ac:dyDescent="0.2">
      <c r="B1123" t="s">
        <v>3884</v>
      </c>
      <c r="C1123" t="s">
        <v>2816</v>
      </c>
      <c r="D1123">
        <v>175</v>
      </c>
    </row>
    <row r="1124" spans="2:4" x14ac:dyDescent="0.2">
      <c r="C1124" t="s">
        <v>2816</v>
      </c>
      <c r="D1124">
        <v>175</v>
      </c>
    </row>
    <row r="1125" spans="2:4" x14ac:dyDescent="0.2">
      <c r="B1125" t="s">
        <v>3885</v>
      </c>
      <c r="C1125" t="s">
        <v>2817</v>
      </c>
      <c r="D1125">
        <v>1</v>
      </c>
    </row>
    <row r="1126" spans="2:4" x14ac:dyDescent="0.2">
      <c r="C1126" t="s">
        <v>2817</v>
      </c>
      <c r="D1126">
        <v>1</v>
      </c>
    </row>
    <row r="1127" spans="2:4" x14ac:dyDescent="0.2">
      <c r="B1127" t="s">
        <v>3886</v>
      </c>
      <c r="C1127">
        <v>4</v>
      </c>
    </row>
    <row r="1128" spans="2:4" x14ac:dyDescent="0.2">
      <c r="B1128" t="s">
        <v>3887</v>
      </c>
      <c r="C1128">
        <v>32</v>
      </c>
    </row>
    <row r="1129" spans="2:4" x14ac:dyDescent="0.2">
      <c r="B1129" t="s">
        <v>3888</v>
      </c>
    </row>
    <row r="1130" spans="2:4" x14ac:dyDescent="0.2">
      <c r="B1130" t="s">
        <v>3889</v>
      </c>
    </row>
    <row r="1131" spans="2:4" x14ac:dyDescent="0.2">
      <c r="B1131" t="s">
        <v>3890</v>
      </c>
    </row>
    <row r="1132" spans="2:4" x14ac:dyDescent="0.2">
      <c r="B1132" t="s">
        <v>3891</v>
      </c>
    </row>
    <row r="1133" spans="2:4" x14ac:dyDescent="0.2">
      <c r="B1133" t="s">
        <v>3892</v>
      </c>
      <c r="C1133">
        <v>147</v>
      </c>
    </row>
    <row r="1134" spans="2:4" x14ac:dyDescent="0.2">
      <c r="B1134" t="s">
        <v>3893</v>
      </c>
      <c r="C1134" t="s">
        <v>2026</v>
      </c>
    </row>
    <row r="1135" spans="2:4" x14ac:dyDescent="0.2">
      <c r="B1135" t="s">
        <v>3894</v>
      </c>
    </row>
    <row r="1136" spans="2:4" x14ac:dyDescent="0.2">
      <c r="B1136" t="s">
        <v>3895</v>
      </c>
    </row>
    <row r="1137" spans="2:6" x14ac:dyDescent="0.2">
      <c r="B1137" t="s">
        <v>3896</v>
      </c>
      <c r="C1137" t="s">
        <v>2818</v>
      </c>
      <c r="D1137">
        <v>0.38640000000000002</v>
      </c>
    </row>
    <row r="1138" spans="2:6" x14ac:dyDescent="0.2">
      <c r="C1138" t="s">
        <v>3897</v>
      </c>
      <c r="D1138">
        <v>0.38640000000000002</v>
      </c>
    </row>
    <row r="1139" spans="2:6" x14ac:dyDescent="0.2">
      <c r="C1139" t="s">
        <v>3898</v>
      </c>
      <c r="D1139" t="s">
        <v>3899</v>
      </c>
      <c r="E1139">
        <v>0</v>
      </c>
    </row>
    <row r="1140" spans="2:6" x14ac:dyDescent="0.2">
      <c r="D1140" t="s">
        <v>3900</v>
      </c>
      <c r="E1140" t="s">
        <v>3901</v>
      </c>
      <c r="F1140">
        <v>0</v>
      </c>
    </row>
    <row r="1141" spans="2:6" x14ac:dyDescent="0.2">
      <c r="E1141" t="s">
        <v>3902</v>
      </c>
      <c r="F1141">
        <v>0</v>
      </c>
    </row>
    <row r="1142" spans="2:6" x14ac:dyDescent="0.2">
      <c r="D1142" t="s">
        <v>3903</v>
      </c>
      <c r="E1142" t="s">
        <v>3904</v>
      </c>
      <c r="F1142">
        <v>3426</v>
      </c>
    </row>
    <row r="1143" spans="2:6" x14ac:dyDescent="0.2">
      <c r="E1143" t="s">
        <v>3905</v>
      </c>
      <c r="F1143">
        <v>630</v>
      </c>
    </row>
    <row r="1144" spans="2:6" x14ac:dyDescent="0.2">
      <c r="E1144" t="s">
        <v>3906</v>
      </c>
      <c r="F1144">
        <v>2796</v>
      </c>
    </row>
    <row r="1145" spans="2:6" x14ac:dyDescent="0.2">
      <c r="B1145" t="s">
        <v>3907</v>
      </c>
      <c r="C1145" t="s">
        <v>2819</v>
      </c>
      <c r="D1145">
        <v>3</v>
      </c>
    </row>
    <row r="1146" spans="2:6" x14ac:dyDescent="0.2">
      <c r="C1146" t="s">
        <v>2819</v>
      </c>
      <c r="D1146">
        <v>3</v>
      </c>
    </row>
    <row r="1147" spans="2:6" x14ac:dyDescent="0.2">
      <c r="B1147" t="s">
        <v>3908</v>
      </c>
      <c r="C1147">
        <v>16</v>
      </c>
    </row>
    <row r="1148" spans="2:6" x14ac:dyDescent="0.2">
      <c r="B1148" t="s">
        <v>3909</v>
      </c>
      <c r="C1148">
        <v>0</v>
      </c>
    </row>
    <row r="1149" spans="2:6" x14ac:dyDescent="0.2">
      <c r="B1149" t="s">
        <v>3910</v>
      </c>
    </row>
    <row r="1150" spans="2:6" x14ac:dyDescent="0.2">
      <c r="B1150" t="s">
        <v>3911</v>
      </c>
    </row>
    <row r="1151" spans="2:6" x14ac:dyDescent="0.2">
      <c r="B1151" t="s">
        <v>3912</v>
      </c>
    </row>
    <row r="1152" spans="2:6" x14ac:dyDescent="0.2">
      <c r="B1152" t="s">
        <v>3913</v>
      </c>
    </row>
    <row r="1153" spans="2:4" x14ac:dyDescent="0.2">
      <c r="B1153" t="s">
        <v>3914</v>
      </c>
      <c r="C1153">
        <v>148</v>
      </c>
    </row>
    <row r="1154" spans="2:4" x14ac:dyDescent="0.2">
      <c r="B1154" t="s">
        <v>3915</v>
      </c>
      <c r="C1154" t="s">
        <v>2030</v>
      </c>
    </row>
    <row r="1155" spans="2:4" x14ac:dyDescent="0.2">
      <c r="B1155" t="s">
        <v>3916</v>
      </c>
    </row>
    <row r="1156" spans="2:4" x14ac:dyDescent="0.2">
      <c r="B1156" t="s">
        <v>3917</v>
      </c>
    </row>
    <row r="1157" spans="2:4" x14ac:dyDescent="0.2">
      <c r="B1157" t="s">
        <v>3918</v>
      </c>
      <c r="C1157" t="s">
        <v>2820</v>
      </c>
      <c r="D1157">
        <v>0</v>
      </c>
    </row>
    <row r="1158" spans="2:4" x14ac:dyDescent="0.2">
      <c r="C1158" t="s">
        <v>2820</v>
      </c>
      <c r="D1158">
        <v>0</v>
      </c>
    </row>
    <row r="1159" spans="2:4" x14ac:dyDescent="0.2">
      <c r="B1159" t="s">
        <v>3919</v>
      </c>
      <c r="C1159" t="s">
        <v>2821</v>
      </c>
      <c r="D1159">
        <v>1</v>
      </c>
    </row>
    <row r="1160" spans="2:4" x14ac:dyDescent="0.2">
      <c r="C1160" t="s">
        <v>2821</v>
      </c>
      <c r="D1160">
        <v>1</v>
      </c>
    </row>
    <row r="1161" spans="2:4" x14ac:dyDescent="0.2">
      <c r="B1161" t="s">
        <v>3920</v>
      </c>
      <c r="C1161">
        <v>0</v>
      </c>
    </row>
    <row r="1162" spans="2:4" x14ac:dyDescent="0.2">
      <c r="B1162" t="s">
        <v>3921</v>
      </c>
      <c r="C1162">
        <v>0</v>
      </c>
    </row>
    <row r="1163" spans="2:4" x14ac:dyDescent="0.2">
      <c r="B1163" t="s">
        <v>3922</v>
      </c>
    </row>
    <row r="1164" spans="2:4" x14ac:dyDescent="0.2">
      <c r="B1164" t="s">
        <v>3923</v>
      </c>
    </row>
    <row r="1165" spans="2:4" x14ac:dyDescent="0.2">
      <c r="B1165" t="s">
        <v>3924</v>
      </c>
    </row>
    <row r="1166" spans="2:4" x14ac:dyDescent="0.2">
      <c r="B1166" t="s">
        <v>3925</v>
      </c>
    </row>
    <row r="1167" spans="2:4" x14ac:dyDescent="0.2">
      <c r="B1167" t="s">
        <v>3926</v>
      </c>
      <c r="C1167">
        <v>149</v>
      </c>
    </row>
    <row r="1168" spans="2:4" x14ac:dyDescent="0.2">
      <c r="B1168" t="s">
        <v>3927</v>
      </c>
      <c r="C1168" t="s">
        <v>2035</v>
      </c>
    </row>
    <row r="1169" spans="2:4" x14ac:dyDescent="0.2">
      <c r="B1169" t="s">
        <v>3928</v>
      </c>
    </row>
    <row r="1170" spans="2:4" x14ac:dyDescent="0.2">
      <c r="B1170" t="s">
        <v>3929</v>
      </c>
    </row>
    <row r="1171" spans="2:4" x14ac:dyDescent="0.2">
      <c r="B1171" t="s">
        <v>3930</v>
      </c>
      <c r="C1171" t="s">
        <v>2822</v>
      </c>
      <c r="D1171">
        <v>224.2</v>
      </c>
    </row>
    <row r="1172" spans="2:4" x14ac:dyDescent="0.2">
      <c r="C1172" t="s">
        <v>2822</v>
      </c>
      <c r="D1172">
        <v>224</v>
      </c>
    </row>
    <row r="1173" spans="2:4" x14ac:dyDescent="0.2">
      <c r="B1173" t="s">
        <v>3931</v>
      </c>
      <c r="C1173" t="s">
        <v>2823</v>
      </c>
      <c r="D1173">
        <v>1</v>
      </c>
    </row>
    <row r="1174" spans="2:4" x14ac:dyDescent="0.2">
      <c r="C1174" t="s">
        <v>2823</v>
      </c>
      <c r="D1174">
        <v>1</v>
      </c>
    </row>
    <row r="1175" spans="2:4" x14ac:dyDescent="0.2">
      <c r="B1175" t="s">
        <v>3932</v>
      </c>
      <c r="C1175">
        <v>4</v>
      </c>
    </row>
    <row r="1176" spans="2:4" x14ac:dyDescent="0.2">
      <c r="B1176" t="s">
        <v>3933</v>
      </c>
      <c r="C1176">
        <v>0</v>
      </c>
    </row>
    <row r="1177" spans="2:4" x14ac:dyDescent="0.2">
      <c r="B1177" t="s">
        <v>3934</v>
      </c>
    </row>
    <row r="1178" spans="2:4" x14ac:dyDescent="0.2">
      <c r="B1178" t="s">
        <v>3935</v>
      </c>
    </row>
    <row r="1179" spans="2:4" x14ac:dyDescent="0.2">
      <c r="B1179" t="s">
        <v>3936</v>
      </c>
    </row>
    <row r="1180" spans="2:4" x14ac:dyDescent="0.2">
      <c r="B1180" t="s">
        <v>3937</v>
      </c>
    </row>
    <row r="1181" spans="2:4" x14ac:dyDescent="0.2">
      <c r="B1181" t="s">
        <v>3938</v>
      </c>
      <c r="C1181">
        <v>150</v>
      </c>
    </row>
    <row r="1182" spans="2:4" x14ac:dyDescent="0.2">
      <c r="B1182" t="s">
        <v>3939</v>
      </c>
      <c r="C1182" t="s">
        <v>2040</v>
      </c>
    </row>
    <row r="1183" spans="2:4" x14ac:dyDescent="0.2">
      <c r="B1183" t="s">
        <v>3940</v>
      </c>
    </row>
    <row r="1184" spans="2:4" x14ac:dyDescent="0.2">
      <c r="B1184" t="s">
        <v>3941</v>
      </c>
    </row>
    <row r="1185" spans="2:7" x14ac:dyDescent="0.2">
      <c r="B1185" t="s">
        <v>3942</v>
      </c>
      <c r="C1185" t="s">
        <v>2824</v>
      </c>
      <c r="D1185">
        <v>93.536600000000007</v>
      </c>
    </row>
    <row r="1186" spans="2:7" x14ac:dyDescent="0.2">
      <c r="C1186" t="s">
        <v>2824</v>
      </c>
      <c r="D1186" t="s">
        <v>3943</v>
      </c>
      <c r="E1186">
        <v>93.5</v>
      </c>
    </row>
    <row r="1187" spans="2:7" x14ac:dyDescent="0.2">
      <c r="D1187" t="s">
        <v>3944</v>
      </c>
      <c r="E1187" t="s">
        <v>3945</v>
      </c>
      <c r="F1187">
        <v>94</v>
      </c>
    </row>
    <row r="1188" spans="2:7" x14ac:dyDescent="0.2">
      <c r="E1188" t="s">
        <v>3946</v>
      </c>
      <c r="F1188" t="s">
        <v>3904</v>
      </c>
      <c r="G1188">
        <v>3426</v>
      </c>
    </row>
    <row r="1189" spans="2:7" x14ac:dyDescent="0.2">
      <c r="F1189" t="s">
        <v>3905</v>
      </c>
      <c r="G1189">
        <v>630</v>
      </c>
    </row>
    <row r="1190" spans="2:7" x14ac:dyDescent="0.2">
      <c r="F1190" t="s">
        <v>3906</v>
      </c>
      <c r="G1190">
        <v>2796</v>
      </c>
    </row>
    <row r="1191" spans="2:7" x14ac:dyDescent="0.2">
      <c r="E1191" t="s">
        <v>3947</v>
      </c>
      <c r="F1191">
        <v>0.182</v>
      </c>
    </row>
    <row r="1192" spans="2:7" x14ac:dyDescent="0.2">
      <c r="E1192" t="s">
        <v>3948</v>
      </c>
      <c r="F1192">
        <v>0.15</v>
      </c>
    </row>
    <row r="1193" spans="2:7" x14ac:dyDescent="0.2">
      <c r="B1193" t="s">
        <v>3949</v>
      </c>
      <c r="C1193" t="s">
        <v>2825</v>
      </c>
      <c r="D1193">
        <v>1</v>
      </c>
    </row>
    <row r="1194" spans="2:7" x14ac:dyDescent="0.2">
      <c r="C1194" t="s">
        <v>2825</v>
      </c>
      <c r="D1194">
        <v>1</v>
      </c>
    </row>
    <row r="1195" spans="2:7" x14ac:dyDescent="0.2">
      <c r="B1195" t="s">
        <v>3950</v>
      </c>
      <c r="C1195">
        <v>16</v>
      </c>
    </row>
    <row r="1196" spans="2:7" x14ac:dyDescent="0.2">
      <c r="B1196" t="s">
        <v>3951</v>
      </c>
      <c r="C1196">
        <v>0</v>
      </c>
    </row>
    <row r="1197" spans="2:7" x14ac:dyDescent="0.2">
      <c r="B1197" t="s">
        <v>3952</v>
      </c>
    </row>
    <row r="1198" spans="2:7" x14ac:dyDescent="0.2">
      <c r="B1198" t="s">
        <v>3953</v>
      </c>
    </row>
    <row r="1199" spans="2:7" x14ac:dyDescent="0.2">
      <c r="B1199" t="s">
        <v>3954</v>
      </c>
    </row>
    <row r="1200" spans="2:7" x14ac:dyDescent="0.2">
      <c r="B1200" t="s">
        <v>3955</v>
      </c>
    </row>
    <row r="1201" spans="2:4" x14ac:dyDescent="0.2">
      <c r="B1201" t="s">
        <v>3956</v>
      </c>
      <c r="C1201">
        <v>151</v>
      </c>
    </row>
    <row r="1202" spans="2:4" x14ac:dyDescent="0.2">
      <c r="B1202" t="s">
        <v>3957</v>
      </c>
      <c r="C1202" t="s">
        <v>2045</v>
      </c>
    </row>
    <row r="1203" spans="2:4" x14ac:dyDescent="0.2">
      <c r="B1203" t="s">
        <v>3958</v>
      </c>
    </row>
    <row r="1204" spans="2:4" x14ac:dyDescent="0.2">
      <c r="B1204" t="s">
        <v>3959</v>
      </c>
    </row>
    <row r="1205" spans="2:4" x14ac:dyDescent="0.2">
      <c r="B1205" t="s">
        <v>3960</v>
      </c>
      <c r="C1205" t="s">
        <v>2826</v>
      </c>
      <c r="D1205">
        <v>0</v>
      </c>
    </row>
    <row r="1206" spans="2:4" x14ac:dyDescent="0.2">
      <c r="C1206" t="s">
        <v>2826</v>
      </c>
      <c r="D1206">
        <v>0</v>
      </c>
    </row>
    <row r="1207" spans="2:4" x14ac:dyDescent="0.2">
      <c r="B1207" t="s">
        <v>3961</v>
      </c>
      <c r="C1207" t="s">
        <v>2827</v>
      </c>
      <c r="D1207">
        <v>1</v>
      </c>
    </row>
    <row r="1208" spans="2:4" x14ac:dyDescent="0.2">
      <c r="C1208" t="s">
        <v>2827</v>
      </c>
      <c r="D1208">
        <v>1</v>
      </c>
    </row>
    <row r="1209" spans="2:4" x14ac:dyDescent="0.2">
      <c r="B1209" t="s">
        <v>3962</v>
      </c>
      <c r="C1209">
        <v>4</v>
      </c>
    </row>
    <row r="1210" spans="2:4" x14ac:dyDescent="0.2">
      <c r="B1210" t="s">
        <v>3963</v>
      </c>
      <c r="C1210">
        <v>0</v>
      </c>
    </row>
    <row r="1211" spans="2:4" x14ac:dyDescent="0.2">
      <c r="B1211" t="s">
        <v>3964</v>
      </c>
    </row>
    <row r="1212" spans="2:4" x14ac:dyDescent="0.2">
      <c r="B1212" t="s">
        <v>3965</v>
      </c>
    </row>
    <row r="1213" spans="2:4" x14ac:dyDescent="0.2">
      <c r="B1213" t="s">
        <v>3966</v>
      </c>
    </row>
    <row r="1214" spans="2:4" x14ac:dyDescent="0.2">
      <c r="B1214" t="s">
        <v>3967</v>
      </c>
    </row>
    <row r="1215" spans="2:4" x14ac:dyDescent="0.2">
      <c r="B1215" t="s">
        <v>3968</v>
      </c>
      <c r="C1215">
        <v>152</v>
      </c>
    </row>
    <row r="1216" spans="2:4" x14ac:dyDescent="0.2">
      <c r="B1216" t="s">
        <v>3969</v>
      </c>
      <c r="C1216" t="s">
        <v>2049</v>
      </c>
    </row>
    <row r="1217" spans="2:6" x14ac:dyDescent="0.2">
      <c r="B1217" t="s">
        <v>3970</v>
      </c>
      <c r="C1217">
        <v>-99</v>
      </c>
    </row>
    <row r="1218" spans="2:6" x14ac:dyDescent="0.2">
      <c r="B1218" t="s">
        <v>3971</v>
      </c>
      <c r="C1218">
        <v>-99</v>
      </c>
    </row>
    <row r="1219" spans="2:6" x14ac:dyDescent="0.2">
      <c r="B1219" t="s">
        <v>3972</v>
      </c>
      <c r="C1219">
        <v>-99</v>
      </c>
    </row>
    <row r="1220" spans="2:6" x14ac:dyDescent="0.2">
      <c r="B1220" t="s">
        <v>3973</v>
      </c>
      <c r="C1220">
        <v>-99</v>
      </c>
    </row>
    <row r="1221" spans="2:6" x14ac:dyDescent="0.2">
      <c r="B1221" t="s">
        <v>3974</v>
      </c>
      <c r="C1221">
        <v>0</v>
      </c>
    </row>
    <row r="1222" spans="2:6" x14ac:dyDescent="0.2">
      <c r="B1222" t="s">
        <v>3975</v>
      </c>
      <c r="C1222">
        <v>0</v>
      </c>
    </row>
    <row r="1223" spans="2:6" x14ac:dyDescent="0.2">
      <c r="B1223" t="s">
        <v>3976</v>
      </c>
    </row>
    <row r="1224" spans="2:6" x14ac:dyDescent="0.2">
      <c r="B1224" t="s">
        <v>3977</v>
      </c>
    </row>
    <row r="1225" spans="2:6" x14ac:dyDescent="0.2">
      <c r="B1225" t="s">
        <v>3978</v>
      </c>
    </row>
    <row r="1226" spans="2:6" x14ac:dyDescent="0.2">
      <c r="B1226" t="s">
        <v>3979</v>
      </c>
    </row>
    <row r="1227" spans="2:6" x14ac:dyDescent="0.2">
      <c r="B1227" t="s">
        <v>3980</v>
      </c>
      <c r="C1227">
        <v>153</v>
      </c>
    </row>
    <row r="1228" spans="2:6" x14ac:dyDescent="0.2">
      <c r="B1228" t="s">
        <v>3981</v>
      </c>
      <c r="C1228" t="s">
        <v>2051</v>
      </c>
    </row>
    <row r="1229" spans="2:6" x14ac:dyDescent="0.2">
      <c r="B1229" t="s">
        <v>3982</v>
      </c>
      <c r="C1229" t="s">
        <v>2828</v>
      </c>
      <c r="D1229">
        <v>0</v>
      </c>
    </row>
    <row r="1230" spans="2:6" x14ac:dyDescent="0.2">
      <c r="C1230" t="s">
        <v>2828</v>
      </c>
      <c r="D1230" t="s">
        <v>3983</v>
      </c>
      <c r="E1230">
        <v>0</v>
      </c>
    </row>
    <row r="1232" spans="2:6" x14ac:dyDescent="0.2">
      <c r="D1232" t="s">
        <v>3984</v>
      </c>
      <c r="E1232" t="s">
        <v>3985</v>
      </c>
      <c r="F1232">
        <v>0</v>
      </c>
    </row>
    <row r="1233" spans="2:8" x14ac:dyDescent="0.2">
      <c r="E1233" t="s">
        <v>3986</v>
      </c>
      <c r="F1233">
        <v>0</v>
      </c>
    </row>
    <row r="1234" spans="2:8" x14ac:dyDescent="0.2">
      <c r="E1234" t="s">
        <v>3987</v>
      </c>
    </row>
    <row r="1235" spans="2:8" x14ac:dyDescent="0.2">
      <c r="B1235" t="s">
        <v>3988</v>
      </c>
      <c r="C1235" t="s">
        <v>2829</v>
      </c>
      <c r="D1235">
        <v>3</v>
      </c>
    </row>
    <row r="1236" spans="2:8" x14ac:dyDescent="0.2">
      <c r="C1236" t="s">
        <v>2829</v>
      </c>
      <c r="D1236" t="s">
        <v>3989</v>
      </c>
      <c r="E1236">
        <v>3</v>
      </c>
    </row>
    <row r="1237" spans="2:8" x14ac:dyDescent="0.2">
      <c r="D1237" t="s">
        <v>2831</v>
      </c>
      <c r="E1237">
        <v>3</v>
      </c>
    </row>
    <row r="1238" spans="2:8" x14ac:dyDescent="0.2">
      <c r="B1238" t="s">
        <v>3990</v>
      </c>
      <c r="C1238" t="s">
        <v>2830</v>
      </c>
      <c r="D1238">
        <v>5.8999999999999997E-2</v>
      </c>
    </row>
    <row r="1239" spans="2:8" x14ac:dyDescent="0.2">
      <c r="C1239" t="s">
        <v>2830</v>
      </c>
      <c r="D1239" t="s">
        <v>3991</v>
      </c>
      <c r="E1239">
        <v>5.901E-2</v>
      </c>
    </row>
    <row r="1241" spans="2:8" x14ac:dyDescent="0.2">
      <c r="D1241" t="s">
        <v>3992</v>
      </c>
      <c r="E1241" t="s">
        <v>3993</v>
      </c>
      <c r="F1241">
        <v>0</v>
      </c>
    </row>
    <row r="1242" spans="2:8" x14ac:dyDescent="0.2">
      <c r="E1242" t="s">
        <v>3994</v>
      </c>
      <c r="F1242">
        <v>0</v>
      </c>
    </row>
    <row r="1243" spans="2:8" x14ac:dyDescent="0.2">
      <c r="E1243" t="s">
        <v>3995</v>
      </c>
      <c r="F1243" t="s">
        <v>3996</v>
      </c>
      <c r="G1243">
        <v>5.901E-2</v>
      </c>
    </row>
    <row r="1245" spans="2:8" x14ac:dyDescent="0.2">
      <c r="F1245" t="s">
        <v>3997</v>
      </c>
      <c r="G1245" t="s">
        <v>3998</v>
      </c>
      <c r="H1245">
        <v>1.503E-2</v>
      </c>
    </row>
    <row r="1246" spans="2:8" x14ac:dyDescent="0.2">
      <c r="G1246" t="s">
        <v>3999</v>
      </c>
      <c r="H1246">
        <v>1.6969999999999999E-2</v>
      </c>
    </row>
    <row r="1247" spans="2:8" x14ac:dyDescent="0.2">
      <c r="G1247" t="s">
        <v>4000</v>
      </c>
      <c r="H1247">
        <v>1.167E-2</v>
      </c>
    </row>
    <row r="1248" spans="2:8" x14ac:dyDescent="0.2">
      <c r="G1248" t="s">
        <v>4001</v>
      </c>
      <c r="H1248">
        <v>1.3950000000000001E-2</v>
      </c>
    </row>
    <row r="1249" spans="2:8" x14ac:dyDescent="0.2">
      <c r="G1249" t="s">
        <v>4002</v>
      </c>
      <c r="H1249">
        <v>1.33E-3</v>
      </c>
    </row>
    <row r="1250" spans="2:8" x14ac:dyDescent="0.2">
      <c r="G1250" t="s">
        <v>4003</v>
      </c>
      <c r="H1250">
        <v>6.0000000000000002E-5</v>
      </c>
    </row>
    <row r="1251" spans="2:8" x14ac:dyDescent="0.2">
      <c r="B1251" t="s">
        <v>4004</v>
      </c>
      <c r="C1251" t="s">
        <v>2831</v>
      </c>
      <c r="D1251">
        <v>3</v>
      </c>
    </row>
    <row r="1252" spans="2:8" x14ac:dyDescent="0.2">
      <c r="C1252" t="s">
        <v>2831</v>
      </c>
      <c r="D1252">
        <v>3</v>
      </c>
    </row>
    <row r="1253" spans="2:8" x14ac:dyDescent="0.2">
      <c r="B1253" t="s">
        <v>4005</v>
      </c>
      <c r="C1253">
        <v>3</v>
      </c>
    </row>
    <row r="1254" spans="2:8" x14ac:dyDescent="0.2">
      <c r="B1254" t="s">
        <v>4006</v>
      </c>
      <c r="C1254">
        <v>0</v>
      </c>
    </row>
    <row r="1255" spans="2:8" x14ac:dyDescent="0.2">
      <c r="B1255" t="s">
        <v>4007</v>
      </c>
    </row>
    <row r="1256" spans="2:8" x14ac:dyDescent="0.2">
      <c r="B1256" t="s">
        <v>4008</v>
      </c>
    </row>
    <row r="1257" spans="2:8" x14ac:dyDescent="0.2">
      <c r="B1257" t="s">
        <v>4009</v>
      </c>
    </row>
    <row r="1258" spans="2:8" x14ac:dyDescent="0.2">
      <c r="B1258" t="s">
        <v>4010</v>
      </c>
    </row>
    <row r="1259" spans="2:8" x14ac:dyDescent="0.2">
      <c r="B1259" t="s">
        <v>4011</v>
      </c>
      <c r="C1259">
        <v>154</v>
      </c>
    </row>
    <row r="1260" spans="2:8" x14ac:dyDescent="0.2">
      <c r="B1260" t="s">
        <v>4012</v>
      </c>
      <c r="C1260" t="s">
        <v>2057</v>
      </c>
    </row>
    <row r="1261" spans="2:8" x14ac:dyDescent="0.2">
      <c r="B1261" t="s">
        <v>4013</v>
      </c>
      <c r="C1261" t="s">
        <v>2832</v>
      </c>
      <c r="D1261">
        <v>5.1000000000000004E-3</v>
      </c>
    </row>
    <row r="1262" spans="2:8" x14ac:dyDescent="0.2">
      <c r="C1262" t="s">
        <v>2832</v>
      </c>
      <c r="D1262" t="s">
        <v>4014</v>
      </c>
      <c r="E1262">
        <v>5.1000000000000004E-3</v>
      </c>
    </row>
    <row r="1264" spans="2:8" x14ac:dyDescent="0.2">
      <c r="D1264" t="s">
        <v>4015</v>
      </c>
      <c r="E1264" t="s">
        <v>4016</v>
      </c>
      <c r="F1264">
        <v>0</v>
      </c>
    </row>
    <row r="1265" spans="2:6" x14ac:dyDescent="0.2">
      <c r="E1265" t="s">
        <v>4017</v>
      </c>
      <c r="F1265">
        <v>5.1000000000000004E-3</v>
      </c>
    </row>
    <row r="1266" spans="2:6" x14ac:dyDescent="0.2">
      <c r="E1266" t="s">
        <v>4018</v>
      </c>
    </row>
    <row r="1267" spans="2:6" x14ac:dyDescent="0.2">
      <c r="B1267" t="s">
        <v>4019</v>
      </c>
      <c r="C1267" t="s">
        <v>2833</v>
      </c>
      <c r="D1267">
        <v>3</v>
      </c>
    </row>
    <row r="1268" spans="2:6" x14ac:dyDescent="0.2">
      <c r="C1268" t="s">
        <v>2833</v>
      </c>
      <c r="D1268">
        <v>3</v>
      </c>
    </row>
    <row r="1269" spans="2:6" x14ac:dyDescent="0.2">
      <c r="B1269" t="s">
        <v>4020</v>
      </c>
      <c r="C1269" t="s">
        <v>2834</v>
      </c>
      <c r="D1269">
        <v>7.8899999999999998E-2</v>
      </c>
    </row>
    <row r="1270" spans="2:6" x14ac:dyDescent="0.2">
      <c r="C1270" t="s">
        <v>2834</v>
      </c>
      <c r="D1270" t="s">
        <v>4021</v>
      </c>
      <c r="E1270">
        <v>7.8890000000000002E-2</v>
      </c>
    </row>
    <row r="1272" spans="2:6" x14ac:dyDescent="0.2">
      <c r="D1272" t="s">
        <v>4022</v>
      </c>
      <c r="E1272" t="s">
        <v>4023</v>
      </c>
      <c r="F1272">
        <v>0</v>
      </c>
    </row>
    <row r="1273" spans="2:6" x14ac:dyDescent="0.2">
      <c r="E1273" t="s">
        <v>4024</v>
      </c>
      <c r="F1273">
        <v>6.8400000000000002E-2</v>
      </c>
    </row>
    <row r="1274" spans="2:6" x14ac:dyDescent="0.2">
      <c r="E1274" t="s">
        <v>4025</v>
      </c>
      <c r="F1274">
        <v>1.04E-2</v>
      </c>
    </row>
    <row r="1275" spans="2:6" x14ac:dyDescent="0.2">
      <c r="B1275" t="s">
        <v>4026</v>
      </c>
      <c r="C1275" t="s">
        <v>2835</v>
      </c>
      <c r="D1275">
        <v>3</v>
      </c>
    </row>
    <row r="1276" spans="2:6" x14ac:dyDescent="0.2">
      <c r="C1276" t="s">
        <v>2835</v>
      </c>
      <c r="D1276">
        <v>3</v>
      </c>
    </row>
    <row r="1277" spans="2:6" x14ac:dyDescent="0.2">
      <c r="B1277" t="s">
        <v>4027</v>
      </c>
      <c r="C1277">
        <v>3</v>
      </c>
    </row>
    <row r="1278" spans="2:6" x14ac:dyDescent="0.2">
      <c r="B1278" t="s">
        <v>4028</v>
      </c>
      <c r="C1278">
        <v>0</v>
      </c>
    </row>
    <row r="1279" spans="2:6" x14ac:dyDescent="0.2">
      <c r="B1279" t="s">
        <v>4029</v>
      </c>
    </row>
    <row r="1280" spans="2:6" x14ac:dyDescent="0.2">
      <c r="B1280" t="s">
        <v>4030</v>
      </c>
    </row>
    <row r="1281" spans="2:10" x14ac:dyDescent="0.2">
      <c r="B1281" t="s">
        <v>4031</v>
      </c>
    </row>
    <row r="1282" spans="2:10" x14ac:dyDescent="0.2">
      <c r="B1282" t="s">
        <v>4032</v>
      </c>
    </row>
    <row r="1283" spans="2:10" x14ac:dyDescent="0.2">
      <c r="B1283" t="s">
        <v>4033</v>
      </c>
      <c r="C1283">
        <v>155</v>
      </c>
    </row>
    <row r="1284" spans="2:10" x14ac:dyDescent="0.2">
      <c r="B1284" t="s">
        <v>4034</v>
      </c>
      <c r="C1284" t="s">
        <v>2063</v>
      </c>
    </row>
    <row r="1285" spans="2:10" x14ac:dyDescent="0.2">
      <c r="B1285" t="s">
        <v>4035</v>
      </c>
      <c r="C1285" t="s">
        <v>2836</v>
      </c>
      <c r="D1285">
        <v>0.21249999999999999</v>
      </c>
    </row>
    <row r="1287" spans="2:10" x14ac:dyDescent="0.2">
      <c r="C1287" t="s">
        <v>4036</v>
      </c>
      <c r="D1287" t="s">
        <v>4037</v>
      </c>
      <c r="E1287" t="s">
        <v>4038</v>
      </c>
      <c r="F1287">
        <v>0.21246999999999999</v>
      </c>
    </row>
    <row r="1288" spans="2:10" x14ac:dyDescent="0.2">
      <c r="E1288" t="s">
        <v>4039</v>
      </c>
      <c r="F1288" t="s">
        <v>4040</v>
      </c>
      <c r="G1288">
        <v>0.21246999999999999</v>
      </c>
    </row>
    <row r="1289" spans="2:10" x14ac:dyDescent="0.2">
      <c r="F1289" t="s">
        <v>4041</v>
      </c>
      <c r="G1289" t="s">
        <v>4042</v>
      </c>
      <c r="H1289">
        <v>0.74199999999999999</v>
      </c>
    </row>
    <row r="1290" spans="2:10" x14ac:dyDescent="0.2">
      <c r="G1290" t="s">
        <v>4043</v>
      </c>
      <c r="H1290">
        <v>0.95</v>
      </c>
    </row>
    <row r="1291" spans="2:10" x14ac:dyDescent="0.2">
      <c r="G1291" t="s">
        <v>4044</v>
      </c>
      <c r="H1291" t="s">
        <v>4045</v>
      </c>
      <c r="I1291">
        <v>1.28</v>
      </c>
    </row>
    <row r="1293" spans="2:10" x14ac:dyDescent="0.2">
      <c r="H1293" t="s">
        <v>4046</v>
      </c>
      <c r="I1293" t="s">
        <v>4047</v>
      </c>
      <c r="J1293">
        <v>0.82686999999999999</v>
      </c>
    </row>
    <row r="1294" spans="2:10" x14ac:dyDescent="0.2">
      <c r="I1294" t="s">
        <v>4048</v>
      </c>
      <c r="J1294">
        <v>0.14853</v>
      </c>
    </row>
    <row r="1295" spans="2:10" x14ac:dyDescent="0.2">
      <c r="I1295" t="s">
        <v>4049</v>
      </c>
    </row>
    <row r="1296" spans="2:10" x14ac:dyDescent="0.2">
      <c r="I1296" t="s">
        <v>4050</v>
      </c>
      <c r="J1296">
        <v>7.2500000000000004E-3</v>
      </c>
    </row>
    <row r="1297" spans="2:10" x14ac:dyDescent="0.2">
      <c r="I1297" t="s">
        <v>4051</v>
      </c>
      <c r="J1297">
        <v>0.28625</v>
      </c>
    </row>
    <row r="1298" spans="2:10" x14ac:dyDescent="0.2">
      <c r="I1298" t="s">
        <v>4052</v>
      </c>
      <c r="J1298">
        <v>1.0959999999999999E-2</v>
      </c>
    </row>
    <row r="1299" spans="2:10" x14ac:dyDescent="0.2">
      <c r="F1299" t="s">
        <v>4051</v>
      </c>
      <c r="G1299">
        <v>0.28625</v>
      </c>
    </row>
    <row r="1300" spans="2:10" x14ac:dyDescent="0.2">
      <c r="D1300" t="s">
        <v>4053</v>
      </c>
      <c r="E1300" t="s">
        <v>297</v>
      </c>
    </row>
    <row r="1301" spans="2:10" x14ac:dyDescent="0.2">
      <c r="D1301" t="s">
        <v>4054</v>
      </c>
      <c r="E1301">
        <v>0</v>
      </c>
    </row>
    <row r="1302" spans="2:10" x14ac:dyDescent="0.2">
      <c r="B1302" t="s">
        <v>4055</v>
      </c>
      <c r="C1302" t="s">
        <v>2837</v>
      </c>
      <c r="D1302">
        <v>3</v>
      </c>
    </row>
    <row r="1303" spans="2:10" x14ac:dyDescent="0.2">
      <c r="C1303" t="s">
        <v>2837</v>
      </c>
      <c r="D1303" t="s">
        <v>4056</v>
      </c>
      <c r="E1303">
        <v>3</v>
      </c>
    </row>
    <row r="1304" spans="2:10" x14ac:dyDescent="0.2">
      <c r="D1304" t="s">
        <v>2839</v>
      </c>
      <c r="E1304">
        <v>3</v>
      </c>
    </row>
    <row r="1305" spans="2:10" x14ac:dyDescent="0.2">
      <c r="B1305" t="s">
        <v>4057</v>
      </c>
      <c r="C1305" t="s">
        <v>2838</v>
      </c>
      <c r="D1305">
        <v>8.0999999999999996E-3</v>
      </c>
    </row>
    <row r="1307" spans="2:10" x14ac:dyDescent="0.2">
      <c r="C1307" t="s">
        <v>4058</v>
      </c>
      <c r="D1307" t="s">
        <v>4059</v>
      </c>
      <c r="E1307" t="s">
        <v>4060</v>
      </c>
      <c r="F1307">
        <v>8.1300000000000001E-3</v>
      </c>
    </row>
    <row r="1308" spans="2:10" x14ac:dyDescent="0.2">
      <c r="E1308" t="s">
        <v>4061</v>
      </c>
      <c r="F1308" t="s">
        <v>4062</v>
      </c>
      <c r="G1308">
        <v>8.1300000000000001E-3</v>
      </c>
    </row>
    <row r="1309" spans="2:10" x14ac:dyDescent="0.2">
      <c r="F1309" t="s">
        <v>4041</v>
      </c>
      <c r="G1309" t="s">
        <v>4042</v>
      </c>
      <c r="H1309">
        <v>0.74199999999999999</v>
      </c>
    </row>
    <row r="1310" spans="2:10" x14ac:dyDescent="0.2">
      <c r="G1310" t="s">
        <v>4043</v>
      </c>
      <c r="H1310">
        <v>0.95</v>
      </c>
    </row>
    <row r="1311" spans="2:10" x14ac:dyDescent="0.2">
      <c r="G1311" t="s">
        <v>4044</v>
      </c>
      <c r="H1311" t="s">
        <v>4045</v>
      </c>
      <c r="I1311">
        <v>1.28</v>
      </c>
    </row>
    <row r="1313" spans="2:10" x14ac:dyDescent="0.2">
      <c r="H1313" t="s">
        <v>4046</v>
      </c>
      <c r="I1313" t="s">
        <v>4047</v>
      </c>
      <c r="J1313">
        <v>0.82686999999999999</v>
      </c>
    </row>
    <row r="1314" spans="2:10" x14ac:dyDescent="0.2">
      <c r="I1314" t="s">
        <v>4048</v>
      </c>
      <c r="J1314">
        <v>0.14853</v>
      </c>
    </row>
    <row r="1315" spans="2:10" x14ac:dyDescent="0.2">
      <c r="I1315" t="s">
        <v>4049</v>
      </c>
    </row>
    <row r="1316" spans="2:10" x14ac:dyDescent="0.2">
      <c r="I1316" t="s">
        <v>4050</v>
      </c>
      <c r="J1316">
        <v>7.2500000000000004E-3</v>
      </c>
    </row>
    <row r="1317" spans="2:10" x14ac:dyDescent="0.2">
      <c r="I1317" t="s">
        <v>4051</v>
      </c>
      <c r="J1317">
        <v>0.28625</v>
      </c>
    </row>
    <row r="1318" spans="2:10" x14ac:dyDescent="0.2">
      <c r="I1318" t="s">
        <v>4052</v>
      </c>
      <c r="J1318">
        <v>1.0959999999999999E-2</v>
      </c>
    </row>
    <row r="1319" spans="2:10" x14ac:dyDescent="0.2">
      <c r="F1319" t="s">
        <v>4052</v>
      </c>
      <c r="G1319">
        <v>1.0959999999999999E-2</v>
      </c>
    </row>
    <row r="1320" spans="2:10" x14ac:dyDescent="0.2">
      <c r="D1320" t="s">
        <v>4063</v>
      </c>
      <c r="E1320" t="s">
        <v>297</v>
      </c>
    </row>
    <row r="1321" spans="2:10" x14ac:dyDescent="0.2">
      <c r="D1321" t="s">
        <v>4064</v>
      </c>
      <c r="E1321">
        <v>0</v>
      </c>
    </row>
    <row r="1322" spans="2:10" x14ac:dyDescent="0.2">
      <c r="B1322" t="s">
        <v>4065</v>
      </c>
      <c r="C1322" t="s">
        <v>2839</v>
      </c>
      <c r="D1322">
        <v>3</v>
      </c>
    </row>
    <row r="1323" spans="2:10" x14ac:dyDescent="0.2">
      <c r="C1323" t="s">
        <v>2839</v>
      </c>
      <c r="D1323">
        <v>3</v>
      </c>
    </row>
    <row r="1324" spans="2:10" x14ac:dyDescent="0.2">
      <c r="B1324" t="s">
        <v>4066</v>
      </c>
      <c r="C1324">
        <v>23</v>
      </c>
    </row>
    <row r="1325" spans="2:10" x14ac:dyDescent="0.2">
      <c r="B1325" t="s">
        <v>4067</v>
      </c>
      <c r="C1325">
        <v>0</v>
      </c>
    </row>
    <row r="1326" spans="2:10" x14ac:dyDescent="0.2">
      <c r="B1326" t="s">
        <v>4068</v>
      </c>
    </row>
    <row r="1327" spans="2:10" x14ac:dyDescent="0.2">
      <c r="B1327" t="s">
        <v>4069</v>
      </c>
    </row>
    <row r="1328" spans="2:10" x14ac:dyDescent="0.2">
      <c r="B1328" t="s">
        <v>4070</v>
      </c>
    </row>
    <row r="1329" spans="2:9" x14ac:dyDescent="0.2">
      <c r="B1329" t="s">
        <v>4071</v>
      </c>
    </row>
    <row r="1330" spans="2:9" x14ac:dyDescent="0.2">
      <c r="B1330" t="s">
        <v>4072</v>
      </c>
      <c r="C1330">
        <v>156</v>
      </c>
    </row>
    <row r="1331" spans="2:9" x14ac:dyDescent="0.2">
      <c r="B1331" t="s">
        <v>4073</v>
      </c>
      <c r="C1331" t="s">
        <v>2069</v>
      </c>
    </row>
    <row r="1332" spans="2:9" x14ac:dyDescent="0.2">
      <c r="B1332" t="s">
        <v>4074</v>
      </c>
      <c r="C1332" t="s">
        <v>2840</v>
      </c>
      <c r="D1332">
        <v>0.61380000000000001</v>
      </c>
    </row>
    <row r="1333" spans="2:9" x14ac:dyDescent="0.2">
      <c r="C1333" t="s">
        <v>2840</v>
      </c>
      <c r="D1333" t="s">
        <v>4075</v>
      </c>
      <c r="E1333">
        <v>0.61375999999999997</v>
      </c>
    </row>
    <row r="1334" spans="2:9" x14ac:dyDescent="0.2">
      <c r="D1334" t="s">
        <v>4076</v>
      </c>
      <c r="E1334" t="s">
        <v>4077</v>
      </c>
      <c r="F1334">
        <v>0.61375999999999997</v>
      </c>
    </row>
    <row r="1335" spans="2:9" x14ac:dyDescent="0.2">
      <c r="E1335" t="s">
        <v>4041</v>
      </c>
      <c r="F1335" t="s">
        <v>4042</v>
      </c>
      <c r="G1335">
        <v>0.74199999999999999</v>
      </c>
    </row>
    <row r="1336" spans="2:9" x14ac:dyDescent="0.2">
      <c r="F1336" t="s">
        <v>4043</v>
      </c>
      <c r="G1336">
        <v>0.95</v>
      </c>
    </row>
    <row r="1337" spans="2:9" x14ac:dyDescent="0.2">
      <c r="F1337" t="s">
        <v>4044</v>
      </c>
      <c r="G1337" t="s">
        <v>4045</v>
      </c>
      <c r="H1337">
        <v>1.28</v>
      </c>
    </row>
    <row r="1339" spans="2:9" x14ac:dyDescent="0.2">
      <c r="G1339" t="s">
        <v>4046</v>
      </c>
      <c r="H1339" t="s">
        <v>4047</v>
      </c>
      <c r="I1339">
        <v>0.82686999999999999</v>
      </c>
    </row>
    <row r="1340" spans="2:9" x14ac:dyDescent="0.2">
      <c r="H1340" t="s">
        <v>4048</v>
      </c>
      <c r="I1340">
        <v>0.14853</v>
      </c>
    </row>
    <row r="1341" spans="2:9" x14ac:dyDescent="0.2">
      <c r="H1341" t="s">
        <v>4049</v>
      </c>
    </row>
    <row r="1342" spans="2:9" x14ac:dyDescent="0.2">
      <c r="H1342" t="s">
        <v>4050</v>
      </c>
      <c r="I1342">
        <v>7.2500000000000004E-3</v>
      </c>
    </row>
    <row r="1343" spans="2:9" x14ac:dyDescent="0.2">
      <c r="H1343" t="s">
        <v>4051</v>
      </c>
      <c r="I1343">
        <v>0.28625</v>
      </c>
    </row>
    <row r="1344" spans="2:9" x14ac:dyDescent="0.2">
      <c r="H1344" t="s">
        <v>4052</v>
      </c>
      <c r="I1344">
        <v>1.0959999999999999E-2</v>
      </c>
    </row>
    <row r="1345" spans="2:9" x14ac:dyDescent="0.2">
      <c r="E1345" t="s">
        <v>4047</v>
      </c>
      <c r="F1345">
        <v>0.82686999999999999</v>
      </c>
    </row>
    <row r="1346" spans="2:9" x14ac:dyDescent="0.2">
      <c r="B1346" t="s">
        <v>4078</v>
      </c>
      <c r="C1346" t="s">
        <v>2841</v>
      </c>
      <c r="D1346">
        <v>3</v>
      </c>
    </row>
    <row r="1347" spans="2:9" x14ac:dyDescent="0.2">
      <c r="C1347" t="s">
        <v>2841</v>
      </c>
      <c r="D1347" t="s">
        <v>4079</v>
      </c>
      <c r="E1347">
        <v>3</v>
      </c>
    </row>
    <row r="1348" spans="2:9" x14ac:dyDescent="0.2">
      <c r="D1348" t="s">
        <v>2843</v>
      </c>
      <c r="E1348">
        <v>3</v>
      </c>
    </row>
    <row r="1349" spans="2:9" x14ac:dyDescent="0.2">
      <c r="B1349" t="s">
        <v>4080</v>
      </c>
      <c r="C1349" t="s">
        <v>2842</v>
      </c>
      <c r="D1349">
        <v>0.11559999999999999</v>
      </c>
    </row>
    <row r="1350" spans="2:9" x14ac:dyDescent="0.2">
      <c r="C1350" t="s">
        <v>4081</v>
      </c>
      <c r="D1350" t="s">
        <v>4082</v>
      </c>
      <c r="E1350">
        <v>0.11025</v>
      </c>
    </row>
    <row r="1351" spans="2:9" x14ac:dyDescent="0.2">
      <c r="D1351" t="s">
        <v>4083</v>
      </c>
      <c r="E1351" t="s">
        <v>4084</v>
      </c>
      <c r="F1351">
        <v>0.11025</v>
      </c>
    </row>
    <row r="1352" spans="2:9" x14ac:dyDescent="0.2">
      <c r="E1352" t="s">
        <v>4041</v>
      </c>
      <c r="F1352" t="s">
        <v>4042</v>
      </c>
      <c r="G1352">
        <v>0.74199999999999999</v>
      </c>
    </row>
    <row r="1353" spans="2:9" x14ac:dyDescent="0.2">
      <c r="F1353" t="s">
        <v>4043</v>
      </c>
      <c r="G1353">
        <v>0.95</v>
      </c>
    </row>
    <row r="1354" spans="2:9" x14ac:dyDescent="0.2">
      <c r="F1354" t="s">
        <v>4044</v>
      </c>
      <c r="G1354" t="s">
        <v>4045</v>
      </c>
      <c r="H1354">
        <v>1.28</v>
      </c>
    </row>
    <row r="1356" spans="2:9" x14ac:dyDescent="0.2">
      <c r="G1356" t="s">
        <v>4046</v>
      </c>
      <c r="H1356" t="s">
        <v>4047</v>
      </c>
      <c r="I1356">
        <v>0.82686999999999999</v>
      </c>
    </row>
    <row r="1357" spans="2:9" x14ac:dyDescent="0.2">
      <c r="H1357" t="s">
        <v>4048</v>
      </c>
      <c r="I1357">
        <v>0.14853</v>
      </c>
    </row>
    <row r="1358" spans="2:9" x14ac:dyDescent="0.2">
      <c r="H1358" t="s">
        <v>4049</v>
      </c>
    </row>
    <row r="1359" spans="2:9" x14ac:dyDescent="0.2">
      <c r="H1359" t="s">
        <v>4050</v>
      </c>
      <c r="I1359">
        <v>7.2500000000000004E-3</v>
      </c>
    </row>
    <row r="1360" spans="2:9" x14ac:dyDescent="0.2">
      <c r="H1360" t="s">
        <v>4051</v>
      </c>
      <c r="I1360">
        <v>0.28625</v>
      </c>
    </row>
    <row r="1361" spans="2:9" x14ac:dyDescent="0.2">
      <c r="H1361" t="s">
        <v>4052</v>
      </c>
      <c r="I1361">
        <v>1.0959999999999999E-2</v>
      </c>
    </row>
    <row r="1362" spans="2:9" x14ac:dyDescent="0.2">
      <c r="E1362" t="s">
        <v>4048</v>
      </c>
      <c r="F1362">
        <v>0.14853</v>
      </c>
    </row>
    <row r="1363" spans="2:9" x14ac:dyDescent="0.2">
      <c r="C1363" t="s">
        <v>4085</v>
      </c>
      <c r="D1363" t="s">
        <v>4086</v>
      </c>
      <c r="E1363">
        <v>5.3800000000000002E-3</v>
      </c>
    </row>
    <row r="1364" spans="2:9" x14ac:dyDescent="0.2">
      <c r="D1364" t="s">
        <v>4087</v>
      </c>
      <c r="E1364" t="s">
        <v>4088</v>
      </c>
      <c r="F1364">
        <v>5.3800000000000002E-3</v>
      </c>
    </row>
    <row r="1365" spans="2:9" x14ac:dyDescent="0.2">
      <c r="E1365" t="s">
        <v>4041</v>
      </c>
      <c r="F1365" t="s">
        <v>4042</v>
      </c>
      <c r="G1365">
        <v>0.74199999999999999</v>
      </c>
    </row>
    <row r="1366" spans="2:9" x14ac:dyDescent="0.2">
      <c r="F1366" t="s">
        <v>4043</v>
      </c>
      <c r="G1366">
        <v>0.95</v>
      </c>
    </row>
    <row r="1367" spans="2:9" x14ac:dyDescent="0.2">
      <c r="F1367" t="s">
        <v>4044</v>
      </c>
      <c r="G1367" t="s">
        <v>4045</v>
      </c>
      <c r="H1367">
        <v>1.28</v>
      </c>
    </row>
    <row r="1369" spans="2:9" x14ac:dyDescent="0.2">
      <c r="G1369" t="s">
        <v>4046</v>
      </c>
      <c r="H1369" t="s">
        <v>4047</v>
      </c>
      <c r="I1369">
        <v>0.82686999999999999</v>
      </c>
    </row>
    <row r="1370" spans="2:9" x14ac:dyDescent="0.2">
      <c r="H1370" t="s">
        <v>4048</v>
      </c>
      <c r="I1370">
        <v>0.14853</v>
      </c>
    </row>
    <row r="1371" spans="2:9" x14ac:dyDescent="0.2">
      <c r="H1371" t="s">
        <v>4049</v>
      </c>
    </row>
    <row r="1372" spans="2:9" x14ac:dyDescent="0.2">
      <c r="H1372" t="s">
        <v>4050</v>
      </c>
      <c r="I1372">
        <v>7.2500000000000004E-3</v>
      </c>
    </row>
    <row r="1373" spans="2:9" x14ac:dyDescent="0.2">
      <c r="H1373" t="s">
        <v>4051</v>
      </c>
      <c r="I1373">
        <v>0.28625</v>
      </c>
    </row>
    <row r="1374" spans="2:9" x14ac:dyDescent="0.2">
      <c r="H1374" t="s">
        <v>4052</v>
      </c>
      <c r="I1374">
        <v>1.0959999999999999E-2</v>
      </c>
    </row>
    <row r="1375" spans="2:9" x14ac:dyDescent="0.2">
      <c r="E1375" t="s">
        <v>4050</v>
      </c>
      <c r="F1375">
        <v>7.2500000000000004E-3</v>
      </c>
    </row>
    <row r="1376" spans="2:9" x14ac:dyDescent="0.2">
      <c r="B1376" t="s">
        <v>4089</v>
      </c>
      <c r="C1376" t="s">
        <v>2843</v>
      </c>
      <c r="D1376">
        <v>3</v>
      </c>
    </row>
    <row r="1377" spans="2:4" x14ac:dyDescent="0.2">
      <c r="C1377" t="s">
        <v>2843</v>
      </c>
      <c r="D1377">
        <v>3</v>
      </c>
    </row>
    <row r="1378" spans="2:4" x14ac:dyDescent="0.2">
      <c r="B1378" t="s">
        <v>4090</v>
      </c>
      <c r="C1378">
        <v>23</v>
      </c>
    </row>
    <row r="1379" spans="2:4" x14ac:dyDescent="0.2">
      <c r="B1379" t="s">
        <v>4091</v>
      </c>
      <c r="C1379">
        <v>17</v>
      </c>
    </row>
    <row r="1380" spans="2:4" x14ac:dyDescent="0.2">
      <c r="B1380" t="s">
        <v>4092</v>
      </c>
    </row>
    <row r="1381" spans="2:4" x14ac:dyDescent="0.2">
      <c r="B1381" t="s">
        <v>4093</v>
      </c>
    </row>
    <row r="1382" spans="2:4" x14ac:dyDescent="0.2">
      <c r="B1382" t="s">
        <v>4094</v>
      </c>
    </row>
    <row r="1383" spans="2:4" x14ac:dyDescent="0.2">
      <c r="B1383" t="s">
        <v>4095</v>
      </c>
    </row>
    <row r="1384" spans="2:4" x14ac:dyDescent="0.2">
      <c r="B1384" t="s">
        <v>4096</v>
      </c>
      <c r="C1384">
        <v>157</v>
      </c>
    </row>
    <row r="1385" spans="2:4" x14ac:dyDescent="0.2">
      <c r="B1385" t="s">
        <v>4097</v>
      </c>
      <c r="C1385" t="s">
        <v>2074</v>
      </c>
    </row>
    <row r="1386" spans="2:4" x14ac:dyDescent="0.2">
      <c r="B1386" t="s">
        <v>4098</v>
      </c>
      <c r="C1386" t="s">
        <v>2844</v>
      </c>
      <c r="D1386">
        <v>4.0599999999999997E-2</v>
      </c>
    </row>
    <row r="1387" spans="2:4" x14ac:dyDescent="0.2">
      <c r="C1387" t="s">
        <v>2844</v>
      </c>
      <c r="D1387">
        <v>4.0550000000000003E-2</v>
      </c>
    </row>
    <row r="1388" spans="2:4" x14ac:dyDescent="0.2">
      <c r="B1388" t="s">
        <v>4099</v>
      </c>
      <c r="C1388" t="s">
        <v>2845</v>
      </c>
      <c r="D1388">
        <v>3</v>
      </c>
    </row>
    <row r="1389" spans="2:4" x14ac:dyDescent="0.2">
      <c r="C1389" t="s">
        <v>2845</v>
      </c>
      <c r="D1389">
        <v>3</v>
      </c>
    </row>
    <row r="1390" spans="2:4" x14ac:dyDescent="0.2">
      <c r="B1390" t="s">
        <v>4100</v>
      </c>
      <c r="C1390" t="s">
        <v>2846</v>
      </c>
      <c r="D1390">
        <v>0</v>
      </c>
    </row>
    <row r="1391" spans="2:4" x14ac:dyDescent="0.2">
      <c r="C1391" t="s">
        <v>2846</v>
      </c>
      <c r="D1391">
        <v>0</v>
      </c>
    </row>
    <row r="1392" spans="2:4" x14ac:dyDescent="0.2">
      <c r="B1392" t="s">
        <v>4101</v>
      </c>
      <c r="C1392" t="s">
        <v>2847</v>
      </c>
      <c r="D1392">
        <v>3</v>
      </c>
    </row>
    <row r="1393" spans="2:5" x14ac:dyDescent="0.2">
      <c r="C1393" t="s">
        <v>2847</v>
      </c>
      <c r="D1393">
        <v>3</v>
      </c>
    </row>
    <row r="1394" spans="2:5" x14ac:dyDescent="0.2">
      <c r="B1394" t="s">
        <v>4102</v>
      </c>
      <c r="C1394">
        <v>24</v>
      </c>
    </row>
    <row r="1395" spans="2:5" x14ac:dyDescent="0.2">
      <c r="B1395" t="s">
        <v>4103</v>
      </c>
      <c r="C1395">
        <v>0</v>
      </c>
    </row>
    <row r="1396" spans="2:5" x14ac:dyDescent="0.2">
      <c r="B1396" t="s">
        <v>4104</v>
      </c>
    </row>
    <row r="1397" spans="2:5" x14ac:dyDescent="0.2">
      <c r="B1397" t="s">
        <v>4105</v>
      </c>
    </row>
    <row r="1398" spans="2:5" x14ac:dyDescent="0.2">
      <c r="B1398" t="s">
        <v>4106</v>
      </c>
    </row>
    <row r="1399" spans="2:5" x14ac:dyDescent="0.2">
      <c r="B1399" t="s">
        <v>4107</v>
      </c>
    </row>
    <row r="1400" spans="2:5" x14ac:dyDescent="0.2">
      <c r="B1400" t="s">
        <v>4108</v>
      </c>
      <c r="C1400">
        <v>158</v>
      </c>
    </row>
    <row r="1401" spans="2:5" x14ac:dyDescent="0.2">
      <c r="B1401" t="s">
        <v>4109</v>
      </c>
      <c r="C1401" t="s">
        <v>2079</v>
      </c>
    </row>
    <row r="1402" spans="2:5" x14ac:dyDescent="0.2">
      <c r="B1402" t="s">
        <v>4110</v>
      </c>
      <c r="C1402" t="s">
        <v>2848</v>
      </c>
      <c r="D1402">
        <v>0.1547</v>
      </c>
    </row>
    <row r="1403" spans="2:5" x14ac:dyDescent="0.2">
      <c r="C1403" t="s">
        <v>2848</v>
      </c>
      <c r="D1403">
        <v>0.1547</v>
      </c>
    </row>
    <row r="1404" spans="2:5" x14ac:dyDescent="0.2">
      <c r="B1404" t="s">
        <v>4111</v>
      </c>
      <c r="C1404" t="s">
        <v>2849</v>
      </c>
      <c r="D1404">
        <v>3</v>
      </c>
    </row>
    <row r="1405" spans="2:5" x14ac:dyDescent="0.2">
      <c r="C1405" t="s">
        <v>2849</v>
      </c>
      <c r="D1405" t="s">
        <v>4112</v>
      </c>
      <c r="E1405">
        <v>3</v>
      </c>
    </row>
    <row r="1406" spans="2:5" x14ac:dyDescent="0.2">
      <c r="D1406" t="s">
        <v>2851</v>
      </c>
      <c r="E1406">
        <v>3</v>
      </c>
    </row>
    <row r="1407" spans="2:5" x14ac:dyDescent="0.2">
      <c r="B1407" t="s">
        <v>4113</v>
      </c>
      <c r="C1407" t="s">
        <v>2850</v>
      </c>
      <c r="D1407">
        <v>4.9000000000000002E-2</v>
      </c>
    </row>
    <row r="1408" spans="2:5" x14ac:dyDescent="0.2">
      <c r="C1408" t="s">
        <v>2850</v>
      </c>
      <c r="D1408">
        <v>4.9000000000000002E-2</v>
      </c>
    </row>
    <row r="1409" spans="2:6" x14ac:dyDescent="0.2">
      <c r="B1409" t="s">
        <v>4114</v>
      </c>
      <c r="C1409" t="s">
        <v>2851</v>
      </c>
      <c r="D1409">
        <v>3</v>
      </c>
    </row>
    <row r="1410" spans="2:6" x14ac:dyDescent="0.2">
      <c r="C1410" t="s">
        <v>2851</v>
      </c>
      <c r="D1410">
        <v>3</v>
      </c>
    </row>
    <row r="1411" spans="2:6" x14ac:dyDescent="0.2">
      <c r="B1411" t="s">
        <v>4115</v>
      </c>
      <c r="C1411">
        <v>24</v>
      </c>
    </row>
    <row r="1412" spans="2:6" x14ac:dyDescent="0.2">
      <c r="B1412" t="s">
        <v>4116</v>
      </c>
      <c r="C1412">
        <v>0</v>
      </c>
    </row>
    <row r="1413" spans="2:6" x14ac:dyDescent="0.2">
      <c r="B1413" t="s">
        <v>4117</v>
      </c>
    </row>
    <row r="1414" spans="2:6" x14ac:dyDescent="0.2">
      <c r="B1414" t="s">
        <v>4118</v>
      </c>
    </row>
    <row r="1415" spans="2:6" x14ac:dyDescent="0.2">
      <c r="B1415" t="s">
        <v>4119</v>
      </c>
    </row>
    <row r="1416" spans="2:6" x14ac:dyDescent="0.2">
      <c r="B1416" t="s">
        <v>4120</v>
      </c>
    </row>
    <row r="1417" spans="2:6" x14ac:dyDescent="0.2">
      <c r="B1417" t="s">
        <v>4121</v>
      </c>
      <c r="C1417">
        <v>159</v>
      </c>
    </row>
    <row r="1418" spans="2:6" x14ac:dyDescent="0.2">
      <c r="B1418" t="s">
        <v>4122</v>
      </c>
      <c r="C1418" t="s">
        <v>2085</v>
      </c>
    </row>
    <row r="1419" spans="2:6" x14ac:dyDescent="0.2">
      <c r="B1419" t="s">
        <v>4123</v>
      </c>
      <c r="C1419" t="s">
        <v>2852</v>
      </c>
      <c r="D1419">
        <v>0</v>
      </c>
    </row>
    <row r="1420" spans="2:6" x14ac:dyDescent="0.2">
      <c r="C1420" t="s">
        <v>2852</v>
      </c>
      <c r="D1420" t="s">
        <v>4124</v>
      </c>
      <c r="E1420">
        <v>0</v>
      </c>
    </row>
    <row r="1422" spans="2:6" x14ac:dyDescent="0.2">
      <c r="D1422" t="s">
        <v>4125</v>
      </c>
      <c r="E1422" t="s">
        <v>4126</v>
      </c>
      <c r="F1422">
        <v>0</v>
      </c>
    </row>
    <row r="1423" spans="2:6" x14ac:dyDescent="0.2">
      <c r="E1423" t="s">
        <v>4127</v>
      </c>
      <c r="F1423">
        <v>0</v>
      </c>
    </row>
    <row r="1424" spans="2:6" x14ac:dyDescent="0.2">
      <c r="E1424" t="s">
        <v>4128</v>
      </c>
    </row>
    <row r="1425" spans="2:8" x14ac:dyDescent="0.2">
      <c r="B1425" t="s">
        <v>4129</v>
      </c>
      <c r="C1425" t="s">
        <v>2853</v>
      </c>
      <c r="D1425">
        <v>3</v>
      </c>
    </row>
    <row r="1426" spans="2:8" x14ac:dyDescent="0.2">
      <c r="C1426" t="s">
        <v>2853</v>
      </c>
      <c r="D1426" t="s">
        <v>4130</v>
      </c>
      <c r="E1426">
        <v>3</v>
      </c>
    </row>
    <row r="1427" spans="2:8" x14ac:dyDescent="0.2">
      <c r="D1427" t="s">
        <v>2855</v>
      </c>
      <c r="E1427">
        <v>3</v>
      </c>
    </row>
    <row r="1428" spans="2:8" x14ac:dyDescent="0.2">
      <c r="B1428" t="s">
        <v>4131</v>
      </c>
      <c r="C1428" t="s">
        <v>2854</v>
      </c>
      <c r="D1428">
        <v>2.9999999999999997E-4</v>
      </c>
    </row>
    <row r="1429" spans="2:8" x14ac:dyDescent="0.2">
      <c r="C1429" t="s">
        <v>2854</v>
      </c>
      <c r="D1429" t="s">
        <v>4132</v>
      </c>
      <c r="E1429">
        <v>2.7E-4</v>
      </c>
    </row>
    <row r="1431" spans="2:8" x14ac:dyDescent="0.2">
      <c r="D1431" t="s">
        <v>4133</v>
      </c>
      <c r="E1431" t="s">
        <v>4134</v>
      </c>
      <c r="F1431">
        <v>0</v>
      </c>
    </row>
    <row r="1432" spans="2:8" x14ac:dyDescent="0.2">
      <c r="E1432" t="s">
        <v>4135</v>
      </c>
      <c r="F1432">
        <v>0</v>
      </c>
    </row>
    <row r="1433" spans="2:8" x14ac:dyDescent="0.2">
      <c r="E1433" t="s">
        <v>4136</v>
      </c>
      <c r="F1433" t="s">
        <v>4137</v>
      </c>
      <c r="G1433">
        <v>2.7E-4</v>
      </c>
    </row>
    <row r="1435" spans="2:8" x14ac:dyDescent="0.2">
      <c r="F1435" t="s">
        <v>4138</v>
      </c>
      <c r="G1435" t="s">
        <v>4139</v>
      </c>
      <c r="H1435">
        <v>0</v>
      </c>
    </row>
    <row r="1436" spans="2:8" x14ac:dyDescent="0.2">
      <c r="G1436" t="s">
        <v>4140</v>
      </c>
      <c r="H1436">
        <v>0</v>
      </c>
    </row>
    <row r="1437" spans="2:8" x14ac:dyDescent="0.2">
      <c r="G1437" t="s">
        <v>4141</v>
      </c>
      <c r="H1437">
        <v>0</v>
      </c>
    </row>
    <row r="1438" spans="2:8" x14ac:dyDescent="0.2">
      <c r="G1438" t="s">
        <v>4142</v>
      </c>
      <c r="H1438">
        <v>1.3999999999999999E-4</v>
      </c>
    </row>
    <row r="1439" spans="2:8" x14ac:dyDescent="0.2">
      <c r="G1439" t="s">
        <v>4143</v>
      </c>
      <c r="H1439">
        <v>4.0000000000000003E-5</v>
      </c>
    </row>
    <row r="1440" spans="2:8" x14ac:dyDescent="0.2">
      <c r="G1440" t="s">
        <v>4144</v>
      </c>
      <c r="H1440">
        <v>9.0000000000000006E-5</v>
      </c>
    </row>
    <row r="1441" spans="2:6" x14ac:dyDescent="0.2">
      <c r="B1441" t="s">
        <v>4145</v>
      </c>
      <c r="C1441" t="s">
        <v>2855</v>
      </c>
      <c r="D1441">
        <v>3</v>
      </c>
    </row>
    <row r="1442" spans="2:6" x14ac:dyDescent="0.2">
      <c r="C1442" t="s">
        <v>2855</v>
      </c>
      <c r="D1442">
        <v>3</v>
      </c>
    </row>
    <row r="1443" spans="2:6" x14ac:dyDescent="0.2">
      <c r="B1443" t="s">
        <v>4146</v>
      </c>
      <c r="C1443">
        <v>34</v>
      </c>
    </row>
    <row r="1444" spans="2:6" x14ac:dyDescent="0.2">
      <c r="B1444" t="s">
        <v>4147</v>
      </c>
      <c r="C1444">
        <v>0</v>
      </c>
    </row>
    <row r="1445" spans="2:6" x14ac:dyDescent="0.2">
      <c r="B1445" t="s">
        <v>4148</v>
      </c>
    </row>
    <row r="1446" spans="2:6" x14ac:dyDescent="0.2">
      <c r="B1446" t="s">
        <v>4149</v>
      </c>
    </row>
    <row r="1447" spans="2:6" x14ac:dyDescent="0.2">
      <c r="B1447" t="s">
        <v>4150</v>
      </c>
    </row>
    <row r="1448" spans="2:6" x14ac:dyDescent="0.2">
      <c r="B1448" t="s">
        <v>4151</v>
      </c>
    </row>
    <row r="1449" spans="2:6" x14ac:dyDescent="0.2">
      <c r="B1449" t="s">
        <v>4152</v>
      </c>
      <c r="C1449">
        <v>160</v>
      </c>
    </row>
    <row r="1450" spans="2:6" x14ac:dyDescent="0.2">
      <c r="B1450" t="s">
        <v>4153</v>
      </c>
      <c r="C1450" t="s">
        <v>2091</v>
      </c>
    </row>
    <row r="1451" spans="2:6" x14ac:dyDescent="0.2">
      <c r="B1451" t="s">
        <v>4154</v>
      </c>
      <c r="C1451" t="s">
        <v>2856</v>
      </c>
      <c r="D1451">
        <v>2.5700000000000001E-2</v>
      </c>
    </row>
    <row r="1452" spans="2:6" x14ac:dyDescent="0.2">
      <c r="C1452" t="s">
        <v>2856</v>
      </c>
      <c r="D1452" t="s">
        <v>4155</v>
      </c>
      <c r="E1452">
        <v>2.5729999999999999E-2</v>
      </c>
    </row>
    <row r="1454" spans="2:6" x14ac:dyDescent="0.2">
      <c r="D1454" t="s">
        <v>4156</v>
      </c>
      <c r="E1454" t="s">
        <v>4157</v>
      </c>
      <c r="F1454">
        <v>2.4399999999999999E-3</v>
      </c>
    </row>
    <row r="1455" spans="2:6" x14ac:dyDescent="0.2">
      <c r="E1455" t="s">
        <v>4158</v>
      </c>
      <c r="F1455">
        <v>2.3290000000000002E-2</v>
      </c>
    </row>
    <row r="1456" spans="2:6" x14ac:dyDescent="0.2">
      <c r="E1456" t="s">
        <v>4159</v>
      </c>
    </row>
    <row r="1457" spans="2:6" x14ac:dyDescent="0.2">
      <c r="B1457" t="s">
        <v>4160</v>
      </c>
      <c r="C1457" t="s">
        <v>2857</v>
      </c>
      <c r="D1457">
        <v>3</v>
      </c>
    </row>
    <row r="1458" spans="2:6" x14ac:dyDescent="0.2">
      <c r="C1458" t="s">
        <v>2857</v>
      </c>
      <c r="D1458">
        <v>3</v>
      </c>
    </row>
    <row r="1459" spans="2:6" x14ac:dyDescent="0.2">
      <c r="B1459" t="s">
        <v>4161</v>
      </c>
      <c r="C1459" t="s">
        <v>2858</v>
      </c>
      <c r="D1459">
        <v>0.13489999999999999</v>
      </c>
    </row>
    <row r="1460" spans="2:6" x14ac:dyDescent="0.2">
      <c r="C1460" t="s">
        <v>2858</v>
      </c>
      <c r="D1460" t="s">
        <v>4162</v>
      </c>
      <c r="E1460">
        <v>0.13492000000000001</v>
      </c>
    </row>
    <row r="1462" spans="2:6" x14ac:dyDescent="0.2">
      <c r="D1462" t="s">
        <v>4163</v>
      </c>
      <c r="E1462" t="s">
        <v>4164</v>
      </c>
    </row>
    <row r="1463" spans="2:6" x14ac:dyDescent="0.2">
      <c r="E1463" t="s">
        <v>4165</v>
      </c>
      <c r="F1463">
        <v>0.1157</v>
      </c>
    </row>
    <row r="1464" spans="2:6" x14ac:dyDescent="0.2">
      <c r="E1464" t="s">
        <v>4166</v>
      </c>
      <c r="F1464">
        <v>1.9220000000000001E-2</v>
      </c>
    </row>
    <row r="1465" spans="2:6" x14ac:dyDescent="0.2">
      <c r="B1465" t="s">
        <v>4167</v>
      </c>
      <c r="C1465" t="s">
        <v>2859</v>
      </c>
      <c r="D1465">
        <v>3</v>
      </c>
    </row>
    <row r="1466" spans="2:6" x14ac:dyDescent="0.2">
      <c r="C1466" t="s">
        <v>2859</v>
      </c>
      <c r="D1466">
        <v>3</v>
      </c>
    </row>
    <row r="1467" spans="2:6" x14ac:dyDescent="0.2">
      <c r="B1467" t="s">
        <v>4168</v>
      </c>
      <c r="C1467">
        <v>34</v>
      </c>
    </row>
    <row r="1468" spans="2:6" x14ac:dyDescent="0.2">
      <c r="B1468" t="s">
        <v>4169</v>
      </c>
      <c r="C1468">
        <v>0</v>
      </c>
    </row>
    <row r="1469" spans="2:6" x14ac:dyDescent="0.2">
      <c r="B1469" t="s">
        <v>4170</v>
      </c>
    </row>
    <row r="1470" spans="2:6" x14ac:dyDescent="0.2">
      <c r="B1470" t="s">
        <v>4171</v>
      </c>
    </row>
    <row r="1471" spans="2:6" x14ac:dyDescent="0.2">
      <c r="B1471" t="s">
        <v>4172</v>
      </c>
    </row>
    <row r="1472" spans="2:6" x14ac:dyDescent="0.2">
      <c r="B1472" t="s">
        <v>4173</v>
      </c>
    </row>
    <row r="1473" spans="2:5" x14ac:dyDescent="0.2">
      <c r="B1473" t="s">
        <v>4174</v>
      </c>
      <c r="C1473">
        <v>161</v>
      </c>
    </row>
    <row r="1474" spans="2:5" x14ac:dyDescent="0.2">
      <c r="B1474" t="s">
        <v>4175</v>
      </c>
      <c r="C1474" t="s">
        <v>2097</v>
      </c>
    </row>
    <row r="1475" spans="2:5" x14ac:dyDescent="0.2">
      <c r="B1475" t="s">
        <v>4176</v>
      </c>
    </row>
    <row r="1476" spans="2:5" x14ac:dyDescent="0.2">
      <c r="B1476" t="s">
        <v>4177</v>
      </c>
    </row>
    <row r="1477" spans="2:5" x14ac:dyDescent="0.2">
      <c r="B1477" t="s">
        <v>4178</v>
      </c>
      <c r="C1477" t="s">
        <v>2860</v>
      </c>
      <c r="D1477">
        <v>0.16539999999999999</v>
      </c>
    </row>
    <row r="1478" spans="2:5" x14ac:dyDescent="0.2">
      <c r="C1478" t="s">
        <v>2860</v>
      </c>
      <c r="D1478">
        <v>0.16539999999999999</v>
      </c>
    </row>
    <row r="1479" spans="2:5" x14ac:dyDescent="0.2">
      <c r="B1479" t="s">
        <v>4179</v>
      </c>
      <c r="C1479" t="s">
        <v>2861</v>
      </c>
      <c r="D1479">
        <v>3</v>
      </c>
    </row>
    <row r="1480" spans="2:5" x14ac:dyDescent="0.2">
      <c r="C1480" t="s">
        <v>2861</v>
      </c>
      <c r="D1480" t="s">
        <v>4180</v>
      </c>
      <c r="E1480">
        <v>3</v>
      </c>
    </row>
    <row r="1481" spans="2:5" x14ac:dyDescent="0.2">
      <c r="D1481" t="s">
        <v>4181</v>
      </c>
      <c r="E1481">
        <v>3</v>
      </c>
    </row>
    <row r="1482" spans="2:5" x14ac:dyDescent="0.2">
      <c r="B1482" t="s">
        <v>4182</v>
      </c>
      <c r="C1482">
        <v>26</v>
      </c>
    </row>
    <row r="1483" spans="2:5" x14ac:dyDescent="0.2">
      <c r="B1483" t="s">
        <v>4183</v>
      </c>
      <c r="C1483">
        <v>0</v>
      </c>
    </row>
    <row r="1484" spans="2:5" x14ac:dyDescent="0.2">
      <c r="B1484" t="s">
        <v>4184</v>
      </c>
    </row>
    <row r="1485" spans="2:5" x14ac:dyDescent="0.2">
      <c r="B1485" t="s">
        <v>4185</v>
      </c>
    </row>
    <row r="1486" spans="2:5" x14ac:dyDescent="0.2">
      <c r="B1486" t="s">
        <v>4186</v>
      </c>
    </row>
    <row r="1487" spans="2:5" x14ac:dyDescent="0.2">
      <c r="B1487" t="s">
        <v>4187</v>
      </c>
    </row>
    <row r="1488" spans="2:5" x14ac:dyDescent="0.2">
      <c r="B1488" t="s">
        <v>4188</v>
      </c>
      <c r="C1488">
        <v>162</v>
      </c>
    </row>
    <row r="1489" spans="2:4" x14ac:dyDescent="0.2">
      <c r="B1489" t="s">
        <v>4189</v>
      </c>
      <c r="C1489" t="s">
        <v>2101</v>
      </c>
    </row>
    <row r="1490" spans="2:4" x14ac:dyDescent="0.2">
      <c r="B1490" t="s">
        <v>4190</v>
      </c>
    </row>
    <row r="1491" spans="2:4" x14ac:dyDescent="0.2">
      <c r="B1491" t="s">
        <v>4191</v>
      </c>
    </row>
    <row r="1492" spans="2:4" x14ac:dyDescent="0.2">
      <c r="B1492" t="s">
        <v>4192</v>
      </c>
      <c r="C1492" t="s">
        <v>2862</v>
      </c>
      <c r="D1492">
        <v>1200</v>
      </c>
    </row>
    <row r="1493" spans="2:4" x14ac:dyDescent="0.2">
      <c r="C1493" t="s">
        <v>2862</v>
      </c>
      <c r="D1493">
        <v>1200</v>
      </c>
    </row>
    <row r="1494" spans="2:4" x14ac:dyDescent="0.2">
      <c r="B1494" t="s">
        <v>4193</v>
      </c>
      <c r="C1494" t="s">
        <v>2863</v>
      </c>
      <c r="D1494">
        <v>1</v>
      </c>
    </row>
    <row r="1495" spans="2:4" x14ac:dyDescent="0.2">
      <c r="C1495" t="s">
        <v>2863</v>
      </c>
      <c r="D1495">
        <v>1</v>
      </c>
    </row>
    <row r="1496" spans="2:4" x14ac:dyDescent="0.2">
      <c r="B1496" t="s">
        <v>4194</v>
      </c>
      <c r="C1496">
        <v>0</v>
      </c>
    </row>
    <row r="1497" spans="2:4" x14ac:dyDescent="0.2">
      <c r="B1497" t="s">
        <v>4195</v>
      </c>
      <c r="C1497">
        <v>0</v>
      </c>
    </row>
    <row r="1498" spans="2:4" x14ac:dyDescent="0.2">
      <c r="B1498" t="s">
        <v>4196</v>
      </c>
    </row>
    <row r="1499" spans="2:4" x14ac:dyDescent="0.2">
      <c r="B1499" t="s">
        <v>4197</v>
      </c>
    </row>
    <row r="1500" spans="2:4" x14ac:dyDescent="0.2">
      <c r="B1500" t="s">
        <v>4198</v>
      </c>
    </row>
    <row r="1501" spans="2:4" x14ac:dyDescent="0.2">
      <c r="B1501" t="s">
        <v>4199</v>
      </c>
    </row>
    <row r="1502" spans="2:4" x14ac:dyDescent="0.2">
      <c r="B1502" t="s">
        <v>4200</v>
      </c>
      <c r="C1502">
        <v>163</v>
      </c>
    </row>
    <row r="1503" spans="2:4" x14ac:dyDescent="0.2">
      <c r="B1503" t="s">
        <v>4201</v>
      </c>
      <c r="C1503" t="s">
        <v>2104</v>
      </c>
    </row>
    <row r="1504" spans="2:4" x14ac:dyDescent="0.2">
      <c r="B1504" t="s">
        <v>4202</v>
      </c>
    </row>
    <row r="1505" spans="2:4" x14ac:dyDescent="0.2">
      <c r="B1505" t="s">
        <v>4203</v>
      </c>
    </row>
    <row r="1506" spans="2:4" x14ac:dyDescent="0.2">
      <c r="B1506" t="s">
        <v>4204</v>
      </c>
      <c r="C1506" t="s">
        <v>2864</v>
      </c>
      <c r="D1506">
        <v>0</v>
      </c>
    </row>
    <row r="1507" spans="2:4" x14ac:dyDescent="0.2">
      <c r="C1507" t="s">
        <v>2864</v>
      </c>
      <c r="D1507">
        <v>0</v>
      </c>
    </row>
    <row r="1508" spans="2:4" x14ac:dyDescent="0.2">
      <c r="B1508" t="s">
        <v>4205</v>
      </c>
      <c r="C1508" t="s">
        <v>2865</v>
      </c>
      <c r="D1508">
        <v>1</v>
      </c>
    </row>
    <row r="1509" spans="2:4" x14ac:dyDescent="0.2">
      <c r="C1509" t="s">
        <v>2865</v>
      </c>
      <c r="D1509">
        <v>1</v>
      </c>
    </row>
    <row r="1510" spans="2:4" x14ac:dyDescent="0.2">
      <c r="B1510" t="s">
        <v>4206</v>
      </c>
      <c r="C1510">
        <v>3</v>
      </c>
    </row>
    <row r="1511" spans="2:4" x14ac:dyDescent="0.2">
      <c r="B1511" t="s">
        <v>4207</v>
      </c>
      <c r="C1511">
        <v>0</v>
      </c>
    </row>
    <row r="1512" spans="2:4" x14ac:dyDescent="0.2">
      <c r="B1512" t="s">
        <v>4208</v>
      </c>
    </row>
    <row r="1513" spans="2:4" x14ac:dyDescent="0.2">
      <c r="B1513" t="s">
        <v>4209</v>
      </c>
    </row>
    <row r="1514" spans="2:4" x14ac:dyDescent="0.2">
      <c r="B1514" t="s">
        <v>4210</v>
      </c>
    </row>
    <row r="1515" spans="2:4" x14ac:dyDescent="0.2">
      <c r="B1515" t="s">
        <v>4211</v>
      </c>
    </row>
    <row r="1516" spans="2:4" x14ac:dyDescent="0.2">
      <c r="B1516" t="s">
        <v>4212</v>
      </c>
      <c r="C1516">
        <v>164</v>
      </c>
    </row>
    <row r="1517" spans="2:4" x14ac:dyDescent="0.2">
      <c r="B1517" t="s">
        <v>4213</v>
      </c>
      <c r="C1517" t="s">
        <v>2107</v>
      </c>
    </row>
    <row r="1518" spans="2:4" x14ac:dyDescent="0.2">
      <c r="B1518" t="s">
        <v>4214</v>
      </c>
    </row>
    <row r="1519" spans="2:4" x14ac:dyDescent="0.2">
      <c r="B1519" t="s">
        <v>4215</v>
      </c>
    </row>
    <row r="1520" spans="2:4" x14ac:dyDescent="0.2">
      <c r="B1520" t="s">
        <v>4216</v>
      </c>
      <c r="C1520" t="s">
        <v>2866</v>
      </c>
      <c r="D1520">
        <v>0.1206</v>
      </c>
    </row>
    <row r="1521" spans="2:4" x14ac:dyDescent="0.2">
      <c r="C1521" t="s">
        <v>2866</v>
      </c>
      <c r="D1521">
        <v>0.1206</v>
      </c>
    </row>
    <row r="1522" spans="2:4" x14ac:dyDescent="0.2">
      <c r="B1522" t="s">
        <v>4217</v>
      </c>
      <c r="C1522" t="s">
        <v>2867</v>
      </c>
      <c r="D1522">
        <v>4</v>
      </c>
    </row>
    <row r="1523" spans="2:4" x14ac:dyDescent="0.2">
      <c r="C1523" t="s">
        <v>2867</v>
      </c>
      <c r="D1523">
        <v>4</v>
      </c>
    </row>
    <row r="1524" spans="2:4" x14ac:dyDescent="0.2">
      <c r="B1524" t="s">
        <v>4218</v>
      </c>
      <c r="C1524">
        <v>0</v>
      </c>
    </row>
    <row r="1525" spans="2:4" x14ac:dyDescent="0.2">
      <c r="B1525" t="s">
        <v>4219</v>
      </c>
      <c r="C1525">
        <v>40</v>
      </c>
    </row>
    <row r="1526" spans="2:4" x14ac:dyDescent="0.2">
      <c r="B1526" t="s">
        <v>4220</v>
      </c>
    </row>
    <row r="1527" spans="2:4" x14ac:dyDescent="0.2">
      <c r="B1527" t="s">
        <v>4221</v>
      </c>
    </row>
    <row r="1528" spans="2:4" x14ac:dyDescent="0.2">
      <c r="B1528" t="s">
        <v>4222</v>
      </c>
    </row>
    <row r="1529" spans="2:4" x14ac:dyDescent="0.2">
      <c r="B1529" t="s">
        <v>4223</v>
      </c>
    </row>
    <row r="1530" spans="2:4" x14ac:dyDescent="0.2">
      <c r="B1530" t="s">
        <v>4224</v>
      </c>
      <c r="C1530">
        <v>165</v>
      </c>
    </row>
    <row r="1531" spans="2:4" x14ac:dyDescent="0.2">
      <c r="B1531" t="s">
        <v>4225</v>
      </c>
      <c r="C1531" t="s">
        <v>2110</v>
      </c>
    </row>
    <row r="1532" spans="2:4" x14ac:dyDescent="0.2">
      <c r="B1532" t="s">
        <v>4226</v>
      </c>
    </row>
    <row r="1533" spans="2:4" x14ac:dyDescent="0.2">
      <c r="B1533" t="s">
        <v>4227</v>
      </c>
    </row>
    <row r="1534" spans="2:4" x14ac:dyDescent="0.2">
      <c r="B1534" t="s">
        <v>4228</v>
      </c>
      <c r="C1534" t="s">
        <v>2868</v>
      </c>
      <c r="D1534">
        <v>99.2</v>
      </c>
    </row>
    <row r="1535" spans="2:4" x14ac:dyDescent="0.2">
      <c r="C1535" t="s">
        <v>2868</v>
      </c>
      <c r="D1535">
        <v>99</v>
      </c>
    </row>
    <row r="1536" spans="2:4" x14ac:dyDescent="0.2">
      <c r="B1536" t="s">
        <v>4229</v>
      </c>
      <c r="C1536" t="s">
        <v>2869</v>
      </c>
      <c r="D1536">
        <v>1</v>
      </c>
    </row>
    <row r="1537" spans="2:4" x14ac:dyDescent="0.2">
      <c r="C1537" t="s">
        <v>2869</v>
      </c>
      <c r="D1537">
        <v>1</v>
      </c>
    </row>
    <row r="1538" spans="2:4" x14ac:dyDescent="0.2">
      <c r="B1538" t="s">
        <v>4230</v>
      </c>
      <c r="C1538">
        <v>3</v>
      </c>
    </row>
    <row r="1539" spans="2:4" x14ac:dyDescent="0.2">
      <c r="B1539" t="s">
        <v>4231</v>
      </c>
      <c r="C1539">
        <v>0</v>
      </c>
    </row>
    <row r="1540" spans="2:4" x14ac:dyDescent="0.2">
      <c r="B1540" t="s">
        <v>4232</v>
      </c>
    </row>
    <row r="1541" spans="2:4" x14ac:dyDescent="0.2">
      <c r="B1541" t="s">
        <v>4233</v>
      </c>
    </row>
    <row r="1542" spans="2:4" x14ac:dyDescent="0.2">
      <c r="B1542" t="s">
        <v>4234</v>
      </c>
    </row>
    <row r="1543" spans="2:4" x14ac:dyDescent="0.2">
      <c r="B1543" t="s">
        <v>4235</v>
      </c>
    </row>
    <row r="1544" spans="2:4" x14ac:dyDescent="0.2">
      <c r="B1544" t="s">
        <v>4236</v>
      </c>
      <c r="C1544">
        <v>166</v>
      </c>
    </row>
    <row r="1545" spans="2:4" x14ac:dyDescent="0.2">
      <c r="B1545" t="s">
        <v>4237</v>
      </c>
      <c r="C1545" t="s">
        <v>2113</v>
      </c>
    </row>
    <row r="1546" spans="2:4" x14ac:dyDescent="0.2">
      <c r="B1546" t="s">
        <v>4238</v>
      </c>
    </row>
    <row r="1547" spans="2:4" x14ac:dyDescent="0.2">
      <c r="B1547" t="s">
        <v>4239</v>
      </c>
    </row>
    <row r="1548" spans="2:4" x14ac:dyDescent="0.2">
      <c r="B1548" t="s">
        <v>4240</v>
      </c>
      <c r="C1548" t="s">
        <v>2870</v>
      </c>
      <c r="D1548">
        <v>0</v>
      </c>
    </row>
    <row r="1549" spans="2:4" x14ac:dyDescent="0.2">
      <c r="C1549" t="s">
        <v>2870</v>
      </c>
      <c r="D1549">
        <v>0</v>
      </c>
    </row>
    <row r="1550" spans="2:4" x14ac:dyDescent="0.2">
      <c r="B1550" t="s">
        <v>4241</v>
      </c>
      <c r="C1550" t="s">
        <v>2871</v>
      </c>
      <c r="D1550">
        <v>1</v>
      </c>
    </row>
    <row r="1551" spans="2:4" x14ac:dyDescent="0.2">
      <c r="C1551" t="s">
        <v>2871</v>
      </c>
      <c r="D1551">
        <v>1</v>
      </c>
    </row>
    <row r="1552" spans="2:4" x14ac:dyDescent="0.2">
      <c r="B1552" t="s">
        <v>4242</v>
      </c>
      <c r="C1552">
        <v>3</v>
      </c>
    </row>
    <row r="1553" spans="2:3" x14ac:dyDescent="0.2">
      <c r="B1553" t="s">
        <v>4243</v>
      </c>
      <c r="C1553">
        <v>0</v>
      </c>
    </row>
    <row r="1554" spans="2:3" x14ac:dyDescent="0.2">
      <c r="B1554" t="s">
        <v>4244</v>
      </c>
    </row>
    <row r="1555" spans="2:3" x14ac:dyDescent="0.2">
      <c r="B1555" t="s">
        <v>4245</v>
      </c>
    </row>
    <row r="1556" spans="2:3" x14ac:dyDescent="0.2">
      <c r="B1556" t="s">
        <v>4246</v>
      </c>
    </row>
    <row r="1557" spans="2:3" x14ac:dyDescent="0.2">
      <c r="B1557" t="s">
        <v>4247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pageSetUpPr fitToPage="1"/>
  </sheetPr>
  <dimension ref="A1:Q1046"/>
  <sheetViews>
    <sheetView topLeftCell="A4" workbookViewId="0"/>
  </sheetViews>
  <sheetFormatPr defaultRowHeight="12.75" x14ac:dyDescent="0.2"/>
  <cols>
    <col min="1" max="1" width="13.140625" customWidth="1"/>
    <col min="5" max="5" width="10.5703125" customWidth="1"/>
    <col min="17" max="17" width="11.5703125" customWidth="1"/>
  </cols>
  <sheetData>
    <row r="1" spans="1:11" x14ac:dyDescent="0.2">
      <c r="A1" t="s">
        <v>4248</v>
      </c>
      <c r="K1" s="180" t="s">
        <v>4249</v>
      </c>
    </row>
    <row r="2" spans="1:11" x14ac:dyDescent="0.2">
      <c r="A2" t="s">
        <v>4250</v>
      </c>
      <c r="C2" t="s">
        <v>4251</v>
      </c>
      <c r="G2" t="s">
        <v>7535</v>
      </c>
      <c r="K2" s="37" t="s">
        <v>4252</v>
      </c>
    </row>
    <row r="3" spans="1:11" x14ac:dyDescent="0.2">
      <c r="A3" t="s">
        <v>4253</v>
      </c>
      <c r="G3" t="s">
        <v>7536</v>
      </c>
      <c r="K3" s="949" t="s">
        <v>4254</v>
      </c>
    </row>
    <row r="4" spans="1:11" x14ac:dyDescent="0.2">
      <c r="A4" t="s">
        <v>7530</v>
      </c>
      <c r="K4" s="949" t="s">
        <v>4255</v>
      </c>
    </row>
    <row r="5" spans="1:11" x14ac:dyDescent="0.2">
      <c r="A5" t="s">
        <v>7523</v>
      </c>
      <c r="K5" s="949" t="s">
        <v>4257</v>
      </c>
    </row>
    <row r="6" spans="1:11" x14ac:dyDescent="0.2">
      <c r="K6" s="949" t="s">
        <v>4258</v>
      </c>
    </row>
    <row r="7" spans="1:11" x14ac:dyDescent="0.2">
      <c r="A7" t="s">
        <v>4254</v>
      </c>
      <c r="K7" s="949" t="s">
        <v>4259</v>
      </c>
    </row>
    <row r="9" spans="1:11" x14ac:dyDescent="0.2">
      <c r="A9" t="s">
        <v>4260</v>
      </c>
      <c r="B9" t="s">
        <v>4261</v>
      </c>
      <c r="C9" t="s">
        <v>4261</v>
      </c>
      <c r="D9" t="s">
        <v>4261</v>
      </c>
      <c r="E9" t="s">
        <v>4261</v>
      </c>
      <c r="F9" t="s">
        <v>4261</v>
      </c>
      <c r="G9" t="s">
        <v>4261</v>
      </c>
    </row>
    <row r="10" spans="1:11" x14ac:dyDescent="0.2">
      <c r="A10" t="s">
        <v>126</v>
      </c>
      <c r="B10" t="s">
        <v>4262</v>
      </c>
      <c r="C10" t="s">
        <v>4263</v>
      </c>
      <c r="D10" t="s">
        <v>4264</v>
      </c>
      <c r="E10" t="s">
        <v>2308</v>
      </c>
      <c r="F10" t="s">
        <v>615</v>
      </c>
      <c r="G10" t="s">
        <v>236</v>
      </c>
    </row>
    <row r="11" spans="1:11" x14ac:dyDescent="0.2">
      <c r="A11" t="s">
        <v>4260</v>
      </c>
      <c r="B11" t="s">
        <v>4261</v>
      </c>
      <c r="C11" t="s">
        <v>4261</v>
      </c>
      <c r="D11" t="s">
        <v>4261</v>
      </c>
      <c r="E11" t="s">
        <v>4261</v>
      </c>
      <c r="F11" t="s">
        <v>4261</v>
      </c>
      <c r="G11" t="s">
        <v>4261</v>
      </c>
    </row>
    <row r="12" spans="1:11" x14ac:dyDescent="0.2">
      <c r="A12" t="s">
        <v>4265</v>
      </c>
      <c r="B12">
        <v>0</v>
      </c>
      <c r="C12">
        <v>0</v>
      </c>
      <c r="D12">
        <v>0</v>
      </c>
      <c r="E12">
        <v>0</v>
      </c>
      <c r="F12">
        <v>20</v>
      </c>
      <c r="G12">
        <v>20</v>
      </c>
    </row>
    <row r="13" spans="1:11" x14ac:dyDescent="0.2">
      <c r="A13" t="s">
        <v>4266</v>
      </c>
      <c r="B13">
        <v>0</v>
      </c>
      <c r="C13">
        <v>0</v>
      </c>
      <c r="D13">
        <v>0</v>
      </c>
      <c r="E13">
        <v>0</v>
      </c>
      <c r="F13">
        <v>0</v>
      </c>
      <c r="G13">
        <v>0</v>
      </c>
    </row>
    <row r="14" spans="1:11" x14ac:dyDescent="0.2">
      <c r="A14" t="s">
        <v>4267</v>
      </c>
      <c r="B14">
        <v>0</v>
      </c>
      <c r="C14">
        <v>0</v>
      </c>
      <c r="D14">
        <v>0</v>
      </c>
      <c r="E14">
        <v>0</v>
      </c>
      <c r="F14">
        <v>0</v>
      </c>
      <c r="G14">
        <v>0</v>
      </c>
    </row>
    <row r="15" spans="1:11" x14ac:dyDescent="0.2">
      <c r="A15" t="s">
        <v>4268</v>
      </c>
      <c r="B15">
        <v>0</v>
      </c>
      <c r="C15">
        <v>0</v>
      </c>
      <c r="D15">
        <v>0</v>
      </c>
      <c r="E15">
        <v>0</v>
      </c>
      <c r="F15">
        <v>0</v>
      </c>
      <c r="G15">
        <v>0</v>
      </c>
    </row>
    <row r="16" spans="1:11" x14ac:dyDescent="0.2">
      <c r="A16" t="s">
        <v>4269</v>
      </c>
      <c r="B16">
        <v>0</v>
      </c>
      <c r="C16">
        <v>0</v>
      </c>
      <c r="D16">
        <v>0</v>
      </c>
      <c r="E16">
        <v>0</v>
      </c>
      <c r="F16">
        <v>0</v>
      </c>
      <c r="G16">
        <v>0</v>
      </c>
    </row>
    <row r="17" spans="1:7" x14ac:dyDescent="0.2">
      <c r="A17" t="s">
        <v>4270</v>
      </c>
      <c r="B17">
        <v>0</v>
      </c>
      <c r="C17">
        <v>0</v>
      </c>
      <c r="D17">
        <v>0</v>
      </c>
      <c r="E17">
        <v>0</v>
      </c>
      <c r="F17">
        <v>0</v>
      </c>
      <c r="G17">
        <v>0</v>
      </c>
    </row>
    <row r="18" spans="1:7" x14ac:dyDescent="0.2">
      <c r="A18" t="s">
        <v>4271</v>
      </c>
      <c r="B18">
        <v>0</v>
      </c>
      <c r="C18">
        <v>0</v>
      </c>
      <c r="D18">
        <v>0</v>
      </c>
      <c r="E18">
        <v>0</v>
      </c>
      <c r="F18">
        <v>0</v>
      </c>
      <c r="G18">
        <v>0</v>
      </c>
    </row>
    <row r="19" spans="1:7" x14ac:dyDescent="0.2">
      <c r="A19" t="s">
        <v>4272</v>
      </c>
      <c r="B19">
        <v>0</v>
      </c>
      <c r="C19">
        <v>0</v>
      </c>
      <c r="D19">
        <v>0</v>
      </c>
      <c r="E19">
        <v>0</v>
      </c>
      <c r="F19">
        <v>0</v>
      </c>
      <c r="G19">
        <v>0</v>
      </c>
    </row>
    <row r="20" spans="1:7" x14ac:dyDescent="0.2">
      <c r="A20" t="s">
        <v>4273</v>
      </c>
      <c r="B20">
        <v>0</v>
      </c>
      <c r="C20">
        <v>0</v>
      </c>
      <c r="D20">
        <v>0</v>
      </c>
      <c r="E20">
        <v>0</v>
      </c>
      <c r="F20">
        <v>14</v>
      </c>
      <c r="G20">
        <v>14</v>
      </c>
    </row>
    <row r="21" spans="1:7" x14ac:dyDescent="0.2">
      <c r="A21" t="s">
        <v>4274</v>
      </c>
      <c r="B21">
        <v>0</v>
      </c>
      <c r="C21">
        <v>0</v>
      </c>
      <c r="D21">
        <v>0</v>
      </c>
      <c r="E21">
        <v>0</v>
      </c>
      <c r="F21">
        <v>0</v>
      </c>
      <c r="G21">
        <v>0</v>
      </c>
    </row>
    <row r="22" spans="1:7" x14ac:dyDescent="0.2">
      <c r="A22" t="s">
        <v>4275</v>
      </c>
      <c r="B22">
        <v>0</v>
      </c>
      <c r="C22">
        <v>0</v>
      </c>
      <c r="D22">
        <v>0</v>
      </c>
      <c r="E22">
        <v>0</v>
      </c>
      <c r="F22">
        <v>1225</v>
      </c>
      <c r="G22">
        <v>1225</v>
      </c>
    </row>
    <row r="23" spans="1:7" x14ac:dyDescent="0.2">
      <c r="A23" t="s">
        <v>4276</v>
      </c>
      <c r="B23">
        <v>0</v>
      </c>
      <c r="C23">
        <v>0</v>
      </c>
      <c r="D23">
        <v>0</v>
      </c>
      <c r="E23">
        <v>0</v>
      </c>
      <c r="F23">
        <v>684</v>
      </c>
      <c r="G23">
        <v>684</v>
      </c>
    </row>
    <row r="24" spans="1:7" x14ac:dyDescent="0.2">
      <c r="A24" t="s">
        <v>4277</v>
      </c>
      <c r="B24">
        <v>0</v>
      </c>
      <c r="C24">
        <v>0</v>
      </c>
      <c r="D24">
        <v>0</v>
      </c>
      <c r="E24">
        <v>0</v>
      </c>
      <c r="F24">
        <v>451</v>
      </c>
      <c r="G24">
        <v>451</v>
      </c>
    </row>
    <row r="25" spans="1:7" x14ac:dyDescent="0.2">
      <c r="A25" t="s">
        <v>4278</v>
      </c>
      <c r="B25">
        <v>0</v>
      </c>
      <c r="C25">
        <v>0</v>
      </c>
      <c r="D25">
        <v>0</v>
      </c>
      <c r="E25">
        <v>0</v>
      </c>
      <c r="F25">
        <v>0</v>
      </c>
      <c r="G25">
        <v>0</v>
      </c>
    </row>
    <row r="26" spans="1:7" x14ac:dyDescent="0.2">
      <c r="A26" t="s">
        <v>4279</v>
      </c>
      <c r="B26">
        <v>1057</v>
      </c>
      <c r="C26">
        <v>380</v>
      </c>
      <c r="D26">
        <v>302</v>
      </c>
      <c r="E26">
        <v>0</v>
      </c>
      <c r="F26">
        <v>0</v>
      </c>
      <c r="G26">
        <v>1739</v>
      </c>
    </row>
    <row r="27" spans="1:7" x14ac:dyDescent="0.2">
      <c r="A27" t="s">
        <v>4280</v>
      </c>
      <c r="B27">
        <v>0</v>
      </c>
      <c r="C27">
        <v>0</v>
      </c>
      <c r="D27">
        <v>0</v>
      </c>
      <c r="E27">
        <v>0</v>
      </c>
      <c r="F27">
        <v>0</v>
      </c>
      <c r="G27">
        <v>0</v>
      </c>
    </row>
    <row r="28" spans="1:7" x14ac:dyDescent="0.2">
      <c r="A28" t="s">
        <v>4281</v>
      </c>
      <c r="B28">
        <v>15461</v>
      </c>
      <c r="C28">
        <v>15965</v>
      </c>
      <c r="D28">
        <v>21857</v>
      </c>
      <c r="E28">
        <v>8756</v>
      </c>
      <c r="F28">
        <v>0</v>
      </c>
      <c r="G28">
        <v>62039</v>
      </c>
    </row>
    <row r="29" spans="1:7" x14ac:dyDescent="0.2">
      <c r="A29" t="s">
        <v>4282</v>
      </c>
      <c r="B29">
        <v>0</v>
      </c>
      <c r="C29">
        <v>4413</v>
      </c>
      <c r="D29">
        <v>4441</v>
      </c>
      <c r="E29">
        <v>0</v>
      </c>
      <c r="F29">
        <v>0</v>
      </c>
      <c r="G29">
        <v>8854</v>
      </c>
    </row>
    <row r="30" spans="1:7" x14ac:dyDescent="0.2">
      <c r="A30" t="s">
        <v>4283</v>
      </c>
      <c r="B30">
        <v>7043</v>
      </c>
      <c r="C30">
        <v>6752</v>
      </c>
      <c r="D30">
        <v>3333</v>
      </c>
      <c r="E30">
        <v>4032</v>
      </c>
      <c r="F30">
        <v>0</v>
      </c>
      <c r="G30">
        <v>21160</v>
      </c>
    </row>
    <row r="31" spans="1:7" x14ac:dyDescent="0.2">
      <c r="A31" t="s">
        <v>4284</v>
      </c>
      <c r="B31">
        <v>0</v>
      </c>
      <c r="C31">
        <v>0</v>
      </c>
      <c r="D31">
        <v>564</v>
      </c>
      <c r="E31">
        <v>0</v>
      </c>
      <c r="F31">
        <v>0</v>
      </c>
      <c r="G31">
        <v>564</v>
      </c>
    </row>
    <row r="32" spans="1:7" x14ac:dyDescent="0.2">
      <c r="A32" t="s">
        <v>4285</v>
      </c>
      <c r="B32">
        <v>9251</v>
      </c>
      <c r="C32">
        <v>10060</v>
      </c>
      <c r="D32">
        <v>8538</v>
      </c>
      <c r="E32">
        <v>4212</v>
      </c>
      <c r="F32">
        <v>0</v>
      </c>
      <c r="G32">
        <v>32061</v>
      </c>
    </row>
    <row r="33" spans="1:9" x14ac:dyDescent="0.2">
      <c r="A33" t="s">
        <v>4286</v>
      </c>
      <c r="B33">
        <v>0</v>
      </c>
      <c r="C33">
        <v>210</v>
      </c>
      <c r="D33">
        <v>371</v>
      </c>
      <c r="E33">
        <v>0</v>
      </c>
      <c r="F33">
        <v>0</v>
      </c>
      <c r="G33">
        <v>581</v>
      </c>
    </row>
    <row r="34" spans="1:9" x14ac:dyDescent="0.2">
      <c r="A34" t="s">
        <v>4287</v>
      </c>
      <c r="B34">
        <v>0</v>
      </c>
      <c r="C34">
        <v>0</v>
      </c>
      <c r="D34">
        <v>0</v>
      </c>
      <c r="E34">
        <v>55000</v>
      </c>
      <c r="F34">
        <v>0</v>
      </c>
      <c r="G34">
        <v>55000</v>
      </c>
    </row>
    <row r="35" spans="1:9" x14ac:dyDescent="0.2">
      <c r="A35" t="s">
        <v>4288</v>
      </c>
      <c r="B35">
        <v>0</v>
      </c>
      <c r="C35">
        <v>0</v>
      </c>
      <c r="D35">
        <v>0</v>
      </c>
      <c r="E35">
        <v>0</v>
      </c>
      <c r="F35">
        <v>1452</v>
      </c>
      <c r="G35">
        <v>1452</v>
      </c>
    </row>
    <row r="36" spans="1:9" x14ac:dyDescent="0.2">
      <c r="A36" t="s">
        <v>4289</v>
      </c>
      <c r="B36">
        <v>0</v>
      </c>
      <c r="C36">
        <v>0</v>
      </c>
      <c r="D36">
        <v>0</v>
      </c>
      <c r="E36">
        <v>0</v>
      </c>
      <c r="F36">
        <v>242881</v>
      </c>
      <c r="G36">
        <v>242881</v>
      </c>
    </row>
    <row r="37" spans="1:9" x14ac:dyDescent="0.2">
      <c r="A37" t="s">
        <v>4290</v>
      </c>
      <c r="B37">
        <v>0</v>
      </c>
      <c r="C37">
        <v>0</v>
      </c>
      <c r="D37">
        <v>0</v>
      </c>
      <c r="E37">
        <v>0</v>
      </c>
      <c r="F37">
        <v>48130</v>
      </c>
      <c r="G37">
        <v>48130</v>
      </c>
    </row>
    <row r="38" spans="1:9" x14ac:dyDescent="0.2">
      <c r="A38" t="s">
        <v>4291</v>
      </c>
      <c r="B38">
        <v>0</v>
      </c>
      <c r="C38">
        <v>0</v>
      </c>
      <c r="D38">
        <v>0</v>
      </c>
      <c r="E38">
        <v>0</v>
      </c>
      <c r="F38">
        <v>5084</v>
      </c>
      <c r="G38">
        <v>5084</v>
      </c>
    </row>
    <row r="39" spans="1:9" x14ac:dyDescent="0.2">
      <c r="A39" t="s">
        <v>4292</v>
      </c>
      <c r="B39">
        <v>0</v>
      </c>
      <c r="C39">
        <v>0</v>
      </c>
      <c r="D39">
        <v>0</v>
      </c>
      <c r="E39">
        <v>0</v>
      </c>
      <c r="F39">
        <v>1441</v>
      </c>
      <c r="G39">
        <v>1441</v>
      </c>
    </row>
    <row r="40" spans="1:9" x14ac:dyDescent="0.2">
      <c r="A40" t="s">
        <v>4293</v>
      </c>
      <c r="B40">
        <v>0</v>
      </c>
      <c r="C40">
        <v>0</v>
      </c>
      <c r="D40">
        <v>0</v>
      </c>
      <c r="E40">
        <v>0</v>
      </c>
      <c r="F40">
        <v>2399</v>
      </c>
      <c r="G40">
        <v>2399</v>
      </c>
    </row>
    <row r="41" spans="1:9" x14ac:dyDescent="0.2">
      <c r="A41" t="s">
        <v>4294</v>
      </c>
      <c r="B41">
        <v>0</v>
      </c>
      <c r="C41">
        <v>0</v>
      </c>
      <c r="D41">
        <v>0</v>
      </c>
      <c r="E41">
        <v>0</v>
      </c>
      <c r="F41">
        <v>10897</v>
      </c>
      <c r="G41">
        <v>10897</v>
      </c>
    </row>
    <row r="42" spans="1:9" x14ac:dyDescent="0.2">
      <c r="A42" t="s">
        <v>4295</v>
      </c>
      <c r="B42">
        <v>0</v>
      </c>
      <c r="C42">
        <v>0</v>
      </c>
      <c r="D42">
        <v>0</v>
      </c>
      <c r="E42">
        <v>0</v>
      </c>
      <c r="F42">
        <v>0</v>
      </c>
      <c r="G42">
        <v>0</v>
      </c>
    </row>
    <row r="43" spans="1:9" x14ac:dyDescent="0.2">
      <c r="A43" t="s">
        <v>4296</v>
      </c>
      <c r="B43">
        <v>0</v>
      </c>
      <c r="C43">
        <v>0</v>
      </c>
      <c r="D43">
        <v>0</v>
      </c>
      <c r="E43">
        <v>0</v>
      </c>
      <c r="F43">
        <v>0</v>
      </c>
      <c r="G43">
        <v>0</v>
      </c>
    </row>
    <row r="44" spans="1:9" x14ac:dyDescent="0.2">
      <c r="A44" t="s">
        <v>4297</v>
      </c>
      <c r="B44">
        <v>3635</v>
      </c>
      <c r="C44">
        <v>20646</v>
      </c>
      <c r="D44">
        <v>47436</v>
      </c>
      <c r="E44">
        <v>12283</v>
      </c>
      <c r="F44">
        <v>0</v>
      </c>
      <c r="G44">
        <v>84000</v>
      </c>
      <c r="I44">
        <f>G44+G48+G51+G52</f>
        <v>168001</v>
      </c>
    </row>
    <row r="45" spans="1:9" x14ac:dyDescent="0.2">
      <c r="A45" t="s">
        <v>4298</v>
      </c>
      <c r="B45">
        <v>0</v>
      </c>
      <c r="C45">
        <v>3700</v>
      </c>
      <c r="D45">
        <v>3079</v>
      </c>
      <c r="E45">
        <v>5524</v>
      </c>
      <c r="F45">
        <v>0</v>
      </c>
      <c r="G45">
        <v>12303</v>
      </c>
      <c r="I45">
        <f>G45+G46+G49+G53</f>
        <v>32001</v>
      </c>
    </row>
    <row r="46" spans="1:9" x14ac:dyDescent="0.2">
      <c r="A46" t="s">
        <v>4299</v>
      </c>
      <c r="B46">
        <v>0</v>
      </c>
      <c r="C46">
        <v>2575</v>
      </c>
      <c r="D46">
        <v>4409</v>
      </c>
      <c r="E46">
        <v>5191</v>
      </c>
      <c r="F46">
        <v>0</v>
      </c>
      <c r="G46">
        <v>12175</v>
      </c>
    </row>
    <row r="47" spans="1:9" x14ac:dyDescent="0.2">
      <c r="A47" t="s">
        <v>4300</v>
      </c>
      <c r="B47">
        <v>0</v>
      </c>
      <c r="C47">
        <v>86</v>
      </c>
      <c r="D47">
        <v>191</v>
      </c>
      <c r="E47">
        <v>174</v>
      </c>
      <c r="F47">
        <v>0</v>
      </c>
      <c r="G47">
        <v>451</v>
      </c>
    </row>
    <row r="48" spans="1:9" x14ac:dyDescent="0.2">
      <c r="A48" t="s">
        <v>4301</v>
      </c>
      <c r="B48">
        <v>0</v>
      </c>
      <c r="C48">
        <v>13962</v>
      </c>
      <c r="D48">
        <v>32075</v>
      </c>
      <c r="E48">
        <v>16123</v>
      </c>
      <c r="F48">
        <v>0</v>
      </c>
      <c r="G48">
        <v>62160</v>
      </c>
    </row>
    <row r="49" spans="1:7" x14ac:dyDescent="0.2">
      <c r="A49" t="s">
        <v>4302</v>
      </c>
      <c r="B49">
        <v>0</v>
      </c>
      <c r="C49">
        <v>1373</v>
      </c>
      <c r="D49">
        <v>3538</v>
      </c>
      <c r="E49">
        <v>1045</v>
      </c>
      <c r="F49">
        <v>0</v>
      </c>
      <c r="G49">
        <v>5956</v>
      </c>
    </row>
    <row r="50" spans="1:7" x14ac:dyDescent="0.2">
      <c r="A50" t="s">
        <v>4303</v>
      </c>
      <c r="B50">
        <v>0</v>
      </c>
      <c r="C50">
        <v>2263</v>
      </c>
      <c r="D50">
        <v>9108</v>
      </c>
      <c r="E50">
        <v>1786</v>
      </c>
      <c r="F50">
        <v>0</v>
      </c>
      <c r="G50">
        <v>13157</v>
      </c>
    </row>
    <row r="51" spans="1:7" x14ac:dyDescent="0.2">
      <c r="A51" t="s">
        <v>4304</v>
      </c>
      <c r="B51">
        <v>157</v>
      </c>
      <c r="C51">
        <v>575</v>
      </c>
      <c r="D51">
        <v>2422</v>
      </c>
      <c r="E51">
        <v>1216</v>
      </c>
      <c r="F51">
        <v>0</v>
      </c>
      <c r="G51">
        <v>4370</v>
      </c>
    </row>
    <row r="52" spans="1:7" x14ac:dyDescent="0.2">
      <c r="A52" t="s">
        <v>4305</v>
      </c>
      <c r="B52">
        <v>2101</v>
      </c>
      <c r="C52">
        <v>5893</v>
      </c>
      <c r="D52">
        <v>6896</v>
      </c>
      <c r="E52">
        <v>2581</v>
      </c>
      <c r="F52">
        <v>0</v>
      </c>
      <c r="G52">
        <v>17471</v>
      </c>
    </row>
    <row r="53" spans="1:7" x14ac:dyDescent="0.2">
      <c r="A53" t="s">
        <v>4306</v>
      </c>
      <c r="B53">
        <v>0</v>
      </c>
      <c r="C53">
        <v>1013</v>
      </c>
      <c r="D53">
        <v>267</v>
      </c>
      <c r="E53">
        <v>287</v>
      </c>
      <c r="F53">
        <v>0</v>
      </c>
      <c r="G53">
        <v>1567</v>
      </c>
    </row>
    <row r="54" spans="1:7" x14ac:dyDescent="0.2">
      <c r="A54" t="s">
        <v>4307</v>
      </c>
      <c r="B54">
        <v>0</v>
      </c>
      <c r="C54">
        <v>5932</v>
      </c>
      <c r="D54">
        <v>23499</v>
      </c>
      <c r="E54">
        <v>8960</v>
      </c>
      <c r="F54">
        <v>0</v>
      </c>
      <c r="G54">
        <v>38391</v>
      </c>
    </row>
    <row r="55" spans="1:7" x14ac:dyDescent="0.2">
      <c r="A55" t="s">
        <v>4308</v>
      </c>
      <c r="B55">
        <v>0</v>
      </c>
      <c r="C55">
        <v>0</v>
      </c>
      <c r="D55">
        <v>218</v>
      </c>
      <c r="E55">
        <v>172</v>
      </c>
      <c r="F55">
        <v>0</v>
      </c>
      <c r="G55">
        <v>390</v>
      </c>
    </row>
    <row r="56" spans="1:7" x14ac:dyDescent="0.2">
      <c r="A56" t="s">
        <v>4309</v>
      </c>
      <c r="B56">
        <v>0</v>
      </c>
      <c r="C56">
        <v>0</v>
      </c>
      <c r="D56">
        <v>0</v>
      </c>
      <c r="E56">
        <v>0</v>
      </c>
      <c r="F56">
        <v>769</v>
      </c>
      <c r="G56">
        <v>769</v>
      </c>
    </row>
    <row r="57" spans="1:7" x14ac:dyDescent="0.2">
      <c r="A57" t="s">
        <v>4310</v>
      </c>
      <c r="B57">
        <v>0</v>
      </c>
      <c r="C57">
        <v>0</v>
      </c>
      <c r="D57">
        <v>0</v>
      </c>
      <c r="E57">
        <v>0</v>
      </c>
      <c r="F57">
        <v>4149</v>
      </c>
      <c r="G57">
        <v>4149</v>
      </c>
    </row>
    <row r="58" spans="1:7" x14ac:dyDescent="0.2">
      <c r="A58" t="s">
        <v>4311</v>
      </c>
      <c r="B58">
        <v>0</v>
      </c>
      <c r="C58">
        <v>0</v>
      </c>
      <c r="D58">
        <v>0</v>
      </c>
      <c r="E58">
        <v>21633</v>
      </c>
      <c r="F58">
        <v>11260</v>
      </c>
      <c r="G58">
        <v>32893</v>
      </c>
    </row>
    <row r="59" spans="1:7" x14ac:dyDescent="0.2">
      <c r="A59" t="s">
        <v>4312</v>
      </c>
      <c r="B59">
        <v>0</v>
      </c>
      <c r="C59">
        <v>0</v>
      </c>
      <c r="D59">
        <v>0</v>
      </c>
      <c r="E59">
        <v>3521</v>
      </c>
      <c r="F59">
        <v>1362</v>
      </c>
      <c r="G59">
        <v>4883</v>
      </c>
    </row>
    <row r="60" spans="1:7" x14ac:dyDescent="0.2">
      <c r="A60" t="s">
        <v>4313</v>
      </c>
      <c r="B60">
        <v>0</v>
      </c>
      <c r="C60">
        <v>0</v>
      </c>
      <c r="D60">
        <v>0</v>
      </c>
      <c r="E60">
        <v>0</v>
      </c>
      <c r="F60">
        <v>77</v>
      </c>
      <c r="G60">
        <v>77</v>
      </c>
    </row>
    <row r="61" spans="1:7" x14ac:dyDescent="0.2">
      <c r="A61" t="s">
        <v>4314</v>
      </c>
      <c r="B61">
        <v>0</v>
      </c>
      <c r="C61">
        <v>0</v>
      </c>
      <c r="D61">
        <v>0</v>
      </c>
      <c r="E61">
        <v>0</v>
      </c>
      <c r="F61">
        <v>6272</v>
      </c>
      <c r="G61">
        <v>6272</v>
      </c>
    </row>
    <row r="62" spans="1:7" x14ac:dyDescent="0.2">
      <c r="A62" t="s">
        <v>4315</v>
      </c>
      <c r="B62">
        <v>0</v>
      </c>
      <c r="C62">
        <v>0</v>
      </c>
      <c r="D62">
        <v>0</v>
      </c>
      <c r="E62">
        <v>0</v>
      </c>
      <c r="F62">
        <v>4080</v>
      </c>
      <c r="G62">
        <v>4080</v>
      </c>
    </row>
    <row r="63" spans="1:7" x14ac:dyDescent="0.2">
      <c r="A63" t="s">
        <v>4316</v>
      </c>
      <c r="B63">
        <v>0</v>
      </c>
      <c r="C63">
        <v>0</v>
      </c>
      <c r="D63">
        <v>0</v>
      </c>
      <c r="E63">
        <v>4443</v>
      </c>
      <c r="F63">
        <v>22846</v>
      </c>
      <c r="G63">
        <v>27289</v>
      </c>
    </row>
    <row r="64" spans="1:7" x14ac:dyDescent="0.2">
      <c r="A64" t="s">
        <v>4317</v>
      </c>
      <c r="B64">
        <v>0</v>
      </c>
      <c r="C64">
        <v>0</v>
      </c>
      <c r="D64">
        <v>0</v>
      </c>
      <c r="E64">
        <v>0</v>
      </c>
      <c r="F64">
        <v>0</v>
      </c>
      <c r="G64">
        <v>0</v>
      </c>
    </row>
    <row r="65" spans="1:7" x14ac:dyDescent="0.2">
      <c r="A65" t="s">
        <v>4318</v>
      </c>
      <c r="B65">
        <v>0</v>
      </c>
      <c r="C65">
        <v>0</v>
      </c>
      <c r="D65">
        <v>0</v>
      </c>
      <c r="E65">
        <v>0</v>
      </c>
      <c r="F65">
        <v>16367</v>
      </c>
      <c r="G65">
        <v>16367</v>
      </c>
    </row>
    <row r="66" spans="1:7" x14ac:dyDescent="0.2">
      <c r="A66" t="s">
        <v>4319</v>
      </c>
      <c r="B66">
        <v>0</v>
      </c>
      <c r="C66">
        <v>0</v>
      </c>
      <c r="D66">
        <v>0</v>
      </c>
      <c r="E66">
        <v>0</v>
      </c>
      <c r="F66">
        <v>7175</v>
      </c>
      <c r="G66">
        <v>7175</v>
      </c>
    </row>
    <row r="67" spans="1:7" x14ac:dyDescent="0.2">
      <c r="A67" t="s">
        <v>4320</v>
      </c>
      <c r="B67">
        <v>0</v>
      </c>
      <c r="C67">
        <v>0</v>
      </c>
      <c r="D67">
        <v>0</v>
      </c>
      <c r="E67">
        <v>0</v>
      </c>
      <c r="F67">
        <v>6184</v>
      </c>
      <c r="G67">
        <v>6184</v>
      </c>
    </row>
    <row r="68" spans="1:7" x14ac:dyDescent="0.2">
      <c r="A68" t="s">
        <v>4321</v>
      </c>
      <c r="B68">
        <v>0</v>
      </c>
      <c r="C68">
        <v>0</v>
      </c>
      <c r="D68">
        <v>0</v>
      </c>
      <c r="E68">
        <v>0</v>
      </c>
      <c r="F68">
        <v>0</v>
      </c>
      <c r="G68">
        <v>0</v>
      </c>
    </row>
    <row r="69" spans="1:7" x14ac:dyDescent="0.2">
      <c r="A69" t="s">
        <v>4322</v>
      </c>
      <c r="B69">
        <v>0</v>
      </c>
      <c r="C69">
        <v>0</v>
      </c>
      <c r="D69">
        <v>0</v>
      </c>
      <c r="E69">
        <v>0</v>
      </c>
      <c r="F69">
        <v>0</v>
      </c>
      <c r="G69">
        <v>0</v>
      </c>
    </row>
    <row r="70" spans="1:7" x14ac:dyDescent="0.2">
      <c r="A70" t="s">
        <v>4323</v>
      </c>
      <c r="B70">
        <v>0</v>
      </c>
      <c r="C70">
        <v>0</v>
      </c>
      <c r="D70">
        <v>0</v>
      </c>
      <c r="E70">
        <v>0</v>
      </c>
      <c r="F70">
        <v>0</v>
      </c>
      <c r="G70">
        <v>0</v>
      </c>
    </row>
    <row r="71" spans="1:7" x14ac:dyDescent="0.2">
      <c r="A71" t="s">
        <v>4324</v>
      </c>
      <c r="B71">
        <v>0</v>
      </c>
      <c r="C71">
        <v>0</v>
      </c>
      <c r="D71">
        <v>0</v>
      </c>
      <c r="E71">
        <v>0</v>
      </c>
      <c r="F71">
        <v>0</v>
      </c>
      <c r="G71">
        <v>0</v>
      </c>
    </row>
    <row r="72" spans="1:7" x14ac:dyDescent="0.2">
      <c r="A72" t="s">
        <v>4325</v>
      </c>
      <c r="B72">
        <v>0</v>
      </c>
      <c r="C72">
        <v>0</v>
      </c>
      <c r="D72">
        <v>0</v>
      </c>
      <c r="E72">
        <v>0</v>
      </c>
      <c r="F72">
        <v>0</v>
      </c>
      <c r="G72">
        <v>0</v>
      </c>
    </row>
    <row r="73" spans="1:7" x14ac:dyDescent="0.2">
      <c r="A73" t="s">
        <v>4326</v>
      </c>
      <c r="B73">
        <v>0</v>
      </c>
      <c r="C73">
        <v>0</v>
      </c>
      <c r="D73">
        <v>0</v>
      </c>
      <c r="E73">
        <v>0</v>
      </c>
      <c r="F73">
        <v>0</v>
      </c>
      <c r="G73">
        <v>0</v>
      </c>
    </row>
    <row r="74" spans="1:7" x14ac:dyDescent="0.2">
      <c r="A74" t="s">
        <v>4327</v>
      </c>
      <c r="B74">
        <v>0</v>
      </c>
      <c r="C74">
        <v>0</v>
      </c>
      <c r="D74">
        <v>0</v>
      </c>
      <c r="E74">
        <v>11225</v>
      </c>
      <c r="F74">
        <v>5234</v>
      </c>
      <c r="G74">
        <v>16459</v>
      </c>
    </row>
    <row r="75" spans="1:7" x14ac:dyDescent="0.2">
      <c r="A75" t="s">
        <v>4328</v>
      </c>
      <c r="B75">
        <v>0</v>
      </c>
      <c r="C75">
        <v>0</v>
      </c>
      <c r="D75">
        <v>0</v>
      </c>
      <c r="E75">
        <v>0</v>
      </c>
      <c r="F75">
        <v>0</v>
      </c>
      <c r="G75">
        <v>0</v>
      </c>
    </row>
    <row r="76" spans="1:7" x14ac:dyDescent="0.2">
      <c r="A76" t="s">
        <v>4329</v>
      </c>
      <c r="B76">
        <v>0</v>
      </c>
      <c r="C76">
        <v>0</v>
      </c>
      <c r="D76">
        <v>0</v>
      </c>
      <c r="E76">
        <v>0</v>
      </c>
      <c r="F76">
        <v>2076</v>
      </c>
      <c r="G76">
        <v>2076</v>
      </c>
    </row>
    <row r="77" spans="1:7" x14ac:dyDescent="0.2">
      <c r="A77" t="s">
        <v>4330</v>
      </c>
      <c r="B77">
        <v>0</v>
      </c>
      <c r="C77">
        <v>0</v>
      </c>
      <c r="D77">
        <v>0</v>
      </c>
      <c r="E77">
        <v>0</v>
      </c>
      <c r="F77">
        <v>0</v>
      </c>
      <c r="G77">
        <v>0</v>
      </c>
    </row>
    <row r="78" spans="1:7" x14ac:dyDescent="0.2">
      <c r="A78" t="s">
        <v>4331</v>
      </c>
      <c r="B78">
        <v>0</v>
      </c>
      <c r="C78">
        <v>0</v>
      </c>
      <c r="D78">
        <v>0</v>
      </c>
      <c r="E78">
        <v>0</v>
      </c>
      <c r="F78">
        <v>0</v>
      </c>
      <c r="G78">
        <v>0</v>
      </c>
    </row>
    <row r="79" spans="1:7" x14ac:dyDescent="0.2">
      <c r="A79" t="s">
        <v>4332</v>
      </c>
      <c r="B79">
        <v>0</v>
      </c>
      <c r="C79">
        <v>0</v>
      </c>
      <c r="D79">
        <v>0</v>
      </c>
      <c r="E79">
        <v>9279</v>
      </c>
      <c r="F79">
        <v>1768</v>
      </c>
      <c r="G79">
        <v>11047</v>
      </c>
    </row>
    <row r="80" spans="1:7" x14ac:dyDescent="0.2">
      <c r="A80" t="s">
        <v>4333</v>
      </c>
      <c r="B80">
        <v>0</v>
      </c>
      <c r="C80">
        <v>0</v>
      </c>
      <c r="D80">
        <v>0</v>
      </c>
      <c r="E80">
        <v>0</v>
      </c>
      <c r="F80">
        <v>0</v>
      </c>
      <c r="G80">
        <v>0</v>
      </c>
    </row>
    <row r="81" spans="1:7" x14ac:dyDescent="0.2">
      <c r="A81" t="s">
        <v>4334</v>
      </c>
      <c r="B81">
        <v>0</v>
      </c>
      <c r="C81">
        <v>0</v>
      </c>
      <c r="D81">
        <v>0</v>
      </c>
      <c r="E81">
        <v>0</v>
      </c>
      <c r="F81">
        <v>3978</v>
      </c>
      <c r="G81">
        <v>3978</v>
      </c>
    </row>
    <row r="82" spans="1:7" x14ac:dyDescent="0.2">
      <c r="A82" t="s">
        <v>4335</v>
      </c>
      <c r="B82">
        <v>0</v>
      </c>
      <c r="C82">
        <v>0</v>
      </c>
      <c r="D82">
        <v>0</v>
      </c>
      <c r="E82">
        <v>1435</v>
      </c>
      <c r="F82">
        <v>3091</v>
      </c>
      <c r="G82">
        <v>4526</v>
      </c>
    </row>
    <row r="83" spans="1:7" x14ac:dyDescent="0.2">
      <c r="A83" t="s">
        <v>4336</v>
      </c>
      <c r="B83">
        <v>0</v>
      </c>
      <c r="C83">
        <v>0</v>
      </c>
      <c r="D83">
        <v>0</v>
      </c>
      <c r="E83">
        <v>0</v>
      </c>
      <c r="F83">
        <v>0</v>
      </c>
      <c r="G83">
        <v>0</v>
      </c>
    </row>
    <row r="84" spans="1:7" x14ac:dyDescent="0.2">
      <c r="A84" t="s">
        <v>4337</v>
      </c>
      <c r="B84">
        <v>0</v>
      </c>
      <c r="C84">
        <v>0</v>
      </c>
      <c r="D84">
        <v>0</v>
      </c>
      <c r="E84">
        <v>0</v>
      </c>
      <c r="F84">
        <v>541</v>
      </c>
      <c r="G84">
        <v>541</v>
      </c>
    </row>
    <row r="85" spans="1:7" x14ac:dyDescent="0.2">
      <c r="A85" t="s">
        <v>4338</v>
      </c>
      <c r="B85">
        <v>0</v>
      </c>
      <c r="C85">
        <v>0</v>
      </c>
      <c r="D85">
        <v>0</v>
      </c>
      <c r="E85">
        <v>256</v>
      </c>
      <c r="F85">
        <v>1548</v>
      </c>
      <c r="G85">
        <v>1804</v>
      </c>
    </row>
    <row r="86" spans="1:7" x14ac:dyDescent="0.2">
      <c r="A86" t="s">
        <v>4339</v>
      </c>
      <c r="B86">
        <v>0</v>
      </c>
      <c r="C86">
        <v>0</v>
      </c>
      <c r="D86">
        <v>0</v>
      </c>
      <c r="E86">
        <v>0</v>
      </c>
      <c r="F86">
        <v>0</v>
      </c>
      <c r="G86">
        <v>0</v>
      </c>
    </row>
    <row r="87" spans="1:7" x14ac:dyDescent="0.2">
      <c r="A87" t="s">
        <v>4340</v>
      </c>
      <c r="B87">
        <v>0</v>
      </c>
      <c r="C87">
        <v>0</v>
      </c>
      <c r="D87">
        <v>0</v>
      </c>
      <c r="E87">
        <v>0</v>
      </c>
      <c r="F87">
        <v>0</v>
      </c>
      <c r="G87">
        <v>0</v>
      </c>
    </row>
    <row r="88" spans="1:7" x14ac:dyDescent="0.2">
      <c r="A88" t="s">
        <v>4341</v>
      </c>
      <c r="B88">
        <v>0</v>
      </c>
      <c r="C88">
        <v>0</v>
      </c>
      <c r="D88">
        <v>0</v>
      </c>
      <c r="E88">
        <v>0</v>
      </c>
      <c r="F88">
        <v>52</v>
      </c>
      <c r="G88">
        <v>52</v>
      </c>
    </row>
    <row r="89" spans="1:7" x14ac:dyDescent="0.2">
      <c r="A89" t="s">
        <v>4342</v>
      </c>
      <c r="B89">
        <v>0</v>
      </c>
      <c r="C89">
        <v>0</v>
      </c>
      <c r="D89">
        <v>0</v>
      </c>
      <c r="E89">
        <v>0</v>
      </c>
      <c r="F89">
        <v>0</v>
      </c>
      <c r="G89">
        <v>0</v>
      </c>
    </row>
    <row r="90" spans="1:7" x14ac:dyDescent="0.2">
      <c r="A90" t="s">
        <v>4343</v>
      </c>
      <c r="B90">
        <v>0</v>
      </c>
      <c r="C90">
        <v>0</v>
      </c>
      <c r="D90">
        <v>0</v>
      </c>
      <c r="E90">
        <v>0</v>
      </c>
      <c r="F90">
        <v>0</v>
      </c>
      <c r="G90">
        <v>0</v>
      </c>
    </row>
    <row r="91" spans="1:7" x14ac:dyDescent="0.2">
      <c r="A91" t="s">
        <v>1728</v>
      </c>
      <c r="B91">
        <v>0</v>
      </c>
      <c r="C91">
        <v>0</v>
      </c>
      <c r="D91">
        <v>0</v>
      </c>
      <c r="E91">
        <v>0</v>
      </c>
      <c r="F91">
        <v>0</v>
      </c>
      <c r="G91">
        <v>0</v>
      </c>
    </row>
    <row r="92" spans="1:7" x14ac:dyDescent="0.2">
      <c r="A92" t="s">
        <v>1730</v>
      </c>
      <c r="B92">
        <v>0</v>
      </c>
      <c r="C92">
        <v>34</v>
      </c>
      <c r="D92">
        <v>360</v>
      </c>
      <c r="E92">
        <v>209</v>
      </c>
      <c r="F92">
        <v>2225</v>
      </c>
      <c r="G92">
        <v>2828</v>
      </c>
    </row>
    <row r="93" spans="1:7" x14ac:dyDescent="0.2">
      <c r="A93" t="s">
        <v>1733</v>
      </c>
      <c r="B93">
        <v>0</v>
      </c>
      <c r="C93">
        <v>0</v>
      </c>
      <c r="D93">
        <v>0</v>
      </c>
      <c r="E93">
        <v>346</v>
      </c>
      <c r="F93">
        <v>1864</v>
      </c>
      <c r="G93">
        <v>2210</v>
      </c>
    </row>
    <row r="94" spans="1:7" x14ac:dyDescent="0.2">
      <c r="A94" t="s">
        <v>1738</v>
      </c>
      <c r="B94">
        <v>0</v>
      </c>
      <c r="C94">
        <v>0</v>
      </c>
      <c r="D94">
        <v>0</v>
      </c>
      <c r="E94">
        <v>416</v>
      </c>
      <c r="F94">
        <v>373</v>
      </c>
      <c r="G94">
        <v>789</v>
      </c>
    </row>
    <row r="95" spans="1:7" x14ac:dyDescent="0.2">
      <c r="A95" t="s">
        <v>1744</v>
      </c>
      <c r="B95">
        <v>0</v>
      </c>
      <c r="C95">
        <v>0</v>
      </c>
      <c r="D95">
        <v>0</v>
      </c>
      <c r="E95">
        <v>0</v>
      </c>
      <c r="F95">
        <v>0</v>
      </c>
      <c r="G95">
        <v>0</v>
      </c>
    </row>
    <row r="96" spans="1:7" x14ac:dyDescent="0.2">
      <c r="A96" t="s">
        <v>1747</v>
      </c>
      <c r="B96">
        <v>0</v>
      </c>
      <c r="C96">
        <v>0</v>
      </c>
      <c r="D96">
        <v>0</v>
      </c>
      <c r="E96">
        <v>0</v>
      </c>
      <c r="F96">
        <v>0</v>
      </c>
      <c r="G96">
        <v>0</v>
      </c>
    </row>
    <row r="97" spans="1:7" x14ac:dyDescent="0.2">
      <c r="A97" t="s">
        <v>1751</v>
      </c>
      <c r="B97">
        <v>0</v>
      </c>
      <c r="C97">
        <v>0</v>
      </c>
      <c r="D97">
        <v>0</v>
      </c>
      <c r="E97">
        <v>0</v>
      </c>
      <c r="F97">
        <v>0</v>
      </c>
      <c r="G97">
        <v>0</v>
      </c>
    </row>
    <row r="98" spans="1:7" x14ac:dyDescent="0.2">
      <c r="A98" t="s">
        <v>1755</v>
      </c>
      <c r="B98">
        <v>0</v>
      </c>
      <c r="C98">
        <v>0</v>
      </c>
      <c r="D98">
        <v>21</v>
      </c>
      <c r="E98">
        <v>1419</v>
      </c>
      <c r="F98">
        <v>1073</v>
      </c>
      <c r="G98">
        <v>2513</v>
      </c>
    </row>
    <row r="99" spans="1:7" x14ac:dyDescent="0.2">
      <c r="A99" t="s">
        <v>1757</v>
      </c>
      <c r="B99">
        <v>0</v>
      </c>
      <c r="C99">
        <v>0</v>
      </c>
      <c r="D99">
        <v>418</v>
      </c>
      <c r="E99">
        <v>1560</v>
      </c>
      <c r="F99">
        <v>4724</v>
      </c>
      <c r="G99">
        <v>6702</v>
      </c>
    </row>
    <row r="100" spans="1:7" x14ac:dyDescent="0.2">
      <c r="A100" t="s">
        <v>1761</v>
      </c>
      <c r="B100">
        <v>0</v>
      </c>
      <c r="C100">
        <v>0</v>
      </c>
      <c r="D100">
        <v>0</v>
      </c>
      <c r="E100">
        <v>0</v>
      </c>
      <c r="F100">
        <v>0</v>
      </c>
      <c r="G100">
        <v>0</v>
      </c>
    </row>
    <row r="101" spans="1:7" x14ac:dyDescent="0.2">
      <c r="A101" t="s">
        <v>1764</v>
      </c>
      <c r="B101">
        <v>0</v>
      </c>
      <c r="C101">
        <v>0</v>
      </c>
      <c r="D101">
        <v>0</v>
      </c>
      <c r="E101">
        <v>0</v>
      </c>
      <c r="F101">
        <v>0</v>
      </c>
      <c r="G101">
        <v>0</v>
      </c>
    </row>
    <row r="102" spans="1:7" x14ac:dyDescent="0.2">
      <c r="A102" t="s">
        <v>1770</v>
      </c>
      <c r="B102">
        <v>0</v>
      </c>
      <c r="C102">
        <v>433</v>
      </c>
      <c r="D102">
        <v>2881</v>
      </c>
      <c r="E102">
        <v>15248</v>
      </c>
      <c r="F102">
        <v>0</v>
      </c>
      <c r="G102">
        <v>18562</v>
      </c>
    </row>
    <row r="103" spans="1:7" x14ac:dyDescent="0.2">
      <c r="A103" t="s">
        <v>1772</v>
      </c>
      <c r="B103">
        <v>0</v>
      </c>
      <c r="C103">
        <v>44</v>
      </c>
      <c r="D103">
        <v>717</v>
      </c>
      <c r="E103">
        <v>5915</v>
      </c>
      <c r="F103">
        <v>0</v>
      </c>
      <c r="G103">
        <v>6676</v>
      </c>
    </row>
    <row r="104" spans="1:7" x14ac:dyDescent="0.2">
      <c r="A104" t="s">
        <v>1774</v>
      </c>
      <c r="B104">
        <v>0</v>
      </c>
      <c r="C104">
        <v>91</v>
      </c>
      <c r="D104">
        <v>488</v>
      </c>
      <c r="E104">
        <v>3739</v>
      </c>
      <c r="F104">
        <v>0</v>
      </c>
      <c r="G104">
        <v>4318</v>
      </c>
    </row>
    <row r="105" spans="1:7" x14ac:dyDescent="0.2">
      <c r="A105" t="s">
        <v>1777</v>
      </c>
      <c r="B105">
        <v>0</v>
      </c>
      <c r="C105">
        <v>0</v>
      </c>
      <c r="D105">
        <v>0</v>
      </c>
      <c r="E105">
        <v>0</v>
      </c>
      <c r="F105">
        <v>562</v>
      </c>
      <c r="G105">
        <v>562</v>
      </c>
    </row>
    <row r="106" spans="1:7" x14ac:dyDescent="0.2">
      <c r="A106" t="s">
        <v>1782</v>
      </c>
      <c r="B106">
        <v>0</v>
      </c>
      <c r="C106">
        <v>0</v>
      </c>
      <c r="D106">
        <v>0</v>
      </c>
      <c r="E106">
        <v>0</v>
      </c>
      <c r="F106">
        <v>0</v>
      </c>
      <c r="G106">
        <v>0</v>
      </c>
    </row>
    <row r="107" spans="1:7" x14ac:dyDescent="0.2">
      <c r="A107" t="s">
        <v>1274</v>
      </c>
      <c r="B107">
        <v>0</v>
      </c>
      <c r="C107">
        <v>0</v>
      </c>
      <c r="D107">
        <v>0</v>
      </c>
      <c r="E107">
        <v>2815</v>
      </c>
      <c r="F107">
        <v>39</v>
      </c>
      <c r="G107">
        <v>2854</v>
      </c>
    </row>
    <row r="108" spans="1:7" x14ac:dyDescent="0.2">
      <c r="A108" t="s">
        <v>1277</v>
      </c>
      <c r="B108">
        <v>0</v>
      </c>
      <c r="C108">
        <v>0</v>
      </c>
      <c r="D108">
        <v>0</v>
      </c>
      <c r="E108">
        <v>23233</v>
      </c>
      <c r="F108">
        <v>1144</v>
      </c>
      <c r="G108">
        <v>24377</v>
      </c>
    </row>
    <row r="109" spans="1:7" x14ac:dyDescent="0.2">
      <c r="A109" t="s">
        <v>1798</v>
      </c>
      <c r="B109">
        <v>0</v>
      </c>
      <c r="C109">
        <v>0</v>
      </c>
      <c r="D109">
        <v>0</v>
      </c>
      <c r="E109">
        <v>0</v>
      </c>
      <c r="F109">
        <v>23915</v>
      </c>
      <c r="G109">
        <v>23915</v>
      </c>
    </row>
    <row r="110" spans="1:7" x14ac:dyDescent="0.2">
      <c r="A110" t="s">
        <v>1803</v>
      </c>
      <c r="B110">
        <v>0</v>
      </c>
      <c r="C110">
        <v>0</v>
      </c>
      <c r="D110">
        <v>0</v>
      </c>
      <c r="E110">
        <v>0</v>
      </c>
      <c r="F110">
        <v>1859</v>
      </c>
      <c r="G110">
        <v>1859</v>
      </c>
    </row>
    <row r="111" spans="1:7" x14ac:dyDescent="0.2">
      <c r="A111" t="s">
        <v>1808</v>
      </c>
      <c r="B111">
        <v>0</v>
      </c>
      <c r="C111">
        <v>0</v>
      </c>
      <c r="D111">
        <v>0</v>
      </c>
      <c r="E111">
        <v>0</v>
      </c>
      <c r="F111">
        <v>153</v>
      </c>
      <c r="G111">
        <v>153</v>
      </c>
    </row>
    <row r="112" spans="1:7" x14ac:dyDescent="0.2">
      <c r="A112" t="s">
        <v>1813</v>
      </c>
      <c r="B112">
        <v>0</v>
      </c>
      <c r="C112">
        <v>0</v>
      </c>
      <c r="D112">
        <v>0</v>
      </c>
      <c r="E112">
        <v>0</v>
      </c>
      <c r="F112">
        <v>0</v>
      </c>
      <c r="G112">
        <v>0</v>
      </c>
    </row>
    <row r="113" spans="1:7" x14ac:dyDescent="0.2">
      <c r="A113" t="s">
        <v>1819</v>
      </c>
      <c r="B113">
        <v>0</v>
      </c>
      <c r="C113">
        <v>0</v>
      </c>
      <c r="D113">
        <v>0</v>
      </c>
      <c r="E113">
        <v>433</v>
      </c>
      <c r="F113">
        <v>201</v>
      </c>
      <c r="G113">
        <v>634</v>
      </c>
    </row>
    <row r="114" spans="1:7" x14ac:dyDescent="0.2">
      <c r="A114" t="s">
        <v>1826</v>
      </c>
      <c r="B114">
        <v>0</v>
      </c>
      <c r="C114">
        <v>0</v>
      </c>
      <c r="D114">
        <v>0</v>
      </c>
      <c r="E114">
        <v>0</v>
      </c>
      <c r="F114">
        <v>15260</v>
      </c>
      <c r="G114">
        <v>15260</v>
      </c>
    </row>
    <row r="115" spans="1:7" x14ac:dyDescent="0.2">
      <c r="A115" t="s">
        <v>1830</v>
      </c>
      <c r="B115">
        <v>0</v>
      </c>
      <c r="C115">
        <v>0</v>
      </c>
      <c r="D115">
        <v>0</v>
      </c>
      <c r="E115">
        <v>0</v>
      </c>
      <c r="F115">
        <v>1956</v>
      </c>
      <c r="G115">
        <v>1956</v>
      </c>
    </row>
    <row r="116" spans="1:7" x14ac:dyDescent="0.2">
      <c r="A116" t="s">
        <v>1836</v>
      </c>
      <c r="B116">
        <v>0</v>
      </c>
      <c r="C116">
        <v>0</v>
      </c>
      <c r="D116">
        <v>0</v>
      </c>
      <c r="E116">
        <v>0</v>
      </c>
      <c r="F116">
        <v>0</v>
      </c>
      <c r="G116">
        <v>0</v>
      </c>
    </row>
    <row r="117" spans="1:7" x14ac:dyDescent="0.2">
      <c r="A117" t="s">
        <v>1841</v>
      </c>
      <c r="B117">
        <v>0</v>
      </c>
      <c r="C117">
        <v>0</v>
      </c>
      <c r="D117">
        <v>289</v>
      </c>
      <c r="E117">
        <v>2518</v>
      </c>
      <c r="F117">
        <v>65</v>
      </c>
      <c r="G117">
        <v>2872</v>
      </c>
    </row>
    <row r="118" spans="1:7" x14ac:dyDescent="0.2">
      <c r="A118" t="s">
        <v>1842</v>
      </c>
      <c r="B118">
        <v>0</v>
      </c>
      <c r="C118">
        <v>1224</v>
      </c>
      <c r="D118">
        <v>2718</v>
      </c>
      <c r="E118">
        <v>5873</v>
      </c>
      <c r="F118">
        <v>0</v>
      </c>
      <c r="G118">
        <v>9815</v>
      </c>
    </row>
    <row r="119" spans="1:7" x14ac:dyDescent="0.2">
      <c r="A119" t="s">
        <v>1843</v>
      </c>
      <c r="B119">
        <v>0</v>
      </c>
      <c r="C119">
        <v>0</v>
      </c>
      <c r="D119">
        <v>0</v>
      </c>
      <c r="E119">
        <v>0</v>
      </c>
      <c r="F119">
        <v>5713</v>
      </c>
      <c r="G119">
        <v>5713</v>
      </c>
    </row>
    <row r="120" spans="1:7" x14ac:dyDescent="0.2">
      <c r="A120" t="s">
        <v>1846</v>
      </c>
      <c r="B120">
        <v>0</v>
      </c>
      <c r="C120">
        <v>0</v>
      </c>
      <c r="D120">
        <v>0</v>
      </c>
      <c r="E120">
        <v>0</v>
      </c>
      <c r="F120">
        <v>0</v>
      </c>
      <c r="G120">
        <v>0</v>
      </c>
    </row>
    <row r="121" spans="1:7" x14ac:dyDescent="0.2">
      <c r="A121" t="s">
        <v>1851</v>
      </c>
      <c r="B121">
        <v>0</v>
      </c>
      <c r="C121">
        <v>0</v>
      </c>
      <c r="D121">
        <v>0</v>
      </c>
      <c r="E121">
        <v>4640</v>
      </c>
      <c r="F121">
        <v>996</v>
      </c>
      <c r="G121">
        <v>5636</v>
      </c>
    </row>
    <row r="122" spans="1:7" x14ac:dyDescent="0.2">
      <c r="A122" t="s">
        <v>1857</v>
      </c>
      <c r="B122">
        <v>0</v>
      </c>
      <c r="C122">
        <v>0</v>
      </c>
      <c r="D122">
        <v>0</v>
      </c>
      <c r="E122">
        <v>0</v>
      </c>
      <c r="F122">
        <v>0</v>
      </c>
      <c r="G122">
        <v>0</v>
      </c>
    </row>
    <row r="123" spans="1:7" x14ac:dyDescent="0.2">
      <c r="A123" t="s">
        <v>1862</v>
      </c>
      <c r="B123">
        <v>0</v>
      </c>
      <c r="C123">
        <v>0</v>
      </c>
      <c r="D123">
        <v>0</v>
      </c>
      <c r="E123">
        <v>15418</v>
      </c>
      <c r="F123">
        <v>7848</v>
      </c>
      <c r="G123">
        <v>23266</v>
      </c>
    </row>
    <row r="124" spans="1:7" x14ac:dyDescent="0.2">
      <c r="A124" t="s">
        <v>1867</v>
      </c>
      <c r="B124">
        <v>0</v>
      </c>
      <c r="C124">
        <v>0</v>
      </c>
      <c r="D124">
        <v>0</v>
      </c>
      <c r="E124">
        <v>0</v>
      </c>
      <c r="F124">
        <v>202</v>
      </c>
      <c r="G124">
        <v>202</v>
      </c>
    </row>
    <row r="125" spans="1:7" x14ac:dyDescent="0.2">
      <c r="A125" t="s">
        <v>1870</v>
      </c>
      <c r="B125">
        <v>0</v>
      </c>
      <c r="C125">
        <v>0</v>
      </c>
      <c r="D125">
        <v>0</v>
      </c>
      <c r="E125">
        <v>0</v>
      </c>
      <c r="F125">
        <v>0</v>
      </c>
      <c r="G125">
        <v>0</v>
      </c>
    </row>
    <row r="126" spans="1:7" x14ac:dyDescent="0.2">
      <c r="A126" t="s">
        <v>1874</v>
      </c>
      <c r="B126">
        <v>0</v>
      </c>
      <c r="C126">
        <v>0</v>
      </c>
      <c r="D126">
        <v>249</v>
      </c>
      <c r="E126">
        <v>2752</v>
      </c>
      <c r="F126">
        <v>0</v>
      </c>
      <c r="G126">
        <v>3001</v>
      </c>
    </row>
    <row r="127" spans="1:7" x14ac:dyDescent="0.2">
      <c r="A127" t="s">
        <v>1876</v>
      </c>
      <c r="B127">
        <v>0</v>
      </c>
      <c r="C127">
        <v>0</v>
      </c>
      <c r="D127">
        <v>0</v>
      </c>
      <c r="E127">
        <v>0</v>
      </c>
      <c r="F127">
        <v>631</v>
      </c>
      <c r="G127">
        <v>631</v>
      </c>
    </row>
    <row r="128" spans="1:7" x14ac:dyDescent="0.2">
      <c r="A128" t="s">
        <v>1881</v>
      </c>
      <c r="B128">
        <v>0</v>
      </c>
      <c r="C128">
        <v>0</v>
      </c>
      <c r="D128">
        <v>0</v>
      </c>
      <c r="E128">
        <v>0</v>
      </c>
      <c r="F128">
        <v>1475</v>
      </c>
      <c r="G128">
        <v>1475</v>
      </c>
    </row>
    <row r="129" spans="1:7" x14ac:dyDescent="0.2">
      <c r="A129" t="s">
        <v>1885</v>
      </c>
      <c r="B129">
        <v>3260</v>
      </c>
      <c r="C129">
        <v>3658</v>
      </c>
      <c r="D129">
        <v>5339</v>
      </c>
      <c r="E129">
        <v>11837</v>
      </c>
      <c r="F129">
        <v>567</v>
      </c>
      <c r="G129">
        <v>24661</v>
      </c>
    </row>
    <row r="130" spans="1:7" x14ac:dyDescent="0.2">
      <c r="A130" t="s">
        <v>1887</v>
      </c>
      <c r="B130">
        <v>0</v>
      </c>
      <c r="C130">
        <v>0</v>
      </c>
      <c r="D130">
        <v>0</v>
      </c>
      <c r="E130">
        <v>37</v>
      </c>
      <c r="F130">
        <v>289</v>
      </c>
      <c r="G130">
        <v>326</v>
      </c>
    </row>
    <row r="131" spans="1:7" x14ac:dyDescent="0.2">
      <c r="A131" t="s">
        <v>1893</v>
      </c>
      <c r="B131">
        <v>0</v>
      </c>
      <c r="C131">
        <v>0</v>
      </c>
      <c r="D131">
        <v>0</v>
      </c>
      <c r="E131">
        <v>2037</v>
      </c>
      <c r="F131">
        <v>567</v>
      </c>
      <c r="G131">
        <v>2605</v>
      </c>
    </row>
    <row r="132" spans="1:7" x14ac:dyDescent="0.2">
      <c r="A132" t="s">
        <v>1899</v>
      </c>
      <c r="B132">
        <v>0</v>
      </c>
      <c r="C132">
        <v>0</v>
      </c>
      <c r="D132">
        <v>0</v>
      </c>
      <c r="E132">
        <v>0</v>
      </c>
      <c r="F132">
        <v>0</v>
      </c>
      <c r="G132">
        <v>0</v>
      </c>
    </row>
    <row r="133" spans="1:7" x14ac:dyDescent="0.2">
      <c r="A133" t="s">
        <v>1906</v>
      </c>
      <c r="B133">
        <v>0</v>
      </c>
      <c r="C133">
        <v>0</v>
      </c>
      <c r="D133">
        <v>0</v>
      </c>
      <c r="E133">
        <v>2527</v>
      </c>
      <c r="F133">
        <v>30</v>
      </c>
      <c r="G133">
        <v>2557</v>
      </c>
    </row>
    <row r="134" spans="1:7" x14ac:dyDescent="0.2">
      <c r="A134" t="s">
        <v>1911</v>
      </c>
      <c r="B134">
        <v>0</v>
      </c>
      <c r="C134">
        <v>0</v>
      </c>
      <c r="D134">
        <v>0</v>
      </c>
      <c r="E134">
        <v>0</v>
      </c>
      <c r="F134">
        <v>0</v>
      </c>
      <c r="G134">
        <v>0</v>
      </c>
    </row>
    <row r="135" spans="1:7" x14ac:dyDescent="0.2">
      <c r="A135" t="s">
        <v>1917</v>
      </c>
      <c r="B135">
        <v>0</v>
      </c>
      <c r="C135">
        <v>0</v>
      </c>
      <c r="D135">
        <v>0</v>
      </c>
      <c r="E135">
        <v>1482</v>
      </c>
      <c r="F135">
        <v>2249</v>
      </c>
      <c r="G135">
        <v>3731</v>
      </c>
    </row>
    <row r="136" spans="1:7" x14ac:dyDescent="0.2">
      <c r="A136" t="s">
        <v>1922</v>
      </c>
      <c r="B136">
        <v>0</v>
      </c>
      <c r="C136">
        <v>0</v>
      </c>
      <c r="D136">
        <v>0</v>
      </c>
      <c r="E136">
        <v>2358</v>
      </c>
      <c r="F136">
        <v>1039</v>
      </c>
      <c r="G136">
        <v>3397</v>
      </c>
    </row>
    <row r="137" spans="1:7" x14ac:dyDescent="0.2">
      <c r="A137" t="s">
        <v>1928</v>
      </c>
      <c r="B137">
        <v>0</v>
      </c>
      <c r="C137">
        <v>0</v>
      </c>
      <c r="D137">
        <v>0</v>
      </c>
      <c r="E137">
        <v>0</v>
      </c>
      <c r="F137">
        <v>20911</v>
      </c>
      <c r="G137">
        <v>20911</v>
      </c>
    </row>
    <row r="138" spans="1:7" x14ac:dyDescent="0.2">
      <c r="A138" t="s">
        <v>1932</v>
      </c>
      <c r="B138">
        <v>0</v>
      </c>
      <c r="C138">
        <v>0</v>
      </c>
      <c r="D138">
        <v>0</v>
      </c>
      <c r="E138">
        <v>0</v>
      </c>
      <c r="F138">
        <v>2152</v>
      </c>
      <c r="G138">
        <v>2152</v>
      </c>
    </row>
    <row r="139" spans="1:7" x14ac:dyDescent="0.2">
      <c r="A139" t="s">
        <v>1938</v>
      </c>
      <c r="B139">
        <v>0</v>
      </c>
      <c r="C139">
        <v>0</v>
      </c>
      <c r="D139">
        <v>0</v>
      </c>
      <c r="E139">
        <v>0</v>
      </c>
      <c r="F139">
        <v>454</v>
      </c>
      <c r="G139">
        <v>454</v>
      </c>
    </row>
    <row r="140" spans="1:7" x14ac:dyDescent="0.2">
      <c r="A140" t="s">
        <v>1944</v>
      </c>
      <c r="B140">
        <v>7</v>
      </c>
      <c r="C140">
        <v>337</v>
      </c>
      <c r="D140">
        <v>1163</v>
      </c>
      <c r="E140">
        <v>2960</v>
      </c>
      <c r="F140">
        <v>93</v>
      </c>
      <c r="G140">
        <v>4560</v>
      </c>
    </row>
    <row r="141" spans="1:7" x14ac:dyDescent="0.2">
      <c r="A141" t="s">
        <v>1947</v>
      </c>
      <c r="B141">
        <v>0</v>
      </c>
      <c r="C141">
        <v>0</v>
      </c>
      <c r="D141">
        <v>0</v>
      </c>
      <c r="E141">
        <v>0</v>
      </c>
      <c r="F141">
        <v>88</v>
      </c>
      <c r="G141">
        <v>88</v>
      </c>
    </row>
    <row r="142" spans="1:7" x14ac:dyDescent="0.2">
      <c r="A142" t="s">
        <v>1953</v>
      </c>
      <c r="B142">
        <v>0</v>
      </c>
      <c r="C142">
        <v>0</v>
      </c>
      <c r="D142">
        <v>0</v>
      </c>
      <c r="E142">
        <v>62</v>
      </c>
      <c r="F142">
        <v>200</v>
      </c>
      <c r="G142">
        <v>262</v>
      </c>
    </row>
    <row r="143" spans="1:7" x14ac:dyDescent="0.2">
      <c r="A143" t="s">
        <v>1958</v>
      </c>
      <c r="B143">
        <v>0</v>
      </c>
      <c r="C143">
        <v>0</v>
      </c>
      <c r="D143">
        <v>0</v>
      </c>
      <c r="E143">
        <v>0</v>
      </c>
      <c r="F143">
        <v>0</v>
      </c>
      <c r="G143">
        <v>0</v>
      </c>
    </row>
    <row r="144" spans="1:7" x14ac:dyDescent="0.2">
      <c r="A144" t="s">
        <v>1964</v>
      </c>
      <c r="B144">
        <v>0</v>
      </c>
      <c r="C144">
        <v>0</v>
      </c>
      <c r="D144">
        <v>0</v>
      </c>
      <c r="E144">
        <v>17</v>
      </c>
      <c r="F144">
        <v>145</v>
      </c>
      <c r="G144">
        <v>162</v>
      </c>
    </row>
    <row r="145" spans="1:7" x14ac:dyDescent="0.2">
      <c r="A145" t="s">
        <v>1973</v>
      </c>
      <c r="B145">
        <v>0</v>
      </c>
      <c r="C145">
        <v>0</v>
      </c>
      <c r="D145">
        <v>0</v>
      </c>
      <c r="E145">
        <v>0</v>
      </c>
      <c r="F145">
        <v>5803</v>
      </c>
      <c r="G145">
        <v>5803</v>
      </c>
    </row>
    <row r="146" spans="1:7" x14ac:dyDescent="0.2">
      <c r="A146" t="s">
        <v>1978</v>
      </c>
      <c r="B146">
        <v>0</v>
      </c>
      <c r="C146">
        <v>0</v>
      </c>
      <c r="D146">
        <v>0</v>
      </c>
      <c r="E146">
        <v>0</v>
      </c>
      <c r="F146">
        <v>3649</v>
      </c>
      <c r="G146">
        <v>3649</v>
      </c>
    </row>
    <row r="147" spans="1:7" x14ac:dyDescent="0.2">
      <c r="A147" t="s">
        <v>1983</v>
      </c>
      <c r="B147">
        <v>290</v>
      </c>
      <c r="C147">
        <v>22</v>
      </c>
      <c r="D147">
        <v>50</v>
      </c>
      <c r="E147">
        <v>325</v>
      </c>
      <c r="F147">
        <v>71</v>
      </c>
      <c r="G147">
        <v>758</v>
      </c>
    </row>
    <row r="148" spans="1:7" x14ac:dyDescent="0.2">
      <c r="A148" t="s">
        <v>1984</v>
      </c>
      <c r="B148">
        <v>0</v>
      </c>
      <c r="C148">
        <v>0</v>
      </c>
      <c r="D148">
        <v>0</v>
      </c>
      <c r="E148">
        <v>0</v>
      </c>
      <c r="F148">
        <v>0</v>
      </c>
      <c r="G148">
        <v>0</v>
      </c>
    </row>
    <row r="149" spans="1:7" x14ac:dyDescent="0.2">
      <c r="A149" t="s">
        <v>1990</v>
      </c>
      <c r="B149">
        <v>0</v>
      </c>
      <c r="C149">
        <v>0</v>
      </c>
      <c r="D149">
        <v>0</v>
      </c>
      <c r="E149">
        <v>83</v>
      </c>
      <c r="F149">
        <v>131</v>
      </c>
      <c r="G149">
        <v>213</v>
      </c>
    </row>
    <row r="150" spans="1:7" x14ac:dyDescent="0.2">
      <c r="A150" t="s">
        <v>1996</v>
      </c>
      <c r="B150">
        <v>0</v>
      </c>
      <c r="C150">
        <v>0</v>
      </c>
      <c r="D150">
        <v>0</v>
      </c>
      <c r="E150">
        <v>0</v>
      </c>
      <c r="F150">
        <v>0</v>
      </c>
      <c r="G150">
        <v>0</v>
      </c>
    </row>
    <row r="151" spans="1:7" x14ac:dyDescent="0.2">
      <c r="A151" t="s">
        <v>1998</v>
      </c>
      <c r="B151">
        <v>0</v>
      </c>
      <c r="C151">
        <v>0</v>
      </c>
      <c r="D151">
        <v>0</v>
      </c>
      <c r="E151">
        <v>0</v>
      </c>
      <c r="F151">
        <v>0</v>
      </c>
      <c r="G151">
        <v>0</v>
      </c>
    </row>
    <row r="152" spans="1:7" x14ac:dyDescent="0.2">
      <c r="A152" t="s">
        <v>1999</v>
      </c>
      <c r="B152">
        <v>0</v>
      </c>
      <c r="C152">
        <v>0</v>
      </c>
      <c r="D152">
        <v>0</v>
      </c>
      <c r="E152">
        <v>0</v>
      </c>
      <c r="F152">
        <v>551</v>
      </c>
      <c r="G152">
        <v>551</v>
      </c>
    </row>
    <row r="153" spans="1:7" x14ac:dyDescent="0.2">
      <c r="A153" t="s">
        <v>2004</v>
      </c>
      <c r="B153">
        <v>0</v>
      </c>
      <c r="C153">
        <v>0</v>
      </c>
      <c r="D153">
        <v>0</v>
      </c>
      <c r="E153">
        <v>474</v>
      </c>
      <c r="F153">
        <v>662</v>
      </c>
      <c r="G153">
        <v>1136</v>
      </c>
    </row>
    <row r="154" spans="1:7" x14ac:dyDescent="0.2">
      <c r="A154" t="s">
        <v>2009</v>
      </c>
      <c r="B154">
        <v>0</v>
      </c>
      <c r="C154">
        <v>0</v>
      </c>
      <c r="D154">
        <v>0</v>
      </c>
      <c r="E154">
        <v>0</v>
      </c>
      <c r="F154">
        <v>0</v>
      </c>
      <c r="G154">
        <v>0</v>
      </c>
    </row>
    <row r="155" spans="1:7" x14ac:dyDescent="0.2">
      <c r="A155" t="s">
        <v>2014</v>
      </c>
      <c r="B155">
        <v>0</v>
      </c>
      <c r="C155">
        <v>0</v>
      </c>
      <c r="D155">
        <v>0</v>
      </c>
      <c r="E155">
        <v>21704</v>
      </c>
      <c r="F155">
        <v>12150</v>
      </c>
      <c r="G155">
        <v>33855</v>
      </c>
    </row>
    <row r="156" spans="1:7" x14ac:dyDescent="0.2">
      <c r="A156" t="s">
        <v>2019</v>
      </c>
      <c r="B156">
        <v>0</v>
      </c>
      <c r="C156">
        <v>0</v>
      </c>
      <c r="D156">
        <v>0</v>
      </c>
      <c r="E156">
        <v>0</v>
      </c>
      <c r="F156">
        <v>0</v>
      </c>
      <c r="G156">
        <v>0</v>
      </c>
    </row>
    <row r="157" spans="1:7" x14ac:dyDescent="0.2">
      <c r="A157" t="s">
        <v>2023</v>
      </c>
      <c r="B157">
        <v>0</v>
      </c>
      <c r="C157">
        <v>0</v>
      </c>
      <c r="D157">
        <v>0</v>
      </c>
      <c r="E157">
        <v>0</v>
      </c>
      <c r="F157">
        <v>114</v>
      </c>
      <c r="G157">
        <v>114</v>
      </c>
    </row>
    <row r="158" spans="1:7" x14ac:dyDescent="0.2">
      <c r="A158" t="s">
        <v>2026</v>
      </c>
      <c r="B158">
        <v>0</v>
      </c>
      <c r="C158">
        <v>0</v>
      </c>
      <c r="D158">
        <v>0</v>
      </c>
      <c r="E158">
        <v>0</v>
      </c>
      <c r="F158">
        <v>2423</v>
      </c>
      <c r="G158">
        <v>2423</v>
      </c>
    </row>
    <row r="159" spans="1:7" x14ac:dyDescent="0.2">
      <c r="A159" t="s">
        <v>2030</v>
      </c>
      <c r="B159">
        <v>0</v>
      </c>
      <c r="C159">
        <v>0</v>
      </c>
      <c r="D159">
        <v>0</v>
      </c>
      <c r="E159">
        <v>0</v>
      </c>
      <c r="F159">
        <v>1</v>
      </c>
      <c r="G159">
        <v>1</v>
      </c>
    </row>
    <row r="160" spans="1:7" x14ac:dyDescent="0.2">
      <c r="A160" t="s">
        <v>2035</v>
      </c>
      <c r="B160">
        <v>0</v>
      </c>
      <c r="C160">
        <v>0</v>
      </c>
      <c r="D160">
        <v>0</v>
      </c>
      <c r="E160">
        <v>0</v>
      </c>
      <c r="F160">
        <v>0</v>
      </c>
      <c r="G160">
        <v>0</v>
      </c>
    </row>
    <row r="161" spans="1:7" x14ac:dyDescent="0.2">
      <c r="A161" t="s">
        <v>2040</v>
      </c>
      <c r="B161">
        <v>0</v>
      </c>
      <c r="C161">
        <v>0</v>
      </c>
      <c r="D161">
        <v>0</v>
      </c>
      <c r="E161">
        <v>0</v>
      </c>
      <c r="F161">
        <v>1730</v>
      </c>
      <c r="G161">
        <v>1730</v>
      </c>
    </row>
    <row r="162" spans="1:7" x14ac:dyDescent="0.2">
      <c r="A162" t="s">
        <v>2045</v>
      </c>
      <c r="B162">
        <v>0</v>
      </c>
      <c r="C162">
        <v>0</v>
      </c>
      <c r="D162">
        <v>0</v>
      </c>
      <c r="E162">
        <v>0</v>
      </c>
      <c r="F162">
        <v>5</v>
      </c>
      <c r="G162">
        <v>5</v>
      </c>
    </row>
    <row r="163" spans="1:7" x14ac:dyDescent="0.2">
      <c r="A163" t="s">
        <v>2049</v>
      </c>
      <c r="B163">
        <v>0</v>
      </c>
      <c r="C163">
        <v>0</v>
      </c>
      <c r="D163">
        <v>1981</v>
      </c>
      <c r="E163">
        <v>4837</v>
      </c>
      <c r="F163">
        <v>803</v>
      </c>
      <c r="G163">
        <v>7621</v>
      </c>
    </row>
    <row r="164" spans="1:7" x14ac:dyDescent="0.2">
      <c r="A164" t="s">
        <v>2051</v>
      </c>
      <c r="B164">
        <v>0</v>
      </c>
      <c r="C164">
        <v>0</v>
      </c>
      <c r="D164">
        <v>0</v>
      </c>
      <c r="E164">
        <v>0</v>
      </c>
      <c r="F164">
        <v>1341</v>
      </c>
      <c r="G164">
        <v>1341</v>
      </c>
    </row>
    <row r="165" spans="1:7" x14ac:dyDescent="0.2">
      <c r="A165" t="s">
        <v>2057</v>
      </c>
      <c r="B165">
        <v>0</v>
      </c>
      <c r="C165">
        <v>0</v>
      </c>
      <c r="D165">
        <v>0</v>
      </c>
      <c r="E165">
        <v>80</v>
      </c>
      <c r="F165">
        <v>2193</v>
      </c>
      <c r="G165">
        <v>2274</v>
      </c>
    </row>
    <row r="166" spans="1:7" x14ac:dyDescent="0.2">
      <c r="A166" t="s">
        <v>4344</v>
      </c>
      <c r="B166">
        <v>0</v>
      </c>
      <c r="C166">
        <v>0</v>
      </c>
      <c r="D166">
        <v>0</v>
      </c>
      <c r="E166">
        <v>1267</v>
      </c>
      <c r="F166">
        <v>40</v>
      </c>
      <c r="G166">
        <v>1307</v>
      </c>
    </row>
    <row r="167" spans="1:7" x14ac:dyDescent="0.2">
      <c r="A167" t="s">
        <v>4345</v>
      </c>
      <c r="B167">
        <v>0</v>
      </c>
      <c r="C167">
        <v>0</v>
      </c>
      <c r="D167">
        <v>0</v>
      </c>
      <c r="E167">
        <v>4943</v>
      </c>
      <c r="F167">
        <v>1037</v>
      </c>
      <c r="G167">
        <v>5981</v>
      </c>
    </row>
    <row r="168" spans="1:7" x14ac:dyDescent="0.2">
      <c r="A168" t="s">
        <v>2074</v>
      </c>
      <c r="B168">
        <v>0</v>
      </c>
      <c r="C168">
        <v>0</v>
      </c>
      <c r="D168">
        <v>0</v>
      </c>
      <c r="E168">
        <v>1259</v>
      </c>
      <c r="F168">
        <v>0</v>
      </c>
      <c r="G168">
        <v>1259</v>
      </c>
    </row>
    <row r="169" spans="1:7" x14ac:dyDescent="0.2">
      <c r="A169" t="s">
        <v>2079</v>
      </c>
      <c r="B169">
        <v>0</v>
      </c>
      <c r="C169">
        <v>0</v>
      </c>
      <c r="D169">
        <v>0</v>
      </c>
      <c r="E169">
        <v>3536</v>
      </c>
      <c r="F169">
        <v>380</v>
      </c>
      <c r="G169">
        <v>3915</v>
      </c>
    </row>
    <row r="170" spans="1:7" x14ac:dyDescent="0.2">
      <c r="A170" t="s">
        <v>2085</v>
      </c>
      <c r="B170">
        <v>0</v>
      </c>
      <c r="C170">
        <v>0</v>
      </c>
      <c r="D170">
        <v>0</v>
      </c>
      <c r="E170">
        <v>5</v>
      </c>
      <c r="F170">
        <v>2</v>
      </c>
      <c r="G170">
        <v>8</v>
      </c>
    </row>
    <row r="171" spans="1:7" x14ac:dyDescent="0.2">
      <c r="A171" t="s">
        <v>2091</v>
      </c>
      <c r="B171">
        <v>0</v>
      </c>
      <c r="C171">
        <v>0</v>
      </c>
      <c r="D171">
        <v>0</v>
      </c>
      <c r="E171">
        <v>1362</v>
      </c>
      <c r="F171">
        <v>836</v>
      </c>
      <c r="G171">
        <v>2198</v>
      </c>
    </row>
    <row r="172" spans="1:7" x14ac:dyDescent="0.2">
      <c r="A172" t="s">
        <v>2097</v>
      </c>
      <c r="B172">
        <v>0</v>
      </c>
      <c r="C172">
        <v>0</v>
      </c>
      <c r="D172">
        <v>0</v>
      </c>
      <c r="E172">
        <v>0</v>
      </c>
      <c r="F172">
        <v>1465</v>
      </c>
      <c r="G172">
        <v>1465</v>
      </c>
    </row>
    <row r="173" spans="1:7" x14ac:dyDescent="0.2">
      <c r="A173" t="s">
        <v>2101</v>
      </c>
      <c r="B173">
        <v>0</v>
      </c>
      <c r="C173">
        <v>0</v>
      </c>
      <c r="D173">
        <v>0</v>
      </c>
      <c r="E173">
        <v>0</v>
      </c>
      <c r="F173">
        <v>1200</v>
      </c>
      <c r="G173">
        <v>1200</v>
      </c>
    </row>
    <row r="174" spans="1:7" x14ac:dyDescent="0.2">
      <c r="A174" t="s">
        <v>2104</v>
      </c>
      <c r="B174">
        <v>0</v>
      </c>
      <c r="C174">
        <v>0</v>
      </c>
      <c r="D174">
        <v>0</v>
      </c>
      <c r="E174">
        <v>0</v>
      </c>
      <c r="F174">
        <v>0</v>
      </c>
      <c r="G174">
        <v>0</v>
      </c>
    </row>
    <row r="175" spans="1:7" x14ac:dyDescent="0.2">
      <c r="A175" t="s">
        <v>2107</v>
      </c>
      <c r="B175">
        <v>0</v>
      </c>
      <c r="C175">
        <v>0</v>
      </c>
      <c r="D175">
        <v>0</v>
      </c>
      <c r="E175">
        <v>0</v>
      </c>
      <c r="F175">
        <v>1939</v>
      </c>
      <c r="G175">
        <v>1939</v>
      </c>
    </row>
    <row r="176" spans="1:7" x14ac:dyDescent="0.2">
      <c r="A176" t="s">
        <v>2110</v>
      </c>
      <c r="B176">
        <v>0</v>
      </c>
      <c r="C176">
        <v>0</v>
      </c>
      <c r="D176">
        <v>0</v>
      </c>
      <c r="E176">
        <v>0</v>
      </c>
      <c r="F176">
        <v>0</v>
      </c>
      <c r="G176">
        <v>0</v>
      </c>
    </row>
    <row r="177" spans="1:7" x14ac:dyDescent="0.2">
      <c r="A177" t="s">
        <v>2113</v>
      </c>
      <c r="B177">
        <v>0</v>
      </c>
      <c r="C177">
        <v>0</v>
      </c>
      <c r="D177">
        <v>0</v>
      </c>
      <c r="E177">
        <v>0</v>
      </c>
      <c r="F177">
        <v>0</v>
      </c>
      <c r="G177">
        <v>0</v>
      </c>
    </row>
    <row r="178" spans="1:7" x14ac:dyDescent="0.2">
      <c r="A178" t="s">
        <v>4346</v>
      </c>
      <c r="B178">
        <v>0</v>
      </c>
      <c r="C178">
        <v>0</v>
      </c>
      <c r="D178">
        <v>0</v>
      </c>
      <c r="E178">
        <v>0</v>
      </c>
      <c r="F178">
        <v>1032</v>
      </c>
      <c r="G178">
        <v>1032</v>
      </c>
    </row>
    <row r="179" spans="1:7" x14ac:dyDescent="0.2">
      <c r="A179" t="s">
        <v>4347</v>
      </c>
      <c r="B179">
        <v>0</v>
      </c>
      <c r="C179">
        <v>0</v>
      </c>
      <c r="D179">
        <v>0</v>
      </c>
      <c r="E179">
        <v>0</v>
      </c>
      <c r="F179">
        <v>962</v>
      </c>
      <c r="G179">
        <v>962</v>
      </c>
    </row>
    <row r="180" spans="1:7" x14ac:dyDescent="0.2">
      <c r="A180" t="s">
        <v>4348</v>
      </c>
      <c r="B180">
        <v>0</v>
      </c>
      <c r="C180">
        <v>0</v>
      </c>
      <c r="D180">
        <v>0</v>
      </c>
      <c r="E180">
        <v>0</v>
      </c>
      <c r="F180">
        <v>0</v>
      </c>
      <c r="G180">
        <v>0</v>
      </c>
    </row>
    <row r="181" spans="1:7" x14ac:dyDescent="0.2">
      <c r="A181" t="s">
        <v>4349</v>
      </c>
      <c r="B181">
        <v>0</v>
      </c>
      <c r="C181">
        <v>0</v>
      </c>
      <c r="D181">
        <v>0</v>
      </c>
      <c r="E181">
        <v>0</v>
      </c>
      <c r="F181">
        <v>0</v>
      </c>
      <c r="G181">
        <v>0</v>
      </c>
    </row>
    <row r="182" spans="1:7" x14ac:dyDescent="0.2">
      <c r="A182" t="s">
        <v>4350</v>
      </c>
      <c r="B182">
        <v>0</v>
      </c>
      <c r="C182">
        <v>15463</v>
      </c>
      <c r="D182">
        <v>63281</v>
      </c>
      <c r="E182">
        <v>1499</v>
      </c>
      <c r="F182">
        <v>0</v>
      </c>
      <c r="G182">
        <v>80243</v>
      </c>
    </row>
    <row r="183" spans="1:7" x14ac:dyDescent="0.2">
      <c r="A183" t="s">
        <v>4351</v>
      </c>
      <c r="B183">
        <v>0</v>
      </c>
      <c r="C183">
        <v>0</v>
      </c>
      <c r="D183">
        <v>0</v>
      </c>
      <c r="E183">
        <v>0</v>
      </c>
      <c r="F183">
        <v>0</v>
      </c>
      <c r="G183">
        <v>0</v>
      </c>
    </row>
    <row r="184" spans="1:7" x14ac:dyDescent="0.2">
      <c r="A184" t="s">
        <v>4352</v>
      </c>
      <c r="B184">
        <v>0</v>
      </c>
      <c r="C184">
        <v>0</v>
      </c>
      <c r="D184">
        <v>0</v>
      </c>
      <c r="E184">
        <v>0</v>
      </c>
      <c r="F184">
        <v>0</v>
      </c>
      <c r="G184">
        <v>0</v>
      </c>
    </row>
    <row r="185" spans="1:7" x14ac:dyDescent="0.2">
      <c r="A185" t="s">
        <v>4353</v>
      </c>
      <c r="B185">
        <v>25</v>
      </c>
      <c r="C185">
        <v>4081</v>
      </c>
      <c r="D185">
        <v>1677</v>
      </c>
      <c r="E185">
        <v>2</v>
      </c>
      <c r="F185">
        <v>0</v>
      </c>
      <c r="G185">
        <v>5785</v>
      </c>
    </row>
    <row r="186" spans="1:7" x14ac:dyDescent="0.2">
      <c r="A186" t="s">
        <v>4354</v>
      </c>
      <c r="B186">
        <v>134</v>
      </c>
      <c r="C186">
        <v>2244</v>
      </c>
      <c r="D186">
        <v>768</v>
      </c>
      <c r="E186">
        <v>0</v>
      </c>
      <c r="F186">
        <v>0</v>
      </c>
      <c r="G186">
        <v>3145</v>
      </c>
    </row>
    <row r="187" spans="1:7" x14ac:dyDescent="0.2">
      <c r="A187" t="s">
        <v>4355</v>
      </c>
      <c r="B187">
        <v>0</v>
      </c>
      <c r="C187">
        <v>0</v>
      </c>
      <c r="D187">
        <v>0</v>
      </c>
      <c r="E187">
        <v>0</v>
      </c>
      <c r="F187">
        <v>0</v>
      </c>
      <c r="G187">
        <v>0</v>
      </c>
    </row>
    <row r="188" spans="1:7" x14ac:dyDescent="0.2">
      <c r="A188" t="s">
        <v>4356</v>
      </c>
      <c r="B188">
        <v>0</v>
      </c>
      <c r="C188">
        <v>0</v>
      </c>
      <c r="D188">
        <v>0</v>
      </c>
      <c r="E188">
        <v>0</v>
      </c>
      <c r="F188">
        <v>0</v>
      </c>
      <c r="G188">
        <v>0</v>
      </c>
    </row>
    <row r="189" spans="1:7" x14ac:dyDescent="0.2">
      <c r="A189" t="s">
        <v>4357</v>
      </c>
      <c r="B189">
        <v>113</v>
      </c>
      <c r="C189">
        <v>8960</v>
      </c>
      <c r="D189">
        <v>6097</v>
      </c>
      <c r="E189">
        <v>0</v>
      </c>
      <c r="F189">
        <v>0</v>
      </c>
      <c r="G189">
        <v>15171</v>
      </c>
    </row>
    <row r="190" spans="1:7" x14ac:dyDescent="0.2">
      <c r="A190" t="s">
        <v>4358</v>
      </c>
      <c r="B190">
        <v>0</v>
      </c>
      <c r="C190">
        <v>0</v>
      </c>
      <c r="D190">
        <v>0</v>
      </c>
      <c r="E190">
        <v>0</v>
      </c>
      <c r="F190">
        <v>0</v>
      </c>
      <c r="G190">
        <v>0</v>
      </c>
    </row>
    <row r="191" spans="1:7" x14ac:dyDescent="0.2">
      <c r="A191" t="s">
        <v>4359</v>
      </c>
      <c r="B191">
        <v>0</v>
      </c>
      <c r="C191">
        <v>0</v>
      </c>
      <c r="D191">
        <v>0</v>
      </c>
      <c r="E191">
        <v>0</v>
      </c>
      <c r="F191">
        <v>0</v>
      </c>
      <c r="G191">
        <v>0</v>
      </c>
    </row>
    <row r="192" spans="1:7" x14ac:dyDescent="0.2">
      <c r="A192" t="s">
        <v>4360</v>
      </c>
      <c r="B192">
        <v>2</v>
      </c>
      <c r="C192">
        <v>4</v>
      </c>
      <c r="D192">
        <v>267</v>
      </c>
      <c r="E192">
        <v>106</v>
      </c>
      <c r="F192">
        <v>0</v>
      </c>
      <c r="G192">
        <v>379</v>
      </c>
    </row>
    <row r="193" spans="1:7" x14ac:dyDescent="0.2">
      <c r="A193" t="s">
        <v>4361</v>
      </c>
      <c r="B193">
        <v>0</v>
      </c>
      <c r="C193">
        <v>0</v>
      </c>
      <c r="D193">
        <v>0</v>
      </c>
      <c r="E193">
        <v>0</v>
      </c>
      <c r="F193">
        <v>0</v>
      </c>
      <c r="G193">
        <v>0</v>
      </c>
    </row>
    <row r="194" spans="1:7" x14ac:dyDescent="0.2">
      <c r="A194" t="s">
        <v>4362</v>
      </c>
      <c r="B194">
        <v>0</v>
      </c>
      <c r="C194">
        <v>0</v>
      </c>
      <c r="D194">
        <v>0</v>
      </c>
      <c r="E194">
        <v>0</v>
      </c>
      <c r="F194">
        <v>0</v>
      </c>
      <c r="G194">
        <v>0</v>
      </c>
    </row>
    <row r="195" spans="1:7" x14ac:dyDescent="0.2">
      <c r="A195" t="s">
        <v>4363</v>
      </c>
      <c r="B195">
        <v>0</v>
      </c>
      <c r="C195">
        <v>0</v>
      </c>
      <c r="D195">
        <v>0</v>
      </c>
      <c r="E195">
        <v>0</v>
      </c>
      <c r="F195">
        <v>0</v>
      </c>
      <c r="G195">
        <v>0</v>
      </c>
    </row>
    <row r="196" spans="1:7" x14ac:dyDescent="0.2">
      <c r="A196" t="s">
        <v>4364</v>
      </c>
      <c r="B196">
        <v>0</v>
      </c>
      <c r="C196">
        <v>0</v>
      </c>
      <c r="D196">
        <v>0</v>
      </c>
      <c r="E196">
        <v>0</v>
      </c>
      <c r="F196">
        <v>0</v>
      </c>
      <c r="G196">
        <v>0</v>
      </c>
    </row>
    <row r="197" spans="1:7" x14ac:dyDescent="0.2">
      <c r="A197" t="s">
        <v>4365</v>
      </c>
      <c r="B197">
        <v>57</v>
      </c>
      <c r="C197">
        <v>2119</v>
      </c>
      <c r="D197">
        <v>1411</v>
      </c>
      <c r="E197">
        <v>0</v>
      </c>
      <c r="F197">
        <v>0</v>
      </c>
      <c r="G197">
        <v>3587</v>
      </c>
    </row>
    <row r="198" spans="1:7" x14ac:dyDescent="0.2">
      <c r="A198" t="s">
        <v>4366</v>
      </c>
      <c r="B198">
        <v>2053</v>
      </c>
      <c r="C198">
        <v>31720</v>
      </c>
      <c r="D198">
        <v>16296</v>
      </c>
      <c r="E198">
        <v>1757</v>
      </c>
      <c r="F198">
        <v>0</v>
      </c>
      <c r="G198">
        <v>51826</v>
      </c>
    </row>
    <row r="199" spans="1:7" x14ac:dyDescent="0.2">
      <c r="A199" t="s">
        <v>4367</v>
      </c>
      <c r="B199">
        <v>78</v>
      </c>
      <c r="C199">
        <v>1367</v>
      </c>
      <c r="D199">
        <v>3650</v>
      </c>
      <c r="E199">
        <v>302</v>
      </c>
      <c r="F199">
        <v>0</v>
      </c>
      <c r="G199">
        <v>5396</v>
      </c>
    </row>
    <row r="200" spans="1:7" x14ac:dyDescent="0.2">
      <c r="A200" t="s">
        <v>4368</v>
      </c>
      <c r="B200">
        <v>613</v>
      </c>
      <c r="C200">
        <v>2041</v>
      </c>
      <c r="D200">
        <v>3751</v>
      </c>
      <c r="E200">
        <v>5843</v>
      </c>
      <c r="F200">
        <v>1221</v>
      </c>
      <c r="G200">
        <v>13468</v>
      </c>
    </row>
    <row r="201" spans="1:7" x14ac:dyDescent="0.2">
      <c r="A201" t="s">
        <v>4369</v>
      </c>
      <c r="B201">
        <v>765</v>
      </c>
      <c r="C201">
        <v>3953</v>
      </c>
      <c r="D201">
        <v>11696</v>
      </c>
      <c r="E201">
        <v>3174</v>
      </c>
      <c r="F201">
        <v>0</v>
      </c>
      <c r="G201">
        <v>19589</v>
      </c>
    </row>
    <row r="202" spans="1:7" x14ac:dyDescent="0.2">
      <c r="A202" t="s">
        <v>4370</v>
      </c>
      <c r="B202">
        <v>2786</v>
      </c>
      <c r="C202">
        <v>2705</v>
      </c>
      <c r="D202">
        <v>2417</v>
      </c>
      <c r="E202">
        <v>284</v>
      </c>
      <c r="F202">
        <v>0</v>
      </c>
      <c r="G202">
        <v>8191</v>
      </c>
    </row>
    <row r="203" spans="1:7" x14ac:dyDescent="0.2">
      <c r="A203" t="s">
        <v>4371</v>
      </c>
      <c r="B203">
        <v>541</v>
      </c>
      <c r="C203">
        <v>745</v>
      </c>
      <c r="D203">
        <v>1354</v>
      </c>
      <c r="E203">
        <v>548</v>
      </c>
      <c r="F203">
        <v>0</v>
      </c>
      <c r="G203">
        <v>3188</v>
      </c>
    </row>
    <row r="204" spans="1:7" x14ac:dyDescent="0.2">
      <c r="A204" t="s">
        <v>4372</v>
      </c>
      <c r="B204">
        <v>0</v>
      </c>
      <c r="C204">
        <v>0</v>
      </c>
      <c r="D204">
        <v>0</v>
      </c>
      <c r="E204">
        <v>0</v>
      </c>
      <c r="F204">
        <v>0</v>
      </c>
      <c r="G204">
        <v>0</v>
      </c>
    </row>
    <row r="205" spans="1:7" x14ac:dyDescent="0.2">
      <c r="A205" t="s">
        <v>4373</v>
      </c>
      <c r="B205">
        <v>3050</v>
      </c>
      <c r="C205">
        <v>109476</v>
      </c>
      <c r="D205">
        <v>92434</v>
      </c>
      <c r="E205">
        <v>9844</v>
      </c>
      <c r="F205">
        <v>0</v>
      </c>
      <c r="G205">
        <v>214804</v>
      </c>
    </row>
    <row r="206" spans="1:7" x14ac:dyDescent="0.2">
      <c r="A206" t="s">
        <v>4374</v>
      </c>
      <c r="B206">
        <v>1263</v>
      </c>
      <c r="C206">
        <v>21697</v>
      </c>
      <c r="D206">
        <v>44362</v>
      </c>
      <c r="E206">
        <v>42058</v>
      </c>
      <c r="F206">
        <v>0</v>
      </c>
      <c r="G206">
        <v>109379</v>
      </c>
    </row>
    <row r="207" spans="1:7" x14ac:dyDescent="0.2">
      <c r="A207" t="s">
        <v>4375</v>
      </c>
      <c r="B207">
        <v>9324</v>
      </c>
      <c r="C207">
        <v>265374</v>
      </c>
      <c r="D207">
        <v>360804</v>
      </c>
      <c r="E207">
        <v>140986</v>
      </c>
      <c r="F207">
        <v>0</v>
      </c>
      <c r="G207">
        <v>776489</v>
      </c>
    </row>
    <row r="208" spans="1:7" x14ac:dyDescent="0.2">
      <c r="A208" t="s">
        <v>4376</v>
      </c>
      <c r="B208">
        <v>488</v>
      </c>
      <c r="C208">
        <v>42399</v>
      </c>
      <c r="D208">
        <v>49977</v>
      </c>
      <c r="E208">
        <v>11707</v>
      </c>
      <c r="F208">
        <v>0</v>
      </c>
      <c r="G208">
        <v>104570</v>
      </c>
    </row>
    <row r="209" spans="1:7" x14ac:dyDescent="0.2">
      <c r="A209" t="s">
        <v>4377</v>
      </c>
      <c r="B209">
        <v>2551</v>
      </c>
      <c r="C209">
        <v>79765</v>
      </c>
      <c r="D209">
        <v>315815</v>
      </c>
      <c r="E209">
        <v>376890</v>
      </c>
      <c r="F209">
        <v>0</v>
      </c>
      <c r="G209">
        <v>775020</v>
      </c>
    </row>
    <row r="210" spans="1:7" x14ac:dyDescent="0.2">
      <c r="A210" t="s">
        <v>4248</v>
      </c>
    </row>
    <row r="211" spans="1:7" x14ac:dyDescent="0.2">
      <c r="A211" t="s">
        <v>4250</v>
      </c>
      <c r="C211" t="s">
        <v>4251</v>
      </c>
      <c r="G211" t="s">
        <v>7535</v>
      </c>
    </row>
    <row r="212" spans="1:7" x14ac:dyDescent="0.2">
      <c r="A212" t="s">
        <v>4253</v>
      </c>
      <c r="G212" t="s">
        <v>7536</v>
      </c>
    </row>
    <row r="213" spans="1:7" x14ac:dyDescent="0.2">
      <c r="A213" t="s">
        <v>7530</v>
      </c>
    </row>
    <row r="216" spans="1:7" x14ac:dyDescent="0.2">
      <c r="A216" t="s">
        <v>4255</v>
      </c>
    </row>
    <row r="218" spans="1:7" x14ac:dyDescent="0.2">
      <c r="A218" t="s">
        <v>4260</v>
      </c>
      <c r="B218" t="s">
        <v>4261</v>
      </c>
      <c r="C218" t="s">
        <v>4261</v>
      </c>
      <c r="D218" t="s">
        <v>4261</v>
      </c>
      <c r="E218" t="s">
        <v>4261</v>
      </c>
      <c r="F218" t="s">
        <v>4261</v>
      </c>
      <c r="G218" t="s">
        <v>4261</v>
      </c>
    </row>
    <row r="219" spans="1:7" x14ac:dyDescent="0.2">
      <c r="A219" t="s">
        <v>126</v>
      </c>
      <c r="B219" t="s">
        <v>4262</v>
      </c>
      <c r="C219" t="s">
        <v>4263</v>
      </c>
      <c r="D219" t="s">
        <v>4264</v>
      </c>
      <c r="E219" t="s">
        <v>2308</v>
      </c>
      <c r="F219" t="s">
        <v>615</v>
      </c>
      <c r="G219" t="s">
        <v>236</v>
      </c>
    </row>
    <row r="220" spans="1:7" x14ac:dyDescent="0.2">
      <c r="A220" t="s">
        <v>4260</v>
      </c>
      <c r="B220" t="s">
        <v>4261</v>
      </c>
      <c r="C220" t="s">
        <v>4261</v>
      </c>
      <c r="D220" t="s">
        <v>4261</v>
      </c>
      <c r="E220" t="s">
        <v>4261</v>
      </c>
      <c r="F220" t="s">
        <v>4261</v>
      </c>
      <c r="G220" t="s">
        <v>4261</v>
      </c>
    </row>
    <row r="221" spans="1:7" x14ac:dyDescent="0.2">
      <c r="A221" t="s">
        <v>4265</v>
      </c>
      <c r="B221">
        <v>0</v>
      </c>
      <c r="C221">
        <v>0</v>
      </c>
      <c r="D221">
        <v>0</v>
      </c>
      <c r="E221">
        <v>0</v>
      </c>
      <c r="F221">
        <v>1</v>
      </c>
      <c r="G221">
        <v>1</v>
      </c>
    </row>
    <row r="222" spans="1:7" x14ac:dyDescent="0.2">
      <c r="A222" t="s">
        <v>4266</v>
      </c>
      <c r="B222">
        <v>0</v>
      </c>
      <c r="C222">
        <v>0</v>
      </c>
      <c r="D222">
        <v>0</v>
      </c>
      <c r="E222">
        <v>0</v>
      </c>
      <c r="F222">
        <v>0</v>
      </c>
      <c r="G222">
        <v>0</v>
      </c>
    </row>
    <row r="223" spans="1:7" x14ac:dyDescent="0.2">
      <c r="A223" t="s">
        <v>4267</v>
      </c>
      <c r="B223">
        <v>0</v>
      </c>
      <c r="C223">
        <v>0</v>
      </c>
      <c r="D223">
        <v>0</v>
      </c>
      <c r="E223">
        <v>0</v>
      </c>
      <c r="F223">
        <v>0</v>
      </c>
      <c r="G223">
        <v>0</v>
      </c>
    </row>
    <row r="224" spans="1:7" x14ac:dyDescent="0.2">
      <c r="A224" t="s">
        <v>4268</v>
      </c>
      <c r="B224">
        <v>0</v>
      </c>
      <c r="C224">
        <v>0</v>
      </c>
      <c r="D224">
        <v>0</v>
      </c>
      <c r="E224">
        <v>0</v>
      </c>
      <c r="F224">
        <v>0</v>
      </c>
      <c r="G224">
        <v>0</v>
      </c>
    </row>
    <row r="225" spans="1:9" x14ac:dyDescent="0.2">
      <c r="A225" t="s">
        <v>4269</v>
      </c>
      <c r="B225">
        <v>0</v>
      </c>
      <c r="C225">
        <v>0</v>
      </c>
      <c r="D225">
        <v>0</v>
      </c>
      <c r="E225">
        <v>0</v>
      </c>
      <c r="F225">
        <v>0</v>
      </c>
      <c r="G225">
        <v>0</v>
      </c>
    </row>
    <row r="226" spans="1:9" x14ac:dyDescent="0.2">
      <c r="A226" t="s">
        <v>4270</v>
      </c>
      <c r="B226">
        <v>0</v>
      </c>
      <c r="C226">
        <v>0</v>
      </c>
      <c r="D226">
        <v>0</v>
      </c>
      <c r="E226">
        <v>0</v>
      </c>
      <c r="F226">
        <v>0</v>
      </c>
      <c r="G226">
        <v>0</v>
      </c>
    </row>
    <row r="227" spans="1:9" x14ac:dyDescent="0.2">
      <c r="A227" t="s">
        <v>4271</v>
      </c>
      <c r="B227">
        <v>0</v>
      </c>
      <c r="C227">
        <v>0</v>
      </c>
      <c r="D227">
        <v>0</v>
      </c>
      <c r="E227">
        <v>0</v>
      </c>
      <c r="F227">
        <v>0</v>
      </c>
      <c r="G227">
        <v>0</v>
      </c>
    </row>
    <row r="228" spans="1:9" x14ac:dyDescent="0.2">
      <c r="A228" t="s">
        <v>4272</v>
      </c>
      <c r="B228">
        <v>0</v>
      </c>
      <c r="C228">
        <v>0</v>
      </c>
      <c r="D228">
        <v>0</v>
      </c>
      <c r="E228">
        <v>0</v>
      </c>
      <c r="F228">
        <v>0</v>
      </c>
      <c r="G228">
        <v>0</v>
      </c>
    </row>
    <row r="229" spans="1:9" x14ac:dyDescent="0.2">
      <c r="A229" t="s">
        <v>4273</v>
      </c>
      <c r="B229">
        <v>0</v>
      </c>
      <c r="C229">
        <v>0</v>
      </c>
      <c r="D229">
        <v>0</v>
      </c>
      <c r="E229">
        <v>0</v>
      </c>
      <c r="F229">
        <v>1</v>
      </c>
      <c r="G229">
        <v>1</v>
      </c>
    </row>
    <row r="230" spans="1:9" x14ac:dyDescent="0.2">
      <c r="A230" t="s">
        <v>4274</v>
      </c>
      <c r="B230">
        <v>0</v>
      </c>
      <c r="C230">
        <v>0</v>
      </c>
      <c r="D230">
        <v>0</v>
      </c>
      <c r="E230">
        <v>0</v>
      </c>
      <c r="F230">
        <v>0</v>
      </c>
      <c r="G230">
        <v>0</v>
      </c>
    </row>
    <row r="231" spans="1:9" x14ac:dyDescent="0.2">
      <c r="A231" t="s">
        <v>4275</v>
      </c>
      <c r="B231">
        <v>0</v>
      </c>
      <c r="C231">
        <v>0</v>
      </c>
      <c r="D231">
        <v>0</v>
      </c>
      <c r="E231">
        <v>0</v>
      </c>
      <c r="F231">
        <v>61</v>
      </c>
      <c r="G231">
        <v>61</v>
      </c>
      <c r="I231">
        <f>F231/F22</f>
        <v>4.9795918367346939E-2</v>
      </c>
    </row>
    <row r="232" spans="1:9" x14ac:dyDescent="0.2">
      <c r="A232" t="s">
        <v>4276</v>
      </c>
      <c r="B232">
        <v>0</v>
      </c>
      <c r="C232">
        <v>0</v>
      </c>
      <c r="D232">
        <v>0</v>
      </c>
      <c r="E232">
        <v>0</v>
      </c>
      <c r="F232">
        <v>34</v>
      </c>
      <c r="G232">
        <v>34</v>
      </c>
    </row>
    <row r="233" spans="1:9" x14ac:dyDescent="0.2">
      <c r="A233" t="s">
        <v>4277</v>
      </c>
      <c r="B233">
        <v>0</v>
      </c>
      <c r="C233">
        <v>0</v>
      </c>
      <c r="D233">
        <v>0</v>
      </c>
      <c r="E233">
        <v>0</v>
      </c>
      <c r="F233">
        <v>23</v>
      </c>
      <c r="G233">
        <v>23</v>
      </c>
    </row>
    <row r="234" spans="1:9" x14ac:dyDescent="0.2">
      <c r="A234" t="s">
        <v>4278</v>
      </c>
      <c r="B234">
        <v>0</v>
      </c>
      <c r="C234">
        <v>0</v>
      </c>
      <c r="D234">
        <v>0</v>
      </c>
      <c r="E234">
        <v>0</v>
      </c>
      <c r="F234">
        <v>0</v>
      </c>
      <c r="G234">
        <v>0</v>
      </c>
    </row>
    <row r="235" spans="1:9" x14ac:dyDescent="0.2">
      <c r="A235" t="s">
        <v>4279</v>
      </c>
      <c r="B235">
        <v>115</v>
      </c>
      <c r="C235">
        <v>58</v>
      </c>
      <c r="D235">
        <v>55</v>
      </c>
      <c r="E235">
        <v>0</v>
      </c>
      <c r="F235">
        <v>0</v>
      </c>
      <c r="G235">
        <v>228</v>
      </c>
    </row>
    <row r="236" spans="1:9" x14ac:dyDescent="0.2">
      <c r="A236" t="s">
        <v>4280</v>
      </c>
      <c r="B236">
        <v>0</v>
      </c>
      <c r="C236">
        <v>0</v>
      </c>
      <c r="D236">
        <v>0</v>
      </c>
      <c r="E236">
        <v>0</v>
      </c>
      <c r="F236">
        <v>0</v>
      </c>
      <c r="G236">
        <v>0</v>
      </c>
    </row>
    <row r="237" spans="1:9" x14ac:dyDescent="0.2">
      <c r="A237" t="s">
        <v>4281</v>
      </c>
      <c r="B237">
        <v>1330</v>
      </c>
      <c r="C237">
        <v>1518</v>
      </c>
      <c r="D237">
        <v>2316</v>
      </c>
      <c r="E237">
        <v>438</v>
      </c>
      <c r="F237">
        <v>0</v>
      </c>
      <c r="G237">
        <v>5601</v>
      </c>
    </row>
    <row r="238" spans="1:9" x14ac:dyDescent="0.2">
      <c r="A238" t="s">
        <v>4282</v>
      </c>
      <c r="B238">
        <v>0</v>
      </c>
      <c r="C238">
        <v>414</v>
      </c>
      <c r="D238">
        <v>482</v>
      </c>
      <c r="E238">
        <v>0</v>
      </c>
      <c r="F238">
        <v>0</v>
      </c>
      <c r="G238">
        <v>896</v>
      </c>
    </row>
    <row r="239" spans="1:9" x14ac:dyDescent="0.2">
      <c r="A239" t="s">
        <v>4283</v>
      </c>
      <c r="B239">
        <v>699</v>
      </c>
      <c r="C239">
        <v>752</v>
      </c>
      <c r="D239">
        <v>518</v>
      </c>
      <c r="E239">
        <v>202</v>
      </c>
      <c r="F239">
        <v>0</v>
      </c>
      <c r="G239">
        <v>2171</v>
      </c>
    </row>
    <row r="240" spans="1:9" x14ac:dyDescent="0.2">
      <c r="A240" t="s">
        <v>4284</v>
      </c>
      <c r="B240">
        <v>0</v>
      </c>
      <c r="C240">
        <v>0</v>
      </c>
      <c r="D240">
        <v>77</v>
      </c>
      <c r="E240">
        <v>0</v>
      </c>
      <c r="F240">
        <v>0</v>
      </c>
      <c r="G240">
        <v>77</v>
      </c>
    </row>
    <row r="241" spans="1:7" x14ac:dyDescent="0.2">
      <c r="A241" t="s">
        <v>4285</v>
      </c>
      <c r="B241">
        <v>730</v>
      </c>
      <c r="C241">
        <v>884</v>
      </c>
      <c r="D241">
        <v>872</v>
      </c>
      <c r="E241">
        <v>211</v>
      </c>
      <c r="F241">
        <v>0</v>
      </c>
      <c r="G241">
        <v>2697</v>
      </c>
    </row>
    <row r="242" spans="1:7" x14ac:dyDescent="0.2">
      <c r="A242" t="s">
        <v>4286</v>
      </c>
      <c r="B242">
        <v>0</v>
      </c>
      <c r="C242">
        <v>19</v>
      </c>
      <c r="D242">
        <v>35</v>
      </c>
      <c r="E242">
        <v>0</v>
      </c>
      <c r="F242">
        <v>0</v>
      </c>
      <c r="G242">
        <v>54</v>
      </c>
    </row>
    <row r="243" spans="1:7" x14ac:dyDescent="0.2">
      <c r="A243" t="s">
        <v>4287</v>
      </c>
      <c r="B243">
        <v>0</v>
      </c>
      <c r="C243">
        <v>0</v>
      </c>
      <c r="D243">
        <v>0</v>
      </c>
      <c r="E243">
        <v>4816</v>
      </c>
      <c r="F243">
        <v>0</v>
      </c>
      <c r="G243">
        <v>4816</v>
      </c>
    </row>
    <row r="244" spans="1:7" x14ac:dyDescent="0.2">
      <c r="A244" t="s">
        <v>4288</v>
      </c>
      <c r="B244">
        <v>0</v>
      </c>
      <c r="C244">
        <v>0</v>
      </c>
      <c r="D244">
        <v>0</v>
      </c>
      <c r="E244">
        <v>0</v>
      </c>
      <c r="F244">
        <v>73</v>
      </c>
      <c r="G244">
        <v>73</v>
      </c>
    </row>
    <row r="245" spans="1:7" x14ac:dyDescent="0.2">
      <c r="A245" t="s">
        <v>4289</v>
      </c>
      <c r="B245">
        <v>0</v>
      </c>
      <c r="C245">
        <v>0</v>
      </c>
      <c r="D245">
        <v>0</v>
      </c>
      <c r="E245">
        <v>0</v>
      </c>
      <c r="F245">
        <v>4858</v>
      </c>
      <c r="G245">
        <v>4858</v>
      </c>
    </row>
    <row r="246" spans="1:7" x14ac:dyDescent="0.2">
      <c r="A246" t="s">
        <v>4290</v>
      </c>
      <c r="B246">
        <v>0</v>
      </c>
      <c r="C246">
        <v>0</v>
      </c>
      <c r="D246">
        <v>0</v>
      </c>
      <c r="E246">
        <v>0</v>
      </c>
      <c r="F246">
        <v>963</v>
      </c>
      <c r="G246">
        <v>963</v>
      </c>
    </row>
    <row r="247" spans="1:7" x14ac:dyDescent="0.2">
      <c r="A247" t="s">
        <v>4291</v>
      </c>
      <c r="B247">
        <v>0</v>
      </c>
      <c r="C247">
        <v>0</v>
      </c>
      <c r="D247">
        <v>0</v>
      </c>
      <c r="E247">
        <v>0</v>
      </c>
      <c r="F247">
        <v>254</v>
      </c>
      <c r="G247">
        <v>254</v>
      </c>
    </row>
    <row r="248" spans="1:7" x14ac:dyDescent="0.2">
      <c r="A248" t="s">
        <v>4292</v>
      </c>
      <c r="B248">
        <v>0</v>
      </c>
      <c r="C248">
        <v>0</v>
      </c>
      <c r="D248">
        <v>0</v>
      </c>
      <c r="E248">
        <v>0</v>
      </c>
      <c r="F248">
        <v>72</v>
      </c>
      <c r="G248">
        <v>72</v>
      </c>
    </row>
    <row r="249" spans="1:7" x14ac:dyDescent="0.2">
      <c r="A249" t="s">
        <v>4293</v>
      </c>
      <c r="B249">
        <v>0</v>
      </c>
      <c r="C249">
        <v>0</v>
      </c>
      <c r="D249">
        <v>0</v>
      </c>
      <c r="E249">
        <v>0</v>
      </c>
      <c r="F249">
        <v>120</v>
      </c>
      <c r="G249">
        <v>120</v>
      </c>
    </row>
    <row r="250" spans="1:7" x14ac:dyDescent="0.2">
      <c r="A250" t="s">
        <v>4294</v>
      </c>
      <c r="B250">
        <v>0</v>
      </c>
      <c r="C250">
        <v>0</v>
      </c>
      <c r="D250">
        <v>0</v>
      </c>
      <c r="E250">
        <v>0</v>
      </c>
      <c r="F250">
        <v>545</v>
      </c>
      <c r="G250">
        <v>545</v>
      </c>
    </row>
    <row r="251" spans="1:7" x14ac:dyDescent="0.2">
      <c r="A251" t="s">
        <v>4295</v>
      </c>
      <c r="B251">
        <v>0</v>
      </c>
      <c r="C251">
        <v>0</v>
      </c>
      <c r="D251">
        <v>0</v>
      </c>
      <c r="E251">
        <v>0</v>
      </c>
      <c r="F251">
        <v>0</v>
      </c>
      <c r="G251">
        <v>0</v>
      </c>
    </row>
    <row r="252" spans="1:7" x14ac:dyDescent="0.2">
      <c r="A252" t="s">
        <v>4296</v>
      </c>
      <c r="B252">
        <v>0</v>
      </c>
      <c r="C252">
        <v>0</v>
      </c>
      <c r="D252">
        <v>0</v>
      </c>
      <c r="E252">
        <v>0</v>
      </c>
      <c r="F252">
        <v>0</v>
      </c>
      <c r="G252">
        <v>0</v>
      </c>
    </row>
    <row r="253" spans="1:7" x14ac:dyDescent="0.2">
      <c r="A253" t="s">
        <v>4297</v>
      </c>
      <c r="B253">
        <v>262</v>
      </c>
      <c r="C253">
        <v>1489</v>
      </c>
      <c r="D253">
        <v>3913</v>
      </c>
      <c r="E253">
        <v>1038</v>
      </c>
      <c r="F253">
        <v>0</v>
      </c>
      <c r="G253">
        <v>6702</v>
      </c>
    </row>
    <row r="254" spans="1:7" x14ac:dyDescent="0.2">
      <c r="A254" t="s">
        <v>4298</v>
      </c>
      <c r="B254">
        <v>0</v>
      </c>
      <c r="C254">
        <v>280</v>
      </c>
      <c r="D254">
        <v>254</v>
      </c>
      <c r="E254">
        <v>574</v>
      </c>
      <c r="F254">
        <v>0</v>
      </c>
      <c r="G254">
        <v>1108</v>
      </c>
    </row>
    <row r="255" spans="1:7" x14ac:dyDescent="0.2">
      <c r="A255" t="s">
        <v>4299</v>
      </c>
      <c r="B255">
        <v>0</v>
      </c>
      <c r="C255">
        <v>220</v>
      </c>
      <c r="D255">
        <v>384</v>
      </c>
      <c r="E255">
        <v>476</v>
      </c>
      <c r="F255">
        <v>0</v>
      </c>
      <c r="G255">
        <v>1081</v>
      </c>
    </row>
    <row r="256" spans="1:7" x14ac:dyDescent="0.2">
      <c r="A256" t="s">
        <v>4300</v>
      </c>
      <c r="B256">
        <v>0</v>
      </c>
      <c r="C256">
        <v>4</v>
      </c>
      <c r="D256">
        <v>10</v>
      </c>
      <c r="E256">
        <v>9</v>
      </c>
      <c r="F256">
        <v>0</v>
      </c>
      <c r="G256">
        <v>23</v>
      </c>
    </row>
    <row r="257" spans="1:7" x14ac:dyDescent="0.2">
      <c r="A257" t="s">
        <v>4301</v>
      </c>
      <c r="B257">
        <v>0</v>
      </c>
      <c r="C257">
        <v>1087</v>
      </c>
      <c r="D257">
        <v>2725</v>
      </c>
      <c r="E257">
        <v>1562</v>
      </c>
      <c r="F257">
        <v>0</v>
      </c>
      <c r="G257">
        <v>5374</v>
      </c>
    </row>
    <row r="258" spans="1:7" x14ac:dyDescent="0.2">
      <c r="A258" t="s">
        <v>4302</v>
      </c>
      <c r="B258">
        <v>0</v>
      </c>
      <c r="C258">
        <v>131</v>
      </c>
      <c r="D258">
        <v>364</v>
      </c>
      <c r="E258">
        <v>114</v>
      </c>
      <c r="F258">
        <v>0</v>
      </c>
      <c r="G258">
        <v>608</v>
      </c>
    </row>
    <row r="259" spans="1:7" x14ac:dyDescent="0.2">
      <c r="A259" t="s">
        <v>4303</v>
      </c>
      <c r="B259">
        <v>0</v>
      </c>
      <c r="C259">
        <v>113</v>
      </c>
      <c r="D259">
        <v>455</v>
      </c>
      <c r="E259">
        <v>89</v>
      </c>
      <c r="F259">
        <v>0</v>
      </c>
      <c r="G259">
        <v>658</v>
      </c>
    </row>
    <row r="260" spans="1:7" x14ac:dyDescent="0.2">
      <c r="A260" t="s">
        <v>4304</v>
      </c>
      <c r="B260">
        <v>14</v>
      </c>
      <c r="C260">
        <v>50</v>
      </c>
      <c r="D260">
        <v>204</v>
      </c>
      <c r="E260">
        <v>130</v>
      </c>
      <c r="F260">
        <v>0</v>
      </c>
      <c r="G260">
        <v>399</v>
      </c>
    </row>
    <row r="261" spans="1:7" x14ac:dyDescent="0.2">
      <c r="A261" t="s">
        <v>4305</v>
      </c>
      <c r="B261">
        <v>249</v>
      </c>
      <c r="C261">
        <v>551</v>
      </c>
      <c r="D261">
        <v>734</v>
      </c>
      <c r="E261">
        <v>264</v>
      </c>
      <c r="F261">
        <v>0</v>
      </c>
      <c r="G261">
        <v>1798</v>
      </c>
    </row>
    <row r="262" spans="1:7" x14ac:dyDescent="0.2">
      <c r="A262" t="s">
        <v>4306</v>
      </c>
      <c r="B262">
        <v>0</v>
      </c>
      <c r="C262">
        <v>101</v>
      </c>
      <c r="D262">
        <v>27</v>
      </c>
      <c r="E262">
        <v>31</v>
      </c>
      <c r="F262">
        <v>0</v>
      </c>
      <c r="G262">
        <v>159</v>
      </c>
    </row>
    <row r="263" spans="1:7" x14ac:dyDescent="0.2">
      <c r="A263" t="s">
        <v>4307</v>
      </c>
      <c r="B263">
        <v>0</v>
      </c>
      <c r="C263">
        <v>297</v>
      </c>
      <c r="D263">
        <v>1175</v>
      </c>
      <c r="E263">
        <v>448</v>
      </c>
      <c r="F263">
        <v>0</v>
      </c>
      <c r="G263">
        <v>1920</v>
      </c>
    </row>
    <row r="264" spans="1:7" x14ac:dyDescent="0.2">
      <c r="A264" t="s">
        <v>4308</v>
      </c>
      <c r="B264">
        <v>0</v>
      </c>
      <c r="C264">
        <v>0</v>
      </c>
      <c r="D264">
        <v>11</v>
      </c>
      <c r="E264">
        <v>9</v>
      </c>
      <c r="F264">
        <v>0</v>
      </c>
      <c r="G264">
        <v>19</v>
      </c>
    </row>
    <row r="265" spans="1:7" x14ac:dyDescent="0.2">
      <c r="A265" t="s">
        <v>4309</v>
      </c>
      <c r="B265">
        <v>0</v>
      </c>
      <c r="C265">
        <v>0</v>
      </c>
      <c r="D265">
        <v>0</v>
      </c>
      <c r="E265">
        <v>0</v>
      </c>
      <c r="F265">
        <v>38</v>
      </c>
      <c r="G265">
        <v>38</v>
      </c>
    </row>
    <row r="266" spans="1:7" x14ac:dyDescent="0.2">
      <c r="A266" t="s">
        <v>4310</v>
      </c>
      <c r="B266">
        <v>0</v>
      </c>
      <c r="C266">
        <v>0</v>
      </c>
      <c r="D266">
        <v>0</v>
      </c>
      <c r="E266">
        <v>0</v>
      </c>
      <c r="F266">
        <v>207</v>
      </c>
      <c r="G266">
        <v>207</v>
      </c>
    </row>
    <row r="267" spans="1:7" x14ac:dyDescent="0.2">
      <c r="A267" t="s">
        <v>4311</v>
      </c>
      <c r="B267">
        <v>0</v>
      </c>
      <c r="C267">
        <v>0</v>
      </c>
      <c r="D267">
        <v>0</v>
      </c>
      <c r="E267">
        <v>433</v>
      </c>
      <c r="F267">
        <v>225</v>
      </c>
      <c r="G267">
        <v>658</v>
      </c>
    </row>
    <row r="268" spans="1:7" x14ac:dyDescent="0.2">
      <c r="A268" t="s">
        <v>4312</v>
      </c>
      <c r="B268">
        <v>0</v>
      </c>
      <c r="C268">
        <v>0</v>
      </c>
      <c r="D268">
        <v>0</v>
      </c>
      <c r="E268">
        <v>176</v>
      </c>
      <c r="F268">
        <v>68</v>
      </c>
      <c r="G268">
        <v>244</v>
      </c>
    </row>
    <row r="269" spans="1:7" x14ac:dyDescent="0.2">
      <c r="A269" t="s">
        <v>4313</v>
      </c>
      <c r="B269">
        <v>0</v>
      </c>
      <c r="C269">
        <v>0</v>
      </c>
      <c r="D269">
        <v>0</v>
      </c>
      <c r="E269">
        <v>0</v>
      </c>
      <c r="F269">
        <v>4</v>
      </c>
      <c r="G269">
        <v>4</v>
      </c>
    </row>
    <row r="270" spans="1:7" x14ac:dyDescent="0.2">
      <c r="A270" t="s">
        <v>4314</v>
      </c>
      <c r="B270">
        <v>0</v>
      </c>
      <c r="C270">
        <v>0</v>
      </c>
      <c r="D270">
        <v>0</v>
      </c>
      <c r="E270">
        <v>0</v>
      </c>
      <c r="F270">
        <v>125</v>
      </c>
      <c r="G270">
        <v>125</v>
      </c>
    </row>
    <row r="271" spans="1:7" x14ac:dyDescent="0.2">
      <c r="A271" t="s">
        <v>4315</v>
      </c>
      <c r="B271">
        <v>0</v>
      </c>
      <c r="C271">
        <v>0</v>
      </c>
      <c r="D271">
        <v>0</v>
      </c>
      <c r="E271">
        <v>0</v>
      </c>
      <c r="F271">
        <v>204</v>
      </c>
      <c r="G271">
        <v>204</v>
      </c>
    </row>
    <row r="272" spans="1:7" x14ac:dyDescent="0.2">
      <c r="A272" t="s">
        <v>4316</v>
      </c>
      <c r="B272">
        <v>0</v>
      </c>
      <c r="C272">
        <v>0</v>
      </c>
      <c r="D272">
        <v>0</v>
      </c>
      <c r="E272">
        <v>89</v>
      </c>
      <c r="F272">
        <v>457</v>
      </c>
      <c r="G272">
        <v>546</v>
      </c>
    </row>
    <row r="273" spans="1:7" x14ac:dyDescent="0.2">
      <c r="A273" t="s">
        <v>4317</v>
      </c>
      <c r="B273">
        <v>0</v>
      </c>
      <c r="C273">
        <v>0</v>
      </c>
      <c r="D273">
        <v>0</v>
      </c>
      <c r="E273">
        <v>0</v>
      </c>
      <c r="F273">
        <v>0</v>
      </c>
      <c r="G273">
        <v>0</v>
      </c>
    </row>
    <row r="274" spans="1:7" x14ac:dyDescent="0.2">
      <c r="A274" t="s">
        <v>4318</v>
      </c>
      <c r="B274">
        <v>0</v>
      </c>
      <c r="C274">
        <v>0</v>
      </c>
      <c r="D274">
        <v>0</v>
      </c>
      <c r="E274">
        <v>0</v>
      </c>
      <c r="F274">
        <v>818</v>
      </c>
      <c r="G274">
        <v>818</v>
      </c>
    </row>
    <row r="275" spans="1:7" x14ac:dyDescent="0.2">
      <c r="A275" t="s">
        <v>4319</v>
      </c>
      <c r="B275">
        <v>0</v>
      </c>
      <c r="C275">
        <v>0</v>
      </c>
      <c r="D275">
        <v>0</v>
      </c>
      <c r="E275">
        <v>0</v>
      </c>
      <c r="F275">
        <v>144</v>
      </c>
      <c r="G275">
        <v>144</v>
      </c>
    </row>
    <row r="276" spans="1:7" x14ac:dyDescent="0.2">
      <c r="A276" t="s">
        <v>4320</v>
      </c>
      <c r="B276">
        <v>0</v>
      </c>
      <c r="C276">
        <v>0</v>
      </c>
      <c r="D276">
        <v>0</v>
      </c>
      <c r="E276">
        <v>0</v>
      </c>
      <c r="F276">
        <v>124</v>
      </c>
      <c r="G276">
        <v>124</v>
      </c>
    </row>
    <row r="277" spans="1:7" x14ac:dyDescent="0.2">
      <c r="A277" t="s">
        <v>4321</v>
      </c>
      <c r="B277">
        <v>0</v>
      </c>
      <c r="C277">
        <v>0</v>
      </c>
      <c r="D277">
        <v>0</v>
      </c>
      <c r="E277">
        <v>0</v>
      </c>
      <c r="F277">
        <v>0</v>
      </c>
      <c r="G277">
        <v>0</v>
      </c>
    </row>
    <row r="278" spans="1:7" x14ac:dyDescent="0.2">
      <c r="A278" t="s">
        <v>4322</v>
      </c>
      <c r="B278">
        <v>0</v>
      </c>
      <c r="C278">
        <v>0</v>
      </c>
      <c r="D278">
        <v>0</v>
      </c>
      <c r="E278">
        <v>0</v>
      </c>
      <c r="F278">
        <v>0</v>
      </c>
      <c r="G278">
        <v>0</v>
      </c>
    </row>
    <row r="279" spans="1:7" x14ac:dyDescent="0.2">
      <c r="A279" t="s">
        <v>4323</v>
      </c>
      <c r="B279">
        <v>0</v>
      </c>
      <c r="C279">
        <v>0</v>
      </c>
      <c r="D279">
        <v>0</v>
      </c>
      <c r="E279">
        <v>0</v>
      </c>
      <c r="F279">
        <v>0</v>
      </c>
      <c r="G279">
        <v>0</v>
      </c>
    </row>
    <row r="280" spans="1:7" x14ac:dyDescent="0.2">
      <c r="A280" t="s">
        <v>4324</v>
      </c>
      <c r="B280">
        <v>0</v>
      </c>
      <c r="C280">
        <v>0</v>
      </c>
      <c r="D280">
        <v>0</v>
      </c>
      <c r="E280">
        <v>0</v>
      </c>
      <c r="F280">
        <v>0</v>
      </c>
      <c r="G280">
        <v>0</v>
      </c>
    </row>
    <row r="281" spans="1:7" x14ac:dyDescent="0.2">
      <c r="A281" t="s">
        <v>4325</v>
      </c>
      <c r="B281">
        <v>0</v>
      </c>
      <c r="C281">
        <v>0</v>
      </c>
      <c r="D281">
        <v>0</v>
      </c>
      <c r="E281">
        <v>0</v>
      </c>
      <c r="F281">
        <v>0</v>
      </c>
      <c r="G281">
        <v>0</v>
      </c>
    </row>
    <row r="282" spans="1:7" x14ac:dyDescent="0.2">
      <c r="A282" t="s">
        <v>4326</v>
      </c>
      <c r="B282">
        <v>0</v>
      </c>
      <c r="C282">
        <v>0</v>
      </c>
      <c r="D282">
        <v>0</v>
      </c>
      <c r="E282">
        <v>0</v>
      </c>
      <c r="F282">
        <v>0</v>
      </c>
      <c r="G282">
        <v>0</v>
      </c>
    </row>
    <row r="283" spans="1:7" x14ac:dyDescent="0.2">
      <c r="A283" t="s">
        <v>4327</v>
      </c>
      <c r="B283">
        <v>0</v>
      </c>
      <c r="C283">
        <v>0</v>
      </c>
      <c r="D283">
        <v>0</v>
      </c>
      <c r="E283">
        <v>224</v>
      </c>
      <c r="F283">
        <v>105</v>
      </c>
      <c r="G283">
        <v>329</v>
      </c>
    </row>
    <row r="284" spans="1:7" x14ac:dyDescent="0.2">
      <c r="A284" t="s">
        <v>4328</v>
      </c>
      <c r="B284">
        <v>0</v>
      </c>
      <c r="C284">
        <v>0</v>
      </c>
      <c r="D284">
        <v>0</v>
      </c>
      <c r="E284">
        <v>0</v>
      </c>
      <c r="F284">
        <v>0</v>
      </c>
      <c r="G284">
        <v>0</v>
      </c>
    </row>
    <row r="285" spans="1:7" x14ac:dyDescent="0.2">
      <c r="A285" t="s">
        <v>4329</v>
      </c>
      <c r="B285">
        <v>0</v>
      </c>
      <c r="C285">
        <v>0</v>
      </c>
      <c r="D285">
        <v>0</v>
      </c>
      <c r="E285">
        <v>0</v>
      </c>
      <c r="F285">
        <v>104</v>
      </c>
      <c r="G285">
        <v>104</v>
      </c>
    </row>
    <row r="286" spans="1:7" x14ac:dyDescent="0.2">
      <c r="A286" t="s">
        <v>4330</v>
      </c>
      <c r="B286">
        <v>0</v>
      </c>
      <c r="C286">
        <v>0</v>
      </c>
      <c r="D286">
        <v>0</v>
      </c>
      <c r="E286">
        <v>0</v>
      </c>
      <c r="F286">
        <v>0</v>
      </c>
      <c r="G286">
        <v>0</v>
      </c>
    </row>
    <row r="287" spans="1:7" x14ac:dyDescent="0.2">
      <c r="A287" t="s">
        <v>4331</v>
      </c>
      <c r="B287">
        <v>0</v>
      </c>
      <c r="C287">
        <v>0</v>
      </c>
      <c r="D287">
        <v>0</v>
      </c>
      <c r="E287">
        <v>0</v>
      </c>
      <c r="F287">
        <v>0</v>
      </c>
      <c r="G287">
        <v>0</v>
      </c>
    </row>
    <row r="288" spans="1:7" x14ac:dyDescent="0.2">
      <c r="A288" t="s">
        <v>4332</v>
      </c>
      <c r="B288">
        <v>0</v>
      </c>
      <c r="C288">
        <v>0</v>
      </c>
      <c r="D288">
        <v>0</v>
      </c>
      <c r="E288">
        <v>186</v>
      </c>
      <c r="F288">
        <v>35</v>
      </c>
      <c r="G288">
        <v>221</v>
      </c>
    </row>
    <row r="289" spans="1:7" x14ac:dyDescent="0.2">
      <c r="A289" t="s">
        <v>4333</v>
      </c>
      <c r="B289">
        <v>0</v>
      </c>
      <c r="C289">
        <v>0</v>
      </c>
      <c r="D289">
        <v>0</v>
      </c>
      <c r="E289">
        <v>0</v>
      </c>
      <c r="F289">
        <v>0</v>
      </c>
      <c r="G289">
        <v>0</v>
      </c>
    </row>
    <row r="290" spans="1:7" x14ac:dyDescent="0.2">
      <c r="A290" t="s">
        <v>4334</v>
      </c>
      <c r="B290">
        <v>0</v>
      </c>
      <c r="C290">
        <v>0</v>
      </c>
      <c r="D290">
        <v>0</v>
      </c>
      <c r="E290">
        <v>0</v>
      </c>
      <c r="F290">
        <v>199</v>
      </c>
      <c r="G290">
        <v>199</v>
      </c>
    </row>
    <row r="291" spans="1:7" x14ac:dyDescent="0.2">
      <c r="A291" t="s">
        <v>4335</v>
      </c>
      <c r="B291">
        <v>0</v>
      </c>
      <c r="C291">
        <v>0</v>
      </c>
      <c r="D291">
        <v>0</v>
      </c>
      <c r="E291">
        <v>29</v>
      </c>
      <c r="F291">
        <v>62</v>
      </c>
      <c r="G291">
        <v>91</v>
      </c>
    </row>
    <row r="292" spans="1:7" x14ac:dyDescent="0.2">
      <c r="A292" t="s">
        <v>4336</v>
      </c>
      <c r="B292">
        <v>0</v>
      </c>
      <c r="C292">
        <v>0</v>
      </c>
      <c r="D292">
        <v>0</v>
      </c>
      <c r="E292">
        <v>0</v>
      </c>
      <c r="F292">
        <v>0</v>
      </c>
      <c r="G292">
        <v>0</v>
      </c>
    </row>
    <row r="293" spans="1:7" x14ac:dyDescent="0.2">
      <c r="A293" t="s">
        <v>4337</v>
      </c>
      <c r="B293">
        <v>0</v>
      </c>
      <c r="C293">
        <v>0</v>
      </c>
      <c r="D293">
        <v>0</v>
      </c>
      <c r="E293">
        <v>0</v>
      </c>
      <c r="F293">
        <v>27</v>
      </c>
      <c r="G293">
        <v>27</v>
      </c>
    </row>
    <row r="294" spans="1:7" x14ac:dyDescent="0.2">
      <c r="A294" t="s">
        <v>4338</v>
      </c>
      <c r="B294">
        <v>0</v>
      </c>
      <c r="C294">
        <v>0</v>
      </c>
      <c r="D294">
        <v>0</v>
      </c>
      <c r="E294">
        <v>5</v>
      </c>
      <c r="F294">
        <v>31</v>
      </c>
      <c r="G294">
        <v>36</v>
      </c>
    </row>
    <row r="295" spans="1:7" x14ac:dyDescent="0.2">
      <c r="A295" t="s">
        <v>4339</v>
      </c>
      <c r="B295">
        <v>0</v>
      </c>
      <c r="C295">
        <v>0</v>
      </c>
      <c r="D295">
        <v>0</v>
      </c>
      <c r="E295">
        <v>0</v>
      </c>
      <c r="F295">
        <v>0</v>
      </c>
      <c r="G295">
        <v>0</v>
      </c>
    </row>
    <row r="296" spans="1:7" x14ac:dyDescent="0.2">
      <c r="A296" t="s">
        <v>4340</v>
      </c>
      <c r="B296">
        <v>0</v>
      </c>
      <c r="C296">
        <v>0</v>
      </c>
      <c r="D296">
        <v>0</v>
      </c>
      <c r="E296">
        <v>0</v>
      </c>
      <c r="F296">
        <v>0</v>
      </c>
      <c r="G296">
        <v>0</v>
      </c>
    </row>
    <row r="297" spans="1:7" x14ac:dyDescent="0.2">
      <c r="A297" t="s">
        <v>4341</v>
      </c>
      <c r="B297">
        <v>0</v>
      </c>
      <c r="C297">
        <v>0</v>
      </c>
      <c r="D297">
        <v>0</v>
      </c>
      <c r="E297">
        <v>0</v>
      </c>
      <c r="F297">
        <v>1</v>
      </c>
      <c r="G297">
        <v>1</v>
      </c>
    </row>
    <row r="298" spans="1:7" x14ac:dyDescent="0.2">
      <c r="A298" t="s">
        <v>4342</v>
      </c>
      <c r="B298">
        <v>0</v>
      </c>
      <c r="C298">
        <v>0</v>
      </c>
      <c r="D298">
        <v>0</v>
      </c>
      <c r="E298">
        <v>0</v>
      </c>
      <c r="F298">
        <v>0</v>
      </c>
      <c r="G298">
        <v>0</v>
      </c>
    </row>
    <row r="299" spans="1:7" x14ac:dyDescent="0.2">
      <c r="A299" t="s">
        <v>4343</v>
      </c>
      <c r="B299">
        <v>0</v>
      </c>
      <c r="C299">
        <v>0</v>
      </c>
      <c r="D299">
        <v>0</v>
      </c>
      <c r="E299">
        <v>0</v>
      </c>
      <c r="F299">
        <v>0</v>
      </c>
      <c r="G299">
        <v>0</v>
      </c>
    </row>
    <row r="300" spans="1:7" x14ac:dyDescent="0.2">
      <c r="A300" t="s">
        <v>1728</v>
      </c>
      <c r="B300">
        <v>0</v>
      </c>
      <c r="C300">
        <v>0</v>
      </c>
      <c r="D300">
        <v>0</v>
      </c>
      <c r="E300">
        <v>0</v>
      </c>
      <c r="F300">
        <v>0</v>
      </c>
      <c r="G300">
        <v>0</v>
      </c>
    </row>
    <row r="301" spans="1:7" x14ac:dyDescent="0.2">
      <c r="A301" t="s">
        <v>1730</v>
      </c>
      <c r="B301">
        <v>0</v>
      </c>
      <c r="C301">
        <v>1</v>
      </c>
      <c r="D301">
        <v>7</v>
      </c>
      <c r="E301">
        <v>4</v>
      </c>
      <c r="F301">
        <v>44</v>
      </c>
      <c r="G301">
        <v>57</v>
      </c>
    </row>
    <row r="302" spans="1:7" x14ac:dyDescent="0.2">
      <c r="A302" t="s">
        <v>1733</v>
      </c>
      <c r="B302">
        <v>0</v>
      </c>
      <c r="C302">
        <v>0</v>
      </c>
      <c r="D302">
        <v>0</v>
      </c>
      <c r="E302">
        <v>7</v>
      </c>
      <c r="F302">
        <v>37</v>
      </c>
      <c r="G302">
        <v>44</v>
      </c>
    </row>
    <row r="303" spans="1:7" x14ac:dyDescent="0.2">
      <c r="A303" t="s">
        <v>1738</v>
      </c>
      <c r="B303">
        <v>0</v>
      </c>
      <c r="C303">
        <v>0</v>
      </c>
      <c r="D303">
        <v>0</v>
      </c>
      <c r="E303">
        <v>8</v>
      </c>
      <c r="F303">
        <v>7</v>
      </c>
      <c r="G303">
        <v>16</v>
      </c>
    </row>
    <row r="304" spans="1:7" x14ac:dyDescent="0.2">
      <c r="A304" t="s">
        <v>1744</v>
      </c>
      <c r="B304">
        <v>0</v>
      </c>
      <c r="C304">
        <v>0</v>
      </c>
      <c r="D304">
        <v>0</v>
      </c>
      <c r="E304">
        <v>0</v>
      </c>
      <c r="F304">
        <v>0</v>
      </c>
      <c r="G304">
        <v>0</v>
      </c>
    </row>
    <row r="305" spans="1:7" x14ac:dyDescent="0.2">
      <c r="A305" t="s">
        <v>1747</v>
      </c>
      <c r="B305">
        <v>0</v>
      </c>
      <c r="C305">
        <v>0</v>
      </c>
      <c r="D305">
        <v>0</v>
      </c>
      <c r="E305">
        <v>0</v>
      </c>
      <c r="F305">
        <v>0</v>
      </c>
      <c r="G305">
        <v>0</v>
      </c>
    </row>
    <row r="306" spans="1:7" x14ac:dyDescent="0.2">
      <c r="A306" t="s">
        <v>1751</v>
      </c>
      <c r="B306">
        <v>0</v>
      </c>
      <c r="C306">
        <v>0</v>
      </c>
      <c r="D306">
        <v>0</v>
      </c>
      <c r="E306">
        <v>0</v>
      </c>
      <c r="F306">
        <v>0</v>
      </c>
      <c r="G306">
        <v>0</v>
      </c>
    </row>
    <row r="307" spans="1:7" x14ac:dyDescent="0.2">
      <c r="A307" t="s">
        <v>1755</v>
      </c>
      <c r="B307">
        <v>0</v>
      </c>
      <c r="C307">
        <v>0</v>
      </c>
      <c r="D307">
        <v>0</v>
      </c>
      <c r="E307">
        <v>16</v>
      </c>
      <c r="F307">
        <v>12</v>
      </c>
      <c r="G307">
        <v>28</v>
      </c>
    </row>
    <row r="308" spans="1:7" x14ac:dyDescent="0.2">
      <c r="A308" t="s">
        <v>1757</v>
      </c>
      <c r="B308">
        <v>0</v>
      </c>
      <c r="C308">
        <v>0</v>
      </c>
      <c r="D308">
        <v>8</v>
      </c>
      <c r="E308">
        <v>31</v>
      </c>
      <c r="F308">
        <v>94</v>
      </c>
      <c r="G308">
        <v>134</v>
      </c>
    </row>
    <row r="309" spans="1:7" x14ac:dyDescent="0.2">
      <c r="A309" t="s">
        <v>1761</v>
      </c>
      <c r="B309">
        <v>0</v>
      </c>
      <c r="C309">
        <v>0</v>
      </c>
      <c r="D309">
        <v>0</v>
      </c>
      <c r="E309">
        <v>0</v>
      </c>
      <c r="F309">
        <v>0</v>
      </c>
      <c r="G309">
        <v>0</v>
      </c>
    </row>
    <row r="310" spans="1:7" x14ac:dyDescent="0.2">
      <c r="A310" t="s">
        <v>1764</v>
      </c>
      <c r="B310">
        <v>0</v>
      </c>
      <c r="C310">
        <v>0</v>
      </c>
      <c r="D310">
        <v>0</v>
      </c>
      <c r="E310">
        <v>0</v>
      </c>
      <c r="F310">
        <v>0</v>
      </c>
      <c r="G310">
        <v>0</v>
      </c>
    </row>
    <row r="311" spans="1:7" x14ac:dyDescent="0.2">
      <c r="A311" t="s">
        <v>1770</v>
      </c>
      <c r="B311">
        <v>0</v>
      </c>
      <c r="C311">
        <v>49</v>
      </c>
      <c r="D311">
        <v>348</v>
      </c>
      <c r="E311">
        <v>1996</v>
      </c>
      <c r="F311">
        <v>0</v>
      </c>
      <c r="G311">
        <v>2393</v>
      </c>
    </row>
    <row r="312" spans="1:7" x14ac:dyDescent="0.2">
      <c r="A312" t="s">
        <v>1772</v>
      </c>
      <c r="B312">
        <v>0</v>
      </c>
      <c r="C312">
        <v>5</v>
      </c>
      <c r="D312">
        <v>83</v>
      </c>
      <c r="E312">
        <v>814</v>
      </c>
      <c r="F312">
        <v>0</v>
      </c>
      <c r="G312">
        <v>902</v>
      </c>
    </row>
    <row r="313" spans="1:7" x14ac:dyDescent="0.2">
      <c r="A313" t="s">
        <v>1774</v>
      </c>
      <c r="B313">
        <v>0</v>
      </c>
      <c r="C313">
        <v>9</v>
      </c>
      <c r="D313">
        <v>57</v>
      </c>
      <c r="E313">
        <v>644</v>
      </c>
      <c r="F313">
        <v>0</v>
      </c>
      <c r="G313">
        <v>710</v>
      </c>
    </row>
    <row r="314" spans="1:7" x14ac:dyDescent="0.2">
      <c r="A314" t="s">
        <v>1777</v>
      </c>
      <c r="B314">
        <v>0</v>
      </c>
      <c r="C314">
        <v>0</v>
      </c>
      <c r="D314">
        <v>0</v>
      </c>
      <c r="E314">
        <v>0</v>
      </c>
      <c r="F314">
        <v>36</v>
      </c>
      <c r="G314">
        <v>36</v>
      </c>
    </row>
    <row r="315" spans="1:7" x14ac:dyDescent="0.2">
      <c r="A315" t="s">
        <v>1782</v>
      </c>
      <c r="B315">
        <v>0</v>
      </c>
      <c r="C315">
        <v>0</v>
      </c>
      <c r="D315">
        <v>0</v>
      </c>
      <c r="E315">
        <v>0</v>
      </c>
      <c r="F315">
        <v>0</v>
      </c>
      <c r="G315">
        <v>0</v>
      </c>
    </row>
    <row r="316" spans="1:7" x14ac:dyDescent="0.2">
      <c r="A316" t="s">
        <v>1274</v>
      </c>
      <c r="B316">
        <v>0</v>
      </c>
      <c r="C316">
        <v>0</v>
      </c>
      <c r="D316">
        <v>0</v>
      </c>
      <c r="E316">
        <v>56</v>
      </c>
      <c r="F316">
        <v>1</v>
      </c>
      <c r="G316">
        <v>57</v>
      </c>
    </row>
    <row r="317" spans="1:7" x14ac:dyDescent="0.2">
      <c r="A317" t="s">
        <v>1277</v>
      </c>
      <c r="B317">
        <v>0</v>
      </c>
      <c r="C317">
        <v>0</v>
      </c>
      <c r="D317">
        <v>0</v>
      </c>
      <c r="E317">
        <v>465</v>
      </c>
      <c r="F317">
        <v>23</v>
      </c>
      <c r="G317">
        <v>488</v>
      </c>
    </row>
    <row r="318" spans="1:7" x14ac:dyDescent="0.2">
      <c r="A318" t="s">
        <v>1798</v>
      </c>
      <c r="B318">
        <v>0</v>
      </c>
      <c r="C318">
        <v>0</v>
      </c>
      <c r="D318">
        <v>0</v>
      </c>
      <c r="E318">
        <v>0</v>
      </c>
      <c r="F318">
        <v>478</v>
      </c>
      <c r="G318">
        <v>478</v>
      </c>
    </row>
    <row r="319" spans="1:7" x14ac:dyDescent="0.2">
      <c r="A319" t="s">
        <v>1803</v>
      </c>
      <c r="B319">
        <v>0</v>
      </c>
      <c r="C319">
        <v>0</v>
      </c>
      <c r="D319">
        <v>0</v>
      </c>
      <c r="E319">
        <v>0</v>
      </c>
      <c r="F319">
        <v>93</v>
      </c>
      <c r="G319">
        <v>93</v>
      </c>
    </row>
    <row r="320" spans="1:7" x14ac:dyDescent="0.2">
      <c r="A320" t="s">
        <v>1808</v>
      </c>
      <c r="B320">
        <v>0</v>
      </c>
      <c r="C320">
        <v>0</v>
      </c>
      <c r="D320">
        <v>0</v>
      </c>
      <c r="E320">
        <v>0</v>
      </c>
      <c r="F320">
        <v>96</v>
      </c>
      <c r="G320">
        <v>96</v>
      </c>
    </row>
    <row r="321" spans="1:7" x14ac:dyDescent="0.2">
      <c r="A321" t="s">
        <v>1813</v>
      </c>
      <c r="B321">
        <v>0</v>
      </c>
      <c r="C321">
        <v>0</v>
      </c>
      <c r="D321">
        <v>0</v>
      </c>
      <c r="E321">
        <v>0</v>
      </c>
      <c r="F321">
        <v>0</v>
      </c>
      <c r="G321">
        <v>0</v>
      </c>
    </row>
    <row r="322" spans="1:7" x14ac:dyDescent="0.2">
      <c r="A322" t="s">
        <v>1819</v>
      </c>
      <c r="B322">
        <v>0</v>
      </c>
      <c r="C322">
        <v>0</v>
      </c>
      <c r="D322">
        <v>0</v>
      </c>
      <c r="E322">
        <v>9</v>
      </c>
      <c r="F322">
        <v>4</v>
      </c>
      <c r="G322">
        <v>13</v>
      </c>
    </row>
    <row r="323" spans="1:7" x14ac:dyDescent="0.2">
      <c r="A323" t="s">
        <v>1826</v>
      </c>
      <c r="B323">
        <v>0</v>
      </c>
      <c r="C323">
        <v>0</v>
      </c>
      <c r="D323">
        <v>0</v>
      </c>
      <c r="E323">
        <v>0</v>
      </c>
      <c r="F323">
        <v>305</v>
      </c>
      <c r="G323">
        <v>305</v>
      </c>
    </row>
    <row r="324" spans="1:7" x14ac:dyDescent="0.2">
      <c r="A324" t="s">
        <v>1830</v>
      </c>
      <c r="B324">
        <v>0</v>
      </c>
      <c r="C324">
        <v>0</v>
      </c>
      <c r="D324">
        <v>0</v>
      </c>
      <c r="E324">
        <v>0</v>
      </c>
      <c r="F324">
        <v>39</v>
      </c>
      <c r="G324">
        <v>39</v>
      </c>
    </row>
    <row r="325" spans="1:7" x14ac:dyDescent="0.2">
      <c r="A325" t="s">
        <v>1836</v>
      </c>
      <c r="B325">
        <v>0</v>
      </c>
      <c r="C325">
        <v>0</v>
      </c>
      <c r="D325">
        <v>0</v>
      </c>
      <c r="E325">
        <v>0</v>
      </c>
      <c r="F325">
        <v>0</v>
      </c>
      <c r="G325">
        <v>0</v>
      </c>
    </row>
    <row r="326" spans="1:7" x14ac:dyDescent="0.2">
      <c r="A326" t="s">
        <v>1841</v>
      </c>
      <c r="B326">
        <v>0</v>
      </c>
      <c r="C326">
        <v>0</v>
      </c>
      <c r="D326">
        <v>14</v>
      </c>
      <c r="E326">
        <v>126</v>
      </c>
      <c r="F326">
        <v>3</v>
      </c>
      <c r="G326">
        <v>144</v>
      </c>
    </row>
    <row r="327" spans="1:7" x14ac:dyDescent="0.2">
      <c r="A327" t="s">
        <v>1842</v>
      </c>
      <c r="B327">
        <v>0</v>
      </c>
      <c r="C327">
        <v>181</v>
      </c>
      <c r="D327">
        <v>402</v>
      </c>
      <c r="E327">
        <v>955</v>
      </c>
      <c r="F327">
        <v>0</v>
      </c>
      <c r="G327">
        <v>1539</v>
      </c>
    </row>
    <row r="328" spans="1:7" x14ac:dyDescent="0.2">
      <c r="A328" t="s">
        <v>1843</v>
      </c>
      <c r="B328">
        <v>0</v>
      </c>
      <c r="C328">
        <v>0</v>
      </c>
      <c r="D328">
        <v>0</v>
      </c>
      <c r="E328">
        <v>0</v>
      </c>
      <c r="F328">
        <v>286</v>
      </c>
      <c r="G328">
        <v>286</v>
      </c>
    </row>
    <row r="329" spans="1:7" x14ac:dyDescent="0.2">
      <c r="A329" t="s">
        <v>1846</v>
      </c>
      <c r="B329">
        <v>0</v>
      </c>
      <c r="C329">
        <v>0</v>
      </c>
      <c r="D329">
        <v>0</v>
      </c>
      <c r="E329">
        <v>0</v>
      </c>
      <c r="F329">
        <v>0</v>
      </c>
      <c r="G329">
        <v>0</v>
      </c>
    </row>
    <row r="330" spans="1:7" x14ac:dyDescent="0.2">
      <c r="A330" t="s">
        <v>1851</v>
      </c>
      <c r="B330">
        <v>0</v>
      </c>
      <c r="C330">
        <v>0</v>
      </c>
      <c r="D330">
        <v>0</v>
      </c>
      <c r="E330">
        <v>93</v>
      </c>
      <c r="F330">
        <v>20</v>
      </c>
      <c r="G330">
        <v>113</v>
      </c>
    </row>
    <row r="331" spans="1:7" x14ac:dyDescent="0.2">
      <c r="A331" t="s">
        <v>1857</v>
      </c>
      <c r="B331">
        <v>0</v>
      </c>
      <c r="C331">
        <v>0</v>
      </c>
      <c r="D331">
        <v>0</v>
      </c>
      <c r="E331">
        <v>0</v>
      </c>
      <c r="F331">
        <v>0</v>
      </c>
      <c r="G331">
        <v>0</v>
      </c>
    </row>
    <row r="332" spans="1:7" x14ac:dyDescent="0.2">
      <c r="A332" t="s">
        <v>1862</v>
      </c>
      <c r="B332">
        <v>0</v>
      </c>
      <c r="C332">
        <v>0</v>
      </c>
      <c r="D332">
        <v>0</v>
      </c>
      <c r="E332">
        <v>308</v>
      </c>
      <c r="F332">
        <v>157</v>
      </c>
      <c r="G332">
        <v>465</v>
      </c>
    </row>
    <row r="333" spans="1:7" x14ac:dyDescent="0.2">
      <c r="A333" t="s">
        <v>1867</v>
      </c>
      <c r="B333">
        <v>0</v>
      </c>
      <c r="C333">
        <v>0</v>
      </c>
      <c r="D333">
        <v>0</v>
      </c>
      <c r="E333">
        <v>0</v>
      </c>
      <c r="F333">
        <v>4</v>
      </c>
      <c r="G333">
        <v>4</v>
      </c>
    </row>
    <row r="334" spans="1:7" x14ac:dyDescent="0.2">
      <c r="A334" t="s">
        <v>1870</v>
      </c>
      <c r="B334">
        <v>0</v>
      </c>
      <c r="C334">
        <v>0</v>
      </c>
      <c r="D334">
        <v>0</v>
      </c>
      <c r="E334">
        <v>0</v>
      </c>
      <c r="F334">
        <v>0</v>
      </c>
      <c r="G334">
        <v>0</v>
      </c>
    </row>
    <row r="335" spans="1:7" x14ac:dyDescent="0.2">
      <c r="A335" t="s">
        <v>1874</v>
      </c>
      <c r="B335">
        <v>0</v>
      </c>
      <c r="C335">
        <v>0</v>
      </c>
      <c r="D335">
        <v>31</v>
      </c>
      <c r="E335">
        <v>757</v>
      </c>
      <c r="F335">
        <v>0</v>
      </c>
      <c r="G335">
        <v>788</v>
      </c>
    </row>
    <row r="336" spans="1:7" x14ac:dyDescent="0.2">
      <c r="A336" t="s">
        <v>1876</v>
      </c>
      <c r="B336">
        <v>0</v>
      </c>
      <c r="C336">
        <v>0</v>
      </c>
      <c r="D336">
        <v>0</v>
      </c>
      <c r="E336">
        <v>0</v>
      </c>
      <c r="F336">
        <v>32</v>
      </c>
      <c r="G336">
        <v>32</v>
      </c>
    </row>
    <row r="337" spans="1:7" x14ac:dyDescent="0.2">
      <c r="A337" t="s">
        <v>1881</v>
      </c>
      <c r="B337">
        <v>0</v>
      </c>
      <c r="C337">
        <v>0</v>
      </c>
      <c r="D337">
        <v>0</v>
      </c>
      <c r="E337">
        <v>0</v>
      </c>
      <c r="F337">
        <v>207</v>
      </c>
      <c r="G337">
        <v>207</v>
      </c>
    </row>
    <row r="338" spans="1:7" x14ac:dyDescent="0.2">
      <c r="A338" t="s">
        <v>1885</v>
      </c>
      <c r="B338">
        <v>163</v>
      </c>
      <c r="C338">
        <v>183</v>
      </c>
      <c r="D338">
        <v>267</v>
      </c>
      <c r="E338">
        <v>592</v>
      </c>
      <c r="F338">
        <v>28</v>
      </c>
      <c r="G338">
        <v>1233</v>
      </c>
    </row>
    <row r="339" spans="1:7" x14ac:dyDescent="0.2">
      <c r="A339" t="s">
        <v>1887</v>
      </c>
      <c r="B339">
        <v>0</v>
      </c>
      <c r="C339">
        <v>0</v>
      </c>
      <c r="D339">
        <v>0</v>
      </c>
      <c r="E339">
        <v>1</v>
      </c>
      <c r="F339">
        <v>6</v>
      </c>
      <c r="G339">
        <v>7</v>
      </c>
    </row>
    <row r="340" spans="1:7" x14ac:dyDescent="0.2">
      <c r="A340" t="s">
        <v>1893</v>
      </c>
      <c r="B340">
        <v>0</v>
      </c>
      <c r="C340">
        <v>0</v>
      </c>
      <c r="D340">
        <v>0</v>
      </c>
      <c r="E340">
        <v>41</v>
      </c>
      <c r="F340">
        <v>11</v>
      </c>
      <c r="G340">
        <v>52</v>
      </c>
    </row>
    <row r="341" spans="1:7" x14ac:dyDescent="0.2">
      <c r="A341" t="s">
        <v>1899</v>
      </c>
      <c r="B341">
        <v>0</v>
      </c>
      <c r="C341">
        <v>0</v>
      </c>
      <c r="D341">
        <v>0</v>
      </c>
      <c r="E341">
        <v>0</v>
      </c>
      <c r="F341">
        <v>0</v>
      </c>
      <c r="G341">
        <v>0</v>
      </c>
    </row>
    <row r="342" spans="1:7" x14ac:dyDescent="0.2">
      <c r="A342" t="s">
        <v>1906</v>
      </c>
      <c r="B342">
        <v>0</v>
      </c>
      <c r="C342">
        <v>0</v>
      </c>
      <c r="D342">
        <v>0</v>
      </c>
      <c r="E342">
        <v>51</v>
      </c>
      <c r="F342">
        <v>1</v>
      </c>
      <c r="G342">
        <v>51</v>
      </c>
    </row>
    <row r="343" spans="1:7" x14ac:dyDescent="0.2">
      <c r="A343" t="s">
        <v>1911</v>
      </c>
      <c r="B343">
        <v>0</v>
      </c>
      <c r="C343">
        <v>0</v>
      </c>
      <c r="D343">
        <v>0</v>
      </c>
      <c r="E343">
        <v>0</v>
      </c>
      <c r="F343">
        <v>0</v>
      </c>
      <c r="G343">
        <v>0</v>
      </c>
    </row>
    <row r="344" spans="1:7" x14ac:dyDescent="0.2">
      <c r="A344" t="s">
        <v>1917</v>
      </c>
      <c r="B344">
        <v>0</v>
      </c>
      <c r="C344">
        <v>0</v>
      </c>
      <c r="D344">
        <v>0</v>
      </c>
      <c r="E344">
        <v>30</v>
      </c>
      <c r="F344">
        <v>45</v>
      </c>
      <c r="G344">
        <v>75</v>
      </c>
    </row>
    <row r="345" spans="1:7" x14ac:dyDescent="0.2">
      <c r="A345" t="s">
        <v>1922</v>
      </c>
      <c r="B345">
        <v>0</v>
      </c>
      <c r="C345">
        <v>0</v>
      </c>
      <c r="D345">
        <v>0</v>
      </c>
      <c r="E345">
        <v>47</v>
      </c>
      <c r="F345">
        <v>21</v>
      </c>
      <c r="G345">
        <v>68</v>
      </c>
    </row>
    <row r="346" spans="1:7" x14ac:dyDescent="0.2">
      <c r="A346" t="s">
        <v>1928</v>
      </c>
      <c r="B346">
        <v>0</v>
      </c>
      <c r="C346">
        <v>0</v>
      </c>
      <c r="D346">
        <v>0</v>
      </c>
      <c r="E346">
        <v>0</v>
      </c>
      <c r="F346">
        <v>418</v>
      </c>
      <c r="G346">
        <v>418</v>
      </c>
    </row>
    <row r="347" spans="1:7" x14ac:dyDescent="0.2">
      <c r="A347" t="s">
        <v>1932</v>
      </c>
      <c r="B347">
        <v>0</v>
      </c>
      <c r="C347">
        <v>0</v>
      </c>
      <c r="D347">
        <v>0</v>
      </c>
      <c r="E347">
        <v>0</v>
      </c>
      <c r="F347">
        <v>108</v>
      </c>
      <c r="G347">
        <v>108</v>
      </c>
    </row>
    <row r="348" spans="1:7" x14ac:dyDescent="0.2">
      <c r="A348" t="s">
        <v>1938</v>
      </c>
      <c r="B348">
        <v>0</v>
      </c>
      <c r="C348">
        <v>0</v>
      </c>
      <c r="D348">
        <v>0</v>
      </c>
      <c r="E348">
        <v>0</v>
      </c>
      <c r="F348">
        <v>23</v>
      </c>
      <c r="G348">
        <v>23</v>
      </c>
    </row>
    <row r="349" spans="1:7" x14ac:dyDescent="0.2">
      <c r="A349" t="s">
        <v>1944</v>
      </c>
      <c r="B349">
        <v>0</v>
      </c>
      <c r="C349">
        <v>17</v>
      </c>
      <c r="D349">
        <v>58</v>
      </c>
      <c r="E349">
        <v>148</v>
      </c>
      <c r="F349">
        <v>5</v>
      </c>
      <c r="G349">
        <v>228</v>
      </c>
    </row>
    <row r="350" spans="1:7" x14ac:dyDescent="0.2">
      <c r="A350" t="s">
        <v>1947</v>
      </c>
      <c r="B350">
        <v>0</v>
      </c>
      <c r="C350">
        <v>0</v>
      </c>
      <c r="D350">
        <v>0</v>
      </c>
      <c r="E350">
        <v>0</v>
      </c>
      <c r="F350">
        <v>2</v>
      </c>
      <c r="G350">
        <v>2</v>
      </c>
    </row>
    <row r="351" spans="1:7" x14ac:dyDescent="0.2">
      <c r="A351" t="s">
        <v>1953</v>
      </c>
      <c r="B351">
        <v>0</v>
      </c>
      <c r="C351">
        <v>0</v>
      </c>
      <c r="D351">
        <v>0</v>
      </c>
      <c r="E351">
        <v>1</v>
      </c>
      <c r="F351">
        <v>4</v>
      </c>
      <c r="G351">
        <v>5</v>
      </c>
    </row>
    <row r="352" spans="1:7" x14ac:dyDescent="0.2">
      <c r="A352" t="s">
        <v>1958</v>
      </c>
      <c r="B352">
        <v>0</v>
      </c>
      <c r="C352">
        <v>0</v>
      </c>
      <c r="D352">
        <v>0</v>
      </c>
      <c r="E352">
        <v>0</v>
      </c>
      <c r="F352">
        <v>0</v>
      </c>
      <c r="G352">
        <v>0</v>
      </c>
    </row>
    <row r="353" spans="1:7" x14ac:dyDescent="0.2">
      <c r="A353" t="s">
        <v>1964</v>
      </c>
      <c r="B353">
        <v>0</v>
      </c>
      <c r="C353">
        <v>0</v>
      </c>
      <c r="D353">
        <v>0</v>
      </c>
      <c r="E353">
        <v>0</v>
      </c>
      <c r="F353">
        <v>3</v>
      </c>
      <c r="G353">
        <v>3</v>
      </c>
    </row>
    <row r="354" spans="1:7" x14ac:dyDescent="0.2">
      <c r="A354" t="s">
        <v>1973</v>
      </c>
      <c r="B354">
        <v>0</v>
      </c>
      <c r="C354">
        <v>0</v>
      </c>
      <c r="D354">
        <v>0</v>
      </c>
      <c r="E354">
        <v>0</v>
      </c>
      <c r="F354">
        <v>116</v>
      </c>
      <c r="G354">
        <v>116</v>
      </c>
    </row>
    <row r="355" spans="1:7" x14ac:dyDescent="0.2">
      <c r="A355" t="s">
        <v>1978</v>
      </c>
      <c r="B355">
        <v>0</v>
      </c>
      <c r="C355">
        <v>0</v>
      </c>
      <c r="D355">
        <v>0</v>
      </c>
      <c r="E355">
        <v>0</v>
      </c>
      <c r="F355">
        <v>182</v>
      </c>
      <c r="G355">
        <v>182</v>
      </c>
    </row>
    <row r="356" spans="1:7" x14ac:dyDescent="0.2">
      <c r="A356" t="s">
        <v>1983</v>
      </c>
      <c r="B356">
        <v>59</v>
      </c>
      <c r="C356">
        <v>4</v>
      </c>
      <c r="D356">
        <v>10</v>
      </c>
      <c r="E356">
        <v>61</v>
      </c>
      <c r="F356">
        <v>14</v>
      </c>
      <c r="G356">
        <v>147</v>
      </c>
    </row>
    <row r="357" spans="1:7" x14ac:dyDescent="0.2">
      <c r="A357" t="s">
        <v>1984</v>
      </c>
      <c r="B357">
        <v>0</v>
      </c>
      <c r="C357">
        <v>0</v>
      </c>
      <c r="D357">
        <v>0</v>
      </c>
      <c r="E357">
        <v>0</v>
      </c>
      <c r="F357">
        <v>0</v>
      </c>
      <c r="G357">
        <v>0</v>
      </c>
    </row>
    <row r="358" spans="1:7" x14ac:dyDescent="0.2">
      <c r="A358" t="s">
        <v>1990</v>
      </c>
      <c r="B358">
        <v>0</v>
      </c>
      <c r="C358">
        <v>0</v>
      </c>
      <c r="D358">
        <v>0</v>
      </c>
      <c r="E358">
        <v>2</v>
      </c>
      <c r="F358">
        <v>3</v>
      </c>
      <c r="G358">
        <v>4</v>
      </c>
    </row>
    <row r="359" spans="1:7" x14ac:dyDescent="0.2">
      <c r="A359" t="s">
        <v>1996</v>
      </c>
      <c r="B359">
        <v>0</v>
      </c>
      <c r="C359">
        <v>0</v>
      </c>
      <c r="D359">
        <v>0</v>
      </c>
      <c r="E359">
        <v>0</v>
      </c>
      <c r="F359">
        <v>0</v>
      </c>
      <c r="G359">
        <v>0</v>
      </c>
    </row>
    <row r="360" spans="1:7" x14ac:dyDescent="0.2">
      <c r="A360" t="s">
        <v>1998</v>
      </c>
      <c r="B360">
        <v>0</v>
      </c>
      <c r="C360">
        <v>0</v>
      </c>
      <c r="D360">
        <v>0</v>
      </c>
      <c r="E360">
        <v>0</v>
      </c>
      <c r="F360">
        <v>0</v>
      </c>
      <c r="G360">
        <v>0</v>
      </c>
    </row>
    <row r="361" spans="1:7" x14ac:dyDescent="0.2">
      <c r="A361" t="s">
        <v>1999</v>
      </c>
      <c r="B361">
        <v>0</v>
      </c>
      <c r="C361">
        <v>0</v>
      </c>
      <c r="D361">
        <v>0</v>
      </c>
      <c r="E361">
        <v>0</v>
      </c>
      <c r="F361">
        <v>11</v>
      </c>
      <c r="G361">
        <v>11</v>
      </c>
    </row>
    <row r="362" spans="1:7" x14ac:dyDescent="0.2">
      <c r="A362" t="s">
        <v>2004</v>
      </c>
      <c r="B362">
        <v>0</v>
      </c>
      <c r="C362">
        <v>0</v>
      </c>
      <c r="D362">
        <v>0</v>
      </c>
      <c r="E362">
        <v>9</v>
      </c>
      <c r="F362">
        <v>13</v>
      </c>
      <c r="G362">
        <v>23</v>
      </c>
    </row>
    <row r="363" spans="1:7" x14ac:dyDescent="0.2">
      <c r="A363" t="s">
        <v>2009</v>
      </c>
      <c r="B363">
        <v>0</v>
      </c>
      <c r="C363">
        <v>0</v>
      </c>
      <c r="D363">
        <v>0</v>
      </c>
      <c r="E363">
        <v>0</v>
      </c>
      <c r="F363">
        <v>0</v>
      </c>
      <c r="G363">
        <v>0</v>
      </c>
    </row>
    <row r="364" spans="1:7" x14ac:dyDescent="0.2">
      <c r="A364" t="s">
        <v>2014</v>
      </c>
      <c r="B364">
        <v>0</v>
      </c>
      <c r="C364">
        <v>0</v>
      </c>
      <c r="D364">
        <v>0</v>
      </c>
      <c r="E364">
        <v>434</v>
      </c>
      <c r="F364">
        <v>243</v>
      </c>
      <c r="G364">
        <v>677</v>
      </c>
    </row>
    <row r="365" spans="1:7" x14ac:dyDescent="0.2">
      <c r="A365" t="s">
        <v>2019</v>
      </c>
      <c r="B365">
        <v>0</v>
      </c>
      <c r="C365">
        <v>0</v>
      </c>
      <c r="D365">
        <v>0</v>
      </c>
      <c r="E365">
        <v>0</v>
      </c>
      <c r="F365">
        <v>0</v>
      </c>
      <c r="G365">
        <v>0</v>
      </c>
    </row>
    <row r="366" spans="1:7" x14ac:dyDescent="0.2">
      <c r="A366" t="s">
        <v>2023</v>
      </c>
      <c r="B366">
        <v>0</v>
      </c>
      <c r="C366">
        <v>0</v>
      </c>
      <c r="D366">
        <v>0</v>
      </c>
      <c r="E366">
        <v>0</v>
      </c>
      <c r="F366">
        <v>2</v>
      </c>
      <c r="G366">
        <v>2</v>
      </c>
    </row>
    <row r="367" spans="1:7" x14ac:dyDescent="0.2">
      <c r="A367" t="s">
        <v>2026</v>
      </c>
      <c r="B367">
        <v>0</v>
      </c>
      <c r="C367">
        <v>0</v>
      </c>
      <c r="D367">
        <v>0</v>
      </c>
      <c r="E367">
        <v>0</v>
      </c>
      <c r="F367">
        <v>48</v>
      </c>
      <c r="G367">
        <v>48</v>
      </c>
    </row>
    <row r="368" spans="1:7" x14ac:dyDescent="0.2">
      <c r="A368" t="s">
        <v>2030</v>
      </c>
      <c r="B368">
        <v>0</v>
      </c>
      <c r="C368">
        <v>0</v>
      </c>
      <c r="D368">
        <v>0</v>
      </c>
      <c r="E368">
        <v>0</v>
      </c>
      <c r="F368">
        <v>0</v>
      </c>
      <c r="G368">
        <v>0</v>
      </c>
    </row>
    <row r="369" spans="1:7" x14ac:dyDescent="0.2">
      <c r="A369" t="s">
        <v>2035</v>
      </c>
      <c r="B369">
        <v>0</v>
      </c>
      <c r="C369">
        <v>0</v>
      </c>
      <c r="D369">
        <v>0</v>
      </c>
      <c r="E369">
        <v>0</v>
      </c>
      <c r="F369">
        <v>0</v>
      </c>
      <c r="G369">
        <v>0</v>
      </c>
    </row>
    <row r="370" spans="1:7" x14ac:dyDescent="0.2">
      <c r="A370" t="s">
        <v>2040</v>
      </c>
      <c r="B370">
        <v>0</v>
      </c>
      <c r="C370">
        <v>0</v>
      </c>
      <c r="D370">
        <v>0</v>
      </c>
      <c r="E370">
        <v>0</v>
      </c>
      <c r="F370">
        <v>126</v>
      </c>
      <c r="G370">
        <v>126</v>
      </c>
    </row>
    <row r="371" spans="1:7" x14ac:dyDescent="0.2">
      <c r="A371" t="s">
        <v>2045</v>
      </c>
      <c r="B371">
        <v>0</v>
      </c>
      <c r="C371">
        <v>0</v>
      </c>
      <c r="D371">
        <v>0</v>
      </c>
      <c r="E371">
        <v>0</v>
      </c>
      <c r="F371">
        <v>0</v>
      </c>
      <c r="G371">
        <v>0</v>
      </c>
    </row>
    <row r="372" spans="1:7" x14ac:dyDescent="0.2">
      <c r="A372" t="s">
        <v>2049</v>
      </c>
      <c r="B372">
        <v>0</v>
      </c>
      <c r="C372">
        <v>0</v>
      </c>
      <c r="D372">
        <v>99</v>
      </c>
      <c r="E372">
        <v>242</v>
      </c>
      <c r="F372">
        <v>40</v>
      </c>
      <c r="G372">
        <v>381</v>
      </c>
    </row>
    <row r="373" spans="1:7" x14ac:dyDescent="0.2">
      <c r="A373" t="s">
        <v>2051</v>
      </c>
      <c r="B373">
        <v>0</v>
      </c>
      <c r="C373">
        <v>0</v>
      </c>
      <c r="D373">
        <v>0</v>
      </c>
      <c r="E373">
        <v>0</v>
      </c>
      <c r="F373">
        <v>27</v>
      </c>
      <c r="G373">
        <v>27</v>
      </c>
    </row>
    <row r="374" spans="1:7" x14ac:dyDescent="0.2">
      <c r="A374" t="s">
        <v>2057</v>
      </c>
      <c r="B374">
        <v>0</v>
      </c>
      <c r="C374">
        <v>0</v>
      </c>
      <c r="D374">
        <v>0</v>
      </c>
      <c r="E374">
        <v>2</v>
      </c>
      <c r="F374">
        <v>44</v>
      </c>
      <c r="G374">
        <v>45</v>
      </c>
    </row>
    <row r="375" spans="1:7" x14ac:dyDescent="0.2">
      <c r="A375" t="s">
        <v>4344</v>
      </c>
      <c r="B375">
        <v>0</v>
      </c>
      <c r="C375">
        <v>0</v>
      </c>
      <c r="D375">
        <v>0</v>
      </c>
      <c r="E375">
        <v>25</v>
      </c>
      <c r="F375">
        <v>1</v>
      </c>
      <c r="G375">
        <v>26</v>
      </c>
    </row>
    <row r="376" spans="1:7" x14ac:dyDescent="0.2">
      <c r="A376" t="s">
        <v>4345</v>
      </c>
      <c r="B376">
        <v>0</v>
      </c>
      <c r="C376">
        <v>0</v>
      </c>
      <c r="D376">
        <v>0</v>
      </c>
      <c r="E376">
        <v>99</v>
      </c>
      <c r="F376">
        <v>21</v>
      </c>
      <c r="G376">
        <v>120</v>
      </c>
    </row>
    <row r="377" spans="1:7" x14ac:dyDescent="0.2">
      <c r="A377" t="s">
        <v>2074</v>
      </c>
      <c r="B377">
        <v>0</v>
      </c>
      <c r="C377">
        <v>0</v>
      </c>
      <c r="D377">
        <v>0</v>
      </c>
      <c r="E377">
        <v>25</v>
      </c>
      <c r="F377">
        <v>0</v>
      </c>
      <c r="G377">
        <v>25</v>
      </c>
    </row>
    <row r="378" spans="1:7" x14ac:dyDescent="0.2">
      <c r="A378" t="s">
        <v>2079</v>
      </c>
      <c r="B378">
        <v>0</v>
      </c>
      <c r="C378">
        <v>0</v>
      </c>
      <c r="D378">
        <v>0</v>
      </c>
      <c r="E378">
        <v>71</v>
      </c>
      <c r="F378">
        <v>8</v>
      </c>
      <c r="G378">
        <v>78</v>
      </c>
    </row>
    <row r="379" spans="1:7" x14ac:dyDescent="0.2">
      <c r="A379" t="s">
        <v>2085</v>
      </c>
      <c r="B379">
        <v>0</v>
      </c>
      <c r="C379">
        <v>0</v>
      </c>
      <c r="D379">
        <v>0</v>
      </c>
      <c r="E379">
        <v>0</v>
      </c>
      <c r="F379">
        <v>0</v>
      </c>
      <c r="G379">
        <v>0</v>
      </c>
    </row>
    <row r="380" spans="1:7" x14ac:dyDescent="0.2">
      <c r="A380" t="s">
        <v>2091</v>
      </c>
      <c r="B380">
        <v>0</v>
      </c>
      <c r="C380">
        <v>0</v>
      </c>
      <c r="D380">
        <v>0</v>
      </c>
      <c r="E380">
        <v>27</v>
      </c>
      <c r="F380">
        <v>17</v>
      </c>
      <c r="G380">
        <v>44</v>
      </c>
    </row>
    <row r="381" spans="1:7" x14ac:dyDescent="0.2">
      <c r="A381" t="s">
        <v>2097</v>
      </c>
      <c r="B381">
        <v>0</v>
      </c>
      <c r="C381">
        <v>0</v>
      </c>
      <c r="D381">
        <v>0</v>
      </c>
      <c r="E381">
        <v>0</v>
      </c>
      <c r="F381">
        <v>29</v>
      </c>
      <c r="G381">
        <v>29</v>
      </c>
    </row>
    <row r="382" spans="1:7" x14ac:dyDescent="0.2">
      <c r="A382" t="s">
        <v>2101</v>
      </c>
      <c r="B382">
        <v>0</v>
      </c>
      <c r="C382">
        <v>0</v>
      </c>
      <c r="D382">
        <v>0</v>
      </c>
      <c r="E382">
        <v>0</v>
      </c>
      <c r="F382">
        <v>24</v>
      </c>
      <c r="G382">
        <v>24</v>
      </c>
    </row>
    <row r="383" spans="1:7" x14ac:dyDescent="0.2">
      <c r="A383" t="s">
        <v>2104</v>
      </c>
      <c r="B383">
        <v>0</v>
      </c>
      <c r="C383">
        <v>0</v>
      </c>
      <c r="D383">
        <v>0</v>
      </c>
      <c r="E383">
        <v>0</v>
      </c>
      <c r="F383">
        <v>0</v>
      </c>
      <c r="G383">
        <v>0</v>
      </c>
    </row>
    <row r="384" spans="1:7" x14ac:dyDescent="0.2">
      <c r="A384" t="s">
        <v>2107</v>
      </c>
      <c r="B384">
        <v>0</v>
      </c>
      <c r="C384">
        <v>0</v>
      </c>
      <c r="D384">
        <v>0</v>
      </c>
      <c r="E384">
        <v>0</v>
      </c>
      <c r="F384">
        <v>97</v>
      </c>
      <c r="G384">
        <v>97</v>
      </c>
    </row>
    <row r="385" spans="1:7" x14ac:dyDescent="0.2">
      <c r="A385" t="s">
        <v>2110</v>
      </c>
      <c r="B385">
        <v>0</v>
      </c>
      <c r="C385">
        <v>0</v>
      </c>
      <c r="D385">
        <v>0</v>
      </c>
      <c r="E385">
        <v>0</v>
      </c>
      <c r="F385">
        <v>0</v>
      </c>
      <c r="G385">
        <v>0</v>
      </c>
    </row>
    <row r="386" spans="1:7" x14ac:dyDescent="0.2">
      <c r="A386" t="s">
        <v>2113</v>
      </c>
      <c r="B386">
        <v>0</v>
      </c>
      <c r="C386">
        <v>0</v>
      </c>
      <c r="D386">
        <v>0</v>
      </c>
      <c r="E386">
        <v>0</v>
      </c>
      <c r="F386">
        <v>0</v>
      </c>
      <c r="G386">
        <v>0</v>
      </c>
    </row>
    <row r="387" spans="1:7" x14ac:dyDescent="0.2">
      <c r="A387" t="s">
        <v>4346</v>
      </c>
      <c r="B387">
        <v>0</v>
      </c>
      <c r="C387">
        <v>0</v>
      </c>
      <c r="D387">
        <v>0</v>
      </c>
      <c r="E387">
        <v>0</v>
      </c>
      <c r="F387">
        <v>52</v>
      </c>
      <c r="G387">
        <v>52</v>
      </c>
    </row>
    <row r="388" spans="1:7" x14ac:dyDescent="0.2">
      <c r="A388" t="s">
        <v>4347</v>
      </c>
      <c r="B388">
        <v>0</v>
      </c>
      <c r="C388">
        <v>0</v>
      </c>
      <c r="D388">
        <v>0</v>
      </c>
      <c r="E388">
        <v>0</v>
      </c>
      <c r="F388">
        <v>48</v>
      </c>
      <c r="G388">
        <v>48</v>
      </c>
    </row>
    <row r="389" spans="1:7" x14ac:dyDescent="0.2">
      <c r="A389" t="s">
        <v>4348</v>
      </c>
      <c r="B389">
        <v>0</v>
      </c>
      <c r="C389">
        <v>0</v>
      </c>
      <c r="D389">
        <v>0</v>
      </c>
      <c r="E389">
        <v>0</v>
      </c>
      <c r="F389">
        <v>0</v>
      </c>
      <c r="G389">
        <v>0</v>
      </c>
    </row>
    <row r="390" spans="1:7" x14ac:dyDescent="0.2">
      <c r="A390" t="s">
        <v>4349</v>
      </c>
      <c r="B390">
        <v>0</v>
      </c>
      <c r="C390">
        <v>0</v>
      </c>
      <c r="D390">
        <v>0</v>
      </c>
      <c r="E390">
        <v>0</v>
      </c>
      <c r="F390">
        <v>0</v>
      </c>
      <c r="G390">
        <v>0</v>
      </c>
    </row>
    <row r="391" spans="1:7" x14ac:dyDescent="0.2">
      <c r="A391" t="s">
        <v>4350</v>
      </c>
      <c r="B391">
        <v>0</v>
      </c>
      <c r="C391">
        <v>773</v>
      </c>
      <c r="D391">
        <v>3164</v>
      </c>
      <c r="E391">
        <v>75</v>
      </c>
      <c r="F391">
        <v>0</v>
      </c>
      <c r="G391">
        <v>4012</v>
      </c>
    </row>
    <row r="392" spans="1:7" x14ac:dyDescent="0.2">
      <c r="A392" t="s">
        <v>4351</v>
      </c>
      <c r="B392">
        <v>0</v>
      </c>
      <c r="C392">
        <v>0</v>
      </c>
      <c r="D392">
        <v>0</v>
      </c>
      <c r="E392">
        <v>0</v>
      </c>
      <c r="F392">
        <v>0</v>
      </c>
      <c r="G392">
        <v>0</v>
      </c>
    </row>
    <row r="393" spans="1:7" x14ac:dyDescent="0.2">
      <c r="A393" t="s">
        <v>4352</v>
      </c>
      <c r="B393">
        <v>0</v>
      </c>
      <c r="C393">
        <v>0</v>
      </c>
      <c r="D393">
        <v>0</v>
      </c>
      <c r="E393">
        <v>0</v>
      </c>
      <c r="F393">
        <v>0</v>
      </c>
      <c r="G393">
        <v>0</v>
      </c>
    </row>
    <row r="394" spans="1:7" x14ac:dyDescent="0.2">
      <c r="A394" t="s">
        <v>4353</v>
      </c>
      <c r="B394">
        <v>1</v>
      </c>
      <c r="C394">
        <v>204</v>
      </c>
      <c r="D394">
        <v>84</v>
      </c>
      <c r="E394">
        <v>0</v>
      </c>
      <c r="F394">
        <v>0</v>
      </c>
      <c r="G394">
        <v>289</v>
      </c>
    </row>
    <row r="395" spans="1:7" x14ac:dyDescent="0.2">
      <c r="A395" t="s">
        <v>4354</v>
      </c>
      <c r="B395">
        <v>7</v>
      </c>
      <c r="C395">
        <v>112</v>
      </c>
      <c r="D395">
        <v>38</v>
      </c>
      <c r="E395">
        <v>0</v>
      </c>
      <c r="F395">
        <v>0</v>
      </c>
      <c r="G395">
        <v>157</v>
      </c>
    </row>
    <row r="396" spans="1:7" x14ac:dyDescent="0.2">
      <c r="A396" t="s">
        <v>4355</v>
      </c>
      <c r="B396">
        <v>0</v>
      </c>
      <c r="C396">
        <v>0</v>
      </c>
      <c r="D396">
        <v>0</v>
      </c>
      <c r="E396">
        <v>0</v>
      </c>
      <c r="F396">
        <v>0</v>
      </c>
      <c r="G396">
        <v>0</v>
      </c>
    </row>
    <row r="397" spans="1:7" x14ac:dyDescent="0.2">
      <c r="A397" t="s">
        <v>4356</v>
      </c>
      <c r="B397">
        <v>0</v>
      </c>
      <c r="C397">
        <v>0</v>
      </c>
      <c r="D397">
        <v>0</v>
      </c>
      <c r="E397">
        <v>0</v>
      </c>
      <c r="F397">
        <v>0</v>
      </c>
      <c r="G397">
        <v>0</v>
      </c>
    </row>
    <row r="398" spans="1:7" x14ac:dyDescent="0.2">
      <c r="A398" t="s">
        <v>4357</v>
      </c>
      <c r="B398">
        <v>2</v>
      </c>
      <c r="C398">
        <v>179</v>
      </c>
      <c r="D398">
        <v>122</v>
      </c>
      <c r="E398">
        <v>0</v>
      </c>
      <c r="F398">
        <v>0</v>
      </c>
      <c r="G398">
        <v>303</v>
      </c>
    </row>
    <row r="399" spans="1:7" x14ac:dyDescent="0.2">
      <c r="A399" t="s">
        <v>4358</v>
      </c>
      <c r="B399">
        <v>0</v>
      </c>
      <c r="C399">
        <v>0</v>
      </c>
      <c r="D399">
        <v>0</v>
      </c>
      <c r="E399">
        <v>0</v>
      </c>
      <c r="F399">
        <v>0</v>
      </c>
      <c r="G399">
        <v>0</v>
      </c>
    </row>
    <row r="400" spans="1:7" x14ac:dyDescent="0.2">
      <c r="A400" t="s">
        <v>4359</v>
      </c>
      <c r="B400">
        <v>0</v>
      </c>
      <c r="C400">
        <v>0</v>
      </c>
      <c r="D400">
        <v>0</v>
      </c>
      <c r="E400">
        <v>0</v>
      </c>
      <c r="F400">
        <v>0</v>
      </c>
      <c r="G400">
        <v>0</v>
      </c>
    </row>
    <row r="401" spans="1:7" x14ac:dyDescent="0.2">
      <c r="A401" t="s">
        <v>4360</v>
      </c>
      <c r="B401">
        <v>0</v>
      </c>
      <c r="C401">
        <v>0</v>
      </c>
      <c r="D401">
        <v>5</v>
      </c>
      <c r="E401">
        <v>2</v>
      </c>
      <c r="F401">
        <v>0</v>
      </c>
      <c r="G401">
        <v>8</v>
      </c>
    </row>
    <row r="402" spans="1:7" x14ac:dyDescent="0.2">
      <c r="A402" t="s">
        <v>4361</v>
      </c>
      <c r="B402">
        <v>0</v>
      </c>
      <c r="C402">
        <v>0</v>
      </c>
      <c r="D402">
        <v>0</v>
      </c>
      <c r="E402">
        <v>0</v>
      </c>
      <c r="F402">
        <v>0</v>
      </c>
      <c r="G402">
        <v>0</v>
      </c>
    </row>
    <row r="403" spans="1:7" x14ac:dyDescent="0.2">
      <c r="A403" t="s">
        <v>4362</v>
      </c>
      <c r="B403">
        <v>0</v>
      </c>
      <c r="C403">
        <v>0</v>
      </c>
      <c r="D403">
        <v>0</v>
      </c>
      <c r="E403">
        <v>0</v>
      </c>
      <c r="F403">
        <v>0</v>
      </c>
      <c r="G403">
        <v>0</v>
      </c>
    </row>
    <row r="404" spans="1:7" x14ac:dyDescent="0.2">
      <c r="A404" t="s">
        <v>4363</v>
      </c>
      <c r="B404">
        <v>0</v>
      </c>
      <c r="C404">
        <v>0</v>
      </c>
      <c r="D404">
        <v>0</v>
      </c>
      <c r="E404">
        <v>0</v>
      </c>
      <c r="F404">
        <v>0</v>
      </c>
      <c r="G404">
        <v>0</v>
      </c>
    </row>
    <row r="405" spans="1:7" x14ac:dyDescent="0.2">
      <c r="A405" t="s">
        <v>4364</v>
      </c>
      <c r="B405">
        <v>0</v>
      </c>
      <c r="C405">
        <v>0</v>
      </c>
      <c r="D405">
        <v>0</v>
      </c>
      <c r="E405">
        <v>0</v>
      </c>
      <c r="F405">
        <v>0</v>
      </c>
      <c r="G405">
        <v>0</v>
      </c>
    </row>
    <row r="406" spans="1:7" x14ac:dyDescent="0.2">
      <c r="A406" t="s">
        <v>4365</v>
      </c>
      <c r="B406">
        <v>10</v>
      </c>
      <c r="C406">
        <v>403</v>
      </c>
      <c r="D406">
        <v>326</v>
      </c>
      <c r="E406">
        <v>0</v>
      </c>
      <c r="F406">
        <v>0</v>
      </c>
      <c r="G406">
        <v>739</v>
      </c>
    </row>
    <row r="407" spans="1:7" x14ac:dyDescent="0.2">
      <c r="A407" t="s">
        <v>4366</v>
      </c>
      <c r="B407">
        <v>103</v>
      </c>
      <c r="C407">
        <v>1586</v>
      </c>
      <c r="D407">
        <v>815</v>
      </c>
      <c r="E407">
        <v>88</v>
      </c>
      <c r="F407">
        <v>0</v>
      </c>
      <c r="G407">
        <v>2591</v>
      </c>
    </row>
    <row r="408" spans="1:7" x14ac:dyDescent="0.2">
      <c r="A408" t="s">
        <v>4367</v>
      </c>
      <c r="B408">
        <v>4</v>
      </c>
      <c r="C408">
        <v>68</v>
      </c>
      <c r="D408">
        <v>183</v>
      </c>
      <c r="E408">
        <v>15</v>
      </c>
      <c r="F408">
        <v>0</v>
      </c>
      <c r="G408">
        <v>270</v>
      </c>
    </row>
    <row r="409" spans="1:7" x14ac:dyDescent="0.2">
      <c r="A409" t="s">
        <v>4368</v>
      </c>
      <c r="B409">
        <v>68</v>
      </c>
      <c r="C409">
        <v>233</v>
      </c>
      <c r="D409">
        <v>423</v>
      </c>
      <c r="E409">
        <v>802</v>
      </c>
      <c r="F409">
        <v>162</v>
      </c>
      <c r="G409">
        <v>1687</v>
      </c>
    </row>
    <row r="410" spans="1:7" x14ac:dyDescent="0.2">
      <c r="A410" t="s">
        <v>4369</v>
      </c>
      <c r="B410">
        <v>44</v>
      </c>
      <c r="C410">
        <v>422</v>
      </c>
      <c r="D410">
        <v>1169</v>
      </c>
      <c r="E410">
        <v>288</v>
      </c>
      <c r="F410">
        <v>0</v>
      </c>
      <c r="G410">
        <v>1924</v>
      </c>
    </row>
    <row r="411" spans="1:7" x14ac:dyDescent="0.2">
      <c r="A411" t="s">
        <v>4370</v>
      </c>
      <c r="B411">
        <v>354</v>
      </c>
      <c r="C411">
        <v>341</v>
      </c>
      <c r="D411">
        <v>320</v>
      </c>
      <c r="E411">
        <v>46</v>
      </c>
      <c r="F411">
        <v>0</v>
      </c>
      <c r="G411">
        <v>1061</v>
      </c>
    </row>
    <row r="412" spans="1:7" x14ac:dyDescent="0.2">
      <c r="A412" t="s">
        <v>4371</v>
      </c>
      <c r="B412">
        <v>67</v>
      </c>
      <c r="C412">
        <v>82</v>
      </c>
      <c r="D412">
        <v>167</v>
      </c>
      <c r="E412">
        <v>72</v>
      </c>
      <c r="F412">
        <v>0</v>
      </c>
      <c r="G412">
        <v>387</v>
      </c>
    </row>
    <row r="413" spans="1:7" x14ac:dyDescent="0.2">
      <c r="A413" t="s">
        <v>4372</v>
      </c>
      <c r="B413">
        <v>0</v>
      </c>
      <c r="C413">
        <v>0</v>
      </c>
      <c r="D413">
        <v>0</v>
      </c>
      <c r="E413">
        <v>0</v>
      </c>
      <c r="F413">
        <v>0</v>
      </c>
      <c r="G413">
        <v>0</v>
      </c>
    </row>
    <row r="414" spans="1:7" x14ac:dyDescent="0.2">
      <c r="A414" t="s">
        <v>4373</v>
      </c>
      <c r="B414">
        <v>153</v>
      </c>
      <c r="C414">
        <v>5474</v>
      </c>
      <c r="D414">
        <v>4622</v>
      </c>
      <c r="E414">
        <v>492</v>
      </c>
      <c r="F414">
        <v>0</v>
      </c>
      <c r="G414">
        <v>10740</v>
      </c>
    </row>
    <row r="415" spans="1:7" x14ac:dyDescent="0.2">
      <c r="A415" t="s">
        <v>4374</v>
      </c>
      <c r="B415">
        <v>63</v>
      </c>
      <c r="C415">
        <v>1085</v>
      </c>
      <c r="D415">
        <v>2218</v>
      </c>
      <c r="E415">
        <v>2103</v>
      </c>
      <c r="F415">
        <v>0</v>
      </c>
      <c r="G415">
        <v>5469</v>
      </c>
    </row>
    <row r="416" spans="1:7" x14ac:dyDescent="0.2">
      <c r="A416" t="s">
        <v>4375</v>
      </c>
      <c r="B416">
        <v>466</v>
      </c>
      <c r="C416">
        <v>13269</v>
      </c>
      <c r="D416">
        <v>18040</v>
      </c>
      <c r="E416">
        <v>7049</v>
      </c>
      <c r="F416">
        <v>0</v>
      </c>
      <c r="G416">
        <v>38824</v>
      </c>
    </row>
    <row r="417" spans="1:7" x14ac:dyDescent="0.2">
      <c r="A417" t="s">
        <v>4376</v>
      </c>
      <c r="B417">
        <v>24</v>
      </c>
      <c r="C417">
        <v>2120</v>
      </c>
      <c r="D417">
        <v>2499</v>
      </c>
      <c r="E417">
        <v>585</v>
      </c>
      <c r="F417">
        <v>0</v>
      </c>
      <c r="G417">
        <v>5229</v>
      </c>
    </row>
    <row r="418" spans="1:7" x14ac:dyDescent="0.2">
      <c r="A418" t="s">
        <v>4377</v>
      </c>
      <c r="B418">
        <v>51</v>
      </c>
      <c r="C418">
        <v>1595</v>
      </c>
      <c r="D418">
        <v>6316</v>
      </c>
      <c r="E418">
        <v>7538</v>
      </c>
      <c r="F418">
        <v>0</v>
      </c>
      <c r="G418">
        <v>15500</v>
      </c>
    </row>
    <row r="419" spans="1:7" x14ac:dyDescent="0.2">
      <c r="A419" t="s">
        <v>4248</v>
      </c>
    </row>
    <row r="420" spans="1:7" x14ac:dyDescent="0.2">
      <c r="A420" t="s">
        <v>4250</v>
      </c>
      <c r="C420" t="s">
        <v>4251</v>
      </c>
      <c r="G420" t="s">
        <v>7535</v>
      </c>
    </row>
    <row r="421" spans="1:7" x14ac:dyDescent="0.2">
      <c r="A421" t="s">
        <v>4253</v>
      </c>
      <c r="G421" t="s">
        <v>7536</v>
      </c>
    </row>
    <row r="422" spans="1:7" x14ac:dyDescent="0.2">
      <c r="A422" t="s">
        <v>7530</v>
      </c>
    </row>
    <row r="425" spans="1:7" x14ac:dyDescent="0.2">
      <c r="A425" t="s">
        <v>4257</v>
      </c>
    </row>
    <row r="427" spans="1:7" x14ac:dyDescent="0.2">
      <c r="A427" t="s">
        <v>4260</v>
      </c>
      <c r="B427" t="s">
        <v>4261</v>
      </c>
      <c r="C427" t="s">
        <v>4261</v>
      </c>
      <c r="D427" t="s">
        <v>4261</v>
      </c>
      <c r="E427" t="s">
        <v>4261</v>
      </c>
      <c r="F427" t="s">
        <v>4261</v>
      </c>
      <c r="G427" t="s">
        <v>4261</v>
      </c>
    </row>
    <row r="428" spans="1:7" x14ac:dyDescent="0.2">
      <c r="A428" t="s">
        <v>126</v>
      </c>
      <c r="B428" t="s">
        <v>4262</v>
      </c>
      <c r="C428" t="s">
        <v>4263</v>
      </c>
      <c r="D428" t="s">
        <v>4264</v>
      </c>
      <c r="E428" t="s">
        <v>2308</v>
      </c>
      <c r="F428" t="s">
        <v>615</v>
      </c>
      <c r="G428" t="s">
        <v>236</v>
      </c>
    </row>
    <row r="429" spans="1:7" x14ac:dyDescent="0.2">
      <c r="A429" t="s">
        <v>4260</v>
      </c>
      <c r="B429" t="s">
        <v>4261</v>
      </c>
      <c r="C429" t="s">
        <v>4261</v>
      </c>
      <c r="D429" t="s">
        <v>4261</v>
      </c>
      <c r="E429" t="s">
        <v>4261</v>
      </c>
      <c r="F429" t="s">
        <v>4261</v>
      </c>
      <c r="G429" t="s">
        <v>4261</v>
      </c>
    </row>
    <row r="430" spans="1:7" x14ac:dyDescent="0.2">
      <c r="A430" t="s">
        <v>4265</v>
      </c>
      <c r="B430">
        <v>0</v>
      </c>
      <c r="C430">
        <v>0</v>
      </c>
      <c r="D430">
        <v>0</v>
      </c>
      <c r="E430">
        <v>0</v>
      </c>
      <c r="F430">
        <v>0</v>
      </c>
      <c r="G430">
        <v>0</v>
      </c>
    </row>
    <row r="431" spans="1:7" x14ac:dyDescent="0.2">
      <c r="A431" t="s">
        <v>4266</v>
      </c>
      <c r="B431">
        <v>0</v>
      </c>
      <c r="C431">
        <v>0</v>
      </c>
      <c r="D431">
        <v>0</v>
      </c>
      <c r="E431">
        <v>0</v>
      </c>
      <c r="F431">
        <v>0</v>
      </c>
      <c r="G431">
        <v>0</v>
      </c>
    </row>
    <row r="432" spans="1:7" x14ac:dyDescent="0.2">
      <c r="A432" t="s">
        <v>4267</v>
      </c>
      <c r="B432">
        <v>610</v>
      </c>
      <c r="C432">
        <v>96</v>
      </c>
      <c r="D432">
        <v>46</v>
      </c>
      <c r="E432">
        <v>1</v>
      </c>
      <c r="F432">
        <v>0</v>
      </c>
      <c r="G432">
        <v>754</v>
      </c>
    </row>
    <row r="433" spans="1:7" x14ac:dyDescent="0.2">
      <c r="A433" t="s">
        <v>4268</v>
      </c>
      <c r="B433">
        <v>0</v>
      </c>
      <c r="C433">
        <v>249</v>
      </c>
      <c r="D433">
        <v>54</v>
      </c>
      <c r="E433">
        <v>0</v>
      </c>
      <c r="F433">
        <v>0</v>
      </c>
      <c r="G433">
        <v>303</v>
      </c>
    </row>
    <row r="434" spans="1:7" x14ac:dyDescent="0.2">
      <c r="A434" t="s">
        <v>4269</v>
      </c>
      <c r="B434">
        <v>686</v>
      </c>
      <c r="C434">
        <v>0</v>
      </c>
      <c r="D434">
        <v>124</v>
      </c>
      <c r="E434">
        <v>2</v>
      </c>
      <c r="F434">
        <v>0</v>
      </c>
      <c r="G434">
        <v>812</v>
      </c>
    </row>
    <row r="435" spans="1:7" x14ac:dyDescent="0.2">
      <c r="A435" t="s">
        <v>4270</v>
      </c>
      <c r="B435">
        <v>0</v>
      </c>
      <c r="C435">
        <v>0</v>
      </c>
      <c r="D435">
        <v>0</v>
      </c>
      <c r="E435">
        <v>0</v>
      </c>
      <c r="F435">
        <v>0</v>
      </c>
      <c r="G435">
        <v>0</v>
      </c>
    </row>
    <row r="436" spans="1:7" x14ac:dyDescent="0.2">
      <c r="A436" t="s">
        <v>4271</v>
      </c>
      <c r="B436">
        <v>176</v>
      </c>
      <c r="C436">
        <v>140</v>
      </c>
      <c r="D436">
        <v>19</v>
      </c>
      <c r="E436">
        <v>12</v>
      </c>
      <c r="F436">
        <v>0</v>
      </c>
      <c r="G436">
        <v>347</v>
      </c>
    </row>
    <row r="437" spans="1:7" x14ac:dyDescent="0.2">
      <c r="A437" t="s">
        <v>4272</v>
      </c>
      <c r="B437">
        <v>409</v>
      </c>
      <c r="C437">
        <v>51</v>
      </c>
      <c r="D437">
        <v>14</v>
      </c>
      <c r="E437">
        <v>23</v>
      </c>
      <c r="F437">
        <v>0</v>
      </c>
      <c r="G437">
        <v>497</v>
      </c>
    </row>
    <row r="438" spans="1:7" x14ac:dyDescent="0.2">
      <c r="A438" t="s">
        <v>4273</v>
      </c>
      <c r="B438">
        <v>0</v>
      </c>
      <c r="C438">
        <v>0</v>
      </c>
      <c r="D438">
        <v>0</v>
      </c>
      <c r="E438">
        <v>0</v>
      </c>
      <c r="F438">
        <v>0</v>
      </c>
      <c r="G438">
        <v>0</v>
      </c>
    </row>
    <row r="439" spans="1:7" x14ac:dyDescent="0.2">
      <c r="A439" t="s">
        <v>4274</v>
      </c>
      <c r="B439">
        <v>0</v>
      </c>
      <c r="C439">
        <v>0</v>
      </c>
      <c r="D439">
        <v>0</v>
      </c>
      <c r="E439">
        <v>0</v>
      </c>
      <c r="F439">
        <v>0</v>
      </c>
      <c r="G439">
        <v>0</v>
      </c>
    </row>
    <row r="440" spans="1:7" x14ac:dyDescent="0.2">
      <c r="A440" t="s">
        <v>4275</v>
      </c>
      <c r="B440">
        <v>0</v>
      </c>
      <c r="C440">
        <v>0</v>
      </c>
      <c r="D440">
        <v>0</v>
      </c>
      <c r="E440">
        <v>0</v>
      </c>
      <c r="F440">
        <v>2807</v>
      </c>
      <c r="G440">
        <v>2807</v>
      </c>
    </row>
    <row r="441" spans="1:7" x14ac:dyDescent="0.2">
      <c r="A441" t="s">
        <v>4276</v>
      </c>
      <c r="B441">
        <v>0</v>
      </c>
      <c r="C441">
        <v>0</v>
      </c>
      <c r="D441">
        <v>0</v>
      </c>
      <c r="E441">
        <v>0</v>
      </c>
      <c r="F441">
        <v>1657</v>
      </c>
      <c r="G441">
        <v>1657</v>
      </c>
    </row>
    <row r="442" spans="1:7" x14ac:dyDescent="0.2">
      <c r="A442" t="s">
        <v>4277</v>
      </c>
      <c r="B442">
        <v>0</v>
      </c>
      <c r="C442">
        <v>0</v>
      </c>
      <c r="D442">
        <v>0</v>
      </c>
      <c r="E442">
        <v>0</v>
      </c>
      <c r="F442">
        <v>663</v>
      </c>
      <c r="G442">
        <v>663</v>
      </c>
    </row>
    <row r="443" spans="1:7" x14ac:dyDescent="0.2">
      <c r="A443" t="s">
        <v>4278</v>
      </c>
      <c r="B443">
        <v>0</v>
      </c>
      <c r="C443">
        <v>0</v>
      </c>
      <c r="D443">
        <v>0</v>
      </c>
      <c r="E443">
        <v>0</v>
      </c>
      <c r="F443">
        <v>0</v>
      </c>
      <c r="G443">
        <v>0</v>
      </c>
    </row>
    <row r="444" spans="1:7" x14ac:dyDescent="0.2">
      <c r="A444" t="s">
        <v>4279</v>
      </c>
      <c r="B444">
        <v>173</v>
      </c>
      <c r="C444">
        <v>109</v>
      </c>
      <c r="D444">
        <v>113</v>
      </c>
      <c r="E444">
        <v>0</v>
      </c>
      <c r="F444">
        <v>0</v>
      </c>
      <c r="G444">
        <v>395</v>
      </c>
    </row>
    <row r="445" spans="1:7" x14ac:dyDescent="0.2">
      <c r="A445" t="s">
        <v>4280</v>
      </c>
      <c r="B445">
        <v>34</v>
      </c>
      <c r="C445">
        <v>79</v>
      </c>
      <c r="D445">
        <v>3</v>
      </c>
      <c r="E445">
        <v>0</v>
      </c>
      <c r="F445">
        <v>0</v>
      </c>
      <c r="G445">
        <v>115</v>
      </c>
    </row>
    <row r="446" spans="1:7" x14ac:dyDescent="0.2">
      <c r="A446" t="s">
        <v>4281</v>
      </c>
      <c r="B446">
        <v>1608</v>
      </c>
      <c r="C446">
        <v>2014</v>
      </c>
      <c r="D446">
        <v>3562</v>
      </c>
      <c r="E446">
        <v>36</v>
      </c>
      <c r="F446">
        <v>0</v>
      </c>
      <c r="G446">
        <v>7220</v>
      </c>
    </row>
    <row r="447" spans="1:7" x14ac:dyDescent="0.2">
      <c r="A447" t="s">
        <v>4282</v>
      </c>
      <c r="B447">
        <v>3631</v>
      </c>
      <c r="C447">
        <v>1004</v>
      </c>
      <c r="D447">
        <v>1354</v>
      </c>
      <c r="E447">
        <v>123</v>
      </c>
      <c r="F447">
        <v>0</v>
      </c>
      <c r="G447">
        <v>6112</v>
      </c>
    </row>
    <row r="448" spans="1:7" x14ac:dyDescent="0.2">
      <c r="A448" t="s">
        <v>4283</v>
      </c>
      <c r="B448">
        <v>1122</v>
      </c>
      <c r="C448">
        <v>1160</v>
      </c>
      <c r="D448">
        <v>1312</v>
      </c>
      <c r="E448">
        <v>18</v>
      </c>
      <c r="F448">
        <v>0</v>
      </c>
      <c r="G448">
        <v>3611</v>
      </c>
    </row>
    <row r="449" spans="1:7" x14ac:dyDescent="0.2">
      <c r="A449" t="s">
        <v>4284</v>
      </c>
      <c r="B449">
        <v>450</v>
      </c>
      <c r="C449">
        <v>0</v>
      </c>
      <c r="D449">
        <v>254</v>
      </c>
      <c r="E449">
        <v>70</v>
      </c>
      <c r="F449">
        <v>0</v>
      </c>
      <c r="G449">
        <v>774</v>
      </c>
    </row>
    <row r="450" spans="1:7" x14ac:dyDescent="0.2">
      <c r="A450" t="s">
        <v>4285</v>
      </c>
      <c r="B450">
        <v>784</v>
      </c>
      <c r="C450">
        <v>1068</v>
      </c>
      <c r="D450">
        <v>1312</v>
      </c>
      <c r="E450">
        <v>113</v>
      </c>
      <c r="F450">
        <v>0</v>
      </c>
      <c r="G450">
        <v>3278</v>
      </c>
    </row>
    <row r="451" spans="1:7" x14ac:dyDescent="0.2">
      <c r="A451" t="s">
        <v>4286</v>
      </c>
      <c r="B451">
        <v>1097</v>
      </c>
      <c r="C451">
        <v>43</v>
      </c>
      <c r="D451">
        <v>85</v>
      </c>
      <c r="E451">
        <v>70</v>
      </c>
      <c r="F451">
        <v>0</v>
      </c>
      <c r="G451">
        <v>1294</v>
      </c>
    </row>
    <row r="452" spans="1:7" x14ac:dyDescent="0.2">
      <c r="A452" t="s">
        <v>4287</v>
      </c>
      <c r="B452">
        <v>0</v>
      </c>
      <c r="C452">
        <v>0</v>
      </c>
      <c r="D452">
        <v>0</v>
      </c>
      <c r="E452">
        <v>5785</v>
      </c>
      <c r="F452">
        <v>0</v>
      </c>
      <c r="G452">
        <v>5785</v>
      </c>
    </row>
    <row r="453" spans="1:7" x14ac:dyDescent="0.2">
      <c r="A453" t="s">
        <v>4288</v>
      </c>
      <c r="B453">
        <v>0</v>
      </c>
      <c r="C453">
        <v>0</v>
      </c>
      <c r="D453">
        <v>0</v>
      </c>
      <c r="E453">
        <v>0</v>
      </c>
      <c r="F453">
        <v>0</v>
      </c>
      <c r="G453">
        <v>0</v>
      </c>
    </row>
    <row r="454" spans="1:7" x14ac:dyDescent="0.2">
      <c r="A454" t="s">
        <v>4289</v>
      </c>
      <c r="B454">
        <v>0</v>
      </c>
      <c r="C454">
        <v>0</v>
      </c>
      <c r="D454">
        <v>0</v>
      </c>
      <c r="E454">
        <v>0</v>
      </c>
      <c r="F454">
        <v>0</v>
      </c>
      <c r="G454">
        <v>0</v>
      </c>
    </row>
    <row r="455" spans="1:7" x14ac:dyDescent="0.2">
      <c r="A455" t="s">
        <v>4290</v>
      </c>
      <c r="B455">
        <v>0</v>
      </c>
      <c r="C455">
        <v>0</v>
      </c>
      <c r="D455">
        <v>0</v>
      </c>
      <c r="E455">
        <v>0</v>
      </c>
      <c r="F455">
        <v>0</v>
      </c>
      <c r="G455">
        <v>0</v>
      </c>
    </row>
    <row r="456" spans="1:7" x14ac:dyDescent="0.2">
      <c r="A456" t="s">
        <v>4291</v>
      </c>
      <c r="B456">
        <v>0</v>
      </c>
      <c r="C456">
        <v>0</v>
      </c>
      <c r="D456">
        <v>0</v>
      </c>
      <c r="E456">
        <v>0</v>
      </c>
      <c r="F456">
        <v>0</v>
      </c>
      <c r="G456">
        <v>0</v>
      </c>
    </row>
    <row r="457" spans="1:7" x14ac:dyDescent="0.2">
      <c r="A457" t="s">
        <v>4292</v>
      </c>
      <c r="B457">
        <v>0</v>
      </c>
      <c r="C457">
        <v>0</v>
      </c>
      <c r="D457">
        <v>0</v>
      </c>
      <c r="E457">
        <v>0</v>
      </c>
      <c r="F457">
        <v>0</v>
      </c>
      <c r="G457">
        <v>0</v>
      </c>
    </row>
    <row r="458" spans="1:7" x14ac:dyDescent="0.2">
      <c r="A458" t="s">
        <v>4293</v>
      </c>
      <c r="B458">
        <v>0</v>
      </c>
      <c r="C458">
        <v>0</v>
      </c>
      <c r="D458">
        <v>0</v>
      </c>
      <c r="E458">
        <v>0</v>
      </c>
      <c r="F458">
        <v>0</v>
      </c>
      <c r="G458">
        <v>0</v>
      </c>
    </row>
    <row r="459" spans="1:7" x14ac:dyDescent="0.2">
      <c r="A459" t="s">
        <v>4294</v>
      </c>
      <c r="B459">
        <v>0</v>
      </c>
      <c r="C459">
        <v>0</v>
      </c>
      <c r="D459">
        <v>0</v>
      </c>
      <c r="E459">
        <v>0</v>
      </c>
      <c r="F459">
        <v>0</v>
      </c>
      <c r="G459">
        <v>0</v>
      </c>
    </row>
    <row r="460" spans="1:7" x14ac:dyDescent="0.2">
      <c r="A460" t="s">
        <v>4295</v>
      </c>
      <c r="B460">
        <v>0</v>
      </c>
      <c r="C460">
        <v>0</v>
      </c>
      <c r="D460">
        <v>0</v>
      </c>
      <c r="E460">
        <v>0</v>
      </c>
      <c r="F460">
        <v>0</v>
      </c>
      <c r="G460">
        <v>0</v>
      </c>
    </row>
    <row r="461" spans="1:7" x14ac:dyDescent="0.2">
      <c r="A461" t="s">
        <v>4296</v>
      </c>
      <c r="B461">
        <v>0</v>
      </c>
      <c r="C461">
        <v>0</v>
      </c>
      <c r="D461">
        <v>0</v>
      </c>
      <c r="E461">
        <v>0</v>
      </c>
      <c r="F461">
        <v>0</v>
      </c>
      <c r="G461">
        <v>0</v>
      </c>
    </row>
    <row r="462" spans="1:7" x14ac:dyDescent="0.2">
      <c r="A462" t="s">
        <v>4297</v>
      </c>
      <c r="B462">
        <v>225</v>
      </c>
      <c r="C462">
        <v>1279</v>
      </c>
      <c r="D462">
        <v>4314</v>
      </c>
      <c r="E462">
        <v>1186</v>
      </c>
      <c r="F462">
        <v>0</v>
      </c>
      <c r="G462">
        <v>7005</v>
      </c>
    </row>
    <row r="463" spans="1:7" x14ac:dyDescent="0.2">
      <c r="A463" t="s">
        <v>4298</v>
      </c>
      <c r="B463">
        <v>1578</v>
      </c>
      <c r="C463">
        <v>494</v>
      </c>
      <c r="D463">
        <v>523</v>
      </c>
      <c r="E463">
        <v>1547</v>
      </c>
      <c r="F463">
        <v>0</v>
      </c>
      <c r="G463">
        <v>4142</v>
      </c>
    </row>
    <row r="464" spans="1:7" x14ac:dyDescent="0.2">
      <c r="A464" t="s">
        <v>4299</v>
      </c>
      <c r="B464">
        <v>898</v>
      </c>
      <c r="C464">
        <v>475</v>
      </c>
      <c r="D464">
        <v>853</v>
      </c>
      <c r="E464">
        <v>1128</v>
      </c>
      <c r="F464">
        <v>0</v>
      </c>
      <c r="G464">
        <v>3354</v>
      </c>
    </row>
    <row r="465" spans="1:7" x14ac:dyDescent="0.2">
      <c r="A465" t="s">
        <v>4300</v>
      </c>
      <c r="B465">
        <v>18</v>
      </c>
      <c r="C465">
        <v>0</v>
      </c>
      <c r="D465">
        <v>0</v>
      </c>
      <c r="E465">
        <v>0</v>
      </c>
      <c r="F465">
        <v>0</v>
      </c>
      <c r="G465">
        <v>18</v>
      </c>
    </row>
    <row r="466" spans="1:7" x14ac:dyDescent="0.2">
      <c r="A466" t="s">
        <v>4301</v>
      </c>
      <c r="B466">
        <v>0</v>
      </c>
      <c r="C466">
        <v>1088</v>
      </c>
      <c r="D466">
        <v>3141</v>
      </c>
      <c r="E466">
        <v>2117</v>
      </c>
      <c r="F466">
        <v>0</v>
      </c>
      <c r="G466">
        <v>6345</v>
      </c>
    </row>
    <row r="467" spans="1:7" x14ac:dyDescent="0.2">
      <c r="A467" t="s">
        <v>4302</v>
      </c>
      <c r="B467">
        <v>172</v>
      </c>
      <c r="C467">
        <v>322</v>
      </c>
      <c r="D467">
        <v>973</v>
      </c>
      <c r="E467">
        <v>320</v>
      </c>
      <c r="F467">
        <v>0</v>
      </c>
      <c r="G467">
        <v>1787</v>
      </c>
    </row>
    <row r="468" spans="1:7" x14ac:dyDescent="0.2">
      <c r="A468" t="s">
        <v>4303</v>
      </c>
      <c r="B468">
        <v>171</v>
      </c>
      <c r="C468">
        <v>0</v>
      </c>
      <c r="D468">
        <v>0</v>
      </c>
      <c r="E468">
        <v>0</v>
      </c>
      <c r="F468">
        <v>0</v>
      </c>
      <c r="G468">
        <v>171</v>
      </c>
    </row>
    <row r="469" spans="1:7" x14ac:dyDescent="0.2">
      <c r="A469" t="s">
        <v>4304</v>
      </c>
      <c r="B469">
        <v>18</v>
      </c>
      <c r="C469">
        <v>60</v>
      </c>
      <c r="D469">
        <v>233</v>
      </c>
      <c r="E469">
        <v>193</v>
      </c>
      <c r="F469">
        <v>0</v>
      </c>
      <c r="G469">
        <v>505</v>
      </c>
    </row>
    <row r="470" spans="1:7" x14ac:dyDescent="0.2">
      <c r="A470" t="s">
        <v>4305</v>
      </c>
      <c r="B470">
        <v>403</v>
      </c>
      <c r="C470">
        <v>717</v>
      </c>
      <c r="D470">
        <v>1090</v>
      </c>
      <c r="E470">
        <v>378</v>
      </c>
      <c r="F470">
        <v>0</v>
      </c>
      <c r="G470">
        <v>2588</v>
      </c>
    </row>
    <row r="471" spans="1:7" x14ac:dyDescent="0.2">
      <c r="A471" t="s">
        <v>4306</v>
      </c>
      <c r="B471">
        <v>95</v>
      </c>
      <c r="C471">
        <v>261</v>
      </c>
      <c r="D471">
        <v>72</v>
      </c>
      <c r="E471">
        <v>87</v>
      </c>
      <c r="F471">
        <v>0</v>
      </c>
      <c r="G471">
        <v>515</v>
      </c>
    </row>
    <row r="472" spans="1:7" x14ac:dyDescent="0.2">
      <c r="A472" t="s">
        <v>4307</v>
      </c>
      <c r="B472">
        <v>589</v>
      </c>
      <c r="C472">
        <v>0</v>
      </c>
      <c r="D472">
        <v>0</v>
      </c>
      <c r="E472">
        <v>0</v>
      </c>
      <c r="F472">
        <v>2</v>
      </c>
      <c r="G472">
        <v>591</v>
      </c>
    </row>
    <row r="473" spans="1:7" x14ac:dyDescent="0.2">
      <c r="A473" t="s">
        <v>4308</v>
      </c>
      <c r="B473">
        <v>0</v>
      </c>
      <c r="C473">
        <v>0</v>
      </c>
      <c r="D473">
        <v>0</v>
      </c>
      <c r="E473">
        <v>0</v>
      </c>
      <c r="F473">
        <v>1</v>
      </c>
      <c r="G473">
        <v>1</v>
      </c>
    </row>
    <row r="474" spans="1:7" x14ac:dyDescent="0.2">
      <c r="A474" t="s">
        <v>4309</v>
      </c>
      <c r="B474">
        <v>0</v>
      </c>
      <c r="C474">
        <v>0</v>
      </c>
      <c r="D474">
        <v>0</v>
      </c>
      <c r="E474">
        <v>0</v>
      </c>
      <c r="F474">
        <v>0</v>
      </c>
      <c r="G474">
        <v>0</v>
      </c>
    </row>
    <row r="475" spans="1:7" x14ac:dyDescent="0.2">
      <c r="A475" t="s">
        <v>4310</v>
      </c>
      <c r="B475">
        <v>0</v>
      </c>
      <c r="C475">
        <v>0</v>
      </c>
      <c r="D475">
        <v>0</v>
      </c>
      <c r="E475">
        <v>0</v>
      </c>
      <c r="F475">
        <v>0</v>
      </c>
      <c r="G475">
        <v>0</v>
      </c>
    </row>
    <row r="476" spans="1:7" x14ac:dyDescent="0.2">
      <c r="A476" t="s">
        <v>4311</v>
      </c>
      <c r="B476">
        <v>0</v>
      </c>
      <c r="C476">
        <v>0</v>
      </c>
      <c r="D476">
        <v>0</v>
      </c>
      <c r="E476">
        <v>0</v>
      </c>
      <c r="F476">
        <v>0</v>
      </c>
      <c r="G476">
        <v>0</v>
      </c>
    </row>
    <row r="477" spans="1:7" x14ac:dyDescent="0.2">
      <c r="A477" t="s">
        <v>4312</v>
      </c>
      <c r="B477">
        <v>0</v>
      </c>
      <c r="C477">
        <v>0</v>
      </c>
      <c r="D477">
        <v>0</v>
      </c>
      <c r="E477">
        <v>0</v>
      </c>
      <c r="F477">
        <v>0</v>
      </c>
      <c r="G477">
        <v>0</v>
      </c>
    </row>
    <row r="478" spans="1:7" x14ac:dyDescent="0.2">
      <c r="A478" t="s">
        <v>4313</v>
      </c>
      <c r="B478">
        <v>0</v>
      </c>
      <c r="C478">
        <v>0</v>
      </c>
      <c r="D478">
        <v>0</v>
      </c>
      <c r="E478">
        <v>0</v>
      </c>
      <c r="F478">
        <v>0</v>
      </c>
      <c r="G478">
        <v>0</v>
      </c>
    </row>
    <row r="479" spans="1:7" x14ac:dyDescent="0.2">
      <c r="A479" t="s">
        <v>4314</v>
      </c>
      <c r="B479">
        <v>0</v>
      </c>
      <c r="C479">
        <v>0</v>
      </c>
      <c r="D479">
        <v>0</v>
      </c>
      <c r="E479">
        <v>0</v>
      </c>
      <c r="F479">
        <v>0</v>
      </c>
      <c r="G479">
        <v>0</v>
      </c>
    </row>
    <row r="480" spans="1:7" x14ac:dyDescent="0.2">
      <c r="A480" t="s">
        <v>4315</v>
      </c>
      <c r="B480">
        <v>0</v>
      </c>
      <c r="C480">
        <v>0</v>
      </c>
      <c r="D480">
        <v>0</v>
      </c>
      <c r="E480">
        <v>0</v>
      </c>
      <c r="F480">
        <v>0</v>
      </c>
      <c r="G480">
        <v>0</v>
      </c>
    </row>
    <row r="481" spans="1:7" x14ac:dyDescent="0.2">
      <c r="A481" t="s">
        <v>4316</v>
      </c>
      <c r="B481">
        <v>0</v>
      </c>
      <c r="C481">
        <v>0</v>
      </c>
      <c r="D481">
        <v>0</v>
      </c>
      <c r="E481">
        <v>0</v>
      </c>
      <c r="F481">
        <v>0</v>
      </c>
      <c r="G481">
        <v>0</v>
      </c>
    </row>
    <row r="482" spans="1:7" x14ac:dyDescent="0.2">
      <c r="A482" t="s">
        <v>4317</v>
      </c>
      <c r="B482">
        <v>0</v>
      </c>
      <c r="C482">
        <v>0</v>
      </c>
      <c r="D482">
        <v>0</v>
      </c>
      <c r="E482">
        <v>0</v>
      </c>
      <c r="F482">
        <v>0</v>
      </c>
      <c r="G482">
        <v>0</v>
      </c>
    </row>
    <row r="483" spans="1:7" x14ac:dyDescent="0.2">
      <c r="A483" t="s">
        <v>4318</v>
      </c>
      <c r="B483">
        <v>0</v>
      </c>
      <c r="C483">
        <v>0</v>
      </c>
      <c r="D483">
        <v>0</v>
      </c>
      <c r="E483">
        <v>0</v>
      </c>
      <c r="F483">
        <v>0</v>
      </c>
      <c r="G483">
        <v>0</v>
      </c>
    </row>
    <row r="484" spans="1:7" x14ac:dyDescent="0.2">
      <c r="A484" t="s">
        <v>4319</v>
      </c>
      <c r="B484">
        <v>0</v>
      </c>
      <c r="C484">
        <v>0</v>
      </c>
      <c r="D484">
        <v>0</v>
      </c>
      <c r="E484">
        <v>0</v>
      </c>
      <c r="F484">
        <v>0</v>
      </c>
      <c r="G484">
        <v>0</v>
      </c>
    </row>
    <row r="485" spans="1:7" x14ac:dyDescent="0.2">
      <c r="A485" t="s">
        <v>4320</v>
      </c>
      <c r="B485">
        <v>0</v>
      </c>
      <c r="C485">
        <v>0</v>
      </c>
      <c r="D485">
        <v>0</v>
      </c>
      <c r="E485">
        <v>0</v>
      </c>
      <c r="F485">
        <v>0</v>
      </c>
      <c r="G485">
        <v>0</v>
      </c>
    </row>
    <row r="486" spans="1:7" x14ac:dyDescent="0.2">
      <c r="A486" t="s">
        <v>4321</v>
      </c>
      <c r="B486">
        <v>0</v>
      </c>
      <c r="C486">
        <v>0</v>
      </c>
      <c r="D486">
        <v>0</v>
      </c>
      <c r="E486">
        <v>0</v>
      </c>
      <c r="F486">
        <v>0</v>
      </c>
      <c r="G486">
        <v>0</v>
      </c>
    </row>
    <row r="487" spans="1:7" x14ac:dyDescent="0.2">
      <c r="A487" t="s">
        <v>4322</v>
      </c>
      <c r="B487">
        <v>0</v>
      </c>
      <c r="C487">
        <v>0</v>
      </c>
      <c r="D487">
        <v>0</v>
      </c>
      <c r="E487">
        <v>0</v>
      </c>
      <c r="F487">
        <v>0</v>
      </c>
      <c r="G487">
        <v>0</v>
      </c>
    </row>
    <row r="488" spans="1:7" x14ac:dyDescent="0.2">
      <c r="A488" t="s">
        <v>4323</v>
      </c>
      <c r="B488">
        <v>0</v>
      </c>
      <c r="C488">
        <v>0</v>
      </c>
      <c r="D488">
        <v>0</v>
      </c>
      <c r="E488">
        <v>0</v>
      </c>
      <c r="F488">
        <v>0</v>
      </c>
      <c r="G488">
        <v>0</v>
      </c>
    </row>
    <row r="489" spans="1:7" x14ac:dyDescent="0.2">
      <c r="A489" t="s">
        <v>4324</v>
      </c>
      <c r="B489">
        <v>0</v>
      </c>
      <c r="C489">
        <v>0</v>
      </c>
      <c r="D489">
        <v>0</v>
      </c>
      <c r="E489">
        <v>0</v>
      </c>
      <c r="F489">
        <v>0</v>
      </c>
      <c r="G489">
        <v>0</v>
      </c>
    </row>
    <row r="490" spans="1:7" x14ac:dyDescent="0.2">
      <c r="A490" t="s">
        <v>4325</v>
      </c>
      <c r="B490">
        <v>0</v>
      </c>
      <c r="C490">
        <v>0</v>
      </c>
      <c r="D490">
        <v>0</v>
      </c>
      <c r="E490">
        <v>0</v>
      </c>
      <c r="F490">
        <v>0</v>
      </c>
      <c r="G490">
        <v>0</v>
      </c>
    </row>
    <row r="491" spans="1:7" x14ac:dyDescent="0.2">
      <c r="A491" t="s">
        <v>4326</v>
      </c>
      <c r="B491">
        <v>0</v>
      </c>
      <c r="C491">
        <v>0</v>
      </c>
      <c r="D491">
        <v>0</v>
      </c>
      <c r="E491">
        <v>0</v>
      </c>
      <c r="F491">
        <v>0</v>
      </c>
      <c r="G491">
        <v>0</v>
      </c>
    </row>
    <row r="492" spans="1:7" x14ac:dyDescent="0.2">
      <c r="A492" t="s">
        <v>4327</v>
      </c>
      <c r="B492">
        <v>0</v>
      </c>
      <c r="C492">
        <v>0</v>
      </c>
      <c r="D492">
        <v>0</v>
      </c>
      <c r="E492">
        <v>0</v>
      </c>
      <c r="F492">
        <v>0</v>
      </c>
      <c r="G492">
        <v>0</v>
      </c>
    </row>
    <row r="493" spans="1:7" x14ac:dyDescent="0.2">
      <c r="A493" t="s">
        <v>4328</v>
      </c>
      <c r="B493">
        <v>0</v>
      </c>
      <c r="C493">
        <v>0</v>
      </c>
      <c r="D493">
        <v>0</v>
      </c>
      <c r="E493">
        <v>0</v>
      </c>
      <c r="F493">
        <v>0</v>
      </c>
      <c r="G493">
        <v>0</v>
      </c>
    </row>
    <row r="494" spans="1:7" x14ac:dyDescent="0.2">
      <c r="A494" t="s">
        <v>4329</v>
      </c>
      <c r="B494">
        <v>0</v>
      </c>
      <c r="C494">
        <v>0</v>
      </c>
      <c r="D494">
        <v>0</v>
      </c>
      <c r="E494">
        <v>0</v>
      </c>
      <c r="F494">
        <v>0</v>
      </c>
      <c r="G494">
        <v>0</v>
      </c>
    </row>
    <row r="495" spans="1:7" x14ac:dyDescent="0.2">
      <c r="A495" t="s">
        <v>4330</v>
      </c>
      <c r="B495">
        <v>0</v>
      </c>
      <c r="C495">
        <v>0</v>
      </c>
      <c r="D495">
        <v>0</v>
      </c>
      <c r="E495">
        <v>0</v>
      </c>
      <c r="F495">
        <v>0</v>
      </c>
      <c r="G495">
        <v>0</v>
      </c>
    </row>
    <row r="496" spans="1:7" x14ac:dyDescent="0.2">
      <c r="A496" t="s">
        <v>4331</v>
      </c>
      <c r="B496">
        <v>0</v>
      </c>
      <c r="C496">
        <v>0</v>
      </c>
      <c r="D496">
        <v>0</v>
      </c>
      <c r="E496">
        <v>0</v>
      </c>
      <c r="F496">
        <v>0</v>
      </c>
      <c r="G496">
        <v>0</v>
      </c>
    </row>
    <row r="497" spans="1:7" x14ac:dyDescent="0.2">
      <c r="A497" t="s">
        <v>4332</v>
      </c>
      <c r="B497">
        <v>0</v>
      </c>
      <c r="C497">
        <v>0</v>
      </c>
      <c r="D497">
        <v>0</v>
      </c>
      <c r="E497">
        <v>0</v>
      </c>
      <c r="F497">
        <v>0</v>
      </c>
      <c r="G497">
        <v>0</v>
      </c>
    </row>
    <row r="498" spans="1:7" x14ac:dyDescent="0.2">
      <c r="A498" t="s">
        <v>4333</v>
      </c>
      <c r="B498">
        <v>0</v>
      </c>
      <c r="C498">
        <v>0</v>
      </c>
      <c r="D498">
        <v>0</v>
      </c>
      <c r="E498">
        <v>0</v>
      </c>
      <c r="F498">
        <v>0</v>
      </c>
      <c r="G498">
        <v>0</v>
      </c>
    </row>
    <row r="499" spans="1:7" x14ac:dyDescent="0.2">
      <c r="A499" t="s">
        <v>4334</v>
      </c>
      <c r="B499">
        <v>0</v>
      </c>
      <c r="C499">
        <v>0</v>
      </c>
      <c r="D499">
        <v>0</v>
      </c>
      <c r="E499">
        <v>0</v>
      </c>
      <c r="F499">
        <v>0</v>
      </c>
      <c r="G499">
        <v>0</v>
      </c>
    </row>
    <row r="500" spans="1:7" x14ac:dyDescent="0.2">
      <c r="A500" t="s">
        <v>4335</v>
      </c>
      <c r="B500">
        <v>0</v>
      </c>
      <c r="C500">
        <v>0</v>
      </c>
      <c r="D500">
        <v>0</v>
      </c>
      <c r="E500">
        <v>0</v>
      </c>
      <c r="F500">
        <v>0</v>
      </c>
      <c r="G500">
        <v>0</v>
      </c>
    </row>
    <row r="501" spans="1:7" x14ac:dyDescent="0.2">
      <c r="A501" t="s">
        <v>4336</v>
      </c>
      <c r="B501">
        <v>0</v>
      </c>
      <c r="C501">
        <v>0</v>
      </c>
      <c r="D501">
        <v>0</v>
      </c>
      <c r="E501">
        <v>0</v>
      </c>
      <c r="F501">
        <v>0</v>
      </c>
      <c r="G501">
        <v>0</v>
      </c>
    </row>
    <row r="502" spans="1:7" x14ac:dyDescent="0.2">
      <c r="A502" t="s">
        <v>4337</v>
      </c>
      <c r="B502">
        <v>0</v>
      </c>
      <c r="C502">
        <v>0</v>
      </c>
      <c r="D502">
        <v>0</v>
      </c>
      <c r="E502">
        <v>0</v>
      </c>
      <c r="F502">
        <v>0</v>
      </c>
      <c r="G502">
        <v>0</v>
      </c>
    </row>
    <row r="503" spans="1:7" x14ac:dyDescent="0.2">
      <c r="A503" t="s">
        <v>4338</v>
      </c>
      <c r="B503">
        <v>0</v>
      </c>
      <c r="C503">
        <v>0</v>
      </c>
      <c r="D503">
        <v>0</v>
      </c>
      <c r="E503">
        <v>0</v>
      </c>
      <c r="F503">
        <v>0</v>
      </c>
      <c r="G503">
        <v>0</v>
      </c>
    </row>
    <row r="504" spans="1:7" x14ac:dyDescent="0.2">
      <c r="A504" t="s">
        <v>4339</v>
      </c>
      <c r="B504">
        <v>0</v>
      </c>
      <c r="C504">
        <v>0</v>
      </c>
      <c r="D504">
        <v>0</v>
      </c>
      <c r="E504">
        <v>0</v>
      </c>
      <c r="F504">
        <v>0</v>
      </c>
      <c r="G504">
        <v>0</v>
      </c>
    </row>
    <row r="505" spans="1:7" x14ac:dyDescent="0.2">
      <c r="A505" t="s">
        <v>4340</v>
      </c>
      <c r="B505">
        <v>0</v>
      </c>
      <c r="C505">
        <v>0</v>
      </c>
      <c r="D505">
        <v>0</v>
      </c>
      <c r="E505">
        <v>0</v>
      </c>
      <c r="F505">
        <v>0</v>
      </c>
      <c r="G505">
        <v>0</v>
      </c>
    </row>
    <row r="506" spans="1:7" x14ac:dyDescent="0.2">
      <c r="A506" t="s">
        <v>4341</v>
      </c>
      <c r="B506">
        <v>0</v>
      </c>
      <c r="C506">
        <v>0</v>
      </c>
      <c r="D506">
        <v>0</v>
      </c>
      <c r="E506">
        <v>0</v>
      </c>
      <c r="F506">
        <v>0</v>
      </c>
      <c r="G506">
        <v>0</v>
      </c>
    </row>
    <row r="507" spans="1:7" x14ac:dyDescent="0.2">
      <c r="A507" t="s">
        <v>4342</v>
      </c>
      <c r="B507">
        <v>0</v>
      </c>
      <c r="C507">
        <v>0</v>
      </c>
      <c r="D507">
        <v>0</v>
      </c>
      <c r="E507">
        <v>0</v>
      </c>
      <c r="F507">
        <v>0</v>
      </c>
      <c r="G507">
        <v>0</v>
      </c>
    </row>
    <row r="508" spans="1:7" x14ac:dyDescent="0.2">
      <c r="A508" t="s">
        <v>4343</v>
      </c>
      <c r="B508">
        <v>0</v>
      </c>
      <c r="C508">
        <v>0</v>
      </c>
      <c r="D508">
        <v>0</v>
      </c>
      <c r="E508">
        <v>0</v>
      </c>
      <c r="F508">
        <v>0</v>
      </c>
      <c r="G508">
        <v>0</v>
      </c>
    </row>
    <row r="509" spans="1:7" x14ac:dyDescent="0.2">
      <c r="A509" t="s">
        <v>1728</v>
      </c>
      <c r="B509">
        <v>0</v>
      </c>
      <c r="C509">
        <v>0</v>
      </c>
      <c r="D509">
        <v>0</v>
      </c>
      <c r="E509">
        <v>0</v>
      </c>
      <c r="F509">
        <v>0</v>
      </c>
      <c r="G509">
        <v>0</v>
      </c>
    </row>
    <row r="510" spans="1:7" x14ac:dyDescent="0.2">
      <c r="A510" t="s">
        <v>1730</v>
      </c>
      <c r="B510">
        <v>0</v>
      </c>
      <c r="C510">
        <v>0</v>
      </c>
      <c r="D510">
        <v>0</v>
      </c>
      <c r="E510">
        <v>0</v>
      </c>
      <c r="F510">
        <v>0</v>
      </c>
      <c r="G510">
        <v>0</v>
      </c>
    </row>
    <row r="511" spans="1:7" x14ac:dyDescent="0.2">
      <c r="A511" t="s">
        <v>1733</v>
      </c>
      <c r="B511">
        <v>0</v>
      </c>
      <c r="C511">
        <v>0</v>
      </c>
      <c r="D511">
        <v>0</v>
      </c>
      <c r="E511">
        <v>0</v>
      </c>
      <c r="F511">
        <v>0</v>
      </c>
      <c r="G511">
        <v>0</v>
      </c>
    </row>
    <row r="512" spans="1:7" x14ac:dyDescent="0.2">
      <c r="A512" t="s">
        <v>1738</v>
      </c>
      <c r="B512">
        <v>0</v>
      </c>
      <c r="C512">
        <v>0</v>
      </c>
      <c r="D512">
        <v>0</v>
      </c>
      <c r="E512">
        <v>0</v>
      </c>
      <c r="F512">
        <v>0</v>
      </c>
      <c r="G512">
        <v>0</v>
      </c>
    </row>
    <row r="513" spans="1:7" x14ac:dyDescent="0.2">
      <c r="A513" t="s">
        <v>1744</v>
      </c>
      <c r="B513">
        <v>0</v>
      </c>
      <c r="C513">
        <v>0</v>
      </c>
      <c r="D513">
        <v>0</v>
      </c>
      <c r="E513">
        <v>0</v>
      </c>
      <c r="F513">
        <v>0</v>
      </c>
      <c r="G513">
        <v>0</v>
      </c>
    </row>
    <row r="514" spans="1:7" x14ac:dyDescent="0.2">
      <c r="A514" t="s">
        <v>1747</v>
      </c>
      <c r="B514">
        <v>0</v>
      </c>
      <c r="C514">
        <v>0</v>
      </c>
      <c r="D514">
        <v>0</v>
      </c>
      <c r="E514">
        <v>0</v>
      </c>
      <c r="F514">
        <v>0</v>
      </c>
      <c r="G514">
        <v>0</v>
      </c>
    </row>
    <row r="515" spans="1:7" x14ac:dyDescent="0.2">
      <c r="A515" t="s">
        <v>1751</v>
      </c>
      <c r="B515">
        <v>0</v>
      </c>
      <c r="C515">
        <v>0</v>
      </c>
      <c r="D515">
        <v>0</v>
      </c>
      <c r="E515">
        <v>0</v>
      </c>
      <c r="F515">
        <v>0</v>
      </c>
      <c r="G515">
        <v>0</v>
      </c>
    </row>
    <row r="516" spans="1:7" x14ac:dyDescent="0.2">
      <c r="A516" t="s">
        <v>1755</v>
      </c>
      <c r="B516">
        <v>0</v>
      </c>
      <c r="C516">
        <v>0</v>
      </c>
      <c r="D516">
        <v>200</v>
      </c>
      <c r="E516">
        <v>910</v>
      </c>
      <c r="F516">
        <v>3913</v>
      </c>
      <c r="G516">
        <v>5023</v>
      </c>
    </row>
    <row r="517" spans="1:7" x14ac:dyDescent="0.2">
      <c r="A517" t="s">
        <v>1757</v>
      </c>
      <c r="B517">
        <v>0</v>
      </c>
      <c r="C517">
        <v>0</v>
      </c>
      <c r="D517">
        <v>0</v>
      </c>
      <c r="E517">
        <v>0</v>
      </c>
      <c r="F517">
        <v>0</v>
      </c>
      <c r="G517">
        <v>0</v>
      </c>
    </row>
    <row r="518" spans="1:7" x14ac:dyDescent="0.2">
      <c r="A518" t="s">
        <v>1761</v>
      </c>
      <c r="B518">
        <v>0</v>
      </c>
      <c r="C518">
        <v>0</v>
      </c>
      <c r="D518">
        <v>0</v>
      </c>
      <c r="E518">
        <v>0</v>
      </c>
      <c r="F518">
        <v>0</v>
      </c>
      <c r="G518">
        <v>0</v>
      </c>
    </row>
    <row r="519" spans="1:7" x14ac:dyDescent="0.2">
      <c r="A519" t="s">
        <v>1764</v>
      </c>
      <c r="B519">
        <v>0</v>
      </c>
      <c r="C519">
        <v>0</v>
      </c>
      <c r="D519">
        <v>0</v>
      </c>
      <c r="E519">
        <v>0</v>
      </c>
      <c r="F519">
        <v>0</v>
      </c>
      <c r="G519">
        <v>0</v>
      </c>
    </row>
    <row r="520" spans="1:7" x14ac:dyDescent="0.2">
      <c r="A520" t="s">
        <v>1770</v>
      </c>
      <c r="B520">
        <v>27</v>
      </c>
      <c r="C520">
        <v>39</v>
      </c>
      <c r="D520">
        <v>285</v>
      </c>
      <c r="E520">
        <v>1727</v>
      </c>
      <c r="F520">
        <v>0</v>
      </c>
      <c r="G520">
        <v>2078</v>
      </c>
    </row>
    <row r="521" spans="1:7" x14ac:dyDescent="0.2">
      <c r="A521" t="s">
        <v>1772</v>
      </c>
      <c r="B521">
        <v>0</v>
      </c>
      <c r="C521">
        <v>4</v>
      </c>
      <c r="D521">
        <v>66</v>
      </c>
      <c r="E521">
        <v>725</v>
      </c>
      <c r="F521">
        <v>0</v>
      </c>
      <c r="G521">
        <v>795</v>
      </c>
    </row>
    <row r="522" spans="1:7" x14ac:dyDescent="0.2">
      <c r="A522" t="s">
        <v>1774</v>
      </c>
      <c r="B522">
        <v>0</v>
      </c>
      <c r="C522">
        <v>6</v>
      </c>
      <c r="D522">
        <v>45</v>
      </c>
      <c r="E522">
        <v>640</v>
      </c>
      <c r="F522">
        <v>0</v>
      </c>
      <c r="G522">
        <v>692</v>
      </c>
    </row>
    <row r="523" spans="1:7" x14ac:dyDescent="0.2">
      <c r="A523" t="s">
        <v>1777</v>
      </c>
      <c r="B523">
        <v>0</v>
      </c>
      <c r="C523">
        <v>0</v>
      </c>
      <c r="D523">
        <v>0</v>
      </c>
      <c r="E523">
        <v>0</v>
      </c>
      <c r="F523">
        <v>16</v>
      </c>
      <c r="G523">
        <v>16</v>
      </c>
    </row>
    <row r="524" spans="1:7" x14ac:dyDescent="0.2">
      <c r="A524" t="s">
        <v>1782</v>
      </c>
      <c r="B524">
        <v>0</v>
      </c>
      <c r="C524">
        <v>0</v>
      </c>
      <c r="D524">
        <v>0</v>
      </c>
      <c r="E524">
        <v>0</v>
      </c>
      <c r="F524">
        <v>0</v>
      </c>
      <c r="G524">
        <v>0</v>
      </c>
    </row>
    <row r="525" spans="1:7" x14ac:dyDescent="0.2">
      <c r="A525" t="s">
        <v>1274</v>
      </c>
      <c r="B525">
        <v>0</v>
      </c>
      <c r="C525">
        <v>0</v>
      </c>
      <c r="D525">
        <v>0</v>
      </c>
      <c r="E525">
        <v>0</v>
      </c>
      <c r="F525">
        <v>0</v>
      </c>
      <c r="G525">
        <v>0</v>
      </c>
    </row>
    <row r="526" spans="1:7" x14ac:dyDescent="0.2">
      <c r="A526" t="s">
        <v>1277</v>
      </c>
      <c r="B526">
        <v>0</v>
      </c>
      <c r="C526">
        <v>0</v>
      </c>
      <c r="D526">
        <v>0</v>
      </c>
      <c r="E526">
        <v>0</v>
      </c>
      <c r="F526">
        <v>0</v>
      </c>
      <c r="G526">
        <v>0</v>
      </c>
    </row>
    <row r="527" spans="1:7" x14ac:dyDescent="0.2">
      <c r="A527" t="s">
        <v>1798</v>
      </c>
      <c r="B527">
        <v>0</v>
      </c>
      <c r="C527">
        <v>0</v>
      </c>
      <c r="D527">
        <v>0</v>
      </c>
      <c r="E527">
        <v>0</v>
      </c>
      <c r="F527">
        <v>0</v>
      </c>
      <c r="G527">
        <v>0</v>
      </c>
    </row>
    <row r="528" spans="1:7" x14ac:dyDescent="0.2">
      <c r="A528" t="s">
        <v>1803</v>
      </c>
      <c r="B528">
        <v>0</v>
      </c>
      <c r="C528">
        <v>0</v>
      </c>
      <c r="D528">
        <v>0</v>
      </c>
      <c r="E528">
        <v>0</v>
      </c>
      <c r="F528">
        <v>0</v>
      </c>
      <c r="G528">
        <v>0</v>
      </c>
    </row>
    <row r="529" spans="1:7" x14ac:dyDescent="0.2">
      <c r="A529" t="s">
        <v>1808</v>
      </c>
      <c r="B529">
        <v>0</v>
      </c>
      <c r="C529">
        <v>0</v>
      </c>
      <c r="D529">
        <v>0</v>
      </c>
      <c r="E529">
        <v>0</v>
      </c>
      <c r="F529">
        <v>176</v>
      </c>
      <c r="G529">
        <v>176</v>
      </c>
    </row>
    <row r="530" spans="1:7" x14ac:dyDescent="0.2">
      <c r="A530" t="s">
        <v>1813</v>
      </c>
      <c r="B530">
        <v>0</v>
      </c>
      <c r="C530">
        <v>0</v>
      </c>
      <c r="D530">
        <v>0</v>
      </c>
      <c r="E530">
        <v>0</v>
      </c>
      <c r="F530">
        <v>0</v>
      </c>
      <c r="G530">
        <v>0</v>
      </c>
    </row>
    <row r="531" spans="1:7" x14ac:dyDescent="0.2">
      <c r="A531" t="s">
        <v>1819</v>
      </c>
      <c r="B531">
        <v>0</v>
      </c>
      <c r="C531">
        <v>0</v>
      </c>
      <c r="D531">
        <v>0</v>
      </c>
      <c r="E531">
        <v>0</v>
      </c>
      <c r="F531">
        <v>0</v>
      </c>
      <c r="G531">
        <v>0</v>
      </c>
    </row>
    <row r="532" spans="1:7" x14ac:dyDescent="0.2">
      <c r="A532" t="s">
        <v>1826</v>
      </c>
      <c r="B532">
        <v>0</v>
      </c>
      <c r="C532">
        <v>0</v>
      </c>
      <c r="D532">
        <v>0</v>
      </c>
      <c r="E532">
        <v>0</v>
      </c>
      <c r="F532">
        <v>0</v>
      </c>
      <c r="G532">
        <v>0</v>
      </c>
    </row>
    <row r="533" spans="1:7" x14ac:dyDescent="0.2">
      <c r="A533" t="s">
        <v>1830</v>
      </c>
      <c r="B533">
        <v>0</v>
      </c>
      <c r="C533">
        <v>0</v>
      </c>
      <c r="D533">
        <v>0</v>
      </c>
      <c r="E533">
        <v>0</v>
      </c>
      <c r="F533">
        <v>0</v>
      </c>
      <c r="G533">
        <v>0</v>
      </c>
    </row>
    <row r="534" spans="1:7" x14ac:dyDescent="0.2">
      <c r="A534" t="s">
        <v>1836</v>
      </c>
      <c r="B534">
        <v>0</v>
      </c>
      <c r="C534">
        <v>0</v>
      </c>
      <c r="D534">
        <v>0</v>
      </c>
      <c r="E534">
        <v>0</v>
      </c>
      <c r="F534">
        <v>0</v>
      </c>
      <c r="G534">
        <v>0</v>
      </c>
    </row>
    <row r="535" spans="1:7" x14ac:dyDescent="0.2">
      <c r="A535" t="s">
        <v>1841</v>
      </c>
      <c r="B535">
        <v>0</v>
      </c>
      <c r="C535">
        <v>0</v>
      </c>
      <c r="D535">
        <v>0</v>
      </c>
      <c r="E535">
        <v>0</v>
      </c>
      <c r="F535">
        <v>0</v>
      </c>
      <c r="G535">
        <v>0</v>
      </c>
    </row>
    <row r="536" spans="1:7" x14ac:dyDescent="0.2">
      <c r="A536" t="s">
        <v>1842</v>
      </c>
      <c r="B536">
        <v>0</v>
      </c>
      <c r="C536">
        <v>168</v>
      </c>
      <c r="D536">
        <v>373</v>
      </c>
      <c r="E536">
        <v>926</v>
      </c>
      <c r="F536">
        <v>0</v>
      </c>
      <c r="G536">
        <v>1467</v>
      </c>
    </row>
    <row r="537" spans="1:7" x14ac:dyDescent="0.2">
      <c r="A537" t="s">
        <v>1843</v>
      </c>
      <c r="B537">
        <v>0</v>
      </c>
      <c r="C537">
        <v>0</v>
      </c>
      <c r="D537">
        <v>0</v>
      </c>
      <c r="E537">
        <v>0</v>
      </c>
      <c r="F537">
        <v>0</v>
      </c>
      <c r="G537">
        <v>0</v>
      </c>
    </row>
    <row r="538" spans="1:7" x14ac:dyDescent="0.2">
      <c r="A538" t="s">
        <v>1846</v>
      </c>
      <c r="B538">
        <v>0</v>
      </c>
      <c r="C538">
        <v>0</v>
      </c>
      <c r="D538">
        <v>0</v>
      </c>
      <c r="E538">
        <v>0</v>
      </c>
      <c r="F538">
        <v>0</v>
      </c>
      <c r="G538">
        <v>0</v>
      </c>
    </row>
    <row r="539" spans="1:7" x14ac:dyDescent="0.2">
      <c r="A539" t="s">
        <v>1851</v>
      </c>
      <c r="B539">
        <v>0</v>
      </c>
      <c r="C539">
        <v>0</v>
      </c>
      <c r="D539">
        <v>0</v>
      </c>
      <c r="E539">
        <v>0</v>
      </c>
      <c r="F539">
        <v>0</v>
      </c>
      <c r="G539">
        <v>0</v>
      </c>
    </row>
    <row r="540" spans="1:7" x14ac:dyDescent="0.2">
      <c r="A540" t="s">
        <v>1857</v>
      </c>
      <c r="B540">
        <v>0</v>
      </c>
      <c r="C540">
        <v>0</v>
      </c>
      <c r="D540">
        <v>0</v>
      </c>
      <c r="E540">
        <v>21</v>
      </c>
      <c r="F540">
        <v>0</v>
      </c>
      <c r="G540">
        <v>21</v>
      </c>
    </row>
    <row r="541" spans="1:7" x14ac:dyDescent="0.2">
      <c r="A541" t="s">
        <v>1862</v>
      </c>
      <c r="B541">
        <v>0</v>
      </c>
      <c r="C541">
        <v>0</v>
      </c>
      <c r="D541">
        <v>0</v>
      </c>
      <c r="E541">
        <v>0</v>
      </c>
      <c r="F541">
        <v>0</v>
      </c>
      <c r="G541">
        <v>0</v>
      </c>
    </row>
    <row r="542" spans="1:7" x14ac:dyDescent="0.2">
      <c r="A542" t="s">
        <v>1867</v>
      </c>
      <c r="B542">
        <v>0</v>
      </c>
      <c r="C542">
        <v>0</v>
      </c>
      <c r="D542">
        <v>0</v>
      </c>
      <c r="E542">
        <v>0</v>
      </c>
      <c r="F542">
        <v>0</v>
      </c>
      <c r="G542">
        <v>0</v>
      </c>
    </row>
    <row r="543" spans="1:7" x14ac:dyDescent="0.2">
      <c r="A543" t="s">
        <v>1870</v>
      </c>
      <c r="B543">
        <v>0</v>
      </c>
      <c r="C543">
        <v>0</v>
      </c>
      <c r="D543">
        <v>0</v>
      </c>
      <c r="E543">
        <v>0</v>
      </c>
      <c r="F543">
        <v>0</v>
      </c>
      <c r="G543">
        <v>0</v>
      </c>
    </row>
    <row r="544" spans="1:7" x14ac:dyDescent="0.2">
      <c r="A544" t="s">
        <v>1874</v>
      </c>
      <c r="B544">
        <v>0</v>
      </c>
      <c r="C544">
        <v>0</v>
      </c>
      <c r="D544">
        <v>25</v>
      </c>
      <c r="E544">
        <v>867</v>
      </c>
      <c r="F544">
        <v>0</v>
      </c>
      <c r="G544">
        <v>893</v>
      </c>
    </row>
    <row r="545" spans="1:7" x14ac:dyDescent="0.2">
      <c r="A545" t="s">
        <v>1876</v>
      </c>
      <c r="B545">
        <v>0</v>
      </c>
      <c r="C545">
        <v>0</v>
      </c>
      <c r="D545">
        <v>0</v>
      </c>
      <c r="E545">
        <v>0</v>
      </c>
      <c r="F545">
        <v>0</v>
      </c>
      <c r="G545">
        <v>0</v>
      </c>
    </row>
    <row r="546" spans="1:7" x14ac:dyDescent="0.2">
      <c r="A546" t="s">
        <v>1881</v>
      </c>
      <c r="B546">
        <v>0</v>
      </c>
      <c r="C546">
        <v>0</v>
      </c>
      <c r="D546">
        <v>0</v>
      </c>
      <c r="E546">
        <v>0</v>
      </c>
      <c r="F546">
        <v>266</v>
      </c>
      <c r="G546">
        <v>266</v>
      </c>
    </row>
    <row r="547" spans="1:7" x14ac:dyDescent="0.2">
      <c r="A547" t="s">
        <v>1885</v>
      </c>
      <c r="B547">
        <v>0</v>
      </c>
      <c r="C547">
        <v>0</v>
      </c>
      <c r="D547">
        <v>0</v>
      </c>
      <c r="E547">
        <v>0</v>
      </c>
      <c r="F547">
        <v>0</v>
      </c>
      <c r="G547">
        <v>0</v>
      </c>
    </row>
    <row r="548" spans="1:7" x14ac:dyDescent="0.2">
      <c r="A548" t="s">
        <v>1887</v>
      </c>
      <c r="B548">
        <v>0</v>
      </c>
      <c r="C548">
        <v>0</v>
      </c>
      <c r="D548">
        <v>0</v>
      </c>
      <c r="E548">
        <v>0</v>
      </c>
      <c r="F548">
        <v>0</v>
      </c>
      <c r="G548">
        <v>0</v>
      </c>
    </row>
    <row r="549" spans="1:7" x14ac:dyDescent="0.2">
      <c r="A549" t="s">
        <v>1893</v>
      </c>
      <c r="B549">
        <v>0</v>
      </c>
      <c r="C549">
        <v>0</v>
      </c>
      <c r="D549">
        <v>0</v>
      </c>
      <c r="E549">
        <v>0</v>
      </c>
      <c r="F549">
        <v>0</v>
      </c>
      <c r="G549">
        <v>0</v>
      </c>
    </row>
    <row r="550" spans="1:7" x14ac:dyDescent="0.2">
      <c r="A550" t="s">
        <v>1899</v>
      </c>
      <c r="B550">
        <v>0</v>
      </c>
      <c r="C550">
        <v>0</v>
      </c>
      <c r="D550">
        <v>0</v>
      </c>
      <c r="E550">
        <v>0</v>
      </c>
      <c r="F550">
        <v>0</v>
      </c>
      <c r="G550">
        <v>0</v>
      </c>
    </row>
    <row r="551" spans="1:7" x14ac:dyDescent="0.2">
      <c r="A551" t="s">
        <v>1906</v>
      </c>
      <c r="B551">
        <v>0</v>
      </c>
      <c r="C551">
        <v>0</v>
      </c>
      <c r="D551">
        <v>0</v>
      </c>
      <c r="E551">
        <v>0</v>
      </c>
      <c r="F551">
        <v>0</v>
      </c>
      <c r="G551">
        <v>0</v>
      </c>
    </row>
    <row r="552" spans="1:7" x14ac:dyDescent="0.2">
      <c r="A552" t="s">
        <v>1911</v>
      </c>
      <c r="B552">
        <v>0</v>
      </c>
      <c r="C552">
        <v>0</v>
      </c>
      <c r="D552">
        <v>0</v>
      </c>
      <c r="E552">
        <v>0</v>
      </c>
      <c r="F552">
        <v>0</v>
      </c>
      <c r="G552">
        <v>0</v>
      </c>
    </row>
    <row r="553" spans="1:7" x14ac:dyDescent="0.2">
      <c r="A553" t="s">
        <v>1917</v>
      </c>
      <c r="B553">
        <v>0</v>
      </c>
      <c r="C553">
        <v>0</v>
      </c>
      <c r="D553">
        <v>0</v>
      </c>
      <c r="E553">
        <v>0</v>
      </c>
      <c r="F553">
        <v>0</v>
      </c>
      <c r="G553">
        <v>0</v>
      </c>
    </row>
    <row r="554" spans="1:7" x14ac:dyDescent="0.2">
      <c r="A554" t="s">
        <v>1922</v>
      </c>
      <c r="B554">
        <v>0</v>
      </c>
      <c r="C554">
        <v>0</v>
      </c>
      <c r="D554">
        <v>0</v>
      </c>
      <c r="E554">
        <v>0</v>
      </c>
      <c r="F554">
        <v>0</v>
      </c>
      <c r="G554">
        <v>0</v>
      </c>
    </row>
    <row r="555" spans="1:7" x14ac:dyDescent="0.2">
      <c r="A555" t="s">
        <v>1928</v>
      </c>
      <c r="B555">
        <v>0</v>
      </c>
      <c r="C555">
        <v>0</v>
      </c>
      <c r="D555">
        <v>0</v>
      </c>
      <c r="E555">
        <v>0</v>
      </c>
      <c r="F555">
        <v>0</v>
      </c>
      <c r="G555">
        <v>0</v>
      </c>
    </row>
    <row r="556" spans="1:7" x14ac:dyDescent="0.2">
      <c r="A556" t="s">
        <v>1932</v>
      </c>
      <c r="B556">
        <v>0</v>
      </c>
      <c r="C556">
        <v>0</v>
      </c>
      <c r="D556">
        <v>0</v>
      </c>
      <c r="E556">
        <v>0</v>
      </c>
      <c r="F556">
        <v>0</v>
      </c>
      <c r="G556">
        <v>0</v>
      </c>
    </row>
    <row r="557" spans="1:7" x14ac:dyDescent="0.2">
      <c r="A557" t="s">
        <v>1938</v>
      </c>
      <c r="B557">
        <v>0</v>
      </c>
      <c r="C557">
        <v>0</v>
      </c>
      <c r="D557">
        <v>0</v>
      </c>
      <c r="E557">
        <v>0</v>
      </c>
      <c r="F557">
        <v>0</v>
      </c>
      <c r="G557">
        <v>0</v>
      </c>
    </row>
    <row r="558" spans="1:7" x14ac:dyDescent="0.2">
      <c r="A558" t="s">
        <v>1944</v>
      </c>
      <c r="B558">
        <v>0</v>
      </c>
      <c r="C558">
        <v>0</v>
      </c>
      <c r="D558">
        <v>0</v>
      </c>
      <c r="E558">
        <v>0</v>
      </c>
      <c r="F558">
        <v>4</v>
      </c>
      <c r="G558">
        <v>4</v>
      </c>
    </row>
    <row r="559" spans="1:7" x14ac:dyDescent="0.2">
      <c r="A559" t="s">
        <v>1947</v>
      </c>
      <c r="B559">
        <v>0</v>
      </c>
      <c r="C559">
        <v>0</v>
      </c>
      <c r="D559">
        <v>0</v>
      </c>
      <c r="E559">
        <v>0</v>
      </c>
      <c r="F559">
        <v>0</v>
      </c>
      <c r="G559">
        <v>0</v>
      </c>
    </row>
    <row r="560" spans="1:7" x14ac:dyDescent="0.2">
      <c r="A560" t="s">
        <v>1953</v>
      </c>
      <c r="B560">
        <v>0</v>
      </c>
      <c r="C560">
        <v>0</v>
      </c>
      <c r="D560">
        <v>0</v>
      </c>
      <c r="E560">
        <v>0</v>
      </c>
      <c r="F560">
        <v>0</v>
      </c>
      <c r="G560">
        <v>0</v>
      </c>
    </row>
    <row r="561" spans="1:7" x14ac:dyDescent="0.2">
      <c r="A561" t="s">
        <v>1958</v>
      </c>
      <c r="B561">
        <v>0</v>
      </c>
      <c r="C561">
        <v>0</v>
      </c>
      <c r="D561">
        <v>0</v>
      </c>
      <c r="E561">
        <v>0</v>
      </c>
      <c r="F561">
        <v>0</v>
      </c>
      <c r="G561">
        <v>0</v>
      </c>
    </row>
    <row r="562" spans="1:7" x14ac:dyDescent="0.2">
      <c r="A562" t="s">
        <v>1964</v>
      </c>
      <c r="B562">
        <v>0</v>
      </c>
      <c r="C562">
        <v>0</v>
      </c>
      <c r="D562">
        <v>0</v>
      </c>
      <c r="E562">
        <v>0</v>
      </c>
      <c r="F562">
        <v>0</v>
      </c>
      <c r="G562">
        <v>0</v>
      </c>
    </row>
    <row r="563" spans="1:7" x14ac:dyDescent="0.2">
      <c r="A563" t="s">
        <v>1973</v>
      </c>
      <c r="B563">
        <v>0</v>
      </c>
      <c r="C563">
        <v>0</v>
      </c>
      <c r="D563">
        <v>0</v>
      </c>
      <c r="E563">
        <v>0</v>
      </c>
      <c r="F563">
        <v>0</v>
      </c>
      <c r="G563">
        <v>0</v>
      </c>
    </row>
    <row r="564" spans="1:7" x14ac:dyDescent="0.2">
      <c r="A564" t="s">
        <v>1978</v>
      </c>
      <c r="B564">
        <v>0</v>
      </c>
      <c r="C564">
        <v>0</v>
      </c>
      <c r="D564">
        <v>0</v>
      </c>
      <c r="E564">
        <v>0</v>
      </c>
      <c r="F564">
        <v>0</v>
      </c>
      <c r="G564">
        <v>0</v>
      </c>
    </row>
    <row r="565" spans="1:7" x14ac:dyDescent="0.2">
      <c r="A565" t="s">
        <v>1983</v>
      </c>
      <c r="B565">
        <v>62</v>
      </c>
      <c r="C565">
        <v>4</v>
      </c>
      <c r="D565">
        <v>11</v>
      </c>
      <c r="E565">
        <v>62</v>
      </c>
      <c r="F565">
        <v>14</v>
      </c>
      <c r="G565">
        <v>153</v>
      </c>
    </row>
    <row r="566" spans="1:7" x14ac:dyDescent="0.2">
      <c r="A566" t="s">
        <v>1984</v>
      </c>
      <c r="B566">
        <v>0</v>
      </c>
      <c r="C566">
        <v>0</v>
      </c>
      <c r="D566">
        <v>0</v>
      </c>
      <c r="E566">
        <v>0</v>
      </c>
      <c r="F566">
        <v>0</v>
      </c>
      <c r="G566">
        <v>0</v>
      </c>
    </row>
    <row r="567" spans="1:7" x14ac:dyDescent="0.2">
      <c r="A567" t="s">
        <v>1990</v>
      </c>
      <c r="B567">
        <v>0</v>
      </c>
      <c r="C567">
        <v>0</v>
      </c>
      <c r="D567">
        <v>0</v>
      </c>
      <c r="E567">
        <v>0</v>
      </c>
      <c r="F567">
        <v>0</v>
      </c>
      <c r="G567">
        <v>0</v>
      </c>
    </row>
    <row r="568" spans="1:7" x14ac:dyDescent="0.2">
      <c r="A568" t="s">
        <v>1996</v>
      </c>
      <c r="B568">
        <v>0</v>
      </c>
      <c r="C568">
        <v>0</v>
      </c>
      <c r="D568">
        <v>0</v>
      </c>
      <c r="E568">
        <v>0</v>
      </c>
      <c r="F568">
        <v>0</v>
      </c>
      <c r="G568">
        <v>0</v>
      </c>
    </row>
    <row r="569" spans="1:7" x14ac:dyDescent="0.2">
      <c r="A569" t="s">
        <v>1998</v>
      </c>
      <c r="B569">
        <v>0</v>
      </c>
      <c r="C569">
        <v>0</v>
      </c>
      <c r="D569">
        <v>0</v>
      </c>
      <c r="E569">
        <v>0</v>
      </c>
      <c r="F569">
        <v>0</v>
      </c>
      <c r="G569">
        <v>0</v>
      </c>
    </row>
    <row r="570" spans="1:7" x14ac:dyDescent="0.2">
      <c r="A570" t="s">
        <v>1999</v>
      </c>
      <c r="B570">
        <v>0</v>
      </c>
      <c r="C570">
        <v>0</v>
      </c>
      <c r="D570">
        <v>0</v>
      </c>
      <c r="E570">
        <v>0</v>
      </c>
      <c r="F570">
        <v>0</v>
      </c>
      <c r="G570">
        <v>0</v>
      </c>
    </row>
    <row r="571" spans="1:7" x14ac:dyDescent="0.2">
      <c r="A571" t="s">
        <v>2004</v>
      </c>
      <c r="B571">
        <v>0</v>
      </c>
      <c r="C571">
        <v>0</v>
      </c>
      <c r="D571">
        <v>0</v>
      </c>
      <c r="E571">
        <v>0</v>
      </c>
      <c r="F571">
        <v>0</v>
      </c>
      <c r="G571">
        <v>0</v>
      </c>
    </row>
    <row r="572" spans="1:7" x14ac:dyDescent="0.2">
      <c r="A572" t="s">
        <v>2009</v>
      </c>
      <c r="B572">
        <v>0</v>
      </c>
      <c r="C572">
        <v>0</v>
      </c>
      <c r="D572">
        <v>0</v>
      </c>
      <c r="E572">
        <v>0</v>
      </c>
      <c r="F572">
        <v>0</v>
      </c>
      <c r="G572">
        <v>0</v>
      </c>
    </row>
    <row r="573" spans="1:7" x14ac:dyDescent="0.2">
      <c r="A573" t="s">
        <v>2014</v>
      </c>
      <c r="B573">
        <v>0</v>
      </c>
      <c r="C573">
        <v>0</v>
      </c>
      <c r="D573">
        <v>0</v>
      </c>
      <c r="E573">
        <v>0</v>
      </c>
      <c r="F573">
        <v>0</v>
      </c>
      <c r="G573">
        <v>0</v>
      </c>
    </row>
    <row r="574" spans="1:7" x14ac:dyDescent="0.2">
      <c r="A574" t="s">
        <v>2019</v>
      </c>
      <c r="B574">
        <v>0</v>
      </c>
      <c r="C574">
        <v>0</v>
      </c>
      <c r="D574">
        <v>0</v>
      </c>
      <c r="E574">
        <v>0</v>
      </c>
      <c r="F574">
        <v>0</v>
      </c>
      <c r="G574">
        <v>0</v>
      </c>
    </row>
    <row r="575" spans="1:7" x14ac:dyDescent="0.2">
      <c r="A575" t="s">
        <v>2023</v>
      </c>
      <c r="B575">
        <v>0</v>
      </c>
      <c r="C575">
        <v>0</v>
      </c>
      <c r="D575">
        <v>0</v>
      </c>
      <c r="E575">
        <v>0</v>
      </c>
      <c r="F575">
        <v>0</v>
      </c>
      <c r="G575">
        <v>0</v>
      </c>
    </row>
    <row r="576" spans="1:7" x14ac:dyDescent="0.2">
      <c r="A576" t="s">
        <v>2026</v>
      </c>
      <c r="B576">
        <v>0</v>
      </c>
      <c r="C576">
        <v>0</v>
      </c>
      <c r="D576">
        <v>0</v>
      </c>
      <c r="E576">
        <v>0</v>
      </c>
      <c r="F576">
        <v>0</v>
      </c>
      <c r="G576">
        <v>0</v>
      </c>
    </row>
    <row r="577" spans="1:7" x14ac:dyDescent="0.2">
      <c r="A577" t="s">
        <v>2030</v>
      </c>
      <c r="B577">
        <v>0</v>
      </c>
      <c r="C577">
        <v>0</v>
      </c>
      <c r="D577">
        <v>0</v>
      </c>
      <c r="E577">
        <v>0</v>
      </c>
      <c r="F577">
        <v>0</v>
      </c>
      <c r="G577">
        <v>0</v>
      </c>
    </row>
    <row r="578" spans="1:7" x14ac:dyDescent="0.2">
      <c r="A578" t="s">
        <v>2035</v>
      </c>
      <c r="B578">
        <v>0</v>
      </c>
      <c r="C578">
        <v>0</v>
      </c>
      <c r="D578">
        <v>0</v>
      </c>
      <c r="E578">
        <v>0</v>
      </c>
      <c r="F578">
        <v>0</v>
      </c>
      <c r="G578">
        <v>0</v>
      </c>
    </row>
    <row r="579" spans="1:7" x14ac:dyDescent="0.2">
      <c r="A579" t="s">
        <v>2040</v>
      </c>
      <c r="B579">
        <v>0</v>
      </c>
      <c r="C579">
        <v>0</v>
      </c>
      <c r="D579">
        <v>0</v>
      </c>
      <c r="E579">
        <v>0</v>
      </c>
      <c r="F579">
        <v>78</v>
      </c>
      <c r="G579">
        <v>78</v>
      </c>
    </row>
    <row r="580" spans="1:7" x14ac:dyDescent="0.2">
      <c r="A580" t="s">
        <v>2045</v>
      </c>
      <c r="B580">
        <v>0</v>
      </c>
      <c r="C580">
        <v>0</v>
      </c>
      <c r="D580">
        <v>0</v>
      </c>
      <c r="E580">
        <v>0</v>
      </c>
      <c r="F580">
        <v>0</v>
      </c>
      <c r="G580">
        <v>0</v>
      </c>
    </row>
    <row r="581" spans="1:7" x14ac:dyDescent="0.2">
      <c r="A581" t="s">
        <v>2049</v>
      </c>
      <c r="B581">
        <v>0</v>
      </c>
      <c r="C581">
        <v>0</v>
      </c>
      <c r="D581">
        <v>0</v>
      </c>
      <c r="E581">
        <v>0</v>
      </c>
      <c r="F581">
        <v>0</v>
      </c>
      <c r="G581">
        <v>0</v>
      </c>
    </row>
    <row r="582" spans="1:7" x14ac:dyDescent="0.2">
      <c r="A582" t="s">
        <v>2051</v>
      </c>
      <c r="B582">
        <v>0</v>
      </c>
      <c r="C582">
        <v>0</v>
      </c>
      <c r="D582">
        <v>0</v>
      </c>
      <c r="E582">
        <v>0</v>
      </c>
      <c r="F582">
        <v>0</v>
      </c>
      <c r="G582">
        <v>0</v>
      </c>
    </row>
    <row r="583" spans="1:7" x14ac:dyDescent="0.2">
      <c r="A583" t="s">
        <v>2057</v>
      </c>
      <c r="B583">
        <v>0</v>
      </c>
      <c r="C583">
        <v>0</v>
      </c>
      <c r="D583">
        <v>10</v>
      </c>
      <c r="E583">
        <v>6</v>
      </c>
      <c r="F583">
        <v>27</v>
      </c>
      <c r="G583">
        <v>43</v>
      </c>
    </row>
    <row r="584" spans="1:7" x14ac:dyDescent="0.2">
      <c r="A584" t="s">
        <v>4344</v>
      </c>
      <c r="B584">
        <v>0</v>
      </c>
      <c r="C584">
        <v>0</v>
      </c>
      <c r="D584">
        <v>0</v>
      </c>
      <c r="E584">
        <v>0</v>
      </c>
      <c r="F584">
        <v>0</v>
      </c>
      <c r="G584">
        <v>0</v>
      </c>
    </row>
    <row r="585" spans="1:7" x14ac:dyDescent="0.2">
      <c r="A585" t="s">
        <v>4345</v>
      </c>
      <c r="B585">
        <v>0</v>
      </c>
      <c r="C585">
        <v>0</v>
      </c>
      <c r="D585">
        <v>0</v>
      </c>
      <c r="E585">
        <v>0</v>
      </c>
      <c r="F585">
        <v>64</v>
      </c>
      <c r="G585">
        <v>64</v>
      </c>
    </row>
    <row r="586" spans="1:7" x14ac:dyDescent="0.2">
      <c r="A586" t="s">
        <v>2074</v>
      </c>
      <c r="B586">
        <v>0</v>
      </c>
      <c r="C586">
        <v>0</v>
      </c>
      <c r="D586">
        <v>0</v>
      </c>
      <c r="E586">
        <v>0</v>
      </c>
      <c r="F586">
        <v>0</v>
      </c>
      <c r="G586">
        <v>0</v>
      </c>
    </row>
    <row r="587" spans="1:7" x14ac:dyDescent="0.2">
      <c r="A587" t="s">
        <v>2079</v>
      </c>
      <c r="B587">
        <v>0</v>
      </c>
      <c r="C587">
        <v>0</v>
      </c>
      <c r="D587">
        <v>0</v>
      </c>
      <c r="E587">
        <v>0</v>
      </c>
      <c r="F587">
        <v>0</v>
      </c>
      <c r="G587">
        <v>0</v>
      </c>
    </row>
    <row r="588" spans="1:7" x14ac:dyDescent="0.2">
      <c r="A588" t="s">
        <v>2085</v>
      </c>
      <c r="B588">
        <v>0</v>
      </c>
      <c r="C588">
        <v>0</v>
      </c>
      <c r="D588">
        <v>0</v>
      </c>
      <c r="E588">
        <v>0</v>
      </c>
      <c r="F588">
        <v>0</v>
      </c>
      <c r="G588">
        <v>0</v>
      </c>
    </row>
    <row r="589" spans="1:7" x14ac:dyDescent="0.2">
      <c r="A589" t="s">
        <v>2091</v>
      </c>
      <c r="B589">
        <v>0</v>
      </c>
      <c r="C589">
        <v>0</v>
      </c>
      <c r="D589">
        <v>0</v>
      </c>
      <c r="E589">
        <v>0</v>
      </c>
      <c r="F589">
        <v>0</v>
      </c>
      <c r="G589">
        <v>0</v>
      </c>
    </row>
    <row r="590" spans="1:7" x14ac:dyDescent="0.2">
      <c r="A590" t="s">
        <v>2097</v>
      </c>
      <c r="B590">
        <v>0</v>
      </c>
      <c r="C590">
        <v>0</v>
      </c>
      <c r="D590">
        <v>0</v>
      </c>
      <c r="E590">
        <v>0</v>
      </c>
      <c r="F590">
        <v>0</v>
      </c>
      <c r="G590">
        <v>0</v>
      </c>
    </row>
    <row r="591" spans="1:7" x14ac:dyDescent="0.2">
      <c r="A591" t="s">
        <v>2101</v>
      </c>
      <c r="B591">
        <v>0</v>
      </c>
      <c r="C591">
        <v>0</v>
      </c>
      <c r="D591">
        <v>0</v>
      </c>
      <c r="E591">
        <v>0</v>
      </c>
      <c r="F591">
        <v>0</v>
      </c>
      <c r="G591">
        <v>0</v>
      </c>
    </row>
    <row r="592" spans="1:7" x14ac:dyDescent="0.2">
      <c r="A592" t="s">
        <v>2104</v>
      </c>
      <c r="B592">
        <v>0</v>
      </c>
      <c r="C592">
        <v>0</v>
      </c>
      <c r="D592">
        <v>0</v>
      </c>
      <c r="E592">
        <v>0</v>
      </c>
      <c r="F592">
        <v>0</v>
      </c>
      <c r="G592">
        <v>0</v>
      </c>
    </row>
    <row r="593" spans="1:7" x14ac:dyDescent="0.2">
      <c r="A593" t="s">
        <v>2107</v>
      </c>
      <c r="B593">
        <v>0</v>
      </c>
      <c r="C593">
        <v>0</v>
      </c>
      <c r="D593">
        <v>0</v>
      </c>
      <c r="E593">
        <v>0</v>
      </c>
      <c r="F593">
        <v>0</v>
      </c>
      <c r="G593">
        <v>0</v>
      </c>
    </row>
    <row r="594" spans="1:7" x14ac:dyDescent="0.2">
      <c r="A594" t="s">
        <v>2110</v>
      </c>
      <c r="B594">
        <v>0</v>
      </c>
      <c r="C594">
        <v>0</v>
      </c>
      <c r="D594">
        <v>0</v>
      </c>
      <c r="E594">
        <v>0</v>
      </c>
      <c r="F594">
        <v>0</v>
      </c>
      <c r="G594">
        <v>0</v>
      </c>
    </row>
    <row r="595" spans="1:7" x14ac:dyDescent="0.2">
      <c r="A595" t="s">
        <v>2113</v>
      </c>
      <c r="B595">
        <v>0</v>
      </c>
      <c r="C595">
        <v>0</v>
      </c>
      <c r="D595">
        <v>0</v>
      </c>
      <c r="E595">
        <v>0</v>
      </c>
      <c r="F595">
        <v>0</v>
      </c>
      <c r="G595">
        <v>0</v>
      </c>
    </row>
    <row r="596" spans="1:7" x14ac:dyDescent="0.2">
      <c r="A596" t="s">
        <v>4346</v>
      </c>
      <c r="B596">
        <v>0</v>
      </c>
      <c r="C596">
        <v>0</v>
      </c>
      <c r="D596">
        <v>0</v>
      </c>
      <c r="E596">
        <v>0</v>
      </c>
      <c r="F596">
        <v>0</v>
      </c>
      <c r="G596">
        <v>0</v>
      </c>
    </row>
    <row r="597" spans="1:7" x14ac:dyDescent="0.2">
      <c r="A597" t="s">
        <v>4347</v>
      </c>
      <c r="B597">
        <v>0</v>
      </c>
      <c r="C597">
        <v>0</v>
      </c>
      <c r="D597">
        <v>0</v>
      </c>
      <c r="E597">
        <v>0</v>
      </c>
      <c r="F597">
        <v>0</v>
      </c>
      <c r="G597">
        <v>0</v>
      </c>
    </row>
    <row r="598" spans="1:7" x14ac:dyDescent="0.2">
      <c r="A598" t="s">
        <v>4348</v>
      </c>
      <c r="B598">
        <v>0</v>
      </c>
      <c r="C598">
        <v>0</v>
      </c>
      <c r="D598">
        <v>0</v>
      </c>
      <c r="E598">
        <v>0</v>
      </c>
      <c r="F598">
        <v>0</v>
      </c>
      <c r="G598">
        <v>0</v>
      </c>
    </row>
    <row r="599" spans="1:7" x14ac:dyDescent="0.2">
      <c r="A599" t="s">
        <v>4349</v>
      </c>
      <c r="B599">
        <v>0</v>
      </c>
      <c r="C599">
        <v>0</v>
      </c>
      <c r="D599">
        <v>0</v>
      </c>
      <c r="E599">
        <v>0</v>
      </c>
      <c r="F599">
        <v>0</v>
      </c>
      <c r="G599">
        <v>0</v>
      </c>
    </row>
    <row r="600" spans="1:7" x14ac:dyDescent="0.2">
      <c r="A600" t="s">
        <v>4350</v>
      </c>
      <c r="B600">
        <v>0</v>
      </c>
      <c r="C600">
        <v>0</v>
      </c>
      <c r="D600">
        <v>0</v>
      </c>
      <c r="E600">
        <v>0</v>
      </c>
      <c r="F600">
        <v>0</v>
      </c>
      <c r="G600">
        <v>0</v>
      </c>
    </row>
    <row r="601" spans="1:7" x14ac:dyDescent="0.2">
      <c r="A601" t="s">
        <v>4351</v>
      </c>
      <c r="B601">
        <v>0</v>
      </c>
      <c r="C601">
        <v>0</v>
      </c>
      <c r="D601">
        <v>0</v>
      </c>
      <c r="E601">
        <v>2</v>
      </c>
      <c r="F601">
        <v>0</v>
      </c>
      <c r="G601">
        <v>2</v>
      </c>
    </row>
    <row r="602" spans="1:7" x14ac:dyDescent="0.2">
      <c r="A602" t="s">
        <v>4352</v>
      </c>
      <c r="B602">
        <v>0</v>
      </c>
      <c r="C602">
        <v>0</v>
      </c>
      <c r="D602">
        <v>0</v>
      </c>
      <c r="E602">
        <v>0</v>
      </c>
      <c r="F602">
        <v>0</v>
      </c>
      <c r="G602">
        <v>0</v>
      </c>
    </row>
    <row r="603" spans="1:7" x14ac:dyDescent="0.2">
      <c r="A603" t="s">
        <v>4353</v>
      </c>
      <c r="B603">
        <v>20</v>
      </c>
      <c r="C603">
        <v>213</v>
      </c>
      <c r="D603">
        <v>400</v>
      </c>
      <c r="E603">
        <v>147</v>
      </c>
      <c r="F603">
        <v>0</v>
      </c>
      <c r="G603">
        <v>780</v>
      </c>
    </row>
    <row r="604" spans="1:7" x14ac:dyDescent="0.2">
      <c r="A604" t="s">
        <v>4354</v>
      </c>
      <c r="B604">
        <v>70</v>
      </c>
      <c r="C604">
        <v>38</v>
      </c>
      <c r="D604">
        <v>41</v>
      </c>
      <c r="E604">
        <v>24</v>
      </c>
      <c r="F604">
        <v>0</v>
      </c>
      <c r="G604">
        <v>173</v>
      </c>
    </row>
    <row r="605" spans="1:7" x14ac:dyDescent="0.2">
      <c r="A605" t="s">
        <v>4355</v>
      </c>
      <c r="B605">
        <v>0</v>
      </c>
      <c r="C605">
        <v>0</v>
      </c>
      <c r="D605">
        <v>0</v>
      </c>
      <c r="E605">
        <v>0</v>
      </c>
      <c r="F605">
        <v>0</v>
      </c>
      <c r="G605">
        <v>0</v>
      </c>
    </row>
    <row r="606" spans="1:7" x14ac:dyDescent="0.2">
      <c r="A606" t="s">
        <v>4356</v>
      </c>
      <c r="B606">
        <v>0</v>
      </c>
      <c r="C606">
        <v>0</v>
      </c>
      <c r="D606">
        <v>0</v>
      </c>
      <c r="E606">
        <v>0</v>
      </c>
      <c r="F606">
        <v>0</v>
      </c>
      <c r="G606">
        <v>0</v>
      </c>
    </row>
    <row r="607" spans="1:7" x14ac:dyDescent="0.2">
      <c r="A607" t="s">
        <v>4357</v>
      </c>
      <c r="B607">
        <v>0</v>
      </c>
      <c r="C607">
        <v>24</v>
      </c>
      <c r="D607">
        <v>333</v>
      </c>
      <c r="E607">
        <v>0</v>
      </c>
      <c r="F607">
        <v>0</v>
      </c>
      <c r="G607">
        <v>357</v>
      </c>
    </row>
    <row r="608" spans="1:7" x14ac:dyDescent="0.2">
      <c r="A608" t="s">
        <v>4358</v>
      </c>
      <c r="B608">
        <v>0</v>
      </c>
      <c r="C608">
        <v>874</v>
      </c>
      <c r="D608">
        <v>1574</v>
      </c>
      <c r="E608">
        <v>0</v>
      </c>
      <c r="F608">
        <v>0</v>
      </c>
      <c r="G608">
        <v>2448</v>
      </c>
    </row>
    <row r="609" spans="1:7" x14ac:dyDescent="0.2">
      <c r="A609" t="s">
        <v>4359</v>
      </c>
      <c r="B609">
        <v>0</v>
      </c>
      <c r="C609">
        <v>0</v>
      </c>
      <c r="D609">
        <v>0</v>
      </c>
      <c r="E609">
        <v>0</v>
      </c>
      <c r="F609">
        <v>0</v>
      </c>
      <c r="G609">
        <v>0</v>
      </c>
    </row>
    <row r="610" spans="1:7" x14ac:dyDescent="0.2">
      <c r="A610" t="s">
        <v>4360</v>
      </c>
      <c r="B610">
        <v>0</v>
      </c>
      <c r="C610">
        <v>0</v>
      </c>
      <c r="D610">
        <v>65</v>
      </c>
      <c r="E610">
        <v>156</v>
      </c>
      <c r="F610">
        <v>8</v>
      </c>
      <c r="G610">
        <v>229</v>
      </c>
    </row>
    <row r="611" spans="1:7" x14ac:dyDescent="0.2">
      <c r="A611" t="s">
        <v>4361</v>
      </c>
      <c r="B611">
        <v>0</v>
      </c>
      <c r="C611">
        <v>0</v>
      </c>
      <c r="D611">
        <v>3911</v>
      </c>
      <c r="E611">
        <v>182</v>
      </c>
      <c r="F611">
        <v>35</v>
      </c>
      <c r="G611">
        <v>4128</v>
      </c>
    </row>
    <row r="612" spans="1:7" x14ac:dyDescent="0.2">
      <c r="A612" t="s">
        <v>4362</v>
      </c>
      <c r="B612">
        <v>0</v>
      </c>
      <c r="C612">
        <v>0</v>
      </c>
      <c r="D612">
        <v>0</v>
      </c>
      <c r="E612">
        <v>269</v>
      </c>
      <c r="F612">
        <v>45</v>
      </c>
      <c r="G612">
        <v>314</v>
      </c>
    </row>
    <row r="613" spans="1:7" x14ac:dyDescent="0.2">
      <c r="A613" t="s">
        <v>4363</v>
      </c>
      <c r="B613">
        <v>0</v>
      </c>
      <c r="C613">
        <v>0</v>
      </c>
      <c r="D613">
        <v>0</v>
      </c>
      <c r="E613">
        <v>0</v>
      </c>
      <c r="F613">
        <v>0</v>
      </c>
      <c r="G613">
        <v>0</v>
      </c>
    </row>
    <row r="614" spans="1:7" x14ac:dyDescent="0.2">
      <c r="A614" t="s">
        <v>4364</v>
      </c>
      <c r="B614">
        <v>0</v>
      </c>
      <c r="C614">
        <v>0</v>
      </c>
      <c r="D614">
        <v>0</v>
      </c>
      <c r="E614">
        <v>0</v>
      </c>
      <c r="F614">
        <v>0</v>
      </c>
      <c r="G614">
        <v>0</v>
      </c>
    </row>
    <row r="615" spans="1:7" x14ac:dyDescent="0.2">
      <c r="A615" t="s">
        <v>4365</v>
      </c>
      <c r="B615">
        <v>7</v>
      </c>
      <c r="C615">
        <v>297</v>
      </c>
      <c r="D615">
        <v>255</v>
      </c>
      <c r="E615">
        <v>0</v>
      </c>
      <c r="F615">
        <v>0</v>
      </c>
      <c r="G615">
        <v>559</v>
      </c>
    </row>
    <row r="616" spans="1:7" x14ac:dyDescent="0.2">
      <c r="A616" t="s">
        <v>4366</v>
      </c>
      <c r="B616">
        <v>74</v>
      </c>
      <c r="C616">
        <v>337</v>
      </c>
      <c r="D616">
        <v>218</v>
      </c>
      <c r="E616">
        <v>40</v>
      </c>
      <c r="F616">
        <v>0</v>
      </c>
      <c r="G616">
        <v>669</v>
      </c>
    </row>
    <row r="617" spans="1:7" x14ac:dyDescent="0.2">
      <c r="A617" t="s">
        <v>4367</v>
      </c>
      <c r="B617">
        <v>0</v>
      </c>
      <c r="C617">
        <v>49</v>
      </c>
      <c r="D617">
        <v>187</v>
      </c>
      <c r="E617">
        <v>0</v>
      </c>
      <c r="F617">
        <v>0</v>
      </c>
      <c r="G617">
        <v>236</v>
      </c>
    </row>
    <row r="618" spans="1:7" x14ac:dyDescent="0.2">
      <c r="A618" t="s">
        <v>4368</v>
      </c>
      <c r="B618">
        <v>37</v>
      </c>
      <c r="C618">
        <v>131</v>
      </c>
      <c r="D618">
        <v>235</v>
      </c>
      <c r="E618">
        <v>510</v>
      </c>
      <c r="F618">
        <v>101</v>
      </c>
      <c r="G618">
        <v>1014</v>
      </c>
    </row>
    <row r="619" spans="1:7" x14ac:dyDescent="0.2">
      <c r="A619" t="s">
        <v>4369</v>
      </c>
      <c r="B619">
        <v>31</v>
      </c>
      <c r="C619">
        <v>271</v>
      </c>
      <c r="D619">
        <v>856</v>
      </c>
      <c r="E619">
        <v>158</v>
      </c>
      <c r="F619">
        <v>0</v>
      </c>
      <c r="G619">
        <v>1316</v>
      </c>
    </row>
    <row r="620" spans="1:7" x14ac:dyDescent="0.2">
      <c r="A620" t="s">
        <v>4370</v>
      </c>
      <c r="B620">
        <v>214</v>
      </c>
      <c r="C620">
        <v>206</v>
      </c>
      <c r="D620">
        <v>200</v>
      </c>
      <c r="E620">
        <v>31</v>
      </c>
      <c r="F620">
        <v>0</v>
      </c>
      <c r="G620">
        <v>651</v>
      </c>
    </row>
    <row r="621" spans="1:7" x14ac:dyDescent="0.2">
      <c r="A621" t="s">
        <v>4371</v>
      </c>
      <c r="B621">
        <v>40</v>
      </c>
      <c r="C621">
        <v>45</v>
      </c>
      <c r="D621">
        <v>99</v>
      </c>
      <c r="E621">
        <v>44</v>
      </c>
      <c r="F621">
        <v>0</v>
      </c>
      <c r="G621">
        <v>228</v>
      </c>
    </row>
    <row r="622" spans="1:7" x14ac:dyDescent="0.2">
      <c r="A622" t="s">
        <v>4372</v>
      </c>
      <c r="B622">
        <v>0</v>
      </c>
      <c r="C622">
        <v>0</v>
      </c>
      <c r="D622">
        <v>0</v>
      </c>
      <c r="E622">
        <v>0</v>
      </c>
      <c r="F622">
        <v>0</v>
      </c>
      <c r="G622">
        <v>0</v>
      </c>
    </row>
    <row r="623" spans="1:7" x14ac:dyDescent="0.2">
      <c r="A623" t="s">
        <v>4373</v>
      </c>
      <c r="B623">
        <v>0</v>
      </c>
      <c r="C623">
        <v>0</v>
      </c>
      <c r="D623">
        <v>0</v>
      </c>
      <c r="E623">
        <v>0</v>
      </c>
      <c r="F623">
        <v>0</v>
      </c>
      <c r="G623">
        <v>0</v>
      </c>
    </row>
    <row r="624" spans="1:7" x14ac:dyDescent="0.2">
      <c r="A624" t="s">
        <v>4374</v>
      </c>
      <c r="B624">
        <v>0</v>
      </c>
      <c r="C624">
        <v>0</v>
      </c>
      <c r="D624">
        <v>0</v>
      </c>
      <c r="E624">
        <v>0</v>
      </c>
      <c r="F624">
        <v>0</v>
      </c>
      <c r="G624">
        <v>0</v>
      </c>
    </row>
    <row r="625" spans="1:7" x14ac:dyDescent="0.2">
      <c r="A625" t="s">
        <v>4375</v>
      </c>
      <c r="B625">
        <v>0</v>
      </c>
      <c r="C625">
        <v>0</v>
      </c>
      <c r="D625">
        <v>0</v>
      </c>
      <c r="E625">
        <v>0</v>
      </c>
      <c r="F625">
        <v>0</v>
      </c>
      <c r="G625">
        <v>0</v>
      </c>
    </row>
    <row r="626" spans="1:7" x14ac:dyDescent="0.2">
      <c r="A626" t="s">
        <v>4376</v>
      </c>
      <c r="B626">
        <v>0</v>
      </c>
      <c r="C626">
        <v>0</v>
      </c>
      <c r="D626">
        <v>0</v>
      </c>
      <c r="E626">
        <v>0</v>
      </c>
      <c r="F626">
        <v>0</v>
      </c>
      <c r="G626">
        <v>0</v>
      </c>
    </row>
    <row r="627" spans="1:7" x14ac:dyDescent="0.2">
      <c r="A627" t="s">
        <v>4377</v>
      </c>
      <c r="B627">
        <v>0</v>
      </c>
      <c r="C627">
        <v>0</v>
      </c>
      <c r="D627">
        <v>0</v>
      </c>
      <c r="E627">
        <v>0</v>
      </c>
      <c r="F627">
        <v>0</v>
      </c>
      <c r="G627">
        <v>0</v>
      </c>
    </row>
    <row r="628" spans="1:7" x14ac:dyDescent="0.2">
      <c r="A628" t="s">
        <v>4248</v>
      </c>
    </row>
    <row r="629" spans="1:7" x14ac:dyDescent="0.2">
      <c r="A629" t="s">
        <v>4250</v>
      </c>
      <c r="C629" t="s">
        <v>4251</v>
      </c>
      <c r="G629" t="s">
        <v>7535</v>
      </c>
    </row>
    <row r="630" spans="1:7" x14ac:dyDescent="0.2">
      <c r="A630" t="s">
        <v>4253</v>
      </c>
      <c r="G630" t="s">
        <v>7536</v>
      </c>
    </row>
    <row r="631" spans="1:7" x14ac:dyDescent="0.2">
      <c r="A631" t="s">
        <v>7530</v>
      </c>
    </row>
    <row r="634" spans="1:7" x14ac:dyDescent="0.2">
      <c r="A634" t="s">
        <v>4258</v>
      </c>
    </row>
    <row r="636" spans="1:7" x14ac:dyDescent="0.2">
      <c r="A636" t="s">
        <v>4260</v>
      </c>
      <c r="B636" t="s">
        <v>4261</v>
      </c>
      <c r="C636" t="s">
        <v>4261</v>
      </c>
      <c r="D636" t="s">
        <v>4261</v>
      </c>
      <c r="E636" t="s">
        <v>4261</v>
      </c>
      <c r="F636" t="s">
        <v>4261</v>
      </c>
      <c r="G636" t="s">
        <v>4261</v>
      </c>
    </row>
    <row r="637" spans="1:7" x14ac:dyDescent="0.2">
      <c r="A637" t="s">
        <v>126</v>
      </c>
      <c r="B637" t="s">
        <v>4262</v>
      </c>
      <c r="C637" t="s">
        <v>4263</v>
      </c>
      <c r="D637" t="s">
        <v>4264</v>
      </c>
      <c r="E637" t="s">
        <v>2308</v>
      </c>
      <c r="F637" t="s">
        <v>615</v>
      </c>
      <c r="G637" t="s">
        <v>236</v>
      </c>
    </row>
    <row r="638" spans="1:7" x14ac:dyDescent="0.2">
      <c r="A638" t="s">
        <v>4260</v>
      </c>
      <c r="B638" t="s">
        <v>4261</v>
      </c>
      <c r="C638" t="s">
        <v>4261</v>
      </c>
      <c r="D638" t="s">
        <v>4261</v>
      </c>
      <c r="E638" t="s">
        <v>4261</v>
      </c>
      <c r="F638" t="s">
        <v>4261</v>
      </c>
      <c r="G638" t="s">
        <v>4261</v>
      </c>
    </row>
    <row r="639" spans="1:7" x14ac:dyDescent="0.2">
      <c r="A639" t="s">
        <v>4265</v>
      </c>
      <c r="B639">
        <v>0</v>
      </c>
      <c r="C639">
        <v>0</v>
      </c>
      <c r="D639">
        <v>0</v>
      </c>
      <c r="E639">
        <v>0</v>
      </c>
      <c r="F639">
        <v>20</v>
      </c>
      <c r="G639">
        <v>20</v>
      </c>
    </row>
    <row r="640" spans="1:7" x14ac:dyDescent="0.2">
      <c r="A640" t="s">
        <v>4266</v>
      </c>
      <c r="B640">
        <v>0</v>
      </c>
      <c r="C640">
        <v>0</v>
      </c>
      <c r="D640">
        <v>0</v>
      </c>
      <c r="E640">
        <v>0</v>
      </c>
      <c r="F640">
        <v>0</v>
      </c>
      <c r="G640">
        <v>0</v>
      </c>
    </row>
    <row r="641" spans="1:7" x14ac:dyDescent="0.2">
      <c r="A641" t="s">
        <v>4267</v>
      </c>
      <c r="B641">
        <v>610</v>
      </c>
      <c r="C641">
        <v>96</v>
      </c>
      <c r="D641">
        <v>46</v>
      </c>
      <c r="E641">
        <v>1</v>
      </c>
      <c r="F641">
        <v>0</v>
      </c>
      <c r="G641">
        <v>754</v>
      </c>
    </row>
    <row r="642" spans="1:7" x14ac:dyDescent="0.2">
      <c r="A642" t="s">
        <v>4268</v>
      </c>
      <c r="B642">
        <v>0</v>
      </c>
      <c r="C642">
        <v>249</v>
      </c>
      <c r="D642">
        <v>54</v>
      </c>
      <c r="E642">
        <v>0</v>
      </c>
      <c r="F642">
        <v>0</v>
      </c>
      <c r="G642">
        <v>303</v>
      </c>
    </row>
    <row r="643" spans="1:7" x14ac:dyDescent="0.2">
      <c r="A643" t="s">
        <v>4269</v>
      </c>
      <c r="B643">
        <v>686</v>
      </c>
      <c r="C643">
        <v>0</v>
      </c>
      <c r="D643">
        <v>124</v>
      </c>
      <c r="E643">
        <v>2</v>
      </c>
      <c r="F643">
        <v>0</v>
      </c>
      <c r="G643">
        <v>812</v>
      </c>
    </row>
    <row r="644" spans="1:7" x14ac:dyDescent="0.2">
      <c r="A644" t="s">
        <v>4270</v>
      </c>
      <c r="B644">
        <v>0</v>
      </c>
      <c r="C644">
        <v>0</v>
      </c>
      <c r="D644">
        <v>0</v>
      </c>
      <c r="E644">
        <v>0</v>
      </c>
      <c r="F644">
        <v>0</v>
      </c>
      <c r="G644">
        <v>0</v>
      </c>
    </row>
    <row r="645" spans="1:7" x14ac:dyDescent="0.2">
      <c r="A645" t="s">
        <v>4271</v>
      </c>
      <c r="B645">
        <v>176</v>
      </c>
      <c r="C645">
        <v>140</v>
      </c>
      <c r="D645">
        <v>19</v>
      </c>
      <c r="E645">
        <v>12</v>
      </c>
      <c r="F645">
        <v>0</v>
      </c>
      <c r="G645">
        <v>347</v>
      </c>
    </row>
    <row r="646" spans="1:7" x14ac:dyDescent="0.2">
      <c r="A646" t="s">
        <v>4272</v>
      </c>
      <c r="B646">
        <v>409</v>
      </c>
      <c r="C646">
        <v>51</v>
      </c>
      <c r="D646">
        <v>14</v>
      </c>
      <c r="E646">
        <v>23</v>
      </c>
      <c r="F646">
        <v>0</v>
      </c>
      <c r="G646">
        <v>497</v>
      </c>
    </row>
    <row r="647" spans="1:7" x14ac:dyDescent="0.2">
      <c r="A647" t="s">
        <v>4273</v>
      </c>
      <c r="B647">
        <v>0</v>
      </c>
      <c r="C647">
        <v>0</v>
      </c>
      <c r="D647">
        <v>0</v>
      </c>
      <c r="E647">
        <v>0</v>
      </c>
      <c r="F647">
        <v>14</v>
      </c>
      <c r="G647">
        <v>14</v>
      </c>
    </row>
    <row r="648" spans="1:7" x14ac:dyDescent="0.2">
      <c r="A648" t="s">
        <v>4274</v>
      </c>
      <c r="B648">
        <v>0</v>
      </c>
      <c r="C648">
        <v>0</v>
      </c>
      <c r="D648">
        <v>0</v>
      </c>
      <c r="E648">
        <v>0</v>
      </c>
      <c r="F648">
        <v>0</v>
      </c>
      <c r="G648">
        <v>0</v>
      </c>
    </row>
    <row r="649" spans="1:7" x14ac:dyDescent="0.2">
      <c r="A649" t="s">
        <v>4275</v>
      </c>
      <c r="B649">
        <v>0</v>
      </c>
      <c r="C649">
        <v>0</v>
      </c>
      <c r="D649">
        <v>0</v>
      </c>
      <c r="E649">
        <v>0</v>
      </c>
      <c r="F649">
        <v>4032</v>
      </c>
      <c r="G649">
        <v>4032</v>
      </c>
    </row>
    <row r="650" spans="1:7" x14ac:dyDescent="0.2">
      <c r="A650" t="s">
        <v>4276</v>
      </c>
      <c r="B650">
        <v>0</v>
      </c>
      <c r="C650">
        <v>0</v>
      </c>
      <c r="D650">
        <v>0</v>
      </c>
      <c r="E650">
        <v>0</v>
      </c>
      <c r="F650">
        <v>2341</v>
      </c>
      <c r="G650">
        <v>2341</v>
      </c>
    </row>
    <row r="651" spans="1:7" x14ac:dyDescent="0.2">
      <c r="A651" t="s">
        <v>4277</v>
      </c>
      <c r="B651">
        <v>0</v>
      </c>
      <c r="C651">
        <v>0</v>
      </c>
      <c r="D651">
        <v>0</v>
      </c>
      <c r="E651">
        <v>0</v>
      </c>
      <c r="F651">
        <v>1114</v>
      </c>
      <c r="G651">
        <v>1114</v>
      </c>
    </row>
    <row r="652" spans="1:7" x14ac:dyDescent="0.2">
      <c r="A652" t="s">
        <v>4278</v>
      </c>
      <c r="B652">
        <v>0</v>
      </c>
      <c r="C652">
        <v>0</v>
      </c>
      <c r="D652">
        <v>0</v>
      </c>
      <c r="E652">
        <v>0</v>
      </c>
      <c r="F652">
        <v>0</v>
      </c>
      <c r="G652">
        <v>0</v>
      </c>
    </row>
    <row r="653" spans="1:7" x14ac:dyDescent="0.2">
      <c r="A653" t="s">
        <v>4279</v>
      </c>
      <c r="B653">
        <v>1230</v>
      </c>
      <c r="C653">
        <v>489</v>
      </c>
      <c r="D653">
        <v>415</v>
      </c>
      <c r="E653">
        <v>0</v>
      </c>
      <c r="F653">
        <v>0</v>
      </c>
      <c r="G653">
        <v>2134</v>
      </c>
    </row>
    <row r="654" spans="1:7" x14ac:dyDescent="0.2">
      <c r="A654" t="s">
        <v>4280</v>
      </c>
      <c r="B654">
        <v>34</v>
      </c>
      <c r="C654">
        <v>79</v>
      </c>
      <c r="D654">
        <v>3</v>
      </c>
      <c r="E654">
        <v>0</v>
      </c>
      <c r="F654">
        <v>0</v>
      </c>
      <c r="G654">
        <v>115</v>
      </c>
    </row>
    <row r="655" spans="1:7" x14ac:dyDescent="0.2">
      <c r="A655" t="s">
        <v>4281</v>
      </c>
      <c r="B655">
        <v>17069</v>
      </c>
      <c r="C655">
        <v>17979</v>
      </c>
      <c r="D655">
        <v>25419</v>
      </c>
      <c r="E655">
        <v>8792</v>
      </c>
      <c r="F655">
        <v>0</v>
      </c>
      <c r="G655">
        <v>69259</v>
      </c>
    </row>
    <row r="656" spans="1:7" x14ac:dyDescent="0.2">
      <c r="A656" t="s">
        <v>4282</v>
      </c>
      <c r="B656">
        <v>3631</v>
      </c>
      <c r="C656">
        <v>5417</v>
      </c>
      <c r="D656">
        <v>5795</v>
      </c>
      <c r="E656">
        <v>123</v>
      </c>
      <c r="F656">
        <v>0</v>
      </c>
      <c r="G656">
        <v>14966</v>
      </c>
    </row>
    <row r="657" spans="1:7" x14ac:dyDescent="0.2">
      <c r="A657" t="s">
        <v>4283</v>
      </c>
      <c r="B657">
        <v>8165</v>
      </c>
      <c r="C657">
        <v>7912</v>
      </c>
      <c r="D657">
        <v>4645</v>
      </c>
      <c r="E657">
        <v>4050</v>
      </c>
      <c r="F657">
        <v>0</v>
      </c>
      <c r="G657">
        <v>24771</v>
      </c>
    </row>
    <row r="658" spans="1:7" x14ac:dyDescent="0.2">
      <c r="A658" t="s">
        <v>4284</v>
      </c>
      <c r="B658">
        <v>450</v>
      </c>
      <c r="C658">
        <v>0</v>
      </c>
      <c r="D658">
        <v>818</v>
      </c>
      <c r="E658">
        <v>70</v>
      </c>
      <c r="F658">
        <v>0</v>
      </c>
      <c r="G658">
        <v>1338</v>
      </c>
    </row>
    <row r="659" spans="1:7" x14ac:dyDescent="0.2">
      <c r="A659" t="s">
        <v>4285</v>
      </c>
      <c r="B659">
        <v>10035</v>
      </c>
      <c r="C659">
        <v>11128</v>
      </c>
      <c r="D659">
        <v>9850</v>
      </c>
      <c r="E659">
        <v>4325</v>
      </c>
      <c r="F659">
        <v>0</v>
      </c>
      <c r="G659">
        <v>35339</v>
      </c>
    </row>
    <row r="660" spans="1:7" x14ac:dyDescent="0.2">
      <c r="A660" t="s">
        <v>4286</v>
      </c>
      <c r="B660">
        <v>1097</v>
      </c>
      <c r="C660">
        <v>253</v>
      </c>
      <c r="D660">
        <v>456</v>
      </c>
      <c r="E660">
        <v>70</v>
      </c>
      <c r="F660">
        <v>0</v>
      </c>
      <c r="G660">
        <v>1875</v>
      </c>
    </row>
    <row r="661" spans="1:7" x14ac:dyDescent="0.2">
      <c r="A661" t="s">
        <v>4287</v>
      </c>
      <c r="B661">
        <v>0</v>
      </c>
      <c r="C661">
        <v>0</v>
      </c>
      <c r="D661">
        <v>0</v>
      </c>
      <c r="E661">
        <v>60785</v>
      </c>
      <c r="F661">
        <v>0</v>
      </c>
      <c r="G661">
        <v>60785</v>
      </c>
    </row>
    <row r="662" spans="1:7" x14ac:dyDescent="0.2">
      <c r="A662" t="s">
        <v>4288</v>
      </c>
      <c r="B662">
        <v>0</v>
      </c>
      <c r="C662">
        <v>0</v>
      </c>
      <c r="D662">
        <v>0</v>
      </c>
      <c r="E662">
        <v>0</v>
      </c>
      <c r="F662">
        <v>1452</v>
      </c>
      <c r="G662">
        <v>1452</v>
      </c>
    </row>
    <row r="663" spans="1:7" x14ac:dyDescent="0.2">
      <c r="A663" t="s">
        <v>4289</v>
      </c>
      <c r="B663">
        <v>0</v>
      </c>
      <c r="C663">
        <v>0</v>
      </c>
      <c r="D663">
        <v>0</v>
      </c>
      <c r="E663">
        <v>0</v>
      </c>
      <c r="F663">
        <v>242881</v>
      </c>
      <c r="G663">
        <v>242881</v>
      </c>
    </row>
    <row r="664" spans="1:7" x14ac:dyDescent="0.2">
      <c r="A664" t="s">
        <v>4290</v>
      </c>
      <c r="B664">
        <v>0</v>
      </c>
      <c r="C664">
        <v>0</v>
      </c>
      <c r="D664">
        <v>0</v>
      </c>
      <c r="E664">
        <v>0</v>
      </c>
      <c r="F664">
        <v>48130</v>
      </c>
      <c r="G664">
        <v>48130</v>
      </c>
    </row>
    <row r="665" spans="1:7" x14ac:dyDescent="0.2">
      <c r="A665" t="s">
        <v>4291</v>
      </c>
      <c r="B665">
        <v>0</v>
      </c>
      <c r="C665">
        <v>0</v>
      </c>
      <c r="D665">
        <v>0</v>
      </c>
      <c r="E665">
        <v>0</v>
      </c>
      <c r="F665">
        <v>5084</v>
      </c>
      <c r="G665">
        <v>5084</v>
      </c>
    </row>
    <row r="666" spans="1:7" x14ac:dyDescent="0.2">
      <c r="A666" t="s">
        <v>4292</v>
      </c>
      <c r="B666">
        <v>0</v>
      </c>
      <c r="C666">
        <v>0</v>
      </c>
      <c r="D666">
        <v>0</v>
      </c>
      <c r="E666">
        <v>0</v>
      </c>
      <c r="F666">
        <v>1441</v>
      </c>
      <c r="G666">
        <v>1441</v>
      </c>
    </row>
    <row r="667" spans="1:7" x14ac:dyDescent="0.2">
      <c r="A667" t="s">
        <v>4293</v>
      </c>
      <c r="B667">
        <v>0</v>
      </c>
      <c r="C667">
        <v>0</v>
      </c>
      <c r="D667">
        <v>0</v>
      </c>
      <c r="E667">
        <v>0</v>
      </c>
      <c r="F667">
        <v>2399</v>
      </c>
      <c r="G667">
        <v>2399</v>
      </c>
    </row>
    <row r="668" spans="1:7" x14ac:dyDescent="0.2">
      <c r="A668" t="s">
        <v>4294</v>
      </c>
      <c r="B668">
        <v>0</v>
      </c>
      <c r="C668">
        <v>0</v>
      </c>
      <c r="D668">
        <v>0</v>
      </c>
      <c r="E668">
        <v>0</v>
      </c>
      <c r="F668">
        <v>10897</v>
      </c>
      <c r="G668">
        <v>10897</v>
      </c>
    </row>
    <row r="669" spans="1:7" x14ac:dyDescent="0.2">
      <c r="A669" t="s">
        <v>4295</v>
      </c>
      <c r="B669">
        <v>0</v>
      </c>
      <c r="C669">
        <v>0</v>
      </c>
      <c r="D669">
        <v>0</v>
      </c>
      <c r="E669">
        <v>0</v>
      </c>
      <c r="F669">
        <v>0</v>
      </c>
      <c r="G669">
        <v>0</v>
      </c>
    </row>
    <row r="670" spans="1:7" x14ac:dyDescent="0.2">
      <c r="A670" t="s">
        <v>4296</v>
      </c>
      <c r="B670">
        <v>0</v>
      </c>
      <c r="C670">
        <v>0</v>
      </c>
      <c r="D670">
        <v>0</v>
      </c>
      <c r="E670">
        <v>0</v>
      </c>
      <c r="F670">
        <v>0</v>
      </c>
      <c r="G670">
        <v>0</v>
      </c>
    </row>
    <row r="671" spans="1:7" x14ac:dyDescent="0.2">
      <c r="A671" t="s">
        <v>4297</v>
      </c>
      <c r="B671">
        <v>3860</v>
      </c>
      <c r="C671">
        <v>21925</v>
      </c>
      <c r="D671">
        <v>51750</v>
      </c>
      <c r="E671">
        <v>13469</v>
      </c>
      <c r="F671">
        <v>0</v>
      </c>
      <c r="G671">
        <v>91005</v>
      </c>
    </row>
    <row r="672" spans="1:7" x14ac:dyDescent="0.2">
      <c r="A672" t="s">
        <v>4298</v>
      </c>
      <c r="B672">
        <v>1578</v>
      </c>
      <c r="C672">
        <v>4194</v>
      </c>
      <c r="D672">
        <v>3602</v>
      </c>
      <c r="E672">
        <v>7071</v>
      </c>
      <c r="F672">
        <v>0</v>
      </c>
      <c r="G672">
        <v>16445</v>
      </c>
    </row>
    <row r="673" spans="1:7" x14ac:dyDescent="0.2">
      <c r="A673" t="s">
        <v>4299</v>
      </c>
      <c r="B673">
        <v>898</v>
      </c>
      <c r="C673">
        <v>3050</v>
      </c>
      <c r="D673">
        <v>5262</v>
      </c>
      <c r="E673">
        <v>6319</v>
      </c>
      <c r="F673">
        <v>0</v>
      </c>
      <c r="G673">
        <v>15529</v>
      </c>
    </row>
    <row r="674" spans="1:7" x14ac:dyDescent="0.2">
      <c r="A674" t="s">
        <v>4300</v>
      </c>
      <c r="B674">
        <v>18</v>
      </c>
      <c r="C674">
        <v>86</v>
      </c>
      <c r="D674">
        <v>191</v>
      </c>
      <c r="E674">
        <v>174</v>
      </c>
      <c r="F674">
        <v>0</v>
      </c>
      <c r="G674">
        <v>469</v>
      </c>
    </row>
    <row r="675" spans="1:7" x14ac:dyDescent="0.2">
      <c r="A675" t="s">
        <v>4301</v>
      </c>
      <c r="B675">
        <v>0</v>
      </c>
      <c r="C675">
        <v>15050</v>
      </c>
      <c r="D675">
        <v>35216</v>
      </c>
      <c r="E675">
        <v>18240</v>
      </c>
      <c r="F675">
        <v>0</v>
      </c>
      <c r="G675">
        <v>68505</v>
      </c>
    </row>
    <row r="676" spans="1:7" x14ac:dyDescent="0.2">
      <c r="A676" t="s">
        <v>4302</v>
      </c>
      <c r="B676">
        <v>172</v>
      </c>
      <c r="C676">
        <v>1695</v>
      </c>
      <c r="D676">
        <v>4511</v>
      </c>
      <c r="E676">
        <v>1365</v>
      </c>
      <c r="F676">
        <v>0</v>
      </c>
      <c r="G676">
        <v>7743</v>
      </c>
    </row>
    <row r="677" spans="1:7" x14ac:dyDescent="0.2">
      <c r="A677" t="s">
        <v>4303</v>
      </c>
      <c r="B677">
        <v>171</v>
      </c>
      <c r="C677">
        <v>2263</v>
      </c>
      <c r="D677">
        <v>9108</v>
      </c>
      <c r="E677">
        <v>1786</v>
      </c>
      <c r="F677">
        <v>0</v>
      </c>
      <c r="G677">
        <v>13328</v>
      </c>
    </row>
    <row r="678" spans="1:7" x14ac:dyDescent="0.2">
      <c r="A678" t="s">
        <v>4304</v>
      </c>
      <c r="B678">
        <v>175</v>
      </c>
      <c r="C678">
        <v>635</v>
      </c>
      <c r="D678">
        <v>2655</v>
      </c>
      <c r="E678">
        <v>1409</v>
      </c>
      <c r="F678">
        <v>0</v>
      </c>
      <c r="G678">
        <v>4875</v>
      </c>
    </row>
    <row r="679" spans="1:7" x14ac:dyDescent="0.2">
      <c r="A679" t="s">
        <v>4305</v>
      </c>
      <c r="B679">
        <v>2504</v>
      </c>
      <c r="C679">
        <v>6610</v>
      </c>
      <c r="D679">
        <v>7986</v>
      </c>
      <c r="E679">
        <v>2959</v>
      </c>
      <c r="F679">
        <v>0</v>
      </c>
      <c r="G679">
        <v>20059</v>
      </c>
    </row>
    <row r="680" spans="1:7" x14ac:dyDescent="0.2">
      <c r="A680" t="s">
        <v>4306</v>
      </c>
      <c r="B680">
        <v>95</v>
      </c>
      <c r="C680">
        <v>1274</v>
      </c>
      <c r="D680">
        <v>339</v>
      </c>
      <c r="E680">
        <v>374</v>
      </c>
      <c r="F680">
        <v>0</v>
      </c>
      <c r="G680">
        <v>2082</v>
      </c>
    </row>
    <row r="681" spans="1:7" x14ac:dyDescent="0.2">
      <c r="A681" t="s">
        <v>4307</v>
      </c>
      <c r="B681">
        <v>589</v>
      </c>
      <c r="C681">
        <v>5932</v>
      </c>
      <c r="D681">
        <v>23499</v>
      </c>
      <c r="E681">
        <v>8960</v>
      </c>
      <c r="F681">
        <v>2</v>
      </c>
      <c r="G681">
        <v>38982</v>
      </c>
    </row>
    <row r="682" spans="1:7" x14ac:dyDescent="0.2">
      <c r="A682" t="s">
        <v>4308</v>
      </c>
      <c r="B682">
        <v>0</v>
      </c>
      <c r="C682">
        <v>0</v>
      </c>
      <c r="D682">
        <v>218</v>
      </c>
      <c r="E682">
        <v>172</v>
      </c>
      <c r="F682">
        <v>1</v>
      </c>
      <c r="G682">
        <v>391</v>
      </c>
    </row>
    <row r="683" spans="1:7" x14ac:dyDescent="0.2">
      <c r="A683" t="s">
        <v>4309</v>
      </c>
      <c r="B683">
        <v>0</v>
      </c>
      <c r="C683">
        <v>0</v>
      </c>
      <c r="D683">
        <v>0</v>
      </c>
      <c r="E683">
        <v>0</v>
      </c>
      <c r="F683">
        <v>769</v>
      </c>
      <c r="G683">
        <v>769</v>
      </c>
    </row>
    <row r="684" spans="1:7" x14ac:dyDescent="0.2">
      <c r="A684" t="s">
        <v>4310</v>
      </c>
      <c r="B684">
        <v>0</v>
      </c>
      <c r="C684">
        <v>0</v>
      </c>
      <c r="D684">
        <v>0</v>
      </c>
      <c r="E684">
        <v>0</v>
      </c>
      <c r="F684">
        <v>4149</v>
      </c>
      <c r="G684">
        <v>4149</v>
      </c>
    </row>
    <row r="685" spans="1:7" x14ac:dyDescent="0.2">
      <c r="A685" t="s">
        <v>4311</v>
      </c>
      <c r="B685">
        <v>0</v>
      </c>
      <c r="C685">
        <v>0</v>
      </c>
      <c r="D685">
        <v>0</v>
      </c>
      <c r="E685">
        <v>21633</v>
      </c>
      <c r="F685">
        <v>11260</v>
      </c>
      <c r="G685">
        <v>32893</v>
      </c>
    </row>
    <row r="686" spans="1:7" x14ac:dyDescent="0.2">
      <c r="A686" t="s">
        <v>4312</v>
      </c>
      <c r="B686">
        <v>0</v>
      </c>
      <c r="C686">
        <v>0</v>
      </c>
      <c r="D686">
        <v>0</v>
      </c>
      <c r="E686">
        <v>3521</v>
      </c>
      <c r="F686">
        <v>1362</v>
      </c>
      <c r="G686">
        <v>4883</v>
      </c>
    </row>
    <row r="687" spans="1:7" x14ac:dyDescent="0.2">
      <c r="A687" t="s">
        <v>4313</v>
      </c>
      <c r="B687">
        <v>0</v>
      </c>
      <c r="C687">
        <v>0</v>
      </c>
      <c r="D687">
        <v>0</v>
      </c>
      <c r="E687">
        <v>0</v>
      </c>
      <c r="F687">
        <v>77</v>
      </c>
      <c r="G687">
        <v>77</v>
      </c>
    </row>
    <row r="688" spans="1:7" x14ac:dyDescent="0.2">
      <c r="A688" t="s">
        <v>4314</v>
      </c>
      <c r="B688">
        <v>0</v>
      </c>
      <c r="C688">
        <v>0</v>
      </c>
      <c r="D688">
        <v>0</v>
      </c>
      <c r="E688">
        <v>0</v>
      </c>
      <c r="F688">
        <v>6272</v>
      </c>
      <c r="G688">
        <v>6272</v>
      </c>
    </row>
    <row r="689" spans="1:7" x14ac:dyDescent="0.2">
      <c r="A689" t="s">
        <v>4315</v>
      </c>
      <c r="B689">
        <v>0</v>
      </c>
      <c r="C689">
        <v>0</v>
      </c>
      <c r="D689">
        <v>0</v>
      </c>
      <c r="E689">
        <v>0</v>
      </c>
      <c r="F689">
        <v>4080</v>
      </c>
      <c r="G689">
        <v>4080</v>
      </c>
    </row>
    <row r="690" spans="1:7" x14ac:dyDescent="0.2">
      <c r="A690" t="s">
        <v>4316</v>
      </c>
      <c r="B690">
        <v>0</v>
      </c>
      <c r="C690">
        <v>0</v>
      </c>
      <c r="D690">
        <v>0</v>
      </c>
      <c r="E690">
        <v>4443</v>
      </c>
      <c r="F690">
        <v>22846</v>
      </c>
      <c r="G690">
        <v>27289</v>
      </c>
    </row>
    <row r="691" spans="1:7" x14ac:dyDescent="0.2">
      <c r="A691" t="s">
        <v>4317</v>
      </c>
      <c r="B691">
        <v>0</v>
      </c>
      <c r="C691">
        <v>0</v>
      </c>
      <c r="D691">
        <v>0</v>
      </c>
      <c r="E691">
        <v>0</v>
      </c>
      <c r="F691">
        <v>0</v>
      </c>
      <c r="G691">
        <v>0</v>
      </c>
    </row>
    <row r="692" spans="1:7" x14ac:dyDescent="0.2">
      <c r="A692" t="s">
        <v>4318</v>
      </c>
      <c r="B692">
        <v>0</v>
      </c>
      <c r="C692">
        <v>0</v>
      </c>
      <c r="D692">
        <v>0</v>
      </c>
      <c r="E692">
        <v>0</v>
      </c>
      <c r="F692">
        <v>16367</v>
      </c>
      <c r="G692">
        <v>16367</v>
      </c>
    </row>
    <row r="693" spans="1:7" x14ac:dyDescent="0.2">
      <c r="A693" t="s">
        <v>4319</v>
      </c>
      <c r="B693">
        <v>0</v>
      </c>
      <c r="C693">
        <v>0</v>
      </c>
      <c r="D693">
        <v>0</v>
      </c>
      <c r="E693">
        <v>0</v>
      </c>
      <c r="F693">
        <v>7175</v>
      </c>
      <c r="G693">
        <v>7175</v>
      </c>
    </row>
    <row r="694" spans="1:7" x14ac:dyDescent="0.2">
      <c r="A694" t="s">
        <v>4320</v>
      </c>
      <c r="B694">
        <v>0</v>
      </c>
      <c r="C694">
        <v>0</v>
      </c>
      <c r="D694">
        <v>0</v>
      </c>
      <c r="E694">
        <v>0</v>
      </c>
      <c r="F694">
        <v>6184</v>
      </c>
      <c r="G694">
        <v>6184</v>
      </c>
    </row>
    <row r="695" spans="1:7" x14ac:dyDescent="0.2">
      <c r="A695" t="s">
        <v>4321</v>
      </c>
      <c r="B695">
        <v>0</v>
      </c>
      <c r="C695">
        <v>0</v>
      </c>
      <c r="D695">
        <v>0</v>
      </c>
      <c r="E695">
        <v>0</v>
      </c>
      <c r="F695">
        <v>0</v>
      </c>
      <c r="G695">
        <v>0</v>
      </c>
    </row>
    <row r="696" spans="1:7" x14ac:dyDescent="0.2">
      <c r="A696" t="s">
        <v>4322</v>
      </c>
      <c r="B696">
        <v>0</v>
      </c>
      <c r="C696">
        <v>0</v>
      </c>
      <c r="D696">
        <v>0</v>
      </c>
      <c r="E696">
        <v>0</v>
      </c>
      <c r="F696">
        <v>0</v>
      </c>
      <c r="G696">
        <v>0</v>
      </c>
    </row>
    <row r="697" spans="1:7" x14ac:dyDescent="0.2">
      <c r="A697" t="s">
        <v>4323</v>
      </c>
      <c r="B697">
        <v>0</v>
      </c>
      <c r="C697">
        <v>0</v>
      </c>
      <c r="D697">
        <v>0</v>
      </c>
      <c r="E697">
        <v>0</v>
      </c>
      <c r="F697">
        <v>0</v>
      </c>
      <c r="G697">
        <v>0</v>
      </c>
    </row>
    <row r="698" spans="1:7" x14ac:dyDescent="0.2">
      <c r="A698" t="s">
        <v>4324</v>
      </c>
      <c r="B698">
        <v>0</v>
      </c>
      <c r="C698">
        <v>0</v>
      </c>
      <c r="D698">
        <v>0</v>
      </c>
      <c r="E698">
        <v>0</v>
      </c>
      <c r="F698">
        <v>0</v>
      </c>
      <c r="G698">
        <v>0</v>
      </c>
    </row>
    <row r="699" spans="1:7" x14ac:dyDescent="0.2">
      <c r="A699" t="s">
        <v>4325</v>
      </c>
      <c r="B699">
        <v>0</v>
      </c>
      <c r="C699">
        <v>0</v>
      </c>
      <c r="D699">
        <v>0</v>
      </c>
      <c r="E699">
        <v>0</v>
      </c>
      <c r="F699">
        <v>0</v>
      </c>
      <c r="G699">
        <v>0</v>
      </c>
    </row>
    <row r="700" spans="1:7" x14ac:dyDescent="0.2">
      <c r="A700" t="s">
        <v>4326</v>
      </c>
      <c r="B700">
        <v>0</v>
      </c>
      <c r="C700">
        <v>0</v>
      </c>
      <c r="D700">
        <v>0</v>
      </c>
      <c r="E700">
        <v>0</v>
      </c>
      <c r="F700">
        <v>0</v>
      </c>
      <c r="G700">
        <v>0</v>
      </c>
    </row>
    <row r="701" spans="1:7" x14ac:dyDescent="0.2">
      <c r="A701" t="s">
        <v>4327</v>
      </c>
      <c r="B701">
        <v>0</v>
      </c>
      <c r="C701">
        <v>0</v>
      </c>
      <c r="D701">
        <v>0</v>
      </c>
      <c r="E701">
        <v>11225</v>
      </c>
      <c r="F701">
        <v>5234</v>
      </c>
      <c r="G701">
        <v>16459</v>
      </c>
    </row>
    <row r="702" spans="1:7" x14ac:dyDescent="0.2">
      <c r="A702" t="s">
        <v>4328</v>
      </c>
      <c r="B702">
        <v>0</v>
      </c>
      <c r="C702">
        <v>0</v>
      </c>
      <c r="D702">
        <v>0</v>
      </c>
      <c r="E702">
        <v>0</v>
      </c>
      <c r="F702">
        <v>0</v>
      </c>
      <c r="G702">
        <v>0</v>
      </c>
    </row>
    <row r="703" spans="1:7" x14ac:dyDescent="0.2">
      <c r="A703" t="s">
        <v>4329</v>
      </c>
      <c r="B703">
        <v>0</v>
      </c>
      <c r="C703">
        <v>0</v>
      </c>
      <c r="D703">
        <v>0</v>
      </c>
      <c r="E703">
        <v>0</v>
      </c>
      <c r="F703">
        <v>2076</v>
      </c>
      <c r="G703">
        <v>2076</v>
      </c>
    </row>
    <row r="704" spans="1:7" x14ac:dyDescent="0.2">
      <c r="A704" t="s">
        <v>4330</v>
      </c>
      <c r="B704">
        <v>0</v>
      </c>
      <c r="C704">
        <v>0</v>
      </c>
      <c r="D704">
        <v>0</v>
      </c>
      <c r="E704">
        <v>0</v>
      </c>
      <c r="F704">
        <v>0</v>
      </c>
      <c r="G704">
        <v>0</v>
      </c>
    </row>
    <row r="705" spans="1:7" x14ac:dyDescent="0.2">
      <c r="A705" t="s">
        <v>4331</v>
      </c>
      <c r="B705">
        <v>0</v>
      </c>
      <c r="C705">
        <v>0</v>
      </c>
      <c r="D705">
        <v>0</v>
      </c>
      <c r="E705">
        <v>0</v>
      </c>
      <c r="F705">
        <v>0</v>
      </c>
      <c r="G705">
        <v>0</v>
      </c>
    </row>
    <row r="706" spans="1:7" x14ac:dyDescent="0.2">
      <c r="A706" t="s">
        <v>4332</v>
      </c>
      <c r="B706">
        <v>0</v>
      </c>
      <c r="C706">
        <v>0</v>
      </c>
      <c r="D706">
        <v>0</v>
      </c>
      <c r="E706">
        <v>9279</v>
      </c>
      <c r="F706">
        <v>1768</v>
      </c>
      <c r="G706">
        <v>11047</v>
      </c>
    </row>
    <row r="707" spans="1:7" x14ac:dyDescent="0.2">
      <c r="A707" t="s">
        <v>4333</v>
      </c>
      <c r="B707">
        <v>0</v>
      </c>
      <c r="C707">
        <v>0</v>
      </c>
      <c r="D707">
        <v>0</v>
      </c>
      <c r="E707">
        <v>0</v>
      </c>
      <c r="F707">
        <v>0</v>
      </c>
      <c r="G707">
        <v>0</v>
      </c>
    </row>
    <row r="708" spans="1:7" x14ac:dyDescent="0.2">
      <c r="A708" t="s">
        <v>4334</v>
      </c>
      <c r="B708">
        <v>0</v>
      </c>
      <c r="C708">
        <v>0</v>
      </c>
      <c r="D708">
        <v>0</v>
      </c>
      <c r="E708">
        <v>0</v>
      </c>
      <c r="F708">
        <v>3978</v>
      </c>
      <c r="G708">
        <v>3978</v>
      </c>
    </row>
    <row r="709" spans="1:7" x14ac:dyDescent="0.2">
      <c r="A709" t="s">
        <v>4335</v>
      </c>
      <c r="B709">
        <v>0</v>
      </c>
      <c r="C709">
        <v>0</v>
      </c>
      <c r="D709">
        <v>0</v>
      </c>
      <c r="E709">
        <v>1435</v>
      </c>
      <c r="F709">
        <v>3091</v>
      </c>
      <c r="G709">
        <v>4526</v>
      </c>
    </row>
    <row r="710" spans="1:7" x14ac:dyDescent="0.2">
      <c r="A710" t="s">
        <v>4336</v>
      </c>
      <c r="B710">
        <v>0</v>
      </c>
      <c r="C710">
        <v>0</v>
      </c>
      <c r="D710">
        <v>0</v>
      </c>
      <c r="E710">
        <v>0</v>
      </c>
      <c r="F710">
        <v>0</v>
      </c>
      <c r="G710">
        <v>0</v>
      </c>
    </row>
    <row r="711" spans="1:7" x14ac:dyDescent="0.2">
      <c r="A711" t="s">
        <v>4337</v>
      </c>
      <c r="B711">
        <v>0</v>
      </c>
      <c r="C711">
        <v>0</v>
      </c>
      <c r="D711">
        <v>0</v>
      </c>
      <c r="E711">
        <v>0</v>
      </c>
      <c r="F711">
        <v>541</v>
      </c>
      <c r="G711">
        <v>541</v>
      </c>
    </row>
    <row r="712" spans="1:7" x14ac:dyDescent="0.2">
      <c r="A712" t="s">
        <v>4338</v>
      </c>
      <c r="B712">
        <v>0</v>
      </c>
      <c r="C712">
        <v>0</v>
      </c>
      <c r="D712">
        <v>0</v>
      </c>
      <c r="E712">
        <v>256</v>
      </c>
      <c r="F712">
        <v>1548</v>
      </c>
      <c r="G712">
        <v>1804</v>
      </c>
    </row>
    <row r="713" spans="1:7" x14ac:dyDescent="0.2">
      <c r="A713" t="s">
        <v>4339</v>
      </c>
      <c r="B713">
        <v>0</v>
      </c>
      <c r="C713">
        <v>0</v>
      </c>
      <c r="D713">
        <v>0</v>
      </c>
      <c r="E713">
        <v>0</v>
      </c>
      <c r="F713">
        <v>0</v>
      </c>
      <c r="G713">
        <v>0</v>
      </c>
    </row>
    <row r="714" spans="1:7" x14ac:dyDescent="0.2">
      <c r="A714" t="s">
        <v>4340</v>
      </c>
      <c r="B714">
        <v>0</v>
      </c>
      <c r="C714">
        <v>0</v>
      </c>
      <c r="D714">
        <v>0</v>
      </c>
      <c r="E714">
        <v>0</v>
      </c>
      <c r="F714">
        <v>0</v>
      </c>
      <c r="G714">
        <v>0</v>
      </c>
    </row>
    <row r="715" spans="1:7" x14ac:dyDescent="0.2">
      <c r="A715" t="s">
        <v>4341</v>
      </c>
      <c r="B715">
        <v>0</v>
      </c>
      <c r="C715">
        <v>0</v>
      </c>
      <c r="D715">
        <v>0</v>
      </c>
      <c r="E715">
        <v>0</v>
      </c>
      <c r="F715">
        <v>52</v>
      </c>
      <c r="G715">
        <v>52</v>
      </c>
    </row>
    <row r="716" spans="1:7" x14ac:dyDescent="0.2">
      <c r="A716" t="s">
        <v>4342</v>
      </c>
      <c r="B716">
        <v>0</v>
      </c>
      <c r="C716">
        <v>0</v>
      </c>
      <c r="D716">
        <v>0</v>
      </c>
      <c r="E716">
        <v>0</v>
      </c>
      <c r="F716">
        <v>0</v>
      </c>
      <c r="G716">
        <v>0</v>
      </c>
    </row>
    <row r="717" spans="1:7" x14ac:dyDescent="0.2">
      <c r="A717" t="s">
        <v>4343</v>
      </c>
      <c r="B717">
        <v>0</v>
      </c>
      <c r="C717">
        <v>0</v>
      </c>
      <c r="D717">
        <v>0</v>
      </c>
      <c r="E717">
        <v>0</v>
      </c>
      <c r="F717">
        <v>0</v>
      </c>
      <c r="G717">
        <v>0</v>
      </c>
    </row>
    <row r="718" spans="1:7" x14ac:dyDescent="0.2">
      <c r="A718" t="s">
        <v>1728</v>
      </c>
      <c r="B718">
        <v>0</v>
      </c>
      <c r="C718">
        <v>0</v>
      </c>
      <c r="D718">
        <v>0</v>
      </c>
      <c r="E718">
        <v>0</v>
      </c>
      <c r="F718">
        <v>0</v>
      </c>
      <c r="G718">
        <v>0</v>
      </c>
    </row>
    <row r="719" spans="1:7" x14ac:dyDescent="0.2">
      <c r="A719" t="s">
        <v>1730</v>
      </c>
      <c r="B719">
        <v>0</v>
      </c>
      <c r="C719">
        <v>34</v>
      </c>
      <c r="D719">
        <v>360</v>
      </c>
      <c r="E719">
        <v>209</v>
      </c>
      <c r="F719">
        <v>2225</v>
      </c>
      <c r="G719">
        <v>2828</v>
      </c>
    </row>
    <row r="720" spans="1:7" x14ac:dyDescent="0.2">
      <c r="A720" t="s">
        <v>1733</v>
      </c>
      <c r="B720">
        <v>0</v>
      </c>
      <c r="C720">
        <v>0</v>
      </c>
      <c r="D720">
        <v>0</v>
      </c>
      <c r="E720">
        <v>346</v>
      </c>
      <c r="F720">
        <v>1864</v>
      </c>
      <c r="G720">
        <v>2210</v>
      </c>
    </row>
    <row r="721" spans="1:7" x14ac:dyDescent="0.2">
      <c r="A721" t="s">
        <v>1738</v>
      </c>
      <c r="B721">
        <v>0</v>
      </c>
      <c r="C721">
        <v>0</v>
      </c>
      <c r="D721">
        <v>0</v>
      </c>
      <c r="E721">
        <v>416</v>
      </c>
      <c r="F721">
        <v>373</v>
      </c>
      <c r="G721">
        <v>789</v>
      </c>
    </row>
    <row r="722" spans="1:7" x14ac:dyDescent="0.2">
      <c r="A722" t="s">
        <v>1744</v>
      </c>
      <c r="B722">
        <v>0</v>
      </c>
      <c r="C722">
        <v>0</v>
      </c>
      <c r="D722">
        <v>0</v>
      </c>
      <c r="E722">
        <v>0</v>
      </c>
      <c r="F722">
        <v>0</v>
      </c>
      <c r="G722">
        <v>0</v>
      </c>
    </row>
    <row r="723" spans="1:7" x14ac:dyDescent="0.2">
      <c r="A723" t="s">
        <v>1747</v>
      </c>
      <c r="B723">
        <v>0</v>
      </c>
      <c r="C723">
        <v>0</v>
      </c>
      <c r="D723">
        <v>0</v>
      </c>
      <c r="E723">
        <v>0</v>
      </c>
      <c r="F723">
        <v>0</v>
      </c>
      <c r="G723">
        <v>0</v>
      </c>
    </row>
    <row r="724" spans="1:7" x14ac:dyDescent="0.2">
      <c r="A724" t="s">
        <v>1751</v>
      </c>
      <c r="B724">
        <v>0</v>
      </c>
      <c r="C724">
        <v>0</v>
      </c>
      <c r="D724">
        <v>0</v>
      </c>
      <c r="E724">
        <v>0</v>
      </c>
      <c r="F724">
        <v>0</v>
      </c>
      <c r="G724">
        <v>0</v>
      </c>
    </row>
    <row r="725" spans="1:7" x14ac:dyDescent="0.2">
      <c r="A725" t="s">
        <v>1755</v>
      </c>
      <c r="B725">
        <v>0</v>
      </c>
      <c r="C725">
        <v>0</v>
      </c>
      <c r="D725">
        <v>221</v>
      </c>
      <c r="E725">
        <v>2329</v>
      </c>
      <c r="F725">
        <v>4986</v>
      </c>
      <c r="G725">
        <v>7536</v>
      </c>
    </row>
    <row r="726" spans="1:7" x14ac:dyDescent="0.2">
      <c r="A726" t="s">
        <v>1757</v>
      </c>
      <c r="B726">
        <v>0</v>
      </c>
      <c r="C726">
        <v>0</v>
      </c>
      <c r="D726">
        <v>418</v>
      </c>
      <c r="E726">
        <v>1560</v>
      </c>
      <c r="F726">
        <v>4724</v>
      </c>
      <c r="G726">
        <v>6702</v>
      </c>
    </row>
    <row r="727" spans="1:7" x14ac:dyDescent="0.2">
      <c r="A727" t="s">
        <v>1761</v>
      </c>
      <c r="B727">
        <v>0</v>
      </c>
      <c r="C727">
        <v>0</v>
      </c>
      <c r="D727">
        <v>0</v>
      </c>
      <c r="E727">
        <v>0</v>
      </c>
      <c r="F727">
        <v>0</v>
      </c>
      <c r="G727">
        <v>0</v>
      </c>
    </row>
    <row r="728" spans="1:7" x14ac:dyDescent="0.2">
      <c r="A728" t="s">
        <v>1764</v>
      </c>
      <c r="B728">
        <v>0</v>
      </c>
      <c r="C728">
        <v>0</v>
      </c>
      <c r="D728">
        <v>0</v>
      </c>
      <c r="E728">
        <v>0</v>
      </c>
      <c r="F728">
        <v>0</v>
      </c>
      <c r="G728">
        <v>0</v>
      </c>
    </row>
    <row r="729" spans="1:7" x14ac:dyDescent="0.2">
      <c r="A729" t="s">
        <v>1770</v>
      </c>
      <c r="B729">
        <v>27</v>
      </c>
      <c r="C729">
        <v>472</v>
      </c>
      <c r="D729">
        <v>3166</v>
      </c>
      <c r="E729">
        <v>16975</v>
      </c>
      <c r="F729">
        <v>0</v>
      </c>
      <c r="G729">
        <v>20640</v>
      </c>
    </row>
    <row r="730" spans="1:7" x14ac:dyDescent="0.2">
      <c r="A730" t="s">
        <v>1772</v>
      </c>
      <c r="B730">
        <v>0</v>
      </c>
      <c r="C730">
        <v>48</v>
      </c>
      <c r="D730">
        <v>783</v>
      </c>
      <c r="E730">
        <v>6640</v>
      </c>
      <c r="F730">
        <v>0</v>
      </c>
      <c r="G730">
        <v>7471</v>
      </c>
    </row>
    <row r="731" spans="1:7" x14ac:dyDescent="0.2">
      <c r="A731" t="s">
        <v>1774</v>
      </c>
      <c r="B731">
        <v>0</v>
      </c>
      <c r="C731">
        <v>97</v>
      </c>
      <c r="D731">
        <v>533</v>
      </c>
      <c r="E731">
        <v>4379</v>
      </c>
      <c r="F731">
        <v>0</v>
      </c>
      <c r="G731">
        <v>5010</v>
      </c>
    </row>
    <row r="732" spans="1:7" x14ac:dyDescent="0.2">
      <c r="A732" t="s">
        <v>1777</v>
      </c>
      <c r="B732">
        <v>0</v>
      </c>
      <c r="C732">
        <v>0</v>
      </c>
      <c r="D732">
        <v>0</v>
      </c>
      <c r="E732">
        <v>0</v>
      </c>
      <c r="F732">
        <v>578</v>
      </c>
      <c r="G732">
        <v>578</v>
      </c>
    </row>
    <row r="733" spans="1:7" x14ac:dyDescent="0.2">
      <c r="A733" t="s">
        <v>1782</v>
      </c>
      <c r="B733">
        <v>0</v>
      </c>
      <c r="C733">
        <v>0</v>
      </c>
      <c r="D733">
        <v>0</v>
      </c>
      <c r="E733">
        <v>0</v>
      </c>
      <c r="F733">
        <v>0</v>
      </c>
      <c r="G733">
        <v>0</v>
      </c>
    </row>
    <row r="734" spans="1:7" x14ac:dyDescent="0.2">
      <c r="A734" t="s">
        <v>1274</v>
      </c>
      <c r="B734">
        <v>0</v>
      </c>
      <c r="C734">
        <v>0</v>
      </c>
      <c r="D734">
        <v>0</v>
      </c>
      <c r="E734">
        <v>2815</v>
      </c>
      <c r="F734">
        <v>39</v>
      </c>
      <c r="G734">
        <v>2854</v>
      </c>
    </row>
    <row r="735" spans="1:7" x14ac:dyDescent="0.2">
      <c r="A735" t="s">
        <v>1277</v>
      </c>
      <c r="B735">
        <v>0</v>
      </c>
      <c r="C735">
        <v>0</v>
      </c>
      <c r="D735">
        <v>0</v>
      </c>
      <c r="E735">
        <v>23233</v>
      </c>
      <c r="F735">
        <v>1144</v>
      </c>
      <c r="G735">
        <v>24377</v>
      </c>
    </row>
    <row r="736" spans="1:7" x14ac:dyDescent="0.2">
      <c r="A736" t="s">
        <v>1798</v>
      </c>
      <c r="B736">
        <v>0</v>
      </c>
      <c r="C736">
        <v>0</v>
      </c>
      <c r="D736">
        <v>0</v>
      </c>
      <c r="E736">
        <v>0</v>
      </c>
      <c r="F736">
        <v>23915</v>
      </c>
      <c r="G736">
        <v>23915</v>
      </c>
    </row>
    <row r="737" spans="1:7" x14ac:dyDescent="0.2">
      <c r="A737" t="s">
        <v>1803</v>
      </c>
      <c r="B737">
        <v>0</v>
      </c>
      <c r="C737">
        <v>0</v>
      </c>
      <c r="D737">
        <v>0</v>
      </c>
      <c r="E737">
        <v>0</v>
      </c>
      <c r="F737">
        <v>1859</v>
      </c>
      <c r="G737">
        <v>1859</v>
      </c>
    </row>
    <row r="738" spans="1:7" x14ac:dyDescent="0.2">
      <c r="A738" t="s">
        <v>1808</v>
      </c>
      <c r="B738">
        <v>0</v>
      </c>
      <c r="C738">
        <v>0</v>
      </c>
      <c r="D738">
        <v>0</v>
      </c>
      <c r="E738">
        <v>0</v>
      </c>
      <c r="F738">
        <v>329</v>
      </c>
      <c r="G738">
        <v>329</v>
      </c>
    </row>
    <row r="739" spans="1:7" x14ac:dyDescent="0.2">
      <c r="A739" t="s">
        <v>1813</v>
      </c>
      <c r="B739">
        <v>0</v>
      </c>
      <c r="C739">
        <v>0</v>
      </c>
      <c r="D739">
        <v>0</v>
      </c>
      <c r="E739">
        <v>0</v>
      </c>
      <c r="F739">
        <v>0</v>
      </c>
      <c r="G739">
        <v>0</v>
      </c>
    </row>
    <row r="740" spans="1:7" x14ac:dyDescent="0.2">
      <c r="A740" t="s">
        <v>1819</v>
      </c>
      <c r="B740">
        <v>0</v>
      </c>
      <c r="C740">
        <v>0</v>
      </c>
      <c r="D740">
        <v>0</v>
      </c>
      <c r="E740">
        <v>433</v>
      </c>
      <c r="F740">
        <v>201</v>
      </c>
      <c r="G740">
        <v>634</v>
      </c>
    </row>
    <row r="741" spans="1:7" x14ac:dyDescent="0.2">
      <c r="A741" t="s">
        <v>1826</v>
      </c>
      <c r="B741">
        <v>0</v>
      </c>
      <c r="C741">
        <v>0</v>
      </c>
      <c r="D741">
        <v>0</v>
      </c>
      <c r="E741">
        <v>0</v>
      </c>
      <c r="F741">
        <v>15260</v>
      </c>
      <c r="G741">
        <v>15260</v>
      </c>
    </row>
    <row r="742" spans="1:7" x14ac:dyDescent="0.2">
      <c r="A742" t="s">
        <v>1830</v>
      </c>
      <c r="B742">
        <v>0</v>
      </c>
      <c r="C742">
        <v>0</v>
      </c>
      <c r="D742">
        <v>0</v>
      </c>
      <c r="E742">
        <v>0</v>
      </c>
      <c r="F742">
        <v>1956</v>
      </c>
      <c r="G742">
        <v>1956</v>
      </c>
    </row>
    <row r="743" spans="1:7" x14ac:dyDescent="0.2">
      <c r="A743" t="s">
        <v>1836</v>
      </c>
      <c r="B743">
        <v>0</v>
      </c>
      <c r="C743">
        <v>0</v>
      </c>
      <c r="D743">
        <v>0</v>
      </c>
      <c r="E743">
        <v>0</v>
      </c>
      <c r="F743">
        <v>0</v>
      </c>
      <c r="G743">
        <v>0</v>
      </c>
    </row>
    <row r="744" spans="1:7" x14ac:dyDescent="0.2">
      <c r="A744" t="s">
        <v>1841</v>
      </c>
      <c r="B744">
        <v>0</v>
      </c>
      <c r="C744">
        <v>0</v>
      </c>
      <c r="D744">
        <v>289</v>
      </c>
      <c r="E744">
        <v>2518</v>
      </c>
      <c r="F744">
        <v>65</v>
      </c>
      <c r="G744">
        <v>2872</v>
      </c>
    </row>
    <row r="745" spans="1:7" x14ac:dyDescent="0.2">
      <c r="A745" t="s">
        <v>1842</v>
      </c>
      <c r="B745">
        <v>0</v>
      </c>
      <c r="C745">
        <v>1392</v>
      </c>
      <c r="D745">
        <v>3091</v>
      </c>
      <c r="E745">
        <v>6799</v>
      </c>
      <c r="F745">
        <v>0</v>
      </c>
      <c r="G745">
        <v>11282</v>
      </c>
    </row>
    <row r="746" spans="1:7" x14ac:dyDescent="0.2">
      <c r="A746" t="s">
        <v>1843</v>
      </c>
      <c r="B746">
        <v>0</v>
      </c>
      <c r="C746">
        <v>0</v>
      </c>
      <c r="D746">
        <v>0</v>
      </c>
      <c r="E746">
        <v>0</v>
      </c>
      <c r="F746">
        <v>5713</v>
      </c>
      <c r="G746">
        <v>5713</v>
      </c>
    </row>
    <row r="747" spans="1:7" x14ac:dyDescent="0.2">
      <c r="A747" t="s">
        <v>1846</v>
      </c>
      <c r="B747">
        <v>0</v>
      </c>
      <c r="C747">
        <v>0</v>
      </c>
      <c r="D747">
        <v>0</v>
      </c>
      <c r="E747">
        <v>0</v>
      </c>
      <c r="F747">
        <v>0</v>
      </c>
      <c r="G747">
        <v>0</v>
      </c>
    </row>
    <row r="748" spans="1:7" x14ac:dyDescent="0.2">
      <c r="A748" t="s">
        <v>1851</v>
      </c>
      <c r="B748">
        <v>0</v>
      </c>
      <c r="C748">
        <v>0</v>
      </c>
      <c r="D748">
        <v>0</v>
      </c>
      <c r="E748">
        <v>4640</v>
      </c>
      <c r="F748">
        <v>996</v>
      </c>
      <c r="G748">
        <v>5636</v>
      </c>
    </row>
    <row r="749" spans="1:7" x14ac:dyDescent="0.2">
      <c r="A749" t="s">
        <v>1857</v>
      </c>
      <c r="B749">
        <v>0</v>
      </c>
      <c r="C749">
        <v>0</v>
      </c>
      <c r="D749">
        <v>0</v>
      </c>
      <c r="E749">
        <v>21</v>
      </c>
      <c r="F749">
        <v>0</v>
      </c>
      <c r="G749">
        <v>21</v>
      </c>
    </row>
    <row r="750" spans="1:7" x14ac:dyDescent="0.2">
      <c r="A750" t="s">
        <v>1862</v>
      </c>
      <c r="B750">
        <v>0</v>
      </c>
      <c r="C750">
        <v>0</v>
      </c>
      <c r="D750">
        <v>0</v>
      </c>
      <c r="E750">
        <v>15418</v>
      </c>
      <c r="F750">
        <v>7848</v>
      </c>
      <c r="G750">
        <v>23266</v>
      </c>
    </row>
    <row r="751" spans="1:7" x14ac:dyDescent="0.2">
      <c r="A751" t="s">
        <v>1867</v>
      </c>
      <c r="B751">
        <v>0</v>
      </c>
      <c r="C751">
        <v>0</v>
      </c>
      <c r="D751">
        <v>0</v>
      </c>
      <c r="E751">
        <v>0</v>
      </c>
      <c r="F751">
        <v>202</v>
      </c>
      <c r="G751">
        <v>202</v>
      </c>
    </row>
    <row r="752" spans="1:7" x14ac:dyDescent="0.2">
      <c r="A752" t="s">
        <v>1870</v>
      </c>
      <c r="B752">
        <v>0</v>
      </c>
      <c r="C752">
        <v>0</v>
      </c>
      <c r="D752">
        <v>0</v>
      </c>
      <c r="E752">
        <v>0</v>
      </c>
      <c r="F752">
        <v>0</v>
      </c>
      <c r="G752">
        <v>0</v>
      </c>
    </row>
    <row r="753" spans="1:7" x14ac:dyDescent="0.2">
      <c r="A753" t="s">
        <v>1874</v>
      </c>
      <c r="B753">
        <v>0</v>
      </c>
      <c r="C753">
        <v>0</v>
      </c>
      <c r="D753">
        <v>274</v>
      </c>
      <c r="E753">
        <v>3619</v>
      </c>
      <c r="F753">
        <v>0</v>
      </c>
      <c r="G753">
        <v>3894</v>
      </c>
    </row>
    <row r="754" spans="1:7" x14ac:dyDescent="0.2">
      <c r="A754" t="s">
        <v>1876</v>
      </c>
      <c r="B754">
        <v>0</v>
      </c>
      <c r="C754">
        <v>0</v>
      </c>
      <c r="D754">
        <v>0</v>
      </c>
      <c r="E754">
        <v>0</v>
      </c>
      <c r="F754">
        <v>631</v>
      </c>
      <c r="G754">
        <v>631</v>
      </c>
    </row>
    <row r="755" spans="1:7" x14ac:dyDescent="0.2">
      <c r="A755" t="s">
        <v>1881</v>
      </c>
      <c r="B755">
        <v>0</v>
      </c>
      <c r="C755">
        <v>0</v>
      </c>
      <c r="D755">
        <v>0</v>
      </c>
      <c r="E755">
        <v>0</v>
      </c>
      <c r="F755">
        <v>1741</v>
      </c>
      <c r="G755">
        <v>1741</v>
      </c>
    </row>
    <row r="756" spans="1:7" x14ac:dyDescent="0.2">
      <c r="A756" t="s">
        <v>1885</v>
      </c>
      <c r="B756">
        <v>3260</v>
      </c>
      <c r="C756">
        <v>3658</v>
      </c>
      <c r="D756">
        <v>5339</v>
      </c>
      <c r="E756">
        <v>11837</v>
      </c>
      <c r="F756">
        <v>567</v>
      </c>
      <c r="G756">
        <v>24661</v>
      </c>
    </row>
    <row r="757" spans="1:7" x14ac:dyDescent="0.2">
      <c r="A757" t="s">
        <v>1887</v>
      </c>
      <c r="B757">
        <v>0</v>
      </c>
      <c r="C757">
        <v>0</v>
      </c>
      <c r="D757">
        <v>0</v>
      </c>
      <c r="E757">
        <v>37</v>
      </c>
      <c r="F757">
        <v>289</v>
      </c>
      <c r="G757">
        <v>326</v>
      </c>
    </row>
    <row r="758" spans="1:7" x14ac:dyDescent="0.2">
      <c r="A758" t="s">
        <v>1893</v>
      </c>
      <c r="B758">
        <v>0</v>
      </c>
      <c r="C758">
        <v>0</v>
      </c>
      <c r="D758">
        <v>0</v>
      </c>
      <c r="E758">
        <v>2037</v>
      </c>
      <c r="F758">
        <v>567</v>
      </c>
      <c r="G758">
        <v>2605</v>
      </c>
    </row>
    <row r="759" spans="1:7" x14ac:dyDescent="0.2">
      <c r="A759" t="s">
        <v>1899</v>
      </c>
      <c r="B759">
        <v>0</v>
      </c>
      <c r="C759">
        <v>0</v>
      </c>
      <c r="D759">
        <v>0</v>
      </c>
      <c r="E759">
        <v>0</v>
      </c>
      <c r="F759">
        <v>0</v>
      </c>
      <c r="G759">
        <v>0</v>
      </c>
    </row>
    <row r="760" spans="1:7" x14ac:dyDescent="0.2">
      <c r="A760" t="s">
        <v>1906</v>
      </c>
      <c r="B760">
        <v>0</v>
      </c>
      <c r="C760">
        <v>0</v>
      </c>
      <c r="D760">
        <v>0</v>
      </c>
      <c r="E760">
        <v>2527</v>
      </c>
      <c r="F760">
        <v>30</v>
      </c>
      <c r="G760">
        <v>2557</v>
      </c>
    </row>
    <row r="761" spans="1:7" x14ac:dyDescent="0.2">
      <c r="A761" t="s">
        <v>1911</v>
      </c>
      <c r="B761">
        <v>0</v>
      </c>
      <c r="C761">
        <v>0</v>
      </c>
      <c r="D761">
        <v>0</v>
      </c>
      <c r="E761">
        <v>0</v>
      </c>
      <c r="F761">
        <v>0</v>
      </c>
      <c r="G761">
        <v>0</v>
      </c>
    </row>
    <row r="762" spans="1:7" x14ac:dyDescent="0.2">
      <c r="A762" t="s">
        <v>1917</v>
      </c>
      <c r="B762">
        <v>0</v>
      </c>
      <c r="C762">
        <v>0</v>
      </c>
      <c r="D762">
        <v>0</v>
      </c>
      <c r="E762">
        <v>1482</v>
      </c>
      <c r="F762">
        <v>2249</v>
      </c>
      <c r="G762">
        <v>3731</v>
      </c>
    </row>
    <row r="763" spans="1:7" x14ac:dyDescent="0.2">
      <c r="A763" t="s">
        <v>1922</v>
      </c>
      <c r="B763">
        <v>0</v>
      </c>
      <c r="C763">
        <v>0</v>
      </c>
      <c r="D763">
        <v>0</v>
      </c>
      <c r="E763">
        <v>2358</v>
      </c>
      <c r="F763">
        <v>1039</v>
      </c>
      <c r="G763">
        <v>3397</v>
      </c>
    </row>
    <row r="764" spans="1:7" x14ac:dyDescent="0.2">
      <c r="A764" t="s">
        <v>1928</v>
      </c>
      <c r="B764">
        <v>0</v>
      </c>
      <c r="C764">
        <v>0</v>
      </c>
      <c r="D764">
        <v>0</v>
      </c>
      <c r="E764">
        <v>0</v>
      </c>
      <c r="F764">
        <v>20911</v>
      </c>
      <c r="G764">
        <v>20911</v>
      </c>
    </row>
    <row r="765" spans="1:7" x14ac:dyDescent="0.2">
      <c r="A765" t="s">
        <v>1932</v>
      </c>
      <c r="B765">
        <v>0</v>
      </c>
      <c r="C765">
        <v>0</v>
      </c>
      <c r="D765">
        <v>0</v>
      </c>
      <c r="E765">
        <v>0</v>
      </c>
      <c r="F765">
        <v>2152</v>
      </c>
      <c r="G765">
        <v>2152</v>
      </c>
    </row>
    <row r="766" spans="1:7" x14ac:dyDescent="0.2">
      <c r="A766" t="s">
        <v>1938</v>
      </c>
      <c r="B766">
        <v>0</v>
      </c>
      <c r="C766">
        <v>0</v>
      </c>
      <c r="D766">
        <v>0</v>
      </c>
      <c r="E766">
        <v>0</v>
      </c>
      <c r="F766">
        <v>454</v>
      </c>
      <c r="G766">
        <v>454</v>
      </c>
    </row>
    <row r="767" spans="1:7" x14ac:dyDescent="0.2">
      <c r="A767" t="s">
        <v>1944</v>
      </c>
      <c r="B767">
        <v>7</v>
      </c>
      <c r="C767">
        <v>337</v>
      </c>
      <c r="D767">
        <v>1163</v>
      </c>
      <c r="E767">
        <v>2960</v>
      </c>
      <c r="F767">
        <v>97</v>
      </c>
      <c r="G767">
        <v>4564</v>
      </c>
    </row>
    <row r="768" spans="1:7" x14ac:dyDescent="0.2">
      <c r="A768" t="s">
        <v>1947</v>
      </c>
      <c r="B768">
        <v>0</v>
      </c>
      <c r="C768">
        <v>0</v>
      </c>
      <c r="D768">
        <v>0</v>
      </c>
      <c r="E768">
        <v>0</v>
      </c>
      <c r="F768">
        <v>88</v>
      </c>
      <c r="G768">
        <v>88</v>
      </c>
    </row>
    <row r="769" spans="1:7" x14ac:dyDescent="0.2">
      <c r="A769" t="s">
        <v>1953</v>
      </c>
      <c r="B769">
        <v>0</v>
      </c>
      <c r="C769">
        <v>0</v>
      </c>
      <c r="D769">
        <v>0</v>
      </c>
      <c r="E769">
        <v>62</v>
      </c>
      <c r="F769">
        <v>200</v>
      </c>
      <c r="G769">
        <v>262</v>
      </c>
    </row>
    <row r="770" spans="1:7" x14ac:dyDescent="0.2">
      <c r="A770" t="s">
        <v>1958</v>
      </c>
      <c r="B770">
        <v>0</v>
      </c>
      <c r="C770">
        <v>0</v>
      </c>
      <c r="D770">
        <v>0</v>
      </c>
      <c r="E770">
        <v>0</v>
      </c>
      <c r="F770">
        <v>0</v>
      </c>
      <c r="G770">
        <v>0</v>
      </c>
    </row>
    <row r="771" spans="1:7" x14ac:dyDescent="0.2">
      <c r="A771" t="s">
        <v>1964</v>
      </c>
      <c r="B771">
        <v>0</v>
      </c>
      <c r="C771">
        <v>0</v>
      </c>
      <c r="D771">
        <v>0</v>
      </c>
      <c r="E771">
        <v>17</v>
      </c>
      <c r="F771">
        <v>145</v>
      </c>
      <c r="G771">
        <v>162</v>
      </c>
    </row>
    <row r="772" spans="1:7" x14ac:dyDescent="0.2">
      <c r="A772" t="s">
        <v>1973</v>
      </c>
      <c r="B772">
        <v>0</v>
      </c>
      <c r="C772">
        <v>0</v>
      </c>
      <c r="D772">
        <v>0</v>
      </c>
      <c r="E772">
        <v>0</v>
      </c>
      <c r="F772">
        <v>5803</v>
      </c>
      <c r="G772">
        <v>5803</v>
      </c>
    </row>
    <row r="773" spans="1:7" x14ac:dyDescent="0.2">
      <c r="A773" t="s">
        <v>1978</v>
      </c>
      <c r="B773">
        <v>0</v>
      </c>
      <c r="C773">
        <v>0</v>
      </c>
      <c r="D773">
        <v>0</v>
      </c>
      <c r="E773">
        <v>0</v>
      </c>
      <c r="F773">
        <v>3649</v>
      </c>
      <c r="G773">
        <v>3649</v>
      </c>
    </row>
    <row r="774" spans="1:7" x14ac:dyDescent="0.2">
      <c r="A774" t="s">
        <v>1983</v>
      </c>
      <c r="B774">
        <v>352</v>
      </c>
      <c r="C774">
        <v>26</v>
      </c>
      <c r="D774">
        <v>61</v>
      </c>
      <c r="E774">
        <v>387</v>
      </c>
      <c r="F774">
        <v>85</v>
      </c>
      <c r="G774">
        <v>911</v>
      </c>
    </row>
    <row r="775" spans="1:7" x14ac:dyDescent="0.2">
      <c r="A775" t="s">
        <v>1984</v>
      </c>
      <c r="B775">
        <v>0</v>
      </c>
      <c r="C775">
        <v>0</v>
      </c>
      <c r="D775">
        <v>0</v>
      </c>
      <c r="E775">
        <v>0</v>
      </c>
      <c r="F775">
        <v>0</v>
      </c>
      <c r="G775">
        <v>0</v>
      </c>
    </row>
    <row r="776" spans="1:7" x14ac:dyDescent="0.2">
      <c r="A776" t="s">
        <v>1990</v>
      </c>
      <c r="B776">
        <v>0</v>
      </c>
      <c r="C776">
        <v>0</v>
      </c>
      <c r="D776">
        <v>0</v>
      </c>
      <c r="E776">
        <v>83</v>
      </c>
      <c r="F776">
        <v>131</v>
      </c>
      <c r="G776">
        <v>213</v>
      </c>
    </row>
    <row r="777" spans="1:7" x14ac:dyDescent="0.2">
      <c r="A777" t="s">
        <v>1996</v>
      </c>
      <c r="B777">
        <v>0</v>
      </c>
      <c r="C777">
        <v>0</v>
      </c>
      <c r="D777">
        <v>0</v>
      </c>
      <c r="E777">
        <v>0</v>
      </c>
      <c r="F777">
        <v>0</v>
      </c>
      <c r="G777">
        <v>0</v>
      </c>
    </row>
    <row r="778" spans="1:7" x14ac:dyDescent="0.2">
      <c r="A778" t="s">
        <v>1998</v>
      </c>
      <c r="B778">
        <v>0</v>
      </c>
      <c r="C778">
        <v>0</v>
      </c>
      <c r="D778">
        <v>0</v>
      </c>
      <c r="E778">
        <v>0</v>
      </c>
      <c r="F778">
        <v>0</v>
      </c>
      <c r="G778">
        <v>0</v>
      </c>
    </row>
    <row r="779" spans="1:7" x14ac:dyDescent="0.2">
      <c r="A779" t="s">
        <v>1999</v>
      </c>
      <c r="B779">
        <v>0</v>
      </c>
      <c r="C779">
        <v>0</v>
      </c>
      <c r="D779">
        <v>0</v>
      </c>
      <c r="E779">
        <v>0</v>
      </c>
      <c r="F779">
        <v>551</v>
      </c>
      <c r="G779">
        <v>551</v>
      </c>
    </row>
    <row r="780" spans="1:7" x14ac:dyDescent="0.2">
      <c r="A780" t="s">
        <v>2004</v>
      </c>
      <c r="B780">
        <v>0</v>
      </c>
      <c r="C780">
        <v>0</v>
      </c>
      <c r="D780">
        <v>0</v>
      </c>
      <c r="E780">
        <v>474</v>
      </c>
      <c r="F780">
        <v>662</v>
      </c>
      <c r="G780">
        <v>1136</v>
      </c>
    </row>
    <row r="781" spans="1:7" x14ac:dyDescent="0.2">
      <c r="A781" t="s">
        <v>2009</v>
      </c>
      <c r="B781">
        <v>0</v>
      </c>
      <c r="C781">
        <v>0</v>
      </c>
      <c r="D781">
        <v>0</v>
      </c>
      <c r="E781">
        <v>0</v>
      </c>
      <c r="F781">
        <v>0</v>
      </c>
      <c r="G781">
        <v>0</v>
      </c>
    </row>
    <row r="782" spans="1:7" x14ac:dyDescent="0.2">
      <c r="A782" t="s">
        <v>2014</v>
      </c>
      <c r="B782">
        <v>0</v>
      </c>
      <c r="C782">
        <v>0</v>
      </c>
      <c r="D782">
        <v>0</v>
      </c>
      <c r="E782">
        <v>21704</v>
      </c>
      <c r="F782">
        <v>12150</v>
      </c>
      <c r="G782">
        <v>33855</v>
      </c>
    </row>
    <row r="783" spans="1:7" x14ac:dyDescent="0.2">
      <c r="A783" t="s">
        <v>2019</v>
      </c>
      <c r="B783">
        <v>0</v>
      </c>
      <c r="C783">
        <v>0</v>
      </c>
      <c r="D783">
        <v>0</v>
      </c>
      <c r="E783">
        <v>0</v>
      </c>
      <c r="F783">
        <v>0</v>
      </c>
      <c r="G783">
        <v>0</v>
      </c>
    </row>
    <row r="784" spans="1:7" x14ac:dyDescent="0.2">
      <c r="A784" t="s">
        <v>2023</v>
      </c>
      <c r="B784">
        <v>0</v>
      </c>
      <c r="C784">
        <v>0</v>
      </c>
      <c r="D784">
        <v>0</v>
      </c>
      <c r="E784">
        <v>0</v>
      </c>
      <c r="F784">
        <v>114</v>
      </c>
      <c r="G784">
        <v>114</v>
      </c>
    </row>
    <row r="785" spans="1:7" x14ac:dyDescent="0.2">
      <c r="A785" t="s">
        <v>2026</v>
      </c>
      <c r="B785">
        <v>0</v>
      </c>
      <c r="C785">
        <v>0</v>
      </c>
      <c r="D785">
        <v>0</v>
      </c>
      <c r="E785">
        <v>0</v>
      </c>
      <c r="F785">
        <v>2423</v>
      </c>
      <c r="G785">
        <v>2423</v>
      </c>
    </row>
    <row r="786" spans="1:7" x14ac:dyDescent="0.2">
      <c r="A786" t="s">
        <v>2030</v>
      </c>
      <c r="B786">
        <v>0</v>
      </c>
      <c r="C786">
        <v>0</v>
      </c>
      <c r="D786">
        <v>0</v>
      </c>
      <c r="E786">
        <v>0</v>
      </c>
      <c r="F786">
        <v>1</v>
      </c>
      <c r="G786">
        <v>1</v>
      </c>
    </row>
    <row r="787" spans="1:7" x14ac:dyDescent="0.2">
      <c r="A787" t="s">
        <v>2035</v>
      </c>
      <c r="B787">
        <v>0</v>
      </c>
      <c r="C787">
        <v>0</v>
      </c>
      <c r="D787">
        <v>0</v>
      </c>
      <c r="E787">
        <v>0</v>
      </c>
      <c r="F787">
        <v>0</v>
      </c>
      <c r="G787">
        <v>0</v>
      </c>
    </row>
    <row r="788" spans="1:7" x14ac:dyDescent="0.2">
      <c r="A788" t="s">
        <v>2040</v>
      </c>
      <c r="B788">
        <v>0</v>
      </c>
      <c r="C788">
        <v>0</v>
      </c>
      <c r="D788">
        <v>0</v>
      </c>
      <c r="E788">
        <v>0</v>
      </c>
      <c r="F788">
        <v>1808</v>
      </c>
      <c r="G788">
        <v>1808</v>
      </c>
    </row>
    <row r="789" spans="1:7" x14ac:dyDescent="0.2">
      <c r="A789" t="s">
        <v>2045</v>
      </c>
      <c r="B789">
        <v>0</v>
      </c>
      <c r="C789">
        <v>0</v>
      </c>
      <c r="D789">
        <v>0</v>
      </c>
      <c r="E789">
        <v>0</v>
      </c>
      <c r="F789">
        <v>5</v>
      </c>
      <c r="G789">
        <v>5</v>
      </c>
    </row>
    <row r="790" spans="1:7" x14ac:dyDescent="0.2">
      <c r="A790" t="s">
        <v>2049</v>
      </c>
      <c r="B790">
        <v>0</v>
      </c>
      <c r="C790">
        <v>0</v>
      </c>
      <c r="D790">
        <v>1981</v>
      </c>
      <c r="E790">
        <v>4837</v>
      </c>
      <c r="F790">
        <v>803</v>
      </c>
      <c r="G790">
        <v>7621</v>
      </c>
    </row>
    <row r="791" spans="1:7" x14ac:dyDescent="0.2">
      <c r="A791" t="s">
        <v>2051</v>
      </c>
      <c r="B791">
        <v>0</v>
      </c>
      <c r="C791">
        <v>0</v>
      </c>
      <c r="D791">
        <v>0</v>
      </c>
      <c r="E791">
        <v>0</v>
      </c>
      <c r="F791">
        <v>1341</v>
      </c>
      <c r="G791">
        <v>1341</v>
      </c>
    </row>
    <row r="792" spans="1:7" x14ac:dyDescent="0.2">
      <c r="A792" t="s">
        <v>2057</v>
      </c>
      <c r="B792">
        <v>0</v>
      </c>
      <c r="C792">
        <v>0</v>
      </c>
      <c r="D792">
        <v>10</v>
      </c>
      <c r="E792">
        <v>86</v>
      </c>
      <c r="F792">
        <v>2220</v>
      </c>
      <c r="G792">
        <v>2317</v>
      </c>
    </row>
    <row r="793" spans="1:7" x14ac:dyDescent="0.2">
      <c r="A793" t="s">
        <v>4344</v>
      </c>
      <c r="B793">
        <v>0</v>
      </c>
      <c r="C793">
        <v>0</v>
      </c>
      <c r="D793">
        <v>0</v>
      </c>
      <c r="E793">
        <v>1267</v>
      </c>
      <c r="F793">
        <v>40</v>
      </c>
      <c r="G793">
        <v>1307</v>
      </c>
    </row>
    <row r="794" spans="1:7" x14ac:dyDescent="0.2">
      <c r="A794" t="s">
        <v>4345</v>
      </c>
      <c r="B794">
        <v>0</v>
      </c>
      <c r="C794">
        <v>0</v>
      </c>
      <c r="D794">
        <v>0</v>
      </c>
      <c r="E794">
        <v>4943</v>
      </c>
      <c r="F794">
        <v>1101</v>
      </c>
      <c r="G794">
        <v>6045</v>
      </c>
    </row>
    <row r="795" spans="1:7" x14ac:dyDescent="0.2">
      <c r="A795" t="s">
        <v>2074</v>
      </c>
      <c r="B795">
        <v>0</v>
      </c>
      <c r="C795">
        <v>0</v>
      </c>
      <c r="D795">
        <v>0</v>
      </c>
      <c r="E795">
        <v>1259</v>
      </c>
      <c r="F795">
        <v>0</v>
      </c>
      <c r="G795">
        <v>1259</v>
      </c>
    </row>
    <row r="796" spans="1:7" x14ac:dyDescent="0.2">
      <c r="A796" t="s">
        <v>2079</v>
      </c>
      <c r="B796">
        <v>0</v>
      </c>
      <c r="C796">
        <v>0</v>
      </c>
      <c r="D796">
        <v>0</v>
      </c>
      <c r="E796">
        <v>3536</v>
      </c>
      <c r="F796">
        <v>380</v>
      </c>
      <c r="G796">
        <v>3915</v>
      </c>
    </row>
    <row r="797" spans="1:7" x14ac:dyDescent="0.2">
      <c r="A797" t="s">
        <v>2085</v>
      </c>
      <c r="B797">
        <v>0</v>
      </c>
      <c r="C797">
        <v>0</v>
      </c>
      <c r="D797">
        <v>0</v>
      </c>
      <c r="E797">
        <v>5</v>
      </c>
      <c r="F797">
        <v>2</v>
      </c>
      <c r="G797">
        <v>8</v>
      </c>
    </row>
    <row r="798" spans="1:7" x14ac:dyDescent="0.2">
      <c r="A798" t="s">
        <v>2091</v>
      </c>
      <c r="B798">
        <v>0</v>
      </c>
      <c r="C798">
        <v>0</v>
      </c>
      <c r="D798">
        <v>0</v>
      </c>
      <c r="E798">
        <v>1362</v>
      </c>
      <c r="F798">
        <v>836</v>
      </c>
      <c r="G798">
        <v>2198</v>
      </c>
    </row>
    <row r="799" spans="1:7" x14ac:dyDescent="0.2">
      <c r="A799" t="s">
        <v>2097</v>
      </c>
      <c r="B799">
        <v>0</v>
      </c>
      <c r="C799">
        <v>0</v>
      </c>
      <c r="D799">
        <v>0</v>
      </c>
      <c r="E799">
        <v>0</v>
      </c>
      <c r="F799">
        <v>1465</v>
      </c>
      <c r="G799">
        <v>1465</v>
      </c>
    </row>
    <row r="800" spans="1:7" x14ac:dyDescent="0.2">
      <c r="A800" t="s">
        <v>2101</v>
      </c>
      <c r="B800">
        <v>0</v>
      </c>
      <c r="C800">
        <v>0</v>
      </c>
      <c r="D800">
        <v>0</v>
      </c>
      <c r="E800">
        <v>0</v>
      </c>
      <c r="F800">
        <v>1200</v>
      </c>
      <c r="G800">
        <v>1200</v>
      </c>
    </row>
    <row r="801" spans="1:7" x14ac:dyDescent="0.2">
      <c r="A801" t="s">
        <v>2104</v>
      </c>
      <c r="B801">
        <v>0</v>
      </c>
      <c r="C801">
        <v>0</v>
      </c>
      <c r="D801">
        <v>0</v>
      </c>
      <c r="E801">
        <v>0</v>
      </c>
      <c r="F801">
        <v>0</v>
      </c>
      <c r="G801">
        <v>0</v>
      </c>
    </row>
    <row r="802" spans="1:7" x14ac:dyDescent="0.2">
      <c r="A802" t="s">
        <v>2107</v>
      </c>
      <c r="B802">
        <v>0</v>
      </c>
      <c r="C802">
        <v>0</v>
      </c>
      <c r="D802">
        <v>0</v>
      </c>
      <c r="E802">
        <v>0</v>
      </c>
      <c r="F802">
        <v>1939</v>
      </c>
      <c r="G802">
        <v>1939</v>
      </c>
    </row>
    <row r="803" spans="1:7" x14ac:dyDescent="0.2">
      <c r="A803" t="s">
        <v>2110</v>
      </c>
      <c r="B803">
        <v>0</v>
      </c>
      <c r="C803">
        <v>0</v>
      </c>
      <c r="D803">
        <v>0</v>
      </c>
      <c r="E803">
        <v>0</v>
      </c>
      <c r="F803">
        <v>0</v>
      </c>
      <c r="G803">
        <v>0</v>
      </c>
    </row>
    <row r="804" spans="1:7" x14ac:dyDescent="0.2">
      <c r="A804" t="s">
        <v>2113</v>
      </c>
      <c r="B804">
        <v>0</v>
      </c>
      <c r="C804">
        <v>0</v>
      </c>
      <c r="D804">
        <v>0</v>
      </c>
      <c r="E804">
        <v>0</v>
      </c>
      <c r="F804">
        <v>0</v>
      </c>
      <c r="G804">
        <v>0</v>
      </c>
    </row>
    <row r="805" spans="1:7" x14ac:dyDescent="0.2">
      <c r="A805" t="s">
        <v>4346</v>
      </c>
      <c r="B805">
        <v>0</v>
      </c>
      <c r="C805">
        <v>0</v>
      </c>
      <c r="D805">
        <v>0</v>
      </c>
      <c r="E805">
        <v>0</v>
      </c>
      <c r="F805">
        <v>1032</v>
      </c>
      <c r="G805">
        <v>1032</v>
      </c>
    </row>
    <row r="806" spans="1:7" x14ac:dyDescent="0.2">
      <c r="A806" t="s">
        <v>4347</v>
      </c>
      <c r="B806">
        <v>0</v>
      </c>
      <c r="C806">
        <v>0</v>
      </c>
      <c r="D806">
        <v>0</v>
      </c>
      <c r="E806">
        <v>0</v>
      </c>
      <c r="F806">
        <v>962</v>
      </c>
      <c r="G806">
        <v>962</v>
      </c>
    </row>
    <row r="807" spans="1:7" x14ac:dyDescent="0.2">
      <c r="A807" t="s">
        <v>4348</v>
      </c>
      <c r="B807">
        <v>0</v>
      </c>
      <c r="C807">
        <v>0</v>
      </c>
      <c r="D807">
        <v>0</v>
      </c>
      <c r="E807">
        <v>0</v>
      </c>
      <c r="F807">
        <v>0</v>
      </c>
      <c r="G807">
        <v>0</v>
      </c>
    </row>
    <row r="808" spans="1:7" x14ac:dyDescent="0.2">
      <c r="A808" t="s">
        <v>4349</v>
      </c>
      <c r="B808">
        <v>0</v>
      </c>
      <c r="C808">
        <v>0</v>
      </c>
      <c r="D808">
        <v>0</v>
      </c>
      <c r="E808">
        <v>0</v>
      </c>
      <c r="F808">
        <v>0</v>
      </c>
      <c r="G808">
        <v>0</v>
      </c>
    </row>
    <row r="809" spans="1:7" x14ac:dyDescent="0.2">
      <c r="A809" t="s">
        <v>4350</v>
      </c>
      <c r="B809">
        <v>0</v>
      </c>
      <c r="C809">
        <v>15463</v>
      </c>
      <c r="D809">
        <v>63281</v>
      </c>
      <c r="E809">
        <v>1499</v>
      </c>
      <c r="F809">
        <v>0</v>
      </c>
      <c r="G809">
        <v>80243</v>
      </c>
    </row>
    <row r="810" spans="1:7" x14ac:dyDescent="0.2">
      <c r="A810" t="s">
        <v>4351</v>
      </c>
      <c r="B810">
        <v>0</v>
      </c>
      <c r="C810">
        <v>0</v>
      </c>
      <c r="D810">
        <v>0</v>
      </c>
      <c r="E810">
        <v>2</v>
      </c>
      <c r="F810">
        <v>0</v>
      </c>
      <c r="G810">
        <v>2</v>
      </c>
    </row>
    <row r="811" spans="1:7" x14ac:dyDescent="0.2">
      <c r="A811" t="s">
        <v>4352</v>
      </c>
      <c r="B811">
        <v>0</v>
      </c>
      <c r="C811">
        <v>0</v>
      </c>
      <c r="D811">
        <v>0</v>
      </c>
      <c r="E811">
        <v>0</v>
      </c>
      <c r="F811">
        <v>0</v>
      </c>
      <c r="G811">
        <v>0</v>
      </c>
    </row>
    <row r="812" spans="1:7" x14ac:dyDescent="0.2">
      <c r="A812" t="s">
        <v>4353</v>
      </c>
      <c r="B812">
        <v>45</v>
      </c>
      <c r="C812">
        <v>4294</v>
      </c>
      <c r="D812">
        <v>2077</v>
      </c>
      <c r="E812">
        <v>149</v>
      </c>
      <c r="F812">
        <v>0</v>
      </c>
      <c r="G812">
        <v>6565</v>
      </c>
    </row>
    <row r="813" spans="1:7" x14ac:dyDescent="0.2">
      <c r="A813" t="s">
        <v>4354</v>
      </c>
      <c r="B813">
        <v>204</v>
      </c>
      <c r="C813">
        <v>2282</v>
      </c>
      <c r="D813">
        <v>809</v>
      </c>
      <c r="E813">
        <v>24</v>
      </c>
      <c r="F813">
        <v>0</v>
      </c>
      <c r="G813">
        <v>3318</v>
      </c>
    </row>
    <row r="814" spans="1:7" x14ac:dyDescent="0.2">
      <c r="A814" t="s">
        <v>4355</v>
      </c>
      <c r="B814">
        <v>0</v>
      </c>
      <c r="C814">
        <v>0</v>
      </c>
      <c r="D814">
        <v>0</v>
      </c>
      <c r="E814">
        <v>0</v>
      </c>
      <c r="F814">
        <v>0</v>
      </c>
      <c r="G814">
        <v>0</v>
      </c>
    </row>
    <row r="815" spans="1:7" x14ac:dyDescent="0.2">
      <c r="A815" t="s">
        <v>4356</v>
      </c>
      <c r="B815">
        <v>0</v>
      </c>
      <c r="C815">
        <v>0</v>
      </c>
      <c r="D815">
        <v>0</v>
      </c>
      <c r="E815">
        <v>0</v>
      </c>
      <c r="F815">
        <v>0</v>
      </c>
      <c r="G815">
        <v>0</v>
      </c>
    </row>
    <row r="816" spans="1:7" x14ac:dyDescent="0.2">
      <c r="A816" t="s">
        <v>4357</v>
      </c>
      <c r="B816">
        <v>113</v>
      </c>
      <c r="C816">
        <v>8984</v>
      </c>
      <c r="D816">
        <v>6430</v>
      </c>
      <c r="E816">
        <v>0</v>
      </c>
      <c r="F816">
        <v>0</v>
      </c>
      <c r="G816">
        <v>15528</v>
      </c>
    </row>
    <row r="817" spans="1:7" x14ac:dyDescent="0.2">
      <c r="A817" t="s">
        <v>4358</v>
      </c>
      <c r="B817">
        <v>0</v>
      </c>
      <c r="C817">
        <v>874</v>
      </c>
      <c r="D817">
        <v>1574</v>
      </c>
      <c r="E817">
        <v>0</v>
      </c>
      <c r="F817">
        <v>0</v>
      </c>
      <c r="G817">
        <v>2448</v>
      </c>
    </row>
    <row r="818" spans="1:7" x14ac:dyDescent="0.2">
      <c r="A818" t="s">
        <v>4359</v>
      </c>
      <c r="B818">
        <v>0</v>
      </c>
      <c r="C818">
        <v>0</v>
      </c>
      <c r="D818">
        <v>0</v>
      </c>
      <c r="E818">
        <v>0</v>
      </c>
      <c r="F818">
        <v>0</v>
      </c>
      <c r="G818">
        <v>0</v>
      </c>
    </row>
    <row r="819" spans="1:7" x14ac:dyDescent="0.2">
      <c r="A819" t="s">
        <v>4360</v>
      </c>
      <c r="B819">
        <v>2</v>
      </c>
      <c r="C819">
        <v>4</v>
      </c>
      <c r="D819">
        <v>332</v>
      </c>
      <c r="E819">
        <v>262</v>
      </c>
      <c r="F819">
        <v>8</v>
      </c>
      <c r="G819">
        <v>608</v>
      </c>
    </row>
    <row r="820" spans="1:7" x14ac:dyDescent="0.2">
      <c r="A820" t="s">
        <v>4361</v>
      </c>
      <c r="B820">
        <v>0</v>
      </c>
      <c r="C820">
        <v>0</v>
      </c>
      <c r="D820">
        <v>3911</v>
      </c>
      <c r="E820">
        <v>182</v>
      </c>
      <c r="F820">
        <v>35</v>
      </c>
      <c r="G820">
        <v>4128</v>
      </c>
    </row>
    <row r="821" spans="1:7" x14ac:dyDescent="0.2">
      <c r="A821" t="s">
        <v>4362</v>
      </c>
      <c r="B821">
        <v>0</v>
      </c>
      <c r="C821">
        <v>0</v>
      </c>
      <c r="D821">
        <v>0</v>
      </c>
      <c r="E821">
        <v>269</v>
      </c>
      <c r="F821">
        <v>45</v>
      </c>
      <c r="G821">
        <v>314</v>
      </c>
    </row>
    <row r="822" spans="1:7" x14ac:dyDescent="0.2">
      <c r="A822" t="s">
        <v>4363</v>
      </c>
      <c r="B822">
        <v>0</v>
      </c>
      <c r="C822">
        <v>0</v>
      </c>
      <c r="D822">
        <v>0</v>
      </c>
      <c r="E822">
        <v>0</v>
      </c>
      <c r="F822">
        <v>0</v>
      </c>
      <c r="G822">
        <v>0</v>
      </c>
    </row>
    <row r="823" spans="1:7" x14ac:dyDescent="0.2">
      <c r="A823" t="s">
        <v>4364</v>
      </c>
      <c r="B823">
        <v>0</v>
      </c>
      <c r="C823">
        <v>0</v>
      </c>
      <c r="D823">
        <v>0</v>
      </c>
      <c r="E823">
        <v>0</v>
      </c>
      <c r="F823">
        <v>0</v>
      </c>
      <c r="G823">
        <v>0</v>
      </c>
    </row>
    <row r="824" spans="1:7" x14ac:dyDescent="0.2">
      <c r="A824" t="s">
        <v>4365</v>
      </c>
      <c r="B824">
        <v>63</v>
      </c>
      <c r="C824">
        <v>2417</v>
      </c>
      <c r="D824">
        <v>1666</v>
      </c>
      <c r="E824">
        <v>0</v>
      </c>
      <c r="F824">
        <v>0</v>
      </c>
      <c r="G824">
        <v>4146</v>
      </c>
    </row>
    <row r="825" spans="1:7" x14ac:dyDescent="0.2">
      <c r="A825" t="s">
        <v>4366</v>
      </c>
      <c r="B825">
        <v>2127</v>
      </c>
      <c r="C825">
        <v>32057</v>
      </c>
      <c r="D825">
        <v>16514</v>
      </c>
      <c r="E825">
        <v>1797</v>
      </c>
      <c r="F825">
        <v>0</v>
      </c>
      <c r="G825">
        <v>52495</v>
      </c>
    </row>
    <row r="826" spans="1:7" x14ac:dyDescent="0.2">
      <c r="A826" t="s">
        <v>4367</v>
      </c>
      <c r="B826">
        <v>78</v>
      </c>
      <c r="C826">
        <v>1416</v>
      </c>
      <c r="D826">
        <v>3837</v>
      </c>
      <c r="E826">
        <v>302</v>
      </c>
      <c r="F826">
        <v>0</v>
      </c>
      <c r="G826">
        <v>5632</v>
      </c>
    </row>
    <row r="827" spans="1:7" x14ac:dyDescent="0.2">
      <c r="A827" t="s">
        <v>4368</v>
      </c>
      <c r="B827">
        <v>650</v>
      </c>
      <c r="C827">
        <v>2172</v>
      </c>
      <c r="D827">
        <v>3986</v>
      </c>
      <c r="E827">
        <v>6353</v>
      </c>
      <c r="F827">
        <v>1321</v>
      </c>
      <c r="G827">
        <v>14482</v>
      </c>
    </row>
    <row r="828" spans="1:7" x14ac:dyDescent="0.2">
      <c r="A828" t="s">
        <v>4369</v>
      </c>
      <c r="B828">
        <v>796</v>
      </c>
      <c r="C828">
        <v>4224</v>
      </c>
      <c r="D828">
        <v>12553</v>
      </c>
      <c r="E828">
        <v>3332</v>
      </c>
      <c r="F828">
        <v>0</v>
      </c>
      <c r="G828">
        <v>20905</v>
      </c>
    </row>
    <row r="829" spans="1:7" x14ac:dyDescent="0.2">
      <c r="A829" t="s">
        <v>4370</v>
      </c>
      <c r="B829">
        <v>3001</v>
      </c>
      <c r="C829">
        <v>2911</v>
      </c>
      <c r="D829">
        <v>2616</v>
      </c>
      <c r="E829">
        <v>315</v>
      </c>
      <c r="F829">
        <v>0</v>
      </c>
      <c r="G829">
        <v>8843</v>
      </c>
    </row>
    <row r="830" spans="1:7" x14ac:dyDescent="0.2">
      <c r="A830" t="s">
        <v>4371</v>
      </c>
      <c r="B830">
        <v>580</v>
      </c>
      <c r="C830">
        <v>790</v>
      </c>
      <c r="D830">
        <v>1453</v>
      </c>
      <c r="E830">
        <v>593</v>
      </c>
      <c r="F830">
        <v>1</v>
      </c>
      <c r="G830">
        <v>3416</v>
      </c>
    </row>
    <row r="831" spans="1:7" x14ac:dyDescent="0.2">
      <c r="A831" t="s">
        <v>4372</v>
      </c>
      <c r="B831">
        <v>0</v>
      </c>
      <c r="C831">
        <v>0</v>
      </c>
      <c r="D831">
        <v>0</v>
      </c>
      <c r="E831">
        <v>0</v>
      </c>
      <c r="F831">
        <v>0</v>
      </c>
      <c r="G831">
        <v>0</v>
      </c>
    </row>
    <row r="832" spans="1:7" x14ac:dyDescent="0.2">
      <c r="A832" t="s">
        <v>4373</v>
      </c>
      <c r="B832">
        <v>3050</v>
      </c>
      <c r="C832">
        <v>109476</v>
      </c>
      <c r="D832">
        <v>92434</v>
      </c>
      <c r="E832">
        <v>9844</v>
      </c>
      <c r="F832">
        <v>0</v>
      </c>
      <c r="G832">
        <v>214804</v>
      </c>
    </row>
    <row r="833" spans="1:7" x14ac:dyDescent="0.2">
      <c r="A833" t="s">
        <v>4374</v>
      </c>
      <c r="B833">
        <v>1263</v>
      </c>
      <c r="C833">
        <v>21697</v>
      </c>
      <c r="D833">
        <v>44362</v>
      </c>
      <c r="E833">
        <v>42058</v>
      </c>
      <c r="F833">
        <v>0</v>
      </c>
      <c r="G833">
        <v>109379</v>
      </c>
    </row>
    <row r="834" spans="1:7" x14ac:dyDescent="0.2">
      <c r="A834" t="s">
        <v>4375</v>
      </c>
      <c r="B834">
        <v>9324</v>
      </c>
      <c r="C834">
        <v>265374</v>
      </c>
      <c r="D834">
        <v>360804</v>
      </c>
      <c r="E834">
        <v>140986</v>
      </c>
      <c r="F834">
        <v>0</v>
      </c>
      <c r="G834">
        <v>776489</v>
      </c>
    </row>
    <row r="835" spans="1:7" x14ac:dyDescent="0.2">
      <c r="A835" t="s">
        <v>4376</v>
      </c>
      <c r="B835">
        <v>488</v>
      </c>
      <c r="C835">
        <v>42399</v>
      </c>
      <c r="D835">
        <v>49977</v>
      </c>
      <c r="E835">
        <v>11707</v>
      </c>
      <c r="F835">
        <v>0</v>
      </c>
      <c r="G835">
        <v>104570</v>
      </c>
    </row>
    <row r="836" spans="1:7" x14ac:dyDescent="0.2">
      <c r="A836" t="s">
        <v>4377</v>
      </c>
      <c r="B836">
        <v>2551</v>
      </c>
      <c r="C836">
        <v>79765</v>
      </c>
      <c r="D836">
        <v>315815</v>
      </c>
      <c r="E836">
        <v>376890</v>
      </c>
      <c r="F836">
        <v>0</v>
      </c>
      <c r="G836">
        <v>775020</v>
      </c>
    </row>
    <row r="837" spans="1:7" x14ac:dyDescent="0.2">
      <c r="A837" t="s">
        <v>4248</v>
      </c>
    </row>
    <row r="838" spans="1:7" x14ac:dyDescent="0.2">
      <c r="A838" t="s">
        <v>4250</v>
      </c>
      <c r="C838" t="s">
        <v>4251</v>
      </c>
      <c r="G838" t="s">
        <v>7535</v>
      </c>
    </row>
    <row r="839" spans="1:7" x14ac:dyDescent="0.2">
      <c r="A839" t="s">
        <v>4253</v>
      </c>
      <c r="G839" t="s">
        <v>7536</v>
      </c>
    </row>
    <row r="840" spans="1:7" x14ac:dyDescent="0.2">
      <c r="A840" t="s">
        <v>7530</v>
      </c>
    </row>
    <row r="843" spans="1:7" x14ac:dyDescent="0.2">
      <c r="A843" t="s">
        <v>4259</v>
      </c>
    </row>
    <row r="845" spans="1:7" x14ac:dyDescent="0.2">
      <c r="A845" t="s">
        <v>4260</v>
      </c>
      <c r="B845" t="s">
        <v>4261</v>
      </c>
      <c r="C845" t="s">
        <v>4261</v>
      </c>
      <c r="D845" t="s">
        <v>4261</v>
      </c>
      <c r="E845" t="s">
        <v>4261</v>
      </c>
      <c r="F845" t="s">
        <v>4261</v>
      </c>
      <c r="G845" t="s">
        <v>4261</v>
      </c>
    </row>
    <row r="846" spans="1:7" x14ac:dyDescent="0.2">
      <c r="A846" t="s">
        <v>126</v>
      </c>
      <c r="B846" t="s">
        <v>4262</v>
      </c>
      <c r="C846" t="s">
        <v>4263</v>
      </c>
      <c r="D846" t="s">
        <v>4264</v>
      </c>
      <c r="E846" t="s">
        <v>2308</v>
      </c>
      <c r="F846" t="s">
        <v>615</v>
      </c>
      <c r="G846" t="s">
        <v>236</v>
      </c>
    </row>
    <row r="847" spans="1:7" x14ac:dyDescent="0.2">
      <c r="A847" t="s">
        <v>4260</v>
      </c>
      <c r="B847" t="s">
        <v>4261</v>
      </c>
      <c r="C847" t="s">
        <v>4261</v>
      </c>
      <c r="D847" t="s">
        <v>4261</v>
      </c>
      <c r="E847" t="s">
        <v>4261</v>
      </c>
      <c r="F847" t="s">
        <v>4261</v>
      </c>
      <c r="G847" t="s">
        <v>4261</v>
      </c>
    </row>
    <row r="848" spans="1:7" x14ac:dyDescent="0.2">
      <c r="A848" t="s">
        <v>4265</v>
      </c>
      <c r="B848">
        <v>0</v>
      </c>
      <c r="C848">
        <v>0</v>
      </c>
      <c r="D848">
        <v>0</v>
      </c>
      <c r="E848">
        <v>0</v>
      </c>
      <c r="F848">
        <v>21</v>
      </c>
      <c r="G848">
        <v>21</v>
      </c>
    </row>
    <row r="849" spans="1:7" x14ac:dyDescent="0.2">
      <c r="A849" t="s">
        <v>4266</v>
      </c>
      <c r="B849">
        <v>0</v>
      </c>
      <c r="C849">
        <v>0</v>
      </c>
      <c r="D849">
        <v>0</v>
      </c>
      <c r="E849">
        <v>0</v>
      </c>
      <c r="F849">
        <v>0</v>
      </c>
      <c r="G849">
        <v>0</v>
      </c>
    </row>
    <row r="850" spans="1:7" x14ac:dyDescent="0.2">
      <c r="A850" t="s">
        <v>4267</v>
      </c>
      <c r="B850">
        <v>610</v>
      </c>
      <c r="C850">
        <v>96</v>
      </c>
      <c r="D850">
        <v>46</v>
      </c>
      <c r="E850">
        <v>1</v>
      </c>
      <c r="F850">
        <v>0</v>
      </c>
      <c r="G850">
        <v>754</v>
      </c>
    </row>
    <row r="851" spans="1:7" x14ac:dyDescent="0.2">
      <c r="A851" t="s">
        <v>4268</v>
      </c>
      <c r="B851">
        <v>0</v>
      </c>
      <c r="C851">
        <v>249</v>
      </c>
      <c r="D851">
        <v>54</v>
      </c>
      <c r="E851">
        <v>0</v>
      </c>
      <c r="F851">
        <v>0</v>
      </c>
      <c r="G851">
        <v>303</v>
      </c>
    </row>
    <row r="852" spans="1:7" x14ac:dyDescent="0.2">
      <c r="A852" t="s">
        <v>4269</v>
      </c>
      <c r="B852">
        <v>686</v>
      </c>
      <c r="C852">
        <v>0</v>
      </c>
      <c r="D852">
        <v>124</v>
      </c>
      <c r="E852">
        <v>2</v>
      </c>
      <c r="F852">
        <v>0</v>
      </c>
      <c r="G852">
        <v>812</v>
      </c>
    </row>
    <row r="853" spans="1:7" x14ac:dyDescent="0.2">
      <c r="A853" t="s">
        <v>4270</v>
      </c>
      <c r="B853">
        <v>0</v>
      </c>
      <c r="C853">
        <v>0</v>
      </c>
      <c r="D853">
        <v>0</v>
      </c>
      <c r="E853">
        <v>0</v>
      </c>
      <c r="F853">
        <v>0</v>
      </c>
      <c r="G853">
        <v>0</v>
      </c>
    </row>
    <row r="854" spans="1:7" x14ac:dyDescent="0.2">
      <c r="A854" t="s">
        <v>4271</v>
      </c>
      <c r="B854">
        <v>176</v>
      </c>
      <c r="C854">
        <v>140</v>
      </c>
      <c r="D854">
        <v>19</v>
      </c>
      <c r="E854">
        <v>12</v>
      </c>
      <c r="F854">
        <v>0</v>
      </c>
      <c r="G854">
        <v>347</v>
      </c>
    </row>
    <row r="855" spans="1:7" x14ac:dyDescent="0.2">
      <c r="A855" t="s">
        <v>4272</v>
      </c>
      <c r="B855">
        <v>409</v>
      </c>
      <c r="C855">
        <v>51</v>
      </c>
      <c r="D855">
        <v>14</v>
      </c>
      <c r="E855">
        <v>23</v>
      </c>
      <c r="F855">
        <v>0</v>
      </c>
      <c r="G855">
        <v>497</v>
      </c>
    </row>
    <row r="856" spans="1:7" x14ac:dyDescent="0.2">
      <c r="A856" t="s">
        <v>4273</v>
      </c>
      <c r="B856">
        <v>0</v>
      </c>
      <c r="C856">
        <v>0</v>
      </c>
      <c r="D856">
        <v>0</v>
      </c>
      <c r="E856">
        <v>0</v>
      </c>
      <c r="F856">
        <v>15</v>
      </c>
      <c r="G856">
        <v>15</v>
      </c>
    </row>
    <row r="857" spans="1:7" x14ac:dyDescent="0.2">
      <c r="A857" t="s">
        <v>4274</v>
      </c>
      <c r="B857">
        <v>0</v>
      </c>
      <c r="C857">
        <v>0</v>
      </c>
      <c r="D857">
        <v>0</v>
      </c>
      <c r="E857">
        <v>0</v>
      </c>
      <c r="F857">
        <v>0</v>
      </c>
      <c r="G857">
        <v>0</v>
      </c>
    </row>
    <row r="858" spans="1:7" x14ac:dyDescent="0.2">
      <c r="A858" t="s">
        <v>4275</v>
      </c>
      <c r="B858">
        <v>0</v>
      </c>
      <c r="C858">
        <v>0</v>
      </c>
      <c r="D858">
        <v>0</v>
      </c>
      <c r="E858">
        <v>0</v>
      </c>
      <c r="F858">
        <v>4093</v>
      </c>
      <c r="G858">
        <v>4093</v>
      </c>
    </row>
    <row r="859" spans="1:7" x14ac:dyDescent="0.2">
      <c r="A859" t="s">
        <v>4276</v>
      </c>
      <c r="B859">
        <v>0</v>
      </c>
      <c r="C859">
        <v>0</v>
      </c>
      <c r="D859">
        <v>0</v>
      </c>
      <c r="E859">
        <v>0</v>
      </c>
      <c r="F859">
        <v>2375</v>
      </c>
      <c r="G859">
        <v>2375</v>
      </c>
    </row>
    <row r="860" spans="1:7" x14ac:dyDescent="0.2">
      <c r="A860" t="s">
        <v>4277</v>
      </c>
      <c r="B860">
        <v>0</v>
      </c>
      <c r="C860">
        <v>0</v>
      </c>
      <c r="D860">
        <v>0</v>
      </c>
      <c r="E860">
        <v>0</v>
      </c>
      <c r="F860">
        <v>1137</v>
      </c>
      <c r="G860">
        <v>1137</v>
      </c>
    </row>
    <row r="861" spans="1:7" x14ac:dyDescent="0.2">
      <c r="A861" t="s">
        <v>4278</v>
      </c>
      <c r="B861">
        <v>0</v>
      </c>
      <c r="C861">
        <v>0</v>
      </c>
      <c r="D861">
        <v>0</v>
      </c>
      <c r="E861">
        <v>0</v>
      </c>
      <c r="F861">
        <v>0</v>
      </c>
      <c r="G861">
        <v>0</v>
      </c>
    </row>
    <row r="862" spans="1:7" x14ac:dyDescent="0.2">
      <c r="A862" t="s">
        <v>4279</v>
      </c>
      <c r="B862">
        <v>1345</v>
      </c>
      <c r="C862">
        <v>547</v>
      </c>
      <c r="D862">
        <v>470</v>
      </c>
      <c r="E862">
        <v>0</v>
      </c>
      <c r="F862">
        <v>0</v>
      </c>
      <c r="G862">
        <v>2362</v>
      </c>
    </row>
    <row r="863" spans="1:7" x14ac:dyDescent="0.2">
      <c r="A863" t="s">
        <v>4280</v>
      </c>
      <c r="B863">
        <v>34</v>
      </c>
      <c r="C863">
        <v>79</v>
      </c>
      <c r="D863">
        <v>3</v>
      </c>
      <c r="E863">
        <v>0</v>
      </c>
      <c r="F863">
        <v>0</v>
      </c>
      <c r="G863">
        <v>115</v>
      </c>
    </row>
    <row r="864" spans="1:7" x14ac:dyDescent="0.2">
      <c r="A864" t="s">
        <v>4281</v>
      </c>
      <c r="B864">
        <v>18399</v>
      </c>
      <c r="C864">
        <v>19497</v>
      </c>
      <c r="D864">
        <v>27734</v>
      </c>
      <c r="E864">
        <v>9230</v>
      </c>
      <c r="F864">
        <v>0</v>
      </c>
      <c r="G864">
        <v>74860</v>
      </c>
    </row>
    <row r="865" spans="1:7" x14ac:dyDescent="0.2">
      <c r="A865" t="s">
        <v>4282</v>
      </c>
      <c r="B865">
        <v>3631</v>
      </c>
      <c r="C865">
        <v>5831</v>
      </c>
      <c r="D865">
        <v>6277</v>
      </c>
      <c r="E865">
        <v>123</v>
      </c>
      <c r="F865">
        <v>0</v>
      </c>
      <c r="G865">
        <v>15862</v>
      </c>
    </row>
    <row r="866" spans="1:7" x14ac:dyDescent="0.2">
      <c r="A866" t="s">
        <v>4283</v>
      </c>
      <c r="B866">
        <v>8864</v>
      </c>
      <c r="C866">
        <v>8663</v>
      </c>
      <c r="D866">
        <v>5163</v>
      </c>
      <c r="E866">
        <v>4252</v>
      </c>
      <c r="F866">
        <v>0</v>
      </c>
      <c r="G866">
        <v>26942</v>
      </c>
    </row>
    <row r="867" spans="1:7" x14ac:dyDescent="0.2">
      <c r="A867" t="s">
        <v>4284</v>
      </c>
      <c r="B867">
        <v>450</v>
      </c>
      <c r="C867">
        <v>0</v>
      </c>
      <c r="D867">
        <v>895</v>
      </c>
      <c r="E867">
        <v>70</v>
      </c>
      <c r="F867">
        <v>0</v>
      </c>
      <c r="G867">
        <v>1415</v>
      </c>
    </row>
    <row r="868" spans="1:7" x14ac:dyDescent="0.2">
      <c r="A868" t="s">
        <v>4285</v>
      </c>
      <c r="B868">
        <v>10765</v>
      </c>
      <c r="C868">
        <v>12012</v>
      </c>
      <c r="D868">
        <v>10723</v>
      </c>
      <c r="E868">
        <v>4536</v>
      </c>
      <c r="F868">
        <v>0</v>
      </c>
      <c r="G868">
        <v>38036</v>
      </c>
    </row>
    <row r="869" spans="1:7" x14ac:dyDescent="0.2">
      <c r="A869" t="s">
        <v>4286</v>
      </c>
      <c r="B869">
        <v>1097</v>
      </c>
      <c r="C869">
        <v>271</v>
      </c>
      <c r="D869">
        <v>490</v>
      </c>
      <c r="E869">
        <v>70</v>
      </c>
      <c r="F869">
        <v>0</v>
      </c>
      <c r="G869">
        <v>1929</v>
      </c>
    </row>
    <row r="870" spans="1:7" x14ac:dyDescent="0.2">
      <c r="A870" t="s">
        <v>4287</v>
      </c>
      <c r="B870">
        <v>0</v>
      </c>
      <c r="C870">
        <v>0</v>
      </c>
      <c r="D870">
        <v>0</v>
      </c>
      <c r="E870">
        <v>65601</v>
      </c>
      <c r="F870">
        <v>0</v>
      </c>
      <c r="G870">
        <v>65601</v>
      </c>
    </row>
    <row r="871" spans="1:7" x14ac:dyDescent="0.2">
      <c r="A871" t="s">
        <v>4288</v>
      </c>
      <c r="B871">
        <v>0</v>
      </c>
      <c r="C871">
        <v>0</v>
      </c>
      <c r="D871">
        <v>0</v>
      </c>
      <c r="E871">
        <v>0</v>
      </c>
      <c r="F871">
        <v>1525</v>
      </c>
      <c r="G871">
        <v>1525</v>
      </c>
    </row>
    <row r="872" spans="1:7" x14ac:dyDescent="0.2">
      <c r="A872" t="s">
        <v>4289</v>
      </c>
      <c r="B872">
        <v>0</v>
      </c>
      <c r="C872">
        <v>0</v>
      </c>
      <c r="D872">
        <v>0</v>
      </c>
      <c r="E872">
        <v>0</v>
      </c>
      <c r="F872">
        <v>247739</v>
      </c>
      <c r="G872">
        <v>247739</v>
      </c>
    </row>
    <row r="873" spans="1:7" x14ac:dyDescent="0.2">
      <c r="A873" t="s">
        <v>4290</v>
      </c>
      <c r="B873">
        <v>0</v>
      </c>
      <c r="C873">
        <v>0</v>
      </c>
      <c r="D873">
        <v>0</v>
      </c>
      <c r="E873">
        <v>0</v>
      </c>
      <c r="F873">
        <v>49093</v>
      </c>
      <c r="G873">
        <v>49093</v>
      </c>
    </row>
    <row r="874" spans="1:7" x14ac:dyDescent="0.2">
      <c r="A874" t="s">
        <v>4291</v>
      </c>
      <c r="B874">
        <v>0</v>
      </c>
      <c r="C874">
        <v>0</v>
      </c>
      <c r="D874">
        <v>0</v>
      </c>
      <c r="E874">
        <v>0</v>
      </c>
      <c r="F874">
        <v>5338</v>
      </c>
      <c r="G874">
        <v>5338</v>
      </c>
    </row>
    <row r="875" spans="1:7" x14ac:dyDescent="0.2">
      <c r="A875" t="s">
        <v>4292</v>
      </c>
      <c r="B875">
        <v>0</v>
      </c>
      <c r="C875">
        <v>0</v>
      </c>
      <c r="D875">
        <v>0</v>
      </c>
      <c r="E875">
        <v>0</v>
      </c>
      <c r="F875">
        <v>1513</v>
      </c>
      <c r="G875">
        <v>1513</v>
      </c>
    </row>
    <row r="876" spans="1:7" x14ac:dyDescent="0.2">
      <c r="A876" t="s">
        <v>4293</v>
      </c>
      <c r="B876">
        <v>0</v>
      </c>
      <c r="C876">
        <v>0</v>
      </c>
      <c r="D876">
        <v>0</v>
      </c>
      <c r="E876">
        <v>0</v>
      </c>
      <c r="F876">
        <v>2519</v>
      </c>
      <c r="G876">
        <v>2519</v>
      </c>
    </row>
    <row r="877" spans="1:7" x14ac:dyDescent="0.2">
      <c r="A877" t="s">
        <v>4294</v>
      </c>
      <c r="B877">
        <v>0</v>
      </c>
      <c r="C877">
        <v>0</v>
      </c>
      <c r="D877">
        <v>0</v>
      </c>
      <c r="E877">
        <v>0</v>
      </c>
      <c r="F877">
        <v>11442</v>
      </c>
      <c r="G877">
        <v>11442</v>
      </c>
    </row>
    <row r="878" spans="1:7" x14ac:dyDescent="0.2">
      <c r="A878" t="s">
        <v>4295</v>
      </c>
      <c r="B878">
        <v>0</v>
      </c>
      <c r="C878">
        <v>0</v>
      </c>
      <c r="D878">
        <v>0</v>
      </c>
      <c r="E878">
        <v>0</v>
      </c>
      <c r="F878">
        <v>0</v>
      </c>
      <c r="G878">
        <v>0</v>
      </c>
    </row>
    <row r="879" spans="1:7" x14ac:dyDescent="0.2">
      <c r="A879" t="s">
        <v>4296</v>
      </c>
      <c r="B879">
        <v>0</v>
      </c>
      <c r="C879">
        <v>0</v>
      </c>
      <c r="D879">
        <v>0</v>
      </c>
      <c r="E879">
        <v>0</v>
      </c>
      <c r="F879">
        <v>0</v>
      </c>
      <c r="G879">
        <v>0</v>
      </c>
    </row>
    <row r="880" spans="1:7" x14ac:dyDescent="0.2">
      <c r="A880" t="s">
        <v>4297</v>
      </c>
      <c r="B880">
        <v>4123</v>
      </c>
      <c r="C880">
        <v>23414</v>
      </c>
      <c r="D880">
        <v>55663</v>
      </c>
      <c r="E880">
        <v>14507</v>
      </c>
      <c r="F880">
        <v>0</v>
      </c>
      <c r="G880">
        <v>97706</v>
      </c>
    </row>
    <row r="881" spans="1:7" x14ac:dyDescent="0.2">
      <c r="A881" t="s">
        <v>4298</v>
      </c>
      <c r="B881">
        <v>1578</v>
      </c>
      <c r="C881">
        <v>4474</v>
      </c>
      <c r="D881">
        <v>3856</v>
      </c>
      <c r="E881">
        <v>7645</v>
      </c>
      <c r="F881">
        <v>0</v>
      </c>
      <c r="G881">
        <v>17554</v>
      </c>
    </row>
    <row r="882" spans="1:7" x14ac:dyDescent="0.2">
      <c r="A882" t="s">
        <v>4299</v>
      </c>
      <c r="B882">
        <v>898</v>
      </c>
      <c r="C882">
        <v>3270</v>
      </c>
      <c r="D882">
        <v>5646</v>
      </c>
      <c r="E882">
        <v>6795</v>
      </c>
      <c r="F882">
        <v>0</v>
      </c>
      <c r="G882">
        <v>16610</v>
      </c>
    </row>
    <row r="883" spans="1:7" x14ac:dyDescent="0.2">
      <c r="A883" t="s">
        <v>4300</v>
      </c>
      <c r="B883">
        <v>18</v>
      </c>
      <c r="C883">
        <v>90</v>
      </c>
      <c r="D883">
        <v>201</v>
      </c>
      <c r="E883">
        <v>183</v>
      </c>
      <c r="F883">
        <v>0</v>
      </c>
      <c r="G883">
        <v>492</v>
      </c>
    </row>
    <row r="884" spans="1:7" x14ac:dyDescent="0.2">
      <c r="A884" t="s">
        <v>4301</v>
      </c>
      <c r="B884">
        <v>0</v>
      </c>
      <c r="C884">
        <v>16136</v>
      </c>
      <c r="D884">
        <v>37941</v>
      </c>
      <c r="E884">
        <v>19802</v>
      </c>
      <c r="F884">
        <v>0</v>
      </c>
      <c r="G884">
        <v>73879</v>
      </c>
    </row>
    <row r="885" spans="1:7" x14ac:dyDescent="0.2">
      <c r="A885" t="s">
        <v>4302</v>
      </c>
      <c r="B885">
        <v>172</v>
      </c>
      <c r="C885">
        <v>1825</v>
      </c>
      <c r="D885">
        <v>4875</v>
      </c>
      <c r="E885">
        <v>1478</v>
      </c>
      <c r="F885">
        <v>0</v>
      </c>
      <c r="G885">
        <v>8351</v>
      </c>
    </row>
    <row r="886" spans="1:7" x14ac:dyDescent="0.2">
      <c r="A886" t="s">
        <v>4303</v>
      </c>
      <c r="B886">
        <v>171</v>
      </c>
      <c r="C886">
        <v>2376</v>
      </c>
      <c r="D886">
        <v>9563</v>
      </c>
      <c r="E886">
        <v>1875</v>
      </c>
      <c r="F886">
        <v>0</v>
      </c>
      <c r="G886">
        <v>13986</v>
      </c>
    </row>
    <row r="887" spans="1:7" x14ac:dyDescent="0.2">
      <c r="A887" t="s">
        <v>4304</v>
      </c>
      <c r="B887">
        <v>190</v>
      </c>
      <c r="C887">
        <v>685</v>
      </c>
      <c r="D887">
        <v>2859</v>
      </c>
      <c r="E887">
        <v>1539</v>
      </c>
      <c r="F887">
        <v>0</v>
      </c>
      <c r="G887">
        <v>5273</v>
      </c>
    </row>
    <row r="888" spans="1:7" x14ac:dyDescent="0.2">
      <c r="A888" t="s">
        <v>4305</v>
      </c>
      <c r="B888">
        <v>2754</v>
      </c>
      <c r="C888">
        <v>7161</v>
      </c>
      <c r="D888">
        <v>8720</v>
      </c>
      <c r="E888">
        <v>3223</v>
      </c>
      <c r="F888">
        <v>0</v>
      </c>
      <c r="G888">
        <v>21857</v>
      </c>
    </row>
    <row r="889" spans="1:7" x14ac:dyDescent="0.2">
      <c r="A889" t="s">
        <v>4306</v>
      </c>
      <c r="B889">
        <v>95</v>
      </c>
      <c r="C889">
        <v>1375</v>
      </c>
      <c r="D889">
        <v>366</v>
      </c>
      <c r="E889">
        <v>405</v>
      </c>
      <c r="F889">
        <v>0</v>
      </c>
      <c r="G889">
        <v>2241</v>
      </c>
    </row>
    <row r="890" spans="1:7" x14ac:dyDescent="0.2">
      <c r="A890" t="s">
        <v>4307</v>
      </c>
      <c r="B890">
        <v>589</v>
      </c>
      <c r="C890">
        <v>6229</v>
      </c>
      <c r="D890">
        <v>24674</v>
      </c>
      <c r="E890">
        <v>9408</v>
      </c>
      <c r="F890">
        <v>2</v>
      </c>
      <c r="G890">
        <v>40902</v>
      </c>
    </row>
    <row r="891" spans="1:7" x14ac:dyDescent="0.2">
      <c r="A891" t="s">
        <v>4308</v>
      </c>
      <c r="B891">
        <v>0</v>
      </c>
      <c r="C891">
        <v>0</v>
      </c>
      <c r="D891">
        <v>229</v>
      </c>
      <c r="E891">
        <v>181</v>
      </c>
      <c r="F891">
        <v>1</v>
      </c>
      <c r="G891">
        <v>410</v>
      </c>
    </row>
    <row r="892" spans="1:7" x14ac:dyDescent="0.2">
      <c r="A892" t="s">
        <v>4309</v>
      </c>
      <c r="B892">
        <v>0</v>
      </c>
      <c r="C892">
        <v>0</v>
      </c>
      <c r="D892">
        <v>0</v>
      </c>
      <c r="E892">
        <v>0</v>
      </c>
      <c r="F892">
        <v>807</v>
      </c>
      <c r="G892">
        <v>807</v>
      </c>
    </row>
    <row r="893" spans="1:7" x14ac:dyDescent="0.2">
      <c r="A893" t="s">
        <v>4310</v>
      </c>
      <c r="B893">
        <v>0</v>
      </c>
      <c r="C893">
        <v>0</v>
      </c>
      <c r="D893">
        <v>0</v>
      </c>
      <c r="E893">
        <v>0</v>
      </c>
      <c r="F893">
        <v>4356</v>
      </c>
      <c r="G893">
        <v>4356</v>
      </c>
    </row>
    <row r="894" spans="1:7" x14ac:dyDescent="0.2">
      <c r="A894" t="s">
        <v>4311</v>
      </c>
      <c r="B894">
        <v>0</v>
      </c>
      <c r="C894">
        <v>0</v>
      </c>
      <c r="D894">
        <v>0</v>
      </c>
      <c r="E894">
        <v>22066</v>
      </c>
      <c r="F894">
        <v>11485</v>
      </c>
      <c r="G894">
        <v>33551</v>
      </c>
    </row>
    <row r="895" spans="1:7" x14ac:dyDescent="0.2">
      <c r="A895" t="s">
        <v>4312</v>
      </c>
      <c r="B895">
        <v>0</v>
      </c>
      <c r="C895">
        <v>0</v>
      </c>
      <c r="D895">
        <v>0</v>
      </c>
      <c r="E895">
        <v>3697</v>
      </c>
      <c r="F895">
        <v>1430</v>
      </c>
      <c r="G895">
        <v>5127</v>
      </c>
    </row>
    <row r="896" spans="1:7" x14ac:dyDescent="0.2">
      <c r="A896" t="s">
        <v>4313</v>
      </c>
      <c r="B896">
        <v>0</v>
      </c>
      <c r="C896">
        <v>0</v>
      </c>
      <c r="D896">
        <v>0</v>
      </c>
      <c r="E896">
        <v>0</v>
      </c>
      <c r="F896">
        <v>81</v>
      </c>
      <c r="G896">
        <v>81</v>
      </c>
    </row>
    <row r="897" spans="1:7" x14ac:dyDescent="0.2">
      <c r="A897" t="s">
        <v>4314</v>
      </c>
      <c r="B897">
        <v>0</v>
      </c>
      <c r="C897">
        <v>0</v>
      </c>
      <c r="D897">
        <v>0</v>
      </c>
      <c r="E897">
        <v>0</v>
      </c>
      <c r="F897">
        <v>6397</v>
      </c>
      <c r="G897">
        <v>6397</v>
      </c>
    </row>
    <row r="898" spans="1:7" x14ac:dyDescent="0.2">
      <c r="A898" t="s">
        <v>4315</v>
      </c>
      <c r="B898">
        <v>0</v>
      </c>
      <c r="C898">
        <v>0</v>
      </c>
      <c r="D898">
        <v>0</v>
      </c>
      <c r="E898">
        <v>0</v>
      </c>
      <c r="F898">
        <v>4284</v>
      </c>
      <c r="G898">
        <v>4284</v>
      </c>
    </row>
    <row r="899" spans="1:7" x14ac:dyDescent="0.2">
      <c r="A899" t="s">
        <v>4316</v>
      </c>
      <c r="B899">
        <v>0</v>
      </c>
      <c r="C899">
        <v>0</v>
      </c>
      <c r="D899">
        <v>0</v>
      </c>
      <c r="E899">
        <v>4532</v>
      </c>
      <c r="F899">
        <v>23303</v>
      </c>
      <c r="G899">
        <v>27835</v>
      </c>
    </row>
    <row r="900" spans="1:7" x14ac:dyDescent="0.2">
      <c r="A900" t="s">
        <v>4317</v>
      </c>
      <c r="B900">
        <v>0</v>
      </c>
      <c r="C900">
        <v>0</v>
      </c>
      <c r="D900">
        <v>0</v>
      </c>
      <c r="E900">
        <v>0</v>
      </c>
      <c r="F900">
        <v>0</v>
      </c>
      <c r="G900">
        <v>0</v>
      </c>
    </row>
    <row r="901" spans="1:7" x14ac:dyDescent="0.2">
      <c r="A901" t="s">
        <v>4318</v>
      </c>
      <c r="B901">
        <v>0</v>
      </c>
      <c r="C901">
        <v>0</v>
      </c>
      <c r="D901">
        <v>0</v>
      </c>
      <c r="E901">
        <v>0</v>
      </c>
      <c r="F901">
        <v>17185</v>
      </c>
      <c r="G901">
        <v>17185</v>
      </c>
    </row>
    <row r="902" spans="1:7" x14ac:dyDescent="0.2">
      <c r="A902" t="s">
        <v>4319</v>
      </c>
      <c r="B902">
        <v>0</v>
      </c>
      <c r="C902">
        <v>0</v>
      </c>
      <c r="D902">
        <v>0</v>
      </c>
      <c r="E902">
        <v>0</v>
      </c>
      <c r="F902">
        <v>7319</v>
      </c>
      <c r="G902">
        <v>7319</v>
      </c>
    </row>
    <row r="903" spans="1:7" x14ac:dyDescent="0.2">
      <c r="A903" t="s">
        <v>4320</v>
      </c>
      <c r="B903">
        <v>0</v>
      </c>
      <c r="C903">
        <v>0</v>
      </c>
      <c r="D903">
        <v>0</v>
      </c>
      <c r="E903">
        <v>0</v>
      </c>
      <c r="F903">
        <v>6308</v>
      </c>
      <c r="G903">
        <v>6308</v>
      </c>
    </row>
    <row r="904" spans="1:7" x14ac:dyDescent="0.2">
      <c r="A904" t="s">
        <v>4321</v>
      </c>
      <c r="B904">
        <v>0</v>
      </c>
      <c r="C904">
        <v>0</v>
      </c>
      <c r="D904">
        <v>0</v>
      </c>
      <c r="E904">
        <v>0</v>
      </c>
      <c r="F904">
        <v>0</v>
      </c>
      <c r="G904">
        <v>0</v>
      </c>
    </row>
    <row r="905" spans="1:7" x14ac:dyDescent="0.2">
      <c r="A905" t="s">
        <v>4322</v>
      </c>
      <c r="B905">
        <v>0</v>
      </c>
      <c r="C905">
        <v>0</v>
      </c>
      <c r="D905">
        <v>0</v>
      </c>
      <c r="E905">
        <v>0</v>
      </c>
      <c r="F905">
        <v>0</v>
      </c>
      <c r="G905">
        <v>0</v>
      </c>
    </row>
    <row r="906" spans="1:7" x14ac:dyDescent="0.2">
      <c r="A906" t="s">
        <v>4323</v>
      </c>
      <c r="B906">
        <v>0</v>
      </c>
      <c r="C906">
        <v>0</v>
      </c>
      <c r="D906">
        <v>0</v>
      </c>
      <c r="E906">
        <v>0</v>
      </c>
      <c r="F906">
        <v>0</v>
      </c>
      <c r="G906">
        <v>0</v>
      </c>
    </row>
    <row r="907" spans="1:7" x14ac:dyDescent="0.2">
      <c r="A907" t="s">
        <v>4324</v>
      </c>
      <c r="B907">
        <v>0</v>
      </c>
      <c r="C907">
        <v>0</v>
      </c>
      <c r="D907">
        <v>0</v>
      </c>
      <c r="E907">
        <v>0</v>
      </c>
      <c r="F907">
        <v>0</v>
      </c>
      <c r="G907">
        <v>0</v>
      </c>
    </row>
    <row r="908" spans="1:7" x14ac:dyDescent="0.2">
      <c r="A908" t="s">
        <v>4325</v>
      </c>
      <c r="B908">
        <v>0</v>
      </c>
      <c r="C908">
        <v>0</v>
      </c>
      <c r="D908">
        <v>0</v>
      </c>
      <c r="E908">
        <v>0</v>
      </c>
      <c r="F908">
        <v>0</v>
      </c>
      <c r="G908">
        <v>0</v>
      </c>
    </row>
    <row r="909" spans="1:7" x14ac:dyDescent="0.2">
      <c r="A909" t="s">
        <v>4326</v>
      </c>
      <c r="B909">
        <v>0</v>
      </c>
      <c r="C909">
        <v>0</v>
      </c>
      <c r="D909">
        <v>0</v>
      </c>
      <c r="E909">
        <v>0</v>
      </c>
      <c r="F909">
        <v>0</v>
      </c>
      <c r="G909">
        <v>0</v>
      </c>
    </row>
    <row r="910" spans="1:7" x14ac:dyDescent="0.2">
      <c r="A910" t="s">
        <v>4327</v>
      </c>
      <c r="B910">
        <v>0</v>
      </c>
      <c r="C910">
        <v>0</v>
      </c>
      <c r="D910">
        <v>0</v>
      </c>
      <c r="E910">
        <v>11449</v>
      </c>
      <c r="F910">
        <v>5339</v>
      </c>
      <c r="G910">
        <v>16788</v>
      </c>
    </row>
    <row r="911" spans="1:7" x14ac:dyDescent="0.2">
      <c r="A911" t="s">
        <v>4328</v>
      </c>
      <c r="B911">
        <v>0</v>
      </c>
      <c r="C911">
        <v>0</v>
      </c>
      <c r="D911">
        <v>0</v>
      </c>
      <c r="E911">
        <v>0</v>
      </c>
      <c r="F911">
        <v>0</v>
      </c>
      <c r="G911">
        <v>0</v>
      </c>
    </row>
    <row r="912" spans="1:7" x14ac:dyDescent="0.2">
      <c r="A912" t="s">
        <v>4329</v>
      </c>
      <c r="B912">
        <v>0</v>
      </c>
      <c r="C912">
        <v>0</v>
      </c>
      <c r="D912">
        <v>0</v>
      </c>
      <c r="E912">
        <v>0</v>
      </c>
      <c r="F912">
        <v>2180</v>
      </c>
      <c r="G912">
        <v>2180</v>
      </c>
    </row>
    <row r="913" spans="1:7" x14ac:dyDescent="0.2">
      <c r="A913" t="s">
        <v>4330</v>
      </c>
      <c r="B913">
        <v>0</v>
      </c>
      <c r="C913">
        <v>0</v>
      </c>
      <c r="D913">
        <v>0</v>
      </c>
      <c r="E913">
        <v>0</v>
      </c>
      <c r="F913">
        <v>0</v>
      </c>
      <c r="G913">
        <v>0</v>
      </c>
    </row>
    <row r="914" spans="1:7" x14ac:dyDescent="0.2">
      <c r="A914" t="s">
        <v>4331</v>
      </c>
      <c r="B914">
        <v>0</v>
      </c>
      <c r="C914">
        <v>0</v>
      </c>
      <c r="D914">
        <v>0</v>
      </c>
      <c r="E914">
        <v>0</v>
      </c>
      <c r="F914">
        <v>0</v>
      </c>
      <c r="G914">
        <v>0</v>
      </c>
    </row>
    <row r="915" spans="1:7" x14ac:dyDescent="0.2">
      <c r="A915" t="s">
        <v>4332</v>
      </c>
      <c r="B915">
        <v>0</v>
      </c>
      <c r="C915">
        <v>0</v>
      </c>
      <c r="D915">
        <v>0</v>
      </c>
      <c r="E915">
        <v>9465</v>
      </c>
      <c r="F915">
        <v>1803</v>
      </c>
      <c r="G915">
        <v>11268</v>
      </c>
    </row>
    <row r="916" spans="1:7" x14ac:dyDescent="0.2">
      <c r="A916" t="s">
        <v>4333</v>
      </c>
      <c r="B916">
        <v>0</v>
      </c>
      <c r="C916">
        <v>0</v>
      </c>
      <c r="D916">
        <v>0</v>
      </c>
      <c r="E916">
        <v>0</v>
      </c>
      <c r="F916">
        <v>0</v>
      </c>
      <c r="G916">
        <v>0</v>
      </c>
    </row>
    <row r="917" spans="1:7" x14ac:dyDescent="0.2">
      <c r="A917" t="s">
        <v>4334</v>
      </c>
      <c r="B917">
        <v>0</v>
      </c>
      <c r="C917">
        <v>0</v>
      </c>
      <c r="D917">
        <v>0</v>
      </c>
      <c r="E917">
        <v>0</v>
      </c>
      <c r="F917">
        <v>4177</v>
      </c>
      <c r="G917">
        <v>4177</v>
      </c>
    </row>
    <row r="918" spans="1:7" x14ac:dyDescent="0.2">
      <c r="A918" t="s">
        <v>4335</v>
      </c>
      <c r="B918">
        <v>0</v>
      </c>
      <c r="C918">
        <v>0</v>
      </c>
      <c r="D918">
        <v>0</v>
      </c>
      <c r="E918">
        <v>1464</v>
      </c>
      <c r="F918">
        <v>3153</v>
      </c>
      <c r="G918">
        <v>4617</v>
      </c>
    </row>
    <row r="919" spans="1:7" x14ac:dyDescent="0.2">
      <c r="A919" t="s">
        <v>4336</v>
      </c>
      <c r="B919">
        <v>0</v>
      </c>
      <c r="C919">
        <v>0</v>
      </c>
      <c r="D919">
        <v>0</v>
      </c>
      <c r="E919">
        <v>0</v>
      </c>
      <c r="F919">
        <v>0</v>
      </c>
      <c r="G919">
        <v>0</v>
      </c>
    </row>
    <row r="920" spans="1:7" x14ac:dyDescent="0.2">
      <c r="A920" t="s">
        <v>4337</v>
      </c>
      <c r="B920">
        <v>0</v>
      </c>
      <c r="C920">
        <v>0</v>
      </c>
      <c r="D920">
        <v>0</v>
      </c>
      <c r="E920">
        <v>0</v>
      </c>
      <c r="F920">
        <v>568</v>
      </c>
      <c r="G920">
        <v>568</v>
      </c>
    </row>
    <row r="921" spans="1:7" x14ac:dyDescent="0.2">
      <c r="A921" t="s">
        <v>4338</v>
      </c>
      <c r="B921">
        <v>0</v>
      </c>
      <c r="C921">
        <v>0</v>
      </c>
      <c r="D921">
        <v>0</v>
      </c>
      <c r="E921">
        <v>261</v>
      </c>
      <c r="F921">
        <v>1579</v>
      </c>
      <c r="G921">
        <v>1840</v>
      </c>
    </row>
    <row r="922" spans="1:7" x14ac:dyDescent="0.2">
      <c r="A922" t="s">
        <v>4339</v>
      </c>
      <c r="B922">
        <v>0</v>
      </c>
      <c r="C922">
        <v>0</v>
      </c>
      <c r="D922">
        <v>0</v>
      </c>
      <c r="E922">
        <v>0</v>
      </c>
      <c r="F922">
        <v>0</v>
      </c>
      <c r="G922">
        <v>0</v>
      </c>
    </row>
    <row r="923" spans="1:7" x14ac:dyDescent="0.2">
      <c r="A923" t="s">
        <v>4340</v>
      </c>
      <c r="B923">
        <v>0</v>
      </c>
      <c r="C923">
        <v>0</v>
      </c>
      <c r="D923">
        <v>0</v>
      </c>
      <c r="E923">
        <v>0</v>
      </c>
      <c r="F923">
        <v>0</v>
      </c>
      <c r="G923">
        <v>0</v>
      </c>
    </row>
    <row r="924" spans="1:7" x14ac:dyDescent="0.2">
      <c r="A924" t="s">
        <v>4341</v>
      </c>
      <c r="B924">
        <v>0</v>
      </c>
      <c r="C924">
        <v>0</v>
      </c>
      <c r="D924">
        <v>0</v>
      </c>
      <c r="E924">
        <v>0</v>
      </c>
      <c r="F924">
        <v>53</v>
      </c>
      <c r="G924">
        <v>53</v>
      </c>
    </row>
    <row r="925" spans="1:7" x14ac:dyDescent="0.2">
      <c r="A925" t="s">
        <v>4342</v>
      </c>
      <c r="B925">
        <v>0</v>
      </c>
      <c r="C925">
        <v>0</v>
      </c>
      <c r="D925">
        <v>0</v>
      </c>
      <c r="E925">
        <v>0</v>
      </c>
      <c r="F925">
        <v>0</v>
      </c>
      <c r="G925">
        <v>0</v>
      </c>
    </row>
    <row r="926" spans="1:7" x14ac:dyDescent="0.2">
      <c r="A926" t="s">
        <v>4343</v>
      </c>
      <c r="B926">
        <v>0</v>
      </c>
      <c r="C926">
        <v>0</v>
      </c>
      <c r="D926">
        <v>0</v>
      </c>
      <c r="E926">
        <v>0</v>
      </c>
      <c r="F926">
        <v>0</v>
      </c>
      <c r="G926">
        <v>0</v>
      </c>
    </row>
    <row r="927" spans="1:7" x14ac:dyDescent="0.2">
      <c r="A927" t="s">
        <v>1728</v>
      </c>
      <c r="B927">
        <v>0</v>
      </c>
      <c r="C927">
        <v>0</v>
      </c>
      <c r="D927">
        <v>0</v>
      </c>
      <c r="E927">
        <v>0</v>
      </c>
      <c r="F927">
        <v>0</v>
      </c>
      <c r="G927">
        <v>0</v>
      </c>
    </row>
    <row r="928" spans="1:7" x14ac:dyDescent="0.2">
      <c r="A928" t="s">
        <v>1730</v>
      </c>
      <c r="B928">
        <v>0</v>
      </c>
      <c r="C928">
        <v>35</v>
      </c>
      <c r="D928">
        <v>367</v>
      </c>
      <c r="E928">
        <v>213</v>
      </c>
      <c r="F928">
        <v>2269</v>
      </c>
      <c r="G928">
        <v>2885</v>
      </c>
    </row>
    <row r="929" spans="1:17" x14ac:dyDescent="0.2">
      <c r="A929" t="s">
        <v>1733</v>
      </c>
      <c r="B929">
        <v>0</v>
      </c>
      <c r="C929">
        <v>0</v>
      </c>
      <c r="D929">
        <v>0</v>
      </c>
      <c r="E929">
        <v>353</v>
      </c>
      <c r="F929">
        <v>1901</v>
      </c>
      <c r="G929">
        <v>2254</v>
      </c>
    </row>
    <row r="930" spans="1:17" x14ac:dyDescent="0.2">
      <c r="A930" t="s">
        <v>1738</v>
      </c>
      <c r="B930">
        <v>0</v>
      </c>
      <c r="C930">
        <v>0</v>
      </c>
      <c r="D930">
        <v>0</v>
      </c>
      <c r="E930">
        <v>424</v>
      </c>
      <c r="F930">
        <v>381</v>
      </c>
      <c r="G930">
        <v>805</v>
      </c>
    </row>
    <row r="931" spans="1:17" x14ac:dyDescent="0.2">
      <c r="A931" t="s">
        <v>1744</v>
      </c>
      <c r="B931">
        <v>0</v>
      </c>
      <c r="C931">
        <v>0</v>
      </c>
      <c r="D931">
        <v>0</v>
      </c>
      <c r="E931">
        <v>0</v>
      </c>
      <c r="F931">
        <v>0</v>
      </c>
      <c r="G931">
        <v>0</v>
      </c>
    </row>
    <row r="932" spans="1:17" x14ac:dyDescent="0.2">
      <c r="A932" t="s">
        <v>1747</v>
      </c>
      <c r="B932">
        <v>0</v>
      </c>
      <c r="C932">
        <v>0</v>
      </c>
      <c r="D932">
        <v>0</v>
      </c>
      <c r="E932">
        <v>0</v>
      </c>
      <c r="F932">
        <v>0</v>
      </c>
      <c r="G932">
        <v>0</v>
      </c>
    </row>
    <row r="933" spans="1:17" x14ac:dyDescent="0.2">
      <c r="A933" t="s">
        <v>1751</v>
      </c>
      <c r="B933">
        <v>0</v>
      </c>
      <c r="C933">
        <v>0</v>
      </c>
      <c r="D933">
        <v>0</v>
      </c>
      <c r="E933">
        <v>0</v>
      </c>
      <c r="F933">
        <v>0</v>
      </c>
      <c r="G933">
        <v>0</v>
      </c>
    </row>
    <row r="934" spans="1:17" ht="13.5" thickBot="1" x14ac:dyDescent="0.25">
      <c r="A934" t="s">
        <v>1755</v>
      </c>
      <c r="B934">
        <v>0</v>
      </c>
      <c r="C934">
        <v>0</v>
      </c>
      <c r="D934">
        <v>221</v>
      </c>
      <c r="E934">
        <v>2345</v>
      </c>
      <c r="F934">
        <v>4998</v>
      </c>
      <c r="G934">
        <v>7564</v>
      </c>
      <c r="L934" s="180" t="s">
        <v>4378</v>
      </c>
    </row>
    <row r="935" spans="1:17" x14ac:dyDescent="0.2">
      <c r="A935" t="s">
        <v>1757</v>
      </c>
      <c r="B935">
        <v>0</v>
      </c>
      <c r="C935">
        <v>0</v>
      </c>
      <c r="D935">
        <v>426</v>
      </c>
      <c r="E935">
        <v>1591</v>
      </c>
      <c r="F935">
        <v>4818</v>
      </c>
      <c r="G935">
        <v>6836</v>
      </c>
      <c r="L935" s="2146">
        <v>5000</v>
      </c>
      <c r="M935" s="2155"/>
      <c r="N935" s="2155"/>
      <c r="O935" s="644">
        <v>5000</v>
      </c>
      <c r="P935" s="52"/>
      <c r="Q935" s="53"/>
    </row>
    <row r="936" spans="1:17" x14ac:dyDescent="0.2">
      <c r="A936" t="s">
        <v>1761</v>
      </c>
      <c r="B936">
        <v>0</v>
      </c>
      <c r="C936">
        <v>0</v>
      </c>
      <c r="D936">
        <v>0</v>
      </c>
      <c r="E936">
        <v>0</v>
      </c>
      <c r="F936">
        <v>0</v>
      </c>
      <c r="G936">
        <v>0</v>
      </c>
      <c r="L936" s="1621">
        <v>3000</v>
      </c>
      <c r="O936" s="78">
        <v>2500</v>
      </c>
      <c r="Q936" s="58"/>
    </row>
    <row r="937" spans="1:17" x14ac:dyDescent="0.2">
      <c r="A937" t="s">
        <v>1764</v>
      </c>
      <c r="B937">
        <v>0</v>
      </c>
      <c r="C937">
        <v>0</v>
      </c>
      <c r="D937">
        <v>0</v>
      </c>
      <c r="E937">
        <v>0</v>
      </c>
      <c r="F937">
        <v>0</v>
      </c>
      <c r="G937">
        <v>0</v>
      </c>
      <c r="L937" s="46">
        <f>L935-L936</f>
        <v>2000</v>
      </c>
      <c r="O937" s="61">
        <f>O935-O936</f>
        <v>2500</v>
      </c>
      <c r="Q937" s="58"/>
    </row>
    <row r="938" spans="1:17" x14ac:dyDescent="0.2">
      <c r="A938" t="s">
        <v>1770</v>
      </c>
      <c r="B938">
        <v>27</v>
      </c>
      <c r="C938">
        <v>521</v>
      </c>
      <c r="D938">
        <v>3514</v>
      </c>
      <c r="E938">
        <v>18970</v>
      </c>
      <c r="F938">
        <v>0</v>
      </c>
      <c r="G938">
        <v>23032</v>
      </c>
      <c r="L938" s="1621">
        <v>321</v>
      </c>
      <c r="O938" s="78">
        <v>321</v>
      </c>
      <c r="Q938" s="58"/>
    </row>
    <row r="939" spans="1:17" x14ac:dyDescent="0.2">
      <c r="A939" t="s">
        <v>1772</v>
      </c>
      <c r="B939">
        <v>0</v>
      </c>
      <c r="C939">
        <v>53</v>
      </c>
      <c r="D939">
        <v>866</v>
      </c>
      <c r="E939">
        <v>7454</v>
      </c>
      <c r="F939">
        <v>0</v>
      </c>
      <c r="G939">
        <v>8373</v>
      </c>
      <c r="L939" s="46">
        <f>L937-L938</f>
        <v>1679</v>
      </c>
      <c r="M939" s="180" t="s">
        <v>4379</v>
      </c>
      <c r="O939" s="61">
        <f>O937-O938</f>
        <v>2179</v>
      </c>
      <c r="P939" s="180" t="s">
        <v>4380</v>
      </c>
      <c r="Q939" s="58"/>
    </row>
    <row r="940" spans="1:17" x14ac:dyDescent="0.2">
      <c r="A940" t="s">
        <v>1774</v>
      </c>
      <c r="B940">
        <v>0</v>
      </c>
      <c r="C940">
        <v>106</v>
      </c>
      <c r="D940">
        <v>590</v>
      </c>
      <c r="E940">
        <v>5024</v>
      </c>
      <c r="F940">
        <v>0</v>
      </c>
      <c r="G940">
        <v>5720</v>
      </c>
      <c r="L940" s="46"/>
      <c r="O940" s="61"/>
      <c r="Q940" s="58"/>
    </row>
    <row r="941" spans="1:17" x14ac:dyDescent="0.2">
      <c r="A941" t="s">
        <v>1777</v>
      </c>
      <c r="B941">
        <v>0</v>
      </c>
      <c r="C941">
        <v>0</v>
      </c>
      <c r="D941">
        <v>0</v>
      </c>
      <c r="E941">
        <v>0</v>
      </c>
      <c r="F941">
        <v>614</v>
      </c>
      <c r="G941">
        <v>614</v>
      </c>
      <c r="L941" s="46">
        <v>0.26</v>
      </c>
      <c r="O941" s="61">
        <v>0.26</v>
      </c>
      <c r="Q941" s="58"/>
    </row>
    <row r="942" spans="1:17" ht="13.5" thickBot="1" x14ac:dyDescent="0.25">
      <c r="A942" t="s">
        <v>1782</v>
      </c>
      <c r="B942">
        <v>0</v>
      </c>
      <c r="C942">
        <v>0</v>
      </c>
      <c r="D942">
        <v>0</v>
      </c>
      <c r="E942">
        <v>0</v>
      </c>
      <c r="F942">
        <v>0</v>
      </c>
      <c r="G942">
        <v>0</v>
      </c>
      <c r="L942" s="1355">
        <f>L939*L941</f>
        <v>436.54</v>
      </c>
      <c r="M942" s="1611" t="s">
        <v>4381</v>
      </c>
      <c r="N942" s="1594">
        <f>L936+L942</f>
        <v>3436.54</v>
      </c>
      <c r="O942" s="62">
        <f>O939*O941</f>
        <v>566.54</v>
      </c>
      <c r="P942" s="645" t="s">
        <v>4381</v>
      </c>
      <c r="Q942" s="75">
        <f>O936+O942</f>
        <v>3066.54</v>
      </c>
    </row>
    <row r="943" spans="1:17" x14ac:dyDescent="0.2">
      <c r="A943" t="s">
        <v>1274</v>
      </c>
      <c r="B943">
        <v>0</v>
      </c>
      <c r="C943">
        <v>0</v>
      </c>
      <c r="D943">
        <v>0</v>
      </c>
      <c r="E943">
        <v>2872</v>
      </c>
      <c r="F943">
        <v>40</v>
      </c>
      <c r="G943">
        <v>2911</v>
      </c>
    </row>
    <row r="944" spans="1:17" x14ac:dyDescent="0.2">
      <c r="A944" t="s">
        <v>1277</v>
      </c>
      <c r="B944">
        <v>0</v>
      </c>
      <c r="C944">
        <v>0</v>
      </c>
      <c r="D944">
        <v>0</v>
      </c>
      <c r="E944">
        <v>23698</v>
      </c>
      <c r="F944">
        <v>1167</v>
      </c>
      <c r="G944">
        <v>24865</v>
      </c>
    </row>
    <row r="945" spans="1:7" x14ac:dyDescent="0.2">
      <c r="A945" t="s">
        <v>1798</v>
      </c>
      <c r="B945">
        <v>0</v>
      </c>
      <c r="C945">
        <v>0</v>
      </c>
      <c r="D945">
        <v>0</v>
      </c>
      <c r="E945">
        <v>0</v>
      </c>
      <c r="F945">
        <v>24393</v>
      </c>
      <c r="G945">
        <v>24393</v>
      </c>
    </row>
    <row r="946" spans="1:7" x14ac:dyDescent="0.2">
      <c r="A946" t="s">
        <v>1803</v>
      </c>
      <c r="B946">
        <v>0</v>
      </c>
      <c r="C946">
        <v>0</v>
      </c>
      <c r="D946">
        <v>0</v>
      </c>
      <c r="E946">
        <v>0</v>
      </c>
      <c r="F946">
        <v>1952</v>
      </c>
      <c r="G946">
        <v>1952</v>
      </c>
    </row>
    <row r="947" spans="1:7" x14ac:dyDescent="0.2">
      <c r="A947" t="s">
        <v>1808</v>
      </c>
      <c r="B947">
        <v>0</v>
      </c>
      <c r="C947">
        <v>0</v>
      </c>
      <c r="D947">
        <v>0</v>
      </c>
      <c r="E947">
        <v>0</v>
      </c>
      <c r="F947">
        <v>425</v>
      </c>
      <c r="G947">
        <v>425</v>
      </c>
    </row>
    <row r="948" spans="1:7" x14ac:dyDescent="0.2">
      <c r="A948" t="s">
        <v>1813</v>
      </c>
      <c r="B948">
        <v>0</v>
      </c>
      <c r="C948">
        <v>0</v>
      </c>
      <c r="D948">
        <v>0</v>
      </c>
      <c r="E948">
        <v>0</v>
      </c>
      <c r="F948">
        <v>0</v>
      </c>
      <c r="G948">
        <v>0</v>
      </c>
    </row>
    <row r="949" spans="1:7" x14ac:dyDescent="0.2">
      <c r="A949" t="s">
        <v>1819</v>
      </c>
      <c r="B949">
        <v>0</v>
      </c>
      <c r="C949">
        <v>0</v>
      </c>
      <c r="D949">
        <v>0</v>
      </c>
      <c r="E949">
        <v>442</v>
      </c>
      <c r="F949">
        <v>205</v>
      </c>
      <c r="G949">
        <v>647</v>
      </c>
    </row>
    <row r="950" spans="1:7" x14ac:dyDescent="0.2">
      <c r="A950" t="s">
        <v>1826</v>
      </c>
      <c r="B950">
        <v>0</v>
      </c>
      <c r="C950">
        <v>0</v>
      </c>
      <c r="D950">
        <v>0</v>
      </c>
      <c r="E950">
        <v>0</v>
      </c>
      <c r="F950">
        <v>15565</v>
      </c>
      <c r="G950">
        <v>15565</v>
      </c>
    </row>
    <row r="951" spans="1:7" x14ac:dyDescent="0.2">
      <c r="A951" t="s">
        <v>1830</v>
      </c>
      <c r="B951">
        <v>0</v>
      </c>
      <c r="C951">
        <v>0</v>
      </c>
      <c r="D951">
        <v>0</v>
      </c>
      <c r="E951">
        <v>0</v>
      </c>
      <c r="F951">
        <v>1995</v>
      </c>
      <c r="G951">
        <v>1995</v>
      </c>
    </row>
    <row r="952" spans="1:7" x14ac:dyDescent="0.2">
      <c r="A952" t="s">
        <v>1836</v>
      </c>
      <c r="B952">
        <v>0</v>
      </c>
      <c r="C952">
        <v>0</v>
      </c>
      <c r="D952">
        <v>0</v>
      </c>
      <c r="E952">
        <v>0</v>
      </c>
      <c r="F952">
        <v>0</v>
      </c>
      <c r="G952">
        <v>0</v>
      </c>
    </row>
    <row r="953" spans="1:7" x14ac:dyDescent="0.2">
      <c r="A953" t="s">
        <v>1841</v>
      </c>
      <c r="B953">
        <v>0</v>
      </c>
      <c r="C953">
        <v>0</v>
      </c>
      <c r="D953">
        <v>303</v>
      </c>
      <c r="E953">
        <v>2644</v>
      </c>
      <c r="F953">
        <v>68</v>
      </c>
      <c r="G953">
        <v>3016</v>
      </c>
    </row>
    <row r="954" spans="1:7" x14ac:dyDescent="0.2">
      <c r="A954" t="s">
        <v>1842</v>
      </c>
      <c r="B954">
        <v>0</v>
      </c>
      <c r="C954">
        <v>1573</v>
      </c>
      <c r="D954">
        <v>3494</v>
      </c>
      <c r="E954">
        <v>7755</v>
      </c>
      <c r="F954">
        <v>0</v>
      </c>
      <c r="G954">
        <v>12821</v>
      </c>
    </row>
    <row r="955" spans="1:7" x14ac:dyDescent="0.2">
      <c r="A955" t="s">
        <v>1843</v>
      </c>
      <c r="B955">
        <v>0</v>
      </c>
      <c r="C955">
        <v>0</v>
      </c>
      <c r="D955">
        <v>0</v>
      </c>
      <c r="E955">
        <v>0</v>
      </c>
      <c r="F955">
        <v>5999</v>
      </c>
      <c r="G955">
        <v>5999</v>
      </c>
    </row>
    <row r="956" spans="1:7" x14ac:dyDescent="0.2">
      <c r="A956" t="s">
        <v>1846</v>
      </c>
      <c r="B956">
        <v>0</v>
      </c>
      <c r="C956">
        <v>0</v>
      </c>
      <c r="D956">
        <v>0</v>
      </c>
      <c r="E956">
        <v>0</v>
      </c>
      <c r="F956">
        <v>0</v>
      </c>
      <c r="G956">
        <v>0</v>
      </c>
    </row>
    <row r="957" spans="1:7" x14ac:dyDescent="0.2">
      <c r="A957" t="s">
        <v>1851</v>
      </c>
      <c r="B957">
        <v>0</v>
      </c>
      <c r="C957">
        <v>0</v>
      </c>
      <c r="D957">
        <v>0</v>
      </c>
      <c r="E957">
        <v>4732</v>
      </c>
      <c r="F957">
        <v>1016</v>
      </c>
      <c r="G957">
        <v>5748</v>
      </c>
    </row>
    <row r="958" spans="1:7" x14ac:dyDescent="0.2">
      <c r="A958" t="s">
        <v>1857</v>
      </c>
      <c r="B958">
        <v>0</v>
      </c>
      <c r="C958">
        <v>0</v>
      </c>
      <c r="D958">
        <v>0</v>
      </c>
      <c r="E958">
        <v>21</v>
      </c>
      <c r="F958">
        <v>0</v>
      </c>
      <c r="G958">
        <v>21</v>
      </c>
    </row>
    <row r="959" spans="1:7" x14ac:dyDescent="0.2">
      <c r="A959" t="s">
        <v>1862</v>
      </c>
      <c r="B959">
        <v>0</v>
      </c>
      <c r="C959">
        <v>0</v>
      </c>
      <c r="D959">
        <v>0</v>
      </c>
      <c r="E959">
        <v>15726</v>
      </c>
      <c r="F959">
        <v>8005</v>
      </c>
      <c r="G959">
        <v>23731</v>
      </c>
    </row>
    <row r="960" spans="1:7" x14ac:dyDescent="0.2">
      <c r="A960" t="s">
        <v>1867</v>
      </c>
      <c r="B960">
        <v>0</v>
      </c>
      <c r="C960">
        <v>0</v>
      </c>
      <c r="D960">
        <v>0</v>
      </c>
      <c r="E960">
        <v>0</v>
      </c>
      <c r="F960">
        <v>206</v>
      </c>
      <c r="G960">
        <v>206</v>
      </c>
    </row>
    <row r="961" spans="1:7" x14ac:dyDescent="0.2">
      <c r="A961" t="s">
        <v>1870</v>
      </c>
      <c r="B961">
        <v>0</v>
      </c>
      <c r="C961">
        <v>0</v>
      </c>
      <c r="D961">
        <v>0</v>
      </c>
      <c r="E961">
        <v>0</v>
      </c>
      <c r="F961">
        <v>0</v>
      </c>
      <c r="G961">
        <v>0</v>
      </c>
    </row>
    <row r="962" spans="1:7" x14ac:dyDescent="0.2">
      <c r="A962" t="s">
        <v>1874</v>
      </c>
      <c r="B962">
        <v>0</v>
      </c>
      <c r="C962">
        <v>0</v>
      </c>
      <c r="D962">
        <v>305</v>
      </c>
      <c r="E962">
        <v>4376</v>
      </c>
      <c r="F962">
        <v>0</v>
      </c>
      <c r="G962">
        <v>4681</v>
      </c>
    </row>
    <row r="963" spans="1:7" x14ac:dyDescent="0.2">
      <c r="A963" t="s">
        <v>1876</v>
      </c>
      <c r="B963">
        <v>0</v>
      </c>
      <c r="C963">
        <v>0</v>
      </c>
      <c r="D963">
        <v>0</v>
      </c>
      <c r="E963">
        <v>0</v>
      </c>
      <c r="F963">
        <v>663</v>
      </c>
      <c r="G963">
        <v>663</v>
      </c>
    </row>
    <row r="964" spans="1:7" x14ac:dyDescent="0.2">
      <c r="A964" t="s">
        <v>1881</v>
      </c>
      <c r="B964">
        <v>0</v>
      </c>
      <c r="C964">
        <v>0</v>
      </c>
      <c r="D964">
        <v>0</v>
      </c>
      <c r="E964">
        <v>0</v>
      </c>
      <c r="F964">
        <v>1948</v>
      </c>
      <c r="G964">
        <v>1948</v>
      </c>
    </row>
    <row r="965" spans="1:7" x14ac:dyDescent="0.2">
      <c r="A965" t="s">
        <v>1885</v>
      </c>
      <c r="B965">
        <v>3423</v>
      </c>
      <c r="C965">
        <v>3841</v>
      </c>
      <c r="D965">
        <v>5606</v>
      </c>
      <c r="E965">
        <v>12429</v>
      </c>
      <c r="F965">
        <v>595</v>
      </c>
      <c r="G965">
        <v>25894</v>
      </c>
    </row>
    <row r="966" spans="1:7" x14ac:dyDescent="0.2">
      <c r="A966" t="s">
        <v>1887</v>
      </c>
      <c r="B966">
        <v>0</v>
      </c>
      <c r="C966">
        <v>0</v>
      </c>
      <c r="D966">
        <v>0</v>
      </c>
      <c r="E966">
        <v>38</v>
      </c>
      <c r="F966">
        <v>295</v>
      </c>
      <c r="G966">
        <v>333</v>
      </c>
    </row>
    <row r="967" spans="1:7" x14ac:dyDescent="0.2">
      <c r="A967" t="s">
        <v>1893</v>
      </c>
      <c r="B967">
        <v>0</v>
      </c>
      <c r="C967">
        <v>0</v>
      </c>
      <c r="D967">
        <v>0</v>
      </c>
      <c r="E967">
        <v>2078</v>
      </c>
      <c r="F967">
        <v>579</v>
      </c>
      <c r="G967">
        <v>2657</v>
      </c>
    </row>
    <row r="968" spans="1:7" x14ac:dyDescent="0.2">
      <c r="A968" t="s">
        <v>1899</v>
      </c>
      <c r="B968">
        <v>0</v>
      </c>
      <c r="C968">
        <v>0</v>
      </c>
      <c r="D968">
        <v>0</v>
      </c>
      <c r="E968">
        <v>0</v>
      </c>
      <c r="F968">
        <v>0</v>
      </c>
      <c r="G968">
        <v>0</v>
      </c>
    </row>
    <row r="969" spans="1:7" x14ac:dyDescent="0.2">
      <c r="A969" t="s">
        <v>1906</v>
      </c>
      <c r="B969">
        <v>0</v>
      </c>
      <c r="C969">
        <v>0</v>
      </c>
      <c r="D969">
        <v>0</v>
      </c>
      <c r="E969">
        <v>2578</v>
      </c>
      <c r="F969">
        <v>31</v>
      </c>
      <c r="G969">
        <v>2608</v>
      </c>
    </row>
    <row r="970" spans="1:7" x14ac:dyDescent="0.2">
      <c r="A970" t="s">
        <v>1911</v>
      </c>
      <c r="B970">
        <v>0</v>
      </c>
      <c r="C970">
        <v>0</v>
      </c>
      <c r="D970">
        <v>0</v>
      </c>
      <c r="E970">
        <v>0</v>
      </c>
      <c r="F970">
        <v>0</v>
      </c>
      <c r="G970">
        <v>0</v>
      </c>
    </row>
    <row r="971" spans="1:7" x14ac:dyDescent="0.2">
      <c r="A971" t="s">
        <v>1917</v>
      </c>
      <c r="B971">
        <v>0</v>
      </c>
      <c r="C971">
        <v>0</v>
      </c>
      <c r="D971">
        <v>0</v>
      </c>
      <c r="E971">
        <v>1512</v>
      </c>
      <c r="F971">
        <v>2294</v>
      </c>
      <c r="G971">
        <v>3806</v>
      </c>
    </row>
    <row r="972" spans="1:7" x14ac:dyDescent="0.2">
      <c r="A972" t="s">
        <v>1922</v>
      </c>
      <c r="B972">
        <v>0</v>
      </c>
      <c r="C972">
        <v>0</v>
      </c>
      <c r="D972">
        <v>0</v>
      </c>
      <c r="E972">
        <v>2406</v>
      </c>
      <c r="F972">
        <v>1060</v>
      </c>
      <c r="G972">
        <v>3465</v>
      </c>
    </row>
    <row r="973" spans="1:7" x14ac:dyDescent="0.2">
      <c r="A973" t="s">
        <v>1928</v>
      </c>
      <c r="B973">
        <v>0</v>
      </c>
      <c r="C973">
        <v>0</v>
      </c>
      <c r="D973">
        <v>0</v>
      </c>
      <c r="E973">
        <v>0</v>
      </c>
      <c r="F973">
        <v>21330</v>
      </c>
      <c r="G973">
        <v>21330</v>
      </c>
    </row>
    <row r="974" spans="1:7" x14ac:dyDescent="0.2">
      <c r="A974" t="s">
        <v>1932</v>
      </c>
      <c r="B974">
        <v>0</v>
      </c>
      <c r="C974">
        <v>0</v>
      </c>
      <c r="D974">
        <v>0</v>
      </c>
      <c r="E974">
        <v>0</v>
      </c>
      <c r="F974">
        <v>2260</v>
      </c>
      <c r="G974">
        <v>2260</v>
      </c>
    </row>
    <row r="975" spans="1:7" x14ac:dyDescent="0.2">
      <c r="A975" t="s">
        <v>1938</v>
      </c>
      <c r="B975">
        <v>0</v>
      </c>
      <c r="C975">
        <v>0</v>
      </c>
      <c r="D975">
        <v>0</v>
      </c>
      <c r="E975">
        <v>0</v>
      </c>
      <c r="F975">
        <v>477</v>
      </c>
      <c r="G975">
        <v>477</v>
      </c>
    </row>
    <row r="976" spans="1:7" x14ac:dyDescent="0.2">
      <c r="A976" t="s">
        <v>1944</v>
      </c>
      <c r="B976">
        <v>7</v>
      </c>
      <c r="C976">
        <v>354</v>
      </c>
      <c r="D976">
        <v>1221</v>
      </c>
      <c r="E976">
        <v>3108</v>
      </c>
      <c r="F976">
        <v>102</v>
      </c>
      <c r="G976">
        <v>4792</v>
      </c>
    </row>
    <row r="977" spans="1:7" x14ac:dyDescent="0.2">
      <c r="A977" t="s">
        <v>1947</v>
      </c>
      <c r="B977">
        <v>0</v>
      </c>
      <c r="C977">
        <v>0</v>
      </c>
      <c r="D977">
        <v>0</v>
      </c>
      <c r="E977">
        <v>0</v>
      </c>
      <c r="F977">
        <v>90</v>
      </c>
      <c r="G977">
        <v>90</v>
      </c>
    </row>
    <row r="978" spans="1:7" x14ac:dyDescent="0.2">
      <c r="A978" t="s">
        <v>1953</v>
      </c>
      <c r="B978">
        <v>0</v>
      </c>
      <c r="C978">
        <v>0</v>
      </c>
      <c r="D978">
        <v>0</v>
      </c>
      <c r="E978">
        <v>63</v>
      </c>
      <c r="F978">
        <v>204</v>
      </c>
      <c r="G978">
        <v>267</v>
      </c>
    </row>
    <row r="979" spans="1:7" x14ac:dyDescent="0.2">
      <c r="A979" t="s">
        <v>1958</v>
      </c>
      <c r="B979">
        <v>0</v>
      </c>
      <c r="C979">
        <v>0</v>
      </c>
      <c r="D979">
        <v>0</v>
      </c>
      <c r="E979">
        <v>0</v>
      </c>
      <c r="F979">
        <v>0</v>
      </c>
      <c r="G979">
        <v>0</v>
      </c>
    </row>
    <row r="980" spans="1:7" x14ac:dyDescent="0.2">
      <c r="A980" t="s">
        <v>1964</v>
      </c>
      <c r="B980">
        <v>0</v>
      </c>
      <c r="C980">
        <v>0</v>
      </c>
      <c r="D980">
        <v>0</v>
      </c>
      <c r="E980">
        <v>17</v>
      </c>
      <c r="F980">
        <v>148</v>
      </c>
      <c r="G980">
        <v>165</v>
      </c>
    </row>
    <row r="981" spans="1:7" x14ac:dyDescent="0.2">
      <c r="A981" t="s">
        <v>1973</v>
      </c>
      <c r="B981">
        <v>0</v>
      </c>
      <c r="C981">
        <v>0</v>
      </c>
      <c r="D981">
        <v>0</v>
      </c>
      <c r="E981">
        <v>0</v>
      </c>
      <c r="F981">
        <v>5919</v>
      </c>
      <c r="G981">
        <v>5919</v>
      </c>
    </row>
    <row r="982" spans="1:7" x14ac:dyDescent="0.2">
      <c r="A982" t="s">
        <v>1978</v>
      </c>
      <c r="B982">
        <v>0</v>
      </c>
      <c r="C982">
        <v>0</v>
      </c>
      <c r="D982">
        <v>0</v>
      </c>
      <c r="E982">
        <v>0</v>
      </c>
      <c r="F982">
        <v>3832</v>
      </c>
      <c r="G982">
        <v>3832</v>
      </c>
    </row>
    <row r="983" spans="1:7" x14ac:dyDescent="0.2">
      <c r="A983" t="s">
        <v>1983</v>
      </c>
      <c r="B983">
        <v>410</v>
      </c>
      <c r="C983">
        <v>31</v>
      </c>
      <c r="D983">
        <v>71</v>
      </c>
      <c r="E983">
        <v>448</v>
      </c>
      <c r="F983">
        <v>99</v>
      </c>
      <c r="G983">
        <v>1058</v>
      </c>
    </row>
    <row r="984" spans="1:7" x14ac:dyDescent="0.2">
      <c r="A984" t="s">
        <v>1984</v>
      </c>
      <c r="B984">
        <v>0</v>
      </c>
      <c r="C984">
        <v>0</v>
      </c>
      <c r="D984">
        <v>0</v>
      </c>
      <c r="E984">
        <v>0</v>
      </c>
      <c r="F984">
        <v>0</v>
      </c>
      <c r="G984">
        <v>0</v>
      </c>
    </row>
    <row r="985" spans="1:7" x14ac:dyDescent="0.2">
      <c r="A985" t="s">
        <v>1990</v>
      </c>
      <c r="B985">
        <v>0</v>
      </c>
      <c r="C985">
        <v>0</v>
      </c>
      <c r="D985">
        <v>0</v>
      </c>
      <c r="E985">
        <v>85</v>
      </c>
      <c r="F985">
        <v>133</v>
      </c>
      <c r="G985">
        <v>218</v>
      </c>
    </row>
    <row r="986" spans="1:7" x14ac:dyDescent="0.2">
      <c r="A986" t="s">
        <v>1996</v>
      </c>
      <c r="B986">
        <v>0</v>
      </c>
      <c r="C986">
        <v>0</v>
      </c>
      <c r="D986">
        <v>0</v>
      </c>
      <c r="E986">
        <v>0</v>
      </c>
      <c r="F986">
        <v>0</v>
      </c>
      <c r="G986">
        <v>0</v>
      </c>
    </row>
    <row r="987" spans="1:7" x14ac:dyDescent="0.2">
      <c r="A987" t="s">
        <v>1998</v>
      </c>
      <c r="B987">
        <v>0</v>
      </c>
      <c r="C987">
        <v>0</v>
      </c>
      <c r="D987">
        <v>0</v>
      </c>
      <c r="E987">
        <v>0</v>
      </c>
      <c r="F987">
        <v>0</v>
      </c>
      <c r="G987">
        <v>0</v>
      </c>
    </row>
    <row r="988" spans="1:7" x14ac:dyDescent="0.2">
      <c r="A988" t="s">
        <v>1999</v>
      </c>
      <c r="B988">
        <v>0</v>
      </c>
      <c r="C988">
        <v>0</v>
      </c>
      <c r="D988">
        <v>0</v>
      </c>
      <c r="E988">
        <v>0</v>
      </c>
      <c r="F988">
        <v>562</v>
      </c>
      <c r="G988">
        <v>562</v>
      </c>
    </row>
    <row r="989" spans="1:7" x14ac:dyDescent="0.2">
      <c r="A989" t="s">
        <v>2004</v>
      </c>
      <c r="B989">
        <v>0</v>
      </c>
      <c r="C989">
        <v>0</v>
      </c>
      <c r="D989">
        <v>0</v>
      </c>
      <c r="E989">
        <v>484</v>
      </c>
      <c r="F989">
        <v>675</v>
      </c>
      <c r="G989">
        <v>1159</v>
      </c>
    </row>
    <row r="990" spans="1:7" x14ac:dyDescent="0.2">
      <c r="A990" t="s">
        <v>2009</v>
      </c>
      <c r="B990">
        <v>0</v>
      </c>
      <c r="C990">
        <v>0</v>
      </c>
      <c r="D990">
        <v>0</v>
      </c>
      <c r="E990">
        <v>0</v>
      </c>
      <c r="F990">
        <v>0</v>
      </c>
      <c r="G990">
        <v>0</v>
      </c>
    </row>
    <row r="991" spans="1:7" x14ac:dyDescent="0.2">
      <c r="A991" t="s">
        <v>2014</v>
      </c>
      <c r="B991">
        <v>0</v>
      </c>
      <c r="C991">
        <v>0</v>
      </c>
      <c r="D991">
        <v>0</v>
      </c>
      <c r="E991">
        <v>22138</v>
      </c>
      <c r="F991">
        <v>12393</v>
      </c>
      <c r="G991">
        <v>34532</v>
      </c>
    </row>
    <row r="992" spans="1:7" x14ac:dyDescent="0.2">
      <c r="A992" t="s">
        <v>2019</v>
      </c>
      <c r="B992">
        <v>0</v>
      </c>
      <c r="C992">
        <v>0</v>
      </c>
      <c r="D992">
        <v>0</v>
      </c>
      <c r="E992">
        <v>0</v>
      </c>
      <c r="F992">
        <v>0</v>
      </c>
      <c r="G992">
        <v>0</v>
      </c>
    </row>
    <row r="993" spans="1:7" x14ac:dyDescent="0.2">
      <c r="A993" t="s">
        <v>2023</v>
      </c>
      <c r="B993">
        <v>0</v>
      </c>
      <c r="C993">
        <v>0</v>
      </c>
      <c r="D993">
        <v>0</v>
      </c>
      <c r="E993">
        <v>0</v>
      </c>
      <c r="F993">
        <v>116</v>
      </c>
      <c r="G993">
        <v>116</v>
      </c>
    </row>
    <row r="994" spans="1:7" x14ac:dyDescent="0.2">
      <c r="A994" t="s">
        <v>2026</v>
      </c>
      <c r="B994">
        <v>0</v>
      </c>
      <c r="C994">
        <v>0</v>
      </c>
      <c r="D994">
        <v>0</v>
      </c>
      <c r="E994">
        <v>0</v>
      </c>
      <c r="F994">
        <v>2471</v>
      </c>
      <c r="G994">
        <v>2471</v>
      </c>
    </row>
    <row r="995" spans="1:7" x14ac:dyDescent="0.2">
      <c r="A995" t="s">
        <v>2030</v>
      </c>
      <c r="B995">
        <v>0</v>
      </c>
      <c r="C995">
        <v>0</v>
      </c>
      <c r="D995">
        <v>0</v>
      </c>
      <c r="E995">
        <v>0</v>
      </c>
      <c r="F995">
        <v>2</v>
      </c>
      <c r="G995">
        <v>2</v>
      </c>
    </row>
    <row r="996" spans="1:7" x14ac:dyDescent="0.2">
      <c r="A996" t="s">
        <v>2035</v>
      </c>
      <c r="B996">
        <v>0</v>
      </c>
      <c r="C996">
        <v>0</v>
      </c>
      <c r="D996">
        <v>0</v>
      </c>
      <c r="E996">
        <v>0</v>
      </c>
      <c r="F996">
        <v>0</v>
      </c>
      <c r="G996">
        <v>0</v>
      </c>
    </row>
    <row r="997" spans="1:7" x14ac:dyDescent="0.2">
      <c r="A997" t="s">
        <v>2040</v>
      </c>
      <c r="B997">
        <v>0</v>
      </c>
      <c r="C997">
        <v>0</v>
      </c>
      <c r="D997">
        <v>0</v>
      </c>
      <c r="E997">
        <v>0</v>
      </c>
      <c r="F997">
        <v>1934</v>
      </c>
      <c r="G997">
        <v>1934</v>
      </c>
    </row>
    <row r="998" spans="1:7" x14ac:dyDescent="0.2">
      <c r="A998" t="s">
        <v>2045</v>
      </c>
      <c r="B998">
        <v>0</v>
      </c>
      <c r="C998">
        <v>0</v>
      </c>
      <c r="D998">
        <v>0</v>
      </c>
      <c r="E998">
        <v>0</v>
      </c>
      <c r="F998">
        <v>5</v>
      </c>
      <c r="G998">
        <v>5</v>
      </c>
    </row>
    <row r="999" spans="1:7" x14ac:dyDescent="0.2">
      <c r="A999" t="s">
        <v>2049</v>
      </c>
      <c r="B999">
        <v>0</v>
      </c>
      <c r="C999">
        <v>0</v>
      </c>
      <c r="D999">
        <v>2080</v>
      </c>
      <c r="E999">
        <v>5079</v>
      </c>
      <c r="F999">
        <v>843</v>
      </c>
      <c r="G999">
        <v>8002</v>
      </c>
    </row>
    <row r="1000" spans="1:7" x14ac:dyDescent="0.2">
      <c r="A1000" t="s">
        <v>2051</v>
      </c>
      <c r="B1000">
        <v>0</v>
      </c>
      <c r="C1000">
        <v>0</v>
      </c>
      <c r="D1000">
        <v>0</v>
      </c>
      <c r="E1000">
        <v>0</v>
      </c>
      <c r="F1000">
        <v>1368</v>
      </c>
      <c r="G1000">
        <v>1368</v>
      </c>
    </row>
    <row r="1001" spans="1:7" x14ac:dyDescent="0.2">
      <c r="A1001" t="s">
        <v>2057</v>
      </c>
      <c r="B1001">
        <v>0</v>
      </c>
      <c r="C1001">
        <v>0</v>
      </c>
      <c r="D1001">
        <v>10</v>
      </c>
      <c r="E1001">
        <v>88</v>
      </c>
      <c r="F1001">
        <v>2264</v>
      </c>
      <c r="G1001">
        <v>2362</v>
      </c>
    </row>
    <row r="1002" spans="1:7" x14ac:dyDescent="0.2">
      <c r="A1002" t="s">
        <v>4344</v>
      </c>
      <c r="B1002">
        <v>0</v>
      </c>
      <c r="C1002">
        <v>0</v>
      </c>
      <c r="D1002">
        <v>0</v>
      </c>
      <c r="E1002">
        <v>1293</v>
      </c>
      <c r="F1002">
        <v>41</v>
      </c>
      <c r="G1002">
        <v>1334</v>
      </c>
    </row>
    <row r="1003" spans="1:7" x14ac:dyDescent="0.2">
      <c r="A1003" t="s">
        <v>4345</v>
      </c>
      <c r="B1003">
        <v>0</v>
      </c>
      <c r="C1003">
        <v>0</v>
      </c>
      <c r="D1003">
        <v>0</v>
      </c>
      <c r="E1003">
        <v>5042</v>
      </c>
      <c r="F1003">
        <v>1122</v>
      </c>
      <c r="G1003">
        <v>6164</v>
      </c>
    </row>
    <row r="1004" spans="1:7" x14ac:dyDescent="0.2">
      <c r="A1004" t="s">
        <v>2074</v>
      </c>
      <c r="B1004">
        <v>0</v>
      </c>
      <c r="C1004">
        <v>0</v>
      </c>
      <c r="D1004">
        <v>0</v>
      </c>
      <c r="E1004">
        <v>1284</v>
      </c>
      <c r="F1004">
        <v>0</v>
      </c>
      <c r="G1004">
        <v>1284</v>
      </c>
    </row>
    <row r="1005" spans="1:7" x14ac:dyDescent="0.2">
      <c r="A1005" t="s">
        <v>2079</v>
      </c>
      <c r="B1005">
        <v>0</v>
      </c>
      <c r="C1005">
        <v>0</v>
      </c>
      <c r="D1005">
        <v>0</v>
      </c>
      <c r="E1005">
        <v>3606</v>
      </c>
      <c r="F1005">
        <v>387</v>
      </c>
      <c r="G1005">
        <v>3993</v>
      </c>
    </row>
    <row r="1006" spans="1:7" x14ac:dyDescent="0.2">
      <c r="A1006" t="s">
        <v>2085</v>
      </c>
      <c r="B1006">
        <v>0</v>
      </c>
      <c r="C1006">
        <v>0</v>
      </c>
      <c r="D1006">
        <v>0</v>
      </c>
      <c r="E1006">
        <v>6</v>
      </c>
      <c r="F1006">
        <v>2</v>
      </c>
      <c r="G1006">
        <v>8</v>
      </c>
    </row>
    <row r="1007" spans="1:7" x14ac:dyDescent="0.2">
      <c r="A1007" t="s">
        <v>2091</v>
      </c>
      <c r="B1007">
        <v>0</v>
      </c>
      <c r="C1007">
        <v>0</v>
      </c>
      <c r="D1007">
        <v>0</v>
      </c>
      <c r="E1007">
        <v>1389</v>
      </c>
      <c r="F1007">
        <v>853</v>
      </c>
      <c r="G1007">
        <v>2242</v>
      </c>
    </row>
    <row r="1008" spans="1:7" x14ac:dyDescent="0.2">
      <c r="A1008" t="s">
        <v>2097</v>
      </c>
      <c r="B1008">
        <v>0</v>
      </c>
      <c r="C1008">
        <v>0</v>
      </c>
      <c r="D1008">
        <v>0</v>
      </c>
      <c r="E1008">
        <v>0</v>
      </c>
      <c r="F1008">
        <v>1494</v>
      </c>
      <c r="G1008">
        <v>1494</v>
      </c>
    </row>
    <row r="1009" spans="1:7" x14ac:dyDescent="0.2">
      <c r="A1009" t="s">
        <v>2101</v>
      </c>
      <c r="B1009">
        <v>0</v>
      </c>
      <c r="C1009">
        <v>0</v>
      </c>
      <c r="D1009">
        <v>0</v>
      </c>
      <c r="E1009">
        <v>0</v>
      </c>
      <c r="F1009">
        <v>1224</v>
      </c>
      <c r="G1009">
        <v>1224</v>
      </c>
    </row>
    <row r="1010" spans="1:7" x14ac:dyDescent="0.2">
      <c r="A1010" t="s">
        <v>2104</v>
      </c>
      <c r="B1010">
        <v>0</v>
      </c>
      <c r="C1010">
        <v>0</v>
      </c>
      <c r="D1010">
        <v>0</v>
      </c>
      <c r="E1010">
        <v>0</v>
      </c>
      <c r="F1010">
        <v>0</v>
      </c>
      <c r="G1010">
        <v>0</v>
      </c>
    </row>
    <row r="1011" spans="1:7" x14ac:dyDescent="0.2">
      <c r="A1011" t="s">
        <v>2107</v>
      </c>
      <c r="B1011">
        <v>0</v>
      </c>
      <c r="C1011">
        <v>0</v>
      </c>
      <c r="D1011">
        <v>0</v>
      </c>
      <c r="E1011">
        <v>0</v>
      </c>
      <c r="F1011">
        <v>2036</v>
      </c>
      <c r="G1011">
        <v>2036</v>
      </c>
    </row>
    <row r="1012" spans="1:7" x14ac:dyDescent="0.2">
      <c r="A1012" t="s">
        <v>2110</v>
      </c>
      <c r="B1012">
        <v>0</v>
      </c>
      <c r="C1012">
        <v>0</v>
      </c>
      <c r="D1012">
        <v>0</v>
      </c>
      <c r="E1012">
        <v>0</v>
      </c>
      <c r="F1012">
        <v>0</v>
      </c>
      <c r="G1012">
        <v>0</v>
      </c>
    </row>
    <row r="1013" spans="1:7" x14ac:dyDescent="0.2">
      <c r="A1013" t="s">
        <v>2113</v>
      </c>
      <c r="B1013">
        <v>0</v>
      </c>
      <c r="C1013">
        <v>0</v>
      </c>
      <c r="D1013">
        <v>0</v>
      </c>
      <c r="E1013">
        <v>0</v>
      </c>
      <c r="F1013">
        <v>0</v>
      </c>
      <c r="G1013">
        <v>0</v>
      </c>
    </row>
    <row r="1014" spans="1:7" x14ac:dyDescent="0.2">
      <c r="A1014" t="s">
        <v>4346</v>
      </c>
      <c r="B1014">
        <v>0</v>
      </c>
      <c r="C1014">
        <v>0</v>
      </c>
      <c r="D1014">
        <v>0</v>
      </c>
      <c r="E1014">
        <v>0</v>
      </c>
      <c r="F1014">
        <v>1084</v>
      </c>
      <c r="G1014">
        <v>1084</v>
      </c>
    </row>
    <row r="1015" spans="1:7" x14ac:dyDescent="0.2">
      <c r="A1015" t="s">
        <v>4347</v>
      </c>
      <c r="B1015">
        <v>0</v>
      </c>
      <c r="C1015">
        <v>0</v>
      </c>
      <c r="D1015">
        <v>0</v>
      </c>
      <c r="E1015">
        <v>0</v>
      </c>
      <c r="F1015">
        <v>1010</v>
      </c>
      <c r="G1015">
        <v>1010</v>
      </c>
    </row>
    <row r="1016" spans="1:7" x14ac:dyDescent="0.2">
      <c r="A1016" t="s">
        <v>4348</v>
      </c>
      <c r="B1016">
        <v>0</v>
      </c>
      <c r="C1016">
        <v>0</v>
      </c>
      <c r="D1016">
        <v>0</v>
      </c>
      <c r="E1016">
        <v>0</v>
      </c>
      <c r="F1016">
        <v>0</v>
      </c>
      <c r="G1016">
        <v>0</v>
      </c>
    </row>
    <row r="1017" spans="1:7" x14ac:dyDescent="0.2">
      <c r="A1017" t="s">
        <v>4349</v>
      </c>
      <c r="B1017">
        <v>0</v>
      </c>
      <c r="C1017">
        <v>0</v>
      </c>
      <c r="D1017">
        <v>0</v>
      </c>
      <c r="E1017">
        <v>0</v>
      </c>
      <c r="F1017">
        <v>0</v>
      </c>
      <c r="G1017">
        <v>0</v>
      </c>
    </row>
    <row r="1018" spans="1:7" x14ac:dyDescent="0.2">
      <c r="A1018" t="s">
        <v>4350</v>
      </c>
      <c r="B1018">
        <v>0</v>
      </c>
      <c r="C1018">
        <v>16236</v>
      </c>
      <c r="D1018">
        <v>66445</v>
      </c>
      <c r="E1018">
        <v>1574</v>
      </c>
      <c r="F1018">
        <v>0</v>
      </c>
      <c r="G1018">
        <v>84255</v>
      </c>
    </row>
    <row r="1019" spans="1:7" x14ac:dyDescent="0.2">
      <c r="A1019" t="s">
        <v>4351</v>
      </c>
      <c r="B1019">
        <v>0</v>
      </c>
      <c r="C1019">
        <v>0</v>
      </c>
      <c r="D1019">
        <v>0</v>
      </c>
      <c r="E1019">
        <v>2</v>
      </c>
      <c r="F1019">
        <v>0</v>
      </c>
      <c r="G1019">
        <v>2</v>
      </c>
    </row>
    <row r="1020" spans="1:7" x14ac:dyDescent="0.2">
      <c r="A1020" t="s">
        <v>4352</v>
      </c>
      <c r="B1020">
        <v>0</v>
      </c>
      <c r="C1020">
        <v>0</v>
      </c>
      <c r="D1020">
        <v>0</v>
      </c>
      <c r="E1020">
        <v>0</v>
      </c>
      <c r="F1020">
        <v>0</v>
      </c>
      <c r="G1020">
        <v>0</v>
      </c>
    </row>
    <row r="1021" spans="1:7" x14ac:dyDescent="0.2">
      <c r="A1021" t="s">
        <v>4353</v>
      </c>
      <c r="B1021">
        <v>46</v>
      </c>
      <c r="C1021">
        <v>4498</v>
      </c>
      <c r="D1021">
        <v>2160</v>
      </c>
      <c r="E1021">
        <v>149</v>
      </c>
      <c r="F1021">
        <v>0</v>
      </c>
      <c r="G1021">
        <v>6854</v>
      </c>
    </row>
    <row r="1022" spans="1:7" x14ac:dyDescent="0.2">
      <c r="A1022" t="s">
        <v>4354</v>
      </c>
      <c r="B1022">
        <v>210</v>
      </c>
      <c r="C1022">
        <v>2394</v>
      </c>
      <c r="D1022">
        <v>847</v>
      </c>
      <c r="E1022">
        <v>24</v>
      </c>
      <c r="F1022">
        <v>0</v>
      </c>
      <c r="G1022">
        <v>3475</v>
      </c>
    </row>
    <row r="1023" spans="1:7" x14ac:dyDescent="0.2">
      <c r="A1023" t="s">
        <v>4355</v>
      </c>
      <c r="B1023">
        <v>0</v>
      </c>
      <c r="C1023">
        <v>0</v>
      </c>
      <c r="D1023">
        <v>0</v>
      </c>
      <c r="E1023">
        <v>0</v>
      </c>
      <c r="F1023">
        <v>0</v>
      </c>
      <c r="G1023">
        <v>0</v>
      </c>
    </row>
    <row r="1024" spans="1:7" x14ac:dyDescent="0.2">
      <c r="A1024" t="s">
        <v>4356</v>
      </c>
      <c r="B1024">
        <v>0</v>
      </c>
      <c r="C1024">
        <v>0</v>
      </c>
      <c r="D1024">
        <v>0</v>
      </c>
      <c r="E1024">
        <v>0</v>
      </c>
      <c r="F1024">
        <v>0</v>
      </c>
      <c r="G1024">
        <v>0</v>
      </c>
    </row>
    <row r="1025" spans="1:7" x14ac:dyDescent="0.2">
      <c r="A1025" t="s">
        <v>4357</v>
      </c>
      <c r="B1025">
        <v>115</v>
      </c>
      <c r="C1025">
        <v>9164</v>
      </c>
      <c r="D1025">
        <v>6552</v>
      </c>
      <c r="E1025">
        <v>0</v>
      </c>
      <c r="F1025">
        <v>0</v>
      </c>
      <c r="G1025">
        <v>15831</v>
      </c>
    </row>
    <row r="1026" spans="1:7" x14ac:dyDescent="0.2">
      <c r="A1026" t="s">
        <v>4358</v>
      </c>
      <c r="B1026">
        <v>0</v>
      </c>
      <c r="C1026">
        <v>874</v>
      </c>
      <c r="D1026">
        <v>1574</v>
      </c>
      <c r="E1026">
        <v>0</v>
      </c>
      <c r="F1026">
        <v>0</v>
      </c>
      <c r="G1026">
        <v>2448</v>
      </c>
    </row>
    <row r="1027" spans="1:7" x14ac:dyDescent="0.2">
      <c r="A1027" t="s">
        <v>4359</v>
      </c>
      <c r="B1027">
        <v>0</v>
      </c>
      <c r="C1027">
        <v>0</v>
      </c>
      <c r="D1027">
        <v>0</v>
      </c>
      <c r="E1027">
        <v>0</v>
      </c>
      <c r="F1027">
        <v>0</v>
      </c>
      <c r="G1027">
        <v>0</v>
      </c>
    </row>
    <row r="1028" spans="1:7" x14ac:dyDescent="0.2">
      <c r="A1028" t="s">
        <v>4360</v>
      </c>
      <c r="B1028">
        <v>2</v>
      </c>
      <c r="C1028">
        <v>4</v>
      </c>
      <c r="D1028">
        <v>337</v>
      </c>
      <c r="E1028">
        <v>265</v>
      </c>
      <c r="F1028">
        <v>8</v>
      </c>
      <c r="G1028">
        <v>615</v>
      </c>
    </row>
    <row r="1029" spans="1:7" x14ac:dyDescent="0.2">
      <c r="A1029" t="s">
        <v>4361</v>
      </c>
      <c r="B1029">
        <v>0</v>
      </c>
      <c r="C1029">
        <v>0</v>
      </c>
      <c r="D1029">
        <v>3911</v>
      </c>
      <c r="E1029">
        <v>182</v>
      </c>
      <c r="F1029">
        <v>35</v>
      </c>
      <c r="G1029">
        <v>4128</v>
      </c>
    </row>
    <row r="1030" spans="1:7" x14ac:dyDescent="0.2">
      <c r="A1030" t="s">
        <v>4362</v>
      </c>
      <c r="B1030">
        <v>0</v>
      </c>
      <c r="C1030">
        <v>0</v>
      </c>
      <c r="D1030">
        <v>0</v>
      </c>
      <c r="E1030">
        <v>269</v>
      </c>
      <c r="F1030">
        <v>45</v>
      </c>
      <c r="G1030">
        <v>314</v>
      </c>
    </row>
    <row r="1031" spans="1:7" x14ac:dyDescent="0.2">
      <c r="A1031" t="s">
        <v>4363</v>
      </c>
      <c r="B1031">
        <v>0</v>
      </c>
      <c r="C1031">
        <v>0</v>
      </c>
      <c r="D1031">
        <v>0</v>
      </c>
      <c r="E1031">
        <v>0</v>
      </c>
      <c r="F1031">
        <v>0</v>
      </c>
      <c r="G1031">
        <v>0</v>
      </c>
    </row>
    <row r="1032" spans="1:7" x14ac:dyDescent="0.2">
      <c r="A1032" t="s">
        <v>4364</v>
      </c>
      <c r="B1032">
        <v>0</v>
      </c>
      <c r="C1032">
        <v>0</v>
      </c>
      <c r="D1032">
        <v>0</v>
      </c>
      <c r="E1032">
        <v>0</v>
      </c>
      <c r="F1032">
        <v>0</v>
      </c>
      <c r="G1032">
        <v>0</v>
      </c>
    </row>
    <row r="1033" spans="1:7" x14ac:dyDescent="0.2">
      <c r="A1033" t="s">
        <v>4365</v>
      </c>
      <c r="B1033">
        <v>73</v>
      </c>
      <c r="C1033">
        <v>2820</v>
      </c>
      <c r="D1033">
        <v>1992</v>
      </c>
      <c r="E1033">
        <v>0</v>
      </c>
      <c r="F1033">
        <v>0</v>
      </c>
      <c r="G1033">
        <v>4885</v>
      </c>
    </row>
    <row r="1034" spans="1:7" x14ac:dyDescent="0.2">
      <c r="A1034" t="s">
        <v>4366</v>
      </c>
      <c r="B1034">
        <v>2229</v>
      </c>
      <c r="C1034">
        <v>33643</v>
      </c>
      <c r="D1034">
        <v>17329</v>
      </c>
      <c r="E1034">
        <v>1884</v>
      </c>
      <c r="F1034">
        <v>0</v>
      </c>
      <c r="G1034">
        <v>55086</v>
      </c>
    </row>
    <row r="1035" spans="1:7" x14ac:dyDescent="0.2">
      <c r="A1035" t="s">
        <v>4367</v>
      </c>
      <c r="B1035">
        <v>81</v>
      </c>
      <c r="C1035">
        <v>1484</v>
      </c>
      <c r="D1035">
        <v>4020</v>
      </c>
      <c r="E1035">
        <v>317</v>
      </c>
      <c r="F1035">
        <v>0</v>
      </c>
      <c r="G1035">
        <v>5902</v>
      </c>
    </row>
    <row r="1036" spans="1:7" x14ac:dyDescent="0.2">
      <c r="A1036" t="s">
        <v>4368</v>
      </c>
      <c r="B1036">
        <v>718</v>
      </c>
      <c r="C1036">
        <v>2406</v>
      </c>
      <c r="D1036">
        <v>4409</v>
      </c>
      <c r="E1036">
        <v>7155</v>
      </c>
      <c r="F1036">
        <v>1483</v>
      </c>
      <c r="G1036">
        <v>16170</v>
      </c>
    </row>
    <row r="1037" spans="1:7" x14ac:dyDescent="0.2">
      <c r="A1037" t="s">
        <v>4369</v>
      </c>
      <c r="B1037">
        <v>840</v>
      </c>
      <c r="C1037">
        <v>4647</v>
      </c>
      <c r="D1037">
        <v>13722</v>
      </c>
      <c r="E1037">
        <v>3620</v>
      </c>
      <c r="F1037">
        <v>0</v>
      </c>
      <c r="G1037">
        <v>22829</v>
      </c>
    </row>
    <row r="1038" spans="1:7" x14ac:dyDescent="0.2">
      <c r="A1038" t="s">
        <v>4370</v>
      </c>
      <c r="B1038">
        <v>3354</v>
      </c>
      <c r="C1038">
        <v>3252</v>
      </c>
      <c r="D1038">
        <v>2937</v>
      </c>
      <c r="E1038">
        <v>361</v>
      </c>
      <c r="F1038">
        <v>0</v>
      </c>
      <c r="G1038">
        <v>9903</v>
      </c>
    </row>
    <row r="1039" spans="1:7" x14ac:dyDescent="0.2">
      <c r="A1039" t="s">
        <v>4371</v>
      </c>
      <c r="B1039">
        <v>647</v>
      </c>
      <c r="C1039">
        <v>872</v>
      </c>
      <c r="D1039">
        <v>1619</v>
      </c>
      <c r="E1039">
        <v>664</v>
      </c>
      <c r="F1039">
        <v>1</v>
      </c>
      <c r="G1039">
        <v>3804</v>
      </c>
    </row>
    <row r="1040" spans="1:7" x14ac:dyDescent="0.2">
      <c r="A1040" t="s">
        <v>4372</v>
      </c>
      <c r="B1040">
        <v>0</v>
      </c>
      <c r="C1040">
        <v>0</v>
      </c>
      <c r="D1040">
        <v>0</v>
      </c>
      <c r="E1040">
        <v>0</v>
      </c>
      <c r="F1040">
        <v>0</v>
      </c>
      <c r="G1040">
        <v>0</v>
      </c>
    </row>
    <row r="1041" spans="1:7" x14ac:dyDescent="0.2">
      <c r="A1041" t="s">
        <v>4373</v>
      </c>
      <c r="B1041">
        <v>3203</v>
      </c>
      <c r="C1041">
        <v>114950</v>
      </c>
      <c r="D1041">
        <v>97055</v>
      </c>
      <c r="E1041">
        <v>10336</v>
      </c>
      <c r="F1041">
        <v>0</v>
      </c>
      <c r="G1041">
        <v>225545</v>
      </c>
    </row>
    <row r="1042" spans="1:7" x14ac:dyDescent="0.2">
      <c r="A1042" t="s">
        <v>4374</v>
      </c>
      <c r="B1042">
        <v>1326</v>
      </c>
      <c r="C1042">
        <v>22782</v>
      </c>
      <c r="D1042">
        <v>46580</v>
      </c>
      <c r="E1042">
        <v>44161</v>
      </c>
      <c r="F1042">
        <v>0</v>
      </c>
      <c r="G1042">
        <v>114848</v>
      </c>
    </row>
    <row r="1043" spans="1:7" x14ac:dyDescent="0.2">
      <c r="A1043" t="s">
        <v>4375</v>
      </c>
      <c r="B1043">
        <v>9791</v>
      </c>
      <c r="C1043">
        <v>278642</v>
      </c>
      <c r="D1043">
        <v>378845</v>
      </c>
      <c r="E1043">
        <v>148036</v>
      </c>
      <c r="F1043">
        <v>0</v>
      </c>
      <c r="G1043">
        <v>815313</v>
      </c>
    </row>
    <row r="1044" spans="1:7" x14ac:dyDescent="0.2">
      <c r="A1044" t="s">
        <v>4376</v>
      </c>
      <c r="B1044">
        <v>512</v>
      </c>
      <c r="C1044">
        <v>44519</v>
      </c>
      <c r="D1044">
        <v>52476</v>
      </c>
      <c r="E1044">
        <v>12292</v>
      </c>
      <c r="F1044">
        <v>0</v>
      </c>
      <c r="G1044">
        <v>109799</v>
      </c>
    </row>
    <row r="1045" spans="1:7" x14ac:dyDescent="0.2">
      <c r="A1045" t="s">
        <v>4377</v>
      </c>
      <c r="B1045">
        <v>2602</v>
      </c>
      <c r="C1045">
        <v>81360</v>
      </c>
      <c r="D1045">
        <v>322131</v>
      </c>
      <c r="E1045">
        <v>384428</v>
      </c>
      <c r="F1045">
        <v>0</v>
      </c>
      <c r="G1045">
        <v>790521</v>
      </c>
    </row>
    <row r="1046" spans="1:7" x14ac:dyDescent="0.2">
      <c r="A1046" t="s">
        <v>4260</v>
      </c>
      <c r="B1046" t="s">
        <v>4261</v>
      </c>
      <c r="C1046" t="s">
        <v>4261</v>
      </c>
      <c r="D1046" t="s">
        <v>4261</v>
      </c>
      <c r="E1046" t="s">
        <v>4261</v>
      </c>
      <c r="F1046" t="s">
        <v>4261</v>
      </c>
      <c r="G1046" t="s">
        <v>4261</v>
      </c>
    </row>
  </sheetData>
  <phoneticPr fontId="0" type="noConversion"/>
  <hyperlinks>
    <hyperlink ref="K3" location="FishSumAllPRN!A7" display="Landed Catch by Fishery" xr:uid="{00000000-0004-0000-1300-000000000000}"/>
    <hyperlink ref="K4" location="FishSumAllPRN!A216" display="Shaker Mortality by Fishery" xr:uid="{00000000-0004-0000-1300-000001000000}"/>
    <hyperlink ref="K5" location="FishSumAllPRN!A425" display="Non-Retention Mortality by Fishery" xr:uid="{00000000-0004-0000-1300-000002000000}"/>
    <hyperlink ref="K6" location="FishSumAllPRN!A634" display="Catch+CNR Mortality by Fishery" xr:uid="{00000000-0004-0000-1300-000003000000}"/>
    <hyperlink ref="K7" location="FishSumAllPRN!A843" display="Total Mortality by Fishery" xr:uid="{00000000-0004-0000-1300-000004000000}"/>
  </hyperlinks>
  <pageMargins left="0.28000000000000003" right="0.59" top="1" bottom="1" header="0.5" footer="0.5"/>
  <pageSetup scale="29" fitToHeight="6"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dimension ref="A1:T10233"/>
  <sheetViews>
    <sheetView topLeftCell="A2842" zoomScaleNormal="100" workbookViewId="0">
      <selection activeCell="N2864" sqref="N2864"/>
    </sheetView>
  </sheetViews>
  <sheetFormatPr defaultColWidth="9.85546875" defaultRowHeight="12.75" x14ac:dyDescent="0.2"/>
  <cols>
    <col min="1" max="1" width="18.5703125" customWidth="1"/>
    <col min="2" max="7" width="9.85546875" customWidth="1"/>
    <col min="13" max="13" width="20.28515625" style="180" customWidth="1"/>
    <col min="14" max="14" width="32.28515625" customWidth="1"/>
    <col min="15" max="15" width="7.5703125" bestFit="1" customWidth="1"/>
    <col min="16" max="16" width="5" customWidth="1"/>
    <col min="17" max="17" width="14.5703125" style="180" customWidth="1"/>
    <col min="18" max="18" width="39.140625" customWidth="1"/>
  </cols>
  <sheetData>
    <row r="1" spans="1:20" x14ac:dyDescent="0.2">
      <c r="A1" t="s">
        <v>4248</v>
      </c>
      <c r="M1" s="180" t="s">
        <v>4249</v>
      </c>
    </row>
    <row r="2" spans="1:20" x14ac:dyDescent="0.2">
      <c r="A2" t="s">
        <v>4250</v>
      </c>
      <c r="C2" t="s">
        <v>4251</v>
      </c>
      <c r="G2" t="s">
        <v>7535</v>
      </c>
      <c r="M2" s="37" t="s">
        <v>4382</v>
      </c>
    </row>
    <row r="3" spans="1:20" ht="15" x14ac:dyDescent="0.2">
      <c r="A3" t="s">
        <v>4383</v>
      </c>
      <c r="G3" t="s">
        <v>7544</v>
      </c>
      <c r="L3" s="948"/>
      <c r="M3" s="180" t="s">
        <v>4384</v>
      </c>
      <c r="N3" t="s">
        <v>4385</v>
      </c>
      <c r="O3" t="s">
        <v>4386</v>
      </c>
      <c r="Q3" s="180" t="s">
        <v>4384</v>
      </c>
      <c r="R3" t="s">
        <v>4385</v>
      </c>
      <c r="S3" t="s">
        <v>4386</v>
      </c>
    </row>
    <row r="4" spans="1:20" x14ac:dyDescent="0.2">
      <c r="A4" t="s">
        <v>7530</v>
      </c>
      <c r="M4" s="949" t="s">
        <v>4387</v>
      </c>
      <c r="N4" t="s">
        <v>4388</v>
      </c>
      <c r="O4">
        <v>1</v>
      </c>
      <c r="Q4" s="949" t="s">
        <v>4389</v>
      </c>
      <c r="R4" t="s">
        <v>4390</v>
      </c>
      <c r="S4">
        <v>121</v>
      </c>
      <c r="T4" s="180"/>
    </row>
    <row r="5" spans="1:20" x14ac:dyDescent="0.2">
      <c r="M5" s="949" t="s">
        <v>4391</v>
      </c>
      <c r="N5" t="s">
        <v>4392</v>
      </c>
      <c r="O5">
        <v>2</v>
      </c>
      <c r="Q5" s="949" t="s">
        <v>4393</v>
      </c>
      <c r="R5" t="s">
        <v>4394</v>
      </c>
      <c r="S5">
        <v>122</v>
      </c>
      <c r="T5" s="180"/>
    </row>
    <row r="6" spans="1:20" x14ac:dyDescent="0.2">
      <c r="M6" s="949" t="s">
        <v>4395</v>
      </c>
      <c r="N6" t="s">
        <v>4396</v>
      </c>
      <c r="O6">
        <v>3</v>
      </c>
      <c r="Q6" s="949" t="s">
        <v>4397</v>
      </c>
      <c r="R6" t="s">
        <v>4398</v>
      </c>
      <c r="S6">
        <v>123</v>
      </c>
      <c r="T6" s="180"/>
    </row>
    <row r="7" spans="1:20" x14ac:dyDescent="0.2">
      <c r="A7" s="180" t="s">
        <v>4384</v>
      </c>
      <c r="B7" t="s">
        <v>4399</v>
      </c>
      <c r="C7" t="s">
        <v>4399</v>
      </c>
      <c r="D7" t="s">
        <v>4399</v>
      </c>
      <c r="E7" t="s">
        <v>4399</v>
      </c>
      <c r="F7" t="s">
        <v>4399</v>
      </c>
      <c r="G7" t="s">
        <v>4399</v>
      </c>
      <c r="H7" t="s">
        <v>4399</v>
      </c>
      <c r="I7" t="s">
        <v>4399</v>
      </c>
      <c r="J7" t="s">
        <v>4399</v>
      </c>
      <c r="K7" t="s">
        <v>4399</v>
      </c>
      <c r="M7" s="949" t="s">
        <v>4400</v>
      </c>
      <c r="N7" t="s">
        <v>4401</v>
      </c>
      <c r="O7">
        <v>4</v>
      </c>
      <c r="Q7" s="949" t="s">
        <v>4402</v>
      </c>
      <c r="R7" t="s">
        <v>4403</v>
      </c>
      <c r="S7">
        <v>124</v>
      </c>
      <c r="T7" s="180"/>
    </row>
    <row r="8" spans="1:20" x14ac:dyDescent="0.2">
      <c r="A8" t="s">
        <v>126</v>
      </c>
      <c r="B8" t="s">
        <v>4387</v>
      </c>
      <c r="C8" t="s">
        <v>4391</v>
      </c>
      <c r="D8" t="s">
        <v>4395</v>
      </c>
      <c r="E8" t="s">
        <v>4400</v>
      </c>
      <c r="F8" t="s">
        <v>361</v>
      </c>
      <c r="G8" t="s">
        <v>362</v>
      </c>
      <c r="H8" t="s">
        <v>353</v>
      </c>
      <c r="I8" t="s">
        <v>354</v>
      </c>
      <c r="J8" t="s">
        <v>4404</v>
      </c>
      <c r="K8" t="s">
        <v>4405</v>
      </c>
      <c r="M8" s="949" t="s">
        <v>361</v>
      </c>
      <c r="N8" t="s">
        <v>4406</v>
      </c>
      <c r="O8">
        <v>5</v>
      </c>
      <c r="Q8" s="949" t="s">
        <v>4407</v>
      </c>
      <c r="R8" t="s">
        <v>4408</v>
      </c>
      <c r="S8">
        <v>125</v>
      </c>
      <c r="T8" s="180"/>
    </row>
    <row r="9" spans="1:20" x14ac:dyDescent="0.2">
      <c r="A9" t="s">
        <v>2318</v>
      </c>
      <c r="B9" t="s">
        <v>4399</v>
      </c>
      <c r="C9" t="s">
        <v>4399</v>
      </c>
      <c r="D9" t="s">
        <v>4399</v>
      </c>
      <c r="E9" t="s">
        <v>4399</v>
      </c>
      <c r="F9" t="s">
        <v>4399</v>
      </c>
      <c r="G9" t="s">
        <v>4399</v>
      </c>
      <c r="H9" t="s">
        <v>4399</v>
      </c>
      <c r="I9" t="s">
        <v>4399</v>
      </c>
      <c r="J9" t="s">
        <v>4399</v>
      </c>
      <c r="K9" t="s">
        <v>4399</v>
      </c>
      <c r="M9" s="949" t="s">
        <v>362</v>
      </c>
      <c r="N9" t="s">
        <v>4409</v>
      </c>
      <c r="O9">
        <v>6</v>
      </c>
      <c r="Q9" s="949" t="s">
        <v>4410</v>
      </c>
      <c r="R9" t="s">
        <v>4411</v>
      </c>
      <c r="S9">
        <v>126</v>
      </c>
      <c r="T9" s="180"/>
    </row>
    <row r="10" spans="1:20" x14ac:dyDescent="0.2">
      <c r="A10" t="s">
        <v>4265</v>
      </c>
      <c r="B10">
        <v>0</v>
      </c>
      <c r="C10">
        <v>0</v>
      </c>
      <c r="D10">
        <v>0</v>
      </c>
      <c r="E10">
        <v>0</v>
      </c>
      <c r="F10">
        <v>0</v>
      </c>
      <c r="G10">
        <v>0</v>
      </c>
      <c r="H10">
        <v>0</v>
      </c>
      <c r="I10">
        <v>0</v>
      </c>
      <c r="J10">
        <v>0</v>
      </c>
      <c r="K10">
        <v>0</v>
      </c>
      <c r="M10" s="949" t="s">
        <v>353</v>
      </c>
      <c r="N10" t="s">
        <v>4412</v>
      </c>
      <c r="O10">
        <v>7</v>
      </c>
      <c r="Q10" s="949" t="s">
        <v>4413</v>
      </c>
      <c r="R10" t="s">
        <v>4414</v>
      </c>
      <c r="S10">
        <v>127</v>
      </c>
      <c r="T10" s="180"/>
    </row>
    <row r="11" spans="1:20" x14ac:dyDescent="0.2">
      <c r="A11" t="s">
        <v>4266</v>
      </c>
      <c r="B11">
        <v>0</v>
      </c>
      <c r="C11">
        <v>0</v>
      </c>
      <c r="D11">
        <v>0</v>
      </c>
      <c r="E11">
        <v>0</v>
      </c>
      <c r="F11">
        <v>0</v>
      </c>
      <c r="G11">
        <v>0</v>
      </c>
      <c r="H11">
        <v>0</v>
      </c>
      <c r="I11">
        <v>0</v>
      </c>
      <c r="J11">
        <v>0</v>
      </c>
      <c r="K11">
        <v>0</v>
      </c>
      <c r="M11" s="949" t="s">
        <v>354</v>
      </c>
      <c r="N11" t="s">
        <v>4415</v>
      </c>
      <c r="O11">
        <v>8</v>
      </c>
      <c r="Q11" s="949" t="s">
        <v>4416</v>
      </c>
      <c r="R11" t="s">
        <v>4417</v>
      </c>
      <c r="S11">
        <v>128</v>
      </c>
      <c r="T11" s="180"/>
    </row>
    <row r="12" spans="1:20" x14ac:dyDescent="0.2">
      <c r="A12" t="s">
        <v>4267</v>
      </c>
      <c r="B12">
        <v>0</v>
      </c>
      <c r="C12">
        <v>0</v>
      </c>
      <c r="D12">
        <v>0</v>
      </c>
      <c r="E12">
        <v>0</v>
      </c>
      <c r="F12">
        <v>0</v>
      </c>
      <c r="G12">
        <v>0</v>
      </c>
      <c r="H12">
        <v>0</v>
      </c>
      <c r="I12">
        <v>0</v>
      </c>
      <c r="J12">
        <v>0</v>
      </c>
      <c r="K12">
        <v>0</v>
      </c>
      <c r="M12" s="949" t="s">
        <v>4404</v>
      </c>
      <c r="N12" t="s">
        <v>4418</v>
      </c>
      <c r="O12">
        <v>9</v>
      </c>
      <c r="Q12" s="949" t="s">
        <v>4419</v>
      </c>
      <c r="R12" t="s">
        <v>4420</v>
      </c>
      <c r="S12">
        <v>129</v>
      </c>
      <c r="T12" s="180"/>
    </row>
    <row r="13" spans="1:20" x14ac:dyDescent="0.2">
      <c r="A13" t="s">
        <v>4268</v>
      </c>
      <c r="B13">
        <v>0</v>
      </c>
      <c r="C13">
        <v>0</v>
      </c>
      <c r="D13">
        <v>0</v>
      </c>
      <c r="E13">
        <v>0</v>
      </c>
      <c r="F13">
        <v>0</v>
      </c>
      <c r="G13">
        <v>0</v>
      </c>
      <c r="H13">
        <v>0</v>
      </c>
      <c r="I13">
        <v>0</v>
      </c>
      <c r="J13">
        <v>0</v>
      </c>
      <c r="K13">
        <v>0</v>
      </c>
      <c r="M13" s="1719" t="s">
        <v>4405</v>
      </c>
      <c r="N13" t="s">
        <v>4421</v>
      </c>
      <c r="O13">
        <v>10</v>
      </c>
      <c r="Q13" s="1719" t="s">
        <v>4422</v>
      </c>
      <c r="R13" t="s">
        <v>4423</v>
      </c>
      <c r="S13">
        <v>130</v>
      </c>
      <c r="T13" s="180"/>
    </row>
    <row r="14" spans="1:20" x14ac:dyDescent="0.2">
      <c r="A14" t="s">
        <v>4269</v>
      </c>
      <c r="B14">
        <v>0</v>
      </c>
      <c r="C14">
        <v>0</v>
      </c>
      <c r="D14">
        <v>0</v>
      </c>
      <c r="E14">
        <v>0</v>
      </c>
      <c r="F14">
        <v>0</v>
      </c>
      <c r="G14">
        <v>0</v>
      </c>
      <c r="H14">
        <v>0</v>
      </c>
      <c r="I14">
        <v>0</v>
      </c>
      <c r="J14">
        <v>0</v>
      </c>
      <c r="K14">
        <v>0</v>
      </c>
      <c r="M14" s="949" t="s">
        <v>4424</v>
      </c>
      <c r="N14" t="s">
        <v>4425</v>
      </c>
      <c r="O14">
        <v>11</v>
      </c>
      <c r="Q14" s="949" t="s">
        <v>4426</v>
      </c>
      <c r="R14" t="s">
        <v>4427</v>
      </c>
      <c r="S14">
        <v>131</v>
      </c>
      <c r="T14" s="180"/>
    </row>
    <row r="15" spans="1:20" x14ac:dyDescent="0.2">
      <c r="A15" t="s">
        <v>4270</v>
      </c>
      <c r="B15">
        <v>0</v>
      </c>
      <c r="C15">
        <v>0</v>
      </c>
      <c r="D15">
        <v>0</v>
      </c>
      <c r="E15">
        <v>0</v>
      </c>
      <c r="F15">
        <v>0</v>
      </c>
      <c r="G15">
        <v>0</v>
      </c>
      <c r="H15">
        <v>0</v>
      </c>
      <c r="I15">
        <v>0</v>
      </c>
      <c r="J15">
        <v>0</v>
      </c>
      <c r="K15">
        <v>0</v>
      </c>
      <c r="M15" s="949" t="s">
        <v>4428</v>
      </c>
      <c r="N15" t="s">
        <v>4429</v>
      </c>
      <c r="O15">
        <v>12</v>
      </c>
      <c r="Q15" s="949" t="s">
        <v>4430</v>
      </c>
      <c r="R15" t="s">
        <v>4431</v>
      </c>
      <c r="S15">
        <v>132</v>
      </c>
    </row>
    <row r="16" spans="1:20" x14ac:dyDescent="0.2">
      <c r="A16" t="s">
        <v>4271</v>
      </c>
      <c r="B16">
        <v>0</v>
      </c>
      <c r="C16">
        <v>0</v>
      </c>
      <c r="D16">
        <v>0</v>
      </c>
      <c r="E16">
        <v>0</v>
      </c>
      <c r="F16">
        <v>0</v>
      </c>
      <c r="G16">
        <v>0</v>
      </c>
      <c r="H16">
        <v>0</v>
      </c>
      <c r="I16">
        <v>0</v>
      </c>
      <c r="J16">
        <v>0</v>
      </c>
      <c r="K16">
        <v>0</v>
      </c>
      <c r="M16" s="949" t="s">
        <v>4432</v>
      </c>
      <c r="N16" t="s">
        <v>4433</v>
      </c>
      <c r="O16">
        <v>13</v>
      </c>
      <c r="Q16" s="949" t="s">
        <v>4434</v>
      </c>
      <c r="R16" t="s">
        <v>4435</v>
      </c>
      <c r="S16">
        <v>133</v>
      </c>
    </row>
    <row r="17" spans="1:20" x14ac:dyDescent="0.2">
      <c r="A17" t="s">
        <v>4272</v>
      </c>
      <c r="B17">
        <v>0</v>
      </c>
      <c r="C17">
        <v>0</v>
      </c>
      <c r="D17">
        <v>0</v>
      </c>
      <c r="E17">
        <v>0</v>
      </c>
      <c r="F17">
        <v>0</v>
      </c>
      <c r="G17">
        <v>0</v>
      </c>
      <c r="H17">
        <v>0</v>
      </c>
      <c r="I17">
        <v>0</v>
      </c>
      <c r="J17">
        <v>0</v>
      </c>
      <c r="K17">
        <v>0</v>
      </c>
      <c r="M17" s="949" t="s">
        <v>4436</v>
      </c>
      <c r="N17" t="s">
        <v>4437</v>
      </c>
      <c r="O17">
        <v>14</v>
      </c>
      <c r="Q17" s="949" t="s">
        <v>4438</v>
      </c>
      <c r="R17" t="s">
        <v>4439</v>
      </c>
      <c r="S17">
        <v>134</v>
      </c>
    </row>
    <row r="18" spans="1:20" x14ac:dyDescent="0.2">
      <c r="A18" t="s">
        <v>4273</v>
      </c>
      <c r="B18">
        <v>0</v>
      </c>
      <c r="C18">
        <v>0</v>
      </c>
      <c r="D18">
        <v>0</v>
      </c>
      <c r="E18">
        <v>0</v>
      </c>
      <c r="F18">
        <v>0</v>
      </c>
      <c r="G18">
        <v>0</v>
      </c>
      <c r="H18">
        <v>0</v>
      </c>
      <c r="I18">
        <v>0</v>
      </c>
      <c r="J18">
        <v>0</v>
      </c>
      <c r="K18">
        <v>0</v>
      </c>
      <c r="M18" s="949" t="s">
        <v>4440</v>
      </c>
      <c r="N18" t="s">
        <v>4441</v>
      </c>
      <c r="O18">
        <v>15</v>
      </c>
      <c r="Q18" s="949" t="s">
        <v>4442</v>
      </c>
      <c r="R18" t="s">
        <v>4443</v>
      </c>
      <c r="S18">
        <v>135</v>
      </c>
    </row>
    <row r="19" spans="1:20" x14ac:dyDescent="0.2">
      <c r="A19" t="s">
        <v>4274</v>
      </c>
      <c r="B19">
        <v>0</v>
      </c>
      <c r="C19">
        <v>0</v>
      </c>
      <c r="D19">
        <v>0</v>
      </c>
      <c r="E19">
        <v>0</v>
      </c>
      <c r="F19">
        <v>0</v>
      </c>
      <c r="G19">
        <v>0</v>
      </c>
      <c r="H19">
        <v>0</v>
      </c>
      <c r="I19">
        <v>0</v>
      </c>
      <c r="J19">
        <v>0</v>
      </c>
      <c r="K19">
        <v>0</v>
      </c>
      <c r="M19" s="949" t="s">
        <v>4444</v>
      </c>
      <c r="N19" t="s">
        <v>4445</v>
      </c>
      <c r="O19">
        <v>16</v>
      </c>
      <c r="Q19" s="949" t="s">
        <v>4446</v>
      </c>
      <c r="R19" t="s">
        <v>4447</v>
      </c>
      <c r="S19">
        <v>136</v>
      </c>
    </row>
    <row r="20" spans="1:20" x14ac:dyDescent="0.2">
      <c r="A20" t="s">
        <v>4275</v>
      </c>
      <c r="B20">
        <v>0</v>
      </c>
      <c r="C20">
        <v>0</v>
      </c>
      <c r="D20">
        <v>0</v>
      </c>
      <c r="E20">
        <v>0</v>
      </c>
      <c r="F20">
        <v>0</v>
      </c>
      <c r="G20">
        <v>0</v>
      </c>
      <c r="H20">
        <v>0</v>
      </c>
      <c r="I20">
        <v>0</v>
      </c>
      <c r="J20">
        <v>0</v>
      </c>
      <c r="K20">
        <v>0</v>
      </c>
      <c r="M20" s="949" t="s">
        <v>4448</v>
      </c>
      <c r="N20" t="s">
        <v>4449</v>
      </c>
      <c r="O20">
        <v>17</v>
      </c>
      <c r="Q20" s="949" t="s">
        <v>4450</v>
      </c>
      <c r="R20" t="s">
        <v>4451</v>
      </c>
      <c r="S20">
        <v>137</v>
      </c>
    </row>
    <row r="21" spans="1:20" x14ac:dyDescent="0.2">
      <c r="A21" t="s">
        <v>4276</v>
      </c>
      <c r="B21">
        <v>0</v>
      </c>
      <c r="C21">
        <v>0</v>
      </c>
      <c r="D21">
        <v>0</v>
      </c>
      <c r="E21">
        <v>0</v>
      </c>
      <c r="F21">
        <v>0</v>
      </c>
      <c r="G21">
        <v>0</v>
      </c>
      <c r="H21">
        <v>0</v>
      </c>
      <c r="I21">
        <v>0</v>
      </c>
      <c r="J21">
        <v>0</v>
      </c>
      <c r="K21">
        <v>0</v>
      </c>
      <c r="M21" s="949" t="s">
        <v>4452</v>
      </c>
      <c r="N21" t="s">
        <v>4453</v>
      </c>
      <c r="O21">
        <v>18</v>
      </c>
      <c r="Q21" s="949" t="s">
        <v>4454</v>
      </c>
      <c r="R21" t="s">
        <v>4455</v>
      </c>
      <c r="S21">
        <v>138</v>
      </c>
    </row>
    <row r="22" spans="1:20" x14ac:dyDescent="0.2">
      <c r="A22" t="s">
        <v>4277</v>
      </c>
      <c r="B22">
        <v>0</v>
      </c>
      <c r="C22">
        <v>0</v>
      </c>
      <c r="D22">
        <v>0</v>
      </c>
      <c r="E22">
        <v>0</v>
      </c>
      <c r="F22">
        <v>0</v>
      </c>
      <c r="G22">
        <v>0</v>
      </c>
      <c r="H22">
        <v>0</v>
      </c>
      <c r="I22">
        <v>0</v>
      </c>
      <c r="J22">
        <v>0</v>
      </c>
      <c r="K22">
        <v>0</v>
      </c>
      <c r="M22" s="949" t="s">
        <v>368</v>
      </c>
      <c r="N22" t="s">
        <v>4456</v>
      </c>
      <c r="O22">
        <v>19</v>
      </c>
      <c r="Q22" s="949" t="s">
        <v>4457</v>
      </c>
      <c r="R22" t="s">
        <v>4458</v>
      </c>
      <c r="S22">
        <v>139</v>
      </c>
    </row>
    <row r="23" spans="1:20" x14ac:dyDescent="0.2">
      <c r="A23" t="s">
        <v>4278</v>
      </c>
      <c r="B23">
        <v>0</v>
      </c>
      <c r="C23">
        <v>0</v>
      </c>
      <c r="D23">
        <v>0</v>
      </c>
      <c r="E23">
        <v>0</v>
      </c>
      <c r="F23">
        <v>0</v>
      </c>
      <c r="G23">
        <v>0</v>
      </c>
      <c r="H23">
        <v>0</v>
      </c>
      <c r="I23">
        <v>0</v>
      </c>
      <c r="J23">
        <v>0</v>
      </c>
      <c r="K23">
        <v>0</v>
      </c>
      <c r="L23" s="180"/>
      <c r="M23" s="1719" t="s">
        <v>369</v>
      </c>
      <c r="N23" t="s">
        <v>4459</v>
      </c>
      <c r="O23">
        <v>20</v>
      </c>
      <c r="Q23" s="1719" t="s">
        <v>4460</v>
      </c>
      <c r="R23" t="s">
        <v>4461</v>
      </c>
      <c r="S23">
        <v>140</v>
      </c>
    </row>
    <row r="24" spans="1:20" x14ac:dyDescent="0.2">
      <c r="A24" t="s">
        <v>4279</v>
      </c>
      <c r="B24">
        <v>0</v>
      </c>
      <c r="C24">
        <v>0</v>
      </c>
      <c r="D24">
        <v>0</v>
      </c>
      <c r="E24">
        <v>1</v>
      </c>
      <c r="F24">
        <v>0</v>
      </c>
      <c r="G24">
        <v>2</v>
      </c>
      <c r="H24">
        <v>0</v>
      </c>
      <c r="I24">
        <v>0</v>
      </c>
      <c r="J24">
        <v>0</v>
      </c>
      <c r="K24">
        <v>0</v>
      </c>
      <c r="L24" s="180"/>
      <c r="M24" s="949" t="s">
        <v>4462</v>
      </c>
      <c r="N24" t="s">
        <v>4463</v>
      </c>
      <c r="O24">
        <v>21</v>
      </c>
      <c r="Q24" s="949" t="s">
        <v>4464</v>
      </c>
      <c r="R24" t="s">
        <v>4465</v>
      </c>
      <c r="S24">
        <v>141</v>
      </c>
      <c r="T24" s="180"/>
    </row>
    <row r="25" spans="1:20" x14ac:dyDescent="0.2">
      <c r="A25" t="s">
        <v>4280</v>
      </c>
      <c r="B25">
        <v>0</v>
      </c>
      <c r="C25">
        <v>0</v>
      </c>
      <c r="D25">
        <v>0</v>
      </c>
      <c r="E25">
        <v>0</v>
      </c>
      <c r="F25">
        <v>0</v>
      </c>
      <c r="G25">
        <v>0</v>
      </c>
      <c r="H25">
        <v>0</v>
      </c>
      <c r="I25">
        <v>0</v>
      </c>
      <c r="J25">
        <v>0</v>
      </c>
      <c r="K25">
        <v>0</v>
      </c>
      <c r="L25" s="180"/>
      <c r="M25" s="949" t="s">
        <v>4466</v>
      </c>
      <c r="N25" t="s">
        <v>4467</v>
      </c>
      <c r="O25">
        <v>22</v>
      </c>
      <c r="Q25" s="949" t="s">
        <v>4468</v>
      </c>
      <c r="R25" t="s">
        <v>4469</v>
      </c>
      <c r="S25">
        <v>142</v>
      </c>
    </row>
    <row r="26" spans="1:20" x14ac:dyDescent="0.2">
      <c r="A26" t="s">
        <v>4281</v>
      </c>
      <c r="B26">
        <v>6</v>
      </c>
      <c r="C26">
        <v>0</v>
      </c>
      <c r="D26">
        <v>0</v>
      </c>
      <c r="E26">
        <v>20</v>
      </c>
      <c r="F26">
        <v>0</v>
      </c>
      <c r="G26">
        <v>85</v>
      </c>
      <c r="H26">
        <v>0</v>
      </c>
      <c r="I26">
        <v>2</v>
      </c>
      <c r="J26">
        <v>0</v>
      </c>
      <c r="K26">
        <v>0</v>
      </c>
      <c r="L26" s="180"/>
      <c r="M26" s="949" t="s">
        <v>4470</v>
      </c>
      <c r="N26" t="s">
        <v>4471</v>
      </c>
      <c r="O26">
        <v>23</v>
      </c>
      <c r="Q26" s="949" t="s">
        <v>4472</v>
      </c>
      <c r="R26" t="s">
        <v>4473</v>
      </c>
      <c r="S26">
        <v>143</v>
      </c>
    </row>
    <row r="27" spans="1:20" x14ac:dyDescent="0.2">
      <c r="A27" t="s">
        <v>4282</v>
      </c>
      <c r="B27">
        <v>5</v>
      </c>
      <c r="C27">
        <v>0</v>
      </c>
      <c r="D27">
        <v>0</v>
      </c>
      <c r="E27">
        <v>6</v>
      </c>
      <c r="F27">
        <v>0</v>
      </c>
      <c r="G27">
        <v>26</v>
      </c>
      <c r="H27">
        <v>0</v>
      </c>
      <c r="I27">
        <v>1</v>
      </c>
      <c r="J27">
        <v>0</v>
      </c>
      <c r="K27">
        <v>0</v>
      </c>
      <c r="L27" s="180"/>
      <c r="M27" s="949" t="s">
        <v>4474</v>
      </c>
      <c r="N27" t="s">
        <v>4475</v>
      </c>
      <c r="O27">
        <v>24</v>
      </c>
      <c r="Q27" s="949" t="s">
        <v>4476</v>
      </c>
      <c r="R27" t="s">
        <v>4477</v>
      </c>
      <c r="S27">
        <v>144</v>
      </c>
    </row>
    <row r="28" spans="1:20" x14ac:dyDescent="0.2">
      <c r="A28" t="s">
        <v>4283</v>
      </c>
      <c r="B28">
        <v>1</v>
      </c>
      <c r="C28">
        <v>0</v>
      </c>
      <c r="D28">
        <v>0</v>
      </c>
      <c r="E28">
        <v>3</v>
      </c>
      <c r="F28">
        <v>0</v>
      </c>
      <c r="G28">
        <v>11</v>
      </c>
      <c r="H28">
        <v>0</v>
      </c>
      <c r="I28">
        <v>0</v>
      </c>
      <c r="J28">
        <v>0</v>
      </c>
      <c r="K28">
        <v>0</v>
      </c>
      <c r="L28" s="180"/>
      <c r="M28" s="949" t="s">
        <v>4478</v>
      </c>
      <c r="N28" t="s">
        <v>4479</v>
      </c>
      <c r="O28">
        <v>25</v>
      </c>
      <c r="Q28" s="949" t="s">
        <v>4480</v>
      </c>
      <c r="R28" t="s">
        <v>4481</v>
      </c>
      <c r="S28">
        <v>145</v>
      </c>
    </row>
    <row r="29" spans="1:20" x14ac:dyDescent="0.2">
      <c r="A29" t="s">
        <v>4284</v>
      </c>
      <c r="B29">
        <v>0</v>
      </c>
      <c r="C29">
        <v>0</v>
      </c>
      <c r="D29">
        <v>0</v>
      </c>
      <c r="E29">
        <v>0</v>
      </c>
      <c r="F29">
        <v>0</v>
      </c>
      <c r="G29">
        <v>0</v>
      </c>
      <c r="H29">
        <v>0</v>
      </c>
      <c r="I29">
        <v>0</v>
      </c>
      <c r="J29">
        <v>0</v>
      </c>
      <c r="K29">
        <v>0</v>
      </c>
      <c r="L29" s="180"/>
      <c r="M29" s="949" t="s">
        <v>4482</v>
      </c>
      <c r="N29" t="s">
        <v>4483</v>
      </c>
      <c r="O29">
        <v>26</v>
      </c>
      <c r="Q29" s="949" t="s">
        <v>4484</v>
      </c>
      <c r="R29" t="s">
        <v>4485</v>
      </c>
      <c r="S29">
        <v>146</v>
      </c>
    </row>
    <row r="30" spans="1:20" x14ac:dyDescent="0.2">
      <c r="A30" t="s">
        <v>4285</v>
      </c>
      <c r="B30">
        <v>8</v>
      </c>
      <c r="C30">
        <v>0</v>
      </c>
      <c r="D30">
        <v>0</v>
      </c>
      <c r="E30">
        <v>26</v>
      </c>
      <c r="F30">
        <v>0</v>
      </c>
      <c r="G30">
        <v>108</v>
      </c>
      <c r="H30">
        <v>0</v>
      </c>
      <c r="I30">
        <v>3</v>
      </c>
      <c r="J30">
        <v>0</v>
      </c>
      <c r="K30">
        <v>0</v>
      </c>
      <c r="L30" s="180"/>
      <c r="M30" s="949" t="s">
        <v>4486</v>
      </c>
      <c r="N30" t="s">
        <v>4487</v>
      </c>
      <c r="O30">
        <v>27</v>
      </c>
      <c r="Q30" s="949" t="s">
        <v>4488</v>
      </c>
      <c r="R30" t="s">
        <v>4489</v>
      </c>
      <c r="S30">
        <v>147</v>
      </c>
    </row>
    <row r="31" spans="1:20" x14ac:dyDescent="0.2">
      <c r="A31" t="s">
        <v>4286</v>
      </c>
      <c r="B31">
        <v>1</v>
      </c>
      <c r="C31">
        <v>0</v>
      </c>
      <c r="D31">
        <v>0</v>
      </c>
      <c r="E31">
        <v>1</v>
      </c>
      <c r="F31">
        <v>0</v>
      </c>
      <c r="G31">
        <v>3</v>
      </c>
      <c r="H31">
        <v>0</v>
      </c>
      <c r="I31">
        <v>0</v>
      </c>
      <c r="J31">
        <v>0</v>
      </c>
      <c r="K31">
        <v>0</v>
      </c>
      <c r="L31" s="180"/>
      <c r="M31" s="949" t="s">
        <v>4490</v>
      </c>
      <c r="N31" t="s">
        <v>4491</v>
      </c>
      <c r="O31">
        <v>28</v>
      </c>
      <c r="Q31" s="949" t="s">
        <v>4492</v>
      </c>
      <c r="R31" t="s">
        <v>4493</v>
      </c>
      <c r="S31">
        <v>148</v>
      </c>
    </row>
    <row r="32" spans="1:20" x14ac:dyDescent="0.2">
      <c r="A32" t="s">
        <v>4287</v>
      </c>
      <c r="B32">
        <v>0</v>
      </c>
      <c r="C32">
        <v>0</v>
      </c>
      <c r="D32">
        <v>0</v>
      </c>
      <c r="E32">
        <v>1</v>
      </c>
      <c r="F32">
        <v>0</v>
      </c>
      <c r="G32">
        <v>4</v>
      </c>
      <c r="H32">
        <v>0</v>
      </c>
      <c r="I32">
        <v>0</v>
      </c>
      <c r="J32">
        <v>0</v>
      </c>
      <c r="K32">
        <v>0</v>
      </c>
      <c r="L32" s="180"/>
      <c r="M32" s="949" t="s">
        <v>4494</v>
      </c>
      <c r="N32" t="s">
        <v>4495</v>
      </c>
      <c r="O32">
        <v>29</v>
      </c>
      <c r="Q32" s="949" t="s">
        <v>4496</v>
      </c>
      <c r="R32" t="s">
        <v>4497</v>
      </c>
      <c r="S32">
        <v>149</v>
      </c>
    </row>
    <row r="33" spans="1:20" x14ac:dyDescent="0.2">
      <c r="A33" t="s">
        <v>4288</v>
      </c>
      <c r="B33">
        <v>0</v>
      </c>
      <c r="C33">
        <v>0</v>
      </c>
      <c r="D33">
        <v>0</v>
      </c>
      <c r="E33">
        <v>0</v>
      </c>
      <c r="F33">
        <v>0</v>
      </c>
      <c r="G33">
        <v>0</v>
      </c>
      <c r="H33">
        <v>0</v>
      </c>
      <c r="I33">
        <v>0</v>
      </c>
      <c r="J33">
        <v>0</v>
      </c>
      <c r="K33">
        <v>0</v>
      </c>
      <c r="M33" s="1719" t="s">
        <v>4498</v>
      </c>
      <c r="N33" t="s">
        <v>4499</v>
      </c>
      <c r="O33">
        <v>30</v>
      </c>
      <c r="Q33" s="1719" t="s">
        <v>4500</v>
      </c>
      <c r="R33" t="s">
        <v>4501</v>
      </c>
      <c r="S33">
        <v>150</v>
      </c>
    </row>
    <row r="34" spans="1:20" x14ac:dyDescent="0.2">
      <c r="A34" t="s">
        <v>4289</v>
      </c>
      <c r="B34">
        <v>0</v>
      </c>
      <c r="C34">
        <v>0</v>
      </c>
      <c r="D34">
        <v>0</v>
      </c>
      <c r="E34">
        <v>0</v>
      </c>
      <c r="F34">
        <v>0</v>
      </c>
      <c r="G34">
        <v>0</v>
      </c>
      <c r="H34">
        <v>0</v>
      </c>
      <c r="I34">
        <v>0</v>
      </c>
      <c r="J34">
        <v>0</v>
      </c>
      <c r="K34">
        <v>0</v>
      </c>
      <c r="M34" s="949" t="s">
        <v>4502</v>
      </c>
      <c r="N34" t="s">
        <v>4503</v>
      </c>
      <c r="O34">
        <v>31</v>
      </c>
      <c r="Q34" s="949" t="s">
        <v>4504</v>
      </c>
      <c r="R34" t="s">
        <v>4505</v>
      </c>
      <c r="S34">
        <v>151</v>
      </c>
      <c r="T34" s="180"/>
    </row>
    <row r="35" spans="1:20" x14ac:dyDescent="0.2">
      <c r="A35" t="s">
        <v>4290</v>
      </c>
      <c r="B35">
        <v>0</v>
      </c>
      <c r="C35">
        <v>0</v>
      </c>
      <c r="D35">
        <v>0</v>
      </c>
      <c r="E35">
        <v>0</v>
      </c>
      <c r="F35">
        <v>0</v>
      </c>
      <c r="G35">
        <v>0</v>
      </c>
      <c r="H35">
        <v>0</v>
      </c>
      <c r="I35">
        <v>0</v>
      </c>
      <c r="J35">
        <v>0</v>
      </c>
      <c r="K35">
        <v>0</v>
      </c>
      <c r="M35" s="949" t="s">
        <v>4506</v>
      </c>
      <c r="N35" t="s">
        <v>4507</v>
      </c>
      <c r="O35">
        <v>32</v>
      </c>
      <c r="Q35" s="949" t="s">
        <v>4508</v>
      </c>
      <c r="R35" t="s">
        <v>4509</v>
      </c>
      <c r="S35">
        <v>152</v>
      </c>
    </row>
    <row r="36" spans="1:20" x14ac:dyDescent="0.2">
      <c r="A36" t="s">
        <v>4291</v>
      </c>
      <c r="B36">
        <v>0</v>
      </c>
      <c r="C36">
        <v>0</v>
      </c>
      <c r="D36">
        <v>0</v>
      </c>
      <c r="E36">
        <v>0</v>
      </c>
      <c r="F36">
        <v>0</v>
      </c>
      <c r="G36">
        <v>0</v>
      </c>
      <c r="H36">
        <v>0</v>
      </c>
      <c r="I36">
        <v>0</v>
      </c>
      <c r="J36">
        <v>0</v>
      </c>
      <c r="K36">
        <v>0</v>
      </c>
      <c r="M36" s="949" t="s">
        <v>4510</v>
      </c>
      <c r="N36" t="s">
        <v>4511</v>
      </c>
      <c r="O36">
        <v>33</v>
      </c>
      <c r="Q36" s="949" t="s">
        <v>4512</v>
      </c>
      <c r="R36" t="s">
        <v>4513</v>
      </c>
      <c r="S36">
        <v>153</v>
      </c>
    </row>
    <row r="37" spans="1:20" x14ac:dyDescent="0.2">
      <c r="A37" t="s">
        <v>4292</v>
      </c>
      <c r="B37">
        <v>0</v>
      </c>
      <c r="C37">
        <v>0</v>
      </c>
      <c r="D37">
        <v>0</v>
      </c>
      <c r="E37">
        <v>0</v>
      </c>
      <c r="F37">
        <v>0</v>
      </c>
      <c r="G37">
        <v>0</v>
      </c>
      <c r="H37">
        <v>0</v>
      </c>
      <c r="I37">
        <v>0</v>
      </c>
      <c r="J37">
        <v>0</v>
      </c>
      <c r="K37">
        <v>0</v>
      </c>
      <c r="M37" s="949" t="s">
        <v>4514</v>
      </c>
      <c r="N37" t="s">
        <v>4515</v>
      </c>
      <c r="O37">
        <v>34</v>
      </c>
      <c r="Q37" s="949" t="s">
        <v>4516</v>
      </c>
      <c r="R37" t="s">
        <v>4517</v>
      </c>
      <c r="S37">
        <v>154</v>
      </c>
    </row>
    <row r="38" spans="1:20" x14ac:dyDescent="0.2">
      <c r="A38" t="s">
        <v>4293</v>
      </c>
      <c r="B38">
        <v>0</v>
      </c>
      <c r="C38">
        <v>0</v>
      </c>
      <c r="D38">
        <v>0</v>
      </c>
      <c r="E38">
        <v>0</v>
      </c>
      <c r="F38">
        <v>0</v>
      </c>
      <c r="G38">
        <v>0</v>
      </c>
      <c r="H38">
        <v>0</v>
      </c>
      <c r="I38">
        <v>0</v>
      </c>
      <c r="J38">
        <v>0</v>
      </c>
      <c r="K38">
        <v>0</v>
      </c>
      <c r="M38" s="949" t="s">
        <v>4518</v>
      </c>
      <c r="N38" t="s">
        <v>4519</v>
      </c>
      <c r="O38">
        <v>35</v>
      </c>
      <c r="Q38" s="949" t="s">
        <v>4520</v>
      </c>
      <c r="R38" t="s">
        <v>4521</v>
      </c>
      <c r="S38">
        <v>155</v>
      </c>
    </row>
    <row r="39" spans="1:20" x14ac:dyDescent="0.2">
      <c r="A39" t="s">
        <v>4294</v>
      </c>
      <c r="B39">
        <v>0</v>
      </c>
      <c r="C39">
        <v>0</v>
      </c>
      <c r="D39">
        <v>0</v>
      </c>
      <c r="E39">
        <v>0</v>
      </c>
      <c r="F39">
        <v>0</v>
      </c>
      <c r="G39">
        <v>0</v>
      </c>
      <c r="H39">
        <v>0</v>
      </c>
      <c r="I39">
        <v>0</v>
      </c>
      <c r="J39">
        <v>0</v>
      </c>
      <c r="K39">
        <v>0</v>
      </c>
      <c r="M39" s="949" t="s">
        <v>4522</v>
      </c>
      <c r="N39" t="s">
        <v>4523</v>
      </c>
      <c r="O39">
        <v>36</v>
      </c>
      <c r="Q39" s="949" t="s">
        <v>4524</v>
      </c>
      <c r="R39" t="s">
        <v>4525</v>
      </c>
      <c r="S39">
        <v>156</v>
      </c>
    </row>
    <row r="40" spans="1:20" x14ac:dyDescent="0.2">
      <c r="A40" t="s">
        <v>4295</v>
      </c>
      <c r="B40">
        <v>0</v>
      </c>
      <c r="C40">
        <v>0</v>
      </c>
      <c r="D40">
        <v>0</v>
      </c>
      <c r="E40">
        <v>0</v>
      </c>
      <c r="F40">
        <v>0</v>
      </c>
      <c r="G40">
        <v>0</v>
      </c>
      <c r="H40">
        <v>0</v>
      </c>
      <c r="I40">
        <v>0</v>
      </c>
      <c r="J40">
        <v>0</v>
      </c>
      <c r="K40">
        <v>0</v>
      </c>
      <c r="M40" s="949" t="s">
        <v>375</v>
      </c>
      <c r="N40" t="s">
        <v>4526</v>
      </c>
      <c r="O40">
        <v>37</v>
      </c>
      <c r="Q40" s="949" t="s">
        <v>4527</v>
      </c>
      <c r="R40" t="s">
        <v>4528</v>
      </c>
      <c r="S40">
        <v>157</v>
      </c>
    </row>
    <row r="41" spans="1:20" x14ac:dyDescent="0.2">
      <c r="A41" t="s">
        <v>4296</v>
      </c>
      <c r="B41">
        <v>0</v>
      </c>
      <c r="C41">
        <v>0</v>
      </c>
      <c r="D41">
        <v>0</v>
      </c>
      <c r="E41">
        <v>0</v>
      </c>
      <c r="F41">
        <v>0</v>
      </c>
      <c r="G41">
        <v>0</v>
      </c>
      <c r="H41">
        <v>0</v>
      </c>
      <c r="I41">
        <v>0</v>
      </c>
      <c r="J41">
        <v>0</v>
      </c>
      <c r="K41">
        <v>0</v>
      </c>
      <c r="M41" s="949" t="s">
        <v>376</v>
      </c>
      <c r="N41" t="s">
        <v>4529</v>
      </c>
      <c r="O41">
        <v>38</v>
      </c>
      <c r="Q41" s="949" t="s">
        <v>4530</v>
      </c>
      <c r="R41" t="s">
        <v>4531</v>
      </c>
      <c r="S41">
        <v>158</v>
      </c>
    </row>
    <row r="42" spans="1:20" x14ac:dyDescent="0.2">
      <c r="A42" t="s">
        <v>4297</v>
      </c>
      <c r="B42">
        <v>5</v>
      </c>
      <c r="C42">
        <v>0</v>
      </c>
      <c r="D42">
        <v>0</v>
      </c>
      <c r="E42">
        <v>17</v>
      </c>
      <c r="F42">
        <v>0</v>
      </c>
      <c r="G42">
        <v>72</v>
      </c>
      <c r="H42">
        <v>0</v>
      </c>
      <c r="I42">
        <v>2</v>
      </c>
      <c r="J42">
        <v>0</v>
      </c>
      <c r="K42">
        <v>0</v>
      </c>
      <c r="M42" s="949" t="s">
        <v>4532</v>
      </c>
      <c r="N42" t="s">
        <v>4533</v>
      </c>
      <c r="O42">
        <v>39</v>
      </c>
      <c r="Q42" s="949" t="s">
        <v>4534</v>
      </c>
      <c r="R42" t="s">
        <v>4535</v>
      </c>
      <c r="S42">
        <v>159</v>
      </c>
    </row>
    <row r="43" spans="1:20" x14ac:dyDescent="0.2">
      <c r="A43" t="s">
        <v>4298</v>
      </c>
      <c r="B43">
        <v>4</v>
      </c>
      <c r="C43">
        <v>0</v>
      </c>
      <c r="D43">
        <v>0</v>
      </c>
      <c r="E43">
        <v>7</v>
      </c>
      <c r="F43">
        <v>0</v>
      </c>
      <c r="G43">
        <v>28</v>
      </c>
      <c r="H43">
        <v>0</v>
      </c>
      <c r="I43">
        <v>1</v>
      </c>
      <c r="J43">
        <v>0</v>
      </c>
      <c r="K43">
        <v>0</v>
      </c>
      <c r="M43" s="1719" t="s">
        <v>4536</v>
      </c>
      <c r="N43" t="s">
        <v>4537</v>
      </c>
      <c r="O43">
        <v>40</v>
      </c>
      <c r="Q43" s="1719" t="s">
        <v>4538</v>
      </c>
      <c r="R43" t="s">
        <v>4539</v>
      </c>
      <c r="S43">
        <v>160</v>
      </c>
    </row>
    <row r="44" spans="1:20" x14ac:dyDescent="0.2">
      <c r="A44" t="s">
        <v>4299</v>
      </c>
      <c r="B44">
        <v>12</v>
      </c>
      <c r="C44">
        <v>0</v>
      </c>
      <c r="D44">
        <v>0</v>
      </c>
      <c r="E44">
        <v>23</v>
      </c>
      <c r="F44">
        <v>0</v>
      </c>
      <c r="G44">
        <v>97</v>
      </c>
      <c r="H44">
        <v>0</v>
      </c>
      <c r="I44">
        <v>3</v>
      </c>
      <c r="J44">
        <v>0</v>
      </c>
      <c r="K44">
        <v>0</v>
      </c>
      <c r="M44" s="949" t="s">
        <v>4540</v>
      </c>
      <c r="N44" t="s">
        <v>4541</v>
      </c>
      <c r="O44">
        <v>41</v>
      </c>
      <c r="Q44" s="949" t="s">
        <v>4542</v>
      </c>
      <c r="R44" t="s">
        <v>4543</v>
      </c>
      <c r="S44">
        <v>161</v>
      </c>
      <c r="T44" s="180"/>
    </row>
    <row r="45" spans="1:20" x14ac:dyDescent="0.2">
      <c r="A45" t="s">
        <v>4300</v>
      </c>
      <c r="B45">
        <v>1</v>
      </c>
      <c r="C45">
        <v>0</v>
      </c>
      <c r="D45">
        <v>0</v>
      </c>
      <c r="E45">
        <v>1</v>
      </c>
      <c r="F45">
        <v>0</v>
      </c>
      <c r="G45">
        <v>2</v>
      </c>
      <c r="H45">
        <v>0</v>
      </c>
      <c r="I45">
        <v>0</v>
      </c>
      <c r="J45">
        <v>0</v>
      </c>
      <c r="K45">
        <v>0</v>
      </c>
      <c r="M45" s="949" t="s">
        <v>4544</v>
      </c>
      <c r="N45" t="s">
        <v>4545</v>
      </c>
      <c r="O45">
        <v>42</v>
      </c>
      <c r="Q45" s="949" t="s">
        <v>4546</v>
      </c>
      <c r="R45" t="s">
        <v>4547</v>
      </c>
      <c r="S45">
        <v>162</v>
      </c>
    </row>
    <row r="46" spans="1:20" x14ac:dyDescent="0.2">
      <c r="A46" t="s">
        <v>4301</v>
      </c>
      <c r="B46">
        <v>28</v>
      </c>
      <c r="C46">
        <v>0</v>
      </c>
      <c r="D46">
        <v>0</v>
      </c>
      <c r="E46">
        <v>91</v>
      </c>
      <c r="F46">
        <v>0</v>
      </c>
      <c r="G46">
        <v>381</v>
      </c>
      <c r="H46">
        <v>0</v>
      </c>
      <c r="I46">
        <v>11</v>
      </c>
      <c r="J46">
        <v>0</v>
      </c>
      <c r="K46">
        <v>0</v>
      </c>
      <c r="M46" s="949" t="s">
        <v>4548</v>
      </c>
      <c r="N46" t="s">
        <v>4549</v>
      </c>
      <c r="O46">
        <v>43</v>
      </c>
      <c r="Q46" s="949" t="s">
        <v>4550</v>
      </c>
      <c r="R46" t="s">
        <v>4551</v>
      </c>
      <c r="S46">
        <v>163</v>
      </c>
    </row>
    <row r="47" spans="1:20" x14ac:dyDescent="0.2">
      <c r="A47" t="s">
        <v>4302</v>
      </c>
      <c r="B47">
        <v>20</v>
      </c>
      <c r="C47">
        <v>0</v>
      </c>
      <c r="D47">
        <v>0</v>
      </c>
      <c r="E47">
        <v>41</v>
      </c>
      <c r="F47">
        <v>0</v>
      </c>
      <c r="G47">
        <v>171</v>
      </c>
      <c r="H47">
        <v>0</v>
      </c>
      <c r="I47">
        <v>5</v>
      </c>
      <c r="J47">
        <v>0</v>
      </c>
      <c r="K47">
        <v>0</v>
      </c>
      <c r="M47" s="949" t="s">
        <v>4552</v>
      </c>
      <c r="N47" t="s">
        <v>4553</v>
      </c>
      <c r="O47">
        <v>44</v>
      </c>
      <c r="Q47" s="949" t="s">
        <v>4554</v>
      </c>
      <c r="R47" t="s">
        <v>4555</v>
      </c>
      <c r="S47">
        <v>164</v>
      </c>
    </row>
    <row r="48" spans="1:20" x14ac:dyDescent="0.2">
      <c r="A48" t="s">
        <v>4303</v>
      </c>
      <c r="B48">
        <v>70</v>
      </c>
      <c r="C48">
        <v>0</v>
      </c>
      <c r="D48">
        <v>0</v>
      </c>
      <c r="E48">
        <v>48</v>
      </c>
      <c r="F48">
        <v>0</v>
      </c>
      <c r="G48">
        <v>200</v>
      </c>
      <c r="H48">
        <v>0</v>
      </c>
      <c r="I48">
        <v>6</v>
      </c>
      <c r="J48">
        <v>0</v>
      </c>
      <c r="K48">
        <v>0</v>
      </c>
      <c r="M48" s="949" t="s">
        <v>4556</v>
      </c>
      <c r="N48" t="s">
        <v>4557</v>
      </c>
      <c r="O48">
        <v>45</v>
      </c>
      <c r="Q48" s="949" t="s">
        <v>4558</v>
      </c>
      <c r="R48" t="s">
        <v>4559</v>
      </c>
      <c r="S48">
        <v>165</v>
      </c>
    </row>
    <row r="49" spans="1:20" x14ac:dyDescent="0.2">
      <c r="A49" t="s">
        <v>4304</v>
      </c>
      <c r="B49">
        <v>8</v>
      </c>
      <c r="C49">
        <v>0</v>
      </c>
      <c r="D49">
        <v>0</v>
      </c>
      <c r="E49">
        <v>26</v>
      </c>
      <c r="F49">
        <v>0</v>
      </c>
      <c r="G49">
        <v>110</v>
      </c>
      <c r="H49">
        <v>0</v>
      </c>
      <c r="I49">
        <v>3</v>
      </c>
      <c r="J49">
        <v>0</v>
      </c>
      <c r="K49">
        <v>0</v>
      </c>
      <c r="M49" s="949" t="s">
        <v>4560</v>
      </c>
      <c r="N49" t="s">
        <v>4561</v>
      </c>
      <c r="O49">
        <v>46</v>
      </c>
      <c r="Q49" s="949" t="s">
        <v>4562</v>
      </c>
      <c r="R49" t="s">
        <v>4563</v>
      </c>
      <c r="S49">
        <v>166</v>
      </c>
    </row>
    <row r="50" spans="1:20" x14ac:dyDescent="0.2">
      <c r="A50" t="s">
        <v>4305</v>
      </c>
      <c r="B50">
        <v>143</v>
      </c>
      <c r="C50">
        <v>0</v>
      </c>
      <c r="D50">
        <v>0</v>
      </c>
      <c r="E50">
        <v>476</v>
      </c>
      <c r="F50">
        <v>1</v>
      </c>
      <c r="G50">
        <v>1986</v>
      </c>
      <c r="H50">
        <v>0</v>
      </c>
      <c r="I50">
        <v>58</v>
      </c>
      <c r="J50">
        <v>0</v>
      </c>
      <c r="K50">
        <v>0</v>
      </c>
      <c r="M50" s="949" t="s">
        <v>419</v>
      </c>
      <c r="N50" t="s">
        <v>4564</v>
      </c>
      <c r="O50">
        <v>47</v>
      </c>
      <c r="Q50" s="949" t="s">
        <v>4565</v>
      </c>
      <c r="R50" t="s">
        <v>4566</v>
      </c>
      <c r="S50">
        <v>167</v>
      </c>
    </row>
    <row r="51" spans="1:20" x14ac:dyDescent="0.2">
      <c r="A51" t="s">
        <v>4306</v>
      </c>
      <c r="B51">
        <v>15</v>
      </c>
      <c r="C51">
        <v>0</v>
      </c>
      <c r="D51">
        <v>0</v>
      </c>
      <c r="E51">
        <v>30</v>
      </c>
      <c r="F51">
        <v>0</v>
      </c>
      <c r="G51">
        <v>125</v>
      </c>
      <c r="H51">
        <v>0</v>
      </c>
      <c r="I51">
        <v>4</v>
      </c>
      <c r="J51">
        <v>0</v>
      </c>
      <c r="K51">
        <v>0</v>
      </c>
      <c r="M51" s="949" t="s">
        <v>420</v>
      </c>
      <c r="N51" t="s">
        <v>4567</v>
      </c>
      <c r="O51">
        <v>48</v>
      </c>
      <c r="Q51" s="949" t="s">
        <v>4568</v>
      </c>
      <c r="R51" t="s">
        <v>4569</v>
      </c>
      <c r="S51">
        <v>168</v>
      </c>
    </row>
    <row r="52" spans="1:20" x14ac:dyDescent="0.2">
      <c r="A52" t="s">
        <v>4307</v>
      </c>
      <c r="B52">
        <v>510</v>
      </c>
      <c r="C52">
        <v>0</v>
      </c>
      <c r="D52">
        <v>0</v>
      </c>
      <c r="E52">
        <v>344</v>
      </c>
      <c r="F52">
        <v>2</v>
      </c>
      <c r="G52">
        <v>1435</v>
      </c>
      <c r="H52">
        <v>0</v>
      </c>
      <c r="I52">
        <v>42</v>
      </c>
      <c r="J52">
        <v>0</v>
      </c>
      <c r="K52">
        <v>0</v>
      </c>
      <c r="M52" s="949" t="s">
        <v>4570</v>
      </c>
      <c r="N52" t="s">
        <v>4571</v>
      </c>
      <c r="O52">
        <v>49</v>
      </c>
      <c r="Q52" s="949" t="s">
        <v>4572</v>
      </c>
      <c r="R52" t="s">
        <v>4573</v>
      </c>
      <c r="S52">
        <v>169</v>
      </c>
    </row>
    <row r="53" spans="1:20" x14ac:dyDescent="0.2">
      <c r="A53" t="s">
        <v>4308</v>
      </c>
      <c r="B53">
        <v>2</v>
      </c>
      <c r="C53">
        <v>0</v>
      </c>
      <c r="D53">
        <v>0</v>
      </c>
      <c r="E53">
        <v>1</v>
      </c>
      <c r="F53">
        <v>0</v>
      </c>
      <c r="G53">
        <v>5</v>
      </c>
      <c r="H53">
        <v>0</v>
      </c>
      <c r="I53">
        <v>0</v>
      </c>
      <c r="J53">
        <v>0</v>
      </c>
      <c r="K53">
        <v>0</v>
      </c>
      <c r="M53" s="1719" t="s">
        <v>4574</v>
      </c>
      <c r="N53" t="s">
        <v>4575</v>
      </c>
      <c r="O53">
        <v>50</v>
      </c>
      <c r="Q53" s="1719" t="s">
        <v>4576</v>
      </c>
      <c r="R53" t="s">
        <v>4577</v>
      </c>
      <c r="S53">
        <v>170</v>
      </c>
    </row>
    <row r="54" spans="1:20" x14ac:dyDescent="0.2">
      <c r="A54" t="s">
        <v>4309</v>
      </c>
      <c r="B54">
        <v>0</v>
      </c>
      <c r="C54">
        <v>0</v>
      </c>
      <c r="D54">
        <v>0</v>
      </c>
      <c r="E54">
        <v>0</v>
      </c>
      <c r="F54">
        <v>0</v>
      </c>
      <c r="G54">
        <v>0</v>
      </c>
      <c r="H54">
        <v>0</v>
      </c>
      <c r="I54">
        <v>0</v>
      </c>
      <c r="J54">
        <v>0</v>
      </c>
      <c r="K54">
        <v>0</v>
      </c>
      <c r="M54" s="949" t="s">
        <v>4578</v>
      </c>
      <c r="N54" t="s">
        <v>4579</v>
      </c>
      <c r="O54">
        <v>51</v>
      </c>
      <c r="Q54" s="949" t="s">
        <v>4580</v>
      </c>
      <c r="R54" t="s">
        <v>4581</v>
      </c>
      <c r="S54">
        <v>171</v>
      </c>
      <c r="T54" s="180"/>
    </row>
    <row r="55" spans="1:20" x14ac:dyDescent="0.2">
      <c r="A55" t="s">
        <v>4310</v>
      </c>
      <c r="B55">
        <v>0</v>
      </c>
      <c r="C55">
        <v>0</v>
      </c>
      <c r="D55">
        <v>0</v>
      </c>
      <c r="E55">
        <v>0</v>
      </c>
      <c r="F55">
        <v>0</v>
      </c>
      <c r="G55">
        <v>0</v>
      </c>
      <c r="H55">
        <v>0</v>
      </c>
      <c r="I55">
        <v>0</v>
      </c>
      <c r="J55">
        <v>0</v>
      </c>
      <c r="K55">
        <v>0</v>
      </c>
      <c r="M55" s="949" t="s">
        <v>4582</v>
      </c>
      <c r="N55" t="s">
        <v>4583</v>
      </c>
      <c r="O55">
        <v>52</v>
      </c>
      <c r="Q55" s="949" t="s">
        <v>4584</v>
      </c>
      <c r="R55" t="s">
        <v>4585</v>
      </c>
      <c r="S55">
        <v>172</v>
      </c>
    </row>
    <row r="56" spans="1:20" x14ac:dyDescent="0.2">
      <c r="A56" t="s">
        <v>4311</v>
      </c>
      <c r="B56">
        <v>0</v>
      </c>
      <c r="C56">
        <v>0</v>
      </c>
      <c r="D56">
        <v>0</v>
      </c>
      <c r="E56">
        <v>0</v>
      </c>
      <c r="F56">
        <v>0</v>
      </c>
      <c r="G56">
        <v>0</v>
      </c>
      <c r="H56">
        <v>0</v>
      </c>
      <c r="I56">
        <v>0</v>
      </c>
      <c r="J56">
        <v>0</v>
      </c>
      <c r="K56">
        <v>0</v>
      </c>
      <c r="M56" s="949" t="s">
        <v>4586</v>
      </c>
      <c r="N56" t="s">
        <v>4587</v>
      </c>
      <c r="O56">
        <v>53</v>
      </c>
      <c r="Q56" s="949" t="s">
        <v>4588</v>
      </c>
      <c r="R56" t="s">
        <v>4589</v>
      </c>
      <c r="S56">
        <v>173</v>
      </c>
    </row>
    <row r="57" spans="1:20" x14ac:dyDescent="0.2">
      <c r="A57" t="s">
        <v>4312</v>
      </c>
      <c r="B57">
        <v>0</v>
      </c>
      <c r="C57">
        <v>0</v>
      </c>
      <c r="D57">
        <v>0</v>
      </c>
      <c r="E57">
        <v>0</v>
      </c>
      <c r="F57">
        <v>0</v>
      </c>
      <c r="G57">
        <v>0</v>
      </c>
      <c r="H57">
        <v>0</v>
      </c>
      <c r="I57">
        <v>0</v>
      </c>
      <c r="J57">
        <v>0</v>
      </c>
      <c r="K57">
        <v>0</v>
      </c>
      <c r="M57" s="949" t="s">
        <v>4590</v>
      </c>
      <c r="N57" t="s">
        <v>4591</v>
      </c>
      <c r="O57">
        <v>54</v>
      </c>
      <c r="Q57" s="949" t="s">
        <v>4592</v>
      </c>
      <c r="R57" t="s">
        <v>4593</v>
      </c>
      <c r="S57">
        <v>174</v>
      </c>
    </row>
    <row r="58" spans="1:20" x14ac:dyDescent="0.2">
      <c r="A58" t="s">
        <v>4313</v>
      </c>
      <c r="B58">
        <v>0</v>
      </c>
      <c r="C58">
        <v>0</v>
      </c>
      <c r="D58">
        <v>0</v>
      </c>
      <c r="E58">
        <v>0</v>
      </c>
      <c r="F58">
        <v>0</v>
      </c>
      <c r="G58">
        <v>0</v>
      </c>
      <c r="H58">
        <v>0</v>
      </c>
      <c r="I58">
        <v>0</v>
      </c>
      <c r="J58">
        <v>0</v>
      </c>
      <c r="K58">
        <v>0</v>
      </c>
      <c r="M58" s="949" t="s">
        <v>4594</v>
      </c>
      <c r="N58" t="s">
        <v>4595</v>
      </c>
      <c r="O58">
        <v>55</v>
      </c>
      <c r="Q58" s="949" t="s">
        <v>4596</v>
      </c>
      <c r="R58" t="s">
        <v>4597</v>
      </c>
      <c r="S58">
        <v>175</v>
      </c>
    </row>
    <row r="59" spans="1:20" x14ac:dyDescent="0.2">
      <c r="A59" t="s">
        <v>4314</v>
      </c>
      <c r="B59">
        <v>0</v>
      </c>
      <c r="C59">
        <v>0</v>
      </c>
      <c r="D59">
        <v>0</v>
      </c>
      <c r="E59">
        <v>0</v>
      </c>
      <c r="F59">
        <v>0</v>
      </c>
      <c r="G59">
        <v>0</v>
      </c>
      <c r="H59">
        <v>0</v>
      </c>
      <c r="I59">
        <v>0</v>
      </c>
      <c r="J59">
        <v>0</v>
      </c>
      <c r="K59">
        <v>0</v>
      </c>
      <c r="M59" s="949" t="s">
        <v>4598</v>
      </c>
      <c r="N59" t="s">
        <v>4599</v>
      </c>
      <c r="O59">
        <v>56</v>
      </c>
      <c r="Q59" s="949" t="s">
        <v>4600</v>
      </c>
      <c r="R59" t="s">
        <v>4601</v>
      </c>
      <c r="S59">
        <v>176</v>
      </c>
    </row>
    <row r="60" spans="1:20" x14ac:dyDescent="0.2">
      <c r="A60" t="s">
        <v>4315</v>
      </c>
      <c r="B60">
        <v>0</v>
      </c>
      <c r="C60">
        <v>0</v>
      </c>
      <c r="D60">
        <v>0</v>
      </c>
      <c r="E60">
        <v>0</v>
      </c>
      <c r="F60">
        <v>0</v>
      </c>
      <c r="G60">
        <v>0</v>
      </c>
      <c r="H60">
        <v>0</v>
      </c>
      <c r="I60">
        <v>0</v>
      </c>
      <c r="J60">
        <v>0</v>
      </c>
      <c r="K60">
        <v>0</v>
      </c>
      <c r="M60" s="949" t="s">
        <v>412</v>
      </c>
      <c r="N60" t="s">
        <v>4602</v>
      </c>
      <c r="O60">
        <v>57</v>
      </c>
      <c r="Q60" s="949" t="s">
        <v>4603</v>
      </c>
      <c r="R60" t="s">
        <v>4604</v>
      </c>
      <c r="S60">
        <v>177</v>
      </c>
    </row>
    <row r="61" spans="1:20" x14ac:dyDescent="0.2">
      <c r="A61" t="s">
        <v>4316</v>
      </c>
      <c r="B61">
        <v>0</v>
      </c>
      <c r="C61">
        <v>0</v>
      </c>
      <c r="D61">
        <v>0</v>
      </c>
      <c r="E61">
        <v>0</v>
      </c>
      <c r="F61">
        <v>0</v>
      </c>
      <c r="G61">
        <v>0</v>
      </c>
      <c r="H61">
        <v>0</v>
      </c>
      <c r="I61">
        <v>0</v>
      </c>
      <c r="J61">
        <v>0</v>
      </c>
      <c r="K61">
        <v>0</v>
      </c>
      <c r="M61" s="949" t="s">
        <v>413</v>
      </c>
      <c r="N61" t="s">
        <v>4605</v>
      </c>
      <c r="O61">
        <v>58</v>
      </c>
      <c r="Q61" s="949" t="s">
        <v>4606</v>
      </c>
      <c r="R61" t="s">
        <v>4607</v>
      </c>
      <c r="S61">
        <v>178</v>
      </c>
    </row>
    <row r="62" spans="1:20" x14ac:dyDescent="0.2">
      <c r="A62" t="s">
        <v>4317</v>
      </c>
      <c r="B62">
        <v>0</v>
      </c>
      <c r="C62">
        <v>0</v>
      </c>
      <c r="D62">
        <v>0</v>
      </c>
      <c r="E62">
        <v>0</v>
      </c>
      <c r="F62">
        <v>0</v>
      </c>
      <c r="G62">
        <v>0</v>
      </c>
      <c r="H62">
        <v>0</v>
      </c>
      <c r="I62">
        <v>0</v>
      </c>
      <c r="J62">
        <v>0</v>
      </c>
      <c r="K62">
        <v>0</v>
      </c>
      <c r="M62" s="949" t="s">
        <v>4608</v>
      </c>
      <c r="N62" t="s">
        <v>4609</v>
      </c>
      <c r="O62">
        <v>59</v>
      </c>
      <c r="Q62" s="949" t="s">
        <v>4610</v>
      </c>
      <c r="R62" t="s">
        <v>4611</v>
      </c>
      <c r="S62">
        <v>179</v>
      </c>
    </row>
    <row r="63" spans="1:20" x14ac:dyDescent="0.2">
      <c r="A63" t="s">
        <v>4318</v>
      </c>
      <c r="B63">
        <v>0</v>
      </c>
      <c r="C63">
        <v>0</v>
      </c>
      <c r="D63">
        <v>0</v>
      </c>
      <c r="E63">
        <v>0</v>
      </c>
      <c r="F63">
        <v>0</v>
      </c>
      <c r="G63">
        <v>0</v>
      </c>
      <c r="H63">
        <v>0</v>
      </c>
      <c r="I63">
        <v>0</v>
      </c>
      <c r="J63">
        <v>0</v>
      </c>
      <c r="K63">
        <v>0</v>
      </c>
      <c r="M63" s="1719" t="s">
        <v>4612</v>
      </c>
      <c r="N63" t="s">
        <v>4613</v>
      </c>
      <c r="O63">
        <v>60</v>
      </c>
      <c r="Q63" s="1719" t="s">
        <v>4614</v>
      </c>
      <c r="R63" t="s">
        <v>4615</v>
      </c>
      <c r="S63">
        <v>180</v>
      </c>
    </row>
    <row r="64" spans="1:20" x14ac:dyDescent="0.2">
      <c r="A64" t="s">
        <v>4319</v>
      </c>
      <c r="B64">
        <v>0</v>
      </c>
      <c r="C64">
        <v>0</v>
      </c>
      <c r="D64">
        <v>0</v>
      </c>
      <c r="E64">
        <v>0</v>
      </c>
      <c r="F64">
        <v>0</v>
      </c>
      <c r="G64">
        <v>0</v>
      </c>
      <c r="H64">
        <v>0</v>
      </c>
      <c r="I64">
        <v>0</v>
      </c>
      <c r="J64">
        <v>0</v>
      </c>
      <c r="K64">
        <v>0</v>
      </c>
      <c r="M64" s="949" t="s">
        <v>4616</v>
      </c>
      <c r="N64" t="s">
        <v>4617</v>
      </c>
      <c r="O64">
        <v>61</v>
      </c>
      <c r="Q64" s="949" t="s">
        <v>4618</v>
      </c>
      <c r="R64" t="s">
        <v>4619</v>
      </c>
      <c r="S64">
        <v>181</v>
      </c>
      <c r="T64" s="180"/>
    </row>
    <row r="65" spans="1:20" x14ac:dyDescent="0.2">
      <c r="A65" t="s">
        <v>4320</v>
      </c>
      <c r="B65">
        <v>0</v>
      </c>
      <c r="C65">
        <v>0</v>
      </c>
      <c r="D65">
        <v>0</v>
      </c>
      <c r="E65">
        <v>0</v>
      </c>
      <c r="F65">
        <v>0</v>
      </c>
      <c r="G65">
        <v>0</v>
      </c>
      <c r="H65">
        <v>0</v>
      </c>
      <c r="I65">
        <v>0</v>
      </c>
      <c r="J65">
        <v>0</v>
      </c>
      <c r="K65">
        <v>0</v>
      </c>
      <c r="M65" s="949" t="s">
        <v>4620</v>
      </c>
      <c r="N65" t="s">
        <v>4621</v>
      </c>
      <c r="O65">
        <v>62</v>
      </c>
      <c r="Q65" s="949" t="s">
        <v>4622</v>
      </c>
      <c r="R65" t="s">
        <v>4623</v>
      </c>
      <c r="S65">
        <v>182</v>
      </c>
    </row>
    <row r="66" spans="1:20" x14ac:dyDescent="0.2">
      <c r="A66" t="s">
        <v>4321</v>
      </c>
      <c r="B66">
        <v>0</v>
      </c>
      <c r="C66">
        <v>0</v>
      </c>
      <c r="D66">
        <v>0</v>
      </c>
      <c r="E66">
        <v>0</v>
      </c>
      <c r="F66">
        <v>0</v>
      </c>
      <c r="G66">
        <v>0</v>
      </c>
      <c r="H66">
        <v>0</v>
      </c>
      <c r="I66">
        <v>0</v>
      </c>
      <c r="J66">
        <v>0</v>
      </c>
      <c r="K66">
        <v>0</v>
      </c>
      <c r="M66" s="949" t="s">
        <v>4624</v>
      </c>
      <c r="N66" t="s">
        <v>4625</v>
      </c>
      <c r="O66">
        <v>63</v>
      </c>
      <c r="Q66" s="949" t="s">
        <v>4626</v>
      </c>
      <c r="R66" t="s">
        <v>4627</v>
      </c>
      <c r="S66">
        <v>183</v>
      </c>
    </row>
    <row r="67" spans="1:20" x14ac:dyDescent="0.2">
      <c r="A67" t="s">
        <v>4322</v>
      </c>
      <c r="B67">
        <v>0</v>
      </c>
      <c r="C67">
        <v>0</v>
      </c>
      <c r="D67">
        <v>0</v>
      </c>
      <c r="E67">
        <v>0</v>
      </c>
      <c r="F67">
        <v>0</v>
      </c>
      <c r="G67">
        <v>0</v>
      </c>
      <c r="H67">
        <v>0</v>
      </c>
      <c r="I67">
        <v>0</v>
      </c>
      <c r="J67">
        <v>0</v>
      </c>
      <c r="K67">
        <v>0</v>
      </c>
      <c r="M67" s="949" t="s">
        <v>4628</v>
      </c>
      <c r="N67" t="s">
        <v>4629</v>
      </c>
      <c r="O67">
        <v>64</v>
      </c>
      <c r="Q67" s="949" t="s">
        <v>4630</v>
      </c>
      <c r="R67" t="s">
        <v>4631</v>
      </c>
      <c r="S67">
        <v>184</v>
      </c>
    </row>
    <row r="68" spans="1:20" x14ac:dyDescent="0.2">
      <c r="A68" t="s">
        <v>4323</v>
      </c>
      <c r="B68">
        <v>0</v>
      </c>
      <c r="C68">
        <v>0</v>
      </c>
      <c r="D68">
        <v>0</v>
      </c>
      <c r="E68">
        <v>0</v>
      </c>
      <c r="F68">
        <v>0</v>
      </c>
      <c r="G68">
        <v>0</v>
      </c>
      <c r="H68">
        <v>0</v>
      </c>
      <c r="I68">
        <v>0</v>
      </c>
      <c r="J68">
        <v>0</v>
      </c>
      <c r="K68">
        <v>0</v>
      </c>
      <c r="M68" s="949" t="s">
        <v>4632</v>
      </c>
      <c r="N68" t="s">
        <v>4633</v>
      </c>
      <c r="O68">
        <v>65</v>
      </c>
      <c r="Q68" s="949" t="s">
        <v>4634</v>
      </c>
      <c r="R68" t="s">
        <v>4635</v>
      </c>
      <c r="S68">
        <v>185</v>
      </c>
    </row>
    <row r="69" spans="1:20" x14ac:dyDescent="0.2">
      <c r="A69" t="s">
        <v>4324</v>
      </c>
      <c r="B69">
        <v>0</v>
      </c>
      <c r="C69">
        <v>0</v>
      </c>
      <c r="D69">
        <v>0</v>
      </c>
      <c r="E69">
        <v>0</v>
      </c>
      <c r="F69">
        <v>0</v>
      </c>
      <c r="G69">
        <v>0</v>
      </c>
      <c r="H69">
        <v>0</v>
      </c>
      <c r="I69">
        <v>0</v>
      </c>
      <c r="J69">
        <v>0</v>
      </c>
      <c r="K69">
        <v>0</v>
      </c>
      <c r="M69" s="949" t="s">
        <v>4636</v>
      </c>
      <c r="N69" t="s">
        <v>4637</v>
      </c>
      <c r="O69">
        <v>66</v>
      </c>
      <c r="Q69" s="949" t="s">
        <v>4638</v>
      </c>
      <c r="R69" t="s">
        <v>4639</v>
      </c>
      <c r="S69">
        <v>186</v>
      </c>
    </row>
    <row r="70" spans="1:20" x14ac:dyDescent="0.2">
      <c r="A70" t="s">
        <v>4325</v>
      </c>
      <c r="B70">
        <v>0</v>
      </c>
      <c r="C70">
        <v>0</v>
      </c>
      <c r="D70">
        <v>0</v>
      </c>
      <c r="E70">
        <v>0</v>
      </c>
      <c r="F70">
        <v>0</v>
      </c>
      <c r="G70">
        <v>0</v>
      </c>
      <c r="H70">
        <v>0</v>
      </c>
      <c r="I70">
        <v>0</v>
      </c>
      <c r="J70">
        <v>0</v>
      </c>
      <c r="K70">
        <v>0</v>
      </c>
      <c r="M70" s="949" t="s">
        <v>405</v>
      </c>
      <c r="N70" t="s">
        <v>4640</v>
      </c>
      <c r="O70">
        <v>67</v>
      </c>
      <c r="Q70" s="949" t="s">
        <v>4641</v>
      </c>
      <c r="R70" t="s">
        <v>4642</v>
      </c>
      <c r="S70">
        <v>187</v>
      </c>
    </row>
    <row r="71" spans="1:20" x14ac:dyDescent="0.2">
      <c r="A71" t="s">
        <v>4326</v>
      </c>
      <c r="B71">
        <v>0</v>
      </c>
      <c r="C71">
        <v>0</v>
      </c>
      <c r="D71">
        <v>0</v>
      </c>
      <c r="E71">
        <v>0</v>
      </c>
      <c r="F71">
        <v>0</v>
      </c>
      <c r="G71">
        <v>0</v>
      </c>
      <c r="H71">
        <v>0</v>
      </c>
      <c r="I71">
        <v>0</v>
      </c>
      <c r="J71">
        <v>0</v>
      </c>
      <c r="K71">
        <v>0</v>
      </c>
      <c r="M71" s="949" t="s">
        <v>406</v>
      </c>
      <c r="N71" t="s">
        <v>4643</v>
      </c>
      <c r="O71">
        <v>68</v>
      </c>
      <c r="Q71" s="949" t="s">
        <v>4644</v>
      </c>
      <c r="R71" t="s">
        <v>4645</v>
      </c>
      <c r="S71">
        <v>188</v>
      </c>
    </row>
    <row r="72" spans="1:20" x14ac:dyDescent="0.2">
      <c r="A72" t="s">
        <v>4327</v>
      </c>
      <c r="B72">
        <v>0</v>
      </c>
      <c r="C72">
        <v>0</v>
      </c>
      <c r="D72">
        <v>0</v>
      </c>
      <c r="E72">
        <v>0</v>
      </c>
      <c r="F72">
        <v>0</v>
      </c>
      <c r="G72">
        <v>0</v>
      </c>
      <c r="H72">
        <v>0</v>
      </c>
      <c r="I72">
        <v>0</v>
      </c>
      <c r="J72">
        <v>0</v>
      </c>
      <c r="K72">
        <v>0</v>
      </c>
      <c r="M72" s="949" t="s">
        <v>4646</v>
      </c>
      <c r="N72" t="s">
        <v>4647</v>
      </c>
      <c r="O72">
        <v>69</v>
      </c>
      <c r="Q72" s="949" t="s">
        <v>4648</v>
      </c>
      <c r="R72" t="s">
        <v>4649</v>
      </c>
      <c r="S72">
        <v>189</v>
      </c>
    </row>
    <row r="73" spans="1:20" x14ac:dyDescent="0.2">
      <c r="A73" t="s">
        <v>4328</v>
      </c>
      <c r="B73">
        <v>0</v>
      </c>
      <c r="C73">
        <v>0</v>
      </c>
      <c r="D73">
        <v>0</v>
      </c>
      <c r="E73">
        <v>0</v>
      </c>
      <c r="F73">
        <v>0</v>
      </c>
      <c r="G73">
        <v>0</v>
      </c>
      <c r="H73">
        <v>0</v>
      </c>
      <c r="I73">
        <v>0</v>
      </c>
      <c r="J73">
        <v>0</v>
      </c>
      <c r="K73">
        <v>0</v>
      </c>
      <c r="M73" s="1719" t="s">
        <v>4650</v>
      </c>
      <c r="N73" t="s">
        <v>4651</v>
      </c>
      <c r="O73">
        <v>70</v>
      </c>
      <c r="Q73" s="1719" t="s">
        <v>4652</v>
      </c>
      <c r="R73" t="s">
        <v>4653</v>
      </c>
      <c r="S73">
        <v>190</v>
      </c>
    </row>
    <row r="74" spans="1:20" x14ac:dyDescent="0.2">
      <c r="A74" t="s">
        <v>4329</v>
      </c>
      <c r="B74">
        <v>0</v>
      </c>
      <c r="C74">
        <v>0</v>
      </c>
      <c r="D74">
        <v>0</v>
      </c>
      <c r="E74">
        <v>0</v>
      </c>
      <c r="F74">
        <v>0</v>
      </c>
      <c r="G74">
        <v>0</v>
      </c>
      <c r="H74">
        <v>0</v>
      </c>
      <c r="I74">
        <v>0</v>
      </c>
      <c r="J74">
        <v>0</v>
      </c>
      <c r="K74">
        <v>0</v>
      </c>
      <c r="M74" s="949" t="s">
        <v>4654</v>
      </c>
      <c r="N74" t="s">
        <v>4655</v>
      </c>
      <c r="O74">
        <v>71</v>
      </c>
      <c r="Q74" s="949" t="s">
        <v>4656</v>
      </c>
      <c r="R74" t="s">
        <v>4657</v>
      </c>
      <c r="S74">
        <v>191</v>
      </c>
      <c r="T74" s="180"/>
    </row>
    <row r="75" spans="1:20" x14ac:dyDescent="0.2">
      <c r="A75" t="s">
        <v>4330</v>
      </c>
      <c r="B75">
        <v>0</v>
      </c>
      <c r="C75">
        <v>0</v>
      </c>
      <c r="D75">
        <v>0</v>
      </c>
      <c r="E75">
        <v>0</v>
      </c>
      <c r="F75">
        <v>0</v>
      </c>
      <c r="G75">
        <v>0</v>
      </c>
      <c r="H75">
        <v>0</v>
      </c>
      <c r="I75">
        <v>0</v>
      </c>
      <c r="J75">
        <v>0</v>
      </c>
      <c r="K75">
        <v>0</v>
      </c>
      <c r="M75" s="949" t="s">
        <v>4658</v>
      </c>
      <c r="N75" t="s">
        <v>4659</v>
      </c>
      <c r="O75">
        <v>72</v>
      </c>
      <c r="Q75" s="949" t="s">
        <v>4660</v>
      </c>
      <c r="R75" t="s">
        <v>4661</v>
      </c>
      <c r="S75">
        <v>192</v>
      </c>
    </row>
    <row r="76" spans="1:20" x14ac:dyDescent="0.2">
      <c r="A76" t="s">
        <v>4331</v>
      </c>
      <c r="B76">
        <v>0</v>
      </c>
      <c r="C76">
        <v>0</v>
      </c>
      <c r="D76">
        <v>0</v>
      </c>
      <c r="E76">
        <v>0</v>
      </c>
      <c r="F76">
        <v>0</v>
      </c>
      <c r="G76">
        <v>0</v>
      </c>
      <c r="H76">
        <v>0</v>
      </c>
      <c r="I76">
        <v>0</v>
      </c>
      <c r="J76">
        <v>0</v>
      </c>
      <c r="K76">
        <v>0</v>
      </c>
      <c r="M76" s="949" t="s">
        <v>400</v>
      </c>
      <c r="N76" t="s">
        <v>4662</v>
      </c>
      <c r="O76">
        <v>73</v>
      </c>
      <c r="Q76" s="949" t="s">
        <v>4663</v>
      </c>
      <c r="R76" t="s">
        <v>4664</v>
      </c>
      <c r="S76">
        <v>193</v>
      </c>
    </row>
    <row r="77" spans="1:20" x14ac:dyDescent="0.2">
      <c r="A77" t="s">
        <v>4332</v>
      </c>
      <c r="B77">
        <v>0</v>
      </c>
      <c r="C77">
        <v>0</v>
      </c>
      <c r="D77">
        <v>0</v>
      </c>
      <c r="E77">
        <v>0</v>
      </c>
      <c r="F77">
        <v>0</v>
      </c>
      <c r="G77">
        <v>0</v>
      </c>
      <c r="H77">
        <v>0</v>
      </c>
      <c r="I77">
        <v>0</v>
      </c>
      <c r="J77">
        <v>0</v>
      </c>
      <c r="K77">
        <v>0</v>
      </c>
      <c r="M77" s="949" t="s">
        <v>401</v>
      </c>
      <c r="N77" t="s">
        <v>4665</v>
      </c>
      <c r="O77">
        <v>74</v>
      </c>
      <c r="Q77" s="949" t="s">
        <v>4666</v>
      </c>
      <c r="R77" t="s">
        <v>4667</v>
      </c>
      <c r="S77">
        <v>194</v>
      </c>
    </row>
    <row r="78" spans="1:20" x14ac:dyDescent="0.2">
      <c r="A78" t="s">
        <v>4333</v>
      </c>
      <c r="B78">
        <v>0</v>
      </c>
      <c r="C78">
        <v>0</v>
      </c>
      <c r="D78">
        <v>0</v>
      </c>
      <c r="E78">
        <v>0</v>
      </c>
      <c r="F78">
        <v>0</v>
      </c>
      <c r="G78">
        <v>0</v>
      </c>
      <c r="H78">
        <v>0</v>
      </c>
      <c r="I78">
        <v>0</v>
      </c>
      <c r="J78">
        <v>0</v>
      </c>
      <c r="K78">
        <v>0</v>
      </c>
      <c r="M78" s="949" t="s">
        <v>4668</v>
      </c>
      <c r="N78" t="s">
        <v>4669</v>
      </c>
      <c r="O78">
        <v>75</v>
      </c>
      <c r="Q78" s="949" t="s">
        <v>4670</v>
      </c>
      <c r="R78" t="s">
        <v>4671</v>
      </c>
      <c r="S78">
        <v>195</v>
      </c>
    </row>
    <row r="79" spans="1:20" x14ac:dyDescent="0.2">
      <c r="A79" t="s">
        <v>4334</v>
      </c>
      <c r="B79">
        <v>0</v>
      </c>
      <c r="C79">
        <v>0</v>
      </c>
      <c r="D79">
        <v>0</v>
      </c>
      <c r="E79">
        <v>0</v>
      </c>
      <c r="F79">
        <v>0</v>
      </c>
      <c r="G79">
        <v>0</v>
      </c>
      <c r="H79">
        <v>0</v>
      </c>
      <c r="I79">
        <v>0</v>
      </c>
      <c r="J79">
        <v>0</v>
      </c>
      <c r="K79">
        <v>0</v>
      </c>
      <c r="M79" s="949" t="s">
        <v>4672</v>
      </c>
      <c r="N79" t="s">
        <v>4673</v>
      </c>
      <c r="O79">
        <v>76</v>
      </c>
      <c r="Q79" s="949" t="s">
        <v>4674</v>
      </c>
      <c r="R79" t="s">
        <v>4675</v>
      </c>
      <c r="S79">
        <v>196</v>
      </c>
    </row>
    <row r="80" spans="1:20" x14ac:dyDescent="0.2">
      <c r="A80" t="s">
        <v>4335</v>
      </c>
      <c r="B80">
        <v>0</v>
      </c>
      <c r="C80">
        <v>0</v>
      </c>
      <c r="D80">
        <v>0</v>
      </c>
      <c r="E80">
        <v>0</v>
      </c>
      <c r="F80">
        <v>0</v>
      </c>
      <c r="G80">
        <v>0</v>
      </c>
      <c r="H80">
        <v>0</v>
      </c>
      <c r="I80">
        <v>0</v>
      </c>
      <c r="J80">
        <v>0</v>
      </c>
      <c r="K80">
        <v>0</v>
      </c>
      <c r="M80" s="949" t="s">
        <v>4676</v>
      </c>
      <c r="N80" t="s">
        <v>4677</v>
      </c>
      <c r="O80">
        <v>77</v>
      </c>
      <c r="Q80" s="949" t="s">
        <v>4678</v>
      </c>
      <c r="R80" t="s">
        <v>4679</v>
      </c>
      <c r="S80">
        <v>197</v>
      </c>
    </row>
    <row r="81" spans="1:20" x14ac:dyDescent="0.2">
      <c r="A81" t="s">
        <v>4336</v>
      </c>
      <c r="B81">
        <v>0</v>
      </c>
      <c r="C81">
        <v>0</v>
      </c>
      <c r="D81">
        <v>0</v>
      </c>
      <c r="E81">
        <v>0</v>
      </c>
      <c r="F81">
        <v>0</v>
      </c>
      <c r="G81">
        <v>0</v>
      </c>
      <c r="H81">
        <v>0</v>
      </c>
      <c r="I81">
        <v>0</v>
      </c>
      <c r="J81">
        <v>0</v>
      </c>
      <c r="K81">
        <v>0</v>
      </c>
      <c r="M81" s="949" t="s">
        <v>4680</v>
      </c>
      <c r="N81" t="s">
        <v>4681</v>
      </c>
      <c r="O81">
        <v>78</v>
      </c>
      <c r="Q81" s="949" t="s">
        <v>4682</v>
      </c>
      <c r="R81" t="s">
        <v>4683</v>
      </c>
      <c r="S81">
        <v>198</v>
      </c>
    </row>
    <row r="82" spans="1:20" x14ac:dyDescent="0.2">
      <c r="A82" t="s">
        <v>4337</v>
      </c>
      <c r="B82">
        <v>0</v>
      </c>
      <c r="C82">
        <v>0</v>
      </c>
      <c r="D82">
        <v>0</v>
      </c>
      <c r="E82">
        <v>0</v>
      </c>
      <c r="F82">
        <v>0</v>
      </c>
      <c r="G82">
        <v>0</v>
      </c>
      <c r="H82">
        <v>0</v>
      </c>
      <c r="I82">
        <v>0</v>
      </c>
      <c r="J82">
        <v>0</v>
      </c>
      <c r="K82">
        <v>0</v>
      </c>
      <c r="M82" s="949" t="s">
        <v>4684</v>
      </c>
      <c r="N82" t="s">
        <v>4685</v>
      </c>
      <c r="O82">
        <v>79</v>
      </c>
      <c r="Q82" s="949" t="s">
        <v>4686</v>
      </c>
      <c r="R82" t="s">
        <v>4687</v>
      </c>
      <c r="S82">
        <v>199</v>
      </c>
    </row>
    <row r="83" spans="1:20" x14ac:dyDescent="0.2">
      <c r="A83" t="s">
        <v>4338</v>
      </c>
      <c r="B83">
        <v>0</v>
      </c>
      <c r="C83">
        <v>0</v>
      </c>
      <c r="D83">
        <v>0</v>
      </c>
      <c r="E83">
        <v>0</v>
      </c>
      <c r="F83">
        <v>0</v>
      </c>
      <c r="G83">
        <v>0</v>
      </c>
      <c r="H83">
        <v>0</v>
      </c>
      <c r="I83">
        <v>0</v>
      </c>
      <c r="J83">
        <v>0</v>
      </c>
      <c r="K83">
        <v>0</v>
      </c>
      <c r="M83" s="1719" t="s">
        <v>4688</v>
      </c>
      <c r="N83" t="s">
        <v>4689</v>
      </c>
      <c r="O83">
        <v>80</v>
      </c>
      <c r="Q83" s="1719" t="s">
        <v>4690</v>
      </c>
      <c r="R83" t="s">
        <v>4691</v>
      </c>
      <c r="S83">
        <v>200</v>
      </c>
    </row>
    <row r="84" spans="1:20" x14ac:dyDescent="0.2">
      <c r="A84" t="s">
        <v>4339</v>
      </c>
      <c r="B84">
        <v>0</v>
      </c>
      <c r="C84">
        <v>0</v>
      </c>
      <c r="D84">
        <v>0</v>
      </c>
      <c r="E84">
        <v>0</v>
      </c>
      <c r="F84">
        <v>0</v>
      </c>
      <c r="G84">
        <v>0</v>
      </c>
      <c r="H84">
        <v>0</v>
      </c>
      <c r="I84">
        <v>0</v>
      </c>
      <c r="J84">
        <v>0</v>
      </c>
      <c r="K84">
        <v>0</v>
      </c>
      <c r="M84" s="949" t="s">
        <v>4692</v>
      </c>
      <c r="N84" t="s">
        <v>4693</v>
      </c>
      <c r="O84">
        <v>81</v>
      </c>
      <c r="Q84" s="949" t="s">
        <v>4694</v>
      </c>
      <c r="R84" t="s">
        <v>4695</v>
      </c>
      <c r="S84">
        <v>201</v>
      </c>
      <c r="T84" s="180"/>
    </row>
    <row r="85" spans="1:20" x14ac:dyDescent="0.2">
      <c r="A85" t="s">
        <v>4340</v>
      </c>
      <c r="B85">
        <v>0</v>
      </c>
      <c r="C85">
        <v>0</v>
      </c>
      <c r="D85">
        <v>0</v>
      </c>
      <c r="E85">
        <v>0</v>
      </c>
      <c r="F85">
        <v>0</v>
      </c>
      <c r="G85">
        <v>0</v>
      </c>
      <c r="H85">
        <v>0</v>
      </c>
      <c r="I85">
        <v>0</v>
      </c>
      <c r="J85">
        <v>0</v>
      </c>
      <c r="K85">
        <v>0</v>
      </c>
      <c r="M85" s="949" t="s">
        <v>4696</v>
      </c>
      <c r="N85" t="s">
        <v>4697</v>
      </c>
      <c r="O85">
        <v>82</v>
      </c>
      <c r="Q85" s="949" t="s">
        <v>4698</v>
      </c>
      <c r="R85" t="s">
        <v>4699</v>
      </c>
      <c r="S85">
        <v>202</v>
      </c>
    </row>
    <row r="86" spans="1:20" x14ac:dyDescent="0.2">
      <c r="A86" t="s">
        <v>4341</v>
      </c>
      <c r="B86">
        <v>0</v>
      </c>
      <c r="C86">
        <v>0</v>
      </c>
      <c r="D86">
        <v>0</v>
      </c>
      <c r="E86">
        <v>0</v>
      </c>
      <c r="F86">
        <v>0</v>
      </c>
      <c r="G86">
        <v>0</v>
      </c>
      <c r="H86">
        <v>0</v>
      </c>
      <c r="I86">
        <v>0</v>
      </c>
      <c r="J86">
        <v>0</v>
      </c>
      <c r="K86">
        <v>0</v>
      </c>
      <c r="M86" s="949" t="s">
        <v>394</v>
      </c>
      <c r="N86" t="s">
        <v>4700</v>
      </c>
      <c r="O86">
        <v>83</v>
      </c>
      <c r="Q86" s="949" t="s">
        <v>4701</v>
      </c>
      <c r="R86" t="s">
        <v>4702</v>
      </c>
      <c r="S86">
        <v>203</v>
      </c>
    </row>
    <row r="87" spans="1:20" x14ac:dyDescent="0.2">
      <c r="A87" t="s">
        <v>4342</v>
      </c>
      <c r="B87">
        <v>0</v>
      </c>
      <c r="C87">
        <v>0</v>
      </c>
      <c r="D87">
        <v>0</v>
      </c>
      <c r="E87">
        <v>0</v>
      </c>
      <c r="F87">
        <v>0</v>
      </c>
      <c r="G87">
        <v>0</v>
      </c>
      <c r="H87">
        <v>0</v>
      </c>
      <c r="I87">
        <v>0</v>
      </c>
      <c r="J87">
        <v>0</v>
      </c>
      <c r="K87">
        <v>0</v>
      </c>
      <c r="M87" s="949" t="s">
        <v>395</v>
      </c>
      <c r="N87" t="s">
        <v>4703</v>
      </c>
      <c r="O87">
        <v>84</v>
      </c>
      <c r="Q87" s="949" t="s">
        <v>4704</v>
      </c>
      <c r="R87" t="s">
        <v>4705</v>
      </c>
      <c r="S87">
        <v>204</v>
      </c>
    </row>
    <row r="88" spans="1:20" x14ac:dyDescent="0.2">
      <c r="A88" t="s">
        <v>4343</v>
      </c>
      <c r="B88">
        <v>0</v>
      </c>
      <c r="C88">
        <v>0</v>
      </c>
      <c r="D88">
        <v>0</v>
      </c>
      <c r="E88">
        <v>0</v>
      </c>
      <c r="F88">
        <v>0</v>
      </c>
      <c r="G88">
        <v>0</v>
      </c>
      <c r="H88">
        <v>0</v>
      </c>
      <c r="I88">
        <v>0</v>
      </c>
      <c r="J88">
        <v>0</v>
      </c>
      <c r="K88">
        <v>0</v>
      </c>
      <c r="M88" s="949" t="s">
        <v>4706</v>
      </c>
      <c r="N88" t="s">
        <v>4707</v>
      </c>
      <c r="O88">
        <v>85</v>
      </c>
      <c r="Q88" s="949" t="s">
        <v>4708</v>
      </c>
      <c r="R88" t="s">
        <v>4709</v>
      </c>
      <c r="S88">
        <v>205</v>
      </c>
    </row>
    <row r="89" spans="1:20" x14ac:dyDescent="0.2">
      <c r="A89" t="s">
        <v>1728</v>
      </c>
      <c r="B89">
        <v>0</v>
      </c>
      <c r="C89">
        <v>0</v>
      </c>
      <c r="D89">
        <v>0</v>
      </c>
      <c r="E89">
        <v>0</v>
      </c>
      <c r="F89">
        <v>0</v>
      </c>
      <c r="G89">
        <v>0</v>
      </c>
      <c r="H89">
        <v>0</v>
      </c>
      <c r="I89">
        <v>0</v>
      </c>
      <c r="J89">
        <v>0</v>
      </c>
      <c r="K89">
        <v>0</v>
      </c>
      <c r="M89" s="949" t="s">
        <v>4710</v>
      </c>
      <c r="N89" t="s">
        <v>4711</v>
      </c>
      <c r="O89">
        <v>86</v>
      </c>
      <c r="Q89" s="949" t="s">
        <v>4712</v>
      </c>
      <c r="R89" t="s">
        <v>4713</v>
      </c>
      <c r="S89">
        <v>206</v>
      </c>
    </row>
    <row r="90" spans="1:20" x14ac:dyDescent="0.2">
      <c r="A90" t="s">
        <v>1730</v>
      </c>
      <c r="B90">
        <v>18</v>
      </c>
      <c r="C90">
        <v>0</v>
      </c>
      <c r="D90">
        <v>0</v>
      </c>
      <c r="E90">
        <v>11</v>
      </c>
      <c r="F90">
        <v>0</v>
      </c>
      <c r="G90">
        <v>47</v>
      </c>
      <c r="H90">
        <v>0</v>
      </c>
      <c r="I90">
        <v>1</v>
      </c>
      <c r="J90">
        <v>0</v>
      </c>
      <c r="K90">
        <v>0</v>
      </c>
      <c r="M90" s="949" t="s">
        <v>4714</v>
      </c>
      <c r="N90" t="s">
        <v>4715</v>
      </c>
      <c r="O90">
        <v>87</v>
      </c>
      <c r="Q90" s="949" t="s">
        <v>4716</v>
      </c>
      <c r="R90" t="s">
        <v>4717</v>
      </c>
      <c r="S90">
        <v>207</v>
      </c>
    </row>
    <row r="91" spans="1:20" x14ac:dyDescent="0.2">
      <c r="A91" t="s">
        <v>1733</v>
      </c>
      <c r="B91">
        <v>0</v>
      </c>
      <c r="C91">
        <v>0</v>
      </c>
      <c r="D91">
        <v>0</v>
      </c>
      <c r="E91">
        <v>0</v>
      </c>
      <c r="F91">
        <v>0</v>
      </c>
      <c r="G91">
        <v>0</v>
      </c>
      <c r="H91">
        <v>0</v>
      </c>
      <c r="I91">
        <v>0</v>
      </c>
      <c r="J91">
        <v>0</v>
      </c>
      <c r="K91">
        <v>0</v>
      </c>
      <c r="M91" s="949" t="s">
        <v>4718</v>
      </c>
      <c r="N91" t="s">
        <v>4719</v>
      </c>
      <c r="O91">
        <v>88</v>
      </c>
      <c r="Q91" s="949" t="s">
        <v>4720</v>
      </c>
      <c r="R91" t="s">
        <v>4721</v>
      </c>
      <c r="S91">
        <v>208</v>
      </c>
    </row>
    <row r="92" spans="1:20" x14ac:dyDescent="0.2">
      <c r="A92" t="s">
        <v>1738</v>
      </c>
      <c r="B92">
        <v>0</v>
      </c>
      <c r="C92">
        <v>0</v>
      </c>
      <c r="D92">
        <v>0</v>
      </c>
      <c r="E92">
        <v>0</v>
      </c>
      <c r="F92">
        <v>0</v>
      </c>
      <c r="G92">
        <v>0</v>
      </c>
      <c r="H92">
        <v>0</v>
      </c>
      <c r="I92">
        <v>0</v>
      </c>
      <c r="J92">
        <v>0</v>
      </c>
      <c r="K92">
        <v>0</v>
      </c>
      <c r="M92" s="949" t="s">
        <v>4722</v>
      </c>
      <c r="N92" t="s">
        <v>4723</v>
      </c>
      <c r="O92">
        <v>89</v>
      </c>
      <c r="Q92" s="949" t="s">
        <v>4724</v>
      </c>
      <c r="R92" t="s">
        <v>4725</v>
      </c>
      <c r="S92">
        <v>209</v>
      </c>
    </row>
    <row r="93" spans="1:20" x14ac:dyDescent="0.2">
      <c r="A93" t="s">
        <v>1744</v>
      </c>
      <c r="B93">
        <v>0</v>
      </c>
      <c r="C93">
        <v>0</v>
      </c>
      <c r="D93">
        <v>0</v>
      </c>
      <c r="E93">
        <v>0</v>
      </c>
      <c r="F93">
        <v>0</v>
      </c>
      <c r="G93">
        <v>0</v>
      </c>
      <c r="H93">
        <v>0</v>
      </c>
      <c r="I93">
        <v>0</v>
      </c>
      <c r="J93">
        <v>0</v>
      </c>
      <c r="K93">
        <v>0</v>
      </c>
      <c r="M93" s="1719" t="s">
        <v>4726</v>
      </c>
      <c r="N93" t="s">
        <v>4727</v>
      </c>
      <c r="O93">
        <v>90</v>
      </c>
      <c r="Q93" s="1719" t="s">
        <v>4728</v>
      </c>
      <c r="R93" t="s">
        <v>4729</v>
      </c>
      <c r="S93">
        <v>210</v>
      </c>
    </row>
    <row r="94" spans="1:20" x14ac:dyDescent="0.2">
      <c r="A94" t="s">
        <v>1747</v>
      </c>
      <c r="B94">
        <v>0</v>
      </c>
      <c r="C94">
        <v>0</v>
      </c>
      <c r="D94">
        <v>0</v>
      </c>
      <c r="E94">
        <v>0</v>
      </c>
      <c r="F94">
        <v>0</v>
      </c>
      <c r="G94">
        <v>0</v>
      </c>
      <c r="H94">
        <v>0</v>
      </c>
      <c r="I94">
        <v>0</v>
      </c>
      <c r="J94">
        <v>0</v>
      </c>
      <c r="K94">
        <v>0</v>
      </c>
      <c r="M94" s="949" t="s">
        <v>4730</v>
      </c>
      <c r="N94" t="s">
        <v>4731</v>
      </c>
      <c r="O94">
        <v>91</v>
      </c>
      <c r="Q94" s="949" t="s">
        <v>4732</v>
      </c>
      <c r="R94" t="s">
        <v>4733</v>
      </c>
      <c r="S94">
        <v>211</v>
      </c>
      <c r="T94" s="180"/>
    </row>
    <row r="95" spans="1:20" x14ac:dyDescent="0.2">
      <c r="A95" t="s">
        <v>1751</v>
      </c>
      <c r="B95">
        <v>0</v>
      </c>
      <c r="C95">
        <v>0</v>
      </c>
      <c r="D95">
        <v>0</v>
      </c>
      <c r="E95">
        <v>0</v>
      </c>
      <c r="F95">
        <v>0</v>
      </c>
      <c r="G95">
        <v>0</v>
      </c>
      <c r="H95">
        <v>0</v>
      </c>
      <c r="I95">
        <v>0</v>
      </c>
      <c r="J95">
        <v>0</v>
      </c>
      <c r="K95">
        <v>0</v>
      </c>
      <c r="M95" s="949" t="s">
        <v>4734</v>
      </c>
      <c r="N95" t="s">
        <v>4735</v>
      </c>
      <c r="O95">
        <v>92</v>
      </c>
      <c r="Q95" s="949" t="s">
        <v>4736</v>
      </c>
      <c r="R95" t="s">
        <v>4737</v>
      </c>
      <c r="S95">
        <v>212</v>
      </c>
    </row>
    <row r="96" spans="1:20" x14ac:dyDescent="0.2">
      <c r="A96" t="s">
        <v>1755</v>
      </c>
      <c r="B96">
        <v>294</v>
      </c>
      <c r="C96">
        <v>0</v>
      </c>
      <c r="D96">
        <v>0</v>
      </c>
      <c r="E96">
        <v>257</v>
      </c>
      <c r="F96">
        <v>1</v>
      </c>
      <c r="G96">
        <v>1081</v>
      </c>
      <c r="H96">
        <v>0</v>
      </c>
      <c r="I96">
        <v>31</v>
      </c>
      <c r="J96">
        <v>0</v>
      </c>
      <c r="K96">
        <v>0</v>
      </c>
      <c r="M96" s="949" t="s">
        <v>4738</v>
      </c>
      <c r="N96" t="s">
        <v>4739</v>
      </c>
      <c r="O96">
        <v>93</v>
      </c>
      <c r="Q96" s="949" t="s">
        <v>4740</v>
      </c>
      <c r="R96" t="s">
        <v>4741</v>
      </c>
      <c r="S96">
        <v>213</v>
      </c>
    </row>
    <row r="97" spans="1:20" x14ac:dyDescent="0.2">
      <c r="A97" t="s">
        <v>1757</v>
      </c>
      <c r="B97">
        <v>314</v>
      </c>
      <c r="C97">
        <v>0</v>
      </c>
      <c r="D97">
        <v>0</v>
      </c>
      <c r="E97">
        <v>187</v>
      </c>
      <c r="F97">
        <v>1</v>
      </c>
      <c r="G97">
        <v>786</v>
      </c>
      <c r="H97">
        <v>0</v>
      </c>
      <c r="I97">
        <v>23</v>
      </c>
      <c r="J97">
        <v>0</v>
      </c>
      <c r="K97">
        <v>0</v>
      </c>
      <c r="M97" s="949" t="s">
        <v>4742</v>
      </c>
      <c r="N97" t="s">
        <v>4743</v>
      </c>
      <c r="O97">
        <v>94</v>
      </c>
      <c r="Q97" s="949" t="s">
        <v>4744</v>
      </c>
      <c r="R97" t="s">
        <v>4745</v>
      </c>
      <c r="S97">
        <v>214</v>
      </c>
    </row>
    <row r="98" spans="1:20" x14ac:dyDescent="0.2">
      <c r="A98" t="s">
        <v>1761</v>
      </c>
      <c r="B98">
        <v>0</v>
      </c>
      <c r="C98">
        <v>0</v>
      </c>
      <c r="D98">
        <v>0</v>
      </c>
      <c r="E98">
        <v>0</v>
      </c>
      <c r="F98">
        <v>0</v>
      </c>
      <c r="G98">
        <v>0</v>
      </c>
      <c r="H98">
        <v>0</v>
      </c>
      <c r="I98">
        <v>0</v>
      </c>
      <c r="J98">
        <v>0</v>
      </c>
      <c r="K98">
        <v>0</v>
      </c>
      <c r="M98" s="949" t="s">
        <v>388</v>
      </c>
      <c r="N98" t="s">
        <v>4746</v>
      </c>
      <c r="O98">
        <v>95</v>
      </c>
      <c r="Q98" s="949" t="s">
        <v>4747</v>
      </c>
      <c r="R98" t="s">
        <v>4748</v>
      </c>
      <c r="S98">
        <v>215</v>
      </c>
    </row>
    <row r="99" spans="1:20" x14ac:dyDescent="0.2">
      <c r="A99" t="s">
        <v>1764</v>
      </c>
      <c r="B99">
        <v>0</v>
      </c>
      <c r="C99">
        <v>0</v>
      </c>
      <c r="D99">
        <v>0</v>
      </c>
      <c r="E99">
        <v>0</v>
      </c>
      <c r="F99">
        <v>0</v>
      </c>
      <c r="G99">
        <v>0</v>
      </c>
      <c r="H99">
        <v>0</v>
      </c>
      <c r="I99">
        <v>0</v>
      </c>
      <c r="J99">
        <v>0</v>
      </c>
      <c r="K99">
        <v>0</v>
      </c>
      <c r="M99" s="949" t="s">
        <v>389</v>
      </c>
      <c r="N99" t="s">
        <v>4749</v>
      </c>
      <c r="O99">
        <v>96</v>
      </c>
      <c r="Q99" s="949" t="s">
        <v>4750</v>
      </c>
      <c r="R99" t="s">
        <v>4751</v>
      </c>
      <c r="S99">
        <v>216</v>
      </c>
    </row>
    <row r="100" spans="1:20" x14ac:dyDescent="0.2">
      <c r="A100" t="s">
        <v>1770</v>
      </c>
      <c r="B100">
        <v>78</v>
      </c>
      <c r="C100">
        <v>0</v>
      </c>
      <c r="D100">
        <v>0</v>
      </c>
      <c r="E100">
        <v>350</v>
      </c>
      <c r="F100">
        <v>0</v>
      </c>
      <c r="G100">
        <v>1462</v>
      </c>
      <c r="H100">
        <v>0</v>
      </c>
      <c r="I100">
        <v>43</v>
      </c>
      <c r="J100">
        <v>0</v>
      </c>
      <c r="K100">
        <v>0</v>
      </c>
      <c r="M100" s="949" t="s">
        <v>4752</v>
      </c>
      <c r="N100" t="s">
        <v>4753</v>
      </c>
      <c r="O100">
        <v>97</v>
      </c>
      <c r="Q100" s="949" t="s">
        <v>4754</v>
      </c>
      <c r="R100" t="s">
        <v>4755</v>
      </c>
      <c r="S100">
        <v>217</v>
      </c>
    </row>
    <row r="101" spans="1:20" x14ac:dyDescent="0.2">
      <c r="A101" t="s">
        <v>1772</v>
      </c>
      <c r="B101">
        <v>32</v>
      </c>
      <c r="C101">
        <v>0</v>
      </c>
      <c r="D101">
        <v>0</v>
      </c>
      <c r="E101">
        <v>145</v>
      </c>
      <c r="F101">
        <v>0</v>
      </c>
      <c r="G101">
        <v>606</v>
      </c>
      <c r="H101">
        <v>0</v>
      </c>
      <c r="I101">
        <v>18</v>
      </c>
      <c r="J101">
        <v>0</v>
      </c>
      <c r="K101">
        <v>0</v>
      </c>
      <c r="M101" s="949" t="s">
        <v>4756</v>
      </c>
      <c r="N101" t="s">
        <v>4757</v>
      </c>
      <c r="O101">
        <v>98</v>
      </c>
      <c r="Q101" s="949" t="s">
        <v>4758</v>
      </c>
      <c r="R101" t="s">
        <v>4759</v>
      </c>
      <c r="S101">
        <v>218</v>
      </c>
    </row>
    <row r="102" spans="1:20" x14ac:dyDescent="0.2">
      <c r="A102" t="s">
        <v>1774</v>
      </c>
      <c r="B102">
        <v>87</v>
      </c>
      <c r="C102">
        <v>0</v>
      </c>
      <c r="D102">
        <v>0</v>
      </c>
      <c r="E102">
        <v>348</v>
      </c>
      <c r="F102">
        <v>0</v>
      </c>
      <c r="G102">
        <v>1453</v>
      </c>
      <c r="H102">
        <v>0</v>
      </c>
      <c r="I102">
        <v>42</v>
      </c>
      <c r="J102">
        <v>0</v>
      </c>
      <c r="K102">
        <v>0</v>
      </c>
      <c r="M102" s="949" t="s">
        <v>381</v>
      </c>
      <c r="N102" t="s">
        <v>4760</v>
      </c>
      <c r="O102">
        <v>99</v>
      </c>
      <c r="Q102" s="949" t="s">
        <v>4761</v>
      </c>
      <c r="R102" t="s">
        <v>4762</v>
      </c>
      <c r="S102">
        <v>219</v>
      </c>
    </row>
    <row r="103" spans="1:20" x14ac:dyDescent="0.2">
      <c r="A103" t="s">
        <v>1777</v>
      </c>
      <c r="B103">
        <v>0</v>
      </c>
      <c r="C103">
        <v>0</v>
      </c>
      <c r="D103">
        <v>0</v>
      </c>
      <c r="E103">
        <v>0</v>
      </c>
      <c r="F103">
        <v>0</v>
      </c>
      <c r="G103">
        <v>0</v>
      </c>
      <c r="H103">
        <v>0</v>
      </c>
      <c r="I103">
        <v>0</v>
      </c>
      <c r="J103">
        <v>0</v>
      </c>
      <c r="K103">
        <v>0</v>
      </c>
      <c r="M103" s="1719" t="s">
        <v>382</v>
      </c>
      <c r="N103" t="s">
        <v>4763</v>
      </c>
      <c r="O103">
        <v>100</v>
      </c>
      <c r="Q103" s="1719" t="s">
        <v>4764</v>
      </c>
      <c r="R103" t="s">
        <v>4765</v>
      </c>
      <c r="S103">
        <v>220</v>
      </c>
    </row>
    <row r="104" spans="1:20" x14ac:dyDescent="0.2">
      <c r="A104" t="s">
        <v>1782</v>
      </c>
      <c r="B104">
        <v>0</v>
      </c>
      <c r="C104">
        <v>0</v>
      </c>
      <c r="D104">
        <v>0</v>
      </c>
      <c r="E104">
        <v>0</v>
      </c>
      <c r="F104">
        <v>0</v>
      </c>
      <c r="G104">
        <v>0</v>
      </c>
      <c r="H104">
        <v>0</v>
      </c>
      <c r="I104">
        <v>0</v>
      </c>
      <c r="J104">
        <v>0</v>
      </c>
      <c r="K104">
        <v>0</v>
      </c>
      <c r="M104" s="949" t="s">
        <v>4766</v>
      </c>
      <c r="N104" t="s">
        <v>4767</v>
      </c>
      <c r="O104">
        <v>101</v>
      </c>
      <c r="Q104" s="949" t="s">
        <v>4768</v>
      </c>
      <c r="R104" t="s">
        <v>4769</v>
      </c>
      <c r="S104">
        <v>221</v>
      </c>
      <c r="T104" s="180"/>
    </row>
    <row r="105" spans="1:20" x14ac:dyDescent="0.2">
      <c r="A105" t="s">
        <v>1274</v>
      </c>
      <c r="B105">
        <v>515</v>
      </c>
      <c r="C105">
        <v>0</v>
      </c>
      <c r="D105">
        <v>0</v>
      </c>
      <c r="E105">
        <v>338</v>
      </c>
      <c r="F105">
        <v>2</v>
      </c>
      <c r="G105">
        <v>1343</v>
      </c>
      <c r="H105">
        <v>0</v>
      </c>
      <c r="I105">
        <v>40</v>
      </c>
      <c r="J105">
        <v>0</v>
      </c>
      <c r="K105">
        <v>0</v>
      </c>
      <c r="M105" s="949" t="s">
        <v>4770</v>
      </c>
      <c r="N105" t="s">
        <v>4771</v>
      </c>
      <c r="O105">
        <v>102</v>
      </c>
      <c r="Q105" s="949" t="s">
        <v>4772</v>
      </c>
      <c r="R105" t="s">
        <v>4773</v>
      </c>
      <c r="S105">
        <v>222</v>
      </c>
    </row>
    <row r="106" spans="1:20" x14ac:dyDescent="0.2">
      <c r="A106" t="s">
        <v>1277</v>
      </c>
      <c r="B106">
        <v>4414</v>
      </c>
      <c r="C106">
        <v>0</v>
      </c>
      <c r="D106">
        <v>3</v>
      </c>
      <c r="E106">
        <v>2886</v>
      </c>
      <c r="F106">
        <v>16</v>
      </c>
      <c r="G106">
        <v>11478</v>
      </c>
      <c r="H106">
        <v>0</v>
      </c>
      <c r="I106">
        <v>346</v>
      </c>
      <c r="J106">
        <v>0</v>
      </c>
      <c r="K106">
        <v>0</v>
      </c>
      <c r="M106" s="949" t="s">
        <v>4774</v>
      </c>
      <c r="N106" t="s">
        <v>4775</v>
      </c>
      <c r="O106">
        <v>103</v>
      </c>
      <c r="Q106" s="949" t="s">
        <v>4776</v>
      </c>
      <c r="R106" t="s">
        <v>4777</v>
      </c>
      <c r="S106">
        <v>223</v>
      </c>
    </row>
    <row r="107" spans="1:20" x14ac:dyDescent="0.2">
      <c r="A107" t="s">
        <v>1798</v>
      </c>
      <c r="B107">
        <v>6054</v>
      </c>
      <c r="C107">
        <v>0</v>
      </c>
      <c r="D107">
        <v>4</v>
      </c>
      <c r="E107">
        <v>3413</v>
      </c>
      <c r="F107">
        <v>22</v>
      </c>
      <c r="G107">
        <v>14828</v>
      </c>
      <c r="H107">
        <v>0</v>
      </c>
      <c r="I107">
        <v>73</v>
      </c>
      <c r="J107">
        <v>0</v>
      </c>
      <c r="K107">
        <v>0</v>
      </c>
      <c r="M107" s="949" t="s">
        <v>4778</v>
      </c>
      <c r="N107" t="s">
        <v>4779</v>
      </c>
      <c r="O107">
        <v>104</v>
      </c>
      <c r="Q107" s="949" t="s">
        <v>4780</v>
      </c>
      <c r="R107" t="s">
        <v>4781</v>
      </c>
      <c r="S107">
        <v>224</v>
      </c>
    </row>
    <row r="108" spans="1:20" x14ac:dyDescent="0.2">
      <c r="A108" t="s">
        <v>1803</v>
      </c>
      <c r="B108">
        <v>489</v>
      </c>
      <c r="C108">
        <v>0</v>
      </c>
      <c r="D108">
        <v>0</v>
      </c>
      <c r="E108">
        <v>264</v>
      </c>
      <c r="F108">
        <v>2</v>
      </c>
      <c r="G108">
        <v>1197</v>
      </c>
      <c r="H108">
        <v>0</v>
      </c>
      <c r="I108">
        <v>0</v>
      </c>
      <c r="J108">
        <v>0</v>
      </c>
      <c r="K108">
        <v>0</v>
      </c>
      <c r="M108" s="949" t="s">
        <v>4782</v>
      </c>
      <c r="N108" t="s">
        <v>4783</v>
      </c>
      <c r="O108">
        <v>105</v>
      </c>
      <c r="Q108" s="949" t="s">
        <v>4784</v>
      </c>
      <c r="R108" t="s">
        <v>4785</v>
      </c>
      <c r="S108">
        <v>225</v>
      </c>
    </row>
    <row r="109" spans="1:20" x14ac:dyDescent="0.2">
      <c r="A109" t="s">
        <v>1808</v>
      </c>
      <c r="B109">
        <v>0</v>
      </c>
      <c r="C109">
        <v>0</v>
      </c>
      <c r="D109">
        <v>0</v>
      </c>
      <c r="E109">
        <v>0</v>
      </c>
      <c r="F109">
        <v>0</v>
      </c>
      <c r="G109">
        <v>0</v>
      </c>
      <c r="H109">
        <v>0</v>
      </c>
      <c r="I109">
        <v>0</v>
      </c>
      <c r="J109">
        <v>0</v>
      </c>
      <c r="K109">
        <v>0</v>
      </c>
      <c r="M109" s="949" t="s">
        <v>4786</v>
      </c>
      <c r="N109" t="s">
        <v>4787</v>
      </c>
      <c r="O109">
        <v>106</v>
      </c>
      <c r="Q109" s="949" t="s">
        <v>4788</v>
      </c>
      <c r="R109" t="s">
        <v>4789</v>
      </c>
      <c r="S109">
        <v>226</v>
      </c>
    </row>
    <row r="110" spans="1:20" x14ac:dyDescent="0.2">
      <c r="A110" t="s">
        <v>1813</v>
      </c>
      <c r="B110">
        <v>0</v>
      </c>
      <c r="C110">
        <v>0</v>
      </c>
      <c r="D110">
        <v>0</v>
      </c>
      <c r="E110">
        <v>0</v>
      </c>
      <c r="F110">
        <v>0</v>
      </c>
      <c r="G110">
        <v>0</v>
      </c>
      <c r="H110">
        <v>0</v>
      </c>
      <c r="I110">
        <v>0</v>
      </c>
      <c r="J110">
        <v>0</v>
      </c>
      <c r="K110">
        <v>0</v>
      </c>
      <c r="M110" s="949" t="s">
        <v>4790</v>
      </c>
      <c r="N110" t="s">
        <v>4791</v>
      </c>
      <c r="O110">
        <v>107</v>
      </c>
      <c r="Q110" s="949" t="s">
        <v>4792</v>
      </c>
      <c r="R110" t="s">
        <v>4793</v>
      </c>
      <c r="S110">
        <v>227</v>
      </c>
    </row>
    <row r="111" spans="1:20" x14ac:dyDescent="0.2">
      <c r="A111" t="s">
        <v>1819</v>
      </c>
      <c r="B111">
        <v>1</v>
      </c>
      <c r="C111">
        <v>0</v>
      </c>
      <c r="D111">
        <v>0</v>
      </c>
      <c r="E111">
        <v>1</v>
      </c>
      <c r="F111">
        <v>0</v>
      </c>
      <c r="G111">
        <v>3</v>
      </c>
      <c r="H111">
        <v>0</v>
      </c>
      <c r="I111">
        <v>0</v>
      </c>
      <c r="J111">
        <v>0</v>
      </c>
      <c r="K111">
        <v>0</v>
      </c>
      <c r="M111" s="949" t="s">
        <v>4794</v>
      </c>
      <c r="N111" t="s">
        <v>4795</v>
      </c>
      <c r="O111">
        <v>108</v>
      </c>
      <c r="Q111" s="949" t="s">
        <v>4796</v>
      </c>
      <c r="R111" t="s">
        <v>4797</v>
      </c>
      <c r="S111">
        <v>228</v>
      </c>
    </row>
    <row r="112" spans="1:20" x14ac:dyDescent="0.2">
      <c r="A112" t="s">
        <v>1826</v>
      </c>
      <c r="B112">
        <v>0</v>
      </c>
      <c r="C112">
        <v>0</v>
      </c>
      <c r="D112">
        <v>0</v>
      </c>
      <c r="E112">
        <v>0</v>
      </c>
      <c r="F112">
        <v>0</v>
      </c>
      <c r="G112">
        <v>0</v>
      </c>
      <c r="H112">
        <v>0</v>
      </c>
      <c r="I112">
        <v>0</v>
      </c>
      <c r="J112">
        <v>0</v>
      </c>
      <c r="K112">
        <v>0</v>
      </c>
      <c r="M112" s="949" t="s">
        <v>427</v>
      </c>
      <c r="N112" t="s">
        <v>4798</v>
      </c>
      <c r="O112">
        <v>109</v>
      </c>
      <c r="Q112" s="949" t="s">
        <v>4799</v>
      </c>
      <c r="R112" t="s">
        <v>4800</v>
      </c>
      <c r="S112">
        <v>229</v>
      </c>
    </row>
    <row r="113" spans="1:20" x14ac:dyDescent="0.2">
      <c r="A113" t="s">
        <v>1830</v>
      </c>
      <c r="B113">
        <v>0</v>
      </c>
      <c r="C113">
        <v>0</v>
      </c>
      <c r="D113">
        <v>0</v>
      </c>
      <c r="E113">
        <v>0</v>
      </c>
      <c r="F113">
        <v>0</v>
      </c>
      <c r="G113">
        <v>0</v>
      </c>
      <c r="H113">
        <v>0</v>
      </c>
      <c r="I113">
        <v>0</v>
      </c>
      <c r="J113">
        <v>0</v>
      </c>
      <c r="K113">
        <v>0</v>
      </c>
      <c r="M113" s="1719" t="s">
        <v>428</v>
      </c>
      <c r="N113" t="s">
        <v>4801</v>
      </c>
      <c r="O113">
        <v>110</v>
      </c>
      <c r="Q113" s="1719" t="s">
        <v>4802</v>
      </c>
      <c r="R113" t="s">
        <v>4803</v>
      </c>
      <c r="S113">
        <v>230</v>
      </c>
    </row>
    <row r="114" spans="1:20" x14ac:dyDescent="0.2">
      <c r="A114" t="s">
        <v>1836</v>
      </c>
      <c r="B114">
        <v>0</v>
      </c>
      <c r="C114">
        <v>0</v>
      </c>
      <c r="D114">
        <v>0</v>
      </c>
      <c r="E114">
        <v>0</v>
      </c>
      <c r="F114">
        <v>0</v>
      </c>
      <c r="G114">
        <v>0</v>
      </c>
      <c r="H114">
        <v>0</v>
      </c>
      <c r="I114">
        <v>0</v>
      </c>
      <c r="J114">
        <v>0</v>
      </c>
      <c r="K114">
        <v>0</v>
      </c>
      <c r="M114" s="949" t="s">
        <v>4804</v>
      </c>
      <c r="N114" t="s">
        <v>4805</v>
      </c>
      <c r="O114">
        <v>111</v>
      </c>
      <c r="Q114" s="949" t="s">
        <v>4806</v>
      </c>
      <c r="R114" t="s">
        <v>4807</v>
      </c>
      <c r="S114">
        <v>231</v>
      </c>
      <c r="T114" s="180"/>
    </row>
    <row r="115" spans="1:20" x14ac:dyDescent="0.2">
      <c r="A115" t="s">
        <v>1841</v>
      </c>
      <c r="B115">
        <v>288</v>
      </c>
      <c r="C115">
        <v>0</v>
      </c>
      <c r="D115">
        <v>0</v>
      </c>
      <c r="E115">
        <v>181</v>
      </c>
      <c r="F115">
        <v>1</v>
      </c>
      <c r="G115">
        <v>755</v>
      </c>
      <c r="H115">
        <v>0</v>
      </c>
      <c r="I115">
        <v>22</v>
      </c>
      <c r="J115">
        <v>0</v>
      </c>
      <c r="K115">
        <v>0</v>
      </c>
      <c r="M115" s="949" t="s">
        <v>4808</v>
      </c>
      <c r="N115" t="s">
        <v>4809</v>
      </c>
      <c r="O115">
        <v>112</v>
      </c>
      <c r="Q115" s="949" t="s">
        <v>4810</v>
      </c>
      <c r="R115" t="s">
        <v>4811</v>
      </c>
      <c r="S115">
        <v>232</v>
      </c>
    </row>
    <row r="116" spans="1:20" x14ac:dyDescent="0.2">
      <c r="A116" t="s">
        <v>1842</v>
      </c>
      <c r="B116">
        <v>9</v>
      </c>
      <c r="C116">
        <v>0</v>
      </c>
      <c r="D116">
        <v>0</v>
      </c>
      <c r="E116">
        <v>24</v>
      </c>
      <c r="F116">
        <v>0</v>
      </c>
      <c r="G116">
        <v>101</v>
      </c>
      <c r="H116">
        <v>0</v>
      </c>
      <c r="I116">
        <v>3</v>
      </c>
      <c r="J116">
        <v>0</v>
      </c>
      <c r="K116">
        <v>0</v>
      </c>
      <c r="M116" s="949" t="s">
        <v>437</v>
      </c>
      <c r="N116" t="s">
        <v>4812</v>
      </c>
      <c r="O116">
        <v>113</v>
      </c>
      <c r="Q116" s="949" t="s">
        <v>4813</v>
      </c>
      <c r="R116" t="s">
        <v>4814</v>
      </c>
      <c r="S116">
        <v>233</v>
      </c>
    </row>
    <row r="117" spans="1:20" x14ac:dyDescent="0.2">
      <c r="A117" t="s">
        <v>1843</v>
      </c>
      <c r="B117">
        <v>0</v>
      </c>
      <c r="C117">
        <v>0</v>
      </c>
      <c r="D117">
        <v>0</v>
      </c>
      <c r="E117">
        <v>0</v>
      </c>
      <c r="F117">
        <v>0</v>
      </c>
      <c r="G117">
        <v>0</v>
      </c>
      <c r="H117">
        <v>0</v>
      </c>
      <c r="I117">
        <v>0</v>
      </c>
      <c r="J117">
        <v>0</v>
      </c>
      <c r="K117">
        <v>0</v>
      </c>
      <c r="M117" s="949" t="s">
        <v>438</v>
      </c>
      <c r="N117" t="s">
        <v>4815</v>
      </c>
      <c r="O117">
        <v>114</v>
      </c>
      <c r="Q117" s="949" t="s">
        <v>4816</v>
      </c>
      <c r="R117" t="s">
        <v>4817</v>
      </c>
      <c r="S117">
        <v>234</v>
      </c>
    </row>
    <row r="118" spans="1:20" x14ac:dyDescent="0.2">
      <c r="A118" t="s">
        <v>1846</v>
      </c>
      <c r="B118">
        <v>0</v>
      </c>
      <c r="C118">
        <v>0</v>
      </c>
      <c r="D118">
        <v>0</v>
      </c>
      <c r="E118">
        <v>0</v>
      </c>
      <c r="F118">
        <v>0</v>
      </c>
      <c r="G118">
        <v>0</v>
      </c>
      <c r="H118">
        <v>0</v>
      </c>
      <c r="I118">
        <v>0</v>
      </c>
      <c r="J118">
        <v>0</v>
      </c>
      <c r="K118">
        <v>0</v>
      </c>
      <c r="M118" s="949" t="s">
        <v>4818</v>
      </c>
      <c r="N118" t="s">
        <v>4819</v>
      </c>
      <c r="O118">
        <v>115</v>
      </c>
      <c r="Q118" s="949" t="s">
        <v>4820</v>
      </c>
      <c r="R118" t="s">
        <v>4821</v>
      </c>
      <c r="S118">
        <v>235</v>
      </c>
    </row>
    <row r="119" spans="1:20" x14ac:dyDescent="0.2">
      <c r="A119" t="s">
        <v>1851</v>
      </c>
      <c r="B119">
        <v>3</v>
      </c>
      <c r="C119">
        <v>0</v>
      </c>
      <c r="D119">
        <v>0</v>
      </c>
      <c r="E119">
        <v>2</v>
      </c>
      <c r="F119">
        <v>0</v>
      </c>
      <c r="G119">
        <v>9</v>
      </c>
      <c r="H119">
        <v>0</v>
      </c>
      <c r="I119">
        <v>0</v>
      </c>
      <c r="J119">
        <v>0</v>
      </c>
      <c r="K119">
        <v>0</v>
      </c>
      <c r="M119" s="949" t="s">
        <v>4822</v>
      </c>
      <c r="N119" t="s">
        <v>4823</v>
      </c>
      <c r="O119">
        <v>116</v>
      </c>
      <c r="Q119" s="949" t="s">
        <v>4824</v>
      </c>
      <c r="R119" t="s">
        <v>4825</v>
      </c>
      <c r="S119">
        <v>236</v>
      </c>
    </row>
    <row r="120" spans="1:20" x14ac:dyDescent="0.2">
      <c r="A120" t="s">
        <v>1857</v>
      </c>
      <c r="B120">
        <v>0</v>
      </c>
      <c r="C120">
        <v>0</v>
      </c>
      <c r="D120">
        <v>0</v>
      </c>
      <c r="E120">
        <v>0</v>
      </c>
      <c r="F120">
        <v>0</v>
      </c>
      <c r="G120">
        <v>0</v>
      </c>
      <c r="H120">
        <v>0</v>
      </c>
      <c r="I120">
        <v>0</v>
      </c>
      <c r="J120">
        <v>0</v>
      </c>
      <c r="K120">
        <v>0</v>
      </c>
      <c r="M120" s="949" t="s">
        <v>4826</v>
      </c>
      <c r="N120" t="s">
        <v>4827</v>
      </c>
      <c r="O120">
        <v>117</v>
      </c>
      <c r="Q120" s="949" t="s">
        <v>4828</v>
      </c>
      <c r="R120" t="s">
        <v>4829</v>
      </c>
      <c r="S120">
        <v>237</v>
      </c>
    </row>
    <row r="121" spans="1:20" x14ac:dyDescent="0.2">
      <c r="A121" t="s">
        <v>1862</v>
      </c>
      <c r="B121">
        <v>0</v>
      </c>
      <c r="C121">
        <v>0</v>
      </c>
      <c r="D121">
        <v>0</v>
      </c>
      <c r="E121">
        <v>0</v>
      </c>
      <c r="F121">
        <v>0</v>
      </c>
      <c r="G121">
        <v>0</v>
      </c>
      <c r="H121">
        <v>0</v>
      </c>
      <c r="I121">
        <v>0</v>
      </c>
      <c r="J121">
        <v>0</v>
      </c>
      <c r="K121">
        <v>0</v>
      </c>
      <c r="M121" s="949" t="s">
        <v>4830</v>
      </c>
      <c r="N121" t="s">
        <v>4831</v>
      </c>
      <c r="O121">
        <v>118</v>
      </c>
      <c r="Q121" s="949" t="s">
        <v>4832</v>
      </c>
      <c r="R121" t="s">
        <v>4833</v>
      </c>
      <c r="S121">
        <v>238</v>
      </c>
    </row>
    <row r="122" spans="1:20" x14ac:dyDescent="0.2">
      <c r="A122" t="s">
        <v>1867</v>
      </c>
      <c r="B122">
        <v>0</v>
      </c>
      <c r="C122">
        <v>0</v>
      </c>
      <c r="D122">
        <v>0</v>
      </c>
      <c r="E122">
        <v>0</v>
      </c>
      <c r="F122">
        <v>0</v>
      </c>
      <c r="G122">
        <v>0</v>
      </c>
      <c r="H122">
        <v>0</v>
      </c>
      <c r="I122">
        <v>0</v>
      </c>
      <c r="J122">
        <v>0</v>
      </c>
      <c r="K122">
        <v>0</v>
      </c>
      <c r="M122" s="949" t="s">
        <v>4834</v>
      </c>
      <c r="N122" t="s">
        <v>4835</v>
      </c>
      <c r="O122">
        <v>119</v>
      </c>
      <c r="Q122" s="949" t="s">
        <v>4836</v>
      </c>
      <c r="R122" t="s">
        <v>4837</v>
      </c>
      <c r="S122">
        <v>239</v>
      </c>
    </row>
    <row r="123" spans="1:20" x14ac:dyDescent="0.2">
      <c r="A123" t="s">
        <v>1870</v>
      </c>
      <c r="B123">
        <v>0</v>
      </c>
      <c r="C123">
        <v>0</v>
      </c>
      <c r="D123">
        <v>0</v>
      </c>
      <c r="E123">
        <v>0</v>
      </c>
      <c r="F123">
        <v>0</v>
      </c>
      <c r="G123">
        <v>0</v>
      </c>
      <c r="H123">
        <v>0</v>
      </c>
      <c r="I123">
        <v>0</v>
      </c>
      <c r="J123">
        <v>0</v>
      </c>
      <c r="K123">
        <v>0</v>
      </c>
      <c r="M123" s="1719" t="s">
        <v>4838</v>
      </c>
      <c r="N123" t="s">
        <v>4839</v>
      </c>
      <c r="O123">
        <v>120</v>
      </c>
      <c r="Q123" s="1719" t="s">
        <v>4840</v>
      </c>
      <c r="R123" t="s">
        <v>4841</v>
      </c>
      <c r="S123">
        <v>240</v>
      </c>
    </row>
    <row r="124" spans="1:20" x14ac:dyDescent="0.2">
      <c r="A124" t="s">
        <v>1874</v>
      </c>
      <c r="B124">
        <v>0</v>
      </c>
      <c r="C124">
        <v>0</v>
      </c>
      <c r="D124">
        <v>0</v>
      </c>
      <c r="E124">
        <v>0</v>
      </c>
      <c r="F124">
        <v>0</v>
      </c>
      <c r="G124">
        <v>0</v>
      </c>
      <c r="H124">
        <v>0</v>
      </c>
      <c r="I124">
        <v>0</v>
      </c>
      <c r="J124">
        <v>0</v>
      </c>
      <c r="K124">
        <v>0</v>
      </c>
      <c r="Q124" s="949" t="s">
        <v>4842</v>
      </c>
      <c r="R124" t="s">
        <v>4843</v>
      </c>
      <c r="S124">
        <v>241</v>
      </c>
      <c r="T124" s="180"/>
    </row>
    <row r="125" spans="1:20" x14ac:dyDescent="0.2">
      <c r="A125" t="s">
        <v>1876</v>
      </c>
      <c r="B125">
        <v>0</v>
      </c>
      <c r="C125">
        <v>0</v>
      </c>
      <c r="D125">
        <v>0</v>
      </c>
      <c r="E125">
        <v>0</v>
      </c>
      <c r="F125">
        <v>0</v>
      </c>
      <c r="G125">
        <v>0</v>
      </c>
      <c r="H125">
        <v>0</v>
      </c>
      <c r="I125">
        <v>0</v>
      </c>
      <c r="J125">
        <v>0</v>
      </c>
      <c r="K125">
        <v>0</v>
      </c>
      <c r="Q125" s="949" t="s">
        <v>4844</v>
      </c>
      <c r="R125" t="s">
        <v>4845</v>
      </c>
      <c r="S125">
        <v>242</v>
      </c>
    </row>
    <row r="126" spans="1:20" x14ac:dyDescent="0.2">
      <c r="A126" t="s">
        <v>1881</v>
      </c>
      <c r="B126">
        <v>0</v>
      </c>
      <c r="C126">
        <v>0</v>
      </c>
      <c r="D126">
        <v>0</v>
      </c>
      <c r="E126">
        <v>0</v>
      </c>
      <c r="F126">
        <v>0</v>
      </c>
      <c r="G126">
        <v>0</v>
      </c>
      <c r="H126">
        <v>0</v>
      </c>
      <c r="I126">
        <v>0</v>
      </c>
      <c r="J126">
        <v>0</v>
      </c>
      <c r="K126">
        <v>0</v>
      </c>
      <c r="Q126" s="949" t="s">
        <v>4846</v>
      </c>
      <c r="R126" t="s">
        <v>4847</v>
      </c>
      <c r="S126">
        <v>243</v>
      </c>
    </row>
    <row r="127" spans="1:20" x14ac:dyDescent="0.2">
      <c r="A127" t="s">
        <v>1885</v>
      </c>
      <c r="B127">
        <v>23</v>
      </c>
      <c r="C127">
        <v>0</v>
      </c>
      <c r="D127">
        <v>0</v>
      </c>
      <c r="E127">
        <v>15</v>
      </c>
      <c r="F127">
        <v>0</v>
      </c>
      <c r="G127">
        <v>62</v>
      </c>
      <c r="H127">
        <v>0</v>
      </c>
      <c r="I127">
        <v>2</v>
      </c>
      <c r="J127">
        <v>0</v>
      </c>
      <c r="K127">
        <v>0</v>
      </c>
      <c r="Q127" s="949" t="s">
        <v>4848</v>
      </c>
      <c r="R127" t="s">
        <v>4849</v>
      </c>
      <c r="S127">
        <v>244</v>
      </c>
    </row>
    <row r="128" spans="1:20" x14ac:dyDescent="0.2">
      <c r="A128" t="s">
        <v>1887</v>
      </c>
      <c r="B128">
        <v>1</v>
      </c>
      <c r="C128">
        <v>0</v>
      </c>
      <c r="D128">
        <v>0</v>
      </c>
      <c r="E128">
        <v>1</v>
      </c>
      <c r="F128">
        <v>0</v>
      </c>
      <c r="G128">
        <v>3</v>
      </c>
      <c r="H128">
        <v>0</v>
      </c>
      <c r="I128">
        <v>0</v>
      </c>
      <c r="J128">
        <v>0</v>
      </c>
      <c r="K128">
        <v>0</v>
      </c>
      <c r="Q128" s="949" t="s">
        <v>4850</v>
      </c>
      <c r="R128" t="s">
        <v>4851</v>
      </c>
      <c r="S128">
        <v>245</v>
      </c>
    </row>
    <row r="129" spans="1:19" x14ac:dyDescent="0.2">
      <c r="A129" t="s">
        <v>1893</v>
      </c>
      <c r="B129">
        <v>11</v>
      </c>
      <c r="C129">
        <v>0</v>
      </c>
      <c r="D129">
        <v>0</v>
      </c>
      <c r="E129">
        <v>7</v>
      </c>
      <c r="F129">
        <v>0</v>
      </c>
      <c r="G129">
        <v>29</v>
      </c>
      <c r="H129">
        <v>0</v>
      </c>
      <c r="I129">
        <v>1</v>
      </c>
      <c r="J129">
        <v>0</v>
      </c>
      <c r="K129">
        <v>0</v>
      </c>
      <c r="Q129" s="949" t="s">
        <v>4852</v>
      </c>
      <c r="R129" t="s">
        <v>4853</v>
      </c>
      <c r="S129">
        <v>246</v>
      </c>
    </row>
    <row r="130" spans="1:19" x14ac:dyDescent="0.2">
      <c r="A130" t="s">
        <v>1899</v>
      </c>
      <c r="B130">
        <v>0</v>
      </c>
      <c r="C130">
        <v>0</v>
      </c>
      <c r="D130">
        <v>0</v>
      </c>
      <c r="E130">
        <v>0</v>
      </c>
      <c r="F130">
        <v>0</v>
      </c>
      <c r="G130">
        <v>0</v>
      </c>
      <c r="H130">
        <v>0</v>
      </c>
      <c r="I130">
        <v>0</v>
      </c>
      <c r="J130">
        <v>0</v>
      </c>
      <c r="K130">
        <v>0</v>
      </c>
    </row>
    <row r="131" spans="1:19" x14ac:dyDescent="0.2">
      <c r="A131" t="s">
        <v>1906</v>
      </c>
      <c r="B131">
        <v>0</v>
      </c>
      <c r="C131">
        <v>0</v>
      </c>
      <c r="D131">
        <v>0</v>
      </c>
      <c r="E131">
        <v>0</v>
      </c>
      <c r="F131">
        <v>0</v>
      </c>
      <c r="G131">
        <v>0</v>
      </c>
      <c r="H131">
        <v>0</v>
      </c>
      <c r="I131">
        <v>0</v>
      </c>
      <c r="J131">
        <v>0</v>
      </c>
      <c r="K131">
        <v>0</v>
      </c>
    </row>
    <row r="132" spans="1:19" x14ac:dyDescent="0.2">
      <c r="A132" t="s">
        <v>1911</v>
      </c>
      <c r="B132">
        <v>0</v>
      </c>
      <c r="C132">
        <v>0</v>
      </c>
      <c r="D132">
        <v>0</v>
      </c>
      <c r="E132">
        <v>0</v>
      </c>
      <c r="F132">
        <v>0</v>
      </c>
      <c r="G132">
        <v>0</v>
      </c>
      <c r="H132">
        <v>0</v>
      </c>
      <c r="I132">
        <v>0</v>
      </c>
      <c r="J132">
        <v>0</v>
      </c>
      <c r="K132">
        <v>0</v>
      </c>
    </row>
    <row r="133" spans="1:19" x14ac:dyDescent="0.2">
      <c r="A133" t="s">
        <v>1917</v>
      </c>
      <c r="B133">
        <v>0</v>
      </c>
      <c r="C133">
        <v>0</v>
      </c>
      <c r="D133">
        <v>0</v>
      </c>
      <c r="E133">
        <v>0</v>
      </c>
      <c r="F133">
        <v>0</v>
      </c>
      <c r="G133">
        <v>0</v>
      </c>
      <c r="H133">
        <v>0</v>
      </c>
      <c r="I133">
        <v>0</v>
      </c>
      <c r="J133">
        <v>0</v>
      </c>
      <c r="K133">
        <v>0</v>
      </c>
    </row>
    <row r="134" spans="1:19" x14ac:dyDescent="0.2">
      <c r="A134" t="s">
        <v>1922</v>
      </c>
      <c r="B134">
        <v>0</v>
      </c>
      <c r="C134">
        <v>0</v>
      </c>
      <c r="D134">
        <v>0</v>
      </c>
      <c r="E134">
        <v>0</v>
      </c>
      <c r="F134">
        <v>0</v>
      </c>
      <c r="G134">
        <v>0</v>
      </c>
      <c r="H134">
        <v>0</v>
      </c>
      <c r="I134">
        <v>0</v>
      </c>
      <c r="J134">
        <v>0</v>
      </c>
      <c r="K134">
        <v>0</v>
      </c>
    </row>
    <row r="135" spans="1:19" x14ac:dyDescent="0.2">
      <c r="A135" t="s">
        <v>1928</v>
      </c>
      <c r="B135">
        <v>0</v>
      </c>
      <c r="C135">
        <v>0</v>
      </c>
      <c r="D135">
        <v>0</v>
      </c>
      <c r="E135">
        <v>0</v>
      </c>
      <c r="F135">
        <v>0</v>
      </c>
      <c r="G135">
        <v>0</v>
      </c>
      <c r="H135">
        <v>0</v>
      </c>
      <c r="I135">
        <v>0</v>
      </c>
      <c r="J135">
        <v>0</v>
      </c>
      <c r="K135">
        <v>0</v>
      </c>
    </row>
    <row r="136" spans="1:19" x14ac:dyDescent="0.2">
      <c r="A136" t="s">
        <v>1932</v>
      </c>
      <c r="B136">
        <v>0</v>
      </c>
      <c r="C136">
        <v>0</v>
      </c>
      <c r="D136">
        <v>0</v>
      </c>
      <c r="E136">
        <v>0</v>
      </c>
      <c r="F136">
        <v>0</v>
      </c>
      <c r="G136">
        <v>0</v>
      </c>
      <c r="H136">
        <v>0</v>
      </c>
      <c r="I136">
        <v>0</v>
      </c>
      <c r="J136">
        <v>0</v>
      </c>
      <c r="K136">
        <v>0</v>
      </c>
    </row>
    <row r="137" spans="1:19" x14ac:dyDescent="0.2">
      <c r="A137" t="s">
        <v>1938</v>
      </c>
      <c r="B137">
        <v>0</v>
      </c>
      <c r="C137">
        <v>0</v>
      </c>
      <c r="D137">
        <v>0</v>
      </c>
      <c r="E137">
        <v>0</v>
      </c>
      <c r="F137">
        <v>0</v>
      </c>
      <c r="G137">
        <v>0</v>
      </c>
      <c r="H137">
        <v>0</v>
      </c>
      <c r="I137">
        <v>0</v>
      </c>
      <c r="J137">
        <v>0</v>
      </c>
      <c r="K137">
        <v>0</v>
      </c>
    </row>
    <row r="138" spans="1:19" x14ac:dyDescent="0.2">
      <c r="A138" t="s">
        <v>1944</v>
      </c>
      <c r="B138">
        <v>0</v>
      </c>
      <c r="C138">
        <v>0</v>
      </c>
      <c r="D138">
        <v>0</v>
      </c>
      <c r="E138">
        <v>0</v>
      </c>
      <c r="F138">
        <v>0</v>
      </c>
      <c r="G138">
        <v>0</v>
      </c>
      <c r="H138">
        <v>0</v>
      </c>
      <c r="I138">
        <v>0</v>
      </c>
      <c r="J138">
        <v>0</v>
      </c>
      <c r="K138">
        <v>0</v>
      </c>
    </row>
    <row r="139" spans="1:19" x14ac:dyDescent="0.2">
      <c r="A139" t="s">
        <v>1947</v>
      </c>
      <c r="B139">
        <v>0</v>
      </c>
      <c r="C139">
        <v>0</v>
      </c>
      <c r="D139">
        <v>0</v>
      </c>
      <c r="E139">
        <v>0</v>
      </c>
      <c r="F139">
        <v>0</v>
      </c>
      <c r="G139">
        <v>0</v>
      </c>
      <c r="H139">
        <v>0</v>
      </c>
      <c r="I139">
        <v>0</v>
      </c>
      <c r="J139">
        <v>0</v>
      </c>
      <c r="K139">
        <v>0</v>
      </c>
    </row>
    <row r="140" spans="1:19" x14ac:dyDescent="0.2">
      <c r="A140" t="s">
        <v>1953</v>
      </c>
      <c r="B140">
        <v>0</v>
      </c>
      <c r="C140">
        <v>0</v>
      </c>
      <c r="D140">
        <v>0</v>
      </c>
      <c r="E140">
        <v>0</v>
      </c>
      <c r="F140">
        <v>0</v>
      </c>
      <c r="G140">
        <v>0</v>
      </c>
      <c r="H140">
        <v>0</v>
      </c>
      <c r="I140">
        <v>0</v>
      </c>
      <c r="J140">
        <v>0</v>
      </c>
      <c r="K140">
        <v>0</v>
      </c>
    </row>
    <row r="141" spans="1:19" x14ac:dyDescent="0.2">
      <c r="A141" t="s">
        <v>1958</v>
      </c>
      <c r="B141">
        <v>0</v>
      </c>
      <c r="C141">
        <v>0</v>
      </c>
      <c r="D141">
        <v>0</v>
      </c>
      <c r="E141">
        <v>0</v>
      </c>
      <c r="F141">
        <v>0</v>
      </c>
      <c r="G141">
        <v>0</v>
      </c>
      <c r="H141">
        <v>0</v>
      </c>
      <c r="I141">
        <v>0</v>
      </c>
      <c r="J141">
        <v>0</v>
      </c>
      <c r="K141">
        <v>0</v>
      </c>
    </row>
    <row r="142" spans="1:19" x14ac:dyDescent="0.2">
      <c r="A142" t="s">
        <v>1964</v>
      </c>
      <c r="B142">
        <v>0</v>
      </c>
      <c r="C142">
        <v>0</v>
      </c>
      <c r="D142">
        <v>0</v>
      </c>
      <c r="E142">
        <v>0</v>
      </c>
      <c r="F142">
        <v>0</v>
      </c>
      <c r="G142">
        <v>0</v>
      </c>
      <c r="H142">
        <v>0</v>
      </c>
      <c r="I142">
        <v>0</v>
      </c>
      <c r="J142">
        <v>0</v>
      </c>
      <c r="K142">
        <v>0</v>
      </c>
    </row>
    <row r="143" spans="1:19" x14ac:dyDescent="0.2">
      <c r="A143" t="s">
        <v>1973</v>
      </c>
      <c r="B143">
        <v>0</v>
      </c>
      <c r="C143">
        <v>0</v>
      </c>
      <c r="D143">
        <v>0</v>
      </c>
      <c r="E143">
        <v>0</v>
      </c>
      <c r="F143">
        <v>0</v>
      </c>
      <c r="G143">
        <v>0</v>
      </c>
      <c r="H143">
        <v>0</v>
      </c>
      <c r="I143">
        <v>0</v>
      </c>
      <c r="J143">
        <v>0</v>
      </c>
      <c r="K143">
        <v>0</v>
      </c>
    </row>
    <row r="144" spans="1:19" x14ac:dyDescent="0.2">
      <c r="A144" t="s">
        <v>1978</v>
      </c>
      <c r="B144">
        <v>0</v>
      </c>
      <c r="C144">
        <v>0</v>
      </c>
      <c r="D144">
        <v>0</v>
      </c>
      <c r="E144">
        <v>0</v>
      </c>
      <c r="F144">
        <v>0</v>
      </c>
      <c r="G144">
        <v>0</v>
      </c>
      <c r="H144">
        <v>0</v>
      </c>
      <c r="I144">
        <v>0</v>
      </c>
      <c r="J144">
        <v>0</v>
      </c>
      <c r="K144">
        <v>0</v>
      </c>
    </row>
    <row r="145" spans="1:11" x14ac:dyDescent="0.2">
      <c r="A145" t="s">
        <v>1983</v>
      </c>
      <c r="B145">
        <v>0</v>
      </c>
      <c r="C145">
        <v>0</v>
      </c>
      <c r="D145">
        <v>0</v>
      </c>
      <c r="E145">
        <v>0</v>
      </c>
      <c r="F145">
        <v>0</v>
      </c>
      <c r="G145">
        <v>0</v>
      </c>
      <c r="H145">
        <v>0</v>
      </c>
      <c r="I145">
        <v>0</v>
      </c>
      <c r="J145">
        <v>0</v>
      </c>
      <c r="K145">
        <v>0</v>
      </c>
    </row>
    <row r="146" spans="1:11" x14ac:dyDescent="0.2">
      <c r="A146" t="s">
        <v>1984</v>
      </c>
      <c r="B146">
        <v>0</v>
      </c>
      <c r="C146">
        <v>0</v>
      </c>
      <c r="D146">
        <v>0</v>
      </c>
      <c r="E146">
        <v>0</v>
      </c>
      <c r="F146">
        <v>0</v>
      </c>
      <c r="G146">
        <v>0</v>
      </c>
      <c r="H146">
        <v>0</v>
      </c>
      <c r="I146">
        <v>0</v>
      </c>
      <c r="J146">
        <v>0</v>
      </c>
      <c r="K146">
        <v>0</v>
      </c>
    </row>
    <row r="147" spans="1:11" x14ac:dyDescent="0.2">
      <c r="A147" t="s">
        <v>1990</v>
      </c>
      <c r="B147">
        <v>0</v>
      </c>
      <c r="C147">
        <v>0</v>
      </c>
      <c r="D147">
        <v>0</v>
      </c>
      <c r="E147">
        <v>0</v>
      </c>
      <c r="F147">
        <v>0</v>
      </c>
      <c r="G147">
        <v>0</v>
      </c>
      <c r="H147">
        <v>0</v>
      </c>
      <c r="I147">
        <v>0</v>
      </c>
      <c r="J147">
        <v>0</v>
      </c>
      <c r="K147">
        <v>0</v>
      </c>
    </row>
    <row r="148" spans="1:11" x14ac:dyDescent="0.2">
      <c r="A148" t="s">
        <v>1996</v>
      </c>
      <c r="B148">
        <v>0</v>
      </c>
      <c r="C148">
        <v>0</v>
      </c>
      <c r="D148">
        <v>0</v>
      </c>
      <c r="E148">
        <v>0</v>
      </c>
      <c r="F148">
        <v>0</v>
      </c>
      <c r="G148">
        <v>0</v>
      </c>
      <c r="H148">
        <v>0</v>
      </c>
      <c r="I148">
        <v>0</v>
      </c>
      <c r="J148">
        <v>0</v>
      </c>
      <c r="K148">
        <v>0</v>
      </c>
    </row>
    <row r="149" spans="1:11" x14ac:dyDescent="0.2">
      <c r="A149" t="s">
        <v>1998</v>
      </c>
      <c r="B149">
        <v>0</v>
      </c>
      <c r="C149">
        <v>0</v>
      </c>
      <c r="D149">
        <v>0</v>
      </c>
      <c r="E149">
        <v>0</v>
      </c>
      <c r="F149">
        <v>0</v>
      </c>
      <c r="G149">
        <v>0</v>
      </c>
      <c r="H149">
        <v>0</v>
      </c>
      <c r="I149">
        <v>0</v>
      </c>
      <c r="J149">
        <v>0</v>
      </c>
      <c r="K149">
        <v>0</v>
      </c>
    </row>
    <row r="150" spans="1:11" x14ac:dyDescent="0.2">
      <c r="A150" t="s">
        <v>1999</v>
      </c>
      <c r="B150">
        <v>0</v>
      </c>
      <c r="C150">
        <v>0</v>
      </c>
      <c r="D150">
        <v>0</v>
      </c>
      <c r="E150">
        <v>0</v>
      </c>
      <c r="F150">
        <v>0</v>
      </c>
      <c r="G150">
        <v>0</v>
      </c>
      <c r="H150">
        <v>0</v>
      </c>
      <c r="I150">
        <v>0</v>
      </c>
      <c r="J150">
        <v>0</v>
      </c>
      <c r="K150">
        <v>0</v>
      </c>
    </row>
    <row r="151" spans="1:11" x14ac:dyDescent="0.2">
      <c r="A151" t="s">
        <v>2004</v>
      </c>
      <c r="B151">
        <v>0</v>
      </c>
      <c r="C151">
        <v>0</v>
      </c>
      <c r="D151">
        <v>0</v>
      </c>
      <c r="E151">
        <v>0</v>
      </c>
      <c r="F151">
        <v>0</v>
      </c>
      <c r="G151">
        <v>0</v>
      </c>
      <c r="H151">
        <v>0</v>
      </c>
      <c r="I151">
        <v>0</v>
      </c>
      <c r="J151">
        <v>0</v>
      </c>
      <c r="K151">
        <v>0</v>
      </c>
    </row>
    <row r="152" spans="1:11" x14ac:dyDescent="0.2">
      <c r="A152" t="s">
        <v>2009</v>
      </c>
      <c r="B152">
        <v>0</v>
      </c>
      <c r="C152">
        <v>0</v>
      </c>
      <c r="D152">
        <v>0</v>
      </c>
      <c r="E152">
        <v>0</v>
      </c>
      <c r="F152">
        <v>0</v>
      </c>
      <c r="G152">
        <v>0</v>
      </c>
      <c r="H152">
        <v>0</v>
      </c>
      <c r="I152">
        <v>0</v>
      </c>
      <c r="J152">
        <v>0</v>
      </c>
      <c r="K152">
        <v>0</v>
      </c>
    </row>
    <row r="153" spans="1:11" x14ac:dyDescent="0.2">
      <c r="A153" t="s">
        <v>2014</v>
      </c>
      <c r="B153">
        <v>0</v>
      </c>
      <c r="C153">
        <v>0</v>
      </c>
      <c r="D153">
        <v>0</v>
      </c>
      <c r="E153">
        <v>0</v>
      </c>
      <c r="F153">
        <v>0</v>
      </c>
      <c r="G153">
        <v>0</v>
      </c>
      <c r="H153">
        <v>0</v>
      </c>
      <c r="I153">
        <v>0</v>
      </c>
      <c r="J153">
        <v>0</v>
      </c>
      <c r="K153">
        <v>0</v>
      </c>
    </row>
    <row r="154" spans="1:11" x14ac:dyDescent="0.2">
      <c r="A154" t="s">
        <v>2019</v>
      </c>
      <c r="B154">
        <v>0</v>
      </c>
      <c r="C154">
        <v>0</v>
      </c>
      <c r="D154">
        <v>0</v>
      </c>
      <c r="E154">
        <v>0</v>
      </c>
      <c r="F154">
        <v>0</v>
      </c>
      <c r="G154">
        <v>0</v>
      </c>
      <c r="H154">
        <v>0</v>
      </c>
      <c r="I154">
        <v>0</v>
      </c>
      <c r="J154">
        <v>0</v>
      </c>
      <c r="K154">
        <v>0</v>
      </c>
    </row>
    <row r="155" spans="1:11" x14ac:dyDescent="0.2">
      <c r="A155" t="s">
        <v>2023</v>
      </c>
      <c r="B155">
        <v>0</v>
      </c>
      <c r="C155">
        <v>0</v>
      </c>
      <c r="D155">
        <v>0</v>
      </c>
      <c r="E155">
        <v>0</v>
      </c>
      <c r="F155">
        <v>0</v>
      </c>
      <c r="G155">
        <v>0</v>
      </c>
      <c r="H155">
        <v>0</v>
      </c>
      <c r="I155">
        <v>0</v>
      </c>
      <c r="J155">
        <v>0</v>
      </c>
      <c r="K155">
        <v>0</v>
      </c>
    </row>
    <row r="156" spans="1:11" x14ac:dyDescent="0.2">
      <c r="A156" t="s">
        <v>2026</v>
      </c>
      <c r="B156">
        <v>0</v>
      </c>
      <c r="C156">
        <v>0</v>
      </c>
      <c r="D156">
        <v>0</v>
      </c>
      <c r="E156">
        <v>0</v>
      </c>
      <c r="F156">
        <v>0</v>
      </c>
      <c r="G156">
        <v>0</v>
      </c>
      <c r="H156">
        <v>0</v>
      </c>
      <c r="I156">
        <v>0</v>
      </c>
      <c r="J156">
        <v>0</v>
      </c>
      <c r="K156">
        <v>0</v>
      </c>
    </row>
    <row r="157" spans="1:11" x14ac:dyDescent="0.2">
      <c r="A157" t="s">
        <v>2030</v>
      </c>
      <c r="B157">
        <v>0</v>
      </c>
      <c r="C157">
        <v>0</v>
      </c>
      <c r="D157">
        <v>0</v>
      </c>
      <c r="E157">
        <v>0</v>
      </c>
      <c r="F157">
        <v>0</v>
      </c>
      <c r="G157">
        <v>0</v>
      </c>
      <c r="H157">
        <v>0</v>
      </c>
      <c r="I157">
        <v>0</v>
      </c>
      <c r="J157">
        <v>0</v>
      </c>
      <c r="K157">
        <v>0</v>
      </c>
    </row>
    <row r="158" spans="1:11" x14ac:dyDescent="0.2">
      <c r="A158" t="s">
        <v>2035</v>
      </c>
      <c r="B158">
        <v>0</v>
      </c>
      <c r="C158">
        <v>0</v>
      </c>
      <c r="D158">
        <v>0</v>
      </c>
      <c r="E158">
        <v>0</v>
      </c>
      <c r="F158">
        <v>0</v>
      </c>
      <c r="G158">
        <v>0</v>
      </c>
      <c r="H158">
        <v>0</v>
      </c>
      <c r="I158">
        <v>0</v>
      </c>
      <c r="J158">
        <v>0</v>
      </c>
      <c r="K158">
        <v>0</v>
      </c>
    </row>
    <row r="159" spans="1:11" x14ac:dyDescent="0.2">
      <c r="A159" t="s">
        <v>2040</v>
      </c>
      <c r="B159">
        <v>0</v>
      </c>
      <c r="C159">
        <v>0</v>
      </c>
      <c r="D159">
        <v>0</v>
      </c>
      <c r="E159">
        <v>0</v>
      </c>
      <c r="F159">
        <v>0</v>
      </c>
      <c r="G159">
        <v>0</v>
      </c>
      <c r="H159">
        <v>0</v>
      </c>
      <c r="I159">
        <v>0</v>
      </c>
      <c r="J159">
        <v>0</v>
      </c>
      <c r="K159">
        <v>0</v>
      </c>
    </row>
    <row r="160" spans="1:11" x14ac:dyDescent="0.2">
      <c r="A160" t="s">
        <v>2045</v>
      </c>
      <c r="B160">
        <v>0</v>
      </c>
      <c r="C160">
        <v>0</v>
      </c>
      <c r="D160">
        <v>0</v>
      </c>
      <c r="E160">
        <v>0</v>
      </c>
      <c r="F160">
        <v>0</v>
      </c>
      <c r="G160">
        <v>0</v>
      </c>
      <c r="H160">
        <v>0</v>
      </c>
      <c r="I160">
        <v>0</v>
      </c>
      <c r="J160">
        <v>0</v>
      </c>
      <c r="K160">
        <v>0</v>
      </c>
    </row>
    <row r="161" spans="1:11" x14ac:dyDescent="0.2">
      <c r="A161" t="s">
        <v>2049</v>
      </c>
      <c r="B161">
        <v>254</v>
      </c>
      <c r="C161">
        <v>0</v>
      </c>
      <c r="D161">
        <v>0</v>
      </c>
      <c r="E161">
        <v>171</v>
      </c>
      <c r="F161">
        <v>1</v>
      </c>
      <c r="G161">
        <v>715</v>
      </c>
      <c r="H161">
        <v>0</v>
      </c>
      <c r="I161">
        <v>21</v>
      </c>
      <c r="J161">
        <v>0</v>
      </c>
      <c r="K161">
        <v>0</v>
      </c>
    </row>
    <row r="162" spans="1:11" x14ac:dyDescent="0.2">
      <c r="A162" t="s">
        <v>2051</v>
      </c>
      <c r="B162">
        <v>3</v>
      </c>
      <c r="C162">
        <v>0</v>
      </c>
      <c r="D162">
        <v>0</v>
      </c>
      <c r="E162">
        <v>2</v>
      </c>
      <c r="F162">
        <v>0</v>
      </c>
      <c r="G162">
        <v>7</v>
      </c>
      <c r="H162">
        <v>0</v>
      </c>
      <c r="I162">
        <v>0</v>
      </c>
      <c r="J162">
        <v>0</v>
      </c>
      <c r="K162">
        <v>0</v>
      </c>
    </row>
    <row r="163" spans="1:11" x14ac:dyDescent="0.2">
      <c r="A163" t="s">
        <v>2057</v>
      </c>
      <c r="B163">
        <v>4</v>
      </c>
      <c r="C163">
        <v>0</v>
      </c>
      <c r="D163">
        <v>0</v>
      </c>
      <c r="E163">
        <v>3</v>
      </c>
      <c r="F163">
        <v>0</v>
      </c>
      <c r="G163">
        <v>11</v>
      </c>
      <c r="H163">
        <v>0</v>
      </c>
      <c r="I163">
        <v>0</v>
      </c>
      <c r="J163">
        <v>0</v>
      </c>
      <c r="K163">
        <v>0</v>
      </c>
    </row>
    <row r="164" spans="1:11" x14ac:dyDescent="0.2">
      <c r="A164" t="s">
        <v>4344</v>
      </c>
      <c r="B164">
        <v>0</v>
      </c>
      <c r="C164">
        <v>0</v>
      </c>
      <c r="D164">
        <v>0</v>
      </c>
      <c r="E164">
        <v>0</v>
      </c>
      <c r="F164">
        <v>0</v>
      </c>
      <c r="G164">
        <v>1</v>
      </c>
      <c r="H164">
        <v>0</v>
      </c>
      <c r="I164">
        <v>0</v>
      </c>
      <c r="J164">
        <v>0</v>
      </c>
      <c r="K164">
        <v>0</v>
      </c>
    </row>
    <row r="165" spans="1:11" x14ac:dyDescent="0.2">
      <c r="A165" t="s">
        <v>4345</v>
      </c>
      <c r="B165">
        <v>4</v>
      </c>
      <c r="C165">
        <v>0</v>
      </c>
      <c r="D165">
        <v>0</v>
      </c>
      <c r="E165">
        <v>2</v>
      </c>
      <c r="F165">
        <v>0</v>
      </c>
      <c r="G165">
        <v>9</v>
      </c>
      <c r="H165">
        <v>0</v>
      </c>
      <c r="I165">
        <v>0</v>
      </c>
      <c r="J165">
        <v>0</v>
      </c>
      <c r="K165">
        <v>0</v>
      </c>
    </row>
    <row r="166" spans="1:11" x14ac:dyDescent="0.2">
      <c r="A166" t="s">
        <v>2074</v>
      </c>
      <c r="B166">
        <v>0</v>
      </c>
      <c r="C166">
        <v>0</v>
      </c>
      <c r="D166">
        <v>0</v>
      </c>
      <c r="E166">
        <v>0</v>
      </c>
      <c r="F166">
        <v>0</v>
      </c>
      <c r="G166">
        <v>0</v>
      </c>
      <c r="H166">
        <v>0</v>
      </c>
      <c r="I166">
        <v>0</v>
      </c>
      <c r="J166">
        <v>0</v>
      </c>
      <c r="K166">
        <v>0</v>
      </c>
    </row>
    <row r="167" spans="1:11" x14ac:dyDescent="0.2">
      <c r="A167" t="s">
        <v>2079</v>
      </c>
      <c r="B167">
        <v>0</v>
      </c>
      <c r="C167">
        <v>0</v>
      </c>
      <c r="D167">
        <v>0</v>
      </c>
      <c r="E167">
        <v>0</v>
      </c>
      <c r="F167">
        <v>0</v>
      </c>
      <c r="G167">
        <v>0</v>
      </c>
      <c r="H167">
        <v>0</v>
      </c>
      <c r="I167">
        <v>0</v>
      </c>
      <c r="J167">
        <v>0</v>
      </c>
      <c r="K167">
        <v>0</v>
      </c>
    </row>
    <row r="168" spans="1:11" x14ac:dyDescent="0.2">
      <c r="A168" t="s">
        <v>2085</v>
      </c>
      <c r="B168">
        <v>0</v>
      </c>
      <c r="C168">
        <v>0</v>
      </c>
      <c r="D168">
        <v>0</v>
      </c>
      <c r="E168">
        <v>0</v>
      </c>
      <c r="F168">
        <v>0</v>
      </c>
      <c r="G168">
        <v>0</v>
      </c>
      <c r="H168">
        <v>0</v>
      </c>
      <c r="I168">
        <v>0</v>
      </c>
      <c r="J168">
        <v>0</v>
      </c>
      <c r="K168">
        <v>0</v>
      </c>
    </row>
    <row r="169" spans="1:11" x14ac:dyDescent="0.2">
      <c r="A169" t="s">
        <v>2091</v>
      </c>
      <c r="B169">
        <v>0</v>
      </c>
      <c r="C169">
        <v>0</v>
      </c>
      <c r="D169">
        <v>0</v>
      </c>
      <c r="E169">
        <v>0</v>
      </c>
      <c r="F169">
        <v>0</v>
      </c>
      <c r="G169">
        <v>0</v>
      </c>
      <c r="H169">
        <v>0</v>
      </c>
      <c r="I169">
        <v>0</v>
      </c>
      <c r="J169">
        <v>0</v>
      </c>
      <c r="K169">
        <v>0</v>
      </c>
    </row>
    <row r="170" spans="1:11" x14ac:dyDescent="0.2">
      <c r="A170" t="s">
        <v>2097</v>
      </c>
      <c r="B170">
        <v>0</v>
      </c>
      <c r="C170">
        <v>0</v>
      </c>
      <c r="D170">
        <v>0</v>
      </c>
      <c r="E170">
        <v>0</v>
      </c>
      <c r="F170">
        <v>0</v>
      </c>
      <c r="G170">
        <v>0</v>
      </c>
      <c r="H170">
        <v>0</v>
      </c>
      <c r="I170">
        <v>0</v>
      </c>
      <c r="J170">
        <v>0</v>
      </c>
      <c r="K170">
        <v>0</v>
      </c>
    </row>
    <row r="171" spans="1:11" x14ac:dyDescent="0.2">
      <c r="A171" t="s">
        <v>2101</v>
      </c>
      <c r="B171">
        <v>0</v>
      </c>
      <c r="C171">
        <v>0</v>
      </c>
      <c r="D171">
        <v>0</v>
      </c>
      <c r="E171">
        <v>0</v>
      </c>
      <c r="F171">
        <v>0</v>
      </c>
      <c r="G171">
        <v>0</v>
      </c>
      <c r="H171">
        <v>0</v>
      </c>
      <c r="I171">
        <v>0</v>
      </c>
      <c r="J171">
        <v>0</v>
      </c>
      <c r="K171">
        <v>0</v>
      </c>
    </row>
    <row r="172" spans="1:11" x14ac:dyDescent="0.2">
      <c r="A172" t="s">
        <v>2104</v>
      </c>
      <c r="B172">
        <v>0</v>
      </c>
      <c r="C172">
        <v>0</v>
      </c>
      <c r="D172">
        <v>0</v>
      </c>
      <c r="E172">
        <v>0</v>
      </c>
      <c r="F172">
        <v>0</v>
      </c>
      <c r="G172">
        <v>0</v>
      </c>
      <c r="H172">
        <v>0</v>
      </c>
      <c r="I172">
        <v>0</v>
      </c>
      <c r="J172">
        <v>0</v>
      </c>
      <c r="K172">
        <v>0</v>
      </c>
    </row>
    <row r="173" spans="1:11" x14ac:dyDescent="0.2">
      <c r="A173" t="s">
        <v>2107</v>
      </c>
      <c r="B173">
        <v>0</v>
      </c>
      <c r="C173">
        <v>0</v>
      </c>
      <c r="D173">
        <v>0</v>
      </c>
      <c r="E173">
        <v>0</v>
      </c>
      <c r="F173">
        <v>0</v>
      </c>
      <c r="G173">
        <v>0</v>
      </c>
      <c r="H173">
        <v>0</v>
      </c>
      <c r="I173">
        <v>0</v>
      </c>
      <c r="J173">
        <v>0</v>
      </c>
      <c r="K173">
        <v>0</v>
      </c>
    </row>
    <row r="174" spans="1:11" x14ac:dyDescent="0.2">
      <c r="A174" t="s">
        <v>2110</v>
      </c>
      <c r="B174">
        <v>0</v>
      </c>
      <c r="C174">
        <v>0</v>
      </c>
      <c r="D174">
        <v>0</v>
      </c>
      <c r="E174">
        <v>0</v>
      </c>
      <c r="F174">
        <v>0</v>
      </c>
      <c r="G174">
        <v>0</v>
      </c>
      <c r="H174">
        <v>0</v>
      </c>
      <c r="I174">
        <v>0</v>
      </c>
      <c r="J174">
        <v>0</v>
      </c>
      <c r="K174">
        <v>0</v>
      </c>
    </row>
    <row r="175" spans="1:11" x14ac:dyDescent="0.2">
      <c r="A175" t="s">
        <v>2113</v>
      </c>
      <c r="B175">
        <v>0</v>
      </c>
      <c r="C175">
        <v>0</v>
      </c>
      <c r="D175">
        <v>0</v>
      </c>
      <c r="E175">
        <v>0</v>
      </c>
      <c r="F175">
        <v>0</v>
      </c>
      <c r="G175">
        <v>0</v>
      </c>
      <c r="H175">
        <v>0</v>
      </c>
      <c r="I175">
        <v>0</v>
      </c>
      <c r="J175">
        <v>0</v>
      </c>
      <c r="K175">
        <v>0</v>
      </c>
    </row>
    <row r="176" spans="1:11" x14ac:dyDescent="0.2">
      <c r="A176" t="s">
        <v>4346</v>
      </c>
      <c r="B176">
        <v>0</v>
      </c>
      <c r="C176">
        <v>0</v>
      </c>
      <c r="D176">
        <v>0</v>
      </c>
      <c r="E176">
        <v>0</v>
      </c>
      <c r="F176">
        <v>0</v>
      </c>
      <c r="G176">
        <v>0</v>
      </c>
      <c r="H176">
        <v>0</v>
      </c>
      <c r="I176">
        <v>0</v>
      </c>
      <c r="J176">
        <v>0</v>
      </c>
      <c r="K176">
        <v>0</v>
      </c>
    </row>
    <row r="177" spans="1:11" x14ac:dyDescent="0.2">
      <c r="A177" t="s">
        <v>4347</v>
      </c>
      <c r="B177">
        <v>0</v>
      </c>
      <c r="C177">
        <v>0</v>
      </c>
      <c r="D177">
        <v>0</v>
      </c>
      <c r="E177">
        <v>0</v>
      </c>
      <c r="F177">
        <v>0</v>
      </c>
      <c r="G177">
        <v>0</v>
      </c>
      <c r="H177">
        <v>0</v>
      </c>
      <c r="I177">
        <v>0</v>
      </c>
      <c r="J177">
        <v>0</v>
      </c>
      <c r="K177">
        <v>0</v>
      </c>
    </row>
    <row r="178" spans="1:11" x14ac:dyDescent="0.2">
      <c r="A178" t="s">
        <v>4348</v>
      </c>
      <c r="B178">
        <v>0</v>
      </c>
      <c r="C178">
        <v>0</v>
      </c>
      <c r="D178">
        <v>0</v>
      </c>
      <c r="E178">
        <v>0</v>
      </c>
      <c r="F178">
        <v>0</v>
      </c>
      <c r="G178">
        <v>0</v>
      </c>
      <c r="H178">
        <v>0</v>
      </c>
      <c r="I178">
        <v>0</v>
      </c>
      <c r="J178">
        <v>0</v>
      </c>
      <c r="K178">
        <v>0</v>
      </c>
    </row>
    <row r="179" spans="1:11" x14ac:dyDescent="0.2">
      <c r="A179" t="s">
        <v>4349</v>
      </c>
      <c r="B179">
        <v>0</v>
      </c>
      <c r="C179">
        <v>0</v>
      </c>
      <c r="D179">
        <v>0</v>
      </c>
      <c r="E179">
        <v>0</v>
      </c>
      <c r="F179">
        <v>0</v>
      </c>
      <c r="G179">
        <v>0</v>
      </c>
      <c r="H179">
        <v>0</v>
      </c>
      <c r="I179">
        <v>0</v>
      </c>
      <c r="J179">
        <v>0</v>
      </c>
      <c r="K179">
        <v>0</v>
      </c>
    </row>
    <row r="180" spans="1:11" x14ac:dyDescent="0.2">
      <c r="A180" t="s">
        <v>4350</v>
      </c>
      <c r="B180">
        <v>6</v>
      </c>
      <c r="C180">
        <v>0</v>
      </c>
      <c r="D180">
        <v>0</v>
      </c>
      <c r="E180">
        <v>4</v>
      </c>
      <c r="F180">
        <v>0</v>
      </c>
      <c r="G180">
        <v>16</v>
      </c>
      <c r="H180">
        <v>0</v>
      </c>
      <c r="I180">
        <v>0</v>
      </c>
      <c r="J180">
        <v>0</v>
      </c>
      <c r="K180">
        <v>0</v>
      </c>
    </row>
    <row r="181" spans="1:11" x14ac:dyDescent="0.2">
      <c r="A181" t="s">
        <v>4351</v>
      </c>
      <c r="B181">
        <v>0</v>
      </c>
      <c r="C181">
        <v>0</v>
      </c>
      <c r="D181">
        <v>0</v>
      </c>
      <c r="E181">
        <v>0</v>
      </c>
      <c r="F181">
        <v>0</v>
      </c>
      <c r="G181">
        <v>0</v>
      </c>
      <c r="H181">
        <v>0</v>
      </c>
      <c r="I181">
        <v>0</v>
      </c>
      <c r="J181">
        <v>0</v>
      </c>
      <c r="K181">
        <v>0</v>
      </c>
    </row>
    <row r="182" spans="1:11" x14ac:dyDescent="0.2">
      <c r="A182" t="s">
        <v>4352</v>
      </c>
      <c r="B182">
        <v>0</v>
      </c>
      <c r="C182">
        <v>0</v>
      </c>
      <c r="D182">
        <v>0</v>
      </c>
      <c r="E182">
        <v>0</v>
      </c>
      <c r="F182">
        <v>0</v>
      </c>
      <c r="G182">
        <v>0</v>
      </c>
      <c r="H182">
        <v>0</v>
      </c>
      <c r="I182">
        <v>0</v>
      </c>
      <c r="J182">
        <v>0</v>
      </c>
      <c r="K182">
        <v>0</v>
      </c>
    </row>
    <row r="183" spans="1:11" x14ac:dyDescent="0.2">
      <c r="A183" t="s">
        <v>4353</v>
      </c>
      <c r="B183">
        <v>49</v>
      </c>
      <c r="C183">
        <v>0</v>
      </c>
      <c r="D183">
        <v>0</v>
      </c>
      <c r="E183">
        <v>34</v>
      </c>
      <c r="F183">
        <v>0</v>
      </c>
      <c r="G183">
        <v>144</v>
      </c>
      <c r="H183">
        <v>0</v>
      </c>
      <c r="I183">
        <v>4</v>
      </c>
      <c r="J183">
        <v>0</v>
      </c>
      <c r="K183">
        <v>0</v>
      </c>
    </row>
    <row r="184" spans="1:11" x14ac:dyDescent="0.2">
      <c r="A184" t="s">
        <v>4354</v>
      </c>
      <c r="B184">
        <v>46</v>
      </c>
      <c r="C184">
        <v>0</v>
      </c>
      <c r="D184">
        <v>0</v>
      </c>
      <c r="E184">
        <v>32</v>
      </c>
      <c r="F184">
        <v>0</v>
      </c>
      <c r="G184">
        <v>134</v>
      </c>
      <c r="H184">
        <v>0</v>
      </c>
      <c r="I184">
        <v>4</v>
      </c>
      <c r="J184">
        <v>0</v>
      </c>
      <c r="K184">
        <v>0</v>
      </c>
    </row>
    <row r="185" spans="1:11" x14ac:dyDescent="0.2">
      <c r="A185" t="s">
        <v>4355</v>
      </c>
      <c r="B185">
        <v>0</v>
      </c>
      <c r="C185">
        <v>0</v>
      </c>
      <c r="D185">
        <v>0</v>
      </c>
      <c r="E185">
        <v>0</v>
      </c>
      <c r="F185">
        <v>0</v>
      </c>
      <c r="G185">
        <v>0</v>
      </c>
      <c r="H185">
        <v>0</v>
      </c>
      <c r="I185">
        <v>0</v>
      </c>
      <c r="J185">
        <v>0</v>
      </c>
      <c r="K185">
        <v>0</v>
      </c>
    </row>
    <row r="186" spans="1:11" x14ac:dyDescent="0.2">
      <c r="A186" t="s">
        <v>4356</v>
      </c>
      <c r="B186">
        <v>0</v>
      </c>
      <c r="C186">
        <v>0</v>
      </c>
      <c r="D186">
        <v>0</v>
      </c>
      <c r="E186">
        <v>0</v>
      </c>
      <c r="F186">
        <v>0</v>
      </c>
      <c r="G186">
        <v>0</v>
      </c>
      <c r="H186">
        <v>0</v>
      </c>
      <c r="I186">
        <v>0</v>
      </c>
      <c r="J186">
        <v>0</v>
      </c>
      <c r="K186">
        <v>0</v>
      </c>
    </row>
    <row r="187" spans="1:11" x14ac:dyDescent="0.2">
      <c r="A187" t="s">
        <v>4357</v>
      </c>
      <c r="B187">
        <v>0</v>
      </c>
      <c r="C187">
        <v>0</v>
      </c>
      <c r="D187">
        <v>0</v>
      </c>
      <c r="E187">
        <v>0</v>
      </c>
      <c r="F187">
        <v>0</v>
      </c>
      <c r="G187">
        <v>0</v>
      </c>
      <c r="H187">
        <v>0</v>
      </c>
      <c r="I187">
        <v>0</v>
      </c>
      <c r="J187">
        <v>0</v>
      </c>
      <c r="K187">
        <v>0</v>
      </c>
    </row>
    <row r="188" spans="1:11" x14ac:dyDescent="0.2">
      <c r="A188" t="s">
        <v>4358</v>
      </c>
      <c r="B188">
        <v>1</v>
      </c>
      <c r="C188">
        <v>0</v>
      </c>
      <c r="D188">
        <v>0</v>
      </c>
      <c r="E188">
        <v>0</v>
      </c>
      <c r="F188">
        <v>0</v>
      </c>
      <c r="G188">
        <v>2</v>
      </c>
      <c r="H188">
        <v>0</v>
      </c>
      <c r="I188">
        <v>0</v>
      </c>
      <c r="J188">
        <v>0</v>
      </c>
      <c r="K188">
        <v>0</v>
      </c>
    </row>
    <row r="189" spans="1:11" x14ac:dyDescent="0.2">
      <c r="A189" t="s">
        <v>4359</v>
      </c>
      <c r="B189">
        <v>0</v>
      </c>
      <c r="C189">
        <v>0</v>
      </c>
      <c r="D189">
        <v>0</v>
      </c>
      <c r="E189">
        <v>0</v>
      </c>
      <c r="F189">
        <v>0</v>
      </c>
      <c r="G189">
        <v>0</v>
      </c>
      <c r="H189">
        <v>0</v>
      </c>
      <c r="I189">
        <v>0</v>
      </c>
      <c r="J189">
        <v>0</v>
      </c>
      <c r="K189">
        <v>0</v>
      </c>
    </row>
    <row r="190" spans="1:11" x14ac:dyDescent="0.2">
      <c r="A190" t="s">
        <v>4360</v>
      </c>
      <c r="B190">
        <v>5</v>
      </c>
      <c r="C190">
        <v>0</v>
      </c>
      <c r="D190">
        <v>0</v>
      </c>
      <c r="E190">
        <v>3</v>
      </c>
      <c r="F190">
        <v>0</v>
      </c>
      <c r="G190">
        <v>13</v>
      </c>
      <c r="H190">
        <v>0</v>
      </c>
      <c r="I190">
        <v>0</v>
      </c>
      <c r="J190">
        <v>0</v>
      </c>
      <c r="K190">
        <v>0</v>
      </c>
    </row>
    <row r="191" spans="1:11" x14ac:dyDescent="0.2">
      <c r="A191" t="s">
        <v>4361</v>
      </c>
      <c r="B191">
        <v>43</v>
      </c>
      <c r="C191">
        <v>0</v>
      </c>
      <c r="D191">
        <v>0</v>
      </c>
      <c r="E191">
        <v>30</v>
      </c>
      <c r="F191">
        <v>0</v>
      </c>
      <c r="G191">
        <v>123</v>
      </c>
      <c r="H191">
        <v>0</v>
      </c>
      <c r="I191">
        <v>4</v>
      </c>
      <c r="J191">
        <v>0</v>
      </c>
      <c r="K191">
        <v>0</v>
      </c>
    </row>
    <row r="192" spans="1:11" x14ac:dyDescent="0.2">
      <c r="A192" t="s">
        <v>4362</v>
      </c>
      <c r="B192">
        <v>3</v>
      </c>
      <c r="C192">
        <v>0</v>
      </c>
      <c r="D192">
        <v>0</v>
      </c>
      <c r="E192">
        <v>2</v>
      </c>
      <c r="F192">
        <v>0</v>
      </c>
      <c r="G192">
        <v>9</v>
      </c>
      <c r="H192">
        <v>0</v>
      </c>
      <c r="I192">
        <v>0</v>
      </c>
      <c r="J192">
        <v>0</v>
      </c>
      <c r="K192">
        <v>0</v>
      </c>
    </row>
    <row r="193" spans="1:11" x14ac:dyDescent="0.2">
      <c r="A193" t="s">
        <v>4363</v>
      </c>
      <c r="B193">
        <v>0</v>
      </c>
      <c r="C193">
        <v>0</v>
      </c>
      <c r="D193">
        <v>0</v>
      </c>
      <c r="E193">
        <v>0</v>
      </c>
      <c r="F193">
        <v>0</v>
      </c>
      <c r="G193">
        <v>0</v>
      </c>
      <c r="H193">
        <v>0</v>
      </c>
      <c r="I193">
        <v>0</v>
      </c>
      <c r="J193">
        <v>0</v>
      </c>
      <c r="K193">
        <v>0</v>
      </c>
    </row>
    <row r="194" spans="1:11" x14ac:dyDescent="0.2">
      <c r="A194" t="s">
        <v>4364</v>
      </c>
      <c r="B194">
        <v>0</v>
      </c>
      <c r="C194">
        <v>0</v>
      </c>
      <c r="D194">
        <v>0</v>
      </c>
      <c r="E194">
        <v>0</v>
      </c>
      <c r="F194">
        <v>0</v>
      </c>
      <c r="G194">
        <v>0</v>
      </c>
      <c r="H194">
        <v>0</v>
      </c>
      <c r="I194">
        <v>0</v>
      </c>
      <c r="J194">
        <v>0</v>
      </c>
      <c r="K194">
        <v>0</v>
      </c>
    </row>
    <row r="195" spans="1:11" x14ac:dyDescent="0.2">
      <c r="A195" t="s">
        <v>4365</v>
      </c>
      <c r="B195">
        <v>19</v>
      </c>
      <c r="C195">
        <v>0</v>
      </c>
      <c r="D195">
        <v>0</v>
      </c>
      <c r="E195">
        <v>114</v>
      </c>
      <c r="F195">
        <v>0</v>
      </c>
      <c r="G195">
        <v>475</v>
      </c>
      <c r="H195">
        <v>0</v>
      </c>
      <c r="I195">
        <v>14</v>
      </c>
      <c r="J195">
        <v>0</v>
      </c>
      <c r="K195">
        <v>0</v>
      </c>
    </row>
    <row r="196" spans="1:11" x14ac:dyDescent="0.2">
      <c r="A196" t="s">
        <v>4366</v>
      </c>
      <c r="B196">
        <v>0</v>
      </c>
      <c r="C196">
        <v>0</v>
      </c>
      <c r="D196">
        <v>0</v>
      </c>
      <c r="E196">
        <v>0</v>
      </c>
      <c r="F196">
        <v>0</v>
      </c>
      <c r="G196">
        <v>0</v>
      </c>
      <c r="H196">
        <v>0</v>
      </c>
      <c r="I196">
        <v>0</v>
      </c>
      <c r="J196">
        <v>0</v>
      </c>
      <c r="K196">
        <v>0</v>
      </c>
    </row>
    <row r="197" spans="1:11" x14ac:dyDescent="0.2">
      <c r="A197" t="s">
        <v>4367</v>
      </c>
      <c r="B197">
        <v>0</v>
      </c>
      <c r="C197">
        <v>0</v>
      </c>
      <c r="D197">
        <v>0</v>
      </c>
      <c r="E197">
        <v>0</v>
      </c>
      <c r="F197">
        <v>0</v>
      </c>
      <c r="G197">
        <v>0</v>
      </c>
      <c r="H197">
        <v>0</v>
      </c>
      <c r="I197">
        <v>0</v>
      </c>
      <c r="J197">
        <v>0</v>
      </c>
      <c r="K197">
        <v>0</v>
      </c>
    </row>
    <row r="198" spans="1:11" x14ac:dyDescent="0.2">
      <c r="A198" t="s">
        <v>4368</v>
      </c>
      <c r="B198">
        <v>88</v>
      </c>
      <c r="C198">
        <v>0</v>
      </c>
      <c r="D198">
        <v>0</v>
      </c>
      <c r="E198">
        <v>487</v>
      </c>
      <c r="F198">
        <v>0</v>
      </c>
      <c r="G198">
        <v>2035</v>
      </c>
      <c r="H198">
        <v>0</v>
      </c>
      <c r="I198">
        <v>59</v>
      </c>
      <c r="J198">
        <v>0</v>
      </c>
      <c r="K198">
        <v>0</v>
      </c>
    </row>
    <row r="199" spans="1:11" x14ac:dyDescent="0.2">
      <c r="A199" t="s">
        <v>4369</v>
      </c>
      <c r="B199">
        <v>127</v>
      </c>
      <c r="C199">
        <v>0</v>
      </c>
      <c r="D199">
        <v>0</v>
      </c>
      <c r="E199">
        <v>218</v>
      </c>
      <c r="F199">
        <v>0</v>
      </c>
      <c r="G199">
        <v>910</v>
      </c>
      <c r="H199">
        <v>0</v>
      </c>
      <c r="I199">
        <v>27</v>
      </c>
      <c r="J199">
        <v>0</v>
      </c>
      <c r="K199">
        <v>0</v>
      </c>
    </row>
    <row r="200" spans="1:11" x14ac:dyDescent="0.2">
      <c r="A200" t="s">
        <v>4370</v>
      </c>
      <c r="B200">
        <v>68</v>
      </c>
      <c r="C200">
        <v>0</v>
      </c>
      <c r="D200">
        <v>0</v>
      </c>
      <c r="E200">
        <v>408</v>
      </c>
      <c r="F200">
        <v>0</v>
      </c>
      <c r="G200">
        <v>1705</v>
      </c>
      <c r="H200">
        <v>0</v>
      </c>
      <c r="I200">
        <v>50</v>
      </c>
      <c r="J200">
        <v>0</v>
      </c>
      <c r="K200">
        <v>0</v>
      </c>
    </row>
    <row r="201" spans="1:11" x14ac:dyDescent="0.2">
      <c r="A201" t="s">
        <v>4371</v>
      </c>
      <c r="B201">
        <v>25</v>
      </c>
      <c r="C201">
        <v>0</v>
      </c>
      <c r="D201">
        <v>0</v>
      </c>
      <c r="E201">
        <v>146</v>
      </c>
      <c r="F201">
        <v>0</v>
      </c>
      <c r="G201">
        <v>608</v>
      </c>
      <c r="H201">
        <v>0</v>
      </c>
      <c r="I201">
        <v>18</v>
      </c>
      <c r="J201">
        <v>0</v>
      </c>
      <c r="K201">
        <v>0</v>
      </c>
    </row>
    <row r="202" spans="1:11" x14ac:dyDescent="0.2">
      <c r="A202" t="s">
        <v>4372</v>
      </c>
      <c r="B202">
        <v>0</v>
      </c>
      <c r="C202">
        <v>0</v>
      </c>
      <c r="D202">
        <v>0</v>
      </c>
      <c r="E202">
        <v>0</v>
      </c>
      <c r="F202">
        <v>0</v>
      </c>
      <c r="G202">
        <v>0</v>
      </c>
      <c r="H202">
        <v>0</v>
      </c>
      <c r="I202">
        <v>0</v>
      </c>
      <c r="J202">
        <v>0</v>
      </c>
      <c r="K202">
        <v>0</v>
      </c>
    </row>
    <row r="203" spans="1:11" x14ac:dyDescent="0.2">
      <c r="A203" t="s">
        <v>4373</v>
      </c>
      <c r="B203">
        <v>1</v>
      </c>
      <c r="C203">
        <v>0</v>
      </c>
      <c r="D203">
        <v>0</v>
      </c>
      <c r="E203">
        <v>1</v>
      </c>
      <c r="F203">
        <v>0</v>
      </c>
      <c r="G203">
        <v>3</v>
      </c>
      <c r="H203">
        <v>0</v>
      </c>
      <c r="I203">
        <v>0</v>
      </c>
      <c r="J203">
        <v>0</v>
      </c>
      <c r="K203">
        <v>0</v>
      </c>
    </row>
    <row r="204" spans="1:11" x14ac:dyDescent="0.2">
      <c r="A204" t="s">
        <v>4374</v>
      </c>
      <c r="B204">
        <v>0</v>
      </c>
      <c r="C204">
        <v>0</v>
      </c>
      <c r="D204">
        <v>0</v>
      </c>
      <c r="E204">
        <v>0</v>
      </c>
      <c r="F204">
        <v>0</v>
      </c>
      <c r="G204">
        <v>0</v>
      </c>
      <c r="H204">
        <v>0</v>
      </c>
      <c r="I204">
        <v>0</v>
      </c>
      <c r="J204">
        <v>0</v>
      </c>
      <c r="K204">
        <v>0</v>
      </c>
    </row>
    <row r="205" spans="1:11" x14ac:dyDescent="0.2">
      <c r="A205" t="s">
        <v>4375</v>
      </c>
      <c r="B205">
        <v>2</v>
      </c>
      <c r="C205">
        <v>0</v>
      </c>
      <c r="D205">
        <v>0</v>
      </c>
      <c r="E205">
        <v>2</v>
      </c>
      <c r="F205">
        <v>0</v>
      </c>
      <c r="G205">
        <v>6</v>
      </c>
      <c r="H205">
        <v>0</v>
      </c>
      <c r="I205">
        <v>0</v>
      </c>
      <c r="J205">
        <v>0</v>
      </c>
      <c r="K205">
        <v>0</v>
      </c>
    </row>
    <row r="206" spans="1:11" x14ac:dyDescent="0.2">
      <c r="A206" t="s">
        <v>4376</v>
      </c>
      <c r="B206">
        <v>0</v>
      </c>
      <c r="C206">
        <v>0</v>
      </c>
      <c r="D206">
        <v>0</v>
      </c>
      <c r="E206">
        <v>0</v>
      </c>
      <c r="F206">
        <v>0</v>
      </c>
      <c r="G206">
        <v>0</v>
      </c>
      <c r="H206">
        <v>0</v>
      </c>
      <c r="I206">
        <v>0</v>
      </c>
      <c r="J206">
        <v>0</v>
      </c>
      <c r="K206">
        <v>0</v>
      </c>
    </row>
    <row r="207" spans="1:11" x14ac:dyDescent="0.2">
      <c r="A207" t="s">
        <v>4377</v>
      </c>
      <c r="B207">
        <v>0</v>
      </c>
      <c r="C207">
        <v>0</v>
      </c>
      <c r="D207">
        <v>0</v>
      </c>
      <c r="E207">
        <v>0</v>
      </c>
      <c r="F207">
        <v>0</v>
      </c>
      <c r="G207">
        <v>0</v>
      </c>
      <c r="H207">
        <v>0</v>
      </c>
      <c r="I207">
        <v>0</v>
      </c>
      <c r="J207">
        <v>0</v>
      </c>
      <c r="K207">
        <v>0</v>
      </c>
    </row>
    <row r="208" spans="1:11" x14ac:dyDescent="0.2">
      <c r="A208" t="s">
        <v>4854</v>
      </c>
      <c r="B208">
        <v>14218</v>
      </c>
      <c r="C208">
        <v>0</v>
      </c>
      <c r="D208">
        <v>9</v>
      </c>
      <c r="E208">
        <v>11251</v>
      </c>
      <c r="F208">
        <v>51</v>
      </c>
      <c r="G208">
        <v>47020</v>
      </c>
      <c r="H208">
        <v>0</v>
      </c>
      <c r="I208">
        <v>988</v>
      </c>
      <c r="J208">
        <v>0</v>
      </c>
      <c r="K208">
        <v>0</v>
      </c>
    </row>
    <row r="209" spans="1:11" x14ac:dyDescent="0.2">
      <c r="A209" t="s">
        <v>2318</v>
      </c>
      <c r="B209" t="s">
        <v>4399</v>
      </c>
      <c r="C209" t="s">
        <v>4399</v>
      </c>
      <c r="D209" t="s">
        <v>4399</v>
      </c>
      <c r="E209" t="s">
        <v>4399</v>
      </c>
      <c r="F209" t="s">
        <v>4399</v>
      </c>
      <c r="G209" t="s">
        <v>4399</v>
      </c>
      <c r="H209" t="s">
        <v>4399</v>
      </c>
      <c r="I209" t="s">
        <v>4399</v>
      </c>
      <c r="J209" t="s">
        <v>4399</v>
      </c>
      <c r="K209" t="s">
        <v>4399</v>
      </c>
    </row>
    <row r="210" spans="1:11" x14ac:dyDescent="0.2">
      <c r="A210" t="s">
        <v>4248</v>
      </c>
    </row>
    <row r="211" spans="1:11" x14ac:dyDescent="0.2">
      <c r="A211" t="s">
        <v>4855</v>
      </c>
      <c r="B211" t="s">
        <v>4856</v>
      </c>
      <c r="C211" t="s">
        <v>4857</v>
      </c>
      <c r="D211" t="s">
        <v>4858</v>
      </c>
      <c r="E211" t="s">
        <v>4859</v>
      </c>
      <c r="F211" t="s">
        <v>4860</v>
      </c>
      <c r="G211" t="s">
        <v>4861</v>
      </c>
    </row>
    <row r="212" spans="1:11" x14ac:dyDescent="0.2">
      <c r="A212" t="s">
        <v>2318</v>
      </c>
      <c r="B212" t="s">
        <v>4399</v>
      </c>
      <c r="C212" t="s">
        <v>4399</v>
      </c>
      <c r="D212" t="s">
        <v>4399</v>
      </c>
      <c r="E212" t="s">
        <v>4399</v>
      </c>
      <c r="F212" t="s">
        <v>4399</v>
      </c>
      <c r="G212" t="s">
        <v>4399</v>
      </c>
      <c r="H212" t="s">
        <v>4399</v>
      </c>
      <c r="I212" t="s">
        <v>4399</v>
      </c>
      <c r="J212" t="s">
        <v>4399</v>
      </c>
      <c r="K212" t="s">
        <v>4399</v>
      </c>
    </row>
    <row r="213" spans="1:11" x14ac:dyDescent="0.2">
      <c r="A213" t="s">
        <v>126</v>
      </c>
      <c r="B213" t="s">
        <v>4424</v>
      </c>
      <c r="C213" t="s">
        <v>4428</v>
      </c>
      <c r="D213" t="s">
        <v>4432</v>
      </c>
      <c r="E213" t="s">
        <v>4436</v>
      </c>
      <c r="F213" t="s">
        <v>4440</v>
      </c>
      <c r="G213" t="s">
        <v>4444</v>
      </c>
      <c r="H213" t="s">
        <v>4448</v>
      </c>
      <c r="I213" t="s">
        <v>4452</v>
      </c>
      <c r="J213" t="s">
        <v>368</v>
      </c>
      <c r="K213" t="s">
        <v>369</v>
      </c>
    </row>
    <row r="214" spans="1:11" x14ac:dyDescent="0.2">
      <c r="A214" t="s">
        <v>2318</v>
      </c>
      <c r="B214" t="s">
        <v>4399</v>
      </c>
      <c r="C214" t="s">
        <v>4399</v>
      </c>
      <c r="D214" t="s">
        <v>4399</v>
      </c>
      <c r="E214" t="s">
        <v>4399</v>
      </c>
      <c r="F214" t="s">
        <v>4399</v>
      </c>
      <c r="G214" t="s">
        <v>4399</v>
      </c>
      <c r="H214" t="s">
        <v>4399</v>
      </c>
      <c r="I214" t="s">
        <v>4399</v>
      </c>
      <c r="J214" t="s">
        <v>4399</v>
      </c>
      <c r="K214" t="s">
        <v>4399</v>
      </c>
    </row>
    <row r="215" spans="1:11" x14ac:dyDescent="0.2">
      <c r="A215" t="s">
        <v>4265</v>
      </c>
      <c r="B215">
        <v>0</v>
      </c>
      <c r="C215">
        <v>0</v>
      </c>
      <c r="D215">
        <v>0</v>
      </c>
      <c r="E215">
        <v>0</v>
      </c>
      <c r="F215">
        <v>0</v>
      </c>
      <c r="G215">
        <v>0</v>
      </c>
      <c r="H215">
        <v>0</v>
      </c>
      <c r="I215">
        <v>0</v>
      </c>
      <c r="J215">
        <v>0</v>
      </c>
      <c r="K215">
        <v>0</v>
      </c>
    </row>
    <row r="216" spans="1:11" x14ac:dyDescent="0.2">
      <c r="A216" t="s">
        <v>4266</v>
      </c>
      <c r="B216">
        <v>0</v>
      </c>
      <c r="C216">
        <v>0</v>
      </c>
      <c r="D216">
        <v>0</v>
      </c>
      <c r="E216">
        <v>0</v>
      </c>
      <c r="F216">
        <v>0</v>
      </c>
      <c r="G216">
        <v>0</v>
      </c>
      <c r="H216">
        <v>0</v>
      </c>
      <c r="I216">
        <v>0</v>
      </c>
      <c r="J216">
        <v>0</v>
      </c>
      <c r="K216">
        <v>0</v>
      </c>
    </row>
    <row r="217" spans="1:11" x14ac:dyDescent="0.2">
      <c r="A217" t="s">
        <v>4267</v>
      </c>
      <c r="B217">
        <v>0</v>
      </c>
      <c r="C217">
        <v>0</v>
      </c>
      <c r="D217">
        <v>0</v>
      </c>
      <c r="E217">
        <v>0</v>
      </c>
      <c r="F217">
        <v>0</v>
      </c>
      <c r="G217">
        <v>0</v>
      </c>
      <c r="H217">
        <v>0</v>
      </c>
      <c r="I217">
        <v>0</v>
      </c>
      <c r="J217">
        <v>0</v>
      </c>
      <c r="K217">
        <v>0</v>
      </c>
    </row>
    <row r="218" spans="1:11" x14ac:dyDescent="0.2">
      <c r="A218" t="s">
        <v>4268</v>
      </c>
      <c r="B218">
        <v>0</v>
      </c>
      <c r="C218">
        <v>0</v>
      </c>
      <c r="D218">
        <v>0</v>
      </c>
      <c r="E218">
        <v>0</v>
      </c>
      <c r="F218">
        <v>0</v>
      </c>
      <c r="G218">
        <v>0</v>
      </c>
      <c r="H218">
        <v>0</v>
      </c>
      <c r="I218">
        <v>0</v>
      </c>
      <c r="J218">
        <v>0</v>
      </c>
      <c r="K218">
        <v>0</v>
      </c>
    </row>
    <row r="219" spans="1:11" x14ac:dyDescent="0.2">
      <c r="A219" t="s">
        <v>4269</v>
      </c>
      <c r="B219">
        <v>0</v>
      </c>
      <c r="C219">
        <v>0</v>
      </c>
      <c r="D219">
        <v>0</v>
      </c>
      <c r="E219">
        <v>0</v>
      </c>
      <c r="F219">
        <v>0</v>
      </c>
      <c r="G219">
        <v>0</v>
      </c>
      <c r="H219">
        <v>0</v>
      </c>
      <c r="I219">
        <v>0</v>
      </c>
      <c r="J219">
        <v>0</v>
      </c>
      <c r="K219">
        <v>0</v>
      </c>
    </row>
    <row r="220" spans="1:11" x14ac:dyDescent="0.2">
      <c r="A220" t="s">
        <v>4270</v>
      </c>
      <c r="B220">
        <v>0</v>
      </c>
      <c r="C220">
        <v>0</v>
      </c>
      <c r="D220">
        <v>0</v>
      </c>
      <c r="E220">
        <v>0</v>
      </c>
      <c r="F220">
        <v>0</v>
      </c>
      <c r="G220">
        <v>0</v>
      </c>
      <c r="H220">
        <v>0</v>
      </c>
      <c r="I220">
        <v>0</v>
      </c>
      <c r="J220">
        <v>0</v>
      </c>
      <c r="K220">
        <v>0</v>
      </c>
    </row>
    <row r="221" spans="1:11" x14ac:dyDescent="0.2">
      <c r="A221" t="s">
        <v>4271</v>
      </c>
      <c r="B221">
        <v>0</v>
      </c>
      <c r="C221">
        <v>0</v>
      </c>
      <c r="D221">
        <v>0</v>
      </c>
      <c r="E221">
        <v>0</v>
      </c>
      <c r="F221">
        <v>0</v>
      </c>
      <c r="G221">
        <v>0</v>
      </c>
      <c r="H221">
        <v>0</v>
      </c>
      <c r="I221">
        <v>0</v>
      </c>
      <c r="J221">
        <v>0</v>
      </c>
      <c r="K221">
        <v>0</v>
      </c>
    </row>
    <row r="222" spans="1:11" x14ac:dyDescent="0.2">
      <c r="A222" t="s">
        <v>4272</v>
      </c>
      <c r="B222">
        <v>0</v>
      </c>
      <c r="C222">
        <v>0</v>
      </c>
      <c r="D222">
        <v>0</v>
      </c>
      <c r="E222">
        <v>0</v>
      </c>
      <c r="F222">
        <v>0</v>
      </c>
      <c r="G222">
        <v>0</v>
      </c>
      <c r="H222">
        <v>0</v>
      </c>
      <c r="I222">
        <v>0</v>
      </c>
      <c r="J222">
        <v>0</v>
      </c>
      <c r="K222">
        <v>0</v>
      </c>
    </row>
    <row r="223" spans="1:11" x14ac:dyDescent="0.2">
      <c r="A223" t="s">
        <v>4273</v>
      </c>
      <c r="B223">
        <v>0</v>
      </c>
      <c r="C223">
        <v>0</v>
      </c>
      <c r="D223">
        <v>0</v>
      </c>
      <c r="E223">
        <v>0</v>
      </c>
      <c r="F223">
        <v>0</v>
      </c>
      <c r="G223">
        <v>0</v>
      </c>
      <c r="H223">
        <v>0</v>
      </c>
      <c r="I223">
        <v>0</v>
      </c>
      <c r="J223">
        <v>0</v>
      </c>
      <c r="K223">
        <v>0</v>
      </c>
    </row>
    <row r="224" spans="1:11" x14ac:dyDescent="0.2">
      <c r="A224" t="s">
        <v>4274</v>
      </c>
      <c r="B224">
        <v>0</v>
      </c>
      <c r="C224">
        <v>0</v>
      </c>
      <c r="D224">
        <v>0</v>
      </c>
      <c r="E224">
        <v>0</v>
      </c>
      <c r="F224">
        <v>0</v>
      </c>
      <c r="G224">
        <v>0</v>
      </c>
      <c r="H224">
        <v>0</v>
      </c>
      <c r="I224">
        <v>0</v>
      </c>
      <c r="J224">
        <v>0</v>
      </c>
      <c r="K224">
        <v>0</v>
      </c>
    </row>
    <row r="225" spans="1:11" x14ac:dyDescent="0.2">
      <c r="A225" t="s">
        <v>4275</v>
      </c>
      <c r="B225">
        <v>0</v>
      </c>
      <c r="C225">
        <v>0</v>
      </c>
      <c r="D225">
        <v>0</v>
      </c>
      <c r="E225">
        <v>0</v>
      </c>
      <c r="F225">
        <v>0</v>
      </c>
      <c r="G225">
        <v>0</v>
      </c>
      <c r="H225">
        <v>0</v>
      </c>
      <c r="I225">
        <v>0</v>
      </c>
      <c r="J225">
        <v>0</v>
      </c>
      <c r="K225">
        <v>0</v>
      </c>
    </row>
    <row r="226" spans="1:11" x14ac:dyDescent="0.2">
      <c r="A226" t="s">
        <v>4276</v>
      </c>
      <c r="B226">
        <v>0</v>
      </c>
      <c r="C226">
        <v>0</v>
      </c>
      <c r="D226">
        <v>0</v>
      </c>
      <c r="E226">
        <v>0</v>
      </c>
      <c r="F226">
        <v>0</v>
      </c>
      <c r="G226">
        <v>0</v>
      </c>
      <c r="H226">
        <v>0</v>
      </c>
      <c r="I226">
        <v>0</v>
      </c>
      <c r="J226">
        <v>0</v>
      </c>
      <c r="K226">
        <v>0</v>
      </c>
    </row>
    <row r="227" spans="1:11" x14ac:dyDescent="0.2">
      <c r="A227" t="s">
        <v>4277</v>
      </c>
      <c r="B227">
        <v>0</v>
      </c>
      <c r="C227">
        <v>0</v>
      </c>
      <c r="D227">
        <v>0</v>
      </c>
      <c r="E227">
        <v>0</v>
      </c>
      <c r="F227">
        <v>0</v>
      </c>
      <c r="G227">
        <v>0</v>
      </c>
      <c r="H227">
        <v>0</v>
      </c>
      <c r="I227">
        <v>0</v>
      </c>
      <c r="J227">
        <v>0</v>
      </c>
      <c r="K227">
        <v>0</v>
      </c>
    </row>
    <row r="228" spans="1:11" x14ac:dyDescent="0.2">
      <c r="A228" t="s">
        <v>4278</v>
      </c>
      <c r="B228">
        <v>0</v>
      </c>
      <c r="C228">
        <v>0</v>
      </c>
      <c r="D228">
        <v>0</v>
      </c>
      <c r="E228">
        <v>0</v>
      </c>
      <c r="F228">
        <v>0</v>
      </c>
      <c r="G228">
        <v>0</v>
      </c>
      <c r="H228">
        <v>0</v>
      </c>
      <c r="I228">
        <v>0</v>
      </c>
      <c r="J228">
        <v>0</v>
      </c>
      <c r="K228">
        <v>0</v>
      </c>
    </row>
    <row r="229" spans="1:11" x14ac:dyDescent="0.2">
      <c r="A229" t="s">
        <v>4279</v>
      </c>
      <c r="B229">
        <v>0</v>
      </c>
      <c r="C229">
        <v>0</v>
      </c>
      <c r="D229">
        <v>0</v>
      </c>
      <c r="E229">
        <v>0</v>
      </c>
      <c r="F229">
        <v>0</v>
      </c>
      <c r="G229">
        <v>0</v>
      </c>
      <c r="H229">
        <v>0</v>
      </c>
      <c r="I229">
        <v>0</v>
      </c>
      <c r="J229">
        <v>0</v>
      </c>
      <c r="K229">
        <v>0</v>
      </c>
    </row>
    <row r="230" spans="1:11" x14ac:dyDescent="0.2">
      <c r="A230" t="s">
        <v>4280</v>
      </c>
      <c r="B230">
        <v>0</v>
      </c>
      <c r="C230">
        <v>0</v>
      </c>
      <c r="D230">
        <v>0</v>
      </c>
      <c r="E230">
        <v>0</v>
      </c>
      <c r="F230">
        <v>0</v>
      </c>
      <c r="G230">
        <v>0</v>
      </c>
      <c r="H230">
        <v>0</v>
      </c>
      <c r="I230">
        <v>0</v>
      </c>
      <c r="J230">
        <v>0</v>
      </c>
      <c r="K230">
        <v>0</v>
      </c>
    </row>
    <row r="231" spans="1:11" x14ac:dyDescent="0.2">
      <c r="A231" t="s">
        <v>4281</v>
      </c>
      <c r="B231">
        <v>5</v>
      </c>
      <c r="C231">
        <v>0</v>
      </c>
      <c r="D231">
        <v>1</v>
      </c>
      <c r="E231">
        <v>0</v>
      </c>
      <c r="F231">
        <v>0</v>
      </c>
      <c r="G231">
        <v>0</v>
      </c>
      <c r="H231">
        <v>28</v>
      </c>
      <c r="I231">
        <v>0</v>
      </c>
      <c r="J231">
        <v>1</v>
      </c>
      <c r="K231">
        <v>29</v>
      </c>
    </row>
    <row r="232" spans="1:11" x14ac:dyDescent="0.2">
      <c r="A232" t="s">
        <v>4282</v>
      </c>
      <c r="B232">
        <v>4</v>
      </c>
      <c r="C232">
        <v>0</v>
      </c>
      <c r="D232">
        <v>1</v>
      </c>
      <c r="E232">
        <v>0</v>
      </c>
      <c r="F232">
        <v>0</v>
      </c>
      <c r="G232">
        <v>0</v>
      </c>
      <c r="H232">
        <v>21</v>
      </c>
      <c r="I232">
        <v>0</v>
      </c>
      <c r="J232">
        <v>0</v>
      </c>
      <c r="K232">
        <v>8</v>
      </c>
    </row>
    <row r="233" spans="1:11" x14ac:dyDescent="0.2">
      <c r="A233" t="s">
        <v>4283</v>
      </c>
      <c r="B233">
        <v>1</v>
      </c>
      <c r="C233">
        <v>0</v>
      </c>
      <c r="D233">
        <v>0</v>
      </c>
      <c r="E233">
        <v>0</v>
      </c>
      <c r="F233">
        <v>0</v>
      </c>
      <c r="G233">
        <v>0</v>
      </c>
      <c r="H233">
        <v>15</v>
      </c>
      <c r="I233">
        <v>0</v>
      </c>
      <c r="J233">
        <v>0</v>
      </c>
      <c r="K233">
        <v>7</v>
      </c>
    </row>
    <row r="234" spans="1:11" x14ac:dyDescent="0.2">
      <c r="A234" t="s">
        <v>4284</v>
      </c>
      <c r="B234">
        <v>0</v>
      </c>
      <c r="C234">
        <v>0</v>
      </c>
      <c r="D234">
        <v>0</v>
      </c>
      <c r="E234">
        <v>0</v>
      </c>
      <c r="F234">
        <v>0</v>
      </c>
      <c r="G234">
        <v>0</v>
      </c>
      <c r="H234">
        <v>0</v>
      </c>
      <c r="I234">
        <v>0</v>
      </c>
      <c r="J234">
        <v>0</v>
      </c>
      <c r="K234">
        <v>0</v>
      </c>
    </row>
    <row r="235" spans="1:11" x14ac:dyDescent="0.2">
      <c r="A235" t="s">
        <v>4285</v>
      </c>
      <c r="B235">
        <v>6</v>
      </c>
      <c r="C235">
        <v>0</v>
      </c>
      <c r="D235">
        <v>1</v>
      </c>
      <c r="E235">
        <v>0</v>
      </c>
      <c r="F235">
        <v>0</v>
      </c>
      <c r="G235">
        <v>0</v>
      </c>
      <c r="H235">
        <v>33</v>
      </c>
      <c r="I235">
        <v>0</v>
      </c>
      <c r="J235">
        <v>1</v>
      </c>
      <c r="K235">
        <v>27</v>
      </c>
    </row>
    <row r="236" spans="1:11" x14ac:dyDescent="0.2">
      <c r="A236" t="s">
        <v>4286</v>
      </c>
      <c r="B236">
        <v>0</v>
      </c>
      <c r="C236">
        <v>0</v>
      </c>
      <c r="D236">
        <v>0</v>
      </c>
      <c r="E236">
        <v>0</v>
      </c>
      <c r="F236">
        <v>0</v>
      </c>
      <c r="G236">
        <v>0</v>
      </c>
      <c r="H236">
        <v>4</v>
      </c>
      <c r="I236">
        <v>0</v>
      </c>
      <c r="J236">
        <v>0</v>
      </c>
      <c r="K236">
        <v>1</v>
      </c>
    </row>
    <row r="237" spans="1:11" x14ac:dyDescent="0.2">
      <c r="A237" t="s">
        <v>4287</v>
      </c>
      <c r="B237">
        <v>0</v>
      </c>
      <c r="C237">
        <v>0</v>
      </c>
      <c r="D237">
        <v>0</v>
      </c>
      <c r="E237">
        <v>0</v>
      </c>
      <c r="F237">
        <v>0</v>
      </c>
      <c r="G237">
        <v>0</v>
      </c>
      <c r="H237">
        <v>2</v>
      </c>
      <c r="I237">
        <v>0</v>
      </c>
      <c r="J237">
        <v>0</v>
      </c>
      <c r="K237">
        <v>2</v>
      </c>
    </row>
    <row r="238" spans="1:11" x14ac:dyDescent="0.2">
      <c r="A238" t="s">
        <v>4288</v>
      </c>
      <c r="B238">
        <v>0</v>
      </c>
      <c r="C238">
        <v>0</v>
      </c>
      <c r="D238">
        <v>0</v>
      </c>
      <c r="E238">
        <v>0</v>
      </c>
      <c r="F238">
        <v>0</v>
      </c>
      <c r="G238">
        <v>0</v>
      </c>
      <c r="H238">
        <v>0</v>
      </c>
      <c r="I238">
        <v>0</v>
      </c>
      <c r="J238">
        <v>0</v>
      </c>
      <c r="K238">
        <v>0</v>
      </c>
    </row>
    <row r="239" spans="1:11" x14ac:dyDescent="0.2">
      <c r="A239" t="s">
        <v>4289</v>
      </c>
      <c r="B239">
        <v>0</v>
      </c>
      <c r="C239">
        <v>0</v>
      </c>
      <c r="D239">
        <v>0</v>
      </c>
      <c r="E239">
        <v>0</v>
      </c>
      <c r="F239">
        <v>0</v>
      </c>
      <c r="G239">
        <v>0</v>
      </c>
      <c r="H239">
        <v>0</v>
      </c>
      <c r="I239">
        <v>0</v>
      </c>
      <c r="J239">
        <v>0</v>
      </c>
      <c r="K239">
        <v>0</v>
      </c>
    </row>
    <row r="240" spans="1:11" x14ac:dyDescent="0.2">
      <c r="A240" t="s">
        <v>4290</v>
      </c>
      <c r="B240">
        <v>0</v>
      </c>
      <c r="C240">
        <v>0</v>
      </c>
      <c r="D240">
        <v>0</v>
      </c>
      <c r="E240">
        <v>0</v>
      </c>
      <c r="F240">
        <v>0</v>
      </c>
      <c r="G240">
        <v>0</v>
      </c>
      <c r="H240">
        <v>0</v>
      </c>
      <c r="I240">
        <v>0</v>
      </c>
      <c r="J240">
        <v>0</v>
      </c>
      <c r="K240">
        <v>0</v>
      </c>
    </row>
    <row r="241" spans="1:11" x14ac:dyDescent="0.2">
      <c r="A241" t="s">
        <v>4291</v>
      </c>
      <c r="B241">
        <v>0</v>
      </c>
      <c r="C241">
        <v>0</v>
      </c>
      <c r="D241">
        <v>0</v>
      </c>
      <c r="E241">
        <v>0</v>
      </c>
      <c r="F241">
        <v>0</v>
      </c>
      <c r="G241">
        <v>0</v>
      </c>
      <c r="H241">
        <v>0</v>
      </c>
      <c r="I241">
        <v>0</v>
      </c>
      <c r="J241">
        <v>0</v>
      </c>
      <c r="K241">
        <v>0</v>
      </c>
    </row>
    <row r="242" spans="1:11" x14ac:dyDescent="0.2">
      <c r="A242" t="s">
        <v>4292</v>
      </c>
      <c r="B242">
        <v>0</v>
      </c>
      <c r="C242">
        <v>0</v>
      </c>
      <c r="D242">
        <v>0</v>
      </c>
      <c r="E242">
        <v>0</v>
      </c>
      <c r="F242">
        <v>0</v>
      </c>
      <c r="G242">
        <v>0</v>
      </c>
      <c r="H242">
        <v>0</v>
      </c>
      <c r="I242">
        <v>0</v>
      </c>
      <c r="J242">
        <v>0</v>
      </c>
      <c r="K242">
        <v>0</v>
      </c>
    </row>
    <row r="243" spans="1:11" x14ac:dyDescent="0.2">
      <c r="A243" t="s">
        <v>4293</v>
      </c>
      <c r="B243">
        <v>0</v>
      </c>
      <c r="C243">
        <v>0</v>
      </c>
      <c r="D243">
        <v>0</v>
      </c>
      <c r="E243">
        <v>0</v>
      </c>
      <c r="F243">
        <v>0</v>
      </c>
      <c r="G243">
        <v>0</v>
      </c>
      <c r="H243">
        <v>0</v>
      </c>
      <c r="I243">
        <v>0</v>
      </c>
      <c r="J243">
        <v>0</v>
      </c>
      <c r="K243">
        <v>0</v>
      </c>
    </row>
    <row r="244" spans="1:11" x14ac:dyDescent="0.2">
      <c r="A244" t="s">
        <v>4294</v>
      </c>
      <c r="B244">
        <v>0</v>
      </c>
      <c r="C244">
        <v>0</v>
      </c>
      <c r="D244">
        <v>0</v>
      </c>
      <c r="E244">
        <v>0</v>
      </c>
      <c r="F244">
        <v>0</v>
      </c>
      <c r="G244">
        <v>0</v>
      </c>
      <c r="H244">
        <v>0</v>
      </c>
      <c r="I244">
        <v>0</v>
      </c>
      <c r="J244">
        <v>0</v>
      </c>
      <c r="K244">
        <v>0</v>
      </c>
    </row>
    <row r="245" spans="1:11" x14ac:dyDescent="0.2">
      <c r="A245" t="s">
        <v>4295</v>
      </c>
      <c r="B245">
        <v>0</v>
      </c>
      <c r="C245">
        <v>0</v>
      </c>
      <c r="D245">
        <v>0</v>
      </c>
      <c r="E245">
        <v>0</v>
      </c>
      <c r="F245">
        <v>0</v>
      </c>
      <c r="G245">
        <v>0</v>
      </c>
      <c r="H245">
        <v>0</v>
      </c>
      <c r="I245">
        <v>0</v>
      </c>
      <c r="J245">
        <v>0</v>
      </c>
      <c r="K245">
        <v>0</v>
      </c>
    </row>
    <row r="246" spans="1:11" x14ac:dyDescent="0.2">
      <c r="A246" t="s">
        <v>4296</v>
      </c>
      <c r="B246">
        <v>0</v>
      </c>
      <c r="C246">
        <v>0</v>
      </c>
      <c r="D246">
        <v>0</v>
      </c>
      <c r="E246">
        <v>0</v>
      </c>
      <c r="F246">
        <v>0</v>
      </c>
      <c r="G246">
        <v>0</v>
      </c>
      <c r="H246">
        <v>0</v>
      </c>
      <c r="I246">
        <v>0</v>
      </c>
      <c r="J246">
        <v>0</v>
      </c>
      <c r="K246">
        <v>0</v>
      </c>
    </row>
    <row r="247" spans="1:11" x14ac:dyDescent="0.2">
      <c r="A247" t="s">
        <v>4297</v>
      </c>
      <c r="B247">
        <v>4</v>
      </c>
      <c r="C247">
        <v>0</v>
      </c>
      <c r="D247">
        <v>1</v>
      </c>
      <c r="E247">
        <v>0</v>
      </c>
      <c r="F247">
        <v>0</v>
      </c>
      <c r="G247">
        <v>0</v>
      </c>
      <c r="H247">
        <v>28</v>
      </c>
      <c r="I247">
        <v>0</v>
      </c>
      <c r="J247">
        <v>1</v>
      </c>
      <c r="K247">
        <v>28</v>
      </c>
    </row>
    <row r="248" spans="1:11" x14ac:dyDescent="0.2">
      <c r="A248" t="s">
        <v>4298</v>
      </c>
      <c r="B248">
        <v>3</v>
      </c>
      <c r="C248">
        <v>0</v>
      </c>
      <c r="D248">
        <v>1</v>
      </c>
      <c r="E248">
        <v>0</v>
      </c>
      <c r="F248">
        <v>0</v>
      </c>
      <c r="G248">
        <v>0</v>
      </c>
      <c r="H248">
        <v>38</v>
      </c>
      <c r="I248">
        <v>0</v>
      </c>
      <c r="J248">
        <v>1</v>
      </c>
      <c r="K248">
        <v>20</v>
      </c>
    </row>
    <row r="249" spans="1:11" x14ac:dyDescent="0.2">
      <c r="A249" t="s">
        <v>4299</v>
      </c>
      <c r="B249">
        <v>9</v>
      </c>
      <c r="C249">
        <v>0</v>
      </c>
      <c r="D249">
        <v>2</v>
      </c>
      <c r="E249">
        <v>0</v>
      </c>
      <c r="F249">
        <v>0</v>
      </c>
      <c r="G249">
        <v>0</v>
      </c>
      <c r="H249">
        <v>91</v>
      </c>
      <c r="I249">
        <v>0</v>
      </c>
      <c r="J249">
        <v>2</v>
      </c>
      <c r="K249">
        <v>55</v>
      </c>
    </row>
    <row r="250" spans="1:11" x14ac:dyDescent="0.2">
      <c r="A250" t="s">
        <v>4300</v>
      </c>
      <c r="B250">
        <v>1</v>
      </c>
      <c r="C250">
        <v>0</v>
      </c>
      <c r="D250">
        <v>0</v>
      </c>
      <c r="E250">
        <v>0</v>
      </c>
      <c r="F250">
        <v>0</v>
      </c>
      <c r="G250">
        <v>0</v>
      </c>
      <c r="H250">
        <v>6</v>
      </c>
      <c r="I250">
        <v>0</v>
      </c>
      <c r="J250">
        <v>0</v>
      </c>
      <c r="K250">
        <v>1</v>
      </c>
    </row>
    <row r="251" spans="1:11" x14ac:dyDescent="0.2">
      <c r="A251" t="s">
        <v>4301</v>
      </c>
      <c r="B251">
        <v>21</v>
      </c>
      <c r="C251">
        <v>0</v>
      </c>
      <c r="D251">
        <v>4</v>
      </c>
      <c r="E251">
        <v>0</v>
      </c>
      <c r="F251">
        <v>0</v>
      </c>
      <c r="G251">
        <v>0</v>
      </c>
      <c r="H251">
        <v>128</v>
      </c>
      <c r="I251">
        <v>0</v>
      </c>
      <c r="J251">
        <v>3</v>
      </c>
      <c r="K251">
        <v>129</v>
      </c>
    </row>
    <row r="252" spans="1:11" x14ac:dyDescent="0.2">
      <c r="A252" t="s">
        <v>4302</v>
      </c>
      <c r="B252">
        <v>15</v>
      </c>
      <c r="C252">
        <v>0</v>
      </c>
      <c r="D252">
        <v>3</v>
      </c>
      <c r="E252">
        <v>0</v>
      </c>
      <c r="F252">
        <v>0</v>
      </c>
      <c r="G252">
        <v>0</v>
      </c>
      <c r="H252">
        <v>118</v>
      </c>
      <c r="I252">
        <v>0</v>
      </c>
      <c r="J252">
        <v>3</v>
      </c>
      <c r="K252">
        <v>73</v>
      </c>
    </row>
    <row r="253" spans="1:11" x14ac:dyDescent="0.2">
      <c r="A253" t="s">
        <v>4303</v>
      </c>
      <c r="B253">
        <v>53</v>
      </c>
      <c r="C253">
        <v>0</v>
      </c>
      <c r="D253">
        <v>11</v>
      </c>
      <c r="E253">
        <v>0</v>
      </c>
      <c r="F253">
        <v>0</v>
      </c>
      <c r="G253">
        <v>0</v>
      </c>
      <c r="H253">
        <v>397</v>
      </c>
      <c r="I253">
        <v>0</v>
      </c>
      <c r="J253">
        <v>9</v>
      </c>
      <c r="K253">
        <v>82</v>
      </c>
    </row>
    <row r="254" spans="1:11" x14ac:dyDescent="0.2">
      <c r="A254" t="s">
        <v>4304</v>
      </c>
      <c r="B254">
        <v>6</v>
      </c>
      <c r="C254">
        <v>0</v>
      </c>
      <c r="D254">
        <v>1</v>
      </c>
      <c r="E254">
        <v>0</v>
      </c>
      <c r="F254">
        <v>0</v>
      </c>
      <c r="G254">
        <v>0</v>
      </c>
      <c r="H254">
        <v>23</v>
      </c>
      <c r="I254">
        <v>0</v>
      </c>
      <c r="J254">
        <v>0</v>
      </c>
      <c r="K254">
        <v>23</v>
      </c>
    </row>
    <row r="255" spans="1:11" x14ac:dyDescent="0.2">
      <c r="A255" t="s">
        <v>4305</v>
      </c>
      <c r="B255">
        <v>107</v>
      </c>
      <c r="C255">
        <v>0</v>
      </c>
      <c r="D255">
        <v>22</v>
      </c>
      <c r="E255">
        <v>0</v>
      </c>
      <c r="F255">
        <v>0</v>
      </c>
      <c r="G255">
        <v>0</v>
      </c>
      <c r="H255">
        <v>540</v>
      </c>
      <c r="I255">
        <v>0</v>
      </c>
      <c r="J255">
        <v>12</v>
      </c>
      <c r="K255">
        <v>548</v>
      </c>
    </row>
    <row r="256" spans="1:11" x14ac:dyDescent="0.2">
      <c r="A256" t="s">
        <v>4306</v>
      </c>
      <c r="B256">
        <v>11</v>
      </c>
      <c r="C256">
        <v>0</v>
      </c>
      <c r="D256">
        <v>2</v>
      </c>
      <c r="E256">
        <v>0</v>
      </c>
      <c r="F256">
        <v>0</v>
      </c>
      <c r="G256">
        <v>0</v>
      </c>
      <c r="H256">
        <v>62</v>
      </c>
      <c r="I256">
        <v>0</v>
      </c>
      <c r="J256">
        <v>1</v>
      </c>
      <c r="K256">
        <v>38</v>
      </c>
    </row>
    <row r="257" spans="1:11" x14ac:dyDescent="0.2">
      <c r="A257" t="s">
        <v>4307</v>
      </c>
      <c r="B257">
        <v>383</v>
      </c>
      <c r="C257">
        <v>0</v>
      </c>
      <c r="D257">
        <v>77</v>
      </c>
      <c r="E257">
        <v>0</v>
      </c>
      <c r="F257">
        <v>0</v>
      </c>
      <c r="G257">
        <v>0</v>
      </c>
      <c r="H257">
        <v>1923</v>
      </c>
      <c r="I257">
        <v>0</v>
      </c>
      <c r="J257">
        <v>42</v>
      </c>
      <c r="K257">
        <v>396</v>
      </c>
    </row>
    <row r="258" spans="1:11" x14ac:dyDescent="0.2">
      <c r="A258" t="s">
        <v>4308</v>
      </c>
      <c r="B258">
        <v>1</v>
      </c>
      <c r="C258">
        <v>0</v>
      </c>
      <c r="D258">
        <v>0</v>
      </c>
      <c r="E258">
        <v>0</v>
      </c>
      <c r="F258">
        <v>0</v>
      </c>
      <c r="G258">
        <v>0</v>
      </c>
      <c r="H258">
        <v>43</v>
      </c>
      <c r="I258">
        <v>0</v>
      </c>
      <c r="J258">
        <v>1</v>
      </c>
      <c r="K258">
        <v>8</v>
      </c>
    </row>
    <row r="259" spans="1:11" x14ac:dyDescent="0.2">
      <c r="A259" t="s">
        <v>4309</v>
      </c>
      <c r="B259">
        <v>0</v>
      </c>
      <c r="C259">
        <v>0</v>
      </c>
      <c r="D259">
        <v>0</v>
      </c>
      <c r="E259">
        <v>0</v>
      </c>
      <c r="F259">
        <v>0</v>
      </c>
      <c r="G259">
        <v>0</v>
      </c>
      <c r="H259">
        <v>0</v>
      </c>
      <c r="I259">
        <v>0</v>
      </c>
      <c r="J259">
        <v>0</v>
      </c>
      <c r="K259">
        <v>0</v>
      </c>
    </row>
    <row r="260" spans="1:11" x14ac:dyDescent="0.2">
      <c r="A260" t="s">
        <v>4310</v>
      </c>
      <c r="B260">
        <v>0</v>
      </c>
      <c r="C260">
        <v>0</v>
      </c>
      <c r="D260">
        <v>0</v>
      </c>
      <c r="E260">
        <v>0</v>
      </c>
      <c r="F260">
        <v>0</v>
      </c>
      <c r="G260">
        <v>0</v>
      </c>
      <c r="H260">
        <v>0</v>
      </c>
      <c r="I260">
        <v>0</v>
      </c>
      <c r="J260">
        <v>0</v>
      </c>
      <c r="K260">
        <v>0</v>
      </c>
    </row>
    <row r="261" spans="1:11" x14ac:dyDescent="0.2">
      <c r="A261" t="s">
        <v>4311</v>
      </c>
      <c r="B261">
        <v>0</v>
      </c>
      <c r="C261">
        <v>0</v>
      </c>
      <c r="D261">
        <v>0</v>
      </c>
      <c r="E261">
        <v>0</v>
      </c>
      <c r="F261">
        <v>0</v>
      </c>
      <c r="G261">
        <v>0</v>
      </c>
      <c r="H261">
        <v>1</v>
      </c>
      <c r="I261">
        <v>0</v>
      </c>
      <c r="J261">
        <v>0</v>
      </c>
      <c r="K261">
        <v>0</v>
      </c>
    </row>
    <row r="262" spans="1:11" x14ac:dyDescent="0.2">
      <c r="A262" t="s">
        <v>4312</v>
      </c>
      <c r="B262">
        <v>0</v>
      </c>
      <c r="C262">
        <v>0</v>
      </c>
      <c r="D262">
        <v>0</v>
      </c>
      <c r="E262">
        <v>0</v>
      </c>
      <c r="F262">
        <v>0</v>
      </c>
      <c r="G262">
        <v>0</v>
      </c>
      <c r="H262">
        <v>0</v>
      </c>
      <c r="I262">
        <v>0</v>
      </c>
      <c r="J262">
        <v>0</v>
      </c>
      <c r="K262">
        <v>0</v>
      </c>
    </row>
    <row r="263" spans="1:11" x14ac:dyDescent="0.2">
      <c r="A263" t="s">
        <v>4313</v>
      </c>
      <c r="B263">
        <v>0</v>
      </c>
      <c r="C263">
        <v>0</v>
      </c>
      <c r="D263">
        <v>0</v>
      </c>
      <c r="E263">
        <v>0</v>
      </c>
      <c r="F263">
        <v>0</v>
      </c>
      <c r="G263">
        <v>0</v>
      </c>
      <c r="H263">
        <v>0</v>
      </c>
      <c r="I263">
        <v>0</v>
      </c>
      <c r="J263">
        <v>0</v>
      </c>
      <c r="K263">
        <v>0</v>
      </c>
    </row>
    <row r="264" spans="1:11" x14ac:dyDescent="0.2">
      <c r="A264" t="s">
        <v>4314</v>
      </c>
      <c r="B264">
        <v>0</v>
      </c>
      <c r="C264">
        <v>0</v>
      </c>
      <c r="D264">
        <v>0</v>
      </c>
      <c r="E264">
        <v>0</v>
      </c>
      <c r="F264">
        <v>0</v>
      </c>
      <c r="G264">
        <v>0</v>
      </c>
      <c r="H264">
        <v>0</v>
      </c>
      <c r="I264">
        <v>0</v>
      </c>
      <c r="J264">
        <v>0</v>
      </c>
      <c r="K264">
        <v>0</v>
      </c>
    </row>
    <row r="265" spans="1:11" x14ac:dyDescent="0.2">
      <c r="A265" t="s">
        <v>4315</v>
      </c>
      <c r="B265">
        <v>0</v>
      </c>
      <c r="C265">
        <v>0</v>
      </c>
      <c r="D265">
        <v>0</v>
      </c>
      <c r="E265">
        <v>0</v>
      </c>
      <c r="F265">
        <v>0</v>
      </c>
      <c r="G265">
        <v>0</v>
      </c>
      <c r="H265">
        <v>0</v>
      </c>
      <c r="I265">
        <v>0</v>
      </c>
      <c r="J265">
        <v>0</v>
      </c>
      <c r="K265">
        <v>0</v>
      </c>
    </row>
    <row r="266" spans="1:11" x14ac:dyDescent="0.2">
      <c r="A266" t="s">
        <v>4316</v>
      </c>
      <c r="B266">
        <v>0</v>
      </c>
      <c r="C266">
        <v>0</v>
      </c>
      <c r="D266">
        <v>0</v>
      </c>
      <c r="E266">
        <v>0</v>
      </c>
      <c r="F266">
        <v>0</v>
      </c>
      <c r="G266">
        <v>0</v>
      </c>
      <c r="H266">
        <v>0</v>
      </c>
      <c r="I266">
        <v>0</v>
      </c>
      <c r="J266">
        <v>0</v>
      </c>
      <c r="K266">
        <v>0</v>
      </c>
    </row>
    <row r="267" spans="1:11" x14ac:dyDescent="0.2">
      <c r="A267" t="s">
        <v>4317</v>
      </c>
      <c r="B267">
        <v>0</v>
      </c>
      <c r="C267">
        <v>0</v>
      </c>
      <c r="D267">
        <v>0</v>
      </c>
      <c r="E267">
        <v>0</v>
      </c>
      <c r="F267">
        <v>0</v>
      </c>
      <c r="G267">
        <v>0</v>
      </c>
      <c r="H267">
        <v>0</v>
      </c>
      <c r="I267">
        <v>0</v>
      </c>
      <c r="J267">
        <v>0</v>
      </c>
      <c r="K267">
        <v>0</v>
      </c>
    </row>
    <row r="268" spans="1:11" x14ac:dyDescent="0.2">
      <c r="A268" t="s">
        <v>4318</v>
      </c>
      <c r="B268">
        <v>0</v>
      </c>
      <c r="C268">
        <v>0</v>
      </c>
      <c r="D268">
        <v>0</v>
      </c>
      <c r="E268">
        <v>0</v>
      </c>
      <c r="F268">
        <v>0</v>
      </c>
      <c r="G268">
        <v>0</v>
      </c>
      <c r="H268">
        <v>0</v>
      </c>
      <c r="I268">
        <v>0</v>
      </c>
      <c r="J268">
        <v>0</v>
      </c>
      <c r="K268">
        <v>0</v>
      </c>
    </row>
    <row r="269" spans="1:11" x14ac:dyDescent="0.2">
      <c r="A269" t="s">
        <v>4319</v>
      </c>
      <c r="B269">
        <v>0</v>
      </c>
      <c r="C269">
        <v>0</v>
      </c>
      <c r="D269">
        <v>0</v>
      </c>
      <c r="E269">
        <v>0</v>
      </c>
      <c r="F269">
        <v>0</v>
      </c>
      <c r="G269">
        <v>0</v>
      </c>
      <c r="H269">
        <v>0</v>
      </c>
      <c r="I269">
        <v>0</v>
      </c>
      <c r="J269">
        <v>0</v>
      </c>
      <c r="K269">
        <v>0</v>
      </c>
    </row>
    <row r="270" spans="1:11" x14ac:dyDescent="0.2">
      <c r="A270" t="s">
        <v>4320</v>
      </c>
      <c r="B270">
        <v>0</v>
      </c>
      <c r="C270">
        <v>0</v>
      </c>
      <c r="D270">
        <v>0</v>
      </c>
      <c r="E270">
        <v>0</v>
      </c>
      <c r="F270">
        <v>0</v>
      </c>
      <c r="G270">
        <v>0</v>
      </c>
      <c r="H270">
        <v>0</v>
      </c>
      <c r="I270">
        <v>0</v>
      </c>
      <c r="J270">
        <v>0</v>
      </c>
      <c r="K270">
        <v>0</v>
      </c>
    </row>
    <row r="271" spans="1:11" x14ac:dyDescent="0.2">
      <c r="A271" t="s">
        <v>4321</v>
      </c>
      <c r="B271">
        <v>0</v>
      </c>
      <c r="C271">
        <v>0</v>
      </c>
      <c r="D271">
        <v>0</v>
      </c>
      <c r="E271">
        <v>0</v>
      </c>
      <c r="F271">
        <v>0</v>
      </c>
      <c r="G271">
        <v>0</v>
      </c>
      <c r="H271">
        <v>0</v>
      </c>
      <c r="I271">
        <v>0</v>
      </c>
      <c r="J271">
        <v>0</v>
      </c>
      <c r="K271">
        <v>0</v>
      </c>
    </row>
    <row r="272" spans="1:11" x14ac:dyDescent="0.2">
      <c r="A272" t="s">
        <v>4322</v>
      </c>
      <c r="B272">
        <v>0</v>
      </c>
      <c r="C272">
        <v>0</v>
      </c>
      <c r="D272">
        <v>0</v>
      </c>
      <c r="E272">
        <v>0</v>
      </c>
      <c r="F272">
        <v>0</v>
      </c>
      <c r="G272">
        <v>0</v>
      </c>
      <c r="H272">
        <v>0</v>
      </c>
      <c r="I272">
        <v>0</v>
      </c>
      <c r="J272">
        <v>0</v>
      </c>
      <c r="K272">
        <v>0</v>
      </c>
    </row>
    <row r="273" spans="1:11" x14ac:dyDescent="0.2">
      <c r="A273" t="s">
        <v>4323</v>
      </c>
      <c r="B273">
        <v>0</v>
      </c>
      <c r="C273">
        <v>0</v>
      </c>
      <c r="D273">
        <v>0</v>
      </c>
      <c r="E273">
        <v>0</v>
      </c>
      <c r="F273">
        <v>0</v>
      </c>
      <c r="G273">
        <v>0</v>
      </c>
      <c r="H273">
        <v>0</v>
      </c>
      <c r="I273">
        <v>0</v>
      </c>
      <c r="J273">
        <v>0</v>
      </c>
      <c r="K273">
        <v>0</v>
      </c>
    </row>
    <row r="274" spans="1:11" x14ac:dyDescent="0.2">
      <c r="A274" t="s">
        <v>4324</v>
      </c>
      <c r="B274">
        <v>0</v>
      </c>
      <c r="C274">
        <v>0</v>
      </c>
      <c r="D274">
        <v>0</v>
      </c>
      <c r="E274">
        <v>0</v>
      </c>
      <c r="F274">
        <v>0</v>
      </c>
      <c r="G274">
        <v>0</v>
      </c>
      <c r="H274">
        <v>0</v>
      </c>
      <c r="I274">
        <v>0</v>
      </c>
      <c r="J274">
        <v>0</v>
      </c>
      <c r="K274">
        <v>0</v>
      </c>
    </row>
    <row r="275" spans="1:11" x14ac:dyDescent="0.2">
      <c r="A275" t="s">
        <v>4325</v>
      </c>
      <c r="B275">
        <v>0</v>
      </c>
      <c r="C275">
        <v>0</v>
      </c>
      <c r="D275">
        <v>0</v>
      </c>
      <c r="E275">
        <v>0</v>
      </c>
      <c r="F275">
        <v>0</v>
      </c>
      <c r="G275">
        <v>0</v>
      </c>
      <c r="H275">
        <v>0</v>
      </c>
      <c r="I275">
        <v>0</v>
      </c>
      <c r="J275">
        <v>0</v>
      </c>
      <c r="K275">
        <v>0</v>
      </c>
    </row>
    <row r="276" spans="1:11" x14ac:dyDescent="0.2">
      <c r="A276" t="s">
        <v>4326</v>
      </c>
      <c r="B276">
        <v>0</v>
      </c>
      <c r="C276">
        <v>0</v>
      </c>
      <c r="D276">
        <v>0</v>
      </c>
      <c r="E276">
        <v>0</v>
      </c>
      <c r="F276">
        <v>0</v>
      </c>
      <c r="G276">
        <v>0</v>
      </c>
      <c r="H276">
        <v>0</v>
      </c>
      <c r="I276">
        <v>0</v>
      </c>
      <c r="J276">
        <v>0</v>
      </c>
      <c r="K276">
        <v>0</v>
      </c>
    </row>
    <row r="277" spans="1:11" x14ac:dyDescent="0.2">
      <c r="A277" t="s">
        <v>4327</v>
      </c>
      <c r="B277">
        <v>0</v>
      </c>
      <c r="C277">
        <v>0</v>
      </c>
      <c r="D277">
        <v>0</v>
      </c>
      <c r="E277">
        <v>0</v>
      </c>
      <c r="F277">
        <v>0</v>
      </c>
      <c r="G277">
        <v>0</v>
      </c>
      <c r="H277">
        <v>0</v>
      </c>
      <c r="I277">
        <v>0</v>
      </c>
      <c r="J277">
        <v>0</v>
      </c>
      <c r="K277">
        <v>0</v>
      </c>
    </row>
    <row r="278" spans="1:11" x14ac:dyDescent="0.2">
      <c r="A278" t="s">
        <v>4328</v>
      </c>
      <c r="B278">
        <v>0</v>
      </c>
      <c r="C278">
        <v>0</v>
      </c>
      <c r="D278">
        <v>0</v>
      </c>
      <c r="E278">
        <v>0</v>
      </c>
      <c r="F278">
        <v>0</v>
      </c>
      <c r="G278">
        <v>0</v>
      </c>
      <c r="H278">
        <v>0</v>
      </c>
      <c r="I278">
        <v>0</v>
      </c>
      <c r="J278">
        <v>0</v>
      </c>
      <c r="K278">
        <v>0</v>
      </c>
    </row>
    <row r="279" spans="1:11" x14ac:dyDescent="0.2">
      <c r="A279" t="s">
        <v>4329</v>
      </c>
      <c r="B279">
        <v>0</v>
      </c>
      <c r="C279">
        <v>0</v>
      </c>
      <c r="D279">
        <v>0</v>
      </c>
      <c r="E279">
        <v>0</v>
      </c>
      <c r="F279">
        <v>0</v>
      </c>
      <c r="G279">
        <v>0</v>
      </c>
      <c r="H279">
        <v>0</v>
      </c>
      <c r="I279">
        <v>0</v>
      </c>
      <c r="J279">
        <v>0</v>
      </c>
      <c r="K279">
        <v>0</v>
      </c>
    </row>
    <row r="280" spans="1:11" x14ac:dyDescent="0.2">
      <c r="A280" t="s">
        <v>4330</v>
      </c>
      <c r="B280">
        <v>0</v>
      </c>
      <c r="C280">
        <v>0</v>
      </c>
      <c r="D280">
        <v>0</v>
      </c>
      <c r="E280">
        <v>0</v>
      </c>
      <c r="F280">
        <v>0</v>
      </c>
      <c r="G280">
        <v>0</v>
      </c>
      <c r="H280">
        <v>0</v>
      </c>
      <c r="I280">
        <v>0</v>
      </c>
      <c r="J280">
        <v>0</v>
      </c>
      <c r="K280">
        <v>0</v>
      </c>
    </row>
    <row r="281" spans="1:11" x14ac:dyDescent="0.2">
      <c r="A281" t="s">
        <v>4331</v>
      </c>
      <c r="B281">
        <v>0</v>
      </c>
      <c r="C281">
        <v>0</v>
      </c>
      <c r="D281">
        <v>0</v>
      </c>
      <c r="E281">
        <v>0</v>
      </c>
      <c r="F281">
        <v>0</v>
      </c>
      <c r="G281">
        <v>0</v>
      </c>
      <c r="H281">
        <v>0</v>
      </c>
      <c r="I281">
        <v>0</v>
      </c>
      <c r="J281">
        <v>0</v>
      </c>
      <c r="K281">
        <v>0</v>
      </c>
    </row>
    <row r="282" spans="1:11" x14ac:dyDescent="0.2">
      <c r="A282" t="s">
        <v>4332</v>
      </c>
      <c r="B282">
        <v>0</v>
      </c>
      <c r="C282">
        <v>0</v>
      </c>
      <c r="D282">
        <v>0</v>
      </c>
      <c r="E282">
        <v>0</v>
      </c>
      <c r="F282">
        <v>0</v>
      </c>
      <c r="G282">
        <v>0</v>
      </c>
      <c r="H282">
        <v>0</v>
      </c>
      <c r="I282">
        <v>0</v>
      </c>
      <c r="J282">
        <v>0</v>
      </c>
      <c r="K282">
        <v>0</v>
      </c>
    </row>
    <row r="283" spans="1:11" x14ac:dyDescent="0.2">
      <c r="A283" t="s">
        <v>4333</v>
      </c>
      <c r="B283">
        <v>0</v>
      </c>
      <c r="C283">
        <v>0</v>
      </c>
      <c r="D283">
        <v>0</v>
      </c>
      <c r="E283">
        <v>0</v>
      </c>
      <c r="F283">
        <v>0</v>
      </c>
      <c r="G283">
        <v>0</v>
      </c>
      <c r="H283">
        <v>0</v>
      </c>
      <c r="I283">
        <v>0</v>
      </c>
      <c r="J283">
        <v>0</v>
      </c>
      <c r="K283">
        <v>0</v>
      </c>
    </row>
    <row r="284" spans="1:11" x14ac:dyDescent="0.2">
      <c r="A284" t="s">
        <v>4334</v>
      </c>
      <c r="B284">
        <v>0</v>
      </c>
      <c r="C284">
        <v>0</v>
      </c>
      <c r="D284">
        <v>0</v>
      </c>
      <c r="E284">
        <v>0</v>
      </c>
      <c r="F284">
        <v>0</v>
      </c>
      <c r="G284">
        <v>0</v>
      </c>
      <c r="H284">
        <v>0</v>
      </c>
      <c r="I284">
        <v>0</v>
      </c>
      <c r="J284">
        <v>0</v>
      </c>
      <c r="K284">
        <v>0</v>
      </c>
    </row>
    <row r="285" spans="1:11" x14ac:dyDescent="0.2">
      <c r="A285" t="s">
        <v>4335</v>
      </c>
      <c r="B285">
        <v>0</v>
      </c>
      <c r="C285">
        <v>0</v>
      </c>
      <c r="D285">
        <v>0</v>
      </c>
      <c r="E285">
        <v>0</v>
      </c>
      <c r="F285">
        <v>0</v>
      </c>
      <c r="G285">
        <v>0</v>
      </c>
      <c r="H285">
        <v>0</v>
      </c>
      <c r="I285">
        <v>0</v>
      </c>
      <c r="J285">
        <v>0</v>
      </c>
      <c r="K285">
        <v>0</v>
      </c>
    </row>
    <row r="286" spans="1:11" x14ac:dyDescent="0.2">
      <c r="A286" t="s">
        <v>4336</v>
      </c>
      <c r="B286">
        <v>0</v>
      </c>
      <c r="C286">
        <v>0</v>
      </c>
      <c r="D286">
        <v>0</v>
      </c>
      <c r="E286">
        <v>0</v>
      </c>
      <c r="F286">
        <v>0</v>
      </c>
      <c r="G286">
        <v>0</v>
      </c>
      <c r="H286">
        <v>0</v>
      </c>
      <c r="I286">
        <v>0</v>
      </c>
      <c r="J286">
        <v>0</v>
      </c>
      <c r="K286">
        <v>0</v>
      </c>
    </row>
    <row r="287" spans="1:11" x14ac:dyDescent="0.2">
      <c r="A287" t="s">
        <v>4337</v>
      </c>
      <c r="B287">
        <v>0</v>
      </c>
      <c r="C287">
        <v>0</v>
      </c>
      <c r="D287">
        <v>0</v>
      </c>
      <c r="E287">
        <v>0</v>
      </c>
      <c r="F287">
        <v>0</v>
      </c>
      <c r="G287">
        <v>0</v>
      </c>
      <c r="H287">
        <v>0</v>
      </c>
      <c r="I287">
        <v>0</v>
      </c>
      <c r="J287">
        <v>0</v>
      </c>
      <c r="K287">
        <v>0</v>
      </c>
    </row>
    <row r="288" spans="1:11" x14ac:dyDescent="0.2">
      <c r="A288" t="s">
        <v>4338</v>
      </c>
      <c r="B288">
        <v>0</v>
      </c>
      <c r="C288">
        <v>0</v>
      </c>
      <c r="D288">
        <v>0</v>
      </c>
      <c r="E288">
        <v>0</v>
      </c>
      <c r="F288">
        <v>0</v>
      </c>
      <c r="G288">
        <v>0</v>
      </c>
      <c r="H288">
        <v>2</v>
      </c>
      <c r="I288">
        <v>0</v>
      </c>
      <c r="J288">
        <v>0</v>
      </c>
      <c r="K288">
        <v>0</v>
      </c>
    </row>
    <row r="289" spans="1:11" x14ac:dyDescent="0.2">
      <c r="A289" t="s">
        <v>4339</v>
      </c>
      <c r="B289">
        <v>0</v>
      </c>
      <c r="C289">
        <v>0</v>
      </c>
      <c r="D289">
        <v>0</v>
      </c>
      <c r="E289">
        <v>0</v>
      </c>
      <c r="F289">
        <v>0</v>
      </c>
      <c r="G289">
        <v>0</v>
      </c>
      <c r="H289">
        <v>0</v>
      </c>
      <c r="I289">
        <v>0</v>
      </c>
      <c r="J289">
        <v>0</v>
      </c>
      <c r="K289">
        <v>0</v>
      </c>
    </row>
    <row r="290" spans="1:11" x14ac:dyDescent="0.2">
      <c r="A290" t="s">
        <v>4340</v>
      </c>
      <c r="B290">
        <v>0</v>
      </c>
      <c r="C290">
        <v>0</v>
      </c>
      <c r="D290">
        <v>0</v>
      </c>
      <c r="E290">
        <v>0</v>
      </c>
      <c r="F290">
        <v>0</v>
      </c>
      <c r="G290">
        <v>0</v>
      </c>
      <c r="H290">
        <v>0</v>
      </c>
      <c r="I290">
        <v>0</v>
      </c>
      <c r="J290">
        <v>0</v>
      </c>
      <c r="K290">
        <v>0</v>
      </c>
    </row>
    <row r="291" spans="1:11" x14ac:dyDescent="0.2">
      <c r="A291" t="s">
        <v>4341</v>
      </c>
      <c r="B291">
        <v>0</v>
      </c>
      <c r="C291">
        <v>0</v>
      </c>
      <c r="D291">
        <v>0</v>
      </c>
      <c r="E291">
        <v>0</v>
      </c>
      <c r="F291">
        <v>0</v>
      </c>
      <c r="G291">
        <v>0</v>
      </c>
      <c r="H291">
        <v>0</v>
      </c>
      <c r="I291">
        <v>0</v>
      </c>
      <c r="J291">
        <v>0</v>
      </c>
      <c r="K291">
        <v>0</v>
      </c>
    </row>
    <row r="292" spans="1:11" x14ac:dyDescent="0.2">
      <c r="A292" t="s">
        <v>4342</v>
      </c>
      <c r="B292">
        <v>0</v>
      </c>
      <c r="C292">
        <v>0</v>
      </c>
      <c r="D292">
        <v>0</v>
      </c>
      <c r="E292">
        <v>0</v>
      </c>
      <c r="F292">
        <v>0</v>
      </c>
      <c r="G292">
        <v>0</v>
      </c>
      <c r="H292">
        <v>0</v>
      </c>
      <c r="I292">
        <v>0</v>
      </c>
      <c r="J292">
        <v>0</v>
      </c>
      <c r="K292">
        <v>0</v>
      </c>
    </row>
    <row r="293" spans="1:11" x14ac:dyDescent="0.2">
      <c r="A293" t="s">
        <v>4343</v>
      </c>
      <c r="B293">
        <v>0</v>
      </c>
      <c r="C293">
        <v>0</v>
      </c>
      <c r="D293">
        <v>0</v>
      </c>
      <c r="E293">
        <v>0</v>
      </c>
      <c r="F293">
        <v>0</v>
      </c>
      <c r="G293">
        <v>0</v>
      </c>
      <c r="H293">
        <v>0</v>
      </c>
      <c r="I293">
        <v>0</v>
      </c>
      <c r="J293">
        <v>0</v>
      </c>
      <c r="K293">
        <v>0</v>
      </c>
    </row>
    <row r="294" spans="1:11" x14ac:dyDescent="0.2">
      <c r="A294" t="s">
        <v>1728</v>
      </c>
      <c r="B294">
        <v>0</v>
      </c>
      <c r="C294">
        <v>0</v>
      </c>
      <c r="D294">
        <v>0</v>
      </c>
      <c r="E294">
        <v>0</v>
      </c>
      <c r="F294">
        <v>0</v>
      </c>
      <c r="G294">
        <v>0</v>
      </c>
      <c r="H294">
        <v>0</v>
      </c>
      <c r="I294">
        <v>0</v>
      </c>
      <c r="J294">
        <v>0</v>
      </c>
      <c r="K294">
        <v>0</v>
      </c>
    </row>
    <row r="295" spans="1:11" x14ac:dyDescent="0.2">
      <c r="A295" t="s">
        <v>1730</v>
      </c>
      <c r="B295">
        <v>14</v>
      </c>
      <c r="C295">
        <v>0</v>
      </c>
      <c r="D295">
        <v>3</v>
      </c>
      <c r="E295">
        <v>0</v>
      </c>
      <c r="F295">
        <v>0</v>
      </c>
      <c r="G295">
        <v>0</v>
      </c>
      <c r="H295">
        <v>177</v>
      </c>
      <c r="I295">
        <v>0</v>
      </c>
      <c r="J295">
        <v>4</v>
      </c>
      <c r="K295">
        <v>33</v>
      </c>
    </row>
    <row r="296" spans="1:11" x14ac:dyDescent="0.2">
      <c r="A296" t="s">
        <v>1733</v>
      </c>
      <c r="B296">
        <v>0</v>
      </c>
      <c r="C296">
        <v>0</v>
      </c>
      <c r="D296">
        <v>0</v>
      </c>
      <c r="E296">
        <v>0</v>
      </c>
      <c r="F296">
        <v>0</v>
      </c>
      <c r="G296">
        <v>0</v>
      </c>
      <c r="H296">
        <v>0</v>
      </c>
      <c r="I296">
        <v>0</v>
      </c>
      <c r="J296">
        <v>0</v>
      </c>
      <c r="K296">
        <v>0</v>
      </c>
    </row>
    <row r="297" spans="1:11" x14ac:dyDescent="0.2">
      <c r="A297" t="s">
        <v>1738</v>
      </c>
      <c r="B297">
        <v>0</v>
      </c>
      <c r="C297">
        <v>0</v>
      </c>
      <c r="D297">
        <v>0</v>
      </c>
      <c r="E297">
        <v>0</v>
      </c>
      <c r="F297">
        <v>0</v>
      </c>
      <c r="G297">
        <v>0</v>
      </c>
      <c r="H297">
        <v>0</v>
      </c>
      <c r="I297">
        <v>0</v>
      </c>
      <c r="J297">
        <v>0</v>
      </c>
      <c r="K297">
        <v>0</v>
      </c>
    </row>
    <row r="298" spans="1:11" x14ac:dyDescent="0.2">
      <c r="A298" t="s">
        <v>1744</v>
      </c>
      <c r="B298">
        <v>0</v>
      </c>
      <c r="C298">
        <v>0</v>
      </c>
      <c r="D298">
        <v>0</v>
      </c>
      <c r="E298">
        <v>0</v>
      </c>
      <c r="F298">
        <v>0</v>
      </c>
      <c r="G298">
        <v>0</v>
      </c>
      <c r="H298">
        <v>0</v>
      </c>
      <c r="I298">
        <v>0</v>
      </c>
      <c r="J298">
        <v>0</v>
      </c>
      <c r="K298">
        <v>0</v>
      </c>
    </row>
    <row r="299" spans="1:11" x14ac:dyDescent="0.2">
      <c r="A299" t="s">
        <v>1747</v>
      </c>
      <c r="B299">
        <v>0</v>
      </c>
      <c r="C299">
        <v>0</v>
      </c>
      <c r="D299">
        <v>0</v>
      </c>
      <c r="E299">
        <v>0</v>
      </c>
      <c r="F299">
        <v>0</v>
      </c>
      <c r="G299">
        <v>0</v>
      </c>
      <c r="H299">
        <v>0</v>
      </c>
      <c r="I299">
        <v>0</v>
      </c>
      <c r="J299">
        <v>0</v>
      </c>
      <c r="K299">
        <v>0</v>
      </c>
    </row>
    <row r="300" spans="1:11" x14ac:dyDescent="0.2">
      <c r="A300" t="s">
        <v>1751</v>
      </c>
      <c r="B300">
        <v>0</v>
      </c>
      <c r="C300">
        <v>0</v>
      </c>
      <c r="D300">
        <v>0</v>
      </c>
      <c r="E300">
        <v>0</v>
      </c>
      <c r="F300">
        <v>0</v>
      </c>
      <c r="G300">
        <v>0</v>
      </c>
      <c r="H300">
        <v>0</v>
      </c>
      <c r="I300">
        <v>0</v>
      </c>
      <c r="J300">
        <v>0</v>
      </c>
      <c r="K300">
        <v>0</v>
      </c>
    </row>
    <row r="301" spans="1:11" x14ac:dyDescent="0.2">
      <c r="A301" t="s">
        <v>1755</v>
      </c>
      <c r="B301">
        <v>223</v>
      </c>
      <c r="C301">
        <v>0</v>
      </c>
      <c r="D301">
        <v>49</v>
      </c>
      <c r="E301">
        <v>0</v>
      </c>
      <c r="F301">
        <v>0</v>
      </c>
      <c r="G301">
        <v>0</v>
      </c>
      <c r="H301">
        <v>183</v>
      </c>
      <c r="I301">
        <v>0</v>
      </c>
      <c r="J301">
        <v>4</v>
      </c>
      <c r="K301">
        <v>56</v>
      </c>
    </row>
    <row r="302" spans="1:11" x14ac:dyDescent="0.2">
      <c r="A302" t="s">
        <v>1757</v>
      </c>
      <c r="B302">
        <v>252</v>
      </c>
      <c r="C302">
        <v>0</v>
      </c>
      <c r="D302">
        <v>52</v>
      </c>
      <c r="E302">
        <v>0</v>
      </c>
      <c r="F302">
        <v>0</v>
      </c>
      <c r="G302">
        <v>0</v>
      </c>
      <c r="H302">
        <v>205</v>
      </c>
      <c r="I302">
        <v>0</v>
      </c>
      <c r="J302">
        <v>4</v>
      </c>
      <c r="K302">
        <v>39</v>
      </c>
    </row>
    <row r="303" spans="1:11" x14ac:dyDescent="0.2">
      <c r="A303" t="s">
        <v>1761</v>
      </c>
      <c r="B303">
        <v>0</v>
      </c>
      <c r="C303">
        <v>0</v>
      </c>
      <c r="D303">
        <v>0</v>
      </c>
      <c r="E303">
        <v>0</v>
      </c>
      <c r="F303">
        <v>0</v>
      </c>
      <c r="G303">
        <v>0</v>
      </c>
      <c r="H303">
        <v>0</v>
      </c>
      <c r="I303">
        <v>0</v>
      </c>
      <c r="J303">
        <v>0</v>
      </c>
      <c r="K303">
        <v>0</v>
      </c>
    </row>
    <row r="304" spans="1:11" x14ac:dyDescent="0.2">
      <c r="A304" t="s">
        <v>1764</v>
      </c>
      <c r="B304">
        <v>0</v>
      </c>
      <c r="C304">
        <v>0</v>
      </c>
      <c r="D304">
        <v>0</v>
      </c>
      <c r="E304">
        <v>0</v>
      </c>
      <c r="F304">
        <v>0</v>
      </c>
      <c r="G304">
        <v>0</v>
      </c>
      <c r="H304">
        <v>0</v>
      </c>
      <c r="I304">
        <v>0</v>
      </c>
      <c r="J304">
        <v>0</v>
      </c>
      <c r="K304">
        <v>0</v>
      </c>
    </row>
    <row r="305" spans="1:11" x14ac:dyDescent="0.2">
      <c r="A305" t="s">
        <v>1770</v>
      </c>
      <c r="B305">
        <v>58</v>
      </c>
      <c r="C305">
        <v>0</v>
      </c>
      <c r="D305">
        <v>12</v>
      </c>
      <c r="E305">
        <v>0</v>
      </c>
      <c r="F305">
        <v>0</v>
      </c>
      <c r="G305">
        <v>0</v>
      </c>
      <c r="H305">
        <v>497</v>
      </c>
      <c r="I305">
        <v>0</v>
      </c>
      <c r="J305">
        <v>11</v>
      </c>
      <c r="K305">
        <v>682</v>
      </c>
    </row>
    <row r="306" spans="1:11" x14ac:dyDescent="0.2">
      <c r="A306" t="s">
        <v>1772</v>
      </c>
      <c r="B306">
        <v>24</v>
      </c>
      <c r="C306">
        <v>0</v>
      </c>
      <c r="D306">
        <v>5</v>
      </c>
      <c r="E306">
        <v>0</v>
      </c>
      <c r="F306">
        <v>0</v>
      </c>
      <c r="G306">
        <v>0</v>
      </c>
      <c r="H306">
        <v>267</v>
      </c>
      <c r="I306">
        <v>0</v>
      </c>
      <c r="J306">
        <v>6</v>
      </c>
      <c r="K306">
        <v>364</v>
      </c>
    </row>
    <row r="307" spans="1:11" x14ac:dyDescent="0.2">
      <c r="A307" t="s">
        <v>1774</v>
      </c>
      <c r="B307">
        <v>66</v>
      </c>
      <c r="C307">
        <v>0</v>
      </c>
      <c r="D307">
        <v>13</v>
      </c>
      <c r="E307">
        <v>0</v>
      </c>
      <c r="F307">
        <v>0</v>
      </c>
      <c r="G307">
        <v>0</v>
      </c>
      <c r="H307">
        <v>231</v>
      </c>
      <c r="I307">
        <v>0</v>
      </c>
      <c r="J307">
        <v>5</v>
      </c>
      <c r="K307">
        <v>280</v>
      </c>
    </row>
    <row r="308" spans="1:11" x14ac:dyDescent="0.2">
      <c r="A308" t="s">
        <v>1777</v>
      </c>
      <c r="B308">
        <v>0</v>
      </c>
      <c r="C308">
        <v>0</v>
      </c>
      <c r="D308">
        <v>0</v>
      </c>
      <c r="E308">
        <v>0</v>
      </c>
      <c r="F308">
        <v>0</v>
      </c>
      <c r="G308">
        <v>0</v>
      </c>
      <c r="H308">
        <v>0</v>
      </c>
      <c r="I308">
        <v>0</v>
      </c>
      <c r="J308">
        <v>0</v>
      </c>
      <c r="K308">
        <v>0</v>
      </c>
    </row>
    <row r="309" spans="1:11" x14ac:dyDescent="0.2">
      <c r="A309" t="s">
        <v>1782</v>
      </c>
      <c r="B309">
        <v>0</v>
      </c>
      <c r="C309">
        <v>0</v>
      </c>
      <c r="D309">
        <v>0</v>
      </c>
      <c r="E309">
        <v>0</v>
      </c>
      <c r="F309">
        <v>0</v>
      </c>
      <c r="G309">
        <v>0</v>
      </c>
      <c r="H309">
        <v>0</v>
      </c>
      <c r="I309">
        <v>0</v>
      </c>
      <c r="J309">
        <v>0</v>
      </c>
      <c r="K309">
        <v>0</v>
      </c>
    </row>
    <row r="310" spans="1:11" x14ac:dyDescent="0.2">
      <c r="A310" t="s">
        <v>1274</v>
      </c>
      <c r="B310">
        <v>388</v>
      </c>
      <c r="C310">
        <v>0</v>
      </c>
      <c r="D310">
        <v>0</v>
      </c>
      <c r="E310">
        <v>0</v>
      </c>
      <c r="F310">
        <v>0</v>
      </c>
      <c r="G310">
        <v>0</v>
      </c>
      <c r="H310">
        <v>44</v>
      </c>
      <c r="I310">
        <v>0</v>
      </c>
      <c r="J310">
        <v>1</v>
      </c>
      <c r="K310">
        <v>8</v>
      </c>
    </row>
    <row r="311" spans="1:11" x14ac:dyDescent="0.2">
      <c r="A311" t="s">
        <v>1277</v>
      </c>
      <c r="B311">
        <v>3336</v>
      </c>
      <c r="C311">
        <v>0</v>
      </c>
      <c r="D311">
        <v>0</v>
      </c>
      <c r="E311">
        <v>0</v>
      </c>
      <c r="F311">
        <v>0</v>
      </c>
      <c r="G311">
        <v>0</v>
      </c>
      <c r="H311">
        <v>370</v>
      </c>
      <c r="I311">
        <v>0</v>
      </c>
      <c r="J311">
        <v>8</v>
      </c>
      <c r="K311">
        <v>70</v>
      </c>
    </row>
    <row r="312" spans="1:11" x14ac:dyDescent="0.2">
      <c r="A312" t="s">
        <v>1798</v>
      </c>
      <c r="B312">
        <v>0</v>
      </c>
      <c r="C312">
        <v>0</v>
      </c>
      <c r="D312">
        <v>0</v>
      </c>
      <c r="E312">
        <v>0</v>
      </c>
      <c r="F312">
        <v>0</v>
      </c>
      <c r="G312">
        <v>0</v>
      </c>
      <c r="H312">
        <v>0</v>
      </c>
      <c r="I312">
        <v>0</v>
      </c>
      <c r="J312">
        <v>0</v>
      </c>
      <c r="K312">
        <v>0</v>
      </c>
    </row>
    <row r="313" spans="1:11" x14ac:dyDescent="0.2">
      <c r="A313" t="s">
        <v>1803</v>
      </c>
      <c r="B313">
        <v>0</v>
      </c>
      <c r="C313">
        <v>0</v>
      </c>
      <c r="D313">
        <v>0</v>
      </c>
      <c r="E313">
        <v>0</v>
      </c>
      <c r="F313">
        <v>0</v>
      </c>
      <c r="G313">
        <v>0</v>
      </c>
      <c r="H313">
        <v>0</v>
      </c>
      <c r="I313">
        <v>0</v>
      </c>
      <c r="J313">
        <v>0</v>
      </c>
      <c r="K313">
        <v>0</v>
      </c>
    </row>
    <row r="314" spans="1:11" x14ac:dyDescent="0.2">
      <c r="A314" t="s">
        <v>1808</v>
      </c>
      <c r="B314">
        <v>425</v>
      </c>
      <c r="C314">
        <v>0</v>
      </c>
      <c r="D314">
        <v>0</v>
      </c>
      <c r="E314">
        <v>0</v>
      </c>
      <c r="F314">
        <v>0</v>
      </c>
      <c r="G314">
        <v>0</v>
      </c>
      <c r="H314">
        <v>0</v>
      </c>
      <c r="I314">
        <v>0</v>
      </c>
      <c r="J314">
        <v>0</v>
      </c>
      <c r="K314">
        <v>0</v>
      </c>
    </row>
    <row r="315" spans="1:11" x14ac:dyDescent="0.2">
      <c r="A315" t="s">
        <v>1813</v>
      </c>
      <c r="B315">
        <v>0</v>
      </c>
      <c r="C315">
        <v>0</v>
      </c>
      <c r="D315">
        <v>0</v>
      </c>
      <c r="E315">
        <v>0</v>
      </c>
      <c r="F315">
        <v>0</v>
      </c>
      <c r="G315">
        <v>0</v>
      </c>
      <c r="H315">
        <v>0</v>
      </c>
      <c r="I315">
        <v>0</v>
      </c>
      <c r="J315">
        <v>0</v>
      </c>
      <c r="K315">
        <v>0</v>
      </c>
    </row>
    <row r="316" spans="1:11" x14ac:dyDescent="0.2">
      <c r="A316" t="s">
        <v>1819</v>
      </c>
      <c r="B316">
        <v>1</v>
      </c>
      <c r="C316">
        <v>0</v>
      </c>
      <c r="D316">
        <v>0</v>
      </c>
      <c r="E316">
        <v>0</v>
      </c>
      <c r="F316">
        <v>0</v>
      </c>
      <c r="G316">
        <v>0</v>
      </c>
      <c r="H316">
        <v>478</v>
      </c>
      <c r="I316">
        <v>0</v>
      </c>
      <c r="J316">
        <v>13</v>
      </c>
      <c r="K316">
        <v>109</v>
      </c>
    </row>
    <row r="317" spans="1:11" x14ac:dyDescent="0.2">
      <c r="A317" t="s">
        <v>1826</v>
      </c>
      <c r="B317">
        <v>0</v>
      </c>
      <c r="C317">
        <v>0</v>
      </c>
      <c r="D317">
        <v>0</v>
      </c>
      <c r="E317">
        <v>0</v>
      </c>
      <c r="F317">
        <v>0</v>
      </c>
      <c r="G317">
        <v>0</v>
      </c>
      <c r="H317">
        <v>12815</v>
      </c>
      <c r="I317">
        <v>0</v>
      </c>
      <c r="J317">
        <v>198</v>
      </c>
      <c r="K317">
        <v>1635</v>
      </c>
    </row>
    <row r="318" spans="1:11" x14ac:dyDescent="0.2">
      <c r="A318" t="s">
        <v>1830</v>
      </c>
      <c r="B318">
        <v>0</v>
      </c>
      <c r="C318">
        <v>0</v>
      </c>
      <c r="D318">
        <v>0</v>
      </c>
      <c r="E318">
        <v>0</v>
      </c>
      <c r="F318">
        <v>0</v>
      </c>
      <c r="G318">
        <v>0</v>
      </c>
      <c r="H318">
        <v>1454</v>
      </c>
      <c r="I318">
        <v>0</v>
      </c>
      <c r="J318">
        <v>47</v>
      </c>
      <c r="K318">
        <v>392</v>
      </c>
    </row>
    <row r="319" spans="1:11" x14ac:dyDescent="0.2">
      <c r="A319" t="s">
        <v>1836</v>
      </c>
      <c r="B319">
        <v>0</v>
      </c>
      <c r="C319">
        <v>0</v>
      </c>
      <c r="D319">
        <v>0</v>
      </c>
      <c r="E319">
        <v>0</v>
      </c>
      <c r="F319">
        <v>0</v>
      </c>
      <c r="G319">
        <v>0</v>
      </c>
      <c r="H319">
        <v>0</v>
      </c>
      <c r="I319">
        <v>0</v>
      </c>
      <c r="J319">
        <v>0</v>
      </c>
      <c r="K319">
        <v>0</v>
      </c>
    </row>
    <row r="320" spans="1:11" x14ac:dyDescent="0.2">
      <c r="A320" t="s">
        <v>1841</v>
      </c>
      <c r="B320">
        <v>217</v>
      </c>
      <c r="C320">
        <v>0</v>
      </c>
      <c r="D320">
        <v>44</v>
      </c>
      <c r="E320">
        <v>0</v>
      </c>
      <c r="F320">
        <v>0</v>
      </c>
      <c r="G320">
        <v>0</v>
      </c>
      <c r="H320">
        <v>1145</v>
      </c>
      <c r="I320">
        <v>0</v>
      </c>
      <c r="J320">
        <v>26</v>
      </c>
      <c r="K320">
        <v>229</v>
      </c>
    </row>
    <row r="321" spans="1:11" x14ac:dyDescent="0.2">
      <c r="A321" t="s">
        <v>1842</v>
      </c>
      <c r="B321">
        <v>7</v>
      </c>
      <c r="C321">
        <v>0</v>
      </c>
      <c r="D321">
        <v>1</v>
      </c>
      <c r="E321">
        <v>0</v>
      </c>
      <c r="F321">
        <v>0</v>
      </c>
      <c r="G321">
        <v>0</v>
      </c>
      <c r="H321">
        <v>569</v>
      </c>
      <c r="I321">
        <v>0</v>
      </c>
      <c r="J321">
        <v>12</v>
      </c>
      <c r="K321">
        <v>460</v>
      </c>
    </row>
    <row r="322" spans="1:11" x14ac:dyDescent="0.2">
      <c r="A322" t="s">
        <v>1843</v>
      </c>
      <c r="B322">
        <v>0</v>
      </c>
      <c r="C322">
        <v>0</v>
      </c>
      <c r="D322">
        <v>0</v>
      </c>
      <c r="E322">
        <v>0</v>
      </c>
      <c r="F322">
        <v>0</v>
      </c>
      <c r="G322">
        <v>0</v>
      </c>
      <c r="H322">
        <v>4736</v>
      </c>
      <c r="I322">
        <v>0</v>
      </c>
      <c r="J322">
        <v>100</v>
      </c>
      <c r="K322">
        <v>824</v>
      </c>
    </row>
    <row r="323" spans="1:11" x14ac:dyDescent="0.2">
      <c r="A323" t="s">
        <v>1846</v>
      </c>
      <c r="B323">
        <v>0</v>
      </c>
      <c r="C323">
        <v>0</v>
      </c>
      <c r="D323">
        <v>0</v>
      </c>
      <c r="E323">
        <v>0</v>
      </c>
      <c r="F323">
        <v>0</v>
      </c>
      <c r="G323">
        <v>0</v>
      </c>
      <c r="H323">
        <v>0</v>
      </c>
      <c r="I323">
        <v>0</v>
      </c>
      <c r="J323">
        <v>0</v>
      </c>
      <c r="K323">
        <v>0</v>
      </c>
    </row>
    <row r="324" spans="1:11" x14ac:dyDescent="0.2">
      <c r="A324" t="s">
        <v>1851</v>
      </c>
      <c r="B324">
        <v>3</v>
      </c>
      <c r="C324">
        <v>0</v>
      </c>
      <c r="D324">
        <v>1</v>
      </c>
      <c r="E324">
        <v>0</v>
      </c>
      <c r="F324">
        <v>0</v>
      </c>
      <c r="G324">
        <v>0</v>
      </c>
      <c r="H324">
        <v>962</v>
      </c>
      <c r="I324">
        <v>0</v>
      </c>
      <c r="J324">
        <v>21</v>
      </c>
      <c r="K324">
        <v>181</v>
      </c>
    </row>
    <row r="325" spans="1:11" x14ac:dyDescent="0.2">
      <c r="A325" t="s">
        <v>1857</v>
      </c>
      <c r="B325">
        <v>0</v>
      </c>
      <c r="C325">
        <v>0</v>
      </c>
      <c r="D325">
        <v>0</v>
      </c>
      <c r="E325">
        <v>0</v>
      </c>
      <c r="F325">
        <v>0</v>
      </c>
      <c r="G325">
        <v>0</v>
      </c>
      <c r="H325">
        <v>0</v>
      </c>
      <c r="I325">
        <v>0</v>
      </c>
      <c r="J325">
        <v>0</v>
      </c>
      <c r="K325">
        <v>0</v>
      </c>
    </row>
    <row r="326" spans="1:11" x14ac:dyDescent="0.2">
      <c r="A326" t="s">
        <v>1862</v>
      </c>
      <c r="B326">
        <v>0</v>
      </c>
      <c r="C326">
        <v>0</v>
      </c>
      <c r="D326">
        <v>0</v>
      </c>
      <c r="E326">
        <v>0</v>
      </c>
      <c r="F326">
        <v>0</v>
      </c>
      <c r="G326">
        <v>0</v>
      </c>
      <c r="H326">
        <v>0</v>
      </c>
      <c r="I326">
        <v>0</v>
      </c>
      <c r="J326">
        <v>0</v>
      </c>
      <c r="K326">
        <v>0</v>
      </c>
    </row>
    <row r="327" spans="1:11" x14ac:dyDescent="0.2">
      <c r="A327" t="s">
        <v>1867</v>
      </c>
      <c r="B327">
        <v>0</v>
      </c>
      <c r="C327">
        <v>0</v>
      </c>
      <c r="D327">
        <v>0</v>
      </c>
      <c r="E327">
        <v>0</v>
      </c>
      <c r="F327">
        <v>0</v>
      </c>
      <c r="G327">
        <v>0</v>
      </c>
      <c r="H327">
        <v>0</v>
      </c>
      <c r="I327">
        <v>0</v>
      </c>
      <c r="J327">
        <v>0</v>
      </c>
      <c r="K327">
        <v>0</v>
      </c>
    </row>
    <row r="328" spans="1:11" x14ac:dyDescent="0.2">
      <c r="A328" t="s">
        <v>1870</v>
      </c>
      <c r="B328">
        <v>0</v>
      </c>
      <c r="C328">
        <v>0</v>
      </c>
      <c r="D328">
        <v>0</v>
      </c>
      <c r="E328">
        <v>0</v>
      </c>
      <c r="F328">
        <v>0</v>
      </c>
      <c r="G328">
        <v>0</v>
      </c>
      <c r="H328">
        <v>0</v>
      </c>
      <c r="I328">
        <v>0</v>
      </c>
      <c r="J328">
        <v>0</v>
      </c>
      <c r="K328">
        <v>0</v>
      </c>
    </row>
    <row r="329" spans="1:11" x14ac:dyDescent="0.2">
      <c r="A329" t="s">
        <v>1874</v>
      </c>
      <c r="B329">
        <v>0</v>
      </c>
      <c r="C329">
        <v>0</v>
      </c>
      <c r="D329">
        <v>0</v>
      </c>
      <c r="E329">
        <v>0</v>
      </c>
      <c r="F329">
        <v>0</v>
      </c>
      <c r="G329">
        <v>0</v>
      </c>
      <c r="H329">
        <v>68</v>
      </c>
      <c r="I329">
        <v>0</v>
      </c>
      <c r="J329">
        <v>1</v>
      </c>
      <c r="K329">
        <v>50</v>
      </c>
    </row>
    <row r="330" spans="1:11" x14ac:dyDescent="0.2">
      <c r="A330" t="s">
        <v>1876</v>
      </c>
      <c r="B330">
        <v>0</v>
      </c>
      <c r="C330">
        <v>0</v>
      </c>
      <c r="D330">
        <v>0</v>
      </c>
      <c r="E330">
        <v>0</v>
      </c>
      <c r="F330">
        <v>0</v>
      </c>
      <c r="G330">
        <v>0</v>
      </c>
      <c r="H330">
        <v>0</v>
      </c>
      <c r="I330">
        <v>0</v>
      </c>
      <c r="J330">
        <v>0</v>
      </c>
      <c r="K330">
        <v>0</v>
      </c>
    </row>
    <row r="331" spans="1:11" x14ac:dyDescent="0.2">
      <c r="A331" t="s">
        <v>1881</v>
      </c>
      <c r="B331">
        <v>0</v>
      </c>
      <c r="C331">
        <v>0</v>
      </c>
      <c r="D331">
        <v>0</v>
      </c>
      <c r="E331">
        <v>0</v>
      </c>
      <c r="F331">
        <v>0</v>
      </c>
      <c r="G331">
        <v>0</v>
      </c>
      <c r="H331">
        <v>0</v>
      </c>
      <c r="I331">
        <v>0</v>
      </c>
      <c r="J331">
        <v>0</v>
      </c>
      <c r="K331">
        <v>0</v>
      </c>
    </row>
    <row r="332" spans="1:11" x14ac:dyDescent="0.2">
      <c r="A332" t="s">
        <v>1885</v>
      </c>
      <c r="B332">
        <v>18</v>
      </c>
      <c r="C332">
        <v>0</v>
      </c>
      <c r="D332">
        <v>3</v>
      </c>
      <c r="E332">
        <v>0</v>
      </c>
      <c r="F332">
        <v>0</v>
      </c>
      <c r="G332">
        <v>0</v>
      </c>
      <c r="H332">
        <v>1380</v>
      </c>
      <c r="I332">
        <v>0</v>
      </c>
      <c r="J332">
        <v>30</v>
      </c>
      <c r="K332">
        <v>291</v>
      </c>
    </row>
    <row r="333" spans="1:11" x14ac:dyDescent="0.2">
      <c r="A333" t="s">
        <v>1887</v>
      </c>
      <c r="B333">
        <v>1</v>
      </c>
      <c r="C333">
        <v>0</v>
      </c>
      <c r="D333">
        <v>0</v>
      </c>
      <c r="E333">
        <v>0</v>
      </c>
      <c r="F333">
        <v>0</v>
      </c>
      <c r="G333">
        <v>0</v>
      </c>
      <c r="H333">
        <v>3</v>
      </c>
      <c r="I333">
        <v>0</v>
      </c>
      <c r="J333">
        <v>0</v>
      </c>
      <c r="K333">
        <v>1</v>
      </c>
    </row>
    <row r="334" spans="1:11" x14ac:dyDescent="0.2">
      <c r="A334" t="s">
        <v>1893</v>
      </c>
      <c r="B334">
        <v>9</v>
      </c>
      <c r="C334">
        <v>0</v>
      </c>
      <c r="D334">
        <v>2</v>
      </c>
      <c r="E334">
        <v>0</v>
      </c>
      <c r="F334">
        <v>0</v>
      </c>
      <c r="G334">
        <v>0</v>
      </c>
      <c r="H334">
        <v>47</v>
      </c>
      <c r="I334">
        <v>0</v>
      </c>
      <c r="J334">
        <v>1</v>
      </c>
      <c r="K334">
        <v>9</v>
      </c>
    </row>
    <row r="335" spans="1:11" x14ac:dyDescent="0.2">
      <c r="A335" t="s">
        <v>1899</v>
      </c>
      <c r="B335">
        <v>0</v>
      </c>
      <c r="C335">
        <v>0</v>
      </c>
      <c r="D335">
        <v>0</v>
      </c>
      <c r="E335">
        <v>0</v>
      </c>
      <c r="F335">
        <v>0</v>
      </c>
      <c r="G335">
        <v>0</v>
      </c>
      <c r="H335">
        <v>0</v>
      </c>
      <c r="I335">
        <v>0</v>
      </c>
      <c r="J335">
        <v>0</v>
      </c>
      <c r="K335">
        <v>0</v>
      </c>
    </row>
    <row r="336" spans="1:11" x14ac:dyDescent="0.2">
      <c r="A336" t="s">
        <v>1906</v>
      </c>
      <c r="B336">
        <v>0</v>
      </c>
      <c r="C336">
        <v>0</v>
      </c>
      <c r="D336">
        <v>0</v>
      </c>
      <c r="E336">
        <v>0</v>
      </c>
      <c r="F336">
        <v>0</v>
      </c>
      <c r="G336">
        <v>0</v>
      </c>
      <c r="H336">
        <v>0</v>
      </c>
      <c r="I336">
        <v>0</v>
      </c>
      <c r="J336">
        <v>0</v>
      </c>
      <c r="K336">
        <v>0</v>
      </c>
    </row>
    <row r="337" spans="1:11" x14ac:dyDescent="0.2">
      <c r="A337" t="s">
        <v>1911</v>
      </c>
      <c r="B337">
        <v>0</v>
      </c>
      <c r="C337">
        <v>0</v>
      </c>
      <c r="D337">
        <v>0</v>
      </c>
      <c r="E337">
        <v>0</v>
      </c>
      <c r="F337">
        <v>0</v>
      </c>
      <c r="G337">
        <v>0</v>
      </c>
      <c r="H337">
        <v>0</v>
      </c>
      <c r="I337">
        <v>0</v>
      </c>
      <c r="J337">
        <v>0</v>
      </c>
      <c r="K337">
        <v>0</v>
      </c>
    </row>
    <row r="338" spans="1:11" x14ac:dyDescent="0.2">
      <c r="A338" t="s">
        <v>1917</v>
      </c>
      <c r="B338">
        <v>0</v>
      </c>
      <c r="C338">
        <v>0</v>
      </c>
      <c r="D338">
        <v>0</v>
      </c>
      <c r="E338">
        <v>0</v>
      </c>
      <c r="F338">
        <v>0</v>
      </c>
      <c r="G338">
        <v>0</v>
      </c>
      <c r="H338">
        <v>3</v>
      </c>
      <c r="I338">
        <v>0</v>
      </c>
      <c r="J338">
        <v>0</v>
      </c>
      <c r="K338">
        <v>0</v>
      </c>
    </row>
    <row r="339" spans="1:11" x14ac:dyDescent="0.2">
      <c r="A339" t="s">
        <v>1922</v>
      </c>
      <c r="B339">
        <v>0</v>
      </c>
      <c r="C339">
        <v>0</v>
      </c>
      <c r="D339">
        <v>0</v>
      </c>
      <c r="E339">
        <v>0</v>
      </c>
      <c r="F339">
        <v>0</v>
      </c>
      <c r="G339">
        <v>0</v>
      </c>
      <c r="H339">
        <v>0</v>
      </c>
      <c r="I339">
        <v>0</v>
      </c>
      <c r="J339">
        <v>0</v>
      </c>
      <c r="K339">
        <v>0</v>
      </c>
    </row>
    <row r="340" spans="1:11" x14ac:dyDescent="0.2">
      <c r="A340" t="s">
        <v>1928</v>
      </c>
      <c r="B340">
        <v>0</v>
      </c>
      <c r="C340">
        <v>0</v>
      </c>
      <c r="D340">
        <v>0</v>
      </c>
      <c r="E340">
        <v>0</v>
      </c>
      <c r="F340">
        <v>0</v>
      </c>
      <c r="G340">
        <v>0</v>
      </c>
      <c r="H340">
        <v>0</v>
      </c>
      <c r="I340">
        <v>0</v>
      </c>
      <c r="J340">
        <v>0</v>
      </c>
      <c r="K340">
        <v>0</v>
      </c>
    </row>
    <row r="341" spans="1:11" x14ac:dyDescent="0.2">
      <c r="A341" t="s">
        <v>1932</v>
      </c>
      <c r="B341">
        <v>0</v>
      </c>
      <c r="C341">
        <v>0</v>
      </c>
      <c r="D341">
        <v>0</v>
      </c>
      <c r="E341">
        <v>0</v>
      </c>
      <c r="F341">
        <v>0</v>
      </c>
      <c r="G341">
        <v>0</v>
      </c>
      <c r="H341">
        <v>0</v>
      </c>
      <c r="I341">
        <v>0</v>
      </c>
      <c r="J341">
        <v>0</v>
      </c>
      <c r="K341">
        <v>0</v>
      </c>
    </row>
    <row r="342" spans="1:11" x14ac:dyDescent="0.2">
      <c r="A342" t="s">
        <v>1938</v>
      </c>
      <c r="B342">
        <v>0</v>
      </c>
      <c r="C342">
        <v>0</v>
      </c>
      <c r="D342">
        <v>0</v>
      </c>
      <c r="E342">
        <v>0</v>
      </c>
      <c r="F342">
        <v>0</v>
      </c>
      <c r="G342">
        <v>0</v>
      </c>
      <c r="H342">
        <v>0</v>
      </c>
      <c r="I342">
        <v>0</v>
      </c>
      <c r="J342">
        <v>0</v>
      </c>
      <c r="K342">
        <v>0</v>
      </c>
    </row>
    <row r="343" spans="1:11" x14ac:dyDescent="0.2">
      <c r="A343" t="s">
        <v>1944</v>
      </c>
      <c r="B343">
        <v>0</v>
      </c>
      <c r="C343">
        <v>0</v>
      </c>
      <c r="D343">
        <v>0</v>
      </c>
      <c r="E343">
        <v>0</v>
      </c>
      <c r="F343">
        <v>0</v>
      </c>
      <c r="G343">
        <v>0</v>
      </c>
      <c r="H343">
        <v>36</v>
      </c>
      <c r="I343">
        <v>0</v>
      </c>
      <c r="J343">
        <v>1</v>
      </c>
      <c r="K343">
        <v>7</v>
      </c>
    </row>
    <row r="344" spans="1:11" x14ac:dyDescent="0.2">
      <c r="A344" t="s">
        <v>1947</v>
      </c>
      <c r="B344">
        <v>0</v>
      </c>
      <c r="C344">
        <v>0</v>
      </c>
      <c r="D344">
        <v>0</v>
      </c>
      <c r="E344">
        <v>0</v>
      </c>
      <c r="F344">
        <v>0</v>
      </c>
      <c r="G344">
        <v>0</v>
      </c>
      <c r="H344">
        <v>0</v>
      </c>
      <c r="I344">
        <v>0</v>
      </c>
      <c r="J344">
        <v>0</v>
      </c>
      <c r="K344">
        <v>0</v>
      </c>
    </row>
    <row r="345" spans="1:11" x14ac:dyDescent="0.2">
      <c r="A345" t="s">
        <v>1953</v>
      </c>
      <c r="B345">
        <v>0</v>
      </c>
      <c r="C345">
        <v>0</v>
      </c>
      <c r="D345">
        <v>0</v>
      </c>
      <c r="E345">
        <v>0</v>
      </c>
      <c r="F345">
        <v>0</v>
      </c>
      <c r="G345">
        <v>0</v>
      </c>
      <c r="H345">
        <v>2</v>
      </c>
      <c r="I345">
        <v>0</v>
      </c>
      <c r="J345">
        <v>0</v>
      </c>
      <c r="K345">
        <v>0</v>
      </c>
    </row>
    <row r="346" spans="1:11" x14ac:dyDescent="0.2">
      <c r="A346" t="s">
        <v>1958</v>
      </c>
      <c r="B346">
        <v>0</v>
      </c>
      <c r="C346">
        <v>0</v>
      </c>
      <c r="D346">
        <v>0</v>
      </c>
      <c r="E346">
        <v>0</v>
      </c>
      <c r="F346">
        <v>0</v>
      </c>
      <c r="G346">
        <v>0</v>
      </c>
      <c r="H346">
        <v>0</v>
      </c>
      <c r="I346">
        <v>0</v>
      </c>
      <c r="J346">
        <v>0</v>
      </c>
      <c r="K346">
        <v>0</v>
      </c>
    </row>
    <row r="347" spans="1:11" x14ac:dyDescent="0.2">
      <c r="A347" t="s">
        <v>1964</v>
      </c>
      <c r="B347">
        <v>0</v>
      </c>
      <c r="C347">
        <v>0</v>
      </c>
      <c r="D347">
        <v>0</v>
      </c>
      <c r="E347">
        <v>0</v>
      </c>
      <c r="F347">
        <v>0</v>
      </c>
      <c r="G347">
        <v>0</v>
      </c>
      <c r="H347">
        <v>0</v>
      </c>
      <c r="I347">
        <v>0</v>
      </c>
      <c r="J347">
        <v>0</v>
      </c>
      <c r="K347">
        <v>0</v>
      </c>
    </row>
    <row r="348" spans="1:11" x14ac:dyDescent="0.2">
      <c r="A348" t="s">
        <v>1973</v>
      </c>
      <c r="B348">
        <v>0</v>
      </c>
      <c r="C348">
        <v>0</v>
      </c>
      <c r="D348">
        <v>0</v>
      </c>
      <c r="E348">
        <v>0</v>
      </c>
      <c r="F348">
        <v>0</v>
      </c>
      <c r="G348">
        <v>0</v>
      </c>
      <c r="H348">
        <v>0</v>
      </c>
      <c r="I348">
        <v>0</v>
      </c>
      <c r="J348">
        <v>0</v>
      </c>
      <c r="K348">
        <v>0</v>
      </c>
    </row>
    <row r="349" spans="1:11" x14ac:dyDescent="0.2">
      <c r="A349" t="s">
        <v>1978</v>
      </c>
      <c r="B349">
        <v>0</v>
      </c>
      <c r="C349">
        <v>0</v>
      </c>
      <c r="D349">
        <v>0</v>
      </c>
      <c r="E349">
        <v>0</v>
      </c>
      <c r="F349">
        <v>0</v>
      </c>
      <c r="G349">
        <v>0</v>
      </c>
      <c r="H349">
        <v>0</v>
      </c>
      <c r="I349">
        <v>0</v>
      </c>
      <c r="J349">
        <v>0</v>
      </c>
      <c r="K349">
        <v>0</v>
      </c>
    </row>
    <row r="350" spans="1:11" x14ac:dyDescent="0.2">
      <c r="A350" t="s">
        <v>1983</v>
      </c>
      <c r="B350">
        <v>0</v>
      </c>
      <c r="C350">
        <v>0</v>
      </c>
      <c r="D350">
        <v>0</v>
      </c>
      <c r="E350">
        <v>0</v>
      </c>
      <c r="F350">
        <v>0</v>
      </c>
      <c r="G350">
        <v>0</v>
      </c>
      <c r="H350">
        <v>17</v>
      </c>
      <c r="I350">
        <v>0</v>
      </c>
      <c r="J350">
        <v>0</v>
      </c>
      <c r="K350">
        <v>9</v>
      </c>
    </row>
    <row r="351" spans="1:11" x14ac:dyDescent="0.2">
      <c r="A351" t="s">
        <v>1984</v>
      </c>
      <c r="B351">
        <v>0</v>
      </c>
      <c r="C351">
        <v>0</v>
      </c>
      <c r="D351">
        <v>0</v>
      </c>
      <c r="E351">
        <v>0</v>
      </c>
      <c r="F351">
        <v>0</v>
      </c>
      <c r="G351">
        <v>0</v>
      </c>
      <c r="H351">
        <v>0</v>
      </c>
      <c r="I351">
        <v>0</v>
      </c>
      <c r="J351">
        <v>0</v>
      </c>
      <c r="K351">
        <v>0</v>
      </c>
    </row>
    <row r="352" spans="1:11" x14ac:dyDescent="0.2">
      <c r="A352" t="s">
        <v>1990</v>
      </c>
      <c r="B352">
        <v>0</v>
      </c>
      <c r="C352">
        <v>0</v>
      </c>
      <c r="D352">
        <v>0</v>
      </c>
      <c r="E352">
        <v>0</v>
      </c>
      <c r="F352">
        <v>0</v>
      </c>
      <c r="G352">
        <v>0</v>
      </c>
      <c r="H352">
        <v>0</v>
      </c>
      <c r="I352">
        <v>0</v>
      </c>
      <c r="J352">
        <v>0</v>
      </c>
      <c r="K352">
        <v>0</v>
      </c>
    </row>
    <row r="353" spans="1:11" x14ac:dyDescent="0.2">
      <c r="A353" t="s">
        <v>1996</v>
      </c>
      <c r="B353">
        <v>0</v>
      </c>
      <c r="C353">
        <v>0</v>
      </c>
      <c r="D353">
        <v>0</v>
      </c>
      <c r="E353">
        <v>0</v>
      </c>
      <c r="F353">
        <v>0</v>
      </c>
      <c r="G353">
        <v>0</v>
      </c>
      <c r="H353">
        <v>0</v>
      </c>
      <c r="I353">
        <v>0</v>
      </c>
      <c r="J353">
        <v>0</v>
      </c>
      <c r="K353">
        <v>0</v>
      </c>
    </row>
    <row r="354" spans="1:11" x14ac:dyDescent="0.2">
      <c r="A354" t="s">
        <v>1998</v>
      </c>
      <c r="B354">
        <v>0</v>
      </c>
      <c r="C354">
        <v>0</v>
      </c>
      <c r="D354">
        <v>0</v>
      </c>
      <c r="E354">
        <v>0</v>
      </c>
      <c r="F354">
        <v>0</v>
      </c>
      <c r="G354">
        <v>0</v>
      </c>
      <c r="H354">
        <v>0</v>
      </c>
      <c r="I354">
        <v>0</v>
      </c>
      <c r="J354">
        <v>0</v>
      </c>
      <c r="K354">
        <v>0</v>
      </c>
    </row>
    <row r="355" spans="1:11" x14ac:dyDescent="0.2">
      <c r="A355" t="s">
        <v>1999</v>
      </c>
      <c r="B355">
        <v>0</v>
      </c>
      <c r="C355">
        <v>0</v>
      </c>
      <c r="D355">
        <v>0</v>
      </c>
      <c r="E355">
        <v>0</v>
      </c>
      <c r="F355">
        <v>0</v>
      </c>
      <c r="G355">
        <v>0</v>
      </c>
      <c r="H355">
        <v>0</v>
      </c>
      <c r="I355">
        <v>0</v>
      </c>
      <c r="J355">
        <v>0</v>
      </c>
      <c r="K355">
        <v>0</v>
      </c>
    </row>
    <row r="356" spans="1:11" x14ac:dyDescent="0.2">
      <c r="A356" t="s">
        <v>2004</v>
      </c>
      <c r="B356">
        <v>0</v>
      </c>
      <c r="C356">
        <v>0</v>
      </c>
      <c r="D356">
        <v>0</v>
      </c>
      <c r="E356">
        <v>0</v>
      </c>
      <c r="F356">
        <v>0</v>
      </c>
      <c r="G356">
        <v>0</v>
      </c>
      <c r="H356">
        <v>0</v>
      </c>
      <c r="I356">
        <v>0</v>
      </c>
      <c r="J356">
        <v>0</v>
      </c>
      <c r="K356">
        <v>0</v>
      </c>
    </row>
    <row r="357" spans="1:11" x14ac:dyDescent="0.2">
      <c r="A357" t="s">
        <v>2009</v>
      </c>
      <c r="B357">
        <v>0</v>
      </c>
      <c r="C357">
        <v>0</v>
      </c>
      <c r="D357">
        <v>0</v>
      </c>
      <c r="E357">
        <v>0</v>
      </c>
      <c r="F357">
        <v>0</v>
      </c>
      <c r="G357">
        <v>0</v>
      </c>
      <c r="H357">
        <v>0</v>
      </c>
      <c r="I357">
        <v>0</v>
      </c>
      <c r="J357">
        <v>0</v>
      </c>
      <c r="K357">
        <v>0</v>
      </c>
    </row>
    <row r="358" spans="1:11" x14ac:dyDescent="0.2">
      <c r="A358" t="s">
        <v>2014</v>
      </c>
      <c r="B358">
        <v>0</v>
      </c>
      <c r="C358">
        <v>0</v>
      </c>
      <c r="D358">
        <v>0</v>
      </c>
      <c r="E358">
        <v>0</v>
      </c>
      <c r="F358">
        <v>0</v>
      </c>
      <c r="G358">
        <v>0</v>
      </c>
      <c r="H358">
        <v>0</v>
      </c>
      <c r="I358">
        <v>0</v>
      </c>
      <c r="J358">
        <v>0</v>
      </c>
      <c r="K358">
        <v>0</v>
      </c>
    </row>
    <row r="359" spans="1:11" x14ac:dyDescent="0.2">
      <c r="A359" t="s">
        <v>2019</v>
      </c>
      <c r="B359">
        <v>0</v>
      </c>
      <c r="C359">
        <v>0</v>
      </c>
      <c r="D359">
        <v>0</v>
      </c>
      <c r="E359">
        <v>0</v>
      </c>
      <c r="F359">
        <v>0</v>
      </c>
      <c r="G359">
        <v>0</v>
      </c>
      <c r="H359">
        <v>0</v>
      </c>
      <c r="I359">
        <v>0</v>
      </c>
      <c r="J359">
        <v>0</v>
      </c>
      <c r="K359">
        <v>0</v>
      </c>
    </row>
    <row r="360" spans="1:11" x14ac:dyDescent="0.2">
      <c r="A360" t="s">
        <v>2023</v>
      </c>
      <c r="B360">
        <v>0</v>
      </c>
      <c r="C360">
        <v>0</v>
      </c>
      <c r="D360">
        <v>0</v>
      </c>
      <c r="E360">
        <v>0</v>
      </c>
      <c r="F360">
        <v>0</v>
      </c>
      <c r="G360">
        <v>0</v>
      </c>
      <c r="H360">
        <v>0</v>
      </c>
      <c r="I360">
        <v>0</v>
      </c>
      <c r="J360">
        <v>0</v>
      </c>
      <c r="K360">
        <v>0</v>
      </c>
    </row>
    <row r="361" spans="1:11" x14ac:dyDescent="0.2">
      <c r="A361" t="s">
        <v>2026</v>
      </c>
      <c r="B361">
        <v>0</v>
      </c>
      <c r="C361">
        <v>0</v>
      </c>
      <c r="D361">
        <v>0</v>
      </c>
      <c r="E361">
        <v>0</v>
      </c>
      <c r="F361">
        <v>0</v>
      </c>
      <c r="G361">
        <v>0</v>
      </c>
      <c r="H361">
        <v>0</v>
      </c>
      <c r="I361">
        <v>0</v>
      </c>
      <c r="J361">
        <v>0</v>
      </c>
      <c r="K361">
        <v>0</v>
      </c>
    </row>
    <row r="362" spans="1:11" x14ac:dyDescent="0.2">
      <c r="A362" t="s">
        <v>2030</v>
      </c>
      <c r="B362">
        <v>0</v>
      </c>
      <c r="C362">
        <v>0</v>
      </c>
      <c r="D362">
        <v>0</v>
      </c>
      <c r="E362">
        <v>0</v>
      </c>
      <c r="F362">
        <v>0</v>
      </c>
      <c r="G362">
        <v>0</v>
      </c>
      <c r="H362">
        <v>0</v>
      </c>
      <c r="I362">
        <v>0</v>
      </c>
      <c r="J362">
        <v>0</v>
      </c>
      <c r="K362">
        <v>0</v>
      </c>
    </row>
    <row r="363" spans="1:11" x14ac:dyDescent="0.2">
      <c r="A363" t="s">
        <v>2035</v>
      </c>
      <c r="B363">
        <v>0</v>
      </c>
      <c r="C363">
        <v>0</v>
      </c>
      <c r="D363">
        <v>0</v>
      </c>
      <c r="E363">
        <v>0</v>
      </c>
      <c r="F363">
        <v>0</v>
      </c>
      <c r="G363">
        <v>0</v>
      </c>
      <c r="H363">
        <v>0</v>
      </c>
      <c r="I363">
        <v>0</v>
      </c>
      <c r="J363">
        <v>0</v>
      </c>
      <c r="K363">
        <v>0</v>
      </c>
    </row>
    <row r="364" spans="1:11" x14ac:dyDescent="0.2">
      <c r="A364" t="s">
        <v>2040</v>
      </c>
      <c r="B364">
        <v>0</v>
      </c>
      <c r="C364">
        <v>0</v>
      </c>
      <c r="D364">
        <v>0</v>
      </c>
      <c r="E364">
        <v>0</v>
      </c>
      <c r="F364">
        <v>0</v>
      </c>
      <c r="G364">
        <v>0</v>
      </c>
      <c r="H364">
        <v>0</v>
      </c>
      <c r="I364">
        <v>0</v>
      </c>
      <c r="J364">
        <v>0</v>
      </c>
      <c r="K364">
        <v>0</v>
      </c>
    </row>
    <row r="365" spans="1:11" x14ac:dyDescent="0.2">
      <c r="A365" t="s">
        <v>2045</v>
      </c>
      <c r="B365">
        <v>0</v>
      </c>
      <c r="C365">
        <v>0</v>
      </c>
      <c r="D365">
        <v>0</v>
      </c>
      <c r="E365">
        <v>0</v>
      </c>
      <c r="F365">
        <v>0</v>
      </c>
      <c r="G365">
        <v>0</v>
      </c>
      <c r="H365">
        <v>0</v>
      </c>
      <c r="I365">
        <v>0</v>
      </c>
      <c r="J365">
        <v>0</v>
      </c>
      <c r="K365">
        <v>0</v>
      </c>
    </row>
    <row r="366" spans="1:11" x14ac:dyDescent="0.2">
      <c r="A366" t="s">
        <v>2049</v>
      </c>
      <c r="B366">
        <v>191</v>
      </c>
      <c r="C366">
        <v>0</v>
      </c>
      <c r="D366">
        <v>38</v>
      </c>
      <c r="E366">
        <v>0</v>
      </c>
      <c r="F366">
        <v>0</v>
      </c>
      <c r="G366">
        <v>0</v>
      </c>
      <c r="H366">
        <v>11</v>
      </c>
      <c r="I366">
        <v>0</v>
      </c>
      <c r="J366">
        <v>0</v>
      </c>
      <c r="K366">
        <v>2</v>
      </c>
    </row>
    <row r="367" spans="1:11" x14ac:dyDescent="0.2">
      <c r="A367" t="s">
        <v>2051</v>
      </c>
      <c r="B367">
        <v>2</v>
      </c>
      <c r="C367">
        <v>0</v>
      </c>
      <c r="D367">
        <v>0</v>
      </c>
      <c r="E367">
        <v>0</v>
      </c>
      <c r="F367">
        <v>0</v>
      </c>
      <c r="G367">
        <v>0</v>
      </c>
      <c r="H367">
        <v>8</v>
      </c>
      <c r="I367">
        <v>0</v>
      </c>
      <c r="J367">
        <v>0</v>
      </c>
      <c r="K367">
        <v>1</v>
      </c>
    </row>
    <row r="368" spans="1:11" x14ac:dyDescent="0.2">
      <c r="A368" t="s">
        <v>2057</v>
      </c>
      <c r="B368">
        <v>4</v>
      </c>
      <c r="C368">
        <v>0</v>
      </c>
      <c r="D368">
        <v>1</v>
      </c>
      <c r="E368">
        <v>0</v>
      </c>
      <c r="F368">
        <v>0</v>
      </c>
      <c r="G368">
        <v>0</v>
      </c>
      <c r="H368">
        <v>14</v>
      </c>
      <c r="I368">
        <v>0</v>
      </c>
      <c r="J368">
        <v>0</v>
      </c>
      <c r="K368">
        <v>2</v>
      </c>
    </row>
    <row r="369" spans="1:11" x14ac:dyDescent="0.2">
      <c r="A369" t="s">
        <v>4344</v>
      </c>
      <c r="B369">
        <v>0</v>
      </c>
      <c r="C369">
        <v>0</v>
      </c>
      <c r="D369">
        <v>0</v>
      </c>
      <c r="E369">
        <v>0</v>
      </c>
      <c r="F369">
        <v>0</v>
      </c>
      <c r="G369">
        <v>0</v>
      </c>
      <c r="H369">
        <v>1</v>
      </c>
      <c r="I369">
        <v>0</v>
      </c>
      <c r="J369">
        <v>0</v>
      </c>
      <c r="K369">
        <v>0</v>
      </c>
    </row>
    <row r="370" spans="1:11" x14ac:dyDescent="0.2">
      <c r="A370" t="s">
        <v>4345</v>
      </c>
      <c r="B370">
        <v>3</v>
      </c>
      <c r="C370">
        <v>0</v>
      </c>
      <c r="D370">
        <v>1</v>
      </c>
      <c r="E370">
        <v>0</v>
      </c>
      <c r="F370">
        <v>0</v>
      </c>
      <c r="G370">
        <v>0</v>
      </c>
      <c r="H370">
        <v>11</v>
      </c>
      <c r="I370">
        <v>0</v>
      </c>
      <c r="J370">
        <v>0</v>
      </c>
      <c r="K370">
        <v>2</v>
      </c>
    </row>
    <row r="371" spans="1:11" x14ac:dyDescent="0.2">
      <c r="A371" t="s">
        <v>2074</v>
      </c>
      <c r="B371">
        <v>0</v>
      </c>
      <c r="C371">
        <v>0</v>
      </c>
      <c r="D371">
        <v>0</v>
      </c>
      <c r="E371">
        <v>0</v>
      </c>
      <c r="F371">
        <v>0</v>
      </c>
      <c r="G371">
        <v>0</v>
      </c>
      <c r="H371">
        <v>0</v>
      </c>
      <c r="I371">
        <v>0</v>
      </c>
      <c r="J371">
        <v>0</v>
      </c>
      <c r="K371">
        <v>0</v>
      </c>
    </row>
    <row r="372" spans="1:11" x14ac:dyDescent="0.2">
      <c r="A372" t="s">
        <v>2079</v>
      </c>
      <c r="B372">
        <v>0</v>
      </c>
      <c r="C372">
        <v>0</v>
      </c>
      <c r="D372">
        <v>0</v>
      </c>
      <c r="E372">
        <v>0</v>
      </c>
      <c r="F372">
        <v>0</v>
      </c>
      <c r="G372">
        <v>0</v>
      </c>
      <c r="H372">
        <v>0</v>
      </c>
      <c r="I372">
        <v>0</v>
      </c>
      <c r="J372">
        <v>0</v>
      </c>
      <c r="K372">
        <v>0</v>
      </c>
    </row>
    <row r="373" spans="1:11" x14ac:dyDescent="0.2">
      <c r="A373" t="s">
        <v>2085</v>
      </c>
      <c r="B373">
        <v>0</v>
      </c>
      <c r="C373">
        <v>0</v>
      </c>
      <c r="D373">
        <v>0</v>
      </c>
      <c r="E373">
        <v>0</v>
      </c>
      <c r="F373">
        <v>0</v>
      </c>
      <c r="G373">
        <v>0</v>
      </c>
      <c r="H373">
        <v>0</v>
      </c>
      <c r="I373">
        <v>0</v>
      </c>
      <c r="J373">
        <v>0</v>
      </c>
      <c r="K373">
        <v>0</v>
      </c>
    </row>
    <row r="374" spans="1:11" x14ac:dyDescent="0.2">
      <c r="A374" t="s">
        <v>2091</v>
      </c>
      <c r="B374">
        <v>0</v>
      </c>
      <c r="C374">
        <v>0</v>
      </c>
      <c r="D374">
        <v>0</v>
      </c>
      <c r="E374">
        <v>0</v>
      </c>
      <c r="F374">
        <v>0</v>
      </c>
      <c r="G374">
        <v>0</v>
      </c>
      <c r="H374">
        <v>0</v>
      </c>
      <c r="I374">
        <v>0</v>
      </c>
      <c r="J374">
        <v>0</v>
      </c>
      <c r="K374">
        <v>0</v>
      </c>
    </row>
    <row r="375" spans="1:11" x14ac:dyDescent="0.2">
      <c r="A375" t="s">
        <v>2097</v>
      </c>
      <c r="B375">
        <v>0</v>
      </c>
      <c r="C375">
        <v>0</v>
      </c>
      <c r="D375">
        <v>0</v>
      </c>
      <c r="E375">
        <v>0</v>
      </c>
      <c r="F375">
        <v>0</v>
      </c>
      <c r="G375">
        <v>0</v>
      </c>
      <c r="H375">
        <v>0</v>
      </c>
      <c r="I375">
        <v>0</v>
      </c>
      <c r="J375">
        <v>0</v>
      </c>
      <c r="K375">
        <v>0</v>
      </c>
    </row>
    <row r="376" spans="1:11" x14ac:dyDescent="0.2">
      <c r="A376" t="s">
        <v>2101</v>
      </c>
      <c r="B376">
        <v>0</v>
      </c>
      <c r="C376">
        <v>0</v>
      </c>
      <c r="D376">
        <v>0</v>
      </c>
      <c r="E376">
        <v>0</v>
      </c>
      <c r="F376">
        <v>0</v>
      </c>
      <c r="G376">
        <v>0</v>
      </c>
      <c r="H376">
        <v>0</v>
      </c>
      <c r="I376">
        <v>0</v>
      </c>
      <c r="J376">
        <v>0</v>
      </c>
      <c r="K376">
        <v>0</v>
      </c>
    </row>
    <row r="377" spans="1:11" x14ac:dyDescent="0.2">
      <c r="A377" t="s">
        <v>2104</v>
      </c>
      <c r="B377">
        <v>0</v>
      </c>
      <c r="C377">
        <v>0</v>
      </c>
      <c r="D377">
        <v>0</v>
      </c>
      <c r="E377">
        <v>0</v>
      </c>
      <c r="F377">
        <v>0</v>
      </c>
      <c r="G377">
        <v>0</v>
      </c>
      <c r="H377">
        <v>0</v>
      </c>
      <c r="I377">
        <v>0</v>
      </c>
      <c r="J377">
        <v>0</v>
      </c>
      <c r="K377">
        <v>0</v>
      </c>
    </row>
    <row r="378" spans="1:11" x14ac:dyDescent="0.2">
      <c r="A378" t="s">
        <v>2107</v>
      </c>
      <c r="B378">
        <v>0</v>
      </c>
      <c r="C378">
        <v>0</v>
      </c>
      <c r="D378">
        <v>0</v>
      </c>
      <c r="E378">
        <v>0</v>
      </c>
      <c r="F378">
        <v>0</v>
      </c>
      <c r="G378">
        <v>0</v>
      </c>
      <c r="H378">
        <v>0</v>
      </c>
      <c r="I378">
        <v>0</v>
      </c>
      <c r="J378">
        <v>0</v>
      </c>
      <c r="K378">
        <v>0</v>
      </c>
    </row>
    <row r="379" spans="1:11" x14ac:dyDescent="0.2">
      <c r="A379" t="s">
        <v>2110</v>
      </c>
      <c r="B379">
        <v>0</v>
      </c>
      <c r="C379">
        <v>0</v>
      </c>
      <c r="D379">
        <v>0</v>
      </c>
      <c r="E379">
        <v>0</v>
      </c>
      <c r="F379">
        <v>0</v>
      </c>
      <c r="G379">
        <v>0</v>
      </c>
      <c r="H379">
        <v>0</v>
      </c>
      <c r="I379">
        <v>0</v>
      </c>
      <c r="J379">
        <v>0</v>
      </c>
      <c r="K379">
        <v>0</v>
      </c>
    </row>
    <row r="380" spans="1:11" x14ac:dyDescent="0.2">
      <c r="A380" t="s">
        <v>2113</v>
      </c>
      <c r="B380">
        <v>0</v>
      </c>
      <c r="C380">
        <v>0</v>
      </c>
      <c r="D380">
        <v>0</v>
      </c>
      <c r="E380">
        <v>0</v>
      </c>
      <c r="F380">
        <v>0</v>
      </c>
      <c r="G380">
        <v>0</v>
      </c>
      <c r="H380">
        <v>0</v>
      </c>
      <c r="I380">
        <v>0</v>
      </c>
      <c r="J380">
        <v>0</v>
      </c>
      <c r="K380">
        <v>0</v>
      </c>
    </row>
    <row r="381" spans="1:11" x14ac:dyDescent="0.2">
      <c r="A381" t="s">
        <v>4346</v>
      </c>
      <c r="B381">
        <v>0</v>
      </c>
      <c r="C381">
        <v>0</v>
      </c>
      <c r="D381">
        <v>0</v>
      </c>
      <c r="E381">
        <v>0</v>
      </c>
      <c r="F381">
        <v>0</v>
      </c>
      <c r="G381">
        <v>0</v>
      </c>
      <c r="H381">
        <v>0</v>
      </c>
      <c r="I381">
        <v>0</v>
      </c>
      <c r="J381">
        <v>0</v>
      </c>
      <c r="K381">
        <v>0</v>
      </c>
    </row>
    <row r="382" spans="1:11" x14ac:dyDescent="0.2">
      <c r="A382" t="s">
        <v>4347</v>
      </c>
      <c r="B382">
        <v>0</v>
      </c>
      <c r="C382">
        <v>0</v>
      </c>
      <c r="D382">
        <v>0</v>
      </c>
      <c r="E382">
        <v>0</v>
      </c>
      <c r="F382">
        <v>0</v>
      </c>
      <c r="G382">
        <v>0</v>
      </c>
      <c r="H382">
        <v>0</v>
      </c>
      <c r="I382">
        <v>0</v>
      </c>
      <c r="J382">
        <v>0</v>
      </c>
      <c r="K382">
        <v>0</v>
      </c>
    </row>
    <row r="383" spans="1:11" x14ac:dyDescent="0.2">
      <c r="A383" t="s">
        <v>4348</v>
      </c>
      <c r="B383">
        <v>0</v>
      </c>
      <c r="C383">
        <v>0</v>
      </c>
      <c r="D383">
        <v>0</v>
      </c>
      <c r="E383">
        <v>0</v>
      </c>
      <c r="F383">
        <v>0</v>
      </c>
      <c r="G383">
        <v>0</v>
      </c>
      <c r="H383">
        <v>0</v>
      </c>
      <c r="I383">
        <v>0</v>
      </c>
      <c r="J383">
        <v>0</v>
      </c>
      <c r="K383">
        <v>0</v>
      </c>
    </row>
    <row r="384" spans="1:11" x14ac:dyDescent="0.2">
      <c r="A384" t="s">
        <v>4349</v>
      </c>
      <c r="B384">
        <v>0</v>
      </c>
      <c r="C384">
        <v>0</v>
      </c>
      <c r="D384">
        <v>0</v>
      </c>
      <c r="E384">
        <v>0</v>
      </c>
      <c r="F384">
        <v>0</v>
      </c>
      <c r="G384">
        <v>0</v>
      </c>
      <c r="H384">
        <v>0</v>
      </c>
      <c r="I384">
        <v>0</v>
      </c>
      <c r="J384">
        <v>0</v>
      </c>
      <c r="K384">
        <v>0</v>
      </c>
    </row>
    <row r="385" spans="1:11" x14ac:dyDescent="0.2">
      <c r="A385" t="s">
        <v>4350</v>
      </c>
      <c r="B385">
        <v>4</v>
      </c>
      <c r="C385">
        <v>0</v>
      </c>
      <c r="D385">
        <v>1</v>
      </c>
      <c r="E385">
        <v>0</v>
      </c>
      <c r="F385">
        <v>0</v>
      </c>
      <c r="G385">
        <v>0</v>
      </c>
      <c r="H385">
        <v>9</v>
      </c>
      <c r="I385">
        <v>0</v>
      </c>
      <c r="J385">
        <v>0</v>
      </c>
      <c r="K385">
        <v>2</v>
      </c>
    </row>
    <row r="386" spans="1:11" x14ac:dyDescent="0.2">
      <c r="A386" t="s">
        <v>4351</v>
      </c>
      <c r="B386">
        <v>0</v>
      </c>
      <c r="C386">
        <v>0</v>
      </c>
      <c r="D386">
        <v>0</v>
      </c>
      <c r="E386">
        <v>0</v>
      </c>
      <c r="F386">
        <v>0</v>
      </c>
      <c r="G386">
        <v>0</v>
      </c>
      <c r="H386">
        <v>0</v>
      </c>
      <c r="I386">
        <v>0</v>
      </c>
      <c r="J386">
        <v>0</v>
      </c>
      <c r="K386">
        <v>0</v>
      </c>
    </row>
    <row r="387" spans="1:11" x14ac:dyDescent="0.2">
      <c r="A387" t="s">
        <v>4352</v>
      </c>
      <c r="B387">
        <v>0</v>
      </c>
      <c r="C387">
        <v>0</v>
      </c>
      <c r="D387">
        <v>0</v>
      </c>
      <c r="E387">
        <v>0</v>
      </c>
      <c r="F387">
        <v>0</v>
      </c>
      <c r="G387">
        <v>0</v>
      </c>
      <c r="H387">
        <v>0</v>
      </c>
      <c r="I387">
        <v>0</v>
      </c>
      <c r="J387">
        <v>0</v>
      </c>
      <c r="K387">
        <v>0</v>
      </c>
    </row>
    <row r="388" spans="1:11" x14ac:dyDescent="0.2">
      <c r="A388" t="s">
        <v>4353</v>
      </c>
      <c r="B388">
        <v>37</v>
      </c>
      <c r="C388">
        <v>0</v>
      </c>
      <c r="D388">
        <v>7</v>
      </c>
      <c r="E388">
        <v>0</v>
      </c>
      <c r="F388">
        <v>0</v>
      </c>
      <c r="G388">
        <v>0</v>
      </c>
      <c r="H388">
        <v>181</v>
      </c>
      <c r="I388">
        <v>0</v>
      </c>
      <c r="J388">
        <v>4</v>
      </c>
      <c r="K388">
        <v>39</v>
      </c>
    </row>
    <row r="389" spans="1:11" x14ac:dyDescent="0.2">
      <c r="A389" t="s">
        <v>4354</v>
      </c>
      <c r="B389">
        <v>35</v>
      </c>
      <c r="C389">
        <v>0</v>
      </c>
      <c r="D389">
        <v>7</v>
      </c>
      <c r="E389">
        <v>0</v>
      </c>
      <c r="F389">
        <v>0</v>
      </c>
      <c r="G389">
        <v>0</v>
      </c>
      <c r="H389">
        <v>180</v>
      </c>
      <c r="I389">
        <v>0</v>
      </c>
      <c r="J389">
        <v>4</v>
      </c>
      <c r="K389">
        <v>39</v>
      </c>
    </row>
    <row r="390" spans="1:11" x14ac:dyDescent="0.2">
      <c r="A390" t="s">
        <v>4355</v>
      </c>
      <c r="B390">
        <v>0</v>
      </c>
      <c r="C390">
        <v>0</v>
      </c>
      <c r="D390">
        <v>0</v>
      </c>
      <c r="E390">
        <v>0</v>
      </c>
      <c r="F390">
        <v>0</v>
      </c>
      <c r="G390">
        <v>0</v>
      </c>
      <c r="H390">
        <v>0</v>
      </c>
      <c r="I390">
        <v>0</v>
      </c>
      <c r="J390">
        <v>0</v>
      </c>
      <c r="K390">
        <v>0</v>
      </c>
    </row>
    <row r="391" spans="1:11" x14ac:dyDescent="0.2">
      <c r="A391" t="s">
        <v>4356</v>
      </c>
      <c r="B391">
        <v>0</v>
      </c>
      <c r="C391">
        <v>0</v>
      </c>
      <c r="D391">
        <v>0</v>
      </c>
      <c r="E391">
        <v>0</v>
      </c>
      <c r="F391">
        <v>0</v>
      </c>
      <c r="G391">
        <v>0</v>
      </c>
      <c r="H391">
        <v>0</v>
      </c>
      <c r="I391">
        <v>0</v>
      </c>
      <c r="J391">
        <v>0</v>
      </c>
      <c r="K391">
        <v>0</v>
      </c>
    </row>
    <row r="392" spans="1:11" x14ac:dyDescent="0.2">
      <c r="A392" t="s">
        <v>4357</v>
      </c>
      <c r="B392">
        <v>0</v>
      </c>
      <c r="C392">
        <v>0</v>
      </c>
      <c r="D392">
        <v>0</v>
      </c>
      <c r="E392">
        <v>0</v>
      </c>
      <c r="F392">
        <v>0</v>
      </c>
      <c r="G392">
        <v>0</v>
      </c>
      <c r="H392">
        <v>7</v>
      </c>
      <c r="I392">
        <v>0</v>
      </c>
      <c r="J392">
        <v>0</v>
      </c>
      <c r="K392">
        <v>1</v>
      </c>
    </row>
    <row r="393" spans="1:11" x14ac:dyDescent="0.2">
      <c r="A393" t="s">
        <v>4358</v>
      </c>
      <c r="B393">
        <v>0</v>
      </c>
      <c r="C393">
        <v>0</v>
      </c>
      <c r="D393">
        <v>0</v>
      </c>
      <c r="E393">
        <v>0</v>
      </c>
      <c r="F393">
        <v>0</v>
      </c>
      <c r="G393">
        <v>0</v>
      </c>
      <c r="H393">
        <v>1</v>
      </c>
      <c r="I393">
        <v>0</v>
      </c>
      <c r="J393">
        <v>0</v>
      </c>
      <c r="K393">
        <v>0</v>
      </c>
    </row>
    <row r="394" spans="1:11" x14ac:dyDescent="0.2">
      <c r="A394" t="s">
        <v>4359</v>
      </c>
      <c r="B394">
        <v>0</v>
      </c>
      <c r="C394">
        <v>0</v>
      </c>
      <c r="D394">
        <v>0</v>
      </c>
      <c r="E394">
        <v>0</v>
      </c>
      <c r="F394">
        <v>0</v>
      </c>
      <c r="G394">
        <v>0</v>
      </c>
      <c r="H394">
        <v>0</v>
      </c>
      <c r="I394">
        <v>0</v>
      </c>
      <c r="J394">
        <v>0</v>
      </c>
      <c r="K394">
        <v>0</v>
      </c>
    </row>
    <row r="395" spans="1:11" x14ac:dyDescent="0.2">
      <c r="A395" t="s">
        <v>4360</v>
      </c>
      <c r="B395">
        <v>4</v>
      </c>
      <c r="C395">
        <v>0</v>
      </c>
      <c r="D395">
        <v>1</v>
      </c>
      <c r="E395">
        <v>0</v>
      </c>
      <c r="F395">
        <v>0</v>
      </c>
      <c r="G395">
        <v>0</v>
      </c>
      <c r="H395">
        <v>21</v>
      </c>
      <c r="I395">
        <v>0</v>
      </c>
      <c r="J395">
        <v>0</v>
      </c>
      <c r="K395">
        <v>4</v>
      </c>
    </row>
    <row r="396" spans="1:11" x14ac:dyDescent="0.2">
      <c r="A396" t="s">
        <v>4361</v>
      </c>
      <c r="B396">
        <v>32</v>
      </c>
      <c r="C396">
        <v>0</v>
      </c>
      <c r="D396">
        <v>6</v>
      </c>
      <c r="E396">
        <v>0</v>
      </c>
      <c r="F396">
        <v>0</v>
      </c>
      <c r="G396">
        <v>0</v>
      </c>
      <c r="H396">
        <v>44</v>
      </c>
      <c r="I396">
        <v>0</v>
      </c>
      <c r="J396">
        <v>1</v>
      </c>
      <c r="K396">
        <v>9</v>
      </c>
    </row>
    <row r="397" spans="1:11" x14ac:dyDescent="0.2">
      <c r="A397" t="s">
        <v>4362</v>
      </c>
      <c r="B397">
        <v>3</v>
      </c>
      <c r="C397">
        <v>0</v>
      </c>
      <c r="D397">
        <v>1</v>
      </c>
      <c r="E397">
        <v>0</v>
      </c>
      <c r="F397">
        <v>0</v>
      </c>
      <c r="G397">
        <v>0</v>
      </c>
      <c r="H397">
        <v>0</v>
      </c>
      <c r="I397">
        <v>0</v>
      </c>
      <c r="J397">
        <v>0</v>
      </c>
      <c r="K397">
        <v>0</v>
      </c>
    </row>
    <row r="398" spans="1:11" x14ac:dyDescent="0.2">
      <c r="A398" t="s">
        <v>4363</v>
      </c>
      <c r="B398">
        <v>0</v>
      </c>
      <c r="C398">
        <v>0</v>
      </c>
      <c r="D398">
        <v>0</v>
      </c>
      <c r="E398">
        <v>0</v>
      </c>
      <c r="F398">
        <v>0</v>
      </c>
      <c r="G398">
        <v>0</v>
      </c>
      <c r="H398">
        <v>0</v>
      </c>
      <c r="I398">
        <v>0</v>
      </c>
      <c r="J398">
        <v>0</v>
      </c>
      <c r="K398">
        <v>0</v>
      </c>
    </row>
    <row r="399" spans="1:11" x14ac:dyDescent="0.2">
      <c r="A399" t="s">
        <v>4364</v>
      </c>
      <c r="B399">
        <v>0</v>
      </c>
      <c r="C399">
        <v>0</v>
      </c>
      <c r="D399">
        <v>0</v>
      </c>
      <c r="E399">
        <v>0</v>
      </c>
      <c r="F399">
        <v>0</v>
      </c>
      <c r="G399">
        <v>0</v>
      </c>
      <c r="H399">
        <v>0</v>
      </c>
      <c r="I399">
        <v>0</v>
      </c>
      <c r="J399">
        <v>0</v>
      </c>
      <c r="K399">
        <v>0</v>
      </c>
    </row>
    <row r="400" spans="1:11" x14ac:dyDescent="0.2">
      <c r="A400" t="s">
        <v>4365</v>
      </c>
      <c r="B400">
        <v>14</v>
      </c>
      <c r="C400">
        <v>0</v>
      </c>
      <c r="D400">
        <v>3</v>
      </c>
      <c r="E400">
        <v>0</v>
      </c>
      <c r="F400">
        <v>0</v>
      </c>
      <c r="G400">
        <v>0</v>
      </c>
      <c r="H400">
        <v>20</v>
      </c>
      <c r="I400">
        <v>0</v>
      </c>
      <c r="J400">
        <v>0</v>
      </c>
      <c r="K400">
        <v>36</v>
      </c>
    </row>
    <row r="401" spans="1:11" x14ac:dyDescent="0.2">
      <c r="A401" t="s">
        <v>4366</v>
      </c>
      <c r="B401">
        <v>0</v>
      </c>
      <c r="C401">
        <v>0</v>
      </c>
      <c r="D401">
        <v>0</v>
      </c>
      <c r="E401">
        <v>0</v>
      </c>
      <c r="F401">
        <v>0</v>
      </c>
      <c r="G401">
        <v>0</v>
      </c>
      <c r="H401">
        <v>0</v>
      </c>
      <c r="I401">
        <v>0</v>
      </c>
      <c r="J401">
        <v>0</v>
      </c>
      <c r="K401">
        <v>0</v>
      </c>
    </row>
    <row r="402" spans="1:11" x14ac:dyDescent="0.2">
      <c r="A402" t="s">
        <v>4367</v>
      </c>
      <c r="B402">
        <v>0</v>
      </c>
      <c r="C402">
        <v>0</v>
      </c>
      <c r="D402">
        <v>0</v>
      </c>
      <c r="E402">
        <v>0</v>
      </c>
      <c r="F402">
        <v>0</v>
      </c>
      <c r="G402">
        <v>0</v>
      </c>
      <c r="H402">
        <v>0</v>
      </c>
      <c r="I402">
        <v>0</v>
      </c>
      <c r="J402">
        <v>0</v>
      </c>
      <c r="K402">
        <v>0</v>
      </c>
    </row>
    <row r="403" spans="1:11" x14ac:dyDescent="0.2">
      <c r="A403" t="s">
        <v>4368</v>
      </c>
      <c r="B403">
        <v>67</v>
      </c>
      <c r="C403">
        <v>0</v>
      </c>
      <c r="D403">
        <v>13</v>
      </c>
      <c r="E403">
        <v>0</v>
      </c>
      <c r="F403">
        <v>0</v>
      </c>
      <c r="G403">
        <v>0</v>
      </c>
      <c r="H403">
        <v>309</v>
      </c>
      <c r="I403">
        <v>0</v>
      </c>
      <c r="J403">
        <v>7</v>
      </c>
      <c r="K403">
        <v>531</v>
      </c>
    </row>
    <row r="404" spans="1:11" x14ac:dyDescent="0.2">
      <c r="A404" t="s">
        <v>4369</v>
      </c>
      <c r="B404">
        <v>95</v>
      </c>
      <c r="C404">
        <v>0</v>
      </c>
      <c r="D404">
        <v>19</v>
      </c>
      <c r="E404">
        <v>0</v>
      </c>
      <c r="F404">
        <v>0</v>
      </c>
      <c r="G404">
        <v>0</v>
      </c>
      <c r="H404">
        <v>475</v>
      </c>
      <c r="I404">
        <v>0</v>
      </c>
      <c r="J404">
        <v>10</v>
      </c>
      <c r="K404">
        <v>270</v>
      </c>
    </row>
    <row r="405" spans="1:11" x14ac:dyDescent="0.2">
      <c r="A405" t="s">
        <v>4370</v>
      </c>
      <c r="B405">
        <v>51</v>
      </c>
      <c r="C405">
        <v>0</v>
      </c>
      <c r="D405">
        <v>10</v>
      </c>
      <c r="E405">
        <v>0</v>
      </c>
      <c r="F405">
        <v>0</v>
      </c>
      <c r="G405">
        <v>0</v>
      </c>
      <c r="H405">
        <v>69</v>
      </c>
      <c r="I405">
        <v>0</v>
      </c>
      <c r="J405">
        <v>1</v>
      </c>
      <c r="K405">
        <v>126</v>
      </c>
    </row>
    <row r="406" spans="1:11" x14ac:dyDescent="0.2">
      <c r="A406" t="s">
        <v>4371</v>
      </c>
      <c r="B406">
        <v>18</v>
      </c>
      <c r="C406">
        <v>0</v>
      </c>
      <c r="D406">
        <v>4</v>
      </c>
      <c r="E406">
        <v>0</v>
      </c>
      <c r="F406">
        <v>0</v>
      </c>
      <c r="G406">
        <v>0</v>
      </c>
      <c r="H406">
        <v>33</v>
      </c>
      <c r="I406">
        <v>0</v>
      </c>
      <c r="J406">
        <v>1</v>
      </c>
      <c r="K406">
        <v>59</v>
      </c>
    </row>
    <row r="407" spans="1:11" x14ac:dyDescent="0.2">
      <c r="A407" t="s">
        <v>4372</v>
      </c>
      <c r="B407">
        <v>0</v>
      </c>
      <c r="C407">
        <v>0</v>
      </c>
      <c r="D407">
        <v>0</v>
      </c>
      <c r="E407">
        <v>0</v>
      </c>
      <c r="F407">
        <v>0</v>
      </c>
      <c r="G407">
        <v>0</v>
      </c>
      <c r="H407">
        <v>0</v>
      </c>
      <c r="I407">
        <v>0</v>
      </c>
      <c r="J407">
        <v>0</v>
      </c>
      <c r="K407">
        <v>0</v>
      </c>
    </row>
    <row r="408" spans="1:11" x14ac:dyDescent="0.2">
      <c r="A408" t="s">
        <v>4373</v>
      </c>
      <c r="B408">
        <v>1</v>
      </c>
      <c r="C408">
        <v>0</v>
      </c>
      <c r="D408">
        <v>0</v>
      </c>
      <c r="E408">
        <v>0</v>
      </c>
      <c r="F408">
        <v>0</v>
      </c>
      <c r="G408">
        <v>0</v>
      </c>
      <c r="H408">
        <v>2</v>
      </c>
      <c r="I408">
        <v>0</v>
      </c>
      <c r="J408">
        <v>0</v>
      </c>
      <c r="K408">
        <v>0</v>
      </c>
    </row>
    <row r="409" spans="1:11" x14ac:dyDescent="0.2">
      <c r="A409" t="s">
        <v>4374</v>
      </c>
      <c r="B409">
        <v>0</v>
      </c>
      <c r="C409">
        <v>0</v>
      </c>
      <c r="D409">
        <v>0</v>
      </c>
      <c r="E409">
        <v>0</v>
      </c>
      <c r="F409">
        <v>0</v>
      </c>
      <c r="G409">
        <v>0</v>
      </c>
      <c r="H409">
        <v>0</v>
      </c>
      <c r="I409">
        <v>0</v>
      </c>
      <c r="J409">
        <v>0</v>
      </c>
      <c r="K409">
        <v>0</v>
      </c>
    </row>
    <row r="410" spans="1:11" x14ac:dyDescent="0.2">
      <c r="A410" t="s">
        <v>4375</v>
      </c>
      <c r="B410">
        <v>2</v>
      </c>
      <c r="C410">
        <v>0</v>
      </c>
      <c r="D410">
        <v>0</v>
      </c>
      <c r="E410">
        <v>0</v>
      </c>
      <c r="F410">
        <v>0</v>
      </c>
      <c r="G410">
        <v>0</v>
      </c>
      <c r="H410">
        <v>0</v>
      </c>
      <c r="I410">
        <v>0</v>
      </c>
      <c r="J410">
        <v>0</v>
      </c>
      <c r="K410">
        <v>0</v>
      </c>
    </row>
    <row r="411" spans="1:11" x14ac:dyDescent="0.2">
      <c r="A411" t="s">
        <v>4376</v>
      </c>
      <c r="B411">
        <v>0</v>
      </c>
      <c r="C411">
        <v>0</v>
      </c>
      <c r="D411">
        <v>0</v>
      </c>
      <c r="E411">
        <v>0</v>
      </c>
      <c r="F411">
        <v>0</v>
      </c>
      <c r="G411">
        <v>0</v>
      </c>
      <c r="H411">
        <v>0</v>
      </c>
      <c r="I411">
        <v>0</v>
      </c>
      <c r="J411">
        <v>0</v>
      </c>
      <c r="K411">
        <v>0</v>
      </c>
    </row>
    <row r="412" spans="1:11" x14ac:dyDescent="0.2">
      <c r="A412" t="s">
        <v>4377</v>
      </c>
      <c r="B412">
        <v>0</v>
      </c>
      <c r="C412">
        <v>0</v>
      </c>
      <c r="D412">
        <v>0</v>
      </c>
      <c r="E412">
        <v>0</v>
      </c>
      <c r="F412">
        <v>0</v>
      </c>
      <c r="G412">
        <v>0</v>
      </c>
      <c r="H412">
        <v>0</v>
      </c>
      <c r="I412">
        <v>0</v>
      </c>
      <c r="J412">
        <v>0</v>
      </c>
      <c r="K412">
        <v>0</v>
      </c>
    </row>
    <row r="413" spans="1:11" x14ac:dyDescent="0.2">
      <c r="A413" t="s">
        <v>4854</v>
      </c>
      <c r="B413">
        <v>6231</v>
      </c>
      <c r="C413">
        <v>0</v>
      </c>
      <c r="D413">
        <v>424</v>
      </c>
      <c r="E413">
        <v>0</v>
      </c>
      <c r="F413">
        <v>0</v>
      </c>
      <c r="G413">
        <v>0</v>
      </c>
      <c r="H413">
        <v>30589</v>
      </c>
      <c r="I413">
        <v>0</v>
      </c>
      <c r="J413">
        <v>601</v>
      </c>
      <c r="K413">
        <v>8333</v>
      </c>
    </row>
    <row r="414" spans="1:11" x14ac:dyDescent="0.2">
      <c r="A414" t="s">
        <v>2318</v>
      </c>
      <c r="B414" t="s">
        <v>4399</v>
      </c>
      <c r="C414" t="s">
        <v>4399</v>
      </c>
      <c r="D414" t="s">
        <v>4399</v>
      </c>
      <c r="E414" t="s">
        <v>4399</v>
      </c>
      <c r="F414" t="s">
        <v>4399</v>
      </c>
      <c r="G414" t="s">
        <v>4399</v>
      </c>
      <c r="H414" t="s">
        <v>4399</v>
      </c>
      <c r="I414" t="s">
        <v>4399</v>
      </c>
      <c r="J414" t="s">
        <v>4399</v>
      </c>
      <c r="K414" t="s">
        <v>4399</v>
      </c>
    </row>
    <row r="415" spans="1:11" x14ac:dyDescent="0.2">
      <c r="A415" t="s">
        <v>4248</v>
      </c>
    </row>
    <row r="416" spans="1:11" x14ac:dyDescent="0.2">
      <c r="A416" t="s">
        <v>4855</v>
      </c>
      <c r="B416" t="s">
        <v>4856</v>
      </c>
      <c r="C416" t="s">
        <v>4857</v>
      </c>
      <c r="D416" t="s">
        <v>4858</v>
      </c>
      <c r="E416" t="s">
        <v>4859</v>
      </c>
      <c r="F416" t="s">
        <v>4860</v>
      </c>
      <c r="G416" t="s">
        <v>4862</v>
      </c>
    </row>
    <row r="417" spans="1:11" x14ac:dyDescent="0.2">
      <c r="A417" t="s">
        <v>2318</v>
      </c>
      <c r="B417" t="s">
        <v>4399</v>
      </c>
      <c r="C417" t="s">
        <v>4399</v>
      </c>
      <c r="D417" t="s">
        <v>4399</v>
      </c>
      <c r="E417" t="s">
        <v>4399</v>
      </c>
      <c r="F417" t="s">
        <v>4399</v>
      </c>
      <c r="G417" t="s">
        <v>4399</v>
      </c>
      <c r="H417" t="s">
        <v>4399</v>
      </c>
      <c r="I417" t="s">
        <v>4399</v>
      </c>
      <c r="J417" t="s">
        <v>4399</v>
      </c>
      <c r="K417" t="s">
        <v>4399</v>
      </c>
    </row>
    <row r="418" spans="1:11" x14ac:dyDescent="0.2">
      <c r="A418" t="s">
        <v>126</v>
      </c>
      <c r="B418" t="s">
        <v>4462</v>
      </c>
      <c r="C418" t="s">
        <v>4466</v>
      </c>
      <c r="D418" t="s">
        <v>4470</v>
      </c>
      <c r="E418" t="s">
        <v>4474</v>
      </c>
      <c r="F418" t="s">
        <v>4478</v>
      </c>
      <c r="G418" t="s">
        <v>4482</v>
      </c>
      <c r="H418" t="s">
        <v>4486</v>
      </c>
      <c r="I418" t="s">
        <v>4490</v>
      </c>
      <c r="J418" t="s">
        <v>4494</v>
      </c>
      <c r="K418" t="s">
        <v>4498</v>
      </c>
    </row>
    <row r="419" spans="1:11" x14ac:dyDescent="0.2">
      <c r="A419" t="s">
        <v>2318</v>
      </c>
      <c r="B419" t="s">
        <v>4399</v>
      </c>
      <c r="C419" t="s">
        <v>4399</v>
      </c>
      <c r="D419" t="s">
        <v>4399</v>
      </c>
      <c r="E419" t="s">
        <v>4399</v>
      </c>
      <c r="F419" t="s">
        <v>4399</v>
      </c>
      <c r="G419" t="s">
        <v>4399</v>
      </c>
      <c r="H419" t="s">
        <v>4399</v>
      </c>
      <c r="I419" t="s">
        <v>4399</v>
      </c>
      <c r="J419" t="s">
        <v>4399</v>
      </c>
      <c r="K419" t="s">
        <v>4399</v>
      </c>
    </row>
    <row r="420" spans="1:11" x14ac:dyDescent="0.2">
      <c r="A420" t="s">
        <v>4265</v>
      </c>
      <c r="B420">
        <v>0</v>
      </c>
      <c r="C420">
        <v>0</v>
      </c>
      <c r="D420">
        <v>0</v>
      </c>
      <c r="E420">
        <v>0</v>
      </c>
      <c r="F420">
        <v>0</v>
      </c>
      <c r="G420">
        <v>0</v>
      </c>
      <c r="H420">
        <v>0</v>
      </c>
      <c r="I420">
        <v>0</v>
      </c>
      <c r="J420">
        <v>0</v>
      </c>
      <c r="K420">
        <v>0</v>
      </c>
    </row>
    <row r="421" spans="1:11" x14ac:dyDescent="0.2">
      <c r="A421" t="s">
        <v>4266</v>
      </c>
      <c r="B421">
        <v>0</v>
      </c>
      <c r="C421">
        <v>0</v>
      </c>
      <c r="D421">
        <v>0</v>
      </c>
      <c r="E421">
        <v>0</v>
      </c>
      <c r="F421">
        <v>0</v>
      </c>
      <c r="G421">
        <v>0</v>
      </c>
      <c r="H421">
        <v>0</v>
      </c>
      <c r="I421">
        <v>0</v>
      </c>
      <c r="J421">
        <v>0</v>
      </c>
      <c r="K421">
        <v>0</v>
      </c>
    </row>
    <row r="422" spans="1:11" x14ac:dyDescent="0.2">
      <c r="A422" t="s">
        <v>4267</v>
      </c>
      <c r="B422">
        <v>0</v>
      </c>
      <c r="C422">
        <v>0</v>
      </c>
      <c r="D422">
        <v>0</v>
      </c>
      <c r="E422">
        <v>0</v>
      </c>
      <c r="F422">
        <v>0</v>
      </c>
      <c r="G422">
        <v>0</v>
      </c>
      <c r="H422">
        <v>0</v>
      </c>
      <c r="I422">
        <v>0</v>
      </c>
      <c r="J422">
        <v>0</v>
      </c>
      <c r="K422">
        <v>0</v>
      </c>
    </row>
    <row r="423" spans="1:11" x14ac:dyDescent="0.2">
      <c r="A423" t="s">
        <v>4268</v>
      </c>
      <c r="B423">
        <v>0</v>
      </c>
      <c r="C423">
        <v>0</v>
      </c>
      <c r="D423">
        <v>0</v>
      </c>
      <c r="E423">
        <v>0</v>
      </c>
      <c r="F423">
        <v>0</v>
      </c>
      <c r="G423">
        <v>0</v>
      </c>
      <c r="H423">
        <v>0</v>
      </c>
      <c r="I423">
        <v>0</v>
      </c>
      <c r="J423">
        <v>0</v>
      </c>
      <c r="K423">
        <v>0</v>
      </c>
    </row>
    <row r="424" spans="1:11" x14ac:dyDescent="0.2">
      <c r="A424" t="s">
        <v>4269</v>
      </c>
      <c r="B424">
        <v>0</v>
      </c>
      <c r="C424">
        <v>0</v>
      </c>
      <c r="D424">
        <v>0</v>
      </c>
      <c r="E424">
        <v>0</v>
      </c>
      <c r="F424">
        <v>0</v>
      </c>
      <c r="G424">
        <v>0</v>
      </c>
      <c r="H424">
        <v>0</v>
      </c>
      <c r="I424">
        <v>0</v>
      </c>
      <c r="J424">
        <v>0</v>
      </c>
      <c r="K424">
        <v>0</v>
      </c>
    </row>
    <row r="425" spans="1:11" x14ac:dyDescent="0.2">
      <c r="A425" t="s">
        <v>4270</v>
      </c>
      <c r="B425">
        <v>0</v>
      </c>
      <c r="C425">
        <v>0</v>
      </c>
      <c r="D425">
        <v>0</v>
      </c>
      <c r="E425">
        <v>0</v>
      </c>
      <c r="F425">
        <v>0</v>
      </c>
      <c r="G425">
        <v>0</v>
      </c>
      <c r="H425">
        <v>0</v>
      </c>
      <c r="I425">
        <v>0</v>
      </c>
      <c r="J425">
        <v>0</v>
      </c>
      <c r="K425">
        <v>0</v>
      </c>
    </row>
    <row r="426" spans="1:11" x14ac:dyDescent="0.2">
      <c r="A426" t="s">
        <v>4271</v>
      </c>
      <c r="B426">
        <v>0</v>
      </c>
      <c r="C426">
        <v>0</v>
      </c>
      <c r="D426">
        <v>0</v>
      </c>
      <c r="E426">
        <v>0</v>
      </c>
      <c r="F426">
        <v>0</v>
      </c>
      <c r="G426">
        <v>0</v>
      </c>
      <c r="H426">
        <v>0</v>
      </c>
      <c r="I426">
        <v>0</v>
      </c>
      <c r="J426">
        <v>0</v>
      </c>
      <c r="K426">
        <v>0</v>
      </c>
    </row>
    <row r="427" spans="1:11" x14ac:dyDescent="0.2">
      <c r="A427" t="s">
        <v>4272</v>
      </c>
      <c r="B427">
        <v>0</v>
      </c>
      <c r="C427">
        <v>0</v>
      </c>
      <c r="D427">
        <v>0</v>
      </c>
      <c r="E427">
        <v>0</v>
      </c>
      <c r="F427">
        <v>0</v>
      </c>
      <c r="G427">
        <v>0</v>
      </c>
      <c r="H427">
        <v>0</v>
      </c>
      <c r="I427">
        <v>0</v>
      </c>
      <c r="J427">
        <v>0</v>
      </c>
      <c r="K427">
        <v>0</v>
      </c>
    </row>
    <row r="428" spans="1:11" x14ac:dyDescent="0.2">
      <c r="A428" t="s">
        <v>4273</v>
      </c>
      <c r="B428">
        <v>0</v>
      </c>
      <c r="C428">
        <v>0</v>
      </c>
      <c r="D428">
        <v>0</v>
      </c>
      <c r="E428">
        <v>0</v>
      </c>
      <c r="F428">
        <v>0</v>
      </c>
      <c r="G428">
        <v>0</v>
      </c>
      <c r="H428">
        <v>0</v>
      </c>
      <c r="I428">
        <v>0</v>
      </c>
      <c r="J428">
        <v>0</v>
      </c>
      <c r="K428">
        <v>0</v>
      </c>
    </row>
    <row r="429" spans="1:11" x14ac:dyDescent="0.2">
      <c r="A429" t="s">
        <v>4274</v>
      </c>
      <c r="B429">
        <v>0</v>
      </c>
      <c r="C429">
        <v>0</v>
      </c>
      <c r="D429">
        <v>0</v>
      </c>
      <c r="E429">
        <v>0</v>
      </c>
      <c r="F429">
        <v>0</v>
      </c>
      <c r="G429">
        <v>0</v>
      </c>
      <c r="H429">
        <v>0</v>
      </c>
      <c r="I429">
        <v>0</v>
      </c>
      <c r="J429">
        <v>0</v>
      </c>
      <c r="K429">
        <v>0</v>
      </c>
    </row>
    <row r="430" spans="1:11" x14ac:dyDescent="0.2">
      <c r="A430" t="s">
        <v>4275</v>
      </c>
      <c r="B430">
        <v>0</v>
      </c>
      <c r="C430">
        <v>0</v>
      </c>
      <c r="D430">
        <v>0</v>
      </c>
      <c r="E430">
        <v>0</v>
      </c>
      <c r="F430">
        <v>0</v>
      </c>
      <c r="G430">
        <v>0</v>
      </c>
      <c r="H430">
        <v>0</v>
      </c>
      <c r="I430">
        <v>0</v>
      </c>
      <c r="J430">
        <v>0</v>
      </c>
      <c r="K430">
        <v>0</v>
      </c>
    </row>
    <row r="431" spans="1:11" x14ac:dyDescent="0.2">
      <c r="A431" t="s">
        <v>4276</v>
      </c>
      <c r="B431">
        <v>0</v>
      </c>
      <c r="C431">
        <v>0</v>
      </c>
      <c r="D431">
        <v>0</v>
      </c>
      <c r="E431">
        <v>0</v>
      </c>
      <c r="F431">
        <v>0</v>
      </c>
      <c r="G431">
        <v>0</v>
      </c>
      <c r="H431">
        <v>0</v>
      </c>
      <c r="I431">
        <v>0</v>
      </c>
      <c r="J431">
        <v>0</v>
      </c>
      <c r="K431">
        <v>0</v>
      </c>
    </row>
    <row r="432" spans="1:11" x14ac:dyDescent="0.2">
      <c r="A432" t="s">
        <v>4277</v>
      </c>
      <c r="B432">
        <v>0</v>
      </c>
      <c r="C432">
        <v>0</v>
      </c>
      <c r="D432">
        <v>0</v>
      </c>
      <c r="E432">
        <v>0</v>
      </c>
      <c r="F432">
        <v>0</v>
      </c>
      <c r="G432">
        <v>0</v>
      </c>
      <c r="H432">
        <v>0</v>
      </c>
      <c r="I432">
        <v>0</v>
      </c>
      <c r="J432">
        <v>0</v>
      </c>
      <c r="K432">
        <v>0</v>
      </c>
    </row>
    <row r="433" spans="1:11" x14ac:dyDescent="0.2">
      <c r="A433" t="s">
        <v>4278</v>
      </c>
      <c r="B433">
        <v>0</v>
      </c>
      <c r="C433">
        <v>0</v>
      </c>
      <c r="D433">
        <v>0</v>
      </c>
      <c r="E433">
        <v>0</v>
      </c>
      <c r="F433">
        <v>0</v>
      </c>
      <c r="G433">
        <v>0</v>
      </c>
      <c r="H433">
        <v>0</v>
      </c>
      <c r="I433">
        <v>0</v>
      </c>
      <c r="J433">
        <v>0</v>
      </c>
      <c r="K433">
        <v>0</v>
      </c>
    </row>
    <row r="434" spans="1:11" x14ac:dyDescent="0.2">
      <c r="A434" t="s">
        <v>4279</v>
      </c>
      <c r="B434">
        <v>0</v>
      </c>
      <c r="C434">
        <v>0</v>
      </c>
      <c r="D434">
        <v>0</v>
      </c>
      <c r="E434">
        <v>0</v>
      </c>
      <c r="F434">
        <v>0</v>
      </c>
      <c r="G434">
        <v>0</v>
      </c>
      <c r="H434">
        <v>0</v>
      </c>
      <c r="I434">
        <v>0</v>
      </c>
      <c r="J434">
        <v>0</v>
      </c>
      <c r="K434">
        <v>0</v>
      </c>
    </row>
    <row r="435" spans="1:11" x14ac:dyDescent="0.2">
      <c r="A435" t="s">
        <v>4280</v>
      </c>
      <c r="B435">
        <v>0</v>
      </c>
      <c r="C435">
        <v>0</v>
      </c>
      <c r="D435">
        <v>0</v>
      </c>
      <c r="E435">
        <v>0</v>
      </c>
      <c r="F435">
        <v>0</v>
      </c>
      <c r="G435">
        <v>0</v>
      </c>
      <c r="H435">
        <v>0</v>
      </c>
      <c r="I435">
        <v>0</v>
      </c>
      <c r="J435">
        <v>0</v>
      </c>
      <c r="K435">
        <v>0</v>
      </c>
    </row>
    <row r="436" spans="1:11" x14ac:dyDescent="0.2">
      <c r="A436" t="s">
        <v>4281</v>
      </c>
      <c r="B436">
        <v>0</v>
      </c>
      <c r="C436">
        <v>4</v>
      </c>
      <c r="D436">
        <v>1</v>
      </c>
      <c r="E436">
        <v>0</v>
      </c>
      <c r="F436">
        <v>0</v>
      </c>
      <c r="G436">
        <v>0</v>
      </c>
      <c r="H436">
        <v>0</v>
      </c>
      <c r="I436">
        <v>0</v>
      </c>
      <c r="J436">
        <v>11</v>
      </c>
      <c r="K436">
        <v>0</v>
      </c>
    </row>
    <row r="437" spans="1:11" x14ac:dyDescent="0.2">
      <c r="A437" t="s">
        <v>4282</v>
      </c>
      <c r="B437">
        <v>0</v>
      </c>
      <c r="C437">
        <v>1</v>
      </c>
      <c r="D437">
        <v>1</v>
      </c>
      <c r="E437">
        <v>0</v>
      </c>
      <c r="F437">
        <v>0</v>
      </c>
      <c r="G437">
        <v>0</v>
      </c>
      <c r="H437">
        <v>0</v>
      </c>
      <c r="I437">
        <v>0</v>
      </c>
      <c r="J437">
        <v>6</v>
      </c>
      <c r="K437">
        <v>0</v>
      </c>
    </row>
    <row r="438" spans="1:11" x14ac:dyDescent="0.2">
      <c r="A438" t="s">
        <v>4283</v>
      </c>
      <c r="B438">
        <v>0</v>
      </c>
      <c r="C438">
        <v>1</v>
      </c>
      <c r="D438">
        <v>1</v>
      </c>
      <c r="E438">
        <v>0</v>
      </c>
      <c r="F438">
        <v>0</v>
      </c>
      <c r="G438">
        <v>0</v>
      </c>
      <c r="H438">
        <v>0</v>
      </c>
      <c r="I438">
        <v>0</v>
      </c>
      <c r="J438">
        <v>1</v>
      </c>
      <c r="K438">
        <v>0</v>
      </c>
    </row>
    <row r="439" spans="1:11" x14ac:dyDescent="0.2">
      <c r="A439" t="s">
        <v>4284</v>
      </c>
      <c r="B439">
        <v>0</v>
      </c>
      <c r="C439">
        <v>0</v>
      </c>
      <c r="D439">
        <v>0</v>
      </c>
      <c r="E439">
        <v>0</v>
      </c>
      <c r="F439">
        <v>0</v>
      </c>
      <c r="G439">
        <v>0</v>
      </c>
      <c r="H439">
        <v>0</v>
      </c>
      <c r="I439">
        <v>0</v>
      </c>
      <c r="J439">
        <v>0</v>
      </c>
      <c r="K439">
        <v>0</v>
      </c>
    </row>
    <row r="440" spans="1:11" x14ac:dyDescent="0.2">
      <c r="A440" t="s">
        <v>4285</v>
      </c>
      <c r="B440">
        <v>0</v>
      </c>
      <c r="C440">
        <v>4</v>
      </c>
      <c r="D440">
        <v>1</v>
      </c>
      <c r="E440">
        <v>0</v>
      </c>
      <c r="F440">
        <v>0</v>
      </c>
      <c r="G440">
        <v>0</v>
      </c>
      <c r="H440">
        <v>0</v>
      </c>
      <c r="I440">
        <v>0</v>
      </c>
      <c r="J440">
        <v>12</v>
      </c>
      <c r="K440">
        <v>0</v>
      </c>
    </row>
    <row r="441" spans="1:11" x14ac:dyDescent="0.2">
      <c r="A441" t="s">
        <v>4286</v>
      </c>
      <c r="B441">
        <v>0</v>
      </c>
      <c r="C441">
        <v>0</v>
      </c>
      <c r="D441">
        <v>0</v>
      </c>
      <c r="E441">
        <v>0</v>
      </c>
      <c r="F441">
        <v>0</v>
      </c>
      <c r="G441">
        <v>0</v>
      </c>
      <c r="H441">
        <v>0</v>
      </c>
      <c r="I441">
        <v>0</v>
      </c>
      <c r="J441">
        <v>2</v>
      </c>
      <c r="K441">
        <v>0</v>
      </c>
    </row>
    <row r="442" spans="1:11" x14ac:dyDescent="0.2">
      <c r="A442" t="s">
        <v>4287</v>
      </c>
      <c r="B442">
        <v>0</v>
      </c>
      <c r="C442">
        <v>0</v>
      </c>
      <c r="D442">
        <v>0</v>
      </c>
      <c r="E442">
        <v>0</v>
      </c>
      <c r="F442">
        <v>0</v>
      </c>
      <c r="G442">
        <v>0</v>
      </c>
      <c r="H442">
        <v>0</v>
      </c>
      <c r="I442">
        <v>0</v>
      </c>
      <c r="J442">
        <v>0</v>
      </c>
      <c r="K442">
        <v>0</v>
      </c>
    </row>
    <row r="443" spans="1:11" x14ac:dyDescent="0.2">
      <c r="A443" t="s">
        <v>4288</v>
      </c>
      <c r="B443">
        <v>0</v>
      </c>
      <c r="C443">
        <v>0</v>
      </c>
      <c r="D443">
        <v>0</v>
      </c>
      <c r="E443">
        <v>0</v>
      </c>
      <c r="F443">
        <v>0</v>
      </c>
      <c r="G443">
        <v>0</v>
      </c>
      <c r="H443">
        <v>0</v>
      </c>
      <c r="I443">
        <v>0</v>
      </c>
      <c r="J443">
        <v>0</v>
      </c>
      <c r="K443">
        <v>0</v>
      </c>
    </row>
    <row r="444" spans="1:11" x14ac:dyDescent="0.2">
      <c r="A444" t="s">
        <v>4289</v>
      </c>
      <c r="B444">
        <v>0</v>
      </c>
      <c r="C444">
        <v>0</v>
      </c>
      <c r="D444">
        <v>0</v>
      </c>
      <c r="E444">
        <v>0</v>
      </c>
      <c r="F444">
        <v>0</v>
      </c>
      <c r="G444">
        <v>0</v>
      </c>
      <c r="H444">
        <v>0</v>
      </c>
      <c r="I444">
        <v>0</v>
      </c>
      <c r="J444">
        <v>0</v>
      </c>
      <c r="K444">
        <v>0</v>
      </c>
    </row>
    <row r="445" spans="1:11" x14ac:dyDescent="0.2">
      <c r="A445" t="s">
        <v>4290</v>
      </c>
      <c r="B445">
        <v>0</v>
      </c>
      <c r="C445">
        <v>0</v>
      </c>
      <c r="D445">
        <v>0</v>
      </c>
      <c r="E445">
        <v>0</v>
      </c>
      <c r="F445">
        <v>0</v>
      </c>
      <c r="G445">
        <v>0</v>
      </c>
      <c r="H445">
        <v>0</v>
      </c>
      <c r="I445">
        <v>0</v>
      </c>
      <c r="J445">
        <v>0</v>
      </c>
      <c r="K445">
        <v>0</v>
      </c>
    </row>
    <row r="446" spans="1:11" x14ac:dyDescent="0.2">
      <c r="A446" t="s">
        <v>4291</v>
      </c>
      <c r="B446">
        <v>0</v>
      </c>
      <c r="C446">
        <v>0</v>
      </c>
      <c r="D446">
        <v>0</v>
      </c>
      <c r="E446">
        <v>0</v>
      </c>
      <c r="F446">
        <v>0</v>
      </c>
      <c r="G446">
        <v>0</v>
      </c>
      <c r="H446">
        <v>0</v>
      </c>
      <c r="I446">
        <v>0</v>
      </c>
      <c r="J446">
        <v>0</v>
      </c>
      <c r="K446">
        <v>0</v>
      </c>
    </row>
    <row r="447" spans="1:11" x14ac:dyDescent="0.2">
      <c r="A447" t="s">
        <v>4292</v>
      </c>
      <c r="B447">
        <v>0</v>
      </c>
      <c r="C447">
        <v>0</v>
      </c>
      <c r="D447">
        <v>0</v>
      </c>
      <c r="E447">
        <v>0</v>
      </c>
      <c r="F447">
        <v>0</v>
      </c>
      <c r="G447">
        <v>0</v>
      </c>
      <c r="H447">
        <v>0</v>
      </c>
      <c r="I447">
        <v>0</v>
      </c>
      <c r="J447">
        <v>0</v>
      </c>
      <c r="K447">
        <v>0</v>
      </c>
    </row>
    <row r="448" spans="1:11" x14ac:dyDescent="0.2">
      <c r="A448" t="s">
        <v>4293</v>
      </c>
      <c r="B448">
        <v>0</v>
      </c>
      <c r="C448">
        <v>0</v>
      </c>
      <c r="D448">
        <v>0</v>
      </c>
      <c r="E448">
        <v>0</v>
      </c>
      <c r="F448">
        <v>0</v>
      </c>
      <c r="G448">
        <v>0</v>
      </c>
      <c r="H448">
        <v>0</v>
      </c>
      <c r="I448">
        <v>0</v>
      </c>
      <c r="J448">
        <v>0</v>
      </c>
      <c r="K448">
        <v>0</v>
      </c>
    </row>
    <row r="449" spans="1:11" x14ac:dyDescent="0.2">
      <c r="A449" t="s">
        <v>4294</v>
      </c>
      <c r="B449">
        <v>0</v>
      </c>
      <c r="C449">
        <v>0</v>
      </c>
      <c r="D449">
        <v>0</v>
      </c>
      <c r="E449">
        <v>0</v>
      </c>
      <c r="F449">
        <v>0</v>
      </c>
      <c r="G449">
        <v>0</v>
      </c>
      <c r="H449">
        <v>0</v>
      </c>
      <c r="I449">
        <v>0</v>
      </c>
      <c r="J449">
        <v>0</v>
      </c>
      <c r="K449">
        <v>0</v>
      </c>
    </row>
    <row r="450" spans="1:11" x14ac:dyDescent="0.2">
      <c r="A450" t="s">
        <v>4295</v>
      </c>
      <c r="B450">
        <v>0</v>
      </c>
      <c r="C450">
        <v>0</v>
      </c>
      <c r="D450">
        <v>0</v>
      </c>
      <c r="E450">
        <v>0</v>
      </c>
      <c r="F450">
        <v>0</v>
      </c>
      <c r="G450">
        <v>0</v>
      </c>
      <c r="H450">
        <v>0</v>
      </c>
      <c r="I450">
        <v>0</v>
      </c>
      <c r="J450">
        <v>0</v>
      </c>
      <c r="K450">
        <v>0</v>
      </c>
    </row>
    <row r="451" spans="1:11" x14ac:dyDescent="0.2">
      <c r="A451" t="s">
        <v>4296</v>
      </c>
      <c r="B451">
        <v>0</v>
      </c>
      <c r="C451">
        <v>0</v>
      </c>
      <c r="D451">
        <v>0</v>
      </c>
      <c r="E451">
        <v>0</v>
      </c>
      <c r="F451">
        <v>0</v>
      </c>
      <c r="G451">
        <v>0</v>
      </c>
      <c r="H451">
        <v>0</v>
      </c>
      <c r="I451">
        <v>0</v>
      </c>
      <c r="J451">
        <v>0</v>
      </c>
      <c r="K451">
        <v>0</v>
      </c>
    </row>
    <row r="452" spans="1:11" x14ac:dyDescent="0.2">
      <c r="A452" t="s">
        <v>4297</v>
      </c>
      <c r="B452">
        <v>0</v>
      </c>
      <c r="C452">
        <v>4</v>
      </c>
      <c r="D452">
        <v>1</v>
      </c>
      <c r="E452">
        <v>0</v>
      </c>
      <c r="F452">
        <v>0</v>
      </c>
      <c r="G452">
        <v>0</v>
      </c>
      <c r="H452">
        <v>0</v>
      </c>
      <c r="I452">
        <v>0</v>
      </c>
      <c r="J452">
        <v>7</v>
      </c>
      <c r="K452">
        <v>0</v>
      </c>
    </row>
    <row r="453" spans="1:11" x14ac:dyDescent="0.2">
      <c r="A453" t="s">
        <v>4298</v>
      </c>
      <c r="B453">
        <v>0</v>
      </c>
      <c r="C453">
        <v>3</v>
      </c>
      <c r="D453">
        <v>2</v>
      </c>
      <c r="E453">
        <v>0</v>
      </c>
      <c r="F453">
        <v>0</v>
      </c>
      <c r="G453">
        <v>0</v>
      </c>
      <c r="H453">
        <v>0</v>
      </c>
      <c r="I453">
        <v>0</v>
      </c>
      <c r="J453">
        <v>11</v>
      </c>
      <c r="K453">
        <v>0</v>
      </c>
    </row>
    <row r="454" spans="1:11" x14ac:dyDescent="0.2">
      <c r="A454" t="s">
        <v>4299</v>
      </c>
      <c r="B454">
        <v>0</v>
      </c>
      <c r="C454">
        <v>8</v>
      </c>
      <c r="D454">
        <v>4</v>
      </c>
      <c r="E454">
        <v>0</v>
      </c>
      <c r="F454">
        <v>0</v>
      </c>
      <c r="G454">
        <v>0</v>
      </c>
      <c r="H454">
        <v>0</v>
      </c>
      <c r="I454">
        <v>0</v>
      </c>
      <c r="J454">
        <v>28</v>
      </c>
      <c r="K454">
        <v>0</v>
      </c>
    </row>
    <row r="455" spans="1:11" x14ac:dyDescent="0.2">
      <c r="A455" t="s">
        <v>4300</v>
      </c>
      <c r="B455">
        <v>0</v>
      </c>
      <c r="C455">
        <v>0</v>
      </c>
      <c r="D455">
        <v>0</v>
      </c>
      <c r="E455">
        <v>0</v>
      </c>
      <c r="F455">
        <v>0</v>
      </c>
      <c r="G455">
        <v>0</v>
      </c>
      <c r="H455">
        <v>0</v>
      </c>
      <c r="I455">
        <v>0</v>
      </c>
      <c r="J455">
        <v>2</v>
      </c>
      <c r="K455">
        <v>0</v>
      </c>
    </row>
    <row r="456" spans="1:11" x14ac:dyDescent="0.2">
      <c r="A456" t="s">
        <v>4301</v>
      </c>
      <c r="B456">
        <v>0</v>
      </c>
      <c r="C456">
        <v>19</v>
      </c>
      <c r="D456">
        <v>6</v>
      </c>
      <c r="E456">
        <v>0</v>
      </c>
      <c r="F456">
        <v>0</v>
      </c>
      <c r="G456">
        <v>0</v>
      </c>
      <c r="H456">
        <v>0</v>
      </c>
      <c r="I456">
        <v>0</v>
      </c>
      <c r="J456">
        <v>33</v>
      </c>
      <c r="K456">
        <v>0</v>
      </c>
    </row>
    <row r="457" spans="1:11" x14ac:dyDescent="0.2">
      <c r="A457" t="s">
        <v>4302</v>
      </c>
      <c r="B457">
        <v>0</v>
      </c>
      <c r="C457">
        <v>11</v>
      </c>
      <c r="D457">
        <v>5</v>
      </c>
      <c r="E457">
        <v>0</v>
      </c>
      <c r="F457">
        <v>0</v>
      </c>
      <c r="G457">
        <v>0</v>
      </c>
      <c r="H457">
        <v>0</v>
      </c>
      <c r="I457">
        <v>0</v>
      </c>
      <c r="J457">
        <v>31</v>
      </c>
      <c r="K457">
        <v>0</v>
      </c>
    </row>
    <row r="458" spans="1:11" x14ac:dyDescent="0.2">
      <c r="A458" t="s">
        <v>4303</v>
      </c>
      <c r="B458">
        <v>0</v>
      </c>
      <c r="C458">
        <v>12</v>
      </c>
      <c r="D458">
        <v>18</v>
      </c>
      <c r="E458">
        <v>0</v>
      </c>
      <c r="F458">
        <v>0</v>
      </c>
      <c r="G458">
        <v>0</v>
      </c>
      <c r="H458">
        <v>0</v>
      </c>
      <c r="I458">
        <v>0</v>
      </c>
      <c r="J458">
        <v>108</v>
      </c>
      <c r="K458">
        <v>0</v>
      </c>
    </row>
    <row r="459" spans="1:11" x14ac:dyDescent="0.2">
      <c r="A459" t="s">
        <v>4304</v>
      </c>
      <c r="B459">
        <v>0</v>
      </c>
      <c r="C459">
        <v>3</v>
      </c>
      <c r="D459">
        <v>1</v>
      </c>
      <c r="E459">
        <v>0</v>
      </c>
      <c r="F459">
        <v>0</v>
      </c>
      <c r="G459">
        <v>0</v>
      </c>
      <c r="H459">
        <v>0</v>
      </c>
      <c r="I459">
        <v>0</v>
      </c>
      <c r="J459">
        <v>11</v>
      </c>
      <c r="K459">
        <v>0</v>
      </c>
    </row>
    <row r="460" spans="1:11" x14ac:dyDescent="0.2">
      <c r="A460" t="s">
        <v>4305</v>
      </c>
      <c r="B460">
        <v>0</v>
      </c>
      <c r="C460">
        <v>82</v>
      </c>
      <c r="D460">
        <v>24</v>
      </c>
      <c r="E460">
        <v>0</v>
      </c>
      <c r="F460">
        <v>0</v>
      </c>
      <c r="G460">
        <v>0</v>
      </c>
      <c r="H460">
        <v>0</v>
      </c>
      <c r="I460">
        <v>0</v>
      </c>
      <c r="J460">
        <v>125</v>
      </c>
      <c r="K460">
        <v>0</v>
      </c>
    </row>
    <row r="461" spans="1:11" x14ac:dyDescent="0.2">
      <c r="A461" t="s">
        <v>4306</v>
      </c>
      <c r="B461">
        <v>0</v>
      </c>
      <c r="C461">
        <v>6</v>
      </c>
      <c r="D461">
        <v>3</v>
      </c>
      <c r="E461">
        <v>0</v>
      </c>
      <c r="F461">
        <v>0</v>
      </c>
      <c r="G461">
        <v>0</v>
      </c>
      <c r="H461">
        <v>0</v>
      </c>
      <c r="I461">
        <v>0</v>
      </c>
      <c r="J461">
        <v>12</v>
      </c>
      <c r="K461">
        <v>0</v>
      </c>
    </row>
    <row r="462" spans="1:11" x14ac:dyDescent="0.2">
      <c r="A462" t="s">
        <v>4307</v>
      </c>
      <c r="B462">
        <v>0</v>
      </c>
      <c r="C462">
        <v>59</v>
      </c>
      <c r="D462">
        <v>86</v>
      </c>
      <c r="E462">
        <v>0</v>
      </c>
      <c r="F462">
        <v>0</v>
      </c>
      <c r="G462">
        <v>0</v>
      </c>
      <c r="H462">
        <v>0</v>
      </c>
      <c r="I462">
        <v>0</v>
      </c>
      <c r="J462">
        <v>407</v>
      </c>
      <c r="K462">
        <v>0</v>
      </c>
    </row>
    <row r="463" spans="1:11" x14ac:dyDescent="0.2">
      <c r="A463" t="s">
        <v>4308</v>
      </c>
      <c r="B463">
        <v>0</v>
      </c>
      <c r="C463">
        <v>1</v>
      </c>
      <c r="D463">
        <v>2</v>
      </c>
      <c r="E463">
        <v>0</v>
      </c>
      <c r="F463">
        <v>0</v>
      </c>
      <c r="G463">
        <v>0</v>
      </c>
      <c r="H463">
        <v>0</v>
      </c>
      <c r="I463">
        <v>0</v>
      </c>
      <c r="J463">
        <v>15</v>
      </c>
      <c r="K463">
        <v>0</v>
      </c>
    </row>
    <row r="464" spans="1:11" x14ac:dyDescent="0.2">
      <c r="A464" t="s">
        <v>4309</v>
      </c>
      <c r="B464">
        <v>0</v>
      </c>
      <c r="C464">
        <v>0</v>
      </c>
      <c r="D464">
        <v>0</v>
      </c>
      <c r="E464">
        <v>0</v>
      </c>
      <c r="F464">
        <v>0</v>
      </c>
      <c r="G464">
        <v>0</v>
      </c>
      <c r="H464">
        <v>0</v>
      </c>
      <c r="I464">
        <v>0</v>
      </c>
      <c r="J464">
        <v>0</v>
      </c>
      <c r="K464">
        <v>0</v>
      </c>
    </row>
    <row r="465" spans="1:11" x14ac:dyDescent="0.2">
      <c r="A465" t="s">
        <v>4310</v>
      </c>
      <c r="B465">
        <v>0</v>
      </c>
      <c r="C465">
        <v>0</v>
      </c>
      <c r="D465">
        <v>0</v>
      </c>
      <c r="E465">
        <v>0</v>
      </c>
      <c r="F465">
        <v>0</v>
      </c>
      <c r="G465">
        <v>0</v>
      </c>
      <c r="H465">
        <v>0</v>
      </c>
      <c r="I465">
        <v>0</v>
      </c>
      <c r="J465">
        <v>0</v>
      </c>
      <c r="K465">
        <v>0</v>
      </c>
    </row>
    <row r="466" spans="1:11" x14ac:dyDescent="0.2">
      <c r="A466" t="s">
        <v>4311</v>
      </c>
      <c r="B466">
        <v>0</v>
      </c>
      <c r="C466">
        <v>0</v>
      </c>
      <c r="D466">
        <v>0</v>
      </c>
      <c r="E466">
        <v>0</v>
      </c>
      <c r="F466">
        <v>0</v>
      </c>
      <c r="G466">
        <v>0</v>
      </c>
      <c r="H466">
        <v>0</v>
      </c>
      <c r="I466">
        <v>0</v>
      </c>
      <c r="J466">
        <v>0</v>
      </c>
      <c r="K466">
        <v>0</v>
      </c>
    </row>
    <row r="467" spans="1:11" x14ac:dyDescent="0.2">
      <c r="A467" t="s">
        <v>4312</v>
      </c>
      <c r="B467">
        <v>0</v>
      </c>
      <c r="C467">
        <v>0</v>
      </c>
      <c r="D467">
        <v>0</v>
      </c>
      <c r="E467">
        <v>0</v>
      </c>
      <c r="F467">
        <v>0</v>
      </c>
      <c r="G467">
        <v>0</v>
      </c>
      <c r="H467">
        <v>0</v>
      </c>
      <c r="I467">
        <v>0</v>
      </c>
      <c r="J467">
        <v>0</v>
      </c>
      <c r="K467">
        <v>0</v>
      </c>
    </row>
    <row r="468" spans="1:11" x14ac:dyDescent="0.2">
      <c r="A468" t="s">
        <v>4313</v>
      </c>
      <c r="B468">
        <v>0</v>
      </c>
      <c r="C468">
        <v>0</v>
      </c>
      <c r="D468">
        <v>0</v>
      </c>
      <c r="E468">
        <v>0</v>
      </c>
      <c r="F468">
        <v>0</v>
      </c>
      <c r="G468">
        <v>0</v>
      </c>
      <c r="H468">
        <v>0</v>
      </c>
      <c r="I468">
        <v>0</v>
      </c>
      <c r="J468">
        <v>0</v>
      </c>
      <c r="K468">
        <v>0</v>
      </c>
    </row>
    <row r="469" spans="1:11" x14ac:dyDescent="0.2">
      <c r="A469" t="s">
        <v>4314</v>
      </c>
      <c r="B469">
        <v>0</v>
      </c>
      <c r="C469">
        <v>0</v>
      </c>
      <c r="D469">
        <v>0</v>
      </c>
      <c r="E469">
        <v>0</v>
      </c>
      <c r="F469">
        <v>0</v>
      </c>
      <c r="G469">
        <v>0</v>
      </c>
      <c r="H469">
        <v>0</v>
      </c>
      <c r="I469">
        <v>0</v>
      </c>
      <c r="J469">
        <v>0</v>
      </c>
      <c r="K469">
        <v>0</v>
      </c>
    </row>
    <row r="470" spans="1:11" x14ac:dyDescent="0.2">
      <c r="A470" t="s">
        <v>4315</v>
      </c>
      <c r="B470">
        <v>0</v>
      </c>
      <c r="C470">
        <v>0</v>
      </c>
      <c r="D470">
        <v>0</v>
      </c>
      <c r="E470">
        <v>0</v>
      </c>
      <c r="F470">
        <v>0</v>
      </c>
      <c r="G470">
        <v>0</v>
      </c>
      <c r="H470">
        <v>0</v>
      </c>
      <c r="I470">
        <v>0</v>
      </c>
      <c r="J470">
        <v>0</v>
      </c>
      <c r="K470">
        <v>0</v>
      </c>
    </row>
    <row r="471" spans="1:11" x14ac:dyDescent="0.2">
      <c r="A471" t="s">
        <v>4316</v>
      </c>
      <c r="B471">
        <v>0</v>
      </c>
      <c r="C471">
        <v>0</v>
      </c>
      <c r="D471">
        <v>0</v>
      </c>
      <c r="E471">
        <v>0</v>
      </c>
      <c r="F471">
        <v>0</v>
      </c>
      <c r="G471">
        <v>0</v>
      </c>
      <c r="H471">
        <v>0</v>
      </c>
      <c r="I471">
        <v>0</v>
      </c>
      <c r="J471">
        <v>0</v>
      </c>
      <c r="K471">
        <v>0</v>
      </c>
    </row>
    <row r="472" spans="1:11" x14ac:dyDescent="0.2">
      <c r="A472" t="s">
        <v>4317</v>
      </c>
      <c r="B472">
        <v>0</v>
      </c>
      <c r="C472">
        <v>0</v>
      </c>
      <c r="D472">
        <v>0</v>
      </c>
      <c r="E472">
        <v>0</v>
      </c>
      <c r="F472">
        <v>0</v>
      </c>
      <c r="G472">
        <v>0</v>
      </c>
      <c r="H472">
        <v>0</v>
      </c>
      <c r="I472">
        <v>0</v>
      </c>
      <c r="J472">
        <v>0</v>
      </c>
      <c r="K472">
        <v>0</v>
      </c>
    </row>
    <row r="473" spans="1:11" x14ac:dyDescent="0.2">
      <c r="A473" t="s">
        <v>4318</v>
      </c>
      <c r="B473">
        <v>0</v>
      </c>
      <c r="C473">
        <v>0</v>
      </c>
      <c r="D473">
        <v>0</v>
      </c>
      <c r="E473">
        <v>0</v>
      </c>
      <c r="F473">
        <v>0</v>
      </c>
      <c r="G473">
        <v>0</v>
      </c>
      <c r="H473">
        <v>0</v>
      </c>
      <c r="I473">
        <v>0</v>
      </c>
      <c r="J473">
        <v>0</v>
      </c>
      <c r="K473">
        <v>0</v>
      </c>
    </row>
    <row r="474" spans="1:11" x14ac:dyDescent="0.2">
      <c r="A474" t="s">
        <v>4319</v>
      </c>
      <c r="B474">
        <v>0</v>
      </c>
      <c r="C474">
        <v>0</v>
      </c>
      <c r="D474">
        <v>0</v>
      </c>
      <c r="E474">
        <v>0</v>
      </c>
      <c r="F474">
        <v>0</v>
      </c>
      <c r="G474">
        <v>0</v>
      </c>
      <c r="H474">
        <v>0</v>
      </c>
      <c r="I474">
        <v>0</v>
      </c>
      <c r="J474">
        <v>0</v>
      </c>
      <c r="K474">
        <v>0</v>
      </c>
    </row>
    <row r="475" spans="1:11" x14ac:dyDescent="0.2">
      <c r="A475" t="s">
        <v>4320</v>
      </c>
      <c r="B475">
        <v>0</v>
      </c>
      <c r="C475">
        <v>0</v>
      </c>
      <c r="D475">
        <v>0</v>
      </c>
      <c r="E475">
        <v>0</v>
      </c>
      <c r="F475">
        <v>0</v>
      </c>
      <c r="G475">
        <v>0</v>
      </c>
      <c r="H475">
        <v>0</v>
      </c>
      <c r="I475">
        <v>0</v>
      </c>
      <c r="J475">
        <v>0</v>
      </c>
      <c r="K475">
        <v>0</v>
      </c>
    </row>
    <row r="476" spans="1:11" x14ac:dyDescent="0.2">
      <c r="A476" t="s">
        <v>4321</v>
      </c>
      <c r="B476">
        <v>0</v>
      </c>
      <c r="C476">
        <v>0</v>
      </c>
      <c r="D476">
        <v>0</v>
      </c>
      <c r="E476">
        <v>0</v>
      </c>
      <c r="F476">
        <v>0</v>
      </c>
      <c r="G476">
        <v>0</v>
      </c>
      <c r="H476">
        <v>0</v>
      </c>
      <c r="I476">
        <v>0</v>
      </c>
      <c r="J476">
        <v>0</v>
      </c>
      <c r="K476">
        <v>0</v>
      </c>
    </row>
    <row r="477" spans="1:11" x14ac:dyDescent="0.2">
      <c r="A477" t="s">
        <v>4322</v>
      </c>
      <c r="B477">
        <v>0</v>
      </c>
      <c r="C477">
        <v>0</v>
      </c>
      <c r="D477">
        <v>0</v>
      </c>
      <c r="E477">
        <v>0</v>
      </c>
      <c r="F477">
        <v>0</v>
      </c>
      <c r="G477">
        <v>0</v>
      </c>
      <c r="H477">
        <v>0</v>
      </c>
      <c r="I477">
        <v>0</v>
      </c>
      <c r="J477">
        <v>0</v>
      </c>
      <c r="K477">
        <v>0</v>
      </c>
    </row>
    <row r="478" spans="1:11" x14ac:dyDescent="0.2">
      <c r="A478" t="s">
        <v>4323</v>
      </c>
      <c r="B478">
        <v>0</v>
      </c>
      <c r="C478">
        <v>0</v>
      </c>
      <c r="D478">
        <v>0</v>
      </c>
      <c r="E478">
        <v>0</v>
      </c>
      <c r="F478">
        <v>0</v>
      </c>
      <c r="G478">
        <v>0</v>
      </c>
      <c r="H478">
        <v>0</v>
      </c>
      <c r="I478">
        <v>0</v>
      </c>
      <c r="J478">
        <v>0</v>
      </c>
      <c r="K478">
        <v>0</v>
      </c>
    </row>
    <row r="479" spans="1:11" x14ac:dyDescent="0.2">
      <c r="A479" t="s">
        <v>4324</v>
      </c>
      <c r="B479">
        <v>0</v>
      </c>
      <c r="C479">
        <v>0</v>
      </c>
      <c r="D479">
        <v>0</v>
      </c>
      <c r="E479">
        <v>0</v>
      </c>
      <c r="F479">
        <v>0</v>
      </c>
      <c r="G479">
        <v>0</v>
      </c>
      <c r="H479">
        <v>0</v>
      </c>
      <c r="I479">
        <v>0</v>
      </c>
      <c r="J479">
        <v>0</v>
      </c>
      <c r="K479">
        <v>0</v>
      </c>
    </row>
    <row r="480" spans="1:11" x14ac:dyDescent="0.2">
      <c r="A480" t="s">
        <v>4325</v>
      </c>
      <c r="B480">
        <v>0</v>
      </c>
      <c r="C480">
        <v>0</v>
      </c>
      <c r="D480">
        <v>0</v>
      </c>
      <c r="E480">
        <v>0</v>
      </c>
      <c r="F480">
        <v>0</v>
      </c>
      <c r="G480">
        <v>0</v>
      </c>
      <c r="H480">
        <v>0</v>
      </c>
      <c r="I480">
        <v>0</v>
      </c>
      <c r="J480">
        <v>0</v>
      </c>
      <c r="K480">
        <v>0</v>
      </c>
    </row>
    <row r="481" spans="1:11" x14ac:dyDescent="0.2">
      <c r="A481" t="s">
        <v>4326</v>
      </c>
      <c r="B481">
        <v>0</v>
      </c>
      <c r="C481">
        <v>0</v>
      </c>
      <c r="D481">
        <v>0</v>
      </c>
      <c r="E481">
        <v>0</v>
      </c>
      <c r="F481">
        <v>0</v>
      </c>
      <c r="G481">
        <v>0</v>
      </c>
      <c r="H481">
        <v>0</v>
      </c>
      <c r="I481">
        <v>0</v>
      </c>
      <c r="J481">
        <v>0</v>
      </c>
      <c r="K481">
        <v>0</v>
      </c>
    </row>
    <row r="482" spans="1:11" x14ac:dyDescent="0.2">
      <c r="A482" t="s">
        <v>4327</v>
      </c>
      <c r="B482">
        <v>0</v>
      </c>
      <c r="C482">
        <v>0</v>
      </c>
      <c r="D482">
        <v>0</v>
      </c>
      <c r="E482">
        <v>0</v>
      </c>
      <c r="F482">
        <v>0</v>
      </c>
      <c r="G482">
        <v>0</v>
      </c>
      <c r="H482">
        <v>0</v>
      </c>
      <c r="I482">
        <v>0</v>
      </c>
      <c r="J482">
        <v>0</v>
      </c>
      <c r="K482">
        <v>0</v>
      </c>
    </row>
    <row r="483" spans="1:11" x14ac:dyDescent="0.2">
      <c r="A483" t="s">
        <v>4328</v>
      </c>
      <c r="B483">
        <v>0</v>
      </c>
      <c r="C483">
        <v>0</v>
      </c>
      <c r="D483">
        <v>0</v>
      </c>
      <c r="E483">
        <v>0</v>
      </c>
      <c r="F483">
        <v>0</v>
      </c>
      <c r="G483">
        <v>0</v>
      </c>
      <c r="H483">
        <v>0</v>
      </c>
      <c r="I483">
        <v>0</v>
      </c>
      <c r="J483">
        <v>0</v>
      </c>
      <c r="K483">
        <v>0</v>
      </c>
    </row>
    <row r="484" spans="1:11" x14ac:dyDescent="0.2">
      <c r="A484" t="s">
        <v>4329</v>
      </c>
      <c r="B484">
        <v>0</v>
      </c>
      <c r="C484">
        <v>0</v>
      </c>
      <c r="D484">
        <v>0</v>
      </c>
      <c r="E484">
        <v>0</v>
      </c>
      <c r="F484">
        <v>0</v>
      </c>
      <c r="G484">
        <v>0</v>
      </c>
      <c r="H484">
        <v>0</v>
      </c>
      <c r="I484">
        <v>0</v>
      </c>
      <c r="J484">
        <v>0</v>
      </c>
      <c r="K484">
        <v>0</v>
      </c>
    </row>
    <row r="485" spans="1:11" x14ac:dyDescent="0.2">
      <c r="A485" t="s">
        <v>4330</v>
      </c>
      <c r="B485">
        <v>0</v>
      </c>
      <c r="C485">
        <v>0</v>
      </c>
      <c r="D485">
        <v>0</v>
      </c>
      <c r="E485">
        <v>0</v>
      </c>
      <c r="F485">
        <v>0</v>
      </c>
      <c r="G485">
        <v>0</v>
      </c>
      <c r="H485">
        <v>0</v>
      </c>
      <c r="I485">
        <v>0</v>
      </c>
      <c r="J485">
        <v>0</v>
      </c>
      <c r="K485">
        <v>0</v>
      </c>
    </row>
    <row r="486" spans="1:11" x14ac:dyDescent="0.2">
      <c r="A486" t="s">
        <v>4331</v>
      </c>
      <c r="B486">
        <v>0</v>
      </c>
      <c r="C486">
        <v>0</v>
      </c>
      <c r="D486">
        <v>0</v>
      </c>
      <c r="E486">
        <v>0</v>
      </c>
      <c r="F486">
        <v>0</v>
      </c>
      <c r="G486">
        <v>0</v>
      </c>
      <c r="H486">
        <v>0</v>
      </c>
      <c r="I486">
        <v>0</v>
      </c>
      <c r="J486">
        <v>0</v>
      </c>
      <c r="K486">
        <v>0</v>
      </c>
    </row>
    <row r="487" spans="1:11" x14ac:dyDescent="0.2">
      <c r="A487" t="s">
        <v>4332</v>
      </c>
      <c r="B487">
        <v>0</v>
      </c>
      <c r="C487">
        <v>0</v>
      </c>
      <c r="D487">
        <v>0</v>
      </c>
      <c r="E487">
        <v>0</v>
      </c>
      <c r="F487">
        <v>0</v>
      </c>
      <c r="G487">
        <v>0</v>
      </c>
      <c r="H487">
        <v>0</v>
      </c>
      <c r="I487">
        <v>0</v>
      </c>
      <c r="J487">
        <v>0</v>
      </c>
      <c r="K487">
        <v>0</v>
      </c>
    </row>
    <row r="488" spans="1:11" x14ac:dyDescent="0.2">
      <c r="A488" t="s">
        <v>4333</v>
      </c>
      <c r="B488">
        <v>0</v>
      </c>
      <c r="C488">
        <v>0</v>
      </c>
      <c r="D488">
        <v>0</v>
      </c>
      <c r="E488">
        <v>0</v>
      </c>
      <c r="F488">
        <v>0</v>
      </c>
      <c r="G488">
        <v>0</v>
      </c>
      <c r="H488">
        <v>0</v>
      </c>
      <c r="I488">
        <v>0</v>
      </c>
      <c r="J488">
        <v>0</v>
      </c>
      <c r="K488">
        <v>0</v>
      </c>
    </row>
    <row r="489" spans="1:11" x14ac:dyDescent="0.2">
      <c r="A489" t="s">
        <v>4334</v>
      </c>
      <c r="B489">
        <v>0</v>
      </c>
      <c r="C489">
        <v>0</v>
      </c>
      <c r="D489">
        <v>0</v>
      </c>
      <c r="E489">
        <v>0</v>
      </c>
      <c r="F489">
        <v>0</v>
      </c>
      <c r="G489">
        <v>0</v>
      </c>
      <c r="H489">
        <v>0</v>
      </c>
      <c r="I489">
        <v>0</v>
      </c>
      <c r="J489">
        <v>0</v>
      </c>
      <c r="K489">
        <v>0</v>
      </c>
    </row>
    <row r="490" spans="1:11" x14ac:dyDescent="0.2">
      <c r="A490" t="s">
        <v>4335</v>
      </c>
      <c r="B490">
        <v>0</v>
      </c>
      <c r="C490">
        <v>0</v>
      </c>
      <c r="D490">
        <v>0</v>
      </c>
      <c r="E490">
        <v>0</v>
      </c>
      <c r="F490">
        <v>0</v>
      </c>
      <c r="G490">
        <v>0</v>
      </c>
      <c r="H490">
        <v>0</v>
      </c>
      <c r="I490">
        <v>0</v>
      </c>
      <c r="J490">
        <v>0</v>
      </c>
      <c r="K490">
        <v>0</v>
      </c>
    </row>
    <row r="491" spans="1:11" x14ac:dyDescent="0.2">
      <c r="A491" t="s">
        <v>4336</v>
      </c>
      <c r="B491">
        <v>0</v>
      </c>
      <c r="C491">
        <v>0</v>
      </c>
      <c r="D491">
        <v>0</v>
      </c>
      <c r="E491">
        <v>0</v>
      </c>
      <c r="F491">
        <v>0</v>
      </c>
      <c r="G491">
        <v>0</v>
      </c>
      <c r="H491">
        <v>0</v>
      </c>
      <c r="I491">
        <v>0</v>
      </c>
      <c r="J491">
        <v>0</v>
      </c>
      <c r="K491">
        <v>0</v>
      </c>
    </row>
    <row r="492" spans="1:11" x14ac:dyDescent="0.2">
      <c r="A492" t="s">
        <v>4337</v>
      </c>
      <c r="B492">
        <v>0</v>
      </c>
      <c r="C492">
        <v>0</v>
      </c>
      <c r="D492">
        <v>0</v>
      </c>
      <c r="E492">
        <v>0</v>
      </c>
      <c r="F492">
        <v>0</v>
      </c>
      <c r="G492">
        <v>0</v>
      </c>
      <c r="H492">
        <v>0</v>
      </c>
      <c r="I492">
        <v>0</v>
      </c>
      <c r="J492">
        <v>0</v>
      </c>
      <c r="K492">
        <v>0</v>
      </c>
    </row>
    <row r="493" spans="1:11" x14ac:dyDescent="0.2">
      <c r="A493" t="s">
        <v>4338</v>
      </c>
      <c r="B493">
        <v>0</v>
      </c>
      <c r="C493">
        <v>0</v>
      </c>
      <c r="D493">
        <v>0</v>
      </c>
      <c r="E493">
        <v>0</v>
      </c>
      <c r="F493">
        <v>0</v>
      </c>
      <c r="G493">
        <v>0</v>
      </c>
      <c r="H493">
        <v>0</v>
      </c>
      <c r="I493">
        <v>0</v>
      </c>
      <c r="J493">
        <v>0</v>
      </c>
      <c r="K493">
        <v>0</v>
      </c>
    </row>
    <row r="494" spans="1:11" x14ac:dyDescent="0.2">
      <c r="A494" t="s">
        <v>4339</v>
      </c>
      <c r="B494">
        <v>0</v>
      </c>
      <c r="C494">
        <v>0</v>
      </c>
      <c r="D494">
        <v>0</v>
      </c>
      <c r="E494">
        <v>0</v>
      </c>
      <c r="F494">
        <v>0</v>
      </c>
      <c r="G494">
        <v>0</v>
      </c>
      <c r="H494">
        <v>0</v>
      </c>
      <c r="I494">
        <v>0</v>
      </c>
      <c r="J494">
        <v>0</v>
      </c>
      <c r="K494">
        <v>0</v>
      </c>
    </row>
    <row r="495" spans="1:11" x14ac:dyDescent="0.2">
      <c r="A495" t="s">
        <v>4340</v>
      </c>
      <c r="B495">
        <v>0</v>
      </c>
      <c r="C495">
        <v>0</v>
      </c>
      <c r="D495">
        <v>0</v>
      </c>
      <c r="E495">
        <v>0</v>
      </c>
      <c r="F495">
        <v>0</v>
      </c>
      <c r="G495">
        <v>0</v>
      </c>
      <c r="H495">
        <v>0</v>
      </c>
      <c r="I495">
        <v>0</v>
      </c>
      <c r="J495">
        <v>0</v>
      </c>
      <c r="K495">
        <v>0</v>
      </c>
    </row>
    <row r="496" spans="1:11" x14ac:dyDescent="0.2">
      <c r="A496" t="s">
        <v>4341</v>
      </c>
      <c r="B496">
        <v>0</v>
      </c>
      <c r="C496">
        <v>0</v>
      </c>
      <c r="D496">
        <v>0</v>
      </c>
      <c r="E496">
        <v>0</v>
      </c>
      <c r="F496">
        <v>0</v>
      </c>
      <c r="G496">
        <v>0</v>
      </c>
      <c r="H496">
        <v>0</v>
      </c>
      <c r="I496">
        <v>0</v>
      </c>
      <c r="J496">
        <v>0</v>
      </c>
      <c r="K496">
        <v>0</v>
      </c>
    </row>
    <row r="497" spans="1:11" x14ac:dyDescent="0.2">
      <c r="A497" t="s">
        <v>4342</v>
      </c>
      <c r="B497">
        <v>0</v>
      </c>
      <c r="C497">
        <v>0</v>
      </c>
      <c r="D497">
        <v>0</v>
      </c>
      <c r="E497">
        <v>0</v>
      </c>
      <c r="F497">
        <v>0</v>
      </c>
      <c r="G497">
        <v>0</v>
      </c>
      <c r="H497">
        <v>0</v>
      </c>
      <c r="I497">
        <v>0</v>
      </c>
      <c r="J497">
        <v>0</v>
      </c>
      <c r="K497">
        <v>0</v>
      </c>
    </row>
    <row r="498" spans="1:11" x14ac:dyDescent="0.2">
      <c r="A498" t="s">
        <v>4343</v>
      </c>
      <c r="B498">
        <v>0</v>
      </c>
      <c r="C498">
        <v>0</v>
      </c>
      <c r="D498">
        <v>0</v>
      </c>
      <c r="E498">
        <v>0</v>
      </c>
      <c r="F498">
        <v>0</v>
      </c>
      <c r="G498">
        <v>0</v>
      </c>
      <c r="H498">
        <v>0</v>
      </c>
      <c r="I498">
        <v>0</v>
      </c>
      <c r="J498">
        <v>0</v>
      </c>
      <c r="K498">
        <v>0</v>
      </c>
    </row>
    <row r="499" spans="1:11" x14ac:dyDescent="0.2">
      <c r="A499" t="s">
        <v>1728</v>
      </c>
      <c r="B499">
        <v>0</v>
      </c>
      <c r="C499">
        <v>0</v>
      </c>
      <c r="D499">
        <v>0</v>
      </c>
      <c r="E499">
        <v>0</v>
      </c>
      <c r="F499">
        <v>0</v>
      </c>
      <c r="G499">
        <v>0</v>
      </c>
      <c r="H499">
        <v>0</v>
      </c>
      <c r="I499">
        <v>0</v>
      </c>
      <c r="J499">
        <v>0</v>
      </c>
      <c r="K499">
        <v>0</v>
      </c>
    </row>
    <row r="500" spans="1:11" x14ac:dyDescent="0.2">
      <c r="A500" t="s">
        <v>1730</v>
      </c>
      <c r="B500">
        <v>0</v>
      </c>
      <c r="C500">
        <v>5</v>
      </c>
      <c r="D500">
        <v>8</v>
      </c>
      <c r="E500">
        <v>0</v>
      </c>
      <c r="F500">
        <v>0</v>
      </c>
      <c r="G500">
        <v>0</v>
      </c>
      <c r="H500">
        <v>0</v>
      </c>
      <c r="I500">
        <v>0</v>
      </c>
      <c r="J500">
        <v>34</v>
      </c>
      <c r="K500">
        <v>0</v>
      </c>
    </row>
    <row r="501" spans="1:11" x14ac:dyDescent="0.2">
      <c r="A501" t="s">
        <v>1733</v>
      </c>
      <c r="B501">
        <v>0</v>
      </c>
      <c r="C501">
        <v>0</v>
      </c>
      <c r="D501">
        <v>0</v>
      </c>
      <c r="E501">
        <v>0</v>
      </c>
      <c r="F501">
        <v>0</v>
      </c>
      <c r="G501">
        <v>0</v>
      </c>
      <c r="H501">
        <v>0</v>
      </c>
      <c r="I501">
        <v>0</v>
      </c>
      <c r="J501">
        <v>0</v>
      </c>
      <c r="K501">
        <v>0</v>
      </c>
    </row>
    <row r="502" spans="1:11" x14ac:dyDescent="0.2">
      <c r="A502" t="s">
        <v>1738</v>
      </c>
      <c r="B502">
        <v>0</v>
      </c>
      <c r="C502">
        <v>0</v>
      </c>
      <c r="D502">
        <v>0</v>
      </c>
      <c r="E502">
        <v>0</v>
      </c>
      <c r="F502">
        <v>0</v>
      </c>
      <c r="G502">
        <v>0</v>
      </c>
      <c r="H502">
        <v>0</v>
      </c>
      <c r="I502">
        <v>0</v>
      </c>
      <c r="J502">
        <v>0</v>
      </c>
      <c r="K502">
        <v>0</v>
      </c>
    </row>
    <row r="503" spans="1:11" x14ac:dyDescent="0.2">
      <c r="A503" t="s">
        <v>1744</v>
      </c>
      <c r="B503">
        <v>0</v>
      </c>
      <c r="C503">
        <v>0</v>
      </c>
      <c r="D503">
        <v>0</v>
      </c>
      <c r="E503">
        <v>0</v>
      </c>
      <c r="F503">
        <v>0</v>
      </c>
      <c r="G503">
        <v>0</v>
      </c>
      <c r="H503">
        <v>0</v>
      </c>
      <c r="I503">
        <v>0</v>
      </c>
      <c r="J503">
        <v>0</v>
      </c>
      <c r="K503">
        <v>0</v>
      </c>
    </row>
    <row r="504" spans="1:11" x14ac:dyDescent="0.2">
      <c r="A504" t="s">
        <v>1747</v>
      </c>
      <c r="B504">
        <v>0</v>
      </c>
      <c r="C504">
        <v>0</v>
      </c>
      <c r="D504">
        <v>0</v>
      </c>
      <c r="E504">
        <v>0</v>
      </c>
      <c r="F504">
        <v>0</v>
      </c>
      <c r="G504">
        <v>0</v>
      </c>
      <c r="H504">
        <v>0</v>
      </c>
      <c r="I504">
        <v>0</v>
      </c>
      <c r="J504">
        <v>0</v>
      </c>
      <c r="K504">
        <v>0</v>
      </c>
    </row>
    <row r="505" spans="1:11" x14ac:dyDescent="0.2">
      <c r="A505" t="s">
        <v>1751</v>
      </c>
      <c r="B505">
        <v>0</v>
      </c>
      <c r="C505">
        <v>0</v>
      </c>
      <c r="D505">
        <v>0</v>
      </c>
      <c r="E505">
        <v>0</v>
      </c>
      <c r="F505">
        <v>0</v>
      </c>
      <c r="G505">
        <v>0</v>
      </c>
      <c r="H505">
        <v>0</v>
      </c>
      <c r="I505">
        <v>0</v>
      </c>
      <c r="J505">
        <v>0</v>
      </c>
      <c r="K505">
        <v>0</v>
      </c>
    </row>
    <row r="506" spans="1:11" x14ac:dyDescent="0.2">
      <c r="A506" t="s">
        <v>1755</v>
      </c>
      <c r="B506">
        <v>0</v>
      </c>
      <c r="C506">
        <v>8</v>
      </c>
      <c r="D506">
        <v>8</v>
      </c>
      <c r="E506">
        <v>0</v>
      </c>
      <c r="F506">
        <v>0</v>
      </c>
      <c r="G506">
        <v>0</v>
      </c>
      <c r="H506">
        <v>0</v>
      </c>
      <c r="I506">
        <v>0</v>
      </c>
      <c r="J506">
        <v>6</v>
      </c>
      <c r="K506">
        <v>0</v>
      </c>
    </row>
    <row r="507" spans="1:11" x14ac:dyDescent="0.2">
      <c r="A507" t="s">
        <v>1757</v>
      </c>
      <c r="B507">
        <v>0</v>
      </c>
      <c r="C507">
        <v>6</v>
      </c>
      <c r="D507">
        <v>9</v>
      </c>
      <c r="E507">
        <v>0</v>
      </c>
      <c r="F507">
        <v>0</v>
      </c>
      <c r="G507">
        <v>0</v>
      </c>
      <c r="H507">
        <v>0</v>
      </c>
      <c r="I507">
        <v>0</v>
      </c>
      <c r="J507">
        <v>8</v>
      </c>
      <c r="K507">
        <v>0</v>
      </c>
    </row>
    <row r="508" spans="1:11" x14ac:dyDescent="0.2">
      <c r="A508" t="s">
        <v>1761</v>
      </c>
      <c r="B508">
        <v>0</v>
      </c>
      <c r="C508">
        <v>0</v>
      </c>
      <c r="D508">
        <v>0</v>
      </c>
      <c r="E508">
        <v>0</v>
      </c>
      <c r="F508">
        <v>0</v>
      </c>
      <c r="G508">
        <v>0</v>
      </c>
      <c r="H508">
        <v>0</v>
      </c>
      <c r="I508">
        <v>0</v>
      </c>
      <c r="J508">
        <v>0</v>
      </c>
      <c r="K508">
        <v>0</v>
      </c>
    </row>
    <row r="509" spans="1:11" x14ac:dyDescent="0.2">
      <c r="A509" t="s">
        <v>1764</v>
      </c>
      <c r="B509">
        <v>0</v>
      </c>
      <c r="C509">
        <v>0</v>
      </c>
      <c r="D509">
        <v>0</v>
      </c>
      <c r="E509">
        <v>0</v>
      </c>
      <c r="F509">
        <v>0</v>
      </c>
      <c r="G509">
        <v>0</v>
      </c>
      <c r="H509">
        <v>0</v>
      </c>
      <c r="I509">
        <v>0</v>
      </c>
      <c r="J509">
        <v>0</v>
      </c>
      <c r="K509">
        <v>0</v>
      </c>
    </row>
    <row r="510" spans="1:11" x14ac:dyDescent="0.2">
      <c r="A510" t="s">
        <v>1770</v>
      </c>
      <c r="B510">
        <v>0</v>
      </c>
      <c r="C510">
        <v>102</v>
      </c>
      <c r="D510">
        <v>22</v>
      </c>
      <c r="E510">
        <v>0</v>
      </c>
      <c r="F510">
        <v>0</v>
      </c>
      <c r="G510">
        <v>0</v>
      </c>
      <c r="H510">
        <v>0</v>
      </c>
      <c r="I510">
        <v>0</v>
      </c>
      <c r="J510">
        <v>132</v>
      </c>
      <c r="K510">
        <v>0</v>
      </c>
    </row>
    <row r="511" spans="1:11" x14ac:dyDescent="0.2">
      <c r="A511" t="s">
        <v>1772</v>
      </c>
      <c r="B511">
        <v>0</v>
      </c>
      <c r="C511">
        <v>54</v>
      </c>
      <c r="D511">
        <v>12</v>
      </c>
      <c r="E511">
        <v>0</v>
      </c>
      <c r="F511">
        <v>0</v>
      </c>
      <c r="G511">
        <v>0</v>
      </c>
      <c r="H511">
        <v>0</v>
      </c>
      <c r="I511">
        <v>0</v>
      </c>
      <c r="J511">
        <v>60</v>
      </c>
      <c r="K511">
        <v>0</v>
      </c>
    </row>
    <row r="512" spans="1:11" x14ac:dyDescent="0.2">
      <c r="A512" t="s">
        <v>1774</v>
      </c>
      <c r="B512">
        <v>0</v>
      </c>
      <c r="C512">
        <v>42</v>
      </c>
      <c r="D512">
        <v>10</v>
      </c>
      <c r="E512">
        <v>0</v>
      </c>
      <c r="F512">
        <v>0</v>
      </c>
      <c r="G512">
        <v>0</v>
      </c>
      <c r="H512">
        <v>0</v>
      </c>
      <c r="I512">
        <v>0</v>
      </c>
      <c r="J512">
        <v>19</v>
      </c>
      <c r="K512">
        <v>0</v>
      </c>
    </row>
    <row r="513" spans="1:11" x14ac:dyDescent="0.2">
      <c r="A513" t="s">
        <v>1777</v>
      </c>
      <c r="B513">
        <v>0</v>
      </c>
      <c r="C513">
        <v>0</v>
      </c>
      <c r="D513">
        <v>0</v>
      </c>
      <c r="E513">
        <v>0</v>
      </c>
      <c r="F513">
        <v>0</v>
      </c>
      <c r="G513">
        <v>0</v>
      </c>
      <c r="H513">
        <v>0</v>
      </c>
      <c r="I513">
        <v>0</v>
      </c>
      <c r="J513">
        <v>0</v>
      </c>
      <c r="K513">
        <v>0</v>
      </c>
    </row>
    <row r="514" spans="1:11" x14ac:dyDescent="0.2">
      <c r="A514" t="s">
        <v>1782</v>
      </c>
      <c r="B514">
        <v>0</v>
      </c>
      <c r="C514">
        <v>0</v>
      </c>
      <c r="D514">
        <v>0</v>
      </c>
      <c r="E514">
        <v>0</v>
      </c>
      <c r="F514">
        <v>0</v>
      </c>
      <c r="G514">
        <v>0</v>
      </c>
      <c r="H514">
        <v>0</v>
      </c>
      <c r="I514">
        <v>0</v>
      </c>
      <c r="J514">
        <v>0</v>
      </c>
      <c r="K514">
        <v>0</v>
      </c>
    </row>
    <row r="515" spans="1:11" x14ac:dyDescent="0.2">
      <c r="A515" t="s">
        <v>1274</v>
      </c>
      <c r="B515">
        <v>0</v>
      </c>
      <c r="C515">
        <v>1</v>
      </c>
      <c r="D515">
        <v>2</v>
      </c>
      <c r="E515">
        <v>0</v>
      </c>
      <c r="F515">
        <v>0</v>
      </c>
      <c r="G515">
        <v>0</v>
      </c>
      <c r="H515">
        <v>0</v>
      </c>
      <c r="I515">
        <v>0</v>
      </c>
      <c r="J515">
        <v>1</v>
      </c>
      <c r="K515">
        <v>0</v>
      </c>
    </row>
    <row r="516" spans="1:11" x14ac:dyDescent="0.2">
      <c r="A516" t="s">
        <v>1277</v>
      </c>
      <c r="B516">
        <v>0</v>
      </c>
      <c r="C516">
        <v>10</v>
      </c>
      <c r="D516">
        <v>17</v>
      </c>
      <c r="E516">
        <v>0</v>
      </c>
      <c r="F516">
        <v>0</v>
      </c>
      <c r="G516">
        <v>0</v>
      </c>
      <c r="H516">
        <v>0</v>
      </c>
      <c r="I516">
        <v>0</v>
      </c>
      <c r="J516">
        <v>12</v>
      </c>
      <c r="K516">
        <v>0</v>
      </c>
    </row>
    <row r="517" spans="1:11" x14ac:dyDescent="0.2">
      <c r="A517" t="s">
        <v>1798</v>
      </c>
      <c r="B517">
        <v>0</v>
      </c>
      <c r="C517">
        <v>0</v>
      </c>
      <c r="D517">
        <v>0</v>
      </c>
      <c r="E517">
        <v>0</v>
      </c>
      <c r="F517">
        <v>0</v>
      </c>
      <c r="G517">
        <v>0</v>
      </c>
      <c r="H517">
        <v>0</v>
      </c>
      <c r="I517">
        <v>0</v>
      </c>
      <c r="J517">
        <v>0</v>
      </c>
      <c r="K517">
        <v>0</v>
      </c>
    </row>
    <row r="518" spans="1:11" x14ac:dyDescent="0.2">
      <c r="A518" t="s">
        <v>1803</v>
      </c>
      <c r="B518">
        <v>0</v>
      </c>
      <c r="C518">
        <v>0</v>
      </c>
      <c r="D518">
        <v>0</v>
      </c>
      <c r="E518">
        <v>0</v>
      </c>
      <c r="F518">
        <v>0</v>
      </c>
      <c r="G518">
        <v>0</v>
      </c>
      <c r="H518">
        <v>0</v>
      </c>
      <c r="I518">
        <v>0</v>
      </c>
      <c r="J518">
        <v>0</v>
      </c>
      <c r="K518">
        <v>0</v>
      </c>
    </row>
    <row r="519" spans="1:11" x14ac:dyDescent="0.2">
      <c r="A519" t="s">
        <v>1808</v>
      </c>
      <c r="B519">
        <v>0</v>
      </c>
      <c r="C519">
        <v>0</v>
      </c>
      <c r="D519">
        <v>0</v>
      </c>
      <c r="E519">
        <v>0</v>
      </c>
      <c r="F519">
        <v>0</v>
      </c>
      <c r="G519">
        <v>0</v>
      </c>
      <c r="H519">
        <v>0</v>
      </c>
      <c r="I519">
        <v>0</v>
      </c>
      <c r="J519">
        <v>0</v>
      </c>
      <c r="K519">
        <v>0</v>
      </c>
    </row>
    <row r="520" spans="1:11" x14ac:dyDescent="0.2">
      <c r="A520" t="s">
        <v>1813</v>
      </c>
      <c r="B520">
        <v>0</v>
      </c>
      <c r="C520">
        <v>0</v>
      </c>
      <c r="D520">
        <v>0</v>
      </c>
      <c r="E520">
        <v>0</v>
      </c>
      <c r="F520">
        <v>0</v>
      </c>
      <c r="G520">
        <v>0</v>
      </c>
      <c r="H520">
        <v>0</v>
      </c>
      <c r="I520">
        <v>0</v>
      </c>
      <c r="J520">
        <v>0</v>
      </c>
      <c r="K520">
        <v>0</v>
      </c>
    </row>
    <row r="521" spans="1:11" x14ac:dyDescent="0.2">
      <c r="A521" t="s">
        <v>1819</v>
      </c>
      <c r="B521">
        <v>0</v>
      </c>
      <c r="C521">
        <v>12</v>
      </c>
      <c r="D521">
        <v>21</v>
      </c>
      <c r="E521">
        <v>0</v>
      </c>
      <c r="F521">
        <v>0</v>
      </c>
      <c r="G521">
        <v>0</v>
      </c>
      <c r="H521">
        <v>0</v>
      </c>
      <c r="I521">
        <v>0</v>
      </c>
      <c r="J521">
        <v>1</v>
      </c>
      <c r="K521">
        <v>0</v>
      </c>
    </row>
    <row r="522" spans="1:11" x14ac:dyDescent="0.2">
      <c r="A522" t="s">
        <v>1826</v>
      </c>
      <c r="B522">
        <v>0</v>
      </c>
      <c r="C522">
        <v>344</v>
      </c>
      <c r="D522">
        <v>573</v>
      </c>
      <c r="E522">
        <v>0</v>
      </c>
      <c r="F522">
        <v>0</v>
      </c>
      <c r="G522">
        <v>0</v>
      </c>
      <c r="H522">
        <v>0</v>
      </c>
      <c r="I522">
        <v>0</v>
      </c>
      <c r="J522">
        <v>0</v>
      </c>
      <c r="K522">
        <v>0</v>
      </c>
    </row>
    <row r="523" spans="1:11" x14ac:dyDescent="0.2">
      <c r="A523" t="s">
        <v>1830</v>
      </c>
      <c r="B523">
        <v>0</v>
      </c>
      <c r="C523">
        <v>37</v>
      </c>
      <c r="D523">
        <v>65</v>
      </c>
      <c r="E523">
        <v>0</v>
      </c>
      <c r="F523">
        <v>0</v>
      </c>
      <c r="G523">
        <v>0</v>
      </c>
      <c r="H523">
        <v>0</v>
      </c>
      <c r="I523">
        <v>0</v>
      </c>
      <c r="J523">
        <v>0</v>
      </c>
      <c r="K523">
        <v>0</v>
      </c>
    </row>
    <row r="524" spans="1:11" x14ac:dyDescent="0.2">
      <c r="A524" t="s">
        <v>1836</v>
      </c>
      <c r="B524">
        <v>0</v>
      </c>
      <c r="C524">
        <v>0</v>
      </c>
      <c r="D524">
        <v>0</v>
      </c>
      <c r="E524">
        <v>0</v>
      </c>
      <c r="F524">
        <v>0</v>
      </c>
      <c r="G524">
        <v>0</v>
      </c>
      <c r="H524">
        <v>0</v>
      </c>
      <c r="I524">
        <v>0</v>
      </c>
      <c r="J524">
        <v>0</v>
      </c>
      <c r="K524">
        <v>0</v>
      </c>
    </row>
    <row r="525" spans="1:11" x14ac:dyDescent="0.2">
      <c r="A525" t="s">
        <v>1841</v>
      </c>
      <c r="B525">
        <v>0</v>
      </c>
      <c r="C525">
        <v>33</v>
      </c>
      <c r="D525">
        <v>51</v>
      </c>
      <c r="E525">
        <v>0</v>
      </c>
      <c r="F525">
        <v>0</v>
      </c>
      <c r="G525">
        <v>0</v>
      </c>
      <c r="H525">
        <v>0</v>
      </c>
      <c r="I525">
        <v>0</v>
      </c>
      <c r="J525">
        <v>5</v>
      </c>
      <c r="K525">
        <v>0</v>
      </c>
    </row>
    <row r="526" spans="1:11" x14ac:dyDescent="0.2">
      <c r="A526" t="s">
        <v>1842</v>
      </c>
      <c r="B526">
        <v>0</v>
      </c>
      <c r="C526">
        <v>69</v>
      </c>
      <c r="D526">
        <v>25</v>
      </c>
      <c r="E526">
        <v>0</v>
      </c>
      <c r="F526">
        <v>0</v>
      </c>
      <c r="G526">
        <v>0</v>
      </c>
      <c r="H526">
        <v>0</v>
      </c>
      <c r="I526">
        <v>0</v>
      </c>
      <c r="J526">
        <v>157</v>
      </c>
      <c r="K526">
        <v>0</v>
      </c>
    </row>
    <row r="527" spans="1:11" x14ac:dyDescent="0.2">
      <c r="A527" t="s">
        <v>1843</v>
      </c>
      <c r="B527">
        <v>0</v>
      </c>
      <c r="C527">
        <v>128</v>
      </c>
      <c r="D527">
        <v>212</v>
      </c>
      <c r="E527">
        <v>0</v>
      </c>
      <c r="F527">
        <v>0</v>
      </c>
      <c r="G527">
        <v>0</v>
      </c>
      <c r="H527">
        <v>0</v>
      </c>
      <c r="I527">
        <v>0</v>
      </c>
      <c r="J527">
        <v>0</v>
      </c>
      <c r="K527">
        <v>0</v>
      </c>
    </row>
    <row r="528" spans="1:11" x14ac:dyDescent="0.2">
      <c r="A528" t="s">
        <v>1846</v>
      </c>
      <c r="B528">
        <v>0</v>
      </c>
      <c r="C528">
        <v>0</v>
      </c>
      <c r="D528">
        <v>0</v>
      </c>
      <c r="E528">
        <v>0</v>
      </c>
      <c r="F528">
        <v>0</v>
      </c>
      <c r="G528">
        <v>0</v>
      </c>
      <c r="H528">
        <v>0</v>
      </c>
      <c r="I528">
        <v>0</v>
      </c>
      <c r="J528">
        <v>0</v>
      </c>
      <c r="K528">
        <v>0</v>
      </c>
    </row>
    <row r="529" spans="1:11" x14ac:dyDescent="0.2">
      <c r="A529" t="s">
        <v>1851</v>
      </c>
      <c r="B529">
        <v>0</v>
      </c>
      <c r="C529">
        <v>27</v>
      </c>
      <c r="D529">
        <v>43</v>
      </c>
      <c r="E529">
        <v>0</v>
      </c>
      <c r="F529">
        <v>0</v>
      </c>
      <c r="G529">
        <v>0</v>
      </c>
      <c r="H529">
        <v>0</v>
      </c>
      <c r="I529">
        <v>0</v>
      </c>
      <c r="J529">
        <v>785</v>
      </c>
      <c r="K529">
        <v>0</v>
      </c>
    </row>
    <row r="530" spans="1:11" x14ac:dyDescent="0.2">
      <c r="A530" t="s">
        <v>1857</v>
      </c>
      <c r="B530">
        <v>0</v>
      </c>
      <c r="C530">
        <v>0</v>
      </c>
      <c r="D530">
        <v>0</v>
      </c>
      <c r="E530">
        <v>0</v>
      </c>
      <c r="F530">
        <v>0</v>
      </c>
      <c r="G530">
        <v>0</v>
      </c>
      <c r="H530">
        <v>0</v>
      </c>
      <c r="I530">
        <v>0</v>
      </c>
      <c r="J530">
        <v>5</v>
      </c>
      <c r="K530">
        <v>0</v>
      </c>
    </row>
    <row r="531" spans="1:11" x14ac:dyDescent="0.2">
      <c r="A531" t="s">
        <v>1862</v>
      </c>
      <c r="B531">
        <v>0</v>
      </c>
      <c r="C531">
        <v>0</v>
      </c>
      <c r="D531">
        <v>0</v>
      </c>
      <c r="E531">
        <v>0</v>
      </c>
      <c r="F531">
        <v>0</v>
      </c>
      <c r="G531">
        <v>0</v>
      </c>
      <c r="H531">
        <v>0</v>
      </c>
      <c r="I531">
        <v>0</v>
      </c>
      <c r="J531">
        <v>5133</v>
      </c>
      <c r="K531">
        <v>0</v>
      </c>
    </row>
    <row r="532" spans="1:11" x14ac:dyDescent="0.2">
      <c r="A532" t="s">
        <v>1867</v>
      </c>
      <c r="B532">
        <v>0</v>
      </c>
      <c r="C532">
        <v>0</v>
      </c>
      <c r="D532">
        <v>0</v>
      </c>
      <c r="E532">
        <v>0</v>
      </c>
      <c r="F532">
        <v>0</v>
      </c>
      <c r="G532">
        <v>0</v>
      </c>
      <c r="H532">
        <v>0</v>
      </c>
      <c r="I532">
        <v>0</v>
      </c>
      <c r="J532">
        <v>203</v>
      </c>
      <c r="K532">
        <v>0</v>
      </c>
    </row>
    <row r="533" spans="1:11" x14ac:dyDescent="0.2">
      <c r="A533" t="s">
        <v>1870</v>
      </c>
      <c r="B533">
        <v>0</v>
      </c>
      <c r="C533">
        <v>0</v>
      </c>
      <c r="D533">
        <v>0</v>
      </c>
      <c r="E533">
        <v>0</v>
      </c>
      <c r="F533">
        <v>0</v>
      </c>
      <c r="G533">
        <v>0</v>
      </c>
      <c r="H533">
        <v>0</v>
      </c>
      <c r="I533">
        <v>0</v>
      </c>
      <c r="J533">
        <v>0</v>
      </c>
      <c r="K533">
        <v>0</v>
      </c>
    </row>
    <row r="534" spans="1:11" x14ac:dyDescent="0.2">
      <c r="A534" t="s">
        <v>1874</v>
      </c>
      <c r="B534">
        <v>0</v>
      </c>
      <c r="C534">
        <v>7</v>
      </c>
      <c r="D534">
        <v>3</v>
      </c>
      <c r="E534">
        <v>0</v>
      </c>
      <c r="F534">
        <v>0</v>
      </c>
      <c r="G534">
        <v>0</v>
      </c>
      <c r="H534">
        <v>0</v>
      </c>
      <c r="I534">
        <v>0</v>
      </c>
      <c r="J534">
        <v>503</v>
      </c>
      <c r="K534">
        <v>0</v>
      </c>
    </row>
    <row r="535" spans="1:11" x14ac:dyDescent="0.2">
      <c r="A535" t="s">
        <v>1876</v>
      </c>
      <c r="B535">
        <v>0</v>
      </c>
      <c r="C535">
        <v>0</v>
      </c>
      <c r="D535">
        <v>0</v>
      </c>
      <c r="E535">
        <v>0</v>
      </c>
      <c r="F535">
        <v>0</v>
      </c>
      <c r="G535">
        <v>0</v>
      </c>
      <c r="H535">
        <v>0</v>
      </c>
      <c r="I535">
        <v>0</v>
      </c>
      <c r="J535">
        <v>653</v>
      </c>
      <c r="K535">
        <v>0</v>
      </c>
    </row>
    <row r="536" spans="1:11" x14ac:dyDescent="0.2">
      <c r="A536" t="s">
        <v>1881</v>
      </c>
      <c r="B536">
        <v>0</v>
      </c>
      <c r="C536">
        <v>0</v>
      </c>
      <c r="D536">
        <v>0</v>
      </c>
      <c r="E536">
        <v>0</v>
      </c>
      <c r="F536">
        <v>0</v>
      </c>
      <c r="G536">
        <v>0</v>
      </c>
      <c r="H536">
        <v>0</v>
      </c>
      <c r="I536">
        <v>0</v>
      </c>
      <c r="J536">
        <v>0</v>
      </c>
      <c r="K536">
        <v>0</v>
      </c>
    </row>
    <row r="537" spans="1:11" x14ac:dyDescent="0.2">
      <c r="A537" t="s">
        <v>1885</v>
      </c>
      <c r="B537">
        <v>0</v>
      </c>
      <c r="C537">
        <v>43</v>
      </c>
      <c r="D537">
        <v>62</v>
      </c>
      <c r="E537">
        <v>0</v>
      </c>
      <c r="F537">
        <v>0</v>
      </c>
      <c r="G537">
        <v>0</v>
      </c>
      <c r="H537">
        <v>0</v>
      </c>
      <c r="I537">
        <v>0</v>
      </c>
      <c r="J537">
        <v>133</v>
      </c>
      <c r="K537">
        <v>0</v>
      </c>
    </row>
    <row r="538" spans="1:11" x14ac:dyDescent="0.2">
      <c r="A538" t="s">
        <v>1887</v>
      </c>
      <c r="B538">
        <v>0</v>
      </c>
      <c r="C538">
        <v>0</v>
      </c>
      <c r="D538">
        <v>0</v>
      </c>
      <c r="E538">
        <v>0</v>
      </c>
      <c r="F538">
        <v>0</v>
      </c>
      <c r="G538">
        <v>0</v>
      </c>
      <c r="H538">
        <v>0</v>
      </c>
      <c r="I538">
        <v>0</v>
      </c>
      <c r="J538">
        <v>1</v>
      </c>
      <c r="K538">
        <v>0</v>
      </c>
    </row>
    <row r="539" spans="1:11" x14ac:dyDescent="0.2">
      <c r="A539" t="s">
        <v>1893</v>
      </c>
      <c r="B539">
        <v>0</v>
      </c>
      <c r="C539">
        <v>1</v>
      </c>
      <c r="D539">
        <v>2</v>
      </c>
      <c r="E539">
        <v>0</v>
      </c>
      <c r="F539">
        <v>0</v>
      </c>
      <c r="G539">
        <v>0</v>
      </c>
      <c r="H539">
        <v>0</v>
      </c>
      <c r="I539">
        <v>0</v>
      </c>
      <c r="J539">
        <v>14</v>
      </c>
      <c r="K539">
        <v>0</v>
      </c>
    </row>
    <row r="540" spans="1:11" x14ac:dyDescent="0.2">
      <c r="A540" t="s">
        <v>1899</v>
      </c>
      <c r="B540">
        <v>0</v>
      </c>
      <c r="C540">
        <v>0</v>
      </c>
      <c r="D540">
        <v>0</v>
      </c>
      <c r="E540">
        <v>0</v>
      </c>
      <c r="F540">
        <v>0</v>
      </c>
      <c r="G540">
        <v>0</v>
      </c>
      <c r="H540">
        <v>0</v>
      </c>
      <c r="I540">
        <v>0</v>
      </c>
      <c r="J540">
        <v>0</v>
      </c>
      <c r="K540">
        <v>0</v>
      </c>
    </row>
    <row r="541" spans="1:11" x14ac:dyDescent="0.2">
      <c r="A541" t="s">
        <v>1906</v>
      </c>
      <c r="B541">
        <v>0</v>
      </c>
      <c r="C541">
        <v>0</v>
      </c>
      <c r="D541">
        <v>0</v>
      </c>
      <c r="E541">
        <v>0</v>
      </c>
      <c r="F541">
        <v>0</v>
      </c>
      <c r="G541">
        <v>0</v>
      </c>
      <c r="H541">
        <v>0</v>
      </c>
      <c r="I541">
        <v>0</v>
      </c>
      <c r="J541">
        <v>0</v>
      </c>
      <c r="K541">
        <v>0</v>
      </c>
    </row>
    <row r="542" spans="1:11" x14ac:dyDescent="0.2">
      <c r="A542" t="s">
        <v>1911</v>
      </c>
      <c r="B542">
        <v>0</v>
      </c>
      <c r="C542">
        <v>0</v>
      </c>
      <c r="D542">
        <v>0</v>
      </c>
      <c r="E542">
        <v>0</v>
      </c>
      <c r="F542">
        <v>0</v>
      </c>
      <c r="G542">
        <v>0</v>
      </c>
      <c r="H542">
        <v>0</v>
      </c>
      <c r="I542">
        <v>0</v>
      </c>
      <c r="J542">
        <v>0</v>
      </c>
      <c r="K542">
        <v>0</v>
      </c>
    </row>
    <row r="543" spans="1:11" x14ac:dyDescent="0.2">
      <c r="A543" t="s">
        <v>1917</v>
      </c>
      <c r="B543">
        <v>0</v>
      </c>
      <c r="C543">
        <v>0</v>
      </c>
      <c r="D543">
        <v>0</v>
      </c>
      <c r="E543">
        <v>0</v>
      </c>
      <c r="F543">
        <v>0</v>
      </c>
      <c r="G543">
        <v>0</v>
      </c>
      <c r="H543">
        <v>0</v>
      </c>
      <c r="I543">
        <v>0</v>
      </c>
      <c r="J543">
        <v>0</v>
      </c>
      <c r="K543">
        <v>0</v>
      </c>
    </row>
    <row r="544" spans="1:11" x14ac:dyDescent="0.2">
      <c r="A544" t="s">
        <v>1922</v>
      </c>
      <c r="B544">
        <v>0</v>
      </c>
      <c r="C544">
        <v>0</v>
      </c>
      <c r="D544">
        <v>0</v>
      </c>
      <c r="E544">
        <v>0</v>
      </c>
      <c r="F544">
        <v>0</v>
      </c>
      <c r="G544">
        <v>0</v>
      </c>
      <c r="H544">
        <v>0</v>
      </c>
      <c r="I544">
        <v>0</v>
      </c>
      <c r="J544">
        <v>54</v>
      </c>
      <c r="K544">
        <v>0</v>
      </c>
    </row>
    <row r="545" spans="1:11" x14ac:dyDescent="0.2">
      <c r="A545" t="s">
        <v>1928</v>
      </c>
      <c r="B545">
        <v>0</v>
      </c>
      <c r="C545">
        <v>0</v>
      </c>
      <c r="D545">
        <v>0</v>
      </c>
      <c r="E545">
        <v>0</v>
      </c>
      <c r="F545">
        <v>0</v>
      </c>
      <c r="G545">
        <v>0</v>
      </c>
      <c r="H545">
        <v>0</v>
      </c>
      <c r="I545">
        <v>0</v>
      </c>
      <c r="J545">
        <v>0</v>
      </c>
      <c r="K545">
        <v>0</v>
      </c>
    </row>
    <row r="546" spans="1:11" x14ac:dyDescent="0.2">
      <c r="A546" t="s">
        <v>1932</v>
      </c>
      <c r="B546">
        <v>0</v>
      </c>
      <c r="C546">
        <v>0</v>
      </c>
      <c r="D546">
        <v>0</v>
      </c>
      <c r="E546">
        <v>0</v>
      </c>
      <c r="F546">
        <v>0</v>
      </c>
      <c r="G546">
        <v>0</v>
      </c>
      <c r="H546">
        <v>0</v>
      </c>
      <c r="I546">
        <v>0</v>
      </c>
      <c r="J546">
        <v>0</v>
      </c>
      <c r="K546">
        <v>0</v>
      </c>
    </row>
    <row r="547" spans="1:11" x14ac:dyDescent="0.2">
      <c r="A547" t="s">
        <v>1938</v>
      </c>
      <c r="B547">
        <v>0</v>
      </c>
      <c r="C547">
        <v>0</v>
      </c>
      <c r="D547">
        <v>0</v>
      </c>
      <c r="E547">
        <v>0</v>
      </c>
      <c r="F547">
        <v>0</v>
      </c>
      <c r="G547">
        <v>0</v>
      </c>
      <c r="H547">
        <v>0</v>
      </c>
      <c r="I547">
        <v>0</v>
      </c>
      <c r="J547">
        <v>0</v>
      </c>
      <c r="K547">
        <v>0</v>
      </c>
    </row>
    <row r="548" spans="1:11" x14ac:dyDescent="0.2">
      <c r="A548" t="s">
        <v>1944</v>
      </c>
      <c r="B548">
        <v>0</v>
      </c>
      <c r="C548">
        <v>1</v>
      </c>
      <c r="D548">
        <v>2</v>
      </c>
      <c r="E548">
        <v>0</v>
      </c>
      <c r="F548">
        <v>0</v>
      </c>
      <c r="G548">
        <v>0</v>
      </c>
      <c r="H548">
        <v>0</v>
      </c>
      <c r="I548">
        <v>0</v>
      </c>
      <c r="J548">
        <v>13</v>
      </c>
      <c r="K548">
        <v>0</v>
      </c>
    </row>
    <row r="549" spans="1:11" x14ac:dyDescent="0.2">
      <c r="A549" t="s">
        <v>1947</v>
      </c>
      <c r="B549">
        <v>0</v>
      </c>
      <c r="C549">
        <v>0</v>
      </c>
      <c r="D549">
        <v>0</v>
      </c>
      <c r="E549">
        <v>0</v>
      </c>
      <c r="F549">
        <v>0</v>
      </c>
      <c r="G549">
        <v>0</v>
      </c>
      <c r="H549">
        <v>0</v>
      </c>
      <c r="I549">
        <v>0</v>
      </c>
      <c r="J549">
        <v>0</v>
      </c>
      <c r="K549">
        <v>0</v>
      </c>
    </row>
    <row r="550" spans="1:11" x14ac:dyDescent="0.2">
      <c r="A550" t="s">
        <v>1953</v>
      </c>
      <c r="B550">
        <v>0</v>
      </c>
      <c r="C550">
        <v>0</v>
      </c>
      <c r="D550">
        <v>0</v>
      </c>
      <c r="E550">
        <v>0</v>
      </c>
      <c r="F550">
        <v>0</v>
      </c>
      <c r="G550">
        <v>0</v>
      </c>
      <c r="H550">
        <v>0</v>
      </c>
      <c r="I550">
        <v>0</v>
      </c>
      <c r="J550">
        <v>1</v>
      </c>
      <c r="K550">
        <v>0</v>
      </c>
    </row>
    <row r="551" spans="1:11" x14ac:dyDescent="0.2">
      <c r="A551" t="s">
        <v>1958</v>
      </c>
      <c r="B551">
        <v>0</v>
      </c>
      <c r="C551">
        <v>0</v>
      </c>
      <c r="D551">
        <v>0</v>
      </c>
      <c r="E551">
        <v>0</v>
      </c>
      <c r="F551">
        <v>0</v>
      </c>
      <c r="G551">
        <v>0</v>
      </c>
      <c r="H551">
        <v>0</v>
      </c>
      <c r="I551">
        <v>0</v>
      </c>
      <c r="J551">
        <v>0</v>
      </c>
      <c r="K551">
        <v>0</v>
      </c>
    </row>
    <row r="552" spans="1:11" x14ac:dyDescent="0.2">
      <c r="A552" t="s">
        <v>1964</v>
      </c>
      <c r="B552">
        <v>0</v>
      </c>
      <c r="C552">
        <v>0</v>
      </c>
      <c r="D552">
        <v>0</v>
      </c>
      <c r="E552">
        <v>0</v>
      </c>
      <c r="F552">
        <v>0</v>
      </c>
      <c r="G552">
        <v>0</v>
      </c>
      <c r="H552">
        <v>0</v>
      </c>
      <c r="I552">
        <v>0</v>
      </c>
      <c r="J552">
        <v>0</v>
      </c>
      <c r="K552">
        <v>0</v>
      </c>
    </row>
    <row r="553" spans="1:11" x14ac:dyDescent="0.2">
      <c r="A553" t="s">
        <v>1973</v>
      </c>
      <c r="B553">
        <v>0</v>
      </c>
      <c r="C553">
        <v>0</v>
      </c>
      <c r="D553">
        <v>0</v>
      </c>
      <c r="E553">
        <v>0</v>
      </c>
      <c r="F553">
        <v>0</v>
      </c>
      <c r="G553">
        <v>0</v>
      </c>
      <c r="H553">
        <v>0</v>
      </c>
      <c r="I553">
        <v>0</v>
      </c>
      <c r="J553">
        <v>0</v>
      </c>
      <c r="K553">
        <v>0</v>
      </c>
    </row>
    <row r="554" spans="1:11" x14ac:dyDescent="0.2">
      <c r="A554" t="s">
        <v>1978</v>
      </c>
      <c r="B554">
        <v>0</v>
      </c>
      <c r="C554">
        <v>0</v>
      </c>
      <c r="D554">
        <v>0</v>
      </c>
      <c r="E554">
        <v>0</v>
      </c>
      <c r="F554">
        <v>0</v>
      </c>
      <c r="G554">
        <v>0</v>
      </c>
      <c r="H554">
        <v>0</v>
      </c>
      <c r="I554">
        <v>0</v>
      </c>
      <c r="J554">
        <v>0</v>
      </c>
      <c r="K554">
        <v>0</v>
      </c>
    </row>
    <row r="555" spans="1:11" x14ac:dyDescent="0.2">
      <c r="A555" t="s">
        <v>1983</v>
      </c>
      <c r="B555">
        <v>0</v>
      </c>
      <c r="C555">
        <v>1</v>
      </c>
      <c r="D555">
        <v>1</v>
      </c>
      <c r="E555">
        <v>0</v>
      </c>
      <c r="F555">
        <v>0</v>
      </c>
      <c r="G555">
        <v>0</v>
      </c>
      <c r="H555">
        <v>0</v>
      </c>
      <c r="I555">
        <v>0</v>
      </c>
      <c r="J555">
        <v>1</v>
      </c>
      <c r="K555">
        <v>0</v>
      </c>
    </row>
    <row r="556" spans="1:11" x14ac:dyDescent="0.2">
      <c r="A556" t="s">
        <v>1984</v>
      </c>
      <c r="B556">
        <v>0</v>
      </c>
      <c r="C556">
        <v>0</v>
      </c>
      <c r="D556">
        <v>0</v>
      </c>
      <c r="E556">
        <v>0</v>
      </c>
      <c r="F556">
        <v>0</v>
      </c>
      <c r="G556">
        <v>0</v>
      </c>
      <c r="H556">
        <v>0</v>
      </c>
      <c r="I556">
        <v>0</v>
      </c>
      <c r="J556">
        <v>0</v>
      </c>
      <c r="K556">
        <v>0</v>
      </c>
    </row>
    <row r="557" spans="1:11" x14ac:dyDescent="0.2">
      <c r="A557" t="s">
        <v>1990</v>
      </c>
      <c r="B557">
        <v>0</v>
      </c>
      <c r="C557">
        <v>0</v>
      </c>
      <c r="D557">
        <v>0</v>
      </c>
      <c r="E557">
        <v>0</v>
      </c>
      <c r="F557">
        <v>0</v>
      </c>
      <c r="G557">
        <v>0</v>
      </c>
      <c r="H557">
        <v>0</v>
      </c>
      <c r="I557">
        <v>0</v>
      </c>
      <c r="J557">
        <v>0</v>
      </c>
      <c r="K557">
        <v>0</v>
      </c>
    </row>
    <row r="558" spans="1:11" x14ac:dyDescent="0.2">
      <c r="A558" t="s">
        <v>1996</v>
      </c>
      <c r="B558">
        <v>0</v>
      </c>
      <c r="C558">
        <v>0</v>
      </c>
      <c r="D558">
        <v>0</v>
      </c>
      <c r="E558">
        <v>0</v>
      </c>
      <c r="F558">
        <v>0</v>
      </c>
      <c r="G558">
        <v>0</v>
      </c>
      <c r="H558">
        <v>0</v>
      </c>
      <c r="I558">
        <v>0</v>
      </c>
      <c r="J558">
        <v>0</v>
      </c>
      <c r="K558">
        <v>0</v>
      </c>
    </row>
    <row r="559" spans="1:11" x14ac:dyDescent="0.2">
      <c r="A559" t="s">
        <v>1998</v>
      </c>
      <c r="B559">
        <v>0</v>
      </c>
      <c r="C559">
        <v>0</v>
      </c>
      <c r="D559">
        <v>0</v>
      </c>
      <c r="E559">
        <v>0</v>
      </c>
      <c r="F559">
        <v>0</v>
      </c>
      <c r="G559">
        <v>0</v>
      </c>
      <c r="H559">
        <v>0</v>
      </c>
      <c r="I559">
        <v>0</v>
      </c>
      <c r="J559">
        <v>0</v>
      </c>
      <c r="K559">
        <v>0</v>
      </c>
    </row>
    <row r="560" spans="1:11" x14ac:dyDescent="0.2">
      <c r="A560" t="s">
        <v>1999</v>
      </c>
      <c r="B560">
        <v>0</v>
      </c>
      <c r="C560">
        <v>0</v>
      </c>
      <c r="D560">
        <v>0</v>
      </c>
      <c r="E560">
        <v>0</v>
      </c>
      <c r="F560">
        <v>0</v>
      </c>
      <c r="G560">
        <v>0</v>
      </c>
      <c r="H560">
        <v>0</v>
      </c>
      <c r="I560">
        <v>0</v>
      </c>
      <c r="J560">
        <v>0</v>
      </c>
      <c r="K560">
        <v>0</v>
      </c>
    </row>
    <row r="561" spans="1:11" x14ac:dyDescent="0.2">
      <c r="A561" t="s">
        <v>2004</v>
      </c>
      <c r="B561">
        <v>0</v>
      </c>
      <c r="C561">
        <v>0</v>
      </c>
      <c r="D561">
        <v>0</v>
      </c>
      <c r="E561">
        <v>0</v>
      </c>
      <c r="F561">
        <v>0</v>
      </c>
      <c r="G561">
        <v>0</v>
      </c>
      <c r="H561">
        <v>0</v>
      </c>
      <c r="I561">
        <v>0</v>
      </c>
      <c r="J561">
        <v>0</v>
      </c>
      <c r="K561">
        <v>0</v>
      </c>
    </row>
    <row r="562" spans="1:11" x14ac:dyDescent="0.2">
      <c r="A562" t="s">
        <v>2009</v>
      </c>
      <c r="B562">
        <v>0</v>
      </c>
      <c r="C562">
        <v>0</v>
      </c>
      <c r="D562">
        <v>0</v>
      </c>
      <c r="E562">
        <v>0</v>
      </c>
      <c r="F562">
        <v>0</v>
      </c>
      <c r="G562">
        <v>0</v>
      </c>
      <c r="H562">
        <v>0</v>
      </c>
      <c r="I562">
        <v>0</v>
      </c>
      <c r="J562">
        <v>0</v>
      </c>
      <c r="K562">
        <v>0</v>
      </c>
    </row>
    <row r="563" spans="1:11" x14ac:dyDescent="0.2">
      <c r="A563" t="s">
        <v>2014</v>
      </c>
      <c r="B563">
        <v>0</v>
      </c>
      <c r="C563">
        <v>0</v>
      </c>
      <c r="D563">
        <v>0</v>
      </c>
      <c r="E563">
        <v>0</v>
      </c>
      <c r="F563">
        <v>0</v>
      </c>
      <c r="G563">
        <v>0</v>
      </c>
      <c r="H563">
        <v>0</v>
      </c>
      <c r="I563">
        <v>0</v>
      </c>
      <c r="J563">
        <v>0</v>
      </c>
      <c r="K563">
        <v>0</v>
      </c>
    </row>
    <row r="564" spans="1:11" x14ac:dyDescent="0.2">
      <c r="A564" t="s">
        <v>2019</v>
      </c>
      <c r="B564">
        <v>0</v>
      </c>
      <c r="C564">
        <v>0</v>
      </c>
      <c r="D564">
        <v>0</v>
      </c>
      <c r="E564">
        <v>0</v>
      </c>
      <c r="F564">
        <v>0</v>
      </c>
      <c r="G564">
        <v>0</v>
      </c>
      <c r="H564">
        <v>0</v>
      </c>
      <c r="I564">
        <v>0</v>
      </c>
      <c r="J564">
        <v>0</v>
      </c>
      <c r="K564">
        <v>0</v>
      </c>
    </row>
    <row r="565" spans="1:11" x14ac:dyDescent="0.2">
      <c r="A565" t="s">
        <v>2023</v>
      </c>
      <c r="B565">
        <v>0</v>
      </c>
      <c r="C565">
        <v>0</v>
      </c>
      <c r="D565">
        <v>0</v>
      </c>
      <c r="E565">
        <v>0</v>
      </c>
      <c r="F565">
        <v>0</v>
      </c>
      <c r="G565">
        <v>0</v>
      </c>
      <c r="H565">
        <v>0</v>
      </c>
      <c r="I565">
        <v>0</v>
      </c>
      <c r="J565">
        <v>0</v>
      </c>
      <c r="K565">
        <v>0</v>
      </c>
    </row>
    <row r="566" spans="1:11" x14ac:dyDescent="0.2">
      <c r="A566" t="s">
        <v>2026</v>
      </c>
      <c r="B566">
        <v>0</v>
      </c>
      <c r="C566">
        <v>0</v>
      </c>
      <c r="D566">
        <v>0</v>
      </c>
      <c r="E566">
        <v>0</v>
      </c>
      <c r="F566">
        <v>0</v>
      </c>
      <c r="G566">
        <v>0</v>
      </c>
      <c r="H566">
        <v>0</v>
      </c>
      <c r="I566">
        <v>0</v>
      </c>
      <c r="J566">
        <v>0</v>
      </c>
      <c r="K566">
        <v>0</v>
      </c>
    </row>
    <row r="567" spans="1:11" x14ac:dyDescent="0.2">
      <c r="A567" t="s">
        <v>2030</v>
      </c>
      <c r="B567">
        <v>0</v>
      </c>
      <c r="C567">
        <v>0</v>
      </c>
      <c r="D567">
        <v>0</v>
      </c>
      <c r="E567">
        <v>0</v>
      </c>
      <c r="F567">
        <v>0</v>
      </c>
      <c r="G567">
        <v>0</v>
      </c>
      <c r="H567">
        <v>0</v>
      </c>
      <c r="I567">
        <v>0</v>
      </c>
      <c r="J567">
        <v>0</v>
      </c>
      <c r="K567">
        <v>0</v>
      </c>
    </row>
    <row r="568" spans="1:11" x14ac:dyDescent="0.2">
      <c r="A568" t="s">
        <v>2035</v>
      </c>
      <c r="B568">
        <v>0</v>
      </c>
      <c r="C568">
        <v>0</v>
      </c>
      <c r="D568">
        <v>0</v>
      </c>
      <c r="E568">
        <v>0</v>
      </c>
      <c r="F568">
        <v>0</v>
      </c>
      <c r="G568">
        <v>0</v>
      </c>
      <c r="H568">
        <v>0</v>
      </c>
      <c r="I568">
        <v>0</v>
      </c>
      <c r="J568">
        <v>0</v>
      </c>
      <c r="K568">
        <v>0</v>
      </c>
    </row>
    <row r="569" spans="1:11" x14ac:dyDescent="0.2">
      <c r="A569" t="s">
        <v>2040</v>
      </c>
      <c r="B569">
        <v>0</v>
      </c>
      <c r="C569">
        <v>0</v>
      </c>
      <c r="D569">
        <v>0</v>
      </c>
      <c r="E569">
        <v>0</v>
      </c>
      <c r="F569">
        <v>0</v>
      </c>
      <c r="G569">
        <v>0</v>
      </c>
      <c r="H569">
        <v>0</v>
      </c>
      <c r="I569">
        <v>0</v>
      </c>
      <c r="J569">
        <v>0</v>
      </c>
      <c r="K569">
        <v>0</v>
      </c>
    </row>
    <row r="570" spans="1:11" x14ac:dyDescent="0.2">
      <c r="A570" t="s">
        <v>2045</v>
      </c>
      <c r="B570">
        <v>0</v>
      </c>
      <c r="C570">
        <v>0</v>
      </c>
      <c r="D570">
        <v>0</v>
      </c>
      <c r="E570">
        <v>0</v>
      </c>
      <c r="F570">
        <v>0</v>
      </c>
      <c r="G570">
        <v>0</v>
      </c>
      <c r="H570">
        <v>0</v>
      </c>
      <c r="I570">
        <v>0</v>
      </c>
      <c r="J570">
        <v>0</v>
      </c>
      <c r="K570">
        <v>0</v>
      </c>
    </row>
    <row r="571" spans="1:11" x14ac:dyDescent="0.2">
      <c r="A571" t="s">
        <v>2049</v>
      </c>
      <c r="B571">
        <v>0</v>
      </c>
      <c r="C571">
        <v>0</v>
      </c>
      <c r="D571">
        <v>1</v>
      </c>
      <c r="E571">
        <v>0</v>
      </c>
      <c r="F571">
        <v>0</v>
      </c>
      <c r="G571">
        <v>0</v>
      </c>
      <c r="H571">
        <v>0</v>
      </c>
      <c r="I571">
        <v>0</v>
      </c>
      <c r="J571">
        <v>0</v>
      </c>
      <c r="K571">
        <v>0</v>
      </c>
    </row>
    <row r="572" spans="1:11" x14ac:dyDescent="0.2">
      <c r="A572" t="s">
        <v>2051</v>
      </c>
      <c r="B572">
        <v>0</v>
      </c>
      <c r="C572">
        <v>0</v>
      </c>
      <c r="D572">
        <v>0</v>
      </c>
      <c r="E572">
        <v>0</v>
      </c>
      <c r="F572">
        <v>0</v>
      </c>
      <c r="G572">
        <v>0</v>
      </c>
      <c r="H572">
        <v>0</v>
      </c>
      <c r="I572">
        <v>0</v>
      </c>
      <c r="J572">
        <v>2</v>
      </c>
      <c r="K572">
        <v>0</v>
      </c>
    </row>
    <row r="573" spans="1:11" x14ac:dyDescent="0.2">
      <c r="A573" t="s">
        <v>2057</v>
      </c>
      <c r="B573">
        <v>0</v>
      </c>
      <c r="C573">
        <v>0</v>
      </c>
      <c r="D573">
        <v>1</v>
      </c>
      <c r="E573">
        <v>0</v>
      </c>
      <c r="F573">
        <v>0</v>
      </c>
      <c r="G573">
        <v>0</v>
      </c>
      <c r="H573">
        <v>0</v>
      </c>
      <c r="I573">
        <v>0</v>
      </c>
      <c r="J573">
        <v>3</v>
      </c>
      <c r="K573">
        <v>0</v>
      </c>
    </row>
    <row r="574" spans="1:11" x14ac:dyDescent="0.2">
      <c r="A574" t="s">
        <v>4344</v>
      </c>
      <c r="B574">
        <v>0</v>
      </c>
      <c r="C574">
        <v>0</v>
      </c>
      <c r="D574">
        <v>0</v>
      </c>
      <c r="E574">
        <v>0</v>
      </c>
      <c r="F574">
        <v>0</v>
      </c>
      <c r="G574">
        <v>0</v>
      </c>
      <c r="H574">
        <v>0</v>
      </c>
      <c r="I574">
        <v>0</v>
      </c>
      <c r="J574">
        <v>1</v>
      </c>
      <c r="K574">
        <v>0</v>
      </c>
    </row>
    <row r="575" spans="1:11" x14ac:dyDescent="0.2">
      <c r="A575" t="s">
        <v>4345</v>
      </c>
      <c r="B575">
        <v>0</v>
      </c>
      <c r="C575">
        <v>0</v>
      </c>
      <c r="D575">
        <v>0</v>
      </c>
      <c r="E575">
        <v>0</v>
      </c>
      <c r="F575">
        <v>0</v>
      </c>
      <c r="G575">
        <v>0</v>
      </c>
      <c r="H575">
        <v>0</v>
      </c>
      <c r="I575">
        <v>0</v>
      </c>
      <c r="J575">
        <v>7</v>
      </c>
      <c r="K575">
        <v>0</v>
      </c>
    </row>
    <row r="576" spans="1:11" x14ac:dyDescent="0.2">
      <c r="A576" t="s">
        <v>2074</v>
      </c>
      <c r="B576">
        <v>0</v>
      </c>
      <c r="C576">
        <v>0</v>
      </c>
      <c r="D576">
        <v>0</v>
      </c>
      <c r="E576">
        <v>0</v>
      </c>
      <c r="F576">
        <v>0</v>
      </c>
      <c r="G576">
        <v>0</v>
      </c>
      <c r="H576">
        <v>0</v>
      </c>
      <c r="I576">
        <v>0</v>
      </c>
      <c r="J576">
        <v>0</v>
      </c>
      <c r="K576">
        <v>0</v>
      </c>
    </row>
    <row r="577" spans="1:11" x14ac:dyDescent="0.2">
      <c r="A577" t="s">
        <v>2079</v>
      </c>
      <c r="B577">
        <v>0</v>
      </c>
      <c r="C577">
        <v>0</v>
      </c>
      <c r="D577">
        <v>0</v>
      </c>
      <c r="E577">
        <v>0</v>
      </c>
      <c r="F577">
        <v>0</v>
      </c>
      <c r="G577">
        <v>0</v>
      </c>
      <c r="H577">
        <v>0</v>
      </c>
      <c r="I577">
        <v>0</v>
      </c>
      <c r="J577">
        <v>0</v>
      </c>
      <c r="K577">
        <v>0</v>
      </c>
    </row>
    <row r="578" spans="1:11" x14ac:dyDescent="0.2">
      <c r="A578" t="s">
        <v>2085</v>
      </c>
      <c r="B578">
        <v>0</v>
      </c>
      <c r="C578">
        <v>0</v>
      </c>
      <c r="D578">
        <v>0</v>
      </c>
      <c r="E578">
        <v>0</v>
      </c>
      <c r="F578">
        <v>0</v>
      </c>
      <c r="G578">
        <v>0</v>
      </c>
      <c r="H578">
        <v>0</v>
      </c>
      <c r="I578">
        <v>0</v>
      </c>
      <c r="J578">
        <v>0</v>
      </c>
      <c r="K578">
        <v>0</v>
      </c>
    </row>
    <row r="579" spans="1:11" x14ac:dyDescent="0.2">
      <c r="A579" t="s">
        <v>2091</v>
      </c>
      <c r="B579">
        <v>0</v>
      </c>
      <c r="C579">
        <v>0</v>
      </c>
      <c r="D579">
        <v>0</v>
      </c>
      <c r="E579">
        <v>0</v>
      </c>
      <c r="F579">
        <v>0</v>
      </c>
      <c r="G579">
        <v>0</v>
      </c>
      <c r="H579">
        <v>0</v>
      </c>
      <c r="I579">
        <v>0</v>
      </c>
      <c r="J579">
        <v>0</v>
      </c>
      <c r="K579">
        <v>0</v>
      </c>
    </row>
    <row r="580" spans="1:11" x14ac:dyDescent="0.2">
      <c r="A580" t="s">
        <v>2097</v>
      </c>
      <c r="B580">
        <v>0</v>
      </c>
      <c r="C580">
        <v>0</v>
      </c>
      <c r="D580">
        <v>0</v>
      </c>
      <c r="E580">
        <v>0</v>
      </c>
      <c r="F580">
        <v>0</v>
      </c>
      <c r="G580">
        <v>0</v>
      </c>
      <c r="H580">
        <v>0</v>
      </c>
      <c r="I580">
        <v>0</v>
      </c>
      <c r="J580">
        <v>0</v>
      </c>
      <c r="K580">
        <v>0</v>
      </c>
    </row>
    <row r="581" spans="1:11" x14ac:dyDescent="0.2">
      <c r="A581" t="s">
        <v>2101</v>
      </c>
      <c r="B581">
        <v>0</v>
      </c>
      <c r="C581">
        <v>0</v>
      </c>
      <c r="D581">
        <v>0</v>
      </c>
      <c r="E581">
        <v>0</v>
      </c>
      <c r="F581">
        <v>0</v>
      </c>
      <c r="G581">
        <v>0</v>
      </c>
      <c r="H581">
        <v>0</v>
      </c>
      <c r="I581">
        <v>0</v>
      </c>
      <c r="J581">
        <v>0</v>
      </c>
      <c r="K581">
        <v>0</v>
      </c>
    </row>
    <row r="582" spans="1:11" x14ac:dyDescent="0.2">
      <c r="A582" t="s">
        <v>2104</v>
      </c>
      <c r="B582">
        <v>0</v>
      </c>
      <c r="C582">
        <v>0</v>
      </c>
      <c r="D582">
        <v>0</v>
      </c>
      <c r="E582">
        <v>0</v>
      </c>
      <c r="F582">
        <v>0</v>
      </c>
      <c r="G582">
        <v>0</v>
      </c>
      <c r="H582">
        <v>0</v>
      </c>
      <c r="I582">
        <v>0</v>
      </c>
      <c r="J582">
        <v>0</v>
      </c>
      <c r="K582">
        <v>0</v>
      </c>
    </row>
    <row r="583" spans="1:11" x14ac:dyDescent="0.2">
      <c r="A583" t="s">
        <v>2107</v>
      </c>
      <c r="B583">
        <v>0</v>
      </c>
      <c r="C583">
        <v>0</v>
      </c>
      <c r="D583">
        <v>0</v>
      </c>
      <c r="E583">
        <v>0</v>
      </c>
      <c r="F583">
        <v>0</v>
      </c>
      <c r="G583">
        <v>0</v>
      </c>
      <c r="H583">
        <v>0</v>
      </c>
      <c r="I583">
        <v>0</v>
      </c>
      <c r="J583">
        <v>0</v>
      </c>
      <c r="K583">
        <v>0</v>
      </c>
    </row>
    <row r="584" spans="1:11" x14ac:dyDescent="0.2">
      <c r="A584" t="s">
        <v>2110</v>
      </c>
      <c r="B584">
        <v>0</v>
      </c>
      <c r="C584">
        <v>0</v>
      </c>
      <c r="D584">
        <v>0</v>
      </c>
      <c r="E584">
        <v>0</v>
      </c>
      <c r="F584">
        <v>0</v>
      </c>
      <c r="G584">
        <v>0</v>
      </c>
      <c r="H584">
        <v>0</v>
      </c>
      <c r="I584">
        <v>0</v>
      </c>
      <c r="J584">
        <v>0</v>
      </c>
      <c r="K584">
        <v>0</v>
      </c>
    </row>
    <row r="585" spans="1:11" x14ac:dyDescent="0.2">
      <c r="A585" t="s">
        <v>2113</v>
      </c>
      <c r="B585">
        <v>0</v>
      </c>
      <c r="C585">
        <v>0</v>
      </c>
      <c r="D585">
        <v>0</v>
      </c>
      <c r="E585">
        <v>0</v>
      </c>
      <c r="F585">
        <v>0</v>
      </c>
      <c r="G585">
        <v>0</v>
      </c>
      <c r="H585">
        <v>0</v>
      </c>
      <c r="I585">
        <v>0</v>
      </c>
      <c r="J585">
        <v>0</v>
      </c>
      <c r="K585">
        <v>0</v>
      </c>
    </row>
    <row r="586" spans="1:11" x14ac:dyDescent="0.2">
      <c r="A586" t="s">
        <v>4346</v>
      </c>
      <c r="B586">
        <v>0</v>
      </c>
      <c r="C586">
        <v>0</v>
      </c>
      <c r="D586">
        <v>0</v>
      </c>
      <c r="E586">
        <v>0</v>
      </c>
      <c r="F586">
        <v>0</v>
      </c>
      <c r="G586">
        <v>0</v>
      </c>
      <c r="H586">
        <v>0</v>
      </c>
      <c r="I586">
        <v>0</v>
      </c>
      <c r="J586">
        <v>0</v>
      </c>
      <c r="K586">
        <v>0</v>
      </c>
    </row>
    <row r="587" spans="1:11" x14ac:dyDescent="0.2">
      <c r="A587" t="s">
        <v>4347</v>
      </c>
      <c r="B587">
        <v>0</v>
      </c>
      <c r="C587">
        <v>0</v>
      </c>
      <c r="D587">
        <v>0</v>
      </c>
      <c r="E587">
        <v>0</v>
      </c>
      <c r="F587">
        <v>0</v>
      </c>
      <c r="G587">
        <v>0</v>
      </c>
      <c r="H587">
        <v>0</v>
      </c>
      <c r="I587">
        <v>0</v>
      </c>
      <c r="J587">
        <v>0</v>
      </c>
      <c r="K587">
        <v>0</v>
      </c>
    </row>
    <row r="588" spans="1:11" x14ac:dyDescent="0.2">
      <c r="A588" t="s">
        <v>4348</v>
      </c>
      <c r="B588">
        <v>0</v>
      </c>
      <c r="C588">
        <v>0</v>
      </c>
      <c r="D588">
        <v>0</v>
      </c>
      <c r="E588">
        <v>0</v>
      </c>
      <c r="F588">
        <v>0</v>
      </c>
      <c r="G588">
        <v>0</v>
      </c>
      <c r="H588">
        <v>0</v>
      </c>
      <c r="I588">
        <v>0</v>
      </c>
      <c r="J588">
        <v>0</v>
      </c>
      <c r="K588">
        <v>0</v>
      </c>
    </row>
    <row r="589" spans="1:11" x14ac:dyDescent="0.2">
      <c r="A589" t="s">
        <v>4349</v>
      </c>
      <c r="B589">
        <v>0</v>
      </c>
      <c r="C589">
        <v>0</v>
      </c>
      <c r="D589">
        <v>0</v>
      </c>
      <c r="E589">
        <v>0</v>
      </c>
      <c r="F589">
        <v>0</v>
      </c>
      <c r="G589">
        <v>0</v>
      </c>
      <c r="H589">
        <v>0</v>
      </c>
      <c r="I589">
        <v>0</v>
      </c>
      <c r="J589">
        <v>0</v>
      </c>
      <c r="K589">
        <v>0</v>
      </c>
    </row>
    <row r="590" spans="1:11" x14ac:dyDescent="0.2">
      <c r="A590" t="s">
        <v>4350</v>
      </c>
      <c r="B590">
        <v>0</v>
      </c>
      <c r="C590">
        <v>0</v>
      </c>
      <c r="D590">
        <v>0</v>
      </c>
      <c r="E590">
        <v>0</v>
      </c>
      <c r="F590">
        <v>0</v>
      </c>
      <c r="G590">
        <v>0</v>
      </c>
      <c r="H590">
        <v>0</v>
      </c>
      <c r="I590">
        <v>0</v>
      </c>
      <c r="J590">
        <v>2</v>
      </c>
      <c r="K590">
        <v>0</v>
      </c>
    </row>
    <row r="591" spans="1:11" x14ac:dyDescent="0.2">
      <c r="A591" t="s">
        <v>4351</v>
      </c>
      <c r="B591">
        <v>0</v>
      </c>
      <c r="C591">
        <v>0</v>
      </c>
      <c r="D591">
        <v>0</v>
      </c>
      <c r="E591">
        <v>0</v>
      </c>
      <c r="F591">
        <v>0</v>
      </c>
      <c r="G591">
        <v>0</v>
      </c>
      <c r="H591">
        <v>0</v>
      </c>
      <c r="I591">
        <v>0</v>
      </c>
      <c r="J591">
        <v>0</v>
      </c>
      <c r="K591">
        <v>0</v>
      </c>
    </row>
    <row r="592" spans="1:11" x14ac:dyDescent="0.2">
      <c r="A592" t="s">
        <v>4352</v>
      </c>
      <c r="B592">
        <v>0</v>
      </c>
      <c r="C592">
        <v>0</v>
      </c>
      <c r="D592">
        <v>0</v>
      </c>
      <c r="E592">
        <v>0</v>
      </c>
      <c r="F592">
        <v>0</v>
      </c>
      <c r="G592">
        <v>0</v>
      </c>
      <c r="H592">
        <v>0</v>
      </c>
      <c r="I592">
        <v>0</v>
      </c>
      <c r="J592">
        <v>0</v>
      </c>
      <c r="K592">
        <v>0</v>
      </c>
    </row>
    <row r="593" spans="1:11" x14ac:dyDescent="0.2">
      <c r="A593" t="s">
        <v>4353</v>
      </c>
      <c r="B593">
        <v>0</v>
      </c>
      <c r="C593">
        <v>6</v>
      </c>
      <c r="D593">
        <v>8</v>
      </c>
      <c r="E593">
        <v>0</v>
      </c>
      <c r="F593">
        <v>0</v>
      </c>
      <c r="G593">
        <v>0</v>
      </c>
      <c r="H593">
        <v>0</v>
      </c>
      <c r="I593">
        <v>0</v>
      </c>
      <c r="J593">
        <v>71</v>
      </c>
      <c r="K593">
        <v>0</v>
      </c>
    </row>
    <row r="594" spans="1:11" x14ac:dyDescent="0.2">
      <c r="A594" t="s">
        <v>4354</v>
      </c>
      <c r="B594">
        <v>0</v>
      </c>
      <c r="C594">
        <v>6</v>
      </c>
      <c r="D594">
        <v>8</v>
      </c>
      <c r="E594">
        <v>0</v>
      </c>
      <c r="F594">
        <v>0</v>
      </c>
      <c r="G594">
        <v>0</v>
      </c>
      <c r="H594">
        <v>0</v>
      </c>
      <c r="I594">
        <v>0</v>
      </c>
      <c r="J594">
        <v>45</v>
      </c>
      <c r="K594">
        <v>0</v>
      </c>
    </row>
    <row r="595" spans="1:11" x14ac:dyDescent="0.2">
      <c r="A595" t="s">
        <v>4355</v>
      </c>
      <c r="B595">
        <v>0</v>
      </c>
      <c r="C595">
        <v>0</v>
      </c>
      <c r="D595">
        <v>0</v>
      </c>
      <c r="E595">
        <v>0</v>
      </c>
      <c r="F595">
        <v>0</v>
      </c>
      <c r="G595">
        <v>0</v>
      </c>
      <c r="H595">
        <v>0</v>
      </c>
      <c r="I595">
        <v>0</v>
      </c>
      <c r="J595">
        <v>0</v>
      </c>
      <c r="K595">
        <v>0</v>
      </c>
    </row>
    <row r="596" spans="1:11" x14ac:dyDescent="0.2">
      <c r="A596" t="s">
        <v>4356</v>
      </c>
      <c r="B596">
        <v>0</v>
      </c>
      <c r="C596">
        <v>0</v>
      </c>
      <c r="D596">
        <v>0</v>
      </c>
      <c r="E596">
        <v>0</v>
      </c>
      <c r="F596">
        <v>0</v>
      </c>
      <c r="G596">
        <v>0</v>
      </c>
      <c r="H596">
        <v>0</v>
      </c>
      <c r="I596">
        <v>0</v>
      </c>
      <c r="J596">
        <v>0</v>
      </c>
      <c r="K596">
        <v>0</v>
      </c>
    </row>
    <row r="597" spans="1:11" x14ac:dyDescent="0.2">
      <c r="A597" t="s">
        <v>4357</v>
      </c>
      <c r="B597">
        <v>0</v>
      </c>
      <c r="C597">
        <v>0</v>
      </c>
      <c r="D597">
        <v>0</v>
      </c>
      <c r="E597">
        <v>0</v>
      </c>
      <c r="F597">
        <v>0</v>
      </c>
      <c r="G597">
        <v>0</v>
      </c>
      <c r="H597">
        <v>0</v>
      </c>
      <c r="I597">
        <v>0</v>
      </c>
      <c r="J597">
        <v>1</v>
      </c>
      <c r="K597">
        <v>0</v>
      </c>
    </row>
    <row r="598" spans="1:11" x14ac:dyDescent="0.2">
      <c r="A598" t="s">
        <v>4358</v>
      </c>
      <c r="B598">
        <v>0</v>
      </c>
      <c r="C598">
        <v>0</v>
      </c>
      <c r="D598">
        <v>0</v>
      </c>
      <c r="E598">
        <v>0</v>
      </c>
      <c r="F598">
        <v>0</v>
      </c>
      <c r="G598">
        <v>0</v>
      </c>
      <c r="H598">
        <v>0</v>
      </c>
      <c r="I598">
        <v>0</v>
      </c>
      <c r="J598">
        <v>0</v>
      </c>
      <c r="K598">
        <v>0</v>
      </c>
    </row>
    <row r="599" spans="1:11" x14ac:dyDescent="0.2">
      <c r="A599" t="s">
        <v>4359</v>
      </c>
      <c r="B599">
        <v>0</v>
      </c>
      <c r="C599">
        <v>0</v>
      </c>
      <c r="D599">
        <v>0</v>
      </c>
      <c r="E599">
        <v>0</v>
      </c>
      <c r="F599">
        <v>0</v>
      </c>
      <c r="G599">
        <v>0</v>
      </c>
      <c r="H599">
        <v>0</v>
      </c>
      <c r="I599">
        <v>0</v>
      </c>
      <c r="J599">
        <v>0</v>
      </c>
      <c r="K599">
        <v>0</v>
      </c>
    </row>
    <row r="600" spans="1:11" x14ac:dyDescent="0.2">
      <c r="A600" t="s">
        <v>4360</v>
      </c>
      <c r="B600">
        <v>0</v>
      </c>
      <c r="C600">
        <v>1</v>
      </c>
      <c r="D600">
        <v>1</v>
      </c>
      <c r="E600">
        <v>0</v>
      </c>
      <c r="F600">
        <v>0</v>
      </c>
      <c r="G600">
        <v>0</v>
      </c>
      <c r="H600">
        <v>0</v>
      </c>
      <c r="I600">
        <v>0</v>
      </c>
      <c r="J600">
        <v>5</v>
      </c>
      <c r="K600">
        <v>0</v>
      </c>
    </row>
    <row r="601" spans="1:11" x14ac:dyDescent="0.2">
      <c r="A601" t="s">
        <v>4361</v>
      </c>
      <c r="B601">
        <v>0</v>
      </c>
      <c r="C601">
        <v>1</v>
      </c>
      <c r="D601">
        <v>2</v>
      </c>
      <c r="E601">
        <v>0</v>
      </c>
      <c r="F601">
        <v>0</v>
      </c>
      <c r="G601">
        <v>0</v>
      </c>
      <c r="H601">
        <v>0</v>
      </c>
      <c r="I601">
        <v>0</v>
      </c>
      <c r="J601">
        <v>4</v>
      </c>
      <c r="K601">
        <v>0</v>
      </c>
    </row>
    <row r="602" spans="1:11" x14ac:dyDescent="0.2">
      <c r="A602" t="s">
        <v>4362</v>
      </c>
      <c r="B602">
        <v>0</v>
      </c>
      <c r="C602">
        <v>0</v>
      </c>
      <c r="D602">
        <v>0</v>
      </c>
      <c r="E602">
        <v>0</v>
      </c>
      <c r="F602">
        <v>0</v>
      </c>
      <c r="G602">
        <v>0</v>
      </c>
      <c r="H602">
        <v>0</v>
      </c>
      <c r="I602">
        <v>0</v>
      </c>
      <c r="J602">
        <v>0</v>
      </c>
      <c r="K602">
        <v>0</v>
      </c>
    </row>
    <row r="603" spans="1:11" x14ac:dyDescent="0.2">
      <c r="A603" t="s">
        <v>4363</v>
      </c>
      <c r="B603">
        <v>0</v>
      </c>
      <c r="C603">
        <v>0</v>
      </c>
      <c r="D603">
        <v>0</v>
      </c>
      <c r="E603">
        <v>0</v>
      </c>
      <c r="F603">
        <v>0</v>
      </c>
      <c r="G603">
        <v>0</v>
      </c>
      <c r="H603">
        <v>0</v>
      </c>
      <c r="I603">
        <v>0</v>
      </c>
      <c r="J603">
        <v>0</v>
      </c>
      <c r="K603">
        <v>0</v>
      </c>
    </row>
    <row r="604" spans="1:11" x14ac:dyDescent="0.2">
      <c r="A604" t="s">
        <v>4364</v>
      </c>
      <c r="B604">
        <v>0</v>
      </c>
      <c r="C604">
        <v>0</v>
      </c>
      <c r="D604">
        <v>0</v>
      </c>
      <c r="E604">
        <v>0</v>
      </c>
      <c r="F604">
        <v>0</v>
      </c>
      <c r="G604">
        <v>0</v>
      </c>
      <c r="H604">
        <v>0</v>
      </c>
      <c r="I604">
        <v>0</v>
      </c>
      <c r="J604">
        <v>0</v>
      </c>
      <c r="K604">
        <v>0</v>
      </c>
    </row>
    <row r="605" spans="1:11" x14ac:dyDescent="0.2">
      <c r="A605" t="s">
        <v>4365</v>
      </c>
      <c r="B605">
        <v>0</v>
      </c>
      <c r="C605">
        <v>5</v>
      </c>
      <c r="D605">
        <v>1</v>
      </c>
      <c r="E605">
        <v>0</v>
      </c>
      <c r="F605">
        <v>0</v>
      </c>
      <c r="G605">
        <v>0</v>
      </c>
      <c r="H605">
        <v>0</v>
      </c>
      <c r="I605">
        <v>0</v>
      </c>
      <c r="J605">
        <v>2</v>
      </c>
      <c r="K605">
        <v>0</v>
      </c>
    </row>
    <row r="606" spans="1:11" x14ac:dyDescent="0.2">
      <c r="A606" t="s">
        <v>4366</v>
      </c>
      <c r="B606">
        <v>0</v>
      </c>
      <c r="C606">
        <v>0</v>
      </c>
      <c r="D606">
        <v>0</v>
      </c>
      <c r="E606">
        <v>0</v>
      </c>
      <c r="F606">
        <v>0</v>
      </c>
      <c r="G606">
        <v>0</v>
      </c>
      <c r="H606">
        <v>0</v>
      </c>
      <c r="I606">
        <v>0</v>
      </c>
      <c r="J606">
        <v>0</v>
      </c>
      <c r="K606">
        <v>0</v>
      </c>
    </row>
    <row r="607" spans="1:11" x14ac:dyDescent="0.2">
      <c r="A607" t="s">
        <v>4367</v>
      </c>
      <c r="B607">
        <v>0</v>
      </c>
      <c r="C607">
        <v>0</v>
      </c>
      <c r="D607">
        <v>0</v>
      </c>
      <c r="E607">
        <v>0</v>
      </c>
      <c r="F607">
        <v>0</v>
      </c>
      <c r="G607">
        <v>0</v>
      </c>
      <c r="H607">
        <v>0</v>
      </c>
      <c r="I607">
        <v>0</v>
      </c>
      <c r="J607">
        <v>2</v>
      </c>
      <c r="K607">
        <v>0</v>
      </c>
    </row>
    <row r="608" spans="1:11" x14ac:dyDescent="0.2">
      <c r="A608" t="s">
        <v>4368</v>
      </c>
      <c r="B608">
        <v>0</v>
      </c>
      <c r="C608">
        <v>79</v>
      </c>
      <c r="D608">
        <v>14</v>
      </c>
      <c r="E608">
        <v>0</v>
      </c>
      <c r="F608">
        <v>0</v>
      </c>
      <c r="G608">
        <v>0</v>
      </c>
      <c r="H608">
        <v>0</v>
      </c>
      <c r="I608">
        <v>0</v>
      </c>
      <c r="J608">
        <v>33</v>
      </c>
      <c r="K608">
        <v>0</v>
      </c>
    </row>
    <row r="609" spans="1:11" x14ac:dyDescent="0.2">
      <c r="A609" t="s">
        <v>4369</v>
      </c>
      <c r="B609">
        <v>0</v>
      </c>
      <c r="C609">
        <v>40</v>
      </c>
      <c r="D609">
        <v>21</v>
      </c>
      <c r="E609">
        <v>0</v>
      </c>
      <c r="F609">
        <v>0</v>
      </c>
      <c r="G609">
        <v>0</v>
      </c>
      <c r="H609">
        <v>0</v>
      </c>
      <c r="I609">
        <v>0</v>
      </c>
      <c r="J609">
        <v>100</v>
      </c>
      <c r="K609">
        <v>0</v>
      </c>
    </row>
    <row r="610" spans="1:11" x14ac:dyDescent="0.2">
      <c r="A610" t="s">
        <v>4370</v>
      </c>
      <c r="B610">
        <v>0</v>
      </c>
      <c r="C610">
        <v>19</v>
      </c>
      <c r="D610">
        <v>3</v>
      </c>
      <c r="E610">
        <v>0</v>
      </c>
      <c r="F610">
        <v>0</v>
      </c>
      <c r="G610">
        <v>0</v>
      </c>
      <c r="H610">
        <v>0</v>
      </c>
      <c r="I610">
        <v>0</v>
      </c>
      <c r="J610">
        <v>1</v>
      </c>
      <c r="K610">
        <v>0</v>
      </c>
    </row>
    <row r="611" spans="1:11" x14ac:dyDescent="0.2">
      <c r="A611" t="s">
        <v>4371</v>
      </c>
      <c r="B611">
        <v>0</v>
      </c>
      <c r="C611">
        <v>9</v>
      </c>
      <c r="D611">
        <v>1</v>
      </c>
      <c r="E611">
        <v>0</v>
      </c>
      <c r="F611">
        <v>0</v>
      </c>
      <c r="G611">
        <v>0</v>
      </c>
      <c r="H611">
        <v>0</v>
      </c>
      <c r="I611">
        <v>0</v>
      </c>
      <c r="J611">
        <v>1</v>
      </c>
      <c r="K611">
        <v>0</v>
      </c>
    </row>
    <row r="612" spans="1:11" x14ac:dyDescent="0.2">
      <c r="A612" t="s">
        <v>4372</v>
      </c>
      <c r="B612">
        <v>0</v>
      </c>
      <c r="C612">
        <v>0</v>
      </c>
      <c r="D612">
        <v>0</v>
      </c>
      <c r="E612">
        <v>0</v>
      </c>
      <c r="F612">
        <v>0</v>
      </c>
      <c r="G612">
        <v>0</v>
      </c>
      <c r="H612">
        <v>0</v>
      </c>
      <c r="I612">
        <v>0</v>
      </c>
      <c r="J612">
        <v>0</v>
      </c>
      <c r="K612">
        <v>0</v>
      </c>
    </row>
    <row r="613" spans="1:11" x14ac:dyDescent="0.2">
      <c r="A613" t="s">
        <v>4373</v>
      </c>
      <c r="B613">
        <v>0</v>
      </c>
      <c r="C613">
        <v>0</v>
      </c>
      <c r="D613">
        <v>0</v>
      </c>
      <c r="E613">
        <v>0</v>
      </c>
      <c r="F613">
        <v>0</v>
      </c>
      <c r="G613">
        <v>0</v>
      </c>
      <c r="H613">
        <v>0</v>
      </c>
      <c r="I613">
        <v>0</v>
      </c>
      <c r="J613">
        <v>0</v>
      </c>
      <c r="K613">
        <v>0</v>
      </c>
    </row>
    <row r="614" spans="1:11" x14ac:dyDescent="0.2">
      <c r="A614" t="s">
        <v>4374</v>
      </c>
      <c r="B614">
        <v>0</v>
      </c>
      <c r="C614">
        <v>0</v>
      </c>
      <c r="D614">
        <v>0</v>
      </c>
      <c r="E614">
        <v>0</v>
      </c>
      <c r="F614">
        <v>0</v>
      </c>
      <c r="G614">
        <v>0</v>
      </c>
      <c r="H614">
        <v>0</v>
      </c>
      <c r="I614">
        <v>0</v>
      </c>
      <c r="J614">
        <v>0</v>
      </c>
      <c r="K614">
        <v>0</v>
      </c>
    </row>
    <row r="615" spans="1:11" x14ac:dyDescent="0.2">
      <c r="A615" t="s">
        <v>4375</v>
      </c>
      <c r="B615">
        <v>0</v>
      </c>
      <c r="C615">
        <v>0</v>
      </c>
      <c r="D615">
        <v>0</v>
      </c>
      <c r="E615">
        <v>0</v>
      </c>
      <c r="F615">
        <v>0</v>
      </c>
      <c r="G615">
        <v>0</v>
      </c>
      <c r="H615">
        <v>0</v>
      </c>
      <c r="I615">
        <v>0</v>
      </c>
      <c r="J615">
        <v>0</v>
      </c>
      <c r="K615">
        <v>0</v>
      </c>
    </row>
    <row r="616" spans="1:11" x14ac:dyDescent="0.2">
      <c r="A616" t="s">
        <v>4376</v>
      </c>
      <c r="B616">
        <v>0</v>
      </c>
      <c r="C616">
        <v>0</v>
      </c>
      <c r="D616">
        <v>0</v>
      </c>
      <c r="E616">
        <v>0</v>
      </c>
      <c r="F616">
        <v>0</v>
      </c>
      <c r="G616">
        <v>0</v>
      </c>
      <c r="H616">
        <v>0</v>
      </c>
      <c r="I616">
        <v>0</v>
      </c>
      <c r="J616">
        <v>0</v>
      </c>
      <c r="K616">
        <v>0</v>
      </c>
    </row>
    <row r="617" spans="1:11" x14ac:dyDescent="0.2">
      <c r="A617" t="s">
        <v>4377</v>
      </c>
      <c r="B617">
        <v>0</v>
      </c>
      <c r="C617">
        <v>0</v>
      </c>
      <c r="D617">
        <v>0</v>
      </c>
      <c r="E617">
        <v>0</v>
      </c>
      <c r="F617">
        <v>0</v>
      </c>
      <c r="G617">
        <v>0</v>
      </c>
      <c r="H617">
        <v>0</v>
      </c>
      <c r="I617">
        <v>0</v>
      </c>
      <c r="J617">
        <v>0</v>
      </c>
      <c r="K617">
        <v>0</v>
      </c>
    </row>
    <row r="618" spans="1:11" x14ac:dyDescent="0.2">
      <c r="A618" t="s">
        <v>4854</v>
      </c>
      <c r="B618">
        <v>0</v>
      </c>
      <c r="C618">
        <v>1322</v>
      </c>
      <c r="D618">
        <v>1367</v>
      </c>
      <c r="E618">
        <v>0</v>
      </c>
      <c r="F618">
        <v>0</v>
      </c>
      <c r="G618">
        <v>0</v>
      </c>
      <c r="H618">
        <v>0</v>
      </c>
      <c r="I618">
        <v>0</v>
      </c>
      <c r="J618">
        <v>9036</v>
      </c>
      <c r="K618">
        <v>0</v>
      </c>
    </row>
    <row r="619" spans="1:11" x14ac:dyDescent="0.2">
      <c r="A619" t="s">
        <v>2318</v>
      </c>
      <c r="B619" t="s">
        <v>4399</v>
      </c>
      <c r="C619" t="s">
        <v>4399</v>
      </c>
      <c r="D619" t="s">
        <v>4399</v>
      </c>
      <c r="E619" t="s">
        <v>4399</v>
      </c>
      <c r="F619" t="s">
        <v>4399</v>
      </c>
      <c r="G619" t="s">
        <v>4399</v>
      </c>
      <c r="H619" t="s">
        <v>4399</v>
      </c>
      <c r="I619" t="s">
        <v>4399</v>
      </c>
      <c r="J619" t="s">
        <v>4399</v>
      </c>
      <c r="K619" t="s">
        <v>4399</v>
      </c>
    </row>
    <row r="620" spans="1:11" x14ac:dyDescent="0.2">
      <c r="A620" t="s">
        <v>4248</v>
      </c>
    </row>
    <row r="621" spans="1:11" x14ac:dyDescent="0.2">
      <c r="A621" t="s">
        <v>4855</v>
      </c>
      <c r="B621" t="s">
        <v>4856</v>
      </c>
      <c r="C621" t="s">
        <v>4857</v>
      </c>
      <c r="D621" t="s">
        <v>4858</v>
      </c>
      <c r="E621" t="s">
        <v>4859</v>
      </c>
      <c r="F621" t="s">
        <v>4860</v>
      </c>
      <c r="G621" t="s">
        <v>4863</v>
      </c>
    </row>
    <row r="622" spans="1:11" x14ac:dyDescent="0.2">
      <c r="A622" t="s">
        <v>2318</v>
      </c>
      <c r="B622" t="s">
        <v>4399</v>
      </c>
      <c r="C622" t="s">
        <v>4399</v>
      </c>
      <c r="D622" t="s">
        <v>4399</v>
      </c>
      <c r="E622" t="s">
        <v>4399</v>
      </c>
      <c r="F622" t="s">
        <v>4399</v>
      </c>
      <c r="G622" t="s">
        <v>4399</v>
      </c>
      <c r="H622" t="s">
        <v>4399</v>
      </c>
      <c r="I622" t="s">
        <v>4399</v>
      </c>
      <c r="J622" t="s">
        <v>4399</v>
      </c>
      <c r="K622" t="s">
        <v>4399</v>
      </c>
    </row>
    <row r="623" spans="1:11" x14ac:dyDescent="0.2">
      <c r="A623" t="s">
        <v>126</v>
      </c>
      <c r="B623" t="s">
        <v>4502</v>
      </c>
      <c r="C623" t="s">
        <v>4506</v>
      </c>
      <c r="D623" t="s">
        <v>4510</v>
      </c>
      <c r="E623" t="s">
        <v>4514</v>
      </c>
      <c r="F623" t="s">
        <v>4518</v>
      </c>
      <c r="G623" t="s">
        <v>4522</v>
      </c>
      <c r="H623" t="s">
        <v>375</v>
      </c>
      <c r="I623" t="s">
        <v>376</v>
      </c>
      <c r="J623" t="s">
        <v>4532</v>
      </c>
      <c r="K623" t="s">
        <v>4536</v>
      </c>
    </row>
    <row r="624" spans="1:11" x14ac:dyDescent="0.2">
      <c r="A624" t="s">
        <v>2318</v>
      </c>
      <c r="B624" t="s">
        <v>4399</v>
      </c>
      <c r="C624" t="s">
        <v>4399</v>
      </c>
      <c r="D624" t="s">
        <v>4399</v>
      </c>
      <c r="E624" t="s">
        <v>4399</v>
      </c>
      <c r="F624" t="s">
        <v>4399</v>
      </c>
      <c r="G624" t="s">
        <v>4399</v>
      </c>
      <c r="H624" t="s">
        <v>4399</v>
      </c>
      <c r="I624" t="s">
        <v>4399</v>
      </c>
      <c r="J624" t="s">
        <v>4399</v>
      </c>
      <c r="K624" t="s">
        <v>4399</v>
      </c>
    </row>
    <row r="625" spans="1:11" x14ac:dyDescent="0.2">
      <c r="A625" t="s">
        <v>4265</v>
      </c>
      <c r="B625">
        <v>0</v>
      </c>
      <c r="C625">
        <v>0</v>
      </c>
      <c r="D625">
        <v>0</v>
      </c>
      <c r="E625">
        <v>0</v>
      </c>
      <c r="F625">
        <v>0</v>
      </c>
      <c r="G625">
        <v>0</v>
      </c>
      <c r="H625">
        <v>0</v>
      </c>
      <c r="I625">
        <v>0</v>
      </c>
      <c r="J625">
        <v>0</v>
      </c>
      <c r="K625">
        <v>0</v>
      </c>
    </row>
    <row r="626" spans="1:11" x14ac:dyDescent="0.2">
      <c r="A626" t="s">
        <v>4266</v>
      </c>
      <c r="B626">
        <v>0</v>
      </c>
      <c r="C626">
        <v>0</v>
      </c>
      <c r="D626">
        <v>0</v>
      </c>
      <c r="E626">
        <v>0</v>
      </c>
      <c r="F626">
        <v>0</v>
      </c>
      <c r="G626">
        <v>0</v>
      </c>
      <c r="H626">
        <v>0</v>
      </c>
      <c r="I626">
        <v>0</v>
      </c>
      <c r="J626">
        <v>0</v>
      </c>
      <c r="K626">
        <v>0</v>
      </c>
    </row>
    <row r="627" spans="1:11" x14ac:dyDescent="0.2">
      <c r="A627" t="s">
        <v>4267</v>
      </c>
      <c r="B627">
        <v>0</v>
      </c>
      <c r="C627">
        <v>0</v>
      </c>
      <c r="D627">
        <v>0</v>
      </c>
      <c r="E627">
        <v>0</v>
      </c>
      <c r="F627">
        <v>0</v>
      </c>
      <c r="G627">
        <v>0</v>
      </c>
      <c r="H627">
        <v>0</v>
      </c>
      <c r="I627">
        <v>0</v>
      </c>
      <c r="J627">
        <v>0</v>
      </c>
      <c r="K627">
        <v>0</v>
      </c>
    </row>
    <row r="628" spans="1:11" x14ac:dyDescent="0.2">
      <c r="A628" t="s">
        <v>4268</v>
      </c>
      <c r="B628">
        <v>0</v>
      </c>
      <c r="C628">
        <v>0</v>
      </c>
      <c r="D628">
        <v>0</v>
      </c>
      <c r="E628">
        <v>0</v>
      </c>
      <c r="F628">
        <v>0</v>
      </c>
      <c r="G628">
        <v>0</v>
      </c>
      <c r="H628">
        <v>0</v>
      </c>
      <c r="I628">
        <v>0</v>
      </c>
      <c r="J628">
        <v>0</v>
      </c>
      <c r="K628">
        <v>0</v>
      </c>
    </row>
    <row r="629" spans="1:11" x14ac:dyDescent="0.2">
      <c r="A629" t="s">
        <v>4269</v>
      </c>
      <c r="B629">
        <v>0</v>
      </c>
      <c r="C629">
        <v>0</v>
      </c>
      <c r="D629">
        <v>0</v>
      </c>
      <c r="E629">
        <v>0</v>
      </c>
      <c r="F629">
        <v>0</v>
      </c>
      <c r="G629">
        <v>0</v>
      </c>
      <c r="H629">
        <v>0</v>
      </c>
      <c r="I629">
        <v>0</v>
      </c>
      <c r="J629">
        <v>0</v>
      </c>
      <c r="K629">
        <v>0</v>
      </c>
    </row>
    <row r="630" spans="1:11" x14ac:dyDescent="0.2">
      <c r="A630" t="s">
        <v>4270</v>
      </c>
      <c r="B630">
        <v>0</v>
      </c>
      <c r="C630">
        <v>0</v>
      </c>
      <c r="D630">
        <v>0</v>
      </c>
      <c r="E630">
        <v>0</v>
      </c>
      <c r="F630">
        <v>0</v>
      </c>
      <c r="G630">
        <v>0</v>
      </c>
      <c r="H630">
        <v>0</v>
      </c>
      <c r="I630">
        <v>0</v>
      </c>
      <c r="J630">
        <v>0</v>
      </c>
      <c r="K630">
        <v>0</v>
      </c>
    </row>
    <row r="631" spans="1:11" x14ac:dyDescent="0.2">
      <c r="A631" t="s">
        <v>4271</v>
      </c>
      <c r="B631">
        <v>0</v>
      </c>
      <c r="C631">
        <v>0</v>
      </c>
      <c r="D631">
        <v>0</v>
      </c>
      <c r="E631">
        <v>0</v>
      </c>
      <c r="F631">
        <v>0</v>
      </c>
      <c r="G631">
        <v>0</v>
      </c>
      <c r="H631">
        <v>0</v>
      </c>
      <c r="I631">
        <v>0</v>
      </c>
      <c r="J631">
        <v>0</v>
      </c>
      <c r="K631">
        <v>0</v>
      </c>
    </row>
    <row r="632" spans="1:11" x14ac:dyDescent="0.2">
      <c r="A632" t="s">
        <v>4272</v>
      </c>
      <c r="B632">
        <v>0</v>
      </c>
      <c r="C632">
        <v>0</v>
      </c>
      <c r="D632">
        <v>0</v>
      </c>
      <c r="E632">
        <v>0</v>
      </c>
      <c r="F632">
        <v>0</v>
      </c>
      <c r="G632">
        <v>0</v>
      </c>
      <c r="H632">
        <v>0</v>
      </c>
      <c r="I632">
        <v>0</v>
      </c>
      <c r="J632">
        <v>0</v>
      </c>
      <c r="K632">
        <v>0</v>
      </c>
    </row>
    <row r="633" spans="1:11" x14ac:dyDescent="0.2">
      <c r="A633" t="s">
        <v>4273</v>
      </c>
      <c r="B633">
        <v>0</v>
      </c>
      <c r="C633">
        <v>0</v>
      </c>
      <c r="D633">
        <v>0</v>
      </c>
      <c r="E633">
        <v>0</v>
      </c>
      <c r="F633">
        <v>0</v>
      </c>
      <c r="G633">
        <v>0</v>
      </c>
      <c r="H633">
        <v>0</v>
      </c>
      <c r="I633">
        <v>0</v>
      </c>
      <c r="J633">
        <v>0</v>
      </c>
      <c r="K633">
        <v>0</v>
      </c>
    </row>
    <row r="634" spans="1:11" x14ac:dyDescent="0.2">
      <c r="A634" t="s">
        <v>4274</v>
      </c>
      <c r="B634">
        <v>0</v>
      </c>
      <c r="C634">
        <v>0</v>
      </c>
      <c r="D634">
        <v>0</v>
      </c>
      <c r="E634">
        <v>0</v>
      </c>
      <c r="F634">
        <v>0</v>
      </c>
      <c r="G634">
        <v>0</v>
      </c>
      <c r="H634">
        <v>0</v>
      </c>
      <c r="I634">
        <v>0</v>
      </c>
      <c r="J634">
        <v>0</v>
      </c>
      <c r="K634">
        <v>0</v>
      </c>
    </row>
    <row r="635" spans="1:11" x14ac:dyDescent="0.2">
      <c r="A635" t="s">
        <v>4275</v>
      </c>
      <c r="B635">
        <v>0</v>
      </c>
      <c r="C635">
        <v>0</v>
      </c>
      <c r="D635">
        <v>0</v>
      </c>
      <c r="E635">
        <v>0</v>
      </c>
      <c r="F635">
        <v>0</v>
      </c>
      <c r="G635">
        <v>0</v>
      </c>
      <c r="H635">
        <v>0</v>
      </c>
      <c r="I635">
        <v>0</v>
      </c>
      <c r="J635">
        <v>0</v>
      </c>
      <c r="K635">
        <v>0</v>
      </c>
    </row>
    <row r="636" spans="1:11" x14ac:dyDescent="0.2">
      <c r="A636" t="s">
        <v>4276</v>
      </c>
      <c r="B636">
        <v>0</v>
      </c>
      <c r="C636">
        <v>0</v>
      </c>
      <c r="D636">
        <v>0</v>
      </c>
      <c r="E636">
        <v>0</v>
      </c>
      <c r="F636">
        <v>0</v>
      </c>
      <c r="G636">
        <v>0</v>
      </c>
      <c r="H636">
        <v>0</v>
      </c>
      <c r="I636">
        <v>0</v>
      </c>
      <c r="J636">
        <v>0</v>
      </c>
      <c r="K636">
        <v>0</v>
      </c>
    </row>
    <row r="637" spans="1:11" x14ac:dyDescent="0.2">
      <c r="A637" t="s">
        <v>4277</v>
      </c>
      <c r="B637">
        <v>0</v>
      </c>
      <c r="C637">
        <v>0</v>
      </c>
      <c r="D637">
        <v>0</v>
      </c>
      <c r="E637">
        <v>0</v>
      </c>
      <c r="F637">
        <v>0</v>
      </c>
      <c r="G637">
        <v>0</v>
      </c>
      <c r="H637">
        <v>0</v>
      </c>
      <c r="I637">
        <v>0</v>
      </c>
      <c r="J637">
        <v>0</v>
      </c>
      <c r="K637">
        <v>0</v>
      </c>
    </row>
    <row r="638" spans="1:11" x14ac:dyDescent="0.2">
      <c r="A638" t="s">
        <v>4278</v>
      </c>
      <c r="B638">
        <v>0</v>
      </c>
      <c r="C638">
        <v>0</v>
      </c>
      <c r="D638">
        <v>0</v>
      </c>
      <c r="E638">
        <v>0</v>
      </c>
      <c r="F638">
        <v>0</v>
      </c>
      <c r="G638">
        <v>0</v>
      </c>
      <c r="H638">
        <v>0</v>
      </c>
      <c r="I638">
        <v>0</v>
      </c>
      <c r="J638">
        <v>0</v>
      </c>
      <c r="K638">
        <v>0</v>
      </c>
    </row>
    <row r="639" spans="1:11" x14ac:dyDescent="0.2">
      <c r="A639" t="s">
        <v>4279</v>
      </c>
      <c r="B639">
        <v>0</v>
      </c>
      <c r="C639">
        <v>0</v>
      </c>
      <c r="D639">
        <v>0</v>
      </c>
      <c r="E639">
        <v>0</v>
      </c>
      <c r="F639">
        <v>0</v>
      </c>
      <c r="G639">
        <v>0</v>
      </c>
      <c r="H639">
        <v>0</v>
      </c>
      <c r="I639">
        <v>0</v>
      </c>
      <c r="J639">
        <v>0</v>
      </c>
      <c r="K639">
        <v>0</v>
      </c>
    </row>
    <row r="640" spans="1:11" x14ac:dyDescent="0.2">
      <c r="A640" t="s">
        <v>4280</v>
      </c>
      <c r="B640">
        <v>0</v>
      </c>
      <c r="C640">
        <v>0</v>
      </c>
      <c r="D640">
        <v>0</v>
      </c>
      <c r="E640">
        <v>0</v>
      </c>
      <c r="F640">
        <v>0</v>
      </c>
      <c r="G640">
        <v>0</v>
      </c>
      <c r="H640">
        <v>0</v>
      </c>
      <c r="I640">
        <v>0</v>
      </c>
      <c r="J640">
        <v>0</v>
      </c>
      <c r="K640">
        <v>0</v>
      </c>
    </row>
    <row r="641" spans="1:11" x14ac:dyDescent="0.2">
      <c r="A641" t="s">
        <v>4281</v>
      </c>
      <c r="B641">
        <v>0</v>
      </c>
      <c r="C641">
        <v>2</v>
      </c>
      <c r="D641">
        <v>0</v>
      </c>
      <c r="E641">
        <v>11</v>
      </c>
      <c r="F641">
        <v>28</v>
      </c>
      <c r="G641">
        <v>0</v>
      </c>
      <c r="H641">
        <v>1</v>
      </c>
      <c r="I641">
        <v>26</v>
      </c>
      <c r="J641">
        <v>0</v>
      </c>
      <c r="K641">
        <v>0</v>
      </c>
    </row>
    <row r="642" spans="1:11" x14ac:dyDescent="0.2">
      <c r="A642" t="s">
        <v>4282</v>
      </c>
      <c r="B642">
        <v>0</v>
      </c>
      <c r="C642">
        <v>0</v>
      </c>
      <c r="D642">
        <v>0</v>
      </c>
      <c r="E642">
        <v>3</v>
      </c>
      <c r="F642">
        <v>16</v>
      </c>
      <c r="G642">
        <v>0</v>
      </c>
      <c r="H642">
        <v>1</v>
      </c>
      <c r="I642">
        <v>7</v>
      </c>
      <c r="J642">
        <v>0</v>
      </c>
      <c r="K642">
        <v>0</v>
      </c>
    </row>
    <row r="643" spans="1:11" x14ac:dyDescent="0.2">
      <c r="A643" t="s">
        <v>4283</v>
      </c>
      <c r="B643">
        <v>0</v>
      </c>
      <c r="C643">
        <v>0</v>
      </c>
      <c r="D643">
        <v>0</v>
      </c>
      <c r="E643">
        <v>1</v>
      </c>
      <c r="F643">
        <v>4</v>
      </c>
      <c r="G643">
        <v>0</v>
      </c>
      <c r="H643">
        <v>0</v>
      </c>
      <c r="I643">
        <v>3</v>
      </c>
      <c r="J643">
        <v>0</v>
      </c>
      <c r="K643">
        <v>0</v>
      </c>
    </row>
    <row r="644" spans="1:11" x14ac:dyDescent="0.2">
      <c r="A644" t="s">
        <v>4284</v>
      </c>
      <c r="B644">
        <v>0</v>
      </c>
      <c r="C644">
        <v>0</v>
      </c>
      <c r="D644">
        <v>0</v>
      </c>
      <c r="E644">
        <v>0</v>
      </c>
      <c r="F644">
        <v>0</v>
      </c>
      <c r="G644">
        <v>0</v>
      </c>
      <c r="H644">
        <v>0</v>
      </c>
      <c r="I644">
        <v>0</v>
      </c>
      <c r="J644">
        <v>0</v>
      </c>
      <c r="K644">
        <v>0</v>
      </c>
    </row>
    <row r="645" spans="1:11" x14ac:dyDescent="0.2">
      <c r="A645" t="s">
        <v>4285</v>
      </c>
      <c r="B645">
        <v>0</v>
      </c>
      <c r="C645">
        <v>2</v>
      </c>
      <c r="D645">
        <v>0</v>
      </c>
      <c r="E645">
        <v>9</v>
      </c>
      <c r="F645">
        <v>32</v>
      </c>
      <c r="G645">
        <v>0</v>
      </c>
      <c r="H645">
        <v>1</v>
      </c>
      <c r="I645">
        <v>22</v>
      </c>
      <c r="J645">
        <v>0</v>
      </c>
      <c r="K645">
        <v>0</v>
      </c>
    </row>
    <row r="646" spans="1:11" x14ac:dyDescent="0.2">
      <c r="A646" t="s">
        <v>4286</v>
      </c>
      <c r="B646">
        <v>0</v>
      </c>
      <c r="C646">
        <v>0</v>
      </c>
      <c r="D646">
        <v>0</v>
      </c>
      <c r="E646">
        <v>1</v>
      </c>
      <c r="F646">
        <v>5</v>
      </c>
      <c r="G646">
        <v>0</v>
      </c>
      <c r="H646">
        <v>0</v>
      </c>
      <c r="I646">
        <v>1</v>
      </c>
      <c r="J646">
        <v>0</v>
      </c>
      <c r="K646">
        <v>0</v>
      </c>
    </row>
    <row r="647" spans="1:11" x14ac:dyDescent="0.2">
      <c r="A647" t="s">
        <v>4287</v>
      </c>
      <c r="B647">
        <v>0</v>
      </c>
      <c r="C647">
        <v>0</v>
      </c>
      <c r="D647">
        <v>0</v>
      </c>
      <c r="E647">
        <v>0</v>
      </c>
      <c r="F647">
        <v>0</v>
      </c>
      <c r="G647">
        <v>0</v>
      </c>
      <c r="H647">
        <v>0</v>
      </c>
      <c r="I647">
        <v>0</v>
      </c>
      <c r="J647">
        <v>0</v>
      </c>
      <c r="K647">
        <v>0</v>
      </c>
    </row>
    <row r="648" spans="1:11" x14ac:dyDescent="0.2">
      <c r="A648" t="s">
        <v>4288</v>
      </c>
      <c r="B648">
        <v>0</v>
      </c>
      <c r="C648">
        <v>0</v>
      </c>
      <c r="D648">
        <v>0</v>
      </c>
      <c r="E648">
        <v>0</v>
      </c>
      <c r="F648">
        <v>0</v>
      </c>
      <c r="G648">
        <v>0</v>
      </c>
      <c r="H648">
        <v>0</v>
      </c>
      <c r="I648">
        <v>0</v>
      </c>
      <c r="J648">
        <v>0</v>
      </c>
      <c r="K648">
        <v>0</v>
      </c>
    </row>
    <row r="649" spans="1:11" x14ac:dyDescent="0.2">
      <c r="A649" t="s">
        <v>4289</v>
      </c>
      <c r="B649">
        <v>0</v>
      </c>
      <c r="C649">
        <v>0</v>
      </c>
      <c r="D649">
        <v>0</v>
      </c>
      <c r="E649">
        <v>0</v>
      </c>
      <c r="F649">
        <v>0</v>
      </c>
      <c r="G649">
        <v>0</v>
      </c>
      <c r="H649">
        <v>0</v>
      </c>
      <c r="I649">
        <v>0</v>
      </c>
      <c r="J649">
        <v>0</v>
      </c>
      <c r="K649">
        <v>0</v>
      </c>
    </row>
    <row r="650" spans="1:11" x14ac:dyDescent="0.2">
      <c r="A650" t="s">
        <v>4290</v>
      </c>
      <c r="B650">
        <v>0</v>
      </c>
      <c r="C650">
        <v>0</v>
      </c>
      <c r="D650">
        <v>0</v>
      </c>
      <c r="E650">
        <v>0</v>
      </c>
      <c r="F650">
        <v>0</v>
      </c>
      <c r="G650">
        <v>0</v>
      </c>
      <c r="H650">
        <v>0</v>
      </c>
      <c r="I650">
        <v>0</v>
      </c>
      <c r="J650">
        <v>0</v>
      </c>
      <c r="K650">
        <v>0</v>
      </c>
    </row>
    <row r="651" spans="1:11" x14ac:dyDescent="0.2">
      <c r="A651" t="s">
        <v>4291</v>
      </c>
      <c r="B651">
        <v>0</v>
      </c>
      <c r="C651">
        <v>0</v>
      </c>
      <c r="D651">
        <v>0</v>
      </c>
      <c r="E651">
        <v>0</v>
      </c>
      <c r="F651">
        <v>0</v>
      </c>
      <c r="G651">
        <v>0</v>
      </c>
      <c r="H651">
        <v>0</v>
      </c>
      <c r="I651">
        <v>0</v>
      </c>
      <c r="J651">
        <v>0</v>
      </c>
      <c r="K651">
        <v>0</v>
      </c>
    </row>
    <row r="652" spans="1:11" x14ac:dyDescent="0.2">
      <c r="A652" t="s">
        <v>4292</v>
      </c>
      <c r="B652">
        <v>0</v>
      </c>
      <c r="C652">
        <v>0</v>
      </c>
      <c r="D652">
        <v>0</v>
      </c>
      <c r="E652">
        <v>0</v>
      </c>
      <c r="F652">
        <v>0</v>
      </c>
      <c r="G652">
        <v>0</v>
      </c>
      <c r="H652">
        <v>0</v>
      </c>
      <c r="I652">
        <v>0</v>
      </c>
      <c r="J652">
        <v>0</v>
      </c>
      <c r="K652">
        <v>0</v>
      </c>
    </row>
    <row r="653" spans="1:11" x14ac:dyDescent="0.2">
      <c r="A653" t="s">
        <v>4293</v>
      </c>
      <c r="B653">
        <v>0</v>
      </c>
      <c r="C653">
        <v>0</v>
      </c>
      <c r="D653">
        <v>0</v>
      </c>
      <c r="E653">
        <v>0</v>
      </c>
      <c r="F653">
        <v>0</v>
      </c>
      <c r="G653">
        <v>0</v>
      </c>
      <c r="H653">
        <v>0</v>
      </c>
      <c r="I653">
        <v>0</v>
      </c>
      <c r="J653">
        <v>0</v>
      </c>
      <c r="K653">
        <v>0</v>
      </c>
    </row>
    <row r="654" spans="1:11" x14ac:dyDescent="0.2">
      <c r="A654" t="s">
        <v>4294</v>
      </c>
      <c r="B654">
        <v>0</v>
      </c>
      <c r="C654">
        <v>0</v>
      </c>
      <c r="D654">
        <v>0</v>
      </c>
      <c r="E654">
        <v>0</v>
      </c>
      <c r="F654">
        <v>0</v>
      </c>
      <c r="G654">
        <v>0</v>
      </c>
      <c r="H654">
        <v>0</v>
      </c>
      <c r="I654">
        <v>0</v>
      </c>
      <c r="J654">
        <v>0</v>
      </c>
      <c r="K654">
        <v>0</v>
      </c>
    </row>
    <row r="655" spans="1:11" x14ac:dyDescent="0.2">
      <c r="A655" t="s">
        <v>4295</v>
      </c>
      <c r="B655">
        <v>0</v>
      </c>
      <c r="C655">
        <v>0</v>
      </c>
      <c r="D655">
        <v>0</v>
      </c>
      <c r="E655">
        <v>0</v>
      </c>
      <c r="F655">
        <v>0</v>
      </c>
      <c r="G655">
        <v>0</v>
      </c>
      <c r="H655">
        <v>0</v>
      </c>
      <c r="I655">
        <v>0</v>
      </c>
      <c r="J655">
        <v>0</v>
      </c>
      <c r="K655">
        <v>0</v>
      </c>
    </row>
    <row r="656" spans="1:11" x14ac:dyDescent="0.2">
      <c r="A656" t="s">
        <v>4296</v>
      </c>
      <c r="B656">
        <v>0</v>
      </c>
      <c r="C656">
        <v>0</v>
      </c>
      <c r="D656">
        <v>0</v>
      </c>
      <c r="E656">
        <v>0</v>
      </c>
      <c r="F656">
        <v>0</v>
      </c>
      <c r="G656">
        <v>0</v>
      </c>
      <c r="H656">
        <v>0</v>
      </c>
      <c r="I656">
        <v>0</v>
      </c>
      <c r="J656">
        <v>0</v>
      </c>
      <c r="K656">
        <v>0</v>
      </c>
    </row>
    <row r="657" spans="1:11" x14ac:dyDescent="0.2">
      <c r="A657" t="s">
        <v>4297</v>
      </c>
      <c r="B657">
        <v>0</v>
      </c>
      <c r="C657">
        <v>1</v>
      </c>
      <c r="D657">
        <v>0</v>
      </c>
      <c r="E657">
        <v>7</v>
      </c>
      <c r="F657">
        <v>18</v>
      </c>
      <c r="G657">
        <v>0</v>
      </c>
      <c r="H657">
        <v>1</v>
      </c>
      <c r="I657">
        <v>17</v>
      </c>
      <c r="J657">
        <v>0</v>
      </c>
      <c r="K657">
        <v>0</v>
      </c>
    </row>
    <row r="658" spans="1:11" x14ac:dyDescent="0.2">
      <c r="A658" t="s">
        <v>4298</v>
      </c>
      <c r="B658">
        <v>0</v>
      </c>
      <c r="C658">
        <v>0</v>
      </c>
      <c r="D658">
        <v>0</v>
      </c>
      <c r="E658">
        <v>6</v>
      </c>
      <c r="F658">
        <v>28</v>
      </c>
      <c r="G658">
        <v>0</v>
      </c>
      <c r="H658">
        <v>1</v>
      </c>
      <c r="I658">
        <v>13</v>
      </c>
      <c r="J658">
        <v>0</v>
      </c>
      <c r="K658">
        <v>0</v>
      </c>
    </row>
    <row r="659" spans="1:11" x14ac:dyDescent="0.2">
      <c r="A659" t="s">
        <v>4299</v>
      </c>
      <c r="B659">
        <v>0</v>
      </c>
      <c r="C659">
        <v>0</v>
      </c>
      <c r="D659">
        <v>0</v>
      </c>
      <c r="E659">
        <v>15</v>
      </c>
      <c r="F659">
        <v>73</v>
      </c>
      <c r="G659">
        <v>0</v>
      </c>
      <c r="H659">
        <v>3</v>
      </c>
      <c r="I659">
        <v>35</v>
      </c>
      <c r="J659">
        <v>0</v>
      </c>
      <c r="K659">
        <v>1</v>
      </c>
    </row>
    <row r="660" spans="1:11" x14ac:dyDescent="0.2">
      <c r="A660" t="s">
        <v>4300</v>
      </c>
      <c r="B660">
        <v>0</v>
      </c>
      <c r="C660">
        <v>0</v>
      </c>
      <c r="D660">
        <v>0</v>
      </c>
      <c r="E660">
        <v>0</v>
      </c>
      <c r="F660">
        <v>4</v>
      </c>
      <c r="G660">
        <v>0</v>
      </c>
      <c r="H660">
        <v>0</v>
      </c>
      <c r="I660">
        <v>1</v>
      </c>
      <c r="J660">
        <v>0</v>
      </c>
      <c r="K660">
        <v>0</v>
      </c>
    </row>
    <row r="661" spans="1:11" x14ac:dyDescent="0.2">
      <c r="A661" t="s">
        <v>4301</v>
      </c>
      <c r="B661">
        <v>0</v>
      </c>
      <c r="C661">
        <v>6</v>
      </c>
      <c r="D661">
        <v>0</v>
      </c>
      <c r="E661">
        <v>34</v>
      </c>
      <c r="F661">
        <v>86</v>
      </c>
      <c r="G661">
        <v>0</v>
      </c>
      <c r="H661">
        <v>3</v>
      </c>
      <c r="I661">
        <v>80</v>
      </c>
      <c r="J661">
        <v>0</v>
      </c>
      <c r="K661">
        <v>3</v>
      </c>
    </row>
    <row r="662" spans="1:11" x14ac:dyDescent="0.2">
      <c r="A662" t="s">
        <v>4302</v>
      </c>
      <c r="B662">
        <v>0</v>
      </c>
      <c r="C662">
        <v>1</v>
      </c>
      <c r="D662">
        <v>0</v>
      </c>
      <c r="E662">
        <v>20</v>
      </c>
      <c r="F662">
        <v>80</v>
      </c>
      <c r="G662">
        <v>0</v>
      </c>
      <c r="H662">
        <v>3</v>
      </c>
      <c r="I662">
        <v>46</v>
      </c>
      <c r="J662">
        <v>0</v>
      </c>
      <c r="K662">
        <v>4</v>
      </c>
    </row>
    <row r="663" spans="1:11" x14ac:dyDescent="0.2">
      <c r="A663" t="s">
        <v>4303</v>
      </c>
      <c r="B663">
        <v>0</v>
      </c>
      <c r="C663">
        <v>1</v>
      </c>
      <c r="D663">
        <v>0</v>
      </c>
      <c r="E663">
        <v>23</v>
      </c>
      <c r="F663">
        <v>279</v>
      </c>
      <c r="G663">
        <v>0</v>
      </c>
      <c r="H663">
        <v>10</v>
      </c>
      <c r="I663">
        <v>53</v>
      </c>
      <c r="J663">
        <v>0</v>
      </c>
      <c r="K663">
        <v>4</v>
      </c>
    </row>
    <row r="664" spans="1:11" x14ac:dyDescent="0.2">
      <c r="A664" t="s">
        <v>4304</v>
      </c>
      <c r="B664">
        <v>0</v>
      </c>
      <c r="C664">
        <v>2</v>
      </c>
      <c r="D664">
        <v>0</v>
      </c>
      <c r="E664">
        <v>11</v>
      </c>
      <c r="F664">
        <v>29</v>
      </c>
      <c r="G664">
        <v>0</v>
      </c>
      <c r="H664">
        <v>1</v>
      </c>
      <c r="I664">
        <v>26</v>
      </c>
      <c r="J664">
        <v>0</v>
      </c>
      <c r="K664">
        <v>0</v>
      </c>
    </row>
    <row r="665" spans="1:11" x14ac:dyDescent="0.2">
      <c r="A665" t="s">
        <v>4305</v>
      </c>
      <c r="B665">
        <v>0</v>
      </c>
      <c r="C665">
        <v>4</v>
      </c>
      <c r="D665">
        <v>0</v>
      </c>
      <c r="E665">
        <v>131</v>
      </c>
      <c r="F665">
        <v>323</v>
      </c>
      <c r="G665">
        <v>0</v>
      </c>
      <c r="H665">
        <v>11</v>
      </c>
      <c r="I665">
        <v>303</v>
      </c>
      <c r="J665">
        <v>0</v>
      </c>
      <c r="K665">
        <v>12</v>
      </c>
    </row>
    <row r="666" spans="1:11" x14ac:dyDescent="0.2">
      <c r="A666" t="s">
        <v>4306</v>
      </c>
      <c r="B666">
        <v>0</v>
      </c>
      <c r="C666">
        <v>1</v>
      </c>
      <c r="D666">
        <v>0</v>
      </c>
      <c r="E666">
        <v>8</v>
      </c>
      <c r="F666">
        <v>31</v>
      </c>
      <c r="G666">
        <v>0</v>
      </c>
      <c r="H666">
        <v>1</v>
      </c>
      <c r="I666">
        <v>18</v>
      </c>
      <c r="J666">
        <v>0</v>
      </c>
      <c r="K666">
        <v>1</v>
      </c>
    </row>
    <row r="667" spans="1:11" x14ac:dyDescent="0.2">
      <c r="A667" t="s">
        <v>4307</v>
      </c>
      <c r="B667">
        <v>0</v>
      </c>
      <c r="C667">
        <v>6</v>
      </c>
      <c r="D667">
        <v>1</v>
      </c>
      <c r="E667">
        <v>86</v>
      </c>
      <c r="F667">
        <v>1054</v>
      </c>
      <c r="G667">
        <v>0</v>
      </c>
      <c r="H667">
        <v>37</v>
      </c>
      <c r="I667">
        <v>201</v>
      </c>
      <c r="J667">
        <v>0</v>
      </c>
      <c r="K667">
        <v>16</v>
      </c>
    </row>
    <row r="668" spans="1:11" x14ac:dyDescent="0.2">
      <c r="A668" t="s">
        <v>4308</v>
      </c>
      <c r="B668">
        <v>0</v>
      </c>
      <c r="C668">
        <v>1</v>
      </c>
      <c r="D668">
        <v>0</v>
      </c>
      <c r="E668">
        <v>3</v>
      </c>
      <c r="F668">
        <v>38</v>
      </c>
      <c r="G668">
        <v>0</v>
      </c>
      <c r="H668">
        <v>1</v>
      </c>
      <c r="I668">
        <v>7</v>
      </c>
      <c r="J668">
        <v>0</v>
      </c>
      <c r="K668">
        <v>0</v>
      </c>
    </row>
    <row r="669" spans="1:11" x14ac:dyDescent="0.2">
      <c r="A669" t="s">
        <v>4309</v>
      </c>
      <c r="B669">
        <v>0</v>
      </c>
      <c r="C669">
        <v>0</v>
      </c>
      <c r="D669">
        <v>0</v>
      </c>
      <c r="E669">
        <v>0</v>
      </c>
      <c r="F669">
        <v>0</v>
      </c>
      <c r="G669">
        <v>0</v>
      </c>
      <c r="H669">
        <v>0</v>
      </c>
      <c r="I669">
        <v>0</v>
      </c>
      <c r="J669">
        <v>0</v>
      </c>
      <c r="K669">
        <v>0</v>
      </c>
    </row>
    <row r="670" spans="1:11" x14ac:dyDescent="0.2">
      <c r="A670" t="s">
        <v>4310</v>
      </c>
      <c r="B670">
        <v>0</v>
      </c>
      <c r="C670">
        <v>0</v>
      </c>
      <c r="D670">
        <v>0</v>
      </c>
      <c r="E670">
        <v>0</v>
      </c>
      <c r="F670">
        <v>0</v>
      </c>
      <c r="G670">
        <v>0</v>
      </c>
      <c r="H670">
        <v>0</v>
      </c>
      <c r="I670">
        <v>0</v>
      </c>
      <c r="J670">
        <v>0</v>
      </c>
      <c r="K670">
        <v>0</v>
      </c>
    </row>
    <row r="671" spans="1:11" x14ac:dyDescent="0.2">
      <c r="A671" t="s">
        <v>4311</v>
      </c>
      <c r="B671">
        <v>0</v>
      </c>
      <c r="C671">
        <v>0</v>
      </c>
      <c r="D671">
        <v>0</v>
      </c>
      <c r="E671">
        <v>0</v>
      </c>
      <c r="F671">
        <v>0</v>
      </c>
      <c r="G671">
        <v>0</v>
      </c>
      <c r="H671">
        <v>0</v>
      </c>
      <c r="I671">
        <v>0</v>
      </c>
      <c r="J671">
        <v>0</v>
      </c>
      <c r="K671">
        <v>0</v>
      </c>
    </row>
    <row r="672" spans="1:11" x14ac:dyDescent="0.2">
      <c r="A672" t="s">
        <v>4312</v>
      </c>
      <c r="B672">
        <v>0</v>
      </c>
      <c r="C672">
        <v>0</v>
      </c>
      <c r="D672">
        <v>0</v>
      </c>
      <c r="E672">
        <v>0</v>
      </c>
      <c r="F672">
        <v>0</v>
      </c>
      <c r="G672">
        <v>0</v>
      </c>
      <c r="H672">
        <v>0</v>
      </c>
      <c r="I672">
        <v>0</v>
      </c>
      <c r="J672">
        <v>0</v>
      </c>
      <c r="K672">
        <v>0</v>
      </c>
    </row>
    <row r="673" spans="1:11" x14ac:dyDescent="0.2">
      <c r="A673" t="s">
        <v>4313</v>
      </c>
      <c r="B673">
        <v>0</v>
      </c>
      <c r="C673">
        <v>0</v>
      </c>
      <c r="D673">
        <v>0</v>
      </c>
      <c r="E673">
        <v>0</v>
      </c>
      <c r="F673">
        <v>0</v>
      </c>
      <c r="G673">
        <v>0</v>
      </c>
      <c r="H673">
        <v>0</v>
      </c>
      <c r="I673">
        <v>0</v>
      </c>
      <c r="J673">
        <v>0</v>
      </c>
      <c r="K673">
        <v>0</v>
      </c>
    </row>
    <row r="674" spans="1:11" x14ac:dyDescent="0.2">
      <c r="A674" t="s">
        <v>4314</v>
      </c>
      <c r="B674">
        <v>0</v>
      </c>
      <c r="C674">
        <v>0</v>
      </c>
      <c r="D674">
        <v>0</v>
      </c>
      <c r="E674">
        <v>0</v>
      </c>
      <c r="F674">
        <v>0</v>
      </c>
      <c r="G674">
        <v>0</v>
      </c>
      <c r="H674">
        <v>0</v>
      </c>
      <c r="I674">
        <v>0</v>
      </c>
      <c r="J674">
        <v>0</v>
      </c>
      <c r="K674">
        <v>0</v>
      </c>
    </row>
    <row r="675" spans="1:11" x14ac:dyDescent="0.2">
      <c r="A675" t="s">
        <v>4315</v>
      </c>
      <c r="B675">
        <v>0</v>
      </c>
      <c r="C675">
        <v>0</v>
      </c>
      <c r="D675">
        <v>0</v>
      </c>
      <c r="E675">
        <v>0</v>
      </c>
      <c r="F675">
        <v>0</v>
      </c>
      <c r="G675">
        <v>0</v>
      </c>
      <c r="H675">
        <v>0</v>
      </c>
      <c r="I675">
        <v>0</v>
      </c>
      <c r="J675">
        <v>0</v>
      </c>
      <c r="K675">
        <v>0</v>
      </c>
    </row>
    <row r="676" spans="1:11" x14ac:dyDescent="0.2">
      <c r="A676" t="s">
        <v>4316</v>
      </c>
      <c r="B676">
        <v>0</v>
      </c>
      <c r="C676">
        <v>0</v>
      </c>
      <c r="D676">
        <v>0</v>
      </c>
      <c r="E676">
        <v>0</v>
      </c>
      <c r="F676">
        <v>0</v>
      </c>
      <c r="G676">
        <v>0</v>
      </c>
      <c r="H676">
        <v>0</v>
      </c>
      <c r="I676">
        <v>0</v>
      </c>
      <c r="J676">
        <v>0</v>
      </c>
      <c r="K676">
        <v>0</v>
      </c>
    </row>
    <row r="677" spans="1:11" x14ac:dyDescent="0.2">
      <c r="A677" t="s">
        <v>4317</v>
      </c>
      <c r="B677">
        <v>0</v>
      </c>
      <c r="C677">
        <v>0</v>
      </c>
      <c r="D677">
        <v>0</v>
      </c>
      <c r="E677">
        <v>0</v>
      </c>
      <c r="F677">
        <v>0</v>
      </c>
      <c r="G677">
        <v>0</v>
      </c>
      <c r="H677">
        <v>0</v>
      </c>
      <c r="I677">
        <v>0</v>
      </c>
      <c r="J677">
        <v>0</v>
      </c>
      <c r="K677">
        <v>0</v>
      </c>
    </row>
    <row r="678" spans="1:11" x14ac:dyDescent="0.2">
      <c r="A678" t="s">
        <v>4318</v>
      </c>
      <c r="B678">
        <v>0</v>
      </c>
      <c r="C678">
        <v>0</v>
      </c>
      <c r="D678">
        <v>0</v>
      </c>
      <c r="E678">
        <v>0</v>
      </c>
      <c r="F678">
        <v>0</v>
      </c>
      <c r="G678">
        <v>0</v>
      </c>
      <c r="H678">
        <v>0</v>
      </c>
      <c r="I678">
        <v>0</v>
      </c>
      <c r="J678">
        <v>0</v>
      </c>
      <c r="K678">
        <v>0</v>
      </c>
    </row>
    <row r="679" spans="1:11" x14ac:dyDescent="0.2">
      <c r="A679" t="s">
        <v>4319</v>
      </c>
      <c r="B679">
        <v>0</v>
      </c>
      <c r="C679">
        <v>0</v>
      </c>
      <c r="D679">
        <v>0</v>
      </c>
      <c r="E679">
        <v>0</v>
      </c>
      <c r="F679">
        <v>0</v>
      </c>
      <c r="G679">
        <v>0</v>
      </c>
      <c r="H679">
        <v>0</v>
      </c>
      <c r="I679">
        <v>0</v>
      </c>
      <c r="J679">
        <v>0</v>
      </c>
      <c r="K679">
        <v>0</v>
      </c>
    </row>
    <row r="680" spans="1:11" x14ac:dyDescent="0.2">
      <c r="A680" t="s">
        <v>4320</v>
      </c>
      <c r="B680">
        <v>0</v>
      </c>
      <c r="C680">
        <v>0</v>
      </c>
      <c r="D680">
        <v>0</v>
      </c>
      <c r="E680">
        <v>0</v>
      </c>
      <c r="F680">
        <v>0</v>
      </c>
      <c r="G680">
        <v>0</v>
      </c>
      <c r="H680">
        <v>0</v>
      </c>
      <c r="I680">
        <v>0</v>
      </c>
      <c r="J680">
        <v>0</v>
      </c>
      <c r="K680">
        <v>0</v>
      </c>
    </row>
    <row r="681" spans="1:11" x14ac:dyDescent="0.2">
      <c r="A681" t="s">
        <v>4321</v>
      </c>
      <c r="B681">
        <v>0</v>
      </c>
      <c r="C681">
        <v>0</v>
      </c>
      <c r="D681">
        <v>0</v>
      </c>
      <c r="E681">
        <v>0</v>
      </c>
      <c r="F681">
        <v>0</v>
      </c>
      <c r="G681">
        <v>0</v>
      </c>
      <c r="H681">
        <v>0</v>
      </c>
      <c r="I681">
        <v>0</v>
      </c>
      <c r="J681">
        <v>0</v>
      </c>
      <c r="K681">
        <v>0</v>
      </c>
    </row>
    <row r="682" spans="1:11" x14ac:dyDescent="0.2">
      <c r="A682" t="s">
        <v>4322</v>
      </c>
      <c r="B682">
        <v>0</v>
      </c>
      <c r="C682">
        <v>0</v>
      </c>
      <c r="D682">
        <v>0</v>
      </c>
      <c r="E682">
        <v>0</v>
      </c>
      <c r="F682">
        <v>0</v>
      </c>
      <c r="G682">
        <v>0</v>
      </c>
      <c r="H682">
        <v>0</v>
      </c>
      <c r="I682">
        <v>0</v>
      </c>
      <c r="J682">
        <v>0</v>
      </c>
      <c r="K682">
        <v>0</v>
      </c>
    </row>
    <row r="683" spans="1:11" x14ac:dyDescent="0.2">
      <c r="A683" t="s">
        <v>4323</v>
      </c>
      <c r="B683">
        <v>0</v>
      </c>
      <c r="C683">
        <v>0</v>
      </c>
      <c r="D683">
        <v>0</v>
      </c>
      <c r="E683">
        <v>0</v>
      </c>
      <c r="F683">
        <v>0</v>
      </c>
      <c r="G683">
        <v>0</v>
      </c>
      <c r="H683">
        <v>0</v>
      </c>
      <c r="I683">
        <v>0</v>
      </c>
      <c r="J683">
        <v>0</v>
      </c>
      <c r="K683">
        <v>0</v>
      </c>
    </row>
    <row r="684" spans="1:11" x14ac:dyDescent="0.2">
      <c r="A684" t="s">
        <v>4324</v>
      </c>
      <c r="B684">
        <v>0</v>
      </c>
      <c r="C684">
        <v>0</v>
      </c>
      <c r="D684">
        <v>0</v>
      </c>
      <c r="E684">
        <v>0</v>
      </c>
      <c r="F684">
        <v>0</v>
      </c>
      <c r="G684">
        <v>0</v>
      </c>
      <c r="H684">
        <v>0</v>
      </c>
      <c r="I684">
        <v>0</v>
      </c>
      <c r="J684">
        <v>0</v>
      </c>
      <c r="K684">
        <v>0</v>
      </c>
    </row>
    <row r="685" spans="1:11" x14ac:dyDescent="0.2">
      <c r="A685" t="s">
        <v>4325</v>
      </c>
      <c r="B685">
        <v>0</v>
      </c>
      <c r="C685">
        <v>0</v>
      </c>
      <c r="D685">
        <v>0</v>
      </c>
      <c r="E685">
        <v>0</v>
      </c>
      <c r="F685">
        <v>0</v>
      </c>
      <c r="G685">
        <v>0</v>
      </c>
      <c r="H685">
        <v>0</v>
      </c>
      <c r="I685">
        <v>0</v>
      </c>
      <c r="J685">
        <v>0</v>
      </c>
      <c r="K685">
        <v>0</v>
      </c>
    </row>
    <row r="686" spans="1:11" x14ac:dyDescent="0.2">
      <c r="A686" t="s">
        <v>4326</v>
      </c>
      <c r="B686">
        <v>0</v>
      </c>
      <c r="C686">
        <v>0</v>
      </c>
      <c r="D686">
        <v>0</v>
      </c>
      <c r="E686">
        <v>0</v>
      </c>
      <c r="F686">
        <v>0</v>
      </c>
      <c r="G686">
        <v>0</v>
      </c>
      <c r="H686">
        <v>0</v>
      </c>
      <c r="I686">
        <v>0</v>
      </c>
      <c r="J686">
        <v>0</v>
      </c>
      <c r="K686">
        <v>0</v>
      </c>
    </row>
    <row r="687" spans="1:11" x14ac:dyDescent="0.2">
      <c r="A687" t="s">
        <v>4327</v>
      </c>
      <c r="B687">
        <v>0</v>
      </c>
      <c r="C687">
        <v>0</v>
      </c>
      <c r="D687">
        <v>0</v>
      </c>
      <c r="E687">
        <v>0</v>
      </c>
      <c r="F687">
        <v>0</v>
      </c>
      <c r="G687">
        <v>0</v>
      </c>
      <c r="H687">
        <v>0</v>
      </c>
      <c r="I687">
        <v>0</v>
      </c>
      <c r="J687">
        <v>0</v>
      </c>
      <c r="K687">
        <v>0</v>
      </c>
    </row>
    <row r="688" spans="1:11" x14ac:dyDescent="0.2">
      <c r="A688" t="s">
        <v>4328</v>
      </c>
      <c r="B688">
        <v>0</v>
      </c>
      <c r="C688">
        <v>0</v>
      </c>
      <c r="D688">
        <v>0</v>
      </c>
      <c r="E688">
        <v>0</v>
      </c>
      <c r="F688">
        <v>0</v>
      </c>
      <c r="G688">
        <v>0</v>
      </c>
      <c r="H688">
        <v>0</v>
      </c>
      <c r="I688">
        <v>0</v>
      </c>
      <c r="J688">
        <v>0</v>
      </c>
      <c r="K688">
        <v>0</v>
      </c>
    </row>
    <row r="689" spans="1:11" x14ac:dyDescent="0.2">
      <c r="A689" t="s">
        <v>4329</v>
      </c>
      <c r="B689">
        <v>0</v>
      </c>
      <c r="C689">
        <v>0</v>
      </c>
      <c r="D689">
        <v>0</v>
      </c>
      <c r="E689">
        <v>0</v>
      </c>
      <c r="F689">
        <v>0</v>
      </c>
      <c r="G689">
        <v>0</v>
      </c>
      <c r="H689">
        <v>0</v>
      </c>
      <c r="I689">
        <v>0</v>
      </c>
      <c r="J689">
        <v>0</v>
      </c>
      <c r="K689">
        <v>0</v>
      </c>
    </row>
    <row r="690" spans="1:11" x14ac:dyDescent="0.2">
      <c r="A690" t="s">
        <v>4330</v>
      </c>
      <c r="B690">
        <v>0</v>
      </c>
      <c r="C690">
        <v>0</v>
      </c>
      <c r="D690">
        <v>0</v>
      </c>
      <c r="E690">
        <v>0</v>
      </c>
      <c r="F690">
        <v>0</v>
      </c>
      <c r="G690">
        <v>0</v>
      </c>
      <c r="H690">
        <v>0</v>
      </c>
      <c r="I690">
        <v>0</v>
      </c>
      <c r="J690">
        <v>0</v>
      </c>
      <c r="K690">
        <v>0</v>
      </c>
    </row>
    <row r="691" spans="1:11" x14ac:dyDescent="0.2">
      <c r="A691" t="s">
        <v>4331</v>
      </c>
      <c r="B691">
        <v>0</v>
      </c>
      <c r="C691">
        <v>0</v>
      </c>
      <c r="D691">
        <v>0</v>
      </c>
      <c r="E691">
        <v>0</v>
      </c>
      <c r="F691">
        <v>0</v>
      </c>
      <c r="G691">
        <v>0</v>
      </c>
      <c r="H691">
        <v>0</v>
      </c>
      <c r="I691">
        <v>0</v>
      </c>
      <c r="J691">
        <v>0</v>
      </c>
      <c r="K691">
        <v>0</v>
      </c>
    </row>
    <row r="692" spans="1:11" x14ac:dyDescent="0.2">
      <c r="A692" t="s">
        <v>4332</v>
      </c>
      <c r="B692">
        <v>0</v>
      </c>
      <c r="C692">
        <v>0</v>
      </c>
      <c r="D692">
        <v>0</v>
      </c>
      <c r="E692">
        <v>0</v>
      </c>
      <c r="F692">
        <v>1</v>
      </c>
      <c r="G692">
        <v>0</v>
      </c>
      <c r="H692">
        <v>0</v>
      </c>
      <c r="I692">
        <v>0</v>
      </c>
      <c r="J692">
        <v>0</v>
      </c>
      <c r="K692">
        <v>0</v>
      </c>
    </row>
    <row r="693" spans="1:11" x14ac:dyDescent="0.2">
      <c r="A693" t="s">
        <v>4333</v>
      </c>
      <c r="B693">
        <v>0</v>
      </c>
      <c r="C693">
        <v>0</v>
      </c>
      <c r="D693">
        <v>0</v>
      </c>
      <c r="E693">
        <v>0</v>
      </c>
      <c r="F693">
        <v>0</v>
      </c>
      <c r="G693">
        <v>0</v>
      </c>
      <c r="H693">
        <v>0</v>
      </c>
      <c r="I693">
        <v>0</v>
      </c>
      <c r="J693">
        <v>0</v>
      </c>
      <c r="K693">
        <v>0</v>
      </c>
    </row>
    <row r="694" spans="1:11" x14ac:dyDescent="0.2">
      <c r="A694" t="s">
        <v>4334</v>
      </c>
      <c r="B694">
        <v>0</v>
      </c>
      <c r="C694">
        <v>0</v>
      </c>
      <c r="D694">
        <v>0</v>
      </c>
      <c r="E694">
        <v>0</v>
      </c>
      <c r="F694">
        <v>0</v>
      </c>
      <c r="G694">
        <v>0</v>
      </c>
      <c r="H694">
        <v>0</v>
      </c>
      <c r="I694">
        <v>0</v>
      </c>
      <c r="J694">
        <v>0</v>
      </c>
      <c r="K694">
        <v>0</v>
      </c>
    </row>
    <row r="695" spans="1:11" x14ac:dyDescent="0.2">
      <c r="A695" t="s">
        <v>4335</v>
      </c>
      <c r="B695">
        <v>0</v>
      </c>
      <c r="C695">
        <v>0</v>
      </c>
      <c r="D695">
        <v>0</v>
      </c>
      <c r="E695">
        <v>0</v>
      </c>
      <c r="F695">
        <v>0</v>
      </c>
      <c r="G695">
        <v>0</v>
      </c>
      <c r="H695">
        <v>0</v>
      </c>
      <c r="I695">
        <v>0</v>
      </c>
      <c r="J695">
        <v>0</v>
      </c>
      <c r="K695">
        <v>0</v>
      </c>
    </row>
    <row r="696" spans="1:11" x14ac:dyDescent="0.2">
      <c r="A696" t="s">
        <v>4336</v>
      </c>
      <c r="B696">
        <v>0</v>
      </c>
      <c r="C696">
        <v>0</v>
      </c>
      <c r="D696">
        <v>0</v>
      </c>
      <c r="E696">
        <v>0</v>
      </c>
      <c r="F696">
        <v>0</v>
      </c>
      <c r="G696">
        <v>0</v>
      </c>
      <c r="H696">
        <v>0</v>
      </c>
      <c r="I696">
        <v>0</v>
      </c>
      <c r="J696">
        <v>0</v>
      </c>
      <c r="K696">
        <v>0</v>
      </c>
    </row>
    <row r="697" spans="1:11" x14ac:dyDescent="0.2">
      <c r="A697" t="s">
        <v>4337</v>
      </c>
      <c r="B697">
        <v>0</v>
      </c>
      <c r="C697">
        <v>0</v>
      </c>
      <c r="D697">
        <v>0</v>
      </c>
      <c r="E697">
        <v>0</v>
      </c>
      <c r="F697">
        <v>0</v>
      </c>
      <c r="G697">
        <v>0</v>
      </c>
      <c r="H697">
        <v>0</v>
      </c>
      <c r="I697">
        <v>0</v>
      </c>
      <c r="J697">
        <v>0</v>
      </c>
      <c r="K697">
        <v>0</v>
      </c>
    </row>
    <row r="698" spans="1:11" x14ac:dyDescent="0.2">
      <c r="A698" t="s">
        <v>4338</v>
      </c>
      <c r="B698">
        <v>0</v>
      </c>
      <c r="C698">
        <v>0</v>
      </c>
      <c r="D698">
        <v>0</v>
      </c>
      <c r="E698">
        <v>0</v>
      </c>
      <c r="F698">
        <v>1</v>
      </c>
      <c r="G698">
        <v>0</v>
      </c>
      <c r="H698">
        <v>0</v>
      </c>
      <c r="I698">
        <v>0</v>
      </c>
      <c r="J698">
        <v>0</v>
      </c>
      <c r="K698">
        <v>0</v>
      </c>
    </row>
    <row r="699" spans="1:11" x14ac:dyDescent="0.2">
      <c r="A699" t="s">
        <v>4339</v>
      </c>
      <c r="B699">
        <v>0</v>
      </c>
      <c r="C699">
        <v>0</v>
      </c>
      <c r="D699">
        <v>0</v>
      </c>
      <c r="E699">
        <v>0</v>
      </c>
      <c r="F699">
        <v>0</v>
      </c>
      <c r="G699">
        <v>0</v>
      </c>
      <c r="H699">
        <v>0</v>
      </c>
      <c r="I699">
        <v>0</v>
      </c>
      <c r="J699">
        <v>0</v>
      </c>
      <c r="K699">
        <v>0</v>
      </c>
    </row>
    <row r="700" spans="1:11" x14ac:dyDescent="0.2">
      <c r="A700" t="s">
        <v>4340</v>
      </c>
      <c r="B700">
        <v>0</v>
      </c>
      <c r="C700">
        <v>0</v>
      </c>
      <c r="D700">
        <v>0</v>
      </c>
      <c r="E700">
        <v>0</v>
      </c>
      <c r="F700">
        <v>0</v>
      </c>
      <c r="G700">
        <v>0</v>
      </c>
      <c r="H700">
        <v>0</v>
      </c>
      <c r="I700">
        <v>0</v>
      </c>
      <c r="J700">
        <v>0</v>
      </c>
      <c r="K700">
        <v>0</v>
      </c>
    </row>
    <row r="701" spans="1:11" x14ac:dyDescent="0.2">
      <c r="A701" t="s">
        <v>4341</v>
      </c>
      <c r="B701">
        <v>0</v>
      </c>
      <c r="C701">
        <v>0</v>
      </c>
      <c r="D701">
        <v>0</v>
      </c>
      <c r="E701">
        <v>0</v>
      </c>
      <c r="F701">
        <v>0</v>
      </c>
      <c r="G701">
        <v>0</v>
      </c>
      <c r="H701">
        <v>0</v>
      </c>
      <c r="I701">
        <v>0</v>
      </c>
      <c r="J701">
        <v>0</v>
      </c>
      <c r="K701">
        <v>0</v>
      </c>
    </row>
    <row r="702" spans="1:11" x14ac:dyDescent="0.2">
      <c r="A702" t="s">
        <v>4342</v>
      </c>
      <c r="B702">
        <v>0</v>
      </c>
      <c r="C702">
        <v>0</v>
      </c>
      <c r="D702">
        <v>0</v>
      </c>
      <c r="E702">
        <v>0</v>
      </c>
      <c r="F702">
        <v>0</v>
      </c>
      <c r="G702">
        <v>0</v>
      </c>
      <c r="H702">
        <v>0</v>
      </c>
      <c r="I702">
        <v>0</v>
      </c>
      <c r="J702">
        <v>0</v>
      </c>
      <c r="K702">
        <v>0</v>
      </c>
    </row>
    <row r="703" spans="1:11" x14ac:dyDescent="0.2">
      <c r="A703" t="s">
        <v>4343</v>
      </c>
      <c r="B703">
        <v>0</v>
      </c>
      <c r="C703">
        <v>0</v>
      </c>
      <c r="D703">
        <v>0</v>
      </c>
      <c r="E703">
        <v>0</v>
      </c>
      <c r="F703">
        <v>0</v>
      </c>
      <c r="G703">
        <v>0</v>
      </c>
      <c r="H703">
        <v>0</v>
      </c>
      <c r="I703">
        <v>0</v>
      </c>
      <c r="J703">
        <v>0</v>
      </c>
      <c r="K703">
        <v>0</v>
      </c>
    </row>
    <row r="704" spans="1:11" x14ac:dyDescent="0.2">
      <c r="A704" t="s">
        <v>1728</v>
      </c>
      <c r="B704">
        <v>0</v>
      </c>
      <c r="C704">
        <v>0</v>
      </c>
      <c r="D704">
        <v>0</v>
      </c>
      <c r="E704">
        <v>0</v>
      </c>
      <c r="F704">
        <v>0</v>
      </c>
      <c r="G704">
        <v>0</v>
      </c>
      <c r="H704">
        <v>0</v>
      </c>
      <c r="I704">
        <v>0</v>
      </c>
      <c r="J704">
        <v>0</v>
      </c>
      <c r="K704">
        <v>0</v>
      </c>
    </row>
    <row r="705" spans="1:11" x14ac:dyDescent="0.2">
      <c r="A705" t="s">
        <v>1730</v>
      </c>
      <c r="B705">
        <v>0</v>
      </c>
      <c r="C705">
        <v>0</v>
      </c>
      <c r="D705">
        <v>0</v>
      </c>
      <c r="E705">
        <v>4</v>
      </c>
      <c r="F705">
        <v>89</v>
      </c>
      <c r="G705">
        <v>0</v>
      </c>
      <c r="H705">
        <v>4</v>
      </c>
      <c r="I705">
        <v>17</v>
      </c>
      <c r="J705">
        <v>0</v>
      </c>
      <c r="K705">
        <v>1</v>
      </c>
    </row>
    <row r="706" spans="1:11" x14ac:dyDescent="0.2">
      <c r="A706" t="s">
        <v>1733</v>
      </c>
      <c r="B706">
        <v>0</v>
      </c>
      <c r="C706">
        <v>0</v>
      </c>
      <c r="D706">
        <v>0</v>
      </c>
      <c r="E706">
        <v>0</v>
      </c>
      <c r="F706">
        <v>0</v>
      </c>
      <c r="G706">
        <v>0</v>
      </c>
      <c r="H706">
        <v>0</v>
      </c>
      <c r="I706">
        <v>0</v>
      </c>
      <c r="J706">
        <v>0</v>
      </c>
      <c r="K706">
        <v>0</v>
      </c>
    </row>
    <row r="707" spans="1:11" x14ac:dyDescent="0.2">
      <c r="A707" t="s">
        <v>1738</v>
      </c>
      <c r="B707">
        <v>0</v>
      </c>
      <c r="C707">
        <v>0</v>
      </c>
      <c r="D707">
        <v>0</v>
      </c>
      <c r="E707">
        <v>0</v>
      </c>
      <c r="F707">
        <v>0</v>
      </c>
      <c r="G707">
        <v>0</v>
      </c>
      <c r="H707">
        <v>0</v>
      </c>
      <c r="I707">
        <v>0</v>
      </c>
      <c r="J707">
        <v>0</v>
      </c>
      <c r="K707">
        <v>0</v>
      </c>
    </row>
    <row r="708" spans="1:11" x14ac:dyDescent="0.2">
      <c r="A708" t="s">
        <v>1744</v>
      </c>
      <c r="B708">
        <v>0</v>
      </c>
      <c r="C708">
        <v>0</v>
      </c>
      <c r="D708">
        <v>0</v>
      </c>
      <c r="E708">
        <v>0</v>
      </c>
      <c r="F708">
        <v>0</v>
      </c>
      <c r="G708">
        <v>0</v>
      </c>
      <c r="H708">
        <v>0</v>
      </c>
      <c r="I708">
        <v>0</v>
      </c>
      <c r="J708">
        <v>0</v>
      </c>
      <c r="K708">
        <v>0</v>
      </c>
    </row>
    <row r="709" spans="1:11" x14ac:dyDescent="0.2">
      <c r="A709" t="s">
        <v>1747</v>
      </c>
      <c r="B709">
        <v>0</v>
      </c>
      <c r="C709">
        <v>0</v>
      </c>
      <c r="D709">
        <v>0</v>
      </c>
      <c r="E709">
        <v>0</v>
      </c>
      <c r="F709">
        <v>0</v>
      </c>
      <c r="G709">
        <v>0</v>
      </c>
      <c r="H709">
        <v>0</v>
      </c>
      <c r="I709">
        <v>0</v>
      </c>
      <c r="J709">
        <v>0</v>
      </c>
      <c r="K709">
        <v>0</v>
      </c>
    </row>
    <row r="710" spans="1:11" x14ac:dyDescent="0.2">
      <c r="A710" t="s">
        <v>1751</v>
      </c>
      <c r="B710">
        <v>0</v>
      </c>
      <c r="C710">
        <v>0</v>
      </c>
      <c r="D710">
        <v>0</v>
      </c>
      <c r="E710">
        <v>0</v>
      </c>
      <c r="F710">
        <v>0</v>
      </c>
      <c r="G710">
        <v>0</v>
      </c>
      <c r="H710">
        <v>0</v>
      </c>
      <c r="I710">
        <v>0</v>
      </c>
      <c r="J710">
        <v>0</v>
      </c>
      <c r="K710">
        <v>0</v>
      </c>
    </row>
    <row r="711" spans="1:11" x14ac:dyDescent="0.2">
      <c r="A711" t="s">
        <v>1755</v>
      </c>
      <c r="B711">
        <v>0</v>
      </c>
      <c r="C711">
        <v>0</v>
      </c>
      <c r="D711">
        <v>0</v>
      </c>
      <c r="E711">
        <v>2</v>
      </c>
      <c r="F711">
        <v>17</v>
      </c>
      <c r="G711">
        <v>0</v>
      </c>
      <c r="H711">
        <v>1</v>
      </c>
      <c r="I711">
        <v>6</v>
      </c>
      <c r="J711">
        <v>0</v>
      </c>
      <c r="K711">
        <v>0</v>
      </c>
    </row>
    <row r="712" spans="1:11" x14ac:dyDescent="0.2">
      <c r="A712" t="s">
        <v>1757</v>
      </c>
      <c r="B712">
        <v>0</v>
      </c>
      <c r="C712">
        <v>0</v>
      </c>
      <c r="D712">
        <v>0</v>
      </c>
      <c r="E712">
        <v>1</v>
      </c>
      <c r="F712">
        <v>20</v>
      </c>
      <c r="G712">
        <v>0</v>
      </c>
      <c r="H712">
        <v>1</v>
      </c>
      <c r="I712">
        <v>4</v>
      </c>
      <c r="J712">
        <v>0</v>
      </c>
      <c r="K712">
        <v>0</v>
      </c>
    </row>
    <row r="713" spans="1:11" x14ac:dyDescent="0.2">
      <c r="A713" t="s">
        <v>1761</v>
      </c>
      <c r="B713">
        <v>0</v>
      </c>
      <c r="C713">
        <v>0</v>
      </c>
      <c r="D713">
        <v>0</v>
      </c>
      <c r="E713">
        <v>0</v>
      </c>
      <c r="F713">
        <v>0</v>
      </c>
      <c r="G713">
        <v>0</v>
      </c>
      <c r="H713">
        <v>0</v>
      </c>
      <c r="I713">
        <v>0</v>
      </c>
      <c r="J713">
        <v>0</v>
      </c>
      <c r="K713">
        <v>0</v>
      </c>
    </row>
    <row r="714" spans="1:11" x14ac:dyDescent="0.2">
      <c r="A714" t="s">
        <v>1764</v>
      </c>
      <c r="B714">
        <v>0</v>
      </c>
      <c r="C714">
        <v>0</v>
      </c>
      <c r="D714">
        <v>0</v>
      </c>
      <c r="E714">
        <v>0</v>
      </c>
      <c r="F714">
        <v>0</v>
      </c>
      <c r="G714">
        <v>0</v>
      </c>
      <c r="H714">
        <v>0</v>
      </c>
      <c r="I714">
        <v>0</v>
      </c>
      <c r="J714">
        <v>0</v>
      </c>
      <c r="K714">
        <v>0</v>
      </c>
    </row>
    <row r="715" spans="1:11" x14ac:dyDescent="0.2">
      <c r="A715" t="s">
        <v>1770</v>
      </c>
      <c r="B715">
        <v>0</v>
      </c>
      <c r="C715">
        <v>14</v>
      </c>
      <c r="D715">
        <v>0</v>
      </c>
      <c r="E715">
        <v>186</v>
      </c>
      <c r="F715">
        <v>343</v>
      </c>
      <c r="G715">
        <v>0</v>
      </c>
      <c r="H715">
        <v>12</v>
      </c>
      <c r="I715">
        <v>436</v>
      </c>
      <c r="J715">
        <v>0</v>
      </c>
      <c r="K715">
        <v>29</v>
      </c>
    </row>
    <row r="716" spans="1:11" x14ac:dyDescent="0.2">
      <c r="A716" t="s">
        <v>1772</v>
      </c>
      <c r="B716">
        <v>0</v>
      </c>
      <c r="C716">
        <v>4</v>
      </c>
      <c r="D716">
        <v>0</v>
      </c>
      <c r="E716">
        <v>84</v>
      </c>
      <c r="F716">
        <v>156</v>
      </c>
      <c r="G716">
        <v>0</v>
      </c>
      <c r="H716">
        <v>6</v>
      </c>
      <c r="I716">
        <v>198</v>
      </c>
      <c r="J716">
        <v>0</v>
      </c>
      <c r="K716">
        <v>14</v>
      </c>
    </row>
    <row r="717" spans="1:11" x14ac:dyDescent="0.2">
      <c r="A717" t="s">
        <v>1774</v>
      </c>
      <c r="B717">
        <v>0</v>
      </c>
      <c r="C717">
        <v>0</v>
      </c>
      <c r="D717">
        <v>0</v>
      </c>
      <c r="E717">
        <v>23</v>
      </c>
      <c r="F717">
        <v>49</v>
      </c>
      <c r="G717">
        <v>0</v>
      </c>
      <c r="H717">
        <v>2</v>
      </c>
      <c r="I717">
        <v>55</v>
      </c>
      <c r="J717">
        <v>0</v>
      </c>
      <c r="K717">
        <v>6</v>
      </c>
    </row>
    <row r="718" spans="1:11" x14ac:dyDescent="0.2">
      <c r="A718" t="s">
        <v>1777</v>
      </c>
      <c r="B718">
        <v>0</v>
      </c>
      <c r="C718">
        <v>0</v>
      </c>
      <c r="D718">
        <v>0</v>
      </c>
      <c r="E718">
        <v>0</v>
      </c>
      <c r="F718">
        <v>0</v>
      </c>
      <c r="G718">
        <v>0</v>
      </c>
      <c r="H718">
        <v>0</v>
      </c>
      <c r="I718">
        <v>0</v>
      </c>
      <c r="J718">
        <v>0</v>
      </c>
      <c r="K718">
        <v>0</v>
      </c>
    </row>
    <row r="719" spans="1:11" x14ac:dyDescent="0.2">
      <c r="A719" t="s">
        <v>1782</v>
      </c>
      <c r="B719">
        <v>0</v>
      </c>
      <c r="C719">
        <v>0</v>
      </c>
      <c r="D719">
        <v>0</v>
      </c>
      <c r="E719">
        <v>0</v>
      </c>
      <c r="F719">
        <v>0</v>
      </c>
      <c r="G719">
        <v>0</v>
      </c>
      <c r="H719">
        <v>0</v>
      </c>
      <c r="I719">
        <v>0</v>
      </c>
      <c r="J719">
        <v>0</v>
      </c>
      <c r="K719">
        <v>0</v>
      </c>
    </row>
    <row r="720" spans="1:11" x14ac:dyDescent="0.2">
      <c r="A720" t="s">
        <v>1274</v>
      </c>
      <c r="B720">
        <v>0</v>
      </c>
      <c r="C720">
        <v>0</v>
      </c>
      <c r="D720">
        <v>0</v>
      </c>
      <c r="E720">
        <v>0</v>
      </c>
      <c r="F720">
        <v>4</v>
      </c>
      <c r="G720">
        <v>0</v>
      </c>
      <c r="H720">
        <v>0</v>
      </c>
      <c r="I720">
        <v>1</v>
      </c>
      <c r="J720">
        <v>0</v>
      </c>
      <c r="K720">
        <v>0</v>
      </c>
    </row>
    <row r="721" spans="1:11" x14ac:dyDescent="0.2">
      <c r="A721" t="s">
        <v>1277</v>
      </c>
      <c r="B721">
        <v>0</v>
      </c>
      <c r="C721">
        <v>0</v>
      </c>
      <c r="D721">
        <v>0</v>
      </c>
      <c r="E721">
        <v>2</v>
      </c>
      <c r="F721">
        <v>33</v>
      </c>
      <c r="G721">
        <v>0</v>
      </c>
      <c r="H721">
        <v>1</v>
      </c>
      <c r="I721">
        <v>6</v>
      </c>
      <c r="J721">
        <v>0</v>
      </c>
      <c r="K721">
        <v>0</v>
      </c>
    </row>
    <row r="722" spans="1:11" x14ac:dyDescent="0.2">
      <c r="A722" t="s">
        <v>1798</v>
      </c>
      <c r="B722">
        <v>0</v>
      </c>
      <c r="C722">
        <v>0</v>
      </c>
      <c r="D722">
        <v>0</v>
      </c>
      <c r="E722">
        <v>0</v>
      </c>
      <c r="F722">
        <v>0</v>
      </c>
      <c r="G722">
        <v>0</v>
      </c>
      <c r="H722">
        <v>0</v>
      </c>
      <c r="I722">
        <v>0</v>
      </c>
      <c r="J722">
        <v>0</v>
      </c>
      <c r="K722">
        <v>0</v>
      </c>
    </row>
    <row r="723" spans="1:11" x14ac:dyDescent="0.2">
      <c r="A723" t="s">
        <v>1803</v>
      </c>
      <c r="B723">
        <v>0</v>
      </c>
      <c r="C723">
        <v>0</v>
      </c>
      <c r="D723">
        <v>0</v>
      </c>
      <c r="E723">
        <v>0</v>
      </c>
      <c r="F723">
        <v>0</v>
      </c>
      <c r="G723">
        <v>0</v>
      </c>
      <c r="H723">
        <v>0</v>
      </c>
      <c r="I723">
        <v>0</v>
      </c>
      <c r="J723">
        <v>0</v>
      </c>
      <c r="K723">
        <v>0</v>
      </c>
    </row>
    <row r="724" spans="1:11" x14ac:dyDescent="0.2">
      <c r="A724" t="s">
        <v>1808</v>
      </c>
      <c r="B724">
        <v>0</v>
      </c>
      <c r="C724">
        <v>0</v>
      </c>
      <c r="D724">
        <v>0</v>
      </c>
      <c r="E724">
        <v>0</v>
      </c>
      <c r="F724">
        <v>0</v>
      </c>
      <c r="G724">
        <v>0</v>
      </c>
      <c r="H724">
        <v>0</v>
      </c>
      <c r="I724">
        <v>0</v>
      </c>
      <c r="J724">
        <v>0</v>
      </c>
      <c r="K724">
        <v>0</v>
      </c>
    </row>
    <row r="725" spans="1:11" x14ac:dyDescent="0.2">
      <c r="A725" t="s">
        <v>1813</v>
      </c>
      <c r="B725">
        <v>0</v>
      </c>
      <c r="C725">
        <v>0</v>
      </c>
      <c r="D725">
        <v>0</v>
      </c>
      <c r="E725">
        <v>0</v>
      </c>
      <c r="F725">
        <v>0</v>
      </c>
      <c r="G725">
        <v>0</v>
      </c>
      <c r="H725">
        <v>0</v>
      </c>
      <c r="I725">
        <v>0</v>
      </c>
      <c r="J725">
        <v>0</v>
      </c>
      <c r="K725">
        <v>0</v>
      </c>
    </row>
    <row r="726" spans="1:11" x14ac:dyDescent="0.2">
      <c r="A726" t="s">
        <v>1819</v>
      </c>
      <c r="B726">
        <v>0</v>
      </c>
      <c r="C726">
        <v>0</v>
      </c>
      <c r="D726">
        <v>0</v>
      </c>
      <c r="E726">
        <v>0</v>
      </c>
      <c r="F726">
        <v>2</v>
      </c>
      <c r="G726">
        <v>0</v>
      </c>
      <c r="H726">
        <v>0</v>
      </c>
      <c r="I726">
        <v>0</v>
      </c>
      <c r="J726">
        <v>0</v>
      </c>
      <c r="K726">
        <v>0</v>
      </c>
    </row>
    <row r="727" spans="1:11" x14ac:dyDescent="0.2">
      <c r="A727" t="s">
        <v>1826</v>
      </c>
      <c r="B727">
        <v>0</v>
      </c>
      <c r="C727">
        <v>0</v>
      </c>
      <c r="D727">
        <v>0</v>
      </c>
      <c r="E727">
        <v>0</v>
      </c>
      <c r="F727">
        <v>0</v>
      </c>
      <c r="G727">
        <v>0</v>
      </c>
      <c r="H727">
        <v>0</v>
      </c>
      <c r="I727">
        <v>0</v>
      </c>
      <c r="J727">
        <v>0</v>
      </c>
      <c r="K727">
        <v>0</v>
      </c>
    </row>
    <row r="728" spans="1:11" x14ac:dyDescent="0.2">
      <c r="A728" t="s">
        <v>1830</v>
      </c>
      <c r="B728">
        <v>0</v>
      </c>
      <c r="C728">
        <v>0</v>
      </c>
      <c r="D728">
        <v>0</v>
      </c>
      <c r="E728">
        <v>0</v>
      </c>
      <c r="F728">
        <v>0</v>
      </c>
      <c r="G728">
        <v>0</v>
      </c>
      <c r="H728">
        <v>0</v>
      </c>
      <c r="I728">
        <v>0</v>
      </c>
      <c r="J728">
        <v>0</v>
      </c>
      <c r="K728">
        <v>0</v>
      </c>
    </row>
    <row r="729" spans="1:11" x14ac:dyDescent="0.2">
      <c r="A729" t="s">
        <v>1836</v>
      </c>
      <c r="B729">
        <v>0</v>
      </c>
      <c r="C729">
        <v>0</v>
      </c>
      <c r="D729">
        <v>0</v>
      </c>
      <c r="E729">
        <v>0</v>
      </c>
      <c r="F729">
        <v>0</v>
      </c>
      <c r="G729">
        <v>0</v>
      </c>
      <c r="H729">
        <v>0</v>
      </c>
      <c r="I729">
        <v>0</v>
      </c>
      <c r="J729">
        <v>0</v>
      </c>
      <c r="K729">
        <v>0</v>
      </c>
    </row>
    <row r="730" spans="1:11" x14ac:dyDescent="0.2">
      <c r="A730" t="s">
        <v>1841</v>
      </c>
      <c r="B730">
        <v>0</v>
      </c>
      <c r="C730">
        <v>0</v>
      </c>
      <c r="D730">
        <v>0</v>
      </c>
      <c r="E730">
        <v>1</v>
      </c>
      <c r="F730">
        <v>13</v>
      </c>
      <c r="G730">
        <v>0</v>
      </c>
      <c r="H730">
        <v>0</v>
      </c>
      <c r="I730">
        <v>3</v>
      </c>
      <c r="J730">
        <v>0</v>
      </c>
      <c r="K730">
        <v>0</v>
      </c>
    </row>
    <row r="731" spans="1:11" x14ac:dyDescent="0.2">
      <c r="A731" t="s">
        <v>1842</v>
      </c>
      <c r="B731">
        <v>0</v>
      </c>
      <c r="C731">
        <v>6</v>
      </c>
      <c r="D731">
        <v>0</v>
      </c>
      <c r="E731">
        <v>129</v>
      </c>
      <c r="F731">
        <v>410</v>
      </c>
      <c r="G731">
        <v>0</v>
      </c>
      <c r="H731">
        <v>14</v>
      </c>
      <c r="I731">
        <v>302</v>
      </c>
      <c r="J731">
        <v>0</v>
      </c>
      <c r="K731">
        <v>15</v>
      </c>
    </row>
    <row r="732" spans="1:11" x14ac:dyDescent="0.2">
      <c r="A732" t="s">
        <v>1843</v>
      </c>
      <c r="B732">
        <v>0</v>
      </c>
      <c r="C732">
        <v>0</v>
      </c>
      <c r="D732">
        <v>0</v>
      </c>
      <c r="E732">
        <v>0</v>
      </c>
      <c r="F732">
        <v>0</v>
      </c>
      <c r="G732">
        <v>0</v>
      </c>
      <c r="H732">
        <v>0</v>
      </c>
      <c r="I732">
        <v>0</v>
      </c>
      <c r="J732">
        <v>0</v>
      </c>
      <c r="K732">
        <v>0</v>
      </c>
    </row>
    <row r="733" spans="1:11" x14ac:dyDescent="0.2">
      <c r="A733" t="s">
        <v>1846</v>
      </c>
      <c r="B733">
        <v>0</v>
      </c>
      <c r="C733">
        <v>0</v>
      </c>
      <c r="D733">
        <v>0</v>
      </c>
      <c r="E733">
        <v>0</v>
      </c>
      <c r="F733">
        <v>0</v>
      </c>
      <c r="G733">
        <v>0</v>
      </c>
      <c r="H733">
        <v>0</v>
      </c>
      <c r="I733">
        <v>0</v>
      </c>
      <c r="J733">
        <v>0</v>
      </c>
      <c r="K733">
        <v>0</v>
      </c>
    </row>
    <row r="734" spans="1:11" x14ac:dyDescent="0.2">
      <c r="A734" t="s">
        <v>1851</v>
      </c>
      <c r="B734">
        <v>0</v>
      </c>
      <c r="C734">
        <v>15</v>
      </c>
      <c r="D734">
        <v>2</v>
      </c>
      <c r="E734">
        <v>292</v>
      </c>
      <c r="F734">
        <v>2288</v>
      </c>
      <c r="G734">
        <v>0</v>
      </c>
      <c r="H734">
        <v>65</v>
      </c>
      <c r="I734">
        <v>315</v>
      </c>
      <c r="J734">
        <v>0</v>
      </c>
      <c r="K734">
        <v>63</v>
      </c>
    </row>
    <row r="735" spans="1:11" x14ac:dyDescent="0.2">
      <c r="A735" t="s">
        <v>1857</v>
      </c>
      <c r="B735">
        <v>0</v>
      </c>
      <c r="C735">
        <v>0</v>
      </c>
      <c r="D735">
        <v>0</v>
      </c>
      <c r="E735">
        <v>4</v>
      </c>
      <c r="F735">
        <v>12</v>
      </c>
      <c r="G735">
        <v>0</v>
      </c>
      <c r="H735">
        <v>0</v>
      </c>
      <c r="I735">
        <v>0</v>
      </c>
      <c r="J735">
        <v>0</v>
      </c>
      <c r="K735">
        <v>0</v>
      </c>
    </row>
    <row r="736" spans="1:11" x14ac:dyDescent="0.2">
      <c r="A736" t="s">
        <v>1862</v>
      </c>
      <c r="B736">
        <v>4</v>
      </c>
      <c r="C736">
        <v>296</v>
      </c>
      <c r="D736">
        <v>33</v>
      </c>
      <c r="E736">
        <v>4212</v>
      </c>
      <c r="F736">
        <v>13303</v>
      </c>
      <c r="G736">
        <v>0</v>
      </c>
      <c r="H736">
        <v>109</v>
      </c>
      <c r="I736">
        <v>497</v>
      </c>
      <c r="J736">
        <v>0</v>
      </c>
      <c r="K736">
        <v>144</v>
      </c>
    </row>
    <row r="737" spans="1:11" x14ac:dyDescent="0.2">
      <c r="A737" t="s">
        <v>1867</v>
      </c>
      <c r="B737">
        <v>0</v>
      </c>
      <c r="C737">
        <v>3</v>
      </c>
      <c r="D737">
        <v>0</v>
      </c>
      <c r="E737">
        <v>0</v>
      </c>
      <c r="F737">
        <v>0</v>
      </c>
      <c r="G737">
        <v>0</v>
      </c>
      <c r="H737">
        <v>0</v>
      </c>
      <c r="I737">
        <v>0</v>
      </c>
      <c r="J737">
        <v>0</v>
      </c>
      <c r="K737">
        <v>0</v>
      </c>
    </row>
    <row r="738" spans="1:11" x14ac:dyDescent="0.2">
      <c r="A738" t="s">
        <v>1870</v>
      </c>
      <c r="B738">
        <v>0</v>
      </c>
      <c r="C738">
        <v>0</v>
      </c>
      <c r="D738">
        <v>0</v>
      </c>
      <c r="E738">
        <v>0</v>
      </c>
      <c r="F738">
        <v>0</v>
      </c>
      <c r="G738">
        <v>0</v>
      </c>
      <c r="H738">
        <v>0</v>
      </c>
      <c r="I738">
        <v>0</v>
      </c>
      <c r="J738">
        <v>0</v>
      </c>
      <c r="K738">
        <v>0</v>
      </c>
    </row>
    <row r="739" spans="1:11" x14ac:dyDescent="0.2">
      <c r="A739" t="s">
        <v>1874</v>
      </c>
      <c r="B739">
        <v>1</v>
      </c>
      <c r="C739">
        <v>140</v>
      </c>
      <c r="D739">
        <v>0</v>
      </c>
      <c r="E739">
        <v>172</v>
      </c>
      <c r="F739">
        <v>1548</v>
      </c>
      <c r="G739">
        <v>0</v>
      </c>
      <c r="H739">
        <v>71</v>
      </c>
      <c r="I739">
        <v>1386</v>
      </c>
      <c r="J739">
        <v>0</v>
      </c>
      <c r="K739">
        <v>0</v>
      </c>
    </row>
    <row r="740" spans="1:11" x14ac:dyDescent="0.2">
      <c r="A740" t="s">
        <v>1876</v>
      </c>
      <c r="B740">
        <v>0</v>
      </c>
      <c r="C740">
        <v>10</v>
      </c>
      <c r="D740">
        <v>0</v>
      </c>
      <c r="E740">
        <v>0</v>
      </c>
      <c r="F740">
        <v>0</v>
      </c>
      <c r="G740">
        <v>0</v>
      </c>
      <c r="H740">
        <v>0</v>
      </c>
      <c r="I740">
        <v>0</v>
      </c>
      <c r="J740">
        <v>0</v>
      </c>
      <c r="K740">
        <v>0</v>
      </c>
    </row>
    <row r="741" spans="1:11" x14ac:dyDescent="0.2">
      <c r="A741" t="s">
        <v>1881</v>
      </c>
      <c r="B741">
        <v>0</v>
      </c>
      <c r="C741">
        <v>0</v>
      </c>
      <c r="D741">
        <v>0</v>
      </c>
      <c r="E741">
        <v>0</v>
      </c>
      <c r="F741">
        <v>50</v>
      </c>
      <c r="G741">
        <v>0</v>
      </c>
      <c r="H741">
        <v>110</v>
      </c>
      <c r="I741">
        <v>1788</v>
      </c>
      <c r="J741">
        <v>0</v>
      </c>
      <c r="K741">
        <v>0</v>
      </c>
    </row>
    <row r="742" spans="1:11" x14ac:dyDescent="0.2">
      <c r="A742" t="s">
        <v>1885</v>
      </c>
      <c r="B742">
        <v>0</v>
      </c>
      <c r="C742">
        <v>2</v>
      </c>
      <c r="D742">
        <v>0</v>
      </c>
      <c r="E742">
        <v>28</v>
      </c>
      <c r="F742">
        <v>345</v>
      </c>
      <c r="G742">
        <v>0</v>
      </c>
      <c r="H742">
        <v>12</v>
      </c>
      <c r="I742">
        <v>66</v>
      </c>
      <c r="J742">
        <v>0</v>
      </c>
      <c r="K742">
        <v>5</v>
      </c>
    </row>
    <row r="743" spans="1:11" x14ac:dyDescent="0.2">
      <c r="A743" t="s">
        <v>1887</v>
      </c>
      <c r="B743">
        <v>0</v>
      </c>
      <c r="C743">
        <v>0</v>
      </c>
      <c r="D743">
        <v>0</v>
      </c>
      <c r="E743">
        <v>0</v>
      </c>
      <c r="F743">
        <v>2</v>
      </c>
      <c r="G743">
        <v>0</v>
      </c>
      <c r="H743">
        <v>0</v>
      </c>
      <c r="I743">
        <v>0</v>
      </c>
      <c r="J743">
        <v>0</v>
      </c>
      <c r="K743">
        <v>0</v>
      </c>
    </row>
    <row r="744" spans="1:11" x14ac:dyDescent="0.2">
      <c r="A744" t="s">
        <v>1893</v>
      </c>
      <c r="B744">
        <v>0</v>
      </c>
      <c r="C744">
        <v>0</v>
      </c>
      <c r="D744">
        <v>0</v>
      </c>
      <c r="E744">
        <v>3</v>
      </c>
      <c r="F744">
        <v>37</v>
      </c>
      <c r="G744">
        <v>0</v>
      </c>
      <c r="H744">
        <v>1</v>
      </c>
      <c r="I744">
        <v>7</v>
      </c>
      <c r="J744">
        <v>0</v>
      </c>
      <c r="K744">
        <v>0</v>
      </c>
    </row>
    <row r="745" spans="1:11" x14ac:dyDescent="0.2">
      <c r="A745" t="s">
        <v>1899</v>
      </c>
      <c r="B745">
        <v>0</v>
      </c>
      <c r="C745">
        <v>0</v>
      </c>
      <c r="D745">
        <v>0</v>
      </c>
      <c r="E745">
        <v>0</v>
      </c>
      <c r="F745">
        <v>0</v>
      </c>
      <c r="G745">
        <v>0</v>
      </c>
      <c r="H745">
        <v>0</v>
      </c>
      <c r="I745">
        <v>0</v>
      </c>
      <c r="J745">
        <v>0</v>
      </c>
      <c r="K745">
        <v>0</v>
      </c>
    </row>
    <row r="746" spans="1:11" x14ac:dyDescent="0.2">
      <c r="A746" t="s">
        <v>1906</v>
      </c>
      <c r="B746">
        <v>0</v>
      </c>
      <c r="C746">
        <v>0</v>
      </c>
      <c r="D746">
        <v>0</v>
      </c>
      <c r="E746">
        <v>0</v>
      </c>
      <c r="F746">
        <v>0</v>
      </c>
      <c r="G746">
        <v>0</v>
      </c>
      <c r="H746">
        <v>0</v>
      </c>
      <c r="I746">
        <v>0</v>
      </c>
      <c r="J746">
        <v>0</v>
      </c>
      <c r="K746">
        <v>0</v>
      </c>
    </row>
    <row r="747" spans="1:11" x14ac:dyDescent="0.2">
      <c r="A747" t="s">
        <v>1911</v>
      </c>
      <c r="B747">
        <v>0</v>
      </c>
      <c r="C747">
        <v>0</v>
      </c>
      <c r="D747">
        <v>0</v>
      </c>
      <c r="E747">
        <v>0</v>
      </c>
      <c r="F747">
        <v>0</v>
      </c>
      <c r="G747">
        <v>0</v>
      </c>
      <c r="H747">
        <v>0</v>
      </c>
      <c r="I747">
        <v>0</v>
      </c>
      <c r="J747">
        <v>0</v>
      </c>
      <c r="K747">
        <v>0</v>
      </c>
    </row>
    <row r="748" spans="1:11" x14ac:dyDescent="0.2">
      <c r="A748" t="s">
        <v>1917</v>
      </c>
      <c r="B748">
        <v>0</v>
      </c>
      <c r="C748">
        <v>0</v>
      </c>
      <c r="D748">
        <v>0</v>
      </c>
      <c r="E748">
        <v>0</v>
      </c>
      <c r="F748">
        <v>0</v>
      </c>
      <c r="G748">
        <v>0</v>
      </c>
      <c r="H748">
        <v>0</v>
      </c>
      <c r="I748">
        <v>0</v>
      </c>
      <c r="J748">
        <v>0</v>
      </c>
      <c r="K748">
        <v>0</v>
      </c>
    </row>
    <row r="749" spans="1:11" x14ac:dyDescent="0.2">
      <c r="A749" t="s">
        <v>1922</v>
      </c>
      <c r="B749">
        <v>0</v>
      </c>
      <c r="C749">
        <v>1</v>
      </c>
      <c r="D749">
        <v>0</v>
      </c>
      <c r="E749">
        <v>11</v>
      </c>
      <c r="F749">
        <v>141</v>
      </c>
      <c r="G749">
        <v>0</v>
      </c>
      <c r="H749">
        <v>5</v>
      </c>
      <c r="I749">
        <v>25</v>
      </c>
      <c r="J749">
        <v>0</v>
      </c>
      <c r="K749">
        <v>0</v>
      </c>
    </row>
    <row r="750" spans="1:11" x14ac:dyDescent="0.2">
      <c r="A750" t="s">
        <v>1928</v>
      </c>
      <c r="B750">
        <v>0</v>
      </c>
      <c r="C750">
        <v>0</v>
      </c>
      <c r="D750">
        <v>0</v>
      </c>
      <c r="E750">
        <v>0</v>
      </c>
      <c r="F750">
        <v>0</v>
      </c>
      <c r="G750">
        <v>0</v>
      </c>
      <c r="H750">
        <v>0</v>
      </c>
      <c r="I750">
        <v>0</v>
      </c>
      <c r="J750">
        <v>0</v>
      </c>
      <c r="K750">
        <v>0</v>
      </c>
    </row>
    <row r="751" spans="1:11" x14ac:dyDescent="0.2">
      <c r="A751" t="s">
        <v>1932</v>
      </c>
      <c r="B751">
        <v>0</v>
      </c>
      <c r="C751">
        <v>0</v>
      </c>
      <c r="D751">
        <v>0</v>
      </c>
      <c r="E751">
        <v>0</v>
      </c>
      <c r="F751">
        <v>0</v>
      </c>
      <c r="G751">
        <v>0</v>
      </c>
      <c r="H751">
        <v>0</v>
      </c>
      <c r="I751">
        <v>0</v>
      </c>
      <c r="J751">
        <v>0</v>
      </c>
      <c r="K751">
        <v>0</v>
      </c>
    </row>
    <row r="752" spans="1:11" x14ac:dyDescent="0.2">
      <c r="A752" t="s">
        <v>1938</v>
      </c>
      <c r="B752">
        <v>0</v>
      </c>
      <c r="C752">
        <v>0</v>
      </c>
      <c r="D752">
        <v>0</v>
      </c>
      <c r="E752">
        <v>0</v>
      </c>
      <c r="F752">
        <v>0</v>
      </c>
      <c r="G752">
        <v>0</v>
      </c>
      <c r="H752">
        <v>0</v>
      </c>
      <c r="I752">
        <v>0</v>
      </c>
      <c r="J752">
        <v>0</v>
      </c>
      <c r="K752">
        <v>0</v>
      </c>
    </row>
    <row r="753" spans="1:11" x14ac:dyDescent="0.2">
      <c r="A753" t="s">
        <v>1944</v>
      </c>
      <c r="B753">
        <v>0</v>
      </c>
      <c r="C753">
        <v>0</v>
      </c>
      <c r="D753">
        <v>0</v>
      </c>
      <c r="E753">
        <v>3</v>
      </c>
      <c r="F753">
        <v>34</v>
      </c>
      <c r="G753">
        <v>0</v>
      </c>
      <c r="H753">
        <v>1</v>
      </c>
      <c r="I753">
        <v>6</v>
      </c>
      <c r="J753">
        <v>0</v>
      </c>
      <c r="K753">
        <v>0</v>
      </c>
    </row>
    <row r="754" spans="1:11" x14ac:dyDescent="0.2">
      <c r="A754" t="s">
        <v>1947</v>
      </c>
      <c r="B754">
        <v>0</v>
      </c>
      <c r="C754">
        <v>0</v>
      </c>
      <c r="D754">
        <v>0</v>
      </c>
      <c r="E754">
        <v>0</v>
      </c>
      <c r="F754">
        <v>0</v>
      </c>
      <c r="G754">
        <v>0</v>
      </c>
      <c r="H754">
        <v>0</v>
      </c>
      <c r="I754">
        <v>0</v>
      </c>
      <c r="J754">
        <v>0</v>
      </c>
      <c r="K754">
        <v>0</v>
      </c>
    </row>
    <row r="755" spans="1:11" x14ac:dyDescent="0.2">
      <c r="A755" t="s">
        <v>1953</v>
      </c>
      <c r="B755">
        <v>0</v>
      </c>
      <c r="C755">
        <v>0</v>
      </c>
      <c r="D755">
        <v>0</v>
      </c>
      <c r="E755">
        <v>0</v>
      </c>
      <c r="F755">
        <v>2</v>
      </c>
      <c r="G755">
        <v>0</v>
      </c>
      <c r="H755">
        <v>0</v>
      </c>
      <c r="I755">
        <v>0</v>
      </c>
      <c r="J755">
        <v>0</v>
      </c>
      <c r="K755">
        <v>0</v>
      </c>
    </row>
    <row r="756" spans="1:11" x14ac:dyDescent="0.2">
      <c r="A756" t="s">
        <v>1958</v>
      </c>
      <c r="B756">
        <v>0</v>
      </c>
      <c r="C756">
        <v>0</v>
      </c>
      <c r="D756">
        <v>0</v>
      </c>
      <c r="E756">
        <v>0</v>
      </c>
      <c r="F756">
        <v>0</v>
      </c>
      <c r="G756">
        <v>0</v>
      </c>
      <c r="H756">
        <v>0</v>
      </c>
      <c r="I756">
        <v>0</v>
      </c>
      <c r="J756">
        <v>0</v>
      </c>
      <c r="K756">
        <v>0</v>
      </c>
    </row>
    <row r="757" spans="1:11" x14ac:dyDescent="0.2">
      <c r="A757" t="s">
        <v>1964</v>
      </c>
      <c r="B757">
        <v>0</v>
      </c>
      <c r="C757">
        <v>0</v>
      </c>
      <c r="D757">
        <v>0</v>
      </c>
      <c r="E757">
        <v>0</v>
      </c>
      <c r="F757">
        <v>0</v>
      </c>
      <c r="G757">
        <v>0</v>
      </c>
      <c r="H757">
        <v>0</v>
      </c>
      <c r="I757">
        <v>0</v>
      </c>
      <c r="J757">
        <v>0</v>
      </c>
      <c r="K757">
        <v>0</v>
      </c>
    </row>
    <row r="758" spans="1:11" x14ac:dyDescent="0.2">
      <c r="A758" t="s">
        <v>1973</v>
      </c>
      <c r="B758">
        <v>0</v>
      </c>
      <c r="C758">
        <v>0</v>
      </c>
      <c r="D758">
        <v>0</v>
      </c>
      <c r="E758">
        <v>0</v>
      </c>
      <c r="F758">
        <v>0</v>
      </c>
      <c r="G758">
        <v>0</v>
      </c>
      <c r="H758">
        <v>0</v>
      </c>
      <c r="I758">
        <v>0</v>
      </c>
      <c r="J758">
        <v>0</v>
      </c>
      <c r="K758">
        <v>0</v>
      </c>
    </row>
    <row r="759" spans="1:11" x14ac:dyDescent="0.2">
      <c r="A759" t="s">
        <v>1978</v>
      </c>
      <c r="B759">
        <v>0</v>
      </c>
      <c r="C759">
        <v>0</v>
      </c>
      <c r="D759">
        <v>0</v>
      </c>
      <c r="E759">
        <v>0</v>
      </c>
      <c r="F759">
        <v>0</v>
      </c>
      <c r="G759">
        <v>0</v>
      </c>
      <c r="H759">
        <v>0</v>
      </c>
      <c r="I759">
        <v>0</v>
      </c>
      <c r="J759">
        <v>0</v>
      </c>
      <c r="K759">
        <v>0</v>
      </c>
    </row>
    <row r="760" spans="1:11" x14ac:dyDescent="0.2">
      <c r="A760" t="s">
        <v>1983</v>
      </c>
      <c r="B760">
        <v>0</v>
      </c>
      <c r="C760">
        <v>0</v>
      </c>
      <c r="D760">
        <v>0</v>
      </c>
      <c r="E760">
        <v>0</v>
      </c>
      <c r="F760">
        <v>1</v>
      </c>
      <c r="G760">
        <v>0</v>
      </c>
      <c r="H760">
        <v>0</v>
      </c>
      <c r="I760">
        <v>1</v>
      </c>
      <c r="J760">
        <v>0</v>
      </c>
      <c r="K760">
        <v>0</v>
      </c>
    </row>
    <row r="761" spans="1:11" x14ac:dyDescent="0.2">
      <c r="A761" t="s">
        <v>1984</v>
      </c>
      <c r="B761">
        <v>0</v>
      </c>
      <c r="C761">
        <v>0</v>
      </c>
      <c r="D761">
        <v>0</v>
      </c>
      <c r="E761">
        <v>0</v>
      </c>
      <c r="F761">
        <v>0</v>
      </c>
      <c r="G761">
        <v>0</v>
      </c>
      <c r="H761">
        <v>0</v>
      </c>
      <c r="I761">
        <v>0</v>
      </c>
      <c r="J761">
        <v>0</v>
      </c>
      <c r="K761">
        <v>0</v>
      </c>
    </row>
    <row r="762" spans="1:11" x14ac:dyDescent="0.2">
      <c r="A762" t="s">
        <v>1990</v>
      </c>
      <c r="B762">
        <v>0</v>
      </c>
      <c r="C762">
        <v>0</v>
      </c>
      <c r="D762">
        <v>0</v>
      </c>
      <c r="E762">
        <v>0</v>
      </c>
      <c r="F762">
        <v>0</v>
      </c>
      <c r="G762">
        <v>0</v>
      </c>
      <c r="H762">
        <v>0</v>
      </c>
      <c r="I762">
        <v>0</v>
      </c>
      <c r="J762">
        <v>0</v>
      </c>
      <c r="K762">
        <v>0</v>
      </c>
    </row>
    <row r="763" spans="1:11" x14ac:dyDescent="0.2">
      <c r="A763" t="s">
        <v>1996</v>
      </c>
      <c r="B763">
        <v>0</v>
      </c>
      <c r="C763">
        <v>0</v>
      </c>
      <c r="D763">
        <v>0</v>
      </c>
      <c r="E763">
        <v>0</v>
      </c>
      <c r="F763">
        <v>0</v>
      </c>
      <c r="G763">
        <v>0</v>
      </c>
      <c r="H763">
        <v>0</v>
      </c>
      <c r="I763">
        <v>0</v>
      </c>
      <c r="J763">
        <v>0</v>
      </c>
      <c r="K763">
        <v>0</v>
      </c>
    </row>
    <row r="764" spans="1:11" x14ac:dyDescent="0.2">
      <c r="A764" t="s">
        <v>1998</v>
      </c>
      <c r="B764">
        <v>0</v>
      </c>
      <c r="C764">
        <v>0</v>
      </c>
      <c r="D764">
        <v>0</v>
      </c>
      <c r="E764">
        <v>0</v>
      </c>
      <c r="F764">
        <v>0</v>
      </c>
      <c r="G764">
        <v>0</v>
      </c>
      <c r="H764">
        <v>0</v>
      </c>
      <c r="I764">
        <v>0</v>
      </c>
      <c r="J764">
        <v>0</v>
      </c>
      <c r="K764">
        <v>0</v>
      </c>
    </row>
    <row r="765" spans="1:11" x14ac:dyDescent="0.2">
      <c r="A765" t="s">
        <v>1999</v>
      </c>
      <c r="B765">
        <v>0</v>
      </c>
      <c r="C765">
        <v>0</v>
      </c>
      <c r="D765">
        <v>0</v>
      </c>
      <c r="E765">
        <v>0</v>
      </c>
      <c r="F765">
        <v>0</v>
      </c>
      <c r="G765">
        <v>0</v>
      </c>
      <c r="H765">
        <v>0</v>
      </c>
      <c r="I765">
        <v>0</v>
      </c>
      <c r="J765">
        <v>0</v>
      </c>
      <c r="K765">
        <v>0</v>
      </c>
    </row>
    <row r="766" spans="1:11" x14ac:dyDescent="0.2">
      <c r="A766" t="s">
        <v>2004</v>
      </c>
      <c r="B766">
        <v>0</v>
      </c>
      <c r="C766">
        <v>0</v>
      </c>
      <c r="D766">
        <v>0</v>
      </c>
      <c r="E766">
        <v>0</v>
      </c>
      <c r="F766">
        <v>0</v>
      </c>
      <c r="G766">
        <v>0</v>
      </c>
      <c r="H766">
        <v>0</v>
      </c>
      <c r="I766">
        <v>0</v>
      </c>
      <c r="J766">
        <v>0</v>
      </c>
      <c r="K766">
        <v>0</v>
      </c>
    </row>
    <row r="767" spans="1:11" x14ac:dyDescent="0.2">
      <c r="A767" t="s">
        <v>2009</v>
      </c>
      <c r="B767">
        <v>0</v>
      </c>
      <c r="C767">
        <v>0</v>
      </c>
      <c r="D767">
        <v>0</v>
      </c>
      <c r="E767">
        <v>0</v>
      </c>
      <c r="F767">
        <v>0</v>
      </c>
      <c r="G767">
        <v>0</v>
      </c>
      <c r="H767">
        <v>0</v>
      </c>
      <c r="I767">
        <v>0</v>
      </c>
      <c r="J767">
        <v>0</v>
      </c>
      <c r="K767">
        <v>0</v>
      </c>
    </row>
    <row r="768" spans="1:11" x14ac:dyDescent="0.2">
      <c r="A768" t="s">
        <v>2014</v>
      </c>
      <c r="B768">
        <v>0</v>
      </c>
      <c r="C768">
        <v>0</v>
      </c>
      <c r="D768">
        <v>0</v>
      </c>
      <c r="E768">
        <v>0</v>
      </c>
      <c r="F768">
        <v>0</v>
      </c>
      <c r="G768">
        <v>0</v>
      </c>
      <c r="H768">
        <v>0</v>
      </c>
      <c r="I768">
        <v>0</v>
      </c>
      <c r="J768">
        <v>0</v>
      </c>
      <c r="K768">
        <v>0</v>
      </c>
    </row>
    <row r="769" spans="1:11" x14ac:dyDescent="0.2">
      <c r="A769" t="s">
        <v>2019</v>
      </c>
      <c r="B769">
        <v>0</v>
      </c>
      <c r="C769">
        <v>0</v>
      </c>
      <c r="D769">
        <v>0</v>
      </c>
      <c r="E769">
        <v>0</v>
      </c>
      <c r="F769">
        <v>0</v>
      </c>
      <c r="G769">
        <v>0</v>
      </c>
      <c r="H769">
        <v>0</v>
      </c>
      <c r="I769">
        <v>0</v>
      </c>
      <c r="J769">
        <v>0</v>
      </c>
      <c r="K769">
        <v>0</v>
      </c>
    </row>
    <row r="770" spans="1:11" x14ac:dyDescent="0.2">
      <c r="A770" t="s">
        <v>2023</v>
      </c>
      <c r="B770">
        <v>0</v>
      </c>
      <c r="C770">
        <v>0</v>
      </c>
      <c r="D770">
        <v>0</v>
      </c>
      <c r="E770">
        <v>0</v>
      </c>
      <c r="F770">
        <v>0</v>
      </c>
      <c r="G770">
        <v>0</v>
      </c>
      <c r="H770">
        <v>0</v>
      </c>
      <c r="I770">
        <v>0</v>
      </c>
      <c r="J770">
        <v>0</v>
      </c>
      <c r="K770">
        <v>0</v>
      </c>
    </row>
    <row r="771" spans="1:11" x14ac:dyDescent="0.2">
      <c r="A771" t="s">
        <v>2026</v>
      </c>
      <c r="B771">
        <v>0</v>
      </c>
      <c r="C771">
        <v>0</v>
      </c>
      <c r="D771">
        <v>0</v>
      </c>
      <c r="E771">
        <v>0</v>
      </c>
      <c r="F771">
        <v>0</v>
      </c>
      <c r="G771">
        <v>0</v>
      </c>
      <c r="H771">
        <v>0</v>
      </c>
      <c r="I771">
        <v>0</v>
      </c>
      <c r="J771">
        <v>0</v>
      </c>
      <c r="K771">
        <v>0</v>
      </c>
    </row>
    <row r="772" spans="1:11" x14ac:dyDescent="0.2">
      <c r="A772" t="s">
        <v>2030</v>
      </c>
      <c r="B772">
        <v>0</v>
      </c>
      <c r="C772">
        <v>0</v>
      </c>
      <c r="D772">
        <v>0</v>
      </c>
      <c r="E772">
        <v>0</v>
      </c>
      <c r="F772">
        <v>0</v>
      </c>
      <c r="G772">
        <v>0</v>
      </c>
      <c r="H772">
        <v>0</v>
      </c>
      <c r="I772">
        <v>0</v>
      </c>
      <c r="J772">
        <v>0</v>
      </c>
      <c r="K772">
        <v>0</v>
      </c>
    </row>
    <row r="773" spans="1:11" x14ac:dyDescent="0.2">
      <c r="A773" t="s">
        <v>2035</v>
      </c>
      <c r="B773">
        <v>0</v>
      </c>
      <c r="C773">
        <v>0</v>
      </c>
      <c r="D773">
        <v>0</v>
      </c>
      <c r="E773">
        <v>0</v>
      </c>
      <c r="F773">
        <v>0</v>
      </c>
      <c r="G773">
        <v>0</v>
      </c>
      <c r="H773">
        <v>0</v>
      </c>
      <c r="I773">
        <v>0</v>
      </c>
      <c r="J773">
        <v>0</v>
      </c>
      <c r="K773">
        <v>0</v>
      </c>
    </row>
    <row r="774" spans="1:11" x14ac:dyDescent="0.2">
      <c r="A774" t="s">
        <v>2040</v>
      </c>
      <c r="B774">
        <v>0</v>
      </c>
      <c r="C774">
        <v>0</v>
      </c>
      <c r="D774">
        <v>0</v>
      </c>
      <c r="E774">
        <v>0</v>
      </c>
      <c r="F774">
        <v>0</v>
      </c>
      <c r="G774">
        <v>0</v>
      </c>
      <c r="H774">
        <v>0</v>
      </c>
      <c r="I774">
        <v>0</v>
      </c>
      <c r="J774">
        <v>0</v>
      </c>
      <c r="K774">
        <v>0</v>
      </c>
    </row>
    <row r="775" spans="1:11" x14ac:dyDescent="0.2">
      <c r="A775" t="s">
        <v>2045</v>
      </c>
      <c r="B775">
        <v>0</v>
      </c>
      <c r="C775">
        <v>0</v>
      </c>
      <c r="D775">
        <v>0</v>
      </c>
      <c r="E775">
        <v>0</v>
      </c>
      <c r="F775">
        <v>0</v>
      </c>
      <c r="G775">
        <v>0</v>
      </c>
      <c r="H775">
        <v>0</v>
      </c>
      <c r="I775">
        <v>0</v>
      </c>
      <c r="J775">
        <v>0</v>
      </c>
      <c r="K775">
        <v>0</v>
      </c>
    </row>
    <row r="776" spans="1:11" x14ac:dyDescent="0.2">
      <c r="A776" t="s">
        <v>2049</v>
      </c>
      <c r="B776">
        <v>0</v>
      </c>
      <c r="C776">
        <v>0</v>
      </c>
      <c r="D776">
        <v>0</v>
      </c>
      <c r="E776">
        <v>0</v>
      </c>
      <c r="F776">
        <v>0</v>
      </c>
      <c r="G776">
        <v>0</v>
      </c>
      <c r="H776">
        <v>0</v>
      </c>
      <c r="I776">
        <v>0</v>
      </c>
      <c r="J776">
        <v>0</v>
      </c>
      <c r="K776">
        <v>0</v>
      </c>
    </row>
    <row r="777" spans="1:11" x14ac:dyDescent="0.2">
      <c r="A777" t="s">
        <v>2051</v>
      </c>
      <c r="B777">
        <v>0</v>
      </c>
      <c r="C777">
        <v>0</v>
      </c>
      <c r="D777">
        <v>0</v>
      </c>
      <c r="E777">
        <v>0</v>
      </c>
      <c r="F777">
        <v>4</v>
      </c>
      <c r="G777">
        <v>0</v>
      </c>
      <c r="H777">
        <v>0</v>
      </c>
      <c r="I777">
        <v>1</v>
      </c>
      <c r="J777">
        <v>0</v>
      </c>
      <c r="K777">
        <v>0</v>
      </c>
    </row>
    <row r="778" spans="1:11" x14ac:dyDescent="0.2">
      <c r="A778" t="s">
        <v>2057</v>
      </c>
      <c r="B778">
        <v>0</v>
      </c>
      <c r="C778">
        <v>0</v>
      </c>
      <c r="D778">
        <v>0</v>
      </c>
      <c r="E778">
        <v>0</v>
      </c>
      <c r="F778">
        <v>8</v>
      </c>
      <c r="G778">
        <v>0</v>
      </c>
      <c r="H778">
        <v>0</v>
      </c>
      <c r="I778">
        <v>2</v>
      </c>
      <c r="J778">
        <v>0</v>
      </c>
      <c r="K778">
        <v>0</v>
      </c>
    </row>
    <row r="779" spans="1:11" x14ac:dyDescent="0.2">
      <c r="A779" t="s">
        <v>4344</v>
      </c>
      <c r="B779">
        <v>0</v>
      </c>
      <c r="C779">
        <v>0</v>
      </c>
      <c r="D779">
        <v>0</v>
      </c>
      <c r="E779">
        <v>0</v>
      </c>
      <c r="F779">
        <v>2</v>
      </c>
      <c r="G779">
        <v>0</v>
      </c>
      <c r="H779">
        <v>0</v>
      </c>
      <c r="I779">
        <v>0</v>
      </c>
      <c r="J779">
        <v>0</v>
      </c>
      <c r="K779">
        <v>0</v>
      </c>
    </row>
    <row r="780" spans="1:11" x14ac:dyDescent="0.2">
      <c r="A780" t="s">
        <v>4345</v>
      </c>
      <c r="B780">
        <v>0</v>
      </c>
      <c r="C780">
        <v>0</v>
      </c>
      <c r="D780">
        <v>0</v>
      </c>
      <c r="E780">
        <v>1</v>
      </c>
      <c r="F780">
        <v>19</v>
      </c>
      <c r="G780">
        <v>0</v>
      </c>
      <c r="H780">
        <v>1</v>
      </c>
      <c r="I780">
        <v>4</v>
      </c>
      <c r="J780">
        <v>0</v>
      </c>
      <c r="K780">
        <v>0</v>
      </c>
    </row>
    <row r="781" spans="1:11" x14ac:dyDescent="0.2">
      <c r="A781" t="s">
        <v>2074</v>
      </c>
      <c r="B781">
        <v>0</v>
      </c>
      <c r="C781">
        <v>0</v>
      </c>
      <c r="D781">
        <v>0</v>
      </c>
      <c r="E781">
        <v>0</v>
      </c>
      <c r="F781">
        <v>0</v>
      </c>
      <c r="G781">
        <v>0</v>
      </c>
      <c r="H781">
        <v>0</v>
      </c>
      <c r="I781">
        <v>0</v>
      </c>
      <c r="J781">
        <v>0</v>
      </c>
      <c r="K781">
        <v>0</v>
      </c>
    </row>
    <row r="782" spans="1:11" x14ac:dyDescent="0.2">
      <c r="A782" t="s">
        <v>2079</v>
      </c>
      <c r="B782">
        <v>0</v>
      </c>
      <c r="C782">
        <v>0</v>
      </c>
      <c r="D782">
        <v>0</v>
      </c>
      <c r="E782">
        <v>0</v>
      </c>
      <c r="F782">
        <v>0</v>
      </c>
      <c r="G782">
        <v>0</v>
      </c>
      <c r="H782">
        <v>0</v>
      </c>
      <c r="I782">
        <v>0</v>
      </c>
      <c r="J782">
        <v>0</v>
      </c>
      <c r="K782">
        <v>0</v>
      </c>
    </row>
    <row r="783" spans="1:11" x14ac:dyDescent="0.2">
      <c r="A783" t="s">
        <v>2085</v>
      </c>
      <c r="B783">
        <v>0</v>
      </c>
      <c r="C783">
        <v>0</v>
      </c>
      <c r="D783">
        <v>0</v>
      </c>
      <c r="E783">
        <v>0</v>
      </c>
      <c r="F783">
        <v>0</v>
      </c>
      <c r="G783">
        <v>0</v>
      </c>
      <c r="H783">
        <v>0</v>
      </c>
      <c r="I783">
        <v>0</v>
      </c>
      <c r="J783">
        <v>0</v>
      </c>
      <c r="K783">
        <v>0</v>
      </c>
    </row>
    <row r="784" spans="1:11" x14ac:dyDescent="0.2">
      <c r="A784" t="s">
        <v>2091</v>
      </c>
      <c r="B784">
        <v>0</v>
      </c>
      <c r="C784">
        <v>0</v>
      </c>
      <c r="D784">
        <v>0</v>
      </c>
      <c r="E784">
        <v>0</v>
      </c>
      <c r="F784">
        <v>0</v>
      </c>
      <c r="G784">
        <v>0</v>
      </c>
      <c r="H784">
        <v>0</v>
      </c>
      <c r="I784">
        <v>0</v>
      </c>
      <c r="J784">
        <v>0</v>
      </c>
      <c r="K784">
        <v>0</v>
      </c>
    </row>
    <row r="785" spans="1:11" x14ac:dyDescent="0.2">
      <c r="A785" t="s">
        <v>2097</v>
      </c>
      <c r="B785">
        <v>0</v>
      </c>
      <c r="C785">
        <v>0</v>
      </c>
      <c r="D785">
        <v>0</v>
      </c>
      <c r="E785">
        <v>0</v>
      </c>
      <c r="F785">
        <v>0</v>
      </c>
      <c r="G785">
        <v>0</v>
      </c>
      <c r="H785">
        <v>0</v>
      </c>
      <c r="I785">
        <v>0</v>
      </c>
      <c r="J785">
        <v>0</v>
      </c>
      <c r="K785">
        <v>0</v>
      </c>
    </row>
    <row r="786" spans="1:11" x14ac:dyDescent="0.2">
      <c r="A786" t="s">
        <v>2101</v>
      </c>
      <c r="B786">
        <v>0</v>
      </c>
      <c r="C786">
        <v>0</v>
      </c>
      <c r="D786">
        <v>0</v>
      </c>
      <c r="E786">
        <v>0</v>
      </c>
      <c r="F786">
        <v>0</v>
      </c>
      <c r="G786">
        <v>0</v>
      </c>
      <c r="H786">
        <v>0</v>
      </c>
      <c r="I786">
        <v>0</v>
      </c>
      <c r="J786">
        <v>0</v>
      </c>
      <c r="K786">
        <v>0</v>
      </c>
    </row>
    <row r="787" spans="1:11" x14ac:dyDescent="0.2">
      <c r="A787" t="s">
        <v>2104</v>
      </c>
      <c r="B787">
        <v>0</v>
      </c>
      <c r="C787">
        <v>0</v>
      </c>
      <c r="D787">
        <v>0</v>
      </c>
      <c r="E787">
        <v>0</v>
      </c>
      <c r="F787">
        <v>0</v>
      </c>
      <c r="G787">
        <v>0</v>
      </c>
      <c r="H787">
        <v>0</v>
      </c>
      <c r="I787">
        <v>0</v>
      </c>
      <c r="J787">
        <v>0</v>
      </c>
      <c r="K787">
        <v>0</v>
      </c>
    </row>
    <row r="788" spans="1:11" x14ac:dyDescent="0.2">
      <c r="A788" t="s">
        <v>2107</v>
      </c>
      <c r="B788">
        <v>0</v>
      </c>
      <c r="C788">
        <v>0</v>
      </c>
      <c r="D788">
        <v>0</v>
      </c>
      <c r="E788">
        <v>0</v>
      </c>
      <c r="F788">
        <v>0</v>
      </c>
      <c r="G788">
        <v>0</v>
      </c>
      <c r="H788">
        <v>0</v>
      </c>
      <c r="I788">
        <v>0</v>
      </c>
      <c r="J788">
        <v>0</v>
      </c>
      <c r="K788">
        <v>0</v>
      </c>
    </row>
    <row r="789" spans="1:11" x14ac:dyDescent="0.2">
      <c r="A789" t="s">
        <v>2110</v>
      </c>
      <c r="B789">
        <v>0</v>
      </c>
      <c r="C789">
        <v>0</v>
      </c>
      <c r="D789">
        <v>0</v>
      </c>
      <c r="E789">
        <v>0</v>
      </c>
      <c r="F789">
        <v>0</v>
      </c>
      <c r="G789">
        <v>0</v>
      </c>
      <c r="H789">
        <v>0</v>
      </c>
      <c r="I789">
        <v>0</v>
      </c>
      <c r="J789">
        <v>0</v>
      </c>
      <c r="K789">
        <v>0</v>
      </c>
    </row>
    <row r="790" spans="1:11" x14ac:dyDescent="0.2">
      <c r="A790" t="s">
        <v>2113</v>
      </c>
      <c r="B790">
        <v>0</v>
      </c>
      <c r="C790">
        <v>0</v>
      </c>
      <c r="D790">
        <v>0</v>
      </c>
      <c r="E790">
        <v>0</v>
      </c>
      <c r="F790">
        <v>0</v>
      </c>
      <c r="G790">
        <v>0</v>
      </c>
      <c r="H790">
        <v>0</v>
      </c>
      <c r="I790">
        <v>0</v>
      </c>
      <c r="J790">
        <v>0</v>
      </c>
      <c r="K790">
        <v>0</v>
      </c>
    </row>
    <row r="791" spans="1:11" x14ac:dyDescent="0.2">
      <c r="A791" t="s">
        <v>4346</v>
      </c>
      <c r="B791">
        <v>0</v>
      </c>
      <c r="C791">
        <v>0</v>
      </c>
      <c r="D791">
        <v>0</v>
      </c>
      <c r="E791">
        <v>0</v>
      </c>
      <c r="F791">
        <v>0</v>
      </c>
      <c r="G791">
        <v>0</v>
      </c>
      <c r="H791">
        <v>0</v>
      </c>
      <c r="I791">
        <v>0</v>
      </c>
      <c r="J791">
        <v>0</v>
      </c>
      <c r="K791">
        <v>0</v>
      </c>
    </row>
    <row r="792" spans="1:11" x14ac:dyDescent="0.2">
      <c r="A792" t="s">
        <v>4347</v>
      </c>
      <c r="B792">
        <v>0</v>
      </c>
      <c r="C792">
        <v>0</v>
      </c>
      <c r="D792">
        <v>0</v>
      </c>
      <c r="E792">
        <v>0</v>
      </c>
      <c r="F792">
        <v>0</v>
      </c>
      <c r="G792">
        <v>0</v>
      </c>
      <c r="H792">
        <v>0</v>
      </c>
      <c r="I792">
        <v>0</v>
      </c>
      <c r="J792">
        <v>0</v>
      </c>
      <c r="K792">
        <v>0</v>
      </c>
    </row>
    <row r="793" spans="1:11" x14ac:dyDescent="0.2">
      <c r="A793" t="s">
        <v>4348</v>
      </c>
      <c r="B793">
        <v>0</v>
      </c>
      <c r="C793">
        <v>0</v>
      </c>
      <c r="D793">
        <v>0</v>
      </c>
      <c r="E793">
        <v>0</v>
      </c>
      <c r="F793">
        <v>0</v>
      </c>
      <c r="G793">
        <v>0</v>
      </c>
      <c r="H793">
        <v>0</v>
      </c>
      <c r="I793">
        <v>0</v>
      </c>
      <c r="J793">
        <v>0</v>
      </c>
      <c r="K793">
        <v>0</v>
      </c>
    </row>
    <row r="794" spans="1:11" x14ac:dyDescent="0.2">
      <c r="A794" t="s">
        <v>4349</v>
      </c>
      <c r="B794">
        <v>0</v>
      </c>
      <c r="C794">
        <v>0</v>
      </c>
      <c r="D794">
        <v>0</v>
      </c>
      <c r="E794">
        <v>0</v>
      </c>
      <c r="F794">
        <v>0</v>
      </c>
      <c r="G794">
        <v>0</v>
      </c>
      <c r="H794">
        <v>0</v>
      </c>
      <c r="I794">
        <v>0</v>
      </c>
      <c r="J794">
        <v>0</v>
      </c>
      <c r="K794">
        <v>0</v>
      </c>
    </row>
    <row r="795" spans="1:11" x14ac:dyDescent="0.2">
      <c r="A795" t="s">
        <v>4350</v>
      </c>
      <c r="B795">
        <v>0</v>
      </c>
      <c r="C795">
        <v>0</v>
      </c>
      <c r="D795">
        <v>0</v>
      </c>
      <c r="E795">
        <v>0</v>
      </c>
      <c r="F795">
        <v>5</v>
      </c>
      <c r="G795">
        <v>0</v>
      </c>
      <c r="H795">
        <v>0</v>
      </c>
      <c r="I795">
        <v>1</v>
      </c>
      <c r="J795">
        <v>0</v>
      </c>
      <c r="K795">
        <v>0</v>
      </c>
    </row>
    <row r="796" spans="1:11" x14ac:dyDescent="0.2">
      <c r="A796" t="s">
        <v>4351</v>
      </c>
      <c r="B796">
        <v>0</v>
      </c>
      <c r="C796">
        <v>0</v>
      </c>
      <c r="D796">
        <v>0</v>
      </c>
      <c r="E796">
        <v>0</v>
      </c>
      <c r="F796">
        <v>0</v>
      </c>
      <c r="G796">
        <v>0</v>
      </c>
      <c r="H796">
        <v>0</v>
      </c>
      <c r="I796">
        <v>0</v>
      </c>
      <c r="J796">
        <v>0</v>
      </c>
      <c r="K796">
        <v>0</v>
      </c>
    </row>
    <row r="797" spans="1:11" x14ac:dyDescent="0.2">
      <c r="A797" t="s">
        <v>4352</v>
      </c>
      <c r="B797">
        <v>0</v>
      </c>
      <c r="C797">
        <v>0</v>
      </c>
      <c r="D797">
        <v>0</v>
      </c>
      <c r="E797">
        <v>0</v>
      </c>
      <c r="F797">
        <v>0</v>
      </c>
      <c r="G797">
        <v>0</v>
      </c>
      <c r="H797">
        <v>0</v>
      </c>
      <c r="I797">
        <v>0</v>
      </c>
      <c r="J797">
        <v>0</v>
      </c>
      <c r="K797">
        <v>0</v>
      </c>
    </row>
    <row r="798" spans="1:11" x14ac:dyDescent="0.2">
      <c r="A798" t="s">
        <v>4353</v>
      </c>
      <c r="B798">
        <v>0</v>
      </c>
      <c r="C798">
        <v>2</v>
      </c>
      <c r="D798">
        <v>0</v>
      </c>
      <c r="E798">
        <v>16</v>
      </c>
      <c r="F798">
        <v>184</v>
      </c>
      <c r="G798">
        <v>0</v>
      </c>
      <c r="H798">
        <v>6</v>
      </c>
      <c r="I798">
        <v>36</v>
      </c>
      <c r="J798">
        <v>0</v>
      </c>
      <c r="K798">
        <v>1</v>
      </c>
    </row>
    <row r="799" spans="1:11" x14ac:dyDescent="0.2">
      <c r="A799" t="s">
        <v>4354</v>
      </c>
      <c r="B799">
        <v>0</v>
      </c>
      <c r="C799">
        <v>1</v>
      </c>
      <c r="D799">
        <v>0</v>
      </c>
      <c r="E799">
        <v>10</v>
      </c>
      <c r="F799">
        <v>115</v>
      </c>
      <c r="G799">
        <v>0</v>
      </c>
      <c r="H799">
        <v>4</v>
      </c>
      <c r="I799">
        <v>23</v>
      </c>
      <c r="J799">
        <v>0</v>
      </c>
      <c r="K799">
        <v>1</v>
      </c>
    </row>
    <row r="800" spans="1:11" x14ac:dyDescent="0.2">
      <c r="A800" t="s">
        <v>4355</v>
      </c>
      <c r="B800">
        <v>0</v>
      </c>
      <c r="C800">
        <v>0</v>
      </c>
      <c r="D800">
        <v>0</v>
      </c>
      <c r="E800">
        <v>0</v>
      </c>
      <c r="F800">
        <v>0</v>
      </c>
      <c r="G800">
        <v>0</v>
      </c>
      <c r="H800">
        <v>0</v>
      </c>
      <c r="I800">
        <v>0</v>
      </c>
      <c r="J800">
        <v>0</v>
      </c>
      <c r="K800">
        <v>0</v>
      </c>
    </row>
    <row r="801" spans="1:11" x14ac:dyDescent="0.2">
      <c r="A801" t="s">
        <v>4356</v>
      </c>
      <c r="B801">
        <v>0</v>
      </c>
      <c r="C801">
        <v>0</v>
      </c>
      <c r="D801">
        <v>0</v>
      </c>
      <c r="E801">
        <v>0</v>
      </c>
      <c r="F801">
        <v>0</v>
      </c>
      <c r="G801">
        <v>0</v>
      </c>
      <c r="H801">
        <v>0</v>
      </c>
      <c r="I801">
        <v>0</v>
      </c>
      <c r="J801">
        <v>0</v>
      </c>
      <c r="K801">
        <v>0</v>
      </c>
    </row>
    <row r="802" spans="1:11" x14ac:dyDescent="0.2">
      <c r="A802" t="s">
        <v>4357</v>
      </c>
      <c r="B802">
        <v>0</v>
      </c>
      <c r="C802">
        <v>0</v>
      </c>
      <c r="D802">
        <v>0</v>
      </c>
      <c r="E802">
        <v>0</v>
      </c>
      <c r="F802">
        <v>1</v>
      </c>
      <c r="G802">
        <v>0</v>
      </c>
      <c r="H802">
        <v>0</v>
      </c>
      <c r="I802">
        <v>0</v>
      </c>
      <c r="J802">
        <v>0</v>
      </c>
      <c r="K802">
        <v>0</v>
      </c>
    </row>
    <row r="803" spans="1:11" x14ac:dyDescent="0.2">
      <c r="A803" t="s">
        <v>4358</v>
      </c>
      <c r="B803">
        <v>0</v>
      </c>
      <c r="C803">
        <v>0</v>
      </c>
      <c r="D803">
        <v>0</v>
      </c>
      <c r="E803">
        <v>0</v>
      </c>
      <c r="F803">
        <v>1</v>
      </c>
      <c r="G803">
        <v>0</v>
      </c>
      <c r="H803">
        <v>0</v>
      </c>
      <c r="I803">
        <v>0</v>
      </c>
      <c r="J803">
        <v>0</v>
      </c>
      <c r="K803">
        <v>0</v>
      </c>
    </row>
    <row r="804" spans="1:11" x14ac:dyDescent="0.2">
      <c r="A804" t="s">
        <v>4359</v>
      </c>
      <c r="B804">
        <v>0</v>
      </c>
      <c r="C804">
        <v>0</v>
      </c>
      <c r="D804">
        <v>0</v>
      </c>
      <c r="E804">
        <v>0</v>
      </c>
      <c r="F804">
        <v>0</v>
      </c>
      <c r="G804">
        <v>0</v>
      </c>
      <c r="H804">
        <v>0</v>
      </c>
      <c r="I804">
        <v>0</v>
      </c>
      <c r="J804">
        <v>0</v>
      </c>
      <c r="K804">
        <v>0</v>
      </c>
    </row>
    <row r="805" spans="1:11" x14ac:dyDescent="0.2">
      <c r="A805" t="s">
        <v>4360</v>
      </c>
      <c r="B805">
        <v>0</v>
      </c>
      <c r="C805">
        <v>0</v>
      </c>
      <c r="D805">
        <v>0</v>
      </c>
      <c r="E805">
        <v>1</v>
      </c>
      <c r="F805">
        <v>12</v>
      </c>
      <c r="G805">
        <v>0</v>
      </c>
      <c r="H805">
        <v>0</v>
      </c>
      <c r="I805">
        <v>2</v>
      </c>
      <c r="J805">
        <v>0</v>
      </c>
      <c r="K805">
        <v>0</v>
      </c>
    </row>
    <row r="806" spans="1:11" x14ac:dyDescent="0.2">
      <c r="A806" t="s">
        <v>4361</v>
      </c>
      <c r="B806">
        <v>0</v>
      </c>
      <c r="C806">
        <v>0</v>
      </c>
      <c r="D806">
        <v>0</v>
      </c>
      <c r="E806">
        <v>1</v>
      </c>
      <c r="F806">
        <v>9</v>
      </c>
      <c r="G806">
        <v>0</v>
      </c>
      <c r="H806">
        <v>0</v>
      </c>
      <c r="I806">
        <v>2</v>
      </c>
      <c r="J806">
        <v>0</v>
      </c>
      <c r="K806">
        <v>0</v>
      </c>
    </row>
    <row r="807" spans="1:11" x14ac:dyDescent="0.2">
      <c r="A807" t="s">
        <v>4362</v>
      </c>
      <c r="B807">
        <v>0</v>
      </c>
      <c r="C807">
        <v>0</v>
      </c>
      <c r="D807">
        <v>0</v>
      </c>
      <c r="E807">
        <v>0</v>
      </c>
      <c r="F807">
        <v>0</v>
      </c>
      <c r="G807">
        <v>0</v>
      </c>
      <c r="H807">
        <v>0</v>
      </c>
      <c r="I807">
        <v>0</v>
      </c>
      <c r="J807">
        <v>0</v>
      </c>
      <c r="K807">
        <v>0</v>
      </c>
    </row>
    <row r="808" spans="1:11" x14ac:dyDescent="0.2">
      <c r="A808" t="s">
        <v>4363</v>
      </c>
      <c r="B808">
        <v>0</v>
      </c>
      <c r="C808">
        <v>0</v>
      </c>
      <c r="D808">
        <v>0</v>
      </c>
      <c r="E808">
        <v>0</v>
      </c>
      <c r="F808">
        <v>0</v>
      </c>
      <c r="G808">
        <v>0</v>
      </c>
      <c r="H808">
        <v>0</v>
      </c>
      <c r="I808">
        <v>0</v>
      </c>
      <c r="J808">
        <v>0</v>
      </c>
      <c r="K808">
        <v>0</v>
      </c>
    </row>
    <row r="809" spans="1:11" x14ac:dyDescent="0.2">
      <c r="A809" t="s">
        <v>4364</v>
      </c>
      <c r="B809">
        <v>0</v>
      </c>
      <c r="C809">
        <v>0</v>
      </c>
      <c r="D809">
        <v>0</v>
      </c>
      <c r="E809">
        <v>0</v>
      </c>
      <c r="F809">
        <v>0</v>
      </c>
      <c r="G809">
        <v>0</v>
      </c>
      <c r="H809">
        <v>0</v>
      </c>
      <c r="I809">
        <v>0</v>
      </c>
      <c r="J809">
        <v>0</v>
      </c>
      <c r="K809">
        <v>0</v>
      </c>
    </row>
    <row r="810" spans="1:11" x14ac:dyDescent="0.2">
      <c r="A810" t="s">
        <v>4365</v>
      </c>
      <c r="B810">
        <v>0</v>
      </c>
      <c r="C810">
        <v>0</v>
      </c>
      <c r="D810">
        <v>0</v>
      </c>
      <c r="E810">
        <v>3</v>
      </c>
      <c r="F810">
        <v>4</v>
      </c>
      <c r="G810">
        <v>0</v>
      </c>
      <c r="H810">
        <v>0</v>
      </c>
      <c r="I810">
        <v>7</v>
      </c>
      <c r="J810">
        <v>0</v>
      </c>
      <c r="K810">
        <v>0</v>
      </c>
    </row>
    <row r="811" spans="1:11" x14ac:dyDescent="0.2">
      <c r="A811" t="s">
        <v>4366</v>
      </c>
      <c r="B811">
        <v>0</v>
      </c>
      <c r="C811">
        <v>0</v>
      </c>
      <c r="D811">
        <v>0</v>
      </c>
      <c r="E811">
        <v>0</v>
      </c>
      <c r="F811">
        <v>0</v>
      </c>
      <c r="G811">
        <v>0</v>
      </c>
      <c r="H811">
        <v>0</v>
      </c>
      <c r="I811">
        <v>0</v>
      </c>
      <c r="J811">
        <v>0</v>
      </c>
      <c r="K811">
        <v>0</v>
      </c>
    </row>
    <row r="812" spans="1:11" x14ac:dyDescent="0.2">
      <c r="A812" t="s">
        <v>4367</v>
      </c>
      <c r="B812">
        <v>0</v>
      </c>
      <c r="C812">
        <v>0</v>
      </c>
      <c r="D812">
        <v>0</v>
      </c>
      <c r="E812">
        <v>1</v>
      </c>
      <c r="F812">
        <v>6</v>
      </c>
      <c r="G812">
        <v>0</v>
      </c>
      <c r="H812">
        <v>0</v>
      </c>
      <c r="I812">
        <v>1</v>
      </c>
      <c r="J812">
        <v>0</v>
      </c>
      <c r="K812">
        <v>0</v>
      </c>
    </row>
    <row r="813" spans="1:11" x14ac:dyDescent="0.2">
      <c r="A813" t="s">
        <v>4368</v>
      </c>
      <c r="B813">
        <v>0</v>
      </c>
      <c r="C813">
        <v>7</v>
      </c>
      <c r="D813">
        <v>0</v>
      </c>
      <c r="E813">
        <v>57</v>
      </c>
      <c r="F813">
        <v>85</v>
      </c>
      <c r="G813">
        <v>0</v>
      </c>
      <c r="H813">
        <v>3</v>
      </c>
      <c r="I813">
        <v>136</v>
      </c>
      <c r="J813">
        <v>0</v>
      </c>
      <c r="K813">
        <v>9</v>
      </c>
    </row>
    <row r="814" spans="1:11" x14ac:dyDescent="0.2">
      <c r="A814" t="s">
        <v>4369</v>
      </c>
      <c r="B814">
        <v>0</v>
      </c>
      <c r="C814">
        <v>11</v>
      </c>
      <c r="D814">
        <v>0</v>
      </c>
      <c r="E814">
        <v>57</v>
      </c>
      <c r="F814">
        <v>259</v>
      </c>
      <c r="G814">
        <v>0</v>
      </c>
      <c r="H814">
        <v>9</v>
      </c>
      <c r="I814">
        <v>132</v>
      </c>
      <c r="J814">
        <v>0</v>
      </c>
      <c r="K814">
        <v>7</v>
      </c>
    </row>
    <row r="815" spans="1:11" x14ac:dyDescent="0.2">
      <c r="A815" t="s">
        <v>4370</v>
      </c>
      <c r="B815">
        <v>0</v>
      </c>
      <c r="C815">
        <v>0</v>
      </c>
      <c r="D815">
        <v>0</v>
      </c>
      <c r="E815">
        <v>2</v>
      </c>
      <c r="F815">
        <v>3</v>
      </c>
      <c r="G815">
        <v>0</v>
      </c>
      <c r="H815">
        <v>0</v>
      </c>
      <c r="I815">
        <v>5</v>
      </c>
      <c r="J815">
        <v>0</v>
      </c>
      <c r="K815">
        <v>0</v>
      </c>
    </row>
    <row r="816" spans="1:11" x14ac:dyDescent="0.2">
      <c r="A816" t="s">
        <v>4371</v>
      </c>
      <c r="B816">
        <v>0</v>
      </c>
      <c r="C816">
        <v>0</v>
      </c>
      <c r="D816">
        <v>0</v>
      </c>
      <c r="E816">
        <v>1</v>
      </c>
      <c r="F816">
        <v>2</v>
      </c>
      <c r="G816">
        <v>0</v>
      </c>
      <c r="H816">
        <v>0</v>
      </c>
      <c r="I816">
        <v>3</v>
      </c>
      <c r="J816">
        <v>0</v>
      </c>
      <c r="K816">
        <v>0</v>
      </c>
    </row>
    <row r="817" spans="1:11" x14ac:dyDescent="0.2">
      <c r="A817" t="s">
        <v>4372</v>
      </c>
      <c r="B817">
        <v>0</v>
      </c>
      <c r="C817">
        <v>0</v>
      </c>
      <c r="D817">
        <v>0</v>
      </c>
      <c r="E817">
        <v>0</v>
      </c>
      <c r="F817">
        <v>0</v>
      </c>
      <c r="G817">
        <v>0</v>
      </c>
      <c r="H817">
        <v>0</v>
      </c>
      <c r="I817">
        <v>0</v>
      </c>
      <c r="J817">
        <v>0</v>
      </c>
      <c r="K817">
        <v>0</v>
      </c>
    </row>
    <row r="818" spans="1:11" x14ac:dyDescent="0.2">
      <c r="A818" t="s">
        <v>4373</v>
      </c>
      <c r="B818">
        <v>0</v>
      </c>
      <c r="C818">
        <v>0</v>
      </c>
      <c r="D818">
        <v>0</v>
      </c>
      <c r="E818">
        <v>0</v>
      </c>
      <c r="F818">
        <v>0</v>
      </c>
      <c r="G818">
        <v>0</v>
      </c>
      <c r="H818">
        <v>0</v>
      </c>
      <c r="I818">
        <v>0</v>
      </c>
      <c r="J818">
        <v>0</v>
      </c>
      <c r="K818">
        <v>0</v>
      </c>
    </row>
    <row r="819" spans="1:11" x14ac:dyDescent="0.2">
      <c r="A819" t="s">
        <v>4374</v>
      </c>
      <c r="B819">
        <v>0</v>
      </c>
      <c r="C819">
        <v>0</v>
      </c>
      <c r="D819">
        <v>0</v>
      </c>
      <c r="E819">
        <v>0</v>
      </c>
      <c r="F819">
        <v>0</v>
      </c>
      <c r="G819">
        <v>0</v>
      </c>
      <c r="H819">
        <v>0</v>
      </c>
      <c r="I819">
        <v>0</v>
      </c>
      <c r="J819">
        <v>0</v>
      </c>
      <c r="K819">
        <v>0</v>
      </c>
    </row>
    <row r="820" spans="1:11" x14ac:dyDescent="0.2">
      <c r="A820" t="s">
        <v>4375</v>
      </c>
      <c r="B820">
        <v>0</v>
      </c>
      <c r="C820">
        <v>0</v>
      </c>
      <c r="D820">
        <v>0</v>
      </c>
      <c r="E820">
        <v>0</v>
      </c>
      <c r="F820">
        <v>0</v>
      </c>
      <c r="G820">
        <v>0</v>
      </c>
      <c r="H820">
        <v>0</v>
      </c>
      <c r="I820">
        <v>0</v>
      </c>
      <c r="J820">
        <v>0</v>
      </c>
      <c r="K820">
        <v>0</v>
      </c>
    </row>
    <row r="821" spans="1:11" x14ac:dyDescent="0.2">
      <c r="A821" t="s">
        <v>4376</v>
      </c>
      <c r="B821">
        <v>0</v>
      </c>
      <c r="C821">
        <v>0</v>
      </c>
      <c r="D821">
        <v>0</v>
      </c>
      <c r="E821">
        <v>0</v>
      </c>
      <c r="F821">
        <v>0</v>
      </c>
      <c r="G821">
        <v>0</v>
      </c>
      <c r="H821">
        <v>0</v>
      </c>
      <c r="I821">
        <v>0</v>
      </c>
      <c r="J821">
        <v>0</v>
      </c>
      <c r="K821">
        <v>0</v>
      </c>
    </row>
    <row r="822" spans="1:11" x14ac:dyDescent="0.2">
      <c r="A822" t="s">
        <v>4377</v>
      </c>
      <c r="B822">
        <v>0</v>
      </c>
      <c r="C822">
        <v>0</v>
      </c>
      <c r="D822">
        <v>0</v>
      </c>
      <c r="E822">
        <v>0</v>
      </c>
      <c r="F822">
        <v>0</v>
      </c>
      <c r="G822">
        <v>0</v>
      </c>
      <c r="H822">
        <v>0</v>
      </c>
      <c r="I822">
        <v>0</v>
      </c>
      <c r="J822">
        <v>0</v>
      </c>
      <c r="K822">
        <v>0</v>
      </c>
    </row>
    <row r="823" spans="1:11" x14ac:dyDescent="0.2">
      <c r="A823" t="s">
        <v>4854</v>
      </c>
      <c r="B823">
        <v>6</v>
      </c>
      <c r="C823">
        <v>541</v>
      </c>
      <c r="D823">
        <v>38</v>
      </c>
      <c r="E823">
        <v>5679</v>
      </c>
      <c r="F823">
        <v>21750</v>
      </c>
      <c r="G823">
        <v>0</v>
      </c>
      <c r="H823">
        <v>516</v>
      </c>
      <c r="I823">
        <v>6334</v>
      </c>
      <c r="J823">
        <v>0</v>
      </c>
      <c r="K823">
        <v>340</v>
      </c>
    </row>
    <row r="824" spans="1:11" x14ac:dyDescent="0.2">
      <c r="A824" t="s">
        <v>2318</v>
      </c>
      <c r="B824" t="s">
        <v>4399</v>
      </c>
      <c r="C824" t="s">
        <v>4399</v>
      </c>
      <c r="D824" t="s">
        <v>4399</v>
      </c>
      <c r="E824" t="s">
        <v>4399</v>
      </c>
      <c r="F824" t="s">
        <v>4399</v>
      </c>
      <c r="G824" t="s">
        <v>4399</v>
      </c>
      <c r="H824" t="s">
        <v>4399</v>
      </c>
      <c r="I824" t="s">
        <v>4399</v>
      </c>
      <c r="J824" t="s">
        <v>4399</v>
      </c>
      <c r="K824" t="s">
        <v>4399</v>
      </c>
    </row>
    <row r="825" spans="1:11" x14ac:dyDescent="0.2">
      <c r="A825" t="s">
        <v>4248</v>
      </c>
    </row>
    <row r="826" spans="1:11" x14ac:dyDescent="0.2">
      <c r="A826" t="s">
        <v>4855</v>
      </c>
      <c r="B826" t="s">
        <v>4856</v>
      </c>
      <c r="C826" t="s">
        <v>4857</v>
      </c>
      <c r="D826" t="s">
        <v>4858</v>
      </c>
      <c r="E826" t="s">
        <v>4859</v>
      </c>
      <c r="F826" t="s">
        <v>4860</v>
      </c>
      <c r="G826" t="s">
        <v>4864</v>
      </c>
    </row>
    <row r="827" spans="1:11" x14ac:dyDescent="0.2">
      <c r="A827" t="s">
        <v>2318</v>
      </c>
      <c r="B827" t="s">
        <v>4399</v>
      </c>
      <c r="C827" t="s">
        <v>4399</v>
      </c>
      <c r="D827" t="s">
        <v>4399</v>
      </c>
      <c r="E827" t="s">
        <v>4399</v>
      </c>
      <c r="F827" t="s">
        <v>4399</v>
      </c>
      <c r="G827" t="s">
        <v>4399</v>
      </c>
      <c r="H827" t="s">
        <v>4399</v>
      </c>
      <c r="I827" t="s">
        <v>4399</v>
      </c>
      <c r="J827" t="s">
        <v>4399</v>
      </c>
      <c r="K827" t="s">
        <v>4399</v>
      </c>
    </row>
    <row r="828" spans="1:11" x14ac:dyDescent="0.2">
      <c r="A828" t="s">
        <v>126</v>
      </c>
      <c r="B828" t="s">
        <v>4540</v>
      </c>
      <c r="C828" t="s">
        <v>4544</v>
      </c>
      <c r="D828" t="s">
        <v>4548</v>
      </c>
      <c r="E828" t="s">
        <v>4552</v>
      </c>
      <c r="F828" t="s">
        <v>4556</v>
      </c>
      <c r="G828" t="s">
        <v>4560</v>
      </c>
      <c r="H828" t="s">
        <v>419</v>
      </c>
      <c r="I828" t="s">
        <v>420</v>
      </c>
      <c r="J828" t="s">
        <v>4570</v>
      </c>
      <c r="K828" t="s">
        <v>4574</v>
      </c>
    </row>
    <row r="829" spans="1:11" x14ac:dyDescent="0.2">
      <c r="A829" t="s">
        <v>2318</v>
      </c>
      <c r="B829" t="s">
        <v>4399</v>
      </c>
      <c r="C829" t="s">
        <v>4399</v>
      </c>
      <c r="D829" t="s">
        <v>4399</v>
      </c>
      <c r="E829" t="s">
        <v>4399</v>
      </c>
      <c r="F829" t="s">
        <v>4399</v>
      </c>
      <c r="G829" t="s">
        <v>4399</v>
      </c>
      <c r="H829" t="s">
        <v>4399</v>
      </c>
      <c r="I829" t="s">
        <v>4399</v>
      </c>
      <c r="J829" t="s">
        <v>4399</v>
      </c>
      <c r="K829" t="s">
        <v>4399</v>
      </c>
    </row>
    <row r="830" spans="1:11" x14ac:dyDescent="0.2">
      <c r="A830" t="s">
        <v>4265</v>
      </c>
      <c r="B830" s="180">
        <v>0</v>
      </c>
      <c r="C830" s="180">
        <v>0</v>
      </c>
      <c r="D830" s="180">
        <v>0</v>
      </c>
      <c r="E830" s="180">
        <v>0</v>
      </c>
      <c r="F830" s="180">
        <v>0</v>
      </c>
      <c r="G830" s="180">
        <v>0</v>
      </c>
      <c r="H830" s="180">
        <v>0</v>
      </c>
      <c r="I830" s="180">
        <v>0</v>
      </c>
      <c r="J830" s="180">
        <v>0</v>
      </c>
      <c r="K830" s="180">
        <v>0</v>
      </c>
    </row>
    <row r="831" spans="1:11" x14ac:dyDescent="0.2">
      <c r="A831" t="s">
        <v>4266</v>
      </c>
      <c r="B831" s="180">
        <v>0</v>
      </c>
      <c r="C831" s="180">
        <v>0</v>
      </c>
      <c r="D831" s="180">
        <v>0</v>
      </c>
      <c r="E831" s="180">
        <v>0</v>
      </c>
      <c r="F831" s="180">
        <v>0</v>
      </c>
      <c r="G831" s="180">
        <v>0</v>
      </c>
      <c r="H831" s="180">
        <v>0</v>
      </c>
      <c r="I831" s="180">
        <v>0</v>
      </c>
      <c r="J831" s="180">
        <v>0</v>
      </c>
      <c r="K831" s="180">
        <v>0</v>
      </c>
    </row>
    <row r="832" spans="1:11" x14ac:dyDescent="0.2">
      <c r="A832" t="s">
        <v>4267</v>
      </c>
      <c r="B832" s="180">
        <v>0</v>
      </c>
      <c r="C832" s="180">
        <v>0</v>
      </c>
      <c r="D832" s="180">
        <v>0</v>
      </c>
      <c r="E832" s="180">
        <v>0</v>
      </c>
      <c r="F832" s="180">
        <v>0</v>
      </c>
      <c r="G832" s="180">
        <v>0</v>
      </c>
      <c r="H832" s="180">
        <v>0</v>
      </c>
      <c r="I832" s="180">
        <v>0</v>
      </c>
      <c r="J832" s="180">
        <v>0</v>
      </c>
      <c r="K832" s="180">
        <v>0</v>
      </c>
    </row>
    <row r="833" spans="1:11" x14ac:dyDescent="0.2">
      <c r="A833" t="s">
        <v>4268</v>
      </c>
      <c r="B833" s="180">
        <v>0</v>
      </c>
      <c r="C833" s="180">
        <v>0</v>
      </c>
      <c r="D833" s="180">
        <v>0</v>
      </c>
      <c r="E833" s="180">
        <v>0</v>
      </c>
      <c r="F833" s="180">
        <v>0</v>
      </c>
      <c r="G833" s="180">
        <v>0</v>
      </c>
      <c r="H833" s="180">
        <v>0</v>
      </c>
      <c r="I833" s="180">
        <v>0</v>
      </c>
      <c r="J833" s="180">
        <v>0</v>
      </c>
      <c r="K833" s="180">
        <v>0</v>
      </c>
    </row>
    <row r="834" spans="1:11" x14ac:dyDescent="0.2">
      <c r="A834" t="s">
        <v>4269</v>
      </c>
      <c r="B834" s="180">
        <v>0</v>
      </c>
      <c r="C834" s="180">
        <v>0</v>
      </c>
      <c r="D834" s="180">
        <v>0</v>
      </c>
      <c r="E834" s="180">
        <v>0</v>
      </c>
      <c r="F834" s="180">
        <v>0</v>
      </c>
      <c r="G834" s="180">
        <v>0</v>
      </c>
      <c r="H834" s="180">
        <v>0</v>
      </c>
      <c r="I834" s="180">
        <v>0</v>
      </c>
      <c r="J834" s="180">
        <v>0</v>
      </c>
      <c r="K834" s="180">
        <v>0</v>
      </c>
    </row>
    <row r="835" spans="1:11" x14ac:dyDescent="0.2">
      <c r="A835" t="s">
        <v>4270</v>
      </c>
      <c r="B835" s="180">
        <v>0</v>
      </c>
      <c r="C835" s="180">
        <v>0</v>
      </c>
      <c r="D835" s="180">
        <v>0</v>
      </c>
      <c r="E835" s="180">
        <v>0</v>
      </c>
      <c r="F835" s="180">
        <v>0</v>
      </c>
      <c r="G835" s="180">
        <v>0</v>
      </c>
      <c r="H835" s="180">
        <v>0</v>
      </c>
      <c r="I835" s="180">
        <v>0</v>
      </c>
      <c r="J835" s="180">
        <v>0</v>
      </c>
      <c r="K835" s="180">
        <v>0</v>
      </c>
    </row>
    <row r="836" spans="1:11" x14ac:dyDescent="0.2">
      <c r="A836" t="s">
        <v>4271</v>
      </c>
      <c r="B836" s="180">
        <v>0</v>
      </c>
      <c r="C836" s="180">
        <v>0</v>
      </c>
      <c r="D836" s="180">
        <v>0</v>
      </c>
      <c r="E836" s="180">
        <v>0</v>
      </c>
      <c r="F836" s="180">
        <v>0</v>
      </c>
      <c r="G836" s="180">
        <v>0</v>
      </c>
      <c r="H836" s="180">
        <v>0</v>
      </c>
      <c r="I836" s="180">
        <v>0</v>
      </c>
      <c r="J836" s="180">
        <v>0</v>
      </c>
      <c r="K836" s="180">
        <v>0</v>
      </c>
    </row>
    <row r="837" spans="1:11" x14ac:dyDescent="0.2">
      <c r="A837" t="s">
        <v>4272</v>
      </c>
      <c r="B837" s="180">
        <v>0</v>
      </c>
      <c r="C837" s="180">
        <v>0</v>
      </c>
      <c r="D837" s="180">
        <v>0</v>
      </c>
      <c r="E837" s="180">
        <v>0</v>
      </c>
      <c r="F837" s="180">
        <v>0</v>
      </c>
      <c r="G837" s="180">
        <v>0</v>
      </c>
      <c r="H837" s="180">
        <v>0</v>
      </c>
      <c r="I837" s="180">
        <v>0</v>
      </c>
      <c r="J837" s="180">
        <v>0</v>
      </c>
      <c r="K837" s="180">
        <v>0</v>
      </c>
    </row>
    <row r="838" spans="1:11" x14ac:dyDescent="0.2">
      <c r="A838" t="s">
        <v>4273</v>
      </c>
      <c r="B838" s="180">
        <v>0</v>
      </c>
      <c r="C838" s="180">
        <v>0</v>
      </c>
      <c r="D838" s="180">
        <v>0</v>
      </c>
      <c r="E838" s="180">
        <v>0</v>
      </c>
      <c r="F838" s="180">
        <v>0</v>
      </c>
      <c r="G838" s="180">
        <v>0</v>
      </c>
      <c r="H838" s="180">
        <v>0</v>
      </c>
      <c r="I838" s="180">
        <v>0</v>
      </c>
      <c r="J838" s="180">
        <v>0</v>
      </c>
      <c r="K838" s="180">
        <v>0</v>
      </c>
    </row>
    <row r="839" spans="1:11" x14ac:dyDescent="0.2">
      <c r="A839" t="s">
        <v>4274</v>
      </c>
      <c r="B839" s="180">
        <v>0</v>
      </c>
      <c r="C839" s="180">
        <v>0</v>
      </c>
      <c r="D839" s="180">
        <v>0</v>
      </c>
      <c r="E839" s="180">
        <v>0</v>
      </c>
      <c r="F839" s="180">
        <v>0</v>
      </c>
      <c r="G839" s="180">
        <v>0</v>
      </c>
      <c r="H839" s="180">
        <v>0</v>
      </c>
      <c r="I839" s="180">
        <v>0</v>
      </c>
      <c r="J839" s="180">
        <v>0</v>
      </c>
      <c r="K839" s="180">
        <v>0</v>
      </c>
    </row>
    <row r="840" spans="1:11" x14ac:dyDescent="0.2">
      <c r="A840" t="s">
        <v>4275</v>
      </c>
      <c r="B840" s="180">
        <v>0</v>
      </c>
      <c r="C840" s="180">
        <v>0</v>
      </c>
      <c r="D840" s="180">
        <v>0</v>
      </c>
      <c r="E840" s="180">
        <v>0</v>
      </c>
      <c r="F840" s="180">
        <v>0</v>
      </c>
      <c r="G840" s="180">
        <v>0</v>
      </c>
      <c r="H840" s="180">
        <v>0</v>
      </c>
      <c r="I840" s="180">
        <v>0</v>
      </c>
      <c r="J840" s="180">
        <v>0</v>
      </c>
      <c r="K840" s="180">
        <v>0</v>
      </c>
    </row>
    <row r="841" spans="1:11" x14ac:dyDescent="0.2">
      <c r="A841" t="s">
        <v>4276</v>
      </c>
      <c r="B841" s="180">
        <v>0</v>
      </c>
      <c r="C841" s="180">
        <v>0</v>
      </c>
      <c r="D841" s="180">
        <v>0</v>
      </c>
      <c r="E841" s="180">
        <v>0</v>
      </c>
      <c r="F841" s="180">
        <v>0</v>
      </c>
      <c r="G841" s="180">
        <v>0</v>
      </c>
      <c r="H841" s="180">
        <v>0</v>
      </c>
      <c r="I841" s="180">
        <v>0</v>
      </c>
      <c r="J841" s="180">
        <v>0</v>
      </c>
      <c r="K841" s="180">
        <v>0</v>
      </c>
    </row>
    <row r="842" spans="1:11" x14ac:dyDescent="0.2">
      <c r="A842" t="s">
        <v>4277</v>
      </c>
      <c r="B842" s="180">
        <v>0</v>
      </c>
      <c r="C842" s="180">
        <v>0</v>
      </c>
      <c r="D842" s="180">
        <v>0</v>
      </c>
      <c r="E842" s="180">
        <v>0</v>
      </c>
      <c r="F842" s="180">
        <v>0</v>
      </c>
      <c r="G842" s="180">
        <v>0</v>
      </c>
      <c r="H842" s="180">
        <v>0</v>
      </c>
      <c r="I842" s="180">
        <v>0</v>
      </c>
      <c r="J842" s="180">
        <v>0</v>
      </c>
      <c r="K842" s="180">
        <v>0</v>
      </c>
    </row>
    <row r="843" spans="1:11" x14ac:dyDescent="0.2">
      <c r="A843" t="s">
        <v>4278</v>
      </c>
      <c r="B843" s="180">
        <v>0</v>
      </c>
      <c r="C843" s="180">
        <v>0</v>
      </c>
      <c r="D843" s="180">
        <v>0</v>
      </c>
      <c r="E843" s="180">
        <v>0</v>
      </c>
      <c r="F843" s="180">
        <v>0</v>
      </c>
      <c r="G843" s="180">
        <v>0</v>
      </c>
      <c r="H843" s="180">
        <v>0</v>
      </c>
      <c r="I843" s="180">
        <v>0</v>
      </c>
      <c r="J843" s="180">
        <v>0</v>
      </c>
      <c r="K843" s="180">
        <v>0</v>
      </c>
    </row>
    <row r="844" spans="1:11" x14ac:dyDescent="0.2">
      <c r="A844" t="s">
        <v>4279</v>
      </c>
      <c r="B844" s="180">
        <v>0</v>
      </c>
      <c r="C844" s="180">
        <v>0</v>
      </c>
      <c r="D844" s="180">
        <v>0</v>
      </c>
      <c r="E844" s="180">
        <v>0</v>
      </c>
      <c r="F844" s="180">
        <v>0</v>
      </c>
      <c r="G844" s="180">
        <v>0</v>
      </c>
      <c r="H844" s="180">
        <v>0</v>
      </c>
      <c r="I844" s="180">
        <v>0</v>
      </c>
      <c r="J844" s="180">
        <v>0</v>
      </c>
      <c r="K844" s="180">
        <v>0</v>
      </c>
    </row>
    <row r="845" spans="1:11" x14ac:dyDescent="0.2">
      <c r="A845" t="s">
        <v>4280</v>
      </c>
      <c r="B845" s="180">
        <v>0</v>
      </c>
      <c r="C845" s="180">
        <v>0</v>
      </c>
      <c r="D845" s="180">
        <v>0</v>
      </c>
      <c r="E845" s="180">
        <v>0</v>
      </c>
      <c r="F845" s="180">
        <v>0</v>
      </c>
      <c r="G845" s="180">
        <v>0</v>
      </c>
      <c r="H845" s="180">
        <v>0</v>
      </c>
      <c r="I845" s="180">
        <v>0</v>
      </c>
      <c r="J845" s="180">
        <v>0</v>
      </c>
      <c r="K845" s="180">
        <v>0</v>
      </c>
    </row>
    <row r="846" spans="1:11" x14ac:dyDescent="0.2">
      <c r="A846" t="s">
        <v>4281</v>
      </c>
      <c r="B846" s="180">
        <v>0</v>
      </c>
      <c r="C846" s="180">
        <v>23</v>
      </c>
      <c r="D846" s="180">
        <v>0</v>
      </c>
      <c r="E846" s="180">
        <v>0</v>
      </c>
      <c r="F846" s="180">
        <v>6</v>
      </c>
      <c r="G846" s="180">
        <v>0</v>
      </c>
      <c r="H846" s="180">
        <v>3</v>
      </c>
      <c r="I846" s="180">
        <v>101</v>
      </c>
      <c r="J846" s="180">
        <v>0</v>
      </c>
      <c r="K846" s="180">
        <v>0</v>
      </c>
    </row>
    <row r="847" spans="1:11" x14ac:dyDescent="0.2">
      <c r="A847" t="s">
        <v>4282</v>
      </c>
      <c r="B847" s="180">
        <v>0</v>
      </c>
      <c r="C847" s="180">
        <v>4</v>
      </c>
      <c r="D847" s="180">
        <v>0</v>
      </c>
      <c r="E847" s="180">
        <v>0</v>
      </c>
      <c r="F847" s="180">
        <v>3</v>
      </c>
      <c r="G847" s="180">
        <v>0</v>
      </c>
      <c r="H847" s="180">
        <v>2</v>
      </c>
      <c r="I847" s="180">
        <v>22</v>
      </c>
      <c r="J847" s="180">
        <v>0</v>
      </c>
      <c r="K847" s="180">
        <v>0</v>
      </c>
    </row>
    <row r="848" spans="1:11" x14ac:dyDescent="0.2">
      <c r="A848" t="s">
        <v>4283</v>
      </c>
      <c r="B848" s="180">
        <v>0</v>
      </c>
      <c r="C848" s="180">
        <v>2</v>
      </c>
      <c r="D848" s="180">
        <v>0</v>
      </c>
      <c r="E848" s="180">
        <v>0</v>
      </c>
      <c r="F848" s="180">
        <v>1</v>
      </c>
      <c r="G848" s="180">
        <v>0</v>
      </c>
      <c r="H848" s="180">
        <v>0</v>
      </c>
      <c r="I848" s="180">
        <v>10</v>
      </c>
      <c r="J848" s="180">
        <v>0</v>
      </c>
      <c r="K848" s="180">
        <v>0</v>
      </c>
    </row>
    <row r="849" spans="1:11" x14ac:dyDescent="0.2">
      <c r="A849" t="s">
        <v>4284</v>
      </c>
      <c r="B849" s="180">
        <v>0</v>
      </c>
      <c r="C849" s="180">
        <v>0</v>
      </c>
      <c r="D849" s="180">
        <v>0</v>
      </c>
      <c r="E849" s="180">
        <v>0</v>
      </c>
      <c r="F849" s="180">
        <v>0</v>
      </c>
      <c r="G849" s="180">
        <v>0</v>
      </c>
      <c r="H849" s="180">
        <v>0</v>
      </c>
      <c r="I849" s="180">
        <v>0</v>
      </c>
      <c r="J849" s="180">
        <v>0</v>
      </c>
      <c r="K849" s="180">
        <v>0</v>
      </c>
    </row>
    <row r="850" spans="1:11" x14ac:dyDescent="0.2">
      <c r="A850" t="s">
        <v>4285</v>
      </c>
      <c r="B850" s="180">
        <v>0</v>
      </c>
      <c r="C850" s="180">
        <v>10</v>
      </c>
      <c r="D850" s="180">
        <v>0</v>
      </c>
      <c r="E850" s="180">
        <v>0</v>
      </c>
      <c r="F850" s="180">
        <v>3</v>
      </c>
      <c r="G850" s="180">
        <v>0</v>
      </c>
      <c r="H850" s="180">
        <v>2</v>
      </c>
      <c r="I850" s="180">
        <v>51</v>
      </c>
      <c r="J850" s="180">
        <v>0</v>
      </c>
      <c r="K850" s="180">
        <v>0</v>
      </c>
    </row>
    <row r="851" spans="1:11" x14ac:dyDescent="0.2">
      <c r="A851" t="s">
        <v>4286</v>
      </c>
      <c r="B851" s="180">
        <v>0</v>
      </c>
      <c r="C851" s="180">
        <v>0</v>
      </c>
      <c r="D851" s="180">
        <v>0</v>
      </c>
      <c r="E851" s="180">
        <v>0</v>
      </c>
      <c r="F851" s="180">
        <v>2</v>
      </c>
      <c r="G851" s="180">
        <v>0</v>
      </c>
      <c r="H851" s="180">
        <v>1</v>
      </c>
      <c r="I851" s="180">
        <v>7</v>
      </c>
      <c r="J851" s="180">
        <v>0</v>
      </c>
      <c r="K851" s="180">
        <v>0</v>
      </c>
    </row>
    <row r="852" spans="1:11" x14ac:dyDescent="0.2">
      <c r="A852" t="s">
        <v>4287</v>
      </c>
      <c r="B852" s="180">
        <v>0</v>
      </c>
      <c r="C852" s="180">
        <v>5</v>
      </c>
      <c r="D852" s="180">
        <v>0</v>
      </c>
      <c r="E852" s="180">
        <v>0</v>
      </c>
      <c r="F852" s="180">
        <v>2</v>
      </c>
      <c r="G852" s="180">
        <v>0</v>
      </c>
      <c r="H852" s="180">
        <v>1</v>
      </c>
      <c r="I852" s="180">
        <v>22</v>
      </c>
      <c r="J852" s="180">
        <v>0</v>
      </c>
      <c r="K852" s="180">
        <v>0</v>
      </c>
    </row>
    <row r="853" spans="1:11" x14ac:dyDescent="0.2">
      <c r="A853" t="s">
        <v>4288</v>
      </c>
      <c r="B853" s="180">
        <v>0</v>
      </c>
      <c r="C853" s="180">
        <v>0</v>
      </c>
      <c r="D853" s="180">
        <v>0</v>
      </c>
      <c r="E853" s="180">
        <v>0</v>
      </c>
      <c r="F853" s="180">
        <v>0</v>
      </c>
      <c r="G853" s="180">
        <v>0</v>
      </c>
      <c r="H853" s="180">
        <v>0</v>
      </c>
      <c r="I853" s="180">
        <v>0</v>
      </c>
      <c r="J853" s="180">
        <v>0</v>
      </c>
      <c r="K853" s="180">
        <v>0</v>
      </c>
    </row>
    <row r="854" spans="1:11" x14ac:dyDescent="0.2">
      <c r="A854" t="s">
        <v>4289</v>
      </c>
      <c r="B854" s="180">
        <v>0</v>
      </c>
      <c r="C854" s="180">
        <v>0</v>
      </c>
      <c r="D854" s="180">
        <v>0</v>
      </c>
      <c r="E854" s="180">
        <v>0</v>
      </c>
      <c r="F854" s="180">
        <v>0</v>
      </c>
      <c r="G854" s="180">
        <v>0</v>
      </c>
      <c r="H854" s="180">
        <v>0</v>
      </c>
      <c r="I854" s="180">
        <v>0</v>
      </c>
      <c r="J854" s="180">
        <v>0</v>
      </c>
      <c r="K854" s="180">
        <v>0</v>
      </c>
    </row>
    <row r="855" spans="1:11" x14ac:dyDescent="0.2">
      <c r="A855" t="s">
        <v>4290</v>
      </c>
      <c r="B855" s="180">
        <v>0</v>
      </c>
      <c r="C855" s="180">
        <v>0</v>
      </c>
      <c r="D855" s="180">
        <v>0</v>
      </c>
      <c r="E855" s="180">
        <v>0</v>
      </c>
      <c r="F855" s="180">
        <v>0</v>
      </c>
      <c r="G855" s="180">
        <v>0</v>
      </c>
      <c r="H855" s="180">
        <v>0</v>
      </c>
      <c r="I855" s="180">
        <v>0</v>
      </c>
      <c r="J855" s="180">
        <v>0</v>
      </c>
      <c r="K855" s="180">
        <v>0</v>
      </c>
    </row>
    <row r="856" spans="1:11" x14ac:dyDescent="0.2">
      <c r="A856" t="s">
        <v>4291</v>
      </c>
      <c r="B856" s="180">
        <v>0</v>
      </c>
      <c r="C856" s="180">
        <v>0</v>
      </c>
      <c r="D856" s="180">
        <v>0</v>
      </c>
      <c r="E856" s="180">
        <v>0</v>
      </c>
      <c r="F856" s="180">
        <v>0</v>
      </c>
      <c r="G856" s="180">
        <v>0</v>
      </c>
      <c r="H856" s="180">
        <v>0</v>
      </c>
      <c r="I856" s="180">
        <v>0</v>
      </c>
      <c r="J856" s="180">
        <v>0</v>
      </c>
      <c r="K856" s="180">
        <v>0</v>
      </c>
    </row>
    <row r="857" spans="1:11" x14ac:dyDescent="0.2">
      <c r="A857" t="s">
        <v>4292</v>
      </c>
      <c r="B857" s="180">
        <v>0</v>
      </c>
      <c r="C857" s="180">
        <v>0</v>
      </c>
      <c r="D857" s="180">
        <v>0</v>
      </c>
      <c r="E857" s="180">
        <v>0</v>
      </c>
      <c r="F857" s="180">
        <v>0</v>
      </c>
      <c r="G857" s="180">
        <v>0</v>
      </c>
      <c r="H857" s="180">
        <v>0</v>
      </c>
      <c r="I857" s="180">
        <v>0</v>
      </c>
      <c r="J857" s="180">
        <v>0</v>
      </c>
      <c r="K857" s="180">
        <v>0</v>
      </c>
    </row>
    <row r="858" spans="1:11" x14ac:dyDescent="0.2">
      <c r="A858" t="s">
        <v>4293</v>
      </c>
      <c r="B858" s="180">
        <v>0</v>
      </c>
      <c r="C858" s="180">
        <v>0</v>
      </c>
      <c r="D858" s="180">
        <v>0</v>
      </c>
      <c r="E858" s="180">
        <v>0</v>
      </c>
      <c r="F858" s="180">
        <v>0</v>
      </c>
      <c r="G858" s="180">
        <v>0</v>
      </c>
      <c r="H858" s="180">
        <v>0</v>
      </c>
      <c r="I858" s="180">
        <v>0</v>
      </c>
      <c r="J858" s="180">
        <v>0</v>
      </c>
      <c r="K858" s="180">
        <v>0</v>
      </c>
    </row>
    <row r="859" spans="1:11" x14ac:dyDescent="0.2">
      <c r="A859" t="s">
        <v>4294</v>
      </c>
      <c r="B859" s="180">
        <v>0</v>
      </c>
      <c r="C859" s="180">
        <v>0</v>
      </c>
      <c r="D859" s="180">
        <v>0</v>
      </c>
      <c r="E859" s="180">
        <v>0</v>
      </c>
      <c r="F859" s="180">
        <v>0</v>
      </c>
      <c r="G859" s="180">
        <v>0</v>
      </c>
      <c r="H859" s="180">
        <v>0</v>
      </c>
      <c r="I859" s="180">
        <v>0</v>
      </c>
      <c r="J859" s="180">
        <v>0</v>
      </c>
      <c r="K859" s="180">
        <v>0</v>
      </c>
    </row>
    <row r="860" spans="1:11" x14ac:dyDescent="0.2">
      <c r="A860" t="s">
        <v>4295</v>
      </c>
      <c r="B860" s="180">
        <v>0</v>
      </c>
      <c r="C860" s="180">
        <v>0</v>
      </c>
      <c r="D860" s="180">
        <v>0</v>
      </c>
      <c r="E860" s="180">
        <v>0</v>
      </c>
      <c r="F860" s="180">
        <v>0</v>
      </c>
      <c r="G860" s="180">
        <v>0</v>
      </c>
      <c r="H860" s="180">
        <v>0</v>
      </c>
      <c r="I860" s="180">
        <v>0</v>
      </c>
      <c r="J860" s="180">
        <v>0</v>
      </c>
      <c r="K860" s="180">
        <v>0</v>
      </c>
    </row>
    <row r="861" spans="1:11" x14ac:dyDescent="0.2">
      <c r="A861" t="s">
        <v>4296</v>
      </c>
      <c r="B861" s="180">
        <v>0</v>
      </c>
      <c r="C861" s="180">
        <v>0</v>
      </c>
      <c r="D861" s="180">
        <v>0</v>
      </c>
      <c r="E861" s="180">
        <v>0</v>
      </c>
      <c r="F861" s="180">
        <v>0</v>
      </c>
      <c r="G861" s="180">
        <v>0</v>
      </c>
      <c r="H861" s="180">
        <v>0</v>
      </c>
      <c r="I861" s="180">
        <v>0</v>
      </c>
      <c r="J861" s="180">
        <v>0</v>
      </c>
      <c r="K861" s="180">
        <v>0</v>
      </c>
    </row>
    <row r="862" spans="1:11" x14ac:dyDescent="0.2">
      <c r="A862" t="s">
        <v>4297</v>
      </c>
      <c r="B862" s="180">
        <v>0</v>
      </c>
      <c r="C862" s="180">
        <v>21</v>
      </c>
      <c r="D862" s="180">
        <v>0</v>
      </c>
      <c r="E862" s="180">
        <v>0</v>
      </c>
      <c r="F862" s="180">
        <v>5</v>
      </c>
      <c r="G862" s="180">
        <v>0</v>
      </c>
      <c r="H862" s="180">
        <v>3</v>
      </c>
      <c r="I862" s="180">
        <v>75</v>
      </c>
      <c r="J862" s="180">
        <v>0</v>
      </c>
      <c r="K862" s="180">
        <v>0</v>
      </c>
    </row>
    <row r="863" spans="1:11" x14ac:dyDescent="0.2">
      <c r="A863" t="s">
        <v>4298</v>
      </c>
      <c r="B863" s="180">
        <v>0</v>
      </c>
      <c r="C863" s="180">
        <v>7</v>
      </c>
      <c r="D863" s="180">
        <v>0</v>
      </c>
      <c r="E863" s="180">
        <v>0</v>
      </c>
      <c r="F863" s="180">
        <v>4</v>
      </c>
      <c r="G863" s="180">
        <v>0</v>
      </c>
      <c r="H863" s="180">
        <v>2</v>
      </c>
      <c r="I863" s="180">
        <v>30</v>
      </c>
      <c r="J863" s="180">
        <v>0</v>
      </c>
      <c r="K863" s="180">
        <v>0</v>
      </c>
    </row>
    <row r="864" spans="1:11" x14ac:dyDescent="0.2">
      <c r="A864" t="s">
        <v>4299</v>
      </c>
      <c r="B864" s="180">
        <v>1</v>
      </c>
      <c r="C864" s="180">
        <v>29</v>
      </c>
      <c r="D864" s="180">
        <v>1</v>
      </c>
      <c r="E864" s="180">
        <v>0</v>
      </c>
      <c r="F864" s="180">
        <v>14</v>
      </c>
      <c r="G864" s="180">
        <v>0</v>
      </c>
      <c r="H864" s="180">
        <v>8</v>
      </c>
      <c r="I864" s="180">
        <v>116</v>
      </c>
      <c r="J864" s="180">
        <v>0</v>
      </c>
      <c r="K864" s="180">
        <v>0</v>
      </c>
    </row>
    <row r="865" spans="1:11" x14ac:dyDescent="0.2">
      <c r="A865" t="s">
        <v>4300</v>
      </c>
      <c r="B865" s="180">
        <v>0</v>
      </c>
      <c r="C865" s="180">
        <v>1</v>
      </c>
      <c r="D865" s="180">
        <v>0</v>
      </c>
      <c r="E865" s="180">
        <v>0</v>
      </c>
      <c r="F865" s="180">
        <v>1</v>
      </c>
      <c r="G865" s="180">
        <v>0</v>
      </c>
      <c r="H865" s="180">
        <v>0</v>
      </c>
      <c r="I865" s="180">
        <v>2</v>
      </c>
      <c r="J865" s="180">
        <v>0</v>
      </c>
      <c r="K865" s="180">
        <v>0</v>
      </c>
    </row>
    <row r="866" spans="1:11" x14ac:dyDescent="0.2">
      <c r="A866" t="s">
        <v>4301</v>
      </c>
      <c r="B866" s="180">
        <v>1</v>
      </c>
      <c r="C866" s="180">
        <v>72</v>
      </c>
      <c r="D866" s="180">
        <v>0</v>
      </c>
      <c r="E866" s="180">
        <v>0</v>
      </c>
      <c r="F866" s="180">
        <v>19</v>
      </c>
      <c r="G866" s="180">
        <v>0</v>
      </c>
      <c r="H866" s="180">
        <v>10</v>
      </c>
      <c r="I866" s="180">
        <v>300</v>
      </c>
      <c r="J866" s="180">
        <v>0</v>
      </c>
      <c r="K866" s="180">
        <v>0</v>
      </c>
    </row>
    <row r="867" spans="1:11" x14ac:dyDescent="0.2">
      <c r="A867" t="s">
        <v>4302</v>
      </c>
      <c r="B867" s="180">
        <v>1</v>
      </c>
      <c r="C867" s="180">
        <v>37</v>
      </c>
      <c r="D867" s="180">
        <v>1</v>
      </c>
      <c r="E867" s="180">
        <v>0</v>
      </c>
      <c r="F867" s="180">
        <v>16</v>
      </c>
      <c r="G867" s="180">
        <v>0</v>
      </c>
      <c r="H867" s="180">
        <v>9</v>
      </c>
      <c r="I867" s="180">
        <v>157</v>
      </c>
      <c r="J867" s="180">
        <v>0</v>
      </c>
      <c r="K867" s="180">
        <v>0</v>
      </c>
    </row>
    <row r="868" spans="1:11" x14ac:dyDescent="0.2">
      <c r="A868" t="s">
        <v>4303</v>
      </c>
      <c r="B868" s="180">
        <v>3</v>
      </c>
      <c r="C868" s="180">
        <v>43</v>
      </c>
      <c r="D868" s="180">
        <v>2</v>
      </c>
      <c r="E868" s="180">
        <v>0</v>
      </c>
      <c r="F868" s="180">
        <v>56</v>
      </c>
      <c r="G868" s="180">
        <v>0</v>
      </c>
      <c r="H868" s="180">
        <v>29</v>
      </c>
      <c r="I868" s="180">
        <v>182</v>
      </c>
      <c r="J868" s="180">
        <v>0</v>
      </c>
      <c r="K868" s="180">
        <v>0</v>
      </c>
    </row>
    <row r="869" spans="1:11" x14ac:dyDescent="0.2">
      <c r="A869" t="s">
        <v>4304</v>
      </c>
      <c r="B869" s="180">
        <v>1</v>
      </c>
      <c r="C869" s="180">
        <v>52</v>
      </c>
      <c r="D869" s="180">
        <v>0</v>
      </c>
      <c r="E869" s="180">
        <v>0</v>
      </c>
      <c r="F869" s="180">
        <v>15</v>
      </c>
      <c r="G869" s="180">
        <v>0</v>
      </c>
      <c r="H869" s="180">
        <v>8</v>
      </c>
      <c r="I869" s="180">
        <v>211</v>
      </c>
      <c r="J869" s="180">
        <v>0</v>
      </c>
      <c r="K869" s="180">
        <v>0</v>
      </c>
    </row>
    <row r="870" spans="1:11" x14ac:dyDescent="0.2">
      <c r="A870" t="s">
        <v>4305</v>
      </c>
      <c r="B870" s="180">
        <v>3</v>
      </c>
      <c r="C870" s="180">
        <v>220</v>
      </c>
      <c r="D870" s="180">
        <v>2</v>
      </c>
      <c r="E870" s="180">
        <v>0</v>
      </c>
      <c r="F870" s="180">
        <v>53</v>
      </c>
      <c r="G870" s="180">
        <v>0</v>
      </c>
      <c r="H870" s="180">
        <v>28</v>
      </c>
      <c r="I870" s="180">
        <v>832</v>
      </c>
      <c r="J870" s="180">
        <v>0</v>
      </c>
      <c r="K870" s="180">
        <v>0</v>
      </c>
    </row>
    <row r="871" spans="1:11" x14ac:dyDescent="0.2">
      <c r="A871" t="s">
        <v>4306</v>
      </c>
      <c r="B871" s="180">
        <v>0</v>
      </c>
      <c r="C871" s="180">
        <v>20</v>
      </c>
      <c r="D871" s="180">
        <v>0</v>
      </c>
      <c r="E871" s="180">
        <v>0</v>
      </c>
      <c r="F871" s="180">
        <v>7</v>
      </c>
      <c r="G871" s="180">
        <v>0</v>
      </c>
      <c r="H871" s="180">
        <v>4</v>
      </c>
      <c r="I871" s="180">
        <v>71</v>
      </c>
      <c r="J871" s="180">
        <v>0</v>
      </c>
      <c r="K871" s="180">
        <v>0</v>
      </c>
    </row>
    <row r="872" spans="1:11" x14ac:dyDescent="0.2">
      <c r="A872" t="s">
        <v>4307</v>
      </c>
      <c r="B872" s="180">
        <v>14</v>
      </c>
      <c r="C872" s="180">
        <v>211</v>
      </c>
      <c r="D872" s="180">
        <v>7</v>
      </c>
      <c r="E872" s="180">
        <v>0</v>
      </c>
      <c r="F872" s="180">
        <v>231</v>
      </c>
      <c r="G872" s="180">
        <v>0</v>
      </c>
      <c r="H872" s="180">
        <v>122</v>
      </c>
      <c r="I872" s="180">
        <v>745</v>
      </c>
      <c r="J872" s="180">
        <v>0</v>
      </c>
      <c r="K872" s="180">
        <v>0</v>
      </c>
    </row>
    <row r="873" spans="1:11" x14ac:dyDescent="0.2">
      <c r="A873" t="s">
        <v>4308</v>
      </c>
      <c r="B873" s="180">
        <v>1</v>
      </c>
      <c r="C873" s="180">
        <v>8</v>
      </c>
      <c r="D873" s="180">
        <v>0</v>
      </c>
      <c r="E873" s="180">
        <v>0</v>
      </c>
      <c r="F873" s="180">
        <v>9</v>
      </c>
      <c r="G873" s="180">
        <v>0</v>
      </c>
      <c r="H873" s="180">
        <v>5</v>
      </c>
      <c r="I873" s="180">
        <v>29</v>
      </c>
      <c r="J873" s="180">
        <v>0</v>
      </c>
      <c r="K873" s="180">
        <v>0</v>
      </c>
    </row>
    <row r="874" spans="1:11" x14ac:dyDescent="0.2">
      <c r="A874" t="s">
        <v>4309</v>
      </c>
      <c r="B874" s="180">
        <v>0</v>
      </c>
      <c r="C874" s="180">
        <v>0</v>
      </c>
      <c r="D874" s="180">
        <v>0</v>
      </c>
      <c r="E874" s="180">
        <v>0</v>
      </c>
      <c r="F874" s="180">
        <v>0</v>
      </c>
      <c r="G874" s="180">
        <v>0</v>
      </c>
      <c r="H874" s="180">
        <v>0</v>
      </c>
      <c r="I874" s="180">
        <v>0</v>
      </c>
      <c r="J874" s="180">
        <v>0</v>
      </c>
      <c r="K874" s="180">
        <v>0</v>
      </c>
    </row>
    <row r="875" spans="1:11" x14ac:dyDescent="0.2">
      <c r="A875" t="s">
        <v>4310</v>
      </c>
      <c r="B875" s="180">
        <v>0</v>
      </c>
      <c r="C875" s="180">
        <v>0</v>
      </c>
      <c r="D875" s="180">
        <v>0</v>
      </c>
      <c r="E875" s="180">
        <v>0</v>
      </c>
      <c r="F875" s="180">
        <v>0</v>
      </c>
      <c r="G875" s="180">
        <v>0</v>
      </c>
      <c r="H875" s="180">
        <v>0</v>
      </c>
      <c r="I875" s="180">
        <v>0</v>
      </c>
      <c r="J875" s="180">
        <v>0</v>
      </c>
      <c r="K875" s="180">
        <v>0</v>
      </c>
    </row>
    <row r="876" spans="1:11" x14ac:dyDescent="0.2">
      <c r="A876" t="s">
        <v>4311</v>
      </c>
      <c r="B876" s="180">
        <v>0</v>
      </c>
      <c r="C876" s="180">
        <v>0</v>
      </c>
      <c r="D876" s="180">
        <v>0</v>
      </c>
      <c r="E876" s="180">
        <v>0</v>
      </c>
      <c r="F876" s="180">
        <v>0</v>
      </c>
      <c r="G876" s="180">
        <v>0</v>
      </c>
      <c r="H876" s="180">
        <v>0</v>
      </c>
      <c r="I876" s="180">
        <v>0</v>
      </c>
      <c r="J876" s="180">
        <v>0</v>
      </c>
      <c r="K876" s="180">
        <v>0</v>
      </c>
    </row>
    <row r="877" spans="1:11" x14ac:dyDescent="0.2">
      <c r="A877" t="s">
        <v>4312</v>
      </c>
      <c r="B877" s="180">
        <v>0</v>
      </c>
      <c r="C877" s="180">
        <v>0</v>
      </c>
      <c r="D877" s="180">
        <v>0</v>
      </c>
      <c r="E877" s="180">
        <v>0</v>
      </c>
      <c r="F877" s="180">
        <v>0</v>
      </c>
      <c r="G877" s="180">
        <v>0</v>
      </c>
      <c r="H877" s="180">
        <v>0</v>
      </c>
      <c r="I877" s="180">
        <v>0</v>
      </c>
      <c r="J877" s="180">
        <v>0</v>
      </c>
      <c r="K877" s="180">
        <v>0</v>
      </c>
    </row>
    <row r="878" spans="1:11" x14ac:dyDescent="0.2">
      <c r="A878" t="s">
        <v>4313</v>
      </c>
      <c r="B878" s="180">
        <v>0</v>
      </c>
      <c r="C878" s="180">
        <v>0</v>
      </c>
      <c r="D878" s="180">
        <v>0</v>
      </c>
      <c r="E878" s="180">
        <v>0</v>
      </c>
      <c r="F878" s="180">
        <v>0</v>
      </c>
      <c r="G878" s="180">
        <v>0</v>
      </c>
      <c r="H878" s="180">
        <v>0</v>
      </c>
      <c r="I878" s="180">
        <v>0</v>
      </c>
      <c r="J878" s="180">
        <v>0</v>
      </c>
      <c r="K878" s="180">
        <v>0</v>
      </c>
    </row>
    <row r="879" spans="1:11" x14ac:dyDescent="0.2">
      <c r="A879" t="s">
        <v>4314</v>
      </c>
      <c r="B879" s="180">
        <v>0</v>
      </c>
      <c r="C879" s="180">
        <v>0</v>
      </c>
      <c r="D879" s="180">
        <v>0</v>
      </c>
      <c r="E879" s="180">
        <v>0</v>
      </c>
      <c r="F879" s="180">
        <v>0</v>
      </c>
      <c r="G879" s="180">
        <v>0</v>
      </c>
      <c r="H879" s="180">
        <v>0</v>
      </c>
      <c r="I879" s="180">
        <v>1</v>
      </c>
      <c r="J879" s="180">
        <v>0</v>
      </c>
      <c r="K879" s="180">
        <v>0</v>
      </c>
    </row>
    <row r="880" spans="1:11" x14ac:dyDescent="0.2">
      <c r="A880" t="s">
        <v>4315</v>
      </c>
      <c r="B880" s="180">
        <v>0</v>
      </c>
      <c r="C880" s="180">
        <v>0</v>
      </c>
      <c r="D880" s="180">
        <v>0</v>
      </c>
      <c r="E880" s="180">
        <v>0</v>
      </c>
      <c r="F880" s="180">
        <v>0</v>
      </c>
      <c r="G880" s="180">
        <v>0</v>
      </c>
      <c r="H880" s="180">
        <v>0</v>
      </c>
      <c r="I880" s="180">
        <v>0</v>
      </c>
      <c r="J880" s="180">
        <v>0</v>
      </c>
      <c r="K880" s="180">
        <v>0</v>
      </c>
    </row>
    <row r="881" spans="1:11" x14ac:dyDescent="0.2">
      <c r="A881" t="s">
        <v>4316</v>
      </c>
      <c r="B881" s="180">
        <v>0</v>
      </c>
      <c r="C881" s="180">
        <v>0</v>
      </c>
      <c r="D881" s="180">
        <v>0</v>
      </c>
      <c r="E881" s="180">
        <v>0</v>
      </c>
      <c r="F881" s="180">
        <v>0</v>
      </c>
      <c r="G881" s="180">
        <v>0</v>
      </c>
      <c r="H881" s="180">
        <v>0</v>
      </c>
      <c r="I881" s="180">
        <v>0</v>
      </c>
      <c r="J881" s="180">
        <v>0</v>
      </c>
      <c r="K881" s="180">
        <v>0</v>
      </c>
    </row>
    <row r="882" spans="1:11" x14ac:dyDescent="0.2">
      <c r="A882" t="s">
        <v>4317</v>
      </c>
      <c r="B882" s="180">
        <v>0</v>
      </c>
      <c r="C882" s="180">
        <v>0</v>
      </c>
      <c r="D882" s="180">
        <v>0</v>
      </c>
      <c r="E882" s="180">
        <v>0</v>
      </c>
      <c r="F882" s="180">
        <v>0</v>
      </c>
      <c r="G882" s="180">
        <v>0</v>
      </c>
      <c r="H882" s="180">
        <v>0</v>
      </c>
      <c r="I882" s="180">
        <v>0</v>
      </c>
      <c r="J882" s="180">
        <v>0</v>
      </c>
      <c r="K882" s="180">
        <v>0</v>
      </c>
    </row>
    <row r="883" spans="1:11" x14ac:dyDescent="0.2">
      <c r="A883" t="s">
        <v>4318</v>
      </c>
      <c r="B883" s="180">
        <v>0</v>
      </c>
      <c r="C883" s="180">
        <v>0</v>
      </c>
      <c r="D883" s="180">
        <v>0</v>
      </c>
      <c r="E883" s="180">
        <v>0</v>
      </c>
      <c r="F883" s="180">
        <v>0</v>
      </c>
      <c r="G883" s="180">
        <v>0</v>
      </c>
      <c r="H883" s="180">
        <v>0</v>
      </c>
      <c r="I883" s="180">
        <v>0</v>
      </c>
      <c r="J883" s="180">
        <v>0</v>
      </c>
      <c r="K883" s="180">
        <v>0</v>
      </c>
    </row>
    <row r="884" spans="1:11" x14ac:dyDescent="0.2">
      <c r="A884" t="s">
        <v>4319</v>
      </c>
      <c r="B884" s="180">
        <v>0</v>
      </c>
      <c r="C884" s="180">
        <v>0</v>
      </c>
      <c r="D884" s="180">
        <v>0</v>
      </c>
      <c r="E884" s="180">
        <v>0</v>
      </c>
      <c r="F884" s="180">
        <v>0</v>
      </c>
      <c r="G884" s="180">
        <v>0</v>
      </c>
      <c r="H884" s="180">
        <v>0</v>
      </c>
      <c r="I884" s="180">
        <v>0</v>
      </c>
      <c r="J884" s="180">
        <v>0</v>
      </c>
      <c r="K884" s="180">
        <v>0</v>
      </c>
    </row>
    <row r="885" spans="1:11" x14ac:dyDescent="0.2">
      <c r="A885" t="s">
        <v>4320</v>
      </c>
      <c r="B885" s="180">
        <v>0</v>
      </c>
      <c r="C885" s="180">
        <v>0</v>
      </c>
      <c r="D885" s="180">
        <v>0</v>
      </c>
      <c r="E885" s="180">
        <v>0</v>
      </c>
      <c r="F885" s="180">
        <v>0</v>
      </c>
      <c r="G885" s="180">
        <v>0</v>
      </c>
      <c r="H885" s="180">
        <v>0</v>
      </c>
      <c r="I885" s="180">
        <v>0</v>
      </c>
      <c r="J885" s="180">
        <v>0</v>
      </c>
      <c r="K885" s="180">
        <v>0</v>
      </c>
    </row>
    <row r="886" spans="1:11" x14ac:dyDescent="0.2">
      <c r="A886" t="s">
        <v>4321</v>
      </c>
      <c r="B886" s="180">
        <v>0</v>
      </c>
      <c r="C886" s="180">
        <v>0</v>
      </c>
      <c r="D886" s="180">
        <v>0</v>
      </c>
      <c r="E886" s="180">
        <v>0</v>
      </c>
      <c r="F886" s="180">
        <v>0</v>
      </c>
      <c r="G886" s="180">
        <v>0</v>
      </c>
      <c r="H886" s="180">
        <v>0</v>
      </c>
      <c r="I886" s="180">
        <v>0</v>
      </c>
      <c r="J886" s="180">
        <v>0</v>
      </c>
      <c r="K886" s="180">
        <v>0</v>
      </c>
    </row>
    <row r="887" spans="1:11" x14ac:dyDescent="0.2">
      <c r="A887" t="s">
        <v>4322</v>
      </c>
      <c r="B887" s="180">
        <v>0</v>
      </c>
      <c r="C887" s="180">
        <v>0</v>
      </c>
      <c r="D887" s="180">
        <v>0</v>
      </c>
      <c r="E887" s="180">
        <v>0</v>
      </c>
      <c r="F887" s="180">
        <v>0</v>
      </c>
      <c r="G887" s="180">
        <v>0</v>
      </c>
      <c r="H887" s="180">
        <v>0</v>
      </c>
      <c r="I887" s="180">
        <v>0</v>
      </c>
      <c r="J887" s="180">
        <v>0</v>
      </c>
      <c r="K887" s="180">
        <v>0</v>
      </c>
    </row>
    <row r="888" spans="1:11" x14ac:dyDescent="0.2">
      <c r="A888" t="s">
        <v>4323</v>
      </c>
      <c r="B888" s="180">
        <v>0</v>
      </c>
      <c r="C888" s="180">
        <v>0</v>
      </c>
      <c r="D888" s="180">
        <v>0</v>
      </c>
      <c r="E888" s="180">
        <v>0</v>
      </c>
      <c r="F888" s="180">
        <v>0</v>
      </c>
      <c r="G888" s="180">
        <v>0</v>
      </c>
      <c r="H888" s="180">
        <v>0</v>
      </c>
      <c r="I888" s="180">
        <v>0</v>
      </c>
      <c r="J888" s="180">
        <v>0</v>
      </c>
      <c r="K888" s="180">
        <v>0</v>
      </c>
    </row>
    <row r="889" spans="1:11" x14ac:dyDescent="0.2">
      <c r="A889" t="s">
        <v>4324</v>
      </c>
      <c r="B889" s="180">
        <v>0</v>
      </c>
      <c r="C889" s="180">
        <v>0</v>
      </c>
      <c r="D889" s="180">
        <v>0</v>
      </c>
      <c r="E889" s="180">
        <v>0</v>
      </c>
      <c r="F889" s="180">
        <v>0</v>
      </c>
      <c r="G889" s="180">
        <v>0</v>
      </c>
      <c r="H889" s="180">
        <v>0</v>
      </c>
      <c r="I889" s="180">
        <v>0</v>
      </c>
      <c r="J889" s="180">
        <v>0</v>
      </c>
      <c r="K889" s="180">
        <v>0</v>
      </c>
    </row>
    <row r="890" spans="1:11" x14ac:dyDescent="0.2">
      <c r="A890" t="s">
        <v>4325</v>
      </c>
      <c r="B890" s="180">
        <v>0</v>
      </c>
      <c r="C890" s="180">
        <v>0</v>
      </c>
      <c r="D890" s="180">
        <v>0</v>
      </c>
      <c r="E890" s="180">
        <v>0</v>
      </c>
      <c r="F890" s="180">
        <v>0</v>
      </c>
      <c r="G890" s="180">
        <v>0</v>
      </c>
      <c r="H890" s="180">
        <v>0</v>
      </c>
      <c r="I890" s="180">
        <v>0</v>
      </c>
      <c r="J890" s="180">
        <v>0</v>
      </c>
      <c r="K890" s="180">
        <v>0</v>
      </c>
    </row>
    <row r="891" spans="1:11" x14ac:dyDescent="0.2">
      <c r="A891" t="s">
        <v>4326</v>
      </c>
      <c r="B891" s="180">
        <v>0</v>
      </c>
      <c r="C891" s="180">
        <v>0</v>
      </c>
      <c r="D891" s="180">
        <v>0</v>
      </c>
      <c r="E891" s="180">
        <v>0</v>
      </c>
      <c r="F891" s="180">
        <v>0</v>
      </c>
      <c r="G891" s="180">
        <v>0</v>
      </c>
      <c r="H891" s="180">
        <v>0</v>
      </c>
      <c r="I891" s="180">
        <v>0</v>
      </c>
      <c r="J891" s="180">
        <v>0</v>
      </c>
      <c r="K891" s="180">
        <v>0</v>
      </c>
    </row>
    <row r="892" spans="1:11" x14ac:dyDescent="0.2">
      <c r="A892" t="s">
        <v>4327</v>
      </c>
      <c r="B892" s="180">
        <v>0</v>
      </c>
      <c r="C892" s="180">
        <v>0</v>
      </c>
      <c r="D892" s="180">
        <v>0</v>
      </c>
      <c r="E892" s="180">
        <v>0</v>
      </c>
      <c r="F892" s="180">
        <v>0</v>
      </c>
      <c r="G892" s="180">
        <v>0</v>
      </c>
      <c r="H892" s="180">
        <v>0</v>
      </c>
      <c r="I892" s="180">
        <v>0</v>
      </c>
      <c r="J892" s="180">
        <v>0</v>
      </c>
      <c r="K892" s="180">
        <v>0</v>
      </c>
    </row>
    <row r="893" spans="1:11" x14ac:dyDescent="0.2">
      <c r="A893" t="s">
        <v>4328</v>
      </c>
      <c r="B893" s="180">
        <v>0</v>
      </c>
      <c r="C893" s="180">
        <v>0</v>
      </c>
      <c r="D893" s="180">
        <v>0</v>
      </c>
      <c r="E893" s="180">
        <v>0</v>
      </c>
      <c r="F893" s="180">
        <v>0</v>
      </c>
      <c r="G893" s="180">
        <v>0</v>
      </c>
      <c r="H893" s="180">
        <v>0</v>
      </c>
      <c r="I893" s="180">
        <v>0</v>
      </c>
      <c r="J893" s="180">
        <v>0</v>
      </c>
      <c r="K893" s="180">
        <v>0</v>
      </c>
    </row>
    <row r="894" spans="1:11" x14ac:dyDescent="0.2">
      <c r="A894" t="s">
        <v>4329</v>
      </c>
      <c r="B894" s="180">
        <v>0</v>
      </c>
      <c r="C894" s="180">
        <v>0</v>
      </c>
      <c r="D894" s="180">
        <v>0</v>
      </c>
      <c r="E894" s="180">
        <v>0</v>
      </c>
      <c r="F894" s="180">
        <v>0</v>
      </c>
      <c r="G894" s="180">
        <v>0</v>
      </c>
      <c r="H894" s="180">
        <v>0</v>
      </c>
      <c r="I894" s="180">
        <v>0</v>
      </c>
      <c r="J894" s="180">
        <v>0</v>
      </c>
      <c r="K894" s="180">
        <v>0</v>
      </c>
    </row>
    <row r="895" spans="1:11" x14ac:dyDescent="0.2">
      <c r="A895" t="s">
        <v>4330</v>
      </c>
      <c r="B895" s="180">
        <v>0</v>
      </c>
      <c r="C895" s="180">
        <v>0</v>
      </c>
      <c r="D895" s="180">
        <v>0</v>
      </c>
      <c r="E895" s="180">
        <v>0</v>
      </c>
      <c r="F895" s="180">
        <v>0</v>
      </c>
      <c r="G895" s="180">
        <v>0</v>
      </c>
      <c r="H895" s="180">
        <v>0</v>
      </c>
      <c r="I895" s="180">
        <v>0</v>
      </c>
      <c r="J895" s="180">
        <v>0</v>
      </c>
      <c r="K895" s="180">
        <v>0</v>
      </c>
    </row>
    <row r="896" spans="1:11" x14ac:dyDescent="0.2">
      <c r="A896" t="s">
        <v>4331</v>
      </c>
      <c r="B896" s="180">
        <v>0</v>
      </c>
      <c r="C896" s="180">
        <v>0</v>
      </c>
      <c r="D896" s="180">
        <v>0</v>
      </c>
      <c r="E896" s="180">
        <v>0</v>
      </c>
      <c r="F896" s="180">
        <v>0</v>
      </c>
      <c r="G896" s="180">
        <v>0</v>
      </c>
      <c r="H896" s="180">
        <v>0</v>
      </c>
      <c r="I896" s="180">
        <v>0</v>
      </c>
      <c r="J896" s="180">
        <v>0</v>
      </c>
      <c r="K896" s="180">
        <v>0</v>
      </c>
    </row>
    <row r="897" spans="1:11" x14ac:dyDescent="0.2">
      <c r="A897" t="s">
        <v>4332</v>
      </c>
      <c r="B897" s="180">
        <v>0</v>
      </c>
      <c r="C897" s="180">
        <v>0</v>
      </c>
      <c r="D897" s="180">
        <v>0</v>
      </c>
      <c r="E897" s="180">
        <v>0</v>
      </c>
      <c r="F897" s="180">
        <v>0</v>
      </c>
      <c r="G897" s="180">
        <v>0</v>
      </c>
      <c r="H897" s="180">
        <v>0</v>
      </c>
      <c r="I897" s="180">
        <v>0</v>
      </c>
      <c r="J897" s="180">
        <v>0</v>
      </c>
      <c r="K897" s="180">
        <v>0</v>
      </c>
    </row>
    <row r="898" spans="1:11" x14ac:dyDescent="0.2">
      <c r="A898" t="s">
        <v>4333</v>
      </c>
      <c r="B898" s="180">
        <v>0</v>
      </c>
      <c r="C898" s="180">
        <v>0</v>
      </c>
      <c r="D898" s="180">
        <v>0</v>
      </c>
      <c r="E898" s="180">
        <v>0</v>
      </c>
      <c r="F898" s="180">
        <v>0</v>
      </c>
      <c r="G898" s="180">
        <v>0</v>
      </c>
      <c r="H898" s="180">
        <v>0</v>
      </c>
      <c r="I898" s="180">
        <v>0</v>
      </c>
      <c r="J898" s="180">
        <v>0</v>
      </c>
      <c r="K898" s="180">
        <v>0</v>
      </c>
    </row>
    <row r="899" spans="1:11" x14ac:dyDescent="0.2">
      <c r="A899" t="s">
        <v>4334</v>
      </c>
      <c r="B899" s="180">
        <v>0</v>
      </c>
      <c r="C899" s="180">
        <v>0</v>
      </c>
      <c r="D899" s="180">
        <v>0</v>
      </c>
      <c r="E899" s="180">
        <v>0</v>
      </c>
      <c r="F899" s="180">
        <v>0</v>
      </c>
      <c r="G899" s="180">
        <v>0</v>
      </c>
      <c r="H899" s="180">
        <v>0</v>
      </c>
      <c r="I899" s="180">
        <v>0</v>
      </c>
      <c r="J899" s="180">
        <v>0</v>
      </c>
      <c r="K899" s="180">
        <v>0</v>
      </c>
    </row>
    <row r="900" spans="1:11" x14ac:dyDescent="0.2">
      <c r="A900" t="s">
        <v>4335</v>
      </c>
      <c r="B900" s="180">
        <v>0</v>
      </c>
      <c r="C900" s="180">
        <v>0</v>
      </c>
      <c r="D900" s="180">
        <v>0</v>
      </c>
      <c r="E900" s="180">
        <v>0</v>
      </c>
      <c r="F900" s="180">
        <v>0</v>
      </c>
      <c r="G900" s="180">
        <v>0</v>
      </c>
      <c r="H900" s="180">
        <v>0</v>
      </c>
      <c r="I900" s="180">
        <v>0</v>
      </c>
      <c r="J900" s="180">
        <v>0</v>
      </c>
      <c r="K900" s="180">
        <v>0</v>
      </c>
    </row>
    <row r="901" spans="1:11" x14ac:dyDescent="0.2">
      <c r="A901" t="s">
        <v>4336</v>
      </c>
      <c r="B901" s="180">
        <v>0</v>
      </c>
      <c r="C901" s="180">
        <v>0</v>
      </c>
      <c r="D901" s="180">
        <v>0</v>
      </c>
      <c r="E901" s="180">
        <v>0</v>
      </c>
      <c r="F901" s="180">
        <v>0</v>
      </c>
      <c r="G901" s="180">
        <v>0</v>
      </c>
      <c r="H901" s="180">
        <v>0</v>
      </c>
      <c r="I901" s="180">
        <v>0</v>
      </c>
      <c r="J901" s="180">
        <v>0</v>
      </c>
      <c r="K901" s="180">
        <v>0</v>
      </c>
    </row>
    <row r="902" spans="1:11" x14ac:dyDescent="0.2">
      <c r="A902" t="s">
        <v>4337</v>
      </c>
      <c r="B902" s="180">
        <v>0</v>
      </c>
      <c r="C902" s="180">
        <v>0</v>
      </c>
      <c r="D902" s="180">
        <v>0</v>
      </c>
      <c r="E902" s="180">
        <v>0</v>
      </c>
      <c r="F902" s="180">
        <v>0</v>
      </c>
      <c r="G902" s="180">
        <v>0</v>
      </c>
      <c r="H902" s="180">
        <v>0</v>
      </c>
      <c r="I902" s="180">
        <v>0</v>
      </c>
      <c r="J902" s="180">
        <v>0</v>
      </c>
      <c r="K902" s="180">
        <v>0</v>
      </c>
    </row>
    <row r="903" spans="1:11" x14ac:dyDescent="0.2">
      <c r="A903" t="s">
        <v>4338</v>
      </c>
      <c r="B903" s="180">
        <v>0</v>
      </c>
      <c r="C903" s="180">
        <v>0</v>
      </c>
      <c r="D903" s="180">
        <v>0</v>
      </c>
      <c r="E903" s="180">
        <v>0</v>
      </c>
      <c r="F903" s="180">
        <v>0</v>
      </c>
      <c r="G903" s="180">
        <v>0</v>
      </c>
      <c r="H903" s="180">
        <v>0</v>
      </c>
      <c r="I903" s="180">
        <v>0</v>
      </c>
      <c r="J903" s="180">
        <v>0</v>
      </c>
      <c r="K903" s="180">
        <v>0</v>
      </c>
    </row>
    <row r="904" spans="1:11" x14ac:dyDescent="0.2">
      <c r="A904" t="s">
        <v>4339</v>
      </c>
      <c r="B904" s="180">
        <v>0</v>
      </c>
      <c r="C904" s="180">
        <v>0</v>
      </c>
      <c r="D904" s="180">
        <v>0</v>
      </c>
      <c r="E904" s="180">
        <v>0</v>
      </c>
      <c r="F904" s="180">
        <v>0</v>
      </c>
      <c r="G904" s="180">
        <v>0</v>
      </c>
      <c r="H904" s="180">
        <v>0</v>
      </c>
      <c r="I904" s="180">
        <v>0</v>
      </c>
      <c r="J904" s="180">
        <v>0</v>
      </c>
      <c r="K904" s="180">
        <v>0</v>
      </c>
    </row>
    <row r="905" spans="1:11" x14ac:dyDescent="0.2">
      <c r="A905" t="s">
        <v>4340</v>
      </c>
      <c r="B905" s="180">
        <v>0</v>
      </c>
      <c r="C905" s="180">
        <v>0</v>
      </c>
      <c r="D905" s="180">
        <v>0</v>
      </c>
      <c r="E905" s="180">
        <v>0</v>
      </c>
      <c r="F905" s="180">
        <v>0</v>
      </c>
      <c r="G905" s="180">
        <v>0</v>
      </c>
      <c r="H905" s="180">
        <v>0</v>
      </c>
      <c r="I905" s="180">
        <v>0</v>
      </c>
      <c r="J905" s="180">
        <v>0</v>
      </c>
      <c r="K905" s="180">
        <v>0</v>
      </c>
    </row>
    <row r="906" spans="1:11" x14ac:dyDescent="0.2">
      <c r="A906" t="s">
        <v>4341</v>
      </c>
      <c r="B906" s="180">
        <v>0</v>
      </c>
      <c r="C906" s="180">
        <v>0</v>
      </c>
      <c r="D906" s="180">
        <v>0</v>
      </c>
      <c r="E906" s="180">
        <v>0</v>
      </c>
      <c r="F906" s="180">
        <v>0</v>
      </c>
      <c r="G906" s="180">
        <v>0</v>
      </c>
      <c r="H906" s="180">
        <v>0</v>
      </c>
      <c r="I906" s="180">
        <v>0</v>
      </c>
      <c r="J906" s="180">
        <v>0</v>
      </c>
      <c r="K906" s="180">
        <v>0</v>
      </c>
    </row>
    <row r="907" spans="1:11" x14ac:dyDescent="0.2">
      <c r="A907" t="s">
        <v>4342</v>
      </c>
      <c r="B907" s="180">
        <v>0</v>
      </c>
      <c r="C907" s="180">
        <v>0</v>
      </c>
      <c r="D907" s="180">
        <v>0</v>
      </c>
      <c r="E907" s="180">
        <v>0</v>
      </c>
      <c r="F907" s="180">
        <v>0</v>
      </c>
      <c r="G907" s="180">
        <v>0</v>
      </c>
      <c r="H907" s="180">
        <v>0</v>
      </c>
      <c r="I907" s="180">
        <v>0</v>
      </c>
      <c r="J907" s="180">
        <v>0</v>
      </c>
      <c r="K907" s="180">
        <v>0</v>
      </c>
    </row>
    <row r="908" spans="1:11" x14ac:dyDescent="0.2">
      <c r="A908" t="s">
        <v>4343</v>
      </c>
      <c r="B908" s="180">
        <v>0</v>
      </c>
      <c r="C908" s="180">
        <v>0</v>
      </c>
      <c r="D908" s="180">
        <v>0</v>
      </c>
      <c r="E908" s="180">
        <v>0</v>
      </c>
      <c r="F908" s="180">
        <v>0</v>
      </c>
      <c r="G908" s="180">
        <v>0</v>
      </c>
      <c r="H908" s="180">
        <v>0</v>
      </c>
      <c r="I908" s="180">
        <v>0</v>
      </c>
      <c r="J908" s="180">
        <v>0</v>
      </c>
      <c r="K908" s="180">
        <v>0</v>
      </c>
    </row>
    <row r="909" spans="1:11" x14ac:dyDescent="0.2">
      <c r="A909" t="s">
        <v>1728</v>
      </c>
      <c r="B909" s="180">
        <v>0</v>
      </c>
      <c r="C909" s="180">
        <v>0</v>
      </c>
      <c r="D909" s="180">
        <v>0</v>
      </c>
      <c r="E909" s="180">
        <v>0</v>
      </c>
      <c r="F909" s="180">
        <v>0</v>
      </c>
      <c r="G909" s="180">
        <v>0</v>
      </c>
      <c r="H909" s="180">
        <v>0</v>
      </c>
      <c r="I909" s="180">
        <v>0</v>
      </c>
      <c r="J909" s="180">
        <v>0</v>
      </c>
      <c r="K909" s="180">
        <v>0</v>
      </c>
    </row>
    <row r="910" spans="1:11" x14ac:dyDescent="0.2">
      <c r="A910" t="s">
        <v>1730</v>
      </c>
      <c r="B910" s="180">
        <v>2</v>
      </c>
      <c r="C910" s="180">
        <v>18</v>
      </c>
      <c r="D910" s="180">
        <v>1</v>
      </c>
      <c r="E910" s="180">
        <v>0</v>
      </c>
      <c r="F910" s="180">
        <v>57</v>
      </c>
      <c r="G910" s="180">
        <v>0</v>
      </c>
      <c r="H910" s="180">
        <v>34</v>
      </c>
      <c r="I910" s="180">
        <v>173</v>
      </c>
      <c r="J910" s="180">
        <v>0</v>
      </c>
      <c r="K910" s="180">
        <v>0</v>
      </c>
    </row>
    <row r="911" spans="1:11" x14ac:dyDescent="0.2">
      <c r="A911" t="s">
        <v>1733</v>
      </c>
      <c r="B911" s="180">
        <v>0</v>
      </c>
      <c r="C911" s="180">
        <v>0</v>
      </c>
      <c r="D911" s="180">
        <v>0</v>
      </c>
      <c r="E911" s="180">
        <v>0</v>
      </c>
      <c r="F911" s="180">
        <v>0</v>
      </c>
      <c r="G911" s="180">
        <v>0</v>
      </c>
      <c r="H911" s="180">
        <v>0</v>
      </c>
      <c r="I911" s="180">
        <v>0</v>
      </c>
      <c r="J911" s="180">
        <v>0</v>
      </c>
      <c r="K911" s="180">
        <v>0</v>
      </c>
    </row>
    <row r="912" spans="1:11" x14ac:dyDescent="0.2">
      <c r="A912" t="s">
        <v>1738</v>
      </c>
      <c r="B912" s="180">
        <v>0</v>
      </c>
      <c r="C912" s="180">
        <v>0</v>
      </c>
      <c r="D912" s="180">
        <v>0</v>
      </c>
      <c r="E912" s="180">
        <v>0</v>
      </c>
      <c r="F912" s="180">
        <v>0</v>
      </c>
      <c r="G912" s="180">
        <v>0</v>
      </c>
      <c r="H912" s="180">
        <v>0</v>
      </c>
      <c r="I912" s="180">
        <v>0</v>
      </c>
      <c r="J912" s="180">
        <v>0</v>
      </c>
      <c r="K912" s="180">
        <v>0</v>
      </c>
    </row>
    <row r="913" spans="1:11" x14ac:dyDescent="0.2">
      <c r="A913" t="s">
        <v>1744</v>
      </c>
      <c r="B913" s="180">
        <v>0</v>
      </c>
      <c r="C913" s="180">
        <v>0</v>
      </c>
      <c r="D913" s="180">
        <v>0</v>
      </c>
      <c r="E913" s="180">
        <v>0</v>
      </c>
      <c r="F913" s="180">
        <v>0</v>
      </c>
      <c r="G913" s="180">
        <v>0</v>
      </c>
      <c r="H913" s="180">
        <v>0</v>
      </c>
      <c r="I913" s="180">
        <v>0</v>
      </c>
      <c r="J913" s="180">
        <v>0</v>
      </c>
      <c r="K913" s="180">
        <v>0</v>
      </c>
    </row>
    <row r="914" spans="1:11" x14ac:dyDescent="0.2">
      <c r="A914" t="s">
        <v>1747</v>
      </c>
      <c r="B914" s="180">
        <v>0</v>
      </c>
      <c r="C914" s="180">
        <v>0</v>
      </c>
      <c r="D914" s="180">
        <v>0</v>
      </c>
      <c r="E914" s="180">
        <v>0</v>
      </c>
      <c r="F914" s="180">
        <v>0</v>
      </c>
      <c r="G914" s="180">
        <v>0</v>
      </c>
      <c r="H914" s="180">
        <v>0</v>
      </c>
      <c r="I914" s="180">
        <v>0</v>
      </c>
      <c r="J914" s="180">
        <v>0</v>
      </c>
      <c r="K914" s="180">
        <v>0</v>
      </c>
    </row>
    <row r="915" spans="1:11" x14ac:dyDescent="0.2">
      <c r="A915" t="s">
        <v>1751</v>
      </c>
      <c r="B915" s="180">
        <v>0</v>
      </c>
      <c r="C915" s="180">
        <v>0</v>
      </c>
      <c r="D915" s="180">
        <v>0</v>
      </c>
      <c r="E915" s="180">
        <v>0</v>
      </c>
      <c r="F915" s="180">
        <v>0</v>
      </c>
      <c r="G915" s="180">
        <v>0</v>
      </c>
      <c r="H915" s="180">
        <v>0</v>
      </c>
      <c r="I915" s="180">
        <v>0</v>
      </c>
      <c r="J915" s="180">
        <v>0</v>
      </c>
      <c r="K915" s="180">
        <v>0</v>
      </c>
    </row>
    <row r="916" spans="1:11" x14ac:dyDescent="0.2">
      <c r="A916" t="s">
        <v>1755</v>
      </c>
      <c r="B916" s="180">
        <v>0</v>
      </c>
      <c r="C916" s="180">
        <v>4</v>
      </c>
      <c r="D916" s="180">
        <v>0</v>
      </c>
      <c r="E916" s="180">
        <v>0</v>
      </c>
      <c r="F916" s="180">
        <v>5</v>
      </c>
      <c r="G916" s="180">
        <v>0</v>
      </c>
      <c r="H916" s="180">
        <v>2</v>
      </c>
      <c r="I916" s="180">
        <v>22</v>
      </c>
      <c r="J916" s="180">
        <v>0</v>
      </c>
      <c r="K916" s="180">
        <v>0</v>
      </c>
    </row>
    <row r="917" spans="1:11" x14ac:dyDescent="0.2">
      <c r="A917" t="s">
        <v>1757</v>
      </c>
      <c r="B917" s="180">
        <v>0</v>
      </c>
      <c r="C917" s="180">
        <v>3</v>
      </c>
      <c r="D917" s="180">
        <v>0</v>
      </c>
      <c r="E917" s="180">
        <v>0</v>
      </c>
      <c r="F917" s="180">
        <v>6</v>
      </c>
      <c r="G917" s="180">
        <v>0</v>
      </c>
      <c r="H917" s="180">
        <v>3</v>
      </c>
      <c r="I917" s="180">
        <v>14</v>
      </c>
      <c r="J917" s="180">
        <v>0</v>
      </c>
      <c r="K917" s="180">
        <v>0</v>
      </c>
    </row>
    <row r="918" spans="1:11" x14ac:dyDescent="0.2">
      <c r="A918" t="s">
        <v>1761</v>
      </c>
      <c r="B918" s="180">
        <v>0</v>
      </c>
      <c r="C918" s="180">
        <v>0</v>
      </c>
      <c r="D918" s="180">
        <v>0</v>
      </c>
      <c r="E918" s="180">
        <v>0</v>
      </c>
      <c r="F918" s="180">
        <v>0</v>
      </c>
      <c r="G918" s="180">
        <v>0</v>
      </c>
      <c r="H918" s="180">
        <v>0</v>
      </c>
      <c r="I918" s="180">
        <v>0</v>
      </c>
      <c r="J918" s="180">
        <v>0</v>
      </c>
      <c r="K918" s="180">
        <v>0</v>
      </c>
    </row>
    <row r="919" spans="1:11" x14ac:dyDescent="0.2">
      <c r="A919" t="s">
        <v>1764</v>
      </c>
      <c r="B919" s="180">
        <v>0</v>
      </c>
      <c r="C919" s="180">
        <v>0</v>
      </c>
      <c r="D919" s="180">
        <v>0</v>
      </c>
      <c r="E919" s="180">
        <v>0</v>
      </c>
      <c r="F919" s="180">
        <v>0</v>
      </c>
      <c r="G919" s="180">
        <v>0</v>
      </c>
      <c r="H919" s="180">
        <v>0</v>
      </c>
      <c r="I919" s="180">
        <v>0</v>
      </c>
      <c r="J919" s="180">
        <v>0</v>
      </c>
      <c r="K919" s="180">
        <v>0</v>
      </c>
    </row>
    <row r="920" spans="1:11" x14ac:dyDescent="0.2">
      <c r="A920" t="s">
        <v>1770</v>
      </c>
      <c r="B920" s="180">
        <v>5</v>
      </c>
      <c r="C920" s="180">
        <v>528</v>
      </c>
      <c r="D920" s="180">
        <v>3</v>
      </c>
      <c r="E920" s="180">
        <v>0</v>
      </c>
      <c r="F920" s="180">
        <v>96</v>
      </c>
      <c r="G920" s="180">
        <v>0</v>
      </c>
      <c r="H920" s="180">
        <v>51</v>
      </c>
      <c r="I920" s="180">
        <v>2006</v>
      </c>
      <c r="J920" s="180">
        <v>0</v>
      </c>
      <c r="K920" s="180">
        <v>0</v>
      </c>
    </row>
    <row r="921" spans="1:11" x14ac:dyDescent="0.2">
      <c r="A921" t="s">
        <v>1772</v>
      </c>
      <c r="B921" s="180">
        <v>2</v>
      </c>
      <c r="C921" s="180">
        <v>209</v>
      </c>
      <c r="D921" s="180">
        <v>1</v>
      </c>
      <c r="E921" s="180">
        <v>0</v>
      </c>
      <c r="F921" s="180">
        <v>42</v>
      </c>
      <c r="G921" s="180">
        <v>0</v>
      </c>
      <c r="H921" s="180">
        <v>22</v>
      </c>
      <c r="I921" s="180">
        <v>871</v>
      </c>
      <c r="J921" s="180">
        <v>0</v>
      </c>
      <c r="K921" s="180">
        <v>0</v>
      </c>
    </row>
    <row r="922" spans="1:11" x14ac:dyDescent="0.2">
      <c r="A922" t="s">
        <v>1774</v>
      </c>
      <c r="B922" s="180">
        <v>1</v>
      </c>
      <c r="C922" s="180">
        <v>43</v>
      </c>
      <c r="D922" s="180">
        <v>1</v>
      </c>
      <c r="E922" s="180">
        <v>0</v>
      </c>
      <c r="F922" s="180">
        <v>8</v>
      </c>
      <c r="G922" s="180">
        <v>0</v>
      </c>
      <c r="H922" s="180">
        <v>4</v>
      </c>
      <c r="I922" s="180">
        <v>153</v>
      </c>
      <c r="J922" s="180">
        <v>0</v>
      </c>
      <c r="K922" s="180">
        <v>0</v>
      </c>
    </row>
    <row r="923" spans="1:11" x14ac:dyDescent="0.2">
      <c r="A923" t="s">
        <v>1777</v>
      </c>
      <c r="B923" s="180">
        <v>0</v>
      </c>
      <c r="C923" s="180">
        <v>0</v>
      </c>
      <c r="D923" s="180">
        <v>0</v>
      </c>
      <c r="E923" s="180">
        <v>0</v>
      </c>
      <c r="F923" s="180">
        <v>0</v>
      </c>
      <c r="G923" s="180">
        <v>0</v>
      </c>
      <c r="H923" s="180">
        <v>0</v>
      </c>
      <c r="I923" s="180">
        <v>0</v>
      </c>
      <c r="J923" s="180">
        <v>0</v>
      </c>
      <c r="K923" s="180">
        <v>0</v>
      </c>
    </row>
    <row r="924" spans="1:11" x14ac:dyDescent="0.2">
      <c r="A924" t="s">
        <v>1782</v>
      </c>
      <c r="B924" s="180">
        <v>0</v>
      </c>
      <c r="C924" s="180">
        <v>0</v>
      </c>
      <c r="D924" s="180">
        <v>0</v>
      </c>
      <c r="E924" s="180">
        <v>0</v>
      </c>
      <c r="F924" s="180">
        <v>0</v>
      </c>
      <c r="G924" s="180">
        <v>0</v>
      </c>
      <c r="H924" s="180">
        <v>0</v>
      </c>
      <c r="I924" s="180">
        <v>0</v>
      </c>
      <c r="J924" s="180">
        <v>0</v>
      </c>
      <c r="K924" s="180">
        <v>0</v>
      </c>
    </row>
    <row r="925" spans="1:11" x14ac:dyDescent="0.2">
      <c r="A925" t="s">
        <v>1274</v>
      </c>
      <c r="B925" s="180">
        <v>0</v>
      </c>
      <c r="C925" s="180">
        <v>0</v>
      </c>
      <c r="D925" s="180">
        <v>0</v>
      </c>
      <c r="E925" s="180">
        <v>0</v>
      </c>
      <c r="F925" s="180">
        <v>0</v>
      </c>
      <c r="G925" s="180">
        <v>0</v>
      </c>
      <c r="H925" s="180">
        <v>0</v>
      </c>
      <c r="I925" s="180">
        <v>0</v>
      </c>
      <c r="J925" s="180">
        <v>0</v>
      </c>
      <c r="K925" s="180">
        <v>0</v>
      </c>
    </row>
    <row r="926" spans="1:11" x14ac:dyDescent="0.2">
      <c r="A926" t="s">
        <v>1277</v>
      </c>
      <c r="B926" s="180">
        <v>0</v>
      </c>
      <c r="C926" s="180">
        <v>1</v>
      </c>
      <c r="D926" s="180">
        <v>0</v>
      </c>
      <c r="E926" s="180">
        <v>0</v>
      </c>
      <c r="F926" s="180">
        <v>1</v>
      </c>
      <c r="G926" s="180">
        <v>0</v>
      </c>
      <c r="H926" s="180">
        <v>1</v>
      </c>
      <c r="I926" s="180">
        <v>4</v>
      </c>
      <c r="J926" s="180">
        <v>0</v>
      </c>
      <c r="K926" s="180">
        <v>0</v>
      </c>
    </row>
    <row r="927" spans="1:11" x14ac:dyDescent="0.2">
      <c r="A927" t="s">
        <v>1798</v>
      </c>
      <c r="B927" s="180">
        <v>0</v>
      </c>
      <c r="C927" s="180">
        <v>0</v>
      </c>
      <c r="D927" s="180">
        <v>0</v>
      </c>
      <c r="E927" s="180">
        <v>0</v>
      </c>
      <c r="F927" s="180">
        <v>0</v>
      </c>
      <c r="G927" s="180">
        <v>0</v>
      </c>
      <c r="H927" s="180">
        <v>0</v>
      </c>
      <c r="I927" s="180">
        <v>0</v>
      </c>
      <c r="J927" s="180">
        <v>0</v>
      </c>
      <c r="K927" s="180">
        <v>0</v>
      </c>
    </row>
    <row r="928" spans="1:11" x14ac:dyDescent="0.2">
      <c r="A928" t="s">
        <v>1803</v>
      </c>
      <c r="B928" s="180">
        <v>0</v>
      </c>
      <c r="C928" s="180">
        <v>0</v>
      </c>
      <c r="D928" s="180">
        <v>0</v>
      </c>
      <c r="E928" s="180">
        <v>0</v>
      </c>
      <c r="F928" s="180">
        <v>0</v>
      </c>
      <c r="G928" s="180">
        <v>0</v>
      </c>
      <c r="H928" s="180">
        <v>0</v>
      </c>
      <c r="I928" s="180">
        <v>0</v>
      </c>
      <c r="J928" s="180">
        <v>0</v>
      </c>
      <c r="K928" s="180">
        <v>0</v>
      </c>
    </row>
    <row r="929" spans="1:11" x14ac:dyDescent="0.2">
      <c r="A929" t="s">
        <v>1808</v>
      </c>
      <c r="B929" s="180">
        <v>0</v>
      </c>
      <c r="C929" s="180">
        <v>0</v>
      </c>
      <c r="D929" s="180">
        <v>0</v>
      </c>
      <c r="E929" s="180">
        <v>0</v>
      </c>
      <c r="F929" s="180">
        <v>0</v>
      </c>
      <c r="G929" s="180">
        <v>0</v>
      </c>
      <c r="H929" s="180">
        <v>0</v>
      </c>
      <c r="I929" s="180">
        <v>0</v>
      </c>
      <c r="J929" s="180">
        <v>0</v>
      </c>
      <c r="K929" s="180">
        <v>0</v>
      </c>
    </row>
    <row r="930" spans="1:11" x14ac:dyDescent="0.2">
      <c r="A930" t="s">
        <v>1813</v>
      </c>
      <c r="B930" s="180">
        <v>0</v>
      </c>
      <c r="C930" s="180">
        <v>0</v>
      </c>
      <c r="D930" s="180">
        <v>0</v>
      </c>
      <c r="E930" s="180">
        <v>0</v>
      </c>
      <c r="F930" s="180">
        <v>0</v>
      </c>
      <c r="G930" s="180">
        <v>0</v>
      </c>
      <c r="H930" s="180">
        <v>0</v>
      </c>
      <c r="I930" s="180">
        <v>0</v>
      </c>
      <c r="J930" s="180">
        <v>0</v>
      </c>
      <c r="K930" s="180">
        <v>0</v>
      </c>
    </row>
    <row r="931" spans="1:11" x14ac:dyDescent="0.2">
      <c r="A931" t="s">
        <v>1819</v>
      </c>
      <c r="B931" s="180">
        <v>0</v>
      </c>
      <c r="C931" s="180">
        <v>0</v>
      </c>
      <c r="D931" s="180">
        <v>0</v>
      </c>
      <c r="E931" s="180">
        <v>0</v>
      </c>
      <c r="F931" s="180">
        <v>0</v>
      </c>
      <c r="G931" s="180">
        <v>0</v>
      </c>
      <c r="H931" s="180">
        <v>0</v>
      </c>
      <c r="I931" s="180">
        <v>0</v>
      </c>
      <c r="J931" s="180">
        <v>0</v>
      </c>
      <c r="K931" s="180">
        <v>0</v>
      </c>
    </row>
    <row r="932" spans="1:11" x14ac:dyDescent="0.2">
      <c r="A932" t="s">
        <v>1826</v>
      </c>
      <c r="B932" s="180">
        <v>0</v>
      </c>
      <c r="C932" s="180">
        <v>0</v>
      </c>
      <c r="D932" s="180">
        <v>0</v>
      </c>
      <c r="E932" s="180">
        <v>0</v>
      </c>
      <c r="F932" s="180">
        <v>0</v>
      </c>
      <c r="G932" s="180">
        <v>0</v>
      </c>
      <c r="H932" s="180">
        <v>0</v>
      </c>
      <c r="I932" s="180">
        <v>0</v>
      </c>
      <c r="J932" s="180">
        <v>0</v>
      </c>
      <c r="K932" s="180">
        <v>0</v>
      </c>
    </row>
    <row r="933" spans="1:11" x14ac:dyDescent="0.2">
      <c r="A933" t="s">
        <v>1830</v>
      </c>
      <c r="B933" s="180">
        <v>0</v>
      </c>
      <c r="C933" s="180">
        <v>0</v>
      </c>
      <c r="D933" s="180">
        <v>0</v>
      </c>
      <c r="E933" s="180">
        <v>0</v>
      </c>
      <c r="F933" s="180">
        <v>0</v>
      </c>
      <c r="G933" s="180">
        <v>0</v>
      </c>
      <c r="H933" s="180">
        <v>0</v>
      </c>
      <c r="I933" s="180">
        <v>0</v>
      </c>
      <c r="J933" s="180">
        <v>0</v>
      </c>
      <c r="K933" s="180">
        <v>0</v>
      </c>
    </row>
    <row r="934" spans="1:11" x14ac:dyDescent="0.2">
      <c r="A934" t="s">
        <v>1836</v>
      </c>
      <c r="B934" s="180">
        <v>0</v>
      </c>
      <c r="C934" s="180">
        <v>0</v>
      </c>
      <c r="D934" s="180">
        <v>0</v>
      </c>
      <c r="E934" s="180">
        <v>0</v>
      </c>
      <c r="F934" s="180">
        <v>0</v>
      </c>
      <c r="G934" s="180">
        <v>0</v>
      </c>
      <c r="H934" s="180">
        <v>0</v>
      </c>
      <c r="I934" s="180">
        <v>0</v>
      </c>
      <c r="J934" s="180">
        <v>0</v>
      </c>
      <c r="K934" s="180">
        <v>0</v>
      </c>
    </row>
    <row r="935" spans="1:11" x14ac:dyDescent="0.2">
      <c r="A935" t="s">
        <v>1841</v>
      </c>
      <c r="B935" s="180">
        <v>0</v>
      </c>
      <c r="C935" s="180">
        <v>0</v>
      </c>
      <c r="D935" s="180">
        <v>0</v>
      </c>
      <c r="E935" s="180">
        <v>0</v>
      </c>
      <c r="F935" s="180">
        <v>0</v>
      </c>
      <c r="G935" s="180">
        <v>0</v>
      </c>
      <c r="H935" s="180">
        <v>0</v>
      </c>
      <c r="I935" s="180">
        <v>0</v>
      </c>
      <c r="J935" s="180">
        <v>0</v>
      </c>
      <c r="K935" s="180">
        <v>0</v>
      </c>
    </row>
    <row r="936" spans="1:11" x14ac:dyDescent="0.2">
      <c r="A936" t="s">
        <v>1842</v>
      </c>
      <c r="B936" s="180">
        <v>6</v>
      </c>
      <c r="C936" s="180">
        <v>368</v>
      </c>
      <c r="D936" s="180">
        <v>5</v>
      </c>
      <c r="E936" s="180">
        <v>0</v>
      </c>
      <c r="F936" s="180">
        <v>135</v>
      </c>
      <c r="G936" s="180">
        <v>0</v>
      </c>
      <c r="H936" s="180">
        <v>71</v>
      </c>
      <c r="I936" s="180">
        <v>1638</v>
      </c>
      <c r="J936" s="180">
        <v>0</v>
      </c>
      <c r="K936" s="180">
        <v>0</v>
      </c>
    </row>
    <row r="937" spans="1:11" x14ac:dyDescent="0.2">
      <c r="A937" t="s">
        <v>1843</v>
      </c>
      <c r="B937" s="180">
        <v>0</v>
      </c>
      <c r="C937" s="180">
        <v>0</v>
      </c>
      <c r="D937" s="180">
        <v>0</v>
      </c>
      <c r="E937" s="180">
        <v>0</v>
      </c>
      <c r="F937" s="180">
        <v>0</v>
      </c>
      <c r="G937" s="180">
        <v>0</v>
      </c>
      <c r="H937" s="180">
        <v>0</v>
      </c>
      <c r="I937" s="180">
        <v>0</v>
      </c>
      <c r="J937" s="180">
        <v>0</v>
      </c>
      <c r="K937" s="180">
        <v>0</v>
      </c>
    </row>
    <row r="938" spans="1:11" x14ac:dyDescent="0.2">
      <c r="A938" t="s">
        <v>1846</v>
      </c>
      <c r="B938" s="180">
        <v>0</v>
      </c>
      <c r="C938" s="180">
        <v>0</v>
      </c>
      <c r="D938" s="180">
        <v>0</v>
      </c>
      <c r="E938" s="180">
        <v>0</v>
      </c>
      <c r="F938" s="180">
        <v>0</v>
      </c>
      <c r="G938" s="180">
        <v>0</v>
      </c>
      <c r="H938" s="180">
        <v>0</v>
      </c>
      <c r="I938" s="180">
        <v>0</v>
      </c>
      <c r="J938" s="180">
        <v>0</v>
      </c>
      <c r="K938" s="180">
        <v>0</v>
      </c>
    </row>
    <row r="939" spans="1:11" x14ac:dyDescent="0.2">
      <c r="A939" t="s">
        <v>1851</v>
      </c>
      <c r="B939" s="180">
        <v>0</v>
      </c>
      <c r="C939" s="180">
        <v>5</v>
      </c>
      <c r="D939" s="180">
        <v>1</v>
      </c>
      <c r="E939" s="180">
        <v>0</v>
      </c>
      <c r="F939" s="180">
        <v>8</v>
      </c>
      <c r="G939" s="180">
        <v>0</v>
      </c>
      <c r="H939" s="180">
        <v>4</v>
      </c>
      <c r="I939" s="180">
        <v>24</v>
      </c>
      <c r="J939" s="180">
        <v>0</v>
      </c>
      <c r="K939" s="180">
        <v>0</v>
      </c>
    </row>
    <row r="940" spans="1:11" x14ac:dyDescent="0.2">
      <c r="A940" t="s">
        <v>1857</v>
      </c>
      <c r="B940" s="180">
        <v>0</v>
      </c>
      <c r="C940" s="180">
        <v>0</v>
      </c>
      <c r="D940" s="180">
        <v>0</v>
      </c>
      <c r="E940" s="180">
        <v>0</v>
      </c>
      <c r="F940" s="180">
        <v>0</v>
      </c>
      <c r="G940" s="180">
        <v>0</v>
      </c>
      <c r="H940" s="180">
        <v>0</v>
      </c>
      <c r="I940" s="180">
        <v>0</v>
      </c>
      <c r="J940" s="180">
        <v>0</v>
      </c>
      <c r="K940" s="180">
        <v>0</v>
      </c>
    </row>
    <row r="941" spans="1:11" x14ac:dyDescent="0.2">
      <c r="A941" t="s">
        <v>1862</v>
      </c>
      <c r="B941" s="180">
        <v>0</v>
      </c>
      <c r="C941" s="180">
        <v>0</v>
      </c>
      <c r="D941" s="180">
        <v>0</v>
      </c>
      <c r="E941" s="180">
        <v>0</v>
      </c>
      <c r="F941" s="180">
        <v>0</v>
      </c>
      <c r="G941" s="180">
        <v>0</v>
      </c>
      <c r="H941" s="180">
        <v>0</v>
      </c>
      <c r="I941" s="180">
        <v>0</v>
      </c>
      <c r="J941" s="180">
        <v>0</v>
      </c>
      <c r="K941" s="180">
        <v>0</v>
      </c>
    </row>
    <row r="942" spans="1:11" x14ac:dyDescent="0.2">
      <c r="A942" t="s">
        <v>1867</v>
      </c>
      <c r="B942" s="180">
        <v>0</v>
      </c>
      <c r="C942" s="180">
        <v>0</v>
      </c>
      <c r="D942" s="180">
        <v>0</v>
      </c>
      <c r="E942" s="180">
        <v>0</v>
      </c>
      <c r="F942" s="180">
        <v>0</v>
      </c>
      <c r="G942" s="180">
        <v>0</v>
      </c>
      <c r="H942" s="180">
        <v>0</v>
      </c>
      <c r="I942" s="180">
        <v>0</v>
      </c>
      <c r="J942" s="180">
        <v>0</v>
      </c>
      <c r="K942" s="180">
        <v>0</v>
      </c>
    </row>
    <row r="943" spans="1:11" x14ac:dyDescent="0.2">
      <c r="A943" t="s">
        <v>1870</v>
      </c>
      <c r="B943" s="180">
        <v>0</v>
      </c>
      <c r="C943" s="180">
        <v>0</v>
      </c>
      <c r="D943" s="180">
        <v>0</v>
      </c>
      <c r="E943" s="180">
        <v>0</v>
      </c>
      <c r="F943" s="180">
        <v>0</v>
      </c>
      <c r="G943" s="180">
        <v>0</v>
      </c>
      <c r="H943" s="180">
        <v>0</v>
      </c>
      <c r="I943" s="180">
        <v>0</v>
      </c>
      <c r="J943" s="180">
        <v>0</v>
      </c>
      <c r="K943" s="180">
        <v>0</v>
      </c>
    </row>
    <row r="944" spans="1:11" x14ac:dyDescent="0.2">
      <c r="A944" t="s">
        <v>1874</v>
      </c>
      <c r="B944" s="180">
        <v>0</v>
      </c>
      <c r="C944" s="180">
        <v>9</v>
      </c>
      <c r="D944" s="180">
        <v>0</v>
      </c>
      <c r="E944" s="180">
        <v>0</v>
      </c>
      <c r="F944" s="180">
        <v>3</v>
      </c>
      <c r="G944" s="180">
        <v>0</v>
      </c>
      <c r="H944" s="180">
        <v>2</v>
      </c>
      <c r="I944" s="180">
        <v>38</v>
      </c>
      <c r="J944" s="180">
        <v>0</v>
      </c>
      <c r="K944" s="180">
        <v>0</v>
      </c>
    </row>
    <row r="945" spans="1:11" x14ac:dyDescent="0.2">
      <c r="A945" t="s">
        <v>1876</v>
      </c>
      <c r="B945" s="180">
        <v>0</v>
      </c>
      <c r="C945" s="180">
        <v>0</v>
      </c>
      <c r="D945" s="180">
        <v>0</v>
      </c>
      <c r="E945" s="180">
        <v>0</v>
      </c>
      <c r="F945" s="180">
        <v>0</v>
      </c>
      <c r="G945" s="180">
        <v>0</v>
      </c>
      <c r="H945" s="180">
        <v>0</v>
      </c>
      <c r="I945" s="180">
        <v>0</v>
      </c>
      <c r="J945" s="180">
        <v>0</v>
      </c>
      <c r="K945" s="180">
        <v>0</v>
      </c>
    </row>
    <row r="946" spans="1:11" x14ac:dyDescent="0.2">
      <c r="A946" t="s">
        <v>1881</v>
      </c>
      <c r="B946" s="180">
        <v>0</v>
      </c>
      <c r="C946" s="180">
        <v>0</v>
      </c>
      <c r="D946" s="180">
        <v>0</v>
      </c>
      <c r="E946" s="180">
        <v>0</v>
      </c>
      <c r="F946" s="180">
        <v>0</v>
      </c>
      <c r="G946" s="180">
        <v>0</v>
      </c>
      <c r="H946" s="180">
        <v>0</v>
      </c>
      <c r="I946" s="180">
        <v>0</v>
      </c>
      <c r="J946" s="180">
        <v>0</v>
      </c>
      <c r="K946" s="180">
        <v>0</v>
      </c>
    </row>
    <row r="947" spans="1:11" x14ac:dyDescent="0.2">
      <c r="A947" t="s">
        <v>1885</v>
      </c>
      <c r="B947" s="180">
        <v>19</v>
      </c>
      <c r="C947" s="180">
        <v>266</v>
      </c>
      <c r="D947" s="180">
        <v>5</v>
      </c>
      <c r="E947" s="180">
        <v>0</v>
      </c>
      <c r="F947" s="180">
        <v>369</v>
      </c>
      <c r="G947" s="180">
        <v>0</v>
      </c>
      <c r="H947" s="180">
        <v>194</v>
      </c>
      <c r="I947" s="180">
        <v>1087</v>
      </c>
      <c r="J947" s="180">
        <v>0</v>
      </c>
      <c r="K947" s="180">
        <v>0</v>
      </c>
    </row>
    <row r="948" spans="1:11" x14ac:dyDescent="0.2">
      <c r="A948" t="s">
        <v>1887</v>
      </c>
      <c r="B948" s="180">
        <v>0</v>
      </c>
      <c r="C948" s="37">
        <v>1</v>
      </c>
      <c r="D948" s="180">
        <v>0</v>
      </c>
      <c r="E948" s="180">
        <v>0</v>
      </c>
      <c r="F948" s="180">
        <v>6</v>
      </c>
      <c r="G948" s="180">
        <v>0</v>
      </c>
      <c r="H948" s="180">
        <v>3</v>
      </c>
      <c r="I948" s="180">
        <v>14</v>
      </c>
      <c r="J948" s="180">
        <v>0</v>
      </c>
      <c r="K948" s="180">
        <v>0</v>
      </c>
    </row>
    <row r="949" spans="1:11" x14ac:dyDescent="0.2">
      <c r="A949" t="s">
        <v>1893</v>
      </c>
      <c r="B949" s="180">
        <v>2</v>
      </c>
      <c r="C949" s="180">
        <v>31</v>
      </c>
      <c r="D949" s="180">
        <v>2</v>
      </c>
      <c r="E949" s="180">
        <v>0</v>
      </c>
      <c r="F949" s="180">
        <v>54</v>
      </c>
      <c r="G949" s="180">
        <v>0</v>
      </c>
      <c r="H949" s="180">
        <v>28</v>
      </c>
      <c r="I949" s="180">
        <v>150</v>
      </c>
      <c r="J949" s="180">
        <v>0</v>
      </c>
      <c r="K949" s="180">
        <v>0</v>
      </c>
    </row>
    <row r="950" spans="1:11" x14ac:dyDescent="0.2">
      <c r="A950" t="s">
        <v>1899</v>
      </c>
      <c r="B950" s="180">
        <v>0</v>
      </c>
      <c r="C950" s="180">
        <v>0</v>
      </c>
      <c r="D950" s="180">
        <v>0</v>
      </c>
      <c r="E950" s="180">
        <v>0</v>
      </c>
      <c r="F950" s="180">
        <v>0</v>
      </c>
      <c r="G950" s="180">
        <v>0</v>
      </c>
      <c r="H950" s="180">
        <v>0</v>
      </c>
      <c r="I950" s="180">
        <v>0</v>
      </c>
      <c r="J950" s="180">
        <v>0</v>
      </c>
      <c r="K950" s="180">
        <v>0</v>
      </c>
    </row>
    <row r="951" spans="1:11" x14ac:dyDescent="0.2">
      <c r="A951" t="s">
        <v>1906</v>
      </c>
      <c r="B951" s="180">
        <v>0</v>
      </c>
      <c r="C951" s="180">
        <v>0</v>
      </c>
      <c r="D951" s="180">
        <v>0</v>
      </c>
      <c r="E951" s="180">
        <v>0</v>
      </c>
      <c r="F951" s="180">
        <v>0</v>
      </c>
      <c r="G951" s="180">
        <v>0</v>
      </c>
      <c r="H951" s="180">
        <v>0</v>
      </c>
      <c r="I951" s="180">
        <v>0</v>
      </c>
      <c r="J951" s="180">
        <v>0</v>
      </c>
      <c r="K951" s="180">
        <v>0</v>
      </c>
    </row>
    <row r="952" spans="1:11" x14ac:dyDescent="0.2">
      <c r="A952" t="s">
        <v>1911</v>
      </c>
      <c r="B952" s="180">
        <v>0</v>
      </c>
      <c r="C952" s="180">
        <v>0</v>
      </c>
      <c r="D952" s="180">
        <v>0</v>
      </c>
      <c r="E952" s="180">
        <v>0</v>
      </c>
      <c r="F952" s="180">
        <v>0</v>
      </c>
      <c r="G952" s="180">
        <v>0</v>
      </c>
      <c r="H952" s="180">
        <v>0</v>
      </c>
      <c r="I952" s="180">
        <v>0</v>
      </c>
      <c r="J952" s="180">
        <v>0</v>
      </c>
      <c r="K952" s="180">
        <v>0</v>
      </c>
    </row>
    <row r="953" spans="1:11" x14ac:dyDescent="0.2">
      <c r="A953" t="s">
        <v>1917</v>
      </c>
      <c r="B953" s="180">
        <v>2</v>
      </c>
      <c r="C953" s="180">
        <v>20</v>
      </c>
      <c r="D953" s="180">
        <v>2</v>
      </c>
      <c r="E953" s="180">
        <v>0</v>
      </c>
      <c r="F953" s="180">
        <v>55</v>
      </c>
      <c r="G953" s="180">
        <v>0</v>
      </c>
      <c r="H953" s="180">
        <v>29</v>
      </c>
      <c r="I953" s="180">
        <v>155</v>
      </c>
      <c r="J953" s="180">
        <v>0</v>
      </c>
      <c r="K953" s="180">
        <v>0</v>
      </c>
    </row>
    <row r="954" spans="1:11" x14ac:dyDescent="0.2">
      <c r="A954" t="s">
        <v>1922</v>
      </c>
      <c r="B954" s="180">
        <v>2</v>
      </c>
      <c r="C954" s="180">
        <v>25</v>
      </c>
      <c r="D954" s="180">
        <v>0</v>
      </c>
      <c r="E954" s="180">
        <v>0</v>
      </c>
      <c r="F954" s="180">
        <v>31</v>
      </c>
      <c r="G954" s="180">
        <v>0</v>
      </c>
      <c r="H954" s="180">
        <v>16</v>
      </c>
      <c r="I954" s="180">
        <v>88</v>
      </c>
      <c r="J954" s="180">
        <v>0</v>
      </c>
      <c r="K954" s="180">
        <v>0</v>
      </c>
    </row>
    <row r="955" spans="1:11" x14ac:dyDescent="0.2">
      <c r="A955" t="s">
        <v>1928</v>
      </c>
      <c r="B955" s="180">
        <v>0</v>
      </c>
      <c r="C955" s="180">
        <v>0</v>
      </c>
      <c r="D955" s="180">
        <v>0</v>
      </c>
      <c r="E955" s="180">
        <v>0</v>
      </c>
      <c r="F955" s="180">
        <v>0</v>
      </c>
      <c r="G955" s="180">
        <v>0</v>
      </c>
      <c r="H955" s="180">
        <v>0</v>
      </c>
      <c r="I955" s="180">
        <v>0</v>
      </c>
      <c r="J955" s="180">
        <v>0</v>
      </c>
      <c r="K955" s="180">
        <v>0</v>
      </c>
    </row>
    <row r="956" spans="1:11" x14ac:dyDescent="0.2">
      <c r="A956" t="s">
        <v>1932</v>
      </c>
      <c r="B956" s="180">
        <v>0</v>
      </c>
      <c r="C956" s="180">
        <v>0</v>
      </c>
      <c r="D956" s="180">
        <v>0</v>
      </c>
      <c r="E956" s="180">
        <v>0</v>
      </c>
      <c r="F956" s="180">
        <v>0</v>
      </c>
      <c r="G956" s="180">
        <v>0</v>
      </c>
      <c r="H956" s="180">
        <v>0</v>
      </c>
      <c r="I956" s="180">
        <v>0</v>
      </c>
      <c r="J956" s="180">
        <v>0</v>
      </c>
      <c r="K956" s="180">
        <v>0</v>
      </c>
    </row>
    <row r="957" spans="1:11" x14ac:dyDescent="0.2">
      <c r="A957" t="s">
        <v>1938</v>
      </c>
      <c r="B957" s="180">
        <v>0</v>
      </c>
      <c r="C957" s="180">
        <v>0</v>
      </c>
      <c r="D957" s="180">
        <v>0</v>
      </c>
      <c r="E957" s="180">
        <v>0</v>
      </c>
      <c r="F957" s="180">
        <v>0</v>
      </c>
      <c r="G957" s="180">
        <v>0</v>
      </c>
      <c r="H957" s="180">
        <v>0</v>
      </c>
      <c r="I957" s="180">
        <v>0</v>
      </c>
      <c r="J957" s="180">
        <v>0</v>
      </c>
      <c r="K957" s="180">
        <v>0</v>
      </c>
    </row>
    <row r="958" spans="1:11" x14ac:dyDescent="0.2">
      <c r="A958" t="s">
        <v>1944</v>
      </c>
      <c r="B958" s="180">
        <v>1</v>
      </c>
      <c r="C958" s="180">
        <v>12</v>
      </c>
      <c r="D958" s="180">
        <v>1</v>
      </c>
      <c r="E958" s="180">
        <v>0</v>
      </c>
      <c r="F958" s="180">
        <v>23</v>
      </c>
      <c r="G958" s="180">
        <v>0</v>
      </c>
      <c r="H958" s="180">
        <v>12</v>
      </c>
      <c r="I958" s="180">
        <v>70</v>
      </c>
      <c r="J958" s="180">
        <v>0</v>
      </c>
      <c r="K958" s="180">
        <v>0</v>
      </c>
    </row>
    <row r="959" spans="1:11" x14ac:dyDescent="0.2">
      <c r="A959" t="s">
        <v>1947</v>
      </c>
      <c r="B959" s="180">
        <v>0</v>
      </c>
      <c r="C959" s="180">
        <v>0</v>
      </c>
      <c r="D959" s="180">
        <v>0</v>
      </c>
      <c r="E959" s="180">
        <v>0</v>
      </c>
      <c r="F959" s="180">
        <v>1</v>
      </c>
      <c r="G959" s="180">
        <v>0</v>
      </c>
      <c r="H959" s="180">
        <v>0</v>
      </c>
      <c r="I959" s="180">
        <v>1</v>
      </c>
      <c r="J959" s="180">
        <v>0</v>
      </c>
      <c r="K959" s="180">
        <v>0</v>
      </c>
    </row>
    <row r="960" spans="1:11" x14ac:dyDescent="0.2">
      <c r="A960" t="s">
        <v>1953</v>
      </c>
      <c r="B960" s="180">
        <v>0</v>
      </c>
      <c r="C960" s="180">
        <v>0</v>
      </c>
      <c r="D960" s="180">
        <v>0</v>
      </c>
      <c r="E960" s="180">
        <v>0</v>
      </c>
      <c r="F960" s="180">
        <v>2</v>
      </c>
      <c r="G960" s="180">
        <v>0</v>
      </c>
      <c r="H960" s="180">
        <v>1</v>
      </c>
      <c r="I960" s="180">
        <v>4</v>
      </c>
      <c r="J960" s="180">
        <v>0</v>
      </c>
      <c r="K960" s="180">
        <v>0</v>
      </c>
    </row>
    <row r="961" spans="1:11" x14ac:dyDescent="0.2">
      <c r="A961" t="s">
        <v>1958</v>
      </c>
      <c r="B961" s="180">
        <v>0</v>
      </c>
      <c r="C961" s="180">
        <v>0</v>
      </c>
      <c r="D961" s="180">
        <v>0</v>
      </c>
      <c r="E961" s="180">
        <v>0</v>
      </c>
      <c r="F961" s="180">
        <v>0</v>
      </c>
      <c r="G961" s="180">
        <v>0</v>
      </c>
      <c r="H961" s="180">
        <v>0</v>
      </c>
      <c r="I961" s="180">
        <v>0</v>
      </c>
      <c r="J961" s="180">
        <v>0</v>
      </c>
      <c r="K961" s="180">
        <v>0</v>
      </c>
    </row>
    <row r="962" spans="1:11" x14ac:dyDescent="0.2">
      <c r="A962" t="s">
        <v>1964</v>
      </c>
      <c r="B962" s="180">
        <v>0</v>
      </c>
      <c r="C962" s="180">
        <v>0</v>
      </c>
      <c r="D962" s="180">
        <v>0</v>
      </c>
      <c r="E962" s="180">
        <v>0</v>
      </c>
      <c r="F962" s="180">
        <v>0</v>
      </c>
      <c r="G962" s="180">
        <v>0</v>
      </c>
      <c r="H962" s="180">
        <v>0</v>
      </c>
      <c r="I962" s="180">
        <v>0</v>
      </c>
      <c r="J962" s="180">
        <v>0</v>
      </c>
      <c r="K962" s="180">
        <v>0</v>
      </c>
    </row>
    <row r="963" spans="1:11" x14ac:dyDescent="0.2">
      <c r="A963" t="s">
        <v>1973</v>
      </c>
      <c r="B963" s="180">
        <v>0</v>
      </c>
      <c r="C963" s="180">
        <v>0</v>
      </c>
      <c r="D963" s="180">
        <v>0</v>
      </c>
      <c r="E963" s="180">
        <v>0</v>
      </c>
      <c r="F963" s="180">
        <v>0</v>
      </c>
      <c r="G963" s="180">
        <v>0</v>
      </c>
      <c r="H963" s="180">
        <v>0</v>
      </c>
      <c r="I963" s="180">
        <v>0</v>
      </c>
      <c r="J963" s="180">
        <v>0</v>
      </c>
      <c r="K963" s="180">
        <v>0</v>
      </c>
    </row>
    <row r="964" spans="1:11" x14ac:dyDescent="0.2">
      <c r="A964" t="s">
        <v>1978</v>
      </c>
      <c r="B964" s="180">
        <v>0</v>
      </c>
      <c r="C964" s="180">
        <v>0</v>
      </c>
      <c r="D964" s="180">
        <v>0</v>
      </c>
      <c r="E964" s="180">
        <v>0</v>
      </c>
      <c r="F964" s="180">
        <v>0</v>
      </c>
      <c r="G964" s="180">
        <v>0</v>
      </c>
      <c r="H964" s="180">
        <v>0</v>
      </c>
      <c r="I964" s="180">
        <v>0</v>
      </c>
      <c r="J964" s="180">
        <v>0</v>
      </c>
      <c r="K964" s="180">
        <v>0</v>
      </c>
    </row>
    <row r="965" spans="1:11" x14ac:dyDescent="0.2">
      <c r="A965" t="s">
        <v>1983</v>
      </c>
      <c r="B965" s="180">
        <v>0</v>
      </c>
      <c r="C965" s="180">
        <v>0</v>
      </c>
      <c r="D965" s="180">
        <v>0</v>
      </c>
      <c r="E965" s="180">
        <v>0</v>
      </c>
      <c r="F965" s="180">
        <v>1</v>
      </c>
      <c r="G965" s="180">
        <v>0</v>
      </c>
      <c r="H965" s="180">
        <v>0</v>
      </c>
      <c r="I965" s="180">
        <v>4</v>
      </c>
      <c r="J965" s="180">
        <v>0</v>
      </c>
      <c r="K965" s="180">
        <v>0</v>
      </c>
    </row>
    <row r="966" spans="1:11" x14ac:dyDescent="0.2">
      <c r="A966" t="s">
        <v>1984</v>
      </c>
      <c r="B966" s="180">
        <v>0</v>
      </c>
      <c r="C966" s="180">
        <v>0</v>
      </c>
      <c r="D966" s="180">
        <v>0</v>
      </c>
      <c r="E966" s="180">
        <v>0</v>
      </c>
      <c r="F966" s="180">
        <v>0</v>
      </c>
      <c r="G966" s="180">
        <v>0</v>
      </c>
      <c r="H966" s="180">
        <v>0</v>
      </c>
      <c r="I966" s="180">
        <v>0</v>
      </c>
      <c r="J966" s="180">
        <v>0</v>
      </c>
      <c r="K966" s="180">
        <v>0</v>
      </c>
    </row>
    <row r="967" spans="1:11" x14ac:dyDescent="0.2">
      <c r="A967" t="s">
        <v>1990</v>
      </c>
      <c r="B967" s="180">
        <v>0</v>
      </c>
      <c r="C967" s="37">
        <v>0</v>
      </c>
      <c r="D967" s="180">
        <v>0</v>
      </c>
      <c r="E967" s="180">
        <v>0</v>
      </c>
      <c r="F967" s="180">
        <v>1</v>
      </c>
      <c r="G967" s="180">
        <v>0</v>
      </c>
      <c r="H967" s="180">
        <v>0</v>
      </c>
      <c r="I967" s="180">
        <v>1</v>
      </c>
      <c r="J967" s="180">
        <v>0</v>
      </c>
      <c r="K967" s="180">
        <v>0</v>
      </c>
    </row>
    <row r="968" spans="1:11" x14ac:dyDescent="0.2">
      <c r="A968" t="s">
        <v>1996</v>
      </c>
      <c r="B968" s="180">
        <v>0</v>
      </c>
      <c r="C968" s="180">
        <v>0</v>
      </c>
      <c r="D968" s="180">
        <v>0</v>
      </c>
      <c r="E968" s="180">
        <v>0</v>
      </c>
      <c r="F968" s="180">
        <v>0</v>
      </c>
      <c r="G968" s="180">
        <v>0</v>
      </c>
      <c r="H968" s="180">
        <v>0</v>
      </c>
      <c r="I968" s="180">
        <v>0</v>
      </c>
      <c r="J968" s="180">
        <v>0</v>
      </c>
      <c r="K968" s="180">
        <v>0</v>
      </c>
    </row>
    <row r="969" spans="1:11" x14ac:dyDescent="0.2">
      <c r="A969" t="s">
        <v>1998</v>
      </c>
      <c r="B969" s="180">
        <v>0</v>
      </c>
      <c r="C969" s="180">
        <v>0</v>
      </c>
      <c r="D969" s="180">
        <v>0</v>
      </c>
      <c r="E969" s="180">
        <v>0</v>
      </c>
      <c r="F969" s="180">
        <v>0</v>
      </c>
      <c r="G969" s="180">
        <v>0</v>
      </c>
      <c r="H969" s="180">
        <v>0</v>
      </c>
      <c r="I969" s="180">
        <v>0</v>
      </c>
      <c r="J969" s="180">
        <v>0</v>
      </c>
      <c r="K969" s="180">
        <v>0</v>
      </c>
    </row>
    <row r="970" spans="1:11" x14ac:dyDescent="0.2">
      <c r="A970" t="s">
        <v>1999</v>
      </c>
      <c r="B970" s="180">
        <v>0</v>
      </c>
      <c r="C970" s="180">
        <v>0</v>
      </c>
      <c r="D970" s="180">
        <v>0</v>
      </c>
      <c r="E970" s="180">
        <v>0</v>
      </c>
      <c r="F970" s="180">
        <v>0</v>
      </c>
      <c r="G970" s="180">
        <v>0</v>
      </c>
      <c r="H970" s="180">
        <v>0</v>
      </c>
      <c r="I970" s="180">
        <v>0</v>
      </c>
      <c r="J970" s="180">
        <v>0</v>
      </c>
      <c r="K970" s="180">
        <v>0</v>
      </c>
    </row>
    <row r="971" spans="1:11" x14ac:dyDescent="0.2">
      <c r="A971" t="s">
        <v>2004</v>
      </c>
      <c r="B971" s="180">
        <v>0</v>
      </c>
      <c r="C971" s="180">
        <v>0</v>
      </c>
      <c r="D971" s="180">
        <v>0</v>
      </c>
      <c r="E971" s="180">
        <v>0</v>
      </c>
      <c r="F971" s="180">
        <v>0</v>
      </c>
      <c r="G971" s="180">
        <v>0</v>
      </c>
      <c r="H971" s="180">
        <v>0</v>
      </c>
      <c r="I971" s="180">
        <v>0</v>
      </c>
      <c r="J971" s="180">
        <v>0</v>
      </c>
      <c r="K971" s="180">
        <v>0</v>
      </c>
    </row>
    <row r="972" spans="1:11" x14ac:dyDescent="0.2">
      <c r="A972" t="s">
        <v>2009</v>
      </c>
      <c r="B972" s="180">
        <v>0</v>
      </c>
      <c r="C972" s="180">
        <v>0</v>
      </c>
      <c r="D972" s="180">
        <v>0</v>
      </c>
      <c r="E972" s="180">
        <v>0</v>
      </c>
      <c r="F972" s="180">
        <v>0</v>
      </c>
      <c r="G972" s="180">
        <v>0</v>
      </c>
      <c r="H972" s="180">
        <v>0</v>
      </c>
      <c r="I972" s="180">
        <v>0</v>
      </c>
      <c r="J972" s="180">
        <v>0</v>
      </c>
      <c r="K972" s="180">
        <v>0</v>
      </c>
    </row>
    <row r="973" spans="1:11" x14ac:dyDescent="0.2">
      <c r="A973" t="s">
        <v>2014</v>
      </c>
      <c r="B973" s="180">
        <v>0</v>
      </c>
      <c r="C973" s="180">
        <v>0</v>
      </c>
      <c r="D973" s="180">
        <v>0</v>
      </c>
      <c r="E973" s="180">
        <v>0</v>
      </c>
      <c r="F973" s="180">
        <v>0</v>
      </c>
      <c r="G973" s="180">
        <v>0</v>
      </c>
      <c r="H973" s="180">
        <v>0</v>
      </c>
      <c r="I973" s="180">
        <v>0</v>
      </c>
      <c r="J973" s="180">
        <v>0</v>
      </c>
      <c r="K973" s="180">
        <v>0</v>
      </c>
    </row>
    <row r="974" spans="1:11" x14ac:dyDescent="0.2">
      <c r="A974" t="s">
        <v>2019</v>
      </c>
      <c r="B974" s="180">
        <v>0</v>
      </c>
      <c r="C974" s="180">
        <v>0</v>
      </c>
      <c r="D974" s="180">
        <v>0</v>
      </c>
      <c r="E974" s="180">
        <v>0</v>
      </c>
      <c r="F974" s="180">
        <v>0</v>
      </c>
      <c r="G974" s="180">
        <v>0</v>
      </c>
      <c r="H974" s="180">
        <v>0</v>
      </c>
      <c r="I974" s="180">
        <v>0</v>
      </c>
      <c r="J974" s="180">
        <v>0</v>
      </c>
      <c r="K974" s="180">
        <v>0</v>
      </c>
    </row>
    <row r="975" spans="1:11" x14ac:dyDescent="0.2">
      <c r="A975" t="s">
        <v>2023</v>
      </c>
      <c r="B975" s="180">
        <v>0</v>
      </c>
      <c r="C975" s="180">
        <v>0</v>
      </c>
      <c r="D975" s="180">
        <v>0</v>
      </c>
      <c r="E975" s="180">
        <v>0</v>
      </c>
      <c r="F975" s="180">
        <v>0</v>
      </c>
      <c r="G975" s="180">
        <v>0</v>
      </c>
      <c r="H975" s="180">
        <v>0</v>
      </c>
      <c r="I975" s="180">
        <v>0</v>
      </c>
      <c r="J975" s="180">
        <v>0</v>
      </c>
      <c r="K975" s="180">
        <v>0</v>
      </c>
    </row>
    <row r="976" spans="1:11" x14ac:dyDescent="0.2">
      <c r="A976" t="s">
        <v>2026</v>
      </c>
      <c r="B976" s="180">
        <v>0</v>
      </c>
      <c r="C976" s="180">
        <v>0</v>
      </c>
      <c r="D976" s="180">
        <v>0</v>
      </c>
      <c r="E976" s="180">
        <v>0</v>
      </c>
      <c r="F976" s="180">
        <v>0</v>
      </c>
      <c r="G976" s="180">
        <v>0</v>
      </c>
      <c r="H976" s="180">
        <v>0</v>
      </c>
      <c r="I976" s="180">
        <v>0</v>
      </c>
      <c r="J976" s="180">
        <v>0</v>
      </c>
      <c r="K976" s="180">
        <v>0</v>
      </c>
    </row>
    <row r="977" spans="1:11" x14ac:dyDescent="0.2">
      <c r="A977" t="s">
        <v>2030</v>
      </c>
      <c r="B977" s="180">
        <v>0</v>
      </c>
      <c r="C977" s="180">
        <v>0</v>
      </c>
      <c r="D977" s="180">
        <v>0</v>
      </c>
      <c r="E977" s="180">
        <v>0</v>
      </c>
      <c r="F977" s="180">
        <v>0</v>
      </c>
      <c r="G977" s="180">
        <v>0</v>
      </c>
      <c r="H977" s="180">
        <v>0</v>
      </c>
      <c r="I977" s="180">
        <v>0</v>
      </c>
      <c r="J977" s="180">
        <v>0</v>
      </c>
      <c r="K977" s="180">
        <v>0</v>
      </c>
    </row>
    <row r="978" spans="1:11" x14ac:dyDescent="0.2">
      <c r="A978" t="s">
        <v>2035</v>
      </c>
      <c r="B978" s="180">
        <v>0</v>
      </c>
      <c r="C978" s="180">
        <v>0</v>
      </c>
      <c r="D978" s="180">
        <v>0</v>
      </c>
      <c r="E978" s="180">
        <v>0</v>
      </c>
      <c r="F978" s="180">
        <v>0</v>
      </c>
      <c r="G978" s="180">
        <v>0</v>
      </c>
      <c r="H978" s="180">
        <v>0</v>
      </c>
      <c r="I978" s="180">
        <v>0</v>
      </c>
      <c r="J978" s="180">
        <v>0</v>
      </c>
      <c r="K978" s="180">
        <v>0</v>
      </c>
    </row>
    <row r="979" spans="1:11" x14ac:dyDescent="0.2">
      <c r="A979" t="s">
        <v>2040</v>
      </c>
      <c r="B979" s="180">
        <v>0</v>
      </c>
      <c r="C979" s="180">
        <v>0</v>
      </c>
      <c r="D979" s="180">
        <v>0</v>
      </c>
      <c r="E979" s="180">
        <v>0</v>
      </c>
      <c r="F979" s="180">
        <v>0</v>
      </c>
      <c r="G979" s="180">
        <v>0</v>
      </c>
      <c r="H979" s="180">
        <v>0</v>
      </c>
      <c r="I979" s="180">
        <v>0</v>
      </c>
      <c r="J979" s="180">
        <v>0</v>
      </c>
      <c r="K979" s="180">
        <v>0</v>
      </c>
    </row>
    <row r="980" spans="1:11" x14ac:dyDescent="0.2">
      <c r="A980" t="s">
        <v>2045</v>
      </c>
      <c r="B980" s="180">
        <v>0</v>
      </c>
      <c r="C980" s="180">
        <v>0</v>
      </c>
      <c r="D980" s="180">
        <v>0</v>
      </c>
      <c r="E980" s="180">
        <v>0</v>
      </c>
      <c r="F980" s="180">
        <v>0</v>
      </c>
      <c r="G980" s="180">
        <v>0</v>
      </c>
      <c r="H980" s="180">
        <v>0</v>
      </c>
      <c r="I980" s="180">
        <v>0</v>
      </c>
      <c r="J980" s="180">
        <v>0</v>
      </c>
      <c r="K980" s="180">
        <v>0</v>
      </c>
    </row>
    <row r="981" spans="1:11" x14ac:dyDescent="0.2">
      <c r="A981" t="s">
        <v>2049</v>
      </c>
      <c r="B981" s="180">
        <v>38</v>
      </c>
      <c r="C981" s="180">
        <v>500</v>
      </c>
      <c r="D981" s="180">
        <v>58</v>
      </c>
      <c r="E981" s="180">
        <v>0</v>
      </c>
      <c r="F981" s="180">
        <v>812</v>
      </c>
      <c r="G981" s="180">
        <v>0</v>
      </c>
      <c r="H981" s="180">
        <v>438</v>
      </c>
      <c r="I981" s="180">
        <v>2374</v>
      </c>
      <c r="J981" s="180">
        <v>0</v>
      </c>
      <c r="K981" s="180">
        <v>0</v>
      </c>
    </row>
    <row r="982" spans="1:11" x14ac:dyDescent="0.2">
      <c r="A982" t="s">
        <v>2051</v>
      </c>
      <c r="B982" s="180">
        <v>2</v>
      </c>
      <c r="C982" s="180">
        <v>19</v>
      </c>
      <c r="D982" s="180">
        <v>6</v>
      </c>
      <c r="E982" s="180">
        <v>0</v>
      </c>
      <c r="F982" s="180">
        <v>275</v>
      </c>
      <c r="G982" s="180">
        <v>0</v>
      </c>
      <c r="H982" s="180">
        <v>66</v>
      </c>
      <c r="I982" s="180">
        <v>322</v>
      </c>
      <c r="J982" s="180">
        <v>0</v>
      </c>
      <c r="K982" s="180">
        <v>0</v>
      </c>
    </row>
    <row r="983" spans="1:11" x14ac:dyDescent="0.2">
      <c r="A983" t="s">
        <v>2057</v>
      </c>
      <c r="B983" s="180">
        <v>4</v>
      </c>
      <c r="C983" s="180">
        <v>38</v>
      </c>
      <c r="D983" s="180">
        <v>11</v>
      </c>
      <c r="E983" s="180">
        <v>0</v>
      </c>
      <c r="F983" s="180">
        <v>473</v>
      </c>
      <c r="G983" s="180">
        <v>0</v>
      </c>
      <c r="H983" s="180">
        <v>113</v>
      </c>
      <c r="I983" s="180">
        <v>552</v>
      </c>
      <c r="J983" s="180">
        <v>0</v>
      </c>
      <c r="K983" s="180">
        <v>0</v>
      </c>
    </row>
    <row r="984" spans="1:11" x14ac:dyDescent="0.2">
      <c r="A984" t="s">
        <v>4344</v>
      </c>
      <c r="B984" s="180">
        <v>62</v>
      </c>
      <c r="C984" s="180">
        <v>818</v>
      </c>
      <c r="D984" s="180">
        <v>88</v>
      </c>
      <c r="E984" s="180">
        <v>0</v>
      </c>
      <c r="F984" s="180">
        <v>51</v>
      </c>
      <c r="G984" s="180">
        <v>0</v>
      </c>
      <c r="H984" s="180">
        <v>26</v>
      </c>
      <c r="I984" s="180">
        <v>140</v>
      </c>
      <c r="J984" s="180">
        <v>0</v>
      </c>
      <c r="K984" s="180">
        <v>0</v>
      </c>
    </row>
    <row r="985" spans="1:11" x14ac:dyDescent="0.2">
      <c r="A985" t="s">
        <v>4345</v>
      </c>
      <c r="B985" s="180">
        <v>246</v>
      </c>
      <c r="C985" s="180">
        <v>3232</v>
      </c>
      <c r="D985" s="180">
        <v>357</v>
      </c>
      <c r="E985" s="180">
        <v>0</v>
      </c>
      <c r="F985" s="180">
        <v>438</v>
      </c>
      <c r="G985" s="180">
        <v>0</v>
      </c>
      <c r="H985" s="180">
        <v>135</v>
      </c>
      <c r="I985" s="180">
        <v>709</v>
      </c>
      <c r="J985" s="180">
        <v>0</v>
      </c>
      <c r="K985" s="180">
        <v>0</v>
      </c>
    </row>
    <row r="986" spans="1:11" x14ac:dyDescent="0.2">
      <c r="A986" t="s">
        <v>2074</v>
      </c>
      <c r="B986" s="180">
        <v>0</v>
      </c>
      <c r="C986" s="180">
        <v>0</v>
      </c>
      <c r="D986" s="180">
        <v>0</v>
      </c>
      <c r="E986" s="180">
        <v>0</v>
      </c>
      <c r="F986" s="180">
        <v>0</v>
      </c>
      <c r="G986" s="180">
        <v>0</v>
      </c>
      <c r="H986" s="180">
        <v>197</v>
      </c>
      <c r="I986" s="180">
        <v>1068</v>
      </c>
      <c r="J986" s="180">
        <v>0</v>
      </c>
      <c r="K986" s="180">
        <v>0</v>
      </c>
    </row>
    <row r="987" spans="1:11" x14ac:dyDescent="0.2">
      <c r="A987" t="s">
        <v>2079</v>
      </c>
      <c r="B987" s="180">
        <v>0</v>
      </c>
      <c r="C987" s="180">
        <v>0</v>
      </c>
      <c r="D987" s="180">
        <v>0</v>
      </c>
      <c r="E987" s="180">
        <v>0</v>
      </c>
      <c r="F987" s="180">
        <v>0</v>
      </c>
      <c r="G987" s="180">
        <v>0</v>
      </c>
      <c r="H987" s="180">
        <v>617</v>
      </c>
      <c r="I987" s="180">
        <v>3315</v>
      </c>
      <c r="J987" s="180">
        <v>0</v>
      </c>
      <c r="K987" s="180">
        <v>0</v>
      </c>
    </row>
    <row r="988" spans="1:11" x14ac:dyDescent="0.2">
      <c r="A988" t="s">
        <v>2085</v>
      </c>
      <c r="B988" s="180">
        <v>0</v>
      </c>
      <c r="C988" s="180">
        <v>0</v>
      </c>
      <c r="D988" s="180">
        <v>0</v>
      </c>
      <c r="E988" s="180">
        <v>0</v>
      </c>
      <c r="F988" s="180">
        <v>0</v>
      </c>
      <c r="G988" s="180">
        <v>0</v>
      </c>
      <c r="H988" s="180">
        <v>0</v>
      </c>
      <c r="I988" s="180">
        <v>0</v>
      </c>
      <c r="J988" s="180">
        <v>0</v>
      </c>
      <c r="K988" s="180">
        <v>0</v>
      </c>
    </row>
    <row r="989" spans="1:11" x14ac:dyDescent="0.2">
      <c r="A989" t="s">
        <v>2091</v>
      </c>
      <c r="B989" s="180">
        <v>0</v>
      </c>
      <c r="C989" s="180">
        <v>0</v>
      </c>
      <c r="D989" s="180">
        <v>0</v>
      </c>
      <c r="E989" s="180">
        <v>0</v>
      </c>
      <c r="F989" s="180">
        <v>0</v>
      </c>
      <c r="G989" s="180">
        <v>0</v>
      </c>
      <c r="H989" s="180">
        <v>0</v>
      </c>
      <c r="I989" s="180">
        <v>0</v>
      </c>
      <c r="J989" s="180">
        <v>0</v>
      </c>
      <c r="K989" s="180">
        <v>0</v>
      </c>
    </row>
    <row r="990" spans="1:11" x14ac:dyDescent="0.2">
      <c r="A990" t="s">
        <v>2097</v>
      </c>
      <c r="B990" s="180">
        <v>0</v>
      </c>
      <c r="C990" s="180">
        <v>0</v>
      </c>
      <c r="D990" s="180">
        <v>0</v>
      </c>
      <c r="E990" s="180">
        <v>0</v>
      </c>
      <c r="F990" s="180">
        <v>0</v>
      </c>
      <c r="G990" s="180">
        <v>0</v>
      </c>
      <c r="H990" s="180">
        <v>0</v>
      </c>
      <c r="I990" s="180">
        <v>0</v>
      </c>
      <c r="J990" s="180">
        <v>0</v>
      </c>
      <c r="K990" s="180">
        <v>0</v>
      </c>
    </row>
    <row r="991" spans="1:11" x14ac:dyDescent="0.2">
      <c r="A991" t="s">
        <v>2101</v>
      </c>
      <c r="B991" s="180">
        <v>0</v>
      </c>
      <c r="C991" s="180">
        <v>0</v>
      </c>
      <c r="D991" s="180">
        <v>0</v>
      </c>
      <c r="E991" s="180">
        <v>0</v>
      </c>
      <c r="F991" s="180">
        <v>0</v>
      </c>
      <c r="G991" s="180">
        <v>0</v>
      </c>
      <c r="H991" s="180">
        <v>207</v>
      </c>
      <c r="I991" s="180">
        <v>1011</v>
      </c>
      <c r="J991" s="180">
        <v>0</v>
      </c>
      <c r="K991" s="180">
        <v>0</v>
      </c>
    </row>
    <row r="992" spans="1:11" x14ac:dyDescent="0.2">
      <c r="A992" t="s">
        <v>2104</v>
      </c>
      <c r="B992" s="180">
        <v>0</v>
      </c>
      <c r="C992" s="180">
        <v>0</v>
      </c>
      <c r="D992" s="180">
        <v>0</v>
      </c>
      <c r="E992" s="180">
        <v>0</v>
      </c>
      <c r="F992" s="180">
        <v>0</v>
      </c>
      <c r="G992" s="180">
        <v>0</v>
      </c>
      <c r="H992" s="180">
        <v>0</v>
      </c>
      <c r="I992" s="180">
        <v>0</v>
      </c>
      <c r="J992" s="180">
        <v>0</v>
      </c>
      <c r="K992" s="180">
        <v>0</v>
      </c>
    </row>
    <row r="993" spans="1:11" x14ac:dyDescent="0.2">
      <c r="A993" t="s">
        <v>2107</v>
      </c>
      <c r="B993" s="180">
        <v>0</v>
      </c>
      <c r="C993" s="180">
        <v>0</v>
      </c>
      <c r="D993" s="180">
        <v>0</v>
      </c>
      <c r="E993" s="180">
        <v>0</v>
      </c>
      <c r="F993" s="180">
        <v>0</v>
      </c>
      <c r="G993" s="180">
        <v>0</v>
      </c>
      <c r="H993" s="180">
        <v>345</v>
      </c>
      <c r="I993" s="180">
        <v>1683</v>
      </c>
      <c r="J993" s="180">
        <v>0</v>
      </c>
      <c r="K993" s="180">
        <v>0</v>
      </c>
    </row>
    <row r="994" spans="1:11" x14ac:dyDescent="0.2">
      <c r="A994" t="s">
        <v>2110</v>
      </c>
      <c r="B994" s="180">
        <v>0</v>
      </c>
      <c r="C994" s="180">
        <v>0</v>
      </c>
      <c r="D994" s="180">
        <v>0</v>
      </c>
      <c r="E994" s="180">
        <v>0</v>
      </c>
      <c r="F994" s="180">
        <v>0</v>
      </c>
      <c r="G994" s="180">
        <v>0</v>
      </c>
      <c r="H994" s="180">
        <v>0</v>
      </c>
      <c r="I994" s="180">
        <v>0</v>
      </c>
      <c r="J994" s="180">
        <v>0</v>
      </c>
      <c r="K994" s="180">
        <v>0</v>
      </c>
    </row>
    <row r="995" spans="1:11" x14ac:dyDescent="0.2">
      <c r="A995" t="s">
        <v>2113</v>
      </c>
      <c r="B995" s="180">
        <v>0</v>
      </c>
      <c r="C995" s="180">
        <v>0</v>
      </c>
      <c r="D995" s="180">
        <v>0</v>
      </c>
      <c r="E995" s="180">
        <v>0</v>
      </c>
      <c r="F995" s="180">
        <v>0</v>
      </c>
      <c r="G995" s="180">
        <v>0</v>
      </c>
      <c r="H995" s="180">
        <v>0</v>
      </c>
      <c r="I995" s="180">
        <v>0</v>
      </c>
      <c r="J995" s="180">
        <v>0</v>
      </c>
      <c r="K995" s="180">
        <v>0</v>
      </c>
    </row>
    <row r="996" spans="1:11" x14ac:dyDescent="0.2">
      <c r="A996" t="s">
        <v>4346</v>
      </c>
      <c r="B996" s="180">
        <v>0</v>
      </c>
      <c r="C996" s="180">
        <v>0</v>
      </c>
      <c r="D996" s="180">
        <v>0</v>
      </c>
      <c r="E996" s="180">
        <v>0</v>
      </c>
      <c r="F996" s="180">
        <v>0</v>
      </c>
      <c r="G996" s="180">
        <v>0</v>
      </c>
      <c r="H996" s="180">
        <v>0</v>
      </c>
      <c r="I996" s="180">
        <v>0</v>
      </c>
      <c r="J996" s="180">
        <v>0</v>
      </c>
      <c r="K996" s="180">
        <v>0</v>
      </c>
    </row>
    <row r="997" spans="1:11" x14ac:dyDescent="0.2">
      <c r="A997" t="s">
        <v>4347</v>
      </c>
      <c r="B997" s="180">
        <v>0</v>
      </c>
      <c r="C997" s="180">
        <v>0</v>
      </c>
      <c r="D997" s="180">
        <v>0</v>
      </c>
      <c r="E997" s="180">
        <v>0</v>
      </c>
      <c r="F997" s="180">
        <v>0</v>
      </c>
      <c r="G997" s="180">
        <v>0</v>
      </c>
      <c r="H997" s="180">
        <v>0</v>
      </c>
      <c r="I997" s="180">
        <v>0</v>
      </c>
      <c r="J997" s="180">
        <v>0</v>
      </c>
      <c r="K997" s="180">
        <v>0</v>
      </c>
    </row>
    <row r="998" spans="1:11" x14ac:dyDescent="0.2">
      <c r="A998" t="s">
        <v>4348</v>
      </c>
      <c r="B998" s="180">
        <v>0</v>
      </c>
      <c r="C998" s="180">
        <v>0</v>
      </c>
      <c r="D998" s="180">
        <v>0</v>
      </c>
      <c r="E998" s="180">
        <v>0</v>
      </c>
      <c r="F998" s="180">
        <v>0</v>
      </c>
      <c r="G998" s="180">
        <v>0</v>
      </c>
      <c r="H998" s="180">
        <v>0</v>
      </c>
      <c r="I998" s="180">
        <v>0</v>
      </c>
      <c r="J998" s="180">
        <v>0</v>
      </c>
      <c r="K998" s="180">
        <v>0</v>
      </c>
    </row>
    <row r="999" spans="1:11" x14ac:dyDescent="0.2">
      <c r="A999" t="s">
        <v>4349</v>
      </c>
      <c r="B999" s="180">
        <v>0</v>
      </c>
      <c r="C999" s="180">
        <v>0</v>
      </c>
      <c r="D999" s="180">
        <v>0</v>
      </c>
      <c r="E999" s="180">
        <v>0</v>
      </c>
      <c r="F999" s="180">
        <v>0</v>
      </c>
      <c r="G999" s="180">
        <v>0</v>
      </c>
      <c r="H999" s="180">
        <v>0</v>
      </c>
      <c r="I999" s="180">
        <v>0</v>
      </c>
      <c r="J999" s="180">
        <v>0</v>
      </c>
      <c r="K999" s="180">
        <v>0</v>
      </c>
    </row>
    <row r="1000" spans="1:11" x14ac:dyDescent="0.2">
      <c r="A1000" t="s">
        <v>4350</v>
      </c>
      <c r="B1000" s="180">
        <v>0</v>
      </c>
      <c r="C1000" s="180">
        <v>4</v>
      </c>
      <c r="D1000" s="180">
        <v>0</v>
      </c>
      <c r="E1000" s="180">
        <v>0</v>
      </c>
      <c r="F1000" s="180">
        <v>5</v>
      </c>
      <c r="G1000" s="180">
        <v>0</v>
      </c>
      <c r="H1000" s="180">
        <v>2</v>
      </c>
      <c r="I1000" s="180">
        <v>15</v>
      </c>
      <c r="J1000" s="180">
        <v>0</v>
      </c>
      <c r="K1000" s="180">
        <v>0</v>
      </c>
    </row>
    <row r="1001" spans="1:11" x14ac:dyDescent="0.2">
      <c r="A1001" t="s">
        <v>4351</v>
      </c>
      <c r="B1001" s="180">
        <v>0</v>
      </c>
      <c r="C1001" s="180">
        <v>0</v>
      </c>
      <c r="D1001" s="180">
        <v>0</v>
      </c>
      <c r="E1001" s="180">
        <v>0</v>
      </c>
      <c r="F1001" s="180">
        <v>0</v>
      </c>
      <c r="G1001" s="180">
        <v>0</v>
      </c>
      <c r="H1001" s="180">
        <v>0</v>
      </c>
      <c r="I1001" s="180">
        <v>0</v>
      </c>
      <c r="J1001" s="180">
        <v>0</v>
      </c>
      <c r="K1001" s="180">
        <v>0</v>
      </c>
    </row>
    <row r="1002" spans="1:11" x14ac:dyDescent="0.2">
      <c r="A1002" t="s">
        <v>4352</v>
      </c>
      <c r="B1002" s="180">
        <v>0</v>
      </c>
      <c r="C1002" s="180">
        <v>0</v>
      </c>
      <c r="D1002" s="180">
        <v>0</v>
      </c>
      <c r="E1002" s="180">
        <v>0</v>
      </c>
      <c r="F1002" s="180">
        <v>0</v>
      </c>
      <c r="G1002" s="180">
        <v>0</v>
      </c>
      <c r="H1002" s="180">
        <v>0</v>
      </c>
      <c r="I1002" s="180">
        <v>0</v>
      </c>
      <c r="J1002" s="180">
        <v>0</v>
      </c>
      <c r="K1002" s="180">
        <v>0</v>
      </c>
    </row>
    <row r="1003" spans="1:11" x14ac:dyDescent="0.2">
      <c r="A1003" t="s">
        <v>4353</v>
      </c>
      <c r="B1003" s="180">
        <v>2</v>
      </c>
      <c r="C1003" s="180">
        <v>33</v>
      </c>
      <c r="D1003" s="180">
        <v>1</v>
      </c>
      <c r="E1003" s="180">
        <v>0</v>
      </c>
      <c r="F1003" s="180">
        <v>38</v>
      </c>
      <c r="G1003" s="180">
        <v>0</v>
      </c>
      <c r="H1003" s="180">
        <v>20</v>
      </c>
      <c r="I1003" s="180">
        <v>126</v>
      </c>
      <c r="J1003" s="180">
        <v>0</v>
      </c>
      <c r="K1003" s="180">
        <v>0</v>
      </c>
    </row>
    <row r="1004" spans="1:11" x14ac:dyDescent="0.2">
      <c r="A1004" t="s">
        <v>4354</v>
      </c>
      <c r="B1004" s="180">
        <v>1</v>
      </c>
      <c r="C1004" s="180">
        <v>22</v>
      </c>
      <c r="D1004" s="180">
        <v>1</v>
      </c>
      <c r="E1004" s="180">
        <v>0</v>
      </c>
      <c r="F1004" s="180">
        <v>26</v>
      </c>
      <c r="G1004" s="180">
        <v>0</v>
      </c>
      <c r="H1004" s="180">
        <v>14</v>
      </c>
      <c r="I1004" s="180">
        <v>88</v>
      </c>
      <c r="J1004" s="180">
        <v>0</v>
      </c>
      <c r="K1004" s="180">
        <v>0</v>
      </c>
    </row>
    <row r="1005" spans="1:11" x14ac:dyDescent="0.2">
      <c r="A1005" t="s">
        <v>4355</v>
      </c>
      <c r="B1005" s="180">
        <v>0</v>
      </c>
      <c r="C1005" s="180">
        <v>0</v>
      </c>
      <c r="D1005" s="180">
        <v>0</v>
      </c>
      <c r="E1005" s="180">
        <v>0</v>
      </c>
      <c r="F1005" s="180">
        <v>0</v>
      </c>
      <c r="G1005" s="180">
        <v>0</v>
      </c>
      <c r="H1005" s="180">
        <v>0</v>
      </c>
      <c r="I1005" s="180">
        <v>0</v>
      </c>
      <c r="J1005" s="180">
        <v>0</v>
      </c>
      <c r="K1005" s="180">
        <v>0</v>
      </c>
    </row>
    <row r="1006" spans="1:11" x14ac:dyDescent="0.2">
      <c r="A1006" t="s">
        <v>4356</v>
      </c>
      <c r="B1006" s="180">
        <v>0</v>
      </c>
      <c r="C1006" s="180">
        <v>0</v>
      </c>
      <c r="D1006" s="180">
        <v>0</v>
      </c>
      <c r="E1006" s="180">
        <v>0</v>
      </c>
      <c r="F1006" s="180">
        <v>0</v>
      </c>
      <c r="G1006" s="180">
        <v>0</v>
      </c>
      <c r="H1006" s="180">
        <v>0</v>
      </c>
      <c r="I1006" s="180">
        <v>0</v>
      </c>
      <c r="J1006" s="180">
        <v>0</v>
      </c>
      <c r="K1006" s="180">
        <v>0</v>
      </c>
    </row>
    <row r="1007" spans="1:11" x14ac:dyDescent="0.2">
      <c r="A1007" t="s">
        <v>4357</v>
      </c>
      <c r="B1007" s="180">
        <v>0</v>
      </c>
      <c r="C1007" s="180">
        <v>0</v>
      </c>
      <c r="D1007" s="180">
        <v>0</v>
      </c>
      <c r="E1007" s="180">
        <v>0</v>
      </c>
      <c r="F1007" s="180">
        <v>0</v>
      </c>
      <c r="G1007" s="180">
        <v>0</v>
      </c>
      <c r="H1007" s="180">
        <v>0</v>
      </c>
      <c r="I1007" s="180">
        <v>0</v>
      </c>
      <c r="J1007" s="180">
        <v>0</v>
      </c>
      <c r="K1007" s="180">
        <v>0</v>
      </c>
    </row>
    <row r="1008" spans="1:11" x14ac:dyDescent="0.2">
      <c r="A1008" t="s">
        <v>4358</v>
      </c>
      <c r="B1008" s="180">
        <v>0</v>
      </c>
      <c r="C1008" s="180">
        <v>0</v>
      </c>
      <c r="D1008" s="180">
        <v>0</v>
      </c>
      <c r="E1008" s="180">
        <v>0</v>
      </c>
      <c r="F1008" s="180">
        <v>0</v>
      </c>
      <c r="G1008" s="180">
        <v>0</v>
      </c>
      <c r="H1008" s="180">
        <v>0</v>
      </c>
      <c r="I1008" s="180">
        <v>0</v>
      </c>
      <c r="J1008" s="180">
        <v>0</v>
      </c>
      <c r="K1008" s="180">
        <v>0</v>
      </c>
    </row>
    <row r="1009" spans="1:11" x14ac:dyDescent="0.2">
      <c r="A1009" t="s">
        <v>4359</v>
      </c>
      <c r="B1009" s="180">
        <v>0</v>
      </c>
      <c r="C1009" s="180">
        <v>0</v>
      </c>
      <c r="D1009" s="180">
        <v>0</v>
      </c>
      <c r="E1009" s="180">
        <v>0</v>
      </c>
      <c r="F1009" s="180">
        <v>0</v>
      </c>
      <c r="G1009" s="180">
        <v>0</v>
      </c>
      <c r="H1009" s="180">
        <v>0</v>
      </c>
      <c r="I1009" s="180">
        <v>0</v>
      </c>
      <c r="J1009" s="180">
        <v>0</v>
      </c>
      <c r="K1009" s="180">
        <v>0</v>
      </c>
    </row>
    <row r="1010" spans="1:11" x14ac:dyDescent="0.2">
      <c r="A1010" t="s">
        <v>4360</v>
      </c>
      <c r="B1010" s="180">
        <v>0</v>
      </c>
      <c r="C1010" s="180">
        <v>2</v>
      </c>
      <c r="D1010" s="180">
        <v>0</v>
      </c>
      <c r="E1010" s="180">
        <v>0</v>
      </c>
      <c r="F1010" s="180">
        <v>2</v>
      </c>
      <c r="G1010" s="180">
        <v>0</v>
      </c>
      <c r="H1010" s="180">
        <v>1</v>
      </c>
      <c r="I1010" s="180">
        <v>7</v>
      </c>
      <c r="J1010" s="180">
        <v>0</v>
      </c>
      <c r="K1010" s="180">
        <v>0</v>
      </c>
    </row>
    <row r="1011" spans="1:11" x14ac:dyDescent="0.2">
      <c r="A1011" t="s">
        <v>4361</v>
      </c>
      <c r="B1011" s="180">
        <v>0</v>
      </c>
      <c r="C1011" s="180">
        <v>2</v>
      </c>
      <c r="D1011" s="180">
        <v>0</v>
      </c>
      <c r="E1011" s="180">
        <v>0</v>
      </c>
      <c r="F1011" s="180">
        <v>2</v>
      </c>
      <c r="G1011" s="180">
        <v>0</v>
      </c>
      <c r="H1011" s="180">
        <v>1</v>
      </c>
      <c r="I1011" s="180">
        <v>8</v>
      </c>
      <c r="J1011" s="180">
        <v>0</v>
      </c>
      <c r="K1011" s="180">
        <v>0</v>
      </c>
    </row>
    <row r="1012" spans="1:11" x14ac:dyDescent="0.2">
      <c r="A1012" t="s">
        <v>4362</v>
      </c>
      <c r="B1012" s="180">
        <v>0</v>
      </c>
      <c r="C1012" s="180">
        <v>0</v>
      </c>
      <c r="D1012" s="180">
        <v>0</v>
      </c>
      <c r="E1012" s="180">
        <v>0</v>
      </c>
      <c r="F1012" s="180">
        <v>0</v>
      </c>
      <c r="G1012" s="180">
        <v>0</v>
      </c>
      <c r="H1012" s="180">
        <v>0</v>
      </c>
      <c r="I1012" s="180">
        <v>0</v>
      </c>
      <c r="J1012" s="180">
        <v>0</v>
      </c>
      <c r="K1012" s="180">
        <v>0</v>
      </c>
    </row>
    <row r="1013" spans="1:11" x14ac:dyDescent="0.2">
      <c r="A1013" t="s">
        <v>4363</v>
      </c>
      <c r="B1013" s="180">
        <v>0</v>
      </c>
      <c r="C1013" s="180">
        <v>0</v>
      </c>
      <c r="D1013" s="180">
        <v>0</v>
      </c>
      <c r="E1013" s="180">
        <v>0</v>
      </c>
      <c r="F1013" s="180">
        <v>0</v>
      </c>
      <c r="G1013" s="180">
        <v>0</v>
      </c>
      <c r="H1013" s="180">
        <v>0</v>
      </c>
      <c r="I1013" s="180">
        <v>0</v>
      </c>
      <c r="J1013" s="180">
        <v>0</v>
      </c>
      <c r="K1013" s="180">
        <v>0</v>
      </c>
    </row>
    <row r="1014" spans="1:11" x14ac:dyDescent="0.2">
      <c r="A1014" t="s">
        <v>4364</v>
      </c>
      <c r="B1014" s="180">
        <v>0</v>
      </c>
      <c r="C1014" s="180">
        <v>0</v>
      </c>
      <c r="D1014" s="180">
        <v>0</v>
      </c>
      <c r="E1014" s="180">
        <v>0</v>
      </c>
      <c r="F1014" s="180">
        <v>0</v>
      </c>
      <c r="G1014" s="180">
        <v>0</v>
      </c>
      <c r="H1014" s="180">
        <v>0</v>
      </c>
      <c r="I1014" s="180">
        <v>0</v>
      </c>
      <c r="J1014" s="180">
        <v>0</v>
      </c>
      <c r="K1014" s="180">
        <v>0</v>
      </c>
    </row>
    <row r="1015" spans="1:11" x14ac:dyDescent="0.2">
      <c r="A1015" t="s">
        <v>4365</v>
      </c>
      <c r="B1015" s="180">
        <v>0</v>
      </c>
      <c r="C1015" s="180">
        <v>14</v>
      </c>
      <c r="D1015" s="180">
        <v>0</v>
      </c>
      <c r="E1015" s="180">
        <v>0</v>
      </c>
      <c r="F1015" s="180">
        <v>2</v>
      </c>
      <c r="G1015" s="180">
        <v>0</v>
      </c>
      <c r="H1015" s="180">
        <v>1</v>
      </c>
      <c r="I1015" s="180">
        <v>49</v>
      </c>
      <c r="J1015" s="180">
        <v>0</v>
      </c>
      <c r="K1015" s="180">
        <v>0</v>
      </c>
    </row>
    <row r="1016" spans="1:11" x14ac:dyDescent="0.2">
      <c r="A1016" t="s">
        <v>4366</v>
      </c>
      <c r="B1016" s="180">
        <v>0</v>
      </c>
      <c r="C1016" s="180">
        <v>0</v>
      </c>
      <c r="D1016" s="180">
        <v>0</v>
      </c>
      <c r="E1016" s="180">
        <v>0</v>
      </c>
      <c r="F1016" s="180">
        <v>0</v>
      </c>
      <c r="G1016" s="180">
        <v>0</v>
      </c>
      <c r="H1016" s="180">
        <v>0</v>
      </c>
      <c r="I1016" s="180">
        <v>0</v>
      </c>
      <c r="J1016" s="180">
        <v>0</v>
      </c>
      <c r="K1016" s="180">
        <v>0</v>
      </c>
    </row>
    <row r="1017" spans="1:11" x14ac:dyDescent="0.2">
      <c r="A1017" t="s">
        <v>4367</v>
      </c>
      <c r="B1017" s="180">
        <v>0</v>
      </c>
      <c r="C1017" s="180">
        <v>0</v>
      </c>
      <c r="D1017" s="180">
        <v>0</v>
      </c>
      <c r="E1017" s="180">
        <v>0</v>
      </c>
      <c r="F1017" s="180">
        <v>0</v>
      </c>
      <c r="G1017" s="180">
        <v>0</v>
      </c>
      <c r="H1017" s="180">
        <v>0</v>
      </c>
      <c r="I1017" s="180">
        <v>0</v>
      </c>
      <c r="J1017" s="180">
        <v>0</v>
      </c>
      <c r="K1017" s="180">
        <v>0</v>
      </c>
    </row>
    <row r="1018" spans="1:11" x14ac:dyDescent="0.2">
      <c r="A1018" t="s">
        <v>4368</v>
      </c>
      <c r="B1018" s="180">
        <v>2</v>
      </c>
      <c r="C1018" s="180">
        <v>235</v>
      </c>
      <c r="D1018" s="180">
        <v>1</v>
      </c>
      <c r="E1018" s="180">
        <v>0</v>
      </c>
      <c r="F1018" s="180">
        <v>33</v>
      </c>
      <c r="G1018" s="180">
        <v>0</v>
      </c>
      <c r="H1018" s="180">
        <v>18</v>
      </c>
      <c r="I1018" s="180">
        <v>891</v>
      </c>
      <c r="J1018" s="180">
        <v>0</v>
      </c>
      <c r="K1018" s="180">
        <v>0</v>
      </c>
    </row>
    <row r="1019" spans="1:11" x14ac:dyDescent="0.2">
      <c r="A1019" t="s">
        <v>4369</v>
      </c>
      <c r="B1019" s="180">
        <v>4</v>
      </c>
      <c r="C1019" s="180">
        <v>142</v>
      </c>
      <c r="D1019" s="180">
        <v>2</v>
      </c>
      <c r="E1019" s="180">
        <v>0</v>
      </c>
      <c r="F1019" s="180">
        <v>68</v>
      </c>
      <c r="G1019" s="180">
        <v>0</v>
      </c>
      <c r="H1019" s="180">
        <v>36</v>
      </c>
      <c r="I1019" s="180">
        <v>512</v>
      </c>
      <c r="J1019" s="180">
        <v>0</v>
      </c>
      <c r="K1019" s="180">
        <v>0</v>
      </c>
    </row>
    <row r="1020" spans="1:11" x14ac:dyDescent="0.2">
      <c r="A1020" t="s">
        <v>4370</v>
      </c>
      <c r="B1020" s="180">
        <v>0</v>
      </c>
      <c r="C1020" s="180">
        <v>2</v>
      </c>
      <c r="D1020" s="180">
        <v>0</v>
      </c>
      <c r="E1020" s="180">
        <v>0</v>
      </c>
      <c r="F1020" s="180">
        <v>0</v>
      </c>
      <c r="G1020" s="180">
        <v>0</v>
      </c>
      <c r="H1020" s="180">
        <v>0</v>
      </c>
      <c r="I1020" s="180">
        <v>13</v>
      </c>
      <c r="J1020" s="180">
        <v>0</v>
      </c>
      <c r="K1020" s="180">
        <v>0</v>
      </c>
    </row>
    <row r="1021" spans="1:11" x14ac:dyDescent="0.2">
      <c r="A1021" t="s">
        <v>4371</v>
      </c>
      <c r="B1021" s="180">
        <v>0</v>
      </c>
      <c r="C1021" s="180">
        <v>1</v>
      </c>
      <c r="D1021" s="180">
        <v>0</v>
      </c>
      <c r="E1021" s="180">
        <v>0</v>
      </c>
      <c r="F1021" s="180">
        <v>0</v>
      </c>
      <c r="G1021" s="180">
        <v>0</v>
      </c>
      <c r="H1021" s="180">
        <v>0</v>
      </c>
      <c r="I1021" s="180">
        <v>10</v>
      </c>
      <c r="J1021" s="180">
        <v>0</v>
      </c>
      <c r="K1021" s="180">
        <v>0</v>
      </c>
    </row>
    <row r="1022" spans="1:11" x14ac:dyDescent="0.2">
      <c r="A1022" t="s">
        <v>4372</v>
      </c>
      <c r="B1022" s="180">
        <v>0</v>
      </c>
      <c r="C1022" s="180">
        <v>0</v>
      </c>
      <c r="D1022" s="180">
        <v>0</v>
      </c>
      <c r="E1022" s="180">
        <v>0</v>
      </c>
      <c r="F1022" s="180">
        <v>0</v>
      </c>
      <c r="G1022" s="180">
        <v>0</v>
      </c>
      <c r="H1022" s="180">
        <v>0</v>
      </c>
      <c r="I1022" s="180">
        <v>0</v>
      </c>
      <c r="J1022" s="180">
        <v>0</v>
      </c>
      <c r="K1022" s="180">
        <v>0</v>
      </c>
    </row>
    <row r="1023" spans="1:11" x14ac:dyDescent="0.2">
      <c r="A1023" t="s">
        <v>4373</v>
      </c>
      <c r="B1023" s="180">
        <v>0</v>
      </c>
      <c r="C1023" s="180">
        <v>1</v>
      </c>
      <c r="D1023" s="180">
        <v>0</v>
      </c>
      <c r="E1023" s="180">
        <v>0</v>
      </c>
      <c r="F1023" s="180">
        <v>1</v>
      </c>
      <c r="G1023" s="180">
        <v>0</v>
      </c>
      <c r="H1023" s="180">
        <v>0</v>
      </c>
      <c r="I1023" s="180">
        <v>2</v>
      </c>
      <c r="J1023" s="180">
        <v>0</v>
      </c>
      <c r="K1023" s="180">
        <v>0</v>
      </c>
    </row>
    <row r="1024" spans="1:11" x14ac:dyDescent="0.2">
      <c r="A1024" t="s">
        <v>4374</v>
      </c>
      <c r="B1024" s="180">
        <v>0</v>
      </c>
      <c r="C1024" s="180">
        <v>0</v>
      </c>
      <c r="D1024" s="180">
        <v>0</v>
      </c>
      <c r="E1024" s="180">
        <v>0</v>
      </c>
      <c r="F1024" s="180">
        <v>0</v>
      </c>
      <c r="G1024" s="180">
        <v>0</v>
      </c>
      <c r="H1024" s="180">
        <v>0</v>
      </c>
      <c r="I1024" s="180">
        <v>0</v>
      </c>
      <c r="J1024" s="180">
        <v>0</v>
      </c>
      <c r="K1024" s="180">
        <v>0</v>
      </c>
    </row>
    <row r="1025" spans="1:11" x14ac:dyDescent="0.2">
      <c r="A1025" t="s">
        <v>4375</v>
      </c>
      <c r="B1025" s="180">
        <v>0</v>
      </c>
      <c r="C1025" s="180">
        <v>0</v>
      </c>
      <c r="D1025" s="180">
        <v>0</v>
      </c>
      <c r="E1025" s="180">
        <v>0</v>
      </c>
      <c r="F1025" s="180">
        <v>0</v>
      </c>
      <c r="G1025" s="180">
        <v>0</v>
      </c>
      <c r="H1025" s="180">
        <v>0</v>
      </c>
      <c r="I1025" s="180">
        <v>0</v>
      </c>
      <c r="J1025" s="180">
        <v>0</v>
      </c>
      <c r="K1025" s="180">
        <v>0</v>
      </c>
    </row>
    <row r="1026" spans="1:11" x14ac:dyDescent="0.2">
      <c r="A1026" t="s">
        <v>4376</v>
      </c>
      <c r="B1026" s="180">
        <v>0</v>
      </c>
      <c r="C1026" s="180">
        <v>0</v>
      </c>
      <c r="D1026" s="180">
        <v>0</v>
      </c>
      <c r="E1026" s="180">
        <v>0</v>
      </c>
      <c r="F1026" s="180">
        <v>0</v>
      </c>
      <c r="G1026" s="180">
        <v>0</v>
      </c>
      <c r="H1026" s="180">
        <v>0</v>
      </c>
      <c r="I1026" s="180">
        <v>0</v>
      </c>
      <c r="J1026" s="180">
        <v>0</v>
      </c>
      <c r="K1026" s="180">
        <v>0</v>
      </c>
    </row>
    <row r="1027" spans="1:11" x14ac:dyDescent="0.2">
      <c r="A1027" t="s">
        <v>4377</v>
      </c>
      <c r="B1027" s="180">
        <v>0</v>
      </c>
      <c r="C1027" s="180">
        <v>2</v>
      </c>
      <c r="D1027" s="180">
        <v>0</v>
      </c>
      <c r="E1027" s="180">
        <v>0</v>
      </c>
      <c r="F1027" s="180">
        <v>2</v>
      </c>
      <c r="G1027" s="180">
        <v>0</v>
      </c>
      <c r="H1027" s="180">
        <v>1</v>
      </c>
      <c r="I1027" s="180">
        <v>6</v>
      </c>
      <c r="J1027" s="180">
        <v>0</v>
      </c>
      <c r="K1027" s="180">
        <v>0</v>
      </c>
    </row>
    <row r="1028" spans="1:11" x14ac:dyDescent="0.2">
      <c r="A1028" t="s">
        <v>4854</v>
      </c>
      <c r="B1028" s="180">
        <v>429</v>
      </c>
      <c r="C1028" s="180">
        <v>7379</v>
      </c>
      <c r="D1028" s="180">
        <v>559</v>
      </c>
      <c r="E1028" s="180">
        <v>0</v>
      </c>
      <c r="F1028" s="180">
        <v>3577</v>
      </c>
      <c r="G1028" s="180">
        <v>0</v>
      </c>
      <c r="H1028" s="180">
        <v>2953</v>
      </c>
      <c r="I1028" s="180">
        <v>22382</v>
      </c>
      <c r="J1028" s="180">
        <v>0</v>
      </c>
      <c r="K1028" s="180">
        <v>0</v>
      </c>
    </row>
    <row r="1029" spans="1:11" x14ac:dyDescent="0.2">
      <c r="A1029" t="s">
        <v>2318</v>
      </c>
      <c r="B1029" t="s">
        <v>4399</v>
      </c>
      <c r="C1029" t="s">
        <v>4399</v>
      </c>
      <c r="D1029" t="s">
        <v>4399</v>
      </c>
      <c r="E1029" t="s">
        <v>4399</v>
      </c>
      <c r="F1029" t="s">
        <v>4399</v>
      </c>
      <c r="G1029" t="s">
        <v>4399</v>
      </c>
      <c r="H1029" t="s">
        <v>4399</v>
      </c>
      <c r="I1029" t="s">
        <v>4399</v>
      </c>
      <c r="J1029" t="s">
        <v>4399</v>
      </c>
      <c r="K1029" t="s">
        <v>4399</v>
      </c>
    </row>
    <row r="1030" spans="1:11" x14ac:dyDescent="0.2">
      <c r="A1030" t="s">
        <v>4248</v>
      </c>
    </row>
    <row r="1031" spans="1:11" x14ac:dyDescent="0.2">
      <c r="A1031" t="s">
        <v>4855</v>
      </c>
      <c r="B1031" t="s">
        <v>4856</v>
      </c>
      <c r="C1031" t="s">
        <v>4857</v>
      </c>
      <c r="D1031" t="s">
        <v>4858</v>
      </c>
      <c r="E1031" t="s">
        <v>4859</v>
      </c>
      <c r="F1031" t="s">
        <v>4860</v>
      </c>
      <c r="G1031" t="s">
        <v>4865</v>
      </c>
    </row>
    <row r="1032" spans="1:11" x14ac:dyDescent="0.2">
      <c r="A1032" t="s">
        <v>2318</v>
      </c>
      <c r="B1032" t="s">
        <v>4399</v>
      </c>
      <c r="C1032" t="s">
        <v>4399</v>
      </c>
      <c r="D1032" t="s">
        <v>4399</v>
      </c>
      <c r="E1032" t="s">
        <v>4399</v>
      </c>
      <c r="F1032" t="s">
        <v>4399</v>
      </c>
      <c r="G1032" t="s">
        <v>4399</v>
      </c>
      <c r="H1032" t="s">
        <v>4399</v>
      </c>
      <c r="I1032" t="s">
        <v>4399</v>
      </c>
      <c r="J1032" t="s">
        <v>4399</v>
      </c>
      <c r="K1032" t="s">
        <v>4399</v>
      </c>
    </row>
    <row r="1033" spans="1:11" x14ac:dyDescent="0.2">
      <c r="A1033" t="s">
        <v>126</v>
      </c>
      <c r="B1033" t="s">
        <v>4578</v>
      </c>
      <c r="C1033" t="s">
        <v>4582</v>
      </c>
      <c r="D1033" t="s">
        <v>4586</v>
      </c>
      <c r="E1033" t="s">
        <v>4590</v>
      </c>
      <c r="F1033" t="s">
        <v>4594</v>
      </c>
      <c r="G1033" t="s">
        <v>4598</v>
      </c>
      <c r="H1033" t="s">
        <v>412</v>
      </c>
      <c r="I1033" t="s">
        <v>413</v>
      </c>
      <c r="J1033" t="s">
        <v>4608</v>
      </c>
      <c r="K1033" t="s">
        <v>4612</v>
      </c>
    </row>
    <row r="1034" spans="1:11" x14ac:dyDescent="0.2">
      <c r="A1034" t="s">
        <v>2318</v>
      </c>
      <c r="B1034" t="s">
        <v>4399</v>
      </c>
      <c r="C1034" t="s">
        <v>4399</v>
      </c>
      <c r="D1034" t="s">
        <v>4399</v>
      </c>
      <c r="E1034" t="s">
        <v>4399</v>
      </c>
      <c r="F1034" t="s">
        <v>4399</v>
      </c>
      <c r="G1034" t="s">
        <v>4399</v>
      </c>
      <c r="H1034" t="s">
        <v>4399</v>
      </c>
      <c r="I1034" t="s">
        <v>4399</v>
      </c>
      <c r="J1034" t="s">
        <v>4399</v>
      </c>
      <c r="K1034" t="s">
        <v>4399</v>
      </c>
    </row>
    <row r="1035" spans="1:11" x14ac:dyDescent="0.2">
      <c r="A1035" s="180" t="s">
        <v>4265</v>
      </c>
      <c r="B1035" s="180">
        <v>0</v>
      </c>
      <c r="C1035" s="180">
        <v>0</v>
      </c>
      <c r="D1035" s="180">
        <v>0</v>
      </c>
      <c r="E1035" s="180">
        <v>0</v>
      </c>
      <c r="F1035" s="180">
        <v>0</v>
      </c>
      <c r="G1035" s="180">
        <v>0</v>
      </c>
      <c r="H1035" s="180">
        <v>0</v>
      </c>
      <c r="I1035" s="180">
        <v>0</v>
      </c>
      <c r="J1035" s="180">
        <v>0</v>
      </c>
      <c r="K1035" s="180">
        <v>0</v>
      </c>
    </row>
    <row r="1036" spans="1:11" x14ac:dyDescent="0.2">
      <c r="A1036" s="180" t="s">
        <v>4266</v>
      </c>
      <c r="B1036" s="180">
        <v>0</v>
      </c>
      <c r="C1036" s="180">
        <v>0</v>
      </c>
      <c r="D1036" s="180">
        <v>0</v>
      </c>
      <c r="E1036" s="180">
        <v>0</v>
      </c>
      <c r="F1036" s="180">
        <v>0</v>
      </c>
      <c r="G1036" s="180">
        <v>0</v>
      </c>
      <c r="H1036" s="180">
        <v>0</v>
      </c>
      <c r="I1036" s="180">
        <v>0</v>
      </c>
      <c r="J1036" s="180">
        <v>0</v>
      </c>
      <c r="K1036" s="180">
        <v>0</v>
      </c>
    </row>
    <row r="1037" spans="1:11" x14ac:dyDescent="0.2">
      <c r="A1037" s="180" t="s">
        <v>4267</v>
      </c>
      <c r="B1037" s="180">
        <v>0</v>
      </c>
      <c r="C1037" s="180">
        <v>0</v>
      </c>
      <c r="D1037" s="180">
        <v>0</v>
      </c>
      <c r="E1037" s="180">
        <v>0</v>
      </c>
      <c r="F1037" s="180">
        <v>0</v>
      </c>
      <c r="G1037" s="180">
        <v>0</v>
      </c>
      <c r="H1037" s="180">
        <v>0</v>
      </c>
      <c r="I1037" s="180">
        <v>0</v>
      </c>
      <c r="J1037" s="180">
        <v>0</v>
      </c>
      <c r="K1037" s="180">
        <v>0</v>
      </c>
    </row>
    <row r="1038" spans="1:11" x14ac:dyDescent="0.2">
      <c r="A1038" s="180" t="s">
        <v>4268</v>
      </c>
      <c r="B1038" s="180">
        <v>0</v>
      </c>
      <c r="C1038" s="180">
        <v>0</v>
      </c>
      <c r="D1038" s="180">
        <v>0</v>
      </c>
      <c r="E1038" s="180">
        <v>0</v>
      </c>
      <c r="F1038" s="180">
        <v>0</v>
      </c>
      <c r="G1038" s="180">
        <v>0</v>
      </c>
      <c r="H1038" s="180">
        <v>0</v>
      </c>
      <c r="I1038" s="180">
        <v>0</v>
      </c>
      <c r="J1038" s="180">
        <v>0</v>
      </c>
      <c r="K1038" s="180">
        <v>0</v>
      </c>
    </row>
    <row r="1039" spans="1:11" x14ac:dyDescent="0.2">
      <c r="A1039" s="180" t="s">
        <v>4269</v>
      </c>
      <c r="B1039" s="180">
        <v>0</v>
      </c>
      <c r="C1039" s="180">
        <v>0</v>
      </c>
      <c r="D1039" s="180">
        <v>0</v>
      </c>
      <c r="E1039" s="180">
        <v>0</v>
      </c>
      <c r="F1039" s="180">
        <v>0</v>
      </c>
      <c r="G1039" s="180">
        <v>0</v>
      </c>
      <c r="H1039" s="180">
        <v>0</v>
      </c>
      <c r="I1039" s="180">
        <v>0</v>
      </c>
      <c r="J1039" s="180">
        <v>0</v>
      </c>
      <c r="K1039" s="180">
        <v>0</v>
      </c>
    </row>
    <row r="1040" spans="1:11" x14ac:dyDescent="0.2">
      <c r="A1040" s="180" t="s">
        <v>4270</v>
      </c>
      <c r="B1040" s="180">
        <v>0</v>
      </c>
      <c r="C1040" s="180">
        <v>0</v>
      </c>
      <c r="D1040" s="180">
        <v>0</v>
      </c>
      <c r="E1040" s="180">
        <v>0</v>
      </c>
      <c r="F1040" s="180">
        <v>0</v>
      </c>
      <c r="G1040" s="180">
        <v>0</v>
      </c>
      <c r="H1040" s="180">
        <v>0</v>
      </c>
      <c r="I1040" s="180">
        <v>0</v>
      </c>
      <c r="J1040" s="180">
        <v>0</v>
      </c>
      <c r="K1040" s="180">
        <v>0</v>
      </c>
    </row>
    <row r="1041" spans="1:11" x14ac:dyDescent="0.2">
      <c r="A1041" s="180" t="s">
        <v>4271</v>
      </c>
      <c r="B1041" s="180">
        <v>0</v>
      </c>
      <c r="C1041" s="180">
        <v>0</v>
      </c>
      <c r="D1041" s="180">
        <v>0</v>
      </c>
      <c r="E1041" s="180">
        <v>0</v>
      </c>
      <c r="F1041" s="180">
        <v>0</v>
      </c>
      <c r="G1041" s="180">
        <v>0</v>
      </c>
      <c r="H1041" s="180">
        <v>0</v>
      </c>
      <c r="I1041" s="180">
        <v>0</v>
      </c>
      <c r="J1041" s="180">
        <v>0</v>
      </c>
      <c r="K1041" s="180">
        <v>0</v>
      </c>
    </row>
    <row r="1042" spans="1:11" x14ac:dyDescent="0.2">
      <c r="A1042" s="180" t="s">
        <v>4272</v>
      </c>
      <c r="B1042" s="180">
        <v>0</v>
      </c>
      <c r="C1042" s="180">
        <v>0</v>
      </c>
      <c r="D1042" s="180">
        <v>0</v>
      </c>
      <c r="E1042" s="180">
        <v>0</v>
      </c>
      <c r="F1042" s="180">
        <v>0</v>
      </c>
      <c r="G1042" s="180">
        <v>0</v>
      </c>
      <c r="H1042" s="180">
        <v>0</v>
      </c>
      <c r="I1042" s="180">
        <v>0</v>
      </c>
      <c r="J1042" s="180">
        <v>0</v>
      </c>
      <c r="K1042" s="180">
        <v>0</v>
      </c>
    </row>
    <row r="1043" spans="1:11" x14ac:dyDescent="0.2">
      <c r="A1043" s="180" t="s">
        <v>4273</v>
      </c>
      <c r="B1043" s="180">
        <v>0</v>
      </c>
      <c r="C1043" s="180">
        <v>0</v>
      </c>
      <c r="D1043" s="180">
        <v>0</v>
      </c>
      <c r="E1043" s="180">
        <v>0</v>
      </c>
      <c r="F1043" s="180">
        <v>0</v>
      </c>
      <c r="G1043" s="180">
        <v>0</v>
      </c>
      <c r="H1043" s="180">
        <v>0</v>
      </c>
      <c r="I1043" s="180">
        <v>0</v>
      </c>
      <c r="J1043" s="180">
        <v>0</v>
      </c>
      <c r="K1043" s="180">
        <v>0</v>
      </c>
    </row>
    <row r="1044" spans="1:11" x14ac:dyDescent="0.2">
      <c r="A1044" s="180" t="s">
        <v>4274</v>
      </c>
      <c r="B1044" s="180">
        <v>0</v>
      </c>
      <c r="C1044" s="180">
        <v>0</v>
      </c>
      <c r="D1044" s="180">
        <v>0</v>
      </c>
      <c r="E1044" s="180">
        <v>0</v>
      </c>
      <c r="F1044" s="180">
        <v>0</v>
      </c>
      <c r="G1044" s="180">
        <v>0</v>
      </c>
      <c r="H1044" s="180">
        <v>0</v>
      </c>
      <c r="I1044" s="180">
        <v>0</v>
      </c>
      <c r="J1044" s="180">
        <v>0</v>
      </c>
      <c r="K1044" s="180">
        <v>0</v>
      </c>
    </row>
    <row r="1045" spans="1:11" x14ac:dyDescent="0.2">
      <c r="A1045" s="180" t="s">
        <v>4275</v>
      </c>
      <c r="B1045" s="180">
        <v>0</v>
      </c>
      <c r="C1045" s="180">
        <v>0</v>
      </c>
      <c r="D1045" s="180">
        <v>0</v>
      </c>
      <c r="E1045" s="180">
        <v>0</v>
      </c>
      <c r="F1045" s="180">
        <v>0</v>
      </c>
      <c r="G1045" s="180">
        <v>0</v>
      </c>
      <c r="H1045" s="180">
        <v>0</v>
      </c>
      <c r="I1045" s="180">
        <v>0</v>
      </c>
      <c r="J1045" s="180">
        <v>0</v>
      </c>
      <c r="K1045" s="180">
        <v>0</v>
      </c>
    </row>
    <row r="1046" spans="1:11" x14ac:dyDescent="0.2">
      <c r="A1046" s="180" t="s">
        <v>4276</v>
      </c>
      <c r="B1046" s="180">
        <v>0</v>
      </c>
      <c r="C1046" s="180">
        <v>0</v>
      </c>
      <c r="D1046" s="180">
        <v>0</v>
      </c>
      <c r="E1046" s="180">
        <v>0</v>
      </c>
      <c r="F1046" s="180">
        <v>0</v>
      </c>
      <c r="G1046" s="180">
        <v>0</v>
      </c>
      <c r="H1046" s="180">
        <v>0</v>
      </c>
      <c r="I1046" s="180">
        <v>0</v>
      </c>
      <c r="J1046" s="180">
        <v>0</v>
      </c>
      <c r="K1046" s="180">
        <v>0</v>
      </c>
    </row>
    <row r="1047" spans="1:11" x14ac:dyDescent="0.2">
      <c r="A1047" s="180" t="s">
        <v>4277</v>
      </c>
      <c r="B1047" s="180">
        <v>0</v>
      </c>
      <c r="C1047" s="180">
        <v>0</v>
      </c>
      <c r="D1047" s="180">
        <v>0</v>
      </c>
      <c r="E1047" s="180">
        <v>0</v>
      </c>
      <c r="F1047" s="180">
        <v>0</v>
      </c>
      <c r="G1047" s="180">
        <v>0</v>
      </c>
      <c r="H1047" s="180">
        <v>0</v>
      </c>
      <c r="I1047" s="180">
        <v>0</v>
      </c>
      <c r="J1047" s="180">
        <v>0</v>
      </c>
      <c r="K1047" s="180">
        <v>0</v>
      </c>
    </row>
    <row r="1048" spans="1:11" x14ac:dyDescent="0.2">
      <c r="A1048" s="180" t="s">
        <v>4278</v>
      </c>
      <c r="B1048" s="180">
        <v>0</v>
      </c>
      <c r="C1048" s="180">
        <v>0</v>
      </c>
      <c r="D1048" s="180">
        <v>0</v>
      </c>
      <c r="E1048" s="180">
        <v>0</v>
      </c>
      <c r="F1048" s="180">
        <v>0</v>
      </c>
      <c r="G1048" s="180">
        <v>0</v>
      </c>
      <c r="H1048" s="180">
        <v>0</v>
      </c>
      <c r="I1048" s="180">
        <v>0</v>
      </c>
      <c r="J1048" s="180">
        <v>0</v>
      </c>
      <c r="K1048" s="180">
        <v>0</v>
      </c>
    </row>
    <row r="1049" spans="1:11" x14ac:dyDescent="0.2">
      <c r="A1049" s="180" t="s">
        <v>4279</v>
      </c>
      <c r="B1049" s="180">
        <v>0</v>
      </c>
      <c r="C1049" s="180">
        <v>0</v>
      </c>
      <c r="D1049" s="180">
        <v>0</v>
      </c>
      <c r="E1049" s="180">
        <v>0</v>
      </c>
      <c r="F1049" s="180">
        <v>0</v>
      </c>
      <c r="G1049" s="180">
        <v>0</v>
      </c>
      <c r="H1049" s="180">
        <v>0</v>
      </c>
      <c r="I1049" s="180">
        <v>0</v>
      </c>
      <c r="J1049" s="180">
        <v>0</v>
      </c>
      <c r="K1049" s="180">
        <v>0</v>
      </c>
    </row>
    <row r="1050" spans="1:11" x14ac:dyDescent="0.2">
      <c r="A1050" s="180" t="s">
        <v>4280</v>
      </c>
      <c r="B1050" s="180">
        <v>0</v>
      </c>
      <c r="C1050" s="180">
        <v>0</v>
      </c>
      <c r="D1050" s="180">
        <v>0</v>
      </c>
      <c r="E1050" s="180">
        <v>0</v>
      </c>
      <c r="F1050" s="180">
        <v>0</v>
      </c>
      <c r="G1050" s="180">
        <v>0</v>
      </c>
      <c r="H1050" s="180">
        <v>0</v>
      </c>
      <c r="I1050" s="180">
        <v>0</v>
      </c>
      <c r="J1050" s="180">
        <v>0</v>
      </c>
      <c r="K1050" s="180">
        <v>0</v>
      </c>
    </row>
    <row r="1051" spans="1:11" x14ac:dyDescent="0.2">
      <c r="A1051" s="180" t="s">
        <v>4281</v>
      </c>
      <c r="B1051" s="180">
        <v>0</v>
      </c>
      <c r="C1051" s="180">
        <v>0</v>
      </c>
      <c r="D1051" s="180">
        <v>0</v>
      </c>
      <c r="E1051" s="180">
        <v>0</v>
      </c>
      <c r="F1051" s="180">
        <v>7</v>
      </c>
      <c r="G1051" s="180">
        <v>0</v>
      </c>
      <c r="H1051" s="180">
        <v>1</v>
      </c>
      <c r="I1051" s="180">
        <v>54</v>
      </c>
      <c r="J1051" s="180">
        <v>1</v>
      </c>
      <c r="K1051" s="180">
        <v>0</v>
      </c>
    </row>
    <row r="1052" spans="1:11" x14ac:dyDescent="0.2">
      <c r="A1052" s="180" t="s">
        <v>4282</v>
      </c>
      <c r="B1052" s="180">
        <v>0</v>
      </c>
      <c r="C1052" s="180">
        <v>0</v>
      </c>
      <c r="D1052" s="180">
        <v>0</v>
      </c>
      <c r="E1052" s="180">
        <v>0</v>
      </c>
      <c r="F1052" s="180">
        <v>3</v>
      </c>
      <c r="G1052" s="180">
        <v>0</v>
      </c>
      <c r="H1052" s="180">
        <v>0</v>
      </c>
      <c r="I1052" s="180">
        <v>12</v>
      </c>
      <c r="J1052" s="180">
        <v>1</v>
      </c>
      <c r="K1052" s="180">
        <v>0</v>
      </c>
    </row>
    <row r="1053" spans="1:11" x14ac:dyDescent="0.2">
      <c r="A1053" s="180" t="s">
        <v>4283</v>
      </c>
      <c r="B1053" s="180">
        <v>0</v>
      </c>
      <c r="C1053" s="180">
        <v>0</v>
      </c>
      <c r="D1053" s="180">
        <v>0</v>
      </c>
      <c r="E1053" s="180">
        <v>0</v>
      </c>
      <c r="F1053" s="180">
        <v>1</v>
      </c>
      <c r="G1053" s="180">
        <v>0</v>
      </c>
      <c r="H1053" s="180">
        <v>0</v>
      </c>
      <c r="I1053" s="180">
        <v>5</v>
      </c>
      <c r="J1053" s="180">
        <v>0</v>
      </c>
      <c r="K1053" s="180">
        <v>0</v>
      </c>
    </row>
    <row r="1054" spans="1:11" x14ac:dyDescent="0.2">
      <c r="A1054" s="180" t="s">
        <v>4284</v>
      </c>
      <c r="B1054" s="180">
        <v>0</v>
      </c>
      <c r="C1054" s="180">
        <v>0</v>
      </c>
      <c r="D1054" s="180">
        <v>0</v>
      </c>
      <c r="E1054" s="180">
        <v>0</v>
      </c>
      <c r="F1054" s="180">
        <v>0</v>
      </c>
      <c r="G1054" s="180">
        <v>0</v>
      </c>
      <c r="H1054" s="180">
        <v>0</v>
      </c>
      <c r="I1054" s="180">
        <v>0</v>
      </c>
      <c r="J1054" s="180">
        <v>0</v>
      </c>
      <c r="K1054" s="180">
        <v>0</v>
      </c>
    </row>
    <row r="1055" spans="1:11" x14ac:dyDescent="0.2">
      <c r="A1055" s="180" t="s">
        <v>4285</v>
      </c>
      <c r="B1055" s="180">
        <v>0</v>
      </c>
      <c r="C1055" s="180">
        <v>0</v>
      </c>
      <c r="D1055" s="180">
        <v>0</v>
      </c>
      <c r="E1055" s="180">
        <v>0</v>
      </c>
      <c r="F1055" s="180">
        <v>4</v>
      </c>
      <c r="G1055" s="180">
        <v>0</v>
      </c>
      <c r="H1055" s="180">
        <v>0</v>
      </c>
      <c r="I1055" s="180">
        <v>27</v>
      </c>
      <c r="J1055" s="180">
        <v>1</v>
      </c>
      <c r="K1055" s="180">
        <v>0</v>
      </c>
    </row>
    <row r="1056" spans="1:11" x14ac:dyDescent="0.2">
      <c r="A1056" s="180" t="s">
        <v>4286</v>
      </c>
      <c r="B1056" s="180">
        <v>0</v>
      </c>
      <c r="C1056" s="180">
        <v>0</v>
      </c>
      <c r="D1056" s="180">
        <v>0</v>
      </c>
      <c r="E1056" s="180">
        <v>0</v>
      </c>
      <c r="F1056" s="180">
        <v>2</v>
      </c>
      <c r="G1056" s="180">
        <v>0</v>
      </c>
      <c r="H1056" s="180">
        <v>0</v>
      </c>
      <c r="I1056" s="180">
        <v>4</v>
      </c>
      <c r="J1056" s="180">
        <v>0</v>
      </c>
      <c r="K1056" s="180">
        <v>0</v>
      </c>
    </row>
    <row r="1057" spans="1:11" x14ac:dyDescent="0.2">
      <c r="A1057" s="180" t="s">
        <v>4287</v>
      </c>
      <c r="B1057" s="180">
        <v>0</v>
      </c>
      <c r="C1057" s="180">
        <v>0</v>
      </c>
      <c r="D1057" s="180">
        <v>0</v>
      </c>
      <c r="E1057" s="180">
        <v>0</v>
      </c>
      <c r="F1057" s="180">
        <v>2</v>
      </c>
      <c r="G1057" s="180">
        <v>0</v>
      </c>
      <c r="H1057" s="180">
        <v>0</v>
      </c>
      <c r="I1057" s="180">
        <v>12</v>
      </c>
      <c r="J1057" s="180">
        <v>0</v>
      </c>
      <c r="K1057" s="180">
        <v>0</v>
      </c>
    </row>
    <row r="1058" spans="1:11" x14ac:dyDescent="0.2">
      <c r="A1058" s="180" t="s">
        <v>4288</v>
      </c>
      <c r="B1058" s="180">
        <v>0</v>
      </c>
      <c r="C1058" s="180">
        <v>0</v>
      </c>
      <c r="D1058" s="180">
        <v>0</v>
      </c>
      <c r="E1058" s="180">
        <v>0</v>
      </c>
      <c r="F1058" s="180">
        <v>0</v>
      </c>
      <c r="G1058" s="180">
        <v>0</v>
      </c>
      <c r="H1058" s="180">
        <v>0</v>
      </c>
      <c r="I1058" s="180">
        <v>0</v>
      </c>
      <c r="J1058" s="180">
        <v>0</v>
      </c>
      <c r="K1058" s="180">
        <v>0</v>
      </c>
    </row>
    <row r="1059" spans="1:11" x14ac:dyDescent="0.2">
      <c r="A1059" s="180" t="s">
        <v>4289</v>
      </c>
      <c r="B1059" s="180">
        <v>0</v>
      </c>
      <c r="C1059" s="180">
        <v>0</v>
      </c>
      <c r="D1059" s="180">
        <v>0</v>
      </c>
      <c r="E1059" s="180">
        <v>0</v>
      </c>
      <c r="F1059" s="180">
        <v>0</v>
      </c>
      <c r="G1059" s="180">
        <v>0</v>
      </c>
      <c r="H1059" s="180">
        <v>0</v>
      </c>
      <c r="I1059" s="180">
        <v>0</v>
      </c>
      <c r="J1059" s="180">
        <v>0</v>
      </c>
      <c r="K1059" s="180">
        <v>0</v>
      </c>
    </row>
    <row r="1060" spans="1:11" x14ac:dyDescent="0.2">
      <c r="A1060" s="180" t="s">
        <v>4290</v>
      </c>
      <c r="B1060" s="180">
        <v>0</v>
      </c>
      <c r="C1060" s="180">
        <v>0</v>
      </c>
      <c r="D1060" s="180">
        <v>0</v>
      </c>
      <c r="E1060" s="180">
        <v>0</v>
      </c>
      <c r="F1060" s="180">
        <v>0</v>
      </c>
      <c r="G1060" s="180">
        <v>0</v>
      </c>
      <c r="H1060" s="180">
        <v>0</v>
      </c>
      <c r="I1060" s="180">
        <v>0</v>
      </c>
      <c r="J1060" s="180">
        <v>0</v>
      </c>
      <c r="K1060" s="180">
        <v>0</v>
      </c>
    </row>
    <row r="1061" spans="1:11" x14ac:dyDescent="0.2">
      <c r="A1061" s="180" t="s">
        <v>4291</v>
      </c>
      <c r="B1061" s="180">
        <v>0</v>
      </c>
      <c r="C1061" s="180">
        <v>0</v>
      </c>
      <c r="D1061" s="180">
        <v>0</v>
      </c>
      <c r="E1061" s="180">
        <v>0</v>
      </c>
      <c r="F1061" s="180">
        <v>0</v>
      </c>
      <c r="G1061" s="180">
        <v>0</v>
      </c>
      <c r="H1061" s="180">
        <v>0</v>
      </c>
      <c r="I1061" s="180">
        <v>0</v>
      </c>
      <c r="J1061" s="180">
        <v>0</v>
      </c>
      <c r="K1061" s="180">
        <v>0</v>
      </c>
    </row>
    <row r="1062" spans="1:11" x14ac:dyDescent="0.2">
      <c r="A1062" s="180" t="s">
        <v>4292</v>
      </c>
      <c r="B1062" s="180">
        <v>0</v>
      </c>
      <c r="C1062" s="180">
        <v>0</v>
      </c>
      <c r="D1062" s="180">
        <v>0</v>
      </c>
      <c r="E1062" s="180">
        <v>0</v>
      </c>
      <c r="F1062" s="180">
        <v>0</v>
      </c>
      <c r="G1062" s="180">
        <v>0</v>
      </c>
      <c r="H1062" s="180">
        <v>0</v>
      </c>
      <c r="I1062" s="180">
        <v>0</v>
      </c>
      <c r="J1062" s="180">
        <v>0</v>
      </c>
      <c r="K1062" s="180">
        <v>0</v>
      </c>
    </row>
    <row r="1063" spans="1:11" x14ac:dyDescent="0.2">
      <c r="A1063" s="180" t="s">
        <v>4293</v>
      </c>
      <c r="B1063" s="180">
        <v>0</v>
      </c>
      <c r="C1063" s="180">
        <v>0</v>
      </c>
      <c r="D1063" s="180">
        <v>0</v>
      </c>
      <c r="E1063" s="180">
        <v>0</v>
      </c>
      <c r="F1063" s="180">
        <v>0</v>
      </c>
      <c r="G1063" s="180">
        <v>0</v>
      </c>
      <c r="H1063" s="180">
        <v>0</v>
      </c>
      <c r="I1063" s="180">
        <v>0</v>
      </c>
      <c r="J1063" s="180">
        <v>0</v>
      </c>
      <c r="K1063" s="180">
        <v>0</v>
      </c>
    </row>
    <row r="1064" spans="1:11" x14ac:dyDescent="0.2">
      <c r="A1064" s="180" t="s">
        <v>4294</v>
      </c>
      <c r="B1064" s="180">
        <v>0</v>
      </c>
      <c r="C1064" s="180">
        <v>0</v>
      </c>
      <c r="D1064" s="180">
        <v>0</v>
      </c>
      <c r="E1064" s="180">
        <v>0</v>
      </c>
      <c r="F1064" s="180">
        <v>0</v>
      </c>
      <c r="G1064" s="180">
        <v>0</v>
      </c>
      <c r="H1064" s="180">
        <v>0</v>
      </c>
      <c r="I1064" s="180">
        <v>0</v>
      </c>
      <c r="J1064" s="180">
        <v>0</v>
      </c>
      <c r="K1064" s="180">
        <v>0</v>
      </c>
    </row>
    <row r="1065" spans="1:11" x14ac:dyDescent="0.2">
      <c r="A1065" s="180" t="s">
        <v>4295</v>
      </c>
      <c r="B1065" s="180">
        <v>0</v>
      </c>
      <c r="C1065" s="180">
        <v>0</v>
      </c>
      <c r="D1065" s="180">
        <v>0</v>
      </c>
      <c r="E1065" s="180">
        <v>0</v>
      </c>
      <c r="F1065" s="180">
        <v>0</v>
      </c>
      <c r="G1065" s="180">
        <v>0</v>
      </c>
      <c r="H1065" s="180">
        <v>0</v>
      </c>
      <c r="I1065" s="180">
        <v>0</v>
      </c>
      <c r="J1065" s="180">
        <v>0</v>
      </c>
      <c r="K1065" s="180">
        <v>0</v>
      </c>
    </row>
    <row r="1066" spans="1:11" x14ac:dyDescent="0.2">
      <c r="A1066" s="180" t="s">
        <v>4296</v>
      </c>
      <c r="B1066" s="180">
        <v>0</v>
      </c>
      <c r="C1066" s="180">
        <v>0</v>
      </c>
      <c r="D1066" s="180">
        <v>0</v>
      </c>
      <c r="E1066" s="180">
        <v>0</v>
      </c>
      <c r="F1066" s="180">
        <v>0</v>
      </c>
      <c r="G1066" s="180">
        <v>0</v>
      </c>
      <c r="H1066" s="180">
        <v>0</v>
      </c>
      <c r="I1066" s="180">
        <v>0</v>
      </c>
      <c r="J1066" s="180">
        <v>0</v>
      </c>
      <c r="K1066" s="180">
        <v>0</v>
      </c>
    </row>
    <row r="1067" spans="1:11" x14ac:dyDescent="0.2">
      <c r="A1067" s="180" t="s">
        <v>4297</v>
      </c>
      <c r="B1067" s="180">
        <v>0</v>
      </c>
      <c r="C1067" s="180">
        <v>0</v>
      </c>
      <c r="D1067" s="180">
        <v>0</v>
      </c>
      <c r="E1067" s="180">
        <v>0</v>
      </c>
      <c r="F1067" s="180">
        <v>5</v>
      </c>
      <c r="G1067" s="180">
        <v>0</v>
      </c>
      <c r="H1067" s="180">
        <v>1</v>
      </c>
      <c r="I1067" s="180">
        <v>40</v>
      </c>
      <c r="J1067" s="180">
        <v>1</v>
      </c>
      <c r="K1067" s="180">
        <v>0</v>
      </c>
    </row>
    <row r="1068" spans="1:11" x14ac:dyDescent="0.2">
      <c r="A1068" s="180" t="s">
        <v>4298</v>
      </c>
      <c r="B1068" s="180">
        <v>0</v>
      </c>
      <c r="C1068" s="180">
        <v>0</v>
      </c>
      <c r="D1068" s="180">
        <v>0</v>
      </c>
      <c r="E1068" s="180">
        <v>0</v>
      </c>
      <c r="F1068" s="180">
        <v>4</v>
      </c>
      <c r="G1068" s="180">
        <v>0</v>
      </c>
      <c r="H1068" s="180">
        <v>0</v>
      </c>
      <c r="I1068" s="180">
        <v>16</v>
      </c>
      <c r="J1068" s="180">
        <v>1</v>
      </c>
      <c r="K1068" s="180">
        <v>0</v>
      </c>
    </row>
    <row r="1069" spans="1:11" x14ac:dyDescent="0.2">
      <c r="A1069" s="180" t="s">
        <v>4299</v>
      </c>
      <c r="B1069" s="180">
        <v>0</v>
      </c>
      <c r="C1069" s="180">
        <v>0</v>
      </c>
      <c r="D1069" s="180">
        <v>0</v>
      </c>
      <c r="E1069" s="180">
        <v>0</v>
      </c>
      <c r="F1069" s="180">
        <v>16</v>
      </c>
      <c r="G1069" s="180">
        <v>0</v>
      </c>
      <c r="H1069" s="180">
        <v>2</v>
      </c>
      <c r="I1069" s="180">
        <v>62</v>
      </c>
      <c r="J1069" s="180">
        <v>2</v>
      </c>
      <c r="K1069" s="180">
        <v>0</v>
      </c>
    </row>
    <row r="1070" spans="1:11" x14ac:dyDescent="0.2">
      <c r="A1070" s="180" t="s">
        <v>4300</v>
      </c>
      <c r="B1070" s="180">
        <v>0</v>
      </c>
      <c r="C1070" s="180">
        <v>0</v>
      </c>
      <c r="D1070" s="180">
        <v>0</v>
      </c>
      <c r="E1070" s="180">
        <v>0</v>
      </c>
      <c r="F1070" s="180">
        <v>1</v>
      </c>
      <c r="G1070" s="180">
        <v>0</v>
      </c>
      <c r="H1070" s="180">
        <v>0</v>
      </c>
      <c r="I1070" s="180">
        <v>1</v>
      </c>
      <c r="J1070" s="180">
        <v>0</v>
      </c>
      <c r="K1070" s="180">
        <v>0</v>
      </c>
    </row>
    <row r="1071" spans="1:11" x14ac:dyDescent="0.2">
      <c r="A1071" s="180" t="s">
        <v>4301</v>
      </c>
      <c r="B1071" s="180">
        <v>1</v>
      </c>
      <c r="C1071" s="180">
        <v>0</v>
      </c>
      <c r="D1071" s="180">
        <v>0</v>
      </c>
      <c r="E1071" s="180">
        <v>0</v>
      </c>
      <c r="F1071" s="180">
        <v>21</v>
      </c>
      <c r="G1071" s="180">
        <v>0</v>
      </c>
      <c r="H1071" s="180">
        <v>2</v>
      </c>
      <c r="I1071" s="180">
        <v>160</v>
      </c>
      <c r="J1071" s="180">
        <v>3</v>
      </c>
      <c r="K1071" s="180">
        <v>0</v>
      </c>
    </row>
    <row r="1072" spans="1:11" x14ac:dyDescent="0.2">
      <c r="A1072" s="180" t="s">
        <v>4302</v>
      </c>
      <c r="B1072" s="180">
        <v>0</v>
      </c>
      <c r="C1072" s="180">
        <v>0</v>
      </c>
      <c r="D1072" s="180">
        <v>0</v>
      </c>
      <c r="E1072" s="180">
        <v>0</v>
      </c>
      <c r="F1072" s="180">
        <v>18</v>
      </c>
      <c r="G1072" s="180">
        <v>0</v>
      </c>
      <c r="H1072" s="180">
        <v>2</v>
      </c>
      <c r="I1072" s="180">
        <v>84</v>
      </c>
      <c r="J1072" s="180">
        <v>3</v>
      </c>
      <c r="K1072" s="180">
        <v>0</v>
      </c>
    </row>
    <row r="1073" spans="1:11" x14ac:dyDescent="0.2">
      <c r="A1073" s="180" t="s">
        <v>4303</v>
      </c>
      <c r="B1073" s="180">
        <v>2</v>
      </c>
      <c r="C1073" s="180">
        <v>0</v>
      </c>
      <c r="D1073" s="180">
        <v>0</v>
      </c>
      <c r="E1073" s="180">
        <v>0</v>
      </c>
      <c r="F1073" s="180">
        <v>61</v>
      </c>
      <c r="G1073" s="180">
        <v>0</v>
      </c>
      <c r="H1073" s="180">
        <v>6</v>
      </c>
      <c r="I1073" s="180">
        <v>97</v>
      </c>
      <c r="J1073" s="180">
        <v>10</v>
      </c>
      <c r="K1073" s="180">
        <v>0</v>
      </c>
    </row>
    <row r="1074" spans="1:11" x14ac:dyDescent="0.2">
      <c r="A1074" s="180" t="s">
        <v>4304</v>
      </c>
      <c r="B1074" s="180">
        <v>0</v>
      </c>
      <c r="C1074" s="180">
        <v>0</v>
      </c>
      <c r="D1074" s="180">
        <v>0</v>
      </c>
      <c r="E1074" s="180">
        <v>0</v>
      </c>
      <c r="F1074" s="180">
        <v>16</v>
      </c>
      <c r="G1074" s="180">
        <v>0</v>
      </c>
      <c r="H1074" s="180">
        <v>2</v>
      </c>
      <c r="I1074" s="180">
        <v>113</v>
      </c>
      <c r="J1074" s="180">
        <v>3</v>
      </c>
      <c r="K1074" s="180">
        <v>0</v>
      </c>
    </row>
    <row r="1075" spans="1:11" x14ac:dyDescent="0.2">
      <c r="A1075" s="180" t="s">
        <v>4305</v>
      </c>
      <c r="B1075" s="180">
        <v>2</v>
      </c>
      <c r="C1075" s="180">
        <v>0</v>
      </c>
      <c r="D1075" s="180">
        <v>0</v>
      </c>
      <c r="E1075" s="180">
        <v>0</v>
      </c>
      <c r="F1075" s="180">
        <v>59</v>
      </c>
      <c r="G1075" s="180">
        <v>0</v>
      </c>
      <c r="H1075" s="180">
        <v>6</v>
      </c>
      <c r="I1075" s="180">
        <v>444</v>
      </c>
      <c r="J1075" s="180">
        <v>9</v>
      </c>
      <c r="K1075" s="180">
        <v>0</v>
      </c>
    </row>
    <row r="1076" spans="1:11" x14ac:dyDescent="0.2">
      <c r="A1076" s="180" t="s">
        <v>4306</v>
      </c>
      <c r="B1076" s="180">
        <v>0</v>
      </c>
      <c r="C1076" s="180">
        <v>0</v>
      </c>
      <c r="D1076" s="180">
        <v>0</v>
      </c>
      <c r="E1076" s="180">
        <v>0</v>
      </c>
      <c r="F1076" s="180">
        <v>8</v>
      </c>
      <c r="G1076" s="180">
        <v>0</v>
      </c>
      <c r="H1076" s="180">
        <v>1</v>
      </c>
      <c r="I1076" s="180">
        <v>38</v>
      </c>
      <c r="J1076" s="180">
        <v>1</v>
      </c>
      <c r="K1076" s="180">
        <v>0</v>
      </c>
    </row>
    <row r="1077" spans="1:11" x14ac:dyDescent="0.2">
      <c r="A1077" s="180" t="s">
        <v>4307</v>
      </c>
      <c r="B1077" s="180">
        <v>7</v>
      </c>
      <c r="C1077" s="180">
        <v>0</v>
      </c>
      <c r="D1077" s="180">
        <v>0</v>
      </c>
      <c r="E1077" s="180">
        <v>0</v>
      </c>
      <c r="F1077" s="180">
        <v>254</v>
      </c>
      <c r="G1077" s="180">
        <v>0</v>
      </c>
      <c r="H1077" s="180">
        <v>25</v>
      </c>
      <c r="I1077" s="180">
        <v>397</v>
      </c>
      <c r="J1077" s="180">
        <v>40</v>
      </c>
      <c r="K1077" s="180">
        <v>0</v>
      </c>
    </row>
    <row r="1078" spans="1:11" x14ac:dyDescent="0.2">
      <c r="A1078" s="180" t="s">
        <v>4308</v>
      </c>
      <c r="B1078" s="180">
        <v>0</v>
      </c>
      <c r="C1078" s="180">
        <v>0</v>
      </c>
      <c r="D1078" s="180">
        <v>0</v>
      </c>
      <c r="E1078" s="180">
        <v>0</v>
      </c>
      <c r="F1078" s="180">
        <v>10</v>
      </c>
      <c r="G1078" s="180">
        <v>0</v>
      </c>
      <c r="H1078" s="180">
        <v>1</v>
      </c>
      <c r="I1078" s="180">
        <v>16</v>
      </c>
      <c r="J1078" s="180">
        <v>2</v>
      </c>
      <c r="K1078" s="180">
        <v>0</v>
      </c>
    </row>
    <row r="1079" spans="1:11" x14ac:dyDescent="0.2">
      <c r="A1079" s="180" t="s">
        <v>4309</v>
      </c>
      <c r="B1079" s="180">
        <v>0</v>
      </c>
      <c r="C1079" s="180">
        <v>0</v>
      </c>
      <c r="D1079" s="180">
        <v>0</v>
      </c>
      <c r="E1079" s="180">
        <v>0</v>
      </c>
      <c r="F1079" s="180">
        <v>0</v>
      </c>
      <c r="G1079" s="180">
        <v>0</v>
      </c>
      <c r="H1079" s="180">
        <v>0</v>
      </c>
      <c r="I1079" s="180">
        <v>0</v>
      </c>
      <c r="J1079" s="180">
        <v>0</v>
      </c>
      <c r="K1079" s="180">
        <v>0</v>
      </c>
    </row>
    <row r="1080" spans="1:11" x14ac:dyDescent="0.2">
      <c r="A1080" s="180" t="s">
        <v>4310</v>
      </c>
      <c r="B1080" s="180">
        <v>0</v>
      </c>
      <c r="C1080" s="180">
        <v>0</v>
      </c>
      <c r="D1080" s="180">
        <v>0</v>
      </c>
      <c r="E1080" s="180">
        <v>0</v>
      </c>
      <c r="F1080" s="180">
        <v>0</v>
      </c>
      <c r="G1080" s="180">
        <v>0</v>
      </c>
      <c r="H1080" s="180">
        <v>0</v>
      </c>
      <c r="I1080" s="180">
        <v>0</v>
      </c>
      <c r="J1080" s="180">
        <v>0</v>
      </c>
      <c r="K1080" s="180">
        <v>0</v>
      </c>
    </row>
    <row r="1081" spans="1:11" x14ac:dyDescent="0.2">
      <c r="A1081" s="180" t="s">
        <v>4311</v>
      </c>
      <c r="B1081" s="180">
        <v>0</v>
      </c>
      <c r="C1081" s="180">
        <v>0</v>
      </c>
      <c r="D1081" s="180">
        <v>0</v>
      </c>
      <c r="E1081" s="180">
        <v>0</v>
      </c>
      <c r="F1081" s="180">
        <v>0</v>
      </c>
      <c r="G1081" s="180">
        <v>0</v>
      </c>
      <c r="H1081" s="180">
        <v>0</v>
      </c>
      <c r="I1081" s="180">
        <v>0</v>
      </c>
      <c r="J1081" s="180">
        <v>0</v>
      </c>
      <c r="K1081" s="180">
        <v>0</v>
      </c>
    </row>
    <row r="1082" spans="1:11" x14ac:dyDescent="0.2">
      <c r="A1082" s="180" t="s">
        <v>4312</v>
      </c>
      <c r="B1082" s="180">
        <v>0</v>
      </c>
      <c r="C1082" s="180">
        <v>0</v>
      </c>
      <c r="D1082" s="180">
        <v>0</v>
      </c>
      <c r="E1082" s="180">
        <v>0</v>
      </c>
      <c r="F1082" s="180">
        <v>0</v>
      </c>
      <c r="G1082" s="180">
        <v>0</v>
      </c>
      <c r="H1082" s="180">
        <v>0</v>
      </c>
      <c r="I1082" s="180">
        <v>0</v>
      </c>
      <c r="J1082" s="180">
        <v>0</v>
      </c>
      <c r="K1082" s="180">
        <v>0</v>
      </c>
    </row>
    <row r="1083" spans="1:11" x14ac:dyDescent="0.2">
      <c r="A1083" s="180" t="s">
        <v>4313</v>
      </c>
      <c r="B1083" s="180">
        <v>0</v>
      </c>
      <c r="C1083" s="180">
        <v>0</v>
      </c>
      <c r="D1083" s="180">
        <v>0</v>
      </c>
      <c r="E1083" s="180">
        <v>0</v>
      </c>
      <c r="F1083" s="180">
        <v>0</v>
      </c>
      <c r="G1083" s="180">
        <v>0</v>
      </c>
      <c r="H1083" s="180">
        <v>0</v>
      </c>
      <c r="I1083" s="180">
        <v>0</v>
      </c>
      <c r="J1083" s="180">
        <v>0</v>
      </c>
      <c r="K1083" s="180">
        <v>0</v>
      </c>
    </row>
    <row r="1084" spans="1:11" x14ac:dyDescent="0.2">
      <c r="A1084" s="180" t="s">
        <v>4314</v>
      </c>
      <c r="B1084" s="180">
        <v>0</v>
      </c>
      <c r="C1084" s="180">
        <v>0</v>
      </c>
      <c r="D1084" s="180">
        <v>0</v>
      </c>
      <c r="E1084" s="180">
        <v>0</v>
      </c>
      <c r="F1084" s="180">
        <v>0</v>
      </c>
      <c r="G1084" s="180">
        <v>0</v>
      </c>
      <c r="H1084" s="180">
        <v>0</v>
      </c>
      <c r="I1084" s="180">
        <v>0</v>
      </c>
      <c r="J1084" s="180">
        <v>0</v>
      </c>
      <c r="K1084" s="180">
        <v>0</v>
      </c>
    </row>
    <row r="1085" spans="1:11" x14ac:dyDescent="0.2">
      <c r="A1085" s="180" t="s">
        <v>4315</v>
      </c>
      <c r="B1085" s="180">
        <v>0</v>
      </c>
      <c r="C1085" s="180">
        <v>0</v>
      </c>
      <c r="D1085" s="180">
        <v>0</v>
      </c>
      <c r="E1085" s="180">
        <v>0</v>
      </c>
      <c r="F1085" s="180">
        <v>0</v>
      </c>
      <c r="G1085" s="180">
        <v>0</v>
      </c>
      <c r="H1085" s="180">
        <v>0</v>
      </c>
      <c r="I1085" s="180">
        <v>0</v>
      </c>
      <c r="J1085" s="180">
        <v>0</v>
      </c>
      <c r="K1085" s="180">
        <v>0</v>
      </c>
    </row>
    <row r="1086" spans="1:11" x14ac:dyDescent="0.2">
      <c r="A1086" s="180" t="s">
        <v>4316</v>
      </c>
      <c r="B1086" s="180">
        <v>0</v>
      </c>
      <c r="C1086" s="180">
        <v>0</v>
      </c>
      <c r="D1086" s="180">
        <v>0</v>
      </c>
      <c r="E1086" s="180">
        <v>0</v>
      </c>
      <c r="F1086" s="180">
        <v>0</v>
      </c>
      <c r="G1086" s="180">
        <v>0</v>
      </c>
      <c r="H1086" s="180">
        <v>0</v>
      </c>
      <c r="I1086" s="180">
        <v>0</v>
      </c>
      <c r="J1086" s="180">
        <v>0</v>
      </c>
      <c r="K1086" s="180">
        <v>0</v>
      </c>
    </row>
    <row r="1087" spans="1:11" x14ac:dyDescent="0.2">
      <c r="A1087" s="180" t="s">
        <v>4317</v>
      </c>
      <c r="B1087" s="180">
        <v>0</v>
      </c>
      <c r="C1087" s="180">
        <v>0</v>
      </c>
      <c r="D1087" s="180">
        <v>0</v>
      </c>
      <c r="E1087" s="180">
        <v>0</v>
      </c>
      <c r="F1087" s="180">
        <v>0</v>
      </c>
      <c r="G1087" s="180">
        <v>0</v>
      </c>
      <c r="H1087" s="180">
        <v>0</v>
      </c>
      <c r="I1087" s="180">
        <v>0</v>
      </c>
      <c r="J1087" s="180">
        <v>0</v>
      </c>
      <c r="K1087" s="180">
        <v>0</v>
      </c>
    </row>
    <row r="1088" spans="1:11" x14ac:dyDescent="0.2">
      <c r="A1088" s="180" t="s">
        <v>4318</v>
      </c>
      <c r="B1088" s="180">
        <v>0</v>
      </c>
      <c r="C1088" s="180">
        <v>0</v>
      </c>
      <c r="D1088" s="180">
        <v>0</v>
      </c>
      <c r="E1088" s="180">
        <v>0</v>
      </c>
      <c r="F1088" s="180">
        <v>0</v>
      </c>
      <c r="G1088" s="180">
        <v>0</v>
      </c>
      <c r="H1088" s="180">
        <v>0</v>
      </c>
      <c r="I1088" s="180">
        <v>0</v>
      </c>
      <c r="J1088" s="180">
        <v>0</v>
      </c>
      <c r="K1088" s="180">
        <v>0</v>
      </c>
    </row>
    <row r="1089" spans="1:11" x14ac:dyDescent="0.2">
      <c r="A1089" s="180" t="s">
        <v>4319</v>
      </c>
      <c r="B1089" s="180">
        <v>0</v>
      </c>
      <c r="C1089" s="180">
        <v>0</v>
      </c>
      <c r="D1089" s="180">
        <v>0</v>
      </c>
      <c r="E1089" s="180">
        <v>0</v>
      </c>
      <c r="F1089" s="180">
        <v>0</v>
      </c>
      <c r="G1089" s="180">
        <v>0</v>
      </c>
      <c r="H1089" s="180">
        <v>0</v>
      </c>
      <c r="I1089" s="180">
        <v>0</v>
      </c>
      <c r="J1089" s="180">
        <v>0</v>
      </c>
      <c r="K1089" s="180">
        <v>0</v>
      </c>
    </row>
    <row r="1090" spans="1:11" x14ac:dyDescent="0.2">
      <c r="A1090" s="180" t="s">
        <v>4320</v>
      </c>
      <c r="B1090" s="180">
        <v>0</v>
      </c>
      <c r="C1090" s="180">
        <v>0</v>
      </c>
      <c r="D1090" s="180">
        <v>0</v>
      </c>
      <c r="E1090" s="180">
        <v>0</v>
      </c>
      <c r="F1090" s="180">
        <v>0</v>
      </c>
      <c r="G1090" s="180">
        <v>0</v>
      </c>
      <c r="H1090" s="180">
        <v>0</v>
      </c>
      <c r="I1090" s="180">
        <v>0</v>
      </c>
      <c r="J1090" s="180">
        <v>0</v>
      </c>
      <c r="K1090" s="180">
        <v>0</v>
      </c>
    </row>
    <row r="1091" spans="1:11" x14ac:dyDescent="0.2">
      <c r="A1091" s="180" t="s">
        <v>4321</v>
      </c>
      <c r="B1091" s="180">
        <v>0</v>
      </c>
      <c r="C1091" s="180">
        <v>0</v>
      </c>
      <c r="D1091" s="180">
        <v>0</v>
      </c>
      <c r="E1091" s="180">
        <v>0</v>
      </c>
      <c r="F1091" s="180">
        <v>0</v>
      </c>
      <c r="G1091" s="180">
        <v>0</v>
      </c>
      <c r="H1091" s="180">
        <v>0</v>
      </c>
      <c r="I1091" s="180">
        <v>0</v>
      </c>
      <c r="J1091" s="180">
        <v>0</v>
      </c>
      <c r="K1091" s="180">
        <v>0</v>
      </c>
    </row>
    <row r="1092" spans="1:11" x14ac:dyDescent="0.2">
      <c r="A1092" s="180" t="s">
        <v>4322</v>
      </c>
      <c r="B1092" s="180">
        <v>0</v>
      </c>
      <c r="C1092" s="180">
        <v>0</v>
      </c>
      <c r="D1092" s="180">
        <v>0</v>
      </c>
      <c r="E1092" s="180">
        <v>0</v>
      </c>
      <c r="F1092" s="180">
        <v>0</v>
      </c>
      <c r="G1092" s="180">
        <v>0</v>
      </c>
      <c r="H1092" s="180">
        <v>0</v>
      </c>
      <c r="I1092" s="180">
        <v>0</v>
      </c>
      <c r="J1092" s="180">
        <v>0</v>
      </c>
      <c r="K1092" s="180">
        <v>0</v>
      </c>
    </row>
    <row r="1093" spans="1:11" x14ac:dyDescent="0.2">
      <c r="A1093" s="180" t="s">
        <v>4323</v>
      </c>
      <c r="B1093" s="180">
        <v>0</v>
      </c>
      <c r="C1093" s="180">
        <v>0</v>
      </c>
      <c r="D1093" s="180">
        <v>0</v>
      </c>
      <c r="E1093" s="180">
        <v>0</v>
      </c>
      <c r="F1093" s="180">
        <v>0</v>
      </c>
      <c r="G1093" s="180">
        <v>0</v>
      </c>
      <c r="H1093" s="180">
        <v>0</v>
      </c>
      <c r="I1093" s="180">
        <v>0</v>
      </c>
      <c r="J1093" s="180">
        <v>0</v>
      </c>
      <c r="K1093" s="180">
        <v>0</v>
      </c>
    </row>
    <row r="1094" spans="1:11" x14ac:dyDescent="0.2">
      <c r="A1094" s="180" t="s">
        <v>4324</v>
      </c>
      <c r="B1094" s="180">
        <v>0</v>
      </c>
      <c r="C1094" s="180">
        <v>0</v>
      </c>
      <c r="D1094" s="180">
        <v>0</v>
      </c>
      <c r="E1094" s="180">
        <v>0</v>
      </c>
      <c r="F1094" s="180">
        <v>0</v>
      </c>
      <c r="G1094" s="180">
        <v>0</v>
      </c>
      <c r="H1094" s="180">
        <v>0</v>
      </c>
      <c r="I1094" s="180">
        <v>0</v>
      </c>
      <c r="J1094" s="180">
        <v>0</v>
      </c>
      <c r="K1094" s="180">
        <v>0</v>
      </c>
    </row>
    <row r="1095" spans="1:11" x14ac:dyDescent="0.2">
      <c r="A1095" s="180" t="s">
        <v>4325</v>
      </c>
      <c r="B1095" s="180">
        <v>0</v>
      </c>
      <c r="C1095" s="180">
        <v>0</v>
      </c>
      <c r="D1095" s="180">
        <v>0</v>
      </c>
      <c r="E1095" s="180">
        <v>0</v>
      </c>
      <c r="F1095" s="180">
        <v>0</v>
      </c>
      <c r="G1095" s="180">
        <v>0</v>
      </c>
      <c r="H1095" s="180">
        <v>0</v>
      </c>
      <c r="I1095" s="180">
        <v>0</v>
      </c>
      <c r="J1095" s="180">
        <v>0</v>
      </c>
      <c r="K1095" s="180">
        <v>0</v>
      </c>
    </row>
    <row r="1096" spans="1:11" x14ac:dyDescent="0.2">
      <c r="A1096" s="180" t="s">
        <v>4326</v>
      </c>
      <c r="B1096" s="180">
        <v>0</v>
      </c>
      <c r="C1096" s="180">
        <v>0</v>
      </c>
      <c r="D1096" s="180">
        <v>0</v>
      </c>
      <c r="E1096" s="180">
        <v>0</v>
      </c>
      <c r="F1096" s="180">
        <v>0</v>
      </c>
      <c r="G1096" s="180">
        <v>0</v>
      </c>
      <c r="H1096" s="180">
        <v>0</v>
      </c>
      <c r="I1096" s="180">
        <v>0</v>
      </c>
      <c r="J1096" s="180">
        <v>0</v>
      </c>
      <c r="K1096" s="180">
        <v>0</v>
      </c>
    </row>
    <row r="1097" spans="1:11" x14ac:dyDescent="0.2">
      <c r="A1097" s="180" t="s">
        <v>4327</v>
      </c>
      <c r="B1097" s="180">
        <v>0</v>
      </c>
      <c r="C1097" s="180">
        <v>0</v>
      </c>
      <c r="D1097" s="180">
        <v>0</v>
      </c>
      <c r="E1097" s="180">
        <v>0</v>
      </c>
      <c r="F1097" s="180">
        <v>0</v>
      </c>
      <c r="G1097" s="180">
        <v>0</v>
      </c>
      <c r="H1097" s="180">
        <v>0</v>
      </c>
      <c r="I1097" s="180">
        <v>0</v>
      </c>
      <c r="J1097" s="180">
        <v>0</v>
      </c>
      <c r="K1097" s="180">
        <v>0</v>
      </c>
    </row>
    <row r="1098" spans="1:11" x14ac:dyDescent="0.2">
      <c r="A1098" s="180" t="s">
        <v>4328</v>
      </c>
      <c r="B1098" s="180">
        <v>0</v>
      </c>
      <c r="C1098" s="180">
        <v>0</v>
      </c>
      <c r="D1098" s="180">
        <v>0</v>
      </c>
      <c r="E1098" s="180">
        <v>0</v>
      </c>
      <c r="F1098" s="180">
        <v>0</v>
      </c>
      <c r="G1098" s="180">
        <v>0</v>
      </c>
      <c r="H1098" s="180">
        <v>0</v>
      </c>
      <c r="I1098" s="180">
        <v>0</v>
      </c>
      <c r="J1098" s="180">
        <v>0</v>
      </c>
      <c r="K1098" s="180">
        <v>0</v>
      </c>
    </row>
    <row r="1099" spans="1:11" x14ac:dyDescent="0.2">
      <c r="A1099" s="180" t="s">
        <v>4329</v>
      </c>
      <c r="B1099" s="180">
        <v>0</v>
      </c>
      <c r="C1099" s="180">
        <v>0</v>
      </c>
      <c r="D1099" s="180">
        <v>0</v>
      </c>
      <c r="E1099" s="180">
        <v>0</v>
      </c>
      <c r="F1099" s="180">
        <v>0</v>
      </c>
      <c r="G1099" s="180">
        <v>0</v>
      </c>
      <c r="H1099" s="180">
        <v>0</v>
      </c>
      <c r="I1099" s="180">
        <v>0</v>
      </c>
      <c r="J1099" s="180">
        <v>0</v>
      </c>
      <c r="K1099" s="180">
        <v>0</v>
      </c>
    </row>
    <row r="1100" spans="1:11" x14ac:dyDescent="0.2">
      <c r="A1100" s="180" t="s">
        <v>4330</v>
      </c>
      <c r="B1100" s="180">
        <v>0</v>
      </c>
      <c r="C1100" s="180">
        <v>0</v>
      </c>
      <c r="D1100" s="180">
        <v>0</v>
      </c>
      <c r="E1100" s="180">
        <v>0</v>
      </c>
      <c r="F1100" s="180">
        <v>0</v>
      </c>
      <c r="G1100" s="180">
        <v>0</v>
      </c>
      <c r="H1100" s="180">
        <v>0</v>
      </c>
      <c r="I1100" s="180">
        <v>0</v>
      </c>
      <c r="J1100" s="180">
        <v>0</v>
      </c>
      <c r="K1100" s="180">
        <v>0</v>
      </c>
    </row>
    <row r="1101" spans="1:11" x14ac:dyDescent="0.2">
      <c r="A1101" s="180" t="s">
        <v>4331</v>
      </c>
      <c r="B1101" s="180">
        <v>0</v>
      </c>
      <c r="C1101" s="180">
        <v>0</v>
      </c>
      <c r="D1101" s="180">
        <v>0</v>
      </c>
      <c r="E1101" s="180">
        <v>0</v>
      </c>
      <c r="F1101" s="180">
        <v>0</v>
      </c>
      <c r="G1101" s="180">
        <v>0</v>
      </c>
      <c r="H1101" s="180">
        <v>0</v>
      </c>
      <c r="I1101" s="180">
        <v>0</v>
      </c>
      <c r="J1101" s="180">
        <v>0</v>
      </c>
      <c r="K1101" s="180">
        <v>0</v>
      </c>
    </row>
    <row r="1102" spans="1:11" x14ac:dyDescent="0.2">
      <c r="A1102" s="180" t="s">
        <v>4332</v>
      </c>
      <c r="B1102" s="180">
        <v>0</v>
      </c>
      <c r="C1102" s="180">
        <v>0</v>
      </c>
      <c r="D1102" s="180">
        <v>0</v>
      </c>
      <c r="E1102" s="180">
        <v>0</v>
      </c>
      <c r="F1102" s="180">
        <v>0</v>
      </c>
      <c r="G1102" s="180">
        <v>0</v>
      </c>
      <c r="H1102" s="180">
        <v>0</v>
      </c>
      <c r="I1102" s="180">
        <v>0</v>
      </c>
      <c r="J1102" s="180">
        <v>0</v>
      </c>
      <c r="K1102" s="180">
        <v>0</v>
      </c>
    </row>
    <row r="1103" spans="1:11" x14ac:dyDescent="0.2">
      <c r="A1103" s="180" t="s">
        <v>4333</v>
      </c>
      <c r="B1103" s="180">
        <v>0</v>
      </c>
      <c r="C1103" s="180">
        <v>0</v>
      </c>
      <c r="D1103" s="180">
        <v>0</v>
      </c>
      <c r="E1103" s="180">
        <v>0</v>
      </c>
      <c r="F1103" s="180">
        <v>0</v>
      </c>
      <c r="G1103" s="180">
        <v>0</v>
      </c>
      <c r="H1103" s="180">
        <v>0</v>
      </c>
      <c r="I1103" s="180">
        <v>0</v>
      </c>
      <c r="J1103" s="180">
        <v>0</v>
      </c>
      <c r="K1103" s="180">
        <v>0</v>
      </c>
    </row>
    <row r="1104" spans="1:11" x14ac:dyDescent="0.2">
      <c r="A1104" s="180" t="s">
        <v>4334</v>
      </c>
      <c r="B1104" s="180">
        <v>0</v>
      </c>
      <c r="C1104" s="180">
        <v>0</v>
      </c>
      <c r="D1104" s="180">
        <v>0</v>
      </c>
      <c r="E1104" s="180">
        <v>0</v>
      </c>
      <c r="F1104" s="180">
        <v>0</v>
      </c>
      <c r="G1104" s="180">
        <v>0</v>
      </c>
      <c r="H1104" s="180">
        <v>0</v>
      </c>
      <c r="I1104" s="180">
        <v>0</v>
      </c>
      <c r="J1104" s="180">
        <v>0</v>
      </c>
      <c r="K1104" s="180">
        <v>0</v>
      </c>
    </row>
    <row r="1105" spans="1:11" x14ac:dyDescent="0.2">
      <c r="A1105" s="180" t="s">
        <v>4335</v>
      </c>
      <c r="B1105" s="180">
        <v>0</v>
      </c>
      <c r="C1105" s="180">
        <v>0</v>
      </c>
      <c r="D1105" s="180">
        <v>0</v>
      </c>
      <c r="E1105" s="180">
        <v>0</v>
      </c>
      <c r="F1105" s="180">
        <v>0</v>
      </c>
      <c r="G1105" s="180">
        <v>0</v>
      </c>
      <c r="H1105" s="180">
        <v>0</v>
      </c>
      <c r="I1105" s="180">
        <v>0</v>
      </c>
      <c r="J1105" s="180">
        <v>0</v>
      </c>
      <c r="K1105" s="180">
        <v>0</v>
      </c>
    </row>
    <row r="1106" spans="1:11" x14ac:dyDescent="0.2">
      <c r="A1106" s="180" t="s">
        <v>4336</v>
      </c>
      <c r="B1106" s="180">
        <v>0</v>
      </c>
      <c r="C1106" s="180">
        <v>0</v>
      </c>
      <c r="D1106" s="180">
        <v>0</v>
      </c>
      <c r="E1106" s="180">
        <v>0</v>
      </c>
      <c r="F1106" s="180">
        <v>0</v>
      </c>
      <c r="G1106" s="180">
        <v>0</v>
      </c>
      <c r="H1106" s="180">
        <v>0</v>
      </c>
      <c r="I1106" s="180">
        <v>0</v>
      </c>
      <c r="J1106" s="180">
        <v>0</v>
      </c>
      <c r="K1106" s="180">
        <v>0</v>
      </c>
    </row>
    <row r="1107" spans="1:11" x14ac:dyDescent="0.2">
      <c r="A1107" s="180" t="s">
        <v>4337</v>
      </c>
      <c r="B1107" s="180">
        <v>0</v>
      </c>
      <c r="C1107" s="180">
        <v>0</v>
      </c>
      <c r="D1107" s="180">
        <v>0</v>
      </c>
      <c r="E1107" s="180">
        <v>0</v>
      </c>
      <c r="F1107" s="180">
        <v>0</v>
      </c>
      <c r="G1107" s="180">
        <v>0</v>
      </c>
      <c r="H1107" s="180">
        <v>0</v>
      </c>
      <c r="I1107" s="180">
        <v>0</v>
      </c>
      <c r="J1107" s="180">
        <v>0</v>
      </c>
      <c r="K1107" s="180">
        <v>0</v>
      </c>
    </row>
    <row r="1108" spans="1:11" x14ac:dyDescent="0.2">
      <c r="A1108" s="180" t="s">
        <v>4338</v>
      </c>
      <c r="B1108" s="180">
        <v>0</v>
      </c>
      <c r="C1108" s="180">
        <v>0</v>
      </c>
      <c r="D1108" s="180">
        <v>0</v>
      </c>
      <c r="E1108" s="180">
        <v>0</v>
      </c>
      <c r="F1108" s="180">
        <v>0</v>
      </c>
      <c r="G1108" s="180">
        <v>0</v>
      </c>
      <c r="H1108" s="180">
        <v>0</v>
      </c>
      <c r="I1108" s="180">
        <v>0</v>
      </c>
      <c r="J1108" s="180">
        <v>0</v>
      </c>
      <c r="K1108" s="180">
        <v>0</v>
      </c>
    </row>
    <row r="1109" spans="1:11" x14ac:dyDescent="0.2">
      <c r="A1109" s="180" t="s">
        <v>4339</v>
      </c>
      <c r="B1109" s="180">
        <v>0</v>
      </c>
      <c r="C1109" s="180">
        <v>0</v>
      </c>
      <c r="D1109" s="180">
        <v>0</v>
      </c>
      <c r="E1109" s="180">
        <v>0</v>
      </c>
      <c r="F1109" s="180">
        <v>0</v>
      </c>
      <c r="G1109" s="180">
        <v>0</v>
      </c>
      <c r="H1109" s="180">
        <v>0</v>
      </c>
      <c r="I1109" s="180">
        <v>0</v>
      </c>
      <c r="J1109" s="180">
        <v>0</v>
      </c>
      <c r="K1109" s="180">
        <v>0</v>
      </c>
    </row>
    <row r="1110" spans="1:11" x14ac:dyDescent="0.2">
      <c r="A1110" s="180" t="s">
        <v>4340</v>
      </c>
      <c r="B1110" s="180">
        <v>0</v>
      </c>
      <c r="C1110" s="180">
        <v>0</v>
      </c>
      <c r="D1110" s="180">
        <v>0</v>
      </c>
      <c r="E1110" s="180">
        <v>0</v>
      </c>
      <c r="F1110" s="180">
        <v>0</v>
      </c>
      <c r="G1110" s="180">
        <v>0</v>
      </c>
      <c r="H1110" s="180">
        <v>0</v>
      </c>
      <c r="I1110" s="180">
        <v>0</v>
      </c>
      <c r="J1110" s="180">
        <v>0</v>
      </c>
      <c r="K1110" s="180">
        <v>0</v>
      </c>
    </row>
    <row r="1111" spans="1:11" x14ac:dyDescent="0.2">
      <c r="A1111" s="180" t="s">
        <v>4341</v>
      </c>
      <c r="B1111" s="180">
        <v>0</v>
      </c>
      <c r="C1111" s="180">
        <v>0</v>
      </c>
      <c r="D1111" s="180">
        <v>0</v>
      </c>
      <c r="E1111" s="180">
        <v>0</v>
      </c>
      <c r="F1111" s="180">
        <v>0</v>
      </c>
      <c r="G1111" s="180">
        <v>0</v>
      </c>
      <c r="H1111" s="180">
        <v>0</v>
      </c>
      <c r="I1111" s="180">
        <v>0</v>
      </c>
      <c r="J1111" s="180">
        <v>0</v>
      </c>
      <c r="K1111" s="180">
        <v>0</v>
      </c>
    </row>
    <row r="1112" spans="1:11" x14ac:dyDescent="0.2">
      <c r="A1112" s="180" t="s">
        <v>4342</v>
      </c>
      <c r="B1112" s="180">
        <v>0</v>
      </c>
      <c r="C1112" s="180">
        <v>0</v>
      </c>
      <c r="D1112" s="180">
        <v>0</v>
      </c>
      <c r="E1112" s="180">
        <v>0</v>
      </c>
      <c r="F1112" s="180">
        <v>0</v>
      </c>
      <c r="G1112" s="180">
        <v>0</v>
      </c>
      <c r="H1112" s="180">
        <v>0</v>
      </c>
      <c r="I1112" s="180">
        <v>0</v>
      </c>
      <c r="J1112" s="180">
        <v>0</v>
      </c>
      <c r="K1112" s="180">
        <v>0</v>
      </c>
    </row>
    <row r="1113" spans="1:11" x14ac:dyDescent="0.2">
      <c r="A1113" s="180" t="s">
        <v>4343</v>
      </c>
      <c r="B1113" s="180">
        <v>0</v>
      </c>
      <c r="C1113" s="180">
        <v>0</v>
      </c>
      <c r="D1113" s="180">
        <v>0</v>
      </c>
      <c r="E1113" s="180">
        <v>0</v>
      </c>
      <c r="F1113" s="180">
        <v>0</v>
      </c>
      <c r="G1113" s="180">
        <v>0</v>
      </c>
      <c r="H1113" s="180">
        <v>0</v>
      </c>
      <c r="I1113" s="180">
        <v>0</v>
      </c>
      <c r="J1113" s="180">
        <v>0</v>
      </c>
      <c r="K1113" s="180">
        <v>0</v>
      </c>
    </row>
    <row r="1114" spans="1:11" x14ac:dyDescent="0.2">
      <c r="A1114" s="180" t="s">
        <v>1728</v>
      </c>
      <c r="B1114" s="180">
        <v>0</v>
      </c>
      <c r="C1114" s="180">
        <v>0</v>
      </c>
      <c r="D1114" s="180">
        <v>0</v>
      </c>
      <c r="E1114" s="180">
        <v>0</v>
      </c>
      <c r="F1114" s="180">
        <v>0</v>
      </c>
      <c r="G1114" s="180">
        <v>0</v>
      </c>
      <c r="H1114" s="180">
        <v>0</v>
      </c>
      <c r="I1114" s="180">
        <v>0</v>
      </c>
      <c r="J1114" s="180">
        <v>0</v>
      </c>
      <c r="K1114" s="180">
        <v>0</v>
      </c>
    </row>
    <row r="1115" spans="1:11" x14ac:dyDescent="0.2">
      <c r="A1115" s="180" t="s">
        <v>1730</v>
      </c>
      <c r="B1115" s="180">
        <v>2</v>
      </c>
      <c r="C1115" s="180">
        <v>0</v>
      </c>
      <c r="D1115" s="180">
        <v>0</v>
      </c>
      <c r="E1115" s="180">
        <v>0</v>
      </c>
      <c r="F1115" s="180">
        <v>60</v>
      </c>
      <c r="G1115" s="180">
        <v>0</v>
      </c>
      <c r="H1115" s="180">
        <v>6</v>
      </c>
      <c r="I1115" s="180">
        <v>75</v>
      </c>
      <c r="J1115" s="180">
        <v>9</v>
      </c>
      <c r="K1115" s="180">
        <v>0</v>
      </c>
    </row>
    <row r="1116" spans="1:11" x14ac:dyDescent="0.2">
      <c r="A1116" s="180" t="s">
        <v>1733</v>
      </c>
      <c r="B1116" s="180">
        <v>0</v>
      </c>
      <c r="C1116" s="180">
        <v>0</v>
      </c>
      <c r="D1116" s="180">
        <v>0</v>
      </c>
      <c r="E1116" s="180">
        <v>0</v>
      </c>
      <c r="F1116" s="180">
        <v>0</v>
      </c>
      <c r="G1116" s="180">
        <v>0</v>
      </c>
      <c r="H1116" s="180">
        <v>0</v>
      </c>
      <c r="I1116" s="180">
        <v>0</v>
      </c>
      <c r="J1116" s="180">
        <v>0</v>
      </c>
      <c r="K1116" s="180">
        <v>0</v>
      </c>
    </row>
    <row r="1117" spans="1:11" x14ac:dyDescent="0.2">
      <c r="A1117" s="180" t="s">
        <v>1738</v>
      </c>
      <c r="B1117" s="180">
        <v>0</v>
      </c>
      <c r="C1117" s="180">
        <v>0</v>
      </c>
      <c r="D1117" s="180">
        <v>0</v>
      </c>
      <c r="E1117" s="180">
        <v>0</v>
      </c>
      <c r="F1117" s="180">
        <v>0</v>
      </c>
      <c r="G1117" s="180">
        <v>0</v>
      </c>
      <c r="H1117" s="180">
        <v>0</v>
      </c>
      <c r="I1117" s="180">
        <v>0</v>
      </c>
      <c r="J1117" s="180">
        <v>0</v>
      </c>
      <c r="K1117" s="180">
        <v>0</v>
      </c>
    </row>
    <row r="1118" spans="1:11" x14ac:dyDescent="0.2">
      <c r="A1118" s="180" t="s">
        <v>1744</v>
      </c>
      <c r="B1118" s="180">
        <v>0</v>
      </c>
      <c r="C1118" s="180">
        <v>0</v>
      </c>
      <c r="D1118" s="180">
        <v>0</v>
      </c>
      <c r="E1118" s="180">
        <v>0</v>
      </c>
      <c r="F1118" s="180">
        <v>0</v>
      </c>
      <c r="G1118" s="180">
        <v>0</v>
      </c>
      <c r="H1118" s="180">
        <v>0</v>
      </c>
      <c r="I1118" s="180">
        <v>0</v>
      </c>
      <c r="J1118" s="180">
        <v>0</v>
      </c>
      <c r="K1118" s="180">
        <v>0</v>
      </c>
    </row>
    <row r="1119" spans="1:11" x14ac:dyDescent="0.2">
      <c r="A1119" s="180" t="s">
        <v>1747</v>
      </c>
      <c r="B1119" s="180">
        <v>0</v>
      </c>
      <c r="C1119" s="180">
        <v>0</v>
      </c>
      <c r="D1119" s="180">
        <v>0</v>
      </c>
      <c r="E1119" s="180">
        <v>0</v>
      </c>
      <c r="F1119" s="180">
        <v>0</v>
      </c>
      <c r="G1119" s="180">
        <v>0</v>
      </c>
      <c r="H1119" s="180">
        <v>0</v>
      </c>
      <c r="I1119" s="180">
        <v>0</v>
      </c>
      <c r="J1119" s="180">
        <v>0</v>
      </c>
      <c r="K1119" s="180">
        <v>0</v>
      </c>
    </row>
    <row r="1120" spans="1:11" x14ac:dyDescent="0.2">
      <c r="A1120" s="180" t="s">
        <v>1751</v>
      </c>
      <c r="B1120" s="180">
        <v>0</v>
      </c>
      <c r="C1120" s="180">
        <v>0</v>
      </c>
      <c r="D1120" s="180">
        <v>0</v>
      </c>
      <c r="E1120" s="180">
        <v>0</v>
      </c>
      <c r="F1120" s="180">
        <v>0</v>
      </c>
      <c r="G1120" s="180">
        <v>0</v>
      </c>
      <c r="H1120" s="180">
        <v>0</v>
      </c>
      <c r="I1120" s="180">
        <v>0</v>
      </c>
      <c r="J1120" s="180">
        <v>0</v>
      </c>
      <c r="K1120" s="180">
        <v>0</v>
      </c>
    </row>
    <row r="1121" spans="1:11" x14ac:dyDescent="0.2">
      <c r="A1121" s="180" t="s">
        <v>1755</v>
      </c>
      <c r="B1121" s="180">
        <v>0</v>
      </c>
      <c r="C1121" s="180">
        <v>0</v>
      </c>
      <c r="D1121" s="180">
        <v>0</v>
      </c>
      <c r="E1121" s="180">
        <v>0</v>
      </c>
      <c r="F1121" s="180">
        <v>6</v>
      </c>
      <c r="G1121" s="180">
        <v>0</v>
      </c>
      <c r="H1121" s="180">
        <v>1</v>
      </c>
      <c r="I1121" s="180">
        <v>12</v>
      </c>
      <c r="J1121" s="180">
        <v>1</v>
      </c>
      <c r="K1121" s="180">
        <v>0</v>
      </c>
    </row>
    <row r="1122" spans="1:11" x14ac:dyDescent="0.2">
      <c r="A1122" s="180" t="s">
        <v>1757</v>
      </c>
      <c r="B1122" s="180">
        <v>0</v>
      </c>
      <c r="C1122" s="180">
        <v>0</v>
      </c>
      <c r="D1122" s="180">
        <v>0</v>
      </c>
      <c r="E1122" s="180">
        <v>0</v>
      </c>
      <c r="F1122" s="180">
        <v>6</v>
      </c>
      <c r="G1122" s="180">
        <v>0</v>
      </c>
      <c r="H1122" s="180">
        <v>1</v>
      </c>
      <c r="I1122" s="180">
        <v>8</v>
      </c>
      <c r="J1122" s="180">
        <v>1</v>
      </c>
      <c r="K1122" s="180">
        <v>0</v>
      </c>
    </row>
    <row r="1123" spans="1:11" x14ac:dyDescent="0.2">
      <c r="A1123" s="180" t="s">
        <v>1761</v>
      </c>
      <c r="B1123" s="180">
        <v>0</v>
      </c>
      <c r="C1123" s="180">
        <v>0</v>
      </c>
      <c r="D1123" s="180">
        <v>0</v>
      </c>
      <c r="E1123" s="180">
        <v>0</v>
      </c>
      <c r="F1123" s="180">
        <v>0</v>
      </c>
      <c r="G1123" s="180">
        <v>0</v>
      </c>
      <c r="H1123" s="180">
        <v>0</v>
      </c>
      <c r="I1123" s="180">
        <v>0</v>
      </c>
      <c r="J1123" s="180">
        <v>0</v>
      </c>
      <c r="K1123" s="180">
        <v>0</v>
      </c>
    </row>
    <row r="1124" spans="1:11" x14ac:dyDescent="0.2">
      <c r="A1124" s="180" t="s">
        <v>1764</v>
      </c>
      <c r="B1124" s="180">
        <v>0</v>
      </c>
      <c r="C1124" s="180">
        <v>0</v>
      </c>
      <c r="D1124" s="180">
        <v>0</v>
      </c>
      <c r="E1124" s="180">
        <v>0</v>
      </c>
      <c r="F1124" s="180">
        <v>0</v>
      </c>
      <c r="G1124" s="180">
        <v>0</v>
      </c>
      <c r="H1124" s="180">
        <v>0</v>
      </c>
      <c r="I1124" s="180">
        <v>0</v>
      </c>
      <c r="J1124" s="180">
        <v>0</v>
      </c>
      <c r="K1124" s="180">
        <v>0</v>
      </c>
    </row>
    <row r="1125" spans="1:11" x14ac:dyDescent="0.2">
      <c r="A1125" s="180" t="s">
        <v>1770</v>
      </c>
      <c r="B1125" s="180">
        <v>3</v>
      </c>
      <c r="C1125" s="180">
        <v>0</v>
      </c>
      <c r="D1125" s="180">
        <v>0</v>
      </c>
      <c r="E1125" s="180">
        <v>0</v>
      </c>
      <c r="F1125" s="180">
        <v>106</v>
      </c>
      <c r="G1125" s="180">
        <v>0</v>
      </c>
      <c r="H1125" s="180">
        <v>11</v>
      </c>
      <c r="I1125" s="180">
        <v>1069</v>
      </c>
      <c r="J1125" s="180">
        <v>17</v>
      </c>
      <c r="K1125" s="180">
        <v>0</v>
      </c>
    </row>
    <row r="1126" spans="1:11" x14ac:dyDescent="0.2">
      <c r="A1126" s="180" t="s">
        <v>1772</v>
      </c>
      <c r="B1126" s="180">
        <v>1</v>
      </c>
      <c r="C1126" s="180">
        <v>0</v>
      </c>
      <c r="D1126" s="180">
        <v>0</v>
      </c>
      <c r="E1126" s="180">
        <v>0</v>
      </c>
      <c r="F1126" s="180">
        <v>46</v>
      </c>
      <c r="G1126" s="180">
        <v>0</v>
      </c>
      <c r="H1126" s="180">
        <v>5</v>
      </c>
      <c r="I1126" s="180">
        <v>465</v>
      </c>
      <c r="J1126" s="180">
        <v>7</v>
      </c>
      <c r="K1126" s="180">
        <v>0</v>
      </c>
    </row>
    <row r="1127" spans="1:11" x14ac:dyDescent="0.2">
      <c r="A1127" s="180" t="s">
        <v>1774</v>
      </c>
      <c r="B1127" s="180">
        <v>0</v>
      </c>
      <c r="C1127" s="180">
        <v>0</v>
      </c>
      <c r="D1127" s="180">
        <v>0</v>
      </c>
      <c r="E1127" s="180">
        <v>0</v>
      </c>
      <c r="F1127" s="180">
        <v>9</v>
      </c>
      <c r="G1127" s="180">
        <v>0</v>
      </c>
      <c r="H1127" s="180">
        <v>1</v>
      </c>
      <c r="I1127" s="180">
        <v>81</v>
      </c>
      <c r="J1127" s="180">
        <v>1</v>
      </c>
      <c r="K1127" s="180">
        <v>0</v>
      </c>
    </row>
    <row r="1128" spans="1:11" x14ac:dyDescent="0.2">
      <c r="A1128" s="180" t="s">
        <v>1777</v>
      </c>
      <c r="B1128" s="180">
        <v>0</v>
      </c>
      <c r="C1128" s="180">
        <v>0</v>
      </c>
      <c r="D1128" s="180">
        <v>0</v>
      </c>
      <c r="E1128" s="180">
        <v>0</v>
      </c>
      <c r="F1128" s="180">
        <v>0</v>
      </c>
      <c r="G1128" s="180">
        <v>0</v>
      </c>
      <c r="H1128" s="180">
        <v>0</v>
      </c>
      <c r="I1128" s="180">
        <v>0</v>
      </c>
      <c r="J1128" s="180">
        <v>0</v>
      </c>
      <c r="K1128" s="180">
        <v>0</v>
      </c>
    </row>
    <row r="1129" spans="1:11" x14ac:dyDescent="0.2">
      <c r="A1129" s="180" t="s">
        <v>1782</v>
      </c>
      <c r="B1129" s="180">
        <v>0</v>
      </c>
      <c r="C1129" s="180">
        <v>0</v>
      </c>
      <c r="D1129" s="180">
        <v>0</v>
      </c>
      <c r="E1129" s="180">
        <v>0</v>
      </c>
      <c r="F1129" s="180">
        <v>0</v>
      </c>
      <c r="G1129" s="180">
        <v>0</v>
      </c>
      <c r="H1129" s="180">
        <v>0</v>
      </c>
      <c r="I1129" s="180">
        <v>0</v>
      </c>
      <c r="J1129" s="180">
        <v>0</v>
      </c>
      <c r="K1129" s="180">
        <v>0</v>
      </c>
    </row>
    <row r="1130" spans="1:11" x14ac:dyDescent="0.2">
      <c r="A1130" s="180" t="s">
        <v>1274</v>
      </c>
      <c r="B1130" s="180">
        <v>0</v>
      </c>
      <c r="C1130" s="180">
        <v>0</v>
      </c>
      <c r="D1130" s="180">
        <v>0</v>
      </c>
      <c r="E1130" s="180">
        <v>0</v>
      </c>
      <c r="F1130" s="180">
        <v>0</v>
      </c>
      <c r="G1130" s="180">
        <v>0</v>
      </c>
      <c r="H1130" s="180">
        <v>0</v>
      </c>
      <c r="I1130" s="180">
        <v>0</v>
      </c>
      <c r="J1130" s="180">
        <v>0</v>
      </c>
      <c r="K1130" s="180">
        <v>0</v>
      </c>
    </row>
    <row r="1131" spans="1:11" x14ac:dyDescent="0.2">
      <c r="A1131" s="180" t="s">
        <v>1277</v>
      </c>
      <c r="B1131" s="180">
        <v>0</v>
      </c>
      <c r="C1131" s="180">
        <v>0</v>
      </c>
      <c r="D1131" s="180">
        <v>0</v>
      </c>
      <c r="E1131" s="180">
        <v>0</v>
      </c>
      <c r="F1131" s="180">
        <v>1</v>
      </c>
      <c r="G1131" s="180">
        <v>0</v>
      </c>
      <c r="H1131" s="180">
        <v>0</v>
      </c>
      <c r="I1131" s="180">
        <v>2</v>
      </c>
      <c r="J1131" s="180">
        <v>0</v>
      </c>
      <c r="K1131" s="180">
        <v>0</v>
      </c>
    </row>
    <row r="1132" spans="1:11" x14ac:dyDescent="0.2">
      <c r="A1132" s="180" t="s">
        <v>1798</v>
      </c>
      <c r="B1132" s="180">
        <v>0</v>
      </c>
      <c r="C1132" s="180">
        <v>0</v>
      </c>
      <c r="D1132" s="180">
        <v>0</v>
      </c>
      <c r="E1132" s="180">
        <v>0</v>
      </c>
      <c r="F1132" s="180">
        <v>0</v>
      </c>
      <c r="G1132" s="180">
        <v>0</v>
      </c>
      <c r="H1132" s="180">
        <v>0</v>
      </c>
      <c r="I1132" s="180">
        <v>0</v>
      </c>
      <c r="J1132" s="180">
        <v>0</v>
      </c>
      <c r="K1132" s="180">
        <v>0</v>
      </c>
    </row>
    <row r="1133" spans="1:11" x14ac:dyDescent="0.2">
      <c r="A1133" s="180" t="s">
        <v>1803</v>
      </c>
      <c r="B1133" s="180">
        <v>0</v>
      </c>
      <c r="C1133" s="180">
        <v>0</v>
      </c>
      <c r="D1133" s="180">
        <v>0</v>
      </c>
      <c r="E1133" s="180">
        <v>0</v>
      </c>
      <c r="F1133" s="180">
        <v>0</v>
      </c>
      <c r="G1133" s="180">
        <v>0</v>
      </c>
      <c r="H1133" s="180">
        <v>0</v>
      </c>
      <c r="I1133" s="180">
        <v>0</v>
      </c>
      <c r="J1133" s="180">
        <v>0</v>
      </c>
      <c r="K1133" s="180">
        <v>0</v>
      </c>
    </row>
    <row r="1134" spans="1:11" x14ac:dyDescent="0.2">
      <c r="A1134" s="180" t="s">
        <v>1808</v>
      </c>
      <c r="B1134" s="180">
        <v>0</v>
      </c>
      <c r="C1134" s="180">
        <v>0</v>
      </c>
      <c r="D1134" s="180">
        <v>0</v>
      </c>
      <c r="E1134" s="180">
        <v>0</v>
      </c>
      <c r="F1134" s="180">
        <v>0</v>
      </c>
      <c r="G1134" s="180">
        <v>0</v>
      </c>
      <c r="H1134" s="180">
        <v>0</v>
      </c>
      <c r="I1134" s="180">
        <v>0</v>
      </c>
      <c r="J1134" s="180">
        <v>0</v>
      </c>
      <c r="K1134" s="180">
        <v>0</v>
      </c>
    </row>
    <row r="1135" spans="1:11" x14ac:dyDescent="0.2">
      <c r="A1135" s="180" t="s">
        <v>1813</v>
      </c>
      <c r="B1135" s="180">
        <v>0</v>
      </c>
      <c r="C1135" s="180">
        <v>0</v>
      </c>
      <c r="D1135" s="180">
        <v>0</v>
      </c>
      <c r="E1135" s="180">
        <v>0</v>
      </c>
      <c r="F1135" s="180">
        <v>0</v>
      </c>
      <c r="G1135" s="180">
        <v>0</v>
      </c>
      <c r="H1135" s="180">
        <v>0</v>
      </c>
      <c r="I1135" s="180">
        <v>0</v>
      </c>
      <c r="J1135" s="180">
        <v>0</v>
      </c>
      <c r="K1135" s="180">
        <v>0</v>
      </c>
    </row>
    <row r="1136" spans="1:11" x14ac:dyDescent="0.2">
      <c r="A1136" s="180" t="s">
        <v>1819</v>
      </c>
      <c r="B1136" s="180">
        <v>0</v>
      </c>
      <c r="C1136" s="180">
        <v>0</v>
      </c>
      <c r="D1136" s="180">
        <v>0</v>
      </c>
      <c r="E1136" s="180">
        <v>0</v>
      </c>
      <c r="F1136" s="180">
        <v>0</v>
      </c>
      <c r="G1136" s="180">
        <v>0</v>
      </c>
      <c r="H1136" s="180">
        <v>0</v>
      </c>
      <c r="I1136" s="180">
        <v>0</v>
      </c>
      <c r="J1136" s="180">
        <v>0</v>
      </c>
      <c r="K1136" s="180">
        <v>0</v>
      </c>
    </row>
    <row r="1137" spans="1:11" x14ac:dyDescent="0.2">
      <c r="A1137" s="180" t="s">
        <v>1826</v>
      </c>
      <c r="B1137" s="180">
        <v>0</v>
      </c>
      <c r="C1137" s="180">
        <v>0</v>
      </c>
      <c r="D1137" s="180">
        <v>0</v>
      </c>
      <c r="E1137" s="180">
        <v>0</v>
      </c>
      <c r="F1137" s="180">
        <v>0</v>
      </c>
      <c r="G1137" s="180">
        <v>0</v>
      </c>
      <c r="H1137" s="180">
        <v>0</v>
      </c>
      <c r="I1137" s="180">
        <v>0</v>
      </c>
      <c r="J1137" s="180">
        <v>0</v>
      </c>
      <c r="K1137" s="180">
        <v>0</v>
      </c>
    </row>
    <row r="1138" spans="1:11" x14ac:dyDescent="0.2">
      <c r="A1138" s="180" t="s">
        <v>1830</v>
      </c>
      <c r="B1138" s="180">
        <v>0</v>
      </c>
      <c r="C1138" s="180">
        <v>0</v>
      </c>
      <c r="D1138" s="180">
        <v>0</v>
      </c>
      <c r="E1138" s="180">
        <v>0</v>
      </c>
      <c r="F1138" s="180">
        <v>0</v>
      </c>
      <c r="G1138" s="180">
        <v>0</v>
      </c>
      <c r="H1138" s="180">
        <v>0</v>
      </c>
      <c r="I1138" s="180">
        <v>0</v>
      </c>
      <c r="J1138" s="180">
        <v>0</v>
      </c>
      <c r="K1138" s="180">
        <v>0</v>
      </c>
    </row>
    <row r="1139" spans="1:11" x14ac:dyDescent="0.2">
      <c r="A1139" s="180" t="s">
        <v>1836</v>
      </c>
      <c r="B1139" s="180">
        <v>0</v>
      </c>
      <c r="C1139" s="180">
        <v>0</v>
      </c>
      <c r="D1139" s="180">
        <v>0</v>
      </c>
      <c r="E1139" s="180">
        <v>0</v>
      </c>
      <c r="F1139" s="180">
        <v>0</v>
      </c>
      <c r="G1139" s="180">
        <v>0</v>
      </c>
      <c r="H1139" s="180">
        <v>0</v>
      </c>
      <c r="I1139" s="180">
        <v>0</v>
      </c>
      <c r="J1139" s="180">
        <v>0</v>
      </c>
      <c r="K1139" s="180">
        <v>0</v>
      </c>
    </row>
    <row r="1140" spans="1:11" x14ac:dyDescent="0.2">
      <c r="A1140" s="180" t="s">
        <v>1841</v>
      </c>
      <c r="B1140" s="180">
        <v>0</v>
      </c>
      <c r="C1140" s="180">
        <v>0</v>
      </c>
      <c r="D1140" s="180">
        <v>0</v>
      </c>
      <c r="E1140" s="180">
        <v>0</v>
      </c>
      <c r="F1140" s="180">
        <v>0</v>
      </c>
      <c r="G1140" s="180">
        <v>0</v>
      </c>
      <c r="H1140" s="180">
        <v>0</v>
      </c>
      <c r="I1140" s="180">
        <v>0</v>
      </c>
      <c r="J1140" s="180">
        <v>0</v>
      </c>
      <c r="K1140" s="180">
        <v>0</v>
      </c>
    </row>
    <row r="1141" spans="1:11" x14ac:dyDescent="0.2">
      <c r="A1141" s="180" t="s">
        <v>1842</v>
      </c>
      <c r="B1141" s="180">
        <v>4</v>
      </c>
      <c r="C1141" s="180">
        <v>0</v>
      </c>
      <c r="D1141" s="180">
        <v>0</v>
      </c>
      <c r="E1141" s="180">
        <v>0</v>
      </c>
      <c r="F1141" s="180">
        <v>148</v>
      </c>
      <c r="G1141" s="180">
        <v>0</v>
      </c>
      <c r="H1141" s="180">
        <v>15</v>
      </c>
      <c r="I1141" s="180">
        <v>874</v>
      </c>
      <c r="J1141" s="180">
        <v>23</v>
      </c>
      <c r="K1141" s="180">
        <v>0</v>
      </c>
    </row>
    <row r="1142" spans="1:11" x14ac:dyDescent="0.2">
      <c r="A1142" s="180" t="s">
        <v>1843</v>
      </c>
      <c r="B1142" s="180">
        <v>0</v>
      </c>
      <c r="C1142" s="180">
        <v>0</v>
      </c>
      <c r="D1142" s="180">
        <v>0</v>
      </c>
      <c r="E1142" s="180">
        <v>0</v>
      </c>
      <c r="F1142" s="180">
        <v>0</v>
      </c>
      <c r="G1142" s="180">
        <v>0</v>
      </c>
      <c r="H1142" s="180">
        <v>0</v>
      </c>
      <c r="I1142" s="180">
        <v>0</v>
      </c>
      <c r="J1142" s="180">
        <v>0</v>
      </c>
      <c r="K1142" s="180">
        <v>0</v>
      </c>
    </row>
    <row r="1143" spans="1:11" x14ac:dyDescent="0.2">
      <c r="A1143" s="180" t="s">
        <v>1846</v>
      </c>
      <c r="B1143" s="180">
        <v>0</v>
      </c>
      <c r="C1143" s="180">
        <v>0</v>
      </c>
      <c r="D1143" s="180">
        <v>0</v>
      </c>
      <c r="E1143" s="180">
        <v>0</v>
      </c>
      <c r="F1143" s="180">
        <v>0</v>
      </c>
      <c r="G1143" s="180">
        <v>0</v>
      </c>
      <c r="H1143" s="180">
        <v>0</v>
      </c>
      <c r="I1143" s="180">
        <v>0</v>
      </c>
      <c r="J1143" s="180">
        <v>0</v>
      </c>
      <c r="K1143" s="180">
        <v>0</v>
      </c>
    </row>
    <row r="1144" spans="1:11" x14ac:dyDescent="0.2">
      <c r="A1144" s="180" t="s">
        <v>1851</v>
      </c>
      <c r="B1144" s="180">
        <v>0</v>
      </c>
      <c r="C1144" s="180">
        <v>0</v>
      </c>
      <c r="D1144" s="180">
        <v>0</v>
      </c>
      <c r="E1144" s="180">
        <v>0</v>
      </c>
      <c r="F1144" s="180">
        <v>9</v>
      </c>
      <c r="G1144" s="180">
        <v>0</v>
      </c>
      <c r="H1144" s="180">
        <v>1</v>
      </c>
      <c r="I1144" s="180">
        <v>13</v>
      </c>
      <c r="J1144" s="180">
        <v>1</v>
      </c>
      <c r="K1144" s="180">
        <v>0</v>
      </c>
    </row>
    <row r="1145" spans="1:11" x14ac:dyDescent="0.2">
      <c r="A1145" s="180" t="s">
        <v>1857</v>
      </c>
      <c r="B1145" s="180">
        <v>0</v>
      </c>
      <c r="C1145" s="180">
        <v>0</v>
      </c>
      <c r="D1145" s="180">
        <v>0</v>
      </c>
      <c r="E1145" s="180">
        <v>0</v>
      </c>
      <c r="F1145" s="180">
        <v>0</v>
      </c>
      <c r="G1145" s="180">
        <v>0</v>
      </c>
      <c r="H1145" s="180">
        <v>0</v>
      </c>
      <c r="I1145" s="180">
        <v>0</v>
      </c>
      <c r="J1145" s="180">
        <v>0</v>
      </c>
      <c r="K1145" s="180">
        <v>0</v>
      </c>
    </row>
    <row r="1146" spans="1:11" x14ac:dyDescent="0.2">
      <c r="A1146" s="180" t="s">
        <v>1862</v>
      </c>
      <c r="B1146" s="180">
        <v>0</v>
      </c>
      <c r="C1146" s="180">
        <v>0</v>
      </c>
      <c r="D1146" s="180">
        <v>0</v>
      </c>
      <c r="E1146" s="180">
        <v>0</v>
      </c>
      <c r="F1146" s="180">
        <v>0</v>
      </c>
      <c r="G1146" s="180">
        <v>0</v>
      </c>
      <c r="H1146" s="180">
        <v>0</v>
      </c>
      <c r="I1146" s="180">
        <v>0</v>
      </c>
      <c r="J1146" s="180">
        <v>0</v>
      </c>
      <c r="K1146" s="180">
        <v>0</v>
      </c>
    </row>
    <row r="1147" spans="1:11" x14ac:dyDescent="0.2">
      <c r="A1147" s="180" t="s">
        <v>1867</v>
      </c>
      <c r="B1147" s="180">
        <v>0</v>
      </c>
      <c r="C1147" s="180">
        <v>0</v>
      </c>
      <c r="D1147" s="180">
        <v>0</v>
      </c>
      <c r="E1147" s="180">
        <v>0</v>
      </c>
      <c r="F1147" s="180">
        <v>0</v>
      </c>
      <c r="G1147" s="180">
        <v>0</v>
      </c>
      <c r="H1147" s="180">
        <v>0</v>
      </c>
      <c r="I1147" s="180">
        <v>0</v>
      </c>
      <c r="J1147" s="180">
        <v>0</v>
      </c>
      <c r="K1147" s="180">
        <v>0</v>
      </c>
    </row>
    <row r="1148" spans="1:11" x14ac:dyDescent="0.2">
      <c r="A1148" s="180" t="s">
        <v>1870</v>
      </c>
      <c r="B1148" s="180">
        <v>0</v>
      </c>
      <c r="C1148" s="180">
        <v>0</v>
      </c>
      <c r="D1148" s="180">
        <v>0</v>
      </c>
      <c r="E1148" s="180">
        <v>0</v>
      </c>
      <c r="F1148" s="180">
        <v>0</v>
      </c>
      <c r="G1148" s="180">
        <v>0</v>
      </c>
      <c r="H1148" s="180">
        <v>0</v>
      </c>
      <c r="I1148" s="180">
        <v>0</v>
      </c>
      <c r="J1148" s="180">
        <v>0</v>
      </c>
      <c r="K1148" s="180">
        <v>0</v>
      </c>
    </row>
    <row r="1149" spans="1:11" x14ac:dyDescent="0.2">
      <c r="A1149" s="180" t="s">
        <v>1874</v>
      </c>
      <c r="B1149" s="180">
        <v>0</v>
      </c>
      <c r="C1149" s="180">
        <v>0</v>
      </c>
      <c r="D1149" s="180">
        <v>0</v>
      </c>
      <c r="E1149" s="180">
        <v>0</v>
      </c>
      <c r="F1149" s="180">
        <v>3</v>
      </c>
      <c r="G1149" s="180">
        <v>0</v>
      </c>
      <c r="H1149" s="180">
        <v>0</v>
      </c>
      <c r="I1149" s="180">
        <v>20</v>
      </c>
      <c r="J1149" s="180">
        <v>1</v>
      </c>
      <c r="K1149" s="180">
        <v>0</v>
      </c>
    </row>
    <row r="1150" spans="1:11" x14ac:dyDescent="0.2">
      <c r="A1150" s="180" t="s">
        <v>1876</v>
      </c>
      <c r="B1150" s="180">
        <v>0</v>
      </c>
      <c r="C1150" s="180">
        <v>0</v>
      </c>
      <c r="D1150" s="180">
        <v>0</v>
      </c>
      <c r="E1150" s="180">
        <v>0</v>
      </c>
      <c r="F1150" s="180">
        <v>0</v>
      </c>
      <c r="G1150" s="180">
        <v>0</v>
      </c>
      <c r="H1150" s="180">
        <v>0</v>
      </c>
      <c r="I1150" s="180">
        <v>0</v>
      </c>
      <c r="J1150" s="180">
        <v>0</v>
      </c>
      <c r="K1150" s="180">
        <v>0</v>
      </c>
    </row>
    <row r="1151" spans="1:11" x14ac:dyDescent="0.2">
      <c r="A1151" s="180" t="s">
        <v>1881</v>
      </c>
      <c r="B1151" s="180">
        <v>0</v>
      </c>
      <c r="C1151" s="180">
        <v>0</v>
      </c>
      <c r="D1151" s="180">
        <v>0</v>
      </c>
      <c r="E1151" s="180">
        <v>0</v>
      </c>
      <c r="F1151" s="180">
        <v>0</v>
      </c>
      <c r="G1151" s="180">
        <v>0</v>
      </c>
      <c r="H1151" s="180">
        <v>0</v>
      </c>
      <c r="I1151" s="180">
        <v>0</v>
      </c>
      <c r="J1151" s="180">
        <v>0</v>
      </c>
      <c r="K1151" s="180">
        <v>0</v>
      </c>
    </row>
    <row r="1152" spans="1:11" x14ac:dyDescent="0.2">
      <c r="A1152" s="180" t="s">
        <v>1885</v>
      </c>
      <c r="B1152" s="180">
        <v>11</v>
      </c>
      <c r="C1152" s="180">
        <v>0</v>
      </c>
      <c r="D1152" s="180">
        <v>0</v>
      </c>
      <c r="E1152" s="180">
        <v>0</v>
      </c>
      <c r="F1152" s="180">
        <v>405</v>
      </c>
      <c r="G1152" s="180">
        <v>0</v>
      </c>
      <c r="H1152" s="180">
        <v>41</v>
      </c>
      <c r="I1152" s="180">
        <v>583</v>
      </c>
      <c r="J1152" s="180">
        <v>63</v>
      </c>
      <c r="K1152" s="180">
        <v>0</v>
      </c>
    </row>
    <row r="1153" spans="1:11" x14ac:dyDescent="0.2">
      <c r="A1153" s="180" t="s">
        <v>1887</v>
      </c>
      <c r="B1153" s="180">
        <v>0</v>
      </c>
      <c r="C1153" s="180">
        <v>0</v>
      </c>
      <c r="D1153" s="180">
        <v>0</v>
      </c>
      <c r="E1153" s="180">
        <v>0</v>
      </c>
      <c r="F1153" s="180">
        <v>6</v>
      </c>
      <c r="G1153" s="180">
        <v>0</v>
      </c>
      <c r="H1153" s="180">
        <v>1</v>
      </c>
      <c r="I1153" s="180">
        <v>7</v>
      </c>
      <c r="J1153" s="180">
        <v>1</v>
      </c>
      <c r="K1153" s="180">
        <v>0</v>
      </c>
    </row>
    <row r="1154" spans="1:11" x14ac:dyDescent="0.2">
      <c r="A1154" s="180" t="s">
        <v>1893</v>
      </c>
      <c r="B1154" s="180">
        <v>2</v>
      </c>
      <c r="C1154" s="180">
        <v>0</v>
      </c>
      <c r="D1154" s="180">
        <v>0</v>
      </c>
      <c r="E1154" s="180">
        <v>0</v>
      </c>
      <c r="F1154" s="180">
        <v>58</v>
      </c>
      <c r="G1154" s="180">
        <v>0</v>
      </c>
      <c r="H1154" s="180">
        <v>6</v>
      </c>
      <c r="I1154" s="180">
        <v>80</v>
      </c>
      <c r="J1154" s="180">
        <v>9</v>
      </c>
      <c r="K1154" s="180">
        <v>0</v>
      </c>
    </row>
    <row r="1155" spans="1:11" x14ac:dyDescent="0.2">
      <c r="A1155" s="180" t="s">
        <v>1899</v>
      </c>
      <c r="B1155" s="180">
        <v>0</v>
      </c>
      <c r="C1155" s="180">
        <v>0</v>
      </c>
      <c r="D1155" s="180">
        <v>0</v>
      </c>
      <c r="E1155" s="180">
        <v>0</v>
      </c>
      <c r="F1155" s="180">
        <v>0</v>
      </c>
      <c r="G1155" s="180">
        <v>0</v>
      </c>
      <c r="H1155" s="180">
        <v>0</v>
      </c>
      <c r="I1155" s="180">
        <v>0</v>
      </c>
      <c r="J1155" s="180">
        <v>0</v>
      </c>
      <c r="K1155" s="180">
        <v>0</v>
      </c>
    </row>
    <row r="1156" spans="1:11" x14ac:dyDescent="0.2">
      <c r="A1156" s="180" t="s">
        <v>1906</v>
      </c>
      <c r="B1156" s="180">
        <v>0</v>
      </c>
      <c r="C1156" s="180">
        <v>0</v>
      </c>
      <c r="D1156" s="180">
        <v>0</v>
      </c>
      <c r="E1156" s="180">
        <v>0</v>
      </c>
      <c r="F1156" s="180">
        <v>0</v>
      </c>
      <c r="G1156" s="180">
        <v>0</v>
      </c>
      <c r="H1156" s="180">
        <v>0</v>
      </c>
      <c r="I1156" s="180">
        <v>0</v>
      </c>
      <c r="J1156" s="180">
        <v>0</v>
      </c>
      <c r="K1156" s="180">
        <v>0</v>
      </c>
    </row>
    <row r="1157" spans="1:11" x14ac:dyDescent="0.2">
      <c r="A1157" s="180" t="s">
        <v>1911</v>
      </c>
      <c r="B1157" s="180">
        <v>0</v>
      </c>
      <c r="C1157" s="180">
        <v>0</v>
      </c>
      <c r="D1157" s="180">
        <v>0</v>
      </c>
      <c r="E1157" s="180">
        <v>0</v>
      </c>
      <c r="F1157" s="180">
        <v>0</v>
      </c>
      <c r="G1157" s="180">
        <v>0</v>
      </c>
      <c r="H1157" s="180">
        <v>0</v>
      </c>
      <c r="I1157" s="180">
        <v>0</v>
      </c>
      <c r="J1157" s="180">
        <v>0</v>
      </c>
      <c r="K1157" s="180">
        <v>0</v>
      </c>
    </row>
    <row r="1158" spans="1:11" x14ac:dyDescent="0.2">
      <c r="A1158" s="180" t="s">
        <v>1917</v>
      </c>
      <c r="B1158" s="180">
        <v>2</v>
      </c>
      <c r="C1158" s="180">
        <v>0</v>
      </c>
      <c r="D1158" s="180">
        <v>0</v>
      </c>
      <c r="E1158" s="180">
        <v>0</v>
      </c>
      <c r="F1158" s="180">
        <v>59</v>
      </c>
      <c r="G1158" s="180">
        <v>0</v>
      </c>
      <c r="H1158" s="180">
        <v>6</v>
      </c>
      <c r="I1158" s="180">
        <v>79</v>
      </c>
      <c r="J1158" s="180">
        <v>9</v>
      </c>
      <c r="K1158" s="180">
        <v>0</v>
      </c>
    </row>
    <row r="1159" spans="1:11" x14ac:dyDescent="0.2">
      <c r="A1159" s="180" t="s">
        <v>1922</v>
      </c>
      <c r="B1159" s="180">
        <v>1</v>
      </c>
      <c r="C1159" s="180">
        <v>0</v>
      </c>
      <c r="D1159" s="180">
        <v>0</v>
      </c>
      <c r="E1159" s="180">
        <v>0</v>
      </c>
      <c r="F1159" s="180">
        <v>34</v>
      </c>
      <c r="G1159" s="180">
        <v>0</v>
      </c>
      <c r="H1159" s="180">
        <v>3</v>
      </c>
      <c r="I1159" s="180">
        <v>47</v>
      </c>
      <c r="J1159" s="180">
        <v>5</v>
      </c>
      <c r="K1159" s="180">
        <v>0</v>
      </c>
    </row>
    <row r="1160" spans="1:11" x14ac:dyDescent="0.2">
      <c r="A1160" s="180" t="s">
        <v>1928</v>
      </c>
      <c r="B1160" s="180">
        <v>0</v>
      </c>
      <c r="C1160" s="180">
        <v>0</v>
      </c>
      <c r="D1160" s="180">
        <v>0</v>
      </c>
      <c r="E1160" s="180">
        <v>0</v>
      </c>
      <c r="F1160" s="180">
        <v>0</v>
      </c>
      <c r="G1160" s="180">
        <v>0</v>
      </c>
      <c r="H1160" s="180">
        <v>0</v>
      </c>
      <c r="I1160" s="180">
        <v>0</v>
      </c>
      <c r="J1160" s="180">
        <v>0</v>
      </c>
      <c r="K1160" s="180">
        <v>0</v>
      </c>
    </row>
    <row r="1161" spans="1:11" x14ac:dyDescent="0.2">
      <c r="A1161" s="180" t="s">
        <v>1932</v>
      </c>
      <c r="B1161" s="180">
        <v>0</v>
      </c>
      <c r="C1161" s="180">
        <v>0</v>
      </c>
      <c r="D1161" s="180">
        <v>0</v>
      </c>
      <c r="E1161" s="180">
        <v>0</v>
      </c>
      <c r="F1161" s="180">
        <v>0</v>
      </c>
      <c r="G1161" s="180">
        <v>0</v>
      </c>
      <c r="H1161" s="180">
        <v>0</v>
      </c>
      <c r="I1161" s="180">
        <v>0</v>
      </c>
      <c r="J1161" s="180">
        <v>0</v>
      </c>
      <c r="K1161" s="180">
        <v>0</v>
      </c>
    </row>
    <row r="1162" spans="1:11" x14ac:dyDescent="0.2">
      <c r="A1162" s="180" t="s">
        <v>1938</v>
      </c>
      <c r="B1162" s="180">
        <v>0</v>
      </c>
      <c r="C1162" s="180">
        <v>0</v>
      </c>
      <c r="D1162" s="180">
        <v>0</v>
      </c>
      <c r="E1162" s="180">
        <v>0</v>
      </c>
      <c r="F1162" s="180">
        <v>0</v>
      </c>
      <c r="G1162" s="180">
        <v>0</v>
      </c>
      <c r="H1162" s="180">
        <v>0</v>
      </c>
      <c r="I1162" s="180">
        <v>0</v>
      </c>
      <c r="J1162" s="180">
        <v>0</v>
      </c>
      <c r="K1162" s="180">
        <v>0</v>
      </c>
    </row>
    <row r="1163" spans="1:11" x14ac:dyDescent="0.2">
      <c r="A1163" s="180" t="s">
        <v>1944</v>
      </c>
      <c r="B1163" s="180">
        <v>1</v>
      </c>
      <c r="C1163" s="180">
        <v>0</v>
      </c>
      <c r="D1163" s="180">
        <v>0</v>
      </c>
      <c r="E1163" s="180">
        <v>0</v>
      </c>
      <c r="F1163" s="180">
        <v>26</v>
      </c>
      <c r="G1163" s="180">
        <v>0</v>
      </c>
      <c r="H1163" s="180">
        <v>3</v>
      </c>
      <c r="I1163" s="180">
        <v>37</v>
      </c>
      <c r="J1163" s="180">
        <v>4</v>
      </c>
      <c r="K1163" s="180">
        <v>0</v>
      </c>
    </row>
    <row r="1164" spans="1:11" x14ac:dyDescent="0.2">
      <c r="A1164" s="180" t="s">
        <v>1947</v>
      </c>
      <c r="B1164" s="180">
        <v>0</v>
      </c>
      <c r="C1164" s="180">
        <v>0</v>
      </c>
      <c r="D1164" s="180">
        <v>0</v>
      </c>
      <c r="E1164" s="180">
        <v>0</v>
      </c>
      <c r="F1164" s="180">
        <v>1</v>
      </c>
      <c r="G1164" s="180">
        <v>0</v>
      </c>
      <c r="H1164" s="180">
        <v>0</v>
      </c>
      <c r="I1164" s="180">
        <v>1</v>
      </c>
      <c r="J1164" s="180">
        <v>0</v>
      </c>
      <c r="K1164" s="180">
        <v>0</v>
      </c>
    </row>
    <row r="1165" spans="1:11" x14ac:dyDescent="0.2">
      <c r="A1165" s="180" t="s">
        <v>1953</v>
      </c>
      <c r="B1165" s="180">
        <v>0</v>
      </c>
      <c r="C1165" s="180">
        <v>0</v>
      </c>
      <c r="D1165" s="180">
        <v>0</v>
      </c>
      <c r="E1165" s="180">
        <v>0</v>
      </c>
      <c r="F1165" s="180">
        <v>2</v>
      </c>
      <c r="G1165" s="180">
        <v>0</v>
      </c>
      <c r="H1165" s="180">
        <v>0</v>
      </c>
      <c r="I1165" s="180">
        <v>2</v>
      </c>
      <c r="J1165" s="180">
        <v>0</v>
      </c>
      <c r="K1165" s="180">
        <v>0</v>
      </c>
    </row>
    <row r="1166" spans="1:11" x14ac:dyDescent="0.2">
      <c r="A1166" s="180" t="s">
        <v>1958</v>
      </c>
      <c r="B1166" s="180">
        <v>0</v>
      </c>
      <c r="C1166" s="180">
        <v>0</v>
      </c>
      <c r="D1166" s="180">
        <v>0</v>
      </c>
      <c r="E1166" s="180">
        <v>0</v>
      </c>
      <c r="F1166" s="180">
        <v>0</v>
      </c>
      <c r="G1166" s="180">
        <v>0</v>
      </c>
      <c r="H1166" s="180">
        <v>0</v>
      </c>
      <c r="I1166" s="180">
        <v>0</v>
      </c>
      <c r="J1166" s="180">
        <v>0</v>
      </c>
      <c r="K1166" s="180">
        <v>0</v>
      </c>
    </row>
    <row r="1167" spans="1:11" x14ac:dyDescent="0.2">
      <c r="A1167" s="180" t="s">
        <v>1964</v>
      </c>
      <c r="B1167" s="180">
        <v>0</v>
      </c>
      <c r="C1167" s="180">
        <v>0</v>
      </c>
      <c r="D1167" s="180">
        <v>0</v>
      </c>
      <c r="E1167" s="180">
        <v>0</v>
      </c>
      <c r="F1167" s="180">
        <v>0</v>
      </c>
      <c r="G1167" s="180">
        <v>0</v>
      </c>
      <c r="H1167" s="180">
        <v>0</v>
      </c>
      <c r="I1167" s="180">
        <v>0</v>
      </c>
      <c r="J1167" s="180">
        <v>0</v>
      </c>
      <c r="K1167" s="180">
        <v>0</v>
      </c>
    </row>
    <row r="1168" spans="1:11" x14ac:dyDescent="0.2">
      <c r="A1168" s="180" t="s">
        <v>1973</v>
      </c>
      <c r="B1168" s="180">
        <v>0</v>
      </c>
      <c r="C1168" s="180">
        <v>0</v>
      </c>
      <c r="D1168" s="180">
        <v>0</v>
      </c>
      <c r="E1168" s="180">
        <v>0</v>
      </c>
      <c r="F1168" s="180">
        <v>0</v>
      </c>
      <c r="G1168" s="180">
        <v>0</v>
      </c>
      <c r="H1168" s="180">
        <v>0</v>
      </c>
      <c r="I1168" s="180">
        <v>0</v>
      </c>
      <c r="J1168" s="180">
        <v>0</v>
      </c>
      <c r="K1168" s="180">
        <v>0</v>
      </c>
    </row>
    <row r="1169" spans="1:11" x14ac:dyDescent="0.2">
      <c r="A1169" s="180" t="s">
        <v>1978</v>
      </c>
      <c r="B1169" s="180">
        <v>0</v>
      </c>
      <c r="C1169" s="180">
        <v>0</v>
      </c>
      <c r="D1169" s="180">
        <v>0</v>
      </c>
      <c r="E1169" s="180">
        <v>0</v>
      </c>
      <c r="F1169" s="180">
        <v>0</v>
      </c>
      <c r="G1169" s="180">
        <v>0</v>
      </c>
      <c r="H1169" s="180">
        <v>0</v>
      </c>
      <c r="I1169" s="180">
        <v>0</v>
      </c>
      <c r="J1169" s="180">
        <v>0</v>
      </c>
      <c r="K1169" s="180">
        <v>0</v>
      </c>
    </row>
    <row r="1170" spans="1:11" x14ac:dyDescent="0.2">
      <c r="A1170" s="180" t="s">
        <v>1983</v>
      </c>
      <c r="B1170" s="180">
        <v>0</v>
      </c>
      <c r="C1170" s="180">
        <v>0</v>
      </c>
      <c r="D1170" s="180">
        <v>0</v>
      </c>
      <c r="E1170" s="180">
        <v>0</v>
      </c>
      <c r="F1170" s="180">
        <v>1</v>
      </c>
      <c r="G1170" s="180">
        <v>0</v>
      </c>
      <c r="H1170" s="180">
        <v>0</v>
      </c>
      <c r="I1170" s="180">
        <v>2</v>
      </c>
      <c r="J1170" s="180">
        <v>0</v>
      </c>
      <c r="K1170" s="180">
        <v>0</v>
      </c>
    </row>
    <row r="1171" spans="1:11" x14ac:dyDescent="0.2">
      <c r="A1171" s="180" t="s">
        <v>1984</v>
      </c>
      <c r="B1171" s="180">
        <v>0</v>
      </c>
      <c r="C1171" s="180">
        <v>0</v>
      </c>
      <c r="D1171" s="180">
        <v>0</v>
      </c>
      <c r="E1171" s="180">
        <v>0</v>
      </c>
      <c r="F1171" s="180">
        <v>0</v>
      </c>
      <c r="G1171" s="180">
        <v>0</v>
      </c>
      <c r="H1171" s="180">
        <v>0</v>
      </c>
      <c r="I1171" s="180">
        <v>0</v>
      </c>
      <c r="J1171" s="180">
        <v>0</v>
      </c>
      <c r="K1171" s="180">
        <v>0</v>
      </c>
    </row>
    <row r="1172" spans="1:11" x14ac:dyDescent="0.2">
      <c r="A1172" s="180" t="s">
        <v>1990</v>
      </c>
      <c r="B1172" s="180">
        <v>0</v>
      </c>
      <c r="C1172" s="180">
        <v>0</v>
      </c>
      <c r="D1172" s="180">
        <v>0</v>
      </c>
      <c r="E1172" s="180">
        <v>0</v>
      </c>
      <c r="F1172" s="180">
        <v>1</v>
      </c>
      <c r="G1172" s="180">
        <v>0</v>
      </c>
      <c r="H1172" s="180">
        <v>0</v>
      </c>
      <c r="I1172" s="180">
        <v>1</v>
      </c>
      <c r="J1172" s="180">
        <v>0</v>
      </c>
      <c r="K1172" s="180">
        <v>0</v>
      </c>
    </row>
    <row r="1173" spans="1:11" x14ac:dyDescent="0.2">
      <c r="A1173" s="180" t="s">
        <v>1996</v>
      </c>
      <c r="B1173" s="180">
        <v>0</v>
      </c>
      <c r="C1173" s="180">
        <v>0</v>
      </c>
      <c r="D1173" s="180">
        <v>0</v>
      </c>
      <c r="E1173" s="180">
        <v>0</v>
      </c>
      <c r="F1173" s="180">
        <v>0</v>
      </c>
      <c r="G1173" s="180">
        <v>0</v>
      </c>
      <c r="H1173" s="180">
        <v>0</v>
      </c>
      <c r="I1173" s="180">
        <v>0</v>
      </c>
      <c r="J1173" s="180">
        <v>0</v>
      </c>
      <c r="K1173" s="180">
        <v>0</v>
      </c>
    </row>
    <row r="1174" spans="1:11" x14ac:dyDescent="0.2">
      <c r="A1174" s="180" t="s">
        <v>1998</v>
      </c>
      <c r="B1174" s="180">
        <v>0</v>
      </c>
      <c r="C1174" s="180">
        <v>0</v>
      </c>
      <c r="D1174" s="180">
        <v>0</v>
      </c>
      <c r="E1174" s="180">
        <v>0</v>
      </c>
      <c r="F1174" s="180">
        <v>0</v>
      </c>
      <c r="G1174" s="180">
        <v>0</v>
      </c>
      <c r="H1174" s="180">
        <v>0</v>
      </c>
      <c r="I1174" s="180">
        <v>0</v>
      </c>
      <c r="J1174" s="180">
        <v>0</v>
      </c>
      <c r="K1174" s="180">
        <v>0</v>
      </c>
    </row>
    <row r="1175" spans="1:11" x14ac:dyDescent="0.2">
      <c r="A1175" s="180" t="s">
        <v>1999</v>
      </c>
      <c r="B1175" s="180">
        <v>0</v>
      </c>
      <c r="C1175" s="180">
        <v>0</v>
      </c>
      <c r="D1175" s="180">
        <v>0</v>
      </c>
      <c r="E1175" s="180">
        <v>0</v>
      </c>
      <c r="F1175" s="180">
        <v>0</v>
      </c>
      <c r="G1175" s="180">
        <v>0</v>
      </c>
      <c r="H1175" s="180">
        <v>0</v>
      </c>
      <c r="I1175" s="180">
        <v>0</v>
      </c>
      <c r="J1175" s="180">
        <v>0</v>
      </c>
      <c r="K1175" s="180">
        <v>0</v>
      </c>
    </row>
    <row r="1176" spans="1:11" x14ac:dyDescent="0.2">
      <c r="A1176" s="180" t="s">
        <v>2004</v>
      </c>
      <c r="B1176" s="180">
        <v>0</v>
      </c>
      <c r="C1176" s="180">
        <v>0</v>
      </c>
      <c r="D1176" s="180">
        <v>0</v>
      </c>
      <c r="E1176" s="180">
        <v>0</v>
      </c>
      <c r="F1176" s="180">
        <v>0</v>
      </c>
      <c r="G1176" s="180">
        <v>0</v>
      </c>
      <c r="H1176" s="180">
        <v>0</v>
      </c>
      <c r="I1176" s="180">
        <v>0</v>
      </c>
      <c r="J1176" s="180">
        <v>0</v>
      </c>
      <c r="K1176" s="180">
        <v>0</v>
      </c>
    </row>
    <row r="1177" spans="1:11" x14ac:dyDescent="0.2">
      <c r="A1177" s="180" t="s">
        <v>2009</v>
      </c>
      <c r="B1177" s="180">
        <v>0</v>
      </c>
      <c r="C1177" s="180">
        <v>0</v>
      </c>
      <c r="D1177" s="180">
        <v>0</v>
      </c>
      <c r="E1177" s="180">
        <v>0</v>
      </c>
      <c r="F1177" s="180">
        <v>0</v>
      </c>
      <c r="G1177" s="180">
        <v>0</v>
      </c>
      <c r="H1177" s="180">
        <v>0</v>
      </c>
      <c r="I1177" s="180">
        <v>0</v>
      </c>
      <c r="J1177" s="180">
        <v>0</v>
      </c>
      <c r="K1177" s="180">
        <v>0</v>
      </c>
    </row>
    <row r="1178" spans="1:11" x14ac:dyDescent="0.2">
      <c r="A1178" s="180" t="s">
        <v>2014</v>
      </c>
      <c r="B1178" s="180">
        <v>0</v>
      </c>
      <c r="C1178" s="180">
        <v>0</v>
      </c>
      <c r="D1178" s="180">
        <v>0</v>
      </c>
      <c r="E1178" s="180">
        <v>0</v>
      </c>
      <c r="F1178" s="180">
        <v>0</v>
      </c>
      <c r="G1178" s="180">
        <v>0</v>
      </c>
      <c r="H1178" s="180">
        <v>0</v>
      </c>
      <c r="I1178" s="180">
        <v>0</v>
      </c>
      <c r="J1178" s="180">
        <v>0</v>
      </c>
      <c r="K1178" s="180">
        <v>0</v>
      </c>
    </row>
    <row r="1179" spans="1:11" x14ac:dyDescent="0.2">
      <c r="A1179" s="180" t="s">
        <v>2019</v>
      </c>
      <c r="B1179" s="180">
        <v>0</v>
      </c>
      <c r="C1179" s="180">
        <v>0</v>
      </c>
      <c r="D1179" s="180">
        <v>0</v>
      </c>
      <c r="E1179" s="180">
        <v>0</v>
      </c>
      <c r="F1179" s="180">
        <v>0</v>
      </c>
      <c r="G1179" s="180">
        <v>0</v>
      </c>
      <c r="H1179" s="180">
        <v>0</v>
      </c>
      <c r="I1179" s="180">
        <v>0</v>
      </c>
      <c r="J1179" s="180">
        <v>0</v>
      </c>
      <c r="K1179" s="180">
        <v>0</v>
      </c>
    </row>
    <row r="1180" spans="1:11" x14ac:dyDescent="0.2">
      <c r="A1180" s="180" t="s">
        <v>2023</v>
      </c>
      <c r="B1180" s="180">
        <v>0</v>
      </c>
      <c r="C1180" s="180">
        <v>0</v>
      </c>
      <c r="D1180" s="180">
        <v>0</v>
      </c>
      <c r="E1180" s="180">
        <v>0</v>
      </c>
      <c r="F1180" s="180">
        <v>0</v>
      </c>
      <c r="G1180" s="180">
        <v>0</v>
      </c>
      <c r="H1180" s="180">
        <v>0</v>
      </c>
      <c r="I1180" s="180">
        <v>0</v>
      </c>
      <c r="J1180" s="180">
        <v>0</v>
      </c>
      <c r="K1180" s="180">
        <v>0</v>
      </c>
    </row>
    <row r="1181" spans="1:11" x14ac:dyDescent="0.2">
      <c r="A1181" s="180" t="s">
        <v>2026</v>
      </c>
      <c r="B1181" s="180">
        <v>0</v>
      </c>
      <c r="C1181" s="180">
        <v>0</v>
      </c>
      <c r="D1181" s="180">
        <v>0</v>
      </c>
      <c r="E1181" s="180">
        <v>0</v>
      </c>
      <c r="F1181" s="180">
        <v>0</v>
      </c>
      <c r="G1181" s="180">
        <v>0</v>
      </c>
      <c r="H1181" s="180">
        <v>0</v>
      </c>
      <c r="I1181" s="180">
        <v>0</v>
      </c>
      <c r="J1181" s="180">
        <v>0</v>
      </c>
      <c r="K1181" s="180">
        <v>0</v>
      </c>
    </row>
    <row r="1182" spans="1:11" x14ac:dyDescent="0.2">
      <c r="A1182" s="180" t="s">
        <v>2030</v>
      </c>
      <c r="B1182" s="180">
        <v>0</v>
      </c>
      <c r="C1182" s="180">
        <v>0</v>
      </c>
      <c r="D1182" s="180">
        <v>0</v>
      </c>
      <c r="E1182" s="180">
        <v>0</v>
      </c>
      <c r="F1182" s="180">
        <v>0</v>
      </c>
      <c r="G1182" s="180">
        <v>0</v>
      </c>
      <c r="H1182" s="180">
        <v>0</v>
      </c>
      <c r="I1182" s="180">
        <v>0</v>
      </c>
      <c r="J1182" s="180">
        <v>0</v>
      </c>
      <c r="K1182" s="180">
        <v>0</v>
      </c>
    </row>
    <row r="1183" spans="1:11" x14ac:dyDescent="0.2">
      <c r="A1183" s="180" t="s">
        <v>2035</v>
      </c>
      <c r="B1183" s="180">
        <v>0</v>
      </c>
      <c r="C1183" s="180">
        <v>0</v>
      </c>
      <c r="D1183" s="180">
        <v>0</v>
      </c>
      <c r="E1183" s="180">
        <v>0</v>
      </c>
      <c r="F1183" s="180">
        <v>0</v>
      </c>
      <c r="G1183" s="180">
        <v>0</v>
      </c>
      <c r="H1183" s="180">
        <v>0</v>
      </c>
      <c r="I1183" s="180">
        <v>0</v>
      </c>
      <c r="J1183" s="180">
        <v>0</v>
      </c>
      <c r="K1183" s="180">
        <v>0</v>
      </c>
    </row>
    <row r="1184" spans="1:11" x14ac:dyDescent="0.2">
      <c r="A1184" s="180" t="s">
        <v>2040</v>
      </c>
      <c r="B1184" s="180">
        <v>0</v>
      </c>
      <c r="C1184" s="180">
        <v>0</v>
      </c>
      <c r="D1184" s="180">
        <v>0</v>
      </c>
      <c r="E1184" s="180">
        <v>0</v>
      </c>
      <c r="F1184" s="180">
        <v>0</v>
      </c>
      <c r="G1184" s="180">
        <v>0</v>
      </c>
      <c r="H1184" s="180">
        <v>0</v>
      </c>
      <c r="I1184" s="180">
        <v>0</v>
      </c>
      <c r="J1184" s="180">
        <v>0</v>
      </c>
      <c r="K1184" s="180">
        <v>0</v>
      </c>
    </row>
    <row r="1185" spans="1:11" x14ac:dyDescent="0.2">
      <c r="A1185" s="180" t="s">
        <v>2045</v>
      </c>
      <c r="B1185" s="180">
        <v>0</v>
      </c>
      <c r="C1185" s="180">
        <v>0</v>
      </c>
      <c r="D1185" s="180">
        <v>0</v>
      </c>
      <c r="E1185" s="180">
        <v>0</v>
      </c>
      <c r="F1185" s="180">
        <v>0</v>
      </c>
      <c r="G1185" s="180">
        <v>0</v>
      </c>
      <c r="H1185" s="180">
        <v>0</v>
      </c>
      <c r="I1185" s="180">
        <v>0</v>
      </c>
      <c r="J1185" s="180">
        <v>0</v>
      </c>
      <c r="K1185" s="180">
        <v>0</v>
      </c>
    </row>
    <row r="1186" spans="1:11" x14ac:dyDescent="0.2">
      <c r="A1186" s="180" t="s">
        <v>2049</v>
      </c>
      <c r="B1186" s="180">
        <v>24</v>
      </c>
      <c r="C1186" s="180">
        <v>0</v>
      </c>
      <c r="D1186" s="180">
        <v>0</v>
      </c>
      <c r="E1186" s="180">
        <v>0</v>
      </c>
      <c r="F1186" s="180">
        <v>889</v>
      </c>
      <c r="G1186" s="180">
        <v>0</v>
      </c>
      <c r="H1186" s="180">
        <v>89</v>
      </c>
      <c r="I1186" s="180">
        <v>1235</v>
      </c>
      <c r="J1186" s="180">
        <v>139</v>
      </c>
      <c r="K1186" s="180">
        <v>0</v>
      </c>
    </row>
    <row r="1187" spans="1:11" x14ac:dyDescent="0.2">
      <c r="A1187" s="180" t="s">
        <v>2051</v>
      </c>
      <c r="B1187" s="180">
        <v>3</v>
      </c>
      <c r="C1187" s="180">
        <v>0</v>
      </c>
      <c r="D1187" s="180">
        <v>0</v>
      </c>
      <c r="E1187" s="180">
        <v>0</v>
      </c>
      <c r="F1187" s="180">
        <v>256</v>
      </c>
      <c r="G1187" s="180">
        <v>0</v>
      </c>
      <c r="H1187" s="180">
        <v>15</v>
      </c>
      <c r="I1187" s="180">
        <v>192</v>
      </c>
      <c r="J1187" s="180">
        <v>27</v>
      </c>
      <c r="K1187" s="180">
        <v>0</v>
      </c>
    </row>
    <row r="1188" spans="1:11" x14ac:dyDescent="0.2">
      <c r="A1188" s="180" t="s">
        <v>2057</v>
      </c>
      <c r="B1188" s="180">
        <v>5</v>
      </c>
      <c r="C1188" s="180">
        <v>0</v>
      </c>
      <c r="D1188" s="180">
        <v>0</v>
      </c>
      <c r="E1188" s="180">
        <v>0</v>
      </c>
      <c r="F1188" s="180">
        <v>441</v>
      </c>
      <c r="G1188" s="180">
        <v>0</v>
      </c>
      <c r="H1188" s="180">
        <v>26</v>
      </c>
      <c r="I1188" s="180">
        <v>333</v>
      </c>
      <c r="J1188" s="180">
        <v>47</v>
      </c>
      <c r="K1188" s="180">
        <v>0</v>
      </c>
    </row>
    <row r="1189" spans="1:11" x14ac:dyDescent="0.2">
      <c r="A1189" s="180" t="s">
        <v>4344</v>
      </c>
      <c r="B1189" s="180">
        <v>0</v>
      </c>
      <c r="C1189" s="180">
        <v>0</v>
      </c>
      <c r="D1189" s="180">
        <v>0</v>
      </c>
      <c r="E1189" s="180">
        <v>0</v>
      </c>
      <c r="F1189" s="180">
        <v>35</v>
      </c>
      <c r="G1189" s="180">
        <v>0</v>
      </c>
      <c r="H1189" s="180">
        <v>2</v>
      </c>
      <c r="I1189" s="180">
        <v>29</v>
      </c>
      <c r="J1189" s="180">
        <v>4</v>
      </c>
      <c r="K1189" s="180">
        <v>0</v>
      </c>
    </row>
    <row r="1190" spans="1:11" x14ac:dyDescent="0.2">
      <c r="A1190" s="180" t="s">
        <v>4345</v>
      </c>
      <c r="B1190" s="180">
        <v>0</v>
      </c>
      <c r="C1190" s="180">
        <v>0</v>
      </c>
      <c r="D1190" s="180">
        <v>0</v>
      </c>
      <c r="E1190" s="180">
        <v>0</v>
      </c>
      <c r="F1190" s="180">
        <v>295</v>
      </c>
      <c r="G1190" s="180">
        <v>0</v>
      </c>
      <c r="H1190" s="180">
        <v>16</v>
      </c>
      <c r="I1190" s="180">
        <v>209</v>
      </c>
      <c r="J1190" s="180">
        <v>29</v>
      </c>
      <c r="K1190" s="180">
        <v>0</v>
      </c>
    </row>
    <row r="1191" spans="1:11" x14ac:dyDescent="0.2">
      <c r="A1191" s="180" t="s">
        <v>2074</v>
      </c>
      <c r="B1191" s="180">
        <v>19</v>
      </c>
      <c r="C1191" s="180">
        <v>0</v>
      </c>
      <c r="D1191" s="180">
        <v>0</v>
      </c>
      <c r="E1191" s="180">
        <v>0</v>
      </c>
      <c r="F1191" s="180">
        <v>0</v>
      </c>
      <c r="G1191" s="180">
        <v>0</v>
      </c>
      <c r="H1191" s="180">
        <v>0</v>
      </c>
      <c r="I1191" s="180">
        <v>0</v>
      </c>
      <c r="J1191" s="180">
        <v>0</v>
      </c>
      <c r="K1191" s="180">
        <v>0</v>
      </c>
    </row>
    <row r="1192" spans="1:11" x14ac:dyDescent="0.2">
      <c r="A1192" s="180" t="s">
        <v>2079</v>
      </c>
      <c r="B1192" s="180">
        <v>62</v>
      </c>
      <c r="C1192" s="180">
        <v>0</v>
      </c>
      <c r="D1192" s="180">
        <v>0</v>
      </c>
      <c r="E1192" s="180">
        <v>0</v>
      </c>
      <c r="F1192" s="180">
        <v>0</v>
      </c>
      <c r="G1192" s="180">
        <v>0</v>
      </c>
      <c r="H1192" s="180">
        <v>0</v>
      </c>
      <c r="I1192" s="180">
        <v>0</v>
      </c>
      <c r="J1192" s="180">
        <v>0</v>
      </c>
      <c r="K1192" s="180">
        <v>0</v>
      </c>
    </row>
    <row r="1193" spans="1:11" x14ac:dyDescent="0.2">
      <c r="A1193" s="180" t="s">
        <v>2085</v>
      </c>
      <c r="B1193" s="180">
        <v>0</v>
      </c>
      <c r="C1193" s="180">
        <v>0</v>
      </c>
      <c r="D1193" s="180">
        <v>0</v>
      </c>
      <c r="E1193" s="180">
        <v>0</v>
      </c>
      <c r="F1193" s="180">
        <v>7</v>
      </c>
      <c r="G1193" s="180">
        <v>0</v>
      </c>
      <c r="H1193" s="180">
        <v>0</v>
      </c>
      <c r="I1193" s="180">
        <v>1</v>
      </c>
      <c r="J1193" s="180">
        <v>0</v>
      </c>
      <c r="K1193" s="180">
        <v>0</v>
      </c>
    </row>
    <row r="1194" spans="1:11" x14ac:dyDescent="0.2">
      <c r="A1194" s="180" t="s">
        <v>2091</v>
      </c>
      <c r="B1194" s="180">
        <v>0</v>
      </c>
      <c r="C1194" s="180">
        <v>0</v>
      </c>
      <c r="D1194" s="180">
        <v>0</v>
      </c>
      <c r="E1194" s="180">
        <v>0</v>
      </c>
      <c r="F1194" s="180">
        <v>1067</v>
      </c>
      <c r="G1194" s="180">
        <v>0</v>
      </c>
      <c r="H1194" s="180">
        <v>75</v>
      </c>
      <c r="I1194" s="180">
        <v>1008</v>
      </c>
      <c r="J1194" s="180">
        <v>92</v>
      </c>
      <c r="K1194" s="180">
        <v>0</v>
      </c>
    </row>
    <row r="1195" spans="1:11" x14ac:dyDescent="0.2">
      <c r="A1195" s="180" t="s">
        <v>2097</v>
      </c>
      <c r="B1195" s="180">
        <v>0</v>
      </c>
      <c r="C1195" s="180">
        <v>0</v>
      </c>
      <c r="D1195" s="180">
        <v>0</v>
      </c>
      <c r="E1195" s="180">
        <v>0</v>
      </c>
      <c r="F1195" s="180">
        <v>0</v>
      </c>
      <c r="G1195" s="180">
        <v>0</v>
      </c>
      <c r="H1195" s="180">
        <v>97</v>
      </c>
      <c r="I1195" s="180">
        <v>1224</v>
      </c>
      <c r="J1195" s="180">
        <v>173</v>
      </c>
      <c r="K1195" s="180">
        <v>0</v>
      </c>
    </row>
    <row r="1196" spans="1:11" x14ac:dyDescent="0.2">
      <c r="A1196" s="180" t="s">
        <v>2101</v>
      </c>
      <c r="B1196" s="37">
        <v>6</v>
      </c>
      <c r="C1196" s="37">
        <v>0</v>
      </c>
      <c r="D1196" s="180">
        <v>0</v>
      </c>
      <c r="E1196" s="180">
        <v>0</v>
      </c>
      <c r="F1196" s="180">
        <v>0</v>
      </c>
      <c r="G1196" s="180">
        <v>0</v>
      </c>
      <c r="H1196" s="180">
        <v>0</v>
      </c>
      <c r="I1196" s="180">
        <v>0</v>
      </c>
      <c r="J1196" s="180">
        <v>0</v>
      </c>
      <c r="K1196" s="180">
        <v>0</v>
      </c>
    </row>
    <row r="1197" spans="1:11" x14ac:dyDescent="0.2">
      <c r="A1197" s="180" t="s">
        <v>2104</v>
      </c>
      <c r="B1197" s="180">
        <v>0</v>
      </c>
      <c r="C1197" s="180">
        <v>0</v>
      </c>
      <c r="D1197" s="180">
        <v>0</v>
      </c>
      <c r="E1197" s="180">
        <v>0</v>
      </c>
      <c r="F1197" s="180">
        <v>0</v>
      </c>
      <c r="G1197" s="180">
        <v>0</v>
      </c>
      <c r="H1197" s="180">
        <v>0</v>
      </c>
      <c r="I1197" s="180">
        <v>0</v>
      </c>
      <c r="J1197" s="180">
        <v>0</v>
      </c>
      <c r="K1197" s="180">
        <v>0</v>
      </c>
    </row>
    <row r="1198" spans="1:11" x14ac:dyDescent="0.2">
      <c r="A1198" s="180" t="s">
        <v>2107</v>
      </c>
      <c r="B1198" s="37">
        <v>9</v>
      </c>
      <c r="C1198" s="37">
        <v>0</v>
      </c>
      <c r="D1198" s="180">
        <v>0</v>
      </c>
      <c r="E1198" s="180">
        <v>0</v>
      </c>
      <c r="F1198" s="180">
        <v>0</v>
      </c>
      <c r="G1198" s="180">
        <v>0</v>
      </c>
      <c r="H1198" s="180">
        <v>0</v>
      </c>
      <c r="I1198" s="180">
        <v>0</v>
      </c>
      <c r="J1198" s="180">
        <v>0</v>
      </c>
      <c r="K1198" s="180">
        <v>0</v>
      </c>
    </row>
    <row r="1199" spans="1:11" x14ac:dyDescent="0.2">
      <c r="A1199" s="180" t="s">
        <v>2110</v>
      </c>
      <c r="B1199" s="180">
        <v>0</v>
      </c>
      <c r="C1199" s="180">
        <v>0</v>
      </c>
      <c r="D1199" s="180">
        <v>0</v>
      </c>
      <c r="E1199" s="180">
        <v>0</v>
      </c>
      <c r="F1199" s="180">
        <v>0</v>
      </c>
      <c r="G1199" s="180">
        <v>0</v>
      </c>
      <c r="H1199" s="180">
        <v>0</v>
      </c>
      <c r="I1199" s="180">
        <v>0</v>
      </c>
      <c r="J1199" s="180">
        <v>0</v>
      </c>
      <c r="K1199" s="180">
        <v>0</v>
      </c>
    </row>
    <row r="1200" spans="1:11" x14ac:dyDescent="0.2">
      <c r="A1200" s="180" t="s">
        <v>2113</v>
      </c>
      <c r="B1200" s="180">
        <v>0</v>
      </c>
      <c r="C1200" s="180">
        <v>0</v>
      </c>
      <c r="D1200" s="180">
        <v>0</v>
      </c>
      <c r="E1200" s="180">
        <v>0</v>
      </c>
      <c r="F1200" s="180">
        <v>0</v>
      </c>
      <c r="G1200" s="180">
        <v>0</v>
      </c>
      <c r="H1200" s="180">
        <v>0</v>
      </c>
      <c r="I1200" s="180">
        <v>0</v>
      </c>
      <c r="J1200" s="180">
        <v>0</v>
      </c>
      <c r="K1200" s="180">
        <v>0</v>
      </c>
    </row>
    <row r="1201" spans="1:11" x14ac:dyDescent="0.2">
      <c r="A1201" s="180" t="s">
        <v>4346</v>
      </c>
      <c r="B1201" s="180">
        <v>0</v>
      </c>
      <c r="C1201" s="180">
        <v>0</v>
      </c>
      <c r="D1201" s="180">
        <v>0</v>
      </c>
      <c r="E1201" s="180">
        <v>0</v>
      </c>
      <c r="F1201" s="180">
        <v>0</v>
      </c>
      <c r="G1201" s="180">
        <v>0</v>
      </c>
      <c r="H1201" s="180">
        <v>0</v>
      </c>
      <c r="I1201" s="180">
        <v>0</v>
      </c>
      <c r="J1201" s="180">
        <v>0</v>
      </c>
      <c r="K1201" s="180">
        <v>0</v>
      </c>
    </row>
    <row r="1202" spans="1:11" x14ac:dyDescent="0.2">
      <c r="A1202" s="180" t="s">
        <v>4347</v>
      </c>
      <c r="B1202" s="180">
        <v>0</v>
      </c>
      <c r="C1202" s="180">
        <v>0</v>
      </c>
      <c r="D1202" s="180">
        <v>0</v>
      </c>
      <c r="E1202" s="180">
        <v>0</v>
      </c>
      <c r="F1202" s="180">
        <v>0</v>
      </c>
      <c r="G1202" s="180">
        <v>0</v>
      </c>
      <c r="H1202" s="180">
        <v>0</v>
      </c>
      <c r="I1202" s="180">
        <v>0</v>
      </c>
      <c r="J1202" s="180">
        <v>0</v>
      </c>
      <c r="K1202" s="180">
        <v>0</v>
      </c>
    </row>
    <row r="1203" spans="1:11" x14ac:dyDescent="0.2">
      <c r="A1203" s="180" t="s">
        <v>4348</v>
      </c>
      <c r="B1203" s="180">
        <v>0</v>
      </c>
      <c r="C1203" s="180">
        <v>0</v>
      </c>
      <c r="D1203" s="180">
        <v>0</v>
      </c>
      <c r="E1203" s="180">
        <v>0</v>
      </c>
      <c r="F1203" s="180">
        <v>0</v>
      </c>
      <c r="G1203" s="180">
        <v>0</v>
      </c>
      <c r="H1203" s="180">
        <v>0</v>
      </c>
      <c r="I1203" s="180">
        <v>0</v>
      </c>
      <c r="J1203" s="180">
        <v>0</v>
      </c>
      <c r="K1203" s="180">
        <v>0</v>
      </c>
    </row>
    <row r="1204" spans="1:11" x14ac:dyDescent="0.2">
      <c r="A1204" s="180" t="s">
        <v>4349</v>
      </c>
      <c r="B1204" s="180">
        <v>0</v>
      </c>
      <c r="C1204" s="180">
        <v>0</v>
      </c>
      <c r="D1204" s="180">
        <v>0</v>
      </c>
      <c r="E1204" s="180">
        <v>0</v>
      </c>
      <c r="F1204" s="180">
        <v>0</v>
      </c>
      <c r="G1204" s="180">
        <v>0</v>
      </c>
      <c r="H1204" s="180">
        <v>0</v>
      </c>
      <c r="I1204" s="180">
        <v>0</v>
      </c>
      <c r="J1204" s="180">
        <v>0</v>
      </c>
      <c r="K1204" s="180">
        <v>0</v>
      </c>
    </row>
    <row r="1205" spans="1:11" x14ac:dyDescent="0.2">
      <c r="A1205" s="180" t="s">
        <v>4350</v>
      </c>
      <c r="B1205" s="180">
        <v>0</v>
      </c>
      <c r="C1205" s="180">
        <v>0</v>
      </c>
      <c r="D1205" s="180">
        <v>0</v>
      </c>
      <c r="E1205" s="180">
        <v>0</v>
      </c>
      <c r="F1205" s="180">
        <v>5</v>
      </c>
      <c r="G1205" s="180">
        <v>0</v>
      </c>
      <c r="H1205" s="180">
        <v>1</v>
      </c>
      <c r="I1205" s="180">
        <v>8</v>
      </c>
      <c r="J1205" s="180">
        <v>1</v>
      </c>
      <c r="K1205" s="180">
        <v>0</v>
      </c>
    </row>
    <row r="1206" spans="1:11" x14ac:dyDescent="0.2">
      <c r="A1206" s="180" t="s">
        <v>4351</v>
      </c>
      <c r="B1206" s="180">
        <v>0</v>
      </c>
      <c r="C1206" s="180">
        <v>0</v>
      </c>
      <c r="D1206" s="180">
        <v>0</v>
      </c>
      <c r="E1206" s="180">
        <v>0</v>
      </c>
      <c r="F1206" s="180">
        <v>0</v>
      </c>
      <c r="G1206" s="180">
        <v>0</v>
      </c>
      <c r="H1206" s="180">
        <v>0</v>
      </c>
      <c r="I1206" s="180">
        <v>0</v>
      </c>
      <c r="J1206" s="180">
        <v>0</v>
      </c>
      <c r="K1206" s="180">
        <v>0</v>
      </c>
    </row>
    <row r="1207" spans="1:11" x14ac:dyDescent="0.2">
      <c r="A1207" s="180" t="s">
        <v>4352</v>
      </c>
      <c r="B1207" s="180">
        <v>0</v>
      </c>
      <c r="C1207" s="180">
        <v>0</v>
      </c>
      <c r="D1207" s="180">
        <v>0</v>
      </c>
      <c r="E1207" s="180">
        <v>0</v>
      </c>
      <c r="F1207" s="180">
        <v>0</v>
      </c>
      <c r="G1207" s="180">
        <v>0</v>
      </c>
      <c r="H1207" s="180">
        <v>0</v>
      </c>
      <c r="I1207" s="180">
        <v>0</v>
      </c>
      <c r="J1207" s="180">
        <v>0</v>
      </c>
      <c r="K1207" s="180">
        <v>0</v>
      </c>
    </row>
    <row r="1208" spans="1:11" x14ac:dyDescent="0.2">
      <c r="A1208" s="180" t="s">
        <v>4353</v>
      </c>
      <c r="B1208" s="180">
        <v>1</v>
      </c>
      <c r="C1208" s="180">
        <v>0</v>
      </c>
      <c r="D1208" s="180">
        <v>0</v>
      </c>
      <c r="E1208" s="180">
        <v>0</v>
      </c>
      <c r="F1208" s="180">
        <v>42</v>
      </c>
      <c r="G1208" s="180">
        <v>0</v>
      </c>
      <c r="H1208" s="180">
        <v>4</v>
      </c>
      <c r="I1208" s="180">
        <v>67</v>
      </c>
      <c r="J1208" s="180">
        <v>7</v>
      </c>
      <c r="K1208" s="180">
        <v>0</v>
      </c>
    </row>
    <row r="1209" spans="1:11" x14ac:dyDescent="0.2">
      <c r="A1209" s="180" t="s">
        <v>4354</v>
      </c>
      <c r="B1209" s="180">
        <v>1</v>
      </c>
      <c r="C1209" s="180">
        <v>0</v>
      </c>
      <c r="D1209" s="180">
        <v>0</v>
      </c>
      <c r="E1209" s="180">
        <v>0</v>
      </c>
      <c r="F1209" s="180">
        <v>29</v>
      </c>
      <c r="G1209" s="180">
        <v>0</v>
      </c>
      <c r="H1209" s="180">
        <v>3</v>
      </c>
      <c r="I1209" s="180">
        <v>47</v>
      </c>
      <c r="J1209" s="180">
        <v>5</v>
      </c>
      <c r="K1209" s="180">
        <v>0</v>
      </c>
    </row>
    <row r="1210" spans="1:11" x14ac:dyDescent="0.2">
      <c r="A1210" s="180" t="s">
        <v>4355</v>
      </c>
      <c r="B1210" s="180">
        <v>0</v>
      </c>
      <c r="C1210" s="180">
        <v>0</v>
      </c>
      <c r="D1210" s="180">
        <v>0</v>
      </c>
      <c r="E1210" s="180">
        <v>0</v>
      </c>
      <c r="F1210" s="180">
        <v>0</v>
      </c>
      <c r="G1210" s="180">
        <v>0</v>
      </c>
      <c r="H1210" s="180">
        <v>0</v>
      </c>
      <c r="I1210" s="180">
        <v>0</v>
      </c>
      <c r="J1210" s="180">
        <v>0</v>
      </c>
      <c r="K1210" s="180">
        <v>0</v>
      </c>
    </row>
    <row r="1211" spans="1:11" x14ac:dyDescent="0.2">
      <c r="A1211" s="180" t="s">
        <v>4356</v>
      </c>
      <c r="B1211" s="180">
        <v>0</v>
      </c>
      <c r="C1211" s="180">
        <v>0</v>
      </c>
      <c r="D1211" s="180">
        <v>0</v>
      </c>
      <c r="E1211" s="180">
        <v>0</v>
      </c>
      <c r="F1211" s="180">
        <v>0</v>
      </c>
      <c r="G1211" s="180">
        <v>0</v>
      </c>
      <c r="H1211" s="180">
        <v>0</v>
      </c>
      <c r="I1211" s="180">
        <v>0</v>
      </c>
      <c r="J1211" s="180">
        <v>0</v>
      </c>
      <c r="K1211" s="180">
        <v>0</v>
      </c>
    </row>
    <row r="1212" spans="1:11" x14ac:dyDescent="0.2">
      <c r="A1212" s="180" t="s">
        <v>4357</v>
      </c>
      <c r="B1212" s="180">
        <v>0</v>
      </c>
      <c r="C1212" s="180">
        <v>0</v>
      </c>
      <c r="D1212" s="180">
        <v>0</v>
      </c>
      <c r="E1212" s="180">
        <v>0</v>
      </c>
      <c r="F1212" s="180">
        <v>0</v>
      </c>
      <c r="G1212" s="180">
        <v>0</v>
      </c>
      <c r="H1212" s="180">
        <v>0</v>
      </c>
      <c r="I1212" s="180">
        <v>0</v>
      </c>
      <c r="J1212" s="180">
        <v>0</v>
      </c>
      <c r="K1212" s="180">
        <v>0</v>
      </c>
    </row>
    <row r="1213" spans="1:11" x14ac:dyDescent="0.2">
      <c r="A1213" s="180" t="s">
        <v>4358</v>
      </c>
      <c r="B1213" s="180">
        <v>0</v>
      </c>
      <c r="C1213" s="180">
        <v>0</v>
      </c>
      <c r="D1213" s="180">
        <v>0</v>
      </c>
      <c r="E1213" s="180">
        <v>0</v>
      </c>
      <c r="F1213" s="180">
        <v>0</v>
      </c>
      <c r="G1213" s="180">
        <v>0</v>
      </c>
      <c r="H1213" s="180">
        <v>0</v>
      </c>
      <c r="I1213" s="180">
        <v>0</v>
      </c>
      <c r="J1213" s="180">
        <v>0</v>
      </c>
      <c r="K1213" s="180">
        <v>0</v>
      </c>
    </row>
    <row r="1214" spans="1:11" x14ac:dyDescent="0.2">
      <c r="A1214" s="180" t="s">
        <v>4359</v>
      </c>
      <c r="B1214" s="180">
        <v>0</v>
      </c>
      <c r="C1214" s="180">
        <v>0</v>
      </c>
      <c r="D1214" s="180">
        <v>0</v>
      </c>
      <c r="E1214" s="180">
        <v>0</v>
      </c>
      <c r="F1214" s="180">
        <v>0</v>
      </c>
      <c r="G1214" s="180">
        <v>0</v>
      </c>
      <c r="H1214" s="180">
        <v>0</v>
      </c>
      <c r="I1214" s="180">
        <v>0</v>
      </c>
      <c r="J1214" s="180">
        <v>0</v>
      </c>
      <c r="K1214" s="180">
        <v>0</v>
      </c>
    </row>
    <row r="1215" spans="1:11" x14ac:dyDescent="0.2">
      <c r="A1215" s="180" t="s">
        <v>4360</v>
      </c>
      <c r="B1215" s="180">
        <v>0</v>
      </c>
      <c r="C1215" s="180">
        <v>0</v>
      </c>
      <c r="D1215" s="180">
        <v>0</v>
      </c>
      <c r="E1215" s="180">
        <v>0</v>
      </c>
      <c r="F1215" s="180">
        <v>3</v>
      </c>
      <c r="G1215" s="180">
        <v>0</v>
      </c>
      <c r="H1215" s="180">
        <v>0</v>
      </c>
      <c r="I1215" s="180">
        <v>4</v>
      </c>
      <c r="J1215" s="180">
        <v>0</v>
      </c>
      <c r="K1215" s="180">
        <v>0</v>
      </c>
    </row>
    <row r="1216" spans="1:11" x14ac:dyDescent="0.2">
      <c r="A1216" s="180" t="s">
        <v>4361</v>
      </c>
      <c r="B1216" s="180">
        <v>0</v>
      </c>
      <c r="C1216" s="180">
        <v>0</v>
      </c>
      <c r="D1216" s="180">
        <v>0</v>
      </c>
      <c r="E1216" s="180">
        <v>0</v>
      </c>
      <c r="F1216" s="180">
        <v>3</v>
      </c>
      <c r="G1216" s="180">
        <v>0</v>
      </c>
      <c r="H1216" s="180">
        <v>0</v>
      </c>
      <c r="I1216" s="180">
        <v>4</v>
      </c>
      <c r="J1216" s="180">
        <v>0</v>
      </c>
      <c r="K1216" s="180">
        <v>0</v>
      </c>
    </row>
    <row r="1217" spans="1:11" x14ac:dyDescent="0.2">
      <c r="A1217" s="180" t="s">
        <v>4362</v>
      </c>
      <c r="B1217" s="180">
        <v>0</v>
      </c>
      <c r="C1217" s="180">
        <v>0</v>
      </c>
      <c r="D1217" s="180">
        <v>0</v>
      </c>
      <c r="E1217" s="180">
        <v>0</v>
      </c>
      <c r="F1217" s="180">
        <v>0</v>
      </c>
      <c r="G1217" s="180">
        <v>0</v>
      </c>
      <c r="H1217" s="180">
        <v>0</v>
      </c>
      <c r="I1217" s="180">
        <v>0</v>
      </c>
      <c r="J1217" s="180">
        <v>0</v>
      </c>
      <c r="K1217" s="180">
        <v>0</v>
      </c>
    </row>
    <row r="1218" spans="1:11" x14ac:dyDescent="0.2">
      <c r="A1218" s="180" t="s">
        <v>4363</v>
      </c>
      <c r="B1218" s="180">
        <v>0</v>
      </c>
      <c r="C1218" s="180">
        <v>0</v>
      </c>
      <c r="D1218" s="180">
        <v>0</v>
      </c>
      <c r="E1218" s="180">
        <v>0</v>
      </c>
      <c r="F1218" s="180">
        <v>0</v>
      </c>
      <c r="G1218" s="180">
        <v>0</v>
      </c>
      <c r="H1218" s="180">
        <v>0</v>
      </c>
      <c r="I1218" s="180">
        <v>0</v>
      </c>
      <c r="J1218" s="180">
        <v>0</v>
      </c>
      <c r="K1218" s="180">
        <v>0</v>
      </c>
    </row>
    <row r="1219" spans="1:11" x14ac:dyDescent="0.2">
      <c r="A1219" s="180" t="s">
        <v>4364</v>
      </c>
      <c r="B1219" s="180">
        <v>0</v>
      </c>
      <c r="C1219" s="180">
        <v>0</v>
      </c>
      <c r="D1219" s="180">
        <v>0</v>
      </c>
      <c r="E1219" s="180">
        <v>0</v>
      </c>
      <c r="F1219" s="180">
        <v>0</v>
      </c>
      <c r="G1219" s="180">
        <v>0</v>
      </c>
      <c r="H1219" s="180">
        <v>0</v>
      </c>
      <c r="I1219" s="180">
        <v>0</v>
      </c>
      <c r="J1219" s="180">
        <v>0</v>
      </c>
      <c r="K1219" s="180">
        <v>0</v>
      </c>
    </row>
    <row r="1220" spans="1:11" x14ac:dyDescent="0.2">
      <c r="A1220" s="180" t="s">
        <v>4365</v>
      </c>
      <c r="B1220" s="180">
        <v>0</v>
      </c>
      <c r="C1220" s="180">
        <v>0</v>
      </c>
      <c r="D1220" s="180">
        <v>0</v>
      </c>
      <c r="E1220" s="180">
        <v>0</v>
      </c>
      <c r="F1220" s="180">
        <v>2</v>
      </c>
      <c r="G1220" s="180">
        <v>0</v>
      </c>
      <c r="H1220" s="180">
        <v>0</v>
      </c>
      <c r="I1220" s="180">
        <v>26</v>
      </c>
      <c r="J1220" s="180">
        <v>0</v>
      </c>
      <c r="K1220" s="180">
        <v>0</v>
      </c>
    </row>
    <row r="1221" spans="1:11" x14ac:dyDescent="0.2">
      <c r="A1221" s="180" t="s">
        <v>4366</v>
      </c>
      <c r="B1221" s="180">
        <v>0</v>
      </c>
      <c r="C1221" s="180">
        <v>0</v>
      </c>
      <c r="D1221" s="180">
        <v>0</v>
      </c>
      <c r="E1221" s="180">
        <v>0</v>
      </c>
      <c r="F1221" s="180">
        <v>0</v>
      </c>
      <c r="G1221" s="180">
        <v>0</v>
      </c>
      <c r="H1221" s="180">
        <v>0</v>
      </c>
      <c r="I1221" s="180">
        <v>0</v>
      </c>
      <c r="J1221" s="180">
        <v>0</v>
      </c>
      <c r="K1221" s="180">
        <v>0</v>
      </c>
    </row>
    <row r="1222" spans="1:11" x14ac:dyDescent="0.2">
      <c r="A1222" s="180" t="s">
        <v>4367</v>
      </c>
      <c r="B1222" s="180">
        <v>0</v>
      </c>
      <c r="C1222" s="180">
        <v>0</v>
      </c>
      <c r="D1222" s="180">
        <v>0</v>
      </c>
      <c r="E1222" s="180">
        <v>0</v>
      </c>
      <c r="F1222" s="180">
        <v>0</v>
      </c>
      <c r="G1222" s="180">
        <v>0</v>
      </c>
      <c r="H1222" s="180">
        <v>0</v>
      </c>
      <c r="I1222" s="180">
        <v>0</v>
      </c>
      <c r="J1222" s="180">
        <v>0</v>
      </c>
      <c r="K1222" s="180">
        <v>0</v>
      </c>
    </row>
    <row r="1223" spans="1:11" x14ac:dyDescent="0.2">
      <c r="A1223" s="180" t="s">
        <v>4368</v>
      </c>
      <c r="B1223" s="180">
        <v>1</v>
      </c>
      <c r="C1223" s="180">
        <v>0</v>
      </c>
      <c r="D1223" s="180">
        <v>0</v>
      </c>
      <c r="E1223" s="180">
        <v>0</v>
      </c>
      <c r="F1223" s="180">
        <v>37</v>
      </c>
      <c r="G1223" s="180">
        <v>0</v>
      </c>
      <c r="H1223" s="180">
        <v>4</v>
      </c>
      <c r="I1223" s="180">
        <v>470</v>
      </c>
      <c r="J1223" s="180">
        <v>6</v>
      </c>
      <c r="K1223" s="180">
        <v>0</v>
      </c>
    </row>
    <row r="1224" spans="1:11" x14ac:dyDescent="0.2">
      <c r="A1224" s="180" t="s">
        <v>4369</v>
      </c>
      <c r="B1224" s="180">
        <v>2</v>
      </c>
      <c r="C1224" s="180">
        <v>0</v>
      </c>
      <c r="D1224" s="180">
        <v>0</v>
      </c>
      <c r="E1224" s="180">
        <v>0</v>
      </c>
      <c r="F1224" s="180">
        <v>74</v>
      </c>
      <c r="G1224" s="180">
        <v>0</v>
      </c>
      <c r="H1224" s="180">
        <v>7</v>
      </c>
      <c r="I1224" s="180">
        <v>273</v>
      </c>
      <c r="J1224" s="180">
        <v>12</v>
      </c>
      <c r="K1224" s="180">
        <v>0</v>
      </c>
    </row>
    <row r="1225" spans="1:11" x14ac:dyDescent="0.2">
      <c r="A1225" s="180" t="s">
        <v>4370</v>
      </c>
      <c r="B1225" s="180">
        <v>0</v>
      </c>
      <c r="C1225" s="180">
        <v>0</v>
      </c>
      <c r="D1225" s="180">
        <v>0</v>
      </c>
      <c r="E1225" s="180">
        <v>0</v>
      </c>
      <c r="F1225" s="180">
        <v>0</v>
      </c>
      <c r="G1225" s="180">
        <v>0</v>
      </c>
      <c r="H1225" s="180">
        <v>0</v>
      </c>
      <c r="I1225" s="180">
        <v>7</v>
      </c>
      <c r="J1225" s="180">
        <v>0</v>
      </c>
      <c r="K1225" s="180">
        <v>0</v>
      </c>
    </row>
    <row r="1226" spans="1:11" x14ac:dyDescent="0.2">
      <c r="A1226" s="180" t="s">
        <v>4371</v>
      </c>
      <c r="B1226" s="180">
        <v>0</v>
      </c>
      <c r="C1226" s="180">
        <v>0</v>
      </c>
      <c r="D1226" s="180">
        <v>0</v>
      </c>
      <c r="E1226" s="180">
        <v>0</v>
      </c>
      <c r="F1226" s="180">
        <v>0</v>
      </c>
      <c r="G1226" s="180">
        <v>0</v>
      </c>
      <c r="H1226" s="180">
        <v>0</v>
      </c>
      <c r="I1226" s="180">
        <v>5</v>
      </c>
      <c r="J1226" s="180">
        <v>0</v>
      </c>
      <c r="K1226" s="180">
        <v>0</v>
      </c>
    </row>
    <row r="1227" spans="1:11" x14ac:dyDescent="0.2">
      <c r="A1227" s="180" t="s">
        <v>4372</v>
      </c>
      <c r="B1227" s="180">
        <v>0</v>
      </c>
      <c r="C1227" s="180">
        <v>0</v>
      </c>
      <c r="D1227" s="180">
        <v>0</v>
      </c>
      <c r="E1227" s="180">
        <v>0</v>
      </c>
      <c r="F1227" s="180">
        <v>0</v>
      </c>
      <c r="G1227" s="180">
        <v>0</v>
      </c>
      <c r="H1227" s="180">
        <v>0</v>
      </c>
      <c r="I1227" s="180">
        <v>0</v>
      </c>
      <c r="J1227" s="180">
        <v>0</v>
      </c>
      <c r="K1227" s="180">
        <v>0</v>
      </c>
    </row>
    <row r="1228" spans="1:11" x14ac:dyDescent="0.2">
      <c r="A1228" s="180" t="s">
        <v>4373</v>
      </c>
      <c r="B1228" s="180">
        <v>0</v>
      </c>
      <c r="C1228" s="180">
        <v>0</v>
      </c>
      <c r="D1228" s="180">
        <v>0</v>
      </c>
      <c r="E1228" s="180">
        <v>0</v>
      </c>
      <c r="F1228" s="180">
        <v>1</v>
      </c>
      <c r="G1228" s="180">
        <v>0</v>
      </c>
      <c r="H1228" s="180">
        <v>0</v>
      </c>
      <c r="I1228" s="180">
        <v>1</v>
      </c>
      <c r="J1228" s="180">
        <v>0</v>
      </c>
      <c r="K1228" s="180">
        <v>0</v>
      </c>
    </row>
    <row r="1229" spans="1:11" x14ac:dyDescent="0.2">
      <c r="A1229" s="180" t="s">
        <v>4374</v>
      </c>
      <c r="B1229" s="180">
        <v>0</v>
      </c>
      <c r="C1229" s="180">
        <v>0</v>
      </c>
      <c r="D1229" s="180">
        <v>0</v>
      </c>
      <c r="E1229" s="180">
        <v>0</v>
      </c>
      <c r="F1229" s="180">
        <v>0</v>
      </c>
      <c r="G1229" s="180">
        <v>0</v>
      </c>
      <c r="H1229" s="180">
        <v>0</v>
      </c>
      <c r="I1229" s="180">
        <v>0</v>
      </c>
      <c r="J1229" s="180">
        <v>0</v>
      </c>
      <c r="K1229" s="180">
        <v>0</v>
      </c>
    </row>
    <row r="1230" spans="1:11" x14ac:dyDescent="0.2">
      <c r="A1230" s="180" t="s">
        <v>4375</v>
      </c>
      <c r="B1230" s="180">
        <v>0</v>
      </c>
      <c r="C1230" s="180">
        <v>0</v>
      </c>
      <c r="D1230" s="180">
        <v>0</v>
      </c>
      <c r="E1230" s="180">
        <v>0</v>
      </c>
      <c r="F1230" s="180">
        <v>0</v>
      </c>
      <c r="G1230" s="180">
        <v>0</v>
      </c>
      <c r="H1230" s="180">
        <v>0</v>
      </c>
      <c r="I1230" s="180">
        <v>0</v>
      </c>
      <c r="J1230" s="180">
        <v>0</v>
      </c>
      <c r="K1230" s="180">
        <v>0</v>
      </c>
    </row>
    <row r="1231" spans="1:11" x14ac:dyDescent="0.2">
      <c r="A1231" s="180" t="s">
        <v>4376</v>
      </c>
      <c r="B1231" s="180">
        <v>0</v>
      </c>
      <c r="C1231" s="180">
        <v>0</v>
      </c>
      <c r="D1231" s="180">
        <v>0</v>
      </c>
      <c r="E1231" s="180">
        <v>0</v>
      </c>
      <c r="F1231" s="180">
        <v>0</v>
      </c>
      <c r="G1231" s="180">
        <v>0</v>
      </c>
      <c r="H1231" s="180">
        <v>0</v>
      </c>
      <c r="I1231" s="180">
        <v>0</v>
      </c>
      <c r="J1231" s="180">
        <v>0</v>
      </c>
      <c r="K1231" s="180">
        <v>0</v>
      </c>
    </row>
    <row r="1232" spans="1:11" x14ac:dyDescent="0.2">
      <c r="A1232" s="180" t="s">
        <v>4377</v>
      </c>
      <c r="B1232" s="180">
        <v>0</v>
      </c>
      <c r="C1232" s="180">
        <v>0</v>
      </c>
      <c r="D1232" s="180">
        <v>0</v>
      </c>
      <c r="E1232" s="180">
        <v>0</v>
      </c>
      <c r="F1232" s="180">
        <v>2</v>
      </c>
      <c r="G1232" s="180">
        <v>0</v>
      </c>
      <c r="H1232" s="180">
        <v>0</v>
      </c>
      <c r="I1232" s="180">
        <v>3</v>
      </c>
      <c r="J1232" s="180">
        <v>0</v>
      </c>
      <c r="K1232" s="180">
        <v>0</v>
      </c>
    </row>
    <row r="1233" spans="1:11" x14ac:dyDescent="0.2">
      <c r="A1233" s="180" t="s">
        <v>4854</v>
      </c>
      <c r="B1233" s="180">
        <v>172</v>
      </c>
      <c r="C1233" s="180">
        <v>0</v>
      </c>
      <c r="D1233" s="180">
        <v>0</v>
      </c>
      <c r="E1233" s="180">
        <v>0</v>
      </c>
      <c r="F1233" s="180">
        <v>4667</v>
      </c>
      <c r="G1233" s="180">
        <v>0</v>
      </c>
      <c r="H1233" s="180">
        <v>487</v>
      </c>
      <c r="I1233" s="180">
        <v>10189</v>
      </c>
      <c r="J1233" s="180">
        <v>774</v>
      </c>
      <c r="K1233" s="180">
        <v>0</v>
      </c>
    </row>
    <row r="1234" spans="1:11" x14ac:dyDescent="0.2">
      <c r="A1234" t="s">
        <v>2318</v>
      </c>
      <c r="B1234" t="s">
        <v>4399</v>
      </c>
      <c r="C1234" t="s">
        <v>4399</v>
      </c>
      <c r="D1234" t="s">
        <v>4399</v>
      </c>
      <c r="E1234" t="s">
        <v>4399</v>
      </c>
      <c r="F1234" t="s">
        <v>4399</v>
      </c>
      <c r="G1234" t="s">
        <v>4399</v>
      </c>
      <c r="H1234" t="s">
        <v>4399</v>
      </c>
      <c r="I1234" t="s">
        <v>4399</v>
      </c>
      <c r="J1234" t="s">
        <v>4399</v>
      </c>
      <c r="K1234" t="s">
        <v>4399</v>
      </c>
    </row>
    <row r="1235" spans="1:11" x14ac:dyDescent="0.2">
      <c r="A1235" t="s">
        <v>4248</v>
      </c>
    </row>
    <row r="1236" spans="1:11" x14ac:dyDescent="0.2">
      <c r="A1236" t="s">
        <v>4855</v>
      </c>
      <c r="B1236" t="s">
        <v>4856</v>
      </c>
      <c r="C1236" t="s">
        <v>4857</v>
      </c>
      <c r="D1236" t="s">
        <v>4858</v>
      </c>
      <c r="E1236" t="s">
        <v>4859</v>
      </c>
      <c r="F1236" t="s">
        <v>4860</v>
      </c>
      <c r="G1236" t="s">
        <v>4866</v>
      </c>
    </row>
    <row r="1237" spans="1:11" x14ac:dyDescent="0.2">
      <c r="A1237" t="s">
        <v>2318</v>
      </c>
      <c r="B1237" t="s">
        <v>4399</v>
      </c>
      <c r="C1237" t="s">
        <v>4399</v>
      </c>
      <c r="D1237" t="s">
        <v>4399</v>
      </c>
      <c r="E1237" t="s">
        <v>4399</v>
      </c>
      <c r="F1237" t="s">
        <v>4399</v>
      </c>
      <c r="G1237" t="s">
        <v>4399</v>
      </c>
      <c r="H1237" t="s">
        <v>4399</v>
      </c>
      <c r="I1237" t="s">
        <v>4399</v>
      </c>
      <c r="J1237" t="s">
        <v>4399</v>
      </c>
      <c r="K1237" t="s">
        <v>4399</v>
      </c>
    </row>
    <row r="1238" spans="1:11" x14ac:dyDescent="0.2">
      <c r="A1238" t="s">
        <v>126</v>
      </c>
      <c r="B1238" t="s">
        <v>4616</v>
      </c>
      <c r="C1238" t="s">
        <v>4620</v>
      </c>
      <c r="D1238" t="s">
        <v>4624</v>
      </c>
      <c r="E1238" t="s">
        <v>4628</v>
      </c>
      <c r="F1238" t="s">
        <v>4632</v>
      </c>
      <c r="G1238" t="s">
        <v>4636</v>
      </c>
      <c r="H1238" t="s">
        <v>405</v>
      </c>
      <c r="I1238" t="s">
        <v>406</v>
      </c>
      <c r="J1238" t="s">
        <v>4646</v>
      </c>
      <c r="K1238" t="s">
        <v>4650</v>
      </c>
    </row>
    <row r="1239" spans="1:11" x14ac:dyDescent="0.2">
      <c r="A1239" t="s">
        <v>2318</v>
      </c>
      <c r="B1239" t="s">
        <v>4399</v>
      </c>
      <c r="C1239" t="s">
        <v>4399</v>
      </c>
      <c r="D1239" t="s">
        <v>4399</v>
      </c>
      <c r="E1239" t="s">
        <v>4399</v>
      </c>
      <c r="F1239" t="s">
        <v>4399</v>
      </c>
      <c r="G1239" t="s">
        <v>4399</v>
      </c>
      <c r="H1239" t="s">
        <v>4399</v>
      </c>
      <c r="I1239" t="s">
        <v>4399</v>
      </c>
      <c r="J1239" t="s">
        <v>4399</v>
      </c>
      <c r="K1239" t="s">
        <v>4399</v>
      </c>
    </row>
    <row r="1240" spans="1:11" x14ac:dyDescent="0.2">
      <c r="A1240" t="s">
        <v>4265</v>
      </c>
      <c r="B1240">
        <v>0</v>
      </c>
      <c r="C1240">
        <v>0</v>
      </c>
      <c r="D1240">
        <v>0</v>
      </c>
      <c r="E1240">
        <v>0</v>
      </c>
      <c r="F1240">
        <v>0</v>
      </c>
      <c r="G1240">
        <v>0</v>
      </c>
      <c r="H1240">
        <v>0</v>
      </c>
      <c r="I1240">
        <v>0</v>
      </c>
      <c r="J1240">
        <v>0</v>
      </c>
      <c r="K1240">
        <v>0</v>
      </c>
    </row>
    <row r="1241" spans="1:11" x14ac:dyDescent="0.2">
      <c r="A1241" t="s">
        <v>4266</v>
      </c>
      <c r="B1241">
        <v>0</v>
      </c>
      <c r="C1241">
        <v>0</v>
      </c>
      <c r="D1241">
        <v>0</v>
      </c>
      <c r="E1241">
        <v>0</v>
      </c>
      <c r="F1241">
        <v>0</v>
      </c>
      <c r="G1241">
        <v>0</v>
      </c>
      <c r="H1241">
        <v>0</v>
      </c>
      <c r="I1241">
        <v>0</v>
      </c>
      <c r="J1241">
        <v>0</v>
      </c>
      <c r="K1241">
        <v>0</v>
      </c>
    </row>
    <row r="1242" spans="1:11" x14ac:dyDescent="0.2">
      <c r="A1242" t="s">
        <v>4267</v>
      </c>
      <c r="B1242">
        <v>0</v>
      </c>
      <c r="C1242">
        <v>0</v>
      </c>
      <c r="D1242">
        <v>0</v>
      </c>
      <c r="E1242">
        <v>0</v>
      </c>
      <c r="F1242">
        <v>0</v>
      </c>
      <c r="G1242">
        <v>0</v>
      </c>
      <c r="H1242">
        <v>0</v>
      </c>
      <c r="I1242">
        <v>0</v>
      </c>
      <c r="J1242">
        <v>0</v>
      </c>
      <c r="K1242">
        <v>0</v>
      </c>
    </row>
    <row r="1243" spans="1:11" x14ac:dyDescent="0.2">
      <c r="A1243" t="s">
        <v>4268</v>
      </c>
      <c r="B1243">
        <v>0</v>
      </c>
      <c r="C1243">
        <v>0</v>
      </c>
      <c r="D1243">
        <v>0</v>
      </c>
      <c r="E1243">
        <v>0</v>
      </c>
      <c r="F1243">
        <v>0</v>
      </c>
      <c r="G1243">
        <v>0</v>
      </c>
      <c r="H1243">
        <v>0</v>
      </c>
      <c r="I1243">
        <v>0</v>
      </c>
      <c r="J1243">
        <v>0</v>
      </c>
      <c r="K1243">
        <v>0</v>
      </c>
    </row>
    <row r="1244" spans="1:11" x14ac:dyDescent="0.2">
      <c r="A1244" t="s">
        <v>4269</v>
      </c>
      <c r="B1244">
        <v>0</v>
      </c>
      <c r="C1244">
        <v>0</v>
      </c>
      <c r="D1244">
        <v>0</v>
      </c>
      <c r="E1244">
        <v>0</v>
      </c>
      <c r="F1244">
        <v>0</v>
      </c>
      <c r="G1244">
        <v>0</v>
      </c>
      <c r="H1244">
        <v>0</v>
      </c>
      <c r="I1244">
        <v>0</v>
      </c>
      <c r="J1244">
        <v>0</v>
      </c>
      <c r="K1244">
        <v>0</v>
      </c>
    </row>
    <row r="1245" spans="1:11" x14ac:dyDescent="0.2">
      <c r="A1245" t="s">
        <v>4270</v>
      </c>
      <c r="B1245">
        <v>0</v>
      </c>
      <c r="C1245">
        <v>0</v>
      </c>
      <c r="D1245">
        <v>0</v>
      </c>
      <c r="E1245">
        <v>0</v>
      </c>
      <c r="F1245">
        <v>0</v>
      </c>
      <c r="G1245">
        <v>0</v>
      </c>
      <c r="H1245">
        <v>0</v>
      </c>
      <c r="I1245">
        <v>0</v>
      </c>
      <c r="J1245">
        <v>0</v>
      </c>
      <c r="K1245">
        <v>0</v>
      </c>
    </row>
    <row r="1246" spans="1:11" x14ac:dyDescent="0.2">
      <c r="A1246" t="s">
        <v>4271</v>
      </c>
      <c r="B1246">
        <v>0</v>
      </c>
      <c r="C1246">
        <v>0</v>
      </c>
      <c r="D1246">
        <v>0</v>
      </c>
      <c r="E1246">
        <v>0</v>
      </c>
      <c r="F1246">
        <v>0</v>
      </c>
      <c r="G1246">
        <v>0</v>
      </c>
      <c r="H1246">
        <v>0</v>
      </c>
      <c r="I1246">
        <v>0</v>
      </c>
      <c r="J1246">
        <v>0</v>
      </c>
      <c r="K1246">
        <v>0</v>
      </c>
    </row>
    <row r="1247" spans="1:11" x14ac:dyDescent="0.2">
      <c r="A1247" t="s">
        <v>4272</v>
      </c>
      <c r="B1247">
        <v>0</v>
      </c>
      <c r="C1247">
        <v>0</v>
      </c>
      <c r="D1247">
        <v>0</v>
      </c>
      <c r="E1247">
        <v>0</v>
      </c>
      <c r="F1247">
        <v>0</v>
      </c>
      <c r="G1247">
        <v>0</v>
      </c>
      <c r="H1247">
        <v>0</v>
      </c>
      <c r="I1247">
        <v>0</v>
      </c>
      <c r="J1247">
        <v>0</v>
      </c>
      <c r="K1247">
        <v>0</v>
      </c>
    </row>
    <row r="1248" spans="1:11" x14ac:dyDescent="0.2">
      <c r="A1248" t="s">
        <v>4273</v>
      </c>
      <c r="B1248">
        <v>0</v>
      </c>
      <c r="C1248">
        <v>0</v>
      </c>
      <c r="D1248">
        <v>0</v>
      </c>
      <c r="E1248">
        <v>0</v>
      </c>
      <c r="F1248">
        <v>0</v>
      </c>
      <c r="G1248">
        <v>0</v>
      </c>
      <c r="H1248">
        <v>0</v>
      </c>
      <c r="I1248">
        <v>0</v>
      </c>
      <c r="J1248">
        <v>0</v>
      </c>
      <c r="K1248">
        <v>0</v>
      </c>
    </row>
    <row r="1249" spans="1:11" x14ac:dyDescent="0.2">
      <c r="A1249" t="s">
        <v>4274</v>
      </c>
      <c r="B1249">
        <v>0</v>
      </c>
      <c r="C1249">
        <v>0</v>
      </c>
      <c r="D1249">
        <v>0</v>
      </c>
      <c r="E1249">
        <v>0</v>
      </c>
      <c r="F1249">
        <v>0</v>
      </c>
      <c r="G1249">
        <v>0</v>
      </c>
      <c r="H1249">
        <v>0</v>
      </c>
      <c r="I1249">
        <v>0</v>
      </c>
      <c r="J1249">
        <v>0</v>
      </c>
      <c r="K1249">
        <v>0</v>
      </c>
    </row>
    <row r="1250" spans="1:11" x14ac:dyDescent="0.2">
      <c r="A1250" t="s">
        <v>4275</v>
      </c>
      <c r="B1250">
        <v>0</v>
      </c>
      <c r="C1250">
        <v>0</v>
      </c>
      <c r="D1250">
        <v>0</v>
      </c>
      <c r="E1250">
        <v>0</v>
      </c>
      <c r="F1250">
        <v>0</v>
      </c>
      <c r="G1250">
        <v>0</v>
      </c>
      <c r="H1250">
        <v>0</v>
      </c>
      <c r="I1250">
        <v>0</v>
      </c>
      <c r="J1250">
        <v>0</v>
      </c>
      <c r="K1250">
        <v>0</v>
      </c>
    </row>
    <row r="1251" spans="1:11" x14ac:dyDescent="0.2">
      <c r="A1251" t="s">
        <v>4276</v>
      </c>
      <c r="B1251">
        <v>0</v>
      </c>
      <c r="C1251">
        <v>0</v>
      </c>
      <c r="D1251">
        <v>0</v>
      </c>
      <c r="E1251">
        <v>0</v>
      </c>
      <c r="F1251">
        <v>0</v>
      </c>
      <c r="G1251">
        <v>0</v>
      </c>
      <c r="H1251">
        <v>0</v>
      </c>
      <c r="I1251">
        <v>0</v>
      </c>
      <c r="J1251">
        <v>0</v>
      </c>
      <c r="K1251">
        <v>0</v>
      </c>
    </row>
    <row r="1252" spans="1:11" x14ac:dyDescent="0.2">
      <c r="A1252" t="s">
        <v>4277</v>
      </c>
      <c r="B1252">
        <v>0</v>
      </c>
      <c r="C1252">
        <v>0</v>
      </c>
      <c r="D1252">
        <v>0</v>
      </c>
      <c r="E1252">
        <v>0</v>
      </c>
      <c r="F1252">
        <v>0</v>
      </c>
      <c r="G1252">
        <v>0</v>
      </c>
      <c r="H1252">
        <v>0</v>
      </c>
      <c r="I1252">
        <v>0</v>
      </c>
      <c r="J1252">
        <v>0</v>
      </c>
      <c r="K1252">
        <v>0</v>
      </c>
    </row>
    <row r="1253" spans="1:11" x14ac:dyDescent="0.2">
      <c r="A1253" t="s">
        <v>4278</v>
      </c>
      <c r="B1253">
        <v>0</v>
      </c>
      <c r="C1253">
        <v>0</v>
      </c>
      <c r="D1253">
        <v>0</v>
      </c>
      <c r="E1253">
        <v>0</v>
      </c>
      <c r="F1253">
        <v>0</v>
      </c>
      <c r="G1253">
        <v>0</v>
      </c>
      <c r="H1253">
        <v>0</v>
      </c>
      <c r="I1253">
        <v>0</v>
      </c>
      <c r="J1253">
        <v>0</v>
      </c>
      <c r="K1253">
        <v>0</v>
      </c>
    </row>
    <row r="1254" spans="1:11" x14ac:dyDescent="0.2">
      <c r="A1254" t="s">
        <v>4279</v>
      </c>
      <c r="B1254">
        <v>0</v>
      </c>
      <c r="C1254">
        <v>0</v>
      </c>
      <c r="D1254">
        <v>0</v>
      </c>
      <c r="E1254">
        <v>0</v>
      </c>
      <c r="F1254">
        <v>0</v>
      </c>
      <c r="G1254">
        <v>0</v>
      </c>
      <c r="H1254">
        <v>0</v>
      </c>
      <c r="I1254">
        <v>0</v>
      </c>
      <c r="J1254">
        <v>0</v>
      </c>
      <c r="K1254">
        <v>0</v>
      </c>
    </row>
    <row r="1255" spans="1:11" x14ac:dyDescent="0.2">
      <c r="A1255" t="s">
        <v>4280</v>
      </c>
      <c r="B1255">
        <v>0</v>
      </c>
      <c r="C1255">
        <v>0</v>
      </c>
      <c r="D1255">
        <v>0</v>
      </c>
      <c r="E1255">
        <v>0</v>
      </c>
      <c r="F1255">
        <v>0</v>
      </c>
      <c r="G1255">
        <v>0</v>
      </c>
      <c r="H1255">
        <v>0</v>
      </c>
      <c r="I1255">
        <v>0</v>
      </c>
      <c r="J1255">
        <v>0</v>
      </c>
      <c r="K1255">
        <v>0</v>
      </c>
    </row>
    <row r="1256" spans="1:11" x14ac:dyDescent="0.2">
      <c r="A1256" t="s">
        <v>4281</v>
      </c>
      <c r="B1256">
        <v>6</v>
      </c>
      <c r="C1256">
        <v>0</v>
      </c>
      <c r="D1256">
        <v>0</v>
      </c>
      <c r="E1256">
        <v>0</v>
      </c>
      <c r="F1256">
        <v>0</v>
      </c>
      <c r="G1256">
        <v>91</v>
      </c>
      <c r="H1256">
        <v>0</v>
      </c>
      <c r="I1256">
        <v>23</v>
      </c>
      <c r="J1256">
        <v>2</v>
      </c>
      <c r="K1256">
        <v>0</v>
      </c>
    </row>
    <row r="1257" spans="1:11" x14ac:dyDescent="0.2">
      <c r="A1257" t="s">
        <v>4282</v>
      </c>
      <c r="B1257">
        <v>5</v>
      </c>
      <c r="C1257">
        <v>0</v>
      </c>
      <c r="D1257">
        <v>0</v>
      </c>
      <c r="E1257">
        <v>0</v>
      </c>
      <c r="F1257">
        <v>0</v>
      </c>
      <c r="G1257">
        <v>37</v>
      </c>
      <c r="H1257">
        <v>0</v>
      </c>
      <c r="I1257">
        <v>9</v>
      </c>
      <c r="J1257">
        <v>1</v>
      </c>
      <c r="K1257">
        <v>0</v>
      </c>
    </row>
    <row r="1258" spans="1:11" x14ac:dyDescent="0.2">
      <c r="A1258" t="s">
        <v>4283</v>
      </c>
      <c r="B1258">
        <v>2</v>
      </c>
      <c r="C1258">
        <v>0</v>
      </c>
      <c r="D1258">
        <v>0</v>
      </c>
      <c r="E1258">
        <v>0</v>
      </c>
      <c r="F1258">
        <v>0</v>
      </c>
      <c r="G1258">
        <v>19</v>
      </c>
      <c r="H1258">
        <v>0</v>
      </c>
      <c r="I1258">
        <v>5</v>
      </c>
      <c r="J1258">
        <v>1</v>
      </c>
      <c r="K1258">
        <v>0</v>
      </c>
    </row>
    <row r="1259" spans="1:11" x14ac:dyDescent="0.2">
      <c r="A1259" t="s">
        <v>4284</v>
      </c>
      <c r="B1259">
        <v>0</v>
      </c>
      <c r="C1259">
        <v>0</v>
      </c>
      <c r="D1259">
        <v>0</v>
      </c>
      <c r="E1259">
        <v>0</v>
      </c>
      <c r="F1259">
        <v>0</v>
      </c>
      <c r="G1259">
        <v>0</v>
      </c>
      <c r="H1259">
        <v>0</v>
      </c>
      <c r="I1259">
        <v>0</v>
      </c>
      <c r="J1259">
        <v>0</v>
      </c>
      <c r="K1259">
        <v>0</v>
      </c>
    </row>
    <row r="1260" spans="1:11" x14ac:dyDescent="0.2">
      <c r="A1260" t="s">
        <v>4285</v>
      </c>
      <c r="B1260">
        <v>5</v>
      </c>
      <c r="C1260">
        <v>0</v>
      </c>
      <c r="D1260">
        <v>0</v>
      </c>
      <c r="E1260">
        <v>0</v>
      </c>
      <c r="F1260">
        <v>0</v>
      </c>
      <c r="G1260">
        <v>69</v>
      </c>
      <c r="H1260">
        <v>0</v>
      </c>
      <c r="I1260">
        <v>17</v>
      </c>
      <c r="J1260">
        <v>1</v>
      </c>
      <c r="K1260">
        <v>0</v>
      </c>
    </row>
    <row r="1261" spans="1:11" x14ac:dyDescent="0.2">
      <c r="A1261" t="s">
        <v>4286</v>
      </c>
      <c r="B1261">
        <v>2</v>
      </c>
      <c r="C1261">
        <v>0</v>
      </c>
      <c r="D1261">
        <v>0</v>
      </c>
      <c r="E1261">
        <v>0</v>
      </c>
      <c r="F1261">
        <v>0</v>
      </c>
      <c r="G1261">
        <v>8</v>
      </c>
      <c r="H1261">
        <v>0</v>
      </c>
      <c r="I1261">
        <v>2</v>
      </c>
      <c r="J1261">
        <v>1</v>
      </c>
      <c r="K1261">
        <v>0</v>
      </c>
    </row>
    <row r="1262" spans="1:11" x14ac:dyDescent="0.2">
      <c r="A1262" t="s">
        <v>4287</v>
      </c>
      <c r="B1262">
        <v>0</v>
      </c>
      <c r="C1262">
        <v>0</v>
      </c>
      <c r="D1262">
        <v>0</v>
      </c>
      <c r="E1262">
        <v>0</v>
      </c>
      <c r="F1262">
        <v>0</v>
      </c>
      <c r="G1262">
        <v>2</v>
      </c>
      <c r="H1262">
        <v>0</v>
      </c>
      <c r="I1262">
        <v>1</v>
      </c>
      <c r="J1262">
        <v>0</v>
      </c>
      <c r="K1262">
        <v>0</v>
      </c>
    </row>
    <row r="1263" spans="1:11" x14ac:dyDescent="0.2">
      <c r="A1263" t="s">
        <v>4288</v>
      </c>
      <c r="B1263">
        <v>0</v>
      </c>
      <c r="C1263">
        <v>0</v>
      </c>
      <c r="D1263">
        <v>0</v>
      </c>
      <c r="E1263">
        <v>0</v>
      </c>
      <c r="F1263">
        <v>0</v>
      </c>
      <c r="G1263">
        <v>0</v>
      </c>
      <c r="H1263">
        <v>0</v>
      </c>
      <c r="I1263">
        <v>0</v>
      </c>
      <c r="J1263">
        <v>0</v>
      </c>
      <c r="K1263">
        <v>0</v>
      </c>
    </row>
    <row r="1264" spans="1:11" x14ac:dyDescent="0.2">
      <c r="A1264" t="s">
        <v>4289</v>
      </c>
      <c r="B1264">
        <v>0</v>
      </c>
      <c r="C1264">
        <v>0</v>
      </c>
      <c r="D1264">
        <v>0</v>
      </c>
      <c r="E1264">
        <v>0</v>
      </c>
      <c r="F1264">
        <v>0</v>
      </c>
      <c r="G1264">
        <v>0</v>
      </c>
      <c r="H1264">
        <v>0</v>
      </c>
      <c r="I1264">
        <v>0</v>
      </c>
      <c r="J1264">
        <v>0</v>
      </c>
      <c r="K1264">
        <v>0</v>
      </c>
    </row>
    <row r="1265" spans="1:11" x14ac:dyDescent="0.2">
      <c r="A1265" t="s">
        <v>4290</v>
      </c>
      <c r="B1265">
        <v>0</v>
      </c>
      <c r="C1265">
        <v>0</v>
      </c>
      <c r="D1265">
        <v>0</v>
      </c>
      <c r="E1265">
        <v>0</v>
      </c>
      <c r="F1265">
        <v>0</v>
      </c>
      <c r="G1265">
        <v>0</v>
      </c>
      <c r="H1265">
        <v>0</v>
      </c>
      <c r="I1265">
        <v>0</v>
      </c>
      <c r="J1265">
        <v>0</v>
      </c>
      <c r="K1265">
        <v>0</v>
      </c>
    </row>
    <row r="1266" spans="1:11" x14ac:dyDescent="0.2">
      <c r="A1266" t="s">
        <v>4291</v>
      </c>
      <c r="B1266">
        <v>0</v>
      </c>
      <c r="C1266">
        <v>0</v>
      </c>
      <c r="D1266">
        <v>0</v>
      </c>
      <c r="E1266">
        <v>0</v>
      </c>
      <c r="F1266">
        <v>0</v>
      </c>
      <c r="G1266">
        <v>0</v>
      </c>
      <c r="H1266">
        <v>0</v>
      </c>
      <c r="I1266">
        <v>0</v>
      </c>
      <c r="J1266">
        <v>0</v>
      </c>
      <c r="K1266">
        <v>0</v>
      </c>
    </row>
    <row r="1267" spans="1:11" x14ac:dyDescent="0.2">
      <c r="A1267" t="s">
        <v>4292</v>
      </c>
      <c r="B1267">
        <v>0</v>
      </c>
      <c r="C1267">
        <v>0</v>
      </c>
      <c r="D1267">
        <v>0</v>
      </c>
      <c r="E1267">
        <v>0</v>
      </c>
      <c r="F1267">
        <v>0</v>
      </c>
      <c r="G1267">
        <v>0</v>
      </c>
      <c r="H1267">
        <v>0</v>
      </c>
      <c r="I1267">
        <v>0</v>
      </c>
      <c r="J1267">
        <v>0</v>
      </c>
      <c r="K1267">
        <v>0</v>
      </c>
    </row>
    <row r="1268" spans="1:11" x14ac:dyDescent="0.2">
      <c r="A1268" t="s">
        <v>4293</v>
      </c>
      <c r="B1268">
        <v>0</v>
      </c>
      <c r="C1268">
        <v>0</v>
      </c>
      <c r="D1268">
        <v>0</v>
      </c>
      <c r="E1268">
        <v>0</v>
      </c>
      <c r="F1268">
        <v>0</v>
      </c>
      <c r="G1268">
        <v>0</v>
      </c>
      <c r="H1268">
        <v>0</v>
      </c>
      <c r="I1268">
        <v>0</v>
      </c>
      <c r="J1268">
        <v>0</v>
      </c>
      <c r="K1268">
        <v>0</v>
      </c>
    </row>
    <row r="1269" spans="1:11" x14ac:dyDescent="0.2">
      <c r="A1269" t="s">
        <v>4294</v>
      </c>
      <c r="B1269">
        <v>0</v>
      </c>
      <c r="C1269">
        <v>0</v>
      </c>
      <c r="D1269">
        <v>0</v>
      </c>
      <c r="E1269">
        <v>0</v>
      </c>
      <c r="F1269">
        <v>0</v>
      </c>
      <c r="G1269">
        <v>0</v>
      </c>
      <c r="H1269">
        <v>0</v>
      </c>
      <c r="I1269">
        <v>0</v>
      </c>
      <c r="J1269">
        <v>0</v>
      </c>
      <c r="K1269">
        <v>0</v>
      </c>
    </row>
    <row r="1270" spans="1:11" x14ac:dyDescent="0.2">
      <c r="A1270" t="s">
        <v>4295</v>
      </c>
      <c r="B1270">
        <v>0</v>
      </c>
      <c r="C1270">
        <v>0</v>
      </c>
      <c r="D1270">
        <v>0</v>
      </c>
      <c r="E1270">
        <v>0</v>
      </c>
      <c r="F1270">
        <v>0</v>
      </c>
      <c r="G1270">
        <v>0</v>
      </c>
      <c r="H1270">
        <v>0</v>
      </c>
      <c r="I1270">
        <v>0</v>
      </c>
      <c r="J1270">
        <v>0</v>
      </c>
      <c r="K1270">
        <v>0</v>
      </c>
    </row>
    <row r="1271" spans="1:11" x14ac:dyDescent="0.2">
      <c r="A1271" t="s">
        <v>4296</v>
      </c>
      <c r="B1271">
        <v>0</v>
      </c>
      <c r="C1271">
        <v>0</v>
      </c>
      <c r="D1271">
        <v>0</v>
      </c>
      <c r="E1271">
        <v>0</v>
      </c>
      <c r="F1271">
        <v>0</v>
      </c>
      <c r="G1271">
        <v>0</v>
      </c>
      <c r="H1271">
        <v>0</v>
      </c>
      <c r="I1271">
        <v>0</v>
      </c>
      <c r="J1271">
        <v>0</v>
      </c>
      <c r="K1271">
        <v>0</v>
      </c>
    </row>
    <row r="1272" spans="1:11" x14ac:dyDescent="0.2">
      <c r="A1272" t="s">
        <v>4297</v>
      </c>
      <c r="B1272">
        <v>6</v>
      </c>
      <c r="C1272">
        <v>0</v>
      </c>
      <c r="D1272">
        <v>0</v>
      </c>
      <c r="E1272">
        <v>0</v>
      </c>
      <c r="F1272">
        <v>0</v>
      </c>
      <c r="G1272">
        <v>102</v>
      </c>
      <c r="H1272">
        <v>0</v>
      </c>
      <c r="I1272">
        <v>25</v>
      </c>
      <c r="J1272">
        <v>2</v>
      </c>
      <c r="K1272">
        <v>0</v>
      </c>
    </row>
    <row r="1273" spans="1:11" x14ac:dyDescent="0.2">
      <c r="A1273" t="s">
        <v>4298</v>
      </c>
      <c r="B1273">
        <v>6</v>
      </c>
      <c r="C1273">
        <v>0</v>
      </c>
      <c r="D1273">
        <v>0</v>
      </c>
      <c r="E1273">
        <v>0</v>
      </c>
      <c r="F1273">
        <v>0</v>
      </c>
      <c r="G1273">
        <v>51</v>
      </c>
      <c r="H1273">
        <v>0</v>
      </c>
      <c r="I1273">
        <v>13</v>
      </c>
      <c r="J1273">
        <v>2</v>
      </c>
      <c r="K1273">
        <v>0</v>
      </c>
    </row>
    <row r="1274" spans="1:11" x14ac:dyDescent="0.2">
      <c r="A1274" t="s">
        <v>4299</v>
      </c>
      <c r="B1274">
        <v>17</v>
      </c>
      <c r="C1274">
        <v>0</v>
      </c>
      <c r="D1274">
        <v>0</v>
      </c>
      <c r="E1274">
        <v>0</v>
      </c>
      <c r="F1274">
        <v>1</v>
      </c>
      <c r="G1274">
        <v>167</v>
      </c>
      <c r="H1274">
        <v>0</v>
      </c>
      <c r="I1274">
        <v>42</v>
      </c>
      <c r="J1274">
        <v>5</v>
      </c>
      <c r="K1274">
        <v>0</v>
      </c>
    </row>
    <row r="1275" spans="1:11" x14ac:dyDescent="0.2">
      <c r="A1275" t="s">
        <v>4300</v>
      </c>
      <c r="B1275">
        <v>1</v>
      </c>
      <c r="C1275">
        <v>0</v>
      </c>
      <c r="D1275">
        <v>0</v>
      </c>
      <c r="E1275">
        <v>0</v>
      </c>
      <c r="F1275">
        <v>0</v>
      </c>
      <c r="G1275">
        <v>4</v>
      </c>
      <c r="H1275">
        <v>0</v>
      </c>
      <c r="I1275">
        <v>1</v>
      </c>
      <c r="J1275">
        <v>0</v>
      </c>
      <c r="K1275">
        <v>0</v>
      </c>
    </row>
    <row r="1276" spans="1:11" x14ac:dyDescent="0.2">
      <c r="A1276" t="s">
        <v>4301</v>
      </c>
      <c r="B1276">
        <v>24</v>
      </c>
      <c r="C1276">
        <v>0</v>
      </c>
      <c r="D1276">
        <v>1</v>
      </c>
      <c r="E1276">
        <v>0</v>
      </c>
      <c r="F1276">
        <v>1</v>
      </c>
      <c r="G1276">
        <v>396</v>
      </c>
      <c r="H1276">
        <v>0</v>
      </c>
      <c r="I1276">
        <v>99</v>
      </c>
      <c r="J1276">
        <v>7</v>
      </c>
      <c r="K1276">
        <v>0</v>
      </c>
    </row>
    <row r="1277" spans="1:11" x14ac:dyDescent="0.2">
      <c r="A1277" t="s">
        <v>4302</v>
      </c>
      <c r="B1277">
        <v>27</v>
      </c>
      <c r="C1277">
        <v>0</v>
      </c>
      <c r="D1277">
        <v>1</v>
      </c>
      <c r="E1277">
        <v>0</v>
      </c>
      <c r="F1277">
        <v>1</v>
      </c>
      <c r="G1277">
        <v>278</v>
      </c>
      <c r="H1277">
        <v>0</v>
      </c>
      <c r="I1277">
        <v>70</v>
      </c>
      <c r="J1277">
        <v>7</v>
      </c>
      <c r="K1277">
        <v>0</v>
      </c>
    </row>
    <row r="1278" spans="1:11" x14ac:dyDescent="0.2">
      <c r="A1278" t="s">
        <v>4303</v>
      </c>
      <c r="B1278">
        <v>93</v>
      </c>
      <c r="C1278">
        <v>0</v>
      </c>
      <c r="D1278">
        <v>2</v>
      </c>
      <c r="E1278">
        <v>0</v>
      </c>
      <c r="F1278">
        <v>3</v>
      </c>
      <c r="G1278">
        <v>313</v>
      </c>
      <c r="H1278">
        <v>0</v>
      </c>
      <c r="I1278">
        <v>78</v>
      </c>
      <c r="J1278">
        <v>25</v>
      </c>
      <c r="K1278">
        <v>0</v>
      </c>
    </row>
    <row r="1279" spans="1:11" x14ac:dyDescent="0.2">
      <c r="A1279" t="s">
        <v>4304</v>
      </c>
      <c r="B1279">
        <v>5</v>
      </c>
      <c r="C1279">
        <v>0</v>
      </c>
      <c r="D1279">
        <v>0</v>
      </c>
      <c r="E1279">
        <v>0</v>
      </c>
      <c r="F1279">
        <v>0</v>
      </c>
      <c r="G1279">
        <v>75</v>
      </c>
      <c r="H1279">
        <v>0</v>
      </c>
      <c r="I1279">
        <v>19</v>
      </c>
      <c r="J1279">
        <v>1</v>
      </c>
      <c r="K1279">
        <v>0</v>
      </c>
    </row>
    <row r="1280" spans="1:11" x14ac:dyDescent="0.2">
      <c r="A1280" t="s">
        <v>4305</v>
      </c>
      <c r="B1280">
        <v>76</v>
      </c>
      <c r="C1280">
        <v>0</v>
      </c>
      <c r="D1280">
        <v>2</v>
      </c>
      <c r="E1280">
        <v>0</v>
      </c>
      <c r="F1280">
        <v>3</v>
      </c>
      <c r="G1280">
        <v>1237</v>
      </c>
      <c r="H1280">
        <v>0</v>
      </c>
      <c r="I1280">
        <v>310</v>
      </c>
      <c r="J1280">
        <v>20</v>
      </c>
      <c r="K1280">
        <v>0</v>
      </c>
    </row>
    <row r="1281" spans="1:11" x14ac:dyDescent="0.2">
      <c r="A1281" t="s">
        <v>4306</v>
      </c>
      <c r="B1281">
        <v>10</v>
      </c>
      <c r="C1281">
        <v>0</v>
      </c>
      <c r="D1281">
        <v>0</v>
      </c>
      <c r="E1281">
        <v>0</v>
      </c>
      <c r="F1281">
        <v>0</v>
      </c>
      <c r="G1281">
        <v>104</v>
      </c>
      <c r="H1281">
        <v>0</v>
      </c>
      <c r="I1281">
        <v>26</v>
      </c>
      <c r="J1281">
        <v>3</v>
      </c>
      <c r="K1281">
        <v>0</v>
      </c>
    </row>
    <row r="1282" spans="1:11" x14ac:dyDescent="0.2">
      <c r="A1282" t="s">
        <v>4307</v>
      </c>
      <c r="B1282">
        <v>325</v>
      </c>
      <c r="C1282">
        <v>0</v>
      </c>
      <c r="D1282">
        <v>8</v>
      </c>
      <c r="E1282">
        <v>0</v>
      </c>
      <c r="F1282">
        <v>12</v>
      </c>
      <c r="G1282">
        <v>1092</v>
      </c>
      <c r="H1282">
        <v>0</v>
      </c>
      <c r="I1282">
        <v>273</v>
      </c>
      <c r="J1282">
        <v>88</v>
      </c>
      <c r="K1282">
        <v>0</v>
      </c>
    </row>
    <row r="1283" spans="1:11" x14ac:dyDescent="0.2">
      <c r="A1283" t="s">
        <v>4308</v>
      </c>
      <c r="B1283">
        <v>6</v>
      </c>
      <c r="C1283">
        <v>0</v>
      </c>
      <c r="D1283">
        <v>0</v>
      </c>
      <c r="E1283">
        <v>0</v>
      </c>
      <c r="F1283">
        <v>0</v>
      </c>
      <c r="G1283">
        <v>20</v>
      </c>
      <c r="H1283">
        <v>0</v>
      </c>
      <c r="I1283">
        <v>5</v>
      </c>
      <c r="J1283">
        <v>2</v>
      </c>
      <c r="K1283">
        <v>0</v>
      </c>
    </row>
    <row r="1284" spans="1:11" x14ac:dyDescent="0.2">
      <c r="A1284" t="s">
        <v>4309</v>
      </c>
      <c r="B1284">
        <v>0</v>
      </c>
      <c r="C1284">
        <v>0</v>
      </c>
      <c r="D1284">
        <v>0</v>
      </c>
      <c r="E1284">
        <v>0</v>
      </c>
      <c r="F1284">
        <v>0</v>
      </c>
      <c r="G1284">
        <v>0</v>
      </c>
      <c r="H1284">
        <v>0</v>
      </c>
      <c r="I1284">
        <v>0</v>
      </c>
      <c r="J1284">
        <v>0</v>
      </c>
      <c r="K1284">
        <v>0</v>
      </c>
    </row>
    <row r="1285" spans="1:11" x14ac:dyDescent="0.2">
      <c r="A1285" t="s">
        <v>4310</v>
      </c>
      <c r="B1285">
        <v>0</v>
      </c>
      <c r="C1285">
        <v>0</v>
      </c>
      <c r="D1285">
        <v>0</v>
      </c>
      <c r="E1285">
        <v>0</v>
      </c>
      <c r="F1285">
        <v>0</v>
      </c>
      <c r="G1285">
        <v>0</v>
      </c>
      <c r="H1285">
        <v>0</v>
      </c>
      <c r="I1285">
        <v>0</v>
      </c>
      <c r="J1285">
        <v>0</v>
      </c>
      <c r="K1285">
        <v>0</v>
      </c>
    </row>
    <row r="1286" spans="1:11" x14ac:dyDescent="0.2">
      <c r="A1286" t="s">
        <v>4311</v>
      </c>
      <c r="B1286">
        <v>0</v>
      </c>
      <c r="C1286">
        <v>0</v>
      </c>
      <c r="D1286">
        <v>0</v>
      </c>
      <c r="E1286">
        <v>0</v>
      </c>
      <c r="F1286">
        <v>0</v>
      </c>
      <c r="G1286">
        <v>1</v>
      </c>
      <c r="H1286">
        <v>0</v>
      </c>
      <c r="I1286">
        <v>0</v>
      </c>
      <c r="J1286">
        <v>0</v>
      </c>
      <c r="K1286">
        <v>0</v>
      </c>
    </row>
    <row r="1287" spans="1:11" x14ac:dyDescent="0.2">
      <c r="A1287" t="s">
        <v>4312</v>
      </c>
      <c r="B1287">
        <v>0</v>
      </c>
      <c r="C1287">
        <v>0</v>
      </c>
      <c r="D1287">
        <v>0</v>
      </c>
      <c r="E1287">
        <v>0</v>
      </c>
      <c r="F1287">
        <v>0</v>
      </c>
      <c r="G1287">
        <v>0</v>
      </c>
      <c r="H1287">
        <v>0</v>
      </c>
      <c r="I1287">
        <v>0</v>
      </c>
      <c r="J1287">
        <v>0</v>
      </c>
      <c r="K1287">
        <v>0</v>
      </c>
    </row>
    <row r="1288" spans="1:11" x14ac:dyDescent="0.2">
      <c r="A1288" t="s">
        <v>4313</v>
      </c>
      <c r="B1288">
        <v>0</v>
      </c>
      <c r="C1288">
        <v>0</v>
      </c>
      <c r="D1288">
        <v>0</v>
      </c>
      <c r="E1288">
        <v>0</v>
      </c>
      <c r="F1288">
        <v>0</v>
      </c>
      <c r="G1288">
        <v>0</v>
      </c>
      <c r="H1288">
        <v>0</v>
      </c>
      <c r="I1288">
        <v>0</v>
      </c>
      <c r="J1288">
        <v>0</v>
      </c>
      <c r="K1288">
        <v>0</v>
      </c>
    </row>
    <row r="1289" spans="1:11" x14ac:dyDescent="0.2">
      <c r="A1289" t="s">
        <v>4314</v>
      </c>
      <c r="B1289">
        <v>0</v>
      </c>
      <c r="C1289">
        <v>0</v>
      </c>
      <c r="D1289">
        <v>0</v>
      </c>
      <c r="E1289">
        <v>0</v>
      </c>
      <c r="F1289">
        <v>0</v>
      </c>
      <c r="G1289">
        <v>0</v>
      </c>
      <c r="H1289">
        <v>0</v>
      </c>
      <c r="I1289">
        <v>0</v>
      </c>
      <c r="J1289">
        <v>0</v>
      </c>
      <c r="K1289">
        <v>0</v>
      </c>
    </row>
    <row r="1290" spans="1:11" x14ac:dyDescent="0.2">
      <c r="A1290" t="s">
        <v>4315</v>
      </c>
      <c r="B1290">
        <v>0</v>
      </c>
      <c r="C1290">
        <v>0</v>
      </c>
      <c r="D1290">
        <v>0</v>
      </c>
      <c r="E1290">
        <v>0</v>
      </c>
      <c r="F1290">
        <v>0</v>
      </c>
      <c r="G1290">
        <v>0</v>
      </c>
      <c r="H1290">
        <v>0</v>
      </c>
      <c r="I1290">
        <v>0</v>
      </c>
      <c r="J1290">
        <v>0</v>
      </c>
      <c r="K1290">
        <v>0</v>
      </c>
    </row>
    <row r="1291" spans="1:11" x14ac:dyDescent="0.2">
      <c r="A1291" t="s">
        <v>4316</v>
      </c>
      <c r="B1291">
        <v>0</v>
      </c>
      <c r="C1291">
        <v>0</v>
      </c>
      <c r="D1291">
        <v>0</v>
      </c>
      <c r="E1291">
        <v>0</v>
      </c>
      <c r="F1291">
        <v>0</v>
      </c>
      <c r="G1291">
        <v>0</v>
      </c>
      <c r="H1291">
        <v>0</v>
      </c>
      <c r="I1291">
        <v>0</v>
      </c>
      <c r="J1291">
        <v>0</v>
      </c>
      <c r="K1291">
        <v>0</v>
      </c>
    </row>
    <row r="1292" spans="1:11" x14ac:dyDescent="0.2">
      <c r="A1292" t="s">
        <v>4317</v>
      </c>
      <c r="B1292">
        <v>0</v>
      </c>
      <c r="C1292">
        <v>0</v>
      </c>
      <c r="D1292">
        <v>0</v>
      </c>
      <c r="E1292">
        <v>0</v>
      </c>
      <c r="F1292">
        <v>0</v>
      </c>
      <c r="G1292">
        <v>0</v>
      </c>
      <c r="H1292">
        <v>0</v>
      </c>
      <c r="I1292">
        <v>0</v>
      </c>
      <c r="J1292">
        <v>0</v>
      </c>
      <c r="K1292">
        <v>0</v>
      </c>
    </row>
    <row r="1293" spans="1:11" x14ac:dyDescent="0.2">
      <c r="A1293" t="s">
        <v>4318</v>
      </c>
      <c r="B1293">
        <v>0</v>
      </c>
      <c r="C1293">
        <v>0</v>
      </c>
      <c r="D1293">
        <v>0</v>
      </c>
      <c r="E1293">
        <v>0</v>
      </c>
      <c r="F1293">
        <v>0</v>
      </c>
      <c r="G1293">
        <v>0</v>
      </c>
      <c r="H1293">
        <v>0</v>
      </c>
      <c r="I1293">
        <v>0</v>
      </c>
      <c r="J1293">
        <v>0</v>
      </c>
      <c r="K1293">
        <v>0</v>
      </c>
    </row>
    <row r="1294" spans="1:11" x14ac:dyDescent="0.2">
      <c r="A1294" t="s">
        <v>4319</v>
      </c>
      <c r="B1294">
        <v>0</v>
      </c>
      <c r="C1294">
        <v>0</v>
      </c>
      <c r="D1294">
        <v>0</v>
      </c>
      <c r="E1294">
        <v>0</v>
      </c>
      <c r="F1294">
        <v>0</v>
      </c>
      <c r="G1294">
        <v>0</v>
      </c>
      <c r="H1294">
        <v>0</v>
      </c>
      <c r="I1294">
        <v>0</v>
      </c>
      <c r="J1294">
        <v>0</v>
      </c>
      <c r="K1294">
        <v>0</v>
      </c>
    </row>
    <row r="1295" spans="1:11" x14ac:dyDescent="0.2">
      <c r="A1295" t="s">
        <v>4320</v>
      </c>
      <c r="B1295">
        <v>0</v>
      </c>
      <c r="C1295">
        <v>0</v>
      </c>
      <c r="D1295">
        <v>0</v>
      </c>
      <c r="E1295">
        <v>0</v>
      </c>
      <c r="F1295">
        <v>0</v>
      </c>
      <c r="G1295">
        <v>0</v>
      </c>
      <c r="H1295">
        <v>0</v>
      </c>
      <c r="I1295">
        <v>0</v>
      </c>
      <c r="J1295">
        <v>0</v>
      </c>
      <c r="K1295">
        <v>0</v>
      </c>
    </row>
    <row r="1296" spans="1:11" x14ac:dyDescent="0.2">
      <c r="A1296" t="s">
        <v>4321</v>
      </c>
      <c r="B1296">
        <v>0</v>
      </c>
      <c r="C1296">
        <v>0</v>
      </c>
      <c r="D1296">
        <v>0</v>
      </c>
      <c r="E1296">
        <v>0</v>
      </c>
      <c r="F1296">
        <v>0</v>
      </c>
      <c r="G1296">
        <v>0</v>
      </c>
      <c r="H1296">
        <v>0</v>
      </c>
      <c r="I1296">
        <v>0</v>
      </c>
      <c r="J1296">
        <v>0</v>
      </c>
      <c r="K1296">
        <v>0</v>
      </c>
    </row>
    <row r="1297" spans="1:11" x14ac:dyDescent="0.2">
      <c r="A1297" t="s">
        <v>4322</v>
      </c>
      <c r="B1297">
        <v>0</v>
      </c>
      <c r="C1297">
        <v>0</v>
      </c>
      <c r="D1297">
        <v>0</v>
      </c>
      <c r="E1297">
        <v>0</v>
      </c>
      <c r="F1297">
        <v>0</v>
      </c>
      <c r="G1297">
        <v>0</v>
      </c>
      <c r="H1297">
        <v>0</v>
      </c>
      <c r="I1297">
        <v>0</v>
      </c>
      <c r="J1297">
        <v>0</v>
      </c>
      <c r="K1297">
        <v>0</v>
      </c>
    </row>
    <row r="1298" spans="1:11" x14ac:dyDescent="0.2">
      <c r="A1298" t="s">
        <v>4323</v>
      </c>
      <c r="B1298">
        <v>0</v>
      </c>
      <c r="C1298">
        <v>0</v>
      </c>
      <c r="D1298">
        <v>0</v>
      </c>
      <c r="E1298">
        <v>0</v>
      </c>
      <c r="F1298">
        <v>0</v>
      </c>
      <c r="G1298">
        <v>0</v>
      </c>
      <c r="H1298">
        <v>0</v>
      </c>
      <c r="I1298">
        <v>0</v>
      </c>
      <c r="J1298">
        <v>0</v>
      </c>
      <c r="K1298">
        <v>0</v>
      </c>
    </row>
    <row r="1299" spans="1:11" x14ac:dyDescent="0.2">
      <c r="A1299" t="s">
        <v>4324</v>
      </c>
      <c r="B1299">
        <v>0</v>
      </c>
      <c r="C1299">
        <v>0</v>
      </c>
      <c r="D1299">
        <v>0</v>
      </c>
      <c r="E1299">
        <v>0</v>
      </c>
      <c r="F1299">
        <v>0</v>
      </c>
      <c r="G1299">
        <v>0</v>
      </c>
      <c r="H1299">
        <v>0</v>
      </c>
      <c r="I1299">
        <v>0</v>
      </c>
      <c r="J1299">
        <v>0</v>
      </c>
      <c r="K1299">
        <v>0</v>
      </c>
    </row>
    <row r="1300" spans="1:11" x14ac:dyDescent="0.2">
      <c r="A1300" t="s">
        <v>4325</v>
      </c>
      <c r="B1300">
        <v>0</v>
      </c>
      <c r="C1300">
        <v>0</v>
      </c>
      <c r="D1300">
        <v>0</v>
      </c>
      <c r="E1300">
        <v>0</v>
      </c>
      <c r="F1300">
        <v>0</v>
      </c>
      <c r="G1300">
        <v>0</v>
      </c>
      <c r="H1300">
        <v>0</v>
      </c>
      <c r="I1300">
        <v>0</v>
      </c>
      <c r="J1300">
        <v>0</v>
      </c>
      <c r="K1300">
        <v>0</v>
      </c>
    </row>
    <row r="1301" spans="1:11" x14ac:dyDescent="0.2">
      <c r="A1301" t="s">
        <v>4326</v>
      </c>
      <c r="B1301">
        <v>0</v>
      </c>
      <c r="C1301">
        <v>0</v>
      </c>
      <c r="D1301">
        <v>0</v>
      </c>
      <c r="E1301">
        <v>0</v>
      </c>
      <c r="F1301">
        <v>0</v>
      </c>
      <c r="G1301">
        <v>0</v>
      </c>
      <c r="H1301">
        <v>0</v>
      </c>
      <c r="I1301">
        <v>0</v>
      </c>
      <c r="J1301">
        <v>0</v>
      </c>
      <c r="K1301">
        <v>0</v>
      </c>
    </row>
    <row r="1302" spans="1:11" x14ac:dyDescent="0.2">
      <c r="A1302" t="s">
        <v>4327</v>
      </c>
      <c r="B1302">
        <v>0</v>
      </c>
      <c r="C1302">
        <v>0</v>
      </c>
      <c r="D1302">
        <v>0</v>
      </c>
      <c r="E1302">
        <v>0</v>
      </c>
      <c r="F1302">
        <v>0</v>
      </c>
      <c r="G1302">
        <v>0</v>
      </c>
      <c r="H1302">
        <v>0</v>
      </c>
      <c r="I1302">
        <v>0</v>
      </c>
      <c r="J1302">
        <v>0</v>
      </c>
      <c r="K1302">
        <v>0</v>
      </c>
    </row>
    <row r="1303" spans="1:11" x14ac:dyDescent="0.2">
      <c r="A1303" t="s">
        <v>4328</v>
      </c>
      <c r="B1303">
        <v>0</v>
      </c>
      <c r="C1303">
        <v>0</v>
      </c>
      <c r="D1303">
        <v>0</v>
      </c>
      <c r="E1303">
        <v>0</v>
      </c>
      <c r="F1303">
        <v>0</v>
      </c>
      <c r="G1303">
        <v>0</v>
      </c>
      <c r="H1303">
        <v>0</v>
      </c>
      <c r="I1303">
        <v>0</v>
      </c>
      <c r="J1303">
        <v>0</v>
      </c>
      <c r="K1303">
        <v>0</v>
      </c>
    </row>
    <row r="1304" spans="1:11" x14ac:dyDescent="0.2">
      <c r="A1304" t="s">
        <v>4329</v>
      </c>
      <c r="B1304">
        <v>0</v>
      </c>
      <c r="C1304">
        <v>0</v>
      </c>
      <c r="D1304">
        <v>0</v>
      </c>
      <c r="E1304">
        <v>0</v>
      </c>
      <c r="F1304">
        <v>0</v>
      </c>
      <c r="G1304">
        <v>0</v>
      </c>
      <c r="H1304">
        <v>0</v>
      </c>
      <c r="I1304">
        <v>0</v>
      </c>
      <c r="J1304">
        <v>0</v>
      </c>
      <c r="K1304">
        <v>0</v>
      </c>
    </row>
    <row r="1305" spans="1:11" x14ac:dyDescent="0.2">
      <c r="A1305" t="s">
        <v>4330</v>
      </c>
      <c r="B1305">
        <v>0</v>
      </c>
      <c r="C1305">
        <v>0</v>
      </c>
      <c r="D1305">
        <v>0</v>
      </c>
      <c r="E1305">
        <v>0</v>
      </c>
      <c r="F1305">
        <v>0</v>
      </c>
      <c r="G1305">
        <v>0</v>
      </c>
      <c r="H1305">
        <v>0</v>
      </c>
      <c r="I1305">
        <v>0</v>
      </c>
      <c r="J1305">
        <v>0</v>
      </c>
      <c r="K1305">
        <v>0</v>
      </c>
    </row>
    <row r="1306" spans="1:11" x14ac:dyDescent="0.2">
      <c r="A1306" t="s">
        <v>4331</v>
      </c>
      <c r="B1306">
        <v>0</v>
      </c>
      <c r="C1306">
        <v>0</v>
      </c>
      <c r="D1306">
        <v>0</v>
      </c>
      <c r="E1306">
        <v>0</v>
      </c>
      <c r="F1306">
        <v>0</v>
      </c>
      <c r="G1306">
        <v>0</v>
      </c>
      <c r="H1306">
        <v>0</v>
      </c>
      <c r="I1306">
        <v>0</v>
      </c>
      <c r="J1306">
        <v>0</v>
      </c>
      <c r="K1306">
        <v>0</v>
      </c>
    </row>
    <row r="1307" spans="1:11" x14ac:dyDescent="0.2">
      <c r="A1307" t="s">
        <v>4332</v>
      </c>
      <c r="B1307">
        <v>0</v>
      </c>
      <c r="C1307">
        <v>0</v>
      </c>
      <c r="D1307">
        <v>0</v>
      </c>
      <c r="E1307">
        <v>0</v>
      </c>
      <c r="F1307">
        <v>0</v>
      </c>
      <c r="G1307">
        <v>0</v>
      </c>
      <c r="H1307">
        <v>0</v>
      </c>
      <c r="I1307">
        <v>0</v>
      </c>
      <c r="J1307">
        <v>0</v>
      </c>
      <c r="K1307">
        <v>0</v>
      </c>
    </row>
    <row r="1308" spans="1:11" x14ac:dyDescent="0.2">
      <c r="A1308" t="s">
        <v>4333</v>
      </c>
      <c r="B1308">
        <v>0</v>
      </c>
      <c r="C1308">
        <v>0</v>
      </c>
      <c r="D1308">
        <v>0</v>
      </c>
      <c r="E1308">
        <v>0</v>
      </c>
      <c r="F1308">
        <v>0</v>
      </c>
      <c r="G1308">
        <v>0</v>
      </c>
      <c r="H1308">
        <v>0</v>
      </c>
      <c r="I1308">
        <v>0</v>
      </c>
      <c r="J1308">
        <v>0</v>
      </c>
      <c r="K1308">
        <v>0</v>
      </c>
    </row>
    <row r="1309" spans="1:11" x14ac:dyDescent="0.2">
      <c r="A1309" t="s">
        <v>4334</v>
      </c>
      <c r="B1309">
        <v>0</v>
      </c>
      <c r="C1309">
        <v>0</v>
      </c>
      <c r="D1309">
        <v>0</v>
      </c>
      <c r="E1309">
        <v>0</v>
      </c>
      <c r="F1309">
        <v>0</v>
      </c>
      <c r="G1309">
        <v>0</v>
      </c>
      <c r="H1309">
        <v>0</v>
      </c>
      <c r="I1309">
        <v>0</v>
      </c>
      <c r="J1309">
        <v>0</v>
      </c>
      <c r="K1309">
        <v>0</v>
      </c>
    </row>
    <row r="1310" spans="1:11" x14ac:dyDescent="0.2">
      <c r="A1310" t="s">
        <v>4335</v>
      </c>
      <c r="B1310">
        <v>0</v>
      </c>
      <c r="C1310">
        <v>0</v>
      </c>
      <c r="D1310">
        <v>0</v>
      </c>
      <c r="E1310">
        <v>0</v>
      </c>
      <c r="F1310">
        <v>0</v>
      </c>
      <c r="G1310">
        <v>0</v>
      </c>
      <c r="H1310">
        <v>0</v>
      </c>
      <c r="I1310">
        <v>0</v>
      </c>
      <c r="J1310">
        <v>0</v>
      </c>
      <c r="K1310">
        <v>0</v>
      </c>
    </row>
    <row r="1311" spans="1:11" x14ac:dyDescent="0.2">
      <c r="A1311" t="s">
        <v>4336</v>
      </c>
      <c r="B1311">
        <v>0</v>
      </c>
      <c r="C1311">
        <v>0</v>
      </c>
      <c r="D1311">
        <v>0</v>
      </c>
      <c r="E1311">
        <v>0</v>
      </c>
      <c r="F1311">
        <v>0</v>
      </c>
      <c r="G1311">
        <v>0</v>
      </c>
      <c r="H1311">
        <v>0</v>
      </c>
      <c r="I1311">
        <v>0</v>
      </c>
      <c r="J1311">
        <v>0</v>
      </c>
      <c r="K1311">
        <v>0</v>
      </c>
    </row>
    <row r="1312" spans="1:11" x14ac:dyDescent="0.2">
      <c r="A1312" t="s">
        <v>4337</v>
      </c>
      <c r="B1312">
        <v>0</v>
      </c>
      <c r="C1312">
        <v>0</v>
      </c>
      <c r="D1312">
        <v>0</v>
      </c>
      <c r="E1312">
        <v>0</v>
      </c>
      <c r="F1312">
        <v>0</v>
      </c>
      <c r="G1312">
        <v>0</v>
      </c>
      <c r="H1312">
        <v>0</v>
      </c>
      <c r="I1312">
        <v>0</v>
      </c>
      <c r="J1312">
        <v>0</v>
      </c>
      <c r="K1312">
        <v>0</v>
      </c>
    </row>
    <row r="1313" spans="1:11" x14ac:dyDescent="0.2">
      <c r="A1313" t="s">
        <v>4338</v>
      </c>
      <c r="B1313">
        <v>0</v>
      </c>
      <c r="C1313">
        <v>0</v>
      </c>
      <c r="D1313">
        <v>0</v>
      </c>
      <c r="E1313">
        <v>0</v>
      </c>
      <c r="F1313">
        <v>0</v>
      </c>
      <c r="G1313">
        <v>0</v>
      </c>
      <c r="H1313">
        <v>0</v>
      </c>
      <c r="I1313">
        <v>0</v>
      </c>
      <c r="J1313">
        <v>0</v>
      </c>
      <c r="K1313">
        <v>0</v>
      </c>
    </row>
    <row r="1314" spans="1:11" x14ac:dyDescent="0.2">
      <c r="A1314" t="s">
        <v>4339</v>
      </c>
      <c r="B1314">
        <v>0</v>
      </c>
      <c r="C1314">
        <v>0</v>
      </c>
      <c r="D1314">
        <v>0</v>
      </c>
      <c r="E1314">
        <v>0</v>
      </c>
      <c r="F1314">
        <v>0</v>
      </c>
      <c r="G1314">
        <v>0</v>
      </c>
      <c r="H1314">
        <v>0</v>
      </c>
      <c r="I1314">
        <v>0</v>
      </c>
      <c r="J1314">
        <v>0</v>
      </c>
      <c r="K1314">
        <v>0</v>
      </c>
    </row>
    <row r="1315" spans="1:11" x14ac:dyDescent="0.2">
      <c r="A1315" t="s">
        <v>4340</v>
      </c>
      <c r="B1315">
        <v>0</v>
      </c>
      <c r="C1315">
        <v>0</v>
      </c>
      <c r="D1315">
        <v>0</v>
      </c>
      <c r="E1315">
        <v>0</v>
      </c>
      <c r="F1315">
        <v>0</v>
      </c>
      <c r="G1315">
        <v>0</v>
      </c>
      <c r="H1315">
        <v>0</v>
      </c>
      <c r="I1315">
        <v>0</v>
      </c>
      <c r="J1315">
        <v>0</v>
      </c>
      <c r="K1315">
        <v>0</v>
      </c>
    </row>
    <row r="1316" spans="1:11" x14ac:dyDescent="0.2">
      <c r="A1316" t="s">
        <v>4341</v>
      </c>
      <c r="B1316">
        <v>0</v>
      </c>
      <c r="C1316">
        <v>0</v>
      </c>
      <c r="D1316">
        <v>0</v>
      </c>
      <c r="E1316">
        <v>0</v>
      </c>
      <c r="F1316">
        <v>0</v>
      </c>
      <c r="G1316">
        <v>0</v>
      </c>
      <c r="H1316">
        <v>0</v>
      </c>
      <c r="I1316">
        <v>0</v>
      </c>
      <c r="J1316">
        <v>0</v>
      </c>
      <c r="K1316">
        <v>0</v>
      </c>
    </row>
    <row r="1317" spans="1:11" x14ac:dyDescent="0.2">
      <c r="A1317" t="s">
        <v>4342</v>
      </c>
      <c r="B1317">
        <v>0</v>
      </c>
      <c r="C1317">
        <v>0</v>
      </c>
      <c r="D1317">
        <v>0</v>
      </c>
      <c r="E1317">
        <v>0</v>
      </c>
      <c r="F1317">
        <v>0</v>
      </c>
      <c r="G1317">
        <v>0</v>
      </c>
      <c r="H1317">
        <v>0</v>
      </c>
      <c r="I1317">
        <v>0</v>
      </c>
      <c r="J1317">
        <v>0</v>
      </c>
      <c r="K1317">
        <v>0</v>
      </c>
    </row>
    <row r="1318" spans="1:11" x14ac:dyDescent="0.2">
      <c r="A1318" t="s">
        <v>4343</v>
      </c>
      <c r="B1318">
        <v>0</v>
      </c>
      <c r="C1318">
        <v>0</v>
      </c>
      <c r="D1318">
        <v>0</v>
      </c>
      <c r="E1318">
        <v>0</v>
      </c>
      <c r="F1318">
        <v>0</v>
      </c>
      <c r="G1318">
        <v>0</v>
      </c>
      <c r="H1318">
        <v>0</v>
      </c>
      <c r="I1318">
        <v>0</v>
      </c>
      <c r="J1318">
        <v>0</v>
      </c>
      <c r="K1318">
        <v>0</v>
      </c>
    </row>
    <row r="1319" spans="1:11" x14ac:dyDescent="0.2">
      <c r="A1319" t="s">
        <v>1728</v>
      </c>
      <c r="B1319">
        <v>0</v>
      </c>
      <c r="C1319">
        <v>0</v>
      </c>
      <c r="D1319">
        <v>0</v>
      </c>
      <c r="E1319">
        <v>0</v>
      </c>
      <c r="F1319">
        <v>0</v>
      </c>
      <c r="G1319">
        <v>0</v>
      </c>
      <c r="H1319">
        <v>0</v>
      </c>
      <c r="I1319">
        <v>0</v>
      </c>
      <c r="J1319">
        <v>0</v>
      </c>
      <c r="K1319">
        <v>0</v>
      </c>
    </row>
    <row r="1320" spans="1:11" x14ac:dyDescent="0.2">
      <c r="A1320" t="s">
        <v>1730</v>
      </c>
      <c r="B1320">
        <v>26</v>
      </c>
      <c r="C1320">
        <v>0</v>
      </c>
      <c r="D1320">
        <v>1</v>
      </c>
      <c r="E1320">
        <v>0</v>
      </c>
      <c r="F1320">
        <v>1</v>
      </c>
      <c r="G1320">
        <v>61</v>
      </c>
      <c r="H1320">
        <v>0</v>
      </c>
      <c r="I1320">
        <v>23</v>
      </c>
      <c r="J1320">
        <v>8</v>
      </c>
      <c r="K1320">
        <v>0</v>
      </c>
    </row>
    <row r="1321" spans="1:11" x14ac:dyDescent="0.2">
      <c r="A1321" t="s">
        <v>1733</v>
      </c>
      <c r="B1321">
        <v>0</v>
      </c>
      <c r="C1321">
        <v>0</v>
      </c>
      <c r="D1321">
        <v>0</v>
      </c>
      <c r="E1321">
        <v>0</v>
      </c>
      <c r="F1321">
        <v>0</v>
      </c>
      <c r="G1321">
        <v>0</v>
      </c>
      <c r="H1321">
        <v>0</v>
      </c>
      <c r="I1321">
        <v>0</v>
      </c>
      <c r="J1321">
        <v>0</v>
      </c>
      <c r="K1321">
        <v>0</v>
      </c>
    </row>
    <row r="1322" spans="1:11" x14ac:dyDescent="0.2">
      <c r="A1322" t="s">
        <v>1738</v>
      </c>
      <c r="B1322">
        <v>0</v>
      </c>
      <c r="C1322">
        <v>0</v>
      </c>
      <c r="D1322">
        <v>0</v>
      </c>
      <c r="E1322">
        <v>0</v>
      </c>
      <c r="F1322">
        <v>0</v>
      </c>
      <c r="G1322">
        <v>0</v>
      </c>
      <c r="H1322">
        <v>0</v>
      </c>
      <c r="I1322">
        <v>0</v>
      </c>
      <c r="J1322">
        <v>0</v>
      </c>
      <c r="K1322">
        <v>0</v>
      </c>
    </row>
    <row r="1323" spans="1:11" x14ac:dyDescent="0.2">
      <c r="A1323" t="s">
        <v>1744</v>
      </c>
      <c r="B1323">
        <v>0</v>
      </c>
      <c r="C1323">
        <v>0</v>
      </c>
      <c r="D1323">
        <v>0</v>
      </c>
      <c r="E1323">
        <v>0</v>
      </c>
      <c r="F1323">
        <v>0</v>
      </c>
      <c r="G1323">
        <v>0</v>
      </c>
      <c r="H1323">
        <v>0</v>
      </c>
      <c r="I1323">
        <v>0</v>
      </c>
      <c r="J1323">
        <v>0</v>
      </c>
      <c r="K1323">
        <v>0</v>
      </c>
    </row>
    <row r="1324" spans="1:11" x14ac:dyDescent="0.2">
      <c r="A1324" t="s">
        <v>1747</v>
      </c>
      <c r="B1324">
        <v>0</v>
      </c>
      <c r="C1324">
        <v>0</v>
      </c>
      <c r="D1324">
        <v>0</v>
      </c>
      <c r="E1324">
        <v>0</v>
      </c>
      <c r="F1324">
        <v>0</v>
      </c>
      <c r="G1324">
        <v>0</v>
      </c>
      <c r="H1324">
        <v>0</v>
      </c>
      <c r="I1324">
        <v>0</v>
      </c>
      <c r="J1324">
        <v>0</v>
      </c>
      <c r="K1324">
        <v>0</v>
      </c>
    </row>
    <row r="1325" spans="1:11" x14ac:dyDescent="0.2">
      <c r="A1325" t="s">
        <v>1751</v>
      </c>
      <c r="B1325">
        <v>0</v>
      </c>
      <c r="C1325">
        <v>0</v>
      </c>
      <c r="D1325">
        <v>0</v>
      </c>
      <c r="E1325">
        <v>0</v>
      </c>
      <c r="F1325">
        <v>0</v>
      </c>
      <c r="G1325">
        <v>0</v>
      </c>
      <c r="H1325">
        <v>0</v>
      </c>
      <c r="I1325">
        <v>0</v>
      </c>
      <c r="J1325">
        <v>0</v>
      </c>
      <c r="K1325">
        <v>0</v>
      </c>
    </row>
    <row r="1326" spans="1:11" x14ac:dyDescent="0.2">
      <c r="A1326" t="s">
        <v>1755</v>
      </c>
      <c r="B1326">
        <v>13</v>
      </c>
      <c r="C1326">
        <v>0</v>
      </c>
      <c r="D1326">
        <v>0</v>
      </c>
      <c r="E1326">
        <v>0</v>
      </c>
      <c r="F1326">
        <v>0</v>
      </c>
      <c r="G1326">
        <v>63</v>
      </c>
      <c r="H1326">
        <v>0</v>
      </c>
      <c r="I1326">
        <v>18</v>
      </c>
      <c r="J1326">
        <v>3</v>
      </c>
      <c r="K1326">
        <v>0</v>
      </c>
    </row>
    <row r="1327" spans="1:11" x14ac:dyDescent="0.2">
      <c r="A1327" t="s">
        <v>1757</v>
      </c>
      <c r="B1327">
        <v>13</v>
      </c>
      <c r="C1327">
        <v>0</v>
      </c>
      <c r="D1327">
        <v>0</v>
      </c>
      <c r="E1327">
        <v>0</v>
      </c>
      <c r="F1327">
        <v>0</v>
      </c>
      <c r="G1327">
        <v>34</v>
      </c>
      <c r="H1327">
        <v>0</v>
      </c>
      <c r="I1327">
        <v>10</v>
      </c>
      <c r="J1327">
        <v>4</v>
      </c>
      <c r="K1327">
        <v>0</v>
      </c>
    </row>
    <row r="1328" spans="1:11" x14ac:dyDescent="0.2">
      <c r="A1328" t="s">
        <v>1761</v>
      </c>
      <c r="B1328">
        <v>0</v>
      </c>
      <c r="C1328">
        <v>0</v>
      </c>
      <c r="D1328">
        <v>0</v>
      </c>
      <c r="E1328">
        <v>0</v>
      </c>
      <c r="F1328">
        <v>0</v>
      </c>
      <c r="G1328">
        <v>0</v>
      </c>
      <c r="H1328">
        <v>0</v>
      </c>
      <c r="I1328">
        <v>0</v>
      </c>
      <c r="J1328">
        <v>0</v>
      </c>
      <c r="K1328">
        <v>0</v>
      </c>
    </row>
    <row r="1329" spans="1:11" x14ac:dyDescent="0.2">
      <c r="A1329" t="s">
        <v>1764</v>
      </c>
      <c r="B1329">
        <v>0</v>
      </c>
      <c r="C1329">
        <v>0</v>
      </c>
      <c r="D1329">
        <v>0</v>
      </c>
      <c r="E1329">
        <v>0</v>
      </c>
      <c r="F1329">
        <v>0</v>
      </c>
      <c r="G1329">
        <v>0</v>
      </c>
      <c r="H1329">
        <v>0</v>
      </c>
      <c r="I1329">
        <v>0</v>
      </c>
      <c r="J1329">
        <v>0</v>
      </c>
      <c r="K1329">
        <v>0</v>
      </c>
    </row>
    <row r="1330" spans="1:11" x14ac:dyDescent="0.2">
      <c r="A1330" t="s">
        <v>1770</v>
      </c>
      <c r="B1330">
        <v>117</v>
      </c>
      <c r="C1330">
        <v>0</v>
      </c>
      <c r="D1330">
        <v>3</v>
      </c>
      <c r="E1330">
        <v>0</v>
      </c>
      <c r="F1330">
        <v>4</v>
      </c>
      <c r="G1330">
        <v>2583</v>
      </c>
      <c r="H1330">
        <v>0</v>
      </c>
      <c r="I1330">
        <v>646</v>
      </c>
      <c r="J1330">
        <v>31</v>
      </c>
      <c r="K1330">
        <v>0</v>
      </c>
    </row>
    <row r="1331" spans="1:11" x14ac:dyDescent="0.2">
      <c r="A1331" t="s">
        <v>1772</v>
      </c>
      <c r="B1331">
        <v>47</v>
      </c>
      <c r="C1331">
        <v>0</v>
      </c>
      <c r="D1331">
        <v>1</v>
      </c>
      <c r="E1331">
        <v>0</v>
      </c>
      <c r="F1331">
        <v>2</v>
      </c>
      <c r="G1331">
        <v>1032</v>
      </c>
      <c r="H1331">
        <v>0</v>
      </c>
      <c r="I1331">
        <v>258</v>
      </c>
      <c r="J1331">
        <v>13</v>
      </c>
      <c r="K1331">
        <v>0</v>
      </c>
    </row>
    <row r="1332" spans="1:11" x14ac:dyDescent="0.2">
      <c r="A1332" t="s">
        <v>1774</v>
      </c>
      <c r="B1332">
        <v>10</v>
      </c>
      <c r="C1332">
        <v>0</v>
      </c>
      <c r="D1332">
        <v>0</v>
      </c>
      <c r="E1332">
        <v>0</v>
      </c>
      <c r="F1332">
        <v>0</v>
      </c>
      <c r="G1332">
        <v>187</v>
      </c>
      <c r="H1332">
        <v>0</v>
      </c>
      <c r="I1332">
        <v>47</v>
      </c>
      <c r="J1332">
        <v>3</v>
      </c>
      <c r="K1332">
        <v>0</v>
      </c>
    </row>
    <row r="1333" spans="1:11" x14ac:dyDescent="0.2">
      <c r="A1333" t="s">
        <v>1777</v>
      </c>
      <c r="B1333">
        <v>0</v>
      </c>
      <c r="C1333">
        <v>0</v>
      </c>
      <c r="D1333">
        <v>0</v>
      </c>
      <c r="E1333">
        <v>0</v>
      </c>
      <c r="F1333">
        <v>0</v>
      </c>
      <c r="G1333">
        <v>0</v>
      </c>
      <c r="H1333">
        <v>0</v>
      </c>
      <c r="I1333">
        <v>0</v>
      </c>
      <c r="J1333">
        <v>0</v>
      </c>
      <c r="K1333">
        <v>0</v>
      </c>
    </row>
    <row r="1334" spans="1:11" x14ac:dyDescent="0.2">
      <c r="A1334" t="s">
        <v>1782</v>
      </c>
      <c r="B1334">
        <v>0</v>
      </c>
      <c r="C1334">
        <v>0</v>
      </c>
      <c r="D1334">
        <v>0</v>
      </c>
      <c r="E1334">
        <v>0</v>
      </c>
      <c r="F1334">
        <v>0</v>
      </c>
      <c r="G1334">
        <v>0</v>
      </c>
      <c r="H1334">
        <v>0</v>
      </c>
      <c r="I1334">
        <v>0</v>
      </c>
      <c r="J1334">
        <v>0</v>
      </c>
      <c r="K1334">
        <v>0</v>
      </c>
    </row>
    <row r="1335" spans="1:11" x14ac:dyDescent="0.2">
      <c r="A1335" t="s">
        <v>1274</v>
      </c>
      <c r="B1335">
        <v>2</v>
      </c>
      <c r="C1335">
        <v>0</v>
      </c>
      <c r="D1335">
        <v>0</v>
      </c>
      <c r="E1335">
        <v>0</v>
      </c>
      <c r="F1335">
        <v>0</v>
      </c>
      <c r="G1335">
        <v>6</v>
      </c>
      <c r="H1335">
        <v>0</v>
      </c>
      <c r="I1335">
        <v>1</v>
      </c>
      <c r="J1335">
        <v>0</v>
      </c>
      <c r="K1335">
        <v>0</v>
      </c>
    </row>
    <row r="1336" spans="1:11" x14ac:dyDescent="0.2">
      <c r="A1336" t="s">
        <v>1277</v>
      </c>
      <c r="B1336">
        <v>15</v>
      </c>
      <c r="C1336">
        <v>0</v>
      </c>
      <c r="D1336">
        <v>0</v>
      </c>
      <c r="E1336">
        <v>0</v>
      </c>
      <c r="F1336">
        <v>1</v>
      </c>
      <c r="G1336">
        <v>46</v>
      </c>
      <c r="H1336">
        <v>0</v>
      </c>
      <c r="I1336">
        <v>12</v>
      </c>
      <c r="J1336">
        <v>4</v>
      </c>
      <c r="K1336">
        <v>0</v>
      </c>
    </row>
    <row r="1337" spans="1:11" x14ac:dyDescent="0.2">
      <c r="A1337" t="s">
        <v>1798</v>
      </c>
      <c r="B1337">
        <v>0</v>
      </c>
      <c r="C1337">
        <v>0</v>
      </c>
      <c r="D1337">
        <v>0</v>
      </c>
      <c r="E1337">
        <v>0</v>
      </c>
      <c r="F1337">
        <v>0</v>
      </c>
      <c r="G1337">
        <v>0</v>
      </c>
      <c r="H1337">
        <v>0</v>
      </c>
      <c r="I1337">
        <v>0</v>
      </c>
      <c r="J1337">
        <v>0</v>
      </c>
      <c r="K1337">
        <v>0</v>
      </c>
    </row>
    <row r="1338" spans="1:11" x14ac:dyDescent="0.2">
      <c r="A1338" t="s">
        <v>1803</v>
      </c>
      <c r="B1338">
        <v>0</v>
      </c>
      <c r="C1338">
        <v>0</v>
      </c>
      <c r="D1338">
        <v>0</v>
      </c>
      <c r="E1338">
        <v>0</v>
      </c>
      <c r="F1338">
        <v>0</v>
      </c>
      <c r="G1338">
        <v>0</v>
      </c>
      <c r="H1338">
        <v>0</v>
      </c>
      <c r="I1338">
        <v>0</v>
      </c>
      <c r="J1338">
        <v>0</v>
      </c>
      <c r="K1338">
        <v>0</v>
      </c>
    </row>
    <row r="1339" spans="1:11" x14ac:dyDescent="0.2">
      <c r="A1339" t="s">
        <v>1808</v>
      </c>
      <c r="B1339">
        <v>0</v>
      </c>
      <c r="C1339">
        <v>0</v>
      </c>
      <c r="D1339">
        <v>0</v>
      </c>
      <c r="E1339">
        <v>0</v>
      </c>
      <c r="F1339">
        <v>0</v>
      </c>
      <c r="G1339">
        <v>0</v>
      </c>
      <c r="H1339">
        <v>0</v>
      </c>
      <c r="I1339">
        <v>0</v>
      </c>
      <c r="J1339">
        <v>0</v>
      </c>
      <c r="K1339">
        <v>0</v>
      </c>
    </row>
    <row r="1340" spans="1:11" x14ac:dyDescent="0.2">
      <c r="A1340" t="s">
        <v>1813</v>
      </c>
      <c r="B1340">
        <v>0</v>
      </c>
      <c r="C1340">
        <v>0</v>
      </c>
      <c r="D1340">
        <v>0</v>
      </c>
      <c r="E1340">
        <v>0</v>
      </c>
      <c r="F1340">
        <v>0</v>
      </c>
      <c r="G1340">
        <v>0</v>
      </c>
      <c r="H1340">
        <v>0</v>
      </c>
      <c r="I1340">
        <v>0</v>
      </c>
      <c r="J1340">
        <v>0</v>
      </c>
      <c r="K1340">
        <v>0</v>
      </c>
    </row>
    <row r="1341" spans="1:11" x14ac:dyDescent="0.2">
      <c r="A1341" t="s">
        <v>1819</v>
      </c>
      <c r="B1341">
        <v>0</v>
      </c>
      <c r="C1341">
        <v>0</v>
      </c>
      <c r="D1341">
        <v>0</v>
      </c>
      <c r="E1341">
        <v>0</v>
      </c>
      <c r="F1341">
        <v>0</v>
      </c>
      <c r="G1341">
        <v>0</v>
      </c>
      <c r="H1341">
        <v>0</v>
      </c>
      <c r="I1341">
        <v>0</v>
      </c>
      <c r="J1341">
        <v>0</v>
      </c>
      <c r="K1341">
        <v>0</v>
      </c>
    </row>
    <row r="1342" spans="1:11" x14ac:dyDescent="0.2">
      <c r="A1342" t="s">
        <v>1826</v>
      </c>
      <c r="B1342">
        <v>0</v>
      </c>
      <c r="C1342">
        <v>0</v>
      </c>
      <c r="D1342">
        <v>0</v>
      </c>
      <c r="E1342">
        <v>0</v>
      </c>
      <c r="F1342">
        <v>0</v>
      </c>
      <c r="G1342">
        <v>0</v>
      </c>
      <c r="H1342">
        <v>0</v>
      </c>
      <c r="I1342">
        <v>0</v>
      </c>
      <c r="J1342">
        <v>0</v>
      </c>
      <c r="K1342">
        <v>0</v>
      </c>
    </row>
    <row r="1343" spans="1:11" x14ac:dyDescent="0.2">
      <c r="A1343" t="s">
        <v>1830</v>
      </c>
      <c r="B1343">
        <v>0</v>
      </c>
      <c r="C1343">
        <v>0</v>
      </c>
      <c r="D1343">
        <v>0</v>
      </c>
      <c r="E1343">
        <v>0</v>
      </c>
      <c r="F1343">
        <v>0</v>
      </c>
      <c r="G1343">
        <v>0</v>
      </c>
      <c r="H1343">
        <v>0</v>
      </c>
      <c r="I1343">
        <v>0</v>
      </c>
      <c r="J1343">
        <v>0</v>
      </c>
      <c r="K1343">
        <v>0</v>
      </c>
    </row>
    <row r="1344" spans="1:11" x14ac:dyDescent="0.2">
      <c r="A1344" t="s">
        <v>1836</v>
      </c>
      <c r="B1344">
        <v>0</v>
      </c>
      <c r="C1344">
        <v>0</v>
      </c>
      <c r="D1344">
        <v>0</v>
      </c>
      <c r="E1344">
        <v>0</v>
      </c>
      <c r="F1344">
        <v>0</v>
      </c>
      <c r="G1344">
        <v>0</v>
      </c>
      <c r="H1344">
        <v>0</v>
      </c>
      <c r="I1344">
        <v>0</v>
      </c>
      <c r="J1344">
        <v>0</v>
      </c>
      <c r="K1344">
        <v>0</v>
      </c>
    </row>
    <row r="1345" spans="1:11" x14ac:dyDescent="0.2">
      <c r="A1345" t="s">
        <v>1841</v>
      </c>
      <c r="B1345">
        <v>0</v>
      </c>
      <c r="C1345">
        <v>0</v>
      </c>
      <c r="D1345">
        <v>0</v>
      </c>
      <c r="E1345">
        <v>0</v>
      </c>
      <c r="F1345">
        <v>0</v>
      </c>
      <c r="G1345">
        <v>0</v>
      </c>
      <c r="H1345">
        <v>0</v>
      </c>
      <c r="I1345">
        <v>0</v>
      </c>
      <c r="J1345">
        <v>0</v>
      </c>
      <c r="K1345">
        <v>0</v>
      </c>
    </row>
    <row r="1346" spans="1:11" x14ac:dyDescent="0.2">
      <c r="A1346" t="s">
        <v>1842</v>
      </c>
      <c r="B1346">
        <v>157</v>
      </c>
      <c r="C1346">
        <v>0</v>
      </c>
      <c r="D1346">
        <v>4</v>
      </c>
      <c r="E1346">
        <v>0</v>
      </c>
      <c r="F1346">
        <v>6</v>
      </c>
      <c r="G1346">
        <v>2057</v>
      </c>
      <c r="H1346">
        <v>0</v>
      </c>
      <c r="I1346">
        <v>515</v>
      </c>
      <c r="J1346">
        <v>42</v>
      </c>
      <c r="K1346">
        <v>0</v>
      </c>
    </row>
    <row r="1347" spans="1:11" x14ac:dyDescent="0.2">
      <c r="A1347" t="s">
        <v>1843</v>
      </c>
      <c r="B1347">
        <v>0</v>
      </c>
      <c r="C1347">
        <v>0</v>
      </c>
      <c r="D1347">
        <v>0</v>
      </c>
      <c r="E1347">
        <v>0</v>
      </c>
      <c r="F1347">
        <v>0</v>
      </c>
      <c r="G1347">
        <v>0</v>
      </c>
      <c r="H1347">
        <v>0</v>
      </c>
      <c r="I1347">
        <v>0</v>
      </c>
      <c r="J1347">
        <v>0</v>
      </c>
      <c r="K1347">
        <v>0</v>
      </c>
    </row>
    <row r="1348" spans="1:11" x14ac:dyDescent="0.2">
      <c r="A1348" t="s">
        <v>1846</v>
      </c>
      <c r="B1348">
        <v>0</v>
      </c>
      <c r="C1348">
        <v>0</v>
      </c>
      <c r="D1348">
        <v>0</v>
      </c>
      <c r="E1348">
        <v>0</v>
      </c>
      <c r="F1348">
        <v>0</v>
      </c>
      <c r="G1348">
        <v>0</v>
      </c>
      <c r="H1348">
        <v>0</v>
      </c>
      <c r="I1348">
        <v>0</v>
      </c>
      <c r="J1348">
        <v>0</v>
      </c>
      <c r="K1348">
        <v>0</v>
      </c>
    </row>
    <row r="1349" spans="1:11" x14ac:dyDescent="0.2">
      <c r="A1349" t="s">
        <v>1851</v>
      </c>
      <c r="B1349">
        <v>37</v>
      </c>
      <c r="C1349">
        <v>0</v>
      </c>
      <c r="D1349">
        <v>1</v>
      </c>
      <c r="E1349">
        <v>0</v>
      </c>
      <c r="F1349">
        <v>1</v>
      </c>
      <c r="G1349">
        <v>111</v>
      </c>
      <c r="H1349">
        <v>0</v>
      </c>
      <c r="I1349">
        <v>29</v>
      </c>
      <c r="J1349">
        <v>10</v>
      </c>
      <c r="K1349">
        <v>0</v>
      </c>
    </row>
    <row r="1350" spans="1:11" x14ac:dyDescent="0.2">
      <c r="A1350" t="s">
        <v>1857</v>
      </c>
      <c r="B1350">
        <v>0</v>
      </c>
      <c r="C1350">
        <v>0</v>
      </c>
      <c r="D1350">
        <v>0</v>
      </c>
      <c r="E1350">
        <v>0</v>
      </c>
      <c r="F1350">
        <v>0</v>
      </c>
      <c r="G1350">
        <v>0</v>
      </c>
      <c r="H1350">
        <v>0</v>
      </c>
      <c r="I1350">
        <v>0</v>
      </c>
      <c r="J1350">
        <v>0</v>
      </c>
      <c r="K1350">
        <v>0</v>
      </c>
    </row>
    <row r="1351" spans="1:11" x14ac:dyDescent="0.2">
      <c r="A1351" t="s">
        <v>1862</v>
      </c>
      <c r="B1351">
        <v>0</v>
      </c>
      <c r="C1351">
        <v>0</v>
      </c>
      <c r="D1351">
        <v>0</v>
      </c>
      <c r="E1351">
        <v>0</v>
      </c>
      <c r="F1351">
        <v>0</v>
      </c>
      <c r="G1351">
        <v>0</v>
      </c>
      <c r="H1351">
        <v>0</v>
      </c>
      <c r="I1351">
        <v>0</v>
      </c>
      <c r="J1351">
        <v>0</v>
      </c>
      <c r="K1351">
        <v>0</v>
      </c>
    </row>
    <row r="1352" spans="1:11" x14ac:dyDescent="0.2">
      <c r="A1352" t="s">
        <v>1867</v>
      </c>
      <c r="B1352">
        <v>0</v>
      </c>
      <c r="C1352">
        <v>0</v>
      </c>
      <c r="D1352">
        <v>0</v>
      </c>
      <c r="E1352">
        <v>0</v>
      </c>
      <c r="F1352">
        <v>0</v>
      </c>
      <c r="G1352">
        <v>0</v>
      </c>
      <c r="H1352">
        <v>0</v>
      </c>
      <c r="I1352">
        <v>0</v>
      </c>
      <c r="J1352">
        <v>0</v>
      </c>
      <c r="K1352">
        <v>0</v>
      </c>
    </row>
    <row r="1353" spans="1:11" x14ac:dyDescent="0.2">
      <c r="A1353" t="s">
        <v>1870</v>
      </c>
      <c r="B1353">
        <v>0</v>
      </c>
      <c r="C1353">
        <v>0</v>
      </c>
      <c r="D1353">
        <v>0</v>
      </c>
      <c r="E1353">
        <v>0</v>
      </c>
      <c r="F1353">
        <v>0</v>
      </c>
      <c r="G1353">
        <v>0</v>
      </c>
      <c r="H1353">
        <v>0</v>
      </c>
      <c r="I1353">
        <v>0</v>
      </c>
      <c r="J1353">
        <v>0</v>
      </c>
      <c r="K1353">
        <v>0</v>
      </c>
    </row>
    <row r="1354" spans="1:11" x14ac:dyDescent="0.2">
      <c r="A1354" t="s">
        <v>1874</v>
      </c>
      <c r="B1354">
        <v>15</v>
      </c>
      <c r="C1354">
        <v>0</v>
      </c>
      <c r="D1354">
        <v>0</v>
      </c>
      <c r="E1354">
        <v>0</v>
      </c>
      <c r="F1354">
        <v>1</v>
      </c>
      <c r="G1354">
        <v>189</v>
      </c>
      <c r="H1354">
        <v>0</v>
      </c>
      <c r="I1354">
        <v>47</v>
      </c>
      <c r="J1354">
        <v>4</v>
      </c>
      <c r="K1354">
        <v>0</v>
      </c>
    </row>
    <row r="1355" spans="1:11" x14ac:dyDescent="0.2">
      <c r="A1355" t="s">
        <v>1876</v>
      </c>
      <c r="B1355">
        <v>0</v>
      </c>
      <c r="C1355">
        <v>0</v>
      </c>
      <c r="D1355">
        <v>0</v>
      </c>
      <c r="E1355">
        <v>0</v>
      </c>
      <c r="F1355">
        <v>0</v>
      </c>
      <c r="G1355">
        <v>0</v>
      </c>
      <c r="H1355">
        <v>0</v>
      </c>
      <c r="I1355">
        <v>0</v>
      </c>
      <c r="J1355">
        <v>0</v>
      </c>
      <c r="K1355">
        <v>0</v>
      </c>
    </row>
    <row r="1356" spans="1:11" x14ac:dyDescent="0.2">
      <c r="A1356" t="s">
        <v>1881</v>
      </c>
      <c r="B1356">
        <v>0</v>
      </c>
      <c r="C1356">
        <v>0</v>
      </c>
      <c r="D1356">
        <v>0</v>
      </c>
      <c r="E1356">
        <v>0</v>
      </c>
      <c r="F1356">
        <v>0</v>
      </c>
      <c r="G1356">
        <v>0</v>
      </c>
      <c r="H1356">
        <v>0</v>
      </c>
      <c r="I1356">
        <v>0</v>
      </c>
      <c r="J1356">
        <v>0</v>
      </c>
      <c r="K1356">
        <v>0</v>
      </c>
    </row>
    <row r="1357" spans="1:11" x14ac:dyDescent="0.2">
      <c r="A1357" t="s">
        <v>1885</v>
      </c>
      <c r="B1357">
        <v>1331</v>
      </c>
      <c r="C1357">
        <v>0</v>
      </c>
      <c r="D1357">
        <v>26</v>
      </c>
      <c r="E1357">
        <v>0</v>
      </c>
      <c r="F1357">
        <v>52</v>
      </c>
      <c r="G1357">
        <v>4459</v>
      </c>
      <c r="H1357">
        <v>1</v>
      </c>
      <c r="I1357">
        <v>753</v>
      </c>
      <c r="J1357">
        <v>361</v>
      </c>
      <c r="K1357">
        <v>0</v>
      </c>
    </row>
    <row r="1358" spans="1:11" x14ac:dyDescent="0.2">
      <c r="A1358" t="s">
        <v>1887</v>
      </c>
      <c r="B1358">
        <v>15</v>
      </c>
      <c r="C1358">
        <v>0</v>
      </c>
      <c r="D1358">
        <v>0</v>
      </c>
      <c r="E1358">
        <v>0</v>
      </c>
      <c r="F1358">
        <v>1</v>
      </c>
      <c r="G1358">
        <v>39</v>
      </c>
      <c r="H1358">
        <v>0</v>
      </c>
      <c r="I1358">
        <v>14</v>
      </c>
      <c r="J1358">
        <v>5</v>
      </c>
      <c r="K1358">
        <v>0</v>
      </c>
    </row>
    <row r="1359" spans="1:11" x14ac:dyDescent="0.2">
      <c r="A1359" t="s">
        <v>1893</v>
      </c>
      <c r="B1359">
        <v>107</v>
      </c>
      <c r="C1359">
        <v>0</v>
      </c>
      <c r="D1359">
        <v>3</v>
      </c>
      <c r="E1359">
        <v>0</v>
      </c>
      <c r="F1359">
        <v>6</v>
      </c>
      <c r="G1359">
        <v>447</v>
      </c>
      <c r="H1359">
        <v>0</v>
      </c>
      <c r="I1359">
        <v>88</v>
      </c>
      <c r="J1359">
        <v>32</v>
      </c>
      <c r="K1359">
        <v>0</v>
      </c>
    </row>
    <row r="1360" spans="1:11" x14ac:dyDescent="0.2">
      <c r="A1360" t="s">
        <v>1899</v>
      </c>
      <c r="B1360">
        <v>0</v>
      </c>
      <c r="C1360">
        <v>0</v>
      </c>
      <c r="D1360">
        <v>0</v>
      </c>
      <c r="E1360">
        <v>0</v>
      </c>
      <c r="F1360">
        <v>0</v>
      </c>
      <c r="G1360">
        <v>0</v>
      </c>
      <c r="H1360">
        <v>0</v>
      </c>
      <c r="I1360">
        <v>0</v>
      </c>
      <c r="J1360">
        <v>0</v>
      </c>
      <c r="K1360">
        <v>0</v>
      </c>
    </row>
    <row r="1361" spans="1:11" x14ac:dyDescent="0.2">
      <c r="A1361" t="s">
        <v>1906</v>
      </c>
      <c r="B1361">
        <v>0</v>
      </c>
      <c r="C1361">
        <v>0</v>
      </c>
      <c r="D1361">
        <v>0</v>
      </c>
      <c r="E1361">
        <v>0</v>
      </c>
      <c r="F1361">
        <v>0</v>
      </c>
      <c r="G1361">
        <v>0</v>
      </c>
      <c r="H1361">
        <v>0</v>
      </c>
      <c r="I1361">
        <v>0</v>
      </c>
      <c r="J1361">
        <v>0</v>
      </c>
      <c r="K1361">
        <v>0</v>
      </c>
    </row>
    <row r="1362" spans="1:11" x14ac:dyDescent="0.2">
      <c r="A1362" t="s">
        <v>1911</v>
      </c>
      <c r="B1362">
        <v>0</v>
      </c>
      <c r="C1362">
        <v>0</v>
      </c>
      <c r="D1362">
        <v>0</v>
      </c>
      <c r="E1362">
        <v>0</v>
      </c>
      <c r="F1362">
        <v>0</v>
      </c>
      <c r="G1362">
        <v>0</v>
      </c>
      <c r="H1362">
        <v>0</v>
      </c>
      <c r="I1362">
        <v>0</v>
      </c>
      <c r="J1362">
        <v>0</v>
      </c>
      <c r="K1362">
        <v>0</v>
      </c>
    </row>
    <row r="1363" spans="1:11" x14ac:dyDescent="0.2">
      <c r="A1363" t="s">
        <v>1917</v>
      </c>
      <c r="B1363">
        <v>0</v>
      </c>
      <c r="C1363">
        <v>0</v>
      </c>
      <c r="D1363">
        <v>1</v>
      </c>
      <c r="E1363">
        <v>0</v>
      </c>
      <c r="F1363">
        <v>1</v>
      </c>
      <c r="G1363">
        <v>107</v>
      </c>
      <c r="H1363">
        <v>0</v>
      </c>
      <c r="I1363">
        <v>8</v>
      </c>
      <c r="J1363">
        <v>3</v>
      </c>
      <c r="K1363">
        <v>0</v>
      </c>
    </row>
    <row r="1364" spans="1:11" x14ac:dyDescent="0.2">
      <c r="A1364" t="s">
        <v>1922</v>
      </c>
      <c r="B1364">
        <v>0</v>
      </c>
      <c r="C1364">
        <v>0</v>
      </c>
      <c r="D1364">
        <v>0</v>
      </c>
      <c r="E1364">
        <v>0</v>
      </c>
      <c r="F1364">
        <v>0</v>
      </c>
      <c r="G1364">
        <v>1</v>
      </c>
      <c r="H1364">
        <v>0</v>
      </c>
      <c r="I1364">
        <v>0</v>
      </c>
      <c r="J1364">
        <v>0</v>
      </c>
      <c r="K1364">
        <v>0</v>
      </c>
    </row>
    <row r="1365" spans="1:11" x14ac:dyDescent="0.2">
      <c r="A1365" t="s">
        <v>1928</v>
      </c>
      <c r="B1365">
        <v>0</v>
      </c>
      <c r="C1365">
        <v>0</v>
      </c>
      <c r="D1365">
        <v>0</v>
      </c>
      <c r="E1365">
        <v>0</v>
      </c>
      <c r="F1365">
        <v>0</v>
      </c>
      <c r="G1365">
        <v>10</v>
      </c>
      <c r="H1365">
        <v>0</v>
      </c>
      <c r="I1365">
        <v>0</v>
      </c>
      <c r="J1365">
        <v>0</v>
      </c>
      <c r="K1365">
        <v>0</v>
      </c>
    </row>
    <row r="1366" spans="1:11" x14ac:dyDescent="0.2">
      <c r="A1366" t="s">
        <v>1932</v>
      </c>
      <c r="B1366">
        <v>0</v>
      </c>
      <c r="C1366">
        <v>0</v>
      </c>
      <c r="D1366">
        <v>0</v>
      </c>
      <c r="E1366">
        <v>0</v>
      </c>
      <c r="F1366">
        <v>0</v>
      </c>
      <c r="G1366">
        <v>0</v>
      </c>
      <c r="H1366">
        <v>0</v>
      </c>
      <c r="I1366">
        <v>0</v>
      </c>
      <c r="J1366">
        <v>0</v>
      </c>
      <c r="K1366">
        <v>0</v>
      </c>
    </row>
    <row r="1367" spans="1:11" x14ac:dyDescent="0.2">
      <c r="A1367" t="s">
        <v>1938</v>
      </c>
      <c r="B1367">
        <v>0</v>
      </c>
      <c r="C1367">
        <v>0</v>
      </c>
      <c r="D1367">
        <v>0</v>
      </c>
      <c r="E1367">
        <v>0</v>
      </c>
      <c r="F1367">
        <v>0</v>
      </c>
      <c r="G1367">
        <v>0</v>
      </c>
      <c r="H1367">
        <v>0</v>
      </c>
      <c r="I1367">
        <v>0</v>
      </c>
      <c r="J1367">
        <v>0</v>
      </c>
      <c r="K1367">
        <v>0</v>
      </c>
    </row>
    <row r="1368" spans="1:11" x14ac:dyDescent="0.2">
      <c r="A1368" t="s">
        <v>1944</v>
      </c>
      <c r="B1368">
        <v>526</v>
      </c>
      <c r="C1368">
        <v>0</v>
      </c>
      <c r="D1368">
        <v>8</v>
      </c>
      <c r="E1368">
        <v>0</v>
      </c>
      <c r="F1368">
        <v>14</v>
      </c>
      <c r="G1368">
        <v>1199</v>
      </c>
      <c r="H1368">
        <v>1</v>
      </c>
      <c r="I1368">
        <v>397</v>
      </c>
      <c r="J1368">
        <v>139</v>
      </c>
      <c r="K1368">
        <v>0</v>
      </c>
    </row>
    <row r="1369" spans="1:11" x14ac:dyDescent="0.2">
      <c r="A1369" t="s">
        <v>1947</v>
      </c>
      <c r="B1369">
        <v>9</v>
      </c>
      <c r="C1369">
        <v>0</v>
      </c>
      <c r="D1369">
        <v>0</v>
      </c>
      <c r="E1369">
        <v>0</v>
      </c>
      <c r="F1369">
        <v>0</v>
      </c>
      <c r="G1369">
        <v>21</v>
      </c>
      <c r="H1369">
        <v>0</v>
      </c>
      <c r="I1369">
        <v>6</v>
      </c>
      <c r="J1369">
        <v>3</v>
      </c>
      <c r="K1369">
        <v>0</v>
      </c>
    </row>
    <row r="1370" spans="1:11" x14ac:dyDescent="0.2">
      <c r="A1370" t="s">
        <v>1953</v>
      </c>
      <c r="B1370">
        <v>27</v>
      </c>
      <c r="C1370">
        <v>0</v>
      </c>
      <c r="D1370">
        <v>1</v>
      </c>
      <c r="E1370">
        <v>0</v>
      </c>
      <c r="F1370">
        <v>1</v>
      </c>
      <c r="G1370">
        <v>68</v>
      </c>
      <c r="H1370">
        <v>0</v>
      </c>
      <c r="I1370">
        <v>18</v>
      </c>
      <c r="J1370">
        <v>7</v>
      </c>
      <c r="K1370">
        <v>0</v>
      </c>
    </row>
    <row r="1371" spans="1:11" x14ac:dyDescent="0.2">
      <c r="A1371" t="s">
        <v>1958</v>
      </c>
      <c r="B1371">
        <v>0</v>
      </c>
      <c r="C1371">
        <v>0</v>
      </c>
      <c r="D1371">
        <v>0</v>
      </c>
      <c r="E1371">
        <v>0</v>
      </c>
      <c r="F1371">
        <v>0</v>
      </c>
      <c r="G1371">
        <v>0</v>
      </c>
      <c r="H1371">
        <v>0</v>
      </c>
      <c r="I1371">
        <v>0</v>
      </c>
      <c r="J1371">
        <v>0</v>
      </c>
      <c r="K1371">
        <v>0</v>
      </c>
    </row>
    <row r="1372" spans="1:11" x14ac:dyDescent="0.2">
      <c r="A1372" t="s">
        <v>1964</v>
      </c>
      <c r="B1372">
        <v>0</v>
      </c>
      <c r="C1372">
        <v>0</v>
      </c>
      <c r="D1372">
        <v>0</v>
      </c>
      <c r="E1372">
        <v>0</v>
      </c>
      <c r="F1372">
        <v>0</v>
      </c>
      <c r="G1372">
        <v>0</v>
      </c>
      <c r="H1372">
        <v>0</v>
      </c>
      <c r="I1372">
        <v>0</v>
      </c>
      <c r="J1372">
        <v>0</v>
      </c>
      <c r="K1372">
        <v>0</v>
      </c>
    </row>
    <row r="1373" spans="1:11" x14ac:dyDescent="0.2">
      <c r="A1373" t="s">
        <v>1973</v>
      </c>
      <c r="B1373">
        <v>0</v>
      </c>
      <c r="C1373">
        <v>0</v>
      </c>
      <c r="D1373">
        <v>0</v>
      </c>
      <c r="E1373">
        <v>0</v>
      </c>
      <c r="F1373">
        <v>0</v>
      </c>
      <c r="G1373">
        <v>17</v>
      </c>
      <c r="H1373">
        <v>0</v>
      </c>
      <c r="I1373">
        <v>5</v>
      </c>
      <c r="J1373">
        <v>2</v>
      </c>
      <c r="K1373">
        <v>0</v>
      </c>
    </row>
    <row r="1374" spans="1:11" x14ac:dyDescent="0.2">
      <c r="A1374" t="s">
        <v>1978</v>
      </c>
      <c r="B1374">
        <v>0</v>
      </c>
      <c r="C1374">
        <v>0</v>
      </c>
      <c r="D1374">
        <v>0</v>
      </c>
      <c r="E1374">
        <v>0</v>
      </c>
      <c r="F1374">
        <v>0</v>
      </c>
      <c r="G1374">
        <v>0</v>
      </c>
      <c r="H1374">
        <v>0</v>
      </c>
      <c r="I1374">
        <v>0</v>
      </c>
      <c r="J1374">
        <v>0</v>
      </c>
      <c r="K1374">
        <v>0</v>
      </c>
    </row>
    <row r="1375" spans="1:11" x14ac:dyDescent="0.2">
      <c r="A1375" t="s">
        <v>1983</v>
      </c>
      <c r="B1375">
        <v>73</v>
      </c>
      <c r="C1375">
        <v>0</v>
      </c>
      <c r="D1375">
        <v>2</v>
      </c>
      <c r="E1375">
        <v>0</v>
      </c>
      <c r="F1375">
        <v>2</v>
      </c>
      <c r="G1375">
        <v>355</v>
      </c>
      <c r="H1375">
        <v>0</v>
      </c>
      <c r="I1375">
        <v>150</v>
      </c>
      <c r="J1375">
        <v>21</v>
      </c>
      <c r="K1375">
        <v>0</v>
      </c>
    </row>
    <row r="1376" spans="1:11" x14ac:dyDescent="0.2">
      <c r="A1376" t="s">
        <v>1984</v>
      </c>
      <c r="B1376">
        <v>0</v>
      </c>
      <c r="C1376">
        <v>0</v>
      </c>
      <c r="D1376">
        <v>0</v>
      </c>
      <c r="E1376">
        <v>0</v>
      </c>
      <c r="F1376">
        <v>0</v>
      </c>
      <c r="G1376">
        <v>0</v>
      </c>
      <c r="H1376">
        <v>0</v>
      </c>
      <c r="I1376">
        <v>0</v>
      </c>
      <c r="J1376">
        <v>0</v>
      </c>
      <c r="K1376">
        <v>0</v>
      </c>
    </row>
    <row r="1377" spans="1:11" x14ac:dyDescent="0.2">
      <c r="A1377" t="s">
        <v>1990</v>
      </c>
      <c r="B1377">
        <v>32</v>
      </c>
      <c r="C1377">
        <v>0</v>
      </c>
      <c r="D1377">
        <v>1</v>
      </c>
      <c r="E1377">
        <v>0</v>
      </c>
      <c r="F1377">
        <v>1</v>
      </c>
      <c r="G1377">
        <v>94</v>
      </c>
      <c r="H1377">
        <v>0</v>
      </c>
      <c r="I1377">
        <v>27</v>
      </c>
      <c r="J1377">
        <v>9</v>
      </c>
      <c r="K1377">
        <v>0</v>
      </c>
    </row>
    <row r="1378" spans="1:11" x14ac:dyDescent="0.2">
      <c r="A1378" t="s">
        <v>1996</v>
      </c>
      <c r="B1378">
        <v>0</v>
      </c>
      <c r="C1378">
        <v>0</v>
      </c>
      <c r="D1378">
        <v>0</v>
      </c>
      <c r="E1378">
        <v>0</v>
      </c>
      <c r="F1378">
        <v>0</v>
      </c>
      <c r="G1378">
        <v>0</v>
      </c>
      <c r="H1378">
        <v>0</v>
      </c>
      <c r="I1378">
        <v>0</v>
      </c>
      <c r="J1378">
        <v>0</v>
      </c>
      <c r="K1378">
        <v>0</v>
      </c>
    </row>
    <row r="1379" spans="1:11" x14ac:dyDescent="0.2">
      <c r="A1379" t="s">
        <v>1998</v>
      </c>
      <c r="B1379">
        <v>0</v>
      </c>
      <c r="C1379">
        <v>0</v>
      </c>
      <c r="D1379">
        <v>0</v>
      </c>
      <c r="E1379">
        <v>0</v>
      </c>
      <c r="F1379">
        <v>0</v>
      </c>
      <c r="G1379">
        <v>0</v>
      </c>
      <c r="H1379">
        <v>0</v>
      </c>
      <c r="I1379">
        <v>0</v>
      </c>
      <c r="J1379">
        <v>0</v>
      </c>
      <c r="K1379">
        <v>0</v>
      </c>
    </row>
    <row r="1380" spans="1:11" x14ac:dyDescent="0.2">
      <c r="A1380" t="s">
        <v>1999</v>
      </c>
      <c r="B1380">
        <v>0</v>
      </c>
      <c r="C1380">
        <v>0</v>
      </c>
      <c r="D1380">
        <v>0</v>
      </c>
      <c r="E1380">
        <v>0</v>
      </c>
      <c r="F1380">
        <v>0</v>
      </c>
      <c r="G1380">
        <v>0</v>
      </c>
      <c r="H1380">
        <v>0</v>
      </c>
      <c r="I1380">
        <v>0</v>
      </c>
      <c r="J1380">
        <v>0</v>
      </c>
      <c r="K1380">
        <v>0</v>
      </c>
    </row>
    <row r="1381" spans="1:11" x14ac:dyDescent="0.2">
      <c r="A1381" t="s">
        <v>2004</v>
      </c>
      <c r="B1381">
        <v>0</v>
      </c>
      <c r="C1381">
        <v>0</v>
      </c>
      <c r="D1381">
        <v>0</v>
      </c>
      <c r="E1381">
        <v>0</v>
      </c>
      <c r="F1381">
        <v>0</v>
      </c>
      <c r="G1381">
        <v>0</v>
      </c>
      <c r="H1381">
        <v>0</v>
      </c>
      <c r="I1381">
        <v>0</v>
      </c>
      <c r="J1381">
        <v>0</v>
      </c>
      <c r="K1381">
        <v>0</v>
      </c>
    </row>
    <row r="1382" spans="1:11" x14ac:dyDescent="0.2">
      <c r="A1382" t="s">
        <v>2009</v>
      </c>
      <c r="B1382">
        <v>0</v>
      </c>
      <c r="C1382">
        <v>0</v>
      </c>
      <c r="D1382">
        <v>0</v>
      </c>
      <c r="E1382">
        <v>0</v>
      </c>
      <c r="F1382">
        <v>0</v>
      </c>
      <c r="G1382">
        <v>0</v>
      </c>
      <c r="H1382">
        <v>0</v>
      </c>
      <c r="I1382">
        <v>0</v>
      </c>
      <c r="J1382">
        <v>0</v>
      </c>
      <c r="K1382">
        <v>0</v>
      </c>
    </row>
    <row r="1383" spans="1:11" x14ac:dyDescent="0.2">
      <c r="A1383" t="s">
        <v>2014</v>
      </c>
      <c r="B1383">
        <v>3379</v>
      </c>
      <c r="C1383">
        <v>0</v>
      </c>
      <c r="D1383">
        <v>82</v>
      </c>
      <c r="E1383">
        <v>0</v>
      </c>
      <c r="F1383">
        <v>392</v>
      </c>
      <c r="G1383">
        <v>30679</v>
      </c>
      <c r="H1383">
        <v>0</v>
      </c>
      <c r="I1383">
        <v>0</v>
      </c>
      <c r="J1383">
        <v>0</v>
      </c>
      <c r="K1383">
        <v>0</v>
      </c>
    </row>
    <row r="1384" spans="1:11" x14ac:dyDescent="0.2">
      <c r="A1384" t="s">
        <v>2019</v>
      </c>
      <c r="B1384">
        <v>0</v>
      </c>
      <c r="C1384">
        <v>0</v>
      </c>
      <c r="D1384">
        <v>0</v>
      </c>
      <c r="E1384">
        <v>0</v>
      </c>
      <c r="F1384">
        <v>0</v>
      </c>
      <c r="G1384">
        <v>0</v>
      </c>
      <c r="H1384">
        <v>0</v>
      </c>
      <c r="I1384">
        <v>0</v>
      </c>
      <c r="J1384">
        <v>0</v>
      </c>
      <c r="K1384">
        <v>0</v>
      </c>
    </row>
    <row r="1385" spans="1:11" x14ac:dyDescent="0.2">
      <c r="A1385" t="s">
        <v>2023</v>
      </c>
      <c r="B1385">
        <v>113</v>
      </c>
      <c r="C1385">
        <v>0</v>
      </c>
      <c r="D1385">
        <v>0</v>
      </c>
      <c r="E1385">
        <v>0</v>
      </c>
      <c r="F1385">
        <v>0</v>
      </c>
      <c r="G1385">
        <v>3</v>
      </c>
      <c r="H1385">
        <v>0</v>
      </c>
      <c r="I1385">
        <v>0</v>
      </c>
      <c r="J1385">
        <v>0</v>
      </c>
      <c r="K1385">
        <v>0</v>
      </c>
    </row>
    <row r="1386" spans="1:11" x14ac:dyDescent="0.2">
      <c r="A1386" t="s">
        <v>2026</v>
      </c>
      <c r="B1386">
        <v>0</v>
      </c>
      <c r="C1386">
        <v>0</v>
      </c>
      <c r="D1386">
        <v>0</v>
      </c>
      <c r="E1386">
        <v>0</v>
      </c>
      <c r="F1386">
        <v>0</v>
      </c>
      <c r="G1386">
        <v>18</v>
      </c>
      <c r="H1386">
        <v>3</v>
      </c>
      <c r="I1386">
        <v>1583</v>
      </c>
      <c r="J1386">
        <v>867</v>
      </c>
      <c r="K1386">
        <v>0</v>
      </c>
    </row>
    <row r="1387" spans="1:11" x14ac:dyDescent="0.2">
      <c r="A1387" t="s">
        <v>2030</v>
      </c>
      <c r="B1387">
        <v>0</v>
      </c>
      <c r="C1387">
        <v>0</v>
      </c>
      <c r="D1387">
        <v>0</v>
      </c>
      <c r="E1387">
        <v>0</v>
      </c>
      <c r="F1387">
        <v>0</v>
      </c>
      <c r="G1387">
        <v>0</v>
      </c>
      <c r="H1387">
        <v>0</v>
      </c>
      <c r="I1387">
        <v>0</v>
      </c>
      <c r="J1387">
        <v>0</v>
      </c>
      <c r="K1387">
        <v>0</v>
      </c>
    </row>
    <row r="1388" spans="1:11" x14ac:dyDescent="0.2">
      <c r="A1388" t="s">
        <v>2035</v>
      </c>
      <c r="B1388">
        <v>0</v>
      </c>
      <c r="C1388">
        <v>0</v>
      </c>
      <c r="D1388">
        <v>0</v>
      </c>
      <c r="E1388">
        <v>0</v>
      </c>
      <c r="F1388">
        <v>0</v>
      </c>
      <c r="G1388">
        <v>0</v>
      </c>
      <c r="H1388">
        <v>0</v>
      </c>
      <c r="I1388">
        <v>0</v>
      </c>
      <c r="J1388">
        <v>0</v>
      </c>
      <c r="K1388">
        <v>0</v>
      </c>
    </row>
    <row r="1389" spans="1:11" x14ac:dyDescent="0.2">
      <c r="A1389" t="s">
        <v>2040</v>
      </c>
      <c r="B1389">
        <v>0</v>
      </c>
      <c r="C1389">
        <v>0</v>
      </c>
      <c r="D1389">
        <v>0</v>
      </c>
      <c r="E1389">
        <v>0</v>
      </c>
      <c r="F1389">
        <v>0</v>
      </c>
      <c r="G1389">
        <v>0</v>
      </c>
      <c r="H1389">
        <v>1</v>
      </c>
      <c r="I1389">
        <v>1817</v>
      </c>
      <c r="J1389">
        <v>116</v>
      </c>
      <c r="K1389">
        <v>0</v>
      </c>
    </row>
    <row r="1390" spans="1:11" x14ac:dyDescent="0.2">
      <c r="A1390" t="s">
        <v>2045</v>
      </c>
      <c r="B1390">
        <v>0</v>
      </c>
      <c r="C1390">
        <v>0</v>
      </c>
      <c r="D1390">
        <v>5</v>
      </c>
      <c r="E1390">
        <v>0</v>
      </c>
      <c r="F1390">
        <v>0</v>
      </c>
      <c r="G1390">
        <v>0</v>
      </c>
      <c r="H1390">
        <v>0</v>
      </c>
      <c r="I1390">
        <v>0</v>
      </c>
      <c r="J1390">
        <v>0</v>
      </c>
      <c r="K1390">
        <v>0</v>
      </c>
    </row>
    <row r="1391" spans="1:11" x14ac:dyDescent="0.2">
      <c r="A1391" t="s">
        <v>2049</v>
      </c>
      <c r="B1391">
        <v>0</v>
      </c>
      <c r="C1391">
        <v>0</v>
      </c>
      <c r="D1391">
        <v>0</v>
      </c>
      <c r="E1391">
        <v>0</v>
      </c>
      <c r="F1391">
        <v>0</v>
      </c>
      <c r="G1391">
        <v>0</v>
      </c>
      <c r="H1391">
        <v>0</v>
      </c>
      <c r="I1391">
        <v>0</v>
      </c>
      <c r="J1391">
        <v>0</v>
      </c>
      <c r="K1391">
        <v>0</v>
      </c>
    </row>
    <row r="1392" spans="1:11" x14ac:dyDescent="0.2">
      <c r="A1392" t="s">
        <v>2051</v>
      </c>
      <c r="B1392">
        <v>8</v>
      </c>
      <c r="C1392">
        <v>0</v>
      </c>
      <c r="D1392">
        <v>0</v>
      </c>
      <c r="E1392">
        <v>0</v>
      </c>
      <c r="F1392">
        <v>0</v>
      </c>
      <c r="G1392">
        <v>13</v>
      </c>
      <c r="H1392">
        <v>0</v>
      </c>
      <c r="I1392">
        <v>7</v>
      </c>
      <c r="J1392">
        <v>3</v>
      </c>
      <c r="K1392">
        <v>0</v>
      </c>
    </row>
    <row r="1393" spans="1:11" x14ac:dyDescent="0.2">
      <c r="A1393" t="s">
        <v>2057</v>
      </c>
      <c r="B1393">
        <v>14</v>
      </c>
      <c r="C1393">
        <v>0</v>
      </c>
      <c r="D1393">
        <v>0</v>
      </c>
      <c r="E1393">
        <v>0</v>
      </c>
      <c r="F1393">
        <v>0</v>
      </c>
      <c r="G1393">
        <v>25</v>
      </c>
      <c r="H1393">
        <v>0</v>
      </c>
      <c r="I1393">
        <v>13</v>
      </c>
      <c r="J1393">
        <v>5</v>
      </c>
      <c r="K1393">
        <v>0</v>
      </c>
    </row>
    <row r="1394" spans="1:11" x14ac:dyDescent="0.2">
      <c r="A1394" t="s">
        <v>4344</v>
      </c>
      <c r="B1394">
        <v>5</v>
      </c>
      <c r="C1394">
        <v>0</v>
      </c>
      <c r="D1394">
        <v>0</v>
      </c>
      <c r="E1394">
        <v>0</v>
      </c>
      <c r="F1394">
        <v>0</v>
      </c>
      <c r="G1394">
        <v>14</v>
      </c>
      <c r="H1394">
        <v>0</v>
      </c>
      <c r="I1394">
        <v>4</v>
      </c>
      <c r="J1394">
        <v>1</v>
      </c>
      <c r="K1394">
        <v>0</v>
      </c>
    </row>
    <row r="1395" spans="1:11" x14ac:dyDescent="0.2">
      <c r="A1395" t="s">
        <v>4345</v>
      </c>
      <c r="B1395">
        <v>26</v>
      </c>
      <c r="C1395">
        <v>0</v>
      </c>
      <c r="D1395">
        <v>1</v>
      </c>
      <c r="E1395">
        <v>0</v>
      </c>
      <c r="F1395">
        <v>1</v>
      </c>
      <c r="G1395">
        <v>69</v>
      </c>
      <c r="H1395">
        <v>0</v>
      </c>
      <c r="I1395">
        <v>22</v>
      </c>
      <c r="J1395">
        <v>8</v>
      </c>
      <c r="K1395">
        <v>0</v>
      </c>
    </row>
    <row r="1396" spans="1:11" x14ac:dyDescent="0.2">
      <c r="A1396" t="s">
        <v>2074</v>
      </c>
      <c r="B1396">
        <v>0</v>
      </c>
      <c r="C1396">
        <v>0</v>
      </c>
      <c r="D1396">
        <v>0</v>
      </c>
      <c r="E1396">
        <v>0</v>
      </c>
      <c r="F1396">
        <v>0</v>
      </c>
      <c r="G1396">
        <v>0</v>
      </c>
      <c r="H1396">
        <v>0</v>
      </c>
      <c r="I1396">
        <v>0</v>
      </c>
      <c r="J1396">
        <v>0</v>
      </c>
      <c r="K1396">
        <v>0</v>
      </c>
    </row>
    <row r="1397" spans="1:11" x14ac:dyDescent="0.2">
      <c r="A1397" t="s">
        <v>2079</v>
      </c>
      <c r="B1397">
        <v>0</v>
      </c>
      <c r="C1397">
        <v>0</v>
      </c>
      <c r="D1397">
        <v>0</v>
      </c>
      <c r="E1397">
        <v>0</v>
      </c>
      <c r="F1397">
        <v>0</v>
      </c>
      <c r="G1397">
        <v>0</v>
      </c>
      <c r="H1397">
        <v>0</v>
      </c>
      <c r="I1397">
        <v>0</v>
      </c>
      <c r="J1397">
        <v>0</v>
      </c>
      <c r="K1397">
        <v>0</v>
      </c>
    </row>
    <row r="1398" spans="1:11" x14ac:dyDescent="0.2">
      <c r="A1398" t="s">
        <v>2085</v>
      </c>
      <c r="B1398">
        <v>0</v>
      </c>
      <c r="C1398">
        <v>0</v>
      </c>
      <c r="D1398">
        <v>0</v>
      </c>
      <c r="E1398">
        <v>0</v>
      </c>
      <c r="F1398">
        <v>0</v>
      </c>
      <c r="G1398">
        <v>0</v>
      </c>
      <c r="H1398">
        <v>0</v>
      </c>
      <c r="I1398">
        <v>0</v>
      </c>
      <c r="J1398">
        <v>0</v>
      </c>
      <c r="K1398">
        <v>0</v>
      </c>
    </row>
    <row r="1399" spans="1:11" x14ac:dyDescent="0.2">
      <c r="A1399" t="s">
        <v>2091</v>
      </c>
      <c r="B1399">
        <v>0</v>
      </c>
      <c r="C1399">
        <v>0</v>
      </c>
      <c r="D1399">
        <v>0</v>
      </c>
      <c r="E1399">
        <v>0</v>
      </c>
      <c r="F1399">
        <v>0</v>
      </c>
      <c r="G1399">
        <v>0</v>
      </c>
      <c r="H1399">
        <v>0</v>
      </c>
      <c r="I1399">
        <v>0</v>
      </c>
      <c r="J1399">
        <v>0</v>
      </c>
      <c r="K1399">
        <v>0</v>
      </c>
    </row>
    <row r="1400" spans="1:11" x14ac:dyDescent="0.2">
      <c r="A1400" t="s">
        <v>2097</v>
      </c>
      <c r="B1400">
        <v>0</v>
      </c>
      <c r="C1400">
        <v>0</v>
      </c>
      <c r="D1400">
        <v>0</v>
      </c>
      <c r="E1400">
        <v>0</v>
      </c>
      <c r="F1400">
        <v>0</v>
      </c>
      <c r="G1400">
        <v>0</v>
      </c>
      <c r="H1400">
        <v>0</v>
      </c>
      <c r="I1400">
        <v>0</v>
      </c>
      <c r="J1400">
        <v>0</v>
      </c>
      <c r="K1400">
        <v>0</v>
      </c>
    </row>
    <row r="1401" spans="1:11" x14ac:dyDescent="0.2">
      <c r="A1401" t="s">
        <v>2101</v>
      </c>
      <c r="B1401">
        <v>0</v>
      </c>
      <c r="C1401">
        <v>0</v>
      </c>
      <c r="D1401">
        <v>0</v>
      </c>
      <c r="E1401">
        <v>0</v>
      </c>
      <c r="F1401">
        <v>0</v>
      </c>
      <c r="G1401">
        <v>0</v>
      </c>
      <c r="H1401">
        <v>0</v>
      </c>
      <c r="I1401">
        <v>0</v>
      </c>
      <c r="J1401">
        <v>0</v>
      </c>
      <c r="K1401">
        <v>0</v>
      </c>
    </row>
    <row r="1402" spans="1:11" x14ac:dyDescent="0.2">
      <c r="A1402" t="s">
        <v>2104</v>
      </c>
      <c r="B1402">
        <v>0</v>
      </c>
      <c r="C1402">
        <v>0</v>
      </c>
      <c r="D1402">
        <v>0</v>
      </c>
      <c r="E1402">
        <v>0</v>
      </c>
      <c r="F1402">
        <v>0</v>
      </c>
      <c r="G1402">
        <v>0</v>
      </c>
      <c r="H1402">
        <v>0</v>
      </c>
      <c r="I1402">
        <v>0</v>
      </c>
      <c r="J1402">
        <v>0</v>
      </c>
      <c r="K1402">
        <v>0</v>
      </c>
    </row>
    <row r="1403" spans="1:11" x14ac:dyDescent="0.2">
      <c r="A1403" t="s">
        <v>2107</v>
      </c>
      <c r="B1403">
        <v>0</v>
      </c>
      <c r="C1403">
        <v>0</v>
      </c>
      <c r="D1403">
        <v>0</v>
      </c>
      <c r="E1403">
        <v>0</v>
      </c>
      <c r="F1403">
        <v>0</v>
      </c>
      <c r="G1403">
        <v>0</v>
      </c>
      <c r="H1403">
        <v>0</v>
      </c>
      <c r="I1403">
        <v>0</v>
      </c>
      <c r="J1403">
        <v>0</v>
      </c>
      <c r="K1403">
        <v>0</v>
      </c>
    </row>
    <row r="1404" spans="1:11" x14ac:dyDescent="0.2">
      <c r="A1404" t="s">
        <v>2110</v>
      </c>
      <c r="B1404">
        <v>0</v>
      </c>
      <c r="C1404">
        <v>0</v>
      </c>
      <c r="D1404">
        <v>0</v>
      </c>
      <c r="E1404">
        <v>0</v>
      </c>
      <c r="F1404">
        <v>0</v>
      </c>
      <c r="G1404">
        <v>0</v>
      </c>
      <c r="H1404">
        <v>0</v>
      </c>
      <c r="I1404">
        <v>0</v>
      </c>
      <c r="J1404">
        <v>0</v>
      </c>
      <c r="K1404">
        <v>0</v>
      </c>
    </row>
    <row r="1405" spans="1:11" x14ac:dyDescent="0.2">
      <c r="A1405" t="s">
        <v>2113</v>
      </c>
      <c r="B1405">
        <v>0</v>
      </c>
      <c r="C1405">
        <v>0</v>
      </c>
      <c r="D1405">
        <v>0</v>
      </c>
      <c r="E1405">
        <v>0</v>
      </c>
      <c r="F1405">
        <v>0</v>
      </c>
      <c r="G1405">
        <v>0</v>
      </c>
      <c r="H1405">
        <v>0</v>
      </c>
      <c r="I1405">
        <v>0</v>
      </c>
      <c r="J1405">
        <v>0</v>
      </c>
      <c r="K1405">
        <v>0</v>
      </c>
    </row>
    <row r="1406" spans="1:11" x14ac:dyDescent="0.2">
      <c r="A1406" t="s">
        <v>4346</v>
      </c>
      <c r="B1406">
        <v>0</v>
      </c>
      <c r="C1406">
        <v>0</v>
      </c>
      <c r="D1406">
        <v>0</v>
      </c>
      <c r="E1406">
        <v>0</v>
      </c>
      <c r="F1406">
        <v>0</v>
      </c>
      <c r="G1406">
        <v>0</v>
      </c>
      <c r="H1406">
        <v>0</v>
      </c>
      <c r="I1406">
        <v>0</v>
      </c>
      <c r="J1406">
        <v>0</v>
      </c>
      <c r="K1406">
        <v>0</v>
      </c>
    </row>
    <row r="1407" spans="1:11" x14ac:dyDescent="0.2">
      <c r="A1407" t="s">
        <v>4347</v>
      </c>
      <c r="B1407">
        <v>0</v>
      </c>
      <c r="C1407">
        <v>0</v>
      </c>
      <c r="D1407">
        <v>0</v>
      </c>
      <c r="E1407">
        <v>0</v>
      </c>
      <c r="F1407">
        <v>0</v>
      </c>
      <c r="G1407">
        <v>0</v>
      </c>
      <c r="H1407">
        <v>0</v>
      </c>
      <c r="I1407">
        <v>0</v>
      </c>
      <c r="J1407">
        <v>0</v>
      </c>
      <c r="K1407">
        <v>0</v>
      </c>
    </row>
    <row r="1408" spans="1:11" x14ac:dyDescent="0.2">
      <c r="A1408" t="s">
        <v>4348</v>
      </c>
      <c r="B1408">
        <v>0</v>
      </c>
      <c r="C1408">
        <v>0</v>
      </c>
      <c r="D1408">
        <v>0</v>
      </c>
      <c r="E1408">
        <v>0</v>
      </c>
      <c r="F1408">
        <v>0</v>
      </c>
      <c r="G1408">
        <v>0</v>
      </c>
      <c r="H1408">
        <v>0</v>
      </c>
      <c r="I1408">
        <v>0</v>
      </c>
      <c r="J1408">
        <v>0</v>
      </c>
      <c r="K1408">
        <v>0</v>
      </c>
    </row>
    <row r="1409" spans="1:11" x14ac:dyDescent="0.2">
      <c r="A1409" t="s">
        <v>4349</v>
      </c>
      <c r="B1409">
        <v>0</v>
      </c>
      <c r="C1409">
        <v>0</v>
      </c>
      <c r="D1409">
        <v>0</v>
      </c>
      <c r="E1409">
        <v>0</v>
      </c>
      <c r="F1409">
        <v>0</v>
      </c>
      <c r="G1409">
        <v>0</v>
      </c>
      <c r="H1409">
        <v>0</v>
      </c>
      <c r="I1409">
        <v>0</v>
      </c>
      <c r="J1409">
        <v>0</v>
      </c>
      <c r="K1409">
        <v>0</v>
      </c>
    </row>
    <row r="1410" spans="1:11" x14ac:dyDescent="0.2">
      <c r="A1410" t="s">
        <v>4350</v>
      </c>
      <c r="B1410">
        <v>2</v>
      </c>
      <c r="C1410">
        <v>0</v>
      </c>
      <c r="D1410">
        <v>0</v>
      </c>
      <c r="E1410">
        <v>0</v>
      </c>
      <c r="F1410">
        <v>0</v>
      </c>
      <c r="G1410">
        <v>6</v>
      </c>
      <c r="H1410">
        <v>0</v>
      </c>
      <c r="I1410">
        <v>1</v>
      </c>
      <c r="J1410">
        <v>0</v>
      </c>
      <c r="K1410">
        <v>0</v>
      </c>
    </row>
    <row r="1411" spans="1:11" x14ac:dyDescent="0.2">
      <c r="A1411" t="s">
        <v>4351</v>
      </c>
      <c r="B1411">
        <v>0</v>
      </c>
      <c r="C1411">
        <v>0</v>
      </c>
      <c r="D1411">
        <v>0</v>
      </c>
      <c r="E1411">
        <v>0</v>
      </c>
      <c r="F1411">
        <v>0</v>
      </c>
      <c r="G1411">
        <v>0</v>
      </c>
      <c r="H1411">
        <v>0</v>
      </c>
      <c r="I1411">
        <v>0</v>
      </c>
      <c r="J1411">
        <v>0</v>
      </c>
      <c r="K1411">
        <v>0</v>
      </c>
    </row>
    <row r="1412" spans="1:11" x14ac:dyDescent="0.2">
      <c r="A1412" t="s">
        <v>4352</v>
      </c>
      <c r="B1412">
        <v>0</v>
      </c>
      <c r="C1412">
        <v>0</v>
      </c>
      <c r="D1412">
        <v>0</v>
      </c>
      <c r="E1412">
        <v>0</v>
      </c>
      <c r="F1412">
        <v>0</v>
      </c>
      <c r="G1412">
        <v>0</v>
      </c>
      <c r="H1412">
        <v>0</v>
      </c>
      <c r="I1412">
        <v>0</v>
      </c>
      <c r="J1412">
        <v>0</v>
      </c>
      <c r="K1412">
        <v>0</v>
      </c>
    </row>
    <row r="1413" spans="1:11" x14ac:dyDescent="0.2">
      <c r="A1413" t="s">
        <v>4353</v>
      </c>
      <c r="B1413">
        <v>38</v>
      </c>
      <c r="C1413">
        <v>0</v>
      </c>
      <c r="D1413">
        <v>1</v>
      </c>
      <c r="E1413">
        <v>0</v>
      </c>
      <c r="F1413">
        <v>1</v>
      </c>
      <c r="G1413">
        <v>133</v>
      </c>
      <c r="H1413">
        <v>0</v>
      </c>
      <c r="I1413">
        <v>33</v>
      </c>
      <c r="J1413">
        <v>10</v>
      </c>
      <c r="K1413">
        <v>0</v>
      </c>
    </row>
    <row r="1414" spans="1:11" x14ac:dyDescent="0.2">
      <c r="A1414" t="s">
        <v>4354</v>
      </c>
      <c r="B1414">
        <v>32</v>
      </c>
      <c r="C1414">
        <v>0</v>
      </c>
      <c r="D1414">
        <v>1</v>
      </c>
      <c r="E1414">
        <v>0</v>
      </c>
      <c r="F1414">
        <v>1</v>
      </c>
      <c r="G1414">
        <v>111</v>
      </c>
      <c r="H1414">
        <v>0</v>
      </c>
      <c r="I1414">
        <v>28</v>
      </c>
      <c r="J1414">
        <v>9</v>
      </c>
      <c r="K1414">
        <v>0</v>
      </c>
    </row>
    <row r="1415" spans="1:11" x14ac:dyDescent="0.2">
      <c r="A1415" t="s">
        <v>4355</v>
      </c>
      <c r="B1415">
        <v>0</v>
      </c>
      <c r="C1415">
        <v>0</v>
      </c>
      <c r="D1415">
        <v>0</v>
      </c>
      <c r="E1415">
        <v>0</v>
      </c>
      <c r="F1415">
        <v>0</v>
      </c>
      <c r="G1415">
        <v>0</v>
      </c>
      <c r="H1415">
        <v>0</v>
      </c>
      <c r="I1415">
        <v>0</v>
      </c>
      <c r="J1415">
        <v>0</v>
      </c>
      <c r="K1415">
        <v>0</v>
      </c>
    </row>
    <row r="1416" spans="1:11" x14ac:dyDescent="0.2">
      <c r="A1416" t="s">
        <v>4356</v>
      </c>
      <c r="B1416">
        <v>0</v>
      </c>
      <c r="C1416">
        <v>0</v>
      </c>
      <c r="D1416">
        <v>0</v>
      </c>
      <c r="E1416">
        <v>0</v>
      </c>
      <c r="F1416">
        <v>0</v>
      </c>
      <c r="G1416">
        <v>0</v>
      </c>
      <c r="H1416">
        <v>0</v>
      </c>
      <c r="I1416">
        <v>0</v>
      </c>
      <c r="J1416">
        <v>0</v>
      </c>
      <c r="K1416">
        <v>0</v>
      </c>
    </row>
    <row r="1417" spans="1:11" x14ac:dyDescent="0.2">
      <c r="A1417" t="s">
        <v>4357</v>
      </c>
      <c r="B1417">
        <v>0</v>
      </c>
      <c r="C1417">
        <v>0</v>
      </c>
      <c r="D1417">
        <v>0</v>
      </c>
      <c r="E1417">
        <v>0</v>
      </c>
      <c r="F1417">
        <v>0</v>
      </c>
      <c r="G1417">
        <v>0</v>
      </c>
      <c r="H1417">
        <v>0</v>
      </c>
      <c r="I1417">
        <v>0</v>
      </c>
      <c r="J1417">
        <v>0</v>
      </c>
      <c r="K1417">
        <v>0</v>
      </c>
    </row>
    <row r="1418" spans="1:11" x14ac:dyDescent="0.2">
      <c r="A1418" t="s">
        <v>4358</v>
      </c>
      <c r="B1418">
        <v>0</v>
      </c>
      <c r="C1418">
        <v>0</v>
      </c>
      <c r="D1418">
        <v>0</v>
      </c>
      <c r="E1418">
        <v>0</v>
      </c>
      <c r="F1418">
        <v>0</v>
      </c>
      <c r="G1418">
        <v>0</v>
      </c>
      <c r="H1418">
        <v>0</v>
      </c>
      <c r="I1418">
        <v>0</v>
      </c>
      <c r="J1418">
        <v>0</v>
      </c>
      <c r="K1418">
        <v>0</v>
      </c>
    </row>
    <row r="1419" spans="1:11" x14ac:dyDescent="0.2">
      <c r="A1419" t="s">
        <v>4359</v>
      </c>
      <c r="B1419">
        <v>0</v>
      </c>
      <c r="C1419">
        <v>0</v>
      </c>
      <c r="D1419">
        <v>0</v>
      </c>
      <c r="E1419">
        <v>0</v>
      </c>
      <c r="F1419">
        <v>0</v>
      </c>
      <c r="G1419">
        <v>0</v>
      </c>
      <c r="H1419">
        <v>0</v>
      </c>
      <c r="I1419">
        <v>0</v>
      </c>
      <c r="J1419">
        <v>0</v>
      </c>
      <c r="K1419">
        <v>0</v>
      </c>
    </row>
    <row r="1420" spans="1:11" x14ac:dyDescent="0.2">
      <c r="A1420" t="s">
        <v>4360</v>
      </c>
      <c r="B1420">
        <v>4</v>
      </c>
      <c r="C1420">
        <v>0</v>
      </c>
      <c r="D1420">
        <v>0</v>
      </c>
      <c r="E1420">
        <v>0</v>
      </c>
      <c r="F1420">
        <v>0</v>
      </c>
      <c r="G1420">
        <v>13</v>
      </c>
      <c r="H1420">
        <v>0</v>
      </c>
      <c r="I1420">
        <v>3</v>
      </c>
      <c r="J1420">
        <v>1</v>
      </c>
      <c r="K1420">
        <v>0</v>
      </c>
    </row>
    <row r="1421" spans="1:11" x14ac:dyDescent="0.2">
      <c r="A1421" t="s">
        <v>4361</v>
      </c>
      <c r="B1421">
        <v>2</v>
      </c>
      <c r="C1421">
        <v>0</v>
      </c>
      <c r="D1421">
        <v>0</v>
      </c>
      <c r="E1421">
        <v>0</v>
      </c>
      <c r="F1421">
        <v>0</v>
      </c>
      <c r="G1421">
        <v>6</v>
      </c>
      <c r="H1421">
        <v>0</v>
      </c>
      <c r="I1421">
        <v>1</v>
      </c>
      <c r="J1421">
        <v>0</v>
      </c>
      <c r="K1421">
        <v>0</v>
      </c>
    </row>
    <row r="1422" spans="1:11" x14ac:dyDescent="0.2">
      <c r="A1422" t="s">
        <v>4362</v>
      </c>
      <c r="B1422">
        <v>0</v>
      </c>
      <c r="C1422">
        <v>0</v>
      </c>
      <c r="D1422">
        <v>0</v>
      </c>
      <c r="E1422">
        <v>0</v>
      </c>
      <c r="F1422">
        <v>0</v>
      </c>
      <c r="G1422">
        <v>0</v>
      </c>
      <c r="H1422">
        <v>0</v>
      </c>
      <c r="I1422">
        <v>0</v>
      </c>
      <c r="J1422">
        <v>0</v>
      </c>
      <c r="K1422">
        <v>0</v>
      </c>
    </row>
    <row r="1423" spans="1:11" x14ac:dyDescent="0.2">
      <c r="A1423" t="s">
        <v>4363</v>
      </c>
      <c r="B1423">
        <v>0</v>
      </c>
      <c r="C1423">
        <v>0</v>
      </c>
      <c r="D1423">
        <v>0</v>
      </c>
      <c r="E1423">
        <v>0</v>
      </c>
      <c r="F1423">
        <v>0</v>
      </c>
      <c r="G1423">
        <v>0</v>
      </c>
      <c r="H1423">
        <v>0</v>
      </c>
      <c r="I1423">
        <v>0</v>
      </c>
      <c r="J1423">
        <v>0</v>
      </c>
      <c r="K1423">
        <v>0</v>
      </c>
    </row>
    <row r="1424" spans="1:11" x14ac:dyDescent="0.2">
      <c r="A1424" t="s">
        <v>4364</v>
      </c>
      <c r="B1424">
        <v>0</v>
      </c>
      <c r="C1424">
        <v>0</v>
      </c>
      <c r="D1424">
        <v>0</v>
      </c>
      <c r="E1424">
        <v>0</v>
      </c>
      <c r="F1424">
        <v>0</v>
      </c>
      <c r="G1424">
        <v>0</v>
      </c>
      <c r="H1424">
        <v>0</v>
      </c>
      <c r="I1424">
        <v>0</v>
      </c>
      <c r="J1424">
        <v>0</v>
      </c>
      <c r="K1424">
        <v>0</v>
      </c>
    </row>
    <row r="1425" spans="1:11" x14ac:dyDescent="0.2">
      <c r="A1425" t="s">
        <v>4365</v>
      </c>
      <c r="B1425">
        <v>1</v>
      </c>
      <c r="C1425">
        <v>0</v>
      </c>
      <c r="D1425">
        <v>0</v>
      </c>
      <c r="E1425">
        <v>0</v>
      </c>
      <c r="F1425">
        <v>0</v>
      </c>
      <c r="G1425">
        <v>19</v>
      </c>
      <c r="H1425">
        <v>0</v>
      </c>
      <c r="I1425">
        <v>5</v>
      </c>
      <c r="J1425">
        <v>0</v>
      </c>
      <c r="K1425">
        <v>0</v>
      </c>
    </row>
    <row r="1426" spans="1:11" x14ac:dyDescent="0.2">
      <c r="A1426" t="s">
        <v>4366</v>
      </c>
      <c r="B1426">
        <v>0</v>
      </c>
      <c r="C1426">
        <v>0</v>
      </c>
      <c r="D1426">
        <v>0</v>
      </c>
      <c r="E1426">
        <v>0</v>
      </c>
      <c r="F1426">
        <v>0</v>
      </c>
      <c r="G1426">
        <v>0</v>
      </c>
      <c r="H1426">
        <v>0</v>
      </c>
      <c r="I1426">
        <v>0</v>
      </c>
      <c r="J1426">
        <v>0</v>
      </c>
      <c r="K1426">
        <v>0</v>
      </c>
    </row>
    <row r="1427" spans="1:11" x14ac:dyDescent="0.2">
      <c r="A1427" t="s">
        <v>4367</v>
      </c>
      <c r="B1427">
        <v>0</v>
      </c>
      <c r="C1427">
        <v>0</v>
      </c>
      <c r="D1427">
        <v>0</v>
      </c>
      <c r="E1427">
        <v>0</v>
      </c>
      <c r="F1427">
        <v>0</v>
      </c>
      <c r="G1427">
        <v>0</v>
      </c>
      <c r="H1427">
        <v>0</v>
      </c>
      <c r="I1427">
        <v>0</v>
      </c>
      <c r="J1427">
        <v>0</v>
      </c>
      <c r="K1427">
        <v>0</v>
      </c>
    </row>
    <row r="1428" spans="1:11" x14ac:dyDescent="0.2">
      <c r="A1428" t="s">
        <v>4368</v>
      </c>
      <c r="B1428">
        <v>40</v>
      </c>
      <c r="C1428">
        <v>0</v>
      </c>
      <c r="D1428">
        <v>1</v>
      </c>
      <c r="E1428">
        <v>0</v>
      </c>
      <c r="F1428">
        <v>1</v>
      </c>
      <c r="G1428">
        <v>1118</v>
      </c>
      <c r="H1428">
        <v>0</v>
      </c>
      <c r="I1428">
        <v>282</v>
      </c>
      <c r="J1428">
        <v>11</v>
      </c>
      <c r="K1428">
        <v>0</v>
      </c>
    </row>
    <row r="1429" spans="1:11" x14ac:dyDescent="0.2">
      <c r="A1429" t="s">
        <v>4369</v>
      </c>
      <c r="B1429">
        <v>50</v>
      </c>
      <c r="C1429">
        <v>0</v>
      </c>
      <c r="D1429">
        <v>1</v>
      </c>
      <c r="E1429">
        <v>0</v>
      </c>
      <c r="F1429">
        <v>2</v>
      </c>
      <c r="G1429">
        <v>452</v>
      </c>
      <c r="H1429">
        <v>0</v>
      </c>
      <c r="I1429">
        <v>113</v>
      </c>
      <c r="J1429">
        <v>14</v>
      </c>
      <c r="K1429">
        <v>0</v>
      </c>
    </row>
    <row r="1430" spans="1:11" x14ac:dyDescent="0.2">
      <c r="A1430" t="s">
        <v>4370</v>
      </c>
      <c r="B1430">
        <v>0</v>
      </c>
      <c r="C1430">
        <v>0</v>
      </c>
      <c r="D1430">
        <v>0</v>
      </c>
      <c r="E1430">
        <v>0</v>
      </c>
      <c r="F1430">
        <v>0</v>
      </c>
      <c r="G1430">
        <v>9</v>
      </c>
      <c r="H1430">
        <v>0</v>
      </c>
      <c r="I1430">
        <v>2</v>
      </c>
      <c r="J1430">
        <v>0</v>
      </c>
      <c r="K1430">
        <v>0</v>
      </c>
    </row>
    <row r="1431" spans="1:11" x14ac:dyDescent="0.2">
      <c r="A1431" t="s">
        <v>4371</v>
      </c>
      <c r="B1431">
        <v>0</v>
      </c>
      <c r="C1431">
        <v>0</v>
      </c>
      <c r="D1431">
        <v>0</v>
      </c>
      <c r="E1431">
        <v>0</v>
      </c>
      <c r="F1431">
        <v>0</v>
      </c>
      <c r="G1431">
        <v>7</v>
      </c>
      <c r="H1431">
        <v>0</v>
      </c>
      <c r="I1431">
        <v>2</v>
      </c>
      <c r="J1431">
        <v>0</v>
      </c>
      <c r="K1431">
        <v>0</v>
      </c>
    </row>
    <row r="1432" spans="1:11" x14ac:dyDescent="0.2">
      <c r="A1432" t="s">
        <v>4372</v>
      </c>
      <c r="B1432">
        <v>0</v>
      </c>
      <c r="C1432">
        <v>0</v>
      </c>
      <c r="D1432">
        <v>0</v>
      </c>
      <c r="E1432">
        <v>0</v>
      </c>
      <c r="F1432">
        <v>0</v>
      </c>
      <c r="G1432">
        <v>0</v>
      </c>
      <c r="H1432">
        <v>0</v>
      </c>
      <c r="I1432">
        <v>0</v>
      </c>
      <c r="J1432">
        <v>0</v>
      </c>
      <c r="K1432">
        <v>0</v>
      </c>
    </row>
    <row r="1433" spans="1:11" x14ac:dyDescent="0.2">
      <c r="A1433" t="s">
        <v>4373</v>
      </c>
      <c r="B1433">
        <v>0</v>
      </c>
      <c r="C1433">
        <v>0</v>
      </c>
      <c r="D1433">
        <v>0</v>
      </c>
      <c r="E1433">
        <v>0</v>
      </c>
      <c r="F1433">
        <v>0</v>
      </c>
      <c r="G1433">
        <v>0</v>
      </c>
      <c r="H1433">
        <v>0</v>
      </c>
      <c r="I1433">
        <v>0</v>
      </c>
      <c r="J1433">
        <v>0</v>
      </c>
      <c r="K1433">
        <v>0</v>
      </c>
    </row>
    <row r="1434" spans="1:11" x14ac:dyDescent="0.2">
      <c r="A1434" t="s">
        <v>4374</v>
      </c>
      <c r="B1434">
        <v>0</v>
      </c>
      <c r="C1434">
        <v>0</v>
      </c>
      <c r="D1434">
        <v>0</v>
      </c>
      <c r="E1434">
        <v>0</v>
      </c>
      <c r="F1434">
        <v>0</v>
      </c>
      <c r="G1434">
        <v>0</v>
      </c>
      <c r="H1434">
        <v>0</v>
      </c>
      <c r="I1434">
        <v>0</v>
      </c>
      <c r="J1434">
        <v>0</v>
      </c>
      <c r="K1434">
        <v>0</v>
      </c>
    </row>
    <row r="1435" spans="1:11" x14ac:dyDescent="0.2">
      <c r="A1435" t="s">
        <v>4375</v>
      </c>
      <c r="B1435">
        <v>0</v>
      </c>
      <c r="C1435">
        <v>0</v>
      </c>
      <c r="D1435">
        <v>0</v>
      </c>
      <c r="E1435">
        <v>0</v>
      </c>
      <c r="F1435">
        <v>0</v>
      </c>
      <c r="G1435">
        <v>1</v>
      </c>
      <c r="H1435">
        <v>0</v>
      </c>
      <c r="I1435">
        <v>0</v>
      </c>
      <c r="J1435">
        <v>0</v>
      </c>
      <c r="K1435">
        <v>0</v>
      </c>
    </row>
    <row r="1436" spans="1:11" x14ac:dyDescent="0.2">
      <c r="A1436" t="s">
        <v>4376</v>
      </c>
      <c r="B1436">
        <v>0</v>
      </c>
      <c r="C1436">
        <v>0</v>
      </c>
      <c r="D1436">
        <v>0</v>
      </c>
      <c r="E1436">
        <v>0</v>
      </c>
      <c r="F1436">
        <v>0</v>
      </c>
      <c r="G1436">
        <v>0</v>
      </c>
      <c r="H1436">
        <v>0</v>
      </c>
      <c r="I1436">
        <v>0</v>
      </c>
      <c r="J1436">
        <v>0</v>
      </c>
      <c r="K1436">
        <v>0</v>
      </c>
    </row>
    <row r="1437" spans="1:11" x14ac:dyDescent="0.2">
      <c r="A1437" t="s">
        <v>4377</v>
      </c>
      <c r="B1437">
        <v>1</v>
      </c>
      <c r="C1437">
        <v>0</v>
      </c>
      <c r="D1437">
        <v>0</v>
      </c>
      <c r="E1437">
        <v>0</v>
      </c>
      <c r="F1437">
        <v>0</v>
      </c>
      <c r="G1437">
        <v>2</v>
      </c>
      <c r="H1437">
        <v>0</v>
      </c>
      <c r="I1437">
        <v>1</v>
      </c>
      <c r="J1437">
        <v>0</v>
      </c>
      <c r="K1437">
        <v>0</v>
      </c>
    </row>
    <row r="1438" spans="1:11" x14ac:dyDescent="0.2">
      <c r="A1438" t="s">
        <v>4854</v>
      </c>
      <c r="B1438">
        <v>6904</v>
      </c>
      <c r="C1438">
        <v>0</v>
      </c>
      <c r="D1438">
        <v>160</v>
      </c>
      <c r="E1438">
        <v>0</v>
      </c>
      <c r="F1438">
        <v>518</v>
      </c>
      <c r="G1438">
        <v>49955</v>
      </c>
      <c r="H1438">
        <v>7</v>
      </c>
      <c r="I1438">
        <v>8007</v>
      </c>
      <c r="J1438">
        <v>1919</v>
      </c>
      <c r="K1438">
        <v>0</v>
      </c>
    </row>
    <row r="1439" spans="1:11" x14ac:dyDescent="0.2">
      <c r="A1439" t="s">
        <v>2318</v>
      </c>
      <c r="B1439" t="s">
        <v>4399</v>
      </c>
      <c r="C1439" t="s">
        <v>4399</v>
      </c>
      <c r="D1439" t="s">
        <v>4399</v>
      </c>
      <c r="E1439" t="s">
        <v>4399</v>
      </c>
      <c r="F1439" t="s">
        <v>4399</v>
      </c>
      <c r="G1439" t="s">
        <v>4399</v>
      </c>
      <c r="H1439" t="s">
        <v>4399</v>
      </c>
      <c r="I1439" t="s">
        <v>4399</v>
      </c>
      <c r="J1439" t="s">
        <v>4399</v>
      </c>
      <c r="K1439" t="s">
        <v>4399</v>
      </c>
    </row>
    <row r="1440" spans="1:11" x14ac:dyDescent="0.2">
      <c r="A1440" t="s">
        <v>4248</v>
      </c>
    </row>
    <row r="1441" spans="1:11" x14ac:dyDescent="0.2">
      <c r="A1441" t="s">
        <v>4855</v>
      </c>
      <c r="B1441" t="s">
        <v>4856</v>
      </c>
      <c r="C1441" t="s">
        <v>4857</v>
      </c>
      <c r="D1441" t="s">
        <v>4858</v>
      </c>
      <c r="E1441" t="s">
        <v>4859</v>
      </c>
      <c r="F1441" t="s">
        <v>4860</v>
      </c>
      <c r="G1441" t="s">
        <v>4867</v>
      </c>
    </row>
    <row r="1442" spans="1:11" x14ac:dyDescent="0.2">
      <c r="A1442" t="s">
        <v>2318</v>
      </c>
      <c r="B1442" t="s">
        <v>4399</v>
      </c>
      <c r="C1442" t="s">
        <v>4399</v>
      </c>
      <c r="D1442" t="s">
        <v>4399</v>
      </c>
      <c r="E1442" t="s">
        <v>4399</v>
      </c>
      <c r="F1442" t="s">
        <v>4399</v>
      </c>
      <c r="G1442" t="s">
        <v>4399</v>
      </c>
      <c r="H1442" t="s">
        <v>4399</v>
      </c>
      <c r="I1442" t="s">
        <v>4399</v>
      </c>
      <c r="J1442" t="s">
        <v>4399</v>
      </c>
      <c r="K1442" t="s">
        <v>4399</v>
      </c>
    </row>
    <row r="1443" spans="1:11" x14ac:dyDescent="0.2">
      <c r="A1443" t="s">
        <v>126</v>
      </c>
      <c r="B1443" t="s">
        <v>4654</v>
      </c>
      <c r="C1443" t="s">
        <v>4658</v>
      </c>
      <c r="D1443" t="s">
        <v>400</v>
      </c>
      <c r="E1443" t="s">
        <v>401</v>
      </c>
      <c r="F1443" t="s">
        <v>4668</v>
      </c>
      <c r="G1443" t="s">
        <v>4672</v>
      </c>
      <c r="H1443" t="s">
        <v>4676</v>
      </c>
      <c r="I1443" t="s">
        <v>4680</v>
      </c>
      <c r="J1443" t="s">
        <v>4684</v>
      </c>
      <c r="K1443" t="s">
        <v>4688</v>
      </c>
    </row>
    <row r="1444" spans="1:11" x14ac:dyDescent="0.2">
      <c r="A1444" t="s">
        <v>2318</v>
      </c>
      <c r="B1444" t="s">
        <v>4399</v>
      </c>
      <c r="C1444" t="s">
        <v>4399</v>
      </c>
      <c r="D1444" t="s">
        <v>4399</v>
      </c>
      <c r="E1444" t="s">
        <v>4399</v>
      </c>
      <c r="F1444" t="s">
        <v>4399</v>
      </c>
      <c r="G1444" t="s">
        <v>4399</v>
      </c>
      <c r="H1444" t="s">
        <v>4399</v>
      </c>
      <c r="I1444" t="s">
        <v>4399</v>
      </c>
      <c r="J1444" t="s">
        <v>4399</v>
      </c>
      <c r="K1444" t="s">
        <v>4399</v>
      </c>
    </row>
    <row r="1445" spans="1:11" x14ac:dyDescent="0.2">
      <c r="A1445" t="s">
        <v>4265</v>
      </c>
      <c r="B1445">
        <v>0</v>
      </c>
      <c r="C1445">
        <v>0</v>
      </c>
      <c r="D1445">
        <v>0</v>
      </c>
      <c r="E1445">
        <v>0</v>
      </c>
      <c r="F1445">
        <v>0</v>
      </c>
      <c r="G1445">
        <v>0</v>
      </c>
      <c r="H1445">
        <v>0</v>
      </c>
      <c r="I1445">
        <v>0</v>
      </c>
      <c r="J1445">
        <v>0</v>
      </c>
      <c r="K1445">
        <v>0</v>
      </c>
    </row>
    <row r="1446" spans="1:11" x14ac:dyDescent="0.2">
      <c r="A1446" t="s">
        <v>4266</v>
      </c>
      <c r="B1446">
        <v>0</v>
      </c>
      <c r="C1446">
        <v>0</v>
      </c>
      <c r="D1446">
        <v>0</v>
      </c>
      <c r="E1446">
        <v>0</v>
      </c>
      <c r="F1446">
        <v>0</v>
      </c>
      <c r="G1446">
        <v>0</v>
      </c>
      <c r="H1446">
        <v>0</v>
      </c>
      <c r="I1446">
        <v>0</v>
      </c>
      <c r="J1446">
        <v>0</v>
      </c>
      <c r="K1446">
        <v>0</v>
      </c>
    </row>
    <row r="1447" spans="1:11" x14ac:dyDescent="0.2">
      <c r="A1447" t="s">
        <v>4267</v>
      </c>
      <c r="B1447">
        <v>0</v>
      </c>
      <c r="C1447">
        <v>0</v>
      </c>
      <c r="D1447">
        <v>0</v>
      </c>
      <c r="E1447">
        <v>0</v>
      </c>
      <c r="F1447">
        <v>0</v>
      </c>
      <c r="G1447">
        <v>0</v>
      </c>
      <c r="H1447">
        <v>0</v>
      </c>
      <c r="I1447">
        <v>0</v>
      </c>
      <c r="J1447">
        <v>0</v>
      </c>
      <c r="K1447">
        <v>0</v>
      </c>
    </row>
    <row r="1448" spans="1:11" x14ac:dyDescent="0.2">
      <c r="A1448" t="s">
        <v>4268</v>
      </c>
      <c r="B1448">
        <v>0</v>
      </c>
      <c r="C1448">
        <v>0</v>
      </c>
      <c r="D1448">
        <v>0</v>
      </c>
      <c r="E1448">
        <v>0</v>
      </c>
      <c r="F1448">
        <v>0</v>
      </c>
      <c r="G1448">
        <v>0</v>
      </c>
      <c r="H1448">
        <v>0</v>
      </c>
      <c r="I1448">
        <v>0</v>
      </c>
      <c r="J1448">
        <v>0</v>
      </c>
      <c r="K1448">
        <v>0</v>
      </c>
    </row>
    <row r="1449" spans="1:11" x14ac:dyDescent="0.2">
      <c r="A1449" t="s">
        <v>4269</v>
      </c>
      <c r="B1449">
        <v>0</v>
      </c>
      <c r="C1449">
        <v>0</v>
      </c>
      <c r="D1449">
        <v>0</v>
      </c>
      <c r="E1449">
        <v>0</v>
      </c>
      <c r="F1449">
        <v>0</v>
      </c>
      <c r="G1449">
        <v>0</v>
      </c>
      <c r="H1449">
        <v>0</v>
      </c>
      <c r="I1449">
        <v>0</v>
      </c>
      <c r="J1449">
        <v>0</v>
      </c>
      <c r="K1449">
        <v>0</v>
      </c>
    </row>
    <row r="1450" spans="1:11" x14ac:dyDescent="0.2">
      <c r="A1450" t="s">
        <v>4270</v>
      </c>
      <c r="B1450">
        <v>0</v>
      </c>
      <c r="C1450">
        <v>0</v>
      </c>
      <c r="D1450">
        <v>0</v>
      </c>
      <c r="E1450">
        <v>0</v>
      </c>
      <c r="F1450">
        <v>0</v>
      </c>
      <c r="G1450">
        <v>0</v>
      </c>
      <c r="H1450">
        <v>0</v>
      </c>
      <c r="I1450">
        <v>0</v>
      </c>
      <c r="J1450">
        <v>0</v>
      </c>
      <c r="K1450">
        <v>0</v>
      </c>
    </row>
    <row r="1451" spans="1:11" x14ac:dyDescent="0.2">
      <c r="A1451" t="s">
        <v>4271</v>
      </c>
      <c r="B1451">
        <v>0</v>
      </c>
      <c r="C1451">
        <v>0</v>
      </c>
      <c r="D1451">
        <v>0</v>
      </c>
      <c r="E1451">
        <v>0</v>
      </c>
      <c r="F1451">
        <v>0</v>
      </c>
      <c r="G1451">
        <v>0</v>
      </c>
      <c r="H1451">
        <v>0</v>
      </c>
      <c r="I1451">
        <v>0</v>
      </c>
      <c r="J1451">
        <v>0</v>
      </c>
      <c r="K1451">
        <v>0</v>
      </c>
    </row>
    <row r="1452" spans="1:11" x14ac:dyDescent="0.2">
      <c r="A1452" t="s">
        <v>4272</v>
      </c>
      <c r="B1452">
        <v>0</v>
      </c>
      <c r="C1452">
        <v>0</v>
      </c>
      <c r="D1452">
        <v>0</v>
      </c>
      <c r="E1452">
        <v>0</v>
      </c>
      <c r="F1452">
        <v>0</v>
      </c>
      <c r="G1452">
        <v>0</v>
      </c>
      <c r="H1452">
        <v>0</v>
      </c>
      <c r="I1452">
        <v>0</v>
      </c>
      <c r="J1452">
        <v>0</v>
      </c>
      <c r="K1452">
        <v>0</v>
      </c>
    </row>
    <row r="1453" spans="1:11" x14ac:dyDescent="0.2">
      <c r="A1453" t="s">
        <v>4273</v>
      </c>
      <c r="B1453">
        <v>0</v>
      </c>
      <c r="C1453">
        <v>0</v>
      </c>
      <c r="D1453">
        <v>0</v>
      </c>
      <c r="E1453">
        <v>0</v>
      </c>
      <c r="F1453">
        <v>0</v>
      </c>
      <c r="G1453">
        <v>0</v>
      </c>
      <c r="H1453">
        <v>0</v>
      </c>
      <c r="I1453">
        <v>0</v>
      </c>
      <c r="J1453">
        <v>0</v>
      </c>
      <c r="K1453">
        <v>0</v>
      </c>
    </row>
    <row r="1454" spans="1:11" x14ac:dyDescent="0.2">
      <c r="A1454" t="s">
        <v>4274</v>
      </c>
      <c r="B1454">
        <v>0</v>
      </c>
      <c r="C1454">
        <v>0</v>
      </c>
      <c r="D1454">
        <v>0</v>
      </c>
      <c r="E1454">
        <v>0</v>
      </c>
      <c r="F1454">
        <v>0</v>
      </c>
      <c r="G1454">
        <v>0</v>
      </c>
      <c r="H1454">
        <v>0</v>
      </c>
      <c r="I1454">
        <v>0</v>
      </c>
      <c r="J1454">
        <v>0</v>
      </c>
      <c r="K1454">
        <v>0</v>
      </c>
    </row>
    <row r="1455" spans="1:11" x14ac:dyDescent="0.2">
      <c r="A1455" t="s">
        <v>4275</v>
      </c>
      <c r="B1455">
        <v>0</v>
      </c>
      <c r="C1455">
        <v>0</v>
      </c>
      <c r="D1455">
        <v>0</v>
      </c>
      <c r="E1455">
        <v>0</v>
      </c>
      <c r="F1455">
        <v>0</v>
      </c>
      <c r="G1455">
        <v>0</v>
      </c>
      <c r="H1455">
        <v>0</v>
      </c>
      <c r="I1455">
        <v>0</v>
      </c>
      <c r="J1455">
        <v>0</v>
      </c>
      <c r="K1455">
        <v>0</v>
      </c>
    </row>
    <row r="1456" spans="1:11" x14ac:dyDescent="0.2">
      <c r="A1456" t="s">
        <v>4276</v>
      </c>
      <c r="B1456">
        <v>0</v>
      </c>
      <c r="C1456">
        <v>0</v>
      </c>
      <c r="D1456">
        <v>0</v>
      </c>
      <c r="E1456">
        <v>0</v>
      </c>
      <c r="F1456">
        <v>0</v>
      </c>
      <c r="G1456">
        <v>0</v>
      </c>
      <c r="H1456">
        <v>0</v>
      </c>
      <c r="I1456">
        <v>0</v>
      </c>
      <c r="J1456">
        <v>0</v>
      </c>
      <c r="K1456">
        <v>0</v>
      </c>
    </row>
    <row r="1457" spans="1:11" x14ac:dyDescent="0.2">
      <c r="A1457" t="s">
        <v>4277</v>
      </c>
      <c r="B1457">
        <v>0</v>
      </c>
      <c r="C1457">
        <v>0</v>
      </c>
      <c r="D1457">
        <v>0</v>
      </c>
      <c r="E1457">
        <v>0</v>
      </c>
      <c r="F1457">
        <v>0</v>
      </c>
      <c r="G1457">
        <v>0</v>
      </c>
      <c r="H1457">
        <v>0</v>
      </c>
      <c r="I1457">
        <v>0</v>
      </c>
      <c r="J1457">
        <v>0</v>
      </c>
      <c r="K1457">
        <v>0</v>
      </c>
    </row>
    <row r="1458" spans="1:11" x14ac:dyDescent="0.2">
      <c r="A1458" t="s">
        <v>4278</v>
      </c>
      <c r="B1458">
        <v>0</v>
      </c>
      <c r="C1458">
        <v>0</v>
      </c>
      <c r="D1458">
        <v>0</v>
      </c>
      <c r="E1458">
        <v>0</v>
      </c>
      <c r="F1458">
        <v>0</v>
      </c>
      <c r="G1458">
        <v>0</v>
      </c>
      <c r="H1458">
        <v>0</v>
      </c>
      <c r="I1458">
        <v>0</v>
      </c>
      <c r="J1458">
        <v>0</v>
      </c>
      <c r="K1458">
        <v>0</v>
      </c>
    </row>
    <row r="1459" spans="1:11" x14ac:dyDescent="0.2">
      <c r="A1459" t="s">
        <v>4279</v>
      </c>
      <c r="B1459">
        <v>0</v>
      </c>
      <c r="C1459">
        <v>0</v>
      </c>
      <c r="D1459">
        <v>0</v>
      </c>
      <c r="E1459">
        <v>0</v>
      </c>
      <c r="F1459">
        <v>0</v>
      </c>
      <c r="G1459">
        <v>0</v>
      </c>
      <c r="H1459">
        <v>0</v>
      </c>
      <c r="I1459">
        <v>0</v>
      </c>
      <c r="J1459">
        <v>0</v>
      </c>
      <c r="K1459">
        <v>0</v>
      </c>
    </row>
    <row r="1460" spans="1:11" x14ac:dyDescent="0.2">
      <c r="A1460" t="s">
        <v>4280</v>
      </c>
      <c r="B1460">
        <v>0</v>
      </c>
      <c r="C1460">
        <v>0</v>
      </c>
      <c r="D1460">
        <v>0</v>
      </c>
      <c r="E1460">
        <v>0</v>
      </c>
      <c r="F1460">
        <v>0</v>
      </c>
      <c r="G1460">
        <v>0</v>
      </c>
      <c r="H1460">
        <v>0</v>
      </c>
      <c r="I1460">
        <v>0</v>
      </c>
      <c r="J1460">
        <v>0</v>
      </c>
      <c r="K1460">
        <v>0</v>
      </c>
    </row>
    <row r="1461" spans="1:11" x14ac:dyDescent="0.2">
      <c r="A1461" t="s">
        <v>4281</v>
      </c>
      <c r="B1461">
        <v>0</v>
      </c>
      <c r="C1461">
        <v>0</v>
      </c>
      <c r="D1461">
        <v>0</v>
      </c>
      <c r="E1461">
        <v>30</v>
      </c>
      <c r="F1461">
        <v>1</v>
      </c>
      <c r="G1461">
        <v>0</v>
      </c>
      <c r="H1461">
        <v>0</v>
      </c>
      <c r="I1461">
        <v>0</v>
      </c>
      <c r="J1461">
        <v>0</v>
      </c>
      <c r="K1461">
        <v>0</v>
      </c>
    </row>
    <row r="1462" spans="1:11" x14ac:dyDescent="0.2">
      <c r="A1462" t="s">
        <v>4282</v>
      </c>
      <c r="B1462">
        <v>0</v>
      </c>
      <c r="C1462">
        <v>0</v>
      </c>
      <c r="D1462">
        <v>0</v>
      </c>
      <c r="E1462">
        <v>12</v>
      </c>
      <c r="F1462">
        <v>1</v>
      </c>
      <c r="G1462">
        <v>0</v>
      </c>
      <c r="H1462">
        <v>0</v>
      </c>
      <c r="I1462">
        <v>0</v>
      </c>
      <c r="J1462">
        <v>0</v>
      </c>
      <c r="K1462">
        <v>0</v>
      </c>
    </row>
    <row r="1463" spans="1:11" x14ac:dyDescent="0.2">
      <c r="A1463" t="s">
        <v>4283</v>
      </c>
      <c r="B1463">
        <v>0</v>
      </c>
      <c r="C1463">
        <v>0</v>
      </c>
      <c r="D1463">
        <v>0</v>
      </c>
      <c r="E1463">
        <v>6</v>
      </c>
      <c r="F1463">
        <v>0</v>
      </c>
      <c r="G1463">
        <v>0</v>
      </c>
      <c r="H1463">
        <v>0</v>
      </c>
      <c r="I1463">
        <v>0</v>
      </c>
      <c r="J1463">
        <v>0</v>
      </c>
      <c r="K1463">
        <v>0</v>
      </c>
    </row>
    <row r="1464" spans="1:11" x14ac:dyDescent="0.2">
      <c r="A1464" t="s">
        <v>4284</v>
      </c>
      <c r="B1464">
        <v>0</v>
      </c>
      <c r="C1464">
        <v>0</v>
      </c>
      <c r="D1464">
        <v>0</v>
      </c>
      <c r="E1464">
        <v>0</v>
      </c>
      <c r="F1464">
        <v>0</v>
      </c>
      <c r="G1464">
        <v>0</v>
      </c>
      <c r="H1464">
        <v>0</v>
      </c>
      <c r="I1464">
        <v>0</v>
      </c>
      <c r="J1464">
        <v>0</v>
      </c>
      <c r="K1464">
        <v>0</v>
      </c>
    </row>
    <row r="1465" spans="1:11" x14ac:dyDescent="0.2">
      <c r="A1465" t="s">
        <v>4285</v>
      </c>
      <c r="B1465">
        <v>0</v>
      </c>
      <c r="C1465">
        <v>0</v>
      </c>
      <c r="D1465">
        <v>0</v>
      </c>
      <c r="E1465">
        <v>22</v>
      </c>
      <c r="F1465">
        <v>1</v>
      </c>
      <c r="G1465">
        <v>0</v>
      </c>
      <c r="H1465">
        <v>0</v>
      </c>
      <c r="I1465">
        <v>0</v>
      </c>
      <c r="J1465">
        <v>0</v>
      </c>
      <c r="K1465">
        <v>0</v>
      </c>
    </row>
    <row r="1466" spans="1:11" x14ac:dyDescent="0.2">
      <c r="A1466" t="s">
        <v>4286</v>
      </c>
      <c r="B1466">
        <v>0</v>
      </c>
      <c r="C1466">
        <v>0</v>
      </c>
      <c r="D1466">
        <v>0</v>
      </c>
      <c r="E1466">
        <v>3</v>
      </c>
      <c r="F1466">
        <v>0</v>
      </c>
      <c r="G1466">
        <v>0</v>
      </c>
      <c r="H1466">
        <v>0</v>
      </c>
      <c r="I1466">
        <v>0</v>
      </c>
      <c r="J1466">
        <v>0</v>
      </c>
      <c r="K1466">
        <v>0</v>
      </c>
    </row>
    <row r="1467" spans="1:11" x14ac:dyDescent="0.2">
      <c r="A1467" t="s">
        <v>4287</v>
      </c>
      <c r="B1467">
        <v>0</v>
      </c>
      <c r="C1467">
        <v>0</v>
      </c>
      <c r="D1467">
        <v>0</v>
      </c>
      <c r="E1467">
        <v>1</v>
      </c>
      <c r="F1467">
        <v>0</v>
      </c>
      <c r="G1467">
        <v>0</v>
      </c>
      <c r="H1467">
        <v>0</v>
      </c>
      <c r="I1467">
        <v>0</v>
      </c>
      <c r="J1467">
        <v>0</v>
      </c>
      <c r="K1467">
        <v>0</v>
      </c>
    </row>
    <row r="1468" spans="1:11" x14ac:dyDescent="0.2">
      <c r="A1468" t="s">
        <v>4288</v>
      </c>
      <c r="B1468">
        <v>0</v>
      </c>
      <c r="C1468">
        <v>0</v>
      </c>
      <c r="D1468">
        <v>0</v>
      </c>
      <c r="E1468">
        <v>0</v>
      </c>
      <c r="F1468">
        <v>0</v>
      </c>
      <c r="G1468">
        <v>0</v>
      </c>
      <c r="H1468">
        <v>0</v>
      </c>
      <c r="I1468">
        <v>0</v>
      </c>
      <c r="J1468">
        <v>0</v>
      </c>
      <c r="K1468">
        <v>0</v>
      </c>
    </row>
    <row r="1469" spans="1:11" x14ac:dyDescent="0.2">
      <c r="A1469" t="s">
        <v>4289</v>
      </c>
      <c r="B1469">
        <v>0</v>
      </c>
      <c r="C1469">
        <v>0</v>
      </c>
      <c r="D1469">
        <v>0</v>
      </c>
      <c r="E1469">
        <v>0</v>
      </c>
      <c r="F1469">
        <v>0</v>
      </c>
      <c r="G1469">
        <v>0</v>
      </c>
      <c r="H1469">
        <v>0</v>
      </c>
      <c r="I1469">
        <v>0</v>
      </c>
      <c r="J1469">
        <v>0</v>
      </c>
      <c r="K1469">
        <v>0</v>
      </c>
    </row>
    <row r="1470" spans="1:11" x14ac:dyDescent="0.2">
      <c r="A1470" t="s">
        <v>4290</v>
      </c>
      <c r="B1470">
        <v>0</v>
      </c>
      <c r="C1470">
        <v>0</v>
      </c>
      <c r="D1470">
        <v>0</v>
      </c>
      <c r="E1470">
        <v>0</v>
      </c>
      <c r="F1470">
        <v>0</v>
      </c>
      <c r="G1470">
        <v>0</v>
      </c>
      <c r="H1470">
        <v>0</v>
      </c>
      <c r="I1470">
        <v>0</v>
      </c>
      <c r="J1470">
        <v>0</v>
      </c>
      <c r="K1470">
        <v>0</v>
      </c>
    </row>
    <row r="1471" spans="1:11" x14ac:dyDescent="0.2">
      <c r="A1471" t="s">
        <v>4291</v>
      </c>
      <c r="B1471">
        <v>0</v>
      </c>
      <c r="C1471">
        <v>0</v>
      </c>
      <c r="D1471">
        <v>0</v>
      </c>
      <c r="E1471">
        <v>0</v>
      </c>
      <c r="F1471">
        <v>0</v>
      </c>
      <c r="G1471">
        <v>0</v>
      </c>
      <c r="H1471">
        <v>0</v>
      </c>
      <c r="I1471">
        <v>0</v>
      </c>
      <c r="J1471">
        <v>0</v>
      </c>
      <c r="K1471">
        <v>0</v>
      </c>
    </row>
    <row r="1472" spans="1:11" x14ac:dyDescent="0.2">
      <c r="A1472" t="s">
        <v>4292</v>
      </c>
      <c r="B1472">
        <v>0</v>
      </c>
      <c r="C1472">
        <v>0</v>
      </c>
      <c r="D1472">
        <v>0</v>
      </c>
      <c r="E1472">
        <v>0</v>
      </c>
      <c r="F1472">
        <v>0</v>
      </c>
      <c r="G1472">
        <v>0</v>
      </c>
      <c r="H1472">
        <v>0</v>
      </c>
      <c r="I1472">
        <v>0</v>
      </c>
      <c r="J1472">
        <v>0</v>
      </c>
      <c r="K1472">
        <v>0</v>
      </c>
    </row>
    <row r="1473" spans="1:11" x14ac:dyDescent="0.2">
      <c r="A1473" t="s">
        <v>4293</v>
      </c>
      <c r="B1473">
        <v>0</v>
      </c>
      <c r="C1473">
        <v>0</v>
      </c>
      <c r="D1473">
        <v>0</v>
      </c>
      <c r="E1473">
        <v>0</v>
      </c>
      <c r="F1473">
        <v>0</v>
      </c>
      <c r="G1473">
        <v>0</v>
      </c>
      <c r="H1473">
        <v>0</v>
      </c>
      <c r="I1473">
        <v>0</v>
      </c>
      <c r="J1473">
        <v>0</v>
      </c>
      <c r="K1473">
        <v>0</v>
      </c>
    </row>
    <row r="1474" spans="1:11" x14ac:dyDescent="0.2">
      <c r="A1474" t="s">
        <v>4294</v>
      </c>
      <c r="B1474">
        <v>0</v>
      </c>
      <c r="C1474">
        <v>0</v>
      </c>
      <c r="D1474">
        <v>0</v>
      </c>
      <c r="E1474">
        <v>0</v>
      </c>
      <c r="F1474">
        <v>0</v>
      </c>
      <c r="G1474">
        <v>0</v>
      </c>
      <c r="H1474">
        <v>0</v>
      </c>
      <c r="I1474">
        <v>0</v>
      </c>
      <c r="J1474">
        <v>0</v>
      </c>
      <c r="K1474">
        <v>0</v>
      </c>
    </row>
    <row r="1475" spans="1:11" x14ac:dyDescent="0.2">
      <c r="A1475" t="s">
        <v>4295</v>
      </c>
      <c r="B1475">
        <v>0</v>
      </c>
      <c r="C1475">
        <v>0</v>
      </c>
      <c r="D1475">
        <v>0</v>
      </c>
      <c r="E1475">
        <v>0</v>
      </c>
      <c r="F1475">
        <v>0</v>
      </c>
      <c r="G1475">
        <v>0</v>
      </c>
      <c r="H1475">
        <v>0</v>
      </c>
      <c r="I1475">
        <v>0</v>
      </c>
      <c r="J1475">
        <v>0</v>
      </c>
      <c r="K1475">
        <v>0</v>
      </c>
    </row>
    <row r="1476" spans="1:11" x14ac:dyDescent="0.2">
      <c r="A1476" t="s">
        <v>4296</v>
      </c>
      <c r="B1476">
        <v>0</v>
      </c>
      <c r="C1476">
        <v>0</v>
      </c>
      <c r="D1476">
        <v>0</v>
      </c>
      <c r="E1476">
        <v>0</v>
      </c>
      <c r="F1476">
        <v>0</v>
      </c>
      <c r="G1476">
        <v>0</v>
      </c>
      <c r="H1476">
        <v>0</v>
      </c>
      <c r="I1476">
        <v>0</v>
      </c>
      <c r="J1476">
        <v>0</v>
      </c>
      <c r="K1476">
        <v>0</v>
      </c>
    </row>
    <row r="1477" spans="1:11" x14ac:dyDescent="0.2">
      <c r="A1477" t="s">
        <v>4297</v>
      </c>
      <c r="B1477">
        <v>0</v>
      </c>
      <c r="C1477">
        <v>0</v>
      </c>
      <c r="D1477">
        <v>0</v>
      </c>
      <c r="E1477">
        <v>33</v>
      </c>
      <c r="F1477">
        <v>1</v>
      </c>
      <c r="G1477">
        <v>0</v>
      </c>
      <c r="H1477">
        <v>0</v>
      </c>
      <c r="I1477">
        <v>0</v>
      </c>
      <c r="J1477">
        <v>0</v>
      </c>
      <c r="K1477">
        <v>0</v>
      </c>
    </row>
    <row r="1478" spans="1:11" x14ac:dyDescent="0.2">
      <c r="A1478" t="s">
        <v>4298</v>
      </c>
      <c r="B1478">
        <v>0</v>
      </c>
      <c r="C1478">
        <v>0</v>
      </c>
      <c r="D1478">
        <v>0</v>
      </c>
      <c r="E1478">
        <v>17</v>
      </c>
      <c r="F1478">
        <v>1</v>
      </c>
      <c r="G1478">
        <v>0</v>
      </c>
      <c r="H1478">
        <v>0</v>
      </c>
      <c r="I1478">
        <v>0</v>
      </c>
      <c r="J1478">
        <v>0</v>
      </c>
      <c r="K1478">
        <v>0</v>
      </c>
    </row>
    <row r="1479" spans="1:11" x14ac:dyDescent="0.2">
      <c r="A1479" t="s">
        <v>4299</v>
      </c>
      <c r="B1479">
        <v>0</v>
      </c>
      <c r="C1479">
        <v>0</v>
      </c>
      <c r="D1479">
        <v>1</v>
      </c>
      <c r="E1479">
        <v>55</v>
      </c>
      <c r="F1479">
        <v>2</v>
      </c>
      <c r="G1479">
        <v>0</v>
      </c>
      <c r="H1479">
        <v>0</v>
      </c>
      <c r="I1479">
        <v>0</v>
      </c>
      <c r="J1479">
        <v>0</v>
      </c>
      <c r="K1479">
        <v>0</v>
      </c>
    </row>
    <row r="1480" spans="1:11" x14ac:dyDescent="0.2">
      <c r="A1480" t="s">
        <v>4300</v>
      </c>
      <c r="B1480">
        <v>0</v>
      </c>
      <c r="C1480">
        <v>0</v>
      </c>
      <c r="D1480">
        <v>0</v>
      </c>
      <c r="E1480">
        <v>1</v>
      </c>
      <c r="F1480">
        <v>0</v>
      </c>
      <c r="G1480">
        <v>0</v>
      </c>
      <c r="H1480">
        <v>0</v>
      </c>
      <c r="I1480">
        <v>0</v>
      </c>
      <c r="J1480">
        <v>0</v>
      </c>
      <c r="K1480">
        <v>0</v>
      </c>
    </row>
    <row r="1481" spans="1:11" x14ac:dyDescent="0.2">
      <c r="A1481" t="s">
        <v>4301</v>
      </c>
      <c r="B1481">
        <v>0</v>
      </c>
      <c r="C1481">
        <v>0</v>
      </c>
      <c r="D1481">
        <v>1</v>
      </c>
      <c r="E1481">
        <v>129</v>
      </c>
      <c r="F1481">
        <v>3</v>
      </c>
      <c r="G1481">
        <v>0</v>
      </c>
      <c r="H1481">
        <v>0</v>
      </c>
      <c r="I1481">
        <v>0</v>
      </c>
      <c r="J1481">
        <v>0</v>
      </c>
      <c r="K1481">
        <v>0</v>
      </c>
    </row>
    <row r="1482" spans="1:11" x14ac:dyDescent="0.2">
      <c r="A1482" t="s">
        <v>4302</v>
      </c>
      <c r="B1482">
        <v>0</v>
      </c>
      <c r="C1482">
        <v>0</v>
      </c>
      <c r="D1482">
        <v>1</v>
      </c>
      <c r="E1482">
        <v>91</v>
      </c>
      <c r="F1482">
        <v>3</v>
      </c>
      <c r="G1482">
        <v>0</v>
      </c>
      <c r="H1482">
        <v>0</v>
      </c>
      <c r="I1482">
        <v>0</v>
      </c>
      <c r="J1482">
        <v>0</v>
      </c>
      <c r="K1482">
        <v>0</v>
      </c>
    </row>
    <row r="1483" spans="1:11" x14ac:dyDescent="0.2">
      <c r="A1483" t="s">
        <v>4303</v>
      </c>
      <c r="B1483">
        <v>0</v>
      </c>
      <c r="C1483">
        <v>0</v>
      </c>
      <c r="D1483">
        <v>3</v>
      </c>
      <c r="E1483">
        <v>102</v>
      </c>
      <c r="F1483">
        <v>11</v>
      </c>
      <c r="G1483">
        <v>0</v>
      </c>
      <c r="H1483">
        <v>0</v>
      </c>
      <c r="I1483">
        <v>0</v>
      </c>
      <c r="J1483">
        <v>0</v>
      </c>
      <c r="K1483">
        <v>0</v>
      </c>
    </row>
    <row r="1484" spans="1:11" x14ac:dyDescent="0.2">
      <c r="A1484" t="s">
        <v>4304</v>
      </c>
      <c r="B1484">
        <v>0</v>
      </c>
      <c r="C1484">
        <v>0</v>
      </c>
      <c r="D1484">
        <v>0</v>
      </c>
      <c r="E1484">
        <v>24</v>
      </c>
      <c r="F1484">
        <v>1</v>
      </c>
      <c r="G1484">
        <v>0</v>
      </c>
      <c r="H1484">
        <v>0</v>
      </c>
      <c r="I1484">
        <v>0</v>
      </c>
      <c r="J1484">
        <v>0</v>
      </c>
      <c r="K1484">
        <v>0</v>
      </c>
    </row>
    <row r="1485" spans="1:11" x14ac:dyDescent="0.2">
      <c r="A1485" t="s">
        <v>4305</v>
      </c>
      <c r="B1485">
        <v>0</v>
      </c>
      <c r="C1485">
        <v>0</v>
      </c>
      <c r="D1485">
        <v>2</v>
      </c>
      <c r="E1485">
        <v>405</v>
      </c>
      <c r="F1485">
        <v>9</v>
      </c>
      <c r="G1485">
        <v>0</v>
      </c>
      <c r="H1485">
        <v>0</v>
      </c>
      <c r="I1485">
        <v>0</v>
      </c>
      <c r="J1485">
        <v>0</v>
      </c>
      <c r="K1485">
        <v>0</v>
      </c>
    </row>
    <row r="1486" spans="1:11" x14ac:dyDescent="0.2">
      <c r="A1486" t="s">
        <v>4306</v>
      </c>
      <c r="B1486">
        <v>0</v>
      </c>
      <c r="C1486">
        <v>0</v>
      </c>
      <c r="D1486">
        <v>0</v>
      </c>
      <c r="E1486">
        <v>34</v>
      </c>
      <c r="F1486">
        <v>1</v>
      </c>
      <c r="G1486">
        <v>0</v>
      </c>
      <c r="H1486">
        <v>0</v>
      </c>
      <c r="I1486">
        <v>0</v>
      </c>
      <c r="J1486">
        <v>0</v>
      </c>
      <c r="K1486">
        <v>0</v>
      </c>
    </row>
    <row r="1487" spans="1:11" x14ac:dyDescent="0.2">
      <c r="A1487" t="s">
        <v>4307</v>
      </c>
      <c r="B1487">
        <v>0</v>
      </c>
      <c r="C1487">
        <v>0</v>
      </c>
      <c r="D1487">
        <v>10</v>
      </c>
      <c r="E1487">
        <v>357</v>
      </c>
      <c r="F1487">
        <v>38</v>
      </c>
      <c r="G1487">
        <v>0</v>
      </c>
      <c r="H1487">
        <v>0</v>
      </c>
      <c r="I1487">
        <v>0</v>
      </c>
      <c r="J1487">
        <v>0</v>
      </c>
      <c r="K1487">
        <v>0</v>
      </c>
    </row>
    <row r="1488" spans="1:11" x14ac:dyDescent="0.2">
      <c r="A1488" t="s">
        <v>4308</v>
      </c>
      <c r="B1488">
        <v>0</v>
      </c>
      <c r="C1488">
        <v>0</v>
      </c>
      <c r="D1488">
        <v>0</v>
      </c>
      <c r="E1488">
        <v>6</v>
      </c>
      <c r="F1488">
        <v>1</v>
      </c>
      <c r="G1488">
        <v>0</v>
      </c>
      <c r="H1488">
        <v>0</v>
      </c>
      <c r="I1488">
        <v>0</v>
      </c>
      <c r="J1488">
        <v>0</v>
      </c>
      <c r="K1488">
        <v>0</v>
      </c>
    </row>
    <row r="1489" spans="1:11" x14ac:dyDescent="0.2">
      <c r="A1489" t="s">
        <v>4309</v>
      </c>
      <c r="B1489">
        <v>0</v>
      </c>
      <c r="C1489">
        <v>0</v>
      </c>
      <c r="D1489">
        <v>0</v>
      </c>
      <c r="E1489">
        <v>0</v>
      </c>
      <c r="F1489">
        <v>0</v>
      </c>
      <c r="G1489">
        <v>0</v>
      </c>
      <c r="H1489">
        <v>0</v>
      </c>
      <c r="I1489">
        <v>0</v>
      </c>
      <c r="J1489">
        <v>0</v>
      </c>
      <c r="K1489">
        <v>0</v>
      </c>
    </row>
    <row r="1490" spans="1:11" x14ac:dyDescent="0.2">
      <c r="A1490" t="s">
        <v>4310</v>
      </c>
      <c r="B1490">
        <v>0</v>
      </c>
      <c r="C1490">
        <v>0</v>
      </c>
      <c r="D1490">
        <v>0</v>
      </c>
      <c r="E1490">
        <v>0</v>
      </c>
      <c r="F1490">
        <v>0</v>
      </c>
      <c r="G1490">
        <v>0</v>
      </c>
      <c r="H1490">
        <v>0</v>
      </c>
      <c r="I1490">
        <v>0</v>
      </c>
      <c r="J1490">
        <v>0</v>
      </c>
      <c r="K1490">
        <v>0</v>
      </c>
    </row>
    <row r="1491" spans="1:11" x14ac:dyDescent="0.2">
      <c r="A1491" t="s">
        <v>4311</v>
      </c>
      <c r="B1491">
        <v>0</v>
      </c>
      <c r="C1491">
        <v>0</v>
      </c>
      <c r="D1491">
        <v>0</v>
      </c>
      <c r="E1491">
        <v>0</v>
      </c>
      <c r="F1491">
        <v>0</v>
      </c>
      <c r="G1491">
        <v>0</v>
      </c>
      <c r="H1491">
        <v>0</v>
      </c>
      <c r="I1491">
        <v>0</v>
      </c>
      <c r="J1491">
        <v>0</v>
      </c>
      <c r="K1491">
        <v>0</v>
      </c>
    </row>
    <row r="1492" spans="1:11" x14ac:dyDescent="0.2">
      <c r="A1492" t="s">
        <v>4312</v>
      </c>
      <c r="B1492">
        <v>0</v>
      </c>
      <c r="C1492">
        <v>0</v>
      </c>
      <c r="D1492">
        <v>0</v>
      </c>
      <c r="E1492">
        <v>0</v>
      </c>
      <c r="F1492">
        <v>0</v>
      </c>
      <c r="G1492">
        <v>0</v>
      </c>
      <c r="H1492">
        <v>0</v>
      </c>
      <c r="I1492">
        <v>0</v>
      </c>
      <c r="J1492">
        <v>0</v>
      </c>
      <c r="K1492">
        <v>0</v>
      </c>
    </row>
    <row r="1493" spans="1:11" x14ac:dyDescent="0.2">
      <c r="A1493" t="s">
        <v>4313</v>
      </c>
      <c r="B1493">
        <v>0</v>
      </c>
      <c r="C1493">
        <v>0</v>
      </c>
      <c r="D1493">
        <v>0</v>
      </c>
      <c r="E1493">
        <v>0</v>
      </c>
      <c r="F1493">
        <v>0</v>
      </c>
      <c r="G1493">
        <v>0</v>
      </c>
      <c r="H1493">
        <v>0</v>
      </c>
      <c r="I1493">
        <v>0</v>
      </c>
      <c r="J1493">
        <v>0</v>
      </c>
      <c r="K1493">
        <v>0</v>
      </c>
    </row>
    <row r="1494" spans="1:11" x14ac:dyDescent="0.2">
      <c r="A1494" t="s">
        <v>4314</v>
      </c>
      <c r="B1494">
        <v>0</v>
      </c>
      <c r="C1494">
        <v>0</v>
      </c>
      <c r="D1494">
        <v>0</v>
      </c>
      <c r="E1494">
        <v>0</v>
      </c>
      <c r="F1494">
        <v>0</v>
      </c>
      <c r="G1494">
        <v>0</v>
      </c>
      <c r="H1494">
        <v>0</v>
      </c>
      <c r="I1494">
        <v>0</v>
      </c>
      <c r="J1494">
        <v>0</v>
      </c>
      <c r="K1494">
        <v>0</v>
      </c>
    </row>
    <row r="1495" spans="1:11" x14ac:dyDescent="0.2">
      <c r="A1495" t="s">
        <v>4315</v>
      </c>
      <c r="B1495">
        <v>0</v>
      </c>
      <c r="C1495">
        <v>0</v>
      </c>
      <c r="D1495">
        <v>0</v>
      </c>
      <c r="E1495">
        <v>0</v>
      </c>
      <c r="F1495">
        <v>0</v>
      </c>
      <c r="G1495">
        <v>0</v>
      </c>
      <c r="H1495">
        <v>0</v>
      </c>
      <c r="I1495">
        <v>0</v>
      </c>
      <c r="J1495">
        <v>0</v>
      </c>
      <c r="K1495">
        <v>0</v>
      </c>
    </row>
    <row r="1496" spans="1:11" x14ac:dyDescent="0.2">
      <c r="A1496" t="s">
        <v>4316</v>
      </c>
      <c r="B1496">
        <v>0</v>
      </c>
      <c r="C1496">
        <v>0</v>
      </c>
      <c r="D1496">
        <v>0</v>
      </c>
      <c r="E1496">
        <v>0</v>
      </c>
      <c r="F1496">
        <v>0</v>
      </c>
      <c r="G1496">
        <v>0</v>
      </c>
      <c r="H1496">
        <v>0</v>
      </c>
      <c r="I1496">
        <v>0</v>
      </c>
      <c r="J1496">
        <v>0</v>
      </c>
      <c r="K1496">
        <v>0</v>
      </c>
    </row>
    <row r="1497" spans="1:11" x14ac:dyDescent="0.2">
      <c r="A1497" t="s">
        <v>4317</v>
      </c>
      <c r="B1497">
        <v>0</v>
      </c>
      <c r="C1497">
        <v>0</v>
      </c>
      <c r="D1497">
        <v>0</v>
      </c>
      <c r="E1497">
        <v>0</v>
      </c>
      <c r="F1497">
        <v>0</v>
      </c>
      <c r="G1497">
        <v>0</v>
      </c>
      <c r="H1497">
        <v>0</v>
      </c>
      <c r="I1497">
        <v>0</v>
      </c>
      <c r="J1497">
        <v>0</v>
      </c>
      <c r="K1497">
        <v>0</v>
      </c>
    </row>
    <row r="1498" spans="1:11" x14ac:dyDescent="0.2">
      <c r="A1498" t="s">
        <v>4318</v>
      </c>
      <c r="B1498">
        <v>0</v>
      </c>
      <c r="C1498">
        <v>0</v>
      </c>
      <c r="D1498">
        <v>0</v>
      </c>
      <c r="E1498">
        <v>0</v>
      </c>
      <c r="F1498">
        <v>0</v>
      </c>
      <c r="G1498">
        <v>0</v>
      </c>
      <c r="H1498">
        <v>0</v>
      </c>
      <c r="I1498">
        <v>0</v>
      </c>
      <c r="J1498">
        <v>0</v>
      </c>
      <c r="K1498">
        <v>0</v>
      </c>
    </row>
    <row r="1499" spans="1:11" x14ac:dyDescent="0.2">
      <c r="A1499" t="s">
        <v>4319</v>
      </c>
      <c r="B1499">
        <v>0</v>
      </c>
      <c r="C1499">
        <v>0</v>
      </c>
      <c r="D1499">
        <v>0</v>
      </c>
      <c r="E1499">
        <v>0</v>
      </c>
      <c r="F1499">
        <v>0</v>
      </c>
      <c r="G1499">
        <v>0</v>
      </c>
      <c r="H1499">
        <v>0</v>
      </c>
      <c r="I1499">
        <v>0</v>
      </c>
      <c r="J1499">
        <v>0</v>
      </c>
      <c r="K1499">
        <v>0</v>
      </c>
    </row>
    <row r="1500" spans="1:11" x14ac:dyDescent="0.2">
      <c r="A1500" t="s">
        <v>4320</v>
      </c>
      <c r="B1500">
        <v>0</v>
      </c>
      <c r="C1500">
        <v>0</v>
      </c>
      <c r="D1500">
        <v>0</v>
      </c>
      <c r="E1500">
        <v>0</v>
      </c>
      <c r="F1500">
        <v>0</v>
      </c>
      <c r="G1500">
        <v>0</v>
      </c>
      <c r="H1500">
        <v>0</v>
      </c>
      <c r="I1500">
        <v>0</v>
      </c>
      <c r="J1500">
        <v>0</v>
      </c>
      <c r="K1500">
        <v>0</v>
      </c>
    </row>
    <row r="1501" spans="1:11" x14ac:dyDescent="0.2">
      <c r="A1501" t="s">
        <v>4321</v>
      </c>
      <c r="B1501">
        <v>0</v>
      </c>
      <c r="C1501">
        <v>0</v>
      </c>
      <c r="D1501">
        <v>0</v>
      </c>
      <c r="E1501">
        <v>0</v>
      </c>
      <c r="F1501">
        <v>0</v>
      </c>
      <c r="G1501">
        <v>0</v>
      </c>
      <c r="H1501">
        <v>0</v>
      </c>
      <c r="I1501">
        <v>0</v>
      </c>
      <c r="J1501">
        <v>0</v>
      </c>
      <c r="K1501">
        <v>0</v>
      </c>
    </row>
    <row r="1502" spans="1:11" x14ac:dyDescent="0.2">
      <c r="A1502" t="s">
        <v>4322</v>
      </c>
      <c r="B1502">
        <v>0</v>
      </c>
      <c r="C1502">
        <v>0</v>
      </c>
      <c r="D1502">
        <v>0</v>
      </c>
      <c r="E1502">
        <v>0</v>
      </c>
      <c r="F1502">
        <v>0</v>
      </c>
      <c r="G1502">
        <v>0</v>
      </c>
      <c r="H1502">
        <v>0</v>
      </c>
      <c r="I1502">
        <v>0</v>
      </c>
      <c r="J1502">
        <v>0</v>
      </c>
      <c r="K1502">
        <v>0</v>
      </c>
    </row>
    <row r="1503" spans="1:11" x14ac:dyDescent="0.2">
      <c r="A1503" t="s">
        <v>4323</v>
      </c>
      <c r="B1503">
        <v>0</v>
      </c>
      <c r="C1503">
        <v>0</v>
      </c>
      <c r="D1503">
        <v>0</v>
      </c>
      <c r="E1503">
        <v>0</v>
      </c>
      <c r="F1503">
        <v>0</v>
      </c>
      <c r="G1503">
        <v>0</v>
      </c>
      <c r="H1503">
        <v>0</v>
      </c>
      <c r="I1503">
        <v>0</v>
      </c>
      <c r="J1503">
        <v>0</v>
      </c>
      <c r="K1503">
        <v>0</v>
      </c>
    </row>
    <row r="1504" spans="1:11" x14ac:dyDescent="0.2">
      <c r="A1504" t="s">
        <v>4324</v>
      </c>
      <c r="B1504">
        <v>0</v>
      </c>
      <c r="C1504">
        <v>0</v>
      </c>
      <c r="D1504">
        <v>0</v>
      </c>
      <c r="E1504">
        <v>0</v>
      </c>
      <c r="F1504">
        <v>0</v>
      </c>
      <c r="G1504">
        <v>0</v>
      </c>
      <c r="H1504">
        <v>0</v>
      </c>
      <c r="I1504">
        <v>0</v>
      </c>
      <c r="J1504">
        <v>0</v>
      </c>
      <c r="K1504">
        <v>0</v>
      </c>
    </row>
    <row r="1505" spans="1:11" x14ac:dyDescent="0.2">
      <c r="A1505" t="s">
        <v>4325</v>
      </c>
      <c r="B1505">
        <v>0</v>
      </c>
      <c r="C1505">
        <v>0</v>
      </c>
      <c r="D1505">
        <v>0</v>
      </c>
      <c r="E1505">
        <v>0</v>
      </c>
      <c r="F1505">
        <v>0</v>
      </c>
      <c r="G1505">
        <v>0</v>
      </c>
      <c r="H1505">
        <v>0</v>
      </c>
      <c r="I1505">
        <v>0</v>
      </c>
      <c r="J1505">
        <v>0</v>
      </c>
      <c r="K1505">
        <v>0</v>
      </c>
    </row>
    <row r="1506" spans="1:11" x14ac:dyDescent="0.2">
      <c r="A1506" t="s">
        <v>4326</v>
      </c>
      <c r="B1506">
        <v>0</v>
      </c>
      <c r="C1506">
        <v>0</v>
      </c>
      <c r="D1506">
        <v>0</v>
      </c>
      <c r="E1506">
        <v>0</v>
      </c>
      <c r="F1506">
        <v>0</v>
      </c>
      <c r="G1506">
        <v>0</v>
      </c>
      <c r="H1506">
        <v>0</v>
      </c>
      <c r="I1506">
        <v>0</v>
      </c>
      <c r="J1506">
        <v>0</v>
      </c>
      <c r="K1506">
        <v>0</v>
      </c>
    </row>
    <row r="1507" spans="1:11" x14ac:dyDescent="0.2">
      <c r="A1507" t="s">
        <v>4327</v>
      </c>
      <c r="B1507">
        <v>0</v>
      </c>
      <c r="C1507">
        <v>0</v>
      </c>
      <c r="D1507">
        <v>0</v>
      </c>
      <c r="E1507">
        <v>0</v>
      </c>
      <c r="F1507">
        <v>0</v>
      </c>
      <c r="G1507">
        <v>0</v>
      </c>
      <c r="H1507">
        <v>0</v>
      </c>
      <c r="I1507">
        <v>0</v>
      </c>
      <c r="J1507">
        <v>0</v>
      </c>
      <c r="K1507">
        <v>0</v>
      </c>
    </row>
    <row r="1508" spans="1:11" x14ac:dyDescent="0.2">
      <c r="A1508" t="s">
        <v>4328</v>
      </c>
      <c r="B1508">
        <v>0</v>
      </c>
      <c r="C1508">
        <v>0</v>
      </c>
      <c r="D1508">
        <v>0</v>
      </c>
      <c r="E1508">
        <v>0</v>
      </c>
      <c r="F1508">
        <v>0</v>
      </c>
      <c r="G1508">
        <v>0</v>
      </c>
      <c r="H1508">
        <v>0</v>
      </c>
      <c r="I1508">
        <v>0</v>
      </c>
      <c r="J1508">
        <v>0</v>
      </c>
      <c r="K1508">
        <v>0</v>
      </c>
    </row>
    <row r="1509" spans="1:11" x14ac:dyDescent="0.2">
      <c r="A1509" t="s">
        <v>4329</v>
      </c>
      <c r="B1509">
        <v>0</v>
      </c>
      <c r="C1509">
        <v>0</v>
      </c>
      <c r="D1509">
        <v>0</v>
      </c>
      <c r="E1509">
        <v>0</v>
      </c>
      <c r="F1509">
        <v>0</v>
      </c>
      <c r="G1509">
        <v>0</v>
      </c>
      <c r="H1509">
        <v>0</v>
      </c>
      <c r="I1509">
        <v>0</v>
      </c>
      <c r="J1509">
        <v>0</v>
      </c>
      <c r="K1509">
        <v>0</v>
      </c>
    </row>
    <row r="1510" spans="1:11" x14ac:dyDescent="0.2">
      <c r="A1510" t="s">
        <v>4330</v>
      </c>
      <c r="B1510">
        <v>0</v>
      </c>
      <c r="C1510">
        <v>0</v>
      </c>
      <c r="D1510">
        <v>0</v>
      </c>
      <c r="E1510">
        <v>0</v>
      </c>
      <c r="F1510">
        <v>0</v>
      </c>
      <c r="G1510">
        <v>0</v>
      </c>
      <c r="H1510">
        <v>0</v>
      </c>
      <c r="I1510">
        <v>0</v>
      </c>
      <c r="J1510">
        <v>0</v>
      </c>
      <c r="K1510">
        <v>0</v>
      </c>
    </row>
    <row r="1511" spans="1:11" x14ac:dyDescent="0.2">
      <c r="A1511" t="s">
        <v>4331</v>
      </c>
      <c r="B1511">
        <v>0</v>
      </c>
      <c r="C1511">
        <v>0</v>
      </c>
      <c r="D1511">
        <v>0</v>
      </c>
      <c r="E1511">
        <v>0</v>
      </c>
      <c r="F1511">
        <v>0</v>
      </c>
      <c r="G1511">
        <v>0</v>
      </c>
      <c r="H1511">
        <v>0</v>
      </c>
      <c r="I1511">
        <v>0</v>
      </c>
      <c r="J1511">
        <v>0</v>
      </c>
      <c r="K1511">
        <v>0</v>
      </c>
    </row>
    <row r="1512" spans="1:11" x14ac:dyDescent="0.2">
      <c r="A1512" t="s">
        <v>4332</v>
      </c>
      <c r="B1512">
        <v>0</v>
      </c>
      <c r="C1512">
        <v>0</v>
      </c>
      <c r="D1512">
        <v>0</v>
      </c>
      <c r="E1512">
        <v>0</v>
      </c>
      <c r="F1512">
        <v>0</v>
      </c>
      <c r="G1512">
        <v>0</v>
      </c>
      <c r="H1512">
        <v>0</v>
      </c>
      <c r="I1512">
        <v>0</v>
      </c>
      <c r="J1512">
        <v>0</v>
      </c>
      <c r="K1512">
        <v>0</v>
      </c>
    </row>
    <row r="1513" spans="1:11" x14ac:dyDescent="0.2">
      <c r="A1513" t="s">
        <v>4333</v>
      </c>
      <c r="B1513">
        <v>0</v>
      </c>
      <c r="C1513">
        <v>0</v>
      </c>
      <c r="D1513">
        <v>0</v>
      </c>
      <c r="E1513">
        <v>0</v>
      </c>
      <c r="F1513">
        <v>0</v>
      </c>
      <c r="G1513">
        <v>0</v>
      </c>
      <c r="H1513">
        <v>0</v>
      </c>
      <c r="I1513">
        <v>0</v>
      </c>
      <c r="J1513">
        <v>0</v>
      </c>
      <c r="K1513">
        <v>0</v>
      </c>
    </row>
    <row r="1514" spans="1:11" x14ac:dyDescent="0.2">
      <c r="A1514" t="s">
        <v>4334</v>
      </c>
      <c r="B1514">
        <v>0</v>
      </c>
      <c r="C1514">
        <v>0</v>
      </c>
      <c r="D1514">
        <v>0</v>
      </c>
      <c r="E1514">
        <v>0</v>
      </c>
      <c r="F1514">
        <v>0</v>
      </c>
      <c r="G1514">
        <v>0</v>
      </c>
      <c r="H1514">
        <v>0</v>
      </c>
      <c r="I1514">
        <v>0</v>
      </c>
      <c r="J1514">
        <v>0</v>
      </c>
      <c r="K1514">
        <v>0</v>
      </c>
    </row>
    <row r="1515" spans="1:11" x14ac:dyDescent="0.2">
      <c r="A1515" t="s">
        <v>4335</v>
      </c>
      <c r="B1515">
        <v>0</v>
      </c>
      <c r="C1515">
        <v>0</v>
      </c>
      <c r="D1515">
        <v>0</v>
      </c>
      <c r="E1515">
        <v>0</v>
      </c>
      <c r="F1515">
        <v>0</v>
      </c>
      <c r="G1515">
        <v>0</v>
      </c>
      <c r="H1515">
        <v>0</v>
      </c>
      <c r="I1515">
        <v>0</v>
      </c>
      <c r="J1515">
        <v>0</v>
      </c>
      <c r="K1515">
        <v>0</v>
      </c>
    </row>
    <row r="1516" spans="1:11" x14ac:dyDescent="0.2">
      <c r="A1516" t="s">
        <v>4336</v>
      </c>
      <c r="B1516">
        <v>0</v>
      </c>
      <c r="C1516">
        <v>0</v>
      </c>
      <c r="D1516">
        <v>0</v>
      </c>
      <c r="E1516">
        <v>0</v>
      </c>
      <c r="F1516">
        <v>0</v>
      </c>
      <c r="G1516">
        <v>0</v>
      </c>
      <c r="H1516">
        <v>0</v>
      </c>
      <c r="I1516">
        <v>0</v>
      </c>
      <c r="J1516">
        <v>0</v>
      </c>
      <c r="K1516">
        <v>0</v>
      </c>
    </row>
    <row r="1517" spans="1:11" x14ac:dyDescent="0.2">
      <c r="A1517" t="s">
        <v>4337</v>
      </c>
      <c r="B1517">
        <v>0</v>
      </c>
      <c r="C1517">
        <v>0</v>
      </c>
      <c r="D1517">
        <v>0</v>
      </c>
      <c r="E1517">
        <v>0</v>
      </c>
      <c r="F1517">
        <v>0</v>
      </c>
      <c r="G1517">
        <v>0</v>
      </c>
      <c r="H1517">
        <v>0</v>
      </c>
      <c r="I1517">
        <v>0</v>
      </c>
      <c r="J1517">
        <v>0</v>
      </c>
      <c r="K1517">
        <v>0</v>
      </c>
    </row>
    <row r="1518" spans="1:11" x14ac:dyDescent="0.2">
      <c r="A1518" t="s">
        <v>4338</v>
      </c>
      <c r="B1518">
        <v>0</v>
      </c>
      <c r="C1518">
        <v>0</v>
      </c>
      <c r="D1518">
        <v>0</v>
      </c>
      <c r="E1518">
        <v>0</v>
      </c>
      <c r="F1518">
        <v>0</v>
      </c>
      <c r="G1518">
        <v>0</v>
      </c>
      <c r="H1518">
        <v>0</v>
      </c>
      <c r="I1518">
        <v>0</v>
      </c>
      <c r="J1518">
        <v>0</v>
      </c>
      <c r="K1518">
        <v>0</v>
      </c>
    </row>
    <row r="1519" spans="1:11" x14ac:dyDescent="0.2">
      <c r="A1519" t="s">
        <v>4339</v>
      </c>
      <c r="B1519">
        <v>0</v>
      </c>
      <c r="C1519">
        <v>0</v>
      </c>
      <c r="D1519">
        <v>0</v>
      </c>
      <c r="E1519">
        <v>0</v>
      </c>
      <c r="F1519">
        <v>0</v>
      </c>
      <c r="G1519">
        <v>0</v>
      </c>
      <c r="H1519">
        <v>0</v>
      </c>
      <c r="I1519">
        <v>0</v>
      </c>
      <c r="J1519">
        <v>0</v>
      </c>
      <c r="K1519">
        <v>0</v>
      </c>
    </row>
    <row r="1520" spans="1:11" x14ac:dyDescent="0.2">
      <c r="A1520" t="s">
        <v>4340</v>
      </c>
      <c r="B1520">
        <v>0</v>
      </c>
      <c r="C1520">
        <v>0</v>
      </c>
      <c r="D1520">
        <v>0</v>
      </c>
      <c r="E1520">
        <v>0</v>
      </c>
      <c r="F1520">
        <v>0</v>
      </c>
      <c r="G1520">
        <v>0</v>
      </c>
      <c r="H1520">
        <v>0</v>
      </c>
      <c r="I1520">
        <v>0</v>
      </c>
      <c r="J1520">
        <v>0</v>
      </c>
      <c r="K1520">
        <v>0</v>
      </c>
    </row>
    <row r="1521" spans="1:11" x14ac:dyDescent="0.2">
      <c r="A1521" t="s">
        <v>4341</v>
      </c>
      <c r="B1521">
        <v>0</v>
      </c>
      <c r="C1521">
        <v>0</v>
      </c>
      <c r="D1521">
        <v>0</v>
      </c>
      <c r="E1521">
        <v>0</v>
      </c>
      <c r="F1521">
        <v>0</v>
      </c>
      <c r="G1521">
        <v>0</v>
      </c>
      <c r="H1521">
        <v>0</v>
      </c>
      <c r="I1521">
        <v>0</v>
      </c>
      <c r="J1521">
        <v>0</v>
      </c>
      <c r="K1521">
        <v>0</v>
      </c>
    </row>
    <row r="1522" spans="1:11" x14ac:dyDescent="0.2">
      <c r="A1522" t="s">
        <v>4342</v>
      </c>
      <c r="B1522">
        <v>0</v>
      </c>
      <c r="C1522">
        <v>0</v>
      </c>
      <c r="D1522">
        <v>0</v>
      </c>
      <c r="E1522">
        <v>0</v>
      </c>
      <c r="F1522">
        <v>0</v>
      </c>
      <c r="G1522">
        <v>0</v>
      </c>
      <c r="H1522">
        <v>0</v>
      </c>
      <c r="I1522">
        <v>0</v>
      </c>
      <c r="J1522">
        <v>0</v>
      </c>
      <c r="K1522">
        <v>0</v>
      </c>
    </row>
    <row r="1523" spans="1:11" x14ac:dyDescent="0.2">
      <c r="A1523" t="s">
        <v>4343</v>
      </c>
      <c r="B1523">
        <v>0</v>
      </c>
      <c r="C1523">
        <v>0</v>
      </c>
      <c r="D1523">
        <v>0</v>
      </c>
      <c r="E1523">
        <v>0</v>
      </c>
      <c r="F1523">
        <v>0</v>
      </c>
      <c r="G1523">
        <v>0</v>
      </c>
      <c r="H1523">
        <v>0</v>
      </c>
      <c r="I1523">
        <v>0</v>
      </c>
      <c r="J1523">
        <v>0</v>
      </c>
      <c r="K1523">
        <v>0</v>
      </c>
    </row>
    <row r="1524" spans="1:11" x14ac:dyDescent="0.2">
      <c r="A1524" t="s">
        <v>1728</v>
      </c>
      <c r="B1524">
        <v>0</v>
      </c>
      <c r="C1524">
        <v>0</v>
      </c>
      <c r="D1524">
        <v>0</v>
      </c>
      <c r="E1524">
        <v>0</v>
      </c>
      <c r="F1524">
        <v>0</v>
      </c>
      <c r="G1524">
        <v>0</v>
      </c>
      <c r="H1524">
        <v>0</v>
      </c>
      <c r="I1524">
        <v>0</v>
      </c>
      <c r="J1524">
        <v>0</v>
      </c>
      <c r="K1524">
        <v>0</v>
      </c>
    </row>
    <row r="1525" spans="1:11" x14ac:dyDescent="0.2">
      <c r="A1525" t="s">
        <v>1730</v>
      </c>
      <c r="B1525">
        <v>0</v>
      </c>
      <c r="C1525">
        <v>0</v>
      </c>
      <c r="D1525">
        <v>1</v>
      </c>
      <c r="E1525">
        <v>28</v>
      </c>
      <c r="F1525">
        <v>3</v>
      </c>
      <c r="G1525">
        <v>0</v>
      </c>
      <c r="H1525">
        <v>0</v>
      </c>
      <c r="I1525">
        <v>0</v>
      </c>
      <c r="J1525">
        <v>0</v>
      </c>
      <c r="K1525">
        <v>0</v>
      </c>
    </row>
    <row r="1526" spans="1:11" x14ac:dyDescent="0.2">
      <c r="A1526" t="s">
        <v>1733</v>
      </c>
      <c r="B1526">
        <v>0</v>
      </c>
      <c r="C1526">
        <v>0</v>
      </c>
      <c r="D1526">
        <v>0</v>
      </c>
      <c r="E1526">
        <v>0</v>
      </c>
      <c r="F1526">
        <v>0</v>
      </c>
      <c r="G1526">
        <v>0</v>
      </c>
      <c r="H1526">
        <v>0</v>
      </c>
      <c r="I1526">
        <v>0</v>
      </c>
      <c r="J1526">
        <v>0</v>
      </c>
      <c r="K1526">
        <v>0</v>
      </c>
    </row>
    <row r="1527" spans="1:11" x14ac:dyDescent="0.2">
      <c r="A1527" t="s">
        <v>1738</v>
      </c>
      <c r="B1527">
        <v>0</v>
      </c>
      <c r="C1527">
        <v>0</v>
      </c>
      <c r="D1527">
        <v>0</v>
      </c>
      <c r="E1527">
        <v>0</v>
      </c>
      <c r="F1527">
        <v>0</v>
      </c>
      <c r="G1527">
        <v>0</v>
      </c>
      <c r="H1527">
        <v>0</v>
      </c>
      <c r="I1527">
        <v>0</v>
      </c>
      <c r="J1527">
        <v>0</v>
      </c>
      <c r="K1527">
        <v>0</v>
      </c>
    </row>
    <row r="1528" spans="1:11" x14ac:dyDescent="0.2">
      <c r="A1528" t="s">
        <v>1744</v>
      </c>
      <c r="B1528">
        <v>0</v>
      </c>
      <c r="C1528">
        <v>0</v>
      </c>
      <c r="D1528">
        <v>0</v>
      </c>
      <c r="E1528">
        <v>0</v>
      </c>
      <c r="F1528">
        <v>0</v>
      </c>
      <c r="G1528">
        <v>0</v>
      </c>
      <c r="H1528">
        <v>0</v>
      </c>
      <c r="I1528">
        <v>0</v>
      </c>
      <c r="J1528">
        <v>0</v>
      </c>
      <c r="K1528">
        <v>0</v>
      </c>
    </row>
    <row r="1529" spans="1:11" x14ac:dyDescent="0.2">
      <c r="A1529" t="s">
        <v>1747</v>
      </c>
      <c r="B1529">
        <v>0</v>
      </c>
      <c r="C1529">
        <v>0</v>
      </c>
      <c r="D1529">
        <v>0</v>
      </c>
      <c r="E1529">
        <v>0</v>
      </c>
      <c r="F1529">
        <v>0</v>
      </c>
      <c r="G1529">
        <v>0</v>
      </c>
      <c r="H1529">
        <v>0</v>
      </c>
      <c r="I1529">
        <v>0</v>
      </c>
      <c r="J1529">
        <v>0</v>
      </c>
      <c r="K1529">
        <v>0</v>
      </c>
    </row>
    <row r="1530" spans="1:11" x14ac:dyDescent="0.2">
      <c r="A1530" t="s">
        <v>1751</v>
      </c>
      <c r="B1530">
        <v>0</v>
      </c>
      <c r="C1530">
        <v>0</v>
      </c>
      <c r="D1530">
        <v>0</v>
      </c>
      <c r="E1530">
        <v>0</v>
      </c>
      <c r="F1530">
        <v>0</v>
      </c>
      <c r="G1530">
        <v>0</v>
      </c>
      <c r="H1530">
        <v>0</v>
      </c>
      <c r="I1530">
        <v>0</v>
      </c>
      <c r="J1530">
        <v>0</v>
      </c>
      <c r="K1530">
        <v>0</v>
      </c>
    </row>
    <row r="1531" spans="1:11" x14ac:dyDescent="0.2">
      <c r="A1531" t="s">
        <v>1755</v>
      </c>
      <c r="B1531">
        <v>0</v>
      </c>
      <c r="C1531">
        <v>0</v>
      </c>
      <c r="D1531">
        <v>0</v>
      </c>
      <c r="E1531">
        <v>22</v>
      </c>
      <c r="F1531">
        <v>1</v>
      </c>
      <c r="G1531">
        <v>0</v>
      </c>
      <c r="H1531">
        <v>0</v>
      </c>
      <c r="I1531">
        <v>0</v>
      </c>
      <c r="J1531">
        <v>0</v>
      </c>
      <c r="K1531">
        <v>0</v>
      </c>
    </row>
    <row r="1532" spans="1:11" x14ac:dyDescent="0.2">
      <c r="A1532" t="s">
        <v>1757</v>
      </c>
      <c r="B1532">
        <v>0</v>
      </c>
      <c r="C1532">
        <v>0</v>
      </c>
      <c r="D1532">
        <v>0</v>
      </c>
      <c r="E1532">
        <v>13</v>
      </c>
      <c r="F1532">
        <v>2</v>
      </c>
      <c r="G1532">
        <v>0</v>
      </c>
      <c r="H1532">
        <v>0</v>
      </c>
      <c r="I1532">
        <v>0</v>
      </c>
      <c r="J1532">
        <v>0</v>
      </c>
      <c r="K1532">
        <v>0</v>
      </c>
    </row>
    <row r="1533" spans="1:11" x14ac:dyDescent="0.2">
      <c r="A1533" t="s">
        <v>1761</v>
      </c>
      <c r="B1533">
        <v>0</v>
      </c>
      <c r="C1533">
        <v>0</v>
      </c>
      <c r="D1533">
        <v>0</v>
      </c>
      <c r="E1533">
        <v>0</v>
      </c>
      <c r="F1533">
        <v>0</v>
      </c>
      <c r="G1533">
        <v>0</v>
      </c>
      <c r="H1533">
        <v>0</v>
      </c>
      <c r="I1533">
        <v>0</v>
      </c>
      <c r="J1533">
        <v>0</v>
      </c>
      <c r="K1533">
        <v>0</v>
      </c>
    </row>
    <row r="1534" spans="1:11" x14ac:dyDescent="0.2">
      <c r="A1534" t="s">
        <v>1764</v>
      </c>
      <c r="B1534">
        <v>0</v>
      </c>
      <c r="C1534">
        <v>0</v>
      </c>
      <c r="D1534">
        <v>0</v>
      </c>
      <c r="E1534">
        <v>0</v>
      </c>
      <c r="F1534">
        <v>0</v>
      </c>
      <c r="G1534">
        <v>0</v>
      </c>
      <c r="H1534">
        <v>0</v>
      </c>
      <c r="I1534">
        <v>0</v>
      </c>
      <c r="J1534">
        <v>0</v>
      </c>
      <c r="K1534">
        <v>0</v>
      </c>
    </row>
    <row r="1535" spans="1:11" x14ac:dyDescent="0.2">
      <c r="A1535" t="s">
        <v>1770</v>
      </c>
      <c r="B1535">
        <v>0</v>
      </c>
      <c r="C1535">
        <v>0</v>
      </c>
      <c r="D1535">
        <v>4</v>
      </c>
      <c r="E1535">
        <v>842</v>
      </c>
      <c r="F1535">
        <v>14</v>
      </c>
      <c r="G1535">
        <v>0</v>
      </c>
      <c r="H1535">
        <v>0</v>
      </c>
      <c r="I1535">
        <v>0</v>
      </c>
      <c r="J1535">
        <v>0</v>
      </c>
      <c r="K1535">
        <v>0</v>
      </c>
    </row>
    <row r="1536" spans="1:11" x14ac:dyDescent="0.2">
      <c r="A1536" t="s">
        <v>1772</v>
      </c>
      <c r="B1536">
        <v>0</v>
      </c>
      <c r="C1536">
        <v>0</v>
      </c>
      <c r="D1536">
        <v>1</v>
      </c>
      <c r="E1536">
        <v>336</v>
      </c>
      <c r="F1536">
        <v>5</v>
      </c>
      <c r="G1536">
        <v>0</v>
      </c>
      <c r="H1536">
        <v>0</v>
      </c>
      <c r="I1536">
        <v>0</v>
      </c>
      <c r="J1536">
        <v>0</v>
      </c>
      <c r="K1536">
        <v>0</v>
      </c>
    </row>
    <row r="1537" spans="1:11" x14ac:dyDescent="0.2">
      <c r="A1537" t="s">
        <v>1774</v>
      </c>
      <c r="B1537">
        <v>0</v>
      </c>
      <c r="C1537">
        <v>0</v>
      </c>
      <c r="D1537">
        <v>0</v>
      </c>
      <c r="E1537">
        <v>61</v>
      </c>
      <c r="F1537">
        <v>1</v>
      </c>
      <c r="G1537">
        <v>0</v>
      </c>
      <c r="H1537">
        <v>0</v>
      </c>
      <c r="I1537">
        <v>0</v>
      </c>
      <c r="J1537">
        <v>0</v>
      </c>
      <c r="K1537">
        <v>0</v>
      </c>
    </row>
    <row r="1538" spans="1:11" x14ac:dyDescent="0.2">
      <c r="A1538" t="s">
        <v>1777</v>
      </c>
      <c r="B1538">
        <v>0</v>
      </c>
      <c r="C1538">
        <v>0</v>
      </c>
      <c r="D1538">
        <v>0</v>
      </c>
      <c r="E1538">
        <v>0</v>
      </c>
      <c r="F1538">
        <v>0</v>
      </c>
      <c r="G1538">
        <v>0</v>
      </c>
      <c r="H1538">
        <v>0</v>
      </c>
      <c r="I1538">
        <v>0</v>
      </c>
      <c r="J1538">
        <v>0</v>
      </c>
      <c r="K1538">
        <v>0</v>
      </c>
    </row>
    <row r="1539" spans="1:11" x14ac:dyDescent="0.2">
      <c r="A1539" t="s">
        <v>1782</v>
      </c>
      <c r="B1539">
        <v>0</v>
      </c>
      <c r="C1539">
        <v>0</v>
      </c>
      <c r="D1539">
        <v>0</v>
      </c>
      <c r="E1539">
        <v>0</v>
      </c>
      <c r="F1539">
        <v>0</v>
      </c>
      <c r="G1539">
        <v>0</v>
      </c>
      <c r="H1539">
        <v>0</v>
      </c>
      <c r="I1539">
        <v>0</v>
      </c>
      <c r="J1539">
        <v>0</v>
      </c>
      <c r="K1539">
        <v>0</v>
      </c>
    </row>
    <row r="1540" spans="1:11" x14ac:dyDescent="0.2">
      <c r="A1540" t="s">
        <v>1274</v>
      </c>
      <c r="B1540">
        <v>0</v>
      </c>
      <c r="C1540">
        <v>0</v>
      </c>
      <c r="D1540">
        <v>0</v>
      </c>
      <c r="E1540">
        <v>2</v>
      </c>
      <c r="F1540">
        <v>0</v>
      </c>
      <c r="G1540">
        <v>0</v>
      </c>
      <c r="H1540">
        <v>0</v>
      </c>
      <c r="I1540">
        <v>0</v>
      </c>
      <c r="J1540">
        <v>0</v>
      </c>
      <c r="K1540">
        <v>0</v>
      </c>
    </row>
    <row r="1541" spans="1:11" x14ac:dyDescent="0.2">
      <c r="A1541" t="s">
        <v>1277</v>
      </c>
      <c r="B1541">
        <v>0</v>
      </c>
      <c r="C1541">
        <v>0</v>
      </c>
      <c r="D1541">
        <v>0</v>
      </c>
      <c r="E1541">
        <v>15</v>
      </c>
      <c r="F1541">
        <v>2</v>
      </c>
      <c r="G1541">
        <v>0</v>
      </c>
      <c r="H1541">
        <v>0</v>
      </c>
      <c r="I1541">
        <v>0</v>
      </c>
      <c r="J1541">
        <v>0</v>
      </c>
      <c r="K1541">
        <v>0</v>
      </c>
    </row>
    <row r="1542" spans="1:11" x14ac:dyDescent="0.2">
      <c r="A1542" t="s">
        <v>1798</v>
      </c>
      <c r="B1542">
        <v>0</v>
      </c>
      <c r="C1542">
        <v>0</v>
      </c>
      <c r="D1542">
        <v>0</v>
      </c>
      <c r="E1542">
        <v>0</v>
      </c>
      <c r="F1542">
        <v>0</v>
      </c>
      <c r="G1542">
        <v>0</v>
      </c>
      <c r="H1542">
        <v>0</v>
      </c>
      <c r="I1542">
        <v>0</v>
      </c>
      <c r="J1542">
        <v>0</v>
      </c>
      <c r="K1542">
        <v>0</v>
      </c>
    </row>
    <row r="1543" spans="1:11" x14ac:dyDescent="0.2">
      <c r="A1543" t="s">
        <v>1803</v>
      </c>
      <c r="B1543">
        <v>0</v>
      </c>
      <c r="C1543">
        <v>0</v>
      </c>
      <c r="D1543">
        <v>0</v>
      </c>
      <c r="E1543">
        <v>0</v>
      </c>
      <c r="F1543">
        <v>0</v>
      </c>
      <c r="G1543">
        <v>0</v>
      </c>
      <c r="H1543">
        <v>0</v>
      </c>
      <c r="I1543">
        <v>0</v>
      </c>
      <c r="J1543">
        <v>0</v>
      </c>
      <c r="K1543">
        <v>0</v>
      </c>
    </row>
    <row r="1544" spans="1:11" x14ac:dyDescent="0.2">
      <c r="A1544" t="s">
        <v>1808</v>
      </c>
      <c r="B1544">
        <v>0</v>
      </c>
      <c r="C1544">
        <v>0</v>
      </c>
      <c r="D1544">
        <v>0</v>
      </c>
      <c r="E1544">
        <v>0</v>
      </c>
      <c r="F1544">
        <v>0</v>
      </c>
      <c r="G1544">
        <v>0</v>
      </c>
      <c r="H1544">
        <v>0</v>
      </c>
      <c r="I1544">
        <v>0</v>
      </c>
      <c r="J1544">
        <v>0</v>
      </c>
      <c r="K1544">
        <v>0</v>
      </c>
    </row>
    <row r="1545" spans="1:11" x14ac:dyDescent="0.2">
      <c r="A1545" t="s">
        <v>1813</v>
      </c>
      <c r="B1545">
        <v>0</v>
      </c>
      <c r="C1545">
        <v>0</v>
      </c>
      <c r="D1545">
        <v>0</v>
      </c>
      <c r="E1545">
        <v>0</v>
      </c>
      <c r="F1545">
        <v>0</v>
      </c>
      <c r="G1545">
        <v>0</v>
      </c>
      <c r="H1545">
        <v>0</v>
      </c>
      <c r="I1545">
        <v>0</v>
      </c>
      <c r="J1545">
        <v>0</v>
      </c>
      <c r="K1545">
        <v>0</v>
      </c>
    </row>
    <row r="1546" spans="1:11" x14ac:dyDescent="0.2">
      <c r="A1546" t="s">
        <v>1819</v>
      </c>
      <c r="B1546">
        <v>0</v>
      </c>
      <c r="C1546">
        <v>0</v>
      </c>
      <c r="D1546">
        <v>0</v>
      </c>
      <c r="E1546">
        <v>0</v>
      </c>
      <c r="F1546">
        <v>0</v>
      </c>
      <c r="G1546">
        <v>0</v>
      </c>
      <c r="H1546">
        <v>0</v>
      </c>
      <c r="I1546">
        <v>0</v>
      </c>
      <c r="J1546">
        <v>0</v>
      </c>
      <c r="K1546">
        <v>0</v>
      </c>
    </row>
    <row r="1547" spans="1:11" x14ac:dyDescent="0.2">
      <c r="A1547" t="s">
        <v>1826</v>
      </c>
      <c r="B1547">
        <v>0</v>
      </c>
      <c r="C1547">
        <v>0</v>
      </c>
      <c r="D1547">
        <v>0</v>
      </c>
      <c r="E1547">
        <v>0</v>
      </c>
      <c r="F1547">
        <v>0</v>
      </c>
      <c r="G1547">
        <v>0</v>
      </c>
      <c r="H1547">
        <v>0</v>
      </c>
      <c r="I1547">
        <v>0</v>
      </c>
      <c r="J1547">
        <v>0</v>
      </c>
      <c r="K1547">
        <v>0</v>
      </c>
    </row>
    <row r="1548" spans="1:11" x14ac:dyDescent="0.2">
      <c r="A1548" t="s">
        <v>1830</v>
      </c>
      <c r="B1548">
        <v>0</v>
      </c>
      <c r="C1548">
        <v>0</v>
      </c>
      <c r="D1548">
        <v>0</v>
      </c>
      <c r="E1548">
        <v>0</v>
      </c>
      <c r="F1548">
        <v>0</v>
      </c>
      <c r="G1548">
        <v>0</v>
      </c>
      <c r="H1548">
        <v>0</v>
      </c>
      <c r="I1548">
        <v>0</v>
      </c>
      <c r="J1548">
        <v>0</v>
      </c>
      <c r="K1548">
        <v>0</v>
      </c>
    </row>
    <row r="1549" spans="1:11" x14ac:dyDescent="0.2">
      <c r="A1549" t="s">
        <v>1836</v>
      </c>
      <c r="B1549">
        <v>0</v>
      </c>
      <c r="C1549">
        <v>0</v>
      </c>
      <c r="D1549">
        <v>0</v>
      </c>
      <c r="E1549">
        <v>0</v>
      </c>
      <c r="F1549">
        <v>0</v>
      </c>
      <c r="G1549">
        <v>0</v>
      </c>
      <c r="H1549">
        <v>0</v>
      </c>
      <c r="I1549">
        <v>0</v>
      </c>
      <c r="J1549">
        <v>0</v>
      </c>
      <c r="K1549">
        <v>0</v>
      </c>
    </row>
    <row r="1550" spans="1:11" x14ac:dyDescent="0.2">
      <c r="A1550" t="s">
        <v>1841</v>
      </c>
      <c r="B1550">
        <v>0</v>
      </c>
      <c r="C1550">
        <v>0</v>
      </c>
      <c r="D1550">
        <v>0</v>
      </c>
      <c r="E1550">
        <v>0</v>
      </c>
      <c r="F1550">
        <v>0</v>
      </c>
      <c r="G1550">
        <v>0</v>
      </c>
      <c r="H1550">
        <v>0</v>
      </c>
      <c r="I1550">
        <v>0</v>
      </c>
      <c r="J1550">
        <v>0</v>
      </c>
      <c r="K1550">
        <v>0</v>
      </c>
    </row>
    <row r="1551" spans="1:11" x14ac:dyDescent="0.2">
      <c r="A1551" t="s">
        <v>1842</v>
      </c>
      <c r="B1551">
        <v>0</v>
      </c>
      <c r="C1551">
        <v>0</v>
      </c>
      <c r="D1551">
        <v>5</v>
      </c>
      <c r="E1551">
        <v>672</v>
      </c>
      <c r="F1551">
        <v>18</v>
      </c>
      <c r="G1551">
        <v>0</v>
      </c>
      <c r="H1551">
        <v>0</v>
      </c>
      <c r="I1551">
        <v>0</v>
      </c>
      <c r="J1551">
        <v>0</v>
      </c>
      <c r="K1551">
        <v>0</v>
      </c>
    </row>
    <row r="1552" spans="1:11" x14ac:dyDescent="0.2">
      <c r="A1552" t="s">
        <v>1843</v>
      </c>
      <c r="B1552">
        <v>0</v>
      </c>
      <c r="C1552">
        <v>0</v>
      </c>
      <c r="D1552">
        <v>0</v>
      </c>
      <c r="E1552">
        <v>0</v>
      </c>
      <c r="F1552">
        <v>0</v>
      </c>
      <c r="G1552">
        <v>0</v>
      </c>
      <c r="H1552">
        <v>0</v>
      </c>
      <c r="I1552">
        <v>0</v>
      </c>
      <c r="J1552">
        <v>0</v>
      </c>
      <c r="K1552">
        <v>0</v>
      </c>
    </row>
    <row r="1553" spans="1:11" x14ac:dyDescent="0.2">
      <c r="A1553" t="s">
        <v>1846</v>
      </c>
      <c r="B1553">
        <v>0</v>
      </c>
      <c r="C1553">
        <v>0</v>
      </c>
      <c r="D1553">
        <v>0</v>
      </c>
      <c r="E1553">
        <v>0</v>
      </c>
      <c r="F1553">
        <v>0</v>
      </c>
      <c r="G1553">
        <v>0</v>
      </c>
      <c r="H1553">
        <v>0</v>
      </c>
      <c r="I1553">
        <v>0</v>
      </c>
      <c r="J1553">
        <v>0</v>
      </c>
      <c r="K1553">
        <v>0</v>
      </c>
    </row>
    <row r="1554" spans="1:11" x14ac:dyDescent="0.2">
      <c r="A1554" t="s">
        <v>1851</v>
      </c>
      <c r="B1554">
        <v>0</v>
      </c>
      <c r="C1554">
        <v>0</v>
      </c>
      <c r="D1554">
        <v>1</v>
      </c>
      <c r="E1554">
        <v>37</v>
      </c>
      <c r="F1554">
        <v>4</v>
      </c>
      <c r="G1554">
        <v>0</v>
      </c>
      <c r="H1554">
        <v>0</v>
      </c>
      <c r="I1554">
        <v>0</v>
      </c>
      <c r="J1554">
        <v>0</v>
      </c>
      <c r="K1554">
        <v>0</v>
      </c>
    </row>
    <row r="1555" spans="1:11" x14ac:dyDescent="0.2">
      <c r="A1555" t="s">
        <v>1857</v>
      </c>
      <c r="B1555">
        <v>0</v>
      </c>
      <c r="C1555">
        <v>0</v>
      </c>
      <c r="D1555">
        <v>0</v>
      </c>
      <c r="E1555">
        <v>0</v>
      </c>
      <c r="F1555">
        <v>0</v>
      </c>
      <c r="G1555">
        <v>0</v>
      </c>
      <c r="H1555">
        <v>0</v>
      </c>
      <c r="I1555">
        <v>0</v>
      </c>
      <c r="J1555">
        <v>0</v>
      </c>
      <c r="K1555">
        <v>0</v>
      </c>
    </row>
    <row r="1556" spans="1:11" x14ac:dyDescent="0.2">
      <c r="A1556" t="s">
        <v>1862</v>
      </c>
      <c r="B1556">
        <v>0</v>
      </c>
      <c r="C1556">
        <v>0</v>
      </c>
      <c r="D1556">
        <v>0</v>
      </c>
      <c r="E1556">
        <v>0</v>
      </c>
      <c r="F1556">
        <v>0</v>
      </c>
      <c r="G1556">
        <v>0</v>
      </c>
      <c r="H1556">
        <v>0</v>
      </c>
      <c r="I1556">
        <v>0</v>
      </c>
      <c r="J1556">
        <v>0</v>
      </c>
      <c r="K1556">
        <v>0</v>
      </c>
    </row>
    <row r="1557" spans="1:11" x14ac:dyDescent="0.2">
      <c r="A1557" t="s">
        <v>1867</v>
      </c>
      <c r="B1557">
        <v>0</v>
      </c>
      <c r="C1557">
        <v>0</v>
      </c>
      <c r="D1557">
        <v>0</v>
      </c>
      <c r="E1557">
        <v>0</v>
      </c>
      <c r="F1557">
        <v>0</v>
      </c>
      <c r="G1557">
        <v>0</v>
      </c>
      <c r="H1557">
        <v>0</v>
      </c>
      <c r="I1557">
        <v>0</v>
      </c>
      <c r="J1557">
        <v>0</v>
      </c>
      <c r="K1557">
        <v>0</v>
      </c>
    </row>
    <row r="1558" spans="1:11" x14ac:dyDescent="0.2">
      <c r="A1558" t="s">
        <v>1870</v>
      </c>
      <c r="B1558">
        <v>0</v>
      </c>
      <c r="C1558">
        <v>0</v>
      </c>
      <c r="D1558">
        <v>0</v>
      </c>
      <c r="E1558">
        <v>0</v>
      </c>
      <c r="F1558">
        <v>0</v>
      </c>
      <c r="G1558">
        <v>0</v>
      </c>
      <c r="H1558">
        <v>0</v>
      </c>
      <c r="I1558">
        <v>0</v>
      </c>
      <c r="J1558">
        <v>0</v>
      </c>
      <c r="K1558">
        <v>0</v>
      </c>
    </row>
    <row r="1559" spans="1:11" x14ac:dyDescent="0.2">
      <c r="A1559" t="s">
        <v>1874</v>
      </c>
      <c r="B1559">
        <v>0</v>
      </c>
      <c r="C1559">
        <v>0</v>
      </c>
      <c r="D1559">
        <v>0</v>
      </c>
      <c r="E1559">
        <v>62</v>
      </c>
      <c r="F1559">
        <v>2</v>
      </c>
      <c r="G1559">
        <v>0</v>
      </c>
      <c r="H1559">
        <v>0</v>
      </c>
      <c r="I1559">
        <v>0</v>
      </c>
      <c r="J1559">
        <v>0</v>
      </c>
      <c r="K1559">
        <v>0</v>
      </c>
    </row>
    <row r="1560" spans="1:11" x14ac:dyDescent="0.2">
      <c r="A1560" t="s">
        <v>1876</v>
      </c>
      <c r="B1560">
        <v>0</v>
      </c>
      <c r="C1560">
        <v>0</v>
      </c>
      <c r="D1560">
        <v>0</v>
      </c>
      <c r="E1560">
        <v>0</v>
      </c>
      <c r="F1560">
        <v>0</v>
      </c>
      <c r="G1560">
        <v>0</v>
      </c>
      <c r="H1560">
        <v>0</v>
      </c>
      <c r="I1560">
        <v>0</v>
      </c>
      <c r="J1560">
        <v>0</v>
      </c>
      <c r="K1560">
        <v>0</v>
      </c>
    </row>
    <row r="1561" spans="1:11" x14ac:dyDescent="0.2">
      <c r="A1561" t="s">
        <v>1881</v>
      </c>
      <c r="B1561">
        <v>0</v>
      </c>
      <c r="C1561">
        <v>0</v>
      </c>
      <c r="D1561">
        <v>0</v>
      </c>
      <c r="E1561">
        <v>0</v>
      </c>
      <c r="F1561">
        <v>0</v>
      </c>
      <c r="G1561">
        <v>0</v>
      </c>
      <c r="H1561">
        <v>0</v>
      </c>
      <c r="I1561">
        <v>0</v>
      </c>
      <c r="J1561">
        <v>0</v>
      </c>
      <c r="K1561">
        <v>0</v>
      </c>
    </row>
    <row r="1562" spans="1:11" x14ac:dyDescent="0.2">
      <c r="A1562" t="s">
        <v>1885</v>
      </c>
      <c r="B1562">
        <v>0</v>
      </c>
      <c r="C1562">
        <v>0</v>
      </c>
      <c r="D1562">
        <v>40</v>
      </c>
      <c r="E1562">
        <v>1411</v>
      </c>
      <c r="F1562">
        <v>156</v>
      </c>
      <c r="G1562">
        <v>0</v>
      </c>
      <c r="H1562">
        <v>0</v>
      </c>
      <c r="I1562">
        <v>0</v>
      </c>
      <c r="J1562">
        <v>0</v>
      </c>
      <c r="K1562">
        <v>0</v>
      </c>
    </row>
    <row r="1563" spans="1:11" x14ac:dyDescent="0.2">
      <c r="A1563" t="s">
        <v>1887</v>
      </c>
      <c r="B1563">
        <v>0</v>
      </c>
      <c r="C1563">
        <v>0</v>
      </c>
      <c r="D1563">
        <v>0</v>
      </c>
      <c r="E1563">
        <v>15</v>
      </c>
      <c r="F1563">
        <v>2</v>
      </c>
      <c r="G1563">
        <v>0</v>
      </c>
      <c r="H1563">
        <v>0</v>
      </c>
      <c r="I1563">
        <v>0</v>
      </c>
      <c r="J1563">
        <v>0</v>
      </c>
      <c r="K1563">
        <v>0</v>
      </c>
    </row>
    <row r="1564" spans="1:11" x14ac:dyDescent="0.2">
      <c r="A1564" t="s">
        <v>1893</v>
      </c>
      <c r="B1564">
        <v>0</v>
      </c>
      <c r="C1564">
        <v>0</v>
      </c>
      <c r="D1564">
        <v>3</v>
      </c>
      <c r="E1564">
        <v>106</v>
      </c>
      <c r="F1564">
        <v>13</v>
      </c>
      <c r="G1564">
        <v>0</v>
      </c>
      <c r="H1564">
        <v>0</v>
      </c>
      <c r="I1564">
        <v>0</v>
      </c>
      <c r="J1564">
        <v>0</v>
      </c>
      <c r="K1564">
        <v>0</v>
      </c>
    </row>
    <row r="1565" spans="1:11" x14ac:dyDescent="0.2">
      <c r="A1565" t="s">
        <v>1899</v>
      </c>
      <c r="B1565">
        <v>0</v>
      </c>
      <c r="C1565">
        <v>0</v>
      </c>
      <c r="D1565">
        <v>0</v>
      </c>
      <c r="E1565">
        <v>0</v>
      </c>
      <c r="F1565">
        <v>0</v>
      </c>
      <c r="G1565">
        <v>0</v>
      </c>
      <c r="H1565">
        <v>0</v>
      </c>
      <c r="I1565">
        <v>0</v>
      </c>
      <c r="J1565">
        <v>0</v>
      </c>
      <c r="K1565">
        <v>0</v>
      </c>
    </row>
    <row r="1566" spans="1:11" x14ac:dyDescent="0.2">
      <c r="A1566" t="s">
        <v>1906</v>
      </c>
      <c r="B1566">
        <v>0</v>
      </c>
      <c r="C1566">
        <v>0</v>
      </c>
      <c r="D1566">
        <v>0</v>
      </c>
      <c r="E1566">
        <v>0</v>
      </c>
      <c r="F1566">
        <v>0</v>
      </c>
      <c r="G1566">
        <v>0</v>
      </c>
      <c r="H1566">
        <v>0</v>
      </c>
      <c r="I1566">
        <v>0</v>
      </c>
      <c r="J1566">
        <v>0</v>
      </c>
      <c r="K1566">
        <v>0</v>
      </c>
    </row>
    <row r="1567" spans="1:11" x14ac:dyDescent="0.2">
      <c r="A1567" t="s">
        <v>1911</v>
      </c>
      <c r="B1567">
        <v>0</v>
      </c>
      <c r="C1567">
        <v>0</v>
      </c>
      <c r="D1567">
        <v>0</v>
      </c>
      <c r="E1567">
        <v>0</v>
      </c>
      <c r="F1567">
        <v>0</v>
      </c>
      <c r="G1567">
        <v>0</v>
      </c>
      <c r="H1567">
        <v>0</v>
      </c>
      <c r="I1567">
        <v>0</v>
      </c>
      <c r="J1567">
        <v>0</v>
      </c>
      <c r="K1567">
        <v>0</v>
      </c>
    </row>
    <row r="1568" spans="1:11" x14ac:dyDescent="0.2">
      <c r="A1568" t="s">
        <v>1917</v>
      </c>
      <c r="B1568">
        <v>0</v>
      </c>
      <c r="C1568">
        <v>0</v>
      </c>
      <c r="D1568">
        <v>0</v>
      </c>
      <c r="E1568">
        <v>5</v>
      </c>
      <c r="F1568">
        <v>0</v>
      </c>
      <c r="G1568">
        <v>0</v>
      </c>
      <c r="H1568">
        <v>0</v>
      </c>
      <c r="I1568">
        <v>0</v>
      </c>
      <c r="J1568">
        <v>0</v>
      </c>
      <c r="K1568">
        <v>0</v>
      </c>
    </row>
    <row r="1569" spans="1:11" x14ac:dyDescent="0.2">
      <c r="A1569" t="s">
        <v>1922</v>
      </c>
      <c r="B1569">
        <v>0</v>
      </c>
      <c r="C1569">
        <v>0</v>
      </c>
      <c r="D1569">
        <v>0</v>
      </c>
      <c r="E1569">
        <v>4</v>
      </c>
      <c r="F1569">
        <v>0</v>
      </c>
      <c r="G1569">
        <v>0</v>
      </c>
      <c r="H1569">
        <v>0</v>
      </c>
      <c r="I1569">
        <v>0</v>
      </c>
      <c r="J1569">
        <v>0</v>
      </c>
      <c r="K1569">
        <v>0</v>
      </c>
    </row>
    <row r="1570" spans="1:11" x14ac:dyDescent="0.2">
      <c r="A1570" t="s">
        <v>1928</v>
      </c>
      <c r="B1570">
        <v>0</v>
      </c>
      <c r="C1570">
        <v>0</v>
      </c>
      <c r="D1570">
        <v>0</v>
      </c>
      <c r="E1570">
        <v>0</v>
      </c>
      <c r="F1570">
        <v>0</v>
      </c>
      <c r="G1570">
        <v>0</v>
      </c>
      <c r="H1570">
        <v>0</v>
      </c>
      <c r="I1570">
        <v>0</v>
      </c>
      <c r="J1570">
        <v>0</v>
      </c>
      <c r="K1570">
        <v>0</v>
      </c>
    </row>
    <row r="1571" spans="1:11" x14ac:dyDescent="0.2">
      <c r="A1571" t="s">
        <v>1932</v>
      </c>
      <c r="B1571">
        <v>0</v>
      </c>
      <c r="C1571">
        <v>0</v>
      </c>
      <c r="D1571">
        <v>0</v>
      </c>
      <c r="E1571">
        <v>0</v>
      </c>
      <c r="F1571">
        <v>0</v>
      </c>
      <c r="G1571">
        <v>0</v>
      </c>
      <c r="H1571">
        <v>0</v>
      </c>
      <c r="I1571">
        <v>0</v>
      </c>
      <c r="J1571">
        <v>0</v>
      </c>
      <c r="K1571">
        <v>0</v>
      </c>
    </row>
    <row r="1572" spans="1:11" x14ac:dyDescent="0.2">
      <c r="A1572" t="s">
        <v>1938</v>
      </c>
      <c r="B1572">
        <v>0</v>
      </c>
      <c r="C1572">
        <v>0</v>
      </c>
      <c r="D1572">
        <v>0</v>
      </c>
      <c r="E1572">
        <v>0</v>
      </c>
      <c r="F1572">
        <v>0</v>
      </c>
      <c r="G1572">
        <v>0</v>
      </c>
      <c r="H1572">
        <v>0</v>
      </c>
      <c r="I1572">
        <v>0</v>
      </c>
      <c r="J1572">
        <v>0</v>
      </c>
      <c r="K1572">
        <v>0</v>
      </c>
    </row>
    <row r="1573" spans="1:11" x14ac:dyDescent="0.2">
      <c r="A1573" t="s">
        <v>1944</v>
      </c>
      <c r="B1573">
        <v>0</v>
      </c>
      <c r="C1573">
        <v>0</v>
      </c>
      <c r="D1573">
        <v>16</v>
      </c>
      <c r="E1573">
        <v>540</v>
      </c>
      <c r="F1573">
        <v>61</v>
      </c>
      <c r="G1573">
        <v>0</v>
      </c>
      <c r="H1573">
        <v>0</v>
      </c>
      <c r="I1573">
        <v>0</v>
      </c>
      <c r="J1573">
        <v>0</v>
      </c>
      <c r="K1573">
        <v>0</v>
      </c>
    </row>
    <row r="1574" spans="1:11" x14ac:dyDescent="0.2">
      <c r="A1574" t="s">
        <v>1947</v>
      </c>
      <c r="B1574">
        <v>0</v>
      </c>
      <c r="C1574">
        <v>0</v>
      </c>
      <c r="D1574">
        <v>0</v>
      </c>
      <c r="E1574">
        <v>9</v>
      </c>
      <c r="F1574">
        <v>1</v>
      </c>
      <c r="G1574">
        <v>0</v>
      </c>
      <c r="H1574">
        <v>0</v>
      </c>
      <c r="I1574">
        <v>0</v>
      </c>
      <c r="J1574">
        <v>0</v>
      </c>
      <c r="K1574">
        <v>0</v>
      </c>
    </row>
    <row r="1575" spans="1:11" x14ac:dyDescent="0.2">
      <c r="A1575" t="s">
        <v>1953</v>
      </c>
      <c r="B1575">
        <v>0</v>
      </c>
      <c r="C1575">
        <v>0</v>
      </c>
      <c r="D1575">
        <v>1</v>
      </c>
      <c r="E1575">
        <v>26</v>
      </c>
      <c r="F1575">
        <v>4</v>
      </c>
      <c r="G1575">
        <v>0</v>
      </c>
      <c r="H1575">
        <v>0</v>
      </c>
      <c r="I1575">
        <v>0</v>
      </c>
      <c r="J1575">
        <v>0</v>
      </c>
      <c r="K1575">
        <v>0</v>
      </c>
    </row>
    <row r="1576" spans="1:11" x14ac:dyDescent="0.2">
      <c r="A1576" t="s">
        <v>1958</v>
      </c>
      <c r="B1576">
        <v>0</v>
      </c>
      <c r="C1576">
        <v>0</v>
      </c>
      <c r="D1576">
        <v>0</v>
      </c>
      <c r="E1576">
        <v>0</v>
      </c>
      <c r="F1576">
        <v>0</v>
      </c>
      <c r="G1576">
        <v>0</v>
      </c>
      <c r="H1576">
        <v>0</v>
      </c>
      <c r="I1576">
        <v>0</v>
      </c>
      <c r="J1576">
        <v>0</v>
      </c>
      <c r="K1576">
        <v>0</v>
      </c>
    </row>
    <row r="1577" spans="1:11" x14ac:dyDescent="0.2">
      <c r="A1577" t="s">
        <v>1964</v>
      </c>
      <c r="B1577">
        <v>0</v>
      </c>
      <c r="C1577">
        <v>0</v>
      </c>
      <c r="D1577">
        <v>0</v>
      </c>
      <c r="E1577">
        <v>0</v>
      </c>
      <c r="F1577">
        <v>0</v>
      </c>
      <c r="G1577">
        <v>0</v>
      </c>
      <c r="H1577">
        <v>0</v>
      </c>
      <c r="I1577">
        <v>0</v>
      </c>
      <c r="J1577">
        <v>0</v>
      </c>
      <c r="K1577">
        <v>0</v>
      </c>
    </row>
    <row r="1578" spans="1:11" x14ac:dyDescent="0.2">
      <c r="A1578" t="s">
        <v>1973</v>
      </c>
      <c r="B1578">
        <v>0</v>
      </c>
      <c r="C1578">
        <v>0</v>
      </c>
      <c r="D1578">
        <v>0</v>
      </c>
      <c r="E1578">
        <v>0</v>
      </c>
      <c r="F1578">
        <v>0</v>
      </c>
      <c r="G1578">
        <v>0</v>
      </c>
      <c r="H1578">
        <v>0</v>
      </c>
      <c r="I1578">
        <v>0</v>
      </c>
      <c r="J1578">
        <v>0</v>
      </c>
      <c r="K1578">
        <v>0</v>
      </c>
    </row>
    <row r="1579" spans="1:11" x14ac:dyDescent="0.2">
      <c r="A1579" t="s">
        <v>1978</v>
      </c>
      <c r="B1579">
        <v>0</v>
      </c>
      <c r="C1579">
        <v>0</v>
      </c>
      <c r="D1579">
        <v>0</v>
      </c>
      <c r="E1579">
        <v>0</v>
      </c>
      <c r="F1579">
        <v>0</v>
      </c>
      <c r="G1579">
        <v>0</v>
      </c>
      <c r="H1579">
        <v>0</v>
      </c>
      <c r="I1579">
        <v>0</v>
      </c>
      <c r="J1579">
        <v>0</v>
      </c>
      <c r="K1579">
        <v>0</v>
      </c>
    </row>
    <row r="1580" spans="1:11" x14ac:dyDescent="0.2">
      <c r="A1580" t="s">
        <v>1983</v>
      </c>
      <c r="B1580">
        <v>0</v>
      </c>
      <c r="C1580">
        <v>0</v>
      </c>
      <c r="D1580">
        <v>2</v>
      </c>
      <c r="E1580">
        <v>141</v>
      </c>
      <c r="F1580">
        <v>9</v>
      </c>
      <c r="G1580">
        <v>0</v>
      </c>
      <c r="H1580">
        <v>0</v>
      </c>
      <c r="I1580">
        <v>0</v>
      </c>
      <c r="J1580">
        <v>0</v>
      </c>
      <c r="K1580">
        <v>0</v>
      </c>
    </row>
    <row r="1581" spans="1:11" x14ac:dyDescent="0.2">
      <c r="A1581" t="s">
        <v>1984</v>
      </c>
      <c r="B1581">
        <v>0</v>
      </c>
      <c r="C1581">
        <v>0</v>
      </c>
      <c r="D1581">
        <v>0</v>
      </c>
      <c r="E1581">
        <v>0</v>
      </c>
      <c r="F1581">
        <v>0</v>
      </c>
      <c r="G1581">
        <v>0</v>
      </c>
      <c r="H1581">
        <v>0</v>
      </c>
      <c r="I1581">
        <v>0</v>
      </c>
      <c r="J1581">
        <v>0</v>
      </c>
      <c r="K1581">
        <v>0</v>
      </c>
    </row>
    <row r="1582" spans="1:11" x14ac:dyDescent="0.2">
      <c r="A1582" t="s">
        <v>1990</v>
      </c>
      <c r="B1582">
        <v>0</v>
      </c>
      <c r="C1582">
        <v>0</v>
      </c>
      <c r="D1582">
        <v>1</v>
      </c>
      <c r="E1582">
        <v>34</v>
      </c>
      <c r="F1582">
        <v>4</v>
      </c>
      <c r="G1582">
        <v>0</v>
      </c>
      <c r="H1582">
        <v>0</v>
      </c>
      <c r="I1582">
        <v>0</v>
      </c>
      <c r="J1582">
        <v>0</v>
      </c>
      <c r="K1582">
        <v>0</v>
      </c>
    </row>
    <row r="1583" spans="1:11" x14ac:dyDescent="0.2">
      <c r="A1583" t="s">
        <v>1996</v>
      </c>
      <c r="B1583">
        <v>0</v>
      </c>
      <c r="C1583">
        <v>0</v>
      </c>
      <c r="D1583">
        <v>0</v>
      </c>
      <c r="E1583">
        <v>0</v>
      </c>
      <c r="F1583">
        <v>0</v>
      </c>
      <c r="G1583">
        <v>0</v>
      </c>
      <c r="H1583">
        <v>0</v>
      </c>
      <c r="I1583">
        <v>0</v>
      </c>
      <c r="J1583">
        <v>0</v>
      </c>
      <c r="K1583">
        <v>0</v>
      </c>
    </row>
    <row r="1584" spans="1:11" x14ac:dyDescent="0.2">
      <c r="A1584" t="s">
        <v>1998</v>
      </c>
      <c r="B1584">
        <v>0</v>
      </c>
      <c r="C1584">
        <v>0</v>
      </c>
      <c r="D1584">
        <v>0</v>
      </c>
      <c r="E1584">
        <v>0</v>
      </c>
      <c r="F1584">
        <v>0</v>
      </c>
      <c r="G1584">
        <v>0</v>
      </c>
      <c r="H1584">
        <v>0</v>
      </c>
      <c r="I1584">
        <v>0</v>
      </c>
      <c r="J1584">
        <v>0</v>
      </c>
      <c r="K1584">
        <v>0</v>
      </c>
    </row>
    <row r="1585" spans="1:11" x14ac:dyDescent="0.2">
      <c r="A1585" t="s">
        <v>1999</v>
      </c>
      <c r="B1585">
        <v>0</v>
      </c>
      <c r="C1585">
        <v>0</v>
      </c>
      <c r="D1585">
        <v>17</v>
      </c>
      <c r="E1585">
        <v>516</v>
      </c>
      <c r="F1585">
        <v>0</v>
      </c>
      <c r="G1585">
        <v>0</v>
      </c>
      <c r="H1585">
        <v>0</v>
      </c>
      <c r="I1585">
        <v>0</v>
      </c>
      <c r="J1585">
        <v>0</v>
      </c>
      <c r="K1585">
        <v>0</v>
      </c>
    </row>
    <row r="1586" spans="1:11" x14ac:dyDescent="0.2">
      <c r="A1586" t="s">
        <v>2004</v>
      </c>
      <c r="B1586">
        <v>0</v>
      </c>
      <c r="C1586">
        <v>0</v>
      </c>
      <c r="D1586">
        <v>33</v>
      </c>
      <c r="E1586">
        <v>1071</v>
      </c>
      <c r="F1586">
        <v>0</v>
      </c>
      <c r="G1586">
        <v>0</v>
      </c>
      <c r="H1586">
        <v>0</v>
      </c>
      <c r="I1586">
        <v>0</v>
      </c>
      <c r="J1586">
        <v>0</v>
      </c>
      <c r="K1586">
        <v>0</v>
      </c>
    </row>
    <row r="1587" spans="1:11" x14ac:dyDescent="0.2">
      <c r="A1587" t="s">
        <v>2009</v>
      </c>
      <c r="B1587">
        <v>0</v>
      </c>
      <c r="C1587">
        <v>0</v>
      </c>
      <c r="D1587">
        <v>0</v>
      </c>
      <c r="E1587">
        <v>0</v>
      </c>
      <c r="F1587">
        <v>0</v>
      </c>
      <c r="G1587">
        <v>0</v>
      </c>
      <c r="H1587">
        <v>0</v>
      </c>
      <c r="I1587">
        <v>0</v>
      </c>
      <c r="J1587">
        <v>0</v>
      </c>
      <c r="K1587">
        <v>0</v>
      </c>
    </row>
    <row r="1588" spans="1:11" x14ac:dyDescent="0.2">
      <c r="A1588" t="s">
        <v>2014</v>
      </c>
      <c r="B1588">
        <v>0</v>
      </c>
      <c r="C1588">
        <v>0</v>
      </c>
      <c r="D1588">
        <v>0</v>
      </c>
      <c r="E1588">
        <v>0</v>
      </c>
      <c r="F1588">
        <v>0</v>
      </c>
      <c r="G1588">
        <v>0</v>
      </c>
      <c r="H1588">
        <v>0</v>
      </c>
      <c r="I1588">
        <v>0</v>
      </c>
      <c r="J1588">
        <v>0</v>
      </c>
      <c r="K1588">
        <v>0</v>
      </c>
    </row>
    <row r="1589" spans="1:11" x14ac:dyDescent="0.2">
      <c r="A1589" t="s">
        <v>2019</v>
      </c>
      <c r="B1589">
        <v>0</v>
      </c>
      <c r="C1589">
        <v>0</v>
      </c>
      <c r="D1589">
        <v>0</v>
      </c>
      <c r="E1589">
        <v>0</v>
      </c>
      <c r="F1589">
        <v>0</v>
      </c>
      <c r="G1589">
        <v>0</v>
      </c>
      <c r="H1589">
        <v>0</v>
      </c>
      <c r="I1589">
        <v>0</v>
      </c>
      <c r="J1589">
        <v>0</v>
      </c>
      <c r="K1589">
        <v>0</v>
      </c>
    </row>
    <row r="1590" spans="1:11" x14ac:dyDescent="0.2">
      <c r="A1590" t="s">
        <v>2023</v>
      </c>
      <c r="B1590">
        <v>0</v>
      </c>
      <c r="C1590">
        <v>0</v>
      </c>
      <c r="D1590">
        <v>0</v>
      </c>
      <c r="E1590">
        <v>0</v>
      </c>
      <c r="F1590">
        <v>0</v>
      </c>
      <c r="G1590">
        <v>0</v>
      </c>
      <c r="H1590">
        <v>0</v>
      </c>
      <c r="I1590">
        <v>0</v>
      </c>
      <c r="J1590">
        <v>0</v>
      </c>
      <c r="K1590">
        <v>0</v>
      </c>
    </row>
    <row r="1591" spans="1:11" x14ac:dyDescent="0.2">
      <c r="A1591" t="s">
        <v>2026</v>
      </c>
      <c r="B1591">
        <v>0</v>
      </c>
      <c r="C1591">
        <v>0</v>
      </c>
      <c r="D1591">
        <v>0</v>
      </c>
      <c r="E1591">
        <v>0</v>
      </c>
      <c r="F1591">
        <v>0</v>
      </c>
      <c r="G1591">
        <v>0</v>
      </c>
      <c r="H1591">
        <v>0</v>
      </c>
      <c r="I1591">
        <v>0</v>
      </c>
      <c r="J1591">
        <v>0</v>
      </c>
      <c r="K1591">
        <v>0</v>
      </c>
    </row>
    <row r="1592" spans="1:11" x14ac:dyDescent="0.2">
      <c r="A1592" t="s">
        <v>2030</v>
      </c>
      <c r="B1592">
        <v>0</v>
      </c>
      <c r="C1592">
        <v>0</v>
      </c>
      <c r="D1592">
        <v>0</v>
      </c>
      <c r="E1592">
        <v>0</v>
      </c>
      <c r="F1592">
        <v>1</v>
      </c>
      <c r="G1592">
        <v>0</v>
      </c>
      <c r="H1592">
        <v>0</v>
      </c>
      <c r="I1592">
        <v>0</v>
      </c>
      <c r="J1592">
        <v>0</v>
      </c>
      <c r="K1592">
        <v>0</v>
      </c>
    </row>
    <row r="1593" spans="1:11" x14ac:dyDescent="0.2">
      <c r="A1593" t="s">
        <v>2035</v>
      </c>
      <c r="B1593">
        <v>0</v>
      </c>
      <c r="C1593">
        <v>0</v>
      </c>
      <c r="D1593">
        <v>0</v>
      </c>
      <c r="E1593">
        <v>0</v>
      </c>
      <c r="F1593">
        <v>0</v>
      </c>
      <c r="G1593">
        <v>0</v>
      </c>
      <c r="H1593">
        <v>0</v>
      </c>
      <c r="I1593">
        <v>0</v>
      </c>
      <c r="J1593">
        <v>0</v>
      </c>
      <c r="K1593">
        <v>0</v>
      </c>
    </row>
    <row r="1594" spans="1:11" x14ac:dyDescent="0.2">
      <c r="A1594" t="s">
        <v>2040</v>
      </c>
      <c r="B1594">
        <v>0</v>
      </c>
      <c r="C1594">
        <v>0</v>
      </c>
      <c r="D1594">
        <v>0</v>
      </c>
      <c r="E1594">
        <v>0</v>
      </c>
      <c r="F1594">
        <v>0</v>
      </c>
      <c r="G1594">
        <v>0</v>
      </c>
      <c r="H1594">
        <v>0</v>
      </c>
      <c r="I1594">
        <v>0</v>
      </c>
      <c r="J1594">
        <v>0</v>
      </c>
      <c r="K1594">
        <v>0</v>
      </c>
    </row>
    <row r="1595" spans="1:11" x14ac:dyDescent="0.2">
      <c r="A1595" t="s">
        <v>2045</v>
      </c>
      <c r="B1595">
        <v>0</v>
      </c>
      <c r="C1595">
        <v>0</v>
      </c>
      <c r="D1595">
        <v>0</v>
      </c>
      <c r="E1595">
        <v>0</v>
      </c>
      <c r="F1595">
        <v>0</v>
      </c>
      <c r="G1595">
        <v>0</v>
      </c>
      <c r="H1595">
        <v>0</v>
      </c>
      <c r="I1595">
        <v>0</v>
      </c>
      <c r="J1595">
        <v>0</v>
      </c>
      <c r="K1595">
        <v>0</v>
      </c>
    </row>
    <row r="1596" spans="1:11" x14ac:dyDescent="0.2">
      <c r="A1596" t="s">
        <v>2049</v>
      </c>
      <c r="B1596">
        <v>0</v>
      </c>
      <c r="C1596">
        <v>0</v>
      </c>
      <c r="D1596">
        <v>0</v>
      </c>
      <c r="E1596">
        <v>0</v>
      </c>
      <c r="F1596">
        <v>0</v>
      </c>
      <c r="G1596">
        <v>0</v>
      </c>
      <c r="H1596">
        <v>0</v>
      </c>
      <c r="I1596">
        <v>0</v>
      </c>
      <c r="J1596">
        <v>0</v>
      </c>
      <c r="K1596">
        <v>0</v>
      </c>
    </row>
    <row r="1597" spans="1:11" x14ac:dyDescent="0.2">
      <c r="A1597" t="s">
        <v>2051</v>
      </c>
      <c r="B1597">
        <v>0</v>
      </c>
      <c r="C1597">
        <v>0</v>
      </c>
      <c r="D1597">
        <v>0</v>
      </c>
      <c r="E1597">
        <v>8</v>
      </c>
      <c r="F1597">
        <v>1</v>
      </c>
      <c r="G1597">
        <v>0</v>
      </c>
      <c r="H1597">
        <v>0</v>
      </c>
      <c r="I1597">
        <v>0</v>
      </c>
      <c r="J1597">
        <v>0</v>
      </c>
      <c r="K1597">
        <v>0</v>
      </c>
    </row>
    <row r="1598" spans="1:11" x14ac:dyDescent="0.2">
      <c r="A1598" t="s">
        <v>2057</v>
      </c>
      <c r="B1598">
        <v>0</v>
      </c>
      <c r="C1598">
        <v>0</v>
      </c>
      <c r="D1598">
        <v>0</v>
      </c>
      <c r="E1598">
        <v>15</v>
      </c>
      <c r="F1598">
        <v>2</v>
      </c>
      <c r="G1598">
        <v>0</v>
      </c>
      <c r="H1598">
        <v>0</v>
      </c>
      <c r="I1598">
        <v>0</v>
      </c>
      <c r="J1598">
        <v>0</v>
      </c>
      <c r="K1598">
        <v>0</v>
      </c>
    </row>
    <row r="1599" spans="1:11" x14ac:dyDescent="0.2">
      <c r="A1599" t="s">
        <v>4344</v>
      </c>
      <c r="B1599">
        <v>0</v>
      </c>
      <c r="C1599">
        <v>0</v>
      </c>
      <c r="D1599">
        <v>0</v>
      </c>
      <c r="E1599">
        <v>5</v>
      </c>
      <c r="F1599">
        <v>1</v>
      </c>
      <c r="G1599">
        <v>0</v>
      </c>
      <c r="H1599">
        <v>0</v>
      </c>
      <c r="I1599">
        <v>0</v>
      </c>
      <c r="J1599">
        <v>0</v>
      </c>
      <c r="K1599">
        <v>0</v>
      </c>
    </row>
    <row r="1600" spans="1:11" x14ac:dyDescent="0.2">
      <c r="A1600" t="s">
        <v>4345</v>
      </c>
      <c r="B1600">
        <v>0</v>
      </c>
      <c r="C1600">
        <v>0</v>
      </c>
      <c r="D1600">
        <v>1</v>
      </c>
      <c r="E1600">
        <v>27</v>
      </c>
      <c r="F1600">
        <v>3</v>
      </c>
      <c r="G1600">
        <v>0</v>
      </c>
      <c r="H1600">
        <v>0</v>
      </c>
      <c r="I1600">
        <v>0</v>
      </c>
      <c r="J1600">
        <v>0</v>
      </c>
      <c r="K1600">
        <v>0</v>
      </c>
    </row>
    <row r="1601" spans="1:11" x14ac:dyDescent="0.2">
      <c r="A1601" t="s">
        <v>2074</v>
      </c>
      <c r="B1601">
        <v>0</v>
      </c>
      <c r="C1601">
        <v>0</v>
      </c>
      <c r="D1601">
        <v>0</v>
      </c>
      <c r="E1601">
        <v>0</v>
      </c>
      <c r="F1601">
        <v>0</v>
      </c>
      <c r="G1601">
        <v>0</v>
      </c>
      <c r="H1601">
        <v>0</v>
      </c>
      <c r="I1601">
        <v>0</v>
      </c>
      <c r="J1601">
        <v>0</v>
      </c>
      <c r="K1601">
        <v>0</v>
      </c>
    </row>
    <row r="1602" spans="1:11" x14ac:dyDescent="0.2">
      <c r="A1602" t="s">
        <v>2079</v>
      </c>
      <c r="B1602">
        <v>0</v>
      </c>
      <c r="C1602">
        <v>0</v>
      </c>
      <c r="D1602">
        <v>0</v>
      </c>
      <c r="E1602">
        <v>0</v>
      </c>
      <c r="F1602">
        <v>0</v>
      </c>
      <c r="G1602">
        <v>0</v>
      </c>
      <c r="H1602">
        <v>0</v>
      </c>
      <c r="I1602">
        <v>0</v>
      </c>
      <c r="J1602">
        <v>0</v>
      </c>
      <c r="K1602">
        <v>0</v>
      </c>
    </row>
    <row r="1603" spans="1:11" x14ac:dyDescent="0.2">
      <c r="A1603" t="s">
        <v>2085</v>
      </c>
      <c r="B1603">
        <v>0</v>
      </c>
      <c r="C1603">
        <v>0</v>
      </c>
      <c r="D1603">
        <v>0</v>
      </c>
      <c r="E1603">
        <v>0</v>
      </c>
      <c r="F1603">
        <v>0</v>
      </c>
      <c r="G1603">
        <v>0</v>
      </c>
      <c r="H1603">
        <v>0</v>
      </c>
      <c r="I1603">
        <v>0</v>
      </c>
      <c r="J1603">
        <v>0</v>
      </c>
      <c r="K1603">
        <v>0</v>
      </c>
    </row>
    <row r="1604" spans="1:11" x14ac:dyDescent="0.2">
      <c r="A1604" t="s">
        <v>2091</v>
      </c>
      <c r="B1604">
        <v>0</v>
      </c>
      <c r="C1604">
        <v>0</v>
      </c>
      <c r="D1604">
        <v>0</v>
      </c>
      <c r="E1604">
        <v>0</v>
      </c>
      <c r="F1604">
        <v>0</v>
      </c>
      <c r="G1604">
        <v>0</v>
      </c>
      <c r="H1604">
        <v>0</v>
      </c>
      <c r="I1604">
        <v>0</v>
      </c>
      <c r="J1604">
        <v>0</v>
      </c>
      <c r="K1604">
        <v>0</v>
      </c>
    </row>
    <row r="1605" spans="1:11" x14ac:dyDescent="0.2">
      <c r="A1605" t="s">
        <v>2097</v>
      </c>
      <c r="B1605">
        <v>0</v>
      </c>
      <c r="C1605">
        <v>0</v>
      </c>
      <c r="D1605">
        <v>0</v>
      </c>
      <c r="E1605">
        <v>0</v>
      </c>
      <c r="F1605">
        <v>0</v>
      </c>
      <c r="G1605">
        <v>0</v>
      </c>
      <c r="H1605">
        <v>0</v>
      </c>
      <c r="I1605">
        <v>0</v>
      </c>
      <c r="J1605">
        <v>0</v>
      </c>
      <c r="K1605">
        <v>0</v>
      </c>
    </row>
    <row r="1606" spans="1:11" x14ac:dyDescent="0.2">
      <c r="A1606" t="s">
        <v>2101</v>
      </c>
      <c r="B1606">
        <v>0</v>
      </c>
      <c r="C1606">
        <v>0</v>
      </c>
      <c r="D1606">
        <v>0</v>
      </c>
      <c r="E1606">
        <v>0</v>
      </c>
      <c r="F1606">
        <v>0</v>
      </c>
      <c r="G1606">
        <v>0</v>
      </c>
      <c r="H1606">
        <v>0</v>
      </c>
      <c r="I1606">
        <v>0</v>
      </c>
      <c r="J1606">
        <v>0</v>
      </c>
      <c r="K1606">
        <v>0</v>
      </c>
    </row>
    <row r="1607" spans="1:11" x14ac:dyDescent="0.2">
      <c r="A1607" t="s">
        <v>2104</v>
      </c>
      <c r="B1607">
        <v>0</v>
      </c>
      <c r="C1607">
        <v>0</v>
      </c>
      <c r="D1607">
        <v>0</v>
      </c>
      <c r="E1607">
        <v>0</v>
      </c>
      <c r="F1607">
        <v>0</v>
      </c>
      <c r="G1607">
        <v>0</v>
      </c>
      <c r="H1607">
        <v>0</v>
      </c>
      <c r="I1607">
        <v>0</v>
      </c>
      <c r="J1607">
        <v>0</v>
      </c>
      <c r="K1607">
        <v>0</v>
      </c>
    </row>
    <row r="1608" spans="1:11" x14ac:dyDescent="0.2">
      <c r="A1608" t="s">
        <v>2107</v>
      </c>
      <c r="B1608">
        <v>0</v>
      </c>
      <c r="C1608">
        <v>0</v>
      </c>
      <c r="D1608">
        <v>0</v>
      </c>
      <c r="E1608">
        <v>0</v>
      </c>
      <c r="F1608">
        <v>0</v>
      </c>
      <c r="G1608">
        <v>0</v>
      </c>
      <c r="H1608">
        <v>0</v>
      </c>
      <c r="I1608">
        <v>0</v>
      </c>
      <c r="J1608">
        <v>0</v>
      </c>
      <c r="K1608">
        <v>0</v>
      </c>
    </row>
    <row r="1609" spans="1:11" x14ac:dyDescent="0.2">
      <c r="A1609" t="s">
        <v>2110</v>
      </c>
      <c r="B1609">
        <v>0</v>
      </c>
      <c r="C1609">
        <v>0</v>
      </c>
      <c r="D1609">
        <v>0</v>
      </c>
      <c r="E1609">
        <v>0</v>
      </c>
      <c r="F1609">
        <v>0</v>
      </c>
      <c r="G1609">
        <v>0</v>
      </c>
      <c r="H1609">
        <v>0</v>
      </c>
      <c r="I1609">
        <v>0</v>
      </c>
      <c r="J1609">
        <v>0</v>
      </c>
      <c r="K1609">
        <v>0</v>
      </c>
    </row>
    <row r="1610" spans="1:11" x14ac:dyDescent="0.2">
      <c r="A1610" t="s">
        <v>2113</v>
      </c>
      <c r="B1610">
        <v>0</v>
      </c>
      <c r="C1610">
        <v>0</v>
      </c>
      <c r="D1610">
        <v>0</v>
      </c>
      <c r="E1610">
        <v>0</v>
      </c>
      <c r="F1610">
        <v>0</v>
      </c>
      <c r="G1610">
        <v>0</v>
      </c>
      <c r="H1610">
        <v>0</v>
      </c>
      <c r="I1610">
        <v>0</v>
      </c>
      <c r="J1610">
        <v>0</v>
      </c>
      <c r="K1610">
        <v>0</v>
      </c>
    </row>
    <row r="1611" spans="1:11" x14ac:dyDescent="0.2">
      <c r="A1611" t="s">
        <v>4346</v>
      </c>
      <c r="B1611">
        <v>0</v>
      </c>
      <c r="C1611">
        <v>0</v>
      </c>
      <c r="D1611">
        <v>0</v>
      </c>
      <c r="E1611">
        <v>0</v>
      </c>
      <c r="F1611">
        <v>0</v>
      </c>
      <c r="G1611">
        <v>0</v>
      </c>
      <c r="H1611">
        <v>0</v>
      </c>
      <c r="I1611">
        <v>0</v>
      </c>
      <c r="J1611">
        <v>0</v>
      </c>
      <c r="K1611">
        <v>0</v>
      </c>
    </row>
    <row r="1612" spans="1:11" x14ac:dyDescent="0.2">
      <c r="A1612" t="s">
        <v>4347</v>
      </c>
      <c r="B1612">
        <v>0</v>
      </c>
      <c r="C1612">
        <v>0</v>
      </c>
      <c r="D1612">
        <v>0</v>
      </c>
      <c r="E1612">
        <v>0</v>
      </c>
      <c r="F1612">
        <v>0</v>
      </c>
      <c r="G1612">
        <v>0</v>
      </c>
      <c r="H1612">
        <v>0</v>
      </c>
      <c r="I1612">
        <v>0</v>
      </c>
      <c r="J1612">
        <v>0</v>
      </c>
      <c r="K1612">
        <v>0</v>
      </c>
    </row>
    <row r="1613" spans="1:11" x14ac:dyDescent="0.2">
      <c r="A1613" t="s">
        <v>4348</v>
      </c>
      <c r="B1613">
        <v>0</v>
      </c>
      <c r="C1613">
        <v>0</v>
      </c>
      <c r="D1613">
        <v>0</v>
      </c>
      <c r="E1613">
        <v>0</v>
      </c>
      <c r="F1613">
        <v>0</v>
      </c>
      <c r="G1613">
        <v>0</v>
      </c>
      <c r="H1613">
        <v>0</v>
      </c>
      <c r="I1613">
        <v>0</v>
      </c>
      <c r="J1613">
        <v>0</v>
      </c>
      <c r="K1613">
        <v>0</v>
      </c>
    </row>
    <row r="1614" spans="1:11" x14ac:dyDescent="0.2">
      <c r="A1614" t="s">
        <v>4349</v>
      </c>
      <c r="B1614">
        <v>0</v>
      </c>
      <c r="C1614">
        <v>0</v>
      </c>
      <c r="D1614">
        <v>0</v>
      </c>
      <c r="E1614">
        <v>0</v>
      </c>
      <c r="F1614">
        <v>0</v>
      </c>
      <c r="G1614">
        <v>0</v>
      </c>
      <c r="H1614">
        <v>0</v>
      </c>
      <c r="I1614">
        <v>0</v>
      </c>
      <c r="J1614">
        <v>0</v>
      </c>
      <c r="K1614">
        <v>0</v>
      </c>
    </row>
    <row r="1615" spans="1:11" x14ac:dyDescent="0.2">
      <c r="A1615" t="s">
        <v>4350</v>
      </c>
      <c r="B1615">
        <v>0</v>
      </c>
      <c r="C1615">
        <v>0</v>
      </c>
      <c r="D1615">
        <v>0</v>
      </c>
      <c r="E1615">
        <v>2</v>
      </c>
      <c r="F1615">
        <v>0</v>
      </c>
      <c r="G1615">
        <v>0</v>
      </c>
      <c r="H1615">
        <v>0</v>
      </c>
      <c r="I1615">
        <v>0</v>
      </c>
      <c r="J1615">
        <v>0</v>
      </c>
      <c r="K1615">
        <v>0</v>
      </c>
    </row>
    <row r="1616" spans="1:11" x14ac:dyDescent="0.2">
      <c r="A1616" t="s">
        <v>4351</v>
      </c>
      <c r="B1616">
        <v>0</v>
      </c>
      <c r="C1616">
        <v>0</v>
      </c>
      <c r="D1616">
        <v>0</v>
      </c>
      <c r="E1616">
        <v>0</v>
      </c>
      <c r="F1616">
        <v>0</v>
      </c>
      <c r="G1616">
        <v>0</v>
      </c>
      <c r="H1616">
        <v>0</v>
      </c>
      <c r="I1616">
        <v>0</v>
      </c>
      <c r="J1616">
        <v>0</v>
      </c>
      <c r="K1616">
        <v>0</v>
      </c>
    </row>
    <row r="1617" spans="1:11" x14ac:dyDescent="0.2">
      <c r="A1617" t="s">
        <v>4352</v>
      </c>
      <c r="B1617">
        <v>0</v>
      </c>
      <c r="C1617">
        <v>0</v>
      </c>
      <c r="D1617">
        <v>0</v>
      </c>
      <c r="E1617">
        <v>0</v>
      </c>
      <c r="F1617">
        <v>0</v>
      </c>
      <c r="G1617">
        <v>0</v>
      </c>
      <c r="H1617">
        <v>0</v>
      </c>
      <c r="I1617">
        <v>0</v>
      </c>
      <c r="J1617">
        <v>0</v>
      </c>
      <c r="K1617">
        <v>0</v>
      </c>
    </row>
    <row r="1618" spans="1:11" x14ac:dyDescent="0.2">
      <c r="A1618" t="s">
        <v>4353</v>
      </c>
      <c r="B1618">
        <v>0</v>
      </c>
      <c r="C1618">
        <v>0</v>
      </c>
      <c r="D1618">
        <v>1</v>
      </c>
      <c r="E1618">
        <v>44</v>
      </c>
      <c r="F1618">
        <v>4</v>
      </c>
      <c r="G1618">
        <v>0</v>
      </c>
      <c r="H1618">
        <v>0</v>
      </c>
      <c r="I1618">
        <v>0</v>
      </c>
      <c r="J1618">
        <v>0</v>
      </c>
      <c r="K1618">
        <v>0</v>
      </c>
    </row>
    <row r="1619" spans="1:11" x14ac:dyDescent="0.2">
      <c r="A1619" t="s">
        <v>4354</v>
      </c>
      <c r="B1619">
        <v>0</v>
      </c>
      <c r="C1619">
        <v>0</v>
      </c>
      <c r="D1619">
        <v>1</v>
      </c>
      <c r="E1619">
        <v>36</v>
      </c>
      <c r="F1619">
        <v>4</v>
      </c>
      <c r="G1619">
        <v>0</v>
      </c>
      <c r="H1619">
        <v>0</v>
      </c>
      <c r="I1619">
        <v>0</v>
      </c>
      <c r="J1619">
        <v>0</v>
      </c>
      <c r="K1619">
        <v>0</v>
      </c>
    </row>
    <row r="1620" spans="1:11" x14ac:dyDescent="0.2">
      <c r="A1620" t="s">
        <v>4355</v>
      </c>
      <c r="B1620">
        <v>0</v>
      </c>
      <c r="C1620">
        <v>0</v>
      </c>
      <c r="D1620">
        <v>0</v>
      </c>
      <c r="E1620">
        <v>0</v>
      </c>
      <c r="F1620">
        <v>0</v>
      </c>
      <c r="G1620">
        <v>0</v>
      </c>
      <c r="H1620">
        <v>0</v>
      </c>
      <c r="I1620">
        <v>0</v>
      </c>
      <c r="J1620">
        <v>0</v>
      </c>
      <c r="K1620">
        <v>0</v>
      </c>
    </row>
    <row r="1621" spans="1:11" x14ac:dyDescent="0.2">
      <c r="A1621" t="s">
        <v>4356</v>
      </c>
      <c r="B1621">
        <v>0</v>
      </c>
      <c r="C1621">
        <v>0</v>
      </c>
      <c r="D1621">
        <v>0</v>
      </c>
      <c r="E1621">
        <v>0</v>
      </c>
      <c r="F1621">
        <v>0</v>
      </c>
      <c r="G1621">
        <v>0</v>
      </c>
      <c r="H1621">
        <v>0</v>
      </c>
      <c r="I1621">
        <v>0</v>
      </c>
      <c r="J1621">
        <v>0</v>
      </c>
      <c r="K1621">
        <v>0</v>
      </c>
    </row>
    <row r="1622" spans="1:11" x14ac:dyDescent="0.2">
      <c r="A1622" t="s">
        <v>4357</v>
      </c>
      <c r="B1622">
        <v>0</v>
      </c>
      <c r="C1622">
        <v>0</v>
      </c>
      <c r="D1622">
        <v>0</v>
      </c>
      <c r="E1622">
        <v>0</v>
      </c>
      <c r="F1622">
        <v>0</v>
      </c>
      <c r="G1622">
        <v>0</v>
      </c>
      <c r="H1622">
        <v>0</v>
      </c>
      <c r="I1622">
        <v>0</v>
      </c>
      <c r="J1622">
        <v>0</v>
      </c>
      <c r="K1622">
        <v>0</v>
      </c>
    </row>
    <row r="1623" spans="1:11" x14ac:dyDescent="0.2">
      <c r="A1623" t="s">
        <v>4358</v>
      </c>
      <c r="B1623">
        <v>0</v>
      </c>
      <c r="C1623">
        <v>0</v>
      </c>
      <c r="D1623">
        <v>0</v>
      </c>
      <c r="E1623">
        <v>0</v>
      </c>
      <c r="F1623">
        <v>0</v>
      </c>
      <c r="G1623">
        <v>0</v>
      </c>
      <c r="H1623">
        <v>0</v>
      </c>
      <c r="I1623">
        <v>0</v>
      </c>
      <c r="J1623">
        <v>0</v>
      </c>
      <c r="K1623">
        <v>0</v>
      </c>
    </row>
    <row r="1624" spans="1:11" x14ac:dyDescent="0.2">
      <c r="A1624" t="s">
        <v>4359</v>
      </c>
      <c r="B1624">
        <v>0</v>
      </c>
      <c r="C1624">
        <v>0</v>
      </c>
      <c r="D1624">
        <v>0</v>
      </c>
      <c r="E1624">
        <v>0</v>
      </c>
      <c r="F1624">
        <v>0</v>
      </c>
      <c r="G1624">
        <v>0</v>
      </c>
      <c r="H1624">
        <v>0</v>
      </c>
      <c r="I1624">
        <v>0</v>
      </c>
      <c r="J1624">
        <v>0</v>
      </c>
      <c r="K1624">
        <v>0</v>
      </c>
    </row>
    <row r="1625" spans="1:11" x14ac:dyDescent="0.2">
      <c r="A1625" t="s">
        <v>4360</v>
      </c>
      <c r="B1625">
        <v>0</v>
      </c>
      <c r="C1625">
        <v>0</v>
      </c>
      <c r="D1625">
        <v>0</v>
      </c>
      <c r="E1625">
        <v>4</v>
      </c>
      <c r="F1625">
        <v>0</v>
      </c>
      <c r="G1625">
        <v>0</v>
      </c>
      <c r="H1625">
        <v>0</v>
      </c>
      <c r="I1625">
        <v>0</v>
      </c>
      <c r="J1625">
        <v>0</v>
      </c>
      <c r="K1625">
        <v>0</v>
      </c>
    </row>
    <row r="1626" spans="1:11" x14ac:dyDescent="0.2">
      <c r="A1626" t="s">
        <v>4361</v>
      </c>
      <c r="B1626">
        <v>0</v>
      </c>
      <c r="C1626">
        <v>0</v>
      </c>
      <c r="D1626">
        <v>0</v>
      </c>
      <c r="E1626">
        <v>2</v>
      </c>
      <c r="F1626">
        <v>0</v>
      </c>
      <c r="G1626">
        <v>0</v>
      </c>
      <c r="H1626">
        <v>0</v>
      </c>
      <c r="I1626">
        <v>0</v>
      </c>
      <c r="J1626">
        <v>0</v>
      </c>
      <c r="K1626">
        <v>0</v>
      </c>
    </row>
    <row r="1627" spans="1:11" x14ac:dyDescent="0.2">
      <c r="A1627" t="s">
        <v>4362</v>
      </c>
      <c r="B1627">
        <v>0</v>
      </c>
      <c r="C1627">
        <v>0</v>
      </c>
      <c r="D1627">
        <v>0</v>
      </c>
      <c r="E1627">
        <v>0</v>
      </c>
      <c r="F1627">
        <v>0</v>
      </c>
      <c r="G1627">
        <v>0</v>
      </c>
      <c r="H1627">
        <v>0</v>
      </c>
      <c r="I1627">
        <v>0</v>
      </c>
      <c r="J1627">
        <v>0</v>
      </c>
      <c r="K1627">
        <v>0</v>
      </c>
    </row>
    <row r="1628" spans="1:11" x14ac:dyDescent="0.2">
      <c r="A1628" t="s">
        <v>4363</v>
      </c>
      <c r="B1628">
        <v>0</v>
      </c>
      <c r="C1628">
        <v>0</v>
      </c>
      <c r="D1628">
        <v>0</v>
      </c>
      <c r="E1628">
        <v>0</v>
      </c>
      <c r="F1628">
        <v>0</v>
      </c>
      <c r="G1628">
        <v>0</v>
      </c>
      <c r="H1628">
        <v>0</v>
      </c>
      <c r="I1628">
        <v>0</v>
      </c>
      <c r="J1628">
        <v>0</v>
      </c>
      <c r="K1628">
        <v>0</v>
      </c>
    </row>
    <row r="1629" spans="1:11" x14ac:dyDescent="0.2">
      <c r="A1629" t="s">
        <v>4364</v>
      </c>
      <c r="B1629">
        <v>0</v>
      </c>
      <c r="C1629">
        <v>0</v>
      </c>
      <c r="D1629">
        <v>0</v>
      </c>
      <c r="E1629">
        <v>0</v>
      </c>
      <c r="F1629">
        <v>0</v>
      </c>
      <c r="G1629">
        <v>0</v>
      </c>
      <c r="H1629">
        <v>0</v>
      </c>
      <c r="I1629">
        <v>0</v>
      </c>
      <c r="J1629">
        <v>0</v>
      </c>
      <c r="K1629">
        <v>0</v>
      </c>
    </row>
    <row r="1630" spans="1:11" x14ac:dyDescent="0.2">
      <c r="A1630" t="s">
        <v>4365</v>
      </c>
      <c r="B1630">
        <v>0</v>
      </c>
      <c r="C1630">
        <v>0</v>
      </c>
      <c r="D1630">
        <v>0</v>
      </c>
      <c r="E1630">
        <v>6</v>
      </c>
      <c r="F1630">
        <v>0</v>
      </c>
      <c r="G1630">
        <v>0</v>
      </c>
      <c r="H1630">
        <v>0</v>
      </c>
      <c r="I1630">
        <v>0</v>
      </c>
      <c r="J1630">
        <v>0</v>
      </c>
      <c r="K1630">
        <v>0</v>
      </c>
    </row>
    <row r="1631" spans="1:11" x14ac:dyDescent="0.2">
      <c r="A1631" t="s">
        <v>4366</v>
      </c>
      <c r="B1631">
        <v>0</v>
      </c>
      <c r="C1631">
        <v>0</v>
      </c>
      <c r="D1631">
        <v>0</v>
      </c>
      <c r="E1631">
        <v>0</v>
      </c>
      <c r="F1631">
        <v>0</v>
      </c>
      <c r="G1631">
        <v>0</v>
      </c>
      <c r="H1631">
        <v>0</v>
      </c>
      <c r="I1631">
        <v>0</v>
      </c>
      <c r="J1631">
        <v>0</v>
      </c>
      <c r="K1631">
        <v>0</v>
      </c>
    </row>
    <row r="1632" spans="1:11" x14ac:dyDescent="0.2">
      <c r="A1632" t="s">
        <v>4367</v>
      </c>
      <c r="B1632">
        <v>0</v>
      </c>
      <c r="C1632">
        <v>0</v>
      </c>
      <c r="D1632">
        <v>0</v>
      </c>
      <c r="E1632">
        <v>0</v>
      </c>
      <c r="F1632">
        <v>0</v>
      </c>
      <c r="G1632">
        <v>0</v>
      </c>
      <c r="H1632">
        <v>0</v>
      </c>
      <c r="I1632">
        <v>0</v>
      </c>
      <c r="J1632">
        <v>0</v>
      </c>
      <c r="K1632">
        <v>0</v>
      </c>
    </row>
    <row r="1633" spans="1:11" x14ac:dyDescent="0.2">
      <c r="A1633" t="s">
        <v>4368</v>
      </c>
      <c r="B1633">
        <v>0</v>
      </c>
      <c r="C1633">
        <v>0</v>
      </c>
      <c r="D1633">
        <v>1</v>
      </c>
      <c r="E1633">
        <v>368</v>
      </c>
      <c r="F1633">
        <v>5</v>
      </c>
      <c r="G1633">
        <v>0</v>
      </c>
      <c r="H1633">
        <v>0</v>
      </c>
      <c r="I1633">
        <v>0</v>
      </c>
      <c r="J1633">
        <v>0</v>
      </c>
      <c r="K1633">
        <v>0</v>
      </c>
    </row>
    <row r="1634" spans="1:11" x14ac:dyDescent="0.2">
      <c r="A1634" t="s">
        <v>4369</v>
      </c>
      <c r="B1634">
        <v>0</v>
      </c>
      <c r="C1634">
        <v>0</v>
      </c>
      <c r="D1634">
        <v>2</v>
      </c>
      <c r="E1634">
        <v>148</v>
      </c>
      <c r="F1634">
        <v>6</v>
      </c>
      <c r="G1634">
        <v>0</v>
      </c>
      <c r="H1634">
        <v>0</v>
      </c>
      <c r="I1634">
        <v>0</v>
      </c>
      <c r="J1634">
        <v>0</v>
      </c>
      <c r="K1634">
        <v>0</v>
      </c>
    </row>
    <row r="1635" spans="1:11" x14ac:dyDescent="0.2">
      <c r="A1635" t="s">
        <v>4370</v>
      </c>
      <c r="B1635">
        <v>0</v>
      </c>
      <c r="C1635">
        <v>0</v>
      </c>
      <c r="D1635">
        <v>0</v>
      </c>
      <c r="E1635">
        <v>3</v>
      </c>
      <c r="F1635">
        <v>0</v>
      </c>
      <c r="G1635">
        <v>0</v>
      </c>
      <c r="H1635">
        <v>0</v>
      </c>
      <c r="I1635">
        <v>0</v>
      </c>
      <c r="J1635">
        <v>0</v>
      </c>
      <c r="K1635">
        <v>0</v>
      </c>
    </row>
    <row r="1636" spans="1:11" x14ac:dyDescent="0.2">
      <c r="A1636" t="s">
        <v>4371</v>
      </c>
      <c r="B1636">
        <v>0</v>
      </c>
      <c r="C1636">
        <v>0</v>
      </c>
      <c r="D1636">
        <v>0</v>
      </c>
      <c r="E1636">
        <v>2</v>
      </c>
      <c r="F1636">
        <v>0</v>
      </c>
      <c r="G1636">
        <v>0</v>
      </c>
      <c r="H1636">
        <v>0</v>
      </c>
      <c r="I1636">
        <v>0</v>
      </c>
      <c r="J1636">
        <v>0</v>
      </c>
      <c r="K1636">
        <v>0</v>
      </c>
    </row>
    <row r="1637" spans="1:11" x14ac:dyDescent="0.2">
      <c r="A1637" t="s">
        <v>4372</v>
      </c>
      <c r="B1637">
        <v>0</v>
      </c>
      <c r="C1637">
        <v>0</v>
      </c>
      <c r="D1637">
        <v>0</v>
      </c>
      <c r="E1637">
        <v>0</v>
      </c>
      <c r="F1637">
        <v>0</v>
      </c>
      <c r="G1637">
        <v>0</v>
      </c>
      <c r="H1637">
        <v>0</v>
      </c>
      <c r="I1637">
        <v>0</v>
      </c>
      <c r="J1637">
        <v>0</v>
      </c>
      <c r="K1637">
        <v>0</v>
      </c>
    </row>
    <row r="1638" spans="1:11" x14ac:dyDescent="0.2">
      <c r="A1638" t="s">
        <v>4373</v>
      </c>
      <c r="B1638">
        <v>0</v>
      </c>
      <c r="C1638">
        <v>0</v>
      </c>
      <c r="D1638">
        <v>0</v>
      </c>
      <c r="E1638">
        <v>0</v>
      </c>
      <c r="F1638">
        <v>0</v>
      </c>
      <c r="G1638">
        <v>0</v>
      </c>
      <c r="H1638">
        <v>0</v>
      </c>
      <c r="I1638">
        <v>0</v>
      </c>
      <c r="J1638">
        <v>0</v>
      </c>
      <c r="K1638">
        <v>0</v>
      </c>
    </row>
    <row r="1639" spans="1:11" x14ac:dyDescent="0.2">
      <c r="A1639" t="s">
        <v>4374</v>
      </c>
      <c r="B1639">
        <v>0</v>
      </c>
      <c r="C1639">
        <v>0</v>
      </c>
      <c r="D1639">
        <v>0</v>
      </c>
      <c r="E1639">
        <v>0</v>
      </c>
      <c r="F1639">
        <v>0</v>
      </c>
      <c r="G1639">
        <v>0</v>
      </c>
      <c r="H1639">
        <v>0</v>
      </c>
      <c r="I1639">
        <v>0</v>
      </c>
      <c r="J1639">
        <v>0</v>
      </c>
      <c r="K1639">
        <v>0</v>
      </c>
    </row>
    <row r="1640" spans="1:11" x14ac:dyDescent="0.2">
      <c r="A1640" t="s">
        <v>4375</v>
      </c>
      <c r="B1640">
        <v>0</v>
      </c>
      <c r="C1640">
        <v>0</v>
      </c>
      <c r="D1640">
        <v>0</v>
      </c>
      <c r="E1640">
        <v>0</v>
      </c>
      <c r="F1640">
        <v>0</v>
      </c>
      <c r="G1640">
        <v>0</v>
      </c>
      <c r="H1640">
        <v>0</v>
      </c>
      <c r="I1640">
        <v>0</v>
      </c>
      <c r="J1640">
        <v>0</v>
      </c>
      <c r="K1640">
        <v>0</v>
      </c>
    </row>
    <row r="1641" spans="1:11" x14ac:dyDescent="0.2">
      <c r="A1641" t="s">
        <v>4376</v>
      </c>
      <c r="B1641">
        <v>0</v>
      </c>
      <c r="C1641">
        <v>0</v>
      </c>
      <c r="D1641">
        <v>0</v>
      </c>
      <c r="E1641">
        <v>0</v>
      </c>
      <c r="F1641">
        <v>0</v>
      </c>
      <c r="G1641">
        <v>0</v>
      </c>
      <c r="H1641">
        <v>0</v>
      </c>
      <c r="I1641">
        <v>0</v>
      </c>
      <c r="J1641">
        <v>0</v>
      </c>
      <c r="K1641">
        <v>0</v>
      </c>
    </row>
    <row r="1642" spans="1:11" x14ac:dyDescent="0.2">
      <c r="A1642" t="s">
        <v>4377</v>
      </c>
      <c r="B1642">
        <v>0</v>
      </c>
      <c r="C1642">
        <v>0</v>
      </c>
      <c r="D1642">
        <v>0</v>
      </c>
      <c r="E1642">
        <v>1</v>
      </c>
      <c r="F1642">
        <v>0</v>
      </c>
      <c r="G1642">
        <v>0</v>
      </c>
      <c r="H1642">
        <v>0</v>
      </c>
      <c r="I1642">
        <v>0</v>
      </c>
      <c r="J1642">
        <v>0</v>
      </c>
      <c r="K1642">
        <v>0</v>
      </c>
    </row>
    <row r="1643" spans="1:11" x14ac:dyDescent="0.2">
      <c r="A1643" t="s">
        <v>4854</v>
      </c>
      <c r="B1643">
        <v>0</v>
      </c>
      <c r="C1643">
        <v>0</v>
      </c>
      <c r="D1643">
        <v>153</v>
      </c>
      <c r="E1643">
        <v>7971</v>
      </c>
      <c r="F1643">
        <v>403</v>
      </c>
      <c r="G1643">
        <v>0</v>
      </c>
      <c r="H1643">
        <v>0</v>
      </c>
      <c r="I1643">
        <v>0</v>
      </c>
      <c r="J1643">
        <v>0</v>
      </c>
      <c r="K1643">
        <v>0</v>
      </c>
    </row>
    <row r="1644" spans="1:11" x14ac:dyDescent="0.2">
      <c r="A1644" t="s">
        <v>2318</v>
      </c>
      <c r="B1644" t="s">
        <v>4399</v>
      </c>
      <c r="C1644" t="s">
        <v>4399</v>
      </c>
      <c r="D1644" t="s">
        <v>4399</v>
      </c>
      <c r="E1644" t="s">
        <v>4399</v>
      </c>
      <c r="F1644" t="s">
        <v>4399</v>
      </c>
      <c r="G1644" t="s">
        <v>4399</v>
      </c>
      <c r="H1644" t="s">
        <v>4399</v>
      </c>
      <c r="I1644" t="s">
        <v>4399</v>
      </c>
      <c r="J1644" t="s">
        <v>4399</v>
      </c>
      <c r="K1644" t="s">
        <v>4399</v>
      </c>
    </row>
    <row r="1645" spans="1:11" x14ac:dyDescent="0.2">
      <c r="A1645" t="s">
        <v>4248</v>
      </c>
    </row>
    <row r="1646" spans="1:11" x14ac:dyDescent="0.2">
      <c r="A1646" t="s">
        <v>4855</v>
      </c>
      <c r="B1646" t="s">
        <v>4856</v>
      </c>
      <c r="C1646" t="s">
        <v>4857</v>
      </c>
      <c r="D1646" t="s">
        <v>4858</v>
      </c>
      <c r="E1646" t="s">
        <v>4859</v>
      </c>
      <c r="F1646" t="s">
        <v>4860</v>
      </c>
      <c r="G1646" t="s">
        <v>4868</v>
      </c>
    </row>
    <row r="1647" spans="1:11" x14ac:dyDescent="0.2">
      <c r="A1647" t="s">
        <v>2318</v>
      </c>
      <c r="B1647" t="s">
        <v>4399</v>
      </c>
      <c r="C1647" t="s">
        <v>4399</v>
      </c>
      <c r="D1647" t="s">
        <v>4399</v>
      </c>
      <c r="E1647" t="s">
        <v>4399</v>
      </c>
      <c r="F1647" t="s">
        <v>4399</v>
      </c>
      <c r="G1647" t="s">
        <v>4399</v>
      </c>
      <c r="H1647" t="s">
        <v>4399</v>
      </c>
      <c r="I1647" t="s">
        <v>4399</v>
      </c>
      <c r="J1647" t="s">
        <v>4399</v>
      </c>
      <c r="K1647" t="s">
        <v>4399</v>
      </c>
    </row>
    <row r="1648" spans="1:11" x14ac:dyDescent="0.2">
      <c r="A1648" t="s">
        <v>126</v>
      </c>
      <c r="B1648" t="s">
        <v>4692</v>
      </c>
      <c r="C1648" t="s">
        <v>4696</v>
      </c>
      <c r="D1648" t="s">
        <v>394</v>
      </c>
      <c r="E1648" t="s">
        <v>395</v>
      </c>
      <c r="F1648" t="s">
        <v>4706</v>
      </c>
      <c r="G1648" t="s">
        <v>4710</v>
      </c>
      <c r="H1648" t="s">
        <v>4714</v>
      </c>
      <c r="I1648" t="s">
        <v>4718</v>
      </c>
      <c r="J1648" t="s">
        <v>4722</v>
      </c>
      <c r="K1648" t="s">
        <v>4726</v>
      </c>
    </row>
    <row r="1649" spans="1:11" x14ac:dyDescent="0.2">
      <c r="A1649" t="s">
        <v>2318</v>
      </c>
      <c r="B1649" t="s">
        <v>4399</v>
      </c>
      <c r="C1649" t="s">
        <v>4399</v>
      </c>
      <c r="D1649" t="s">
        <v>4399</v>
      </c>
      <c r="E1649" t="s">
        <v>4399</v>
      </c>
      <c r="F1649" t="s">
        <v>4399</v>
      </c>
      <c r="G1649" t="s">
        <v>4399</v>
      </c>
      <c r="H1649" t="s">
        <v>4399</v>
      </c>
      <c r="I1649" t="s">
        <v>4399</v>
      </c>
      <c r="J1649" t="s">
        <v>4399</v>
      </c>
      <c r="K1649" t="s">
        <v>4399</v>
      </c>
    </row>
    <row r="1650" spans="1:11" x14ac:dyDescent="0.2">
      <c r="A1650" t="s">
        <v>4265</v>
      </c>
      <c r="B1650">
        <v>0</v>
      </c>
      <c r="C1650">
        <v>0</v>
      </c>
      <c r="D1650">
        <v>0</v>
      </c>
      <c r="E1650">
        <v>0</v>
      </c>
      <c r="F1650">
        <v>0</v>
      </c>
      <c r="G1650">
        <v>0</v>
      </c>
      <c r="H1650">
        <v>0</v>
      </c>
      <c r="I1650">
        <v>0</v>
      </c>
      <c r="J1650">
        <v>0</v>
      </c>
      <c r="K1650">
        <v>0</v>
      </c>
    </row>
    <row r="1651" spans="1:11" x14ac:dyDescent="0.2">
      <c r="A1651" t="s">
        <v>4266</v>
      </c>
      <c r="B1651">
        <v>0</v>
      </c>
      <c r="C1651">
        <v>0</v>
      </c>
      <c r="D1651">
        <v>0</v>
      </c>
      <c r="E1651">
        <v>0</v>
      </c>
      <c r="F1651">
        <v>0</v>
      </c>
      <c r="G1651">
        <v>0</v>
      </c>
      <c r="H1651">
        <v>0</v>
      </c>
      <c r="I1651">
        <v>0</v>
      </c>
      <c r="J1651">
        <v>0</v>
      </c>
      <c r="K1651">
        <v>0</v>
      </c>
    </row>
    <row r="1652" spans="1:11" x14ac:dyDescent="0.2">
      <c r="A1652" t="s">
        <v>4267</v>
      </c>
      <c r="B1652">
        <v>0</v>
      </c>
      <c r="C1652">
        <v>0</v>
      </c>
      <c r="D1652">
        <v>0</v>
      </c>
      <c r="E1652">
        <v>0</v>
      </c>
      <c r="F1652">
        <v>0</v>
      </c>
      <c r="G1652">
        <v>0</v>
      </c>
      <c r="H1652">
        <v>0</v>
      </c>
      <c r="I1652">
        <v>0</v>
      </c>
      <c r="J1652">
        <v>0</v>
      </c>
      <c r="K1652">
        <v>0</v>
      </c>
    </row>
    <row r="1653" spans="1:11" x14ac:dyDescent="0.2">
      <c r="A1653" t="s">
        <v>4268</v>
      </c>
      <c r="B1653">
        <v>0</v>
      </c>
      <c r="C1653">
        <v>0</v>
      </c>
      <c r="D1653">
        <v>0</v>
      </c>
      <c r="E1653">
        <v>0</v>
      </c>
      <c r="F1653">
        <v>0</v>
      </c>
      <c r="G1653">
        <v>0</v>
      </c>
      <c r="H1653">
        <v>0</v>
      </c>
      <c r="I1653">
        <v>0</v>
      </c>
      <c r="J1653">
        <v>0</v>
      </c>
      <c r="K1653">
        <v>0</v>
      </c>
    </row>
    <row r="1654" spans="1:11" x14ac:dyDescent="0.2">
      <c r="A1654" t="s">
        <v>4269</v>
      </c>
      <c r="B1654">
        <v>0</v>
      </c>
      <c r="C1654">
        <v>0</v>
      </c>
      <c r="D1654">
        <v>0</v>
      </c>
      <c r="E1654">
        <v>0</v>
      </c>
      <c r="F1654">
        <v>0</v>
      </c>
      <c r="G1654">
        <v>0</v>
      </c>
      <c r="H1654">
        <v>0</v>
      </c>
      <c r="I1654">
        <v>0</v>
      </c>
      <c r="J1654">
        <v>0</v>
      </c>
      <c r="K1654">
        <v>0</v>
      </c>
    </row>
    <row r="1655" spans="1:11" x14ac:dyDescent="0.2">
      <c r="A1655" t="s">
        <v>4270</v>
      </c>
      <c r="B1655">
        <v>0</v>
      </c>
      <c r="C1655">
        <v>0</v>
      </c>
      <c r="D1655">
        <v>0</v>
      </c>
      <c r="E1655">
        <v>0</v>
      </c>
      <c r="F1655">
        <v>0</v>
      </c>
      <c r="G1655">
        <v>0</v>
      </c>
      <c r="H1655">
        <v>0</v>
      </c>
      <c r="I1655">
        <v>0</v>
      </c>
      <c r="J1655">
        <v>0</v>
      </c>
      <c r="K1655">
        <v>0</v>
      </c>
    </row>
    <row r="1656" spans="1:11" x14ac:dyDescent="0.2">
      <c r="A1656" t="s">
        <v>4271</v>
      </c>
      <c r="B1656">
        <v>0</v>
      </c>
      <c r="C1656">
        <v>0</v>
      </c>
      <c r="D1656">
        <v>0</v>
      </c>
      <c r="E1656">
        <v>0</v>
      </c>
      <c r="F1656">
        <v>0</v>
      </c>
      <c r="G1656">
        <v>0</v>
      </c>
      <c r="H1656">
        <v>0</v>
      </c>
      <c r="I1656">
        <v>0</v>
      </c>
      <c r="J1656">
        <v>0</v>
      </c>
      <c r="K1656">
        <v>0</v>
      </c>
    </row>
    <row r="1657" spans="1:11" x14ac:dyDescent="0.2">
      <c r="A1657" t="s">
        <v>4272</v>
      </c>
      <c r="B1657">
        <v>0</v>
      </c>
      <c r="C1657">
        <v>0</v>
      </c>
      <c r="D1657">
        <v>0</v>
      </c>
      <c r="E1657">
        <v>0</v>
      </c>
      <c r="F1657">
        <v>0</v>
      </c>
      <c r="G1657">
        <v>0</v>
      </c>
      <c r="H1657">
        <v>0</v>
      </c>
      <c r="I1657">
        <v>0</v>
      </c>
      <c r="J1657">
        <v>0</v>
      </c>
      <c r="K1657">
        <v>0</v>
      </c>
    </row>
    <row r="1658" spans="1:11" x14ac:dyDescent="0.2">
      <c r="A1658" t="s">
        <v>4273</v>
      </c>
      <c r="B1658">
        <v>0</v>
      </c>
      <c r="C1658">
        <v>0</v>
      </c>
      <c r="D1658">
        <v>0</v>
      </c>
      <c r="E1658">
        <v>0</v>
      </c>
      <c r="F1658">
        <v>0</v>
      </c>
      <c r="G1658">
        <v>0</v>
      </c>
      <c r="H1658">
        <v>0</v>
      </c>
      <c r="I1658">
        <v>0</v>
      </c>
      <c r="J1658">
        <v>0</v>
      </c>
      <c r="K1658">
        <v>0</v>
      </c>
    </row>
    <row r="1659" spans="1:11" x14ac:dyDescent="0.2">
      <c r="A1659" t="s">
        <v>4274</v>
      </c>
      <c r="B1659">
        <v>0</v>
      </c>
      <c r="C1659">
        <v>0</v>
      </c>
      <c r="D1659">
        <v>0</v>
      </c>
      <c r="E1659">
        <v>0</v>
      </c>
      <c r="F1659">
        <v>0</v>
      </c>
      <c r="G1659">
        <v>0</v>
      </c>
      <c r="H1659">
        <v>0</v>
      </c>
      <c r="I1659">
        <v>0</v>
      </c>
      <c r="J1659">
        <v>0</v>
      </c>
      <c r="K1659">
        <v>0</v>
      </c>
    </row>
    <row r="1660" spans="1:11" x14ac:dyDescent="0.2">
      <c r="A1660" t="s">
        <v>4275</v>
      </c>
      <c r="B1660">
        <v>0</v>
      </c>
      <c r="C1660">
        <v>0</v>
      </c>
      <c r="D1660">
        <v>0</v>
      </c>
      <c r="E1660">
        <v>0</v>
      </c>
      <c r="F1660">
        <v>0</v>
      </c>
      <c r="G1660">
        <v>0</v>
      </c>
      <c r="H1660">
        <v>0</v>
      </c>
      <c r="I1660">
        <v>0</v>
      </c>
      <c r="J1660">
        <v>0</v>
      </c>
      <c r="K1660">
        <v>0</v>
      </c>
    </row>
    <row r="1661" spans="1:11" x14ac:dyDescent="0.2">
      <c r="A1661" t="s">
        <v>4276</v>
      </c>
      <c r="B1661">
        <v>0</v>
      </c>
      <c r="C1661">
        <v>0</v>
      </c>
      <c r="D1661">
        <v>0</v>
      </c>
      <c r="E1661">
        <v>0</v>
      </c>
      <c r="F1661">
        <v>0</v>
      </c>
      <c r="G1661">
        <v>0</v>
      </c>
      <c r="H1661">
        <v>0</v>
      </c>
      <c r="I1661">
        <v>0</v>
      </c>
      <c r="J1661">
        <v>0</v>
      </c>
      <c r="K1661">
        <v>0</v>
      </c>
    </row>
    <row r="1662" spans="1:11" x14ac:dyDescent="0.2">
      <c r="A1662" t="s">
        <v>4277</v>
      </c>
      <c r="B1662">
        <v>0</v>
      </c>
      <c r="C1662">
        <v>0</v>
      </c>
      <c r="D1662">
        <v>0</v>
      </c>
      <c r="E1662">
        <v>0</v>
      </c>
      <c r="F1662">
        <v>0</v>
      </c>
      <c r="G1662">
        <v>0</v>
      </c>
      <c r="H1662">
        <v>0</v>
      </c>
      <c r="I1662">
        <v>0</v>
      </c>
      <c r="J1662">
        <v>0</v>
      </c>
      <c r="K1662">
        <v>0</v>
      </c>
    </row>
    <row r="1663" spans="1:11" x14ac:dyDescent="0.2">
      <c r="A1663" t="s">
        <v>4278</v>
      </c>
      <c r="B1663">
        <v>0</v>
      </c>
      <c r="C1663">
        <v>0</v>
      </c>
      <c r="D1663">
        <v>0</v>
      </c>
      <c r="E1663">
        <v>0</v>
      </c>
      <c r="F1663">
        <v>0</v>
      </c>
      <c r="G1663">
        <v>0</v>
      </c>
      <c r="H1663">
        <v>0</v>
      </c>
      <c r="I1663">
        <v>0</v>
      </c>
      <c r="J1663">
        <v>0</v>
      </c>
      <c r="K1663">
        <v>0</v>
      </c>
    </row>
    <row r="1664" spans="1:11" x14ac:dyDescent="0.2">
      <c r="A1664" t="s">
        <v>4279</v>
      </c>
      <c r="B1664">
        <v>0</v>
      </c>
      <c r="C1664">
        <v>0</v>
      </c>
      <c r="D1664">
        <v>0</v>
      </c>
      <c r="E1664">
        <v>0</v>
      </c>
      <c r="F1664">
        <v>0</v>
      </c>
      <c r="G1664">
        <v>0</v>
      </c>
      <c r="H1664">
        <v>0</v>
      </c>
      <c r="I1664">
        <v>0</v>
      </c>
      <c r="J1664">
        <v>0</v>
      </c>
      <c r="K1664">
        <v>0</v>
      </c>
    </row>
    <row r="1665" spans="1:11" x14ac:dyDescent="0.2">
      <c r="A1665" t="s">
        <v>4280</v>
      </c>
      <c r="B1665">
        <v>0</v>
      </c>
      <c r="C1665">
        <v>0</v>
      </c>
      <c r="D1665">
        <v>0</v>
      </c>
      <c r="E1665">
        <v>0</v>
      </c>
      <c r="F1665">
        <v>0</v>
      </c>
      <c r="G1665">
        <v>0</v>
      </c>
      <c r="H1665">
        <v>0</v>
      </c>
      <c r="I1665">
        <v>0</v>
      </c>
      <c r="J1665">
        <v>0</v>
      </c>
      <c r="K1665">
        <v>0</v>
      </c>
    </row>
    <row r="1666" spans="1:11" x14ac:dyDescent="0.2">
      <c r="A1666" t="s">
        <v>4281</v>
      </c>
      <c r="B1666">
        <v>0</v>
      </c>
      <c r="C1666">
        <v>0</v>
      </c>
      <c r="D1666">
        <v>2</v>
      </c>
      <c r="E1666">
        <v>39</v>
      </c>
      <c r="F1666">
        <v>2</v>
      </c>
      <c r="G1666">
        <v>0</v>
      </c>
      <c r="H1666">
        <v>0</v>
      </c>
      <c r="I1666">
        <v>0</v>
      </c>
      <c r="J1666">
        <v>0</v>
      </c>
      <c r="K1666">
        <v>0</v>
      </c>
    </row>
    <row r="1667" spans="1:11" x14ac:dyDescent="0.2">
      <c r="A1667" t="s">
        <v>4282</v>
      </c>
      <c r="B1667">
        <v>0</v>
      </c>
      <c r="C1667">
        <v>0</v>
      </c>
      <c r="D1667">
        <v>1</v>
      </c>
      <c r="E1667">
        <v>16</v>
      </c>
      <c r="F1667">
        <v>1</v>
      </c>
      <c r="G1667">
        <v>0</v>
      </c>
      <c r="H1667">
        <v>0</v>
      </c>
      <c r="I1667">
        <v>0</v>
      </c>
      <c r="J1667">
        <v>0</v>
      </c>
      <c r="K1667">
        <v>0</v>
      </c>
    </row>
    <row r="1668" spans="1:11" x14ac:dyDescent="0.2">
      <c r="A1668" t="s">
        <v>4283</v>
      </c>
      <c r="B1668">
        <v>0</v>
      </c>
      <c r="C1668">
        <v>0</v>
      </c>
      <c r="D1668">
        <v>1</v>
      </c>
      <c r="E1668">
        <v>8</v>
      </c>
      <c r="F1668">
        <v>1</v>
      </c>
      <c r="G1668">
        <v>0</v>
      </c>
      <c r="H1668">
        <v>0</v>
      </c>
      <c r="I1668">
        <v>0</v>
      </c>
      <c r="J1668">
        <v>0</v>
      </c>
      <c r="K1668">
        <v>0</v>
      </c>
    </row>
    <row r="1669" spans="1:11" x14ac:dyDescent="0.2">
      <c r="A1669" t="s">
        <v>4284</v>
      </c>
      <c r="B1669">
        <v>0</v>
      </c>
      <c r="C1669">
        <v>0</v>
      </c>
      <c r="D1669">
        <v>0</v>
      </c>
      <c r="E1669">
        <v>0</v>
      </c>
      <c r="F1669">
        <v>0</v>
      </c>
      <c r="G1669">
        <v>0</v>
      </c>
      <c r="H1669">
        <v>0</v>
      </c>
      <c r="I1669">
        <v>0</v>
      </c>
      <c r="J1669">
        <v>0</v>
      </c>
      <c r="K1669">
        <v>0</v>
      </c>
    </row>
    <row r="1670" spans="1:11" x14ac:dyDescent="0.2">
      <c r="A1670" t="s">
        <v>4285</v>
      </c>
      <c r="B1670">
        <v>0</v>
      </c>
      <c r="C1670">
        <v>0</v>
      </c>
      <c r="D1670">
        <v>2</v>
      </c>
      <c r="E1670">
        <v>30</v>
      </c>
      <c r="F1670">
        <v>1</v>
      </c>
      <c r="G1670">
        <v>0</v>
      </c>
      <c r="H1670">
        <v>0</v>
      </c>
      <c r="I1670">
        <v>0</v>
      </c>
      <c r="J1670">
        <v>0</v>
      </c>
      <c r="K1670">
        <v>0</v>
      </c>
    </row>
    <row r="1671" spans="1:11" x14ac:dyDescent="0.2">
      <c r="A1671" t="s">
        <v>4286</v>
      </c>
      <c r="B1671">
        <v>0</v>
      </c>
      <c r="C1671">
        <v>0</v>
      </c>
      <c r="D1671">
        <v>1</v>
      </c>
      <c r="E1671">
        <v>4</v>
      </c>
      <c r="F1671">
        <v>1</v>
      </c>
      <c r="G1671">
        <v>0</v>
      </c>
      <c r="H1671">
        <v>0</v>
      </c>
      <c r="I1671">
        <v>0</v>
      </c>
      <c r="J1671">
        <v>0</v>
      </c>
      <c r="K1671">
        <v>0</v>
      </c>
    </row>
    <row r="1672" spans="1:11" x14ac:dyDescent="0.2">
      <c r="A1672" t="s">
        <v>4287</v>
      </c>
      <c r="B1672">
        <v>0</v>
      </c>
      <c r="C1672">
        <v>0</v>
      </c>
      <c r="D1672">
        <v>0</v>
      </c>
      <c r="E1672">
        <v>1</v>
      </c>
      <c r="F1672">
        <v>0</v>
      </c>
      <c r="G1672">
        <v>0</v>
      </c>
      <c r="H1672">
        <v>0</v>
      </c>
      <c r="I1672">
        <v>0</v>
      </c>
      <c r="J1672">
        <v>0</v>
      </c>
      <c r="K1672">
        <v>0</v>
      </c>
    </row>
    <row r="1673" spans="1:11" x14ac:dyDescent="0.2">
      <c r="A1673" t="s">
        <v>4288</v>
      </c>
      <c r="B1673">
        <v>0</v>
      </c>
      <c r="C1673">
        <v>0</v>
      </c>
      <c r="D1673">
        <v>0</v>
      </c>
      <c r="E1673">
        <v>0</v>
      </c>
      <c r="F1673">
        <v>0</v>
      </c>
      <c r="G1673">
        <v>0</v>
      </c>
      <c r="H1673">
        <v>0</v>
      </c>
      <c r="I1673">
        <v>0</v>
      </c>
      <c r="J1673">
        <v>0</v>
      </c>
      <c r="K1673">
        <v>0</v>
      </c>
    </row>
    <row r="1674" spans="1:11" x14ac:dyDescent="0.2">
      <c r="A1674" t="s">
        <v>4289</v>
      </c>
      <c r="B1674">
        <v>0</v>
      </c>
      <c r="C1674">
        <v>0</v>
      </c>
      <c r="D1674">
        <v>0</v>
      </c>
      <c r="E1674">
        <v>0</v>
      </c>
      <c r="F1674">
        <v>0</v>
      </c>
      <c r="G1674">
        <v>0</v>
      </c>
      <c r="H1674">
        <v>0</v>
      </c>
      <c r="I1674">
        <v>0</v>
      </c>
      <c r="J1674">
        <v>0</v>
      </c>
      <c r="K1674">
        <v>0</v>
      </c>
    </row>
    <row r="1675" spans="1:11" x14ac:dyDescent="0.2">
      <c r="A1675" t="s">
        <v>4290</v>
      </c>
      <c r="B1675">
        <v>0</v>
      </c>
      <c r="C1675">
        <v>0</v>
      </c>
      <c r="D1675">
        <v>0</v>
      </c>
      <c r="E1675">
        <v>0</v>
      </c>
      <c r="F1675">
        <v>0</v>
      </c>
      <c r="G1675">
        <v>0</v>
      </c>
      <c r="H1675">
        <v>0</v>
      </c>
      <c r="I1675">
        <v>0</v>
      </c>
      <c r="J1675">
        <v>0</v>
      </c>
      <c r="K1675">
        <v>0</v>
      </c>
    </row>
    <row r="1676" spans="1:11" x14ac:dyDescent="0.2">
      <c r="A1676" t="s">
        <v>4291</v>
      </c>
      <c r="B1676">
        <v>0</v>
      </c>
      <c r="C1676">
        <v>0</v>
      </c>
      <c r="D1676">
        <v>0</v>
      </c>
      <c r="E1676">
        <v>0</v>
      </c>
      <c r="F1676">
        <v>0</v>
      </c>
      <c r="G1676">
        <v>0</v>
      </c>
      <c r="H1676">
        <v>0</v>
      </c>
      <c r="I1676">
        <v>0</v>
      </c>
      <c r="J1676">
        <v>0</v>
      </c>
      <c r="K1676">
        <v>0</v>
      </c>
    </row>
    <row r="1677" spans="1:11" x14ac:dyDescent="0.2">
      <c r="A1677" t="s">
        <v>4292</v>
      </c>
      <c r="B1677">
        <v>0</v>
      </c>
      <c r="C1677">
        <v>0</v>
      </c>
      <c r="D1677">
        <v>0</v>
      </c>
      <c r="E1677">
        <v>0</v>
      </c>
      <c r="F1677">
        <v>0</v>
      </c>
      <c r="G1677">
        <v>0</v>
      </c>
      <c r="H1677">
        <v>0</v>
      </c>
      <c r="I1677">
        <v>0</v>
      </c>
      <c r="J1677">
        <v>0</v>
      </c>
      <c r="K1677">
        <v>0</v>
      </c>
    </row>
    <row r="1678" spans="1:11" x14ac:dyDescent="0.2">
      <c r="A1678" t="s">
        <v>4293</v>
      </c>
      <c r="B1678">
        <v>0</v>
      </c>
      <c r="C1678">
        <v>0</v>
      </c>
      <c r="D1678">
        <v>0</v>
      </c>
      <c r="E1678">
        <v>0</v>
      </c>
      <c r="F1678">
        <v>0</v>
      </c>
      <c r="G1678">
        <v>0</v>
      </c>
      <c r="H1678">
        <v>0</v>
      </c>
      <c r="I1678">
        <v>0</v>
      </c>
      <c r="J1678">
        <v>0</v>
      </c>
      <c r="K1678">
        <v>0</v>
      </c>
    </row>
    <row r="1679" spans="1:11" x14ac:dyDescent="0.2">
      <c r="A1679" t="s">
        <v>4294</v>
      </c>
      <c r="B1679">
        <v>0</v>
      </c>
      <c r="C1679">
        <v>0</v>
      </c>
      <c r="D1679">
        <v>0</v>
      </c>
      <c r="E1679">
        <v>0</v>
      </c>
      <c r="F1679">
        <v>0</v>
      </c>
      <c r="G1679">
        <v>0</v>
      </c>
      <c r="H1679">
        <v>0</v>
      </c>
      <c r="I1679">
        <v>0</v>
      </c>
      <c r="J1679">
        <v>0</v>
      </c>
      <c r="K1679">
        <v>0</v>
      </c>
    </row>
    <row r="1680" spans="1:11" x14ac:dyDescent="0.2">
      <c r="A1680" t="s">
        <v>4295</v>
      </c>
      <c r="B1680">
        <v>0</v>
      </c>
      <c r="C1680">
        <v>0</v>
      </c>
      <c r="D1680">
        <v>0</v>
      </c>
      <c r="E1680">
        <v>0</v>
      </c>
      <c r="F1680">
        <v>0</v>
      </c>
      <c r="G1680">
        <v>0</v>
      </c>
      <c r="H1680">
        <v>0</v>
      </c>
      <c r="I1680">
        <v>0</v>
      </c>
      <c r="J1680">
        <v>0</v>
      </c>
      <c r="K1680">
        <v>0</v>
      </c>
    </row>
    <row r="1681" spans="1:11" x14ac:dyDescent="0.2">
      <c r="A1681" t="s">
        <v>4296</v>
      </c>
      <c r="B1681">
        <v>0</v>
      </c>
      <c r="C1681">
        <v>0</v>
      </c>
      <c r="D1681">
        <v>0</v>
      </c>
      <c r="E1681">
        <v>0</v>
      </c>
      <c r="F1681">
        <v>0</v>
      </c>
      <c r="G1681">
        <v>0</v>
      </c>
      <c r="H1681">
        <v>0</v>
      </c>
      <c r="I1681">
        <v>0</v>
      </c>
      <c r="J1681">
        <v>0</v>
      </c>
      <c r="K1681">
        <v>0</v>
      </c>
    </row>
    <row r="1682" spans="1:11" x14ac:dyDescent="0.2">
      <c r="A1682" t="s">
        <v>4297</v>
      </c>
      <c r="B1682">
        <v>0</v>
      </c>
      <c r="C1682">
        <v>0</v>
      </c>
      <c r="D1682">
        <v>2</v>
      </c>
      <c r="E1682">
        <v>44</v>
      </c>
      <c r="F1682">
        <v>2</v>
      </c>
      <c r="G1682">
        <v>0</v>
      </c>
      <c r="H1682">
        <v>0</v>
      </c>
      <c r="I1682">
        <v>0</v>
      </c>
      <c r="J1682">
        <v>0</v>
      </c>
      <c r="K1682">
        <v>0</v>
      </c>
    </row>
    <row r="1683" spans="1:11" x14ac:dyDescent="0.2">
      <c r="A1683" t="s">
        <v>4298</v>
      </c>
      <c r="B1683">
        <v>0</v>
      </c>
      <c r="C1683">
        <v>0</v>
      </c>
      <c r="D1683">
        <v>2</v>
      </c>
      <c r="E1683">
        <v>22</v>
      </c>
      <c r="F1683">
        <v>2</v>
      </c>
      <c r="G1683">
        <v>0</v>
      </c>
      <c r="H1683">
        <v>0</v>
      </c>
      <c r="I1683">
        <v>0</v>
      </c>
      <c r="J1683">
        <v>0</v>
      </c>
      <c r="K1683">
        <v>0</v>
      </c>
    </row>
    <row r="1684" spans="1:11" x14ac:dyDescent="0.2">
      <c r="A1684" t="s">
        <v>4299</v>
      </c>
      <c r="B1684">
        <v>1</v>
      </c>
      <c r="C1684">
        <v>0</v>
      </c>
      <c r="D1684">
        <v>5</v>
      </c>
      <c r="E1684">
        <v>73</v>
      </c>
      <c r="F1684">
        <v>5</v>
      </c>
      <c r="G1684">
        <v>0</v>
      </c>
      <c r="H1684">
        <v>0</v>
      </c>
      <c r="I1684">
        <v>0</v>
      </c>
      <c r="J1684">
        <v>0</v>
      </c>
      <c r="K1684">
        <v>0</v>
      </c>
    </row>
    <row r="1685" spans="1:11" x14ac:dyDescent="0.2">
      <c r="A1685" t="s">
        <v>4300</v>
      </c>
      <c r="B1685">
        <v>0</v>
      </c>
      <c r="C1685">
        <v>0</v>
      </c>
      <c r="D1685">
        <v>0</v>
      </c>
      <c r="E1685">
        <v>2</v>
      </c>
      <c r="F1685">
        <v>0</v>
      </c>
      <c r="G1685">
        <v>0</v>
      </c>
      <c r="H1685">
        <v>0</v>
      </c>
      <c r="I1685">
        <v>0</v>
      </c>
      <c r="J1685">
        <v>0</v>
      </c>
      <c r="K1685">
        <v>0</v>
      </c>
    </row>
    <row r="1686" spans="1:11" x14ac:dyDescent="0.2">
      <c r="A1686" t="s">
        <v>4301</v>
      </c>
      <c r="B1686">
        <v>1</v>
      </c>
      <c r="C1686">
        <v>0</v>
      </c>
      <c r="D1686">
        <v>7</v>
      </c>
      <c r="E1686">
        <v>172</v>
      </c>
      <c r="F1686">
        <v>6</v>
      </c>
      <c r="G1686">
        <v>0</v>
      </c>
      <c r="H1686">
        <v>0</v>
      </c>
      <c r="I1686">
        <v>0</v>
      </c>
      <c r="J1686">
        <v>0</v>
      </c>
      <c r="K1686">
        <v>0</v>
      </c>
    </row>
    <row r="1687" spans="1:11" x14ac:dyDescent="0.2">
      <c r="A1687" t="s">
        <v>4302</v>
      </c>
      <c r="B1687">
        <v>2</v>
      </c>
      <c r="C1687">
        <v>0</v>
      </c>
      <c r="D1687">
        <v>8</v>
      </c>
      <c r="E1687">
        <v>121</v>
      </c>
      <c r="F1687">
        <v>7</v>
      </c>
      <c r="G1687">
        <v>0</v>
      </c>
      <c r="H1687">
        <v>0</v>
      </c>
      <c r="I1687">
        <v>0</v>
      </c>
      <c r="J1687">
        <v>0</v>
      </c>
      <c r="K1687">
        <v>0</v>
      </c>
    </row>
    <row r="1688" spans="1:11" x14ac:dyDescent="0.2">
      <c r="A1688" t="s">
        <v>4303</v>
      </c>
      <c r="B1688">
        <v>5</v>
      </c>
      <c r="C1688">
        <v>0</v>
      </c>
      <c r="D1688">
        <v>28</v>
      </c>
      <c r="E1688">
        <v>136</v>
      </c>
      <c r="F1688">
        <v>25</v>
      </c>
      <c r="G1688">
        <v>0</v>
      </c>
      <c r="H1688">
        <v>0</v>
      </c>
      <c r="I1688">
        <v>0</v>
      </c>
      <c r="J1688">
        <v>1</v>
      </c>
      <c r="K1688">
        <v>0</v>
      </c>
    </row>
    <row r="1689" spans="1:11" x14ac:dyDescent="0.2">
      <c r="A1689" t="s">
        <v>4304</v>
      </c>
      <c r="B1689">
        <v>0</v>
      </c>
      <c r="C1689">
        <v>0</v>
      </c>
      <c r="D1689">
        <v>1</v>
      </c>
      <c r="E1689">
        <v>33</v>
      </c>
      <c r="F1689">
        <v>1</v>
      </c>
      <c r="G1689">
        <v>0</v>
      </c>
      <c r="H1689">
        <v>0</v>
      </c>
      <c r="I1689">
        <v>0</v>
      </c>
      <c r="J1689">
        <v>0</v>
      </c>
      <c r="K1689">
        <v>0</v>
      </c>
    </row>
    <row r="1690" spans="1:11" x14ac:dyDescent="0.2">
      <c r="A1690" t="s">
        <v>4305</v>
      </c>
      <c r="B1690">
        <v>4</v>
      </c>
      <c r="C1690">
        <v>0</v>
      </c>
      <c r="D1690">
        <v>23</v>
      </c>
      <c r="E1690">
        <v>539</v>
      </c>
      <c r="F1690">
        <v>20</v>
      </c>
      <c r="G1690">
        <v>0</v>
      </c>
      <c r="H1690">
        <v>0</v>
      </c>
      <c r="I1690">
        <v>0</v>
      </c>
      <c r="J1690">
        <v>0</v>
      </c>
      <c r="K1690">
        <v>0</v>
      </c>
    </row>
    <row r="1691" spans="1:11" x14ac:dyDescent="0.2">
      <c r="A1691" t="s">
        <v>4306</v>
      </c>
      <c r="B1691">
        <v>1</v>
      </c>
      <c r="C1691">
        <v>0</v>
      </c>
      <c r="D1691">
        <v>3</v>
      </c>
      <c r="E1691">
        <v>45</v>
      </c>
      <c r="F1691">
        <v>3</v>
      </c>
      <c r="G1691">
        <v>0</v>
      </c>
      <c r="H1691">
        <v>0</v>
      </c>
      <c r="I1691">
        <v>0</v>
      </c>
      <c r="J1691">
        <v>0</v>
      </c>
      <c r="K1691">
        <v>0</v>
      </c>
    </row>
    <row r="1692" spans="1:11" x14ac:dyDescent="0.2">
      <c r="A1692" t="s">
        <v>4307</v>
      </c>
      <c r="B1692">
        <v>18</v>
      </c>
      <c r="C1692">
        <v>0</v>
      </c>
      <c r="D1692">
        <v>99</v>
      </c>
      <c r="E1692">
        <v>475</v>
      </c>
      <c r="F1692">
        <v>87</v>
      </c>
      <c r="G1692">
        <v>0</v>
      </c>
      <c r="H1692">
        <v>0</v>
      </c>
      <c r="I1692">
        <v>0</v>
      </c>
      <c r="J1692">
        <v>2</v>
      </c>
      <c r="K1692">
        <v>0</v>
      </c>
    </row>
    <row r="1693" spans="1:11" x14ac:dyDescent="0.2">
      <c r="A1693" t="s">
        <v>4308</v>
      </c>
      <c r="B1693">
        <v>0</v>
      </c>
      <c r="C1693">
        <v>0</v>
      </c>
      <c r="D1693">
        <v>2</v>
      </c>
      <c r="E1693">
        <v>9</v>
      </c>
      <c r="F1693">
        <v>2</v>
      </c>
      <c r="G1693">
        <v>0</v>
      </c>
      <c r="H1693">
        <v>0</v>
      </c>
      <c r="I1693">
        <v>0</v>
      </c>
      <c r="J1693">
        <v>0</v>
      </c>
      <c r="K1693">
        <v>0</v>
      </c>
    </row>
    <row r="1694" spans="1:11" x14ac:dyDescent="0.2">
      <c r="A1694" t="s">
        <v>4309</v>
      </c>
      <c r="B1694">
        <v>0</v>
      </c>
      <c r="C1694">
        <v>0</v>
      </c>
      <c r="D1694">
        <v>0</v>
      </c>
      <c r="E1694">
        <v>0</v>
      </c>
      <c r="F1694">
        <v>0</v>
      </c>
      <c r="G1694">
        <v>0</v>
      </c>
      <c r="H1694">
        <v>0</v>
      </c>
      <c r="I1694">
        <v>0</v>
      </c>
      <c r="J1694">
        <v>0</v>
      </c>
      <c r="K1694">
        <v>0</v>
      </c>
    </row>
    <row r="1695" spans="1:11" x14ac:dyDescent="0.2">
      <c r="A1695" t="s">
        <v>4310</v>
      </c>
      <c r="B1695">
        <v>0</v>
      </c>
      <c r="C1695">
        <v>0</v>
      </c>
      <c r="D1695">
        <v>0</v>
      </c>
      <c r="E1695">
        <v>0</v>
      </c>
      <c r="F1695">
        <v>0</v>
      </c>
      <c r="G1695">
        <v>0</v>
      </c>
      <c r="H1695">
        <v>0</v>
      </c>
      <c r="I1695">
        <v>0</v>
      </c>
      <c r="J1695">
        <v>0</v>
      </c>
      <c r="K1695">
        <v>0</v>
      </c>
    </row>
    <row r="1696" spans="1:11" x14ac:dyDescent="0.2">
      <c r="A1696" t="s">
        <v>4311</v>
      </c>
      <c r="B1696">
        <v>0</v>
      </c>
      <c r="C1696">
        <v>0</v>
      </c>
      <c r="D1696">
        <v>0</v>
      </c>
      <c r="E1696">
        <v>1</v>
      </c>
      <c r="F1696">
        <v>0</v>
      </c>
      <c r="G1696">
        <v>0</v>
      </c>
      <c r="H1696">
        <v>0</v>
      </c>
      <c r="I1696">
        <v>0</v>
      </c>
      <c r="J1696">
        <v>0</v>
      </c>
      <c r="K1696">
        <v>0</v>
      </c>
    </row>
    <row r="1697" spans="1:11" x14ac:dyDescent="0.2">
      <c r="A1697" t="s">
        <v>4312</v>
      </c>
      <c r="B1697">
        <v>0</v>
      </c>
      <c r="C1697">
        <v>0</v>
      </c>
      <c r="D1697">
        <v>0</v>
      </c>
      <c r="E1697">
        <v>0</v>
      </c>
      <c r="F1697">
        <v>0</v>
      </c>
      <c r="G1697">
        <v>0</v>
      </c>
      <c r="H1697">
        <v>0</v>
      </c>
      <c r="I1697">
        <v>0</v>
      </c>
      <c r="J1697">
        <v>0</v>
      </c>
      <c r="K1697">
        <v>0</v>
      </c>
    </row>
    <row r="1698" spans="1:11" x14ac:dyDescent="0.2">
      <c r="A1698" t="s">
        <v>4313</v>
      </c>
      <c r="B1698">
        <v>0</v>
      </c>
      <c r="C1698">
        <v>0</v>
      </c>
      <c r="D1698">
        <v>0</v>
      </c>
      <c r="E1698">
        <v>0</v>
      </c>
      <c r="F1698">
        <v>0</v>
      </c>
      <c r="G1698">
        <v>0</v>
      </c>
      <c r="H1698">
        <v>0</v>
      </c>
      <c r="I1698">
        <v>0</v>
      </c>
      <c r="J1698">
        <v>0</v>
      </c>
      <c r="K1698">
        <v>0</v>
      </c>
    </row>
    <row r="1699" spans="1:11" x14ac:dyDescent="0.2">
      <c r="A1699" t="s">
        <v>4314</v>
      </c>
      <c r="B1699">
        <v>0</v>
      </c>
      <c r="C1699">
        <v>0</v>
      </c>
      <c r="D1699">
        <v>0</v>
      </c>
      <c r="E1699">
        <v>0</v>
      </c>
      <c r="F1699">
        <v>0</v>
      </c>
      <c r="G1699">
        <v>0</v>
      </c>
      <c r="H1699">
        <v>0</v>
      </c>
      <c r="I1699">
        <v>0</v>
      </c>
      <c r="J1699">
        <v>0</v>
      </c>
      <c r="K1699">
        <v>0</v>
      </c>
    </row>
    <row r="1700" spans="1:11" x14ac:dyDescent="0.2">
      <c r="A1700" t="s">
        <v>4315</v>
      </c>
      <c r="B1700">
        <v>0</v>
      </c>
      <c r="C1700">
        <v>0</v>
      </c>
      <c r="D1700">
        <v>0</v>
      </c>
      <c r="E1700">
        <v>0</v>
      </c>
      <c r="F1700">
        <v>0</v>
      </c>
      <c r="G1700">
        <v>0</v>
      </c>
      <c r="H1700">
        <v>0</v>
      </c>
      <c r="I1700">
        <v>0</v>
      </c>
      <c r="J1700">
        <v>0</v>
      </c>
      <c r="K1700">
        <v>0</v>
      </c>
    </row>
    <row r="1701" spans="1:11" x14ac:dyDescent="0.2">
      <c r="A1701" t="s">
        <v>4316</v>
      </c>
      <c r="B1701">
        <v>0</v>
      </c>
      <c r="C1701">
        <v>0</v>
      </c>
      <c r="D1701">
        <v>0</v>
      </c>
      <c r="E1701">
        <v>0</v>
      </c>
      <c r="F1701">
        <v>0</v>
      </c>
      <c r="G1701">
        <v>0</v>
      </c>
      <c r="H1701">
        <v>0</v>
      </c>
      <c r="I1701">
        <v>0</v>
      </c>
      <c r="J1701">
        <v>0</v>
      </c>
      <c r="K1701">
        <v>0</v>
      </c>
    </row>
    <row r="1702" spans="1:11" x14ac:dyDescent="0.2">
      <c r="A1702" t="s">
        <v>4317</v>
      </c>
      <c r="B1702">
        <v>0</v>
      </c>
      <c r="C1702">
        <v>0</v>
      </c>
      <c r="D1702">
        <v>0</v>
      </c>
      <c r="E1702">
        <v>0</v>
      </c>
      <c r="F1702">
        <v>0</v>
      </c>
      <c r="G1702">
        <v>0</v>
      </c>
      <c r="H1702">
        <v>0</v>
      </c>
      <c r="I1702">
        <v>0</v>
      </c>
      <c r="J1702">
        <v>0</v>
      </c>
      <c r="K1702">
        <v>0</v>
      </c>
    </row>
    <row r="1703" spans="1:11" x14ac:dyDescent="0.2">
      <c r="A1703" t="s">
        <v>4318</v>
      </c>
      <c r="B1703">
        <v>0</v>
      </c>
      <c r="C1703">
        <v>0</v>
      </c>
      <c r="D1703">
        <v>0</v>
      </c>
      <c r="E1703">
        <v>0</v>
      </c>
      <c r="F1703">
        <v>0</v>
      </c>
      <c r="G1703">
        <v>0</v>
      </c>
      <c r="H1703">
        <v>0</v>
      </c>
      <c r="I1703">
        <v>0</v>
      </c>
      <c r="J1703">
        <v>0</v>
      </c>
      <c r="K1703">
        <v>0</v>
      </c>
    </row>
    <row r="1704" spans="1:11" x14ac:dyDescent="0.2">
      <c r="A1704" t="s">
        <v>4319</v>
      </c>
      <c r="B1704">
        <v>0</v>
      </c>
      <c r="C1704">
        <v>0</v>
      </c>
      <c r="D1704">
        <v>0</v>
      </c>
      <c r="E1704">
        <v>0</v>
      </c>
      <c r="F1704">
        <v>0</v>
      </c>
      <c r="G1704">
        <v>0</v>
      </c>
      <c r="H1704">
        <v>0</v>
      </c>
      <c r="I1704">
        <v>0</v>
      </c>
      <c r="J1704">
        <v>0</v>
      </c>
      <c r="K1704">
        <v>0</v>
      </c>
    </row>
    <row r="1705" spans="1:11" x14ac:dyDescent="0.2">
      <c r="A1705" t="s">
        <v>4320</v>
      </c>
      <c r="B1705">
        <v>0</v>
      </c>
      <c r="C1705">
        <v>0</v>
      </c>
      <c r="D1705">
        <v>0</v>
      </c>
      <c r="E1705">
        <v>0</v>
      </c>
      <c r="F1705">
        <v>0</v>
      </c>
      <c r="G1705">
        <v>0</v>
      </c>
      <c r="H1705">
        <v>0</v>
      </c>
      <c r="I1705">
        <v>0</v>
      </c>
      <c r="J1705">
        <v>0</v>
      </c>
      <c r="K1705">
        <v>0</v>
      </c>
    </row>
    <row r="1706" spans="1:11" x14ac:dyDescent="0.2">
      <c r="A1706" t="s">
        <v>4321</v>
      </c>
      <c r="B1706">
        <v>0</v>
      </c>
      <c r="C1706">
        <v>0</v>
      </c>
      <c r="D1706">
        <v>0</v>
      </c>
      <c r="E1706">
        <v>0</v>
      </c>
      <c r="F1706">
        <v>0</v>
      </c>
      <c r="G1706">
        <v>0</v>
      </c>
      <c r="H1706">
        <v>0</v>
      </c>
      <c r="I1706">
        <v>0</v>
      </c>
      <c r="J1706">
        <v>0</v>
      </c>
      <c r="K1706">
        <v>0</v>
      </c>
    </row>
    <row r="1707" spans="1:11" x14ac:dyDescent="0.2">
      <c r="A1707" t="s">
        <v>4322</v>
      </c>
      <c r="B1707">
        <v>0</v>
      </c>
      <c r="C1707">
        <v>0</v>
      </c>
      <c r="D1707">
        <v>0</v>
      </c>
      <c r="E1707">
        <v>0</v>
      </c>
      <c r="F1707">
        <v>0</v>
      </c>
      <c r="G1707">
        <v>0</v>
      </c>
      <c r="H1707">
        <v>0</v>
      </c>
      <c r="I1707">
        <v>0</v>
      </c>
      <c r="J1707">
        <v>0</v>
      </c>
      <c r="K1707">
        <v>0</v>
      </c>
    </row>
    <row r="1708" spans="1:11" x14ac:dyDescent="0.2">
      <c r="A1708" t="s">
        <v>4323</v>
      </c>
      <c r="B1708">
        <v>0</v>
      </c>
      <c r="C1708">
        <v>0</v>
      </c>
      <c r="D1708">
        <v>0</v>
      </c>
      <c r="E1708">
        <v>0</v>
      </c>
      <c r="F1708">
        <v>0</v>
      </c>
      <c r="G1708">
        <v>0</v>
      </c>
      <c r="H1708">
        <v>0</v>
      </c>
      <c r="I1708">
        <v>0</v>
      </c>
      <c r="J1708">
        <v>0</v>
      </c>
      <c r="K1708">
        <v>0</v>
      </c>
    </row>
    <row r="1709" spans="1:11" x14ac:dyDescent="0.2">
      <c r="A1709" t="s">
        <v>4324</v>
      </c>
      <c r="B1709">
        <v>0</v>
      </c>
      <c r="C1709">
        <v>0</v>
      </c>
      <c r="D1709">
        <v>0</v>
      </c>
      <c r="E1709">
        <v>0</v>
      </c>
      <c r="F1709">
        <v>0</v>
      </c>
      <c r="G1709">
        <v>0</v>
      </c>
      <c r="H1709">
        <v>0</v>
      </c>
      <c r="I1709">
        <v>0</v>
      </c>
      <c r="J1709">
        <v>0</v>
      </c>
      <c r="K1709">
        <v>0</v>
      </c>
    </row>
    <row r="1710" spans="1:11" x14ac:dyDescent="0.2">
      <c r="A1710" t="s">
        <v>4325</v>
      </c>
      <c r="B1710">
        <v>0</v>
      </c>
      <c r="C1710">
        <v>0</v>
      </c>
      <c r="D1710">
        <v>0</v>
      </c>
      <c r="E1710">
        <v>0</v>
      </c>
      <c r="F1710">
        <v>0</v>
      </c>
      <c r="G1710">
        <v>0</v>
      </c>
      <c r="H1710">
        <v>0</v>
      </c>
      <c r="I1710">
        <v>0</v>
      </c>
      <c r="J1710">
        <v>0</v>
      </c>
      <c r="K1710">
        <v>0</v>
      </c>
    </row>
    <row r="1711" spans="1:11" x14ac:dyDescent="0.2">
      <c r="A1711" t="s">
        <v>4326</v>
      </c>
      <c r="B1711">
        <v>0</v>
      </c>
      <c r="C1711">
        <v>0</v>
      </c>
      <c r="D1711">
        <v>0</v>
      </c>
      <c r="E1711">
        <v>0</v>
      </c>
      <c r="F1711">
        <v>0</v>
      </c>
      <c r="G1711">
        <v>0</v>
      </c>
      <c r="H1711">
        <v>0</v>
      </c>
      <c r="I1711">
        <v>0</v>
      </c>
      <c r="J1711">
        <v>0</v>
      </c>
      <c r="K1711">
        <v>0</v>
      </c>
    </row>
    <row r="1712" spans="1:11" x14ac:dyDescent="0.2">
      <c r="A1712" t="s">
        <v>4327</v>
      </c>
      <c r="B1712">
        <v>0</v>
      </c>
      <c r="C1712">
        <v>0</v>
      </c>
      <c r="D1712">
        <v>0</v>
      </c>
      <c r="E1712">
        <v>0</v>
      </c>
      <c r="F1712">
        <v>0</v>
      </c>
      <c r="G1712">
        <v>0</v>
      </c>
      <c r="H1712">
        <v>0</v>
      </c>
      <c r="I1712">
        <v>0</v>
      </c>
      <c r="J1712">
        <v>0</v>
      </c>
      <c r="K1712">
        <v>0</v>
      </c>
    </row>
    <row r="1713" spans="1:11" x14ac:dyDescent="0.2">
      <c r="A1713" t="s">
        <v>4328</v>
      </c>
      <c r="B1713">
        <v>0</v>
      </c>
      <c r="C1713">
        <v>0</v>
      </c>
      <c r="D1713">
        <v>0</v>
      </c>
      <c r="E1713">
        <v>0</v>
      </c>
      <c r="F1713">
        <v>0</v>
      </c>
      <c r="G1713">
        <v>0</v>
      </c>
      <c r="H1713">
        <v>0</v>
      </c>
      <c r="I1713">
        <v>0</v>
      </c>
      <c r="J1713">
        <v>0</v>
      </c>
      <c r="K1713">
        <v>0</v>
      </c>
    </row>
    <row r="1714" spans="1:11" x14ac:dyDescent="0.2">
      <c r="A1714" t="s">
        <v>4329</v>
      </c>
      <c r="B1714">
        <v>0</v>
      </c>
      <c r="C1714">
        <v>0</v>
      </c>
      <c r="D1714">
        <v>0</v>
      </c>
      <c r="E1714">
        <v>0</v>
      </c>
      <c r="F1714">
        <v>0</v>
      </c>
      <c r="G1714">
        <v>0</v>
      </c>
      <c r="H1714">
        <v>0</v>
      </c>
      <c r="I1714">
        <v>0</v>
      </c>
      <c r="J1714">
        <v>0</v>
      </c>
      <c r="K1714">
        <v>0</v>
      </c>
    </row>
    <row r="1715" spans="1:11" x14ac:dyDescent="0.2">
      <c r="A1715" t="s">
        <v>4330</v>
      </c>
      <c r="B1715">
        <v>0</v>
      </c>
      <c r="C1715">
        <v>0</v>
      </c>
      <c r="D1715">
        <v>0</v>
      </c>
      <c r="E1715">
        <v>0</v>
      </c>
      <c r="F1715">
        <v>0</v>
      </c>
      <c r="G1715">
        <v>0</v>
      </c>
      <c r="H1715">
        <v>0</v>
      </c>
      <c r="I1715">
        <v>0</v>
      </c>
      <c r="J1715">
        <v>0</v>
      </c>
      <c r="K1715">
        <v>0</v>
      </c>
    </row>
    <row r="1716" spans="1:11" x14ac:dyDescent="0.2">
      <c r="A1716" t="s">
        <v>4331</v>
      </c>
      <c r="B1716">
        <v>0</v>
      </c>
      <c r="C1716">
        <v>0</v>
      </c>
      <c r="D1716">
        <v>0</v>
      </c>
      <c r="E1716">
        <v>0</v>
      </c>
      <c r="F1716">
        <v>0</v>
      </c>
      <c r="G1716">
        <v>0</v>
      </c>
      <c r="H1716">
        <v>0</v>
      </c>
      <c r="I1716">
        <v>0</v>
      </c>
      <c r="J1716">
        <v>0</v>
      </c>
      <c r="K1716">
        <v>0</v>
      </c>
    </row>
    <row r="1717" spans="1:11" x14ac:dyDescent="0.2">
      <c r="A1717" t="s">
        <v>4332</v>
      </c>
      <c r="B1717">
        <v>0</v>
      </c>
      <c r="C1717">
        <v>0</v>
      </c>
      <c r="D1717">
        <v>0</v>
      </c>
      <c r="E1717">
        <v>0</v>
      </c>
      <c r="F1717">
        <v>0</v>
      </c>
      <c r="G1717">
        <v>0</v>
      </c>
      <c r="H1717">
        <v>0</v>
      </c>
      <c r="I1717">
        <v>0</v>
      </c>
      <c r="J1717">
        <v>0</v>
      </c>
      <c r="K1717">
        <v>0</v>
      </c>
    </row>
    <row r="1718" spans="1:11" x14ac:dyDescent="0.2">
      <c r="A1718" t="s">
        <v>4333</v>
      </c>
      <c r="B1718">
        <v>0</v>
      </c>
      <c r="C1718">
        <v>0</v>
      </c>
      <c r="D1718">
        <v>0</v>
      </c>
      <c r="E1718">
        <v>0</v>
      </c>
      <c r="F1718">
        <v>0</v>
      </c>
      <c r="G1718">
        <v>0</v>
      </c>
      <c r="H1718">
        <v>0</v>
      </c>
      <c r="I1718">
        <v>0</v>
      </c>
      <c r="J1718">
        <v>0</v>
      </c>
      <c r="K1718">
        <v>0</v>
      </c>
    </row>
    <row r="1719" spans="1:11" x14ac:dyDescent="0.2">
      <c r="A1719" t="s">
        <v>4334</v>
      </c>
      <c r="B1719">
        <v>0</v>
      </c>
      <c r="C1719">
        <v>0</v>
      </c>
      <c r="D1719">
        <v>0</v>
      </c>
      <c r="E1719">
        <v>0</v>
      </c>
      <c r="F1719">
        <v>0</v>
      </c>
      <c r="G1719">
        <v>0</v>
      </c>
      <c r="H1719">
        <v>0</v>
      </c>
      <c r="I1719">
        <v>0</v>
      </c>
      <c r="J1719">
        <v>0</v>
      </c>
      <c r="K1719">
        <v>0</v>
      </c>
    </row>
    <row r="1720" spans="1:11" x14ac:dyDescent="0.2">
      <c r="A1720" t="s">
        <v>4335</v>
      </c>
      <c r="B1720">
        <v>0</v>
      </c>
      <c r="C1720">
        <v>0</v>
      </c>
      <c r="D1720">
        <v>0</v>
      </c>
      <c r="E1720">
        <v>0</v>
      </c>
      <c r="F1720">
        <v>0</v>
      </c>
      <c r="G1720">
        <v>0</v>
      </c>
      <c r="H1720">
        <v>0</v>
      </c>
      <c r="I1720">
        <v>0</v>
      </c>
      <c r="J1720">
        <v>0</v>
      </c>
      <c r="K1720">
        <v>0</v>
      </c>
    </row>
    <row r="1721" spans="1:11" x14ac:dyDescent="0.2">
      <c r="A1721" t="s">
        <v>4336</v>
      </c>
      <c r="B1721">
        <v>0</v>
      </c>
      <c r="C1721">
        <v>0</v>
      </c>
      <c r="D1721">
        <v>0</v>
      </c>
      <c r="E1721">
        <v>0</v>
      </c>
      <c r="F1721">
        <v>0</v>
      </c>
      <c r="G1721">
        <v>0</v>
      </c>
      <c r="H1721">
        <v>0</v>
      </c>
      <c r="I1721">
        <v>0</v>
      </c>
      <c r="J1721">
        <v>0</v>
      </c>
      <c r="K1721">
        <v>0</v>
      </c>
    </row>
    <row r="1722" spans="1:11" x14ac:dyDescent="0.2">
      <c r="A1722" t="s">
        <v>4337</v>
      </c>
      <c r="B1722">
        <v>0</v>
      </c>
      <c r="C1722">
        <v>0</v>
      </c>
      <c r="D1722">
        <v>0</v>
      </c>
      <c r="E1722">
        <v>0</v>
      </c>
      <c r="F1722">
        <v>0</v>
      </c>
      <c r="G1722">
        <v>0</v>
      </c>
      <c r="H1722">
        <v>0</v>
      </c>
      <c r="I1722">
        <v>0</v>
      </c>
      <c r="J1722">
        <v>0</v>
      </c>
      <c r="K1722">
        <v>0</v>
      </c>
    </row>
    <row r="1723" spans="1:11" x14ac:dyDescent="0.2">
      <c r="A1723" t="s">
        <v>4338</v>
      </c>
      <c r="B1723">
        <v>0</v>
      </c>
      <c r="C1723">
        <v>0</v>
      </c>
      <c r="D1723">
        <v>0</v>
      </c>
      <c r="E1723">
        <v>0</v>
      </c>
      <c r="F1723">
        <v>0</v>
      </c>
      <c r="G1723">
        <v>0</v>
      </c>
      <c r="H1723">
        <v>0</v>
      </c>
      <c r="I1723">
        <v>0</v>
      </c>
      <c r="J1723">
        <v>0</v>
      </c>
      <c r="K1723">
        <v>0</v>
      </c>
    </row>
    <row r="1724" spans="1:11" x14ac:dyDescent="0.2">
      <c r="A1724" t="s">
        <v>4339</v>
      </c>
      <c r="B1724">
        <v>0</v>
      </c>
      <c r="C1724">
        <v>0</v>
      </c>
      <c r="D1724">
        <v>0</v>
      </c>
      <c r="E1724">
        <v>0</v>
      </c>
      <c r="F1724">
        <v>0</v>
      </c>
      <c r="G1724">
        <v>0</v>
      </c>
      <c r="H1724">
        <v>0</v>
      </c>
      <c r="I1724">
        <v>0</v>
      </c>
      <c r="J1724">
        <v>0</v>
      </c>
      <c r="K1724">
        <v>0</v>
      </c>
    </row>
    <row r="1725" spans="1:11" x14ac:dyDescent="0.2">
      <c r="A1725" t="s">
        <v>4340</v>
      </c>
      <c r="B1725">
        <v>0</v>
      </c>
      <c r="C1725">
        <v>0</v>
      </c>
      <c r="D1725">
        <v>0</v>
      </c>
      <c r="E1725">
        <v>0</v>
      </c>
      <c r="F1725">
        <v>0</v>
      </c>
      <c r="G1725">
        <v>0</v>
      </c>
      <c r="H1725">
        <v>0</v>
      </c>
      <c r="I1725">
        <v>0</v>
      </c>
      <c r="J1725">
        <v>0</v>
      </c>
      <c r="K1725">
        <v>0</v>
      </c>
    </row>
    <row r="1726" spans="1:11" x14ac:dyDescent="0.2">
      <c r="A1726" t="s">
        <v>4341</v>
      </c>
      <c r="B1726">
        <v>0</v>
      </c>
      <c r="C1726">
        <v>0</v>
      </c>
      <c r="D1726">
        <v>0</v>
      </c>
      <c r="E1726">
        <v>0</v>
      </c>
      <c r="F1726">
        <v>0</v>
      </c>
      <c r="G1726">
        <v>0</v>
      </c>
      <c r="H1726">
        <v>0</v>
      </c>
      <c r="I1726">
        <v>0</v>
      </c>
      <c r="J1726">
        <v>0</v>
      </c>
      <c r="K1726">
        <v>0</v>
      </c>
    </row>
    <row r="1727" spans="1:11" x14ac:dyDescent="0.2">
      <c r="A1727" t="s">
        <v>4342</v>
      </c>
      <c r="B1727">
        <v>0</v>
      </c>
      <c r="C1727">
        <v>0</v>
      </c>
      <c r="D1727">
        <v>0</v>
      </c>
      <c r="E1727">
        <v>0</v>
      </c>
      <c r="F1727">
        <v>0</v>
      </c>
      <c r="G1727">
        <v>0</v>
      </c>
      <c r="H1727">
        <v>0</v>
      </c>
      <c r="I1727">
        <v>0</v>
      </c>
      <c r="J1727">
        <v>0</v>
      </c>
      <c r="K1727">
        <v>0</v>
      </c>
    </row>
    <row r="1728" spans="1:11" x14ac:dyDescent="0.2">
      <c r="A1728" t="s">
        <v>4343</v>
      </c>
      <c r="B1728">
        <v>0</v>
      </c>
      <c r="C1728">
        <v>0</v>
      </c>
      <c r="D1728">
        <v>0</v>
      </c>
      <c r="E1728">
        <v>0</v>
      </c>
      <c r="F1728">
        <v>0</v>
      </c>
      <c r="G1728">
        <v>0</v>
      </c>
      <c r="H1728">
        <v>0</v>
      </c>
      <c r="I1728">
        <v>0</v>
      </c>
      <c r="J1728">
        <v>0</v>
      </c>
      <c r="K1728">
        <v>0</v>
      </c>
    </row>
    <row r="1729" spans="1:11" x14ac:dyDescent="0.2">
      <c r="A1729" t="s">
        <v>1728</v>
      </c>
      <c r="B1729">
        <v>0</v>
      </c>
      <c r="C1729">
        <v>0</v>
      </c>
      <c r="D1729">
        <v>0</v>
      </c>
      <c r="E1729">
        <v>0</v>
      </c>
      <c r="F1729">
        <v>0</v>
      </c>
      <c r="G1729">
        <v>0</v>
      </c>
      <c r="H1729">
        <v>0</v>
      </c>
      <c r="I1729">
        <v>0</v>
      </c>
      <c r="J1729">
        <v>0</v>
      </c>
      <c r="K1729">
        <v>0</v>
      </c>
    </row>
    <row r="1730" spans="1:11" x14ac:dyDescent="0.2">
      <c r="A1730" t="s">
        <v>1730</v>
      </c>
      <c r="B1730">
        <v>2</v>
      </c>
      <c r="C1730">
        <v>0</v>
      </c>
      <c r="D1730">
        <v>9</v>
      </c>
      <c r="E1730">
        <v>40</v>
      </c>
      <c r="F1730">
        <v>8</v>
      </c>
      <c r="G1730">
        <v>0</v>
      </c>
      <c r="H1730">
        <v>0</v>
      </c>
      <c r="I1730">
        <v>0</v>
      </c>
      <c r="J1730">
        <v>0</v>
      </c>
      <c r="K1730">
        <v>0</v>
      </c>
    </row>
    <row r="1731" spans="1:11" x14ac:dyDescent="0.2">
      <c r="A1731" t="s">
        <v>1733</v>
      </c>
      <c r="B1731">
        <v>0</v>
      </c>
      <c r="C1731">
        <v>0</v>
      </c>
      <c r="D1731">
        <v>0</v>
      </c>
      <c r="E1731">
        <v>0</v>
      </c>
      <c r="F1731">
        <v>0</v>
      </c>
      <c r="G1731">
        <v>0</v>
      </c>
      <c r="H1731">
        <v>0</v>
      </c>
      <c r="I1731">
        <v>0</v>
      </c>
      <c r="J1731">
        <v>0</v>
      </c>
      <c r="K1731">
        <v>0</v>
      </c>
    </row>
    <row r="1732" spans="1:11" x14ac:dyDescent="0.2">
      <c r="A1732" t="s">
        <v>1738</v>
      </c>
      <c r="B1732">
        <v>0</v>
      </c>
      <c r="C1732">
        <v>0</v>
      </c>
      <c r="D1732">
        <v>0</v>
      </c>
      <c r="E1732">
        <v>0</v>
      </c>
      <c r="F1732">
        <v>0</v>
      </c>
      <c r="G1732">
        <v>0</v>
      </c>
      <c r="H1732">
        <v>0</v>
      </c>
      <c r="I1732">
        <v>0</v>
      </c>
      <c r="J1732">
        <v>0</v>
      </c>
      <c r="K1732">
        <v>0</v>
      </c>
    </row>
    <row r="1733" spans="1:11" x14ac:dyDescent="0.2">
      <c r="A1733" t="s">
        <v>1744</v>
      </c>
      <c r="B1733">
        <v>0</v>
      </c>
      <c r="C1733">
        <v>0</v>
      </c>
      <c r="D1733">
        <v>0</v>
      </c>
      <c r="E1733">
        <v>0</v>
      </c>
      <c r="F1733">
        <v>0</v>
      </c>
      <c r="G1733">
        <v>0</v>
      </c>
      <c r="H1733">
        <v>0</v>
      </c>
      <c r="I1733">
        <v>0</v>
      </c>
      <c r="J1733">
        <v>0</v>
      </c>
      <c r="K1733">
        <v>0</v>
      </c>
    </row>
    <row r="1734" spans="1:11" x14ac:dyDescent="0.2">
      <c r="A1734" t="s">
        <v>1747</v>
      </c>
      <c r="B1734">
        <v>0</v>
      </c>
      <c r="C1734">
        <v>0</v>
      </c>
      <c r="D1734">
        <v>0</v>
      </c>
      <c r="E1734">
        <v>0</v>
      </c>
      <c r="F1734">
        <v>0</v>
      </c>
      <c r="G1734">
        <v>0</v>
      </c>
      <c r="H1734">
        <v>0</v>
      </c>
      <c r="I1734">
        <v>0</v>
      </c>
      <c r="J1734">
        <v>0</v>
      </c>
      <c r="K1734">
        <v>0</v>
      </c>
    </row>
    <row r="1735" spans="1:11" x14ac:dyDescent="0.2">
      <c r="A1735" t="s">
        <v>1751</v>
      </c>
      <c r="B1735">
        <v>0</v>
      </c>
      <c r="C1735">
        <v>0</v>
      </c>
      <c r="D1735">
        <v>0</v>
      </c>
      <c r="E1735">
        <v>0</v>
      </c>
      <c r="F1735">
        <v>0</v>
      </c>
      <c r="G1735">
        <v>0</v>
      </c>
      <c r="H1735">
        <v>0</v>
      </c>
      <c r="I1735">
        <v>0</v>
      </c>
      <c r="J1735">
        <v>0</v>
      </c>
      <c r="K1735">
        <v>0</v>
      </c>
    </row>
    <row r="1736" spans="1:11" x14ac:dyDescent="0.2">
      <c r="A1736" t="s">
        <v>1755</v>
      </c>
      <c r="B1736">
        <v>1</v>
      </c>
      <c r="C1736">
        <v>0</v>
      </c>
      <c r="D1736">
        <v>4</v>
      </c>
      <c r="E1736">
        <v>30</v>
      </c>
      <c r="F1736">
        <v>3</v>
      </c>
      <c r="G1736">
        <v>0</v>
      </c>
      <c r="H1736">
        <v>0</v>
      </c>
      <c r="I1736">
        <v>0</v>
      </c>
      <c r="J1736">
        <v>0</v>
      </c>
      <c r="K1736">
        <v>0</v>
      </c>
    </row>
    <row r="1737" spans="1:11" x14ac:dyDescent="0.2">
      <c r="A1737" t="s">
        <v>1757</v>
      </c>
      <c r="B1737">
        <v>1</v>
      </c>
      <c r="C1737">
        <v>0</v>
      </c>
      <c r="D1737">
        <v>4</v>
      </c>
      <c r="E1737">
        <v>17</v>
      </c>
      <c r="F1737">
        <v>4</v>
      </c>
      <c r="G1737">
        <v>0</v>
      </c>
      <c r="H1737">
        <v>0</v>
      </c>
      <c r="I1737">
        <v>0</v>
      </c>
      <c r="J1737">
        <v>0</v>
      </c>
      <c r="K1737">
        <v>0</v>
      </c>
    </row>
    <row r="1738" spans="1:11" x14ac:dyDescent="0.2">
      <c r="A1738" t="s">
        <v>1761</v>
      </c>
      <c r="B1738">
        <v>0</v>
      </c>
      <c r="C1738">
        <v>0</v>
      </c>
      <c r="D1738">
        <v>0</v>
      </c>
      <c r="E1738">
        <v>0</v>
      </c>
      <c r="F1738">
        <v>0</v>
      </c>
      <c r="G1738">
        <v>0</v>
      </c>
      <c r="H1738">
        <v>0</v>
      </c>
      <c r="I1738">
        <v>0</v>
      </c>
      <c r="J1738">
        <v>0</v>
      </c>
      <c r="K1738">
        <v>0</v>
      </c>
    </row>
    <row r="1739" spans="1:11" x14ac:dyDescent="0.2">
      <c r="A1739" t="s">
        <v>1764</v>
      </c>
      <c r="B1739">
        <v>0</v>
      </c>
      <c r="C1739">
        <v>0</v>
      </c>
      <c r="D1739">
        <v>0</v>
      </c>
      <c r="E1739">
        <v>0</v>
      </c>
      <c r="F1739">
        <v>0</v>
      </c>
      <c r="G1739">
        <v>0</v>
      </c>
      <c r="H1739">
        <v>0</v>
      </c>
      <c r="I1739">
        <v>0</v>
      </c>
      <c r="J1739">
        <v>0</v>
      </c>
      <c r="K1739">
        <v>0</v>
      </c>
    </row>
    <row r="1740" spans="1:11" x14ac:dyDescent="0.2">
      <c r="A1740" t="s">
        <v>1770</v>
      </c>
      <c r="B1740">
        <v>6</v>
      </c>
      <c r="C1740">
        <v>0</v>
      </c>
      <c r="D1740">
        <v>35</v>
      </c>
      <c r="E1740">
        <v>1117</v>
      </c>
      <c r="F1740">
        <v>31</v>
      </c>
      <c r="G1740">
        <v>0</v>
      </c>
      <c r="H1740">
        <v>0</v>
      </c>
      <c r="I1740">
        <v>0</v>
      </c>
      <c r="J1740">
        <v>1</v>
      </c>
      <c r="K1740">
        <v>0</v>
      </c>
    </row>
    <row r="1741" spans="1:11" x14ac:dyDescent="0.2">
      <c r="A1741" t="s">
        <v>1772</v>
      </c>
      <c r="B1741">
        <v>3</v>
      </c>
      <c r="C1741">
        <v>0</v>
      </c>
      <c r="D1741">
        <v>14</v>
      </c>
      <c r="E1741">
        <v>446</v>
      </c>
      <c r="F1741">
        <v>12</v>
      </c>
      <c r="G1741">
        <v>0</v>
      </c>
      <c r="H1741">
        <v>0</v>
      </c>
      <c r="I1741">
        <v>0</v>
      </c>
      <c r="J1741">
        <v>0</v>
      </c>
      <c r="K1741">
        <v>0</v>
      </c>
    </row>
    <row r="1742" spans="1:11" x14ac:dyDescent="0.2">
      <c r="A1742" t="s">
        <v>1774</v>
      </c>
      <c r="B1742">
        <v>1</v>
      </c>
      <c r="C1742">
        <v>0</v>
      </c>
      <c r="D1742">
        <v>3</v>
      </c>
      <c r="E1742">
        <v>81</v>
      </c>
      <c r="F1742">
        <v>3</v>
      </c>
      <c r="G1742">
        <v>0</v>
      </c>
      <c r="H1742">
        <v>0</v>
      </c>
      <c r="I1742">
        <v>0</v>
      </c>
      <c r="J1742">
        <v>0</v>
      </c>
      <c r="K1742">
        <v>0</v>
      </c>
    </row>
    <row r="1743" spans="1:11" x14ac:dyDescent="0.2">
      <c r="A1743" t="s">
        <v>1777</v>
      </c>
      <c r="B1743">
        <v>0</v>
      </c>
      <c r="C1743">
        <v>0</v>
      </c>
      <c r="D1743">
        <v>0</v>
      </c>
      <c r="E1743">
        <v>0</v>
      </c>
      <c r="F1743">
        <v>0</v>
      </c>
      <c r="G1743">
        <v>0</v>
      </c>
      <c r="H1743">
        <v>0</v>
      </c>
      <c r="I1743">
        <v>0</v>
      </c>
      <c r="J1743">
        <v>0</v>
      </c>
      <c r="K1743">
        <v>0</v>
      </c>
    </row>
    <row r="1744" spans="1:11" x14ac:dyDescent="0.2">
      <c r="A1744" t="s">
        <v>1782</v>
      </c>
      <c r="B1744">
        <v>0</v>
      </c>
      <c r="C1744">
        <v>0</v>
      </c>
      <c r="D1744">
        <v>0</v>
      </c>
      <c r="E1744">
        <v>0</v>
      </c>
      <c r="F1744">
        <v>0</v>
      </c>
      <c r="G1744">
        <v>0</v>
      </c>
      <c r="H1744">
        <v>0</v>
      </c>
      <c r="I1744">
        <v>0</v>
      </c>
      <c r="J1744">
        <v>0</v>
      </c>
      <c r="K1744">
        <v>0</v>
      </c>
    </row>
    <row r="1745" spans="1:11" x14ac:dyDescent="0.2">
      <c r="A1745" t="s">
        <v>1274</v>
      </c>
      <c r="B1745">
        <v>0</v>
      </c>
      <c r="C1745">
        <v>0</v>
      </c>
      <c r="D1745">
        <v>1</v>
      </c>
      <c r="E1745">
        <v>2</v>
      </c>
      <c r="F1745">
        <v>0</v>
      </c>
      <c r="G1745">
        <v>0</v>
      </c>
      <c r="H1745">
        <v>0</v>
      </c>
      <c r="I1745">
        <v>0</v>
      </c>
      <c r="J1745">
        <v>0</v>
      </c>
      <c r="K1745">
        <v>0</v>
      </c>
    </row>
    <row r="1746" spans="1:11" x14ac:dyDescent="0.2">
      <c r="A1746" t="s">
        <v>1277</v>
      </c>
      <c r="B1746">
        <v>1</v>
      </c>
      <c r="C1746">
        <v>0</v>
      </c>
      <c r="D1746">
        <v>5</v>
      </c>
      <c r="E1746">
        <v>20</v>
      </c>
      <c r="F1746">
        <v>4</v>
      </c>
      <c r="G1746">
        <v>0</v>
      </c>
      <c r="H1746">
        <v>0</v>
      </c>
      <c r="I1746">
        <v>0</v>
      </c>
      <c r="J1746">
        <v>0</v>
      </c>
      <c r="K1746">
        <v>0</v>
      </c>
    </row>
    <row r="1747" spans="1:11" x14ac:dyDescent="0.2">
      <c r="A1747" t="s">
        <v>1798</v>
      </c>
      <c r="B1747">
        <v>0</v>
      </c>
      <c r="C1747">
        <v>0</v>
      </c>
      <c r="D1747">
        <v>0</v>
      </c>
      <c r="E1747">
        <v>0</v>
      </c>
      <c r="F1747">
        <v>0</v>
      </c>
      <c r="G1747">
        <v>0</v>
      </c>
      <c r="H1747">
        <v>0</v>
      </c>
      <c r="I1747">
        <v>0</v>
      </c>
      <c r="J1747">
        <v>0</v>
      </c>
      <c r="K1747">
        <v>0</v>
      </c>
    </row>
    <row r="1748" spans="1:11" x14ac:dyDescent="0.2">
      <c r="A1748" t="s">
        <v>1803</v>
      </c>
      <c r="B1748">
        <v>0</v>
      </c>
      <c r="C1748">
        <v>0</v>
      </c>
      <c r="D1748">
        <v>0</v>
      </c>
      <c r="E1748">
        <v>0</v>
      </c>
      <c r="F1748">
        <v>0</v>
      </c>
      <c r="G1748">
        <v>0</v>
      </c>
      <c r="H1748">
        <v>0</v>
      </c>
      <c r="I1748">
        <v>0</v>
      </c>
      <c r="J1748">
        <v>0</v>
      </c>
      <c r="K1748">
        <v>0</v>
      </c>
    </row>
    <row r="1749" spans="1:11" x14ac:dyDescent="0.2">
      <c r="A1749" t="s">
        <v>1808</v>
      </c>
      <c r="B1749">
        <v>0</v>
      </c>
      <c r="C1749">
        <v>0</v>
      </c>
      <c r="D1749">
        <v>0</v>
      </c>
      <c r="E1749">
        <v>0</v>
      </c>
      <c r="F1749">
        <v>0</v>
      </c>
      <c r="G1749">
        <v>0</v>
      </c>
      <c r="H1749">
        <v>0</v>
      </c>
      <c r="I1749">
        <v>0</v>
      </c>
      <c r="J1749">
        <v>0</v>
      </c>
      <c r="K1749">
        <v>0</v>
      </c>
    </row>
    <row r="1750" spans="1:11" x14ac:dyDescent="0.2">
      <c r="A1750" t="s">
        <v>1813</v>
      </c>
      <c r="B1750">
        <v>0</v>
      </c>
      <c r="C1750">
        <v>0</v>
      </c>
      <c r="D1750">
        <v>0</v>
      </c>
      <c r="E1750">
        <v>0</v>
      </c>
      <c r="F1750">
        <v>0</v>
      </c>
      <c r="G1750">
        <v>0</v>
      </c>
      <c r="H1750">
        <v>0</v>
      </c>
      <c r="I1750">
        <v>0</v>
      </c>
      <c r="J1750">
        <v>0</v>
      </c>
      <c r="K1750">
        <v>0</v>
      </c>
    </row>
    <row r="1751" spans="1:11" x14ac:dyDescent="0.2">
      <c r="A1751" t="s">
        <v>1819</v>
      </c>
      <c r="B1751">
        <v>0</v>
      </c>
      <c r="C1751">
        <v>0</v>
      </c>
      <c r="D1751">
        <v>0</v>
      </c>
      <c r="E1751">
        <v>0</v>
      </c>
      <c r="F1751">
        <v>0</v>
      </c>
      <c r="G1751">
        <v>0</v>
      </c>
      <c r="H1751">
        <v>0</v>
      </c>
      <c r="I1751">
        <v>0</v>
      </c>
      <c r="J1751">
        <v>0</v>
      </c>
      <c r="K1751">
        <v>0</v>
      </c>
    </row>
    <row r="1752" spans="1:11" x14ac:dyDescent="0.2">
      <c r="A1752" t="s">
        <v>1826</v>
      </c>
      <c r="B1752">
        <v>0</v>
      </c>
      <c r="C1752">
        <v>0</v>
      </c>
      <c r="D1752">
        <v>0</v>
      </c>
      <c r="E1752">
        <v>0</v>
      </c>
      <c r="F1752">
        <v>0</v>
      </c>
      <c r="G1752">
        <v>0</v>
      </c>
      <c r="H1752">
        <v>0</v>
      </c>
      <c r="I1752">
        <v>0</v>
      </c>
      <c r="J1752">
        <v>0</v>
      </c>
      <c r="K1752">
        <v>0</v>
      </c>
    </row>
    <row r="1753" spans="1:11" x14ac:dyDescent="0.2">
      <c r="A1753" t="s">
        <v>1830</v>
      </c>
      <c r="B1753">
        <v>0</v>
      </c>
      <c r="C1753">
        <v>0</v>
      </c>
      <c r="D1753">
        <v>0</v>
      </c>
      <c r="E1753">
        <v>0</v>
      </c>
      <c r="F1753">
        <v>0</v>
      </c>
      <c r="G1753">
        <v>0</v>
      </c>
      <c r="H1753">
        <v>0</v>
      </c>
      <c r="I1753">
        <v>0</v>
      </c>
      <c r="J1753">
        <v>0</v>
      </c>
      <c r="K1753">
        <v>0</v>
      </c>
    </row>
    <row r="1754" spans="1:11" x14ac:dyDescent="0.2">
      <c r="A1754" t="s">
        <v>1836</v>
      </c>
      <c r="B1754">
        <v>0</v>
      </c>
      <c r="C1754">
        <v>0</v>
      </c>
      <c r="D1754">
        <v>0</v>
      </c>
      <c r="E1754">
        <v>0</v>
      </c>
      <c r="F1754">
        <v>0</v>
      </c>
      <c r="G1754">
        <v>0</v>
      </c>
      <c r="H1754">
        <v>0</v>
      </c>
      <c r="I1754">
        <v>0</v>
      </c>
      <c r="J1754">
        <v>0</v>
      </c>
      <c r="K1754">
        <v>0</v>
      </c>
    </row>
    <row r="1755" spans="1:11" x14ac:dyDescent="0.2">
      <c r="A1755" t="s">
        <v>1841</v>
      </c>
      <c r="B1755">
        <v>0</v>
      </c>
      <c r="C1755">
        <v>0</v>
      </c>
      <c r="D1755">
        <v>0</v>
      </c>
      <c r="E1755">
        <v>0</v>
      </c>
      <c r="F1755">
        <v>0</v>
      </c>
      <c r="G1755">
        <v>0</v>
      </c>
      <c r="H1755">
        <v>0</v>
      </c>
      <c r="I1755">
        <v>0</v>
      </c>
      <c r="J1755">
        <v>0</v>
      </c>
      <c r="K1755">
        <v>0</v>
      </c>
    </row>
    <row r="1756" spans="1:11" x14ac:dyDescent="0.2">
      <c r="A1756" t="s">
        <v>1842</v>
      </c>
      <c r="B1756">
        <v>9</v>
      </c>
      <c r="C1756">
        <v>0</v>
      </c>
      <c r="D1756">
        <v>47</v>
      </c>
      <c r="E1756">
        <v>893</v>
      </c>
      <c r="F1756">
        <v>42</v>
      </c>
      <c r="G1756">
        <v>0</v>
      </c>
      <c r="H1756">
        <v>0</v>
      </c>
      <c r="I1756">
        <v>0</v>
      </c>
      <c r="J1756">
        <v>1</v>
      </c>
      <c r="K1756">
        <v>0</v>
      </c>
    </row>
    <row r="1757" spans="1:11" x14ac:dyDescent="0.2">
      <c r="A1757" t="s">
        <v>1843</v>
      </c>
      <c r="B1757">
        <v>0</v>
      </c>
      <c r="C1757">
        <v>0</v>
      </c>
      <c r="D1757">
        <v>0</v>
      </c>
      <c r="E1757">
        <v>0</v>
      </c>
      <c r="F1757">
        <v>0</v>
      </c>
      <c r="G1757">
        <v>0</v>
      </c>
      <c r="H1757">
        <v>0</v>
      </c>
      <c r="I1757">
        <v>0</v>
      </c>
      <c r="J1757">
        <v>0</v>
      </c>
      <c r="K1757">
        <v>0</v>
      </c>
    </row>
    <row r="1758" spans="1:11" x14ac:dyDescent="0.2">
      <c r="A1758" t="s">
        <v>1846</v>
      </c>
      <c r="B1758">
        <v>0</v>
      </c>
      <c r="C1758">
        <v>0</v>
      </c>
      <c r="D1758">
        <v>0</v>
      </c>
      <c r="E1758">
        <v>0</v>
      </c>
      <c r="F1758">
        <v>0</v>
      </c>
      <c r="G1758">
        <v>0</v>
      </c>
      <c r="H1758">
        <v>0</v>
      </c>
      <c r="I1758">
        <v>0</v>
      </c>
      <c r="J1758">
        <v>0</v>
      </c>
      <c r="K1758">
        <v>0</v>
      </c>
    </row>
    <row r="1759" spans="1:11" x14ac:dyDescent="0.2">
      <c r="A1759" t="s">
        <v>1851</v>
      </c>
      <c r="B1759">
        <v>2</v>
      </c>
      <c r="C1759">
        <v>0</v>
      </c>
      <c r="D1759">
        <v>11</v>
      </c>
      <c r="E1759">
        <v>51</v>
      </c>
      <c r="F1759">
        <v>10</v>
      </c>
      <c r="G1759">
        <v>0</v>
      </c>
      <c r="H1759">
        <v>0</v>
      </c>
      <c r="I1759">
        <v>0</v>
      </c>
      <c r="J1759">
        <v>0</v>
      </c>
      <c r="K1759">
        <v>0</v>
      </c>
    </row>
    <row r="1760" spans="1:11" x14ac:dyDescent="0.2">
      <c r="A1760" t="s">
        <v>1857</v>
      </c>
      <c r="B1760">
        <v>0</v>
      </c>
      <c r="C1760">
        <v>0</v>
      </c>
      <c r="D1760">
        <v>0</v>
      </c>
      <c r="E1760">
        <v>0</v>
      </c>
      <c r="F1760">
        <v>0</v>
      </c>
      <c r="G1760">
        <v>0</v>
      </c>
      <c r="H1760">
        <v>0</v>
      </c>
      <c r="I1760">
        <v>0</v>
      </c>
      <c r="J1760">
        <v>0</v>
      </c>
      <c r="K1760">
        <v>0</v>
      </c>
    </row>
    <row r="1761" spans="1:11" x14ac:dyDescent="0.2">
      <c r="A1761" t="s">
        <v>1862</v>
      </c>
      <c r="B1761">
        <v>0</v>
      </c>
      <c r="C1761">
        <v>0</v>
      </c>
      <c r="D1761">
        <v>0</v>
      </c>
      <c r="E1761">
        <v>0</v>
      </c>
      <c r="F1761">
        <v>0</v>
      </c>
      <c r="G1761">
        <v>0</v>
      </c>
      <c r="H1761">
        <v>0</v>
      </c>
      <c r="I1761">
        <v>0</v>
      </c>
      <c r="J1761">
        <v>0</v>
      </c>
      <c r="K1761">
        <v>0</v>
      </c>
    </row>
    <row r="1762" spans="1:11" x14ac:dyDescent="0.2">
      <c r="A1762" t="s">
        <v>1867</v>
      </c>
      <c r="B1762">
        <v>0</v>
      </c>
      <c r="C1762">
        <v>0</v>
      </c>
      <c r="D1762">
        <v>0</v>
      </c>
      <c r="E1762">
        <v>0</v>
      </c>
      <c r="F1762">
        <v>0</v>
      </c>
      <c r="G1762">
        <v>0</v>
      </c>
      <c r="H1762">
        <v>0</v>
      </c>
      <c r="I1762">
        <v>0</v>
      </c>
      <c r="J1762">
        <v>0</v>
      </c>
      <c r="K1762">
        <v>0</v>
      </c>
    </row>
    <row r="1763" spans="1:11" x14ac:dyDescent="0.2">
      <c r="A1763" t="s">
        <v>1870</v>
      </c>
      <c r="B1763">
        <v>0</v>
      </c>
      <c r="C1763">
        <v>0</v>
      </c>
      <c r="D1763">
        <v>0</v>
      </c>
      <c r="E1763">
        <v>0</v>
      </c>
      <c r="F1763">
        <v>0</v>
      </c>
      <c r="G1763">
        <v>0</v>
      </c>
      <c r="H1763">
        <v>0</v>
      </c>
      <c r="I1763">
        <v>0</v>
      </c>
      <c r="J1763">
        <v>0</v>
      </c>
      <c r="K1763">
        <v>0</v>
      </c>
    </row>
    <row r="1764" spans="1:11" x14ac:dyDescent="0.2">
      <c r="A1764" t="s">
        <v>1874</v>
      </c>
      <c r="B1764">
        <v>1</v>
      </c>
      <c r="C1764">
        <v>0</v>
      </c>
      <c r="D1764">
        <v>5</v>
      </c>
      <c r="E1764">
        <v>82</v>
      </c>
      <c r="F1764">
        <v>4</v>
      </c>
      <c r="G1764">
        <v>0</v>
      </c>
      <c r="H1764">
        <v>0</v>
      </c>
      <c r="I1764">
        <v>0</v>
      </c>
      <c r="J1764">
        <v>0</v>
      </c>
      <c r="K1764">
        <v>0</v>
      </c>
    </row>
    <row r="1765" spans="1:11" x14ac:dyDescent="0.2">
      <c r="A1765" t="s">
        <v>1876</v>
      </c>
      <c r="B1765">
        <v>0</v>
      </c>
      <c r="C1765">
        <v>0</v>
      </c>
      <c r="D1765">
        <v>0</v>
      </c>
      <c r="E1765">
        <v>0</v>
      </c>
      <c r="F1765">
        <v>0</v>
      </c>
      <c r="G1765">
        <v>0</v>
      </c>
      <c r="H1765">
        <v>0</v>
      </c>
      <c r="I1765">
        <v>0</v>
      </c>
      <c r="J1765">
        <v>0</v>
      </c>
      <c r="K1765">
        <v>0</v>
      </c>
    </row>
    <row r="1766" spans="1:11" x14ac:dyDescent="0.2">
      <c r="A1766" t="s">
        <v>1881</v>
      </c>
      <c r="B1766">
        <v>0</v>
      </c>
      <c r="C1766">
        <v>0</v>
      </c>
      <c r="D1766">
        <v>0</v>
      </c>
      <c r="E1766">
        <v>0</v>
      </c>
      <c r="F1766">
        <v>0</v>
      </c>
      <c r="G1766">
        <v>0</v>
      </c>
      <c r="H1766">
        <v>0</v>
      </c>
      <c r="I1766">
        <v>0</v>
      </c>
      <c r="J1766">
        <v>0</v>
      </c>
      <c r="K1766">
        <v>0</v>
      </c>
    </row>
    <row r="1767" spans="1:11" x14ac:dyDescent="0.2">
      <c r="A1767" t="s">
        <v>1885</v>
      </c>
      <c r="B1767">
        <v>73</v>
      </c>
      <c r="C1767">
        <v>0</v>
      </c>
      <c r="D1767">
        <v>298</v>
      </c>
      <c r="E1767">
        <v>1410</v>
      </c>
      <c r="F1767">
        <v>292</v>
      </c>
      <c r="G1767">
        <v>0</v>
      </c>
      <c r="H1767">
        <v>0</v>
      </c>
      <c r="I1767">
        <v>0</v>
      </c>
      <c r="J1767">
        <v>8</v>
      </c>
      <c r="K1767">
        <v>0</v>
      </c>
    </row>
    <row r="1768" spans="1:11" x14ac:dyDescent="0.2">
      <c r="A1768" t="s">
        <v>1887</v>
      </c>
      <c r="B1768">
        <v>1</v>
      </c>
      <c r="C1768">
        <v>0</v>
      </c>
      <c r="D1768">
        <v>5</v>
      </c>
      <c r="E1768">
        <v>23</v>
      </c>
      <c r="F1768">
        <v>5</v>
      </c>
      <c r="G1768">
        <v>0</v>
      </c>
      <c r="H1768">
        <v>0</v>
      </c>
      <c r="I1768">
        <v>0</v>
      </c>
      <c r="J1768">
        <v>0</v>
      </c>
      <c r="K1768">
        <v>0</v>
      </c>
    </row>
    <row r="1769" spans="1:11" x14ac:dyDescent="0.2">
      <c r="A1769" t="s">
        <v>1893</v>
      </c>
      <c r="B1769">
        <v>6</v>
      </c>
      <c r="C1769">
        <v>0</v>
      </c>
      <c r="D1769">
        <v>31</v>
      </c>
      <c r="E1769">
        <v>135</v>
      </c>
      <c r="F1769">
        <v>33</v>
      </c>
      <c r="G1769">
        <v>0</v>
      </c>
      <c r="H1769">
        <v>0</v>
      </c>
      <c r="I1769">
        <v>0</v>
      </c>
      <c r="J1769">
        <v>1</v>
      </c>
      <c r="K1769">
        <v>0</v>
      </c>
    </row>
    <row r="1770" spans="1:11" x14ac:dyDescent="0.2">
      <c r="A1770" t="s">
        <v>1899</v>
      </c>
      <c r="B1770">
        <v>0</v>
      </c>
      <c r="C1770">
        <v>0</v>
      </c>
      <c r="D1770">
        <v>0</v>
      </c>
      <c r="E1770">
        <v>0</v>
      </c>
      <c r="F1770">
        <v>0</v>
      </c>
      <c r="G1770">
        <v>0</v>
      </c>
      <c r="H1770">
        <v>0</v>
      </c>
      <c r="I1770">
        <v>0</v>
      </c>
      <c r="J1770">
        <v>0</v>
      </c>
      <c r="K1770">
        <v>0</v>
      </c>
    </row>
    <row r="1771" spans="1:11" x14ac:dyDescent="0.2">
      <c r="A1771" t="s">
        <v>1906</v>
      </c>
      <c r="B1771">
        <v>0</v>
      </c>
      <c r="C1771">
        <v>0</v>
      </c>
      <c r="D1771">
        <v>0</v>
      </c>
      <c r="E1771">
        <v>0</v>
      </c>
      <c r="F1771">
        <v>0</v>
      </c>
      <c r="G1771">
        <v>0</v>
      </c>
      <c r="H1771">
        <v>0</v>
      </c>
      <c r="I1771">
        <v>0</v>
      </c>
      <c r="J1771">
        <v>0</v>
      </c>
      <c r="K1771">
        <v>0</v>
      </c>
    </row>
    <row r="1772" spans="1:11" x14ac:dyDescent="0.2">
      <c r="A1772" t="s">
        <v>1911</v>
      </c>
      <c r="B1772">
        <v>0</v>
      </c>
      <c r="C1772">
        <v>0</v>
      </c>
      <c r="D1772">
        <v>0</v>
      </c>
      <c r="E1772">
        <v>0</v>
      </c>
      <c r="F1772">
        <v>0</v>
      </c>
      <c r="G1772">
        <v>0</v>
      </c>
      <c r="H1772">
        <v>0</v>
      </c>
      <c r="I1772">
        <v>0</v>
      </c>
      <c r="J1772">
        <v>0</v>
      </c>
      <c r="K1772">
        <v>0</v>
      </c>
    </row>
    <row r="1773" spans="1:11" x14ac:dyDescent="0.2">
      <c r="A1773" t="s">
        <v>1917</v>
      </c>
      <c r="B1773">
        <v>0</v>
      </c>
      <c r="C1773">
        <v>0</v>
      </c>
      <c r="D1773">
        <v>10</v>
      </c>
      <c r="E1773">
        <v>43</v>
      </c>
      <c r="F1773">
        <v>8</v>
      </c>
      <c r="G1773">
        <v>0</v>
      </c>
      <c r="H1773">
        <v>0</v>
      </c>
      <c r="I1773">
        <v>0</v>
      </c>
      <c r="J1773">
        <v>0</v>
      </c>
      <c r="K1773">
        <v>0</v>
      </c>
    </row>
    <row r="1774" spans="1:11" x14ac:dyDescent="0.2">
      <c r="A1774" t="s">
        <v>1922</v>
      </c>
      <c r="B1774">
        <v>0</v>
      </c>
      <c r="C1774">
        <v>0</v>
      </c>
      <c r="D1774">
        <v>0</v>
      </c>
      <c r="E1774">
        <v>0</v>
      </c>
      <c r="F1774">
        <v>0</v>
      </c>
      <c r="G1774">
        <v>0</v>
      </c>
      <c r="H1774">
        <v>0</v>
      </c>
      <c r="I1774">
        <v>0</v>
      </c>
      <c r="J1774">
        <v>0</v>
      </c>
      <c r="K1774">
        <v>0</v>
      </c>
    </row>
    <row r="1775" spans="1:11" x14ac:dyDescent="0.2">
      <c r="A1775" t="s">
        <v>1928</v>
      </c>
      <c r="B1775">
        <v>0</v>
      </c>
      <c r="C1775">
        <v>0</v>
      </c>
      <c r="D1775">
        <v>3</v>
      </c>
      <c r="E1775">
        <v>12</v>
      </c>
      <c r="F1775">
        <v>0</v>
      </c>
      <c r="G1775">
        <v>0</v>
      </c>
      <c r="H1775">
        <v>0</v>
      </c>
      <c r="I1775">
        <v>0</v>
      </c>
      <c r="J1775">
        <v>0</v>
      </c>
      <c r="K1775">
        <v>0</v>
      </c>
    </row>
    <row r="1776" spans="1:11" x14ac:dyDescent="0.2">
      <c r="A1776" t="s">
        <v>1932</v>
      </c>
      <c r="B1776">
        <v>0</v>
      </c>
      <c r="C1776">
        <v>0</v>
      </c>
      <c r="D1776">
        <v>0</v>
      </c>
      <c r="E1776">
        <v>0</v>
      </c>
      <c r="F1776">
        <v>0</v>
      </c>
      <c r="G1776">
        <v>0</v>
      </c>
      <c r="H1776">
        <v>0</v>
      </c>
      <c r="I1776">
        <v>0</v>
      </c>
      <c r="J1776">
        <v>0</v>
      </c>
      <c r="K1776">
        <v>0</v>
      </c>
    </row>
    <row r="1777" spans="1:11" x14ac:dyDescent="0.2">
      <c r="A1777" t="s">
        <v>1938</v>
      </c>
      <c r="B1777">
        <v>0</v>
      </c>
      <c r="C1777">
        <v>0</v>
      </c>
      <c r="D1777">
        <v>0</v>
      </c>
      <c r="E1777">
        <v>0</v>
      </c>
      <c r="F1777">
        <v>0</v>
      </c>
      <c r="G1777">
        <v>0</v>
      </c>
      <c r="H1777">
        <v>0</v>
      </c>
      <c r="I1777">
        <v>0</v>
      </c>
      <c r="J1777">
        <v>0</v>
      </c>
      <c r="K1777">
        <v>0</v>
      </c>
    </row>
    <row r="1778" spans="1:11" x14ac:dyDescent="0.2">
      <c r="A1778" t="s">
        <v>1944</v>
      </c>
      <c r="B1778">
        <v>29</v>
      </c>
      <c r="C1778">
        <v>0</v>
      </c>
      <c r="D1778">
        <v>103</v>
      </c>
      <c r="E1778">
        <v>469</v>
      </c>
      <c r="F1778">
        <v>128</v>
      </c>
      <c r="G1778">
        <v>0</v>
      </c>
      <c r="H1778">
        <v>0</v>
      </c>
      <c r="I1778">
        <v>0</v>
      </c>
      <c r="J1778">
        <v>3</v>
      </c>
      <c r="K1778">
        <v>0</v>
      </c>
    </row>
    <row r="1779" spans="1:11" x14ac:dyDescent="0.2">
      <c r="A1779" t="s">
        <v>1947</v>
      </c>
      <c r="B1779">
        <v>1</v>
      </c>
      <c r="C1779">
        <v>0</v>
      </c>
      <c r="D1779">
        <v>3</v>
      </c>
      <c r="E1779">
        <v>13</v>
      </c>
      <c r="F1779">
        <v>3</v>
      </c>
      <c r="G1779">
        <v>0</v>
      </c>
      <c r="H1779">
        <v>0</v>
      </c>
      <c r="I1779">
        <v>0</v>
      </c>
      <c r="J1779">
        <v>0</v>
      </c>
      <c r="K1779">
        <v>0</v>
      </c>
    </row>
    <row r="1780" spans="1:11" x14ac:dyDescent="0.2">
      <c r="A1780" t="s">
        <v>1953</v>
      </c>
      <c r="B1780">
        <v>2</v>
      </c>
      <c r="C1780">
        <v>0</v>
      </c>
      <c r="D1780">
        <v>8</v>
      </c>
      <c r="E1780">
        <v>35</v>
      </c>
      <c r="F1780">
        <v>8</v>
      </c>
      <c r="G1780">
        <v>0</v>
      </c>
      <c r="H1780">
        <v>0</v>
      </c>
      <c r="I1780">
        <v>0</v>
      </c>
      <c r="J1780">
        <v>0</v>
      </c>
      <c r="K1780">
        <v>0</v>
      </c>
    </row>
    <row r="1781" spans="1:11" x14ac:dyDescent="0.2">
      <c r="A1781" t="s">
        <v>1958</v>
      </c>
      <c r="B1781">
        <v>0</v>
      </c>
      <c r="C1781">
        <v>0</v>
      </c>
      <c r="D1781">
        <v>0</v>
      </c>
      <c r="E1781">
        <v>0</v>
      </c>
      <c r="F1781">
        <v>0</v>
      </c>
      <c r="G1781">
        <v>0</v>
      </c>
      <c r="H1781">
        <v>0</v>
      </c>
      <c r="I1781">
        <v>0</v>
      </c>
      <c r="J1781">
        <v>0</v>
      </c>
      <c r="K1781">
        <v>0</v>
      </c>
    </row>
    <row r="1782" spans="1:11" x14ac:dyDescent="0.2">
      <c r="A1782" t="s">
        <v>1964</v>
      </c>
      <c r="B1782">
        <v>0</v>
      </c>
      <c r="C1782">
        <v>0</v>
      </c>
      <c r="D1782">
        <v>27</v>
      </c>
      <c r="E1782">
        <v>112</v>
      </c>
      <c r="F1782">
        <v>27</v>
      </c>
      <c r="G1782">
        <v>0</v>
      </c>
      <c r="H1782">
        <v>0</v>
      </c>
      <c r="I1782">
        <v>0</v>
      </c>
      <c r="J1782">
        <v>0</v>
      </c>
      <c r="K1782">
        <v>0</v>
      </c>
    </row>
    <row r="1783" spans="1:11" x14ac:dyDescent="0.2">
      <c r="A1783" t="s">
        <v>1973</v>
      </c>
      <c r="B1783">
        <v>0</v>
      </c>
      <c r="C1783">
        <v>0</v>
      </c>
      <c r="D1783">
        <v>948</v>
      </c>
      <c r="E1783">
        <v>3976</v>
      </c>
      <c r="F1783">
        <v>932</v>
      </c>
      <c r="G1783">
        <v>0</v>
      </c>
      <c r="H1783">
        <v>0</v>
      </c>
      <c r="I1783">
        <v>0</v>
      </c>
      <c r="J1783">
        <v>0</v>
      </c>
      <c r="K1783">
        <v>0</v>
      </c>
    </row>
    <row r="1784" spans="1:11" x14ac:dyDescent="0.2">
      <c r="A1784" t="s">
        <v>1978</v>
      </c>
      <c r="B1784">
        <v>0</v>
      </c>
      <c r="C1784">
        <v>0</v>
      </c>
      <c r="D1784">
        <v>657</v>
      </c>
      <c r="E1784">
        <v>2756</v>
      </c>
      <c r="F1784">
        <v>418</v>
      </c>
      <c r="G1784">
        <v>0</v>
      </c>
      <c r="H1784">
        <v>0</v>
      </c>
      <c r="I1784">
        <v>0</v>
      </c>
      <c r="J1784">
        <v>0</v>
      </c>
      <c r="K1784">
        <v>0</v>
      </c>
    </row>
    <row r="1785" spans="1:11" x14ac:dyDescent="0.2">
      <c r="A1785" t="s">
        <v>1983</v>
      </c>
      <c r="B1785">
        <v>4</v>
      </c>
      <c r="C1785">
        <v>0</v>
      </c>
      <c r="D1785">
        <v>5</v>
      </c>
      <c r="E1785">
        <v>63</v>
      </c>
      <c r="F1785">
        <v>4</v>
      </c>
      <c r="G1785">
        <v>0</v>
      </c>
      <c r="H1785">
        <v>0</v>
      </c>
      <c r="I1785">
        <v>0</v>
      </c>
      <c r="J1785">
        <v>0</v>
      </c>
      <c r="K1785">
        <v>0</v>
      </c>
    </row>
    <row r="1786" spans="1:11" x14ac:dyDescent="0.2">
      <c r="A1786" t="s">
        <v>1984</v>
      </c>
      <c r="B1786">
        <v>0</v>
      </c>
      <c r="C1786">
        <v>0</v>
      </c>
      <c r="D1786">
        <v>0</v>
      </c>
      <c r="E1786">
        <v>0</v>
      </c>
      <c r="F1786">
        <v>0</v>
      </c>
      <c r="G1786">
        <v>0</v>
      </c>
      <c r="H1786">
        <v>0</v>
      </c>
      <c r="I1786">
        <v>0</v>
      </c>
      <c r="J1786">
        <v>0</v>
      </c>
      <c r="K1786">
        <v>0</v>
      </c>
    </row>
    <row r="1787" spans="1:11" x14ac:dyDescent="0.2">
      <c r="A1787" t="s">
        <v>1990</v>
      </c>
      <c r="B1787">
        <v>2</v>
      </c>
      <c r="C1787">
        <v>0</v>
      </c>
      <c r="D1787">
        <v>1</v>
      </c>
      <c r="E1787">
        <v>5</v>
      </c>
      <c r="F1787">
        <v>1</v>
      </c>
      <c r="G1787">
        <v>0</v>
      </c>
      <c r="H1787">
        <v>0</v>
      </c>
      <c r="I1787">
        <v>0</v>
      </c>
      <c r="J1787">
        <v>0</v>
      </c>
      <c r="K1787">
        <v>0</v>
      </c>
    </row>
    <row r="1788" spans="1:11" x14ac:dyDescent="0.2">
      <c r="A1788" t="s">
        <v>1996</v>
      </c>
      <c r="B1788">
        <v>0</v>
      </c>
      <c r="C1788">
        <v>0</v>
      </c>
      <c r="D1788">
        <v>0</v>
      </c>
      <c r="E1788">
        <v>0</v>
      </c>
      <c r="F1788">
        <v>0</v>
      </c>
      <c r="G1788">
        <v>0</v>
      </c>
      <c r="H1788">
        <v>0</v>
      </c>
      <c r="I1788">
        <v>0</v>
      </c>
      <c r="J1788">
        <v>0</v>
      </c>
      <c r="K1788">
        <v>0</v>
      </c>
    </row>
    <row r="1789" spans="1:11" x14ac:dyDescent="0.2">
      <c r="A1789" t="s">
        <v>1998</v>
      </c>
      <c r="B1789">
        <v>0</v>
      </c>
      <c r="C1789">
        <v>0</v>
      </c>
      <c r="D1789">
        <v>0</v>
      </c>
      <c r="E1789">
        <v>0</v>
      </c>
      <c r="F1789">
        <v>0</v>
      </c>
      <c r="G1789">
        <v>0</v>
      </c>
      <c r="H1789">
        <v>0</v>
      </c>
      <c r="I1789">
        <v>0</v>
      </c>
      <c r="J1789">
        <v>0</v>
      </c>
      <c r="K1789">
        <v>0</v>
      </c>
    </row>
    <row r="1790" spans="1:11" x14ac:dyDescent="0.2">
      <c r="A1790" t="s">
        <v>1999</v>
      </c>
      <c r="B1790">
        <v>29</v>
      </c>
      <c r="C1790">
        <v>0</v>
      </c>
      <c r="D1790">
        <v>0</v>
      </c>
      <c r="E1790">
        <v>0</v>
      </c>
      <c r="F1790">
        <v>0</v>
      </c>
      <c r="G1790">
        <v>0</v>
      </c>
      <c r="H1790">
        <v>0</v>
      </c>
      <c r="I1790">
        <v>0</v>
      </c>
      <c r="J1790">
        <v>0</v>
      </c>
      <c r="K1790">
        <v>0</v>
      </c>
    </row>
    <row r="1791" spans="1:11" x14ac:dyDescent="0.2">
      <c r="A1791" t="s">
        <v>2004</v>
      </c>
      <c r="B1791">
        <v>55</v>
      </c>
      <c r="C1791">
        <v>0</v>
      </c>
      <c r="D1791">
        <v>0</v>
      </c>
      <c r="E1791">
        <v>0</v>
      </c>
      <c r="F1791">
        <v>0</v>
      </c>
      <c r="G1791">
        <v>0</v>
      </c>
      <c r="H1791">
        <v>0</v>
      </c>
      <c r="I1791">
        <v>0</v>
      </c>
      <c r="J1791">
        <v>0</v>
      </c>
      <c r="K1791">
        <v>0</v>
      </c>
    </row>
    <row r="1792" spans="1:11" x14ac:dyDescent="0.2">
      <c r="A1792" t="s">
        <v>2009</v>
      </c>
      <c r="B1792">
        <v>0</v>
      </c>
      <c r="C1792">
        <v>0</v>
      </c>
      <c r="D1792">
        <v>0</v>
      </c>
      <c r="E1792">
        <v>0</v>
      </c>
      <c r="F1792">
        <v>0</v>
      </c>
      <c r="G1792">
        <v>0</v>
      </c>
      <c r="H1792">
        <v>0</v>
      </c>
      <c r="I1792">
        <v>0</v>
      </c>
      <c r="J1792">
        <v>0</v>
      </c>
      <c r="K1792">
        <v>0</v>
      </c>
    </row>
    <row r="1793" spans="1:11" x14ac:dyDescent="0.2">
      <c r="A1793" t="s">
        <v>2014</v>
      </c>
      <c r="B1793">
        <v>0</v>
      </c>
      <c r="C1793">
        <v>0</v>
      </c>
      <c r="D1793">
        <v>0</v>
      </c>
      <c r="E1793">
        <v>0</v>
      </c>
      <c r="F1793">
        <v>0</v>
      </c>
      <c r="G1793">
        <v>0</v>
      </c>
      <c r="H1793">
        <v>0</v>
      </c>
      <c r="I1793">
        <v>0</v>
      </c>
      <c r="J1793">
        <v>0</v>
      </c>
      <c r="K1793">
        <v>0</v>
      </c>
    </row>
    <row r="1794" spans="1:11" x14ac:dyDescent="0.2">
      <c r="A1794" t="s">
        <v>2019</v>
      </c>
      <c r="B1794">
        <v>0</v>
      </c>
      <c r="C1794">
        <v>0</v>
      </c>
      <c r="D1794">
        <v>0</v>
      </c>
      <c r="E1794">
        <v>0</v>
      </c>
      <c r="F1794">
        <v>0</v>
      </c>
      <c r="G1794">
        <v>0</v>
      </c>
      <c r="H1794">
        <v>0</v>
      </c>
      <c r="I1794">
        <v>0</v>
      </c>
      <c r="J1794">
        <v>0</v>
      </c>
      <c r="K1794">
        <v>0</v>
      </c>
    </row>
    <row r="1795" spans="1:11" x14ac:dyDescent="0.2">
      <c r="A1795" t="s">
        <v>2023</v>
      </c>
      <c r="B1795">
        <v>0</v>
      </c>
      <c r="C1795">
        <v>0</v>
      </c>
      <c r="D1795">
        <v>0</v>
      </c>
      <c r="E1795">
        <v>0</v>
      </c>
      <c r="F1795">
        <v>0</v>
      </c>
      <c r="G1795">
        <v>0</v>
      </c>
      <c r="H1795">
        <v>0</v>
      </c>
      <c r="I1795">
        <v>0</v>
      </c>
      <c r="J1795">
        <v>0</v>
      </c>
      <c r="K1795">
        <v>0</v>
      </c>
    </row>
    <row r="1796" spans="1:11" x14ac:dyDescent="0.2">
      <c r="A1796" t="s">
        <v>2026</v>
      </c>
      <c r="B1796">
        <v>0</v>
      </c>
      <c r="C1796">
        <v>0</v>
      </c>
      <c r="D1796">
        <v>0</v>
      </c>
      <c r="E1796">
        <v>0</v>
      </c>
      <c r="F1796">
        <v>0</v>
      </c>
      <c r="G1796">
        <v>0</v>
      </c>
      <c r="H1796">
        <v>0</v>
      </c>
      <c r="I1796">
        <v>0</v>
      </c>
      <c r="J1796">
        <v>0</v>
      </c>
      <c r="K1796">
        <v>0</v>
      </c>
    </row>
    <row r="1797" spans="1:11" x14ac:dyDescent="0.2">
      <c r="A1797" t="s">
        <v>2030</v>
      </c>
      <c r="B1797">
        <v>0</v>
      </c>
      <c r="C1797">
        <v>0</v>
      </c>
      <c r="D1797">
        <v>0</v>
      </c>
      <c r="E1797">
        <v>0</v>
      </c>
      <c r="F1797">
        <v>0</v>
      </c>
      <c r="G1797">
        <v>0</v>
      </c>
      <c r="H1797">
        <v>0</v>
      </c>
      <c r="I1797">
        <v>0</v>
      </c>
      <c r="J1797">
        <v>0</v>
      </c>
      <c r="K1797">
        <v>0</v>
      </c>
    </row>
    <row r="1798" spans="1:11" x14ac:dyDescent="0.2">
      <c r="A1798" t="s">
        <v>2035</v>
      </c>
      <c r="B1798">
        <v>0</v>
      </c>
      <c r="C1798">
        <v>0</v>
      </c>
      <c r="D1798">
        <v>0</v>
      </c>
      <c r="E1798">
        <v>0</v>
      </c>
      <c r="F1798">
        <v>0</v>
      </c>
      <c r="G1798">
        <v>0</v>
      </c>
      <c r="H1798">
        <v>0</v>
      </c>
      <c r="I1798">
        <v>0</v>
      </c>
      <c r="J1798">
        <v>0</v>
      </c>
      <c r="K1798">
        <v>0</v>
      </c>
    </row>
    <row r="1799" spans="1:11" x14ac:dyDescent="0.2">
      <c r="A1799" t="s">
        <v>2040</v>
      </c>
      <c r="B1799">
        <v>0</v>
      </c>
      <c r="C1799">
        <v>0</v>
      </c>
      <c r="D1799">
        <v>0</v>
      </c>
      <c r="E1799">
        <v>0</v>
      </c>
      <c r="F1799">
        <v>0</v>
      </c>
      <c r="G1799">
        <v>0</v>
      </c>
      <c r="H1799">
        <v>0</v>
      </c>
      <c r="I1799">
        <v>0</v>
      </c>
      <c r="J1799">
        <v>0</v>
      </c>
      <c r="K1799">
        <v>0</v>
      </c>
    </row>
    <row r="1800" spans="1:11" x14ac:dyDescent="0.2">
      <c r="A1800" t="s">
        <v>2045</v>
      </c>
      <c r="B1800">
        <v>0</v>
      </c>
      <c r="C1800">
        <v>0</v>
      </c>
      <c r="D1800">
        <v>0</v>
      </c>
      <c r="E1800">
        <v>0</v>
      </c>
      <c r="F1800">
        <v>0</v>
      </c>
      <c r="G1800">
        <v>0</v>
      </c>
      <c r="H1800">
        <v>0</v>
      </c>
      <c r="I1800">
        <v>0</v>
      </c>
      <c r="J1800">
        <v>0</v>
      </c>
      <c r="K1800">
        <v>0</v>
      </c>
    </row>
    <row r="1801" spans="1:11" x14ac:dyDescent="0.2">
      <c r="A1801" t="s">
        <v>2049</v>
      </c>
      <c r="B1801">
        <v>0</v>
      </c>
      <c r="C1801">
        <v>0</v>
      </c>
      <c r="D1801">
        <v>0</v>
      </c>
      <c r="E1801">
        <v>0</v>
      </c>
      <c r="F1801">
        <v>0</v>
      </c>
      <c r="G1801">
        <v>0</v>
      </c>
      <c r="H1801">
        <v>0</v>
      </c>
      <c r="I1801">
        <v>0</v>
      </c>
      <c r="J1801">
        <v>0</v>
      </c>
      <c r="K1801">
        <v>0</v>
      </c>
    </row>
    <row r="1802" spans="1:11" x14ac:dyDescent="0.2">
      <c r="A1802" t="s">
        <v>2051</v>
      </c>
      <c r="B1802">
        <v>1</v>
      </c>
      <c r="C1802">
        <v>0</v>
      </c>
      <c r="D1802">
        <v>3</v>
      </c>
      <c r="E1802">
        <v>13</v>
      </c>
      <c r="F1802">
        <v>3</v>
      </c>
      <c r="G1802">
        <v>0</v>
      </c>
      <c r="H1802">
        <v>0</v>
      </c>
      <c r="I1802">
        <v>0</v>
      </c>
      <c r="J1802">
        <v>0</v>
      </c>
      <c r="K1802">
        <v>0</v>
      </c>
    </row>
    <row r="1803" spans="1:11" x14ac:dyDescent="0.2">
      <c r="A1803" t="s">
        <v>2057</v>
      </c>
      <c r="B1803">
        <v>1</v>
      </c>
      <c r="C1803">
        <v>0</v>
      </c>
      <c r="D1803">
        <v>5</v>
      </c>
      <c r="E1803">
        <v>22</v>
      </c>
      <c r="F1803">
        <v>5</v>
      </c>
      <c r="G1803">
        <v>0</v>
      </c>
      <c r="H1803">
        <v>0</v>
      </c>
      <c r="I1803">
        <v>0</v>
      </c>
      <c r="J1803">
        <v>0</v>
      </c>
      <c r="K1803">
        <v>0</v>
      </c>
    </row>
    <row r="1804" spans="1:11" x14ac:dyDescent="0.2">
      <c r="A1804" t="s">
        <v>4344</v>
      </c>
      <c r="B1804">
        <v>0</v>
      </c>
      <c r="C1804">
        <v>0</v>
      </c>
      <c r="D1804">
        <v>1</v>
      </c>
      <c r="E1804">
        <v>6</v>
      </c>
      <c r="F1804">
        <v>1</v>
      </c>
      <c r="G1804">
        <v>0</v>
      </c>
      <c r="H1804">
        <v>0</v>
      </c>
      <c r="I1804">
        <v>0</v>
      </c>
      <c r="J1804">
        <v>0</v>
      </c>
      <c r="K1804">
        <v>0</v>
      </c>
    </row>
    <row r="1805" spans="1:11" x14ac:dyDescent="0.2">
      <c r="A1805" t="s">
        <v>4345</v>
      </c>
      <c r="B1805">
        <v>2</v>
      </c>
      <c r="C1805">
        <v>0</v>
      </c>
      <c r="D1805">
        <v>9</v>
      </c>
      <c r="E1805">
        <v>38</v>
      </c>
      <c r="F1805">
        <v>8</v>
      </c>
      <c r="G1805">
        <v>0</v>
      </c>
      <c r="H1805">
        <v>0</v>
      </c>
      <c r="I1805">
        <v>0</v>
      </c>
      <c r="J1805">
        <v>0</v>
      </c>
      <c r="K1805">
        <v>0</v>
      </c>
    </row>
    <row r="1806" spans="1:11" x14ac:dyDescent="0.2">
      <c r="A1806" t="s">
        <v>2074</v>
      </c>
      <c r="B1806">
        <v>0</v>
      </c>
      <c r="C1806">
        <v>0</v>
      </c>
      <c r="D1806">
        <v>0</v>
      </c>
      <c r="E1806">
        <v>0</v>
      </c>
      <c r="F1806">
        <v>0</v>
      </c>
      <c r="G1806">
        <v>0</v>
      </c>
      <c r="H1806">
        <v>0</v>
      </c>
      <c r="I1806">
        <v>0</v>
      </c>
      <c r="J1806">
        <v>0</v>
      </c>
      <c r="K1806">
        <v>0</v>
      </c>
    </row>
    <row r="1807" spans="1:11" x14ac:dyDescent="0.2">
      <c r="A1807" t="s">
        <v>2079</v>
      </c>
      <c r="B1807">
        <v>0</v>
      </c>
      <c r="C1807">
        <v>0</v>
      </c>
      <c r="D1807">
        <v>0</v>
      </c>
      <c r="E1807">
        <v>0</v>
      </c>
      <c r="F1807">
        <v>0</v>
      </c>
      <c r="G1807">
        <v>0</v>
      </c>
      <c r="H1807">
        <v>0</v>
      </c>
      <c r="I1807">
        <v>0</v>
      </c>
      <c r="J1807">
        <v>0</v>
      </c>
      <c r="K1807">
        <v>0</v>
      </c>
    </row>
    <row r="1808" spans="1:11" x14ac:dyDescent="0.2">
      <c r="A1808" t="s">
        <v>2085</v>
      </c>
      <c r="B1808">
        <v>0</v>
      </c>
      <c r="C1808">
        <v>0</v>
      </c>
      <c r="D1808">
        <v>0</v>
      </c>
      <c r="E1808">
        <v>0</v>
      </c>
      <c r="F1808">
        <v>0</v>
      </c>
      <c r="G1808">
        <v>0</v>
      </c>
      <c r="H1808">
        <v>0</v>
      </c>
      <c r="I1808">
        <v>0</v>
      </c>
      <c r="J1808">
        <v>0</v>
      </c>
      <c r="K1808">
        <v>0</v>
      </c>
    </row>
    <row r="1809" spans="1:11" x14ac:dyDescent="0.2">
      <c r="A1809" t="s">
        <v>2091</v>
      </c>
      <c r="B1809">
        <v>0</v>
      </c>
      <c r="C1809">
        <v>0</v>
      </c>
      <c r="D1809">
        <v>0</v>
      </c>
      <c r="E1809">
        <v>0</v>
      </c>
      <c r="F1809">
        <v>0</v>
      </c>
      <c r="G1809">
        <v>0</v>
      </c>
      <c r="H1809">
        <v>0</v>
      </c>
      <c r="I1809">
        <v>0</v>
      </c>
      <c r="J1809">
        <v>0</v>
      </c>
      <c r="K1809">
        <v>0</v>
      </c>
    </row>
    <row r="1810" spans="1:11" x14ac:dyDescent="0.2">
      <c r="A1810" t="s">
        <v>2097</v>
      </c>
      <c r="B1810">
        <v>0</v>
      </c>
      <c r="C1810">
        <v>0</v>
      </c>
      <c r="D1810">
        <v>0</v>
      </c>
      <c r="E1810">
        <v>0</v>
      </c>
      <c r="F1810">
        <v>0</v>
      </c>
      <c r="G1810">
        <v>0</v>
      </c>
      <c r="H1810">
        <v>0</v>
      </c>
      <c r="I1810">
        <v>0</v>
      </c>
      <c r="J1810">
        <v>0</v>
      </c>
      <c r="K1810">
        <v>0</v>
      </c>
    </row>
    <row r="1811" spans="1:11" x14ac:dyDescent="0.2">
      <c r="A1811" t="s">
        <v>2101</v>
      </c>
      <c r="B1811">
        <v>0</v>
      </c>
      <c r="C1811">
        <v>0</v>
      </c>
      <c r="D1811">
        <v>0</v>
      </c>
      <c r="E1811">
        <v>0</v>
      </c>
      <c r="F1811">
        <v>0</v>
      </c>
      <c r="G1811">
        <v>0</v>
      </c>
      <c r="H1811">
        <v>0</v>
      </c>
      <c r="I1811">
        <v>0</v>
      </c>
      <c r="J1811">
        <v>0</v>
      </c>
      <c r="K1811">
        <v>0</v>
      </c>
    </row>
    <row r="1812" spans="1:11" x14ac:dyDescent="0.2">
      <c r="A1812" t="s">
        <v>2104</v>
      </c>
      <c r="B1812">
        <v>0</v>
      </c>
      <c r="C1812">
        <v>0</v>
      </c>
      <c r="D1812">
        <v>0</v>
      </c>
      <c r="E1812">
        <v>0</v>
      </c>
      <c r="F1812">
        <v>0</v>
      </c>
      <c r="G1812">
        <v>0</v>
      </c>
      <c r="H1812">
        <v>0</v>
      </c>
      <c r="I1812">
        <v>0</v>
      </c>
      <c r="J1812">
        <v>0</v>
      </c>
      <c r="K1812">
        <v>0</v>
      </c>
    </row>
    <row r="1813" spans="1:11" x14ac:dyDescent="0.2">
      <c r="A1813" t="s">
        <v>2107</v>
      </c>
      <c r="B1813">
        <v>0</v>
      </c>
      <c r="C1813">
        <v>0</v>
      </c>
      <c r="D1813">
        <v>0</v>
      </c>
      <c r="E1813">
        <v>0</v>
      </c>
      <c r="F1813">
        <v>0</v>
      </c>
      <c r="G1813">
        <v>0</v>
      </c>
      <c r="H1813">
        <v>0</v>
      </c>
      <c r="I1813">
        <v>0</v>
      </c>
      <c r="J1813">
        <v>0</v>
      </c>
      <c r="K1813">
        <v>0</v>
      </c>
    </row>
    <row r="1814" spans="1:11" x14ac:dyDescent="0.2">
      <c r="A1814" t="s">
        <v>2110</v>
      </c>
      <c r="B1814">
        <v>0</v>
      </c>
      <c r="C1814">
        <v>0</v>
      </c>
      <c r="D1814">
        <v>0</v>
      </c>
      <c r="E1814">
        <v>0</v>
      </c>
      <c r="F1814">
        <v>0</v>
      </c>
      <c r="G1814">
        <v>0</v>
      </c>
      <c r="H1814">
        <v>0</v>
      </c>
      <c r="I1814">
        <v>0</v>
      </c>
      <c r="J1814">
        <v>0</v>
      </c>
      <c r="K1814">
        <v>0</v>
      </c>
    </row>
    <row r="1815" spans="1:11" x14ac:dyDescent="0.2">
      <c r="A1815" t="s">
        <v>2113</v>
      </c>
      <c r="B1815">
        <v>0</v>
      </c>
      <c r="C1815">
        <v>0</v>
      </c>
      <c r="D1815">
        <v>0</v>
      </c>
      <c r="E1815">
        <v>0</v>
      </c>
      <c r="F1815">
        <v>0</v>
      </c>
      <c r="G1815">
        <v>0</v>
      </c>
      <c r="H1815">
        <v>0</v>
      </c>
      <c r="I1815">
        <v>0</v>
      </c>
      <c r="J1815">
        <v>0</v>
      </c>
      <c r="K1815">
        <v>0</v>
      </c>
    </row>
    <row r="1816" spans="1:11" x14ac:dyDescent="0.2">
      <c r="A1816" t="s">
        <v>4346</v>
      </c>
      <c r="B1816">
        <v>0</v>
      </c>
      <c r="C1816">
        <v>0</v>
      </c>
      <c r="D1816">
        <v>0</v>
      </c>
      <c r="E1816">
        <v>0</v>
      </c>
      <c r="F1816">
        <v>0</v>
      </c>
      <c r="G1816">
        <v>0</v>
      </c>
      <c r="H1816">
        <v>0</v>
      </c>
      <c r="I1816">
        <v>0</v>
      </c>
      <c r="J1816">
        <v>0</v>
      </c>
      <c r="K1816">
        <v>0</v>
      </c>
    </row>
    <row r="1817" spans="1:11" x14ac:dyDescent="0.2">
      <c r="A1817" t="s">
        <v>4347</v>
      </c>
      <c r="B1817">
        <v>0</v>
      </c>
      <c r="C1817">
        <v>0</v>
      </c>
      <c r="D1817">
        <v>0</v>
      </c>
      <c r="E1817">
        <v>0</v>
      </c>
      <c r="F1817">
        <v>0</v>
      </c>
      <c r="G1817">
        <v>0</v>
      </c>
      <c r="H1817">
        <v>0</v>
      </c>
      <c r="I1817">
        <v>0</v>
      </c>
      <c r="J1817">
        <v>0</v>
      </c>
      <c r="K1817">
        <v>0</v>
      </c>
    </row>
    <row r="1818" spans="1:11" x14ac:dyDescent="0.2">
      <c r="A1818" t="s">
        <v>4348</v>
      </c>
      <c r="B1818">
        <v>0</v>
      </c>
      <c r="C1818">
        <v>0</v>
      </c>
      <c r="D1818">
        <v>0</v>
      </c>
      <c r="E1818">
        <v>0</v>
      </c>
      <c r="F1818">
        <v>0</v>
      </c>
      <c r="G1818">
        <v>0</v>
      </c>
      <c r="H1818">
        <v>0</v>
      </c>
      <c r="I1818">
        <v>0</v>
      </c>
      <c r="J1818">
        <v>0</v>
      </c>
      <c r="K1818">
        <v>0</v>
      </c>
    </row>
    <row r="1819" spans="1:11" x14ac:dyDescent="0.2">
      <c r="A1819" t="s">
        <v>4349</v>
      </c>
      <c r="B1819">
        <v>0</v>
      </c>
      <c r="C1819">
        <v>0</v>
      </c>
      <c r="D1819">
        <v>0</v>
      </c>
      <c r="E1819">
        <v>0</v>
      </c>
      <c r="F1819">
        <v>0</v>
      </c>
      <c r="G1819">
        <v>0</v>
      </c>
      <c r="H1819">
        <v>0</v>
      </c>
      <c r="I1819">
        <v>0</v>
      </c>
      <c r="J1819">
        <v>0</v>
      </c>
      <c r="K1819">
        <v>0</v>
      </c>
    </row>
    <row r="1820" spans="1:11" x14ac:dyDescent="0.2">
      <c r="A1820" t="s">
        <v>4350</v>
      </c>
      <c r="B1820">
        <v>0</v>
      </c>
      <c r="C1820">
        <v>0</v>
      </c>
      <c r="D1820">
        <v>1</v>
      </c>
      <c r="E1820">
        <v>3</v>
      </c>
      <c r="F1820">
        <v>0</v>
      </c>
      <c r="G1820">
        <v>0</v>
      </c>
      <c r="H1820">
        <v>0</v>
      </c>
      <c r="I1820">
        <v>0</v>
      </c>
      <c r="J1820">
        <v>0</v>
      </c>
      <c r="K1820">
        <v>0</v>
      </c>
    </row>
    <row r="1821" spans="1:11" x14ac:dyDescent="0.2">
      <c r="A1821" t="s">
        <v>4351</v>
      </c>
      <c r="B1821">
        <v>0</v>
      </c>
      <c r="C1821">
        <v>0</v>
      </c>
      <c r="D1821">
        <v>0</v>
      </c>
      <c r="E1821">
        <v>0</v>
      </c>
      <c r="F1821">
        <v>0</v>
      </c>
      <c r="G1821">
        <v>0</v>
      </c>
      <c r="H1821">
        <v>0</v>
      </c>
      <c r="I1821">
        <v>0</v>
      </c>
      <c r="J1821">
        <v>0</v>
      </c>
      <c r="K1821">
        <v>0</v>
      </c>
    </row>
    <row r="1822" spans="1:11" x14ac:dyDescent="0.2">
      <c r="A1822" t="s">
        <v>4352</v>
      </c>
      <c r="B1822">
        <v>0</v>
      </c>
      <c r="C1822">
        <v>0</v>
      </c>
      <c r="D1822">
        <v>0</v>
      </c>
      <c r="E1822">
        <v>0</v>
      </c>
      <c r="F1822">
        <v>0</v>
      </c>
      <c r="G1822">
        <v>0</v>
      </c>
      <c r="H1822">
        <v>0</v>
      </c>
      <c r="I1822">
        <v>0</v>
      </c>
      <c r="J1822">
        <v>0</v>
      </c>
      <c r="K1822">
        <v>0</v>
      </c>
    </row>
    <row r="1823" spans="1:11" x14ac:dyDescent="0.2">
      <c r="A1823" t="s">
        <v>4353</v>
      </c>
      <c r="B1823">
        <v>2</v>
      </c>
      <c r="C1823">
        <v>0</v>
      </c>
      <c r="D1823">
        <v>12</v>
      </c>
      <c r="E1823">
        <v>58</v>
      </c>
      <c r="F1823">
        <v>10</v>
      </c>
      <c r="G1823">
        <v>0</v>
      </c>
      <c r="H1823">
        <v>0</v>
      </c>
      <c r="I1823">
        <v>0</v>
      </c>
      <c r="J1823">
        <v>0</v>
      </c>
      <c r="K1823">
        <v>0</v>
      </c>
    </row>
    <row r="1824" spans="1:11" x14ac:dyDescent="0.2">
      <c r="A1824" t="s">
        <v>4354</v>
      </c>
      <c r="B1824">
        <v>2</v>
      </c>
      <c r="C1824">
        <v>0</v>
      </c>
      <c r="D1824">
        <v>10</v>
      </c>
      <c r="E1824">
        <v>48</v>
      </c>
      <c r="F1824">
        <v>9</v>
      </c>
      <c r="G1824">
        <v>0</v>
      </c>
      <c r="H1824">
        <v>0</v>
      </c>
      <c r="I1824">
        <v>0</v>
      </c>
      <c r="J1824">
        <v>0</v>
      </c>
      <c r="K1824">
        <v>0</v>
      </c>
    </row>
    <row r="1825" spans="1:11" x14ac:dyDescent="0.2">
      <c r="A1825" t="s">
        <v>4355</v>
      </c>
      <c r="B1825">
        <v>0</v>
      </c>
      <c r="C1825">
        <v>0</v>
      </c>
      <c r="D1825">
        <v>0</v>
      </c>
      <c r="E1825">
        <v>0</v>
      </c>
      <c r="F1825">
        <v>0</v>
      </c>
      <c r="G1825">
        <v>0</v>
      </c>
      <c r="H1825">
        <v>0</v>
      </c>
      <c r="I1825">
        <v>0</v>
      </c>
      <c r="J1825">
        <v>0</v>
      </c>
      <c r="K1825">
        <v>0</v>
      </c>
    </row>
    <row r="1826" spans="1:11" x14ac:dyDescent="0.2">
      <c r="A1826" t="s">
        <v>4356</v>
      </c>
      <c r="B1826">
        <v>0</v>
      </c>
      <c r="C1826">
        <v>0</v>
      </c>
      <c r="D1826">
        <v>0</v>
      </c>
      <c r="E1826">
        <v>0</v>
      </c>
      <c r="F1826">
        <v>0</v>
      </c>
      <c r="G1826">
        <v>0</v>
      </c>
      <c r="H1826">
        <v>0</v>
      </c>
      <c r="I1826">
        <v>0</v>
      </c>
      <c r="J1826">
        <v>0</v>
      </c>
      <c r="K1826">
        <v>0</v>
      </c>
    </row>
    <row r="1827" spans="1:11" x14ac:dyDescent="0.2">
      <c r="A1827" t="s">
        <v>4357</v>
      </c>
      <c r="B1827">
        <v>0</v>
      </c>
      <c r="C1827">
        <v>0</v>
      </c>
      <c r="D1827">
        <v>0</v>
      </c>
      <c r="E1827">
        <v>0</v>
      </c>
      <c r="F1827">
        <v>0</v>
      </c>
      <c r="G1827">
        <v>0</v>
      </c>
      <c r="H1827">
        <v>0</v>
      </c>
      <c r="I1827">
        <v>0</v>
      </c>
      <c r="J1827">
        <v>0</v>
      </c>
      <c r="K1827">
        <v>0</v>
      </c>
    </row>
    <row r="1828" spans="1:11" x14ac:dyDescent="0.2">
      <c r="A1828" t="s">
        <v>4358</v>
      </c>
      <c r="B1828">
        <v>0</v>
      </c>
      <c r="C1828">
        <v>0</v>
      </c>
      <c r="D1828">
        <v>0</v>
      </c>
      <c r="E1828">
        <v>0</v>
      </c>
      <c r="F1828">
        <v>0</v>
      </c>
      <c r="G1828">
        <v>0</v>
      </c>
      <c r="H1828">
        <v>0</v>
      </c>
      <c r="I1828">
        <v>0</v>
      </c>
      <c r="J1828">
        <v>0</v>
      </c>
      <c r="K1828">
        <v>0</v>
      </c>
    </row>
    <row r="1829" spans="1:11" x14ac:dyDescent="0.2">
      <c r="A1829" t="s">
        <v>4359</v>
      </c>
      <c r="B1829">
        <v>0</v>
      </c>
      <c r="C1829">
        <v>0</v>
      </c>
      <c r="D1829">
        <v>0</v>
      </c>
      <c r="E1829">
        <v>0</v>
      </c>
      <c r="F1829">
        <v>0</v>
      </c>
      <c r="G1829">
        <v>0</v>
      </c>
      <c r="H1829">
        <v>0</v>
      </c>
      <c r="I1829">
        <v>0</v>
      </c>
      <c r="J1829">
        <v>0</v>
      </c>
      <c r="K1829">
        <v>0</v>
      </c>
    </row>
    <row r="1830" spans="1:11" x14ac:dyDescent="0.2">
      <c r="A1830" t="s">
        <v>4360</v>
      </c>
      <c r="B1830">
        <v>0</v>
      </c>
      <c r="C1830">
        <v>0</v>
      </c>
      <c r="D1830">
        <v>1</v>
      </c>
      <c r="E1830">
        <v>5</v>
      </c>
      <c r="F1830">
        <v>1</v>
      </c>
      <c r="G1830">
        <v>0</v>
      </c>
      <c r="H1830">
        <v>0</v>
      </c>
      <c r="I1830">
        <v>0</v>
      </c>
      <c r="J1830">
        <v>0</v>
      </c>
      <c r="K1830">
        <v>0</v>
      </c>
    </row>
    <row r="1831" spans="1:11" x14ac:dyDescent="0.2">
      <c r="A1831" t="s">
        <v>4361</v>
      </c>
      <c r="B1831">
        <v>0</v>
      </c>
      <c r="C1831">
        <v>0</v>
      </c>
      <c r="D1831">
        <v>1</v>
      </c>
      <c r="E1831">
        <v>3</v>
      </c>
      <c r="F1831">
        <v>0</v>
      </c>
      <c r="G1831">
        <v>0</v>
      </c>
      <c r="H1831">
        <v>0</v>
      </c>
      <c r="I1831">
        <v>0</v>
      </c>
      <c r="J1831">
        <v>0</v>
      </c>
      <c r="K1831">
        <v>0</v>
      </c>
    </row>
    <row r="1832" spans="1:11" x14ac:dyDescent="0.2">
      <c r="A1832" t="s">
        <v>4362</v>
      </c>
      <c r="B1832">
        <v>0</v>
      </c>
      <c r="C1832">
        <v>0</v>
      </c>
      <c r="D1832">
        <v>0</v>
      </c>
      <c r="E1832">
        <v>0</v>
      </c>
      <c r="F1832">
        <v>0</v>
      </c>
      <c r="G1832">
        <v>0</v>
      </c>
      <c r="H1832">
        <v>0</v>
      </c>
      <c r="I1832">
        <v>0</v>
      </c>
      <c r="J1832">
        <v>0</v>
      </c>
      <c r="K1832">
        <v>0</v>
      </c>
    </row>
    <row r="1833" spans="1:11" x14ac:dyDescent="0.2">
      <c r="A1833" t="s">
        <v>4363</v>
      </c>
      <c r="B1833">
        <v>0</v>
      </c>
      <c r="C1833">
        <v>0</v>
      </c>
      <c r="D1833">
        <v>0</v>
      </c>
      <c r="E1833">
        <v>0</v>
      </c>
      <c r="F1833">
        <v>0</v>
      </c>
      <c r="G1833">
        <v>0</v>
      </c>
      <c r="H1833">
        <v>0</v>
      </c>
      <c r="I1833">
        <v>0</v>
      </c>
      <c r="J1833">
        <v>0</v>
      </c>
      <c r="K1833">
        <v>0</v>
      </c>
    </row>
    <row r="1834" spans="1:11" x14ac:dyDescent="0.2">
      <c r="A1834" t="s">
        <v>4364</v>
      </c>
      <c r="B1834">
        <v>0</v>
      </c>
      <c r="C1834">
        <v>0</v>
      </c>
      <c r="D1834">
        <v>0</v>
      </c>
      <c r="E1834">
        <v>0</v>
      </c>
      <c r="F1834">
        <v>0</v>
      </c>
      <c r="G1834">
        <v>0</v>
      </c>
      <c r="H1834">
        <v>0</v>
      </c>
      <c r="I1834">
        <v>0</v>
      </c>
      <c r="J1834">
        <v>0</v>
      </c>
      <c r="K1834">
        <v>0</v>
      </c>
    </row>
    <row r="1835" spans="1:11" x14ac:dyDescent="0.2">
      <c r="A1835" t="s">
        <v>4365</v>
      </c>
      <c r="B1835">
        <v>0</v>
      </c>
      <c r="C1835">
        <v>0</v>
      </c>
      <c r="D1835">
        <v>0</v>
      </c>
      <c r="E1835">
        <v>8</v>
      </c>
      <c r="F1835">
        <v>0</v>
      </c>
      <c r="G1835">
        <v>0</v>
      </c>
      <c r="H1835">
        <v>0</v>
      </c>
      <c r="I1835">
        <v>0</v>
      </c>
      <c r="J1835">
        <v>0</v>
      </c>
      <c r="K1835">
        <v>0</v>
      </c>
    </row>
    <row r="1836" spans="1:11" x14ac:dyDescent="0.2">
      <c r="A1836" t="s">
        <v>4366</v>
      </c>
      <c r="B1836">
        <v>0</v>
      </c>
      <c r="C1836">
        <v>0</v>
      </c>
      <c r="D1836">
        <v>0</v>
      </c>
      <c r="E1836">
        <v>0</v>
      </c>
      <c r="F1836">
        <v>0</v>
      </c>
      <c r="G1836">
        <v>0</v>
      </c>
      <c r="H1836">
        <v>0</v>
      </c>
      <c r="I1836">
        <v>0</v>
      </c>
      <c r="J1836">
        <v>0</v>
      </c>
      <c r="K1836">
        <v>0</v>
      </c>
    </row>
    <row r="1837" spans="1:11" x14ac:dyDescent="0.2">
      <c r="A1837" t="s">
        <v>4367</v>
      </c>
      <c r="B1837">
        <v>0</v>
      </c>
      <c r="C1837">
        <v>0</v>
      </c>
      <c r="D1837">
        <v>0</v>
      </c>
      <c r="E1837">
        <v>0</v>
      </c>
      <c r="F1837">
        <v>0</v>
      </c>
      <c r="G1837">
        <v>0</v>
      </c>
      <c r="H1837">
        <v>0</v>
      </c>
      <c r="I1837">
        <v>0</v>
      </c>
      <c r="J1837">
        <v>0</v>
      </c>
      <c r="K1837">
        <v>0</v>
      </c>
    </row>
    <row r="1838" spans="1:11" x14ac:dyDescent="0.2">
      <c r="A1838" t="s">
        <v>4368</v>
      </c>
      <c r="B1838">
        <v>2</v>
      </c>
      <c r="C1838">
        <v>0</v>
      </c>
      <c r="D1838">
        <v>12</v>
      </c>
      <c r="E1838">
        <v>493</v>
      </c>
      <c r="F1838">
        <v>11</v>
      </c>
      <c r="G1838">
        <v>0</v>
      </c>
      <c r="H1838">
        <v>0</v>
      </c>
      <c r="I1838">
        <v>0</v>
      </c>
      <c r="J1838">
        <v>0</v>
      </c>
      <c r="K1838">
        <v>0</v>
      </c>
    </row>
    <row r="1839" spans="1:11" x14ac:dyDescent="0.2">
      <c r="A1839" t="s">
        <v>4369</v>
      </c>
      <c r="B1839">
        <v>3</v>
      </c>
      <c r="C1839">
        <v>0</v>
      </c>
      <c r="D1839">
        <v>15</v>
      </c>
      <c r="E1839">
        <v>197</v>
      </c>
      <c r="F1839">
        <v>13</v>
      </c>
      <c r="G1839">
        <v>0</v>
      </c>
      <c r="H1839">
        <v>0</v>
      </c>
      <c r="I1839">
        <v>0</v>
      </c>
      <c r="J1839">
        <v>0</v>
      </c>
      <c r="K1839">
        <v>0</v>
      </c>
    </row>
    <row r="1840" spans="1:11" x14ac:dyDescent="0.2">
      <c r="A1840" t="s">
        <v>4370</v>
      </c>
      <c r="B1840">
        <v>0</v>
      </c>
      <c r="C1840">
        <v>0</v>
      </c>
      <c r="D1840">
        <v>0</v>
      </c>
      <c r="E1840">
        <v>4</v>
      </c>
      <c r="F1840">
        <v>0</v>
      </c>
      <c r="G1840">
        <v>0</v>
      </c>
      <c r="H1840">
        <v>0</v>
      </c>
      <c r="I1840">
        <v>0</v>
      </c>
      <c r="J1840">
        <v>0</v>
      </c>
      <c r="K1840">
        <v>0</v>
      </c>
    </row>
    <row r="1841" spans="1:11" x14ac:dyDescent="0.2">
      <c r="A1841" t="s">
        <v>4371</v>
      </c>
      <c r="B1841">
        <v>0</v>
      </c>
      <c r="C1841">
        <v>0</v>
      </c>
      <c r="D1841">
        <v>0</v>
      </c>
      <c r="E1841">
        <v>3</v>
      </c>
      <c r="F1841">
        <v>0</v>
      </c>
      <c r="G1841">
        <v>0</v>
      </c>
      <c r="H1841">
        <v>0</v>
      </c>
      <c r="I1841">
        <v>0</v>
      </c>
      <c r="J1841">
        <v>0</v>
      </c>
      <c r="K1841">
        <v>0</v>
      </c>
    </row>
    <row r="1842" spans="1:11" x14ac:dyDescent="0.2">
      <c r="A1842" t="s">
        <v>4372</v>
      </c>
      <c r="B1842">
        <v>0</v>
      </c>
      <c r="C1842">
        <v>0</v>
      </c>
      <c r="D1842">
        <v>0</v>
      </c>
      <c r="E1842">
        <v>0</v>
      </c>
      <c r="F1842">
        <v>0</v>
      </c>
      <c r="G1842">
        <v>0</v>
      </c>
      <c r="H1842">
        <v>0</v>
      </c>
      <c r="I1842">
        <v>0</v>
      </c>
      <c r="J1842">
        <v>0</v>
      </c>
      <c r="K1842">
        <v>0</v>
      </c>
    </row>
    <row r="1843" spans="1:11" x14ac:dyDescent="0.2">
      <c r="A1843" t="s">
        <v>4373</v>
      </c>
      <c r="B1843">
        <v>0</v>
      </c>
      <c r="C1843">
        <v>0</v>
      </c>
      <c r="D1843">
        <v>0</v>
      </c>
      <c r="E1843">
        <v>0</v>
      </c>
      <c r="F1843">
        <v>0</v>
      </c>
      <c r="G1843">
        <v>0</v>
      </c>
      <c r="H1843">
        <v>0</v>
      </c>
      <c r="I1843">
        <v>0</v>
      </c>
      <c r="J1843">
        <v>0</v>
      </c>
      <c r="K1843">
        <v>0</v>
      </c>
    </row>
    <row r="1844" spans="1:11" x14ac:dyDescent="0.2">
      <c r="A1844" t="s">
        <v>4374</v>
      </c>
      <c r="B1844">
        <v>0</v>
      </c>
      <c r="C1844">
        <v>0</v>
      </c>
      <c r="D1844">
        <v>0</v>
      </c>
      <c r="E1844">
        <v>0</v>
      </c>
      <c r="F1844">
        <v>0</v>
      </c>
      <c r="G1844">
        <v>0</v>
      </c>
      <c r="H1844">
        <v>0</v>
      </c>
      <c r="I1844">
        <v>0</v>
      </c>
      <c r="J1844">
        <v>0</v>
      </c>
      <c r="K1844">
        <v>0</v>
      </c>
    </row>
    <row r="1845" spans="1:11" x14ac:dyDescent="0.2">
      <c r="A1845" t="s">
        <v>4375</v>
      </c>
      <c r="B1845">
        <v>0</v>
      </c>
      <c r="C1845">
        <v>0</v>
      </c>
      <c r="D1845">
        <v>0</v>
      </c>
      <c r="E1845">
        <v>0</v>
      </c>
      <c r="F1845">
        <v>0</v>
      </c>
      <c r="G1845">
        <v>0</v>
      </c>
      <c r="H1845">
        <v>0</v>
      </c>
      <c r="I1845">
        <v>0</v>
      </c>
      <c r="J1845">
        <v>0</v>
      </c>
      <c r="K1845">
        <v>0</v>
      </c>
    </row>
    <row r="1846" spans="1:11" x14ac:dyDescent="0.2">
      <c r="A1846" t="s">
        <v>4376</v>
      </c>
      <c r="B1846">
        <v>0</v>
      </c>
      <c r="C1846">
        <v>0</v>
      </c>
      <c r="D1846">
        <v>0</v>
      </c>
      <c r="E1846">
        <v>0</v>
      </c>
      <c r="F1846">
        <v>0</v>
      </c>
      <c r="G1846">
        <v>0</v>
      </c>
      <c r="H1846">
        <v>0</v>
      </c>
      <c r="I1846">
        <v>0</v>
      </c>
      <c r="J1846">
        <v>0</v>
      </c>
      <c r="K1846">
        <v>0</v>
      </c>
    </row>
    <row r="1847" spans="1:11" x14ac:dyDescent="0.2">
      <c r="A1847" t="s">
        <v>4377</v>
      </c>
      <c r="B1847">
        <v>0</v>
      </c>
      <c r="C1847">
        <v>0</v>
      </c>
      <c r="D1847">
        <v>0</v>
      </c>
      <c r="E1847">
        <v>1</v>
      </c>
      <c r="F1847">
        <v>0</v>
      </c>
      <c r="G1847">
        <v>0</v>
      </c>
      <c r="H1847">
        <v>0</v>
      </c>
      <c r="I1847">
        <v>0</v>
      </c>
      <c r="J1847">
        <v>0</v>
      </c>
      <c r="K1847">
        <v>0</v>
      </c>
    </row>
    <row r="1848" spans="1:11" x14ac:dyDescent="0.2">
      <c r="A1848" t="s">
        <v>4854</v>
      </c>
      <c r="B1848">
        <v>273</v>
      </c>
      <c r="C1848">
        <v>0</v>
      </c>
      <c r="D1848">
        <v>2496</v>
      </c>
      <c r="E1848">
        <v>14504</v>
      </c>
      <c r="F1848">
        <v>2208</v>
      </c>
      <c r="G1848">
        <v>0</v>
      </c>
      <c r="H1848">
        <v>0</v>
      </c>
      <c r="I1848">
        <v>0</v>
      </c>
      <c r="J1848">
        <v>19</v>
      </c>
      <c r="K1848">
        <v>0</v>
      </c>
    </row>
    <row r="1849" spans="1:11" x14ac:dyDescent="0.2">
      <c r="A1849" t="s">
        <v>2318</v>
      </c>
      <c r="B1849" t="s">
        <v>4399</v>
      </c>
      <c r="C1849" t="s">
        <v>4399</v>
      </c>
      <c r="D1849" t="s">
        <v>4399</v>
      </c>
      <c r="E1849" t="s">
        <v>4399</v>
      </c>
      <c r="F1849" t="s">
        <v>4399</v>
      </c>
      <c r="G1849" t="s">
        <v>4399</v>
      </c>
      <c r="H1849" t="s">
        <v>4399</v>
      </c>
      <c r="I1849" t="s">
        <v>4399</v>
      </c>
      <c r="J1849" t="s">
        <v>4399</v>
      </c>
      <c r="K1849" t="s">
        <v>4399</v>
      </c>
    </row>
    <row r="1850" spans="1:11" x14ac:dyDescent="0.2">
      <c r="A1850" t="s">
        <v>4248</v>
      </c>
    </row>
    <row r="1851" spans="1:11" x14ac:dyDescent="0.2">
      <c r="A1851" t="s">
        <v>4855</v>
      </c>
      <c r="B1851" t="s">
        <v>4856</v>
      </c>
      <c r="C1851" t="s">
        <v>4857</v>
      </c>
      <c r="D1851" t="s">
        <v>4858</v>
      </c>
      <c r="E1851" t="s">
        <v>4859</v>
      </c>
      <c r="F1851" t="s">
        <v>4860</v>
      </c>
      <c r="G1851" t="s">
        <v>4869</v>
      </c>
    </row>
    <row r="1852" spans="1:11" x14ac:dyDescent="0.2">
      <c r="A1852" t="s">
        <v>2318</v>
      </c>
      <c r="B1852" t="s">
        <v>4399</v>
      </c>
      <c r="C1852" t="s">
        <v>4399</v>
      </c>
      <c r="D1852" t="s">
        <v>4399</v>
      </c>
      <c r="E1852" t="s">
        <v>4399</v>
      </c>
      <c r="F1852" t="s">
        <v>4399</v>
      </c>
      <c r="G1852" t="s">
        <v>4399</v>
      </c>
      <c r="H1852" t="s">
        <v>4399</v>
      </c>
      <c r="I1852" t="s">
        <v>4399</v>
      </c>
      <c r="J1852" t="s">
        <v>4399</v>
      </c>
      <c r="K1852" t="s">
        <v>4399</v>
      </c>
    </row>
    <row r="1853" spans="1:11" x14ac:dyDescent="0.2">
      <c r="A1853" t="s">
        <v>126</v>
      </c>
      <c r="B1853" t="s">
        <v>4730</v>
      </c>
      <c r="C1853" t="s">
        <v>4734</v>
      </c>
      <c r="D1853" t="s">
        <v>4738</v>
      </c>
      <c r="E1853" t="s">
        <v>4742</v>
      </c>
      <c r="F1853" t="s">
        <v>388</v>
      </c>
      <c r="G1853" t="s">
        <v>389</v>
      </c>
      <c r="H1853" t="s">
        <v>4752</v>
      </c>
      <c r="I1853" t="s">
        <v>4756</v>
      </c>
      <c r="J1853" t="s">
        <v>381</v>
      </c>
      <c r="K1853" t="s">
        <v>382</v>
      </c>
    </row>
    <row r="1854" spans="1:11" x14ac:dyDescent="0.2">
      <c r="A1854" t="s">
        <v>2318</v>
      </c>
      <c r="B1854" t="s">
        <v>4399</v>
      </c>
      <c r="C1854" t="s">
        <v>4399</v>
      </c>
      <c r="D1854" t="s">
        <v>4399</v>
      </c>
      <c r="E1854" t="s">
        <v>4399</v>
      </c>
      <c r="F1854" t="s">
        <v>4399</v>
      </c>
      <c r="G1854" t="s">
        <v>4399</v>
      </c>
      <c r="H1854" t="s">
        <v>4399</v>
      </c>
      <c r="I1854" t="s">
        <v>4399</v>
      </c>
      <c r="J1854" t="s">
        <v>4399</v>
      </c>
      <c r="K1854" t="s">
        <v>4399</v>
      </c>
    </row>
    <row r="1855" spans="1:11" x14ac:dyDescent="0.2">
      <c r="A1855" t="s">
        <v>4265</v>
      </c>
      <c r="B1855">
        <v>0</v>
      </c>
      <c r="C1855">
        <v>0</v>
      </c>
      <c r="D1855">
        <v>0</v>
      </c>
      <c r="E1855">
        <v>0</v>
      </c>
      <c r="F1855">
        <v>0</v>
      </c>
      <c r="G1855">
        <v>0</v>
      </c>
      <c r="H1855">
        <v>0</v>
      </c>
      <c r="I1855">
        <v>0</v>
      </c>
      <c r="J1855">
        <v>0</v>
      </c>
      <c r="K1855">
        <v>0</v>
      </c>
    </row>
    <row r="1856" spans="1:11" x14ac:dyDescent="0.2">
      <c r="A1856" t="s">
        <v>4266</v>
      </c>
      <c r="B1856">
        <v>0</v>
      </c>
      <c r="C1856">
        <v>0</v>
      </c>
      <c r="D1856">
        <v>0</v>
      </c>
      <c r="E1856">
        <v>0</v>
      </c>
      <c r="F1856">
        <v>0</v>
      </c>
      <c r="G1856">
        <v>0</v>
      </c>
      <c r="H1856">
        <v>0</v>
      </c>
      <c r="I1856">
        <v>0</v>
      </c>
      <c r="J1856">
        <v>0</v>
      </c>
      <c r="K1856">
        <v>0</v>
      </c>
    </row>
    <row r="1857" spans="1:11" x14ac:dyDescent="0.2">
      <c r="A1857" t="s">
        <v>4267</v>
      </c>
      <c r="B1857">
        <v>0</v>
      </c>
      <c r="C1857">
        <v>0</v>
      </c>
      <c r="D1857">
        <v>0</v>
      </c>
      <c r="E1857">
        <v>0</v>
      </c>
      <c r="F1857">
        <v>0</v>
      </c>
      <c r="G1857">
        <v>0</v>
      </c>
      <c r="H1857">
        <v>0</v>
      </c>
      <c r="I1857">
        <v>0</v>
      </c>
      <c r="J1857">
        <v>0</v>
      </c>
      <c r="K1857">
        <v>0</v>
      </c>
    </row>
    <row r="1858" spans="1:11" x14ac:dyDescent="0.2">
      <c r="A1858" t="s">
        <v>4268</v>
      </c>
      <c r="B1858">
        <v>0</v>
      </c>
      <c r="C1858">
        <v>0</v>
      </c>
      <c r="D1858">
        <v>0</v>
      </c>
      <c r="E1858">
        <v>0</v>
      </c>
      <c r="F1858">
        <v>0</v>
      </c>
      <c r="G1858">
        <v>0</v>
      </c>
      <c r="H1858">
        <v>0</v>
      </c>
      <c r="I1858">
        <v>0</v>
      </c>
      <c r="J1858">
        <v>0</v>
      </c>
      <c r="K1858">
        <v>0</v>
      </c>
    </row>
    <row r="1859" spans="1:11" x14ac:dyDescent="0.2">
      <c r="A1859" t="s">
        <v>4269</v>
      </c>
      <c r="B1859">
        <v>0</v>
      </c>
      <c r="C1859">
        <v>0</v>
      </c>
      <c r="D1859">
        <v>0</v>
      </c>
      <c r="E1859">
        <v>0</v>
      </c>
      <c r="F1859">
        <v>0</v>
      </c>
      <c r="G1859">
        <v>0</v>
      </c>
      <c r="H1859">
        <v>0</v>
      </c>
      <c r="I1859">
        <v>0</v>
      </c>
      <c r="J1859">
        <v>0</v>
      </c>
      <c r="K1859">
        <v>0</v>
      </c>
    </row>
    <row r="1860" spans="1:11" x14ac:dyDescent="0.2">
      <c r="A1860" t="s">
        <v>4270</v>
      </c>
      <c r="B1860">
        <v>0</v>
      </c>
      <c r="C1860">
        <v>0</v>
      </c>
      <c r="D1860">
        <v>0</v>
      </c>
      <c r="E1860">
        <v>0</v>
      </c>
      <c r="F1860">
        <v>0</v>
      </c>
      <c r="G1860">
        <v>0</v>
      </c>
      <c r="H1860">
        <v>0</v>
      </c>
      <c r="I1860">
        <v>0</v>
      </c>
      <c r="J1860">
        <v>0</v>
      </c>
      <c r="K1860">
        <v>0</v>
      </c>
    </row>
    <row r="1861" spans="1:11" x14ac:dyDescent="0.2">
      <c r="A1861" t="s">
        <v>4271</v>
      </c>
      <c r="B1861">
        <v>0</v>
      </c>
      <c r="C1861">
        <v>0</v>
      </c>
      <c r="D1861">
        <v>0</v>
      </c>
      <c r="E1861">
        <v>0</v>
      </c>
      <c r="F1861">
        <v>0</v>
      </c>
      <c r="G1861">
        <v>0</v>
      </c>
      <c r="H1861">
        <v>0</v>
      </c>
      <c r="I1861">
        <v>0</v>
      </c>
      <c r="J1861">
        <v>0</v>
      </c>
      <c r="K1861">
        <v>0</v>
      </c>
    </row>
    <row r="1862" spans="1:11" x14ac:dyDescent="0.2">
      <c r="A1862" t="s">
        <v>4272</v>
      </c>
      <c r="B1862">
        <v>0</v>
      </c>
      <c r="C1862">
        <v>0</v>
      </c>
      <c r="D1862">
        <v>0</v>
      </c>
      <c r="E1862">
        <v>0</v>
      </c>
      <c r="F1862">
        <v>0</v>
      </c>
      <c r="G1862">
        <v>0</v>
      </c>
      <c r="H1862">
        <v>0</v>
      </c>
      <c r="I1862">
        <v>0</v>
      </c>
      <c r="J1862">
        <v>0</v>
      </c>
      <c r="K1862">
        <v>0</v>
      </c>
    </row>
    <row r="1863" spans="1:11" x14ac:dyDescent="0.2">
      <c r="A1863" t="s">
        <v>4273</v>
      </c>
      <c r="B1863">
        <v>0</v>
      </c>
      <c r="C1863">
        <v>0</v>
      </c>
      <c r="D1863">
        <v>0</v>
      </c>
      <c r="E1863">
        <v>0</v>
      </c>
      <c r="F1863">
        <v>0</v>
      </c>
      <c r="G1863">
        <v>0</v>
      </c>
      <c r="H1863">
        <v>0</v>
      </c>
      <c r="I1863">
        <v>0</v>
      </c>
      <c r="J1863">
        <v>0</v>
      </c>
      <c r="K1863">
        <v>0</v>
      </c>
    </row>
    <row r="1864" spans="1:11" x14ac:dyDescent="0.2">
      <c r="A1864" t="s">
        <v>4274</v>
      </c>
      <c r="B1864">
        <v>0</v>
      </c>
      <c r="C1864">
        <v>0</v>
      </c>
      <c r="D1864">
        <v>0</v>
      </c>
      <c r="E1864">
        <v>0</v>
      </c>
      <c r="F1864">
        <v>0</v>
      </c>
      <c r="G1864">
        <v>0</v>
      </c>
      <c r="H1864">
        <v>0</v>
      </c>
      <c r="I1864">
        <v>0</v>
      </c>
      <c r="J1864">
        <v>0</v>
      </c>
      <c r="K1864">
        <v>0</v>
      </c>
    </row>
    <row r="1865" spans="1:11" x14ac:dyDescent="0.2">
      <c r="A1865" t="s">
        <v>4275</v>
      </c>
      <c r="B1865">
        <v>0</v>
      </c>
      <c r="C1865">
        <v>0</v>
      </c>
      <c r="D1865">
        <v>0</v>
      </c>
      <c r="E1865">
        <v>0</v>
      </c>
      <c r="F1865">
        <v>0</v>
      </c>
      <c r="G1865">
        <v>0</v>
      </c>
      <c r="H1865">
        <v>0</v>
      </c>
      <c r="I1865">
        <v>0</v>
      </c>
      <c r="J1865">
        <v>0</v>
      </c>
      <c r="K1865">
        <v>0</v>
      </c>
    </row>
    <row r="1866" spans="1:11" x14ac:dyDescent="0.2">
      <c r="A1866" t="s">
        <v>4276</v>
      </c>
      <c r="B1866">
        <v>0</v>
      </c>
      <c r="C1866">
        <v>0</v>
      </c>
      <c r="D1866">
        <v>0</v>
      </c>
      <c r="E1866">
        <v>0</v>
      </c>
      <c r="F1866">
        <v>0</v>
      </c>
      <c r="G1866">
        <v>0</v>
      </c>
      <c r="H1866">
        <v>0</v>
      </c>
      <c r="I1866">
        <v>0</v>
      </c>
      <c r="J1866">
        <v>0</v>
      </c>
      <c r="K1866">
        <v>0</v>
      </c>
    </row>
    <row r="1867" spans="1:11" x14ac:dyDescent="0.2">
      <c r="A1867" t="s">
        <v>4277</v>
      </c>
      <c r="B1867">
        <v>0</v>
      </c>
      <c r="C1867">
        <v>0</v>
      </c>
      <c r="D1867">
        <v>0</v>
      </c>
      <c r="E1867">
        <v>0</v>
      </c>
      <c r="F1867">
        <v>0</v>
      </c>
      <c r="G1867">
        <v>0</v>
      </c>
      <c r="H1867">
        <v>0</v>
      </c>
      <c r="I1867">
        <v>0</v>
      </c>
      <c r="J1867">
        <v>0</v>
      </c>
      <c r="K1867">
        <v>0</v>
      </c>
    </row>
    <row r="1868" spans="1:11" x14ac:dyDescent="0.2">
      <c r="A1868" t="s">
        <v>4278</v>
      </c>
      <c r="B1868">
        <v>0</v>
      </c>
      <c r="C1868">
        <v>0</v>
      </c>
      <c r="D1868">
        <v>0</v>
      </c>
      <c r="E1868">
        <v>0</v>
      </c>
      <c r="F1868">
        <v>0</v>
      </c>
      <c r="G1868">
        <v>0</v>
      </c>
      <c r="H1868">
        <v>0</v>
      </c>
      <c r="I1868">
        <v>0</v>
      </c>
      <c r="J1868">
        <v>0</v>
      </c>
      <c r="K1868">
        <v>0</v>
      </c>
    </row>
    <row r="1869" spans="1:11" x14ac:dyDescent="0.2">
      <c r="A1869" t="s">
        <v>4279</v>
      </c>
      <c r="B1869">
        <v>0</v>
      </c>
      <c r="C1869">
        <v>0</v>
      </c>
      <c r="D1869">
        <v>0</v>
      </c>
      <c r="E1869">
        <v>0</v>
      </c>
      <c r="F1869">
        <v>0</v>
      </c>
      <c r="G1869">
        <v>0</v>
      </c>
      <c r="H1869">
        <v>0</v>
      </c>
      <c r="I1869">
        <v>0</v>
      </c>
      <c r="J1869">
        <v>0</v>
      </c>
      <c r="K1869">
        <v>0</v>
      </c>
    </row>
    <row r="1870" spans="1:11" x14ac:dyDescent="0.2">
      <c r="A1870" t="s">
        <v>4280</v>
      </c>
      <c r="B1870">
        <v>0</v>
      </c>
      <c r="C1870">
        <v>0</v>
      </c>
      <c r="D1870">
        <v>0</v>
      </c>
      <c r="E1870">
        <v>0</v>
      </c>
      <c r="F1870">
        <v>0</v>
      </c>
      <c r="G1870">
        <v>0</v>
      </c>
      <c r="H1870">
        <v>0</v>
      </c>
      <c r="I1870">
        <v>0</v>
      </c>
      <c r="J1870">
        <v>0</v>
      </c>
      <c r="K1870">
        <v>0</v>
      </c>
    </row>
    <row r="1871" spans="1:11" x14ac:dyDescent="0.2">
      <c r="A1871" t="s">
        <v>4281</v>
      </c>
      <c r="B1871">
        <v>0</v>
      </c>
      <c r="C1871">
        <v>21</v>
      </c>
      <c r="D1871">
        <v>0</v>
      </c>
      <c r="E1871">
        <v>0</v>
      </c>
      <c r="F1871">
        <v>23</v>
      </c>
      <c r="G1871">
        <v>42</v>
      </c>
      <c r="H1871">
        <v>2</v>
      </c>
      <c r="I1871">
        <v>0</v>
      </c>
      <c r="J1871">
        <v>0</v>
      </c>
      <c r="K1871">
        <v>23</v>
      </c>
    </row>
    <row r="1872" spans="1:11" x14ac:dyDescent="0.2">
      <c r="A1872" t="s">
        <v>4282</v>
      </c>
      <c r="B1872">
        <v>0</v>
      </c>
      <c r="C1872">
        <v>9</v>
      </c>
      <c r="D1872">
        <v>0</v>
      </c>
      <c r="E1872">
        <v>0</v>
      </c>
      <c r="F1872">
        <v>18</v>
      </c>
      <c r="G1872">
        <v>17</v>
      </c>
      <c r="H1872">
        <v>1</v>
      </c>
      <c r="I1872">
        <v>0</v>
      </c>
      <c r="J1872">
        <v>0</v>
      </c>
      <c r="K1872">
        <v>9</v>
      </c>
    </row>
    <row r="1873" spans="1:11" x14ac:dyDescent="0.2">
      <c r="A1873" t="s">
        <v>4283</v>
      </c>
      <c r="B1873">
        <v>0</v>
      </c>
      <c r="C1873">
        <v>4</v>
      </c>
      <c r="D1873">
        <v>0</v>
      </c>
      <c r="E1873">
        <v>0</v>
      </c>
      <c r="F1873">
        <v>8</v>
      </c>
      <c r="G1873">
        <v>9</v>
      </c>
      <c r="H1873">
        <v>1</v>
      </c>
      <c r="I1873">
        <v>0</v>
      </c>
      <c r="J1873">
        <v>0</v>
      </c>
      <c r="K1873">
        <v>5</v>
      </c>
    </row>
    <row r="1874" spans="1:11" x14ac:dyDescent="0.2">
      <c r="A1874" t="s">
        <v>4284</v>
      </c>
      <c r="B1874">
        <v>0</v>
      </c>
      <c r="C1874">
        <v>0</v>
      </c>
      <c r="D1874">
        <v>0</v>
      </c>
      <c r="E1874">
        <v>0</v>
      </c>
      <c r="F1874">
        <v>0</v>
      </c>
      <c r="G1874">
        <v>0</v>
      </c>
      <c r="H1874">
        <v>0</v>
      </c>
      <c r="I1874">
        <v>0</v>
      </c>
      <c r="J1874">
        <v>0</v>
      </c>
      <c r="K1874">
        <v>0</v>
      </c>
    </row>
    <row r="1875" spans="1:11" x14ac:dyDescent="0.2">
      <c r="A1875" t="s">
        <v>4285</v>
      </c>
      <c r="B1875">
        <v>0</v>
      </c>
      <c r="C1875">
        <v>16</v>
      </c>
      <c r="D1875">
        <v>0</v>
      </c>
      <c r="E1875">
        <v>0</v>
      </c>
      <c r="F1875">
        <v>18</v>
      </c>
      <c r="G1875">
        <v>32</v>
      </c>
      <c r="H1875">
        <v>1</v>
      </c>
      <c r="I1875">
        <v>0</v>
      </c>
      <c r="J1875">
        <v>0</v>
      </c>
      <c r="K1875">
        <v>17</v>
      </c>
    </row>
    <row r="1876" spans="1:11" x14ac:dyDescent="0.2">
      <c r="A1876" t="s">
        <v>4286</v>
      </c>
      <c r="B1876">
        <v>0</v>
      </c>
      <c r="C1876">
        <v>2</v>
      </c>
      <c r="D1876">
        <v>0</v>
      </c>
      <c r="E1876">
        <v>0</v>
      </c>
      <c r="F1876">
        <v>7</v>
      </c>
      <c r="G1876">
        <v>4</v>
      </c>
      <c r="H1876">
        <v>1</v>
      </c>
      <c r="I1876">
        <v>0</v>
      </c>
      <c r="J1876">
        <v>0</v>
      </c>
      <c r="K1876">
        <v>2</v>
      </c>
    </row>
    <row r="1877" spans="1:11" x14ac:dyDescent="0.2">
      <c r="A1877" t="s">
        <v>4287</v>
      </c>
      <c r="B1877">
        <v>0</v>
      </c>
      <c r="C1877">
        <v>1</v>
      </c>
      <c r="D1877">
        <v>0</v>
      </c>
      <c r="E1877">
        <v>0</v>
      </c>
      <c r="F1877">
        <v>1</v>
      </c>
      <c r="G1877">
        <v>1</v>
      </c>
      <c r="H1877">
        <v>0</v>
      </c>
      <c r="I1877">
        <v>0</v>
      </c>
      <c r="J1877">
        <v>0</v>
      </c>
      <c r="K1877">
        <v>1</v>
      </c>
    </row>
    <row r="1878" spans="1:11" x14ac:dyDescent="0.2">
      <c r="A1878" t="s">
        <v>4288</v>
      </c>
      <c r="B1878">
        <v>0</v>
      </c>
      <c r="C1878">
        <v>0</v>
      </c>
      <c r="D1878">
        <v>0</v>
      </c>
      <c r="E1878">
        <v>0</v>
      </c>
      <c r="F1878">
        <v>0</v>
      </c>
      <c r="G1878">
        <v>0</v>
      </c>
      <c r="H1878">
        <v>0</v>
      </c>
      <c r="I1878">
        <v>0</v>
      </c>
      <c r="J1878">
        <v>0</v>
      </c>
      <c r="K1878">
        <v>0</v>
      </c>
    </row>
    <row r="1879" spans="1:11" x14ac:dyDescent="0.2">
      <c r="A1879" t="s">
        <v>4289</v>
      </c>
      <c r="B1879">
        <v>0</v>
      </c>
      <c r="C1879">
        <v>0</v>
      </c>
      <c r="D1879">
        <v>0</v>
      </c>
      <c r="E1879">
        <v>0</v>
      </c>
      <c r="F1879">
        <v>0</v>
      </c>
      <c r="G1879">
        <v>0</v>
      </c>
      <c r="H1879">
        <v>0</v>
      </c>
      <c r="I1879">
        <v>0</v>
      </c>
      <c r="J1879">
        <v>0</v>
      </c>
      <c r="K1879">
        <v>0</v>
      </c>
    </row>
    <row r="1880" spans="1:11" x14ac:dyDescent="0.2">
      <c r="A1880" t="s">
        <v>4290</v>
      </c>
      <c r="B1880">
        <v>0</v>
      </c>
      <c r="C1880">
        <v>0</v>
      </c>
      <c r="D1880">
        <v>0</v>
      </c>
      <c r="E1880">
        <v>0</v>
      </c>
      <c r="F1880">
        <v>0</v>
      </c>
      <c r="G1880">
        <v>0</v>
      </c>
      <c r="H1880">
        <v>0</v>
      </c>
      <c r="I1880">
        <v>0</v>
      </c>
      <c r="J1880">
        <v>0</v>
      </c>
      <c r="K1880">
        <v>0</v>
      </c>
    </row>
    <row r="1881" spans="1:11" x14ac:dyDescent="0.2">
      <c r="A1881" t="s">
        <v>4291</v>
      </c>
      <c r="B1881">
        <v>0</v>
      </c>
      <c r="C1881">
        <v>0</v>
      </c>
      <c r="D1881">
        <v>0</v>
      </c>
      <c r="E1881">
        <v>0</v>
      </c>
      <c r="F1881">
        <v>0</v>
      </c>
      <c r="G1881">
        <v>0</v>
      </c>
      <c r="H1881">
        <v>0</v>
      </c>
      <c r="I1881">
        <v>0</v>
      </c>
      <c r="J1881">
        <v>0</v>
      </c>
      <c r="K1881">
        <v>0</v>
      </c>
    </row>
    <row r="1882" spans="1:11" x14ac:dyDescent="0.2">
      <c r="A1882" t="s">
        <v>4292</v>
      </c>
      <c r="B1882">
        <v>0</v>
      </c>
      <c r="C1882">
        <v>0</v>
      </c>
      <c r="D1882">
        <v>0</v>
      </c>
      <c r="E1882">
        <v>0</v>
      </c>
      <c r="F1882">
        <v>0</v>
      </c>
      <c r="G1882">
        <v>0</v>
      </c>
      <c r="H1882">
        <v>0</v>
      </c>
      <c r="I1882">
        <v>0</v>
      </c>
      <c r="J1882">
        <v>0</v>
      </c>
      <c r="K1882">
        <v>0</v>
      </c>
    </row>
    <row r="1883" spans="1:11" x14ac:dyDescent="0.2">
      <c r="A1883" t="s">
        <v>4293</v>
      </c>
      <c r="B1883">
        <v>0</v>
      </c>
      <c r="C1883">
        <v>0</v>
      </c>
      <c r="D1883">
        <v>0</v>
      </c>
      <c r="E1883">
        <v>0</v>
      </c>
      <c r="F1883">
        <v>0</v>
      </c>
      <c r="G1883">
        <v>0</v>
      </c>
      <c r="H1883">
        <v>0</v>
      </c>
      <c r="I1883">
        <v>0</v>
      </c>
      <c r="J1883">
        <v>0</v>
      </c>
      <c r="K1883">
        <v>0</v>
      </c>
    </row>
    <row r="1884" spans="1:11" x14ac:dyDescent="0.2">
      <c r="A1884" t="s">
        <v>4294</v>
      </c>
      <c r="B1884">
        <v>0</v>
      </c>
      <c r="C1884">
        <v>0</v>
      </c>
      <c r="D1884">
        <v>0</v>
      </c>
      <c r="E1884">
        <v>0</v>
      </c>
      <c r="F1884">
        <v>0</v>
      </c>
      <c r="G1884">
        <v>0</v>
      </c>
      <c r="H1884">
        <v>0</v>
      </c>
      <c r="I1884">
        <v>0</v>
      </c>
      <c r="J1884">
        <v>0</v>
      </c>
      <c r="K1884">
        <v>0</v>
      </c>
    </row>
    <row r="1885" spans="1:11" x14ac:dyDescent="0.2">
      <c r="A1885" t="s">
        <v>4295</v>
      </c>
      <c r="B1885">
        <v>0</v>
      </c>
      <c r="C1885">
        <v>0</v>
      </c>
      <c r="D1885">
        <v>0</v>
      </c>
      <c r="E1885">
        <v>0</v>
      </c>
      <c r="F1885">
        <v>0</v>
      </c>
      <c r="G1885">
        <v>0</v>
      </c>
      <c r="H1885">
        <v>0</v>
      </c>
      <c r="I1885">
        <v>0</v>
      </c>
      <c r="J1885">
        <v>0</v>
      </c>
      <c r="K1885">
        <v>0</v>
      </c>
    </row>
    <row r="1886" spans="1:11" x14ac:dyDescent="0.2">
      <c r="A1886" t="s">
        <v>4296</v>
      </c>
      <c r="B1886">
        <v>0</v>
      </c>
      <c r="C1886">
        <v>0</v>
      </c>
      <c r="D1886">
        <v>0</v>
      </c>
      <c r="E1886">
        <v>0</v>
      </c>
      <c r="F1886">
        <v>0</v>
      </c>
      <c r="G1886">
        <v>0</v>
      </c>
      <c r="H1886">
        <v>0</v>
      </c>
      <c r="I1886">
        <v>0</v>
      </c>
      <c r="J1886">
        <v>0</v>
      </c>
      <c r="K1886">
        <v>0</v>
      </c>
    </row>
    <row r="1887" spans="1:11" x14ac:dyDescent="0.2">
      <c r="A1887" t="s">
        <v>4297</v>
      </c>
      <c r="B1887">
        <v>0</v>
      </c>
      <c r="C1887">
        <v>24</v>
      </c>
      <c r="D1887">
        <v>0</v>
      </c>
      <c r="E1887">
        <v>0</v>
      </c>
      <c r="F1887">
        <v>23</v>
      </c>
      <c r="G1887">
        <v>48</v>
      </c>
      <c r="H1887">
        <v>2</v>
      </c>
      <c r="I1887">
        <v>0</v>
      </c>
      <c r="J1887">
        <v>0</v>
      </c>
      <c r="K1887">
        <v>25</v>
      </c>
    </row>
    <row r="1888" spans="1:11" x14ac:dyDescent="0.2">
      <c r="A1888" t="s">
        <v>4298</v>
      </c>
      <c r="B1888">
        <v>0</v>
      </c>
      <c r="C1888">
        <v>12</v>
      </c>
      <c r="D1888">
        <v>0</v>
      </c>
      <c r="E1888">
        <v>0</v>
      </c>
      <c r="F1888">
        <v>22</v>
      </c>
      <c r="G1888">
        <v>24</v>
      </c>
      <c r="H1888">
        <v>2</v>
      </c>
      <c r="I1888">
        <v>0</v>
      </c>
      <c r="J1888">
        <v>0</v>
      </c>
      <c r="K1888">
        <v>13</v>
      </c>
    </row>
    <row r="1889" spans="1:11" x14ac:dyDescent="0.2">
      <c r="A1889" t="s">
        <v>4299</v>
      </c>
      <c r="B1889">
        <v>0</v>
      </c>
      <c r="C1889">
        <v>39</v>
      </c>
      <c r="D1889">
        <v>1</v>
      </c>
      <c r="E1889">
        <v>0</v>
      </c>
      <c r="F1889">
        <v>63</v>
      </c>
      <c r="G1889">
        <v>78</v>
      </c>
      <c r="H1889">
        <v>5</v>
      </c>
      <c r="I1889">
        <v>0</v>
      </c>
      <c r="J1889">
        <v>0</v>
      </c>
      <c r="K1889">
        <v>42</v>
      </c>
    </row>
    <row r="1890" spans="1:11" x14ac:dyDescent="0.2">
      <c r="A1890" t="s">
        <v>4300</v>
      </c>
      <c r="B1890">
        <v>0</v>
      </c>
      <c r="C1890">
        <v>1</v>
      </c>
      <c r="D1890">
        <v>0</v>
      </c>
      <c r="E1890">
        <v>0</v>
      </c>
      <c r="F1890">
        <v>4</v>
      </c>
      <c r="G1890">
        <v>2</v>
      </c>
      <c r="H1890">
        <v>0</v>
      </c>
      <c r="I1890">
        <v>0</v>
      </c>
      <c r="J1890">
        <v>0</v>
      </c>
      <c r="K1890">
        <v>1</v>
      </c>
    </row>
    <row r="1891" spans="1:11" x14ac:dyDescent="0.2">
      <c r="A1891" t="s">
        <v>4301</v>
      </c>
      <c r="B1891">
        <v>0</v>
      </c>
      <c r="C1891">
        <v>92</v>
      </c>
      <c r="D1891">
        <v>1</v>
      </c>
      <c r="E1891">
        <v>0</v>
      </c>
      <c r="F1891">
        <v>88</v>
      </c>
      <c r="G1891">
        <v>185</v>
      </c>
      <c r="H1891">
        <v>7</v>
      </c>
      <c r="I1891">
        <v>0</v>
      </c>
      <c r="J1891">
        <v>0</v>
      </c>
      <c r="K1891">
        <v>99</v>
      </c>
    </row>
    <row r="1892" spans="1:11" x14ac:dyDescent="0.2">
      <c r="A1892" t="s">
        <v>4302</v>
      </c>
      <c r="B1892">
        <v>0</v>
      </c>
      <c r="C1892">
        <v>65</v>
      </c>
      <c r="D1892">
        <v>1</v>
      </c>
      <c r="E1892">
        <v>0</v>
      </c>
      <c r="F1892">
        <v>100</v>
      </c>
      <c r="G1892">
        <v>130</v>
      </c>
      <c r="H1892">
        <v>8</v>
      </c>
      <c r="I1892">
        <v>0</v>
      </c>
      <c r="J1892">
        <v>0</v>
      </c>
      <c r="K1892">
        <v>70</v>
      </c>
    </row>
    <row r="1893" spans="1:11" x14ac:dyDescent="0.2">
      <c r="A1893" t="s">
        <v>4303</v>
      </c>
      <c r="B1893">
        <v>1</v>
      </c>
      <c r="C1893">
        <v>73</v>
      </c>
      <c r="D1893">
        <v>5</v>
      </c>
      <c r="E1893">
        <v>0</v>
      </c>
      <c r="F1893">
        <v>339</v>
      </c>
      <c r="G1893">
        <v>146</v>
      </c>
      <c r="H1893">
        <v>26</v>
      </c>
      <c r="I1893">
        <v>0</v>
      </c>
      <c r="J1893">
        <v>1</v>
      </c>
      <c r="K1893">
        <v>78</v>
      </c>
    </row>
    <row r="1894" spans="1:11" x14ac:dyDescent="0.2">
      <c r="A1894" t="s">
        <v>4304</v>
      </c>
      <c r="B1894">
        <v>0</v>
      </c>
      <c r="C1894">
        <v>17</v>
      </c>
      <c r="D1894">
        <v>0</v>
      </c>
      <c r="E1894">
        <v>0</v>
      </c>
      <c r="F1894">
        <v>17</v>
      </c>
      <c r="G1894">
        <v>35</v>
      </c>
      <c r="H1894">
        <v>1</v>
      </c>
      <c r="I1894">
        <v>0</v>
      </c>
      <c r="J1894">
        <v>0</v>
      </c>
      <c r="K1894">
        <v>19</v>
      </c>
    </row>
    <row r="1895" spans="1:11" x14ac:dyDescent="0.2">
      <c r="A1895" t="s">
        <v>4305</v>
      </c>
      <c r="B1895">
        <v>1</v>
      </c>
      <c r="C1895">
        <v>288</v>
      </c>
      <c r="D1895">
        <v>4</v>
      </c>
      <c r="E1895">
        <v>0</v>
      </c>
      <c r="F1895">
        <v>275</v>
      </c>
      <c r="G1895">
        <v>579</v>
      </c>
      <c r="H1895">
        <v>21</v>
      </c>
      <c r="I1895">
        <v>0</v>
      </c>
      <c r="J1895">
        <v>1</v>
      </c>
      <c r="K1895">
        <v>310</v>
      </c>
    </row>
    <row r="1896" spans="1:11" x14ac:dyDescent="0.2">
      <c r="A1896" t="s">
        <v>4306</v>
      </c>
      <c r="B1896">
        <v>0</v>
      </c>
      <c r="C1896">
        <v>24</v>
      </c>
      <c r="D1896">
        <v>1</v>
      </c>
      <c r="E1896">
        <v>0</v>
      </c>
      <c r="F1896">
        <v>38</v>
      </c>
      <c r="G1896">
        <v>49</v>
      </c>
      <c r="H1896">
        <v>3</v>
      </c>
      <c r="I1896">
        <v>0</v>
      </c>
      <c r="J1896">
        <v>0</v>
      </c>
      <c r="K1896">
        <v>26</v>
      </c>
    </row>
    <row r="1897" spans="1:11" x14ac:dyDescent="0.2">
      <c r="A1897" t="s">
        <v>4307</v>
      </c>
      <c r="B1897">
        <v>3</v>
      </c>
      <c r="C1897">
        <v>254</v>
      </c>
      <c r="D1897">
        <v>16</v>
      </c>
      <c r="E1897">
        <v>0</v>
      </c>
      <c r="F1897">
        <v>1183</v>
      </c>
      <c r="G1897">
        <v>511</v>
      </c>
      <c r="H1897">
        <v>92</v>
      </c>
      <c r="I1897">
        <v>0</v>
      </c>
      <c r="J1897">
        <v>3</v>
      </c>
      <c r="K1897">
        <v>273</v>
      </c>
    </row>
    <row r="1898" spans="1:11" x14ac:dyDescent="0.2">
      <c r="A1898" t="s">
        <v>4308</v>
      </c>
      <c r="B1898">
        <v>0</v>
      </c>
      <c r="C1898">
        <v>5</v>
      </c>
      <c r="D1898">
        <v>0</v>
      </c>
      <c r="E1898">
        <v>0</v>
      </c>
      <c r="F1898">
        <v>22</v>
      </c>
      <c r="G1898">
        <v>9</v>
      </c>
      <c r="H1898">
        <v>2</v>
      </c>
      <c r="I1898">
        <v>0</v>
      </c>
      <c r="J1898">
        <v>0</v>
      </c>
      <c r="K1898">
        <v>5</v>
      </c>
    </row>
    <row r="1899" spans="1:11" x14ac:dyDescent="0.2">
      <c r="A1899" t="s">
        <v>4309</v>
      </c>
      <c r="B1899">
        <v>0</v>
      </c>
      <c r="C1899">
        <v>0</v>
      </c>
      <c r="D1899">
        <v>0</v>
      </c>
      <c r="E1899">
        <v>0</v>
      </c>
      <c r="F1899">
        <v>0</v>
      </c>
      <c r="G1899">
        <v>0</v>
      </c>
      <c r="H1899">
        <v>0</v>
      </c>
      <c r="I1899">
        <v>0</v>
      </c>
      <c r="J1899">
        <v>0</v>
      </c>
      <c r="K1899">
        <v>0</v>
      </c>
    </row>
    <row r="1900" spans="1:11" x14ac:dyDescent="0.2">
      <c r="A1900" t="s">
        <v>4310</v>
      </c>
      <c r="B1900">
        <v>0</v>
      </c>
      <c r="C1900">
        <v>0</v>
      </c>
      <c r="D1900">
        <v>0</v>
      </c>
      <c r="E1900">
        <v>0</v>
      </c>
      <c r="F1900">
        <v>0</v>
      </c>
      <c r="G1900">
        <v>0</v>
      </c>
      <c r="H1900">
        <v>0</v>
      </c>
      <c r="I1900">
        <v>0</v>
      </c>
      <c r="J1900">
        <v>0</v>
      </c>
      <c r="K1900">
        <v>0</v>
      </c>
    </row>
    <row r="1901" spans="1:11" x14ac:dyDescent="0.2">
      <c r="A1901" t="s">
        <v>4311</v>
      </c>
      <c r="B1901">
        <v>0</v>
      </c>
      <c r="C1901">
        <v>0</v>
      </c>
      <c r="D1901">
        <v>0</v>
      </c>
      <c r="E1901">
        <v>0</v>
      </c>
      <c r="F1901">
        <v>2</v>
      </c>
      <c r="G1901">
        <v>1</v>
      </c>
      <c r="H1901">
        <v>0</v>
      </c>
      <c r="I1901">
        <v>0</v>
      </c>
      <c r="J1901">
        <v>0</v>
      </c>
      <c r="K1901">
        <v>0</v>
      </c>
    </row>
    <row r="1902" spans="1:11" x14ac:dyDescent="0.2">
      <c r="A1902" t="s">
        <v>4312</v>
      </c>
      <c r="B1902">
        <v>0</v>
      </c>
      <c r="C1902">
        <v>0</v>
      </c>
      <c r="D1902">
        <v>0</v>
      </c>
      <c r="E1902">
        <v>0</v>
      </c>
      <c r="F1902">
        <v>0</v>
      </c>
      <c r="G1902">
        <v>0</v>
      </c>
      <c r="H1902">
        <v>0</v>
      </c>
      <c r="I1902">
        <v>0</v>
      </c>
      <c r="J1902">
        <v>0</v>
      </c>
      <c r="K1902">
        <v>0</v>
      </c>
    </row>
    <row r="1903" spans="1:11" x14ac:dyDescent="0.2">
      <c r="A1903" t="s">
        <v>4313</v>
      </c>
      <c r="B1903">
        <v>0</v>
      </c>
      <c r="C1903">
        <v>0</v>
      </c>
      <c r="D1903">
        <v>0</v>
      </c>
      <c r="E1903">
        <v>0</v>
      </c>
      <c r="F1903">
        <v>0</v>
      </c>
      <c r="G1903">
        <v>0</v>
      </c>
      <c r="H1903">
        <v>0</v>
      </c>
      <c r="I1903">
        <v>0</v>
      </c>
      <c r="J1903">
        <v>0</v>
      </c>
      <c r="K1903">
        <v>0</v>
      </c>
    </row>
    <row r="1904" spans="1:11" x14ac:dyDescent="0.2">
      <c r="A1904" t="s">
        <v>4314</v>
      </c>
      <c r="B1904">
        <v>0</v>
      </c>
      <c r="C1904">
        <v>0</v>
      </c>
      <c r="D1904">
        <v>0</v>
      </c>
      <c r="E1904">
        <v>0</v>
      </c>
      <c r="F1904">
        <v>0</v>
      </c>
      <c r="G1904">
        <v>0</v>
      </c>
      <c r="H1904">
        <v>0</v>
      </c>
      <c r="I1904">
        <v>0</v>
      </c>
      <c r="J1904">
        <v>0</v>
      </c>
      <c r="K1904">
        <v>0</v>
      </c>
    </row>
    <row r="1905" spans="1:11" x14ac:dyDescent="0.2">
      <c r="A1905" t="s">
        <v>4315</v>
      </c>
      <c r="B1905">
        <v>0</v>
      </c>
      <c r="C1905">
        <v>0</v>
      </c>
      <c r="D1905">
        <v>0</v>
      </c>
      <c r="E1905">
        <v>0</v>
      </c>
      <c r="F1905">
        <v>0</v>
      </c>
      <c r="G1905">
        <v>0</v>
      </c>
      <c r="H1905">
        <v>0</v>
      </c>
      <c r="I1905">
        <v>0</v>
      </c>
      <c r="J1905">
        <v>0</v>
      </c>
      <c r="K1905">
        <v>0</v>
      </c>
    </row>
    <row r="1906" spans="1:11" x14ac:dyDescent="0.2">
      <c r="A1906" t="s">
        <v>4316</v>
      </c>
      <c r="B1906">
        <v>0</v>
      </c>
      <c r="C1906">
        <v>0</v>
      </c>
      <c r="D1906">
        <v>0</v>
      </c>
      <c r="E1906">
        <v>0</v>
      </c>
      <c r="F1906">
        <v>0</v>
      </c>
      <c r="G1906">
        <v>0</v>
      </c>
      <c r="H1906">
        <v>0</v>
      </c>
      <c r="I1906">
        <v>0</v>
      </c>
      <c r="J1906">
        <v>0</v>
      </c>
      <c r="K1906">
        <v>0</v>
      </c>
    </row>
    <row r="1907" spans="1:11" x14ac:dyDescent="0.2">
      <c r="A1907" t="s">
        <v>4317</v>
      </c>
      <c r="B1907">
        <v>0</v>
      </c>
      <c r="C1907">
        <v>0</v>
      </c>
      <c r="D1907">
        <v>0</v>
      </c>
      <c r="E1907">
        <v>0</v>
      </c>
      <c r="F1907">
        <v>0</v>
      </c>
      <c r="G1907">
        <v>0</v>
      </c>
      <c r="H1907">
        <v>0</v>
      </c>
      <c r="I1907">
        <v>0</v>
      </c>
      <c r="J1907">
        <v>0</v>
      </c>
      <c r="K1907">
        <v>0</v>
      </c>
    </row>
    <row r="1908" spans="1:11" x14ac:dyDescent="0.2">
      <c r="A1908" t="s">
        <v>4318</v>
      </c>
      <c r="B1908">
        <v>0</v>
      </c>
      <c r="C1908">
        <v>0</v>
      </c>
      <c r="D1908">
        <v>0</v>
      </c>
      <c r="E1908">
        <v>0</v>
      </c>
      <c r="F1908">
        <v>0</v>
      </c>
      <c r="G1908">
        <v>0</v>
      </c>
      <c r="H1908">
        <v>0</v>
      </c>
      <c r="I1908">
        <v>0</v>
      </c>
      <c r="J1908">
        <v>0</v>
      </c>
      <c r="K1908">
        <v>0</v>
      </c>
    </row>
    <row r="1909" spans="1:11" x14ac:dyDescent="0.2">
      <c r="A1909" t="s">
        <v>4319</v>
      </c>
      <c r="B1909">
        <v>0</v>
      </c>
      <c r="C1909">
        <v>0</v>
      </c>
      <c r="D1909">
        <v>0</v>
      </c>
      <c r="E1909">
        <v>0</v>
      </c>
      <c r="F1909">
        <v>0</v>
      </c>
      <c r="G1909">
        <v>0</v>
      </c>
      <c r="H1909">
        <v>0</v>
      </c>
      <c r="I1909">
        <v>0</v>
      </c>
      <c r="J1909">
        <v>0</v>
      </c>
      <c r="K1909">
        <v>0</v>
      </c>
    </row>
    <row r="1910" spans="1:11" x14ac:dyDescent="0.2">
      <c r="A1910" t="s">
        <v>4320</v>
      </c>
      <c r="B1910">
        <v>0</v>
      </c>
      <c r="C1910">
        <v>0</v>
      </c>
      <c r="D1910">
        <v>0</v>
      </c>
      <c r="E1910">
        <v>0</v>
      </c>
      <c r="F1910">
        <v>0</v>
      </c>
      <c r="G1910">
        <v>0</v>
      </c>
      <c r="H1910">
        <v>0</v>
      </c>
      <c r="I1910">
        <v>0</v>
      </c>
      <c r="J1910">
        <v>0</v>
      </c>
      <c r="K1910">
        <v>0</v>
      </c>
    </row>
    <row r="1911" spans="1:11" x14ac:dyDescent="0.2">
      <c r="A1911" t="s">
        <v>4321</v>
      </c>
      <c r="B1911">
        <v>0</v>
      </c>
      <c r="C1911">
        <v>0</v>
      </c>
      <c r="D1911">
        <v>0</v>
      </c>
      <c r="E1911">
        <v>0</v>
      </c>
      <c r="F1911">
        <v>0</v>
      </c>
      <c r="G1911">
        <v>0</v>
      </c>
      <c r="H1911">
        <v>0</v>
      </c>
      <c r="I1911">
        <v>0</v>
      </c>
      <c r="J1911">
        <v>0</v>
      </c>
      <c r="K1911">
        <v>0</v>
      </c>
    </row>
    <row r="1912" spans="1:11" x14ac:dyDescent="0.2">
      <c r="A1912" t="s">
        <v>4322</v>
      </c>
      <c r="B1912">
        <v>0</v>
      </c>
      <c r="C1912">
        <v>0</v>
      </c>
      <c r="D1912">
        <v>0</v>
      </c>
      <c r="E1912">
        <v>0</v>
      </c>
      <c r="F1912">
        <v>0</v>
      </c>
      <c r="G1912">
        <v>0</v>
      </c>
      <c r="H1912">
        <v>0</v>
      </c>
      <c r="I1912">
        <v>0</v>
      </c>
      <c r="J1912">
        <v>0</v>
      </c>
      <c r="K1912">
        <v>0</v>
      </c>
    </row>
    <row r="1913" spans="1:11" x14ac:dyDescent="0.2">
      <c r="A1913" t="s">
        <v>4323</v>
      </c>
      <c r="B1913">
        <v>0</v>
      </c>
      <c r="C1913">
        <v>0</v>
      </c>
      <c r="D1913">
        <v>0</v>
      </c>
      <c r="E1913">
        <v>0</v>
      </c>
      <c r="F1913">
        <v>0</v>
      </c>
      <c r="G1913">
        <v>0</v>
      </c>
      <c r="H1913">
        <v>0</v>
      </c>
      <c r="I1913">
        <v>0</v>
      </c>
      <c r="J1913">
        <v>0</v>
      </c>
      <c r="K1913">
        <v>0</v>
      </c>
    </row>
    <row r="1914" spans="1:11" x14ac:dyDescent="0.2">
      <c r="A1914" t="s">
        <v>4324</v>
      </c>
      <c r="B1914">
        <v>0</v>
      </c>
      <c r="C1914">
        <v>0</v>
      </c>
      <c r="D1914">
        <v>0</v>
      </c>
      <c r="E1914">
        <v>0</v>
      </c>
      <c r="F1914">
        <v>0</v>
      </c>
      <c r="G1914">
        <v>0</v>
      </c>
      <c r="H1914">
        <v>0</v>
      </c>
      <c r="I1914">
        <v>0</v>
      </c>
      <c r="J1914">
        <v>0</v>
      </c>
      <c r="K1914">
        <v>0</v>
      </c>
    </row>
    <row r="1915" spans="1:11" x14ac:dyDescent="0.2">
      <c r="A1915" t="s">
        <v>4325</v>
      </c>
      <c r="B1915">
        <v>0</v>
      </c>
      <c r="C1915">
        <v>0</v>
      </c>
      <c r="D1915">
        <v>0</v>
      </c>
      <c r="E1915">
        <v>0</v>
      </c>
      <c r="F1915">
        <v>0</v>
      </c>
      <c r="G1915">
        <v>0</v>
      </c>
      <c r="H1915">
        <v>0</v>
      </c>
      <c r="I1915">
        <v>0</v>
      </c>
      <c r="J1915">
        <v>0</v>
      </c>
      <c r="K1915">
        <v>0</v>
      </c>
    </row>
    <row r="1916" spans="1:11" x14ac:dyDescent="0.2">
      <c r="A1916" t="s">
        <v>4326</v>
      </c>
      <c r="B1916">
        <v>0</v>
      </c>
      <c r="C1916">
        <v>0</v>
      </c>
      <c r="D1916">
        <v>0</v>
      </c>
      <c r="E1916">
        <v>0</v>
      </c>
      <c r="F1916">
        <v>0</v>
      </c>
      <c r="G1916">
        <v>0</v>
      </c>
      <c r="H1916">
        <v>0</v>
      </c>
      <c r="I1916">
        <v>0</v>
      </c>
      <c r="J1916">
        <v>0</v>
      </c>
      <c r="K1916">
        <v>0</v>
      </c>
    </row>
    <row r="1917" spans="1:11" x14ac:dyDescent="0.2">
      <c r="A1917" t="s">
        <v>4327</v>
      </c>
      <c r="B1917">
        <v>0</v>
      </c>
      <c r="C1917">
        <v>0</v>
      </c>
      <c r="D1917">
        <v>0</v>
      </c>
      <c r="E1917">
        <v>0</v>
      </c>
      <c r="F1917">
        <v>0</v>
      </c>
      <c r="G1917">
        <v>0</v>
      </c>
      <c r="H1917">
        <v>0</v>
      </c>
      <c r="I1917">
        <v>0</v>
      </c>
      <c r="J1917">
        <v>0</v>
      </c>
      <c r="K1917">
        <v>0</v>
      </c>
    </row>
    <row r="1918" spans="1:11" x14ac:dyDescent="0.2">
      <c r="A1918" t="s">
        <v>4328</v>
      </c>
      <c r="B1918">
        <v>0</v>
      </c>
      <c r="C1918">
        <v>0</v>
      </c>
      <c r="D1918">
        <v>0</v>
      </c>
      <c r="E1918">
        <v>0</v>
      </c>
      <c r="F1918">
        <v>0</v>
      </c>
      <c r="G1918">
        <v>0</v>
      </c>
      <c r="H1918">
        <v>0</v>
      </c>
      <c r="I1918">
        <v>0</v>
      </c>
      <c r="J1918">
        <v>0</v>
      </c>
      <c r="K1918">
        <v>0</v>
      </c>
    </row>
    <row r="1919" spans="1:11" x14ac:dyDescent="0.2">
      <c r="A1919" t="s">
        <v>4329</v>
      </c>
      <c r="B1919">
        <v>0</v>
      </c>
      <c r="C1919">
        <v>0</v>
      </c>
      <c r="D1919">
        <v>0</v>
      </c>
      <c r="E1919">
        <v>0</v>
      </c>
      <c r="F1919">
        <v>0</v>
      </c>
      <c r="G1919">
        <v>0</v>
      </c>
      <c r="H1919">
        <v>0</v>
      </c>
      <c r="I1919">
        <v>0</v>
      </c>
      <c r="J1919">
        <v>0</v>
      </c>
      <c r="K1919">
        <v>0</v>
      </c>
    </row>
    <row r="1920" spans="1:11" x14ac:dyDescent="0.2">
      <c r="A1920" t="s">
        <v>4330</v>
      </c>
      <c r="B1920">
        <v>0</v>
      </c>
      <c r="C1920">
        <v>0</v>
      </c>
      <c r="D1920">
        <v>0</v>
      </c>
      <c r="E1920">
        <v>0</v>
      </c>
      <c r="F1920">
        <v>0</v>
      </c>
      <c r="G1920">
        <v>0</v>
      </c>
      <c r="H1920">
        <v>0</v>
      </c>
      <c r="I1920">
        <v>0</v>
      </c>
      <c r="J1920">
        <v>0</v>
      </c>
      <c r="K1920">
        <v>0</v>
      </c>
    </row>
    <row r="1921" spans="1:11" x14ac:dyDescent="0.2">
      <c r="A1921" t="s">
        <v>4331</v>
      </c>
      <c r="B1921">
        <v>0</v>
      </c>
      <c r="C1921">
        <v>0</v>
      </c>
      <c r="D1921">
        <v>0</v>
      </c>
      <c r="E1921">
        <v>0</v>
      </c>
      <c r="F1921">
        <v>0</v>
      </c>
      <c r="G1921">
        <v>0</v>
      </c>
      <c r="H1921">
        <v>0</v>
      </c>
      <c r="I1921">
        <v>0</v>
      </c>
      <c r="J1921">
        <v>0</v>
      </c>
      <c r="K1921">
        <v>0</v>
      </c>
    </row>
    <row r="1922" spans="1:11" x14ac:dyDescent="0.2">
      <c r="A1922" t="s">
        <v>4332</v>
      </c>
      <c r="B1922">
        <v>0</v>
      </c>
      <c r="C1922">
        <v>0</v>
      </c>
      <c r="D1922">
        <v>0</v>
      </c>
      <c r="E1922">
        <v>0</v>
      </c>
      <c r="F1922">
        <v>0</v>
      </c>
      <c r="G1922">
        <v>0</v>
      </c>
      <c r="H1922">
        <v>0</v>
      </c>
      <c r="I1922">
        <v>0</v>
      </c>
      <c r="J1922">
        <v>0</v>
      </c>
      <c r="K1922">
        <v>0</v>
      </c>
    </row>
    <row r="1923" spans="1:11" x14ac:dyDescent="0.2">
      <c r="A1923" t="s">
        <v>4333</v>
      </c>
      <c r="B1923">
        <v>0</v>
      </c>
      <c r="C1923">
        <v>0</v>
      </c>
      <c r="D1923">
        <v>0</v>
      </c>
      <c r="E1923">
        <v>0</v>
      </c>
      <c r="F1923">
        <v>0</v>
      </c>
      <c r="G1923">
        <v>0</v>
      </c>
      <c r="H1923">
        <v>0</v>
      </c>
      <c r="I1923">
        <v>0</v>
      </c>
      <c r="J1923">
        <v>0</v>
      </c>
      <c r="K1923">
        <v>0</v>
      </c>
    </row>
    <row r="1924" spans="1:11" x14ac:dyDescent="0.2">
      <c r="A1924" t="s">
        <v>4334</v>
      </c>
      <c r="B1924">
        <v>0</v>
      </c>
      <c r="C1924">
        <v>0</v>
      </c>
      <c r="D1924">
        <v>0</v>
      </c>
      <c r="E1924">
        <v>0</v>
      </c>
      <c r="F1924">
        <v>0</v>
      </c>
      <c r="G1924">
        <v>0</v>
      </c>
      <c r="H1924">
        <v>0</v>
      </c>
      <c r="I1924">
        <v>0</v>
      </c>
      <c r="J1924">
        <v>0</v>
      </c>
      <c r="K1924">
        <v>0</v>
      </c>
    </row>
    <row r="1925" spans="1:11" x14ac:dyDescent="0.2">
      <c r="A1925" t="s">
        <v>4335</v>
      </c>
      <c r="B1925">
        <v>0</v>
      </c>
      <c r="C1925">
        <v>0</v>
      </c>
      <c r="D1925">
        <v>0</v>
      </c>
      <c r="E1925">
        <v>0</v>
      </c>
      <c r="F1925">
        <v>0</v>
      </c>
      <c r="G1925">
        <v>0</v>
      </c>
      <c r="H1925">
        <v>0</v>
      </c>
      <c r="I1925">
        <v>0</v>
      </c>
      <c r="J1925">
        <v>0</v>
      </c>
      <c r="K1925">
        <v>0</v>
      </c>
    </row>
    <row r="1926" spans="1:11" x14ac:dyDescent="0.2">
      <c r="A1926" t="s">
        <v>4336</v>
      </c>
      <c r="B1926">
        <v>0</v>
      </c>
      <c r="C1926">
        <v>0</v>
      </c>
      <c r="D1926">
        <v>0</v>
      </c>
      <c r="E1926">
        <v>0</v>
      </c>
      <c r="F1926">
        <v>0</v>
      </c>
      <c r="G1926">
        <v>0</v>
      </c>
      <c r="H1926">
        <v>0</v>
      </c>
      <c r="I1926">
        <v>0</v>
      </c>
      <c r="J1926">
        <v>0</v>
      </c>
      <c r="K1926">
        <v>0</v>
      </c>
    </row>
    <row r="1927" spans="1:11" x14ac:dyDescent="0.2">
      <c r="A1927" t="s">
        <v>4337</v>
      </c>
      <c r="B1927">
        <v>0</v>
      </c>
      <c r="C1927">
        <v>0</v>
      </c>
      <c r="D1927">
        <v>0</v>
      </c>
      <c r="E1927">
        <v>0</v>
      </c>
      <c r="F1927">
        <v>0</v>
      </c>
      <c r="G1927">
        <v>0</v>
      </c>
      <c r="H1927">
        <v>0</v>
      </c>
      <c r="I1927">
        <v>0</v>
      </c>
      <c r="J1927">
        <v>0</v>
      </c>
      <c r="K1927">
        <v>0</v>
      </c>
    </row>
    <row r="1928" spans="1:11" x14ac:dyDescent="0.2">
      <c r="A1928" t="s">
        <v>4338</v>
      </c>
      <c r="B1928">
        <v>0</v>
      </c>
      <c r="C1928">
        <v>0</v>
      </c>
      <c r="D1928">
        <v>0</v>
      </c>
      <c r="E1928">
        <v>0</v>
      </c>
      <c r="F1928">
        <v>0</v>
      </c>
      <c r="G1928">
        <v>0</v>
      </c>
      <c r="H1928">
        <v>0</v>
      </c>
      <c r="I1928">
        <v>0</v>
      </c>
      <c r="J1928">
        <v>0</v>
      </c>
      <c r="K1928">
        <v>0</v>
      </c>
    </row>
    <row r="1929" spans="1:11" x14ac:dyDescent="0.2">
      <c r="A1929" t="s">
        <v>4339</v>
      </c>
      <c r="B1929">
        <v>0</v>
      </c>
      <c r="C1929">
        <v>0</v>
      </c>
      <c r="D1929">
        <v>0</v>
      </c>
      <c r="E1929">
        <v>0</v>
      </c>
      <c r="F1929">
        <v>0</v>
      </c>
      <c r="G1929">
        <v>0</v>
      </c>
      <c r="H1929">
        <v>0</v>
      </c>
      <c r="I1929">
        <v>0</v>
      </c>
      <c r="J1929">
        <v>0</v>
      </c>
      <c r="K1929">
        <v>0</v>
      </c>
    </row>
    <row r="1930" spans="1:11" x14ac:dyDescent="0.2">
      <c r="A1930" t="s">
        <v>4340</v>
      </c>
      <c r="B1930">
        <v>0</v>
      </c>
      <c r="C1930">
        <v>0</v>
      </c>
      <c r="D1930">
        <v>0</v>
      </c>
      <c r="E1930">
        <v>0</v>
      </c>
      <c r="F1930">
        <v>0</v>
      </c>
      <c r="G1930">
        <v>0</v>
      </c>
      <c r="H1930">
        <v>0</v>
      </c>
      <c r="I1930">
        <v>0</v>
      </c>
      <c r="J1930">
        <v>0</v>
      </c>
      <c r="K1930">
        <v>0</v>
      </c>
    </row>
    <row r="1931" spans="1:11" x14ac:dyDescent="0.2">
      <c r="A1931" t="s">
        <v>4341</v>
      </c>
      <c r="B1931">
        <v>0</v>
      </c>
      <c r="C1931">
        <v>0</v>
      </c>
      <c r="D1931">
        <v>0</v>
      </c>
      <c r="E1931">
        <v>0</v>
      </c>
      <c r="F1931">
        <v>0</v>
      </c>
      <c r="G1931">
        <v>0</v>
      </c>
      <c r="H1931">
        <v>0</v>
      </c>
      <c r="I1931">
        <v>0</v>
      </c>
      <c r="J1931">
        <v>0</v>
      </c>
      <c r="K1931">
        <v>0</v>
      </c>
    </row>
    <row r="1932" spans="1:11" x14ac:dyDescent="0.2">
      <c r="A1932" t="s">
        <v>4342</v>
      </c>
      <c r="B1932">
        <v>0</v>
      </c>
      <c r="C1932">
        <v>0</v>
      </c>
      <c r="D1932">
        <v>0</v>
      </c>
      <c r="E1932">
        <v>0</v>
      </c>
      <c r="F1932">
        <v>0</v>
      </c>
      <c r="G1932">
        <v>0</v>
      </c>
      <c r="H1932">
        <v>0</v>
      </c>
      <c r="I1932">
        <v>0</v>
      </c>
      <c r="J1932">
        <v>0</v>
      </c>
      <c r="K1932">
        <v>0</v>
      </c>
    </row>
    <row r="1933" spans="1:11" x14ac:dyDescent="0.2">
      <c r="A1933" t="s">
        <v>4343</v>
      </c>
      <c r="B1933">
        <v>0</v>
      </c>
      <c r="C1933">
        <v>0</v>
      </c>
      <c r="D1933">
        <v>0</v>
      </c>
      <c r="E1933">
        <v>0</v>
      </c>
      <c r="F1933">
        <v>0</v>
      </c>
      <c r="G1933">
        <v>0</v>
      </c>
      <c r="H1933">
        <v>0</v>
      </c>
      <c r="I1933">
        <v>0</v>
      </c>
      <c r="J1933">
        <v>0</v>
      </c>
      <c r="K1933">
        <v>0</v>
      </c>
    </row>
    <row r="1934" spans="1:11" x14ac:dyDescent="0.2">
      <c r="A1934" t="s">
        <v>1728</v>
      </c>
      <c r="B1934">
        <v>0</v>
      </c>
      <c r="C1934">
        <v>0</v>
      </c>
      <c r="D1934">
        <v>0</v>
      </c>
      <c r="E1934">
        <v>0</v>
      </c>
      <c r="F1934">
        <v>0</v>
      </c>
      <c r="G1934">
        <v>0</v>
      </c>
      <c r="H1934">
        <v>0</v>
      </c>
      <c r="I1934">
        <v>0</v>
      </c>
      <c r="J1934">
        <v>0</v>
      </c>
      <c r="K1934">
        <v>0</v>
      </c>
    </row>
    <row r="1935" spans="1:11" x14ac:dyDescent="0.2">
      <c r="A1935" t="s">
        <v>1730</v>
      </c>
      <c r="B1935">
        <v>0</v>
      </c>
      <c r="C1935">
        <v>22</v>
      </c>
      <c r="D1935">
        <v>1</v>
      </c>
      <c r="E1935">
        <v>0</v>
      </c>
      <c r="F1935">
        <v>115</v>
      </c>
      <c r="G1935">
        <v>45</v>
      </c>
      <c r="H1935">
        <v>9</v>
      </c>
      <c r="I1935">
        <v>0</v>
      </c>
      <c r="J1935">
        <v>0</v>
      </c>
      <c r="K1935">
        <v>19</v>
      </c>
    </row>
    <row r="1936" spans="1:11" x14ac:dyDescent="0.2">
      <c r="A1936" t="s">
        <v>1733</v>
      </c>
      <c r="B1936">
        <v>0</v>
      </c>
      <c r="C1936">
        <v>0</v>
      </c>
      <c r="D1936">
        <v>0</v>
      </c>
      <c r="E1936">
        <v>0</v>
      </c>
      <c r="F1936">
        <v>0</v>
      </c>
      <c r="G1936">
        <v>0</v>
      </c>
      <c r="H1936">
        <v>0</v>
      </c>
      <c r="I1936">
        <v>0</v>
      </c>
      <c r="J1936">
        <v>0</v>
      </c>
      <c r="K1936">
        <v>0</v>
      </c>
    </row>
    <row r="1937" spans="1:11" x14ac:dyDescent="0.2">
      <c r="A1937" t="s">
        <v>1738</v>
      </c>
      <c r="B1937">
        <v>0</v>
      </c>
      <c r="C1937">
        <v>0</v>
      </c>
      <c r="D1937">
        <v>0</v>
      </c>
      <c r="E1937">
        <v>0</v>
      </c>
      <c r="F1937">
        <v>0</v>
      </c>
      <c r="G1937">
        <v>0</v>
      </c>
      <c r="H1937">
        <v>0</v>
      </c>
      <c r="I1937">
        <v>0</v>
      </c>
      <c r="J1937">
        <v>0</v>
      </c>
      <c r="K1937">
        <v>0</v>
      </c>
    </row>
    <row r="1938" spans="1:11" x14ac:dyDescent="0.2">
      <c r="A1938" t="s">
        <v>1744</v>
      </c>
      <c r="B1938">
        <v>0</v>
      </c>
      <c r="C1938">
        <v>0</v>
      </c>
      <c r="D1938">
        <v>0</v>
      </c>
      <c r="E1938">
        <v>0</v>
      </c>
      <c r="F1938">
        <v>0</v>
      </c>
      <c r="G1938">
        <v>0</v>
      </c>
      <c r="H1938">
        <v>0</v>
      </c>
      <c r="I1938">
        <v>0</v>
      </c>
      <c r="J1938">
        <v>0</v>
      </c>
      <c r="K1938">
        <v>0</v>
      </c>
    </row>
    <row r="1939" spans="1:11" x14ac:dyDescent="0.2">
      <c r="A1939" t="s">
        <v>1747</v>
      </c>
      <c r="B1939">
        <v>0</v>
      </c>
      <c r="C1939">
        <v>0</v>
      </c>
      <c r="D1939">
        <v>0</v>
      </c>
      <c r="E1939">
        <v>0</v>
      </c>
      <c r="F1939">
        <v>0</v>
      </c>
      <c r="G1939">
        <v>0</v>
      </c>
      <c r="H1939">
        <v>0</v>
      </c>
      <c r="I1939">
        <v>0</v>
      </c>
      <c r="J1939">
        <v>0</v>
      </c>
      <c r="K1939">
        <v>0</v>
      </c>
    </row>
    <row r="1940" spans="1:11" x14ac:dyDescent="0.2">
      <c r="A1940" t="s">
        <v>1751</v>
      </c>
      <c r="B1940">
        <v>0</v>
      </c>
      <c r="C1940">
        <v>0</v>
      </c>
      <c r="D1940">
        <v>0</v>
      </c>
      <c r="E1940">
        <v>0</v>
      </c>
      <c r="F1940">
        <v>0</v>
      </c>
      <c r="G1940">
        <v>0</v>
      </c>
      <c r="H1940">
        <v>0</v>
      </c>
      <c r="I1940">
        <v>0</v>
      </c>
      <c r="J1940">
        <v>0</v>
      </c>
      <c r="K1940">
        <v>0</v>
      </c>
    </row>
    <row r="1941" spans="1:11" x14ac:dyDescent="0.2">
      <c r="A1941" t="s">
        <v>1755</v>
      </c>
      <c r="B1941">
        <v>0</v>
      </c>
      <c r="C1941">
        <v>18</v>
      </c>
      <c r="D1941">
        <v>1</v>
      </c>
      <c r="E1941">
        <v>0</v>
      </c>
      <c r="F1941">
        <v>47</v>
      </c>
      <c r="G1941">
        <v>33</v>
      </c>
      <c r="H1941">
        <v>4</v>
      </c>
      <c r="I1941">
        <v>0</v>
      </c>
      <c r="J1941">
        <v>0</v>
      </c>
      <c r="K1941">
        <v>16</v>
      </c>
    </row>
    <row r="1942" spans="1:11" x14ac:dyDescent="0.2">
      <c r="A1942" t="s">
        <v>1757</v>
      </c>
      <c r="B1942">
        <v>0</v>
      </c>
      <c r="C1942">
        <v>11</v>
      </c>
      <c r="D1942">
        <v>1</v>
      </c>
      <c r="E1942">
        <v>0</v>
      </c>
      <c r="F1942">
        <v>48</v>
      </c>
      <c r="G1942">
        <v>19</v>
      </c>
      <c r="H1942">
        <v>4</v>
      </c>
      <c r="I1942">
        <v>0</v>
      </c>
      <c r="J1942">
        <v>0</v>
      </c>
      <c r="K1942">
        <v>9</v>
      </c>
    </row>
    <row r="1943" spans="1:11" x14ac:dyDescent="0.2">
      <c r="A1943" t="s">
        <v>1761</v>
      </c>
      <c r="B1943">
        <v>0</v>
      </c>
      <c r="C1943">
        <v>0</v>
      </c>
      <c r="D1943">
        <v>0</v>
      </c>
      <c r="E1943">
        <v>0</v>
      </c>
      <c r="F1943">
        <v>0</v>
      </c>
      <c r="G1943">
        <v>0</v>
      </c>
      <c r="H1943">
        <v>0</v>
      </c>
      <c r="I1943">
        <v>0</v>
      </c>
      <c r="J1943">
        <v>0</v>
      </c>
      <c r="K1943">
        <v>0</v>
      </c>
    </row>
    <row r="1944" spans="1:11" x14ac:dyDescent="0.2">
      <c r="A1944" t="s">
        <v>1764</v>
      </c>
      <c r="B1944">
        <v>0</v>
      </c>
      <c r="C1944">
        <v>0</v>
      </c>
      <c r="D1944">
        <v>0</v>
      </c>
      <c r="E1944">
        <v>0</v>
      </c>
      <c r="F1944">
        <v>0</v>
      </c>
      <c r="G1944">
        <v>0</v>
      </c>
      <c r="H1944">
        <v>0</v>
      </c>
      <c r="I1944">
        <v>0</v>
      </c>
      <c r="J1944">
        <v>0</v>
      </c>
      <c r="K1944">
        <v>0</v>
      </c>
    </row>
    <row r="1945" spans="1:11" x14ac:dyDescent="0.2">
      <c r="A1945" t="s">
        <v>1770</v>
      </c>
      <c r="B1945">
        <v>1</v>
      </c>
      <c r="C1945">
        <v>598</v>
      </c>
      <c r="D1945">
        <v>6</v>
      </c>
      <c r="E1945">
        <v>0</v>
      </c>
      <c r="F1945">
        <v>420</v>
      </c>
      <c r="G1945">
        <v>1201</v>
      </c>
      <c r="H1945">
        <v>33</v>
      </c>
      <c r="I1945">
        <v>0</v>
      </c>
      <c r="J1945">
        <v>1</v>
      </c>
      <c r="K1945">
        <v>643</v>
      </c>
    </row>
    <row r="1946" spans="1:11" x14ac:dyDescent="0.2">
      <c r="A1946" t="s">
        <v>1772</v>
      </c>
      <c r="B1946">
        <v>0</v>
      </c>
      <c r="C1946">
        <v>239</v>
      </c>
      <c r="D1946">
        <v>2</v>
      </c>
      <c r="E1946">
        <v>0</v>
      </c>
      <c r="F1946">
        <v>168</v>
      </c>
      <c r="G1946">
        <v>480</v>
      </c>
      <c r="H1946">
        <v>13</v>
      </c>
      <c r="I1946">
        <v>0</v>
      </c>
      <c r="J1946">
        <v>0</v>
      </c>
      <c r="K1946">
        <v>257</v>
      </c>
    </row>
    <row r="1947" spans="1:11" x14ac:dyDescent="0.2">
      <c r="A1947" t="s">
        <v>1774</v>
      </c>
      <c r="B1947">
        <v>0</v>
      </c>
      <c r="C1947">
        <v>43</v>
      </c>
      <c r="D1947">
        <v>0</v>
      </c>
      <c r="E1947">
        <v>0</v>
      </c>
      <c r="F1947">
        <v>34</v>
      </c>
      <c r="G1947">
        <v>87</v>
      </c>
      <c r="H1947">
        <v>3</v>
      </c>
      <c r="I1947">
        <v>0</v>
      </c>
      <c r="J1947">
        <v>0</v>
      </c>
      <c r="K1947">
        <v>47</v>
      </c>
    </row>
    <row r="1948" spans="1:11" x14ac:dyDescent="0.2">
      <c r="A1948" t="s">
        <v>1777</v>
      </c>
      <c r="B1948">
        <v>0</v>
      </c>
      <c r="C1948">
        <v>0</v>
      </c>
      <c r="D1948">
        <v>0</v>
      </c>
      <c r="E1948">
        <v>0</v>
      </c>
      <c r="F1948">
        <v>0</v>
      </c>
      <c r="G1948">
        <v>0</v>
      </c>
      <c r="H1948">
        <v>0</v>
      </c>
      <c r="I1948">
        <v>0</v>
      </c>
      <c r="J1948">
        <v>0</v>
      </c>
      <c r="K1948">
        <v>0</v>
      </c>
    </row>
    <row r="1949" spans="1:11" x14ac:dyDescent="0.2">
      <c r="A1949" t="s">
        <v>1782</v>
      </c>
      <c r="B1949">
        <v>0</v>
      </c>
      <c r="C1949">
        <v>0</v>
      </c>
      <c r="D1949">
        <v>0</v>
      </c>
      <c r="E1949">
        <v>0</v>
      </c>
      <c r="F1949">
        <v>0</v>
      </c>
      <c r="G1949">
        <v>0</v>
      </c>
      <c r="H1949">
        <v>0</v>
      </c>
      <c r="I1949">
        <v>0</v>
      </c>
      <c r="J1949">
        <v>0</v>
      </c>
      <c r="K1949">
        <v>0</v>
      </c>
    </row>
    <row r="1950" spans="1:11" x14ac:dyDescent="0.2">
      <c r="A1950" t="s">
        <v>1274</v>
      </c>
      <c r="B1950">
        <v>0</v>
      </c>
      <c r="C1950">
        <v>1</v>
      </c>
      <c r="D1950">
        <v>0</v>
      </c>
      <c r="E1950">
        <v>0</v>
      </c>
      <c r="F1950">
        <v>6</v>
      </c>
      <c r="G1950">
        <v>3</v>
      </c>
      <c r="H1950">
        <v>1</v>
      </c>
      <c r="I1950">
        <v>0</v>
      </c>
      <c r="J1950">
        <v>0</v>
      </c>
      <c r="K1950">
        <v>1</v>
      </c>
    </row>
    <row r="1951" spans="1:11" x14ac:dyDescent="0.2">
      <c r="A1951" t="s">
        <v>1277</v>
      </c>
      <c r="B1951">
        <v>0</v>
      </c>
      <c r="C1951">
        <v>11</v>
      </c>
      <c r="D1951">
        <v>1</v>
      </c>
      <c r="E1951">
        <v>0</v>
      </c>
      <c r="F1951">
        <v>54</v>
      </c>
      <c r="G1951">
        <v>22</v>
      </c>
      <c r="H1951">
        <v>4</v>
      </c>
      <c r="I1951">
        <v>0</v>
      </c>
      <c r="J1951">
        <v>0</v>
      </c>
      <c r="K1951">
        <v>11</v>
      </c>
    </row>
    <row r="1952" spans="1:11" x14ac:dyDescent="0.2">
      <c r="A1952" t="s">
        <v>1798</v>
      </c>
      <c r="B1952">
        <v>0</v>
      </c>
      <c r="C1952">
        <v>0</v>
      </c>
      <c r="D1952">
        <v>0</v>
      </c>
      <c r="E1952">
        <v>0</v>
      </c>
      <c r="F1952">
        <v>0</v>
      </c>
      <c r="G1952">
        <v>0</v>
      </c>
      <c r="H1952">
        <v>0</v>
      </c>
      <c r="I1952">
        <v>0</v>
      </c>
      <c r="J1952">
        <v>0</v>
      </c>
      <c r="K1952">
        <v>0</v>
      </c>
    </row>
    <row r="1953" spans="1:11" x14ac:dyDescent="0.2">
      <c r="A1953" t="s">
        <v>1803</v>
      </c>
      <c r="B1953">
        <v>0</v>
      </c>
      <c r="C1953">
        <v>0</v>
      </c>
      <c r="D1953">
        <v>0</v>
      </c>
      <c r="E1953">
        <v>0</v>
      </c>
      <c r="F1953">
        <v>0</v>
      </c>
      <c r="G1953">
        <v>0</v>
      </c>
      <c r="H1953">
        <v>0</v>
      </c>
      <c r="I1953">
        <v>0</v>
      </c>
      <c r="J1953">
        <v>0</v>
      </c>
      <c r="K1953">
        <v>0</v>
      </c>
    </row>
    <row r="1954" spans="1:11" x14ac:dyDescent="0.2">
      <c r="A1954" t="s">
        <v>1808</v>
      </c>
      <c r="B1954">
        <v>0</v>
      </c>
      <c r="C1954">
        <v>0</v>
      </c>
      <c r="D1954">
        <v>0</v>
      </c>
      <c r="E1954">
        <v>0</v>
      </c>
      <c r="F1954">
        <v>0</v>
      </c>
      <c r="G1954">
        <v>0</v>
      </c>
      <c r="H1954">
        <v>0</v>
      </c>
      <c r="I1954">
        <v>0</v>
      </c>
      <c r="J1954">
        <v>0</v>
      </c>
      <c r="K1954">
        <v>0</v>
      </c>
    </row>
    <row r="1955" spans="1:11" x14ac:dyDescent="0.2">
      <c r="A1955" t="s">
        <v>1813</v>
      </c>
      <c r="B1955">
        <v>0</v>
      </c>
      <c r="C1955">
        <v>0</v>
      </c>
      <c r="D1955">
        <v>0</v>
      </c>
      <c r="E1955">
        <v>0</v>
      </c>
      <c r="F1955">
        <v>0</v>
      </c>
      <c r="G1955">
        <v>0</v>
      </c>
      <c r="H1955">
        <v>0</v>
      </c>
      <c r="I1955">
        <v>0</v>
      </c>
      <c r="J1955">
        <v>0</v>
      </c>
      <c r="K1955">
        <v>0</v>
      </c>
    </row>
    <row r="1956" spans="1:11" x14ac:dyDescent="0.2">
      <c r="A1956" t="s">
        <v>1819</v>
      </c>
      <c r="B1956">
        <v>0</v>
      </c>
      <c r="C1956">
        <v>0</v>
      </c>
      <c r="D1956">
        <v>0</v>
      </c>
      <c r="E1956">
        <v>0</v>
      </c>
      <c r="F1956">
        <v>0</v>
      </c>
      <c r="G1956">
        <v>0</v>
      </c>
      <c r="H1956">
        <v>0</v>
      </c>
      <c r="I1956">
        <v>0</v>
      </c>
      <c r="J1956">
        <v>0</v>
      </c>
      <c r="K1956">
        <v>0</v>
      </c>
    </row>
    <row r="1957" spans="1:11" x14ac:dyDescent="0.2">
      <c r="A1957" t="s">
        <v>1826</v>
      </c>
      <c r="B1957">
        <v>0</v>
      </c>
      <c r="C1957">
        <v>0</v>
      </c>
      <c r="D1957">
        <v>0</v>
      </c>
      <c r="E1957">
        <v>0</v>
      </c>
      <c r="F1957">
        <v>0</v>
      </c>
      <c r="G1957">
        <v>0</v>
      </c>
      <c r="H1957">
        <v>0</v>
      </c>
      <c r="I1957">
        <v>0</v>
      </c>
      <c r="J1957">
        <v>0</v>
      </c>
      <c r="K1957">
        <v>0</v>
      </c>
    </row>
    <row r="1958" spans="1:11" x14ac:dyDescent="0.2">
      <c r="A1958" t="s">
        <v>1830</v>
      </c>
      <c r="B1958">
        <v>0</v>
      </c>
      <c r="C1958">
        <v>0</v>
      </c>
      <c r="D1958">
        <v>0</v>
      </c>
      <c r="E1958">
        <v>0</v>
      </c>
      <c r="F1958">
        <v>0</v>
      </c>
      <c r="G1958">
        <v>0</v>
      </c>
      <c r="H1958">
        <v>0</v>
      </c>
      <c r="I1958">
        <v>0</v>
      </c>
      <c r="J1958">
        <v>0</v>
      </c>
      <c r="K1958">
        <v>0</v>
      </c>
    </row>
    <row r="1959" spans="1:11" x14ac:dyDescent="0.2">
      <c r="A1959" t="s">
        <v>1836</v>
      </c>
      <c r="B1959">
        <v>0</v>
      </c>
      <c r="C1959">
        <v>0</v>
      </c>
      <c r="D1959">
        <v>0</v>
      </c>
      <c r="E1959">
        <v>0</v>
      </c>
      <c r="F1959">
        <v>0</v>
      </c>
      <c r="G1959">
        <v>0</v>
      </c>
      <c r="H1959">
        <v>0</v>
      </c>
      <c r="I1959">
        <v>0</v>
      </c>
      <c r="J1959">
        <v>0</v>
      </c>
      <c r="K1959">
        <v>0</v>
      </c>
    </row>
    <row r="1960" spans="1:11" x14ac:dyDescent="0.2">
      <c r="A1960" t="s">
        <v>1841</v>
      </c>
      <c r="B1960">
        <v>0</v>
      </c>
      <c r="C1960">
        <v>0</v>
      </c>
      <c r="D1960">
        <v>0</v>
      </c>
      <c r="E1960">
        <v>0</v>
      </c>
      <c r="F1960">
        <v>0</v>
      </c>
      <c r="G1960">
        <v>0</v>
      </c>
      <c r="H1960">
        <v>0</v>
      </c>
      <c r="I1960">
        <v>0</v>
      </c>
      <c r="J1960">
        <v>0</v>
      </c>
      <c r="K1960">
        <v>0</v>
      </c>
    </row>
    <row r="1961" spans="1:11" x14ac:dyDescent="0.2">
      <c r="A1961" t="s">
        <v>1842</v>
      </c>
      <c r="B1961">
        <v>1</v>
      </c>
      <c r="C1961">
        <v>477</v>
      </c>
      <c r="D1961">
        <v>8</v>
      </c>
      <c r="E1961">
        <v>0</v>
      </c>
      <c r="F1961">
        <v>567</v>
      </c>
      <c r="G1961">
        <v>960</v>
      </c>
      <c r="H1961">
        <v>44</v>
      </c>
      <c r="I1961">
        <v>0</v>
      </c>
      <c r="J1961">
        <v>1</v>
      </c>
      <c r="K1961">
        <v>513</v>
      </c>
    </row>
    <row r="1962" spans="1:11" x14ac:dyDescent="0.2">
      <c r="A1962" t="s">
        <v>1843</v>
      </c>
      <c r="B1962">
        <v>0</v>
      </c>
      <c r="C1962">
        <v>0</v>
      </c>
      <c r="D1962">
        <v>0</v>
      </c>
      <c r="E1962">
        <v>0</v>
      </c>
      <c r="F1962">
        <v>0</v>
      </c>
      <c r="G1962">
        <v>0</v>
      </c>
      <c r="H1962">
        <v>0</v>
      </c>
      <c r="I1962">
        <v>0</v>
      </c>
      <c r="J1962">
        <v>0</v>
      </c>
      <c r="K1962">
        <v>0</v>
      </c>
    </row>
    <row r="1963" spans="1:11" x14ac:dyDescent="0.2">
      <c r="A1963" t="s">
        <v>1846</v>
      </c>
      <c r="B1963">
        <v>0</v>
      </c>
      <c r="C1963">
        <v>0</v>
      </c>
      <c r="D1963">
        <v>0</v>
      </c>
      <c r="E1963">
        <v>0</v>
      </c>
      <c r="F1963">
        <v>0</v>
      </c>
      <c r="G1963">
        <v>0</v>
      </c>
      <c r="H1963">
        <v>0</v>
      </c>
      <c r="I1963">
        <v>0</v>
      </c>
      <c r="J1963">
        <v>0</v>
      </c>
      <c r="K1963">
        <v>0</v>
      </c>
    </row>
    <row r="1964" spans="1:11" x14ac:dyDescent="0.2">
      <c r="A1964" t="s">
        <v>1851</v>
      </c>
      <c r="B1964">
        <v>0</v>
      </c>
      <c r="C1964">
        <v>28</v>
      </c>
      <c r="D1964">
        <v>2</v>
      </c>
      <c r="E1964">
        <v>0</v>
      </c>
      <c r="F1964">
        <v>137</v>
      </c>
      <c r="G1964">
        <v>54</v>
      </c>
      <c r="H1964">
        <v>11</v>
      </c>
      <c r="I1964">
        <v>0</v>
      </c>
      <c r="J1964">
        <v>0</v>
      </c>
      <c r="K1964">
        <v>28</v>
      </c>
    </row>
    <row r="1965" spans="1:11" x14ac:dyDescent="0.2">
      <c r="A1965" t="s">
        <v>1857</v>
      </c>
      <c r="B1965">
        <v>0</v>
      </c>
      <c r="C1965">
        <v>0</v>
      </c>
      <c r="D1965">
        <v>0</v>
      </c>
      <c r="E1965">
        <v>0</v>
      </c>
      <c r="F1965">
        <v>0</v>
      </c>
      <c r="G1965">
        <v>0</v>
      </c>
      <c r="H1965">
        <v>0</v>
      </c>
      <c r="I1965">
        <v>0</v>
      </c>
      <c r="J1965">
        <v>0</v>
      </c>
      <c r="K1965">
        <v>0</v>
      </c>
    </row>
    <row r="1966" spans="1:11" x14ac:dyDescent="0.2">
      <c r="A1966" t="s">
        <v>1862</v>
      </c>
      <c r="B1966">
        <v>0</v>
      </c>
      <c r="C1966">
        <v>0</v>
      </c>
      <c r="D1966">
        <v>0</v>
      </c>
      <c r="E1966">
        <v>0</v>
      </c>
      <c r="F1966">
        <v>0</v>
      </c>
      <c r="G1966">
        <v>0</v>
      </c>
      <c r="H1966">
        <v>0</v>
      </c>
      <c r="I1966">
        <v>0</v>
      </c>
      <c r="J1966">
        <v>0</v>
      </c>
      <c r="K1966">
        <v>0</v>
      </c>
    </row>
    <row r="1967" spans="1:11" x14ac:dyDescent="0.2">
      <c r="A1967" t="s">
        <v>1867</v>
      </c>
      <c r="B1967">
        <v>0</v>
      </c>
      <c r="C1967">
        <v>0</v>
      </c>
      <c r="D1967">
        <v>0</v>
      </c>
      <c r="E1967">
        <v>0</v>
      </c>
      <c r="F1967">
        <v>0</v>
      </c>
      <c r="G1967">
        <v>0</v>
      </c>
      <c r="H1967">
        <v>0</v>
      </c>
      <c r="I1967">
        <v>0</v>
      </c>
      <c r="J1967">
        <v>0</v>
      </c>
      <c r="K1967">
        <v>0</v>
      </c>
    </row>
    <row r="1968" spans="1:11" x14ac:dyDescent="0.2">
      <c r="A1968" t="s">
        <v>1870</v>
      </c>
      <c r="B1968">
        <v>0</v>
      </c>
      <c r="C1968">
        <v>0</v>
      </c>
      <c r="D1968">
        <v>0</v>
      </c>
      <c r="E1968">
        <v>0</v>
      </c>
      <c r="F1968">
        <v>0</v>
      </c>
      <c r="G1968">
        <v>0</v>
      </c>
      <c r="H1968">
        <v>0</v>
      </c>
      <c r="I1968">
        <v>0</v>
      </c>
      <c r="J1968">
        <v>0</v>
      </c>
      <c r="K1968">
        <v>0</v>
      </c>
    </row>
    <row r="1969" spans="1:11" x14ac:dyDescent="0.2">
      <c r="A1969" t="s">
        <v>1874</v>
      </c>
      <c r="B1969">
        <v>0</v>
      </c>
      <c r="C1969">
        <v>44</v>
      </c>
      <c r="D1969">
        <v>1</v>
      </c>
      <c r="E1969">
        <v>0</v>
      </c>
      <c r="F1969">
        <v>56</v>
      </c>
      <c r="G1969">
        <v>88</v>
      </c>
      <c r="H1969">
        <v>4</v>
      </c>
      <c r="I1969">
        <v>0</v>
      </c>
      <c r="J1969">
        <v>0</v>
      </c>
      <c r="K1969">
        <v>47</v>
      </c>
    </row>
    <row r="1970" spans="1:11" x14ac:dyDescent="0.2">
      <c r="A1970" t="s">
        <v>1876</v>
      </c>
      <c r="B1970">
        <v>0</v>
      </c>
      <c r="C1970">
        <v>0</v>
      </c>
      <c r="D1970">
        <v>0</v>
      </c>
      <c r="E1970">
        <v>0</v>
      </c>
      <c r="F1970">
        <v>0</v>
      </c>
      <c r="G1970">
        <v>0</v>
      </c>
      <c r="H1970">
        <v>0</v>
      </c>
      <c r="I1970">
        <v>0</v>
      </c>
      <c r="J1970">
        <v>0</v>
      </c>
      <c r="K1970">
        <v>0</v>
      </c>
    </row>
    <row r="1971" spans="1:11" x14ac:dyDescent="0.2">
      <c r="A1971" t="s">
        <v>1881</v>
      </c>
      <c r="B1971">
        <v>0</v>
      </c>
      <c r="C1971">
        <v>0</v>
      </c>
      <c r="D1971">
        <v>0</v>
      </c>
      <c r="E1971">
        <v>0</v>
      </c>
      <c r="F1971">
        <v>0</v>
      </c>
      <c r="G1971">
        <v>0</v>
      </c>
      <c r="H1971">
        <v>0</v>
      </c>
      <c r="I1971">
        <v>0</v>
      </c>
      <c r="J1971">
        <v>0</v>
      </c>
      <c r="K1971">
        <v>0</v>
      </c>
    </row>
    <row r="1972" spans="1:11" x14ac:dyDescent="0.2">
      <c r="A1972" t="s">
        <v>1885</v>
      </c>
      <c r="B1972">
        <v>11</v>
      </c>
      <c r="C1972">
        <v>1005</v>
      </c>
      <c r="D1972">
        <v>67</v>
      </c>
      <c r="E1972">
        <v>0</v>
      </c>
      <c r="F1972">
        <v>4760</v>
      </c>
      <c r="G1972">
        <v>1990</v>
      </c>
      <c r="H1972">
        <v>375</v>
      </c>
      <c r="I1972">
        <v>0</v>
      </c>
      <c r="J1972">
        <v>13</v>
      </c>
      <c r="K1972">
        <v>1075</v>
      </c>
    </row>
    <row r="1973" spans="1:11" x14ac:dyDescent="0.2">
      <c r="A1973" t="s">
        <v>1887</v>
      </c>
      <c r="B1973">
        <v>0</v>
      </c>
      <c r="C1973">
        <v>33</v>
      </c>
      <c r="D1973">
        <v>1</v>
      </c>
      <c r="E1973">
        <v>0</v>
      </c>
      <c r="F1973">
        <v>72</v>
      </c>
      <c r="G1973">
        <v>27</v>
      </c>
      <c r="H1973">
        <v>6</v>
      </c>
      <c r="I1973">
        <v>0</v>
      </c>
      <c r="J1973">
        <v>0</v>
      </c>
      <c r="K1973">
        <v>10</v>
      </c>
    </row>
    <row r="1974" spans="1:11" x14ac:dyDescent="0.2">
      <c r="A1974" t="s">
        <v>1893</v>
      </c>
      <c r="B1974">
        <v>2</v>
      </c>
      <c r="C1974">
        <v>218</v>
      </c>
      <c r="D1974">
        <v>5</v>
      </c>
      <c r="E1974">
        <v>0</v>
      </c>
      <c r="F1974">
        <v>459</v>
      </c>
      <c r="G1974">
        <v>180</v>
      </c>
      <c r="H1974">
        <v>36</v>
      </c>
      <c r="I1974">
        <v>0</v>
      </c>
      <c r="J1974">
        <v>1</v>
      </c>
      <c r="K1974">
        <v>79</v>
      </c>
    </row>
    <row r="1975" spans="1:11" x14ac:dyDescent="0.2">
      <c r="A1975" t="s">
        <v>1899</v>
      </c>
      <c r="B1975">
        <v>0</v>
      </c>
      <c r="C1975">
        <v>0</v>
      </c>
      <c r="D1975">
        <v>0</v>
      </c>
      <c r="E1975">
        <v>0</v>
      </c>
      <c r="F1975">
        <v>0</v>
      </c>
      <c r="G1975">
        <v>0</v>
      </c>
      <c r="H1975">
        <v>0</v>
      </c>
      <c r="I1975">
        <v>0</v>
      </c>
      <c r="J1975">
        <v>0</v>
      </c>
      <c r="K1975">
        <v>0</v>
      </c>
    </row>
    <row r="1976" spans="1:11" x14ac:dyDescent="0.2">
      <c r="A1976" t="s">
        <v>1906</v>
      </c>
      <c r="B1976">
        <v>0</v>
      </c>
      <c r="C1976">
        <v>0</v>
      </c>
      <c r="D1976">
        <v>0</v>
      </c>
      <c r="E1976">
        <v>0</v>
      </c>
      <c r="F1976">
        <v>1720</v>
      </c>
      <c r="G1976">
        <v>685</v>
      </c>
      <c r="H1976">
        <v>203</v>
      </c>
      <c r="I1976">
        <v>0</v>
      </c>
      <c r="J1976">
        <v>0</v>
      </c>
      <c r="K1976">
        <v>0</v>
      </c>
    </row>
    <row r="1977" spans="1:11" x14ac:dyDescent="0.2">
      <c r="A1977" t="s">
        <v>1911</v>
      </c>
      <c r="B1977">
        <v>0</v>
      </c>
      <c r="C1977">
        <v>0</v>
      </c>
      <c r="D1977">
        <v>0</v>
      </c>
      <c r="E1977">
        <v>0</v>
      </c>
      <c r="F1977">
        <v>0</v>
      </c>
      <c r="G1977">
        <v>0</v>
      </c>
      <c r="H1977">
        <v>0</v>
      </c>
      <c r="I1977">
        <v>0</v>
      </c>
      <c r="J1977">
        <v>0</v>
      </c>
      <c r="K1977">
        <v>0</v>
      </c>
    </row>
    <row r="1978" spans="1:11" x14ac:dyDescent="0.2">
      <c r="A1978" t="s">
        <v>1917</v>
      </c>
      <c r="B1978">
        <v>33</v>
      </c>
      <c r="C1978">
        <v>2824</v>
      </c>
      <c r="D1978">
        <v>327</v>
      </c>
      <c r="E1978">
        <v>0</v>
      </c>
      <c r="F1978">
        <v>0</v>
      </c>
      <c r="G1978">
        <v>0</v>
      </c>
      <c r="H1978">
        <v>0</v>
      </c>
      <c r="I1978">
        <v>0</v>
      </c>
      <c r="J1978">
        <v>0</v>
      </c>
      <c r="K1978">
        <v>0</v>
      </c>
    </row>
    <row r="1979" spans="1:11" x14ac:dyDescent="0.2">
      <c r="A1979" t="s">
        <v>1922</v>
      </c>
      <c r="B1979">
        <v>0</v>
      </c>
      <c r="C1979">
        <v>6</v>
      </c>
      <c r="D1979">
        <v>0</v>
      </c>
      <c r="E1979">
        <v>0</v>
      </c>
      <c r="F1979">
        <v>51</v>
      </c>
      <c r="G1979">
        <v>19</v>
      </c>
      <c r="H1979">
        <v>1</v>
      </c>
      <c r="I1979">
        <v>0</v>
      </c>
      <c r="J1979">
        <v>32</v>
      </c>
      <c r="K1979">
        <v>2558</v>
      </c>
    </row>
    <row r="1980" spans="1:11" x14ac:dyDescent="0.2">
      <c r="A1980" t="s">
        <v>1928</v>
      </c>
      <c r="B1980">
        <v>0</v>
      </c>
      <c r="C1980">
        <v>31</v>
      </c>
      <c r="D1980">
        <v>0</v>
      </c>
      <c r="E1980">
        <v>0</v>
      </c>
      <c r="F1980">
        <v>14512</v>
      </c>
      <c r="G1980">
        <v>5449</v>
      </c>
      <c r="H1980">
        <v>1312</v>
      </c>
      <c r="I1980">
        <v>0</v>
      </c>
      <c r="J1980">
        <v>0</v>
      </c>
      <c r="K1980">
        <v>0</v>
      </c>
    </row>
    <row r="1981" spans="1:11" x14ac:dyDescent="0.2">
      <c r="A1981" t="s">
        <v>1932</v>
      </c>
      <c r="B1981">
        <v>0</v>
      </c>
      <c r="C1981">
        <v>0</v>
      </c>
      <c r="D1981">
        <v>0</v>
      </c>
      <c r="E1981">
        <v>0</v>
      </c>
      <c r="F1981">
        <v>1579</v>
      </c>
      <c r="G1981">
        <v>593</v>
      </c>
      <c r="H1981">
        <v>88</v>
      </c>
      <c r="I1981">
        <v>0</v>
      </c>
      <c r="J1981">
        <v>0</v>
      </c>
      <c r="K1981">
        <v>0</v>
      </c>
    </row>
    <row r="1982" spans="1:11" x14ac:dyDescent="0.2">
      <c r="A1982" t="s">
        <v>1938</v>
      </c>
      <c r="B1982">
        <v>0</v>
      </c>
      <c r="C1982">
        <v>0</v>
      </c>
      <c r="D1982">
        <v>0</v>
      </c>
      <c r="E1982">
        <v>0</v>
      </c>
      <c r="F1982">
        <v>0</v>
      </c>
      <c r="G1982">
        <v>0</v>
      </c>
      <c r="H1982">
        <v>0</v>
      </c>
      <c r="I1982">
        <v>0</v>
      </c>
      <c r="J1982">
        <v>5</v>
      </c>
      <c r="K1982">
        <v>419</v>
      </c>
    </row>
    <row r="1983" spans="1:11" x14ac:dyDescent="0.2">
      <c r="A1983" t="s">
        <v>1944</v>
      </c>
      <c r="B1983">
        <v>1</v>
      </c>
      <c r="C1983">
        <v>81</v>
      </c>
      <c r="D1983">
        <v>4</v>
      </c>
      <c r="E1983">
        <v>0</v>
      </c>
      <c r="F1983">
        <v>397</v>
      </c>
      <c r="G1983">
        <v>169</v>
      </c>
      <c r="H1983">
        <v>23</v>
      </c>
      <c r="I1983">
        <v>0</v>
      </c>
      <c r="J1983">
        <v>1</v>
      </c>
      <c r="K1983">
        <v>70</v>
      </c>
    </row>
    <row r="1984" spans="1:11" x14ac:dyDescent="0.2">
      <c r="A1984" t="s">
        <v>1947</v>
      </c>
      <c r="B1984">
        <v>0</v>
      </c>
      <c r="C1984">
        <v>5</v>
      </c>
      <c r="D1984">
        <v>0</v>
      </c>
      <c r="E1984">
        <v>0</v>
      </c>
      <c r="F1984">
        <v>7</v>
      </c>
      <c r="G1984">
        <v>3</v>
      </c>
      <c r="H1984">
        <v>0</v>
      </c>
      <c r="I1984">
        <v>0</v>
      </c>
      <c r="J1984">
        <v>0</v>
      </c>
      <c r="K1984">
        <v>0</v>
      </c>
    </row>
    <row r="1985" spans="1:11" x14ac:dyDescent="0.2">
      <c r="A1985" t="s">
        <v>1953</v>
      </c>
      <c r="B1985">
        <v>0</v>
      </c>
      <c r="C1985">
        <v>14</v>
      </c>
      <c r="D1985">
        <v>0</v>
      </c>
      <c r="E1985">
        <v>0</v>
      </c>
      <c r="F1985">
        <v>21</v>
      </c>
      <c r="G1985">
        <v>8</v>
      </c>
      <c r="H1985">
        <v>0</v>
      </c>
      <c r="I1985">
        <v>0</v>
      </c>
      <c r="J1985">
        <v>0</v>
      </c>
      <c r="K1985">
        <v>0</v>
      </c>
    </row>
    <row r="1986" spans="1:11" x14ac:dyDescent="0.2">
      <c r="A1986" t="s">
        <v>1958</v>
      </c>
      <c r="B1986">
        <v>0</v>
      </c>
      <c r="C1986">
        <v>0</v>
      </c>
      <c r="D1986">
        <v>0</v>
      </c>
      <c r="E1986">
        <v>0</v>
      </c>
      <c r="F1986">
        <v>0</v>
      </c>
      <c r="G1986">
        <v>0</v>
      </c>
      <c r="H1986">
        <v>0</v>
      </c>
      <c r="I1986">
        <v>0</v>
      </c>
      <c r="J1986">
        <v>0</v>
      </c>
      <c r="K1986">
        <v>0</v>
      </c>
    </row>
    <row r="1987" spans="1:11" x14ac:dyDescent="0.2">
      <c r="A1987" t="s">
        <v>1964</v>
      </c>
      <c r="B1987">
        <v>0</v>
      </c>
      <c r="C1987">
        <v>0</v>
      </c>
      <c r="D1987">
        <v>0</v>
      </c>
      <c r="E1987">
        <v>0</v>
      </c>
      <c r="F1987">
        <v>0</v>
      </c>
      <c r="G1987">
        <v>0</v>
      </c>
      <c r="H1987">
        <v>0</v>
      </c>
      <c r="I1987">
        <v>0</v>
      </c>
      <c r="J1987">
        <v>0</v>
      </c>
      <c r="K1987">
        <v>0</v>
      </c>
    </row>
    <row r="1988" spans="1:11" x14ac:dyDescent="0.2">
      <c r="A1988" t="s">
        <v>1973</v>
      </c>
      <c r="B1988">
        <v>0</v>
      </c>
      <c r="C1988">
        <v>5</v>
      </c>
      <c r="D1988">
        <v>0</v>
      </c>
      <c r="E1988">
        <v>0</v>
      </c>
      <c r="F1988">
        <v>23</v>
      </c>
      <c r="G1988">
        <v>9</v>
      </c>
      <c r="H1988">
        <v>2</v>
      </c>
      <c r="I1988">
        <v>0</v>
      </c>
      <c r="J1988">
        <v>0</v>
      </c>
      <c r="K1988">
        <v>0</v>
      </c>
    </row>
    <row r="1989" spans="1:11" x14ac:dyDescent="0.2">
      <c r="A1989" t="s">
        <v>1978</v>
      </c>
      <c r="B1989">
        <v>0</v>
      </c>
      <c r="C1989">
        <v>0</v>
      </c>
      <c r="D1989">
        <v>0</v>
      </c>
      <c r="E1989">
        <v>0</v>
      </c>
      <c r="F1989">
        <v>0</v>
      </c>
      <c r="G1989">
        <v>0</v>
      </c>
      <c r="H1989">
        <v>0</v>
      </c>
      <c r="I1989">
        <v>0</v>
      </c>
      <c r="J1989">
        <v>0</v>
      </c>
      <c r="K1989">
        <v>0</v>
      </c>
    </row>
    <row r="1990" spans="1:11" x14ac:dyDescent="0.2">
      <c r="A1990" t="s">
        <v>1983</v>
      </c>
      <c r="B1990">
        <v>0</v>
      </c>
      <c r="C1990">
        <v>32</v>
      </c>
      <c r="D1990">
        <v>1</v>
      </c>
      <c r="E1990">
        <v>0</v>
      </c>
      <c r="F1990">
        <v>55</v>
      </c>
      <c r="G1990">
        <v>62</v>
      </c>
      <c r="H1990">
        <v>4</v>
      </c>
      <c r="I1990">
        <v>0</v>
      </c>
      <c r="J1990">
        <v>0</v>
      </c>
      <c r="K1990">
        <v>33</v>
      </c>
    </row>
    <row r="1991" spans="1:11" x14ac:dyDescent="0.2">
      <c r="A1991" t="s">
        <v>1984</v>
      </c>
      <c r="B1991">
        <v>0</v>
      </c>
      <c r="C1991">
        <v>0</v>
      </c>
      <c r="D1991">
        <v>0</v>
      </c>
      <c r="E1991">
        <v>0</v>
      </c>
      <c r="F1991">
        <v>0</v>
      </c>
      <c r="G1991">
        <v>0</v>
      </c>
      <c r="H1991">
        <v>0</v>
      </c>
      <c r="I1991">
        <v>0</v>
      </c>
      <c r="J1991">
        <v>0</v>
      </c>
      <c r="K1991">
        <v>0</v>
      </c>
    </row>
    <row r="1992" spans="1:11" x14ac:dyDescent="0.2">
      <c r="A1992" t="s">
        <v>1990</v>
      </c>
      <c r="B1992">
        <v>0</v>
      </c>
      <c r="C1992">
        <v>1</v>
      </c>
      <c r="D1992">
        <v>0</v>
      </c>
      <c r="E1992">
        <v>0</v>
      </c>
      <c r="F1992">
        <v>0</v>
      </c>
      <c r="G1992">
        <v>0</v>
      </c>
      <c r="H1992">
        <v>0</v>
      </c>
      <c r="I1992">
        <v>0</v>
      </c>
      <c r="J1992">
        <v>0</v>
      </c>
      <c r="K1992">
        <v>0</v>
      </c>
    </row>
    <row r="1993" spans="1:11" x14ac:dyDescent="0.2">
      <c r="A1993" t="s">
        <v>1996</v>
      </c>
      <c r="B1993">
        <v>0</v>
      </c>
      <c r="C1993">
        <v>0</v>
      </c>
      <c r="D1993">
        <v>0</v>
      </c>
      <c r="E1993">
        <v>0</v>
      </c>
      <c r="F1993">
        <v>0</v>
      </c>
      <c r="G1993">
        <v>0</v>
      </c>
      <c r="H1993">
        <v>0</v>
      </c>
      <c r="I1993">
        <v>0</v>
      </c>
      <c r="J1993">
        <v>0</v>
      </c>
      <c r="K1993">
        <v>0</v>
      </c>
    </row>
    <row r="1994" spans="1:11" x14ac:dyDescent="0.2">
      <c r="A1994" t="s">
        <v>1998</v>
      </c>
      <c r="B1994">
        <v>0</v>
      </c>
      <c r="C1994">
        <v>0</v>
      </c>
      <c r="D1994">
        <v>0</v>
      </c>
      <c r="E1994">
        <v>0</v>
      </c>
      <c r="F1994">
        <v>0</v>
      </c>
      <c r="G1994">
        <v>0</v>
      </c>
      <c r="H1994">
        <v>0</v>
      </c>
      <c r="I1994">
        <v>0</v>
      </c>
      <c r="J1994">
        <v>0</v>
      </c>
      <c r="K1994">
        <v>0</v>
      </c>
    </row>
    <row r="1995" spans="1:11" x14ac:dyDescent="0.2">
      <c r="A1995" t="s">
        <v>1999</v>
      </c>
      <c r="B1995">
        <v>0</v>
      </c>
      <c r="C1995">
        <v>0</v>
      </c>
      <c r="D1995">
        <v>0</v>
      </c>
      <c r="E1995">
        <v>0</v>
      </c>
      <c r="F1995">
        <v>0</v>
      </c>
      <c r="G1995">
        <v>0</v>
      </c>
      <c r="H1995">
        <v>0</v>
      </c>
      <c r="I1995">
        <v>0</v>
      </c>
      <c r="J1995">
        <v>0</v>
      </c>
      <c r="K1995">
        <v>0</v>
      </c>
    </row>
    <row r="1996" spans="1:11" x14ac:dyDescent="0.2">
      <c r="A1996" t="s">
        <v>2004</v>
      </c>
      <c r="B1996">
        <v>0</v>
      </c>
      <c r="C1996">
        <v>0</v>
      </c>
      <c r="D1996">
        <v>0</v>
      </c>
      <c r="E1996">
        <v>0</v>
      </c>
      <c r="F1996">
        <v>0</v>
      </c>
      <c r="G1996">
        <v>0</v>
      </c>
      <c r="H1996">
        <v>0</v>
      </c>
      <c r="I1996">
        <v>0</v>
      </c>
      <c r="J1996">
        <v>0</v>
      </c>
      <c r="K1996">
        <v>0</v>
      </c>
    </row>
    <row r="1997" spans="1:11" x14ac:dyDescent="0.2">
      <c r="A1997" t="s">
        <v>2009</v>
      </c>
      <c r="B1997">
        <v>0</v>
      </c>
      <c r="C1997">
        <v>0</v>
      </c>
      <c r="D1997">
        <v>0</v>
      </c>
      <c r="E1997">
        <v>0</v>
      </c>
      <c r="F1997">
        <v>0</v>
      </c>
      <c r="G1997">
        <v>0</v>
      </c>
      <c r="H1997">
        <v>0</v>
      </c>
      <c r="I1997">
        <v>0</v>
      </c>
      <c r="J1997">
        <v>0</v>
      </c>
      <c r="K1997">
        <v>0</v>
      </c>
    </row>
    <row r="1998" spans="1:11" x14ac:dyDescent="0.2">
      <c r="A1998" t="s">
        <v>2014</v>
      </c>
      <c r="B1998">
        <v>0</v>
      </c>
      <c r="C1998">
        <v>0</v>
      </c>
      <c r="D1998">
        <v>0</v>
      </c>
      <c r="E1998">
        <v>0</v>
      </c>
      <c r="F1998">
        <v>0</v>
      </c>
      <c r="G1998">
        <v>0</v>
      </c>
      <c r="H1998">
        <v>0</v>
      </c>
      <c r="I1998">
        <v>0</v>
      </c>
      <c r="J1998">
        <v>0</v>
      </c>
      <c r="K1998">
        <v>0</v>
      </c>
    </row>
    <row r="1999" spans="1:11" x14ac:dyDescent="0.2">
      <c r="A1999" t="s">
        <v>2019</v>
      </c>
      <c r="B1999">
        <v>0</v>
      </c>
      <c r="C1999">
        <v>0</v>
      </c>
      <c r="D1999">
        <v>0</v>
      </c>
      <c r="E1999">
        <v>0</v>
      </c>
      <c r="F1999">
        <v>0</v>
      </c>
      <c r="G1999">
        <v>0</v>
      </c>
      <c r="H1999">
        <v>0</v>
      </c>
      <c r="I1999">
        <v>0</v>
      </c>
      <c r="J1999">
        <v>0</v>
      </c>
      <c r="K1999">
        <v>0</v>
      </c>
    </row>
    <row r="2000" spans="1:11" x14ac:dyDescent="0.2">
      <c r="A2000" t="s">
        <v>2023</v>
      </c>
      <c r="B2000">
        <v>0</v>
      </c>
      <c r="C2000">
        <v>0</v>
      </c>
      <c r="D2000">
        <v>0</v>
      </c>
      <c r="E2000">
        <v>0</v>
      </c>
      <c r="F2000">
        <v>0</v>
      </c>
      <c r="G2000">
        <v>0</v>
      </c>
      <c r="H2000">
        <v>0</v>
      </c>
      <c r="I2000">
        <v>0</v>
      </c>
      <c r="J2000">
        <v>0</v>
      </c>
      <c r="K2000">
        <v>0</v>
      </c>
    </row>
    <row r="2001" spans="1:11" x14ac:dyDescent="0.2">
      <c r="A2001" t="s">
        <v>2026</v>
      </c>
      <c r="B2001">
        <v>0</v>
      </c>
      <c r="C2001">
        <v>0</v>
      </c>
      <c r="D2001">
        <v>0</v>
      </c>
      <c r="E2001">
        <v>0</v>
      </c>
      <c r="F2001">
        <v>0</v>
      </c>
      <c r="G2001">
        <v>0</v>
      </c>
      <c r="H2001">
        <v>0</v>
      </c>
      <c r="I2001">
        <v>0</v>
      </c>
      <c r="J2001">
        <v>0</v>
      </c>
      <c r="K2001">
        <v>0</v>
      </c>
    </row>
    <row r="2002" spans="1:11" x14ac:dyDescent="0.2">
      <c r="A2002" t="s">
        <v>2030</v>
      </c>
      <c r="B2002">
        <v>0</v>
      </c>
      <c r="C2002">
        <v>0</v>
      </c>
      <c r="D2002">
        <v>0</v>
      </c>
      <c r="E2002">
        <v>0</v>
      </c>
      <c r="F2002">
        <v>0</v>
      </c>
      <c r="G2002">
        <v>0</v>
      </c>
      <c r="H2002">
        <v>0</v>
      </c>
      <c r="I2002">
        <v>0</v>
      </c>
      <c r="J2002">
        <v>0</v>
      </c>
      <c r="K2002">
        <v>0</v>
      </c>
    </row>
    <row r="2003" spans="1:11" x14ac:dyDescent="0.2">
      <c r="A2003" t="s">
        <v>2035</v>
      </c>
      <c r="B2003">
        <v>0</v>
      </c>
      <c r="C2003">
        <v>0</v>
      </c>
      <c r="D2003">
        <v>0</v>
      </c>
      <c r="E2003">
        <v>0</v>
      </c>
      <c r="F2003">
        <v>0</v>
      </c>
      <c r="G2003">
        <v>0</v>
      </c>
      <c r="H2003">
        <v>0</v>
      </c>
      <c r="I2003">
        <v>0</v>
      </c>
      <c r="J2003">
        <v>0</v>
      </c>
      <c r="K2003">
        <v>0</v>
      </c>
    </row>
    <row r="2004" spans="1:11" x14ac:dyDescent="0.2">
      <c r="A2004" t="s">
        <v>2040</v>
      </c>
      <c r="B2004">
        <v>0</v>
      </c>
      <c r="C2004">
        <v>0</v>
      </c>
      <c r="D2004">
        <v>0</v>
      </c>
      <c r="E2004">
        <v>0</v>
      </c>
      <c r="F2004">
        <v>0</v>
      </c>
      <c r="G2004">
        <v>0</v>
      </c>
      <c r="H2004">
        <v>0</v>
      </c>
      <c r="I2004">
        <v>0</v>
      </c>
      <c r="J2004">
        <v>0</v>
      </c>
      <c r="K2004">
        <v>0</v>
      </c>
    </row>
    <row r="2005" spans="1:11" x14ac:dyDescent="0.2">
      <c r="A2005" t="s">
        <v>2045</v>
      </c>
      <c r="B2005">
        <v>0</v>
      </c>
      <c r="C2005">
        <v>0</v>
      </c>
      <c r="D2005">
        <v>0</v>
      </c>
      <c r="E2005">
        <v>0</v>
      </c>
      <c r="F2005">
        <v>0</v>
      </c>
      <c r="G2005">
        <v>0</v>
      </c>
      <c r="H2005">
        <v>0</v>
      </c>
      <c r="I2005">
        <v>0</v>
      </c>
      <c r="J2005">
        <v>0</v>
      </c>
      <c r="K2005">
        <v>0</v>
      </c>
    </row>
    <row r="2006" spans="1:11" x14ac:dyDescent="0.2">
      <c r="A2006" t="s">
        <v>2049</v>
      </c>
      <c r="B2006">
        <v>0</v>
      </c>
      <c r="C2006">
        <v>0</v>
      </c>
      <c r="D2006">
        <v>0</v>
      </c>
      <c r="E2006">
        <v>0</v>
      </c>
      <c r="F2006">
        <v>0</v>
      </c>
      <c r="G2006">
        <v>0</v>
      </c>
      <c r="H2006">
        <v>0</v>
      </c>
      <c r="I2006">
        <v>0</v>
      </c>
      <c r="J2006">
        <v>0</v>
      </c>
      <c r="K2006">
        <v>0</v>
      </c>
    </row>
    <row r="2007" spans="1:11" x14ac:dyDescent="0.2">
      <c r="A2007" t="s">
        <v>2051</v>
      </c>
      <c r="B2007">
        <v>0</v>
      </c>
      <c r="C2007">
        <v>7</v>
      </c>
      <c r="D2007">
        <v>0</v>
      </c>
      <c r="E2007">
        <v>0</v>
      </c>
      <c r="F2007">
        <v>40</v>
      </c>
      <c r="G2007">
        <v>15</v>
      </c>
      <c r="H2007">
        <v>3</v>
      </c>
      <c r="I2007">
        <v>0</v>
      </c>
      <c r="J2007">
        <v>0</v>
      </c>
      <c r="K2007">
        <v>5</v>
      </c>
    </row>
    <row r="2008" spans="1:11" x14ac:dyDescent="0.2">
      <c r="A2008" t="s">
        <v>2057</v>
      </c>
      <c r="B2008">
        <v>0</v>
      </c>
      <c r="C2008">
        <v>12</v>
      </c>
      <c r="D2008">
        <v>1</v>
      </c>
      <c r="E2008">
        <v>0</v>
      </c>
      <c r="F2008">
        <v>69</v>
      </c>
      <c r="G2008">
        <v>26</v>
      </c>
      <c r="H2008">
        <v>5</v>
      </c>
      <c r="I2008">
        <v>0</v>
      </c>
      <c r="J2008">
        <v>0</v>
      </c>
      <c r="K2008">
        <v>9</v>
      </c>
    </row>
    <row r="2009" spans="1:11" x14ac:dyDescent="0.2">
      <c r="A2009" t="s">
        <v>4344</v>
      </c>
      <c r="B2009">
        <v>0</v>
      </c>
      <c r="C2009">
        <v>3</v>
      </c>
      <c r="D2009">
        <v>0</v>
      </c>
      <c r="E2009">
        <v>0</v>
      </c>
      <c r="F2009">
        <v>17</v>
      </c>
      <c r="G2009">
        <v>7</v>
      </c>
      <c r="H2009">
        <v>1</v>
      </c>
      <c r="I2009">
        <v>0</v>
      </c>
      <c r="J2009">
        <v>0</v>
      </c>
      <c r="K2009">
        <v>4</v>
      </c>
    </row>
    <row r="2010" spans="1:11" x14ac:dyDescent="0.2">
      <c r="A2010" t="s">
        <v>4345</v>
      </c>
      <c r="B2010">
        <v>0</v>
      </c>
      <c r="C2010">
        <v>21</v>
      </c>
      <c r="D2010">
        <v>1</v>
      </c>
      <c r="E2010">
        <v>0</v>
      </c>
      <c r="F2010">
        <v>106</v>
      </c>
      <c r="G2010">
        <v>41</v>
      </c>
      <c r="H2010">
        <v>8</v>
      </c>
      <c r="I2010">
        <v>0</v>
      </c>
      <c r="J2010">
        <v>0</v>
      </c>
      <c r="K2010">
        <v>19</v>
      </c>
    </row>
    <row r="2011" spans="1:11" x14ac:dyDescent="0.2">
      <c r="A2011" t="s">
        <v>2074</v>
      </c>
      <c r="B2011">
        <v>0</v>
      </c>
      <c r="C2011">
        <v>0</v>
      </c>
      <c r="D2011">
        <v>0</v>
      </c>
      <c r="E2011">
        <v>0</v>
      </c>
      <c r="F2011">
        <v>0</v>
      </c>
      <c r="G2011">
        <v>0</v>
      </c>
      <c r="H2011">
        <v>0</v>
      </c>
      <c r="I2011">
        <v>0</v>
      </c>
      <c r="J2011">
        <v>0</v>
      </c>
      <c r="K2011">
        <v>0</v>
      </c>
    </row>
    <row r="2012" spans="1:11" x14ac:dyDescent="0.2">
      <c r="A2012" t="s">
        <v>2079</v>
      </c>
      <c r="B2012">
        <v>0</v>
      </c>
      <c r="C2012">
        <v>0</v>
      </c>
      <c r="D2012">
        <v>0</v>
      </c>
      <c r="E2012">
        <v>0</v>
      </c>
      <c r="F2012">
        <v>0</v>
      </c>
      <c r="G2012">
        <v>0</v>
      </c>
      <c r="H2012">
        <v>0</v>
      </c>
      <c r="I2012">
        <v>0</v>
      </c>
      <c r="J2012">
        <v>0</v>
      </c>
      <c r="K2012">
        <v>0</v>
      </c>
    </row>
    <row r="2013" spans="1:11" x14ac:dyDescent="0.2">
      <c r="A2013" t="s">
        <v>2085</v>
      </c>
      <c r="B2013">
        <v>0</v>
      </c>
      <c r="C2013">
        <v>0</v>
      </c>
      <c r="D2013">
        <v>0</v>
      </c>
      <c r="E2013">
        <v>0</v>
      </c>
      <c r="F2013">
        <v>0</v>
      </c>
      <c r="G2013">
        <v>0</v>
      </c>
      <c r="H2013">
        <v>0</v>
      </c>
      <c r="I2013">
        <v>0</v>
      </c>
      <c r="J2013">
        <v>0</v>
      </c>
      <c r="K2013">
        <v>0</v>
      </c>
    </row>
    <row r="2014" spans="1:11" x14ac:dyDescent="0.2">
      <c r="A2014" t="s">
        <v>2091</v>
      </c>
      <c r="B2014">
        <v>0</v>
      </c>
      <c r="C2014">
        <v>0</v>
      </c>
      <c r="D2014">
        <v>0</v>
      </c>
      <c r="E2014">
        <v>0</v>
      </c>
      <c r="F2014">
        <v>0</v>
      </c>
      <c r="G2014">
        <v>0</v>
      </c>
      <c r="H2014">
        <v>0</v>
      </c>
      <c r="I2014">
        <v>0</v>
      </c>
      <c r="J2014">
        <v>0</v>
      </c>
      <c r="K2014">
        <v>0</v>
      </c>
    </row>
    <row r="2015" spans="1:11" x14ac:dyDescent="0.2">
      <c r="A2015" t="s">
        <v>2097</v>
      </c>
      <c r="B2015">
        <v>0</v>
      </c>
      <c r="C2015">
        <v>0</v>
      </c>
      <c r="D2015">
        <v>0</v>
      </c>
      <c r="E2015">
        <v>0</v>
      </c>
      <c r="F2015">
        <v>0</v>
      </c>
      <c r="G2015">
        <v>0</v>
      </c>
      <c r="H2015">
        <v>0</v>
      </c>
      <c r="I2015">
        <v>0</v>
      </c>
      <c r="J2015">
        <v>0</v>
      </c>
      <c r="K2015">
        <v>0</v>
      </c>
    </row>
    <row r="2016" spans="1:11" x14ac:dyDescent="0.2">
      <c r="A2016" t="s">
        <v>2101</v>
      </c>
      <c r="B2016">
        <v>0</v>
      </c>
      <c r="C2016">
        <v>0</v>
      </c>
      <c r="D2016">
        <v>0</v>
      </c>
      <c r="E2016">
        <v>0</v>
      </c>
      <c r="F2016">
        <v>0</v>
      </c>
      <c r="G2016">
        <v>0</v>
      </c>
      <c r="H2016">
        <v>0</v>
      </c>
      <c r="I2016">
        <v>0</v>
      </c>
      <c r="J2016">
        <v>0</v>
      </c>
      <c r="K2016">
        <v>0</v>
      </c>
    </row>
    <row r="2017" spans="1:11" x14ac:dyDescent="0.2">
      <c r="A2017" t="s">
        <v>2104</v>
      </c>
      <c r="B2017">
        <v>0</v>
      </c>
      <c r="C2017">
        <v>0</v>
      </c>
      <c r="D2017">
        <v>0</v>
      </c>
      <c r="E2017">
        <v>0</v>
      </c>
      <c r="F2017">
        <v>0</v>
      </c>
      <c r="G2017">
        <v>0</v>
      </c>
      <c r="H2017">
        <v>0</v>
      </c>
      <c r="I2017">
        <v>0</v>
      </c>
      <c r="J2017">
        <v>0</v>
      </c>
      <c r="K2017">
        <v>0</v>
      </c>
    </row>
    <row r="2018" spans="1:11" x14ac:dyDescent="0.2">
      <c r="A2018" t="s">
        <v>2107</v>
      </c>
      <c r="B2018">
        <v>0</v>
      </c>
      <c r="C2018">
        <v>0</v>
      </c>
      <c r="D2018">
        <v>0</v>
      </c>
      <c r="E2018">
        <v>0</v>
      </c>
      <c r="F2018">
        <v>0</v>
      </c>
      <c r="G2018">
        <v>0</v>
      </c>
      <c r="H2018">
        <v>0</v>
      </c>
      <c r="I2018">
        <v>0</v>
      </c>
      <c r="J2018">
        <v>0</v>
      </c>
      <c r="K2018">
        <v>0</v>
      </c>
    </row>
    <row r="2019" spans="1:11" x14ac:dyDescent="0.2">
      <c r="A2019" t="s">
        <v>2110</v>
      </c>
      <c r="B2019">
        <v>0</v>
      </c>
      <c r="C2019">
        <v>0</v>
      </c>
      <c r="D2019">
        <v>0</v>
      </c>
      <c r="E2019">
        <v>0</v>
      </c>
      <c r="F2019">
        <v>0</v>
      </c>
      <c r="G2019">
        <v>0</v>
      </c>
      <c r="H2019">
        <v>0</v>
      </c>
      <c r="I2019">
        <v>0</v>
      </c>
      <c r="J2019">
        <v>0</v>
      </c>
      <c r="K2019">
        <v>0</v>
      </c>
    </row>
    <row r="2020" spans="1:11" x14ac:dyDescent="0.2">
      <c r="A2020" t="s">
        <v>2113</v>
      </c>
      <c r="B2020">
        <v>0</v>
      </c>
      <c r="C2020">
        <v>0</v>
      </c>
      <c r="D2020">
        <v>0</v>
      </c>
      <c r="E2020">
        <v>0</v>
      </c>
      <c r="F2020">
        <v>0</v>
      </c>
      <c r="G2020">
        <v>0</v>
      </c>
      <c r="H2020">
        <v>0</v>
      </c>
      <c r="I2020">
        <v>0</v>
      </c>
      <c r="J2020">
        <v>0</v>
      </c>
      <c r="K2020">
        <v>0</v>
      </c>
    </row>
    <row r="2021" spans="1:11" x14ac:dyDescent="0.2">
      <c r="A2021" t="s">
        <v>4346</v>
      </c>
      <c r="B2021">
        <v>0</v>
      </c>
      <c r="C2021">
        <v>0</v>
      </c>
      <c r="D2021">
        <v>0</v>
      </c>
      <c r="E2021">
        <v>0</v>
      </c>
      <c r="F2021">
        <v>0</v>
      </c>
      <c r="G2021">
        <v>0</v>
      </c>
      <c r="H2021">
        <v>0</v>
      </c>
      <c r="I2021">
        <v>0</v>
      </c>
      <c r="J2021">
        <v>0</v>
      </c>
      <c r="K2021">
        <v>0</v>
      </c>
    </row>
    <row r="2022" spans="1:11" x14ac:dyDescent="0.2">
      <c r="A2022" t="s">
        <v>4347</v>
      </c>
      <c r="B2022">
        <v>0</v>
      </c>
      <c r="C2022">
        <v>0</v>
      </c>
      <c r="D2022">
        <v>0</v>
      </c>
      <c r="E2022">
        <v>0</v>
      </c>
      <c r="F2022">
        <v>0</v>
      </c>
      <c r="G2022">
        <v>0</v>
      </c>
      <c r="H2022">
        <v>0</v>
      </c>
      <c r="I2022">
        <v>0</v>
      </c>
      <c r="J2022">
        <v>0</v>
      </c>
      <c r="K2022">
        <v>0</v>
      </c>
    </row>
    <row r="2023" spans="1:11" x14ac:dyDescent="0.2">
      <c r="A2023" t="s">
        <v>4348</v>
      </c>
      <c r="B2023">
        <v>0</v>
      </c>
      <c r="C2023">
        <v>0</v>
      </c>
      <c r="D2023">
        <v>0</v>
      </c>
      <c r="E2023">
        <v>0</v>
      </c>
      <c r="F2023">
        <v>0</v>
      </c>
      <c r="G2023">
        <v>0</v>
      </c>
      <c r="H2023">
        <v>0</v>
      </c>
      <c r="I2023">
        <v>0</v>
      </c>
      <c r="J2023">
        <v>0</v>
      </c>
      <c r="K2023">
        <v>0</v>
      </c>
    </row>
    <row r="2024" spans="1:11" x14ac:dyDescent="0.2">
      <c r="A2024" t="s">
        <v>4349</v>
      </c>
      <c r="B2024">
        <v>0</v>
      </c>
      <c r="C2024">
        <v>0</v>
      </c>
      <c r="D2024">
        <v>0</v>
      </c>
      <c r="E2024">
        <v>0</v>
      </c>
      <c r="F2024">
        <v>0</v>
      </c>
      <c r="G2024">
        <v>0</v>
      </c>
      <c r="H2024">
        <v>0</v>
      </c>
      <c r="I2024">
        <v>0</v>
      </c>
      <c r="J2024">
        <v>0</v>
      </c>
      <c r="K2024">
        <v>0</v>
      </c>
    </row>
    <row r="2025" spans="1:11" x14ac:dyDescent="0.2">
      <c r="A2025" t="s">
        <v>4350</v>
      </c>
      <c r="B2025">
        <v>0</v>
      </c>
      <c r="C2025">
        <v>1</v>
      </c>
      <c r="D2025">
        <v>0</v>
      </c>
      <c r="E2025">
        <v>0</v>
      </c>
      <c r="F2025">
        <v>6</v>
      </c>
      <c r="G2025">
        <v>3</v>
      </c>
      <c r="H2025">
        <v>0</v>
      </c>
      <c r="I2025">
        <v>0</v>
      </c>
      <c r="J2025">
        <v>0</v>
      </c>
      <c r="K2025">
        <v>1</v>
      </c>
    </row>
    <row r="2026" spans="1:11" x14ac:dyDescent="0.2">
      <c r="A2026" t="s">
        <v>4351</v>
      </c>
      <c r="B2026">
        <v>0</v>
      </c>
      <c r="C2026">
        <v>0</v>
      </c>
      <c r="D2026">
        <v>0</v>
      </c>
      <c r="E2026">
        <v>0</v>
      </c>
      <c r="F2026">
        <v>0</v>
      </c>
      <c r="G2026">
        <v>0</v>
      </c>
      <c r="H2026">
        <v>0</v>
      </c>
      <c r="I2026">
        <v>0</v>
      </c>
      <c r="J2026">
        <v>0</v>
      </c>
      <c r="K2026">
        <v>0</v>
      </c>
    </row>
    <row r="2027" spans="1:11" x14ac:dyDescent="0.2">
      <c r="A2027" t="s">
        <v>4352</v>
      </c>
      <c r="B2027">
        <v>0</v>
      </c>
      <c r="C2027">
        <v>0</v>
      </c>
      <c r="D2027">
        <v>0</v>
      </c>
      <c r="E2027">
        <v>0</v>
      </c>
      <c r="F2027">
        <v>0</v>
      </c>
      <c r="G2027">
        <v>0</v>
      </c>
      <c r="H2027">
        <v>0</v>
      </c>
      <c r="I2027">
        <v>0</v>
      </c>
      <c r="J2027">
        <v>0</v>
      </c>
      <c r="K2027">
        <v>0</v>
      </c>
    </row>
    <row r="2028" spans="1:11" x14ac:dyDescent="0.2">
      <c r="A2028" t="s">
        <v>4353</v>
      </c>
      <c r="B2028">
        <v>0</v>
      </c>
      <c r="C2028">
        <v>31</v>
      </c>
      <c r="D2028">
        <v>2</v>
      </c>
      <c r="E2028">
        <v>0</v>
      </c>
      <c r="F2028">
        <v>140</v>
      </c>
      <c r="G2028">
        <v>62</v>
      </c>
      <c r="H2028">
        <v>11</v>
      </c>
      <c r="I2028">
        <v>0</v>
      </c>
      <c r="J2028">
        <v>0</v>
      </c>
      <c r="K2028">
        <v>33</v>
      </c>
    </row>
    <row r="2029" spans="1:11" x14ac:dyDescent="0.2">
      <c r="A2029" t="s">
        <v>4354</v>
      </c>
      <c r="B2029">
        <v>0</v>
      </c>
      <c r="C2029">
        <v>26</v>
      </c>
      <c r="D2029">
        <v>2</v>
      </c>
      <c r="E2029">
        <v>0</v>
      </c>
      <c r="F2029">
        <v>117</v>
      </c>
      <c r="G2029">
        <v>52</v>
      </c>
      <c r="H2029">
        <v>9</v>
      </c>
      <c r="I2029">
        <v>0</v>
      </c>
      <c r="J2029">
        <v>0</v>
      </c>
      <c r="K2029">
        <v>28</v>
      </c>
    </row>
    <row r="2030" spans="1:11" x14ac:dyDescent="0.2">
      <c r="A2030" t="s">
        <v>4355</v>
      </c>
      <c r="B2030">
        <v>0</v>
      </c>
      <c r="C2030">
        <v>0</v>
      </c>
      <c r="D2030">
        <v>0</v>
      </c>
      <c r="E2030">
        <v>0</v>
      </c>
      <c r="F2030">
        <v>0</v>
      </c>
      <c r="G2030">
        <v>0</v>
      </c>
      <c r="H2030">
        <v>0</v>
      </c>
      <c r="I2030">
        <v>0</v>
      </c>
      <c r="J2030">
        <v>0</v>
      </c>
      <c r="K2030">
        <v>0</v>
      </c>
    </row>
    <row r="2031" spans="1:11" x14ac:dyDescent="0.2">
      <c r="A2031" t="s">
        <v>4356</v>
      </c>
      <c r="B2031">
        <v>0</v>
      </c>
      <c r="C2031">
        <v>0</v>
      </c>
      <c r="D2031">
        <v>0</v>
      </c>
      <c r="E2031">
        <v>0</v>
      </c>
      <c r="F2031">
        <v>0</v>
      </c>
      <c r="G2031">
        <v>0</v>
      </c>
      <c r="H2031">
        <v>0</v>
      </c>
      <c r="I2031">
        <v>0</v>
      </c>
      <c r="J2031">
        <v>0</v>
      </c>
      <c r="K2031">
        <v>0</v>
      </c>
    </row>
    <row r="2032" spans="1:11" x14ac:dyDescent="0.2">
      <c r="A2032" t="s">
        <v>4357</v>
      </c>
      <c r="B2032">
        <v>0</v>
      </c>
      <c r="C2032">
        <v>0</v>
      </c>
      <c r="D2032">
        <v>0</v>
      </c>
      <c r="E2032">
        <v>0</v>
      </c>
      <c r="F2032">
        <v>0</v>
      </c>
      <c r="G2032">
        <v>0</v>
      </c>
      <c r="H2032">
        <v>0</v>
      </c>
      <c r="I2032">
        <v>0</v>
      </c>
      <c r="J2032">
        <v>0</v>
      </c>
      <c r="K2032">
        <v>0</v>
      </c>
    </row>
    <row r="2033" spans="1:11" x14ac:dyDescent="0.2">
      <c r="A2033" t="s">
        <v>4358</v>
      </c>
      <c r="B2033">
        <v>0</v>
      </c>
      <c r="C2033">
        <v>0</v>
      </c>
      <c r="D2033">
        <v>0</v>
      </c>
      <c r="E2033">
        <v>0</v>
      </c>
      <c r="F2033">
        <v>0</v>
      </c>
      <c r="G2033">
        <v>0</v>
      </c>
      <c r="H2033">
        <v>0</v>
      </c>
      <c r="I2033">
        <v>0</v>
      </c>
      <c r="J2033">
        <v>0</v>
      </c>
      <c r="K2033">
        <v>0</v>
      </c>
    </row>
    <row r="2034" spans="1:11" x14ac:dyDescent="0.2">
      <c r="A2034" t="s">
        <v>4359</v>
      </c>
      <c r="B2034">
        <v>0</v>
      </c>
      <c r="C2034">
        <v>0</v>
      </c>
      <c r="D2034">
        <v>0</v>
      </c>
      <c r="E2034">
        <v>0</v>
      </c>
      <c r="F2034">
        <v>0</v>
      </c>
      <c r="G2034">
        <v>0</v>
      </c>
      <c r="H2034">
        <v>0</v>
      </c>
      <c r="I2034">
        <v>0</v>
      </c>
      <c r="J2034">
        <v>0</v>
      </c>
      <c r="K2034">
        <v>0</v>
      </c>
    </row>
    <row r="2035" spans="1:11" x14ac:dyDescent="0.2">
      <c r="A2035" t="s">
        <v>4360</v>
      </c>
      <c r="B2035">
        <v>0</v>
      </c>
      <c r="C2035">
        <v>3</v>
      </c>
      <c r="D2035">
        <v>0</v>
      </c>
      <c r="E2035">
        <v>0</v>
      </c>
      <c r="F2035">
        <v>14</v>
      </c>
      <c r="G2035">
        <v>6</v>
      </c>
      <c r="H2035">
        <v>1</v>
      </c>
      <c r="I2035">
        <v>0</v>
      </c>
      <c r="J2035">
        <v>0</v>
      </c>
      <c r="K2035">
        <v>3</v>
      </c>
    </row>
    <row r="2036" spans="1:11" x14ac:dyDescent="0.2">
      <c r="A2036" t="s">
        <v>4361</v>
      </c>
      <c r="B2036">
        <v>0</v>
      </c>
      <c r="C2036">
        <v>1</v>
      </c>
      <c r="D2036">
        <v>0</v>
      </c>
      <c r="E2036">
        <v>0</v>
      </c>
      <c r="F2036">
        <v>6</v>
      </c>
      <c r="G2036">
        <v>3</v>
      </c>
      <c r="H2036">
        <v>0</v>
      </c>
      <c r="I2036">
        <v>0</v>
      </c>
      <c r="J2036">
        <v>0</v>
      </c>
      <c r="K2036">
        <v>1</v>
      </c>
    </row>
    <row r="2037" spans="1:11" x14ac:dyDescent="0.2">
      <c r="A2037" t="s">
        <v>4362</v>
      </c>
      <c r="B2037">
        <v>0</v>
      </c>
      <c r="C2037">
        <v>0</v>
      </c>
      <c r="D2037">
        <v>0</v>
      </c>
      <c r="E2037">
        <v>0</v>
      </c>
      <c r="F2037">
        <v>0</v>
      </c>
      <c r="G2037">
        <v>0</v>
      </c>
      <c r="H2037">
        <v>0</v>
      </c>
      <c r="I2037">
        <v>0</v>
      </c>
      <c r="J2037">
        <v>0</v>
      </c>
      <c r="K2037">
        <v>0</v>
      </c>
    </row>
    <row r="2038" spans="1:11" x14ac:dyDescent="0.2">
      <c r="A2038" t="s">
        <v>4363</v>
      </c>
      <c r="B2038">
        <v>0</v>
      </c>
      <c r="C2038">
        <v>0</v>
      </c>
      <c r="D2038">
        <v>0</v>
      </c>
      <c r="E2038">
        <v>0</v>
      </c>
      <c r="F2038">
        <v>0</v>
      </c>
      <c r="G2038">
        <v>0</v>
      </c>
      <c r="H2038">
        <v>0</v>
      </c>
      <c r="I2038">
        <v>0</v>
      </c>
      <c r="J2038">
        <v>0</v>
      </c>
      <c r="K2038">
        <v>0</v>
      </c>
    </row>
    <row r="2039" spans="1:11" x14ac:dyDescent="0.2">
      <c r="A2039" t="s">
        <v>4364</v>
      </c>
      <c r="B2039">
        <v>0</v>
      </c>
      <c r="C2039">
        <v>0</v>
      </c>
      <c r="D2039">
        <v>0</v>
      </c>
      <c r="E2039">
        <v>0</v>
      </c>
      <c r="F2039">
        <v>0</v>
      </c>
      <c r="G2039">
        <v>0</v>
      </c>
      <c r="H2039">
        <v>0</v>
      </c>
      <c r="I2039">
        <v>0</v>
      </c>
      <c r="J2039">
        <v>0</v>
      </c>
      <c r="K2039">
        <v>0</v>
      </c>
    </row>
    <row r="2040" spans="1:11" x14ac:dyDescent="0.2">
      <c r="A2040" t="s">
        <v>4365</v>
      </c>
      <c r="B2040">
        <v>0</v>
      </c>
      <c r="C2040">
        <v>5</v>
      </c>
      <c r="D2040">
        <v>0</v>
      </c>
      <c r="E2040">
        <v>0</v>
      </c>
      <c r="F2040">
        <v>2</v>
      </c>
      <c r="G2040">
        <v>9</v>
      </c>
      <c r="H2040">
        <v>0</v>
      </c>
      <c r="I2040">
        <v>0</v>
      </c>
      <c r="J2040">
        <v>0</v>
      </c>
      <c r="K2040">
        <v>5</v>
      </c>
    </row>
    <row r="2041" spans="1:11" x14ac:dyDescent="0.2">
      <c r="A2041" t="s">
        <v>4366</v>
      </c>
      <c r="B2041">
        <v>0</v>
      </c>
      <c r="C2041">
        <v>0</v>
      </c>
      <c r="D2041">
        <v>0</v>
      </c>
      <c r="E2041">
        <v>0</v>
      </c>
      <c r="F2041">
        <v>0</v>
      </c>
      <c r="G2041">
        <v>0</v>
      </c>
      <c r="H2041">
        <v>0</v>
      </c>
      <c r="I2041">
        <v>0</v>
      </c>
      <c r="J2041">
        <v>0</v>
      </c>
      <c r="K2041">
        <v>0</v>
      </c>
    </row>
    <row r="2042" spans="1:11" x14ac:dyDescent="0.2">
      <c r="A2042" t="s">
        <v>4367</v>
      </c>
      <c r="B2042">
        <v>0</v>
      </c>
      <c r="C2042">
        <v>0</v>
      </c>
      <c r="D2042">
        <v>0</v>
      </c>
      <c r="E2042">
        <v>0</v>
      </c>
      <c r="F2042">
        <v>0</v>
      </c>
      <c r="G2042">
        <v>0</v>
      </c>
      <c r="H2042">
        <v>0</v>
      </c>
      <c r="I2042">
        <v>0</v>
      </c>
      <c r="J2042">
        <v>0</v>
      </c>
      <c r="K2042">
        <v>0</v>
      </c>
    </row>
    <row r="2043" spans="1:11" x14ac:dyDescent="0.2">
      <c r="A2043" t="s">
        <v>4368</v>
      </c>
      <c r="B2043">
        <v>0</v>
      </c>
      <c r="C2043">
        <v>269</v>
      </c>
      <c r="D2043">
        <v>2</v>
      </c>
      <c r="E2043">
        <v>0</v>
      </c>
      <c r="F2043">
        <v>145</v>
      </c>
      <c r="G2043">
        <v>528</v>
      </c>
      <c r="H2043">
        <v>11</v>
      </c>
      <c r="I2043">
        <v>0</v>
      </c>
      <c r="J2043">
        <v>0</v>
      </c>
      <c r="K2043">
        <v>280</v>
      </c>
    </row>
    <row r="2044" spans="1:11" x14ac:dyDescent="0.2">
      <c r="A2044" t="s">
        <v>4369</v>
      </c>
      <c r="B2044">
        <v>0</v>
      </c>
      <c r="C2044">
        <v>105</v>
      </c>
      <c r="D2044">
        <v>3</v>
      </c>
      <c r="E2044">
        <v>0</v>
      </c>
      <c r="F2044">
        <v>184</v>
      </c>
      <c r="G2044">
        <v>212</v>
      </c>
      <c r="H2044">
        <v>14</v>
      </c>
      <c r="I2044">
        <v>0</v>
      </c>
      <c r="J2044">
        <v>0</v>
      </c>
      <c r="K2044">
        <v>113</v>
      </c>
    </row>
    <row r="2045" spans="1:11" x14ac:dyDescent="0.2">
      <c r="A2045" t="s">
        <v>4370</v>
      </c>
      <c r="B2045">
        <v>0</v>
      </c>
      <c r="C2045">
        <v>2</v>
      </c>
      <c r="D2045">
        <v>0</v>
      </c>
      <c r="E2045">
        <v>0</v>
      </c>
      <c r="F2045">
        <v>1</v>
      </c>
      <c r="G2045">
        <v>4</v>
      </c>
      <c r="H2045">
        <v>0</v>
      </c>
      <c r="I2045">
        <v>0</v>
      </c>
      <c r="J2045">
        <v>0</v>
      </c>
      <c r="K2045">
        <v>2</v>
      </c>
    </row>
    <row r="2046" spans="1:11" x14ac:dyDescent="0.2">
      <c r="A2046" t="s">
        <v>4371</v>
      </c>
      <c r="B2046">
        <v>0</v>
      </c>
      <c r="C2046">
        <v>2</v>
      </c>
      <c r="D2046">
        <v>0</v>
      </c>
      <c r="E2046">
        <v>0</v>
      </c>
      <c r="F2046">
        <v>1</v>
      </c>
      <c r="G2046">
        <v>3</v>
      </c>
      <c r="H2046">
        <v>0</v>
      </c>
      <c r="I2046">
        <v>0</v>
      </c>
      <c r="J2046">
        <v>0</v>
      </c>
      <c r="K2046">
        <v>2</v>
      </c>
    </row>
    <row r="2047" spans="1:11" x14ac:dyDescent="0.2">
      <c r="A2047" t="s">
        <v>4372</v>
      </c>
      <c r="B2047">
        <v>0</v>
      </c>
      <c r="C2047">
        <v>0</v>
      </c>
      <c r="D2047">
        <v>0</v>
      </c>
      <c r="E2047">
        <v>0</v>
      </c>
      <c r="F2047">
        <v>0</v>
      </c>
      <c r="G2047">
        <v>0</v>
      </c>
      <c r="H2047">
        <v>0</v>
      </c>
      <c r="I2047">
        <v>0</v>
      </c>
      <c r="J2047">
        <v>0</v>
      </c>
      <c r="K2047">
        <v>0</v>
      </c>
    </row>
    <row r="2048" spans="1:11" x14ac:dyDescent="0.2">
      <c r="A2048" t="s">
        <v>4373</v>
      </c>
      <c r="B2048">
        <v>0</v>
      </c>
      <c r="C2048">
        <v>0</v>
      </c>
      <c r="D2048">
        <v>0</v>
      </c>
      <c r="E2048">
        <v>0</v>
      </c>
      <c r="F2048">
        <v>0</v>
      </c>
      <c r="G2048">
        <v>0</v>
      </c>
      <c r="H2048">
        <v>0</v>
      </c>
      <c r="I2048">
        <v>0</v>
      </c>
      <c r="J2048">
        <v>0</v>
      </c>
      <c r="K2048">
        <v>0</v>
      </c>
    </row>
    <row r="2049" spans="1:11" x14ac:dyDescent="0.2">
      <c r="A2049" t="s">
        <v>4374</v>
      </c>
      <c r="B2049">
        <v>0</v>
      </c>
      <c r="C2049">
        <v>0</v>
      </c>
      <c r="D2049">
        <v>0</v>
      </c>
      <c r="E2049">
        <v>0</v>
      </c>
      <c r="F2049">
        <v>0</v>
      </c>
      <c r="G2049">
        <v>0</v>
      </c>
      <c r="H2049">
        <v>0</v>
      </c>
      <c r="I2049">
        <v>0</v>
      </c>
      <c r="J2049">
        <v>0</v>
      </c>
      <c r="K2049">
        <v>0</v>
      </c>
    </row>
    <row r="2050" spans="1:11" x14ac:dyDescent="0.2">
      <c r="A2050" t="s">
        <v>4375</v>
      </c>
      <c r="B2050">
        <v>0</v>
      </c>
      <c r="C2050">
        <v>0</v>
      </c>
      <c r="D2050">
        <v>0</v>
      </c>
      <c r="E2050">
        <v>0</v>
      </c>
      <c r="F2050">
        <v>1</v>
      </c>
      <c r="G2050">
        <v>0</v>
      </c>
      <c r="H2050">
        <v>0</v>
      </c>
      <c r="I2050">
        <v>0</v>
      </c>
      <c r="J2050">
        <v>0</v>
      </c>
      <c r="K2050">
        <v>0</v>
      </c>
    </row>
    <row r="2051" spans="1:11" x14ac:dyDescent="0.2">
      <c r="A2051" t="s">
        <v>4376</v>
      </c>
      <c r="B2051">
        <v>0</v>
      </c>
      <c r="C2051">
        <v>0</v>
      </c>
      <c r="D2051">
        <v>0</v>
      </c>
      <c r="E2051">
        <v>0</v>
      </c>
      <c r="F2051">
        <v>0</v>
      </c>
      <c r="G2051">
        <v>0</v>
      </c>
      <c r="H2051">
        <v>0</v>
      </c>
      <c r="I2051">
        <v>0</v>
      </c>
      <c r="J2051">
        <v>0</v>
      </c>
      <c r="K2051">
        <v>0</v>
      </c>
    </row>
    <row r="2052" spans="1:11" x14ac:dyDescent="0.2">
      <c r="A2052" t="s">
        <v>4377</v>
      </c>
      <c r="B2052">
        <v>0</v>
      </c>
      <c r="C2052">
        <v>0</v>
      </c>
      <c r="D2052">
        <v>0</v>
      </c>
      <c r="E2052">
        <v>0</v>
      </c>
      <c r="F2052">
        <v>2</v>
      </c>
      <c r="G2052">
        <v>1</v>
      </c>
      <c r="H2052">
        <v>0</v>
      </c>
      <c r="I2052">
        <v>0</v>
      </c>
      <c r="J2052">
        <v>0</v>
      </c>
      <c r="K2052">
        <v>1</v>
      </c>
    </row>
    <row r="2053" spans="1:11" x14ac:dyDescent="0.2">
      <c r="A2053" t="s">
        <v>4854</v>
      </c>
      <c r="B2053">
        <v>58</v>
      </c>
      <c r="C2053">
        <v>7184</v>
      </c>
      <c r="D2053">
        <v>469</v>
      </c>
      <c r="E2053">
        <v>0</v>
      </c>
      <c r="F2053">
        <v>28411</v>
      </c>
      <c r="G2053">
        <v>15060</v>
      </c>
      <c r="H2053">
        <v>2419</v>
      </c>
      <c r="I2053">
        <v>0</v>
      </c>
      <c r="J2053">
        <v>64</v>
      </c>
      <c r="K2053">
        <v>7362</v>
      </c>
    </row>
    <row r="2054" spans="1:11" x14ac:dyDescent="0.2">
      <c r="A2054" t="s">
        <v>2318</v>
      </c>
      <c r="B2054" t="s">
        <v>4399</v>
      </c>
      <c r="C2054" t="s">
        <v>4399</v>
      </c>
      <c r="D2054" t="s">
        <v>4399</v>
      </c>
      <c r="E2054" t="s">
        <v>4399</v>
      </c>
      <c r="F2054" t="s">
        <v>4399</v>
      </c>
      <c r="G2054" t="s">
        <v>4399</v>
      </c>
      <c r="H2054" t="s">
        <v>4399</v>
      </c>
      <c r="I2054" t="s">
        <v>4399</v>
      </c>
      <c r="J2054" t="s">
        <v>4399</v>
      </c>
      <c r="K2054" t="s">
        <v>4399</v>
      </c>
    </row>
    <row r="2055" spans="1:11" x14ac:dyDescent="0.2">
      <c r="A2055" t="s">
        <v>4248</v>
      </c>
    </row>
    <row r="2056" spans="1:11" x14ac:dyDescent="0.2">
      <c r="A2056" t="s">
        <v>4855</v>
      </c>
      <c r="B2056" t="s">
        <v>4856</v>
      </c>
      <c r="C2056" t="s">
        <v>4857</v>
      </c>
      <c r="D2056" t="s">
        <v>4858</v>
      </c>
      <c r="E2056" t="s">
        <v>4859</v>
      </c>
      <c r="F2056" t="s">
        <v>4860</v>
      </c>
      <c r="G2056" t="s">
        <v>4870</v>
      </c>
    </row>
    <row r="2057" spans="1:11" x14ac:dyDescent="0.2">
      <c r="A2057" t="s">
        <v>2318</v>
      </c>
      <c r="B2057" t="s">
        <v>4399</v>
      </c>
      <c r="C2057" t="s">
        <v>4399</v>
      </c>
      <c r="D2057" t="s">
        <v>4399</v>
      </c>
      <c r="E2057" t="s">
        <v>4399</v>
      </c>
      <c r="F2057" t="s">
        <v>4399</v>
      </c>
      <c r="G2057" t="s">
        <v>4399</v>
      </c>
      <c r="H2057" t="s">
        <v>4399</v>
      </c>
      <c r="I2057" t="s">
        <v>4399</v>
      </c>
      <c r="J2057" t="s">
        <v>4399</v>
      </c>
      <c r="K2057" t="s">
        <v>4399</v>
      </c>
    </row>
    <row r="2058" spans="1:11" x14ac:dyDescent="0.2">
      <c r="A2058" t="s">
        <v>126</v>
      </c>
      <c r="B2058" t="s">
        <v>4766</v>
      </c>
      <c r="C2058" t="s">
        <v>4770</v>
      </c>
      <c r="D2058" t="s">
        <v>4774</v>
      </c>
      <c r="E2058" t="s">
        <v>4778</v>
      </c>
      <c r="F2058" t="s">
        <v>4782</v>
      </c>
      <c r="G2058" t="s">
        <v>4786</v>
      </c>
      <c r="H2058" t="s">
        <v>4790</v>
      </c>
      <c r="I2058" t="s">
        <v>4794</v>
      </c>
      <c r="J2058" t="s">
        <v>427</v>
      </c>
      <c r="K2058" t="s">
        <v>428</v>
      </c>
    </row>
    <row r="2059" spans="1:11" x14ac:dyDescent="0.2">
      <c r="A2059" t="s">
        <v>2318</v>
      </c>
      <c r="B2059" t="s">
        <v>4399</v>
      </c>
      <c r="C2059" t="s">
        <v>4399</v>
      </c>
      <c r="D2059" t="s">
        <v>4399</v>
      </c>
      <c r="E2059" t="s">
        <v>4399</v>
      </c>
      <c r="F2059" t="s">
        <v>4399</v>
      </c>
      <c r="G2059" t="s">
        <v>4399</v>
      </c>
      <c r="H2059" t="s">
        <v>4399</v>
      </c>
      <c r="I2059" t="s">
        <v>4399</v>
      </c>
      <c r="J2059" t="s">
        <v>4399</v>
      </c>
      <c r="K2059" t="s">
        <v>4399</v>
      </c>
    </row>
    <row r="2060" spans="1:11" x14ac:dyDescent="0.2">
      <c r="A2060" t="s">
        <v>4265</v>
      </c>
      <c r="B2060">
        <v>0</v>
      </c>
      <c r="C2060">
        <v>0</v>
      </c>
      <c r="D2060">
        <v>0</v>
      </c>
      <c r="E2060">
        <v>0</v>
      </c>
      <c r="F2060">
        <v>0</v>
      </c>
      <c r="G2060">
        <v>0</v>
      </c>
      <c r="H2060">
        <v>0</v>
      </c>
      <c r="I2060">
        <v>0</v>
      </c>
      <c r="J2060">
        <v>0</v>
      </c>
      <c r="K2060">
        <v>0</v>
      </c>
    </row>
    <row r="2061" spans="1:11" x14ac:dyDescent="0.2">
      <c r="A2061" t="s">
        <v>4266</v>
      </c>
      <c r="B2061">
        <v>0</v>
      </c>
      <c r="C2061">
        <v>0</v>
      </c>
      <c r="D2061">
        <v>0</v>
      </c>
      <c r="E2061">
        <v>0</v>
      </c>
      <c r="F2061">
        <v>0</v>
      </c>
      <c r="G2061">
        <v>0</v>
      </c>
      <c r="H2061">
        <v>0</v>
      </c>
      <c r="I2061">
        <v>0</v>
      </c>
      <c r="J2061">
        <v>0</v>
      </c>
      <c r="K2061">
        <v>0</v>
      </c>
    </row>
    <row r="2062" spans="1:11" x14ac:dyDescent="0.2">
      <c r="A2062" t="s">
        <v>4267</v>
      </c>
      <c r="B2062">
        <v>0</v>
      </c>
      <c r="C2062">
        <v>0</v>
      </c>
      <c r="D2062">
        <v>0</v>
      </c>
      <c r="E2062">
        <v>0</v>
      </c>
      <c r="F2062">
        <v>0</v>
      </c>
      <c r="G2062">
        <v>0</v>
      </c>
      <c r="H2062">
        <v>0</v>
      </c>
      <c r="I2062">
        <v>0</v>
      </c>
      <c r="J2062">
        <v>0</v>
      </c>
      <c r="K2062">
        <v>0</v>
      </c>
    </row>
    <row r="2063" spans="1:11" x14ac:dyDescent="0.2">
      <c r="A2063" t="s">
        <v>4268</v>
      </c>
      <c r="B2063">
        <v>0</v>
      </c>
      <c r="C2063">
        <v>0</v>
      </c>
      <c r="D2063">
        <v>0</v>
      </c>
      <c r="E2063">
        <v>0</v>
      </c>
      <c r="F2063">
        <v>0</v>
      </c>
      <c r="G2063">
        <v>0</v>
      </c>
      <c r="H2063">
        <v>0</v>
      </c>
      <c r="I2063">
        <v>0</v>
      </c>
      <c r="J2063">
        <v>0</v>
      </c>
      <c r="K2063">
        <v>0</v>
      </c>
    </row>
    <row r="2064" spans="1:11" x14ac:dyDescent="0.2">
      <c r="A2064" t="s">
        <v>4269</v>
      </c>
      <c r="B2064">
        <v>0</v>
      </c>
      <c r="C2064">
        <v>0</v>
      </c>
      <c r="D2064">
        <v>0</v>
      </c>
      <c r="E2064">
        <v>0</v>
      </c>
      <c r="F2064">
        <v>0</v>
      </c>
      <c r="G2064">
        <v>0</v>
      </c>
      <c r="H2064">
        <v>0</v>
      </c>
      <c r="I2064">
        <v>0</v>
      </c>
      <c r="J2064">
        <v>0</v>
      </c>
      <c r="K2064">
        <v>0</v>
      </c>
    </row>
    <row r="2065" spans="1:11" x14ac:dyDescent="0.2">
      <c r="A2065" t="s">
        <v>4270</v>
      </c>
      <c r="B2065">
        <v>0</v>
      </c>
      <c r="C2065">
        <v>0</v>
      </c>
      <c r="D2065">
        <v>0</v>
      </c>
      <c r="E2065">
        <v>0</v>
      </c>
      <c r="F2065">
        <v>0</v>
      </c>
      <c r="G2065">
        <v>0</v>
      </c>
      <c r="H2065">
        <v>0</v>
      </c>
      <c r="I2065">
        <v>0</v>
      </c>
      <c r="J2065">
        <v>0</v>
      </c>
      <c r="K2065">
        <v>0</v>
      </c>
    </row>
    <row r="2066" spans="1:11" x14ac:dyDescent="0.2">
      <c r="A2066" t="s">
        <v>4271</v>
      </c>
      <c r="B2066">
        <v>0</v>
      </c>
      <c r="C2066">
        <v>0</v>
      </c>
      <c r="D2066">
        <v>0</v>
      </c>
      <c r="E2066">
        <v>0</v>
      </c>
      <c r="F2066">
        <v>0</v>
      </c>
      <c r="G2066">
        <v>0</v>
      </c>
      <c r="H2066">
        <v>0</v>
      </c>
      <c r="I2066">
        <v>0</v>
      </c>
      <c r="J2066">
        <v>0</v>
      </c>
      <c r="K2066">
        <v>0</v>
      </c>
    </row>
    <row r="2067" spans="1:11" x14ac:dyDescent="0.2">
      <c r="A2067" t="s">
        <v>4272</v>
      </c>
      <c r="B2067">
        <v>0</v>
      </c>
      <c r="C2067">
        <v>0</v>
      </c>
      <c r="D2067">
        <v>0</v>
      </c>
      <c r="E2067">
        <v>0</v>
      </c>
      <c r="F2067">
        <v>0</v>
      </c>
      <c r="G2067">
        <v>0</v>
      </c>
      <c r="H2067">
        <v>0</v>
      </c>
      <c r="I2067">
        <v>0</v>
      </c>
      <c r="J2067">
        <v>0</v>
      </c>
      <c r="K2067">
        <v>0</v>
      </c>
    </row>
    <row r="2068" spans="1:11" x14ac:dyDescent="0.2">
      <c r="A2068" t="s">
        <v>4273</v>
      </c>
      <c r="B2068">
        <v>0</v>
      </c>
      <c r="C2068">
        <v>0</v>
      </c>
      <c r="D2068">
        <v>0</v>
      </c>
      <c r="E2068">
        <v>0</v>
      </c>
      <c r="F2068">
        <v>0</v>
      </c>
      <c r="G2068">
        <v>0</v>
      </c>
      <c r="H2068">
        <v>0</v>
      </c>
      <c r="I2068">
        <v>0</v>
      </c>
      <c r="J2068">
        <v>0</v>
      </c>
      <c r="K2068">
        <v>0</v>
      </c>
    </row>
    <row r="2069" spans="1:11" x14ac:dyDescent="0.2">
      <c r="A2069" t="s">
        <v>4274</v>
      </c>
      <c r="B2069">
        <v>0</v>
      </c>
      <c r="C2069">
        <v>0</v>
      </c>
      <c r="D2069">
        <v>0</v>
      </c>
      <c r="E2069">
        <v>0</v>
      </c>
      <c r="F2069">
        <v>0</v>
      </c>
      <c r="G2069">
        <v>0</v>
      </c>
      <c r="H2069">
        <v>0</v>
      </c>
      <c r="I2069">
        <v>0</v>
      </c>
      <c r="J2069">
        <v>0</v>
      </c>
      <c r="K2069">
        <v>0</v>
      </c>
    </row>
    <row r="2070" spans="1:11" x14ac:dyDescent="0.2">
      <c r="A2070" t="s">
        <v>4275</v>
      </c>
      <c r="B2070">
        <v>0</v>
      </c>
      <c r="C2070">
        <v>0</v>
      </c>
      <c r="D2070">
        <v>0</v>
      </c>
      <c r="E2070">
        <v>0</v>
      </c>
      <c r="F2070">
        <v>0</v>
      </c>
      <c r="G2070">
        <v>0</v>
      </c>
      <c r="H2070">
        <v>0</v>
      </c>
      <c r="I2070">
        <v>0</v>
      </c>
      <c r="J2070">
        <v>0</v>
      </c>
      <c r="K2070">
        <v>0</v>
      </c>
    </row>
    <row r="2071" spans="1:11" x14ac:dyDescent="0.2">
      <c r="A2071" t="s">
        <v>4276</v>
      </c>
      <c r="B2071">
        <v>0</v>
      </c>
      <c r="C2071">
        <v>0</v>
      </c>
      <c r="D2071">
        <v>0</v>
      </c>
      <c r="E2071">
        <v>0</v>
      </c>
      <c r="F2071">
        <v>0</v>
      </c>
      <c r="G2071">
        <v>0</v>
      </c>
      <c r="H2071">
        <v>0</v>
      </c>
      <c r="I2071">
        <v>0</v>
      </c>
      <c r="J2071">
        <v>0</v>
      </c>
      <c r="K2071">
        <v>0</v>
      </c>
    </row>
    <row r="2072" spans="1:11" x14ac:dyDescent="0.2">
      <c r="A2072" t="s">
        <v>4277</v>
      </c>
      <c r="B2072">
        <v>0</v>
      </c>
      <c r="C2072">
        <v>0</v>
      </c>
      <c r="D2072">
        <v>0</v>
      </c>
      <c r="E2072">
        <v>0</v>
      </c>
      <c r="F2072">
        <v>0</v>
      </c>
      <c r="G2072">
        <v>0</v>
      </c>
      <c r="H2072">
        <v>0</v>
      </c>
      <c r="I2072">
        <v>0</v>
      </c>
      <c r="J2072">
        <v>0</v>
      </c>
      <c r="K2072">
        <v>0</v>
      </c>
    </row>
    <row r="2073" spans="1:11" x14ac:dyDescent="0.2">
      <c r="A2073" t="s">
        <v>4278</v>
      </c>
      <c r="B2073">
        <v>0</v>
      </c>
      <c r="C2073">
        <v>0</v>
      </c>
      <c r="D2073">
        <v>0</v>
      </c>
      <c r="E2073">
        <v>0</v>
      </c>
      <c r="F2073">
        <v>0</v>
      </c>
      <c r="G2073">
        <v>0</v>
      </c>
      <c r="H2073">
        <v>0</v>
      </c>
      <c r="I2073">
        <v>0</v>
      </c>
      <c r="J2073">
        <v>0</v>
      </c>
      <c r="K2073">
        <v>0</v>
      </c>
    </row>
    <row r="2074" spans="1:11" x14ac:dyDescent="0.2">
      <c r="A2074" t="s">
        <v>4279</v>
      </c>
      <c r="B2074">
        <v>0</v>
      </c>
      <c r="C2074">
        <v>0</v>
      </c>
      <c r="D2074">
        <v>0</v>
      </c>
      <c r="E2074">
        <v>0</v>
      </c>
      <c r="F2074">
        <v>0</v>
      </c>
      <c r="G2074">
        <v>0</v>
      </c>
      <c r="H2074">
        <v>0</v>
      </c>
      <c r="I2074">
        <v>0</v>
      </c>
      <c r="J2074">
        <v>0</v>
      </c>
      <c r="K2074">
        <v>0</v>
      </c>
    </row>
    <row r="2075" spans="1:11" x14ac:dyDescent="0.2">
      <c r="A2075" t="s">
        <v>4280</v>
      </c>
      <c r="B2075">
        <v>0</v>
      </c>
      <c r="C2075">
        <v>0</v>
      </c>
      <c r="D2075">
        <v>0</v>
      </c>
      <c r="E2075">
        <v>0</v>
      </c>
      <c r="F2075">
        <v>0</v>
      </c>
      <c r="G2075">
        <v>0</v>
      </c>
      <c r="H2075">
        <v>0</v>
      </c>
      <c r="I2075">
        <v>0</v>
      </c>
      <c r="J2075">
        <v>0</v>
      </c>
      <c r="K2075">
        <v>0</v>
      </c>
    </row>
    <row r="2076" spans="1:11" x14ac:dyDescent="0.2">
      <c r="A2076" t="s">
        <v>4281</v>
      </c>
      <c r="B2076">
        <v>1</v>
      </c>
      <c r="C2076">
        <v>0</v>
      </c>
      <c r="D2076">
        <v>0</v>
      </c>
      <c r="E2076">
        <v>0</v>
      </c>
      <c r="F2076">
        <v>0</v>
      </c>
      <c r="G2076">
        <v>0</v>
      </c>
      <c r="H2076">
        <v>2</v>
      </c>
      <c r="I2076">
        <v>0</v>
      </c>
      <c r="J2076">
        <v>0</v>
      </c>
      <c r="K2076">
        <v>49</v>
      </c>
    </row>
    <row r="2077" spans="1:11" x14ac:dyDescent="0.2">
      <c r="A2077" t="s">
        <v>4282</v>
      </c>
      <c r="B2077">
        <v>0</v>
      </c>
      <c r="C2077">
        <v>0</v>
      </c>
      <c r="D2077">
        <v>0</v>
      </c>
      <c r="E2077">
        <v>0</v>
      </c>
      <c r="F2077">
        <v>0</v>
      </c>
      <c r="G2077">
        <v>0</v>
      </c>
      <c r="H2077">
        <v>0</v>
      </c>
      <c r="I2077">
        <v>0</v>
      </c>
      <c r="J2077">
        <v>0</v>
      </c>
      <c r="K2077">
        <v>8</v>
      </c>
    </row>
    <row r="2078" spans="1:11" x14ac:dyDescent="0.2">
      <c r="A2078" t="s">
        <v>4283</v>
      </c>
      <c r="B2078">
        <v>0</v>
      </c>
      <c r="C2078">
        <v>0</v>
      </c>
      <c r="D2078">
        <v>0</v>
      </c>
      <c r="E2078">
        <v>0</v>
      </c>
      <c r="F2078">
        <v>0</v>
      </c>
      <c r="G2078">
        <v>0</v>
      </c>
      <c r="H2078">
        <v>0</v>
      </c>
      <c r="I2078">
        <v>0</v>
      </c>
      <c r="J2078">
        <v>0</v>
      </c>
      <c r="K2078">
        <v>6</v>
      </c>
    </row>
    <row r="2079" spans="1:11" x14ac:dyDescent="0.2">
      <c r="A2079" t="s">
        <v>4284</v>
      </c>
      <c r="B2079">
        <v>0</v>
      </c>
      <c r="C2079">
        <v>0</v>
      </c>
      <c r="D2079">
        <v>0</v>
      </c>
      <c r="E2079">
        <v>0</v>
      </c>
      <c r="F2079">
        <v>0</v>
      </c>
      <c r="G2079">
        <v>0</v>
      </c>
      <c r="H2079">
        <v>0</v>
      </c>
      <c r="I2079">
        <v>0</v>
      </c>
      <c r="J2079">
        <v>0</v>
      </c>
      <c r="K2079">
        <v>0</v>
      </c>
    </row>
    <row r="2080" spans="1:11" x14ac:dyDescent="0.2">
      <c r="A2080" t="s">
        <v>4285</v>
      </c>
      <c r="B2080">
        <v>0</v>
      </c>
      <c r="C2080">
        <v>0</v>
      </c>
      <c r="D2080">
        <v>0</v>
      </c>
      <c r="E2080">
        <v>0</v>
      </c>
      <c r="F2080">
        <v>0</v>
      </c>
      <c r="G2080">
        <v>0</v>
      </c>
      <c r="H2080">
        <v>0</v>
      </c>
      <c r="I2080">
        <v>0</v>
      </c>
      <c r="J2080">
        <v>0</v>
      </c>
      <c r="K2080">
        <v>10</v>
      </c>
    </row>
    <row r="2081" spans="1:11" x14ac:dyDescent="0.2">
      <c r="A2081" t="s">
        <v>4286</v>
      </c>
      <c r="B2081">
        <v>0</v>
      </c>
      <c r="C2081">
        <v>0</v>
      </c>
      <c r="D2081">
        <v>0</v>
      </c>
      <c r="E2081">
        <v>0</v>
      </c>
      <c r="F2081">
        <v>0</v>
      </c>
      <c r="G2081">
        <v>0</v>
      </c>
      <c r="H2081">
        <v>0</v>
      </c>
      <c r="I2081">
        <v>0</v>
      </c>
      <c r="J2081">
        <v>0</v>
      </c>
      <c r="K2081">
        <v>2</v>
      </c>
    </row>
    <row r="2082" spans="1:11" x14ac:dyDescent="0.2">
      <c r="A2082" t="s">
        <v>4287</v>
      </c>
      <c r="B2082">
        <v>0</v>
      </c>
      <c r="C2082">
        <v>0</v>
      </c>
      <c r="D2082">
        <v>0</v>
      </c>
      <c r="E2082">
        <v>0</v>
      </c>
      <c r="F2082">
        <v>0</v>
      </c>
      <c r="G2082">
        <v>0</v>
      </c>
      <c r="H2082">
        <v>0</v>
      </c>
      <c r="I2082">
        <v>0</v>
      </c>
      <c r="J2082">
        <v>0</v>
      </c>
      <c r="K2082">
        <v>0</v>
      </c>
    </row>
    <row r="2083" spans="1:11" x14ac:dyDescent="0.2">
      <c r="A2083" t="s">
        <v>4288</v>
      </c>
      <c r="B2083">
        <v>0</v>
      </c>
      <c r="C2083">
        <v>0</v>
      </c>
      <c r="D2083">
        <v>0</v>
      </c>
      <c r="E2083">
        <v>0</v>
      </c>
      <c r="F2083">
        <v>0</v>
      </c>
      <c r="G2083">
        <v>0</v>
      </c>
      <c r="H2083">
        <v>0</v>
      </c>
      <c r="I2083">
        <v>0</v>
      </c>
      <c r="J2083">
        <v>0</v>
      </c>
      <c r="K2083">
        <v>0</v>
      </c>
    </row>
    <row r="2084" spans="1:11" x14ac:dyDescent="0.2">
      <c r="A2084" t="s">
        <v>4289</v>
      </c>
      <c r="B2084">
        <v>0</v>
      </c>
      <c r="C2084">
        <v>0</v>
      </c>
      <c r="D2084">
        <v>0</v>
      </c>
      <c r="E2084">
        <v>0</v>
      </c>
      <c r="F2084">
        <v>0</v>
      </c>
      <c r="G2084">
        <v>0</v>
      </c>
      <c r="H2084">
        <v>0</v>
      </c>
      <c r="I2084">
        <v>0</v>
      </c>
      <c r="J2084">
        <v>0</v>
      </c>
      <c r="K2084">
        <v>0</v>
      </c>
    </row>
    <row r="2085" spans="1:11" x14ac:dyDescent="0.2">
      <c r="A2085" t="s">
        <v>4290</v>
      </c>
      <c r="B2085">
        <v>0</v>
      </c>
      <c r="C2085">
        <v>0</v>
      </c>
      <c r="D2085">
        <v>0</v>
      </c>
      <c r="E2085">
        <v>0</v>
      </c>
      <c r="F2085">
        <v>0</v>
      </c>
      <c r="G2085">
        <v>0</v>
      </c>
      <c r="H2085">
        <v>0</v>
      </c>
      <c r="I2085">
        <v>0</v>
      </c>
      <c r="J2085">
        <v>0</v>
      </c>
      <c r="K2085">
        <v>0</v>
      </c>
    </row>
    <row r="2086" spans="1:11" x14ac:dyDescent="0.2">
      <c r="A2086" t="s">
        <v>4291</v>
      </c>
      <c r="B2086">
        <v>0</v>
      </c>
      <c r="C2086">
        <v>0</v>
      </c>
      <c r="D2086">
        <v>0</v>
      </c>
      <c r="E2086">
        <v>0</v>
      </c>
      <c r="F2086">
        <v>0</v>
      </c>
      <c r="G2086">
        <v>0</v>
      </c>
      <c r="H2086">
        <v>0</v>
      </c>
      <c r="I2086">
        <v>0</v>
      </c>
      <c r="J2086">
        <v>0</v>
      </c>
      <c r="K2086">
        <v>0</v>
      </c>
    </row>
    <row r="2087" spans="1:11" x14ac:dyDescent="0.2">
      <c r="A2087" t="s">
        <v>4292</v>
      </c>
      <c r="B2087">
        <v>0</v>
      </c>
      <c r="C2087">
        <v>0</v>
      </c>
      <c r="D2087">
        <v>0</v>
      </c>
      <c r="E2087">
        <v>0</v>
      </c>
      <c r="F2087">
        <v>0</v>
      </c>
      <c r="G2087">
        <v>0</v>
      </c>
      <c r="H2087">
        <v>0</v>
      </c>
      <c r="I2087">
        <v>0</v>
      </c>
      <c r="J2087">
        <v>0</v>
      </c>
      <c r="K2087">
        <v>0</v>
      </c>
    </row>
    <row r="2088" spans="1:11" x14ac:dyDescent="0.2">
      <c r="A2088" t="s">
        <v>4293</v>
      </c>
      <c r="B2088">
        <v>0</v>
      </c>
      <c r="C2088">
        <v>0</v>
      </c>
      <c r="D2088">
        <v>0</v>
      </c>
      <c r="E2088">
        <v>0</v>
      </c>
      <c r="F2088">
        <v>0</v>
      </c>
      <c r="G2088">
        <v>0</v>
      </c>
      <c r="H2088">
        <v>0</v>
      </c>
      <c r="I2088">
        <v>0</v>
      </c>
      <c r="J2088">
        <v>0</v>
      </c>
      <c r="K2088">
        <v>0</v>
      </c>
    </row>
    <row r="2089" spans="1:11" x14ac:dyDescent="0.2">
      <c r="A2089" t="s">
        <v>4294</v>
      </c>
      <c r="B2089">
        <v>0</v>
      </c>
      <c r="C2089">
        <v>0</v>
      </c>
      <c r="D2089">
        <v>0</v>
      </c>
      <c r="E2089">
        <v>0</v>
      </c>
      <c r="F2089">
        <v>0</v>
      </c>
      <c r="G2089">
        <v>0</v>
      </c>
      <c r="H2089">
        <v>0</v>
      </c>
      <c r="I2089">
        <v>0</v>
      </c>
      <c r="J2089">
        <v>0</v>
      </c>
      <c r="K2089">
        <v>0</v>
      </c>
    </row>
    <row r="2090" spans="1:11" x14ac:dyDescent="0.2">
      <c r="A2090" t="s">
        <v>4295</v>
      </c>
      <c r="B2090">
        <v>0</v>
      </c>
      <c r="C2090">
        <v>0</v>
      </c>
      <c r="D2090">
        <v>0</v>
      </c>
      <c r="E2090">
        <v>0</v>
      </c>
      <c r="F2090">
        <v>0</v>
      </c>
      <c r="G2090">
        <v>0</v>
      </c>
      <c r="H2090">
        <v>0</v>
      </c>
      <c r="I2090">
        <v>0</v>
      </c>
      <c r="J2090">
        <v>0</v>
      </c>
      <c r="K2090">
        <v>0</v>
      </c>
    </row>
    <row r="2091" spans="1:11" x14ac:dyDescent="0.2">
      <c r="A2091" t="s">
        <v>4296</v>
      </c>
      <c r="B2091">
        <v>0</v>
      </c>
      <c r="C2091">
        <v>0</v>
      </c>
      <c r="D2091">
        <v>0</v>
      </c>
      <c r="E2091">
        <v>0</v>
      </c>
      <c r="F2091">
        <v>0</v>
      </c>
      <c r="G2091">
        <v>0</v>
      </c>
      <c r="H2091">
        <v>0</v>
      </c>
      <c r="I2091">
        <v>0</v>
      </c>
      <c r="J2091">
        <v>0</v>
      </c>
      <c r="K2091">
        <v>0</v>
      </c>
    </row>
    <row r="2092" spans="1:11" x14ac:dyDescent="0.2">
      <c r="A2092" t="s">
        <v>4297</v>
      </c>
      <c r="B2092">
        <v>1</v>
      </c>
      <c r="C2092">
        <v>0</v>
      </c>
      <c r="D2092">
        <v>0</v>
      </c>
      <c r="E2092">
        <v>0</v>
      </c>
      <c r="F2092">
        <v>0</v>
      </c>
      <c r="G2092">
        <v>0</v>
      </c>
      <c r="H2092">
        <v>0</v>
      </c>
      <c r="I2092">
        <v>0</v>
      </c>
      <c r="J2092">
        <v>0</v>
      </c>
      <c r="K2092">
        <v>22</v>
      </c>
    </row>
    <row r="2093" spans="1:11" x14ac:dyDescent="0.2">
      <c r="A2093" t="s">
        <v>4298</v>
      </c>
      <c r="B2093">
        <v>1</v>
      </c>
      <c r="C2093">
        <v>0</v>
      </c>
      <c r="D2093">
        <v>0</v>
      </c>
      <c r="E2093">
        <v>0</v>
      </c>
      <c r="F2093">
        <v>0</v>
      </c>
      <c r="G2093">
        <v>0</v>
      </c>
      <c r="H2093">
        <v>0</v>
      </c>
      <c r="I2093">
        <v>0</v>
      </c>
      <c r="J2093">
        <v>0</v>
      </c>
      <c r="K2093">
        <v>13</v>
      </c>
    </row>
    <row r="2094" spans="1:11" x14ac:dyDescent="0.2">
      <c r="A2094" t="s">
        <v>4299</v>
      </c>
      <c r="B2094">
        <v>2</v>
      </c>
      <c r="C2094">
        <v>0</v>
      </c>
      <c r="D2094">
        <v>0</v>
      </c>
      <c r="E2094">
        <v>0</v>
      </c>
      <c r="F2094">
        <v>0</v>
      </c>
      <c r="G2094">
        <v>0</v>
      </c>
      <c r="H2094">
        <v>1</v>
      </c>
      <c r="I2094">
        <v>0</v>
      </c>
      <c r="J2094">
        <v>0</v>
      </c>
      <c r="K2094">
        <v>36</v>
      </c>
    </row>
    <row r="2095" spans="1:11" x14ac:dyDescent="0.2">
      <c r="A2095" t="s">
        <v>4300</v>
      </c>
      <c r="B2095">
        <v>0</v>
      </c>
      <c r="C2095">
        <v>0</v>
      </c>
      <c r="D2095">
        <v>0</v>
      </c>
      <c r="E2095">
        <v>0</v>
      </c>
      <c r="F2095">
        <v>0</v>
      </c>
      <c r="G2095">
        <v>0</v>
      </c>
      <c r="H2095">
        <v>0</v>
      </c>
      <c r="I2095">
        <v>0</v>
      </c>
      <c r="J2095">
        <v>0</v>
      </c>
      <c r="K2095">
        <v>1</v>
      </c>
    </row>
    <row r="2096" spans="1:11" x14ac:dyDescent="0.2">
      <c r="A2096" t="s">
        <v>4301</v>
      </c>
      <c r="B2096">
        <v>2</v>
      </c>
      <c r="C2096">
        <v>0</v>
      </c>
      <c r="D2096">
        <v>0</v>
      </c>
      <c r="E2096">
        <v>0</v>
      </c>
      <c r="F2096">
        <v>0</v>
      </c>
      <c r="G2096">
        <v>0</v>
      </c>
      <c r="H2096">
        <v>1</v>
      </c>
      <c r="I2096">
        <v>0</v>
      </c>
      <c r="J2096">
        <v>0</v>
      </c>
      <c r="K2096">
        <v>66</v>
      </c>
    </row>
    <row r="2097" spans="1:11" x14ac:dyDescent="0.2">
      <c r="A2097" t="s">
        <v>4302</v>
      </c>
      <c r="B2097">
        <v>2</v>
      </c>
      <c r="C2097">
        <v>0</v>
      </c>
      <c r="D2097">
        <v>0</v>
      </c>
      <c r="E2097">
        <v>0</v>
      </c>
      <c r="F2097">
        <v>0</v>
      </c>
      <c r="G2097">
        <v>0</v>
      </c>
      <c r="H2097">
        <v>1</v>
      </c>
      <c r="I2097">
        <v>0</v>
      </c>
      <c r="J2097">
        <v>0</v>
      </c>
      <c r="K2097">
        <v>29</v>
      </c>
    </row>
    <row r="2098" spans="1:11" x14ac:dyDescent="0.2">
      <c r="A2098" t="s">
        <v>4303</v>
      </c>
      <c r="B2098">
        <v>8</v>
      </c>
      <c r="C2098">
        <v>0</v>
      </c>
      <c r="D2098">
        <v>0</v>
      </c>
      <c r="E2098">
        <v>0</v>
      </c>
      <c r="F2098">
        <v>0</v>
      </c>
      <c r="G2098">
        <v>0</v>
      </c>
      <c r="H2098">
        <v>2</v>
      </c>
      <c r="I2098">
        <v>0</v>
      </c>
      <c r="J2098">
        <v>0</v>
      </c>
      <c r="K2098">
        <v>33</v>
      </c>
    </row>
    <row r="2099" spans="1:11" x14ac:dyDescent="0.2">
      <c r="A2099" t="s">
        <v>4304</v>
      </c>
      <c r="B2099">
        <v>0</v>
      </c>
      <c r="C2099">
        <v>0</v>
      </c>
      <c r="D2099">
        <v>0</v>
      </c>
      <c r="E2099">
        <v>0</v>
      </c>
      <c r="F2099">
        <v>0</v>
      </c>
      <c r="G2099">
        <v>0</v>
      </c>
      <c r="H2099">
        <v>0</v>
      </c>
      <c r="I2099">
        <v>0</v>
      </c>
      <c r="J2099">
        <v>0</v>
      </c>
      <c r="K2099">
        <v>13</v>
      </c>
    </row>
    <row r="2100" spans="1:11" x14ac:dyDescent="0.2">
      <c r="A2100" t="s">
        <v>4305</v>
      </c>
      <c r="B2100">
        <v>7</v>
      </c>
      <c r="C2100">
        <v>0</v>
      </c>
      <c r="D2100">
        <v>0</v>
      </c>
      <c r="E2100">
        <v>0</v>
      </c>
      <c r="F2100">
        <v>0</v>
      </c>
      <c r="G2100">
        <v>0</v>
      </c>
      <c r="H2100">
        <v>1</v>
      </c>
      <c r="I2100">
        <v>0</v>
      </c>
      <c r="J2100">
        <v>0</v>
      </c>
      <c r="K2100">
        <v>60</v>
      </c>
    </row>
    <row r="2101" spans="1:11" x14ac:dyDescent="0.2">
      <c r="A2101" t="s">
        <v>4306</v>
      </c>
      <c r="B2101">
        <v>1</v>
      </c>
      <c r="C2101">
        <v>0</v>
      </c>
      <c r="D2101">
        <v>0</v>
      </c>
      <c r="E2101">
        <v>0</v>
      </c>
      <c r="F2101">
        <v>0</v>
      </c>
      <c r="G2101">
        <v>0</v>
      </c>
      <c r="H2101">
        <v>0</v>
      </c>
      <c r="I2101">
        <v>0</v>
      </c>
      <c r="J2101">
        <v>0</v>
      </c>
      <c r="K2101">
        <v>14</v>
      </c>
    </row>
    <row r="2102" spans="1:11" x14ac:dyDescent="0.2">
      <c r="A2102" t="s">
        <v>4307</v>
      </c>
      <c r="B2102">
        <v>29</v>
      </c>
      <c r="C2102">
        <v>0</v>
      </c>
      <c r="D2102">
        <v>0</v>
      </c>
      <c r="E2102">
        <v>0</v>
      </c>
      <c r="F2102">
        <v>2</v>
      </c>
      <c r="G2102">
        <v>0</v>
      </c>
      <c r="H2102">
        <v>13</v>
      </c>
      <c r="I2102">
        <v>0</v>
      </c>
      <c r="J2102">
        <v>1</v>
      </c>
      <c r="K2102">
        <v>174</v>
      </c>
    </row>
    <row r="2103" spans="1:11" x14ac:dyDescent="0.2">
      <c r="A2103" t="s">
        <v>4308</v>
      </c>
      <c r="B2103">
        <v>1</v>
      </c>
      <c r="C2103">
        <v>0</v>
      </c>
      <c r="D2103">
        <v>0</v>
      </c>
      <c r="E2103">
        <v>0</v>
      </c>
      <c r="F2103">
        <v>0</v>
      </c>
      <c r="G2103">
        <v>0</v>
      </c>
      <c r="H2103">
        <v>0</v>
      </c>
      <c r="I2103">
        <v>0</v>
      </c>
      <c r="J2103">
        <v>0</v>
      </c>
      <c r="K2103">
        <v>3</v>
      </c>
    </row>
    <row r="2104" spans="1:11" x14ac:dyDescent="0.2">
      <c r="A2104" t="s">
        <v>4309</v>
      </c>
      <c r="B2104">
        <v>0</v>
      </c>
      <c r="C2104">
        <v>0</v>
      </c>
      <c r="D2104">
        <v>0</v>
      </c>
      <c r="E2104">
        <v>0</v>
      </c>
      <c r="F2104">
        <v>0</v>
      </c>
      <c r="G2104">
        <v>0</v>
      </c>
      <c r="H2104">
        <v>0</v>
      </c>
      <c r="I2104">
        <v>0</v>
      </c>
      <c r="J2104">
        <v>0</v>
      </c>
      <c r="K2104">
        <v>0</v>
      </c>
    </row>
    <row r="2105" spans="1:11" x14ac:dyDescent="0.2">
      <c r="A2105" t="s">
        <v>4310</v>
      </c>
      <c r="B2105">
        <v>0</v>
      </c>
      <c r="C2105">
        <v>0</v>
      </c>
      <c r="D2105">
        <v>0</v>
      </c>
      <c r="E2105">
        <v>0</v>
      </c>
      <c r="F2105">
        <v>0</v>
      </c>
      <c r="G2105">
        <v>0</v>
      </c>
      <c r="H2105">
        <v>0</v>
      </c>
      <c r="I2105">
        <v>0</v>
      </c>
      <c r="J2105">
        <v>0</v>
      </c>
      <c r="K2105">
        <v>0</v>
      </c>
    </row>
    <row r="2106" spans="1:11" x14ac:dyDescent="0.2">
      <c r="A2106" t="s">
        <v>4311</v>
      </c>
      <c r="B2106">
        <v>0</v>
      </c>
      <c r="C2106">
        <v>0</v>
      </c>
      <c r="D2106">
        <v>0</v>
      </c>
      <c r="E2106">
        <v>0</v>
      </c>
      <c r="F2106">
        <v>0</v>
      </c>
      <c r="G2106">
        <v>0</v>
      </c>
      <c r="H2106">
        <v>0</v>
      </c>
      <c r="I2106">
        <v>0</v>
      </c>
      <c r="J2106">
        <v>0</v>
      </c>
      <c r="K2106">
        <v>0</v>
      </c>
    </row>
    <row r="2107" spans="1:11" x14ac:dyDescent="0.2">
      <c r="A2107" t="s">
        <v>4312</v>
      </c>
      <c r="B2107">
        <v>0</v>
      </c>
      <c r="C2107">
        <v>0</v>
      </c>
      <c r="D2107">
        <v>0</v>
      </c>
      <c r="E2107">
        <v>0</v>
      </c>
      <c r="F2107">
        <v>0</v>
      </c>
      <c r="G2107">
        <v>0</v>
      </c>
      <c r="H2107">
        <v>0</v>
      </c>
      <c r="I2107">
        <v>0</v>
      </c>
      <c r="J2107">
        <v>0</v>
      </c>
      <c r="K2107">
        <v>0</v>
      </c>
    </row>
    <row r="2108" spans="1:11" x14ac:dyDescent="0.2">
      <c r="A2108" t="s">
        <v>4313</v>
      </c>
      <c r="B2108">
        <v>0</v>
      </c>
      <c r="C2108">
        <v>0</v>
      </c>
      <c r="D2108">
        <v>0</v>
      </c>
      <c r="E2108">
        <v>0</v>
      </c>
      <c r="F2108">
        <v>0</v>
      </c>
      <c r="G2108">
        <v>0</v>
      </c>
      <c r="H2108">
        <v>0</v>
      </c>
      <c r="I2108">
        <v>0</v>
      </c>
      <c r="J2108">
        <v>0</v>
      </c>
      <c r="K2108">
        <v>0</v>
      </c>
    </row>
    <row r="2109" spans="1:11" x14ac:dyDescent="0.2">
      <c r="A2109" t="s">
        <v>4314</v>
      </c>
      <c r="B2109">
        <v>0</v>
      </c>
      <c r="C2109">
        <v>0</v>
      </c>
      <c r="D2109">
        <v>0</v>
      </c>
      <c r="E2109">
        <v>0</v>
      </c>
      <c r="F2109">
        <v>0</v>
      </c>
      <c r="G2109">
        <v>0</v>
      </c>
      <c r="H2109">
        <v>0</v>
      </c>
      <c r="I2109">
        <v>0</v>
      </c>
      <c r="J2109">
        <v>0</v>
      </c>
      <c r="K2109">
        <v>0</v>
      </c>
    </row>
    <row r="2110" spans="1:11" x14ac:dyDescent="0.2">
      <c r="A2110" t="s">
        <v>4315</v>
      </c>
      <c r="B2110">
        <v>0</v>
      </c>
      <c r="C2110">
        <v>0</v>
      </c>
      <c r="D2110">
        <v>0</v>
      </c>
      <c r="E2110">
        <v>0</v>
      </c>
      <c r="F2110">
        <v>0</v>
      </c>
      <c r="G2110">
        <v>0</v>
      </c>
      <c r="H2110">
        <v>0</v>
      </c>
      <c r="I2110">
        <v>0</v>
      </c>
      <c r="J2110">
        <v>0</v>
      </c>
      <c r="K2110">
        <v>0</v>
      </c>
    </row>
    <row r="2111" spans="1:11" x14ac:dyDescent="0.2">
      <c r="A2111" t="s">
        <v>4316</v>
      </c>
      <c r="B2111">
        <v>0</v>
      </c>
      <c r="C2111">
        <v>0</v>
      </c>
      <c r="D2111">
        <v>0</v>
      </c>
      <c r="E2111">
        <v>0</v>
      </c>
      <c r="F2111">
        <v>0</v>
      </c>
      <c r="G2111">
        <v>0</v>
      </c>
      <c r="H2111">
        <v>0</v>
      </c>
      <c r="I2111">
        <v>0</v>
      </c>
      <c r="J2111">
        <v>0</v>
      </c>
      <c r="K2111">
        <v>0</v>
      </c>
    </row>
    <row r="2112" spans="1:11" x14ac:dyDescent="0.2">
      <c r="A2112" t="s">
        <v>4317</v>
      </c>
      <c r="B2112">
        <v>0</v>
      </c>
      <c r="C2112">
        <v>0</v>
      </c>
      <c r="D2112">
        <v>0</v>
      </c>
      <c r="E2112">
        <v>0</v>
      </c>
      <c r="F2112">
        <v>0</v>
      </c>
      <c r="G2112">
        <v>0</v>
      </c>
      <c r="H2112">
        <v>0</v>
      </c>
      <c r="I2112">
        <v>0</v>
      </c>
      <c r="J2112">
        <v>0</v>
      </c>
      <c r="K2112">
        <v>0</v>
      </c>
    </row>
    <row r="2113" spans="1:11" x14ac:dyDescent="0.2">
      <c r="A2113" t="s">
        <v>4318</v>
      </c>
      <c r="B2113">
        <v>0</v>
      </c>
      <c r="C2113">
        <v>0</v>
      </c>
      <c r="D2113">
        <v>0</v>
      </c>
      <c r="E2113">
        <v>0</v>
      </c>
      <c r="F2113">
        <v>0</v>
      </c>
      <c r="G2113">
        <v>0</v>
      </c>
      <c r="H2113">
        <v>0</v>
      </c>
      <c r="I2113">
        <v>0</v>
      </c>
      <c r="J2113">
        <v>0</v>
      </c>
      <c r="K2113">
        <v>0</v>
      </c>
    </row>
    <row r="2114" spans="1:11" x14ac:dyDescent="0.2">
      <c r="A2114" t="s">
        <v>4319</v>
      </c>
      <c r="B2114">
        <v>0</v>
      </c>
      <c r="C2114">
        <v>0</v>
      </c>
      <c r="D2114">
        <v>0</v>
      </c>
      <c r="E2114">
        <v>0</v>
      </c>
      <c r="F2114">
        <v>0</v>
      </c>
      <c r="G2114">
        <v>0</v>
      </c>
      <c r="H2114">
        <v>0</v>
      </c>
      <c r="I2114">
        <v>0</v>
      </c>
      <c r="J2114">
        <v>0</v>
      </c>
      <c r="K2114">
        <v>0</v>
      </c>
    </row>
    <row r="2115" spans="1:11" x14ac:dyDescent="0.2">
      <c r="A2115" t="s">
        <v>4320</v>
      </c>
      <c r="B2115">
        <v>0</v>
      </c>
      <c r="C2115">
        <v>0</v>
      </c>
      <c r="D2115">
        <v>0</v>
      </c>
      <c r="E2115">
        <v>0</v>
      </c>
      <c r="F2115">
        <v>0</v>
      </c>
      <c r="G2115">
        <v>0</v>
      </c>
      <c r="H2115">
        <v>0</v>
      </c>
      <c r="I2115">
        <v>0</v>
      </c>
      <c r="J2115">
        <v>0</v>
      </c>
      <c r="K2115">
        <v>0</v>
      </c>
    </row>
    <row r="2116" spans="1:11" x14ac:dyDescent="0.2">
      <c r="A2116" t="s">
        <v>4321</v>
      </c>
      <c r="B2116">
        <v>0</v>
      </c>
      <c r="C2116">
        <v>0</v>
      </c>
      <c r="D2116">
        <v>0</v>
      </c>
      <c r="E2116">
        <v>0</v>
      </c>
      <c r="F2116">
        <v>0</v>
      </c>
      <c r="G2116">
        <v>0</v>
      </c>
      <c r="H2116">
        <v>0</v>
      </c>
      <c r="I2116">
        <v>0</v>
      </c>
      <c r="J2116">
        <v>0</v>
      </c>
      <c r="K2116">
        <v>0</v>
      </c>
    </row>
    <row r="2117" spans="1:11" x14ac:dyDescent="0.2">
      <c r="A2117" t="s">
        <v>4322</v>
      </c>
      <c r="B2117">
        <v>0</v>
      </c>
      <c r="C2117">
        <v>0</v>
      </c>
      <c r="D2117">
        <v>0</v>
      </c>
      <c r="E2117">
        <v>0</v>
      </c>
      <c r="F2117">
        <v>0</v>
      </c>
      <c r="G2117">
        <v>0</v>
      </c>
      <c r="H2117">
        <v>0</v>
      </c>
      <c r="I2117">
        <v>0</v>
      </c>
      <c r="J2117">
        <v>0</v>
      </c>
      <c r="K2117">
        <v>0</v>
      </c>
    </row>
    <row r="2118" spans="1:11" x14ac:dyDescent="0.2">
      <c r="A2118" t="s">
        <v>4323</v>
      </c>
      <c r="B2118">
        <v>0</v>
      </c>
      <c r="C2118">
        <v>0</v>
      </c>
      <c r="D2118">
        <v>0</v>
      </c>
      <c r="E2118">
        <v>0</v>
      </c>
      <c r="F2118">
        <v>0</v>
      </c>
      <c r="G2118">
        <v>0</v>
      </c>
      <c r="H2118">
        <v>0</v>
      </c>
      <c r="I2118">
        <v>0</v>
      </c>
      <c r="J2118">
        <v>0</v>
      </c>
      <c r="K2118">
        <v>0</v>
      </c>
    </row>
    <row r="2119" spans="1:11" x14ac:dyDescent="0.2">
      <c r="A2119" t="s">
        <v>4324</v>
      </c>
      <c r="B2119">
        <v>0</v>
      </c>
      <c r="C2119">
        <v>0</v>
      </c>
      <c r="D2119">
        <v>0</v>
      </c>
      <c r="E2119">
        <v>0</v>
      </c>
      <c r="F2119">
        <v>0</v>
      </c>
      <c r="G2119">
        <v>0</v>
      </c>
      <c r="H2119">
        <v>0</v>
      </c>
      <c r="I2119">
        <v>0</v>
      </c>
      <c r="J2119">
        <v>0</v>
      </c>
      <c r="K2119">
        <v>0</v>
      </c>
    </row>
    <row r="2120" spans="1:11" x14ac:dyDescent="0.2">
      <c r="A2120" t="s">
        <v>4325</v>
      </c>
      <c r="B2120">
        <v>0</v>
      </c>
      <c r="C2120">
        <v>0</v>
      </c>
      <c r="D2120">
        <v>0</v>
      </c>
      <c r="E2120">
        <v>0</v>
      </c>
      <c r="F2120">
        <v>0</v>
      </c>
      <c r="G2120">
        <v>0</v>
      </c>
      <c r="H2120">
        <v>0</v>
      </c>
      <c r="I2120">
        <v>0</v>
      </c>
      <c r="J2120">
        <v>0</v>
      </c>
      <c r="K2120">
        <v>0</v>
      </c>
    </row>
    <row r="2121" spans="1:11" x14ac:dyDescent="0.2">
      <c r="A2121" t="s">
        <v>4326</v>
      </c>
      <c r="B2121">
        <v>0</v>
      </c>
      <c r="C2121">
        <v>0</v>
      </c>
      <c r="D2121">
        <v>0</v>
      </c>
      <c r="E2121">
        <v>0</v>
      </c>
      <c r="F2121">
        <v>0</v>
      </c>
      <c r="G2121">
        <v>0</v>
      </c>
      <c r="H2121">
        <v>0</v>
      </c>
      <c r="I2121">
        <v>0</v>
      </c>
      <c r="J2121">
        <v>0</v>
      </c>
      <c r="K2121">
        <v>0</v>
      </c>
    </row>
    <row r="2122" spans="1:11" x14ac:dyDescent="0.2">
      <c r="A2122" t="s">
        <v>4327</v>
      </c>
      <c r="B2122">
        <v>0</v>
      </c>
      <c r="C2122">
        <v>0</v>
      </c>
      <c r="D2122">
        <v>0</v>
      </c>
      <c r="E2122">
        <v>0</v>
      </c>
      <c r="F2122">
        <v>0</v>
      </c>
      <c r="G2122">
        <v>0</v>
      </c>
      <c r="H2122">
        <v>0</v>
      </c>
      <c r="I2122">
        <v>0</v>
      </c>
      <c r="J2122">
        <v>0</v>
      </c>
      <c r="K2122">
        <v>0</v>
      </c>
    </row>
    <row r="2123" spans="1:11" x14ac:dyDescent="0.2">
      <c r="A2123" t="s">
        <v>4328</v>
      </c>
      <c r="B2123">
        <v>0</v>
      </c>
      <c r="C2123">
        <v>0</v>
      </c>
      <c r="D2123">
        <v>0</v>
      </c>
      <c r="E2123">
        <v>0</v>
      </c>
      <c r="F2123">
        <v>0</v>
      </c>
      <c r="G2123">
        <v>0</v>
      </c>
      <c r="H2123">
        <v>0</v>
      </c>
      <c r="I2123">
        <v>0</v>
      </c>
      <c r="J2123">
        <v>0</v>
      </c>
      <c r="K2123">
        <v>0</v>
      </c>
    </row>
    <row r="2124" spans="1:11" x14ac:dyDescent="0.2">
      <c r="A2124" t="s">
        <v>4329</v>
      </c>
      <c r="B2124">
        <v>0</v>
      </c>
      <c r="C2124">
        <v>0</v>
      </c>
      <c r="D2124">
        <v>0</v>
      </c>
      <c r="E2124">
        <v>0</v>
      </c>
      <c r="F2124">
        <v>0</v>
      </c>
      <c r="G2124">
        <v>0</v>
      </c>
      <c r="H2124">
        <v>0</v>
      </c>
      <c r="I2124">
        <v>0</v>
      </c>
      <c r="J2124">
        <v>0</v>
      </c>
      <c r="K2124">
        <v>0</v>
      </c>
    </row>
    <row r="2125" spans="1:11" x14ac:dyDescent="0.2">
      <c r="A2125" t="s">
        <v>4330</v>
      </c>
      <c r="B2125">
        <v>0</v>
      </c>
      <c r="C2125">
        <v>0</v>
      </c>
      <c r="D2125">
        <v>0</v>
      </c>
      <c r="E2125">
        <v>0</v>
      </c>
      <c r="F2125">
        <v>0</v>
      </c>
      <c r="G2125">
        <v>0</v>
      </c>
      <c r="H2125">
        <v>0</v>
      </c>
      <c r="I2125">
        <v>0</v>
      </c>
      <c r="J2125">
        <v>0</v>
      </c>
      <c r="K2125">
        <v>0</v>
      </c>
    </row>
    <row r="2126" spans="1:11" x14ac:dyDescent="0.2">
      <c r="A2126" t="s">
        <v>4331</v>
      </c>
      <c r="B2126">
        <v>0</v>
      </c>
      <c r="C2126">
        <v>0</v>
      </c>
      <c r="D2126">
        <v>0</v>
      </c>
      <c r="E2126">
        <v>0</v>
      </c>
      <c r="F2126">
        <v>0</v>
      </c>
      <c r="G2126">
        <v>0</v>
      </c>
      <c r="H2126">
        <v>0</v>
      </c>
      <c r="I2126">
        <v>0</v>
      </c>
      <c r="J2126">
        <v>0</v>
      </c>
      <c r="K2126">
        <v>0</v>
      </c>
    </row>
    <row r="2127" spans="1:11" x14ac:dyDescent="0.2">
      <c r="A2127" t="s">
        <v>4332</v>
      </c>
      <c r="B2127">
        <v>0</v>
      </c>
      <c r="C2127">
        <v>0</v>
      </c>
      <c r="D2127">
        <v>0</v>
      </c>
      <c r="E2127">
        <v>0</v>
      </c>
      <c r="F2127">
        <v>0</v>
      </c>
      <c r="G2127">
        <v>0</v>
      </c>
      <c r="H2127">
        <v>0</v>
      </c>
      <c r="I2127">
        <v>0</v>
      </c>
      <c r="J2127">
        <v>0</v>
      </c>
      <c r="K2127">
        <v>0</v>
      </c>
    </row>
    <row r="2128" spans="1:11" x14ac:dyDescent="0.2">
      <c r="A2128" t="s">
        <v>4333</v>
      </c>
      <c r="B2128">
        <v>0</v>
      </c>
      <c r="C2128">
        <v>0</v>
      </c>
      <c r="D2128">
        <v>0</v>
      </c>
      <c r="E2128">
        <v>0</v>
      </c>
      <c r="F2128">
        <v>0</v>
      </c>
      <c r="G2128">
        <v>0</v>
      </c>
      <c r="H2128">
        <v>0</v>
      </c>
      <c r="I2128">
        <v>0</v>
      </c>
      <c r="J2128">
        <v>0</v>
      </c>
      <c r="K2128">
        <v>0</v>
      </c>
    </row>
    <row r="2129" spans="1:11" x14ac:dyDescent="0.2">
      <c r="A2129" t="s">
        <v>4334</v>
      </c>
      <c r="B2129">
        <v>0</v>
      </c>
      <c r="C2129">
        <v>0</v>
      </c>
      <c r="D2129">
        <v>0</v>
      </c>
      <c r="E2129">
        <v>0</v>
      </c>
      <c r="F2129">
        <v>0</v>
      </c>
      <c r="G2129">
        <v>0</v>
      </c>
      <c r="H2129">
        <v>0</v>
      </c>
      <c r="I2129">
        <v>0</v>
      </c>
      <c r="J2129">
        <v>0</v>
      </c>
      <c r="K2129">
        <v>0</v>
      </c>
    </row>
    <row r="2130" spans="1:11" x14ac:dyDescent="0.2">
      <c r="A2130" t="s">
        <v>4335</v>
      </c>
      <c r="B2130">
        <v>0</v>
      </c>
      <c r="C2130">
        <v>0</v>
      </c>
      <c r="D2130">
        <v>0</v>
      </c>
      <c r="E2130">
        <v>0</v>
      </c>
      <c r="F2130">
        <v>0</v>
      </c>
      <c r="G2130">
        <v>0</v>
      </c>
      <c r="H2130">
        <v>0</v>
      </c>
      <c r="I2130">
        <v>0</v>
      </c>
      <c r="J2130">
        <v>0</v>
      </c>
      <c r="K2130">
        <v>0</v>
      </c>
    </row>
    <row r="2131" spans="1:11" x14ac:dyDescent="0.2">
      <c r="A2131" t="s">
        <v>4336</v>
      </c>
      <c r="B2131">
        <v>0</v>
      </c>
      <c r="C2131">
        <v>0</v>
      </c>
      <c r="D2131">
        <v>0</v>
      </c>
      <c r="E2131">
        <v>0</v>
      </c>
      <c r="F2131">
        <v>0</v>
      </c>
      <c r="G2131">
        <v>0</v>
      </c>
      <c r="H2131">
        <v>0</v>
      </c>
      <c r="I2131">
        <v>0</v>
      </c>
      <c r="J2131">
        <v>0</v>
      </c>
      <c r="K2131">
        <v>0</v>
      </c>
    </row>
    <row r="2132" spans="1:11" x14ac:dyDescent="0.2">
      <c r="A2132" t="s">
        <v>4337</v>
      </c>
      <c r="B2132">
        <v>0</v>
      </c>
      <c r="C2132">
        <v>0</v>
      </c>
      <c r="D2132">
        <v>0</v>
      </c>
      <c r="E2132">
        <v>0</v>
      </c>
      <c r="F2132">
        <v>0</v>
      </c>
      <c r="G2132">
        <v>0</v>
      </c>
      <c r="H2132">
        <v>0</v>
      </c>
      <c r="I2132">
        <v>0</v>
      </c>
      <c r="J2132">
        <v>0</v>
      </c>
      <c r="K2132">
        <v>0</v>
      </c>
    </row>
    <row r="2133" spans="1:11" x14ac:dyDescent="0.2">
      <c r="A2133" t="s">
        <v>4338</v>
      </c>
      <c r="B2133">
        <v>0</v>
      </c>
      <c r="C2133">
        <v>0</v>
      </c>
      <c r="D2133">
        <v>0</v>
      </c>
      <c r="E2133">
        <v>0</v>
      </c>
      <c r="F2133">
        <v>0</v>
      </c>
      <c r="G2133">
        <v>0</v>
      </c>
      <c r="H2133">
        <v>0</v>
      </c>
      <c r="I2133">
        <v>0</v>
      </c>
      <c r="J2133">
        <v>0</v>
      </c>
      <c r="K2133">
        <v>0</v>
      </c>
    </row>
    <row r="2134" spans="1:11" x14ac:dyDescent="0.2">
      <c r="A2134" t="s">
        <v>4339</v>
      </c>
      <c r="B2134">
        <v>0</v>
      </c>
      <c r="C2134">
        <v>0</v>
      </c>
      <c r="D2134">
        <v>0</v>
      </c>
      <c r="E2134">
        <v>0</v>
      </c>
      <c r="F2134">
        <v>0</v>
      </c>
      <c r="G2134">
        <v>0</v>
      </c>
      <c r="H2134">
        <v>0</v>
      </c>
      <c r="I2134">
        <v>0</v>
      </c>
      <c r="J2134">
        <v>0</v>
      </c>
      <c r="K2134">
        <v>0</v>
      </c>
    </row>
    <row r="2135" spans="1:11" x14ac:dyDescent="0.2">
      <c r="A2135" t="s">
        <v>4340</v>
      </c>
      <c r="B2135">
        <v>0</v>
      </c>
      <c r="C2135">
        <v>0</v>
      </c>
      <c r="D2135">
        <v>0</v>
      </c>
      <c r="E2135">
        <v>0</v>
      </c>
      <c r="F2135">
        <v>0</v>
      </c>
      <c r="G2135">
        <v>0</v>
      </c>
      <c r="H2135">
        <v>0</v>
      </c>
      <c r="I2135">
        <v>0</v>
      </c>
      <c r="J2135">
        <v>0</v>
      </c>
      <c r="K2135">
        <v>0</v>
      </c>
    </row>
    <row r="2136" spans="1:11" x14ac:dyDescent="0.2">
      <c r="A2136" t="s">
        <v>4341</v>
      </c>
      <c r="B2136">
        <v>0</v>
      </c>
      <c r="C2136">
        <v>0</v>
      </c>
      <c r="D2136">
        <v>0</v>
      </c>
      <c r="E2136">
        <v>0</v>
      </c>
      <c r="F2136">
        <v>0</v>
      </c>
      <c r="G2136">
        <v>0</v>
      </c>
      <c r="H2136">
        <v>0</v>
      </c>
      <c r="I2136">
        <v>0</v>
      </c>
      <c r="J2136">
        <v>0</v>
      </c>
      <c r="K2136">
        <v>0</v>
      </c>
    </row>
    <row r="2137" spans="1:11" x14ac:dyDescent="0.2">
      <c r="A2137" t="s">
        <v>4342</v>
      </c>
      <c r="B2137">
        <v>0</v>
      </c>
      <c r="C2137">
        <v>0</v>
      </c>
      <c r="D2137">
        <v>0</v>
      </c>
      <c r="E2137">
        <v>0</v>
      </c>
      <c r="F2137">
        <v>0</v>
      </c>
      <c r="G2137">
        <v>0</v>
      </c>
      <c r="H2137">
        <v>0</v>
      </c>
      <c r="I2137">
        <v>0</v>
      </c>
      <c r="J2137">
        <v>0</v>
      </c>
      <c r="K2137">
        <v>0</v>
      </c>
    </row>
    <row r="2138" spans="1:11" x14ac:dyDescent="0.2">
      <c r="A2138" t="s">
        <v>4343</v>
      </c>
      <c r="B2138">
        <v>0</v>
      </c>
      <c r="C2138">
        <v>0</v>
      </c>
      <c r="D2138">
        <v>0</v>
      </c>
      <c r="E2138">
        <v>0</v>
      </c>
      <c r="F2138">
        <v>0</v>
      </c>
      <c r="G2138">
        <v>0</v>
      </c>
      <c r="H2138">
        <v>0</v>
      </c>
      <c r="I2138">
        <v>0</v>
      </c>
      <c r="J2138">
        <v>0</v>
      </c>
      <c r="K2138">
        <v>0</v>
      </c>
    </row>
    <row r="2139" spans="1:11" x14ac:dyDescent="0.2">
      <c r="A2139" t="s">
        <v>1728</v>
      </c>
      <c r="B2139">
        <v>0</v>
      </c>
      <c r="C2139">
        <v>0</v>
      </c>
      <c r="D2139">
        <v>0</v>
      </c>
      <c r="E2139">
        <v>0</v>
      </c>
      <c r="F2139">
        <v>0</v>
      </c>
      <c r="G2139">
        <v>0</v>
      </c>
      <c r="H2139">
        <v>0</v>
      </c>
      <c r="I2139">
        <v>0</v>
      </c>
      <c r="J2139">
        <v>0</v>
      </c>
      <c r="K2139">
        <v>0</v>
      </c>
    </row>
    <row r="2140" spans="1:11" x14ac:dyDescent="0.2">
      <c r="A2140" t="s">
        <v>1730</v>
      </c>
      <c r="B2140">
        <v>2</v>
      </c>
      <c r="C2140">
        <v>0</v>
      </c>
      <c r="D2140">
        <v>0</v>
      </c>
      <c r="E2140">
        <v>0</v>
      </c>
      <c r="F2140">
        <v>0</v>
      </c>
      <c r="G2140">
        <v>0</v>
      </c>
      <c r="H2140">
        <v>17</v>
      </c>
      <c r="I2140">
        <v>0</v>
      </c>
      <c r="J2140">
        <v>2</v>
      </c>
      <c r="K2140">
        <v>199</v>
      </c>
    </row>
    <row r="2141" spans="1:11" x14ac:dyDescent="0.2">
      <c r="A2141" t="s">
        <v>1733</v>
      </c>
      <c r="B2141">
        <v>0</v>
      </c>
      <c r="C2141">
        <v>0</v>
      </c>
      <c r="D2141">
        <v>0</v>
      </c>
      <c r="E2141">
        <v>0</v>
      </c>
      <c r="F2141">
        <v>0</v>
      </c>
      <c r="G2141">
        <v>0</v>
      </c>
      <c r="H2141">
        <v>173</v>
      </c>
      <c r="I2141">
        <v>0</v>
      </c>
      <c r="J2141">
        <v>20</v>
      </c>
      <c r="K2141">
        <v>2061</v>
      </c>
    </row>
    <row r="2142" spans="1:11" x14ac:dyDescent="0.2">
      <c r="A2142" t="s">
        <v>1738</v>
      </c>
      <c r="B2142">
        <v>0</v>
      </c>
      <c r="C2142">
        <v>0</v>
      </c>
      <c r="D2142">
        <v>0</v>
      </c>
      <c r="E2142">
        <v>0</v>
      </c>
      <c r="F2142">
        <v>0</v>
      </c>
      <c r="G2142">
        <v>0</v>
      </c>
      <c r="H2142">
        <v>60</v>
      </c>
      <c r="I2142">
        <v>0</v>
      </c>
      <c r="J2142">
        <v>7</v>
      </c>
      <c r="K2142">
        <v>738</v>
      </c>
    </row>
    <row r="2143" spans="1:11" x14ac:dyDescent="0.2">
      <c r="A2143" t="s">
        <v>1744</v>
      </c>
      <c r="B2143">
        <v>0</v>
      </c>
      <c r="C2143">
        <v>0</v>
      </c>
      <c r="D2143">
        <v>0</v>
      </c>
      <c r="E2143">
        <v>0</v>
      </c>
      <c r="F2143">
        <v>0</v>
      </c>
      <c r="G2143">
        <v>0</v>
      </c>
      <c r="H2143">
        <v>0</v>
      </c>
      <c r="I2143">
        <v>0</v>
      </c>
      <c r="J2143">
        <v>0</v>
      </c>
      <c r="K2143">
        <v>0</v>
      </c>
    </row>
    <row r="2144" spans="1:11" x14ac:dyDescent="0.2">
      <c r="A2144" t="s">
        <v>1747</v>
      </c>
      <c r="B2144">
        <v>0</v>
      </c>
      <c r="C2144">
        <v>0</v>
      </c>
      <c r="D2144">
        <v>0</v>
      </c>
      <c r="E2144">
        <v>0</v>
      </c>
      <c r="F2144">
        <v>0</v>
      </c>
      <c r="G2144">
        <v>0</v>
      </c>
      <c r="H2144">
        <v>0</v>
      </c>
      <c r="I2144">
        <v>0</v>
      </c>
      <c r="J2144">
        <v>0</v>
      </c>
      <c r="K2144">
        <v>0</v>
      </c>
    </row>
    <row r="2145" spans="1:11" x14ac:dyDescent="0.2">
      <c r="A2145" t="s">
        <v>1751</v>
      </c>
      <c r="B2145">
        <v>0</v>
      </c>
      <c r="C2145">
        <v>0</v>
      </c>
      <c r="D2145">
        <v>0</v>
      </c>
      <c r="E2145">
        <v>0</v>
      </c>
      <c r="F2145">
        <v>0</v>
      </c>
      <c r="G2145">
        <v>0</v>
      </c>
      <c r="H2145">
        <v>0</v>
      </c>
      <c r="I2145">
        <v>0</v>
      </c>
      <c r="J2145">
        <v>0</v>
      </c>
      <c r="K2145">
        <v>0</v>
      </c>
    </row>
    <row r="2146" spans="1:11" x14ac:dyDescent="0.2">
      <c r="A2146" t="s">
        <v>1755</v>
      </c>
      <c r="B2146">
        <v>1</v>
      </c>
      <c r="C2146">
        <v>0</v>
      </c>
      <c r="D2146">
        <v>0</v>
      </c>
      <c r="E2146">
        <v>0</v>
      </c>
      <c r="F2146">
        <v>0</v>
      </c>
      <c r="G2146">
        <v>0</v>
      </c>
      <c r="H2146">
        <v>1</v>
      </c>
      <c r="I2146">
        <v>0</v>
      </c>
      <c r="J2146">
        <v>0</v>
      </c>
      <c r="K2146">
        <v>12</v>
      </c>
    </row>
    <row r="2147" spans="1:11" x14ac:dyDescent="0.2">
      <c r="A2147" t="s">
        <v>1757</v>
      </c>
      <c r="B2147">
        <v>1</v>
      </c>
      <c r="C2147">
        <v>0</v>
      </c>
      <c r="D2147">
        <v>0</v>
      </c>
      <c r="E2147">
        <v>0</v>
      </c>
      <c r="F2147">
        <v>0</v>
      </c>
      <c r="G2147">
        <v>0</v>
      </c>
      <c r="H2147">
        <v>1</v>
      </c>
      <c r="I2147">
        <v>0</v>
      </c>
      <c r="J2147">
        <v>0</v>
      </c>
      <c r="K2147">
        <v>9</v>
      </c>
    </row>
    <row r="2148" spans="1:11" x14ac:dyDescent="0.2">
      <c r="A2148" t="s">
        <v>1761</v>
      </c>
      <c r="B2148">
        <v>0</v>
      </c>
      <c r="C2148">
        <v>0</v>
      </c>
      <c r="D2148">
        <v>0</v>
      </c>
      <c r="E2148">
        <v>0</v>
      </c>
      <c r="F2148">
        <v>0</v>
      </c>
      <c r="G2148">
        <v>0</v>
      </c>
      <c r="H2148">
        <v>0</v>
      </c>
      <c r="I2148">
        <v>0</v>
      </c>
      <c r="J2148">
        <v>0</v>
      </c>
      <c r="K2148">
        <v>0</v>
      </c>
    </row>
    <row r="2149" spans="1:11" x14ac:dyDescent="0.2">
      <c r="A2149" t="s">
        <v>1764</v>
      </c>
      <c r="B2149">
        <v>0</v>
      </c>
      <c r="C2149">
        <v>0</v>
      </c>
      <c r="D2149">
        <v>0</v>
      </c>
      <c r="E2149">
        <v>0</v>
      </c>
      <c r="F2149">
        <v>0</v>
      </c>
      <c r="G2149">
        <v>0</v>
      </c>
      <c r="H2149">
        <v>0</v>
      </c>
      <c r="I2149">
        <v>0</v>
      </c>
      <c r="J2149">
        <v>0</v>
      </c>
      <c r="K2149">
        <v>0</v>
      </c>
    </row>
    <row r="2150" spans="1:11" x14ac:dyDescent="0.2">
      <c r="A2150" t="s">
        <v>1770</v>
      </c>
      <c r="B2150">
        <v>10</v>
      </c>
      <c r="C2150">
        <v>0</v>
      </c>
      <c r="D2150">
        <v>0</v>
      </c>
      <c r="E2150">
        <v>0</v>
      </c>
      <c r="F2150">
        <v>1</v>
      </c>
      <c r="G2150">
        <v>0</v>
      </c>
      <c r="H2150">
        <v>7</v>
      </c>
      <c r="I2150">
        <v>0</v>
      </c>
      <c r="J2150">
        <v>1</v>
      </c>
      <c r="K2150">
        <v>635</v>
      </c>
    </row>
    <row r="2151" spans="1:11" x14ac:dyDescent="0.2">
      <c r="A2151" t="s">
        <v>1772</v>
      </c>
      <c r="B2151">
        <v>4</v>
      </c>
      <c r="C2151">
        <v>0</v>
      </c>
      <c r="D2151">
        <v>0</v>
      </c>
      <c r="E2151">
        <v>0</v>
      </c>
      <c r="F2151">
        <v>0</v>
      </c>
      <c r="G2151">
        <v>0</v>
      </c>
      <c r="H2151">
        <v>3</v>
      </c>
      <c r="I2151">
        <v>0</v>
      </c>
      <c r="J2151">
        <v>0</v>
      </c>
      <c r="K2151">
        <v>273</v>
      </c>
    </row>
    <row r="2152" spans="1:11" x14ac:dyDescent="0.2">
      <c r="A2152" t="s">
        <v>1774</v>
      </c>
      <c r="B2152">
        <v>1</v>
      </c>
      <c r="C2152">
        <v>0</v>
      </c>
      <c r="D2152">
        <v>0</v>
      </c>
      <c r="E2152">
        <v>0</v>
      </c>
      <c r="F2152">
        <v>0</v>
      </c>
      <c r="G2152">
        <v>0</v>
      </c>
      <c r="H2152">
        <v>0</v>
      </c>
      <c r="I2152">
        <v>0</v>
      </c>
      <c r="J2152">
        <v>0</v>
      </c>
      <c r="K2152">
        <v>0</v>
      </c>
    </row>
    <row r="2153" spans="1:11" x14ac:dyDescent="0.2">
      <c r="A2153" t="s">
        <v>1777</v>
      </c>
      <c r="B2153">
        <v>0</v>
      </c>
      <c r="C2153">
        <v>0</v>
      </c>
      <c r="D2153">
        <v>0</v>
      </c>
      <c r="E2153">
        <v>0</v>
      </c>
      <c r="F2153">
        <v>0</v>
      </c>
      <c r="G2153">
        <v>0</v>
      </c>
      <c r="H2153">
        <v>12</v>
      </c>
      <c r="I2153">
        <v>0</v>
      </c>
      <c r="J2153">
        <v>1</v>
      </c>
      <c r="K2153">
        <v>600</v>
      </c>
    </row>
    <row r="2154" spans="1:11" x14ac:dyDescent="0.2">
      <c r="A2154" t="s">
        <v>1782</v>
      </c>
      <c r="B2154">
        <v>0</v>
      </c>
      <c r="C2154">
        <v>0</v>
      </c>
      <c r="D2154">
        <v>0</v>
      </c>
      <c r="E2154">
        <v>0</v>
      </c>
      <c r="F2154">
        <v>0</v>
      </c>
      <c r="G2154">
        <v>0</v>
      </c>
      <c r="H2154">
        <v>0</v>
      </c>
      <c r="I2154">
        <v>0</v>
      </c>
      <c r="J2154">
        <v>0</v>
      </c>
      <c r="K2154">
        <v>0</v>
      </c>
    </row>
    <row r="2155" spans="1:11" x14ac:dyDescent="0.2">
      <c r="A2155" t="s">
        <v>1274</v>
      </c>
      <c r="B2155">
        <v>0</v>
      </c>
      <c r="C2155">
        <v>0</v>
      </c>
      <c r="D2155">
        <v>0</v>
      </c>
      <c r="E2155">
        <v>0</v>
      </c>
      <c r="F2155">
        <v>0</v>
      </c>
      <c r="G2155">
        <v>0</v>
      </c>
      <c r="H2155">
        <v>0</v>
      </c>
      <c r="I2155">
        <v>0</v>
      </c>
      <c r="J2155">
        <v>0</v>
      </c>
      <c r="K2155">
        <v>0</v>
      </c>
    </row>
    <row r="2156" spans="1:11" x14ac:dyDescent="0.2">
      <c r="A2156" t="s">
        <v>1277</v>
      </c>
      <c r="B2156">
        <v>1</v>
      </c>
      <c r="C2156">
        <v>0</v>
      </c>
      <c r="D2156">
        <v>0</v>
      </c>
      <c r="E2156">
        <v>0</v>
      </c>
      <c r="F2156">
        <v>0</v>
      </c>
      <c r="G2156">
        <v>0</v>
      </c>
      <c r="H2156">
        <v>0</v>
      </c>
      <c r="I2156">
        <v>0</v>
      </c>
      <c r="J2156">
        <v>0</v>
      </c>
      <c r="K2156">
        <v>0</v>
      </c>
    </row>
    <row r="2157" spans="1:11" x14ac:dyDescent="0.2">
      <c r="A2157" t="s">
        <v>1798</v>
      </c>
      <c r="B2157">
        <v>0</v>
      </c>
      <c r="C2157">
        <v>0</v>
      </c>
      <c r="D2157">
        <v>0</v>
      </c>
      <c r="E2157">
        <v>0</v>
      </c>
      <c r="F2157">
        <v>0</v>
      </c>
      <c r="G2157">
        <v>0</v>
      </c>
      <c r="H2157">
        <v>0</v>
      </c>
      <c r="I2157">
        <v>0</v>
      </c>
      <c r="J2157">
        <v>0</v>
      </c>
      <c r="K2157">
        <v>0</v>
      </c>
    </row>
    <row r="2158" spans="1:11" x14ac:dyDescent="0.2">
      <c r="A2158" t="s">
        <v>1803</v>
      </c>
      <c r="B2158">
        <v>0</v>
      </c>
      <c r="C2158">
        <v>0</v>
      </c>
      <c r="D2158">
        <v>0</v>
      </c>
      <c r="E2158">
        <v>0</v>
      </c>
      <c r="F2158">
        <v>0</v>
      </c>
      <c r="G2158">
        <v>0</v>
      </c>
      <c r="H2158">
        <v>0</v>
      </c>
      <c r="I2158">
        <v>0</v>
      </c>
      <c r="J2158">
        <v>0</v>
      </c>
      <c r="K2158">
        <v>0</v>
      </c>
    </row>
    <row r="2159" spans="1:11" x14ac:dyDescent="0.2">
      <c r="A2159" t="s">
        <v>1808</v>
      </c>
      <c r="B2159">
        <v>0</v>
      </c>
      <c r="C2159">
        <v>0</v>
      </c>
      <c r="D2159">
        <v>0</v>
      </c>
      <c r="E2159">
        <v>0</v>
      </c>
      <c r="F2159">
        <v>0</v>
      </c>
      <c r="G2159">
        <v>0</v>
      </c>
      <c r="H2159">
        <v>0</v>
      </c>
      <c r="I2159">
        <v>0</v>
      </c>
      <c r="J2159">
        <v>0</v>
      </c>
      <c r="K2159">
        <v>0</v>
      </c>
    </row>
    <row r="2160" spans="1:11" x14ac:dyDescent="0.2">
      <c r="A2160" t="s">
        <v>1813</v>
      </c>
      <c r="B2160">
        <v>0</v>
      </c>
      <c r="C2160">
        <v>0</v>
      </c>
      <c r="D2160">
        <v>0</v>
      </c>
      <c r="E2160">
        <v>0</v>
      </c>
      <c r="F2160">
        <v>0</v>
      </c>
      <c r="G2160">
        <v>0</v>
      </c>
      <c r="H2160">
        <v>0</v>
      </c>
      <c r="I2160">
        <v>0</v>
      </c>
      <c r="J2160">
        <v>0</v>
      </c>
      <c r="K2160">
        <v>0</v>
      </c>
    </row>
    <row r="2161" spans="1:11" x14ac:dyDescent="0.2">
      <c r="A2161" t="s">
        <v>1819</v>
      </c>
      <c r="B2161">
        <v>0</v>
      </c>
      <c r="C2161">
        <v>0</v>
      </c>
      <c r="D2161">
        <v>0</v>
      </c>
      <c r="E2161">
        <v>0</v>
      </c>
      <c r="F2161">
        <v>0</v>
      </c>
      <c r="G2161">
        <v>0</v>
      </c>
      <c r="H2161">
        <v>0</v>
      </c>
      <c r="I2161">
        <v>0</v>
      </c>
      <c r="J2161">
        <v>0</v>
      </c>
      <c r="K2161">
        <v>0</v>
      </c>
    </row>
    <row r="2162" spans="1:11" x14ac:dyDescent="0.2">
      <c r="A2162" t="s">
        <v>1826</v>
      </c>
      <c r="B2162">
        <v>0</v>
      </c>
      <c r="C2162">
        <v>0</v>
      </c>
      <c r="D2162">
        <v>0</v>
      </c>
      <c r="E2162">
        <v>0</v>
      </c>
      <c r="F2162">
        <v>0</v>
      </c>
      <c r="G2162">
        <v>0</v>
      </c>
      <c r="H2162">
        <v>0</v>
      </c>
      <c r="I2162">
        <v>0</v>
      </c>
      <c r="J2162">
        <v>0</v>
      </c>
      <c r="K2162">
        <v>0</v>
      </c>
    </row>
    <row r="2163" spans="1:11" x14ac:dyDescent="0.2">
      <c r="A2163" t="s">
        <v>1830</v>
      </c>
      <c r="B2163">
        <v>0</v>
      </c>
      <c r="C2163">
        <v>0</v>
      </c>
      <c r="D2163">
        <v>0</v>
      </c>
      <c r="E2163">
        <v>0</v>
      </c>
      <c r="F2163">
        <v>0</v>
      </c>
      <c r="G2163">
        <v>0</v>
      </c>
      <c r="H2163">
        <v>0</v>
      </c>
      <c r="I2163">
        <v>0</v>
      </c>
      <c r="J2163">
        <v>0</v>
      </c>
      <c r="K2163">
        <v>0</v>
      </c>
    </row>
    <row r="2164" spans="1:11" x14ac:dyDescent="0.2">
      <c r="A2164" t="s">
        <v>1836</v>
      </c>
      <c r="B2164">
        <v>0</v>
      </c>
      <c r="C2164">
        <v>0</v>
      </c>
      <c r="D2164">
        <v>0</v>
      </c>
      <c r="E2164">
        <v>0</v>
      </c>
      <c r="F2164">
        <v>0</v>
      </c>
      <c r="G2164">
        <v>0</v>
      </c>
      <c r="H2164">
        <v>0</v>
      </c>
      <c r="I2164">
        <v>0</v>
      </c>
      <c r="J2164">
        <v>0</v>
      </c>
      <c r="K2164">
        <v>0</v>
      </c>
    </row>
    <row r="2165" spans="1:11" x14ac:dyDescent="0.2">
      <c r="A2165" t="s">
        <v>1841</v>
      </c>
      <c r="B2165">
        <v>0</v>
      </c>
      <c r="C2165">
        <v>0</v>
      </c>
      <c r="D2165">
        <v>0</v>
      </c>
      <c r="E2165">
        <v>0</v>
      </c>
      <c r="F2165">
        <v>0</v>
      </c>
      <c r="G2165">
        <v>0</v>
      </c>
      <c r="H2165">
        <v>0</v>
      </c>
      <c r="I2165">
        <v>0</v>
      </c>
      <c r="J2165">
        <v>0</v>
      </c>
      <c r="K2165">
        <v>0</v>
      </c>
    </row>
    <row r="2166" spans="1:11" x14ac:dyDescent="0.2">
      <c r="A2166" t="s">
        <v>1842</v>
      </c>
      <c r="B2166">
        <v>14</v>
      </c>
      <c r="C2166">
        <v>0</v>
      </c>
      <c r="D2166">
        <v>0</v>
      </c>
      <c r="E2166">
        <v>0</v>
      </c>
      <c r="F2166">
        <v>1</v>
      </c>
      <c r="G2166">
        <v>0</v>
      </c>
      <c r="H2166">
        <v>0</v>
      </c>
      <c r="I2166">
        <v>0</v>
      </c>
      <c r="J2166">
        <v>0</v>
      </c>
      <c r="K2166">
        <v>16</v>
      </c>
    </row>
    <row r="2167" spans="1:11" x14ac:dyDescent="0.2">
      <c r="A2167" t="s">
        <v>1843</v>
      </c>
      <c r="B2167">
        <v>0</v>
      </c>
      <c r="C2167">
        <v>0</v>
      </c>
      <c r="D2167">
        <v>0</v>
      </c>
      <c r="E2167">
        <v>0</v>
      </c>
      <c r="F2167">
        <v>0</v>
      </c>
      <c r="G2167">
        <v>0</v>
      </c>
      <c r="H2167">
        <v>0</v>
      </c>
      <c r="I2167">
        <v>0</v>
      </c>
      <c r="J2167">
        <v>0</v>
      </c>
      <c r="K2167">
        <v>0</v>
      </c>
    </row>
    <row r="2168" spans="1:11" x14ac:dyDescent="0.2">
      <c r="A2168" t="s">
        <v>1846</v>
      </c>
      <c r="B2168">
        <v>0</v>
      </c>
      <c r="C2168">
        <v>0</v>
      </c>
      <c r="D2168">
        <v>0</v>
      </c>
      <c r="E2168">
        <v>0</v>
      </c>
      <c r="F2168">
        <v>0</v>
      </c>
      <c r="G2168">
        <v>0</v>
      </c>
      <c r="H2168">
        <v>0</v>
      </c>
      <c r="I2168">
        <v>0</v>
      </c>
      <c r="J2168">
        <v>0</v>
      </c>
      <c r="K2168">
        <v>0</v>
      </c>
    </row>
    <row r="2169" spans="1:11" x14ac:dyDescent="0.2">
      <c r="A2169" t="s">
        <v>1851</v>
      </c>
      <c r="B2169">
        <v>3</v>
      </c>
      <c r="C2169">
        <v>0</v>
      </c>
      <c r="D2169">
        <v>0</v>
      </c>
      <c r="E2169">
        <v>0</v>
      </c>
      <c r="F2169">
        <v>0</v>
      </c>
      <c r="G2169">
        <v>0</v>
      </c>
      <c r="H2169">
        <v>0</v>
      </c>
      <c r="I2169">
        <v>0</v>
      </c>
      <c r="J2169">
        <v>0</v>
      </c>
      <c r="K2169">
        <v>0</v>
      </c>
    </row>
    <row r="2170" spans="1:11" x14ac:dyDescent="0.2">
      <c r="A2170" t="s">
        <v>1857</v>
      </c>
      <c r="B2170">
        <v>0</v>
      </c>
      <c r="C2170">
        <v>0</v>
      </c>
      <c r="D2170">
        <v>0</v>
      </c>
      <c r="E2170">
        <v>0</v>
      </c>
      <c r="F2170">
        <v>0</v>
      </c>
      <c r="G2170">
        <v>0</v>
      </c>
      <c r="H2170">
        <v>0</v>
      </c>
      <c r="I2170">
        <v>0</v>
      </c>
      <c r="J2170">
        <v>0</v>
      </c>
      <c r="K2170">
        <v>0</v>
      </c>
    </row>
    <row r="2171" spans="1:11" x14ac:dyDescent="0.2">
      <c r="A2171" t="s">
        <v>1862</v>
      </c>
      <c r="B2171">
        <v>0</v>
      </c>
      <c r="C2171">
        <v>0</v>
      </c>
      <c r="D2171">
        <v>0</v>
      </c>
      <c r="E2171">
        <v>0</v>
      </c>
      <c r="F2171">
        <v>0</v>
      </c>
      <c r="G2171">
        <v>0</v>
      </c>
      <c r="H2171">
        <v>0</v>
      </c>
      <c r="I2171">
        <v>0</v>
      </c>
      <c r="J2171">
        <v>0</v>
      </c>
      <c r="K2171">
        <v>0</v>
      </c>
    </row>
    <row r="2172" spans="1:11" x14ac:dyDescent="0.2">
      <c r="A2172" t="s">
        <v>1867</v>
      </c>
      <c r="B2172">
        <v>0</v>
      </c>
      <c r="C2172">
        <v>0</v>
      </c>
      <c r="D2172">
        <v>0</v>
      </c>
      <c r="E2172">
        <v>0</v>
      </c>
      <c r="F2172">
        <v>0</v>
      </c>
      <c r="G2172">
        <v>0</v>
      </c>
      <c r="H2172">
        <v>0</v>
      </c>
      <c r="I2172">
        <v>0</v>
      </c>
      <c r="J2172">
        <v>0</v>
      </c>
      <c r="K2172">
        <v>0</v>
      </c>
    </row>
    <row r="2173" spans="1:11" x14ac:dyDescent="0.2">
      <c r="A2173" t="s">
        <v>1870</v>
      </c>
      <c r="B2173">
        <v>0</v>
      </c>
      <c r="C2173">
        <v>0</v>
      </c>
      <c r="D2173">
        <v>0</v>
      </c>
      <c r="E2173">
        <v>0</v>
      </c>
      <c r="F2173">
        <v>0</v>
      </c>
      <c r="G2173">
        <v>0</v>
      </c>
      <c r="H2173">
        <v>0</v>
      </c>
      <c r="I2173">
        <v>0</v>
      </c>
      <c r="J2173">
        <v>0</v>
      </c>
      <c r="K2173">
        <v>0</v>
      </c>
    </row>
    <row r="2174" spans="1:11" x14ac:dyDescent="0.2">
      <c r="A2174" t="s">
        <v>1874</v>
      </c>
      <c r="B2174">
        <v>1</v>
      </c>
      <c r="C2174">
        <v>0</v>
      </c>
      <c r="D2174">
        <v>0</v>
      </c>
      <c r="E2174">
        <v>0</v>
      </c>
      <c r="F2174">
        <v>0</v>
      </c>
      <c r="G2174">
        <v>0</v>
      </c>
      <c r="H2174">
        <v>0</v>
      </c>
      <c r="I2174">
        <v>0</v>
      </c>
      <c r="J2174">
        <v>0</v>
      </c>
      <c r="K2174">
        <v>0</v>
      </c>
    </row>
    <row r="2175" spans="1:11" x14ac:dyDescent="0.2">
      <c r="A2175" t="s">
        <v>1876</v>
      </c>
      <c r="B2175">
        <v>0</v>
      </c>
      <c r="C2175">
        <v>0</v>
      </c>
      <c r="D2175">
        <v>0</v>
      </c>
      <c r="E2175">
        <v>0</v>
      </c>
      <c r="F2175">
        <v>0</v>
      </c>
      <c r="G2175">
        <v>0</v>
      </c>
      <c r="H2175">
        <v>0</v>
      </c>
      <c r="I2175">
        <v>0</v>
      </c>
      <c r="J2175">
        <v>0</v>
      </c>
      <c r="K2175">
        <v>0</v>
      </c>
    </row>
    <row r="2176" spans="1:11" x14ac:dyDescent="0.2">
      <c r="A2176" t="s">
        <v>1881</v>
      </c>
      <c r="B2176">
        <v>0</v>
      </c>
      <c r="C2176">
        <v>0</v>
      </c>
      <c r="D2176">
        <v>0</v>
      </c>
      <c r="E2176">
        <v>0</v>
      </c>
      <c r="F2176">
        <v>0</v>
      </c>
      <c r="G2176">
        <v>0</v>
      </c>
      <c r="H2176">
        <v>0</v>
      </c>
      <c r="I2176">
        <v>0</v>
      </c>
      <c r="J2176">
        <v>0</v>
      </c>
      <c r="K2176">
        <v>0</v>
      </c>
    </row>
    <row r="2177" spans="1:11" x14ac:dyDescent="0.2">
      <c r="A2177" t="s">
        <v>1885</v>
      </c>
      <c r="B2177">
        <v>118</v>
      </c>
      <c r="C2177">
        <v>0</v>
      </c>
      <c r="D2177">
        <v>0</v>
      </c>
      <c r="E2177">
        <v>0</v>
      </c>
      <c r="F2177">
        <v>7</v>
      </c>
      <c r="G2177">
        <v>0</v>
      </c>
      <c r="H2177">
        <v>0</v>
      </c>
      <c r="I2177">
        <v>0</v>
      </c>
      <c r="J2177">
        <v>0</v>
      </c>
      <c r="K2177">
        <v>5</v>
      </c>
    </row>
    <row r="2178" spans="1:11" x14ac:dyDescent="0.2">
      <c r="A2178" t="s">
        <v>1887</v>
      </c>
      <c r="B2178">
        <v>1</v>
      </c>
      <c r="C2178">
        <v>0</v>
      </c>
      <c r="D2178">
        <v>0</v>
      </c>
      <c r="E2178">
        <v>0</v>
      </c>
      <c r="F2178">
        <v>0</v>
      </c>
      <c r="G2178">
        <v>0</v>
      </c>
      <c r="H2178">
        <v>0</v>
      </c>
      <c r="I2178">
        <v>0</v>
      </c>
      <c r="J2178">
        <v>0</v>
      </c>
      <c r="K2178">
        <v>0</v>
      </c>
    </row>
    <row r="2179" spans="1:11" x14ac:dyDescent="0.2">
      <c r="A2179" t="s">
        <v>1893</v>
      </c>
      <c r="B2179">
        <v>9</v>
      </c>
      <c r="C2179">
        <v>0</v>
      </c>
      <c r="D2179">
        <v>0</v>
      </c>
      <c r="E2179">
        <v>0</v>
      </c>
      <c r="F2179">
        <v>1</v>
      </c>
      <c r="G2179">
        <v>0</v>
      </c>
      <c r="H2179">
        <v>0</v>
      </c>
      <c r="I2179">
        <v>0</v>
      </c>
      <c r="J2179">
        <v>0</v>
      </c>
      <c r="K2179">
        <v>1</v>
      </c>
    </row>
    <row r="2180" spans="1:11" x14ac:dyDescent="0.2">
      <c r="A2180" t="s">
        <v>1899</v>
      </c>
      <c r="B2180">
        <v>0</v>
      </c>
      <c r="C2180">
        <v>0</v>
      </c>
      <c r="D2180">
        <v>0</v>
      </c>
      <c r="E2180">
        <v>0</v>
      </c>
      <c r="F2180">
        <v>0</v>
      </c>
      <c r="G2180">
        <v>0</v>
      </c>
      <c r="H2180">
        <v>0</v>
      </c>
      <c r="I2180">
        <v>0</v>
      </c>
      <c r="J2180">
        <v>0</v>
      </c>
      <c r="K2180">
        <v>0</v>
      </c>
    </row>
    <row r="2181" spans="1:11" x14ac:dyDescent="0.2">
      <c r="A2181" t="s">
        <v>1906</v>
      </c>
      <c r="B2181">
        <v>0</v>
      </c>
      <c r="C2181">
        <v>0</v>
      </c>
      <c r="D2181">
        <v>0</v>
      </c>
      <c r="E2181">
        <v>0</v>
      </c>
      <c r="F2181">
        <v>0</v>
      </c>
      <c r="G2181">
        <v>0</v>
      </c>
      <c r="H2181">
        <v>0</v>
      </c>
      <c r="I2181">
        <v>0</v>
      </c>
      <c r="J2181">
        <v>0</v>
      </c>
      <c r="K2181">
        <v>0</v>
      </c>
    </row>
    <row r="2182" spans="1:11" x14ac:dyDescent="0.2">
      <c r="A2182" t="s">
        <v>1911</v>
      </c>
      <c r="B2182">
        <v>0</v>
      </c>
      <c r="C2182">
        <v>0</v>
      </c>
      <c r="D2182">
        <v>0</v>
      </c>
      <c r="E2182">
        <v>0</v>
      </c>
      <c r="F2182">
        <v>0</v>
      </c>
      <c r="G2182">
        <v>0</v>
      </c>
      <c r="H2182">
        <v>0</v>
      </c>
      <c r="I2182">
        <v>0</v>
      </c>
      <c r="J2182">
        <v>0</v>
      </c>
      <c r="K2182">
        <v>0</v>
      </c>
    </row>
    <row r="2183" spans="1:11" x14ac:dyDescent="0.2">
      <c r="A2183" t="s">
        <v>1917</v>
      </c>
      <c r="B2183">
        <v>0</v>
      </c>
      <c r="C2183">
        <v>0</v>
      </c>
      <c r="D2183">
        <v>0</v>
      </c>
      <c r="E2183">
        <v>0</v>
      </c>
      <c r="F2183">
        <v>0</v>
      </c>
      <c r="G2183">
        <v>0</v>
      </c>
      <c r="H2183">
        <v>0</v>
      </c>
      <c r="I2183">
        <v>0</v>
      </c>
      <c r="J2183">
        <v>0</v>
      </c>
      <c r="K2183">
        <v>3</v>
      </c>
    </row>
    <row r="2184" spans="1:11" x14ac:dyDescent="0.2">
      <c r="A2184" t="s">
        <v>1922</v>
      </c>
      <c r="B2184">
        <v>303</v>
      </c>
      <c r="C2184">
        <v>0</v>
      </c>
      <c r="D2184">
        <v>0</v>
      </c>
      <c r="E2184">
        <v>0</v>
      </c>
      <c r="F2184">
        <v>0</v>
      </c>
      <c r="G2184">
        <v>0</v>
      </c>
      <c r="H2184">
        <v>0</v>
      </c>
      <c r="I2184">
        <v>0</v>
      </c>
      <c r="J2184">
        <v>0</v>
      </c>
      <c r="K2184">
        <v>0</v>
      </c>
    </row>
    <row r="2185" spans="1:11" x14ac:dyDescent="0.2">
      <c r="A2185" t="s">
        <v>1928</v>
      </c>
      <c r="B2185">
        <v>0</v>
      </c>
      <c r="C2185">
        <v>0</v>
      </c>
      <c r="D2185">
        <v>0</v>
      </c>
      <c r="E2185">
        <v>0</v>
      </c>
      <c r="F2185">
        <v>0</v>
      </c>
      <c r="G2185">
        <v>0</v>
      </c>
      <c r="H2185">
        <v>0</v>
      </c>
      <c r="I2185">
        <v>0</v>
      </c>
      <c r="J2185">
        <v>0</v>
      </c>
      <c r="K2185">
        <v>0</v>
      </c>
    </row>
    <row r="2186" spans="1:11" x14ac:dyDescent="0.2">
      <c r="A2186" t="s">
        <v>1932</v>
      </c>
      <c r="B2186">
        <v>0</v>
      </c>
      <c r="C2186">
        <v>0</v>
      </c>
      <c r="D2186">
        <v>0</v>
      </c>
      <c r="E2186">
        <v>0</v>
      </c>
      <c r="F2186">
        <v>0</v>
      </c>
      <c r="G2186">
        <v>0</v>
      </c>
      <c r="H2186">
        <v>0</v>
      </c>
      <c r="I2186">
        <v>0</v>
      </c>
      <c r="J2186">
        <v>0</v>
      </c>
      <c r="K2186">
        <v>0</v>
      </c>
    </row>
    <row r="2187" spans="1:11" x14ac:dyDescent="0.2">
      <c r="A2187" t="s">
        <v>1938</v>
      </c>
      <c r="B2187">
        <v>52</v>
      </c>
      <c r="C2187">
        <v>0</v>
      </c>
      <c r="D2187">
        <v>0</v>
      </c>
      <c r="E2187">
        <v>0</v>
      </c>
      <c r="F2187">
        <v>0</v>
      </c>
      <c r="G2187">
        <v>0</v>
      </c>
      <c r="H2187">
        <v>0</v>
      </c>
      <c r="I2187">
        <v>0</v>
      </c>
      <c r="J2187">
        <v>0</v>
      </c>
      <c r="K2187">
        <v>0</v>
      </c>
    </row>
    <row r="2188" spans="1:11" x14ac:dyDescent="0.2">
      <c r="A2188" t="s">
        <v>1944</v>
      </c>
      <c r="B2188">
        <v>7</v>
      </c>
      <c r="C2188">
        <v>0</v>
      </c>
      <c r="D2188">
        <v>0</v>
      </c>
      <c r="E2188">
        <v>0</v>
      </c>
      <c r="F2188">
        <v>0</v>
      </c>
      <c r="G2188">
        <v>0</v>
      </c>
      <c r="H2188">
        <v>0</v>
      </c>
      <c r="I2188">
        <v>0</v>
      </c>
      <c r="J2188">
        <v>0</v>
      </c>
      <c r="K2188">
        <v>0</v>
      </c>
    </row>
    <row r="2189" spans="1:11" x14ac:dyDescent="0.2">
      <c r="A2189" t="s">
        <v>1947</v>
      </c>
      <c r="B2189">
        <v>0</v>
      </c>
      <c r="C2189">
        <v>0</v>
      </c>
      <c r="D2189">
        <v>0</v>
      </c>
      <c r="E2189">
        <v>0</v>
      </c>
      <c r="F2189">
        <v>0</v>
      </c>
      <c r="G2189">
        <v>0</v>
      </c>
      <c r="H2189">
        <v>0</v>
      </c>
      <c r="I2189">
        <v>0</v>
      </c>
      <c r="J2189">
        <v>0</v>
      </c>
      <c r="K2189">
        <v>0</v>
      </c>
    </row>
    <row r="2190" spans="1:11" x14ac:dyDescent="0.2">
      <c r="A2190" t="s">
        <v>1953</v>
      </c>
      <c r="B2190">
        <v>0</v>
      </c>
      <c r="C2190">
        <v>0</v>
      </c>
      <c r="D2190">
        <v>0</v>
      </c>
      <c r="E2190">
        <v>0</v>
      </c>
      <c r="F2190">
        <v>0</v>
      </c>
      <c r="G2190">
        <v>0</v>
      </c>
      <c r="H2190">
        <v>0</v>
      </c>
      <c r="I2190">
        <v>0</v>
      </c>
      <c r="J2190">
        <v>0</v>
      </c>
      <c r="K2190">
        <v>0</v>
      </c>
    </row>
    <row r="2191" spans="1:11" x14ac:dyDescent="0.2">
      <c r="A2191" t="s">
        <v>1958</v>
      </c>
      <c r="B2191">
        <v>0</v>
      </c>
      <c r="C2191">
        <v>0</v>
      </c>
      <c r="D2191">
        <v>0</v>
      </c>
      <c r="E2191">
        <v>0</v>
      </c>
      <c r="F2191">
        <v>0</v>
      </c>
      <c r="G2191">
        <v>0</v>
      </c>
      <c r="H2191">
        <v>0</v>
      </c>
      <c r="I2191">
        <v>0</v>
      </c>
      <c r="J2191">
        <v>0</v>
      </c>
      <c r="K2191">
        <v>0</v>
      </c>
    </row>
    <row r="2192" spans="1:11" x14ac:dyDescent="0.2">
      <c r="A2192" t="s">
        <v>1964</v>
      </c>
      <c r="B2192">
        <v>0</v>
      </c>
      <c r="C2192">
        <v>0</v>
      </c>
      <c r="D2192">
        <v>0</v>
      </c>
      <c r="E2192">
        <v>0</v>
      </c>
      <c r="F2192">
        <v>0</v>
      </c>
      <c r="G2192">
        <v>0</v>
      </c>
      <c r="H2192">
        <v>0</v>
      </c>
      <c r="I2192">
        <v>0</v>
      </c>
      <c r="J2192">
        <v>0</v>
      </c>
      <c r="K2192">
        <v>0</v>
      </c>
    </row>
    <row r="2193" spans="1:11" x14ac:dyDescent="0.2">
      <c r="A2193" t="s">
        <v>1973</v>
      </c>
      <c r="B2193">
        <v>0</v>
      </c>
      <c r="C2193">
        <v>0</v>
      </c>
      <c r="D2193">
        <v>0</v>
      </c>
      <c r="E2193">
        <v>0</v>
      </c>
      <c r="F2193">
        <v>0</v>
      </c>
      <c r="G2193">
        <v>0</v>
      </c>
      <c r="H2193">
        <v>0</v>
      </c>
      <c r="I2193">
        <v>0</v>
      </c>
      <c r="J2193">
        <v>0</v>
      </c>
      <c r="K2193">
        <v>0</v>
      </c>
    </row>
    <row r="2194" spans="1:11" x14ac:dyDescent="0.2">
      <c r="A2194" t="s">
        <v>1978</v>
      </c>
      <c r="B2194">
        <v>0</v>
      </c>
      <c r="C2194">
        <v>0</v>
      </c>
      <c r="D2194">
        <v>0</v>
      </c>
      <c r="E2194">
        <v>0</v>
      </c>
      <c r="F2194">
        <v>0</v>
      </c>
      <c r="G2194">
        <v>0</v>
      </c>
      <c r="H2194">
        <v>0</v>
      </c>
      <c r="I2194">
        <v>0</v>
      </c>
      <c r="J2194">
        <v>0</v>
      </c>
      <c r="K2194">
        <v>0</v>
      </c>
    </row>
    <row r="2195" spans="1:11" x14ac:dyDescent="0.2">
      <c r="A2195" t="s">
        <v>1983</v>
      </c>
      <c r="B2195">
        <v>1</v>
      </c>
      <c r="C2195">
        <v>0</v>
      </c>
      <c r="D2195">
        <v>0</v>
      </c>
      <c r="E2195">
        <v>0</v>
      </c>
      <c r="F2195">
        <v>0</v>
      </c>
      <c r="G2195">
        <v>0</v>
      </c>
      <c r="H2195">
        <v>0</v>
      </c>
      <c r="I2195">
        <v>0</v>
      </c>
      <c r="J2195">
        <v>0</v>
      </c>
      <c r="K2195">
        <v>0</v>
      </c>
    </row>
    <row r="2196" spans="1:11" x14ac:dyDescent="0.2">
      <c r="A2196" t="s">
        <v>1984</v>
      </c>
      <c r="B2196">
        <v>0</v>
      </c>
      <c r="C2196">
        <v>0</v>
      </c>
      <c r="D2196">
        <v>0</v>
      </c>
      <c r="E2196">
        <v>0</v>
      </c>
      <c r="F2196">
        <v>0</v>
      </c>
      <c r="G2196">
        <v>0</v>
      </c>
      <c r="H2196">
        <v>0</v>
      </c>
      <c r="I2196">
        <v>0</v>
      </c>
      <c r="J2196">
        <v>0</v>
      </c>
      <c r="K2196">
        <v>0</v>
      </c>
    </row>
    <row r="2197" spans="1:11" x14ac:dyDescent="0.2">
      <c r="A2197" t="s">
        <v>1990</v>
      </c>
      <c r="B2197">
        <v>0</v>
      </c>
      <c r="C2197">
        <v>0</v>
      </c>
      <c r="D2197">
        <v>0</v>
      </c>
      <c r="E2197">
        <v>0</v>
      </c>
      <c r="F2197">
        <v>0</v>
      </c>
      <c r="G2197">
        <v>0</v>
      </c>
      <c r="H2197">
        <v>0</v>
      </c>
      <c r="I2197">
        <v>0</v>
      </c>
      <c r="J2197">
        <v>0</v>
      </c>
      <c r="K2197">
        <v>0</v>
      </c>
    </row>
    <row r="2198" spans="1:11" x14ac:dyDescent="0.2">
      <c r="A2198" t="s">
        <v>1996</v>
      </c>
      <c r="B2198">
        <v>0</v>
      </c>
      <c r="C2198">
        <v>0</v>
      </c>
      <c r="D2198">
        <v>0</v>
      </c>
      <c r="E2198">
        <v>0</v>
      </c>
      <c r="F2198">
        <v>0</v>
      </c>
      <c r="G2198">
        <v>0</v>
      </c>
      <c r="H2198">
        <v>0</v>
      </c>
      <c r="I2198">
        <v>0</v>
      </c>
      <c r="J2198">
        <v>0</v>
      </c>
      <c r="K2198">
        <v>0</v>
      </c>
    </row>
    <row r="2199" spans="1:11" x14ac:dyDescent="0.2">
      <c r="A2199" t="s">
        <v>1998</v>
      </c>
      <c r="B2199">
        <v>0</v>
      </c>
      <c r="C2199">
        <v>0</v>
      </c>
      <c r="D2199">
        <v>0</v>
      </c>
      <c r="E2199">
        <v>0</v>
      </c>
      <c r="F2199">
        <v>0</v>
      </c>
      <c r="G2199">
        <v>0</v>
      </c>
      <c r="H2199">
        <v>0</v>
      </c>
      <c r="I2199">
        <v>0</v>
      </c>
      <c r="J2199">
        <v>0</v>
      </c>
      <c r="K2199">
        <v>0</v>
      </c>
    </row>
    <row r="2200" spans="1:11" x14ac:dyDescent="0.2">
      <c r="A2200" t="s">
        <v>1999</v>
      </c>
      <c r="B2200">
        <v>0</v>
      </c>
      <c r="C2200">
        <v>0</v>
      </c>
      <c r="D2200">
        <v>0</v>
      </c>
      <c r="E2200">
        <v>0</v>
      </c>
      <c r="F2200">
        <v>0</v>
      </c>
      <c r="G2200">
        <v>0</v>
      </c>
      <c r="H2200">
        <v>0</v>
      </c>
      <c r="I2200">
        <v>0</v>
      </c>
      <c r="J2200">
        <v>0</v>
      </c>
      <c r="K2200">
        <v>0</v>
      </c>
    </row>
    <row r="2201" spans="1:11" x14ac:dyDescent="0.2">
      <c r="A2201" t="s">
        <v>2004</v>
      </c>
      <c r="B2201">
        <v>0</v>
      </c>
      <c r="C2201">
        <v>0</v>
      </c>
      <c r="D2201">
        <v>0</v>
      </c>
      <c r="E2201">
        <v>0</v>
      </c>
      <c r="F2201">
        <v>0</v>
      </c>
      <c r="G2201">
        <v>0</v>
      </c>
      <c r="H2201">
        <v>0</v>
      </c>
      <c r="I2201">
        <v>0</v>
      </c>
      <c r="J2201">
        <v>0</v>
      </c>
      <c r="K2201">
        <v>0</v>
      </c>
    </row>
    <row r="2202" spans="1:11" x14ac:dyDescent="0.2">
      <c r="A2202" t="s">
        <v>2009</v>
      </c>
      <c r="B2202">
        <v>0</v>
      </c>
      <c r="C2202">
        <v>0</v>
      </c>
      <c r="D2202">
        <v>0</v>
      </c>
      <c r="E2202">
        <v>0</v>
      </c>
      <c r="F2202">
        <v>0</v>
      </c>
      <c r="G2202">
        <v>0</v>
      </c>
      <c r="H2202">
        <v>0</v>
      </c>
      <c r="I2202">
        <v>0</v>
      </c>
      <c r="J2202">
        <v>0</v>
      </c>
      <c r="K2202">
        <v>0</v>
      </c>
    </row>
    <row r="2203" spans="1:11" x14ac:dyDescent="0.2">
      <c r="A2203" t="s">
        <v>2014</v>
      </c>
      <c r="B2203">
        <v>0</v>
      </c>
      <c r="C2203">
        <v>0</v>
      </c>
      <c r="D2203">
        <v>0</v>
      </c>
      <c r="E2203">
        <v>0</v>
      </c>
      <c r="F2203">
        <v>0</v>
      </c>
      <c r="G2203">
        <v>0</v>
      </c>
      <c r="H2203">
        <v>0</v>
      </c>
      <c r="I2203">
        <v>0</v>
      </c>
      <c r="J2203">
        <v>0</v>
      </c>
      <c r="K2203">
        <v>0</v>
      </c>
    </row>
    <row r="2204" spans="1:11" x14ac:dyDescent="0.2">
      <c r="A2204" t="s">
        <v>2019</v>
      </c>
      <c r="B2204">
        <v>0</v>
      </c>
      <c r="C2204">
        <v>0</v>
      </c>
      <c r="D2204">
        <v>0</v>
      </c>
      <c r="E2204">
        <v>0</v>
      </c>
      <c r="F2204">
        <v>0</v>
      </c>
      <c r="G2204">
        <v>0</v>
      </c>
      <c r="H2204">
        <v>0</v>
      </c>
      <c r="I2204">
        <v>0</v>
      </c>
      <c r="J2204">
        <v>0</v>
      </c>
      <c r="K2204">
        <v>0</v>
      </c>
    </row>
    <row r="2205" spans="1:11" x14ac:dyDescent="0.2">
      <c r="A2205" t="s">
        <v>2023</v>
      </c>
      <c r="B2205">
        <v>0</v>
      </c>
      <c r="C2205">
        <v>0</v>
      </c>
      <c r="D2205">
        <v>0</v>
      </c>
      <c r="E2205">
        <v>0</v>
      </c>
      <c r="F2205">
        <v>0</v>
      </c>
      <c r="G2205">
        <v>0</v>
      </c>
      <c r="H2205">
        <v>0</v>
      </c>
      <c r="I2205">
        <v>0</v>
      </c>
      <c r="J2205">
        <v>0</v>
      </c>
      <c r="K2205">
        <v>0</v>
      </c>
    </row>
    <row r="2206" spans="1:11" x14ac:dyDescent="0.2">
      <c r="A2206" t="s">
        <v>2026</v>
      </c>
      <c r="B2206">
        <v>0</v>
      </c>
      <c r="C2206">
        <v>0</v>
      </c>
      <c r="D2206">
        <v>0</v>
      </c>
      <c r="E2206">
        <v>0</v>
      </c>
      <c r="F2206">
        <v>0</v>
      </c>
      <c r="G2206">
        <v>0</v>
      </c>
      <c r="H2206">
        <v>0</v>
      </c>
      <c r="I2206">
        <v>0</v>
      </c>
      <c r="J2206">
        <v>0</v>
      </c>
      <c r="K2206">
        <v>0</v>
      </c>
    </row>
    <row r="2207" spans="1:11" x14ac:dyDescent="0.2">
      <c r="A2207" t="s">
        <v>2030</v>
      </c>
      <c r="B2207">
        <v>0</v>
      </c>
      <c r="C2207">
        <v>0</v>
      </c>
      <c r="D2207">
        <v>0</v>
      </c>
      <c r="E2207">
        <v>0</v>
      </c>
      <c r="F2207">
        <v>0</v>
      </c>
      <c r="G2207">
        <v>0</v>
      </c>
      <c r="H2207">
        <v>0</v>
      </c>
      <c r="I2207">
        <v>0</v>
      </c>
      <c r="J2207">
        <v>0</v>
      </c>
      <c r="K2207">
        <v>0</v>
      </c>
    </row>
    <row r="2208" spans="1:11" x14ac:dyDescent="0.2">
      <c r="A2208" t="s">
        <v>2035</v>
      </c>
      <c r="B2208">
        <v>0</v>
      </c>
      <c r="C2208">
        <v>0</v>
      </c>
      <c r="D2208">
        <v>0</v>
      </c>
      <c r="E2208">
        <v>0</v>
      </c>
      <c r="F2208">
        <v>0</v>
      </c>
      <c r="G2208">
        <v>0</v>
      </c>
      <c r="H2208">
        <v>0</v>
      </c>
      <c r="I2208">
        <v>0</v>
      </c>
      <c r="J2208">
        <v>0</v>
      </c>
      <c r="K2208">
        <v>0</v>
      </c>
    </row>
    <row r="2209" spans="1:11" x14ac:dyDescent="0.2">
      <c r="A2209" t="s">
        <v>2040</v>
      </c>
      <c r="B2209">
        <v>0</v>
      </c>
      <c r="C2209">
        <v>0</v>
      </c>
      <c r="D2209">
        <v>0</v>
      </c>
      <c r="E2209">
        <v>0</v>
      </c>
      <c r="F2209">
        <v>0</v>
      </c>
      <c r="G2209">
        <v>0</v>
      </c>
      <c r="H2209">
        <v>0</v>
      </c>
      <c r="I2209">
        <v>0</v>
      </c>
      <c r="J2209">
        <v>0</v>
      </c>
      <c r="K2209">
        <v>0</v>
      </c>
    </row>
    <row r="2210" spans="1:11" x14ac:dyDescent="0.2">
      <c r="A2210" t="s">
        <v>2045</v>
      </c>
      <c r="B2210">
        <v>0</v>
      </c>
      <c r="C2210">
        <v>0</v>
      </c>
      <c r="D2210">
        <v>0</v>
      </c>
      <c r="E2210">
        <v>0</v>
      </c>
      <c r="F2210">
        <v>0</v>
      </c>
      <c r="G2210">
        <v>0</v>
      </c>
      <c r="H2210">
        <v>0</v>
      </c>
      <c r="I2210">
        <v>0</v>
      </c>
      <c r="J2210">
        <v>0</v>
      </c>
      <c r="K2210">
        <v>0</v>
      </c>
    </row>
    <row r="2211" spans="1:11" x14ac:dyDescent="0.2">
      <c r="A2211" t="s">
        <v>2049</v>
      </c>
      <c r="B2211">
        <v>0</v>
      </c>
      <c r="C2211">
        <v>0</v>
      </c>
      <c r="D2211">
        <v>0</v>
      </c>
      <c r="E2211">
        <v>0</v>
      </c>
      <c r="F2211">
        <v>0</v>
      </c>
      <c r="G2211">
        <v>0</v>
      </c>
      <c r="H2211">
        <v>0</v>
      </c>
      <c r="I2211">
        <v>0</v>
      </c>
      <c r="J2211">
        <v>0</v>
      </c>
      <c r="K2211">
        <v>0</v>
      </c>
    </row>
    <row r="2212" spans="1:11" x14ac:dyDescent="0.2">
      <c r="A2212" t="s">
        <v>2051</v>
      </c>
      <c r="B2212">
        <v>1</v>
      </c>
      <c r="C2212">
        <v>0</v>
      </c>
      <c r="D2212">
        <v>0</v>
      </c>
      <c r="E2212">
        <v>0</v>
      </c>
      <c r="F2212">
        <v>0</v>
      </c>
      <c r="G2212">
        <v>0</v>
      </c>
      <c r="H2212">
        <v>0</v>
      </c>
      <c r="I2212">
        <v>0</v>
      </c>
      <c r="J2212">
        <v>0</v>
      </c>
      <c r="K2212">
        <v>3</v>
      </c>
    </row>
    <row r="2213" spans="1:11" x14ac:dyDescent="0.2">
      <c r="A2213" t="s">
        <v>2057</v>
      </c>
      <c r="B2213">
        <v>1</v>
      </c>
      <c r="C2213">
        <v>0</v>
      </c>
      <c r="D2213">
        <v>0</v>
      </c>
      <c r="E2213">
        <v>0</v>
      </c>
      <c r="F2213">
        <v>0</v>
      </c>
      <c r="G2213">
        <v>0</v>
      </c>
      <c r="H2213">
        <v>0</v>
      </c>
      <c r="I2213">
        <v>0</v>
      </c>
      <c r="J2213">
        <v>0</v>
      </c>
      <c r="K2213">
        <v>6</v>
      </c>
    </row>
    <row r="2214" spans="1:11" x14ac:dyDescent="0.2">
      <c r="A2214" t="s">
        <v>4344</v>
      </c>
      <c r="B2214">
        <v>0</v>
      </c>
      <c r="C2214">
        <v>0</v>
      </c>
      <c r="D2214">
        <v>0</v>
      </c>
      <c r="E2214">
        <v>0</v>
      </c>
      <c r="F2214">
        <v>0</v>
      </c>
      <c r="G2214">
        <v>0</v>
      </c>
      <c r="H2214">
        <v>0</v>
      </c>
      <c r="I2214">
        <v>0</v>
      </c>
      <c r="J2214">
        <v>0</v>
      </c>
      <c r="K2214">
        <v>1</v>
      </c>
    </row>
    <row r="2215" spans="1:11" x14ac:dyDescent="0.2">
      <c r="A2215" t="s">
        <v>4345</v>
      </c>
      <c r="B2215">
        <v>2</v>
      </c>
      <c r="C2215">
        <v>0</v>
      </c>
      <c r="D2215">
        <v>0</v>
      </c>
      <c r="E2215">
        <v>0</v>
      </c>
      <c r="F2215">
        <v>0</v>
      </c>
      <c r="G2215">
        <v>0</v>
      </c>
      <c r="H2215">
        <v>1</v>
      </c>
      <c r="I2215">
        <v>0</v>
      </c>
      <c r="J2215">
        <v>0</v>
      </c>
      <c r="K2215">
        <v>8</v>
      </c>
    </row>
    <row r="2216" spans="1:11" x14ac:dyDescent="0.2">
      <c r="A2216" t="s">
        <v>2074</v>
      </c>
      <c r="B2216">
        <v>0</v>
      </c>
      <c r="C2216">
        <v>0</v>
      </c>
      <c r="D2216">
        <v>0</v>
      </c>
      <c r="E2216">
        <v>0</v>
      </c>
      <c r="F2216">
        <v>0</v>
      </c>
      <c r="G2216">
        <v>0</v>
      </c>
      <c r="H2216">
        <v>0</v>
      </c>
      <c r="I2216">
        <v>0</v>
      </c>
      <c r="J2216">
        <v>0</v>
      </c>
      <c r="K2216">
        <v>0</v>
      </c>
    </row>
    <row r="2217" spans="1:11" x14ac:dyDescent="0.2">
      <c r="A2217" t="s">
        <v>2079</v>
      </c>
      <c r="B2217">
        <v>0</v>
      </c>
      <c r="C2217">
        <v>0</v>
      </c>
      <c r="D2217">
        <v>0</v>
      </c>
      <c r="E2217">
        <v>0</v>
      </c>
      <c r="F2217">
        <v>0</v>
      </c>
      <c r="G2217">
        <v>0</v>
      </c>
      <c r="H2217">
        <v>0</v>
      </c>
      <c r="I2217">
        <v>0</v>
      </c>
      <c r="J2217">
        <v>0</v>
      </c>
      <c r="K2217">
        <v>0</v>
      </c>
    </row>
    <row r="2218" spans="1:11" x14ac:dyDescent="0.2">
      <c r="A2218" t="s">
        <v>2085</v>
      </c>
      <c r="B2218">
        <v>0</v>
      </c>
      <c r="C2218">
        <v>0</v>
      </c>
      <c r="D2218">
        <v>0</v>
      </c>
      <c r="E2218">
        <v>0</v>
      </c>
      <c r="F2218">
        <v>0</v>
      </c>
      <c r="G2218">
        <v>0</v>
      </c>
      <c r="H2218">
        <v>0</v>
      </c>
      <c r="I2218">
        <v>0</v>
      </c>
      <c r="J2218">
        <v>0</v>
      </c>
      <c r="K2218">
        <v>0</v>
      </c>
    </row>
    <row r="2219" spans="1:11" x14ac:dyDescent="0.2">
      <c r="A2219" t="s">
        <v>2091</v>
      </c>
      <c r="B2219">
        <v>0</v>
      </c>
      <c r="C2219">
        <v>0</v>
      </c>
      <c r="D2219">
        <v>0</v>
      </c>
      <c r="E2219">
        <v>0</v>
      </c>
      <c r="F2219">
        <v>0</v>
      </c>
      <c r="G2219">
        <v>0</v>
      </c>
      <c r="H2219">
        <v>0</v>
      </c>
      <c r="I2219">
        <v>0</v>
      </c>
      <c r="J2219">
        <v>0</v>
      </c>
      <c r="K2219">
        <v>0</v>
      </c>
    </row>
    <row r="2220" spans="1:11" x14ac:dyDescent="0.2">
      <c r="A2220" t="s">
        <v>2097</v>
      </c>
      <c r="B2220">
        <v>0</v>
      </c>
      <c r="C2220">
        <v>0</v>
      </c>
      <c r="D2220">
        <v>0</v>
      </c>
      <c r="E2220">
        <v>0</v>
      </c>
      <c r="F2220">
        <v>0</v>
      </c>
      <c r="G2220">
        <v>0</v>
      </c>
      <c r="H2220">
        <v>0</v>
      </c>
      <c r="I2220">
        <v>0</v>
      </c>
      <c r="J2220">
        <v>0</v>
      </c>
      <c r="K2220">
        <v>0</v>
      </c>
    </row>
    <row r="2221" spans="1:11" x14ac:dyDescent="0.2">
      <c r="A2221" t="s">
        <v>2101</v>
      </c>
      <c r="B2221">
        <v>0</v>
      </c>
      <c r="C2221">
        <v>0</v>
      </c>
      <c r="D2221">
        <v>0</v>
      </c>
      <c r="E2221">
        <v>0</v>
      </c>
      <c r="F2221">
        <v>0</v>
      </c>
      <c r="G2221">
        <v>0</v>
      </c>
      <c r="H2221">
        <v>0</v>
      </c>
      <c r="I2221">
        <v>0</v>
      </c>
      <c r="J2221">
        <v>0</v>
      </c>
      <c r="K2221">
        <v>0</v>
      </c>
    </row>
    <row r="2222" spans="1:11" x14ac:dyDescent="0.2">
      <c r="A2222" t="s">
        <v>2104</v>
      </c>
      <c r="B2222">
        <v>0</v>
      </c>
      <c r="C2222">
        <v>0</v>
      </c>
      <c r="D2222">
        <v>0</v>
      </c>
      <c r="E2222">
        <v>0</v>
      </c>
      <c r="F2222">
        <v>0</v>
      </c>
      <c r="G2222">
        <v>0</v>
      </c>
      <c r="H2222">
        <v>0</v>
      </c>
      <c r="I2222">
        <v>0</v>
      </c>
      <c r="J2222">
        <v>0</v>
      </c>
      <c r="K2222">
        <v>0</v>
      </c>
    </row>
    <row r="2223" spans="1:11" x14ac:dyDescent="0.2">
      <c r="A2223" t="s">
        <v>2107</v>
      </c>
      <c r="B2223">
        <v>0</v>
      </c>
      <c r="C2223">
        <v>0</v>
      </c>
      <c r="D2223">
        <v>0</v>
      </c>
      <c r="E2223">
        <v>0</v>
      </c>
      <c r="F2223">
        <v>0</v>
      </c>
      <c r="G2223">
        <v>0</v>
      </c>
      <c r="H2223">
        <v>0</v>
      </c>
      <c r="I2223">
        <v>0</v>
      </c>
      <c r="J2223">
        <v>0</v>
      </c>
      <c r="K2223">
        <v>0</v>
      </c>
    </row>
    <row r="2224" spans="1:11" x14ac:dyDescent="0.2">
      <c r="A2224" t="s">
        <v>2110</v>
      </c>
      <c r="B2224">
        <v>0</v>
      </c>
      <c r="C2224">
        <v>0</v>
      </c>
      <c r="D2224">
        <v>0</v>
      </c>
      <c r="E2224">
        <v>0</v>
      </c>
      <c r="F2224">
        <v>0</v>
      </c>
      <c r="G2224">
        <v>0</v>
      </c>
      <c r="H2224">
        <v>0</v>
      </c>
      <c r="I2224">
        <v>0</v>
      </c>
      <c r="J2224">
        <v>0</v>
      </c>
      <c r="K2224">
        <v>0</v>
      </c>
    </row>
    <row r="2225" spans="1:11" x14ac:dyDescent="0.2">
      <c r="A2225" t="s">
        <v>2113</v>
      </c>
      <c r="B2225">
        <v>0</v>
      </c>
      <c r="C2225">
        <v>0</v>
      </c>
      <c r="D2225">
        <v>0</v>
      </c>
      <c r="E2225">
        <v>0</v>
      </c>
      <c r="F2225">
        <v>0</v>
      </c>
      <c r="G2225">
        <v>0</v>
      </c>
      <c r="H2225">
        <v>0</v>
      </c>
      <c r="I2225">
        <v>0</v>
      </c>
      <c r="J2225">
        <v>0</v>
      </c>
      <c r="K2225">
        <v>0</v>
      </c>
    </row>
    <row r="2226" spans="1:11" x14ac:dyDescent="0.2">
      <c r="A2226" t="s">
        <v>4346</v>
      </c>
      <c r="B2226">
        <v>0</v>
      </c>
      <c r="C2226">
        <v>0</v>
      </c>
      <c r="D2226">
        <v>0</v>
      </c>
      <c r="E2226">
        <v>0</v>
      </c>
      <c r="F2226">
        <v>0</v>
      </c>
      <c r="G2226">
        <v>0</v>
      </c>
      <c r="H2226">
        <v>0</v>
      </c>
      <c r="I2226">
        <v>0</v>
      </c>
      <c r="J2226">
        <v>0</v>
      </c>
      <c r="K2226">
        <v>0</v>
      </c>
    </row>
    <row r="2227" spans="1:11" x14ac:dyDescent="0.2">
      <c r="A2227" t="s">
        <v>4347</v>
      </c>
      <c r="B2227">
        <v>0</v>
      </c>
      <c r="C2227">
        <v>0</v>
      </c>
      <c r="D2227">
        <v>0</v>
      </c>
      <c r="E2227">
        <v>0</v>
      </c>
      <c r="F2227">
        <v>0</v>
      </c>
      <c r="G2227">
        <v>0</v>
      </c>
      <c r="H2227">
        <v>0</v>
      </c>
      <c r="I2227">
        <v>0</v>
      </c>
      <c r="J2227">
        <v>0</v>
      </c>
      <c r="K2227">
        <v>0</v>
      </c>
    </row>
    <row r="2228" spans="1:11" x14ac:dyDescent="0.2">
      <c r="A2228" t="s">
        <v>4348</v>
      </c>
      <c r="B2228">
        <v>0</v>
      </c>
      <c r="C2228">
        <v>0</v>
      </c>
      <c r="D2228">
        <v>0</v>
      </c>
      <c r="E2228">
        <v>0</v>
      </c>
      <c r="F2228">
        <v>0</v>
      </c>
      <c r="G2228">
        <v>0</v>
      </c>
      <c r="H2228">
        <v>0</v>
      </c>
      <c r="I2228">
        <v>0</v>
      </c>
      <c r="J2228">
        <v>0</v>
      </c>
      <c r="K2228">
        <v>0</v>
      </c>
    </row>
    <row r="2229" spans="1:11" x14ac:dyDescent="0.2">
      <c r="A2229" t="s">
        <v>4349</v>
      </c>
      <c r="B2229">
        <v>0</v>
      </c>
      <c r="C2229">
        <v>0</v>
      </c>
      <c r="D2229">
        <v>0</v>
      </c>
      <c r="E2229">
        <v>0</v>
      </c>
      <c r="F2229">
        <v>0</v>
      </c>
      <c r="G2229">
        <v>0</v>
      </c>
      <c r="H2229">
        <v>0</v>
      </c>
      <c r="I2229">
        <v>0</v>
      </c>
      <c r="J2229">
        <v>0</v>
      </c>
      <c r="K2229">
        <v>0</v>
      </c>
    </row>
    <row r="2230" spans="1:11" x14ac:dyDescent="0.2">
      <c r="A2230" t="s">
        <v>4350</v>
      </c>
      <c r="B2230">
        <v>0</v>
      </c>
      <c r="C2230">
        <v>0</v>
      </c>
      <c r="D2230">
        <v>0</v>
      </c>
      <c r="E2230">
        <v>0</v>
      </c>
      <c r="F2230">
        <v>0</v>
      </c>
      <c r="G2230">
        <v>0</v>
      </c>
      <c r="H2230">
        <v>1</v>
      </c>
      <c r="I2230">
        <v>0</v>
      </c>
      <c r="J2230">
        <v>0</v>
      </c>
      <c r="K2230">
        <v>9</v>
      </c>
    </row>
    <row r="2231" spans="1:11" x14ac:dyDescent="0.2">
      <c r="A2231" t="s">
        <v>4351</v>
      </c>
      <c r="B2231">
        <v>0</v>
      </c>
      <c r="C2231">
        <v>0</v>
      </c>
      <c r="D2231">
        <v>0</v>
      </c>
      <c r="E2231">
        <v>0</v>
      </c>
      <c r="F2231">
        <v>0</v>
      </c>
      <c r="G2231">
        <v>0</v>
      </c>
      <c r="H2231">
        <v>0</v>
      </c>
      <c r="I2231">
        <v>0</v>
      </c>
      <c r="J2231">
        <v>0</v>
      </c>
      <c r="K2231">
        <v>0</v>
      </c>
    </row>
    <row r="2232" spans="1:11" x14ac:dyDescent="0.2">
      <c r="A2232" t="s">
        <v>4352</v>
      </c>
      <c r="B2232">
        <v>0</v>
      </c>
      <c r="C2232">
        <v>0</v>
      </c>
      <c r="D2232">
        <v>0</v>
      </c>
      <c r="E2232">
        <v>0</v>
      </c>
      <c r="F2232">
        <v>0</v>
      </c>
      <c r="G2232">
        <v>0</v>
      </c>
      <c r="H2232">
        <v>0</v>
      </c>
      <c r="I2232">
        <v>0</v>
      </c>
      <c r="J2232">
        <v>0</v>
      </c>
      <c r="K2232">
        <v>0</v>
      </c>
    </row>
    <row r="2233" spans="1:11" x14ac:dyDescent="0.2">
      <c r="A2233" t="s">
        <v>4353</v>
      </c>
      <c r="B2233">
        <v>3</v>
      </c>
      <c r="C2233">
        <v>0</v>
      </c>
      <c r="D2233">
        <v>0</v>
      </c>
      <c r="E2233">
        <v>0</v>
      </c>
      <c r="F2233">
        <v>0</v>
      </c>
      <c r="G2233">
        <v>0</v>
      </c>
      <c r="H2233">
        <v>3</v>
      </c>
      <c r="I2233">
        <v>0</v>
      </c>
      <c r="J2233">
        <v>0</v>
      </c>
      <c r="K2233">
        <v>41</v>
      </c>
    </row>
    <row r="2234" spans="1:11" x14ac:dyDescent="0.2">
      <c r="A2234" t="s">
        <v>4354</v>
      </c>
      <c r="B2234">
        <v>3</v>
      </c>
      <c r="C2234">
        <v>0</v>
      </c>
      <c r="D2234">
        <v>0</v>
      </c>
      <c r="E2234">
        <v>0</v>
      </c>
      <c r="F2234">
        <v>0</v>
      </c>
      <c r="G2234">
        <v>0</v>
      </c>
      <c r="H2234">
        <v>2</v>
      </c>
      <c r="I2234">
        <v>0</v>
      </c>
      <c r="J2234">
        <v>0</v>
      </c>
      <c r="K2234">
        <v>23</v>
      </c>
    </row>
    <row r="2235" spans="1:11" x14ac:dyDescent="0.2">
      <c r="A2235" t="s">
        <v>4355</v>
      </c>
      <c r="B2235">
        <v>0</v>
      </c>
      <c r="C2235">
        <v>0</v>
      </c>
      <c r="D2235">
        <v>0</v>
      </c>
      <c r="E2235">
        <v>0</v>
      </c>
      <c r="F2235">
        <v>0</v>
      </c>
      <c r="G2235">
        <v>0</v>
      </c>
      <c r="H2235">
        <v>0</v>
      </c>
      <c r="I2235">
        <v>0</v>
      </c>
      <c r="J2235">
        <v>0</v>
      </c>
      <c r="K2235">
        <v>0</v>
      </c>
    </row>
    <row r="2236" spans="1:11" x14ac:dyDescent="0.2">
      <c r="A2236" t="s">
        <v>4356</v>
      </c>
      <c r="B2236">
        <v>0</v>
      </c>
      <c r="C2236">
        <v>0</v>
      </c>
      <c r="D2236">
        <v>0</v>
      </c>
      <c r="E2236">
        <v>0</v>
      </c>
      <c r="F2236">
        <v>0</v>
      </c>
      <c r="G2236">
        <v>0</v>
      </c>
      <c r="H2236">
        <v>0</v>
      </c>
      <c r="I2236">
        <v>0</v>
      </c>
      <c r="J2236">
        <v>0</v>
      </c>
      <c r="K2236">
        <v>0</v>
      </c>
    </row>
    <row r="2237" spans="1:11" x14ac:dyDescent="0.2">
      <c r="A2237" t="s">
        <v>4357</v>
      </c>
      <c r="B2237">
        <v>0</v>
      </c>
      <c r="C2237">
        <v>0</v>
      </c>
      <c r="D2237">
        <v>0</v>
      </c>
      <c r="E2237">
        <v>0</v>
      </c>
      <c r="F2237">
        <v>0</v>
      </c>
      <c r="G2237">
        <v>0</v>
      </c>
      <c r="H2237">
        <v>0</v>
      </c>
      <c r="I2237">
        <v>0</v>
      </c>
      <c r="J2237">
        <v>0</v>
      </c>
      <c r="K2237">
        <v>3</v>
      </c>
    </row>
    <row r="2238" spans="1:11" x14ac:dyDescent="0.2">
      <c r="A2238" t="s">
        <v>4358</v>
      </c>
      <c r="B2238">
        <v>0</v>
      </c>
      <c r="C2238">
        <v>0</v>
      </c>
      <c r="D2238">
        <v>0</v>
      </c>
      <c r="E2238">
        <v>0</v>
      </c>
      <c r="F2238">
        <v>0</v>
      </c>
      <c r="G2238">
        <v>0</v>
      </c>
      <c r="H2238">
        <v>0</v>
      </c>
      <c r="I2238">
        <v>0</v>
      </c>
      <c r="J2238">
        <v>0</v>
      </c>
      <c r="K2238">
        <v>0</v>
      </c>
    </row>
    <row r="2239" spans="1:11" x14ac:dyDescent="0.2">
      <c r="A2239" t="s">
        <v>4359</v>
      </c>
      <c r="B2239">
        <v>0</v>
      </c>
      <c r="C2239">
        <v>0</v>
      </c>
      <c r="D2239">
        <v>0</v>
      </c>
      <c r="E2239">
        <v>0</v>
      </c>
      <c r="F2239">
        <v>0</v>
      </c>
      <c r="G2239">
        <v>0</v>
      </c>
      <c r="H2239">
        <v>0</v>
      </c>
      <c r="I2239">
        <v>0</v>
      </c>
      <c r="J2239">
        <v>0</v>
      </c>
      <c r="K2239">
        <v>0</v>
      </c>
    </row>
    <row r="2240" spans="1:11" x14ac:dyDescent="0.2">
      <c r="A2240" t="s">
        <v>4360</v>
      </c>
      <c r="B2240">
        <v>0</v>
      </c>
      <c r="C2240">
        <v>0</v>
      </c>
      <c r="D2240">
        <v>0</v>
      </c>
      <c r="E2240">
        <v>0</v>
      </c>
      <c r="F2240">
        <v>0</v>
      </c>
      <c r="G2240">
        <v>0</v>
      </c>
      <c r="H2240">
        <v>0</v>
      </c>
      <c r="I2240">
        <v>0</v>
      </c>
      <c r="J2240">
        <v>0</v>
      </c>
      <c r="K2240">
        <v>1</v>
      </c>
    </row>
    <row r="2241" spans="1:11" x14ac:dyDescent="0.2">
      <c r="A2241" t="s">
        <v>4361</v>
      </c>
      <c r="B2241">
        <v>0</v>
      </c>
      <c r="C2241">
        <v>0</v>
      </c>
      <c r="D2241">
        <v>0</v>
      </c>
      <c r="E2241">
        <v>0</v>
      </c>
      <c r="F2241">
        <v>0</v>
      </c>
      <c r="G2241">
        <v>0</v>
      </c>
      <c r="H2241">
        <v>0</v>
      </c>
      <c r="I2241">
        <v>0</v>
      </c>
      <c r="J2241">
        <v>0</v>
      </c>
      <c r="K2241">
        <v>1</v>
      </c>
    </row>
    <row r="2242" spans="1:11" x14ac:dyDescent="0.2">
      <c r="A2242" t="s">
        <v>4362</v>
      </c>
      <c r="B2242">
        <v>0</v>
      </c>
      <c r="C2242">
        <v>0</v>
      </c>
      <c r="D2242">
        <v>0</v>
      </c>
      <c r="E2242">
        <v>0</v>
      </c>
      <c r="F2242">
        <v>0</v>
      </c>
      <c r="G2242">
        <v>0</v>
      </c>
      <c r="H2242">
        <v>0</v>
      </c>
      <c r="I2242">
        <v>0</v>
      </c>
      <c r="J2242">
        <v>0</v>
      </c>
      <c r="K2242">
        <v>0</v>
      </c>
    </row>
    <row r="2243" spans="1:11" x14ac:dyDescent="0.2">
      <c r="A2243" t="s">
        <v>4363</v>
      </c>
      <c r="B2243">
        <v>0</v>
      </c>
      <c r="C2243">
        <v>0</v>
      </c>
      <c r="D2243">
        <v>0</v>
      </c>
      <c r="E2243">
        <v>0</v>
      </c>
      <c r="F2243">
        <v>0</v>
      </c>
      <c r="G2243">
        <v>0</v>
      </c>
      <c r="H2243">
        <v>0</v>
      </c>
      <c r="I2243">
        <v>0</v>
      </c>
      <c r="J2243">
        <v>0</v>
      </c>
      <c r="K2243">
        <v>0</v>
      </c>
    </row>
    <row r="2244" spans="1:11" x14ac:dyDescent="0.2">
      <c r="A2244" t="s">
        <v>4364</v>
      </c>
      <c r="B2244">
        <v>0</v>
      </c>
      <c r="C2244">
        <v>0</v>
      </c>
      <c r="D2244">
        <v>0</v>
      </c>
      <c r="E2244">
        <v>0</v>
      </c>
      <c r="F2244">
        <v>0</v>
      </c>
      <c r="G2244">
        <v>0</v>
      </c>
      <c r="H2244">
        <v>0</v>
      </c>
      <c r="I2244">
        <v>0</v>
      </c>
      <c r="J2244">
        <v>0</v>
      </c>
      <c r="K2244">
        <v>0</v>
      </c>
    </row>
    <row r="2245" spans="1:11" x14ac:dyDescent="0.2">
      <c r="A2245" t="s">
        <v>4365</v>
      </c>
      <c r="B2245">
        <v>0</v>
      </c>
      <c r="C2245">
        <v>0</v>
      </c>
      <c r="D2245">
        <v>0</v>
      </c>
      <c r="E2245">
        <v>0</v>
      </c>
      <c r="F2245">
        <v>0</v>
      </c>
      <c r="G2245">
        <v>0</v>
      </c>
      <c r="H2245">
        <v>0</v>
      </c>
      <c r="I2245">
        <v>0</v>
      </c>
      <c r="J2245">
        <v>0</v>
      </c>
      <c r="K2245">
        <v>27</v>
      </c>
    </row>
    <row r="2246" spans="1:11" x14ac:dyDescent="0.2">
      <c r="A2246" t="s">
        <v>4366</v>
      </c>
      <c r="B2246">
        <v>0</v>
      </c>
      <c r="C2246">
        <v>0</v>
      </c>
      <c r="D2246">
        <v>0</v>
      </c>
      <c r="E2246">
        <v>0</v>
      </c>
      <c r="F2246">
        <v>0</v>
      </c>
      <c r="G2246">
        <v>0</v>
      </c>
      <c r="H2246">
        <v>0</v>
      </c>
      <c r="I2246">
        <v>0</v>
      </c>
      <c r="J2246">
        <v>0</v>
      </c>
      <c r="K2246">
        <v>0</v>
      </c>
    </row>
    <row r="2247" spans="1:11" x14ac:dyDescent="0.2">
      <c r="A2247" t="s">
        <v>4367</v>
      </c>
      <c r="B2247">
        <v>0</v>
      </c>
      <c r="C2247">
        <v>0</v>
      </c>
      <c r="D2247">
        <v>0</v>
      </c>
      <c r="E2247">
        <v>0</v>
      </c>
      <c r="F2247">
        <v>0</v>
      </c>
      <c r="G2247">
        <v>0</v>
      </c>
      <c r="H2247">
        <v>0</v>
      </c>
      <c r="I2247">
        <v>0</v>
      </c>
      <c r="J2247">
        <v>0</v>
      </c>
      <c r="K2247">
        <v>0</v>
      </c>
    </row>
    <row r="2248" spans="1:11" x14ac:dyDescent="0.2">
      <c r="A2248" t="s">
        <v>4368</v>
      </c>
      <c r="B2248">
        <v>4</v>
      </c>
      <c r="C2248">
        <v>0</v>
      </c>
      <c r="D2248">
        <v>0</v>
      </c>
      <c r="E2248">
        <v>0</v>
      </c>
      <c r="F2248">
        <v>0</v>
      </c>
      <c r="G2248">
        <v>0</v>
      </c>
      <c r="H2248">
        <v>1</v>
      </c>
      <c r="I2248">
        <v>0</v>
      </c>
      <c r="J2248">
        <v>0</v>
      </c>
      <c r="K2248">
        <v>149</v>
      </c>
    </row>
    <row r="2249" spans="1:11" x14ac:dyDescent="0.2">
      <c r="A2249" t="s">
        <v>4369</v>
      </c>
      <c r="B2249">
        <v>5</v>
      </c>
      <c r="C2249">
        <v>0</v>
      </c>
      <c r="D2249">
        <v>0</v>
      </c>
      <c r="E2249">
        <v>0</v>
      </c>
      <c r="F2249">
        <v>0</v>
      </c>
      <c r="G2249">
        <v>0</v>
      </c>
      <c r="H2249">
        <v>2</v>
      </c>
      <c r="I2249">
        <v>0</v>
      </c>
      <c r="J2249">
        <v>0</v>
      </c>
      <c r="K2249">
        <v>64</v>
      </c>
    </row>
    <row r="2250" spans="1:11" x14ac:dyDescent="0.2">
      <c r="A2250" t="s">
        <v>4370</v>
      </c>
      <c r="B2250">
        <v>0</v>
      </c>
      <c r="C2250">
        <v>0</v>
      </c>
      <c r="D2250">
        <v>0</v>
      </c>
      <c r="E2250">
        <v>0</v>
      </c>
      <c r="F2250">
        <v>0</v>
      </c>
      <c r="G2250">
        <v>0</v>
      </c>
      <c r="H2250">
        <v>0</v>
      </c>
      <c r="I2250">
        <v>0</v>
      </c>
      <c r="J2250">
        <v>0</v>
      </c>
      <c r="K2250">
        <v>5</v>
      </c>
    </row>
    <row r="2251" spans="1:11" x14ac:dyDescent="0.2">
      <c r="A2251" t="s">
        <v>4371</v>
      </c>
      <c r="B2251">
        <v>0</v>
      </c>
      <c r="C2251">
        <v>0</v>
      </c>
      <c r="D2251">
        <v>0</v>
      </c>
      <c r="E2251">
        <v>0</v>
      </c>
      <c r="F2251">
        <v>0</v>
      </c>
      <c r="G2251">
        <v>0</v>
      </c>
      <c r="H2251">
        <v>0</v>
      </c>
      <c r="I2251">
        <v>0</v>
      </c>
      <c r="J2251">
        <v>0</v>
      </c>
      <c r="K2251">
        <v>0</v>
      </c>
    </row>
    <row r="2252" spans="1:11" x14ac:dyDescent="0.2">
      <c r="A2252" t="s">
        <v>4372</v>
      </c>
      <c r="B2252">
        <v>0</v>
      </c>
      <c r="C2252">
        <v>0</v>
      </c>
      <c r="D2252">
        <v>0</v>
      </c>
      <c r="E2252">
        <v>0</v>
      </c>
      <c r="F2252">
        <v>0</v>
      </c>
      <c r="G2252">
        <v>0</v>
      </c>
      <c r="H2252">
        <v>0</v>
      </c>
      <c r="I2252">
        <v>0</v>
      </c>
      <c r="J2252">
        <v>0</v>
      </c>
      <c r="K2252">
        <v>0</v>
      </c>
    </row>
    <row r="2253" spans="1:11" x14ac:dyDescent="0.2">
      <c r="A2253" t="s">
        <v>4373</v>
      </c>
      <c r="B2253">
        <v>0</v>
      </c>
      <c r="C2253">
        <v>0</v>
      </c>
      <c r="D2253">
        <v>0</v>
      </c>
      <c r="E2253">
        <v>0</v>
      </c>
      <c r="F2253">
        <v>0</v>
      </c>
      <c r="G2253">
        <v>0</v>
      </c>
      <c r="H2253">
        <v>0</v>
      </c>
      <c r="I2253">
        <v>0</v>
      </c>
      <c r="J2253">
        <v>0</v>
      </c>
      <c r="K2253">
        <v>6</v>
      </c>
    </row>
    <row r="2254" spans="1:11" x14ac:dyDescent="0.2">
      <c r="A2254" t="s">
        <v>4374</v>
      </c>
      <c r="B2254">
        <v>0</v>
      </c>
      <c r="C2254">
        <v>0</v>
      </c>
      <c r="D2254">
        <v>0</v>
      </c>
      <c r="E2254">
        <v>0</v>
      </c>
      <c r="F2254">
        <v>0</v>
      </c>
      <c r="G2254">
        <v>0</v>
      </c>
      <c r="H2254">
        <v>0</v>
      </c>
      <c r="I2254">
        <v>0</v>
      </c>
      <c r="J2254">
        <v>0</v>
      </c>
      <c r="K2254">
        <v>0</v>
      </c>
    </row>
    <row r="2255" spans="1:11" x14ac:dyDescent="0.2">
      <c r="A2255" t="s">
        <v>4375</v>
      </c>
      <c r="B2255">
        <v>0</v>
      </c>
      <c r="C2255">
        <v>0</v>
      </c>
      <c r="D2255">
        <v>0</v>
      </c>
      <c r="E2255">
        <v>0</v>
      </c>
      <c r="F2255">
        <v>0</v>
      </c>
      <c r="G2255">
        <v>0</v>
      </c>
      <c r="H2255">
        <v>2</v>
      </c>
      <c r="I2255">
        <v>0</v>
      </c>
      <c r="J2255">
        <v>0</v>
      </c>
      <c r="K2255">
        <v>27</v>
      </c>
    </row>
    <row r="2256" spans="1:11" x14ac:dyDescent="0.2">
      <c r="A2256" t="s">
        <v>4376</v>
      </c>
      <c r="B2256">
        <v>0</v>
      </c>
      <c r="C2256">
        <v>0</v>
      </c>
      <c r="D2256">
        <v>0</v>
      </c>
      <c r="E2256">
        <v>0</v>
      </c>
      <c r="F2256">
        <v>0</v>
      </c>
      <c r="G2256">
        <v>0</v>
      </c>
      <c r="H2256">
        <v>0</v>
      </c>
      <c r="I2256">
        <v>0</v>
      </c>
      <c r="J2256">
        <v>0</v>
      </c>
      <c r="K2256">
        <v>0</v>
      </c>
    </row>
    <row r="2257" spans="1:11" x14ac:dyDescent="0.2">
      <c r="A2257" t="s">
        <v>4377</v>
      </c>
      <c r="B2257">
        <v>0</v>
      </c>
      <c r="C2257">
        <v>0</v>
      </c>
      <c r="D2257">
        <v>0</v>
      </c>
      <c r="E2257">
        <v>0</v>
      </c>
      <c r="F2257">
        <v>0</v>
      </c>
      <c r="G2257">
        <v>0</v>
      </c>
      <c r="H2257">
        <v>1</v>
      </c>
      <c r="I2257">
        <v>0</v>
      </c>
      <c r="J2257">
        <v>0</v>
      </c>
      <c r="K2257">
        <v>10</v>
      </c>
    </row>
    <row r="2258" spans="1:11" x14ac:dyDescent="0.2">
      <c r="A2258" t="s">
        <v>4854</v>
      </c>
      <c r="B2258">
        <v>608</v>
      </c>
      <c r="C2258">
        <v>0</v>
      </c>
      <c r="D2258">
        <v>0</v>
      </c>
      <c r="E2258">
        <v>0</v>
      </c>
      <c r="F2258">
        <v>14</v>
      </c>
      <c r="G2258">
        <v>0</v>
      </c>
      <c r="H2258">
        <v>311</v>
      </c>
      <c r="I2258">
        <v>0</v>
      </c>
      <c r="J2258">
        <v>36</v>
      </c>
      <c r="K2258">
        <v>5479</v>
      </c>
    </row>
    <row r="2259" spans="1:11" x14ac:dyDescent="0.2">
      <c r="A2259" t="s">
        <v>2318</v>
      </c>
      <c r="B2259" t="s">
        <v>4399</v>
      </c>
      <c r="C2259" t="s">
        <v>4399</v>
      </c>
      <c r="D2259" t="s">
        <v>4399</v>
      </c>
      <c r="E2259" t="s">
        <v>4399</v>
      </c>
      <c r="F2259" t="s">
        <v>4399</v>
      </c>
      <c r="G2259" t="s">
        <v>4399</v>
      </c>
      <c r="H2259" t="s">
        <v>4399</v>
      </c>
      <c r="I2259" t="s">
        <v>4399</v>
      </c>
      <c r="J2259" t="s">
        <v>4399</v>
      </c>
      <c r="K2259" t="s">
        <v>4399</v>
      </c>
    </row>
    <row r="2260" spans="1:11" x14ac:dyDescent="0.2">
      <c r="A2260" t="s">
        <v>4248</v>
      </c>
    </row>
    <row r="2261" spans="1:11" x14ac:dyDescent="0.2">
      <c r="A2261" t="s">
        <v>4855</v>
      </c>
      <c r="B2261" t="s">
        <v>4856</v>
      </c>
      <c r="C2261" t="s">
        <v>4857</v>
      </c>
      <c r="D2261" t="s">
        <v>4858</v>
      </c>
      <c r="E2261" t="s">
        <v>4859</v>
      </c>
      <c r="F2261" t="s">
        <v>4860</v>
      </c>
      <c r="G2261" t="s">
        <v>4871</v>
      </c>
    </row>
    <row r="2262" spans="1:11" x14ac:dyDescent="0.2">
      <c r="A2262" t="s">
        <v>2318</v>
      </c>
      <c r="B2262" t="s">
        <v>4399</v>
      </c>
      <c r="C2262" t="s">
        <v>4399</v>
      </c>
      <c r="D2262" t="s">
        <v>4399</v>
      </c>
      <c r="E2262" t="s">
        <v>4399</v>
      </c>
      <c r="F2262" t="s">
        <v>4399</v>
      </c>
      <c r="G2262" t="s">
        <v>4399</v>
      </c>
      <c r="H2262" t="s">
        <v>4399</v>
      </c>
      <c r="I2262" t="s">
        <v>4399</v>
      </c>
      <c r="J2262" t="s">
        <v>4399</v>
      </c>
      <c r="K2262" t="s">
        <v>4399</v>
      </c>
    </row>
    <row r="2263" spans="1:11" x14ac:dyDescent="0.2">
      <c r="A2263" t="s">
        <v>126</v>
      </c>
      <c r="B2263" t="s">
        <v>4804</v>
      </c>
      <c r="C2263" t="s">
        <v>4808</v>
      </c>
      <c r="D2263" t="s">
        <v>437</v>
      </c>
      <c r="E2263" t="s">
        <v>438</v>
      </c>
      <c r="F2263" t="s">
        <v>4818</v>
      </c>
      <c r="G2263" t="s">
        <v>4822</v>
      </c>
      <c r="H2263" t="s">
        <v>4826</v>
      </c>
      <c r="I2263" t="s">
        <v>4830</v>
      </c>
      <c r="J2263" t="s">
        <v>4834</v>
      </c>
      <c r="K2263" t="s">
        <v>4838</v>
      </c>
    </row>
    <row r="2264" spans="1:11" x14ac:dyDescent="0.2">
      <c r="A2264" t="s">
        <v>2318</v>
      </c>
      <c r="B2264" t="s">
        <v>4399</v>
      </c>
      <c r="C2264" t="s">
        <v>4399</v>
      </c>
      <c r="D2264" t="s">
        <v>4399</v>
      </c>
      <c r="E2264" t="s">
        <v>4399</v>
      </c>
      <c r="F2264" t="s">
        <v>4399</v>
      </c>
      <c r="G2264" t="s">
        <v>4399</v>
      </c>
      <c r="H2264" t="s">
        <v>4399</v>
      </c>
      <c r="I2264" t="s">
        <v>4399</v>
      </c>
      <c r="J2264" t="s">
        <v>4399</v>
      </c>
      <c r="K2264" t="s">
        <v>4399</v>
      </c>
    </row>
    <row r="2265" spans="1:11" x14ac:dyDescent="0.2">
      <c r="A2265" t="s">
        <v>4265</v>
      </c>
      <c r="B2265">
        <v>0</v>
      </c>
      <c r="C2265">
        <v>0</v>
      </c>
      <c r="D2265">
        <v>0</v>
      </c>
      <c r="E2265">
        <v>0</v>
      </c>
      <c r="F2265">
        <v>0</v>
      </c>
      <c r="G2265">
        <v>0</v>
      </c>
      <c r="H2265">
        <v>0</v>
      </c>
      <c r="I2265">
        <v>0</v>
      </c>
      <c r="J2265">
        <v>0</v>
      </c>
      <c r="K2265">
        <v>0</v>
      </c>
    </row>
    <row r="2266" spans="1:11" x14ac:dyDescent="0.2">
      <c r="A2266" t="s">
        <v>4266</v>
      </c>
      <c r="B2266">
        <v>0</v>
      </c>
      <c r="C2266">
        <v>0</v>
      </c>
      <c r="D2266">
        <v>0</v>
      </c>
      <c r="E2266">
        <v>0</v>
      </c>
      <c r="F2266">
        <v>0</v>
      </c>
      <c r="G2266">
        <v>0</v>
      </c>
      <c r="H2266">
        <v>0</v>
      </c>
      <c r="I2266">
        <v>0</v>
      </c>
      <c r="J2266">
        <v>0</v>
      </c>
      <c r="K2266">
        <v>0</v>
      </c>
    </row>
    <row r="2267" spans="1:11" x14ac:dyDescent="0.2">
      <c r="A2267" t="s">
        <v>4267</v>
      </c>
      <c r="B2267">
        <v>0</v>
      </c>
      <c r="C2267">
        <v>0</v>
      </c>
      <c r="D2267">
        <v>0</v>
      </c>
      <c r="E2267">
        <v>0</v>
      </c>
      <c r="F2267">
        <v>0</v>
      </c>
      <c r="G2267">
        <v>0</v>
      </c>
      <c r="H2267">
        <v>0</v>
      </c>
      <c r="I2267">
        <v>0</v>
      </c>
      <c r="J2267">
        <v>0</v>
      </c>
      <c r="K2267">
        <v>0</v>
      </c>
    </row>
    <row r="2268" spans="1:11" x14ac:dyDescent="0.2">
      <c r="A2268" t="s">
        <v>4268</v>
      </c>
      <c r="B2268">
        <v>0</v>
      </c>
      <c r="C2268">
        <v>0</v>
      </c>
      <c r="D2268">
        <v>0</v>
      </c>
      <c r="E2268">
        <v>0</v>
      </c>
      <c r="F2268">
        <v>0</v>
      </c>
      <c r="G2268">
        <v>0</v>
      </c>
      <c r="H2268">
        <v>0</v>
      </c>
      <c r="I2268">
        <v>0</v>
      </c>
      <c r="J2268">
        <v>0</v>
      </c>
      <c r="K2268">
        <v>0</v>
      </c>
    </row>
    <row r="2269" spans="1:11" x14ac:dyDescent="0.2">
      <c r="A2269" t="s">
        <v>4269</v>
      </c>
      <c r="B2269">
        <v>0</v>
      </c>
      <c r="C2269">
        <v>0</v>
      </c>
      <c r="D2269">
        <v>0</v>
      </c>
      <c r="E2269">
        <v>0</v>
      </c>
      <c r="F2269">
        <v>0</v>
      </c>
      <c r="G2269">
        <v>0</v>
      </c>
      <c r="H2269">
        <v>0</v>
      </c>
      <c r="I2269">
        <v>0</v>
      </c>
      <c r="J2269">
        <v>0</v>
      </c>
      <c r="K2269">
        <v>0</v>
      </c>
    </row>
    <row r="2270" spans="1:11" x14ac:dyDescent="0.2">
      <c r="A2270" t="s">
        <v>4270</v>
      </c>
      <c r="B2270">
        <v>0</v>
      </c>
      <c r="C2270">
        <v>0</v>
      </c>
      <c r="D2270">
        <v>0</v>
      </c>
      <c r="E2270">
        <v>0</v>
      </c>
      <c r="F2270">
        <v>0</v>
      </c>
      <c r="G2270">
        <v>0</v>
      </c>
      <c r="H2270">
        <v>0</v>
      </c>
      <c r="I2270">
        <v>0</v>
      </c>
      <c r="J2270">
        <v>0</v>
      </c>
      <c r="K2270">
        <v>0</v>
      </c>
    </row>
    <row r="2271" spans="1:11" x14ac:dyDescent="0.2">
      <c r="A2271" t="s">
        <v>4271</v>
      </c>
      <c r="B2271">
        <v>0</v>
      </c>
      <c r="C2271">
        <v>0</v>
      </c>
      <c r="D2271">
        <v>0</v>
      </c>
      <c r="E2271">
        <v>0</v>
      </c>
      <c r="F2271">
        <v>0</v>
      </c>
      <c r="G2271">
        <v>0</v>
      </c>
      <c r="H2271">
        <v>0</v>
      </c>
      <c r="I2271">
        <v>0</v>
      </c>
      <c r="J2271">
        <v>0</v>
      </c>
      <c r="K2271">
        <v>0</v>
      </c>
    </row>
    <row r="2272" spans="1:11" x14ac:dyDescent="0.2">
      <c r="A2272" t="s">
        <v>4272</v>
      </c>
      <c r="B2272">
        <v>0</v>
      </c>
      <c r="C2272">
        <v>0</v>
      </c>
      <c r="D2272">
        <v>0</v>
      </c>
      <c r="E2272">
        <v>0</v>
      </c>
      <c r="F2272">
        <v>0</v>
      </c>
      <c r="G2272">
        <v>0</v>
      </c>
      <c r="H2272">
        <v>0</v>
      </c>
      <c r="I2272">
        <v>0</v>
      </c>
      <c r="J2272">
        <v>0</v>
      </c>
      <c r="K2272">
        <v>0</v>
      </c>
    </row>
    <row r="2273" spans="1:11" x14ac:dyDescent="0.2">
      <c r="A2273" t="s">
        <v>4273</v>
      </c>
      <c r="B2273">
        <v>0</v>
      </c>
      <c r="C2273">
        <v>0</v>
      </c>
      <c r="D2273">
        <v>0</v>
      </c>
      <c r="E2273">
        <v>0</v>
      </c>
      <c r="F2273">
        <v>0</v>
      </c>
      <c r="G2273">
        <v>0</v>
      </c>
      <c r="H2273">
        <v>0</v>
      </c>
      <c r="I2273">
        <v>0</v>
      </c>
      <c r="J2273">
        <v>0</v>
      </c>
      <c r="K2273">
        <v>0</v>
      </c>
    </row>
    <row r="2274" spans="1:11" x14ac:dyDescent="0.2">
      <c r="A2274" t="s">
        <v>4274</v>
      </c>
      <c r="B2274">
        <v>0</v>
      </c>
      <c r="C2274">
        <v>0</v>
      </c>
      <c r="D2274">
        <v>0</v>
      </c>
      <c r="E2274">
        <v>0</v>
      </c>
      <c r="F2274">
        <v>0</v>
      </c>
      <c r="G2274">
        <v>0</v>
      </c>
      <c r="H2274">
        <v>0</v>
      </c>
      <c r="I2274">
        <v>0</v>
      </c>
      <c r="J2274">
        <v>0</v>
      </c>
      <c r="K2274">
        <v>0</v>
      </c>
    </row>
    <row r="2275" spans="1:11" x14ac:dyDescent="0.2">
      <c r="A2275" t="s">
        <v>4275</v>
      </c>
      <c r="B2275">
        <v>0</v>
      </c>
      <c r="C2275">
        <v>0</v>
      </c>
      <c r="D2275">
        <v>0</v>
      </c>
      <c r="E2275">
        <v>0</v>
      </c>
      <c r="F2275">
        <v>0</v>
      </c>
      <c r="G2275">
        <v>0</v>
      </c>
      <c r="H2275">
        <v>0</v>
      </c>
      <c r="I2275">
        <v>0</v>
      </c>
      <c r="J2275">
        <v>0</v>
      </c>
      <c r="K2275">
        <v>0</v>
      </c>
    </row>
    <row r="2276" spans="1:11" x14ac:dyDescent="0.2">
      <c r="A2276" t="s">
        <v>4276</v>
      </c>
      <c r="B2276">
        <v>0</v>
      </c>
      <c r="C2276">
        <v>0</v>
      </c>
      <c r="D2276">
        <v>0</v>
      </c>
      <c r="E2276">
        <v>0</v>
      </c>
      <c r="F2276">
        <v>0</v>
      </c>
      <c r="G2276">
        <v>0</v>
      </c>
      <c r="H2276">
        <v>0</v>
      </c>
      <c r="I2276">
        <v>0</v>
      </c>
      <c r="J2276">
        <v>0</v>
      </c>
      <c r="K2276">
        <v>0</v>
      </c>
    </row>
    <row r="2277" spans="1:11" x14ac:dyDescent="0.2">
      <c r="A2277" t="s">
        <v>4277</v>
      </c>
      <c r="B2277">
        <v>0</v>
      </c>
      <c r="C2277">
        <v>0</v>
      </c>
      <c r="D2277">
        <v>0</v>
      </c>
      <c r="E2277">
        <v>0</v>
      </c>
      <c r="F2277">
        <v>0</v>
      </c>
      <c r="G2277">
        <v>0</v>
      </c>
      <c r="H2277">
        <v>0</v>
      </c>
      <c r="I2277">
        <v>0</v>
      </c>
      <c r="J2277">
        <v>0</v>
      </c>
      <c r="K2277">
        <v>0</v>
      </c>
    </row>
    <row r="2278" spans="1:11" x14ac:dyDescent="0.2">
      <c r="A2278" t="s">
        <v>4278</v>
      </c>
      <c r="B2278">
        <v>0</v>
      </c>
      <c r="C2278">
        <v>0</v>
      </c>
      <c r="D2278">
        <v>0</v>
      </c>
      <c r="E2278">
        <v>0</v>
      </c>
      <c r="F2278">
        <v>0</v>
      </c>
      <c r="G2278">
        <v>0</v>
      </c>
      <c r="H2278">
        <v>0</v>
      </c>
      <c r="I2278">
        <v>0</v>
      </c>
      <c r="J2278">
        <v>0</v>
      </c>
      <c r="K2278">
        <v>0</v>
      </c>
    </row>
    <row r="2279" spans="1:11" x14ac:dyDescent="0.2">
      <c r="A2279" t="s">
        <v>4279</v>
      </c>
      <c r="B2279">
        <v>0</v>
      </c>
      <c r="C2279">
        <v>0</v>
      </c>
      <c r="D2279">
        <v>0</v>
      </c>
      <c r="E2279">
        <v>0</v>
      </c>
      <c r="F2279">
        <v>0</v>
      </c>
      <c r="G2279">
        <v>0</v>
      </c>
      <c r="H2279">
        <v>0</v>
      </c>
      <c r="I2279">
        <v>0</v>
      </c>
      <c r="J2279">
        <v>0</v>
      </c>
      <c r="K2279">
        <v>0</v>
      </c>
    </row>
    <row r="2280" spans="1:11" x14ac:dyDescent="0.2">
      <c r="A2280" t="s">
        <v>4280</v>
      </c>
      <c r="B2280">
        <v>0</v>
      </c>
      <c r="C2280">
        <v>0</v>
      </c>
      <c r="D2280">
        <v>0</v>
      </c>
      <c r="E2280">
        <v>0</v>
      </c>
      <c r="F2280">
        <v>0</v>
      </c>
      <c r="G2280">
        <v>0</v>
      </c>
      <c r="H2280">
        <v>0</v>
      </c>
      <c r="I2280">
        <v>0</v>
      </c>
      <c r="J2280">
        <v>0</v>
      </c>
      <c r="K2280">
        <v>0</v>
      </c>
    </row>
    <row r="2281" spans="1:11" x14ac:dyDescent="0.2">
      <c r="A2281" t="s">
        <v>4281</v>
      </c>
      <c r="B2281">
        <v>5</v>
      </c>
      <c r="C2281">
        <v>0</v>
      </c>
      <c r="D2281">
        <v>2</v>
      </c>
      <c r="E2281">
        <v>11</v>
      </c>
      <c r="F2281">
        <v>6</v>
      </c>
      <c r="G2281">
        <v>0</v>
      </c>
      <c r="H2281">
        <v>23</v>
      </c>
      <c r="I2281">
        <v>0</v>
      </c>
      <c r="J2281">
        <v>0</v>
      </c>
      <c r="K2281">
        <v>0</v>
      </c>
    </row>
    <row r="2282" spans="1:11" x14ac:dyDescent="0.2">
      <c r="A2282" t="s">
        <v>4282</v>
      </c>
      <c r="B2282">
        <v>1</v>
      </c>
      <c r="C2282">
        <v>0</v>
      </c>
      <c r="D2282">
        <v>0</v>
      </c>
      <c r="E2282">
        <v>2</v>
      </c>
      <c r="F2282">
        <v>1</v>
      </c>
      <c r="G2282">
        <v>0</v>
      </c>
      <c r="H2282">
        <v>4</v>
      </c>
      <c r="I2282">
        <v>0</v>
      </c>
      <c r="J2282">
        <v>0</v>
      </c>
      <c r="K2282">
        <v>0</v>
      </c>
    </row>
    <row r="2283" spans="1:11" x14ac:dyDescent="0.2">
      <c r="A2283" t="s">
        <v>4283</v>
      </c>
      <c r="B2283">
        <v>0</v>
      </c>
      <c r="C2283">
        <v>0</v>
      </c>
      <c r="D2283">
        <v>0</v>
      </c>
      <c r="E2283">
        <v>1</v>
      </c>
      <c r="F2283">
        <v>0</v>
      </c>
      <c r="G2283">
        <v>0</v>
      </c>
      <c r="H2283">
        <v>1</v>
      </c>
      <c r="I2283">
        <v>0</v>
      </c>
      <c r="J2283">
        <v>0</v>
      </c>
      <c r="K2283">
        <v>0</v>
      </c>
    </row>
    <row r="2284" spans="1:11" x14ac:dyDescent="0.2">
      <c r="A2284" t="s">
        <v>4284</v>
      </c>
      <c r="B2284">
        <v>0</v>
      </c>
      <c r="C2284">
        <v>0</v>
      </c>
      <c r="D2284">
        <v>0</v>
      </c>
      <c r="E2284">
        <v>0</v>
      </c>
      <c r="F2284">
        <v>0</v>
      </c>
      <c r="G2284">
        <v>0</v>
      </c>
      <c r="H2284">
        <v>0</v>
      </c>
      <c r="I2284">
        <v>0</v>
      </c>
      <c r="J2284">
        <v>0</v>
      </c>
      <c r="K2284">
        <v>0</v>
      </c>
    </row>
    <row r="2285" spans="1:11" x14ac:dyDescent="0.2">
      <c r="A2285" t="s">
        <v>4285</v>
      </c>
      <c r="B2285">
        <v>0</v>
      </c>
      <c r="C2285">
        <v>0</v>
      </c>
      <c r="D2285">
        <v>0</v>
      </c>
      <c r="E2285">
        <v>2</v>
      </c>
      <c r="F2285">
        <v>0</v>
      </c>
      <c r="G2285">
        <v>0</v>
      </c>
      <c r="H2285">
        <v>1</v>
      </c>
      <c r="I2285">
        <v>0</v>
      </c>
      <c r="J2285">
        <v>0</v>
      </c>
      <c r="K2285">
        <v>0</v>
      </c>
    </row>
    <row r="2286" spans="1:11" x14ac:dyDescent="0.2">
      <c r="A2286" t="s">
        <v>4286</v>
      </c>
      <c r="B2286">
        <v>0</v>
      </c>
      <c r="C2286">
        <v>0</v>
      </c>
      <c r="D2286">
        <v>0</v>
      </c>
      <c r="E2286">
        <v>0</v>
      </c>
      <c r="F2286">
        <v>0</v>
      </c>
      <c r="G2286">
        <v>0</v>
      </c>
      <c r="H2286">
        <v>1</v>
      </c>
      <c r="I2286">
        <v>0</v>
      </c>
      <c r="J2286">
        <v>0</v>
      </c>
      <c r="K2286">
        <v>0</v>
      </c>
    </row>
    <row r="2287" spans="1:11" x14ac:dyDescent="0.2">
      <c r="A2287" t="s">
        <v>4287</v>
      </c>
      <c r="B2287">
        <v>0</v>
      </c>
      <c r="C2287">
        <v>0</v>
      </c>
      <c r="D2287">
        <v>0</v>
      </c>
      <c r="E2287">
        <v>0</v>
      </c>
      <c r="F2287">
        <v>0</v>
      </c>
      <c r="G2287">
        <v>0</v>
      </c>
      <c r="H2287">
        <v>0</v>
      </c>
      <c r="I2287">
        <v>0</v>
      </c>
      <c r="J2287">
        <v>0</v>
      </c>
      <c r="K2287">
        <v>0</v>
      </c>
    </row>
    <row r="2288" spans="1:11" x14ac:dyDescent="0.2">
      <c r="A2288" t="s">
        <v>4288</v>
      </c>
      <c r="B2288">
        <v>0</v>
      </c>
      <c r="C2288">
        <v>0</v>
      </c>
      <c r="D2288">
        <v>0</v>
      </c>
      <c r="E2288">
        <v>0</v>
      </c>
      <c r="F2288">
        <v>0</v>
      </c>
      <c r="G2288">
        <v>0</v>
      </c>
      <c r="H2288">
        <v>0</v>
      </c>
      <c r="I2288">
        <v>0</v>
      </c>
      <c r="J2288">
        <v>0</v>
      </c>
      <c r="K2288">
        <v>0</v>
      </c>
    </row>
    <row r="2289" spans="1:11" x14ac:dyDescent="0.2">
      <c r="A2289" t="s">
        <v>4289</v>
      </c>
      <c r="B2289">
        <v>0</v>
      </c>
      <c r="C2289">
        <v>0</v>
      </c>
      <c r="D2289">
        <v>0</v>
      </c>
      <c r="E2289">
        <v>0</v>
      </c>
      <c r="F2289">
        <v>0</v>
      </c>
      <c r="G2289">
        <v>0</v>
      </c>
      <c r="H2289">
        <v>0</v>
      </c>
      <c r="I2289">
        <v>0</v>
      </c>
      <c r="J2289">
        <v>0</v>
      </c>
      <c r="K2289">
        <v>0</v>
      </c>
    </row>
    <row r="2290" spans="1:11" x14ac:dyDescent="0.2">
      <c r="A2290" t="s">
        <v>4290</v>
      </c>
      <c r="B2290">
        <v>0</v>
      </c>
      <c r="C2290">
        <v>0</v>
      </c>
      <c r="D2290">
        <v>0</v>
      </c>
      <c r="E2290">
        <v>0</v>
      </c>
      <c r="F2290">
        <v>0</v>
      </c>
      <c r="G2290">
        <v>0</v>
      </c>
      <c r="H2290">
        <v>0</v>
      </c>
      <c r="I2290">
        <v>0</v>
      </c>
      <c r="J2290">
        <v>0</v>
      </c>
      <c r="K2290">
        <v>0</v>
      </c>
    </row>
    <row r="2291" spans="1:11" x14ac:dyDescent="0.2">
      <c r="A2291" t="s">
        <v>4291</v>
      </c>
      <c r="B2291">
        <v>0</v>
      </c>
      <c r="C2291">
        <v>0</v>
      </c>
      <c r="D2291">
        <v>0</v>
      </c>
      <c r="E2291">
        <v>0</v>
      </c>
      <c r="F2291">
        <v>0</v>
      </c>
      <c r="G2291">
        <v>0</v>
      </c>
      <c r="H2291">
        <v>0</v>
      </c>
      <c r="I2291">
        <v>0</v>
      </c>
      <c r="J2291">
        <v>0</v>
      </c>
      <c r="K2291">
        <v>0</v>
      </c>
    </row>
    <row r="2292" spans="1:11" x14ac:dyDescent="0.2">
      <c r="A2292" t="s">
        <v>4292</v>
      </c>
      <c r="B2292">
        <v>0</v>
      </c>
      <c r="C2292">
        <v>0</v>
      </c>
      <c r="D2292">
        <v>0</v>
      </c>
      <c r="E2292">
        <v>0</v>
      </c>
      <c r="F2292">
        <v>0</v>
      </c>
      <c r="G2292">
        <v>0</v>
      </c>
      <c r="H2292">
        <v>0</v>
      </c>
      <c r="I2292">
        <v>0</v>
      </c>
      <c r="J2292">
        <v>0</v>
      </c>
      <c r="K2292">
        <v>0</v>
      </c>
    </row>
    <row r="2293" spans="1:11" x14ac:dyDescent="0.2">
      <c r="A2293" t="s">
        <v>4293</v>
      </c>
      <c r="B2293">
        <v>0</v>
      </c>
      <c r="C2293">
        <v>0</v>
      </c>
      <c r="D2293">
        <v>0</v>
      </c>
      <c r="E2293">
        <v>0</v>
      </c>
      <c r="F2293">
        <v>0</v>
      </c>
      <c r="G2293">
        <v>0</v>
      </c>
      <c r="H2293">
        <v>0</v>
      </c>
      <c r="I2293">
        <v>0</v>
      </c>
      <c r="J2293">
        <v>0</v>
      </c>
      <c r="K2293">
        <v>0</v>
      </c>
    </row>
    <row r="2294" spans="1:11" x14ac:dyDescent="0.2">
      <c r="A2294" t="s">
        <v>4294</v>
      </c>
      <c r="B2294">
        <v>0</v>
      </c>
      <c r="C2294">
        <v>0</v>
      </c>
      <c r="D2294">
        <v>0</v>
      </c>
      <c r="E2294">
        <v>0</v>
      </c>
      <c r="F2294">
        <v>0</v>
      </c>
      <c r="G2294">
        <v>0</v>
      </c>
      <c r="H2294">
        <v>0</v>
      </c>
      <c r="I2294">
        <v>0</v>
      </c>
      <c r="J2294">
        <v>0</v>
      </c>
      <c r="K2294">
        <v>0</v>
      </c>
    </row>
    <row r="2295" spans="1:11" x14ac:dyDescent="0.2">
      <c r="A2295" t="s">
        <v>4295</v>
      </c>
      <c r="B2295">
        <v>0</v>
      </c>
      <c r="C2295">
        <v>0</v>
      </c>
      <c r="D2295">
        <v>0</v>
      </c>
      <c r="E2295">
        <v>0</v>
      </c>
      <c r="F2295">
        <v>0</v>
      </c>
      <c r="G2295">
        <v>0</v>
      </c>
      <c r="H2295">
        <v>0</v>
      </c>
      <c r="I2295">
        <v>0</v>
      </c>
      <c r="J2295">
        <v>0</v>
      </c>
      <c r="K2295">
        <v>0</v>
      </c>
    </row>
    <row r="2296" spans="1:11" x14ac:dyDescent="0.2">
      <c r="A2296" t="s">
        <v>4296</v>
      </c>
      <c r="B2296">
        <v>0</v>
      </c>
      <c r="C2296">
        <v>0</v>
      </c>
      <c r="D2296">
        <v>0</v>
      </c>
      <c r="E2296">
        <v>0</v>
      </c>
      <c r="F2296">
        <v>0</v>
      </c>
      <c r="G2296">
        <v>0</v>
      </c>
      <c r="H2296">
        <v>0</v>
      </c>
      <c r="I2296">
        <v>0</v>
      </c>
      <c r="J2296">
        <v>0</v>
      </c>
      <c r="K2296">
        <v>0</v>
      </c>
    </row>
    <row r="2297" spans="1:11" x14ac:dyDescent="0.2">
      <c r="A2297" t="s">
        <v>4297</v>
      </c>
      <c r="B2297">
        <v>1</v>
      </c>
      <c r="C2297">
        <v>0</v>
      </c>
      <c r="D2297">
        <v>0</v>
      </c>
      <c r="E2297">
        <v>5</v>
      </c>
      <c r="F2297">
        <v>1</v>
      </c>
      <c r="G2297">
        <v>0</v>
      </c>
      <c r="H2297">
        <v>3</v>
      </c>
      <c r="I2297">
        <v>0</v>
      </c>
      <c r="J2297">
        <v>0</v>
      </c>
      <c r="K2297">
        <v>0</v>
      </c>
    </row>
    <row r="2298" spans="1:11" x14ac:dyDescent="0.2">
      <c r="A2298" t="s">
        <v>4298</v>
      </c>
      <c r="B2298">
        <v>1</v>
      </c>
      <c r="C2298">
        <v>0</v>
      </c>
      <c r="D2298">
        <v>0</v>
      </c>
      <c r="E2298">
        <v>3</v>
      </c>
      <c r="F2298">
        <v>1</v>
      </c>
      <c r="G2298">
        <v>0</v>
      </c>
      <c r="H2298">
        <v>4</v>
      </c>
      <c r="I2298">
        <v>0</v>
      </c>
      <c r="J2298">
        <v>0</v>
      </c>
      <c r="K2298">
        <v>0</v>
      </c>
    </row>
    <row r="2299" spans="1:11" x14ac:dyDescent="0.2">
      <c r="A2299" t="s">
        <v>4299</v>
      </c>
      <c r="B2299">
        <v>2</v>
      </c>
      <c r="C2299">
        <v>0</v>
      </c>
      <c r="D2299">
        <v>1</v>
      </c>
      <c r="E2299">
        <v>8</v>
      </c>
      <c r="F2299">
        <v>2</v>
      </c>
      <c r="G2299">
        <v>0</v>
      </c>
      <c r="H2299">
        <v>9</v>
      </c>
      <c r="I2299">
        <v>0</v>
      </c>
      <c r="J2299">
        <v>0</v>
      </c>
      <c r="K2299">
        <v>0</v>
      </c>
    </row>
    <row r="2300" spans="1:11" x14ac:dyDescent="0.2">
      <c r="A2300" t="s">
        <v>4300</v>
      </c>
      <c r="B2300">
        <v>0</v>
      </c>
      <c r="C2300">
        <v>0</v>
      </c>
      <c r="D2300">
        <v>0</v>
      </c>
      <c r="E2300">
        <v>0</v>
      </c>
      <c r="F2300">
        <v>0</v>
      </c>
      <c r="G2300">
        <v>0</v>
      </c>
      <c r="H2300">
        <v>1</v>
      </c>
      <c r="I2300">
        <v>0</v>
      </c>
      <c r="J2300">
        <v>0</v>
      </c>
      <c r="K2300">
        <v>0</v>
      </c>
    </row>
    <row r="2301" spans="1:11" x14ac:dyDescent="0.2">
      <c r="A2301" t="s">
        <v>4301</v>
      </c>
      <c r="B2301">
        <v>2</v>
      </c>
      <c r="C2301">
        <v>0</v>
      </c>
      <c r="D2301">
        <v>1</v>
      </c>
      <c r="E2301">
        <v>15</v>
      </c>
      <c r="F2301">
        <v>2</v>
      </c>
      <c r="G2301">
        <v>0</v>
      </c>
      <c r="H2301">
        <v>10</v>
      </c>
      <c r="I2301">
        <v>0</v>
      </c>
      <c r="J2301">
        <v>0</v>
      </c>
      <c r="K2301">
        <v>0</v>
      </c>
    </row>
    <row r="2302" spans="1:11" x14ac:dyDescent="0.2">
      <c r="A2302" t="s">
        <v>4302</v>
      </c>
      <c r="B2302">
        <v>1</v>
      </c>
      <c r="C2302">
        <v>0</v>
      </c>
      <c r="D2302">
        <v>1</v>
      </c>
      <c r="E2302">
        <v>6</v>
      </c>
      <c r="F2302">
        <v>2</v>
      </c>
      <c r="G2302">
        <v>0</v>
      </c>
      <c r="H2302">
        <v>7</v>
      </c>
      <c r="I2302">
        <v>0</v>
      </c>
      <c r="J2302">
        <v>0</v>
      </c>
      <c r="K2302">
        <v>0</v>
      </c>
    </row>
    <row r="2303" spans="1:11" x14ac:dyDescent="0.2">
      <c r="A2303" t="s">
        <v>4303</v>
      </c>
      <c r="B2303">
        <v>5</v>
      </c>
      <c r="C2303">
        <v>0</v>
      </c>
      <c r="D2303">
        <v>2</v>
      </c>
      <c r="E2303">
        <v>7</v>
      </c>
      <c r="F2303">
        <v>6</v>
      </c>
      <c r="G2303">
        <v>0</v>
      </c>
      <c r="H2303">
        <v>24</v>
      </c>
      <c r="I2303">
        <v>0</v>
      </c>
      <c r="J2303">
        <v>0</v>
      </c>
      <c r="K2303">
        <v>0</v>
      </c>
    </row>
    <row r="2304" spans="1:11" x14ac:dyDescent="0.2">
      <c r="A2304" t="s">
        <v>4304</v>
      </c>
      <c r="B2304">
        <v>0</v>
      </c>
      <c r="C2304">
        <v>0</v>
      </c>
      <c r="D2304">
        <v>0</v>
      </c>
      <c r="E2304">
        <v>3</v>
      </c>
      <c r="F2304">
        <v>0</v>
      </c>
      <c r="G2304">
        <v>0</v>
      </c>
      <c r="H2304">
        <v>2</v>
      </c>
      <c r="I2304">
        <v>0</v>
      </c>
      <c r="J2304">
        <v>0</v>
      </c>
      <c r="K2304">
        <v>0</v>
      </c>
    </row>
    <row r="2305" spans="1:11" x14ac:dyDescent="0.2">
      <c r="A2305" t="s">
        <v>4305</v>
      </c>
      <c r="B2305">
        <v>2</v>
      </c>
      <c r="C2305">
        <v>0</v>
      </c>
      <c r="D2305">
        <v>1</v>
      </c>
      <c r="E2305">
        <v>14</v>
      </c>
      <c r="F2305">
        <v>2</v>
      </c>
      <c r="G2305">
        <v>0</v>
      </c>
      <c r="H2305">
        <v>9</v>
      </c>
      <c r="I2305">
        <v>0</v>
      </c>
      <c r="J2305">
        <v>0</v>
      </c>
      <c r="K2305">
        <v>0</v>
      </c>
    </row>
    <row r="2306" spans="1:11" x14ac:dyDescent="0.2">
      <c r="A2306" t="s">
        <v>4306</v>
      </c>
      <c r="B2306">
        <v>1</v>
      </c>
      <c r="C2306">
        <v>0</v>
      </c>
      <c r="D2306">
        <v>0</v>
      </c>
      <c r="E2306">
        <v>3</v>
      </c>
      <c r="F2306">
        <v>1</v>
      </c>
      <c r="G2306">
        <v>0</v>
      </c>
      <c r="H2306">
        <v>3</v>
      </c>
      <c r="I2306">
        <v>0</v>
      </c>
      <c r="J2306">
        <v>0</v>
      </c>
      <c r="K2306">
        <v>0</v>
      </c>
    </row>
    <row r="2307" spans="1:11" x14ac:dyDescent="0.2">
      <c r="A2307" t="s">
        <v>4307</v>
      </c>
      <c r="B2307">
        <v>26</v>
      </c>
      <c r="C2307">
        <v>0</v>
      </c>
      <c r="D2307">
        <v>10</v>
      </c>
      <c r="E2307">
        <v>39</v>
      </c>
      <c r="F2307">
        <v>30</v>
      </c>
      <c r="G2307">
        <v>0</v>
      </c>
      <c r="H2307">
        <v>127</v>
      </c>
      <c r="I2307">
        <v>0</v>
      </c>
      <c r="J2307">
        <v>0</v>
      </c>
      <c r="K2307">
        <v>0</v>
      </c>
    </row>
    <row r="2308" spans="1:11" x14ac:dyDescent="0.2">
      <c r="A2308" t="s">
        <v>4308</v>
      </c>
      <c r="B2308">
        <v>0</v>
      </c>
      <c r="C2308">
        <v>0</v>
      </c>
      <c r="D2308">
        <v>0</v>
      </c>
      <c r="E2308">
        <v>1</v>
      </c>
      <c r="F2308">
        <v>1</v>
      </c>
      <c r="G2308">
        <v>0</v>
      </c>
      <c r="H2308">
        <v>2</v>
      </c>
      <c r="I2308">
        <v>0</v>
      </c>
      <c r="J2308">
        <v>0</v>
      </c>
      <c r="K2308">
        <v>0</v>
      </c>
    </row>
    <row r="2309" spans="1:11" x14ac:dyDescent="0.2">
      <c r="A2309" t="s">
        <v>4309</v>
      </c>
      <c r="B2309">
        <v>0</v>
      </c>
      <c r="C2309">
        <v>0</v>
      </c>
      <c r="D2309">
        <v>0</v>
      </c>
      <c r="E2309">
        <v>0</v>
      </c>
      <c r="F2309">
        <v>0</v>
      </c>
      <c r="G2309">
        <v>0</v>
      </c>
      <c r="H2309">
        <v>0</v>
      </c>
      <c r="I2309">
        <v>0</v>
      </c>
      <c r="J2309">
        <v>0</v>
      </c>
      <c r="K2309">
        <v>0</v>
      </c>
    </row>
    <row r="2310" spans="1:11" x14ac:dyDescent="0.2">
      <c r="A2310" t="s">
        <v>4310</v>
      </c>
      <c r="B2310">
        <v>0</v>
      </c>
      <c r="C2310">
        <v>0</v>
      </c>
      <c r="D2310">
        <v>0</v>
      </c>
      <c r="E2310">
        <v>0</v>
      </c>
      <c r="F2310">
        <v>0</v>
      </c>
      <c r="G2310">
        <v>0</v>
      </c>
      <c r="H2310">
        <v>0</v>
      </c>
      <c r="I2310">
        <v>0</v>
      </c>
      <c r="J2310">
        <v>0</v>
      </c>
      <c r="K2310">
        <v>0</v>
      </c>
    </row>
    <row r="2311" spans="1:11" x14ac:dyDescent="0.2">
      <c r="A2311" t="s">
        <v>4311</v>
      </c>
      <c r="B2311">
        <v>0</v>
      </c>
      <c r="C2311">
        <v>0</v>
      </c>
      <c r="D2311">
        <v>0</v>
      </c>
      <c r="E2311">
        <v>0</v>
      </c>
      <c r="F2311">
        <v>0</v>
      </c>
      <c r="G2311">
        <v>0</v>
      </c>
      <c r="H2311">
        <v>0</v>
      </c>
      <c r="I2311">
        <v>0</v>
      </c>
      <c r="J2311">
        <v>0</v>
      </c>
      <c r="K2311">
        <v>0</v>
      </c>
    </row>
    <row r="2312" spans="1:11" x14ac:dyDescent="0.2">
      <c r="A2312" t="s">
        <v>4312</v>
      </c>
      <c r="B2312">
        <v>0</v>
      </c>
      <c r="C2312">
        <v>0</v>
      </c>
      <c r="D2312">
        <v>0</v>
      </c>
      <c r="E2312">
        <v>0</v>
      </c>
      <c r="F2312">
        <v>0</v>
      </c>
      <c r="G2312">
        <v>0</v>
      </c>
      <c r="H2312">
        <v>0</v>
      </c>
      <c r="I2312">
        <v>0</v>
      </c>
      <c r="J2312">
        <v>0</v>
      </c>
      <c r="K2312">
        <v>0</v>
      </c>
    </row>
    <row r="2313" spans="1:11" x14ac:dyDescent="0.2">
      <c r="A2313" t="s">
        <v>4313</v>
      </c>
      <c r="B2313">
        <v>0</v>
      </c>
      <c r="C2313">
        <v>0</v>
      </c>
      <c r="D2313">
        <v>0</v>
      </c>
      <c r="E2313">
        <v>0</v>
      </c>
      <c r="F2313">
        <v>0</v>
      </c>
      <c r="G2313">
        <v>0</v>
      </c>
      <c r="H2313">
        <v>0</v>
      </c>
      <c r="I2313">
        <v>0</v>
      </c>
      <c r="J2313">
        <v>0</v>
      </c>
      <c r="K2313">
        <v>0</v>
      </c>
    </row>
    <row r="2314" spans="1:11" x14ac:dyDescent="0.2">
      <c r="A2314" t="s">
        <v>4314</v>
      </c>
      <c r="B2314">
        <v>0</v>
      </c>
      <c r="C2314">
        <v>0</v>
      </c>
      <c r="D2314">
        <v>0</v>
      </c>
      <c r="E2314">
        <v>0</v>
      </c>
      <c r="F2314">
        <v>0</v>
      </c>
      <c r="G2314">
        <v>0</v>
      </c>
      <c r="H2314">
        <v>0</v>
      </c>
      <c r="I2314">
        <v>0</v>
      </c>
      <c r="J2314">
        <v>0</v>
      </c>
      <c r="K2314">
        <v>0</v>
      </c>
    </row>
    <row r="2315" spans="1:11" x14ac:dyDescent="0.2">
      <c r="A2315" t="s">
        <v>4315</v>
      </c>
      <c r="B2315">
        <v>0</v>
      </c>
      <c r="C2315">
        <v>0</v>
      </c>
      <c r="D2315">
        <v>0</v>
      </c>
      <c r="E2315">
        <v>0</v>
      </c>
      <c r="F2315">
        <v>0</v>
      </c>
      <c r="G2315">
        <v>0</v>
      </c>
      <c r="H2315">
        <v>0</v>
      </c>
      <c r="I2315">
        <v>0</v>
      </c>
      <c r="J2315">
        <v>0</v>
      </c>
      <c r="K2315">
        <v>0</v>
      </c>
    </row>
    <row r="2316" spans="1:11" x14ac:dyDescent="0.2">
      <c r="A2316" t="s">
        <v>4316</v>
      </c>
      <c r="B2316">
        <v>0</v>
      </c>
      <c r="C2316">
        <v>0</v>
      </c>
      <c r="D2316">
        <v>0</v>
      </c>
      <c r="E2316">
        <v>0</v>
      </c>
      <c r="F2316">
        <v>0</v>
      </c>
      <c r="G2316">
        <v>0</v>
      </c>
      <c r="H2316">
        <v>0</v>
      </c>
      <c r="I2316">
        <v>0</v>
      </c>
      <c r="J2316">
        <v>0</v>
      </c>
      <c r="K2316">
        <v>0</v>
      </c>
    </row>
    <row r="2317" spans="1:11" x14ac:dyDescent="0.2">
      <c r="A2317" t="s">
        <v>4317</v>
      </c>
      <c r="B2317">
        <v>0</v>
      </c>
      <c r="C2317">
        <v>0</v>
      </c>
      <c r="D2317">
        <v>0</v>
      </c>
      <c r="E2317">
        <v>0</v>
      </c>
      <c r="F2317">
        <v>0</v>
      </c>
      <c r="G2317">
        <v>0</v>
      </c>
      <c r="H2317">
        <v>0</v>
      </c>
      <c r="I2317">
        <v>0</v>
      </c>
      <c r="J2317">
        <v>0</v>
      </c>
      <c r="K2317">
        <v>0</v>
      </c>
    </row>
    <row r="2318" spans="1:11" x14ac:dyDescent="0.2">
      <c r="A2318" t="s">
        <v>4318</v>
      </c>
      <c r="B2318">
        <v>0</v>
      </c>
      <c r="C2318">
        <v>0</v>
      </c>
      <c r="D2318">
        <v>0</v>
      </c>
      <c r="E2318">
        <v>0</v>
      </c>
      <c r="F2318">
        <v>0</v>
      </c>
      <c r="G2318">
        <v>0</v>
      </c>
      <c r="H2318">
        <v>0</v>
      </c>
      <c r="I2318">
        <v>0</v>
      </c>
      <c r="J2318">
        <v>0</v>
      </c>
      <c r="K2318">
        <v>0</v>
      </c>
    </row>
    <row r="2319" spans="1:11" x14ac:dyDescent="0.2">
      <c r="A2319" t="s">
        <v>4319</v>
      </c>
      <c r="B2319">
        <v>0</v>
      </c>
      <c r="C2319">
        <v>0</v>
      </c>
      <c r="D2319">
        <v>0</v>
      </c>
      <c r="E2319">
        <v>0</v>
      </c>
      <c r="F2319">
        <v>0</v>
      </c>
      <c r="G2319">
        <v>0</v>
      </c>
      <c r="H2319">
        <v>0</v>
      </c>
      <c r="I2319">
        <v>0</v>
      </c>
      <c r="J2319">
        <v>0</v>
      </c>
      <c r="K2319">
        <v>0</v>
      </c>
    </row>
    <row r="2320" spans="1:11" x14ac:dyDescent="0.2">
      <c r="A2320" t="s">
        <v>4320</v>
      </c>
      <c r="B2320">
        <v>0</v>
      </c>
      <c r="C2320">
        <v>0</v>
      </c>
      <c r="D2320">
        <v>0</v>
      </c>
      <c r="E2320">
        <v>0</v>
      </c>
      <c r="F2320">
        <v>0</v>
      </c>
      <c r="G2320">
        <v>0</v>
      </c>
      <c r="H2320">
        <v>0</v>
      </c>
      <c r="I2320">
        <v>0</v>
      </c>
      <c r="J2320">
        <v>0</v>
      </c>
      <c r="K2320">
        <v>0</v>
      </c>
    </row>
    <row r="2321" spans="1:11" x14ac:dyDescent="0.2">
      <c r="A2321" t="s">
        <v>4321</v>
      </c>
      <c r="B2321">
        <v>0</v>
      </c>
      <c r="C2321">
        <v>0</v>
      </c>
      <c r="D2321">
        <v>0</v>
      </c>
      <c r="E2321">
        <v>0</v>
      </c>
      <c r="F2321">
        <v>0</v>
      </c>
      <c r="G2321">
        <v>0</v>
      </c>
      <c r="H2321">
        <v>0</v>
      </c>
      <c r="I2321">
        <v>0</v>
      </c>
      <c r="J2321">
        <v>0</v>
      </c>
      <c r="K2321">
        <v>0</v>
      </c>
    </row>
    <row r="2322" spans="1:11" x14ac:dyDescent="0.2">
      <c r="A2322" t="s">
        <v>4322</v>
      </c>
      <c r="B2322">
        <v>0</v>
      </c>
      <c r="C2322">
        <v>0</v>
      </c>
      <c r="D2322">
        <v>0</v>
      </c>
      <c r="E2322">
        <v>0</v>
      </c>
      <c r="F2322">
        <v>0</v>
      </c>
      <c r="G2322">
        <v>0</v>
      </c>
      <c r="H2322">
        <v>0</v>
      </c>
      <c r="I2322">
        <v>0</v>
      </c>
      <c r="J2322">
        <v>0</v>
      </c>
      <c r="K2322">
        <v>0</v>
      </c>
    </row>
    <row r="2323" spans="1:11" x14ac:dyDescent="0.2">
      <c r="A2323" t="s">
        <v>4323</v>
      </c>
      <c r="B2323">
        <v>0</v>
      </c>
      <c r="C2323">
        <v>0</v>
      </c>
      <c r="D2323">
        <v>0</v>
      </c>
      <c r="E2323">
        <v>0</v>
      </c>
      <c r="F2323">
        <v>0</v>
      </c>
      <c r="G2323">
        <v>0</v>
      </c>
      <c r="H2323">
        <v>0</v>
      </c>
      <c r="I2323">
        <v>0</v>
      </c>
      <c r="J2323">
        <v>0</v>
      </c>
      <c r="K2323">
        <v>0</v>
      </c>
    </row>
    <row r="2324" spans="1:11" x14ac:dyDescent="0.2">
      <c r="A2324" t="s">
        <v>4324</v>
      </c>
      <c r="B2324">
        <v>0</v>
      </c>
      <c r="C2324">
        <v>0</v>
      </c>
      <c r="D2324">
        <v>0</v>
      </c>
      <c r="E2324">
        <v>0</v>
      </c>
      <c r="F2324">
        <v>0</v>
      </c>
      <c r="G2324">
        <v>0</v>
      </c>
      <c r="H2324">
        <v>0</v>
      </c>
      <c r="I2324">
        <v>0</v>
      </c>
      <c r="J2324">
        <v>0</v>
      </c>
      <c r="K2324">
        <v>0</v>
      </c>
    </row>
    <row r="2325" spans="1:11" x14ac:dyDescent="0.2">
      <c r="A2325" t="s">
        <v>4325</v>
      </c>
      <c r="B2325">
        <v>0</v>
      </c>
      <c r="C2325">
        <v>0</v>
      </c>
      <c r="D2325">
        <v>0</v>
      </c>
      <c r="E2325">
        <v>0</v>
      </c>
      <c r="F2325">
        <v>0</v>
      </c>
      <c r="G2325">
        <v>0</v>
      </c>
      <c r="H2325">
        <v>0</v>
      </c>
      <c r="I2325">
        <v>0</v>
      </c>
      <c r="J2325">
        <v>0</v>
      </c>
      <c r="K2325">
        <v>0</v>
      </c>
    </row>
    <row r="2326" spans="1:11" x14ac:dyDescent="0.2">
      <c r="A2326" t="s">
        <v>4326</v>
      </c>
      <c r="B2326">
        <v>0</v>
      </c>
      <c r="C2326">
        <v>0</v>
      </c>
      <c r="D2326">
        <v>0</v>
      </c>
      <c r="E2326">
        <v>0</v>
      </c>
      <c r="F2326">
        <v>0</v>
      </c>
      <c r="G2326">
        <v>0</v>
      </c>
      <c r="H2326">
        <v>0</v>
      </c>
      <c r="I2326">
        <v>0</v>
      </c>
      <c r="J2326">
        <v>0</v>
      </c>
      <c r="K2326">
        <v>0</v>
      </c>
    </row>
    <row r="2327" spans="1:11" x14ac:dyDescent="0.2">
      <c r="A2327" t="s">
        <v>4327</v>
      </c>
      <c r="B2327">
        <v>0</v>
      </c>
      <c r="C2327">
        <v>0</v>
      </c>
      <c r="D2327">
        <v>0</v>
      </c>
      <c r="E2327">
        <v>0</v>
      </c>
      <c r="F2327">
        <v>0</v>
      </c>
      <c r="G2327">
        <v>0</v>
      </c>
      <c r="H2327">
        <v>0</v>
      </c>
      <c r="I2327">
        <v>0</v>
      </c>
      <c r="J2327">
        <v>0</v>
      </c>
      <c r="K2327">
        <v>0</v>
      </c>
    </row>
    <row r="2328" spans="1:11" x14ac:dyDescent="0.2">
      <c r="A2328" t="s">
        <v>4328</v>
      </c>
      <c r="B2328">
        <v>0</v>
      </c>
      <c r="C2328">
        <v>0</v>
      </c>
      <c r="D2328">
        <v>0</v>
      </c>
      <c r="E2328">
        <v>0</v>
      </c>
      <c r="F2328">
        <v>0</v>
      </c>
      <c r="G2328">
        <v>0</v>
      </c>
      <c r="H2328">
        <v>0</v>
      </c>
      <c r="I2328">
        <v>0</v>
      </c>
      <c r="J2328">
        <v>0</v>
      </c>
      <c r="K2328">
        <v>0</v>
      </c>
    </row>
    <row r="2329" spans="1:11" x14ac:dyDescent="0.2">
      <c r="A2329" t="s">
        <v>4329</v>
      </c>
      <c r="B2329">
        <v>0</v>
      </c>
      <c r="C2329">
        <v>0</v>
      </c>
      <c r="D2329">
        <v>0</v>
      </c>
      <c r="E2329">
        <v>0</v>
      </c>
      <c r="F2329">
        <v>0</v>
      </c>
      <c r="G2329">
        <v>0</v>
      </c>
      <c r="H2329">
        <v>0</v>
      </c>
      <c r="I2329">
        <v>0</v>
      </c>
      <c r="J2329">
        <v>0</v>
      </c>
      <c r="K2329">
        <v>0</v>
      </c>
    </row>
    <row r="2330" spans="1:11" x14ac:dyDescent="0.2">
      <c r="A2330" t="s">
        <v>4330</v>
      </c>
      <c r="B2330">
        <v>0</v>
      </c>
      <c r="C2330">
        <v>0</v>
      </c>
      <c r="D2330">
        <v>0</v>
      </c>
      <c r="E2330">
        <v>0</v>
      </c>
      <c r="F2330">
        <v>0</v>
      </c>
      <c r="G2330">
        <v>0</v>
      </c>
      <c r="H2330">
        <v>0</v>
      </c>
      <c r="I2330">
        <v>0</v>
      </c>
      <c r="J2330">
        <v>0</v>
      </c>
      <c r="K2330">
        <v>0</v>
      </c>
    </row>
    <row r="2331" spans="1:11" x14ac:dyDescent="0.2">
      <c r="A2331" t="s">
        <v>4331</v>
      </c>
      <c r="B2331">
        <v>0</v>
      </c>
      <c r="C2331">
        <v>0</v>
      </c>
      <c r="D2331">
        <v>0</v>
      </c>
      <c r="E2331">
        <v>0</v>
      </c>
      <c r="F2331">
        <v>0</v>
      </c>
      <c r="G2331">
        <v>0</v>
      </c>
      <c r="H2331">
        <v>0</v>
      </c>
      <c r="I2331">
        <v>0</v>
      </c>
      <c r="J2331">
        <v>0</v>
      </c>
      <c r="K2331">
        <v>0</v>
      </c>
    </row>
    <row r="2332" spans="1:11" x14ac:dyDescent="0.2">
      <c r="A2332" t="s">
        <v>4332</v>
      </c>
      <c r="B2332">
        <v>0</v>
      </c>
      <c r="C2332">
        <v>0</v>
      </c>
      <c r="D2332">
        <v>0</v>
      </c>
      <c r="E2332">
        <v>0</v>
      </c>
      <c r="F2332">
        <v>0</v>
      </c>
      <c r="G2332">
        <v>0</v>
      </c>
      <c r="H2332">
        <v>0</v>
      </c>
      <c r="I2332">
        <v>0</v>
      </c>
      <c r="J2332">
        <v>0</v>
      </c>
      <c r="K2332">
        <v>0</v>
      </c>
    </row>
    <row r="2333" spans="1:11" x14ac:dyDescent="0.2">
      <c r="A2333" t="s">
        <v>4333</v>
      </c>
      <c r="B2333">
        <v>0</v>
      </c>
      <c r="C2333">
        <v>0</v>
      </c>
      <c r="D2333">
        <v>0</v>
      </c>
      <c r="E2333">
        <v>0</v>
      </c>
      <c r="F2333">
        <v>0</v>
      </c>
      <c r="G2333">
        <v>0</v>
      </c>
      <c r="H2333">
        <v>0</v>
      </c>
      <c r="I2333">
        <v>0</v>
      </c>
      <c r="J2333">
        <v>0</v>
      </c>
      <c r="K2333">
        <v>0</v>
      </c>
    </row>
    <row r="2334" spans="1:11" x14ac:dyDescent="0.2">
      <c r="A2334" t="s">
        <v>4334</v>
      </c>
      <c r="B2334">
        <v>0</v>
      </c>
      <c r="C2334">
        <v>0</v>
      </c>
      <c r="D2334">
        <v>0</v>
      </c>
      <c r="E2334">
        <v>0</v>
      </c>
      <c r="F2334">
        <v>0</v>
      </c>
      <c r="G2334">
        <v>0</v>
      </c>
      <c r="H2334">
        <v>0</v>
      </c>
      <c r="I2334">
        <v>0</v>
      </c>
      <c r="J2334">
        <v>0</v>
      </c>
      <c r="K2334">
        <v>0</v>
      </c>
    </row>
    <row r="2335" spans="1:11" x14ac:dyDescent="0.2">
      <c r="A2335" t="s">
        <v>4335</v>
      </c>
      <c r="B2335">
        <v>0</v>
      </c>
      <c r="C2335">
        <v>0</v>
      </c>
      <c r="D2335">
        <v>0</v>
      </c>
      <c r="E2335">
        <v>0</v>
      </c>
      <c r="F2335">
        <v>0</v>
      </c>
      <c r="G2335">
        <v>0</v>
      </c>
      <c r="H2335">
        <v>0</v>
      </c>
      <c r="I2335">
        <v>0</v>
      </c>
      <c r="J2335">
        <v>0</v>
      </c>
      <c r="K2335">
        <v>0</v>
      </c>
    </row>
    <row r="2336" spans="1:11" x14ac:dyDescent="0.2">
      <c r="A2336" t="s">
        <v>4336</v>
      </c>
      <c r="B2336">
        <v>0</v>
      </c>
      <c r="C2336">
        <v>0</v>
      </c>
      <c r="D2336">
        <v>0</v>
      </c>
      <c r="E2336">
        <v>0</v>
      </c>
      <c r="F2336">
        <v>0</v>
      </c>
      <c r="G2336">
        <v>0</v>
      </c>
      <c r="H2336">
        <v>0</v>
      </c>
      <c r="I2336">
        <v>0</v>
      </c>
      <c r="J2336">
        <v>0</v>
      </c>
      <c r="K2336">
        <v>0</v>
      </c>
    </row>
    <row r="2337" spans="1:11" x14ac:dyDescent="0.2">
      <c r="A2337" t="s">
        <v>4337</v>
      </c>
      <c r="B2337">
        <v>0</v>
      </c>
      <c r="C2337">
        <v>0</v>
      </c>
      <c r="D2337">
        <v>0</v>
      </c>
      <c r="E2337">
        <v>0</v>
      </c>
      <c r="F2337">
        <v>0</v>
      </c>
      <c r="G2337">
        <v>0</v>
      </c>
      <c r="H2337">
        <v>0</v>
      </c>
      <c r="I2337">
        <v>0</v>
      </c>
      <c r="J2337">
        <v>0</v>
      </c>
      <c r="K2337">
        <v>0</v>
      </c>
    </row>
    <row r="2338" spans="1:11" x14ac:dyDescent="0.2">
      <c r="A2338" t="s">
        <v>4338</v>
      </c>
      <c r="B2338">
        <v>0</v>
      </c>
      <c r="C2338">
        <v>0</v>
      </c>
      <c r="D2338">
        <v>0</v>
      </c>
      <c r="E2338">
        <v>0</v>
      </c>
      <c r="F2338">
        <v>0</v>
      </c>
      <c r="G2338">
        <v>0</v>
      </c>
      <c r="H2338">
        <v>0</v>
      </c>
      <c r="I2338">
        <v>0</v>
      </c>
      <c r="J2338">
        <v>0</v>
      </c>
      <c r="K2338">
        <v>0</v>
      </c>
    </row>
    <row r="2339" spans="1:11" x14ac:dyDescent="0.2">
      <c r="A2339" t="s">
        <v>4339</v>
      </c>
      <c r="B2339">
        <v>0</v>
      </c>
      <c r="C2339">
        <v>0</v>
      </c>
      <c r="D2339">
        <v>0</v>
      </c>
      <c r="E2339">
        <v>0</v>
      </c>
      <c r="F2339">
        <v>0</v>
      </c>
      <c r="G2339">
        <v>0</v>
      </c>
      <c r="H2339">
        <v>0</v>
      </c>
      <c r="I2339">
        <v>0</v>
      </c>
      <c r="J2339">
        <v>0</v>
      </c>
      <c r="K2339">
        <v>0</v>
      </c>
    </row>
    <row r="2340" spans="1:11" x14ac:dyDescent="0.2">
      <c r="A2340" t="s">
        <v>4340</v>
      </c>
      <c r="B2340">
        <v>0</v>
      </c>
      <c r="C2340">
        <v>0</v>
      </c>
      <c r="D2340">
        <v>0</v>
      </c>
      <c r="E2340">
        <v>0</v>
      </c>
      <c r="F2340">
        <v>0</v>
      </c>
      <c r="G2340">
        <v>0</v>
      </c>
      <c r="H2340">
        <v>0</v>
      </c>
      <c r="I2340">
        <v>0</v>
      </c>
      <c r="J2340">
        <v>0</v>
      </c>
      <c r="K2340">
        <v>0</v>
      </c>
    </row>
    <row r="2341" spans="1:11" x14ac:dyDescent="0.2">
      <c r="A2341" t="s">
        <v>4341</v>
      </c>
      <c r="B2341">
        <v>0</v>
      </c>
      <c r="C2341">
        <v>0</v>
      </c>
      <c r="D2341">
        <v>0</v>
      </c>
      <c r="E2341">
        <v>0</v>
      </c>
      <c r="F2341">
        <v>0</v>
      </c>
      <c r="G2341">
        <v>0</v>
      </c>
      <c r="H2341">
        <v>0</v>
      </c>
      <c r="I2341">
        <v>0</v>
      </c>
      <c r="J2341">
        <v>0</v>
      </c>
      <c r="K2341">
        <v>0</v>
      </c>
    </row>
    <row r="2342" spans="1:11" x14ac:dyDescent="0.2">
      <c r="A2342" t="s">
        <v>4342</v>
      </c>
      <c r="B2342">
        <v>0</v>
      </c>
      <c r="C2342">
        <v>0</v>
      </c>
      <c r="D2342">
        <v>0</v>
      </c>
      <c r="E2342">
        <v>0</v>
      </c>
      <c r="F2342">
        <v>0</v>
      </c>
      <c r="G2342">
        <v>0</v>
      </c>
      <c r="H2342">
        <v>0</v>
      </c>
      <c r="I2342">
        <v>0</v>
      </c>
      <c r="J2342">
        <v>0</v>
      </c>
      <c r="K2342">
        <v>0</v>
      </c>
    </row>
    <row r="2343" spans="1:11" x14ac:dyDescent="0.2">
      <c r="A2343" t="s">
        <v>4343</v>
      </c>
      <c r="B2343">
        <v>0</v>
      </c>
      <c r="C2343">
        <v>0</v>
      </c>
      <c r="D2343">
        <v>0</v>
      </c>
      <c r="E2343">
        <v>0</v>
      </c>
      <c r="F2343">
        <v>0</v>
      </c>
      <c r="G2343">
        <v>0</v>
      </c>
      <c r="H2343">
        <v>0</v>
      </c>
      <c r="I2343">
        <v>0</v>
      </c>
      <c r="J2343">
        <v>0</v>
      </c>
      <c r="K2343">
        <v>0</v>
      </c>
    </row>
    <row r="2344" spans="1:11" x14ac:dyDescent="0.2">
      <c r="A2344" t="s">
        <v>1728</v>
      </c>
      <c r="B2344">
        <v>0</v>
      </c>
      <c r="C2344">
        <v>0</v>
      </c>
      <c r="D2344">
        <v>0</v>
      </c>
      <c r="E2344">
        <v>0</v>
      </c>
      <c r="F2344">
        <v>0</v>
      </c>
      <c r="G2344">
        <v>0</v>
      </c>
      <c r="H2344">
        <v>0</v>
      </c>
      <c r="I2344">
        <v>0</v>
      </c>
      <c r="J2344">
        <v>0</v>
      </c>
      <c r="K2344">
        <v>0</v>
      </c>
    </row>
    <row r="2345" spans="1:11" x14ac:dyDescent="0.2">
      <c r="A2345" t="s">
        <v>1730</v>
      </c>
      <c r="B2345">
        <v>32</v>
      </c>
      <c r="C2345">
        <v>0</v>
      </c>
      <c r="D2345">
        <v>13</v>
      </c>
      <c r="E2345">
        <v>43</v>
      </c>
      <c r="F2345">
        <v>38</v>
      </c>
      <c r="G2345">
        <v>0</v>
      </c>
      <c r="H2345">
        <v>158</v>
      </c>
      <c r="I2345">
        <v>0</v>
      </c>
      <c r="J2345">
        <v>0</v>
      </c>
      <c r="K2345">
        <v>0</v>
      </c>
    </row>
    <row r="2346" spans="1:11" x14ac:dyDescent="0.2">
      <c r="A2346" t="s">
        <v>1733</v>
      </c>
      <c r="B2346">
        <v>0</v>
      </c>
      <c r="C2346">
        <v>0</v>
      </c>
      <c r="D2346">
        <v>0</v>
      </c>
      <c r="E2346">
        <v>0</v>
      </c>
      <c r="F2346">
        <v>0</v>
      </c>
      <c r="G2346">
        <v>0</v>
      </c>
      <c r="H2346">
        <v>0</v>
      </c>
      <c r="I2346">
        <v>0</v>
      </c>
      <c r="J2346">
        <v>0</v>
      </c>
      <c r="K2346">
        <v>0</v>
      </c>
    </row>
    <row r="2347" spans="1:11" x14ac:dyDescent="0.2">
      <c r="A2347" t="s">
        <v>1738</v>
      </c>
      <c r="B2347">
        <v>0</v>
      </c>
      <c r="C2347">
        <v>0</v>
      </c>
      <c r="D2347">
        <v>0</v>
      </c>
      <c r="E2347">
        <v>0</v>
      </c>
      <c r="F2347">
        <v>0</v>
      </c>
      <c r="G2347">
        <v>0</v>
      </c>
      <c r="H2347">
        <v>0</v>
      </c>
      <c r="I2347">
        <v>0</v>
      </c>
      <c r="J2347">
        <v>0</v>
      </c>
      <c r="K2347">
        <v>0</v>
      </c>
    </row>
    <row r="2348" spans="1:11" x14ac:dyDescent="0.2">
      <c r="A2348" t="s">
        <v>1744</v>
      </c>
      <c r="B2348">
        <v>0</v>
      </c>
      <c r="C2348">
        <v>0</v>
      </c>
      <c r="D2348">
        <v>0</v>
      </c>
      <c r="E2348">
        <v>0</v>
      </c>
      <c r="F2348">
        <v>0</v>
      </c>
      <c r="G2348">
        <v>0</v>
      </c>
      <c r="H2348">
        <v>0</v>
      </c>
      <c r="I2348">
        <v>0</v>
      </c>
      <c r="J2348">
        <v>0</v>
      </c>
      <c r="K2348">
        <v>0</v>
      </c>
    </row>
    <row r="2349" spans="1:11" x14ac:dyDescent="0.2">
      <c r="A2349" t="s">
        <v>1747</v>
      </c>
      <c r="B2349">
        <v>0</v>
      </c>
      <c r="C2349">
        <v>0</v>
      </c>
      <c r="D2349">
        <v>0</v>
      </c>
      <c r="E2349">
        <v>0</v>
      </c>
      <c r="F2349">
        <v>0</v>
      </c>
      <c r="G2349">
        <v>0</v>
      </c>
      <c r="H2349">
        <v>0</v>
      </c>
      <c r="I2349">
        <v>0</v>
      </c>
      <c r="J2349">
        <v>0</v>
      </c>
      <c r="K2349">
        <v>0</v>
      </c>
    </row>
    <row r="2350" spans="1:11" x14ac:dyDescent="0.2">
      <c r="A2350" t="s">
        <v>1751</v>
      </c>
      <c r="B2350">
        <v>0</v>
      </c>
      <c r="C2350">
        <v>0</v>
      </c>
      <c r="D2350">
        <v>0</v>
      </c>
      <c r="E2350">
        <v>0</v>
      </c>
      <c r="F2350">
        <v>0</v>
      </c>
      <c r="G2350">
        <v>0</v>
      </c>
      <c r="H2350">
        <v>0</v>
      </c>
      <c r="I2350">
        <v>0</v>
      </c>
      <c r="J2350">
        <v>0</v>
      </c>
      <c r="K2350">
        <v>0</v>
      </c>
    </row>
    <row r="2351" spans="1:11" x14ac:dyDescent="0.2">
      <c r="A2351" t="s">
        <v>1755</v>
      </c>
      <c r="B2351">
        <v>1</v>
      </c>
      <c r="C2351">
        <v>0</v>
      </c>
      <c r="D2351">
        <v>1</v>
      </c>
      <c r="E2351">
        <v>3</v>
      </c>
      <c r="F2351">
        <v>2</v>
      </c>
      <c r="G2351">
        <v>0</v>
      </c>
      <c r="H2351">
        <v>7</v>
      </c>
      <c r="I2351">
        <v>0</v>
      </c>
      <c r="J2351">
        <v>0</v>
      </c>
      <c r="K2351">
        <v>0</v>
      </c>
    </row>
    <row r="2352" spans="1:11" x14ac:dyDescent="0.2">
      <c r="A2352" t="s">
        <v>1757</v>
      </c>
      <c r="B2352">
        <v>1</v>
      </c>
      <c r="C2352">
        <v>0</v>
      </c>
      <c r="D2352">
        <v>1</v>
      </c>
      <c r="E2352">
        <v>2</v>
      </c>
      <c r="F2352">
        <v>2</v>
      </c>
      <c r="G2352">
        <v>0</v>
      </c>
      <c r="H2352">
        <v>7</v>
      </c>
      <c r="I2352">
        <v>0</v>
      </c>
      <c r="J2352">
        <v>0</v>
      </c>
      <c r="K2352">
        <v>0</v>
      </c>
    </row>
    <row r="2353" spans="1:11" x14ac:dyDescent="0.2">
      <c r="A2353" t="s">
        <v>1761</v>
      </c>
      <c r="B2353">
        <v>0</v>
      </c>
      <c r="C2353">
        <v>0</v>
      </c>
      <c r="D2353">
        <v>0</v>
      </c>
      <c r="E2353">
        <v>0</v>
      </c>
      <c r="F2353">
        <v>0</v>
      </c>
      <c r="G2353">
        <v>0</v>
      </c>
      <c r="H2353">
        <v>0</v>
      </c>
      <c r="I2353">
        <v>0</v>
      </c>
      <c r="J2353">
        <v>0</v>
      </c>
      <c r="K2353">
        <v>0</v>
      </c>
    </row>
    <row r="2354" spans="1:11" x14ac:dyDescent="0.2">
      <c r="A2354" t="s">
        <v>1764</v>
      </c>
      <c r="B2354">
        <v>0</v>
      </c>
      <c r="C2354">
        <v>0</v>
      </c>
      <c r="D2354">
        <v>0</v>
      </c>
      <c r="E2354">
        <v>0</v>
      </c>
      <c r="F2354">
        <v>0</v>
      </c>
      <c r="G2354">
        <v>0</v>
      </c>
      <c r="H2354">
        <v>0</v>
      </c>
      <c r="I2354">
        <v>0</v>
      </c>
      <c r="J2354">
        <v>0</v>
      </c>
      <c r="K2354">
        <v>0</v>
      </c>
    </row>
    <row r="2355" spans="1:11" x14ac:dyDescent="0.2">
      <c r="A2355" t="s">
        <v>1770</v>
      </c>
      <c r="B2355">
        <v>14</v>
      </c>
      <c r="C2355">
        <v>0</v>
      </c>
      <c r="D2355">
        <v>6</v>
      </c>
      <c r="E2355">
        <v>143</v>
      </c>
      <c r="F2355">
        <v>16</v>
      </c>
      <c r="G2355">
        <v>0</v>
      </c>
      <c r="H2355">
        <v>69</v>
      </c>
      <c r="I2355">
        <v>0</v>
      </c>
      <c r="J2355">
        <v>0</v>
      </c>
      <c r="K2355">
        <v>0</v>
      </c>
    </row>
    <row r="2356" spans="1:11" x14ac:dyDescent="0.2">
      <c r="A2356" t="s">
        <v>1772</v>
      </c>
      <c r="B2356">
        <v>6</v>
      </c>
      <c r="C2356">
        <v>0</v>
      </c>
      <c r="D2356">
        <v>2</v>
      </c>
      <c r="E2356">
        <v>62</v>
      </c>
      <c r="F2356">
        <v>7</v>
      </c>
      <c r="G2356">
        <v>0</v>
      </c>
      <c r="H2356">
        <v>30</v>
      </c>
      <c r="I2356">
        <v>0</v>
      </c>
      <c r="J2356">
        <v>0</v>
      </c>
      <c r="K2356">
        <v>0</v>
      </c>
    </row>
    <row r="2357" spans="1:11" x14ac:dyDescent="0.2">
      <c r="A2357" t="s">
        <v>1774</v>
      </c>
      <c r="B2357">
        <v>0</v>
      </c>
      <c r="C2357">
        <v>0</v>
      </c>
      <c r="D2357">
        <v>0</v>
      </c>
      <c r="E2357">
        <v>0</v>
      </c>
      <c r="F2357">
        <v>0</v>
      </c>
      <c r="G2357">
        <v>0</v>
      </c>
      <c r="H2357">
        <v>0</v>
      </c>
      <c r="I2357">
        <v>0</v>
      </c>
      <c r="J2357">
        <v>0</v>
      </c>
      <c r="K2357">
        <v>0</v>
      </c>
    </row>
    <row r="2358" spans="1:11" x14ac:dyDescent="0.2">
      <c r="A2358" t="s">
        <v>1777</v>
      </c>
      <c r="B2358">
        <v>0</v>
      </c>
      <c r="C2358">
        <v>0</v>
      </c>
      <c r="D2358">
        <v>0</v>
      </c>
      <c r="E2358">
        <v>0</v>
      </c>
      <c r="F2358">
        <v>0</v>
      </c>
      <c r="G2358">
        <v>0</v>
      </c>
      <c r="H2358">
        <v>0</v>
      </c>
      <c r="I2358">
        <v>0</v>
      </c>
      <c r="J2358">
        <v>0</v>
      </c>
      <c r="K2358">
        <v>0</v>
      </c>
    </row>
    <row r="2359" spans="1:11" x14ac:dyDescent="0.2">
      <c r="A2359" t="s">
        <v>1782</v>
      </c>
      <c r="B2359">
        <v>0</v>
      </c>
      <c r="C2359">
        <v>0</v>
      </c>
      <c r="D2359">
        <v>0</v>
      </c>
      <c r="E2359">
        <v>0</v>
      </c>
      <c r="F2359">
        <v>0</v>
      </c>
      <c r="G2359">
        <v>0</v>
      </c>
      <c r="H2359">
        <v>0</v>
      </c>
      <c r="I2359">
        <v>0</v>
      </c>
      <c r="J2359">
        <v>0</v>
      </c>
      <c r="K2359">
        <v>0</v>
      </c>
    </row>
    <row r="2360" spans="1:11" x14ac:dyDescent="0.2">
      <c r="A2360" t="s">
        <v>1274</v>
      </c>
      <c r="B2360">
        <v>0</v>
      </c>
      <c r="C2360">
        <v>0</v>
      </c>
      <c r="D2360">
        <v>0</v>
      </c>
      <c r="E2360">
        <v>0</v>
      </c>
      <c r="F2360">
        <v>0</v>
      </c>
      <c r="G2360">
        <v>0</v>
      </c>
      <c r="H2360">
        <v>0</v>
      </c>
      <c r="I2360">
        <v>0</v>
      </c>
      <c r="J2360">
        <v>0</v>
      </c>
      <c r="K2360">
        <v>0</v>
      </c>
    </row>
    <row r="2361" spans="1:11" x14ac:dyDescent="0.2">
      <c r="A2361" t="s">
        <v>1277</v>
      </c>
      <c r="B2361">
        <v>0</v>
      </c>
      <c r="C2361">
        <v>0</v>
      </c>
      <c r="D2361">
        <v>0</v>
      </c>
      <c r="E2361">
        <v>0</v>
      </c>
      <c r="F2361">
        <v>0</v>
      </c>
      <c r="G2361">
        <v>0</v>
      </c>
      <c r="H2361">
        <v>0</v>
      </c>
      <c r="I2361">
        <v>0</v>
      </c>
      <c r="J2361">
        <v>0</v>
      </c>
      <c r="K2361">
        <v>0</v>
      </c>
    </row>
    <row r="2362" spans="1:11" x14ac:dyDescent="0.2">
      <c r="A2362" t="s">
        <v>1798</v>
      </c>
      <c r="B2362">
        <v>0</v>
      </c>
      <c r="C2362">
        <v>0</v>
      </c>
      <c r="D2362">
        <v>0</v>
      </c>
      <c r="E2362">
        <v>0</v>
      </c>
      <c r="F2362">
        <v>0</v>
      </c>
      <c r="G2362">
        <v>0</v>
      </c>
      <c r="H2362">
        <v>0</v>
      </c>
      <c r="I2362">
        <v>0</v>
      </c>
      <c r="J2362">
        <v>0</v>
      </c>
      <c r="K2362">
        <v>0</v>
      </c>
    </row>
    <row r="2363" spans="1:11" x14ac:dyDescent="0.2">
      <c r="A2363" t="s">
        <v>1803</v>
      </c>
      <c r="B2363">
        <v>0</v>
      </c>
      <c r="C2363">
        <v>0</v>
      </c>
      <c r="D2363">
        <v>0</v>
      </c>
      <c r="E2363">
        <v>0</v>
      </c>
      <c r="F2363">
        <v>0</v>
      </c>
      <c r="G2363">
        <v>0</v>
      </c>
      <c r="H2363">
        <v>0</v>
      </c>
      <c r="I2363">
        <v>0</v>
      </c>
      <c r="J2363">
        <v>0</v>
      </c>
      <c r="K2363">
        <v>0</v>
      </c>
    </row>
    <row r="2364" spans="1:11" x14ac:dyDescent="0.2">
      <c r="A2364" t="s">
        <v>1808</v>
      </c>
      <c r="B2364">
        <v>0</v>
      </c>
      <c r="C2364">
        <v>0</v>
      </c>
      <c r="D2364">
        <v>0</v>
      </c>
      <c r="E2364">
        <v>0</v>
      </c>
      <c r="F2364">
        <v>0</v>
      </c>
      <c r="G2364">
        <v>0</v>
      </c>
      <c r="H2364">
        <v>0</v>
      </c>
      <c r="I2364">
        <v>0</v>
      </c>
      <c r="J2364">
        <v>0</v>
      </c>
      <c r="K2364">
        <v>0</v>
      </c>
    </row>
    <row r="2365" spans="1:11" x14ac:dyDescent="0.2">
      <c r="A2365" t="s">
        <v>1813</v>
      </c>
      <c r="B2365">
        <v>0</v>
      </c>
      <c r="C2365">
        <v>0</v>
      </c>
      <c r="D2365">
        <v>0</v>
      </c>
      <c r="E2365">
        <v>0</v>
      </c>
      <c r="F2365">
        <v>0</v>
      </c>
      <c r="G2365">
        <v>0</v>
      </c>
      <c r="H2365">
        <v>0</v>
      </c>
      <c r="I2365">
        <v>0</v>
      </c>
      <c r="J2365">
        <v>0</v>
      </c>
      <c r="K2365">
        <v>0</v>
      </c>
    </row>
    <row r="2366" spans="1:11" x14ac:dyDescent="0.2">
      <c r="A2366" t="s">
        <v>1819</v>
      </c>
      <c r="B2366">
        <v>0</v>
      </c>
      <c r="C2366">
        <v>0</v>
      </c>
      <c r="D2366">
        <v>0</v>
      </c>
      <c r="E2366">
        <v>0</v>
      </c>
      <c r="F2366">
        <v>0</v>
      </c>
      <c r="G2366">
        <v>0</v>
      </c>
      <c r="H2366">
        <v>0</v>
      </c>
      <c r="I2366">
        <v>0</v>
      </c>
      <c r="J2366">
        <v>0</v>
      </c>
      <c r="K2366">
        <v>0</v>
      </c>
    </row>
    <row r="2367" spans="1:11" x14ac:dyDescent="0.2">
      <c r="A2367" t="s">
        <v>1826</v>
      </c>
      <c r="B2367">
        <v>0</v>
      </c>
      <c r="C2367">
        <v>0</v>
      </c>
      <c r="D2367">
        <v>0</v>
      </c>
      <c r="E2367">
        <v>0</v>
      </c>
      <c r="F2367">
        <v>0</v>
      </c>
      <c r="G2367">
        <v>0</v>
      </c>
      <c r="H2367">
        <v>0</v>
      </c>
      <c r="I2367">
        <v>0</v>
      </c>
      <c r="J2367">
        <v>0</v>
      </c>
      <c r="K2367">
        <v>0</v>
      </c>
    </row>
    <row r="2368" spans="1:11" x14ac:dyDescent="0.2">
      <c r="A2368" t="s">
        <v>1830</v>
      </c>
      <c r="B2368">
        <v>0</v>
      </c>
      <c r="C2368">
        <v>0</v>
      </c>
      <c r="D2368">
        <v>0</v>
      </c>
      <c r="E2368">
        <v>0</v>
      </c>
      <c r="F2368">
        <v>0</v>
      </c>
      <c r="G2368">
        <v>0</v>
      </c>
      <c r="H2368">
        <v>0</v>
      </c>
      <c r="I2368">
        <v>0</v>
      </c>
      <c r="J2368">
        <v>0</v>
      </c>
      <c r="K2368">
        <v>0</v>
      </c>
    </row>
    <row r="2369" spans="1:11" x14ac:dyDescent="0.2">
      <c r="A2369" t="s">
        <v>1836</v>
      </c>
      <c r="B2369">
        <v>0</v>
      </c>
      <c r="C2369">
        <v>0</v>
      </c>
      <c r="D2369">
        <v>0</v>
      </c>
      <c r="E2369">
        <v>0</v>
      </c>
      <c r="F2369">
        <v>0</v>
      </c>
      <c r="G2369">
        <v>0</v>
      </c>
      <c r="H2369">
        <v>0</v>
      </c>
      <c r="I2369">
        <v>0</v>
      </c>
      <c r="J2369">
        <v>0</v>
      </c>
      <c r="K2369">
        <v>0</v>
      </c>
    </row>
    <row r="2370" spans="1:11" x14ac:dyDescent="0.2">
      <c r="A2370" t="s">
        <v>1841</v>
      </c>
      <c r="B2370">
        <v>0</v>
      </c>
      <c r="C2370">
        <v>0</v>
      </c>
      <c r="D2370">
        <v>0</v>
      </c>
      <c r="E2370">
        <v>0</v>
      </c>
      <c r="F2370">
        <v>0</v>
      </c>
      <c r="G2370">
        <v>0</v>
      </c>
      <c r="H2370">
        <v>0</v>
      </c>
      <c r="I2370">
        <v>0</v>
      </c>
      <c r="J2370">
        <v>0</v>
      </c>
      <c r="K2370">
        <v>0</v>
      </c>
    </row>
    <row r="2371" spans="1:11" x14ac:dyDescent="0.2">
      <c r="A2371" t="s">
        <v>1842</v>
      </c>
      <c r="B2371">
        <v>1</v>
      </c>
      <c r="C2371">
        <v>0</v>
      </c>
      <c r="D2371">
        <v>0</v>
      </c>
      <c r="E2371">
        <v>4</v>
      </c>
      <c r="F2371">
        <v>1</v>
      </c>
      <c r="G2371">
        <v>0</v>
      </c>
      <c r="H2371">
        <v>3</v>
      </c>
      <c r="I2371">
        <v>0</v>
      </c>
      <c r="J2371">
        <v>0</v>
      </c>
      <c r="K2371">
        <v>0</v>
      </c>
    </row>
    <row r="2372" spans="1:11" x14ac:dyDescent="0.2">
      <c r="A2372" t="s">
        <v>1843</v>
      </c>
      <c r="B2372">
        <v>0</v>
      </c>
      <c r="C2372">
        <v>0</v>
      </c>
      <c r="D2372">
        <v>0</v>
      </c>
      <c r="E2372">
        <v>0</v>
      </c>
      <c r="F2372">
        <v>0</v>
      </c>
      <c r="G2372">
        <v>0</v>
      </c>
      <c r="H2372">
        <v>0</v>
      </c>
      <c r="I2372">
        <v>0</v>
      </c>
      <c r="J2372">
        <v>0</v>
      </c>
      <c r="K2372">
        <v>0</v>
      </c>
    </row>
    <row r="2373" spans="1:11" x14ac:dyDescent="0.2">
      <c r="A2373" t="s">
        <v>1846</v>
      </c>
      <c r="B2373">
        <v>0</v>
      </c>
      <c r="C2373">
        <v>0</v>
      </c>
      <c r="D2373">
        <v>0</v>
      </c>
      <c r="E2373">
        <v>0</v>
      </c>
      <c r="F2373">
        <v>0</v>
      </c>
      <c r="G2373">
        <v>0</v>
      </c>
      <c r="H2373">
        <v>0</v>
      </c>
      <c r="I2373">
        <v>0</v>
      </c>
      <c r="J2373">
        <v>0</v>
      </c>
      <c r="K2373">
        <v>0</v>
      </c>
    </row>
    <row r="2374" spans="1:11" x14ac:dyDescent="0.2">
      <c r="A2374" t="s">
        <v>1851</v>
      </c>
      <c r="B2374">
        <v>0</v>
      </c>
      <c r="C2374">
        <v>0</v>
      </c>
      <c r="D2374">
        <v>0</v>
      </c>
      <c r="E2374">
        <v>0</v>
      </c>
      <c r="F2374">
        <v>0</v>
      </c>
      <c r="G2374">
        <v>0</v>
      </c>
      <c r="H2374">
        <v>0</v>
      </c>
      <c r="I2374">
        <v>0</v>
      </c>
      <c r="J2374">
        <v>0</v>
      </c>
      <c r="K2374">
        <v>0</v>
      </c>
    </row>
    <row r="2375" spans="1:11" x14ac:dyDescent="0.2">
      <c r="A2375" t="s">
        <v>1857</v>
      </c>
      <c r="B2375">
        <v>0</v>
      </c>
      <c r="C2375">
        <v>0</v>
      </c>
      <c r="D2375">
        <v>0</v>
      </c>
      <c r="E2375">
        <v>0</v>
      </c>
      <c r="F2375">
        <v>0</v>
      </c>
      <c r="G2375">
        <v>0</v>
      </c>
      <c r="H2375">
        <v>0</v>
      </c>
      <c r="I2375">
        <v>0</v>
      </c>
      <c r="J2375">
        <v>0</v>
      </c>
      <c r="K2375">
        <v>0</v>
      </c>
    </row>
    <row r="2376" spans="1:11" x14ac:dyDescent="0.2">
      <c r="A2376" t="s">
        <v>1862</v>
      </c>
      <c r="B2376">
        <v>0</v>
      </c>
      <c r="C2376">
        <v>0</v>
      </c>
      <c r="D2376">
        <v>0</v>
      </c>
      <c r="E2376">
        <v>0</v>
      </c>
      <c r="F2376">
        <v>0</v>
      </c>
      <c r="G2376">
        <v>0</v>
      </c>
      <c r="H2376">
        <v>0</v>
      </c>
      <c r="I2376">
        <v>0</v>
      </c>
      <c r="J2376">
        <v>0</v>
      </c>
      <c r="K2376">
        <v>0</v>
      </c>
    </row>
    <row r="2377" spans="1:11" x14ac:dyDescent="0.2">
      <c r="A2377" t="s">
        <v>1867</v>
      </c>
      <c r="B2377">
        <v>0</v>
      </c>
      <c r="C2377">
        <v>0</v>
      </c>
      <c r="D2377">
        <v>0</v>
      </c>
      <c r="E2377">
        <v>0</v>
      </c>
      <c r="F2377">
        <v>0</v>
      </c>
      <c r="G2377">
        <v>0</v>
      </c>
      <c r="H2377">
        <v>0</v>
      </c>
      <c r="I2377">
        <v>0</v>
      </c>
      <c r="J2377">
        <v>0</v>
      </c>
      <c r="K2377">
        <v>0</v>
      </c>
    </row>
    <row r="2378" spans="1:11" x14ac:dyDescent="0.2">
      <c r="A2378" t="s">
        <v>1870</v>
      </c>
      <c r="B2378">
        <v>0</v>
      </c>
      <c r="C2378">
        <v>0</v>
      </c>
      <c r="D2378">
        <v>0</v>
      </c>
      <c r="E2378">
        <v>0</v>
      </c>
      <c r="F2378">
        <v>0</v>
      </c>
      <c r="G2378">
        <v>0</v>
      </c>
      <c r="H2378">
        <v>0</v>
      </c>
      <c r="I2378">
        <v>0</v>
      </c>
      <c r="J2378">
        <v>0</v>
      </c>
      <c r="K2378">
        <v>0</v>
      </c>
    </row>
    <row r="2379" spans="1:11" x14ac:dyDescent="0.2">
      <c r="A2379" t="s">
        <v>1874</v>
      </c>
      <c r="B2379">
        <v>0</v>
      </c>
      <c r="C2379">
        <v>0</v>
      </c>
      <c r="D2379">
        <v>0</v>
      </c>
      <c r="E2379">
        <v>0</v>
      </c>
      <c r="F2379">
        <v>0</v>
      </c>
      <c r="G2379">
        <v>0</v>
      </c>
      <c r="H2379">
        <v>0</v>
      </c>
      <c r="I2379">
        <v>0</v>
      </c>
      <c r="J2379">
        <v>0</v>
      </c>
      <c r="K2379">
        <v>0</v>
      </c>
    </row>
    <row r="2380" spans="1:11" x14ac:dyDescent="0.2">
      <c r="A2380" t="s">
        <v>1876</v>
      </c>
      <c r="B2380">
        <v>0</v>
      </c>
      <c r="C2380">
        <v>0</v>
      </c>
      <c r="D2380">
        <v>0</v>
      </c>
      <c r="E2380">
        <v>0</v>
      </c>
      <c r="F2380">
        <v>0</v>
      </c>
      <c r="G2380">
        <v>0</v>
      </c>
      <c r="H2380">
        <v>0</v>
      </c>
      <c r="I2380">
        <v>0</v>
      </c>
      <c r="J2380">
        <v>0</v>
      </c>
      <c r="K2380">
        <v>0</v>
      </c>
    </row>
    <row r="2381" spans="1:11" x14ac:dyDescent="0.2">
      <c r="A2381" t="s">
        <v>1881</v>
      </c>
      <c r="B2381">
        <v>0</v>
      </c>
      <c r="C2381">
        <v>0</v>
      </c>
      <c r="D2381">
        <v>0</v>
      </c>
      <c r="E2381">
        <v>0</v>
      </c>
      <c r="F2381">
        <v>0</v>
      </c>
      <c r="G2381">
        <v>0</v>
      </c>
      <c r="H2381">
        <v>0</v>
      </c>
      <c r="I2381">
        <v>0</v>
      </c>
      <c r="J2381">
        <v>0</v>
      </c>
      <c r="K2381">
        <v>0</v>
      </c>
    </row>
    <row r="2382" spans="1:11" x14ac:dyDescent="0.2">
      <c r="A2382" t="s">
        <v>1885</v>
      </c>
      <c r="B2382">
        <v>1</v>
      </c>
      <c r="C2382">
        <v>0</v>
      </c>
      <c r="D2382">
        <v>0</v>
      </c>
      <c r="E2382">
        <v>1</v>
      </c>
      <c r="F2382">
        <v>1</v>
      </c>
      <c r="G2382">
        <v>0</v>
      </c>
      <c r="H2382">
        <v>4</v>
      </c>
      <c r="I2382">
        <v>0</v>
      </c>
      <c r="J2382">
        <v>0</v>
      </c>
      <c r="K2382">
        <v>0</v>
      </c>
    </row>
    <row r="2383" spans="1:11" x14ac:dyDescent="0.2">
      <c r="A2383" t="s">
        <v>1887</v>
      </c>
      <c r="B2383">
        <v>0</v>
      </c>
      <c r="C2383">
        <v>0</v>
      </c>
      <c r="D2383">
        <v>0</v>
      </c>
      <c r="E2383">
        <v>0</v>
      </c>
      <c r="F2383">
        <v>0</v>
      </c>
      <c r="G2383">
        <v>0</v>
      </c>
      <c r="H2383">
        <v>0</v>
      </c>
      <c r="I2383">
        <v>0</v>
      </c>
      <c r="J2383">
        <v>0</v>
      </c>
      <c r="K2383">
        <v>0</v>
      </c>
    </row>
    <row r="2384" spans="1:11" x14ac:dyDescent="0.2">
      <c r="A2384" t="s">
        <v>1893</v>
      </c>
      <c r="B2384">
        <v>0</v>
      </c>
      <c r="C2384">
        <v>0</v>
      </c>
      <c r="D2384">
        <v>0</v>
      </c>
      <c r="E2384">
        <v>0</v>
      </c>
      <c r="F2384">
        <v>0</v>
      </c>
      <c r="G2384">
        <v>0</v>
      </c>
      <c r="H2384">
        <v>1</v>
      </c>
      <c r="I2384">
        <v>0</v>
      </c>
      <c r="J2384">
        <v>0</v>
      </c>
      <c r="K2384">
        <v>0</v>
      </c>
    </row>
    <row r="2385" spans="1:11" x14ac:dyDescent="0.2">
      <c r="A2385" t="s">
        <v>1899</v>
      </c>
      <c r="B2385">
        <v>0</v>
      </c>
      <c r="C2385">
        <v>0</v>
      </c>
      <c r="D2385">
        <v>0</v>
      </c>
      <c r="E2385">
        <v>0</v>
      </c>
      <c r="F2385">
        <v>0</v>
      </c>
      <c r="G2385">
        <v>0</v>
      </c>
      <c r="H2385">
        <v>0</v>
      </c>
      <c r="I2385">
        <v>0</v>
      </c>
      <c r="J2385">
        <v>0</v>
      </c>
      <c r="K2385">
        <v>0</v>
      </c>
    </row>
    <row r="2386" spans="1:11" x14ac:dyDescent="0.2">
      <c r="A2386" t="s">
        <v>1906</v>
      </c>
      <c r="B2386">
        <v>0</v>
      </c>
      <c r="C2386">
        <v>0</v>
      </c>
      <c r="D2386">
        <v>0</v>
      </c>
      <c r="E2386">
        <v>0</v>
      </c>
      <c r="F2386">
        <v>0</v>
      </c>
      <c r="G2386">
        <v>0</v>
      </c>
      <c r="H2386">
        <v>0</v>
      </c>
      <c r="I2386">
        <v>0</v>
      </c>
      <c r="J2386">
        <v>0</v>
      </c>
      <c r="K2386">
        <v>0</v>
      </c>
    </row>
    <row r="2387" spans="1:11" x14ac:dyDescent="0.2">
      <c r="A2387" t="s">
        <v>1911</v>
      </c>
      <c r="B2387">
        <v>0</v>
      </c>
      <c r="C2387">
        <v>0</v>
      </c>
      <c r="D2387">
        <v>0</v>
      </c>
      <c r="E2387">
        <v>0</v>
      </c>
      <c r="F2387">
        <v>0</v>
      </c>
      <c r="G2387">
        <v>0</v>
      </c>
      <c r="H2387">
        <v>0</v>
      </c>
      <c r="I2387">
        <v>0</v>
      </c>
      <c r="J2387">
        <v>0</v>
      </c>
      <c r="K2387">
        <v>0</v>
      </c>
    </row>
    <row r="2388" spans="1:11" x14ac:dyDescent="0.2">
      <c r="A2388" t="s">
        <v>1917</v>
      </c>
      <c r="B2388">
        <v>0</v>
      </c>
      <c r="C2388">
        <v>0</v>
      </c>
      <c r="D2388">
        <v>0</v>
      </c>
      <c r="E2388">
        <v>1</v>
      </c>
      <c r="F2388">
        <v>1</v>
      </c>
      <c r="G2388">
        <v>0</v>
      </c>
      <c r="H2388">
        <v>2</v>
      </c>
      <c r="I2388">
        <v>0</v>
      </c>
      <c r="J2388">
        <v>0</v>
      </c>
      <c r="K2388">
        <v>0</v>
      </c>
    </row>
    <row r="2389" spans="1:11" x14ac:dyDescent="0.2">
      <c r="A2389" t="s">
        <v>1922</v>
      </c>
      <c r="B2389">
        <v>0</v>
      </c>
      <c r="C2389">
        <v>0</v>
      </c>
      <c r="D2389">
        <v>0</v>
      </c>
      <c r="E2389">
        <v>0</v>
      </c>
      <c r="F2389">
        <v>0</v>
      </c>
      <c r="G2389">
        <v>0</v>
      </c>
      <c r="H2389">
        <v>0</v>
      </c>
      <c r="I2389">
        <v>0</v>
      </c>
      <c r="J2389">
        <v>0</v>
      </c>
      <c r="K2389">
        <v>0</v>
      </c>
    </row>
    <row r="2390" spans="1:11" x14ac:dyDescent="0.2">
      <c r="A2390" t="s">
        <v>1928</v>
      </c>
      <c r="B2390">
        <v>0</v>
      </c>
      <c r="C2390">
        <v>0</v>
      </c>
      <c r="D2390">
        <v>0</v>
      </c>
      <c r="E2390">
        <v>0</v>
      </c>
      <c r="F2390">
        <v>0</v>
      </c>
      <c r="G2390">
        <v>0</v>
      </c>
      <c r="H2390">
        <v>0</v>
      </c>
      <c r="I2390">
        <v>0</v>
      </c>
      <c r="J2390">
        <v>0</v>
      </c>
      <c r="K2390">
        <v>0</v>
      </c>
    </row>
    <row r="2391" spans="1:11" x14ac:dyDescent="0.2">
      <c r="A2391" t="s">
        <v>1932</v>
      </c>
      <c r="B2391">
        <v>0</v>
      </c>
      <c r="C2391">
        <v>0</v>
      </c>
      <c r="D2391">
        <v>0</v>
      </c>
      <c r="E2391">
        <v>0</v>
      </c>
      <c r="F2391">
        <v>0</v>
      </c>
      <c r="G2391">
        <v>0</v>
      </c>
      <c r="H2391">
        <v>0</v>
      </c>
      <c r="I2391">
        <v>0</v>
      </c>
      <c r="J2391">
        <v>0</v>
      </c>
      <c r="K2391">
        <v>0</v>
      </c>
    </row>
    <row r="2392" spans="1:11" x14ac:dyDescent="0.2">
      <c r="A2392" t="s">
        <v>1938</v>
      </c>
      <c r="B2392">
        <v>0</v>
      </c>
      <c r="C2392">
        <v>0</v>
      </c>
      <c r="D2392">
        <v>0</v>
      </c>
      <c r="E2392">
        <v>0</v>
      </c>
      <c r="F2392">
        <v>0</v>
      </c>
      <c r="G2392">
        <v>0</v>
      </c>
      <c r="H2392">
        <v>0</v>
      </c>
      <c r="I2392">
        <v>0</v>
      </c>
      <c r="J2392">
        <v>0</v>
      </c>
      <c r="K2392">
        <v>0</v>
      </c>
    </row>
    <row r="2393" spans="1:11" x14ac:dyDescent="0.2">
      <c r="A2393" t="s">
        <v>1944</v>
      </c>
      <c r="B2393">
        <v>0</v>
      </c>
      <c r="C2393">
        <v>0</v>
      </c>
      <c r="D2393">
        <v>0</v>
      </c>
      <c r="E2393">
        <v>0</v>
      </c>
      <c r="F2393">
        <v>0</v>
      </c>
      <c r="G2393">
        <v>0</v>
      </c>
      <c r="H2393">
        <v>0</v>
      </c>
      <c r="I2393">
        <v>0</v>
      </c>
      <c r="J2393">
        <v>0</v>
      </c>
      <c r="K2393">
        <v>0</v>
      </c>
    </row>
    <row r="2394" spans="1:11" x14ac:dyDescent="0.2">
      <c r="A2394" t="s">
        <v>1947</v>
      </c>
      <c r="B2394">
        <v>0</v>
      </c>
      <c r="C2394">
        <v>0</v>
      </c>
      <c r="D2394">
        <v>0</v>
      </c>
      <c r="E2394">
        <v>0</v>
      </c>
      <c r="F2394">
        <v>0</v>
      </c>
      <c r="G2394">
        <v>0</v>
      </c>
      <c r="H2394">
        <v>0</v>
      </c>
      <c r="I2394">
        <v>0</v>
      </c>
      <c r="J2394">
        <v>0</v>
      </c>
      <c r="K2394">
        <v>0</v>
      </c>
    </row>
    <row r="2395" spans="1:11" x14ac:dyDescent="0.2">
      <c r="A2395" t="s">
        <v>1953</v>
      </c>
      <c r="B2395">
        <v>0</v>
      </c>
      <c r="C2395">
        <v>0</v>
      </c>
      <c r="D2395">
        <v>0</v>
      </c>
      <c r="E2395">
        <v>0</v>
      </c>
      <c r="F2395">
        <v>0</v>
      </c>
      <c r="G2395">
        <v>0</v>
      </c>
      <c r="H2395">
        <v>0</v>
      </c>
      <c r="I2395">
        <v>0</v>
      </c>
      <c r="J2395">
        <v>0</v>
      </c>
      <c r="K2395">
        <v>0</v>
      </c>
    </row>
    <row r="2396" spans="1:11" x14ac:dyDescent="0.2">
      <c r="A2396" t="s">
        <v>1958</v>
      </c>
      <c r="B2396">
        <v>0</v>
      </c>
      <c r="C2396">
        <v>0</v>
      </c>
      <c r="D2396">
        <v>0</v>
      </c>
      <c r="E2396">
        <v>0</v>
      </c>
      <c r="F2396">
        <v>0</v>
      </c>
      <c r="G2396">
        <v>0</v>
      </c>
      <c r="H2396">
        <v>0</v>
      </c>
      <c r="I2396">
        <v>0</v>
      </c>
      <c r="J2396">
        <v>0</v>
      </c>
      <c r="K2396">
        <v>0</v>
      </c>
    </row>
    <row r="2397" spans="1:11" x14ac:dyDescent="0.2">
      <c r="A2397" t="s">
        <v>1964</v>
      </c>
      <c r="B2397">
        <v>0</v>
      </c>
      <c r="C2397">
        <v>0</v>
      </c>
      <c r="D2397">
        <v>0</v>
      </c>
      <c r="E2397">
        <v>0</v>
      </c>
      <c r="F2397">
        <v>0</v>
      </c>
      <c r="G2397">
        <v>0</v>
      </c>
      <c r="H2397">
        <v>0</v>
      </c>
      <c r="I2397">
        <v>0</v>
      </c>
      <c r="J2397">
        <v>0</v>
      </c>
      <c r="K2397">
        <v>0</v>
      </c>
    </row>
    <row r="2398" spans="1:11" x14ac:dyDescent="0.2">
      <c r="A2398" t="s">
        <v>1973</v>
      </c>
      <c r="B2398">
        <v>0</v>
      </c>
      <c r="C2398">
        <v>0</v>
      </c>
      <c r="D2398">
        <v>0</v>
      </c>
      <c r="E2398">
        <v>0</v>
      </c>
      <c r="F2398">
        <v>0</v>
      </c>
      <c r="G2398">
        <v>0</v>
      </c>
      <c r="H2398">
        <v>0</v>
      </c>
      <c r="I2398">
        <v>0</v>
      </c>
      <c r="J2398">
        <v>0</v>
      </c>
      <c r="K2398">
        <v>0</v>
      </c>
    </row>
    <row r="2399" spans="1:11" x14ac:dyDescent="0.2">
      <c r="A2399" t="s">
        <v>1978</v>
      </c>
      <c r="B2399">
        <v>0</v>
      </c>
      <c r="C2399">
        <v>0</v>
      </c>
      <c r="D2399">
        <v>0</v>
      </c>
      <c r="E2399">
        <v>0</v>
      </c>
      <c r="F2399">
        <v>0</v>
      </c>
      <c r="G2399">
        <v>0</v>
      </c>
      <c r="H2399">
        <v>0</v>
      </c>
      <c r="I2399">
        <v>0</v>
      </c>
      <c r="J2399">
        <v>0</v>
      </c>
      <c r="K2399">
        <v>0</v>
      </c>
    </row>
    <row r="2400" spans="1:11" x14ac:dyDescent="0.2">
      <c r="A2400" t="s">
        <v>1983</v>
      </c>
      <c r="B2400">
        <v>0</v>
      </c>
      <c r="C2400">
        <v>0</v>
      </c>
      <c r="D2400">
        <v>0</v>
      </c>
      <c r="E2400">
        <v>0</v>
      </c>
      <c r="F2400">
        <v>0</v>
      </c>
      <c r="G2400">
        <v>0</v>
      </c>
      <c r="H2400">
        <v>0</v>
      </c>
      <c r="I2400">
        <v>0</v>
      </c>
      <c r="J2400">
        <v>0</v>
      </c>
      <c r="K2400">
        <v>0</v>
      </c>
    </row>
    <row r="2401" spans="1:11" x14ac:dyDescent="0.2">
      <c r="A2401" t="s">
        <v>1984</v>
      </c>
      <c r="B2401">
        <v>0</v>
      </c>
      <c r="C2401">
        <v>0</v>
      </c>
      <c r="D2401">
        <v>0</v>
      </c>
      <c r="E2401">
        <v>0</v>
      </c>
      <c r="F2401">
        <v>0</v>
      </c>
      <c r="G2401">
        <v>0</v>
      </c>
      <c r="H2401">
        <v>0</v>
      </c>
      <c r="I2401">
        <v>0</v>
      </c>
      <c r="J2401">
        <v>0</v>
      </c>
      <c r="K2401">
        <v>0</v>
      </c>
    </row>
    <row r="2402" spans="1:11" x14ac:dyDescent="0.2">
      <c r="A2402" t="s">
        <v>1990</v>
      </c>
      <c r="B2402">
        <v>0</v>
      </c>
      <c r="C2402">
        <v>0</v>
      </c>
      <c r="D2402">
        <v>0</v>
      </c>
      <c r="E2402">
        <v>0</v>
      </c>
      <c r="F2402">
        <v>0</v>
      </c>
      <c r="G2402">
        <v>0</v>
      </c>
      <c r="H2402">
        <v>0</v>
      </c>
      <c r="I2402">
        <v>0</v>
      </c>
      <c r="J2402">
        <v>0</v>
      </c>
      <c r="K2402">
        <v>0</v>
      </c>
    </row>
    <row r="2403" spans="1:11" x14ac:dyDescent="0.2">
      <c r="A2403" t="s">
        <v>1996</v>
      </c>
      <c r="B2403">
        <v>0</v>
      </c>
      <c r="C2403">
        <v>0</v>
      </c>
      <c r="D2403">
        <v>0</v>
      </c>
      <c r="E2403">
        <v>0</v>
      </c>
      <c r="F2403">
        <v>0</v>
      </c>
      <c r="G2403">
        <v>0</v>
      </c>
      <c r="H2403">
        <v>0</v>
      </c>
      <c r="I2403">
        <v>0</v>
      </c>
      <c r="J2403">
        <v>0</v>
      </c>
      <c r="K2403">
        <v>0</v>
      </c>
    </row>
    <row r="2404" spans="1:11" x14ac:dyDescent="0.2">
      <c r="A2404" t="s">
        <v>1998</v>
      </c>
      <c r="B2404">
        <v>0</v>
      </c>
      <c r="C2404">
        <v>0</v>
      </c>
      <c r="D2404">
        <v>0</v>
      </c>
      <c r="E2404">
        <v>0</v>
      </c>
      <c r="F2404">
        <v>0</v>
      </c>
      <c r="G2404">
        <v>0</v>
      </c>
      <c r="H2404">
        <v>0</v>
      </c>
      <c r="I2404">
        <v>0</v>
      </c>
      <c r="J2404">
        <v>0</v>
      </c>
      <c r="K2404">
        <v>0</v>
      </c>
    </row>
    <row r="2405" spans="1:11" x14ac:dyDescent="0.2">
      <c r="A2405" t="s">
        <v>1999</v>
      </c>
      <c r="B2405">
        <v>0</v>
      </c>
      <c r="C2405">
        <v>0</v>
      </c>
      <c r="D2405">
        <v>0</v>
      </c>
      <c r="E2405">
        <v>0</v>
      </c>
      <c r="F2405">
        <v>0</v>
      </c>
      <c r="G2405">
        <v>0</v>
      </c>
      <c r="H2405">
        <v>0</v>
      </c>
      <c r="I2405">
        <v>0</v>
      </c>
      <c r="J2405">
        <v>0</v>
      </c>
      <c r="K2405">
        <v>0</v>
      </c>
    </row>
    <row r="2406" spans="1:11" x14ac:dyDescent="0.2">
      <c r="A2406" t="s">
        <v>2004</v>
      </c>
      <c r="B2406">
        <v>0</v>
      </c>
      <c r="C2406">
        <v>0</v>
      </c>
      <c r="D2406">
        <v>0</v>
      </c>
      <c r="E2406">
        <v>0</v>
      </c>
      <c r="F2406">
        <v>0</v>
      </c>
      <c r="G2406">
        <v>0</v>
      </c>
      <c r="H2406">
        <v>0</v>
      </c>
      <c r="I2406">
        <v>0</v>
      </c>
      <c r="J2406">
        <v>0</v>
      </c>
      <c r="K2406">
        <v>0</v>
      </c>
    </row>
    <row r="2407" spans="1:11" x14ac:dyDescent="0.2">
      <c r="A2407" t="s">
        <v>2009</v>
      </c>
      <c r="B2407">
        <v>0</v>
      </c>
      <c r="C2407">
        <v>0</v>
      </c>
      <c r="D2407">
        <v>0</v>
      </c>
      <c r="E2407">
        <v>0</v>
      </c>
      <c r="F2407">
        <v>0</v>
      </c>
      <c r="G2407">
        <v>0</v>
      </c>
      <c r="H2407">
        <v>0</v>
      </c>
      <c r="I2407">
        <v>0</v>
      </c>
      <c r="J2407">
        <v>0</v>
      </c>
      <c r="K2407">
        <v>0</v>
      </c>
    </row>
    <row r="2408" spans="1:11" x14ac:dyDescent="0.2">
      <c r="A2408" t="s">
        <v>2014</v>
      </c>
      <c r="B2408">
        <v>0</v>
      </c>
      <c r="C2408">
        <v>0</v>
      </c>
      <c r="D2408">
        <v>0</v>
      </c>
      <c r="E2408">
        <v>0</v>
      </c>
      <c r="F2408">
        <v>0</v>
      </c>
      <c r="G2408">
        <v>0</v>
      </c>
      <c r="H2408">
        <v>0</v>
      </c>
      <c r="I2408">
        <v>0</v>
      </c>
      <c r="J2408">
        <v>0</v>
      </c>
      <c r="K2408">
        <v>0</v>
      </c>
    </row>
    <row r="2409" spans="1:11" x14ac:dyDescent="0.2">
      <c r="A2409" t="s">
        <v>2019</v>
      </c>
      <c r="B2409">
        <v>0</v>
      </c>
      <c r="C2409">
        <v>0</v>
      </c>
      <c r="D2409">
        <v>0</v>
      </c>
      <c r="E2409">
        <v>0</v>
      </c>
      <c r="F2409">
        <v>0</v>
      </c>
      <c r="G2409">
        <v>0</v>
      </c>
      <c r="H2409">
        <v>0</v>
      </c>
      <c r="I2409">
        <v>0</v>
      </c>
      <c r="J2409">
        <v>0</v>
      </c>
      <c r="K2409">
        <v>0</v>
      </c>
    </row>
    <row r="2410" spans="1:11" x14ac:dyDescent="0.2">
      <c r="A2410" t="s">
        <v>2023</v>
      </c>
      <c r="B2410">
        <v>0</v>
      </c>
      <c r="C2410">
        <v>0</v>
      </c>
      <c r="D2410">
        <v>0</v>
      </c>
      <c r="E2410">
        <v>0</v>
      </c>
      <c r="F2410">
        <v>0</v>
      </c>
      <c r="G2410">
        <v>0</v>
      </c>
      <c r="H2410">
        <v>0</v>
      </c>
      <c r="I2410">
        <v>0</v>
      </c>
      <c r="J2410">
        <v>0</v>
      </c>
      <c r="K2410">
        <v>0</v>
      </c>
    </row>
    <row r="2411" spans="1:11" x14ac:dyDescent="0.2">
      <c r="A2411" t="s">
        <v>2026</v>
      </c>
      <c r="B2411">
        <v>0</v>
      </c>
      <c r="C2411">
        <v>0</v>
      </c>
      <c r="D2411">
        <v>0</v>
      </c>
      <c r="E2411">
        <v>0</v>
      </c>
      <c r="F2411">
        <v>0</v>
      </c>
      <c r="G2411">
        <v>0</v>
      </c>
      <c r="H2411">
        <v>0</v>
      </c>
      <c r="I2411">
        <v>0</v>
      </c>
      <c r="J2411">
        <v>0</v>
      </c>
      <c r="K2411">
        <v>0</v>
      </c>
    </row>
    <row r="2412" spans="1:11" x14ac:dyDescent="0.2">
      <c r="A2412" t="s">
        <v>2030</v>
      </c>
      <c r="B2412">
        <v>0</v>
      </c>
      <c r="C2412">
        <v>0</v>
      </c>
      <c r="D2412">
        <v>0</v>
      </c>
      <c r="E2412">
        <v>0</v>
      </c>
      <c r="F2412">
        <v>0</v>
      </c>
      <c r="G2412">
        <v>0</v>
      </c>
      <c r="H2412">
        <v>0</v>
      </c>
      <c r="I2412">
        <v>0</v>
      </c>
      <c r="J2412">
        <v>0</v>
      </c>
      <c r="K2412">
        <v>0</v>
      </c>
    </row>
    <row r="2413" spans="1:11" x14ac:dyDescent="0.2">
      <c r="A2413" t="s">
        <v>2035</v>
      </c>
      <c r="B2413">
        <v>0</v>
      </c>
      <c r="C2413">
        <v>0</v>
      </c>
      <c r="D2413">
        <v>0</v>
      </c>
      <c r="E2413">
        <v>0</v>
      </c>
      <c r="F2413">
        <v>0</v>
      </c>
      <c r="G2413">
        <v>0</v>
      </c>
      <c r="H2413">
        <v>0</v>
      </c>
      <c r="I2413">
        <v>0</v>
      </c>
      <c r="J2413">
        <v>0</v>
      </c>
      <c r="K2413">
        <v>0</v>
      </c>
    </row>
    <row r="2414" spans="1:11" x14ac:dyDescent="0.2">
      <c r="A2414" t="s">
        <v>2040</v>
      </c>
      <c r="B2414">
        <v>0</v>
      </c>
      <c r="C2414">
        <v>0</v>
      </c>
      <c r="D2414">
        <v>0</v>
      </c>
      <c r="E2414">
        <v>0</v>
      </c>
      <c r="F2414">
        <v>0</v>
      </c>
      <c r="G2414">
        <v>0</v>
      </c>
      <c r="H2414">
        <v>0</v>
      </c>
      <c r="I2414">
        <v>0</v>
      </c>
      <c r="J2414">
        <v>0</v>
      </c>
      <c r="K2414">
        <v>0</v>
      </c>
    </row>
    <row r="2415" spans="1:11" x14ac:dyDescent="0.2">
      <c r="A2415" t="s">
        <v>2045</v>
      </c>
      <c r="B2415">
        <v>0</v>
      </c>
      <c r="C2415">
        <v>0</v>
      </c>
      <c r="D2415">
        <v>0</v>
      </c>
      <c r="E2415">
        <v>0</v>
      </c>
      <c r="F2415">
        <v>0</v>
      </c>
      <c r="G2415">
        <v>0</v>
      </c>
      <c r="H2415">
        <v>0</v>
      </c>
      <c r="I2415">
        <v>0</v>
      </c>
      <c r="J2415">
        <v>0</v>
      </c>
      <c r="K2415">
        <v>0</v>
      </c>
    </row>
    <row r="2416" spans="1:11" x14ac:dyDescent="0.2">
      <c r="A2416" t="s">
        <v>2049</v>
      </c>
      <c r="B2416">
        <v>0</v>
      </c>
      <c r="C2416">
        <v>0</v>
      </c>
      <c r="D2416">
        <v>0</v>
      </c>
      <c r="E2416">
        <v>0</v>
      </c>
      <c r="F2416">
        <v>0</v>
      </c>
      <c r="G2416">
        <v>0</v>
      </c>
      <c r="H2416">
        <v>0</v>
      </c>
      <c r="I2416">
        <v>0</v>
      </c>
      <c r="J2416">
        <v>0</v>
      </c>
      <c r="K2416">
        <v>0</v>
      </c>
    </row>
    <row r="2417" spans="1:11" x14ac:dyDescent="0.2">
      <c r="A2417" t="s">
        <v>2051</v>
      </c>
      <c r="B2417">
        <v>1</v>
      </c>
      <c r="C2417">
        <v>0</v>
      </c>
      <c r="D2417">
        <v>0</v>
      </c>
      <c r="E2417">
        <v>1</v>
      </c>
      <c r="F2417">
        <v>1</v>
      </c>
      <c r="G2417">
        <v>0</v>
      </c>
      <c r="H2417">
        <v>3</v>
      </c>
      <c r="I2417">
        <v>0</v>
      </c>
      <c r="J2417">
        <v>0</v>
      </c>
      <c r="K2417">
        <v>0</v>
      </c>
    </row>
    <row r="2418" spans="1:11" x14ac:dyDescent="0.2">
      <c r="A2418" t="s">
        <v>2057</v>
      </c>
      <c r="B2418">
        <v>1</v>
      </c>
      <c r="C2418">
        <v>0</v>
      </c>
      <c r="D2418">
        <v>0</v>
      </c>
      <c r="E2418">
        <v>1</v>
      </c>
      <c r="F2418">
        <v>1</v>
      </c>
      <c r="G2418">
        <v>0</v>
      </c>
      <c r="H2418">
        <v>4</v>
      </c>
      <c r="I2418">
        <v>0</v>
      </c>
      <c r="J2418">
        <v>0</v>
      </c>
      <c r="K2418">
        <v>0</v>
      </c>
    </row>
    <row r="2419" spans="1:11" x14ac:dyDescent="0.2">
      <c r="A2419" t="s">
        <v>4344</v>
      </c>
      <c r="B2419">
        <v>0</v>
      </c>
      <c r="C2419">
        <v>0</v>
      </c>
      <c r="D2419">
        <v>0</v>
      </c>
      <c r="E2419">
        <v>0</v>
      </c>
      <c r="F2419">
        <v>0</v>
      </c>
      <c r="G2419">
        <v>0</v>
      </c>
      <c r="H2419">
        <v>1</v>
      </c>
      <c r="I2419">
        <v>0</v>
      </c>
      <c r="J2419">
        <v>0</v>
      </c>
      <c r="K2419">
        <v>0</v>
      </c>
    </row>
    <row r="2420" spans="1:11" x14ac:dyDescent="0.2">
      <c r="A2420" t="s">
        <v>4345</v>
      </c>
      <c r="B2420">
        <v>1</v>
      </c>
      <c r="C2420">
        <v>0</v>
      </c>
      <c r="D2420">
        <v>0</v>
      </c>
      <c r="E2420">
        <v>2</v>
      </c>
      <c r="F2420">
        <v>1</v>
      </c>
      <c r="G2420">
        <v>0</v>
      </c>
      <c r="H2420">
        <v>6</v>
      </c>
      <c r="I2420">
        <v>0</v>
      </c>
      <c r="J2420">
        <v>0</v>
      </c>
      <c r="K2420">
        <v>0</v>
      </c>
    </row>
    <row r="2421" spans="1:11" x14ac:dyDescent="0.2">
      <c r="A2421" t="s">
        <v>2074</v>
      </c>
      <c r="B2421">
        <v>0</v>
      </c>
      <c r="C2421">
        <v>0</v>
      </c>
      <c r="D2421">
        <v>0</v>
      </c>
      <c r="E2421">
        <v>0</v>
      </c>
      <c r="F2421">
        <v>0</v>
      </c>
      <c r="G2421">
        <v>0</v>
      </c>
      <c r="H2421">
        <v>0</v>
      </c>
      <c r="I2421">
        <v>0</v>
      </c>
      <c r="J2421">
        <v>0</v>
      </c>
      <c r="K2421">
        <v>0</v>
      </c>
    </row>
    <row r="2422" spans="1:11" x14ac:dyDescent="0.2">
      <c r="A2422" t="s">
        <v>2079</v>
      </c>
      <c r="B2422">
        <v>0</v>
      </c>
      <c r="C2422">
        <v>0</v>
      </c>
      <c r="D2422">
        <v>0</v>
      </c>
      <c r="E2422">
        <v>0</v>
      </c>
      <c r="F2422">
        <v>0</v>
      </c>
      <c r="G2422">
        <v>0</v>
      </c>
      <c r="H2422">
        <v>0</v>
      </c>
      <c r="I2422">
        <v>0</v>
      </c>
      <c r="J2422">
        <v>0</v>
      </c>
      <c r="K2422">
        <v>0</v>
      </c>
    </row>
    <row r="2423" spans="1:11" x14ac:dyDescent="0.2">
      <c r="A2423" t="s">
        <v>2085</v>
      </c>
      <c r="B2423">
        <v>0</v>
      </c>
      <c r="C2423">
        <v>0</v>
      </c>
      <c r="D2423">
        <v>0</v>
      </c>
      <c r="E2423">
        <v>0</v>
      </c>
      <c r="F2423">
        <v>0</v>
      </c>
      <c r="G2423">
        <v>0</v>
      </c>
      <c r="H2423">
        <v>0</v>
      </c>
      <c r="I2423">
        <v>0</v>
      </c>
      <c r="J2423">
        <v>0</v>
      </c>
      <c r="K2423">
        <v>0</v>
      </c>
    </row>
    <row r="2424" spans="1:11" x14ac:dyDescent="0.2">
      <c r="A2424" t="s">
        <v>2091</v>
      </c>
      <c r="B2424">
        <v>0</v>
      </c>
      <c r="C2424">
        <v>0</v>
      </c>
      <c r="D2424">
        <v>0</v>
      </c>
      <c r="E2424">
        <v>0</v>
      </c>
      <c r="F2424">
        <v>0</v>
      </c>
      <c r="G2424">
        <v>0</v>
      </c>
      <c r="H2424">
        <v>0</v>
      </c>
      <c r="I2424">
        <v>0</v>
      </c>
      <c r="J2424">
        <v>0</v>
      </c>
      <c r="K2424">
        <v>0</v>
      </c>
    </row>
    <row r="2425" spans="1:11" x14ac:dyDescent="0.2">
      <c r="A2425" t="s">
        <v>2097</v>
      </c>
      <c r="B2425">
        <v>0</v>
      </c>
      <c r="C2425">
        <v>0</v>
      </c>
      <c r="D2425">
        <v>0</v>
      </c>
      <c r="E2425">
        <v>0</v>
      </c>
      <c r="F2425">
        <v>0</v>
      </c>
      <c r="G2425">
        <v>0</v>
      </c>
      <c r="H2425">
        <v>0</v>
      </c>
      <c r="I2425">
        <v>0</v>
      </c>
      <c r="J2425">
        <v>0</v>
      </c>
      <c r="K2425">
        <v>0</v>
      </c>
    </row>
    <row r="2426" spans="1:11" x14ac:dyDescent="0.2">
      <c r="A2426" t="s">
        <v>2101</v>
      </c>
      <c r="B2426">
        <v>0</v>
      </c>
      <c r="C2426">
        <v>0</v>
      </c>
      <c r="D2426">
        <v>0</v>
      </c>
      <c r="E2426">
        <v>0</v>
      </c>
      <c r="F2426">
        <v>0</v>
      </c>
      <c r="G2426">
        <v>0</v>
      </c>
      <c r="H2426">
        <v>0</v>
      </c>
      <c r="I2426">
        <v>0</v>
      </c>
      <c r="J2426">
        <v>0</v>
      </c>
      <c r="K2426">
        <v>0</v>
      </c>
    </row>
    <row r="2427" spans="1:11" x14ac:dyDescent="0.2">
      <c r="A2427" t="s">
        <v>2104</v>
      </c>
      <c r="B2427">
        <v>0</v>
      </c>
      <c r="C2427">
        <v>0</v>
      </c>
      <c r="D2427">
        <v>0</v>
      </c>
      <c r="E2427">
        <v>0</v>
      </c>
      <c r="F2427">
        <v>0</v>
      </c>
      <c r="G2427">
        <v>0</v>
      </c>
      <c r="H2427">
        <v>0</v>
      </c>
      <c r="I2427">
        <v>0</v>
      </c>
      <c r="J2427">
        <v>0</v>
      </c>
      <c r="K2427">
        <v>0</v>
      </c>
    </row>
    <row r="2428" spans="1:11" x14ac:dyDescent="0.2">
      <c r="A2428" t="s">
        <v>2107</v>
      </c>
      <c r="B2428">
        <v>0</v>
      </c>
      <c r="C2428">
        <v>0</v>
      </c>
      <c r="D2428">
        <v>0</v>
      </c>
      <c r="E2428">
        <v>0</v>
      </c>
      <c r="F2428">
        <v>0</v>
      </c>
      <c r="G2428">
        <v>0</v>
      </c>
      <c r="H2428">
        <v>0</v>
      </c>
      <c r="I2428">
        <v>0</v>
      </c>
      <c r="J2428">
        <v>0</v>
      </c>
      <c r="K2428">
        <v>0</v>
      </c>
    </row>
    <row r="2429" spans="1:11" x14ac:dyDescent="0.2">
      <c r="A2429" t="s">
        <v>2110</v>
      </c>
      <c r="B2429">
        <v>0</v>
      </c>
      <c r="C2429">
        <v>0</v>
      </c>
      <c r="D2429">
        <v>0</v>
      </c>
      <c r="E2429">
        <v>0</v>
      </c>
      <c r="F2429">
        <v>0</v>
      </c>
      <c r="G2429">
        <v>0</v>
      </c>
      <c r="H2429">
        <v>0</v>
      </c>
      <c r="I2429">
        <v>0</v>
      </c>
      <c r="J2429">
        <v>0</v>
      </c>
      <c r="K2429">
        <v>0</v>
      </c>
    </row>
    <row r="2430" spans="1:11" x14ac:dyDescent="0.2">
      <c r="A2430" t="s">
        <v>2113</v>
      </c>
      <c r="B2430">
        <v>0</v>
      </c>
      <c r="C2430">
        <v>0</v>
      </c>
      <c r="D2430">
        <v>0</v>
      </c>
      <c r="E2430">
        <v>0</v>
      </c>
      <c r="F2430">
        <v>0</v>
      </c>
      <c r="G2430">
        <v>0</v>
      </c>
      <c r="H2430">
        <v>0</v>
      </c>
      <c r="I2430">
        <v>0</v>
      </c>
      <c r="J2430">
        <v>0</v>
      </c>
      <c r="K2430">
        <v>0</v>
      </c>
    </row>
    <row r="2431" spans="1:11" x14ac:dyDescent="0.2">
      <c r="A2431" t="s">
        <v>4346</v>
      </c>
      <c r="B2431">
        <v>0</v>
      </c>
      <c r="C2431">
        <v>0</v>
      </c>
      <c r="D2431">
        <v>0</v>
      </c>
      <c r="E2431">
        <v>0</v>
      </c>
      <c r="F2431">
        <v>0</v>
      </c>
      <c r="G2431">
        <v>0</v>
      </c>
      <c r="H2431">
        <v>0</v>
      </c>
      <c r="I2431">
        <v>0</v>
      </c>
      <c r="J2431">
        <v>0</v>
      </c>
      <c r="K2431">
        <v>0</v>
      </c>
    </row>
    <row r="2432" spans="1:11" x14ac:dyDescent="0.2">
      <c r="A2432" t="s">
        <v>4347</v>
      </c>
      <c r="B2432">
        <v>0</v>
      </c>
      <c r="C2432">
        <v>0</v>
      </c>
      <c r="D2432">
        <v>0</v>
      </c>
      <c r="E2432">
        <v>0</v>
      </c>
      <c r="F2432">
        <v>0</v>
      </c>
      <c r="G2432">
        <v>0</v>
      </c>
      <c r="H2432">
        <v>0</v>
      </c>
      <c r="I2432">
        <v>0</v>
      </c>
      <c r="J2432">
        <v>0</v>
      </c>
      <c r="K2432">
        <v>0</v>
      </c>
    </row>
    <row r="2433" spans="1:11" x14ac:dyDescent="0.2">
      <c r="A2433" t="s">
        <v>4348</v>
      </c>
      <c r="B2433">
        <v>0</v>
      </c>
      <c r="C2433">
        <v>0</v>
      </c>
      <c r="D2433">
        <v>0</v>
      </c>
      <c r="E2433">
        <v>0</v>
      </c>
      <c r="F2433">
        <v>0</v>
      </c>
      <c r="G2433">
        <v>0</v>
      </c>
      <c r="H2433">
        <v>0</v>
      </c>
      <c r="I2433">
        <v>0</v>
      </c>
      <c r="J2433">
        <v>0</v>
      </c>
      <c r="K2433">
        <v>0</v>
      </c>
    </row>
    <row r="2434" spans="1:11" x14ac:dyDescent="0.2">
      <c r="A2434" t="s">
        <v>4349</v>
      </c>
      <c r="B2434">
        <v>0</v>
      </c>
      <c r="C2434">
        <v>0</v>
      </c>
      <c r="D2434">
        <v>0</v>
      </c>
      <c r="E2434">
        <v>0</v>
      </c>
      <c r="F2434">
        <v>0</v>
      </c>
      <c r="G2434">
        <v>0</v>
      </c>
      <c r="H2434">
        <v>0</v>
      </c>
      <c r="I2434">
        <v>0</v>
      </c>
      <c r="J2434">
        <v>0</v>
      </c>
      <c r="K2434">
        <v>0</v>
      </c>
    </row>
    <row r="2435" spans="1:11" x14ac:dyDescent="0.2">
      <c r="A2435" t="s">
        <v>4350</v>
      </c>
      <c r="B2435">
        <v>1</v>
      </c>
      <c r="C2435">
        <v>0</v>
      </c>
      <c r="D2435">
        <v>1</v>
      </c>
      <c r="E2435">
        <v>2</v>
      </c>
      <c r="F2435">
        <v>2</v>
      </c>
      <c r="G2435">
        <v>0</v>
      </c>
      <c r="H2435">
        <v>7</v>
      </c>
      <c r="I2435">
        <v>0</v>
      </c>
      <c r="J2435">
        <v>0</v>
      </c>
      <c r="K2435">
        <v>0</v>
      </c>
    </row>
    <row r="2436" spans="1:11" x14ac:dyDescent="0.2">
      <c r="A2436" t="s">
        <v>4351</v>
      </c>
      <c r="B2436">
        <v>0</v>
      </c>
      <c r="C2436">
        <v>0</v>
      </c>
      <c r="D2436">
        <v>0</v>
      </c>
      <c r="E2436">
        <v>0</v>
      </c>
      <c r="F2436">
        <v>0</v>
      </c>
      <c r="G2436">
        <v>0</v>
      </c>
      <c r="H2436">
        <v>0</v>
      </c>
      <c r="I2436">
        <v>0</v>
      </c>
      <c r="J2436">
        <v>0</v>
      </c>
      <c r="K2436">
        <v>0</v>
      </c>
    </row>
    <row r="2437" spans="1:11" x14ac:dyDescent="0.2">
      <c r="A2437" t="s">
        <v>4352</v>
      </c>
      <c r="B2437">
        <v>0</v>
      </c>
      <c r="C2437">
        <v>0</v>
      </c>
      <c r="D2437">
        <v>0</v>
      </c>
      <c r="E2437">
        <v>0</v>
      </c>
      <c r="F2437">
        <v>0</v>
      </c>
      <c r="G2437">
        <v>0</v>
      </c>
      <c r="H2437">
        <v>0</v>
      </c>
      <c r="I2437">
        <v>0</v>
      </c>
      <c r="J2437">
        <v>0</v>
      </c>
      <c r="K2437">
        <v>0</v>
      </c>
    </row>
    <row r="2438" spans="1:11" x14ac:dyDescent="0.2">
      <c r="A2438" t="s">
        <v>4353</v>
      </c>
      <c r="B2438">
        <v>6</v>
      </c>
      <c r="C2438">
        <v>0</v>
      </c>
      <c r="D2438">
        <v>2</v>
      </c>
      <c r="E2438">
        <v>9</v>
      </c>
      <c r="F2438">
        <v>7</v>
      </c>
      <c r="G2438">
        <v>0</v>
      </c>
      <c r="H2438">
        <v>29</v>
      </c>
      <c r="I2438">
        <v>0</v>
      </c>
      <c r="J2438">
        <v>0</v>
      </c>
      <c r="K2438">
        <v>0</v>
      </c>
    </row>
    <row r="2439" spans="1:11" x14ac:dyDescent="0.2">
      <c r="A2439" t="s">
        <v>4354</v>
      </c>
      <c r="B2439">
        <v>3</v>
      </c>
      <c r="C2439">
        <v>0</v>
      </c>
      <c r="D2439">
        <v>1</v>
      </c>
      <c r="E2439">
        <v>5</v>
      </c>
      <c r="F2439">
        <v>4</v>
      </c>
      <c r="G2439">
        <v>0</v>
      </c>
      <c r="H2439">
        <v>17</v>
      </c>
      <c r="I2439">
        <v>0</v>
      </c>
      <c r="J2439">
        <v>0</v>
      </c>
      <c r="K2439">
        <v>0</v>
      </c>
    </row>
    <row r="2440" spans="1:11" x14ac:dyDescent="0.2">
      <c r="A2440" t="s">
        <v>4355</v>
      </c>
      <c r="B2440">
        <v>0</v>
      </c>
      <c r="C2440">
        <v>0</v>
      </c>
      <c r="D2440">
        <v>0</v>
      </c>
      <c r="E2440">
        <v>0</v>
      </c>
      <c r="F2440">
        <v>0</v>
      </c>
      <c r="G2440">
        <v>0</v>
      </c>
      <c r="H2440">
        <v>0</v>
      </c>
      <c r="I2440">
        <v>0</v>
      </c>
      <c r="J2440">
        <v>0</v>
      </c>
      <c r="K2440">
        <v>0</v>
      </c>
    </row>
    <row r="2441" spans="1:11" x14ac:dyDescent="0.2">
      <c r="A2441" t="s">
        <v>4356</v>
      </c>
      <c r="B2441">
        <v>0</v>
      </c>
      <c r="C2441">
        <v>0</v>
      </c>
      <c r="D2441">
        <v>0</v>
      </c>
      <c r="E2441">
        <v>0</v>
      </c>
      <c r="F2441">
        <v>0</v>
      </c>
      <c r="G2441">
        <v>0</v>
      </c>
      <c r="H2441">
        <v>0</v>
      </c>
      <c r="I2441">
        <v>0</v>
      </c>
      <c r="J2441">
        <v>0</v>
      </c>
      <c r="K2441">
        <v>0</v>
      </c>
    </row>
    <row r="2442" spans="1:11" x14ac:dyDescent="0.2">
      <c r="A2442" t="s">
        <v>4357</v>
      </c>
      <c r="B2442">
        <v>0</v>
      </c>
      <c r="C2442">
        <v>0</v>
      </c>
      <c r="D2442">
        <v>0</v>
      </c>
      <c r="E2442">
        <v>1</v>
      </c>
      <c r="F2442">
        <v>0</v>
      </c>
      <c r="G2442">
        <v>0</v>
      </c>
      <c r="H2442">
        <v>2</v>
      </c>
      <c r="I2442">
        <v>0</v>
      </c>
      <c r="J2442">
        <v>0</v>
      </c>
      <c r="K2442">
        <v>0</v>
      </c>
    </row>
    <row r="2443" spans="1:11" x14ac:dyDescent="0.2">
      <c r="A2443" t="s">
        <v>4358</v>
      </c>
      <c r="B2443">
        <v>0</v>
      </c>
      <c r="C2443">
        <v>0</v>
      </c>
      <c r="D2443">
        <v>0</v>
      </c>
      <c r="E2443">
        <v>0</v>
      </c>
      <c r="F2443">
        <v>0</v>
      </c>
      <c r="G2443">
        <v>0</v>
      </c>
      <c r="H2443">
        <v>0</v>
      </c>
      <c r="I2443">
        <v>0</v>
      </c>
      <c r="J2443">
        <v>0</v>
      </c>
      <c r="K2443">
        <v>0</v>
      </c>
    </row>
    <row r="2444" spans="1:11" x14ac:dyDescent="0.2">
      <c r="A2444" t="s">
        <v>4359</v>
      </c>
      <c r="B2444">
        <v>0</v>
      </c>
      <c r="C2444">
        <v>0</v>
      </c>
      <c r="D2444">
        <v>0</v>
      </c>
      <c r="E2444">
        <v>0</v>
      </c>
      <c r="F2444">
        <v>0</v>
      </c>
      <c r="G2444">
        <v>0</v>
      </c>
      <c r="H2444">
        <v>0</v>
      </c>
      <c r="I2444">
        <v>0</v>
      </c>
      <c r="J2444">
        <v>0</v>
      </c>
      <c r="K2444">
        <v>0</v>
      </c>
    </row>
    <row r="2445" spans="1:11" x14ac:dyDescent="0.2">
      <c r="A2445" t="s">
        <v>4360</v>
      </c>
      <c r="B2445">
        <v>0</v>
      </c>
      <c r="C2445">
        <v>0</v>
      </c>
      <c r="D2445">
        <v>0</v>
      </c>
      <c r="E2445">
        <v>0</v>
      </c>
      <c r="F2445">
        <v>0</v>
      </c>
      <c r="G2445">
        <v>0</v>
      </c>
      <c r="H2445">
        <v>1</v>
      </c>
      <c r="I2445">
        <v>0</v>
      </c>
      <c r="J2445">
        <v>0</v>
      </c>
      <c r="K2445">
        <v>0</v>
      </c>
    </row>
    <row r="2446" spans="1:11" x14ac:dyDescent="0.2">
      <c r="A2446" t="s">
        <v>4361</v>
      </c>
      <c r="B2446">
        <v>0</v>
      </c>
      <c r="C2446">
        <v>0</v>
      </c>
      <c r="D2446">
        <v>0</v>
      </c>
      <c r="E2446">
        <v>0</v>
      </c>
      <c r="F2446">
        <v>0</v>
      </c>
      <c r="G2446">
        <v>0</v>
      </c>
      <c r="H2446">
        <v>1</v>
      </c>
      <c r="I2446">
        <v>0</v>
      </c>
      <c r="J2446">
        <v>0</v>
      </c>
      <c r="K2446">
        <v>0</v>
      </c>
    </row>
    <row r="2447" spans="1:11" x14ac:dyDescent="0.2">
      <c r="A2447" t="s">
        <v>4362</v>
      </c>
      <c r="B2447">
        <v>0</v>
      </c>
      <c r="C2447">
        <v>0</v>
      </c>
      <c r="D2447">
        <v>0</v>
      </c>
      <c r="E2447">
        <v>0</v>
      </c>
      <c r="F2447">
        <v>0</v>
      </c>
      <c r="G2447">
        <v>0</v>
      </c>
      <c r="H2447">
        <v>0</v>
      </c>
      <c r="I2447">
        <v>0</v>
      </c>
      <c r="J2447">
        <v>0</v>
      </c>
      <c r="K2447">
        <v>0</v>
      </c>
    </row>
    <row r="2448" spans="1:11" x14ac:dyDescent="0.2">
      <c r="A2448" t="s">
        <v>4363</v>
      </c>
      <c r="B2448">
        <v>0</v>
      </c>
      <c r="C2448">
        <v>0</v>
      </c>
      <c r="D2448">
        <v>0</v>
      </c>
      <c r="E2448">
        <v>0</v>
      </c>
      <c r="F2448">
        <v>0</v>
      </c>
      <c r="G2448">
        <v>0</v>
      </c>
      <c r="H2448">
        <v>0</v>
      </c>
      <c r="I2448">
        <v>0</v>
      </c>
      <c r="J2448">
        <v>0</v>
      </c>
      <c r="K2448">
        <v>0</v>
      </c>
    </row>
    <row r="2449" spans="1:11" x14ac:dyDescent="0.2">
      <c r="A2449" t="s">
        <v>4364</v>
      </c>
      <c r="B2449">
        <v>0</v>
      </c>
      <c r="C2449">
        <v>0</v>
      </c>
      <c r="D2449">
        <v>0</v>
      </c>
      <c r="E2449">
        <v>0</v>
      </c>
      <c r="F2449">
        <v>0</v>
      </c>
      <c r="G2449">
        <v>0</v>
      </c>
      <c r="H2449">
        <v>0</v>
      </c>
      <c r="I2449">
        <v>0</v>
      </c>
      <c r="J2449">
        <v>0</v>
      </c>
      <c r="K2449">
        <v>0</v>
      </c>
    </row>
    <row r="2450" spans="1:11" x14ac:dyDescent="0.2">
      <c r="A2450" t="s">
        <v>4365</v>
      </c>
      <c r="B2450">
        <v>0</v>
      </c>
      <c r="C2450">
        <v>0</v>
      </c>
      <c r="D2450">
        <v>0</v>
      </c>
      <c r="E2450">
        <v>6</v>
      </c>
      <c r="F2450">
        <v>1</v>
      </c>
      <c r="G2450">
        <v>0</v>
      </c>
      <c r="H2450">
        <v>2</v>
      </c>
      <c r="I2450">
        <v>0</v>
      </c>
      <c r="J2450">
        <v>0</v>
      </c>
      <c r="K2450">
        <v>0</v>
      </c>
    </row>
    <row r="2451" spans="1:11" x14ac:dyDescent="0.2">
      <c r="A2451" t="s">
        <v>4366</v>
      </c>
      <c r="B2451">
        <v>0</v>
      </c>
      <c r="C2451">
        <v>0</v>
      </c>
      <c r="D2451">
        <v>0</v>
      </c>
      <c r="E2451">
        <v>0</v>
      </c>
      <c r="F2451">
        <v>0</v>
      </c>
      <c r="G2451">
        <v>0</v>
      </c>
      <c r="H2451">
        <v>0</v>
      </c>
      <c r="I2451">
        <v>0</v>
      </c>
      <c r="J2451">
        <v>0</v>
      </c>
      <c r="K2451">
        <v>0</v>
      </c>
    </row>
    <row r="2452" spans="1:11" x14ac:dyDescent="0.2">
      <c r="A2452" t="s">
        <v>4367</v>
      </c>
      <c r="B2452">
        <v>0</v>
      </c>
      <c r="C2452">
        <v>0</v>
      </c>
      <c r="D2452">
        <v>0</v>
      </c>
      <c r="E2452">
        <v>0</v>
      </c>
      <c r="F2452">
        <v>0</v>
      </c>
      <c r="G2452">
        <v>0</v>
      </c>
      <c r="H2452">
        <v>0</v>
      </c>
      <c r="I2452">
        <v>0</v>
      </c>
      <c r="J2452">
        <v>0</v>
      </c>
      <c r="K2452">
        <v>0</v>
      </c>
    </row>
    <row r="2453" spans="1:11" x14ac:dyDescent="0.2">
      <c r="A2453" t="s">
        <v>4368</v>
      </c>
      <c r="B2453">
        <v>3</v>
      </c>
      <c r="C2453">
        <v>0</v>
      </c>
      <c r="D2453">
        <v>1</v>
      </c>
      <c r="E2453">
        <v>33</v>
      </c>
      <c r="F2453">
        <v>3</v>
      </c>
      <c r="G2453">
        <v>0</v>
      </c>
      <c r="H2453">
        <v>13</v>
      </c>
      <c r="I2453">
        <v>0</v>
      </c>
      <c r="J2453">
        <v>0</v>
      </c>
      <c r="K2453">
        <v>0</v>
      </c>
    </row>
    <row r="2454" spans="1:11" x14ac:dyDescent="0.2">
      <c r="A2454" t="s">
        <v>4369</v>
      </c>
      <c r="B2454">
        <v>3</v>
      </c>
      <c r="C2454">
        <v>0</v>
      </c>
      <c r="D2454">
        <v>1</v>
      </c>
      <c r="E2454">
        <v>15</v>
      </c>
      <c r="F2454">
        <v>4</v>
      </c>
      <c r="G2454">
        <v>0</v>
      </c>
      <c r="H2454">
        <v>17</v>
      </c>
      <c r="I2454">
        <v>0</v>
      </c>
      <c r="J2454">
        <v>0</v>
      </c>
      <c r="K2454">
        <v>0</v>
      </c>
    </row>
    <row r="2455" spans="1:11" x14ac:dyDescent="0.2">
      <c r="A2455" t="s">
        <v>4370</v>
      </c>
      <c r="B2455">
        <v>0</v>
      </c>
      <c r="C2455">
        <v>0</v>
      </c>
      <c r="D2455">
        <v>0</v>
      </c>
      <c r="E2455">
        <v>1</v>
      </c>
      <c r="F2455">
        <v>0</v>
      </c>
      <c r="G2455">
        <v>0</v>
      </c>
      <c r="H2455">
        <v>0</v>
      </c>
      <c r="I2455">
        <v>0</v>
      </c>
      <c r="J2455">
        <v>0</v>
      </c>
      <c r="K2455">
        <v>0</v>
      </c>
    </row>
    <row r="2456" spans="1:11" x14ac:dyDescent="0.2">
      <c r="A2456" t="s">
        <v>4371</v>
      </c>
      <c r="B2456">
        <v>0</v>
      </c>
      <c r="C2456">
        <v>0</v>
      </c>
      <c r="D2456">
        <v>0</v>
      </c>
      <c r="E2456">
        <v>0</v>
      </c>
      <c r="F2456">
        <v>0</v>
      </c>
      <c r="G2456">
        <v>0</v>
      </c>
      <c r="H2456">
        <v>0</v>
      </c>
      <c r="I2456">
        <v>0</v>
      </c>
      <c r="J2456">
        <v>0</v>
      </c>
      <c r="K2456">
        <v>0</v>
      </c>
    </row>
    <row r="2457" spans="1:11" x14ac:dyDescent="0.2">
      <c r="A2457" t="s">
        <v>4372</v>
      </c>
      <c r="B2457">
        <v>0</v>
      </c>
      <c r="C2457">
        <v>0</v>
      </c>
      <c r="D2457">
        <v>0</v>
      </c>
      <c r="E2457">
        <v>0</v>
      </c>
      <c r="F2457">
        <v>0</v>
      </c>
      <c r="G2457">
        <v>0</v>
      </c>
      <c r="H2457">
        <v>0</v>
      </c>
      <c r="I2457">
        <v>0</v>
      </c>
      <c r="J2457">
        <v>0</v>
      </c>
      <c r="K2457">
        <v>0</v>
      </c>
    </row>
    <row r="2458" spans="1:11" x14ac:dyDescent="0.2">
      <c r="A2458" t="s">
        <v>4373</v>
      </c>
      <c r="B2458">
        <v>1</v>
      </c>
      <c r="C2458">
        <v>0</v>
      </c>
      <c r="D2458">
        <v>0</v>
      </c>
      <c r="E2458">
        <v>1</v>
      </c>
      <c r="F2458">
        <v>1</v>
      </c>
      <c r="G2458">
        <v>0</v>
      </c>
      <c r="H2458">
        <v>5</v>
      </c>
      <c r="I2458">
        <v>0</v>
      </c>
      <c r="J2458">
        <v>0</v>
      </c>
      <c r="K2458">
        <v>0</v>
      </c>
    </row>
    <row r="2459" spans="1:11" x14ac:dyDescent="0.2">
      <c r="A2459" t="s">
        <v>4374</v>
      </c>
      <c r="B2459">
        <v>0</v>
      </c>
      <c r="C2459">
        <v>0</v>
      </c>
      <c r="D2459">
        <v>0</v>
      </c>
      <c r="E2459">
        <v>0</v>
      </c>
      <c r="F2459">
        <v>0</v>
      </c>
      <c r="G2459">
        <v>0</v>
      </c>
      <c r="H2459">
        <v>0</v>
      </c>
      <c r="I2459">
        <v>0</v>
      </c>
      <c r="J2459">
        <v>0</v>
      </c>
      <c r="K2459">
        <v>0</v>
      </c>
    </row>
    <row r="2460" spans="1:11" x14ac:dyDescent="0.2">
      <c r="A2460" t="s">
        <v>4375</v>
      </c>
      <c r="B2460">
        <v>4</v>
      </c>
      <c r="C2460">
        <v>0</v>
      </c>
      <c r="D2460">
        <v>2</v>
      </c>
      <c r="E2460">
        <v>6</v>
      </c>
      <c r="F2460">
        <v>5</v>
      </c>
      <c r="G2460">
        <v>0</v>
      </c>
      <c r="H2460">
        <v>20</v>
      </c>
      <c r="I2460">
        <v>0</v>
      </c>
      <c r="J2460">
        <v>0</v>
      </c>
      <c r="K2460">
        <v>0</v>
      </c>
    </row>
    <row r="2461" spans="1:11" x14ac:dyDescent="0.2">
      <c r="A2461" t="s">
        <v>4376</v>
      </c>
      <c r="B2461">
        <v>0</v>
      </c>
      <c r="C2461">
        <v>0</v>
      </c>
      <c r="D2461">
        <v>0</v>
      </c>
      <c r="E2461">
        <v>0</v>
      </c>
      <c r="F2461">
        <v>0</v>
      </c>
      <c r="G2461">
        <v>0</v>
      </c>
      <c r="H2461">
        <v>0</v>
      </c>
      <c r="I2461">
        <v>0</v>
      </c>
      <c r="J2461">
        <v>0</v>
      </c>
      <c r="K2461">
        <v>0</v>
      </c>
    </row>
    <row r="2462" spans="1:11" x14ac:dyDescent="0.2">
      <c r="A2462" t="s">
        <v>4377</v>
      </c>
      <c r="B2462">
        <v>1</v>
      </c>
      <c r="C2462">
        <v>0</v>
      </c>
      <c r="D2462">
        <v>1</v>
      </c>
      <c r="E2462">
        <v>2</v>
      </c>
      <c r="F2462">
        <v>2</v>
      </c>
      <c r="G2462">
        <v>0</v>
      </c>
      <c r="H2462">
        <v>7</v>
      </c>
      <c r="I2462">
        <v>0</v>
      </c>
      <c r="J2462">
        <v>0</v>
      </c>
      <c r="K2462">
        <v>0</v>
      </c>
    </row>
    <row r="2463" spans="1:11" x14ac:dyDescent="0.2">
      <c r="A2463" t="s">
        <v>4854</v>
      </c>
      <c r="B2463">
        <v>130</v>
      </c>
      <c r="C2463">
        <v>0</v>
      </c>
      <c r="D2463">
        <v>53</v>
      </c>
      <c r="E2463">
        <v>467</v>
      </c>
      <c r="F2463">
        <v>154</v>
      </c>
      <c r="G2463">
        <v>0</v>
      </c>
      <c r="H2463">
        <v>645</v>
      </c>
      <c r="I2463">
        <v>0</v>
      </c>
      <c r="J2463">
        <v>0</v>
      </c>
      <c r="K2463">
        <v>0</v>
      </c>
    </row>
    <row r="2464" spans="1:11" x14ac:dyDescent="0.2">
      <c r="A2464" t="s">
        <v>2318</v>
      </c>
      <c r="B2464" t="s">
        <v>4399</v>
      </c>
      <c r="C2464" t="s">
        <v>4399</v>
      </c>
      <c r="D2464" t="s">
        <v>4399</v>
      </c>
      <c r="E2464" t="s">
        <v>4399</v>
      </c>
      <c r="F2464" t="s">
        <v>4399</v>
      </c>
      <c r="G2464" t="s">
        <v>4399</v>
      </c>
      <c r="H2464" t="s">
        <v>4399</v>
      </c>
      <c r="I2464" t="s">
        <v>4399</v>
      </c>
      <c r="J2464" t="s">
        <v>4399</v>
      </c>
      <c r="K2464" t="s">
        <v>4399</v>
      </c>
    </row>
    <row r="2465" spans="1:11" x14ac:dyDescent="0.2">
      <c r="A2465" t="s">
        <v>4248</v>
      </c>
    </row>
    <row r="2466" spans="1:11" x14ac:dyDescent="0.2">
      <c r="A2466" t="s">
        <v>4855</v>
      </c>
      <c r="B2466" t="s">
        <v>4856</v>
      </c>
      <c r="C2466" t="s">
        <v>4857</v>
      </c>
      <c r="D2466" t="s">
        <v>4858</v>
      </c>
      <c r="E2466" t="s">
        <v>4859</v>
      </c>
      <c r="F2466" t="s">
        <v>4860</v>
      </c>
      <c r="G2466" t="s">
        <v>4872</v>
      </c>
    </row>
    <row r="2467" spans="1:11" x14ac:dyDescent="0.2">
      <c r="A2467" t="s">
        <v>2318</v>
      </c>
      <c r="B2467" t="s">
        <v>4399</v>
      </c>
      <c r="C2467" t="s">
        <v>4399</v>
      </c>
      <c r="D2467" t="s">
        <v>4399</v>
      </c>
      <c r="E2467" t="s">
        <v>4399</v>
      </c>
      <c r="F2467" t="s">
        <v>4399</v>
      </c>
      <c r="G2467" t="s">
        <v>4399</v>
      </c>
      <c r="H2467" t="s">
        <v>4399</v>
      </c>
      <c r="I2467" t="s">
        <v>4399</v>
      </c>
      <c r="J2467" t="s">
        <v>4399</v>
      </c>
      <c r="K2467" t="s">
        <v>4399</v>
      </c>
    </row>
    <row r="2468" spans="1:11" x14ac:dyDescent="0.2">
      <c r="A2468" t="s">
        <v>126</v>
      </c>
      <c r="B2468" t="s">
        <v>4389</v>
      </c>
      <c r="C2468" t="s">
        <v>4393</v>
      </c>
      <c r="D2468" t="s">
        <v>4397</v>
      </c>
      <c r="E2468" t="s">
        <v>4402</v>
      </c>
      <c r="F2468" t="s">
        <v>4407</v>
      </c>
      <c r="G2468" t="s">
        <v>4410</v>
      </c>
      <c r="H2468" t="s">
        <v>4413</v>
      </c>
      <c r="I2468" t="s">
        <v>4416</v>
      </c>
      <c r="J2468" t="s">
        <v>4419</v>
      </c>
      <c r="K2468" t="s">
        <v>4422</v>
      </c>
    </row>
    <row r="2469" spans="1:11" x14ac:dyDescent="0.2">
      <c r="A2469" t="s">
        <v>2318</v>
      </c>
      <c r="B2469" t="s">
        <v>4399</v>
      </c>
      <c r="C2469" t="s">
        <v>4399</v>
      </c>
      <c r="D2469" t="s">
        <v>4399</v>
      </c>
      <c r="E2469" t="s">
        <v>4399</v>
      </c>
      <c r="F2469" t="s">
        <v>4399</v>
      </c>
      <c r="G2469" t="s">
        <v>4399</v>
      </c>
      <c r="H2469" t="s">
        <v>4399</v>
      </c>
      <c r="I2469" t="s">
        <v>4399</v>
      </c>
      <c r="J2469" t="s">
        <v>4399</v>
      </c>
      <c r="K2469" t="s">
        <v>4399</v>
      </c>
    </row>
    <row r="2470" spans="1:11" x14ac:dyDescent="0.2">
      <c r="A2470" t="s">
        <v>4265</v>
      </c>
      <c r="B2470">
        <v>0</v>
      </c>
      <c r="C2470">
        <v>0</v>
      </c>
      <c r="D2470">
        <v>0</v>
      </c>
      <c r="E2470">
        <v>0</v>
      </c>
      <c r="F2470">
        <v>0</v>
      </c>
      <c r="G2470">
        <v>0</v>
      </c>
      <c r="H2470">
        <v>0</v>
      </c>
      <c r="I2470">
        <v>0</v>
      </c>
      <c r="J2470">
        <v>0</v>
      </c>
      <c r="K2470">
        <v>0</v>
      </c>
    </row>
    <row r="2471" spans="1:11" x14ac:dyDescent="0.2">
      <c r="A2471" t="s">
        <v>4266</v>
      </c>
      <c r="B2471">
        <v>0</v>
      </c>
      <c r="C2471">
        <v>0</v>
      </c>
      <c r="D2471">
        <v>0</v>
      </c>
      <c r="E2471">
        <v>0</v>
      </c>
      <c r="F2471">
        <v>0</v>
      </c>
      <c r="G2471">
        <v>0</v>
      </c>
      <c r="H2471">
        <v>0</v>
      </c>
      <c r="I2471">
        <v>0</v>
      </c>
      <c r="J2471">
        <v>0</v>
      </c>
      <c r="K2471">
        <v>0</v>
      </c>
    </row>
    <row r="2472" spans="1:11" x14ac:dyDescent="0.2">
      <c r="A2472" t="s">
        <v>4267</v>
      </c>
      <c r="B2472">
        <v>0</v>
      </c>
      <c r="C2472">
        <v>0</v>
      </c>
      <c r="D2472">
        <v>0</v>
      </c>
      <c r="E2472">
        <v>0</v>
      </c>
      <c r="F2472">
        <v>0</v>
      </c>
      <c r="G2472">
        <v>0</v>
      </c>
      <c r="H2472">
        <v>0</v>
      </c>
      <c r="I2472">
        <v>0</v>
      </c>
      <c r="J2472">
        <v>0</v>
      </c>
      <c r="K2472">
        <v>0</v>
      </c>
    </row>
    <row r="2473" spans="1:11" x14ac:dyDescent="0.2">
      <c r="A2473" t="s">
        <v>4268</v>
      </c>
      <c r="B2473">
        <v>0</v>
      </c>
      <c r="C2473">
        <v>0</v>
      </c>
      <c r="D2473">
        <v>0</v>
      </c>
      <c r="E2473">
        <v>0</v>
      </c>
      <c r="F2473">
        <v>0</v>
      </c>
      <c r="G2473">
        <v>0</v>
      </c>
      <c r="H2473">
        <v>0</v>
      </c>
      <c r="I2473">
        <v>0</v>
      </c>
      <c r="J2473">
        <v>0</v>
      </c>
      <c r="K2473">
        <v>0</v>
      </c>
    </row>
    <row r="2474" spans="1:11" x14ac:dyDescent="0.2">
      <c r="A2474" t="s">
        <v>4269</v>
      </c>
      <c r="B2474">
        <v>0</v>
      </c>
      <c r="C2474">
        <v>0</v>
      </c>
      <c r="D2474">
        <v>0</v>
      </c>
      <c r="E2474">
        <v>0</v>
      </c>
      <c r="F2474">
        <v>0</v>
      </c>
      <c r="G2474">
        <v>0</v>
      </c>
      <c r="H2474">
        <v>0</v>
      </c>
      <c r="I2474">
        <v>0</v>
      </c>
      <c r="J2474">
        <v>0</v>
      </c>
      <c r="K2474">
        <v>0</v>
      </c>
    </row>
    <row r="2475" spans="1:11" x14ac:dyDescent="0.2">
      <c r="A2475" t="s">
        <v>4270</v>
      </c>
      <c r="B2475">
        <v>0</v>
      </c>
      <c r="C2475">
        <v>0</v>
      </c>
      <c r="D2475">
        <v>0</v>
      </c>
      <c r="E2475">
        <v>0</v>
      </c>
      <c r="F2475">
        <v>0</v>
      </c>
      <c r="G2475">
        <v>0</v>
      </c>
      <c r="H2475">
        <v>0</v>
      </c>
      <c r="I2475">
        <v>0</v>
      </c>
      <c r="J2475">
        <v>0</v>
      </c>
      <c r="K2475">
        <v>0</v>
      </c>
    </row>
    <row r="2476" spans="1:11" x14ac:dyDescent="0.2">
      <c r="A2476" t="s">
        <v>4271</v>
      </c>
      <c r="B2476">
        <v>0</v>
      </c>
      <c r="C2476">
        <v>0</v>
      </c>
      <c r="D2476">
        <v>0</v>
      </c>
      <c r="E2476">
        <v>0</v>
      </c>
      <c r="F2476">
        <v>0</v>
      </c>
      <c r="G2476">
        <v>0</v>
      </c>
      <c r="H2476">
        <v>0</v>
      </c>
      <c r="I2476">
        <v>0</v>
      </c>
      <c r="J2476">
        <v>0</v>
      </c>
      <c r="K2476">
        <v>0</v>
      </c>
    </row>
    <row r="2477" spans="1:11" x14ac:dyDescent="0.2">
      <c r="A2477" t="s">
        <v>4272</v>
      </c>
      <c r="B2477">
        <v>0</v>
      </c>
      <c r="C2477">
        <v>0</v>
      </c>
      <c r="D2477">
        <v>0</v>
      </c>
      <c r="E2477">
        <v>0</v>
      </c>
      <c r="F2477">
        <v>0</v>
      </c>
      <c r="G2477">
        <v>0</v>
      </c>
      <c r="H2477">
        <v>0</v>
      </c>
      <c r="I2477">
        <v>0</v>
      </c>
      <c r="J2477">
        <v>0</v>
      </c>
      <c r="K2477">
        <v>0</v>
      </c>
    </row>
    <row r="2478" spans="1:11" x14ac:dyDescent="0.2">
      <c r="A2478" t="s">
        <v>4273</v>
      </c>
      <c r="B2478">
        <v>0</v>
      </c>
      <c r="C2478">
        <v>0</v>
      </c>
      <c r="D2478">
        <v>0</v>
      </c>
      <c r="E2478">
        <v>0</v>
      </c>
      <c r="F2478">
        <v>0</v>
      </c>
      <c r="G2478">
        <v>0</v>
      </c>
      <c r="H2478">
        <v>0</v>
      </c>
      <c r="I2478">
        <v>0</v>
      </c>
      <c r="J2478">
        <v>0</v>
      </c>
      <c r="K2478">
        <v>0</v>
      </c>
    </row>
    <row r="2479" spans="1:11" x14ac:dyDescent="0.2">
      <c r="A2479" t="s">
        <v>4274</v>
      </c>
      <c r="B2479">
        <v>0</v>
      </c>
      <c r="C2479">
        <v>0</v>
      </c>
      <c r="D2479">
        <v>0</v>
      </c>
      <c r="E2479">
        <v>0</v>
      </c>
      <c r="F2479">
        <v>0</v>
      </c>
      <c r="G2479">
        <v>0</v>
      </c>
      <c r="H2479">
        <v>0</v>
      </c>
      <c r="I2479">
        <v>0</v>
      </c>
      <c r="J2479">
        <v>0</v>
      </c>
      <c r="K2479">
        <v>0</v>
      </c>
    </row>
    <row r="2480" spans="1:11" x14ac:dyDescent="0.2">
      <c r="A2480" t="s">
        <v>4275</v>
      </c>
      <c r="B2480">
        <v>0</v>
      </c>
      <c r="C2480">
        <v>0</v>
      </c>
      <c r="D2480">
        <v>0</v>
      </c>
      <c r="E2480">
        <v>0</v>
      </c>
      <c r="F2480">
        <v>0</v>
      </c>
      <c r="G2480">
        <v>0</v>
      </c>
      <c r="H2480">
        <v>0</v>
      </c>
      <c r="I2480">
        <v>0</v>
      </c>
      <c r="J2480">
        <v>0</v>
      </c>
      <c r="K2480">
        <v>0</v>
      </c>
    </row>
    <row r="2481" spans="1:11" x14ac:dyDescent="0.2">
      <c r="A2481" t="s">
        <v>4276</v>
      </c>
      <c r="B2481">
        <v>0</v>
      </c>
      <c r="C2481">
        <v>0</v>
      </c>
      <c r="D2481">
        <v>0</v>
      </c>
      <c r="E2481">
        <v>0</v>
      </c>
      <c r="F2481">
        <v>0</v>
      </c>
      <c r="G2481">
        <v>0</v>
      </c>
      <c r="H2481">
        <v>0</v>
      </c>
      <c r="I2481">
        <v>0</v>
      </c>
      <c r="J2481">
        <v>0</v>
      </c>
      <c r="K2481">
        <v>0</v>
      </c>
    </row>
    <row r="2482" spans="1:11" x14ac:dyDescent="0.2">
      <c r="A2482" t="s">
        <v>4277</v>
      </c>
      <c r="B2482">
        <v>0</v>
      </c>
      <c r="C2482">
        <v>0</v>
      </c>
      <c r="D2482">
        <v>0</v>
      </c>
      <c r="E2482">
        <v>0</v>
      </c>
      <c r="F2482">
        <v>0</v>
      </c>
      <c r="G2482">
        <v>0</v>
      </c>
      <c r="H2482">
        <v>0</v>
      </c>
      <c r="I2482">
        <v>0</v>
      </c>
      <c r="J2482">
        <v>0</v>
      </c>
      <c r="K2482">
        <v>0</v>
      </c>
    </row>
    <row r="2483" spans="1:11" x14ac:dyDescent="0.2">
      <c r="A2483" t="s">
        <v>4278</v>
      </c>
      <c r="B2483">
        <v>0</v>
      </c>
      <c r="C2483">
        <v>0</v>
      </c>
      <c r="D2483">
        <v>0</v>
      </c>
      <c r="E2483">
        <v>0</v>
      </c>
      <c r="F2483">
        <v>0</v>
      </c>
      <c r="G2483">
        <v>0</v>
      </c>
      <c r="H2483">
        <v>0</v>
      </c>
      <c r="I2483">
        <v>0</v>
      </c>
      <c r="J2483">
        <v>0</v>
      </c>
      <c r="K2483">
        <v>0</v>
      </c>
    </row>
    <row r="2484" spans="1:11" x14ac:dyDescent="0.2">
      <c r="A2484" t="s">
        <v>4279</v>
      </c>
      <c r="B2484">
        <v>0</v>
      </c>
      <c r="C2484">
        <v>0</v>
      </c>
      <c r="D2484">
        <v>0</v>
      </c>
      <c r="E2484">
        <v>0</v>
      </c>
      <c r="F2484">
        <v>0</v>
      </c>
      <c r="G2484">
        <v>0</v>
      </c>
      <c r="H2484">
        <v>0</v>
      </c>
      <c r="I2484">
        <v>0</v>
      </c>
      <c r="J2484">
        <v>0</v>
      </c>
      <c r="K2484">
        <v>0</v>
      </c>
    </row>
    <row r="2485" spans="1:11" x14ac:dyDescent="0.2">
      <c r="A2485" t="s">
        <v>4280</v>
      </c>
      <c r="B2485">
        <v>0</v>
      </c>
      <c r="C2485">
        <v>0</v>
      </c>
      <c r="D2485">
        <v>0</v>
      </c>
      <c r="E2485">
        <v>0</v>
      </c>
      <c r="F2485">
        <v>0</v>
      </c>
      <c r="G2485">
        <v>0</v>
      </c>
      <c r="H2485">
        <v>0</v>
      </c>
      <c r="I2485">
        <v>0</v>
      </c>
      <c r="J2485">
        <v>0</v>
      </c>
      <c r="K2485">
        <v>0</v>
      </c>
    </row>
    <row r="2486" spans="1:11" x14ac:dyDescent="0.2">
      <c r="A2486" t="s">
        <v>4281</v>
      </c>
      <c r="B2486">
        <v>0</v>
      </c>
      <c r="C2486">
        <v>0</v>
      </c>
      <c r="D2486">
        <v>0</v>
      </c>
      <c r="E2486">
        <v>0</v>
      </c>
      <c r="F2486">
        <v>0</v>
      </c>
      <c r="G2486">
        <v>1</v>
      </c>
      <c r="H2486">
        <v>1</v>
      </c>
      <c r="I2486">
        <v>0</v>
      </c>
      <c r="J2486">
        <v>0</v>
      </c>
      <c r="K2486">
        <v>34</v>
      </c>
    </row>
    <row r="2487" spans="1:11" x14ac:dyDescent="0.2">
      <c r="A2487" t="s">
        <v>4282</v>
      </c>
      <c r="B2487">
        <v>0</v>
      </c>
      <c r="C2487">
        <v>0</v>
      </c>
      <c r="D2487">
        <v>0</v>
      </c>
      <c r="E2487">
        <v>0</v>
      </c>
      <c r="F2487">
        <v>0</v>
      </c>
      <c r="G2487">
        <v>0</v>
      </c>
      <c r="H2487">
        <v>2</v>
      </c>
      <c r="I2487">
        <v>0</v>
      </c>
      <c r="J2487">
        <v>0</v>
      </c>
      <c r="K2487">
        <v>15</v>
      </c>
    </row>
    <row r="2488" spans="1:11" x14ac:dyDescent="0.2">
      <c r="A2488" t="s">
        <v>4283</v>
      </c>
      <c r="B2488">
        <v>0</v>
      </c>
      <c r="C2488">
        <v>0</v>
      </c>
      <c r="D2488">
        <v>0</v>
      </c>
      <c r="E2488">
        <v>0</v>
      </c>
      <c r="F2488">
        <v>0</v>
      </c>
      <c r="G2488">
        <v>0</v>
      </c>
      <c r="H2488">
        <v>0</v>
      </c>
      <c r="I2488">
        <v>0</v>
      </c>
      <c r="J2488">
        <v>0</v>
      </c>
      <c r="K2488">
        <v>5</v>
      </c>
    </row>
    <row r="2489" spans="1:11" x14ac:dyDescent="0.2">
      <c r="A2489" t="s">
        <v>4284</v>
      </c>
      <c r="B2489">
        <v>0</v>
      </c>
      <c r="C2489">
        <v>0</v>
      </c>
      <c r="D2489">
        <v>0</v>
      </c>
      <c r="E2489">
        <v>0</v>
      </c>
      <c r="F2489">
        <v>0</v>
      </c>
      <c r="G2489">
        <v>0</v>
      </c>
      <c r="H2489">
        <v>0</v>
      </c>
      <c r="I2489">
        <v>0</v>
      </c>
      <c r="J2489">
        <v>0</v>
      </c>
      <c r="K2489">
        <v>1</v>
      </c>
    </row>
    <row r="2490" spans="1:11" x14ac:dyDescent="0.2">
      <c r="A2490" t="s">
        <v>4285</v>
      </c>
      <c r="B2490">
        <v>0</v>
      </c>
      <c r="C2490">
        <v>0</v>
      </c>
      <c r="D2490">
        <v>0</v>
      </c>
      <c r="E2490">
        <v>0</v>
      </c>
      <c r="F2490">
        <v>0</v>
      </c>
      <c r="G2490">
        <v>1</v>
      </c>
      <c r="H2490">
        <v>1</v>
      </c>
      <c r="I2490">
        <v>0</v>
      </c>
      <c r="J2490">
        <v>0</v>
      </c>
      <c r="K2490">
        <v>28</v>
      </c>
    </row>
    <row r="2491" spans="1:11" x14ac:dyDescent="0.2">
      <c r="A2491" t="s">
        <v>4286</v>
      </c>
      <c r="B2491">
        <v>0</v>
      </c>
      <c r="C2491">
        <v>0</v>
      </c>
      <c r="D2491">
        <v>0</v>
      </c>
      <c r="E2491">
        <v>0</v>
      </c>
      <c r="F2491">
        <v>0</v>
      </c>
      <c r="G2491">
        <v>0</v>
      </c>
      <c r="H2491">
        <v>0</v>
      </c>
      <c r="I2491">
        <v>0</v>
      </c>
      <c r="J2491">
        <v>0</v>
      </c>
      <c r="K2491">
        <v>2</v>
      </c>
    </row>
    <row r="2492" spans="1:11" x14ac:dyDescent="0.2">
      <c r="A2492" t="s">
        <v>4287</v>
      </c>
      <c r="B2492">
        <v>0</v>
      </c>
      <c r="C2492">
        <v>0</v>
      </c>
      <c r="D2492">
        <v>0</v>
      </c>
      <c r="E2492">
        <v>0</v>
      </c>
      <c r="F2492">
        <v>0</v>
      </c>
      <c r="G2492">
        <v>0</v>
      </c>
      <c r="H2492">
        <v>0</v>
      </c>
      <c r="I2492">
        <v>0</v>
      </c>
      <c r="J2492">
        <v>0</v>
      </c>
      <c r="K2492">
        <v>5</v>
      </c>
    </row>
    <row r="2493" spans="1:11" x14ac:dyDescent="0.2">
      <c r="A2493" t="s">
        <v>4288</v>
      </c>
      <c r="B2493">
        <v>0</v>
      </c>
      <c r="C2493">
        <v>0</v>
      </c>
      <c r="D2493">
        <v>0</v>
      </c>
      <c r="E2493">
        <v>0</v>
      </c>
      <c r="F2493">
        <v>0</v>
      </c>
      <c r="G2493">
        <v>0</v>
      </c>
      <c r="H2493">
        <v>0</v>
      </c>
      <c r="I2493">
        <v>0</v>
      </c>
      <c r="J2493">
        <v>0</v>
      </c>
      <c r="K2493">
        <v>0</v>
      </c>
    </row>
    <row r="2494" spans="1:11" x14ac:dyDescent="0.2">
      <c r="A2494" t="s">
        <v>4289</v>
      </c>
      <c r="B2494">
        <v>0</v>
      </c>
      <c r="C2494">
        <v>0</v>
      </c>
      <c r="D2494">
        <v>0</v>
      </c>
      <c r="E2494">
        <v>0</v>
      </c>
      <c r="F2494">
        <v>0</v>
      </c>
      <c r="G2494">
        <v>0</v>
      </c>
      <c r="H2494">
        <v>0</v>
      </c>
      <c r="I2494">
        <v>0</v>
      </c>
      <c r="J2494">
        <v>0</v>
      </c>
      <c r="K2494">
        <v>0</v>
      </c>
    </row>
    <row r="2495" spans="1:11" x14ac:dyDescent="0.2">
      <c r="A2495" t="s">
        <v>4290</v>
      </c>
      <c r="B2495">
        <v>0</v>
      </c>
      <c r="C2495">
        <v>0</v>
      </c>
      <c r="D2495">
        <v>0</v>
      </c>
      <c r="E2495">
        <v>0</v>
      </c>
      <c r="F2495">
        <v>0</v>
      </c>
      <c r="G2495">
        <v>0</v>
      </c>
      <c r="H2495">
        <v>0</v>
      </c>
      <c r="I2495">
        <v>0</v>
      </c>
      <c r="J2495">
        <v>0</v>
      </c>
      <c r="K2495">
        <v>0</v>
      </c>
    </row>
    <row r="2496" spans="1:11" x14ac:dyDescent="0.2">
      <c r="A2496" t="s">
        <v>4291</v>
      </c>
      <c r="B2496">
        <v>0</v>
      </c>
      <c r="C2496">
        <v>0</v>
      </c>
      <c r="D2496">
        <v>0</v>
      </c>
      <c r="E2496">
        <v>0</v>
      </c>
      <c r="F2496">
        <v>0</v>
      </c>
      <c r="G2496">
        <v>0</v>
      </c>
      <c r="H2496">
        <v>0</v>
      </c>
      <c r="I2496">
        <v>0</v>
      </c>
      <c r="J2496">
        <v>0</v>
      </c>
      <c r="K2496">
        <v>0</v>
      </c>
    </row>
    <row r="2497" spans="1:11" x14ac:dyDescent="0.2">
      <c r="A2497" t="s">
        <v>4292</v>
      </c>
      <c r="B2497">
        <v>0</v>
      </c>
      <c r="C2497">
        <v>0</v>
      </c>
      <c r="D2497">
        <v>0</v>
      </c>
      <c r="E2497">
        <v>0</v>
      </c>
      <c r="F2497">
        <v>0</v>
      </c>
      <c r="G2497">
        <v>0</v>
      </c>
      <c r="H2497">
        <v>0</v>
      </c>
      <c r="I2497">
        <v>0</v>
      </c>
      <c r="J2497">
        <v>0</v>
      </c>
      <c r="K2497">
        <v>0</v>
      </c>
    </row>
    <row r="2498" spans="1:11" x14ac:dyDescent="0.2">
      <c r="A2498" t="s">
        <v>4293</v>
      </c>
      <c r="B2498">
        <v>0</v>
      </c>
      <c r="C2498">
        <v>0</v>
      </c>
      <c r="D2498">
        <v>0</v>
      </c>
      <c r="E2498">
        <v>0</v>
      </c>
      <c r="F2498">
        <v>0</v>
      </c>
      <c r="G2498">
        <v>0</v>
      </c>
      <c r="H2498">
        <v>0</v>
      </c>
      <c r="I2498">
        <v>0</v>
      </c>
      <c r="J2498">
        <v>0</v>
      </c>
      <c r="K2498">
        <v>0</v>
      </c>
    </row>
    <row r="2499" spans="1:11" x14ac:dyDescent="0.2">
      <c r="A2499" t="s">
        <v>4294</v>
      </c>
      <c r="B2499">
        <v>0</v>
      </c>
      <c r="C2499">
        <v>0</v>
      </c>
      <c r="D2499">
        <v>0</v>
      </c>
      <c r="E2499">
        <v>0</v>
      </c>
      <c r="F2499">
        <v>0</v>
      </c>
      <c r="G2499">
        <v>0</v>
      </c>
      <c r="H2499">
        <v>0</v>
      </c>
      <c r="I2499">
        <v>0</v>
      </c>
      <c r="J2499">
        <v>0</v>
      </c>
      <c r="K2499">
        <v>0</v>
      </c>
    </row>
    <row r="2500" spans="1:11" x14ac:dyDescent="0.2">
      <c r="A2500" t="s">
        <v>4295</v>
      </c>
      <c r="B2500">
        <v>0</v>
      </c>
      <c r="C2500">
        <v>0</v>
      </c>
      <c r="D2500">
        <v>0</v>
      </c>
      <c r="E2500">
        <v>0</v>
      </c>
      <c r="F2500">
        <v>0</v>
      </c>
      <c r="G2500">
        <v>0</v>
      </c>
      <c r="H2500">
        <v>0</v>
      </c>
      <c r="I2500">
        <v>0</v>
      </c>
      <c r="J2500">
        <v>0</v>
      </c>
      <c r="K2500">
        <v>0</v>
      </c>
    </row>
    <row r="2501" spans="1:11" x14ac:dyDescent="0.2">
      <c r="A2501" t="s">
        <v>4296</v>
      </c>
      <c r="B2501">
        <v>0</v>
      </c>
      <c r="C2501">
        <v>0</v>
      </c>
      <c r="D2501">
        <v>0</v>
      </c>
      <c r="E2501">
        <v>0</v>
      </c>
      <c r="F2501">
        <v>0</v>
      </c>
      <c r="G2501">
        <v>0</v>
      </c>
      <c r="H2501">
        <v>0</v>
      </c>
      <c r="I2501">
        <v>0</v>
      </c>
      <c r="J2501">
        <v>0</v>
      </c>
      <c r="K2501">
        <v>0</v>
      </c>
    </row>
    <row r="2502" spans="1:11" x14ac:dyDescent="0.2">
      <c r="A2502" t="s">
        <v>4297</v>
      </c>
      <c r="B2502">
        <v>0</v>
      </c>
      <c r="C2502">
        <v>0</v>
      </c>
      <c r="D2502">
        <v>0</v>
      </c>
      <c r="E2502">
        <v>0</v>
      </c>
      <c r="F2502">
        <v>0</v>
      </c>
      <c r="G2502">
        <v>1</v>
      </c>
      <c r="H2502">
        <v>2</v>
      </c>
      <c r="I2502">
        <v>0</v>
      </c>
      <c r="J2502">
        <v>0</v>
      </c>
      <c r="K2502">
        <v>36</v>
      </c>
    </row>
    <row r="2503" spans="1:11" x14ac:dyDescent="0.2">
      <c r="A2503" t="s">
        <v>4298</v>
      </c>
      <c r="B2503">
        <v>0</v>
      </c>
      <c r="C2503">
        <v>0</v>
      </c>
      <c r="D2503">
        <v>0</v>
      </c>
      <c r="E2503">
        <v>0</v>
      </c>
      <c r="F2503">
        <v>0</v>
      </c>
      <c r="G2503">
        <v>0</v>
      </c>
      <c r="H2503">
        <v>1</v>
      </c>
      <c r="I2503">
        <v>0</v>
      </c>
      <c r="J2503">
        <v>0</v>
      </c>
      <c r="K2503">
        <v>12</v>
      </c>
    </row>
    <row r="2504" spans="1:11" x14ac:dyDescent="0.2">
      <c r="A2504" t="s">
        <v>4299</v>
      </c>
      <c r="B2504">
        <v>0</v>
      </c>
      <c r="C2504">
        <v>0</v>
      </c>
      <c r="D2504">
        <v>0</v>
      </c>
      <c r="E2504">
        <v>0</v>
      </c>
      <c r="F2504">
        <v>0</v>
      </c>
      <c r="G2504">
        <v>0</v>
      </c>
      <c r="H2504">
        <v>4</v>
      </c>
      <c r="I2504">
        <v>0</v>
      </c>
      <c r="J2504">
        <v>0</v>
      </c>
      <c r="K2504">
        <v>53</v>
      </c>
    </row>
    <row r="2505" spans="1:11" x14ac:dyDescent="0.2">
      <c r="A2505" t="s">
        <v>4300</v>
      </c>
      <c r="B2505">
        <v>0</v>
      </c>
      <c r="C2505">
        <v>0</v>
      </c>
      <c r="D2505">
        <v>0</v>
      </c>
      <c r="E2505">
        <v>0</v>
      </c>
      <c r="F2505">
        <v>0</v>
      </c>
      <c r="G2505">
        <v>0</v>
      </c>
      <c r="H2505">
        <v>0</v>
      </c>
      <c r="I2505">
        <v>0</v>
      </c>
      <c r="J2505">
        <v>0</v>
      </c>
      <c r="K2505">
        <v>1</v>
      </c>
    </row>
    <row r="2506" spans="1:11" x14ac:dyDescent="0.2">
      <c r="A2506" t="s">
        <v>4301</v>
      </c>
      <c r="B2506">
        <v>0</v>
      </c>
      <c r="C2506">
        <v>0</v>
      </c>
      <c r="D2506">
        <v>0</v>
      </c>
      <c r="E2506">
        <v>0</v>
      </c>
      <c r="F2506">
        <v>0</v>
      </c>
      <c r="G2506">
        <v>3</v>
      </c>
      <c r="H2506">
        <v>3</v>
      </c>
      <c r="I2506">
        <v>0</v>
      </c>
      <c r="J2506">
        <v>0</v>
      </c>
      <c r="K2506">
        <v>80</v>
      </c>
    </row>
    <row r="2507" spans="1:11" x14ac:dyDescent="0.2">
      <c r="A2507" t="s">
        <v>4302</v>
      </c>
      <c r="B2507">
        <v>0</v>
      </c>
      <c r="C2507">
        <v>0</v>
      </c>
      <c r="D2507">
        <v>0</v>
      </c>
      <c r="E2507">
        <v>0</v>
      </c>
      <c r="F2507">
        <v>0</v>
      </c>
      <c r="G2507">
        <v>1</v>
      </c>
      <c r="H2507">
        <v>4</v>
      </c>
      <c r="I2507">
        <v>0</v>
      </c>
      <c r="J2507">
        <v>0</v>
      </c>
      <c r="K2507">
        <v>54</v>
      </c>
    </row>
    <row r="2508" spans="1:11" x14ac:dyDescent="0.2">
      <c r="A2508" t="s">
        <v>4303</v>
      </c>
      <c r="B2508">
        <v>0</v>
      </c>
      <c r="C2508">
        <v>0</v>
      </c>
      <c r="D2508">
        <v>0</v>
      </c>
      <c r="E2508">
        <v>0</v>
      </c>
      <c r="F2508">
        <v>0</v>
      </c>
      <c r="G2508">
        <v>1</v>
      </c>
      <c r="H2508">
        <v>13</v>
      </c>
      <c r="I2508">
        <v>0</v>
      </c>
      <c r="J2508">
        <v>1</v>
      </c>
      <c r="K2508">
        <v>60</v>
      </c>
    </row>
    <row r="2509" spans="1:11" x14ac:dyDescent="0.2">
      <c r="A2509" t="s">
        <v>4304</v>
      </c>
      <c r="B2509">
        <v>0</v>
      </c>
      <c r="C2509">
        <v>0</v>
      </c>
      <c r="D2509">
        <v>0</v>
      </c>
      <c r="E2509">
        <v>0</v>
      </c>
      <c r="F2509">
        <v>0</v>
      </c>
      <c r="G2509">
        <v>1</v>
      </c>
      <c r="H2509">
        <v>0</v>
      </c>
      <c r="I2509">
        <v>0</v>
      </c>
      <c r="J2509">
        <v>0</v>
      </c>
      <c r="K2509">
        <v>10</v>
      </c>
    </row>
    <row r="2510" spans="1:11" x14ac:dyDescent="0.2">
      <c r="A2510" t="s">
        <v>4305</v>
      </c>
      <c r="B2510">
        <v>0</v>
      </c>
      <c r="C2510">
        <v>0</v>
      </c>
      <c r="D2510">
        <v>0</v>
      </c>
      <c r="E2510">
        <v>0</v>
      </c>
      <c r="F2510">
        <v>0</v>
      </c>
      <c r="G2510">
        <v>3</v>
      </c>
      <c r="H2510">
        <v>2</v>
      </c>
      <c r="I2510">
        <v>0</v>
      </c>
      <c r="J2510">
        <v>0</v>
      </c>
      <c r="K2510">
        <v>38</v>
      </c>
    </row>
    <row r="2511" spans="1:11" x14ac:dyDescent="0.2">
      <c r="A2511" t="s">
        <v>4306</v>
      </c>
      <c r="B2511">
        <v>0</v>
      </c>
      <c r="C2511">
        <v>0</v>
      </c>
      <c r="D2511">
        <v>0</v>
      </c>
      <c r="E2511">
        <v>0</v>
      </c>
      <c r="F2511">
        <v>0</v>
      </c>
      <c r="G2511">
        <v>0</v>
      </c>
      <c r="H2511">
        <v>1</v>
      </c>
      <c r="I2511">
        <v>0</v>
      </c>
      <c r="J2511">
        <v>0</v>
      </c>
      <c r="K2511">
        <v>7</v>
      </c>
    </row>
    <row r="2512" spans="1:11" x14ac:dyDescent="0.2">
      <c r="A2512" t="s">
        <v>4307</v>
      </c>
      <c r="B2512">
        <v>0</v>
      </c>
      <c r="C2512">
        <v>0</v>
      </c>
      <c r="D2512">
        <v>0</v>
      </c>
      <c r="E2512">
        <v>0</v>
      </c>
      <c r="F2512">
        <v>0</v>
      </c>
      <c r="G2512">
        <v>3</v>
      </c>
      <c r="H2512">
        <v>16</v>
      </c>
      <c r="I2512">
        <v>0</v>
      </c>
      <c r="J2512">
        <v>2</v>
      </c>
      <c r="K2512">
        <v>75</v>
      </c>
    </row>
    <row r="2513" spans="1:11" x14ac:dyDescent="0.2">
      <c r="A2513" t="s">
        <v>4308</v>
      </c>
      <c r="B2513">
        <v>0</v>
      </c>
      <c r="C2513">
        <v>0</v>
      </c>
      <c r="D2513">
        <v>0</v>
      </c>
      <c r="E2513">
        <v>0</v>
      </c>
      <c r="F2513">
        <v>0</v>
      </c>
      <c r="G2513">
        <v>0</v>
      </c>
      <c r="H2513">
        <v>0</v>
      </c>
      <c r="I2513">
        <v>0</v>
      </c>
      <c r="J2513">
        <v>0</v>
      </c>
      <c r="K2513">
        <v>0</v>
      </c>
    </row>
    <row r="2514" spans="1:11" x14ac:dyDescent="0.2">
      <c r="A2514" t="s">
        <v>4309</v>
      </c>
      <c r="B2514">
        <v>0</v>
      </c>
      <c r="C2514">
        <v>0</v>
      </c>
      <c r="D2514">
        <v>0</v>
      </c>
      <c r="E2514">
        <v>0</v>
      </c>
      <c r="F2514">
        <v>0</v>
      </c>
      <c r="G2514">
        <v>0</v>
      </c>
      <c r="H2514">
        <v>0</v>
      </c>
      <c r="I2514">
        <v>0</v>
      </c>
      <c r="J2514">
        <v>0</v>
      </c>
      <c r="K2514">
        <v>0</v>
      </c>
    </row>
    <row r="2515" spans="1:11" x14ac:dyDescent="0.2">
      <c r="A2515" t="s">
        <v>4310</v>
      </c>
      <c r="B2515">
        <v>0</v>
      </c>
      <c r="C2515">
        <v>0</v>
      </c>
      <c r="D2515">
        <v>0</v>
      </c>
      <c r="E2515">
        <v>0</v>
      </c>
      <c r="F2515">
        <v>0</v>
      </c>
      <c r="G2515">
        <v>0</v>
      </c>
      <c r="H2515">
        <v>0</v>
      </c>
      <c r="I2515">
        <v>0</v>
      </c>
      <c r="J2515">
        <v>0</v>
      </c>
      <c r="K2515">
        <v>0</v>
      </c>
    </row>
    <row r="2516" spans="1:11" x14ac:dyDescent="0.2">
      <c r="A2516" t="s">
        <v>4311</v>
      </c>
      <c r="B2516">
        <v>0</v>
      </c>
      <c r="C2516">
        <v>0</v>
      </c>
      <c r="D2516">
        <v>0</v>
      </c>
      <c r="E2516">
        <v>0</v>
      </c>
      <c r="F2516">
        <v>0</v>
      </c>
      <c r="G2516">
        <v>0</v>
      </c>
      <c r="H2516">
        <v>0</v>
      </c>
      <c r="I2516">
        <v>0</v>
      </c>
      <c r="J2516">
        <v>0</v>
      </c>
      <c r="K2516">
        <v>0</v>
      </c>
    </row>
    <row r="2517" spans="1:11" x14ac:dyDescent="0.2">
      <c r="A2517" t="s">
        <v>4312</v>
      </c>
      <c r="B2517">
        <v>0</v>
      </c>
      <c r="C2517">
        <v>0</v>
      </c>
      <c r="D2517">
        <v>0</v>
      </c>
      <c r="E2517">
        <v>0</v>
      </c>
      <c r="F2517">
        <v>0</v>
      </c>
      <c r="G2517">
        <v>0</v>
      </c>
      <c r="H2517">
        <v>0</v>
      </c>
      <c r="I2517">
        <v>0</v>
      </c>
      <c r="J2517">
        <v>0</v>
      </c>
      <c r="K2517">
        <v>0</v>
      </c>
    </row>
    <row r="2518" spans="1:11" x14ac:dyDescent="0.2">
      <c r="A2518" t="s">
        <v>4313</v>
      </c>
      <c r="B2518">
        <v>0</v>
      </c>
      <c r="C2518">
        <v>0</v>
      </c>
      <c r="D2518">
        <v>0</v>
      </c>
      <c r="E2518">
        <v>0</v>
      </c>
      <c r="F2518">
        <v>0</v>
      </c>
      <c r="G2518">
        <v>0</v>
      </c>
      <c r="H2518">
        <v>0</v>
      </c>
      <c r="I2518">
        <v>0</v>
      </c>
      <c r="J2518">
        <v>0</v>
      </c>
      <c r="K2518">
        <v>0</v>
      </c>
    </row>
    <row r="2519" spans="1:11" x14ac:dyDescent="0.2">
      <c r="A2519" t="s">
        <v>4314</v>
      </c>
      <c r="B2519">
        <v>0</v>
      </c>
      <c r="C2519">
        <v>0</v>
      </c>
      <c r="D2519">
        <v>0</v>
      </c>
      <c r="E2519">
        <v>0</v>
      </c>
      <c r="F2519">
        <v>0</v>
      </c>
      <c r="G2519">
        <v>0</v>
      </c>
      <c r="H2519">
        <v>0</v>
      </c>
      <c r="I2519">
        <v>0</v>
      </c>
      <c r="J2519">
        <v>0</v>
      </c>
      <c r="K2519">
        <v>0</v>
      </c>
    </row>
    <row r="2520" spans="1:11" x14ac:dyDescent="0.2">
      <c r="A2520" t="s">
        <v>4315</v>
      </c>
      <c r="B2520">
        <v>0</v>
      </c>
      <c r="C2520">
        <v>0</v>
      </c>
      <c r="D2520">
        <v>0</v>
      </c>
      <c r="E2520">
        <v>0</v>
      </c>
      <c r="F2520">
        <v>0</v>
      </c>
      <c r="G2520">
        <v>0</v>
      </c>
      <c r="H2520">
        <v>0</v>
      </c>
      <c r="I2520">
        <v>0</v>
      </c>
      <c r="J2520">
        <v>0</v>
      </c>
      <c r="K2520">
        <v>0</v>
      </c>
    </row>
    <row r="2521" spans="1:11" x14ac:dyDescent="0.2">
      <c r="A2521" t="s">
        <v>4316</v>
      </c>
      <c r="B2521">
        <v>0</v>
      </c>
      <c r="C2521">
        <v>0</v>
      </c>
      <c r="D2521">
        <v>0</v>
      </c>
      <c r="E2521">
        <v>0</v>
      </c>
      <c r="F2521">
        <v>0</v>
      </c>
      <c r="G2521">
        <v>0</v>
      </c>
      <c r="H2521">
        <v>0</v>
      </c>
      <c r="I2521">
        <v>0</v>
      </c>
      <c r="J2521">
        <v>0</v>
      </c>
      <c r="K2521">
        <v>0</v>
      </c>
    </row>
    <row r="2522" spans="1:11" x14ac:dyDescent="0.2">
      <c r="A2522" t="s">
        <v>4317</v>
      </c>
      <c r="B2522">
        <v>0</v>
      </c>
      <c r="C2522">
        <v>0</v>
      </c>
      <c r="D2522">
        <v>0</v>
      </c>
      <c r="E2522">
        <v>0</v>
      </c>
      <c r="F2522">
        <v>0</v>
      </c>
      <c r="G2522">
        <v>0</v>
      </c>
      <c r="H2522">
        <v>0</v>
      </c>
      <c r="I2522">
        <v>0</v>
      </c>
      <c r="J2522">
        <v>0</v>
      </c>
      <c r="K2522">
        <v>0</v>
      </c>
    </row>
    <row r="2523" spans="1:11" x14ac:dyDescent="0.2">
      <c r="A2523" t="s">
        <v>4318</v>
      </c>
      <c r="B2523">
        <v>0</v>
      </c>
      <c r="C2523">
        <v>0</v>
      </c>
      <c r="D2523">
        <v>0</v>
      </c>
      <c r="E2523">
        <v>0</v>
      </c>
      <c r="F2523">
        <v>0</v>
      </c>
      <c r="G2523">
        <v>0</v>
      </c>
      <c r="H2523">
        <v>0</v>
      </c>
      <c r="I2523">
        <v>0</v>
      </c>
      <c r="J2523">
        <v>0</v>
      </c>
      <c r="K2523">
        <v>0</v>
      </c>
    </row>
    <row r="2524" spans="1:11" x14ac:dyDescent="0.2">
      <c r="A2524" t="s">
        <v>4319</v>
      </c>
      <c r="B2524">
        <v>0</v>
      </c>
      <c r="C2524">
        <v>0</v>
      </c>
      <c r="D2524">
        <v>0</v>
      </c>
      <c r="E2524">
        <v>0</v>
      </c>
      <c r="F2524">
        <v>0</v>
      </c>
      <c r="G2524">
        <v>0</v>
      </c>
      <c r="H2524">
        <v>0</v>
      </c>
      <c r="I2524">
        <v>0</v>
      </c>
      <c r="J2524">
        <v>0</v>
      </c>
      <c r="K2524">
        <v>0</v>
      </c>
    </row>
    <row r="2525" spans="1:11" x14ac:dyDescent="0.2">
      <c r="A2525" t="s">
        <v>4320</v>
      </c>
      <c r="B2525">
        <v>0</v>
      </c>
      <c r="C2525">
        <v>0</v>
      </c>
      <c r="D2525">
        <v>0</v>
      </c>
      <c r="E2525">
        <v>0</v>
      </c>
      <c r="F2525">
        <v>0</v>
      </c>
      <c r="G2525">
        <v>0</v>
      </c>
      <c r="H2525">
        <v>0</v>
      </c>
      <c r="I2525">
        <v>0</v>
      </c>
      <c r="J2525">
        <v>0</v>
      </c>
      <c r="K2525">
        <v>0</v>
      </c>
    </row>
    <row r="2526" spans="1:11" x14ac:dyDescent="0.2">
      <c r="A2526" t="s">
        <v>4321</v>
      </c>
      <c r="B2526">
        <v>0</v>
      </c>
      <c r="C2526">
        <v>0</v>
      </c>
      <c r="D2526">
        <v>0</v>
      </c>
      <c r="E2526">
        <v>0</v>
      </c>
      <c r="F2526">
        <v>0</v>
      </c>
      <c r="G2526">
        <v>0</v>
      </c>
      <c r="H2526">
        <v>0</v>
      </c>
      <c r="I2526">
        <v>0</v>
      </c>
      <c r="J2526">
        <v>0</v>
      </c>
      <c r="K2526">
        <v>0</v>
      </c>
    </row>
    <row r="2527" spans="1:11" x14ac:dyDescent="0.2">
      <c r="A2527" t="s">
        <v>4322</v>
      </c>
      <c r="B2527">
        <v>0</v>
      </c>
      <c r="C2527">
        <v>0</v>
      </c>
      <c r="D2527">
        <v>0</v>
      </c>
      <c r="E2527">
        <v>0</v>
      </c>
      <c r="F2527">
        <v>0</v>
      </c>
      <c r="G2527">
        <v>0</v>
      </c>
      <c r="H2527">
        <v>0</v>
      </c>
      <c r="I2527">
        <v>0</v>
      </c>
      <c r="J2527">
        <v>0</v>
      </c>
      <c r="K2527">
        <v>0</v>
      </c>
    </row>
    <row r="2528" spans="1:11" x14ac:dyDescent="0.2">
      <c r="A2528" t="s">
        <v>4323</v>
      </c>
      <c r="B2528">
        <v>0</v>
      </c>
      <c r="C2528">
        <v>0</v>
      </c>
      <c r="D2528">
        <v>0</v>
      </c>
      <c r="E2528">
        <v>0</v>
      </c>
      <c r="F2528">
        <v>0</v>
      </c>
      <c r="G2528">
        <v>0</v>
      </c>
      <c r="H2528">
        <v>0</v>
      </c>
      <c r="I2528">
        <v>0</v>
      </c>
      <c r="J2528">
        <v>0</v>
      </c>
      <c r="K2528">
        <v>0</v>
      </c>
    </row>
    <row r="2529" spans="1:11" x14ac:dyDescent="0.2">
      <c r="A2529" t="s">
        <v>4324</v>
      </c>
      <c r="B2529">
        <v>0</v>
      </c>
      <c r="C2529">
        <v>0</v>
      </c>
      <c r="D2529">
        <v>0</v>
      </c>
      <c r="E2529">
        <v>0</v>
      </c>
      <c r="F2529">
        <v>0</v>
      </c>
      <c r="G2529">
        <v>0</v>
      </c>
      <c r="H2529">
        <v>0</v>
      </c>
      <c r="I2529">
        <v>0</v>
      </c>
      <c r="J2529">
        <v>0</v>
      </c>
      <c r="K2529">
        <v>0</v>
      </c>
    </row>
    <row r="2530" spans="1:11" x14ac:dyDescent="0.2">
      <c r="A2530" t="s">
        <v>4325</v>
      </c>
      <c r="B2530">
        <v>0</v>
      </c>
      <c r="C2530">
        <v>0</v>
      </c>
      <c r="D2530">
        <v>0</v>
      </c>
      <c r="E2530">
        <v>0</v>
      </c>
      <c r="F2530">
        <v>0</v>
      </c>
      <c r="G2530">
        <v>0</v>
      </c>
      <c r="H2530">
        <v>0</v>
      </c>
      <c r="I2530">
        <v>0</v>
      </c>
      <c r="J2530">
        <v>0</v>
      </c>
      <c r="K2530">
        <v>0</v>
      </c>
    </row>
    <row r="2531" spans="1:11" x14ac:dyDescent="0.2">
      <c r="A2531" t="s">
        <v>4326</v>
      </c>
      <c r="B2531">
        <v>0</v>
      </c>
      <c r="C2531">
        <v>0</v>
      </c>
      <c r="D2531">
        <v>0</v>
      </c>
      <c r="E2531">
        <v>0</v>
      </c>
      <c r="F2531">
        <v>0</v>
      </c>
      <c r="G2531">
        <v>0</v>
      </c>
      <c r="H2531">
        <v>0</v>
      </c>
      <c r="I2531">
        <v>0</v>
      </c>
      <c r="J2531">
        <v>0</v>
      </c>
      <c r="K2531">
        <v>0</v>
      </c>
    </row>
    <row r="2532" spans="1:11" x14ac:dyDescent="0.2">
      <c r="A2532" t="s">
        <v>4327</v>
      </c>
      <c r="B2532">
        <v>0</v>
      </c>
      <c r="C2532">
        <v>0</v>
      </c>
      <c r="D2532">
        <v>0</v>
      </c>
      <c r="E2532">
        <v>0</v>
      </c>
      <c r="F2532">
        <v>0</v>
      </c>
      <c r="G2532">
        <v>0</v>
      </c>
      <c r="H2532">
        <v>0</v>
      </c>
      <c r="I2532">
        <v>0</v>
      </c>
      <c r="J2532">
        <v>0</v>
      </c>
      <c r="K2532">
        <v>1</v>
      </c>
    </row>
    <row r="2533" spans="1:11" x14ac:dyDescent="0.2">
      <c r="A2533" t="s">
        <v>4328</v>
      </c>
      <c r="B2533">
        <v>0</v>
      </c>
      <c r="C2533">
        <v>0</v>
      </c>
      <c r="D2533">
        <v>0</v>
      </c>
      <c r="E2533">
        <v>0</v>
      </c>
      <c r="F2533">
        <v>0</v>
      </c>
      <c r="G2533">
        <v>0</v>
      </c>
      <c r="H2533">
        <v>0</v>
      </c>
      <c r="I2533">
        <v>0</v>
      </c>
      <c r="J2533">
        <v>0</v>
      </c>
      <c r="K2533">
        <v>0</v>
      </c>
    </row>
    <row r="2534" spans="1:11" x14ac:dyDescent="0.2">
      <c r="A2534" t="s">
        <v>4329</v>
      </c>
      <c r="B2534">
        <v>0</v>
      </c>
      <c r="C2534">
        <v>0</v>
      </c>
      <c r="D2534">
        <v>0</v>
      </c>
      <c r="E2534">
        <v>0</v>
      </c>
      <c r="F2534">
        <v>0</v>
      </c>
      <c r="G2534">
        <v>0</v>
      </c>
      <c r="H2534">
        <v>0</v>
      </c>
      <c r="I2534">
        <v>0</v>
      </c>
      <c r="J2534">
        <v>0</v>
      </c>
      <c r="K2534">
        <v>0</v>
      </c>
    </row>
    <row r="2535" spans="1:11" x14ac:dyDescent="0.2">
      <c r="A2535" t="s">
        <v>4330</v>
      </c>
      <c r="B2535">
        <v>0</v>
      </c>
      <c r="C2535">
        <v>0</v>
      </c>
      <c r="D2535">
        <v>0</v>
      </c>
      <c r="E2535">
        <v>0</v>
      </c>
      <c r="F2535">
        <v>0</v>
      </c>
      <c r="G2535">
        <v>0</v>
      </c>
      <c r="H2535">
        <v>0</v>
      </c>
      <c r="I2535">
        <v>0</v>
      </c>
      <c r="J2535">
        <v>0</v>
      </c>
      <c r="K2535">
        <v>0</v>
      </c>
    </row>
    <row r="2536" spans="1:11" x14ac:dyDescent="0.2">
      <c r="A2536" t="s">
        <v>4331</v>
      </c>
      <c r="B2536">
        <v>0</v>
      </c>
      <c r="C2536">
        <v>0</v>
      </c>
      <c r="D2536">
        <v>0</v>
      </c>
      <c r="E2536">
        <v>0</v>
      </c>
      <c r="F2536">
        <v>0</v>
      </c>
      <c r="G2536">
        <v>0</v>
      </c>
      <c r="H2536">
        <v>0</v>
      </c>
      <c r="I2536">
        <v>0</v>
      </c>
      <c r="J2536">
        <v>0</v>
      </c>
      <c r="K2536">
        <v>0</v>
      </c>
    </row>
    <row r="2537" spans="1:11" x14ac:dyDescent="0.2">
      <c r="A2537" t="s">
        <v>4332</v>
      </c>
      <c r="B2537">
        <v>0</v>
      </c>
      <c r="C2537">
        <v>0</v>
      </c>
      <c r="D2537">
        <v>0</v>
      </c>
      <c r="E2537">
        <v>0</v>
      </c>
      <c r="F2537">
        <v>0</v>
      </c>
      <c r="G2537">
        <v>0</v>
      </c>
      <c r="H2537">
        <v>0</v>
      </c>
      <c r="I2537">
        <v>0</v>
      </c>
      <c r="J2537">
        <v>0</v>
      </c>
      <c r="K2537">
        <v>0</v>
      </c>
    </row>
    <row r="2538" spans="1:11" x14ac:dyDescent="0.2">
      <c r="A2538" t="s">
        <v>4333</v>
      </c>
      <c r="B2538">
        <v>0</v>
      </c>
      <c r="C2538">
        <v>0</v>
      </c>
      <c r="D2538">
        <v>0</v>
      </c>
      <c r="E2538">
        <v>0</v>
      </c>
      <c r="F2538">
        <v>0</v>
      </c>
      <c r="G2538">
        <v>0</v>
      </c>
      <c r="H2538">
        <v>0</v>
      </c>
      <c r="I2538">
        <v>0</v>
      </c>
      <c r="J2538">
        <v>0</v>
      </c>
      <c r="K2538">
        <v>0</v>
      </c>
    </row>
    <row r="2539" spans="1:11" x14ac:dyDescent="0.2">
      <c r="A2539" t="s">
        <v>4334</v>
      </c>
      <c r="B2539">
        <v>0</v>
      </c>
      <c r="C2539">
        <v>0</v>
      </c>
      <c r="D2539">
        <v>0</v>
      </c>
      <c r="E2539">
        <v>0</v>
      </c>
      <c r="F2539">
        <v>0</v>
      </c>
      <c r="G2539">
        <v>0</v>
      </c>
      <c r="H2539">
        <v>68</v>
      </c>
      <c r="I2539">
        <v>0</v>
      </c>
      <c r="J2539">
        <v>7</v>
      </c>
      <c r="K2539">
        <v>301</v>
      </c>
    </row>
    <row r="2540" spans="1:11" x14ac:dyDescent="0.2">
      <c r="A2540" t="s">
        <v>4335</v>
      </c>
      <c r="B2540">
        <v>0</v>
      </c>
      <c r="C2540">
        <v>0</v>
      </c>
      <c r="D2540">
        <v>0</v>
      </c>
      <c r="E2540">
        <v>0</v>
      </c>
      <c r="F2540">
        <v>0</v>
      </c>
      <c r="G2540">
        <v>0</v>
      </c>
      <c r="H2540">
        <v>142</v>
      </c>
      <c r="I2540">
        <v>0</v>
      </c>
      <c r="J2540">
        <v>10</v>
      </c>
      <c r="K2540">
        <v>413</v>
      </c>
    </row>
    <row r="2541" spans="1:11" x14ac:dyDescent="0.2">
      <c r="A2541" t="s">
        <v>4336</v>
      </c>
      <c r="B2541">
        <v>0</v>
      </c>
      <c r="C2541">
        <v>0</v>
      </c>
      <c r="D2541">
        <v>0</v>
      </c>
      <c r="E2541">
        <v>0</v>
      </c>
      <c r="F2541">
        <v>0</v>
      </c>
      <c r="G2541">
        <v>0</v>
      </c>
      <c r="H2541">
        <v>0</v>
      </c>
      <c r="I2541">
        <v>0</v>
      </c>
      <c r="J2541">
        <v>0</v>
      </c>
      <c r="K2541">
        <v>0</v>
      </c>
    </row>
    <row r="2542" spans="1:11" x14ac:dyDescent="0.2">
      <c r="A2542" t="s">
        <v>4337</v>
      </c>
      <c r="B2542">
        <v>0</v>
      </c>
      <c r="C2542">
        <v>0</v>
      </c>
      <c r="D2542">
        <v>0</v>
      </c>
      <c r="E2542">
        <v>0</v>
      </c>
      <c r="F2542">
        <v>0</v>
      </c>
      <c r="G2542">
        <v>0</v>
      </c>
      <c r="H2542">
        <v>0</v>
      </c>
      <c r="I2542">
        <v>0</v>
      </c>
      <c r="J2542">
        <v>0</v>
      </c>
      <c r="K2542">
        <v>0</v>
      </c>
    </row>
    <row r="2543" spans="1:11" x14ac:dyDescent="0.2">
      <c r="A2543" t="s">
        <v>4338</v>
      </c>
      <c r="B2543">
        <v>0</v>
      </c>
      <c r="C2543">
        <v>0</v>
      </c>
      <c r="D2543">
        <v>0</v>
      </c>
      <c r="E2543">
        <v>0</v>
      </c>
      <c r="F2543">
        <v>0</v>
      </c>
      <c r="G2543">
        <v>0</v>
      </c>
      <c r="H2543">
        <v>5</v>
      </c>
      <c r="I2543">
        <v>0</v>
      </c>
      <c r="J2543">
        <v>0</v>
      </c>
      <c r="K2543">
        <v>20</v>
      </c>
    </row>
    <row r="2544" spans="1:11" x14ac:dyDescent="0.2">
      <c r="A2544" t="s">
        <v>4339</v>
      </c>
      <c r="B2544">
        <v>0</v>
      </c>
      <c r="C2544">
        <v>0</v>
      </c>
      <c r="D2544">
        <v>0</v>
      </c>
      <c r="E2544">
        <v>0</v>
      </c>
      <c r="F2544">
        <v>0</v>
      </c>
      <c r="G2544">
        <v>0</v>
      </c>
      <c r="H2544">
        <v>0</v>
      </c>
      <c r="I2544">
        <v>0</v>
      </c>
      <c r="J2544">
        <v>0</v>
      </c>
      <c r="K2544">
        <v>0</v>
      </c>
    </row>
    <row r="2545" spans="1:11" x14ac:dyDescent="0.2">
      <c r="A2545" t="s">
        <v>4340</v>
      </c>
      <c r="B2545">
        <v>0</v>
      </c>
      <c r="C2545">
        <v>0</v>
      </c>
      <c r="D2545">
        <v>0</v>
      </c>
      <c r="E2545">
        <v>0</v>
      </c>
      <c r="F2545">
        <v>0</v>
      </c>
      <c r="G2545">
        <v>0</v>
      </c>
      <c r="H2545">
        <v>0</v>
      </c>
      <c r="I2545">
        <v>0</v>
      </c>
      <c r="J2545">
        <v>0</v>
      </c>
      <c r="K2545">
        <v>0</v>
      </c>
    </row>
    <row r="2546" spans="1:11" x14ac:dyDescent="0.2">
      <c r="A2546" t="s">
        <v>4341</v>
      </c>
      <c r="B2546">
        <v>0</v>
      </c>
      <c r="C2546">
        <v>0</v>
      </c>
      <c r="D2546">
        <v>0</v>
      </c>
      <c r="E2546">
        <v>0</v>
      </c>
      <c r="F2546">
        <v>0</v>
      </c>
      <c r="G2546">
        <v>53</v>
      </c>
      <c r="H2546">
        <v>0</v>
      </c>
      <c r="I2546">
        <v>0</v>
      </c>
      <c r="J2546">
        <v>0</v>
      </c>
      <c r="K2546">
        <v>0</v>
      </c>
    </row>
    <row r="2547" spans="1:11" x14ac:dyDescent="0.2">
      <c r="A2547" t="s">
        <v>4342</v>
      </c>
      <c r="B2547">
        <v>0</v>
      </c>
      <c r="C2547">
        <v>0</v>
      </c>
      <c r="D2547">
        <v>0</v>
      </c>
      <c r="E2547">
        <v>0</v>
      </c>
      <c r="F2547">
        <v>0</v>
      </c>
      <c r="G2547">
        <v>0</v>
      </c>
      <c r="H2547">
        <v>0</v>
      </c>
      <c r="I2547">
        <v>0</v>
      </c>
      <c r="J2547">
        <v>0</v>
      </c>
      <c r="K2547">
        <v>0</v>
      </c>
    </row>
    <row r="2548" spans="1:11" x14ac:dyDescent="0.2">
      <c r="A2548" t="s">
        <v>4343</v>
      </c>
      <c r="B2548">
        <v>0</v>
      </c>
      <c r="C2548">
        <v>0</v>
      </c>
      <c r="D2548">
        <v>0</v>
      </c>
      <c r="E2548">
        <v>0</v>
      </c>
      <c r="F2548">
        <v>0</v>
      </c>
      <c r="G2548">
        <v>0</v>
      </c>
      <c r="H2548">
        <v>0</v>
      </c>
      <c r="I2548">
        <v>0</v>
      </c>
      <c r="J2548">
        <v>0</v>
      </c>
      <c r="K2548">
        <v>0</v>
      </c>
    </row>
    <row r="2549" spans="1:11" x14ac:dyDescent="0.2">
      <c r="A2549" t="s">
        <v>1728</v>
      </c>
      <c r="B2549">
        <v>0</v>
      </c>
      <c r="C2549">
        <v>0</v>
      </c>
      <c r="D2549">
        <v>0</v>
      </c>
      <c r="E2549">
        <v>0</v>
      </c>
      <c r="F2549">
        <v>0</v>
      </c>
      <c r="G2549">
        <v>0</v>
      </c>
      <c r="H2549">
        <v>0</v>
      </c>
      <c r="I2549">
        <v>0</v>
      </c>
      <c r="J2549">
        <v>0</v>
      </c>
      <c r="K2549">
        <v>0</v>
      </c>
    </row>
    <row r="2550" spans="1:11" x14ac:dyDescent="0.2">
      <c r="A2550" t="s">
        <v>1730</v>
      </c>
      <c r="B2550">
        <v>0</v>
      </c>
      <c r="C2550">
        <v>0</v>
      </c>
      <c r="D2550">
        <v>0</v>
      </c>
      <c r="E2550">
        <v>0</v>
      </c>
      <c r="F2550">
        <v>0</v>
      </c>
      <c r="G2550">
        <v>1</v>
      </c>
      <c r="H2550">
        <v>1</v>
      </c>
      <c r="I2550">
        <v>0</v>
      </c>
      <c r="J2550">
        <v>0</v>
      </c>
      <c r="K2550">
        <v>6</v>
      </c>
    </row>
    <row r="2551" spans="1:11" x14ac:dyDescent="0.2">
      <c r="A2551" t="s">
        <v>1733</v>
      </c>
      <c r="B2551">
        <v>0</v>
      </c>
      <c r="C2551">
        <v>0</v>
      </c>
      <c r="D2551">
        <v>0</v>
      </c>
      <c r="E2551">
        <v>0</v>
      </c>
      <c r="F2551">
        <v>0</v>
      </c>
      <c r="G2551">
        <v>0</v>
      </c>
      <c r="H2551">
        <v>0</v>
      </c>
      <c r="I2551">
        <v>0</v>
      </c>
      <c r="J2551">
        <v>0</v>
      </c>
      <c r="K2551">
        <v>0</v>
      </c>
    </row>
    <row r="2552" spans="1:11" x14ac:dyDescent="0.2">
      <c r="A2552" t="s">
        <v>1738</v>
      </c>
      <c r="B2552">
        <v>0</v>
      </c>
      <c r="C2552">
        <v>0</v>
      </c>
      <c r="D2552">
        <v>0</v>
      </c>
      <c r="E2552">
        <v>0</v>
      </c>
      <c r="F2552">
        <v>0</v>
      </c>
      <c r="G2552">
        <v>0</v>
      </c>
      <c r="H2552">
        <v>0</v>
      </c>
      <c r="I2552">
        <v>0</v>
      </c>
      <c r="J2552">
        <v>0</v>
      </c>
      <c r="K2552">
        <v>0</v>
      </c>
    </row>
    <row r="2553" spans="1:11" x14ac:dyDescent="0.2">
      <c r="A2553" t="s">
        <v>1744</v>
      </c>
      <c r="B2553">
        <v>0</v>
      </c>
      <c r="C2553">
        <v>0</v>
      </c>
      <c r="D2553">
        <v>0</v>
      </c>
      <c r="E2553">
        <v>0</v>
      </c>
      <c r="F2553">
        <v>0</v>
      </c>
      <c r="G2553">
        <v>0</v>
      </c>
      <c r="H2553">
        <v>0</v>
      </c>
      <c r="I2553">
        <v>0</v>
      </c>
      <c r="J2553">
        <v>0</v>
      </c>
      <c r="K2553">
        <v>0</v>
      </c>
    </row>
    <row r="2554" spans="1:11" x14ac:dyDescent="0.2">
      <c r="A2554" t="s">
        <v>1747</v>
      </c>
      <c r="B2554">
        <v>0</v>
      </c>
      <c r="C2554">
        <v>0</v>
      </c>
      <c r="D2554">
        <v>0</v>
      </c>
      <c r="E2554">
        <v>0</v>
      </c>
      <c r="F2554">
        <v>0</v>
      </c>
      <c r="G2554">
        <v>0</v>
      </c>
      <c r="H2554">
        <v>0</v>
      </c>
      <c r="I2554">
        <v>0</v>
      </c>
      <c r="J2554">
        <v>0</v>
      </c>
      <c r="K2554">
        <v>0</v>
      </c>
    </row>
    <row r="2555" spans="1:11" x14ac:dyDescent="0.2">
      <c r="A2555" t="s">
        <v>1751</v>
      </c>
      <c r="B2555">
        <v>0</v>
      </c>
      <c r="C2555">
        <v>0</v>
      </c>
      <c r="D2555">
        <v>0</v>
      </c>
      <c r="E2555">
        <v>0</v>
      </c>
      <c r="F2555">
        <v>0</v>
      </c>
      <c r="G2555">
        <v>0</v>
      </c>
      <c r="H2555">
        <v>0</v>
      </c>
      <c r="I2555">
        <v>0</v>
      </c>
      <c r="J2555">
        <v>0</v>
      </c>
      <c r="K2555">
        <v>0</v>
      </c>
    </row>
    <row r="2556" spans="1:11" x14ac:dyDescent="0.2">
      <c r="A2556" t="s">
        <v>1755</v>
      </c>
      <c r="B2556">
        <v>0</v>
      </c>
      <c r="C2556">
        <v>0</v>
      </c>
      <c r="D2556">
        <v>0</v>
      </c>
      <c r="E2556">
        <v>0</v>
      </c>
      <c r="F2556">
        <v>0</v>
      </c>
      <c r="G2556">
        <v>0</v>
      </c>
      <c r="H2556">
        <v>0</v>
      </c>
      <c r="I2556">
        <v>0</v>
      </c>
      <c r="J2556">
        <v>0</v>
      </c>
      <c r="K2556">
        <v>0</v>
      </c>
    </row>
    <row r="2557" spans="1:11" x14ac:dyDescent="0.2">
      <c r="A2557" t="s">
        <v>1757</v>
      </c>
      <c r="B2557">
        <v>0</v>
      </c>
      <c r="C2557">
        <v>0</v>
      </c>
      <c r="D2557">
        <v>0</v>
      </c>
      <c r="E2557">
        <v>0</v>
      </c>
      <c r="F2557">
        <v>0</v>
      </c>
      <c r="G2557">
        <v>0</v>
      </c>
      <c r="H2557">
        <v>0</v>
      </c>
      <c r="I2557">
        <v>0</v>
      </c>
      <c r="J2557">
        <v>0</v>
      </c>
      <c r="K2557">
        <v>0</v>
      </c>
    </row>
    <row r="2558" spans="1:11" x14ac:dyDescent="0.2">
      <c r="A2558" t="s">
        <v>1761</v>
      </c>
      <c r="B2558">
        <v>0</v>
      </c>
      <c r="C2558">
        <v>0</v>
      </c>
      <c r="D2558">
        <v>0</v>
      </c>
      <c r="E2558">
        <v>0</v>
      </c>
      <c r="F2558">
        <v>0</v>
      </c>
      <c r="G2558">
        <v>0</v>
      </c>
      <c r="H2558">
        <v>0</v>
      </c>
      <c r="I2558">
        <v>0</v>
      </c>
      <c r="J2558">
        <v>0</v>
      </c>
      <c r="K2558">
        <v>0</v>
      </c>
    </row>
    <row r="2559" spans="1:11" x14ac:dyDescent="0.2">
      <c r="A2559" t="s">
        <v>1764</v>
      </c>
      <c r="B2559">
        <v>0</v>
      </c>
      <c r="C2559">
        <v>0</v>
      </c>
      <c r="D2559">
        <v>0</v>
      </c>
      <c r="E2559">
        <v>0</v>
      </c>
      <c r="F2559">
        <v>0</v>
      </c>
      <c r="G2559">
        <v>0</v>
      </c>
      <c r="H2559">
        <v>0</v>
      </c>
      <c r="I2559">
        <v>0</v>
      </c>
      <c r="J2559">
        <v>0</v>
      </c>
      <c r="K2559">
        <v>0</v>
      </c>
    </row>
    <row r="2560" spans="1:11" x14ac:dyDescent="0.2">
      <c r="A2560" t="s">
        <v>1770</v>
      </c>
      <c r="B2560">
        <v>0</v>
      </c>
      <c r="C2560">
        <v>0</v>
      </c>
      <c r="D2560">
        <v>0</v>
      </c>
      <c r="E2560">
        <v>0</v>
      </c>
      <c r="F2560">
        <v>0</v>
      </c>
      <c r="G2560">
        <v>7</v>
      </c>
      <c r="H2560">
        <v>1</v>
      </c>
      <c r="I2560">
        <v>0</v>
      </c>
      <c r="J2560">
        <v>0</v>
      </c>
      <c r="K2560">
        <v>26</v>
      </c>
    </row>
    <row r="2561" spans="1:11" x14ac:dyDescent="0.2">
      <c r="A2561" t="s">
        <v>1772</v>
      </c>
      <c r="B2561">
        <v>0</v>
      </c>
      <c r="C2561">
        <v>0</v>
      </c>
      <c r="D2561">
        <v>0</v>
      </c>
      <c r="E2561">
        <v>0</v>
      </c>
      <c r="F2561">
        <v>0</v>
      </c>
      <c r="G2561">
        <v>0</v>
      </c>
      <c r="H2561">
        <v>0</v>
      </c>
      <c r="I2561">
        <v>0</v>
      </c>
      <c r="J2561">
        <v>0</v>
      </c>
      <c r="K2561">
        <v>2</v>
      </c>
    </row>
    <row r="2562" spans="1:11" x14ac:dyDescent="0.2">
      <c r="A2562" t="s">
        <v>1774</v>
      </c>
      <c r="B2562">
        <v>0</v>
      </c>
      <c r="C2562">
        <v>0</v>
      </c>
      <c r="D2562">
        <v>0</v>
      </c>
      <c r="E2562">
        <v>0</v>
      </c>
      <c r="F2562">
        <v>0</v>
      </c>
      <c r="G2562">
        <v>0</v>
      </c>
      <c r="H2562">
        <v>1</v>
      </c>
      <c r="I2562">
        <v>0</v>
      </c>
      <c r="J2562">
        <v>0</v>
      </c>
      <c r="K2562">
        <v>23</v>
      </c>
    </row>
    <row r="2563" spans="1:11" x14ac:dyDescent="0.2">
      <c r="A2563" t="s">
        <v>1777</v>
      </c>
      <c r="B2563">
        <v>0</v>
      </c>
      <c r="C2563">
        <v>0</v>
      </c>
      <c r="D2563">
        <v>0</v>
      </c>
      <c r="E2563">
        <v>0</v>
      </c>
      <c r="F2563">
        <v>0</v>
      </c>
      <c r="G2563">
        <v>0</v>
      </c>
      <c r="H2563">
        <v>0</v>
      </c>
      <c r="I2563">
        <v>0</v>
      </c>
      <c r="J2563">
        <v>0</v>
      </c>
      <c r="K2563">
        <v>0</v>
      </c>
    </row>
    <row r="2564" spans="1:11" x14ac:dyDescent="0.2">
      <c r="A2564" t="s">
        <v>1782</v>
      </c>
      <c r="B2564">
        <v>0</v>
      </c>
      <c r="C2564">
        <v>0</v>
      </c>
      <c r="D2564">
        <v>0</v>
      </c>
      <c r="E2564">
        <v>0</v>
      </c>
      <c r="F2564">
        <v>0</v>
      </c>
      <c r="G2564">
        <v>0</v>
      </c>
      <c r="H2564">
        <v>0</v>
      </c>
      <c r="I2564">
        <v>0</v>
      </c>
      <c r="J2564">
        <v>0</v>
      </c>
      <c r="K2564">
        <v>0</v>
      </c>
    </row>
    <row r="2565" spans="1:11" x14ac:dyDescent="0.2">
      <c r="A2565" t="s">
        <v>1274</v>
      </c>
      <c r="B2565">
        <v>0</v>
      </c>
      <c r="C2565">
        <v>0</v>
      </c>
      <c r="D2565">
        <v>0</v>
      </c>
      <c r="E2565">
        <v>0</v>
      </c>
      <c r="F2565">
        <v>0</v>
      </c>
      <c r="G2565">
        <v>0</v>
      </c>
      <c r="H2565">
        <v>0</v>
      </c>
      <c r="I2565">
        <v>0</v>
      </c>
      <c r="J2565">
        <v>0</v>
      </c>
      <c r="K2565">
        <v>0</v>
      </c>
    </row>
    <row r="2566" spans="1:11" x14ac:dyDescent="0.2">
      <c r="A2566" t="s">
        <v>1277</v>
      </c>
      <c r="B2566">
        <v>0</v>
      </c>
      <c r="C2566">
        <v>0</v>
      </c>
      <c r="D2566">
        <v>0</v>
      </c>
      <c r="E2566">
        <v>0</v>
      </c>
      <c r="F2566">
        <v>0</v>
      </c>
      <c r="G2566">
        <v>0</v>
      </c>
      <c r="H2566">
        <v>0</v>
      </c>
      <c r="I2566">
        <v>0</v>
      </c>
      <c r="J2566">
        <v>0</v>
      </c>
      <c r="K2566">
        <v>0</v>
      </c>
    </row>
    <row r="2567" spans="1:11" x14ac:dyDescent="0.2">
      <c r="A2567" t="s">
        <v>1798</v>
      </c>
      <c r="B2567">
        <v>0</v>
      </c>
      <c r="C2567">
        <v>0</v>
      </c>
      <c r="D2567">
        <v>0</v>
      </c>
      <c r="E2567">
        <v>0</v>
      </c>
      <c r="F2567">
        <v>0</v>
      </c>
      <c r="G2567">
        <v>0</v>
      </c>
      <c r="H2567">
        <v>0</v>
      </c>
      <c r="I2567">
        <v>0</v>
      </c>
      <c r="J2567">
        <v>0</v>
      </c>
      <c r="K2567">
        <v>0</v>
      </c>
    </row>
    <row r="2568" spans="1:11" x14ac:dyDescent="0.2">
      <c r="A2568" t="s">
        <v>1803</v>
      </c>
      <c r="B2568">
        <v>0</v>
      </c>
      <c r="C2568">
        <v>0</v>
      </c>
      <c r="D2568">
        <v>0</v>
      </c>
      <c r="E2568">
        <v>0</v>
      </c>
      <c r="F2568">
        <v>0</v>
      </c>
      <c r="G2568">
        <v>0</v>
      </c>
      <c r="H2568">
        <v>0</v>
      </c>
      <c r="I2568">
        <v>0</v>
      </c>
      <c r="J2568">
        <v>0</v>
      </c>
      <c r="K2568">
        <v>0</v>
      </c>
    </row>
    <row r="2569" spans="1:11" x14ac:dyDescent="0.2">
      <c r="A2569" t="s">
        <v>1808</v>
      </c>
      <c r="B2569">
        <v>0</v>
      </c>
      <c r="C2569">
        <v>0</v>
      </c>
      <c r="D2569">
        <v>0</v>
      </c>
      <c r="E2569">
        <v>0</v>
      </c>
      <c r="F2569">
        <v>0</v>
      </c>
      <c r="G2569">
        <v>0</v>
      </c>
      <c r="H2569">
        <v>0</v>
      </c>
      <c r="I2569">
        <v>0</v>
      </c>
      <c r="J2569">
        <v>0</v>
      </c>
      <c r="K2569">
        <v>0</v>
      </c>
    </row>
    <row r="2570" spans="1:11" x14ac:dyDescent="0.2">
      <c r="A2570" t="s">
        <v>1813</v>
      </c>
      <c r="B2570">
        <v>0</v>
      </c>
      <c r="C2570">
        <v>0</v>
      </c>
      <c r="D2570">
        <v>0</v>
      </c>
      <c r="E2570">
        <v>0</v>
      </c>
      <c r="F2570">
        <v>0</v>
      </c>
      <c r="G2570">
        <v>0</v>
      </c>
      <c r="H2570">
        <v>0</v>
      </c>
      <c r="I2570">
        <v>0</v>
      </c>
      <c r="J2570">
        <v>0</v>
      </c>
      <c r="K2570">
        <v>0</v>
      </c>
    </row>
    <row r="2571" spans="1:11" x14ac:dyDescent="0.2">
      <c r="A2571" t="s">
        <v>1819</v>
      </c>
      <c r="B2571">
        <v>0</v>
      </c>
      <c r="C2571">
        <v>0</v>
      </c>
      <c r="D2571">
        <v>0</v>
      </c>
      <c r="E2571">
        <v>0</v>
      </c>
      <c r="F2571">
        <v>0</v>
      </c>
      <c r="G2571">
        <v>0</v>
      </c>
      <c r="H2571">
        <v>0</v>
      </c>
      <c r="I2571">
        <v>0</v>
      </c>
      <c r="J2571">
        <v>0</v>
      </c>
      <c r="K2571">
        <v>0</v>
      </c>
    </row>
    <row r="2572" spans="1:11" x14ac:dyDescent="0.2">
      <c r="A2572" t="s">
        <v>1826</v>
      </c>
      <c r="B2572">
        <v>0</v>
      </c>
      <c r="C2572">
        <v>0</v>
      </c>
      <c r="D2572">
        <v>0</v>
      </c>
      <c r="E2572">
        <v>0</v>
      </c>
      <c r="F2572">
        <v>0</v>
      </c>
      <c r="G2572">
        <v>0</v>
      </c>
      <c r="H2572">
        <v>0</v>
      </c>
      <c r="I2572">
        <v>0</v>
      </c>
      <c r="J2572">
        <v>0</v>
      </c>
      <c r="K2572">
        <v>0</v>
      </c>
    </row>
    <row r="2573" spans="1:11" x14ac:dyDescent="0.2">
      <c r="A2573" t="s">
        <v>1830</v>
      </c>
      <c r="B2573">
        <v>0</v>
      </c>
      <c r="C2573">
        <v>0</v>
      </c>
      <c r="D2573">
        <v>0</v>
      </c>
      <c r="E2573">
        <v>0</v>
      </c>
      <c r="F2573">
        <v>0</v>
      </c>
      <c r="G2573">
        <v>0</v>
      </c>
      <c r="H2573">
        <v>0</v>
      </c>
      <c r="I2573">
        <v>0</v>
      </c>
      <c r="J2573">
        <v>0</v>
      </c>
      <c r="K2573">
        <v>0</v>
      </c>
    </row>
    <row r="2574" spans="1:11" x14ac:dyDescent="0.2">
      <c r="A2574" t="s">
        <v>1836</v>
      </c>
      <c r="B2574">
        <v>0</v>
      </c>
      <c r="C2574">
        <v>0</v>
      </c>
      <c r="D2574">
        <v>0</v>
      </c>
      <c r="E2574">
        <v>0</v>
      </c>
      <c r="F2574">
        <v>0</v>
      </c>
      <c r="G2574">
        <v>0</v>
      </c>
      <c r="H2574">
        <v>0</v>
      </c>
      <c r="I2574">
        <v>0</v>
      </c>
      <c r="J2574">
        <v>0</v>
      </c>
      <c r="K2574">
        <v>0</v>
      </c>
    </row>
    <row r="2575" spans="1:11" x14ac:dyDescent="0.2">
      <c r="A2575" t="s">
        <v>1841</v>
      </c>
      <c r="B2575">
        <v>0</v>
      </c>
      <c r="C2575">
        <v>0</v>
      </c>
      <c r="D2575">
        <v>0</v>
      </c>
      <c r="E2575">
        <v>0</v>
      </c>
      <c r="F2575">
        <v>0</v>
      </c>
      <c r="G2575">
        <v>0</v>
      </c>
      <c r="H2575">
        <v>0</v>
      </c>
      <c r="I2575">
        <v>0</v>
      </c>
      <c r="J2575">
        <v>0</v>
      </c>
      <c r="K2575">
        <v>0</v>
      </c>
    </row>
    <row r="2576" spans="1:11" x14ac:dyDescent="0.2">
      <c r="A2576" t="s">
        <v>1842</v>
      </c>
      <c r="B2576">
        <v>0</v>
      </c>
      <c r="C2576">
        <v>0</v>
      </c>
      <c r="D2576">
        <v>0</v>
      </c>
      <c r="E2576">
        <v>0</v>
      </c>
      <c r="F2576">
        <v>0</v>
      </c>
      <c r="G2576">
        <v>0</v>
      </c>
      <c r="H2576">
        <v>0</v>
      </c>
      <c r="I2576">
        <v>0</v>
      </c>
      <c r="J2576">
        <v>0</v>
      </c>
      <c r="K2576">
        <v>0</v>
      </c>
    </row>
    <row r="2577" spans="1:11" x14ac:dyDescent="0.2">
      <c r="A2577" t="s">
        <v>1843</v>
      </c>
      <c r="B2577">
        <v>0</v>
      </c>
      <c r="C2577">
        <v>0</v>
      </c>
      <c r="D2577">
        <v>0</v>
      </c>
      <c r="E2577">
        <v>0</v>
      </c>
      <c r="F2577">
        <v>0</v>
      </c>
      <c r="G2577">
        <v>0</v>
      </c>
      <c r="H2577">
        <v>0</v>
      </c>
      <c r="I2577">
        <v>0</v>
      </c>
      <c r="J2577">
        <v>0</v>
      </c>
      <c r="K2577">
        <v>0</v>
      </c>
    </row>
    <row r="2578" spans="1:11" x14ac:dyDescent="0.2">
      <c r="A2578" t="s">
        <v>1846</v>
      </c>
      <c r="B2578">
        <v>0</v>
      </c>
      <c r="C2578">
        <v>0</v>
      </c>
      <c r="D2578">
        <v>0</v>
      </c>
      <c r="E2578">
        <v>0</v>
      </c>
      <c r="F2578">
        <v>0</v>
      </c>
      <c r="G2578">
        <v>0</v>
      </c>
      <c r="H2578">
        <v>0</v>
      </c>
      <c r="I2578">
        <v>0</v>
      </c>
      <c r="J2578">
        <v>0</v>
      </c>
      <c r="K2578">
        <v>0</v>
      </c>
    </row>
    <row r="2579" spans="1:11" x14ac:dyDescent="0.2">
      <c r="A2579" t="s">
        <v>1851</v>
      </c>
      <c r="B2579">
        <v>0</v>
      </c>
      <c r="C2579">
        <v>0</v>
      </c>
      <c r="D2579">
        <v>0</v>
      </c>
      <c r="E2579">
        <v>0</v>
      </c>
      <c r="F2579">
        <v>0</v>
      </c>
      <c r="G2579">
        <v>0</v>
      </c>
      <c r="H2579">
        <v>0</v>
      </c>
      <c r="I2579">
        <v>0</v>
      </c>
      <c r="J2579">
        <v>0</v>
      </c>
      <c r="K2579">
        <v>0</v>
      </c>
    </row>
    <row r="2580" spans="1:11" x14ac:dyDescent="0.2">
      <c r="A2580" t="s">
        <v>1857</v>
      </c>
      <c r="B2580">
        <v>0</v>
      </c>
      <c r="C2580">
        <v>0</v>
      </c>
      <c r="D2580">
        <v>0</v>
      </c>
      <c r="E2580">
        <v>0</v>
      </c>
      <c r="F2580">
        <v>0</v>
      </c>
      <c r="G2580">
        <v>0</v>
      </c>
      <c r="H2580">
        <v>0</v>
      </c>
      <c r="I2580">
        <v>0</v>
      </c>
      <c r="J2580">
        <v>0</v>
      </c>
      <c r="K2580">
        <v>0</v>
      </c>
    </row>
    <row r="2581" spans="1:11" x14ac:dyDescent="0.2">
      <c r="A2581" t="s">
        <v>1862</v>
      </c>
      <c r="B2581">
        <v>0</v>
      </c>
      <c r="C2581">
        <v>0</v>
      </c>
      <c r="D2581">
        <v>0</v>
      </c>
      <c r="E2581">
        <v>0</v>
      </c>
      <c r="F2581">
        <v>0</v>
      </c>
      <c r="G2581">
        <v>0</v>
      </c>
      <c r="H2581">
        <v>0</v>
      </c>
      <c r="I2581">
        <v>0</v>
      </c>
      <c r="J2581">
        <v>0</v>
      </c>
      <c r="K2581">
        <v>0</v>
      </c>
    </row>
    <row r="2582" spans="1:11" x14ac:dyDescent="0.2">
      <c r="A2582" t="s">
        <v>1867</v>
      </c>
      <c r="B2582">
        <v>0</v>
      </c>
      <c r="C2582">
        <v>0</v>
      </c>
      <c r="D2582">
        <v>0</v>
      </c>
      <c r="E2582">
        <v>0</v>
      </c>
      <c r="F2582">
        <v>0</v>
      </c>
      <c r="G2582">
        <v>0</v>
      </c>
      <c r="H2582">
        <v>0</v>
      </c>
      <c r="I2582">
        <v>0</v>
      </c>
      <c r="J2582">
        <v>0</v>
      </c>
      <c r="K2582">
        <v>0</v>
      </c>
    </row>
    <row r="2583" spans="1:11" x14ac:dyDescent="0.2">
      <c r="A2583" t="s">
        <v>1870</v>
      </c>
      <c r="B2583">
        <v>0</v>
      </c>
      <c r="C2583">
        <v>0</v>
      </c>
      <c r="D2583">
        <v>0</v>
      </c>
      <c r="E2583">
        <v>0</v>
      </c>
      <c r="F2583">
        <v>0</v>
      </c>
      <c r="G2583">
        <v>0</v>
      </c>
      <c r="H2583">
        <v>0</v>
      </c>
      <c r="I2583">
        <v>0</v>
      </c>
      <c r="J2583">
        <v>0</v>
      </c>
      <c r="K2583">
        <v>0</v>
      </c>
    </row>
    <row r="2584" spans="1:11" x14ac:dyDescent="0.2">
      <c r="A2584" t="s">
        <v>1874</v>
      </c>
      <c r="B2584">
        <v>0</v>
      </c>
      <c r="C2584">
        <v>0</v>
      </c>
      <c r="D2584">
        <v>0</v>
      </c>
      <c r="E2584">
        <v>0</v>
      </c>
      <c r="F2584">
        <v>0</v>
      </c>
      <c r="G2584">
        <v>0</v>
      </c>
      <c r="H2584">
        <v>0</v>
      </c>
      <c r="I2584">
        <v>0</v>
      </c>
      <c r="J2584">
        <v>0</v>
      </c>
      <c r="K2584">
        <v>0</v>
      </c>
    </row>
    <row r="2585" spans="1:11" x14ac:dyDescent="0.2">
      <c r="A2585" t="s">
        <v>1876</v>
      </c>
      <c r="B2585">
        <v>0</v>
      </c>
      <c r="C2585">
        <v>0</v>
      </c>
      <c r="D2585">
        <v>0</v>
      </c>
      <c r="E2585">
        <v>0</v>
      </c>
      <c r="F2585">
        <v>0</v>
      </c>
      <c r="G2585">
        <v>0</v>
      </c>
      <c r="H2585">
        <v>0</v>
      </c>
      <c r="I2585">
        <v>0</v>
      </c>
      <c r="J2585">
        <v>0</v>
      </c>
      <c r="K2585">
        <v>0</v>
      </c>
    </row>
    <row r="2586" spans="1:11" x14ac:dyDescent="0.2">
      <c r="A2586" t="s">
        <v>1881</v>
      </c>
      <c r="B2586">
        <v>0</v>
      </c>
      <c r="C2586">
        <v>0</v>
      </c>
      <c r="D2586">
        <v>0</v>
      </c>
      <c r="E2586">
        <v>0</v>
      </c>
      <c r="F2586">
        <v>0</v>
      </c>
      <c r="G2586">
        <v>0</v>
      </c>
      <c r="H2586">
        <v>0</v>
      </c>
      <c r="I2586">
        <v>0</v>
      </c>
      <c r="J2586">
        <v>0</v>
      </c>
      <c r="K2586">
        <v>0</v>
      </c>
    </row>
    <row r="2587" spans="1:11" x14ac:dyDescent="0.2">
      <c r="A2587" t="s">
        <v>1885</v>
      </c>
      <c r="B2587">
        <v>0</v>
      </c>
      <c r="C2587">
        <v>0</v>
      </c>
      <c r="D2587">
        <v>0</v>
      </c>
      <c r="E2587">
        <v>0</v>
      </c>
      <c r="F2587">
        <v>0</v>
      </c>
      <c r="G2587">
        <v>0</v>
      </c>
      <c r="H2587">
        <v>0</v>
      </c>
      <c r="I2587">
        <v>0</v>
      </c>
      <c r="J2587">
        <v>0</v>
      </c>
      <c r="K2587">
        <v>0</v>
      </c>
    </row>
    <row r="2588" spans="1:11" x14ac:dyDescent="0.2">
      <c r="A2588" t="s">
        <v>1887</v>
      </c>
      <c r="B2588">
        <v>0</v>
      </c>
      <c r="C2588">
        <v>0</v>
      </c>
      <c r="D2588">
        <v>0</v>
      </c>
      <c r="E2588">
        <v>0</v>
      </c>
      <c r="F2588">
        <v>0</v>
      </c>
      <c r="G2588">
        <v>0</v>
      </c>
      <c r="H2588">
        <v>0</v>
      </c>
      <c r="I2588">
        <v>0</v>
      </c>
      <c r="J2588">
        <v>0</v>
      </c>
      <c r="K2588">
        <v>0</v>
      </c>
    </row>
    <row r="2589" spans="1:11" x14ac:dyDescent="0.2">
      <c r="A2589" t="s">
        <v>1893</v>
      </c>
      <c r="B2589">
        <v>0</v>
      </c>
      <c r="C2589">
        <v>0</v>
      </c>
      <c r="D2589">
        <v>0</v>
      </c>
      <c r="E2589">
        <v>0</v>
      </c>
      <c r="F2589">
        <v>0</v>
      </c>
      <c r="G2589">
        <v>0</v>
      </c>
      <c r="H2589">
        <v>0</v>
      </c>
      <c r="I2589">
        <v>0</v>
      </c>
      <c r="J2589">
        <v>0</v>
      </c>
      <c r="K2589">
        <v>0</v>
      </c>
    </row>
    <row r="2590" spans="1:11" x14ac:dyDescent="0.2">
      <c r="A2590" t="s">
        <v>1899</v>
      </c>
      <c r="B2590">
        <v>0</v>
      </c>
      <c r="C2590">
        <v>0</v>
      </c>
      <c r="D2590">
        <v>0</v>
      </c>
      <c r="E2590">
        <v>0</v>
      </c>
      <c r="F2590">
        <v>0</v>
      </c>
      <c r="G2590">
        <v>0</v>
      </c>
      <c r="H2590">
        <v>0</v>
      </c>
      <c r="I2590">
        <v>0</v>
      </c>
      <c r="J2590">
        <v>0</v>
      </c>
      <c r="K2590">
        <v>0</v>
      </c>
    </row>
    <row r="2591" spans="1:11" x14ac:dyDescent="0.2">
      <c r="A2591" t="s">
        <v>1906</v>
      </c>
      <c r="B2591">
        <v>0</v>
      </c>
      <c r="C2591">
        <v>0</v>
      </c>
      <c r="D2591">
        <v>0</v>
      </c>
      <c r="E2591">
        <v>0</v>
      </c>
      <c r="F2591">
        <v>0</v>
      </c>
      <c r="G2591">
        <v>0</v>
      </c>
      <c r="H2591">
        <v>0</v>
      </c>
      <c r="I2591">
        <v>0</v>
      </c>
      <c r="J2591">
        <v>0</v>
      </c>
      <c r="K2591">
        <v>0</v>
      </c>
    </row>
    <row r="2592" spans="1:11" x14ac:dyDescent="0.2">
      <c r="A2592" t="s">
        <v>1911</v>
      </c>
      <c r="B2592">
        <v>0</v>
      </c>
      <c r="C2592">
        <v>0</v>
      </c>
      <c r="D2592">
        <v>0</v>
      </c>
      <c r="E2592">
        <v>0</v>
      </c>
      <c r="F2592">
        <v>0</v>
      </c>
      <c r="G2592">
        <v>0</v>
      </c>
      <c r="H2592">
        <v>0</v>
      </c>
      <c r="I2592">
        <v>0</v>
      </c>
      <c r="J2592">
        <v>0</v>
      </c>
      <c r="K2592">
        <v>0</v>
      </c>
    </row>
    <row r="2593" spans="1:11" x14ac:dyDescent="0.2">
      <c r="A2593" t="s">
        <v>1917</v>
      </c>
      <c r="B2593">
        <v>0</v>
      </c>
      <c r="C2593">
        <v>0</v>
      </c>
      <c r="D2593">
        <v>0</v>
      </c>
      <c r="E2593">
        <v>0</v>
      </c>
      <c r="F2593">
        <v>0</v>
      </c>
      <c r="G2593">
        <v>0</v>
      </c>
      <c r="H2593">
        <v>0</v>
      </c>
      <c r="I2593">
        <v>0</v>
      </c>
      <c r="J2593">
        <v>0</v>
      </c>
      <c r="K2593">
        <v>0</v>
      </c>
    </row>
    <row r="2594" spans="1:11" x14ac:dyDescent="0.2">
      <c r="A2594" t="s">
        <v>1922</v>
      </c>
      <c r="B2594">
        <v>0</v>
      </c>
      <c r="C2594">
        <v>0</v>
      </c>
      <c r="D2594">
        <v>0</v>
      </c>
      <c r="E2594">
        <v>0</v>
      </c>
      <c r="F2594">
        <v>0</v>
      </c>
      <c r="G2594">
        <v>0</v>
      </c>
      <c r="H2594">
        <v>0</v>
      </c>
      <c r="I2594">
        <v>0</v>
      </c>
      <c r="J2594">
        <v>0</v>
      </c>
      <c r="K2594">
        <v>0</v>
      </c>
    </row>
    <row r="2595" spans="1:11" x14ac:dyDescent="0.2">
      <c r="A2595" t="s">
        <v>1928</v>
      </c>
      <c r="B2595">
        <v>0</v>
      </c>
      <c r="C2595">
        <v>0</v>
      </c>
      <c r="D2595">
        <v>0</v>
      </c>
      <c r="E2595">
        <v>0</v>
      </c>
      <c r="F2595">
        <v>0</v>
      </c>
      <c r="G2595">
        <v>0</v>
      </c>
      <c r="H2595">
        <v>0</v>
      </c>
      <c r="I2595">
        <v>0</v>
      </c>
      <c r="J2595">
        <v>0</v>
      </c>
      <c r="K2595">
        <v>0</v>
      </c>
    </row>
    <row r="2596" spans="1:11" x14ac:dyDescent="0.2">
      <c r="A2596" t="s">
        <v>1932</v>
      </c>
      <c r="B2596">
        <v>0</v>
      </c>
      <c r="C2596">
        <v>0</v>
      </c>
      <c r="D2596">
        <v>0</v>
      </c>
      <c r="E2596">
        <v>0</v>
      </c>
      <c r="F2596">
        <v>0</v>
      </c>
      <c r="G2596">
        <v>0</v>
      </c>
      <c r="H2596">
        <v>0</v>
      </c>
      <c r="I2596">
        <v>0</v>
      </c>
      <c r="J2596">
        <v>0</v>
      </c>
      <c r="K2596">
        <v>0</v>
      </c>
    </row>
    <row r="2597" spans="1:11" x14ac:dyDescent="0.2">
      <c r="A2597" t="s">
        <v>1938</v>
      </c>
      <c r="B2597">
        <v>0</v>
      </c>
      <c r="C2597">
        <v>0</v>
      </c>
      <c r="D2597">
        <v>0</v>
      </c>
      <c r="E2597">
        <v>0</v>
      </c>
      <c r="F2597">
        <v>0</v>
      </c>
      <c r="G2597">
        <v>0</v>
      </c>
      <c r="H2597">
        <v>0</v>
      </c>
      <c r="I2597">
        <v>0</v>
      </c>
      <c r="J2597">
        <v>0</v>
      </c>
      <c r="K2597">
        <v>0</v>
      </c>
    </row>
    <row r="2598" spans="1:11" x14ac:dyDescent="0.2">
      <c r="A2598" t="s">
        <v>1944</v>
      </c>
      <c r="B2598">
        <v>0</v>
      </c>
      <c r="C2598">
        <v>0</v>
      </c>
      <c r="D2598">
        <v>0</v>
      </c>
      <c r="E2598">
        <v>0</v>
      </c>
      <c r="F2598">
        <v>0</v>
      </c>
      <c r="G2598">
        <v>0</v>
      </c>
      <c r="H2598">
        <v>0</v>
      </c>
      <c r="I2598">
        <v>0</v>
      </c>
      <c r="J2598">
        <v>0</v>
      </c>
      <c r="K2598">
        <v>0</v>
      </c>
    </row>
    <row r="2599" spans="1:11" x14ac:dyDescent="0.2">
      <c r="A2599" t="s">
        <v>1947</v>
      </c>
      <c r="B2599">
        <v>0</v>
      </c>
      <c r="C2599">
        <v>0</v>
      </c>
      <c r="D2599">
        <v>0</v>
      </c>
      <c r="E2599">
        <v>0</v>
      </c>
      <c r="F2599">
        <v>0</v>
      </c>
      <c r="G2599">
        <v>0</v>
      </c>
      <c r="H2599">
        <v>0</v>
      </c>
      <c r="I2599">
        <v>0</v>
      </c>
      <c r="J2599">
        <v>0</v>
      </c>
      <c r="K2599">
        <v>0</v>
      </c>
    </row>
    <row r="2600" spans="1:11" x14ac:dyDescent="0.2">
      <c r="A2600" t="s">
        <v>1953</v>
      </c>
      <c r="B2600">
        <v>0</v>
      </c>
      <c r="C2600">
        <v>0</v>
      </c>
      <c r="D2600">
        <v>0</v>
      </c>
      <c r="E2600">
        <v>0</v>
      </c>
      <c r="F2600">
        <v>0</v>
      </c>
      <c r="G2600">
        <v>0</v>
      </c>
      <c r="H2600">
        <v>0</v>
      </c>
      <c r="I2600">
        <v>0</v>
      </c>
      <c r="J2600">
        <v>0</v>
      </c>
      <c r="K2600">
        <v>0</v>
      </c>
    </row>
    <row r="2601" spans="1:11" x14ac:dyDescent="0.2">
      <c r="A2601" t="s">
        <v>1958</v>
      </c>
      <c r="B2601">
        <v>0</v>
      </c>
      <c r="C2601">
        <v>0</v>
      </c>
      <c r="D2601">
        <v>0</v>
      </c>
      <c r="E2601">
        <v>0</v>
      </c>
      <c r="F2601">
        <v>0</v>
      </c>
      <c r="G2601">
        <v>0</v>
      </c>
      <c r="H2601">
        <v>0</v>
      </c>
      <c r="I2601">
        <v>0</v>
      </c>
      <c r="J2601">
        <v>0</v>
      </c>
      <c r="K2601">
        <v>0</v>
      </c>
    </row>
    <row r="2602" spans="1:11" x14ac:dyDescent="0.2">
      <c r="A2602" t="s">
        <v>1964</v>
      </c>
      <c r="B2602">
        <v>0</v>
      </c>
      <c r="C2602">
        <v>0</v>
      </c>
      <c r="D2602">
        <v>0</v>
      </c>
      <c r="E2602">
        <v>0</v>
      </c>
      <c r="F2602">
        <v>0</v>
      </c>
      <c r="G2602">
        <v>0</v>
      </c>
      <c r="H2602">
        <v>0</v>
      </c>
      <c r="I2602">
        <v>0</v>
      </c>
      <c r="J2602">
        <v>0</v>
      </c>
      <c r="K2602">
        <v>0</v>
      </c>
    </row>
    <row r="2603" spans="1:11" x14ac:dyDescent="0.2">
      <c r="A2603" t="s">
        <v>1973</v>
      </c>
      <c r="B2603">
        <v>0</v>
      </c>
      <c r="C2603">
        <v>0</v>
      </c>
      <c r="D2603">
        <v>0</v>
      </c>
      <c r="E2603">
        <v>0</v>
      </c>
      <c r="F2603">
        <v>0</v>
      </c>
      <c r="G2603">
        <v>0</v>
      </c>
      <c r="H2603">
        <v>0</v>
      </c>
      <c r="I2603">
        <v>0</v>
      </c>
      <c r="J2603">
        <v>0</v>
      </c>
      <c r="K2603">
        <v>0</v>
      </c>
    </row>
    <row r="2604" spans="1:11" x14ac:dyDescent="0.2">
      <c r="A2604" t="s">
        <v>1978</v>
      </c>
      <c r="B2604">
        <v>0</v>
      </c>
      <c r="C2604">
        <v>0</v>
      </c>
      <c r="D2604">
        <v>0</v>
      </c>
      <c r="E2604">
        <v>0</v>
      </c>
      <c r="F2604">
        <v>0</v>
      </c>
      <c r="G2604">
        <v>0</v>
      </c>
      <c r="H2604">
        <v>0</v>
      </c>
      <c r="I2604">
        <v>0</v>
      </c>
      <c r="J2604">
        <v>0</v>
      </c>
      <c r="K2604">
        <v>0</v>
      </c>
    </row>
    <row r="2605" spans="1:11" x14ac:dyDescent="0.2">
      <c r="A2605" t="s">
        <v>1983</v>
      </c>
      <c r="B2605">
        <v>0</v>
      </c>
      <c r="C2605">
        <v>0</v>
      </c>
      <c r="D2605">
        <v>0</v>
      </c>
      <c r="E2605">
        <v>0</v>
      </c>
      <c r="F2605">
        <v>0</v>
      </c>
      <c r="G2605">
        <v>0</v>
      </c>
      <c r="H2605">
        <v>0</v>
      </c>
      <c r="I2605">
        <v>0</v>
      </c>
      <c r="J2605">
        <v>0</v>
      </c>
      <c r="K2605">
        <v>0</v>
      </c>
    </row>
    <row r="2606" spans="1:11" x14ac:dyDescent="0.2">
      <c r="A2606" t="s">
        <v>1984</v>
      </c>
      <c r="B2606">
        <v>0</v>
      </c>
      <c r="C2606">
        <v>0</v>
      </c>
      <c r="D2606">
        <v>0</v>
      </c>
      <c r="E2606">
        <v>0</v>
      </c>
      <c r="F2606">
        <v>0</v>
      </c>
      <c r="G2606">
        <v>0</v>
      </c>
      <c r="H2606">
        <v>0</v>
      </c>
      <c r="I2606">
        <v>0</v>
      </c>
      <c r="J2606">
        <v>0</v>
      </c>
      <c r="K2606">
        <v>0</v>
      </c>
    </row>
    <row r="2607" spans="1:11" x14ac:dyDescent="0.2">
      <c r="A2607" t="s">
        <v>1990</v>
      </c>
      <c r="B2607">
        <v>0</v>
      </c>
      <c r="C2607">
        <v>0</v>
      </c>
      <c r="D2607">
        <v>0</v>
      </c>
      <c r="E2607">
        <v>0</v>
      </c>
      <c r="F2607">
        <v>0</v>
      </c>
      <c r="G2607">
        <v>0</v>
      </c>
      <c r="H2607">
        <v>0</v>
      </c>
      <c r="I2607">
        <v>0</v>
      </c>
      <c r="J2607">
        <v>0</v>
      </c>
      <c r="K2607">
        <v>0</v>
      </c>
    </row>
    <row r="2608" spans="1:11" x14ac:dyDescent="0.2">
      <c r="A2608" t="s">
        <v>1996</v>
      </c>
      <c r="B2608">
        <v>0</v>
      </c>
      <c r="C2608">
        <v>0</v>
      </c>
      <c r="D2608">
        <v>0</v>
      </c>
      <c r="E2608">
        <v>0</v>
      </c>
      <c r="F2608">
        <v>0</v>
      </c>
      <c r="G2608">
        <v>0</v>
      </c>
      <c r="H2608">
        <v>0</v>
      </c>
      <c r="I2608">
        <v>0</v>
      </c>
      <c r="J2608">
        <v>0</v>
      </c>
      <c r="K2608">
        <v>0</v>
      </c>
    </row>
    <row r="2609" spans="1:11" x14ac:dyDescent="0.2">
      <c r="A2609" t="s">
        <v>1998</v>
      </c>
      <c r="B2609">
        <v>0</v>
      </c>
      <c r="C2609">
        <v>0</v>
      </c>
      <c r="D2609">
        <v>0</v>
      </c>
      <c r="E2609">
        <v>0</v>
      </c>
      <c r="F2609">
        <v>0</v>
      </c>
      <c r="G2609">
        <v>0</v>
      </c>
      <c r="H2609">
        <v>0</v>
      </c>
      <c r="I2609">
        <v>0</v>
      </c>
      <c r="J2609">
        <v>0</v>
      </c>
      <c r="K2609">
        <v>0</v>
      </c>
    </row>
    <row r="2610" spans="1:11" x14ac:dyDescent="0.2">
      <c r="A2610" t="s">
        <v>1999</v>
      </c>
      <c r="B2610">
        <v>0</v>
      </c>
      <c r="C2610">
        <v>0</v>
      </c>
      <c r="D2610">
        <v>0</v>
      </c>
      <c r="E2610">
        <v>0</v>
      </c>
      <c r="F2610">
        <v>0</v>
      </c>
      <c r="G2610">
        <v>0</v>
      </c>
      <c r="H2610">
        <v>0</v>
      </c>
      <c r="I2610">
        <v>0</v>
      </c>
      <c r="J2610">
        <v>0</v>
      </c>
      <c r="K2610">
        <v>0</v>
      </c>
    </row>
    <row r="2611" spans="1:11" x14ac:dyDescent="0.2">
      <c r="A2611" t="s">
        <v>2004</v>
      </c>
      <c r="B2611">
        <v>0</v>
      </c>
      <c r="C2611">
        <v>0</v>
      </c>
      <c r="D2611">
        <v>0</v>
      </c>
      <c r="E2611">
        <v>0</v>
      </c>
      <c r="F2611">
        <v>0</v>
      </c>
      <c r="G2611">
        <v>0</v>
      </c>
      <c r="H2611">
        <v>0</v>
      </c>
      <c r="I2611">
        <v>0</v>
      </c>
      <c r="J2611">
        <v>0</v>
      </c>
      <c r="K2611">
        <v>0</v>
      </c>
    </row>
    <row r="2612" spans="1:11" x14ac:dyDescent="0.2">
      <c r="A2612" t="s">
        <v>2009</v>
      </c>
      <c r="B2612">
        <v>0</v>
      </c>
      <c r="C2612">
        <v>0</v>
      </c>
      <c r="D2612">
        <v>0</v>
      </c>
      <c r="E2612">
        <v>0</v>
      </c>
      <c r="F2612">
        <v>0</v>
      </c>
      <c r="G2612">
        <v>0</v>
      </c>
      <c r="H2612">
        <v>0</v>
      </c>
      <c r="I2612">
        <v>0</v>
      </c>
      <c r="J2612">
        <v>0</v>
      </c>
      <c r="K2612">
        <v>0</v>
      </c>
    </row>
    <row r="2613" spans="1:11" x14ac:dyDescent="0.2">
      <c r="A2613" t="s">
        <v>2014</v>
      </c>
      <c r="B2613">
        <v>0</v>
      </c>
      <c r="C2613">
        <v>0</v>
      </c>
      <c r="D2613">
        <v>0</v>
      </c>
      <c r="E2613">
        <v>0</v>
      </c>
      <c r="F2613">
        <v>0</v>
      </c>
      <c r="G2613">
        <v>0</v>
      </c>
      <c r="H2613">
        <v>0</v>
      </c>
      <c r="I2613">
        <v>0</v>
      </c>
      <c r="J2613">
        <v>0</v>
      </c>
      <c r="K2613">
        <v>0</v>
      </c>
    </row>
    <row r="2614" spans="1:11" x14ac:dyDescent="0.2">
      <c r="A2614" t="s">
        <v>2019</v>
      </c>
      <c r="B2614">
        <v>0</v>
      </c>
      <c r="C2614">
        <v>0</v>
      </c>
      <c r="D2614">
        <v>0</v>
      </c>
      <c r="E2614">
        <v>0</v>
      </c>
      <c r="F2614">
        <v>0</v>
      </c>
      <c r="G2614">
        <v>0</v>
      </c>
      <c r="H2614">
        <v>0</v>
      </c>
      <c r="I2614">
        <v>0</v>
      </c>
      <c r="J2614">
        <v>0</v>
      </c>
      <c r="K2614">
        <v>0</v>
      </c>
    </row>
    <row r="2615" spans="1:11" x14ac:dyDescent="0.2">
      <c r="A2615" t="s">
        <v>2023</v>
      </c>
      <c r="B2615">
        <v>0</v>
      </c>
      <c r="C2615">
        <v>0</v>
      </c>
      <c r="D2615">
        <v>0</v>
      </c>
      <c r="E2615">
        <v>0</v>
      </c>
      <c r="F2615">
        <v>0</v>
      </c>
      <c r="G2615">
        <v>0</v>
      </c>
      <c r="H2615">
        <v>0</v>
      </c>
      <c r="I2615">
        <v>0</v>
      </c>
      <c r="J2615">
        <v>0</v>
      </c>
      <c r="K2615">
        <v>0</v>
      </c>
    </row>
    <row r="2616" spans="1:11" x14ac:dyDescent="0.2">
      <c r="A2616" t="s">
        <v>2026</v>
      </c>
      <c r="B2616">
        <v>0</v>
      </c>
      <c r="C2616">
        <v>0</v>
      </c>
      <c r="D2616">
        <v>0</v>
      </c>
      <c r="E2616">
        <v>0</v>
      </c>
      <c r="F2616">
        <v>0</v>
      </c>
      <c r="G2616">
        <v>0</v>
      </c>
      <c r="H2616">
        <v>0</v>
      </c>
      <c r="I2616">
        <v>0</v>
      </c>
      <c r="J2616">
        <v>0</v>
      </c>
      <c r="K2616">
        <v>0</v>
      </c>
    </row>
    <row r="2617" spans="1:11" x14ac:dyDescent="0.2">
      <c r="A2617" t="s">
        <v>2030</v>
      </c>
      <c r="B2617">
        <v>0</v>
      </c>
      <c r="C2617">
        <v>0</v>
      </c>
      <c r="D2617">
        <v>0</v>
      </c>
      <c r="E2617">
        <v>0</v>
      </c>
      <c r="F2617">
        <v>0</v>
      </c>
      <c r="G2617">
        <v>0</v>
      </c>
      <c r="H2617">
        <v>0</v>
      </c>
      <c r="I2617">
        <v>0</v>
      </c>
      <c r="J2617">
        <v>0</v>
      </c>
      <c r="K2617">
        <v>0</v>
      </c>
    </row>
    <row r="2618" spans="1:11" x14ac:dyDescent="0.2">
      <c r="A2618" t="s">
        <v>2035</v>
      </c>
      <c r="B2618">
        <v>0</v>
      </c>
      <c r="C2618">
        <v>0</v>
      </c>
      <c r="D2618">
        <v>0</v>
      </c>
      <c r="E2618">
        <v>0</v>
      </c>
      <c r="F2618">
        <v>0</v>
      </c>
      <c r="G2618">
        <v>0</v>
      </c>
      <c r="H2618">
        <v>0</v>
      </c>
      <c r="I2618">
        <v>0</v>
      </c>
      <c r="J2618">
        <v>0</v>
      </c>
      <c r="K2618">
        <v>0</v>
      </c>
    </row>
    <row r="2619" spans="1:11" x14ac:dyDescent="0.2">
      <c r="A2619" t="s">
        <v>2040</v>
      </c>
      <c r="B2619">
        <v>0</v>
      </c>
      <c r="C2619">
        <v>0</v>
      </c>
      <c r="D2619">
        <v>0</v>
      </c>
      <c r="E2619">
        <v>0</v>
      </c>
      <c r="F2619">
        <v>0</v>
      </c>
      <c r="G2619">
        <v>0</v>
      </c>
      <c r="H2619">
        <v>0</v>
      </c>
      <c r="I2619">
        <v>0</v>
      </c>
      <c r="J2619">
        <v>0</v>
      </c>
      <c r="K2619">
        <v>0</v>
      </c>
    </row>
    <row r="2620" spans="1:11" x14ac:dyDescent="0.2">
      <c r="A2620" t="s">
        <v>2045</v>
      </c>
      <c r="B2620">
        <v>0</v>
      </c>
      <c r="C2620">
        <v>0</v>
      </c>
      <c r="D2620">
        <v>0</v>
      </c>
      <c r="E2620">
        <v>0</v>
      </c>
      <c r="F2620">
        <v>0</v>
      </c>
      <c r="G2620">
        <v>0</v>
      </c>
      <c r="H2620">
        <v>0</v>
      </c>
      <c r="I2620">
        <v>0</v>
      </c>
      <c r="J2620">
        <v>0</v>
      </c>
      <c r="K2620">
        <v>0</v>
      </c>
    </row>
    <row r="2621" spans="1:11" x14ac:dyDescent="0.2">
      <c r="A2621" t="s">
        <v>2049</v>
      </c>
      <c r="B2621">
        <v>0</v>
      </c>
      <c r="C2621">
        <v>0</v>
      </c>
      <c r="D2621">
        <v>0</v>
      </c>
      <c r="E2621">
        <v>0</v>
      </c>
      <c r="F2621">
        <v>0</v>
      </c>
      <c r="G2621">
        <v>0</v>
      </c>
      <c r="H2621">
        <v>0</v>
      </c>
      <c r="I2621">
        <v>0</v>
      </c>
      <c r="J2621">
        <v>0</v>
      </c>
      <c r="K2621">
        <v>0</v>
      </c>
    </row>
    <row r="2622" spans="1:11" x14ac:dyDescent="0.2">
      <c r="A2622" t="s">
        <v>2051</v>
      </c>
      <c r="B2622">
        <v>0</v>
      </c>
      <c r="C2622">
        <v>0</v>
      </c>
      <c r="D2622">
        <v>0</v>
      </c>
      <c r="E2622">
        <v>0</v>
      </c>
      <c r="F2622">
        <v>0</v>
      </c>
      <c r="G2622">
        <v>0</v>
      </c>
      <c r="H2622">
        <v>0</v>
      </c>
      <c r="I2622">
        <v>0</v>
      </c>
      <c r="J2622">
        <v>0</v>
      </c>
      <c r="K2622">
        <v>0</v>
      </c>
    </row>
    <row r="2623" spans="1:11" x14ac:dyDescent="0.2">
      <c r="A2623" t="s">
        <v>2057</v>
      </c>
      <c r="B2623">
        <v>0</v>
      </c>
      <c r="C2623">
        <v>0</v>
      </c>
      <c r="D2623">
        <v>0</v>
      </c>
      <c r="E2623">
        <v>0</v>
      </c>
      <c r="F2623">
        <v>0</v>
      </c>
      <c r="G2623">
        <v>0</v>
      </c>
      <c r="H2623">
        <v>0</v>
      </c>
      <c r="I2623">
        <v>0</v>
      </c>
      <c r="J2623">
        <v>0</v>
      </c>
      <c r="K2623">
        <v>0</v>
      </c>
    </row>
    <row r="2624" spans="1:11" x14ac:dyDescent="0.2">
      <c r="A2624" t="s">
        <v>4344</v>
      </c>
      <c r="B2624">
        <v>0</v>
      </c>
      <c r="C2624">
        <v>0</v>
      </c>
      <c r="D2624">
        <v>0</v>
      </c>
      <c r="E2624">
        <v>0</v>
      </c>
      <c r="F2624">
        <v>0</v>
      </c>
      <c r="G2624">
        <v>0</v>
      </c>
      <c r="H2624">
        <v>0</v>
      </c>
      <c r="I2624">
        <v>0</v>
      </c>
      <c r="J2624">
        <v>0</v>
      </c>
      <c r="K2624">
        <v>0</v>
      </c>
    </row>
    <row r="2625" spans="1:11" x14ac:dyDescent="0.2">
      <c r="A2625" t="s">
        <v>4345</v>
      </c>
      <c r="B2625">
        <v>0</v>
      </c>
      <c r="C2625">
        <v>0</v>
      </c>
      <c r="D2625">
        <v>0</v>
      </c>
      <c r="E2625">
        <v>0</v>
      </c>
      <c r="F2625">
        <v>0</v>
      </c>
      <c r="G2625">
        <v>0</v>
      </c>
      <c r="H2625">
        <v>0</v>
      </c>
      <c r="I2625">
        <v>0</v>
      </c>
      <c r="J2625">
        <v>0</v>
      </c>
      <c r="K2625">
        <v>0</v>
      </c>
    </row>
    <row r="2626" spans="1:11" x14ac:dyDescent="0.2">
      <c r="A2626" t="s">
        <v>2074</v>
      </c>
      <c r="B2626">
        <v>0</v>
      </c>
      <c r="C2626">
        <v>0</v>
      </c>
      <c r="D2626">
        <v>0</v>
      </c>
      <c r="E2626">
        <v>0</v>
      </c>
      <c r="F2626">
        <v>0</v>
      </c>
      <c r="G2626">
        <v>0</v>
      </c>
      <c r="H2626">
        <v>0</v>
      </c>
      <c r="I2626">
        <v>0</v>
      </c>
      <c r="J2626">
        <v>0</v>
      </c>
      <c r="K2626">
        <v>0</v>
      </c>
    </row>
    <row r="2627" spans="1:11" x14ac:dyDescent="0.2">
      <c r="A2627" t="s">
        <v>2079</v>
      </c>
      <c r="B2627">
        <v>0</v>
      </c>
      <c r="C2627">
        <v>0</v>
      </c>
      <c r="D2627">
        <v>0</v>
      </c>
      <c r="E2627">
        <v>0</v>
      </c>
      <c r="F2627">
        <v>0</v>
      </c>
      <c r="G2627">
        <v>0</v>
      </c>
      <c r="H2627">
        <v>0</v>
      </c>
      <c r="I2627">
        <v>0</v>
      </c>
      <c r="J2627">
        <v>0</v>
      </c>
      <c r="K2627">
        <v>0</v>
      </c>
    </row>
    <row r="2628" spans="1:11" x14ac:dyDescent="0.2">
      <c r="A2628" t="s">
        <v>2085</v>
      </c>
      <c r="B2628">
        <v>0</v>
      </c>
      <c r="C2628">
        <v>0</v>
      </c>
      <c r="D2628">
        <v>0</v>
      </c>
      <c r="E2628">
        <v>0</v>
      </c>
      <c r="F2628">
        <v>0</v>
      </c>
      <c r="G2628">
        <v>0</v>
      </c>
      <c r="H2628">
        <v>0</v>
      </c>
      <c r="I2628">
        <v>0</v>
      </c>
      <c r="J2628">
        <v>0</v>
      </c>
      <c r="K2628">
        <v>0</v>
      </c>
    </row>
    <row r="2629" spans="1:11" x14ac:dyDescent="0.2">
      <c r="A2629" t="s">
        <v>2091</v>
      </c>
      <c r="B2629">
        <v>0</v>
      </c>
      <c r="C2629">
        <v>0</v>
      </c>
      <c r="D2629">
        <v>0</v>
      </c>
      <c r="E2629">
        <v>0</v>
      </c>
      <c r="F2629">
        <v>0</v>
      </c>
      <c r="G2629">
        <v>0</v>
      </c>
      <c r="H2629">
        <v>0</v>
      </c>
      <c r="I2629">
        <v>0</v>
      </c>
      <c r="J2629">
        <v>0</v>
      </c>
      <c r="K2629">
        <v>0</v>
      </c>
    </row>
    <row r="2630" spans="1:11" x14ac:dyDescent="0.2">
      <c r="A2630" t="s">
        <v>2097</v>
      </c>
      <c r="B2630">
        <v>0</v>
      </c>
      <c r="C2630">
        <v>0</v>
      </c>
      <c r="D2630">
        <v>0</v>
      </c>
      <c r="E2630">
        <v>0</v>
      </c>
      <c r="F2630">
        <v>0</v>
      </c>
      <c r="G2630">
        <v>0</v>
      </c>
      <c r="H2630">
        <v>0</v>
      </c>
      <c r="I2630">
        <v>0</v>
      </c>
      <c r="J2630">
        <v>0</v>
      </c>
      <c r="K2630">
        <v>0</v>
      </c>
    </row>
    <row r="2631" spans="1:11" x14ac:dyDescent="0.2">
      <c r="A2631" t="s">
        <v>2101</v>
      </c>
      <c r="B2631">
        <v>0</v>
      </c>
      <c r="C2631">
        <v>0</v>
      </c>
      <c r="D2631">
        <v>0</v>
      </c>
      <c r="E2631">
        <v>0</v>
      </c>
      <c r="F2631">
        <v>0</v>
      </c>
      <c r="G2631">
        <v>0</v>
      </c>
      <c r="H2631">
        <v>0</v>
      </c>
      <c r="I2631">
        <v>0</v>
      </c>
      <c r="J2631">
        <v>0</v>
      </c>
      <c r="K2631">
        <v>0</v>
      </c>
    </row>
    <row r="2632" spans="1:11" x14ac:dyDescent="0.2">
      <c r="A2632" t="s">
        <v>2104</v>
      </c>
      <c r="B2632">
        <v>0</v>
      </c>
      <c r="C2632">
        <v>0</v>
      </c>
      <c r="D2632">
        <v>0</v>
      </c>
      <c r="E2632">
        <v>0</v>
      </c>
      <c r="F2632">
        <v>0</v>
      </c>
      <c r="G2632">
        <v>0</v>
      </c>
      <c r="H2632">
        <v>0</v>
      </c>
      <c r="I2632">
        <v>0</v>
      </c>
      <c r="J2632">
        <v>0</v>
      </c>
      <c r="K2632">
        <v>0</v>
      </c>
    </row>
    <row r="2633" spans="1:11" x14ac:dyDescent="0.2">
      <c r="A2633" t="s">
        <v>2107</v>
      </c>
      <c r="B2633">
        <v>0</v>
      </c>
      <c r="C2633">
        <v>0</v>
      </c>
      <c r="D2633">
        <v>0</v>
      </c>
      <c r="E2633">
        <v>0</v>
      </c>
      <c r="F2633">
        <v>0</v>
      </c>
      <c r="G2633">
        <v>0</v>
      </c>
      <c r="H2633">
        <v>0</v>
      </c>
      <c r="I2633">
        <v>0</v>
      </c>
      <c r="J2633">
        <v>0</v>
      </c>
      <c r="K2633">
        <v>0</v>
      </c>
    </row>
    <row r="2634" spans="1:11" x14ac:dyDescent="0.2">
      <c r="A2634" t="s">
        <v>2110</v>
      </c>
      <c r="B2634">
        <v>0</v>
      </c>
      <c r="C2634">
        <v>0</v>
      </c>
      <c r="D2634">
        <v>0</v>
      </c>
      <c r="E2634">
        <v>0</v>
      </c>
      <c r="F2634">
        <v>0</v>
      </c>
      <c r="G2634">
        <v>0</v>
      </c>
      <c r="H2634">
        <v>0</v>
      </c>
      <c r="I2634">
        <v>0</v>
      </c>
      <c r="J2634">
        <v>0</v>
      </c>
      <c r="K2634">
        <v>0</v>
      </c>
    </row>
    <row r="2635" spans="1:11" x14ac:dyDescent="0.2">
      <c r="A2635" t="s">
        <v>2113</v>
      </c>
      <c r="B2635">
        <v>0</v>
      </c>
      <c r="C2635">
        <v>0</v>
      </c>
      <c r="D2635">
        <v>0</v>
      </c>
      <c r="E2635">
        <v>0</v>
      </c>
      <c r="F2635">
        <v>0</v>
      </c>
      <c r="G2635">
        <v>0</v>
      </c>
      <c r="H2635">
        <v>0</v>
      </c>
      <c r="I2635">
        <v>0</v>
      </c>
      <c r="J2635">
        <v>0</v>
      </c>
      <c r="K2635">
        <v>0</v>
      </c>
    </row>
    <row r="2636" spans="1:11" x14ac:dyDescent="0.2">
      <c r="A2636" t="s">
        <v>4346</v>
      </c>
      <c r="B2636">
        <v>0</v>
      </c>
      <c r="C2636">
        <v>0</v>
      </c>
      <c r="D2636">
        <v>0</v>
      </c>
      <c r="E2636">
        <v>0</v>
      </c>
      <c r="F2636">
        <v>0</v>
      </c>
      <c r="G2636">
        <v>0</v>
      </c>
      <c r="H2636">
        <v>0</v>
      </c>
      <c r="I2636">
        <v>0</v>
      </c>
      <c r="J2636">
        <v>0</v>
      </c>
      <c r="K2636">
        <v>0</v>
      </c>
    </row>
    <row r="2637" spans="1:11" x14ac:dyDescent="0.2">
      <c r="A2637" t="s">
        <v>4347</v>
      </c>
      <c r="B2637">
        <v>0</v>
      </c>
      <c r="C2637">
        <v>0</v>
      </c>
      <c r="D2637">
        <v>0</v>
      </c>
      <c r="E2637">
        <v>0</v>
      </c>
      <c r="F2637">
        <v>0</v>
      </c>
      <c r="G2637">
        <v>0</v>
      </c>
      <c r="H2637">
        <v>0</v>
      </c>
      <c r="I2637">
        <v>0</v>
      </c>
      <c r="J2637">
        <v>0</v>
      </c>
      <c r="K2637">
        <v>0</v>
      </c>
    </row>
    <row r="2638" spans="1:11" x14ac:dyDescent="0.2">
      <c r="A2638" t="s">
        <v>4348</v>
      </c>
      <c r="B2638">
        <v>0</v>
      </c>
      <c r="C2638">
        <v>0</v>
      </c>
      <c r="D2638">
        <v>0</v>
      </c>
      <c r="E2638">
        <v>0</v>
      </c>
      <c r="F2638">
        <v>0</v>
      </c>
      <c r="G2638">
        <v>0</v>
      </c>
      <c r="H2638">
        <v>0</v>
      </c>
      <c r="I2638">
        <v>0</v>
      </c>
      <c r="J2638">
        <v>0</v>
      </c>
      <c r="K2638">
        <v>0</v>
      </c>
    </row>
    <row r="2639" spans="1:11" x14ac:dyDescent="0.2">
      <c r="A2639" t="s">
        <v>4349</v>
      </c>
      <c r="B2639">
        <v>0</v>
      </c>
      <c r="C2639">
        <v>0</v>
      </c>
      <c r="D2639">
        <v>0</v>
      </c>
      <c r="E2639">
        <v>0</v>
      </c>
      <c r="F2639">
        <v>0</v>
      </c>
      <c r="G2639">
        <v>0</v>
      </c>
      <c r="H2639">
        <v>0</v>
      </c>
      <c r="I2639">
        <v>0</v>
      </c>
      <c r="J2639">
        <v>0</v>
      </c>
      <c r="K2639">
        <v>0</v>
      </c>
    </row>
    <row r="2640" spans="1:11" x14ac:dyDescent="0.2">
      <c r="A2640" t="s">
        <v>4350</v>
      </c>
      <c r="B2640">
        <v>0</v>
      </c>
      <c r="C2640">
        <v>0</v>
      </c>
      <c r="D2640">
        <v>0</v>
      </c>
      <c r="E2640">
        <v>0</v>
      </c>
      <c r="F2640">
        <v>0</v>
      </c>
      <c r="G2640">
        <v>0</v>
      </c>
      <c r="H2640">
        <v>1</v>
      </c>
      <c r="I2640">
        <v>0</v>
      </c>
      <c r="J2640">
        <v>0</v>
      </c>
      <c r="K2640">
        <v>4</v>
      </c>
    </row>
    <row r="2641" spans="1:11" x14ac:dyDescent="0.2">
      <c r="A2641" t="s">
        <v>4351</v>
      </c>
      <c r="B2641">
        <v>0</v>
      </c>
      <c r="C2641">
        <v>0</v>
      </c>
      <c r="D2641">
        <v>0</v>
      </c>
      <c r="E2641">
        <v>0</v>
      </c>
      <c r="F2641">
        <v>0</v>
      </c>
      <c r="G2641">
        <v>0</v>
      </c>
      <c r="H2641">
        <v>0</v>
      </c>
      <c r="I2641">
        <v>0</v>
      </c>
      <c r="J2641">
        <v>0</v>
      </c>
      <c r="K2641">
        <v>0</v>
      </c>
    </row>
    <row r="2642" spans="1:11" x14ac:dyDescent="0.2">
      <c r="A2642" t="s">
        <v>4352</v>
      </c>
      <c r="B2642">
        <v>0</v>
      </c>
      <c r="C2642">
        <v>0</v>
      </c>
      <c r="D2642">
        <v>0</v>
      </c>
      <c r="E2642">
        <v>0</v>
      </c>
      <c r="F2642">
        <v>0</v>
      </c>
      <c r="G2642">
        <v>0</v>
      </c>
      <c r="H2642">
        <v>0</v>
      </c>
      <c r="I2642">
        <v>0</v>
      </c>
      <c r="J2642">
        <v>0</v>
      </c>
      <c r="K2642">
        <v>0</v>
      </c>
    </row>
    <row r="2643" spans="1:11" x14ac:dyDescent="0.2">
      <c r="A2643" t="s">
        <v>4353</v>
      </c>
      <c r="B2643">
        <v>0</v>
      </c>
      <c r="C2643">
        <v>0</v>
      </c>
      <c r="D2643">
        <v>0</v>
      </c>
      <c r="E2643">
        <v>0</v>
      </c>
      <c r="F2643">
        <v>0</v>
      </c>
      <c r="G2643">
        <v>1</v>
      </c>
      <c r="H2643">
        <v>3</v>
      </c>
      <c r="I2643">
        <v>0</v>
      </c>
      <c r="J2643">
        <v>0</v>
      </c>
      <c r="K2643">
        <v>13</v>
      </c>
    </row>
    <row r="2644" spans="1:11" x14ac:dyDescent="0.2">
      <c r="A2644" t="s">
        <v>4354</v>
      </c>
      <c r="B2644">
        <v>0</v>
      </c>
      <c r="C2644">
        <v>0</v>
      </c>
      <c r="D2644">
        <v>0</v>
      </c>
      <c r="E2644">
        <v>0</v>
      </c>
      <c r="F2644">
        <v>0</v>
      </c>
      <c r="G2644">
        <v>0</v>
      </c>
      <c r="H2644">
        <v>2</v>
      </c>
      <c r="I2644">
        <v>0</v>
      </c>
      <c r="J2644">
        <v>0</v>
      </c>
      <c r="K2644">
        <v>7</v>
      </c>
    </row>
    <row r="2645" spans="1:11" x14ac:dyDescent="0.2">
      <c r="A2645" t="s">
        <v>4355</v>
      </c>
      <c r="B2645">
        <v>0</v>
      </c>
      <c r="C2645">
        <v>0</v>
      </c>
      <c r="D2645">
        <v>0</v>
      </c>
      <c r="E2645">
        <v>0</v>
      </c>
      <c r="F2645">
        <v>0</v>
      </c>
      <c r="G2645">
        <v>0</v>
      </c>
      <c r="H2645">
        <v>0</v>
      </c>
      <c r="I2645">
        <v>0</v>
      </c>
      <c r="J2645">
        <v>0</v>
      </c>
      <c r="K2645">
        <v>0</v>
      </c>
    </row>
    <row r="2646" spans="1:11" x14ac:dyDescent="0.2">
      <c r="A2646" t="s">
        <v>4356</v>
      </c>
      <c r="B2646">
        <v>0</v>
      </c>
      <c r="C2646">
        <v>0</v>
      </c>
      <c r="D2646">
        <v>0</v>
      </c>
      <c r="E2646">
        <v>0</v>
      </c>
      <c r="F2646">
        <v>0</v>
      </c>
      <c r="G2646">
        <v>0</v>
      </c>
      <c r="H2646">
        <v>0</v>
      </c>
      <c r="I2646">
        <v>0</v>
      </c>
      <c r="J2646">
        <v>0</v>
      </c>
      <c r="K2646">
        <v>0</v>
      </c>
    </row>
    <row r="2647" spans="1:11" x14ac:dyDescent="0.2">
      <c r="A2647" t="s">
        <v>4357</v>
      </c>
      <c r="B2647">
        <v>0</v>
      </c>
      <c r="C2647">
        <v>0</v>
      </c>
      <c r="D2647">
        <v>0</v>
      </c>
      <c r="E2647">
        <v>0</v>
      </c>
      <c r="F2647">
        <v>0</v>
      </c>
      <c r="G2647">
        <v>0</v>
      </c>
      <c r="H2647">
        <v>0</v>
      </c>
      <c r="I2647">
        <v>0</v>
      </c>
      <c r="J2647">
        <v>0</v>
      </c>
      <c r="K2647">
        <v>0</v>
      </c>
    </row>
    <row r="2648" spans="1:11" x14ac:dyDescent="0.2">
      <c r="A2648" t="s">
        <v>4358</v>
      </c>
      <c r="B2648">
        <v>0</v>
      </c>
      <c r="C2648">
        <v>0</v>
      </c>
      <c r="D2648">
        <v>0</v>
      </c>
      <c r="E2648">
        <v>0</v>
      </c>
      <c r="F2648">
        <v>0</v>
      </c>
      <c r="G2648">
        <v>0</v>
      </c>
      <c r="H2648">
        <v>0</v>
      </c>
      <c r="I2648">
        <v>0</v>
      </c>
      <c r="J2648">
        <v>0</v>
      </c>
      <c r="K2648">
        <v>0</v>
      </c>
    </row>
    <row r="2649" spans="1:11" x14ac:dyDescent="0.2">
      <c r="A2649" t="s">
        <v>4359</v>
      </c>
      <c r="B2649">
        <v>0</v>
      </c>
      <c r="C2649">
        <v>0</v>
      </c>
      <c r="D2649">
        <v>0</v>
      </c>
      <c r="E2649">
        <v>0</v>
      </c>
      <c r="F2649">
        <v>0</v>
      </c>
      <c r="G2649">
        <v>0</v>
      </c>
      <c r="H2649">
        <v>0</v>
      </c>
      <c r="I2649">
        <v>0</v>
      </c>
      <c r="J2649">
        <v>0</v>
      </c>
      <c r="K2649">
        <v>0</v>
      </c>
    </row>
    <row r="2650" spans="1:11" x14ac:dyDescent="0.2">
      <c r="A2650" t="s">
        <v>4360</v>
      </c>
      <c r="B2650">
        <v>0</v>
      </c>
      <c r="C2650">
        <v>0</v>
      </c>
      <c r="D2650">
        <v>0</v>
      </c>
      <c r="E2650">
        <v>0</v>
      </c>
      <c r="F2650">
        <v>0</v>
      </c>
      <c r="G2650">
        <v>0</v>
      </c>
      <c r="H2650">
        <v>0</v>
      </c>
      <c r="I2650">
        <v>0</v>
      </c>
      <c r="J2650">
        <v>0</v>
      </c>
      <c r="K2650">
        <v>0</v>
      </c>
    </row>
    <row r="2651" spans="1:11" x14ac:dyDescent="0.2">
      <c r="A2651" t="s">
        <v>4361</v>
      </c>
      <c r="B2651">
        <v>0</v>
      </c>
      <c r="C2651">
        <v>0</v>
      </c>
      <c r="D2651">
        <v>0</v>
      </c>
      <c r="E2651">
        <v>0</v>
      </c>
      <c r="F2651">
        <v>0</v>
      </c>
      <c r="G2651">
        <v>0</v>
      </c>
      <c r="H2651">
        <v>0</v>
      </c>
      <c r="I2651">
        <v>0</v>
      </c>
      <c r="J2651">
        <v>0</v>
      </c>
      <c r="K2651">
        <v>1</v>
      </c>
    </row>
    <row r="2652" spans="1:11" x14ac:dyDescent="0.2">
      <c r="A2652" t="s">
        <v>4362</v>
      </c>
      <c r="B2652">
        <v>0</v>
      </c>
      <c r="C2652">
        <v>0</v>
      </c>
      <c r="D2652">
        <v>0</v>
      </c>
      <c r="E2652">
        <v>0</v>
      </c>
      <c r="F2652">
        <v>0</v>
      </c>
      <c r="G2652">
        <v>0</v>
      </c>
      <c r="H2652">
        <v>0</v>
      </c>
      <c r="I2652">
        <v>0</v>
      </c>
      <c r="J2652">
        <v>0</v>
      </c>
      <c r="K2652">
        <v>0</v>
      </c>
    </row>
    <row r="2653" spans="1:11" x14ac:dyDescent="0.2">
      <c r="A2653" t="s">
        <v>4363</v>
      </c>
      <c r="B2653">
        <v>0</v>
      </c>
      <c r="C2653">
        <v>0</v>
      </c>
      <c r="D2653">
        <v>0</v>
      </c>
      <c r="E2653">
        <v>0</v>
      </c>
      <c r="F2653">
        <v>0</v>
      </c>
      <c r="G2653">
        <v>0</v>
      </c>
      <c r="H2653">
        <v>0</v>
      </c>
      <c r="I2653">
        <v>0</v>
      </c>
      <c r="J2653">
        <v>0</v>
      </c>
      <c r="K2653">
        <v>0</v>
      </c>
    </row>
    <row r="2654" spans="1:11" x14ac:dyDescent="0.2">
      <c r="A2654" t="s">
        <v>4364</v>
      </c>
      <c r="B2654">
        <v>0</v>
      </c>
      <c r="C2654">
        <v>0</v>
      </c>
      <c r="D2654">
        <v>0</v>
      </c>
      <c r="E2654">
        <v>0</v>
      </c>
      <c r="F2654">
        <v>0</v>
      </c>
      <c r="G2654">
        <v>0</v>
      </c>
      <c r="H2654">
        <v>0</v>
      </c>
      <c r="I2654">
        <v>0</v>
      </c>
      <c r="J2654">
        <v>0</v>
      </c>
      <c r="K2654">
        <v>0</v>
      </c>
    </row>
    <row r="2655" spans="1:11" x14ac:dyDescent="0.2">
      <c r="A2655" t="s">
        <v>4365</v>
      </c>
      <c r="B2655">
        <v>0</v>
      </c>
      <c r="C2655">
        <v>0</v>
      </c>
      <c r="D2655">
        <v>0</v>
      </c>
      <c r="E2655">
        <v>0</v>
      </c>
      <c r="F2655">
        <v>0</v>
      </c>
      <c r="G2655">
        <v>0</v>
      </c>
      <c r="H2655">
        <v>0</v>
      </c>
      <c r="I2655">
        <v>0</v>
      </c>
      <c r="J2655">
        <v>0</v>
      </c>
      <c r="K2655">
        <v>0</v>
      </c>
    </row>
    <row r="2656" spans="1:11" x14ac:dyDescent="0.2">
      <c r="A2656" t="s">
        <v>4366</v>
      </c>
      <c r="B2656">
        <v>0</v>
      </c>
      <c r="C2656">
        <v>0</v>
      </c>
      <c r="D2656">
        <v>0</v>
      </c>
      <c r="E2656">
        <v>0</v>
      </c>
      <c r="F2656">
        <v>0</v>
      </c>
      <c r="G2656">
        <v>0</v>
      </c>
      <c r="H2656">
        <v>0</v>
      </c>
      <c r="I2656">
        <v>0</v>
      </c>
      <c r="J2656">
        <v>0</v>
      </c>
      <c r="K2656">
        <v>0</v>
      </c>
    </row>
    <row r="2657" spans="1:11" x14ac:dyDescent="0.2">
      <c r="A2657" t="s">
        <v>4367</v>
      </c>
      <c r="B2657">
        <v>0</v>
      </c>
      <c r="C2657">
        <v>0</v>
      </c>
      <c r="D2657">
        <v>0</v>
      </c>
      <c r="E2657">
        <v>0</v>
      </c>
      <c r="F2657">
        <v>0</v>
      </c>
      <c r="G2657">
        <v>0</v>
      </c>
      <c r="H2657">
        <v>0</v>
      </c>
      <c r="I2657">
        <v>0</v>
      </c>
      <c r="J2657">
        <v>0</v>
      </c>
      <c r="K2657">
        <v>0</v>
      </c>
    </row>
    <row r="2658" spans="1:11" x14ac:dyDescent="0.2">
      <c r="A2658" t="s">
        <v>4368</v>
      </c>
      <c r="B2658">
        <v>0</v>
      </c>
      <c r="C2658">
        <v>0</v>
      </c>
      <c r="D2658">
        <v>0</v>
      </c>
      <c r="E2658">
        <v>0</v>
      </c>
      <c r="F2658">
        <v>0</v>
      </c>
      <c r="G2658">
        <v>1</v>
      </c>
      <c r="H2658">
        <v>1</v>
      </c>
      <c r="I2658">
        <v>0</v>
      </c>
      <c r="J2658">
        <v>0</v>
      </c>
      <c r="K2658">
        <v>28</v>
      </c>
    </row>
    <row r="2659" spans="1:11" x14ac:dyDescent="0.2">
      <c r="A2659" t="s">
        <v>4369</v>
      </c>
      <c r="B2659">
        <v>0</v>
      </c>
      <c r="C2659">
        <v>0</v>
      </c>
      <c r="D2659">
        <v>0</v>
      </c>
      <c r="E2659">
        <v>0</v>
      </c>
      <c r="F2659">
        <v>0</v>
      </c>
      <c r="G2659">
        <v>2</v>
      </c>
      <c r="H2659">
        <v>1</v>
      </c>
      <c r="I2659">
        <v>0</v>
      </c>
      <c r="J2659">
        <v>0</v>
      </c>
      <c r="K2659">
        <v>8</v>
      </c>
    </row>
    <row r="2660" spans="1:11" x14ac:dyDescent="0.2">
      <c r="A2660" t="s">
        <v>4370</v>
      </c>
      <c r="B2660">
        <v>0</v>
      </c>
      <c r="C2660">
        <v>0</v>
      </c>
      <c r="D2660">
        <v>0</v>
      </c>
      <c r="E2660">
        <v>0</v>
      </c>
      <c r="F2660">
        <v>0</v>
      </c>
      <c r="G2660">
        <v>0</v>
      </c>
      <c r="H2660">
        <v>0</v>
      </c>
      <c r="I2660">
        <v>0</v>
      </c>
      <c r="J2660">
        <v>0</v>
      </c>
      <c r="K2660">
        <v>0</v>
      </c>
    </row>
    <row r="2661" spans="1:11" x14ac:dyDescent="0.2">
      <c r="A2661" t="s">
        <v>4371</v>
      </c>
      <c r="B2661">
        <v>0</v>
      </c>
      <c r="C2661">
        <v>0</v>
      </c>
      <c r="D2661">
        <v>0</v>
      </c>
      <c r="E2661">
        <v>0</v>
      </c>
      <c r="F2661">
        <v>0</v>
      </c>
      <c r="G2661">
        <v>0</v>
      </c>
      <c r="H2661">
        <v>0</v>
      </c>
      <c r="I2661">
        <v>0</v>
      </c>
      <c r="J2661">
        <v>0</v>
      </c>
      <c r="K2661">
        <v>0</v>
      </c>
    </row>
    <row r="2662" spans="1:11" x14ac:dyDescent="0.2">
      <c r="A2662" t="s">
        <v>4372</v>
      </c>
      <c r="B2662">
        <v>0</v>
      </c>
      <c r="C2662">
        <v>0</v>
      </c>
      <c r="D2662">
        <v>0</v>
      </c>
      <c r="E2662">
        <v>0</v>
      </c>
      <c r="F2662">
        <v>0</v>
      </c>
      <c r="G2662">
        <v>0</v>
      </c>
      <c r="H2662">
        <v>0</v>
      </c>
      <c r="I2662">
        <v>0</v>
      </c>
      <c r="J2662">
        <v>0</v>
      </c>
      <c r="K2662">
        <v>0</v>
      </c>
    </row>
    <row r="2663" spans="1:11" x14ac:dyDescent="0.2">
      <c r="A2663" t="s">
        <v>4373</v>
      </c>
      <c r="B2663">
        <v>0</v>
      </c>
      <c r="C2663">
        <v>0</v>
      </c>
      <c r="D2663">
        <v>0</v>
      </c>
      <c r="E2663">
        <v>0</v>
      </c>
      <c r="F2663">
        <v>0</v>
      </c>
      <c r="G2663">
        <v>0</v>
      </c>
      <c r="H2663">
        <v>0</v>
      </c>
      <c r="I2663">
        <v>0</v>
      </c>
      <c r="J2663">
        <v>0</v>
      </c>
      <c r="K2663">
        <v>1</v>
      </c>
    </row>
    <row r="2664" spans="1:11" x14ac:dyDescent="0.2">
      <c r="A2664" t="s">
        <v>4374</v>
      </c>
      <c r="B2664">
        <v>0</v>
      </c>
      <c r="C2664">
        <v>0</v>
      </c>
      <c r="D2664">
        <v>0</v>
      </c>
      <c r="E2664">
        <v>0</v>
      </c>
      <c r="F2664">
        <v>0</v>
      </c>
      <c r="G2664">
        <v>0</v>
      </c>
      <c r="H2664">
        <v>0</v>
      </c>
      <c r="I2664">
        <v>0</v>
      </c>
      <c r="J2664">
        <v>0</v>
      </c>
      <c r="K2664">
        <v>2</v>
      </c>
    </row>
    <row r="2665" spans="1:11" x14ac:dyDescent="0.2">
      <c r="A2665" t="s">
        <v>4375</v>
      </c>
      <c r="B2665">
        <v>0</v>
      </c>
      <c r="C2665">
        <v>0</v>
      </c>
      <c r="D2665">
        <v>0</v>
      </c>
      <c r="E2665">
        <v>0</v>
      </c>
      <c r="F2665">
        <v>0</v>
      </c>
      <c r="G2665">
        <v>0</v>
      </c>
      <c r="H2665">
        <v>0</v>
      </c>
      <c r="I2665">
        <v>0</v>
      </c>
      <c r="J2665">
        <v>0</v>
      </c>
      <c r="K2665">
        <v>0</v>
      </c>
    </row>
    <row r="2666" spans="1:11" x14ac:dyDescent="0.2">
      <c r="A2666" t="s">
        <v>4376</v>
      </c>
      <c r="B2666">
        <v>0</v>
      </c>
      <c r="C2666">
        <v>0</v>
      </c>
      <c r="D2666">
        <v>0</v>
      </c>
      <c r="E2666">
        <v>0</v>
      </c>
      <c r="F2666">
        <v>0</v>
      </c>
      <c r="G2666">
        <v>0</v>
      </c>
      <c r="H2666">
        <v>0</v>
      </c>
      <c r="I2666">
        <v>0</v>
      </c>
      <c r="J2666">
        <v>0</v>
      </c>
      <c r="K2666">
        <v>0</v>
      </c>
    </row>
    <row r="2667" spans="1:11" x14ac:dyDescent="0.2">
      <c r="A2667" t="s">
        <v>4377</v>
      </c>
      <c r="B2667">
        <v>0</v>
      </c>
      <c r="C2667">
        <v>0</v>
      </c>
      <c r="D2667">
        <v>0</v>
      </c>
      <c r="E2667">
        <v>0</v>
      </c>
      <c r="F2667">
        <v>0</v>
      </c>
      <c r="G2667">
        <v>0</v>
      </c>
      <c r="H2667">
        <v>0</v>
      </c>
      <c r="I2667">
        <v>0</v>
      </c>
      <c r="J2667">
        <v>0</v>
      </c>
      <c r="K2667">
        <v>0</v>
      </c>
    </row>
    <row r="2668" spans="1:11" x14ac:dyDescent="0.2">
      <c r="A2668" t="s">
        <v>4854</v>
      </c>
      <c r="B2668">
        <v>0</v>
      </c>
      <c r="C2668">
        <v>0</v>
      </c>
      <c r="D2668">
        <v>0</v>
      </c>
      <c r="E2668">
        <v>0</v>
      </c>
      <c r="F2668">
        <v>0</v>
      </c>
      <c r="G2668">
        <v>82</v>
      </c>
      <c r="H2668">
        <v>276</v>
      </c>
      <c r="I2668">
        <v>0</v>
      </c>
      <c r="J2668">
        <v>24</v>
      </c>
      <c r="K2668">
        <v>1373</v>
      </c>
    </row>
    <row r="2669" spans="1:11" x14ac:dyDescent="0.2">
      <c r="A2669" t="s">
        <v>2318</v>
      </c>
      <c r="B2669" t="s">
        <v>4399</v>
      </c>
      <c r="C2669" t="s">
        <v>4399</v>
      </c>
      <c r="D2669" t="s">
        <v>4399</v>
      </c>
      <c r="E2669" t="s">
        <v>4399</v>
      </c>
      <c r="F2669" t="s">
        <v>4399</v>
      </c>
      <c r="G2669" t="s">
        <v>4399</v>
      </c>
      <c r="H2669" t="s">
        <v>4399</v>
      </c>
      <c r="I2669" t="s">
        <v>4399</v>
      </c>
      <c r="J2669" t="s">
        <v>4399</v>
      </c>
      <c r="K2669" t="s">
        <v>4399</v>
      </c>
    </row>
    <row r="2670" spans="1:11" x14ac:dyDescent="0.2">
      <c r="A2670" t="s">
        <v>4248</v>
      </c>
    </row>
    <row r="2671" spans="1:11" x14ac:dyDescent="0.2">
      <c r="A2671" t="s">
        <v>4855</v>
      </c>
      <c r="B2671" t="s">
        <v>4856</v>
      </c>
      <c r="C2671" t="s">
        <v>4857</v>
      </c>
      <c r="D2671" t="s">
        <v>4858</v>
      </c>
      <c r="E2671" t="s">
        <v>4859</v>
      </c>
      <c r="F2671" t="s">
        <v>4860</v>
      </c>
      <c r="G2671" t="s">
        <v>4873</v>
      </c>
    </row>
    <row r="2672" spans="1:11" x14ac:dyDescent="0.2">
      <c r="A2672" t="s">
        <v>2318</v>
      </c>
      <c r="B2672" t="s">
        <v>4399</v>
      </c>
      <c r="C2672" t="s">
        <v>4399</v>
      </c>
      <c r="D2672" t="s">
        <v>4399</v>
      </c>
      <c r="E2672" t="s">
        <v>4399</v>
      </c>
      <c r="F2672" t="s">
        <v>4399</v>
      </c>
      <c r="G2672" t="s">
        <v>4399</v>
      </c>
      <c r="H2672" t="s">
        <v>4399</v>
      </c>
      <c r="I2672" t="s">
        <v>4399</v>
      </c>
      <c r="J2672" t="s">
        <v>4399</v>
      </c>
      <c r="K2672" t="s">
        <v>4399</v>
      </c>
    </row>
    <row r="2673" spans="1:14" x14ac:dyDescent="0.2">
      <c r="A2673" t="s">
        <v>126</v>
      </c>
      <c r="B2673" t="s">
        <v>4426</v>
      </c>
      <c r="C2673" t="s">
        <v>4430</v>
      </c>
      <c r="D2673" t="s">
        <v>4434</v>
      </c>
      <c r="E2673" t="s">
        <v>4438</v>
      </c>
      <c r="F2673" t="s">
        <v>4442</v>
      </c>
      <c r="G2673" t="s">
        <v>4446</v>
      </c>
      <c r="H2673" t="s">
        <v>4450</v>
      </c>
      <c r="I2673" t="s">
        <v>4454</v>
      </c>
      <c r="J2673" t="s">
        <v>4457</v>
      </c>
      <c r="K2673" t="s">
        <v>4460</v>
      </c>
      <c r="M2673" t="s">
        <v>4457</v>
      </c>
    </row>
    <row r="2674" spans="1:14" x14ac:dyDescent="0.2">
      <c r="A2674" t="s">
        <v>2318</v>
      </c>
      <c r="B2674" t="s">
        <v>4399</v>
      </c>
      <c r="C2674" t="s">
        <v>4399</v>
      </c>
      <c r="D2674" t="s">
        <v>4399</v>
      </c>
      <c r="E2674" t="s">
        <v>4399</v>
      </c>
      <c r="F2674" t="s">
        <v>4399</v>
      </c>
      <c r="G2674" t="s">
        <v>4399</v>
      </c>
      <c r="H2674" t="s">
        <v>4399</v>
      </c>
      <c r="I2674" t="s">
        <v>4399</v>
      </c>
      <c r="J2674" t="s">
        <v>4399</v>
      </c>
      <c r="K2674" t="s">
        <v>4399</v>
      </c>
      <c r="M2674" t="s">
        <v>4399</v>
      </c>
    </row>
    <row r="2675" spans="1:14" x14ac:dyDescent="0.2">
      <c r="A2675" t="s">
        <v>4265</v>
      </c>
      <c r="B2675">
        <v>0</v>
      </c>
      <c r="C2675">
        <v>0</v>
      </c>
      <c r="D2675">
        <v>0</v>
      </c>
      <c r="E2675">
        <v>0</v>
      </c>
      <c r="F2675">
        <v>0</v>
      </c>
      <c r="G2675">
        <v>0</v>
      </c>
      <c r="H2675">
        <v>0</v>
      </c>
      <c r="I2675">
        <v>0</v>
      </c>
      <c r="J2675">
        <v>0</v>
      </c>
      <c r="K2675">
        <v>0</v>
      </c>
      <c r="M2675">
        <v>0</v>
      </c>
      <c r="N2675">
        <f>J2675-M2675</f>
        <v>0</v>
      </c>
    </row>
    <row r="2676" spans="1:14" x14ac:dyDescent="0.2">
      <c r="A2676" t="s">
        <v>4266</v>
      </c>
      <c r="B2676">
        <v>0</v>
      </c>
      <c r="C2676">
        <v>0</v>
      </c>
      <c r="D2676">
        <v>0</v>
      </c>
      <c r="E2676">
        <v>0</v>
      </c>
      <c r="F2676">
        <v>0</v>
      </c>
      <c r="G2676">
        <v>0</v>
      </c>
      <c r="H2676">
        <v>0</v>
      </c>
      <c r="I2676">
        <v>0</v>
      </c>
      <c r="J2676">
        <v>0</v>
      </c>
      <c r="K2676">
        <v>0</v>
      </c>
      <c r="M2676">
        <v>0</v>
      </c>
      <c r="N2676">
        <f t="shared" ref="N2676:N2739" si="0">J2676-M2676</f>
        <v>0</v>
      </c>
    </row>
    <row r="2677" spans="1:14" x14ac:dyDescent="0.2">
      <c r="A2677" t="s">
        <v>4267</v>
      </c>
      <c r="B2677">
        <v>0</v>
      </c>
      <c r="C2677">
        <v>0</v>
      </c>
      <c r="D2677">
        <v>0</v>
      </c>
      <c r="E2677">
        <v>0</v>
      </c>
      <c r="F2677">
        <v>0</v>
      </c>
      <c r="G2677">
        <v>0</v>
      </c>
      <c r="H2677">
        <v>0</v>
      </c>
      <c r="I2677">
        <v>0</v>
      </c>
      <c r="J2677">
        <v>0</v>
      </c>
      <c r="K2677">
        <v>0</v>
      </c>
      <c r="M2677">
        <v>1</v>
      </c>
      <c r="N2677">
        <f t="shared" si="0"/>
        <v>-1</v>
      </c>
    </row>
    <row r="2678" spans="1:14" x14ac:dyDescent="0.2">
      <c r="A2678" t="s">
        <v>4268</v>
      </c>
      <c r="B2678">
        <v>0</v>
      </c>
      <c r="C2678">
        <v>0</v>
      </c>
      <c r="D2678">
        <v>0</v>
      </c>
      <c r="E2678">
        <v>0</v>
      </c>
      <c r="F2678">
        <v>0</v>
      </c>
      <c r="G2678">
        <v>0</v>
      </c>
      <c r="H2678">
        <v>0</v>
      </c>
      <c r="I2678">
        <v>0</v>
      </c>
      <c r="J2678">
        <v>0</v>
      </c>
      <c r="K2678">
        <v>0</v>
      </c>
      <c r="M2678">
        <v>0</v>
      </c>
      <c r="N2678">
        <f t="shared" si="0"/>
        <v>0</v>
      </c>
    </row>
    <row r="2679" spans="1:14" x14ac:dyDescent="0.2">
      <c r="A2679" t="s">
        <v>4269</v>
      </c>
      <c r="B2679">
        <v>0</v>
      </c>
      <c r="C2679">
        <v>0</v>
      </c>
      <c r="D2679">
        <v>0</v>
      </c>
      <c r="E2679">
        <v>0</v>
      </c>
      <c r="F2679">
        <v>0</v>
      </c>
      <c r="G2679">
        <v>0</v>
      </c>
      <c r="H2679">
        <v>0</v>
      </c>
      <c r="I2679">
        <v>0</v>
      </c>
      <c r="J2679">
        <v>0</v>
      </c>
      <c r="K2679">
        <v>0</v>
      </c>
      <c r="M2679">
        <v>0</v>
      </c>
      <c r="N2679">
        <f t="shared" si="0"/>
        <v>0</v>
      </c>
    </row>
    <row r="2680" spans="1:14" x14ac:dyDescent="0.2">
      <c r="A2680" t="s">
        <v>4270</v>
      </c>
      <c r="B2680">
        <v>0</v>
      </c>
      <c r="C2680">
        <v>0</v>
      </c>
      <c r="D2680">
        <v>0</v>
      </c>
      <c r="E2680">
        <v>0</v>
      </c>
      <c r="F2680">
        <v>0</v>
      </c>
      <c r="G2680">
        <v>0</v>
      </c>
      <c r="H2680">
        <v>0</v>
      </c>
      <c r="I2680">
        <v>0</v>
      </c>
      <c r="J2680">
        <v>0</v>
      </c>
      <c r="K2680">
        <v>0</v>
      </c>
      <c r="M2680">
        <v>0</v>
      </c>
      <c r="N2680">
        <f t="shared" si="0"/>
        <v>0</v>
      </c>
    </row>
    <row r="2681" spans="1:14" x14ac:dyDescent="0.2">
      <c r="A2681" t="s">
        <v>4271</v>
      </c>
      <c r="B2681">
        <v>0</v>
      </c>
      <c r="C2681">
        <v>0</v>
      </c>
      <c r="D2681">
        <v>0</v>
      </c>
      <c r="E2681">
        <v>0</v>
      </c>
      <c r="F2681">
        <v>0</v>
      </c>
      <c r="G2681">
        <v>0</v>
      </c>
      <c r="H2681">
        <v>0</v>
      </c>
      <c r="I2681">
        <v>0</v>
      </c>
      <c r="J2681">
        <v>0</v>
      </c>
      <c r="K2681">
        <v>0</v>
      </c>
      <c r="M2681">
        <v>0</v>
      </c>
      <c r="N2681">
        <f t="shared" si="0"/>
        <v>0</v>
      </c>
    </row>
    <row r="2682" spans="1:14" x14ac:dyDescent="0.2">
      <c r="A2682" t="s">
        <v>4272</v>
      </c>
      <c r="B2682">
        <v>0</v>
      </c>
      <c r="C2682">
        <v>0</v>
      </c>
      <c r="D2682">
        <v>0</v>
      </c>
      <c r="E2682">
        <v>0</v>
      </c>
      <c r="F2682">
        <v>0</v>
      </c>
      <c r="G2682">
        <v>0</v>
      </c>
      <c r="H2682">
        <v>0</v>
      </c>
      <c r="I2682">
        <v>0</v>
      </c>
      <c r="J2682">
        <v>0</v>
      </c>
      <c r="K2682">
        <v>0</v>
      </c>
      <c r="M2682">
        <v>0</v>
      </c>
      <c r="N2682">
        <f t="shared" si="0"/>
        <v>0</v>
      </c>
    </row>
    <row r="2683" spans="1:14" x14ac:dyDescent="0.2">
      <c r="A2683" t="s">
        <v>4273</v>
      </c>
      <c r="B2683">
        <v>0</v>
      </c>
      <c r="C2683">
        <v>0</v>
      </c>
      <c r="D2683">
        <v>0</v>
      </c>
      <c r="E2683">
        <v>0</v>
      </c>
      <c r="F2683">
        <v>0</v>
      </c>
      <c r="G2683">
        <v>0</v>
      </c>
      <c r="H2683">
        <v>0</v>
      </c>
      <c r="I2683">
        <v>0</v>
      </c>
      <c r="J2683">
        <v>0</v>
      </c>
      <c r="K2683">
        <v>0</v>
      </c>
      <c r="M2683">
        <v>0</v>
      </c>
      <c r="N2683">
        <f t="shared" si="0"/>
        <v>0</v>
      </c>
    </row>
    <row r="2684" spans="1:14" x14ac:dyDescent="0.2">
      <c r="A2684" t="s">
        <v>4274</v>
      </c>
      <c r="B2684">
        <v>0</v>
      </c>
      <c r="C2684">
        <v>0</v>
      </c>
      <c r="D2684">
        <v>0</v>
      </c>
      <c r="E2684">
        <v>0</v>
      </c>
      <c r="F2684">
        <v>0</v>
      </c>
      <c r="G2684">
        <v>0</v>
      </c>
      <c r="H2684">
        <v>0</v>
      </c>
      <c r="I2684">
        <v>0</v>
      </c>
      <c r="J2684">
        <v>0</v>
      </c>
      <c r="K2684">
        <v>0</v>
      </c>
      <c r="M2684">
        <v>0</v>
      </c>
      <c r="N2684">
        <f t="shared" si="0"/>
        <v>0</v>
      </c>
    </row>
    <row r="2685" spans="1:14" x14ac:dyDescent="0.2">
      <c r="A2685" t="s">
        <v>4275</v>
      </c>
      <c r="B2685">
        <v>0</v>
      </c>
      <c r="C2685">
        <v>0</v>
      </c>
      <c r="D2685">
        <v>0</v>
      </c>
      <c r="E2685">
        <v>0</v>
      </c>
      <c r="F2685">
        <v>0</v>
      </c>
      <c r="G2685">
        <v>0</v>
      </c>
      <c r="H2685">
        <v>0</v>
      </c>
      <c r="I2685">
        <v>0</v>
      </c>
      <c r="J2685">
        <v>0</v>
      </c>
      <c r="K2685">
        <v>0</v>
      </c>
      <c r="M2685">
        <v>0</v>
      </c>
      <c r="N2685">
        <f t="shared" si="0"/>
        <v>0</v>
      </c>
    </row>
    <row r="2686" spans="1:14" x14ac:dyDescent="0.2">
      <c r="A2686" t="s">
        <v>4276</v>
      </c>
      <c r="B2686">
        <v>0</v>
      </c>
      <c r="C2686">
        <v>0</v>
      </c>
      <c r="D2686">
        <v>0</v>
      </c>
      <c r="E2686">
        <v>0</v>
      </c>
      <c r="F2686">
        <v>0</v>
      </c>
      <c r="G2686">
        <v>0</v>
      </c>
      <c r="H2686">
        <v>0</v>
      </c>
      <c r="I2686">
        <v>0</v>
      </c>
      <c r="J2686">
        <v>0</v>
      </c>
      <c r="K2686">
        <v>0</v>
      </c>
      <c r="M2686">
        <v>0</v>
      </c>
      <c r="N2686">
        <f t="shared" si="0"/>
        <v>0</v>
      </c>
    </row>
    <row r="2687" spans="1:14" x14ac:dyDescent="0.2">
      <c r="A2687" t="s">
        <v>4277</v>
      </c>
      <c r="B2687">
        <v>0</v>
      </c>
      <c r="C2687">
        <v>0</v>
      </c>
      <c r="D2687">
        <v>0</v>
      </c>
      <c r="E2687">
        <v>0</v>
      </c>
      <c r="F2687">
        <v>0</v>
      </c>
      <c r="G2687">
        <v>0</v>
      </c>
      <c r="H2687">
        <v>0</v>
      </c>
      <c r="I2687">
        <v>0</v>
      </c>
      <c r="J2687">
        <v>0</v>
      </c>
      <c r="K2687">
        <v>0</v>
      </c>
      <c r="M2687">
        <v>0</v>
      </c>
      <c r="N2687">
        <f t="shared" si="0"/>
        <v>0</v>
      </c>
    </row>
    <row r="2688" spans="1:14" x14ac:dyDescent="0.2">
      <c r="A2688" t="s">
        <v>4278</v>
      </c>
      <c r="B2688">
        <v>0</v>
      </c>
      <c r="C2688">
        <v>0</v>
      </c>
      <c r="D2688">
        <v>0</v>
      </c>
      <c r="E2688">
        <v>0</v>
      </c>
      <c r="F2688">
        <v>0</v>
      </c>
      <c r="G2688">
        <v>0</v>
      </c>
      <c r="H2688">
        <v>0</v>
      </c>
      <c r="I2688">
        <v>0</v>
      </c>
      <c r="J2688">
        <v>0</v>
      </c>
      <c r="K2688">
        <v>0</v>
      </c>
      <c r="M2688">
        <v>0</v>
      </c>
      <c r="N2688">
        <f t="shared" si="0"/>
        <v>0</v>
      </c>
    </row>
    <row r="2689" spans="1:14" x14ac:dyDescent="0.2">
      <c r="A2689" t="s">
        <v>4279</v>
      </c>
      <c r="B2689">
        <v>0</v>
      </c>
      <c r="C2689">
        <v>0</v>
      </c>
      <c r="D2689">
        <v>0</v>
      </c>
      <c r="E2689">
        <v>1</v>
      </c>
      <c r="F2689">
        <v>0</v>
      </c>
      <c r="G2689">
        <v>0</v>
      </c>
      <c r="H2689">
        <v>0</v>
      </c>
      <c r="I2689">
        <v>0</v>
      </c>
      <c r="J2689">
        <v>1</v>
      </c>
      <c r="K2689">
        <v>0</v>
      </c>
      <c r="M2689">
        <v>1</v>
      </c>
      <c r="N2689">
        <f t="shared" si="0"/>
        <v>0</v>
      </c>
    </row>
    <row r="2690" spans="1:14" x14ac:dyDescent="0.2">
      <c r="A2690" t="s">
        <v>4280</v>
      </c>
      <c r="B2690">
        <v>0</v>
      </c>
      <c r="C2690">
        <v>0</v>
      </c>
      <c r="D2690">
        <v>0</v>
      </c>
      <c r="E2690">
        <v>0</v>
      </c>
      <c r="F2690">
        <v>0</v>
      </c>
      <c r="G2690">
        <v>0</v>
      </c>
      <c r="H2690">
        <v>0</v>
      </c>
      <c r="I2690">
        <v>0</v>
      </c>
      <c r="J2690">
        <v>0</v>
      </c>
      <c r="K2690">
        <v>0</v>
      </c>
      <c r="M2690">
        <v>0</v>
      </c>
      <c r="N2690">
        <f t="shared" si="0"/>
        <v>0</v>
      </c>
    </row>
    <row r="2691" spans="1:14" x14ac:dyDescent="0.2">
      <c r="A2691" t="s">
        <v>4281</v>
      </c>
      <c r="B2691">
        <v>20</v>
      </c>
      <c r="C2691">
        <v>0</v>
      </c>
      <c r="D2691">
        <v>4</v>
      </c>
      <c r="E2691">
        <v>131</v>
      </c>
      <c r="F2691">
        <v>20</v>
      </c>
      <c r="G2691">
        <v>0</v>
      </c>
      <c r="H2691">
        <v>0</v>
      </c>
      <c r="I2691">
        <v>0</v>
      </c>
      <c r="J2691">
        <v>111</v>
      </c>
      <c r="K2691">
        <v>0</v>
      </c>
      <c r="M2691">
        <v>116</v>
      </c>
      <c r="N2691">
        <f t="shared" si="0"/>
        <v>-5</v>
      </c>
    </row>
    <row r="2692" spans="1:14" x14ac:dyDescent="0.2">
      <c r="A2692" t="s">
        <v>4282</v>
      </c>
      <c r="B2692">
        <v>24</v>
      </c>
      <c r="C2692">
        <v>0</v>
      </c>
      <c r="D2692">
        <v>5</v>
      </c>
      <c r="E2692">
        <v>60</v>
      </c>
      <c r="F2692">
        <v>13</v>
      </c>
      <c r="G2692">
        <v>0</v>
      </c>
      <c r="H2692">
        <v>0</v>
      </c>
      <c r="I2692">
        <v>0</v>
      </c>
      <c r="J2692">
        <v>66</v>
      </c>
      <c r="K2692">
        <v>0</v>
      </c>
      <c r="M2692">
        <v>51</v>
      </c>
      <c r="N2692">
        <f t="shared" si="0"/>
        <v>15</v>
      </c>
    </row>
    <row r="2693" spans="1:14" x14ac:dyDescent="0.2">
      <c r="A2693" t="s">
        <v>4283</v>
      </c>
      <c r="B2693">
        <v>3</v>
      </c>
      <c r="C2693">
        <v>0</v>
      </c>
      <c r="D2693">
        <v>1</v>
      </c>
      <c r="E2693">
        <v>18</v>
      </c>
      <c r="F2693">
        <v>5</v>
      </c>
      <c r="G2693">
        <v>0</v>
      </c>
      <c r="H2693">
        <v>0</v>
      </c>
      <c r="I2693">
        <v>0</v>
      </c>
      <c r="J2693">
        <v>22</v>
      </c>
      <c r="K2693">
        <v>0</v>
      </c>
      <c r="M2693">
        <v>31</v>
      </c>
      <c r="N2693">
        <f t="shared" si="0"/>
        <v>-9</v>
      </c>
    </row>
    <row r="2694" spans="1:14" x14ac:dyDescent="0.2">
      <c r="A2694" t="s">
        <v>4284</v>
      </c>
      <c r="B2694">
        <v>1</v>
      </c>
      <c r="C2694">
        <v>0</v>
      </c>
      <c r="D2694">
        <v>0</v>
      </c>
      <c r="E2694">
        <v>2</v>
      </c>
      <c r="F2694">
        <v>0</v>
      </c>
      <c r="G2694">
        <v>0</v>
      </c>
      <c r="H2694">
        <v>0</v>
      </c>
      <c r="I2694">
        <v>0</v>
      </c>
      <c r="J2694">
        <v>2</v>
      </c>
      <c r="K2694">
        <v>0</v>
      </c>
      <c r="M2694">
        <v>4</v>
      </c>
      <c r="N2694">
        <f t="shared" si="0"/>
        <v>-2</v>
      </c>
    </row>
    <row r="2695" spans="1:14" x14ac:dyDescent="0.2">
      <c r="A2695" t="s">
        <v>4285</v>
      </c>
      <c r="B2695">
        <v>16</v>
      </c>
      <c r="C2695">
        <v>0</v>
      </c>
      <c r="D2695">
        <v>4</v>
      </c>
      <c r="E2695">
        <v>110</v>
      </c>
      <c r="F2695">
        <v>8</v>
      </c>
      <c r="G2695">
        <v>0</v>
      </c>
      <c r="H2695">
        <v>0</v>
      </c>
      <c r="I2695">
        <v>0</v>
      </c>
      <c r="J2695">
        <v>100</v>
      </c>
      <c r="K2695">
        <v>0</v>
      </c>
      <c r="M2695">
        <v>119</v>
      </c>
      <c r="N2695">
        <f t="shared" si="0"/>
        <v>-19</v>
      </c>
    </row>
    <row r="2696" spans="1:14" x14ac:dyDescent="0.2">
      <c r="A2696" t="s">
        <v>4286</v>
      </c>
      <c r="B2696">
        <v>4</v>
      </c>
      <c r="C2696">
        <v>0</v>
      </c>
      <c r="D2696">
        <v>1</v>
      </c>
      <c r="E2696">
        <v>8</v>
      </c>
      <c r="F2696">
        <v>3</v>
      </c>
      <c r="G2696">
        <v>0</v>
      </c>
      <c r="H2696">
        <v>0</v>
      </c>
      <c r="I2696">
        <v>0</v>
      </c>
      <c r="J2696">
        <v>16</v>
      </c>
      <c r="K2696">
        <v>0</v>
      </c>
      <c r="M2696">
        <v>9</v>
      </c>
      <c r="N2696">
        <f t="shared" si="0"/>
        <v>7</v>
      </c>
    </row>
    <row r="2697" spans="1:14" x14ac:dyDescent="0.2">
      <c r="A2697" t="s">
        <v>4287</v>
      </c>
      <c r="B2697">
        <v>3</v>
      </c>
      <c r="C2697">
        <v>0</v>
      </c>
      <c r="D2697">
        <v>1</v>
      </c>
      <c r="E2697">
        <v>18</v>
      </c>
      <c r="F2697">
        <v>1</v>
      </c>
      <c r="G2697">
        <v>0</v>
      </c>
      <c r="H2697">
        <v>0</v>
      </c>
      <c r="I2697">
        <v>0</v>
      </c>
      <c r="J2697">
        <v>7</v>
      </c>
      <c r="K2697">
        <v>0</v>
      </c>
      <c r="M2697">
        <v>10</v>
      </c>
      <c r="N2697">
        <f t="shared" si="0"/>
        <v>-3</v>
      </c>
    </row>
    <row r="2698" spans="1:14" x14ac:dyDescent="0.2">
      <c r="A2698" t="s">
        <v>4288</v>
      </c>
      <c r="B2698">
        <v>0</v>
      </c>
      <c r="C2698">
        <v>0</v>
      </c>
      <c r="D2698">
        <v>0</v>
      </c>
      <c r="E2698">
        <v>0</v>
      </c>
      <c r="F2698">
        <v>0</v>
      </c>
      <c r="G2698">
        <v>0</v>
      </c>
      <c r="H2698">
        <v>0</v>
      </c>
      <c r="I2698">
        <v>0</v>
      </c>
      <c r="J2698">
        <v>0</v>
      </c>
      <c r="K2698">
        <v>0</v>
      </c>
      <c r="M2698">
        <v>0</v>
      </c>
      <c r="N2698">
        <f t="shared" si="0"/>
        <v>0</v>
      </c>
    </row>
    <row r="2699" spans="1:14" x14ac:dyDescent="0.2">
      <c r="A2699" t="s">
        <v>4289</v>
      </c>
      <c r="B2699">
        <v>0</v>
      </c>
      <c r="C2699">
        <v>0</v>
      </c>
      <c r="D2699">
        <v>0</v>
      </c>
      <c r="E2699">
        <v>0</v>
      </c>
      <c r="F2699">
        <v>0</v>
      </c>
      <c r="G2699">
        <v>0</v>
      </c>
      <c r="H2699">
        <v>0</v>
      </c>
      <c r="I2699">
        <v>0</v>
      </c>
      <c r="J2699">
        <v>0</v>
      </c>
      <c r="K2699">
        <v>0</v>
      </c>
      <c r="M2699">
        <v>0</v>
      </c>
      <c r="N2699">
        <f t="shared" si="0"/>
        <v>0</v>
      </c>
    </row>
    <row r="2700" spans="1:14" x14ac:dyDescent="0.2">
      <c r="A2700" t="s">
        <v>4290</v>
      </c>
      <c r="B2700">
        <v>0</v>
      </c>
      <c r="C2700">
        <v>0</v>
      </c>
      <c r="D2700">
        <v>0</v>
      </c>
      <c r="E2700">
        <v>0</v>
      </c>
      <c r="F2700">
        <v>0</v>
      </c>
      <c r="G2700">
        <v>0</v>
      </c>
      <c r="H2700">
        <v>0</v>
      </c>
      <c r="I2700">
        <v>0</v>
      </c>
      <c r="J2700">
        <v>0</v>
      </c>
      <c r="K2700">
        <v>0</v>
      </c>
      <c r="M2700">
        <v>0</v>
      </c>
      <c r="N2700">
        <f t="shared" si="0"/>
        <v>0</v>
      </c>
    </row>
    <row r="2701" spans="1:14" x14ac:dyDescent="0.2">
      <c r="A2701" t="s">
        <v>4291</v>
      </c>
      <c r="B2701">
        <v>0</v>
      </c>
      <c r="C2701">
        <v>0</v>
      </c>
      <c r="D2701">
        <v>0</v>
      </c>
      <c r="E2701">
        <v>0</v>
      </c>
      <c r="F2701">
        <v>0</v>
      </c>
      <c r="G2701">
        <v>0</v>
      </c>
      <c r="H2701">
        <v>0</v>
      </c>
      <c r="I2701">
        <v>0</v>
      </c>
      <c r="J2701">
        <v>0</v>
      </c>
      <c r="K2701">
        <v>0</v>
      </c>
      <c r="M2701">
        <v>0</v>
      </c>
      <c r="N2701">
        <f t="shared" si="0"/>
        <v>0</v>
      </c>
    </row>
    <row r="2702" spans="1:14" x14ac:dyDescent="0.2">
      <c r="A2702" t="s">
        <v>4292</v>
      </c>
      <c r="B2702">
        <v>0</v>
      </c>
      <c r="C2702">
        <v>0</v>
      </c>
      <c r="D2702">
        <v>0</v>
      </c>
      <c r="E2702">
        <v>0</v>
      </c>
      <c r="F2702">
        <v>0</v>
      </c>
      <c r="G2702">
        <v>0</v>
      </c>
      <c r="H2702">
        <v>0</v>
      </c>
      <c r="I2702">
        <v>0</v>
      </c>
      <c r="J2702">
        <v>0</v>
      </c>
      <c r="K2702">
        <v>0</v>
      </c>
      <c r="M2702">
        <v>0</v>
      </c>
      <c r="N2702">
        <f t="shared" si="0"/>
        <v>0</v>
      </c>
    </row>
    <row r="2703" spans="1:14" x14ac:dyDescent="0.2">
      <c r="A2703" t="s">
        <v>4293</v>
      </c>
      <c r="B2703">
        <v>0</v>
      </c>
      <c r="C2703">
        <v>0</v>
      </c>
      <c r="D2703">
        <v>0</v>
      </c>
      <c r="E2703">
        <v>0</v>
      </c>
      <c r="F2703">
        <v>0</v>
      </c>
      <c r="G2703">
        <v>0</v>
      </c>
      <c r="H2703">
        <v>0</v>
      </c>
      <c r="I2703">
        <v>0</v>
      </c>
      <c r="J2703">
        <v>0</v>
      </c>
      <c r="K2703">
        <v>0</v>
      </c>
      <c r="M2703">
        <v>0</v>
      </c>
      <c r="N2703">
        <f t="shared" si="0"/>
        <v>0</v>
      </c>
    </row>
    <row r="2704" spans="1:14" x14ac:dyDescent="0.2">
      <c r="A2704" t="s">
        <v>4294</v>
      </c>
      <c r="B2704">
        <v>0</v>
      </c>
      <c r="C2704">
        <v>0</v>
      </c>
      <c r="D2704">
        <v>0</v>
      </c>
      <c r="E2704">
        <v>0</v>
      </c>
      <c r="F2704">
        <v>0</v>
      </c>
      <c r="G2704">
        <v>0</v>
      </c>
      <c r="H2704">
        <v>0</v>
      </c>
      <c r="I2704">
        <v>0</v>
      </c>
      <c r="J2704">
        <v>0</v>
      </c>
      <c r="K2704">
        <v>0</v>
      </c>
      <c r="M2704">
        <v>0</v>
      </c>
      <c r="N2704">
        <f t="shared" si="0"/>
        <v>0</v>
      </c>
    </row>
    <row r="2705" spans="1:14" x14ac:dyDescent="0.2">
      <c r="A2705" t="s">
        <v>4295</v>
      </c>
      <c r="B2705">
        <v>0</v>
      </c>
      <c r="C2705">
        <v>0</v>
      </c>
      <c r="D2705">
        <v>0</v>
      </c>
      <c r="E2705">
        <v>0</v>
      </c>
      <c r="F2705">
        <v>0</v>
      </c>
      <c r="G2705">
        <v>0</v>
      </c>
      <c r="H2705">
        <v>0</v>
      </c>
      <c r="I2705">
        <v>0</v>
      </c>
      <c r="J2705">
        <v>0</v>
      </c>
      <c r="K2705">
        <v>0</v>
      </c>
      <c r="M2705">
        <v>0</v>
      </c>
      <c r="N2705">
        <f t="shared" si="0"/>
        <v>0</v>
      </c>
    </row>
    <row r="2706" spans="1:14" x14ac:dyDescent="0.2">
      <c r="A2706" t="s">
        <v>4296</v>
      </c>
      <c r="B2706">
        <v>0</v>
      </c>
      <c r="C2706">
        <v>0</v>
      </c>
      <c r="D2706">
        <v>0</v>
      </c>
      <c r="E2706">
        <v>0</v>
      </c>
      <c r="F2706">
        <v>0</v>
      </c>
      <c r="G2706">
        <v>0</v>
      </c>
      <c r="H2706">
        <v>0</v>
      </c>
      <c r="I2706">
        <v>0</v>
      </c>
      <c r="J2706">
        <v>0</v>
      </c>
      <c r="K2706">
        <v>0</v>
      </c>
      <c r="M2706">
        <v>0</v>
      </c>
      <c r="N2706">
        <f t="shared" si="0"/>
        <v>0</v>
      </c>
    </row>
    <row r="2707" spans="1:14" x14ac:dyDescent="0.2">
      <c r="A2707" t="s">
        <v>4297</v>
      </c>
      <c r="B2707">
        <v>22</v>
      </c>
      <c r="C2707">
        <v>0</v>
      </c>
      <c r="D2707">
        <v>5</v>
      </c>
      <c r="E2707">
        <v>142</v>
      </c>
      <c r="F2707">
        <v>12</v>
      </c>
      <c r="G2707">
        <v>0</v>
      </c>
      <c r="H2707">
        <v>0</v>
      </c>
      <c r="I2707">
        <v>0</v>
      </c>
      <c r="J2707">
        <v>115</v>
      </c>
      <c r="K2707">
        <v>0</v>
      </c>
      <c r="M2707">
        <v>57</v>
      </c>
      <c r="N2707">
        <f t="shared" si="0"/>
        <v>58</v>
      </c>
    </row>
    <row r="2708" spans="1:14" x14ac:dyDescent="0.2">
      <c r="A2708" t="s">
        <v>4298</v>
      </c>
      <c r="B2708">
        <v>13</v>
      </c>
      <c r="C2708">
        <v>0</v>
      </c>
      <c r="D2708">
        <v>3</v>
      </c>
      <c r="E2708">
        <v>48</v>
      </c>
      <c r="F2708">
        <v>11</v>
      </c>
      <c r="G2708">
        <v>0</v>
      </c>
      <c r="H2708">
        <v>0</v>
      </c>
      <c r="I2708">
        <v>0</v>
      </c>
      <c r="J2708">
        <v>65</v>
      </c>
      <c r="K2708">
        <v>0</v>
      </c>
      <c r="M2708">
        <v>19</v>
      </c>
      <c r="N2708">
        <f t="shared" si="0"/>
        <v>46</v>
      </c>
    </row>
    <row r="2709" spans="1:14" x14ac:dyDescent="0.2">
      <c r="A2709" t="s">
        <v>4299</v>
      </c>
      <c r="B2709">
        <v>52</v>
      </c>
      <c r="C2709">
        <v>0</v>
      </c>
      <c r="D2709">
        <v>11</v>
      </c>
      <c r="E2709">
        <v>205</v>
      </c>
      <c r="F2709">
        <v>43</v>
      </c>
      <c r="G2709">
        <v>0</v>
      </c>
      <c r="H2709">
        <v>0</v>
      </c>
      <c r="I2709">
        <v>0</v>
      </c>
      <c r="J2709">
        <v>192</v>
      </c>
      <c r="K2709">
        <v>0</v>
      </c>
      <c r="M2709">
        <v>53</v>
      </c>
      <c r="N2709">
        <f t="shared" si="0"/>
        <v>139</v>
      </c>
    </row>
    <row r="2710" spans="1:14" x14ac:dyDescent="0.2">
      <c r="A2710" t="s">
        <v>4300</v>
      </c>
      <c r="B2710">
        <v>3</v>
      </c>
      <c r="C2710">
        <v>0</v>
      </c>
      <c r="D2710">
        <v>1</v>
      </c>
      <c r="E2710">
        <v>4</v>
      </c>
      <c r="F2710">
        <v>3</v>
      </c>
      <c r="G2710">
        <v>0</v>
      </c>
      <c r="H2710">
        <v>0</v>
      </c>
      <c r="I2710">
        <v>0</v>
      </c>
      <c r="J2710">
        <v>11</v>
      </c>
      <c r="K2710">
        <v>0</v>
      </c>
      <c r="M2710">
        <v>8</v>
      </c>
      <c r="N2710">
        <f t="shared" si="0"/>
        <v>3</v>
      </c>
    </row>
    <row r="2711" spans="1:14" x14ac:dyDescent="0.2">
      <c r="A2711" t="s">
        <v>4301</v>
      </c>
      <c r="B2711">
        <v>47</v>
      </c>
      <c r="C2711">
        <v>0</v>
      </c>
      <c r="D2711">
        <v>10</v>
      </c>
      <c r="E2711">
        <v>311</v>
      </c>
      <c r="F2711">
        <v>60</v>
      </c>
      <c r="G2711">
        <v>0</v>
      </c>
      <c r="H2711">
        <v>0</v>
      </c>
      <c r="I2711">
        <v>0</v>
      </c>
      <c r="J2711">
        <v>341</v>
      </c>
      <c r="K2711">
        <v>0</v>
      </c>
      <c r="M2711">
        <v>106</v>
      </c>
      <c r="N2711">
        <f t="shared" si="0"/>
        <v>235</v>
      </c>
    </row>
    <row r="2712" spans="1:14" x14ac:dyDescent="0.2">
      <c r="A2712" t="s">
        <v>4302</v>
      </c>
      <c r="B2712">
        <v>53</v>
      </c>
      <c r="C2712">
        <v>0</v>
      </c>
      <c r="D2712">
        <v>11</v>
      </c>
      <c r="E2712">
        <v>209</v>
      </c>
      <c r="F2712">
        <v>39</v>
      </c>
      <c r="G2712">
        <v>0</v>
      </c>
      <c r="H2712">
        <v>0</v>
      </c>
      <c r="I2712">
        <v>0</v>
      </c>
      <c r="J2712">
        <v>95</v>
      </c>
      <c r="K2712">
        <v>0</v>
      </c>
      <c r="M2712">
        <v>21</v>
      </c>
      <c r="N2712">
        <f t="shared" si="0"/>
        <v>74</v>
      </c>
    </row>
    <row r="2713" spans="1:14" x14ac:dyDescent="0.2">
      <c r="A2713" t="s">
        <v>4303</v>
      </c>
      <c r="B2713">
        <v>172</v>
      </c>
      <c r="C2713">
        <v>0</v>
      </c>
      <c r="D2713">
        <v>37</v>
      </c>
      <c r="E2713">
        <v>234</v>
      </c>
      <c r="F2713">
        <v>135</v>
      </c>
      <c r="G2713">
        <v>0</v>
      </c>
      <c r="H2713">
        <v>0</v>
      </c>
      <c r="I2713">
        <v>0</v>
      </c>
      <c r="J2713">
        <v>336</v>
      </c>
      <c r="K2713">
        <v>0</v>
      </c>
      <c r="M2713">
        <v>6</v>
      </c>
      <c r="N2713">
        <f t="shared" si="0"/>
        <v>330</v>
      </c>
    </row>
    <row r="2714" spans="1:14" x14ac:dyDescent="0.2">
      <c r="A2714" t="s">
        <v>4304</v>
      </c>
      <c r="B2714">
        <v>6</v>
      </c>
      <c r="C2714">
        <v>0</v>
      </c>
      <c r="D2714">
        <v>1</v>
      </c>
      <c r="E2714">
        <v>39</v>
      </c>
      <c r="F2714">
        <v>14</v>
      </c>
      <c r="G2714">
        <v>0</v>
      </c>
      <c r="H2714">
        <v>0</v>
      </c>
      <c r="I2714">
        <v>0</v>
      </c>
      <c r="J2714">
        <v>58</v>
      </c>
      <c r="K2714">
        <v>0</v>
      </c>
      <c r="M2714">
        <v>14</v>
      </c>
      <c r="N2714">
        <f t="shared" si="0"/>
        <v>44</v>
      </c>
    </row>
    <row r="2715" spans="1:14" x14ac:dyDescent="0.2">
      <c r="A2715" t="s">
        <v>4305</v>
      </c>
      <c r="B2715">
        <v>22</v>
      </c>
      <c r="C2715">
        <v>0</v>
      </c>
      <c r="D2715">
        <v>5</v>
      </c>
      <c r="E2715">
        <v>147</v>
      </c>
      <c r="F2715">
        <v>21</v>
      </c>
      <c r="G2715">
        <v>0</v>
      </c>
      <c r="H2715">
        <v>0</v>
      </c>
      <c r="I2715">
        <v>0</v>
      </c>
      <c r="J2715">
        <v>79</v>
      </c>
      <c r="K2715">
        <v>0</v>
      </c>
      <c r="M2715">
        <v>28</v>
      </c>
      <c r="N2715">
        <f t="shared" si="0"/>
        <v>51</v>
      </c>
    </row>
    <row r="2716" spans="1:14" x14ac:dyDescent="0.2">
      <c r="A2716" t="s">
        <v>4306</v>
      </c>
      <c r="B2716">
        <v>7</v>
      </c>
      <c r="C2716">
        <v>0</v>
      </c>
      <c r="D2716">
        <v>2</v>
      </c>
      <c r="E2716">
        <v>29</v>
      </c>
      <c r="F2716">
        <v>7</v>
      </c>
      <c r="G2716">
        <v>0</v>
      </c>
      <c r="H2716">
        <v>0</v>
      </c>
      <c r="I2716">
        <v>0</v>
      </c>
      <c r="J2716">
        <v>18</v>
      </c>
      <c r="K2716">
        <v>0</v>
      </c>
      <c r="M2716">
        <v>5</v>
      </c>
      <c r="N2716">
        <f t="shared" si="0"/>
        <v>13</v>
      </c>
    </row>
    <row r="2717" spans="1:14" x14ac:dyDescent="0.2">
      <c r="A2717" t="s">
        <v>4307</v>
      </c>
      <c r="B2717">
        <v>215</v>
      </c>
      <c r="C2717">
        <v>0</v>
      </c>
      <c r="D2717">
        <v>46</v>
      </c>
      <c r="E2717">
        <v>292</v>
      </c>
      <c r="F2717">
        <v>206</v>
      </c>
      <c r="G2717">
        <v>0</v>
      </c>
      <c r="H2717">
        <v>0</v>
      </c>
      <c r="I2717">
        <v>0</v>
      </c>
      <c r="J2717">
        <v>556</v>
      </c>
      <c r="K2717">
        <v>0</v>
      </c>
      <c r="M2717">
        <v>394</v>
      </c>
      <c r="N2717">
        <f t="shared" si="0"/>
        <v>162</v>
      </c>
    </row>
    <row r="2718" spans="1:14" x14ac:dyDescent="0.2">
      <c r="A2718" t="s">
        <v>4308</v>
      </c>
      <c r="B2718">
        <v>0</v>
      </c>
      <c r="C2718">
        <v>0</v>
      </c>
      <c r="D2718">
        <v>0</v>
      </c>
      <c r="E2718">
        <v>0</v>
      </c>
      <c r="F2718">
        <v>0</v>
      </c>
      <c r="G2718">
        <v>0</v>
      </c>
      <c r="H2718">
        <v>0</v>
      </c>
      <c r="I2718">
        <v>0</v>
      </c>
      <c r="J2718">
        <v>0</v>
      </c>
      <c r="K2718">
        <v>0</v>
      </c>
      <c r="M2718">
        <v>0</v>
      </c>
      <c r="N2718">
        <f t="shared" si="0"/>
        <v>0</v>
      </c>
    </row>
    <row r="2719" spans="1:14" x14ac:dyDescent="0.2">
      <c r="A2719" t="s">
        <v>4309</v>
      </c>
      <c r="B2719">
        <v>0</v>
      </c>
      <c r="C2719">
        <v>0</v>
      </c>
      <c r="D2719">
        <v>0</v>
      </c>
      <c r="E2719">
        <v>0</v>
      </c>
      <c r="F2719">
        <v>0</v>
      </c>
      <c r="G2719">
        <v>0</v>
      </c>
      <c r="H2719">
        <v>0</v>
      </c>
      <c r="I2719">
        <v>0</v>
      </c>
      <c r="J2719">
        <v>0</v>
      </c>
      <c r="K2719">
        <v>0</v>
      </c>
      <c r="M2719">
        <v>0</v>
      </c>
      <c r="N2719">
        <f t="shared" si="0"/>
        <v>0</v>
      </c>
    </row>
    <row r="2720" spans="1:14" x14ac:dyDescent="0.2">
      <c r="A2720" t="s">
        <v>4310</v>
      </c>
      <c r="B2720">
        <v>0</v>
      </c>
      <c r="C2720">
        <v>0</v>
      </c>
      <c r="D2720">
        <v>0</v>
      </c>
      <c r="E2720">
        <v>0</v>
      </c>
      <c r="F2720">
        <v>0</v>
      </c>
      <c r="G2720">
        <v>0</v>
      </c>
      <c r="H2720">
        <v>0</v>
      </c>
      <c r="I2720">
        <v>0</v>
      </c>
      <c r="J2720">
        <v>0</v>
      </c>
      <c r="K2720">
        <v>0</v>
      </c>
      <c r="M2720">
        <v>0</v>
      </c>
      <c r="N2720">
        <f t="shared" si="0"/>
        <v>0</v>
      </c>
    </row>
    <row r="2721" spans="1:14" x14ac:dyDescent="0.2">
      <c r="A2721" t="s">
        <v>4311</v>
      </c>
      <c r="B2721">
        <v>0</v>
      </c>
      <c r="C2721">
        <v>0</v>
      </c>
      <c r="D2721">
        <v>0</v>
      </c>
      <c r="E2721">
        <v>0</v>
      </c>
      <c r="F2721">
        <v>0</v>
      </c>
      <c r="G2721">
        <v>0</v>
      </c>
      <c r="H2721">
        <v>0</v>
      </c>
      <c r="I2721">
        <v>0</v>
      </c>
      <c r="J2721">
        <v>3</v>
      </c>
      <c r="K2721">
        <v>0</v>
      </c>
      <c r="M2721">
        <v>2</v>
      </c>
      <c r="N2721">
        <f t="shared" si="0"/>
        <v>1</v>
      </c>
    </row>
    <row r="2722" spans="1:14" x14ac:dyDescent="0.2">
      <c r="A2722" t="s">
        <v>4312</v>
      </c>
      <c r="B2722">
        <v>0</v>
      </c>
      <c r="C2722">
        <v>0</v>
      </c>
      <c r="D2722">
        <v>0</v>
      </c>
      <c r="E2722">
        <v>0</v>
      </c>
      <c r="F2722">
        <v>0</v>
      </c>
      <c r="G2722">
        <v>0</v>
      </c>
      <c r="H2722">
        <v>0</v>
      </c>
      <c r="I2722">
        <v>0</v>
      </c>
      <c r="J2722">
        <v>20</v>
      </c>
      <c r="K2722">
        <v>0</v>
      </c>
      <c r="M2722">
        <v>2</v>
      </c>
      <c r="N2722">
        <f t="shared" si="0"/>
        <v>18</v>
      </c>
    </row>
    <row r="2723" spans="1:14" x14ac:dyDescent="0.2">
      <c r="A2723" t="s">
        <v>4313</v>
      </c>
      <c r="B2723">
        <v>0</v>
      </c>
      <c r="C2723">
        <v>0</v>
      </c>
      <c r="D2723">
        <v>0</v>
      </c>
      <c r="E2723">
        <v>0</v>
      </c>
      <c r="F2723">
        <v>0</v>
      </c>
      <c r="G2723">
        <v>0</v>
      </c>
      <c r="H2723">
        <v>0</v>
      </c>
      <c r="I2723">
        <v>0</v>
      </c>
      <c r="J2723">
        <v>0</v>
      </c>
      <c r="K2723">
        <v>0</v>
      </c>
      <c r="M2723">
        <v>0</v>
      </c>
      <c r="N2723">
        <f t="shared" si="0"/>
        <v>0</v>
      </c>
    </row>
    <row r="2724" spans="1:14" x14ac:dyDescent="0.2">
      <c r="A2724" t="s">
        <v>4314</v>
      </c>
      <c r="B2724">
        <v>0</v>
      </c>
      <c r="C2724">
        <v>0</v>
      </c>
      <c r="D2724">
        <v>0</v>
      </c>
      <c r="E2724">
        <v>0</v>
      </c>
      <c r="F2724">
        <v>1</v>
      </c>
      <c r="G2724">
        <v>0</v>
      </c>
      <c r="H2724">
        <v>0</v>
      </c>
      <c r="I2724">
        <v>0</v>
      </c>
      <c r="J2724">
        <v>28</v>
      </c>
      <c r="K2724">
        <v>0</v>
      </c>
      <c r="M2724">
        <v>9</v>
      </c>
      <c r="N2724">
        <f t="shared" si="0"/>
        <v>19</v>
      </c>
    </row>
    <row r="2725" spans="1:14" x14ac:dyDescent="0.2">
      <c r="A2725" t="s">
        <v>4315</v>
      </c>
      <c r="B2725">
        <v>0</v>
      </c>
      <c r="C2725">
        <v>0</v>
      </c>
      <c r="D2725">
        <v>0</v>
      </c>
      <c r="E2725">
        <v>0</v>
      </c>
      <c r="F2725">
        <v>0</v>
      </c>
      <c r="G2725">
        <v>0</v>
      </c>
      <c r="H2725">
        <v>0</v>
      </c>
      <c r="I2725">
        <v>0</v>
      </c>
      <c r="J2725">
        <v>0</v>
      </c>
      <c r="K2725">
        <v>0</v>
      </c>
      <c r="M2725">
        <v>0</v>
      </c>
      <c r="N2725">
        <f t="shared" si="0"/>
        <v>0</v>
      </c>
    </row>
    <row r="2726" spans="1:14" x14ac:dyDescent="0.2">
      <c r="A2726" t="s">
        <v>4316</v>
      </c>
      <c r="B2726">
        <v>0</v>
      </c>
      <c r="C2726">
        <v>0</v>
      </c>
      <c r="D2726">
        <v>0</v>
      </c>
      <c r="E2726">
        <v>0</v>
      </c>
      <c r="F2726">
        <v>0</v>
      </c>
      <c r="G2726">
        <v>0</v>
      </c>
      <c r="H2726">
        <v>0</v>
      </c>
      <c r="I2726">
        <v>0</v>
      </c>
      <c r="J2726">
        <v>0</v>
      </c>
      <c r="K2726">
        <v>0</v>
      </c>
      <c r="M2726">
        <v>0</v>
      </c>
      <c r="N2726">
        <f t="shared" si="0"/>
        <v>0</v>
      </c>
    </row>
    <row r="2727" spans="1:14" x14ac:dyDescent="0.2">
      <c r="A2727" t="s">
        <v>4317</v>
      </c>
      <c r="B2727">
        <v>0</v>
      </c>
      <c r="C2727">
        <v>0</v>
      </c>
      <c r="D2727">
        <v>0</v>
      </c>
      <c r="E2727">
        <v>0</v>
      </c>
      <c r="F2727">
        <v>0</v>
      </c>
      <c r="G2727">
        <v>0</v>
      </c>
      <c r="H2727">
        <v>0</v>
      </c>
      <c r="I2727">
        <v>0</v>
      </c>
      <c r="J2727">
        <v>0</v>
      </c>
      <c r="K2727">
        <v>0</v>
      </c>
      <c r="M2727">
        <v>0</v>
      </c>
      <c r="N2727">
        <f t="shared" si="0"/>
        <v>0</v>
      </c>
    </row>
    <row r="2728" spans="1:14" x14ac:dyDescent="0.2">
      <c r="A2728" t="s">
        <v>4318</v>
      </c>
      <c r="B2728">
        <v>0</v>
      </c>
      <c r="C2728">
        <v>0</v>
      </c>
      <c r="D2728">
        <v>0</v>
      </c>
      <c r="E2728">
        <v>0</v>
      </c>
      <c r="F2728">
        <v>0</v>
      </c>
      <c r="G2728">
        <v>0</v>
      </c>
      <c r="H2728">
        <v>0</v>
      </c>
      <c r="I2728">
        <v>0</v>
      </c>
      <c r="J2728">
        <v>0</v>
      </c>
      <c r="K2728">
        <v>0</v>
      </c>
      <c r="M2728">
        <v>0</v>
      </c>
      <c r="N2728">
        <f t="shared" si="0"/>
        <v>0</v>
      </c>
    </row>
    <row r="2729" spans="1:14" x14ac:dyDescent="0.2">
      <c r="A2729" t="s">
        <v>4319</v>
      </c>
      <c r="B2729">
        <v>0</v>
      </c>
      <c r="C2729">
        <v>0</v>
      </c>
      <c r="D2729">
        <v>0</v>
      </c>
      <c r="E2729">
        <v>0</v>
      </c>
      <c r="F2729">
        <v>0</v>
      </c>
      <c r="G2729">
        <v>0</v>
      </c>
      <c r="H2729">
        <v>0</v>
      </c>
      <c r="I2729">
        <v>0</v>
      </c>
      <c r="J2729">
        <v>0</v>
      </c>
      <c r="K2729">
        <v>0</v>
      </c>
      <c r="M2729">
        <v>0</v>
      </c>
      <c r="N2729">
        <f t="shared" si="0"/>
        <v>0</v>
      </c>
    </row>
    <row r="2730" spans="1:14" x14ac:dyDescent="0.2">
      <c r="A2730" t="s">
        <v>4320</v>
      </c>
      <c r="B2730">
        <v>0</v>
      </c>
      <c r="C2730">
        <v>0</v>
      </c>
      <c r="D2730">
        <v>0</v>
      </c>
      <c r="E2730">
        <v>0</v>
      </c>
      <c r="F2730">
        <v>0</v>
      </c>
      <c r="G2730">
        <v>0</v>
      </c>
      <c r="H2730">
        <v>0</v>
      </c>
      <c r="I2730">
        <v>0</v>
      </c>
      <c r="J2730">
        <v>0</v>
      </c>
      <c r="K2730">
        <v>0</v>
      </c>
      <c r="M2730">
        <v>0</v>
      </c>
      <c r="N2730">
        <f t="shared" si="0"/>
        <v>0</v>
      </c>
    </row>
    <row r="2731" spans="1:14" x14ac:dyDescent="0.2">
      <c r="A2731" t="s">
        <v>4321</v>
      </c>
      <c r="B2731">
        <v>0</v>
      </c>
      <c r="C2731">
        <v>0</v>
      </c>
      <c r="D2731">
        <v>0</v>
      </c>
      <c r="E2731">
        <v>0</v>
      </c>
      <c r="F2731">
        <v>0</v>
      </c>
      <c r="G2731">
        <v>0</v>
      </c>
      <c r="H2731">
        <v>0</v>
      </c>
      <c r="I2731">
        <v>0</v>
      </c>
      <c r="J2731">
        <v>0</v>
      </c>
      <c r="K2731">
        <v>0</v>
      </c>
      <c r="M2731">
        <v>0</v>
      </c>
      <c r="N2731">
        <f t="shared" si="0"/>
        <v>0</v>
      </c>
    </row>
    <row r="2732" spans="1:14" x14ac:dyDescent="0.2">
      <c r="A2732" t="s">
        <v>4322</v>
      </c>
      <c r="B2732">
        <v>0</v>
      </c>
      <c r="C2732">
        <v>0</v>
      </c>
      <c r="D2732">
        <v>0</v>
      </c>
      <c r="E2732">
        <v>0</v>
      </c>
      <c r="F2732">
        <v>0</v>
      </c>
      <c r="G2732">
        <v>0</v>
      </c>
      <c r="H2732">
        <v>0</v>
      </c>
      <c r="I2732">
        <v>0</v>
      </c>
      <c r="J2732">
        <v>0</v>
      </c>
      <c r="K2732">
        <v>0</v>
      </c>
      <c r="M2732">
        <v>0</v>
      </c>
      <c r="N2732">
        <f t="shared" si="0"/>
        <v>0</v>
      </c>
    </row>
    <row r="2733" spans="1:14" x14ac:dyDescent="0.2">
      <c r="A2733" t="s">
        <v>4323</v>
      </c>
      <c r="B2733">
        <v>0</v>
      </c>
      <c r="C2733">
        <v>0</v>
      </c>
      <c r="D2733">
        <v>0</v>
      </c>
      <c r="E2733">
        <v>0</v>
      </c>
      <c r="F2733">
        <v>0</v>
      </c>
      <c r="G2733">
        <v>0</v>
      </c>
      <c r="H2733">
        <v>0</v>
      </c>
      <c r="I2733">
        <v>0</v>
      </c>
      <c r="J2733">
        <v>0</v>
      </c>
      <c r="K2733">
        <v>0</v>
      </c>
      <c r="M2733">
        <v>0</v>
      </c>
      <c r="N2733">
        <f t="shared" si="0"/>
        <v>0</v>
      </c>
    </row>
    <row r="2734" spans="1:14" x14ac:dyDescent="0.2">
      <c r="A2734" t="s">
        <v>4324</v>
      </c>
      <c r="B2734">
        <v>0</v>
      </c>
      <c r="C2734">
        <v>0</v>
      </c>
      <c r="D2734">
        <v>0</v>
      </c>
      <c r="E2734">
        <v>0</v>
      </c>
      <c r="F2734">
        <v>0</v>
      </c>
      <c r="G2734">
        <v>0</v>
      </c>
      <c r="H2734">
        <v>0</v>
      </c>
      <c r="I2734">
        <v>0</v>
      </c>
      <c r="J2734">
        <v>0</v>
      </c>
      <c r="K2734">
        <v>0</v>
      </c>
      <c r="M2734">
        <v>0</v>
      </c>
      <c r="N2734">
        <f t="shared" si="0"/>
        <v>0</v>
      </c>
    </row>
    <row r="2735" spans="1:14" x14ac:dyDescent="0.2">
      <c r="A2735" t="s">
        <v>4325</v>
      </c>
      <c r="B2735">
        <v>0</v>
      </c>
      <c r="C2735">
        <v>0</v>
      </c>
      <c r="D2735">
        <v>0</v>
      </c>
      <c r="E2735">
        <v>0</v>
      </c>
      <c r="F2735">
        <v>0</v>
      </c>
      <c r="G2735">
        <v>0</v>
      </c>
      <c r="H2735">
        <v>0</v>
      </c>
      <c r="I2735">
        <v>0</v>
      </c>
      <c r="J2735">
        <v>0</v>
      </c>
      <c r="K2735">
        <v>0</v>
      </c>
      <c r="M2735">
        <v>0</v>
      </c>
      <c r="N2735">
        <f t="shared" si="0"/>
        <v>0</v>
      </c>
    </row>
    <row r="2736" spans="1:14" x14ac:dyDescent="0.2">
      <c r="A2736" t="s">
        <v>4326</v>
      </c>
      <c r="B2736">
        <v>0</v>
      </c>
      <c r="C2736">
        <v>0</v>
      </c>
      <c r="D2736">
        <v>0</v>
      </c>
      <c r="E2736">
        <v>0</v>
      </c>
      <c r="F2736">
        <v>0</v>
      </c>
      <c r="G2736">
        <v>0</v>
      </c>
      <c r="H2736">
        <v>0</v>
      </c>
      <c r="I2736">
        <v>0</v>
      </c>
      <c r="J2736">
        <v>0</v>
      </c>
      <c r="K2736">
        <v>0</v>
      </c>
      <c r="M2736">
        <v>0</v>
      </c>
      <c r="N2736">
        <f t="shared" si="0"/>
        <v>0</v>
      </c>
    </row>
    <row r="2737" spans="1:14" x14ac:dyDescent="0.2">
      <c r="A2737" t="s">
        <v>4327</v>
      </c>
      <c r="B2737">
        <v>3</v>
      </c>
      <c r="C2737">
        <v>0</v>
      </c>
      <c r="D2737">
        <v>1</v>
      </c>
      <c r="E2737">
        <v>3</v>
      </c>
      <c r="F2737">
        <v>3</v>
      </c>
      <c r="G2737">
        <v>0</v>
      </c>
      <c r="H2737">
        <v>0</v>
      </c>
      <c r="I2737">
        <v>0</v>
      </c>
      <c r="J2737">
        <v>110</v>
      </c>
      <c r="K2737">
        <v>0</v>
      </c>
      <c r="M2737">
        <v>156</v>
      </c>
      <c r="N2737">
        <f t="shared" si="0"/>
        <v>-46</v>
      </c>
    </row>
    <row r="2738" spans="1:14" x14ac:dyDescent="0.2">
      <c r="A2738" t="s">
        <v>4328</v>
      </c>
      <c r="B2738">
        <v>0</v>
      </c>
      <c r="C2738">
        <v>0</v>
      </c>
      <c r="D2738">
        <v>0</v>
      </c>
      <c r="E2738">
        <v>0</v>
      </c>
      <c r="F2738">
        <v>0</v>
      </c>
      <c r="G2738">
        <v>0</v>
      </c>
      <c r="H2738">
        <v>0</v>
      </c>
      <c r="I2738">
        <v>0</v>
      </c>
      <c r="J2738">
        <v>0</v>
      </c>
      <c r="K2738">
        <v>0</v>
      </c>
      <c r="M2738">
        <v>0</v>
      </c>
      <c r="N2738">
        <f t="shared" si="0"/>
        <v>0</v>
      </c>
    </row>
    <row r="2739" spans="1:14" x14ac:dyDescent="0.2">
      <c r="A2739" t="s">
        <v>4329</v>
      </c>
      <c r="B2739">
        <v>0</v>
      </c>
      <c r="C2739">
        <v>0</v>
      </c>
      <c r="D2739">
        <v>0</v>
      </c>
      <c r="E2739">
        <v>0</v>
      </c>
      <c r="F2739">
        <v>0</v>
      </c>
      <c r="G2739">
        <v>0</v>
      </c>
      <c r="H2739">
        <v>0</v>
      </c>
      <c r="I2739">
        <v>0</v>
      </c>
      <c r="J2739">
        <v>1944</v>
      </c>
      <c r="K2739">
        <v>0</v>
      </c>
      <c r="M2739">
        <v>1085</v>
      </c>
      <c r="N2739">
        <f t="shared" si="0"/>
        <v>859</v>
      </c>
    </row>
    <row r="2740" spans="1:14" x14ac:dyDescent="0.2">
      <c r="A2740" t="s">
        <v>4330</v>
      </c>
      <c r="B2740">
        <v>0</v>
      </c>
      <c r="C2740">
        <v>0</v>
      </c>
      <c r="D2740">
        <v>0</v>
      </c>
      <c r="E2740">
        <v>0</v>
      </c>
      <c r="F2740">
        <v>0</v>
      </c>
      <c r="G2740">
        <v>0</v>
      </c>
      <c r="H2740">
        <v>0</v>
      </c>
      <c r="I2740">
        <v>0</v>
      </c>
      <c r="J2740">
        <v>0</v>
      </c>
      <c r="K2740">
        <v>0</v>
      </c>
      <c r="M2740">
        <v>0</v>
      </c>
      <c r="N2740">
        <f t="shared" ref="N2740:N2803" si="1">J2740-M2740</f>
        <v>0</v>
      </c>
    </row>
    <row r="2741" spans="1:14" x14ac:dyDescent="0.2">
      <c r="A2741" t="s">
        <v>4331</v>
      </c>
      <c r="B2741">
        <v>0</v>
      </c>
      <c r="C2741">
        <v>0</v>
      </c>
      <c r="D2741">
        <v>0</v>
      </c>
      <c r="E2741">
        <v>0</v>
      </c>
      <c r="F2741">
        <v>0</v>
      </c>
      <c r="G2741">
        <v>0</v>
      </c>
      <c r="H2741">
        <v>0</v>
      </c>
      <c r="I2741">
        <v>0</v>
      </c>
      <c r="J2741">
        <v>0</v>
      </c>
      <c r="K2741">
        <v>0</v>
      </c>
      <c r="M2741">
        <v>0</v>
      </c>
      <c r="N2741">
        <f t="shared" si="1"/>
        <v>0</v>
      </c>
    </row>
    <row r="2742" spans="1:14" x14ac:dyDescent="0.2">
      <c r="A2742" t="s">
        <v>4332</v>
      </c>
      <c r="B2742">
        <v>0</v>
      </c>
      <c r="C2742">
        <v>0</v>
      </c>
      <c r="D2742">
        <v>0</v>
      </c>
      <c r="E2742">
        <v>0</v>
      </c>
      <c r="F2742">
        <v>14</v>
      </c>
      <c r="G2742">
        <v>0</v>
      </c>
      <c r="H2742">
        <v>0</v>
      </c>
      <c r="I2742">
        <v>0</v>
      </c>
      <c r="J2742">
        <v>2640</v>
      </c>
      <c r="K2742">
        <v>0</v>
      </c>
      <c r="M2742">
        <v>1866</v>
      </c>
      <c r="N2742">
        <f t="shared" si="1"/>
        <v>774</v>
      </c>
    </row>
    <row r="2743" spans="1:14" x14ac:dyDescent="0.2">
      <c r="A2743" t="s">
        <v>4333</v>
      </c>
      <c r="B2743">
        <v>0</v>
      </c>
      <c r="C2743">
        <v>0</v>
      </c>
      <c r="D2743">
        <v>0</v>
      </c>
      <c r="E2743">
        <v>0</v>
      </c>
      <c r="F2743">
        <v>0</v>
      </c>
      <c r="G2743">
        <v>0</v>
      </c>
      <c r="H2743">
        <v>0</v>
      </c>
      <c r="I2743">
        <v>0</v>
      </c>
      <c r="J2743">
        <v>0</v>
      </c>
      <c r="K2743">
        <v>0</v>
      </c>
      <c r="M2743">
        <v>0</v>
      </c>
      <c r="N2743">
        <f t="shared" si="1"/>
        <v>0</v>
      </c>
    </row>
    <row r="2744" spans="1:14" x14ac:dyDescent="0.2">
      <c r="A2744" t="s">
        <v>4334</v>
      </c>
      <c r="B2744">
        <v>1483</v>
      </c>
      <c r="C2744">
        <v>0</v>
      </c>
      <c r="D2744">
        <v>329</v>
      </c>
      <c r="E2744">
        <v>1989</v>
      </c>
      <c r="F2744">
        <v>0</v>
      </c>
      <c r="G2744">
        <v>0</v>
      </c>
      <c r="H2744">
        <v>0</v>
      </c>
      <c r="I2744">
        <v>0</v>
      </c>
      <c r="J2744">
        <v>0</v>
      </c>
      <c r="K2744">
        <v>0</v>
      </c>
      <c r="M2744">
        <v>0</v>
      </c>
      <c r="N2744">
        <f t="shared" si="1"/>
        <v>0</v>
      </c>
    </row>
    <row r="2745" spans="1:14" x14ac:dyDescent="0.2">
      <c r="A2745" t="s">
        <v>4335</v>
      </c>
      <c r="B2745">
        <v>1308</v>
      </c>
      <c r="C2745">
        <v>0</v>
      </c>
      <c r="D2745">
        <v>388</v>
      </c>
      <c r="E2745">
        <v>2355</v>
      </c>
      <c r="F2745">
        <v>0</v>
      </c>
      <c r="G2745">
        <v>0</v>
      </c>
      <c r="H2745">
        <v>0</v>
      </c>
      <c r="I2745">
        <v>0</v>
      </c>
      <c r="J2745">
        <v>0</v>
      </c>
      <c r="K2745">
        <v>0</v>
      </c>
      <c r="M2745">
        <v>0</v>
      </c>
      <c r="N2745">
        <f t="shared" si="1"/>
        <v>0</v>
      </c>
    </row>
    <row r="2746" spans="1:14" x14ac:dyDescent="0.2">
      <c r="A2746" t="s">
        <v>4336</v>
      </c>
      <c r="B2746">
        <v>0</v>
      </c>
      <c r="C2746">
        <v>0</v>
      </c>
      <c r="D2746">
        <v>0</v>
      </c>
      <c r="E2746">
        <v>0</v>
      </c>
      <c r="F2746">
        <v>0</v>
      </c>
      <c r="G2746">
        <v>0</v>
      </c>
      <c r="H2746">
        <v>0</v>
      </c>
      <c r="I2746">
        <v>0</v>
      </c>
      <c r="J2746">
        <v>0</v>
      </c>
      <c r="K2746">
        <v>0</v>
      </c>
      <c r="M2746">
        <v>0</v>
      </c>
      <c r="N2746">
        <f t="shared" si="1"/>
        <v>0</v>
      </c>
    </row>
    <row r="2747" spans="1:14" x14ac:dyDescent="0.2">
      <c r="A2747" t="s">
        <v>4337</v>
      </c>
      <c r="B2747">
        <v>0</v>
      </c>
      <c r="C2747">
        <v>0</v>
      </c>
      <c r="D2747">
        <v>0</v>
      </c>
      <c r="E2747">
        <v>0</v>
      </c>
      <c r="F2747">
        <v>568</v>
      </c>
      <c r="G2747">
        <v>0</v>
      </c>
      <c r="H2747">
        <v>0</v>
      </c>
      <c r="I2747">
        <v>0</v>
      </c>
      <c r="J2747">
        <v>0</v>
      </c>
      <c r="K2747">
        <v>0</v>
      </c>
      <c r="M2747">
        <v>0</v>
      </c>
      <c r="N2747">
        <f t="shared" si="1"/>
        <v>0</v>
      </c>
    </row>
    <row r="2748" spans="1:14" x14ac:dyDescent="0.2">
      <c r="A2748" t="s">
        <v>4338</v>
      </c>
      <c r="B2748">
        <v>61</v>
      </c>
      <c r="C2748">
        <v>0</v>
      </c>
      <c r="D2748">
        <v>14</v>
      </c>
      <c r="E2748">
        <v>87</v>
      </c>
      <c r="F2748">
        <v>1166</v>
      </c>
      <c r="G2748">
        <v>0</v>
      </c>
      <c r="H2748">
        <v>0</v>
      </c>
      <c r="I2748">
        <v>0</v>
      </c>
      <c r="J2748">
        <v>242</v>
      </c>
      <c r="K2748">
        <v>0</v>
      </c>
      <c r="M2748">
        <v>147</v>
      </c>
      <c r="N2748">
        <f t="shared" si="1"/>
        <v>95</v>
      </c>
    </row>
    <row r="2749" spans="1:14" x14ac:dyDescent="0.2">
      <c r="A2749" t="s">
        <v>4339</v>
      </c>
      <c r="B2749">
        <v>0</v>
      </c>
      <c r="C2749">
        <v>0</v>
      </c>
      <c r="D2749">
        <v>0</v>
      </c>
      <c r="E2749">
        <v>0</v>
      </c>
      <c r="F2749">
        <v>0</v>
      </c>
      <c r="G2749">
        <v>0</v>
      </c>
      <c r="H2749">
        <v>0</v>
      </c>
      <c r="I2749">
        <v>0</v>
      </c>
      <c r="J2749">
        <v>0</v>
      </c>
      <c r="K2749">
        <v>0</v>
      </c>
      <c r="M2749">
        <v>0</v>
      </c>
      <c r="N2749">
        <f t="shared" si="1"/>
        <v>0</v>
      </c>
    </row>
    <row r="2750" spans="1:14" x14ac:dyDescent="0.2">
      <c r="A2750" t="s">
        <v>4340</v>
      </c>
      <c r="B2750">
        <v>0</v>
      </c>
      <c r="C2750">
        <v>0</v>
      </c>
      <c r="D2750">
        <v>0</v>
      </c>
      <c r="E2750">
        <v>0</v>
      </c>
      <c r="F2750">
        <v>0</v>
      </c>
      <c r="G2750">
        <v>0</v>
      </c>
      <c r="H2750">
        <v>0</v>
      </c>
      <c r="I2750">
        <v>0</v>
      </c>
      <c r="J2750">
        <v>0</v>
      </c>
      <c r="K2750">
        <v>0</v>
      </c>
      <c r="M2750">
        <v>0</v>
      </c>
      <c r="N2750">
        <f t="shared" si="1"/>
        <v>0</v>
      </c>
    </row>
    <row r="2751" spans="1:14" x14ac:dyDescent="0.2">
      <c r="A2751" t="s">
        <v>4341</v>
      </c>
      <c r="B2751">
        <v>0</v>
      </c>
      <c r="C2751">
        <v>0</v>
      </c>
      <c r="D2751">
        <v>0</v>
      </c>
      <c r="E2751">
        <v>0</v>
      </c>
      <c r="F2751">
        <v>0</v>
      </c>
      <c r="G2751">
        <v>0</v>
      </c>
      <c r="H2751">
        <v>0</v>
      </c>
      <c r="I2751">
        <v>0</v>
      </c>
      <c r="J2751">
        <v>0</v>
      </c>
      <c r="K2751">
        <v>0</v>
      </c>
      <c r="M2751">
        <v>0</v>
      </c>
      <c r="N2751">
        <f t="shared" si="1"/>
        <v>0</v>
      </c>
    </row>
    <row r="2752" spans="1:14" x14ac:dyDescent="0.2">
      <c r="A2752" t="s">
        <v>4342</v>
      </c>
      <c r="B2752">
        <v>0</v>
      </c>
      <c r="C2752">
        <v>0</v>
      </c>
      <c r="D2752">
        <v>0</v>
      </c>
      <c r="E2752">
        <v>0</v>
      </c>
      <c r="F2752">
        <v>0</v>
      </c>
      <c r="G2752">
        <v>0</v>
      </c>
      <c r="H2752">
        <v>0</v>
      </c>
      <c r="I2752">
        <v>0</v>
      </c>
      <c r="J2752">
        <v>0</v>
      </c>
      <c r="K2752">
        <v>0</v>
      </c>
      <c r="M2752">
        <v>0</v>
      </c>
      <c r="N2752">
        <f t="shared" si="1"/>
        <v>0</v>
      </c>
    </row>
    <row r="2753" spans="1:14" x14ac:dyDescent="0.2">
      <c r="A2753" t="s">
        <v>4343</v>
      </c>
      <c r="B2753">
        <v>0</v>
      </c>
      <c r="C2753">
        <v>0</v>
      </c>
      <c r="D2753">
        <v>0</v>
      </c>
      <c r="E2753">
        <v>0</v>
      </c>
      <c r="F2753">
        <v>0</v>
      </c>
      <c r="G2753">
        <v>0</v>
      </c>
      <c r="H2753">
        <v>0</v>
      </c>
      <c r="I2753">
        <v>0</v>
      </c>
      <c r="J2753">
        <v>0</v>
      </c>
      <c r="K2753">
        <v>0</v>
      </c>
      <c r="M2753">
        <v>0</v>
      </c>
      <c r="N2753">
        <f t="shared" si="1"/>
        <v>0</v>
      </c>
    </row>
    <row r="2754" spans="1:14" x14ac:dyDescent="0.2">
      <c r="A2754" t="s">
        <v>1728</v>
      </c>
      <c r="B2754">
        <v>0</v>
      </c>
      <c r="C2754">
        <v>0</v>
      </c>
      <c r="D2754">
        <v>0</v>
      </c>
      <c r="E2754">
        <v>0</v>
      </c>
      <c r="F2754">
        <v>0</v>
      </c>
      <c r="G2754">
        <v>0</v>
      </c>
      <c r="H2754">
        <v>0</v>
      </c>
      <c r="I2754">
        <v>0</v>
      </c>
      <c r="J2754">
        <v>0</v>
      </c>
      <c r="K2754">
        <v>0</v>
      </c>
      <c r="M2754">
        <v>0</v>
      </c>
      <c r="N2754">
        <f t="shared" si="1"/>
        <v>0</v>
      </c>
    </row>
    <row r="2755" spans="1:14" x14ac:dyDescent="0.2">
      <c r="A2755" t="s">
        <v>1730</v>
      </c>
      <c r="B2755">
        <v>18</v>
      </c>
      <c r="C2755">
        <v>0</v>
      </c>
      <c r="D2755">
        <v>4</v>
      </c>
      <c r="E2755">
        <v>25</v>
      </c>
      <c r="F2755">
        <v>19</v>
      </c>
      <c r="G2755">
        <v>0</v>
      </c>
      <c r="H2755">
        <v>0</v>
      </c>
      <c r="I2755">
        <v>0</v>
      </c>
      <c r="J2755">
        <v>22</v>
      </c>
      <c r="K2755">
        <v>0</v>
      </c>
      <c r="M2755">
        <v>16</v>
      </c>
      <c r="N2755">
        <f t="shared" si="1"/>
        <v>6</v>
      </c>
    </row>
    <row r="2756" spans="1:14" x14ac:dyDescent="0.2">
      <c r="A2756" t="s">
        <v>1733</v>
      </c>
      <c r="B2756">
        <v>0</v>
      </c>
      <c r="C2756">
        <v>0</v>
      </c>
      <c r="D2756">
        <v>0</v>
      </c>
      <c r="E2756">
        <v>0</v>
      </c>
      <c r="F2756">
        <v>0</v>
      </c>
      <c r="G2756">
        <v>0</v>
      </c>
      <c r="H2756">
        <v>0</v>
      </c>
      <c r="I2756">
        <v>0</v>
      </c>
      <c r="J2756">
        <v>0</v>
      </c>
      <c r="K2756">
        <v>0</v>
      </c>
      <c r="M2756">
        <v>0</v>
      </c>
      <c r="N2756">
        <f t="shared" si="1"/>
        <v>0</v>
      </c>
    </row>
    <row r="2757" spans="1:14" x14ac:dyDescent="0.2">
      <c r="A2757" t="s">
        <v>1738</v>
      </c>
      <c r="B2757">
        <v>0</v>
      </c>
      <c r="C2757">
        <v>0</v>
      </c>
      <c r="D2757">
        <v>0</v>
      </c>
      <c r="E2757">
        <v>0</v>
      </c>
      <c r="F2757">
        <v>0</v>
      </c>
      <c r="G2757">
        <v>0</v>
      </c>
      <c r="H2757">
        <v>0</v>
      </c>
      <c r="I2757">
        <v>0</v>
      </c>
      <c r="J2757">
        <v>0</v>
      </c>
      <c r="K2757">
        <v>0</v>
      </c>
      <c r="M2757">
        <v>0</v>
      </c>
      <c r="N2757">
        <f t="shared" si="1"/>
        <v>0</v>
      </c>
    </row>
    <row r="2758" spans="1:14" x14ac:dyDescent="0.2">
      <c r="A2758" t="s">
        <v>1744</v>
      </c>
      <c r="B2758">
        <v>0</v>
      </c>
      <c r="C2758">
        <v>0</v>
      </c>
      <c r="D2758">
        <v>0</v>
      </c>
      <c r="E2758">
        <v>0</v>
      </c>
      <c r="F2758">
        <v>0</v>
      </c>
      <c r="G2758">
        <v>0</v>
      </c>
      <c r="H2758">
        <v>0</v>
      </c>
      <c r="I2758">
        <v>0</v>
      </c>
      <c r="J2758">
        <v>0</v>
      </c>
      <c r="K2758">
        <v>0</v>
      </c>
      <c r="M2758">
        <v>0</v>
      </c>
      <c r="N2758">
        <f t="shared" si="1"/>
        <v>0</v>
      </c>
    </row>
    <row r="2759" spans="1:14" x14ac:dyDescent="0.2">
      <c r="A2759" t="s">
        <v>1747</v>
      </c>
      <c r="B2759">
        <v>0</v>
      </c>
      <c r="C2759">
        <v>0</v>
      </c>
      <c r="D2759">
        <v>0</v>
      </c>
      <c r="E2759">
        <v>0</v>
      </c>
      <c r="F2759">
        <v>0</v>
      </c>
      <c r="G2759">
        <v>0</v>
      </c>
      <c r="H2759">
        <v>0</v>
      </c>
      <c r="I2759">
        <v>0</v>
      </c>
      <c r="J2759">
        <v>0</v>
      </c>
      <c r="K2759">
        <v>0</v>
      </c>
      <c r="M2759">
        <v>0</v>
      </c>
      <c r="N2759">
        <f t="shared" si="1"/>
        <v>0</v>
      </c>
    </row>
    <row r="2760" spans="1:14" x14ac:dyDescent="0.2">
      <c r="A2760" t="s">
        <v>1751</v>
      </c>
      <c r="B2760">
        <v>0</v>
      </c>
      <c r="C2760">
        <v>0</v>
      </c>
      <c r="D2760">
        <v>0</v>
      </c>
      <c r="E2760">
        <v>0</v>
      </c>
      <c r="F2760">
        <v>0</v>
      </c>
      <c r="G2760">
        <v>0</v>
      </c>
      <c r="H2760">
        <v>0</v>
      </c>
      <c r="I2760">
        <v>0</v>
      </c>
      <c r="J2760">
        <v>0</v>
      </c>
      <c r="K2760">
        <v>0</v>
      </c>
      <c r="M2760">
        <v>0</v>
      </c>
      <c r="N2760">
        <f t="shared" si="1"/>
        <v>0</v>
      </c>
    </row>
    <row r="2761" spans="1:14" x14ac:dyDescent="0.2">
      <c r="A2761" t="s">
        <v>1755</v>
      </c>
      <c r="B2761">
        <v>0</v>
      </c>
      <c r="C2761">
        <v>0</v>
      </c>
      <c r="D2761">
        <v>0</v>
      </c>
      <c r="E2761">
        <v>1</v>
      </c>
      <c r="F2761">
        <v>0</v>
      </c>
      <c r="G2761">
        <v>0</v>
      </c>
      <c r="H2761">
        <v>0</v>
      </c>
      <c r="I2761">
        <v>0</v>
      </c>
      <c r="J2761">
        <v>1</v>
      </c>
      <c r="K2761">
        <v>0</v>
      </c>
      <c r="M2761">
        <v>1</v>
      </c>
      <c r="N2761">
        <f t="shared" si="1"/>
        <v>0</v>
      </c>
    </row>
    <row r="2762" spans="1:14" x14ac:dyDescent="0.2">
      <c r="A2762" t="s">
        <v>1757</v>
      </c>
      <c r="B2762">
        <v>0</v>
      </c>
      <c r="C2762">
        <v>0</v>
      </c>
      <c r="D2762">
        <v>0</v>
      </c>
      <c r="E2762">
        <v>0</v>
      </c>
      <c r="F2762">
        <v>0</v>
      </c>
      <c r="G2762">
        <v>0</v>
      </c>
      <c r="H2762">
        <v>0</v>
      </c>
      <c r="I2762">
        <v>0</v>
      </c>
      <c r="J2762">
        <v>1</v>
      </c>
      <c r="K2762">
        <v>0</v>
      </c>
      <c r="M2762">
        <v>0</v>
      </c>
      <c r="N2762">
        <f t="shared" si="1"/>
        <v>1</v>
      </c>
    </row>
    <row r="2763" spans="1:14" x14ac:dyDescent="0.2">
      <c r="A2763" t="s">
        <v>1761</v>
      </c>
      <c r="B2763">
        <v>0</v>
      </c>
      <c r="C2763">
        <v>0</v>
      </c>
      <c r="D2763">
        <v>0</v>
      </c>
      <c r="E2763">
        <v>0</v>
      </c>
      <c r="F2763">
        <v>0</v>
      </c>
      <c r="G2763">
        <v>0</v>
      </c>
      <c r="H2763">
        <v>0</v>
      </c>
      <c r="I2763">
        <v>0</v>
      </c>
      <c r="J2763">
        <v>0</v>
      </c>
      <c r="K2763">
        <v>0</v>
      </c>
      <c r="M2763">
        <v>0</v>
      </c>
      <c r="N2763">
        <f t="shared" si="1"/>
        <v>0</v>
      </c>
    </row>
    <row r="2764" spans="1:14" x14ac:dyDescent="0.2">
      <c r="A2764" t="s">
        <v>1764</v>
      </c>
      <c r="B2764">
        <v>0</v>
      </c>
      <c r="C2764">
        <v>0</v>
      </c>
      <c r="D2764">
        <v>0</v>
      </c>
      <c r="E2764">
        <v>0</v>
      </c>
      <c r="F2764">
        <v>0</v>
      </c>
      <c r="G2764">
        <v>0</v>
      </c>
      <c r="H2764">
        <v>0</v>
      </c>
      <c r="I2764">
        <v>0</v>
      </c>
      <c r="J2764">
        <v>0</v>
      </c>
      <c r="K2764">
        <v>0</v>
      </c>
      <c r="M2764">
        <v>0</v>
      </c>
      <c r="N2764">
        <f t="shared" si="1"/>
        <v>0</v>
      </c>
    </row>
    <row r="2765" spans="1:14" x14ac:dyDescent="0.2">
      <c r="A2765" t="s">
        <v>1770</v>
      </c>
      <c r="B2765">
        <v>11</v>
      </c>
      <c r="C2765">
        <v>0</v>
      </c>
      <c r="D2765">
        <v>2</v>
      </c>
      <c r="E2765">
        <v>100</v>
      </c>
      <c r="F2765">
        <v>9</v>
      </c>
      <c r="G2765">
        <v>0</v>
      </c>
      <c r="H2765">
        <v>0</v>
      </c>
      <c r="I2765">
        <v>0</v>
      </c>
      <c r="J2765">
        <v>24</v>
      </c>
      <c r="K2765">
        <v>0</v>
      </c>
      <c r="M2765">
        <v>24</v>
      </c>
      <c r="N2765">
        <f t="shared" si="1"/>
        <v>0</v>
      </c>
    </row>
    <row r="2766" spans="1:14" x14ac:dyDescent="0.2">
      <c r="A2766" t="s">
        <v>1772</v>
      </c>
      <c r="B2766">
        <v>1</v>
      </c>
      <c r="C2766">
        <v>0</v>
      </c>
      <c r="D2766">
        <v>0</v>
      </c>
      <c r="E2766">
        <v>7</v>
      </c>
      <c r="F2766">
        <v>3</v>
      </c>
      <c r="G2766">
        <v>0</v>
      </c>
      <c r="H2766">
        <v>0</v>
      </c>
      <c r="I2766">
        <v>0</v>
      </c>
      <c r="J2766">
        <v>2</v>
      </c>
      <c r="K2766">
        <v>0</v>
      </c>
      <c r="M2766">
        <v>1</v>
      </c>
      <c r="N2766">
        <f t="shared" si="1"/>
        <v>1</v>
      </c>
    </row>
    <row r="2767" spans="1:14" x14ac:dyDescent="0.2">
      <c r="A2767" t="s">
        <v>1774</v>
      </c>
      <c r="B2767">
        <v>11</v>
      </c>
      <c r="C2767">
        <v>0</v>
      </c>
      <c r="D2767">
        <v>2</v>
      </c>
      <c r="E2767">
        <v>90</v>
      </c>
      <c r="F2767">
        <v>0</v>
      </c>
      <c r="G2767">
        <v>0</v>
      </c>
      <c r="H2767">
        <v>0</v>
      </c>
      <c r="I2767">
        <v>0</v>
      </c>
      <c r="J2767">
        <v>0</v>
      </c>
      <c r="K2767">
        <v>0</v>
      </c>
      <c r="M2767">
        <v>0</v>
      </c>
      <c r="N2767">
        <f t="shared" si="1"/>
        <v>0</v>
      </c>
    </row>
    <row r="2768" spans="1:14" x14ac:dyDescent="0.2">
      <c r="A2768" t="s">
        <v>1777</v>
      </c>
      <c r="B2768">
        <v>0</v>
      </c>
      <c r="C2768">
        <v>0</v>
      </c>
      <c r="D2768">
        <v>0</v>
      </c>
      <c r="E2768">
        <v>0</v>
      </c>
      <c r="F2768">
        <v>0</v>
      </c>
      <c r="G2768">
        <v>0</v>
      </c>
      <c r="H2768">
        <v>0</v>
      </c>
      <c r="I2768">
        <v>0</v>
      </c>
      <c r="J2768">
        <v>0</v>
      </c>
      <c r="K2768">
        <v>0</v>
      </c>
      <c r="M2768">
        <v>0</v>
      </c>
      <c r="N2768">
        <f t="shared" si="1"/>
        <v>0</v>
      </c>
    </row>
    <row r="2769" spans="1:14" x14ac:dyDescent="0.2">
      <c r="A2769" t="s">
        <v>1782</v>
      </c>
      <c r="B2769">
        <v>0</v>
      </c>
      <c r="C2769">
        <v>0</v>
      </c>
      <c r="D2769">
        <v>0</v>
      </c>
      <c r="E2769">
        <v>0</v>
      </c>
      <c r="F2769">
        <v>0</v>
      </c>
      <c r="G2769">
        <v>0</v>
      </c>
      <c r="H2769">
        <v>0</v>
      </c>
      <c r="I2769">
        <v>0</v>
      </c>
      <c r="J2769">
        <v>0</v>
      </c>
      <c r="K2769">
        <v>0</v>
      </c>
      <c r="M2769">
        <v>0</v>
      </c>
      <c r="N2769">
        <f t="shared" si="1"/>
        <v>0</v>
      </c>
    </row>
    <row r="2770" spans="1:14" x14ac:dyDescent="0.2">
      <c r="A2770" t="s">
        <v>1274</v>
      </c>
      <c r="B2770">
        <v>0</v>
      </c>
      <c r="C2770">
        <v>0</v>
      </c>
      <c r="D2770">
        <v>0</v>
      </c>
      <c r="E2770">
        <v>0</v>
      </c>
      <c r="F2770">
        <v>0</v>
      </c>
      <c r="G2770">
        <v>0</v>
      </c>
      <c r="H2770">
        <v>0</v>
      </c>
      <c r="I2770">
        <v>0</v>
      </c>
      <c r="J2770">
        <v>2</v>
      </c>
      <c r="K2770">
        <v>0</v>
      </c>
      <c r="M2770">
        <v>2</v>
      </c>
      <c r="N2770">
        <f t="shared" si="1"/>
        <v>0</v>
      </c>
    </row>
    <row r="2771" spans="1:14" x14ac:dyDescent="0.2">
      <c r="A2771" t="s">
        <v>1277</v>
      </c>
      <c r="B2771">
        <v>0</v>
      </c>
      <c r="C2771">
        <v>0</v>
      </c>
      <c r="D2771">
        <v>0</v>
      </c>
      <c r="E2771">
        <v>0</v>
      </c>
      <c r="F2771">
        <v>0</v>
      </c>
      <c r="G2771">
        <v>0</v>
      </c>
      <c r="H2771">
        <v>0</v>
      </c>
      <c r="I2771">
        <v>0</v>
      </c>
      <c r="J2771">
        <v>15</v>
      </c>
      <c r="K2771">
        <v>0</v>
      </c>
      <c r="M2771">
        <v>13</v>
      </c>
      <c r="N2771">
        <f t="shared" si="1"/>
        <v>2</v>
      </c>
    </row>
    <row r="2772" spans="1:14" x14ac:dyDescent="0.2">
      <c r="A2772" t="s">
        <v>1798</v>
      </c>
      <c r="B2772">
        <v>0</v>
      </c>
      <c r="C2772">
        <v>0</v>
      </c>
      <c r="D2772">
        <v>0</v>
      </c>
      <c r="E2772">
        <v>0</v>
      </c>
      <c r="F2772">
        <v>0</v>
      </c>
      <c r="G2772">
        <v>0</v>
      </c>
      <c r="H2772">
        <v>0</v>
      </c>
      <c r="I2772">
        <v>0</v>
      </c>
      <c r="J2772">
        <v>0</v>
      </c>
      <c r="K2772">
        <v>0</v>
      </c>
      <c r="M2772">
        <v>0</v>
      </c>
      <c r="N2772">
        <f t="shared" si="1"/>
        <v>0</v>
      </c>
    </row>
    <row r="2773" spans="1:14" x14ac:dyDescent="0.2">
      <c r="A2773" t="s">
        <v>1803</v>
      </c>
      <c r="B2773">
        <v>0</v>
      </c>
      <c r="C2773">
        <v>0</v>
      </c>
      <c r="D2773">
        <v>0</v>
      </c>
      <c r="E2773">
        <v>0</v>
      </c>
      <c r="F2773">
        <v>0</v>
      </c>
      <c r="G2773">
        <v>0</v>
      </c>
      <c r="H2773">
        <v>0</v>
      </c>
      <c r="I2773">
        <v>0</v>
      </c>
      <c r="J2773">
        <v>0</v>
      </c>
      <c r="K2773">
        <v>0</v>
      </c>
      <c r="M2773">
        <v>0</v>
      </c>
      <c r="N2773">
        <f t="shared" si="1"/>
        <v>0</v>
      </c>
    </row>
    <row r="2774" spans="1:14" x14ac:dyDescent="0.2">
      <c r="A2774" t="s">
        <v>1808</v>
      </c>
      <c r="B2774">
        <v>0</v>
      </c>
      <c r="C2774">
        <v>0</v>
      </c>
      <c r="D2774">
        <v>0</v>
      </c>
      <c r="E2774">
        <v>0</v>
      </c>
      <c r="F2774">
        <v>0</v>
      </c>
      <c r="G2774">
        <v>0</v>
      </c>
      <c r="H2774">
        <v>0</v>
      </c>
      <c r="I2774">
        <v>0</v>
      </c>
      <c r="J2774">
        <v>0</v>
      </c>
      <c r="K2774">
        <v>0</v>
      </c>
      <c r="M2774">
        <v>0</v>
      </c>
      <c r="N2774">
        <f t="shared" si="1"/>
        <v>0</v>
      </c>
    </row>
    <row r="2775" spans="1:14" x14ac:dyDescent="0.2">
      <c r="A2775" t="s">
        <v>1813</v>
      </c>
      <c r="B2775">
        <v>0</v>
      </c>
      <c r="C2775">
        <v>0</v>
      </c>
      <c r="D2775">
        <v>0</v>
      </c>
      <c r="E2775">
        <v>0</v>
      </c>
      <c r="F2775">
        <v>0</v>
      </c>
      <c r="G2775">
        <v>0</v>
      </c>
      <c r="H2775">
        <v>0</v>
      </c>
      <c r="I2775">
        <v>0</v>
      </c>
      <c r="J2775">
        <v>0</v>
      </c>
      <c r="K2775">
        <v>0</v>
      </c>
      <c r="M2775">
        <v>0</v>
      </c>
      <c r="N2775">
        <f t="shared" si="1"/>
        <v>0</v>
      </c>
    </row>
    <row r="2776" spans="1:14" x14ac:dyDescent="0.2">
      <c r="A2776" t="s">
        <v>1819</v>
      </c>
      <c r="B2776">
        <v>0</v>
      </c>
      <c r="C2776">
        <v>0</v>
      </c>
      <c r="D2776">
        <v>0</v>
      </c>
      <c r="E2776">
        <v>0</v>
      </c>
      <c r="F2776">
        <v>0</v>
      </c>
      <c r="G2776">
        <v>0</v>
      </c>
      <c r="H2776">
        <v>0</v>
      </c>
      <c r="I2776">
        <v>0</v>
      </c>
      <c r="J2776">
        <v>0</v>
      </c>
      <c r="K2776">
        <v>0</v>
      </c>
      <c r="M2776">
        <v>0</v>
      </c>
      <c r="N2776">
        <f t="shared" si="1"/>
        <v>0</v>
      </c>
    </row>
    <row r="2777" spans="1:14" x14ac:dyDescent="0.2">
      <c r="A2777" t="s">
        <v>1826</v>
      </c>
      <c r="B2777">
        <v>0</v>
      </c>
      <c r="C2777">
        <v>0</v>
      </c>
      <c r="D2777">
        <v>0</v>
      </c>
      <c r="E2777">
        <v>0</v>
      </c>
      <c r="F2777">
        <v>0</v>
      </c>
      <c r="G2777">
        <v>0</v>
      </c>
      <c r="H2777">
        <v>0</v>
      </c>
      <c r="I2777">
        <v>0</v>
      </c>
      <c r="J2777">
        <v>0</v>
      </c>
      <c r="K2777">
        <v>0</v>
      </c>
      <c r="M2777">
        <v>0</v>
      </c>
      <c r="N2777">
        <f t="shared" si="1"/>
        <v>0</v>
      </c>
    </row>
    <row r="2778" spans="1:14" x14ac:dyDescent="0.2">
      <c r="A2778" t="s">
        <v>1830</v>
      </c>
      <c r="B2778">
        <v>0</v>
      </c>
      <c r="C2778">
        <v>0</v>
      </c>
      <c r="D2778">
        <v>0</v>
      </c>
      <c r="E2778">
        <v>0</v>
      </c>
      <c r="F2778">
        <v>0</v>
      </c>
      <c r="G2778">
        <v>0</v>
      </c>
      <c r="H2778">
        <v>0</v>
      </c>
      <c r="I2778">
        <v>0</v>
      </c>
      <c r="J2778">
        <v>0</v>
      </c>
      <c r="K2778">
        <v>0</v>
      </c>
      <c r="M2778">
        <v>0</v>
      </c>
      <c r="N2778">
        <f t="shared" si="1"/>
        <v>0</v>
      </c>
    </row>
    <row r="2779" spans="1:14" x14ac:dyDescent="0.2">
      <c r="A2779" t="s">
        <v>1836</v>
      </c>
      <c r="B2779">
        <v>0</v>
      </c>
      <c r="C2779">
        <v>0</v>
      </c>
      <c r="D2779">
        <v>0</v>
      </c>
      <c r="E2779">
        <v>0</v>
      </c>
      <c r="F2779">
        <v>0</v>
      </c>
      <c r="G2779">
        <v>0</v>
      </c>
      <c r="H2779">
        <v>0</v>
      </c>
      <c r="I2779">
        <v>0</v>
      </c>
      <c r="J2779">
        <v>0</v>
      </c>
      <c r="K2779">
        <v>0</v>
      </c>
      <c r="M2779">
        <v>0</v>
      </c>
      <c r="N2779">
        <f t="shared" si="1"/>
        <v>0</v>
      </c>
    </row>
    <row r="2780" spans="1:14" x14ac:dyDescent="0.2">
      <c r="A2780" t="s">
        <v>1841</v>
      </c>
      <c r="B2780">
        <v>0</v>
      </c>
      <c r="C2780">
        <v>0</v>
      </c>
      <c r="D2780">
        <v>0</v>
      </c>
      <c r="E2780">
        <v>0</v>
      </c>
      <c r="F2780">
        <v>0</v>
      </c>
      <c r="G2780">
        <v>0</v>
      </c>
      <c r="H2780">
        <v>0</v>
      </c>
      <c r="I2780">
        <v>0</v>
      </c>
      <c r="J2780">
        <v>0</v>
      </c>
      <c r="K2780">
        <v>0</v>
      </c>
      <c r="M2780">
        <v>0</v>
      </c>
      <c r="N2780">
        <f t="shared" si="1"/>
        <v>0</v>
      </c>
    </row>
    <row r="2781" spans="1:14" x14ac:dyDescent="0.2">
      <c r="A2781" t="s">
        <v>1842</v>
      </c>
      <c r="B2781">
        <v>0</v>
      </c>
      <c r="C2781">
        <v>0</v>
      </c>
      <c r="D2781">
        <v>0</v>
      </c>
      <c r="E2781">
        <v>0</v>
      </c>
      <c r="F2781">
        <v>0</v>
      </c>
      <c r="G2781">
        <v>0</v>
      </c>
      <c r="H2781">
        <v>0</v>
      </c>
      <c r="I2781">
        <v>0</v>
      </c>
      <c r="J2781">
        <v>0</v>
      </c>
      <c r="K2781">
        <v>0</v>
      </c>
      <c r="M2781">
        <v>0</v>
      </c>
      <c r="N2781">
        <f t="shared" si="1"/>
        <v>0</v>
      </c>
    </row>
    <row r="2782" spans="1:14" x14ac:dyDescent="0.2">
      <c r="A2782" t="s">
        <v>1843</v>
      </c>
      <c r="B2782">
        <v>0</v>
      </c>
      <c r="C2782">
        <v>0</v>
      </c>
      <c r="D2782">
        <v>0</v>
      </c>
      <c r="E2782">
        <v>0</v>
      </c>
      <c r="F2782">
        <v>0</v>
      </c>
      <c r="G2782">
        <v>0</v>
      </c>
      <c r="H2782">
        <v>0</v>
      </c>
      <c r="I2782">
        <v>0</v>
      </c>
      <c r="J2782">
        <v>0</v>
      </c>
      <c r="K2782">
        <v>0</v>
      </c>
      <c r="M2782">
        <v>0</v>
      </c>
      <c r="N2782">
        <f t="shared" si="1"/>
        <v>0</v>
      </c>
    </row>
    <row r="2783" spans="1:14" x14ac:dyDescent="0.2">
      <c r="A2783" t="s">
        <v>1846</v>
      </c>
      <c r="B2783">
        <v>0</v>
      </c>
      <c r="C2783">
        <v>0</v>
      </c>
      <c r="D2783">
        <v>0</v>
      </c>
      <c r="E2783">
        <v>0</v>
      </c>
      <c r="F2783">
        <v>0</v>
      </c>
      <c r="G2783">
        <v>0</v>
      </c>
      <c r="H2783">
        <v>0</v>
      </c>
      <c r="I2783">
        <v>0</v>
      </c>
      <c r="J2783">
        <v>0</v>
      </c>
      <c r="K2783">
        <v>0</v>
      </c>
      <c r="M2783">
        <v>0</v>
      </c>
      <c r="N2783">
        <f t="shared" si="1"/>
        <v>0</v>
      </c>
    </row>
    <row r="2784" spans="1:14" x14ac:dyDescent="0.2">
      <c r="A2784" t="s">
        <v>1851</v>
      </c>
      <c r="B2784">
        <v>0</v>
      </c>
      <c r="C2784">
        <v>0</v>
      </c>
      <c r="D2784">
        <v>0</v>
      </c>
      <c r="E2784">
        <v>0</v>
      </c>
      <c r="F2784">
        <v>0</v>
      </c>
      <c r="G2784">
        <v>0</v>
      </c>
      <c r="H2784">
        <v>0</v>
      </c>
      <c r="I2784">
        <v>0</v>
      </c>
      <c r="J2784">
        <v>10</v>
      </c>
      <c r="K2784">
        <v>0</v>
      </c>
      <c r="M2784">
        <v>20</v>
      </c>
      <c r="N2784">
        <f t="shared" si="1"/>
        <v>-10</v>
      </c>
    </row>
    <row r="2785" spans="1:14" x14ac:dyDescent="0.2">
      <c r="A2785" t="s">
        <v>1857</v>
      </c>
      <c r="B2785">
        <v>0</v>
      </c>
      <c r="C2785">
        <v>0</v>
      </c>
      <c r="D2785">
        <v>0</v>
      </c>
      <c r="E2785">
        <v>0</v>
      </c>
      <c r="F2785">
        <v>0</v>
      </c>
      <c r="G2785">
        <v>0</v>
      </c>
      <c r="H2785">
        <v>0</v>
      </c>
      <c r="I2785">
        <v>0</v>
      </c>
      <c r="J2785">
        <v>0</v>
      </c>
      <c r="K2785">
        <v>0</v>
      </c>
      <c r="M2785">
        <v>0</v>
      </c>
      <c r="N2785">
        <f t="shared" si="1"/>
        <v>0</v>
      </c>
    </row>
    <row r="2786" spans="1:14" x14ac:dyDescent="0.2">
      <c r="A2786" t="s">
        <v>1862</v>
      </c>
      <c r="B2786">
        <v>0</v>
      </c>
      <c r="C2786">
        <v>0</v>
      </c>
      <c r="D2786">
        <v>0</v>
      </c>
      <c r="E2786">
        <v>0</v>
      </c>
      <c r="F2786">
        <v>0</v>
      </c>
      <c r="G2786">
        <v>0</v>
      </c>
      <c r="H2786">
        <v>0</v>
      </c>
      <c r="I2786">
        <v>0</v>
      </c>
      <c r="J2786">
        <v>0</v>
      </c>
      <c r="K2786">
        <v>0</v>
      </c>
      <c r="M2786">
        <v>0</v>
      </c>
      <c r="N2786">
        <f t="shared" si="1"/>
        <v>0</v>
      </c>
    </row>
    <row r="2787" spans="1:14" x14ac:dyDescent="0.2">
      <c r="A2787" t="s">
        <v>1867</v>
      </c>
      <c r="B2787">
        <v>0</v>
      </c>
      <c r="C2787">
        <v>0</v>
      </c>
      <c r="D2787">
        <v>0</v>
      </c>
      <c r="E2787">
        <v>0</v>
      </c>
      <c r="F2787">
        <v>0</v>
      </c>
      <c r="G2787">
        <v>0</v>
      </c>
      <c r="H2787">
        <v>0</v>
      </c>
      <c r="I2787">
        <v>0</v>
      </c>
      <c r="J2787">
        <v>0</v>
      </c>
      <c r="K2787">
        <v>0</v>
      </c>
      <c r="M2787">
        <v>0</v>
      </c>
      <c r="N2787">
        <f t="shared" si="1"/>
        <v>0</v>
      </c>
    </row>
    <row r="2788" spans="1:14" x14ac:dyDescent="0.2">
      <c r="A2788" t="s">
        <v>1870</v>
      </c>
      <c r="B2788">
        <v>0</v>
      </c>
      <c r="C2788">
        <v>0</v>
      </c>
      <c r="D2788">
        <v>0</v>
      </c>
      <c r="E2788">
        <v>0</v>
      </c>
      <c r="F2788">
        <v>0</v>
      </c>
      <c r="G2788">
        <v>0</v>
      </c>
      <c r="H2788">
        <v>0</v>
      </c>
      <c r="I2788">
        <v>0</v>
      </c>
      <c r="J2788">
        <v>0</v>
      </c>
      <c r="K2788">
        <v>0</v>
      </c>
      <c r="M2788">
        <v>0</v>
      </c>
      <c r="N2788">
        <f t="shared" si="1"/>
        <v>0</v>
      </c>
    </row>
    <row r="2789" spans="1:14" x14ac:dyDescent="0.2">
      <c r="A2789" t="s">
        <v>1874</v>
      </c>
      <c r="B2789">
        <v>0</v>
      </c>
      <c r="C2789">
        <v>0</v>
      </c>
      <c r="D2789">
        <v>0</v>
      </c>
      <c r="E2789">
        <v>0</v>
      </c>
      <c r="F2789">
        <v>0</v>
      </c>
      <c r="G2789">
        <v>0</v>
      </c>
      <c r="H2789">
        <v>0</v>
      </c>
      <c r="I2789">
        <v>0</v>
      </c>
      <c r="J2789">
        <v>0</v>
      </c>
      <c r="K2789">
        <v>0</v>
      </c>
      <c r="M2789">
        <v>0</v>
      </c>
      <c r="N2789">
        <f t="shared" si="1"/>
        <v>0</v>
      </c>
    </row>
    <row r="2790" spans="1:14" x14ac:dyDescent="0.2">
      <c r="A2790" t="s">
        <v>1876</v>
      </c>
      <c r="B2790">
        <v>0</v>
      </c>
      <c r="C2790">
        <v>0</v>
      </c>
      <c r="D2790">
        <v>0</v>
      </c>
      <c r="E2790">
        <v>0</v>
      </c>
      <c r="F2790">
        <v>0</v>
      </c>
      <c r="G2790">
        <v>0</v>
      </c>
      <c r="H2790">
        <v>0</v>
      </c>
      <c r="I2790">
        <v>0</v>
      </c>
      <c r="J2790">
        <v>0</v>
      </c>
      <c r="K2790">
        <v>0</v>
      </c>
      <c r="M2790">
        <v>0</v>
      </c>
      <c r="N2790">
        <f t="shared" si="1"/>
        <v>0</v>
      </c>
    </row>
    <row r="2791" spans="1:14" x14ac:dyDescent="0.2">
      <c r="A2791" t="s">
        <v>1881</v>
      </c>
      <c r="B2791">
        <v>0</v>
      </c>
      <c r="C2791">
        <v>0</v>
      </c>
      <c r="D2791">
        <v>0</v>
      </c>
      <c r="E2791">
        <v>0</v>
      </c>
      <c r="F2791">
        <v>0</v>
      </c>
      <c r="G2791">
        <v>0</v>
      </c>
      <c r="H2791">
        <v>0</v>
      </c>
      <c r="I2791">
        <v>0</v>
      </c>
      <c r="J2791">
        <v>0</v>
      </c>
      <c r="K2791">
        <v>0</v>
      </c>
      <c r="M2791">
        <v>0</v>
      </c>
      <c r="N2791">
        <f t="shared" si="1"/>
        <v>0</v>
      </c>
    </row>
    <row r="2792" spans="1:14" x14ac:dyDescent="0.2">
      <c r="A2792" t="s">
        <v>1885</v>
      </c>
      <c r="B2792">
        <v>0</v>
      </c>
      <c r="C2792">
        <v>0</v>
      </c>
      <c r="D2792">
        <v>0</v>
      </c>
      <c r="E2792">
        <v>0</v>
      </c>
      <c r="F2792">
        <v>0</v>
      </c>
      <c r="G2792">
        <v>0</v>
      </c>
      <c r="H2792">
        <v>0</v>
      </c>
      <c r="I2792">
        <v>0</v>
      </c>
      <c r="J2792">
        <v>3</v>
      </c>
      <c r="K2792">
        <v>0</v>
      </c>
      <c r="M2792">
        <v>6</v>
      </c>
      <c r="N2792">
        <f t="shared" si="1"/>
        <v>-3</v>
      </c>
    </row>
    <row r="2793" spans="1:14" x14ac:dyDescent="0.2">
      <c r="A2793" t="s">
        <v>1887</v>
      </c>
      <c r="B2793">
        <v>0</v>
      </c>
      <c r="C2793">
        <v>0</v>
      </c>
      <c r="D2793">
        <v>0</v>
      </c>
      <c r="E2793">
        <v>0</v>
      </c>
      <c r="F2793">
        <v>0</v>
      </c>
      <c r="G2793">
        <v>0</v>
      </c>
      <c r="H2793">
        <v>0</v>
      </c>
      <c r="I2793">
        <v>0</v>
      </c>
      <c r="J2793">
        <v>0</v>
      </c>
      <c r="K2793">
        <v>0</v>
      </c>
      <c r="M2793">
        <v>0</v>
      </c>
      <c r="N2793">
        <f t="shared" si="1"/>
        <v>0</v>
      </c>
    </row>
    <row r="2794" spans="1:14" x14ac:dyDescent="0.2">
      <c r="A2794" t="s">
        <v>1893</v>
      </c>
      <c r="B2794">
        <v>0</v>
      </c>
      <c r="C2794">
        <v>0</v>
      </c>
      <c r="D2794">
        <v>0</v>
      </c>
      <c r="E2794">
        <v>0</v>
      </c>
      <c r="F2794">
        <v>0</v>
      </c>
      <c r="G2794">
        <v>0</v>
      </c>
      <c r="H2794">
        <v>0</v>
      </c>
      <c r="I2794">
        <v>0</v>
      </c>
      <c r="J2794">
        <v>1</v>
      </c>
      <c r="K2794">
        <v>0</v>
      </c>
      <c r="M2794">
        <v>1</v>
      </c>
      <c r="N2794">
        <f t="shared" si="1"/>
        <v>0</v>
      </c>
    </row>
    <row r="2795" spans="1:14" x14ac:dyDescent="0.2">
      <c r="A2795" t="s">
        <v>1899</v>
      </c>
      <c r="B2795">
        <v>0</v>
      </c>
      <c r="C2795">
        <v>0</v>
      </c>
      <c r="D2795">
        <v>0</v>
      </c>
      <c r="E2795">
        <v>0</v>
      </c>
      <c r="F2795">
        <v>0</v>
      </c>
      <c r="G2795">
        <v>0</v>
      </c>
      <c r="H2795">
        <v>0</v>
      </c>
      <c r="I2795">
        <v>0</v>
      </c>
      <c r="J2795">
        <v>0</v>
      </c>
      <c r="K2795">
        <v>0</v>
      </c>
      <c r="M2795">
        <v>0</v>
      </c>
      <c r="N2795">
        <f t="shared" si="1"/>
        <v>0</v>
      </c>
    </row>
    <row r="2796" spans="1:14" x14ac:dyDescent="0.2">
      <c r="A2796" t="s">
        <v>1906</v>
      </c>
      <c r="B2796">
        <v>0</v>
      </c>
      <c r="C2796">
        <v>0</v>
      </c>
      <c r="D2796">
        <v>0</v>
      </c>
      <c r="E2796">
        <v>0</v>
      </c>
      <c r="F2796">
        <v>0</v>
      </c>
      <c r="G2796">
        <v>0</v>
      </c>
      <c r="H2796">
        <v>0</v>
      </c>
      <c r="I2796">
        <v>0</v>
      </c>
      <c r="J2796">
        <v>0</v>
      </c>
      <c r="K2796">
        <v>0</v>
      </c>
      <c r="M2796">
        <v>0</v>
      </c>
      <c r="N2796">
        <f t="shared" si="1"/>
        <v>0</v>
      </c>
    </row>
    <row r="2797" spans="1:14" x14ac:dyDescent="0.2">
      <c r="A2797" t="s">
        <v>1911</v>
      </c>
      <c r="B2797">
        <v>0</v>
      </c>
      <c r="C2797">
        <v>0</v>
      </c>
      <c r="D2797">
        <v>0</v>
      </c>
      <c r="E2797">
        <v>0</v>
      </c>
      <c r="F2797">
        <v>0</v>
      </c>
      <c r="G2797">
        <v>0</v>
      </c>
      <c r="H2797">
        <v>0</v>
      </c>
      <c r="I2797">
        <v>0</v>
      </c>
      <c r="J2797">
        <v>0</v>
      </c>
      <c r="K2797">
        <v>0</v>
      </c>
      <c r="M2797">
        <v>0</v>
      </c>
      <c r="N2797">
        <f t="shared" si="1"/>
        <v>0</v>
      </c>
    </row>
    <row r="2798" spans="1:14" x14ac:dyDescent="0.2">
      <c r="A2798" t="s">
        <v>1917</v>
      </c>
      <c r="B2798">
        <v>0</v>
      </c>
      <c r="C2798">
        <v>0</v>
      </c>
      <c r="D2798">
        <v>0</v>
      </c>
      <c r="E2798">
        <v>0</v>
      </c>
      <c r="F2798">
        <v>0</v>
      </c>
      <c r="G2798">
        <v>0</v>
      </c>
      <c r="H2798">
        <v>0</v>
      </c>
      <c r="I2798">
        <v>0</v>
      </c>
      <c r="J2798">
        <v>0</v>
      </c>
      <c r="K2798">
        <v>0</v>
      </c>
      <c r="M2798">
        <v>0</v>
      </c>
      <c r="N2798">
        <f t="shared" si="1"/>
        <v>0</v>
      </c>
    </row>
    <row r="2799" spans="1:14" x14ac:dyDescent="0.2">
      <c r="A2799" t="s">
        <v>1922</v>
      </c>
      <c r="B2799">
        <v>0</v>
      </c>
      <c r="C2799">
        <v>0</v>
      </c>
      <c r="D2799">
        <v>0</v>
      </c>
      <c r="E2799">
        <v>0</v>
      </c>
      <c r="F2799">
        <v>0</v>
      </c>
      <c r="G2799">
        <v>0</v>
      </c>
      <c r="H2799">
        <v>0</v>
      </c>
      <c r="I2799">
        <v>0</v>
      </c>
      <c r="J2799">
        <v>0</v>
      </c>
      <c r="K2799">
        <v>0</v>
      </c>
      <c r="M2799">
        <v>0</v>
      </c>
      <c r="N2799">
        <f t="shared" si="1"/>
        <v>0</v>
      </c>
    </row>
    <row r="2800" spans="1:14" x14ac:dyDescent="0.2">
      <c r="A2800" t="s">
        <v>1928</v>
      </c>
      <c r="B2800">
        <v>0</v>
      </c>
      <c r="C2800">
        <v>0</v>
      </c>
      <c r="D2800">
        <v>0</v>
      </c>
      <c r="E2800">
        <v>0</v>
      </c>
      <c r="F2800">
        <v>0</v>
      </c>
      <c r="G2800">
        <v>0</v>
      </c>
      <c r="H2800">
        <v>0</v>
      </c>
      <c r="I2800">
        <v>0</v>
      </c>
      <c r="J2800">
        <v>0</v>
      </c>
      <c r="K2800">
        <v>0</v>
      </c>
      <c r="M2800">
        <v>0</v>
      </c>
      <c r="N2800">
        <f t="shared" si="1"/>
        <v>0</v>
      </c>
    </row>
    <row r="2801" spans="1:14" x14ac:dyDescent="0.2">
      <c r="A2801" t="s">
        <v>1932</v>
      </c>
      <c r="B2801">
        <v>0</v>
      </c>
      <c r="C2801">
        <v>0</v>
      </c>
      <c r="D2801">
        <v>0</v>
      </c>
      <c r="E2801">
        <v>0</v>
      </c>
      <c r="F2801">
        <v>0</v>
      </c>
      <c r="G2801">
        <v>0</v>
      </c>
      <c r="H2801">
        <v>0</v>
      </c>
      <c r="I2801">
        <v>0</v>
      </c>
      <c r="J2801">
        <v>0</v>
      </c>
      <c r="K2801">
        <v>0</v>
      </c>
      <c r="M2801">
        <v>0</v>
      </c>
      <c r="N2801">
        <f t="shared" si="1"/>
        <v>0</v>
      </c>
    </row>
    <row r="2802" spans="1:14" x14ac:dyDescent="0.2">
      <c r="A2802" t="s">
        <v>1938</v>
      </c>
      <c r="B2802">
        <v>0</v>
      </c>
      <c r="C2802">
        <v>0</v>
      </c>
      <c r="D2802">
        <v>0</v>
      </c>
      <c r="E2802">
        <v>0</v>
      </c>
      <c r="F2802">
        <v>0</v>
      </c>
      <c r="G2802">
        <v>0</v>
      </c>
      <c r="H2802">
        <v>0</v>
      </c>
      <c r="I2802">
        <v>0</v>
      </c>
      <c r="J2802">
        <v>0</v>
      </c>
      <c r="K2802">
        <v>0</v>
      </c>
      <c r="M2802">
        <v>0</v>
      </c>
      <c r="N2802">
        <f t="shared" si="1"/>
        <v>0</v>
      </c>
    </row>
    <row r="2803" spans="1:14" x14ac:dyDescent="0.2">
      <c r="A2803" t="s">
        <v>1944</v>
      </c>
      <c r="B2803">
        <v>0</v>
      </c>
      <c r="C2803">
        <v>0</v>
      </c>
      <c r="D2803">
        <v>0</v>
      </c>
      <c r="E2803">
        <v>0</v>
      </c>
      <c r="F2803">
        <v>6</v>
      </c>
      <c r="G2803">
        <v>0</v>
      </c>
      <c r="H2803">
        <v>0</v>
      </c>
      <c r="I2803">
        <v>0</v>
      </c>
      <c r="J2803">
        <v>0</v>
      </c>
      <c r="K2803">
        <v>0</v>
      </c>
      <c r="M2803">
        <v>0</v>
      </c>
      <c r="N2803">
        <f t="shared" si="1"/>
        <v>0</v>
      </c>
    </row>
    <row r="2804" spans="1:14" x14ac:dyDescent="0.2">
      <c r="A2804" t="s">
        <v>1947</v>
      </c>
      <c r="B2804">
        <v>0</v>
      </c>
      <c r="C2804">
        <v>0</v>
      </c>
      <c r="D2804">
        <v>0</v>
      </c>
      <c r="E2804">
        <v>0</v>
      </c>
      <c r="F2804">
        <v>0</v>
      </c>
      <c r="G2804">
        <v>0</v>
      </c>
      <c r="H2804">
        <v>0</v>
      </c>
      <c r="I2804">
        <v>0</v>
      </c>
      <c r="J2804">
        <v>0</v>
      </c>
      <c r="K2804">
        <v>0</v>
      </c>
      <c r="M2804">
        <v>0</v>
      </c>
      <c r="N2804">
        <f t="shared" ref="N2804:N2867" si="2">J2804-M2804</f>
        <v>0</v>
      </c>
    </row>
    <row r="2805" spans="1:14" x14ac:dyDescent="0.2">
      <c r="A2805" t="s">
        <v>1953</v>
      </c>
      <c r="B2805">
        <v>0</v>
      </c>
      <c r="C2805">
        <v>0</v>
      </c>
      <c r="D2805">
        <v>0</v>
      </c>
      <c r="E2805">
        <v>0</v>
      </c>
      <c r="F2805">
        <v>0</v>
      </c>
      <c r="G2805">
        <v>0</v>
      </c>
      <c r="H2805">
        <v>0</v>
      </c>
      <c r="I2805">
        <v>0</v>
      </c>
      <c r="J2805">
        <v>0</v>
      </c>
      <c r="K2805">
        <v>0</v>
      </c>
      <c r="M2805">
        <v>0</v>
      </c>
      <c r="N2805">
        <f t="shared" si="2"/>
        <v>0</v>
      </c>
    </row>
    <row r="2806" spans="1:14" x14ac:dyDescent="0.2">
      <c r="A2806" t="s">
        <v>1958</v>
      </c>
      <c r="B2806">
        <v>0</v>
      </c>
      <c r="C2806">
        <v>0</v>
      </c>
      <c r="D2806">
        <v>0</v>
      </c>
      <c r="E2806">
        <v>0</v>
      </c>
      <c r="F2806">
        <v>0</v>
      </c>
      <c r="G2806">
        <v>0</v>
      </c>
      <c r="H2806">
        <v>0</v>
      </c>
      <c r="I2806">
        <v>0</v>
      </c>
      <c r="J2806">
        <v>0</v>
      </c>
      <c r="K2806">
        <v>0</v>
      </c>
      <c r="M2806">
        <v>0</v>
      </c>
      <c r="N2806">
        <f t="shared" si="2"/>
        <v>0</v>
      </c>
    </row>
    <row r="2807" spans="1:14" x14ac:dyDescent="0.2">
      <c r="A2807" t="s">
        <v>1964</v>
      </c>
      <c r="B2807">
        <v>0</v>
      </c>
      <c r="C2807">
        <v>0</v>
      </c>
      <c r="D2807">
        <v>0</v>
      </c>
      <c r="E2807">
        <v>0</v>
      </c>
      <c r="F2807">
        <v>0</v>
      </c>
      <c r="G2807">
        <v>0</v>
      </c>
      <c r="H2807">
        <v>0</v>
      </c>
      <c r="I2807">
        <v>0</v>
      </c>
      <c r="J2807">
        <v>0</v>
      </c>
      <c r="K2807">
        <v>0</v>
      </c>
      <c r="M2807">
        <v>0</v>
      </c>
      <c r="N2807">
        <f t="shared" si="2"/>
        <v>0</v>
      </c>
    </row>
    <row r="2808" spans="1:14" x14ac:dyDescent="0.2">
      <c r="A2808" t="s">
        <v>1973</v>
      </c>
      <c r="B2808">
        <v>0</v>
      </c>
      <c r="C2808">
        <v>0</v>
      </c>
      <c r="D2808">
        <v>0</v>
      </c>
      <c r="E2808">
        <v>0</v>
      </c>
      <c r="F2808">
        <v>0</v>
      </c>
      <c r="G2808">
        <v>0</v>
      </c>
      <c r="H2808">
        <v>0</v>
      </c>
      <c r="I2808">
        <v>0</v>
      </c>
      <c r="J2808">
        <v>0</v>
      </c>
      <c r="K2808">
        <v>0</v>
      </c>
      <c r="M2808">
        <v>0</v>
      </c>
      <c r="N2808">
        <f t="shared" si="2"/>
        <v>0</v>
      </c>
    </row>
    <row r="2809" spans="1:14" x14ac:dyDescent="0.2">
      <c r="A2809" t="s">
        <v>1978</v>
      </c>
      <c r="B2809">
        <v>0</v>
      </c>
      <c r="C2809">
        <v>0</v>
      </c>
      <c r="D2809">
        <v>0</v>
      </c>
      <c r="E2809">
        <v>0</v>
      </c>
      <c r="F2809">
        <v>0</v>
      </c>
      <c r="G2809">
        <v>0</v>
      </c>
      <c r="H2809">
        <v>0</v>
      </c>
      <c r="I2809">
        <v>0</v>
      </c>
      <c r="J2809">
        <v>0</v>
      </c>
      <c r="K2809">
        <v>0</v>
      </c>
      <c r="M2809">
        <v>0</v>
      </c>
      <c r="N2809">
        <f t="shared" si="2"/>
        <v>0</v>
      </c>
    </row>
    <row r="2810" spans="1:14" x14ac:dyDescent="0.2">
      <c r="A2810" t="s">
        <v>1983</v>
      </c>
      <c r="B2810">
        <v>0</v>
      </c>
      <c r="C2810">
        <v>0</v>
      </c>
      <c r="D2810">
        <v>0</v>
      </c>
      <c r="E2810">
        <v>0</v>
      </c>
      <c r="F2810">
        <v>0</v>
      </c>
      <c r="G2810">
        <v>0</v>
      </c>
      <c r="H2810">
        <v>0</v>
      </c>
      <c r="I2810">
        <v>0</v>
      </c>
      <c r="J2810">
        <v>0</v>
      </c>
      <c r="K2810">
        <v>0</v>
      </c>
      <c r="M2810">
        <v>0</v>
      </c>
      <c r="N2810">
        <f t="shared" si="2"/>
        <v>0</v>
      </c>
    </row>
    <row r="2811" spans="1:14" x14ac:dyDescent="0.2">
      <c r="A2811" t="s">
        <v>1984</v>
      </c>
      <c r="B2811">
        <v>0</v>
      </c>
      <c r="C2811">
        <v>0</v>
      </c>
      <c r="D2811">
        <v>0</v>
      </c>
      <c r="E2811">
        <v>0</v>
      </c>
      <c r="F2811">
        <v>0</v>
      </c>
      <c r="G2811">
        <v>0</v>
      </c>
      <c r="H2811">
        <v>0</v>
      </c>
      <c r="I2811">
        <v>0</v>
      </c>
      <c r="J2811">
        <v>0</v>
      </c>
      <c r="K2811">
        <v>0</v>
      </c>
      <c r="M2811">
        <v>0</v>
      </c>
      <c r="N2811">
        <f t="shared" si="2"/>
        <v>0</v>
      </c>
    </row>
    <row r="2812" spans="1:14" x14ac:dyDescent="0.2">
      <c r="A2812" t="s">
        <v>1990</v>
      </c>
      <c r="B2812">
        <v>0</v>
      </c>
      <c r="C2812">
        <v>0</v>
      </c>
      <c r="D2812">
        <v>0</v>
      </c>
      <c r="E2812">
        <v>0</v>
      </c>
      <c r="F2812">
        <v>0</v>
      </c>
      <c r="G2812">
        <v>0</v>
      </c>
      <c r="H2812">
        <v>0</v>
      </c>
      <c r="I2812">
        <v>0</v>
      </c>
      <c r="J2812">
        <v>0</v>
      </c>
      <c r="K2812">
        <v>0</v>
      </c>
      <c r="M2812">
        <v>0</v>
      </c>
      <c r="N2812">
        <f t="shared" si="2"/>
        <v>0</v>
      </c>
    </row>
    <row r="2813" spans="1:14" x14ac:dyDescent="0.2">
      <c r="A2813" t="s">
        <v>1996</v>
      </c>
      <c r="B2813">
        <v>0</v>
      </c>
      <c r="C2813">
        <v>0</v>
      </c>
      <c r="D2813">
        <v>0</v>
      </c>
      <c r="E2813">
        <v>0</v>
      </c>
      <c r="F2813">
        <v>0</v>
      </c>
      <c r="G2813">
        <v>0</v>
      </c>
      <c r="H2813">
        <v>0</v>
      </c>
      <c r="I2813">
        <v>0</v>
      </c>
      <c r="J2813">
        <v>0</v>
      </c>
      <c r="K2813">
        <v>0</v>
      </c>
      <c r="M2813">
        <v>0</v>
      </c>
      <c r="N2813">
        <f t="shared" si="2"/>
        <v>0</v>
      </c>
    </row>
    <row r="2814" spans="1:14" x14ac:dyDescent="0.2">
      <c r="A2814" t="s">
        <v>1998</v>
      </c>
      <c r="B2814">
        <v>0</v>
      </c>
      <c r="C2814">
        <v>0</v>
      </c>
      <c r="D2814">
        <v>0</v>
      </c>
      <c r="E2814">
        <v>0</v>
      </c>
      <c r="F2814">
        <v>0</v>
      </c>
      <c r="G2814">
        <v>0</v>
      </c>
      <c r="H2814">
        <v>0</v>
      </c>
      <c r="I2814">
        <v>0</v>
      </c>
      <c r="J2814">
        <v>0</v>
      </c>
      <c r="K2814">
        <v>0</v>
      </c>
      <c r="M2814">
        <v>0</v>
      </c>
      <c r="N2814">
        <f t="shared" si="2"/>
        <v>0</v>
      </c>
    </row>
    <row r="2815" spans="1:14" x14ac:dyDescent="0.2">
      <c r="A2815" t="s">
        <v>1999</v>
      </c>
      <c r="B2815">
        <v>0</v>
      </c>
      <c r="C2815">
        <v>0</v>
      </c>
      <c r="D2815">
        <v>0</v>
      </c>
      <c r="E2815">
        <v>0</v>
      </c>
      <c r="F2815">
        <v>0</v>
      </c>
      <c r="G2815">
        <v>0</v>
      </c>
      <c r="H2815">
        <v>0</v>
      </c>
      <c r="I2815">
        <v>0</v>
      </c>
      <c r="J2815">
        <v>0</v>
      </c>
      <c r="K2815">
        <v>0</v>
      </c>
      <c r="M2815">
        <v>0</v>
      </c>
      <c r="N2815">
        <f t="shared" si="2"/>
        <v>0</v>
      </c>
    </row>
    <row r="2816" spans="1:14" x14ac:dyDescent="0.2">
      <c r="A2816" t="s">
        <v>2004</v>
      </c>
      <c r="B2816">
        <v>0</v>
      </c>
      <c r="C2816">
        <v>0</v>
      </c>
      <c r="D2816">
        <v>0</v>
      </c>
      <c r="E2816">
        <v>0</v>
      </c>
      <c r="F2816">
        <v>0</v>
      </c>
      <c r="G2816">
        <v>0</v>
      </c>
      <c r="H2816">
        <v>0</v>
      </c>
      <c r="I2816">
        <v>0</v>
      </c>
      <c r="J2816">
        <v>0</v>
      </c>
      <c r="K2816">
        <v>0</v>
      </c>
      <c r="M2816">
        <v>0</v>
      </c>
      <c r="N2816">
        <f t="shared" si="2"/>
        <v>0</v>
      </c>
    </row>
    <row r="2817" spans="1:14" x14ac:dyDescent="0.2">
      <c r="A2817" t="s">
        <v>2009</v>
      </c>
      <c r="B2817">
        <v>0</v>
      </c>
      <c r="C2817">
        <v>0</v>
      </c>
      <c r="D2817">
        <v>0</v>
      </c>
      <c r="E2817">
        <v>0</v>
      </c>
      <c r="F2817">
        <v>0</v>
      </c>
      <c r="G2817">
        <v>0</v>
      </c>
      <c r="H2817">
        <v>0</v>
      </c>
      <c r="I2817">
        <v>0</v>
      </c>
      <c r="J2817">
        <v>0</v>
      </c>
      <c r="K2817">
        <v>0</v>
      </c>
      <c r="M2817">
        <v>0</v>
      </c>
      <c r="N2817">
        <f t="shared" si="2"/>
        <v>0</v>
      </c>
    </row>
    <row r="2818" spans="1:14" x14ac:dyDescent="0.2">
      <c r="A2818" t="s">
        <v>2014</v>
      </c>
      <c r="B2818">
        <v>0</v>
      </c>
      <c r="C2818">
        <v>0</v>
      </c>
      <c r="D2818">
        <v>0</v>
      </c>
      <c r="E2818">
        <v>0</v>
      </c>
      <c r="F2818">
        <v>0</v>
      </c>
      <c r="G2818">
        <v>0</v>
      </c>
      <c r="H2818">
        <v>0</v>
      </c>
      <c r="I2818">
        <v>0</v>
      </c>
      <c r="J2818">
        <v>0</v>
      </c>
      <c r="K2818">
        <v>0</v>
      </c>
      <c r="M2818">
        <v>0</v>
      </c>
      <c r="N2818">
        <f t="shared" si="2"/>
        <v>0</v>
      </c>
    </row>
    <row r="2819" spans="1:14" x14ac:dyDescent="0.2">
      <c r="A2819" t="s">
        <v>2019</v>
      </c>
      <c r="B2819">
        <v>0</v>
      </c>
      <c r="C2819">
        <v>0</v>
      </c>
      <c r="D2819">
        <v>0</v>
      </c>
      <c r="E2819">
        <v>0</v>
      </c>
      <c r="F2819">
        <v>0</v>
      </c>
      <c r="G2819">
        <v>0</v>
      </c>
      <c r="H2819">
        <v>0</v>
      </c>
      <c r="I2819">
        <v>0</v>
      </c>
      <c r="J2819">
        <v>0</v>
      </c>
      <c r="K2819">
        <v>0</v>
      </c>
      <c r="M2819">
        <v>0</v>
      </c>
      <c r="N2819">
        <f t="shared" si="2"/>
        <v>0</v>
      </c>
    </row>
    <row r="2820" spans="1:14" x14ac:dyDescent="0.2">
      <c r="A2820" t="s">
        <v>2023</v>
      </c>
      <c r="B2820">
        <v>0</v>
      </c>
      <c r="C2820">
        <v>0</v>
      </c>
      <c r="D2820">
        <v>0</v>
      </c>
      <c r="E2820">
        <v>0</v>
      </c>
      <c r="F2820">
        <v>0</v>
      </c>
      <c r="G2820">
        <v>0</v>
      </c>
      <c r="H2820">
        <v>0</v>
      </c>
      <c r="I2820">
        <v>0</v>
      </c>
      <c r="J2820">
        <v>0</v>
      </c>
      <c r="K2820">
        <v>0</v>
      </c>
      <c r="M2820">
        <v>0</v>
      </c>
      <c r="N2820">
        <f t="shared" si="2"/>
        <v>0</v>
      </c>
    </row>
    <row r="2821" spans="1:14" x14ac:dyDescent="0.2">
      <c r="A2821" t="s">
        <v>2026</v>
      </c>
      <c r="B2821">
        <v>0</v>
      </c>
      <c r="C2821">
        <v>0</v>
      </c>
      <c r="D2821">
        <v>0</v>
      </c>
      <c r="E2821">
        <v>0</v>
      </c>
      <c r="F2821">
        <v>0</v>
      </c>
      <c r="G2821">
        <v>0</v>
      </c>
      <c r="H2821">
        <v>0</v>
      </c>
      <c r="I2821">
        <v>0</v>
      </c>
      <c r="J2821">
        <v>0</v>
      </c>
      <c r="K2821">
        <v>0</v>
      </c>
      <c r="M2821">
        <v>0</v>
      </c>
      <c r="N2821">
        <f t="shared" si="2"/>
        <v>0</v>
      </c>
    </row>
    <row r="2822" spans="1:14" x14ac:dyDescent="0.2">
      <c r="A2822" t="s">
        <v>2030</v>
      </c>
      <c r="B2822">
        <v>0</v>
      </c>
      <c r="C2822">
        <v>0</v>
      </c>
      <c r="D2822">
        <v>0</v>
      </c>
      <c r="E2822">
        <v>0</v>
      </c>
      <c r="F2822">
        <v>0</v>
      </c>
      <c r="G2822">
        <v>0</v>
      </c>
      <c r="H2822">
        <v>0</v>
      </c>
      <c r="I2822">
        <v>0</v>
      </c>
      <c r="J2822">
        <v>0</v>
      </c>
      <c r="K2822">
        <v>0</v>
      </c>
      <c r="M2822">
        <v>0</v>
      </c>
      <c r="N2822">
        <f t="shared" si="2"/>
        <v>0</v>
      </c>
    </row>
    <row r="2823" spans="1:14" x14ac:dyDescent="0.2">
      <c r="A2823" t="s">
        <v>2035</v>
      </c>
      <c r="B2823">
        <v>0</v>
      </c>
      <c r="C2823">
        <v>0</v>
      </c>
      <c r="D2823">
        <v>0</v>
      </c>
      <c r="E2823">
        <v>0</v>
      </c>
      <c r="F2823">
        <v>0</v>
      </c>
      <c r="G2823">
        <v>0</v>
      </c>
      <c r="H2823">
        <v>0</v>
      </c>
      <c r="I2823">
        <v>0</v>
      </c>
      <c r="J2823">
        <v>0</v>
      </c>
      <c r="K2823">
        <v>0</v>
      </c>
      <c r="M2823">
        <v>0</v>
      </c>
      <c r="N2823">
        <f t="shared" si="2"/>
        <v>0</v>
      </c>
    </row>
    <row r="2824" spans="1:14" x14ac:dyDescent="0.2">
      <c r="A2824" t="s">
        <v>2040</v>
      </c>
      <c r="B2824">
        <v>0</v>
      </c>
      <c r="C2824">
        <v>0</v>
      </c>
      <c r="D2824">
        <v>0</v>
      </c>
      <c r="E2824">
        <v>0</v>
      </c>
      <c r="F2824">
        <v>0</v>
      </c>
      <c r="G2824">
        <v>0</v>
      </c>
      <c r="H2824">
        <v>0</v>
      </c>
      <c r="I2824">
        <v>0</v>
      </c>
      <c r="J2824">
        <v>0</v>
      </c>
      <c r="K2824">
        <v>0</v>
      </c>
      <c r="M2824">
        <v>0</v>
      </c>
      <c r="N2824">
        <f t="shared" si="2"/>
        <v>0</v>
      </c>
    </row>
    <row r="2825" spans="1:14" x14ac:dyDescent="0.2">
      <c r="A2825" t="s">
        <v>2045</v>
      </c>
      <c r="B2825">
        <v>0</v>
      </c>
      <c r="C2825">
        <v>0</v>
      </c>
      <c r="D2825">
        <v>0</v>
      </c>
      <c r="E2825">
        <v>0</v>
      </c>
      <c r="F2825">
        <v>0</v>
      </c>
      <c r="G2825">
        <v>0</v>
      </c>
      <c r="H2825">
        <v>0</v>
      </c>
      <c r="I2825">
        <v>0</v>
      </c>
      <c r="J2825">
        <v>0</v>
      </c>
      <c r="K2825">
        <v>0</v>
      </c>
      <c r="M2825">
        <v>0</v>
      </c>
      <c r="N2825">
        <f t="shared" si="2"/>
        <v>0</v>
      </c>
    </row>
    <row r="2826" spans="1:14" x14ac:dyDescent="0.2">
      <c r="A2826" t="s">
        <v>2049</v>
      </c>
      <c r="B2826">
        <v>0</v>
      </c>
      <c r="C2826">
        <v>0</v>
      </c>
      <c r="D2826">
        <v>0</v>
      </c>
      <c r="E2826">
        <v>0</v>
      </c>
      <c r="F2826">
        <v>0</v>
      </c>
      <c r="G2826">
        <v>0</v>
      </c>
      <c r="H2826">
        <v>0</v>
      </c>
      <c r="I2826">
        <v>0</v>
      </c>
      <c r="J2826">
        <v>0</v>
      </c>
      <c r="K2826">
        <v>0</v>
      </c>
      <c r="M2826">
        <v>0</v>
      </c>
      <c r="N2826">
        <f t="shared" si="2"/>
        <v>0</v>
      </c>
    </row>
    <row r="2827" spans="1:14" x14ac:dyDescent="0.2">
      <c r="A2827" t="s">
        <v>2051</v>
      </c>
      <c r="B2827">
        <v>0</v>
      </c>
      <c r="C2827">
        <v>0</v>
      </c>
      <c r="D2827">
        <v>0</v>
      </c>
      <c r="E2827">
        <v>0</v>
      </c>
      <c r="F2827">
        <v>0</v>
      </c>
      <c r="G2827">
        <v>0</v>
      </c>
      <c r="H2827">
        <v>0</v>
      </c>
      <c r="I2827">
        <v>0</v>
      </c>
      <c r="J2827">
        <v>7</v>
      </c>
      <c r="K2827">
        <v>0</v>
      </c>
      <c r="M2827">
        <v>8</v>
      </c>
      <c r="N2827">
        <f t="shared" si="2"/>
        <v>-1</v>
      </c>
    </row>
    <row r="2828" spans="1:14" x14ac:dyDescent="0.2">
      <c r="A2828" t="s">
        <v>2057</v>
      </c>
      <c r="B2828">
        <v>0</v>
      </c>
      <c r="C2828">
        <v>0</v>
      </c>
      <c r="D2828">
        <v>0</v>
      </c>
      <c r="E2828">
        <v>0</v>
      </c>
      <c r="F2828">
        <v>0</v>
      </c>
      <c r="G2828">
        <v>0</v>
      </c>
      <c r="H2828">
        <v>0</v>
      </c>
      <c r="I2828">
        <v>0</v>
      </c>
      <c r="J2828">
        <v>11</v>
      </c>
      <c r="K2828">
        <v>0</v>
      </c>
      <c r="M2828">
        <v>12</v>
      </c>
      <c r="N2828">
        <f t="shared" si="2"/>
        <v>-1</v>
      </c>
    </row>
    <row r="2829" spans="1:14" x14ac:dyDescent="0.2">
      <c r="A2829" t="s">
        <v>4344</v>
      </c>
      <c r="B2829">
        <v>0</v>
      </c>
      <c r="C2829">
        <v>0</v>
      </c>
      <c r="D2829">
        <v>0</v>
      </c>
      <c r="E2829">
        <v>0</v>
      </c>
      <c r="F2829">
        <v>0</v>
      </c>
      <c r="G2829">
        <v>0</v>
      </c>
      <c r="H2829">
        <v>0</v>
      </c>
      <c r="I2829">
        <v>0</v>
      </c>
      <c r="J2829">
        <v>0</v>
      </c>
      <c r="K2829">
        <v>0</v>
      </c>
      <c r="M2829">
        <v>0</v>
      </c>
      <c r="N2829">
        <f t="shared" si="2"/>
        <v>0</v>
      </c>
    </row>
    <row r="2830" spans="1:14" x14ac:dyDescent="0.2">
      <c r="A2830" t="s">
        <v>4345</v>
      </c>
      <c r="B2830">
        <v>0</v>
      </c>
      <c r="C2830">
        <v>0</v>
      </c>
      <c r="D2830">
        <v>0</v>
      </c>
      <c r="E2830">
        <v>0</v>
      </c>
      <c r="F2830">
        <v>0</v>
      </c>
      <c r="G2830">
        <v>0</v>
      </c>
      <c r="H2830">
        <v>0</v>
      </c>
      <c r="I2830">
        <v>0</v>
      </c>
      <c r="J2830">
        <v>0</v>
      </c>
      <c r="K2830">
        <v>0</v>
      </c>
      <c r="M2830">
        <v>0</v>
      </c>
      <c r="N2830">
        <f t="shared" si="2"/>
        <v>0</v>
      </c>
    </row>
    <row r="2831" spans="1:14" x14ac:dyDescent="0.2">
      <c r="A2831" t="s">
        <v>2074</v>
      </c>
      <c r="B2831">
        <v>0</v>
      </c>
      <c r="C2831">
        <v>0</v>
      </c>
      <c r="D2831">
        <v>0</v>
      </c>
      <c r="E2831">
        <v>0</v>
      </c>
      <c r="F2831">
        <v>0</v>
      </c>
      <c r="G2831">
        <v>0</v>
      </c>
      <c r="H2831">
        <v>0</v>
      </c>
      <c r="I2831">
        <v>0</v>
      </c>
      <c r="J2831">
        <v>0</v>
      </c>
      <c r="K2831">
        <v>0</v>
      </c>
      <c r="M2831">
        <v>0</v>
      </c>
      <c r="N2831">
        <f t="shared" si="2"/>
        <v>0</v>
      </c>
    </row>
    <row r="2832" spans="1:14" x14ac:dyDescent="0.2">
      <c r="A2832" t="s">
        <v>2079</v>
      </c>
      <c r="B2832">
        <v>0</v>
      </c>
      <c r="C2832">
        <v>0</v>
      </c>
      <c r="D2832">
        <v>0</v>
      </c>
      <c r="E2832">
        <v>0</v>
      </c>
      <c r="F2832">
        <v>0</v>
      </c>
      <c r="G2832">
        <v>0</v>
      </c>
      <c r="H2832">
        <v>0</v>
      </c>
      <c r="I2832">
        <v>0</v>
      </c>
      <c r="J2832">
        <v>0</v>
      </c>
      <c r="K2832">
        <v>0</v>
      </c>
      <c r="M2832">
        <v>0</v>
      </c>
      <c r="N2832">
        <f t="shared" si="2"/>
        <v>0</v>
      </c>
    </row>
    <row r="2833" spans="1:14" x14ac:dyDescent="0.2">
      <c r="A2833" t="s">
        <v>2085</v>
      </c>
      <c r="B2833">
        <v>0</v>
      </c>
      <c r="C2833">
        <v>0</v>
      </c>
      <c r="D2833">
        <v>0</v>
      </c>
      <c r="E2833">
        <v>0</v>
      </c>
      <c r="F2833">
        <v>0</v>
      </c>
      <c r="G2833">
        <v>0</v>
      </c>
      <c r="H2833">
        <v>0</v>
      </c>
      <c r="I2833">
        <v>0</v>
      </c>
      <c r="J2833">
        <v>0</v>
      </c>
      <c r="K2833">
        <v>0</v>
      </c>
      <c r="M2833">
        <v>0</v>
      </c>
      <c r="N2833">
        <f t="shared" si="2"/>
        <v>0</v>
      </c>
    </row>
    <row r="2834" spans="1:14" x14ac:dyDescent="0.2">
      <c r="A2834" t="s">
        <v>2091</v>
      </c>
      <c r="B2834">
        <v>0</v>
      </c>
      <c r="C2834">
        <v>0</v>
      </c>
      <c r="D2834">
        <v>0</v>
      </c>
      <c r="E2834">
        <v>0</v>
      </c>
      <c r="F2834">
        <v>0</v>
      </c>
      <c r="G2834">
        <v>0</v>
      </c>
      <c r="H2834">
        <v>0</v>
      </c>
      <c r="I2834">
        <v>0</v>
      </c>
      <c r="J2834">
        <v>0</v>
      </c>
      <c r="K2834">
        <v>0</v>
      </c>
      <c r="M2834">
        <v>0</v>
      </c>
      <c r="N2834">
        <f t="shared" si="2"/>
        <v>0</v>
      </c>
    </row>
    <row r="2835" spans="1:14" x14ac:dyDescent="0.2">
      <c r="A2835" t="s">
        <v>2097</v>
      </c>
      <c r="B2835">
        <v>0</v>
      </c>
      <c r="C2835">
        <v>0</v>
      </c>
      <c r="D2835">
        <v>0</v>
      </c>
      <c r="E2835">
        <v>0</v>
      </c>
      <c r="F2835">
        <v>0</v>
      </c>
      <c r="G2835">
        <v>0</v>
      </c>
      <c r="H2835">
        <v>0</v>
      </c>
      <c r="I2835">
        <v>0</v>
      </c>
      <c r="J2835">
        <v>0</v>
      </c>
      <c r="K2835">
        <v>0</v>
      </c>
      <c r="M2835">
        <v>0</v>
      </c>
      <c r="N2835">
        <f t="shared" si="2"/>
        <v>0</v>
      </c>
    </row>
    <row r="2836" spans="1:14" x14ac:dyDescent="0.2">
      <c r="A2836" t="s">
        <v>2101</v>
      </c>
      <c r="B2836">
        <v>0</v>
      </c>
      <c r="C2836">
        <v>0</v>
      </c>
      <c r="D2836">
        <v>0</v>
      </c>
      <c r="E2836">
        <v>0</v>
      </c>
      <c r="F2836">
        <v>0</v>
      </c>
      <c r="G2836">
        <v>0</v>
      </c>
      <c r="H2836">
        <v>0</v>
      </c>
      <c r="I2836">
        <v>0</v>
      </c>
      <c r="J2836">
        <v>0</v>
      </c>
      <c r="K2836">
        <v>0</v>
      </c>
      <c r="M2836">
        <v>0</v>
      </c>
      <c r="N2836">
        <f t="shared" si="2"/>
        <v>0</v>
      </c>
    </row>
    <row r="2837" spans="1:14" x14ac:dyDescent="0.2">
      <c r="A2837" t="s">
        <v>2104</v>
      </c>
      <c r="B2837">
        <v>0</v>
      </c>
      <c r="C2837">
        <v>0</v>
      </c>
      <c r="D2837">
        <v>0</v>
      </c>
      <c r="E2837">
        <v>0</v>
      </c>
      <c r="F2837">
        <v>0</v>
      </c>
      <c r="G2837">
        <v>0</v>
      </c>
      <c r="H2837">
        <v>0</v>
      </c>
      <c r="I2837">
        <v>0</v>
      </c>
      <c r="J2837">
        <v>0</v>
      </c>
      <c r="K2837">
        <v>0</v>
      </c>
      <c r="M2837">
        <v>0</v>
      </c>
      <c r="N2837">
        <f t="shared" si="2"/>
        <v>0</v>
      </c>
    </row>
    <row r="2838" spans="1:14" x14ac:dyDescent="0.2">
      <c r="A2838" t="s">
        <v>2107</v>
      </c>
      <c r="B2838">
        <v>0</v>
      </c>
      <c r="C2838">
        <v>0</v>
      </c>
      <c r="D2838">
        <v>0</v>
      </c>
      <c r="E2838">
        <v>0</v>
      </c>
      <c r="F2838">
        <v>0</v>
      </c>
      <c r="G2838">
        <v>0</v>
      </c>
      <c r="H2838">
        <v>0</v>
      </c>
      <c r="I2838">
        <v>0</v>
      </c>
      <c r="J2838">
        <v>0</v>
      </c>
      <c r="K2838">
        <v>0</v>
      </c>
      <c r="M2838">
        <v>0</v>
      </c>
      <c r="N2838">
        <f t="shared" si="2"/>
        <v>0</v>
      </c>
    </row>
    <row r="2839" spans="1:14" x14ac:dyDescent="0.2">
      <c r="A2839" t="s">
        <v>2110</v>
      </c>
      <c r="B2839">
        <v>0</v>
      </c>
      <c r="C2839">
        <v>0</v>
      </c>
      <c r="D2839">
        <v>0</v>
      </c>
      <c r="E2839">
        <v>0</v>
      </c>
      <c r="F2839">
        <v>0</v>
      </c>
      <c r="G2839">
        <v>0</v>
      </c>
      <c r="H2839">
        <v>0</v>
      </c>
      <c r="I2839">
        <v>0</v>
      </c>
      <c r="J2839">
        <v>0</v>
      </c>
      <c r="K2839">
        <v>0</v>
      </c>
      <c r="M2839">
        <v>0</v>
      </c>
      <c r="N2839">
        <f t="shared" si="2"/>
        <v>0</v>
      </c>
    </row>
    <row r="2840" spans="1:14" x14ac:dyDescent="0.2">
      <c r="A2840" t="s">
        <v>2113</v>
      </c>
      <c r="B2840">
        <v>0</v>
      </c>
      <c r="C2840">
        <v>0</v>
      </c>
      <c r="D2840">
        <v>0</v>
      </c>
      <c r="E2840">
        <v>0</v>
      </c>
      <c r="F2840">
        <v>0</v>
      </c>
      <c r="G2840">
        <v>0</v>
      </c>
      <c r="H2840">
        <v>0</v>
      </c>
      <c r="I2840">
        <v>0</v>
      </c>
      <c r="J2840">
        <v>0</v>
      </c>
      <c r="K2840">
        <v>0</v>
      </c>
      <c r="M2840">
        <v>0</v>
      </c>
      <c r="N2840">
        <f t="shared" si="2"/>
        <v>0</v>
      </c>
    </row>
    <row r="2841" spans="1:14" x14ac:dyDescent="0.2">
      <c r="A2841" t="s">
        <v>4346</v>
      </c>
      <c r="B2841">
        <v>0</v>
      </c>
      <c r="C2841">
        <v>0</v>
      </c>
      <c r="D2841">
        <v>0</v>
      </c>
      <c r="E2841">
        <v>0</v>
      </c>
      <c r="F2841">
        <v>0</v>
      </c>
      <c r="G2841">
        <v>0</v>
      </c>
      <c r="H2841">
        <v>0</v>
      </c>
      <c r="I2841">
        <v>0</v>
      </c>
      <c r="J2841">
        <v>0</v>
      </c>
      <c r="K2841">
        <v>0</v>
      </c>
      <c r="M2841">
        <v>0</v>
      </c>
      <c r="N2841">
        <f t="shared" si="2"/>
        <v>0</v>
      </c>
    </row>
    <row r="2842" spans="1:14" x14ac:dyDescent="0.2">
      <c r="A2842" t="s">
        <v>4347</v>
      </c>
      <c r="B2842">
        <v>0</v>
      </c>
      <c r="C2842">
        <v>0</v>
      </c>
      <c r="D2842">
        <v>0</v>
      </c>
      <c r="E2842">
        <v>0</v>
      </c>
      <c r="F2842">
        <v>0</v>
      </c>
      <c r="G2842">
        <v>0</v>
      </c>
      <c r="H2842">
        <v>0</v>
      </c>
      <c r="I2842">
        <v>0</v>
      </c>
      <c r="J2842">
        <v>0</v>
      </c>
      <c r="K2842">
        <v>0</v>
      </c>
      <c r="M2842">
        <v>0</v>
      </c>
      <c r="N2842">
        <f t="shared" si="2"/>
        <v>0</v>
      </c>
    </row>
    <row r="2843" spans="1:14" x14ac:dyDescent="0.2">
      <c r="A2843" t="s">
        <v>4348</v>
      </c>
      <c r="B2843">
        <v>0</v>
      </c>
      <c r="C2843">
        <v>0</v>
      </c>
      <c r="D2843">
        <v>0</v>
      </c>
      <c r="E2843">
        <v>0</v>
      </c>
      <c r="F2843">
        <v>0</v>
      </c>
      <c r="G2843">
        <v>0</v>
      </c>
      <c r="H2843">
        <v>0</v>
      </c>
      <c r="I2843">
        <v>0</v>
      </c>
      <c r="J2843">
        <v>0</v>
      </c>
      <c r="K2843">
        <v>0</v>
      </c>
      <c r="M2843">
        <v>0</v>
      </c>
      <c r="N2843">
        <f t="shared" si="2"/>
        <v>0</v>
      </c>
    </row>
    <row r="2844" spans="1:14" x14ac:dyDescent="0.2">
      <c r="A2844" t="s">
        <v>4349</v>
      </c>
      <c r="B2844">
        <v>0</v>
      </c>
      <c r="C2844">
        <v>0</v>
      </c>
      <c r="D2844">
        <v>0</v>
      </c>
      <c r="E2844">
        <v>0</v>
      </c>
      <c r="F2844">
        <v>0</v>
      </c>
      <c r="G2844">
        <v>0</v>
      </c>
      <c r="H2844">
        <v>0</v>
      </c>
      <c r="I2844">
        <v>0</v>
      </c>
      <c r="J2844">
        <v>0</v>
      </c>
      <c r="K2844">
        <v>0</v>
      </c>
      <c r="M2844">
        <v>0</v>
      </c>
      <c r="N2844">
        <f t="shared" si="2"/>
        <v>0</v>
      </c>
    </row>
    <row r="2845" spans="1:14" x14ac:dyDescent="0.2">
      <c r="A2845" t="s">
        <v>4350</v>
      </c>
      <c r="B2845">
        <v>13</v>
      </c>
      <c r="C2845">
        <v>0</v>
      </c>
      <c r="D2845">
        <v>3</v>
      </c>
      <c r="E2845">
        <v>17</v>
      </c>
      <c r="F2845">
        <v>22</v>
      </c>
      <c r="G2845">
        <v>0</v>
      </c>
      <c r="H2845">
        <v>0</v>
      </c>
      <c r="I2845">
        <v>0</v>
      </c>
      <c r="J2845">
        <v>75</v>
      </c>
      <c r="K2845">
        <v>0</v>
      </c>
      <c r="M2845">
        <v>78</v>
      </c>
      <c r="N2845">
        <f t="shared" si="2"/>
        <v>-3</v>
      </c>
    </row>
    <row r="2846" spans="1:14" x14ac:dyDescent="0.2">
      <c r="A2846" t="s">
        <v>4351</v>
      </c>
      <c r="B2846">
        <v>0</v>
      </c>
      <c r="C2846">
        <v>0</v>
      </c>
      <c r="D2846">
        <v>0</v>
      </c>
      <c r="E2846">
        <v>0</v>
      </c>
      <c r="F2846">
        <v>0</v>
      </c>
      <c r="G2846">
        <v>0</v>
      </c>
      <c r="H2846">
        <v>0</v>
      </c>
      <c r="I2846">
        <v>0</v>
      </c>
      <c r="J2846">
        <v>0</v>
      </c>
      <c r="K2846">
        <v>0</v>
      </c>
      <c r="M2846">
        <v>11</v>
      </c>
      <c r="N2846">
        <f t="shared" si="2"/>
        <v>-11</v>
      </c>
    </row>
    <row r="2847" spans="1:14" x14ac:dyDescent="0.2">
      <c r="A2847" t="s">
        <v>4352</v>
      </c>
      <c r="B2847">
        <v>0</v>
      </c>
      <c r="C2847">
        <v>0</v>
      </c>
      <c r="D2847">
        <v>0</v>
      </c>
      <c r="E2847">
        <v>0</v>
      </c>
      <c r="F2847">
        <v>0</v>
      </c>
      <c r="G2847">
        <v>0</v>
      </c>
      <c r="H2847">
        <v>0</v>
      </c>
      <c r="I2847">
        <v>0</v>
      </c>
      <c r="J2847">
        <v>0</v>
      </c>
      <c r="K2847">
        <v>0</v>
      </c>
      <c r="M2847">
        <v>0</v>
      </c>
      <c r="N2847">
        <f t="shared" si="2"/>
        <v>0</v>
      </c>
    </row>
    <row r="2848" spans="1:14" x14ac:dyDescent="0.2">
      <c r="A2848" t="s">
        <v>4353</v>
      </c>
      <c r="B2848">
        <v>36</v>
      </c>
      <c r="C2848">
        <v>0</v>
      </c>
      <c r="D2848">
        <v>8</v>
      </c>
      <c r="E2848">
        <v>49</v>
      </c>
      <c r="F2848">
        <v>26</v>
      </c>
      <c r="G2848">
        <v>0</v>
      </c>
      <c r="H2848">
        <v>0</v>
      </c>
      <c r="I2848">
        <v>0</v>
      </c>
      <c r="J2848">
        <v>91</v>
      </c>
      <c r="K2848">
        <v>0</v>
      </c>
      <c r="M2848">
        <v>27</v>
      </c>
      <c r="N2848">
        <f t="shared" si="2"/>
        <v>64</v>
      </c>
    </row>
    <row r="2849" spans="1:14" x14ac:dyDescent="0.2">
      <c r="A2849" t="s">
        <v>4354</v>
      </c>
      <c r="B2849">
        <v>21</v>
      </c>
      <c r="C2849">
        <v>0</v>
      </c>
      <c r="D2849">
        <v>5</v>
      </c>
      <c r="E2849">
        <v>29</v>
      </c>
      <c r="F2849">
        <v>10</v>
      </c>
      <c r="G2849">
        <v>0</v>
      </c>
      <c r="H2849">
        <v>0</v>
      </c>
      <c r="I2849">
        <v>0</v>
      </c>
      <c r="J2849">
        <v>42</v>
      </c>
      <c r="K2849">
        <v>0</v>
      </c>
      <c r="M2849">
        <v>12</v>
      </c>
      <c r="N2849">
        <f t="shared" si="2"/>
        <v>30</v>
      </c>
    </row>
    <row r="2850" spans="1:14" x14ac:dyDescent="0.2">
      <c r="A2850" t="s">
        <v>4355</v>
      </c>
      <c r="B2850">
        <v>0</v>
      </c>
      <c r="C2850">
        <v>0</v>
      </c>
      <c r="D2850">
        <v>0</v>
      </c>
      <c r="E2850">
        <v>0</v>
      </c>
      <c r="F2850">
        <v>0</v>
      </c>
      <c r="G2850">
        <v>0</v>
      </c>
      <c r="H2850">
        <v>0</v>
      </c>
      <c r="I2850">
        <v>0</v>
      </c>
      <c r="J2850">
        <v>0</v>
      </c>
      <c r="K2850">
        <v>0</v>
      </c>
      <c r="M2850">
        <v>0</v>
      </c>
      <c r="N2850">
        <f t="shared" si="2"/>
        <v>0</v>
      </c>
    </row>
    <row r="2851" spans="1:14" x14ac:dyDescent="0.2">
      <c r="A2851" t="s">
        <v>4356</v>
      </c>
      <c r="B2851">
        <v>0</v>
      </c>
      <c r="C2851">
        <v>0</v>
      </c>
      <c r="D2851">
        <v>0</v>
      </c>
      <c r="E2851">
        <v>0</v>
      </c>
      <c r="F2851">
        <v>0</v>
      </c>
      <c r="G2851">
        <v>0</v>
      </c>
      <c r="H2851">
        <v>0</v>
      </c>
      <c r="I2851">
        <v>0</v>
      </c>
      <c r="J2851">
        <v>0</v>
      </c>
      <c r="K2851">
        <v>0</v>
      </c>
      <c r="M2851">
        <v>0</v>
      </c>
      <c r="N2851">
        <f t="shared" si="2"/>
        <v>0</v>
      </c>
    </row>
    <row r="2852" spans="1:14" x14ac:dyDescent="0.2">
      <c r="A2852" t="s">
        <v>4357</v>
      </c>
      <c r="B2852">
        <v>1</v>
      </c>
      <c r="C2852">
        <v>0</v>
      </c>
      <c r="D2852">
        <v>0</v>
      </c>
      <c r="E2852">
        <v>2</v>
      </c>
      <c r="F2852">
        <v>2</v>
      </c>
      <c r="G2852">
        <v>0</v>
      </c>
      <c r="H2852">
        <v>0</v>
      </c>
      <c r="I2852">
        <v>0</v>
      </c>
      <c r="J2852">
        <v>8</v>
      </c>
      <c r="K2852">
        <v>0</v>
      </c>
      <c r="M2852">
        <v>0</v>
      </c>
      <c r="N2852">
        <f t="shared" si="2"/>
        <v>8</v>
      </c>
    </row>
    <row r="2853" spans="1:14" x14ac:dyDescent="0.2">
      <c r="A2853" t="s">
        <v>4358</v>
      </c>
      <c r="B2853">
        <v>0</v>
      </c>
      <c r="C2853">
        <v>0</v>
      </c>
      <c r="D2853">
        <v>0</v>
      </c>
      <c r="E2853">
        <v>0</v>
      </c>
      <c r="F2853">
        <v>0</v>
      </c>
      <c r="G2853">
        <v>0</v>
      </c>
      <c r="H2853">
        <v>0</v>
      </c>
      <c r="I2853">
        <v>0</v>
      </c>
      <c r="J2853">
        <v>1</v>
      </c>
      <c r="K2853">
        <v>0</v>
      </c>
      <c r="M2853">
        <v>1</v>
      </c>
      <c r="N2853">
        <f t="shared" si="2"/>
        <v>0</v>
      </c>
    </row>
    <row r="2854" spans="1:14" x14ac:dyDescent="0.2">
      <c r="A2854" t="s">
        <v>4359</v>
      </c>
      <c r="B2854">
        <v>0</v>
      </c>
      <c r="C2854">
        <v>0</v>
      </c>
      <c r="D2854">
        <v>0</v>
      </c>
      <c r="E2854">
        <v>0</v>
      </c>
      <c r="F2854">
        <v>0</v>
      </c>
      <c r="G2854">
        <v>0</v>
      </c>
      <c r="H2854">
        <v>0</v>
      </c>
      <c r="I2854">
        <v>0</v>
      </c>
      <c r="J2854">
        <v>0</v>
      </c>
      <c r="K2854">
        <v>0</v>
      </c>
      <c r="M2854">
        <v>0</v>
      </c>
      <c r="N2854">
        <f t="shared" si="2"/>
        <v>0</v>
      </c>
    </row>
    <row r="2855" spans="1:14" x14ac:dyDescent="0.2">
      <c r="A2855" t="s">
        <v>4360</v>
      </c>
      <c r="B2855">
        <v>0</v>
      </c>
      <c r="C2855">
        <v>0</v>
      </c>
      <c r="D2855">
        <v>0</v>
      </c>
      <c r="E2855">
        <v>1</v>
      </c>
      <c r="F2855">
        <v>0</v>
      </c>
      <c r="G2855">
        <v>0</v>
      </c>
      <c r="H2855">
        <v>0</v>
      </c>
      <c r="I2855">
        <v>0</v>
      </c>
      <c r="J2855">
        <v>0</v>
      </c>
      <c r="K2855">
        <v>0</v>
      </c>
      <c r="M2855">
        <v>0</v>
      </c>
      <c r="N2855">
        <f t="shared" si="2"/>
        <v>0</v>
      </c>
    </row>
    <row r="2856" spans="1:14" x14ac:dyDescent="0.2">
      <c r="A2856" t="s">
        <v>4361</v>
      </c>
      <c r="B2856">
        <v>2</v>
      </c>
      <c r="C2856">
        <v>0</v>
      </c>
      <c r="D2856">
        <v>0</v>
      </c>
      <c r="E2856">
        <v>2</v>
      </c>
      <c r="F2856">
        <v>2</v>
      </c>
      <c r="G2856">
        <v>0</v>
      </c>
      <c r="H2856">
        <v>0</v>
      </c>
      <c r="I2856">
        <v>0</v>
      </c>
      <c r="J2856">
        <v>10</v>
      </c>
      <c r="K2856">
        <v>0</v>
      </c>
      <c r="M2856">
        <v>1</v>
      </c>
      <c r="N2856">
        <f t="shared" si="2"/>
        <v>9</v>
      </c>
    </row>
    <row r="2857" spans="1:14" x14ac:dyDescent="0.2">
      <c r="A2857" t="s">
        <v>4362</v>
      </c>
      <c r="B2857">
        <v>0</v>
      </c>
      <c r="C2857">
        <v>0</v>
      </c>
      <c r="D2857">
        <v>0</v>
      </c>
      <c r="E2857">
        <v>0</v>
      </c>
      <c r="F2857">
        <v>0</v>
      </c>
      <c r="G2857">
        <v>0</v>
      </c>
      <c r="H2857">
        <v>0</v>
      </c>
      <c r="I2857">
        <v>0</v>
      </c>
      <c r="J2857">
        <v>0</v>
      </c>
      <c r="K2857">
        <v>0</v>
      </c>
      <c r="M2857">
        <v>0</v>
      </c>
      <c r="N2857">
        <f t="shared" si="2"/>
        <v>0</v>
      </c>
    </row>
    <row r="2858" spans="1:14" x14ac:dyDescent="0.2">
      <c r="A2858" t="s">
        <v>4363</v>
      </c>
      <c r="B2858">
        <v>0</v>
      </c>
      <c r="C2858">
        <v>0</v>
      </c>
      <c r="D2858">
        <v>0</v>
      </c>
      <c r="E2858">
        <v>0</v>
      </c>
      <c r="F2858">
        <v>0</v>
      </c>
      <c r="G2858">
        <v>0</v>
      </c>
      <c r="H2858">
        <v>0</v>
      </c>
      <c r="I2858">
        <v>0</v>
      </c>
      <c r="J2858">
        <v>0</v>
      </c>
      <c r="K2858">
        <v>0</v>
      </c>
      <c r="M2858">
        <v>0</v>
      </c>
      <c r="N2858">
        <f t="shared" si="2"/>
        <v>0</v>
      </c>
    </row>
    <row r="2859" spans="1:14" x14ac:dyDescent="0.2">
      <c r="A2859" t="s">
        <v>4364</v>
      </c>
      <c r="B2859">
        <v>0</v>
      </c>
      <c r="C2859">
        <v>0</v>
      </c>
      <c r="D2859">
        <v>0</v>
      </c>
      <c r="E2859">
        <v>0</v>
      </c>
      <c r="F2859">
        <v>0</v>
      </c>
      <c r="G2859">
        <v>0</v>
      </c>
      <c r="H2859">
        <v>0</v>
      </c>
      <c r="I2859">
        <v>0</v>
      </c>
      <c r="J2859">
        <v>0</v>
      </c>
      <c r="K2859">
        <v>0</v>
      </c>
      <c r="M2859">
        <v>0</v>
      </c>
      <c r="N2859">
        <f t="shared" si="2"/>
        <v>0</v>
      </c>
    </row>
    <row r="2860" spans="1:14" x14ac:dyDescent="0.2">
      <c r="A2860" t="s">
        <v>4365</v>
      </c>
      <c r="B2860">
        <v>0</v>
      </c>
      <c r="C2860">
        <v>0</v>
      </c>
      <c r="D2860">
        <v>0</v>
      </c>
      <c r="E2860">
        <v>0</v>
      </c>
      <c r="F2860">
        <v>3</v>
      </c>
      <c r="G2860">
        <v>0</v>
      </c>
      <c r="H2860">
        <v>0</v>
      </c>
      <c r="I2860">
        <v>0</v>
      </c>
      <c r="J2860">
        <v>4</v>
      </c>
      <c r="K2860">
        <v>0</v>
      </c>
      <c r="M2860">
        <v>7</v>
      </c>
      <c r="N2860">
        <f t="shared" si="2"/>
        <v>-3</v>
      </c>
    </row>
    <row r="2861" spans="1:14" x14ac:dyDescent="0.2">
      <c r="A2861" t="s">
        <v>4366</v>
      </c>
      <c r="B2861">
        <v>0</v>
      </c>
      <c r="C2861">
        <v>0</v>
      </c>
      <c r="D2861">
        <v>0</v>
      </c>
      <c r="E2861">
        <v>0</v>
      </c>
      <c r="F2861">
        <v>0</v>
      </c>
      <c r="G2861">
        <v>0</v>
      </c>
      <c r="H2861">
        <v>0</v>
      </c>
      <c r="I2861">
        <v>0</v>
      </c>
      <c r="J2861">
        <v>0</v>
      </c>
      <c r="K2861">
        <v>0</v>
      </c>
      <c r="M2861">
        <v>0</v>
      </c>
      <c r="N2861">
        <f t="shared" si="2"/>
        <v>0</v>
      </c>
    </row>
    <row r="2862" spans="1:14" x14ac:dyDescent="0.2">
      <c r="A2862" t="s">
        <v>4367</v>
      </c>
      <c r="B2862">
        <v>0</v>
      </c>
      <c r="C2862">
        <v>0</v>
      </c>
      <c r="D2862">
        <v>0</v>
      </c>
      <c r="E2862">
        <v>0</v>
      </c>
      <c r="F2862">
        <v>0</v>
      </c>
      <c r="G2862">
        <v>0</v>
      </c>
      <c r="H2862">
        <v>0</v>
      </c>
      <c r="I2862">
        <v>0</v>
      </c>
      <c r="J2862">
        <v>0</v>
      </c>
      <c r="K2862">
        <v>0</v>
      </c>
      <c r="M2862">
        <v>0</v>
      </c>
      <c r="N2862">
        <f t="shared" si="2"/>
        <v>0</v>
      </c>
    </row>
    <row r="2863" spans="1:14" x14ac:dyDescent="0.2">
      <c r="A2863" t="s">
        <v>4368</v>
      </c>
      <c r="B2863">
        <v>9</v>
      </c>
      <c r="C2863">
        <v>0</v>
      </c>
      <c r="D2863">
        <v>2</v>
      </c>
      <c r="E2863">
        <v>107</v>
      </c>
      <c r="F2863">
        <v>3</v>
      </c>
      <c r="G2863">
        <v>0</v>
      </c>
      <c r="H2863">
        <v>0</v>
      </c>
      <c r="I2863">
        <v>0</v>
      </c>
      <c r="J2863">
        <v>9</v>
      </c>
      <c r="K2863">
        <v>0</v>
      </c>
      <c r="M2863">
        <v>6</v>
      </c>
      <c r="N2863">
        <f t="shared" si="2"/>
        <v>3</v>
      </c>
    </row>
    <row r="2864" spans="1:14" x14ac:dyDescent="0.2">
      <c r="A2864" t="s">
        <v>4369</v>
      </c>
      <c r="B2864">
        <v>8</v>
      </c>
      <c r="C2864">
        <v>0</v>
      </c>
      <c r="D2864">
        <v>2</v>
      </c>
      <c r="E2864">
        <v>31</v>
      </c>
      <c r="F2864">
        <v>46</v>
      </c>
      <c r="G2864">
        <v>0</v>
      </c>
      <c r="H2864">
        <v>0</v>
      </c>
      <c r="I2864">
        <v>0</v>
      </c>
      <c r="J2864">
        <v>144</v>
      </c>
      <c r="K2864">
        <v>0</v>
      </c>
      <c r="M2864">
        <v>916</v>
      </c>
      <c r="N2864">
        <f t="shared" si="2"/>
        <v>-772</v>
      </c>
    </row>
    <row r="2865" spans="1:14" x14ac:dyDescent="0.2">
      <c r="A2865" t="s">
        <v>4370</v>
      </c>
      <c r="B2865">
        <v>0</v>
      </c>
      <c r="C2865">
        <v>0</v>
      </c>
      <c r="D2865">
        <v>0</v>
      </c>
      <c r="E2865">
        <v>0</v>
      </c>
      <c r="F2865">
        <v>0</v>
      </c>
      <c r="G2865">
        <v>0</v>
      </c>
      <c r="H2865">
        <v>0</v>
      </c>
      <c r="I2865">
        <v>0</v>
      </c>
      <c r="J2865">
        <v>0</v>
      </c>
      <c r="K2865">
        <v>0</v>
      </c>
      <c r="M2865">
        <v>0</v>
      </c>
      <c r="N2865">
        <f t="shared" si="2"/>
        <v>0</v>
      </c>
    </row>
    <row r="2866" spans="1:14" x14ac:dyDescent="0.2">
      <c r="A2866" t="s">
        <v>4371</v>
      </c>
      <c r="B2866">
        <v>0</v>
      </c>
      <c r="C2866">
        <v>0</v>
      </c>
      <c r="D2866">
        <v>0</v>
      </c>
      <c r="E2866">
        <v>0</v>
      </c>
      <c r="F2866">
        <v>0</v>
      </c>
      <c r="G2866">
        <v>0</v>
      </c>
      <c r="H2866">
        <v>0</v>
      </c>
      <c r="I2866">
        <v>0</v>
      </c>
      <c r="J2866">
        <v>0</v>
      </c>
      <c r="K2866">
        <v>0</v>
      </c>
      <c r="M2866">
        <v>0</v>
      </c>
      <c r="N2866">
        <f t="shared" si="2"/>
        <v>0</v>
      </c>
    </row>
    <row r="2867" spans="1:14" x14ac:dyDescent="0.2">
      <c r="A2867" t="s">
        <v>4372</v>
      </c>
      <c r="B2867">
        <v>0</v>
      </c>
      <c r="C2867">
        <v>0</v>
      </c>
      <c r="D2867">
        <v>0</v>
      </c>
      <c r="E2867">
        <v>0</v>
      </c>
      <c r="F2867">
        <v>0</v>
      </c>
      <c r="G2867">
        <v>0</v>
      </c>
      <c r="H2867">
        <v>0</v>
      </c>
      <c r="I2867">
        <v>0</v>
      </c>
      <c r="J2867">
        <v>0</v>
      </c>
      <c r="K2867">
        <v>0</v>
      </c>
      <c r="M2867">
        <v>0</v>
      </c>
      <c r="N2867">
        <f t="shared" si="2"/>
        <v>0</v>
      </c>
    </row>
    <row r="2868" spans="1:14" x14ac:dyDescent="0.2">
      <c r="A2868" t="s">
        <v>4373</v>
      </c>
      <c r="B2868">
        <v>3</v>
      </c>
      <c r="C2868">
        <v>0</v>
      </c>
      <c r="D2868">
        <v>1</v>
      </c>
      <c r="E2868">
        <v>4</v>
      </c>
      <c r="F2868">
        <v>0</v>
      </c>
      <c r="G2868">
        <v>0</v>
      </c>
      <c r="H2868">
        <v>0</v>
      </c>
      <c r="I2868">
        <v>0</v>
      </c>
      <c r="J2868">
        <v>17</v>
      </c>
      <c r="K2868">
        <v>0</v>
      </c>
      <c r="M2868">
        <v>17</v>
      </c>
      <c r="N2868">
        <f t="shared" ref="N2868:N2873" si="3">J2868-M2868</f>
        <v>0</v>
      </c>
    </row>
    <row r="2869" spans="1:14" x14ac:dyDescent="0.2">
      <c r="A2869" t="s">
        <v>4374</v>
      </c>
      <c r="B2869">
        <v>5</v>
      </c>
      <c r="C2869">
        <v>0</v>
      </c>
      <c r="D2869">
        <v>1</v>
      </c>
      <c r="E2869">
        <v>7</v>
      </c>
      <c r="F2869">
        <v>0</v>
      </c>
      <c r="G2869">
        <v>0</v>
      </c>
      <c r="H2869">
        <v>0</v>
      </c>
      <c r="I2869">
        <v>0</v>
      </c>
      <c r="J2869">
        <v>1</v>
      </c>
      <c r="K2869">
        <v>0</v>
      </c>
      <c r="M2869">
        <v>1</v>
      </c>
      <c r="N2869">
        <f t="shared" si="3"/>
        <v>0</v>
      </c>
    </row>
    <row r="2870" spans="1:14" x14ac:dyDescent="0.2">
      <c r="A2870" t="s">
        <v>4375</v>
      </c>
      <c r="B2870">
        <v>1</v>
      </c>
      <c r="C2870">
        <v>0</v>
      </c>
      <c r="D2870">
        <v>0</v>
      </c>
      <c r="E2870">
        <v>2</v>
      </c>
      <c r="F2870">
        <v>11</v>
      </c>
      <c r="G2870">
        <v>0</v>
      </c>
      <c r="H2870">
        <v>0</v>
      </c>
      <c r="I2870">
        <v>0</v>
      </c>
      <c r="J2870">
        <v>13</v>
      </c>
      <c r="K2870">
        <v>0</v>
      </c>
      <c r="M2870">
        <v>13</v>
      </c>
      <c r="N2870">
        <f t="shared" si="3"/>
        <v>0</v>
      </c>
    </row>
    <row r="2871" spans="1:14" x14ac:dyDescent="0.2">
      <c r="A2871" t="s">
        <v>4376</v>
      </c>
      <c r="B2871">
        <v>0</v>
      </c>
      <c r="C2871">
        <v>0</v>
      </c>
      <c r="D2871">
        <v>0</v>
      </c>
      <c r="E2871">
        <v>0</v>
      </c>
      <c r="F2871">
        <v>0</v>
      </c>
      <c r="G2871">
        <v>0</v>
      </c>
      <c r="H2871">
        <v>0</v>
      </c>
      <c r="I2871">
        <v>0</v>
      </c>
      <c r="J2871">
        <v>0</v>
      </c>
      <c r="K2871">
        <v>0</v>
      </c>
      <c r="M2871">
        <v>0</v>
      </c>
      <c r="N2871">
        <f t="shared" si="3"/>
        <v>0</v>
      </c>
    </row>
    <row r="2872" spans="1:14" x14ac:dyDescent="0.2">
      <c r="A2872" t="s">
        <v>4377</v>
      </c>
      <c r="B2872">
        <v>0</v>
      </c>
      <c r="C2872">
        <v>0</v>
      </c>
      <c r="D2872">
        <v>0</v>
      </c>
      <c r="E2872">
        <v>0</v>
      </c>
      <c r="F2872">
        <v>9</v>
      </c>
      <c r="G2872">
        <v>0</v>
      </c>
      <c r="H2872">
        <v>0</v>
      </c>
      <c r="I2872">
        <v>0</v>
      </c>
      <c r="J2872">
        <v>2</v>
      </c>
      <c r="K2872">
        <v>0</v>
      </c>
      <c r="M2872">
        <v>2</v>
      </c>
      <c r="N2872">
        <f t="shared" si="3"/>
        <v>0</v>
      </c>
    </row>
    <row r="2873" spans="1:14" x14ac:dyDescent="0.2">
      <c r="A2873" t="s">
        <v>4854</v>
      </c>
      <c r="B2873">
        <v>3679</v>
      </c>
      <c r="C2873">
        <v>0</v>
      </c>
      <c r="D2873">
        <v>910</v>
      </c>
      <c r="E2873">
        <v>6920</v>
      </c>
      <c r="F2873">
        <v>2524</v>
      </c>
      <c r="G2873">
        <v>0</v>
      </c>
      <c r="H2873">
        <v>0</v>
      </c>
      <c r="I2873">
        <v>0</v>
      </c>
      <c r="J2873">
        <v>7695</v>
      </c>
      <c r="K2873">
        <v>0</v>
      </c>
      <c r="M2873">
        <v>5519</v>
      </c>
      <c r="N2873">
        <f t="shared" si="3"/>
        <v>2176</v>
      </c>
    </row>
    <row r="2874" spans="1:14" x14ac:dyDescent="0.2">
      <c r="A2874" t="s">
        <v>2318</v>
      </c>
      <c r="B2874" t="s">
        <v>4399</v>
      </c>
      <c r="C2874" t="s">
        <v>4399</v>
      </c>
      <c r="D2874" t="s">
        <v>4399</v>
      </c>
      <c r="E2874" t="s">
        <v>4399</v>
      </c>
      <c r="F2874" t="s">
        <v>4399</v>
      </c>
      <c r="G2874" t="s">
        <v>4399</v>
      </c>
      <c r="H2874" t="s">
        <v>4399</v>
      </c>
      <c r="I2874" t="s">
        <v>4399</v>
      </c>
      <c r="J2874" t="s">
        <v>4399</v>
      </c>
      <c r="K2874" t="s">
        <v>4399</v>
      </c>
    </row>
    <row r="2875" spans="1:14" x14ac:dyDescent="0.2">
      <c r="A2875" t="s">
        <v>4248</v>
      </c>
    </row>
    <row r="2876" spans="1:14" x14ac:dyDescent="0.2">
      <c r="A2876" t="s">
        <v>4855</v>
      </c>
      <c r="B2876" t="s">
        <v>4856</v>
      </c>
      <c r="C2876" t="s">
        <v>4857</v>
      </c>
      <c r="D2876" t="s">
        <v>4858</v>
      </c>
      <c r="E2876" t="s">
        <v>4859</v>
      </c>
      <c r="F2876" t="s">
        <v>4860</v>
      </c>
      <c r="G2876" t="s">
        <v>4874</v>
      </c>
    </row>
    <row r="2877" spans="1:14" x14ac:dyDescent="0.2">
      <c r="A2877" t="s">
        <v>2318</v>
      </c>
      <c r="B2877" t="s">
        <v>4399</v>
      </c>
      <c r="C2877" t="s">
        <v>4399</v>
      </c>
      <c r="D2877" t="s">
        <v>4399</v>
      </c>
      <c r="E2877" t="s">
        <v>4399</v>
      </c>
      <c r="F2877" t="s">
        <v>4399</v>
      </c>
      <c r="G2877" t="s">
        <v>4399</v>
      </c>
      <c r="H2877" t="s">
        <v>4399</v>
      </c>
      <c r="I2877" t="s">
        <v>4399</v>
      </c>
      <c r="J2877" t="s">
        <v>4399</v>
      </c>
      <c r="K2877" t="s">
        <v>4399</v>
      </c>
    </row>
    <row r="2878" spans="1:14" x14ac:dyDescent="0.2">
      <c r="A2878" t="s">
        <v>126</v>
      </c>
      <c r="B2878" t="s">
        <v>4464</v>
      </c>
      <c r="C2878" t="s">
        <v>4468</v>
      </c>
      <c r="D2878" t="s">
        <v>4472</v>
      </c>
      <c r="E2878" t="s">
        <v>4476</v>
      </c>
      <c r="F2878" t="s">
        <v>4480</v>
      </c>
      <c r="G2878" t="s">
        <v>4484</v>
      </c>
      <c r="H2878" t="s">
        <v>4488</v>
      </c>
      <c r="I2878" t="s">
        <v>4492</v>
      </c>
      <c r="J2878" t="s">
        <v>4496</v>
      </c>
      <c r="K2878" t="s">
        <v>4500</v>
      </c>
    </row>
    <row r="2879" spans="1:14" x14ac:dyDescent="0.2">
      <c r="A2879" t="s">
        <v>2318</v>
      </c>
      <c r="B2879" t="s">
        <v>4399</v>
      </c>
      <c r="C2879" t="s">
        <v>4399</v>
      </c>
      <c r="D2879" t="s">
        <v>4399</v>
      </c>
      <c r="E2879" t="s">
        <v>4399</v>
      </c>
      <c r="F2879" t="s">
        <v>4399</v>
      </c>
      <c r="G2879" t="s">
        <v>4399</v>
      </c>
      <c r="H2879" t="s">
        <v>4399</v>
      </c>
      <c r="I2879" t="s">
        <v>4399</v>
      </c>
      <c r="J2879" t="s">
        <v>4399</v>
      </c>
      <c r="K2879" t="s">
        <v>4399</v>
      </c>
    </row>
    <row r="2880" spans="1:14" x14ac:dyDescent="0.2">
      <c r="A2880" t="s">
        <v>4265</v>
      </c>
      <c r="B2880">
        <v>0</v>
      </c>
      <c r="C2880">
        <v>0</v>
      </c>
      <c r="D2880">
        <v>0</v>
      </c>
      <c r="E2880">
        <v>0</v>
      </c>
      <c r="F2880">
        <v>0</v>
      </c>
      <c r="G2880">
        <v>0</v>
      </c>
      <c r="H2880">
        <v>0</v>
      </c>
      <c r="I2880">
        <v>0</v>
      </c>
      <c r="J2880">
        <v>0</v>
      </c>
      <c r="K2880">
        <v>0</v>
      </c>
    </row>
    <row r="2881" spans="1:11" x14ac:dyDescent="0.2">
      <c r="A2881" t="s">
        <v>4266</v>
      </c>
      <c r="B2881">
        <v>0</v>
      </c>
      <c r="C2881">
        <v>0</v>
      </c>
      <c r="D2881">
        <v>0</v>
      </c>
      <c r="E2881">
        <v>0</v>
      </c>
      <c r="F2881">
        <v>0</v>
      </c>
      <c r="G2881">
        <v>0</v>
      </c>
      <c r="H2881">
        <v>0</v>
      </c>
      <c r="I2881">
        <v>0</v>
      </c>
      <c r="J2881">
        <v>0</v>
      </c>
      <c r="K2881">
        <v>0</v>
      </c>
    </row>
    <row r="2882" spans="1:11" x14ac:dyDescent="0.2">
      <c r="A2882" t="s">
        <v>4267</v>
      </c>
      <c r="B2882">
        <v>0</v>
      </c>
      <c r="C2882">
        <v>0</v>
      </c>
      <c r="D2882">
        <v>0</v>
      </c>
      <c r="E2882">
        <v>0</v>
      </c>
      <c r="F2882">
        <v>0</v>
      </c>
      <c r="G2882">
        <v>0</v>
      </c>
      <c r="H2882">
        <v>0</v>
      </c>
      <c r="I2882">
        <v>0</v>
      </c>
      <c r="J2882">
        <v>0</v>
      </c>
      <c r="K2882">
        <v>0</v>
      </c>
    </row>
    <row r="2883" spans="1:11" x14ac:dyDescent="0.2">
      <c r="A2883" t="s">
        <v>4268</v>
      </c>
      <c r="B2883">
        <v>0</v>
      </c>
      <c r="C2883">
        <v>0</v>
      </c>
      <c r="D2883">
        <v>0</v>
      </c>
      <c r="E2883">
        <v>0</v>
      </c>
      <c r="F2883">
        <v>0</v>
      </c>
      <c r="G2883">
        <v>0</v>
      </c>
      <c r="H2883">
        <v>0</v>
      </c>
      <c r="I2883">
        <v>0</v>
      </c>
      <c r="J2883">
        <v>0</v>
      </c>
      <c r="K2883">
        <v>0</v>
      </c>
    </row>
    <row r="2884" spans="1:11" x14ac:dyDescent="0.2">
      <c r="A2884" t="s">
        <v>4269</v>
      </c>
      <c r="B2884">
        <v>0</v>
      </c>
      <c r="C2884">
        <v>0</v>
      </c>
      <c r="D2884">
        <v>0</v>
      </c>
      <c r="E2884">
        <v>0</v>
      </c>
      <c r="F2884">
        <v>0</v>
      </c>
      <c r="G2884">
        <v>0</v>
      </c>
      <c r="H2884">
        <v>0</v>
      </c>
      <c r="I2884">
        <v>1</v>
      </c>
      <c r="J2884">
        <v>0</v>
      </c>
      <c r="K2884">
        <v>0</v>
      </c>
    </row>
    <row r="2885" spans="1:11" x14ac:dyDescent="0.2">
      <c r="A2885" t="s">
        <v>4270</v>
      </c>
      <c r="B2885">
        <v>0</v>
      </c>
      <c r="C2885">
        <v>0</v>
      </c>
      <c r="D2885">
        <v>0</v>
      </c>
      <c r="E2885">
        <v>0</v>
      </c>
      <c r="F2885">
        <v>0</v>
      </c>
      <c r="G2885">
        <v>0</v>
      </c>
      <c r="H2885">
        <v>0</v>
      </c>
      <c r="I2885">
        <v>0</v>
      </c>
      <c r="J2885">
        <v>0</v>
      </c>
      <c r="K2885">
        <v>0</v>
      </c>
    </row>
    <row r="2886" spans="1:11" x14ac:dyDescent="0.2">
      <c r="A2886" t="s">
        <v>4271</v>
      </c>
      <c r="B2886">
        <v>0</v>
      </c>
      <c r="C2886">
        <v>0</v>
      </c>
      <c r="D2886">
        <v>0</v>
      </c>
      <c r="E2886">
        <v>0</v>
      </c>
      <c r="F2886">
        <v>0</v>
      </c>
      <c r="G2886">
        <v>0</v>
      </c>
      <c r="H2886">
        <v>0</v>
      </c>
      <c r="I2886">
        <v>0</v>
      </c>
      <c r="J2886">
        <v>0</v>
      </c>
      <c r="K2886">
        <v>0</v>
      </c>
    </row>
    <row r="2887" spans="1:11" x14ac:dyDescent="0.2">
      <c r="A2887" t="s">
        <v>4272</v>
      </c>
      <c r="B2887">
        <v>0</v>
      </c>
      <c r="C2887">
        <v>0</v>
      </c>
      <c r="D2887">
        <v>0</v>
      </c>
      <c r="E2887">
        <v>0</v>
      </c>
      <c r="F2887">
        <v>0</v>
      </c>
      <c r="G2887">
        <v>0</v>
      </c>
      <c r="H2887">
        <v>0</v>
      </c>
      <c r="I2887">
        <v>0</v>
      </c>
      <c r="J2887">
        <v>0</v>
      </c>
      <c r="K2887">
        <v>0</v>
      </c>
    </row>
    <row r="2888" spans="1:11" x14ac:dyDescent="0.2">
      <c r="A2888" t="s">
        <v>4273</v>
      </c>
      <c r="B2888">
        <v>0</v>
      </c>
      <c r="C2888">
        <v>0</v>
      </c>
      <c r="D2888">
        <v>0</v>
      </c>
      <c r="E2888">
        <v>0</v>
      </c>
      <c r="F2888">
        <v>0</v>
      </c>
      <c r="G2888">
        <v>0</v>
      </c>
      <c r="H2888">
        <v>0</v>
      </c>
      <c r="I2888">
        <v>0</v>
      </c>
      <c r="J2888">
        <v>0</v>
      </c>
      <c r="K2888">
        <v>0</v>
      </c>
    </row>
    <row r="2889" spans="1:11" x14ac:dyDescent="0.2">
      <c r="A2889" t="s">
        <v>4274</v>
      </c>
      <c r="B2889">
        <v>0</v>
      </c>
      <c r="C2889">
        <v>0</v>
      </c>
      <c r="D2889">
        <v>0</v>
      </c>
      <c r="E2889">
        <v>0</v>
      </c>
      <c r="F2889">
        <v>0</v>
      </c>
      <c r="G2889">
        <v>0</v>
      </c>
      <c r="H2889">
        <v>0</v>
      </c>
      <c r="I2889">
        <v>0</v>
      </c>
      <c r="J2889">
        <v>0</v>
      </c>
      <c r="K2889">
        <v>0</v>
      </c>
    </row>
    <row r="2890" spans="1:11" x14ac:dyDescent="0.2">
      <c r="A2890" t="s">
        <v>4275</v>
      </c>
      <c r="B2890">
        <v>0</v>
      </c>
      <c r="C2890">
        <v>0</v>
      </c>
      <c r="D2890">
        <v>0</v>
      </c>
      <c r="E2890">
        <v>0</v>
      </c>
      <c r="F2890">
        <v>0</v>
      </c>
      <c r="G2890">
        <v>0</v>
      </c>
      <c r="H2890">
        <v>0</v>
      </c>
      <c r="I2890">
        <v>0</v>
      </c>
      <c r="J2890">
        <v>0</v>
      </c>
      <c r="K2890">
        <v>0</v>
      </c>
    </row>
    <row r="2891" spans="1:11" x14ac:dyDescent="0.2">
      <c r="A2891" t="s">
        <v>4276</v>
      </c>
      <c r="B2891">
        <v>0</v>
      </c>
      <c r="C2891">
        <v>0</v>
      </c>
      <c r="D2891">
        <v>0</v>
      </c>
      <c r="E2891">
        <v>0</v>
      </c>
      <c r="F2891">
        <v>0</v>
      </c>
      <c r="G2891">
        <v>0</v>
      </c>
      <c r="H2891">
        <v>0</v>
      </c>
      <c r="I2891">
        <v>0</v>
      </c>
      <c r="J2891">
        <v>0</v>
      </c>
      <c r="K2891">
        <v>0</v>
      </c>
    </row>
    <row r="2892" spans="1:11" x14ac:dyDescent="0.2">
      <c r="A2892" t="s">
        <v>4277</v>
      </c>
      <c r="B2892">
        <v>0</v>
      </c>
      <c r="C2892">
        <v>0</v>
      </c>
      <c r="D2892">
        <v>0</v>
      </c>
      <c r="E2892">
        <v>0</v>
      </c>
      <c r="F2892">
        <v>0</v>
      </c>
      <c r="G2892">
        <v>0</v>
      </c>
      <c r="H2892">
        <v>0</v>
      </c>
      <c r="I2892">
        <v>0</v>
      </c>
      <c r="J2892">
        <v>0</v>
      </c>
      <c r="K2892">
        <v>0</v>
      </c>
    </row>
    <row r="2893" spans="1:11" x14ac:dyDescent="0.2">
      <c r="A2893" t="s">
        <v>4278</v>
      </c>
      <c r="B2893">
        <v>0</v>
      </c>
      <c r="C2893">
        <v>0</v>
      </c>
      <c r="D2893">
        <v>0</v>
      </c>
      <c r="E2893">
        <v>0</v>
      </c>
      <c r="F2893">
        <v>0</v>
      </c>
      <c r="G2893">
        <v>0</v>
      </c>
      <c r="H2893">
        <v>0</v>
      </c>
      <c r="I2893">
        <v>0</v>
      </c>
      <c r="J2893">
        <v>0</v>
      </c>
      <c r="K2893">
        <v>0</v>
      </c>
    </row>
    <row r="2894" spans="1:11" x14ac:dyDescent="0.2">
      <c r="A2894" t="s">
        <v>4279</v>
      </c>
      <c r="B2894">
        <v>0</v>
      </c>
      <c r="C2894">
        <v>3</v>
      </c>
      <c r="D2894">
        <v>0</v>
      </c>
      <c r="E2894">
        <v>0</v>
      </c>
      <c r="F2894">
        <v>0</v>
      </c>
      <c r="G2894">
        <v>0</v>
      </c>
      <c r="H2894">
        <v>0</v>
      </c>
      <c r="I2894">
        <v>3</v>
      </c>
      <c r="J2894">
        <v>1</v>
      </c>
      <c r="K2894">
        <v>0</v>
      </c>
    </row>
    <row r="2895" spans="1:11" x14ac:dyDescent="0.2">
      <c r="A2895" t="s">
        <v>4280</v>
      </c>
      <c r="B2895">
        <v>0</v>
      </c>
      <c r="C2895">
        <v>0</v>
      </c>
      <c r="D2895">
        <v>0</v>
      </c>
      <c r="E2895">
        <v>0</v>
      </c>
      <c r="F2895">
        <v>0</v>
      </c>
      <c r="G2895">
        <v>0</v>
      </c>
      <c r="H2895">
        <v>0</v>
      </c>
      <c r="I2895">
        <v>0</v>
      </c>
      <c r="J2895">
        <v>1</v>
      </c>
      <c r="K2895">
        <v>0</v>
      </c>
    </row>
    <row r="2896" spans="1:11" x14ac:dyDescent="0.2">
      <c r="A2896" t="s">
        <v>4281</v>
      </c>
      <c r="B2896">
        <v>17</v>
      </c>
      <c r="C2896">
        <v>431</v>
      </c>
      <c r="D2896">
        <v>0</v>
      </c>
      <c r="E2896">
        <v>0</v>
      </c>
      <c r="F2896">
        <v>91</v>
      </c>
      <c r="G2896">
        <v>0</v>
      </c>
      <c r="H2896">
        <v>0</v>
      </c>
      <c r="I2896">
        <v>764</v>
      </c>
      <c r="J2896">
        <v>287</v>
      </c>
      <c r="K2896">
        <v>0</v>
      </c>
    </row>
    <row r="2897" spans="1:11" x14ac:dyDescent="0.2">
      <c r="A2897" t="s">
        <v>4282</v>
      </c>
      <c r="B2897">
        <v>10</v>
      </c>
      <c r="C2897">
        <v>144</v>
      </c>
      <c r="D2897">
        <v>0</v>
      </c>
      <c r="E2897">
        <v>0</v>
      </c>
      <c r="F2897">
        <v>53</v>
      </c>
      <c r="G2897">
        <v>0</v>
      </c>
      <c r="H2897">
        <v>0</v>
      </c>
      <c r="I2897">
        <v>217</v>
      </c>
      <c r="J2897">
        <v>94</v>
      </c>
      <c r="K2897">
        <v>0</v>
      </c>
    </row>
    <row r="2898" spans="1:11" x14ac:dyDescent="0.2">
      <c r="A2898" t="s">
        <v>4283</v>
      </c>
      <c r="B2898">
        <v>3</v>
      </c>
      <c r="C2898">
        <v>102</v>
      </c>
      <c r="D2898">
        <v>0</v>
      </c>
      <c r="E2898">
        <v>0</v>
      </c>
      <c r="F2898">
        <v>7</v>
      </c>
      <c r="G2898">
        <v>0</v>
      </c>
      <c r="H2898">
        <v>0</v>
      </c>
      <c r="I2898">
        <v>76</v>
      </c>
      <c r="J2898">
        <v>70</v>
      </c>
      <c r="K2898">
        <v>0</v>
      </c>
    </row>
    <row r="2899" spans="1:11" x14ac:dyDescent="0.2">
      <c r="A2899" t="s">
        <v>4284</v>
      </c>
      <c r="B2899">
        <v>0</v>
      </c>
      <c r="C2899">
        <v>4</v>
      </c>
      <c r="D2899">
        <v>0</v>
      </c>
      <c r="E2899">
        <v>0</v>
      </c>
      <c r="F2899">
        <v>2</v>
      </c>
      <c r="G2899">
        <v>0</v>
      </c>
      <c r="H2899">
        <v>0</v>
      </c>
      <c r="I2899">
        <v>7</v>
      </c>
      <c r="J2899">
        <v>5</v>
      </c>
      <c r="K2899">
        <v>0</v>
      </c>
    </row>
    <row r="2900" spans="1:11" x14ac:dyDescent="0.2">
      <c r="A2900" t="s">
        <v>4285</v>
      </c>
      <c r="B2900">
        <v>16</v>
      </c>
      <c r="C2900">
        <v>369</v>
      </c>
      <c r="D2900">
        <v>0</v>
      </c>
      <c r="E2900">
        <v>0</v>
      </c>
      <c r="F2900">
        <v>78</v>
      </c>
      <c r="G2900">
        <v>0</v>
      </c>
      <c r="H2900">
        <v>0</v>
      </c>
      <c r="I2900">
        <v>602</v>
      </c>
      <c r="J2900">
        <v>325</v>
      </c>
      <c r="K2900">
        <v>0</v>
      </c>
    </row>
    <row r="2901" spans="1:11" x14ac:dyDescent="0.2">
      <c r="A2901" t="s">
        <v>4286</v>
      </c>
      <c r="B2901">
        <v>3</v>
      </c>
      <c r="C2901">
        <v>24</v>
      </c>
      <c r="D2901">
        <v>0</v>
      </c>
      <c r="E2901">
        <v>0</v>
      </c>
      <c r="F2901">
        <v>6</v>
      </c>
      <c r="G2901">
        <v>0</v>
      </c>
      <c r="H2901">
        <v>0</v>
      </c>
      <c r="I2901">
        <v>20</v>
      </c>
      <c r="J2901">
        <v>21</v>
      </c>
      <c r="K2901">
        <v>0</v>
      </c>
    </row>
    <row r="2902" spans="1:11" x14ac:dyDescent="0.2">
      <c r="A2902" t="s">
        <v>4287</v>
      </c>
      <c r="B2902">
        <v>1</v>
      </c>
      <c r="C2902">
        <v>31</v>
      </c>
      <c r="D2902">
        <v>0</v>
      </c>
      <c r="E2902">
        <v>0</v>
      </c>
      <c r="F2902">
        <v>1</v>
      </c>
      <c r="G2902">
        <v>0</v>
      </c>
      <c r="H2902">
        <v>0</v>
      </c>
      <c r="I2902">
        <v>10</v>
      </c>
      <c r="J2902">
        <v>55</v>
      </c>
      <c r="K2902">
        <v>0</v>
      </c>
    </row>
    <row r="2903" spans="1:11" x14ac:dyDescent="0.2">
      <c r="A2903" t="s">
        <v>4288</v>
      </c>
      <c r="B2903">
        <v>0</v>
      </c>
      <c r="C2903">
        <v>0</v>
      </c>
      <c r="D2903">
        <v>0</v>
      </c>
      <c r="E2903">
        <v>0</v>
      </c>
      <c r="F2903">
        <v>0</v>
      </c>
      <c r="G2903">
        <v>0</v>
      </c>
      <c r="H2903">
        <v>0</v>
      </c>
      <c r="I2903">
        <v>0</v>
      </c>
      <c r="J2903">
        <v>0</v>
      </c>
      <c r="K2903">
        <v>0</v>
      </c>
    </row>
    <row r="2904" spans="1:11" x14ac:dyDescent="0.2">
      <c r="A2904" t="s">
        <v>4289</v>
      </c>
      <c r="B2904">
        <v>0</v>
      </c>
      <c r="C2904">
        <v>0</v>
      </c>
      <c r="D2904">
        <v>0</v>
      </c>
      <c r="E2904">
        <v>0</v>
      </c>
      <c r="F2904">
        <v>0</v>
      </c>
      <c r="G2904">
        <v>0</v>
      </c>
      <c r="H2904">
        <v>0</v>
      </c>
      <c r="I2904">
        <v>0</v>
      </c>
      <c r="J2904">
        <v>0</v>
      </c>
      <c r="K2904">
        <v>0</v>
      </c>
    </row>
    <row r="2905" spans="1:11" x14ac:dyDescent="0.2">
      <c r="A2905" t="s">
        <v>4290</v>
      </c>
      <c r="B2905">
        <v>0</v>
      </c>
      <c r="C2905">
        <v>0</v>
      </c>
      <c r="D2905">
        <v>0</v>
      </c>
      <c r="E2905">
        <v>0</v>
      </c>
      <c r="F2905">
        <v>0</v>
      </c>
      <c r="G2905">
        <v>0</v>
      </c>
      <c r="H2905">
        <v>0</v>
      </c>
      <c r="I2905">
        <v>0</v>
      </c>
      <c r="J2905">
        <v>0</v>
      </c>
      <c r="K2905">
        <v>0</v>
      </c>
    </row>
    <row r="2906" spans="1:11" x14ac:dyDescent="0.2">
      <c r="A2906" t="s">
        <v>4291</v>
      </c>
      <c r="B2906">
        <v>0</v>
      </c>
      <c r="C2906">
        <v>0</v>
      </c>
      <c r="D2906">
        <v>0</v>
      </c>
      <c r="E2906">
        <v>0</v>
      </c>
      <c r="F2906">
        <v>0</v>
      </c>
      <c r="G2906">
        <v>0</v>
      </c>
      <c r="H2906">
        <v>0</v>
      </c>
      <c r="I2906">
        <v>0</v>
      </c>
      <c r="J2906">
        <v>0</v>
      </c>
      <c r="K2906">
        <v>0</v>
      </c>
    </row>
    <row r="2907" spans="1:11" x14ac:dyDescent="0.2">
      <c r="A2907" t="s">
        <v>4292</v>
      </c>
      <c r="B2907">
        <v>0</v>
      </c>
      <c r="C2907">
        <v>0</v>
      </c>
      <c r="D2907">
        <v>0</v>
      </c>
      <c r="E2907">
        <v>0</v>
      </c>
      <c r="F2907">
        <v>0</v>
      </c>
      <c r="G2907">
        <v>0</v>
      </c>
      <c r="H2907">
        <v>0</v>
      </c>
      <c r="I2907">
        <v>0</v>
      </c>
      <c r="J2907">
        <v>0</v>
      </c>
      <c r="K2907">
        <v>0</v>
      </c>
    </row>
    <row r="2908" spans="1:11" x14ac:dyDescent="0.2">
      <c r="A2908" t="s">
        <v>4293</v>
      </c>
      <c r="B2908">
        <v>0</v>
      </c>
      <c r="C2908">
        <v>0</v>
      </c>
      <c r="D2908">
        <v>0</v>
      </c>
      <c r="E2908">
        <v>0</v>
      </c>
      <c r="F2908">
        <v>0</v>
      </c>
      <c r="G2908">
        <v>0</v>
      </c>
      <c r="H2908">
        <v>0</v>
      </c>
      <c r="I2908">
        <v>0</v>
      </c>
      <c r="J2908">
        <v>0</v>
      </c>
      <c r="K2908">
        <v>0</v>
      </c>
    </row>
    <row r="2909" spans="1:11" x14ac:dyDescent="0.2">
      <c r="A2909" t="s">
        <v>4294</v>
      </c>
      <c r="B2909">
        <v>0</v>
      </c>
      <c r="C2909">
        <v>0</v>
      </c>
      <c r="D2909">
        <v>0</v>
      </c>
      <c r="E2909">
        <v>0</v>
      </c>
      <c r="F2909">
        <v>0</v>
      </c>
      <c r="G2909">
        <v>0</v>
      </c>
      <c r="H2909">
        <v>0</v>
      </c>
      <c r="I2909">
        <v>0</v>
      </c>
      <c r="J2909">
        <v>0</v>
      </c>
      <c r="K2909">
        <v>0</v>
      </c>
    </row>
    <row r="2910" spans="1:11" x14ac:dyDescent="0.2">
      <c r="A2910" t="s">
        <v>4295</v>
      </c>
      <c r="B2910">
        <v>0</v>
      </c>
      <c r="C2910">
        <v>0</v>
      </c>
      <c r="D2910">
        <v>0</v>
      </c>
      <c r="E2910">
        <v>0</v>
      </c>
      <c r="F2910">
        <v>0</v>
      </c>
      <c r="G2910">
        <v>0</v>
      </c>
      <c r="H2910">
        <v>0</v>
      </c>
      <c r="I2910">
        <v>0</v>
      </c>
      <c r="J2910">
        <v>0</v>
      </c>
      <c r="K2910">
        <v>0</v>
      </c>
    </row>
    <row r="2911" spans="1:11" x14ac:dyDescent="0.2">
      <c r="A2911" t="s">
        <v>4296</v>
      </c>
      <c r="B2911">
        <v>0</v>
      </c>
      <c r="C2911">
        <v>0</v>
      </c>
      <c r="D2911">
        <v>0</v>
      </c>
      <c r="E2911">
        <v>0</v>
      </c>
      <c r="F2911">
        <v>0</v>
      </c>
      <c r="G2911">
        <v>0</v>
      </c>
      <c r="H2911">
        <v>0</v>
      </c>
      <c r="I2911">
        <v>0</v>
      </c>
      <c r="J2911">
        <v>0</v>
      </c>
      <c r="K2911">
        <v>0</v>
      </c>
    </row>
    <row r="2912" spans="1:11" x14ac:dyDescent="0.2">
      <c r="A2912" t="s">
        <v>4297</v>
      </c>
      <c r="B2912">
        <v>18</v>
      </c>
      <c r="C2912">
        <v>529</v>
      </c>
      <c r="D2912">
        <v>0</v>
      </c>
      <c r="E2912">
        <v>0</v>
      </c>
      <c r="F2912">
        <v>70</v>
      </c>
      <c r="G2912">
        <v>0</v>
      </c>
      <c r="H2912">
        <v>0</v>
      </c>
      <c r="I2912">
        <v>693</v>
      </c>
      <c r="J2912">
        <v>287</v>
      </c>
      <c r="K2912">
        <v>0</v>
      </c>
    </row>
    <row r="2913" spans="1:11" x14ac:dyDescent="0.2">
      <c r="A2913" t="s">
        <v>4298</v>
      </c>
      <c r="B2913">
        <v>10</v>
      </c>
      <c r="C2913">
        <v>169</v>
      </c>
      <c r="D2913">
        <v>0</v>
      </c>
      <c r="E2913">
        <v>0</v>
      </c>
      <c r="F2913">
        <v>13</v>
      </c>
      <c r="G2913">
        <v>0</v>
      </c>
      <c r="H2913">
        <v>0</v>
      </c>
      <c r="I2913">
        <v>77</v>
      </c>
      <c r="J2913">
        <v>223</v>
      </c>
      <c r="K2913">
        <v>0</v>
      </c>
    </row>
    <row r="2914" spans="1:11" x14ac:dyDescent="0.2">
      <c r="A2914" t="s">
        <v>4299</v>
      </c>
      <c r="B2914">
        <v>30</v>
      </c>
      <c r="C2914">
        <v>485</v>
      </c>
      <c r="D2914">
        <v>0</v>
      </c>
      <c r="E2914">
        <v>0</v>
      </c>
      <c r="F2914">
        <v>198</v>
      </c>
      <c r="G2914">
        <v>0</v>
      </c>
      <c r="H2914">
        <v>0</v>
      </c>
      <c r="I2914">
        <v>982</v>
      </c>
      <c r="J2914">
        <v>404</v>
      </c>
      <c r="K2914">
        <v>0</v>
      </c>
    </row>
    <row r="2915" spans="1:11" x14ac:dyDescent="0.2">
      <c r="A2915" t="s">
        <v>4300</v>
      </c>
      <c r="B2915">
        <v>2</v>
      </c>
      <c r="C2915">
        <v>10</v>
      </c>
      <c r="D2915">
        <v>0</v>
      </c>
      <c r="E2915">
        <v>0</v>
      </c>
      <c r="F2915">
        <v>10</v>
      </c>
      <c r="G2915">
        <v>0</v>
      </c>
      <c r="H2915">
        <v>0</v>
      </c>
      <c r="I2915">
        <v>19</v>
      </c>
      <c r="J2915">
        <v>26</v>
      </c>
      <c r="K2915">
        <v>0</v>
      </c>
    </row>
    <row r="2916" spans="1:11" x14ac:dyDescent="0.2">
      <c r="A2916" t="s">
        <v>4301</v>
      </c>
      <c r="B2916">
        <v>54</v>
      </c>
      <c r="C2916">
        <v>1535</v>
      </c>
      <c r="D2916">
        <v>0</v>
      </c>
      <c r="E2916">
        <v>0</v>
      </c>
      <c r="F2916">
        <v>225</v>
      </c>
      <c r="G2916">
        <v>0</v>
      </c>
      <c r="H2916">
        <v>0</v>
      </c>
      <c r="I2916">
        <v>2205</v>
      </c>
      <c r="J2916">
        <v>1452</v>
      </c>
      <c r="K2916">
        <v>0</v>
      </c>
    </row>
    <row r="2917" spans="1:11" x14ac:dyDescent="0.2">
      <c r="A2917" t="s">
        <v>4302</v>
      </c>
      <c r="B2917">
        <v>15</v>
      </c>
      <c r="C2917">
        <v>274</v>
      </c>
      <c r="D2917">
        <v>0</v>
      </c>
      <c r="E2917">
        <v>0</v>
      </c>
      <c r="F2917">
        <v>77</v>
      </c>
      <c r="G2917">
        <v>0</v>
      </c>
      <c r="H2917">
        <v>0</v>
      </c>
      <c r="I2917">
        <v>483</v>
      </c>
      <c r="J2917">
        <v>156</v>
      </c>
      <c r="K2917">
        <v>0</v>
      </c>
    </row>
    <row r="2918" spans="1:11" x14ac:dyDescent="0.2">
      <c r="A2918" t="s">
        <v>4303</v>
      </c>
      <c r="B2918">
        <v>53</v>
      </c>
      <c r="C2918">
        <v>323</v>
      </c>
      <c r="D2918">
        <v>0</v>
      </c>
      <c r="E2918">
        <v>0</v>
      </c>
      <c r="F2918">
        <v>262</v>
      </c>
      <c r="G2918">
        <v>0</v>
      </c>
      <c r="H2918">
        <v>0</v>
      </c>
      <c r="I2918">
        <v>533</v>
      </c>
      <c r="J2918">
        <v>524</v>
      </c>
      <c r="K2918">
        <v>0</v>
      </c>
    </row>
    <row r="2919" spans="1:11" x14ac:dyDescent="0.2">
      <c r="A2919" t="s">
        <v>4304</v>
      </c>
      <c r="B2919">
        <v>9</v>
      </c>
      <c r="C2919">
        <v>252</v>
      </c>
      <c r="D2919">
        <v>0</v>
      </c>
      <c r="E2919">
        <v>0</v>
      </c>
      <c r="F2919">
        <v>104</v>
      </c>
      <c r="G2919">
        <v>0</v>
      </c>
      <c r="H2919">
        <v>0</v>
      </c>
      <c r="I2919">
        <v>984</v>
      </c>
      <c r="J2919">
        <v>48</v>
      </c>
      <c r="K2919">
        <v>0</v>
      </c>
    </row>
    <row r="2920" spans="1:11" x14ac:dyDescent="0.2">
      <c r="A2920" t="s">
        <v>4305</v>
      </c>
      <c r="B2920">
        <v>12</v>
      </c>
      <c r="C2920">
        <v>367</v>
      </c>
      <c r="D2920">
        <v>0</v>
      </c>
      <c r="E2920">
        <v>0</v>
      </c>
      <c r="F2920">
        <v>29</v>
      </c>
      <c r="G2920">
        <v>0</v>
      </c>
      <c r="H2920">
        <v>0</v>
      </c>
      <c r="I2920">
        <v>300</v>
      </c>
      <c r="J2920">
        <v>111</v>
      </c>
      <c r="K2920">
        <v>0</v>
      </c>
    </row>
    <row r="2921" spans="1:11" x14ac:dyDescent="0.2">
      <c r="A2921" t="s">
        <v>4306</v>
      </c>
      <c r="B2921">
        <v>3</v>
      </c>
      <c r="C2921">
        <v>52</v>
      </c>
      <c r="D2921">
        <v>0</v>
      </c>
      <c r="E2921">
        <v>0</v>
      </c>
      <c r="F2921">
        <v>17</v>
      </c>
      <c r="G2921">
        <v>0</v>
      </c>
      <c r="H2921">
        <v>0</v>
      </c>
      <c r="I2921">
        <v>98</v>
      </c>
      <c r="J2921">
        <v>45</v>
      </c>
      <c r="K2921">
        <v>0</v>
      </c>
    </row>
    <row r="2922" spans="1:11" x14ac:dyDescent="0.2">
      <c r="A2922" t="s">
        <v>4307</v>
      </c>
      <c r="B2922">
        <v>87</v>
      </c>
      <c r="C2922">
        <v>526</v>
      </c>
      <c r="D2922">
        <v>0</v>
      </c>
      <c r="E2922">
        <v>0</v>
      </c>
      <c r="F2922">
        <v>457</v>
      </c>
      <c r="G2922">
        <v>0</v>
      </c>
      <c r="H2922">
        <v>0</v>
      </c>
      <c r="I2922">
        <v>945</v>
      </c>
      <c r="J2922">
        <v>2050</v>
      </c>
      <c r="K2922">
        <v>0</v>
      </c>
    </row>
    <row r="2923" spans="1:11" x14ac:dyDescent="0.2">
      <c r="A2923" t="s">
        <v>4308</v>
      </c>
      <c r="B2923">
        <v>0</v>
      </c>
      <c r="C2923">
        <v>0</v>
      </c>
      <c r="D2923">
        <v>0</v>
      </c>
      <c r="E2923">
        <v>0</v>
      </c>
      <c r="F2923">
        <v>0</v>
      </c>
      <c r="G2923">
        <v>0</v>
      </c>
      <c r="H2923">
        <v>0</v>
      </c>
      <c r="I2923">
        <v>1</v>
      </c>
      <c r="J2923">
        <v>2</v>
      </c>
      <c r="K2923">
        <v>0</v>
      </c>
    </row>
    <row r="2924" spans="1:11" x14ac:dyDescent="0.2">
      <c r="A2924" t="s">
        <v>4309</v>
      </c>
      <c r="B2924">
        <v>0</v>
      </c>
      <c r="C2924">
        <v>0</v>
      </c>
      <c r="D2924">
        <v>0</v>
      </c>
      <c r="E2924">
        <v>0</v>
      </c>
      <c r="F2924">
        <v>0</v>
      </c>
      <c r="G2924">
        <v>0</v>
      </c>
      <c r="H2924">
        <v>0</v>
      </c>
      <c r="I2924">
        <v>0</v>
      </c>
      <c r="J2924">
        <v>0</v>
      </c>
      <c r="K2924">
        <v>0</v>
      </c>
    </row>
    <row r="2925" spans="1:11" x14ac:dyDescent="0.2">
      <c r="A2925" t="s">
        <v>4310</v>
      </c>
      <c r="B2925">
        <v>0</v>
      </c>
      <c r="C2925">
        <v>0</v>
      </c>
      <c r="D2925">
        <v>0</v>
      </c>
      <c r="E2925">
        <v>0</v>
      </c>
      <c r="F2925">
        <v>0</v>
      </c>
      <c r="G2925">
        <v>0</v>
      </c>
      <c r="H2925">
        <v>0</v>
      </c>
      <c r="I2925">
        <v>0</v>
      </c>
      <c r="J2925">
        <v>0</v>
      </c>
      <c r="K2925">
        <v>0</v>
      </c>
    </row>
    <row r="2926" spans="1:11" x14ac:dyDescent="0.2">
      <c r="A2926" t="s">
        <v>4311</v>
      </c>
      <c r="B2926">
        <v>0</v>
      </c>
      <c r="C2926">
        <v>2</v>
      </c>
      <c r="D2926">
        <v>0</v>
      </c>
      <c r="E2926">
        <v>0</v>
      </c>
      <c r="F2926">
        <v>0</v>
      </c>
      <c r="G2926">
        <v>0</v>
      </c>
      <c r="H2926">
        <v>0</v>
      </c>
      <c r="I2926">
        <v>0</v>
      </c>
      <c r="J2926">
        <v>669</v>
      </c>
      <c r="K2926">
        <v>0</v>
      </c>
    </row>
    <row r="2927" spans="1:11" x14ac:dyDescent="0.2">
      <c r="A2927" t="s">
        <v>4312</v>
      </c>
      <c r="B2927">
        <v>3</v>
      </c>
      <c r="C2927">
        <v>17</v>
      </c>
      <c r="D2927">
        <v>0</v>
      </c>
      <c r="E2927">
        <v>0</v>
      </c>
      <c r="F2927">
        <v>11</v>
      </c>
      <c r="G2927">
        <v>0</v>
      </c>
      <c r="H2927">
        <v>0</v>
      </c>
      <c r="I2927">
        <v>21</v>
      </c>
      <c r="J2927">
        <v>2605</v>
      </c>
      <c r="K2927">
        <v>0</v>
      </c>
    </row>
    <row r="2928" spans="1:11" x14ac:dyDescent="0.2">
      <c r="A2928" t="s">
        <v>4313</v>
      </c>
      <c r="B2928">
        <v>0</v>
      </c>
      <c r="C2928">
        <v>0</v>
      </c>
      <c r="D2928">
        <v>0</v>
      </c>
      <c r="E2928">
        <v>0</v>
      </c>
      <c r="F2928">
        <v>0</v>
      </c>
      <c r="G2928">
        <v>0</v>
      </c>
      <c r="H2928">
        <v>0</v>
      </c>
      <c r="I2928">
        <v>0</v>
      </c>
      <c r="J2928">
        <v>0</v>
      </c>
      <c r="K2928">
        <v>0</v>
      </c>
    </row>
    <row r="2929" spans="1:11" x14ac:dyDescent="0.2">
      <c r="A2929" t="s">
        <v>4314</v>
      </c>
      <c r="B2929">
        <v>3</v>
      </c>
      <c r="C2929">
        <v>18</v>
      </c>
      <c r="D2929">
        <v>0</v>
      </c>
      <c r="E2929">
        <v>0</v>
      </c>
      <c r="F2929">
        <v>3</v>
      </c>
      <c r="G2929">
        <v>0</v>
      </c>
      <c r="H2929">
        <v>0</v>
      </c>
      <c r="I2929">
        <v>5</v>
      </c>
      <c r="J2929">
        <v>3842</v>
      </c>
      <c r="K2929">
        <v>0</v>
      </c>
    </row>
    <row r="2930" spans="1:11" x14ac:dyDescent="0.2">
      <c r="A2930" t="s">
        <v>4315</v>
      </c>
      <c r="B2930">
        <v>0</v>
      </c>
      <c r="C2930">
        <v>0</v>
      </c>
      <c r="D2930">
        <v>0</v>
      </c>
      <c r="E2930">
        <v>0</v>
      </c>
      <c r="F2930">
        <v>0</v>
      </c>
      <c r="G2930">
        <v>0</v>
      </c>
      <c r="H2930">
        <v>0</v>
      </c>
      <c r="I2930">
        <v>0</v>
      </c>
      <c r="J2930">
        <v>0</v>
      </c>
      <c r="K2930">
        <v>0</v>
      </c>
    </row>
    <row r="2931" spans="1:11" x14ac:dyDescent="0.2">
      <c r="A2931" t="s">
        <v>4316</v>
      </c>
      <c r="B2931">
        <v>0</v>
      </c>
      <c r="C2931">
        <v>0</v>
      </c>
      <c r="D2931">
        <v>0</v>
      </c>
      <c r="E2931">
        <v>0</v>
      </c>
      <c r="F2931">
        <v>0</v>
      </c>
      <c r="G2931">
        <v>0</v>
      </c>
      <c r="H2931">
        <v>0</v>
      </c>
      <c r="I2931">
        <v>0</v>
      </c>
      <c r="J2931">
        <v>21030</v>
      </c>
      <c r="K2931">
        <v>0</v>
      </c>
    </row>
    <row r="2932" spans="1:11" x14ac:dyDescent="0.2">
      <c r="A2932" t="s">
        <v>4317</v>
      </c>
      <c r="B2932">
        <v>0</v>
      </c>
      <c r="C2932">
        <v>0</v>
      </c>
      <c r="D2932">
        <v>0</v>
      </c>
      <c r="E2932">
        <v>0</v>
      </c>
      <c r="F2932">
        <v>0</v>
      </c>
      <c r="G2932">
        <v>0</v>
      </c>
      <c r="H2932">
        <v>0</v>
      </c>
      <c r="I2932">
        <v>0</v>
      </c>
      <c r="J2932">
        <v>0</v>
      </c>
      <c r="K2932">
        <v>0</v>
      </c>
    </row>
    <row r="2933" spans="1:11" x14ac:dyDescent="0.2">
      <c r="A2933" t="s">
        <v>4318</v>
      </c>
      <c r="B2933">
        <v>0</v>
      </c>
      <c r="C2933">
        <v>0</v>
      </c>
      <c r="D2933">
        <v>0</v>
      </c>
      <c r="E2933">
        <v>0</v>
      </c>
      <c r="F2933">
        <v>0</v>
      </c>
      <c r="G2933">
        <v>0</v>
      </c>
      <c r="H2933">
        <v>0</v>
      </c>
      <c r="I2933">
        <v>0</v>
      </c>
      <c r="J2933">
        <v>11628</v>
      </c>
      <c r="K2933">
        <v>0</v>
      </c>
    </row>
    <row r="2934" spans="1:11" x14ac:dyDescent="0.2">
      <c r="A2934" t="s">
        <v>4319</v>
      </c>
      <c r="B2934">
        <v>0</v>
      </c>
      <c r="C2934">
        <v>0</v>
      </c>
      <c r="D2934">
        <v>0</v>
      </c>
      <c r="E2934">
        <v>0</v>
      </c>
      <c r="F2934">
        <v>0</v>
      </c>
      <c r="G2934">
        <v>0</v>
      </c>
      <c r="H2934">
        <v>0</v>
      </c>
      <c r="I2934">
        <v>0</v>
      </c>
      <c r="J2934">
        <v>0</v>
      </c>
      <c r="K2934">
        <v>0</v>
      </c>
    </row>
    <row r="2935" spans="1:11" x14ac:dyDescent="0.2">
      <c r="A2935" t="s">
        <v>4320</v>
      </c>
      <c r="B2935">
        <v>0</v>
      </c>
      <c r="C2935">
        <v>0</v>
      </c>
      <c r="D2935">
        <v>0</v>
      </c>
      <c r="E2935">
        <v>0</v>
      </c>
      <c r="F2935">
        <v>0</v>
      </c>
      <c r="G2935">
        <v>0</v>
      </c>
      <c r="H2935">
        <v>0</v>
      </c>
      <c r="I2935">
        <v>0</v>
      </c>
      <c r="J2935">
        <v>4260</v>
      </c>
      <c r="K2935">
        <v>0</v>
      </c>
    </row>
    <row r="2936" spans="1:11" x14ac:dyDescent="0.2">
      <c r="A2936" t="s">
        <v>4321</v>
      </c>
      <c r="B2936">
        <v>0</v>
      </c>
      <c r="C2936">
        <v>0</v>
      </c>
      <c r="D2936">
        <v>0</v>
      </c>
      <c r="E2936">
        <v>0</v>
      </c>
      <c r="F2936">
        <v>0</v>
      </c>
      <c r="G2936">
        <v>0</v>
      </c>
      <c r="H2936">
        <v>0</v>
      </c>
      <c r="I2936">
        <v>0</v>
      </c>
      <c r="J2936">
        <v>0</v>
      </c>
      <c r="K2936">
        <v>0</v>
      </c>
    </row>
    <row r="2937" spans="1:11" x14ac:dyDescent="0.2">
      <c r="A2937" t="s">
        <v>4322</v>
      </c>
      <c r="B2937">
        <v>0</v>
      </c>
      <c r="C2937">
        <v>0</v>
      </c>
      <c r="D2937">
        <v>0</v>
      </c>
      <c r="E2937">
        <v>0</v>
      </c>
      <c r="F2937">
        <v>0</v>
      </c>
      <c r="G2937">
        <v>0</v>
      </c>
      <c r="H2937">
        <v>0</v>
      </c>
      <c r="I2937">
        <v>0</v>
      </c>
      <c r="J2937">
        <v>0</v>
      </c>
      <c r="K2937">
        <v>0</v>
      </c>
    </row>
    <row r="2938" spans="1:11" x14ac:dyDescent="0.2">
      <c r="A2938" t="s">
        <v>4323</v>
      </c>
      <c r="B2938">
        <v>0</v>
      </c>
      <c r="C2938">
        <v>0</v>
      </c>
      <c r="D2938">
        <v>0</v>
      </c>
      <c r="E2938">
        <v>0</v>
      </c>
      <c r="F2938">
        <v>0</v>
      </c>
      <c r="G2938">
        <v>0</v>
      </c>
      <c r="H2938">
        <v>0</v>
      </c>
      <c r="I2938">
        <v>0</v>
      </c>
      <c r="J2938">
        <v>0</v>
      </c>
      <c r="K2938">
        <v>0</v>
      </c>
    </row>
    <row r="2939" spans="1:11" x14ac:dyDescent="0.2">
      <c r="A2939" t="s">
        <v>4324</v>
      </c>
      <c r="B2939">
        <v>0</v>
      </c>
      <c r="C2939">
        <v>0</v>
      </c>
      <c r="D2939">
        <v>0</v>
      </c>
      <c r="E2939">
        <v>0</v>
      </c>
      <c r="F2939">
        <v>0</v>
      </c>
      <c r="G2939">
        <v>0</v>
      </c>
      <c r="H2939">
        <v>0</v>
      </c>
      <c r="I2939">
        <v>0</v>
      </c>
      <c r="J2939">
        <v>0</v>
      </c>
      <c r="K2939">
        <v>0</v>
      </c>
    </row>
    <row r="2940" spans="1:11" x14ac:dyDescent="0.2">
      <c r="A2940" t="s">
        <v>4325</v>
      </c>
      <c r="B2940">
        <v>0</v>
      </c>
      <c r="C2940">
        <v>0</v>
      </c>
      <c r="D2940">
        <v>0</v>
      </c>
      <c r="E2940">
        <v>0</v>
      </c>
      <c r="F2940">
        <v>0</v>
      </c>
      <c r="G2940">
        <v>0</v>
      </c>
      <c r="H2940">
        <v>0</v>
      </c>
      <c r="I2940">
        <v>0</v>
      </c>
      <c r="J2940">
        <v>0</v>
      </c>
      <c r="K2940">
        <v>0</v>
      </c>
    </row>
    <row r="2941" spans="1:11" x14ac:dyDescent="0.2">
      <c r="A2941" t="s">
        <v>4326</v>
      </c>
      <c r="B2941">
        <v>0</v>
      </c>
      <c r="C2941">
        <v>0</v>
      </c>
      <c r="D2941">
        <v>0</v>
      </c>
      <c r="E2941">
        <v>0</v>
      </c>
      <c r="F2941">
        <v>0</v>
      </c>
      <c r="G2941">
        <v>0</v>
      </c>
      <c r="H2941">
        <v>0</v>
      </c>
      <c r="I2941">
        <v>0</v>
      </c>
      <c r="J2941">
        <v>0</v>
      </c>
      <c r="K2941">
        <v>0</v>
      </c>
    </row>
    <row r="2942" spans="1:11" x14ac:dyDescent="0.2">
      <c r="A2942" t="s">
        <v>4327</v>
      </c>
      <c r="B2942">
        <v>34</v>
      </c>
      <c r="C2942">
        <v>184</v>
      </c>
      <c r="D2942">
        <v>0</v>
      </c>
      <c r="E2942">
        <v>0</v>
      </c>
      <c r="F2942">
        <v>4810</v>
      </c>
      <c r="G2942">
        <v>0</v>
      </c>
      <c r="H2942">
        <v>0</v>
      </c>
      <c r="I2942">
        <v>11535</v>
      </c>
      <c r="J2942">
        <v>61</v>
      </c>
      <c r="K2942">
        <v>0</v>
      </c>
    </row>
    <row r="2943" spans="1:11" x14ac:dyDescent="0.2">
      <c r="A2943" t="s">
        <v>4328</v>
      </c>
      <c r="B2943">
        <v>0</v>
      </c>
      <c r="C2943">
        <v>0</v>
      </c>
      <c r="D2943">
        <v>0</v>
      </c>
      <c r="E2943">
        <v>0</v>
      </c>
      <c r="F2943">
        <v>0</v>
      </c>
      <c r="G2943">
        <v>0</v>
      </c>
      <c r="H2943">
        <v>0</v>
      </c>
      <c r="I2943">
        <v>0</v>
      </c>
      <c r="J2943">
        <v>0</v>
      </c>
      <c r="K2943">
        <v>0</v>
      </c>
    </row>
    <row r="2944" spans="1:11" x14ac:dyDescent="0.2">
      <c r="A2944" t="s">
        <v>4329</v>
      </c>
      <c r="B2944">
        <v>38</v>
      </c>
      <c r="C2944">
        <v>198</v>
      </c>
      <c r="D2944">
        <v>0</v>
      </c>
      <c r="E2944">
        <v>0</v>
      </c>
      <c r="F2944">
        <v>0</v>
      </c>
      <c r="G2944">
        <v>0</v>
      </c>
      <c r="H2944">
        <v>0</v>
      </c>
      <c r="I2944">
        <v>0</v>
      </c>
      <c r="J2944">
        <v>0</v>
      </c>
      <c r="K2944">
        <v>0</v>
      </c>
    </row>
    <row r="2945" spans="1:11" x14ac:dyDescent="0.2">
      <c r="A2945" t="s">
        <v>4330</v>
      </c>
      <c r="B2945">
        <v>0</v>
      </c>
      <c r="C2945">
        <v>0</v>
      </c>
      <c r="D2945">
        <v>0</v>
      </c>
      <c r="E2945">
        <v>0</v>
      </c>
      <c r="F2945">
        <v>0</v>
      </c>
      <c r="G2945">
        <v>0</v>
      </c>
      <c r="H2945">
        <v>0</v>
      </c>
      <c r="I2945">
        <v>0</v>
      </c>
      <c r="J2945">
        <v>0</v>
      </c>
      <c r="K2945">
        <v>0</v>
      </c>
    </row>
    <row r="2946" spans="1:11" x14ac:dyDescent="0.2">
      <c r="A2946" t="s">
        <v>4331</v>
      </c>
      <c r="B2946">
        <v>0</v>
      </c>
      <c r="C2946">
        <v>0</v>
      </c>
      <c r="D2946">
        <v>0</v>
      </c>
      <c r="E2946">
        <v>0</v>
      </c>
      <c r="F2946">
        <v>0</v>
      </c>
      <c r="G2946">
        <v>0</v>
      </c>
      <c r="H2946">
        <v>0</v>
      </c>
      <c r="I2946">
        <v>0</v>
      </c>
      <c r="J2946">
        <v>0</v>
      </c>
      <c r="K2946">
        <v>0</v>
      </c>
    </row>
    <row r="2947" spans="1:11" x14ac:dyDescent="0.2">
      <c r="A2947" t="s">
        <v>4332</v>
      </c>
      <c r="B2947">
        <v>1193</v>
      </c>
      <c r="C2947">
        <v>6492</v>
      </c>
      <c r="D2947">
        <v>0</v>
      </c>
      <c r="E2947">
        <v>0</v>
      </c>
      <c r="F2947">
        <v>309</v>
      </c>
      <c r="G2947">
        <v>0</v>
      </c>
      <c r="H2947">
        <v>0</v>
      </c>
      <c r="I2947">
        <v>594</v>
      </c>
      <c r="J2947">
        <v>11</v>
      </c>
      <c r="K2947">
        <v>0</v>
      </c>
    </row>
    <row r="2948" spans="1:11" x14ac:dyDescent="0.2">
      <c r="A2948" t="s">
        <v>4333</v>
      </c>
      <c r="B2948">
        <v>0</v>
      </c>
      <c r="C2948">
        <v>0</v>
      </c>
      <c r="D2948">
        <v>0</v>
      </c>
      <c r="E2948">
        <v>0</v>
      </c>
      <c r="F2948">
        <v>0</v>
      </c>
      <c r="G2948">
        <v>0</v>
      </c>
      <c r="H2948">
        <v>0</v>
      </c>
      <c r="I2948">
        <v>0</v>
      </c>
      <c r="J2948">
        <v>0</v>
      </c>
      <c r="K2948">
        <v>0</v>
      </c>
    </row>
    <row r="2949" spans="1:11" x14ac:dyDescent="0.2">
      <c r="A2949" t="s">
        <v>4334</v>
      </c>
      <c r="B2949">
        <v>0</v>
      </c>
      <c r="C2949">
        <v>0</v>
      </c>
      <c r="D2949">
        <v>0</v>
      </c>
      <c r="E2949">
        <v>0</v>
      </c>
      <c r="F2949">
        <v>0</v>
      </c>
      <c r="G2949">
        <v>0</v>
      </c>
      <c r="H2949">
        <v>0</v>
      </c>
      <c r="I2949">
        <v>0</v>
      </c>
      <c r="J2949">
        <v>0</v>
      </c>
      <c r="K2949">
        <v>0</v>
      </c>
    </row>
    <row r="2950" spans="1:11" x14ac:dyDescent="0.2">
      <c r="A2950" t="s">
        <v>4335</v>
      </c>
      <c r="B2950">
        <v>0</v>
      </c>
      <c r="C2950">
        <v>0</v>
      </c>
      <c r="D2950">
        <v>0</v>
      </c>
      <c r="E2950">
        <v>0</v>
      </c>
      <c r="F2950">
        <v>0</v>
      </c>
      <c r="G2950">
        <v>0</v>
      </c>
      <c r="H2950">
        <v>0</v>
      </c>
      <c r="I2950">
        <v>0</v>
      </c>
      <c r="J2950">
        <v>0</v>
      </c>
      <c r="K2950">
        <v>0</v>
      </c>
    </row>
    <row r="2951" spans="1:11" x14ac:dyDescent="0.2">
      <c r="A2951" t="s">
        <v>4336</v>
      </c>
      <c r="B2951">
        <v>0</v>
      </c>
      <c r="C2951">
        <v>0</v>
      </c>
      <c r="D2951">
        <v>0</v>
      </c>
      <c r="E2951">
        <v>0</v>
      </c>
      <c r="F2951">
        <v>0</v>
      </c>
      <c r="G2951">
        <v>0</v>
      </c>
      <c r="H2951">
        <v>0</v>
      </c>
      <c r="I2951">
        <v>0</v>
      </c>
      <c r="J2951">
        <v>0</v>
      </c>
      <c r="K2951">
        <v>0</v>
      </c>
    </row>
    <row r="2952" spans="1:11" x14ac:dyDescent="0.2">
      <c r="A2952" t="s">
        <v>4337</v>
      </c>
      <c r="B2952">
        <v>0</v>
      </c>
      <c r="C2952">
        <v>0</v>
      </c>
      <c r="D2952">
        <v>0</v>
      </c>
      <c r="E2952">
        <v>0</v>
      </c>
      <c r="F2952">
        <v>0</v>
      </c>
      <c r="G2952">
        <v>0</v>
      </c>
      <c r="H2952">
        <v>0</v>
      </c>
      <c r="I2952">
        <v>0</v>
      </c>
      <c r="J2952">
        <v>0</v>
      </c>
      <c r="K2952">
        <v>0</v>
      </c>
    </row>
    <row r="2953" spans="1:11" x14ac:dyDescent="0.2">
      <c r="A2953" t="s">
        <v>4338</v>
      </c>
      <c r="B2953">
        <v>34</v>
      </c>
      <c r="C2953">
        <v>179</v>
      </c>
      <c r="D2953">
        <v>0</v>
      </c>
      <c r="E2953">
        <v>0</v>
      </c>
      <c r="F2953">
        <v>7</v>
      </c>
      <c r="G2953">
        <v>0</v>
      </c>
      <c r="H2953">
        <v>0</v>
      </c>
      <c r="I2953">
        <v>14</v>
      </c>
      <c r="J2953">
        <v>1</v>
      </c>
      <c r="K2953">
        <v>0</v>
      </c>
    </row>
    <row r="2954" spans="1:11" x14ac:dyDescent="0.2">
      <c r="A2954" t="s">
        <v>4339</v>
      </c>
      <c r="B2954">
        <v>0</v>
      </c>
      <c r="C2954">
        <v>0</v>
      </c>
      <c r="D2954">
        <v>0</v>
      </c>
      <c r="E2954">
        <v>0</v>
      </c>
      <c r="F2954">
        <v>0</v>
      </c>
      <c r="G2954">
        <v>0</v>
      </c>
      <c r="H2954">
        <v>0</v>
      </c>
      <c r="I2954">
        <v>0</v>
      </c>
      <c r="J2954">
        <v>0</v>
      </c>
      <c r="K2954">
        <v>0</v>
      </c>
    </row>
    <row r="2955" spans="1:11" x14ac:dyDescent="0.2">
      <c r="A2955" t="s">
        <v>4340</v>
      </c>
      <c r="B2955">
        <v>0</v>
      </c>
      <c r="C2955">
        <v>0</v>
      </c>
      <c r="D2955">
        <v>0</v>
      </c>
      <c r="E2955">
        <v>0</v>
      </c>
      <c r="F2955">
        <v>0</v>
      </c>
      <c r="G2955">
        <v>0</v>
      </c>
      <c r="H2955">
        <v>0</v>
      </c>
      <c r="I2955">
        <v>0</v>
      </c>
      <c r="J2955">
        <v>0</v>
      </c>
      <c r="K2955">
        <v>0</v>
      </c>
    </row>
    <row r="2956" spans="1:11" x14ac:dyDescent="0.2">
      <c r="A2956" t="s">
        <v>4341</v>
      </c>
      <c r="B2956">
        <v>0</v>
      </c>
      <c r="C2956">
        <v>0</v>
      </c>
      <c r="D2956">
        <v>0</v>
      </c>
      <c r="E2956">
        <v>0</v>
      </c>
      <c r="F2956">
        <v>0</v>
      </c>
      <c r="G2956">
        <v>0</v>
      </c>
      <c r="H2956">
        <v>0</v>
      </c>
      <c r="I2956">
        <v>0</v>
      </c>
      <c r="J2956">
        <v>0</v>
      </c>
      <c r="K2956">
        <v>0</v>
      </c>
    </row>
    <row r="2957" spans="1:11" x14ac:dyDescent="0.2">
      <c r="A2957" t="s">
        <v>4342</v>
      </c>
      <c r="B2957">
        <v>0</v>
      </c>
      <c r="C2957">
        <v>0</v>
      </c>
      <c r="D2957">
        <v>0</v>
      </c>
      <c r="E2957">
        <v>0</v>
      </c>
      <c r="F2957">
        <v>0</v>
      </c>
      <c r="G2957">
        <v>0</v>
      </c>
      <c r="H2957">
        <v>0</v>
      </c>
      <c r="I2957">
        <v>0</v>
      </c>
      <c r="J2957">
        <v>0</v>
      </c>
      <c r="K2957">
        <v>0</v>
      </c>
    </row>
    <row r="2958" spans="1:11" x14ac:dyDescent="0.2">
      <c r="A2958" t="s">
        <v>4343</v>
      </c>
      <c r="B2958">
        <v>0</v>
      </c>
      <c r="C2958">
        <v>0</v>
      </c>
      <c r="D2958">
        <v>0</v>
      </c>
      <c r="E2958">
        <v>0</v>
      </c>
      <c r="F2958">
        <v>0</v>
      </c>
      <c r="G2958">
        <v>0</v>
      </c>
      <c r="H2958">
        <v>0</v>
      </c>
      <c r="I2958">
        <v>0</v>
      </c>
      <c r="J2958">
        <v>0</v>
      </c>
      <c r="K2958">
        <v>0</v>
      </c>
    </row>
    <row r="2959" spans="1:11" x14ac:dyDescent="0.2">
      <c r="A2959" t="s">
        <v>1728</v>
      </c>
      <c r="B2959">
        <v>0</v>
      </c>
      <c r="C2959">
        <v>0</v>
      </c>
      <c r="D2959">
        <v>0</v>
      </c>
      <c r="E2959">
        <v>0</v>
      </c>
      <c r="F2959">
        <v>0</v>
      </c>
      <c r="G2959">
        <v>0</v>
      </c>
      <c r="H2959">
        <v>0</v>
      </c>
      <c r="I2959">
        <v>0</v>
      </c>
      <c r="J2959">
        <v>0</v>
      </c>
      <c r="K2959">
        <v>0</v>
      </c>
    </row>
    <row r="2960" spans="1:11" x14ac:dyDescent="0.2">
      <c r="A2960" t="s">
        <v>1730</v>
      </c>
      <c r="B2960">
        <v>4</v>
      </c>
      <c r="C2960">
        <v>19</v>
      </c>
      <c r="D2960">
        <v>0</v>
      </c>
      <c r="E2960">
        <v>0</v>
      </c>
      <c r="F2960">
        <v>2</v>
      </c>
      <c r="G2960">
        <v>0</v>
      </c>
      <c r="H2960">
        <v>0</v>
      </c>
      <c r="I2960">
        <v>5</v>
      </c>
      <c r="J2960">
        <v>81</v>
      </c>
      <c r="K2960">
        <v>0</v>
      </c>
    </row>
    <row r="2961" spans="1:11" x14ac:dyDescent="0.2">
      <c r="A2961" t="s">
        <v>1733</v>
      </c>
      <c r="B2961">
        <v>0</v>
      </c>
      <c r="C2961">
        <v>0</v>
      </c>
      <c r="D2961">
        <v>0</v>
      </c>
      <c r="E2961">
        <v>0</v>
      </c>
      <c r="F2961">
        <v>0</v>
      </c>
      <c r="G2961">
        <v>0</v>
      </c>
      <c r="H2961">
        <v>0</v>
      </c>
      <c r="I2961">
        <v>0</v>
      </c>
      <c r="J2961">
        <v>0</v>
      </c>
      <c r="K2961">
        <v>0</v>
      </c>
    </row>
    <row r="2962" spans="1:11" x14ac:dyDescent="0.2">
      <c r="A2962" t="s">
        <v>1738</v>
      </c>
      <c r="B2962">
        <v>0</v>
      </c>
      <c r="C2962">
        <v>0</v>
      </c>
      <c r="D2962">
        <v>0</v>
      </c>
      <c r="E2962">
        <v>0</v>
      </c>
      <c r="F2962">
        <v>0</v>
      </c>
      <c r="G2962">
        <v>0</v>
      </c>
      <c r="H2962">
        <v>0</v>
      </c>
      <c r="I2962">
        <v>0</v>
      </c>
      <c r="J2962">
        <v>0</v>
      </c>
      <c r="K2962">
        <v>0</v>
      </c>
    </row>
    <row r="2963" spans="1:11" x14ac:dyDescent="0.2">
      <c r="A2963" t="s">
        <v>1744</v>
      </c>
      <c r="B2963">
        <v>0</v>
      </c>
      <c r="C2963">
        <v>0</v>
      </c>
      <c r="D2963">
        <v>0</v>
      </c>
      <c r="E2963">
        <v>0</v>
      </c>
      <c r="F2963">
        <v>0</v>
      </c>
      <c r="G2963">
        <v>0</v>
      </c>
      <c r="H2963">
        <v>0</v>
      </c>
      <c r="I2963">
        <v>0</v>
      </c>
      <c r="J2963">
        <v>0</v>
      </c>
      <c r="K2963">
        <v>0</v>
      </c>
    </row>
    <row r="2964" spans="1:11" x14ac:dyDescent="0.2">
      <c r="A2964" t="s">
        <v>1747</v>
      </c>
      <c r="B2964">
        <v>0</v>
      </c>
      <c r="C2964">
        <v>0</v>
      </c>
      <c r="D2964">
        <v>0</v>
      </c>
      <c r="E2964">
        <v>0</v>
      </c>
      <c r="F2964">
        <v>0</v>
      </c>
      <c r="G2964">
        <v>0</v>
      </c>
      <c r="H2964">
        <v>0</v>
      </c>
      <c r="I2964">
        <v>0</v>
      </c>
      <c r="J2964">
        <v>0</v>
      </c>
      <c r="K2964">
        <v>0</v>
      </c>
    </row>
    <row r="2965" spans="1:11" x14ac:dyDescent="0.2">
      <c r="A2965" t="s">
        <v>1751</v>
      </c>
      <c r="B2965">
        <v>0</v>
      </c>
      <c r="C2965">
        <v>0</v>
      </c>
      <c r="D2965">
        <v>0</v>
      </c>
      <c r="E2965">
        <v>0</v>
      </c>
      <c r="F2965">
        <v>0</v>
      </c>
      <c r="G2965">
        <v>0</v>
      </c>
      <c r="H2965">
        <v>0</v>
      </c>
      <c r="I2965">
        <v>0</v>
      </c>
      <c r="J2965">
        <v>0</v>
      </c>
      <c r="K2965">
        <v>0</v>
      </c>
    </row>
    <row r="2966" spans="1:11" x14ac:dyDescent="0.2">
      <c r="A2966" t="s">
        <v>1755</v>
      </c>
      <c r="B2966">
        <v>0</v>
      </c>
      <c r="C2966">
        <v>2</v>
      </c>
      <c r="D2966">
        <v>0</v>
      </c>
      <c r="E2966">
        <v>0</v>
      </c>
      <c r="F2966">
        <v>0</v>
      </c>
      <c r="G2966">
        <v>0</v>
      </c>
      <c r="H2966">
        <v>0</v>
      </c>
      <c r="I2966">
        <v>1</v>
      </c>
      <c r="J2966">
        <v>9</v>
      </c>
      <c r="K2966">
        <v>0</v>
      </c>
    </row>
    <row r="2967" spans="1:11" x14ac:dyDescent="0.2">
      <c r="A2967" t="s">
        <v>1757</v>
      </c>
      <c r="B2967">
        <v>0</v>
      </c>
      <c r="C2967">
        <v>1</v>
      </c>
      <c r="D2967">
        <v>0</v>
      </c>
      <c r="E2967">
        <v>0</v>
      </c>
      <c r="F2967">
        <v>0</v>
      </c>
      <c r="G2967">
        <v>0</v>
      </c>
      <c r="H2967">
        <v>0</v>
      </c>
      <c r="I2967">
        <v>1</v>
      </c>
      <c r="J2967">
        <v>9</v>
      </c>
      <c r="K2967">
        <v>0</v>
      </c>
    </row>
    <row r="2968" spans="1:11" x14ac:dyDescent="0.2">
      <c r="A2968" t="s">
        <v>1761</v>
      </c>
      <c r="B2968">
        <v>0</v>
      </c>
      <c r="C2968">
        <v>0</v>
      </c>
      <c r="D2968">
        <v>0</v>
      </c>
      <c r="E2968">
        <v>0</v>
      </c>
      <c r="F2968">
        <v>0</v>
      </c>
      <c r="G2968">
        <v>0</v>
      </c>
      <c r="H2968">
        <v>0</v>
      </c>
      <c r="I2968">
        <v>0</v>
      </c>
      <c r="J2968">
        <v>0</v>
      </c>
      <c r="K2968">
        <v>0</v>
      </c>
    </row>
    <row r="2969" spans="1:11" x14ac:dyDescent="0.2">
      <c r="A2969" t="s">
        <v>1764</v>
      </c>
      <c r="B2969">
        <v>0</v>
      </c>
      <c r="C2969">
        <v>0</v>
      </c>
      <c r="D2969">
        <v>0</v>
      </c>
      <c r="E2969">
        <v>0</v>
      </c>
      <c r="F2969">
        <v>0</v>
      </c>
      <c r="G2969">
        <v>0</v>
      </c>
      <c r="H2969">
        <v>0</v>
      </c>
      <c r="I2969">
        <v>0</v>
      </c>
      <c r="J2969">
        <v>0</v>
      </c>
      <c r="K2969">
        <v>0</v>
      </c>
    </row>
    <row r="2970" spans="1:11" x14ac:dyDescent="0.2">
      <c r="A2970" t="s">
        <v>1770</v>
      </c>
      <c r="B2970">
        <v>4</v>
      </c>
      <c r="C2970">
        <v>154</v>
      </c>
      <c r="D2970">
        <v>0</v>
      </c>
      <c r="E2970">
        <v>0</v>
      </c>
      <c r="F2970">
        <v>18</v>
      </c>
      <c r="G2970">
        <v>0</v>
      </c>
      <c r="H2970">
        <v>0</v>
      </c>
      <c r="I2970">
        <v>250</v>
      </c>
      <c r="J2970">
        <v>73</v>
      </c>
      <c r="K2970">
        <v>0</v>
      </c>
    </row>
    <row r="2971" spans="1:11" x14ac:dyDescent="0.2">
      <c r="A2971" t="s">
        <v>1772</v>
      </c>
      <c r="B2971">
        <v>0</v>
      </c>
      <c r="C2971">
        <v>11</v>
      </c>
      <c r="D2971">
        <v>0</v>
      </c>
      <c r="E2971">
        <v>0</v>
      </c>
      <c r="F2971">
        <v>0</v>
      </c>
      <c r="G2971">
        <v>0</v>
      </c>
      <c r="H2971">
        <v>0</v>
      </c>
      <c r="I2971">
        <v>4</v>
      </c>
      <c r="J2971">
        <v>2</v>
      </c>
      <c r="K2971">
        <v>0</v>
      </c>
    </row>
    <row r="2972" spans="1:11" x14ac:dyDescent="0.2">
      <c r="A2972" t="s">
        <v>1774</v>
      </c>
      <c r="B2972">
        <v>0</v>
      </c>
      <c r="C2972">
        <v>0</v>
      </c>
      <c r="D2972">
        <v>0</v>
      </c>
      <c r="E2972">
        <v>0</v>
      </c>
      <c r="F2972">
        <v>0</v>
      </c>
      <c r="G2972">
        <v>0</v>
      </c>
      <c r="H2972">
        <v>0</v>
      </c>
      <c r="I2972">
        <v>0</v>
      </c>
      <c r="J2972">
        <v>0</v>
      </c>
      <c r="K2972">
        <v>0</v>
      </c>
    </row>
    <row r="2973" spans="1:11" x14ac:dyDescent="0.2">
      <c r="A2973" t="s">
        <v>1777</v>
      </c>
      <c r="B2973">
        <v>0</v>
      </c>
      <c r="C2973">
        <v>0</v>
      </c>
      <c r="D2973">
        <v>0</v>
      </c>
      <c r="E2973">
        <v>0</v>
      </c>
      <c r="F2973">
        <v>0</v>
      </c>
      <c r="G2973">
        <v>0</v>
      </c>
      <c r="H2973">
        <v>0</v>
      </c>
      <c r="I2973">
        <v>0</v>
      </c>
      <c r="J2973">
        <v>0</v>
      </c>
      <c r="K2973">
        <v>0</v>
      </c>
    </row>
    <row r="2974" spans="1:11" x14ac:dyDescent="0.2">
      <c r="A2974" t="s">
        <v>1782</v>
      </c>
      <c r="B2974">
        <v>0</v>
      </c>
      <c r="C2974">
        <v>0</v>
      </c>
      <c r="D2974">
        <v>0</v>
      </c>
      <c r="E2974">
        <v>0</v>
      </c>
      <c r="F2974">
        <v>0</v>
      </c>
      <c r="G2974">
        <v>0</v>
      </c>
      <c r="H2974">
        <v>0</v>
      </c>
      <c r="I2974">
        <v>0</v>
      </c>
      <c r="J2974">
        <v>0</v>
      </c>
      <c r="K2974">
        <v>0</v>
      </c>
    </row>
    <row r="2975" spans="1:11" x14ac:dyDescent="0.2">
      <c r="A2975" t="s">
        <v>1274</v>
      </c>
      <c r="B2975">
        <v>0</v>
      </c>
      <c r="C2975">
        <v>2</v>
      </c>
      <c r="D2975">
        <v>0</v>
      </c>
      <c r="E2975">
        <v>0</v>
      </c>
      <c r="F2975">
        <v>0</v>
      </c>
      <c r="G2975">
        <v>0</v>
      </c>
      <c r="H2975">
        <v>0</v>
      </c>
      <c r="I2975">
        <v>0</v>
      </c>
      <c r="J2975">
        <v>0</v>
      </c>
      <c r="K2975">
        <v>0</v>
      </c>
    </row>
    <row r="2976" spans="1:11" x14ac:dyDescent="0.2">
      <c r="A2976" t="s">
        <v>1277</v>
      </c>
      <c r="B2976">
        <v>2</v>
      </c>
      <c r="C2976">
        <v>13</v>
      </c>
      <c r="D2976">
        <v>0</v>
      </c>
      <c r="E2976">
        <v>0</v>
      </c>
      <c r="F2976">
        <v>0</v>
      </c>
      <c r="G2976">
        <v>0</v>
      </c>
      <c r="H2976">
        <v>0</v>
      </c>
      <c r="I2976">
        <v>0</v>
      </c>
      <c r="J2976">
        <v>0</v>
      </c>
      <c r="K2976">
        <v>0</v>
      </c>
    </row>
    <row r="2977" spans="1:11" x14ac:dyDescent="0.2">
      <c r="A2977" t="s">
        <v>1798</v>
      </c>
      <c r="B2977">
        <v>0</v>
      </c>
      <c r="C2977">
        <v>0</v>
      </c>
      <c r="D2977">
        <v>0</v>
      </c>
      <c r="E2977">
        <v>0</v>
      </c>
      <c r="F2977">
        <v>0</v>
      </c>
      <c r="G2977">
        <v>0</v>
      </c>
      <c r="H2977">
        <v>0</v>
      </c>
      <c r="I2977">
        <v>0</v>
      </c>
      <c r="J2977">
        <v>0</v>
      </c>
      <c r="K2977">
        <v>0</v>
      </c>
    </row>
    <row r="2978" spans="1:11" x14ac:dyDescent="0.2">
      <c r="A2978" t="s">
        <v>1803</v>
      </c>
      <c r="B2978">
        <v>0</v>
      </c>
      <c r="C2978">
        <v>0</v>
      </c>
      <c r="D2978">
        <v>0</v>
      </c>
      <c r="E2978">
        <v>0</v>
      </c>
      <c r="F2978">
        <v>0</v>
      </c>
      <c r="G2978">
        <v>0</v>
      </c>
      <c r="H2978">
        <v>0</v>
      </c>
      <c r="I2978">
        <v>0</v>
      </c>
      <c r="J2978">
        <v>0</v>
      </c>
      <c r="K2978">
        <v>0</v>
      </c>
    </row>
    <row r="2979" spans="1:11" x14ac:dyDescent="0.2">
      <c r="A2979" t="s">
        <v>1808</v>
      </c>
      <c r="B2979">
        <v>0</v>
      </c>
      <c r="C2979">
        <v>0</v>
      </c>
      <c r="D2979">
        <v>0</v>
      </c>
      <c r="E2979">
        <v>0</v>
      </c>
      <c r="F2979">
        <v>0</v>
      </c>
      <c r="G2979">
        <v>0</v>
      </c>
      <c r="H2979">
        <v>0</v>
      </c>
      <c r="I2979">
        <v>0</v>
      </c>
      <c r="J2979">
        <v>0</v>
      </c>
      <c r="K2979">
        <v>0</v>
      </c>
    </row>
    <row r="2980" spans="1:11" x14ac:dyDescent="0.2">
      <c r="A2980" t="s">
        <v>1813</v>
      </c>
      <c r="B2980">
        <v>0</v>
      </c>
      <c r="C2980">
        <v>0</v>
      </c>
      <c r="D2980">
        <v>0</v>
      </c>
      <c r="E2980">
        <v>0</v>
      </c>
      <c r="F2980">
        <v>0</v>
      </c>
      <c r="G2980">
        <v>0</v>
      </c>
      <c r="H2980">
        <v>0</v>
      </c>
      <c r="I2980">
        <v>0</v>
      </c>
      <c r="J2980">
        <v>0</v>
      </c>
      <c r="K2980">
        <v>0</v>
      </c>
    </row>
    <row r="2981" spans="1:11" x14ac:dyDescent="0.2">
      <c r="A2981" t="s">
        <v>1819</v>
      </c>
      <c r="B2981">
        <v>0</v>
      </c>
      <c r="C2981">
        <v>0</v>
      </c>
      <c r="D2981">
        <v>0</v>
      </c>
      <c r="E2981">
        <v>0</v>
      </c>
      <c r="F2981">
        <v>0</v>
      </c>
      <c r="G2981">
        <v>0</v>
      </c>
      <c r="H2981">
        <v>0</v>
      </c>
      <c r="I2981">
        <v>0</v>
      </c>
      <c r="J2981">
        <v>0</v>
      </c>
      <c r="K2981">
        <v>0</v>
      </c>
    </row>
    <row r="2982" spans="1:11" x14ac:dyDescent="0.2">
      <c r="A2982" t="s">
        <v>1826</v>
      </c>
      <c r="B2982">
        <v>0</v>
      </c>
      <c r="C2982">
        <v>0</v>
      </c>
      <c r="D2982">
        <v>0</v>
      </c>
      <c r="E2982">
        <v>0</v>
      </c>
      <c r="F2982">
        <v>0</v>
      </c>
      <c r="G2982">
        <v>0</v>
      </c>
      <c r="H2982">
        <v>0</v>
      </c>
      <c r="I2982">
        <v>0</v>
      </c>
      <c r="J2982">
        <v>0</v>
      </c>
      <c r="K2982">
        <v>0</v>
      </c>
    </row>
    <row r="2983" spans="1:11" x14ac:dyDescent="0.2">
      <c r="A2983" t="s">
        <v>1830</v>
      </c>
      <c r="B2983">
        <v>0</v>
      </c>
      <c r="C2983">
        <v>0</v>
      </c>
      <c r="D2983">
        <v>0</v>
      </c>
      <c r="E2983">
        <v>0</v>
      </c>
      <c r="F2983">
        <v>0</v>
      </c>
      <c r="G2983">
        <v>0</v>
      </c>
      <c r="H2983">
        <v>0</v>
      </c>
      <c r="I2983">
        <v>0</v>
      </c>
      <c r="J2983">
        <v>0</v>
      </c>
      <c r="K2983">
        <v>0</v>
      </c>
    </row>
    <row r="2984" spans="1:11" x14ac:dyDescent="0.2">
      <c r="A2984" t="s">
        <v>1836</v>
      </c>
      <c r="B2984">
        <v>0</v>
      </c>
      <c r="C2984">
        <v>0</v>
      </c>
      <c r="D2984">
        <v>0</v>
      </c>
      <c r="E2984">
        <v>0</v>
      </c>
      <c r="F2984">
        <v>0</v>
      </c>
      <c r="G2984">
        <v>0</v>
      </c>
      <c r="H2984">
        <v>0</v>
      </c>
      <c r="I2984">
        <v>0</v>
      </c>
      <c r="J2984">
        <v>0</v>
      </c>
      <c r="K2984">
        <v>0</v>
      </c>
    </row>
    <row r="2985" spans="1:11" x14ac:dyDescent="0.2">
      <c r="A2985" t="s">
        <v>1841</v>
      </c>
      <c r="B2985">
        <v>0</v>
      </c>
      <c r="C2985">
        <v>0</v>
      </c>
      <c r="D2985">
        <v>0</v>
      </c>
      <c r="E2985">
        <v>0</v>
      </c>
      <c r="F2985">
        <v>0</v>
      </c>
      <c r="G2985">
        <v>0</v>
      </c>
      <c r="H2985">
        <v>0</v>
      </c>
      <c r="I2985">
        <v>0</v>
      </c>
      <c r="J2985">
        <v>0</v>
      </c>
      <c r="K2985">
        <v>0</v>
      </c>
    </row>
    <row r="2986" spans="1:11" x14ac:dyDescent="0.2">
      <c r="A2986" t="s">
        <v>1842</v>
      </c>
      <c r="B2986">
        <v>0</v>
      </c>
      <c r="C2986">
        <v>0</v>
      </c>
      <c r="D2986">
        <v>0</v>
      </c>
      <c r="E2986">
        <v>0</v>
      </c>
      <c r="F2986">
        <v>0</v>
      </c>
      <c r="G2986">
        <v>0</v>
      </c>
      <c r="H2986">
        <v>0</v>
      </c>
      <c r="I2986">
        <v>0</v>
      </c>
      <c r="J2986">
        <v>0</v>
      </c>
      <c r="K2986">
        <v>0</v>
      </c>
    </row>
    <row r="2987" spans="1:11" x14ac:dyDescent="0.2">
      <c r="A2987" t="s">
        <v>1843</v>
      </c>
      <c r="B2987">
        <v>0</v>
      </c>
      <c r="C2987">
        <v>0</v>
      </c>
      <c r="D2987">
        <v>0</v>
      </c>
      <c r="E2987">
        <v>0</v>
      </c>
      <c r="F2987">
        <v>0</v>
      </c>
      <c r="G2987">
        <v>0</v>
      </c>
      <c r="H2987">
        <v>0</v>
      </c>
      <c r="I2987">
        <v>0</v>
      </c>
      <c r="J2987">
        <v>0</v>
      </c>
      <c r="K2987">
        <v>0</v>
      </c>
    </row>
    <row r="2988" spans="1:11" x14ac:dyDescent="0.2">
      <c r="A2988" t="s">
        <v>1846</v>
      </c>
      <c r="B2988">
        <v>0</v>
      </c>
      <c r="C2988">
        <v>0</v>
      </c>
      <c r="D2988">
        <v>0</v>
      </c>
      <c r="E2988">
        <v>0</v>
      </c>
      <c r="F2988">
        <v>0</v>
      </c>
      <c r="G2988">
        <v>0</v>
      </c>
      <c r="H2988">
        <v>0</v>
      </c>
      <c r="I2988">
        <v>0</v>
      </c>
      <c r="J2988">
        <v>0</v>
      </c>
      <c r="K2988">
        <v>0</v>
      </c>
    </row>
    <row r="2989" spans="1:11" x14ac:dyDescent="0.2">
      <c r="A2989" t="s">
        <v>1851</v>
      </c>
      <c r="B2989">
        <v>2</v>
      </c>
      <c r="C2989">
        <v>9</v>
      </c>
      <c r="D2989">
        <v>0</v>
      </c>
      <c r="E2989">
        <v>0</v>
      </c>
      <c r="F2989">
        <v>0</v>
      </c>
      <c r="G2989">
        <v>0</v>
      </c>
      <c r="H2989">
        <v>0</v>
      </c>
      <c r="I2989">
        <v>0</v>
      </c>
      <c r="J2989">
        <v>0</v>
      </c>
      <c r="K2989">
        <v>0</v>
      </c>
    </row>
    <row r="2990" spans="1:11" x14ac:dyDescent="0.2">
      <c r="A2990" t="s">
        <v>1857</v>
      </c>
      <c r="B2990">
        <v>0</v>
      </c>
      <c r="C2990">
        <v>0</v>
      </c>
      <c r="D2990">
        <v>0</v>
      </c>
      <c r="E2990">
        <v>0</v>
      </c>
      <c r="F2990">
        <v>0</v>
      </c>
      <c r="G2990">
        <v>0</v>
      </c>
      <c r="H2990">
        <v>0</v>
      </c>
      <c r="I2990">
        <v>0</v>
      </c>
      <c r="J2990">
        <v>0</v>
      </c>
      <c r="K2990">
        <v>0</v>
      </c>
    </row>
    <row r="2991" spans="1:11" x14ac:dyDescent="0.2">
      <c r="A2991" t="s">
        <v>1862</v>
      </c>
      <c r="B2991">
        <v>0</v>
      </c>
      <c r="C2991">
        <v>0</v>
      </c>
      <c r="D2991">
        <v>0</v>
      </c>
      <c r="E2991">
        <v>0</v>
      </c>
      <c r="F2991">
        <v>0</v>
      </c>
      <c r="G2991">
        <v>0</v>
      </c>
      <c r="H2991">
        <v>0</v>
      </c>
      <c r="I2991">
        <v>0</v>
      </c>
      <c r="J2991">
        <v>0</v>
      </c>
      <c r="K2991">
        <v>0</v>
      </c>
    </row>
    <row r="2992" spans="1:11" x14ac:dyDescent="0.2">
      <c r="A2992" t="s">
        <v>1867</v>
      </c>
      <c r="B2992">
        <v>0</v>
      </c>
      <c r="C2992">
        <v>0</v>
      </c>
      <c r="D2992">
        <v>0</v>
      </c>
      <c r="E2992">
        <v>0</v>
      </c>
      <c r="F2992">
        <v>0</v>
      </c>
      <c r="G2992">
        <v>0</v>
      </c>
      <c r="H2992">
        <v>0</v>
      </c>
      <c r="I2992">
        <v>0</v>
      </c>
      <c r="J2992">
        <v>0</v>
      </c>
      <c r="K2992">
        <v>0</v>
      </c>
    </row>
    <row r="2993" spans="1:11" x14ac:dyDescent="0.2">
      <c r="A2993" t="s">
        <v>1870</v>
      </c>
      <c r="B2993">
        <v>0</v>
      </c>
      <c r="C2993">
        <v>0</v>
      </c>
      <c r="D2993">
        <v>0</v>
      </c>
      <c r="E2993">
        <v>0</v>
      </c>
      <c r="F2993">
        <v>0</v>
      </c>
      <c r="G2993">
        <v>0</v>
      </c>
      <c r="H2993">
        <v>0</v>
      </c>
      <c r="I2993">
        <v>0</v>
      </c>
      <c r="J2993">
        <v>0</v>
      </c>
      <c r="K2993">
        <v>0</v>
      </c>
    </row>
    <row r="2994" spans="1:11" x14ac:dyDescent="0.2">
      <c r="A2994" t="s">
        <v>1874</v>
      </c>
      <c r="B2994">
        <v>0</v>
      </c>
      <c r="C2994">
        <v>0</v>
      </c>
      <c r="D2994">
        <v>0</v>
      </c>
      <c r="E2994">
        <v>0</v>
      </c>
      <c r="F2994">
        <v>0</v>
      </c>
      <c r="G2994">
        <v>0</v>
      </c>
      <c r="H2994">
        <v>0</v>
      </c>
      <c r="I2994">
        <v>0</v>
      </c>
      <c r="J2994">
        <v>0</v>
      </c>
      <c r="K2994">
        <v>0</v>
      </c>
    </row>
    <row r="2995" spans="1:11" x14ac:dyDescent="0.2">
      <c r="A2995" t="s">
        <v>1876</v>
      </c>
      <c r="B2995">
        <v>0</v>
      </c>
      <c r="C2995">
        <v>0</v>
      </c>
      <c r="D2995">
        <v>0</v>
      </c>
      <c r="E2995">
        <v>0</v>
      </c>
      <c r="F2995">
        <v>0</v>
      </c>
      <c r="G2995">
        <v>0</v>
      </c>
      <c r="H2995">
        <v>0</v>
      </c>
      <c r="I2995">
        <v>0</v>
      </c>
      <c r="J2995">
        <v>0</v>
      </c>
      <c r="K2995">
        <v>0</v>
      </c>
    </row>
    <row r="2996" spans="1:11" x14ac:dyDescent="0.2">
      <c r="A2996" t="s">
        <v>1881</v>
      </c>
      <c r="B2996">
        <v>0</v>
      </c>
      <c r="C2996">
        <v>0</v>
      </c>
      <c r="D2996">
        <v>0</v>
      </c>
      <c r="E2996">
        <v>0</v>
      </c>
      <c r="F2996">
        <v>0</v>
      </c>
      <c r="G2996">
        <v>0</v>
      </c>
      <c r="H2996">
        <v>0</v>
      </c>
      <c r="I2996">
        <v>0</v>
      </c>
      <c r="J2996">
        <v>0</v>
      </c>
      <c r="K2996">
        <v>0</v>
      </c>
    </row>
    <row r="2997" spans="1:11" x14ac:dyDescent="0.2">
      <c r="A2997" t="s">
        <v>1885</v>
      </c>
      <c r="B2997">
        <v>0</v>
      </c>
      <c r="C2997">
        <v>2</v>
      </c>
      <c r="D2997">
        <v>0</v>
      </c>
      <c r="E2997">
        <v>0</v>
      </c>
      <c r="F2997">
        <v>0</v>
      </c>
      <c r="G2997">
        <v>0</v>
      </c>
      <c r="H2997">
        <v>0</v>
      </c>
      <c r="I2997">
        <v>0</v>
      </c>
      <c r="J2997">
        <v>0</v>
      </c>
      <c r="K2997">
        <v>0</v>
      </c>
    </row>
    <row r="2998" spans="1:11" x14ac:dyDescent="0.2">
      <c r="A2998" t="s">
        <v>1887</v>
      </c>
      <c r="B2998">
        <v>0</v>
      </c>
      <c r="C2998">
        <v>0</v>
      </c>
      <c r="D2998">
        <v>0</v>
      </c>
      <c r="E2998">
        <v>0</v>
      </c>
      <c r="F2998">
        <v>0</v>
      </c>
      <c r="G2998">
        <v>0</v>
      </c>
      <c r="H2998">
        <v>0</v>
      </c>
      <c r="I2998">
        <v>0</v>
      </c>
      <c r="J2998">
        <v>0</v>
      </c>
      <c r="K2998">
        <v>0</v>
      </c>
    </row>
    <row r="2999" spans="1:11" x14ac:dyDescent="0.2">
      <c r="A2999" t="s">
        <v>1893</v>
      </c>
      <c r="B2999">
        <v>0</v>
      </c>
      <c r="C2999">
        <v>1</v>
      </c>
      <c r="D2999">
        <v>0</v>
      </c>
      <c r="E2999">
        <v>0</v>
      </c>
      <c r="F2999">
        <v>0</v>
      </c>
      <c r="G2999">
        <v>0</v>
      </c>
      <c r="H2999">
        <v>0</v>
      </c>
      <c r="I2999">
        <v>0</v>
      </c>
      <c r="J2999">
        <v>2</v>
      </c>
      <c r="K2999">
        <v>0</v>
      </c>
    </row>
    <row r="3000" spans="1:11" x14ac:dyDescent="0.2">
      <c r="A3000" t="s">
        <v>1899</v>
      </c>
      <c r="B3000">
        <v>0</v>
      </c>
      <c r="C3000">
        <v>0</v>
      </c>
      <c r="D3000">
        <v>0</v>
      </c>
      <c r="E3000">
        <v>0</v>
      </c>
      <c r="F3000">
        <v>0</v>
      </c>
      <c r="G3000">
        <v>0</v>
      </c>
      <c r="H3000">
        <v>0</v>
      </c>
      <c r="I3000">
        <v>0</v>
      </c>
      <c r="J3000">
        <v>0</v>
      </c>
      <c r="K3000">
        <v>0</v>
      </c>
    </row>
    <row r="3001" spans="1:11" x14ac:dyDescent="0.2">
      <c r="A3001" t="s">
        <v>1906</v>
      </c>
      <c r="B3001">
        <v>0</v>
      </c>
      <c r="C3001">
        <v>0</v>
      </c>
      <c r="D3001">
        <v>0</v>
      </c>
      <c r="E3001">
        <v>0</v>
      </c>
      <c r="F3001">
        <v>0</v>
      </c>
      <c r="G3001">
        <v>0</v>
      </c>
      <c r="H3001">
        <v>0</v>
      </c>
      <c r="I3001">
        <v>0</v>
      </c>
      <c r="J3001">
        <v>0</v>
      </c>
      <c r="K3001">
        <v>0</v>
      </c>
    </row>
    <row r="3002" spans="1:11" x14ac:dyDescent="0.2">
      <c r="A3002" t="s">
        <v>1911</v>
      </c>
      <c r="B3002">
        <v>0</v>
      </c>
      <c r="C3002">
        <v>0</v>
      </c>
      <c r="D3002">
        <v>0</v>
      </c>
      <c r="E3002">
        <v>0</v>
      </c>
      <c r="F3002">
        <v>0</v>
      </c>
      <c r="G3002">
        <v>0</v>
      </c>
      <c r="H3002">
        <v>0</v>
      </c>
      <c r="I3002">
        <v>0</v>
      </c>
      <c r="J3002">
        <v>0</v>
      </c>
      <c r="K3002">
        <v>0</v>
      </c>
    </row>
    <row r="3003" spans="1:11" x14ac:dyDescent="0.2">
      <c r="A3003" t="s">
        <v>1917</v>
      </c>
      <c r="B3003">
        <v>0</v>
      </c>
      <c r="C3003">
        <v>0</v>
      </c>
      <c r="D3003">
        <v>0</v>
      </c>
      <c r="E3003">
        <v>0</v>
      </c>
      <c r="F3003">
        <v>0</v>
      </c>
      <c r="G3003">
        <v>0</v>
      </c>
      <c r="H3003">
        <v>0</v>
      </c>
      <c r="I3003">
        <v>0</v>
      </c>
      <c r="J3003">
        <v>0</v>
      </c>
      <c r="K3003">
        <v>0</v>
      </c>
    </row>
    <row r="3004" spans="1:11" x14ac:dyDescent="0.2">
      <c r="A3004" t="s">
        <v>1922</v>
      </c>
      <c r="B3004">
        <v>0</v>
      </c>
      <c r="C3004">
        <v>0</v>
      </c>
      <c r="D3004">
        <v>0</v>
      </c>
      <c r="E3004">
        <v>0</v>
      </c>
      <c r="F3004">
        <v>0</v>
      </c>
      <c r="G3004">
        <v>0</v>
      </c>
      <c r="H3004">
        <v>0</v>
      </c>
      <c r="I3004">
        <v>0</v>
      </c>
      <c r="J3004">
        <v>0</v>
      </c>
      <c r="K3004">
        <v>0</v>
      </c>
    </row>
    <row r="3005" spans="1:11" x14ac:dyDescent="0.2">
      <c r="A3005" t="s">
        <v>1928</v>
      </c>
      <c r="B3005">
        <v>0</v>
      </c>
      <c r="C3005">
        <v>0</v>
      </c>
      <c r="D3005">
        <v>0</v>
      </c>
      <c r="E3005">
        <v>0</v>
      </c>
      <c r="F3005">
        <v>0</v>
      </c>
      <c r="G3005">
        <v>0</v>
      </c>
      <c r="H3005">
        <v>0</v>
      </c>
      <c r="I3005">
        <v>0</v>
      </c>
      <c r="J3005">
        <v>0</v>
      </c>
      <c r="K3005">
        <v>0</v>
      </c>
    </row>
    <row r="3006" spans="1:11" x14ac:dyDescent="0.2">
      <c r="A3006" t="s">
        <v>1932</v>
      </c>
      <c r="B3006">
        <v>0</v>
      </c>
      <c r="C3006">
        <v>0</v>
      </c>
      <c r="D3006">
        <v>0</v>
      </c>
      <c r="E3006">
        <v>0</v>
      </c>
      <c r="F3006">
        <v>0</v>
      </c>
      <c r="G3006">
        <v>0</v>
      </c>
      <c r="H3006">
        <v>0</v>
      </c>
      <c r="I3006">
        <v>0</v>
      </c>
      <c r="J3006">
        <v>0</v>
      </c>
      <c r="K3006">
        <v>0</v>
      </c>
    </row>
    <row r="3007" spans="1:11" x14ac:dyDescent="0.2">
      <c r="A3007" t="s">
        <v>1938</v>
      </c>
      <c r="B3007">
        <v>0</v>
      </c>
      <c r="C3007">
        <v>0</v>
      </c>
      <c r="D3007">
        <v>0</v>
      </c>
      <c r="E3007">
        <v>0</v>
      </c>
      <c r="F3007">
        <v>0</v>
      </c>
      <c r="G3007">
        <v>0</v>
      </c>
      <c r="H3007">
        <v>0</v>
      </c>
      <c r="I3007">
        <v>0</v>
      </c>
      <c r="J3007">
        <v>0</v>
      </c>
      <c r="K3007">
        <v>0</v>
      </c>
    </row>
    <row r="3008" spans="1:11" x14ac:dyDescent="0.2">
      <c r="A3008" t="s">
        <v>1944</v>
      </c>
      <c r="B3008">
        <v>0</v>
      </c>
      <c r="C3008">
        <v>0</v>
      </c>
      <c r="D3008">
        <v>0</v>
      </c>
      <c r="E3008">
        <v>0</v>
      </c>
      <c r="F3008">
        <v>0</v>
      </c>
      <c r="G3008">
        <v>0</v>
      </c>
      <c r="H3008">
        <v>0</v>
      </c>
      <c r="I3008">
        <v>0</v>
      </c>
      <c r="J3008">
        <v>0</v>
      </c>
      <c r="K3008">
        <v>0</v>
      </c>
    </row>
    <row r="3009" spans="1:11" x14ac:dyDescent="0.2">
      <c r="A3009" t="s">
        <v>1947</v>
      </c>
      <c r="B3009">
        <v>0</v>
      </c>
      <c r="C3009">
        <v>0</v>
      </c>
      <c r="D3009">
        <v>0</v>
      </c>
      <c r="E3009">
        <v>0</v>
      </c>
      <c r="F3009">
        <v>0</v>
      </c>
      <c r="G3009">
        <v>0</v>
      </c>
      <c r="H3009">
        <v>0</v>
      </c>
      <c r="I3009">
        <v>0</v>
      </c>
      <c r="J3009">
        <v>0</v>
      </c>
      <c r="K3009">
        <v>0</v>
      </c>
    </row>
    <row r="3010" spans="1:11" x14ac:dyDescent="0.2">
      <c r="A3010" t="s">
        <v>1953</v>
      </c>
      <c r="B3010">
        <v>0</v>
      </c>
      <c r="C3010">
        <v>0</v>
      </c>
      <c r="D3010">
        <v>0</v>
      </c>
      <c r="E3010">
        <v>0</v>
      </c>
      <c r="F3010">
        <v>0</v>
      </c>
      <c r="G3010">
        <v>0</v>
      </c>
      <c r="H3010">
        <v>0</v>
      </c>
      <c r="I3010">
        <v>0</v>
      </c>
      <c r="J3010">
        <v>0</v>
      </c>
      <c r="K3010">
        <v>0</v>
      </c>
    </row>
    <row r="3011" spans="1:11" x14ac:dyDescent="0.2">
      <c r="A3011" t="s">
        <v>1958</v>
      </c>
      <c r="B3011">
        <v>0</v>
      </c>
      <c r="C3011">
        <v>0</v>
      </c>
      <c r="D3011">
        <v>0</v>
      </c>
      <c r="E3011">
        <v>0</v>
      </c>
      <c r="F3011">
        <v>0</v>
      </c>
      <c r="G3011">
        <v>0</v>
      </c>
      <c r="H3011">
        <v>0</v>
      </c>
      <c r="I3011">
        <v>0</v>
      </c>
      <c r="J3011">
        <v>0</v>
      </c>
      <c r="K3011">
        <v>0</v>
      </c>
    </row>
    <row r="3012" spans="1:11" x14ac:dyDescent="0.2">
      <c r="A3012" t="s">
        <v>1964</v>
      </c>
      <c r="B3012">
        <v>0</v>
      </c>
      <c r="C3012">
        <v>0</v>
      </c>
      <c r="D3012">
        <v>0</v>
      </c>
      <c r="E3012">
        <v>0</v>
      </c>
      <c r="F3012">
        <v>0</v>
      </c>
      <c r="G3012">
        <v>0</v>
      </c>
      <c r="H3012">
        <v>0</v>
      </c>
      <c r="I3012">
        <v>0</v>
      </c>
      <c r="J3012">
        <v>0</v>
      </c>
      <c r="K3012">
        <v>0</v>
      </c>
    </row>
    <row r="3013" spans="1:11" x14ac:dyDescent="0.2">
      <c r="A3013" t="s">
        <v>1973</v>
      </c>
      <c r="B3013">
        <v>0</v>
      </c>
      <c r="C3013">
        <v>0</v>
      </c>
      <c r="D3013">
        <v>0</v>
      </c>
      <c r="E3013">
        <v>0</v>
      </c>
      <c r="F3013">
        <v>0</v>
      </c>
      <c r="G3013">
        <v>0</v>
      </c>
      <c r="H3013">
        <v>0</v>
      </c>
      <c r="I3013">
        <v>0</v>
      </c>
      <c r="J3013">
        <v>0</v>
      </c>
      <c r="K3013">
        <v>0</v>
      </c>
    </row>
    <row r="3014" spans="1:11" x14ac:dyDescent="0.2">
      <c r="A3014" t="s">
        <v>1978</v>
      </c>
      <c r="B3014">
        <v>0</v>
      </c>
      <c r="C3014">
        <v>0</v>
      </c>
      <c r="D3014">
        <v>0</v>
      </c>
      <c r="E3014">
        <v>0</v>
      </c>
      <c r="F3014">
        <v>0</v>
      </c>
      <c r="G3014">
        <v>0</v>
      </c>
      <c r="H3014">
        <v>0</v>
      </c>
      <c r="I3014">
        <v>0</v>
      </c>
      <c r="J3014">
        <v>0</v>
      </c>
      <c r="K3014">
        <v>0</v>
      </c>
    </row>
    <row r="3015" spans="1:11" x14ac:dyDescent="0.2">
      <c r="A3015" t="s">
        <v>1983</v>
      </c>
      <c r="B3015">
        <v>0</v>
      </c>
      <c r="C3015">
        <v>0</v>
      </c>
      <c r="D3015">
        <v>0</v>
      </c>
      <c r="E3015">
        <v>0</v>
      </c>
      <c r="F3015">
        <v>0</v>
      </c>
      <c r="G3015">
        <v>0</v>
      </c>
      <c r="H3015">
        <v>0</v>
      </c>
      <c r="I3015">
        <v>0</v>
      </c>
      <c r="J3015">
        <v>0</v>
      </c>
      <c r="K3015">
        <v>0</v>
      </c>
    </row>
    <row r="3016" spans="1:11" x14ac:dyDescent="0.2">
      <c r="A3016" t="s">
        <v>1984</v>
      </c>
      <c r="B3016">
        <v>0</v>
      </c>
      <c r="C3016">
        <v>0</v>
      </c>
      <c r="D3016">
        <v>0</v>
      </c>
      <c r="E3016">
        <v>0</v>
      </c>
      <c r="F3016">
        <v>0</v>
      </c>
      <c r="G3016">
        <v>0</v>
      </c>
      <c r="H3016">
        <v>0</v>
      </c>
      <c r="I3016">
        <v>0</v>
      </c>
      <c r="J3016">
        <v>0</v>
      </c>
      <c r="K3016">
        <v>0</v>
      </c>
    </row>
    <row r="3017" spans="1:11" x14ac:dyDescent="0.2">
      <c r="A3017" t="s">
        <v>1990</v>
      </c>
      <c r="B3017">
        <v>0</v>
      </c>
      <c r="C3017">
        <v>0</v>
      </c>
      <c r="D3017">
        <v>0</v>
      </c>
      <c r="E3017">
        <v>0</v>
      </c>
      <c r="F3017">
        <v>0</v>
      </c>
      <c r="G3017">
        <v>0</v>
      </c>
      <c r="H3017">
        <v>0</v>
      </c>
      <c r="I3017">
        <v>0</v>
      </c>
      <c r="J3017">
        <v>0</v>
      </c>
      <c r="K3017">
        <v>0</v>
      </c>
    </row>
    <row r="3018" spans="1:11" x14ac:dyDescent="0.2">
      <c r="A3018" t="s">
        <v>1996</v>
      </c>
      <c r="B3018">
        <v>0</v>
      </c>
      <c r="C3018">
        <v>0</v>
      </c>
      <c r="D3018">
        <v>0</v>
      </c>
      <c r="E3018">
        <v>0</v>
      </c>
      <c r="F3018">
        <v>0</v>
      </c>
      <c r="G3018">
        <v>0</v>
      </c>
      <c r="H3018">
        <v>0</v>
      </c>
      <c r="I3018">
        <v>0</v>
      </c>
      <c r="J3018">
        <v>0</v>
      </c>
      <c r="K3018">
        <v>0</v>
      </c>
    </row>
    <row r="3019" spans="1:11" x14ac:dyDescent="0.2">
      <c r="A3019" t="s">
        <v>1998</v>
      </c>
      <c r="B3019">
        <v>0</v>
      </c>
      <c r="C3019">
        <v>0</v>
      </c>
      <c r="D3019">
        <v>0</v>
      </c>
      <c r="E3019">
        <v>0</v>
      </c>
      <c r="F3019">
        <v>0</v>
      </c>
      <c r="G3019">
        <v>0</v>
      </c>
      <c r="H3019">
        <v>0</v>
      </c>
      <c r="I3019">
        <v>0</v>
      </c>
      <c r="J3019">
        <v>0</v>
      </c>
      <c r="K3019">
        <v>0</v>
      </c>
    </row>
    <row r="3020" spans="1:11" x14ac:dyDescent="0.2">
      <c r="A3020" t="s">
        <v>1999</v>
      </c>
      <c r="B3020">
        <v>0</v>
      </c>
      <c r="C3020">
        <v>0</v>
      </c>
      <c r="D3020">
        <v>0</v>
      </c>
      <c r="E3020">
        <v>0</v>
      </c>
      <c r="F3020">
        <v>0</v>
      </c>
      <c r="G3020">
        <v>0</v>
      </c>
      <c r="H3020">
        <v>0</v>
      </c>
      <c r="I3020">
        <v>0</v>
      </c>
      <c r="J3020">
        <v>0</v>
      </c>
      <c r="K3020">
        <v>0</v>
      </c>
    </row>
    <row r="3021" spans="1:11" x14ac:dyDescent="0.2">
      <c r="A3021" t="s">
        <v>2004</v>
      </c>
      <c r="B3021">
        <v>0</v>
      </c>
      <c r="C3021">
        <v>0</v>
      </c>
      <c r="D3021">
        <v>0</v>
      </c>
      <c r="E3021">
        <v>0</v>
      </c>
      <c r="F3021">
        <v>0</v>
      </c>
      <c r="G3021">
        <v>0</v>
      </c>
      <c r="H3021">
        <v>0</v>
      </c>
      <c r="I3021">
        <v>0</v>
      </c>
      <c r="J3021">
        <v>0</v>
      </c>
      <c r="K3021">
        <v>0</v>
      </c>
    </row>
    <row r="3022" spans="1:11" x14ac:dyDescent="0.2">
      <c r="A3022" t="s">
        <v>2009</v>
      </c>
      <c r="B3022">
        <v>0</v>
      </c>
      <c r="C3022">
        <v>0</v>
      </c>
      <c r="D3022">
        <v>0</v>
      </c>
      <c r="E3022">
        <v>0</v>
      </c>
      <c r="F3022">
        <v>0</v>
      </c>
      <c r="G3022">
        <v>0</v>
      </c>
      <c r="H3022">
        <v>0</v>
      </c>
      <c r="I3022">
        <v>0</v>
      </c>
      <c r="J3022">
        <v>0</v>
      </c>
      <c r="K3022">
        <v>0</v>
      </c>
    </row>
    <row r="3023" spans="1:11" x14ac:dyDescent="0.2">
      <c r="A3023" t="s">
        <v>2014</v>
      </c>
      <c r="B3023">
        <v>0</v>
      </c>
      <c r="C3023">
        <v>0</v>
      </c>
      <c r="D3023">
        <v>0</v>
      </c>
      <c r="E3023">
        <v>0</v>
      </c>
      <c r="F3023">
        <v>0</v>
      </c>
      <c r="G3023">
        <v>0</v>
      </c>
      <c r="H3023">
        <v>0</v>
      </c>
      <c r="I3023">
        <v>0</v>
      </c>
      <c r="J3023">
        <v>0</v>
      </c>
      <c r="K3023">
        <v>0</v>
      </c>
    </row>
    <row r="3024" spans="1:11" x14ac:dyDescent="0.2">
      <c r="A3024" t="s">
        <v>2019</v>
      </c>
      <c r="B3024">
        <v>0</v>
      </c>
      <c r="C3024">
        <v>0</v>
      </c>
      <c r="D3024">
        <v>0</v>
      </c>
      <c r="E3024">
        <v>0</v>
      </c>
      <c r="F3024">
        <v>0</v>
      </c>
      <c r="G3024">
        <v>0</v>
      </c>
      <c r="H3024">
        <v>0</v>
      </c>
      <c r="I3024">
        <v>0</v>
      </c>
      <c r="J3024">
        <v>0</v>
      </c>
      <c r="K3024">
        <v>0</v>
      </c>
    </row>
    <row r="3025" spans="1:11" x14ac:dyDescent="0.2">
      <c r="A3025" t="s">
        <v>2023</v>
      </c>
      <c r="B3025">
        <v>0</v>
      </c>
      <c r="C3025">
        <v>0</v>
      </c>
      <c r="D3025">
        <v>0</v>
      </c>
      <c r="E3025">
        <v>0</v>
      </c>
      <c r="F3025">
        <v>0</v>
      </c>
      <c r="G3025">
        <v>0</v>
      </c>
      <c r="H3025">
        <v>0</v>
      </c>
      <c r="I3025">
        <v>0</v>
      </c>
      <c r="J3025">
        <v>0</v>
      </c>
      <c r="K3025">
        <v>0</v>
      </c>
    </row>
    <row r="3026" spans="1:11" x14ac:dyDescent="0.2">
      <c r="A3026" t="s">
        <v>2026</v>
      </c>
      <c r="B3026">
        <v>0</v>
      </c>
      <c r="C3026">
        <v>0</v>
      </c>
      <c r="D3026">
        <v>0</v>
      </c>
      <c r="E3026">
        <v>0</v>
      </c>
      <c r="F3026">
        <v>0</v>
      </c>
      <c r="G3026">
        <v>0</v>
      </c>
      <c r="H3026">
        <v>0</v>
      </c>
      <c r="I3026">
        <v>0</v>
      </c>
      <c r="J3026">
        <v>0</v>
      </c>
      <c r="K3026">
        <v>0</v>
      </c>
    </row>
    <row r="3027" spans="1:11" x14ac:dyDescent="0.2">
      <c r="A3027" t="s">
        <v>2030</v>
      </c>
      <c r="B3027">
        <v>0</v>
      </c>
      <c r="C3027">
        <v>0</v>
      </c>
      <c r="D3027">
        <v>0</v>
      </c>
      <c r="E3027">
        <v>0</v>
      </c>
      <c r="F3027">
        <v>0</v>
      </c>
      <c r="G3027">
        <v>0</v>
      </c>
      <c r="H3027">
        <v>0</v>
      </c>
      <c r="I3027">
        <v>0</v>
      </c>
      <c r="J3027">
        <v>0</v>
      </c>
      <c r="K3027">
        <v>0</v>
      </c>
    </row>
    <row r="3028" spans="1:11" x14ac:dyDescent="0.2">
      <c r="A3028" t="s">
        <v>2035</v>
      </c>
      <c r="B3028">
        <v>0</v>
      </c>
      <c r="C3028">
        <v>0</v>
      </c>
      <c r="D3028">
        <v>0</v>
      </c>
      <c r="E3028">
        <v>0</v>
      </c>
      <c r="F3028">
        <v>0</v>
      </c>
      <c r="G3028">
        <v>0</v>
      </c>
      <c r="H3028">
        <v>0</v>
      </c>
      <c r="I3028">
        <v>0</v>
      </c>
      <c r="J3028">
        <v>0</v>
      </c>
      <c r="K3028">
        <v>0</v>
      </c>
    </row>
    <row r="3029" spans="1:11" x14ac:dyDescent="0.2">
      <c r="A3029" t="s">
        <v>2040</v>
      </c>
      <c r="B3029">
        <v>0</v>
      </c>
      <c r="C3029">
        <v>0</v>
      </c>
      <c r="D3029">
        <v>0</v>
      </c>
      <c r="E3029">
        <v>0</v>
      </c>
      <c r="F3029">
        <v>0</v>
      </c>
      <c r="G3029">
        <v>0</v>
      </c>
      <c r="H3029">
        <v>0</v>
      </c>
      <c r="I3029">
        <v>0</v>
      </c>
      <c r="J3029">
        <v>0</v>
      </c>
      <c r="K3029">
        <v>0</v>
      </c>
    </row>
    <row r="3030" spans="1:11" x14ac:dyDescent="0.2">
      <c r="A3030" t="s">
        <v>2045</v>
      </c>
      <c r="B3030">
        <v>0</v>
      </c>
      <c r="C3030">
        <v>0</v>
      </c>
      <c r="D3030">
        <v>0</v>
      </c>
      <c r="E3030">
        <v>0</v>
      </c>
      <c r="F3030">
        <v>0</v>
      </c>
      <c r="G3030">
        <v>0</v>
      </c>
      <c r="H3030">
        <v>0</v>
      </c>
      <c r="I3030">
        <v>0</v>
      </c>
      <c r="J3030">
        <v>0</v>
      </c>
      <c r="K3030">
        <v>0</v>
      </c>
    </row>
    <row r="3031" spans="1:11" x14ac:dyDescent="0.2">
      <c r="A3031" t="s">
        <v>2049</v>
      </c>
      <c r="B3031">
        <v>0</v>
      </c>
      <c r="C3031">
        <v>0</v>
      </c>
      <c r="D3031">
        <v>0</v>
      </c>
      <c r="E3031">
        <v>0</v>
      </c>
      <c r="F3031">
        <v>0</v>
      </c>
      <c r="G3031">
        <v>0</v>
      </c>
      <c r="H3031">
        <v>0</v>
      </c>
      <c r="I3031">
        <v>0</v>
      </c>
      <c r="J3031">
        <v>0</v>
      </c>
      <c r="K3031">
        <v>0</v>
      </c>
    </row>
    <row r="3032" spans="1:11" x14ac:dyDescent="0.2">
      <c r="A3032" t="s">
        <v>2051</v>
      </c>
      <c r="B3032">
        <v>1</v>
      </c>
      <c r="C3032">
        <v>5</v>
      </c>
      <c r="D3032">
        <v>0</v>
      </c>
      <c r="E3032">
        <v>0</v>
      </c>
      <c r="F3032">
        <v>0</v>
      </c>
      <c r="G3032">
        <v>0</v>
      </c>
      <c r="H3032">
        <v>0</v>
      </c>
      <c r="I3032">
        <v>0</v>
      </c>
      <c r="J3032">
        <v>0</v>
      </c>
      <c r="K3032">
        <v>0</v>
      </c>
    </row>
    <row r="3033" spans="1:11" x14ac:dyDescent="0.2">
      <c r="A3033" t="s">
        <v>2057</v>
      </c>
      <c r="B3033">
        <v>2</v>
      </c>
      <c r="C3033">
        <v>8</v>
      </c>
      <c r="D3033">
        <v>0</v>
      </c>
      <c r="E3033">
        <v>0</v>
      </c>
      <c r="F3033">
        <v>0</v>
      </c>
      <c r="G3033">
        <v>0</v>
      </c>
      <c r="H3033">
        <v>0</v>
      </c>
      <c r="I3033">
        <v>0</v>
      </c>
      <c r="J3033">
        <v>0</v>
      </c>
      <c r="K3033">
        <v>0</v>
      </c>
    </row>
    <row r="3034" spans="1:11" x14ac:dyDescent="0.2">
      <c r="A3034" t="s">
        <v>4344</v>
      </c>
      <c r="B3034">
        <v>0</v>
      </c>
      <c r="C3034">
        <v>0</v>
      </c>
      <c r="D3034">
        <v>0</v>
      </c>
      <c r="E3034">
        <v>0</v>
      </c>
      <c r="F3034">
        <v>0</v>
      </c>
      <c r="G3034">
        <v>0</v>
      </c>
      <c r="H3034">
        <v>0</v>
      </c>
      <c r="I3034">
        <v>0</v>
      </c>
      <c r="J3034">
        <v>0</v>
      </c>
      <c r="K3034">
        <v>0</v>
      </c>
    </row>
    <row r="3035" spans="1:11" x14ac:dyDescent="0.2">
      <c r="A3035" t="s">
        <v>4345</v>
      </c>
      <c r="B3035">
        <v>0</v>
      </c>
      <c r="C3035">
        <v>0</v>
      </c>
      <c r="D3035">
        <v>0</v>
      </c>
      <c r="E3035">
        <v>0</v>
      </c>
      <c r="F3035">
        <v>0</v>
      </c>
      <c r="G3035">
        <v>0</v>
      </c>
      <c r="H3035">
        <v>0</v>
      </c>
      <c r="I3035">
        <v>0</v>
      </c>
      <c r="J3035">
        <v>0</v>
      </c>
      <c r="K3035">
        <v>0</v>
      </c>
    </row>
    <row r="3036" spans="1:11" x14ac:dyDescent="0.2">
      <c r="A3036" t="s">
        <v>2074</v>
      </c>
      <c r="B3036">
        <v>0</v>
      </c>
      <c r="C3036">
        <v>0</v>
      </c>
      <c r="D3036">
        <v>0</v>
      </c>
      <c r="E3036">
        <v>0</v>
      </c>
      <c r="F3036">
        <v>0</v>
      </c>
      <c r="G3036">
        <v>0</v>
      </c>
      <c r="H3036">
        <v>0</v>
      </c>
      <c r="I3036">
        <v>0</v>
      </c>
      <c r="J3036">
        <v>0</v>
      </c>
      <c r="K3036">
        <v>0</v>
      </c>
    </row>
    <row r="3037" spans="1:11" x14ac:dyDescent="0.2">
      <c r="A3037" t="s">
        <v>2079</v>
      </c>
      <c r="B3037">
        <v>0</v>
      </c>
      <c r="C3037">
        <v>0</v>
      </c>
      <c r="D3037">
        <v>0</v>
      </c>
      <c r="E3037">
        <v>0</v>
      </c>
      <c r="F3037">
        <v>0</v>
      </c>
      <c r="G3037">
        <v>0</v>
      </c>
      <c r="H3037">
        <v>0</v>
      </c>
      <c r="I3037">
        <v>0</v>
      </c>
      <c r="J3037">
        <v>0</v>
      </c>
      <c r="K3037">
        <v>0</v>
      </c>
    </row>
    <row r="3038" spans="1:11" x14ac:dyDescent="0.2">
      <c r="A3038" t="s">
        <v>2085</v>
      </c>
      <c r="B3038">
        <v>0</v>
      </c>
      <c r="C3038">
        <v>0</v>
      </c>
      <c r="D3038">
        <v>0</v>
      </c>
      <c r="E3038">
        <v>0</v>
      </c>
      <c r="F3038">
        <v>0</v>
      </c>
      <c r="G3038">
        <v>0</v>
      </c>
      <c r="H3038">
        <v>0</v>
      </c>
      <c r="I3038">
        <v>0</v>
      </c>
      <c r="J3038">
        <v>0</v>
      </c>
      <c r="K3038">
        <v>0</v>
      </c>
    </row>
    <row r="3039" spans="1:11" x14ac:dyDescent="0.2">
      <c r="A3039" t="s">
        <v>2091</v>
      </c>
      <c r="B3039">
        <v>0</v>
      </c>
      <c r="C3039">
        <v>0</v>
      </c>
      <c r="D3039">
        <v>0</v>
      </c>
      <c r="E3039">
        <v>0</v>
      </c>
      <c r="F3039">
        <v>0</v>
      </c>
      <c r="G3039">
        <v>0</v>
      </c>
      <c r="H3039">
        <v>0</v>
      </c>
      <c r="I3039">
        <v>0</v>
      </c>
      <c r="J3039">
        <v>0</v>
      </c>
      <c r="K3039">
        <v>0</v>
      </c>
    </row>
    <row r="3040" spans="1:11" x14ac:dyDescent="0.2">
      <c r="A3040" t="s">
        <v>2097</v>
      </c>
      <c r="B3040">
        <v>0</v>
      </c>
      <c r="C3040">
        <v>0</v>
      </c>
      <c r="D3040">
        <v>0</v>
      </c>
      <c r="E3040">
        <v>0</v>
      </c>
      <c r="F3040">
        <v>0</v>
      </c>
      <c r="G3040">
        <v>0</v>
      </c>
      <c r="H3040">
        <v>0</v>
      </c>
      <c r="I3040">
        <v>0</v>
      </c>
      <c r="J3040">
        <v>0</v>
      </c>
      <c r="K3040">
        <v>0</v>
      </c>
    </row>
    <row r="3041" spans="1:11" x14ac:dyDescent="0.2">
      <c r="A3041" t="s">
        <v>2101</v>
      </c>
      <c r="B3041">
        <v>0</v>
      </c>
      <c r="C3041">
        <v>0</v>
      </c>
      <c r="D3041">
        <v>0</v>
      </c>
      <c r="E3041">
        <v>0</v>
      </c>
      <c r="F3041">
        <v>0</v>
      </c>
      <c r="G3041">
        <v>0</v>
      </c>
      <c r="H3041">
        <v>0</v>
      </c>
      <c r="I3041">
        <v>0</v>
      </c>
      <c r="J3041">
        <v>0</v>
      </c>
      <c r="K3041">
        <v>0</v>
      </c>
    </row>
    <row r="3042" spans="1:11" x14ac:dyDescent="0.2">
      <c r="A3042" t="s">
        <v>2104</v>
      </c>
      <c r="B3042">
        <v>0</v>
      </c>
      <c r="C3042">
        <v>0</v>
      </c>
      <c r="D3042">
        <v>0</v>
      </c>
      <c r="E3042">
        <v>0</v>
      </c>
      <c r="F3042">
        <v>0</v>
      </c>
      <c r="G3042">
        <v>0</v>
      </c>
      <c r="H3042">
        <v>0</v>
      </c>
      <c r="I3042">
        <v>0</v>
      </c>
      <c r="J3042">
        <v>0</v>
      </c>
      <c r="K3042">
        <v>0</v>
      </c>
    </row>
    <row r="3043" spans="1:11" x14ac:dyDescent="0.2">
      <c r="A3043" t="s">
        <v>2107</v>
      </c>
      <c r="B3043">
        <v>0</v>
      </c>
      <c r="C3043">
        <v>0</v>
      </c>
      <c r="D3043">
        <v>0</v>
      </c>
      <c r="E3043">
        <v>0</v>
      </c>
      <c r="F3043">
        <v>0</v>
      </c>
      <c r="G3043">
        <v>0</v>
      </c>
      <c r="H3043">
        <v>0</v>
      </c>
      <c r="I3043">
        <v>0</v>
      </c>
      <c r="J3043">
        <v>0</v>
      </c>
      <c r="K3043">
        <v>0</v>
      </c>
    </row>
    <row r="3044" spans="1:11" x14ac:dyDescent="0.2">
      <c r="A3044" t="s">
        <v>2110</v>
      </c>
      <c r="B3044">
        <v>0</v>
      </c>
      <c r="C3044">
        <v>0</v>
      </c>
      <c r="D3044">
        <v>0</v>
      </c>
      <c r="E3044">
        <v>0</v>
      </c>
      <c r="F3044">
        <v>0</v>
      </c>
      <c r="G3044">
        <v>0</v>
      </c>
      <c r="H3044">
        <v>0</v>
      </c>
      <c r="I3044">
        <v>0</v>
      </c>
      <c r="J3044">
        <v>0</v>
      </c>
      <c r="K3044">
        <v>0</v>
      </c>
    </row>
    <row r="3045" spans="1:11" x14ac:dyDescent="0.2">
      <c r="A3045" t="s">
        <v>2113</v>
      </c>
      <c r="B3045">
        <v>0</v>
      </c>
      <c r="C3045">
        <v>0</v>
      </c>
      <c r="D3045">
        <v>0</v>
      </c>
      <c r="E3045">
        <v>0</v>
      </c>
      <c r="F3045">
        <v>0</v>
      </c>
      <c r="G3045">
        <v>0</v>
      </c>
      <c r="H3045">
        <v>0</v>
      </c>
      <c r="I3045">
        <v>0</v>
      </c>
      <c r="J3045">
        <v>0</v>
      </c>
      <c r="K3045">
        <v>0</v>
      </c>
    </row>
    <row r="3046" spans="1:11" x14ac:dyDescent="0.2">
      <c r="A3046" t="s">
        <v>4346</v>
      </c>
      <c r="B3046">
        <v>0</v>
      </c>
      <c r="C3046">
        <v>0</v>
      </c>
      <c r="D3046">
        <v>0</v>
      </c>
      <c r="E3046">
        <v>0</v>
      </c>
      <c r="F3046">
        <v>0</v>
      </c>
      <c r="G3046">
        <v>0</v>
      </c>
      <c r="H3046">
        <v>0</v>
      </c>
      <c r="I3046">
        <v>0</v>
      </c>
      <c r="J3046">
        <v>0</v>
      </c>
      <c r="K3046">
        <v>0</v>
      </c>
    </row>
    <row r="3047" spans="1:11" x14ac:dyDescent="0.2">
      <c r="A3047" t="s">
        <v>4347</v>
      </c>
      <c r="B3047">
        <v>0</v>
      </c>
      <c r="C3047">
        <v>0</v>
      </c>
      <c r="D3047">
        <v>0</v>
      </c>
      <c r="E3047">
        <v>0</v>
      </c>
      <c r="F3047">
        <v>0</v>
      </c>
      <c r="G3047">
        <v>0</v>
      </c>
      <c r="H3047">
        <v>0</v>
      </c>
      <c r="I3047">
        <v>0</v>
      </c>
      <c r="J3047">
        <v>0</v>
      </c>
      <c r="K3047">
        <v>0</v>
      </c>
    </row>
    <row r="3048" spans="1:11" x14ac:dyDescent="0.2">
      <c r="A3048" t="s">
        <v>4348</v>
      </c>
      <c r="B3048">
        <v>0</v>
      </c>
      <c r="C3048">
        <v>0</v>
      </c>
      <c r="D3048">
        <v>0</v>
      </c>
      <c r="E3048">
        <v>0</v>
      </c>
      <c r="F3048">
        <v>0</v>
      </c>
      <c r="G3048">
        <v>0</v>
      </c>
      <c r="H3048">
        <v>0</v>
      </c>
      <c r="I3048">
        <v>0</v>
      </c>
      <c r="J3048">
        <v>0</v>
      </c>
      <c r="K3048">
        <v>0</v>
      </c>
    </row>
    <row r="3049" spans="1:11" x14ac:dyDescent="0.2">
      <c r="A3049" t="s">
        <v>4349</v>
      </c>
      <c r="B3049">
        <v>0</v>
      </c>
      <c r="C3049">
        <v>0</v>
      </c>
      <c r="D3049">
        <v>0</v>
      </c>
      <c r="E3049">
        <v>0</v>
      </c>
      <c r="F3049">
        <v>0</v>
      </c>
      <c r="G3049">
        <v>0</v>
      </c>
      <c r="H3049">
        <v>0</v>
      </c>
      <c r="I3049">
        <v>0</v>
      </c>
      <c r="J3049">
        <v>0</v>
      </c>
      <c r="K3049">
        <v>0</v>
      </c>
    </row>
    <row r="3050" spans="1:11" x14ac:dyDescent="0.2">
      <c r="A3050" t="s">
        <v>4350</v>
      </c>
      <c r="B3050">
        <v>12</v>
      </c>
      <c r="C3050">
        <v>72</v>
      </c>
      <c r="D3050">
        <v>0</v>
      </c>
      <c r="E3050">
        <v>0</v>
      </c>
      <c r="F3050">
        <v>34</v>
      </c>
      <c r="G3050">
        <v>0</v>
      </c>
      <c r="H3050">
        <v>0</v>
      </c>
      <c r="I3050">
        <v>71</v>
      </c>
      <c r="J3050">
        <v>403</v>
      </c>
      <c r="K3050">
        <v>0</v>
      </c>
    </row>
    <row r="3051" spans="1:11" x14ac:dyDescent="0.2">
      <c r="A3051" t="s">
        <v>4351</v>
      </c>
      <c r="B3051">
        <v>0</v>
      </c>
      <c r="C3051">
        <v>0</v>
      </c>
      <c r="D3051">
        <v>0</v>
      </c>
      <c r="E3051">
        <v>0</v>
      </c>
      <c r="F3051">
        <v>0</v>
      </c>
      <c r="G3051">
        <v>0</v>
      </c>
      <c r="H3051">
        <v>0</v>
      </c>
      <c r="I3051">
        <v>0</v>
      </c>
      <c r="J3051">
        <v>0</v>
      </c>
      <c r="K3051">
        <v>0</v>
      </c>
    </row>
    <row r="3052" spans="1:11" x14ac:dyDescent="0.2">
      <c r="A3052" t="s">
        <v>4352</v>
      </c>
      <c r="B3052">
        <v>0</v>
      </c>
      <c r="C3052">
        <v>0</v>
      </c>
      <c r="D3052">
        <v>0</v>
      </c>
      <c r="E3052">
        <v>0</v>
      </c>
      <c r="F3052">
        <v>0</v>
      </c>
      <c r="G3052">
        <v>0</v>
      </c>
      <c r="H3052">
        <v>0</v>
      </c>
      <c r="I3052">
        <v>0</v>
      </c>
      <c r="J3052">
        <v>0</v>
      </c>
      <c r="K3052">
        <v>0</v>
      </c>
    </row>
    <row r="3053" spans="1:11" x14ac:dyDescent="0.2">
      <c r="A3053" t="s">
        <v>4353</v>
      </c>
      <c r="B3053">
        <v>14</v>
      </c>
      <c r="C3053">
        <v>90</v>
      </c>
      <c r="D3053">
        <v>0</v>
      </c>
      <c r="E3053">
        <v>0</v>
      </c>
      <c r="F3053">
        <v>50</v>
      </c>
      <c r="G3053">
        <v>0</v>
      </c>
      <c r="H3053">
        <v>0</v>
      </c>
      <c r="I3053">
        <v>105</v>
      </c>
      <c r="J3053">
        <v>299</v>
      </c>
      <c r="K3053">
        <v>0</v>
      </c>
    </row>
    <row r="3054" spans="1:11" x14ac:dyDescent="0.2">
      <c r="A3054" t="s">
        <v>4354</v>
      </c>
      <c r="B3054">
        <v>7</v>
      </c>
      <c r="C3054">
        <v>42</v>
      </c>
      <c r="D3054">
        <v>0</v>
      </c>
      <c r="E3054">
        <v>0</v>
      </c>
      <c r="F3054">
        <v>26</v>
      </c>
      <c r="G3054">
        <v>0</v>
      </c>
      <c r="H3054">
        <v>0</v>
      </c>
      <c r="I3054">
        <v>56</v>
      </c>
      <c r="J3054">
        <v>134</v>
      </c>
      <c r="K3054">
        <v>0</v>
      </c>
    </row>
    <row r="3055" spans="1:11" x14ac:dyDescent="0.2">
      <c r="A3055" t="s">
        <v>4355</v>
      </c>
      <c r="B3055">
        <v>0</v>
      </c>
      <c r="C3055">
        <v>0</v>
      </c>
      <c r="D3055">
        <v>0</v>
      </c>
      <c r="E3055">
        <v>0</v>
      </c>
      <c r="F3055">
        <v>0</v>
      </c>
      <c r="G3055">
        <v>0</v>
      </c>
      <c r="H3055">
        <v>0</v>
      </c>
      <c r="I3055">
        <v>0</v>
      </c>
      <c r="J3055">
        <v>0</v>
      </c>
      <c r="K3055">
        <v>0</v>
      </c>
    </row>
    <row r="3056" spans="1:11" x14ac:dyDescent="0.2">
      <c r="A3056" t="s">
        <v>4356</v>
      </c>
      <c r="B3056">
        <v>0</v>
      </c>
      <c r="C3056">
        <v>0</v>
      </c>
      <c r="D3056">
        <v>0</v>
      </c>
      <c r="E3056">
        <v>0</v>
      </c>
      <c r="F3056">
        <v>0</v>
      </c>
      <c r="G3056">
        <v>0</v>
      </c>
      <c r="H3056">
        <v>0</v>
      </c>
      <c r="I3056">
        <v>0</v>
      </c>
      <c r="J3056">
        <v>0</v>
      </c>
      <c r="K3056">
        <v>0</v>
      </c>
    </row>
    <row r="3057" spans="1:11" x14ac:dyDescent="0.2">
      <c r="A3057" t="s">
        <v>4357</v>
      </c>
      <c r="B3057">
        <v>1</v>
      </c>
      <c r="C3057">
        <v>8</v>
      </c>
      <c r="D3057">
        <v>0</v>
      </c>
      <c r="E3057">
        <v>0</v>
      </c>
      <c r="F3057">
        <v>0</v>
      </c>
      <c r="G3057">
        <v>0</v>
      </c>
      <c r="H3057">
        <v>0</v>
      </c>
      <c r="I3057">
        <v>0</v>
      </c>
      <c r="J3057">
        <v>28</v>
      </c>
      <c r="K3057">
        <v>0</v>
      </c>
    </row>
    <row r="3058" spans="1:11" x14ac:dyDescent="0.2">
      <c r="A3058" t="s">
        <v>4358</v>
      </c>
      <c r="B3058">
        <v>0</v>
      </c>
      <c r="C3058">
        <v>1</v>
      </c>
      <c r="D3058">
        <v>0</v>
      </c>
      <c r="E3058">
        <v>0</v>
      </c>
      <c r="F3058">
        <v>0</v>
      </c>
      <c r="G3058">
        <v>0</v>
      </c>
      <c r="H3058">
        <v>0</v>
      </c>
      <c r="I3058">
        <v>0</v>
      </c>
      <c r="J3058">
        <v>7</v>
      </c>
      <c r="K3058">
        <v>0</v>
      </c>
    </row>
    <row r="3059" spans="1:11" x14ac:dyDescent="0.2">
      <c r="A3059" t="s">
        <v>4359</v>
      </c>
      <c r="B3059">
        <v>0</v>
      </c>
      <c r="C3059">
        <v>0</v>
      </c>
      <c r="D3059">
        <v>0</v>
      </c>
      <c r="E3059">
        <v>0</v>
      </c>
      <c r="F3059">
        <v>0</v>
      </c>
      <c r="G3059">
        <v>0</v>
      </c>
      <c r="H3059">
        <v>0</v>
      </c>
      <c r="I3059">
        <v>0</v>
      </c>
      <c r="J3059">
        <v>0</v>
      </c>
      <c r="K3059">
        <v>0</v>
      </c>
    </row>
    <row r="3060" spans="1:11" x14ac:dyDescent="0.2">
      <c r="A3060" t="s">
        <v>4360</v>
      </c>
      <c r="B3060">
        <v>0</v>
      </c>
      <c r="C3060">
        <v>0</v>
      </c>
      <c r="D3060">
        <v>0</v>
      </c>
      <c r="E3060">
        <v>0</v>
      </c>
      <c r="F3060">
        <v>0</v>
      </c>
      <c r="G3060">
        <v>0</v>
      </c>
      <c r="H3060">
        <v>0</v>
      </c>
      <c r="I3060">
        <v>0</v>
      </c>
      <c r="J3060">
        <v>2</v>
      </c>
      <c r="K3060">
        <v>0</v>
      </c>
    </row>
    <row r="3061" spans="1:11" x14ac:dyDescent="0.2">
      <c r="A3061" t="s">
        <v>4361</v>
      </c>
      <c r="B3061">
        <v>2</v>
      </c>
      <c r="C3061">
        <v>10</v>
      </c>
      <c r="D3061">
        <v>0</v>
      </c>
      <c r="E3061">
        <v>0</v>
      </c>
      <c r="F3061">
        <v>2</v>
      </c>
      <c r="G3061">
        <v>0</v>
      </c>
      <c r="H3061">
        <v>0</v>
      </c>
      <c r="I3061">
        <v>5</v>
      </c>
      <c r="J3061">
        <v>53</v>
      </c>
      <c r="K3061">
        <v>0</v>
      </c>
    </row>
    <row r="3062" spans="1:11" x14ac:dyDescent="0.2">
      <c r="A3062" t="s">
        <v>4362</v>
      </c>
      <c r="B3062">
        <v>0</v>
      </c>
      <c r="C3062">
        <v>0</v>
      </c>
      <c r="D3062">
        <v>0</v>
      </c>
      <c r="E3062">
        <v>0</v>
      </c>
      <c r="F3062">
        <v>0</v>
      </c>
      <c r="G3062">
        <v>0</v>
      </c>
      <c r="H3062">
        <v>0</v>
      </c>
      <c r="I3062">
        <v>0</v>
      </c>
      <c r="J3062">
        <v>0</v>
      </c>
      <c r="K3062">
        <v>0</v>
      </c>
    </row>
    <row r="3063" spans="1:11" x14ac:dyDescent="0.2">
      <c r="A3063" t="s">
        <v>4363</v>
      </c>
      <c r="B3063">
        <v>0</v>
      </c>
      <c r="C3063">
        <v>0</v>
      </c>
      <c r="D3063">
        <v>0</v>
      </c>
      <c r="E3063">
        <v>0</v>
      </c>
      <c r="F3063">
        <v>0</v>
      </c>
      <c r="G3063">
        <v>0</v>
      </c>
      <c r="H3063">
        <v>0</v>
      </c>
      <c r="I3063">
        <v>0</v>
      </c>
      <c r="J3063">
        <v>0</v>
      </c>
      <c r="K3063">
        <v>0</v>
      </c>
    </row>
    <row r="3064" spans="1:11" x14ac:dyDescent="0.2">
      <c r="A3064" t="s">
        <v>4364</v>
      </c>
      <c r="B3064">
        <v>0</v>
      </c>
      <c r="C3064">
        <v>0</v>
      </c>
      <c r="D3064">
        <v>0</v>
      </c>
      <c r="E3064">
        <v>0</v>
      </c>
      <c r="F3064">
        <v>0</v>
      </c>
      <c r="G3064">
        <v>0</v>
      </c>
      <c r="H3064">
        <v>0</v>
      </c>
      <c r="I3064">
        <v>0</v>
      </c>
      <c r="J3064">
        <v>0</v>
      </c>
      <c r="K3064">
        <v>0</v>
      </c>
    </row>
    <row r="3065" spans="1:11" x14ac:dyDescent="0.2">
      <c r="A3065" t="s">
        <v>4365</v>
      </c>
      <c r="B3065">
        <v>1</v>
      </c>
      <c r="C3065">
        <v>38</v>
      </c>
      <c r="D3065">
        <v>0</v>
      </c>
      <c r="E3065">
        <v>0</v>
      </c>
      <c r="F3065">
        <v>4</v>
      </c>
      <c r="G3065">
        <v>0</v>
      </c>
      <c r="H3065">
        <v>0</v>
      </c>
      <c r="I3065">
        <v>80</v>
      </c>
      <c r="J3065">
        <v>16</v>
      </c>
      <c r="K3065">
        <v>0</v>
      </c>
    </row>
    <row r="3066" spans="1:11" x14ac:dyDescent="0.2">
      <c r="A3066" t="s">
        <v>4366</v>
      </c>
      <c r="B3066">
        <v>0</v>
      </c>
      <c r="C3066">
        <v>0</v>
      </c>
      <c r="D3066">
        <v>0</v>
      </c>
      <c r="E3066">
        <v>0</v>
      </c>
      <c r="F3066">
        <v>0</v>
      </c>
      <c r="G3066">
        <v>0</v>
      </c>
      <c r="H3066">
        <v>0</v>
      </c>
      <c r="I3066">
        <v>0</v>
      </c>
      <c r="J3066">
        <v>72</v>
      </c>
      <c r="K3066">
        <v>0</v>
      </c>
    </row>
    <row r="3067" spans="1:11" x14ac:dyDescent="0.2">
      <c r="A3067" t="s">
        <v>4367</v>
      </c>
      <c r="B3067">
        <v>0</v>
      </c>
      <c r="C3067">
        <v>0</v>
      </c>
      <c r="D3067">
        <v>0</v>
      </c>
      <c r="E3067">
        <v>0</v>
      </c>
      <c r="F3067">
        <v>0</v>
      </c>
      <c r="G3067">
        <v>0</v>
      </c>
      <c r="H3067">
        <v>0</v>
      </c>
      <c r="I3067">
        <v>0</v>
      </c>
      <c r="J3067">
        <v>6</v>
      </c>
      <c r="K3067">
        <v>0</v>
      </c>
    </row>
    <row r="3068" spans="1:11" x14ac:dyDescent="0.2">
      <c r="A3068" t="s">
        <v>4368</v>
      </c>
      <c r="B3068">
        <v>1</v>
      </c>
      <c r="C3068">
        <v>74</v>
      </c>
      <c r="D3068">
        <v>0</v>
      </c>
      <c r="E3068">
        <v>0</v>
      </c>
      <c r="F3068">
        <v>7</v>
      </c>
      <c r="G3068">
        <v>0</v>
      </c>
      <c r="H3068">
        <v>0</v>
      </c>
      <c r="I3068">
        <v>121</v>
      </c>
      <c r="J3068">
        <v>27</v>
      </c>
      <c r="K3068">
        <v>0</v>
      </c>
    </row>
    <row r="3069" spans="1:11" x14ac:dyDescent="0.2">
      <c r="A3069" t="s">
        <v>4369</v>
      </c>
      <c r="B3069">
        <v>23</v>
      </c>
      <c r="C3069">
        <v>360</v>
      </c>
      <c r="D3069">
        <v>0</v>
      </c>
      <c r="E3069">
        <v>0</v>
      </c>
      <c r="F3069">
        <v>9</v>
      </c>
      <c r="G3069">
        <v>0</v>
      </c>
      <c r="H3069">
        <v>0</v>
      </c>
      <c r="I3069">
        <v>61</v>
      </c>
      <c r="J3069">
        <v>297</v>
      </c>
      <c r="K3069">
        <v>0</v>
      </c>
    </row>
    <row r="3070" spans="1:11" x14ac:dyDescent="0.2">
      <c r="A3070" t="s">
        <v>4370</v>
      </c>
      <c r="B3070">
        <v>0</v>
      </c>
      <c r="C3070">
        <v>1</v>
      </c>
      <c r="D3070">
        <v>0</v>
      </c>
      <c r="E3070">
        <v>0</v>
      </c>
      <c r="F3070">
        <v>0</v>
      </c>
      <c r="G3070">
        <v>0</v>
      </c>
      <c r="H3070">
        <v>0</v>
      </c>
      <c r="I3070">
        <v>5</v>
      </c>
      <c r="J3070">
        <v>1</v>
      </c>
      <c r="K3070">
        <v>0</v>
      </c>
    </row>
    <row r="3071" spans="1:11" x14ac:dyDescent="0.2">
      <c r="A3071" t="s">
        <v>4371</v>
      </c>
      <c r="B3071">
        <v>0</v>
      </c>
      <c r="C3071">
        <v>0</v>
      </c>
      <c r="D3071">
        <v>0</v>
      </c>
      <c r="E3071">
        <v>0</v>
      </c>
      <c r="F3071">
        <v>0</v>
      </c>
      <c r="G3071">
        <v>0</v>
      </c>
      <c r="H3071">
        <v>0</v>
      </c>
      <c r="I3071">
        <v>0</v>
      </c>
      <c r="J3071">
        <v>1</v>
      </c>
      <c r="K3071">
        <v>0</v>
      </c>
    </row>
    <row r="3072" spans="1:11" x14ac:dyDescent="0.2">
      <c r="A3072" t="s">
        <v>4372</v>
      </c>
      <c r="B3072">
        <v>0</v>
      </c>
      <c r="C3072">
        <v>0</v>
      </c>
      <c r="D3072">
        <v>0</v>
      </c>
      <c r="E3072">
        <v>0</v>
      </c>
      <c r="F3072">
        <v>0</v>
      </c>
      <c r="G3072">
        <v>0</v>
      </c>
      <c r="H3072">
        <v>0</v>
      </c>
      <c r="I3072">
        <v>0</v>
      </c>
      <c r="J3072">
        <v>0</v>
      </c>
      <c r="K3072">
        <v>0</v>
      </c>
    </row>
    <row r="3073" spans="1:11" x14ac:dyDescent="0.2">
      <c r="A3073" t="s">
        <v>4373</v>
      </c>
      <c r="B3073">
        <v>3</v>
      </c>
      <c r="C3073">
        <v>17</v>
      </c>
      <c r="D3073">
        <v>0</v>
      </c>
      <c r="E3073">
        <v>0</v>
      </c>
      <c r="F3073">
        <v>2</v>
      </c>
      <c r="G3073">
        <v>0</v>
      </c>
      <c r="H3073">
        <v>0</v>
      </c>
      <c r="I3073">
        <v>3</v>
      </c>
      <c r="J3073">
        <v>89</v>
      </c>
      <c r="K3073">
        <v>0</v>
      </c>
    </row>
    <row r="3074" spans="1:11" x14ac:dyDescent="0.2">
      <c r="A3074" t="s">
        <v>4374</v>
      </c>
      <c r="B3074">
        <v>0</v>
      </c>
      <c r="C3074">
        <v>1</v>
      </c>
      <c r="D3074">
        <v>0</v>
      </c>
      <c r="E3074">
        <v>0</v>
      </c>
      <c r="F3074">
        <v>0</v>
      </c>
      <c r="G3074">
        <v>0</v>
      </c>
      <c r="H3074">
        <v>0</v>
      </c>
      <c r="I3074">
        <v>0</v>
      </c>
      <c r="J3074">
        <v>36</v>
      </c>
      <c r="K3074">
        <v>0</v>
      </c>
    </row>
    <row r="3075" spans="1:11" x14ac:dyDescent="0.2">
      <c r="A3075" t="s">
        <v>4375</v>
      </c>
      <c r="B3075">
        <v>2</v>
      </c>
      <c r="C3075">
        <v>12</v>
      </c>
      <c r="D3075">
        <v>0</v>
      </c>
      <c r="E3075">
        <v>0</v>
      </c>
      <c r="F3075">
        <v>10</v>
      </c>
      <c r="G3075">
        <v>0</v>
      </c>
      <c r="H3075">
        <v>0</v>
      </c>
      <c r="I3075">
        <v>20</v>
      </c>
      <c r="J3075">
        <v>213</v>
      </c>
      <c r="K3075">
        <v>0</v>
      </c>
    </row>
    <row r="3076" spans="1:11" x14ac:dyDescent="0.2">
      <c r="A3076" t="s">
        <v>4376</v>
      </c>
      <c r="B3076">
        <v>0</v>
      </c>
      <c r="C3076">
        <v>0</v>
      </c>
      <c r="D3076">
        <v>0</v>
      </c>
      <c r="E3076">
        <v>0</v>
      </c>
      <c r="F3076">
        <v>0</v>
      </c>
      <c r="G3076">
        <v>0</v>
      </c>
      <c r="H3076">
        <v>0</v>
      </c>
      <c r="I3076">
        <v>0</v>
      </c>
      <c r="J3076">
        <v>10</v>
      </c>
      <c r="K3076">
        <v>0</v>
      </c>
    </row>
    <row r="3077" spans="1:11" x14ac:dyDescent="0.2">
      <c r="A3077" t="s">
        <v>4377</v>
      </c>
      <c r="B3077">
        <v>0</v>
      </c>
      <c r="C3077">
        <v>2</v>
      </c>
      <c r="D3077">
        <v>0</v>
      </c>
      <c r="E3077">
        <v>0</v>
      </c>
      <c r="F3077">
        <v>2</v>
      </c>
      <c r="G3077">
        <v>0</v>
      </c>
      <c r="H3077">
        <v>0</v>
      </c>
      <c r="I3077">
        <v>5</v>
      </c>
      <c r="J3077">
        <v>138</v>
      </c>
      <c r="K3077">
        <v>0</v>
      </c>
    </row>
    <row r="3078" spans="1:11" x14ac:dyDescent="0.2">
      <c r="A3078" t="s">
        <v>4854</v>
      </c>
      <c r="B3078">
        <v>1730</v>
      </c>
      <c r="C3078">
        <v>13672</v>
      </c>
      <c r="D3078">
        <v>0</v>
      </c>
      <c r="E3078">
        <v>0</v>
      </c>
      <c r="F3078">
        <v>7008</v>
      </c>
      <c r="G3078">
        <v>0</v>
      </c>
      <c r="H3078">
        <v>0</v>
      </c>
      <c r="I3078">
        <v>21981</v>
      </c>
      <c r="J3078">
        <v>52302</v>
      </c>
      <c r="K3078">
        <v>0</v>
      </c>
    </row>
    <row r="3079" spans="1:11" x14ac:dyDescent="0.2">
      <c r="A3079" t="s">
        <v>2318</v>
      </c>
      <c r="B3079" t="s">
        <v>4399</v>
      </c>
      <c r="C3079" t="s">
        <v>4399</v>
      </c>
      <c r="D3079" t="s">
        <v>4399</v>
      </c>
      <c r="E3079" t="s">
        <v>4399</v>
      </c>
      <c r="F3079" t="s">
        <v>4399</v>
      </c>
      <c r="G3079" t="s">
        <v>4399</v>
      </c>
      <c r="H3079" t="s">
        <v>4399</v>
      </c>
      <c r="I3079" t="s">
        <v>4399</v>
      </c>
      <c r="J3079" t="s">
        <v>4399</v>
      </c>
      <c r="K3079" t="s">
        <v>4399</v>
      </c>
    </row>
    <row r="3080" spans="1:11" x14ac:dyDescent="0.2">
      <c r="A3080" t="s">
        <v>4248</v>
      </c>
    </row>
    <row r="3081" spans="1:11" x14ac:dyDescent="0.2">
      <c r="A3081" t="s">
        <v>4855</v>
      </c>
      <c r="B3081" t="s">
        <v>4856</v>
      </c>
      <c r="C3081" t="s">
        <v>4857</v>
      </c>
      <c r="D3081" t="s">
        <v>4858</v>
      </c>
      <c r="E3081" t="s">
        <v>4859</v>
      </c>
      <c r="F3081" t="s">
        <v>4860</v>
      </c>
      <c r="G3081" t="s">
        <v>4875</v>
      </c>
    </row>
    <row r="3082" spans="1:11" x14ac:dyDescent="0.2">
      <c r="A3082" t="s">
        <v>2318</v>
      </c>
      <c r="B3082" t="s">
        <v>4399</v>
      </c>
      <c r="C3082" t="s">
        <v>4399</v>
      </c>
      <c r="D3082" t="s">
        <v>4399</v>
      </c>
      <c r="E3082" t="s">
        <v>4399</v>
      </c>
      <c r="F3082" t="s">
        <v>4399</v>
      </c>
      <c r="G3082" t="s">
        <v>4399</v>
      </c>
      <c r="H3082" t="s">
        <v>4399</v>
      </c>
      <c r="I3082" t="s">
        <v>4399</v>
      </c>
      <c r="J3082" t="s">
        <v>4399</v>
      </c>
      <c r="K3082" t="s">
        <v>4399</v>
      </c>
    </row>
    <row r="3083" spans="1:11" x14ac:dyDescent="0.2">
      <c r="A3083" t="s">
        <v>126</v>
      </c>
      <c r="B3083" t="s">
        <v>4504</v>
      </c>
      <c r="C3083" t="s">
        <v>4508</v>
      </c>
      <c r="D3083" t="s">
        <v>4512</v>
      </c>
      <c r="E3083" t="s">
        <v>4516</v>
      </c>
      <c r="F3083" t="s">
        <v>4520</v>
      </c>
      <c r="G3083" t="s">
        <v>4524</v>
      </c>
      <c r="H3083" t="s">
        <v>4527</v>
      </c>
      <c r="I3083" t="s">
        <v>4530</v>
      </c>
      <c r="J3083" t="s">
        <v>4534</v>
      </c>
      <c r="K3083" t="s">
        <v>4538</v>
      </c>
    </row>
    <row r="3084" spans="1:11" x14ac:dyDescent="0.2">
      <c r="A3084" t="s">
        <v>2318</v>
      </c>
      <c r="B3084" t="s">
        <v>4399</v>
      </c>
      <c r="C3084" t="s">
        <v>4399</v>
      </c>
      <c r="D3084" t="s">
        <v>4399</v>
      </c>
      <c r="E3084" t="s">
        <v>4399</v>
      </c>
      <c r="F3084" t="s">
        <v>4399</v>
      </c>
      <c r="G3084" t="s">
        <v>4399</v>
      </c>
      <c r="H3084" t="s">
        <v>4399</v>
      </c>
      <c r="I3084" t="s">
        <v>4399</v>
      </c>
      <c r="J3084" t="s">
        <v>4399</v>
      </c>
      <c r="K3084" t="s">
        <v>4399</v>
      </c>
    </row>
    <row r="3085" spans="1:11" x14ac:dyDescent="0.2">
      <c r="A3085" t="s">
        <v>4265</v>
      </c>
      <c r="B3085">
        <v>0</v>
      </c>
      <c r="C3085">
        <v>0</v>
      </c>
      <c r="D3085">
        <v>0</v>
      </c>
      <c r="E3085">
        <v>0</v>
      </c>
      <c r="F3085">
        <v>0</v>
      </c>
      <c r="G3085">
        <v>0</v>
      </c>
      <c r="H3085">
        <v>0</v>
      </c>
      <c r="I3085">
        <v>0</v>
      </c>
      <c r="J3085">
        <v>0</v>
      </c>
      <c r="K3085">
        <v>0</v>
      </c>
    </row>
    <row r="3086" spans="1:11" x14ac:dyDescent="0.2">
      <c r="A3086" t="s">
        <v>4266</v>
      </c>
      <c r="B3086">
        <v>0</v>
      </c>
      <c r="C3086">
        <v>0</v>
      </c>
      <c r="D3086">
        <v>0</v>
      </c>
      <c r="E3086">
        <v>0</v>
      </c>
      <c r="F3086">
        <v>0</v>
      </c>
      <c r="G3086">
        <v>0</v>
      </c>
      <c r="H3086">
        <v>0</v>
      </c>
      <c r="I3086">
        <v>0</v>
      </c>
      <c r="J3086">
        <v>0</v>
      </c>
      <c r="K3086">
        <v>0</v>
      </c>
    </row>
    <row r="3087" spans="1:11" x14ac:dyDescent="0.2">
      <c r="A3087" t="s">
        <v>4267</v>
      </c>
      <c r="B3087">
        <v>0</v>
      </c>
      <c r="C3087">
        <v>0</v>
      </c>
      <c r="D3087">
        <v>0</v>
      </c>
      <c r="E3087">
        <v>0</v>
      </c>
      <c r="F3087">
        <v>0</v>
      </c>
      <c r="G3087">
        <v>0</v>
      </c>
      <c r="H3087">
        <v>0</v>
      </c>
      <c r="I3087">
        <v>0</v>
      </c>
      <c r="J3087">
        <v>0</v>
      </c>
      <c r="K3087">
        <v>0</v>
      </c>
    </row>
    <row r="3088" spans="1:11" x14ac:dyDescent="0.2">
      <c r="A3088" t="s">
        <v>4268</v>
      </c>
      <c r="B3088">
        <v>0</v>
      </c>
      <c r="C3088">
        <v>0</v>
      </c>
      <c r="D3088">
        <v>0</v>
      </c>
      <c r="E3088">
        <v>0</v>
      </c>
      <c r="F3088">
        <v>0</v>
      </c>
      <c r="G3088">
        <v>0</v>
      </c>
      <c r="H3088">
        <v>0</v>
      </c>
      <c r="I3088">
        <v>0</v>
      </c>
      <c r="J3088">
        <v>0</v>
      </c>
      <c r="K3088">
        <v>0</v>
      </c>
    </row>
    <row r="3089" spans="1:11" x14ac:dyDescent="0.2">
      <c r="A3089" t="s">
        <v>4269</v>
      </c>
      <c r="B3089">
        <v>0</v>
      </c>
      <c r="C3089">
        <v>0</v>
      </c>
      <c r="D3089">
        <v>0</v>
      </c>
      <c r="E3089">
        <v>0</v>
      </c>
      <c r="F3089">
        <v>0</v>
      </c>
      <c r="G3089">
        <v>0</v>
      </c>
      <c r="H3089">
        <v>0</v>
      </c>
      <c r="I3089">
        <v>0</v>
      </c>
      <c r="J3089">
        <v>0</v>
      </c>
      <c r="K3089">
        <v>0</v>
      </c>
    </row>
    <row r="3090" spans="1:11" x14ac:dyDescent="0.2">
      <c r="A3090" t="s">
        <v>4270</v>
      </c>
      <c r="B3090">
        <v>0</v>
      </c>
      <c r="C3090">
        <v>0</v>
      </c>
      <c r="D3090">
        <v>0</v>
      </c>
      <c r="E3090">
        <v>0</v>
      </c>
      <c r="F3090">
        <v>0</v>
      </c>
      <c r="G3090">
        <v>0</v>
      </c>
      <c r="H3090">
        <v>0</v>
      </c>
      <c r="I3090">
        <v>0</v>
      </c>
      <c r="J3090">
        <v>0</v>
      </c>
      <c r="K3090">
        <v>0</v>
      </c>
    </row>
    <row r="3091" spans="1:11" x14ac:dyDescent="0.2">
      <c r="A3091" t="s">
        <v>4271</v>
      </c>
      <c r="B3091">
        <v>0</v>
      </c>
      <c r="C3091">
        <v>0</v>
      </c>
      <c r="D3091">
        <v>0</v>
      </c>
      <c r="E3091">
        <v>0</v>
      </c>
      <c r="F3091">
        <v>0</v>
      </c>
      <c r="G3091">
        <v>0</v>
      </c>
      <c r="H3091">
        <v>0</v>
      </c>
      <c r="I3091">
        <v>0</v>
      </c>
      <c r="J3091">
        <v>0</v>
      </c>
      <c r="K3091">
        <v>0</v>
      </c>
    </row>
    <row r="3092" spans="1:11" x14ac:dyDescent="0.2">
      <c r="A3092" t="s">
        <v>4272</v>
      </c>
      <c r="B3092">
        <v>0</v>
      </c>
      <c r="C3092">
        <v>0</v>
      </c>
      <c r="D3092">
        <v>0</v>
      </c>
      <c r="E3092">
        <v>0</v>
      </c>
      <c r="F3092">
        <v>0</v>
      </c>
      <c r="G3092">
        <v>0</v>
      </c>
      <c r="H3092">
        <v>0</v>
      </c>
      <c r="I3092">
        <v>0</v>
      </c>
      <c r="J3092">
        <v>0</v>
      </c>
      <c r="K3092">
        <v>0</v>
      </c>
    </row>
    <row r="3093" spans="1:11" x14ac:dyDescent="0.2">
      <c r="A3093" t="s">
        <v>4273</v>
      </c>
      <c r="B3093">
        <v>0</v>
      </c>
      <c r="C3093">
        <v>0</v>
      </c>
      <c r="D3093">
        <v>0</v>
      </c>
      <c r="E3093">
        <v>0</v>
      </c>
      <c r="F3093">
        <v>0</v>
      </c>
      <c r="G3093">
        <v>0</v>
      </c>
      <c r="H3093">
        <v>0</v>
      </c>
      <c r="I3093">
        <v>0</v>
      </c>
      <c r="J3093">
        <v>0</v>
      </c>
      <c r="K3093">
        <v>0</v>
      </c>
    </row>
    <row r="3094" spans="1:11" x14ac:dyDescent="0.2">
      <c r="A3094" t="s">
        <v>4274</v>
      </c>
      <c r="B3094">
        <v>0</v>
      </c>
      <c r="C3094">
        <v>0</v>
      </c>
      <c r="D3094">
        <v>0</v>
      </c>
      <c r="E3094">
        <v>0</v>
      </c>
      <c r="F3094">
        <v>0</v>
      </c>
      <c r="G3094">
        <v>0</v>
      </c>
      <c r="H3094">
        <v>0</v>
      </c>
      <c r="I3094">
        <v>0</v>
      </c>
      <c r="J3094">
        <v>0</v>
      </c>
      <c r="K3094">
        <v>0</v>
      </c>
    </row>
    <row r="3095" spans="1:11" x14ac:dyDescent="0.2">
      <c r="A3095" t="s">
        <v>4275</v>
      </c>
      <c r="B3095">
        <v>0</v>
      </c>
      <c r="C3095">
        <v>0</v>
      </c>
      <c r="D3095">
        <v>0</v>
      </c>
      <c r="E3095">
        <v>0</v>
      </c>
      <c r="F3095">
        <v>0</v>
      </c>
      <c r="G3095">
        <v>0</v>
      </c>
      <c r="H3095">
        <v>0</v>
      </c>
      <c r="I3095">
        <v>0</v>
      </c>
      <c r="J3095">
        <v>0</v>
      </c>
      <c r="K3095">
        <v>0</v>
      </c>
    </row>
    <row r="3096" spans="1:11" x14ac:dyDescent="0.2">
      <c r="A3096" t="s">
        <v>4276</v>
      </c>
      <c r="B3096">
        <v>0</v>
      </c>
      <c r="C3096">
        <v>0</v>
      </c>
      <c r="D3096">
        <v>0</v>
      </c>
      <c r="E3096">
        <v>0</v>
      </c>
      <c r="F3096">
        <v>0</v>
      </c>
      <c r="G3096">
        <v>0</v>
      </c>
      <c r="H3096">
        <v>0</v>
      </c>
      <c r="I3096">
        <v>0</v>
      </c>
      <c r="J3096">
        <v>0</v>
      </c>
      <c r="K3096">
        <v>0</v>
      </c>
    </row>
    <row r="3097" spans="1:11" x14ac:dyDescent="0.2">
      <c r="A3097" t="s">
        <v>4277</v>
      </c>
      <c r="B3097">
        <v>0</v>
      </c>
      <c r="C3097">
        <v>0</v>
      </c>
      <c r="D3097">
        <v>0</v>
      </c>
      <c r="E3097">
        <v>0</v>
      </c>
      <c r="F3097">
        <v>0</v>
      </c>
      <c r="G3097">
        <v>0</v>
      </c>
      <c r="H3097">
        <v>0</v>
      </c>
      <c r="I3097">
        <v>0</v>
      </c>
      <c r="J3097">
        <v>0</v>
      </c>
      <c r="K3097">
        <v>0</v>
      </c>
    </row>
    <row r="3098" spans="1:11" x14ac:dyDescent="0.2">
      <c r="A3098" t="s">
        <v>4278</v>
      </c>
      <c r="B3098">
        <v>0</v>
      </c>
      <c r="C3098">
        <v>0</v>
      </c>
      <c r="D3098">
        <v>0</v>
      </c>
      <c r="E3098">
        <v>0</v>
      </c>
      <c r="F3098">
        <v>0</v>
      </c>
      <c r="G3098">
        <v>0</v>
      </c>
      <c r="H3098">
        <v>0</v>
      </c>
      <c r="I3098">
        <v>0</v>
      </c>
      <c r="J3098">
        <v>0</v>
      </c>
      <c r="K3098">
        <v>0</v>
      </c>
    </row>
    <row r="3099" spans="1:11" x14ac:dyDescent="0.2">
      <c r="A3099" t="s">
        <v>4279</v>
      </c>
      <c r="B3099">
        <v>0</v>
      </c>
      <c r="C3099">
        <v>2</v>
      </c>
      <c r="D3099">
        <v>0</v>
      </c>
      <c r="E3099">
        <v>0</v>
      </c>
      <c r="F3099">
        <v>0</v>
      </c>
      <c r="G3099">
        <v>2</v>
      </c>
      <c r="H3099">
        <v>0</v>
      </c>
      <c r="I3099">
        <v>0</v>
      </c>
      <c r="J3099">
        <v>0</v>
      </c>
      <c r="K3099">
        <v>0</v>
      </c>
    </row>
    <row r="3100" spans="1:11" x14ac:dyDescent="0.2">
      <c r="A3100" t="s">
        <v>4280</v>
      </c>
      <c r="B3100">
        <v>0</v>
      </c>
      <c r="C3100">
        <v>0</v>
      </c>
      <c r="D3100">
        <v>0</v>
      </c>
      <c r="E3100">
        <v>0</v>
      </c>
      <c r="F3100">
        <v>0</v>
      </c>
      <c r="G3100">
        <v>0</v>
      </c>
      <c r="H3100">
        <v>0</v>
      </c>
      <c r="I3100">
        <v>0</v>
      </c>
      <c r="J3100">
        <v>0</v>
      </c>
      <c r="K3100">
        <v>0</v>
      </c>
    </row>
    <row r="3101" spans="1:11" x14ac:dyDescent="0.2">
      <c r="A3101" t="s">
        <v>4281</v>
      </c>
      <c r="B3101">
        <v>6</v>
      </c>
      <c r="C3101">
        <v>403</v>
      </c>
      <c r="D3101">
        <v>12</v>
      </c>
      <c r="E3101">
        <v>0</v>
      </c>
      <c r="F3101">
        <v>1</v>
      </c>
      <c r="G3101">
        <v>302</v>
      </c>
      <c r="H3101">
        <v>13</v>
      </c>
      <c r="I3101">
        <v>0</v>
      </c>
      <c r="J3101">
        <v>0</v>
      </c>
      <c r="K3101">
        <v>11</v>
      </c>
    </row>
    <row r="3102" spans="1:11" x14ac:dyDescent="0.2">
      <c r="A3102" t="s">
        <v>4282</v>
      </c>
      <c r="B3102">
        <v>2</v>
      </c>
      <c r="C3102">
        <v>87</v>
      </c>
      <c r="D3102">
        <v>4</v>
      </c>
      <c r="E3102">
        <v>0</v>
      </c>
      <c r="F3102">
        <v>0</v>
      </c>
      <c r="G3102">
        <v>65</v>
      </c>
      <c r="H3102">
        <v>4</v>
      </c>
      <c r="I3102">
        <v>0</v>
      </c>
      <c r="J3102">
        <v>0</v>
      </c>
      <c r="K3102">
        <v>3</v>
      </c>
    </row>
    <row r="3103" spans="1:11" x14ac:dyDescent="0.2">
      <c r="A3103" t="s">
        <v>4283</v>
      </c>
      <c r="B3103">
        <v>2</v>
      </c>
      <c r="C3103">
        <v>68</v>
      </c>
      <c r="D3103">
        <v>3</v>
      </c>
      <c r="E3103">
        <v>0</v>
      </c>
      <c r="F3103">
        <v>0</v>
      </c>
      <c r="G3103">
        <v>51</v>
      </c>
      <c r="H3103">
        <v>3</v>
      </c>
      <c r="I3103">
        <v>0</v>
      </c>
      <c r="J3103">
        <v>0</v>
      </c>
      <c r="K3103">
        <v>2</v>
      </c>
    </row>
    <row r="3104" spans="1:11" x14ac:dyDescent="0.2">
      <c r="A3104" t="s">
        <v>4284</v>
      </c>
      <c r="B3104">
        <v>0</v>
      </c>
      <c r="C3104">
        <v>4</v>
      </c>
      <c r="D3104">
        <v>0</v>
      </c>
      <c r="E3104">
        <v>0</v>
      </c>
      <c r="F3104">
        <v>0</v>
      </c>
      <c r="G3104">
        <v>3</v>
      </c>
      <c r="H3104">
        <v>0</v>
      </c>
      <c r="I3104">
        <v>0</v>
      </c>
      <c r="J3104">
        <v>0</v>
      </c>
      <c r="K3104">
        <v>0</v>
      </c>
    </row>
    <row r="3105" spans="1:11" x14ac:dyDescent="0.2">
      <c r="A3105" t="s">
        <v>4285</v>
      </c>
      <c r="B3105">
        <v>7</v>
      </c>
      <c r="C3105">
        <v>317</v>
      </c>
      <c r="D3105">
        <v>14</v>
      </c>
      <c r="E3105">
        <v>0</v>
      </c>
      <c r="F3105">
        <v>1</v>
      </c>
      <c r="G3105">
        <v>238</v>
      </c>
      <c r="H3105">
        <v>15</v>
      </c>
      <c r="I3105">
        <v>0</v>
      </c>
      <c r="J3105">
        <v>0</v>
      </c>
      <c r="K3105">
        <v>9</v>
      </c>
    </row>
    <row r="3106" spans="1:11" x14ac:dyDescent="0.2">
      <c r="A3106" t="s">
        <v>4286</v>
      </c>
      <c r="B3106">
        <v>0</v>
      </c>
      <c r="C3106">
        <v>14</v>
      </c>
      <c r="D3106">
        <v>1</v>
      </c>
      <c r="E3106">
        <v>0</v>
      </c>
      <c r="F3106">
        <v>0</v>
      </c>
      <c r="G3106">
        <v>10</v>
      </c>
      <c r="H3106">
        <v>1</v>
      </c>
      <c r="I3106">
        <v>0</v>
      </c>
      <c r="J3106">
        <v>0</v>
      </c>
      <c r="K3106">
        <v>1</v>
      </c>
    </row>
    <row r="3107" spans="1:11" x14ac:dyDescent="0.2">
      <c r="A3107" t="s">
        <v>4287</v>
      </c>
      <c r="B3107">
        <v>1</v>
      </c>
      <c r="C3107">
        <v>93</v>
      </c>
      <c r="D3107">
        <v>2</v>
      </c>
      <c r="E3107">
        <v>0</v>
      </c>
      <c r="F3107">
        <v>0</v>
      </c>
      <c r="G3107">
        <v>70</v>
      </c>
      <c r="H3107">
        <v>3</v>
      </c>
      <c r="I3107">
        <v>0</v>
      </c>
      <c r="J3107">
        <v>0</v>
      </c>
      <c r="K3107">
        <v>4</v>
      </c>
    </row>
    <row r="3108" spans="1:11" x14ac:dyDescent="0.2">
      <c r="A3108" t="s">
        <v>4288</v>
      </c>
      <c r="B3108">
        <v>0</v>
      </c>
      <c r="C3108">
        <v>0</v>
      </c>
      <c r="D3108">
        <v>0</v>
      </c>
      <c r="E3108">
        <v>0</v>
      </c>
      <c r="F3108">
        <v>0</v>
      </c>
      <c r="G3108">
        <v>0</v>
      </c>
      <c r="H3108">
        <v>0</v>
      </c>
      <c r="I3108">
        <v>0</v>
      </c>
      <c r="J3108">
        <v>0</v>
      </c>
      <c r="K3108">
        <v>0</v>
      </c>
    </row>
    <row r="3109" spans="1:11" x14ac:dyDescent="0.2">
      <c r="A3109" t="s">
        <v>4289</v>
      </c>
      <c r="B3109">
        <v>0</v>
      </c>
      <c r="C3109">
        <v>0</v>
      </c>
      <c r="D3109">
        <v>0</v>
      </c>
      <c r="E3109">
        <v>0</v>
      </c>
      <c r="F3109">
        <v>0</v>
      </c>
      <c r="G3109">
        <v>0</v>
      </c>
      <c r="H3109">
        <v>0</v>
      </c>
      <c r="I3109">
        <v>0</v>
      </c>
      <c r="J3109">
        <v>0</v>
      </c>
      <c r="K3109">
        <v>0</v>
      </c>
    </row>
    <row r="3110" spans="1:11" x14ac:dyDescent="0.2">
      <c r="A3110" t="s">
        <v>4290</v>
      </c>
      <c r="B3110">
        <v>0</v>
      </c>
      <c r="C3110">
        <v>0</v>
      </c>
      <c r="D3110">
        <v>0</v>
      </c>
      <c r="E3110">
        <v>0</v>
      </c>
      <c r="F3110">
        <v>0</v>
      </c>
      <c r="G3110">
        <v>0</v>
      </c>
      <c r="H3110">
        <v>0</v>
      </c>
      <c r="I3110">
        <v>0</v>
      </c>
      <c r="J3110">
        <v>0</v>
      </c>
      <c r="K3110">
        <v>0</v>
      </c>
    </row>
    <row r="3111" spans="1:11" x14ac:dyDescent="0.2">
      <c r="A3111" t="s">
        <v>4291</v>
      </c>
      <c r="B3111">
        <v>0</v>
      </c>
      <c r="C3111">
        <v>0</v>
      </c>
      <c r="D3111">
        <v>0</v>
      </c>
      <c r="E3111">
        <v>0</v>
      </c>
      <c r="F3111">
        <v>0</v>
      </c>
      <c r="G3111">
        <v>0</v>
      </c>
      <c r="H3111">
        <v>0</v>
      </c>
      <c r="I3111">
        <v>0</v>
      </c>
      <c r="J3111">
        <v>0</v>
      </c>
      <c r="K3111">
        <v>0</v>
      </c>
    </row>
    <row r="3112" spans="1:11" x14ac:dyDescent="0.2">
      <c r="A3112" t="s">
        <v>4292</v>
      </c>
      <c r="B3112">
        <v>0</v>
      </c>
      <c r="C3112">
        <v>0</v>
      </c>
      <c r="D3112">
        <v>0</v>
      </c>
      <c r="E3112">
        <v>0</v>
      </c>
      <c r="F3112">
        <v>0</v>
      </c>
      <c r="G3112">
        <v>0</v>
      </c>
      <c r="H3112">
        <v>0</v>
      </c>
      <c r="I3112">
        <v>0</v>
      </c>
      <c r="J3112">
        <v>0</v>
      </c>
      <c r="K3112">
        <v>0</v>
      </c>
    </row>
    <row r="3113" spans="1:11" x14ac:dyDescent="0.2">
      <c r="A3113" t="s">
        <v>4293</v>
      </c>
      <c r="B3113">
        <v>0</v>
      </c>
      <c r="C3113">
        <v>0</v>
      </c>
      <c r="D3113">
        <v>0</v>
      </c>
      <c r="E3113">
        <v>0</v>
      </c>
      <c r="F3113">
        <v>0</v>
      </c>
      <c r="G3113">
        <v>0</v>
      </c>
      <c r="H3113">
        <v>0</v>
      </c>
      <c r="I3113">
        <v>0</v>
      </c>
      <c r="J3113">
        <v>0</v>
      </c>
      <c r="K3113">
        <v>0</v>
      </c>
    </row>
    <row r="3114" spans="1:11" x14ac:dyDescent="0.2">
      <c r="A3114" t="s">
        <v>4294</v>
      </c>
      <c r="B3114">
        <v>0</v>
      </c>
      <c r="C3114">
        <v>0</v>
      </c>
      <c r="D3114">
        <v>0</v>
      </c>
      <c r="E3114">
        <v>0</v>
      </c>
      <c r="F3114">
        <v>0</v>
      </c>
      <c r="G3114">
        <v>0</v>
      </c>
      <c r="H3114">
        <v>0</v>
      </c>
      <c r="I3114">
        <v>0</v>
      </c>
      <c r="J3114">
        <v>0</v>
      </c>
      <c r="K3114">
        <v>0</v>
      </c>
    </row>
    <row r="3115" spans="1:11" x14ac:dyDescent="0.2">
      <c r="A3115" t="s">
        <v>4295</v>
      </c>
      <c r="B3115">
        <v>0</v>
      </c>
      <c r="C3115">
        <v>0</v>
      </c>
      <c r="D3115">
        <v>0</v>
      </c>
      <c r="E3115">
        <v>0</v>
      </c>
      <c r="F3115">
        <v>0</v>
      </c>
      <c r="G3115">
        <v>0</v>
      </c>
      <c r="H3115">
        <v>0</v>
      </c>
      <c r="I3115">
        <v>0</v>
      </c>
      <c r="J3115">
        <v>0</v>
      </c>
      <c r="K3115">
        <v>0</v>
      </c>
    </row>
    <row r="3116" spans="1:11" x14ac:dyDescent="0.2">
      <c r="A3116" t="s">
        <v>4296</v>
      </c>
      <c r="B3116">
        <v>0</v>
      </c>
      <c r="C3116">
        <v>0</v>
      </c>
      <c r="D3116">
        <v>0</v>
      </c>
      <c r="E3116">
        <v>0</v>
      </c>
      <c r="F3116">
        <v>0</v>
      </c>
      <c r="G3116">
        <v>0</v>
      </c>
      <c r="H3116">
        <v>0</v>
      </c>
      <c r="I3116">
        <v>0</v>
      </c>
      <c r="J3116">
        <v>0</v>
      </c>
      <c r="K3116">
        <v>0</v>
      </c>
    </row>
    <row r="3117" spans="1:11" x14ac:dyDescent="0.2">
      <c r="A3117" t="s">
        <v>4297</v>
      </c>
      <c r="B3117">
        <v>6</v>
      </c>
      <c r="C3117">
        <v>503</v>
      </c>
      <c r="D3117">
        <v>12</v>
      </c>
      <c r="E3117">
        <v>0</v>
      </c>
      <c r="F3117">
        <v>1</v>
      </c>
      <c r="G3117">
        <v>376</v>
      </c>
      <c r="H3117">
        <v>13</v>
      </c>
      <c r="I3117">
        <v>0</v>
      </c>
      <c r="J3117">
        <v>0</v>
      </c>
      <c r="K3117">
        <v>20</v>
      </c>
    </row>
    <row r="3118" spans="1:11" x14ac:dyDescent="0.2">
      <c r="A3118" t="s">
        <v>4298</v>
      </c>
      <c r="B3118">
        <v>5</v>
      </c>
      <c r="C3118">
        <v>223</v>
      </c>
      <c r="D3118">
        <v>10</v>
      </c>
      <c r="E3118">
        <v>0</v>
      </c>
      <c r="F3118">
        <v>0</v>
      </c>
      <c r="G3118">
        <v>167</v>
      </c>
      <c r="H3118">
        <v>10</v>
      </c>
      <c r="I3118">
        <v>0</v>
      </c>
      <c r="J3118">
        <v>0</v>
      </c>
      <c r="K3118">
        <v>14</v>
      </c>
    </row>
    <row r="3119" spans="1:11" x14ac:dyDescent="0.2">
      <c r="A3119" t="s">
        <v>4299</v>
      </c>
      <c r="B3119">
        <v>9</v>
      </c>
      <c r="C3119">
        <v>431</v>
      </c>
      <c r="D3119">
        <v>17</v>
      </c>
      <c r="E3119">
        <v>0</v>
      </c>
      <c r="F3119">
        <v>1</v>
      </c>
      <c r="G3119">
        <v>323</v>
      </c>
      <c r="H3119">
        <v>18</v>
      </c>
      <c r="I3119">
        <v>0</v>
      </c>
      <c r="J3119">
        <v>0</v>
      </c>
      <c r="K3119">
        <v>20</v>
      </c>
    </row>
    <row r="3120" spans="1:11" x14ac:dyDescent="0.2">
      <c r="A3120" t="s">
        <v>4300</v>
      </c>
      <c r="B3120">
        <v>1</v>
      </c>
      <c r="C3120">
        <v>9</v>
      </c>
      <c r="D3120">
        <v>1</v>
      </c>
      <c r="E3120">
        <v>0</v>
      </c>
      <c r="F3120">
        <v>0</v>
      </c>
      <c r="G3120">
        <v>7</v>
      </c>
      <c r="H3120">
        <v>1</v>
      </c>
      <c r="I3120">
        <v>0</v>
      </c>
      <c r="J3120">
        <v>0</v>
      </c>
      <c r="K3120">
        <v>0</v>
      </c>
    </row>
    <row r="3121" spans="1:11" x14ac:dyDescent="0.2">
      <c r="A3121" t="s">
        <v>4301</v>
      </c>
      <c r="B3121">
        <v>31</v>
      </c>
      <c r="C3121">
        <v>2485</v>
      </c>
      <c r="D3121">
        <v>62</v>
      </c>
      <c r="E3121">
        <v>0</v>
      </c>
      <c r="F3121">
        <v>3</v>
      </c>
      <c r="G3121">
        <v>1860</v>
      </c>
      <c r="H3121">
        <v>66</v>
      </c>
      <c r="I3121">
        <v>0</v>
      </c>
      <c r="J3121">
        <v>0</v>
      </c>
      <c r="K3121">
        <v>70</v>
      </c>
    </row>
    <row r="3122" spans="1:11" x14ac:dyDescent="0.2">
      <c r="A3122" t="s">
        <v>4302</v>
      </c>
      <c r="B3122">
        <v>3</v>
      </c>
      <c r="C3122">
        <v>170</v>
      </c>
      <c r="D3122">
        <v>7</v>
      </c>
      <c r="E3122">
        <v>0</v>
      </c>
      <c r="F3122">
        <v>0</v>
      </c>
      <c r="G3122">
        <v>128</v>
      </c>
      <c r="H3122">
        <v>7</v>
      </c>
      <c r="I3122">
        <v>0</v>
      </c>
      <c r="J3122">
        <v>0</v>
      </c>
      <c r="K3122">
        <v>8</v>
      </c>
    </row>
    <row r="3123" spans="1:11" x14ac:dyDescent="0.2">
      <c r="A3123" t="s">
        <v>4303</v>
      </c>
      <c r="B3123">
        <v>11</v>
      </c>
      <c r="C3123">
        <v>190</v>
      </c>
      <c r="D3123">
        <v>22</v>
      </c>
      <c r="E3123">
        <v>0</v>
      </c>
      <c r="F3123">
        <v>1</v>
      </c>
      <c r="G3123">
        <v>143</v>
      </c>
      <c r="H3123">
        <v>24</v>
      </c>
      <c r="I3123">
        <v>0</v>
      </c>
      <c r="J3123">
        <v>0</v>
      </c>
      <c r="K3123">
        <v>9</v>
      </c>
    </row>
    <row r="3124" spans="1:11" x14ac:dyDescent="0.2">
      <c r="A3124" t="s">
        <v>4304</v>
      </c>
      <c r="B3124">
        <v>1</v>
      </c>
      <c r="C3124">
        <v>83</v>
      </c>
      <c r="D3124">
        <v>2</v>
      </c>
      <c r="E3124">
        <v>0</v>
      </c>
      <c r="F3124">
        <v>0</v>
      </c>
      <c r="G3124">
        <v>62</v>
      </c>
      <c r="H3124">
        <v>2</v>
      </c>
      <c r="I3124">
        <v>0</v>
      </c>
      <c r="J3124">
        <v>0</v>
      </c>
      <c r="K3124">
        <v>2</v>
      </c>
    </row>
    <row r="3125" spans="1:11" x14ac:dyDescent="0.2">
      <c r="A3125" t="s">
        <v>4305</v>
      </c>
      <c r="B3125">
        <v>2</v>
      </c>
      <c r="C3125">
        <v>195</v>
      </c>
      <c r="D3125">
        <v>5</v>
      </c>
      <c r="E3125">
        <v>0</v>
      </c>
      <c r="F3125">
        <v>0</v>
      </c>
      <c r="G3125">
        <v>146</v>
      </c>
      <c r="H3125">
        <v>5</v>
      </c>
      <c r="I3125">
        <v>0</v>
      </c>
      <c r="J3125">
        <v>0</v>
      </c>
      <c r="K3125">
        <v>9</v>
      </c>
    </row>
    <row r="3126" spans="1:11" x14ac:dyDescent="0.2">
      <c r="A3126" t="s">
        <v>4306</v>
      </c>
      <c r="B3126">
        <v>1</v>
      </c>
      <c r="C3126">
        <v>49</v>
      </c>
      <c r="D3126">
        <v>2</v>
      </c>
      <c r="E3126">
        <v>0</v>
      </c>
      <c r="F3126">
        <v>0</v>
      </c>
      <c r="G3126">
        <v>37</v>
      </c>
      <c r="H3126">
        <v>2</v>
      </c>
      <c r="I3126">
        <v>0</v>
      </c>
      <c r="J3126">
        <v>0</v>
      </c>
      <c r="K3126">
        <v>2</v>
      </c>
    </row>
    <row r="3127" spans="1:11" x14ac:dyDescent="0.2">
      <c r="A3127" t="s">
        <v>4307</v>
      </c>
      <c r="B3127">
        <v>44</v>
      </c>
      <c r="C3127">
        <v>736</v>
      </c>
      <c r="D3127">
        <v>88</v>
      </c>
      <c r="E3127">
        <v>0</v>
      </c>
      <c r="F3127">
        <v>4</v>
      </c>
      <c r="G3127">
        <v>551</v>
      </c>
      <c r="H3127">
        <v>93</v>
      </c>
      <c r="I3127">
        <v>0</v>
      </c>
      <c r="J3127">
        <v>0</v>
      </c>
      <c r="K3127">
        <v>37</v>
      </c>
    </row>
    <row r="3128" spans="1:11" x14ac:dyDescent="0.2">
      <c r="A3128" t="s">
        <v>4308</v>
      </c>
      <c r="B3128">
        <v>0</v>
      </c>
      <c r="C3128">
        <v>1</v>
      </c>
      <c r="D3128">
        <v>0</v>
      </c>
      <c r="E3128">
        <v>0</v>
      </c>
      <c r="F3128">
        <v>0</v>
      </c>
      <c r="G3128">
        <v>1</v>
      </c>
      <c r="H3128">
        <v>0</v>
      </c>
      <c r="I3128">
        <v>0</v>
      </c>
      <c r="J3128">
        <v>0</v>
      </c>
      <c r="K3128">
        <v>0</v>
      </c>
    </row>
    <row r="3129" spans="1:11" x14ac:dyDescent="0.2">
      <c r="A3129" t="s">
        <v>4309</v>
      </c>
      <c r="B3129">
        <v>0</v>
      </c>
      <c r="C3129">
        <v>0</v>
      </c>
      <c r="D3129">
        <v>0</v>
      </c>
      <c r="E3129">
        <v>0</v>
      </c>
      <c r="F3129">
        <v>0</v>
      </c>
      <c r="G3129">
        <v>0</v>
      </c>
      <c r="H3129">
        <v>0</v>
      </c>
      <c r="I3129">
        <v>0</v>
      </c>
      <c r="J3129">
        <v>0</v>
      </c>
      <c r="K3129">
        <v>0</v>
      </c>
    </row>
    <row r="3130" spans="1:11" x14ac:dyDescent="0.2">
      <c r="A3130" t="s">
        <v>4310</v>
      </c>
      <c r="B3130">
        <v>0</v>
      </c>
      <c r="C3130">
        <v>0</v>
      </c>
      <c r="D3130">
        <v>0</v>
      </c>
      <c r="E3130">
        <v>0</v>
      </c>
      <c r="F3130">
        <v>0</v>
      </c>
      <c r="G3130">
        <v>0</v>
      </c>
      <c r="H3130">
        <v>0</v>
      </c>
      <c r="I3130">
        <v>0</v>
      </c>
      <c r="J3130">
        <v>0</v>
      </c>
      <c r="K3130">
        <v>0</v>
      </c>
    </row>
    <row r="3131" spans="1:11" x14ac:dyDescent="0.2">
      <c r="A3131" t="s">
        <v>4311</v>
      </c>
      <c r="B3131">
        <v>14</v>
      </c>
      <c r="C3131">
        <v>231</v>
      </c>
      <c r="D3131">
        <v>29</v>
      </c>
      <c r="E3131">
        <v>0</v>
      </c>
      <c r="F3131">
        <v>1</v>
      </c>
      <c r="G3131">
        <v>175</v>
      </c>
      <c r="H3131">
        <v>31</v>
      </c>
      <c r="I3131">
        <v>0</v>
      </c>
      <c r="J3131">
        <v>0</v>
      </c>
      <c r="K3131">
        <v>8</v>
      </c>
    </row>
    <row r="3132" spans="1:11" x14ac:dyDescent="0.2">
      <c r="A3132" t="s">
        <v>4312</v>
      </c>
      <c r="B3132">
        <v>56</v>
      </c>
      <c r="C3132">
        <v>902</v>
      </c>
      <c r="D3132">
        <v>112</v>
      </c>
      <c r="E3132">
        <v>0</v>
      </c>
      <c r="F3132">
        <v>5</v>
      </c>
      <c r="G3132">
        <v>682</v>
      </c>
      <c r="H3132">
        <v>119</v>
      </c>
      <c r="I3132">
        <v>0</v>
      </c>
      <c r="J3132">
        <v>0</v>
      </c>
      <c r="K3132">
        <v>210</v>
      </c>
    </row>
    <row r="3133" spans="1:11" x14ac:dyDescent="0.2">
      <c r="A3133" t="s">
        <v>4313</v>
      </c>
      <c r="B3133">
        <v>0</v>
      </c>
      <c r="C3133">
        <v>0</v>
      </c>
      <c r="D3133">
        <v>0</v>
      </c>
      <c r="E3133">
        <v>0</v>
      </c>
      <c r="F3133">
        <v>0</v>
      </c>
      <c r="G3133">
        <v>0</v>
      </c>
      <c r="H3133">
        <v>0</v>
      </c>
      <c r="I3133">
        <v>0</v>
      </c>
      <c r="J3133">
        <v>0</v>
      </c>
      <c r="K3133">
        <v>81</v>
      </c>
    </row>
    <row r="3134" spans="1:11" x14ac:dyDescent="0.2">
      <c r="A3134" t="s">
        <v>4314</v>
      </c>
      <c r="B3134">
        <v>71</v>
      </c>
      <c r="C3134">
        <v>1113</v>
      </c>
      <c r="D3134">
        <v>169</v>
      </c>
      <c r="E3134">
        <v>0</v>
      </c>
      <c r="F3134">
        <v>7</v>
      </c>
      <c r="G3134">
        <v>869</v>
      </c>
      <c r="H3134">
        <v>180</v>
      </c>
      <c r="I3134">
        <v>0</v>
      </c>
      <c r="J3134">
        <v>0</v>
      </c>
      <c r="K3134">
        <v>62</v>
      </c>
    </row>
    <row r="3135" spans="1:11" x14ac:dyDescent="0.2">
      <c r="A3135" t="s">
        <v>4315</v>
      </c>
      <c r="B3135">
        <v>0</v>
      </c>
      <c r="C3135">
        <v>0</v>
      </c>
      <c r="D3135">
        <v>1181</v>
      </c>
      <c r="E3135">
        <v>0</v>
      </c>
      <c r="F3135">
        <v>23</v>
      </c>
      <c r="G3135">
        <v>3080</v>
      </c>
      <c r="H3135">
        <v>0</v>
      </c>
      <c r="I3135">
        <v>0</v>
      </c>
      <c r="J3135">
        <v>0</v>
      </c>
      <c r="K3135">
        <v>0</v>
      </c>
    </row>
    <row r="3136" spans="1:11" x14ac:dyDescent="0.2">
      <c r="A3136" t="s">
        <v>4316</v>
      </c>
      <c r="B3136">
        <v>395</v>
      </c>
      <c r="C3136">
        <v>6228</v>
      </c>
      <c r="D3136">
        <v>0</v>
      </c>
      <c r="E3136">
        <v>0</v>
      </c>
      <c r="F3136">
        <v>0</v>
      </c>
      <c r="G3136">
        <v>67</v>
      </c>
      <c r="H3136">
        <v>0</v>
      </c>
      <c r="I3136">
        <v>0</v>
      </c>
      <c r="J3136">
        <v>0</v>
      </c>
      <c r="K3136">
        <v>114</v>
      </c>
    </row>
    <row r="3137" spans="1:11" x14ac:dyDescent="0.2">
      <c r="A3137" t="s">
        <v>4317</v>
      </c>
      <c r="B3137">
        <v>0</v>
      </c>
      <c r="C3137">
        <v>0</v>
      </c>
      <c r="D3137">
        <v>0</v>
      </c>
      <c r="E3137">
        <v>0</v>
      </c>
      <c r="F3137">
        <v>0</v>
      </c>
      <c r="G3137">
        <v>0</v>
      </c>
      <c r="H3137">
        <v>0</v>
      </c>
      <c r="I3137">
        <v>0</v>
      </c>
      <c r="J3137">
        <v>0</v>
      </c>
      <c r="K3137">
        <v>0</v>
      </c>
    </row>
    <row r="3138" spans="1:11" x14ac:dyDescent="0.2">
      <c r="A3138" t="s">
        <v>4318</v>
      </c>
      <c r="B3138">
        <v>333</v>
      </c>
      <c r="C3138">
        <v>5224</v>
      </c>
      <c r="D3138">
        <v>0</v>
      </c>
      <c r="E3138">
        <v>0</v>
      </c>
      <c r="F3138">
        <v>0</v>
      </c>
      <c r="G3138">
        <v>0</v>
      </c>
      <c r="H3138">
        <v>0</v>
      </c>
      <c r="I3138">
        <v>0</v>
      </c>
      <c r="J3138">
        <v>0</v>
      </c>
      <c r="K3138">
        <v>0</v>
      </c>
    </row>
    <row r="3139" spans="1:11" x14ac:dyDescent="0.2">
      <c r="A3139" t="s">
        <v>4319</v>
      </c>
      <c r="B3139">
        <v>0</v>
      </c>
      <c r="C3139">
        <v>5</v>
      </c>
      <c r="D3139">
        <v>1222</v>
      </c>
      <c r="E3139">
        <v>0</v>
      </c>
      <c r="F3139">
        <v>45</v>
      </c>
      <c r="G3139">
        <v>6038</v>
      </c>
      <c r="H3139">
        <v>0</v>
      </c>
      <c r="I3139">
        <v>0</v>
      </c>
      <c r="J3139">
        <v>0</v>
      </c>
      <c r="K3139">
        <v>8</v>
      </c>
    </row>
    <row r="3140" spans="1:11" x14ac:dyDescent="0.2">
      <c r="A3140" t="s">
        <v>4320</v>
      </c>
      <c r="B3140">
        <v>123</v>
      </c>
      <c r="C3140">
        <v>1925</v>
      </c>
      <c r="D3140">
        <v>0</v>
      </c>
      <c r="E3140">
        <v>0</v>
      </c>
      <c r="F3140">
        <v>0</v>
      </c>
      <c r="G3140">
        <v>0</v>
      </c>
      <c r="H3140">
        <v>0</v>
      </c>
      <c r="I3140">
        <v>0</v>
      </c>
      <c r="J3140">
        <v>0</v>
      </c>
      <c r="K3140">
        <v>0</v>
      </c>
    </row>
    <row r="3141" spans="1:11" x14ac:dyDescent="0.2">
      <c r="A3141" t="s">
        <v>4321</v>
      </c>
      <c r="B3141">
        <v>0</v>
      </c>
      <c r="C3141">
        <v>0</v>
      </c>
      <c r="D3141">
        <v>0</v>
      </c>
      <c r="E3141">
        <v>0</v>
      </c>
      <c r="F3141">
        <v>0</v>
      </c>
      <c r="G3141">
        <v>0</v>
      </c>
      <c r="H3141">
        <v>0</v>
      </c>
      <c r="I3141">
        <v>0</v>
      </c>
      <c r="J3141">
        <v>0</v>
      </c>
      <c r="K3141">
        <v>0</v>
      </c>
    </row>
    <row r="3142" spans="1:11" x14ac:dyDescent="0.2">
      <c r="A3142" t="s">
        <v>4322</v>
      </c>
      <c r="B3142">
        <v>0</v>
      </c>
      <c r="C3142">
        <v>0</v>
      </c>
      <c r="D3142">
        <v>0</v>
      </c>
      <c r="E3142">
        <v>0</v>
      </c>
      <c r="F3142">
        <v>0</v>
      </c>
      <c r="G3142">
        <v>0</v>
      </c>
      <c r="H3142">
        <v>0</v>
      </c>
      <c r="I3142">
        <v>0</v>
      </c>
      <c r="J3142">
        <v>0</v>
      </c>
      <c r="K3142">
        <v>0</v>
      </c>
    </row>
    <row r="3143" spans="1:11" x14ac:dyDescent="0.2">
      <c r="A3143" t="s">
        <v>4323</v>
      </c>
      <c r="B3143">
        <v>0</v>
      </c>
      <c r="C3143">
        <v>0</v>
      </c>
      <c r="D3143">
        <v>0</v>
      </c>
      <c r="E3143">
        <v>0</v>
      </c>
      <c r="F3143">
        <v>0</v>
      </c>
      <c r="G3143">
        <v>0</v>
      </c>
      <c r="H3143">
        <v>0</v>
      </c>
      <c r="I3143">
        <v>0</v>
      </c>
      <c r="J3143">
        <v>0</v>
      </c>
      <c r="K3143">
        <v>0</v>
      </c>
    </row>
    <row r="3144" spans="1:11" x14ac:dyDescent="0.2">
      <c r="A3144" t="s">
        <v>4324</v>
      </c>
      <c r="B3144">
        <v>0</v>
      </c>
      <c r="C3144">
        <v>0</v>
      </c>
      <c r="D3144">
        <v>0</v>
      </c>
      <c r="E3144">
        <v>0</v>
      </c>
      <c r="F3144">
        <v>0</v>
      </c>
      <c r="G3144">
        <v>0</v>
      </c>
      <c r="H3144">
        <v>0</v>
      </c>
      <c r="I3144">
        <v>0</v>
      </c>
      <c r="J3144">
        <v>0</v>
      </c>
      <c r="K3144">
        <v>0</v>
      </c>
    </row>
    <row r="3145" spans="1:11" x14ac:dyDescent="0.2">
      <c r="A3145" t="s">
        <v>4325</v>
      </c>
      <c r="B3145">
        <v>0</v>
      </c>
      <c r="C3145">
        <v>0</v>
      </c>
      <c r="D3145">
        <v>0</v>
      </c>
      <c r="E3145">
        <v>0</v>
      </c>
      <c r="F3145">
        <v>0</v>
      </c>
      <c r="G3145">
        <v>0</v>
      </c>
      <c r="H3145">
        <v>0</v>
      </c>
      <c r="I3145">
        <v>0</v>
      </c>
      <c r="J3145">
        <v>0</v>
      </c>
      <c r="K3145">
        <v>0</v>
      </c>
    </row>
    <row r="3146" spans="1:11" x14ac:dyDescent="0.2">
      <c r="A3146" t="s">
        <v>4326</v>
      </c>
      <c r="B3146">
        <v>0</v>
      </c>
      <c r="C3146">
        <v>0</v>
      </c>
      <c r="D3146">
        <v>0</v>
      </c>
      <c r="E3146">
        <v>0</v>
      </c>
      <c r="F3146">
        <v>0</v>
      </c>
      <c r="G3146">
        <v>0</v>
      </c>
      <c r="H3146">
        <v>0</v>
      </c>
      <c r="I3146">
        <v>0</v>
      </c>
      <c r="J3146">
        <v>0</v>
      </c>
      <c r="K3146">
        <v>0</v>
      </c>
    </row>
    <row r="3147" spans="1:11" x14ac:dyDescent="0.2">
      <c r="A3147" t="s">
        <v>4327</v>
      </c>
      <c r="B3147">
        <v>1</v>
      </c>
      <c r="C3147">
        <v>21</v>
      </c>
      <c r="D3147">
        <v>3</v>
      </c>
      <c r="E3147">
        <v>0</v>
      </c>
      <c r="F3147">
        <v>0</v>
      </c>
      <c r="G3147">
        <v>16</v>
      </c>
      <c r="H3147">
        <v>3</v>
      </c>
      <c r="I3147">
        <v>0</v>
      </c>
      <c r="J3147">
        <v>0</v>
      </c>
      <c r="K3147">
        <v>1</v>
      </c>
    </row>
    <row r="3148" spans="1:11" x14ac:dyDescent="0.2">
      <c r="A3148" t="s">
        <v>4328</v>
      </c>
      <c r="B3148">
        <v>0</v>
      </c>
      <c r="C3148">
        <v>0</v>
      </c>
      <c r="D3148">
        <v>0</v>
      </c>
      <c r="E3148">
        <v>0</v>
      </c>
      <c r="F3148">
        <v>0</v>
      </c>
      <c r="G3148">
        <v>0</v>
      </c>
      <c r="H3148">
        <v>0</v>
      </c>
      <c r="I3148">
        <v>0</v>
      </c>
      <c r="J3148">
        <v>0</v>
      </c>
      <c r="K3148">
        <v>0</v>
      </c>
    </row>
    <row r="3149" spans="1:11" x14ac:dyDescent="0.2">
      <c r="A3149" t="s">
        <v>4329</v>
      </c>
      <c r="B3149">
        <v>0</v>
      </c>
      <c r="C3149">
        <v>0</v>
      </c>
      <c r="D3149">
        <v>0</v>
      </c>
      <c r="E3149">
        <v>0</v>
      </c>
      <c r="F3149">
        <v>0</v>
      </c>
      <c r="G3149">
        <v>0</v>
      </c>
      <c r="H3149">
        <v>0</v>
      </c>
      <c r="I3149">
        <v>0</v>
      </c>
      <c r="J3149">
        <v>0</v>
      </c>
      <c r="K3149">
        <v>0</v>
      </c>
    </row>
    <row r="3150" spans="1:11" x14ac:dyDescent="0.2">
      <c r="A3150" t="s">
        <v>4330</v>
      </c>
      <c r="B3150">
        <v>0</v>
      </c>
      <c r="C3150">
        <v>0</v>
      </c>
      <c r="D3150">
        <v>0</v>
      </c>
      <c r="E3150">
        <v>0</v>
      </c>
      <c r="F3150">
        <v>0</v>
      </c>
      <c r="G3150">
        <v>0</v>
      </c>
      <c r="H3150">
        <v>0</v>
      </c>
      <c r="I3150">
        <v>0</v>
      </c>
      <c r="J3150">
        <v>0</v>
      </c>
      <c r="K3150">
        <v>0</v>
      </c>
    </row>
    <row r="3151" spans="1:11" x14ac:dyDescent="0.2">
      <c r="A3151" t="s">
        <v>4331</v>
      </c>
      <c r="B3151">
        <v>0</v>
      </c>
      <c r="C3151">
        <v>0</v>
      </c>
      <c r="D3151">
        <v>0</v>
      </c>
      <c r="E3151">
        <v>0</v>
      </c>
      <c r="F3151">
        <v>0</v>
      </c>
      <c r="G3151">
        <v>0</v>
      </c>
      <c r="H3151">
        <v>0</v>
      </c>
      <c r="I3151">
        <v>0</v>
      </c>
      <c r="J3151">
        <v>0</v>
      </c>
      <c r="K3151">
        <v>0</v>
      </c>
    </row>
    <row r="3152" spans="1:11" x14ac:dyDescent="0.2">
      <c r="A3152" t="s">
        <v>4332</v>
      </c>
      <c r="B3152">
        <v>0</v>
      </c>
      <c r="C3152">
        <v>4</v>
      </c>
      <c r="D3152">
        <v>0</v>
      </c>
      <c r="E3152">
        <v>0</v>
      </c>
      <c r="F3152">
        <v>0</v>
      </c>
      <c r="G3152">
        <v>3</v>
      </c>
      <c r="H3152">
        <v>0</v>
      </c>
      <c r="I3152">
        <v>0</v>
      </c>
      <c r="J3152">
        <v>0</v>
      </c>
      <c r="K3152">
        <v>0</v>
      </c>
    </row>
    <row r="3153" spans="1:11" x14ac:dyDescent="0.2">
      <c r="A3153" t="s">
        <v>4333</v>
      </c>
      <c r="B3153">
        <v>0</v>
      </c>
      <c r="C3153">
        <v>0</v>
      </c>
      <c r="D3153">
        <v>0</v>
      </c>
      <c r="E3153">
        <v>0</v>
      </c>
      <c r="F3153">
        <v>0</v>
      </c>
      <c r="G3153">
        <v>0</v>
      </c>
      <c r="H3153">
        <v>0</v>
      </c>
      <c r="I3153">
        <v>0</v>
      </c>
      <c r="J3153">
        <v>0</v>
      </c>
      <c r="K3153">
        <v>0</v>
      </c>
    </row>
    <row r="3154" spans="1:11" x14ac:dyDescent="0.2">
      <c r="A3154" t="s">
        <v>4334</v>
      </c>
      <c r="B3154">
        <v>0</v>
      </c>
      <c r="C3154">
        <v>0</v>
      </c>
      <c r="D3154">
        <v>0</v>
      </c>
      <c r="E3154">
        <v>0</v>
      </c>
      <c r="F3154">
        <v>0</v>
      </c>
      <c r="G3154">
        <v>0</v>
      </c>
      <c r="H3154">
        <v>0</v>
      </c>
      <c r="I3154">
        <v>0</v>
      </c>
      <c r="J3154">
        <v>0</v>
      </c>
      <c r="K3154">
        <v>0</v>
      </c>
    </row>
    <row r="3155" spans="1:11" x14ac:dyDescent="0.2">
      <c r="A3155" t="s">
        <v>4335</v>
      </c>
      <c r="B3155">
        <v>0</v>
      </c>
      <c r="C3155">
        <v>0</v>
      </c>
      <c r="D3155">
        <v>0</v>
      </c>
      <c r="E3155">
        <v>0</v>
      </c>
      <c r="F3155">
        <v>0</v>
      </c>
      <c r="G3155">
        <v>0</v>
      </c>
      <c r="H3155">
        <v>0</v>
      </c>
      <c r="I3155">
        <v>0</v>
      </c>
      <c r="J3155">
        <v>0</v>
      </c>
      <c r="K3155">
        <v>0</v>
      </c>
    </row>
    <row r="3156" spans="1:11" x14ac:dyDescent="0.2">
      <c r="A3156" t="s">
        <v>4336</v>
      </c>
      <c r="B3156">
        <v>0</v>
      </c>
      <c r="C3156">
        <v>0</v>
      </c>
      <c r="D3156">
        <v>0</v>
      </c>
      <c r="E3156">
        <v>0</v>
      </c>
      <c r="F3156">
        <v>0</v>
      </c>
      <c r="G3156">
        <v>0</v>
      </c>
      <c r="H3156">
        <v>0</v>
      </c>
      <c r="I3156">
        <v>0</v>
      </c>
      <c r="J3156">
        <v>0</v>
      </c>
      <c r="K3156">
        <v>0</v>
      </c>
    </row>
    <row r="3157" spans="1:11" x14ac:dyDescent="0.2">
      <c r="A3157" t="s">
        <v>4337</v>
      </c>
      <c r="B3157">
        <v>0</v>
      </c>
      <c r="C3157">
        <v>0</v>
      </c>
      <c r="D3157">
        <v>0</v>
      </c>
      <c r="E3157">
        <v>0</v>
      </c>
      <c r="F3157">
        <v>0</v>
      </c>
      <c r="G3157">
        <v>0</v>
      </c>
      <c r="H3157">
        <v>0</v>
      </c>
      <c r="I3157">
        <v>0</v>
      </c>
      <c r="J3157">
        <v>0</v>
      </c>
      <c r="K3157">
        <v>0</v>
      </c>
    </row>
    <row r="3158" spans="1:11" x14ac:dyDescent="0.2">
      <c r="A3158" t="s">
        <v>4338</v>
      </c>
      <c r="B3158">
        <v>0</v>
      </c>
      <c r="C3158">
        <v>0</v>
      </c>
      <c r="D3158">
        <v>0</v>
      </c>
      <c r="E3158">
        <v>0</v>
      </c>
      <c r="F3158">
        <v>0</v>
      </c>
      <c r="G3158">
        <v>0</v>
      </c>
      <c r="H3158">
        <v>0</v>
      </c>
      <c r="I3158">
        <v>0</v>
      </c>
      <c r="J3158">
        <v>0</v>
      </c>
      <c r="K3158">
        <v>0</v>
      </c>
    </row>
    <row r="3159" spans="1:11" x14ac:dyDescent="0.2">
      <c r="A3159" t="s">
        <v>4339</v>
      </c>
      <c r="B3159">
        <v>0</v>
      </c>
      <c r="C3159">
        <v>0</v>
      </c>
      <c r="D3159">
        <v>0</v>
      </c>
      <c r="E3159">
        <v>0</v>
      </c>
      <c r="F3159">
        <v>0</v>
      </c>
      <c r="G3159">
        <v>0</v>
      </c>
      <c r="H3159">
        <v>0</v>
      </c>
      <c r="I3159">
        <v>0</v>
      </c>
      <c r="J3159">
        <v>0</v>
      </c>
      <c r="K3159">
        <v>0</v>
      </c>
    </row>
    <row r="3160" spans="1:11" x14ac:dyDescent="0.2">
      <c r="A3160" t="s">
        <v>4340</v>
      </c>
      <c r="B3160">
        <v>0</v>
      </c>
      <c r="C3160">
        <v>0</v>
      </c>
      <c r="D3160">
        <v>0</v>
      </c>
      <c r="E3160">
        <v>0</v>
      </c>
      <c r="F3160">
        <v>0</v>
      </c>
      <c r="G3160">
        <v>0</v>
      </c>
      <c r="H3160">
        <v>0</v>
      </c>
      <c r="I3160">
        <v>0</v>
      </c>
      <c r="J3160">
        <v>0</v>
      </c>
      <c r="K3160">
        <v>0</v>
      </c>
    </row>
    <row r="3161" spans="1:11" x14ac:dyDescent="0.2">
      <c r="A3161" t="s">
        <v>4341</v>
      </c>
      <c r="B3161">
        <v>0</v>
      </c>
      <c r="C3161">
        <v>0</v>
      </c>
      <c r="D3161">
        <v>0</v>
      </c>
      <c r="E3161">
        <v>0</v>
      </c>
      <c r="F3161">
        <v>0</v>
      </c>
      <c r="G3161">
        <v>0</v>
      </c>
      <c r="H3161">
        <v>0</v>
      </c>
      <c r="I3161">
        <v>0</v>
      </c>
      <c r="J3161">
        <v>0</v>
      </c>
      <c r="K3161">
        <v>0</v>
      </c>
    </row>
    <row r="3162" spans="1:11" x14ac:dyDescent="0.2">
      <c r="A3162" t="s">
        <v>4342</v>
      </c>
      <c r="B3162">
        <v>0</v>
      </c>
      <c r="C3162">
        <v>0</v>
      </c>
      <c r="D3162">
        <v>0</v>
      </c>
      <c r="E3162">
        <v>0</v>
      </c>
      <c r="F3162">
        <v>0</v>
      </c>
      <c r="G3162">
        <v>0</v>
      </c>
      <c r="H3162">
        <v>0</v>
      </c>
      <c r="I3162">
        <v>0</v>
      </c>
      <c r="J3162">
        <v>0</v>
      </c>
      <c r="K3162">
        <v>0</v>
      </c>
    </row>
    <row r="3163" spans="1:11" x14ac:dyDescent="0.2">
      <c r="A3163" t="s">
        <v>4343</v>
      </c>
      <c r="B3163">
        <v>0</v>
      </c>
      <c r="C3163">
        <v>0</v>
      </c>
      <c r="D3163">
        <v>0</v>
      </c>
      <c r="E3163">
        <v>0</v>
      </c>
      <c r="F3163">
        <v>0</v>
      </c>
      <c r="G3163">
        <v>0</v>
      </c>
      <c r="H3163">
        <v>0</v>
      </c>
      <c r="I3163">
        <v>0</v>
      </c>
      <c r="J3163">
        <v>0</v>
      </c>
      <c r="K3163">
        <v>0</v>
      </c>
    </row>
    <row r="3164" spans="1:11" x14ac:dyDescent="0.2">
      <c r="A3164" t="s">
        <v>1728</v>
      </c>
      <c r="B3164">
        <v>0</v>
      </c>
      <c r="C3164">
        <v>0</v>
      </c>
      <c r="D3164">
        <v>0</v>
      </c>
      <c r="E3164">
        <v>0</v>
      </c>
      <c r="F3164">
        <v>0</v>
      </c>
      <c r="G3164">
        <v>0</v>
      </c>
      <c r="H3164">
        <v>0</v>
      </c>
      <c r="I3164">
        <v>0</v>
      </c>
      <c r="J3164">
        <v>0</v>
      </c>
      <c r="K3164">
        <v>0</v>
      </c>
    </row>
    <row r="3165" spans="1:11" x14ac:dyDescent="0.2">
      <c r="A3165" t="s">
        <v>1730</v>
      </c>
      <c r="B3165">
        <v>2</v>
      </c>
      <c r="C3165">
        <v>28</v>
      </c>
      <c r="D3165">
        <v>4</v>
      </c>
      <c r="E3165">
        <v>0</v>
      </c>
      <c r="F3165">
        <v>0</v>
      </c>
      <c r="G3165">
        <v>21</v>
      </c>
      <c r="H3165">
        <v>4</v>
      </c>
      <c r="I3165">
        <v>0</v>
      </c>
      <c r="J3165">
        <v>0</v>
      </c>
      <c r="K3165">
        <v>1</v>
      </c>
    </row>
    <row r="3166" spans="1:11" x14ac:dyDescent="0.2">
      <c r="A3166" t="s">
        <v>1733</v>
      </c>
      <c r="B3166">
        <v>0</v>
      </c>
      <c r="C3166">
        <v>0</v>
      </c>
      <c r="D3166">
        <v>0</v>
      </c>
      <c r="E3166">
        <v>0</v>
      </c>
      <c r="F3166">
        <v>0</v>
      </c>
      <c r="G3166">
        <v>0</v>
      </c>
      <c r="H3166">
        <v>0</v>
      </c>
      <c r="I3166">
        <v>0</v>
      </c>
      <c r="J3166">
        <v>0</v>
      </c>
      <c r="K3166">
        <v>0</v>
      </c>
    </row>
    <row r="3167" spans="1:11" x14ac:dyDescent="0.2">
      <c r="A3167" t="s">
        <v>1738</v>
      </c>
      <c r="B3167">
        <v>0</v>
      </c>
      <c r="C3167">
        <v>0</v>
      </c>
      <c r="D3167">
        <v>0</v>
      </c>
      <c r="E3167">
        <v>0</v>
      </c>
      <c r="F3167">
        <v>0</v>
      </c>
      <c r="G3167">
        <v>0</v>
      </c>
      <c r="H3167">
        <v>0</v>
      </c>
      <c r="I3167">
        <v>0</v>
      </c>
      <c r="J3167">
        <v>0</v>
      </c>
      <c r="K3167">
        <v>0</v>
      </c>
    </row>
    <row r="3168" spans="1:11" x14ac:dyDescent="0.2">
      <c r="A3168" t="s">
        <v>1744</v>
      </c>
      <c r="B3168">
        <v>0</v>
      </c>
      <c r="C3168">
        <v>0</v>
      </c>
      <c r="D3168">
        <v>0</v>
      </c>
      <c r="E3168">
        <v>0</v>
      </c>
      <c r="F3168">
        <v>0</v>
      </c>
      <c r="G3168">
        <v>0</v>
      </c>
      <c r="H3168">
        <v>0</v>
      </c>
      <c r="I3168">
        <v>0</v>
      </c>
      <c r="J3168">
        <v>0</v>
      </c>
      <c r="K3168">
        <v>0</v>
      </c>
    </row>
    <row r="3169" spans="1:11" x14ac:dyDescent="0.2">
      <c r="A3169" t="s">
        <v>1747</v>
      </c>
      <c r="B3169">
        <v>0</v>
      </c>
      <c r="C3169">
        <v>0</v>
      </c>
      <c r="D3169">
        <v>0</v>
      </c>
      <c r="E3169">
        <v>0</v>
      </c>
      <c r="F3169">
        <v>0</v>
      </c>
      <c r="G3169">
        <v>0</v>
      </c>
      <c r="H3169">
        <v>0</v>
      </c>
      <c r="I3169">
        <v>0</v>
      </c>
      <c r="J3169">
        <v>0</v>
      </c>
      <c r="K3169">
        <v>0</v>
      </c>
    </row>
    <row r="3170" spans="1:11" x14ac:dyDescent="0.2">
      <c r="A3170" t="s">
        <v>1751</v>
      </c>
      <c r="B3170">
        <v>0</v>
      </c>
      <c r="C3170">
        <v>0</v>
      </c>
      <c r="D3170">
        <v>0</v>
      </c>
      <c r="E3170">
        <v>0</v>
      </c>
      <c r="F3170">
        <v>0</v>
      </c>
      <c r="G3170">
        <v>0</v>
      </c>
      <c r="H3170">
        <v>0</v>
      </c>
      <c r="I3170">
        <v>0</v>
      </c>
      <c r="J3170">
        <v>0</v>
      </c>
      <c r="K3170">
        <v>0</v>
      </c>
    </row>
    <row r="3171" spans="1:11" x14ac:dyDescent="0.2">
      <c r="A3171" t="s">
        <v>1755</v>
      </c>
      <c r="B3171">
        <v>0</v>
      </c>
      <c r="C3171">
        <v>4</v>
      </c>
      <c r="D3171">
        <v>0</v>
      </c>
      <c r="E3171">
        <v>0</v>
      </c>
      <c r="F3171">
        <v>0</v>
      </c>
      <c r="G3171">
        <v>3</v>
      </c>
      <c r="H3171">
        <v>0</v>
      </c>
      <c r="I3171">
        <v>0</v>
      </c>
      <c r="J3171">
        <v>0</v>
      </c>
      <c r="K3171">
        <v>0</v>
      </c>
    </row>
    <row r="3172" spans="1:11" x14ac:dyDescent="0.2">
      <c r="A3172" t="s">
        <v>1757</v>
      </c>
      <c r="B3172">
        <v>0</v>
      </c>
      <c r="C3172">
        <v>3</v>
      </c>
      <c r="D3172">
        <v>0</v>
      </c>
      <c r="E3172">
        <v>0</v>
      </c>
      <c r="F3172">
        <v>0</v>
      </c>
      <c r="G3172">
        <v>2</v>
      </c>
      <c r="H3172">
        <v>0</v>
      </c>
      <c r="I3172">
        <v>0</v>
      </c>
      <c r="J3172">
        <v>0</v>
      </c>
      <c r="K3172">
        <v>0</v>
      </c>
    </row>
    <row r="3173" spans="1:11" x14ac:dyDescent="0.2">
      <c r="A3173" t="s">
        <v>1761</v>
      </c>
      <c r="B3173">
        <v>0</v>
      </c>
      <c r="C3173">
        <v>0</v>
      </c>
      <c r="D3173">
        <v>0</v>
      </c>
      <c r="E3173">
        <v>0</v>
      </c>
      <c r="F3173">
        <v>0</v>
      </c>
      <c r="G3173">
        <v>0</v>
      </c>
      <c r="H3173">
        <v>0</v>
      </c>
      <c r="I3173">
        <v>0</v>
      </c>
      <c r="J3173">
        <v>0</v>
      </c>
      <c r="K3173">
        <v>0</v>
      </c>
    </row>
    <row r="3174" spans="1:11" x14ac:dyDescent="0.2">
      <c r="A3174" t="s">
        <v>1764</v>
      </c>
      <c r="B3174">
        <v>0</v>
      </c>
      <c r="C3174">
        <v>0</v>
      </c>
      <c r="D3174">
        <v>0</v>
      </c>
      <c r="E3174">
        <v>0</v>
      </c>
      <c r="F3174">
        <v>0</v>
      </c>
      <c r="G3174">
        <v>0</v>
      </c>
      <c r="H3174">
        <v>0</v>
      </c>
      <c r="I3174">
        <v>0</v>
      </c>
      <c r="J3174">
        <v>0</v>
      </c>
      <c r="K3174">
        <v>0</v>
      </c>
    </row>
    <row r="3175" spans="1:11" x14ac:dyDescent="0.2">
      <c r="A3175" t="s">
        <v>1770</v>
      </c>
      <c r="B3175">
        <v>2</v>
      </c>
      <c r="C3175">
        <v>183</v>
      </c>
      <c r="D3175">
        <v>3</v>
      </c>
      <c r="E3175">
        <v>0</v>
      </c>
      <c r="F3175">
        <v>0</v>
      </c>
      <c r="G3175">
        <v>137</v>
      </c>
      <c r="H3175">
        <v>3</v>
      </c>
      <c r="I3175">
        <v>0</v>
      </c>
      <c r="J3175">
        <v>0</v>
      </c>
      <c r="K3175">
        <v>10</v>
      </c>
    </row>
    <row r="3176" spans="1:11" x14ac:dyDescent="0.2">
      <c r="A3176" t="s">
        <v>1772</v>
      </c>
      <c r="B3176">
        <v>0</v>
      </c>
      <c r="C3176">
        <v>4</v>
      </c>
      <c r="D3176">
        <v>0</v>
      </c>
      <c r="E3176">
        <v>0</v>
      </c>
      <c r="F3176">
        <v>0</v>
      </c>
      <c r="G3176">
        <v>3</v>
      </c>
      <c r="H3176">
        <v>0</v>
      </c>
      <c r="I3176">
        <v>0</v>
      </c>
      <c r="J3176">
        <v>0</v>
      </c>
      <c r="K3176">
        <v>0</v>
      </c>
    </row>
    <row r="3177" spans="1:11" x14ac:dyDescent="0.2">
      <c r="A3177" t="s">
        <v>1774</v>
      </c>
      <c r="B3177">
        <v>0</v>
      </c>
      <c r="C3177">
        <v>0</v>
      </c>
      <c r="D3177">
        <v>0</v>
      </c>
      <c r="E3177">
        <v>0</v>
      </c>
      <c r="F3177">
        <v>0</v>
      </c>
      <c r="G3177">
        <v>0</v>
      </c>
      <c r="H3177">
        <v>0</v>
      </c>
      <c r="I3177">
        <v>0</v>
      </c>
      <c r="J3177">
        <v>0</v>
      </c>
      <c r="K3177">
        <v>0</v>
      </c>
    </row>
    <row r="3178" spans="1:11" x14ac:dyDescent="0.2">
      <c r="A3178" t="s">
        <v>1777</v>
      </c>
      <c r="B3178">
        <v>0</v>
      </c>
      <c r="C3178">
        <v>0</v>
      </c>
      <c r="D3178">
        <v>0</v>
      </c>
      <c r="E3178">
        <v>0</v>
      </c>
      <c r="F3178">
        <v>0</v>
      </c>
      <c r="G3178">
        <v>0</v>
      </c>
      <c r="H3178">
        <v>0</v>
      </c>
      <c r="I3178">
        <v>0</v>
      </c>
      <c r="J3178">
        <v>0</v>
      </c>
      <c r="K3178">
        <v>0</v>
      </c>
    </row>
    <row r="3179" spans="1:11" x14ac:dyDescent="0.2">
      <c r="A3179" t="s">
        <v>1782</v>
      </c>
      <c r="B3179">
        <v>0</v>
      </c>
      <c r="C3179">
        <v>0</v>
      </c>
      <c r="D3179">
        <v>0</v>
      </c>
      <c r="E3179">
        <v>0</v>
      </c>
      <c r="F3179">
        <v>0</v>
      </c>
      <c r="G3179">
        <v>0</v>
      </c>
      <c r="H3179">
        <v>0</v>
      </c>
      <c r="I3179">
        <v>0</v>
      </c>
      <c r="J3179">
        <v>0</v>
      </c>
      <c r="K3179">
        <v>0</v>
      </c>
    </row>
    <row r="3180" spans="1:11" x14ac:dyDescent="0.2">
      <c r="A3180" t="s">
        <v>1274</v>
      </c>
      <c r="B3180">
        <v>0</v>
      </c>
      <c r="C3180">
        <v>0</v>
      </c>
      <c r="D3180">
        <v>0</v>
      </c>
      <c r="E3180">
        <v>0</v>
      </c>
      <c r="F3180">
        <v>0</v>
      </c>
      <c r="G3180">
        <v>0</v>
      </c>
      <c r="H3180">
        <v>0</v>
      </c>
      <c r="I3180">
        <v>0</v>
      </c>
      <c r="J3180">
        <v>0</v>
      </c>
      <c r="K3180">
        <v>0</v>
      </c>
    </row>
    <row r="3181" spans="1:11" x14ac:dyDescent="0.2">
      <c r="A3181" t="s">
        <v>1277</v>
      </c>
      <c r="B3181">
        <v>0</v>
      </c>
      <c r="C3181">
        <v>0</v>
      </c>
      <c r="D3181">
        <v>0</v>
      </c>
      <c r="E3181">
        <v>0</v>
      </c>
      <c r="F3181">
        <v>0</v>
      </c>
      <c r="G3181">
        <v>0</v>
      </c>
      <c r="H3181">
        <v>0</v>
      </c>
      <c r="I3181">
        <v>0</v>
      </c>
      <c r="J3181">
        <v>0</v>
      </c>
      <c r="K3181">
        <v>0</v>
      </c>
    </row>
    <row r="3182" spans="1:11" x14ac:dyDescent="0.2">
      <c r="A3182" t="s">
        <v>1798</v>
      </c>
      <c r="B3182">
        <v>0</v>
      </c>
      <c r="C3182">
        <v>0</v>
      </c>
      <c r="D3182">
        <v>0</v>
      </c>
      <c r="E3182">
        <v>0</v>
      </c>
      <c r="F3182">
        <v>0</v>
      </c>
      <c r="G3182">
        <v>0</v>
      </c>
      <c r="H3182">
        <v>0</v>
      </c>
      <c r="I3182">
        <v>0</v>
      </c>
      <c r="J3182">
        <v>0</v>
      </c>
      <c r="K3182">
        <v>0</v>
      </c>
    </row>
    <row r="3183" spans="1:11" x14ac:dyDescent="0.2">
      <c r="A3183" t="s">
        <v>1803</v>
      </c>
      <c r="B3183">
        <v>0</v>
      </c>
      <c r="C3183">
        <v>0</v>
      </c>
      <c r="D3183">
        <v>0</v>
      </c>
      <c r="E3183">
        <v>0</v>
      </c>
      <c r="F3183">
        <v>0</v>
      </c>
      <c r="G3183">
        <v>0</v>
      </c>
      <c r="H3183">
        <v>0</v>
      </c>
      <c r="I3183">
        <v>0</v>
      </c>
      <c r="J3183">
        <v>0</v>
      </c>
      <c r="K3183">
        <v>0</v>
      </c>
    </row>
    <row r="3184" spans="1:11" x14ac:dyDescent="0.2">
      <c r="A3184" t="s">
        <v>1808</v>
      </c>
      <c r="B3184">
        <v>0</v>
      </c>
      <c r="C3184">
        <v>0</v>
      </c>
      <c r="D3184">
        <v>0</v>
      </c>
      <c r="E3184">
        <v>0</v>
      </c>
      <c r="F3184">
        <v>0</v>
      </c>
      <c r="G3184">
        <v>0</v>
      </c>
      <c r="H3184">
        <v>0</v>
      </c>
      <c r="I3184">
        <v>0</v>
      </c>
      <c r="J3184">
        <v>0</v>
      </c>
      <c r="K3184">
        <v>0</v>
      </c>
    </row>
    <row r="3185" spans="1:11" x14ac:dyDescent="0.2">
      <c r="A3185" t="s">
        <v>1813</v>
      </c>
      <c r="B3185">
        <v>0</v>
      </c>
      <c r="C3185">
        <v>0</v>
      </c>
      <c r="D3185">
        <v>0</v>
      </c>
      <c r="E3185">
        <v>0</v>
      </c>
      <c r="F3185">
        <v>0</v>
      </c>
      <c r="G3185">
        <v>0</v>
      </c>
      <c r="H3185">
        <v>0</v>
      </c>
      <c r="I3185">
        <v>0</v>
      </c>
      <c r="J3185">
        <v>0</v>
      </c>
      <c r="K3185">
        <v>0</v>
      </c>
    </row>
    <row r="3186" spans="1:11" x14ac:dyDescent="0.2">
      <c r="A3186" t="s">
        <v>1819</v>
      </c>
      <c r="B3186">
        <v>0</v>
      </c>
      <c r="C3186">
        <v>0</v>
      </c>
      <c r="D3186">
        <v>0</v>
      </c>
      <c r="E3186">
        <v>0</v>
      </c>
      <c r="F3186">
        <v>0</v>
      </c>
      <c r="G3186">
        <v>0</v>
      </c>
      <c r="H3186">
        <v>0</v>
      </c>
      <c r="I3186">
        <v>0</v>
      </c>
      <c r="J3186">
        <v>0</v>
      </c>
      <c r="K3186">
        <v>0</v>
      </c>
    </row>
    <row r="3187" spans="1:11" x14ac:dyDescent="0.2">
      <c r="A3187" t="s">
        <v>1826</v>
      </c>
      <c r="B3187">
        <v>0</v>
      </c>
      <c r="C3187">
        <v>0</v>
      </c>
      <c r="D3187">
        <v>0</v>
      </c>
      <c r="E3187">
        <v>0</v>
      </c>
      <c r="F3187">
        <v>0</v>
      </c>
      <c r="G3187">
        <v>0</v>
      </c>
      <c r="H3187">
        <v>0</v>
      </c>
      <c r="I3187">
        <v>0</v>
      </c>
      <c r="J3187">
        <v>0</v>
      </c>
      <c r="K3187">
        <v>0</v>
      </c>
    </row>
    <row r="3188" spans="1:11" x14ac:dyDescent="0.2">
      <c r="A3188" t="s">
        <v>1830</v>
      </c>
      <c r="B3188">
        <v>0</v>
      </c>
      <c r="C3188">
        <v>0</v>
      </c>
      <c r="D3188">
        <v>0</v>
      </c>
      <c r="E3188">
        <v>0</v>
      </c>
      <c r="F3188">
        <v>0</v>
      </c>
      <c r="G3188">
        <v>0</v>
      </c>
      <c r="H3188">
        <v>0</v>
      </c>
      <c r="I3188">
        <v>0</v>
      </c>
      <c r="J3188">
        <v>0</v>
      </c>
      <c r="K3188">
        <v>0</v>
      </c>
    </row>
    <row r="3189" spans="1:11" x14ac:dyDescent="0.2">
      <c r="A3189" t="s">
        <v>1836</v>
      </c>
      <c r="B3189">
        <v>0</v>
      </c>
      <c r="C3189">
        <v>0</v>
      </c>
      <c r="D3189">
        <v>0</v>
      </c>
      <c r="E3189">
        <v>0</v>
      </c>
      <c r="F3189">
        <v>0</v>
      </c>
      <c r="G3189">
        <v>0</v>
      </c>
      <c r="H3189">
        <v>0</v>
      </c>
      <c r="I3189">
        <v>0</v>
      </c>
      <c r="J3189">
        <v>0</v>
      </c>
      <c r="K3189">
        <v>0</v>
      </c>
    </row>
    <row r="3190" spans="1:11" x14ac:dyDescent="0.2">
      <c r="A3190" t="s">
        <v>1841</v>
      </c>
      <c r="B3190">
        <v>0</v>
      </c>
      <c r="C3190">
        <v>0</v>
      </c>
      <c r="D3190">
        <v>0</v>
      </c>
      <c r="E3190">
        <v>0</v>
      </c>
      <c r="F3190">
        <v>0</v>
      </c>
      <c r="G3190">
        <v>0</v>
      </c>
      <c r="H3190">
        <v>0</v>
      </c>
      <c r="I3190">
        <v>0</v>
      </c>
      <c r="J3190">
        <v>0</v>
      </c>
      <c r="K3190">
        <v>0</v>
      </c>
    </row>
    <row r="3191" spans="1:11" x14ac:dyDescent="0.2">
      <c r="A3191" t="s">
        <v>1842</v>
      </c>
      <c r="B3191">
        <v>0</v>
      </c>
      <c r="C3191">
        <v>0</v>
      </c>
      <c r="D3191">
        <v>0</v>
      </c>
      <c r="E3191">
        <v>0</v>
      </c>
      <c r="F3191">
        <v>0</v>
      </c>
      <c r="G3191">
        <v>0</v>
      </c>
      <c r="H3191">
        <v>0</v>
      </c>
      <c r="I3191">
        <v>0</v>
      </c>
      <c r="J3191">
        <v>0</v>
      </c>
      <c r="K3191">
        <v>0</v>
      </c>
    </row>
    <row r="3192" spans="1:11" x14ac:dyDescent="0.2">
      <c r="A3192" t="s">
        <v>1843</v>
      </c>
      <c r="B3192">
        <v>0</v>
      </c>
      <c r="C3192">
        <v>0</v>
      </c>
      <c r="D3192">
        <v>0</v>
      </c>
      <c r="E3192">
        <v>0</v>
      </c>
      <c r="F3192">
        <v>0</v>
      </c>
      <c r="G3192">
        <v>0</v>
      </c>
      <c r="H3192">
        <v>0</v>
      </c>
      <c r="I3192">
        <v>0</v>
      </c>
      <c r="J3192">
        <v>0</v>
      </c>
      <c r="K3192">
        <v>0</v>
      </c>
    </row>
    <row r="3193" spans="1:11" x14ac:dyDescent="0.2">
      <c r="A3193" t="s">
        <v>1846</v>
      </c>
      <c r="B3193">
        <v>0</v>
      </c>
      <c r="C3193">
        <v>0</v>
      </c>
      <c r="D3193">
        <v>0</v>
      </c>
      <c r="E3193">
        <v>0</v>
      </c>
      <c r="F3193">
        <v>0</v>
      </c>
      <c r="G3193">
        <v>0</v>
      </c>
      <c r="H3193">
        <v>0</v>
      </c>
      <c r="I3193">
        <v>0</v>
      </c>
      <c r="J3193">
        <v>0</v>
      </c>
      <c r="K3193">
        <v>0</v>
      </c>
    </row>
    <row r="3194" spans="1:11" x14ac:dyDescent="0.2">
      <c r="A3194" t="s">
        <v>1851</v>
      </c>
      <c r="B3194">
        <v>0</v>
      </c>
      <c r="C3194">
        <v>0</v>
      </c>
      <c r="D3194">
        <v>0</v>
      </c>
      <c r="E3194">
        <v>0</v>
      </c>
      <c r="F3194">
        <v>0</v>
      </c>
      <c r="G3194">
        <v>0</v>
      </c>
      <c r="H3194">
        <v>0</v>
      </c>
      <c r="I3194">
        <v>0</v>
      </c>
      <c r="J3194">
        <v>0</v>
      </c>
      <c r="K3194">
        <v>0</v>
      </c>
    </row>
    <row r="3195" spans="1:11" x14ac:dyDescent="0.2">
      <c r="A3195" t="s">
        <v>1857</v>
      </c>
      <c r="B3195">
        <v>0</v>
      </c>
      <c r="C3195">
        <v>0</v>
      </c>
      <c r="D3195">
        <v>0</v>
      </c>
      <c r="E3195">
        <v>0</v>
      </c>
      <c r="F3195">
        <v>0</v>
      </c>
      <c r="G3195">
        <v>0</v>
      </c>
      <c r="H3195">
        <v>0</v>
      </c>
      <c r="I3195">
        <v>0</v>
      </c>
      <c r="J3195">
        <v>0</v>
      </c>
      <c r="K3195">
        <v>0</v>
      </c>
    </row>
    <row r="3196" spans="1:11" x14ac:dyDescent="0.2">
      <c r="A3196" t="s">
        <v>1862</v>
      </c>
      <c r="B3196">
        <v>0</v>
      </c>
      <c r="C3196">
        <v>0</v>
      </c>
      <c r="D3196">
        <v>0</v>
      </c>
      <c r="E3196">
        <v>0</v>
      </c>
      <c r="F3196">
        <v>0</v>
      </c>
      <c r="G3196">
        <v>0</v>
      </c>
      <c r="H3196">
        <v>0</v>
      </c>
      <c r="I3196">
        <v>0</v>
      </c>
      <c r="J3196">
        <v>0</v>
      </c>
      <c r="K3196">
        <v>0</v>
      </c>
    </row>
    <row r="3197" spans="1:11" x14ac:dyDescent="0.2">
      <c r="A3197" t="s">
        <v>1867</v>
      </c>
      <c r="B3197">
        <v>0</v>
      </c>
      <c r="C3197">
        <v>0</v>
      </c>
      <c r="D3197">
        <v>0</v>
      </c>
      <c r="E3197">
        <v>0</v>
      </c>
      <c r="F3197">
        <v>0</v>
      </c>
      <c r="G3197">
        <v>0</v>
      </c>
      <c r="H3197">
        <v>0</v>
      </c>
      <c r="I3197">
        <v>0</v>
      </c>
      <c r="J3197">
        <v>0</v>
      </c>
      <c r="K3197">
        <v>0</v>
      </c>
    </row>
    <row r="3198" spans="1:11" x14ac:dyDescent="0.2">
      <c r="A3198" t="s">
        <v>1870</v>
      </c>
      <c r="B3198">
        <v>0</v>
      </c>
      <c r="C3198">
        <v>0</v>
      </c>
      <c r="D3198">
        <v>0</v>
      </c>
      <c r="E3198">
        <v>0</v>
      </c>
      <c r="F3198">
        <v>0</v>
      </c>
      <c r="G3198">
        <v>0</v>
      </c>
      <c r="H3198">
        <v>0</v>
      </c>
      <c r="I3198">
        <v>0</v>
      </c>
      <c r="J3198">
        <v>0</v>
      </c>
      <c r="K3198">
        <v>0</v>
      </c>
    </row>
    <row r="3199" spans="1:11" x14ac:dyDescent="0.2">
      <c r="A3199" t="s">
        <v>1874</v>
      </c>
      <c r="B3199">
        <v>0</v>
      </c>
      <c r="C3199">
        <v>0</v>
      </c>
      <c r="D3199">
        <v>0</v>
      </c>
      <c r="E3199">
        <v>0</v>
      </c>
      <c r="F3199">
        <v>0</v>
      </c>
      <c r="G3199">
        <v>0</v>
      </c>
      <c r="H3199">
        <v>0</v>
      </c>
      <c r="I3199">
        <v>0</v>
      </c>
      <c r="J3199">
        <v>0</v>
      </c>
      <c r="K3199">
        <v>0</v>
      </c>
    </row>
    <row r="3200" spans="1:11" x14ac:dyDescent="0.2">
      <c r="A3200" t="s">
        <v>1876</v>
      </c>
      <c r="B3200">
        <v>0</v>
      </c>
      <c r="C3200">
        <v>0</v>
      </c>
      <c r="D3200">
        <v>0</v>
      </c>
      <c r="E3200">
        <v>0</v>
      </c>
      <c r="F3200">
        <v>0</v>
      </c>
      <c r="G3200">
        <v>0</v>
      </c>
      <c r="H3200">
        <v>0</v>
      </c>
      <c r="I3200">
        <v>0</v>
      </c>
      <c r="J3200">
        <v>0</v>
      </c>
      <c r="K3200">
        <v>0</v>
      </c>
    </row>
    <row r="3201" spans="1:11" x14ac:dyDescent="0.2">
      <c r="A3201" t="s">
        <v>1881</v>
      </c>
      <c r="B3201">
        <v>0</v>
      </c>
      <c r="C3201">
        <v>0</v>
      </c>
      <c r="D3201">
        <v>0</v>
      </c>
      <c r="E3201">
        <v>0</v>
      </c>
      <c r="F3201">
        <v>0</v>
      </c>
      <c r="G3201">
        <v>0</v>
      </c>
      <c r="H3201">
        <v>0</v>
      </c>
      <c r="I3201">
        <v>0</v>
      </c>
      <c r="J3201">
        <v>0</v>
      </c>
      <c r="K3201">
        <v>0</v>
      </c>
    </row>
    <row r="3202" spans="1:11" x14ac:dyDescent="0.2">
      <c r="A3202" t="s">
        <v>1885</v>
      </c>
      <c r="B3202">
        <v>0</v>
      </c>
      <c r="C3202">
        <v>0</v>
      </c>
      <c r="D3202">
        <v>0</v>
      </c>
      <c r="E3202">
        <v>0</v>
      </c>
      <c r="F3202">
        <v>0</v>
      </c>
      <c r="G3202">
        <v>0</v>
      </c>
      <c r="H3202">
        <v>0</v>
      </c>
      <c r="I3202">
        <v>0</v>
      </c>
      <c r="J3202">
        <v>0</v>
      </c>
      <c r="K3202">
        <v>0</v>
      </c>
    </row>
    <row r="3203" spans="1:11" x14ac:dyDescent="0.2">
      <c r="A3203" t="s">
        <v>1887</v>
      </c>
      <c r="B3203">
        <v>0</v>
      </c>
      <c r="C3203">
        <v>0</v>
      </c>
      <c r="D3203">
        <v>0</v>
      </c>
      <c r="E3203">
        <v>0</v>
      </c>
      <c r="F3203">
        <v>0</v>
      </c>
      <c r="G3203">
        <v>0</v>
      </c>
      <c r="H3203">
        <v>0</v>
      </c>
      <c r="I3203">
        <v>0</v>
      </c>
      <c r="J3203">
        <v>0</v>
      </c>
      <c r="K3203">
        <v>0</v>
      </c>
    </row>
    <row r="3204" spans="1:11" x14ac:dyDescent="0.2">
      <c r="A3204" t="s">
        <v>1893</v>
      </c>
      <c r="B3204">
        <v>0</v>
      </c>
      <c r="C3204">
        <v>1</v>
      </c>
      <c r="D3204">
        <v>0</v>
      </c>
      <c r="E3204">
        <v>0</v>
      </c>
      <c r="F3204">
        <v>0</v>
      </c>
      <c r="G3204">
        <v>0</v>
      </c>
      <c r="H3204">
        <v>0</v>
      </c>
      <c r="I3204">
        <v>0</v>
      </c>
      <c r="J3204">
        <v>0</v>
      </c>
      <c r="K3204">
        <v>0</v>
      </c>
    </row>
    <row r="3205" spans="1:11" x14ac:dyDescent="0.2">
      <c r="A3205" t="s">
        <v>1899</v>
      </c>
      <c r="B3205">
        <v>0</v>
      </c>
      <c r="C3205">
        <v>0</v>
      </c>
      <c r="D3205">
        <v>0</v>
      </c>
      <c r="E3205">
        <v>0</v>
      </c>
      <c r="F3205">
        <v>0</v>
      </c>
      <c r="G3205">
        <v>0</v>
      </c>
      <c r="H3205">
        <v>0</v>
      </c>
      <c r="I3205">
        <v>0</v>
      </c>
      <c r="J3205">
        <v>0</v>
      </c>
      <c r="K3205">
        <v>0</v>
      </c>
    </row>
    <row r="3206" spans="1:11" x14ac:dyDescent="0.2">
      <c r="A3206" t="s">
        <v>1906</v>
      </c>
      <c r="B3206">
        <v>0</v>
      </c>
      <c r="C3206">
        <v>0</v>
      </c>
      <c r="D3206">
        <v>0</v>
      </c>
      <c r="E3206">
        <v>0</v>
      </c>
      <c r="F3206">
        <v>0</v>
      </c>
      <c r="G3206">
        <v>0</v>
      </c>
      <c r="H3206">
        <v>0</v>
      </c>
      <c r="I3206">
        <v>0</v>
      </c>
      <c r="J3206">
        <v>0</v>
      </c>
      <c r="K3206">
        <v>0</v>
      </c>
    </row>
    <row r="3207" spans="1:11" x14ac:dyDescent="0.2">
      <c r="A3207" t="s">
        <v>1911</v>
      </c>
      <c r="B3207">
        <v>0</v>
      </c>
      <c r="C3207">
        <v>0</v>
      </c>
      <c r="D3207">
        <v>0</v>
      </c>
      <c r="E3207">
        <v>0</v>
      </c>
      <c r="F3207">
        <v>0</v>
      </c>
      <c r="G3207">
        <v>0</v>
      </c>
      <c r="H3207">
        <v>0</v>
      </c>
      <c r="I3207">
        <v>0</v>
      </c>
      <c r="J3207">
        <v>0</v>
      </c>
      <c r="K3207">
        <v>0</v>
      </c>
    </row>
    <row r="3208" spans="1:11" x14ac:dyDescent="0.2">
      <c r="A3208" t="s">
        <v>1917</v>
      </c>
      <c r="B3208">
        <v>0</v>
      </c>
      <c r="C3208">
        <v>0</v>
      </c>
      <c r="D3208">
        <v>0</v>
      </c>
      <c r="E3208">
        <v>0</v>
      </c>
      <c r="F3208">
        <v>0</v>
      </c>
      <c r="G3208">
        <v>0</v>
      </c>
      <c r="H3208">
        <v>0</v>
      </c>
      <c r="I3208">
        <v>0</v>
      </c>
      <c r="J3208">
        <v>0</v>
      </c>
      <c r="K3208">
        <v>0</v>
      </c>
    </row>
    <row r="3209" spans="1:11" x14ac:dyDescent="0.2">
      <c r="A3209" t="s">
        <v>1922</v>
      </c>
      <c r="B3209">
        <v>0</v>
      </c>
      <c r="C3209">
        <v>0</v>
      </c>
      <c r="D3209">
        <v>0</v>
      </c>
      <c r="E3209">
        <v>0</v>
      </c>
      <c r="F3209">
        <v>0</v>
      </c>
      <c r="G3209">
        <v>0</v>
      </c>
      <c r="H3209">
        <v>0</v>
      </c>
      <c r="I3209">
        <v>0</v>
      </c>
      <c r="J3209">
        <v>0</v>
      </c>
      <c r="K3209">
        <v>0</v>
      </c>
    </row>
    <row r="3210" spans="1:11" x14ac:dyDescent="0.2">
      <c r="A3210" t="s">
        <v>1928</v>
      </c>
      <c r="B3210">
        <v>0</v>
      </c>
      <c r="C3210">
        <v>0</v>
      </c>
      <c r="D3210">
        <v>0</v>
      </c>
      <c r="E3210">
        <v>0</v>
      </c>
      <c r="F3210">
        <v>0</v>
      </c>
      <c r="G3210">
        <v>0</v>
      </c>
      <c r="H3210">
        <v>0</v>
      </c>
      <c r="I3210">
        <v>0</v>
      </c>
      <c r="J3210">
        <v>0</v>
      </c>
      <c r="K3210">
        <v>0</v>
      </c>
    </row>
    <row r="3211" spans="1:11" x14ac:dyDescent="0.2">
      <c r="A3211" t="s">
        <v>1932</v>
      </c>
      <c r="B3211">
        <v>0</v>
      </c>
      <c r="C3211">
        <v>0</v>
      </c>
      <c r="D3211">
        <v>0</v>
      </c>
      <c r="E3211">
        <v>0</v>
      </c>
      <c r="F3211">
        <v>0</v>
      </c>
      <c r="G3211">
        <v>0</v>
      </c>
      <c r="H3211">
        <v>0</v>
      </c>
      <c r="I3211">
        <v>0</v>
      </c>
      <c r="J3211">
        <v>0</v>
      </c>
      <c r="K3211">
        <v>0</v>
      </c>
    </row>
    <row r="3212" spans="1:11" x14ac:dyDescent="0.2">
      <c r="A3212" t="s">
        <v>1938</v>
      </c>
      <c r="B3212">
        <v>0</v>
      </c>
      <c r="C3212">
        <v>0</v>
      </c>
      <c r="D3212">
        <v>0</v>
      </c>
      <c r="E3212">
        <v>0</v>
      </c>
      <c r="F3212">
        <v>0</v>
      </c>
      <c r="G3212">
        <v>0</v>
      </c>
      <c r="H3212">
        <v>0</v>
      </c>
      <c r="I3212">
        <v>0</v>
      </c>
      <c r="J3212">
        <v>0</v>
      </c>
      <c r="K3212">
        <v>0</v>
      </c>
    </row>
    <row r="3213" spans="1:11" x14ac:dyDescent="0.2">
      <c r="A3213" t="s">
        <v>1944</v>
      </c>
      <c r="B3213">
        <v>0</v>
      </c>
      <c r="C3213">
        <v>0</v>
      </c>
      <c r="D3213">
        <v>0</v>
      </c>
      <c r="E3213">
        <v>0</v>
      </c>
      <c r="F3213">
        <v>0</v>
      </c>
      <c r="G3213">
        <v>0</v>
      </c>
      <c r="H3213">
        <v>0</v>
      </c>
      <c r="I3213">
        <v>0</v>
      </c>
      <c r="J3213">
        <v>0</v>
      </c>
      <c r="K3213">
        <v>0</v>
      </c>
    </row>
    <row r="3214" spans="1:11" x14ac:dyDescent="0.2">
      <c r="A3214" t="s">
        <v>1947</v>
      </c>
      <c r="B3214">
        <v>0</v>
      </c>
      <c r="C3214">
        <v>0</v>
      </c>
      <c r="D3214">
        <v>0</v>
      </c>
      <c r="E3214">
        <v>0</v>
      </c>
      <c r="F3214">
        <v>0</v>
      </c>
      <c r="G3214">
        <v>0</v>
      </c>
      <c r="H3214">
        <v>0</v>
      </c>
      <c r="I3214">
        <v>0</v>
      </c>
      <c r="J3214">
        <v>0</v>
      </c>
      <c r="K3214">
        <v>0</v>
      </c>
    </row>
    <row r="3215" spans="1:11" x14ac:dyDescent="0.2">
      <c r="A3215" t="s">
        <v>1953</v>
      </c>
      <c r="B3215">
        <v>0</v>
      </c>
      <c r="C3215">
        <v>0</v>
      </c>
      <c r="D3215">
        <v>0</v>
      </c>
      <c r="E3215">
        <v>0</v>
      </c>
      <c r="F3215">
        <v>0</v>
      </c>
      <c r="G3215">
        <v>0</v>
      </c>
      <c r="H3215">
        <v>0</v>
      </c>
      <c r="I3215">
        <v>0</v>
      </c>
      <c r="J3215">
        <v>0</v>
      </c>
      <c r="K3215">
        <v>0</v>
      </c>
    </row>
    <row r="3216" spans="1:11" x14ac:dyDescent="0.2">
      <c r="A3216" t="s">
        <v>1958</v>
      </c>
      <c r="B3216">
        <v>0</v>
      </c>
      <c r="C3216">
        <v>0</v>
      </c>
      <c r="D3216">
        <v>0</v>
      </c>
      <c r="E3216">
        <v>0</v>
      </c>
      <c r="F3216">
        <v>0</v>
      </c>
      <c r="G3216">
        <v>0</v>
      </c>
      <c r="H3216">
        <v>0</v>
      </c>
      <c r="I3216">
        <v>0</v>
      </c>
      <c r="J3216">
        <v>0</v>
      </c>
      <c r="K3216">
        <v>0</v>
      </c>
    </row>
    <row r="3217" spans="1:11" x14ac:dyDescent="0.2">
      <c r="A3217" t="s">
        <v>1964</v>
      </c>
      <c r="B3217">
        <v>0</v>
      </c>
      <c r="C3217">
        <v>0</v>
      </c>
      <c r="D3217">
        <v>0</v>
      </c>
      <c r="E3217">
        <v>0</v>
      </c>
      <c r="F3217">
        <v>0</v>
      </c>
      <c r="G3217">
        <v>0</v>
      </c>
      <c r="H3217">
        <v>0</v>
      </c>
      <c r="I3217">
        <v>0</v>
      </c>
      <c r="J3217">
        <v>0</v>
      </c>
      <c r="K3217">
        <v>0</v>
      </c>
    </row>
    <row r="3218" spans="1:11" x14ac:dyDescent="0.2">
      <c r="A3218" t="s">
        <v>1973</v>
      </c>
      <c r="B3218">
        <v>0</v>
      </c>
      <c r="C3218">
        <v>0</v>
      </c>
      <c r="D3218">
        <v>0</v>
      </c>
      <c r="E3218">
        <v>0</v>
      </c>
      <c r="F3218">
        <v>0</v>
      </c>
      <c r="G3218">
        <v>0</v>
      </c>
      <c r="H3218">
        <v>0</v>
      </c>
      <c r="I3218">
        <v>0</v>
      </c>
      <c r="J3218">
        <v>0</v>
      </c>
      <c r="K3218">
        <v>0</v>
      </c>
    </row>
    <row r="3219" spans="1:11" x14ac:dyDescent="0.2">
      <c r="A3219" t="s">
        <v>1978</v>
      </c>
      <c r="B3219">
        <v>0</v>
      </c>
      <c r="C3219">
        <v>0</v>
      </c>
      <c r="D3219">
        <v>0</v>
      </c>
      <c r="E3219">
        <v>0</v>
      </c>
      <c r="F3219">
        <v>0</v>
      </c>
      <c r="G3219">
        <v>0</v>
      </c>
      <c r="H3219">
        <v>0</v>
      </c>
      <c r="I3219">
        <v>0</v>
      </c>
      <c r="J3219">
        <v>0</v>
      </c>
      <c r="K3219">
        <v>0</v>
      </c>
    </row>
    <row r="3220" spans="1:11" x14ac:dyDescent="0.2">
      <c r="A3220" t="s">
        <v>1983</v>
      </c>
      <c r="B3220">
        <v>0</v>
      </c>
      <c r="C3220">
        <v>0</v>
      </c>
      <c r="D3220">
        <v>0</v>
      </c>
      <c r="E3220">
        <v>0</v>
      </c>
      <c r="F3220">
        <v>0</v>
      </c>
      <c r="G3220">
        <v>0</v>
      </c>
      <c r="H3220">
        <v>0</v>
      </c>
      <c r="I3220">
        <v>0</v>
      </c>
      <c r="J3220">
        <v>0</v>
      </c>
      <c r="K3220">
        <v>0</v>
      </c>
    </row>
    <row r="3221" spans="1:11" x14ac:dyDescent="0.2">
      <c r="A3221" t="s">
        <v>1984</v>
      </c>
      <c r="B3221">
        <v>0</v>
      </c>
      <c r="C3221">
        <v>0</v>
      </c>
      <c r="D3221">
        <v>0</v>
      </c>
      <c r="E3221">
        <v>0</v>
      </c>
      <c r="F3221">
        <v>0</v>
      </c>
      <c r="G3221">
        <v>0</v>
      </c>
      <c r="H3221">
        <v>0</v>
      </c>
      <c r="I3221">
        <v>0</v>
      </c>
      <c r="J3221">
        <v>0</v>
      </c>
      <c r="K3221">
        <v>0</v>
      </c>
    </row>
    <row r="3222" spans="1:11" x14ac:dyDescent="0.2">
      <c r="A3222" t="s">
        <v>1990</v>
      </c>
      <c r="B3222">
        <v>0</v>
      </c>
      <c r="C3222">
        <v>0</v>
      </c>
      <c r="D3222">
        <v>0</v>
      </c>
      <c r="E3222">
        <v>0</v>
      </c>
      <c r="F3222">
        <v>0</v>
      </c>
      <c r="G3222">
        <v>0</v>
      </c>
      <c r="H3222">
        <v>0</v>
      </c>
      <c r="I3222">
        <v>0</v>
      </c>
      <c r="J3222">
        <v>0</v>
      </c>
      <c r="K3222">
        <v>0</v>
      </c>
    </row>
    <row r="3223" spans="1:11" x14ac:dyDescent="0.2">
      <c r="A3223" t="s">
        <v>1996</v>
      </c>
      <c r="B3223">
        <v>0</v>
      </c>
      <c r="C3223">
        <v>0</v>
      </c>
      <c r="D3223">
        <v>0</v>
      </c>
      <c r="E3223">
        <v>0</v>
      </c>
      <c r="F3223">
        <v>0</v>
      </c>
      <c r="G3223">
        <v>0</v>
      </c>
      <c r="H3223">
        <v>0</v>
      </c>
      <c r="I3223">
        <v>0</v>
      </c>
      <c r="J3223">
        <v>0</v>
      </c>
      <c r="K3223">
        <v>0</v>
      </c>
    </row>
    <row r="3224" spans="1:11" x14ac:dyDescent="0.2">
      <c r="A3224" t="s">
        <v>1998</v>
      </c>
      <c r="B3224">
        <v>0</v>
      </c>
      <c r="C3224">
        <v>0</v>
      </c>
      <c r="D3224">
        <v>0</v>
      </c>
      <c r="E3224">
        <v>0</v>
      </c>
      <c r="F3224">
        <v>0</v>
      </c>
      <c r="G3224">
        <v>0</v>
      </c>
      <c r="H3224">
        <v>0</v>
      </c>
      <c r="I3224">
        <v>0</v>
      </c>
      <c r="J3224">
        <v>0</v>
      </c>
      <c r="K3224">
        <v>0</v>
      </c>
    </row>
    <row r="3225" spans="1:11" x14ac:dyDescent="0.2">
      <c r="A3225" t="s">
        <v>1999</v>
      </c>
      <c r="B3225">
        <v>0</v>
      </c>
      <c r="C3225">
        <v>0</v>
      </c>
      <c r="D3225">
        <v>0</v>
      </c>
      <c r="E3225">
        <v>0</v>
      </c>
      <c r="F3225">
        <v>0</v>
      </c>
      <c r="G3225">
        <v>0</v>
      </c>
      <c r="H3225">
        <v>0</v>
      </c>
      <c r="I3225">
        <v>0</v>
      </c>
      <c r="J3225">
        <v>0</v>
      </c>
      <c r="K3225">
        <v>0</v>
      </c>
    </row>
    <row r="3226" spans="1:11" x14ac:dyDescent="0.2">
      <c r="A3226" t="s">
        <v>2004</v>
      </c>
      <c r="B3226">
        <v>0</v>
      </c>
      <c r="C3226">
        <v>0</v>
      </c>
      <c r="D3226">
        <v>0</v>
      </c>
      <c r="E3226">
        <v>0</v>
      </c>
      <c r="F3226">
        <v>0</v>
      </c>
      <c r="G3226">
        <v>0</v>
      </c>
      <c r="H3226">
        <v>0</v>
      </c>
      <c r="I3226">
        <v>0</v>
      </c>
      <c r="J3226">
        <v>0</v>
      </c>
      <c r="K3226">
        <v>0</v>
      </c>
    </row>
    <row r="3227" spans="1:11" x14ac:dyDescent="0.2">
      <c r="A3227" t="s">
        <v>2009</v>
      </c>
      <c r="B3227">
        <v>0</v>
      </c>
      <c r="C3227">
        <v>0</v>
      </c>
      <c r="D3227">
        <v>0</v>
      </c>
      <c r="E3227">
        <v>0</v>
      </c>
      <c r="F3227">
        <v>0</v>
      </c>
      <c r="G3227">
        <v>0</v>
      </c>
      <c r="H3227">
        <v>0</v>
      </c>
      <c r="I3227">
        <v>0</v>
      </c>
      <c r="J3227">
        <v>0</v>
      </c>
      <c r="K3227">
        <v>0</v>
      </c>
    </row>
    <row r="3228" spans="1:11" x14ac:dyDescent="0.2">
      <c r="A3228" t="s">
        <v>2014</v>
      </c>
      <c r="B3228">
        <v>0</v>
      </c>
      <c r="C3228">
        <v>0</v>
      </c>
      <c r="D3228">
        <v>0</v>
      </c>
      <c r="E3228">
        <v>0</v>
      </c>
      <c r="F3228">
        <v>0</v>
      </c>
      <c r="G3228">
        <v>0</v>
      </c>
      <c r="H3228">
        <v>0</v>
      </c>
      <c r="I3228">
        <v>0</v>
      </c>
      <c r="J3228">
        <v>0</v>
      </c>
      <c r="K3228">
        <v>0</v>
      </c>
    </row>
    <row r="3229" spans="1:11" x14ac:dyDescent="0.2">
      <c r="A3229" t="s">
        <v>2019</v>
      </c>
      <c r="B3229">
        <v>0</v>
      </c>
      <c r="C3229">
        <v>0</v>
      </c>
      <c r="D3229">
        <v>0</v>
      </c>
      <c r="E3229">
        <v>0</v>
      </c>
      <c r="F3229">
        <v>0</v>
      </c>
      <c r="G3229">
        <v>0</v>
      </c>
      <c r="H3229">
        <v>0</v>
      </c>
      <c r="I3229">
        <v>0</v>
      </c>
      <c r="J3229">
        <v>0</v>
      </c>
      <c r="K3229">
        <v>0</v>
      </c>
    </row>
    <row r="3230" spans="1:11" x14ac:dyDescent="0.2">
      <c r="A3230" t="s">
        <v>2023</v>
      </c>
      <c r="B3230">
        <v>0</v>
      </c>
      <c r="C3230">
        <v>0</v>
      </c>
      <c r="D3230">
        <v>0</v>
      </c>
      <c r="E3230">
        <v>0</v>
      </c>
      <c r="F3230">
        <v>0</v>
      </c>
      <c r="G3230">
        <v>0</v>
      </c>
      <c r="H3230">
        <v>0</v>
      </c>
      <c r="I3230">
        <v>0</v>
      </c>
      <c r="J3230">
        <v>0</v>
      </c>
      <c r="K3230">
        <v>0</v>
      </c>
    </row>
    <row r="3231" spans="1:11" x14ac:dyDescent="0.2">
      <c r="A3231" t="s">
        <v>2026</v>
      </c>
      <c r="B3231">
        <v>0</v>
      </c>
      <c r="C3231">
        <v>0</v>
      </c>
      <c r="D3231">
        <v>0</v>
      </c>
      <c r="E3231">
        <v>0</v>
      </c>
      <c r="F3231">
        <v>0</v>
      </c>
      <c r="G3231">
        <v>0</v>
      </c>
      <c r="H3231">
        <v>0</v>
      </c>
      <c r="I3231">
        <v>0</v>
      </c>
      <c r="J3231">
        <v>0</v>
      </c>
      <c r="K3231">
        <v>0</v>
      </c>
    </row>
    <row r="3232" spans="1:11" x14ac:dyDescent="0.2">
      <c r="A3232" t="s">
        <v>2030</v>
      </c>
      <c r="B3232">
        <v>0</v>
      </c>
      <c r="C3232">
        <v>0</v>
      </c>
      <c r="D3232">
        <v>0</v>
      </c>
      <c r="E3232">
        <v>0</v>
      </c>
      <c r="F3232">
        <v>0</v>
      </c>
      <c r="G3232">
        <v>0</v>
      </c>
      <c r="H3232">
        <v>0</v>
      </c>
      <c r="I3232">
        <v>0</v>
      </c>
      <c r="J3232">
        <v>0</v>
      </c>
      <c r="K3232">
        <v>0</v>
      </c>
    </row>
    <row r="3233" spans="1:11" x14ac:dyDescent="0.2">
      <c r="A3233" t="s">
        <v>2035</v>
      </c>
      <c r="B3233">
        <v>0</v>
      </c>
      <c r="C3233">
        <v>0</v>
      </c>
      <c r="D3233">
        <v>0</v>
      </c>
      <c r="E3233">
        <v>0</v>
      </c>
      <c r="F3233">
        <v>0</v>
      </c>
      <c r="G3233">
        <v>0</v>
      </c>
      <c r="H3233">
        <v>0</v>
      </c>
      <c r="I3233">
        <v>0</v>
      </c>
      <c r="J3233">
        <v>0</v>
      </c>
      <c r="K3233">
        <v>0</v>
      </c>
    </row>
    <row r="3234" spans="1:11" x14ac:dyDescent="0.2">
      <c r="A3234" t="s">
        <v>2040</v>
      </c>
      <c r="B3234">
        <v>0</v>
      </c>
      <c r="C3234">
        <v>0</v>
      </c>
      <c r="D3234">
        <v>0</v>
      </c>
      <c r="E3234">
        <v>0</v>
      </c>
      <c r="F3234">
        <v>0</v>
      </c>
      <c r="G3234">
        <v>0</v>
      </c>
      <c r="H3234">
        <v>0</v>
      </c>
      <c r="I3234">
        <v>0</v>
      </c>
      <c r="J3234">
        <v>0</v>
      </c>
      <c r="K3234">
        <v>0</v>
      </c>
    </row>
    <row r="3235" spans="1:11" x14ac:dyDescent="0.2">
      <c r="A3235" t="s">
        <v>2045</v>
      </c>
      <c r="B3235">
        <v>0</v>
      </c>
      <c r="C3235">
        <v>0</v>
      </c>
      <c r="D3235">
        <v>0</v>
      </c>
      <c r="E3235">
        <v>0</v>
      </c>
      <c r="F3235">
        <v>0</v>
      </c>
      <c r="G3235">
        <v>0</v>
      </c>
      <c r="H3235">
        <v>0</v>
      </c>
      <c r="I3235">
        <v>0</v>
      </c>
      <c r="J3235">
        <v>0</v>
      </c>
      <c r="K3235">
        <v>0</v>
      </c>
    </row>
    <row r="3236" spans="1:11" x14ac:dyDescent="0.2">
      <c r="A3236" t="s">
        <v>2049</v>
      </c>
      <c r="B3236">
        <v>0</v>
      </c>
      <c r="C3236">
        <v>0</v>
      </c>
      <c r="D3236">
        <v>0</v>
      </c>
      <c r="E3236">
        <v>0</v>
      </c>
      <c r="F3236">
        <v>0</v>
      </c>
      <c r="G3236">
        <v>0</v>
      </c>
      <c r="H3236">
        <v>0</v>
      </c>
      <c r="I3236">
        <v>0</v>
      </c>
      <c r="J3236">
        <v>0</v>
      </c>
      <c r="K3236">
        <v>0</v>
      </c>
    </row>
    <row r="3237" spans="1:11" x14ac:dyDescent="0.2">
      <c r="A3237" t="s">
        <v>2051</v>
      </c>
      <c r="B3237">
        <v>0</v>
      </c>
      <c r="C3237">
        <v>0</v>
      </c>
      <c r="D3237">
        <v>0</v>
      </c>
      <c r="E3237">
        <v>0</v>
      </c>
      <c r="F3237">
        <v>0</v>
      </c>
      <c r="G3237">
        <v>0</v>
      </c>
      <c r="H3237">
        <v>0</v>
      </c>
      <c r="I3237">
        <v>0</v>
      </c>
      <c r="J3237">
        <v>0</v>
      </c>
      <c r="K3237">
        <v>0</v>
      </c>
    </row>
    <row r="3238" spans="1:11" x14ac:dyDescent="0.2">
      <c r="A3238" t="s">
        <v>2057</v>
      </c>
      <c r="B3238">
        <v>0</v>
      </c>
      <c r="C3238">
        <v>0</v>
      </c>
      <c r="D3238">
        <v>0</v>
      </c>
      <c r="E3238">
        <v>0</v>
      </c>
      <c r="F3238">
        <v>0</v>
      </c>
      <c r="G3238">
        <v>0</v>
      </c>
      <c r="H3238">
        <v>0</v>
      </c>
      <c r="I3238">
        <v>0</v>
      </c>
      <c r="J3238">
        <v>0</v>
      </c>
      <c r="K3238">
        <v>0</v>
      </c>
    </row>
    <row r="3239" spans="1:11" x14ac:dyDescent="0.2">
      <c r="A3239" t="s">
        <v>4344</v>
      </c>
      <c r="B3239">
        <v>0</v>
      </c>
      <c r="C3239">
        <v>0</v>
      </c>
      <c r="D3239">
        <v>0</v>
      </c>
      <c r="E3239">
        <v>0</v>
      </c>
      <c r="F3239">
        <v>0</v>
      </c>
      <c r="G3239">
        <v>0</v>
      </c>
      <c r="H3239">
        <v>0</v>
      </c>
      <c r="I3239">
        <v>0</v>
      </c>
      <c r="J3239">
        <v>0</v>
      </c>
      <c r="K3239">
        <v>0</v>
      </c>
    </row>
    <row r="3240" spans="1:11" x14ac:dyDescent="0.2">
      <c r="A3240" t="s">
        <v>4345</v>
      </c>
      <c r="B3240">
        <v>0</v>
      </c>
      <c r="C3240">
        <v>0</v>
      </c>
      <c r="D3240">
        <v>0</v>
      </c>
      <c r="E3240">
        <v>0</v>
      </c>
      <c r="F3240">
        <v>0</v>
      </c>
      <c r="G3240">
        <v>0</v>
      </c>
      <c r="H3240">
        <v>0</v>
      </c>
      <c r="I3240">
        <v>0</v>
      </c>
      <c r="J3240">
        <v>0</v>
      </c>
      <c r="K3240">
        <v>0</v>
      </c>
    </row>
    <row r="3241" spans="1:11" x14ac:dyDescent="0.2">
      <c r="A3241" t="s">
        <v>2074</v>
      </c>
      <c r="B3241">
        <v>0</v>
      </c>
      <c r="C3241">
        <v>0</v>
      </c>
      <c r="D3241">
        <v>0</v>
      </c>
      <c r="E3241">
        <v>0</v>
      </c>
      <c r="F3241">
        <v>0</v>
      </c>
      <c r="G3241">
        <v>0</v>
      </c>
      <c r="H3241">
        <v>0</v>
      </c>
      <c r="I3241">
        <v>0</v>
      </c>
      <c r="J3241">
        <v>0</v>
      </c>
      <c r="K3241">
        <v>0</v>
      </c>
    </row>
    <row r="3242" spans="1:11" x14ac:dyDescent="0.2">
      <c r="A3242" t="s">
        <v>2079</v>
      </c>
      <c r="B3242">
        <v>0</v>
      </c>
      <c r="C3242">
        <v>0</v>
      </c>
      <c r="D3242">
        <v>0</v>
      </c>
      <c r="E3242">
        <v>0</v>
      </c>
      <c r="F3242">
        <v>0</v>
      </c>
      <c r="G3242">
        <v>0</v>
      </c>
      <c r="H3242">
        <v>0</v>
      </c>
      <c r="I3242">
        <v>0</v>
      </c>
      <c r="J3242">
        <v>0</v>
      </c>
      <c r="K3242">
        <v>0</v>
      </c>
    </row>
    <row r="3243" spans="1:11" x14ac:dyDescent="0.2">
      <c r="A3243" t="s">
        <v>2085</v>
      </c>
      <c r="B3243">
        <v>0</v>
      </c>
      <c r="C3243">
        <v>0</v>
      </c>
      <c r="D3243">
        <v>0</v>
      </c>
      <c r="E3243">
        <v>0</v>
      </c>
      <c r="F3243">
        <v>0</v>
      </c>
      <c r="G3243">
        <v>0</v>
      </c>
      <c r="H3243">
        <v>0</v>
      </c>
      <c r="I3243">
        <v>0</v>
      </c>
      <c r="J3243">
        <v>0</v>
      </c>
      <c r="K3243">
        <v>0</v>
      </c>
    </row>
    <row r="3244" spans="1:11" x14ac:dyDescent="0.2">
      <c r="A3244" t="s">
        <v>2091</v>
      </c>
      <c r="B3244">
        <v>0</v>
      </c>
      <c r="C3244">
        <v>0</v>
      </c>
      <c r="D3244">
        <v>0</v>
      </c>
      <c r="E3244">
        <v>0</v>
      </c>
      <c r="F3244">
        <v>0</v>
      </c>
      <c r="G3244">
        <v>0</v>
      </c>
      <c r="H3244">
        <v>0</v>
      </c>
      <c r="I3244">
        <v>0</v>
      </c>
      <c r="J3244">
        <v>0</v>
      </c>
      <c r="K3244">
        <v>0</v>
      </c>
    </row>
    <row r="3245" spans="1:11" x14ac:dyDescent="0.2">
      <c r="A3245" t="s">
        <v>2097</v>
      </c>
      <c r="B3245">
        <v>0</v>
      </c>
      <c r="C3245">
        <v>0</v>
      </c>
      <c r="D3245">
        <v>0</v>
      </c>
      <c r="E3245">
        <v>0</v>
      </c>
      <c r="F3245">
        <v>0</v>
      </c>
      <c r="G3245">
        <v>0</v>
      </c>
      <c r="H3245">
        <v>0</v>
      </c>
      <c r="I3245">
        <v>0</v>
      </c>
      <c r="J3245">
        <v>0</v>
      </c>
      <c r="K3245">
        <v>0</v>
      </c>
    </row>
    <row r="3246" spans="1:11" x14ac:dyDescent="0.2">
      <c r="A3246" t="s">
        <v>2101</v>
      </c>
      <c r="B3246">
        <v>0</v>
      </c>
      <c r="C3246">
        <v>0</v>
      </c>
      <c r="D3246">
        <v>0</v>
      </c>
      <c r="E3246">
        <v>0</v>
      </c>
      <c r="F3246">
        <v>0</v>
      </c>
      <c r="G3246">
        <v>0</v>
      </c>
      <c r="H3246">
        <v>0</v>
      </c>
      <c r="I3246">
        <v>0</v>
      </c>
      <c r="J3246">
        <v>0</v>
      </c>
      <c r="K3246">
        <v>0</v>
      </c>
    </row>
    <row r="3247" spans="1:11" x14ac:dyDescent="0.2">
      <c r="A3247" t="s">
        <v>2104</v>
      </c>
      <c r="B3247">
        <v>0</v>
      </c>
      <c r="C3247">
        <v>0</v>
      </c>
      <c r="D3247">
        <v>0</v>
      </c>
      <c r="E3247">
        <v>0</v>
      </c>
      <c r="F3247">
        <v>0</v>
      </c>
      <c r="G3247">
        <v>0</v>
      </c>
      <c r="H3247">
        <v>0</v>
      </c>
      <c r="I3247">
        <v>0</v>
      </c>
      <c r="J3247">
        <v>0</v>
      </c>
      <c r="K3247">
        <v>0</v>
      </c>
    </row>
    <row r="3248" spans="1:11" x14ac:dyDescent="0.2">
      <c r="A3248" t="s">
        <v>2107</v>
      </c>
      <c r="B3248">
        <v>0</v>
      </c>
      <c r="C3248">
        <v>0</v>
      </c>
      <c r="D3248">
        <v>0</v>
      </c>
      <c r="E3248">
        <v>0</v>
      </c>
      <c r="F3248">
        <v>0</v>
      </c>
      <c r="G3248">
        <v>0</v>
      </c>
      <c r="H3248">
        <v>0</v>
      </c>
      <c r="I3248">
        <v>0</v>
      </c>
      <c r="J3248">
        <v>0</v>
      </c>
      <c r="K3248">
        <v>0</v>
      </c>
    </row>
    <row r="3249" spans="1:11" x14ac:dyDescent="0.2">
      <c r="A3249" t="s">
        <v>2110</v>
      </c>
      <c r="B3249">
        <v>0</v>
      </c>
      <c r="C3249">
        <v>0</v>
      </c>
      <c r="D3249">
        <v>0</v>
      </c>
      <c r="E3249">
        <v>0</v>
      </c>
      <c r="F3249">
        <v>0</v>
      </c>
      <c r="G3249">
        <v>0</v>
      </c>
      <c r="H3249">
        <v>0</v>
      </c>
      <c r="I3249">
        <v>0</v>
      </c>
      <c r="J3249">
        <v>0</v>
      </c>
      <c r="K3249">
        <v>0</v>
      </c>
    </row>
    <row r="3250" spans="1:11" x14ac:dyDescent="0.2">
      <c r="A3250" t="s">
        <v>2113</v>
      </c>
      <c r="B3250">
        <v>0</v>
      </c>
      <c r="C3250">
        <v>0</v>
      </c>
      <c r="D3250">
        <v>0</v>
      </c>
      <c r="E3250">
        <v>0</v>
      </c>
      <c r="F3250">
        <v>0</v>
      </c>
      <c r="G3250">
        <v>0</v>
      </c>
      <c r="H3250">
        <v>0</v>
      </c>
      <c r="I3250">
        <v>0</v>
      </c>
      <c r="J3250">
        <v>0</v>
      </c>
      <c r="K3250">
        <v>0</v>
      </c>
    </row>
    <row r="3251" spans="1:11" x14ac:dyDescent="0.2">
      <c r="A3251" t="s">
        <v>4346</v>
      </c>
      <c r="B3251">
        <v>0</v>
      </c>
      <c r="C3251">
        <v>0</v>
      </c>
      <c r="D3251">
        <v>0</v>
      </c>
      <c r="E3251">
        <v>0</v>
      </c>
      <c r="F3251">
        <v>0</v>
      </c>
      <c r="G3251">
        <v>0</v>
      </c>
      <c r="H3251">
        <v>0</v>
      </c>
      <c r="I3251">
        <v>0</v>
      </c>
      <c r="J3251">
        <v>0</v>
      </c>
      <c r="K3251">
        <v>0</v>
      </c>
    </row>
    <row r="3252" spans="1:11" x14ac:dyDescent="0.2">
      <c r="A3252" t="s">
        <v>4347</v>
      </c>
      <c r="B3252">
        <v>0</v>
      </c>
      <c r="C3252">
        <v>0</v>
      </c>
      <c r="D3252">
        <v>0</v>
      </c>
      <c r="E3252">
        <v>0</v>
      </c>
      <c r="F3252">
        <v>0</v>
      </c>
      <c r="G3252">
        <v>0</v>
      </c>
      <c r="H3252">
        <v>0</v>
      </c>
      <c r="I3252">
        <v>0</v>
      </c>
      <c r="J3252">
        <v>0</v>
      </c>
      <c r="K3252">
        <v>0</v>
      </c>
    </row>
    <row r="3253" spans="1:11" x14ac:dyDescent="0.2">
      <c r="A3253" t="s">
        <v>4348</v>
      </c>
      <c r="B3253">
        <v>0</v>
      </c>
      <c r="C3253">
        <v>0</v>
      </c>
      <c r="D3253">
        <v>0</v>
      </c>
      <c r="E3253">
        <v>0</v>
      </c>
      <c r="F3253">
        <v>0</v>
      </c>
      <c r="G3253">
        <v>0</v>
      </c>
      <c r="H3253">
        <v>0</v>
      </c>
      <c r="I3253">
        <v>0</v>
      </c>
      <c r="J3253">
        <v>0</v>
      </c>
      <c r="K3253">
        <v>0</v>
      </c>
    </row>
    <row r="3254" spans="1:11" x14ac:dyDescent="0.2">
      <c r="A3254" t="s">
        <v>4349</v>
      </c>
      <c r="B3254">
        <v>0</v>
      </c>
      <c r="C3254">
        <v>0</v>
      </c>
      <c r="D3254">
        <v>0</v>
      </c>
      <c r="E3254">
        <v>0</v>
      </c>
      <c r="F3254">
        <v>0</v>
      </c>
      <c r="G3254">
        <v>0</v>
      </c>
      <c r="H3254">
        <v>0</v>
      </c>
      <c r="I3254">
        <v>0</v>
      </c>
      <c r="J3254">
        <v>0</v>
      </c>
      <c r="K3254">
        <v>0</v>
      </c>
    </row>
    <row r="3255" spans="1:11" x14ac:dyDescent="0.2">
      <c r="A3255" t="s">
        <v>4350</v>
      </c>
      <c r="B3255">
        <v>9</v>
      </c>
      <c r="C3255">
        <v>147</v>
      </c>
      <c r="D3255">
        <v>17</v>
      </c>
      <c r="E3255">
        <v>0</v>
      </c>
      <c r="F3255">
        <v>1</v>
      </c>
      <c r="G3255">
        <v>110</v>
      </c>
      <c r="H3255">
        <v>18</v>
      </c>
      <c r="I3255">
        <v>0</v>
      </c>
      <c r="J3255">
        <v>0</v>
      </c>
      <c r="K3255">
        <v>7</v>
      </c>
    </row>
    <row r="3256" spans="1:11" x14ac:dyDescent="0.2">
      <c r="A3256" t="s">
        <v>4351</v>
      </c>
      <c r="B3256">
        <v>0</v>
      </c>
      <c r="C3256">
        <v>0</v>
      </c>
      <c r="D3256">
        <v>0</v>
      </c>
      <c r="E3256">
        <v>0</v>
      </c>
      <c r="F3256">
        <v>0</v>
      </c>
      <c r="G3256">
        <v>0</v>
      </c>
      <c r="H3256">
        <v>0</v>
      </c>
      <c r="I3256">
        <v>0</v>
      </c>
      <c r="J3256">
        <v>0</v>
      </c>
      <c r="K3256">
        <v>0</v>
      </c>
    </row>
    <row r="3257" spans="1:11" x14ac:dyDescent="0.2">
      <c r="A3257" t="s">
        <v>4352</v>
      </c>
      <c r="B3257">
        <v>0</v>
      </c>
      <c r="C3257">
        <v>0</v>
      </c>
      <c r="D3257">
        <v>0</v>
      </c>
      <c r="E3257">
        <v>0</v>
      </c>
      <c r="F3257">
        <v>0</v>
      </c>
      <c r="G3257">
        <v>0</v>
      </c>
      <c r="H3257">
        <v>0</v>
      </c>
      <c r="I3257">
        <v>0</v>
      </c>
      <c r="J3257">
        <v>0</v>
      </c>
      <c r="K3257">
        <v>0</v>
      </c>
    </row>
    <row r="3258" spans="1:11" x14ac:dyDescent="0.2">
      <c r="A3258" t="s">
        <v>4353</v>
      </c>
      <c r="B3258">
        <v>6</v>
      </c>
      <c r="C3258">
        <v>111</v>
      </c>
      <c r="D3258">
        <v>13</v>
      </c>
      <c r="E3258">
        <v>0</v>
      </c>
      <c r="F3258">
        <v>1</v>
      </c>
      <c r="G3258">
        <v>83</v>
      </c>
      <c r="H3258">
        <v>14</v>
      </c>
      <c r="I3258">
        <v>0</v>
      </c>
      <c r="J3258">
        <v>0</v>
      </c>
      <c r="K3258">
        <v>5</v>
      </c>
    </row>
    <row r="3259" spans="1:11" x14ac:dyDescent="0.2">
      <c r="A3259" t="s">
        <v>4354</v>
      </c>
      <c r="B3259">
        <v>3</v>
      </c>
      <c r="C3259">
        <v>50</v>
      </c>
      <c r="D3259">
        <v>6</v>
      </c>
      <c r="E3259">
        <v>0</v>
      </c>
      <c r="F3259">
        <v>0</v>
      </c>
      <c r="G3259">
        <v>37</v>
      </c>
      <c r="H3259">
        <v>6</v>
      </c>
      <c r="I3259">
        <v>0</v>
      </c>
      <c r="J3259">
        <v>0</v>
      </c>
      <c r="K3259">
        <v>2</v>
      </c>
    </row>
    <row r="3260" spans="1:11" x14ac:dyDescent="0.2">
      <c r="A3260" t="s">
        <v>4355</v>
      </c>
      <c r="B3260">
        <v>0</v>
      </c>
      <c r="C3260">
        <v>0</v>
      </c>
      <c r="D3260">
        <v>0</v>
      </c>
      <c r="E3260">
        <v>0</v>
      </c>
      <c r="F3260">
        <v>0</v>
      </c>
      <c r="G3260">
        <v>0</v>
      </c>
      <c r="H3260">
        <v>0</v>
      </c>
      <c r="I3260">
        <v>0</v>
      </c>
      <c r="J3260">
        <v>0</v>
      </c>
      <c r="K3260">
        <v>0</v>
      </c>
    </row>
    <row r="3261" spans="1:11" x14ac:dyDescent="0.2">
      <c r="A3261" t="s">
        <v>4356</v>
      </c>
      <c r="B3261">
        <v>0</v>
      </c>
      <c r="C3261">
        <v>0</v>
      </c>
      <c r="D3261">
        <v>0</v>
      </c>
      <c r="E3261">
        <v>0</v>
      </c>
      <c r="F3261">
        <v>0</v>
      </c>
      <c r="G3261">
        <v>0</v>
      </c>
      <c r="H3261">
        <v>0</v>
      </c>
      <c r="I3261">
        <v>0</v>
      </c>
      <c r="J3261">
        <v>0</v>
      </c>
      <c r="K3261">
        <v>0</v>
      </c>
    </row>
    <row r="3262" spans="1:11" x14ac:dyDescent="0.2">
      <c r="A3262" t="s">
        <v>4357</v>
      </c>
      <c r="B3262">
        <v>1</v>
      </c>
      <c r="C3262">
        <v>10</v>
      </c>
      <c r="D3262">
        <v>1</v>
      </c>
      <c r="E3262">
        <v>0</v>
      </c>
      <c r="F3262">
        <v>0</v>
      </c>
      <c r="G3262">
        <v>8</v>
      </c>
      <c r="H3262">
        <v>1</v>
      </c>
      <c r="I3262">
        <v>0</v>
      </c>
      <c r="J3262">
        <v>0</v>
      </c>
      <c r="K3262">
        <v>0</v>
      </c>
    </row>
    <row r="3263" spans="1:11" x14ac:dyDescent="0.2">
      <c r="A3263" t="s">
        <v>4358</v>
      </c>
      <c r="B3263">
        <v>0</v>
      </c>
      <c r="C3263">
        <v>3</v>
      </c>
      <c r="D3263">
        <v>0</v>
      </c>
      <c r="E3263">
        <v>0</v>
      </c>
      <c r="F3263">
        <v>0</v>
      </c>
      <c r="G3263">
        <v>2</v>
      </c>
      <c r="H3263">
        <v>0</v>
      </c>
      <c r="I3263">
        <v>0</v>
      </c>
      <c r="J3263">
        <v>0</v>
      </c>
      <c r="K3263">
        <v>0</v>
      </c>
    </row>
    <row r="3264" spans="1:11" x14ac:dyDescent="0.2">
      <c r="A3264" t="s">
        <v>4359</v>
      </c>
      <c r="B3264">
        <v>0</v>
      </c>
      <c r="C3264">
        <v>0</v>
      </c>
      <c r="D3264">
        <v>0</v>
      </c>
      <c r="E3264">
        <v>0</v>
      </c>
      <c r="F3264">
        <v>0</v>
      </c>
      <c r="G3264">
        <v>0</v>
      </c>
      <c r="H3264">
        <v>0</v>
      </c>
      <c r="I3264">
        <v>0</v>
      </c>
      <c r="J3264">
        <v>0</v>
      </c>
      <c r="K3264">
        <v>0</v>
      </c>
    </row>
    <row r="3265" spans="1:11" x14ac:dyDescent="0.2">
      <c r="A3265" t="s">
        <v>4360</v>
      </c>
      <c r="B3265">
        <v>0</v>
      </c>
      <c r="C3265">
        <v>1</v>
      </c>
      <c r="D3265">
        <v>0</v>
      </c>
      <c r="E3265">
        <v>0</v>
      </c>
      <c r="F3265">
        <v>0</v>
      </c>
      <c r="G3265">
        <v>1</v>
      </c>
      <c r="H3265">
        <v>0</v>
      </c>
      <c r="I3265">
        <v>0</v>
      </c>
      <c r="J3265">
        <v>0</v>
      </c>
      <c r="K3265">
        <v>0</v>
      </c>
    </row>
    <row r="3266" spans="1:11" x14ac:dyDescent="0.2">
      <c r="A3266" t="s">
        <v>4361</v>
      </c>
      <c r="B3266">
        <v>1</v>
      </c>
      <c r="C3266">
        <v>20</v>
      </c>
      <c r="D3266">
        <v>2</v>
      </c>
      <c r="E3266">
        <v>0</v>
      </c>
      <c r="F3266">
        <v>0</v>
      </c>
      <c r="G3266">
        <v>15</v>
      </c>
      <c r="H3266">
        <v>2</v>
      </c>
      <c r="I3266">
        <v>0</v>
      </c>
      <c r="J3266">
        <v>0</v>
      </c>
      <c r="K3266">
        <v>1</v>
      </c>
    </row>
    <row r="3267" spans="1:11" x14ac:dyDescent="0.2">
      <c r="A3267" t="s">
        <v>4362</v>
      </c>
      <c r="B3267">
        <v>0</v>
      </c>
      <c r="C3267">
        <v>0</v>
      </c>
      <c r="D3267">
        <v>0</v>
      </c>
      <c r="E3267">
        <v>0</v>
      </c>
      <c r="F3267">
        <v>0</v>
      </c>
      <c r="G3267">
        <v>0</v>
      </c>
      <c r="H3267">
        <v>0</v>
      </c>
      <c r="I3267">
        <v>0</v>
      </c>
      <c r="J3267">
        <v>0</v>
      </c>
      <c r="K3267">
        <v>0</v>
      </c>
    </row>
    <row r="3268" spans="1:11" x14ac:dyDescent="0.2">
      <c r="A3268" t="s">
        <v>4363</v>
      </c>
      <c r="B3268">
        <v>0</v>
      </c>
      <c r="C3268">
        <v>0</v>
      </c>
      <c r="D3268">
        <v>0</v>
      </c>
      <c r="E3268">
        <v>0</v>
      </c>
      <c r="F3268">
        <v>0</v>
      </c>
      <c r="G3268">
        <v>0</v>
      </c>
      <c r="H3268">
        <v>0</v>
      </c>
      <c r="I3268">
        <v>0</v>
      </c>
      <c r="J3268">
        <v>0</v>
      </c>
      <c r="K3268">
        <v>0</v>
      </c>
    </row>
    <row r="3269" spans="1:11" x14ac:dyDescent="0.2">
      <c r="A3269" t="s">
        <v>4364</v>
      </c>
      <c r="B3269">
        <v>0</v>
      </c>
      <c r="C3269">
        <v>0</v>
      </c>
      <c r="D3269">
        <v>0</v>
      </c>
      <c r="E3269">
        <v>0</v>
      </c>
      <c r="F3269">
        <v>0</v>
      </c>
      <c r="G3269">
        <v>0</v>
      </c>
      <c r="H3269">
        <v>0</v>
      </c>
      <c r="I3269">
        <v>0</v>
      </c>
      <c r="J3269">
        <v>0</v>
      </c>
      <c r="K3269">
        <v>0</v>
      </c>
    </row>
    <row r="3270" spans="1:11" x14ac:dyDescent="0.2">
      <c r="A3270" t="s">
        <v>4365</v>
      </c>
      <c r="B3270">
        <v>0</v>
      </c>
      <c r="C3270">
        <v>52</v>
      </c>
      <c r="D3270">
        <v>1</v>
      </c>
      <c r="E3270">
        <v>0</v>
      </c>
      <c r="F3270">
        <v>0</v>
      </c>
      <c r="G3270">
        <v>39</v>
      </c>
      <c r="H3270">
        <v>1</v>
      </c>
      <c r="I3270">
        <v>0</v>
      </c>
      <c r="J3270">
        <v>0</v>
      </c>
      <c r="K3270">
        <v>1</v>
      </c>
    </row>
    <row r="3271" spans="1:11" x14ac:dyDescent="0.2">
      <c r="A3271" t="s">
        <v>4366</v>
      </c>
      <c r="B3271">
        <v>2</v>
      </c>
      <c r="C3271">
        <v>26</v>
      </c>
      <c r="D3271">
        <v>3</v>
      </c>
      <c r="E3271">
        <v>0</v>
      </c>
      <c r="F3271">
        <v>0</v>
      </c>
      <c r="G3271">
        <v>20</v>
      </c>
      <c r="H3271">
        <v>3</v>
      </c>
      <c r="I3271">
        <v>0</v>
      </c>
      <c r="J3271">
        <v>0</v>
      </c>
      <c r="K3271">
        <v>2</v>
      </c>
    </row>
    <row r="3272" spans="1:11" x14ac:dyDescent="0.2">
      <c r="A3272" t="s">
        <v>4367</v>
      </c>
      <c r="B3272">
        <v>0</v>
      </c>
      <c r="C3272">
        <v>2</v>
      </c>
      <c r="D3272">
        <v>0</v>
      </c>
      <c r="E3272">
        <v>0</v>
      </c>
      <c r="F3272">
        <v>0</v>
      </c>
      <c r="G3272">
        <v>2</v>
      </c>
      <c r="H3272">
        <v>0</v>
      </c>
      <c r="I3272">
        <v>0</v>
      </c>
      <c r="J3272">
        <v>0</v>
      </c>
      <c r="K3272">
        <v>0</v>
      </c>
    </row>
    <row r="3273" spans="1:11" x14ac:dyDescent="0.2">
      <c r="A3273" t="s">
        <v>4368</v>
      </c>
      <c r="B3273">
        <v>1</v>
      </c>
      <c r="C3273">
        <v>81</v>
      </c>
      <c r="D3273">
        <v>1</v>
      </c>
      <c r="E3273">
        <v>0</v>
      </c>
      <c r="F3273">
        <v>0</v>
      </c>
      <c r="G3273">
        <v>61</v>
      </c>
      <c r="H3273">
        <v>1</v>
      </c>
      <c r="I3273">
        <v>0</v>
      </c>
      <c r="J3273">
        <v>0</v>
      </c>
      <c r="K3273">
        <v>5</v>
      </c>
    </row>
    <row r="3274" spans="1:11" x14ac:dyDescent="0.2">
      <c r="A3274" t="s">
        <v>4369</v>
      </c>
      <c r="B3274">
        <v>6</v>
      </c>
      <c r="C3274">
        <v>215</v>
      </c>
      <c r="D3274">
        <v>13</v>
      </c>
      <c r="E3274">
        <v>0</v>
      </c>
      <c r="F3274">
        <v>1</v>
      </c>
      <c r="G3274">
        <v>161</v>
      </c>
      <c r="H3274">
        <v>13</v>
      </c>
      <c r="I3274">
        <v>0</v>
      </c>
      <c r="J3274">
        <v>0</v>
      </c>
      <c r="K3274">
        <v>12</v>
      </c>
    </row>
    <row r="3275" spans="1:11" x14ac:dyDescent="0.2">
      <c r="A3275" t="s">
        <v>4370</v>
      </c>
      <c r="B3275">
        <v>0</v>
      </c>
      <c r="C3275">
        <v>2</v>
      </c>
      <c r="D3275">
        <v>0</v>
      </c>
      <c r="E3275">
        <v>0</v>
      </c>
      <c r="F3275">
        <v>0</v>
      </c>
      <c r="G3275">
        <v>1</v>
      </c>
      <c r="H3275">
        <v>0</v>
      </c>
      <c r="I3275">
        <v>0</v>
      </c>
      <c r="J3275">
        <v>0</v>
      </c>
      <c r="K3275">
        <v>0</v>
      </c>
    </row>
    <row r="3276" spans="1:11" x14ac:dyDescent="0.2">
      <c r="A3276" t="s">
        <v>4371</v>
      </c>
      <c r="B3276">
        <v>0</v>
      </c>
      <c r="C3276">
        <v>3</v>
      </c>
      <c r="D3276">
        <v>0</v>
      </c>
      <c r="E3276">
        <v>0</v>
      </c>
      <c r="F3276">
        <v>0</v>
      </c>
      <c r="G3276">
        <v>2</v>
      </c>
      <c r="H3276">
        <v>0</v>
      </c>
      <c r="I3276">
        <v>0</v>
      </c>
      <c r="J3276">
        <v>0</v>
      </c>
      <c r="K3276">
        <v>0</v>
      </c>
    </row>
    <row r="3277" spans="1:11" x14ac:dyDescent="0.2">
      <c r="A3277" t="s">
        <v>4372</v>
      </c>
      <c r="B3277">
        <v>0</v>
      </c>
      <c r="C3277">
        <v>0</v>
      </c>
      <c r="D3277">
        <v>0</v>
      </c>
      <c r="E3277">
        <v>0</v>
      </c>
      <c r="F3277">
        <v>0</v>
      </c>
      <c r="G3277">
        <v>0</v>
      </c>
      <c r="H3277">
        <v>0</v>
      </c>
      <c r="I3277">
        <v>0</v>
      </c>
      <c r="J3277">
        <v>0</v>
      </c>
      <c r="K3277">
        <v>0</v>
      </c>
    </row>
    <row r="3278" spans="1:11" x14ac:dyDescent="0.2">
      <c r="A3278" t="s">
        <v>4373</v>
      </c>
      <c r="B3278">
        <v>2</v>
      </c>
      <c r="C3278">
        <v>33</v>
      </c>
      <c r="D3278">
        <v>4</v>
      </c>
      <c r="E3278">
        <v>0</v>
      </c>
      <c r="F3278">
        <v>0</v>
      </c>
      <c r="G3278">
        <v>24</v>
      </c>
      <c r="H3278">
        <v>4</v>
      </c>
      <c r="I3278">
        <v>0</v>
      </c>
      <c r="J3278">
        <v>0</v>
      </c>
      <c r="K3278">
        <v>1</v>
      </c>
    </row>
    <row r="3279" spans="1:11" x14ac:dyDescent="0.2">
      <c r="A3279" t="s">
        <v>4374</v>
      </c>
      <c r="B3279">
        <v>1</v>
      </c>
      <c r="C3279">
        <v>13</v>
      </c>
      <c r="D3279">
        <v>2</v>
      </c>
      <c r="E3279">
        <v>0</v>
      </c>
      <c r="F3279">
        <v>0</v>
      </c>
      <c r="G3279">
        <v>10</v>
      </c>
      <c r="H3279">
        <v>2</v>
      </c>
      <c r="I3279">
        <v>0</v>
      </c>
      <c r="J3279">
        <v>0</v>
      </c>
      <c r="K3279">
        <v>1</v>
      </c>
    </row>
    <row r="3280" spans="1:11" x14ac:dyDescent="0.2">
      <c r="A3280" t="s">
        <v>4375</v>
      </c>
      <c r="B3280">
        <v>5</v>
      </c>
      <c r="C3280">
        <v>77</v>
      </c>
      <c r="D3280">
        <v>9</v>
      </c>
      <c r="E3280">
        <v>0</v>
      </c>
      <c r="F3280">
        <v>0</v>
      </c>
      <c r="G3280">
        <v>58</v>
      </c>
      <c r="H3280">
        <v>10</v>
      </c>
      <c r="I3280">
        <v>0</v>
      </c>
      <c r="J3280">
        <v>0</v>
      </c>
      <c r="K3280">
        <v>2</v>
      </c>
    </row>
    <row r="3281" spans="1:11" x14ac:dyDescent="0.2">
      <c r="A3281" t="s">
        <v>4376</v>
      </c>
      <c r="B3281">
        <v>0</v>
      </c>
      <c r="C3281">
        <v>4</v>
      </c>
      <c r="D3281">
        <v>0</v>
      </c>
      <c r="E3281">
        <v>0</v>
      </c>
      <c r="F3281">
        <v>0</v>
      </c>
      <c r="G3281">
        <v>3</v>
      </c>
      <c r="H3281">
        <v>0</v>
      </c>
      <c r="I3281">
        <v>0</v>
      </c>
      <c r="J3281">
        <v>0</v>
      </c>
      <c r="K3281">
        <v>0</v>
      </c>
    </row>
    <row r="3282" spans="1:11" x14ac:dyDescent="0.2">
      <c r="A3282" t="s">
        <v>4377</v>
      </c>
      <c r="B3282">
        <v>3</v>
      </c>
      <c r="C3282">
        <v>51</v>
      </c>
      <c r="D3282">
        <v>6</v>
      </c>
      <c r="E3282">
        <v>0</v>
      </c>
      <c r="F3282">
        <v>0</v>
      </c>
      <c r="G3282">
        <v>38</v>
      </c>
      <c r="H3282">
        <v>6</v>
      </c>
      <c r="I3282">
        <v>0</v>
      </c>
      <c r="J3282">
        <v>0</v>
      </c>
      <c r="K3282">
        <v>1</v>
      </c>
    </row>
    <row r="3283" spans="1:11" x14ac:dyDescent="0.2">
      <c r="A3283" t="s">
        <v>4854</v>
      </c>
      <c r="B3283">
        <v>1173</v>
      </c>
      <c r="C3283">
        <v>22838</v>
      </c>
      <c r="D3283">
        <v>3066</v>
      </c>
      <c r="E3283">
        <v>0</v>
      </c>
      <c r="F3283">
        <v>97</v>
      </c>
      <c r="G3283">
        <v>16313</v>
      </c>
      <c r="H3283">
        <v>705</v>
      </c>
      <c r="I3283">
        <v>0</v>
      </c>
      <c r="J3283">
        <v>0</v>
      </c>
      <c r="K3283">
        <v>758</v>
      </c>
    </row>
    <row r="3284" spans="1:11" x14ac:dyDescent="0.2">
      <c r="A3284" t="s">
        <v>2318</v>
      </c>
      <c r="B3284" t="s">
        <v>4399</v>
      </c>
      <c r="C3284" t="s">
        <v>4399</v>
      </c>
      <c r="D3284" t="s">
        <v>4399</v>
      </c>
      <c r="E3284" t="s">
        <v>4399</v>
      </c>
      <c r="F3284" t="s">
        <v>4399</v>
      </c>
      <c r="G3284" t="s">
        <v>4399</v>
      </c>
      <c r="H3284" t="s">
        <v>4399</v>
      </c>
      <c r="I3284" t="s">
        <v>4399</v>
      </c>
      <c r="J3284" t="s">
        <v>4399</v>
      </c>
      <c r="K3284" t="s">
        <v>4399</v>
      </c>
    </row>
    <row r="3285" spans="1:11" x14ac:dyDescent="0.2">
      <c r="A3285" t="s">
        <v>4248</v>
      </c>
    </row>
    <row r="3286" spans="1:11" x14ac:dyDescent="0.2">
      <c r="A3286" t="s">
        <v>4855</v>
      </c>
      <c r="B3286" t="s">
        <v>4856</v>
      </c>
      <c r="C3286" t="s">
        <v>4857</v>
      </c>
      <c r="D3286" t="s">
        <v>4858</v>
      </c>
      <c r="E3286" t="s">
        <v>4859</v>
      </c>
      <c r="F3286" t="s">
        <v>4860</v>
      </c>
      <c r="G3286" t="s">
        <v>4876</v>
      </c>
    </row>
    <row r="3287" spans="1:11" x14ac:dyDescent="0.2">
      <c r="A3287" t="s">
        <v>2318</v>
      </c>
      <c r="B3287" t="s">
        <v>4399</v>
      </c>
      <c r="C3287" t="s">
        <v>4399</v>
      </c>
      <c r="D3287" t="s">
        <v>4399</v>
      </c>
      <c r="E3287" t="s">
        <v>4399</v>
      </c>
      <c r="F3287" t="s">
        <v>4399</v>
      </c>
      <c r="G3287" t="s">
        <v>4399</v>
      </c>
      <c r="H3287" t="s">
        <v>4399</v>
      </c>
      <c r="I3287" t="s">
        <v>4399</v>
      </c>
      <c r="J3287" t="s">
        <v>4399</v>
      </c>
      <c r="K3287" t="s">
        <v>4399</v>
      </c>
    </row>
    <row r="3288" spans="1:11" x14ac:dyDescent="0.2">
      <c r="A3288" t="s">
        <v>126</v>
      </c>
      <c r="B3288" t="s">
        <v>4542</v>
      </c>
      <c r="C3288" t="s">
        <v>4546</v>
      </c>
      <c r="D3288" t="s">
        <v>4550</v>
      </c>
      <c r="E3288" t="s">
        <v>4554</v>
      </c>
      <c r="F3288" t="s">
        <v>4558</v>
      </c>
      <c r="G3288" t="s">
        <v>4562</v>
      </c>
      <c r="H3288" t="s">
        <v>4565</v>
      </c>
      <c r="I3288" t="s">
        <v>4568</v>
      </c>
      <c r="J3288" t="s">
        <v>4572</v>
      </c>
      <c r="K3288" t="s">
        <v>4576</v>
      </c>
    </row>
    <row r="3289" spans="1:11" x14ac:dyDescent="0.2">
      <c r="A3289" t="s">
        <v>2318</v>
      </c>
      <c r="B3289" t="s">
        <v>4399</v>
      </c>
      <c r="C3289" t="s">
        <v>4399</v>
      </c>
      <c r="D3289" t="s">
        <v>4399</v>
      </c>
      <c r="E3289" t="s">
        <v>4399</v>
      </c>
      <c r="F3289" t="s">
        <v>4399</v>
      </c>
      <c r="G3289" t="s">
        <v>4399</v>
      </c>
      <c r="H3289" t="s">
        <v>4399</v>
      </c>
      <c r="I3289" t="s">
        <v>4399</v>
      </c>
      <c r="J3289" t="s">
        <v>4399</v>
      </c>
      <c r="K3289" t="s">
        <v>4399</v>
      </c>
    </row>
    <row r="3290" spans="1:11" x14ac:dyDescent="0.2">
      <c r="A3290" t="s">
        <v>4265</v>
      </c>
      <c r="B3290">
        <v>0</v>
      </c>
      <c r="C3290">
        <v>0</v>
      </c>
      <c r="D3290">
        <v>0</v>
      </c>
      <c r="E3290">
        <v>0</v>
      </c>
      <c r="F3290">
        <v>0</v>
      </c>
      <c r="G3290">
        <v>0</v>
      </c>
      <c r="H3290">
        <v>0</v>
      </c>
      <c r="I3290">
        <v>0</v>
      </c>
      <c r="J3290">
        <v>0</v>
      </c>
      <c r="K3290">
        <v>0</v>
      </c>
    </row>
    <row r="3291" spans="1:11" x14ac:dyDescent="0.2">
      <c r="A3291" t="s">
        <v>4266</v>
      </c>
      <c r="B3291">
        <v>0</v>
      </c>
      <c r="C3291">
        <v>0</v>
      </c>
      <c r="D3291">
        <v>0</v>
      </c>
      <c r="E3291">
        <v>0</v>
      </c>
      <c r="F3291">
        <v>0</v>
      </c>
      <c r="G3291">
        <v>0</v>
      </c>
      <c r="H3291">
        <v>0</v>
      </c>
      <c r="I3291">
        <v>0</v>
      </c>
      <c r="J3291">
        <v>0</v>
      </c>
      <c r="K3291">
        <v>0</v>
      </c>
    </row>
    <row r="3292" spans="1:11" x14ac:dyDescent="0.2">
      <c r="A3292" t="s">
        <v>4267</v>
      </c>
      <c r="B3292">
        <v>0</v>
      </c>
      <c r="C3292">
        <v>0</v>
      </c>
      <c r="D3292">
        <v>0</v>
      </c>
      <c r="E3292">
        <v>1</v>
      </c>
      <c r="F3292">
        <v>71</v>
      </c>
      <c r="G3292">
        <v>87</v>
      </c>
      <c r="H3292">
        <v>1</v>
      </c>
      <c r="I3292">
        <v>67</v>
      </c>
      <c r="J3292">
        <v>6</v>
      </c>
      <c r="K3292">
        <v>0</v>
      </c>
    </row>
    <row r="3293" spans="1:11" x14ac:dyDescent="0.2">
      <c r="A3293" t="s">
        <v>4268</v>
      </c>
      <c r="B3293">
        <v>0</v>
      </c>
      <c r="C3293">
        <v>0</v>
      </c>
      <c r="D3293">
        <v>0</v>
      </c>
      <c r="E3293">
        <v>0</v>
      </c>
      <c r="F3293">
        <v>14</v>
      </c>
      <c r="G3293">
        <v>17</v>
      </c>
      <c r="H3293">
        <v>0</v>
      </c>
      <c r="I3293">
        <v>15</v>
      </c>
      <c r="J3293">
        <v>1</v>
      </c>
      <c r="K3293">
        <v>0</v>
      </c>
    </row>
    <row r="3294" spans="1:11" x14ac:dyDescent="0.2">
      <c r="A3294" t="s">
        <v>4269</v>
      </c>
      <c r="B3294">
        <v>1</v>
      </c>
      <c r="C3294">
        <v>0</v>
      </c>
      <c r="D3294">
        <v>0</v>
      </c>
      <c r="E3294">
        <v>1</v>
      </c>
      <c r="F3294">
        <v>85</v>
      </c>
      <c r="G3294">
        <v>105</v>
      </c>
      <c r="H3294">
        <v>1</v>
      </c>
      <c r="I3294">
        <v>89</v>
      </c>
      <c r="J3294">
        <v>7</v>
      </c>
      <c r="K3294">
        <v>0</v>
      </c>
    </row>
    <row r="3295" spans="1:11" x14ac:dyDescent="0.2">
      <c r="A3295" t="s">
        <v>4270</v>
      </c>
      <c r="B3295">
        <v>0</v>
      </c>
      <c r="C3295">
        <v>0</v>
      </c>
      <c r="D3295">
        <v>0</v>
      </c>
      <c r="E3295">
        <v>0</v>
      </c>
      <c r="F3295">
        <v>0</v>
      </c>
      <c r="G3295">
        <v>0</v>
      </c>
      <c r="H3295">
        <v>0</v>
      </c>
      <c r="I3295">
        <v>0</v>
      </c>
      <c r="J3295">
        <v>0</v>
      </c>
      <c r="K3295">
        <v>0</v>
      </c>
    </row>
    <row r="3296" spans="1:11" x14ac:dyDescent="0.2">
      <c r="A3296" t="s">
        <v>4271</v>
      </c>
      <c r="B3296">
        <v>0</v>
      </c>
      <c r="C3296">
        <v>0</v>
      </c>
      <c r="D3296">
        <v>0</v>
      </c>
      <c r="E3296">
        <v>0</v>
      </c>
      <c r="F3296">
        <v>22</v>
      </c>
      <c r="G3296">
        <v>27</v>
      </c>
      <c r="H3296">
        <v>0</v>
      </c>
      <c r="I3296">
        <v>23</v>
      </c>
      <c r="J3296">
        <v>2</v>
      </c>
      <c r="K3296">
        <v>0</v>
      </c>
    </row>
    <row r="3297" spans="1:11" x14ac:dyDescent="0.2">
      <c r="A3297" t="s">
        <v>4272</v>
      </c>
      <c r="B3297">
        <v>0</v>
      </c>
      <c r="C3297">
        <v>0</v>
      </c>
      <c r="D3297">
        <v>0</v>
      </c>
      <c r="E3297">
        <v>1</v>
      </c>
      <c r="F3297">
        <v>41</v>
      </c>
      <c r="G3297">
        <v>51</v>
      </c>
      <c r="H3297">
        <v>1</v>
      </c>
      <c r="I3297">
        <v>47</v>
      </c>
      <c r="J3297">
        <v>3</v>
      </c>
      <c r="K3297">
        <v>0</v>
      </c>
    </row>
    <row r="3298" spans="1:11" x14ac:dyDescent="0.2">
      <c r="A3298" t="s">
        <v>4273</v>
      </c>
      <c r="B3298">
        <v>0</v>
      </c>
      <c r="C3298">
        <v>0</v>
      </c>
      <c r="D3298">
        <v>0</v>
      </c>
      <c r="E3298">
        <v>0</v>
      </c>
      <c r="F3298">
        <v>0</v>
      </c>
      <c r="G3298">
        <v>0</v>
      </c>
      <c r="H3298">
        <v>0</v>
      </c>
      <c r="I3298">
        <v>0</v>
      </c>
      <c r="J3298">
        <v>0</v>
      </c>
      <c r="K3298">
        <v>0</v>
      </c>
    </row>
    <row r="3299" spans="1:11" x14ac:dyDescent="0.2">
      <c r="A3299" t="s">
        <v>4274</v>
      </c>
      <c r="B3299">
        <v>0</v>
      </c>
      <c r="C3299">
        <v>0</v>
      </c>
      <c r="D3299">
        <v>0</v>
      </c>
      <c r="E3299">
        <v>0</v>
      </c>
      <c r="F3299">
        <v>0</v>
      </c>
      <c r="G3299">
        <v>0</v>
      </c>
      <c r="H3299">
        <v>0</v>
      </c>
      <c r="I3299">
        <v>0</v>
      </c>
      <c r="J3299">
        <v>0</v>
      </c>
      <c r="K3299">
        <v>0</v>
      </c>
    </row>
    <row r="3300" spans="1:11" x14ac:dyDescent="0.2">
      <c r="A3300" t="s">
        <v>4275</v>
      </c>
      <c r="B3300">
        <v>0</v>
      </c>
      <c r="C3300">
        <v>0</v>
      </c>
      <c r="D3300">
        <v>0</v>
      </c>
      <c r="E3300">
        <v>0</v>
      </c>
      <c r="F3300">
        <v>0</v>
      </c>
      <c r="G3300">
        <v>0</v>
      </c>
      <c r="H3300">
        <v>0</v>
      </c>
      <c r="I3300">
        <v>0</v>
      </c>
      <c r="J3300">
        <v>0</v>
      </c>
      <c r="K3300">
        <v>0</v>
      </c>
    </row>
    <row r="3301" spans="1:11" x14ac:dyDescent="0.2">
      <c r="A3301" t="s">
        <v>4276</v>
      </c>
      <c r="B3301">
        <v>0</v>
      </c>
      <c r="C3301">
        <v>0</v>
      </c>
      <c r="D3301">
        <v>0</v>
      </c>
      <c r="E3301">
        <v>0</v>
      </c>
      <c r="F3301">
        <v>0</v>
      </c>
      <c r="G3301">
        <v>0</v>
      </c>
      <c r="H3301">
        <v>0</v>
      </c>
      <c r="I3301">
        <v>0</v>
      </c>
      <c r="J3301">
        <v>0</v>
      </c>
      <c r="K3301">
        <v>0</v>
      </c>
    </row>
    <row r="3302" spans="1:11" x14ac:dyDescent="0.2">
      <c r="A3302" t="s">
        <v>4277</v>
      </c>
      <c r="B3302">
        <v>0</v>
      </c>
      <c r="C3302">
        <v>0</v>
      </c>
      <c r="D3302">
        <v>0</v>
      </c>
      <c r="E3302">
        <v>0</v>
      </c>
      <c r="F3302">
        <v>0</v>
      </c>
      <c r="G3302">
        <v>0</v>
      </c>
      <c r="H3302">
        <v>0</v>
      </c>
      <c r="I3302">
        <v>0</v>
      </c>
      <c r="J3302">
        <v>0</v>
      </c>
      <c r="K3302">
        <v>0</v>
      </c>
    </row>
    <row r="3303" spans="1:11" x14ac:dyDescent="0.2">
      <c r="A3303" t="s">
        <v>4278</v>
      </c>
      <c r="B3303">
        <v>0</v>
      </c>
      <c r="C3303">
        <v>0</v>
      </c>
      <c r="D3303">
        <v>0</v>
      </c>
      <c r="E3303">
        <v>0</v>
      </c>
      <c r="F3303">
        <v>0</v>
      </c>
      <c r="G3303">
        <v>0</v>
      </c>
      <c r="H3303">
        <v>0</v>
      </c>
      <c r="I3303">
        <v>0</v>
      </c>
      <c r="J3303">
        <v>0</v>
      </c>
      <c r="K3303">
        <v>0</v>
      </c>
    </row>
    <row r="3304" spans="1:11" x14ac:dyDescent="0.2">
      <c r="A3304" t="s">
        <v>4279</v>
      </c>
      <c r="B3304">
        <v>2</v>
      </c>
      <c r="C3304">
        <v>0</v>
      </c>
      <c r="D3304">
        <v>0</v>
      </c>
      <c r="E3304">
        <v>16</v>
      </c>
      <c r="F3304">
        <v>129</v>
      </c>
      <c r="G3304">
        <v>723</v>
      </c>
      <c r="H3304">
        <v>2</v>
      </c>
      <c r="I3304">
        <v>546</v>
      </c>
      <c r="J3304">
        <v>10</v>
      </c>
      <c r="K3304">
        <v>0</v>
      </c>
    </row>
    <row r="3305" spans="1:11" x14ac:dyDescent="0.2">
      <c r="A3305" t="s">
        <v>4280</v>
      </c>
      <c r="B3305">
        <v>0</v>
      </c>
      <c r="C3305">
        <v>0</v>
      </c>
      <c r="D3305">
        <v>0</v>
      </c>
      <c r="E3305">
        <v>0</v>
      </c>
      <c r="F3305">
        <v>17</v>
      </c>
      <c r="G3305">
        <v>21</v>
      </c>
      <c r="H3305">
        <v>0</v>
      </c>
      <c r="I3305">
        <v>22</v>
      </c>
      <c r="J3305">
        <v>1</v>
      </c>
      <c r="K3305">
        <v>0</v>
      </c>
    </row>
    <row r="3306" spans="1:11" x14ac:dyDescent="0.2">
      <c r="A3306" t="s">
        <v>4281</v>
      </c>
      <c r="B3306">
        <v>528</v>
      </c>
      <c r="C3306">
        <v>0</v>
      </c>
      <c r="D3306">
        <v>51</v>
      </c>
      <c r="E3306">
        <v>3462</v>
      </c>
      <c r="F3306">
        <v>4869</v>
      </c>
      <c r="G3306">
        <v>21100</v>
      </c>
      <c r="H3306">
        <v>55</v>
      </c>
      <c r="I3306">
        <v>11927</v>
      </c>
      <c r="J3306">
        <v>381</v>
      </c>
      <c r="K3306">
        <v>0</v>
      </c>
    </row>
    <row r="3307" spans="1:11" x14ac:dyDescent="0.2">
      <c r="A3307" t="s">
        <v>4282</v>
      </c>
      <c r="B3307">
        <v>179</v>
      </c>
      <c r="C3307">
        <v>0</v>
      </c>
      <c r="D3307">
        <v>17</v>
      </c>
      <c r="E3307">
        <v>729</v>
      </c>
      <c r="F3307">
        <v>1669</v>
      </c>
      <c r="G3307">
        <v>4369</v>
      </c>
      <c r="H3307">
        <v>15</v>
      </c>
      <c r="I3307">
        <v>2315</v>
      </c>
      <c r="J3307">
        <v>131</v>
      </c>
      <c r="K3307">
        <v>0</v>
      </c>
    </row>
    <row r="3308" spans="1:11" x14ac:dyDescent="0.2">
      <c r="A3308" t="s">
        <v>4283</v>
      </c>
      <c r="B3308">
        <v>51</v>
      </c>
      <c r="C3308">
        <v>0</v>
      </c>
      <c r="D3308">
        <v>5</v>
      </c>
      <c r="E3308">
        <v>451</v>
      </c>
      <c r="F3308">
        <v>1719</v>
      </c>
      <c r="G3308">
        <v>7603</v>
      </c>
      <c r="H3308">
        <v>16</v>
      </c>
      <c r="I3308">
        <v>4630</v>
      </c>
      <c r="J3308">
        <v>134</v>
      </c>
      <c r="K3308">
        <v>0</v>
      </c>
    </row>
    <row r="3309" spans="1:11" x14ac:dyDescent="0.2">
      <c r="A3309" t="s">
        <v>4284</v>
      </c>
      <c r="B3309">
        <v>7</v>
      </c>
      <c r="C3309">
        <v>0</v>
      </c>
      <c r="D3309">
        <v>1</v>
      </c>
      <c r="E3309">
        <v>25</v>
      </c>
      <c r="F3309">
        <v>171</v>
      </c>
      <c r="G3309">
        <v>371</v>
      </c>
      <c r="H3309">
        <v>2</v>
      </c>
      <c r="I3309">
        <v>197</v>
      </c>
      <c r="J3309">
        <v>13</v>
      </c>
      <c r="K3309">
        <v>0</v>
      </c>
    </row>
    <row r="3310" spans="1:11" x14ac:dyDescent="0.2">
      <c r="A3310" t="s">
        <v>4285</v>
      </c>
      <c r="B3310">
        <v>168</v>
      </c>
      <c r="C3310">
        <v>0</v>
      </c>
      <c r="D3310">
        <v>16</v>
      </c>
      <c r="E3310">
        <v>1518</v>
      </c>
      <c r="F3310">
        <v>2134</v>
      </c>
      <c r="G3310">
        <v>9342</v>
      </c>
      <c r="H3310">
        <v>22</v>
      </c>
      <c r="I3310">
        <v>5241</v>
      </c>
      <c r="J3310">
        <v>167</v>
      </c>
      <c r="K3310">
        <v>0</v>
      </c>
    </row>
    <row r="3311" spans="1:11" x14ac:dyDescent="0.2">
      <c r="A3311" t="s">
        <v>4286</v>
      </c>
      <c r="B3311">
        <v>42</v>
      </c>
      <c r="C3311">
        <v>0</v>
      </c>
      <c r="D3311">
        <v>4</v>
      </c>
      <c r="E3311">
        <v>105</v>
      </c>
      <c r="F3311">
        <v>221</v>
      </c>
      <c r="G3311">
        <v>393</v>
      </c>
      <c r="H3311">
        <v>2</v>
      </c>
      <c r="I3311">
        <v>229</v>
      </c>
      <c r="J3311">
        <v>17</v>
      </c>
      <c r="K3311">
        <v>0</v>
      </c>
    </row>
    <row r="3312" spans="1:11" x14ac:dyDescent="0.2">
      <c r="A3312" t="s">
        <v>4287</v>
      </c>
      <c r="B3312">
        <v>164</v>
      </c>
      <c r="C3312">
        <v>0</v>
      </c>
      <c r="D3312">
        <v>16</v>
      </c>
      <c r="E3312">
        <v>1293</v>
      </c>
      <c r="F3312">
        <v>5892</v>
      </c>
      <c r="G3312">
        <v>24515</v>
      </c>
      <c r="H3312">
        <v>92</v>
      </c>
      <c r="I3312">
        <v>20698</v>
      </c>
      <c r="J3312">
        <v>461</v>
      </c>
      <c r="K3312">
        <v>0</v>
      </c>
    </row>
    <row r="3313" spans="1:11" x14ac:dyDescent="0.2">
      <c r="A3313" t="s">
        <v>4288</v>
      </c>
      <c r="B3313">
        <v>0</v>
      </c>
      <c r="C3313">
        <v>0</v>
      </c>
      <c r="D3313">
        <v>0</v>
      </c>
      <c r="E3313">
        <v>0</v>
      </c>
      <c r="F3313">
        <v>659</v>
      </c>
      <c r="G3313">
        <v>516</v>
      </c>
      <c r="H3313">
        <v>2</v>
      </c>
      <c r="I3313">
        <v>76</v>
      </c>
      <c r="J3313">
        <v>51</v>
      </c>
      <c r="K3313">
        <v>0</v>
      </c>
    </row>
    <row r="3314" spans="1:11" x14ac:dyDescent="0.2">
      <c r="A3314" t="s">
        <v>4289</v>
      </c>
      <c r="B3314">
        <v>0</v>
      </c>
      <c r="C3314">
        <v>0</v>
      </c>
      <c r="D3314">
        <v>0</v>
      </c>
      <c r="E3314">
        <v>0</v>
      </c>
      <c r="F3314">
        <v>49713</v>
      </c>
      <c r="G3314">
        <v>38958</v>
      </c>
      <c r="H3314">
        <v>222</v>
      </c>
      <c r="I3314">
        <v>8882</v>
      </c>
      <c r="J3314">
        <v>3890</v>
      </c>
      <c r="K3314">
        <v>0</v>
      </c>
    </row>
    <row r="3315" spans="1:11" x14ac:dyDescent="0.2">
      <c r="A3315" t="s">
        <v>4290</v>
      </c>
      <c r="B3315">
        <v>0</v>
      </c>
      <c r="C3315">
        <v>0</v>
      </c>
      <c r="D3315">
        <v>0</v>
      </c>
      <c r="E3315">
        <v>0</v>
      </c>
      <c r="F3315">
        <v>5861</v>
      </c>
      <c r="G3315">
        <v>4593</v>
      </c>
      <c r="H3315">
        <v>879</v>
      </c>
      <c r="I3315">
        <v>35139</v>
      </c>
      <c r="J3315">
        <v>0</v>
      </c>
      <c r="K3315">
        <v>0</v>
      </c>
    </row>
    <row r="3316" spans="1:11" x14ac:dyDescent="0.2">
      <c r="A3316" t="s">
        <v>4291</v>
      </c>
      <c r="B3316">
        <v>0</v>
      </c>
      <c r="C3316">
        <v>0</v>
      </c>
      <c r="D3316">
        <v>0</v>
      </c>
      <c r="E3316">
        <v>0</v>
      </c>
      <c r="F3316">
        <v>2993</v>
      </c>
      <c r="G3316">
        <v>2345</v>
      </c>
      <c r="H3316">
        <v>0</v>
      </c>
      <c r="I3316">
        <v>0</v>
      </c>
      <c r="J3316">
        <v>0</v>
      </c>
      <c r="K3316">
        <v>0</v>
      </c>
    </row>
    <row r="3317" spans="1:11" x14ac:dyDescent="0.2">
      <c r="A3317" t="s">
        <v>4292</v>
      </c>
      <c r="B3317">
        <v>0</v>
      </c>
      <c r="C3317">
        <v>0</v>
      </c>
      <c r="D3317">
        <v>0</v>
      </c>
      <c r="E3317">
        <v>0</v>
      </c>
      <c r="F3317">
        <v>681</v>
      </c>
      <c r="G3317">
        <v>533</v>
      </c>
      <c r="H3317">
        <v>0</v>
      </c>
      <c r="I3317">
        <v>0</v>
      </c>
      <c r="J3317">
        <v>0</v>
      </c>
      <c r="K3317">
        <v>0</v>
      </c>
    </row>
    <row r="3318" spans="1:11" x14ac:dyDescent="0.2">
      <c r="A3318" t="s">
        <v>4293</v>
      </c>
      <c r="B3318">
        <v>0</v>
      </c>
      <c r="C3318">
        <v>0</v>
      </c>
      <c r="D3318">
        <v>0</v>
      </c>
      <c r="E3318">
        <v>0</v>
      </c>
      <c r="F3318">
        <v>1264</v>
      </c>
      <c r="G3318">
        <v>991</v>
      </c>
      <c r="H3318">
        <v>0</v>
      </c>
      <c r="I3318">
        <v>0</v>
      </c>
      <c r="J3318">
        <v>265</v>
      </c>
      <c r="K3318">
        <v>0</v>
      </c>
    </row>
    <row r="3319" spans="1:11" x14ac:dyDescent="0.2">
      <c r="A3319" t="s">
        <v>4294</v>
      </c>
      <c r="B3319">
        <v>0</v>
      </c>
      <c r="C3319">
        <v>0</v>
      </c>
      <c r="D3319">
        <v>0</v>
      </c>
      <c r="E3319">
        <v>0</v>
      </c>
      <c r="F3319">
        <v>3342</v>
      </c>
      <c r="G3319">
        <v>2619</v>
      </c>
      <c r="H3319">
        <v>0</v>
      </c>
      <c r="I3319">
        <v>0</v>
      </c>
      <c r="J3319">
        <v>0</v>
      </c>
      <c r="K3319">
        <v>0</v>
      </c>
    </row>
    <row r="3320" spans="1:11" x14ac:dyDescent="0.2">
      <c r="A3320" t="s">
        <v>4295</v>
      </c>
      <c r="B3320">
        <v>0</v>
      </c>
      <c r="C3320">
        <v>0</v>
      </c>
      <c r="D3320">
        <v>0</v>
      </c>
      <c r="E3320">
        <v>0</v>
      </c>
      <c r="F3320">
        <v>0</v>
      </c>
      <c r="G3320">
        <v>0</v>
      </c>
      <c r="H3320">
        <v>0</v>
      </c>
      <c r="I3320">
        <v>0</v>
      </c>
      <c r="J3320">
        <v>0</v>
      </c>
      <c r="K3320">
        <v>0</v>
      </c>
    </row>
    <row r="3321" spans="1:11" x14ac:dyDescent="0.2">
      <c r="A3321" t="s">
        <v>4296</v>
      </c>
      <c r="B3321">
        <v>0</v>
      </c>
      <c r="C3321">
        <v>0</v>
      </c>
      <c r="D3321">
        <v>0</v>
      </c>
      <c r="E3321">
        <v>0</v>
      </c>
      <c r="F3321">
        <v>0</v>
      </c>
      <c r="G3321">
        <v>0</v>
      </c>
      <c r="H3321">
        <v>0</v>
      </c>
      <c r="I3321">
        <v>0</v>
      </c>
      <c r="J3321">
        <v>0</v>
      </c>
      <c r="K3321">
        <v>0</v>
      </c>
    </row>
    <row r="3322" spans="1:11" x14ac:dyDescent="0.2">
      <c r="A3322" t="s">
        <v>4297</v>
      </c>
      <c r="B3322">
        <v>291</v>
      </c>
      <c r="C3322">
        <v>0</v>
      </c>
      <c r="D3322">
        <v>28</v>
      </c>
      <c r="E3322">
        <v>2500</v>
      </c>
      <c r="F3322">
        <v>4554</v>
      </c>
      <c r="G3322">
        <v>22361</v>
      </c>
      <c r="H3322">
        <v>37</v>
      </c>
      <c r="I3322">
        <v>10282</v>
      </c>
      <c r="J3322">
        <v>356</v>
      </c>
      <c r="K3322">
        <v>0</v>
      </c>
    </row>
    <row r="3323" spans="1:11" x14ac:dyDescent="0.2">
      <c r="A3323" t="s">
        <v>4298</v>
      </c>
      <c r="B3323">
        <v>165</v>
      </c>
      <c r="C3323">
        <v>0</v>
      </c>
      <c r="D3323">
        <v>16</v>
      </c>
      <c r="E3323">
        <v>815</v>
      </c>
      <c r="F3323">
        <v>1658</v>
      </c>
      <c r="G3323">
        <v>4456</v>
      </c>
      <c r="H3323">
        <v>10</v>
      </c>
      <c r="I3323">
        <v>1480</v>
      </c>
      <c r="J3323">
        <v>130</v>
      </c>
      <c r="K3323">
        <v>0</v>
      </c>
    </row>
    <row r="3324" spans="1:11" x14ac:dyDescent="0.2">
      <c r="A3324" t="s">
        <v>4299</v>
      </c>
      <c r="B3324">
        <v>248</v>
      </c>
      <c r="C3324">
        <v>0</v>
      </c>
      <c r="D3324">
        <v>24</v>
      </c>
      <c r="E3324">
        <v>1297</v>
      </c>
      <c r="F3324">
        <v>753</v>
      </c>
      <c r="G3324">
        <v>2170</v>
      </c>
      <c r="H3324">
        <v>7</v>
      </c>
      <c r="I3324">
        <v>1080</v>
      </c>
      <c r="J3324">
        <v>59</v>
      </c>
      <c r="K3324">
        <v>0</v>
      </c>
    </row>
    <row r="3325" spans="1:11" x14ac:dyDescent="0.2">
      <c r="A3325" t="s">
        <v>4300</v>
      </c>
      <c r="B3325">
        <v>16</v>
      </c>
      <c r="C3325">
        <v>0</v>
      </c>
      <c r="D3325">
        <v>2</v>
      </c>
      <c r="E3325">
        <v>28</v>
      </c>
      <c r="F3325">
        <v>49</v>
      </c>
      <c r="G3325">
        <v>48</v>
      </c>
      <c r="H3325">
        <v>0</v>
      </c>
      <c r="I3325">
        <v>23</v>
      </c>
      <c r="J3325">
        <v>4</v>
      </c>
      <c r="K3325">
        <v>0</v>
      </c>
    </row>
    <row r="3326" spans="1:11" x14ac:dyDescent="0.2">
      <c r="A3326" t="s">
        <v>4301</v>
      </c>
      <c r="B3326">
        <v>425</v>
      </c>
      <c r="C3326">
        <v>0</v>
      </c>
      <c r="D3326">
        <v>41</v>
      </c>
      <c r="E3326">
        <v>3629</v>
      </c>
      <c r="F3326">
        <v>2714</v>
      </c>
      <c r="G3326">
        <v>12967</v>
      </c>
      <c r="H3326">
        <v>26</v>
      </c>
      <c r="I3326">
        <v>6870</v>
      </c>
      <c r="J3326">
        <v>212</v>
      </c>
      <c r="K3326">
        <v>0</v>
      </c>
    </row>
    <row r="3327" spans="1:11" x14ac:dyDescent="0.2">
      <c r="A3327" t="s">
        <v>4302</v>
      </c>
      <c r="B3327">
        <v>79</v>
      </c>
      <c r="C3327">
        <v>0</v>
      </c>
      <c r="D3327">
        <v>8</v>
      </c>
      <c r="E3327">
        <v>407</v>
      </c>
      <c r="F3327">
        <v>518</v>
      </c>
      <c r="G3327">
        <v>1584</v>
      </c>
      <c r="H3327">
        <v>1</v>
      </c>
      <c r="I3327">
        <v>138</v>
      </c>
      <c r="J3327">
        <v>40</v>
      </c>
      <c r="K3327">
        <v>0</v>
      </c>
    </row>
    <row r="3328" spans="1:11" x14ac:dyDescent="0.2">
      <c r="A3328" t="s">
        <v>4303</v>
      </c>
      <c r="B3328">
        <v>258</v>
      </c>
      <c r="C3328">
        <v>0</v>
      </c>
      <c r="D3328">
        <v>25</v>
      </c>
      <c r="E3328">
        <v>466</v>
      </c>
      <c r="F3328">
        <v>1708</v>
      </c>
      <c r="G3328">
        <v>1741</v>
      </c>
      <c r="H3328">
        <v>3</v>
      </c>
      <c r="I3328">
        <v>174</v>
      </c>
      <c r="J3328">
        <v>134</v>
      </c>
      <c r="K3328">
        <v>0</v>
      </c>
    </row>
    <row r="3329" spans="1:11" x14ac:dyDescent="0.2">
      <c r="A3329" t="s">
        <v>4304</v>
      </c>
      <c r="B3329">
        <v>4</v>
      </c>
      <c r="C3329">
        <v>0</v>
      </c>
      <c r="D3329">
        <v>0</v>
      </c>
      <c r="E3329">
        <v>39</v>
      </c>
      <c r="F3329">
        <v>117</v>
      </c>
      <c r="G3329">
        <v>603</v>
      </c>
      <c r="H3329">
        <v>0</v>
      </c>
      <c r="I3329">
        <v>97</v>
      </c>
      <c r="J3329">
        <v>9</v>
      </c>
      <c r="K3329">
        <v>0</v>
      </c>
    </row>
    <row r="3330" spans="1:11" x14ac:dyDescent="0.2">
      <c r="A3330" t="s">
        <v>4305</v>
      </c>
      <c r="B3330">
        <v>147</v>
      </c>
      <c r="C3330">
        <v>0</v>
      </c>
      <c r="D3330">
        <v>14</v>
      </c>
      <c r="E3330">
        <v>1274</v>
      </c>
      <c r="F3330">
        <v>246</v>
      </c>
      <c r="G3330">
        <v>1242</v>
      </c>
      <c r="H3330">
        <v>0</v>
      </c>
      <c r="I3330">
        <v>90</v>
      </c>
      <c r="J3330">
        <v>19</v>
      </c>
      <c r="K3330">
        <v>0</v>
      </c>
    </row>
    <row r="3331" spans="1:11" x14ac:dyDescent="0.2">
      <c r="A3331" t="s">
        <v>4306</v>
      </c>
      <c r="B3331">
        <v>19</v>
      </c>
      <c r="C3331">
        <v>0</v>
      </c>
      <c r="D3331">
        <v>2</v>
      </c>
      <c r="E3331">
        <v>98</v>
      </c>
      <c r="F3331">
        <v>45</v>
      </c>
      <c r="G3331">
        <v>136</v>
      </c>
      <c r="H3331">
        <v>0</v>
      </c>
      <c r="I3331">
        <v>34</v>
      </c>
      <c r="J3331">
        <v>4</v>
      </c>
      <c r="K3331">
        <v>0</v>
      </c>
    </row>
    <row r="3332" spans="1:11" x14ac:dyDescent="0.2">
      <c r="A3332" t="s">
        <v>4307</v>
      </c>
      <c r="B3332">
        <v>782</v>
      </c>
      <c r="C3332">
        <v>0</v>
      </c>
      <c r="D3332">
        <v>76</v>
      </c>
      <c r="E3332">
        <v>1381</v>
      </c>
      <c r="F3332">
        <v>2225</v>
      </c>
      <c r="G3332">
        <v>2170</v>
      </c>
      <c r="H3332">
        <v>12</v>
      </c>
      <c r="I3332">
        <v>672</v>
      </c>
      <c r="J3332">
        <v>174</v>
      </c>
      <c r="K3332">
        <v>0</v>
      </c>
    </row>
    <row r="3333" spans="1:11" x14ac:dyDescent="0.2">
      <c r="A3333" t="s">
        <v>4308</v>
      </c>
      <c r="B3333">
        <v>1</v>
      </c>
      <c r="C3333">
        <v>0</v>
      </c>
      <c r="D3333">
        <v>0</v>
      </c>
      <c r="E3333">
        <v>2</v>
      </c>
      <c r="F3333">
        <v>2</v>
      </c>
      <c r="G3333">
        <v>2</v>
      </c>
      <c r="H3333">
        <v>0</v>
      </c>
      <c r="I3333">
        <v>0</v>
      </c>
      <c r="J3333">
        <v>0</v>
      </c>
      <c r="K3333">
        <v>0</v>
      </c>
    </row>
    <row r="3334" spans="1:11" x14ac:dyDescent="0.2">
      <c r="A3334" t="s">
        <v>4309</v>
      </c>
      <c r="B3334">
        <v>377</v>
      </c>
      <c r="C3334">
        <v>0</v>
      </c>
      <c r="D3334">
        <v>25</v>
      </c>
      <c r="E3334">
        <v>406</v>
      </c>
      <c r="F3334">
        <v>0</v>
      </c>
      <c r="G3334">
        <v>0</v>
      </c>
      <c r="H3334">
        <v>0</v>
      </c>
      <c r="I3334">
        <v>0</v>
      </c>
      <c r="J3334">
        <v>0</v>
      </c>
      <c r="K3334">
        <v>0</v>
      </c>
    </row>
    <row r="3335" spans="1:11" x14ac:dyDescent="0.2">
      <c r="A3335" t="s">
        <v>4310</v>
      </c>
      <c r="B3335">
        <v>1680</v>
      </c>
      <c r="C3335">
        <v>0</v>
      </c>
      <c r="D3335">
        <v>154</v>
      </c>
      <c r="E3335">
        <v>2522</v>
      </c>
      <c r="F3335">
        <v>0</v>
      </c>
      <c r="G3335">
        <v>0</v>
      </c>
      <c r="H3335">
        <v>0</v>
      </c>
      <c r="I3335">
        <v>0</v>
      </c>
      <c r="J3335">
        <v>0</v>
      </c>
      <c r="K3335">
        <v>0</v>
      </c>
    </row>
    <row r="3336" spans="1:11" x14ac:dyDescent="0.2">
      <c r="A3336" t="s">
        <v>4311</v>
      </c>
      <c r="B3336">
        <v>11996</v>
      </c>
      <c r="C3336">
        <v>0</v>
      </c>
      <c r="D3336">
        <v>1123</v>
      </c>
      <c r="E3336">
        <v>18759</v>
      </c>
      <c r="F3336">
        <v>76</v>
      </c>
      <c r="G3336">
        <v>65</v>
      </c>
      <c r="H3336">
        <v>0</v>
      </c>
      <c r="I3336">
        <v>7</v>
      </c>
      <c r="J3336">
        <v>6</v>
      </c>
      <c r="K3336">
        <v>0</v>
      </c>
    </row>
    <row r="3337" spans="1:11" x14ac:dyDescent="0.2">
      <c r="A3337" t="s">
        <v>4312</v>
      </c>
      <c r="B3337">
        <v>1</v>
      </c>
      <c r="C3337">
        <v>0</v>
      </c>
      <c r="D3337">
        <v>0</v>
      </c>
      <c r="E3337">
        <v>2</v>
      </c>
      <c r="F3337">
        <v>48</v>
      </c>
      <c r="G3337">
        <v>41</v>
      </c>
      <c r="H3337">
        <v>0</v>
      </c>
      <c r="I3337">
        <v>18</v>
      </c>
      <c r="J3337">
        <v>4</v>
      </c>
      <c r="K3337">
        <v>0</v>
      </c>
    </row>
    <row r="3338" spans="1:11" x14ac:dyDescent="0.2">
      <c r="A3338" t="s">
        <v>4313</v>
      </c>
      <c r="B3338">
        <v>0</v>
      </c>
      <c r="C3338">
        <v>0</v>
      </c>
      <c r="D3338">
        <v>0</v>
      </c>
      <c r="E3338">
        <v>0</v>
      </c>
      <c r="F3338">
        <v>0</v>
      </c>
      <c r="G3338">
        <v>0</v>
      </c>
      <c r="H3338">
        <v>0</v>
      </c>
      <c r="I3338">
        <v>0</v>
      </c>
      <c r="J3338">
        <v>0</v>
      </c>
      <c r="K3338">
        <v>0</v>
      </c>
    </row>
    <row r="3339" spans="1:11" x14ac:dyDescent="0.2">
      <c r="A3339" t="s">
        <v>4314</v>
      </c>
      <c r="B3339">
        <v>8</v>
      </c>
      <c r="C3339">
        <v>0</v>
      </c>
      <c r="D3339">
        <v>1</v>
      </c>
      <c r="E3339">
        <v>13</v>
      </c>
      <c r="F3339">
        <v>0</v>
      </c>
      <c r="G3339">
        <v>0</v>
      </c>
      <c r="H3339">
        <v>0</v>
      </c>
      <c r="I3339">
        <v>0</v>
      </c>
      <c r="J3339">
        <v>0</v>
      </c>
      <c r="K3339">
        <v>0</v>
      </c>
    </row>
    <row r="3340" spans="1:11" x14ac:dyDescent="0.2">
      <c r="A3340" t="s">
        <v>4315</v>
      </c>
      <c r="B3340">
        <v>0</v>
      </c>
      <c r="C3340">
        <v>0</v>
      </c>
      <c r="D3340">
        <v>0</v>
      </c>
      <c r="E3340">
        <v>0</v>
      </c>
      <c r="F3340">
        <v>0</v>
      </c>
      <c r="G3340">
        <v>0</v>
      </c>
      <c r="H3340">
        <v>0</v>
      </c>
      <c r="I3340">
        <v>0</v>
      </c>
      <c r="J3340">
        <v>0</v>
      </c>
      <c r="K3340">
        <v>0</v>
      </c>
    </row>
    <row r="3341" spans="1:11" x14ac:dyDescent="0.2">
      <c r="A3341" t="s">
        <v>4316</v>
      </c>
      <c r="B3341">
        <v>0</v>
      </c>
      <c r="C3341">
        <v>0</v>
      </c>
      <c r="D3341">
        <v>0</v>
      </c>
      <c r="E3341">
        <v>0</v>
      </c>
      <c r="F3341">
        <v>0</v>
      </c>
      <c r="G3341">
        <v>0</v>
      </c>
      <c r="H3341">
        <v>0</v>
      </c>
      <c r="I3341">
        <v>0</v>
      </c>
      <c r="J3341">
        <v>0</v>
      </c>
      <c r="K3341">
        <v>0</v>
      </c>
    </row>
    <row r="3342" spans="1:11" x14ac:dyDescent="0.2">
      <c r="A3342" t="s">
        <v>4317</v>
      </c>
      <c r="B3342">
        <v>0</v>
      </c>
      <c r="C3342">
        <v>0</v>
      </c>
      <c r="D3342">
        <v>0</v>
      </c>
      <c r="E3342">
        <v>0</v>
      </c>
      <c r="F3342">
        <v>0</v>
      </c>
      <c r="G3342">
        <v>0</v>
      </c>
      <c r="H3342">
        <v>0</v>
      </c>
      <c r="I3342">
        <v>0</v>
      </c>
      <c r="J3342">
        <v>0</v>
      </c>
      <c r="K3342">
        <v>0</v>
      </c>
    </row>
    <row r="3343" spans="1:11" x14ac:dyDescent="0.2">
      <c r="A3343" t="s">
        <v>4318</v>
      </c>
      <c r="B3343">
        <v>0</v>
      </c>
      <c r="C3343">
        <v>0</v>
      </c>
      <c r="D3343">
        <v>0</v>
      </c>
      <c r="E3343">
        <v>0</v>
      </c>
      <c r="F3343">
        <v>0</v>
      </c>
      <c r="G3343">
        <v>0</v>
      </c>
      <c r="H3343">
        <v>0</v>
      </c>
      <c r="I3343">
        <v>0</v>
      </c>
      <c r="J3343">
        <v>0</v>
      </c>
      <c r="K3343">
        <v>0</v>
      </c>
    </row>
    <row r="3344" spans="1:11" x14ac:dyDescent="0.2">
      <c r="A3344" t="s">
        <v>4319</v>
      </c>
      <c r="B3344">
        <v>0</v>
      </c>
      <c r="C3344">
        <v>0</v>
      </c>
      <c r="D3344">
        <v>0</v>
      </c>
      <c r="E3344">
        <v>0</v>
      </c>
      <c r="F3344">
        <v>0</v>
      </c>
      <c r="G3344">
        <v>0</v>
      </c>
      <c r="H3344">
        <v>0</v>
      </c>
      <c r="I3344">
        <v>0</v>
      </c>
      <c r="J3344">
        <v>0</v>
      </c>
      <c r="K3344">
        <v>0</v>
      </c>
    </row>
    <row r="3345" spans="1:11" x14ac:dyDescent="0.2">
      <c r="A3345" t="s">
        <v>4320</v>
      </c>
      <c r="B3345">
        <v>0</v>
      </c>
      <c r="C3345">
        <v>0</v>
      </c>
      <c r="D3345">
        <v>0</v>
      </c>
      <c r="E3345">
        <v>0</v>
      </c>
      <c r="F3345">
        <v>0</v>
      </c>
      <c r="G3345">
        <v>0</v>
      </c>
      <c r="H3345">
        <v>0</v>
      </c>
      <c r="I3345">
        <v>0</v>
      </c>
      <c r="J3345">
        <v>0</v>
      </c>
      <c r="K3345">
        <v>0</v>
      </c>
    </row>
    <row r="3346" spans="1:11" x14ac:dyDescent="0.2">
      <c r="A3346" t="s">
        <v>4321</v>
      </c>
      <c r="B3346">
        <v>0</v>
      </c>
      <c r="C3346">
        <v>0</v>
      </c>
      <c r="D3346">
        <v>0</v>
      </c>
      <c r="E3346">
        <v>0</v>
      </c>
      <c r="F3346">
        <v>0</v>
      </c>
      <c r="G3346">
        <v>0</v>
      </c>
      <c r="H3346">
        <v>0</v>
      </c>
      <c r="I3346">
        <v>0</v>
      </c>
      <c r="J3346">
        <v>0</v>
      </c>
      <c r="K3346">
        <v>0</v>
      </c>
    </row>
    <row r="3347" spans="1:11" x14ac:dyDescent="0.2">
      <c r="A3347" t="s">
        <v>4322</v>
      </c>
      <c r="B3347">
        <v>0</v>
      </c>
      <c r="C3347">
        <v>0</v>
      </c>
      <c r="D3347">
        <v>0</v>
      </c>
      <c r="E3347">
        <v>0</v>
      </c>
      <c r="F3347">
        <v>0</v>
      </c>
      <c r="G3347">
        <v>0</v>
      </c>
      <c r="H3347">
        <v>0</v>
      </c>
      <c r="I3347">
        <v>0</v>
      </c>
      <c r="J3347">
        <v>0</v>
      </c>
      <c r="K3347">
        <v>0</v>
      </c>
    </row>
    <row r="3348" spans="1:11" x14ac:dyDescent="0.2">
      <c r="A3348" t="s">
        <v>4323</v>
      </c>
      <c r="B3348">
        <v>0</v>
      </c>
      <c r="C3348">
        <v>0</v>
      </c>
      <c r="D3348">
        <v>0</v>
      </c>
      <c r="E3348">
        <v>0</v>
      </c>
      <c r="F3348">
        <v>0</v>
      </c>
      <c r="G3348">
        <v>0</v>
      </c>
      <c r="H3348">
        <v>0</v>
      </c>
      <c r="I3348">
        <v>0</v>
      </c>
      <c r="J3348">
        <v>0</v>
      </c>
      <c r="K3348">
        <v>0</v>
      </c>
    </row>
    <row r="3349" spans="1:11" x14ac:dyDescent="0.2">
      <c r="A3349" t="s">
        <v>4324</v>
      </c>
      <c r="B3349">
        <v>0</v>
      </c>
      <c r="C3349">
        <v>0</v>
      </c>
      <c r="D3349">
        <v>0</v>
      </c>
      <c r="E3349">
        <v>0</v>
      </c>
      <c r="F3349">
        <v>0</v>
      </c>
      <c r="G3349">
        <v>0</v>
      </c>
      <c r="H3349">
        <v>0</v>
      </c>
      <c r="I3349">
        <v>0</v>
      </c>
      <c r="J3349">
        <v>0</v>
      </c>
      <c r="K3349">
        <v>0</v>
      </c>
    </row>
    <row r="3350" spans="1:11" x14ac:dyDescent="0.2">
      <c r="A3350" t="s">
        <v>4325</v>
      </c>
      <c r="B3350">
        <v>0</v>
      </c>
      <c r="C3350">
        <v>0</v>
      </c>
      <c r="D3350">
        <v>0</v>
      </c>
      <c r="E3350">
        <v>0</v>
      </c>
      <c r="F3350">
        <v>0</v>
      </c>
      <c r="G3350">
        <v>0</v>
      </c>
      <c r="H3350">
        <v>0</v>
      </c>
      <c r="I3350">
        <v>0</v>
      </c>
      <c r="J3350">
        <v>0</v>
      </c>
      <c r="K3350">
        <v>0</v>
      </c>
    </row>
    <row r="3351" spans="1:11" x14ac:dyDescent="0.2">
      <c r="A3351" t="s">
        <v>4326</v>
      </c>
      <c r="B3351">
        <v>0</v>
      </c>
      <c r="C3351">
        <v>0</v>
      </c>
      <c r="D3351">
        <v>0</v>
      </c>
      <c r="E3351">
        <v>0</v>
      </c>
      <c r="F3351">
        <v>0</v>
      </c>
      <c r="G3351">
        <v>0</v>
      </c>
      <c r="H3351">
        <v>0</v>
      </c>
      <c r="I3351">
        <v>0</v>
      </c>
      <c r="J3351">
        <v>0</v>
      </c>
      <c r="K3351">
        <v>0</v>
      </c>
    </row>
    <row r="3352" spans="1:11" x14ac:dyDescent="0.2">
      <c r="A3352" t="s">
        <v>4327</v>
      </c>
      <c r="B3352">
        <v>0</v>
      </c>
      <c r="C3352">
        <v>0</v>
      </c>
      <c r="D3352">
        <v>0</v>
      </c>
      <c r="E3352">
        <v>0</v>
      </c>
      <c r="F3352">
        <v>0</v>
      </c>
      <c r="G3352">
        <v>0</v>
      </c>
      <c r="H3352">
        <v>0</v>
      </c>
      <c r="I3352">
        <v>0</v>
      </c>
      <c r="J3352">
        <v>0</v>
      </c>
      <c r="K3352">
        <v>0</v>
      </c>
    </row>
    <row r="3353" spans="1:11" x14ac:dyDescent="0.2">
      <c r="A3353" t="s">
        <v>4328</v>
      </c>
      <c r="B3353">
        <v>0</v>
      </c>
      <c r="C3353">
        <v>0</v>
      </c>
      <c r="D3353">
        <v>0</v>
      </c>
      <c r="E3353">
        <v>0</v>
      </c>
      <c r="F3353">
        <v>0</v>
      </c>
      <c r="G3353">
        <v>0</v>
      </c>
      <c r="H3353">
        <v>0</v>
      </c>
      <c r="I3353">
        <v>0</v>
      </c>
      <c r="J3353">
        <v>0</v>
      </c>
      <c r="K3353">
        <v>0</v>
      </c>
    </row>
    <row r="3354" spans="1:11" x14ac:dyDescent="0.2">
      <c r="A3354" t="s">
        <v>4329</v>
      </c>
      <c r="B3354">
        <v>0</v>
      </c>
      <c r="C3354">
        <v>0</v>
      </c>
      <c r="D3354">
        <v>0</v>
      </c>
      <c r="E3354">
        <v>0</v>
      </c>
      <c r="F3354">
        <v>0</v>
      </c>
      <c r="G3354">
        <v>0</v>
      </c>
      <c r="H3354">
        <v>0</v>
      </c>
      <c r="I3354">
        <v>0</v>
      </c>
      <c r="J3354">
        <v>0</v>
      </c>
      <c r="K3354">
        <v>0</v>
      </c>
    </row>
    <row r="3355" spans="1:11" x14ac:dyDescent="0.2">
      <c r="A3355" t="s">
        <v>4330</v>
      </c>
      <c r="B3355">
        <v>0</v>
      </c>
      <c r="C3355">
        <v>0</v>
      </c>
      <c r="D3355">
        <v>0</v>
      </c>
      <c r="E3355">
        <v>0</v>
      </c>
      <c r="F3355">
        <v>0</v>
      </c>
      <c r="G3355">
        <v>0</v>
      </c>
      <c r="H3355">
        <v>0</v>
      </c>
      <c r="I3355">
        <v>0</v>
      </c>
      <c r="J3355">
        <v>0</v>
      </c>
      <c r="K3355">
        <v>0</v>
      </c>
    </row>
    <row r="3356" spans="1:11" x14ac:dyDescent="0.2">
      <c r="A3356" t="s">
        <v>4331</v>
      </c>
      <c r="B3356">
        <v>0</v>
      </c>
      <c r="C3356">
        <v>0</v>
      </c>
      <c r="D3356">
        <v>0</v>
      </c>
      <c r="E3356">
        <v>0</v>
      </c>
      <c r="F3356">
        <v>0</v>
      </c>
      <c r="G3356">
        <v>0</v>
      </c>
      <c r="H3356">
        <v>0</v>
      </c>
      <c r="I3356">
        <v>0</v>
      </c>
      <c r="J3356">
        <v>0</v>
      </c>
      <c r="K3356">
        <v>0</v>
      </c>
    </row>
    <row r="3357" spans="1:11" x14ac:dyDescent="0.2">
      <c r="A3357" t="s">
        <v>4332</v>
      </c>
      <c r="B3357">
        <v>2</v>
      </c>
      <c r="C3357">
        <v>0</v>
      </c>
      <c r="D3357">
        <v>0</v>
      </c>
      <c r="E3357">
        <v>4</v>
      </c>
      <c r="F3357">
        <v>0</v>
      </c>
      <c r="G3357">
        <v>0</v>
      </c>
      <c r="H3357">
        <v>0</v>
      </c>
      <c r="I3357">
        <v>0</v>
      </c>
      <c r="J3357">
        <v>0</v>
      </c>
      <c r="K3357">
        <v>0</v>
      </c>
    </row>
    <row r="3358" spans="1:11" x14ac:dyDescent="0.2">
      <c r="A3358" t="s">
        <v>4333</v>
      </c>
      <c r="B3358">
        <v>0</v>
      </c>
      <c r="C3358">
        <v>0</v>
      </c>
      <c r="D3358">
        <v>0</v>
      </c>
      <c r="E3358">
        <v>0</v>
      </c>
      <c r="F3358">
        <v>0</v>
      </c>
      <c r="G3358">
        <v>0</v>
      </c>
      <c r="H3358">
        <v>0</v>
      </c>
      <c r="I3358">
        <v>0</v>
      </c>
      <c r="J3358">
        <v>0</v>
      </c>
      <c r="K3358">
        <v>0</v>
      </c>
    </row>
    <row r="3359" spans="1:11" x14ac:dyDescent="0.2">
      <c r="A3359" t="s">
        <v>4334</v>
      </c>
      <c r="B3359">
        <v>0</v>
      </c>
      <c r="C3359">
        <v>0</v>
      </c>
      <c r="D3359">
        <v>0</v>
      </c>
      <c r="E3359">
        <v>0</v>
      </c>
      <c r="F3359">
        <v>0</v>
      </c>
      <c r="G3359">
        <v>0</v>
      </c>
      <c r="H3359">
        <v>0</v>
      </c>
      <c r="I3359">
        <v>0</v>
      </c>
      <c r="J3359">
        <v>0</v>
      </c>
      <c r="K3359">
        <v>0</v>
      </c>
    </row>
    <row r="3360" spans="1:11" x14ac:dyDescent="0.2">
      <c r="A3360" t="s">
        <v>4335</v>
      </c>
      <c r="B3360">
        <v>0</v>
      </c>
      <c r="C3360">
        <v>0</v>
      </c>
      <c r="D3360">
        <v>0</v>
      </c>
      <c r="E3360">
        <v>0</v>
      </c>
      <c r="F3360">
        <v>0</v>
      </c>
      <c r="G3360">
        <v>0</v>
      </c>
      <c r="H3360">
        <v>0</v>
      </c>
      <c r="I3360">
        <v>0</v>
      </c>
      <c r="J3360">
        <v>0</v>
      </c>
      <c r="K3360">
        <v>0</v>
      </c>
    </row>
    <row r="3361" spans="1:11" x14ac:dyDescent="0.2">
      <c r="A3361" t="s">
        <v>4336</v>
      </c>
      <c r="B3361">
        <v>0</v>
      </c>
      <c r="C3361">
        <v>0</v>
      </c>
      <c r="D3361">
        <v>0</v>
      </c>
      <c r="E3361">
        <v>0</v>
      </c>
      <c r="F3361">
        <v>0</v>
      </c>
      <c r="G3361">
        <v>0</v>
      </c>
      <c r="H3361">
        <v>0</v>
      </c>
      <c r="I3361">
        <v>0</v>
      </c>
      <c r="J3361">
        <v>0</v>
      </c>
      <c r="K3361">
        <v>0</v>
      </c>
    </row>
    <row r="3362" spans="1:11" x14ac:dyDescent="0.2">
      <c r="A3362" t="s">
        <v>4337</v>
      </c>
      <c r="B3362">
        <v>0</v>
      </c>
      <c r="C3362">
        <v>0</v>
      </c>
      <c r="D3362">
        <v>0</v>
      </c>
      <c r="E3362">
        <v>0</v>
      </c>
      <c r="F3362">
        <v>0</v>
      </c>
      <c r="G3362">
        <v>0</v>
      </c>
      <c r="H3362">
        <v>0</v>
      </c>
      <c r="I3362">
        <v>0</v>
      </c>
      <c r="J3362">
        <v>0</v>
      </c>
      <c r="K3362">
        <v>0</v>
      </c>
    </row>
    <row r="3363" spans="1:11" x14ac:dyDescent="0.2">
      <c r="A3363" t="s">
        <v>4338</v>
      </c>
      <c r="B3363">
        <v>0</v>
      </c>
      <c r="C3363">
        <v>0</v>
      </c>
      <c r="D3363">
        <v>0</v>
      </c>
      <c r="E3363">
        <v>0</v>
      </c>
      <c r="F3363">
        <v>0</v>
      </c>
      <c r="G3363">
        <v>0</v>
      </c>
      <c r="H3363">
        <v>0</v>
      </c>
      <c r="I3363">
        <v>0</v>
      </c>
      <c r="J3363">
        <v>0</v>
      </c>
      <c r="K3363">
        <v>0</v>
      </c>
    </row>
    <row r="3364" spans="1:11" x14ac:dyDescent="0.2">
      <c r="A3364" t="s">
        <v>4339</v>
      </c>
      <c r="B3364">
        <v>0</v>
      </c>
      <c r="C3364">
        <v>0</v>
      </c>
      <c r="D3364">
        <v>0</v>
      </c>
      <c r="E3364">
        <v>0</v>
      </c>
      <c r="F3364">
        <v>0</v>
      </c>
      <c r="G3364">
        <v>0</v>
      </c>
      <c r="H3364">
        <v>0</v>
      </c>
      <c r="I3364">
        <v>0</v>
      </c>
      <c r="J3364">
        <v>0</v>
      </c>
      <c r="K3364">
        <v>0</v>
      </c>
    </row>
    <row r="3365" spans="1:11" x14ac:dyDescent="0.2">
      <c r="A3365" t="s">
        <v>4340</v>
      </c>
      <c r="B3365">
        <v>0</v>
      </c>
      <c r="C3365">
        <v>0</v>
      </c>
      <c r="D3365">
        <v>0</v>
      </c>
      <c r="E3365">
        <v>0</v>
      </c>
      <c r="F3365">
        <v>0</v>
      </c>
      <c r="G3365">
        <v>0</v>
      </c>
      <c r="H3365">
        <v>0</v>
      </c>
      <c r="I3365">
        <v>0</v>
      </c>
      <c r="J3365">
        <v>0</v>
      </c>
      <c r="K3365">
        <v>0</v>
      </c>
    </row>
    <row r="3366" spans="1:11" x14ac:dyDescent="0.2">
      <c r="A3366" t="s">
        <v>4341</v>
      </c>
      <c r="B3366">
        <v>0</v>
      </c>
      <c r="C3366">
        <v>0</v>
      </c>
      <c r="D3366">
        <v>0</v>
      </c>
      <c r="E3366">
        <v>0</v>
      </c>
      <c r="F3366">
        <v>0</v>
      </c>
      <c r="G3366">
        <v>0</v>
      </c>
      <c r="H3366">
        <v>0</v>
      </c>
      <c r="I3366">
        <v>0</v>
      </c>
      <c r="J3366">
        <v>0</v>
      </c>
      <c r="K3366">
        <v>0</v>
      </c>
    </row>
    <row r="3367" spans="1:11" x14ac:dyDescent="0.2">
      <c r="A3367" t="s">
        <v>4342</v>
      </c>
      <c r="B3367">
        <v>0</v>
      </c>
      <c r="C3367">
        <v>0</v>
      </c>
      <c r="D3367">
        <v>0</v>
      </c>
      <c r="E3367">
        <v>0</v>
      </c>
      <c r="F3367">
        <v>0</v>
      </c>
      <c r="G3367">
        <v>0</v>
      </c>
      <c r="H3367">
        <v>0</v>
      </c>
      <c r="I3367">
        <v>0</v>
      </c>
      <c r="J3367">
        <v>0</v>
      </c>
      <c r="K3367">
        <v>0</v>
      </c>
    </row>
    <row r="3368" spans="1:11" x14ac:dyDescent="0.2">
      <c r="A3368" t="s">
        <v>4343</v>
      </c>
      <c r="B3368">
        <v>0</v>
      </c>
      <c r="C3368">
        <v>0</v>
      </c>
      <c r="D3368">
        <v>0</v>
      </c>
      <c r="E3368">
        <v>0</v>
      </c>
      <c r="F3368">
        <v>0</v>
      </c>
      <c r="G3368">
        <v>0</v>
      </c>
      <c r="H3368">
        <v>0</v>
      </c>
      <c r="I3368">
        <v>0</v>
      </c>
      <c r="J3368">
        <v>0</v>
      </c>
      <c r="K3368">
        <v>0</v>
      </c>
    </row>
    <row r="3369" spans="1:11" x14ac:dyDescent="0.2">
      <c r="A3369" t="s">
        <v>1728</v>
      </c>
      <c r="B3369">
        <v>0</v>
      </c>
      <c r="C3369">
        <v>0</v>
      </c>
      <c r="D3369">
        <v>0</v>
      </c>
      <c r="E3369">
        <v>0</v>
      </c>
      <c r="F3369">
        <v>0</v>
      </c>
      <c r="G3369">
        <v>0</v>
      </c>
      <c r="H3369">
        <v>0</v>
      </c>
      <c r="I3369">
        <v>0</v>
      </c>
      <c r="J3369">
        <v>0</v>
      </c>
      <c r="K3369">
        <v>0</v>
      </c>
    </row>
    <row r="3370" spans="1:11" x14ac:dyDescent="0.2">
      <c r="A3370" t="s">
        <v>1730</v>
      </c>
      <c r="B3370">
        <v>6</v>
      </c>
      <c r="C3370">
        <v>0</v>
      </c>
      <c r="D3370">
        <v>1</v>
      </c>
      <c r="E3370">
        <v>9</v>
      </c>
      <c r="F3370">
        <v>3</v>
      </c>
      <c r="G3370">
        <v>3</v>
      </c>
      <c r="H3370">
        <v>0</v>
      </c>
      <c r="I3370">
        <v>0</v>
      </c>
      <c r="J3370">
        <v>0</v>
      </c>
      <c r="K3370">
        <v>0</v>
      </c>
    </row>
    <row r="3371" spans="1:11" x14ac:dyDescent="0.2">
      <c r="A3371" t="s">
        <v>1733</v>
      </c>
      <c r="B3371">
        <v>0</v>
      </c>
      <c r="C3371">
        <v>0</v>
      </c>
      <c r="D3371">
        <v>0</v>
      </c>
      <c r="E3371">
        <v>0</v>
      </c>
      <c r="F3371">
        <v>0</v>
      </c>
      <c r="G3371">
        <v>0</v>
      </c>
      <c r="H3371">
        <v>0</v>
      </c>
      <c r="I3371">
        <v>0</v>
      </c>
      <c r="J3371">
        <v>0</v>
      </c>
      <c r="K3371">
        <v>0</v>
      </c>
    </row>
    <row r="3372" spans="1:11" x14ac:dyDescent="0.2">
      <c r="A3372" t="s">
        <v>1738</v>
      </c>
      <c r="B3372">
        <v>0</v>
      </c>
      <c r="C3372">
        <v>0</v>
      </c>
      <c r="D3372">
        <v>0</v>
      </c>
      <c r="E3372">
        <v>0</v>
      </c>
      <c r="F3372">
        <v>0</v>
      </c>
      <c r="G3372">
        <v>0</v>
      </c>
      <c r="H3372">
        <v>0</v>
      </c>
      <c r="I3372">
        <v>0</v>
      </c>
      <c r="J3372">
        <v>0</v>
      </c>
      <c r="K3372">
        <v>0</v>
      </c>
    </row>
    <row r="3373" spans="1:11" x14ac:dyDescent="0.2">
      <c r="A3373" t="s">
        <v>1744</v>
      </c>
      <c r="B3373">
        <v>0</v>
      </c>
      <c r="C3373">
        <v>0</v>
      </c>
      <c r="D3373">
        <v>0</v>
      </c>
      <c r="E3373">
        <v>0</v>
      </c>
      <c r="F3373">
        <v>0</v>
      </c>
      <c r="G3373">
        <v>0</v>
      </c>
      <c r="H3373">
        <v>0</v>
      </c>
      <c r="I3373">
        <v>0</v>
      </c>
      <c r="J3373">
        <v>0</v>
      </c>
      <c r="K3373">
        <v>0</v>
      </c>
    </row>
    <row r="3374" spans="1:11" x14ac:dyDescent="0.2">
      <c r="A3374" t="s">
        <v>1747</v>
      </c>
      <c r="B3374">
        <v>0</v>
      </c>
      <c r="C3374">
        <v>0</v>
      </c>
      <c r="D3374">
        <v>0</v>
      </c>
      <c r="E3374">
        <v>0</v>
      </c>
      <c r="F3374">
        <v>0</v>
      </c>
      <c r="G3374">
        <v>0</v>
      </c>
      <c r="H3374">
        <v>0</v>
      </c>
      <c r="I3374">
        <v>0</v>
      </c>
      <c r="J3374">
        <v>0</v>
      </c>
      <c r="K3374">
        <v>0</v>
      </c>
    </row>
    <row r="3375" spans="1:11" x14ac:dyDescent="0.2">
      <c r="A3375" t="s">
        <v>1751</v>
      </c>
      <c r="B3375">
        <v>0</v>
      </c>
      <c r="C3375">
        <v>0</v>
      </c>
      <c r="D3375">
        <v>0</v>
      </c>
      <c r="E3375">
        <v>0</v>
      </c>
      <c r="F3375">
        <v>0</v>
      </c>
      <c r="G3375">
        <v>0</v>
      </c>
      <c r="H3375">
        <v>0</v>
      </c>
      <c r="I3375">
        <v>0</v>
      </c>
      <c r="J3375">
        <v>0</v>
      </c>
      <c r="K3375">
        <v>0</v>
      </c>
    </row>
    <row r="3376" spans="1:11" x14ac:dyDescent="0.2">
      <c r="A3376" t="s">
        <v>1755</v>
      </c>
      <c r="B3376">
        <v>1</v>
      </c>
      <c r="C3376">
        <v>0</v>
      </c>
      <c r="D3376">
        <v>0</v>
      </c>
      <c r="E3376">
        <v>2</v>
      </c>
      <c r="F3376">
        <v>0</v>
      </c>
      <c r="G3376">
        <v>0</v>
      </c>
      <c r="H3376">
        <v>0</v>
      </c>
      <c r="I3376">
        <v>0</v>
      </c>
      <c r="J3376">
        <v>0</v>
      </c>
      <c r="K3376">
        <v>0</v>
      </c>
    </row>
    <row r="3377" spans="1:11" x14ac:dyDescent="0.2">
      <c r="A3377" t="s">
        <v>1757</v>
      </c>
      <c r="B3377">
        <v>2</v>
      </c>
      <c r="C3377">
        <v>0</v>
      </c>
      <c r="D3377">
        <v>0</v>
      </c>
      <c r="E3377">
        <v>3</v>
      </c>
      <c r="F3377">
        <v>0</v>
      </c>
      <c r="G3377">
        <v>0</v>
      </c>
      <c r="H3377">
        <v>0</v>
      </c>
      <c r="I3377">
        <v>0</v>
      </c>
      <c r="J3377">
        <v>0</v>
      </c>
      <c r="K3377">
        <v>0</v>
      </c>
    </row>
    <row r="3378" spans="1:11" x14ac:dyDescent="0.2">
      <c r="A3378" t="s">
        <v>1761</v>
      </c>
      <c r="B3378">
        <v>0</v>
      </c>
      <c r="C3378">
        <v>0</v>
      </c>
      <c r="D3378">
        <v>0</v>
      </c>
      <c r="E3378">
        <v>0</v>
      </c>
      <c r="F3378">
        <v>0</v>
      </c>
      <c r="G3378">
        <v>0</v>
      </c>
      <c r="H3378">
        <v>0</v>
      </c>
      <c r="I3378">
        <v>0</v>
      </c>
      <c r="J3378">
        <v>0</v>
      </c>
      <c r="K3378">
        <v>0</v>
      </c>
    </row>
    <row r="3379" spans="1:11" x14ac:dyDescent="0.2">
      <c r="A3379" t="s">
        <v>1764</v>
      </c>
      <c r="B3379">
        <v>0</v>
      </c>
      <c r="C3379">
        <v>0</v>
      </c>
      <c r="D3379">
        <v>0</v>
      </c>
      <c r="E3379">
        <v>0</v>
      </c>
      <c r="F3379">
        <v>0</v>
      </c>
      <c r="G3379">
        <v>0</v>
      </c>
      <c r="H3379">
        <v>0</v>
      </c>
      <c r="I3379">
        <v>0</v>
      </c>
      <c r="J3379">
        <v>0</v>
      </c>
      <c r="K3379">
        <v>0</v>
      </c>
    </row>
    <row r="3380" spans="1:11" x14ac:dyDescent="0.2">
      <c r="A3380" t="s">
        <v>1770</v>
      </c>
      <c r="B3380">
        <v>12</v>
      </c>
      <c r="C3380">
        <v>0</v>
      </c>
      <c r="D3380">
        <v>1</v>
      </c>
      <c r="E3380">
        <v>149</v>
      </c>
      <c r="F3380">
        <v>44</v>
      </c>
      <c r="G3380">
        <v>295</v>
      </c>
      <c r="H3380">
        <v>0</v>
      </c>
      <c r="I3380">
        <v>54</v>
      </c>
      <c r="J3380">
        <v>3</v>
      </c>
      <c r="K3380">
        <v>0</v>
      </c>
    </row>
    <row r="3381" spans="1:11" x14ac:dyDescent="0.2">
      <c r="A3381" t="s">
        <v>1772</v>
      </c>
      <c r="B3381">
        <v>2</v>
      </c>
      <c r="C3381">
        <v>0</v>
      </c>
      <c r="D3381">
        <v>0</v>
      </c>
      <c r="E3381">
        <v>18</v>
      </c>
      <c r="F3381">
        <v>7</v>
      </c>
      <c r="G3381">
        <v>44</v>
      </c>
      <c r="H3381">
        <v>0</v>
      </c>
      <c r="I3381">
        <v>42</v>
      </c>
      <c r="J3381">
        <v>1</v>
      </c>
      <c r="K3381">
        <v>0</v>
      </c>
    </row>
    <row r="3382" spans="1:11" x14ac:dyDescent="0.2">
      <c r="A3382" t="s">
        <v>1774</v>
      </c>
      <c r="B3382">
        <v>0</v>
      </c>
      <c r="C3382">
        <v>0</v>
      </c>
      <c r="D3382">
        <v>0</v>
      </c>
      <c r="E3382">
        <v>0</v>
      </c>
      <c r="F3382">
        <v>0</v>
      </c>
      <c r="G3382">
        <v>0</v>
      </c>
      <c r="H3382">
        <v>0</v>
      </c>
      <c r="I3382">
        <v>0</v>
      </c>
      <c r="J3382">
        <v>0</v>
      </c>
      <c r="K3382">
        <v>0</v>
      </c>
    </row>
    <row r="3383" spans="1:11" x14ac:dyDescent="0.2">
      <c r="A3383" t="s">
        <v>1777</v>
      </c>
      <c r="B3383">
        <v>0</v>
      </c>
      <c r="C3383">
        <v>0</v>
      </c>
      <c r="D3383">
        <v>0</v>
      </c>
      <c r="E3383">
        <v>0</v>
      </c>
      <c r="F3383">
        <v>0</v>
      </c>
      <c r="G3383">
        <v>0</v>
      </c>
      <c r="H3383">
        <v>0</v>
      </c>
      <c r="I3383">
        <v>0</v>
      </c>
      <c r="J3383">
        <v>0</v>
      </c>
      <c r="K3383">
        <v>0</v>
      </c>
    </row>
    <row r="3384" spans="1:11" x14ac:dyDescent="0.2">
      <c r="A3384" t="s">
        <v>1782</v>
      </c>
      <c r="B3384">
        <v>0</v>
      </c>
      <c r="C3384">
        <v>0</v>
      </c>
      <c r="D3384">
        <v>0</v>
      </c>
      <c r="E3384">
        <v>0</v>
      </c>
      <c r="F3384">
        <v>0</v>
      </c>
      <c r="G3384">
        <v>0</v>
      </c>
      <c r="H3384">
        <v>0</v>
      </c>
      <c r="I3384">
        <v>0</v>
      </c>
      <c r="J3384">
        <v>0</v>
      </c>
      <c r="K3384">
        <v>0</v>
      </c>
    </row>
    <row r="3385" spans="1:11" x14ac:dyDescent="0.2">
      <c r="A3385" t="s">
        <v>1274</v>
      </c>
      <c r="B3385">
        <v>0</v>
      </c>
      <c r="C3385">
        <v>0</v>
      </c>
      <c r="D3385">
        <v>0</v>
      </c>
      <c r="E3385">
        <v>0</v>
      </c>
      <c r="F3385">
        <v>0</v>
      </c>
      <c r="G3385">
        <v>0</v>
      </c>
      <c r="H3385">
        <v>0</v>
      </c>
      <c r="I3385">
        <v>0</v>
      </c>
      <c r="J3385">
        <v>0</v>
      </c>
      <c r="K3385">
        <v>0</v>
      </c>
    </row>
    <row r="3386" spans="1:11" x14ac:dyDescent="0.2">
      <c r="A3386" t="s">
        <v>1277</v>
      </c>
      <c r="B3386">
        <v>0</v>
      </c>
      <c r="C3386">
        <v>0</v>
      </c>
      <c r="D3386">
        <v>0</v>
      </c>
      <c r="E3386">
        <v>0</v>
      </c>
      <c r="F3386">
        <v>0</v>
      </c>
      <c r="G3386">
        <v>0</v>
      </c>
      <c r="H3386">
        <v>0</v>
      </c>
      <c r="I3386">
        <v>0</v>
      </c>
      <c r="J3386">
        <v>0</v>
      </c>
      <c r="K3386">
        <v>0</v>
      </c>
    </row>
    <row r="3387" spans="1:11" x14ac:dyDescent="0.2">
      <c r="A3387" t="s">
        <v>1798</v>
      </c>
      <c r="B3387">
        <v>0</v>
      </c>
      <c r="C3387">
        <v>0</v>
      </c>
      <c r="D3387">
        <v>0</v>
      </c>
      <c r="E3387">
        <v>0</v>
      </c>
      <c r="F3387">
        <v>0</v>
      </c>
      <c r="G3387">
        <v>0</v>
      </c>
      <c r="H3387">
        <v>0</v>
      </c>
      <c r="I3387">
        <v>0</v>
      </c>
      <c r="J3387">
        <v>0</v>
      </c>
      <c r="K3387">
        <v>0</v>
      </c>
    </row>
    <row r="3388" spans="1:11" x14ac:dyDescent="0.2">
      <c r="A3388" t="s">
        <v>1803</v>
      </c>
      <c r="B3388">
        <v>0</v>
      </c>
      <c r="C3388">
        <v>0</v>
      </c>
      <c r="D3388">
        <v>0</v>
      </c>
      <c r="E3388">
        <v>0</v>
      </c>
      <c r="F3388">
        <v>0</v>
      </c>
      <c r="G3388">
        <v>0</v>
      </c>
      <c r="H3388">
        <v>0</v>
      </c>
      <c r="I3388">
        <v>0</v>
      </c>
      <c r="J3388">
        <v>0</v>
      </c>
      <c r="K3388">
        <v>0</v>
      </c>
    </row>
    <row r="3389" spans="1:11" x14ac:dyDescent="0.2">
      <c r="A3389" t="s">
        <v>1808</v>
      </c>
      <c r="B3389">
        <v>0</v>
      </c>
      <c r="C3389">
        <v>0</v>
      </c>
      <c r="D3389">
        <v>0</v>
      </c>
      <c r="E3389">
        <v>0</v>
      </c>
      <c r="F3389">
        <v>0</v>
      </c>
      <c r="G3389">
        <v>0</v>
      </c>
      <c r="H3389">
        <v>0</v>
      </c>
      <c r="I3389">
        <v>0</v>
      </c>
      <c r="J3389">
        <v>0</v>
      </c>
      <c r="K3389">
        <v>0</v>
      </c>
    </row>
    <row r="3390" spans="1:11" x14ac:dyDescent="0.2">
      <c r="A3390" t="s">
        <v>1813</v>
      </c>
      <c r="B3390">
        <v>0</v>
      </c>
      <c r="C3390">
        <v>0</v>
      </c>
      <c r="D3390">
        <v>0</v>
      </c>
      <c r="E3390">
        <v>0</v>
      </c>
      <c r="F3390">
        <v>0</v>
      </c>
      <c r="G3390">
        <v>0</v>
      </c>
      <c r="H3390">
        <v>0</v>
      </c>
      <c r="I3390">
        <v>0</v>
      </c>
      <c r="J3390">
        <v>0</v>
      </c>
      <c r="K3390">
        <v>0</v>
      </c>
    </row>
    <row r="3391" spans="1:11" x14ac:dyDescent="0.2">
      <c r="A3391" t="s">
        <v>1819</v>
      </c>
      <c r="B3391">
        <v>0</v>
      </c>
      <c r="C3391">
        <v>0</v>
      </c>
      <c r="D3391">
        <v>0</v>
      </c>
      <c r="E3391">
        <v>0</v>
      </c>
      <c r="F3391">
        <v>0</v>
      </c>
      <c r="G3391">
        <v>0</v>
      </c>
      <c r="H3391">
        <v>0</v>
      </c>
      <c r="I3391">
        <v>0</v>
      </c>
      <c r="J3391">
        <v>0</v>
      </c>
      <c r="K3391">
        <v>0</v>
      </c>
    </row>
    <row r="3392" spans="1:11" x14ac:dyDescent="0.2">
      <c r="A3392" t="s">
        <v>1826</v>
      </c>
      <c r="B3392">
        <v>0</v>
      </c>
      <c r="C3392">
        <v>0</v>
      </c>
      <c r="D3392">
        <v>0</v>
      </c>
      <c r="E3392">
        <v>0</v>
      </c>
      <c r="F3392">
        <v>0</v>
      </c>
      <c r="G3392">
        <v>0</v>
      </c>
      <c r="H3392">
        <v>0</v>
      </c>
      <c r="I3392">
        <v>0</v>
      </c>
      <c r="J3392">
        <v>0</v>
      </c>
      <c r="K3392">
        <v>0</v>
      </c>
    </row>
    <row r="3393" spans="1:11" x14ac:dyDescent="0.2">
      <c r="A3393" t="s">
        <v>1830</v>
      </c>
      <c r="B3393">
        <v>0</v>
      </c>
      <c r="C3393">
        <v>0</v>
      </c>
      <c r="D3393">
        <v>0</v>
      </c>
      <c r="E3393">
        <v>0</v>
      </c>
      <c r="F3393">
        <v>0</v>
      </c>
      <c r="G3393">
        <v>0</v>
      </c>
      <c r="H3393">
        <v>0</v>
      </c>
      <c r="I3393">
        <v>0</v>
      </c>
      <c r="J3393">
        <v>0</v>
      </c>
      <c r="K3393">
        <v>0</v>
      </c>
    </row>
    <row r="3394" spans="1:11" x14ac:dyDescent="0.2">
      <c r="A3394" t="s">
        <v>1836</v>
      </c>
      <c r="B3394">
        <v>0</v>
      </c>
      <c r="C3394">
        <v>0</v>
      </c>
      <c r="D3394">
        <v>0</v>
      </c>
      <c r="E3394">
        <v>0</v>
      </c>
      <c r="F3394">
        <v>0</v>
      </c>
      <c r="G3394">
        <v>0</v>
      </c>
      <c r="H3394">
        <v>0</v>
      </c>
      <c r="I3394">
        <v>0</v>
      </c>
      <c r="J3394">
        <v>0</v>
      </c>
      <c r="K3394">
        <v>0</v>
      </c>
    </row>
    <row r="3395" spans="1:11" x14ac:dyDescent="0.2">
      <c r="A3395" t="s">
        <v>1841</v>
      </c>
      <c r="B3395">
        <v>0</v>
      </c>
      <c r="C3395">
        <v>0</v>
      </c>
      <c r="D3395">
        <v>0</v>
      </c>
      <c r="E3395">
        <v>0</v>
      </c>
      <c r="F3395">
        <v>0</v>
      </c>
      <c r="G3395">
        <v>0</v>
      </c>
      <c r="H3395">
        <v>0</v>
      </c>
      <c r="I3395">
        <v>0</v>
      </c>
      <c r="J3395">
        <v>0</v>
      </c>
      <c r="K3395">
        <v>0</v>
      </c>
    </row>
    <row r="3396" spans="1:11" x14ac:dyDescent="0.2">
      <c r="A3396" t="s">
        <v>1842</v>
      </c>
      <c r="B3396">
        <v>0</v>
      </c>
      <c r="C3396">
        <v>0</v>
      </c>
      <c r="D3396">
        <v>0</v>
      </c>
      <c r="E3396">
        <v>0</v>
      </c>
      <c r="F3396">
        <v>0</v>
      </c>
      <c r="G3396">
        <v>0</v>
      </c>
      <c r="H3396">
        <v>0</v>
      </c>
      <c r="I3396">
        <v>0</v>
      </c>
      <c r="J3396">
        <v>0</v>
      </c>
      <c r="K3396">
        <v>0</v>
      </c>
    </row>
    <row r="3397" spans="1:11" x14ac:dyDescent="0.2">
      <c r="A3397" t="s">
        <v>1843</v>
      </c>
      <c r="B3397">
        <v>0</v>
      </c>
      <c r="C3397">
        <v>0</v>
      </c>
      <c r="D3397">
        <v>0</v>
      </c>
      <c r="E3397">
        <v>0</v>
      </c>
      <c r="F3397">
        <v>0</v>
      </c>
      <c r="G3397">
        <v>0</v>
      </c>
      <c r="H3397">
        <v>0</v>
      </c>
      <c r="I3397">
        <v>0</v>
      </c>
      <c r="J3397">
        <v>0</v>
      </c>
      <c r="K3397">
        <v>0</v>
      </c>
    </row>
    <row r="3398" spans="1:11" x14ac:dyDescent="0.2">
      <c r="A3398" t="s">
        <v>1846</v>
      </c>
      <c r="B3398">
        <v>0</v>
      </c>
      <c r="C3398">
        <v>0</v>
      </c>
      <c r="D3398">
        <v>0</v>
      </c>
      <c r="E3398">
        <v>0</v>
      </c>
      <c r="F3398">
        <v>0</v>
      </c>
      <c r="G3398">
        <v>0</v>
      </c>
      <c r="H3398">
        <v>0</v>
      </c>
      <c r="I3398">
        <v>0</v>
      </c>
      <c r="J3398">
        <v>0</v>
      </c>
      <c r="K3398">
        <v>0</v>
      </c>
    </row>
    <row r="3399" spans="1:11" x14ac:dyDescent="0.2">
      <c r="A3399" t="s">
        <v>1851</v>
      </c>
      <c r="B3399">
        <v>0</v>
      </c>
      <c r="C3399">
        <v>0</v>
      </c>
      <c r="D3399">
        <v>0</v>
      </c>
      <c r="E3399">
        <v>0</v>
      </c>
      <c r="F3399">
        <v>0</v>
      </c>
      <c r="G3399">
        <v>0</v>
      </c>
      <c r="H3399">
        <v>0</v>
      </c>
      <c r="I3399">
        <v>0</v>
      </c>
      <c r="J3399">
        <v>0</v>
      </c>
      <c r="K3399">
        <v>0</v>
      </c>
    </row>
    <row r="3400" spans="1:11" x14ac:dyDescent="0.2">
      <c r="A3400" t="s">
        <v>1857</v>
      </c>
      <c r="B3400">
        <v>0</v>
      </c>
      <c r="C3400">
        <v>0</v>
      </c>
      <c r="D3400">
        <v>0</v>
      </c>
      <c r="E3400">
        <v>0</v>
      </c>
      <c r="F3400">
        <v>0</v>
      </c>
      <c r="G3400">
        <v>0</v>
      </c>
      <c r="H3400">
        <v>0</v>
      </c>
      <c r="I3400">
        <v>0</v>
      </c>
      <c r="J3400">
        <v>0</v>
      </c>
      <c r="K3400">
        <v>0</v>
      </c>
    </row>
    <row r="3401" spans="1:11" x14ac:dyDescent="0.2">
      <c r="A3401" t="s">
        <v>1862</v>
      </c>
      <c r="B3401">
        <v>0</v>
      </c>
      <c r="C3401">
        <v>0</v>
      </c>
      <c r="D3401">
        <v>0</v>
      </c>
      <c r="E3401">
        <v>0</v>
      </c>
      <c r="F3401">
        <v>0</v>
      </c>
      <c r="G3401">
        <v>0</v>
      </c>
      <c r="H3401">
        <v>0</v>
      </c>
      <c r="I3401">
        <v>0</v>
      </c>
      <c r="J3401">
        <v>0</v>
      </c>
      <c r="K3401">
        <v>0</v>
      </c>
    </row>
    <row r="3402" spans="1:11" x14ac:dyDescent="0.2">
      <c r="A3402" t="s">
        <v>1867</v>
      </c>
      <c r="B3402">
        <v>0</v>
      </c>
      <c r="C3402">
        <v>0</v>
      </c>
      <c r="D3402">
        <v>0</v>
      </c>
      <c r="E3402">
        <v>0</v>
      </c>
      <c r="F3402">
        <v>0</v>
      </c>
      <c r="G3402">
        <v>0</v>
      </c>
      <c r="H3402">
        <v>0</v>
      </c>
      <c r="I3402">
        <v>0</v>
      </c>
      <c r="J3402">
        <v>0</v>
      </c>
      <c r="K3402">
        <v>0</v>
      </c>
    </row>
    <row r="3403" spans="1:11" x14ac:dyDescent="0.2">
      <c r="A3403" t="s">
        <v>1870</v>
      </c>
      <c r="B3403">
        <v>0</v>
      </c>
      <c r="C3403">
        <v>0</v>
      </c>
      <c r="D3403">
        <v>0</v>
      </c>
      <c r="E3403">
        <v>0</v>
      </c>
      <c r="F3403">
        <v>0</v>
      </c>
      <c r="G3403">
        <v>0</v>
      </c>
      <c r="H3403">
        <v>0</v>
      </c>
      <c r="I3403">
        <v>0</v>
      </c>
      <c r="J3403">
        <v>0</v>
      </c>
      <c r="K3403">
        <v>0</v>
      </c>
    </row>
    <row r="3404" spans="1:11" x14ac:dyDescent="0.2">
      <c r="A3404" t="s">
        <v>1874</v>
      </c>
      <c r="B3404">
        <v>0</v>
      </c>
      <c r="C3404">
        <v>0</v>
      </c>
      <c r="D3404">
        <v>0</v>
      </c>
      <c r="E3404">
        <v>0</v>
      </c>
      <c r="F3404">
        <v>0</v>
      </c>
      <c r="G3404">
        <v>0</v>
      </c>
      <c r="H3404">
        <v>0</v>
      </c>
      <c r="I3404">
        <v>0</v>
      </c>
      <c r="J3404">
        <v>0</v>
      </c>
      <c r="K3404">
        <v>0</v>
      </c>
    </row>
    <row r="3405" spans="1:11" x14ac:dyDescent="0.2">
      <c r="A3405" t="s">
        <v>1876</v>
      </c>
      <c r="B3405">
        <v>0</v>
      </c>
      <c r="C3405">
        <v>0</v>
      </c>
      <c r="D3405">
        <v>0</v>
      </c>
      <c r="E3405">
        <v>0</v>
      </c>
      <c r="F3405">
        <v>0</v>
      </c>
      <c r="G3405">
        <v>0</v>
      </c>
      <c r="H3405">
        <v>0</v>
      </c>
      <c r="I3405">
        <v>0</v>
      </c>
      <c r="J3405">
        <v>0</v>
      </c>
      <c r="K3405">
        <v>0</v>
      </c>
    </row>
    <row r="3406" spans="1:11" x14ac:dyDescent="0.2">
      <c r="A3406" t="s">
        <v>1881</v>
      </c>
      <c r="B3406">
        <v>0</v>
      </c>
      <c r="C3406">
        <v>0</v>
      </c>
      <c r="D3406">
        <v>0</v>
      </c>
      <c r="E3406">
        <v>0</v>
      </c>
      <c r="F3406">
        <v>0</v>
      </c>
      <c r="G3406">
        <v>0</v>
      </c>
      <c r="H3406">
        <v>0</v>
      </c>
      <c r="I3406">
        <v>0</v>
      </c>
      <c r="J3406">
        <v>0</v>
      </c>
      <c r="K3406">
        <v>0</v>
      </c>
    </row>
    <row r="3407" spans="1:11" x14ac:dyDescent="0.2">
      <c r="A3407" t="s">
        <v>1885</v>
      </c>
      <c r="B3407">
        <v>0</v>
      </c>
      <c r="C3407">
        <v>0</v>
      </c>
      <c r="D3407">
        <v>0</v>
      </c>
      <c r="E3407">
        <v>0</v>
      </c>
      <c r="F3407">
        <v>21</v>
      </c>
      <c r="G3407">
        <v>18</v>
      </c>
      <c r="H3407">
        <v>0</v>
      </c>
      <c r="I3407">
        <v>0</v>
      </c>
      <c r="J3407">
        <v>2</v>
      </c>
      <c r="K3407">
        <v>0</v>
      </c>
    </row>
    <row r="3408" spans="1:11" x14ac:dyDescent="0.2">
      <c r="A3408" t="s">
        <v>1887</v>
      </c>
      <c r="B3408">
        <v>0</v>
      </c>
      <c r="C3408">
        <v>0</v>
      </c>
      <c r="D3408">
        <v>0</v>
      </c>
      <c r="E3408">
        <v>0</v>
      </c>
      <c r="F3408">
        <v>0</v>
      </c>
      <c r="G3408">
        <v>0</v>
      </c>
      <c r="H3408">
        <v>0</v>
      </c>
      <c r="I3408">
        <v>0</v>
      </c>
      <c r="J3408">
        <v>0</v>
      </c>
      <c r="K3408">
        <v>0</v>
      </c>
    </row>
    <row r="3409" spans="1:11" x14ac:dyDescent="0.2">
      <c r="A3409" t="s">
        <v>1893</v>
      </c>
      <c r="B3409">
        <v>0</v>
      </c>
      <c r="C3409">
        <v>0</v>
      </c>
      <c r="D3409">
        <v>0</v>
      </c>
      <c r="E3409">
        <v>0</v>
      </c>
      <c r="F3409">
        <v>1</v>
      </c>
      <c r="G3409">
        <v>1</v>
      </c>
      <c r="H3409">
        <v>0</v>
      </c>
      <c r="I3409">
        <v>0</v>
      </c>
      <c r="J3409">
        <v>0</v>
      </c>
      <c r="K3409">
        <v>0</v>
      </c>
    </row>
    <row r="3410" spans="1:11" x14ac:dyDescent="0.2">
      <c r="A3410" t="s">
        <v>1899</v>
      </c>
      <c r="B3410">
        <v>0</v>
      </c>
      <c r="C3410">
        <v>0</v>
      </c>
      <c r="D3410">
        <v>0</v>
      </c>
      <c r="E3410">
        <v>0</v>
      </c>
      <c r="F3410">
        <v>0</v>
      </c>
      <c r="G3410">
        <v>0</v>
      </c>
      <c r="H3410">
        <v>0</v>
      </c>
      <c r="I3410">
        <v>0</v>
      </c>
      <c r="J3410">
        <v>0</v>
      </c>
      <c r="K3410">
        <v>0</v>
      </c>
    </row>
    <row r="3411" spans="1:11" x14ac:dyDescent="0.2">
      <c r="A3411" t="s">
        <v>1906</v>
      </c>
      <c r="B3411">
        <v>0</v>
      </c>
      <c r="C3411">
        <v>0</v>
      </c>
      <c r="D3411">
        <v>0</v>
      </c>
      <c r="E3411">
        <v>0</v>
      </c>
      <c r="F3411">
        <v>0</v>
      </c>
      <c r="G3411">
        <v>0</v>
      </c>
      <c r="H3411">
        <v>0</v>
      </c>
      <c r="I3411">
        <v>0</v>
      </c>
      <c r="J3411">
        <v>0</v>
      </c>
      <c r="K3411">
        <v>0</v>
      </c>
    </row>
    <row r="3412" spans="1:11" x14ac:dyDescent="0.2">
      <c r="A3412" t="s">
        <v>1911</v>
      </c>
      <c r="B3412">
        <v>0</v>
      </c>
      <c r="C3412">
        <v>0</v>
      </c>
      <c r="D3412">
        <v>0</v>
      </c>
      <c r="E3412">
        <v>0</v>
      </c>
      <c r="F3412">
        <v>0</v>
      </c>
      <c r="G3412">
        <v>0</v>
      </c>
      <c r="H3412">
        <v>0</v>
      </c>
      <c r="I3412">
        <v>0</v>
      </c>
      <c r="J3412">
        <v>0</v>
      </c>
      <c r="K3412">
        <v>0</v>
      </c>
    </row>
    <row r="3413" spans="1:11" x14ac:dyDescent="0.2">
      <c r="A3413" t="s">
        <v>1917</v>
      </c>
      <c r="B3413">
        <v>0</v>
      </c>
      <c r="C3413">
        <v>0</v>
      </c>
      <c r="D3413">
        <v>0</v>
      </c>
      <c r="E3413">
        <v>0</v>
      </c>
      <c r="F3413">
        <v>0</v>
      </c>
      <c r="G3413">
        <v>0</v>
      </c>
      <c r="H3413">
        <v>0</v>
      </c>
      <c r="I3413">
        <v>0</v>
      </c>
      <c r="J3413">
        <v>0</v>
      </c>
      <c r="K3413">
        <v>0</v>
      </c>
    </row>
    <row r="3414" spans="1:11" x14ac:dyDescent="0.2">
      <c r="A3414" t="s">
        <v>1922</v>
      </c>
      <c r="B3414">
        <v>0</v>
      </c>
      <c r="C3414">
        <v>0</v>
      </c>
      <c r="D3414">
        <v>0</v>
      </c>
      <c r="E3414">
        <v>0</v>
      </c>
      <c r="F3414">
        <v>0</v>
      </c>
      <c r="G3414">
        <v>0</v>
      </c>
      <c r="H3414">
        <v>0</v>
      </c>
      <c r="I3414">
        <v>0</v>
      </c>
      <c r="J3414">
        <v>0</v>
      </c>
      <c r="K3414">
        <v>0</v>
      </c>
    </row>
    <row r="3415" spans="1:11" x14ac:dyDescent="0.2">
      <c r="A3415" t="s">
        <v>1928</v>
      </c>
      <c r="B3415">
        <v>0</v>
      </c>
      <c r="C3415">
        <v>0</v>
      </c>
      <c r="D3415">
        <v>0</v>
      </c>
      <c r="E3415">
        <v>0</v>
      </c>
      <c r="F3415">
        <v>0</v>
      </c>
      <c r="G3415">
        <v>0</v>
      </c>
      <c r="H3415">
        <v>0</v>
      </c>
      <c r="I3415">
        <v>0</v>
      </c>
      <c r="J3415">
        <v>0</v>
      </c>
      <c r="K3415">
        <v>0</v>
      </c>
    </row>
    <row r="3416" spans="1:11" x14ac:dyDescent="0.2">
      <c r="A3416" t="s">
        <v>1932</v>
      </c>
      <c r="B3416">
        <v>0</v>
      </c>
      <c r="C3416">
        <v>0</v>
      </c>
      <c r="D3416">
        <v>0</v>
      </c>
      <c r="E3416">
        <v>0</v>
      </c>
      <c r="F3416">
        <v>0</v>
      </c>
      <c r="G3416">
        <v>0</v>
      </c>
      <c r="H3416">
        <v>0</v>
      </c>
      <c r="I3416">
        <v>0</v>
      </c>
      <c r="J3416">
        <v>0</v>
      </c>
      <c r="K3416">
        <v>0</v>
      </c>
    </row>
    <row r="3417" spans="1:11" x14ac:dyDescent="0.2">
      <c r="A3417" t="s">
        <v>1938</v>
      </c>
      <c r="B3417">
        <v>0</v>
      </c>
      <c r="C3417">
        <v>0</v>
      </c>
      <c r="D3417">
        <v>0</v>
      </c>
      <c r="E3417">
        <v>0</v>
      </c>
      <c r="F3417">
        <v>0</v>
      </c>
      <c r="G3417">
        <v>0</v>
      </c>
      <c r="H3417">
        <v>0</v>
      </c>
      <c r="I3417">
        <v>0</v>
      </c>
      <c r="J3417">
        <v>0</v>
      </c>
      <c r="K3417">
        <v>0</v>
      </c>
    </row>
    <row r="3418" spans="1:11" x14ac:dyDescent="0.2">
      <c r="A3418" t="s">
        <v>1944</v>
      </c>
      <c r="B3418">
        <v>0</v>
      </c>
      <c r="C3418">
        <v>0</v>
      </c>
      <c r="D3418">
        <v>0</v>
      </c>
      <c r="E3418">
        <v>0</v>
      </c>
      <c r="F3418">
        <v>0</v>
      </c>
      <c r="G3418">
        <v>0</v>
      </c>
      <c r="H3418">
        <v>0</v>
      </c>
      <c r="I3418">
        <v>0</v>
      </c>
      <c r="J3418">
        <v>0</v>
      </c>
      <c r="K3418">
        <v>0</v>
      </c>
    </row>
    <row r="3419" spans="1:11" x14ac:dyDescent="0.2">
      <c r="A3419" t="s">
        <v>1947</v>
      </c>
      <c r="B3419">
        <v>0</v>
      </c>
      <c r="C3419">
        <v>0</v>
      </c>
      <c r="D3419">
        <v>0</v>
      </c>
      <c r="E3419">
        <v>0</v>
      </c>
      <c r="F3419">
        <v>0</v>
      </c>
      <c r="G3419">
        <v>0</v>
      </c>
      <c r="H3419">
        <v>0</v>
      </c>
      <c r="I3419">
        <v>0</v>
      </c>
      <c r="J3419">
        <v>0</v>
      </c>
      <c r="K3419">
        <v>0</v>
      </c>
    </row>
    <row r="3420" spans="1:11" x14ac:dyDescent="0.2">
      <c r="A3420" t="s">
        <v>1953</v>
      </c>
      <c r="B3420">
        <v>0</v>
      </c>
      <c r="C3420">
        <v>0</v>
      </c>
      <c r="D3420">
        <v>0</v>
      </c>
      <c r="E3420">
        <v>0</v>
      </c>
      <c r="F3420">
        <v>0</v>
      </c>
      <c r="G3420">
        <v>0</v>
      </c>
      <c r="H3420">
        <v>0</v>
      </c>
      <c r="I3420">
        <v>0</v>
      </c>
      <c r="J3420">
        <v>0</v>
      </c>
      <c r="K3420">
        <v>0</v>
      </c>
    </row>
    <row r="3421" spans="1:11" x14ac:dyDescent="0.2">
      <c r="A3421" t="s">
        <v>1958</v>
      </c>
      <c r="B3421">
        <v>0</v>
      </c>
      <c r="C3421">
        <v>0</v>
      </c>
      <c r="D3421">
        <v>0</v>
      </c>
      <c r="E3421">
        <v>0</v>
      </c>
      <c r="F3421">
        <v>0</v>
      </c>
      <c r="G3421">
        <v>0</v>
      </c>
      <c r="H3421">
        <v>0</v>
      </c>
      <c r="I3421">
        <v>0</v>
      </c>
      <c r="J3421">
        <v>0</v>
      </c>
      <c r="K3421">
        <v>0</v>
      </c>
    </row>
    <row r="3422" spans="1:11" x14ac:dyDescent="0.2">
      <c r="A3422" t="s">
        <v>1964</v>
      </c>
      <c r="B3422">
        <v>0</v>
      </c>
      <c r="C3422">
        <v>0</v>
      </c>
      <c r="D3422">
        <v>0</v>
      </c>
      <c r="E3422">
        <v>0</v>
      </c>
      <c r="F3422">
        <v>0</v>
      </c>
      <c r="G3422">
        <v>0</v>
      </c>
      <c r="H3422">
        <v>0</v>
      </c>
      <c r="I3422">
        <v>0</v>
      </c>
      <c r="J3422">
        <v>0</v>
      </c>
      <c r="K3422">
        <v>0</v>
      </c>
    </row>
    <row r="3423" spans="1:11" x14ac:dyDescent="0.2">
      <c r="A3423" t="s">
        <v>1973</v>
      </c>
      <c r="B3423">
        <v>0</v>
      </c>
      <c r="C3423">
        <v>0</v>
      </c>
      <c r="D3423">
        <v>0</v>
      </c>
      <c r="E3423">
        <v>0</v>
      </c>
      <c r="F3423">
        <v>0</v>
      </c>
      <c r="G3423">
        <v>0</v>
      </c>
      <c r="H3423">
        <v>0</v>
      </c>
      <c r="I3423">
        <v>0</v>
      </c>
      <c r="J3423">
        <v>0</v>
      </c>
      <c r="K3423">
        <v>0</v>
      </c>
    </row>
    <row r="3424" spans="1:11" x14ac:dyDescent="0.2">
      <c r="A3424" t="s">
        <v>1978</v>
      </c>
      <c r="B3424">
        <v>0</v>
      </c>
      <c r="C3424">
        <v>0</v>
      </c>
      <c r="D3424">
        <v>0</v>
      </c>
      <c r="E3424">
        <v>0</v>
      </c>
      <c r="F3424">
        <v>0</v>
      </c>
      <c r="G3424">
        <v>0</v>
      </c>
      <c r="H3424">
        <v>0</v>
      </c>
      <c r="I3424">
        <v>0</v>
      </c>
      <c r="J3424">
        <v>0</v>
      </c>
      <c r="K3424">
        <v>0</v>
      </c>
    </row>
    <row r="3425" spans="1:11" x14ac:dyDescent="0.2">
      <c r="A3425" t="s">
        <v>1983</v>
      </c>
      <c r="B3425">
        <v>0</v>
      </c>
      <c r="C3425">
        <v>0</v>
      </c>
      <c r="D3425">
        <v>0</v>
      </c>
      <c r="E3425">
        <v>0</v>
      </c>
      <c r="F3425">
        <v>0</v>
      </c>
      <c r="G3425">
        <v>0</v>
      </c>
      <c r="H3425">
        <v>0</v>
      </c>
      <c r="I3425">
        <v>0</v>
      </c>
      <c r="J3425">
        <v>0</v>
      </c>
      <c r="K3425">
        <v>0</v>
      </c>
    </row>
    <row r="3426" spans="1:11" x14ac:dyDescent="0.2">
      <c r="A3426" t="s">
        <v>1984</v>
      </c>
      <c r="B3426">
        <v>0</v>
      </c>
      <c r="C3426">
        <v>0</v>
      </c>
      <c r="D3426">
        <v>0</v>
      </c>
      <c r="E3426">
        <v>0</v>
      </c>
      <c r="F3426">
        <v>0</v>
      </c>
      <c r="G3426">
        <v>0</v>
      </c>
      <c r="H3426">
        <v>0</v>
      </c>
      <c r="I3426">
        <v>0</v>
      </c>
      <c r="J3426">
        <v>0</v>
      </c>
      <c r="K3426">
        <v>0</v>
      </c>
    </row>
    <row r="3427" spans="1:11" x14ac:dyDescent="0.2">
      <c r="A3427" t="s">
        <v>1990</v>
      </c>
      <c r="B3427">
        <v>0</v>
      </c>
      <c r="C3427">
        <v>0</v>
      </c>
      <c r="D3427">
        <v>0</v>
      </c>
      <c r="E3427">
        <v>0</v>
      </c>
      <c r="F3427">
        <v>0</v>
      </c>
      <c r="G3427">
        <v>0</v>
      </c>
      <c r="H3427">
        <v>0</v>
      </c>
      <c r="I3427">
        <v>0</v>
      </c>
      <c r="J3427">
        <v>0</v>
      </c>
      <c r="K3427">
        <v>0</v>
      </c>
    </row>
    <row r="3428" spans="1:11" x14ac:dyDescent="0.2">
      <c r="A3428" t="s">
        <v>1996</v>
      </c>
      <c r="B3428">
        <v>0</v>
      </c>
      <c r="C3428">
        <v>0</v>
      </c>
      <c r="D3428">
        <v>0</v>
      </c>
      <c r="E3428">
        <v>0</v>
      </c>
      <c r="F3428">
        <v>0</v>
      </c>
      <c r="G3428">
        <v>0</v>
      </c>
      <c r="H3428">
        <v>0</v>
      </c>
      <c r="I3428">
        <v>0</v>
      </c>
      <c r="J3428">
        <v>0</v>
      </c>
      <c r="K3428">
        <v>0</v>
      </c>
    </row>
    <row r="3429" spans="1:11" x14ac:dyDescent="0.2">
      <c r="A3429" t="s">
        <v>1998</v>
      </c>
      <c r="B3429">
        <v>0</v>
      </c>
      <c r="C3429">
        <v>0</v>
      </c>
      <c r="D3429">
        <v>0</v>
      </c>
      <c r="E3429">
        <v>0</v>
      </c>
      <c r="F3429">
        <v>0</v>
      </c>
      <c r="G3429">
        <v>0</v>
      </c>
      <c r="H3429">
        <v>0</v>
      </c>
      <c r="I3429">
        <v>0</v>
      </c>
      <c r="J3429">
        <v>0</v>
      </c>
      <c r="K3429">
        <v>0</v>
      </c>
    </row>
    <row r="3430" spans="1:11" x14ac:dyDescent="0.2">
      <c r="A3430" t="s">
        <v>1999</v>
      </c>
      <c r="B3430">
        <v>0</v>
      </c>
      <c r="C3430">
        <v>0</v>
      </c>
      <c r="D3430">
        <v>0</v>
      </c>
      <c r="E3430">
        <v>0</v>
      </c>
      <c r="F3430">
        <v>0</v>
      </c>
      <c r="G3430">
        <v>0</v>
      </c>
      <c r="H3430">
        <v>0</v>
      </c>
      <c r="I3430">
        <v>0</v>
      </c>
      <c r="J3430">
        <v>0</v>
      </c>
      <c r="K3430">
        <v>0</v>
      </c>
    </row>
    <row r="3431" spans="1:11" x14ac:dyDescent="0.2">
      <c r="A3431" t="s">
        <v>2004</v>
      </c>
      <c r="B3431">
        <v>0</v>
      </c>
      <c r="C3431">
        <v>0</v>
      </c>
      <c r="D3431">
        <v>0</v>
      </c>
      <c r="E3431">
        <v>0</v>
      </c>
      <c r="F3431">
        <v>0</v>
      </c>
      <c r="G3431">
        <v>0</v>
      </c>
      <c r="H3431">
        <v>0</v>
      </c>
      <c r="I3431">
        <v>0</v>
      </c>
      <c r="J3431">
        <v>0</v>
      </c>
      <c r="K3431">
        <v>0</v>
      </c>
    </row>
    <row r="3432" spans="1:11" x14ac:dyDescent="0.2">
      <c r="A3432" t="s">
        <v>2009</v>
      </c>
      <c r="B3432">
        <v>0</v>
      </c>
      <c r="C3432">
        <v>0</v>
      </c>
      <c r="D3432">
        <v>0</v>
      </c>
      <c r="E3432">
        <v>0</v>
      </c>
      <c r="F3432">
        <v>0</v>
      </c>
      <c r="G3432">
        <v>0</v>
      </c>
      <c r="H3432">
        <v>0</v>
      </c>
      <c r="I3432">
        <v>0</v>
      </c>
      <c r="J3432">
        <v>0</v>
      </c>
      <c r="K3432">
        <v>0</v>
      </c>
    </row>
    <row r="3433" spans="1:11" x14ac:dyDescent="0.2">
      <c r="A3433" t="s">
        <v>2014</v>
      </c>
      <c r="B3433">
        <v>0</v>
      </c>
      <c r="C3433">
        <v>0</v>
      </c>
      <c r="D3433">
        <v>0</v>
      </c>
      <c r="E3433">
        <v>0</v>
      </c>
      <c r="F3433">
        <v>0</v>
      </c>
      <c r="G3433">
        <v>0</v>
      </c>
      <c r="H3433">
        <v>0</v>
      </c>
      <c r="I3433">
        <v>0</v>
      </c>
      <c r="J3433">
        <v>0</v>
      </c>
      <c r="K3433">
        <v>0</v>
      </c>
    </row>
    <row r="3434" spans="1:11" x14ac:dyDescent="0.2">
      <c r="A3434" t="s">
        <v>2019</v>
      </c>
      <c r="B3434">
        <v>0</v>
      </c>
      <c r="C3434">
        <v>0</v>
      </c>
      <c r="D3434">
        <v>0</v>
      </c>
      <c r="E3434">
        <v>0</v>
      </c>
      <c r="F3434">
        <v>0</v>
      </c>
      <c r="G3434">
        <v>0</v>
      </c>
      <c r="H3434">
        <v>0</v>
      </c>
      <c r="I3434">
        <v>0</v>
      </c>
      <c r="J3434">
        <v>0</v>
      </c>
      <c r="K3434">
        <v>0</v>
      </c>
    </row>
    <row r="3435" spans="1:11" x14ac:dyDescent="0.2">
      <c r="A3435" t="s">
        <v>2023</v>
      </c>
      <c r="B3435">
        <v>0</v>
      </c>
      <c r="C3435">
        <v>0</v>
      </c>
      <c r="D3435">
        <v>0</v>
      </c>
      <c r="E3435">
        <v>0</v>
      </c>
      <c r="F3435">
        <v>0</v>
      </c>
      <c r="G3435">
        <v>0</v>
      </c>
      <c r="H3435">
        <v>0</v>
      </c>
      <c r="I3435">
        <v>0</v>
      </c>
      <c r="J3435">
        <v>0</v>
      </c>
      <c r="K3435">
        <v>0</v>
      </c>
    </row>
    <row r="3436" spans="1:11" x14ac:dyDescent="0.2">
      <c r="A3436" t="s">
        <v>2026</v>
      </c>
      <c r="B3436">
        <v>0</v>
      </c>
      <c r="C3436">
        <v>0</v>
      </c>
      <c r="D3436">
        <v>0</v>
      </c>
      <c r="E3436">
        <v>0</v>
      </c>
      <c r="F3436">
        <v>0</v>
      </c>
      <c r="G3436">
        <v>0</v>
      </c>
      <c r="H3436">
        <v>0</v>
      </c>
      <c r="I3436">
        <v>0</v>
      </c>
      <c r="J3436">
        <v>0</v>
      </c>
      <c r="K3436">
        <v>0</v>
      </c>
    </row>
    <row r="3437" spans="1:11" x14ac:dyDescent="0.2">
      <c r="A3437" t="s">
        <v>2030</v>
      </c>
      <c r="B3437">
        <v>0</v>
      </c>
      <c r="C3437">
        <v>0</v>
      </c>
      <c r="D3437">
        <v>0</v>
      </c>
      <c r="E3437">
        <v>0</v>
      </c>
      <c r="F3437">
        <v>0</v>
      </c>
      <c r="G3437">
        <v>0</v>
      </c>
      <c r="H3437">
        <v>0</v>
      </c>
      <c r="I3437">
        <v>0</v>
      </c>
      <c r="J3437">
        <v>0</v>
      </c>
      <c r="K3437">
        <v>0</v>
      </c>
    </row>
    <row r="3438" spans="1:11" x14ac:dyDescent="0.2">
      <c r="A3438" t="s">
        <v>2035</v>
      </c>
      <c r="B3438">
        <v>0</v>
      </c>
      <c r="C3438">
        <v>0</v>
      </c>
      <c r="D3438">
        <v>0</v>
      </c>
      <c r="E3438">
        <v>0</v>
      </c>
      <c r="F3438">
        <v>0</v>
      </c>
      <c r="G3438">
        <v>0</v>
      </c>
      <c r="H3438">
        <v>0</v>
      </c>
      <c r="I3438">
        <v>0</v>
      </c>
      <c r="J3438">
        <v>0</v>
      </c>
      <c r="K3438">
        <v>0</v>
      </c>
    </row>
    <row r="3439" spans="1:11" x14ac:dyDescent="0.2">
      <c r="A3439" t="s">
        <v>2040</v>
      </c>
      <c r="B3439">
        <v>0</v>
      </c>
      <c r="C3439">
        <v>0</v>
      </c>
      <c r="D3439">
        <v>0</v>
      </c>
      <c r="E3439">
        <v>0</v>
      </c>
      <c r="F3439">
        <v>0</v>
      </c>
      <c r="G3439">
        <v>0</v>
      </c>
      <c r="H3439">
        <v>0</v>
      </c>
      <c r="I3439">
        <v>0</v>
      </c>
      <c r="J3439">
        <v>0</v>
      </c>
      <c r="K3439">
        <v>0</v>
      </c>
    </row>
    <row r="3440" spans="1:11" x14ac:dyDescent="0.2">
      <c r="A3440" t="s">
        <v>2045</v>
      </c>
      <c r="B3440">
        <v>0</v>
      </c>
      <c r="C3440">
        <v>0</v>
      </c>
      <c r="D3440">
        <v>0</v>
      </c>
      <c r="E3440">
        <v>0</v>
      </c>
      <c r="F3440">
        <v>0</v>
      </c>
      <c r="G3440">
        <v>0</v>
      </c>
      <c r="H3440">
        <v>0</v>
      </c>
      <c r="I3440">
        <v>0</v>
      </c>
      <c r="J3440">
        <v>0</v>
      </c>
      <c r="K3440">
        <v>0</v>
      </c>
    </row>
    <row r="3441" spans="1:11" x14ac:dyDescent="0.2">
      <c r="A3441" t="s">
        <v>2049</v>
      </c>
      <c r="B3441">
        <v>0</v>
      </c>
      <c r="C3441">
        <v>0</v>
      </c>
      <c r="D3441">
        <v>0</v>
      </c>
      <c r="E3441">
        <v>0</v>
      </c>
      <c r="F3441">
        <v>0</v>
      </c>
      <c r="G3441">
        <v>0</v>
      </c>
      <c r="H3441">
        <v>0</v>
      </c>
      <c r="I3441">
        <v>0</v>
      </c>
      <c r="J3441">
        <v>0</v>
      </c>
      <c r="K3441">
        <v>0</v>
      </c>
    </row>
    <row r="3442" spans="1:11" x14ac:dyDescent="0.2">
      <c r="A3442" t="s">
        <v>2051</v>
      </c>
      <c r="B3442">
        <v>0</v>
      </c>
      <c r="C3442">
        <v>0</v>
      </c>
      <c r="D3442">
        <v>0</v>
      </c>
      <c r="E3442">
        <v>0</v>
      </c>
      <c r="F3442">
        <v>0</v>
      </c>
      <c r="G3442">
        <v>0</v>
      </c>
      <c r="H3442">
        <v>0</v>
      </c>
      <c r="I3442">
        <v>0</v>
      </c>
      <c r="J3442">
        <v>0</v>
      </c>
      <c r="K3442">
        <v>0</v>
      </c>
    </row>
    <row r="3443" spans="1:11" x14ac:dyDescent="0.2">
      <c r="A3443" t="s">
        <v>2057</v>
      </c>
      <c r="B3443">
        <v>0</v>
      </c>
      <c r="C3443">
        <v>0</v>
      </c>
      <c r="D3443">
        <v>0</v>
      </c>
      <c r="E3443">
        <v>0</v>
      </c>
      <c r="F3443">
        <v>0</v>
      </c>
      <c r="G3443">
        <v>0</v>
      </c>
      <c r="H3443">
        <v>0</v>
      </c>
      <c r="I3443">
        <v>0</v>
      </c>
      <c r="J3443">
        <v>0</v>
      </c>
      <c r="K3443">
        <v>0</v>
      </c>
    </row>
    <row r="3444" spans="1:11" x14ac:dyDescent="0.2">
      <c r="A3444" t="s">
        <v>4344</v>
      </c>
      <c r="B3444">
        <v>0</v>
      </c>
      <c r="C3444">
        <v>0</v>
      </c>
      <c r="D3444">
        <v>0</v>
      </c>
      <c r="E3444">
        <v>0</v>
      </c>
      <c r="F3444">
        <v>0</v>
      </c>
      <c r="G3444">
        <v>0</v>
      </c>
      <c r="H3444">
        <v>0</v>
      </c>
      <c r="I3444">
        <v>0</v>
      </c>
      <c r="J3444">
        <v>0</v>
      </c>
      <c r="K3444">
        <v>0</v>
      </c>
    </row>
    <row r="3445" spans="1:11" x14ac:dyDescent="0.2">
      <c r="A3445" t="s">
        <v>4345</v>
      </c>
      <c r="B3445">
        <v>0</v>
      </c>
      <c r="C3445">
        <v>0</v>
      </c>
      <c r="D3445">
        <v>0</v>
      </c>
      <c r="E3445">
        <v>0</v>
      </c>
      <c r="F3445">
        <v>0</v>
      </c>
      <c r="G3445">
        <v>0</v>
      </c>
      <c r="H3445">
        <v>0</v>
      </c>
      <c r="I3445">
        <v>0</v>
      </c>
      <c r="J3445">
        <v>0</v>
      </c>
      <c r="K3445">
        <v>0</v>
      </c>
    </row>
    <row r="3446" spans="1:11" x14ac:dyDescent="0.2">
      <c r="A3446" t="s">
        <v>2074</v>
      </c>
      <c r="B3446">
        <v>0</v>
      </c>
      <c r="C3446">
        <v>0</v>
      </c>
      <c r="D3446">
        <v>0</v>
      </c>
      <c r="E3446">
        <v>0</v>
      </c>
      <c r="F3446">
        <v>0</v>
      </c>
      <c r="G3446">
        <v>0</v>
      </c>
      <c r="H3446">
        <v>0</v>
      </c>
      <c r="I3446">
        <v>0</v>
      </c>
      <c r="J3446">
        <v>0</v>
      </c>
      <c r="K3446">
        <v>0</v>
      </c>
    </row>
    <row r="3447" spans="1:11" x14ac:dyDescent="0.2">
      <c r="A3447" t="s">
        <v>2079</v>
      </c>
      <c r="B3447">
        <v>0</v>
      </c>
      <c r="C3447">
        <v>0</v>
      </c>
      <c r="D3447">
        <v>0</v>
      </c>
      <c r="E3447">
        <v>0</v>
      </c>
      <c r="F3447">
        <v>0</v>
      </c>
      <c r="G3447">
        <v>0</v>
      </c>
      <c r="H3447">
        <v>0</v>
      </c>
      <c r="I3447">
        <v>0</v>
      </c>
      <c r="J3447">
        <v>0</v>
      </c>
      <c r="K3447">
        <v>0</v>
      </c>
    </row>
    <row r="3448" spans="1:11" x14ac:dyDescent="0.2">
      <c r="A3448" t="s">
        <v>2085</v>
      </c>
      <c r="B3448">
        <v>0</v>
      </c>
      <c r="C3448">
        <v>0</v>
      </c>
      <c r="D3448">
        <v>0</v>
      </c>
      <c r="E3448">
        <v>0</v>
      </c>
      <c r="F3448">
        <v>0</v>
      </c>
      <c r="G3448">
        <v>0</v>
      </c>
      <c r="H3448">
        <v>0</v>
      </c>
      <c r="I3448">
        <v>0</v>
      </c>
      <c r="J3448">
        <v>0</v>
      </c>
      <c r="K3448">
        <v>0</v>
      </c>
    </row>
    <row r="3449" spans="1:11" x14ac:dyDescent="0.2">
      <c r="A3449" t="s">
        <v>2091</v>
      </c>
      <c r="B3449">
        <v>0</v>
      </c>
      <c r="C3449">
        <v>0</v>
      </c>
      <c r="D3449">
        <v>0</v>
      </c>
      <c r="E3449">
        <v>0</v>
      </c>
      <c r="F3449">
        <v>0</v>
      </c>
      <c r="G3449">
        <v>0</v>
      </c>
      <c r="H3449">
        <v>0</v>
      </c>
      <c r="I3449">
        <v>0</v>
      </c>
      <c r="J3449">
        <v>0</v>
      </c>
      <c r="K3449">
        <v>0</v>
      </c>
    </row>
    <row r="3450" spans="1:11" x14ac:dyDescent="0.2">
      <c r="A3450" t="s">
        <v>2097</v>
      </c>
      <c r="B3450">
        <v>0</v>
      </c>
      <c r="C3450">
        <v>0</v>
      </c>
      <c r="D3450">
        <v>0</v>
      </c>
      <c r="E3450">
        <v>0</v>
      </c>
      <c r="F3450">
        <v>0</v>
      </c>
      <c r="G3450">
        <v>0</v>
      </c>
      <c r="H3450">
        <v>0</v>
      </c>
      <c r="I3450">
        <v>0</v>
      </c>
      <c r="J3450">
        <v>0</v>
      </c>
      <c r="K3450">
        <v>0</v>
      </c>
    </row>
    <row r="3451" spans="1:11" x14ac:dyDescent="0.2">
      <c r="A3451" t="s">
        <v>2101</v>
      </c>
      <c r="B3451">
        <v>0</v>
      </c>
      <c r="C3451">
        <v>0</v>
      </c>
      <c r="D3451">
        <v>0</v>
      </c>
      <c r="E3451">
        <v>0</v>
      </c>
      <c r="F3451">
        <v>0</v>
      </c>
      <c r="G3451">
        <v>0</v>
      </c>
      <c r="H3451">
        <v>0</v>
      </c>
      <c r="I3451">
        <v>0</v>
      </c>
      <c r="J3451">
        <v>0</v>
      </c>
      <c r="K3451">
        <v>0</v>
      </c>
    </row>
    <row r="3452" spans="1:11" x14ac:dyDescent="0.2">
      <c r="A3452" t="s">
        <v>2104</v>
      </c>
      <c r="B3452">
        <v>0</v>
      </c>
      <c r="C3452">
        <v>0</v>
      </c>
      <c r="D3452">
        <v>0</v>
      </c>
      <c r="E3452">
        <v>0</v>
      </c>
      <c r="F3452">
        <v>0</v>
      </c>
      <c r="G3452">
        <v>0</v>
      </c>
      <c r="H3452">
        <v>0</v>
      </c>
      <c r="I3452">
        <v>0</v>
      </c>
      <c r="J3452">
        <v>0</v>
      </c>
      <c r="K3452">
        <v>0</v>
      </c>
    </row>
    <row r="3453" spans="1:11" x14ac:dyDescent="0.2">
      <c r="A3453" t="s">
        <v>2107</v>
      </c>
      <c r="B3453">
        <v>0</v>
      </c>
      <c r="C3453">
        <v>0</v>
      </c>
      <c r="D3453">
        <v>0</v>
      </c>
      <c r="E3453">
        <v>0</v>
      </c>
      <c r="F3453">
        <v>0</v>
      </c>
      <c r="G3453">
        <v>0</v>
      </c>
      <c r="H3453">
        <v>0</v>
      </c>
      <c r="I3453">
        <v>0</v>
      </c>
      <c r="J3453">
        <v>0</v>
      </c>
      <c r="K3453">
        <v>0</v>
      </c>
    </row>
    <row r="3454" spans="1:11" x14ac:dyDescent="0.2">
      <c r="A3454" t="s">
        <v>2110</v>
      </c>
      <c r="B3454">
        <v>0</v>
      </c>
      <c r="C3454">
        <v>0</v>
      </c>
      <c r="D3454">
        <v>0</v>
      </c>
      <c r="E3454">
        <v>0</v>
      </c>
      <c r="F3454">
        <v>0</v>
      </c>
      <c r="G3454">
        <v>0</v>
      </c>
      <c r="H3454">
        <v>0</v>
      </c>
      <c r="I3454">
        <v>0</v>
      </c>
      <c r="J3454">
        <v>0</v>
      </c>
      <c r="K3454">
        <v>0</v>
      </c>
    </row>
    <row r="3455" spans="1:11" x14ac:dyDescent="0.2">
      <c r="A3455" t="s">
        <v>2113</v>
      </c>
      <c r="B3455">
        <v>0</v>
      </c>
      <c r="C3455">
        <v>0</v>
      </c>
      <c r="D3455">
        <v>0</v>
      </c>
      <c r="E3455">
        <v>0</v>
      </c>
      <c r="F3455">
        <v>0</v>
      </c>
      <c r="G3455">
        <v>0</v>
      </c>
      <c r="H3455">
        <v>0</v>
      </c>
      <c r="I3455">
        <v>0</v>
      </c>
      <c r="J3455">
        <v>0</v>
      </c>
      <c r="K3455">
        <v>0</v>
      </c>
    </row>
    <row r="3456" spans="1:11" x14ac:dyDescent="0.2">
      <c r="A3456" t="s">
        <v>4346</v>
      </c>
      <c r="B3456">
        <v>0</v>
      </c>
      <c r="C3456">
        <v>0</v>
      </c>
      <c r="D3456">
        <v>0</v>
      </c>
      <c r="E3456">
        <v>0</v>
      </c>
      <c r="F3456">
        <v>0</v>
      </c>
      <c r="G3456">
        <v>0</v>
      </c>
      <c r="H3456">
        <v>0</v>
      </c>
      <c r="I3456">
        <v>0</v>
      </c>
      <c r="J3456">
        <v>0</v>
      </c>
      <c r="K3456">
        <v>0</v>
      </c>
    </row>
    <row r="3457" spans="1:11" x14ac:dyDescent="0.2">
      <c r="A3457" t="s">
        <v>4347</v>
      </c>
      <c r="B3457">
        <v>0</v>
      </c>
      <c r="C3457">
        <v>0</v>
      </c>
      <c r="D3457">
        <v>0</v>
      </c>
      <c r="E3457">
        <v>0</v>
      </c>
      <c r="F3457">
        <v>0</v>
      </c>
      <c r="G3457">
        <v>0</v>
      </c>
      <c r="H3457">
        <v>0</v>
      </c>
      <c r="I3457">
        <v>0</v>
      </c>
      <c r="J3457">
        <v>0</v>
      </c>
      <c r="K3457">
        <v>0</v>
      </c>
    </row>
    <row r="3458" spans="1:11" x14ac:dyDescent="0.2">
      <c r="A3458" t="s">
        <v>4348</v>
      </c>
      <c r="B3458">
        <v>0</v>
      </c>
      <c r="C3458">
        <v>0</v>
      </c>
      <c r="D3458">
        <v>0</v>
      </c>
      <c r="E3458">
        <v>0</v>
      </c>
      <c r="F3458">
        <v>0</v>
      </c>
      <c r="G3458">
        <v>0</v>
      </c>
      <c r="H3458">
        <v>0</v>
      </c>
      <c r="I3458">
        <v>0</v>
      </c>
      <c r="J3458">
        <v>0</v>
      </c>
      <c r="K3458">
        <v>0</v>
      </c>
    </row>
    <row r="3459" spans="1:11" x14ac:dyDescent="0.2">
      <c r="A3459" t="s">
        <v>4349</v>
      </c>
      <c r="B3459">
        <v>0</v>
      </c>
      <c r="C3459">
        <v>0</v>
      </c>
      <c r="D3459">
        <v>0</v>
      </c>
      <c r="E3459">
        <v>0</v>
      </c>
      <c r="F3459">
        <v>0</v>
      </c>
      <c r="G3459">
        <v>0</v>
      </c>
      <c r="H3459">
        <v>0</v>
      </c>
      <c r="I3459">
        <v>0</v>
      </c>
      <c r="J3459">
        <v>0</v>
      </c>
      <c r="K3459">
        <v>0</v>
      </c>
    </row>
    <row r="3460" spans="1:11" x14ac:dyDescent="0.2">
      <c r="A3460" t="s">
        <v>4350</v>
      </c>
      <c r="B3460">
        <v>123</v>
      </c>
      <c r="C3460">
        <v>0</v>
      </c>
      <c r="D3460">
        <v>12</v>
      </c>
      <c r="E3460">
        <v>220</v>
      </c>
      <c r="F3460">
        <v>4</v>
      </c>
      <c r="G3460">
        <v>4</v>
      </c>
      <c r="H3460">
        <v>0</v>
      </c>
      <c r="I3460">
        <v>0</v>
      </c>
      <c r="J3460">
        <v>0</v>
      </c>
      <c r="K3460">
        <v>0</v>
      </c>
    </row>
    <row r="3461" spans="1:11" x14ac:dyDescent="0.2">
      <c r="A3461" t="s">
        <v>4351</v>
      </c>
      <c r="B3461">
        <v>0</v>
      </c>
      <c r="C3461">
        <v>0</v>
      </c>
      <c r="D3461">
        <v>0</v>
      </c>
      <c r="E3461">
        <v>0</v>
      </c>
      <c r="F3461">
        <v>0</v>
      </c>
      <c r="G3461">
        <v>0</v>
      </c>
      <c r="H3461">
        <v>0</v>
      </c>
      <c r="I3461">
        <v>0</v>
      </c>
      <c r="J3461">
        <v>0</v>
      </c>
      <c r="K3461">
        <v>0</v>
      </c>
    </row>
    <row r="3462" spans="1:11" x14ac:dyDescent="0.2">
      <c r="A3462" t="s">
        <v>4352</v>
      </c>
      <c r="B3462">
        <v>0</v>
      </c>
      <c r="C3462">
        <v>0</v>
      </c>
      <c r="D3462">
        <v>0</v>
      </c>
      <c r="E3462">
        <v>0</v>
      </c>
      <c r="F3462">
        <v>0</v>
      </c>
      <c r="G3462">
        <v>0</v>
      </c>
      <c r="H3462">
        <v>0</v>
      </c>
      <c r="I3462">
        <v>0</v>
      </c>
      <c r="J3462">
        <v>0</v>
      </c>
      <c r="K3462">
        <v>0</v>
      </c>
    </row>
    <row r="3463" spans="1:11" x14ac:dyDescent="0.2">
      <c r="A3463" t="s">
        <v>4353</v>
      </c>
      <c r="B3463">
        <v>150</v>
      </c>
      <c r="C3463">
        <v>0</v>
      </c>
      <c r="D3463">
        <v>15</v>
      </c>
      <c r="E3463">
        <v>280</v>
      </c>
      <c r="F3463">
        <v>49</v>
      </c>
      <c r="G3463">
        <v>54</v>
      </c>
      <c r="H3463">
        <v>0</v>
      </c>
      <c r="I3463">
        <v>15</v>
      </c>
      <c r="J3463">
        <v>4</v>
      </c>
      <c r="K3463">
        <v>0</v>
      </c>
    </row>
    <row r="3464" spans="1:11" x14ac:dyDescent="0.2">
      <c r="A3464" t="s">
        <v>4354</v>
      </c>
      <c r="B3464">
        <v>93</v>
      </c>
      <c r="C3464">
        <v>0</v>
      </c>
      <c r="D3464">
        <v>9</v>
      </c>
      <c r="E3464">
        <v>175</v>
      </c>
      <c r="F3464">
        <v>48</v>
      </c>
      <c r="G3464">
        <v>54</v>
      </c>
      <c r="H3464">
        <v>0</v>
      </c>
      <c r="I3464">
        <v>27</v>
      </c>
      <c r="J3464">
        <v>4</v>
      </c>
      <c r="K3464">
        <v>0</v>
      </c>
    </row>
    <row r="3465" spans="1:11" x14ac:dyDescent="0.2">
      <c r="A3465" t="s">
        <v>4355</v>
      </c>
      <c r="B3465">
        <v>0</v>
      </c>
      <c r="C3465">
        <v>0</v>
      </c>
      <c r="D3465">
        <v>0</v>
      </c>
      <c r="E3465">
        <v>0</v>
      </c>
      <c r="F3465">
        <v>0</v>
      </c>
      <c r="G3465">
        <v>0</v>
      </c>
      <c r="H3465">
        <v>0</v>
      </c>
      <c r="I3465">
        <v>0</v>
      </c>
      <c r="J3465">
        <v>0</v>
      </c>
      <c r="K3465">
        <v>0</v>
      </c>
    </row>
    <row r="3466" spans="1:11" x14ac:dyDescent="0.2">
      <c r="A3466" t="s">
        <v>4356</v>
      </c>
      <c r="B3466">
        <v>0</v>
      </c>
      <c r="C3466">
        <v>0</v>
      </c>
      <c r="D3466">
        <v>0</v>
      </c>
      <c r="E3466">
        <v>0</v>
      </c>
      <c r="F3466">
        <v>0</v>
      </c>
      <c r="G3466">
        <v>0</v>
      </c>
      <c r="H3466">
        <v>0</v>
      </c>
      <c r="I3466">
        <v>0</v>
      </c>
      <c r="J3466">
        <v>0</v>
      </c>
      <c r="K3466">
        <v>0</v>
      </c>
    </row>
    <row r="3467" spans="1:11" x14ac:dyDescent="0.2">
      <c r="A3467" t="s">
        <v>4357</v>
      </c>
      <c r="B3467">
        <v>5</v>
      </c>
      <c r="C3467">
        <v>0</v>
      </c>
      <c r="D3467">
        <v>1</v>
      </c>
      <c r="E3467">
        <v>10</v>
      </c>
      <c r="F3467">
        <v>1</v>
      </c>
      <c r="G3467">
        <v>1</v>
      </c>
      <c r="H3467">
        <v>0</v>
      </c>
      <c r="I3467">
        <v>0</v>
      </c>
      <c r="J3467">
        <v>0</v>
      </c>
      <c r="K3467">
        <v>0</v>
      </c>
    </row>
    <row r="3468" spans="1:11" x14ac:dyDescent="0.2">
      <c r="A3468" t="s">
        <v>4358</v>
      </c>
      <c r="B3468">
        <v>0</v>
      </c>
      <c r="C3468">
        <v>0</v>
      </c>
      <c r="D3468">
        <v>0</v>
      </c>
      <c r="E3468">
        <v>0</v>
      </c>
      <c r="F3468">
        <v>0</v>
      </c>
      <c r="G3468">
        <v>0</v>
      </c>
      <c r="H3468">
        <v>0</v>
      </c>
      <c r="I3468">
        <v>0</v>
      </c>
      <c r="J3468">
        <v>0</v>
      </c>
      <c r="K3468">
        <v>0</v>
      </c>
    </row>
    <row r="3469" spans="1:11" x14ac:dyDescent="0.2">
      <c r="A3469" t="s">
        <v>4359</v>
      </c>
      <c r="B3469">
        <v>0</v>
      </c>
      <c r="C3469">
        <v>0</v>
      </c>
      <c r="D3469">
        <v>0</v>
      </c>
      <c r="E3469">
        <v>0</v>
      </c>
      <c r="F3469">
        <v>0</v>
      </c>
      <c r="G3469">
        <v>0</v>
      </c>
      <c r="H3469">
        <v>0</v>
      </c>
      <c r="I3469">
        <v>0</v>
      </c>
      <c r="J3469">
        <v>0</v>
      </c>
      <c r="K3469">
        <v>0</v>
      </c>
    </row>
    <row r="3470" spans="1:11" x14ac:dyDescent="0.2">
      <c r="A3470" t="s">
        <v>4360</v>
      </c>
      <c r="B3470">
        <v>0</v>
      </c>
      <c r="C3470">
        <v>0</v>
      </c>
      <c r="D3470">
        <v>0</v>
      </c>
      <c r="E3470">
        <v>0</v>
      </c>
      <c r="F3470">
        <v>0</v>
      </c>
      <c r="G3470">
        <v>0</v>
      </c>
      <c r="H3470">
        <v>0</v>
      </c>
      <c r="I3470">
        <v>0</v>
      </c>
      <c r="J3470">
        <v>0</v>
      </c>
      <c r="K3470">
        <v>0</v>
      </c>
    </row>
    <row r="3471" spans="1:11" x14ac:dyDescent="0.2">
      <c r="A3471" t="s">
        <v>4361</v>
      </c>
      <c r="B3471">
        <v>4</v>
      </c>
      <c r="C3471">
        <v>0</v>
      </c>
      <c r="D3471">
        <v>0</v>
      </c>
      <c r="E3471">
        <v>8</v>
      </c>
      <c r="F3471">
        <v>4</v>
      </c>
      <c r="G3471">
        <v>5</v>
      </c>
      <c r="H3471">
        <v>0</v>
      </c>
      <c r="I3471">
        <v>7</v>
      </c>
      <c r="J3471">
        <v>0</v>
      </c>
      <c r="K3471">
        <v>0</v>
      </c>
    </row>
    <row r="3472" spans="1:11" x14ac:dyDescent="0.2">
      <c r="A3472" t="s">
        <v>4362</v>
      </c>
      <c r="B3472">
        <v>0</v>
      </c>
      <c r="C3472">
        <v>0</v>
      </c>
      <c r="D3472">
        <v>0</v>
      </c>
      <c r="E3472">
        <v>0</v>
      </c>
      <c r="F3472">
        <v>0</v>
      </c>
      <c r="G3472">
        <v>0</v>
      </c>
      <c r="H3472">
        <v>0</v>
      </c>
      <c r="I3472">
        <v>0</v>
      </c>
      <c r="J3472">
        <v>0</v>
      </c>
      <c r="K3472">
        <v>0</v>
      </c>
    </row>
    <row r="3473" spans="1:11" x14ac:dyDescent="0.2">
      <c r="A3473" t="s">
        <v>4363</v>
      </c>
      <c r="B3473">
        <v>0</v>
      </c>
      <c r="C3473">
        <v>0</v>
      </c>
      <c r="D3473">
        <v>0</v>
      </c>
      <c r="E3473">
        <v>0</v>
      </c>
      <c r="F3473">
        <v>0</v>
      </c>
      <c r="G3473">
        <v>0</v>
      </c>
      <c r="H3473">
        <v>0</v>
      </c>
      <c r="I3473">
        <v>0</v>
      </c>
      <c r="J3473">
        <v>0</v>
      </c>
      <c r="K3473">
        <v>0</v>
      </c>
    </row>
    <row r="3474" spans="1:11" x14ac:dyDescent="0.2">
      <c r="A3474" t="s">
        <v>4364</v>
      </c>
      <c r="B3474">
        <v>0</v>
      </c>
      <c r="C3474">
        <v>0</v>
      </c>
      <c r="D3474">
        <v>0</v>
      </c>
      <c r="E3474">
        <v>0</v>
      </c>
      <c r="F3474">
        <v>0</v>
      </c>
      <c r="G3474">
        <v>0</v>
      </c>
      <c r="H3474">
        <v>0</v>
      </c>
      <c r="I3474">
        <v>0</v>
      </c>
      <c r="J3474">
        <v>0</v>
      </c>
      <c r="K3474">
        <v>0</v>
      </c>
    </row>
    <row r="3475" spans="1:11" x14ac:dyDescent="0.2">
      <c r="A3475" t="s">
        <v>4365</v>
      </c>
      <c r="B3475">
        <v>1</v>
      </c>
      <c r="C3475">
        <v>0</v>
      </c>
      <c r="D3475">
        <v>0</v>
      </c>
      <c r="E3475">
        <v>15</v>
      </c>
      <c r="F3475">
        <v>0</v>
      </c>
      <c r="G3475">
        <v>0</v>
      </c>
      <c r="H3475">
        <v>0</v>
      </c>
      <c r="I3475">
        <v>0</v>
      </c>
      <c r="J3475">
        <v>0</v>
      </c>
      <c r="K3475">
        <v>0</v>
      </c>
    </row>
    <row r="3476" spans="1:11" x14ac:dyDescent="0.2">
      <c r="A3476" t="s">
        <v>4366</v>
      </c>
      <c r="B3476">
        <v>0</v>
      </c>
      <c r="C3476">
        <v>0</v>
      </c>
      <c r="D3476">
        <v>0</v>
      </c>
      <c r="E3476">
        <v>0</v>
      </c>
      <c r="F3476">
        <v>0</v>
      </c>
      <c r="G3476">
        <v>0</v>
      </c>
      <c r="H3476">
        <v>0</v>
      </c>
      <c r="I3476">
        <v>0</v>
      </c>
      <c r="J3476">
        <v>0</v>
      </c>
      <c r="K3476">
        <v>0</v>
      </c>
    </row>
    <row r="3477" spans="1:11" x14ac:dyDescent="0.2">
      <c r="A3477" t="s">
        <v>4367</v>
      </c>
      <c r="B3477">
        <v>35</v>
      </c>
      <c r="C3477">
        <v>0</v>
      </c>
      <c r="D3477">
        <v>3</v>
      </c>
      <c r="E3477">
        <v>63</v>
      </c>
      <c r="F3477">
        <v>0</v>
      </c>
      <c r="G3477">
        <v>0</v>
      </c>
      <c r="H3477">
        <v>0</v>
      </c>
      <c r="I3477">
        <v>0</v>
      </c>
      <c r="J3477">
        <v>0</v>
      </c>
      <c r="K3477">
        <v>0</v>
      </c>
    </row>
    <row r="3478" spans="1:11" x14ac:dyDescent="0.2">
      <c r="A3478" t="s">
        <v>4368</v>
      </c>
      <c r="B3478">
        <v>6</v>
      </c>
      <c r="C3478">
        <v>0</v>
      </c>
      <c r="D3478">
        <v>1</v>
      </c>
      <c r="E3478">
        <v>90</v>
      </c>
      <c r="F3478">
        <v>10</v>
      </c>
      <c r="G3478">
        <v>91</v>
      </c>
      <c r="H3478">
        <v>0</v>
      </c>
      <c r="I3478">
        <v>142</v>
      </c>
      <c r="J3478">
        <v>1</v>
      </c>
      <c r="K3478">
        <v>0</v>
      </c>
    </row>
    <row r="3479" spans="1:11" x14ac:dyDescent="0.2">
      <c r="A3479" t="s">
        <v>4369</v>
      </c>
      <c r="B3479">
        <v>137</v>
      </c>
      <c r="C3479">
        <v>0</v>
      </c>
      <c r="D3479">
        <v>13</v>
      </c>
      <c r="E3479">
        <v>690</v>
      </c>
      <c r="F3479">
        <v>94</v>
      </c>
      <c r="G3479">
        <v>157</v>
      </c>
      <c r="H3479">
        <v>6</v>
      </c>
      <c r="I3479">
        <v>863</v>
      </c>
      <c r="J3479">
        <v>7</v>
      </c>
      <c r="K3479">
        <v>0</v>
      </c>
    </row>
    <row r="3480" spans="1:11" x14ac:dyDescent="0.2">
      <c r="A3480" t="s">
        <v>4370</v>
      </c>
      <c r="B3480">
        <v>1</v>
      </c>
      <c r="C3480">
        <v>0</v>
      </c>
      <c r="D3480">
        <v>0</v>
      </c>
      <c r="E3480">
        <v>12</v>
      </c>
      <c r="F3480">
        <v>0</v>
      </c>
      <c r="G3480">
        <v>0</v>
      </c>
      <c r="H3480">
        <v>0</v>
      </c>
      <c r="I3480">
        <v>0</v>
      </c>
      <c r="J3480">
        <v>0</v>
      </c>
      <c r="K3480">
        <v>0</v>
      </c>
    </row>
    <row r="3481" spans="1:11" x14ac:dyDescent="0.2">
      <c r="A3481" t="s">
        <v>4371</v>
      </c>
      <c r="B3481">
        <v>0</v>
      </c>
      <c r="C3481">
        <v>0</v>
      </c>
      <c r="D3481">
        <v>0</v>
      </c>
      <c r="E3481">
        <v>0</v>
      </c>
      <c r="F3481">
        <v>0</v>
      </c>
      <c r="G3481">
        <v>0</v>
      </c>
      <c r="H3481">
        <v>0</v>
      </c>
      <c r="I3481">
        <v>0</v>
      </c>
      <c r="J3481">
        <v>0</v>
      </c>
      <c r="K3481">
        <v>0</v>
      </c>
    </row>
    <row r="3482" spans="1:11" x14ac:dyDescent="0.2">
      <c r="A3482" t="s">
        <v>4372</v>
      </c>
      <c r="B3482">
        <v>0</v>
      </c>
      <c r="C3482">
        <v>0</v>
      </c>
      <c r="D3482">
        <v>0</v>
      </c>
      <c r="E3482">
        <v>0</v>
      </c>
      <c r="F3482">
        <v>0</v>
      </c>
      <c r="G3482">
        <v>0</v>
      </c>
      <c r="H3482">
        <v>0</v>
      </c>
      <c r="I3482">
        <v>0</v>
      </c>
      <c r="J3482">
        <v>0</v>
      </c>
      <c r="K3482">
        <v>0</v>
      </c>
    </row>
    <row r="3483" spans="1:11" x14ac:dyDescent="0.2">
      <c r="A3483" t="s">
        <v>4373</v>
      </c>
      <c r="B3483">
        <v>28</v>
      </c>
      <c r="C3483">
        <v>0</v>
      </c>
      <c r="D3483">
        <v>3</v>
      </c>
      <c r="E3483">
        <v>51</v>
      </c>
      <c r="F3483">
        <v>3</v>
      </c>
      <c r="G3483">
        <v>3</v>
      </c>
      <c r="H3483">
        <v>0</v>
      </c>
      <c r="I3483">
        <v>0</v>
      </c>
      <c r="J3483">
        <v>0</v>
      </c>
      <c r="K3483">
        <v>0</v>
      </c>
    </row>
    <row r="3484" spans="1:11" x14ac:dyDescent="0.2">
      <c r="A3484" t="s">
        <v>4374</v>
      </c>
      <c r="B3484">
        <v>1</v>
      </c>
      <c r="C3484">
        <v>0</v>
      </c>
      <c r="D3484">
        <v>0</v>
      </c>
      <c r="E3484">
        <v>1</v>
      </c>
      <c r="F3484">
        <v>0</v>
      </c>
      <c r="G3484">
        <v>0</v>
      </c>
      <c r="H3484">
        <v>0</v>
      </c>
      <c r="I3484">
        <v>0</v>
      </c>
      <c r="J3484">
        <v>0</v>
      </c>
      <c r="K3484">
        <v>0</v>
      </c>
    </row>
    <row r="3485" spans="1:11" x14ac:dyDescent="0.2">
      <c r="A3485" t="s">
        <v>4375</v>
      </c>
      <c r="B3485">
        <v>4</v>
      </c>
      <c r="C3485">
        <v>0</v>
      </c>
      <c r="D3485">
        <v>0</v>
      </c>
      <c r="E3485">
        <v>7</v>
      </c>
      <c r="F3485">
        <v>0</v>
      </c>
      <c r="G3485">
        <v>0</v>
      </c>
      <c r="H3485">
        <v>0</v>
      </c>
      <c r="I3485">
        <v>0</v>
      </c>
      <c r="J3485">
        <v>0</v>
      </c>
      <c r="K3485">
        <v>0</v>
      </c>
    </row>
    <row r="3486" spans="1:11" x14ac:dyDescent="0.2">
      <c r="A3486" t="s">
        <v>4376</v>
      </c>
      <c r="B3486">
        <v>2</v>
      </c>
      <c r="C3486">
        <v>0</v>
      </c>
      <c r="D3486">
        <v>0</v>
      </c>
      <c r="E3486">
        <v>3</v>
      </c>
      <c r="F3486">
        <v>0</v>
      </c>
      <c r="G3486">
        <v>0</v>
      </c>
      <c r="H3486">
        <v>0</v>
      </c>
      <c r="I3486">
        <v>0</v>
      </c>
      <c r="J3486">
        <v>0</v>
      </c>
      <c r="K3486">
        <v>0</v>
      </c>
    </row>
    <row r="3487" spans="1:11" x14ac:dyDescent="0.2">
      <c r="A3487" t="s">
        <v>4377</v>
      </c>
      <c r="B3487">
        <v>12</v>
      </c>
      <c r="C3487">
        <v>0</v>
      </c>
      <c r="D3487">
        <v>1</v>
      </c>
      <c r="E3487">
        <v>23</v>
      </c>
      <c r="F3487">
        <v>0</v>
      </c>
      <c r="G3487">
        <v>0</v>
      </c>
      <c r="H3487">
        <v>0</v>
      </c>
      <c r="I3487">
        <v>0</v>
      </c>
      <c r="J3487">
        <v>0</v>
      </c>
      <c r="K3487">
        <v>0</v>
      </c>
    </row>
    <row r="3488" spans="1:11" x14ac:dyDescent="0.2">
      <c r="A3488" t="s">
        <v>4854</v>
      </c>
      <c r="B3488">
        <v>18267</v>
      </c>
      <c r="C3488">
        <v>0</v>
      </c>
      <c r="D3488">
        <v>1712</v>
      </c>
      <c r="E3488">
        <v>43071</v>
      </c>
      <c r="F3488">
        <v>96569</v>
      </c>
      <c r="G3488">
        <v>169595</v>
      </c>
      <c r="H3488">
        <v>1417</v>
      </c>
      <c r="I3488">
        <v>112258</v>
      </c>
      <c r="J3488">
        <v>6714</v>
      </c>
      <c r="K3488">
        <v>0</v>
      </c>
    </row>
    <row r="3489" spans="1:11" x14ac:dyDescent="0.2">
      <c r="A3489" t="s">
        <v>2318</v>
      </c>
      <c r="B3489" t="s">
        <v>4399</v>
      </c>
      <c r="C3489" t="s">
        <v>4399</v>
      </c>
      <c r="D3489" t="s">
        <v>4399</v>
      </c>
      <c r="E3489" t="s">
        <v>4399</v>
      </c>
      <c r="F3489" t="s">
        <v>4399</v>
      </c>
      <c r="G3489" t="s">
        <v>4399</v>
      </c>
      <c r="H3489" t="s">
        <v>4399</v>
      </c>
      <c r="I3489" t="s">
        <v>4399</v>
      </c>
      <c r="J3489" t="s">
        <v>4399</v>
      </c>
      <c r="K3489" t="s">
        <v>4399</v>
      </c>
    </row>
    <row r="3490" spans="1:11" x14ac:dyDescent="0.2">
      <c r="A3490" t="s">
        <v>4248</v>
      </c>
    </row>
    <row r="3491" spans="1:11" x14ac:dyDescent="0.2">
      <c r="A3491" t="s">
        <v>4855</v>
      </c>
      <c r="B3491" t="s">
        <v>4856</v>
      </c>
      <c r="C3491" t="s">
        <v>4857</v>
      </c>
      <c r="D3491" t="s">
        <v>4858</v>
      </c>
      <c r="E3491" t="s">
        <v>4859</v>
      </c>
      <c r="F3491" t="s">
        <v>4860</v>
      </c>
      <c r="G3491" t="s">
        <v>4877</v>
      </c>
    </row>
    <row r="3492" spans="1:11" x14ac:dyDescent="0.2">
      <c r="A3492" t="s">
        <v>2318</v>
      </c>
      <c r="B3492" t="s">
        <v>4399</v>
      </c>
      <c r="C3492" t="s">
        <v>4399</v>
      </c>
      <c r="D3492" t="s">
        <v>4399</v>
      </c>
      <c r="E3492" t="s">
        <v>4399</v>
      </c>
      <c r="F3492" t="s">
        <v>4399</v>
      </c>
      <c r="G3492" t="s">
        <v>4399</v>
      </c>
      <c r="H3492" t="s">
        <v>4399</v>
      </c>
      <c r="I3492" t="s">
        <v>4399</v>
      </c>
      <c r="J3492" t="s">
        <v>4399</v>
      </c>
      <c r="K3492" t="s">
        <v>4399</v>
      </c>
    </row>
    <row r="3493" spans="1:11" x14ac:dyDescent="0.2">
      <c r="A3493" t="s">
        <v>126</v>
      </c>
      <c r="B3493" t="s">
        <v>4580</v>
      </c>
      <c r="C3493" t="s">
        <v>4584</v>
      </c>
      <c r="D3493" t="s">
        <v>4588</v>
      </c>
      <c r="E3493" t="s">
        <v>4592</v>
      </c>
      <c r="F3493" t="s">
        <v>4596</v>
      </c>
      <c r="G3493" t="s">
        <v>4600</v>
      </c>
      <c r="H3493" t="s">
        <v>4603</v>
      </c>
      <c r="I3493" t="s">
        <v>4606</v>
      </c>
      <c r="J3493" t="s">
        <v>4610</v>
      </c>
      <c r="K3493" t="s">
        <v>4614</v>
      </c>
    </row>
    <row r="3494" spans="1:11" x14ac:dyDescent="0.2">
      <c r="A3494" t="s">
        <v>2318</v>
      </c>
      <c r="B3494" t="s">
        <v>4399</v>
      </c>
      <c r="C3494" t="s">
        <v>4399</v>
      </c>
      <c r="D3494" t="s">
        <v>4399</v>
      </c>
      <c r="E3494" t="s">
        <v>4399</v>
      </c>
      <c r="F3494" t="s">
        <v>4399</v>
      </c>
      <c r="G3494" t="s">
        <v>4399</v>
      </c>
      <c r="H3494" t="s">
        <v>4399</v>
      </c>
      <c r="I3494" t="s">
        <v>4399</v>
      </c>
      <c r="J3494" t="s">
        <v>4399</v>
      </c>
      <c r="K3494" t="s">
        <v>4399</v>
      </c>
    </row>
    <row r="3495" spans="1:11" x14ac:dyDescent="0.2">
      <c r="A3495" t="s">
        <v>4265</v>
      </c>
      <c r="B3495">
        <v>0</v>
      </c>
      <c r="C3495">
        <v>0</v>
      </c>
      <c r="D3495">
        <v>0</v>
      </c>
      <c r="E3495">
        <v>0</v>
      </c>
      <c r="F3495">
        <v>0</v>
      </c>
      <c r="G3495">
        <v>0</v>
      </c>
      <c r="H3495">
        <v>0</v>
      </c>
      <c r="I3495">
        <v>0</v>
      </c>
      <c r="J3495">
        <v>0</v>
      </c>
      <c r="K3495">
        <v>0</v>
      </c>
    </row>
    <row r="3496" spans="1:11" x14ac:dyDescent="0.2">
      <c r="A3496" t="s">
        <v>4266</v>
      </c>
      <c r="B3496">
        <v>0</v>
      </c>
      <c r="C3496">
        <v>0</v>
      </c>
      <c r="D3496">
        <v>0</v>
      </c>
      <c r="E3496">
        <v>0</v>
      </c>
      <c r="F3496">
        <v>0</v>
      </c>
      <c r="G3496">
        <v>0</v>
      </c>
      <c r="H3496">
        <v>0</v>
      </c>
      <c r="I3496">
        <v>0</v>
      </c>
      <c r="J3496">
        <v>0</v>
      </c>
      <c r="K3496">
        <v>0</v>
      </c>
    </row>
    <row r="3497" spans="1:11" x14ac:dyDescent="0.2">
      <c r="A3497" t="s">
        <v>4267</v>
      </c>
      <c r="B3497">
        <v>6</v>
      </c>
      <c r="C3497">
        <v>0</v>
      </c>
      <c r="D3497">
        <v>4</v>
      </c>
      <c r="E3497">
        <v>0</v>
      </c>
      <c r="F3497">
        <v>3</v>
      </c>
      <c r="G3497">
        <v>47</v>
      </c>
      <c r="H3497">
        <v>0</v>
      </c>
      <c r="I3497">
        <v>2</v>
      </c>
      <c r="J3497">
        <v>65</v>
      </c>
      <c r="K3497">
        <v>0</v>
      </c>
    </row>
    <row r="3498" spans="1:11" x14ac:dyDescent="0.2">
      <c r="A3498" t="s">
        <v>4268</v>
      </c>
      <c r="B3498">
        <v>1</v>
      </c>
      <c r="C3498">
        <v>0</v>
      </c>
      <c r="D3498">
        <v>1</v>
      </c>
      <c r="E3498">
        <v>0</v>
      </c>
      <c r="F3498">
        <v>0</v>
      </c>
      <c r="G3498">
        <v>6</v>
      </c>
      <c r="H3498">
        <v>0</v>
      </c>
      <c r="I3498">
        <v>1</v>
      </c>
      <c r="J3498">
        <v>35</v>
      </c>
      <c r="K3498">
        <v>0</v>
      </c>
    </row>
    <row r="3499" spans="1:11" x14ac:dyDescent="0.2">
      <c r="A3499" t="s">
        <v>4269</v>
      </c>
      <c r="B3499">
        <v>8</v>
      </c>
      <c r="C3499">
        <v>0</v>
      </c>
      <c r="D3499">
        <v>6</v>
      </c>
      <c r="E3499">
        <v>0</v>
      </c>
      <c r="F3499">
        <v>4</v>
      </c>
      <c r="G3499">
        <v>69</v>
      </c>
      <c r="H3499">
        <v>0</v>
      </c>
      <c r="I3499">
        <v>1</v>
      </c>
      <c r="J3499">
        <v>59</v>
      </c>
      <c r="K3499">
        <v>0</v>
      </c>
    </row>
    <row r="3500" spans="1:11" x14ac:dyDescent="0.2">
      <c r="A3500" t="s">
        <v>4270</v>
      </c>
      <c r="B3500">
        <v>0</v>
      </c>
      <c r="C3500">
        <v>0</v>
      </c>
      <c r="D3500">
        <v>0</v>
      </c>
      <c r="E3500">
        <v>0</v>
      </c>
      <c r="F3500">
        <v>0</v>
      </c>
      <c r="G3500">
        <v>0</v>
      </c>
      <c r="H3500">
        <v>0</v>
      </c>
      <c r="I3500">
        <v>0</v>
      </c>
      <c r="J3500">
        <v>0</v>
      </c>
      <c r="K3500">
        <v>0</v>
      </c>
    </row>
    <row r="3501" spans="1:11" x14ac:dyDescent="0.2">
      <c r="A3501" t="s">
        <v>4271</v>
      </c>
      <c r="B3501">
        <v>2</v>
      </c>
      <c r="C3501">
        <v>0</v>
      </c>
      <c r="D3501">
        <v>2</v>
      </c>
      <c r="E3501">
        <v>0</v>
      </c>
      <c r="F3501">
        <v>1</v>
      </c>
      <c r="G3501">
        <v>22</v>
      </c>
      <c r="H3501">
        <v>0</v>
      </c>
      <c r="I3501">
        <v>1</v>
      </c>
      <c r="J3501">
        <v>35</v>
      </c>
      <c r="K3501">
        <v>0</v>
      </c>
    </row>
    <row r="3502" spans="1:11" x14ac:dyDescent="0.2">
      <c r="A3502" t="s">
        <v>4272</v>
      </c>
      <c r="B3502">
        <v>4</v>
      </c>
      <c r="C3502">
        <v>0</v>
      </c>
      <c r="D3502">
        <v>3</v>
      </c>
      <c r="E3502">
        <v>0</v>
      </c>
      <c r="F3502">
        <v>2</v>
      </c>
      <c r="G3502">
        <v>33</v>
      </c>
      <c r="H3502">
        <v>0</v>
      </c>
      <c r="I3502">
        <v>1</v>
      </c>
      <c r="J3502">
        <v>47</v>
      </c>
      <c r="K3502">
        <v>0</v>
      </c>
    </row>
    <row r="3503" spans="1:11" x14ac:dyDescent="0.2">
      <c r="A3503" t="s">
        <v>4273</v>
      </c>
      <c r="B3503">
        <v>0</v>
      </c>
      <c r="C3503">
        <v>0</v>
      </c>
      <c r="D3503">
        <v>0</v>
      </c>
      <c r="E3503">
        <v>0</v>
      </c>
      <c r="F3503">
        <v>0</v>
      </c>
      <c r="G3503">
        <v>0</v>
      </c>
      <c r="H3503">
        <v>0</v>
      </c>
      <c r="I3503">
        <v>0</v>
      </c>
      <c r="J3503">
        <v>0</v>
      </c>
      <c r="K3503">
        <v>0</v>
      </c>
    </row>
    <row r="3504" spans="1:11" x14ac:dyDescent="0.2">
      <c r="A3504" t="s">
        <v>4274</v>
      </c>
      <c r="B3504">
        <v>0</v>
      </c>
      <c r="C3504">
        <v>0</v>
      </c>
      <c r="D3504">
        <v>0</v>
      </c>
      <c r="E3504">
        <v>0</v>
      </c>
      <c r="F3504">
        <v>0</v>
      </c>
      <c r="G3504">
        <v>0</v>
      </c>
      <c r="H3504">
        <v>0</v>
      </c>
      <c r="I3504">
        <v>0</v>
      </c>
      <c r="J3504">
        <v>0</v>
      </c>
      <c r="K3504">
        <v>0</v>
      </c>
    </row>
    <row r="3505" spans="1:11" x14ac:dyDescent="0.2">
      <c r="A3505" t="s">
        <v>4275</v>
      </c>
      <c r="B3505">
        <v>0</v>
      </c>
      <c r="C3505">
        <v>0</v>
      </c>
      <c r="D3505">
        <v>0</v>
      </c>
      <c r="E3505">
        <v>0</v>
      </c>
      <c r="F3505">
        <v>0</v>
      </c>
      <c r="G3505">
        <v>0</v>
      </c>
      <c r="H3505">
        <v>0</v>
      </c>
      <c r="I3505">
        <v>0</v>
      </c>
      <c r="J3505">
        <v>0</v>
      </c>
      <c r="K3505">
        <v>0</v>
      </c>
    </row>
    <row r="3506" spans="1:11" x14ac:dyDescent="0.2">
      <c r="A3506" t="s">
        <v>4276</v>
      </c>
      <c r="B3506">
        <v>0</v>
      </c>
      <c r="C3506">
        <v>0</v>
      </c>
      <c r="D3506">
        <v>0</v>
      </c>
      <c r="E3506">
        <v>0</v>
      </c>
      <c r="F3506">
        <v>0</v>
      </c>
      <c r="G3506">
        <v>0</v>
      </c>
      <c r="H3506">
        <v>0</v>
      </c>
      <c r="I3506">
        <v>0</v>
      </c>
      <c r="J3506">
        <v>0</v>
      </c>
      <c r="K3506">
        <v>0</v>
      </c>
    </row>
    <row r="3507" spans="1:11" x14ac:dyDescent="0.2">
      <c r="A3507" t="s">
        <v>4277</v>
      </c>
      <c r="B3507">
        <v>0</v>
      </c>
      <c r="C3507">
        <v>0</v>
      </c>
      <c r="D3507">
        <v>0</v>
      </c>
      <c r="E3507">
        <v>0</v>
      </c>
      <c r="F3507">
        <v>0</v>
      </c>
      <c r="G3507">
        <v>0</v>
      </c>
      <c r="H3507">
        <v>0</v>
      </c>
      <c r="I3507">
        <v>0</v>
      </c>
      <c r="J3507">
        <v>1137</v>
      </c>
      <c r="K3507">
        <v>0</v>
      </c>
    </row>
    <row r="3508" spans="1:11" x14ac:dyDescent="0.2">
      <c r="A3508" t="s">
        <v>4278</v>
      </c>
      <c r="B3508">
        <v>0</v>
      </c>
      <c r="C3508">
        <v>0</v>
      </c>
      <c r="D3508">
        <v>0</v>
      </c>
      <c r="E3508">
        <v>0</v>
      </c>
      <c r="F3508">
        <v>0</v>
      </c>
      <c r="G3508">
        <v>0</v>
      </c>
      <c r="H3508">
        <v>0</v>
      </c>
      <c r="I3508">
        <v>0</v>
      </c>
      <c r="J3508">
        <v>0</v>
      </c>
      <c r="K3508">
        <v>0</v>
      </c>
    </row>
    <row r="3509" spans="1:11" x14ac:dyDescent="0.2">
      <c r="A3509" t="s">
        <v>4279</v>
      </c>
      <c r="B3509">
        <v>11</v>
      </c>
      <c r="C3509">
        <v>0</v>
      </c>
      <c r="D3509">
        <v>9</v>
      </c>
      <c r="E3509">
        <v>0</v>
      </c>
      <c r="F3509">
        <v>6</v>
      </c>
      <c r="G3509">
        <v>453</v>
      </c>
      <c r="H3509">
        <v>0</v>
      </c>
      <c r="I3509">
        <v>6</v>
      </c>
      <c r="J3509">
        <v>59</v>
      </c>
      <c r="K3509">
        <v>0</v>
      </c>
    </row>
    <row r="3510" spans="1:11" x14ac:dyDescent="0.2">
      <c r="A3510" t="s">
        <v>4280</v>
      </c>
      <c r="B3510">
        <v>2</v>
      </c>
      <c r="C3510">
        <v>0</v>
      </c>
      <c r="D3510">
        <v>0</v>
      </c>
      <c r="E3510">
        <v>0</v>
      </c>
      <c r="F3510">
        <v>0</v>
      </c>
      <c r="G3510">
        <v>4</v>
      </c>
      <c r="H3510">
        <v>0</v>
      </c>
      <c r="I3510">
        <v>0</v>
      </c>
      <c r="J3510">
        <v>6</v>
      </c>
      <c r="K3510">
        <v>0</v>
      </c>
    </row>
    <row r="3511" spans="1:11" x14ac:dyDescent="0.2">
      <c r="A3511" t="s">
        <v>4281</v>
      </c>
      <c r="B3511">
        <v>428</v>
      </c>
      <c r="C3511">
        <v>0</v>
      </c>
      <c r="D3511">
        <v>508</v>
      </c>
      <c r="E3511">
        <v>0</v>
      </c>
      <c r="F3511">
        <v>325</v>
      </c>
      <c r="G3511">
        <v>19301</v>
      </c>
      <c r="H3511">
        <v>0</v>
      </c>
      <c r="I3511">
        <v>72</v>
      </c>
      <c r="J3511">
        <v>1249</v>
      </c>
      <c r="K3511">
        <v>0</v>
      </c>
    </row>
    <row r="3512" spans="1:11" x14ac:dyDescent="0.2">
      <c r="A3512" t="s">
        <v>4282</v>
      </c>
      <c r="B3512">
        <v>147</v>
      </c>
      <c r="C3512">
        <v>0</v>
      </c>
      <c r="D3512">
        <v>160</v>
      </c>
      <c r="E3512">
        <v>0</v>
      </c>
      <c r="F3512">
        <v>102</v>
      </c>
      <c r="G3512">
        <v>3259</v>
      </c>
      <c r="H3512">
        <v>0</v>
      </c>
      <c r="I3512">
        <v>12</v>
      </c>
      <c r="J3512">
        <v>229</v>
      </c>
      <c r="K3512">
        <v>0</v>
      </c>
    </row>
    <row r="3513" spans="1:11" x14ac:dyDescent="0.2">
      <c r="A3513" t="s">
        <v>4283</v>
      </c>
      <c r="B3513">
        <v>151</v>
      </c>
      <c r="C3513">
        <v>0</v>
      </c>
      <c r="D3513">
        <v>146</v>
      </c>
      <c r="E3513">
        <v>0</v>
      </c>
      <c r="F3513">
        <v>94</v>
      </c>
      <c r="G3513">
        <v>5349</v>
      </c>
      <c r="H3513">
        <v>0</v>
      </c>
      <c r="I3513">
        <v>52</v>
      </c>
      <c r="J3513">
        <v>899</v>
      </c>
      <c r="K3513">
        <v>0</v>
      </c>
    </row>
    <row r="3514" spans="1:11" x14ac:dyDescent="0.2">
      <c r="A3514" t="s">
        <v>4284</v>
      </c>
      <c r="B3514">
        <v>15</v>
      </c>
      <c r="C3514">
        <v>0</v>
      </c>
      <c r="D3514">
        <v>12</v>
      </c>
      <c r="E3514">
        <v>0</v>
      </c>
      <c r="F3514">
        <v>8</v>
      </c>
      <c r="G3514">
        <v>208</v>
      </c>
      <c r="H3514">
        <v>0</v>
      </c>
      <c r="I3514">
        <v>2</v>
      </c>
      <c r="J3514">
        <v>52</v>
      </c>
      <c r="K3514">
        <v>0</v>
      </c>
    </row>
    <row r="3515" spans="1:11" x14ac:dyDescent="0.2">
      <c r="A3515" t="s">
        <v>4285</v>
      </c>
      <c r="B3515">
        <v>188</v>
      </c>
      <c r="C3515">
        <v>0</v>
      </c>
      <c r="D3515">
        <v>349</v>
      </c>
      <c r="E3515">
        <v>0</v>
      </c>
      <c r="F3515">
        <v>223</v>
      </c>
      <c r="G3515">
        <v>12502</v>
      </c>
      <c r="H3515">
        <v>0</v>
      </c>
      <c r="I3515">
        <v>26</v>
      </c>
      <c r="J3515">
        <v>487</v>
      </c>
      <c r="K3515">
        <v>0</v>
      </c>
    </row>
    <row r="3516" spans="1:11" x14ac:dyDescent="0.2">
      <c r="A3516" t="s">
        <v>4286</v>
      </c>
      <c r="B3516">
        <v>19</v>
      </c>
      <c r="C3516">
        <v>0</v>
      </c>
      <c r="D3516">
        <v>33</v>
      </c>
      <c r="E3516">
        <v>0</v>
      </c>
      <c r="F3516">
        <v>21</v>
      </c>
      <c r="G3516">
        <v>480</v>
      </c>
      <c r="H3516">
        <v>0</v>
      </c>
      <c r="I3516">
        <v>1</v>
      </c>
      <c r="J3516">
        <v>19</v>
      </c>
      <c r="K3516">
        <v>0</v>
      </c>
    </row>
    <row r="3517" spans="1:11" x14ac:dyDescent="0.2">
      <c r="A3517" t="s">
        <v>4287</v>
      </c>
      <c r="B3517">
        <v>518</v>
      </c>
      <c r="C3517">
        <v>0</v>
      </c>
      <c r="D3517">
        <v>297</v>
      </c>
      <c r="E3517">
        <v>0</v>
      </c>
      <c r="F3517">
        <v>190</v>
      </c>
      <c r="G3517">
        <v>10777</v>
      </c>
      <c r="H3517">
        <v>0</v>
      </c>
      <c r="I3517">
        <v>4</v>
      </c>
      <c r="J3517">
        <v>44</v>
      </c>
      <c r="K3517">
        <v>0</v>
      </c>
    </row>
    <row r="3518" spans="1:11" x14ac:dyDescent="0.2">
      <c r="A3518" t="s">
        <v>4288</v>
      </c>
      <c r="B3518">
        <v>58</v>
      </c>
      <c r="C3518">
        <v>0</v>
      </c>
      <c r="D3518">
        <v>18</v>
      </c>
      <c r="E3518">
        <v>0</v>
      </c>
      <c r="F3518">
        <v>12</v>
      </c>
      <c r="G3518">
        <v>132</v>
      </c>
      <c r="H3518">
        <v>0</v>
      </c>
      <c r="I3518">
        <v>0</v>
      </c>
      <c r="J3518">
        <v>0</v>
      </c>
      <c r="K3518">
        <v>0</v>
      </c>
    </row>
    <row r="3519" spans="1:11" x14ac:dyDescent="0.2">
      <c r="A3519" t="s">
        <v>4289</v>
      </c>
      <c r="B3519">
        <v>4371</v>
      </c>
      <c r="C3519">
        <v>0</v>
      </c>
      <c r="D3519">
        <v>16141</v>
      </c>
      <c r="E3519">
        <v>0</v>
      </c>
      <c r="F3519">
        <v>10317</v>
      </c>
      <c r="G3519">
        <v>115245</v>
      </c>
      <c r="H3519">
        <v>0</v>
      </c>
      <c r="I3519">
        <v>0</v>
      </c>
      <c r="J3519">
        <v>0</v>
      </c>
      <c r="K3519">
        <v>0</v>
      </c>
    </row>
    <row r="3520" spans="1:11" x14ac:dyDescent="0.2">
      <c r="A3520" t="s">
        <v>4290</v>
      </c>
      <c r="B3520">
        <v>0</v>
      </c>
      <c r="C3520">
        <v>0</v>
      </c>
      <c r="D3520">
        <v>0</v>
      </c>
      <c r="E3520">
        <v>0</v>
      </c>
      <c r="F3520">
        <v>215</v>
      </c>
      <c r="G3520">
        <v>2405</v>
      </c>
      <c r="H3520">
        <v>0</v>
      </c>
      <c r="I3520">
        <v>0</v>
      </c>
      <c r="J3520">
        <v>0</v>
      </c>
      <c r="K3520">
        <v>0</v>
      </c>
    </row>
    <row r="3521" spans="1:11" x14ac:dyDescent="0.2">
      <c r="A3521" t="s">
        <v>4291</v>
      </c>
      <c r="B3521">
        <v>0</v>
      </c>
      <c r="C3521">
        <v>0</v>
      </c>
      <c r="D3521">
        <v>0</v>
      </c>
      <c r="E3521">
        <v>0</v>
      </c>
      <c r="F3521">
        <v>0</v>
      </c>
      <c r="G3521">
        <v>0</v>
      </c>
      <c r="H3521">
        <v>0</v>
      </c>
      <c r="I3521">
        <v>0</v>
      </c>
      <c r="J3521">
        <v>0</v>
      </c>
      <c r="K3521">
        <v>0</v>
      </c>
    </row>
    <row r="3522" spans="1:11" x14ac:dyDescent="0.2">
      <c r="A3522" t="s">
        <v>4292</v>
      </c>
      <c r="B3522">
        <v>138</v>
      </c>
      <c r="C3522">
        <v>0</v>
      </c>
      <c r="D3522">
        <v>161</v>
      </c>
      <c r="E3522">
        <v>0</v>
      </c>
      <c r="F3522">
        <v>0</v>
      </c>
      <c r="G3522">
        <v>0</v>
      </c>
      <c r="H3522">
        <v>0</v>
      </c>
      <c r="I3522">
        <v>0</v>
      </c>
      <c r="J3522">
        <v>0</v>
      </c>
      <c r="K3522">
        <v>0</v>
      </c>
    </row>
    <row r="3523" spans="1:11" x14ac:dyDescent="0.2">
      <c r="A3523" t="s">
        <v>4293</v>
      </c>
      <c r="B3523">
        <v>0</v>
      </c>
      <c r="C3523">
        <v>0</v>
      </c>
      <c r="D3523">
        <v>0</v>
      </c>
      <c r="E3523">
        <v>0</v>
      </c>
      <c r="F3523">
        <v>0</v>
      </c>
      <c r="G3523">
        <v>0</v>
      </c>
      <c r="H3523">
        <v>0</v>
      </c>
      <c r="I3523">
        <v>0</v>
      </c>
      <c r="J3523">
        <v>0</v>
      </c>
      <c r="K3523">
        <v>0</v>
      </c>
    </row>
    <row r="3524" spans="1:11" x14ac:dyDescent="0.2">
      <c r="A3524" t="s">
        <v>4294</v>
      </c>
      <c r="B3524">
        <v>0</v>
      </c>
      <c r="C3524">
        <v>0</v>
      </c>
      <c r="D3524">
        <v>0</v>
      </c>
      <c r="E3524">
        <v>0</v>
      </c>
      <c r="F3524">
        <v>450</v>
      </c>
      <c r="G3524">
        <v>5031</v>
      </c>
      <c r="H3524">
        <v>0</v>
      </c>
      <c r="I3524">
        <v>0</v>
      </c>
      <c r="J3524">
        <v>0</v>
      </c>
      <c r="K3524">
        <v>0</v>
      </c>
    </row>
    <row r="3525" spans="1:11" x14ac:dyDescent="0.2">
      <c r="A3525" t="s">
        <v>4295</v>
      </c>
      <c r="B3525">
        <v>0</v>
      </c>
      <c r="C3525">
        <v>0</v>
      </c>
      <c r="D3525">
        <v>0</v>
      </c>
      <c r="E3525">
        <v>0</v>
      </c>
      <c r="F3525">
        <v>0</v>
      </c>
      <c r="G3525">
        <v>0</v>
      </c>
      <c r="H3525">
        <v>0</v>
      </c>
      <c r="I3525">
        <v>0</v>
      </c>
      <c r="J3525">
        <v>0</v>
      </c>
      <c r="K3525">
        <v>0</v>
      </c>
    </row>
    <row r="3526" spans="1:11" x14ac:dyDescent="0.2">
      <c r="A3526" t="s">
        <v>4296</v>
      </c>
      <c r="B3526">
        <v>0</v>
      </c>
      <c r="C3526">
        <v>0</v>
      </c>
      <c r="D3526">
        <v>0</v>
      </c>
      <c r="E3526">
        <v>0</v>
      </c>
      <c r="F3526">
        <v>0</v>
      </c>
      <c r="G3526">
        <v>0</v>
      </c>
      <c r="H3526">
        <v>0</v>
      </c>
      <c r="I3526">
        <v>0</v>
      </c>
      <c r="J3526">
        <v>0</v>
      </c>
      <c r="K3526">
        <v>0</v>
      </c>
    </row>
    <row r="3527" spans="1:11" x14ac:dyDescent="0.2">
      <c r="A3527" t="s">
        <v>4297</v>
      </c>
      <c r="B3527">
        <v>400</v>
      </c>
      <c r="C3527">
        <v>0</v>
      </c>
      <c r="D3527">
        <v>1165</v>
      </c>
      <c r="E3527">
        <v>0</v>
      </c>
      <c r="F3527">
        <v>745</v>
      </c>
      <c r="G3527">
        <v>50086</v>
      </c>
      <c r="H3527">
        <v>0</v>
      </c>
      <c r="I3527">
        <v>17</v>
      </c>
      <c r="J3527">
        <v>173</v>
      </c>
      <c r="K3527">
        <v>0</v>
      </c>
    </row>
    <row r="3528" spans="1:11" x14ac:dyDescent="0.2">
      <c r="A3528" t="s">
        <v>4298</v>
      </c>
      <c r="B3528">
        <v>146</v>
      </c>
      <c r="C3528">
        <v>0</v>
      </c>
      <c r="D3528">
        <v>270</v>
      </c>
      <c r="E3528">
        <v>0</v>
      </c>
      <c r="F3528">
        <v>173</v>
      </c>
      <c r="G3528">
        <v>6294</v>
      </c>
      <c r="H3528">
        <v>0</v>
      </c>
      <c r="I3528">
        <v>3</v>
      </c>
      <c r="J3528">
        <v>57</v>
      </c>
      <c r="K3528">
        <v>0</v>
      </c>
    </row>
    <row r="3529" spans="1:11" x14ac:dyDescent="0.2">
      <c r="A3529" t="s">
        <v>4299</v>
      </c>
      <c r="B3529">
        <v>66</v>
      </c>
      <c r="C3529">
        <v>0</v>
      </c>
      <c r="D3529">
        <v>213</v>
      </c>
      <c r="E3529">
        <v>0</v>
      </c>
      <c r="F3529">
        <v>136</v>
      </c>
      <c r="G3529">
        <v>5288</v>
      </c>
      <c r="H3529">
        <v>0</v>
      </c>
      <c r="I3529">
        <v>2</v>
      </c>
      <c r="J3529">
        <v>37</v>
      </c>
      <c r="K3529">
        <v>0</v>
      </c>
    </row>
    <row r="3530" spans="1:11" x14ac:dyDescent="0.2">
      <c r="A3530" t="s">
        <v>4300</v>
      </c>
      <c r="B3530">
        <v>4</v>
      </c>
      <c r="C3530">
        <v>0</v>
      </c>
      <c r="D3530">
        <v>14</v>
      </c>
      <c r="E3530">
        <v>0</v>
      </c>
      <c r="F3530">
        <v>9</v>
      </c>
      <c r="G3530">
        <v>118</v>
      </c>
      <c r="H3530">
        <v>0</v>
      </c>
      <c r="I3530">
        <v>0</v>
      </c>
      <c r="J3530">
        <v>2</v>
      </c>
      <c r="K3530">
        <v>0</v>
      </c>
    </row>
    <row r="3531" spans="1:11" x14ac:dyDescent="0.2">
      <c r="A3531" t="s">
        <v>4301</v>
      </c>
      <c r="B3531">
        <v>239</v>
      </c>
      <c r="C3531">
        <v>0</v>
      </c>
      <c r="D3531">
        <v>722</v>
      </c>
      <c r="E3531">
        <v>0</v>
      </c>
      <c r="F3531">
        <v>462</v>
      </c>
      <c r="G3531">
        <v>30282</v>
      </c>
      <c r="H3531">
        <v>0</v>
      </c>
      <c r="I3531">
        <v>12</v>
      </c>
      <c r="J3531">
        <v>120</v>
      </c>
      <c r="K3531">
        <v>0</v>
      </c>
    </row>
    <row r="3532" spans="1:11" x14ac:dyDescent="0.2">
      <c r="A3532" t="s">
        <v>4302</v>
      </c>
      <c r="B3532">
        <v>46</v>
      </c>
      <c r="C3532">
        <v>0</v>
      </c>
      <c r="D3532">
        <v>42</v>
      </c>
      <c r="E3532">
        <v>0</v>
      </c>
      <c r="F3532">
        <v>27</v>
      </c>
      <c r="G3532">
        <v>1114</v>
      </c>
      <c r="H3532">
        <v>0</v>
      </c>
      <c r="I3532">
        <v>1</v>
      </c>
      <c r="J3532">
        <v>15</v>
      </c>
      <c r="K3532">
        <v>0</v>
      </c>
    </row>
    <row r="3533" spans="1:11" x14ac:dyDescent="0.2">
      <c r="A3533" t="s">
        <v>4303</v>
      </c>
      <c r="B3533">
        <v>150</v>
      </c>
      <c r="C3533">
        <v>0</v>
      </c>
      <c r="D3533">
        <v>146</v>
      </c>
      <c r="E3533">
        <v>0</v>
      </c>
      <c r="F3533">
        <v>93</v>
      </c>
      <c r="G3533">
        <v>1264</v>
      </c>
      <c r="H3533">
        <v>0</v>
      </c>
      <c r="I3533">
        <v>1</v>
      </c>
      <c r="J3533">
        <v>56</v>
      </c>
      <c r="K3533">
        <v>0</v>
      </c>
    </row>
    <row r="3534" spans="1:11" x14ac:dyDescent="0.2">
      <c r="A3534" t="s">
        <v>4304</v>
      </c>
      <c r="B3534">
        <v>10</v>
      </c>
      <c r="C3534">
        <v>0</v>
      </c>
      <c r="D3534">
        <v>35</v>
      </c>
      <c r="E3534">
        <v>0</v>
      </c>
      <c r="F3534">
        <v>22</v>
      </c>
      <c r="G3534">
        <v>1500</v>
      </c>
      <c r="H3534">
        <v>0</v>
      </c>
      <c r="I3534">
        <v>0</v>
      </c>
      <c r="J3534">
        <v>0</v>
      </c>
      <c r="K3534">
        <v>0</v>
      </c>
    </row>
    <row r="3535" spans="1:11" x14ac:dyDescent="0.2">
      <c r="A3535" t="s">
        <v>4305</v>
      </c>
      <c r="B3535">
        <v>22</v>
      </c>
      <c r="C3535">
        <v>0</v>
      </c>
      <c r="D3535">
        <v>98</v>
      </c>
      <c r="E3535">
        <v>0</v>
      </c>
      <c r="F3535">
        <v>62</v>
      </c>
      <c r="G3535">
        <v>4216</v>
      </c>
      <c r="H3535">
        <v>0</v>
      </c>
      <c r="I3535">
        <v>1</v>
      </c>
      <c r="J3535">
        <v>13</v>
      </c>
      <c r="K3535">
        <v>0</v>
      </c>
    </row>
    <row r="3536" spans="1:11" x14ac:dyDescent="0.2">
      <c r="A3536" t="s">
        <v>4306</v>
      </c>
      <c r="B3536">
        <v>4</v>
      </c>
      <c r="C3536">
        <v>0</v>
      </c>
      <c r="D3536">
        <v>13</v>
      </c>
      <c r="E3536">
        <v>0</v>
      </c>
      <c r="F3536">
        <v>9</v>
      </c>
      <c r="G3536">
        <v>353</v>
      </c>
      <c r="H3536">
        <v>0</v>
      </c>
      <c r="I3536">
        <v>0</v>
      </c>
      <c r="J3536">
        <v>2</v>
      </c>
      <c r="K3536">
        <v>0</v>
      </c>
    </row>
    <row r="3537" spans="1:11" x14ac:dyDescent="0.2">
      <c r="A3537" t="s">
        <v>4307</v>
      </c>
      <c r="B3537">
        <v>196</v>
      </c>
      <c r="C3537">
        <v>0</v>
      </c>
      <c r="D3537">
        <v>578</v>
      </c>
      <c r="E3537">
        <v>0</v>
      </c>
      <c r="F3537">
        <v>370</v>
      </c>
      <c r="G3537">
        <v>4851</v>
      </c>
      <c r="H3537">
        <v>0</v>
      </c>
      <c r="I3537">
        <v>2</v>
      </c>
      <c r="J3537">
        <v>111</v>
      </c>
      <c r="K3537">
        <v>0</v>
      </c>
    </row>
    <row r="3538" spans="1:11" x14ac:dyDescent="0.2">
      <c r="A3538" t="s">
        <v>4308</v>
      </c>
      <c r="B3538">
        <v>0</v>
      </c>
      <c r="C3538">
        <v>0</v>
      </c>
      <c r="D3538">
        <v>3</v>
      </c>
      <c r="E3538">
        <v>0</v>
      </c>
      <c r="F3538">
        <v>2</v>
      </c>
      <c r="G3538">
        <v>22</v>
      </c>
      <c r="H3538">
        <v>0</v>
      </c>
      <c r="I3538">
        <v>0</v>
      </c>
      <c r="J3538">
        <v>0</v>
      </c>
      <c r="K3538">
        <v>0</v>
      </c>
    </row>
    <row r="3539" spans="1:11" x14ac:dyDescent="0.2">
      <c r="A3539" t="s">
        <v>4309</v>
      </c>
      <c r="B3539">
        <v>0</v>
      </c>
      <c r="C3539">
        <v>0</v>
      </c>
      <c r="D3539">
        <v>0</v>
      </c>
      <c r="E3539">
        <v>0</v>
      </c>
      <c r="F3539">
        <v>0</v>
      </c>
      <c r="G3539">
        <v>0</v>
      </c>
      <c r="H3539">
        <v>0</v>
      </c>
      <c r="I3539">
        <v>0</v>
      </c>
      <c r="J3539">
        <v>0</v>
      </c>
      <c r="K3539">
        <v>0</v>
      </c>
    </row>
    <row r="3540" spans="1:11" x14ac:dyDescent="0.2">
      <c r="A3540" t="s">
        <v>4310</v>
      </c>
      <c r="B3540">
        <v>0</v>
      </c>
      <c r="C3540">
        <v>0</v>
      </c>
      <c r="D3540">
        <v>0</v>
      </c>
      <c r="E3540">
        <v>0</v>
      </c>
      <c r="F3540">
        <v>0</v>
      </c>
      <c r="G3540">
        <v>0</v>
      </c>
      <c r="H3540">
        <v>0</v>
      </c>
      <c r="I3540">
        <v>0</v>
      </c>
      <c r="J3540">
        <v>0</v>
      </c>
      <c r="K3540">
        <v>0</v>
      </c>
    </row>
    <row r="3541" spans="1:11" x14ac:dyDescent="0.2">
      <c r="A3541" t="s">
        <v>4311</v>
      </c>
      <c r="B3541">
        <v>7</v>
      </c>
      <c r="C3541">
        <v>0</v>
      </c>
      <c r="D3541">
        <v>34</v>
      </c>
      <c r="E3541">
        <v>0</v>
      </c>
      <c r="F3541">
        <v>22</v>
      </c>
      <c r="G3541">
        <v>257</v>
      </c>
      <c r="H3541">
        <v>0</v>
      </c>
      <c r="I3541">
        <v>0</v>
      </c>
      <c r="J3541">
        <v>4</v>
      </c>
      <c r="K3541">
        <v>0</v>
      </c>
    </row>
    <row r="3542" spans="1:11" x14ac:dyDescent="0.2">
      <c r="A3542" t="s">
        <v>4312</v>
      </c>
      <c r="B3542">
        <v>4</v>
      </c>
      <c r="C3542">
        <v>0</v>
      </c>
      <c r="D3542">
        <v>27</v>
      </c>
      <c r="E3542">
        <v>0</v>
      </c>
      <c r="F3542">
        <v>17</v>
      </c>
      <c r="G3542">
        <v>200</v>
      </c>
      <c r="H3542">
        <v>0</v>
      </c>
      <c r="I3542">
        <v>0</v>
      </c>
      <c r="J3542">
        <v>0</v>
      </c>
      <c r="K3542">
        <v>0</v>
      </c>
    </row>
    <row r="3543" spans="1:11" x14ac:dyDescent="0.2">
      <c r="A3543" t="s">
        <v>4313</v>
      </c>
      <c r="B3543">
        <v>0</v>
      </c>
      <c r="C3543">
        <v>0</v>
      </c>
      <c r="D3543">
        <v>0</v>
      </c>
      <c r="E3543">
        <v>0</v>
      </c>
      <c r="F3543">
        <v>0</v>
      </c>
      <c r="G3543">
        <v>0</v>
      </c>
      <c r="H3543">
        <v>0</v>
      </c>
      <c r="I3543">
        <v>0</v>
      </c>
      <c r="J3543">
        <v>0</v>
      </c>
      <c r="K3543">
        <v>0</v>
      </c>
    </row>
    <row r="3544" spans="1:11" x14ac:dyDescent="0.2">
      <c r="A3544" t="s">
        <v>4314</v>
      </c>
      <c r="B3544">
        <v>0</v>
      </c>
      <c r="C3544">
        <v>0</v>
      </c>
      <c r="D3544">
        <v>0</v>
      </c>
      <c r="E3544">
        <v>0</v>
      </c>
      <c r="F3544">
        <v>0</v>
      </c>
      <c r="G3544">
        <v>0</v>
      </c>
      <c r="H3544">
        <v>0</v>
      </c>
      <c r="I3544">
        <v>0</v>
      </c>
      <c r="J3544">
        <v>0</v>
      </c>
      <c r="K3544">
        <v>0</v>
      </c>
    </row>
    <row r="3545" spans="1:11" x14ac:dyDescent="0.2">
      <c r="A3545" t="s">
        <v>4315</v>
      </c>
      <c r="B3545">
        <v>0</v>
      </c>
      <c r="C3545">
        <v>0</v>
      </c>
      <c r="D3545">
        <v>0</v>
      </c>
      <c r="E3545">
        <v>0</v>
      </c>
      <c r="F3545">
        <v>0</v>
      </c>
      <c r="G3545">
        <v>0</v>
      </c>
      <c r="H3545">
        <v>0</v>
      </c>
      <c r="I3545">
        <v>0</v>
      </c>
      <c r="J3545">
        <v>0</v>
      </c>
      <c r="K3545">
        <v>0</v>
      </c>
    </row>
    <row r="3546" spans="1:11" x14ac:dyDescent="0.2">
      <c r="A3546" t="s">
        <v>4316</v>
      </c>
      <c r="B3546">
        <v>0</v>
      </c>
      <c r="C3546">
        <v>0</v>
      </c>
      <c r="D3546">
        <v>0</v>
      </c>
      <c r="E3546">
        <v>0</v>
      </c>
      <c r="F3546">
        <v>0</v>
      </c>
      <c r="G3546">
        <v>0</v>
      </c>
      <c r="H3546">
        <v>0</v>
      </c>
      <c r="I3546">
        <v>0</v>
      </c>
      <c r="J3546">
        <v>0</v>
      </c>
      <c r="K3546">
        <v>0</v>
      </c>
    </row>
    <row r="3547" spans="1:11" x14ac:dyDescent="0.2">
      <c r="A3547" t="s">
        <v>4317</v>
      </c>
      <c r="B3547">
        <v>0</v>
      </c>
      <c r="C3547">
        <v>0</v>
      </c>
      <c r="D3547">
        <v>0</v>
      </c>
      <c r="E3547">
        <v>0</v>
      </c>
      <c r="F3547">
        <v>0</v>
      </c>
      <c r="G3547">
        <v>0</v>
      </c>
      <c r="H3547">
        <v>0</v>
      </c>
      <c r="I3547">
        <v>0</v>
      </c>
      <c r="J3547">
        <v>0</v>
      </c>
      <c r="K3547">
        <v>0</v>
      </c>
    </row>
    <row r="3548" spans="1:11" x14ac:dyDescent="0.2">
      <c r="A3548" t="s">
        <v>4318</v>
      </c>
      <c r="B3548">
        <v>0</v>
      </c>
      <c r="C3548">
        <v>0</v>
      </c>
      <c r="D3548">
        <v>0</v>
      </c>
      <c r="E3548">
        <v>0</v>
      </c>
      <c r="F3548">
        <v>0</v>
      </c>
      <c r="G3548">
        <v>0</v>
      </c>
      <c r="H3548">
        <v>0</v>
      </c>
      <c r="I3548">
        <v>0</v>
      </c>
      <c r="J3548">
        <v>0</v>
      </c>
      <c r="K3548">
        <v>0</v>
      </c>
    </row>
    <row r="3549" spans="1:11" x14ac:dyDescent="0.2">
      <c r="A3549" t="s">
        <v>4319</v>
      </c>
      <c r="B3549">
        <v>0</v>
      </c>
      <c r="C3549">
        <v>0</v>
      </c>
      <c r="D3549">
        <v>0</v>
      </c>
      <c r="E3549">
        <v>0</v>
      </c>
      <c r="F3549">
        <v>0</v>
      </c>
      <c r="G3549">
        <v>0</v>
      </c>
      <c r="H3549">
        <v>0</v>
      </c>
      <c r="I3549">
        <v>0</v>
      </c>
      <c r="J3549">
        <v>0</v>
      </c>
      <c r="K3549">
        <v>0</v>
      </c>
    </row>
    <row r="3550" spans="1:11" x14ac:dyDescent="0.2">
      <c r="A3550" t="s">
        <v>4320</v>
      </c>
      <c r="B3550">
        <v>0</v>
      </c>
      <c r="C3550">
        <v>0</v>
      </c>
      <c r="D3550">
        <v>0</v>
      </c>
      <c r="E3550">
        <v>0</v>
      </c>
      <c r="F3550">
        <v>0</v>
      </c>
      <c r="G3550">
        <v>0</v>
      </c>
      <c r="H3550">
        <v>0</v>
      </c>
      <c r="I3550">
        <v>0</v>
      </c>
      <c r="J3550">
        <v>0</v>
      </c>
      <c r="K3550">
        <v>0</v>
      </c>
    </row>
    <row r="3551" spans="1:11" x14ac:dyDescent="0.2">
      <c r="A3551" t="s">
        <v>4321</v>
      </c>
      <c r="B3551">
        <v>0</v>
      </c>
      <c r="C3551">
        <v>0</v>
      </c>
      <c r="D3551">
        <v>0</v>
      </c>
      <c r="E3551">
        <v>0</v>
      </c>
      <c r="F3551">
        <v>0</v>
      </c>
      <c r="G3551">
        <v>0</v>
      </c>
      <c r="H3551">
        <v>0</v>
      </c>
      <c r="I3551">
        <v>0</v>
      </c>
      <c r="J3551">
        <v>0</v>
      </c>
      <c r="K3551">
        <v>0</v>
      </c>
    </row>
    <row r="3552" spans="1:11" x14ac:dyDescent="0.2">
      <c r="A3552" t="s">
        <v>4322</v>
      </c>
      <c r="B3552">
        <v>0</v>
      </c>
      <c r="C3552">
        <v>0</v>
      </c>
      <c r="D3552">
        <v>0</v>
      </c>
      <c r="E3552">
        <v>0</v>
      </c>
      <c r="F3552">
        <v>0</v>
      </c>
      <c r="G3552">
        <v>0</v>
      </c>
      <c r="H3552">
        <v>0</v>
      </c>
      <c r="I3552">
        <v>0</v>
      </c>
      <c r="J3552">
        <v>0</v>
      </c>
      <c r="K3552">
        <v>0</v>
      </c>
    </row>
    <row r="3553" spans="1:11" x14ac:dyDescent="0.2">
      <c r="A3553" t="s">
        <v>4323</v>
      </c>
      <c r="B3553">
        <v>0</v>
      </c>
      <c r="C3553">
        <v>0</v>
      </c>
      <c r="D3553">
        <v>0</v>
      </c>
      <c r="E3553">
        <v>0</v>
      </c>
      <c r="F3553">
        <v>0</v>
      </c>
      <c r="G3553">
        <v>0</v>
      </c>
      <c r="H3553">
        <v>0</v>
      </c>
      <c r="I3553">
        <v>0</v>
      </c>
      <c r="J3553">
        <v>0</v>
      </c>
      <c r="K3553">
        <v>0</v>
      </c>
    </row>
    <row r="3554" spans="1:11" x14ac:dyDescent="0.2">
      <c r="A3554" t="s">
        <v>4324</v>
      </c>
      <c r="B3554">
        <v>0</v>
      </c>
      <c r="C3554">
        <v>0</v>
      </c>
      <c r="D3554">
        <v>0</v>
      </c>
      <c r="E3554">
        <v>0</v>
      </c>
      <c r="F3554">
        <v>0</v>
      </c>
      <c r="G3554">
        <v>0</v>
      </c>
      <c r="H3554">
        <v>0</v>
      </c>
      <c r="I3554">
        <v>0</v>
      </c>
      <c r="J3554">
        <v>0</v>
      </c>
      <c r="K3554">
        <v>0</v>
      </c>
    </row>
    <row r="3555" spans="1:11" x14ac:dyDescent="0.2">
      <c r="A3555" t="s">
        <v>4325</v>
      </c>
      <c r="B3555">
        <v>0</v>
      </c>
      <c r="C3555">
        <v>0</v>
      </c>
      <c r="D3555">
        <v>0</v>
      </c>
      <c r="E3555">
        <v>0</v>
      </c>
      <c r="F3555">
        <v>0</v>
      </c>
      <c r="G3555">
        <v>0</v>
      </c>
      <c r="H3555">
        <v>0</v>
      </c>
      <c r="I3555">
        <v>0</v>
      </c>
      <c r="J3555">
        <v>0</v>
      </c>
      <c r="K3555">
        <v>0</v>
      </c>
    </row>
    <row r="3556" spans="1:11" x14ac:dyDescent="0.2">
      <c r="A3556" t="s">
        <v>4326</v>
      </c>
      <c r="B3556">
        <v>0</v>
      </c>
      <c r="C3556">
        <v>0</v>
      </c>
      <c r="D3556">
        <v>0</v>
      </c>
      <c r="E3556">
        <v>0</v>
      </c>
      <c r="F3556">
        <v>0</v>
      </c>
      <c r="G3556">
        <v>0</v>
      </c>
      <c r="H3556">
        <v>0</v>
      </c>
      <c r="I3556">
        <v>0</v>
      </c>
      <c r="J3556">
        <v>0</v>
      </c>
      <c r="K3556">
        <v>0</v>
      </c>
    </row>
    <row r="3557" spans="1:11" x14ac:dyDescent="0.2">
      <c r="A3557" t="s">
        <v>4327</v>
      </c>
      <c r="B3557">
        <v>0</v>
      </c>
      <c r="C3557">
        <v>0</v>
      </c>
      <c r="D3557">
        <v>0</v>
      </c>
      <c r="E3557">
        <v>0</v>
      </c>
      <c r="F3557">
        <v>0</v>
      </c>
      <c r="G3557">
        <v>0</v>
      </c>
      <c r="H3557">
        <v>0</v>
      </c>
      <c r="I3557">
        <v>0</v>
      </c>
      <c r="J3557">
        <v>0</v>
      </c>
      <c r="K3557">
        <v>0</v>
      </c>
    </row>
    <row r="3558" spans="1:11" x14ac:dyDescent="0.2">
      <c r="A3558" t="s">
        <v>4328</v>
      </c>
      <c r="B3558">
        <v>0</v>
      </c>
      <c r="C3558">
        <v>0</v>
      </c>
      <c r="D3558">
        <v>0</v>
      </c>
      <c r="E3558">
        <v>0</v>
      </c>
      <c r="F3558">
        <v>0</v>
      </c>
      <c r="G3558">
        <v>0</v>
      </c>
      <c r="H3558">
        <v>0</v>
      </c>
      <c r="I3558">
        <v>0</v>
      </c>
      <c r="J3558">
        <v>0</v>
      </c>
      <c r="K3558">
        <v>0</v>
      </c>
    </row>
    <row r="3559" spans="1:11" x14ac:dyDescent="0.2">
      <c r="A3559" t="s">
        <v>4329</v>
      </c>
      <c r="B3559">
        <v>0</v>
      </c>
      <c r="C3559">
        <v>0</v>
      </c>
      <c r="D3559">
        <v>0</v>
      </c>
      <c r="E3559">
        <v>0</v>
      </c>
      <c r="F3559">
        <v>0</v>
      </c>
      <c r="G3559">
        <v>0</v>
      </c>
      <c r="H3559">
        <v>0</v>
      </c>
      <c r="I3559">
        <v>0</v>
      </c>
      <c r="J3559">
        <v>0</v>
      </c>
      <c r="K3559">
        <v>0</v>
      </c>
    </row>
    <row r="3560" spans="1:11" x14ac:dyDescent="0.2">
      <c r="A3560" t="s">
        <v>4330</v>
      </c>
      <c r="B3560">
        <v>0</v>
      </c>
      <c r="C3560">
        <v>0</v>
      </c>
      <c r="D3560">
        <v>0</v>
      </c>
      <c r="E3560">
        <v>0</v>
      </c>
      <c r="F3560">
        <v>0</v>
      </c>
      <c r="G3560">
        <v>0</v>
      </c>
      <c r="H3560">
        <v>0</v>
      </c>
      <c r="I3560">
        <v>0</v>
      </c>
      <c r="J3560">
        <v>0</v>
      </c>
      <c r="K3560">
        <v>0</v>
      </c>
    </row>
    <row r="3561" spans="1:11" x14ac:dyDescent="0.2">
      <c r="A3561" t="s">
        <v>4331</v>
      </c>
      <c r="B3561">
        <v>0</v>
      </c>
      <c r="C3561">
        <v>0</v>
      </c>
      <c r="D3561">
        <v>0</v>
      </c>
      <c r="E3561">
        <v>0</v>
      </c>
      <c r="F3561">
        <v>0</v>
      </c>
      <c r="G3561">
        <v>0</v>
      </c>
      <c r="H3561">
        <v>0</v>
      </c>
      <c r="I3561">
        <v>0</v>
      </c>
      <c r="J3561">
        <v>0</v>
      </c>
      <c r="K3561">
        <v>0</v>
      </c>
    </row>
    <row r="3562" spans="1:11" x14ac:dyDescent="0.2">
      <c r="A3562" t="s">
        <v>4332</v>
      </c>
      <c r="B3562">
        <v>0</v>
      </c>
      <c r="C3562">
        <v>0</v>
      </c>
      <c r="D3562">
        <v>0</v>
      </c>
      <c r="E3562">
        <v>0</v>
      </c>
      <c r="F3562">
        <v>0</v>
      </c>
      <c r="G3562">
        <v>0</v>
      </c>
      <c r="H3562">
        <v>0</v>
      </c>
      <c r="I3562">
        <v>0</v>
      </c>
      <c r="J3562">
        <v>0</v>
      </c>
      <c r="K3562">
        <v>0</v>
      </c>
    </row>
    <row r="3563" spans="1:11" x14ac:dyDescent="0.2">
      <c r="A3563" t="s">
        <v>4333</v>
      </c>
      <c r="B3563">
        <v>0</v>
      </c>
      <c r="C3563">
        <v>0</v>
      </c>
      <c r="D3563">
        <v>0</v>
      </c>
      <c r="E3563">
        <v>0</v>
      </c>
      <c r="F3563">
        <v>0</v>
      </c>
      <c r="G3563">
        <v>0</v>
      </c>
      <c r="H3563">
        <v>0</v>
      </c>
      <c r="I3563">
        <v>0</v>
      </c>
      <c r="J3563">
        <v>0</v>
      </c>
      <c r="K3563">
        <v>0</v>
      </c>
    </row>
    <row r="3564" spans="1:11" x14ac:dyDescent="0.2">
      <c r="A3564" t="s">
        <v>4334</v>
      </c>
      <c r="B3564">
        <v>0</v>
      </c>
      <c r="C3564">
        <v>0</v>
      </c>
      <c r="D3564">
        <v>0</v>
      </c>
      <c r="E3564">
        <v>0</v>
      </c>
      <c r="F3564">
        <v>0</v>
      </c>
      <c r="G3564">
        <v>0</v>
      </c>
      <c r="H3564">
        <v>0</v>
      </c>
      <c r="I3564">
        <v>0</v>
      </c>
      <c r="J3564">
        <v>0</v>
      </c>
      <c r="K3564">
        <v>0</v>
      </c>
    </row>
    <row r="3565" spans="1:11" x14ac:dyDescent="0.2">
      <c r="A3565" t="s">
        <v>4335</v>
      </c>
      <c r="B3565">
        <v>0</v>
      </c>
      <c r="C3565">
        <v>0</v>
      </c>
      <c r="D3565">
        <v>0</v>
      </c>
      <c r="E3565">
        <v>0</v>
      </c>
      <c r="F3565">
        <v>0</v>
      </c>
      <c r="G3565">
        <v>0</v>
      </c>
      <c r="H3565">
        <v>0</v>
      </c>
      <c r="I3565">
        <v>0</v>
      </c>
      <c r="J3565">
        <v>0</v>
      </c>
      <c r="K3565">
        <v>0</v>
      </c>
    </row>
    <row r="3566" spans="1:11" x14ac:dyDescent="0.2">
      <c r="A3566" t="s">
        <v>4336</v>
      </c>
      <c r="B3566">
        <v>0</v>
      </c>
      <c r="C3566">
        <v>0</v>
      </c>
      <c r="D3566">
        <v>0</v>
      </c>
      <c r="E3566">
        <v>0</v>
      </c>
      <c r="F3566">
        <v>0</v>
      </c>
      <c r="G3566">
        <v>0</v>
      </c>
      <c r="H3566">
        <v>0</v>
      </c>
      <c r="I3566">
        <v>0</v>
      </c>
      <c r="J3566">
        <v>0</v>
      </c>
      <c r="K3566">
        <v>0</v>
      </c>
    </row>
    <row r="3567" spans="1:11" x14ac:dyDescent="0.2">
      <c r="A3567" t="s">
        <v>4337</v>
      </c>
      <c r="B3567">
        <v>0</v>
      </c>
      <c r="C3567">
        <v>0</v>
      </c>
      <c r="D3567">
        <v>0</v>
      </c>
      <c r="E3567">
        <v>0</v>
      </c>
      <c r="F3567">
        <v>0</v>
      </c>
      <c r="G3567">
        <v>0</v>
      </c>
      <c r="H3567">
        <v>0</v>
      </c>
      <c r="I3567">
        <v>0</v>
      </c>
      <c r="J3567">
        <v>0</v>
      </c>
      <c r="K3567">
        <v>0</v>
      </c>
    </row>
    <row r="3568" spans="1:11" x14ac:dyDescent="0.2">
      <c r="A3568" t="s">
        <v>4338</v>
      </c>
      <c r="B3568">
        <v>0</v>
      </c>
      <c r="C3568">
        <v>0</v>
      </c>
      <c r="D3568">
        <v>0</v>
      </c>
      <c r="E3568">
        <v>0</v>
      </c>
      <c r="F3568">
        <v>0</v>
      </c>
      <c r="G3568">
        <v>0</v>
      </c>
      <c r="H3568">
        <v>0</v>
      </c>
      <c r="I3568">
        <v>0</v>
      </c>
      <c r="J3568">
        <v>0</v>
      </c>
      <c r="K3568">
        <v>0</v>
      </c>
    </row>
    <row r="3569" spans="1:11" x14ac:dyDescent="0.2">
      <c r="A3569" t="s">
        <v>4339</v>
      </c>
      <c r="B3569">
        <v>0</v>
      </c>
      <c r="C3569">
        <v>0</v>
      </c>
      <c r="D3569">
        <v>0</v>
      </c>
      <c r="E3569">
        <v>0</v>
      </c>
      <c r="F3569">
        <v>0</v>
      </c>
      <c r="G3569">
        <v>0</v>
      </c>
      <c r="H3569">
        <v>0</v>
      </c>
      <c r="I3569">
        <v>0</v>
      </c>
      <c r="J3569">
        <v>0</v>
      </c>
      <c r="K3569">
        <v>0</v>
      </c>
    </row>
    <row r="3570" spans="1:11" x14ac:dyDescent="0.2">
      <c r="A3570" t="s">
        <v>4340</v>
      </c>
      <c r="B3570">
        <v>0</v>
      </c>
      <c r="C3570">
        <v>0</v>
      </c>
      <c r="D3570">
        <v>0</v>
      </c>
      <c r="E3570">
        <v>0</v>
      </c>
      <c r="F3570">
        <v>0</v>
      </c>
      <c r="G3570">
        <v>0</v>
      </c>
      <c r="H3570">
        <v>0</v>
      </c>
      <c r="I3570">
        <v>0</v>
      </c>
      <c r="J3570">
        <v>0</v>
      </c>
      <c r="K3570">
        <v>0</v>
      </c>
    </row>
    <row r="3571" spans="1:11" x14ac:dyDescent="0.2">
      <c r="A3571" t="s">
        <v>4341</v>
      </c>
      <c r="B3571">
        <v>0</v>
      </c>
      <c r="C3571">
        <v>0</v>
      </c>
      <c r="D3571">
        <v>0</v>
      </c>
      <c r="E3571">
        <v>0</v>
      </c>
      <c r="F3571">
        <v>0</v>
      </c>
      <c r="G3571">
        <v>0</v>
      </c>
      <c r="H3571">
        <v>0</v>
      </c>
      <c r="I3571">
        <v>0</v>
      </c>
      <c r="J3571">
        <v>0</v>
      </c>
      <c r="K3571">
        <v>0</v>
      </c>
    </row>
    <row r="3572" spans="1:11" x14ac:dyDescent="0.2">
      <c r="A3572" t="s">
        <v>4342</v>
      </c>
      <c r="B3572">
        <v>0</v>
      </c>
      <c r="C3572">
        <v>0</v>
      </c>
      <c r="D3572">
        <v>0</v>
      </c>
      <c r="E3572">
        <v>0</v>
      </c>
      <c r="F3572">
        <v>0</v>
      </c>
      <c r="G3572">
        <v>0</v>
      </c>
      <c r="H3572">
        <v>0</v>
      </c>
      <c r="I3572">
        <v>0</v>
      </c>
      <c r="J3572">
        <v>0</v>
      </c>
      <c r="K3572">
        <v>0</v>
      </c>
    </row>
    <row r="3573" spans="1:11" x14ac:dyDescent="0.2">
      <c r="A3573" t="s">
        <v>4343</v>
      </c>
      <c r="B3573">
        <v>0</v>
      </c>
      <c r="C3573">
        <v>0</v>
      </c>
      <c r="D3573">
        <v>0</v>
      </c>
      <c r="E3573">
        <v>0</v>
      </c>
      <c r="F3573">
        <v>0</v>
      </c>
      <c r="G3573">
        <v>0</v>
      </c>
      <c r="H3573">
        <v>0</v>
      </c>
      <c r="I3573">
        <v>0</v>
      </c>
      <c r="J3573">
        <v>0</v>
      </c>
      <c r="K3573">
        <v>0</v>
      </c>
    </row>
    <row r="3574" spans="1:11" x14ac:dyDescent="0.2">
      <c r="A3574" t="s">
        <v>1728</v>
      </c>
      <c r="B3574">
        <v>0</v>
      </c>
      <c r="C3574">
        <v>0</v>
      </c>
      <c r="D3574">
        <v>0</v>
      </c>
      <c r="E3574">
        <v>0</v>
      </c>
      <c r="F3574">
        <v>0</v>
      </c>
      <c r="G3574">
        <v>0</v>
      </c>
      <c r="H3574">
        <v>0</v>
      </c>
      <c r="I3574">
        <v>0</v>
      </c>
      <c r="J3574">
        <v>0</v>
      </c>
      <c r="K3574">
        <v>0</v>
      </c>
    </row>
    <row r="3575" spans="1:11" x14ac:dyDescent="0.2">
      <c r="A3575" t="s">
        <v>1730</v>
      </c>
      <c r="B3575">
        <v>0</v>
      </c>
      <c r="C3575">
        <v>0</v>
      </c>
      <c r="D3575">
        <v>2</v>
      </c>
      <c r="E3575">
        <v>0</v>
      </c>
      <c r="F3575">
        <v>1</v>
      </c>
      <c r="G3575">
        <v>13</v>
      </c>
      <c r="H3575">
        <v>0</v>
      </c>
      <c r="I3575">
        <v>0</v>
      </c>
      <c r="J3575">
        <v>3</v>
      </c>
      <c r="K3575">
        <v>0</v>
      </c>
    </row>
    <row r="3576" spans="1:11" x14ac:dyDescent="0.2">
      <c r="A3576" t="s">
        <v>1733</v>
      </c>
      <c r="B3576">
        <v>0</v>
      </c>
      <c r="C3576">
        <v>0</v>
      </c>
      <c r="D3576">
        <v>0</v>
      </c>
      <c r="E3576">
        <v>0</v>
      </c>
      <c r="F3576">
        <v>0</v>
      </c>
      <c r="G3576">
        <v>0</v>
      </c>
      <c r="H3576">
        <v>0</v>
      </c>
      <c r="I3576">
        <v>0</v>
      </c>
      <c r="J3576">
        <v>0</v>
      </c>
      <c r="K3576">
        <v>0</v>
      </c>
    </row>
    <row r="3577" spans="1:11" x14ac:dyDescent="0.2">
      <c r="A3577" t="s">
        <v>1738</v>
      </c>
      <c r="B3577">
        <v>0</v>
      </c>
      <c r="C3577">
        <v>0</v>
      </c>
      <c r="D3577">
        <v>0</v>
      </c>
      <c r="E3577">
        <v>0</v>
      </c>
      <c r="F3577">
        <v>0</v>
      </c>
      <c r="G3577">
        <v>0</v>
      </c>
      <c r="H3577">
        <v>0</v>
      </c>
      <c r="I3577">
        <v>0</v>
      </c>
      <c r="J3577">
        <v>0</v>
      </c>
      <c r="K3577">
        <v>0</v>
      </c>
    </row>
    <row r="3578" spans="1:11" x14ac:dyDescent="0.2">
      <c r="A3578" t="s">
        <v>1744</v>
      </c>
      <c r="B3578">
        <v>0</v>
      </c>
      <c r="C3578">
        <v>0</v>
      </c>
      <c r="D3578">
        <v>0</v>
      </c>
      <c r="E3578">
        <v>0</v>
      </c>
      <c r="F3578">
        <v>0</v>
      </c>
      <c r="G3578">
        <v>0</v>
      </c>
      <c r="H3578">
        <v>0</v>
      </c>
      <c r="I3578">
        <v>0</v>
      </c>
      <c r="J3578">
        <v>0</v>
      </c>
      <c r="K3578">
        <v>0</v>
      </c>
    </row>
    <row r="3579" spans="1:11" x14ac:dyDescent="0.2">
      <c r="A3579" t="s">
        <v>1747</v>
      </c>
      <c r="B3579">
        <v>0</v>
      </c>
      <c r="C3579">
        <v>0</v>
      </c>
      <c r="D3579">
        <v>0</v>
      </c>
      <c r="E3579">
        <v>0</v>
      </c>
      <c r="F3579">
        <v>0</v>
      </c>
      <c r="G3579">
        <v>0</v>
      </c>
      <c r="H3579">
        <v>0</v>
      </c>
      <c r="I3579">
        <v>0</v>
      </c>
      <c r="J3579">
        <v>0</v>
      </c>
      <c r="K3579">
        <v>0</v>
      </c>
    </row>
    <row r="3580" spans="1:11" x14ac:dyDescent="0.2">
      <c r="A3580" t="s">
        <v>1751</v>
      </c>
      <c r="B3580">
        <v>0</v>
      </c>
      <c r="C3580">
        <v>0</v>
      </c>
      <c r="D3580">
        <v>0</v>
      </c>
      <c r="E3580">
        <v>0</v>
      </c>
      <c r="F3580">
        <v>0</v>
      </c>
      <c r="G3580">
        <v>0</v>
      </c>
      <c r="H3580">
        <v>0</v>
      </c>
      <c r="I3580">
        <v>0</v>
      </c>
      <c r="J3580">
        <v>0</v>
      </c>
      <c r="K3580">
        <v>0</v>
      </c>
    </row>
    <row r="3581" spans="1:11" x14ac:dyDescent="0.2">
      <c r="A3581" t="s">
        <v>1755</v>
      </c>
      <c r="B3581">
        <v>0</v>
      </c>
      <c r="C3581">
        <v>0</v>
      </c>
      <c r="D3581">
        <v>0</v>
      </c>
      <c r="E3581">
        <v>0</v>
      </c>
      <c r="F3581">
        <v>0</v>
      </c>
      <c r="G3581">
        <v>2</v>
      </c>
      <c r="H3581">
        <v>0</v>
      </c>
      <c r="I3581">
        <v>0</v>
      </c>
      <c r="J3581">
        <v>0</v>
      </c>
      <c r="K3581">
        <v>0</v>
      </c>
    </row>
    <row r="3582" spans="1:11" x14ac:dyDescent="0.2">
      <c r="A3582" t="s">
        <v>1757</v>
      </c>
      <c r="B3582">
        <v>0</v>
      </c>
      <c r="C3582">
        <v>0</v>
      </c>
      <c r="D3582">
        <v>0</v>
      </c>
      <c r="E3582">
        <v>0</v>
      </c>
      <c r="F3582">
        <v>0</v>
      </c>
      <c r="G3582">
        <v>1</v>
      </c>
      <c r="H3582">
        <v>0</v>
      </c>
      <c r="I3582">
        <v>0</v>
      </c>
      <c r="J3582">
        <v>0</v>
      </c>
      <c r="K3582">
        <v>0</v>
      </c>
    </row>
    <row r="3583" spans="1:11" x14ac:dyDescent="0.2">
      <c r="A3583" t="s">
        <v>1761</v>
      </c>
      <c r="B3583">
        <v>0</v>
      </c>
      <c r="C3583">
        <v>0</v>
      </c>
      <c r="D3583">
        <v>0</v>
      </c>
      <c r="E3583">
        <v>0</v>
      </c>
      <c r="F3583">
        <v>0</v>
      </c>
      <c r="G3583">
        <v>0</v>
      </c>
      <c r="H3583">
        <v>0</v>
      </c>
      <c r="I3583">
        <v>0</v>
      </c>
      <c r="J3583">
        <v>0</v>
      </c>
      <c r="K3583">
        <v>0</v>
      </c>
    </row>
    <row r="3584" spans="1:11" x14ac:dyDescent="0.2">
      <c r="A3584" t="s">
        <v>1764</v>
      </c>
      <c r="B3584">
        <v>0</v>
      </c>
      <c r="C3584">
        <v>0</v>
      </c>
      <c r="D3584">
        <v>0</v>
      </c>
      <c r="E3584">
        <v>0</v>
      </c>
      <c r="F3584">
        <v>0</v>
      </c>
      <c r="G3584">
        <v>0</v>
      </c>
      <c r="H3584">
        <v>0</v>
      </c>
      <c r="I3584">
        <v>0</v>
      </c>
      <c r="J3584">
        <v>0</v>
      </c>
      <c r="K3584">
        <v>0</v>
      </c>
    </row>
    <row r="3585" spans="1:11" x14ac:dyDescent="0.2">
      <c r="A3585" t="s">
        <v>1770</v>
      </c>
      <c r="B3585">
        <v>4</v>
      </c>
      <c r="C3585">
        <v>0</v>
      </c>
      <c r="D3585">
        <v>17</v>
      </c>
      <c r="E3585">
        <v>0</v>
      </c>
      <c r="F3585">
        <v>11</v>
      </c>
      <c r="G3585">
        <v>916</v>
      </c>
      <c r="H3585">
        <v>0</v>
      </c>
      <c r="I3585">
        <v>1</v>
      </c>
      <c r="J3585">
        <v>6</v>
      </c>
      <c r="K3585">
        <v>0</v>
      </c>
    </row>
    <row r="3586" spans="1:11" x14ac:dyDescent="0.2">
      <c r="A3586" t="s">
        <v>1772</v>
      </c>
      <c r="B3586">
        <v>1</v>
      </c>
      <c r="C3586">
        <v>0</v>
      </c>
      <c r="D3586">
        <v>0</v>
      </c>
      <c r="E3586">
        <v>0</v>
      </c>
      <c r="F3586">
        <v>0</v>
      </c>
      <c r="G3586">
        <v>14</v>
      </c>
      <c r="H3586">
        <v>0</v>
      </c>
      <c r="I3586">
        <v>0</v>
      </c>
      <c r="J3586">
        <v>0</v>
      </c>
      <c r="K3586">
        <v>0</v>
      </c>
    </row>
    <row r="3587" spans="1:11" x14ac:dyDescent="0.2">
      <c r="A3587" t="s">
        <v>1774</v>
      </c>
      <c r="B3587">
        <v>0</v>
      </c>
      <c r="C3587">
        <v>0</v>
      </c>
      <c r="D3587">
        <v>0</v>
      </c>
      <c r="E3587">
        <v>0</v>
      </c>
      <c r="F3587">
        <v>0</v>
      </c>
      <c r="G3587">
        <v>0</v>
      </c>
      <c r="H3587">
        <v>0</v>
      </c>
      <c r="I3587">
        <v>0</v>
      </c>
      <c r="J3587">
        <v>0</v>
      </c>
      <c r="K3587">
        <v>0</v>
      </c>
    </row>
    <row r="3588" spans="1:11" x14ac:dyDescent="0.2">
      <c r="A3588" t="s">
        <v>1777</v>
      </c>
      <c r="B3588">
        <v>0</v>
      </c>
      <c r="C3588">
        <v>0</v>
      </c>
      <c r="D3588">
        <v>0</v>
      </c>
      <c r="E3588">
        <v>0</v>
      </c>
      <c r="F3588">
        <v>0</v>
      </c>
      <c r="G3588">
        <v>0</v>
      </c>
      <c r="H3588">
        <v>0</v>
      </c>
      <c r="I3588">
        <v>0</v>
      </c>
      <c r="J3588">
        <v>0</v>
      </c>
      <c r="K3588">
        <v>0</v>
      </c>
    </row>
    <row r="3589" spans="1:11" x14ac:dyDescent="0.2">
      <c r="A3589" t="s">
        <v>1782</v>
      </c>
      <c r="B3589">
        <v>0</v>
      </c>
      <c r="C3589">
        <v>0</v>
      </c>
      <c r="D3589">
        <v>0</v>
      </c>
      <c r="E3589">
        <v>0</v>
      </c>
      <c r="F3589">
        <v>0</v>
      </c>
      <c r="G3589">
        <v>0</v>
      </c>
      <c r="H3589">
        <v>0</v>
      </c>
      <c r="I3589">
        <v>0</v>
      </c>
      <c r="J3589">
        <v>0</v>
      </c>
      <c r="K3589">
        <v>0</v>
      </c>
    </row>
    <row r="3590" spans="1:11" x14ac:dyDescent="0.2">
      <c r="A3590" t="s">
        <v>1274</v>
      </c>
      <c r="B3590">
        <v>0</v>
      </c>
      <c r="C3590">
        <v>0</v>
      </c>
      <c r="D3590">
        <v>0</v>
      </c>
      <c r="E3590">
        <v>0</v>
      </c>
      <c r="F3590">
        <v>0</v>
      </c>
      <c r="G3590">
        <v>0</v>
      </c>
      <c r="H3590">
        <v>0</v>
      </c>
      <c r="I3590">
        <v>0</v>
      </c>
      <c r="J3590">
        <v>0</v>
      </c>
      <c r="K3590">
        <v>0</v>
      </c>
    </row>
    <row r="3591" spans="1:11" x14ac:dyDescent="0.2">
      <c r="A3591" t="s">
        <v>1277</v>
      </c>
      <c r="B3591">
        <v>0</v>
      </c>
      <c r="C3591">
        <v>0</v>
      </c>
      <c r="D3591">
        <v>0</v>
      </c>
      <c r="E3591">
        <v>0</v>
      </c>
      <c r="F3591">
        <v>0</v>
      </c>
      <c r="G3591">
        <v>0</v>
      </c>
      <c r="H3591">
        <v>0</v>
      </c>
      <c r="I3591">
        <v>0</v>
      </c>
      <c r="J3591">
        <v>0</v>
      </c>
      <c r="K3591">
        <v>0</v>
      </c>
    </row>
    <row r="3592" spans="1:11" x14ac:dyDescent="0.2">
      <c r="A3592" t="s">
        <v>1798</v>
      </c>
      <c r="B3592">
        <v>0</v>
      </c>
      <c r="C3592">
        <v>0</v>
      </c>
      <c r="D3592">
        <v>0</v>
      </c>
      <c r="E3592">
        <v>0</v>
      </c>
      <c r="F3592">
        <v>0</v>
      </c>
      <c r="G3592">
        <v>0</v>
      </c>
      <c r="H3592">
        <v>0</v>
      </c>
      <c r="I3592">
        <v>0</v>
      </c>
      <c r="J3592">
        <v>0</v>
      </c>
      <c r="K3592">
        <v>0</v>
      </c>
    </row>
    <row r="3593" spans="1:11" x14ac:dyDescent="0.2">
      <c r="A3593" t="s">
        <v>1803</v>
      </c>
      <c r="B3593">
        <v>0</v>
      </c>
      <c r="C3593">
        <v>0</v>
      </c>
      <c r="D3593">
        <v>0</v>
      </c>
      <c r="E3593">
        <v>0</v>
      </c>
      <c r="F3593">
        <v>0</v>
      </c>
      <c r="G3593">
        <v>0</v>
      </c>
      <c r="H3593">
        <v>0</v>
      </c>
      <c r="I3593">
        <v>0</v>
      </c>
      <c r="J3593">
        <v>0</v>
      </c>
      <c r="K3593">
        <v>0</v>
      </c>
    </row>
    <row r="3594" spans="1:11" x14ac:dyDescent="0.2">
      <c r="A3594" t="s">
        <v>1808</v>
      </c>
      <c r="B3594">
        <v>0</v>
      </c>
      <c r="C3594">
        <v>0</v>
      </c>
      <c r="D3594">
        <v>0</v>
      </c>
      <c r="E3594">
        <v>0</v>
      </c>
      <c r="F3594">
        <v>0</v>
      </c>
      <c r="G3594">
        <v>0</v>
      </c>
      <c r="H3594">
        <v>0</v>
      </c>
      <c r="I3594">
        <v>0</v>
      </c>
      <c r="J3594">
        <v>0</v>
      </c>
      <c r="K3594">
        <v>0</v>
      </c>
    </row>
    <row r="3595" spans="1:11" x14ac:dyDescent="0.2">
      <c r="A3595" t="s">
        <v>1813</v>
      </c>
      <c r="B3595">
        <v>0</v>
      </c>
      <c r="C3595">
        <v>0</v>
      </c>
      <c r="D3595">
        <v>0</v>
      </c>
      <c r="E3595">
        <v>0</v>
      </c>
      <c r="F3595">
        <v>0</v>
      </c>
      <c r="G3595">
        <v>0</v>
      </c>
      <c r="H3595">
        <v>0</v>
      </c>
      <c r="I3595">
        <v>0</v>
      </c>
      <c r="J3595">
        <v>0</v>
      </c>
      <c r="K3595">
        <v>0</v>
      </c>
    </row>
    <row r="3596" spans="1:11" x14ac:dyDescent="0.2">
      <c r="A3596" t="s">
        <v>1819</v>
      </c>
      <c r="B3596">
        <v>0</v>
      </c>
      <c r="C3596">
        <v>0</v>
      </c>
      <c r="D3596">
        <v>0</v>
      </c>
      <c r="E3596">
        <v>0</v>
      </c>
      <c r="F3596">
        <v>0</v>
      </c>
      <c r="G3596">
        <v>0</v>
      </c>
      <c r="H3596">
        <v>0</v>
      </c>
      <c r="I3596">
        <v>0</v>
      </c>
      <c r="J3596">
        <v>0</v>
      </c>
      <c r="K3596">
        <v>0</v>
      </c>
    </row>
    <row r="3597" spans="1:11" x14ac:dyDescent="0.2">
      <c r="A3597" t="s">
        <v>1826</v>
      </c>
      <c r="B3597">
        <v>0</v>
      </c>
      <c r="C3597">
        <v>0</v>
      </c>
      <c r="D3597">
        <v>0</v>
      </c>
      <c r="E3597">
        <v>0</v>
      </c>
      <c r="F3597">
        <v>0</v>
      </c>
      <c r="G3597">
        <v>0</v>
      </c>
      <c r="H3597">
        <v>0</v>
      </c>
      <c r="I3597">
        <v>0</v>
      </c>
      <c r="J3597">
        <v>0</v>
      </c>
      <c r="K3597">
        <v>0</v>
      </c>
    </row>
    <row r="3598" spans="1:11" x14ac:dyDescent="0.2">
      <c r="A3598" t="s">
        <v>1830</v>
      </c>
      <c r="B3598">
        <v>0</v>
      </c>
      <c r="C3598">
        <v>0</v>
      </c>
      <c r="D3598">
        <v>0</v>
      </c>
      <c r="E3598">
        <v>0</v>
      </c>
      <c r="F3598">
        <v>0</v>
      </c>
      <c r="G3598">
        <v>0</v>
      </c>
      <c r="H3598">
        <v>0</v>
      </c>
      <c r="I3598">
        <v>0</v>
      </c>
      <c r="J3598">
        <v>0</v>
      </c>
      <c r="K3598">
        <v>0</v>
      </c>
    </row>
    <row r="3599" spans="1:11" x14ac:dyDescent="0.2">
      <c r="A3599" t="s">
        <v>1836</v>
      </c>
      <c r="B3599">
        <v>0</v>
      </c>
      <c r="C3599">
        <v>0</v>
      </c>
      <c r="D3599">
        <v>0</v>
      </c>
      <c r="E3599">
        <v>0</v>
      </c>
      <c r="F3599">
        <v>0</v>
      </c>
      <c r="G3599">
        <v>0</v>
      </c>
      <c r="H3599">
        <v>0</v>
      </c>
      <c r="I3599">
        <v>0</v>
      </c>
      <c r="J3599">
        <v>0</v>
      </c>
      <c r="K3599">
        <v>0</v>
      </c>
    </row>
    <row r="3600" spans="1:11" x14ac:dyDescent="0.2">
      <c r="A3600" t="s">
        <v>1841</v>
      </c>
      <c r="B3600">
        <v>0</v>
      </c>
      <c r="C3600">
        <v>0</v>
      </c>
      <c r="D3600">
        <v>0</v>
      </c>
      <c r="E3600">
        <v>0</v>
      </c>
      <c r="F3600">
        <v>0</v>
      </c>
      <c r="G3600">
        <v>0</v>
      </c>
      <c r="H3600">
        <v>0</v>
      </c>
      <c r="I3600">
        <v>0</v>
      </c>
      <c r="J3600">
        <v>0</v>
      </c>
      <c r="K3600">
        <v>0</v>
      </c>
    </row>
    <row r="3601" spans="1:11" x14ac:dyDescent="0.2">
      <c r="A3601" t="s">
        <v>1842</v>
      </c>
      <c r="B3601">
        <v>0</v>
      </c>
      <c r="C3601">
        <v>0</v>
      </c>
      <c r="D3601">
        <v>3</v>
      </c>
      <c r="E3601">
        <v>0</v>
      </c>
      <c r="F3601">
        <v>2</v>
      </c>
      <c r="G3601">
        <v>105</v>
      </c>
      <c r="H3601">
        <v>0</v>
      </c>
      <c r="I3601">
        <v>0</v>
      </c>
      <c r="J3601">
        <v>0</v>
      </c>
      <c r="K3601">
        <v>0</v>
      </c>
    </row>
    <row r="3602" spans="1:11" x14ac:dyDescent="0.2">
      <c r="A3602" t="s">
        <v>1843</v>
      </c>
      <c r="B3602">
        <v>0</v>
      </c>
      <c r="C3602">
        <v>0</v>
      </c>
      <c r="D3602">
        <v>0</v>
      </c>
      <c r="E3602">
        <v>0</v>
      </c>
      <c r="F3602">
        <v>0</v>
      </c>
      <c r="G3602">
        <v>0</v>
      </c>
      <c r="H3602">
        <v>0</v>
      </c>
      <c r="I3602">
        <v>0</v>
      </c>
      <c r="J3602">
        <v>0</v>
      </c>
      <c r="K3602">
        <v>0</v>
      </c>
    </row>
    <row r="3603" spans="1:11" x14ac:dyDescent="0.2">
      <c r="A3603" t="s">
        <v>1846</v>
      </c>
      <c r="B3603">
        <v>0</v>
      </c>
      <c r="C3603">
        <v>0</v>
      </c>
      <c r="D3603">
        <v>0</v>
      </c>
      <c r="E3603">
        <v>0</v>
      </c>
      <c r="F3603">
        <v>0</v>
      </c>
      <c r="G3603">
        <v>0</v>
      </c>
      <c r="H3603">
        <v>0</v>
      </c>
      <c r="I3603">
        <v>0</v>
      </c>
      <c r="J3603">
        <v>0</v>
      </c>
      <c r="K3603">
        <v>0</v>
      </c>
    </row>
    <row r="3604" spans="1:11" x14ac:dyDescent="0.2">
      <c r="A3604" t="s">
        <v>1851</v>
      </c>
      <c r="B3604">
        <v>0</v>
      </c>
      <c r="C3604">
        <v>0</v>
      </c>
      <c r="D3604">
        <v>0</v>
      </c>
      <c r="E3604">
        <v>0</v>
      </c>
      <c r="F3604">
        <v>0</v>
      </c>
      <c r="G3604">
        <v>0</v>
      </c>
      <c r="H3604">
        <v>0</v>
      </c>
      <c r="I3604">
        <v>0</v>
      </c>
      <c r="J3604">
        <v>0</v>
      </c>
      <c r="K3604">
        <v>0</v>
      </c>
    </row>
    <row r="3605" spans="1:11" x14ac:dyDescent="0.2">
      <c r="A3605" t="s">
        <v>1857</v>
      </c>
      <c r="B3605">
        <v>0</v>
      </c>
      <c r="C3605">
        <v>0</v>
      </c>
      <c r="D3605">
        <v>0</v>
      </c>
      <c r="E3605">
        <v>0</v>
      </c>
      <c r="F3605">
        <v>0</v>
      </c>
      <c r="G3605">
        <v>0</v>
      </c>
      <c r="H3605">
        <v>0</v>
      </c>
      <c r="I3605">
        <v>0</v>
      </c>
      <c r="J3605">
        <v>0</v>
      </c>
      <c r="K3605">
        <v>0</v>
      </c>
    </row>
    <row r="3606" spans="1:11" x14ac:dyDescent="0.2">
      <c r="A3606" t="s">
        <v>1862</v>
      </c>
      <c r="B3606">
        <v>0</v>
      </c>
      <c r="C3606">
        <v>0</v>
      </c>
      <c r="D3606">
        <v>0</v>
      </c>
      <c r="E3606">
        <v>0</v>
      </c>
      <c r="F3606">
        <v>0</v>
      </c>
      <c r="G3606">
        <v>0</v>
      </c>
      <c r="H3606">
        <v>0</v>
      </c>
      <c r="I3606">
        <v>0</v>
      </c>
      <c r="J3606">
        <v>0</v>
      </c>
      <c r="K3606">
        <v>0</v>
      </c>
    </row>
    <row r="3607" spans="1:11" x14ac:dyDescent="0.2">
      <c r="A3607" t="s">
        <v>1867</v>
      </c>
      <c r="B3607">
        <v>0</v>
      </c>
      <c r="C3607">
        <v>0</v>
      </c>
      <c r="D3607">
        <v>0</v>
      </c>
      <c r="E3607">
        <v>0</v>
      </c>
      <c r="F3607">
        <v>0</v>
      </c>
      <c r="G3607">
        <v>0</v>
      </c>
      <c r="H3607">
        <v>0</v>
      </c>
      <c r="I3607">
        <v>0</v>
      </c>
      <c r="J3607">
        <v>0</v>
      </c>
      <c r="K3607">
        <v>0</v>
      </c>
    </row>
    <row r="3608" spans="1:11" x14ac:dyDescent="0.2">
      <c r="A3608" t="s">
        <v>1870</v>
      </c>
      <c r="B3608">
        <v>0</v>
      </c>
      <c r="C3608">
        <v>0</v>
      </c>
      <c r="D3608">
        <v>0</v>
      </c>
      <c r="E3608">
        <v>0</v>
      </c>
      <c r="F3608">
        <v>0</v>
      </c>
      <c r="G3608">
        <v>0</v>
      </c>
      <c r="H3608">
        <v>0</v>
      </c>
      <c r="I3608">
        <v>0</v>
      </c>
      <c r="J3608">
        <v>0</v>
      </c>
      <c r="K3608">
        <v>0</v>
      </c>
    </row>
    <row r="3609" spans="1:11" x14ac:dyDescent="0.2">
      <c r="A3609" t="s">
        <v>1874</v>
      </c>
      <c r="B3609">
        <v>0</v>
      </c>
      <c r="C3609">
        <v>0</v>
      </c>
      <c r="D3609">
        <v>0</v>
      </c>
      <c r="E3609">
        <v>0</v>
      </c>
      <c r="F3609">
        <v>0</v>
      </c>
      <c r="G3609">
        <v>0</v>
      </c>
      <c r="H3609">
        <v>0</v>
      </c>
      <c r="I3609">
        <v>0</v>
      </c>
      <c r="J3609">
        <v>0</v>
      </c>
      <c r="K3609">
        <v>0</v>
      </c>
    </row>
    <row r="3610" spans="1:11" x14ac:dyDescent="0.2">
      <c r="A3610" t="s">
        <v>1876</v>
      </c>
      <c r="B3610">
        <v>0</v>
      </c>
      <c r="C3610">
        <v>0</v>
      </c>
      <c r="D3610">
        <v>0</v>
      </c>
      <c r="E3610">
        <v>0</v>
      </c>
      <c r="F3610">
        <v>0</v>
      </c>
      <c r="G3610">
        <v>0</v>
      </c>
      <c r="H3610">
        <v>0</v>
      </c>
      <c r="I3610">
        <v>0</v>
      </c>
      <c r="J3610">
        <v>0</v>
      </c>
      <c r="K3610">
        <v>0</v>
      </c>
    </row>
    <row r="3611" spans="1:11" x14ac:dyDescent="0.2">
      <c r="A3611" t="s">
        <v>1881</v>
      </c>
      <c r="B3611">
        <v>0</v>
      </c>
      <c r="C3611">
        <v>0</v>
      </c>
      <c r="D3611">
        <v>0</v>
      </c>
      <c r="E3611">
        <v>0</v>
      </c>
      <c r="F3611">
        <v>0</v>
      </c>
      <c r="G3611">
        <v>0</v>
      </c>
      <c r="H3611">
        <v>0</v>
      </c>
      <c r="I3611">
        <v>0</v>
      </c>
      <c r="J3611">
        <v>0</v>
      </c>
      <c r="K3611">
        <v>0</v>
      </c>
    </row>
    <row r="3612" spans="1:11" x14ac:dyDescent="0.2">
      <c r="A3612" t="s">
        <v>1885</v>
      </c>
      <c r="B3612">
        <v>2</v>
      </c>
      <c r="C3612">
        <v>0</v>
      </c>
      <c r="D3612">
        <v>6</v>
      </c>
      <c r="E3612">
        <v>0</v>
      </c>
      <c r="F3612">
        <v>4</v>
      </c>
      <c r="G3612">
        <v>61</v>
      </c>
      <c r="H3612">
        <v>0</v>
      </c>
      <c r="I3612">
        <v>0</v>
      </c>
      <c r="J3612">
        <v>0</v>
      </c>
      <c r="K3612">
        <v>0</v>
      </c>
    </row>
    <row r="3613" spans="1:11" x14ac:dyDescent="0.2">
      <c r="A3613" t="s">
        <v>1887</v>
      </c>
      <c r="B3613">
        <v>0</v>
      </c>
      <c r="C3613">
        <v>0</v>
      </c>
      <c r="D3613">
        <v>0</v>
      </c>
      <c r="E3613">
        <v>0</v>
      </c>
      <c r="F3613">
        <v>0</v>
      </c>
      <c r="G3613">
        <v>0</v>
      </c>
      <c r="H3613">
        <v>0</v>
      </c>
      <c r="I3613">
        <v>0</v>
      </c>
      <c r="J3613">
        <v>0</v>
      </c>
      <c r="K3613">
        <v>0</v>
      </c>
    </row>
    <row r="3614" spans="1:11" x14ac:dyDescent="0.2">
      <c r="A3614" t="s">
        <v>1893</v>
      </c>
      <c r="B3614">
        <v>0</v>
      </c>
      <c r="C3614">
        <v>0</v>
      </c>
      <c r="D3614">
        <v>0</v>
      </c>
      <c r="E3614">
        <v>0</v>
      </c>
      <c r="F3614">
        <v>0</v>
      </c>
      <c r="G3614">
        <v>1</v>
      </c>
      <c r="H3614">
        <v>0</v>
      </c>
      <c r="I3614">
        <v>0</v>
      </c>
      <c r="J3614">
        <v>0</v>
      </c>
      <c r="K3614">
        <v>0</v>
      </c>
    </row>
    <row r="3615" spans="1:11" x14ac:dyDescent="0.2">
      <c r="A3615" t="s">
        <v>1899</v>
      </c>
      <c r="B3615">
        <v>0</v>
      </c>
      <c r="C3615">
        <v>0</v>
      </c>
      <c r="D3615">
        <v>0</v>
      </c>
      <c r="E3615">
        <v>0</v>
      </c>
      <c r="F3615">
        <v>0</v>
      </c>
      <c r="G3615">
        <v>0</v>
      </c>
      <c r="H3615">
        <v>0</v>
      </c>
      <c r="I3615">
        <v>0</v>
      </c>
      <c r="J3615">
        <v>0</v>
      </c>
      <c r="K3615">
        <v>0</v>
      </c>
    </row>
    <row r="3616" spans="1:11" x14ac:dyDescent="0.2">
      <c r="A3616" t="s">
        <v>1906</v>
      </c>
      <c r="B3616">
        <v>0</v>
      </c>
      <c r="C3616">
        <v>0</v>
      </c>
      <c r="D3616">
        <v>0</v>
      </c>
      <c r="E3616">
        <v>0</v>
      </c>
      <c r="F3616">
        <v>0</v>
      </c>
      <c r="G3616">
        <v>0</v>
      </c>
      <c r="H3616">
        <v>0</v>
      </c>
      <c r="I3616">
        <v>0</v>
      </c>
      <c r="J3616">
        <v>0</v>
      </c>
      <c r="K3616">
        <v>0</v>
      </c>
    </row>
    <row r="3617" spans="1:11" x14ac:dyDescent="0.2">
      <c r="A3617" t="s">
        <v>1911</v>
      </c>
      <c r="B3617">
        <v>0</v>
      </c>
      <c r="C3617">
        <v>0</v>
      </c>
      <c r="D3617">
        <v>0</v>
      </c>
      <c r="E3617">
        <v>0</v>
      </c>
      <c r="F3617">
        <v>0</v>
      </c>
      <c r="G3617">
        <v>0</v>
      </c>
      <c r="H3617">
        <v>0</v>
      </c>
      <c r="I3617">
        <v>0</v>
      </c>
      <c r="J3617">
        <v>0</v>
      </c>
      <c r="K3617">
        <v>0</v>
      </c>
    </row>
    <row r="3618" spans="1:11" x14ac:dyDescent="0.2">
      <c r="A3618" t="s">
        <v>1917</v>
      </c>
      <c r="B3618">
        <v>0</v>
      </c>
      <c r="C3618">
        <v>0</v>
      </c>
      <c r="D3618">
        <v>0</v>
      </c>
      <c r="E3618">
        <v>0</v>
      </c>
      <c r="F3618">
        <v>0</v>
      </c>
      <c r="G3618">
        <v>0</v>
      </c>
      <c r="H3618">
        <v>0</v>
      </c>
      <c r="I3618">
        <v>0</v>
      </c>
      <c r="J3618">
        <v>0</v>
      </c>
      <c r="K3618">
        <v>0</v>
      </c>
    </row>
    <row r="3619" spans="1:11" x14ac:dyDescent="0.2">
      <c r="A3619" t="s">
        <v>1922</v>
      </c>
      <c r="B3619">
        <v>0</v>
      </c>
      <c r="C3619">
        <v>0</v>
      </c>
      <c r="D3619">
        <v>0</v>
      </c>
      <c r="E3619">
        <v>0</v>
      </c>
      <c r="F3619">
        <v>0</v>
      </c>
      <c r="G3619">
        <v>0</v>
      </c>
      <c r="H3619">
        <v>0</v>
      </c>
      <c r="I3619">
        <v>0</v>
      </c>
      <c r="J3619">
        <v>0</v>
      </c>
      <c r="K3619">
        <v>0</v>
      </c>
    </row>
    <row r="3620" spans="1:11" x14ac:dyDescent="0.2">
      <c r="A3620" t="s">
        <v>1928</v>
      </c>
      <c r="B3620">
        <v>0</v>
      </c>
      <c r="C3620">
        <v>0</v>
      </c>
      <c r="D3620">
        <v>0</v>
      </c>
      <c r="E3620">
        <v>0</v>
      </c>
      <c r="F3620">
        <v>0</v>
      </c>
      <c r="G3620">
        <v>0</v>
      </c>
      <c r="H3620">
        <v>0</v>
      </c>
      <c r="I3620">
        <v>0</v>
      </c>
      <c r="J3620">
        <v>0</v>
      </c>
      <c r="K3620">
        <v>0</v>
      </c>
    </row>
    <row r="3621" spans="1:11" x14ac:dyDescent="0.2">
      <c r="A3621" t="s">
        <v>1932</v>
      </c>
      <c r="B3621">
        <v>0</v>
      </c>
      <c r="C3621">
        <v>0</v>
      </c>
      <c r="D3621">
        <v>0</v>
      </c>
      <c r="E3621">
        <v>0</v>
      </c>
      <c r="F3621">
        <v>0</v>
      </c>
      <c r="G3621">
        <v>0</v>
      </c>
      <c r="H3621">
        <v>0</v>
      </c>
      <c r="I3621">
        <v>0</v>
      </c>
      <c r="J3621">
        <v>0</v>
      </c>
      <c r="K3621">
        <v>0</v>
      </c>
    </row>
    <row r="3622" spans="1:11" x14ac:dyDescent="0.2">
      <c r="A3622" t="s">
        <v>1938</v>
      </c>
      <c r="B3622">
        <v>0</v>
      </c>
      <c r="C3622">
        <v>0</v>
      </c>
      <c r="D3622">
        <v>0</v>
      </c>
      <c r="E3622">
        <v>0</v>
      </c>
      <c r="F3622">
        <v>0</v>
      </c>
      <c r="G3622">
        <v>0</v>
      </c>
      <c r="H3622">
        <v>0</v>
      </c>
      <c r="I3622">
        <v>0</v>
      </c>
      <c r="J3622">
        <v>0</v>
      </c>
      <c r="K3622">
        <v>0</v>
      </c>
    </row>
    <row r="3623" spans="1:11" x14ac:dyDescent="0.2">
      <c r="A3623" t="s">
        <v>1944</v>
      </c>
      <c r="B3623">
        <v>0</v>
      </c>
      <c r="C3623">
        <v>0</v>
      </c>
      <c r="D3623">
        <v>0</v>
      </c>
      <c r="E3623">
        <v>0</v>
      </c>
      <c r="F3623">
        <v>0</v>
      </c>
      <c r="G3623">
        <v>0</v>
      </c>
      <c r="H3623">
        <v>0</v>
      </c>
      <c r="I3623">
        <v>0</v>
      </c>
      <c r="J3623">
        <v>0</v>
      </c>
      <c r="K3623">
        <v>0</v>
      </c>
    </row>
    <row r="3624" spans="1:11" x14ac:dyDescent="0.2">
      <c r="A3624" t="s">
        <v>1947</v>
      </c>
      <c r="B3624">
        <v>0</v>
      </c>
      <c r="C3624">
        <v>0</v>
      </c>
      <c r="D3624">
        <v>0</v>
      </c>
      <c r="E3624">
        <v>0</v>
      </c>
      <c r="F3624">
        <v>0</v>
      </c>
      <c r="G3624">
        <v>0</v>
      </c>
      <c r="H3624">
        <v>0</v>
      </c>
      <c r="I3624">
        <v>0</v>
      </c>
      <c r="J3624">
        <v>0</v>
      </c>
      <c r="K3624">
        <v>0</v>
      </c>
    </row>
    <row r="3625" spans="1:11" x14ac:dyDescent="0.2">
      <c r="A3625" t="s">
        <v>1953</v>
      </c>
      <c r="B3625">
        <v>0</v>
      </c>
      <c r="C3625">
        <v>0</v>
      </c>
      <c r="D3625">
        <v>0</v>
      </c>
      <c r="E3625">
        <v>0</v>
      </c>
      <c r="F3625">
        <v>0</v>
      </c>
      <c r="G3625">
        <v>0</v>
      </c>
      <c r="H3625">
        <v>0</v>
      </c>
      <c r="I3625">
        <v>0</v>
      </c>
      <c r="J3625">
        <v>0</v>
      </c>
      <c r="K3625">
        <v>0</v>
      </c>
    </row>
    <row r="3626" spans="1:11" x14ac:dyDescent="0.2">
      <c r="A3626" t="s">
        <v>1958</v>
      </c>
      <c r="B3626">
        <v>0</v>
      </c>
      <c r="C3626">
        <v>0</v>
      </c>
      <c r="D3626">
        <v>0</v>
      </c>
      <c r="E3626">
        <v>0</v>
      </c>
      <c r="F3626">
        <v>0</v>
      </c>
      <c r="G3626">
        <v>0</v>
      </c>
      <c r="H3626">
        <v>0</v>
      </c>
      <c r="I3626">
        <v>0</v>
      </c>
      <c r="J3626">
        <v>0</v>
      </c>
      <c r="K3626">
        <v>0</v>
      </c>
    </row>
    <row r="3627" spans="1:11" x14ac:dyDescent="0.2">
      <c r="A3627" t="s">
        <v>1964</v>
      </c>
      <c r="B3627">
        <v>0</v>
      </c>
      <c r="C3627">
        <v>0</v>
      </c>
      <c r="D3627">
        <v>0</v>
      </c>
      <c r="E3627">
        <v>0</v>
      </c>
      <c r="F3627">
        <v>0</v>
      </c>
      <c r="G3627">
        <v>0</v>
      </c>
      <c r="H3627">
        <v>0</v>
      </c>
      <c r="I3627">
        <v>0</v>
      </c>
      <c r="J3627">
        <v>0</v>
      </c>
      <c r="K3627">
        <v>0</v>
      </c>
    </row>
    <row r="3628" spans="1:11" x14ac:dyDescent="0.2">
      <c r="A3628" t="s">
        <v>1973</v>
      </c>
      <c r="B3628">
        <v>0</v>
      </c>
      <c r="C3628">
        <v>0</v>
      </c>
      <c r="D3628">
        <v>0</v>
      </c>
      <c r="E3628">
        <v>0</v>
      </c>
      <c r="F3628">
        <v>0</v>
      </c>
      <c r="G3628">
        <v>0</v>
      </c>
      <c r="H3628">
        <v>0</v>
      </c>
      <c r="I3628">
        <v>0</v>
      </c>
      <c r="J3628">
        <v>0</v>
      </c>
      <c r="K3628">
        <v>0</v>
      </c>
    </row>
    <row r="3629" spans="1:11" x14ac:dyDescent="0.2">
      <c r="A3629" t="s">
        <v>1978</v>
      </c>
      <c r="B3629">
        <v>0</v>
      </c>
      <c r="C3629">
        <v>0</v>
      </c>
      <c r="D3629">
        <v>0</v>
      </c>
      <c r="E3629">
        <v>0</v>
      </c>
      <c r="F3629">
        <v>0</v>
      </c>
      <c r="G3629">
        <v>0</v>
      </c>
      <c r="H3629">
        <v>0</v>
      </c>
      <c r="I3629">
        <v>0</v>
      </c>
      <c r="J3629">
        <v>0</v>
      </c>
      <c r="K3629">
        <v>0</v>
      </c>
    </row>
    <row r="3630" spans="1:11" x14ac:dyDescent="0.2">
      <c r="A3630" t="s">
        <v>1983</v>
      </c>
      <c r="B3630">
        <v>0</v>
      </c>
      <c r="C3630">
        <v>0</v>
      </c>
      <c r="D3630">
        <v>0</v>
      </c>
      <c r="E3630">
        <v>0</v>
      </c>
      <c r="F3630">
        <v>0</v>
      </c>
      <c r="G3630">
        <v>0</v>
      </c>
      <c r="H3630">
        <v>0</v>
      </c>
      <c r="I3630">
        <v>0</v>
      </c>
      <c r="J3630">
        <v>0</v>
      </c>
      <c r="K3630">
        <v>0</v>
      </c>
    </row>
    <row r="3631" spans="1:11" x14ac:dyDescent="0.2">
      <c r="A3631" t="s">
        <v>1984</v>
      </c>
      <c r="B3631">
        <v>0</v>
      </c>
      <c r="C3631">
        <v>0</v>
      </c>
      <c r="D3631">
        <v>0</v>
      </c>
      <c r="E3631">
        <v>0</v>
      </c>
      <c r="F3631">
        <v>0</v>
      </c>
      <c r="G3631">
        <v>0</v>
      </c>
      <c r="H3631">
        <v>0</v>
      </c>
      <c r="I3631">
        <v>0</v>
      </c>
      <c r="J3631">
        <v>0</v>
      </c>
      <c r="K3631">
        <v>0</v>
      </c>
    </row>
    <row r="3632" spans="1:11" x14ac:dyDescent="0.2">
      <c r="A3632" t="s">
        <v>1990</v>
      </c>
      <c r="B3632">
        <v>0</v>
      </c>
      <c r="C3632">
        <v>0</v>
      </c>
      <c r="D3632">
        <v>0</v>
      </c>
      <c r="E3632">
        <v>0</v>
      </c>
      <c r="F3632">
        <v>0</v>
      </c>
      <c r="G3632">
        <v>0</v>
      </c>
      <c r="H3632">
        <v>0</v>
      </c>
      <c r="I3632">
        <v>0</v>
      </c>
      <c r="J3632">
        <v>0</v>
      </c>
      <c r="K3632">
        <v>0</v>
      </c>
    </row>
    <row r="3633" spans="1:11" x14ac:dyDescent="0.2">
      <c r="A3633" t="s">
        <v>1996</v>
      </c>
      <c r="B3633">
        <v>0</v>
      </c>
      <c r="C3633">
        <v>0</v>
      </c>
      <c r="D3633">
        <v>0</v>
      </c>
      <c r="E3633">
        <v>0</v>
      </c>
      <c r="F3633">
        <v>0</v>
      </c>
      <c r="G3633">
        <v>0</v>
      </c>
      <c r="H3633">
        <v>0</v>
      </c>
      <c r="I3633">
        <v>0</v>
      </c>
      <c r="J3633">
        <v>0</v>
      </c>
      <c r="K3633">
        <v>0</v>
      </c>
    </row>
    <row r="3634" spans="1:11" x14ac:dyDescent="0.2">
      <c r="A3634" t="s">
        <v>1998</v>
      </c>
      <c r="B3634">
        <v>0</v>
      </c>
      <c r="C3634">
        <v>0</v>
      </c>
      <c r="D3634">
        <v>0</v>
      </c>
      <c r="E3634">
        <v>0</v>
      </c>
      <c r="F3634">
        <v>0</v>
      </c>
      <c r="G3634">
        <v>0</v>
      </c>
      <c r="H3634">
        <v>0</v>
      </c>
      <c r="I3634">
        <v>0</v>
      </c>
      <c r="J3634">
        <v>0</v>
      </c>
      <c r="K3634">
        <v>0</v>
      </c>
    </row>
    <row r="3635" spans="1:11" x14ac:dyDescent="0.2">
      <c r="A3635" t="s">
        <v>1999</v>
      </c>
      <c r="B3635">
        <v>0</v>
      </c>
      <c r="C3635">
        <v>0</v>
      </c>
      <c r="D3635">
        <v>0</v>
      </c>
      <c r="E3635">
        <v>0</v>
      </c>
      <c r="F3635">
        <v>0</v>
      </c>
      <c r="G3635">
        <v>0</v>
      </c>
      <c r="H3635">
        <v>0</v>
      </c>
      <c r="I3635">
        <v>0</v>
      </c>
      <c r="J3635">
        <v>0</v>
      </c>
      <c r="K3635">
        <v>0</v>
      </c>
    </row>
    <row r="3636" spans="1:11" x14ac:dyDescent="0.2">
      <c r="A3636" t="s">
        <v>2004</v>
      </c>
      <c r="B3636">
        <v>0</v>
      </c>
      <c r="C3636">
        <v>0</v>
      </c>
      <c r="D3636">
        <v>0</v>
      </c>
      <c r="E3636">
        <v>0</v>
      </c>
      <c r="F3636">
        <v>0</v>
      </c>
      <c r="G3636">
        <v>0</v>
      </c>
      <c r="H3636">
        <v>0</v>
      </c>
      <c r="I3636">
        <v>0</v>
      </c>
      <c r="J3636">
        <v>0</v>
      </c>
      <c r="K3636">
        <v>0</v>
      </c>
    </row>
    <row r="3637" spans="1:11" x14ac:dyDescent="0.2">
      <c r="A3637" t="s">
        <v>2009</v>
      </c>
      <c r="B3637">
        <v>0</v>
      </c>
      <c r="C3637">
        <v>0</v>
      </c>
      <c r="D3637">
        <v>0</v>
      </c>
      <c r="E3637">
        <v>0</v>
      </c>
      <c r="F3637">
        <v>0</v>
      </c>
      <c r="G3637">
        <v>0</v>
      </c>
      <c r="H3637">
        <v>0</v>
      </c>
      <c r="I3637">
        <v>0</v>
      </c>
      <c r="J3637">
        <v>0</v>
      </c>
      <c r="K3637">
        <v>0</v>
      </c>
    </row>
    <row r="3638" spans="1:11" x14ac:dyDescent="0.2">
      <c r="A3638" t="s">
        <v>2014</v>
      </c>
      <c r="B3638">
        <v>0</v>
      </c>
      <c r="C3638">
        <v>0</v>
      </c>
      <c r="D3638">
        <v>0</v>
      </c>
      <c r="E3638">
        <v>0</v>
      </c>
      <c r="F3638">
        <v>0</v>
      </c>
      <c r="G3638">
        <v>0</v>
      </c>
      <c r="H3638">
        <v>0</v>
      </c>
      <c r="I3638">
        <v>0</v>
      </c>
      <c r="J3638">
        <v>0</v>
      </c>
      <c r="K3638">
        <v>0</v>
      </c>
    </row>
    <row r="3639" spans="1:11" x14ac:dyDescent="0.2">
      <c r="A3639" t="s">
        <v>2019</v>
      </c>
      <c r="B3639">
        <v>0</v>
      </c>
      <c r="C3639">
        <v>0</v>
      </c>
      <c r="D3639">
        <v>0</v>
      </c>
      <c r="E3639">
        <v>0</v>
      </c>
      <c r="F3639">
        <v>0</v>
      </c>
      <c r="G3639">
        <v>0</v>
      </c>
      <c r="H3639">
        <v>0</v>
      </c>
      <c r="I3639">
        <v>0</v>
      </c>
      <c r="J3639">
        <v>0</v>
      </c>
      <c r="K3639">
        <v>0</v>
      </c>
    </row>
    <row r="3640" spans="1:11" x14ac:dyDescent="0.2">
      <c r="A3640" t="s">
        <v>2023</v>
      </c>
      <c r="B3640">
        <v>0</v>
      </c>
      <c r="C3640">
        <v>0</v>
      </c>
      <c r="D3640">
        <v>0</v>
      </c>
      <c r="E3640">
        <v>0</v>
      </c>
      <c r="F3640">
        <v>0</v>
      </c>
      <c r="G3640">
        <v>0</v>
      </c>
      <c r="H3640">
        <v>0</v>
      </c>
      <c r="I3640">
        <v>0</v>
      </c>
      <c r="J3640">
        <v>0</v>
      </c>
      <c r="K3640">
        <v>0</v>
      </c>
    </row>
    <row r="3641" spans="1:11" x14ac:dyDescent="0.2">
      <c r="A3641" t="s">
        <v>2026</v>
      </c>
      <c r="B3641">
        <v>0</v>
      </c>
      <c r="C3641">
        <v>0</v>
      </c>
      <c r="D3641">
        <v>0</v>
      </c>
      <c r="E3641">
        <v>0</v>
      </c>
      <c r="F3641">
        <v>0</v>
      </c>
      <c r="G3641">
        <v>0</v>
      </c>
      <c r="H3641">
        <v>0</v>
      </c>
      <c r="I3641">
        <v>0</v>
      </c>
      <c r="J3641">
        <v>0</v>
      </c>
      <c r="K3641">
        <v>0</v>
      </c>
    </row>
    <row r="3642" spans="1:11" x14ac:dyDescent="0.2">
      <c r="A3642" t="s">
        <v>2030</v>
      </c>
      <c r="B3642">
        <v>0</v>
      </c>
      <c r="C3642">
        <v>0</v>
      </c>
      <c r="D3642">
        <v>0</v>
      </c>
      <c r="E3642">
        <v>0</v>
      </c>
      <c r="F3642">
        <v>0</v>
      </c>
      <c r="G3642">
        <v>0</v>
      </c>
      <c r="H3642">
        <v>0</v>
      </c>
      <c r="I3642">
        <v>0</v>
      </c>
      <c r="J3642">
        <v>0</v>
      </c>
      <c r="K3642">
        <v>0</v>
      </c>
    </row>
    <row r="3643" spans="1:11" x14ac:dyDescent="0.2">
      <c r="A3643" t="s">
        <v>2035</v>
      </c>
      <c r="B3643">
        <v>0</v>
      </c>
      <c r="C3643">
        <v>0</v>
      </c>
      <c r="D3643">
        <v>0</v>
      </c>
      <c r="E3643">
        <v>0</v>
      </c>
      <c r="F3643">
        <v>0</v>
      </c>
      <c r="G3643">
        <v>0</v>
      </c>
      <c r="H3643">
        <v>0</v>
      </c>
      <c r="I3643">
        <v>0</v>
      </c>
      <c r="J3643">
        <v>0</v>
      </c>
      <c r="K3643">
        <v>0</v>
      </c>
    </row>
    <row r="3644" spans="1:11" x14ac:dyDescent="0.2">
      <c r="A3644" t="s">
        <v>2040</v>
      </c>
      <c r="B3644">
        <v>0</v>
      </c>
      <c r="C3644">
        <v>0</v>
      </c>
      <c r="D3644">
        <v>0</v>
      </c>
      <c r="E3644">
        <v>0</v>
      </c>
      <c r="F3644">
        <v>0</v>
      </c>
      <c r="G3644">
        <v>0</v>
      </c>
      <c r="H3644">
        <v>0</v>
      </c>
      <c r="I3644">
        <v>0</v>
      </c>
      <c r="J3644">
        <v>0</v>
      </c>
      <c r="K3644">
        <v>0</v>
      </c>
    </row>
    <row r="3645" spans="1:11" x14ac:dyDescent="0.2">
      <c r="A3645" t="s">
        <v>2045</v>
      </c>
      <c r="B3645">
        <v>0</v>
      </c>
      <c r="C3645">
        <v>0</v>
      </c>
      <c r="D3645">
        <v>0</v>
      </c>
      <c r="E3645">
        <v>0</v>
      </c>
      <c r="F3645">
        <v>0</v>
      </c>
      <c r="G3645">
        <v>0</v>
      </c>
      <c r="H3645">
        <v>0</v>
      </c>
      <c r="I3645">
        <v>0</v>
      </c>
      <c r="J3645">
        <v>0</v>
      </c>
      <c r="K3645">
        <v>0</v>
      </c>
    </row>
    <row r="3646" spans="1:11" x14ac:dyDescent="0.2">
      <c r="A3646" t="s">
        <v>2049</v>
      </c>
      <c r="B3646">
        <v>0</v>
      </c>
      <c r="C3646">
        <v>0</v>
      </c>
      <c r="D3646">
        <v>0</v>
      </c>
      <c r="E3646">
        <v>0</v>
      </c>
      <c r="F3646">
        <v>0</v>
      </c>
      <c r="G3646">
        <v>0</v>
      </c>
      <c r="H3646">
        <v>0</v>
      </c>
      <c r="I3646">
        <v>0</v>
      </c>
      <c r="J3646">
        <v>0</v>
      </c>
      <c r="K3646">
        <v>0</v>
      </c>
    </row>
    <row r="3647" spans="1:11" x14ac:dyDescent="0.2">
      <c r="A3647" t="s">
        <v>2051</v>
      </c>
      <c r="B3647">
        <v>0</v>
      </c>
      <c r="C3647">
        <v>0</v>
      </c>
      <c r="D3647">
        <v>0</v>
      </c>
      <c r="E3647">
        <v>0</v>
      </c>
      <c r="F3647">
        <v>0</v>
      </c>
      <c r="G3647">
        <v>0</v>
      </c>
      <c r="H3647">
        <v>0</v>
      </c>
      <c r="I3647">
        <v>0</v>
      </c>
      <c r="J3647">
        <v>0</v>
      </c>
      <c r="K3647">
        <v>0</v>
      </c>
    </row>
    <row r="3648" spans="1:11" x14ac:dyDescent="0.2">
      <c r="A3648" t="s">
        <v>2057</v>
      </c>
      <c r="B3648">
        <v>0</v>
      </c>
      <c r="C3648">
        <v>0</v>
      </c>
      <c r="D3648">
        <v>0</v>
      </c>
      <c r="E3648">
        <v>0</v>
      </c>
      <c r="F3648">
        <v>0</v>
      </c>
      <c r="G3648">
        <v>0</v>
      </c>
      <c r="H3648">
        <v>0</v>
      </c>
      <c r="I3648">
        <v>0</v>
      </c>
      <c r="J3648">
        <v>0</v>
      </c>
      <c r="K3648">
        <v>0</v>
      </c>
    </row>
    <row r="3649" spans="1:11" x14ac:dyDescent="0.2">
      <c r="A3649" t="s">
        <v>4344</v>
      </c>
      <c r="B3649">
        <v>0</v>
      </c>
      <c r="C3649">
        <v>0</v>
      </c>
      <c r="D3649">
        <v>0</v>
      </c>
      <c r="E3649">
        <v>0</v>
      </c>
      <c r="F3649">
        <v>0</v>
      </c>
      <c r="G3649">
        <v>0</v>
      </c>
      <c r="H3649">
        <v>0</v>
      </c>
      <c r="I3649">
        <v>0</v>
      </c>
      <c r="J3649">
        <v>0</v>
      </c>
      <c r="K3649">
        <v>0</v>
      </c>
    </row>
    <row r="3650" spans="1:11" x14ac:dyDescent="0.2">
      <c r="A3650" t="s">
        <v>4345</v>
      </c>
      <c r="B3650">
        <v>0</v>
      </c>
      <c r="C3650">
        <v>0</v>
      </c>
      <c r="D3650">
        <v>0</v>
      </c>
      <c r="E3650">
        <v>0</v>
      </c>
      <c r="F3650">
        <v>0</v>
      </c>
      <c r="G3650">
        <v>0</v>
      </c>
      <c r="H3650">
        <v>0</v>
      </c>
      <c r="I3650">
        <v>0</v>
      </c>
      <c r="J3650">
        <v>0</v>
      </c>
      <c r="K3650">
        <v>0</v>
      </c>
    </row>
    <row r="3651" spans="1:11" x14ac:dyDescent="0.2">
      <c r="A3651" t="s">
        <v>2074</v>
      </c>
      <c r="B3651">
        <v>0</v>
      </c>
      <c r="C3651">
        <v>0</v>
      </c>
      <c r="D3651">
        <v>0</v>
      </c>
      <c r="E3651">
        <v>0</v>
      </c>
      <c r="F3651">
        <v>0</v>
      </c>
      <c r="G3651">
        <v>0</v>
      </c>
      <c r="H3651">
        <v>0</v>
      </c>
      <c r="I3651">
        <v>0</v>
      </c>
      <c r="J3651">
        <v>0</v>
      </c>
      <c r="K3651">
        <v>0</v>
      </c>
    </row>
    <row r="3652" spans="1:11" x14ac:dyDescent="0.2">
      <c r="A3652" t="s">
        <v>2079</v>
      </c>
      <c r="B3652">
        <v>0</v>
      </c>
      <c r="C3652">
        <v>0</v>
      </c>
      <c r="D3652">
        <v>0</v>
      </c>
      <c r="E3652">
        <v>0</v>
      </c>
      <c r="F3652">
        <v>0</v>
      </c>
      <c r="G3652">
        <v>0</v>
      </c>
      <c r="H3652">
        <v>0</v>
      </c>
      <c r="I3652">
        <v>0</v>
      </c>
      <c r="J3652">
        <v>0</v>
      </c>
      <c r="K3652">
        <v>0</v>
      </c>
    </row>
    <row r="3653" spans="1:11" x14ac:dyDescent="0.2">
      <c r="A3653" t="s">
        <v>2085</v>
      </c>
      <c r="B3653">
        <v>0</v>
      </c>
      <c r="C3653">
        <v>0</v>
      </c>
      <c r="D3653">
        <v>0</v>
      </c>
      <c r="E3653">
        <v>0</v>
      </c>
      <c r="F3653">
        <v>0</v>
      </c>
      <c r="G3653">
        <v>0</v>
      </c>
      <c r="H3653">
        <v>0</v>
      </c>
      <c r="I3653">
        <v>0</v>
      </c>
      <c r="J3653">
        <v>0</v>
      </c>
      <c r="K3653">
        <v>0</v>
      </c>
    </row>
    <row r="3654" spans="1:11" x14ac:dyDescent="0.2">
      <c r="A3654" t="s">
        <v>2091</v>
      </c>
      <c r="B3654">
        <v>0</v>
      </c>
      <c r="C3654">
        <v>0</v>
      </c>
      <c r="D3654">
        <v>0</v>
      </c>
      <c r="E3654">
        <v>0</v>
      </c>
      <c r="F3654">
        <v>0</v>
      </c>
      <c r="G3654">
        <v>0</v>
      </c>
      <c r="H3654">
        <v>0</v>
      </c>
      <c r="I3654">
        <v>0</v>
      </c>
      <c r="J3654">
        <v>0</v>
      </c>
      <c r="K3654">
        <v>0</v>
      </c>
    </row>
    <row r="3655" spans="1:11" x14ac:dyDescent="0.2">
      <c r="A3655" t="s">
        <v>2097</v>
      </c>
      <c r="B3655">
        <v>0</v>
      </c>
      <c r="C3655">
        <v>0</v>
      </c>
      <c r="D3655">
        <v>0</v>
      </c>
      <c r="E3655">
        <v>0</v>
      </c>
      <c r="F3655">
        <v>0</v>
      </c>
      <c r="G3655">
        <v>0</v>
      </c>
      <c r="H3655">
        <v>0</v>
      </c>
      <c r="I3655">
        <v>0</v>
      </c>
      <c r="J3655">
        <v>0</v>
      </c>
      <c r="K3655">
        <v>0</v>
      </c>
    </row>
    <row r="3656" spans="1:11" x14ac:dyDescent="0.2">
      <c r="A3656" t="s">
        <v>2101</v>
      </c>
      <c r="B3656">
        <v>0</v>
      </c>
      <c r="C3656">
        <v>0</v>
      </c>
      <c r="D3656">
        <v>0</v>
      </c>
      <c r="E3656">
        <v>0</v>
      </c>
      <c r="F3656">
        <v>0</v>
      </c>
      <c r="G3656">
        <v>0</v>
      </c>
      <c r="H3656">
        <v>0</v>
      </c>
      <c r="I3656">
        <v>0</v>
      </c>
      <c r="J3656">
        <v>0</v>
      </c>
      <c r="K3656">
        <v>0</v>
      </c>
    </row>
    <row r="3657" spans="1:11" x14ac:dyDescent="0.2">
      <c r="A3657" t="s">
        <v>2104</v>
      </c>
      <c r="B3657">
        <v>0</v>
      </c>
      <c r="C3657">
        <v>0</v>
      </c>
      <c r="D3657">
        <v>0</v>
      </c>
      <c r="E3657">
        <v>0</v>
      </c>
      <c r="F3657">
        <v>0</v>
      </c>
      <c r="G3657">
        <v>0</v>
      </c>
      <c r="H3657">
        <v>0</v>
      </c>
      <c r="I3657">
        <v>0</v>
      </c>
      <c r="J3657">
        <v>0</v>
      </c>
      <c r="K3657">
        <v>0</v>
      </c>
    </row>
    <row r="3658" spans="1:11" x14ac:dyDescent="0.2">
      <c r="A3658" t="s">
        <v>2107</v>
      </c>
      <c r="B3658">
        <v>0</v>
      </c>
      <c r="C3658">
        <v>0</v>
      </c>
      <c r="D3658">
        <v>0</v>
      </c>
      <c r="E3658">
        <v>0</v>
      </c>
      <c r="F3658">
        <v>0</v>
      </c>
      <c r="G3658">
        <v>0</v>
      </c>
      <c r="H3658">
        <v>0</v>
      </c>
      <c r="I3658">
        <v>0</v>
      </c>
      <c r="J3658">
        <v>0</v>
      </c>
      <c r="K3658">
        <v>0</v>
      </c>
    </row>
    <row r="3659" spans="1:11" x14ac:dyDescent="0.2">
      <c r="A3659" t="s">
        <v>2110</v>
      </c>
      <c r="B3659">
        <v>0</v>
      </c>
      <c r="C3659">
        <v>0</v>
      </c>
      <c r="D3659">
        <v>0</v>
      </c>
      <c r="E3659">
        <v>0</v>
      </c>
      <c r="F3659">
        <v>0</v>
      </c>
      <c r="G3659">
        <v>0</v>
      </c>
      <c r="H3659">
        <v>0</v>
      </c>
      <c r="I3659">
        <v>0</v>
      </c>
      <c r="J3659">
        <v>0</v>
      </c>
      <c r="K3659">
        <v>0</v>
      </c>
    </row>
    <row r="3660" spans="1:11" x14ac:dyDescent="0.2">
      <c r="A3660" t="s">
        <v>2113</v>
      </c>
      <c r="B3660">
        <v>0</v>
      </c>
      <c r="C3660">
        <v>0</v>
      </c>
      <c r="D3660">
        <v>0</v>
      </c>
      <c r="E3660">
        <v>0</v>
      </c>
      <c r="F3660">
        <v>0</v>
      </c>
      <c r="G3660">
        <v>0</v>
      </c>
      <c r="H3660">
        <v>0</v>
      </c>
      <c r="I3660">
        <v>0</v>
      </c>
      <c r="J3660">
        <v>0</v>
      </c>
      <c r="K3660">
        <v>0</v>
      </c>
    </row>
    <row r="3661" spans="1:11" x14ac:dyDescent="0.2">
      <c r="A3661" t="s">
        <v>4346</v>
      </c>
      <c r="B3661">
        <v>0</v>
      </c>
      <c r="C3661">
        <v>0</v>
      </c>
      <c r="D3661">
        <v>0</v>
      </c>
      <c r="E3661">
        <v>0</v>
      </c>
      <c r="F3661">
        <v>0</v>
      </c>
      <c r="G3661">
        <v>0</v>
      </c>
      <c r="H3661">
        <v>0</v>
      </c>
      <c r="I3661">
        <v>0</v>
      </c>
      <c r="J3661">
        <v>0</v>
      </c>
      <c r="K3661">
        <v>0</v>
      </c>
    </row>
    <row r="3662" spans="1:11" x14ac:dyDescent="0.2">
      <c r="A3662" t="s">
        <v>4347</v>
      </c>
      <c r="B3662">
        <v>0</v>
      </c>
      <c r="C3662">
        <v>0</v>
      </c>
      <c r="D3662">
        <v>0</v>
      </c>
      <c r="E3662">
        <v>0</v>
      </c>
      <c r="F3662">
        <v>0</v>
      </c>
      <c r="G3662">
        <v>0</v>
      </c>
      <c r="H3662">
        <v>0</v>
      </c>
      <c r="I3662">
        <v>0</v>
      </c>
      <c r="J3662">
        <v>0</v>
      </c>
      <c r="K3662">
        <v>0</v>
      </c>
    </row>
    <row r="3663" spans="1:11" x14ac:dyDescent="0.2">
      <c r="A3663" t="s">
        <v>4348</v>
      </c>
      <c r="B3663">
        <v>0</v>
      </c>
      <c r="C3663">
        <v>0</v>
      </c>
      <c r="D3663">
        <v>0</v>
      </c>
      <c r="E3663">
        <v>0</v>
      </c>
      <c r="F3663">
        <v>0</v>
      </c>
      <c r="G3663">
        <v>0</v>
      </c>
      <c r="H3663">
        <v>0</v>
      </c>
      <c r="I3663">
        <v>0</v>
      </c>
      <c r="J3663">
        <v>0</v>
      </c>
      <c r="K3663">
        <v>0</v>
      </c>
    </row>
    <row r="3664" spans="1:11" x14ac:dyDescent="0.2">
      <c r="A3664" t="s">
        <v>4349</v>
      </c>
      <c r="B3664">
        <v>0</v>
      </c>
      <c r="C3664">
        <v>0</v>
      </c>
      <c r="D3664">
        <v>0</v>
      </c>
      <c r="E3664">
        <v>0</v>
      </c>
      <c r="F3664">
        <v>0</v>
      </c>
      <c r="G3664">
        <v>0</v>
      </c>
      <c r="H3664">
        <v>0</v>
      </c>
      <c r="I3664">
        <v>0</v>
      </c>
      <c r="J3664">
        <v>0</v>
      </c>
      <c r="K3664">
        <v>0</v>
      </c>
    </row>
    <row r="3665" spans="1:11" x14ac:dyDescent="0.2">
      <c r="A3665" t="s">
        <v>4350</v>
      </c>
      <c r="B3665">
        <v>0</v>
      </c>
      <c r="C3665">
        <v>0</v>
      </c>
      <c r="D3665">
        <v>1</v>
      </c>
      <c r="E3665">
        <v>0</v>
      </c>
      <c r="F3665">
        <v>1</v>
      </c>
      <c r="G3665">
        <v>9</v>
      </c>
      <c r="H3665">
        <v>0</v>
      </c>
      <c r="I3665">
        <v>0</v>
      </c>
      <c r="J3665">
        <v>15</v>
      </c>
      <c r="K3665">
        <v>0</v>
      </c>
    </row>
    <row r="3666" spans="1:11" x14ac:dyDescent="0.2">
      <c r="A3666" t="s">
        <v>4351</v>
      </c>
      <c r="B3666">
        <v>0</v>
      </c>
      <c r="C3666">
        <v>0</v>
      </c>
      <c r="D3666">
        <v>0</v>
      </c>
      <c r="E3666">
        <v>0</v>
      </c>
      <c r="F3666">
        <v>0</v>
      </c>
      <c r="G3666">
        <v>0</v>
      </c>
      <c r="H3666">
        <v>0</v>
      </c>
      <c r="I3666">
        <v>0</v>
      </c>
      <c r="J3666">
        <v>0</v>
      </c>
      <c r="K3666">
        <v>0</v>
      </c>
    </row>
    <row r="3667" spans="1:11" x14ac:dyDescent="0.2">
      <c r="A3667" t="s">
        <v>4352</v>
      </c>
      <c r="B3667">
        <v>0</v>
      </c>
      <c r="C3667">
        <v>0</v>
      </c>
      <c r="D3667">
        <v>0</v>
      </c>
      <c r="E3667">
        <v>0</v>
      </c>
      <c r="F3667">
        <v>0</v>
      </c>
      <c r="G3667">
        <v>0</v>
      </c>
      <c r="H3667">
        <v>0</v>
      </c>
      <c r="I3667">
        <v>0</v>
      </c>
      <c r="J3667">
        <v>0</v>
      </c>
      <c r="K3667">
        <v>0</v>
      </c>
    </row>
    <row r="3668" spans="1:11" x14ac:dyDescent="0.2">
      <c r="A3668" t="s">
        <v>4353</v>
      </c>
      <c r="B3668">
        <v>4</v>
      </c>
      <c r="C3668">
        <v>0</v>
      </c>
      <c r="D3668">
        <v>12</v>
      </c>
      <c r="E3668">
        <v>0</v>
      </c>
      <c r="F3668">
        <v>8</v>
      </c>
      <c r="G3668">
        <v>114</v>
      </c>
      <c r="H3668">
        <v>0</v>
      </c>
      <c r="I3668">
        <v>0</v>
      </c>
      <c r="J3668">
        <v>8</v>
      </c>
      <c r="K3668">
        <v>0</v>
      </c>
    </row>
    <row r="3669" spans="1:11" x14ac:dyDescent="0.2">
      <c r="A3669" t="s">
        <v>4354</v>
      </c>
      <c r="B3669">
        <v>4</v>
      </c>
      <c r="C3669">
        <v>0</v>
      </c>
      <c r="D3669">
        <v>13</v>
      </c>
      <c r="E3669">
        <v>0</v>
      </c>
      <c r="F3669">
        <v>9</v>
      </c>
      <c r="G3669">
        <v>128</v>
      </c>
      <c r="H3669">
        <v>0</v>
      </c>
      <c r="I3669">
        <v>0</v>
      </c>
      <c r="J3669">
        <v>5</v>
      </c>
      <c r="K3669">
        <v>0</v>
      </c>
    </row>
    <row r="3670" spans="1:11" x14ac:dyDescent="0.2">
      <c r="A3670" t="s">
        <v>4355</v>
      </c>
      <c r="B3670">
        <v>0</v>
      </c>
      <c r="C3670">
        <v>0</v>
      </c>
      <c r="D3670">
        <v>0</v>
      </c>
      <c r="E3670">
        <v>0</v>
      </c>
      <c r="F3670">
        <v>0</v>
      </c>
      <c r="G3670">
        <v>0</v>
      </c>
      <c r="H3670">
        <v>0</v>
      </c>
      <c r="I3670">
        <v>0</v>
      </c>
      <c r="J3670">
        <v>0</v>
      </c>
      <c r="K3670">
        <v>0</v>
      </c>
    </row>
    <row r="3671" spans="1:11" x14ac:dyDescent="0.2">
      <c r="A3671" t="s">
        <v>4356</v>
      </c>
      <c r="B3671">
        <v>0</v>
      </c>
      <c r="C3671">
        <v>0</v>
      </c>
      <c r="D3671">
        <v>0</v>
      </c>
      <c r="E3671">
        <v>0</v>
      </c>
      <c r="F3671">
        <v>0</v>
      </c>
      <c r="G3671">
        <v>0</v>
      </c>
      <c r="H3671">
        <v>0</v>
      </c>
      <c r="I3671">
        <v>0</v>
      </c>
      <c r="J3671">
        <v>0</v>
      </c>
      <c r="K3671">
        <v>0</v>
      </c>
    </row>
    <row r="3672" spans="1:11" x14ac:dyDescent="0.2">
      <c r="A3672" t="s">
        <v>4357</v>
      </c>
      <c r="B3672">
        <v>0</v>
      </c>
      <c r="C3672">
        <v>0</v>
      </c>
      <c r="D3672">
        <v>0</v>
      </c>
      <c r="E3672">
        <v>0</v>
      </c>
      <c r="F3672">
        <v>0</v>
      </c>
      <c r="G3672">
        <v>0</v>
      </c>
      <c r="H3672">
        <v>0</v>
      </c>
      <c r="I3672">
        <v>0</v>
      </c>
      <c r="J3672">
        <v>2</v>
      </c>
      <c r="K3672">
        <v>0</v>
      </c>
    </row>
    <row r="3673" spans="1:11" x14ac:dyDescent="0.2">
      <c r="A3673" t="s">
        <v>4358</v>
      </c>
      <c r="B3673">
        <v>0</v>
      </c>
      <c r="C3673">
        <v>0</v>
      </c>
      <c r="D3673">
        <v>0</v>
      </c>
      <c r="E3673">
        <v>0</v>
      </c>
      <c r="F3673">
        <v>0</v>
      </c>
      <c r="G3673">
        <v>0</v>
      </c>
      <c r="H3673">
        <v>0</v>
      </c>
      <c r="I3673">
        <v>0</v>
      </c>
      <c r="J3673">
        <v>0</v>
      </c>
      <c r="K3673">
        <v>0</v>
      </c>
    </row>
    <row r="3674" spans="1:11" x14ac:dyDescent="0.2">
      <c r="A3674" t="s">
        <v>4359</v>
      </c>
      <c r="B3674">
        <v>0</v>
      </c>
      <c r="C3674">
        <v>0</v>
      </c>
      <c r="D3674">
        <v>0</v>
      </c>
      <c r="E3674">
        <v>0</v>
      </c>
      <c r="F3674">
        <v>0</v>
      </c>
      <c r="G3674">
        <v>0</v>
      </c>
      <c r="H3674">
        <v>0</v>
      </c>
      <c r="I3674">
        <v>0</v>
      </c>
      <c r="J3674">
        <v>0</v>
      </c>
      <c r="K3674">
        <v>0</v>
      </c>
    </row>
    <row r="3675" spans="1:11" x14ac:dyDescent="0.2">
      <c r="A3675" t="s">
        <v>4360</v>
      </c>
      <c r="B3675">
        <v>0</v>
      </c>
      <c r="C3675">
        <v>0</v>
      </c>
      <c r="D3675">
        <v>0</v>
      </c>
      <c r="E3675">
        <v>0</v>
      </c>
      <c r="F3675">
        <v>0</v>
      </c>
      <c r="G3675">
        <v>0</v>
      </c>
      <c r="H3675">
        <v>0</v>
      </c>
      <c r="I3675">
        <v>0</v>
      </c>
      <c r="J3675">
        <v>1</v>
      </c>
      <c r="K3675">
        <v>0</v>
      </c>
    </row>
    <row r="3676" spans="1:11" x14ac:dyDescent="0.2">
      <c r="A3676" t="s">
        <v>4361</v>
      </c>
      <c r="B3676">
        <v>0</v>
      </c>
      <c r="C3676">
        <v>0</v>
      </c>
      <c r="D3676">
        <v>1</v>
      </c>
      <c r="E3676">
        <v>0</v>
      </c>
      <c r="F3676">
        <v>1</v>
      </c>
      <c r="G3676">
        <v>8</v>
      </c>
      <c r="H3676">
        <v>0</v>
      </c>
      <c r="I3676">
        <v>0</v>
      </c>
      <c r="J3676">
        <v>0</v>
      </c>
      <c r="K3676">
        <v>0</v>
      </c>
    </row>
    <row r="3677" spans="1:11" x14ac:dyDescent="0.2">
      <c r="A3677" t="s">
        <v>4362</v>
      </c>
      <c r="B3677">
        <v>0</v>
      </c>
      <c r="C3677">
        <v>0</v>
      </c>
      <c r="D3677">
        <v>0</v>
      </c>
      <c r="E3677">
        <v>0</v>
      </c>
      <c r="F3677">
        <v>0</v>
      </c>
      <c r="G3677">
        <v>0</v>
      </c>
      <c r="H3677">
        <v>0</v>
      </c>
      <c r="I3677">
        <v>0</v>
      </c>
      <c r="J3677">
        <v>0</v>
      </c>
      <c r="K3677">
        <v>0</v>
      </c>
    </row>
    <row r="3678" spans="1:11" x14ac:dyDescent="0.2">
      <c r="A3678" t="s">
        <v>4363</v>
      </c>
      <c r="B3678">
        <v>0</v>
      </c>
      <c r="C3678">
        <v>0</v>
      </c>
      <c r="D3678">
        <v>0</v>
      </c>
      <c r="E3678">
        <v>0</v>
      </c>
      <c r="F3678">
        <v>0</v>
      </c>
      <c r="G3678">
        <v>0</v>
      </c>
      <c r="H3678">
        <v>0</v>
      </c>
      <c r="I3678">
        <v>0</v>
      </c>
      <c r="J3678">
        <v>0</v>
      </c>
      <c r="K3678">
        <v>0</v>
      </c>
    </row>
    <row r="3679" spans="1:11" x14ac:dyDescent="0.2">
      <c r="A3679" t="s">
        <v>4364</v>
      </c>
      <c r="B3679">
        <v>0</v>
      </c>
      <c r="C3679">
        <v>0</v>
      </c>
      <c r="D3679">
        <v>0</v>
      </c>
      <c r="E3679">
        <v>0</v>
      </c>
      <c r="F3679">
        <v>0</v>
      </c>
      <c r="G3679">
        <v>0</v>
      </c>
      <c r="H3679">
        <v>0</v>
      </c>
      <c r="I3679">
        <v>0</v>
      </c>
      <c r="J3679">
        <v>0</v>
      </c>
      <c r="K3679">
        <v>0</v>
      </c>
    </row>
    <row r="3680" spans="1:11" x14ac:dyDescent="0.2">
      <c r="A3680" t="s">
        <v>4365</v>
      </c>
      <c r="B3680">
        <v>0</v>
      </c>
      <c r="C3680">
        <v>0</v>
      </c>
      <c r="D3680">
        <v>2</v>
      </c>
      <c r="E3680">
        <v>0</v>
      </c>
      <c r="F3680">
        <v>2</v>
      </c>
      <c r="G3680">
        <v>211</v>
      </c>
      <c r="H3680">
        <v>0</v>
      </c>
      <c r="I3680">
        <v>0</v>
      </c>
      <c r="J3680">
        <v>2</v>
      </c>
      <c r="K3680">
        <v>0</v>
      </c>
    </row>
    <row r="3681" spans="1:11" x14ac:dyDescent="0.2">
      <c r="A3681" t="s">
        <v>4366</v>
      </c>
      <c r="B3681">
        <v>0</v>
      </c>
      <c r="C3681">
        <v>0</v>
      </c>
      <c r="D3681">
        <v>0</v>
      </c>
      <c r="E3681">
        <v>0</v>
      </c>
      <c r="F3681">
        <v>0</v>
      </c>
      <c r="G3681">
        <v>0</v>
      </c>
      <c r="H3681">
        <v>0</v>
      </c>
      <c r="I3681">
        <v>0</v>
      </c>
      <c r="J3681">
        <v>0</v>
      </c>
      <c r="K3681">
        <v>0</v>
      </c>
    </row>
    <row r="3682" spans="1:11" x14ac:dyDescent="0.2">
      <c r="A3682" t="s">
        <v>4367</v>
      </c>
      <c r="B3682">
        <v>0</v>
      </c>
      <c r="C3682">
        <v>0</v>
      </c>
      <c r="D3682">
        <v>0</v>
      </c>
      <c r="E3682">
        <v>0</v>
      </c>
      <c r="F3682">
        <v>0</v>
      </c>
      <c r="G3682">
        <v>0</v>
      </c>
      <c r="H3682">
        <v>0</v>
      </c>
      <c r="I3682">
        <v>0</v>
      </c>
      <c r="J3682">
        <v>0</v>
      </c>
      <c r="K3682">
        <v>0</v>
      </c>
    </row>
    <row r="3683" spans="1:11" x14ac:dyDescent="0.2">
      <c r="A3683" t="s">
        <v>4368</v>
      </c>
      <c r="B3683">
        <v>1</v>
      </c>
      <c r="C3683">
        <v>0</v>
      </c>
      <c r="D3683">
        <v>7</v>
      </c>
      <c r="E3683">
        <v>0</v>
      </c>
      <c r="F3683">
        <v>4</v>
      </c>
      <c r="G3683">
        <v>488</v>
      </c>
      <c r="H3683">
        <v>0</v>
      </c>
      <c r="I3683">
        <v>2</v>
      </c>
      <c r="J3683">
        <v>10</v>
      </c>
      <c r="K3683">
        <v>0</v>
      </c>
    </row>
    <row r="3684" spans="1:11" x14ac:dyDescent="0.2">
      <c r="A3684" t="s">
        <v>4369</v>
      </c>
      <c r="B3684">
        <v>8</v>
      </c>
      <c r="C3684">
        <v>0</v>
      </c>
      <c r="D3684">
        <v>28</v>
      </c>
      <c r="E3684">
        <v>0</v>
      </c>
      <c r="F3684">
        <v>18</v>
      </c>
      <c r="G3684">
        <v>597</v>
      </c>
      <c r="H3684">
        <v>0</v>
      </c>
      <c r="I3684">
        <v>3</v>
      </c>
      <c r="J3684">
        <v>57</v>
      </c>
      <c r="K3684">
        <v>0</v>
      </c>
    </row>
    <row r="3685" spans="1:11" x14ac:dyDescent="0.2">
      <c r="A3685" t="s">
        <v>4370</v>
      </c>
      <c r="B3685">
        <v>0</v>
      </c>
      <c r="C3685">
        <v>0</v>
      </c>
      <c r="D3685">
        <v>0</v>
      </c>
      <c r="E3685">
        <v>0</v>
      </c>
      <c r="F3685">
        <v>0</v>
      </c>
      <c r="G3685">
        <v>11</v>
      </c>
      <c r="H3685">
        <v>0</v>
      </c>
      <c r="I3685">
        <v>0</v>
      </c>
      <c r="J3685">
        <v>0</v>
      </c>
      <c r="K3685">
        <v>0</v>
      </c>
    </row>
    <row r="3686" spans="1:11" x14ac:dyDescent="0.2">
      <c r="A3686" t="s">
        <v>4371</v>
      </c>
      <c r="B3686">
        <v>0</v>
      </c>
      <c r="C3686">
        <v>0</v>
      </c>
      <c r="D3686">
        <v>0</v>
      </c>
      <c r="E3686">
        <v>0</v>
      </c>
      <c r="F3686">
        <v>0</v>
      </c>
      <c r="G3686">
        <v>0</v>
      </c>
      <c r="H3686">
        <v>0</v>
      </c>
      <c r="I3686">
        <v>0</v>
      </c>
      <c r="J3686">
        <v>0</v>
      </c>
      <c r="K3686">
        <v>0</v>
      </c>
    </row>
    <row r="3687" spans="1:11" x14ac:dyDescent="0.2">
      <c r="A3687" t="s">
        <v>4372</v>
      </c>
      <c r="B3687">
        <v>0</v>
      </c>
      <c r="C3687">
        <v>0</v>
      </c>
      <c r="D3687">
        <v>0</v>
      </c>
      <c r="E3687">
        <v>0</v>
      </c>
      <c r="F3687">
        <v>0</v>
      </c>
      <c r="G3687">
        <v>0</v>
      </c>
      <c r="H3687">
        <v>0</v>
      </c>
      <c r="I3687">
        <v>0</v>
      </c>
      <c r="J3687">
        <v>0</v>
      </c>
      <c r="K3687">
        <v>0</v>
      </c>
    </row>
    <row r="3688" spans="1:11" x14ac:dyDescent="0.2">
      <c r="A3688" t="s">
        <v>4373</v>
      </c>
      <c r="B3688">
        <v>0</v>
      </c>
      <c r="C3688">
        <v>0</v>
      </c>
      <c r="D3688">
        <v>0</v>
      </c>
      <c r="E3688">
        <v>0</v>
      </c>
      <c r="F3688">
        <v>0</v>
      </c>
      <c r="G3688">
        <v>0</v>
      </c>
      <c r="H3688">
        <v>0</v>
      </c>
      <c r="I3688">
        <v>0</v>
      </c>
      <c r="J3688">
        <v>0</v>
      </c>
      <c r="K3688">
        <v>0</v>
      </c>
    </row>
    <row r="3689" spans="1:11" x14ac:dyDescent="0.2">
      <c r="A3689" t="s">
        <v>4374</v>
      </c>
      <c r="B3689">
        <v>0</v>
      </c>
      <c r="C3689">
        <v>0</v>
      </c>
      <c r="D3689">
        <v>0</v>
      </c>
      <c r="E3689">
        <v>0</v>
      </c>
      <c r="F3689">
        <v>0</v>
      </c>
      <c r="G3689">
        <v>0</v>
      </c>
      <c r="H3689">
        <v>0</v>
      </c>
      <c r="I3689">
        <v>0</v>
      </c>
      <c r="J3689">
        <v>0</v>
      </c>
      <c r="K3689">
        <v>0</v>
      </c>
    </row>
    <row r="3690" spans="1:11" x14ac:dyDescent="0.2">
      <c r="A3690" t="s">
        <v>4375</v>
      </c>
      <c r="B3690">
        <v>0</v>
      </c>
      <c r="C3690">
        <v>0</v>
      </c>
      <c r="D3690">
        <v>0</v>
      </c>
      <c r="E3690">
        <v>0</v>
      </c>
      <c r="F3690">
        <v>0</v>
      </c>
      <c r="G3690">
        <v>0</v>
      </c>
      <c r="H3690">
        <v>0</v>
      </c>
      <c r="I3690">
        <v>0</v>
      </c>
      <c r="J3690">
        <v>0</v>
      </c>
      <c r="K3690">
        <v>0</v>
      </c>
    </row>
    <row r="3691" spans="1:11" x14ac:dyDescent="0.2">
      <c r="A3691" t="s">
        <v>4376</v>
      </c>
      <c r="B3691">
        <v>0</v>
      </c>
      <c r="C3691">
        <v>0</v>
      </c>
      <c r="D3691">
        <v>0</v>
      </c>
      <c r="E3691">
        <v>0</v>
      </c>
      <c r="F3691">
        <v>0</v>
      </c>
      <c r="G3691">
        <v>0</v>
      </c>
      <c r="H3691">
        <v>0</v>
      </c>
      <c r="I3691">
        <v>0</v>
      </c>
      <c r="J3691">
        <v>0</v>
      </c>
      <c r="K3691">
        <v>0</v>
      </c>
    </row>
    <row r="3692" spans="1:11" x14ac:dyDescent="0.2">
      <c r="A3692" t="s">
        <v>4377</v>
      </c>
      <c r="B3692">
        <v>0</v>
      </c>
      <c r="C3692">
        <v>0</v>
      </c>
      <c r="D3692">
        <v>0</v>
      </c>
      <c r="E3692">
        <v>0</v>
      </c>
      <c r="F3692">
        <v>0</v>
      </c>
      <c r="G3692">
        <v>0</v>
      </c>
      <c r="H3692">
        <v>0</v>
      </c>
      <c r="I3692">
        <v>0</v>
      </c>
      <c r="J3692">
        <v>0</v>
      </c>
      <c r="K3692">
        <v>0</v>
      </c>
    </row>
    <row r="3693" spans="1:11" x14ac:dyDescent="0.2">
      <c r="A3693" t="s">
        <v>4854</v>
      </c>
      <c r="B3693">
        <v>7385</v>
      </c>
      <c r="C3693">
        <v>0</v>
      </c>
      <c r="D3693">
        <v>21305</v>
      </c>
      <c r="E3693">
        <v>0</v>
      </c>
      <c r="F3693">
        <v>14181</v>
      </c>
      <c r="G3693">
        <v>283847</v>
      </c>
      <c r="H3693">
        <v>0</v>
      </c>
      <c r="I3693">
        <v>228</v>
      </c>
      <c r="J3693">
        <v>5123</v>
      </c>
      <c r="K3693">
        <v>0</v>
      </c>
    </row>
    <row r="3694" spans="1:11" x14ac:dyDescent="0.2">
      <c r="A3694" t="s">
        <v>2318</v>
      </c>
      <c r="B3694" t="s">
        <v>4399</v>
      </c>
      <c r="C3694" t="s">
        <v>4399</v>
      </c>
      <c r="D3694" t="s">
        <v>4399</v>
      </c>
      <c r="E3694" t="s">
        <v>4399</v>
      </c>
      <c r="F3694" t="s">
        <v>4399</v>
      </c>
      <c r="G3694" t="s">
        <v>4399</v>
      </c>
      <c r="H3694" t="s">
        <v>4399</v>
      </c>
      <c r="I3694" t="s">
        <v>4399</v>
      </c>
      <c r="J3694" t="s">
        <v>4399</v>
      </c>
      <c r="K3694" t="s">
        <v>4399</v>
      </c>
    </row>
    <row r="3695" spans="1:11" x14ac:dyDescent="0.2">
      <c r="A3695" t="s">
        <v>4248</v>
      </c>
    </row>
    <row r="3696" spans="1:11" x14ac:dyDescent="0.2">
      <c r="A3696" t="s">
        <v>4855</v>
      </c>
      <c r="B3696" t="s">
        <v>4856</v>
      </c>
      <c r="C3696" t="s">
        <v>4857</v>
      </c>
      <c r="D3696" t="s">
        <v>4858</v>
      </c>
      <c r="E3696" t="s">
        <v>4859</v>
      </c>
      <c r="F3696" t="s">
        <v>4860</v>
      </c>
      <c r="G3696" t="s">
        <v>4878</v>
      </c>
    </row>
    <row r="3697" spans="1:11" x14ac:dyDescent="0.2">
      <c r="A3697" t="s">
        <v>2318</v>
      </c>
      <c r="B3697" t="s">
        <v>4399</v>
      </c>
      <c r="C3697" t="s">
        <v>4399</v>
      </c>
      <c r="D3697" t="s">
        <v>4399</v>
      </c>
      <c r="E3697" t="s">
        <v>4399</v>
      </c>
      <c r="F3697" t="s">
        <v>4399</v>
      </c>
      <c r="G3697" t="s">
        <v>4399</v>
      </c>
      <c r="H3697" t="s">
        <v>4399</v>
      </c>
      <c r="I3697" t="s">
        <v>4399</v>
      </c>
      <c r="J3697" t="s">
        <v>4399</v>
      </c>
      <c r="K3697" t="s">
        <v>4399</v>
      </c>
    </row>
    <row r="3698" spans="1:11" x14ac:dyDescent="0.2">
      <c r="A3698" t="s">
        <v>126</v>
      </c>
      <c r="B3698" t="s">
        <v>4618</v>
      </c>
      <c r="C3698" t="s">
        <v>4622</v>
      </c>
      <c r="D3698" t="s">
        <v>4626</v>
      </c>
      <c r="E3698" t="s">
        <v>4630</v>
      </c>
      <c r="F3698" t="s">
        <v>4634</v>
      </c>
      <c r="G3698" t="s">
        <v>4638</v>
      </c>
      <c r="H3698" t="s">
        <v>4641</v>
      </c>
      <c r="I3698" t="s">
        <v>4644</v>
      </c>
      <c r="J3698" t="s">
        <v>4648</v>
      </c>
      <c r="K3698" t="s">
        <v>4652</v>
      </c>
    </row>
    <row r="3699" spans="1:11" x14ac:dyDescent="0.2">
      <c r="A3699" t="s">
        <v>2318</v>
      </c>
      <c r="B3699" t="s">
        <v>4399</v>
      </c>
      <c r="C3699" t="s">
        <v>4399</v>
      </c>
      <c r="D3699" t="s">
        <v>4399</v>
      </c>
      <c r="E3699" t="s">
        <v>4399</v>
      </c>
      <c r="F3699" t="s">
        <v>4399</v>
      </c>
      <c r="G3699" t="s">
        <v>4399</v>
      </c>
      <c r="H3699" t="s">
        <v>4399</v>
      </c>
      <c r="I3699" t="s">
        <v>4399</v>
      </c>
      <c r="J3699" t="s">
        <v>4399</v>
      </c>
      <c r="K3699" t="s">
        <v>4399</v>
      </c>
    </row>
    <row r="3700" spans="1:11" x14ac:dyDescent="0.2">
      <c r="A3700" t="s">
        <v>4265</v>
      </c>
      <c r="B3700">
        <v>0</v>
      </c>
      <c r="C3700">
        <v>0</v>
      </c>
      <c r="D3700">
        <v>0</v>
      </c>
      <c r="E3700">
        <v>0</v>
      </c>
      <c r="F3700">
        <v>0</v>
      </c>
      <c r="G3700">
        <v>0</v>
      </c>
      <c r="H3700">
        <v>0</v>
      </c>
      <c r="I3700">
        <v>0</v>
      </c>
      <c r="J3700">
        <v>0</v>
      </c>
      <c r="K3700">
        <v>0</v>
      </c>
    </row>
    <row r="3701" spans="1:11" x14ac:dyDescent="0.2">
      <c r="A3701" t="s">
        <v>4266</v>
      </c>
      <c r="B3701">
        <v>0</v>
      </c>
      <c r="C3701">
        <v>0</v>
      </c>
      <c r="D3701">
        <v>0</v>
      </c>
      <c r="E3701">
        <v>0</v>
      </c>
      <c r="F3701">
        <v>0</v>
      </c>
      <c r="G3701">
        <v>0</v>
      </c>
      <c r="H3701">
        <v>0</v>
      </c>
      <c r="I3701">
        <v>0</v>
      </c>
      <c r="J3701">
        <v>0</v>
      </c>
      <c r="K3701">
        <v>0</v>
      </c>
    </row>
    <row r="3702" spans="1:11" x14ac:dyDescent="0.2">
      <c r="A3702" t="s">
        <v>4267</v>
      </c>
      <c r="B3702">
        <v>0</v>
      </c>
      <c r="C3702">
        <v>1</v>
      </c>
      <c r="D3702">
        <v>133</v>
      </c>
      <c r="E3702">
        <v>0</v>
      </c>
      <c r="F3702">
        <v>0</v>
      </c>
      <c r="G3702">
        <v>1</v>
      </c>
      <c r="H3702">
        <v>225</v>
      </c>
      <c r="I3702">
        <v>0</v>
      </c>
      <c r="J3702">
        <v>0</v>
      </c>
      <c r="K3702">
        <v>0</v>
      </c>
    </row>
    <row r="3703" spans="1:11" x14ac:dyDescent="0.2">
      <c r="A3703" t="s">
        <v>4268</v>
      </c>
      <c r="B3703">
        <v>0</v>
      </c>
      <c r="C3703">
        <v>1</v>
      </c>
      <c r="D3703">
        <v>71</v>
      </c>
      <c r="E3703">
        <v>0</v>
      </c>
      <c r="F3703">
        <v>0</v>
      </c>
      <c r="G3703">
        <v>0</v>
      </c>
      <c r="H3703">
        <v>121</v>
      </c>
      <c r="I3703">
        <v>0</v>
      </c>
      <c r="J3703">
        <v>0</v>
      </c>
      <c r="K3703">
        <v>0</v>
      </c>
    </row>
    <row r="3704" spans="1:11" x14ac:dyDescent="0.2">
      <c r="A3704" t="s">
        <v>4269</v>
      </c>
      <c r="B3704">
        <v>0</v>
      </c>
      <c r="C3704">
        <v>1</v>
      </c>
      <c r="D3704">
        <v>120</v>
      </c>
      <c r="E3704">
        <v>0</v>
      </c>
      <c r="F3704">
        <v>0</v>
      </c>
      <c r="G3704">
        <v>1</v>
      </c>
      <c r="H3704">
        <v>203</v>
      </c>
      <c r="I3704">
        <v>0</v>
      </c>
      <c r="J3704">
        <v>0</v>
      </c>
      <c r="K3704">
        <v>0</v>
      </c>
    </row>
    <row r="3705" spans="1:11" x14ac:dyDescent="0.2">
      <c r="A3705" t="s">
        <v>4270</v>
      </c>
      <c r="B3705">
        <v>0</v>
      </c>
      <c r="C3705">
        <v>0</v>
      </c>
      <c r="D3705">
        <v>0</v>
      </c>
      <c r="E3705">
        <v>0</v>
      </c>
      <c r="F3705">
        <v>0</v>
      </c>
      <c r="G3705">
        <v>0</v>
      </c>
      <c r="H3705">
        <v>0</v>
      </c>
      <c r="I3705">
        <v>0</v>
      </c>
      <c r="J3705">
        <v>0</v>
      </c>
      <c r="K3705">
        <v>0</v>
      </c>
    </row>
    <row r="3706" spans="1:11" x14ac:dyDescent="0.2">
      <c r="A3706" t="s">
        <v>4271</v>
      </c>
      <c r="B3706">
        <v>0</v>
      </c>
      <c r="C3706">
        <v>1</v>
      </c>
      <c r="D3706">
        <v>71</v>
      </c>
      <c r="E3706">
        <v>0</v>
      </c>
      <c r="F3706">
        <v>0</v>
      </c>
      <c r="G3706">
        <v>0</v>
      </c>
      <c r="H3706">
        <v>121</v>
      </c>
      <c r="I3706">
        <v>0</v>
      </c>
      <c r="J3706">
        <v>0</v>
      </c>
      <c r="K3706">
        <v>0</v>
      </c>
    </row>
    <row r="3707" spans="1:11" x14ac:dyDescent="0.2">
      <c r="A3707" t="s">
        <v>4272</v>
      </c>
      <c r="B3707">
        <v>0</v>
      </c>
      <c r="C3707">
        <v>1</v>
      </c>
      <c r="D3707">
        <v>95</v>
      </c>
      <c r="E3707">
        <v>0</v>
      </c>
      <c r="F3707">
        <v>0</v>
      </c>
      <c r="G3707">
        <v>0</v>
      </c>
      <c r="H3707">
        <v>160</v>
      </c>
      <c r="I3707">
        <v>0</v>
      </c>
      <c r="J3707">
        <v>0</v>
      </c>
      <c r="K3707">
        <v>0</v>
      </c>
    </row>
    <row r="3708" spans="1:11" x14ac:dyDescent="0.2">
      <c r="A3708" t="s">
        <v>4273</v>
      </c>
      <c r="B3708">
        <v>0</v>
      </c>
      <c r="C3708">
        <v>0</v>
      </c>
      <c r="D3708">
        <v>0</v>
      </c>
      <c r="E3708">
        <v>0</v>
      </c>
      <c r="F3708">
        <v>0</v>
      </c>
      <c r="G3708">
        <v>0</v>
      </c>
      <c r="H3708">
        <v>0</v>
      </c>
      <c r="I3708">
        <v>0</v>
      </c>
      <c r="J3708">
        <v>0</v>
      </c>
      <c r="K3708">
        <v>0</v>
      </c>
    </row>
    <row r="3709" spans="1:11" x14ac:dyDescent="0.2">
      <c r="A3709" t="s">
        <v>4274</v>
      </c>
      <c r="B3709">
        <v>0</v>
      </c>
      <c r="C3709">
        <v>0</v>
      </c>
      <c r="D3709">
        <v>0</v>
      </c>
      <c r="E3709">
        <v>0</v>
      </c>
      <c r="F3709">
        <v>0</v>
      </c>
      <c r="G3709">
        <v>0</v>
      </c>
      <c r="H3709">
        <v>0</v>
      </c>
      <c r="I3709">
        <v>0</v>
      </c>
      <c r="J3709">
        <v>0</v>
      </c>
      <c r="K3709">
        <v>0</v>
      </c>
    </row>
    <row r="3710" spans="1:11" x14ac:dyDescent="0.2">
      <c r="A3710" t="s">
        <v>4275</v>
      </c>
      <c r="B3710">
        <v>0</v>
      </c>
      <c r="C3710">
        <v>0</v>
      </c>
      <c r="D3710">
        <v>0</v>
      </c>
      <c r="E3710">
        <v>0</v>
      </c>
      <c r="F3710">
        <v>0</v>
      </c>
      <c r="G3710">
        <v>0</v>
      </c>
      <c r="H3710">
        <v>4093</v>
      </c>
      <c r="I3710">
        <v>0</v>
      </c>
      <c r="J3710">
        <v>0</v>
      </c>
      <c r="K3710">
        <v>0</v>
      </c>
    </row>
    <row r="3711" spans="1:11" x14ac:dyDescent="0.2">
      <c r="A3711" t="s">
        <v>4276</v>
      </c>
      <c r="B3711">
        <v>0</v>
      </c>
      <c r="C3711">
        <v>0</v>
      </c>
      <c r="D3711">
        <v>2375</v>
      </c>
      <c r="E3711">
        <v>0</v>
      </c>
      <c r="F3711">
        <v>0</v>
      </c>
      <c r="G3711">
        <v>0</v>
      </c>
      <c r="H3711">
        <v>0</v>
      </c>
      <c r="I3711">
        <v>0</v>
      </c>
      <c r="J3711">
        <v>0</v>
      </c>
      <c r="K3711">
        <v>0</v>
      </c>
    </row>
    <row r="3712" spans="1:11" x14ac:dyDescent="0.2">
      <c r="A3712" t="s">
        <v>4277</v>
      </c>
      <c r="B3712">
        <v>0</v>
      </c>
      <c r="C3712">
        <v>0</v>
      </c>
      <c r="D3712">
        <v>0</v>
      </c>
      <c r="E3712">
        <v>0</v>
      </c>
      <c r="F3712">
        <v>0</v>
      </c>
      <c r="G3712">
        <v>0</v>
      </c>
      <c r="H3712">
        <v>0</v>
      </c>
      <c r="I3712">
        <v>0</v>
      </c>
      <c r="J3712">
        <v>0</v>
      </c>
      <c r="K3712">
        <v>0</v>
      </c>
    </row>
    <row r="3713" spans="1:11" x14ac:dyDescent="0.2">
      <c r="A3713" t="s">
        <v>4278</v>
      </c>
      <c r="B3713">
        <v>0</v>
      </c>
      <c r="C3713">
        <v>0</v>
      </c>
      <c r="D3713">
        <v>0</v>
      </c>
      <c r="E3713">
        <v>0</v>
      </c>
      <c r="F3713">
        <v>0</v>
      </c>
      <c r="G3713">
        <v>0</v>
      </c>
      <c r="H3713">
        <v>0</v>
      </c>
      <c r="I3713">
        <v>0</v>
      </c>
      <c r="J3713">
        <v>0</v>
      </c>
      <c r="K3713">
        <v>0</v>
      </c>
    </row>
    <row r="3714" spans="1:11" x14ac:dyDescent="0.2">
      <c r="A3714" t="s">
        <v>4279</v>
      </c>
      <c r="B3714">
        <v>0</v>
      </c>
      <c r="C3714">
        <v>6</v>
      </c>
      <c r="D3714">
        <v>120</v>
      </c>
      <c r="E3714">
        <v>0</v>
      </c>
      <c r="F3714">
        <v>0</v>
      </c>
      <c r="G3714">
        <v>3</v>
      </c>
      <c r="H3714">
        <v>203</v>
      </c>
      <c r="I3714">
        <v>0</v>
      </c>
      <c r="J3714">
        <v>0</v>
      </c>
      <c r="K3714">
        <v>0</v>
      </c>
    </row>
    <row r="3715" spans="1:11" x14ac:dyDescent="0.2">
      <c r="A3715" t="s">
        <v>4280</v>
      </c>
      <c r="B3715">
        <v>0</v>
      </c>
      <c r="C3715">
        <v>0</v>
      </c>
      <c r="D3715">
        <v>13</v>
      </c>
      <c r="E3715">
        <v>0</v>
      </c>
      <c r="F3715">
        <v>0</v>
      </c>
      <c r="G3715">
        <v>0</v>
      </c>
      <c r="H3715">
        <v>22</v>
      </c>
      <c r="I3715">
        <v>0</v>
      </c>
      <c r="J3715">
        <v>0</v>
      </c>
      <c r="K3715">
        <v>0</v>
      </c>
    </row>
    <row r="3716" spans="1:11" x14ac:dyDescent="0.2">
      <c r="A3716" t="s">
        <v>4281</v>
      </c>
      <c r="B3716">
        <v>0</v>
      </c>
      <c r="C3716">
        <v>67</v>
      </c>
      <c r="D3716">
        <v>2544</v>
      </c>
      <c r="E3716">
        <v>0</v>
      </c>
      <c r="F3716">
        <v>0</v>
      </c>
      <c r="G3716">
        <v>33</v>
      </c>
      <c r="H3716">
        <v>4306</v>
      </c>
      <c r="I3716">
        <v>0</v>
      </c>
      <c r="J3716">
        <v>0</v>
      </c>
      <c r="K3716">
        <v>0</v>
      </c>
    </row>
    <row r="3717" spans="1:11" x14ac:dyDescent="0.2">
      <c r="A3717" t="s">
        <v>4282</v>
      </c>
      <c r="B3717">
        <v>0</v>
      </c>
      <c r="C3717">
        <v>11</v>
      </c>
      <c r="D3717">
        <v>466</v>
      </c>
      <c r="E3717">
        <v>0</v>
      </c>
      <c r="F3717">
        <v>0</v>
      </c>
      <c r="G3717">
        <v>6</v>
      </c>
      <c r="H3717">
        <v>789</v>
      </c>
      <c r="I3717">
        <v>0</v>
      </c>
      <c r="J3717">
        <v>0</v>
      </c>
      <c r="K3717">
        <v>0</v>
      </c>
    </row>
    <row r="3718" spans="1:11" x14ac:dyDescent="0.2">
      <c r="A3718" t="s">
        <v>4283</v>
      </c>
      <c r="B3718">
        <v>0</v>
      </c>
      <c r="C3718">
        <v>48</v>
      </c>
      <c r="D3718">
        <v>1830</v>
      </c>
      <c r="E3718">
        <v>0</v>
      </c>
      <c r="F3718">
        <v>0</v>
      </c>
      <c r="G3718">
        <v>24</v>
      </c>
      <c r="H3718">
        <v>3096</v>
      </c>
      <c r="I3718">
        <v>0</v>
      </c>
      <c r="J3718">
        <v>0</v>
      </c>
      <c r="K3718">
        <v>0</v>
      </c>
    </row>
    <row r="3719" spans="1:11" x14ac:dyDescent="0.2">
      <c r="A3719" t="s">
        <v>4284</v>
      </c>
      <c r="B3719">
        <v>0</v>
      </c>
      <c r="C3719">
        <v>2</v>
      </c>
      <c r="D3719">
        <v>106</v>
      </c>
      <c r="E3719">
        <v>0</v>
      </c>
      <c r="F3719">
        <v>0</v>
      </c>
      <c r="G3719">
        <v>1</v>
      </c>
      <c r="H3719">
        <v>180</v>
      </c>
      <c r="I3719">
        <v>0</v>
      </c>
      <c r="J3719">
        <v>0</v>
      </c>
      <c r="K3719">
        <v>0</v>
      </c>
    </row>
    <row r="3720" spans="1:11" x14ac:dyDescent="0.2">
      <c r="A3720" t="s">
        <v>4285</v>
      </c>
      <c r="B3720">
        <v>0</v>
      </c>
      <c r="C3720">
        <v>24</v>
      </c>
      <c r="D3720">
        <v>990</v>
      </c>
      <c r="E3720">
        <v>0</v>
      </c>
      <c r="F3720">
        <v>0</v>
      </c>
      <c r="G3720">
        <v>12</v>
      </c>
      <c r="H3720">
        <v>1676</v>
      </c>
      <c r="I3720">
        <v>0</v>
      </c>
      <c r="J3720">
        <v>0</v>
      </c>
      <c r="K3720">
        <v>0</v>
      </c>
    </row>
    <row r="3721" spans="1:11" x14ac:dyDescent="0.2">
      <c r="A3721" t="s">
        <v>4286</v>
      </c>
      <c r="B3721">
        <v>0</v>
      </c>
      <c r="C3721">
        <v>1</v>
      </c>
      <c r="D3721">
        <v>39</v>
      </c>
      <c r="E3721">
        <v>0</v>
      </c>
      <c r="F3721">
        <v>0</v>
      </c>
      <c r="G3721">
        <v>0</v>
      </c>
      <c r="H3721">
        <v>67</v>
      </c>
      <c r="I3721">
        <v>0</v>
      </c>
      <c r="J3721">
        <v>0</v>
      </c>
      <c r="K3721">
        <v>0</v>
      </c>
    </row>
    <row r="3722" spans="1:11" x14ac:dyDescent="0.2">
      <c r="A3722" t="s">
        <v>4287</v>
      </c>
      <c r="B3722">
        <v>0</v>
      </c>
      <c r="C3722">
        <v>4</v>
      </c>
      <c r="D3722">
        <v>90</v>
      </c>
      <c r="E3722">
        <v>0</v>
      </c>
      <c r="F3722">
        <v>0</v>
      </c>
      <c r="G3722">
        <v>2</v>
      </c>
      <c r="H3722">
        <v>152</v>
      </c>
      <c r="I3722">
        <v>0</v>
      </c>
      <c r="J3722">
        <v>0</v>
      </c>
      <c r="K3722">
        <v>0</v>
      </c>
    </row>
    <row r="3723" spans="1:11" x14ac:dyDescent="0.2">
      <c r="A3723" t="s">
        <v>4288</v>
      </c>
      <c r="B3723">
        <v>0</v>
      </c>
      <c r="C3723">
        <v>0</v>
      </c>
      <c r="D3723">
        <v>0</v>
      </c>
      <c r="E3723">
        <v>0</v>
      </c>
      <c r="F3723">
        <v>0</v>
      </c>
      <c r="G3723">
        <v>0</v>
      </c>
      <c r="H3723">
        <v>0</v>
      </c>
      <c r="I3723">
        <v>0</v>
      </c>
      <c r="J3723">
        <v>0</v>
      </c>
      <c r="K3723">
        <v>0</v>
      </c>
    </row>
    <row r="3724" spans="1:11" x14ac:dyDescent="0.2">
      <c r="A3724" t="s">
        <v>4289</v>
      </c>
      <c r="B3724">
        <v>0</v>
      </c>
      <c r="C3724">
        <v>0</v>
      </c>
      <c r="D3724">
        <v>0</v>
      </c>
      <c r="E3724">
        <v>0</v>
      </c>
      <c r="F3724">
        <v>0</v>
      </c>
      <c r="G3724">
        <v>0</v>
      </c>
      <c r="H3724">
        <v>0</v>
      </c>
      <c r="I3724">
        <v>0</v>
      </c>
      <c r="J3724">
        <v>0</v>
      </c>
      <c r="K3724">
        <v>0</v>
      </c>
    </row>
    <row r="3725" spans="1:11" x14ac:dyDescent="0.2">
      <c r="A3725" t="s">
        <v>4290</v>
      </c>
      <c r="B3725">
        <v>0</v>
      </c>
      <c r="C3725">
        <v>0</v>
      </c>
      <c r="D3725">
        <v>0</v>
      </c>
      <c r="E3725">
        <v>0</v>
      </c>
      <c r="F3725">
        <v>0</v>
      </c>
      <c r="G3725">
        <v>0</v>
      </c>
      <c r="H3725">
        <v>0</v>
      </c>
      <c r="I3725">
        <v>0</v>
      </c>
      <c r="J3725">
        <v>0</v>
      </c>
      <c r="K3725">
        <v>0</v>
      </c>
    </row>
    <row r="3726" spans="1:11" x14ac:dyDescent="0.2">
      <c r="A3726" t="s">
        <v>4291</v>
      </c>
      <c r="B3726">
        <v>0</v>
      </c>
      <c r="C3726">
        <v>0</v>
      </c>
      <c r="D3726">
        <v>0</v>
      </c>
      <c r="E3726">
        <v>0</v>
      </c>
      <c r="F3726">
        <v>0</v>
      </c>
      <c r="G3726">
        <v>0</v>
      </c>
      <c r="H3726">
        <v>0</v>
      </c>
      <c r="I3726">
        <v>0</v>
      </c>
      <c r="J3726">
        <v>0</v>
      </c>
      <c r="K3726">
        <v>0</v>
      </c>
    </row>
    <row r="3727" spans="1:11" x14ac:dyDescent="0.2">
      <c r="A3727" t="s">
        <v>4292</v>
      </c>
      <c r="B3727">
        <v>0</v>
      </c>
      <c r="C3727">
        <v>0</v>
      </c>
      <c r="D3727">
        <v>0</v>
      </c>
      <c r="E3727">
        <v>0</v>
      </c>
      <c r="F3727">
        <v>0</v>
      </c>
      <c r="G3727">
        <v>0</v>
      </c>
      <c r="H3727">
        <v>0</v>
      </c>
      <c r="I3727">
        <v>0</v>
      </c>
      <c r="J3727">
        <v>0</v>
      </c>
      <c r="K3727">
        <v>0</v>
      </c>
    </row>
    <row r="3728" spans="1:11" x14ac:dyDescent="0.2">
      <c r="A3728" t="s">
        <v>4293</v>
      </c>
      <c r="B3728">
        <v>0</v>
      </c>
      <c r="C3728">
        <v>0</v>
      </c>
      <c r="D3728">
        <v>0</v>
      </c>
      <c r="E3728">
        <v>0</v>
      </c>
      <c r="F3728">
        <v>0</v>
      </c>
      <c r="G3728">
        <v>0</v>
      </c>
      <c r="H3728">
        <v>0</v>
      </c>
      <c r="I3728">
        <v>0</v>
      </c>
      <c r="J3728">
        <v>0</v>
      </c>
      <c r="K3728">
        <v>0</v>
      </c>
    </row>
    <row r="3729" spans="1:11" x14ac:dyDescent="0.2">
      <c r="A3729" t="s">
        <v>4294</v>
      </c>
      <c r="B3729">
        <v>0</v>
      </c>
      <c r="C3729">
        <v>0</v>
      </c>
      <c r="D3729">
        <v>0</v>
      </c>
      <c r="E3729">
        <v>0</v>
      </c>
      <c r="F3729">
        <v>0</v>
      </c>
      <c r="G3729">
        <v>0</v>
      </c>
      <c r="H3729">
        <v>0</v>
      </c>
      <c r="I3729">
        <v>0</v>
      </c>
      <c r="J3729">
        <v>0</v>
      </c>
      <c r="K3729">
        <v>0</v>
      </c>
    </row>
    <row r="3730" spans="1:11" x14ac:dyDescent="0.2">
      <c r="A3730" t="s">
        <v>4295</v>
      </c>
      <c r="B3730">
        <v>0</v>
      </c>
      <c r="C3730">
        <v>0</v>
      </c>
      <c r="D3730">
        <v>0</v>
      </c>
      <c r="E3730">
        <v>0</v>
      </c>
      <c r="F3730">
        <v>0</v>
      </c>
      <c r="G3730">
        <v>0</v>
      </c>
      <c r="H3730">
        <v>0</v>
      </c>
      <c r="I3730">
        <v>0</v>
      </c>
      <c r="J3730">
        <v>0</v>
      </c>
      <c r="K3730">
        <v>0</v>
      </c>
    </row>
    <row r="3731" spans="1:11" x14ac:dyDescent="0.2">
      <c r="A3731" t="s">
        <v>4296</v>
      </c>
      <c r="B3731">
        <v>0</v>
      </c>
      <c r="C3731">
        <v>0</v>
      </c>
      <c r="D3731">
        <v>0</v>
      </c>
      <c r="E3731">
        <v>0</v>
      </c>
      <c r="F3731">
        <v>0</v>
      </c>
      <c r="G3731">
        <v>0</v>
      </c>
      <c r="H3731">
        <v>0</v>
      </c>
      <c r="I3731">
        <v>0</v>
      </c>
      <c r="J3731">
        <v>0</v>
      </c>
      <c r="K3731">
        <v>0</v>
      </c>
    </row>
    <row r="3732" spans="1:11" x14ac:dyDescent="0.2">
      <c r="A3732" t="s">
        <v>4297</v>
      </c>
      <c r="B3732">
        <v>0</v>
      </c>
      <c r="C3732">
        <v>16</v>
      </c>
      <c r="D3732">
        <v>352</v>
      </c>
      <c r="E3732">
        <v>0</v>
      </c>
      <c r="F3732">
        <v>0</v>
      </c>
      <c r="G3732">
        <v>8</v>
      </c>
      <c r="H3732">
        <v>596</v>
      </c>
      <c r="I3732">
        <v>0</v>
      </c>
      <c r="J3732">
        <v>0</v>
      </c>
      <c r="K3732">
        <v>0</v>
      </c>
    </row>
    <row r="3733" spans="1:11" x14ac:dyDescent="0.2">
      <c r="A3733" t="s">
        <v>4298</v>
      </c>
      <c r="B3733">
        <v>0</v>
      </c>
      <c r="C3733">
        <v>3</v>
      </c>
      <c r="D3733">
        <v>116</v>
      </c>
      <c r="E3733">
        <v>0</v>
      </c>
      <c r="F3733">
        <v>0</v>
      </c>
      <c r="G3733">
        <v>2</v>
      </c>
      <c r="H3733">
        <v>197</v>
      </c>
      <c r="I3733">
        <v>0</v>
      </c>
      <c r="J3733">
        <v>0</v>
      </c>
      <c r="K3733">
        <v>0</v>
      </c>
    </row>
    <row r="3734" spans="1:11" x14ac:dyDescent="0.2">
      <c r="A3734" t="s">
        <v>4299</v>
      </c>
      <c r="B3734">
        <v>0</v>
      </c>
      <c r="C3734">
        <v>2</v>
      </c>
      <c r="D3734">
        <v>76</v>
      </c>
      <c r="E3734">
        <v>0</v>
      </c>
      <c r="F3734">
        <v>0</v>
      </c>
      <c r="G3734">
        <v>1</v>
      </c>
      <c r="H3734">
        <v>129</v>
      </c>
      <c r="I3734">
        <v>0</v>
      </c>
      <c r="J3734">
        <v>0</v>
      </c>
      <c r="K3734">
        <v>0</v>
      </c>
    </row>
    <row r="3735" spans="1:11" x14ac:dyDescent="0.2">
      <c r="A3735" t="s">
        <v>4300</v>
      </c>
      <c r="B3735">
        <v>0</v>
      </c>
      <c r="C3735">
        <v>0</v>
      </c>
      <c r="D3735">
        <v>4</v>
      </c>
      <c r="E3735">
        <v>0</v>
      </c>
      <c r="F3735">
        <v>0</v>
      </c>
      <c r="G3735">
        <v>0</v>
      </c>
      <c r="H3735">
        <v>7</v>
      </c>
      <c r="I3735">
        <v>0</v>
      </c>
      <c r="J3735">
        <v>0</v>
      </c>
      <c r="K3735">
        <v>0</v>
      </c>
    </row>
    <row r="3736" spans="1:11" x14ac:dyDescent="0.2">
      <c r="A3736" t="s">
        <v>4301</v>
      </c>
      <c r="B3736">
        <v>0</v>
      </c>
      <c r="C3736">
        <v>11</v>
      </c>
      <c r="D3736">
        <v>244</v>
      </c>
      <c r="E3736">
        <v>0</v>
      </c>
      <c r="F3736">
        <v>0</v>
      </c>
      <c r="G3736">
        <v>5</v>
      </c>
      <c r="H3736">
        <v>414</v>
      </c>
      <c r="I3736">
        <v>0</v>
      </c>
      <c r="J3736">
        <v>0</v>
      </c>
      <c r="K3736">
        <v>0</v>
      </c>
    </row>
    <row r="3737" spans="1:11" x14ac:dyDescent="0.2">
      <c r="A3737" t="s">
        <v>4302</v>
      </c>
      <c r="B3737">
        <v>0</v>
      </c>
      <c r="C3737">
        <v>1</v>
      </c>
      <c r="D3737">
        <v>30</v>
      </c>
      <c r="E3737">
        <v>0</v>
      </c>
      <c r="F3737">
        <v>0</v>
      </c>
      <c r="G3737">
        <v>0</v>
      </c>
      <c r="H3737">
        <v>51</v>
      </c>
      <c r="I3737">
        <v>0</v>
      </c>
      <c r="J3737">
        <v>0</v>
      </c>
      <c r="K3737">
        <v>0</v>
      </c>
    </row>
    <row r="3738" spans="1:11" x14ac:dyDescent="0.2">
      <c r="A3738" t="s">
        <v>4303</v>
      </c>
      <c r="B3738">
        <v>0</v>
      </c>
      <c r="C3738">
        <v>1</v>
      </c>
      <c r="D3738">
        <v>115</v>
      </c>
      <c r="E3738">
        <v>0</v>
      </c>
      <c r="F3738">
        <v>0</v>
      </c>
      <c r="G3738">
        <v>1</v>
      </c>
      <c r="H3738">
        <v>194</v>
      </c>
      <c r="I3738">
        <v>0</v>
      </c>
      <c r="J3738">
        <v>0</v>
      </c>
      <c r="K3738">
        <v>0</v>
      </c>
    </row>
    <row r="3739" spans="1:11" x14ac:dyDescent="0.2">
      <c r="A3739" t="s">
        <v>4304</v>
      </c>
      <c r="B3739">
        <v>0</v>
      </c>
      <c r="C3739">
        <v>0</v>
      </c>
      <c r="D3739">
        <v>0</v>
      </c>
      <c r="E3739">
        <v>0</v>
      </c>
      <c r="F3739">
        <v>0</v>
      </c>
      <c r="G3739">
        <v>0</v>
      </c>
      <c r="H3739">
        <v>1</v>
      </c>
      <c r="I3739">
        <v>0</v>
      </c>
      <c r="J3739">
        <v>0</v>
      </c>
      <c r="K3739">
        <v>0</v>
      </c>
    </row>
    <row r="3740" spans="1:11" x14ac:dyDescent="0.2">
      <c r="A3740" t="s">
        <v>4305</v>
      </c>
      <c r="B3740">
        <v>0</v>
      </c>
      <c r="C3740">
        <v>1</v>
      </c>
      <c r="D3740">
        <v>26</v>
      </c>
      <c r="E3740">
        <v>0</v>
      </c>
      <c r="F3740">
        <v>0</v>
      </c>
      <c r="G3740">
        <v>1</v>
      </c>
      <c r="H3740">
        <v>43</v>
      </c>
      <c r="I3740">
        <v>0</v>
      </c>
      <c r="J3740">
        <v>0</v>
      </c>
      <c r="K3740">
        <v>0</v>
      </c>
    </row>
    <row r="3741" spans="1:11" x14ac:dyDescent="0.2">
      <c r="A3741" t="s">
        <v>4306</v>
      </c>
      <c r="B3741">
        <v>0</v>
      </c>
      <c r="C3741">
        <v>0</v>
      </c>
      <c r="D3741">
        <v>4</v>
      </c>
      <c r="E3741">
        <v>0</v>
      </c>
      <c r="F3741">
        <v>0</v>
      </c>
      <c r="G3741">
        <v>0</v>
      </c>
      <c r="H3741">
        <v>7</v>
      </c>
      <c r="I3741">
        <v>0</v>
      </c>
      <c r="J3741">
        <v>0</v>
      </c>
      <c r="K3741">
        <v>0</v>
      </c>
    </row>
    <row r="3742" spans="1:11" x14ac:dyDescent="0.2">
      <c r="A3742" t="s">
        <v>4307</v>
      </c>
      <c r="B3742">
        <v>0</v>
      </c>
      <c r="C3742">
        <v>2</v>
      </c>
      <c r="D3742">
        <v>227</v>
      </c>
      <c r="E3742">
        <v>0</v>
      </c>
      <c r="F3742">
        <v>0</v>
      </c>
      <c r="G3742">
        <v>1</v>
      </c>
      <c r="H3742">
        <v>384</v>
      </c>
      <c r="I3742">
        <v>0</v>
      </c>
      <c r="J3742">
        <v>0</v>
      </c>
      <c r="K3742">
        <v>0</v>
      </c>
    </row>
    <row r="3743" spans="1:11" x14ac:dyDescent="0.2">
      <c r="A3743" t="s">
        <v>4308</v>
      </c>
      <c r="B3743">
        <v>0</v>
      </c>
      <c r="C3743">
        <v>0</v>
      </c>
      <c r="D3743">
        <v>0</v>
      </c>
      <c r="E3743">
        <v>0</v>
      </c>
      <c r="F3743">
        <v>0</v>
      </c>
      <c r="G3743">
        <v>0</v>
      </c>
      <c r="H3743">
        <v>0</v>
      </c>
      <c r="I3743">
        <v>0</v>
      </c>
      <c r="J3743">
        <v>0</v>
      </c>
      <c r="K3743">
        <v>0</v>
      </c>
    </row>
    <row r="3744" spans="1:11" x14ac:dyDescent="0.2">
      <c r="A3744" t="s">
        <v>4309</v>
      </c>
      <c r="B3744">
        <v>0</v>
      </c>
      <c r="C3744">
        <v>0</v>
      </c>
      <c r="D3744">
        <v>0</v>
      </c>
      <c r="E3744">
        <v>0</v>
      </c>
      <c r="F3744">
        <v>0</v>
      </c>
      <c r="G3744">
        <v>0</v>
      </c>
      <c r="H3744">
        <v>0</v>
      </c>
      <c r="I3744">
        <v>0</v>
      </c>
      <c r="J3744">
        <v>0</v>
      </c>
      <c r="K3744">
        <v>0</v>
      </c>
    </row>
    <row r="3745" spans="1:11" x14ac:dyDescent="0.2">
      <c r="A3745" t="s">
        <v>4310</v>
      </c>
      <c r="B3745">
        <v>0</v>
      </c>
      <c r="C3745">
        <v>0</v>
      </c>
      <c r="D3745">
        <v>0</v>
      </c>
      <c r="E3745">
        <v>0</v>
      </c>
      <c r="F3745">
        <v>0</v>
      </c>
      <c r="G3745">
        <v>0</v>
      </c>
      <c r="H3745">
        <v>0</v>
      </c>
      <c r="I3745">
        <v>0</v>
      </c>
      <c r="J3745">
        <v>0</v>
      </c>
      <c r="K3745">
        <v>0</v>
      </c>
    </row>
    <row r="3746" spans="1:11" x14ac:dyDescent="0.2">
      <c r="A3746" t="s">
        <v>4311</v>
      </c>
      <c r="B3746">
        <v>0</v>
      </c>
      <c r="C3746">
        <v>0</v>
      </c>
      <c r="D3746">
        <v>8</v>
      </c>
      <c r="E3746">
        <v>0</v>
      </c>
      <c r="F3746">
        <v>0</v>
      </c>
      <c r="G3746">
        <v>0</v>
      </c>
      <c r="H3746">
        <v>14</v>
      </c>
      <c r="I3746">
        <v>0</v>
      </c>
      <c r="J3746">
        <v>0</v>
      </c>
      <c r="K3746">
        <v>0</v>
      </c>
    </row>
    <row r="3747" spans="1:11" x14ac:dyDescent="0.2">
      <c r="A3747" t="s">
        <v>4312</v>
      </c>
      <c r="B3747">
        <v>0</v>
      </c>
      <c r="C3747">
        <v>0</v>
      </c>
      <c r="D3747">
        <v>0</v>
      </c>
      <c r="E3747">
        <v>0</v>
      </c>
      <c r="F3747">
        <v>0</v>
      </c>
      <c r="G3747">
        <v>0</v>
      </c>
      <c r="H3747">
        <v>0</v>
      </c>
      <c r="I3747">
        <v>0</v>
      </c>
      <c r="J3747">
        <v>0</v>
      </c>
      <c r="K3747">
        <v>0</v>
      </c>
    </row>
    <row r="3748" spans="1:11" x14ac:dyDescent="0.2">
      <c r="A3748" t="s">
        <v>4313</v>
      </c>
      <c r="B3748">
        <v>0</v>
      </c>
      <c r="C3748">
        <v>0</v>
      </c>
      <c r="D3748">
        <v>0</v>
      </c>
      <c r="E3748">
        <v>0</v>
      </c>
      <c r="F3748">
        <v>0</v>
      </c>
      <c r="G3748">
        <v>0</v>
      </c>
      <c r="H3748">
        <v>0</v>
      </c>
      <c r="I3748">
        <v>0</v>
      </c>
      <c r="J3748">
        <v>0</v>
      </c>
      <c r="K3748">
        <v>0</v>
      </c>
    </row>
    <row r="3749" spans="1:11" x14ac:dyDescent="0.2">
      <c r="A3749" t="s">
        <v>4314</v>
      </c>
      <c r="B3749">
        <v>0</v>
      </c>
      <c r="C3749">
        <v>0</v>
      </c>
      <c r="D3749">
        <v>1</v>
      </c>
      <c r="E3749">
        <v>0</v>
      </c>
      <c r="F3749">
        <v>0</v>
      </c>
      <c r="G3749">
        <v>0</v>
      </c>
      <c r="H3749">
        <v>1</v>
      </c>
      <c r="I3749">
        <v>0</v>
      </c>
      <c r="J3749">
        <v>0</v>
      </c>
      <c r="K3749">
        <v>0</v>
      </c>
    </row>
    <row r="3750" spans="1:11" x14ac:dyDescent="0.2">
      <c r="A3750" t="s">
        <v>4315</v>
      </c>
      <c r="B3750">
        <v>0</v>
      </c>
      <c r="C3750">
        <v>0</v>
      </c>
      <c r="D3750">
        <v>0</v>
      </c>
      <c r="E3750">
        <v>0</v>
      </c>
      <c r="F3750">
        <v>0</v>
      </c>
      <c r="G3750">
        <v>0</v>
      </c>
      <c r="H3750">
        <v>0</v>
      </c>
      <c r="I3750">
        <v>0</v>
      </c>
      <c r="J3750">
        <v>0</v>
      </c>
      <c r="K3750">
        <v>0</v>
      </c>
    </row>
    <row r="3751" spans="1:11" x14ac:dyDescent="0.2">
      <c r="A3751" t="s">
        <v>4316</v>
      </c>
      <c r="B3751">
        <v>0</v>
      </c>
      <c r="C3751">
        <v>0</v>
      </c>
      <c r="D3751">
        <v>0</v>
      </c>
      <c r="E3751">
        <v>0</v>
      </c>
      <c r="F3751">
        <v>0</v>
      </c>
      <c r="G3751">
        <v>0</v>
      </c>
      <c r="H3751">
        <v>0</v>
      </c>
      <c r="I3751">
        <v>0</v>
      </c>
      <c r="J3751">
        <v>0</v>
      </c>
      <c r="K3751">
        <v>0</v>
      </c>
    </row>
    <row r="3752" spans="1:11" x14ac:dyDescent="0.2">
      <c r="A3752" t="s">
        <v>4317</v>
      </c>
      <c r="B3752">
        <v>0</v>
      </c>
      <c r="C3752">
        <v>0</v>
      </c>
      <c r="D3752">
        <v>0</v>
      </c>
      <c r="E3752">
        <v>0</v>
      </c>
      <c r="F3752">
        <v>0</v>
      </c>
      <c r="G3752">
        <v>0</v>
      </c>
      <c r="H3752">
        <v>0</v>
      </c>
      <c r="I3752">
        <v>0</v>
      </c>
      <c r="J3752">
        <v>0</v>
      </c>
      <c r="K3752">
        <v>0</v>
      </c>
    </row>
    <row r="3753" spans="1:11" x14ac:dyDescent="0.2">
      <c r="A3753" t="s">
        <v>4318</v>
      </c>
      <c r="B3753">
        <v>0</v>
      </c>
      <c r="C3753">
        <v>0</v>
      </c>
      <c r="D3753">
        <v>0</v>
      </c>
      <c r="E3753">
        <v>0</v>
      </c>
      <c r="F3753">
        <v>0</v>
      </c>
      <c r="G3753">
        <v>0</v>
      </c>
      <c r="H3753">
        <v>0</v>
      </c>
      <c r="I3753">
        <v>0</v>
      </c>
      <c r="J3753">
        <v>0</v>
      </c>
      <c r="K3753">
        <v>0</v>
      </c>
    </row>
    <row r="3754" spans="1:11" x14ac:dyDescent="0.2">
      <c r="A3754" t="s">
        <v>4319</v>
      </c>
      <c r="B3754">
        <v>0</v>
      </c>
      <c r="C3754">
        <v>0</v>
      </c>
      <c r="D3754">
        <v>0</v>
      </c>
      <c r="E3754">
        <v>0</v>
      </c>
      <c r="F3754">
        <v>0</v>
      </c>
      <c r="G3754">
        <v>0</v>
      </c>
      <c r="H3754">
        <v>0</v>
      </c>
      <c r="I3754">
        <v>0</v>
      </c>
      <c r="J3754">
        <v>0</v>
      </c>
      <c r="K3754">
        <v>0</v>
      </c>
    </row>
    <row r="3755" spans="1:11" x14ac:dyDescent="0.2">
      <c r="A3755" t="s">
        <v>4320</v>
      </c>
      <c r="B3755">
        <v>0</v>
      </c>
      <c r="C3755">
        <v>0</v>
      </c>
      <c r="D3755">
        <v>0</v>
      </c>
      <c r="E3755">
        <v>0</v>
      </c>
      <c r="F3755">
        <v>0</v>
      </c>
      <c r="G3755">
        <v>0</v>
      </c>
      <c r="H3755">
        <v>0</v>
      </c>
      <c r="I3755">
        <v>0</v>
      </c>
      <c r="J3755">
        <v>0</v>
      </c>
      <c r="K3755">
        <v>0</v>
      </c>
    </row>
    <row r="3756" spans="1:11" x14ac:dyDescent="0.2">
      <c r="A3756" t="s">
        <v>4321</v>
      </c>
      <c r="B3756">
        <v>0</v>
      </c>
      <c r="C3756">
        <v>0</v>
      </c>
      <c r="D3756">
        <v>0</v>
      </c>
      <c r="E3756">
        <v>0</v>
      </c>
      <c r="F3756">
        <v>0</v>
      </c>
      <c r="G3756">
        <v>0</v>
      </c>
      <c r="H3756">
        <v>0</v>
      </c>
      <c r="I3756">
        <v>0</v>
      </c>
      <c r="J3756">
        <v>0</v>
      </c>
      <c r="K3756">
        <v>0</v>
      </c>
    </row>
    <row r="3757" spans="1:11" x14ac:dyDescent="0.2">
      <c r="A3757" t="s">
        <v>4322</v>
      </c>
      <c r="B3757">
        <v>0</v>
      </c>
      <c r="C3757">
        <v>0</v>
      </c>
      <c r="D3757">
        <v>0</v>
      </c>
      <c r="E3757">
        <v>0</v>
      </c>
      <c r="F3757">
        <v>0</v>
      </c>
      <c r="G3757">
        <v>0</v>
      </c>
      <c r="H3757">
        <v>0</v>
      </c>
      <c r="I3757">
        <v>0</v>
      </c>
      <c r="J3757">
        <v>0</v>
      </c>
      <c r="K3757">
        <v>0</v>
      </c>
    </row>
    <row r="3758" spans="1:11" x14ac:dyDescent="0.2">
      <c r="A3758" t="s">
        <v>4323</v>
      </c>
      <c r="B3758">
        <v>0</v>
      </c>
      <c r="C3758">
        <v>0</v>
      </c>
      <c r="D3758">
        <v>0</v>
      </c>
      <c r="E3758">
        <v>0</v>
      </c>
      <c r="F3758">
        <v>0</v>
      </c>
      <c r="G3758">
        <v>0</v>
      </c>
      <c r="H3758">
        <v>0</v>
      </c>
      <c r="I3758">
        <v>0</v>
      </c>
      <c r="J3758">
        <v>0</v>
      </c>
      <c r="K3758">
        <v>0</v>
      </c>
    </row>
    <row r="3759" spans="1:11" x14ac:dyDescent="0.2">
      <c r="A3759" t="s">
        <v>4324</v>
      </c>
      <c r="B3759">
        <v>0</v>
      </c>
      <c r="C3759">
        <v>0</v>
      </c>
      <c r="D3759">
        <v>0</v>
      </c>
      <c r="E3759">
        <v>0</v>
      </c>
      <c r="F3759">
        <v>0</v>
      </c>
      <c r="G3759">
        <v>0</v>
      </c>
      <c r="H3759">
        <v>0</v>
      </c>
      <c r="I3759">
        <v>0</v>
      </c>
      <c r="J3759">
        <v>0</v>
      </c>
      <c r="K3759">
        <v>0</v>
      </c>
    </row>
    <row r="3760" spans="1:11" x14ac:dyDescent="0.2">
      <c r="A3760" t="s">
        <v>4325</v>
      </c>
      <c r="B3760">
        <v>0</v>
      </c>
      <c r="C3760">
        <v>0</v>
      </c>
      <c r="D3760">
        <v>0</v>
      </c>
      <c r="E3760">
        <v>0</v>
      </c>
      <c r="F3760">
        <v>0</v>
      </c>
      <c r="G3760">
        <v>0</v>
      </c>
      <c r="H3760">
        <v>0</v>
      </c>
      <c r="I3760">
        <v>0</v>
      </c>
      <c r="J3760">
        <v>0</v>
      </c>
      <c r="K3760">
        <v>0</v>
      </c>
    </row>
    <row r="3761" spans="1:11" x14ac:dyDescent="0.2">
      <c r="A3761" t="s">
        <v>4326</v>
      </c>
      <c r="B3761">
        <v>0</v>
      </c>
      <c r="C3761">
        <v>0</v>
      </c>
      <c r="D3761">
        <v>0</v>
      </c>
      <c r="E3761">
        <v>0</v>
      </c>
      <c r="F3761">
        <v>0</v>
      </c>
      <c r="G3761">
        <v>0</v>
      </c>
      <c r="H3761">
        <v>0</v>
      </c>
      <c r="I3761">
        <v>0</v>
      </c>
      <c r="J3761">
        <v>0</v>
      </c>
      <c r="K3761">
        <v>0</v>
      </c>
    </row>
    <row r="3762" spans="1:11" x14ac:dyDescent="0.2">
      <c r="A3762" t="s">
        <v>4327</v>
      </c>
      <c r="B3762">
        <v>0</v>
      </c>
      <c r="C3762">
        <v>0</v>
      </c>
      <c r="D3762">
        <v>0</v>
      </c>
      <c r="E3762">
        <v>0</v>
      </c>
      <c r="F3762">
        <v>0</v>
      </c>
      <c r="G3762">
        <v>0</v>
      </c>
      <c r="H3762">
        <v>0</v>
      </c>
      <c r="I3762">
        <v>0</v>
      </c>
      <c r="J3762">
        <v>0</v>
      </c>
      <c r="K3762">
        <v>0</v>
      </c>
    </row>
    <row r="3763" spans="1:11" x14ac:dyDescent="0.2">
      <c r="A3763" t="s">
        <v>4328</v>
      </c>
      <c r="B3763">
        <v>0</v>
      </c>
      <c r="C3763">
        <v>0</v>
      </c>
      <c r="D3763">
        <v>0</v>
      </c>
      <c r="E3763">
        <v>0</v>
      </c>
      <c r="F3763">
        <v>0</v>
      </c>
      <c r="G3763">
        <v>0</v>
      </c>
      <c r="H3763">
        <v>0</v>
      </c>
      <c r="I3763">
        <v>0</v>
      </c>
      <c r="J3763">
        <v>0</v>
      </c>
      <c r="K3763">
        <v>0</v>
      </c>
    </row>
    <row r="3764" spans="1:11" x14ac:dyDescent="0.2">
      <c r="A3764" t="s">
        <v>4329</v>
      </c>
      <c r="B3764">
        <v>0</v>
      </c>
      <c r="C3764">
        <v>0</v>
      </c>
      <c r="D3764">
        <v>0</v>
      </c>
      <c r="E3764">
        <v>0</v>
      </c>
      <c r="F3764">
        <v>0</v>
      </c>
      <c r="G3764">
        <v>0</v>
      </c>
      <c r="H3764">
        <v>0</v>
      </c>
      <c r="I3764">
        <v>0</v>
      </c>
      <c r="J3764">
        <v>0</v>
      </c>
      <c r="K3764">
        <v>0</v>
      </c>
    </row>
    <row r="3765" spans="1:11" x14ac:dyDescent="0.2">
      <c r="A3765" t="s">
        <v>4330</v>
      </c>
      <c r="B3765">
        <v>0</v>
      </c>
      <c r="C3765">
        <v>0</v>
      </c>
      <c r="D3765">
        <v>0</v>
      </c>
      <c r="E3765">
        <v>0</v>
      </c>
      <c r="F3765">
        <v>0</v>
      </c>
      <c r="G3765">
        <v>0</v>
      </c>
      <c r="H3765">
        <v>0</v>
      </c>
      <c r="I3765">
        <v>0</v>
      </c>
      <c r="J3765">
        <v>0</v>
      </c>
      <c r="K3765">
        <v>0</v>
      </c>
    </row>
    <row r="3766" spans="1:11" x14ac:dyDescent="0.2">
      <c r="A3766" t="s">
        <v>4331</v>
      </c>
      <c r="B3766">
        <v>0</v>
      </c>
      <c r="C3766">
        <v>0</v>
      </c>
      <c r="D3766">
        <v>0</v>
      </c>
      <c r="E3766">
        <v>0</v>
      </c>
      <c r="F3766">
        <v>0</v>
      </c>
      <c r="G3766">
        <v>0</v>
      </c>
      <c r="H3766">
        <v>0</v>
      </c>
      <c r="I3766">
        <v>0</v>
      </c>
      <c r="J3766">
        <v>0</v>
      </c>
      <c r="K3766">
        <v>0</v>
      </c>
    </row>
    <row r="3767" spans="1:11" x14ac:dyDescent="0.2">
      <c r="A3767" t="s">
        <v>4332</v>
      </c>
      <c r="B3767">
        <v>0</v>
      </c>
      <c r="C3767">
        <v>0</v>
      </c>
      <c r="D3767">
        <v>0</v>
      </c>
      <c r="E3767">
        <v>0</v>
      </c>
      <c r="F3767">
        <v>0</v>
      </c>
      <c r="G3767">
        <v>0</v>
      </c>
      <c r="H3767">
        <v>0</v>
      </c>
      <c r="I3767">
        <v>0</v>
      </c>
      <c r="J3767">
        <v>0</v>
      </c>
      <c r="K3767">
        <v>0</v>
      </c>
    </row>
    <row r="3768" spans="1:11" x14ac:dyDescent="0.2">
      <c r="A3768" t="s">
        <v>4333</v>
      </c>
      <c r="B3768">
        <v>0</v>
      </c>
      <c r="C3768">
        <v>0</v>
      </c>
      <c r="D3768">
        <v>0</v>
      </c>
      <c r="E3768">
        <v>0</v>
      </c>
      <c r="F3768">
        <v>0</v>
      </c>
      <c r="G3768">
        <v>0</v>
      </c>
      <c r="H3768">
        <v>0</v>
      </c>
      <c r="I3768">
        <v>0</v>
      </c>
      <c r="J3768">
        <v>0</v>
      </c>
      <c r="K3768">
        <v>0</v>
      </c>
    </row>
    <row r="3769" spans="1:11" x14ac:dyDescent="0.2">
      <c r="A3769" t="s">
        <v>4334</v>
      </c>
      <c r="B3769">
        <v>0</v>
      </c>
      <c r="C3769">
        <v>0</v>
      </c>
      <c r="D3769">
        <v>0</v>
      </c>
      <c r="E3769">
        <v>0</v>
      </c>
      <c r="F3769">
        <v>0</v>
      </c>
      <c r="G3769">
        <v>0</v>
      </c>
      <c r="H3769">
        <v>0</v>
      </c>
      <c r="I3769">
        <v>0</v>
      </c>
      <c r="J3769">
        <v>0</v>
      </c>
      <c r="K3769">
        <v>0</v>
      </c>
    </row>
    <row r="3770" spans="1:11" x14ac:dyDescent="0.2">
      <c r="A3770" t="s">
        <v>4335</v>
      </c>
      <c r="B3770">
        <v>0</v>
      </c>
      <c r="C3770">
        <v>0</v>
      </c>
      <c r="D3770">
        <v>0</v>
      </c>
      <c r="E3770">
        <v>0</v>
      </c>
      <c r="F3770">
        <v>0</v>
      </c>
      <c r="G3770">
        <v>0</v>
      </c>
      <c r="H3770">
        <v>0</v>
      </c>
      <c r="I3770">
        <v>0</v>
      </c>
      <c r="J3770">
        <v>0</v>
      </c>
      <c r="K3770">
        <v>0</v>
      </c>
    </row>
    <row r="3771" spans="1:11" x14ac:dyDescent="0.2">
      <c r="A3771" t="s">
        <v>4336</v>
      </c>
      <c r="B3771">
        <v>0</v>
      </c>
      <c r="C3771">
        <v>0</v>
      </c>
      <c r="D3771">
        <v>0</v>
      </c>
      <c r="E3771">
        <v>0</v>
      </c>
      <c r="F3771">
        <v>0</v>
      </c>
      <c r="G3771">
        <v>0</v>
      </c>
      <c r="H3771">
        <v>0</v>
      </c>
      <c r="I3771">
        <v>0</v>
      </c>
      <c r="J3771">
        <v>0</v>
      </c>
      <c r="K3771">
        <v>0</v>
      </c>
    </row>
    <row r="3772" spans="1:11" x14ac:dyDescent="0.2">
      <c r="A3772" t="s">
        <v>4337</v>
      </c>
      <c r="B3772">
        <v>0</v>
      </c>
      <c r="C3772">
        <v>0</v>
      </c>
      <c r="D3772">
        <v>0</v>
      </c>
      <c r="E3772">
        <v>0</v>
      </c>
      <c r="F3772">
        <v>0</v>
      </c>
      <c r="G3772">
        <v>0</v>
      </c>
      <c r="H3772">
        <v>0</v>
      </c>
      <c r="I3772">
        <v>0</v>
      </c>
      <c r="J3772">
        <v>0</v>
      </c>
      <c r="K3772">
        <v>0</v>
      </c>
    </row>
    <row r="3773" spans="1:11" x14ac:dyDescent="0.2">
      <c r="A3773" t="s">
        <v>4338</v>
      </c>
      <c r="B3773">
        <v>0</v>
      </c>
      <c r="C3773">
        <v>0</v>
      </c>
      <c r="D3773">
        <v>0</v>
      </c>
      <c r="E3773">
        <v>0</v>
      </c>
      <c r="F3773">
        <v>0</v>
      </c>
      <c r="G3773">
        <v>0</v>
      </c>
      <c r="H3773">
        <v>0</v>
      </c>
      <c r="I3773">
        <v>0</v>
      </c>
      <c r="J3773">
        <v>0</v>
      </c>
      <c r="K3773">
        <v>0</v>
      </c>
    </row>
    <row r="3774" spans="1:11" x14ac:dyDescent="0.2">
      <c r="A3774" t="s">
        <v>4339</v>
      </c>
      <c r="B3774">
        <v>0</v>
      </c>
      <c r="C3774">
        <v>0</v>
      </c>
      <c r="D3774">
        <v>0</v>
      </c>
      <c r="E3774">
        <v>0</v>
      </c>
      <c r="F3774">
        <v>0</v>
      </c>
      <c r="G3774">
        <v>0</v>
      </c>
      <c r="H3774">
        <v>0</v>
      </c>
      <c r="I3774">
        <v>0</v>
      </c>
      <c r="J3774">
        <v>0</v>
      </c>
      <c r="K3774">
        <v>0</v>
      </c>
    </row>
    <row r="3775" spans="1:11" x14ac:dyDescent="0.2">
      <c r="A3775" t="s">
        <v>4340</v>
      </c>
      <c r="B3775">
        <v>0</v>
      </c>
      <c r="C3775">
        <v>0</v>
      </c>
      <c r="D3775">
        <v>0</v>
      </c>
      <c r="E3775">
        <v>0</v>
      </c>
      <c r="F3775">
        <v>0</v>
      </c>
      <c r="G3775">
        <v>0</v>
      </c>
      <c r="H3775">
        <v>0</v>
      </c>
      <c r="I3775">
        <v>0</v>
      </c>
      <c r="J3775">
        <v>0</v>
      </c>
      <c r="K3775">
        <v>0</v>
      </c>
    </row>
    <row r="3776" spans="1:11" x14ac:dyDescent="0.2">
      <c r="A3776" t="s">
        <v>4341</v>
      </c>
      <c r="B3776">
        <v>0</v>
      </c>
      <c r="C3776">
        <v>0</v>
      </c>
      <c r="D3776">
        <v>0</v>
      </c>
      <c r="E3776">
        <v>0</v>
      </c>
      <c r="F3776">
        <v>0</v>
      </c>
      <c r="G3776">
        <v>0</v>
      </c>
      <c r="H3776">
        <v>0</v>
      </c>
      <c r="I3776">
        <v>0</v>
      </c>
      <c r="J3776">
        <v>0</v>
      </c>
      <c r="K3776">
        <v>0</v>
      </c>
    </row>
    <row r="3777" spans="1:11" x14ac:dyDescent="0.2">
      <c r="A3777" t="s">
        <v>4342</v>
      </c>
      <c r="B3777">
        <v>0</v>
      </c>
      <c r="C3777">
        <v>0</v>
      </c>
      <c r="D3777">
        <v>0</v>
      </c>
      <c r="E3777">
        <v>0</v>
      </c>
      <c r="F3777">
        <v>0</v>
      </c>
      <c r="G3777">
        <v>0</v>
      </c>
      <c r="H3777">
        <v>0</v>
      </c>
      <c r="I3777">
        <v>0</v>
      </c>
      <c r="J3777">
        <v>0</v>
      </c>
      <c r="K3777">
        <v>0</v>
      </c>
    </row>
    <row r="3778" spans="1:11" x14ac:dyDescent="0.2">
      <c r="A3778" t="s">
        <v>4343</v>
      </c>
      <c r="B3778">
        <v>0</v>
      </c>
      <c r="C3778">
        <v>0</v>
      </c>
      <c r="D3778">
        <v>0</v>
      </c>
      <c r="E3778">
        <v>0</v>
      </c>
      <c r="F3778">
        <v>0</v>
      </c>
      <c r="G3778">
        <v>0</v>
      </c>
      <c r="H3778">
        <v>0</v>
      </c>
      <c r="I3778">
        <v>0</v>
      </c>
      <c r="J3778">
        <v>0</v>
      </c>
      <c r="K3778">
        <v>0</v>
      </c>
    </row>
    <row r="3779" spans="1:11" x14ac:dyDescent="0.2">
      <c r="A3779" t="s">
        <v>1728</v>
      </c>
      <c r="B3779">
        <v>0</v>
      </c>
      <c r="C3779">
        <v>0</v>
      </c>
      <c r="D3779">
        <v>0</v>
      </c>
      <c r="E3779">
        <v>0</v>
      </c>
      <c r="F3779">
        <v>0</v>
      </c>
      <c r="G3779">
        <v>0</v>
      </c>
      <c r="H3779">
        <v>0</v>
      </c>
      <c r="I3779">
        <v>0</v>
      </c>
      <c r="J3779">
        <v>0</v>
      </c>
      <c r="K3779">
        <v>0</v>
      </c>
    </row>
    <row r="3780" spans="1:11" x14ac:dyDescent="0.2">
      <c r="A3780" t="s">
        <v>1730</v>
      </c>
      <c r="B3780">
        <v>0</v>
      </c>
      <c r="C3780">
        <v>0</v>
      </c>
      <c r="D3780">
        <v>5</v>
      </c>
      <c r="E3780">
        <v>0</v>
      </c>
      <c r="F3780">
        <v>0</v>
      </c>
      <c r="G3780">
        <v>0</v>
      </c>
      <c r="H3780">
        <v>9</v>
      </c>
      <c r="I3780">
        <v>0</v>
      </c>
      <c r="J3780">
        <v>0</v>
      </c>
      <c r="K3780">
        <v>0</v>
      </c>
    </row>
    <row r="3781" spans="1:11" x14ac:dyDescent="0.2">
      <c r="A3781" t="s">
        <v>1733</v>
      </c>
      <c r="B3781">
        <v>0</v>
      </c>
      <c r="C3781">
        <v>0</v>
      </c>
      <c r="D3781">
        <v>0</v>
      </c>
      <c r="E3781">
        <v>0</v>
      </c>
      <c r="F3781">
        <v>0</v>
      </c>
      <c r="G3781">
        <v>0</v>
      </c>
      <c r="H3781">
        <v>0</v>
      </c>
      <c r="I3781">
        <v>0</v>
      </c>
      <c r="J3781">
        <v>0</v>
      </c>
      <c r="K3781">
        <v>0</v>
      </c>
    </row>
    <row r="3782" spans="1:11" x14ac:dyDescent="0.2">
      <c r="A3782" t="s">
        <v>1738</v>
      </c>
      <c r="B3782">
        <v>0</v>
      </c>
      <c r="C3782">
        <v>0</v>
      </c>
      <c r="D3782">
        <v>0</v>
      </c>
      <c r="E3782">
        <v>0</v>
      </c>
      <c r="F3782">
        <v>0</v>
      </c>
      <c r="G3782">
        <v>0</v>
      </c>
      <c r="H3782">
        <v>0</v>
      </c>
      <c r="I3782">
        <v>0</v>
      </c>
      <c r="J3782">
        <v>0</v>
      </c>
      <c r="K3782">
        <v>0</v>
      </c>
    </row>
    <row r="3783" spans="1:11" x14ac:dyDescent="0.2">
      <c r="A3783" t="s">
        <v>1744</v>
      </c>
      <c r="B3783">
        <v>0</v>
      </c>
      <c r="C3783">
        <v>0</v>
      </c>
      <c r="D3783">
        <v>0</v>
      </c>
      <c r="E3783">
        <v>0</v>
      </c>
      <c r="F3783">
        <v>0</v>
      </c>
      <c r="G3783">
        <v>0</v>
      </c>
      <c r="H3783">
        <v>0</v>
      </c>
      <c r="I3783">
        <v>0</v>
      </c>
      <c r="J3783">
        <v>0</v>
      </c>
      <c r="K3783">
        <v>0</v>
      </c>
    </row>
    <row r="3784" spans="1:11" x14ac:dyDescent="0.2">
      <c r="A3784" t="s">
        <v>1747</v>
      </c>
      <c r="B3784">
        <v>0</v>
      </c>
      <c r="C3784">
        <v>0</v>
      </c>
      <c r="D3784">
        <v>0</v>
      </c>
      <c r="E3784">
        <v>0</v>
      </c>
      <c r="F3784">
        <v>0</v>
      </c>
      <c r="G3784">
        <v>0</v>
      </c>
      <c r="H3784">
        <v>0</v>
      </c>
      <c r="I3784">
        <v>0</v>
      </c>
      <c r="J3784">
        <v>0</v>
      </c>
      <c r="K3784">
        <v>0</v>
      </c>
    </row>
    <row r="3785" spans="1:11" x14ac:dyDescent="0.2">
      <c r="A3785" t="s">
        <v>1751</v>
      </c>
      <c r="B3785">
        <v>0</v>
      </c>
      <c r="C3785">
        <v>0</v>
      </c>
      <c r="D3785">
        <v>0</v>
      </c>
      <c r="E3785">
        <v>0</v>
      </c>
      <c r="F3785">
        <v>0</v>
      </c>
      <c r="G3785">
        <v>0</v>
      </c>
      <c r="H3785">
        <v>0</v>
      </c>
      <c r="I3785">
        <v>0</v>
      </c>
      <c r="J3785">
        <v>0</v>
      </c>
      <c r="K3785">
        <v>0</v>
      </c>
    </row>
    <row r="3786" spans="1:11" x14ac:dyDescent="0.2">
      <c r="A3786" t="s">
        <v>1755</v>
      </c>
      <c r="B3786">
        <v>0</v>
      </c>
      <c r="C3786">
        <v>0</v>
      </c>
      <c r="D3786">
        <v>0</v>
      </c>
      <c r="E3786">
        <v>0</v>
      </c>
      <c r="F3786">
        <v>0</v>
      </c>
      <c r="G3786">
        <v>0</v>
      </c>
      <c r="H3786">
        <v>0</v>
      </c>
      <c r="I3786">
        <v>0</v>
      </c>
      <c r="J3786">
        <v>0</v>
      </c>
      <c r="K3786">
        <v>0</v>
      </c>
    </row>
    <row r="3787" spans="1:11" x14ac:dyDescent="0.2">
      <c r="A3787" t="s">
        <v>1757</v>
      </c>
      <c r="B3787">
        <v>0</v>
      </c>
      <c r="C3787">
        <v>0</v>
      </c>
      <c r="D3787">
        <v>0</v>
      </c>
      <c r="E3787">
        <v>0</v>
      </c>
      <c r="F3787">
        <v>0</v>
      </c>
      <c r="G3787">
        <v>0</v>
      </c>
      <c r="H3787">
        <v>0</v>
      </c>
      <c r="I3787">
        <v>0</v>
      </c>
      <c r="J3787">
        <v>0</v>
      </c>
      <c r="K3787">
        <v>0</v>
      </c>
    </row>
    <row r="3788" spans="1:11" x14ac:dyDescent="0.2">
      <c r="A3788" t="s">
        <v>1761</v>
      </c>
      <c r="B3788">
        <v>0</v>
      </c>
      <c r="C3788">
        <v>0</v>
      </c>
      <c r="D3788">
        <v>0</v>
      </c>
      <c r="E3788">
        <v>0</v>
      </c>
      <c r="F3788">
        <v>0</v>
      </c>
      <c r="G3788">
        <v>0</v>
      </c>
      <c r="H3788">
        <v>0</v>
      </c>
      <c r="I3788">
        <v>0</v>
      </c>
      <c r="J3788">
        <v>0</v>
      </c>
      <c r="K3788">
        <v>0</v>
      </c>
    </row>
    <row r="3789" spans="1:11" x14ac:dyDescent="0.2">
      <c r="A3789" t="s">
        <v>1764</v>
      </c>
      <c r="B3789">
        <v>0</v>
      </c>
      <c r="C3789">
        <v>0</v>
      </c>
      <c r="D3789">
        <v>0</v>
      </c>
      <c r="E3789">
        <v>0</v>
      </c>
      <c r="F3789">
        <v>0</v>
      </c>
      <c r="G3789">
        <v>0</v>
      </c>
      <c r="H3789">
        <v>0</v>
      </c>
      <c r="I3789">
        <v>0</v>
      </c>
      <c r="J3789">
        <v>0</v>
      </c>
      <c r="K3789">
        <v>0</v>
      </c>
    </row>
    <row r="3790" spans="1:11" x14ac:dyDescent="0.2">
      <c r="A3790" t="s">
        <v>1770</v>
      </c>
      <c r="B3790">
        <v>0</v>
      </c>
      <c r="C3790">
        <v>1</v>
      </c>
      <c r="D3790">
        <v>13</v>
      </c>
      <c r="E3790">
        <v>0</v>
      </c>
      <c r="F3790">
        <v>0</v>
      </c>
      <c r="G3790">
        <v>0</v>
      </c>
      <c r="H3790">
        <v>22</v>
      </c>
      <c r="I3790">
        <v>0</v>
      </c>
      <c r="J3790">
        <v>0</v>
      </c>
      <c r="K3790">
        <v>0</v>
      </c>
    </row>
    <row r="3791" spans="1:11" x14ac:dyDescent="0.2">
      <c r="A3791" t="s">
        <v>1772</v>
      </c>
      <c r="B3791">
        <v>0</v>
      </c>
      <c r="C3791">
        <v>0</v>
      </c>
      <c r="D3791">
        <v>0</v>
      </c>
      <c r="E3791">
        <v>0</v>
      </c>
      <c r="F3791">
        <v>0</v>
      </c>
      <c r="G3791">
        <v>0</v>
      </c>
      <c r="H3791">
        <v>0</v>
      </c>
      <c r="I3791">
        <v>0</v>
      </c>
      <c r="J3791">
        <v>0</v>
      </c>
      <c r="K3791">
        <v>0</v>
      </c>
    </row>
    <row r="3792" spans="1:11" x14ac:dyDescent="0.2">
      <c r="A3792" t="s">
        <v>1774</v>
      </c>
      <c r="B3792">
        <v>0</v>
      </c>
      <c r="C3792">
        <v>0</v>
      </c>
      <c r="D3792">
        <v>0</v>
      </c>
      <c r="E3792">
        <v>0</v>
      </c>
      <c r="F3792">
        <v>0</v>
      </c>
      <c r="G3792">
        <v>0</v>
      </c>
      <c r="H3792">
        <v>0</v>
      </c>
      <c r="I3792">
        <v>0</v>
      </c>
      <c r="J3792">
        <v>0</v>
      </c>
      <c r="K3792">
        <v>0</v>
      </c>
    </row>
    <row r="3793" spans="1:11" x14ac:dyDescent="0.2">
      <c r="A3793" t="s">
        <v>1777</v>
      </c>
      <c r="B3793">
        <v>0</v>
      </c>
      <c r="C3793">
        <v>0</v>
      </c>
      <c r="D3793">
        <v>0</v>
      </c>
      <c r="E3793">
        <v>0</v>
      </c>
      <c r="F3793">
        <v>0</v>
      </c>
      <c r="G3793">
        <v>0</v>
      </c>
      <c r="H3793">
        <v>0</v>
      </c>
      <c r="I3793">
        <v>0</v>
      </c>
      <c r="J3793">
        <v>0</v>
      </c>
      <c r="K3793">
        <v>0</v>
      </c>
    </row>
    <row r="3794" spans="1:11" x14ac:dyDescent="0.2">
      <c r="A3794" t="s">
        <v>1782</v>
      </c>
      <c r="B3794">
        <v>0</v>
      </c>
      <c r="C3794">
        <v>0</v>
      </c>
      <c r="D3794">
        <v>0</v>
      </c>
      <c r="E3794">
        <v>0</v>
      </c>
      <c r="F3794">
        <v>0</v>
      </c>
      <c r="G3794">
        <v>0</v>
      </c>
      <c r="H3794">
        <v>0</v>
      </c>
      <c r="I3794">
        <v>0</v>
      </c>
      <c r="J3794">
        <v>0</v>
      </c>
      <c r="K3794">
        <v>0</v>
      </c>
    </row>
    <row r="3795" spans="1:11" x14ac:dyDescent="0.2">
      <c r="A3795" t="s">
        <v>1274</v>
      </c>
      <c r="B3795">
        <v>0</v>
      </c>
      <c r="C3795">
        <v>0</v>
      </c>
      <c r="D3795">
        <v>0</v>
      </c>
      <c r="E3795">
        <v>0</v>
      </c>
      <c r="F3795">
        <v>0</v>
      </c>
      <c r="G3795">
        <v>0</v>
      </c>
      <c r="H3795">
        <v>0</v>
      </c>
      <c r="I3795">
        <v>0</v>
      </c>
      <c r="J3795">
        <v>0</v>
      </c>
      <c r="K3795">
        <v>0</v>
      </c>
    </row>
    <row r="3796" spans="1:11" x14ac:dyDescent="0.2">
      <c r="A3796" t="s">
        <v>1277</v>
      </c>
      <c r="B3796">
        <v>0</v>
      </c>
      <c r="C3796">
        <v>0</v>
      </c>
      <c r="D3796">
        <v>0</v>
      </c>
      <c r="E3796">
        <v>0</v>
      </c>
      <c r="F3796">
        <v>0</v>
      </c>
      <c r="G3796">
        <v>0</v>
      </c>
      <c r="H3796">
        <v>0</v>
      </c>
      <c r="I3796">
        <v>0</v>
      </c>
      <c r="J3796">
        <v>0</v>
      </c>
      <c r="K3796">
        <v>0</v>
      </c>
    </row>
    <row r="3797" spans="1:11" x14ac:dyDescent="0.2">
      <c r="A3797" t="s">
        <v>1798</v>
      </c>
      <c r="B3797">
        <v>0</v>
      </c>
      <c r="C3797">
        <v>0</v>
      </c>
      <c r="D3797">
        <v>0</v>
      </c>
      <c r="E3797">
        <v>0</v>
      </c>
      <c r="F3797">
        <v>0</v>
      </c>
      <c r="G3797">
        <v>0</v>
      </c>
      <c r="H3797">
        <v>0</v>
      </c>
      <c r="I3797">
        <v>0</v>
      </c>
      <c r="J3797">
        <v>0</v>
      </c>
      <c r="K3797">
        <v>0</v>
      </c>
    </row>
    <row r="3798" spans="1:11" x14ac:dyDescent="0.2">
      <c r="A3798" t="s">
        <v>1803</v>
      </c>
      <c r="B3798">
        <v>0</v>
      </c>
      <c r="C3798">
        <v>0</v>
      </c>
      <c r="D3798">
        <v>0</v>
      </c>
      <c r="E3798">
        <v>0</v>
      </c>
      <c r="F3798">
        <v>0</v>
      </c>
      <c r="G3798">
        <v>0</v>
      </c>
      <c r="H3798">
        <v>0</v>
      </c>
      <c r="I3798">
        <v>0</v>
      </c>
      <c r="J3798">
        <v>0</v>
      </c>
      <c r="K3798">
        <v>0</v>
      </c>
    </row>
    <row r="3799" spans="1:11" x14ac:dyDescent="0.2">
      <c r="A3799" t="s">
        <v>1808</v>
      </c>
      <c r="B3799">
        <v>0</v>
      </c>
      <c r="C3799">
        <v>0</v>
      </c>
      <c r="D3799">
        <v>0</v>
      </c>
      <c r="E3799">
        <v>0</v>
      </c>
      <c r="F3799">
        <v>0</v>
      </c>
      <c r="G3799">
        <v>0</v>
      </c>
      <c r="H3799">
        <v>0</v>
      </c>
      <c r="I3799">
        <v>0</v>
      </c>
      <c r="J3799">
        <v>0</v>
      </c>
      <c r="K3799">
        <v>0</v>
      </c>
    </row>
    <row r="3800" spans="1:11" x14ac:dyDescent="0.2">
      <c r="A3800" t="s">
        <v>1813</v>
      </c>
      <c r="B3800">
        <v>0</v>
      </c>
      <c r="C3800">
        <v>0</v>
      </c>
      <c r="D3800">
        <v>0</v>
      </c>
      <c r="E3800">
        <v>0</v>
      </c>
      <c r="F3800">
        <v>0</v>
      </c>
      <c r="G3800">
        <v>0</v>
      </c>
      <c r="H3800">
        <v>0</v>
      </c>
      <c r="I3800">
        <v>0</v>
      </c>
      <c r="J3800">
        <v>0</v>
      </c>
      <c r="K3800">
        <v>0</v>
      </c>
    </row>
    <row r="3801" spans="1:11" x14ac:dyDescent="0.2">
      <c r="A3801" t="s">
        <v>1819</v>
      </c>
      <c r="B3801">
        <v>0</v>
      </c>
      <c r="C3801">
        <v>0</v>
      </c>
      <c r="D3801">
        <v>0</v>
      </c>
      <c r="E3801">
        <v>0</v>
      </c>
      <c r="F3801">
        <v>0</v>
      </c>
      <c r="G3801">
        <v>0</v>
      </c>
      <c r="H3801">
        <v>0</v>
      </c>
      <c r="I3801">
        <v>0</v>
      </c>
      <c r="J3801">
        <v>0</v>
      </c>
      <c r="K3801">
        <v>0</v>
      </c>
    </row>
    <row r="3802" spans="1:11" x14ac:dyDescent="0.2">
      <c r="A3802" t="s">
        <v>1826</v>
      </c>
      <c r="B3802">
        <v>0</v>
      </c>
      <c r="C3802">
        <v>0</v>
      </c>
      <c r="D3802">
        <v>0</v>
      </c>
      <c r="E3802">
        <v>0</v>
      </c>
      <c r="F3802">
        <v>0</v>
      </c>
      <c r="G3802">
        <v>0</v>
      </c>
      <c r="H3802">
        <v>0</v>
      </c>
      <c r="I3802">
        <v>0</v>
      </c>
      <c r="J3802">
        <v>0</v>
      </c>
      <c r="K3802">
        <v>0</v>
      </c>
    </row>
    <row r="3803" spans="1:11" x14ac:dyDescent="0.2">
      <c r="A3803" t="s">
        <v>1830</v>
      </c>
      <c r="B3803">
        <v>0</v>
      </c>
      <c r="C3803">
        <v>0</v>
      </c>
      <c r="D3803">
        <v>0</v>
      </c>
      <c r="E3803">
        <v>0</v>
      </c>
      <c r="F3803">
        <v>0</v>
      </c>
      <c r="G3803">
        <v>0</v>
      </c>
      <c r="H3803">
        <v>0</v>
      </c>
      <c r="I3803">
        <v>0</v>
      </c>
      <c r="J3803">
        <v>0</v>
      </c>
      <c r="K3803">
        <v>0</v>
      </c>
    </row>
    <row r="3804" spans="1:11" x14ac:dyDescent="0.2">
      <c r="A3804" t="s">
        <v>1836</v>
      </c>
      <c r="B3804">
        <v>0</v>
      </c>
      <c r="C3804">
        <v>0</v>
      </c>
      <c r="D3804">
        <v>0</v>
      </c>
      <c r="E3804">
        <v>0</v>
      </c>
      <c r="F3804">
        <v>0</v>
      </c>
      <c r="G3804">
        <v>0</v>
      </c>
      <c r="H3804">
        <v>0</v>
      </c>
      <c r="I3804">
        <v>0</v>
      </c>
      <c r="J3804">
        <v>0</v>
      </c>
      <c r="K3804">
        <v>0</v>
      </c>
    </row>
    <row r="3805" spans="1:11" x14ac:dyDescent="0.2">
      <c r="A3805" t="s">
        <v>1841</v>
      </c>
      <c r="B3805">
        <v>0</v>
      </c>
      <c r="C3805">
        <v>0</v>
      </c>
      <c r="D3805">
        <v>0</v>
      </c>
      <c r="E3805">
        <v>0</v>
      </c>
      <c r="F3805">
        <v>0</v>
      </c>
      <c r="G3805">
        <v>0</v>
      </c>
      <c r="H3805">
        <v>0</v>
      </c>
      <c r="I3805">
        <v>0</v>
      </c>
      <c r="J3805">
        <v>0</v>
      </c>
      <c r="K3805">
        <v>0</v>
      </c>
    </row>
    <row r="3806" spans="1:11" x14ac:dyDescent="0.2">
      <c r="A3806" t="s">
        <v>1842</v>
      </c>
      <c r="B3806">
        <v>0</v>
      </c>
      <c r="C3806">
        <v>0</v>
      </c>
      <c r="D3806">
        <v>0</v>
      </c>
      <c r="E3806">
        <v>0</v>
      </c>
      <c r="F3806">
        <v>0</v>
      </c>
      <c r="G3806">
        <v>0</v>
      </c>
      <c r="H3806">
        <v>0</v>
      </c>
      <c r="I3806">
        <v>0</v>
      </c>
      <c r="J3806">
        <v>0</v>
      </c>
      <c r="K3806">
        <v>0</v>
      </c>
    </row>
    <row r="3807" spans="1:11" x14ac:dyDescent="0.2">
      <c r="A3807" t="s">
        <v>1843</v>
      </c>
      <c r="B3807">
        <v>0</v>
      </c>
      <c r="C3807">
        <v>0</v>
      </c>
      <c r="D3807">
        <v>0</v>
      </c>
      <c r="E3807">
        <v>0</v>
      </c>
      <c r="F3807">
        <v>0</v>
      </c>
      <c r="G3807">
        <v>0</v>
      </c>
      <c r="H3807">
        <v>0</v>
      </c>
      <c r="I3807">
        <v>0</v>
      </c>
      <c r="J3807">
        <v>0</v>
      </c>
      <c r="K3807">
        <v>0</v>
      </c>
    </row>
    <row r="3808" spans="1:11" x14ac:dyDescent="0.2">
      <c r="A3808" t="s">
        <v>1846</v>
      </c>
      <c r="B3808">
        <v>0</v>
      </c>
      <c r="C3808">
        <v>0</v>
      </c>
      <c r="D3808">
        <v>0</v>
      </c>
      <c r="E3808">
        <v>0</v>
      </c>
      <c r="F3808">
        <v>0</v>
      </c>
      <c r="G3808">
        <v>0</v>
      </c>
      <c r="H3808">
        <v>0</v>
      </c>
      <c r="I3808">
        <v>0</v>
      </c>
      <c r="J3808">
        <v>0</v>
      </c>
      <c r="K3808">
        <v>0</v>
      </c>
    </row>
    <row r="3809" spans="1:11" x14ac:dyDescent="0.2">
      <c r="A3809" t="s">
        <v>1851</v>
      </c>
      <c r="B3809">
        <v>0</v>
      </c>
      <c r="C3809">
        <v>0</v>
      </c>
      <c r="D3809">
        <v>0</v>
      </c>
      <c r="E3809">
        <v>0</v>
      </c>
      <c r="F3809">
        <v>0</v>
      </c>
      <c r="G3809">
        <v>0</v>
      </c>
      <c r="H3809">
        <v>0</v>
      </c>
      <c r="I3809">
        <v>0</v>
      </c>
      <c r="J3809">
        <v>0</v>
      </c>
      <c r="K3809">
        <v>0</v>
      </c>
    </row>
    <row r="3810" spans="1:11" x14ac:dyDescent="0.2">
      <c r="A3810" t="s">
        <v>1857</v>
      </c>
      <c r="B3810">
        <v>0</v>
      </c>
      <c r="C3810">
        <v>0</v>
      </c>
      <c r="D3810">
        <v>0</v>
      </c>
      <c r="E3810">
        <v>0</v>
      </c>
      <c r="F3810">
        <v>0</v>
      </c>
      <c r="G3810">
        <v>0</v>
      </c>
      <c r="H3810">
        <v>0</v>
      </c>
      <c r="I3810">
        <v>0</v>
      </c>
      <c r="J3810">
        <v>0</v>
      </c>
      <c r="K3810">
        <v>0</v>
      </c>
    </row>
    <row r="3811" spans="1:11" x14ac:dyDescent="0.2">
      <c r="A3811" t="s">
        <v>1862</v>
      </c>
      <c r="B3811">
        <v>0</v>
      </c>
      <c r="C3811">
        <v>0</v>
      </c>
      <c r="D3811">
        <v>0</v>
      </c>
      <c r="E3811">
        <v>0</v>
      </c>
      <c r="F3811">
        <v>0</v>
      </c>
      <c r="G3811">
        <v>0</v>
      </c>
      <c r="H3811">
        <v>0</v>
      </c>
      <c r="I3811">
        <v>0</v>
      </c>
      <c r="J3811">
        <v>0</v>
      </c>
      <c r="K3811">
        <v>0</v>
      </c>
    </row>
    <row r="3812" spans="1:11" x14ac:dyDescent="0.2">
      <c r="A3812" t="s">
        <v>1867</v>
      </c>
      <c r="B3812">
        <v>0</v>
      </c>
      <c r="C3812">
        <v>0</v>
      </c>
      <c r="D3812">
        <v>0</v>
      </c>
      <c r="E3812">
        <v>0</v>
      </c>
      <c r="F3812">
        <v>0</v>
      </c>
      <c r="G3812">
        <v>0</v>
      </c>
      <c r="H3812">
        <v>0</v>
      </c>
      <c r="I3812">
        <v>0</v>
      </c>
      <c r="J3812">
        <v>0</v>
      </c>
      <c r="K3812">
        <v>0</v>
      </c>
    </row>
    <row r="3813" spans="1:11" x14ac:dyDescent="0.2">
      <c r="A3813" t="s">
        <v>1870</v>
      </c>
      <c r="B3813">
        <v>0</v>
      </c>
      <c r="C3813">
        <v>0</v>
      </c>
      <c r="D3813">
        <v>0</v>
      </c>
      <c r="E3813">
        <v>0</v>
      </c>
      <c r="F3813">
        <v>0</v>
      </c>
      <c r="G3813">
        <v>0</v>
      </c>
      <c r="H3813">
        <v>0</v>
      </c>
      <c r="I3813">
        <v>0</v>
      </c>
      <c r="J3813">
        <v>0</v>
      </c>
      <c r="K3813">
        <v>0</v>
      </c>
    </row>
    <row r="3814" spans="1:11" x14ac:dyDescent="0.2">
      <c r="A3814" t="s">
        <v>1874</v>
      </c>
      <c r="B3814">
        <v>0</v>
      </c>
      <c r="C3814">
        <v>0</v>
      </c>
      <c r="D3814">
        <v>0</v>
      </c>
      <c r="E3814">
        <v>0</v>
      </c>
      <c r="F3814">
        <v>0</v>
      </c>
      <c r="G3814">
        <v>0</v>
      </c>
      <c r="H3814">
        <v>0</v>
      </c>
      <c r="I3814">
        <v>0</v>
      </c>
      <c r="J3814">
        <v>0</v>
      </c>
      <c r="K3814">
        <v>0</v>
      </c>
    </row>
    <row r="3815" spans="1:11" x14ac:dyDescent="0.2">
      <c r="A3815" t="s">
        <v>1876</v>
      </c>
      <c r="B3815">
        <v>0</v>
      </c>
      <c r="C3815">
        <v>0</v>
      </c>
      <c r="D3815">
        <v>0</v>
      </c>
      <c r="E3815">
        <v>0</v>
      </c>
      <c r="F3815">
        <v>0</v>
      </c>
      <c r="G3815">
        <v>0</v>
      </c>
      <c r="H3815">
        <v>0</v>
      </c>
      <c r="I3815">
        <v>0</v>
      </c>
      <c r="J3815">
        <v>0</v>
      </c>
      <c r="K3815">
        <v>0</v>
      </c>
    </row>
    <row r="3816" spans="1:11" x14ac:dyDescent="0.2">
      <c r="A3816" t="s">
        <v>1881</v>
      </c>
      <c r="B3816">
        <v>0</v>
      </c>
      <c r="C3816">
        <v>0</v>
      </c>
      <c r="D3816">
        <v>0</v>
      </c>
      <c r="E3816">
        <v>0</v>
      </c>
      <c r="F3816">
        <v>0</v>
      </c>
      <c r="G3816">
        <v>0</v>
      </c>
      <c r="H3816">
        <v>0</v>
      </c>
      <c r="I3816">
        <v>0</v>
      </c>
      <c r="J3816">
        <v>0</v>
      </c>
      <c r="K3816">
        <v>0</v>
      </c>
    </row>
    <row r="3817" spans="1:11" x14ac:dyDescent="0.2">
      <c r="A3817" t="s">
        <v>1885</v>
      </c>
      <c r="B3817">
        <v>0</v>
      </c>
      <c r="C3817">
        <v>0</v>
      </c>
      <c r="D3817">
        <v>0</v>
      </c>
      <c r="E3817">
        <v>0</v>
      </c>
      <c r="F3817">
        <v>0</v>
      </c>
      <c r="G3817">
        <v>0</v>
      </c>
      <c r="H3817">
        <v>0</v>
      </c>
      <c r="I3817">
        <v>0</v>
      </c>
      <c r="J3817">
        <v>0</v>
      </c>
      <c r="K3817">
        <v>0</v>
      </c>
    </row>
    <row r="3818" spans="1:11" x14ac:dyDescent="0.2">
      <c r="A3818" t="s">
        <v>1887</v>
      </c>
      <c r="B3818">
        <v>0</v>
      </c>
      <c r="C3818">
        <v>0</v>
      </c>
      <c r="D3818">
        <v>0</v>
      </c>
      <c r="E3818">
        <v>0</v>
      </c>
      <c r="F3818">
        <v>0</v>
      </c>
      <c r="G3818">
        <v>0</v>
      </c>
      <c r="H3818">
        <v>0</v>
      </c>
      <c r="I3818">
        <v>0</v>
      </c>
      <c r="J3818">
        <v>0</v>
      </c>
      <c r="K3818">
        <v>0</v>
      </c>
    </row>
    <row r="3819" spans="1:11" x14ac:dyDescent="0.2">
      <c r="A3819" t="s">
        <v>1893</v>
      </c>
      <c r="B3819">
        <v>0</v>
      </c>
      <c r="C3819">
        <v>0</v>
      </c>
      <c r="D3819">
        <v>1</v>
      </c>
      <c r="E3819">
        <v>0</v>
      </c>
      <c r="F3819">
        <v>0</v>
      </c>
      <c r="G3819">
        <v>0</v>
      </c>
      <c r="H3819">
        <v>1</v>
      </c>
      <c r="I3819">
        <v>0</v>
      </c>
      <c r="J3819">
        <v>0</v>
      </c>
      <c r="K3819">
        <v>0</v>
      </c>
    </row>
    <row r="3820" spans="1:11" x14ac:dyDescent="0.2">
      <c r="A3820" t="s">
        <v>1899</v>
      </c>
      <c r="B3820">
        <v>0</v>
      </c>
      <c r="C3820">
        <v>0</v>
      </c>
      <c r="D3820">
        <v>0</v>
      </c>
      <c r="E3820">
        <v>0</v>
      </c>
      <c r="F3820">
        <v>0</v>
      </c>
      <c r="G3820">
        <v>0</v>
      </c>
      <c r="H3820">
        <v>0</v>
      </c>
      <c r="I3820">
        <v>0</v>
      </c>
      <c r="J3820">
        <v>0</v>
      </c>
      <c r="K3820">
        <v>0</v>
      </c>
    </row>
    <row r="3821" spans="1:11" x14ac:dyDescent="0.2">
      <c r="A3821" t="s">
        <v>1906</v>
      </c>
      <c r="B3821">
        <v>0</v>
      </c>
      <c r="C3821">
        <v>0</v>
      </c>
      <c r="D3821">
        <v>0</v>
      </c>
      <c r="E3821">
        <v>0</v>
      </c>
      <c r="F3821">
        <v>0</v>
      </c>
      <c r="G3821">
        <v>0</v>
      </c>
      <c r="H3821">
        <v>0</v>
      </c>
      <c r="I3821">
        <v>0</v>
      </c>
      <c r="J3821">
        <v>0</v>
      </c>
      <c r="K3821">
        <v>0</v>
      </c>
    </row>
    <row r="3822" spans="1:11" x14ac:dyDescent="0.2">
      <c r="A3822" t="s">
        <v>1911</v>
      </c>
      <c r="B3822">
        <v>0</v>
      </c>
      <c r="C3822">
        <v>0</v>
      </c>
      <c r="D3822">
        <v>0</v>
      </c>
      <c r="E3822">
        <v>0</v>
      </c>
      <c r="F3822">
        <v>0</v>
      </c>
      <c r="G3822">
        <v>0</v>
      </c>
      <c r="H3822">
        <v>0</v>
      </c>
      <c r="I3822">
        <v>0</v>
      </c>
      <c r="J3822">
        <v>0</v>
      </c>
      <c r="K3822">
        <v>0</v>
      </c>
    </row>
    <row r="3823" spans="1:11" x14ac:dyDescent="0.2">
      <c r="A3823" t="s">
        <v>1917</v>
      </c>
      <c r="B3823">
        <v>0</v>
      </c>
      <c r="C3823">
        <v>0</v>
      </c>
      <c r="D3823">
        <v>0</v>
      </c>
      <c r="E3823">
        <v>0</v>
      </c>
      <c r="F3823">
        <v>0</v>
      </c>
      <c r="G3823">
        <v>0</v>
      </c>
      <c r="H3823">
        <v>0</v>
      </c>
      <c r="I3823">
        <v>0</v>
      </c>
      <c r="J3823">
        <v>0</v>
      </c>
      <c r="K3823">
        <v>0</v>
      </c>
    </row>
    <row r="3824" spans="1:11" x14ac:dyDescent="0.2">
      <c r="A3824" t="s">
        <v>1922</v>
      </c>
      <c r="B3824">
        <v>0</v>
      </c>
      <c r="C3824">
        <v>0</v>
      </c>
      <c r="D3824">
        <v>0</v>
      </c>
      <c r="E3824">
        <v>0</v>
      </c>
      <c r="F3824">
        <v>0</v>
      </c>
      <c r="G3824">
        <v>0</v>
      </c>
      <c r="H3824">
        <v>0</v>
      </c>
      <c r="I3824">
        <v>0</v>
      </c>
      <c r="J3824">
        <v>0</v>
      </c>
      <c r="K3824">
        <v>0</v>
      </c>
    </row>
    <row r="3825" spans="1:11" x14ac:dyDescent="0.2">
      <c r="A3825" t="s">
        <v>1928</v>
      </c>
      <c r="B3825">
        <v>0</v>
      </c>
      <c r="C3825">
        <v>0</v>
      </c>
      <c r="D3825">
        <v>0</v>
      </c>
      <c r="E3825">
        <v>0</v>
      </c>
      <c r="F3825">
        <v>0</v>
      </c>
      <c r="G3825">
        <v>0</v>
      </c>
      <c r="H3825">
        <v>0</v>
      </c>
      <c r="I3825">
        <v>0</v>
      </c>
      <c r="J3825">
        <v>0</v>
      </c>
      <c r="K3825">
        <v>0</v>
      </c>
    </row>
    <row r="3826" spans="1:11" x14ac:dyDescent="0.2">
      <c r="A3826" t="s">
        <v>1932</v>
      </c>
      <c r="B3826">
        <v>0</v>
      </c>
      <c r="C3826">
        <v>0</v>
      </c>
      <c r="D3826">
        <v>0</v>
      </c>
      <c r="E3826">
        <v>0</v>
      </c>
      <c r="F3826">
        <v>0</v>
      </c>
      <c r="G3826">
        <v>0</v>
      </c>
      <c r="H3826">
        <v>0</v>
      </c>
      <c r="I3826">
        <v>0</v>
      </c>
      <c r="J3826">
        <v>0</v>
      </c>
      <c r="K3826">
        <v>0</v>
      </c>
    </row>
    <row r="3827" spans="1:11" x14ac:dyDescent="0.2">
      <c r="A3827" t="s">
        <v>1938</v>
      </c>
      <c r="B3827">
        <v>0</v>
      </c>
      <c r="C3827">
        <v>0</v>
      </c>
      <c r="D3827">
        <v>0</v>
      </c>
      <c r="E3827">
        <v>0</v>
      </c>
      <c r="F3827">
        <v>0</v>
      </c>
      <c r="G3827">
        <v>0</v>
      </c>
      <c r="H3827">
        <v>0</v>
      </c>
      <c r="I3827">
        <v>0</v>
      </c>
      <c r="J3827">
        <v>0</v>
      </c>
      <c r="K3827">
        <v>0</v>
      </c>
    </row>
    <row r="3828" spans="1:11" x14ac:dyDescent="0.2">
      <c r="A3828" t="s">
        <v>1944</v>
      </c>
      <c r="B3828">
        <v>0</v>
      </c>
      <c r="C3828">
        <v>0</v>
      </c>
      <c r="D3828">
        <v>0</v>
      </c>
      <c r="E3828">
        <v>0</v>
      </c>
      <c r="F3828">
        <v>0</v>
      </c>
      <c r="G3828">
        <v>0</v>
      </c>
      <c r="H3828">
        <v>0</v>
      </c>
      <c r="I3828">
        <v>0</v>
      </c>
      <c r="J3828">
        <v>0</v>
      </c>
      <c r="K3828">
        <v>0</v>
      </c>
    </row>
    <row r="3829" spans="1:11" x14ac:dyDescent="0.2">
      <c r="A3829" t="s">
        <v>1947</v>
      </c>
      <c r="B3829">
        <v>0</v>
      </c>
      <c r="C3829">
        <v>0</v>
      </c>
      <c r="D3829">
        <v>0</v>
      </c>
      <c r="E3829">
        <v>0</v>
      </c>
      <c r="F3829">
        <v>0</v>
      </c>
      <c r="G3829">
        <v>0</v>
      </c>
      <c r="H3829">
        <v>0</v>
      </c>
      <c r="I3829">
        <v>0</v>
      </c>
      <c r="J3829">
        <v>0</v>
      </c>
      <c r="K3829">
        <v>0</v>
      </c>
    </row>
    <row r="3830" spans="1:11" x14ac:dyDescent="0.2">
      <c r="A3830" t="s">
        <v>1953</v>
      </c>
      <c r="B3830">
        <v>0</v>
      </c>
      <c r="C3830">
        <v>0</v>
      </c>
      <c r="D3830">
        <v>0</v>
      </c>
      <c r="E3830">
        <v>0</v>
      </c>
      <c r="F3830">
        <v>0</v>
      </c>
      <c r="G3830">
        <v>0</v>
      </c>
      <c r="H3830">
        <v>0</v>
      </c>
      <c r="I3830">
        <v>0</v>
      </c>
      <c r="J3830">
        <v>0</v>
      </c>
      <c r="K3830">
        <v>0</v>
      </c>
    </row>
    <row r="3831" spans="1:11" x14ac:dyDescent="0.2">
      <c r="A3831" t="s">
        <v>1958</v>
      </c>
      <c r="B3831">
        <v>0</v>
      </c>
      <c r="C3831">
        <v>0</v>
      </c>
      <c r="D3831">
        <v>0</v>
      </c>
      <c r="E3831">
        <v>0</v>
      </c>
      <c r="F3831">
        <v>0</v>
      </c>
      <c r="G3831">
        <v>0</v>
      </c>
      <c r="H3831">
        <v>0</v>
      </c>
      <c r="I3831">
        <v>0</v>
      </c>
      <c r="J3831">
        <v>0</v>
      </c>
      <c r="K3831">
        <v>0</v>
      </c>
    </row>
    <row r="3832" spans="1:11" x14ac:dyDescent="0.2">
      <c r="A3832" t="s">
        <v>1964</v>
      </c>
      <c r="B3832">
        <v>0</v>
      </c>
      <c r="C3832">
        <v>0</v>
      </c>
      <c r="D3832">
        <v>0</v>
      </c>
      <c r="E3832">
        <v>0</v>
      </c>
      <c r="F3832">
        <v>0</v>
      </c>
      <c r="G3832">
        <v>0</v>
      </c>
      <c r="H3832">
        <v>0</v>
      </c>
      <c r="I3832">
        <v>0</v>
      </c>
      <c r="J3832">
        <v>0</v>
      </c>
      <c r="K3832">
        <v>0</v>
      </c>
    </row>
    <row r="3833" spans="1:11" x14ac:dyDescent="0.2">
      <c r="A3833" t="s">
        <v>1973</v>
      </c>
      <c r="B3833">
        <v>0</v>
      </c>
      <c r="C3833">
        <v>0</v>
      </c>
      <c r="D3833">
        <v>0</v>
      </c>
      <c r="E3833">
        <v>0</v>
      </c>
      <c r="F3833">
        <v>0</v>
      </c>
      <c r="G3833">
        <v>0</v>
      </c>
      <c r="H3833">
        <v>0</v>
      </c>
      <c r="I3833">
        <v>0</v>
      </c>
      <c r="J3833">
        <v>0</v>
      </c>
      <c r="K3833">
        <v>0</v>
      </c>
    </row>
    <row r="3834" spans="1:11" x14ac:dyDescent="0.2">
      <c r="A3834" t="s">
        <v>1978</v>
      </c>
      <c r="B3834">
        <v>0</v>
      </c>
      <c r="C3834">
        <v>0</v>
      </c>
      <c r="D3834">
        <v>0</v>
      </c>
      <c r="E3834">
        <v>0</v>
      </c>
      <c r="F3834">
        <v>0</v>
      </c>
      <c r="G3834">
        <v>0</v>
      </c>
      <c r="H3834">
        <v>0</v>
      </c>
      <c r="I3834">
        <v>0</v>
      </c>
      <c r="J3834">
        <v>0</v>
      </c>
      <c r="K3834">
        <v>0</v>
      </c>
    </row>
    <row r="3835" spans="1:11" x14ac:dyDescent="0.2">
      <c r="A3835" t="s">
        <v>1983</v>
      </c>
      <c r="B3835">
        <v>0</v>
      </c>
      <c r="C3835">
        <v>0</v>
      </c>
      <c r="D3835">
        <v>0</v>
      </c>
      <c r="E3835">
        <v>0</v>
      </c>
      <c r="F3835">
        <v>0</v>
      </c>
      <c r="G3835">
        <v>0</v>
      </c>
      <c r="H3835">
        <v>0</v>
      </c>
      <c r="I3835">
        <v>0</v>
      </c>
      <c r="J3835">
        <v>0</v>
      </c>
      <c r="K3835">
        <v>0</v>
      </c>
    </row>
    <row r="3836" spans="1:11" x14ac:dyDescent="0.2">
      <c r="A3836" t="s">
        <v>1984</v>
      </c>
      <c r="B3836">
        <v>0</v>
      </c>
      <c r="C3836">
        <v>0</v>
      </c>
      <c r="D3836">
        <v>0</v>
      </c>
      <c r="E3836">
        <v>0</v>
      </c>
      <c r="F3836">
        <v>0</v>
      </c>
      <c r="G3836">
        <v>0</v>
      </c>
      <c r="H3836">
        <v>0</v>
      </c>
      <c r="I3836">
        <v>0</v>
      </c>
      <c r="J3836">
        <v>0</v>
      </c>
      <c r="K3836">
        <v>0</v>
      </c>
    </row>
    <row r="3837" spans="1:11" x14ac:dyDescent="0.2">
      <c r="A3837" t="s">
        <v>1990</v>
      </c>
      <c r="B3837">
        <v>0</v>
      </c>
      <c r="C3837">
        <v>0</v>
      </c>
      <c r="D3837">
        <v>0</v>
      </c>
      <c r="E3837">
        <v>0</v>
      </c>
      <c r="F3837">
        <v>0</v>
      </c>
      <c r="G3837">
        <v>0</v>
      </c>
      <c r="H3837">
        <v>0</v>
      </c>
      <c r="I3837">
        <v>0</v>
      </c>
      <c r="J3837">
        <v>0</v>
      </c>
      <c r="K3837">
        <v>0</v>
      </c>
    </row>
    <row r="3838" spans="1:11" x14ac:dyDescent="0.2">
      <c r="A3838" t="s">
        <v>1996</v>
      </c>
      <c r="B3838">
        <v>0</v>
      </c>
      <c r="C3838">
        <v>0</v>
      </c>
      <c r="D3838">
        <v>0</v>
      </c>
      <c r="E3838">
        <v>0</v>
      </c>
      <c r="F3838">
        <v>0</v>
      </c>
      <c r="G3838">
        <v>0</v>
      </c>
      <c r="H3838">
        <v>0</v>
      </c>
      <c r="I3838">
        <v>0</v>
      </c>
      <c r="J3838">
        <v>0</v>
      </c>
      <c r="K3838">
        <v>0</v>
      </c>
    </row>
    <row r="3839" spans="1:11" x14ac:dyDescent="0.2">
      <c r="A3839" t="s">
        <v>1998</v>
      </c>
      <c r="B3839">
        <v>0</v>
      </c>
      <c r="C3839">
        <v>0</v>
      </c>
      <c r="D3839">
        <v>0</v>
      </c>
      <c r="E3839">
        <v>0</v>
      </c>
      <c r="F3839">
        <v>0</v>
      </c>
      <c r="G3839">
        <v>0</v>
      </c>
      <c r="H3839">
        <v>0</v>
      </c>
      <c r="I3839">
        <v>0</v>
      </c>
      <c r="J3839">
        <v>0</v>
      </c>
      <c r="K3839">
        <v>0</v>
      </c>
    </row>
    <row r="3840" spans="1:11" x14ac:dyDescent="0.2">
      <c r="A3840" t="s">
        <v>1999</v>
      </c>
      <c r="B3840">
        <v>0</v>
      </c>
      <c r="C3840">
        <v>0</v>
      </c>
      <c r="D3840">
        <v>0</v>
      </c>
      <c r="E3840">
        <v>0</v>
      </c>
      <c r="F3840">
        <v>0</v>
      </c>
      <c r="G3840">
        <v>0</v>
      </c>
      <c r="H3840">
        <v>0</v>
      </c>
      <c r="I3840">
        <v>0</v>
      </c>
      <c r="J3840">
        <v>0</v>
      </c>
      <c r="K3840">
        <v>0</v>
      </c>
    </row>
    <row r="3841" spans="1:11" x14ac:dyDescent="0.2">
      <c r="A3841" t="s">
        <v>2004</v>
      </c>
      <c r="B3841">
        <v>0</v>
      </c>
      <c r="C3841">
        <v>0</v>
      </c>
      <c r="D3841">
        <v>0</v>
      </c>
      <c r="E3841">
        <v>0</v>
      </c>
      <c r="F3841">
        <v>0</v>
      </c>
      <c r="G3841">
        <v>0</v>
      </c>
      <c r="H3841">
        <v>0</v>
      </c>
      <c r="I3841">
        <v>0</v>
      </c>
      <c r="J3841">
        <v>0</v>
      </c>
      <c r="K3841">
        <v>0</v>
      </c>
    </row>
    <row r="3842" spans="1:11" x14ac:dyDescent="0.2">
      <c r="A3842" t="s">
        <v>2009</v>
      </c>
      <c r="B3842">
        <v>0</v>
      </c>
      <c r="C3842">
        <v>0</v>
      </c>
      <c r="D3842">
        <v>0</v>
      </c>
      <c r="E3842">
        <v>0</v>
      </c>
      <c r="F3842">
        <v>0</v>
      </c>
      <c r="G3842">
        <v>0</v>
      </c>
      <c r="H3842">
        <v>0</v>
      </c>
      <c r="I3842">
        <v>0</v>
      </c>
      <c r="J3842">
        <v>0</v>
      </c>
      <c r="K3842">
        <v>0</v>
      </c>
    </row>
    <row r="3843" spans="1:11" x14ac:dyDescent="0.2">
      <c r="A3843" t="s">
        <v>2014</v>
      </c>
      <c r="B3843">
        <v>0</v>
      </c>
      <c r="C3843">
        <v>0</v>
      </c>
      <c r="D3843">
        <v>0</v>
      </c>
      <c r="E3843">
        <v>0</v>
      </c>
      <c r="F3843">
        <v>0</v>
      </c>
      <c r="G3843">
        <v>0</v>
      </c>
      <c r="H3843">
        <v>0</v>
      </c>
      <c r="I3843">
        <v>0</v>
      </c>
      <c r="J3843">
        <v>0</v>
      </c>
      <c r="K3843">
        <v>0</v>
      </c>
    </row>
    <row r="3844" spans="1:11" x14ac:dyDescent="0.2">
      <c r="A3844" t="s">
        <v>2019</v>
      </c>
      <c r="B3844">
        <v>0</v>
      </c>
      <c r="C3844">
        <v>0</v>
      </c>
      <c r="D3844">
        <v>0</v>
      </c>
      <c r="E3844">
        <v>0</v>
      </c>
      <c r="F3844">
        <v>0</v>
      </c>
      <c r="G3844">
        <v>0</v>
      </c>
      <c r="H3844">
        <v>0</v>
      </c>
      <c r="I3844">
        <v>0</v>
      </c>
      <c r="J3844">
        <v>0</v>
      </c>
      <c r="K3844">
        <v>0</v>
      </c>
    </row>
    <row r="3845" spans="1:11" x14ac:dyDescent="0.2">
      <c r="A3845" t="s">
        <v>2023</v>
      </c>
      <c r="B3845">
        <v>0</v>
      </c>
      <c r="C3845">
        <v>0</v>
      </c>
      <c r="D3845">
        <v>0</v>
      </c>
      <c r="E3845">
        <v>0</v>
      </c>
      <c r="F3845">
        <v>0</v>
      </c>
      <c r="G3845">
        <v>0</v>
      </c>
      <c r="H3845">
        <v>0</v>
      </c>
      <c r="I3845">
        <v>0</v>
      </c>
      <c r="J3845">
        <v>0</v>
      </c>
      <c r="K3845">
        <v>0</v>
      </c>
    </row>
    <row r="3846" spans="1:11" x14ac:dyDescent="0.2">
      <c r="A3846" t="s">
        <v>2026</v>
      </c>
      <c r="B3846">
        <v>0</v>
      </c>
      <c r="C3846">
        <v>0</v>
      </c>
      <c r="D3846">
        <v>0</v>
      </c>
      <c r="E3846">
        <v>0</v>
      </c>
      <c r="F3846">
        <v>0</v>
      </c>
      <c r="G3846">
        <v>0</v>
      </c>
      <c r="H3846">
        <v>0</v>
      </c>
      <c r="I3846">
        <v>0</v>
      </c>
      <c r="J3846">
        <v>0</v>
      </c>
      <c r="K3846">
        <v>0</v>
      </c>
    </row>
    <row r="3847" spans="1:11" x14ac:dyDescent="0.2">
      <c r="A3847" t="s">
        <v>2030</v>
      </c>
      <c r="B3847">
        <v>0</v>
      </c>
      <c r="C3847">
        <v>0</v>
      </c>
      <c r="D3847">
        <v>0</v>
      </c>
      <c r="E3847">
        <v>0</v>
      </c>
      <c r="F3847">
        <v>0</v>
      </c>
      <c r="G3847">
        <v>0</v>
      </c>
      <c r="H3847">
        <v>0</v>
      </c>
      <c r="I3847">
        <v>0</v>
      </c>
      <c r="J3847">
        <v>0</v>
      </c>
      <c r="K3847">
        <v>0</v>
      </c>
    </row>
    <row r="3848" spans="1:11" x14ac:dyDescent="0.2">
      <c r="A3848" t="s">
        <v>2035</v>
      </c>
      <c r="B3848">
        <v>0</v>
      </c>
      <c r="C3848">
        <v>0</v>
      </c>
      <c r="D3848">
        <v>0</v>
      </c>
      <c r="E3848">
        <v>0</v>
      </c>
      <c r="F3848">
        <v>0</v>
      </c>
      <c r="G3848">
        <v>0</v>
      </c>
      <c r="H3848">
        <v>0</v>
      </c>
      <c r="I3848">
        <v>0</v>
      </c>
      <c r="J3848">
        <v>0</v>
      </c>
      <c r="K3848">
        <v>0</v>
      </c>
    </row>
    <row r="3849" spans="1:11" x14ac:dyDescent="0.2">
      <c r="A3849" t="s">
        <v>2040</v>
      </c>
      <c r="B3849">
        <v>0</v>
      </c>
      <c r="C3849">
        <v>0</v>
      </c>
      <c r="D3849">
        <v>0</v>
      </c>
      <c r="E3849">
        <v>0</v>
      </c>
      <c r="F3849">
        <v>0</v>
      </c>
      <c r="G3849">
        <v>0</v>
      </c>
      <c r="H3849">
        <v>0</v>
      </c>
      <c r="I3849">
        <v>0</v>
      </c>
      <c r="J3849">
        <v>0</v>
      </c>
      <c r="K3849">
        <v>0</v>
      </c>
    </row>
    <row r="3850" spans="1:11" x14ac:dyDescent="0.2">
      <c r="A3850" t="s">
        <v>2045</v>
      </c>
      <c r="B3850">
        <v>0</v>
      </c>
      <c r="C3850">
        <v>0</v>
      </c>
      <c r="D3850">
        <v>0</v>
      </c>
      <c r="E3850">
        <v>0</v>
      </c>
      <c r="F3850">
        <v>0</v>
      </c>
      <c r="G3850">
        <v>0</v>
      </c>
      <c r="H3850">
        <v>0</v>
      </c>
      <c r="I3850">
        <v>0</v>
      </c>
      <c r="J3850">
        <v>0</v>
      </c>
      <c r="K3850">
        <v>0</v>
      </c>
    </row>
    <row r="3851" spans="1:11" x14ac:dyDescent="0.2">
      <c r="A3851" t="s">
        <v>2049</v>
      </c>
      <c r="B3851">
        <v>0</v>
      </c>
      <c r="C3851">
        <v>0</v>
      </c>
      <c r="D3851">
        <v>0</v>
      </c>
      <c r="E3851">
        <v>0</v>
      </c>
      <c r="F3851">
        <v>0</v>
      </c>
      <c r="G3851">
        <v>0</v>
      </c>
      <c r="H3851">
        <v>0</v>
      </c>
      <c r="I3851">
        <v>0</v>
      </c>
      <c r="J3851">
        <v>0</v>
      </c>
      <c r="K3851">
        <v>0</v>
      </c>
    </row>
    <row r="3852" spans="1:11" x14ac:dyDescent="0.2">
      <c r="A3852" t="s">
        <v>2051</v>
      </c>
      <c r="B3852">
        <v>0</v>
      </c>
      <c r="C3852">
        <v>0</v>
      </c>
      <c r="D3852">
        <v>0</v>
      </c>
      <c r="E3852">
        <v>0</v>
      </c>
      <c r="F3852">
        <v>0</v>
      </c>
      <c r="G3852">
        <v>0</v>
      </c>
      <c r="H3852">
        <v>0</v>
      </c>
      <c r="I3852">
        <v>0</v>
      </c>
      <c r="J3852">
        <v>0</v>
      </c>
      <c r="K3852">
        <v>0</v>
      </c>
    </row>
    <row r="3853" spans="1:11" x14ac:dyDescent="0.2">
      <c r="A3853" t="s">
        <v>2057</v>
      </c>
      <c r="B3853">
        <v>0</v>
      </c>
      <c r="C3853">
        <v>0</v>
      </c>
      <c r="D3853">
        <v>0</v>
      </c>
      <c r="E3853">
        <v>0</v>
      </c>
      <c r="F3853">
        <v>0</v>
      </c>
      <c r="G3853">
        <v>0</v>
      </c>
      <c r="H3853">
        <v>0</v>
      </c>
      <c r="I3853">
        <v>0</v>
      </c>
      <c r="J3853">
        <v>0</v>
      </c>
      <c r="K3853">
        <v>0</v>
      </c>
    </row>
    <row r="3854" spans="1:11" x14ac:dyDescent="0.2">
      <c r="A3854" t="s">
        <v>4344</v>
      </c>
      <c r="B3854">
        <v>0</v>
      </c>
      <c r="C3854">
        <v>0</v>
      </c>
      <c r="D3854">
        <v>0</v>
      </c>
      <c r="E3854">
        <v>0</v>
      </c>
      <c r="F3854">
        <v>0</v>
      </c>
      <c r="G3854">
        <v>0</v>
      </c>
      <c r="H3854">
        <v>0</v>
      </c>
      <c r="I3854">
        <v>0</v>
      </c>
      <c r="J3854">
        <v>0</v>
      </c>
      <c r="K3854">
        <v>0</v>
      </c>
    </row>
    <row r="3855" spans="1:11" x14ac:dyDescent="0.2">
      <c r="A3855" t="s">
        <v>4345</v>
      </c>
      <c r="B3855">
        <v>0</v>
      </c>
      <c r="C3855">
        <v>0</v>
      </c>
      <c r="D3855">
        <v>0</v>
      </c>
      <c r="E3855">
        <v>0</v>
      </c>
      <c r="F3855">
        <v>0</v>
      </c>
      <c r="G3855">
        <v>0</v>
      </c>
      <c r="H3855">
        <v>0</v>
      </c>
      <c r="I3855">
        <v>0</v>
      </c>
      <c r="J3855">
        <v>0</v>
      </c>
      <c r="K3855">
        <v>0</v>
      </c>
    </row>
    <row r="3856" spans="1:11" x14ac:dyDescent="0.2">
      <c r="A3856" t="s">
        <v>2074</v>
      </c>
      <c r="B3856">
        <v>0</v>
      </c>
      <c r="C3856">
        <v>0</v>
      </c>
      <c r="D3856">
        <v>0</v>
      </c>
      <c r="E3856">
        <v>0</v>
      </c>
      <c r="F3856">
        <v>0</v>
      </c>
      <c r="G3856">
        <v>0</v>
      </c>
      <c r="H3856">
        <v>0</v>
      </c>
      <c r="I3856">
        <v>0</v>
      </c>
      <c r="J3856">
        <v>0</v>
      </c>
      <c r="K3856">
        <v>0</v>
      </c>
    </row>
    <row r="3857" spans="1:11" x14ac:dyDescent="0.2">
      <c r="A3857" t="s">
        <v>2079</v>
      </c>
      <c r="B3857">
        <v>0</v>
      </c>
      <c r="C3857">
        <v>0</v>
      </c>
      <c r="D3857">
        <v>0</v>
      </c>
      <c r="E3857">
        <v>0</v>
      </c>
      <c r="F3857">
        <v>0</v>
      </c>
      <c r="G3857">
        <v>0</v>
      </c>
      <c r="H3857">
        <v>0</v>
      </c>
      <c r="I3857">
        <v>0</v>
      </c>
      <c r="J3857">
        <v>0</v>
      </c>
      <c r="K3857">
        <v>0</v>
      </c>
    </row>
    <row r="3858" spans="1:11" x14ac:dyDescent="0.2">
      <c r="A3858" t="s">
        <v>2085</v>
      </c>
      <c r="B3858">
        <v>0</v>
      </c>
      <c r="C3858">
        <v>0</v>
      </c>
      <c r="D3858">
        <v>0</v>
      </c>
      <c r="E3858">
        <v>0</v>
      </c>
      <c r="F3858">
        <v>0</v>
      </c>
      <c r="G3858">
        <v>0</v>
      </c>
      <c r="H3858">
        <v>0</v>
      </c>
      <c r="I3858">
        <v>0</v>
      </c>
      <c r="J3858">
        <v>0</v>
      </c>
      <c r="K3858">
        <v>0</v>
      </c>
    </row>
    <row r="3859" spans="1:11" x14ac:dyDescent="0.2">
      <c r="A3859" t="s">
        <v>2091</v>
      </c>
      <c r="B3859">
        <v>0</v>
      </c>
      <c r="C3859">
        <v>0</v>
      </c>
      <c r="D3859">
        <v>0</v>
      </c>
      <c r="E3859">
        <v>0</v>
      </c>
      <c r="F3859">
        <v>0</v>
      </c>
      <c r="G3859">
        <v>0</v>
      </c>
      <c r="H3859">
        <v>0</v>
      </c>
      <c r="I3859">
        <v>0</v>
      </c>
      <c r="J3859">
        <v>0</v>
      </c>
      <c r="K3859">
        <v>0</v>
      </c>
    </row>
    <row r="3860" spans="1:11" x14ac:dyDescent="0.2">
      <c r="A3860" t="s">
        <v>2097</v>
      </c>
      <c r="B3860">
        <v>0</v>
      </c>
      <c r="C3860">
        <v>0</v>
      </c>
      <c r="D3860">
        <v>0</v>
      </c>
      <c r="E3860">
        <v>0</v>
      </c>
      <c r="F3860">
        <v>0</v>
      </c>
      <c r="G3860">
        <v>0</v>
      </c>
      <c r="H3860">
        <v>0</v>
      </c>
      <c r="I3860">
        <v>0</v>
      </c>
      <c r="J3860">
        <v>0</v>
      </c>
      <c r="K3860">
        <v>0</v>
      </c>
    </row>
    <row r="3861" spans="1:11" x14ac:dyDescent="0.2">
      <c r="A3861" t="s">
        <v>2101</v>
      </c>
      <c r="B3861">
        <v>0</v>
      </c>
      <c r="C3861">
        <v>0</v>
      </c>
      <c r="D3861">
        <v>0</v>
      </c>
      <c r="E3861">
        <v>0</v>
      </c>
      <c r="F3861">
        <v>0</v>
      </c>
      <c r="G3861">
        <v>0</v>
      </c>
      <c r="H3861">
        <v>0</v>
      </c>
      <c r="I3861">
        <v>0</v>
      </c>
      <c r="J3861">
        <v>0</v>
      </c>
      <c r="K3861">
        <v>0</v>
      </c>
    </row>
    <row r="3862" spans="1:11" x14ac:dyDescent="0.2">
      <c r="A3862" t="s">
        <v>2104</v>
      </c>
      <c r="B3862">
        <v>0</v>
      </c>
      <c r="C3862">
        <v>0</v>
      </c>
      <c r="D3862">
        <v>0</v>
      </c>
      <c r="E3862">
        <v>0</v>
      </c>
      <c r="F3862">
        <v>0</v>
      </c>
      <c r="G3862">
        <v>0</v>
      </c>
      <c r="H3862">
        <v>0</v>
      </c>
      <c r="I3862">
        <v>0</v>
      </c>
      <c r="J3862">
        <v>0</v>
      </c>
      <c r="K3862">
        <v>0</v>
      </c>
    </row>
    <row r="3863" spans="1:11" x14ac:dyDescent="0.2">
      <c r="A3863" t="s">
        <v>2107</v>
      </c>
      <c r="B3863">
        <v>0</v>
      </c>
      <c r="C3863">
        <v>0</v>
      </c>
      <c r="D3863">
        <v>0</v>
      </c>
      <c r="E3863">
        <v>0</v>
      </c>
      <c r="F3863">
        <v>0</v>
      </c>
      <c r="G3863">
        <v>0</v>
      </c>
      <c r="H3863">
        <v>0</v>
      </c>
      <c r="I3863">
        <v>0</v>
      </c>
      <c r="J3863">
        <v>0</v>
      </c>
      <c r="K3863">
        <v>0</v>
      </c>
    </row>
    <row r="3864" spans="1:11" x14ac:dyDescent="0.2">
      <c r="A3864" t="s">
        <v>2110</v>
      </c>
      <c r="B3864">
        <v>0</v>
      </c>
      <c r="C3864">
        <v>0</v>
      </c>
      <c r="D3864">
        <v>0</v>
      </c>
      <c r="E3864">
        <v>0</v>
      </c>
      <c r="F3864">
        <v>0</v>
      </c>
      <c r="G3864">
        <v>0</v>
      </c>
      <c r="H3864">
        <v>0</v>
      </c>
      <c r="I3864">
        <v>0</v>
      </c>
      <c r="J3864">
        <v>0</v>
      </c>
      <c r="K3864">
        <v>0</v>
      </c>
    </row>
    <row r="3865" spans="1:11" x14ac:dyDescent="0.2">
      <c r="A3865" t="s">
        <v>2113</v>
      </c>
      <c r="B3865">
        <v>0</v>
      </c>
      <c r="C3865">
        <v>0</v>
      </c>
      <c r="D3865">
        <v>0</v>
      </c>
      <c r="E3865">
        <v>0</v>
      </c>
      <c r="F3865">
        <v>0</v>
      </c>
      <c r="G3865">
        <v>0</v>
      </c>
      <c r="H3865">
        <v>0</v>
      </c>
      <c r="I3865">
        <v>0</v>
      </c>
      <c r="J3865">
        <v>0</v>
      </c>
      <c r="K3865">
        <v>0</v>
      </c>
    </row>
    <row r="3866" spans="1:11" x14ac:dyDescent="0.2">
      <c r="A3866" t="s">
        <v>4346</v>
      </c>
      <c r="B3866">
        <v>0</v>
      </c>
      <c r="C3866">
        <v>0</v>
      </c>
      <c r="D3866">
        <v>0</v>
      </c>
      <c r="E3866">
        <v>0</v>
      </c>
      <c r="F3866">
        <v>0</v>
      </c>
      <c r="G3866">
        <v>0</v>
      </c>
      <c r="H3866">
        <v>0</v>
      </c>
      <c r="I3866">
        <v>0</v>
      </c>
      <c r="J3866">
        <v>0</v>
      </c>
      <c r="K3866">
        <v>0</v>
      </c>
    </row>
    <row r="3867" spans="1:11" x14ac:dyDescent="0.2">
      <c r="A3867" t="s">
        <v>4347</v>
      </c>
      <c r="B3867">
        <v>0</v>
      </c>
      <c r="C3867">
        <v>0</v>
      </c>
      <c r="D3867">
        <v>0</v>
      </c>
      <c r="E3867">
        <v>0</v>
      </c>
      <c r="F3867">
        <v>0</v>
      </c>
      <c r="G3867">
        <v>0</v>
      </c>
      <c r="H3867">
        <v>0</v>
      </c>
      <c r="I3867">
        <v>0</v>
      </c>
      <c r="J3867">
        <v>0</v>
      </c>
      <c r="K3867">
        <v>0</v>
      </c>
    </row>
    <row r="3868" spans="1:11" x14ac:dyDescent="0.2">
      <c r="A3868" t="s">
        <v>4348</v>
      </c>
      <c r="B3868">
        <v>0</v>
      </c>
      <c r="C3868">
        <v>0</v>
      </c>
      <c r="D3868">
        <v>0</v>
      </c>
      <c r="E3868">
        <v>0</v>
      </c>
      <c r="F3868">
        <v>0</v>
      </c>
      <c r="G3868">
        <v>0</v>
      </c>
      <c r="H3868">
        <v>0</v>
      </c>
      <c r="I3868">
        <v>0</v>
      </c>
      <c r="J3868">
        <v>0</v>
      </c>
      <c r="K3868">
        <v>0</v>
      </c>
    </row>
    <row r="3869" spans="1:11" x14ac:dyDescent="0.2">
      <c r="A3869" t="s">
        <v>4349</v>
      </c>
      <c r="B3869">
        <v>0</v>
      </c>
      <c r="C3869">
        <v>0</v>
      </c>
      <c r="D3869">
        <v>0</v>
      </c>
      <c r="E3869">
        <v>0</v>
      </c>
      <c r="F3869">
        <v>0</v>
      </c>
      <c r="G3869">
        <v>0</v>
      </c>
      <c r="H3869">
        <v>0</v>
      </c>
      <c r="I3869">
        <v>0</v>
      </c>
      <c r="J3869">
        <v>0</v>
      </c>
      <c r="K3869">
        <v>0</v>
      </c>
    </row>
    <row r="3870" spans="1:11" x14ac:dyDescent="0.2">
      <c r="A3870" t="s">
        <v>4350</v>
      </c>
      <c r="B3870">
        <v>0</v>
      </c>
      <c r="C3870">
        <v>0</v>
      </c>
      <c r="D3870">
        <v>31</v>
      </c>
      <c r="E3870">
        <v>0</v>
      </c>
      <c r="F3870">
        <v>0</v>
      </c>
      <c r="G3870">
        <v>0</v>
      </c>
      <c r="H3870">
        <v>53</v>
      </c>
      <c r="I3870">
        <v>0</v>
      </c>
      <c r="J3870">
        <v>0</v>
      </c>
      <c r="K3870">
        <v>0</v>
      </c>
    </row>
    <row r="3871" spans="1:11" x14ac:dyDescent="0.2">
      <c r="A3871" t="s">
        <v>4351</v>
      </c>
      <c r="B3871">
        <v>0</v>
      </c>
      <c r="C3871">
        <v>0</v>
      </c>
      <c r="D3871">
        <v>0</v>
      </c>
      <c r="E3871">
        <v>0</v>
      </c>
      <c r="F3871">
        <v>0</v>
      </c>
      <c r="G3871">
        <v>0</v>
      </c>
      <c r="H3871">
        <v>0</v>
      </c>
      <c r="I3871">
        <v>0</v>
      </c>
      <c r="J3871">
        <v>0</v>
      </c>
      <c r="K3871">
        <v>0</v>
      </c>
    </row>
    <row r="3872" spans="1:11" x14ac:dyDescent="0.2">
      <c r="A3872" t="s">
        <v>4352</v>
      </c>
      <c r="B3872">
        <v>0</v>
      </c>
      <c r="C3872">
        <v>0</v>
      </c>
      <c r="D3872">
        <v>0</v>
      </c>
      <c r="E3872">
        <v>0</v>
      </c>
      <c r="F3872">
        <v>0</v>
      </c>
      <c r="G3872">
        <v>0</v>
      </c>
      <c r="H3872">
        <v>0</v>
      </c>
      <c r="I3872">
        <v>0</v>
      </c>
      <c r="J3872">
        <v>0</v>
      </c>
      <c r="K3872">
        <v>0</v>
      </c>
    </row>
    <row r="3873" spans="1:11" x14ac:dyDescent="0.2">
      <c r="A3873" t="s">
        <v>4353</v>
      </c>
      <c r="B3873">
        <v>0</v>
      </c>
      <c r="C3873">
        <v>0</v>
      </c>
      <c r="D3873">
        <v>15</v>
      </c>
      <c r="E3873">
        <v>0</v>
      </c>
      <c r="F3873">
        <v>0</v>
      </c>
      <c r="G3873">
        <v>0</v>
      </c>
      <c r="H3873">
        <v>26</v>
      </c>
      <c r="I3873">
        <v>0</v>
      </c>
      <c r="J3873">
        <v>0</v>
      </c>
      <c r="K3873">
        <v>0</v>
      </c>
    </row>
    <row r="3874" spans="1:11" x14ac:dyDescent="0.2">
      <c r="A3874" t="s">
        <v>4354</v>
      </c>
      <c r="B3874">
        <v>0</v>
      </c>
      <c r="C3874">
        <v>0</v>
      </c>
      <c r="D3874">
        <v>10</v>
      </c>
      <c r="E3874">
        <v>0</v>
      </c>
      <c r="F3874">
        <v>0</v>
      </c>
      <c r="G3874">
        <v>0</v>
      </c>
      <c r="H3874">
        <v>17</v>
      </c>
      <c r="I3874">
        <v>0</v>
      </c>
      <c r="J3874">
        <v>0</v>
      </c>
      <c r="K3874">
        <v>0</v>
      </c>
    </row>
    <row r="3875" spans="1:11" x14ac:dyDescent="0.2">
      <c r="A3875" t="s">
        <v>4355</v>
      </c>
      <c r="B3875">
        <v>0</v>
      </c>
      <c r="C3875">
        <v>0</v>
      </c>
      <c r="D3875">
        <v>0</v>
      </c>
      <c r="E3875">
        <v>0</v>
      </c>
      <c r="F3875">
        <v>0</v>
      </c>
      <c r="G3875">
        <v>0</v>
      </c>
      <c r="H3875">
        <v>0</v>
      </c>
      <c r="I3875">
        <v>0</v>
      </c>
      <c r="J3875">
        <v>0</v>
      </c>
      <c r="K3875">
        <v>0</v>
      </c>
    </row>
    <row r="3876" spans="1:11" x14ac:dyDescent="0.2">
      <c r="A3876" t="s">
        <v>4356</v>
      </c>
      <c r="B3876">
        <v>0</v>
      </c>
      <c r="C3876">
        <v>0</v>
      </c>
      <c r="D3876">
        <v>0</v>
      </c>
      <c r="E3876">
        <v>0</v>
      </c>
      <c r="F3876">
        <v>0</v>
      </c>
      <c r="G3876">
        <v>0</v>
      </c>
      <c r="H3876">
        <v>0</v>
      </c>
      <c r="I3876">
        <v>0</v>
      </c>
      <c r="J3876">
        <v>0</v>
      </c>
      <c r="K3876">
        <v>0</v>
      </c>
    </row>
    <row r="3877" spans="1:11" x14ac:dyDescent="0.2">
      <c r="A3877" t="s">
        <v>4357</v>
      </c>
      <c r="B3877">
        <v>0</v>
      </c>
      <c r="C3877">
        <v>0</v>
      </c>
      <c r="D3877">
        <v>3</v>
      </c>
      <c r="E3877">
        <v>0</v>
      </c>
      <c r="F3877">
        <v>0</v>
      </c>
      <c r="G3877">
        <v>0</v>
      </c>
      <c r="H3877">
        <v>5</v>
      </c>
      <c r="I3877">
        <v>0</v>
      </c>
      <c r="J3877">
        <v>0</v>
      </c>
      <c r="K3877">
        <v>0</v>
      </c>
    </row>
    <row r="3878" spans="1:11" x14ac:dyDescent="0.2">
      <c r="A3878" t="s">
        <v>4358</v>
      </c>
      <c r="B3878">
        <v>0</v>
      </c>
      <c r="C3878">
        <v>0</v>
      </c>
      <c r="D3878">
        <v>0</v>
      </c>
      <c r="E3878">
        <v>0</v>
      </c>
      <c r="F3878">
        <v>0</v>
      </c>
      <c r="G3878">
        <v>0</v>
      </c>
      <c r="H3878">
        <v>0</v>
      </c>
      <c r="I3878">
        <v>0</v>
      </c>
      <c r="J3878">
        <v>0</v>
      </c>
      <c r="K3878">
        <v>0</v>
      </c>
    </row>
    <row r="3879" spans="1:11" x14ac:dyDescent="0.2">
      <c r="A3879" t="s">
        <v>4359</v>
      </c>
      <c r="B3879">
        <v>0</v>
      </c>
      <c r="C3879">
        <v>0</v>
      </c>
      <c r="D3879">
        <v>0</v>
      </c>
      <c r="E3879">
        <v>0</v>
      </c>
      <c r="F3879">
        <v>0</v>
      </c>
      <c r="G3879">
        <v>0</v>
      </c>
      <c r="H3879">
        <v>0</v>
      </c>
      <c r="I3879">
        <v>0</v>
      </c>
      <c r="J3879">
        <v>0</v>
      </c>
      <c r="K3879">
        <v>0</v>
      </c>
    </row>
    <row r="3880" spans="1:11" x14ac:dyDescent="0.2">
      <c r="A3880" t="s">
        <v>4360</v>
      </c>
      <c r="B3880">
        <v>0</v>
      </c>
      <c r="C3880">
        <v>0</v>
      </c>
      <c r="D3880">
        <v>1</v>
      </c>
      <c r="E3880">
        <v>0</v>
      </c>
      <c r="F3880">
        <v>0</v>
      </c>
      <c r="G3880">
        <v>0</v>
      </c>
      <c r="H3880">
        <v>2</v>
      </c>
      <c r="I3880">
        <v>0</v>
      </c>
      <c r="J3880">
        <v>0</v>
      </c>
      <c r="K3880">
        <v>0</v>
      </c>
    </row>
    <row r="3881" spans="1:11" x14ac:dyDescent="0.2">
      <c r="A3881" t="s">
        <v>4361</v>
      </c>
      <c r="B3881">
        <v>0</v>
      </c>
      <c r="C3881">
        <v>0</v>
      </c>
      <c r="D3881">
        <v>1</v>
      </c>
      <c r="E3881">
        <v>0</v>
      </c>
      <c r="F3881">
        <v>0</v>
      </c>
      <c r="G3881">
        <v>0</v>
      </c>
      <c r="H3881">
        <v>2</v>
      </c>
      <c r="I3881">
        <v>0</v>
      </c>
      <c r="J3881">
        <v>0</v>
      </c>
      <c r="K3881">
        <v>0</v>
      </c>
    </row>
    <row r="3882" spans="1:11" x14ac:dyDescent="0.2">
      <c r="A3882" t="s">
        <v>4362</v>
      </c>
      <c r="B3882">
        <v>0</v>
      </c>
      <c r="C3882">
        <v>0</v>
      </c>
      <c r="D3882">
        <v>0</v>
      </c>
      <c r="E3882">
        <v>0</v>
      </c>
      <c r="F3882">
        <v>0</v>
      </c>
      <c r="G3882">
        <v>0</v>
      </c>
      <c r="H3882">
        <v>0</v>
      </c>
      <c r="I3882">
        <v>0</v>
      </c>
      <c r="J3882">
        <v>0</v>
      </c>
      <c r="K3882">
        <v>0</v>
      </c>
    </row>
    <row r="3883" spans="1:11" x14ac:dyDescent="0.2">
      <c r="A3883" t="s">
        <v>4363</v>
      </c>
      <c r="B3883">
        <v>0</v>
      </c>
      <c r="C3883">
        <v>0</v>
      </c>
      <c r="D3883">
        <v>0</v>
      </c>
      <c r="E3883">
        <v>0</v>
      </c>
      <c r="F3883">
        <v>0</v>
      </c>
      <c r="G3883">
        <v>0</v>
      </c>
      <c r="H3883">
        <v>0</v>
      </c>
      <c r="I3883">
        <v>0</v>
      </c>
      <c r="J3883">
        <v>0</v>
      </c>
      <c r="K3883">
        <v>0</v>
      </c>
    </row>
    <row r="3884" spans="1:11" x14ac:dyDescent="0.2">
      <c r="A3884" t="s">
        <v>4364</v>
      </c>
      <c r="B3884">
        <v>0</v>
      </c>
      <c r="C3884">
        <v>0</v>
      </c>
      <c r="D3884">
        <v>0</v>
      </c>
      <c r="E3884">
        <v>0</v>
      </c>
      <c r="F3884">
        <v>0</v>
      </c>
      <c r="G3884">
        <v>0</v>
      </c>
      <c r="H3884">
        <v>0</v>
      </c>
      <c r="I3884">
        <v>0</v>
      </c>
      <c r="J3884">
        <v>0</v>
      </c>
      <c r="K3884">
        <v>0</v>
      </c>
    </row>
    <row r="3885" spans="1:11" x14ac:dyDescent="0.2">
      <c r="A3885" t="s">
        <v>4365</v>
      </c>
      <c r="B3885">
        <v>0</v>
      </c>
      <c r="C3885">
        <v>0</v>
      </c>
      <c r="D3885">
        <v>5</v>
      </c>
      <c r="E3885">
        <v>0</v>
      </c>
      <c r="F3885">
        <v>0</v>
      </c>
      <c r="G3885">
        <v>0</v>
      </c>
      <c r="H3885">
        <v>8</v>
      </c>
      <c r="I3885">
        <v>0</v>
      </c>
      <c r="J3885">
        <v>0</v>
      </c>
      <c r="K3885">
        <v>0</v>
      </c>
    </row>
    <row r="3886" spans="1:11" x14ac:dyDescent="0.2">
      <c r="A3886" t="s">
        <v>4366</v>
      </c>
      <c r="B3886">
        <v>0</v>
      </c>
      <c r="C3886">
        <v>0</v>
      </c>
      <c r="D3886">
        <v>0</v>
      </c>
      <c r="E3886">
        <v>0</v>
      </c>
      <c r="F3886">
        <v>0</v>
      </c>
      <c r="G3886">
        <v>0</v>
      </c>
      <c r="H3886">
        <v>0</v>
      </c>
      <c r="I3886">
        <v>0</v>
      </c>
      <c r="J3886">
        <v>0</v>
      </c>
      <c r="K3886">
        <v>0</v>
      </c>
    </row>
    <row r="3887" spans="1:11" x14ac:dyDescent="0.2">
      <c r="A3887" t="s">
        <v>4367</v>
      </c>
      <c r="B3887">
        <v>0</v>
      </c>
      <c r="C3887">
        <v>0</v>
      </c>
      <c r="D3887">
        <v>0</v>
      </c>
      <c r="E3887">
        <v>0</v>
      </c>
      <c r="F3887">
        <v>0</v>
      </c>
      <c r="G3887">
        <v>0</v>
      </c>
      <c r="H3887">
        <v>0</v>
      </c>
      <c r="I3887">
        <v>0</v>
      </c>
      <c r="J3887">
        <v>0</v>
      </c>
      <c r="K3887">
        <v>0</v>
      </c>
    </row>
    <row r="3888" spans="1:11" x14ac:dyDescent="0.2">
      <c r="A3888" t="s">
        <v>4368</v>
      </c>
      <c r="B3888">
        <v>0</v>
      </c>
      <c r="C3888">
        <v>2</v>
      </c>
      <c r="D3888">
        <v>21</v>
      </c>
      <c r="E3888">
        <v>0</v>
      </c>
      <c r="F3888">
        <v>0</v>
      </c>
      <c r="G3888">
        <v>1</v>
      </c>
      <c r="H3888">
        <v>36</v>
      </c>
      <c r="I3888">
        <v>0</v>
      </c>
      <c r="J3888">
        <v>0</v>
      </c>
      <c r="K3888">
        <v>0</v>
      </c>
    </row>
    <row r="3889" spans="1:11" x14ac:dyDescent="0.2">
      <c r="A3889" t="s">
        <v>4369</v>
      </c>
      <c r="B3889">
        <v>0</v>
      </c>
      <c r="C3889">
        <v>3</v>
      </c>
      <c r="D3889">
        <v>117</v>
      </c>
      <c r="E3889">
        <v>0</v>
      </c>
      <c r="F3889">
        <v>0</v>
      </c>
      <c r="G3889">
        <v>1</v>
      </c>
      <c r="H3889">
        <v>197</v>
      </c>
      <c r="I3889">
        <v>0</v>
      </c>
      <c r="J3889">
        <v>0</v>
      </c>
      <c r="K3889">
        <v>0</v>
      </c>
    </row>
    <row r="3890" spans="1:11" x14ac:dyDescent="0.2">
      <c r="A3890" t="s">
        <v>4370</v>
      </c>
      <c r="B3890">
        <v>0</v>
      </c>
      <c r="C3890">
        <v>0</v>
      </c>
      <c r="D3890">
        <v>0</v>
      </c>
      <c r="E3890">
        <v>0</v>
      </c>
      <c r="F3890">
        <v>0</v>
      </c>
      <c r="G3890">
        <v>0</v>
      </c>
      <c r="H3890">
        <v>0</v>
      </c>
      <c r="I3890">
        <v>0</v>
      </c>
      <c r="J3890">
        <v>0</v>
      </c>
      <c r="K3890">
        <v>0</v>
      </c>
    </row>
    <row r="3891" spans="1:11" x14ac:dyDescent="0.2">
      <c r="A3891" t="s">
        <v>4371</v>
      </c>
      <c r="B3891">
        <v>0</v>
      </c>
      <c r="C3891">
        <v>0</v>
      </c>
      <c r="D3891">
        <v>0</v>
      </c>
      <c r="E3891">
        <v>0</v>
      </c>
      <c r="F3891">
        <v>0</v>
      </c>
      <c r="G3891">
        <v>0</v>
      </c>
      <c r="H3891">
        <v>0</v>
      </c>
      <c r="I3891">
        <v>0</v>
      </c>
      <c r="J3891">
        <v>0</v>
      </c>
      <c r="K3891">
        <v>0</v>
      </c>
    </row>
    <row r="3892" spans="1:11" x14ac:dyDescent="0.2">
      <c r="A3892" t="s">
        <v>4372</v>
      </c>
      <c r="B3892">
        <v>0</v>
      </c>
      <c r="C3892">
        <v>0</v>
      </c>
      <c r="D3892">
        <v>0</v>
      </c>
      <c r="E3892">
        <v>0</v>
      </c>
      <c r="F3892">
        <v>0</v>
      </c>
      <c r="G3892">
        <v>0</v>
      </c>
      <c r="H3892">
        <v>0</v>
      </c>
      <c r="I3892">
        <v>0</v>
      </c>
      <c r="J3892">
        <v>0</v>
      </c>
      <c r="K3892">
        <v>0</v>
      </c>
    </row>
    <row r="3893" spans="1:11" x14ac:dyDescent="0.2">
      <c r="A3893" t="s">
        <v>4373</v>
      </c>
      <c r="B3893">
        <v>0</v>
      </c>
      <c r="C3893">
        <v>0</v>
      </c>
      <c r="D3893">
        <v>0</v>
      </c>
      <c r="E3893">
        <v>0</v>
      </c>
      <c r="F3893">
        <v>0</v>
      </c>
      <c r="G3893">
        <v>0</v>
      </c>
      <c r="H3893">
        <v>0</v>
      </c>
      <c r="I3893">
        <v>0</v>
      </c>
      <c r="J3893">
        <v>0</v>
      </c>
      <c r="K3893">
        <v>0</v>
      </c>
    </row>
    <row r="3894" spans="1:11" x14ac:dyDescent="0.2">
      <c r="A3894" t="s">
        <v>4374</v>
      </c>
      <c r="B3894">
        <v>0</v>
      </c>
      <c r="C3894">
        <v>0</v>
      </c>
      <c r="D3894">
        <v>0</v>
      </c>
      <c r="E3894">
        <v>0</v>
      </c>
      <c r="F3894">
        <v>0</v>
      </c>
      <c r="G3894">
        <v>0</v>
      </c>
      <c r="H3894">
        <v>0</v>
      </c>
      <c r="I3894">
        <v>0</v>
      </c>
      <c r="J3894">
        <v>0</v>
      </c>
      <c r="K3894">
        <v>0</v>
      </c>
    </row>
    <row r="3895" spans="1:11" x14ac:dyDescent="0.2">
      <c r="A3895" t="s">
        <v>4375</v>
      </c>
      <c r="B3895">
        <v>0</v>
      </c>
      <c r="C3895">
        <v>0</v>
      </c>
      <c r="D3895">
        <v>0</v>
      </c>
      <c r="E3895">
        <v>0</v>
      </c>
      <c r="F3895">
        <v>0</v>
      </c>
      <c r="G3895">
        <v>0</v>
      </c>
      <c r="H3895">
        <v>0</v>
      </c>
      <c r="I3895">
        <v>0</v>
      </c>
      <c r="J3895">
        <v>0</v>
      </c>
      <c r="K3895">
        <v>0</v>
      </c>
    </row>
    <row r="3896" spans="1:11" x14ac:dyDescent="0.2">
      <c r="A3896" t="s">
        <v>4376</v>
      </c>
      <c r="B3896">
        <v>0</v>
      </c>
      <c r="C3896">
        <v>0</v>
      </c>
      <c r="D3896">
        <v>0</v>
      </c>
      <c r="E3896">
        <v>0</v>
      </c>
      <c r="F3896">
        <v>0</v>
      </c>
      <c r="G3896">
        <v>0</v>
      </c>
      <c r="H3896">
        <v>0</v>
      </c>
      <c r="I3896">
        <v>0</v>
      </c>
      <c r="J3896">
        <v>0</v>
      </c>
      <c r="K3896">
        <v>0</v>
      </c>
    </row>
    <row r="3897" spans="1:11" x14ac:dyDescent="0.2">
      <c r="A3897" t="s">
        <v>4377</v>
      </c>
      <c r="B3897">
        <v>0</v>
      </c>
      <c r="C3897">
        <v>0</v>
      </c>
      <c r="D3897">
        <v>0</v>
      </c>
      <c r="E3897">
        <v>0</v>
      </c>
      <c r="F3897">
        <v>0</v>
      </c>
      <c r="G3897">
        <v>0</v>
      </c>
      <c r="H3897">
        <v>0</v>
      </c>
      <c r="I3897">
        <v>0</v>
      </c>
      <c r="J3897">
        <v>0</v>
      </c>
      <c r="K3897">
        <v>0</v>
      </c>
    </row>
    <row r="3898" spans="1:11" x14ac:dyDescent="0.2">
      <c r="A3898" t="s">
        <v>4854</v>
      </c>
      <c r="B3898">
        <v>0</v>
      </c>
      <c r="C3898">
        <v>209</v>
      </c>
      <c r="D3898">
        <v>10489</v>
      </c>
      <c r="E3898">
        <v>0</v>
      </c>
      <c r="F3898">
        <v>0</v>
      </c>
      <c r="G3898">
        <v>105</v>
      </c>
      <c r="H3898">
        <v>17831</v>
      </c>
      <c r="I3898">
        <v>0</v>
      </c>
      <c r="J3898">
        <v>0</v>
      </c>
      <c r="K3898">
        <v>0</v>
      </c>
    </row>
    <row r="3899" spans="1:11" x14ac:dyDescent="0.2">
      <c r="A3899" t="s">
        <v>2318</v>
      </c>
      <c r="B3899" t="s">
        <v>4399</v>
      </c>
      <c r="C3899" t="s">
        <v>4399</v>
      </c>
      <c r="D3899" t="s">
        <v>4399</v>
      </c>
      <c r="E3899" t="s">
        <v>4399</v>
      </c>
      <c r="F3899" t="s">
        <v>4399</v>
      </c>
      <c r="G3899" t="s">
        <v>4399</v>
      </c>
      <c r="H3899" t="s">
        <v>4399</v>
      </c>
      <c r="I3899" t="s">
        <v>4399</v>
      </c>
      <c r="J3899" t="s">
        <v>4399</v>
      </c>
      <c r="K3899" t="s">
        <v>4399</v>
      </c>
    </row>
    <row r="3900" spans="1:11" x14ac:dyDescent="0.2">
      <c r="A3900" t="s">
        <v>4248</v>
      </c>
    </row>
    <row r="3901" spans="1:11" x14ac:dyDescent="0.2">
      <c r="A3901" t="s">
        <v>4855</v>
      </c>
      <c r="B3901" t="s">
        <v>4856</v>
      </c>
      <c r="C3901" t="s">
        <v>4857</v>
      </c>
      <c r="D3901" t="s">
        <v>4858</v>
      </c>
      <c r="E3901" t="s">
        <v>4859</v>
      </c>
      <c r="F3901" t="s">
        <v>4860</v>
      </c>
      <c r="G3901" t="s">
        <v>4879</v>
      </c>
    </row>
    <row r="3902" spans="1:11" x14ac:dyDescent="0.2">
      <c r="A3902" t="s">
        <v>2318</v>
      </c>
      <c r="B3902" t="s">
        <v>4399</v>
      </c>
      <c r="C3902" t="s">
        <v>4399</v>
      </c>
      <c r="D3902" t="s">
        <v>4399</v>
      </c>
      <c r="E3902" t="s">
        <v>4399</v>
      </c>
      <c r="F3902" t="s">
        <v>4399</v>
      </c>
      <c r="G3902" t="s">
        <v>4399</v>
      </c>
      <c r="H3902" t="s">
        <v>4399</v>
      </c>
      <c r="I3902" t="s">
        <v>4399</v>
      </c>
      <c r="J3902" t="s">
        <v>4399</v>
      </c>
      <c r="K3902" t="s">
        <v>4399</v>
      </c>
    </row>
    <row r="3903" spans="1:11" x14ac:dyDescent="0.2">
      <c r="A3903" t="s">
        <v>126</v>
      </c>
      <c r="B3903" t="s">
        <v>4656</v>
      </c>
      <c r="C3903" t="s">
        <v>4660</v>
      </c>
      <c r="D3903" t="s">
        <v>4663</v>
      </c>
      <c r="E3903" t="s">
        <v>4666</v>
      </c>
      <c r="F3903" t="s">
        <v>4670</v>
      </c>
      <c r="G3903" t="s">
        <v>4674</v>
      </c>
      <c r="H3903" t="s">
        <v>4678</v>
      </c>
      <c r="I3903" t="s">
        <v>4682</v>
      </c>
      <c r="J3903" t="s">
        <v>4686</v>
      </c>
      <c r="K3903" t="s">
        <v>4690</v>
      </c>
    </row>
    <row r="3904" spans="1:11" x14ac:dyDescent="0.2">
      <c r="A3904" t="s">
        <v>2318</v>
      </c>
      <c r="B3904" t="s">
        <v>4399</v>
      </c>
      <c r="C3904" t="s">
        <v>4399</v>
      </c>
      <c r="D3904" t="s">
        <v>4399</v>
      </c>
      <c r="E3904" t="s">
        <v>4399</v>
      </c>
      <c r="F3904" t="s">
        <v>4399</v>
      </c>
      <c r="G3904" t="s">
        <v>4399</v>
      </c>
      <c r="H3904" t="s">
        <v>4399</v>
      </c>
      <c r="I3904" t="s">
        <v>4399</v>
      </c>
      <c r="J3904" t="s">
        <v>4399</v>
      </c>
      <c r="K3904" t="s">
        <v>4399</v>
      </c>
    </row>
    <row r="3905" spans="1:11" x14ac:dyDescent="0.2">
      <c r="A3905" t="s">
        <v>4265</v>
      </c>
      <c r="B3905">
        <v>0</v>
      </c>
      <c r="C3905">
        <v>0</v>
      </c>
      <c r="D3905">
        <v>0</v>
      </c>
      <c r="E3905">
        <v>0</v>
      </c>
      <c r="F3905">
        <v>0</v>
      </c>
      <c r="G3905">
        <v>0</v>
      </c>
      <c r="H3905">
        <v>12</v>
      </c>
      <c r="I3905">
        <v>2</v>
      </c>
      <c r="J3905">
        <v>7</v>
      </c>
      <c r="K3905">
        <v>0</v>
      </c>
    </row>
    <row r="3906" spans="1:11" x14ac:dyDescent="0.2">
      <c r="A3906" t="s">
        <v>4266</v>
      </c>
      <c r="B3906">
        <v>0</v>
      </c>
      <c r="C3906">
        <v>0</v>
      </c>
      <c r="D3906">
        <v>0</v>
      </c>
      <c r="E3906">
        <v>0</v>
      </c>
      <c r="F3906">
        <v>0</v>
      </c>
      <c r="G3906">
        <v>0</v>
      </c>
      <c r="H3906">
        <v>0</v>
      </c>
      <c r="I3906">
        <v>0</v>
      </c>
      <c r="J3906">
        <v>0</v>
      </c>
      <c r="K3906">
        <v>0</v>
      </c>
    </row>
    <row r="3907" spans="1:11" x14ac:dyDescent="0.2">
      <c r="A3907" t="s">
        <v>4267</v>
      </c>
      <c r="B3907">
        <v>0</v>
      </c>
      <c r="C3907">
        <v>0</v>
      </c>
      <c r="D3907">
        <v>4</v>
      </c>
      <c r="E3907">
        <v>1</v>
      </c>
      <c r="F3907">
        <v>2</v>
      </c>
      <c r="G3907">
        <v>0</v>
      </c>
      <c r="H3907">
        <v>12</v>
      </c>
      <c r="I3907">
        <v>3</v>
      </c>
      <c r="J3907">
        <v>4</v>
      </c>
      <c r="K3907">
        <v>0</v>
      </c>
    </row>
    <row r="3908" spans="1:11" x14ac:dyDescent="0.2">
      <c r="A3908" t="s">
        <v>4268</v>
      </c>
      <c r="B3908">
        <v>0</v>
      </c>
      <c r="C3908">
        <v>0</v>
      </c>
      <c r="D3908">
        <v>2</v>
      </c>
      <c r="E3908">
        <v>1</v>
      </c>
      <c r="F3908">
        <v>1</v>
      </c>
      <c r="G3908">
        <v>0</v>
      </c>
      <c r="H3908">
        <v>6</v>
      </c>
      <c r="I3908">
        <v>1</v>
      </c>
      <c r="J3908">
        <v>3</v>
      </c>
      <c r="K3908">
        <v>0</v>
      </c>
    </row>
    <row r="3909" spans="1:11" x14ac:dyDescent="0.2">
      <c r="A3909" t="s">
        <v>4269</v>
      </c>
      <c r="B3909">
        <v>0</v>
      </c>
      <c r="C3909">
        <v>0</v>
      </c>
      <c r="D3909">
        <v>7</v>
      </c>
      <c r="E3909">
        <v>2</v>
      </c>
      <c r="F3909">
        <v>3</v>
      </c>
      <c r="G3909">
        <v>0</v>
      </c>
      <c r="H3909">
        <v>19</v>
      </c>
      <c r="I3909">
        <v>4</v>
      </c>
      <c r="J3909">
        <v>7</v>
      </c>
      <c r="K3909">
        <v>0</v>
      </c>
    </row>
    <row r="3910" spans="1:11" x14ac:dyDescent="0.2">
      <c r="A3910" t="s">
        <v>4270</v>
      </c>
      <c r="B3910">
        <v>0</v>
      </c>
      <c r="C3910">
        <v>0</v>
      </c>
      <c r="D3910">
        <v>0</v>
      </c>
      <c r="E3910">
        <v>0</v>
      </c>
      <c r="F3910">
        <v>0</v>
      </c>
      <c r="G3910">
        <v>0</v>
      </c>
      <c r="H3910">
        <v>0</v>
      </c>
      <c r="I3910">
        <v>0</v>
      </c>
      <c r="J3910">
        <v>0</v>
      </c>
      <c r="K3910">
        <v>0</v>
      </c>
    </row>
    <row r="3911" spans="1:11" x14ac:dyDescent="0.2">
      <c r="A3911" t="s">
        <v>4271</v>
      </c>
      <c r="B3911">
        <v>0</v>
      </c>
      <c r="C3911">
        <v>0</v>
      </c>
      <c r="D3911">
        <v>3</v>
      </c>
      <c r="E3911">
        <v>1</v>
      </c>
      <c r="F3911">
        <v>1</v>
      </c>
      <c r="G3911">
        <v>0</v>
      </c>
      <c r="H3911">
        <v>7</v>
      </c>
      <c r="I3911">
        <v>1</v>
      </c>
      <c r="J3911">
        <v>3</v>
      </c>
      <c r="K3911">
        <v>0</v>
      </c>
    </row>
    <row r="3912" spans="1:11" x14ac:dyDescent="0.2">
      <c r="A3912" t="s">
        <v>4272</v>
      </c>
      <c r="B3912">
        <v>0</v>
      </c>
      <c r="C3912">
        <v>0</v>
      </c>
      <c r="D3912">
        <v>1</v>
      </c>
      <c r="E3912">
        <v>0</v>
      </c>
      <c r="F3912">
        <v>0</v>
      </c>
      <c r="G3912">
        <v>0</v>
      </c>
      <c r="H3912">
        <v>2</v>
      </c>
      <c r="I3912">
        <v>0</v>
      </c>
      <c r="J3912">
        <v>1</v>
      </c>
      <c r="K3912">
        <v>0</v>
      </c>
    </row>
    <row r="3913" spans="1:11" x14ac:dyDescent="0.2">
      <c r="A3913" t="s">
        <v>4273</v>
      </c>
      <c r="B3913">
        <v>0</v>
      </c>
      <c r="C3913">
        <v>0</v>
      </c>
      <c r="D3913">
        <v>9</v>
      </c>
      <c r="E3913">
        <v>2</v>
      </c>
      <c r="F3913">
        <v>4</v>
      </c>
      <c r="G3913">
        <v>0</v>
      </c>
      <c r="H3913">
        <v>0</v>
      </c>
      <c r="I3913">
        <v>0</v>
      </c>
      <c r="J3913">
        <v>0</v>
      </c>
      <c r="K3913">
        <v>0</v>
      </c>
    </row>
    <row r="3914" spans="1:11" x14ac:dyDescent="0.2">
      <c r="A3914" t="s">
        <v>4274</v>
      </c>
      <c r="B3914">
        <v>0</v>
      </c>
      <c r="C3914">
        <v>0</v>
      </c>
      <c r="D3914">
        <v>0</v>
      </c>
      <c r="E3914">
        <v>0</v>
      </c>
      <c r="F3914">
        <v>0</v>
      </c>
      <c r="G3914">
        <v>0</v>
      </c>
      <c r="H3914">
        <v>0</v>
      </c>
      <c r="I3914">
        <v>0</v>
      </c>
      <c r="J3914">
        <v>0</v>
      </c>
      <c r="K3914">
        <v>0</v>
      </c>
    </row>
    <row r="3915" spans="1:11" x14ac:dyDescent="0.2">
      <c r="A3915" t="s">
        <v>4275</v>
      </c>
      <c r="B3915">
        <v>0</v>
      </c>
      <c r="C3915">
        <v>0</v>
      </c>
      <c r="D3915">
        <v>0</v>
      </c>
      <c r="E3915">
        <v>0</v>
      </c>
      <c r="F3915">
        <v>0</v>
      </c>
      <c r="G3915">
        <v>0</v>
      </c>
      <c r="H3915">
        <v>0</v>
      </c>
      <c r="I3915">
        <v>0</v>
      </c>
      <c r="J3915">
        <v>0</v>
      </c>
      <c r="K3915">
        <v>0</v>
      </c>
    </row>
    <row r="3916" spans="1:11" x14ac:dyDescent="0.2">
      <c r="A3916" t="s">
        <v>4276</v>
      </c>
      <c r="B3916">
        <v>0</v>
      </c>
      <c r="C3916">
        <v>0</v>
      </c>
      <c r="D3916">
        <v>0</v>
      </c>
      <c r="E3916">
        <v>0</v>
      </c>
      <c r="F3916">
        <v>0</v>
      </c>
      <c r="G3916">
        <v>0</v>
      </c>
      <c r="H3916">
        <v>0</v>
      </c>
      <c r="I3916">
        <v>0</v>
      </c>
      <c r="J3916">
        <v>0</v>
      </c>
      <c r="K3916">
        <v>0</v>
      </c>
    </row>
    <row r="3917" spans="1:11" x14ac:dyDescent="0.2">
      <c r="A3917" t="s">
        <v>4277</v>
      </c>
      <c r="B3917">
        <v>0</v>
      </c>
      <c r="C3917">
        <v>0</v>
      </c>
      <c r="D3917">
        <v>0</v>
      </c>
      <c r="E3917">
        <v>0</v>
      </c>
      <c r="F3917">
        <v>0</v>
      </c>
      <c r="G3917">
        <v>0</v>
      </c>
      <c r="H3917">
        <v>0</v>
      </c>
      <c r="I3917">
        <v>0</v>
      </c>
      <c r="J3917">
        <v>0</v>
      </c>
      <c r="K3917">
        <v>0</v>
      </c>
    </row>
    <row r="3918" spans="1:11" x14ac:dyDescent="0.2">
      <c r="A3918" t="s">
        <v>4278</v>
      </c>
      <c r="B3918">
        <v>0</v>
      </c>
      <c r="C3918">
        <v>0</v>
      </c>
      <c r="D3918">
        <v>0</v>
      </c>
      <c r="E3918">
        <v>0</v>
      </c>
      <c r="F3918">
        <v>0</v>
      </c>
      <c r="G3918">
        <v>0</v>
      </c>
      <c r="H3918">
        <v>0</v>
      </c>
      <c r="I3918">
        <v>0</v>
      </c>
      <c r="J3918">
        <v>0</v>
      </c>
      <c r="K3918">
        <v>0</v>
      </c>
    </row>
    <row r="3919" spans="1:11" x14ac:dyDescent="0.2">
      <c r="A3919" t="s">
        <v>4279</v>
      </c>
      <c r="B3919">
        <v>0</v>
      </c>
      <c r="C3919">
        <v>0</v>
      </c>
      <c r="D3919">
        <v>3</v>
      </c>
      <c r="E3919">
        <v>3</v>
      </c>
      <c r="F3919">
        <v>2</v>
      </c>
      <c r="G3919">
        <v>0</v>
      </c>
      <c r="H3919">
        <v>9</v>
      </c>
      <c r="I3919">
        <v>9</v>
      </c>
      <c r="J3919">
        <v>4</v>
      </c>
      <c r="K3919">
        <v>0</v>
      </c>
    </row>
    <row r="3920" spans="1:11" x14ac:dyDescent="0.2">
      <c r="A3920" t="s">
        <v>4280</v>
      </c>
      <c r="B3920">
        <v>0</v>
      </c>
      <c r="C3920">
        <v>0</v>
      </c>
      <c r="D3920">
        <v>0</v>
      </c>
      <c r="E3920">
        <v>0</v>
      </c>
      <c r="F3920">
        <v>0</v>
      </c>
      <c r="G3920">
        <v>0</v>
      </c>
      <c r="H3920">
        <v>1</v>
      </c>
      <c r="I3920">
        <v>0</v>
      </c>
      <c r="J3920">
        <v>1</v>
      </c>
      <c r="K3920">
        <v>0</v>
      </c>
    </row>
    <row r="3921" spans="1:11" x14ac:dyDescent="0.2">
      <c r="A3921" t="s">
        <v>4281</v>
      </c>
      <c r="B3921">
        <v>0</v>
      </c>
      <c r="C3921">
        <v>0</v>
      </c>
      <c r="D3921">
        <v>1</v>
      </c>
      <c r="E3921">
        <v>1</v>
      </c>
      <c r="F3921">
        <v>0</v>
      </c>
      <c r="G3921">
        <v>0</v>
      </c>
      <c r="H3921">
        <v>3</v>
      </c>
      <c r="I3921">
        <v>2</v>
      </c>
      <c r="J3921">
        <v>1</v>
      </c>
      <c r="K3921">
        <v>0</v>
      </c>
    </row>
    <row r="3922" spans="1:11" x14ac:dyDescent="0.2">
      <c r="A3922" t="s">
        <v>4282</v>
      </c>
      <c r="B3922">
        <v>0</v>
      </c>
      <c r="C3922">
        <v>0</v>
      </c>
      <c r="D3922">
        <v>1</v>
      </c>
      <c r="E3922">
        <v>0</v>
      </c>
      <c r="F3922">
        <v>0</v>
      </c>
      <c r="G3922">
        <v>0</v>
      </c>
      <c r="H3922">
        <v>2</v>
      </c>
      <c r="I3922">
        <v>1</v>
      </c>
      <c r="J3922">
        <v>1</v>
      </c>
      <c r="K3922">
        <v>0</v>
      </c>
    </row>
    <row r="3923" spans="1:11" x14ac:dyDescent="0.2">
      <c r="A3923" t="s">
        <v>4283</v>
      </c>
      <c r="B3923">
        <v>0</v>
      </c>
      <c r="C3923">
        <v>0</v>
      </c>
      <c r="D3923">
        <v>3</v>
      </c>
      <c r="E3923">
        <v>3</v>
      </c>
      <c r="F3923">
        <v>2</v>
      </c>
      <c r="G3923">
        <v>0</v>
      </c>
      <c r="H3923">
        <v>9</v>
      </c>
      <c r="I3923">
        <v>8</v>
      </c>
      <c r="J3923">
        <v>2</v>
      </c>
      <c r="K3923">
        <v>0</v>
      </c>
    </row>
    <row r="3924" spans="1:11" x14ac:dyDescent="0.2">
      <c r="A3924" t="s">
        <v>4284</v>
      </c>
      <c r="B3924">
        <v>0</v>
      </c>
      <c r="C3924">
        <v>0</v>
      </c>
      <c r="D3924">
        <v>1</v>
      </c>
      <c r="E3924">
        <v>0</v>
      </c>
      <c r="F3924">
        <v>0</v>
      </c>
      <c r="G3924">
        <v>0</v>
      </c>
      <c r="H3924">
        <v>1</v>
      </c>
      <c r="I3924">
        <v>1</v>
      </c>
      <c r="J3924">
        <v>1</v>
      </c>
      <c r="K3924">
        <v>0</v>
      </c>
    </row>
    <row r="3925" spans="1:11" x14ac:dyDescent="0.2">
      <c r="A3925" t="s">
        <v>4285</v>
      </c>
      <c r="B3925">
        <v>0</v>
      </c>
      <c r="C3925">
        <v>0</v>
      </c>
      <c r="D3925">
        <v>1</v>
      </c>
      <c r="E3925">
        <v>1</v>
      </c>
      <c r="F3925">
        <v>0</v>
      </c>
      <c r="G3925">
        <v>0</v>
      </c>
      <c r="H3925">
        <v>2</v>
      </c>
      <c r="I3925">
        <v>2</v>
      </c>
      <c r="J3925">
        <v>1</v>
      </c>
      <c r="K3925">
        <v>0</v>
      </c>
    </row>
    <row r="3926" spans="1:11" x14ac:dyDescent="0.2">
      <c r="A3926" t="s">
        <v>4286</v>
      </c>
      <c r="B3926">
        <v>0</v>
      </c>
      <c r="C3926">
        <v>0</v>
      </c>
      <c r="D3926">
        <v>0</v>
      </c>
      <c r="E3926">
        <v>0</v>
      </c>
      <c r="F3926">
        <v>0</v>
      </c>
      <c r="G3926">
        <v>0</v>
      </c>
      <c r="H3926">
        <v>0</v>
      </c>
      <c r="I3926">
        <v>0</v>
      </c>
      <c r="J3926">
        <v>0</v>
      </c>
      <c r="K3926">
        <v>0</v>
      </c>
    </row>
    <row r="3927" spans="1:11" x14ac:dyDescent="0.2">
      <c r="A3927" t="s">
        <v>4287</v>
      </c>
      <c r="B3927">
        <v>0</v>
      </c>
      <c r="C3927">
        <v>0</v>
      </c>
      <c r="D3927">
        <v>0</v>
      </c>
      <c r="E3927">
        <v>0</v>
      </c>
      <c r="F3927">
        <v>0</v>
      </c>
      <c r="G3927">
        <v>0</v>
      </c>
      <c r="H3927">
        <v>0</v>
      </c>
      <c r="I3927">
        <v>0</v>
      </c>
      <c r="J3927">
        <v>0</v>
      </c>
      <c r="K3927">
        <v>0</v>
      </c>
    </row>
    <row r="3928" spans="1:11" x14ac:dyDescent="0.2">
      <c r="A3928" t="s">
        <v>4288</v>
      </c>
      <c r="B3928">
        <v>0</v>
      </c>
      <c r="C3928">
        <v>0</v>
      </c>
      <c r="D3928">
        <v>0</v>
      </c>
      <c r="E3928">
        <v>0</v>
      </c>
      <c r="F3928">
        <v>0</v>
      </c>
      <c r="G3928">
        <v>0</v>
      </c>
      <c r="H3928">
        <v>0</v>
      </c>
      <c r="I3928">
        <v>0</v>
      </c>
      <c r="J3928">
        <v>0</v>
      </c>
      <c r="K3928">
        <v>0</v>
      </c>
    </row>
    <row r="3929" spans="1:11" x14ac:dyDescent="0.2">
      <c r="A3929" t="s">
        <v>4289</v>
      </c>
      <c r="B3929">
        <v>0</v>
      </c>
      <c r="C3929">
        <v>0</v>
      </c>
      <c r="D3929">
        <v>0</v>
      </c>
      <c r="E3929">
        <v>0</v>
      </c>
      <c r="F3929">
        <v>0</v>
      </c>
      <c r="G3929">
        <v>0</v>
      </c>
      <c r="H3929">
        <v>0</v>
      </c>
      <c r="I3929">
        <v>0</v>
      </c>
      <c r="J3929">
        <v>0</v>
      </c>
      <c r="K3929">
        <v>0</v>
      </c>
    </row>
    <row r="3930" spans="1:11" x14ac:dyDescent="0.2">
      <c r="A3930" t="s">
        <v>4290</v>
      </c>
      <c r="B3930">
        <v>0</v>
      </c>
      <c r="C3930">
        <v>0</v>
      </c>
      <c r="D3930">
        <v>0</v>
      </c>
      <c r="E3930">
        <v>0</v>
      </c>
      <c r="F3930">
        <v>0</v>
      </c>
      <c r="G3930">
        <v>0</v>
      </c>
      <c r="H3930">
        <v>0</v>
      </c>
      <c r="I3930">
        <v>0</v>
      </c>
      <c r="J3930">
        <v>0</v>
      </c>
      <c r="K3930">
        <v>0</v>
      </c>
    </row>
    <row r="3931" spans="1:11" x14ac:dyDescent="0.2">
      <c r="A3931" t="s">
        <v>4291</v>
      </c>
      <c r="B3931">
        <v>0</v>
      </c>
      <c r="C3931">
        <v>0</v>
      </c>
      <c r="D3931">
        <v>0</v>
      </c>
      <c r="E3931">
        <v>0</v>
      </c>
      <c r="F3931">
        <v>0</v>
      </c>
      <c r="G3931">
        <v>0</v>
      </c>
      <c r="H3931">
        <v>0</v>
      </c>
      <c r="I3931">
        <v>0</v>
      </c>
      <c r="J3931">
        <v>0</v>
      </c>
      <c r="K3931">
        <v>0</v>
      </c>
    </row>
    <row r="3932" spans="1:11" x14ac:dyDescent="0.2">
      <c r="A3932" t="s">
        <v>4292</v>
      </c>
      <c r="B3932">
        <v>0</v>
      </c>
      <c r="C3932">
        <v>0</v>
      </c>
      <c r="D3932">
        <v>0</v>
      </c>
      <c r="E3932">
        <v>0</v>
      </c>
      <c r="F3932">
        <v>0</v>
      </c>
      <c r="G3932">
        <v>0</v>
      </c>
      <c r="H3932">
        <v>0</v>
      </c>
      <c r="I3932">
        <v>0</v>
      </c>
      <c r="J3932">
        <v>0</v>
      </c>
      <c r="K3932">
        <v>0</v>
      </c>
    </row>
    <row r="3933" spans="1:11" x14ac:dyDescent="0.2">
      <c r="A3933" t="s">
        <v>4293</v>
      </c>
      <c r="B3933">
        <v>0</v>
      </c>
      <c r="C3933">
        <v>0</v>
      </c>
      <c r="D3933">
        <v>0</v>
      </c>
      <c r="E3933">
        <v>0</v>
      </c>
      <c r="F3933">
        <v>0</v>
      </c>
      <c r="G3933">
        <v>0</v>
      </c>
      <c r="H3933">
        <v>0</v>
      </c>
      <c r="I3933">
        <v>0</v>
      </c>
      <c r="J3933">
        <v>0</v>
      </c>
      <c r="K3933">
        <v>0</v>
      </c>
    </row>
    <row r="3934" spans="1:11" x14ac:dyDescent="0.2">
      <c r="A3934" t="s">
        <v>4294</v>
      </c>
      <c r="B3934">
        <v>0</v>
      </c>
      <c r="C3934">
        <v>0</v>
      </c>
      <c r="D3934">
        <v>0</v>
      </c>
      <c r="E3934">
        <v>0</v>
      </c>
      <c r="F3934">
        <v>0</v>
      </c>
      <c r="G3934">
        <v>0</v>
      </c>
      <c r="H3934">
        <v>0</v>
      </c>
      <c r="I3934">
        <v>0</v>
      </c>
      <c r="J3934">
        <v>0</v>
      </c>
      <c r="K3934">
        <v>0</v>
      </c>
    </row>
    <row r="3935" spans="1:11" x14ac:dyDescent="0.2">
      <c r="A3935" t="s">
        <v>4295</v>
      </c>
      <c r="B3935">
        <v>0</v>
      </c>
      <c r="C3935">
        <v>0</v>
      </c>
      <c r="D3935">
        <v>0</v>
      </c>
      <c r="E3935">
        <v>0</v>
      </c>
      <c r="F3935">
        <v>0</v>
      </c>
      <c r="G3935">
        <v>0</v>
      </c>
      <c r="H3935">
        <v>0</v>
      </c>
      <c r="I3935">
        <v>0</v>
      </c>
      <c r="J3935">
        <v>0</v>
      </c>
      <c r="K3935">
        <v>0</v>
      </c>
    </row>
    <row r="3936" spans="1:11" x14ac:dyDescent="0.2">
      <c r="A3936" t="s">
        <v>4296</v>
      </c>
      <c r="B3936">
        <v>0</v>
      </c>
      <c r="C3936">
        <v>0</v>
      </c>
      <c r="D3936">
        <v>0</v>
      </c>
      <c r="E3936">
        <v>0</v>
      </c>
      <c r="F3936">
        <v>0</v>
      </c>
      <c r="G3936">
        <v>0</v>
      </c>
      <c r="H3936">
        <v>0</v>
      </c>
      <c r="I3936">
        <v>0</v>
      </c>
      <c r="J3936">
        <v>0</v>
      </c>
      <c r="K3936">
        <v>0</v>
      </c>
    </row>
    <row r="3937" spans="1:11" x14ac:dyDescent="0.2">
      <c r="A3937" t="s">
        <v>4297</v>
      </c>
      <c r="B3937">
        <v>0</v>
      </c>
      <c r="C3937">
        <v>0</v>
      </c>
      <c r="D3937">
        <v>0</v>
      </c>
      <c r="E3937">
        <v>0</v>
      </c>
      <c r="F3937">
        <v>0</v>
      </c>
      <c r="G3937">
        <v>0</v>
      </c>
      <c r="H3937">
        <v>0</v>
      </c>
      <c r="I3937">
        <v>0</v>
      </c>
      <c r="J3937">
        <v>0</v>
      </c>
      <c r="K3937">
        <v>0</v>
      </c>
    </row>
    <row r="3938" spans="1:11" x14ac:dyDescent="0.2">
      <c r="A3938" t="s">
        <v>4298</v>
      </c>
      <c r="B3938">
        <v>0</v>
      </c>
      <c r="C3938">
        <v>0</v>
      </c>
      <c r="D3938">
        <v>0</v>
      </c>
      <c r="E3938">
        <v>0</v>
      </c>
      <c r="F3938">
        <v>0</v>
      </c>
      <c r="G3938">
        <v>0</v>
      </c>
      <c r="H3938">
        <v>0</v>
      </c>
      <c r="I3938">
        <v>0</v>
      </c>
      <c r="J3938">
        <v>0</v>
      </c>
      <c r="K3938">
        <v>0</v>
      </c>
    </row>
    <row r="3939" spans="1:11" x14ac:dyDescent="0.2">
      <c r="A3939" t="s">
        <v>4299</v>
      </c>
      <c r="B3939">
        <v>0</v>
      </c>
      <c r="C3939">
        <v>0</v>
      </c>
      <c r="D3939">
        <v>0</v>
      </c>
      <c r="E3939">
        <v>0</v>
      </c>
      <c r="F3939">
        <v>0</v>
      </c>
      <c r="G3939">
        <v>0</v>
      </c>
      <c r="H3939">
        <v>0</v>
      </c>
      <c r="I3939">
        <v>0</v>
      </c>
      <c r="J3939">
        <v>0</v>
      </c>
      <c r="K3939">
        <v>0</v>
      </c>
    </row>
    <row r="3940" spans="1:11" x14ac:dyDescent="0.2">
      <c r="A3940" t="s">
        <v>4300</v>
      </c>
      <c r="B3940">
        <v>0</v>
      </c>
      <c r="C3940">
        <v>0</v>
      </c>
      <c r="D3940">
        <v>0</v>
      </c>
      <c r="E3940">
        <v>0</v>
      </c>
      <c r="F3940">
        <v>0</v>
      </c>
      <c r="G3940">
        <v>0</v>
      </c>
      <c r="H3940">
        <v>0</v>
      </c>
      <c r="I3940">
        <v>0</v>
      </c>
      <c r="J3940">
        <v>0</v>
      </c>
      <c r="K3940">
        <v>0</v>
      </c>
    </row>
    <row r="3941" spans="1:11" x14ac:dyDescent="0.2">
      <c r="A3941" t="s">
        <v>4301</v>
      </c>
      <c r="B3941">
        <v>0</v>
      </c>
      <c r="C3941">
        <v>0</v>
      </c>
      <c r="D3941">
        <v>0</v>
      </c>
      <c r="E3941">
        <v>0</v>
      </c>
      <c r="F3941">
        <v>0</v>
      </c>
      <c r="G3941">
        <v>0</v>
      </c>
      <c r="H3941">
        <v>1</v>
      </c>
      <c r="I3941">
        <v>1</v>
      </c>
      <c r="J3941">
        <v>0</v>
      </c>
      <c r="K3941">
        <v>0</v>
      </c>
    </row>
    <row r="3942" spans="1:11" x14ac:dyDescent="0.2">
      <c r="A3942" t="s">
        <v>4302</v>
      </c>
      <c r="B3942">
        <v>0</v>
      </c>
      <c r="C3942">
        <v>0</v>
      </c>
      <c r="D3942">
        <v>0</v>
      </c>
      <c r="E3942">
        <v>0</v>
      </c>
      <c r="F3942">
        <v>0</v>
      </c>
      <c r="G3942">
        <v>0</v>
      </c>
      <c r="H3942">
        <v>0</v>
      </c>
      <c r="I3942">
        <v>0</v>
      </c>
      <c r="J3942">
        <v>0</v>
      </c>
      <c r="K3942">
        <v>0</v>
      </c>
    </row>
    <row r="3943" spans="1:11" x14ac:dyDescent="0.2">
      <c r="A3943" t="s">
        <v>4303</v>
      </c>
      <c r="B3943">
        <v>0</v>
      </c>
      <c r="C3943">
        <v>0</v>
      </c>
      <c r="D3943">
        <v>0</v>
      </c>
      <c r="E3943">
        <v>0</v>
      </c>
      <c r="F3943">
        <v>0</v>
      </c>
      <c r="G3943">
        <v>0</v>
      </c>
      <c r="H3943">
        <v>0</v>
      </c>
      <c r="I3943">
        <v>0</v>
      </c>
      <c r="J3943">
        <v>0</v>
      </c>
      <c r="K3943">
        <v>0</v>
      </c>
    </row>
    <row r="3944" spans="1:11" x14ac:dyDescent="0.2">
      <c r="A3944" t="s">
        <v>4304</v>
      </c>
      <c r="B3944">
        <v>0</v>
      </c>
      <c r="C3944">
        <v>0</v>
      </c>
      <c r="D3944">
        <v>0</v>
      </c>
      <c r="E3944">
        <v>0</v>
      </c>
      <c r="F3944">
        <v>0</v>
      </c>
      <c r="G3944">
        <v>0</v>
      </c>
      <c r="H3944">
        <v>0</v>
      </c>
      <c r="I3944">
        <v>0</v>
      </c>
      <c r="J3944">
        <v>0</v>
      </c>
      <c r="K3944">
        <v>0</v>
      </c>
    </row>
    <row r="3945" spans="1:11" x14ac:dyDescent="0.2">
      <c r="A3945" t="s">
        <v>4305</v>
      </c>
      <c r="B3945">
        <v>0</v>
      </c>
      <c r="C3945">
        <v>0</v>
      </c>
      <c r="D3945">
        <v>0</v>
      </c>
      <c r="E3945">
        <v>0</v>
      </c>
      <c r="F3945">
        <v>0</v>
      </c>
      <c r="G3945">
        <v>0</v>
      </c>
      <c r="H3945">
        <v>0</v>
      </c>
      <c r="I3945">
        <v>0</v>
      </c>
      <c r="J3945">
        <v>0</v>
      </c>
      <c r="K3945">
        <v>0</v>
      </c>
    </row>
    <row r="3946" spans="1:11" x14ac:dyDescent="0.2">
      <c r="A3946" t="s">
        <v>4306</v>
      </c>
      <c r="B3946">
        <v>0</v>
      </c>
      <c r="C3946">
        <v>0</v>
      </c>
      <c r="D3946">
        <v>0</v>
      </c>
      <c r="E3946">
        <v>0</v>
      </c>
      <c r="F3946">
        <v>0</v>
      </c>
      <c r="G3946">
        <v>0</v>
      </c>
      <c r="H3946">
        <v>0</v>
      </c>
      <c r="I3946">
        <v>0</v>
      </c>
      <c r="J3946">
        <v>0</v>
      </c>
      <c r="K3946">
        <v>0</v>
      </c>
    </row>
    <row r="3947" spans="1:11" x14ac:dyDescent="0.2">
      <c r="A3947" t="s">
        <v>4307</v>
      </c>
      <c r="B3947">
        <v>0</v>
      </c>
      <c r="C3947">
        <v>0</v>
      </c>
      <c r="D3947">
        <v>0</v>
      </c>
      <c r="E3947">
        <v>0</v>
      </c>
      <c r="F3947">
        <v>0</v>
      </c>
      <c r="G3947">
        <v>0</v>
      </c>
      <c r="H3947">
        <v>0</v>
      </c>
      <c r="I3947">
        <v>0</v>
      </c>
      <c r="J3947">
        <v>0</v>
      </c>
      <c r="K3947">
        <v>0</v>
      </c>
    </row>
    <row r="3948" spans="1:11" x14ac:dyDescent="0.2">
      <c r="A3948" t="s">
        <v>4308</v>
      </c>
      <c r="B3948">
        <v>0</v>
      </c>
      <c r="C3948">
        <v>0</v>
      </c>
      <c r="D3948">
        <v>0</v>
      </c>
      <c r="E3948">
        <v>0</v>
      </c>
      <c r="F3948">
        <v>0</v>
      </c>
      <c r="G3948">
        <v>0</v>
      </c>
      <c r="H3948">
        <v>0</v>
      </c>
      <c r="I3948">
        <v>0</v>
      </c>
      <c r="J3948">
        <v>0</v>
      </c>
      <c r="K3948">
        <v>0</v>
      </c>
    </row>
    <row r="3949" spans="1:11" x14ac:dyDescent="0.2">
      <c r="A3949" t="s">
        <v>4309</v>
      </c>
      <c r="B3949">
        <v>0</v>
      </c>
      <c r="C3949">
        <v>0</v>
      </c>
      <c r="D3949">
        <v>0</v>
      </c>
      <c r="E3949">
        <v>0</v>
      </c>
      <c r="F3949">
        <v>0</v>
      </c>
      <c r="G3949">
        <v>0</v>
      </c>
      <c r="H3949">
        <v>0</v>
      </c>
      <c r="I3949">
        <v>0</v>
      </c>
      <c r="J3949">
        <v>0</v>
      </c>
      <c r="K3949">
        <v>0</v>
      </c>
    </row>
    <row r="3950" spans="1:11" x14ac:dyDescent="0.2">
      <c r="A3950" t="s">
        <v>4310</v>
      </c>
      <c r="B3950">
        <v>0</v>
      </c>
      <c r="C3950">
        <v>0</v>
      </c>
      <c r="D3950">
        <v>0</v>
      </c>
      <c r="E3950">
        <v>0</v>
      </c>
      <c r="F3950">
        <v>0</v>
      </c>
      <c r="G3950">
        <v>0</v>
      </c>
      <c r="H3950">
        <v>0</v>
      </c>
      <c r="I3950">
        <v>0</v>
      </c>
      <c r="J3950">
        <v>0</v>
      </c>
      <c r="K3950">
        <v>0</v>
      </c>
    </row>
    <row r="3951" spans="1:11" x14ac:dyDescent="0.2">
      <c r="A3951" t="s">
        <v>4311</v>
      </c>
      <c r="B3951">
        <v>0</v>
      </c>
      <c r="C3951">
        <v>0</v>
      </c>
      <c r="D3951">
        <v>0</v>
      </c>
      <c r="E3951">
        <v>0</v>
      </c>
      <c r="F3951">
        <v>0</v>
      </c>
      <c r="G3951">
        <v>0</v>
      </c>
      <c r="H3951">
        <v>0</v>
      </c>
      <c r="I3951">
        <v>0</v>
      </c>
      <c r="J3951">
        <v>0</v>
      </c>
      <c r="K3951">
        <v>0</v>
      </c>
    </row>
    <row r="3952" spans="1:11" x14ac:dyDescent="0.2">
      <c r="A3952" t="s">
        <v>4312</v>
      </c>
      <c r="B3952">
        <v>0</v>
      </c>
      <c r="C3952">
        <v>0</v>
      </c>
      <c r="D3952">
        <v>0</v>
      </c>
      <c r="E3952">
        <v>0</v>
      </c>
      <c r="F3952">
        <v>0</v>
      </c>
      <c r="G3952">
        <v>0</v>
      </c>
      <c r="H3952">
        <v>0</v>
      </c>
      <c r="I3952">
        <v>0</v>
      </c>
      <c r="J3952">
        <v>0</v>
      </c>
      <c r="K3952">
        <v>0</v>
      </c>
    </row>
    <row r="3953" spans="1:11" x14ac:dyDescent="0.2">
      <c r="A3953" t="s">
        <v>4313</v>
      </c>
      <c r="B3953">
        <v>0</v>
      </c>
      <c r="C3953">
        <v>0</v>
      </c>
      <c r="D3953">
        <v>0</v>
      </c>
      <c r="E3953">
        <v>0</v>
      </c>
      <c r="F3953">
        <v>0</v>
      </c>
      <c r="G3953">
        <v>0</v>
      </c>
      <c r="H3953">
        <v>0</v>
      </c>
      <c r="I3953">
        <v>0</v>
      </c>
      <c r="J3953">
        <v>0</v>
      </c>
      <c r="K3953">
        <v>0</v>
      </c>
    </row>
    <row r="3954" spans="1:11" x14ac:dyDescent="0.2">
      <c r="A3954" t="s">
        <v>4314</v>
      </c>
      <c r="B3954">
        <v>0</v>
      </c>
      <c r="C3954">
        <v>0</v>
      </c>
      <c r="D3954">
        <v>0</v>
      </c>
      <c r="E3954">
        <v>0</v>
      </c>
      <c r="F3954">
        <v>0</v>
      </c>
      <c r="G3954">
        <v>0</v>
      </c>
      <c r="H3954">
        <v>0</v>
      </c>
      <c r="I3954">
        <v>0</v>
      </c>
      <c r="J3954">
        <v>0</v>
      </c>
      <c r="K3954">
        <v>0</v>
      </c>
    </row>
    <row r="3955" spans="1:11" x14ac:dyDescent="0.2">
      <c r="A3955" t="s">
        <v>4315</v>
      </c>
      <c r="B3955">
        <v>0</v>
      </c>
      <c r="C3955">
        <v>0</v>
      </c>
      <c r="D3955">
        <v>0</v>
      </c>
      <c r="E3955">
        <v>0</v>
      </c>
      <c r="F3955">
        <v>0</v>
      </c>
      <c r="G3955">
        <v>0</v>
      </c>
      <c r="H3955">
        <v>0</v>
      </c>
      <c r="I3955">
        <v>0</v>
      </c>
      <c r="J3955">
        <v>0</v>
      </c>
      <c r="K3955">
        <v>0</v>
      </c>
    </row>
    <row r="3956" spans="1:11" x14ac:dyDescent="0.2">
      <c r="A3956" t="s">
        <v>4316</v>
      </c>
      <c r="B3956">
        <v>0</v>
      </c>
      <c r="C3956">
        <v>0</v>
      </c>
      <c r="D3956">
        <v>0</v>
      </c>
      <c r="E3956">
        <v>0</v>
      </c>
      <c r="F3956">
        <v>0</v>
      </c>
      <c r="G3956">
        <v>0</v>
      </c>
      <c r="H3956">
        <v>0</v>
      </c>
      <c r="I3956">
        <v>0</v>
      </c>
      <c r="J3956">
        <v>0</v>
      </c>
      <c r="K3956">
        <v>0</v>
      </c>
    </row>
    <row r="3957" spans="1:11" x14ac:dyDescent="0.2">
      <c r="A3957" t="s">
        <v>4317</v>
      </c>
      <c r="B3957">
        <v>0</v>
      </c>
      <c r="C3957">
        <v>0</v>
      </c>
      <c r="D3957">
        <v>0</v>
      </c>
      <c r="E3957">
        <v>0</v>
      </c>
      <c r="F3957">
        <v>0</v>
      </c>
      <c r="G3957">
        <v>0</v>
      </c>
      <c r="H3957">
        <v>0</v>
      </c>
      <c r="I3957">
        <v>0</v>
      </c>
      <c r="J3957">
        <v>0</v>
      </c>
      <c r="K3957">
        <v>0</v>
      </c>
    </row>
    <row r="3958" spans="1:11" x14ac:dyDescent="0.2">
      <c r="A3958" t="s">
        <v>4318</v>
      </c>
      <c r="B3958">
        <v>0</v>
      </c>
      <c r="C3958">
        <v>0</v>
      </c>
      <c r="D3958">
        <v>0</v>
      </c>
      <c r="E3958">
        <v>0</v>
      </c>
      <c r="F3958">
        <v>0</v>
      </c>
      <c r="G3958">
        <v>0</v>
      </c>
      <c r="H3958">
        <v>0</v>
      </c>
      <c r="I3958">
        <v>0</v>
      </c>
      <c r="J3958">
        <v>0</v>
      </c>
      <c r="K3958">
        <v>0</v>
      </c>
    </row>
    <row r="3959" spans="1:11" x14ac:dyDescent="0.2">
      <c r="A3959" t="s">
        <v>4319</v>
      </c>
      <c r="B3959">
        <v>0</v>
      </c>
      <c r="C3959">
        <v>0</v>
      </c>
      <c r="D3959">
        <v>0</v>
      </c>
      <c r="E3959">
        <v>0</v>
      </c>
      <c r="F3959">
        <v>0</v>
      </c>
      <c r="G3959">
        <v>0</v>
      </c>
      <c r="H3959">
        <v>0</v>
      </c>
      <c r="I3959">
        <v>0</v>
      </c>
      <c r="J3959">
        <v>0</v>
      </c>
      <c r="K3959">
        <v>0</v>
      </c>
    </row>
    <row r="3960" spans="1:11" x14ac:dyDescent="0.2">
      <c r="A3960" t="s">
        <v>4320</v>
      </c>
      <c r="B3960">
        <v>0</v>
      </c>
      <c r="C3960">
        <v>0</v>
      </c>
      <c r="D3960">
        <v>0</v>
      </c>
      <c r="E3960">
        <v>0</v>
      </c>
      <c r="F3960">
        <v>0</v>
      </c>
      <c r="G3960">
        <v>0</v>
      </c>
      <c r="H3960">
        <v>0</v>
      </c>
      <c r="I3960">
        <v>0</v>
      </c>
      <c r="J3960">
        <v>0</v>
      </c>
      <c r="K3960">
        <v>0</v>
      </c>
    </row>
    <row r="3961" spans="1:11" x14ac:dyDescent="0.2">
      <c r="A3961" t="s">
        <v>4321</v>
      </c>
      <c r="B3961">
        <v>0</v>
      </c>
      <c r="C3961">
        <v>0</v>
      </c>
      <c r="D3961">
        <v>0</v>
      </c>
      <c r="E3961">
        <v>0</v>
      </c>
      <c r="F3961">
        <v>0</v>
      </c>
      <c r="G3961">
        <v>0</v>
      </c>
      <c r="H3961">
        <v>0</v>
      </c>
      <c r="I3961">
        <v>0</v>
      </c>
      <c r="J3961">
        <v>0</v>
      </c>
      <c r="K3961">
        <v>0</v>
      </c>
    </row>
    <row r="3962" spans="1:11" x14ac:dyDescent="0.2">
      <c r="A3962" t="s">
        <v>4322</v>
      </c>
      <c r="B3962">
        <v>0</v>
      </c>
      <c r="C3962">
        <v>0</v>
      </c>
      <c r="D3962">
        <v>0</v>
      </c>
      <c r="E3962">
        <v>0</v>
      </c>
      <c r="F3962">
        <v>0</v>
      </c>
      <c r="G3962">
        <v>0</v>
      </c>
      <c r="H3962">
        <v>0</v>
      </c>
      <c r="I3962">
        <v>0</v>
      </c>
      <c r="J3962">
        <v>0</v>
      </c>
      <c r="K3962">
        <v>0</v>
      </c>
    </row>
    <row r="3963" spans="1:11" x14ac:dyDescent="0.2">
      <c r="A3963" t="s">
        <v>4323</v>
      </c>
      <c r="B3963">
        <v>0</v>
      </c>
      <c r="C3963">
        <v>0</v>
      </c>
      <c r="D3963">
        <v>0</v>
      </c>
      <c r="E3963">
        <v>0</v>
      </c>
      <c r="F3963">
        <v>0</v>
      </c>
      <c r="G3963">
        <v>0</v>
      </c>
      <c r="H3963">
        <v>0</v>
      </c>
      <c r="I3963">
        <v>0</v>
      </c>
      <c r="J3963">
        <v>0</v>
      </c>
      <c r="K3963">
        <v>0</v>
      </c>
    </row>
    <row r="3964" spans="1:11" x14ac:dyDescent="0.2">
      <c r="A3964" t="s">
        <v>4324</v>
      </c>
      <c r="B3964">
        <v>0</v>
      </c>
      <c r="C3964">
        <v>0</v>
      </c>
      <c r="D3964">
        <v>0</v>
      </c>
      <c r="E3964">
        <v>0</v>
      </c>
      <c r="F3964">
        <v>0</v>
      </c>
      <c r="G3964">
        <v>0</v>
      </c>
      <c r="H3964">
        <v>0</v>
      </c>
      <c r="I3964">
        <v>0</v>
      </c>
      <c r="J3964">
        <v>0</v>
      </c>
      <c r="K3964">
        <v>0</v>
      </c>
    </row>
    <row r="3965" spans="1:11" x14ac:dyDescent="0.2">
      <c r="A3965" t="s">
        <v>4325</v>
      </c>
      <c r="B3965">
        <v>0</v>
      </c>
      <c r="C3965">
        <v>0</v>
      </c>
      <c r="D3965">
        <v>0</v>
      </c>
      <c r="E3965">
        <v>0</v>
      </c>
      <c r="F3965">
        <v>0</v>
      </c>
      <c r="G3965">
        <v>0</v>
      </c>
      <c r="H3965">
        <v>0</v>
      </c>
      <c r="I3965">
        <v>0</v>
      </c>
      <c r="J3965">
        <v>0</v>
      </c>
      <c r="K3965">
        <v>0</v>
      </c>
    </row>
    <row r="3966" spans="1:11" x14ac:dyDescent="0.2">
      <c r="A3966" t="s">
        <v>4326</v>
      </c>
      <c r="B3966">
        <v>0</v>
      </c>
      <c r="C3966">
        <v>0</v>
      </c>
      <c r="D3966">
        <v>0</v>
      </c>
      <c r="E3966">
        <v>0</v>
      </c>
      <c r="F3966">
        <v>0</v>
      </c>
      <c r="G3966">
        <v>0</v>
      </c>
      <c r="H3966">
        <v>0</v>
      </c>
      <c r="I3966">
        <v>0</v>
      </c>
      <c r="J3966">
        <v>0</v>
      </c>
      <c r="K3966">
        <v>0</v>
      </c>
    </row>
    <row r="3967" spans="1:11" x14ac:dyDescent="0.2">
      <c r="A3967" t="s">
        <v>4327</v>
      </c>
      <c r="B3967">
        <v>0</v>
      </c>
      <c r="C3967">
        <v>0</v>
      </c>
      <c r="D3967">
        <v>0</v>
      </c>
      <c r="E3967">
        <v>0</v>
      </c>
      <c r="F3967">
        <v>0</v>
      </c>
      <c r="G3967">
        <v>0</v>
      </c>
      <c r="H3967">
        <v>0</v>
      </c>
      <c r="I3967">
        <v>0</v>
      </c>
      <c r="J3967">
        <v>0</v>
      </c>
      <c r="K3967">
        <v>0</v>
      </c>
    </row>
    <row r="3968" spans="1:11" x14ac:dyDescent="0.2">
      <c r="A3968" t="s">
        <v>4328</v>
      </c>
      <c r="B3968">
        <v>0</v>
      </c>
      <c r="C3968">
        <v>0</v>
      </c>
      <c r="D3968">
        <v>0</v>
      </c>
      <c r="E3968">
        <v>0</v>
      </c>
      <c r="F3968">
        <v>0</v>
      </c>
      <c r="G3968">
        <v>0</v>
      </c>
      <c r="H3968">
        <v>0</v>
      </c>
      <c r="I3968">
        <v>0</v>
      </c>
      <c r="J3968">
        <v>0</v>
      </c>
      <c r="K3968">
        <v>0</v>
      </c>
    </row>
    <row r="3969" spans="1:11" x14ac:dyDescent="0.2">
      <c r="A3969" t="s">
        <v>4329</v>
      </c>
      <c r="B3969">
        <v>0</v>
      </c>
      <c r="C3969">
        <v>0</v>
      </c>
      <c r="D3969">
        <v>0</v>
      </c>
      <c r="E3969">
        <v>0</v>
      </c>
      <c r="F3969">
        <v>0</v>
      </c>
      <c r="G3969">
        <v>0</v>
      </c>
      <c r="H3969">
        <v>0</v>
      </c>
      <c r="I3969">
        <v>0</v>
      </c>
      <c r="J3969">
        <v>0</v>
      </c>
      <c r="K3969">
        <v>0</v>
      </c>
    </row>
    <row r="3970" spans="1:11" x14ac:dyDescent="0.2">
      <c r="A3970" t="s">
        <v>4330</v>
      </c>
      <c r="B3970">
        <v>0</v>
      </c>
      <c r="C3970">
        <v>0</v>
      </c>
      <c r="D3970">
        <v>0</v>
      </c>
      <c r="E3970">
        <v>0</v>
      </c>
      <c r="F3970">
        <v>0</v>
      </c>
      <c r="G3970">
        <v>0</v>
      </c>
      <c r="H3970">
        <v>0</v>
      </c>
      <c r="I3970">
        <v>0</v>
      </c>
      <c r="J3970">
        <v>0</v>
      </c>
      <c r="K3970">
        <v>0</v>
      </c>
    </row>
    <row r="3971" spans="1:11" x14ac:dyDescent="0.2">
      <c r="A3971" t="s">
        <v>4331</v>
      </c>
      <c r="B3971">
        <v>0</v>
      </c>
      <c r="C3971">
        <v>0</v>
      </c>
      <c r="D3971">
        <v>0</v>
      </c>
      <c r="E3971">
        <v>0</v>
      </c>
      <c r="F3971">
        <v>0</v>
      </c>
      <c r="G3971">
        <v>0</v>
      </c>
      <c r="H3971">
        <v>0</v>
      </c>
      <c r="I3971">
        <v>0</v>
      </c>
      <c r="J3971">
        <v>0</v>
      </c>
      <c r="K3971">
        <v>0</v>
      </c>
    </row>
    <row r="3972" spans="1:11" x14ac:dyDescent="0.2">
      <c r="A3972" t="s">
        <v>4332</v>
      </c>
      <c r="B3972">
        <v>0</v>
      </c>
      <c r="C3972">
        <v>0</v>
      </c>
      <c r="D3972">
        <v>0</v>
      </c>
      <c r="E3972">
        <v>0</v>
      </c>
      <c r="F3972">
        <v>0</v>
      </c>
      <c r="G3972">
        <v>0</v>
      </c>
      <c r="H3972">
        <v>0</v>
      </c>
      <c r="I3972">
        <v>0</v>
      </c>
      <c r="J3972">
        <v>0</v>
      </c>
      <c r="K3972">
        <v>0</v>
      </c>
    </row>
    <row r="3973" spans="1:11" x14ac:dyDescent="0.2">
      <c r="A3973" t="s">
        <v>4333</v>
      </c>
      <c r="B3973">
        <v>0</v>
      </c>
      <c r="C3973">
        <v>0</v>
      </c>
      <c r="D3973">
        <v>0</v>
      </c>
      <c r="E3973">
        <v>0</v>
      </c>
      <c r="F3973">
        <v>0</v>
      </c>
      <c r="G3973">
        <v>0</v>
      </c>
      <c r="H3973">
        <v>0</v>
      </c>
      <c r="I3973">
        <v>0</v>
      </c>
      <c r="J3973">
        <v>0</v>
      </c>
      <c r="K3973">
        <v>0</v>
      </c>
    </row>
    <row r="3974" spans="1:11" x14ac:dyDescent="0.2">
      <c r="A3974" t="s">
        <v>4334</v>
      </c>
      <c r="B3974">
        <v>0</v>
      </c>
      <c r="C3974">
        <v>0</v>
      </c>
      <c r="D3974">
        <v>0</v>
      </c>
      <c r="E3974">
        <v>0</v>
      </c>
      <c r="F3974">
        <v>0</v>
      </c>
      <c r="G3974">
        <v>0</v>
      </c>
      <c r="H3974">
        <v>0</v>
      </c>
      <c r="I3974">
        <v>0</v>
      </c>
      <c r="J3974">
        <v>0</v>
      </c>
      <c r="K3974">
        <v>0</v>
      </c>
    </row>
    <row r="3975" spans="1:11" x14ac:dyDescent="0.2">
      <c r="A3975" t="s">
        <v>4335</v>
      </c>
      <c r="B3975">
        <v>0</v>
      </c>
      <c r="C3975">
        <v>0</v>
      </c>
      <c r="D3975">
        <v>0</v>
      </c>
      <c r="E3975">
        <v>0</v>
      </c>
      <c r="F3975">
        <v>0</v>
      </c>
      <c r="G3975">
        <v>0</v>
      </c>
      <c r="H3975">
        <v>0</v>
      </c>
      <c r="I3975">
        <v>0</v>
      </c>
      <c r="J3975">
        <v>0</v>
      </c>
      <c r="K3975">
        <v>0</v>
      </c>
    </row>
    <row r="3976" spans="1:11" x14ac:dyDescent="0.2">
      <c r="A3976" t="s">
        <v>4336</v>
      </c>
      <c r="B3976">
        <v>0</v>
      </c>
      <c r="C3976">
        <v>0</v>
      </c>
      <c r="D3976">
        <v>0</v>
      </c>
      <c r="E3976">
        <v>0</v>
      </c>
      <c r="F3976">
        <v>0</v>
      </c>
      <c r="G3976">
        <v>0</v>
      </c>
      <c r="H3976">
        <v>0</v>
      </c>
      <c r="I3976">
        <v>0</v>
      </c>
      <c r="J3976">
        <v>0</v>
      </c>
      <c r="K3976">
        <v>0</v>
      </c>
    </row>
    <row r="3977" spans="1:11" x14ac:dyDescent="0.2">
      <c r="A3977" t="s">
        <v>4337</v>
      </c>
      <c r="B3977">
        <v>0</v>
      </c>
      <c r="C3977">
        <v>0</v>
      </c>
      <c r="D3977">
        <v>0</v>
      </c>
      <c r="E3977">
        <v>0</v>
      </c>
      <c r="F3977">
        <v>0</v>
      </c>
      <c r="G3977">
        <v>0</v>
      </c>
      <c r="H3977">
        <v>0</v>
      </c>
      <c r="I3977">
        <v>0</v>
      </c>
      <c r="J3977">
        <v>0</v>
      </c>
      <c r="K3977">
        <v>0</v>
      </c>
    </row>
    <row r="3978" spans="1:11" x14ac:dyDescent="0.2">
      <c r="A3978" t="s">
        <v>4338</v>
      </c>
      <c r="B3978">
        <v>0</v>
      </c>
      <c r="C3978">
        <v>0</v>
      </c>
      <c r="D3978">
        <v>0</v>
      </c>
      <c r="E3978">
        <v>0</v>
      </c>
      <c r="F3978">
        <v>0</v>
      </c>
      <c r="G3978">
        <v>0</v>
      </c>
      <c r="H3978">
        <v>0</v>
      </c>
      <c r="I3978">
        <v>0</v>
      </c>
      <c r="J3978">
        <v>0</v>
      </c>
      <c r="K3978">
        <v>0</v>
      </c>
    </row>
    <row r="3979" spans="1:11" x14ac:dyDescent="0.2">
      <c r="A3979" t="s">
        <v>4339</v>
      </c>
      <c r="B3979">
        <v>0</v>
      </c>
      <c r="C3979">
        <v>0</v>
      </c>
      <c r="D3979">
        <v>0</v>
      </c>
      <c r="E3979">
        <v>0</v>
      </c>
      <c r="F3979">
        <v>0</v>
      </c>
      <c r="G3979">
        <v>0</v>
      </c>
      <c r="H3979">
        <v>0</v>
      </c>
      <c r="I3979">
        <v>0</v>
      </c>
      <c r="J3979">
        <v>0</v>
      </c>
      <c r="K3979">
        <v>0</v>
      </c>
    </row>
    <row r="3980" spans="1:11" x14ac:dyDescent="0.2">
      <c r="A3980" t="s">
        <v>4340</v>
      </c>
      <c r="B3980">
        <v>0</v>
      </c>
      <c r="C3980">
        <v>0</v>
      </c>
      <c r="D3980">
        <v>0</v>
      </c>
      <c r="E3980">
        <v>0</v>
      </c>
      <c r="F3980">
        <v>0</v>
      </c>
      <c r="G3980">
        <v>0</v>
      </c>
      <c r="H3980">
        <v>0</v>
      </c>
      <c r="I3980">
        <v>0</v>
      </c>
      <c r="J3980">
        <v>0</v>
      </c>
      <c r="K3980">
        <v>0</v>
      </c>
    </row>
    <row r="3981" spans="1:11" x14ac:dyDescent="0.2">
      <c r="A3981" t="s">
        <v>4341</v>
      </c>
      <c r="B3981">
        <v>0</v>
      </c>
      <c r="C3981">
        <v>0</v>
      </c>
      <c r="D3981">
        <v>0</v>
      </c>
      <c r="E3981">
        <v>0</v>
      </c>
      <c r="F3981">
        <v>0</v>
      </c>
      <c r="G3981">
        <v>0</v>
      </c>
      <c r="H3981">
        <v>0</v>
      </c>
      <c r="I3981">
        <v>0</v>
      </c>
      <c r="J3981">
        <v>0</v>
      </c>
      <c r="K3981">
        <v>0</v>
      </c>
    </row>
    <row r="3982" spans="1:11" x14ac:dyDescent="0.2">
      <c r="A3982" t="s">
        <v>4342</v>
      </c>
      <c r="B3982">
        <v>0</v>
      </c>
      <c r="C3982">
        <v>0</v>
      </c>
      <c r="D3982">
        <v>0</v>
      </c>
      <c r="E3982">
        <v>0</v>
      </c>
      <c r="F3982">
        <v>0</v>
      </c>
      <c r="G3982">
        <v>0</v>
      </c>
      <c r="H3982">
        <v>0</v>
      </c>
      <c r="I3982">
        <v>0</v>
      </c>
      <c r="J3982">
        <v>0</v>
      </c>
      <c r="K3982">
        <v>0</v>
      </c>
    </row>
    <row r="3983" spans="1:11" x14ac:dyDescent="0.2">
      <c r="A3983" t="s">
        <v>4343</v>
      </c>
      <c r="B3983">
        <v>0</v>
      </c>
      <c r="C3983">
        <v>0</v>
      </c>
      <c r="D3983">
        <v>0</v>
      </c>
      <c r="E3983">
        <v>0</v>
      </c>
      <c r="F3983">
        <v>0</v>
      </c>
      <c r="G3983">
        <v>0</v>
      </c>
      <c r="H3983">
        <v>0</v>
      </c>
      <c r="I3983">
        <v>0</v>
      </c>
      <c r="J3983">
        <v>0</v>
      </c>
      <c r="K3983">
        <v>0</v>
      </c>
    </row>
    <row r="3984" spans="1:11" x14ac:dyDescent="0.2">
      <c r="A3984" t="s">
        <v>1728</v>
      </c>
      <c r="B3984">
        <v>0</v>
      </c>
      <c r="C3984">
        <v>0</v>
      </c>
      <c r="D3984">
        <v>0</v>
      </c>
      <c r="E3984">
        <v>0</v>
      </c>
      <c r="F3984">
        <v>0</v>
      </c>
      <c r="G3984">
        <v>0</v>
      </c>
      <c r="H3984">
        <v>0</v>
      </c>
      <c r="I3984">
        <v>0</v>
      </c>
      <c r="J3984">
        <v>0</v>
      </c>
      <c r="K3984">
        <v>0</v>
      </c>
    </row>
    <row r="3985" spans="1:11" x14ac:dyDescent="0.2">
      <c r="A3985" t="s">
        <v>1730</v>
      </c>
      <c r="B3985">
        <v>0</v>
      </c>
      <c r="C3985">
        <v>0</v>
      </c>
      <c r="D3985">
        <v>0</v>
      </c>
      <c r="E3985">
        <v>0</v>
      </c>
      <c r="F3985">
        <v>0</v>
      </c>
      <c r="G3985">
        <v>0</v>
      </c>
      <c r="H3985">
        <v>0</v>
      </c>
      <c r="I3985">
        <v>0</v>
      </c>
      <c r="J3985">
        <v>0</v>
      </c>
      <c r="K3985">
        <v>0</v>
      </c>
    </row>
    <row r="3986" spans="1:11" x14ac:dyDescent="0.2">
      <c r="A3986" t="s">
        <v>1733</v>
      </c>
      <c r="B3986">
        <v>0</v>
      </c>
      <c r="C3986">
        <v>0</v>
      </c>
      <c r="D3986">
        <v>0</v>
      </c>
      <c r="E3986">
        <v>0</v>
      </c>
      <c r="F3986">
        <v>0</v>
      </c>
      <c r="G3986">
        <v>0</v>
      </c>
      <c r="H3986">
        <v>0</v>
      </c>
      <c r="I3986">
        <v>0</v>
      </c>
      <c r="J3986">
        <v>0</v>
      </c>
      <c r="K3986">
        <v>0</v>
      </c>
    </row>
    <row r="3987" spans="1:11" x14ac:dyDescent="0.2">
      <c r="A3987" t="s">
        <v>1738</v>
      </c>
      <c r="B3987">
        <v>0</v>
      </c>
      <c r="C3987">
        <v>0</v>
      </c>
      <c r="D3987">
        <v>0</v>
      </c>
      <c r="E3987">
        <v>0</v>
      </c>
      <c r="F3987">
        <v>0</v>
      </c>
      <c r="G3987">
        <v>0</v>
      </c>
      <c r="H3987">
        <v>0</v>
      </c>
      <c r="I3987">
        <v>0</v>
      </c>
      <c r="J3987">
        <v>0</v>
      </c>
      <c r="K3987">
        <v>0</v>
      </c>
    </row>
    <row r="3988" spans="1:11" x14ac:dyDescent="0.2">
      <c r="A3988" t="s">
        <v>1744</v>
      </c>
      <c r="B3988">
        <v>0</v>
      </c>
      <c r="C3988">
        <v>0</v>
      </c>
      <c r="D3988">
        <v>0</v>
      </c>
      <c r="E3988">
        <v>0</v>
      </c>
      <c r="F3988">
        <v>0</v>
      </c>
      <c r="G3988">
        <v>0</v>
      </c>
      <c r="H3988">
        <v>0</v>
      </c>
      <c r="I3988">
        <v>0</v>
      </c>
      <c r="J3988">
        <v>0</v>
      </c>
      <c r="K3988">
        <v>0</v>
      </c>
    </row>
    <row r="3989" spans="1:11" x14ac:dyDescent="0.2">
      <c r="A3989" t="s">
        <v>1747</v>
      </c>
      <c r="B3989">
        <v>0</v>
      </c>
      <c r="C3989">
        <v>0</v>
      </c>
      <c r="D3989">
        <v>0</v>
      </c>
      <c r="E3989">
        <v>0</v>
      </c>
      <c r="F3989">
        <v>0</v>
      </c>
      <c r="G3989">
        <v>0</v>
      </c>
      <c r="H3989">
        <v>0</v>
      </c>
      <c r="I3989">
        <v>0</v>
      </c>
      <c r="J3989">
        <v>0</v>
      </c>
      <c r="K3989">
        <v>0</v>
      </c>
    </row>
    <row r="3990" spans="1:11" x14ac:dyDescent="0.2">
      <c r="A3990" t="s">
        <v>1751</v>
      </c>
      <c r="B3990">
        <v>0</v>
      </c>
      <c r="C3990">
        <v>0</v>
      </c>
      <c r="D3990">
        <v>0</v>
      </c>
      <c r="E3990">
        <v>0</v>
      </c>
      <c r="F3990">
        <v>0</v>
      </c>
      <c r="G3990">
        <v>0</v>
      </c>
      <c r="H3990">
        <v>0</v>
      </c>
      <c r="I3990">
        <v>0</v>
      </c>
      <c r="J3990">
        <v>0</v>
      </c>
      <c r="K3990">
        <v>0</v>
      </c>
    </row>
    <row r="3991" spans="1:11" x14ac:dyDescent="0.2">
      <c r="A3991" t="s">
        <v>1755</v>
      </c>
      <c r="B3991">
        <v>0</v>
      </c>
      <c r="C3991">
        <v>0</v>
      </c>
      <c r="D3991">
        <v>0</v>
      </c>
      <c r="E3991">
        <v>0</v>
      </c>
      <c r="F3991">
        <v>0</v>
      </c>
      <c r="G3991">
        <v>0</v>
      </c>
      <c r="H3991">
        <v>0</v>
      </c>
      <c r="I3991">
        <v>0</v>
      </c>
      <c r="J3991">
        <v>0</v>
      </c>
      <c r="K3991">
        <v>0</v>
      </c>
    </row>
    <row r="3992" spans="1:11" x14ac:dyDescent="0.2">
      <c r="A3992" t="s">
        <v>1757</v>
      </c>
      <c r="B3992">
        <v>0</v>
      </c>
      <c r="C3992">
        <v>0</v>
      </c>
      <c r="D3992">
        <v>0</v>
      </c>
      <c r="E3992">
        <v>0</v>
      </c>
      <c r="F3992">
        <v>0</v>
      </c>
      <c r="G3992">
        <v>0</v>
      </c>
      <c r="H3992">
        <v>0</v>
      </c>
      <c r="I3992">
        <v>0</v>
      </c>
      <c r="J3992">
        <v>0</v>
      </c>
      <c r="K3992">
        <v>0</v>
      </c>
    </row>
    <row r="3993" spans="1:11" x14ac:dyDescent="0.2">
      <c r="A3993" t="s">
        <v>1761</v>
      </c>
      <c r="B3993">
        <v>0</v>
      </c>
      <c r="C3993">
        <v>0</v>
      </c>
      <c r="D3993">
        <v>0</v>
      </c>
      <c r="E3993">
        <v>0</v>
      </c>
      <c r="F3993">
        <v>0</v>
      </c>
      <c r="G3993">
        <v>0</v>
      </c>
      <c r="H3993">
        <v>0</v>
      </c>
      <c r="I3993">
        <v>0</v>
      </c>
      <c r="J3993">
        <v>0</v>
      </c>
      <c r="K3993">
        <v>0</v>
      </c>
    </row>
    <row r="3994" spans="1:11" x14ac:dyDescent="0.2">
      <c r="A3994" t="s">
        <v>1764</v>
      </c>
      <c r="B3994">
        <v>0</v>
      </c>
      <c r="C3994">
        <v>0</v>
      </c>
      <c r="D3994">
        <v>0</v>
      </c>
      <c r="E3994">
        <v>0</v>
      </c>
      <c r="F3994">
        <v>0</v>
      </c>
      <c r="G3994">
        <v>0</v>
      </c>
      <c r="H3994">
        <v>0</v>
      </c>
      <c r="I3994">
        <v>0</v>
      </c>
      <c r="J3994">
        <v>0</v>
      </c>
      <c r="K3994">
        <v>0</v>
      </c>
    </row>
    <row r="3995" spans="1:11" x14ac:dyDescent="0.2">
      <c r="A3995" t="s">
        <v>1770</v>
      </c>
      <c r="B3995">
        <v>0</v>
      </c>
      <c r="C3995">
        <v>0</v>
      </c>
      <c r="D3995">
        <v>0</v>
      </c>
      <c r="E3995">
        <v>0</v>
      </c>
      <c r="F3995">
        <v>0</v>
      </c>
      <c r="G3995">
        <v>0</v>
      </c>
      <c r="H3995">
        <v>0</v>
      </c>
      <c r="I3995">
        <v>0</v>
      </c>
      <c r="J3995">
        <v>0</v>
      </c>
      <c r="K3995">
        <v>0</v>
      </c>
    </row>
    <row r="3996" spans="1:11" x14ac:dyDescent="0.2">
      <c r="A3996" t="s">
        <v>1772</v>
      </c>
      <c r="B3996">
        <v>0</v>
      </c>
      <c r="C3996">
        <v>0</v>
      </c>
      <c r="D3996">
        <v>0</v>
      </c>
      <c r="E3996">
        <v>0</v>
      </c>
      <c r="F3996">
        <v>0</v>
      </c>
      <c r="G3996">
        <v>0</v>
      </c>
      <c r="H3996">
        <v>0</v>
      </c>
      <c r="I3996">
        <v>0</v>
      </c>
      <c r="J3996">
        <v>0</v>
      </c>
      <c r="K3996">
        <v>0</v>
      </c>
    </row>
    <row r="3997" spans="1:11" x14ac:dyDescent="0.2">
      <c r="A3997" t="s">
        <v>1774</v>
      </c>
      <c r="B3997">
        <v>0</v>
      </c>
      <c r="C3997">
        <v>0</v>
      </c>
      <c r="D3997">
        <v>0</v>
      </c>
      <c r="E3997">
        <v>0</v>
      </c>
      <c r="F3997">
        <v>0</v>
      </c>
      <c r="G3997">
        <v>0</v>
      </c>
      <c r="H3997">
        <v>0</v>
      </c>
      <c r="I3997">
        <v>0</v>
      </c>
      <c r="J3997">
        <v>0</v>
      </c>
      <c r="K3997">
        <v>0</v>
      </c>
    </row>
    <row r="3998" spans="1:11" x14ac:dyDescent="0.2">
      <c r="A3998" t="s">
        <v>1777</v>
      </c>
      <c r="B3998">
        <v>0</v>
      </c>
      <c r="C3998">
        <v>0</v>
      </c>
      <c r="D3998">
        <v>0</v>
      </c>
      <c r="E3998">
        <v>0</v>
      </c>
      <c r="F3998">
        <v>0</v>
      </c>
      <c r="G3998">
        <v>0</v>
      </c>
      <c r="H3998">
        <v>0</v>
      </c>
      <c r="I3998">
        <v>0</v>
      </c>
      <c r="J3998">
        <v>0</v>
      </c>
      <c r="K3998">
        <v>0</v>
      </c>
    </row>
    <row r="3999" spans="1:11" x14ac:dyDescent="0.2">
      <c r="A3999" t="s">
        <v>1782</v>
      </c>
      <c r="B3999">
        <v>0</v>
      </c>
      <c r="C3999">
        <v>0</v>
      </c>
      <c r="D3999">
        <v>0</v>
      </c>
      <c r="E3999">
        <v>0</v>
      </c>
      <c r="F3999">
        <v>0</v>
      </c>
      <c r="G3999">
        <v>0</v>
      </c>
      <c r="H3999">
        <v>0</v>
      </c>
      <c r="I3999">
        <v>0</v>
      </c>
      <c r="J3999">
        <v>0</v>
      </c>
      <c r="K3999">
        <v>0</v>
      </c>
    </row>
    <row r="4000" spans="1:11" x14ac:dyDescent="0.2">
      <c r="A4000" t="s">
        <v>1274</v>
      </c>
      <c r="B4000">
        <v>0</v>
      </c>
      <c r="C4000">
        <v>0</v>
      </c>
      <c r="D4000">
        <v>0</v>
      </c>
      <c r="E4000">
        <v>0</v>
      </c>
      <c r="F4000">
        <v>0</v>
      </c>
      <c r="G4000">
        <v>0</v>
      </c>
      <c r="H4000">
        <v>0</v>
      </c>
      <c r="I4000">
        <v>0</v>
      </c>
      <c r="J4000">
        <v>0</v>
      </c>
      <c r="K4000">
        <v>0</v>
      </c>
    </row>
    <row r="4001" spans="1:11" x14ac:dyDescent="0.2">
      <c r="A4001" t="s">
        <v>1277</v>
      </c>
      <c r="B4001">
        <v>0</v>
      </c>
      <c r="C4001">
        <v>0</v>
      </c>
      <c r="D4001">
        <v>0</v>
      </c>
      <c r="E4001">
        <v>0</v>
      </c>
      <c r="F4001">
        <v>0</v>
      </c>
      <c r="G4001">
        <v>0</v>
      </c>
      <c r="H4001">
        <v>0</v>
      </c>
      <c r="I4001">
        <v>0</v>
      </c>
      <c r="J4001">
        <v>0</v>
      </c>
      <c r="K4001">
        <v>0</v>
      </c>
    </row>
    <row r="4002" spans="1:11" x14ac:dyDescent="0.2">
      <c r="A4002" t="s">
        <v>1798</v>
      </c>
      <c r="B4002">
        <v>0</v>
      </c>
      <c r="C4002">
        <v>0</v>
      </c>
      <c r="D4002">
        <v>0</v>
      </c>
      <c r="E4002">
        <v>0</v>
      </c>
      <c r="F4002">
        <v>0</v>
      </c>
      <c r="G4002">
        <v>0</v>
      </c>
      <c r="H4002">
        <v>0</v>
      </c>
      <c r="I4002">
        <v>0</v>
      </c>
      <c r="J4002">
        <v>0</v>
      </c>
      <c r="K4002">
        <v>0</v>
      </c>
    </row>
    <row r="4003" spans="1:11" x14ac:dyDescent="0.2">
      <c r="A4003" t="s">
        <v>1803</v>
      </c>
      <c r="B4003">
        <v>0</v>
      </c>
      <c r="C4003">
        <v>0</v>
      </c>
      <c r="D4003">
        <v>0</v>
      </c>
      <c r="E4003">
        <v>0</v>
      </c>
      <c r="F4003">
        <v>0</v>
      </c>
      <c r="G4003">
        <v>0</v>
      </c>
      <c r="H4003">
        <v>0</v>
      </c>
      <c r="I4003">
        <v>0</v>
      </c>
      <c r="J4003">
        <v>0</v>
      </c>
      <c r="K4003">
        <v>0</v>
      </c>
    </row>
    <row r="4004" spans="1:11" x14ac:dyDescent="0.2">
      <c r="A4004" t="s">
        <v>1808</v>
      </c>
      <c r="B4004">
        <v>0</v>
      </c>
      <c r="C4004">
        <v>0</v>
      </c>
      <c r="D4004">
        <v>0</v>
      </c>
      <c r="E4004">
        <v>0</v>
      </c>
      <c r="F4004">
        <v>0</v>
      </c>
      <c r="G4004">
        <v>0</v>
      </c>
      <c r="H4004">
        <v>0</v>
      </c>
      <c r="I4004">
        <v>0</v>
      </c>
      <c r="J4004">
        <v>0</v>
      </c>
      <c r="K4004">
        <v>0</v>
      </c>
    </row>
    <row r="4005" spans="1:11" x14ac:dyDescent="0.2">
      <c r="A4005" t="s">
        <v>1813</v>
      </c>
      <c r="B4005">
        <v>0</v>
      </c>
      <c r="C4005">
        <v>0</v>
      </c>
      <c r="D4005">
        <v>0</v>
      </c>
      <c r="E4005">
        <v>0</v>
      </c>
      <c r="F4005">
        <v>0</v>
      </c>
      <c r="G4005">
        <v>0</v>
      </c>
      <c r="H4005">
        <v>0</v>
      </c>
      <c r="I4005">
        <v>0</v>
      </c>
      <c r="J4005">
        <v>0</v>
      </c>
      <c r="K4005">
        <v>0</v>
      </c>
    </row>
    <row r="4006" spans="1:11" x14ac:dyDescent="0.2">
      <c r="A4006" t="s">
        <v>1819</v>
      </c>
      <c r="B4006">
        <v>0</v>
      </c>
      <c r="C4006">
        <v>0</v>
      </c>
      <c r="D4006">
        <v>0</v>
      </c>
      <c r="E4006">
        <v>0</v>
      </c>
      <c r="F4006">
        <v>0</v>
      </c>
      <c r="G4006">
        <v>0</v>
      </c>
      <c r="H4006">
        <v>0</v>
      </c>
      <c r="I4006">
        <v>0</v>
      </c>
      <c r="J4006">
        <v>0</v>
      </c>
      <c r="K4006">
        <v>0</v>
      </c>
    </row>
    <row r="4007" spans="1:11" x14ac:dyDescent="0.2">
      <c r="A4007" t="s">
        <v>1826</v>
      </c>
      <c r="B4007">
        <v>0</v>
      </c>
      <c r="C4007">
        <v>0</v>
      </c>
      <c r="D4007">
        <v>0</v>
      </c>
      <c r="E4007">
        <v>0</v>
      </c>
      <c r="F4007">
        <v>0</v>
      </c>
      <c r="G4007">
        <v>0</v>
      </c>
      <c r="H4007">
        <v>0</v>
      </c>
      <c r="I4007">
        <v>0</v>
      </c>
      <c r="J4007">
        <v>0</v>
      </c>
      <c r="K4007">
        <v>0</v>
      </c>
    </row>
    <row r="4008" spans="1:11" x14ac:dyDescent="0.2">
      <c r="A4008" t="s">
        <v>1830</v>
      </c>
      <c r="B4008">
        <v>0</v>
      </c>
      <c r="C4008">
        <v>0</v>
      </c>
      <c r="D4008">
        <v>0</v>
      </c>
      <c r="E4008">
        <v>0</v>
      </c>
      <c r="F4008">
        <v>0</v>
      </c>
      <c r="G4008">
        <v>0</v>
      </c>
      <c r="H4008">
        <v>0</v>
      </c>
      <c r="I4008">
        <v>0</v>
      </c>
      <c r="J4008">
        <v>0</v>
      </c>
      <c r="K4008">
        <v>0</v>
      </c>
    </row>
    <row r="4009" spans="1:11" x14ac:dyDescent="0.2">
      <c r="A4009" t="s">
        <v>1836</v>
      </c>
      <c r="B4009">
        <v>0</v>
      </c>
      <c r="C4009">
        <v>0</v>
      </c>
      <c r="D4009">
        <v>0</v>
      </c>
      <c r="E4009">
        <v>0</v>
      </c>
      <c r="F4009">
        <v>0</v>
      </c>
      <c r="G4009">
        <v>0</v>
      </c>
      <c r="H4009">
        <v>0</v>
      </c>
      <c r="I4009">
        <v>0</v>
      </c>
      <c r="J4009">
        <v>0</v>
      </c>
      <c r="K4009">
        <v>0</v>
      </c>
    </row>
    <row r="4010" spans="1:11" x14ac:dyDescent="0.2">
      <c r="A4010" t="s">
        <v>1841</v>
      </c>
      <c r="B4010">
        <v>0</v>
      </c>
      <c r="C4010">
        <v>0</v>
      </c>
      <c r="D4010">
        <v>0</v>
      </c>
      <c r="E4010">
        <v>0</v>
      </c>
      <c r="F4010">
        <v>0</v>
      </c>
      <c r="G4010">
        <v>0</v>
      </c>
      <c r="H4010">
        <v>0</v>
      </c>
      <c r="I4010">
        <v>0</v>
      </c>
      <c r="J4010">
        <v>0</v>
      </c>
      <c r="K4010">
        <v>0</v>
      </c>
    </row>
    <row r="4011" spans="1:11" x14ac:dyDescent="0.2">
      <c r="A4011" t="s">
        <v>1842</v>
      </c>
      <c r="B4011">
        <v>0</v>
      </c>
      <c r="C4011">
        <v>0</v>
      </c>
      <c r="D4011">
        <v>0</v>
      </c>
      <c r="E4011">
        <v>0</v>
      </c>
      <c r="F4011">
        <v>0</v>
      </c>
      <c r="G4011">
        <v>0</v>
      </c>
      <c r="H4011">
        <v>0</v>
      </c>
      <c r="I4011">
        <v>0</v>
      </c>
      <c r="J4011">
        <v>0</v>
      </c>
      <c r="K4011">
        <v>0</v>
      </c>
    </row>
    <row r="4012" spans="1:11" x14ac:dyDescent="0.2">
      <c r="A4012" t="s">
        <v>1843</v>
      </c>
      <c r="B4012">
        <v>0</v>
      </c>
      <c r="C4012">
        <v>0</v>
      </c>
      <c r="D4012">
        <v>0</v>
      </c>
      <c r="E4012">
        <v>0</v>
      </c>
      <c r="F4012">
        <v>0</v>
      </c>
      <c r="G4012">
        <v>0</v>
      </c>
      <c r="H4012">
        <v>0</v>
      </c>
      <c r="I4012">
        <v>0</v>
      </c>
      <c r="J4012">
        <v>0</v>
      </c>
      <c r="K4012">
        <v>0</v>
      </c>
    </row>
    <row r="4013" spans="1:11" x14ac:dyDescent="0.2">
      <c r="A4013" t="s">
        <v>1846</v>
      </c>
      <c r="B4013">
        <v>0</v>
      </c>
      <c r="C4013">
        <v>0</v>
      </c>
      <c r="D4013">
        <v>0</v>
      </c>
      <c r="E4013">
        <v>0</v>
      </c>
      <c r="F4013">
        <v>0</v>
      </c>
      <c r="G4013">
        <v>0</v>
      </c>
      <c r="H4013">
        <v>0</v>
      </c>
      <c r="I4013">
        <v>0</v>
      </c>
      <c r="J4013">
        <v>0</v>
      </c>
      <c r="K4013">
        <v>0</v>
      </c>
    </row>
    <row r="4014" spans="1:11" x14ac:dyDescent="0.2">
      <c r="A4014" t="s">
        <v>1851</v>
      </c>
      <c r="B4014">
        <v>0</v>
      </c>
      <c r="C4014">
        <v>0</v>
      </c>
      <c r="D4014">
        <v>0</v>
      </c>
      <c r="E4014">
        <v>0</v>
      </c>
      <c r="F4014">
        <v>0</v>
      </c>
      <c r="G4014">
        <v>0</v>
      </c>
      <c r="H4014">
        <v>0</v>
      </c>
      <c r="I4014">
        <v>0</v>
      </c>
      <c r="J4014">
        <v>0</v>
      </c>
      <c r="K4014">
        <v>0</v>
      </c>
    </row>
    <row r="4015" spans="1:11" x14ac:dyDescent="0.2">
      <c r="A4015" t="s">
        <v>1857</v>
      </c>
      <c r="B4015">
        <v>0</v>
      </c>
      <c r="C4015">
        <v>0</v>
      </c>
      <c r="D4015">
        <v>0</v>
      </c>
      <c r="E4015">
        <v>0</v>
      </c>
      <c r="F4015">
        <v>0</v>
      </c>
      <c r="G4015">
        <v>0</v>
      </c>
      <c r="H4015">
        <v>0</v>
      </c>
      <c r="I4015">
        <v>0</v>
      </c>
      <c r="J4015">
        <v>0</v>
      </c>
      <c r="K4015">
        <v>0</v>
      </c>
    </row>
    <row r="4016" spans="1:11" x14ac:dyDescent="0.2">
      <c r="A4016" t="s">
        <v>1862</v>
      </c>
      <c r="B4016">
        <v>0</v>
      </c>
      <c r="C4016">
        <v>0</v>
      </c>
      <c r="D4016">
        <v>0</v>
      </c>
      <c r="E4016">
        <v>0</v>
      </c>
      <c r="F4016">
        <v>0</v>
      </c>
      <c r="G4016">
        <v>0</v>
      </c>
      <c r="H4016">
        <v>0</v>
      </c>
      <c r="I4016">
        <v>0</v>
      </c>
      <c r="J4016">
        <v>0</v>
      </c>
      <c r="K4016">
        <v>0</v>
      </c>
    </row>
    <row r="4017" spans="1:11" x14ac:dyDescent="0.2">
      <c r="A4017" t="s">
        <v>1867</v>
      </c>
      <c r="B4017">
        <v>0</v>
      </c>
      <c r="C4017">
        <v>0</v>
      </c>
      <c r="D4017">
        <v>0</v>
      </c>
      <c r="E4017">
        <v>0</v>
      </c>
      <c r="F4017">
        <v>0</v>
      </c>
      <c r="G4017">
        <v>0</v>
      </c>
      <c r="H4017">
        <v>0</v>
      </c>
      <c r="I4017">
        <v>0</v>
      </c>
      <c r="J4017">
        <v>0</v>
      </c>
      <c r="K4017">
        <v>0</v>
      </c>
    </row>
    <row r="4018" spans="1:11" x14ac:dyDescent="0.2">
      <c r="A4018" t="s">
        <v>1870</v>
      </c>
      <c r="B4018">
        <v>0</v>
      </c>
      <c r="C4018">
        <v>0</v>
      </c>
      <c r="D4018">
        <v>0</v>
      </c>
      <c r="E4018">
        <v>0</v>
      </c>
      <c r="F4018">
        <v>0</v>
      </c>
      <c r="G4018">
        <v>0</v>
      </c>
      <c r="H4018">
        <v>0</v>
      </c>
      <c r="I4018">
        <v>0</v>
      </c>
      <c r="J4018">
        <v>0</v>
      </c>
      <c r="K4018">
        <v>0</v>
      </c>
    </row>
    <row r="4019" spans="1:11" x14ac:dyDescent="0.2">
      <c r="A4019" t="s">
        <v>1874</v>
      </c>
      <c r="B4019">
        <v>0</v>
      </c>
      <c r="C4019">
        <v>0</v>
      </c>
      <c r="D4019">
        <v>0</v>
      </c>
      <c r="E4019">
        <v>0</v>
      </c>
      <c r="F4019">
        <v>0</v>
      </c>
      <c r="G4019">
        <v>0</v>
      </c>
      <c r="H4019">
        <v>0</v>
      </c>
      <c r="I4019">
        <v>0</v>
      </c>
      <c r="J4019">
        <v>0</v>
      </c>
      <c r="K4019">
        <v>0</v>
      </c>
    </row>
    <row r="4020" spans="1:11" x14ac:dyDescent="0.2">
      <c r="A4020" t="s">
        <v>1876</v>
      </c>
      <c r="B4020">
        <v>0</v>
      </c>
      <c r="C4020">
        <v>0</v>
      </c>
      <c r="D4020">
        <v>0</v>
      </c>
      <c r="E4020">
        <v>0</v>
      </c>
      <c r="F4020">
        <v>0</v>
      </c>
      <c r="G4020">
        <v>0</v>
      </c>
      <c r="H4020">
        <v>0</v>
      </c>
      <c r="I4020">
        <v>0</v>
      </c>
      <c r="J4020">
        <v>0</v>
      </c>
      <c r="K4020">
        <v>0</v>
      </c>
    </row>
    <row r="4021" spans="1:11" x14ac:dyDescent="0.2">
      <c r="A4021" t="s">
        <v>1881</v>
      </c>
      <c r="B4021">
        <v>0</v>
      </c>
      <c r="C4021">
        <v>0</v>
      </c>
      <c r="D4021">
        <v>0</v>
      </c>
      <c r="E4021">
        <v>0</v>
      </c>
      <c r="F4021">
        <v>0</v>
      </c>
      <c r="G4021">
        <v>0</v>
      </c>
      <c r="H4021">
        <v>0</v>
      </c>
      <c r="I4021">
        <v>0</v>
      </c>
      <c r="J4021">
        <v>0</v>
      </c>
      <c r="K4021">
        <v>0</v>
      </c>
    </row>
    <row r="4022" spans="1:11" x14ac:dyDescent="0.2">
      <c r="A4022" t="s">
        <v>1885</v>
      </c>
      <c r="B4022">
        <v>0</v>
      </c>
      <c r="C4022">
        <v>0</v>
      </c>
      <c r="D4022">
        <v>0</v>
      </c>
      <c r="E4022">
        <v>0</v>
      </c>
      <c r="F4022">
        <v>0</v>
      </c>
      <c r="G4022">
        <v>0</v>
      </c>
      <c r="H4022">
        <v>0</v>
      </c>
      <c r="I4022">
        <v>0</v>
      </c>
      <c r="J4022">
        <v>0</v>
      </c>
      <c r="K4022">
        <v>0</v>
      </c>
    </row>
    <row r="4023" spans="1:11" x14ac:dyDescent="0.2">
      <c r="A4023" t="s">
        <v>1887</v>
      </c>
      <c r="B4023">
        <v>0</v>
      </c>
      <c r="C4023">
        <v>0</v>
      </c>
      <c r="D4023">
        <v>0</v>
      </c>
      <c r="E4023">
        <v>0</v>
      </c>
      <c r="F4023">
        <v>0</v>
      </c>
      <c r="G4023">
        <v>0</v>
      </c>
      <c r="H4023">
        <v>0</v>
      </c>
      <c r="I4023">
        <v>0</v>
      </c>
      <c r="J4023">
        <v>0</v>
      </c>
      <c r="K4023">
        <v>0</v>
      </c>
    </row>
    <row r="4024" spans="1:11" x14ac:dyDescent="0.2">
      <c r="A4024" t="s">
        <v>1893</v>
      </c>
      <c r="B4024">
        <v>0</v>
      </c>
      <c r="C4024">
        <v>0</v>
      </c>
      <c r="D4024">
        <v>0</v>
      </c>
      <c r="E4024">
        <v>0</v>
      </c>
      <c r="F4024">
        <v>0</v>
      </c>
      <c r="G4024">
        <v>0</v>
      </c>
      <c r="H4024">
        <v>0</v>
      </c>
      <c r="I4024">
        <v>0</v>
      </c>
      <c r="J4024">
        <v>0</v>
      </c>
      <c r="K4024">
        <v>0</v>
      </c>
    </row>
    <row r="4025" spans="1:11" x14ac:dyDescent="0.2">
      <c r="A4025" t="s">
        <v>1899</v>
      </c>
      <c r="B4025">
        <v>0</v>
      </c>
      <c r="C4025">
        <v>0</v>
      </c>
      <c r="D4025">
        <v>0</v>
      </c>
      <c r="E4025">
        <v>0</v>
      </c>
      <c r="F4025">
        <v>0</v>
      </c>
      <c r="G4025">
        <v>0</v>
      </c>
      <c r="H4025">
        <v>0</v>
      </c>
      <c r="I4025">
        <v>0</v>
      </c>
      <c r="J4025">
        <v>0</v>
      </c>
      <c r="K4025">
        <v>0</v>
      </c>
    </row>
    <row r="4026" spans="1:11" x14ac:dyDescent="0.2">
      <c r="A4026" t="s">
        <v>1906</v>
      </c>
      <c r="B4026">
        <v>0</v>
      </c>
      <c r="C4026">
        <v>0</v>
      </c>
      <c r="D4026">
        <v>0</v>
      </c>
      <c r="E4026">
        <v>0</v>
      </c>
      <c r="F4026">
        <v>0</v>
      </c>
      <c r="G4026">
        <v>0</v>
      </c>
      <c r="H4026">
        <v>0</v>
      </c>
      <c r="I4026">
        <v>0</v>
      </c>
      <c r="J4026">
        <v>0</v>
      </c>
      <c r="K4026">
        <v>0</v>
      </c>
    </row>
    <row r="4027" spans="1:11" x14ac:dyDescent="0.2">
      <c r="A4027" t="s">
        <v>1911</v>
      </c>
      <c r="B4027">
        <v>0</v>
      </c>
      <c r="C4027">
        <v>0</v>
      </c>
      <c r="D4027">
        <v>0</v>
      </c>
      <c r="E4027">
        <v>0</v>
      </c>
      <c r="F4027">
        <v>0</v>
      </c>
      <c r="G4027">
        <v>0</v>
      </c>
      <c r="H4027">
        <v>0</v>
      </c>
      <c r="I4027">
        <v>0</v>
      </c>
      <c r="J4027">
        <v>0</v>
      </c>
      <c r="K4027">
        <v>0</v>
      </c>
    </row>
    <row r="4028" spans="1:11" x14ac:dyDescent="0.2">
      <c r="A4028" t="s">
        <v>1917</v>
      </c>
      <c r="B4028">
        <v>0</v>
      </c>
      <c r="C4028">
        <v>0</v>
      </c>
      <c r="D4028">
        <v>0</v>
      </c>
      <c r="E4028">
        <v>0</v>
      </c>
      <c r="F4028">
        <v>0</v>
      </c>
      <c r="G4028">
        <v>0</v>
      </c>
      <c r="H4028">
        <v>0</v>
      </c>
      <c r="I4028">
        <v>0</v>
      </c>
      <c r="J4028">
        <v>0</v>
      </c>
      <c r="K4028">
        <v>0</v>
      </c>
    </row>
    <row r="4029" spans="1:11" x14ac:dyDescent="0.2">
      <c r="A4029" t="s">
        <v>1922</v>
      </c>
      <c r="B4029">
        <v>0</v>
      </c>
      <c r="C4029">
        <v>0</v>
      </c>
      <c r="D4029">
        <v>0</v>
      </c>
      <c r="E4029">
        <v>0</v>
      </c>
      <c r="F4029">
        <v>0</v>
      </c>
      <c r="G4029">
        <v>0</v>
      </c>
      <c r="H4029">
        <v>0</v>
      </c>
      <c r="I4029">
        <v>0</v>
      </c>
      <c r="J4029">
        <v>0</v>
      </c>
      <c r="K4029">
        <v>0</v>
      </c>
    </row>
    <row r="4030" spans="1:11" x14ac:dyDescent="0.2">
      <c r="A4030" t="s">
        <v>1928</v>
      </c>
      <c r="B4030">
        <v>0</v>
      </c>
      <c r="C4030">
        <v>0</v>
      </c>
      <c r="D4030">
        <v>0</v>
      </c>
      <c r="E4030">
        <v>0</v>
      </c>
      <c r="F4030">
        <v>0</v>
      </c>
      <c r="G4030">
        <v>0</v>
      </c>
      <c r="H4030">
        <v>0</v>
      </c>
      <c r="I4030">
        <v>0</v>
      </c>
      <c r="J4030">
        <v>0</v>
      </c>
      <c r="K4030">
        <v>0</v>
      </c>
    </row>
    <row r="4031" spans="1:11" x14ac:dyDescent="0.2">
      <c r="A4031" t="s">
        <v>1932</v>
      </c>
      <c r="B4031">
        <v>0</v>
      </c>
      <c r="C4031">
        <v>0</v>
      </c>
      <c r="D4031">
        <v>0</v>
      </c>
      <c r="E4031">
        <v>0</v>
      </c>
      <c r="F4031">
        <v>0</v>
      </c>
      <c r="G4031">
        <v>0</v>
      </c>
      <c r="H4031">
        <v>0</v>
      </c>
      <c r="I4031">
        <v>0</v>
      </c>
      <c r="J4031">
        <v>0</v>
      </c>
      <c r="K4031">
        <v>0</v>
      </c>
    </row>
    <row r="4032" spans="1:11" x14ac:dyDescent="0.2">
      <c r="A4032" t="s">
        <v>1938</v>
      </c>
      <c r="B4032">
        <v>0</v>
      </c>
      <c r="C4032">
        <v>0</v>
      </c>
      <c r="D4032">
        <v>0</v>
      </c>
      <c r="E4032">
        <v>0</v>
      </c>
      <c r="F4032">
        <v>0</v>
      </c>
      <c r="G4032">
        <v>0</v>
      </c>
      <c r="H4032">
        <v>0</v>
      </c>
      <c r="I4032">
        <v>0</v>
      </c>
      <c r="J4032">
        <v>0</v>
      </c>
      <c r="K4032">
        <v>0</v>
      </c>
    </row>
    <row r="4033" spans="1:11" x14ac:dyDescent="0.2">
      <c r="A4033" t="s">
        <v>1944</v>
      </c>
      <c r="B4033">
        <v>0</v>
      </c>
      <c r="C4033">
        <v>0</v>
      </c>
      <c r="D4033">
        <v>0</v>
      </c>
      <c r="E4033">
        <v>0</v>
      </c>
      <c r="F4033">
        <v>0</v>
      </c>
      <c r="G4033">
        <v>0</v>
      </c>
      <c r="H4033">
        <v>0</v>
      </c>
      <c r="I4033">
        <v>0</v>
      </c>
      <c r="J4033">
        <v>0</v>
      </c>
      <c r="K4033">
        <v>0</v>
      </c>
    </row>
    <row r="4034" spans="1:11" x14ac:dyDescent="0.2">
      <c r="A4034" t="s">
        <v>1947</v>
      </c>
      <c r="B4034">
        <v>0</v>
      </c>
      <c r="C4034">
        <v>0</v>
      </c>
      <c r="D4034">
        <v>0</v>
      </c>
      <c r="E4034">
        <v>0</v>
      </c>
      <c r="F4034">
        <v>0</v>
      </c>
      <c r="G4034">
        <v>0</v>
      </c>
      <c r="H4034">
        <v>0</v>
      </c>
      <c r="I4034">
        <v>0</v>
      </c>
      <c r="J4034">
        <v>0</v>
      </c>
      <c r="K4034">
        <v>0</v>
      </c>
    </row>
    <row r="4035" spans="1:11" x14ac:dyDescent="0.2">
      <c r="A4035" t="s">
        <v>1953</v>
      </c>
      <c r="B4035">
        <v>0</v>
      </c>
      <c r="C4035">
        <v>0</v>
      </c>
      <c r="D4035">
        <v>0</v>
      </c>
      <c r="E4035">
        <v>0</v>
      </c>
      <c r="F4035">
        <v>0</v>
      </c>
      <c r="G4035">
        <v>0</v>
      </c>
      <c r="H4035">
        <v>0</v>
      </c>
      <c r="I4035">
        <v>0</v>
      </c>
      <c r="J4035">
        <v>0</v>
      </c>
      <c r="K4035">
        <v>0</v>
      </c>
    </row>
    <row r="4036" spans="1:11" x14ac:dyDescent="0.2">
      <c r="A4036" t="s">
        <v>1958</v>
      </c>
      <c r="B4036">
        <v>0</v>
      </c>
      <c r="C4036">
        <v>0</v>
      </c>
      <c r="D4036">
        <v>0</v>
      </c>
      <c r="E4036">
        <v>0</v>
      </c>
      <c r="F4036">
        <v>0</v>
      </c>
      <c r="G4036">
        <v>0</v>
      </c>
      <c r="H4036">
        <v>0</v>
      </c>
      <c r="I4036">
        <v>0</v>
      </c>
      <c r="J4036">
        <v>0</v>
      </c>
      <c r="K4036">
        <v>0</v>
      </c>
    </row>
    <row r="4037" spans="1:11" x14ac:dyDescent="0.2">
      <c r="A4037" t="s">
        <v>1964</v>
      </c>
      <c r="B4037">
        <v>0</v>
      </c>
      <c r="C4037">
        <v>0</v>
      </c>
      <c r="D4037">
        <v>0</v>
      </c>
      <c r="E4037">
        <v>0</v>
      </c>
      <c r="F4037">
        <v>0</v>
      </c>
      <c r="G4037">
        <v>0</v>
      </c>
      <c r="H4037">
        <v>0</v>
      </c>
      <c r="I4037">
        <v>0</v>
      </c>
      <c r="J4037">
        <v>0</v>
      </c>
      <c r="K4037">
        <v>0</v>
      </c>
    </row>
    <row r="4038" spans="1:11" x14ac:dyDescent="0.2">
      <c r="A4038" t="s">
        <v>1973</v>
      </c>
      <c r="B4038">
        <v>0</v>
      </c>
      <c r="C4038">
        <v>0</v>
      </c>
      <c r="D4038">
        <v>0</v>
      </c>
      <c r="E4038">
        <v>0</v>
      </c>
      <c r="F4038">
        <v>0</v>
      </c>
      <c r="G4038">
        <v>0</v>
      </c>
      <c r="H4038">
        <v>0</v>
      </c>
      <c r="I4038">
        <v>0</v>
      </c>
      <c r="J4038">
        <v>0</v>
      </c>
      <c r="K4038">
        <v>0</v>
      </c>
    </row>
    <row r="4039" spans="1:11" x14ac:dyDescent="0.2">
      <c r="A4039" t="s">
        <v>1978</v>
      </c>
      <c r="B4039">
        <v>0</v>
      </c>
      <c r="C4039">
        <v>0</v>
      </c>
      <c r="D4039">
        <v>0</v>
      </c>
      <c r="E4039">
        <v>0</v>
      </c>
      <c r="F4039">
        <v>0</v>
      </c>
      <c r="G4039">
        <v>0</v>
      </c>
      <c r="H4039">
        <v>0</v>
      </c>
      <c r="I4039">
        <v>0</v>
      </c>
      <c r="J4039">
        <v>0</v>
      </c>
      <c r="K4039">
        <v>0</v>
      </c>
    </row>
    <row r="4040" spans="1:11" x14ac:dyDescent="0.2">
      <c r="A4040" t="s">
        <v>1983</v>
      </c>
      <c r="B4040">
        <v>0</v>
      </c>
      <c r="C4040">
        <v>0</v>
      </c>
      <c r="D4040">
        <v>0</v>
      </c>
      <c r="E4040">
        <v>0</v>
      </c>
      <c r="F4040">
        <v>0</v>
      </c>
      <c r="G4040">
        <v>0</v>
      </c>
      <c r="H4040">
        <v>0</v>
      </c>
      <c r="I4040">
        <v>0</v>
      </c>
      <c r="J4040">
        <v>0</v>
      </c>
      <c r="K4040">
        <v>0</v>
      </c>
    </row>
    <row r="4041" spans="1:11" x14ac:dyDescent="0.2">
      <c r="A4041" t="s">
        <v>1984</v>
      </c>
      <c r="B4041">
        <v>0</v>
      </c>
      <c r="C4041">
        <v>0</v>
      </c>
      <c r="D4041">
        <v>0</v>
      </c>
      <c r="E4041">
        <v>0</v>
      </c>
      <c r="F4041">
        <v>0</v>
      </c>
      <c r="G4041">
        <v>0</v>
      </c>
      <c r="H4041">
        <v>0</v>
      </c>
      <c r="I4041">
        <v>0</v>
      </c>
      <c r="J4041">
        <v>0</v>
      </c>
      <c r="K4041">
        <v>0</v>
      </c>
    </row>
    <row r="4042" spans="1:11" x14ac:dyDescent="0.2">
      <c r="A4042" t="s">
        <v>1990</v>
      </c>
      <c r="B4042">
        <v>0</v>
      </c>
      <c r="C4042">
        <v>0</v>
      </c>
      <c r="D4042">
        <v>0</v>
      </c>
      <c r="E4042">
        <v>0</v>
      </c>
      <c r="F4042">
        <v>0</v>
      </c>
      <c r="G4042">
        <v>0</v>
      </c>
      <c r="H4042">
        <v>0</v>
      </c>
      <c r="I4042">
        <v>0</v>
      </c>
      <c r="J4042">
        <v>0</v>
      </c>
      <c r="K4042">
        <v>0</v>
      </c>
    </row>
    <row r="4043" spans="1:11" x14ac:dyDescent="0.2">
      <c r="A4043" t="s">
        <v>1996</v>
      </c>
      <c r="B4043">
        <v>0</v>
      </c>
      <c r="C4043">
        <v>0</v>
      </c>
      <c r="D4043">
        <v>0</v>
      </c>
      <c r="E4043">
        <v>0</v>
      </c>
      <c r="F4043">
        <v>0</v>
      </c>
      <c r="G4043">
        <v>0</v>
      </c>
      <c r="H4043">
        <v>0</v>
      </c>
      <c r="I4043">
        <v>0</v>
      </c>
      <c r="J4043">
        <v>0</v>
      </c>
      <c r="K4043">
        <v>0</v>
      </c>
    </row>
    <row r="4044" spans="1:11" x14ac:dyDescent="0.2">
      <c r="A4044" t="s">
        <v>1998</v>
      </c>
      <c r="B4044">
        <v>0</v>
      </c>
      <c r="C4044">
        <v>0</v>
      </c>
      <c r="D4044">
        <v>0</v>
      </c>
      <c r="E4044">
        <v>0</v>
      </c>
      <c r="F4044">
        <v>0</v>
      </c>
      <c r="G4044">
        <v>0</v>
      </c>
      <c r="H4044">
        <v>0</v>
      </c>
      <c r="I4044">
        <v>0</v>
      </c>
      <c r="J4044">
        <v>0</v>
      </c>
      <c r="K4044">
        <v>0</v>
      </c>
    </row>
    <row r="4045" spans="1:11" x14ac:dyDescent="0.2">
      <c r="A4045" t="s">
        <v>1999</v>
      </c>
      <c r="B4045">
        <v>0</v>
      </c>
      <c r="C4045">
        <v>0</v>
      </c>
      <c r="D4045">
        <v>0</v>
      </c>
      <c r="E4045">
        <v>0</v>
      </c>
      <c r="F4045">
        <v>0</v>
      </c>
      <c r="G4045">
        <v>0</v>
      </c>
      <c r="H4045">
        <v>0</v>
      </c>
      <c r="I4045">
        <v>0</v>
      </c>
      <c r="J4045">
        <v>0</v>
      </c>
      <c r="K4045">
        <v>0</v>
      </c>
    </row>
    <row r="4046" spans="1:11" x14ac:dyDescent="0.2">
      <c r="A4046" t="s">
        <v>2004</v>
      </c>
      <c r="B4046">
        <v>0</v>
      </c>
      <c r="C4046">
        <v>0</v>
      </c>
      <c r="D4046">
        <v>0</v>
      </c>
      <c r="E4046">
        <v>0</v>
      </c>
      <c r="F4046">
        <v>0</v>
      </c>
      <c r="G4046">
        <v>0</v>
      </c>
      <c r="H4046">
        <v>0</v>
      </c>
      <c r="I4046">
        <v>0</v>
      </c>
      <c r="J4046">
        <v>0</v>
      </c>
      <c r="K4046">
        <v>0</v>
      </c>
    </row>
    <row r="4047" spans="1:11" x14ac:dyDescent="0.2">
      <c r="A4047" t="s">
        <v>2009</v>
      </c>
      <c r="B4047">
        <v>0</v>
      </c>
      <c r="C4047">
        <v>0</v>
      </c>
      <c r="D4047">
        <v>0</v>
      </c>
      <c r="E4047">
        <v>0</v>
      </c>
      <c r="F4047">
        <v>0</v>
      </c>
      <c r="G4047">
        <v>0</v>
      </c>
      <c r="H4047">
        <v>0</v>
      </c>
      <c r="I4047">
        <v>0</v>
      </c>
      <c r="J4047">
        <v>0</v>
      </c>
      <c r="K4047">
        <v>0</v>
      </c>
    </row>
    <row r="4048" spans="1:11" x14ac:dyDescent="0.2">
      <c r="A4048" t="s">
        <v>2014</v>
      </c>
      <c r="B4048">
        <v>0</v>
      </c>
      <c r="C4048">
        <v>0</v>
      </c>
      <c r="D4048">
        <v>0</v>
      </c>
      <c r="E4048">
        <v>0</v>
      </c>
      <c r="F4048">
        <v>0</v>
      </c>
      <c r="G4048">
        <v>0</v>
      </c>
      <c r="H4048">
        <v>0</v>
      </c>
      <c r="I4048">
        <v>0</v>
      </c>
      <c r="J4048">
        <v>0</v>
      </c>
      <c r="K4048">
        <v>0</v>
      </c>
    </row>
    <row r="4049" spans="1:11" x14ac:dyDescent="0.2">
      <c r="A4049" t="s">
        <v>2019</v>
      </c>
      <c r="B4049">
        <v>0</v>
      </c>
      <c r="C4049">
        <v>0</v>
      </c>
      <c r="D4049">
        <v>0</v>
      </c>
      <c r="E4049">
        <v>0</v>
      </c>
      <c r="F4049">
        <v>0</v>
      </c>
      <c r="G4049">
        <v>0</v>
      </c>
      <c r="H4049">
        <v>0</v>
      </c>
      <c r="I4049">
        <v>0</v>
      </c>
      <c r="J4049">
        <v>0</v>
      </c>
      <c r="K4049">
        <v>0</v>
      </c>
    </row>
    <row r="4050" spans="1:11" x14ac:dyDescent="0.2">
      <c r="A4050" t="s">
        <v>2023</v>
      </c>
      <c r="B4050">
        <v>0</v>
      </c>
      <c r="C4050">
        <v>0</v>
      </c>
      <c r="D4050">
        <v>0</v>
      </c>
      <c r="E4050">
        <v>0</v>
      </c>
      <c r="F4050">
        <v>0</v>
      </c>
      <c r="G4050">
        <v>0</v>
      </c>
      <c r="H4050">
        <v>0</v>
      </c>
      <c r="I4050">
        <v>0</v>
      </c>
      <c r="J4050">
        <v>0</v>
      </c>
      <c r="K4050">
        <v>0</v>
      </c>
    </row>
    <row r="4051" spans="1:11" x14ac:dyDescent="0.2">
      <c r="A4051" t="s">
        <v>2026</v>
      </c>
      <c r="B4051">
        <v>0</v>
      </c>
      <c r="C4051">
        <v>0</v>
      </c>
      <c r="D4051">
        <v>0</v>
      </c>
      <c r="E4051">
        <v>0</v>
      </c>
      <c r="F4051">
        <v>0</v>
      </c>
      <c r="G4051">
        <v>0</v>
      </c>
      <c r="H4051">
        <v>0</v>
      </c>
      <c r="I4051">
        <v>0</v>
      </c>
      <c r="J4051">
        <v>0</v>
      </c>
      <c r="K4051">
        <v>0</v>
      </c>
    </row>
    <row r="4052" spans="1:11" x14ac:dyDescent="0.2">
      <c r="A4052" t="s">
        <v>2030</v>
      </c>
      <c r="B4052">
        <v>0</v>
      </c>
      <c r="C4052">
        <v>0</v>
      </c>
      <c r="D4052">
        <v>0</v>
      </c>
      <c r="E4052">
        <v>0</v>
      </c>
      <c r="F4052">
        <v>0</v>
      </c>
      <c r="G4052">
        <v>0</v>
      </c>
      <c r="H4052">
        <v>0</v>
      </c>
      <c r="I4052">
        <v>0</v>
      </c>
      <c r="J4052">
        <v>0</v>
      </c>
      <c r="K4052">
        <v>0</v>
      </c>
    </row>
    <row r="4053" spans="1:11" x14ac:dyDescent="0.2">
      <c r="A4053" t="s">
        <v>2035</v>
      </c>
      <c r="B4053">
        <v>0</v>
      </c>
      <c r="C4053">
        <v>0</v>
      </c>
      <c r="D4053">
        <v>0</v>
      </c>
      <c r="E4053">
        <v>0</v>
      </c>
      <c r="F4053">
        <v>0</v>
      </c>
      <c r="G4053">
        <v>0</v>
      </c>
      <c r="H4053">
        <v>0</v>
      </c>
      <c r="I4053">
        <v>0</v>
      </c>
      <c r="J4053">
        <v>0</v>
      </c>
      <c r="K4053">
        <v>0</v>
      </c>
    </row>
    <row r="4054" spans="1:11" x14ac:dyDescent="0.2">
      <c r="A4054" t="s">
        <v>2040</v>
      </c>
      <c r="B4054">
        <v>0</v>
      </c>
      <c r="C4054">
        <v>0</v>
      </c>
      <c r="D4054">
        <v>0</v>
      </c>
      <c r="E4054">
        <v>0</v>
      </c>
      <c r="F4054">
        <v>0</v>
      </c>
      <c r="G4054">
        <v>0</v>
      </c>
      <c r="H4054">
        <v>0</v>
      </c>
      <c r="I4054">
        <v>0</v>
      </c>
      <c r="J4054">
        <v>0</v>
      </c>
      <c r="K4054">
        <v>0</v>
      </c>
    </row>
    <row r="4055" spans="1:11" x14ac:dyDescent="0.2">
      <c r="A4055" t="s">
        <v>2045</v>
      </c>
      <c r="B4055">
        <v>0</v>
      </c>
      <c r="C4055">
        <v>0</v>
      </c>
      <c r="D4055">
        <v>0</v>
      </c>
      <c r="E4055">
        <v>0</v>
      </c>
      <c r="F4055">
        <v>0</v>
      </c>
      <c r="G4055">
        <v>0</v>
      </c>
      <c r="H4055">
        <v>0</v>
      </c>
      <c r="I4055">
        <v>0</v>
      </c>
      <c r="J4055">
        <v>0</v>
      </c>
      <c r="K4055">
        <v>0</v>
      </c>
    </row>
    <row r="4056" spans="1:11" x14ac:dyDescent="0.2">
      <c r="A4056" t="s">
        <v>2049</v>
      </c>
      <c r="B4056">
        <v>0</v>
      </c>
      <c r="C4056">
        <v>0</v>
      </c>
      <c r="D4056">
        <v>0</v>
      </c>
      <c r="E4056">
        <v>0</v>
      </c>
      <c r="F4056">
        <v>0</v>
      </c>
      <c r="G4056">
        <v>0</v>
      </c>
      <c r="H4056">
        <v>0</v>
      </c>
      <c r="I4056">
        <v>0</v>
      </c>
      <c r="J4056">
        <v>0</v>
      </c>
      <c r="K4056">
        <v>0</v>
      </c>
    </row>
    <row r="4057" spans="1:11" x14ac:dyDescent="0.2">
      <c r="A4057" t="s">
        <v>2051</v>
      </c>
      <c r="B4057">
        <v>0</v>
      </c>
      <c r="C4057">
        <v>0</v>
      </c>
      <c r="D4057">
        <v>0</v>
      </c>
      <c r="E4057">
        <v>0</v>
      </c>
      <c r="F4057">
        <v>0</v>
      </c>
      <c r="G4057">
        <v>0</v>
      </c>
      <c r="H4057">
        <v>0</v>
      </c>
      <c r="I4057">
        <v>0</v>
      </c>
      <c r="J4057">
        <v>0</v>
      </c>
      <c r="K4057">
        <v>0</v>
      </c>
    </row>
    <row r="4058" spans="1:11" x14ac:dyDescent="0.2">
      <c r="A4058" t="s">
        <v>2057</v>
      </c>
      <c r="B4058">
        <v>0</v>
      </c>
      <c r="C4058">
        <v>0</v>
      </c>
      <c r="D4058">
        <v>0</v>
      </c>
      <c r="E4058">
        <v>0</v>
      </c>
      <c r="F4058">
        <v>0</v>
      </c>
      <c r="G4058">
        <v>0</v>
      </c>
      <c r="H4058">
        <v>0</v>
      </c>
      <c r="I4058">
        <v>0</v>
      </c>
      <c r="J4058">
        <v>0</v>
      </c>
      <c r="K4058">
        <v>0</v>
      </c>
    </row>
    <row r="4059" spans="1:11" x14ac:dyDescent="0.2">
      <c r="A4059" t="s">
        <v>4344</v>
      </c>
      <c r="B4059">
        <v>0</v>
      </c>
      <c r="C4059">
        <v>0</v>
      </c>
      <c r="D4059">
        <v>0</v>
      </c>
      <c r="E4059">
        <v>0</v>
      </c>
      <c r="F4059">
        <v>0</v>
      </c>
      <c r="G4059">
        <v>0</v>
      </c>
      <c r="H4059">
        <v>0</v>
      </c>
      <c r="I4059">
        <v>0</v>
      </c>
      <c r="J4059">
        <v>0</v>
      </c>
      <c r="K4059">
        <v>0</v>
      </c>
    </row>
    <row r="4060" spans="1:11" x14ac:dyDescent="0.2">
      <c r="A4060" t="s">
        <v>4345</v>
      </c>
      <c r="B4060">
        <v>0</v>
      </c>
      <c r="C4060">
        <v>0</v>
      </c>
      <c r="D4060">
        <v>0</v>
      </c>
      <c r="E4060">
        <v>0</v>
      </c>
      <c r="F4060">
        <v>0</v>
      </c>
      <c r="G4060">
        <v>0</v>
      </c>
      <c r="H4060">
        <v>0</v>
      </c>
      <c r="I4060">
        <v>0</v>
      </c>
      <c r="J4060">
        <v>0</v>
      </c>
      <c r="K4060">
        <v>0</v>
      </c>
    </row>
    <row r="4061" spans="1:11" x14ac:dyDescent="0.2">
      <c r="A4061" t="s">
        <v>2074</v>
      </c>
      <c r="B4061">
        <v>0</v>
      </c>
      <c r="C4061">
        <v>0</v>
      </c>
      <c r="D4061">
        <v>0</v>
      </c>
      <c r="E4061">
        <v>0</v>
      </c>
      <c r="F4061">
        <v>0</v>
      </c>
      <c r="G4061">
        <v>0</v>
      </c>
      <c r="H4061">
        <v>0</v>
      </c>
      <c r="I4061">
        <v>0</v>
      </c>
      <c r="J4061">
        <v>0</v>
      </c>
      <c r="K4061">
        <v>0</v>
      </c>
    </row>
    <row r="4062" spans="1:11" x14ac:dyDescent="0.2">
      <c r="A4062" t="s">
        <v>2079</v>
      </c>
      <c r="B4062">
        <v>0</v>
      </c>
      <c r="C4062">
        <v>0</v>
      </c>
      <c r="D4062">
        <v>0</v>
      </c>
      <c r="E4062">
        <v>0</v>
      </c>
      <c r="F4062">
        <v>0</v>
      </c>
      <c r="G4062">
        <v>0</v>
      </c>
      <c r="H4062">
        <v>0</v>
      </c>
      <c r="I4062">
        <v>0</v>
      </c>
      <c r="J4062">
        <v>0</v>
      </c>
      <c r="K4062">
        <v>0</v>
      </c>
    </row>
    <row r="4063" spans="1:11" x14ac:dyDescent="0.2">
      <c r="A4063" t="s">
        <v>2085</v>
      </c>
      <c r="B4063">
        <v>0</v>
      </c>
      <c r="C4063">
        <v>0</v>
      </c>
      <c r="D4063">
        <v>0</v>
      </c>
      <c r="E4063">
        <v>0</v>
      </c>
      <c r="F4063">
        <v>0</v>
      </c>
      <c r="G4063">
        <v>0</v>
      </c>
      <c r="H4063">
        <v>0</v>
      </c>
      <c r="I4063">
        <v>0</v>
      </c>
      <c r="J4063">
        <v>0</v>
      </c>
      <c r="K4063">
        <v>0</v>
      </c>
    </row>
    <row r="4064" spans="1:11" x14ac:dyDescent="0.2">
      <c r="A4064" t="s">
        <v>2091</v>
      </c>
      <c r="B4064">
        <v>0</v>
      </c>
      <c r="C4064">
        <v>0</v>
      </c>
      <c r="D4064">
        <v>0</v>
      </c>
      <c r="E4064">
        <v>0</v>
      </c>
      <c r="F4064">
        <v>0</v>
      </c>
      <c r="G4064">
        <v>0</v>
      </c>
      <c r="H4064">
        <v>0</v>
      </c>
      <c r="I4064">
        <v>0</v>
      </c>
      <c r="J4064">
        <v>0</v>
      </c>
      <c r="K4064">
        <v>0</v>
      </c>
    </row>
    <row r="4065" spans="1:11" x14ac:dyDescent="0.2">
      <c r="A4065" t="s">
        <v>2097</v>
      </c>
      <c r="B4065">
        <v>0</v>
      </c>
      <c r="C4065">
        <v>0</v>
      </c>
      <c r="D4065">
        <v>0</v>
      </c>
      <c r="E4065">
        <v>0</v>
      </c>
      <c r="F4065">
        <v>0</v>
      </c>
      <c r="G4065">
        <v>0</v>
      </c>
      <c r="H4065">
        <v>0</v>
      </c>
      <c r="I4065">
        <v>0</v>
      </c>
      <c r="J4065">
        <v>0</v>
      </c>
      <c r="K4065">
        <v>0</v>
      </c>
    </row>
    <row r="4066" spans="1:11" x14ac:dyDescent="0.2">
      <c r="A4066" t="s">
        <v>2101</v>
      </c>
      <c r="B4066">
        <v>0</v>
      </c>
      <c r="C4066">
        <v>0</v>
      </c>
      <c r="D4066">
        <v>0</v>
      </c>
      <c r="E4066">
        <v>0</v>
      </c>
      <c r="F4066">
        <v>0</v>
      </c>
      <c r="G4066">
        <v>0</v>
      </c>
      <c r="H4066">
        <v>0</v>
      </c>
      <c r="I4066">
        <v>0</v>
      </c>
      <c r="J4066">
        <v>0</v>
      </c>
      <c r="K4066">
        <v>0</v>
      </c>
    </row>
    <row r="4067" spans="1:11" x14ac:dyDescent="0.2">
      <c r="A4067" t="s">
        <v>2104</v>
      </c>
      <c r="B4067">
        <v>0</v>
      </c>
      <c r="C4067">
        <v>0</v>
      </c>
      <c r="D4067">
        <v>0</v>
      </c>
      <c r="E4067">
        <v>0</v>
      </c>
      <c r="F4067">
        <v>0</v>
      </c>
      <c r="G4067">
        <v>0</v>
      </c>
      <c r="H4067">
        <v>0</v>
      </c>
      <c r="I4067">
        <v>0</v>
      </c>
      <c r="J4067">
        <v>0</v>
      </c>
      <c r="K4067">
        <v>0</v>
      </c>
    </row>
    <row r="4068" spans="1:11" x14ac:dyDescent="0.2">
      <c r="A4068" t="s">
        <v>2107</v>
      </c>
      <c r="B4068">
        <v>0</v>
      </c>
      <c r="C4068">
        <v>0</v>
      </c>
      <c r="D4068">
        <v>0</v>
      </c>
      <c r="E4068">
        <v>0</v>
      </c>
      <c r="F4068">
        <v>0</v>
      </c>
      <c r="G4068">
        <v>0</v>
      </c>
      <c r="H4068">
        <v>0</v>
      </c>
      <c r="I4068">
        <v>0</v>
      </c>
      <c r="J4068">
        <v>0</v>
      </c>
      <c r="K4068">
        <v>0</v>
      </c>
    </row>
    <row r="4069" spans="1:11" x14ac:dyDescent="0.2">
      <c r="A4069" t="s">
        <v>2110</v>
      </c>
      <c r="B4069">
        <v>0</v>
      </c>
      <c r="C4069">
        <v>0</v>
      </c>
      <c r="D4069">
        <v>0</v>
      </c>
      <c r="E4069">
        <v>0</v>
      </c>
      <c r="F4069">
        <v>0</v>
      </c>
      <c r="G4069">
        <v>0</v>
      </c>
      <c r="H4069">
        <v>0</v>
      </c>
      <c r="I4069">
        <v>0</v>
      </c>
      <c r="J4069">
        <v>0</v>
      </c>
      <c r="K4069">
        <v>0</v>
      </c>
    </row>
    <row r="4070" spans="1:11" x14ac:dyDescent="0.2">
      <c r="A4070" t="s">
        <v>2113</v>
      </c>
      <c r="B4070">
        <v>0</v>
      </c>
      <c r="C4070">
        <v>0</v>
      </c>
      <c r="D4070">
        <v>0</v>
      </c>
      <c r="E4070">
        <v>0</v>
      </c>
      <c r="F4070">
        <v>0</v>
      </c>
      <c r="G4070">
        <v>0</v>
      </c>
      <c r="H4070">
        <v>0</v>
      </c>
      <c r="I4070">
        <v>0</v>
      </c>
      <c r="J4070">
        <v>0</v>
      </c>
      <c r="K4070">
        <v>0</v>
      </c>
    </row>
    <row r="4071" spans="1:11" x14ac:dyDescent="0.2">
      <c r="A4071" t="s">
        <v>4346</v>
      </c>
      <c r="B4071">
        <v>0</v>
      </c>
      <c r="C4071">
        <v>0</v>
      </c>
      <c r="D4071">
        <v>0</v>
      </c>
      <c r="E4071">
        <v>0</v>
      </c>
      <c r="F4071">
        <v>0</v>
      </c>
      <c r="G4071">
        <v>0</v>
      </c>
      <c r="H4071">
        <v>0</v>
      </c>
      <c r="I4071">
        <v>0</v>
      </c>
      <c r="J4071">
        <v>0</v>
      </c>
      <c r="K4071">
        <v>0</v>
      </c>
    </row>
    <row r="4072" spans="1:11" x14ac:dyDescent="0.2">
      <c r="A4072" t="s">
        <v>4347</v>
      </c>
      <c r="B4072">
        <v>0</v>
      </c>
      <c r="C4072">
        <v>0</v>
      </c>
      <c r="D4072">
        <v>0</v>
      </c>
      <c r="E4072">
        <v>0</v>
      </c>
      <c r="F4072">
        <v>0</v>
      </c>
      <c r="G4072">
        <v>0</v>
      </c>
      <c r="H4072">
        <v>0</v>
      </c>
      <c r="I4072">
        <v>0</v>
      </c>
      <c r="J4072">
        <v>0</v>
      </c>
      <c r="K4072">
        <v>0</v>
      </c>
    </row>
    <row r="4073" spans="1:11" x14ac:dyDescent="0.2">
      <c r="A4073" t="s">
        <v>4348</v>
      </c>
      <c r="B4073">
        <v>0</v>
      </c>
      <c r="C4073">
        <v>0</v>
      </c>
      <c r="D4073">
        <v>0</v>
      </c>
      <c r="E4073">
        <v>0</v>
      </c>
      <c r="F4073">
        <v>0</v>
      </c>
      <c r="G4073">
        <v>0</v>
      </c>
      <c r="H4073">
        <v>0</v>
      </c>
      <c r="I4073">
        <v>0</v>
      </c>
      <c r="J4073">
        <v>0</v>
      </c>
      <c r="K4073">
        <v>0</v>
      </c>
    </row>
    <row r="4074" spans="1:11" x14ac:dyDescent="0.2">
      <c r="A4074" t="s">
        <v>4349</v>
      </c>
      <c r="B4074">
        <v>0</v>
      </c>
      <c r="C4074">
        <v>0</v>
      </c>
      <c r="D4074">
        <v>0</v>
      </c>
      <c r="E4074">
        <v>0</v>
      </c>
      <c r="F4074">
        <v>0</v>
      </c>
      <c r="G4074">
        <v>0</v>
      </c>
      <c r="H4074">
        <v>0</v>
      </c>
      <c r="I4074">
        <v>0</v>
      </c>
      <c r="J4074">
        <v>0</v>
      </c>
      <c r="K4074">
        <v>0</v>
      </c>
    </row>
    <row r="4075" spans="1:11" x14ac:dyDescent="0.2">
      <c r="A4075" t="s">
        <v>4350</v>
      </c>
      <c r="B4075">
        <v>0</v>
      </c>
      <c r="C4075">
        <v>0</v>
      </c>
      <c r="D4075">
        <v>0</v>
      </c>
      <c r="E4075">
        <v>0</v>
      </c>
      <c r="F4075">
        <v>0</v>
      </c>
      <c r="G4075">
        <v>0</v>
      </c>
      <c r="H4075">
        <v>0</v>
      </c>
      <c r="I4075">
        <v>0</v>
      </c>
      <c r="J4075">
        <v>0</v>
      </c>
      <c r="K4075">
        <v>0</v>
      </c>
    </row>
    <row r="4076" spans="1:11" x14ac:dyDescent="0.2">
      <c r="A4076" t="s">
        <v>4351</v>
      </c>
      <c r="B4076">
        <v>0</v>
      </c>
      <c r="C4076">
        <v>0</v>
      </c>
      <c r="D4076">
        <v>0</v>
      </c>
      <c r="E4076">
        <v>0</v>
      </c>
      <c r="F4076">
        <v>0</v>
      </c>
      <c r="G4076">
        <v>0</v>
      </c>
      <c r="H4076">
        <v>0</v>
      </c>
      <c r="I4076">
        <v>0</v>
      </c>
      <c r="J4076">
        <v>0</v>
      </c>
      <c r="K4076">
        <v>0</v>
      </c>
    </row>
    <row r="4077" spans="1:11" x14ac:dyDescent="0.2">
      <c r="A4077" t="s">
        <v>4352</v>
      </c>
      <c r="B4077">
        <v>0</v>
      </c>
      <c r="C4077">
        <v>0</v>
      </c>
      <c r="D4077">
        <v>0</v>
      </c>
      <c r="E4077">
        <v>0</v>
      </c>
      <c r="F4077">
        <v>0</v>
      </c>
      <c r="G4077">
        <v>0</v>
      </c>
      <c r="H4077">
        <v>0</v>
      </c>
      <c r="I4077">
        <v>0</v>
      </c>
      <c r="J4077">
        <v>0</v>
      </c>
      <c r="K4077">
        <v>0</v>
      </c>
    </row>
    <row r="4078" spans="1:11" x14ac:dyDescent="0.2">
      <c r="A4078" t="s">
        <v>4353</v>
      </c>
      <c r="B4078">
        <v>0</v>
      </c>
      <c r="C4078">
        <v>0</v>
      </c>
      <c r="D4078">
        <v>0</v>
      </c>
      <c r="E4078">
        <v>0</v>
      </c>
      <c r="F4078">
        <v>0</v>
      </c>
      <c r="G4078">
        <v>0</v>
      </c>
      <c r="H4078">
        <v>0</v>
      </c>
      <c r="I4078">
        <v>0</v>
      </c>
      <c r="J4078">
        <v>0</v>
      </c>
      <c r="K4078">
        <v>0</v>
      </c>
    </row>
    <row r="4079" spans="1:11" x14ac:dyDescent="0.2">
      <c r="A4079" t="s">
        <v>4354</v>
      </c>
      <c r="B4079">
        <v>0</v>
      </c>
      <c r="C4079">
        <v>0</v>
      </c>
      <c r="D4079">
        <v>0</v>
      </c>
      <c r="E4079">
        <v>0</v>
      </c>
      <c r="F4079">
        <v>0</v>
      </c>
      <c r="G4079">
        <v>0</v>
      </c>
      <c r="H4079">
        <v>0</v>
      </c>
      <c r="I4079">
        <v>0</v>
      </c>
      <c r="J4079">
        <v>0</v>
      </c>
      <c r="K4079">
        <v>0</v>
      </c>
    </row>
    <row r="4080" spans="1:11" x14ac:dyDescent="0.2">
      <c r="A4080" t="s">
        <v>4355</v>
      </c>
      <c r="B4080">
        <v>0</v>
      </c>
      <c r="C4080">
        <v>0</v>
      </c>
      <c r="D4080">
        <v>0</v>
      </c>
      <c r="E4080">
        <v>0</v>
      </c>
      <c r="F4080">
        <v>0</v>
      </c>
      <c r="G4080">
        <v>0</v>
      </c>
      <c r="H4080">
        <v>0</v>
      </c>
      <c r="I4080">
        <v>0</v>
      </c>
      <c r="J4080">
        <v>0</v>
      </c>
      <c r="K4080">
        <v>0</v>
      </c>
    </row>
    <row r="4081" spans="1:11" x14ac:dyDescent="0.2">
      <c r="A4081" t="s">
        <v>4356</v>
      </c>
      <c r="B4081">
        <v>0</v>
      </c>
      <c r="C4081">
        <v>0</v>
      </c>
      <c r="D4081">
        <v>0</v>
      </c>
      <c r="E4081">
        <v>0</v>
      </c>
      <c r="F4081">
        <v>0</v>
      </c>
      <c r="G4081">
        <v>0</v>
      </c>
      <c r="H4081">
        <v>0</v>
      </c>
      <c r="I4081">
        <v>0</v>
      </c>
      <c r="J4081">
        <v>0</v>
      </c>
      <c r="K4081">
        <v>0</v>
      </c>
    </row>
    <row r="4082" spans="1:11" x14ac:dyDescent="0.2">
      <c r="A4082" t="s">
        <v>4357</v>
      </c>
      <c r="B4082">
        <v>0</v>
      </c>
      <c r="C4082">
        <v>0</v>
      </c>
      <c r="D4082">
        <v>0</v>
      </c>
      <c r="E4082">
        <v>0</v>
      </c>
      <c r="F4082">
        <v>0</v>
      </c>
      <c r="G4082">
        <v>0</v>
      </c>
      <c r="H4082">
        <v>0</v>
      </c>
      <c r="I4082">
        <v>0</v>
      </c>
      <c r="J4082">
        <v>0</v>
      </c>
      <c r="K4082">
        <v>0</v>
      </c>
    </row>
    <row r="4083" spans="1:11" x14ac:dyDescent="0.2">
      <c r="A4083" t="s">
        <v>4358</v>
      </c>
      <c r="B4083">
        <v>0</v>
      </c>
      <c r="C4083">
        <v>0</v>
      </c>
      <c r="D4083">
        <v>0</v>
      </c>
      <c r="E4083">
        <v>0</v>
      </c>
      <c r="F4083">
        <v>0</v>
      </c>
      <c r="G4083">
        <v>0</v>
      </c>
      <c r="H4083">
        <v>0</v>
      </c>
      <c r="I4083">
        <v>0</v>
      </c>
      <c r="J4083">
        <v>0</v>
      </c>
      <c r="K4083">
        <v>0</v>
      </c>
    </row>
    <row r="4084" spans="1:11" x14ac:dyDescent="0.2">
      <c r="A4084" t="s">
        <v>4359</v>
      </c>
      <c r="B4084">
        <v>0</v>
      </c>
      <c r="C4084">
        <v>0</v>
      </c>
      <c r="D4084">
        <v>0</v>
      </c>
      <c r="E4084">
        <v>0</v>
      </c>
      <c r="F4084">
        <v>0</v>
      </c>
      <c r="G4084">
        <v>0</v>
      </c>
      <c r="H4084">
        <v>0</v>
      </c>
      <c r="I4084">
        <v>0</v>
      </c>
      <c r="J4084">
        <v>0</v>
      </c>
      <c r="K4084">
        <v>0</v>
      </c>
    </row>
    <row r="4085" spans="1:11" x14ac:dyDescent="0.2">
      <c r="A4085" t="s">
        <v>4360</v>
      </c>
      <c r="B4085">
        <v>0</v>
      </c>
      <c r="C4085">
        <v>0</v>
      </c>
      <c r="D4085">
        <v>0</v>
      </c>
      <c r="E4085">
        <v>0</v>
      </c>
      <c r="F4085">
        <v>0</v>
      </c>
      <c r="G4085">
        <v>0</v>
      </c>
      <c r="H4085">
        <v>0</v>
      </c>
      <c r="I4085">
        <v>0</v>
      </c>
      <c r="J4085">
        <v>0</v>
      </c>
      <c r="K4085">
        <v>0</v>
      </c>
    </row>
    <row r="4086" spans="1:11" x14ac:dyDescent="0.2">
      <c r="A4086" t="s">
        <v>4361</v>
      </c>
      <c r="B4086">
        <v>0</v>
      </c>
      <c r="C4086">
        <v>0</v>
      </c>
      <c r="D4086">
        <v>0</v>
      </c>
      <c r="E4086">
        <v>0</v>
      </c>
      <c r="F4086">
        <v>0</v>
      </c>
      <c r="G4086">
        <v>0</v>
      </c>
      <c r="H4086">
        <v>0</v>
      </c>
      <c r="I4086">
        <v>0</v>
      </c>
      <c r="J4086">
        <v>0</v>
      </c>
      <c r="K4086">
        <v>0</v>
      </c>
    </row>
    <row r="4087" spans="1:11" x14ac:dyDescent="0.2">
      <c r="A4087" t="s">
        <v>4362</v>
      </c>
      <c r="B4087">
        <v>0</v>
      </c>
      <c r="C4087">
        <v>0</v>
      </c>
      <c r="D4087">
        <v>0</v>
      </c>
      <c r="E4087">
        <v>0</v>
      </c>
      <c r="F4087">
        <v>0</v>
      </c>
      <c r="G4087">
        <v>0</v>
      </c>
      <c r="H4087">
        <v>0</v>
      </c>
      <c r="I4087">
        <v>0</v>
      </c>
      <c r="J4087">
        <v>0</v>
      </c>
      <c r="K4087">
        <v>0</v>
      </c>
    </row>
    <row r="4088" spans="1:11" x14ac:dyDescent="0.2">
      <c r="A4088" t="s">
        <v>4363</v>
      </c>
      <c r="B4088">
        <v>0</v>
      </c>
      <c r="C4088">
        <v>0</v>
      </c>
      <c r="D4088">
        <v>0</v>
      </c>
      <c r="E4088">
        <v>0</v>
      </c>
      <c r="F4088">
        <v>0</v>
      </c>
      <c r="G4088">
        <v>0</v>
      </c>
      <c r="H4088">
        <v>0</v>
      </c>
      <c r="I4088">
        <v>0</v>
      </c>
      <c r="J4088">
        <v>0</v>
      </c>
      <c r="K4088">
        <v>0</v>
      </c>
    </row>
    <row r="4089" spans="1:11" x14ac:dyDescent="0.2">
      <c r="A4089" t="s">
        <v>4364</v>
      </c>
      <c r="B4089">
        <v>0</v>
      </c>
      <c r="C4089">
        <v>0</v>
      </c>
      <c r="D4089">
        <v>0</v>
      </c>
      <c r="E4089">
        <v>0</v>
      </c>
      <c r="F4089">
        <v>0</v>
      </c>
      <c r="G4089">
        <v>0</v>
      </c>
      <c r="H4089">
        <v>0</v>
      </c>
      <c r="I4089">
        <v>0</v>
      </c>
      <c r="J4089">
        <v>0</v>
      </c>
      <c r="K4089">
        <v>0</v>
      </c>
    </row>
    <row r="4090" spans="1:11" x14ac:dyDescent="0.2">
      <c r="A4090" t="s">
        <v>4365</v>
      </c>
      <c r="B4090">
        <v>0</v>
      </c>
      <c r="C4090">
        <v>0</v>
      </c>
      <c r="D4090">
        <v>0</v>
      </c>
      <c r="E4090">
        <v>0</v>
      </c>
      <c r="F4090">
        <v>0</v>
      </c>
      <c r="G4090">
        <v>0</v>
      </c>
      <c r="H4090">
        <v>0</v>
      </c>
      <c r="I4090">
        <v>0</v>
      </c>
      <c r="J4090">
        <v>0</v>
      </c>
      <c r="K4090">
        <v>0</v>
      </c>
    </row>
    <row r="4091" spans="1:11" x14ac:dyDescent="0.2">
      <c r="A4091" t="s">
        <v>4366</v>
      </c>
      <c r="B4091">
        <v>0</v>
      </c>
      <c r="C4091">
        <v>0</v>
      </c>
      <c r="D4091">
        <v>0</v>
      </c>
      <c r="E4091">
        <v>0</v>
      </c>
      <c r="F4091">
        <v>0</v>
      </c>
      <c r="G4091">
        <v>0</v>
      </c>
      <c r="H4091">
        <v>0</v>
      </c>
      <c r="I4091">
        <v>0</v>
      </c>
      <c r="J4091">
        <v>0</v>
      </c>
      <c r="K4091">
        <v>0</v>
      </c>
    </row>
    <row r="4092" spans="1:11" x14ac:dyDescent="0.2">
      <c r="A4092" t="s">
        <v>4367</v>
      </c>
      <c r="B4092">
        <v>0</v>
      </c>
      <c r="C4092">
        <v>0</v>
      </c>
      <c r="D4092">
        <v>0</v>
      </c>
      <c r="E4092">
        <v>0</v>
      </c>
      <c r="F4092">
        <v>0</v>
      </c>
      <c r="G4092">
        <v>0</v>
      </c>
      <c r="H4092">
        <v>0</v>
      </c>
      <c r="I4092">
        <v>0</v>
      </c>
      <c r="J4092">
        <v>0</v>
      </c>
      <c r="K4092">
        <v>0</v>
      </c>
    </row>
    <row r="4093" spans="1:11" x14ac:dyDescent="0.2">
      <c r="A4093" t="s">
        <v>4368</v>
      </c>
      <c r="B4093">
        <v>0</v>
      </c>
      <c r="C4093">
        <v>0</v>
      </c>
      <c r="D4093">
        <v>0</v>
      </c>
      <c r="E4093">
        <v>0</v>
      </c>
      <c r="F4093">
        <v>0</v>
      </c>
      <c r="G4093">
        <v>0</v>
      </c>
      <c r="H4093">
        <v>0</v>
      </c>
      <c r="I4093">
        <v>0</v>
      </c>
      <c r="J4093">
        <v>0</v>
      </c>
      <c r="K4093">
        <v>0</v>
      </c>
    </row>
    <row r="4094" spans="1:11" x14ac:dyDescent="0.2">
      <c r="A4094" t="s">
        <v>4369</v>
      </c>
      <c r="B4094">
        <v>0</v>
      </c>
      <c r="C4094">
        <v>0</v>
      </c>
      <c r="D4094">
        <v>1</v>
      </c>
      <c r="E4094">
        <v>1</v>
      </c>
      <c r="F4094">
        <v>0</v>
      </c>
      <c r="G4094">
        <v>0</v>
      </c>
      <c r="H4094">
        <v>2</v>
      </c>
      <c r="I4094">
        <v>1</v>
      </c>
      <c r="J4094">
        <v>1</v>
      </c>
      <c r="K4094">
        <v>0</v>
      </c>
    </row>
    <row r="4095" spans="1:11" x14ac:dyDescent="0.2">
      <c r="A4095" t="s">
        <v>4370</v>
      </c>
      <c r="B4095">
        <v>0</v>
      </c>
      <c r="C4095">
        <v>0</v>
      </c>
      <c r="D4095">
        <v>0</v>
      </c>
      <c r="E4095">
        <v>0</v>
      </c>
      <c r="F4095">
        <v>0</v>
      </c>
      <c r="G4095">
        <v>0</v>
      </c>
      <c r="H4095">
        <v>0</v>
      </c>
      <c r="I4095">
        <v>0</v>
      </c>
      <c r="J4095">
        <v>0</v>
      </c>
      <c r="K4095">
        <v>0</v>
      </c>
    </row>
    <row r="4096" spans="1:11" x14ac:dyDescent="0.2">
      <c r="A4096" t="s">
        <v>4371</v>
      </c>
      <c r="B4096">
        <v>0</v>
      </c>
      <c r="C4096">
        <v>0</v>
      </c>
      <c r="D4096">
        <v>0</v>
      </c>
      <c r="E4096">
        <v>0</v>
      </c>
      <c r="F4096">
        <v>0</v>
      </c>
      <c r="G4096">
        <v>0</v>
      </c>
      <c r="H4096">
        <v>0</v>
      </c>
      <c r="I4096">
        <v>0</v>
      </c>
      <c r="J4096">
        <v>0</v>
      </c>
      <c r="K4096">
        <v>0</v>
      </c>
    </row>
    <row r="4097" spans="1:11" x14ac:dyDescent="0.2">
      <c r="A4097" t="s">
        <v>4372</v>
      </c>
      <c r="B4097">
        <v>0</v>
      </c>
      <c r="C4097">
        <v>0</v>
      </c>
      <c r="D4097">
        <v>0</v>
      </c>
      <c r="E4097">
        <v>0</v>
      </c>
      <c r="F4097">
        <v>0</v>
      </c>
      <c r="G4097">
        <v>0</v>
      </c>
      <c r="H4097">
        <v>0</v>
      </c>
      <c r="I4097">
        <v>0</v>
      </c>
      <c r="J4097">
        <v>0</v>
      </c>
      <c r="K4097">
        <v>0</v>
      </c>
    </row>
    <row r="4098" spans="1:11" x14ac:dyDescent="0.2">
      <c r="A4098" t="s">
        <v>4373</v>
      </c>
      <c r="B4098">
        <v>0</v>
      </c>
      <c r="C4098">
        <v>0</v>
      </c>
      <c r="D4098">
        <v>0</v>
      </c>
      <c r="E4098">
        <v>0</v>
      </c>
      <c r="F4098">
        <v>0</v>
      </c>
      <c r="G4098">
        <v>0</v>
      </c>
      <c r="H4098">
        <v>0</v>
      </c>
      <c r="I4098">
        <v>0</v>
      </c>
      <c r="J4098">
        <v>0</v>
      </c>
      <c r="K4098">
        <v>0</v>
      </c>
    </row>
    <row r="4099" spans="1:11" x14ac:dyDescent="0.2">
      <c r="A4099" t="s">
        <v>4374</v>
      </c>
      <c r="B4099">
        <v>0</v>
      </c>
      <c r="C4099">
        <v>0</v>
      </c>
      <c r="D4099">
        <v>0</v>
      </c>
      <c r="E4099">
        <v>0</v>
      </c>
      <c r="F4099">
        <v>0</v>
      </c>
      <c r="G4099">
        <v>0</v>
      </c>
      <c r="H4099">
        <v>0</v>
      </c>
      <c r="I4099">
        <v>0</v>
      </c>
      <c r="J4099">
        <v>0</v>
      </c>
      <c r="K4099">
        <v>0</v>
      </c>
    </row>
    <row r="4100" spans="1:11" x14ac:dyDescent="0.2">
      <c r="A4100" t="s">
        <v>4375</v>
      </c>
      <c r="B4100">
        <v>0</v>
      </c>
      <c r="C4100">
        <v>0</v>
      </c>
      <c r="D4100">
        <v>0</v>
      </c>
      <c r="E4100">
        <v>0</v>
      </c>
      <c r="F4100">
        <v>0</v>
      </c>
      <c r="G4100">
        <v>0</v>
      </c>
      <c r="H4100">
        <v>0</v>
      </c>
      <c r="I4100">
        <v>0</v>
      </c>
      <c r="J4100">
        <v>0</v>
      </c>
      <c r="K4100">
        <v>0</v>
      </c>
    </row>
    <row r="4101" spans="1:11" x14ac:dyDescent="0.2">
      <c r="A4101" t="s">
        <v>4376</v>
      </c>
      <c r="B4101">
        <v>0</v>
      </c>
      <c r="C4101">
        <v>0</v>
      </c>
      <c r="D4101">
        <v>0</v>
      </c>
      <c r="E4101">
        <v>0</v>
      </c>
      <c r="F4101">
        <v>0</v>
      </c>
      <c r="G4101">
        <v>0</v>
      </c>
      <c r="H4101">
        <v>0</v>
      </c>
      <c r="I4101">
        <v>0</v>
      </c>
      <c r="J4101">
        <v>0</v>
      </c>
      <c r="K4101">
        <v>0</v>
      </c>
    </row>
    <row r="4102" spans="1:11" x14ac:dyDescent="0.2">
      <c r="A4102" t="s">
        <v>4377</v>
      </c>
      <c r="B4102">
        <v>0</v>
      </c>
      <c r="C4102">
        <v>0</v>
      </c>
      <c r="D4102">
        <v>0</v>
      </c>
      <c r="E4102">
        <v>0</v>
      </c>
      <c r="F4102">
        <v>0</v>
      </c>
      <c r="G4102">
        <v>0</v>
      </c>
      <c r="H4102">
        <v>0</v>
      </c>
      <c r="I4102">
        <v>0</v>
      </c>
      <c r="J4102">
        <v>0</v>
      </c>
      <c r="K4102">
        <v>0</v>
      </c>
    </row>
    <row r="4103" spans="1:11" x14ac:dyDescent="0.2">
      <c r="A4103" t="s">
        <v>4854</v>
      </c>
      <c r="B4103">
        <v>0</v>
      </c>
      <c r="C4103">
        <v>0</v>
      </c>
      <c r="D4103">
        <v>38</v>
      </c>
      <c r="E4103">
        <v>15</v>
      </c>
      <c r="F4103">
        <v>17</v>
      </c>
      <c r="G4103">
        <v>0</v>
      </c>
      <c r="H4103">
        <v>88</v>
      </c>
      <c r="I4103">
        <v>38</v>
      </c>
      <c r="J4103">
        <v>35</v>
      </c>
      <c r="K4103">
        <v>0</v>
      </c>
    </row>
    <row r="4104" spans="1:11" x14ac:dyDescent="0.2">
      <c r="A4104" t="s">
        <v>2318</v>
      </c>
      <c r="B4104" t="s">
        <v>4399</v>
      </c>
      <c r="C4104" t="s">
        <v>4399</v>
      </c>
      <c r="D4104" t="s">
        <v>4399</v>
      </c>
      <c r="E4104" t="s">
        <v>4399</v>
      </c>
      <c r="F4104" t="s">
        <v>4399</v>
      </c>
      <c r="G4104" t="s">
        <v>4399</v>
      </c>
      <c r="H4104" t="s">
        <v>4399</v>
      </c>
      <c r="I4104" t="s">
        <v>4399</v>
      </c>
      <c r="J4104" t="s">
        <v>4399</v>
      </c>
      <c r="K4104" t="s">
        <v>4399</v>
      </c>
    </row>
    <row r="4105" spans="1:11" x14ac:dyDescent="0.2">
      <c r="A4105" t="s">
        <v>4248</v>
      </c>
    </row>
    <row r="4106" spans="1:11" x14ac:dyDescent="0.2">
      <c r="A4106" t="s">
        <v>4855</v>
      </c>
      <c r="B4106" t="s">
        <v>4856</v>
      </c>
      <c r="C4106" t="s">
        <v>4857</v>
      </c>
      <c r="D4106" t="s">
        <v>4858</v>
      </c>
      <c r="E4106" t="s">
        <v>4859</v>
      </c>
      <c r="F4106" t="s">
        <v>4860</v>
      </c>
      <c r="G4106" t="s">
        <v>4880</v>
      </c>
    </row>
    <row r="4107" spans="1:11" x14ac:dyDescent="0.2">
      <c r="A4107" t="s">
        <v>2318</v>
      </c>
      <c r="B4107" t="s">
        <v>4399</v>
      </c>
      <c r="C4107" t="s">
        <v>4399</v>
      </c>
      <c r="D4107" t="s">
        <v>4399</v>
      </c>
      <c r="E4107" t="s">
        <v>4399</v>
      </c>
      <c r="F4107" t="s">
        <v>4399</v>
      </c>
      <c r="G4107" t="s">
        <v>4399</v>
      </c>
      <c r="H4107" t="s">
        <v>4399</v>
      </c>
      <c r="I4107" t="s">
        <v>4399</v>
      </c>
      <c r="J4107" t="s">
        <v>4399</v>
      </c>
      <c r="K4107" t="s">
        <v>4399</v>
      </c>
    </row>
    <row r="4108" spans="1:11" x14ac:dyDescent="0.2">
      <c r="A4108" t="s">
        <v>126</v>
      </c>
      <c r="B4108" t="s">
        <v>4694</v>
      </c>
      <c r="C4108" t="s">
        <v>4698</v>
      </c>
      <c r="D4108" t="s">
        <v>4701</v>
      </c>
      <c r="E4108" t="s">
        <v>4704</v>
      </c>
      <c r="F4108" t="s">
        <v>4708</v>
      </c>
      <c r="G4108" t="s">
        <v>4712</v>
      </c>
      <c r="H4108" t="s">
        <v>4716</v>
      </c>
      <c r="I4108" t="s">
        <v>4720</v>
      </c>
      <c r="J4108" t="s">
        <v>4724</v>
      </c>
      <c r="K4108" t="s">
        <v>4728</v>
      </c>
    </row>
    <row r="4109" spans="1:11" x14ac:dyDescent="0.2">
      <c r="A4109" t="s">
        <v>2318</v>
      </c>
      <c r="B4109" t="s">
        <v>4399</v>
      </c>
      <c r="C4109" t="s">
        <v>4399</v>
      </c>
      <c r="D4109" t="s">
        <v>4399</v>
      </c>
      <c r="E4109" t="s">
        <v>4399</v>
      </c>
      <c r="F4109" t="s">
        <v>4399</v>
      </c>
      <c r="G4109" t="s">
        <v>4399</v>
      </c>
      <c r="H4109" t="s">
        <v>4399</v>
      </c>
      <c r="I4109" t="s">
        <v>4399</v>
      </c>
      <c r="J4109" t="s">
        <v>4399</v>
      </c>
      <c r="K4109" t="s">
        <v>4399</v>
      </c>
    </row>
    <row r="4110" spans="1:11" x14ac:dyDescent="0.2">
      <c r="A4110" t="s">
        <v>4265</v>
      </c>
      <c r="B4110">
        <v>0</v>
      </c>
      <c r="C4110">
        <v>0</v>
      </c>
      <c r="D4110">
        <v>0</v>
      </c>
      <c r="E4110">
        <v>0</v>
      </c>
      <c r="F4110">
        <v>0</v>
      </c>
      <c r="G4110">
        <v>0</v>
      </c>
      <c r="H4110">
        <v>0</v>
      </c>
      <c r="I4110">
        <v>0</v>
      </c>
      <c r="J4110">
        <v>0</v>
      </c>
      <c r="K4110">
        <v>0</v>
      </c>
    </row>
    <row r="4111" spans="1:11" x14ac:dyDescent="0.2">
      <c r="A4111" t="s">
        <v>4266</v>
      </c>
      <c r="B4111">
        <v>0</v>
      </c>
      <c r="C4111">
        <v>0</v>
      </c>
      <c r="D4111">
        <v>0</v>
      </c>
      <c r="E4111">
        <v>0</v>
      </c>
      <c r="F4111">
        <v>0</v>
      </c>
      <c r="G4111">
        <v>0</v>
      </c>
      <c r="H4111">
        <v>0</v>
      </c>
      <c r="I4111">
        <v>0</v>
      </c>
      <c r="J4111">
        <v>0</v>
      </c>
      <c r="K4111">
        <v>0</v>
      </c>
    </row>
    <row r="4112" spans="1:11" x14ac:dyDescent="0.2">
      <c r="A4112" t="s">
        <v>4267</v>
      </c>
      <c r="B4112">
        <v>2</v>
      </c>
      <c r="C4112">
        <v>2</v>
      </c>
      <c r="D4112">
        <v>0</v>
      </c>
      <c r="E4112">
        <v>0</v>
      </c>
      <c r="F4112">
        <v>0</v>
      </c>
      <c r="G4112">
        <v>0</v>
      </c>
      <c r="H4112">
        <v>0</v>
      </c>
      <c r="I4112">
        <v>0</v>
      </c>
      <c r="J4112">
        <v>0</v>
      </c>
      <c r="K4112">
        <v>0</v>
      </c>
    </row>
    <row r="4113" spans="1:11" x14ac:dyDescent="0.2">
      <c r="A4113" t="s">
        <v>4268</v>
      </c>
      <c r="B4113">
        <v>1</v>
      </c>
      <c r="C4113">
        <v>1</v>
      </c>
      <c r="D4113">
        <v>0</v>
      </c>
      <c r="E4113">
        <v>0</v>
      </c>
      <c r="F4113">
        <v>0</v>
      </c>
      <c r="G4113">
        <v>0</v>
      </c>
      <c r="H4113">
        <v>0</v>
      </c>
      <c r="I4113">
        <v>0</v>
      </c>
      <c r="J4113">
        <v>0</v>
      </c>
      <c r="K4113">
        <v>0</v>
      </c>
    </row>
    <row r="4114" spans="1:11" x14ac:dyDescent="0.2">
      <c r="A4114" t="s">
        <v>4269</v>
      </c>
      <c r="B4114">
        <v>3</v>
      </c>
      <c r="C4114">
        <v>3</v>
      </c>
      <c r="D4114">
        <v>1</v>
      </c>
      <c r="E4114">
        <v>0</v>
      </c>
      <c r="F4114">
        <v>0</v>
      </c>
      <c r="G4114">
        <v>0</v>
      </c>
      <c r="H4114">
        <v>0</v>
      </c>
      <c r="I4114">
        <v>0</v>
      </c>
      <c r="J4114">
        <v>0</v>
      </c>
      <c r="K4114">
        <v>0</v>
      </c>
    </row>
    <row r="4115" spans="1:11" x14ac:dyDescent="0.2">
      <c r="A4115" t="s">
        <v>4270</v>
      </c>
      <c r="B4115">
        <v>0</v>
      </c>
      <c r="C4115">
        <v>0</v>
      </c>
      <c r="D4115">
        <v>0</v>
      </c>
      <c r="E4115">
        <v>0</v>
      </c>
      <c r="F4115">
        <v>0</v>
      </c>
      <c r="G4115">
        <v>0</v>
      </c>
      <c r="H4115">
        <v>0</v>
      </c>
      <c r="I4115">
        <v>0</v>
      </c>
      <c r="J4115">
        <v>0</v>
      </c>
      <c r="K4115">
        <v>0</v>
      </c>
    </row>
    <row r="4116" spans="1:11" x14ac:dyDescent="0.2">
      <c r="A4116" t="s">
        <v>4271</v>
      </c>
      <c r="B4116">
        <v>1</v>
      </c>
      <c r="C4116">
        <v>1</v>
      </c>
      <c r="D4116">
        <v>0</v>
      </c>
      <c r="E4116">
        <v>0</v>
      </c>
      <c r="F4116">
        <v>0</v>
      </c>
      <c r="G4116">
        <v>0</v>
      </c>
      <c r="H4116">
        <v>0</v>
      </c>
      <c r="I4116">
        <v>0</v>
      </c>
      <c r="J4116">
        <v>0</v>
      </c>
      <c r="K4116">
        <v>0</v>
      </c>
    </row>
    <row r="4117" spans="1:11" x14ac:dyDescent="0.2">
      <c r="A4117" t="s">
        <v>4272</v>
      </c>
      <c r="B4117">
        <v>0</v>
      </c>
      <c r="C4117">
        <v>0</v>
      </c>
      <c r="D4117">
        <v>0</v>
      </c>
      <c r="E4117">
        <v>0</v>
      </c>
      <c r="F4117">
        <v>0</v>
      </c>
      <c r="G4117">
        <v>0</v>
      </c>
      <c r="H4117">
        <v>0</v>
      </c>
      <c r="I4117">
        <v>0</v>
      </c>
      <c r="J4117">
        <v>0</v>
      </c>
      <c r="K4117">
        <v>0</v>
      </c>
    </row>
    <row r="4118" spans="1:11" x14ac:dyDescent="0.2">
      <c r="A4118" t="s">
        <v>4273</v>
      </c>
      <c r="B4118">
        <v>0</v>
      </c>
      <c r="C4118">
        <v>0</v>
      </c>
      <c r="D4118">
        <v>0</v>
      </c>
      <c r="E4118">
        <v>0</v>
      </c>
      <c r="F4118">
        <v>0</v>
      </c>
      <c r="G4118">
        <v>0</v>
      </c>
      <c r="H4118">
        <v>0</v>
      </c>
      <c r="I4118">
        <v>0</v>
      </c>
      <c r="J4118">
        <v>0</v>
      </c>
      <c r="K4118">
        <v>0</v>
      </c>
    </row>
    <row r="4119" spans="1:11" x14ac:dyDescent="0.2">
      <c r="A4119" t="s">
        <v>4274</v>
      </c>
      <c r="B4119">
        <v>0</v>
      </c>
      <c r="C4119">
        <v>0</v>
      </c>
      <c r="D4119">
        <v>0</v>
      </c>
      <c r="E4119">
        <v>0</v>
      </c>
      <c r="F4119">
        <v>0</v>
      </c>
      <c r="G4119">
        <v>0</v>
      </c>
      <c r="H4119">
        <v>0</v>
      </c>
      <c r="I4119">
        <v>0</v>
      </c>
      <c r="J4119">
        <v>0</v>
      </c>
      <c r="K4119">
        <v>0</v>
      </c>
    </row>
    <row r="4120" spans="1:11" x14ac:dyDescent="0.2">
      <c r="A4120" t="s">
        <v>4275</v>
      </c>
      <c r="B4120">
        <v>0</v>
      </c>
      <c r="C4120">
        <v>0</v>
      </c>
      <c r="D4120">
        <v>0</v>
      </c>
      <c r="E4120">
        <v>0</v>
      </c>
      <c r="F4120">
        <v>0</v>
      </c>
      <c r="G4120">
        <v>0</v>
      </c>
      <c r="H4120">
        <v>0</v>
      </c>
      <c r="I4120">
        <v>0</v>
      </c>
      <c r="J4120">
        <v>0</v>
      </c>
      <c r="K4120">
        <v>0</v>
      </c>
    </row>
    <row r="4121" spans="1:11" x14ac:dyDescent="0.2">
      <c r="A4121" t="s">
        <v>4276</v>
      </c>
      <c r="B4121">
        <v>0</v>
      </c>
      <c r="C4121">
        <v>0</v>
      </c>
      <c r="D4121">
        <v>0</v>
      </c>
      <c r="E4121">
        <v>0</v>
      </c>
      <c r="F4121">
        <v>0</v>
      </c>
      <c r="G4121">
        <v>0</v>
      </c>
      <c r="H4121">
        <v>0</v>
      </c>
      <c r="I4121">
        <v>0</v>
      </c>
      <c r="J4121">
        <v>0</v>
      </c>
      <c r="K4121">
        <v>0</v>
      </c>
    </row>
    <row r="4122" spans="1:11" x14ac:dyDescent="0.2">
      <c r="A4122" t="s">
        <v>4277</v>
      </c>
      <c r="B4122">
        <v>0</v>
      </c>
      <c r="C4122">
        <v>0</v>
      </c>
      <c r="D4122">
        <v>0</v>
      </c>
      <c r="E4122">
        <v>0</v>
      </c>
      <c r="F4122">
        <v>0</v>
      </c>
      <c r="G4122">
        <v>0</v>
      </c>
      <c r="H4122">
        <v>0</v>
      </c>
      <c r="I4122">
        <v>0</v>
      </c>
      <c r="J4122">
        <v>0</v>
      </c>
      <c r="K4122">
        <v>0</v>
      </c>
    </row>
    <row r="4123" spans="1:11" x14ac:dyDescent="0.2">
      <c r="A4123" t="s">
        <v>4278</v>
      </c>
      <c r="B4123">
        <v>0</v>
      </c>
      <c r="C4123">
        <v>0</v>
      </c>
      <c r="D4123">
        <v>0</v>
      </c>
      <c r="E4123">
        <v>0</v>
      </c>
      <c r="F4123">
        <v>0</v>
      </c>
      <c r="G4123">
        <v>0</v>
      </c>
      <c r="H4123">
        <v>0</v>
      </c>
      <c r="I4123">
        <v>0</v>
      </c>
      <c r="J4123">
        <v>0</v>
      </c>
      <c r="K4123">
        <v>0</v>
      </c>
    </row>
    <row r="4124" spans="1:11" x14ac:dyDescent="0.2">
      <c r="A4124" t="s">
        <v>4279</v>
      </c>
      <c r="B4124">
        <v>1</v>
      </c>
      <c r="C4124">
        <v>7</v>
      </c>
      <c r="D4124">
        <v>0</v>
      </c>
      <c r="E4124">
        <v>0</v>
      </c>
      <c r="F4124">
        <v>0</v>
      </c>
      <c r="G4124">
        <v>0</v>
      </c>
      <c r="H4124">
        <v>0</v>
      </c>
      <c r="I4124">
        <v>0</v>
      </c>
      <c r="J4124">
        <v>0</v>
      </c>
      <c r="K4124">
        <v>0</v>
      </c>
    </row>
    <row r="4125" spans="1:11" x14ac:dyDescent="0.2">
      <c r="A4125" t="s">
        <v>4280</v>
      </c>
      <c r="B4125">
        <v>0</v>
      </c>
      <c r="C4125">
        <v>0</v>
      </c>
      <c r="D4125">
        <v>0</v>
      </c>
      <c r="E4125">
        <v>0</v>
      </c>
      <c r="F4125">
        <v>0</v>
      </c>
      <c r="G4125">
        <v>0</v>
      </c>
      <c r="H4125">
        <v>0</v>
      </c>
      <c r="I4125">
        <v>0</v>
      </c>
      <c r="J4125">
        <v>0</v>
      </c>
      <c r="K4125">
        <v>0</v>
      </c>
    </row>
    <row r="4126" spans="1:11" x14ac:dyDescent="0.2">
      <c r="A4126" t="s">
        <v>4281</v>
      </c>
      <c r="B4126">
        <v>0</v>
      </c>
      <c r="C4126">
        <v>2</v>
      </c>
      <c r="D4126">
        <v>0</v>
      </c>
      <c r="E4126">
        <v>0</v>
      </c>
      <c r="F4126">
        <v>0</v>
      </c>
      <c r="G4126">
        <v>6</v>
      </c>
      <c r="H4126">
        <v>1</v>
      </c>
      <c r="I4126">
        <v>0</v>
      </c>
      <c r="J4126">
        <v>0</v>
      </c>
      <c r="K4126">
        <v>2</v>
      </c>
    </row>
    <row r="4127" spans="1:11" x14ac:dyDescent="0.2">
      <c r="A4127" t="s">
        <v>4282</v>
      </c>
      <c r="B4127">
        <v>0</v>
      </c>
      <c r="C4127">
        <v>1</v>
      </c>
      <c r="D4127">
        <v>0</v>
      </c>
      <c r="E4127">
        <v>0</v>
      </c>
      <c r="F4127">
        <v>0</v>
      </c>
      <c r="G4127">
        <v>1</v>
      </c>
      <c r="H4127">
        <v>0</v>
      </c>
      <c r="I4127">
        <v>0</v>
      </c>
      <c r="J4127">
        <v>0</v>
      </c>
      <c r="K4127">
        <v>1</v>
      </c>
    </row>
    <row r="4128" spans="1:11" x14ac:dyDescent="0.2">
      <c r="A4128" t="s">
        <v>4283</v>
      </c>
      <c r="B4128">
        <v>2</v>
      </c>
      <c r="C4128">
        <v>7</v>
      </c>
      <c r="D4128">
        <v>0</v>
      </c>
      <c r="E4128">
        <v>0</v>
      </c>
      <c r="F4128">
        <v>0</v>
      </c>
      <c r="G4128">
        <v>1</v>
      </c>
      <c r="H4128">
        <v>0</v>
      </c>
      <c r="I4128">
        <v>0</v>
      </c>
      <c r="J4128">
        <v>0</v>
      </c>
      <c r="K4128">
        <v>1</v>
      </c>
    </row>
    <row r="4129" spans="1:11" x14ac:dyDescent="0.2">
      <c r="A4129" t="s">
        <v>4284</v>
      </c>
      <c r="B4129">
        <v>0</v>
      </c>
      <c r="C4129">
        <v>1</v>
      </c>
      <c r="D4129">
        <v>0</v>
      </c>
      <c r="E4129">
        <v>0</v>
      </c>
      <c r="F4129">
        <v>0</v>
      </c>
      <c r="G4129">
        <v>0</v>
      </c>
      <c r="H4129">
        <v>0</v>
      </c>
      <c r="I4129">
        <v>0</v>
      </c>
      <c r="J4129">
        <v>0</v>
      </c>
      <c r="K4129">
        <v>0</v>
      </c>
    </row>
    <row r="4130" spans="1:11" x14ac:dyDescent="0.2">
      <c r="A4130" t="s">
        <v>4285</v>
      </c>
      <c r="B4130">
        <v>0</v>
      </c>
      <c r="C4130">
        <v>1</v>
      </c>
      <c r="D4130">
        <v>0</v>
      </c>
      <c r="E4130">
        <v>0</v>
      </c>
      <c r="F4130">
        <v>0</v>
      </c>
      <c r="G4130">
        <v>1</v>
      </c>
      <c r="H4130">
        <v>0</v>
      </c>
      <c r="I4130">
        <v>0</v>
      </c>
      <c r="J4130">
        <v>0</v>
      </c>
      <c r="K4130">
        <v>1</v>
      </c>
    </row>
    <row r="4131" spans="1:11" x14ac:dyDescent="0.2">
      <c r="A4131" t="s">
        <v>4286</v>
      </c>
      <c r="B4131">
        <v>0</v>
      </c>
      <c r="C4131">
        <v>0</v>
      </c>
      <c r="D4131">
        <v>0</v>
      </c>
      <c r="E4131">
        <v>0</v>
      </c>
      <c r="F4131">
        <v>0</v>
      </c>
      <c r="G4131">
        <v>0</v>
      </c>
      <c r="H4131">
        <v>0</v>
      </c>
      <c r="I4131">
        <v>0</v>
      </c>
      <c r="J4131">
        <v>0</v>
      </c>
      <c r="K4131">
        <v>0</v>
      </c>
    </row>
    <row r="4132" spans="1:11" x14ac:dyDescent="0.2">
      <c r="A4132" t="s">
        <v>4287</v>
      </c>
      <c r="B4132">
        <v>0</v>
      </c>
      <c r="C4132">
        <v>0</v>
      </c>
      <c r="D4132">
        <v>0</v>
      </c>
      <c r="E4132">
        <v>0</v>
      </c>
      <c r="F4132">
        <v>0</v>
      </c>
      <c r="G4132">
        <v>4</v>
      </c>
      <c r="H4132">
        <v>1</v>
      </c>
      <c r="I4132">
        <v>0</v>
      </c>
      <c r="J4132">
        <v>0</v>
      </c>
      <c r="K4132">
        <v>0</v>
      </c>
    </row>
    <row r="4133" spans="1:11" x14ac:dyDescent="0.2">
      <c r="A4133" t="s">
        <v>4288</v>
      </c>
      <c r="B4133">
        <v>0</v>
      </c>
      <c r="C4133">
        <v>0</v>
      </c>
      <c r="D4133">
        <v>0</v>
      </c>
      <c r="E4133">
        <v>0</v>
      </c>
      <c r="F4133">
        <v>0</v>
      </c>
      <c r="G4133">
        <v>0</v>
      </c>
      <c r="H4133">
        <v>0</v>
      </c>
      <c r="I4133">
        <v>0</v>
      </c>
      <c r="J4133">
        <v>0</v>
      </c>
      <c r="K4133">
        <v>0</v>
      </c>
    </row>
    <row r="4134" spans="1:11" x14ac:dyDescent="0.2">
      <c r="A4134" t="s">
        <v>4289</v>
      </c>
      <c r="B4134">
        <v>0</v>
      </c>
      <c r="C4134">
        <v>0</v>
      </c>
      <c r="D4134">
        <v>0</v>
      </c>
      <c r="E4134">
        <v>0</v>
      </c>
      <c r="F4134">
        <v>0</v>
      </c>
      <c r="G4134">
        <v>0</v>
      </c>
      <c r="H4134">
        <v>0</v>
      </c>
      <c r="I4134">
        <v>0</v>
      </c>
      <c r="J4134">
        <v>0</v>
      </c>
      <c r="K4134">
        <v>0</v>
      </c>
    </row>
    <row r="4135" spans="1:11" x14ac:dyDescent="0.2">
      <c r="A4135" t="s">
        <v>4290</v>
      </c>
      <c r="B4135">
        <v>0</v>
      </c>
      <c r="C4135">
        <v>0</v>
      </c>
      <c r="D4135">
        <v>0</v>
      </c>
      <c r="E4135">
        <v>0</v>
      </c>
      <c r="F4135">
        <v>0</v>
      </c>
      <c r="G4135">
        <v>0</v>
      </c>
      <c r="H4135">
        <v>0</v>
      </c>
      <c r="I4135">
        <v>0</v>
      </c>
      <c r="J4135">
        <v>0</v>
      </c>
      <c r="K4135">
        <v>0</v>
      </c>
    </row>
    <row r="4136" spans="1:11" x14ac:dyDescent="0.2">
      <c r="A4136" t="s">
        <v>4291</v>
      </c>
      <c r="B4136">
        <v>0</v>
      </c>
      <c r="C4136">
        <v>0</v>
      </c>
      <c r="D4136">
        <v>0</v>
      </c>
      <c r="E4136">
        <v>0</v>
      </c>
      <c r="F4136">
        <v>0</v>
      </c>
      <c r="G4136">
        <v>0</v>
      </c>
      <c r="H4136">
        <v>0</v>
      </c>
      <c r="I4136">
        <v>0</v>
      </c>
      <c r="J4136">
        <v>0</v>
      </c>
      <c r="K4136">
        <v>0</v>
      </c>
    </row>
    <row r="4137" spans="1:11" x14ac:dyDescent="0.2">
      <c r="A4137" t="s">
        <v>4292</v>
      </c>
      <c r="B4137">
        <v>0</v>
      </c>
      <c r="C4137">
        <v>0</v>
      </c>
      <c r="D4137">
        <v>0</v>
      </c>
      <c r="E4137">
        <v>0</v>
      </c>
      <c r="F4137">
        <v>0</v>
      </c>
      <c r="G4137">
        <v>0</v>
      </c>
      <c r="H4137">
        <v>0</v>
      </c>
      <c r="I4137">
        <v>0</v>
      </c>
      <c r="J4137">
        <v>0</v>
      </c>
      <c r="K4137">
        <v>0</v>
      </c>
    </row>
    <row r="4138" spans="1:11" x14ac:dyDescent="0.2">
      <c r="A4138" t="s">
        <v>4293</v>
      </c>
      <c r="B4138">
        <v>0</v>
      </c>
      <c r="C4138">
        <v>0</v>
      </c>
      <c r="D4138">
        <v>0</v>
      </c>
      <c r="E4138">
        <v>0</v>
      </c>
      <c r="F4138">
        <v>0</v>
      </c>
      <c r="G4138">
        <v>0</v>
      </c>
      <c r="H4138">
        <v>0</v>
      </c>
      <c r="I4138">
        <v>0</v>
      </c>
      <c r="J4138">
        <v>0</v>
      </c>
      <c r="K4138">
        <v>0</v>
      </c>
    </row>
    <row r="4139" spans="1:11" x14ac:dyDescent="0.2">
      <c r="A4139" t="s">
        <v>4294</v>
      </c>
      <c r="B4139">
        <v>0</v>
      </c>
      <c r="C4139">
        <v>0</v>
      </c>
      <c r="D4139">
        <v>0</v>
      </c>
      <c r="E4139">
        <v>0</v>
      </c>
      <c r="F4139">
        <v>0</v>
      </c>
      <c r="G4139">
        <v>0</v>
      </c>
      <c r="H4139">
        <v>0</v>
      </c>
      <c r="I4139">
        <v>0</v>
      </c>
      <c r="J4139">
        <v>0</v>
      </c>
      <c r="K4139">
        <v>0</v>
      </c>
    </row>
    <row r="4140" spans="1:11" x14ac:dyDescent="0.2">
      <c r="A4140" t="s">
        <v>4295</v>
      </c>
      <c r="B4140">
        <v>0</v>
      </c>
      <c r="C4140">
        <v>0</v>
      </c>
      <c r="D4140">
        <v>0</v>
      </c>
      <c r="E4140">
        <v>0</v>
      </c>
      <c r="F4140">
        <v>0</v>
      </c>
      <c r="G4140">
        <v>0</v>
      </c>
      <c r="H4140">
        <v>0</v>
      </c>
      <c r="I4140">
        <v>0</v>
      </c>
      <c r="J4140">
        <v>0</v>
      </c>
      <c r="K4140">
        <v>0</v>
      </c>
    </row>
    <row r="4141" spans="1:11" x14ac:dyDescent="0.2">
      <c r="A4141" t="s">
        <v>4296</v>
      </c>
      <c r="B4141">
        <v>0</v>
      </c>
      <c r="C4141">
        <v>0</v>
      </c>
      <c r="D4141">
        <v>0</v>
      </c>
      <c r="E4141">
        <v>0</v>
      </c>
      <c r="F4141">
        <v>0</v>
      </c>
      <c r="G4141">
        <v>0</v>
      </c>
      <c r="H4141">
        <v>0</v>
      </c>
      <c r="I4141">
        <v>0</v>
      </c>
      <c r="J4141">
        <v>0</v>
      </c>
      <c r="K4141">
        <v>0</v>
      </c>
    </row>
    <row r="4142" spans="1:11" x14ac:dyDescent="0.2">
      <c r="A4142" t="s">
        <v>4297</v>
      </c>
      <c r="B4142">
        <v>0</v>
      </c>
      <c r="C4142">
        <v>0</v>
      </c>
      <c r="D4142">
        <v>0</v>
      </c>
      <c r="E4142">
        <v>0</v>
      </c>
      <c r="F4142">
        <v>0</v>
      </c>
      <c r="G4142">
        <v>7</v>
      </c>
      <c r="H4142">
        <v>2</v>
      </c>
      <c r="I4142">
        <v>0</v>
      </c>
      <c r="J4142">
        <v>0</v>
      </c>
      <c r="K4142">
        <v>1</v>
      </c>
    </row>
    <row r="4143" spans="1:11" x14ac:dyDescent="0.2">
      <c r="A4143" t="s">
        <v>4298</v>
      </c>
      <c r="B4143">
        <v>0</v>
      </c>
      <c r="C4143">
        <v>0</v>
      </c>
      <c r="D4143">
        <v>0</v>
      </c>
      <c r="E4143">
        <v>0</v>
      </c>
      <c r="F4143">
        <v>0</v>
      </c>
      <c r="G4143">
        <v>9</v>
      </c>
      <c r="H4143">
        <v>4</v>
      </c>
      <c r="I4143">
        <v>0</v>
      </c>
      <c r="J4143">
        <v>0</v>
      </c>
      <c r="K4143">
        <v>0</v>
      </c>
    </row>
    <row r="4144" spans="1:11" x14ac:dyDescent="0.2">
      <c r="A4144" t="s">
        <v>4299</v>
      </c>
      <c r="B4144">
        <v>0</v>
      </c>
      <c r="C4144">
        <v>0</v>
      </c>
      <c r="D4144">
        <v>0</v>
      </c>
      <c r="E4144">
        <v>0</v>
      </c>
      <c r="F4144">
        <v>0</v>
      </c>
      <c r="G4144">
        <v>12</v>
      </c>
      <c r="H4144">
        <v>4</v>
      </c>
      <c r="I4144">
        <v>0</v>
      </c>
      <c r="J4144">
        <v>0</v>
      </c>
      <c r="K4144">
        <v>0</v>
      </c>
    </row>
    <row r="4145" spans="1:11" x14ac:dyDescent="0.2">
      <c r="A4145" t="s">
        <v>4300</v>
      </c>
      <c r="B4145">
        <v>0</v>
      </c>
      <c r="C4145">
        <v>0</v>
      </c>
      <c r="D4145">
        <v>0</v>
      </c>
      <c r="E4145">
        <v>0</v>
      </c>
      <c r="F4145">
        <v>0</v>
      </c>
      <c r="G4145">
        <v>0</v>
      </c>
      <c r="H4145">
        <v>0</v>
      </c>
      <c r="I4145">
        <v>0</v>
      </c>
      <c r="J4145">
        <v>0</v>
      </c>
      <c r="K4145">
        <v>0</v>
      </c>
    </row>
    <row r="4146" spans="1:11" x14ac:dyDescent="0.2">
      <c r="A4146" t="s">
        <v>4301</v>
      </c>
      <c r="B4146">
        <v>0</v>
      </c>
      <c r="C4146">
        <v>1</v>
      </c>
      <c r="D4146">
        <v>0</v>
      </c>
      <c r="E4146">
        <v>0</v>
      </c>
      <c r="F4146">
        <v>0</v>
      </c>
      <c r="G4146">
        <v>54</v>
      </c>
      <c r="H4146">
        <v>13</v>
      </c>
      <c r="I4146">
        <v>0</v>
      </c>
      <c r="J4146">
        <v>1</v>
      </c>
      <c r="K4146">
        <v>9</v>
      </c>
    </row>
    <row r="4147" spans="1:11" x14ac:dyDescent="0.2">
      <c r="A4147" t="s">
        <v>4302</v>
      </c>
      <c r="B4147">
        <v>0</v>
      </c>
      <c r="C4147">
        <v>0</v>
      </c>
      <c r="D4147">
        <v>0</v>
      </c>
      <c r="E4147">
        <v>0</v>
      </c>
      <c r="F4147">
        <v>0</v>
      </c>
      <c r="G4147">
        <v>28</v>
      </c>
      <c r="H4147">
        <v>11</v>
      </c>
      <c r="I4147">
        <v>0</v>
      </c>
      <c r="J4147">
        <v>0</v>
      </c>
      <c r="K4147">
        <v>1</v>
      </c>
    </row>
    <row r="4148" spans="1:11" x14ac:dyDescent="0.2">
      <c r="A4148" t="s">
        <v>4303</v>
      </c>
      <c r="B4148">
        <v>0</v>
      </c>
      <c r="C4148">
        <v>0</v>
      </c>
      <c r="D4148">
        <v>0</v>
      </c>
      <c r="E4148">
        <v>0</v>
      </c>
      <c r="F4148">
        <v>1</v>
      </c>
      <c r="G4148">
        <v>32</v>
      </c>
      <c r="H4148">
        <v>39</v>
      </c>
      <c r="I4148">
        <v>0</v>
      </c>
      <c r="J4148">
        <v>1</v>
      </c>
      <c r="K4148">
        <v>2</v>
      </c>
    </row>
    <row r="4149" spans="1:11" x14ac:dyDescent="0.2">
      <c r="A4149" t="s">
        <v>4304</v>
      </c>
      <c r="B4149">
        <v>0</v>
      </c>
      <c r="C4149">
        <v>0</v>
      </c>
      <c r="D4149">
        <v>0</v>
      </c>
      <c r="E4149">
        <v>0</v>
      </c>
      <c r="F4149">
        <v>0</v>
      </c>
      <c r="G4149">
        <v>13</v>
      </c>
      <c r="H4149">
        <v>3</v>
      </c>
      <c r="I4149">
        <v>0</v>
      </c>
      <c r="J4149">
        <v>0</v>
      </c>
      <c r="K4149">
        <v>1</v>
      </c>
    </row>
    <row r="4150" spans="1:11" x14ac:dyDescent="0.2">
      <c r="A4150" t="s">
        <v>4305</v>
      </c>
      <c r="B4150">
        <v>0</v>
      </c>
      <c r="C4150">
        <v>0</v>
      </c>
      <c r="D4150">
        <v>0</v>
      </c>
      <c r="E4150">
        <v>0</v>
      </c>
      <c r="F4150">
        <v>1</v>
      </c>
      <c r="G4150">
        <v>224</v>
      </c>
      <c r="H4150">
        <v>53</v>
      </c>
      <c r="I4150">
        <v>0</v>
      </c>
      <c r="J4150">
        <v>3</v>
      </c>
      <c r="K4150">
        <v>40</v>
      </c>
    </row>
    <row r="4151" spans="1:11" x14ac:dyDescent="0.2">
      <c r="A4151" t="s">
        <v>4306</v>
      </c>
      <c r="B4151">
        <v>0</v>
      </c>
      <c r="C4151">
        <v>0</v>
      </c>
      <c r="D4151">
        <v>0</v>
      </c>
      <c r="E4151">
        <v>0</v>
      </c>
      <c r="F4151">
        <v>0</v>
      </c>
      <c r="G4151">
        <v>24</v>
      </c>
      <c r="H4151">
        <v>9</v>
      </c>
      <c r="I4151">
        <v>0</v>
      </c>
      <c r="J4151">
        <v>0</v>
      </c>
      <c r="K4151">
        <v>3</v>
      </c>
    </row>
    <row r="4152" spans="1:11" x14ac:dyDescent="0.2">
      <c r="A4152" t="s">
        <v>4307</v>
      </c>
      <c r="B4152">
        <v>0</v>
      </c>
      <c r="C4152">
        <v>0</v>
      </c>
      <c r="D4152">
        <v>0</v>
      </c>
      <c r="E4152">
        <v>0</v>
      </c>
      <c r="F4152">
        <v>6</v>
      </c>
      <c r="G4152">
        <v>236</v>
      </c>
      <c r="H4152">
        <v>286</v>
      </c>
      <c r="I4152">
        <v>0</v>
      </c>
      <c r="J4152">
        <v>9</v>
      </c>
      <c r="K4152">
        <v>30</v>
      </c>
    </row>
    <row r="4153" spans="1:11" x14ac:dyDescent="0.2">
      <c r="A4153" t="s">
        <v>4308</v>
      </c>
      <c r="B4153">
        <v>0</v>
      </c>
      <c r="C4153">
        <v>0</v>
      </c>
      <c r="D4153">
        <v>0</v>
      </c>
      <c r="E4153">
        <v>0</v>
      </c>
      <c r="F4153">
        <v>0</v>
      </c>
      <c r="G4153">
        <v>5</v>
      </c>
      <c r="H4153">
        <v>6</v>
      </c>
      <c r="I4153">
        <v>0</v>
      </c>
      <c r="J4153">
        <v>0</v>
      </c>
      <c r="K4153">
        <v>0</v>
      </c>
    </row>
    <row r="4154" spans="1:11" x14ac:dyDescent="0.2">
      <c r="A4154" t="s">
        <v>4309</v>
      </c>
      <c r="B4154">
        <v>0</v>
      </c>
      <c r="C4154">
        <v>0</v>
      </c>
      <c r="D4154">
        <v>0</v>
      </c>
      <c r="E4154">
        <v>0</v>
      </c>
      <c r="F4154">
        <v>0</v>
      </c>
      <c r="G4154">
        <v>0</v>
      </c>
      <c r="H4154">
        <v>0</v>
      </c>
      <c r="I4154">
        <v>0</v>
      </c>
      <c r="J4154">
        <v>0</v>
      </c>
      <c r="K4154">
        <v>0</v>
      </c>
    </row>
    <row r="4155" spans="1:11" x14ac:dyDescent="0.2">
      <c r="A4155" t="s">
        <v>4310</v>
      </c>
      <c r="B4155">
        <v>0</v>
      </c>
      <c r="C4155">
        <v>0</v>
      </c>
      <c r="D4155">
        <v>0</v>
      </c>
      <c r="E4155">
        <v>0</v>
      </c>
      <c r="F4155">
        <v>0</v>
      </c>
      <c r="G4155">
        <v>0</v>
      </c>
      <c r="H4155">
        <v>0</v>
      </c>
      <c r="I4155">
        <v>0</v>
      </c>
      <c r="J4155">
        <v>0</v>
      </c>
      <c r="K4155">
        <v>0</v>
      </c>
    </row>
    <row r="4156" spans="1:11" x14ac:dyDescent="0.2">
      <c r="A4156" t="s">
        <v>4311</v>
      </c>
      <c r="B4156">
        <v>0</v>
      </c>
      <c r="C4156">
        <v>0</v>
      </c>
      <c r="D4156">
        <v>0</v>
      </c>
      <c r="E4156">
        <v>0</v>
      </c>
      <c r="F4156">
        <v>0</v>
      </c>
      <c r="G4156">
        <v>0</v>
      </c>
      <c r="H4156">
        <v>0</v>
      </c>
      <c r="I4156">
        <v>0</v>
      </c>
      <c r="J4156">
        <v>0</v>
      </c>
      <c r="K4156">
        <v>0</v>
      </c>
    </row>
    <row r="4157" spans="1:11" x14ac:dyDescent="0.2">
      <c r="A4157" t="s">
        <v>4312</v>
      </c>
      <c r="B4157">
        <v>0</v>
      </c>
      <c r="C4157">
        <v>0</v>
      </c>
      <c r="D4157">
        <v>0</v>
      </c>
      <c r="E4157">
        <v>0</v>
      </c>
      <c r="F4157">
        <v>0</v>
      </c>
      <c r="G4157">
        <v>0</v>
      </c>
      <c r="H4157">
        <v>0</v>
      </c>
      <c r="I4157">
        <v>0</v>
      </c>
      <c r="J4157">
        <v>0</v>
      </c>
      <c r="K4157">
        <v>0</v>
      </c>
    </row>
    <row r="4158" spans="1:11" x14ac:dyDescent="0.2">
      <c r="A4158" t="s">
        <v>4313</v>
      </c>
      <c r="B4158">
        <v>0</v>
      </c>
      <c r="C4158">
        <v>0</v>
      </c>
      <c r="D4158">
        <v>0</v>
      </c>
      <c r="E4158">
        <v>0</v>
      </c>
      <c r="F4158">
        <v>0</v>
      </c>
      <c r="G4158">
        <v>0</v>
      </c>
      <c r="H4158">
        <v>0</v>
      </c>
      <c r="I4158">
        <v>0</v>
      </c>
      <c r="J4158">
        <v>0</v>
      </c>
      <c r="K4158">
        <v>0</v>
      </c>
    </row>
    <row r="4159" spans="1:11" x14ac:dyDescent="0.2">
      <c r="A4159" t="s">
        <v>4314</v>
      </c>
      <c r="B4159">
        <v>0</v>
      </c>
      <c r="C4159">
        <v>0</v>
      </c>
      <c r="D4159">
        <v>0</v>
      </c>
      <c r="E4159">
        <v>0</v>
      </c>
      <c r="F4159">
        <v>0</v>
      </c>
      <c r="G4159">
        <v>0</v>
      </c>
      <c r="H4159">
        <v>0</v>
      </c>
      <c r="I4159">
        <v>0</v>
      </c>
      <c r="J4159">
        <v>0</v>
      </c>
      <c r="K4159">
        <v>0</v>
      </c>
    </row>
    <row r="4160" spans="1:11" x14ac:dyDescent="0.2">
      <c r="A4160" t="s">
        <v>4315</v>
      </c>
      <c r="B4160">
        <v>0</v>
      </c>
      <c r="C4160">
        <v>0</v>
      </c>
      <c r="D4160">
        <v>0</v>
      </c>
      <c r="E4160">
        <v>0</v>
      </c>
      <c r="F4160">
        <v>0</v>
      </c>
      <c r="G4160">
        <v>0</v>
      </c>
      <c r="H4160">
        <v>0</v>
      </c>
      <c r="I4160">
        <v>0</v>
      </c>
      <c r="J4160">
        <v>0</v>
      </c>
      <c r="K4160">
        <v>0</v>
      </c>
    </row>
    <row r="4161" spans="1:11" x14ac:dyDescent="0.2">
      <c r="A4161" t="s">
        <v>4316</v>
      </c>
      <c r="B4161">
        <v>0</v>
      </c>
      <c r="C4161">
        <v>0</v>
      </c>
      <c r="D4161">
        <v>0</v>
      </c>
      <c r="E4161">
        <v>0</v>
      </c>
      <c r="F4161">
        <v>0</v>
      </c>
      <c r="G4161">
        <v>0</v>
      </c>
      <c r="H4161">
        <v>0</v>
      </c>
      <c r="I4161">
        <v>0</v>
      </c>
      <c r="J4161">
        <v>0</v>
      </c>
      <c r="K4161">
        <v>0</v>
      </c>
    </row>
    <row r="4162" spans="1:11" x14ac:dyDescent="0.2">
      <c r="A4162" t="s">
        <v>4317</v>
      </c>
      <c r="B4162">
        <v>0</v>
      </c>
      <c r="C4162">
        <v>0</v>
      </c>
      <c r="D4162">
        <v>0</v>
      </c>
      <c r="E4162">
        <v>0</v>
      </c>
      <c r="F4162">
        <v>0</v>
      </c>
      <c r="G4162">
        <v>0</v>
      </c>
      <c r="H4162">
        <v>0</v>
      </c>
      <c r="I4162">
        <v>0</v>
      </c>
      <c r="J4162">
        <v>0</v>
      </c>
      <c r="K4162">
        <v>0</v>
      </c>
    </row>
    <row r="4163" spans="1:11" x14ac:dyDescent="0.2">
      <c r="A4163" t="s">
        <v>4318</v>
      </c>
      <c r="B4163">
        <v>0</v>
      </c>
      <c r="C4163">
        <v>0</v>
      </c>
      <c r="D4163">
        <v>0</v>
      </c>
      <c r="E4163">
        <v>0</v>
      </c>
      <c r="F4163">
        <v>0</v>
      </c>
      <c r="G4163">
        <v>0</v>
      </c>
      <c r="H4163">
        <v>0</v>
      </c>
      <c r="I4163">
        <v>0</v>
      </c>
      <c r="J4163">
        <v>0</v>
      </c>
      <c r="K4163">
        <v>0</v>
      </c>
    </row>
    <row r="4164" spans="1:11" x14ac:dyDescent="0.2">
      <c r="A4164" t="s">
        <v>4319</v>
      </c>
      <c r="B4164">
        <v>0</v>
      </c>
      <c r="C4164">
        <v>0</v>
      </c>
      <c r="D4164">
        <v>0</v>
      </c>
      <c r="E4164">
        <v>0</v>
      </c>
      <c r="F4164">
        <v>0</v>
      </c>
      <c r="G4164">
        <v>0</v>
      </c>
      <c r="H4164">
        <v>0</v>
      </c>
      <c r="I4164">
        <v>0</v>
      </c>
      <c r="J4164">
        <v>0</v>
      </c>
      <c r="K4164">
        <v>0</v>
      </c>
    </row>
    <row r="4165" spans="1:11" x14ac:dyDescent="0.2">
      <c r="A4165" t="s">
        <v>4320</v>
      </c>
      <c r="B4165">
        <v>0</v>
      </c>
      <c r="C4165">
        <v>0</v>
      </c>
      <c r="D4165">
        <v>0</v>
      </c>
      <c r="E4165">
        <v>0</v>
      </c>
      <c r="F4165">
        <v>0</v>
      </c>
      <c r="G4165">
        <v>0</v>
      </c>
      <c r="H4165">
        <v>0</v>
      </c>
      <c r="I4165">
        <v>0</v>
      </c>
      <c r="J4165">
        <v>0</v>
      </c>
      <c r="K4165">
        <v>0</v>
      </c>
    </row>
    <row r="4166" spans="1:11" x14ac:dyDescent="0.2">
      <c r="A4166" t="s">
        <v>4321</v>
      </c>
      <c r="B4166">
        <v>0</v>
      </c>
      <c r="C4166">
        <v>0</v>
      </c>
      <c r="D4166">
        <v>0</v>
      </c>
      <c r="E4166">
        <v>0</v>
      </c>
      <c r="F4166">
        <v>0</v>
      </c>
      <c r="G4166">
        <v>0</v>
      </c>
      <c r="H4166">
        <v>0</v>
      </c>
      <c r="I4166">
        <v>0</v>
      </c>
      <c r="J4166">
        <v>0</v>
      </c>
      <c r="K4166">
        <v>0</v>
      </c>
    </row>
    <row r="4167" spans="1:11" x14ac:dyDescent="0.2">
      <c r="A4167" t="s">
        <v>4322</v>
      </c>
      <c r="B4167">
        <v>0</v>
      </c>
      <c r="C4167">
        <v>0</v>
      </c>
      <c r="D4167">
        <v>0</v>
      </c>
      <c r="E4167">
        <v>0</v>
      </c>
      <c r="F4167">
        <v>0</v>
      </c>
      <c r="G4167">
        <v>0</v>
      </c>
      <c r="H4167">
        <v>0</v>
      </c>
      <c r="I4167">
        <v>0</v>
      </c>
      <c r="J4167">
        <v>0</v>
      </c>
      <c r="K4167">
        <v>0</v>
      </c>
    </row>
    <row r="4168" spans="1:11" x14ac:dyDescent="0.2">
      <c r="A4168" t="s">
        <v>4323</v>
      </c>
      <c r="B4168">
        <v>0</v>
      </c>
      <c r="C4168">
        <v>0</v>
      </c>
      <c r="D4168">
        <v>0</v>
      </c>
      <c r="E4168">
        <v>0</v>
      </c>
      <c r="F4168">
        <v>0</v>
      </c>
      <c r="G4168">
        <v>0</v>
      </c>
      <c r="H4168">
        <v>0</v>
      </c>
      <c r="I4168">
        <v>0</v>
      </c>
      <c r="J4168">
        <v>0</v>
      </c>
      <c r="K4168">
        <v>0</v>
      </c>
    </row>
    <row r="4169" spans="1:11" x14ac:dyDescent="0.2">
      <c r="A4169" t="s">
        <v>4324</v>
      </c>
      <c r="B4169">
        <v>0</v>
      </c>
      <c r="C4169">
        <v>0</v>
      </c>
      <c r="D4169">
        <v>0</v>
      </c>
      <c r="E4169">
        <v>0</v>
      </c>
      <c r="F4169">
        <v>0</v>
      </c>
      <c r="G4169">
        <v>0</v>
      </c>
      <c r="H4169">
        <v>0</v>
      </c>
      <c r="I4169">
        <v>0</v>
      </c>
      <c r="J4169">
        <v>0</v>
      </c>
      <c r="K4169">
        <v>0</v>
      </c>
    </row>
    <row r="4170" spans="1:11" x14ac:dyDescent="0.2">
      <c r="A4170" t="s">
        <v>4325</v>
      </c>
      <c r="B4170">
        <v>0</v>
      </c>
      <c r="C4170">
        <v>0</v>
      </c>
      <c r="D4170">
        <v>0</v>
      </c>
      <c r="E4170">
        <v>0</v>
      </c>
      <c r="F4170">
        <v>0</v>
      </c>
      <c r="G4170">
        <v>0</v>
      </c>
      <c r="H4170">
        <v>0</v>
      </c>
      <c r="I4170">
        <v>0</v>
      </c>
      <c r="J4170">
        <v>0</v>
      </c>
      <c r="K4170">
        <v>0</v>
      </c>
    </row>
    <row r="4171" spans="1:11" x14ac:dyDescent="0.2">
      <c r="A4171" t="s">
        <v>4326</v>
      </c>
      <c r="B4171">
        <v>0</v>
      </c>
      <c r="C4171">
        <v>0</v>
      </c>
      <c r="D4171">
        <v>0</v>
      </c>
      <c r="E4171">
        <v>0</v>
      </c>
      <c r="F4171">
        <v>0</v>
      </c>
      <c r="G4171">
        <v>0</v>
      </c>
      <c r="H4171">
        <v>0</v>
      </c>
      <c r="I4171">
        <v>0</v>
      </c>
      <c r="J4171">
        <v>0</v>
      </c>
      <c r="K4171">
        <v>0</v>
      </c>
    </row>
    <row r="4172" spans="1:11" x14ac:dyDescent="0.2">
      <c r="A4172" t="s">
        <v>4327</v>
      </c>
      <c r="B4172">
        <v>0</v>
      </c>
      <c r="C4172">
        <v>0</v>
      </c>
      <c r="D4172">
        <v>0</v>
      </c>
      <c r="E4172">
        <v>0</v>
      </c>
      <c r="F4172">
        <v>0</v>
      </c>
      <c r="G4172">
        <v>0</v>
      </c>
      <c r="H4172">
        <v>0</v>
      </c>
      <c r="I4172">
        <v>0</v>
      </c>
      <c r="J4172">
        <v>0</v>
      </c>
      <c r="K4172">
        <v>0</v>
      </c>
    </row>
    <row r="4173" spans="1:11" x14ac:dyDescent="0.2">
      <c r="A4173" t="s">
        <v>4328</v>
      </c>
      <c r="B4173">
        <v>0</v>
      </c>
      <c r="C4173">
        <v>0</v>
      </c>
      <c r="D4173">
        <v>0</v>
      </c>
      <c r="E4173">
        <v>0</v>
      </c>
      <c r="F4173">
        <v>0</v>
      </c>
      <c r="G4173">
        <v>0</v>
      </c>
      <c r="H4173">
        <v>0</v>
      </c>
      <c r="I4173">
        <v>0</v>
      </c>
      <c r="J4173">
        <v>0</v>
      </c>
      <c r="K4173">
        <v>0</v>
      </c>
    </row>
    <row r="4174" spans="1:11" x14ac:dyDescent="0.2">
      <c r="A4174" t="s">
        <v>4329</v>
      </c>
      <c r="B4174">
        <v>0</v>
      </c>
      <c r="C4174">
        <v>0</v>
      </c>
      <c r="D4174">
        <v>0</v>
      </c>
      <c r="E4174">
        <v>0</v>
      </c>
      <c r="F4174">
        <v>0</v>
      </c>
      <c r="G4174">
        <v>0</v>
      </c>
      <c r="H4174">
        <v>0</v>
      </c>
      <c r="I4174">
        <v>0</v>
      </c>
      <c r="J4174">
        <v>0</v>
      </c>
      <c r="K4174">
        <v>0</v>
      </c>
    </row>
    <row r="4175" spans="1:11" x14ac:dyDescent="0.2">
      <c r="A4175" t="s">
        <v>4330</v>
      </c>
      <c r="B4175">
        <v>0</v>
      </c>
      <c r="C4175">
        <v>0</v>
      </c>
      <c r="D4175">
        <v>0</v>
      </c>
      <c r="E4175">
        <v>0</v>
      </c>
      <c r="F4175">
        <v>0</v>
      </c>
      <c r="G4175">
        <v>0</v>
      </c>
      <c r="H4175">
        <v>0</v>
      </c>
      <c r="I4175">
        <v>0</v>
      </c>
      <c r="J4175">
        <v>0</v>
      </c>
      <c r="K4175">
        <v>0</v>
      </c>
    </row>
    <row r="4176" spans="1:11" x14ac:dyDescent="0.2">
      <c r="A4176" t="s">
        <v>4331</v>
      </c>
      <c r="B4176">
        <v>0</v>
      </c>
      <c r="C4176">
        <v>0</v>
      </c>
      <c r="D4176">
        <v>0</v>
      </c>
      <c r="E4176">
        <v>0</v>
      </c>
      <c r="F4176">
        <v>0</v>
      </c>
      <c r="G4176">
        <v>0</v>
      </c>
      <c r="H4176">
        <v>0</v>
      </c>
      <c r="I4176">
        <v>0</v>
      </c>
      <c r="J4176">
        <v>0</v>
      </c>
      <c r="K4176">
        <v>0</v>
      </c>
    </row>
    <row r="4177" spans="1:11" x14ac:dyDescent="0.2">
      <c r="A4177" t="s">
        <v>4332</v>
      </c>
      <c r="B4177">
        <v>0</v>
      </c>
      <c r="C4177">
        <v>0</v>
      </c>
      <c r="D4177">
        <v>0</v>
      </c>
      <c r="E4177">
        <v>0</v>
      </c>
      <c r="F4177">
        <v>0</v>
      </c>
      <c r="G4177">
        <v>0</v>
      </c>
      <c r="H4177">
        <v>0</v>
      </c>
      <c r="I4177">
        <v>0</v>
      </c>
      <c r="J4177">
        <v>0</v>
      </c>
      <c r="K4177">
        <v>0</v>
      </c>
    </row>
    <row r="4178" spans="1:11" x14ac:dyDescent="0.2">
      <c r="A4178" t="s">
        <v>4333</v>
      </c>
      <c r="B4178">
        <v>0</v>
      </c>
      <c r="C4178">
        <v>0</v>
      </c>
      <c r="D4178">
        <v>0</v>
      </c>
      <c r="E4178">
        <v>0</v>
      </c>
      <c r="F4178">
        <v>0</v>
      </c>
      <c r="G4178">
        <v>0</v>
      </c>
      <c r="H4178">
        <v>0</v>
      </c>
      <c r="I4178">
        <v>0</v>
      </c>
      <c r="J4178">
        <v>0</v>
      </c>
      <c r="K4178">
        <v>0</v>
      </c>
    </row>
    <row r="4179" spans="1:11" x14ac:dyDescent="0.2">
      <c r="A4179" t="s">
        <v>4334</v>
      </c>
      <c r="B4179">
        <v>0</v>
      </c>
      <c r="C4179">
        <v>0</v>
      </c>
      <c r="D4179">
        <v>0</v>
      </c>
      <c r="E4179">
        <v>0</v>
      </c>
      <c r="F4179">
        <v>0</v>
      </c>
      <c r="G4179">
        <v>0</v>
      </c>
      <c r="H4179">
        <v>0</v>
      </c>
      <c r="I4179">
        <v>0</v>
      </c>
      <c r="J4179">
        <v>0</v>
      </c>
      <c r="K4179">
        <v>0</v>
      </c>
    </row>
    <row r="4180" spans="1:11" x14ac:dyDescent="0.2">
      <c r="A4180" t="s">
        <v>4335</v>
      </c>
      <c r="B4180">
        <v>0</v>
      </c>
      <c r="C4180">
        <v>0</v>
      </c>
      <c r="D4180">
        <v>0</v>
      </c>
      <c r="E4180">
        <v>0</v>
      </c>
      <c r="F4180">
        <v>0</v>
      </c>
      <c r="G4180">
        <v>0</v>
      </c>
      <c r="H4180">
        <v>0</v>
      </c>
      <c r="I4180">
        <v>0</v>
      </c>
      <c r="J4180">
        <v>0</v>
      </c>
      <c r="K4180">
        <v>0</v>
      </c>
    </row>
    <row r="4181" spans="1:11" x14ac:dyDescent="0.2">
      <c r="A4181" t="s">
        <v>4336</v>
      </c>
      <c r="B4181">
        <v>0</v>
      </c>
      <c r="C4181">
        <v>0</v>
      </c>
      <c r="D4181">
        <v>0</v>
      </c>
      <c r="E4181">
        <v>0</v>
      </c>
      <c r="F4181">
        <v>0</v>
      </c>
      <c r="G4181">
        <v>0</v>
      </c>
      <c r="H4181">
        <v>0</v>
      </c>
      <c r="I4181">
        <v>0</v>
      </c>
      <c r="J4181">
        <v>0</v>
      </c>
      <c r="K4181">
        <v>0</v>
      </c>
    </row>
    <row r="4182" spans="1:11" x14ac:dyDescent="0.2">
      <c r="A4182" t="s">
        <v>4337</v>
      </c>
      <c r="B4182">
        <v>0</v>
      </c>
      <c r="C4182">
        <v>0</v>
      </c>
      <c r="D4182">
        <v>0</v>
      </c>
      <c r="E4182">
        <v>0</v>
      </c>
      <c r="F4182">
        <v>0</v>
      </c>
      <c r="G4182">
        <v>0</v>
      </c>
      <c r="H4182">
        <v>0</v>
      </c>
      <c r="I4182">
        <v>0</v>
      </c>
      <c r="J4182">
        <v>0</v>
      </c>
      <c r="K4182">
        <v>0</v>
      </c>
    </row>
    <row r="4183" spans="1:11" x14ac:dyDescent="0.2">
      <c r="A4183" t="s">
        <v>4338</v>
      </c>
      <c r="B4183">
        <v>0</v>
      </c>
      <c r="C4183">
        <v>0</v>
      </c>
      <c r="D4183">
        <v>0</v>
      </c>
      <c r="E4183">
        <v>0</v>
      </c>
      <c r="F4183">
        <v>0</v>
      </c>
      <c r="G4183">
        <v>0</v>
      </c>
      <c r="H4183">
        <v>0</v>
      </c>
      <c r="I4183">
        <v>0</v>
      </c>
      <c r="J4183">
        <v>0</v>
      </c>
      <c r="K4183">
        <v>0</v>
      </c>
    </row>
    <row r="4184" spans="1:11" x14ac:dyDescent="0.2">
      <c r="A4184" t="s">
        <v>4339</v>
      </c>
      <c r="B4184">
        <v>0</v>
      </c>
      <c r="C4184">
        <v>0</v>
      </c>
      <c r="D4184">
        <v>0</v>
      </c>
      <c r="E4184">
        <v>0</v>
      </c>
      <c r="F4184">
        <v>0</v>
      </c>
      <c r="G4184">
        <v>0</v>
      </c>
      <c r="H4184">
        <v>0</v>
      </c>
      <c r="I4184">
        <v>0</v>
      </c>
      <c r="J4184">
        <v>0</v>
      </c>
      <c r="K4184">
        <v>0</v>
      </c>
    </row>
    <row r="4185" spans="1:11" x14ac:dyDescent="0.2">
      <c r="A4185" t="s">
        <v>4340</v>
      </c>
      <c r="B4185">
        <v>0</v>
      </c>
      <c r="C4185">
        <v>0</v>
      </c>
      <c r="D4185">
        <v>0</v>
      </c>
      <c r="E4185">
        <v>0</v>
      </c>
      <c r="F4185">
        <v>0</v>
      </c>
      <c r="G4185">
        <v>0</v>
      </c>
      <c r="H4185">
        <v>0</v>
      </c>
      <c r="I4185">
        <v>0</v>
      </c>
      <c r="J4185">
        <v>0</v>
      </c>
      <c r="K4185">
        <v>0</v>
      </c>
    </row>
    <row r="4186" spans="1:11" x14ac:dyDescent="0.2">
      <c r="A4186" t="s">
        <v>4341</v>
      </c>
      <c r="B4186">
        <v>0</v>
      </c>
      <c r="C4186">
        <v>0</v>
      </c>
      <c r="D4186">
        <v>0</v>
      </c>
      <c r="E4186">
        <v>0</v>
      </c>
      <c r="F4186">
        <v>0</v>
      </c>
      <c r="G4186">
        <v>0</v>
      </c>
      <c r="H4186">
        <v>0</v>
      </c>
      <c r="I4186">
        <v>0</v>
      </c>
      <c r="J4186">
        <v>0</v>
      </c>
      <c r="K4186">
        <v>0</v>
      </c>
    </row>
    <row r="4187" spans="1:11" x14ac:dyDescent="0.2">
      <c r="A4187" t="s">
        <v>4342</v>
      </c>
      <c r="B4187">
        <v>0</v>
      </c>
      <c r="C4187">
        <v>0</v>
      </c>
      <c r="D4187">
        <v>0</v>
      </c>
      <c r="E4187">
        <v>0</v>
      </c>
      <c r="F4187">
        <v>0</v>
      </c>
      <c r="G4187">
        <v>0</v>
      </c>
      <c r="H4187">
        <v>0</v>
      </c>
      <c r="I4187">
        <v>0</v>
      </c>
      <c r="J4187">
        <v>0</v>
      </c>
      <c r="K4187">
        <v>0</v>
      </c>
    </row>
    <row r="4188" spans="1:11" x14ac:dyDescent="0.2">
      <c r="A4188" t="s">
        <v>4343</v>
      </c>
      <c r="B4188">
        <v>0</v>
      </c>
      <c r="C4188">
        <v>0</v>
      </c>
      <c r="D4188">
        <v>0</v>
      </c>
      <c r="E4188">
        <v>0</v>
      </c>
      <c r="F4188">
        <v>0</v>
      </c>
      <c r="G4188">
        <v>0</v>
      </c>
      <c r="H4188">
        <v>0</v>
      </c>
      <c r="I4188">
        <v>0</v>
      </c>
      <c r="J4188">
        <v>0</v>
      </c>
      <c r="K4188">
        <v>0</v>
      </c>
    </row>
    <row r="4189" spans="1:11" x14ac:dyDescent="0.2">
      <c r="A4189" t="s">
        <v>1728</v>
      </c>
      <c r="B4189">
        <v>0</v>
      </c>
      <c r="C4189">
        <v>0</v>
      </c>
      <c r="D4189">
        <v>0</v>
      </c>
      <c r="E4189">
        <v>0</v>
      </c>
      <c r="F4189">
        <v>0</v>
      </c>
      <c r="G4189">
        <v>0</v>
      </c>
      <c r="H4189">
        <v>0</v>
      </c>
      <c r="I4189">
        <v>0</v>
      </c>
      <c r="J4189">
        <v>0</v>
      </c>
      <c r="K4189">
        <v>0</v>
      </c>
    </row>
    <row r="4190" spans="1:11" x14ac:dyDescent="0.2">
      <c r="A4190" t="s">
        <v>1730</v>
      </c>
      <c r="B4190">
        <v>0</v>
      </c>
      <c r="C4190">
        <v>0</v>
      </c>
      <c r="D4190">
        <v>0</v>
      </c>
      <c r="E4190">
        <v>0</v>
      </c>
      <c r="F4190">
        <v>1</v>
      </c>
      <c r="G4190">
        <v>41</v>
      </c>
      <c r="H4190">
        <v>54</v>
      </c>
      <c r="I4190">
        <v>0</v>
      </c>
      <c r="J4190">
        <v>4</v>
      </c>
      <c r="K4190">
        <v>11</v>
      </c>
    </row>
    <row r="4191" spans="1:11" x14ac:dyDescent="0.2">
      <c r="A4191" t="s">
        <v>1733</v>
      </c>
      <c r="B4191">
        <v>0</v>
      </c>
      <c r="C4191">
        <v>0</v>
      </c>
      <c r="D4191">
        <v>0</v>
      </c>
      <c r="E4191">
        <v>0</v>
      </c>
      <c r="F4191">
        <v>0</v>
      </c>
      <c r="G4191">
        <v>0</v>
      </c>
      <c r="H4191">
        <v>0</v>
      </c>
      <c r="I4191">
        <v>0</v>
      </c>
      <c r="J4191">
        <v>0</v>
      </c>
      <c r="K4191">
        <v>0</v>
      </c>
    </row>
    <row r="4192" spans="1:11" x14ac:dyDescent="0.2">
      <c r="A4192" t="s">
        <v>1738</v>
      </c>
      <c r="B4192">
        <v>0</v>
      </c>
      <c r="C4192">
        <v>0</v>
      </c>
      <c r="D4192">
        <v>0</v>
      </c>
      <c r="E4192">
        <v>0</v>
      </c>
      <c r="F4192">
        <v>0</v>
      </c>
      <c r="G4192">
        <v>0</v>
      </c>
      <c r="H4192">
        <v>0</v>
      </c>
      <c r="I4192">
        <v>0</v>
      </c>
      <c r="J4192">
        <v>0</v>
      </c>
      <c r="K4192">
        <v>0</v>
      </c>
    </row>
    <row r="4193" spans="1:11" x14ac:dyDescent="0.2">
      <c r="A4193" t="s">
        <v>1744</v>
      </c>
      <c r="B4193">
        <v>0</v>
      </c>
      <c r="C4193">
        <v>0</v>
      </c>
      <c r="D4193">
        <v>0</v>
      </c>
      <c r="E4193">
        <v>0</v>
      </c>
      <c r="F4193">
        <v>0</v>
      </c>
      <c r="G4193">
        <v>0</v>
      </c>
      <c r="H4193">
        <v>0</v>
      </c>
      <c r="I4193">
        <v>0</v>
      </c>
      <c r="J4193">
        <v>0</v>
      </c>
      <c r="K4193">
        <v>0</v>
      </c>
    </row>
    <row r="4194" spans="1:11" x14ac:dyDescent="0.2">
      <c r="A4194" t="s">
        <v>1747</v>
      </c>
      <c r="B4194">
        <v>0</v>
      </c>
      <c r="C4194">
        <v>0</v>
      </c>
      <c r="D4194">
        <v>0</v>
      </c>
      <c r="E4194">
        <v>0</v>
      </c>
      <c r="F4194">
        <v>0</v>
      </c>
      <c r="G4194">
        <v>0</v>
      </c>
      <c r="H4194">
        <v>0</v>
      </c>
      <c r="I4194">
        <v>0</v>
      </c>
      <c r="J4194">
        <v>0</v>
      </c>
      <c r="K4194">
        <v>0</v>
      </c>
    </row>
    <row r="4195" spans="1:11" x14ac:dyDescent="0.2">
      <c r="A4195" t="s">
        <v>1751</v>
      </c>
      <c r="B4195">
        <v>0</v>
      </c>
      <c r="C4195">
        <v>0</v>
      </c>
      <c r="D4195">
        <v>0</v>
      </c>
      <c r="E4195">
        <v>0</v>
      </c>
      <c r="F4195">
        <v>0</v>
      </c>
      <c r="G4195">
        <v>0</v>
      </c>
      <c r="H4195">
        <v>0</v>
      </c>
      <c r="I4195">
        <v>0</v>
      </c>
      <c r="J4195">
        <v>0</v>
      </c>
      <c r="K4195">
        <v>0</v>
      </c>
    </row>
    <row r="4196" spans="1:11" x14ac:dyDescent="0.2">
      <c r="A4196" t="s">
        <v>1755</v>
      </c>
      <c r="B4196">
        <v>0</v>
      </c>
      <c r="C4196">
        <v>0</v>
      </c>
      <c r="D4196">
        <v>0</v>
      </c>
      <c r="E4196">
        <v>0</v>
      </c>
      <c r="F4196">
        <v>6</v>
      </c>
      <c r="G4196">
        <v>297</v>
      </c>
      <c r="H4196">
        <v>279</v>
      </c>
      <c r="I4196">
        <v>0</v>
      </c>
      <c r="J4196">
        <v>18</v>
      </c>
      <c r="K4196">
        <v>81</v>
      </c>
    </row>
    <row r="4197" spans="1:11" x14ac:dyDescent="0.2">
      <c r="A4197" t="s">
        <v>1757</v>
      </c>
      <c r="B4197">
        <v>0</v>
      </c>
      <c r="C4197">
        <v>0</v>
      </c>
      <c r="D4197">
        <v>0</v>
      </c>
      <c r="E4197">
        <v>0</v>
      </c>
      <c r="F4197">
        <v>7</v>
      </c>
      <c r="G4197">
        <v>248</v>
      </c>
      <c r="H4197">
        <v>328</v>
      </c>
      <c r="I4197">
        <v>0</v>
      </c>
      <c r="J4197">
        <v>18</v>
      </c>
      <c r="K4197">
        <v>54</v>
      </c>
    </row>
    <row r="4198" spans="1:11" x14ac:dyDescent="0.2">
      <c r="A4198" t="s">
        <v>1761</v>
      </c>
      <c r="B4198">
        <v>0</v>
      </c>
      <c r="C4198">
        <v>0</v>
      </c>
      <c r="D4198">
        <v>0</v>
      </c>
      <c r="E4198">
        <v>0</v>
      </c>
      <c r="F4198">
        <v>0</v>
      </c>
      <c r="G4198">
        <v>0</v>
      </c>
      <c r="H4198">
        <v>0</v>
      </c>
      <c r="I4198">
        <v>0</v>
      </c>
      <c r="J4198">
        <v>0</v>
      </c>
      <c r="K4198">
        <v>0</v>
      </c>
    </row>
    <row r="4199" spans="1:11" x14ac:dyDescent="0.2">
      <c r="A4199" t="s">
        <v>1764</v>
      </c>
      <c r="B4199">
        <v>0</v>
      </c>
      <c r="C4199">
        <v>0</v>
      </c>
      <c r="D4199">
        <v>0</v>
      </c>
      <c r="E4199">
        <v>0</v>
      </c>
      <c r="F4199">
        <v>0</v>
      </c>
      <c r="G4199">
        <v>0</v>
      </c>
      <c r="H4199">
        <v>0</v>
      </c>
      <c r="I4199">
        <v>0</v>
      </c>
      <c r="J4199">
        <v>0</v>
      </c>
      <c r="K4199">
        <v>0</v>
      </c>
    </row>
    <row r="4200" spans="1:11" x14ac:dyDescent="0.2">
      <c r="A4200" t="s">
        <v>1770</v>
      </c>
      <c r="B4200">
        <v>0</v>
      </c>
      <c r="C4200">
        <v>0</v>
      </c>
      <c r="D4200">
        <v>0</v>
      </c>
      <c r="E4200">
        <v>0</v>
      </c>
      <c r="F4200">
        <v>1</v>
      </c>
      <c r="G4200">
        <v>224</v>
      </c>
      <c r="H4200">
        <v>41</v>
      </c>
      <c r="I4200">
        <v>0</v>
      </c>
      <c r="J4200">
        <v>4</v>
      </c>
      <c r="K4200">
        <v>77</v>
      </c>
    </row>
    <row r="4201" spans="1:11" x14ac:dyDescent="0.2">
      <c r="A4201" t="s">
        <v>1772</v>
      </c>
      <c r="B4201">
        <v>0</v>
      </c>
      <c r="C4201">
        <v>0</v>
      </c>
      <c r="D4201">
        <v>0</v>
      </c>
      <c r="E4201">
        <v>0</v>
      </c>
      <c r="F4201">
        <v>0</v>
      </c>
      <c r="G4201">
        <v>110</v>
      </c>
      <c r="H4201">
        <v>20</v>
      </c>
      <c r="I4201">
        <v>0</v>
      </c>
      <c r="J4201">
        <v>1</v>
      </c>
      <c r="K4201">
        <v>17</v>
      </c>
    </row>
    <row r="4202" spans="1:11" x14ac:dyDescent="0.2">
      <c r="A4202" t="s">
        <v>1774</v>
      </c>
      <c r="B4202">
        <v>0</v>
      </c>
      <c r="C4202">
        <v>0</v>
      </c>
      <c r="D4202">
        <v>0</v>
      </c>
      <c r="E4202">
        <v>0</v>
      </c>
      <c r="F4202">
        <v>1</v>
      </c>
      <c r="G4202">
        <v>175</v>
      </c>
      <c r="H4202">
        <v>34</v>
      </c>
      <c r="I4202">
        <v>0</v>
      </c>
      <c r="J4202">
        <v>6</v>
      </c>
      <c r="K4202">
        <v>106</v>
      </c>
    </row>
    <row r="4203" spans="1:11" x14ac:dyDescent="0.2">
      <c r="A4203" t="s">
        <v>1777</v>
      </c>
      <c r="B4203">
        <v>0</v>
      </c>
      <c r="C4203">
        <v>0</v>
      </c>
      <c r="D4203">
        <v>0</v>
      </c>
      <c r="E4203">
        <v>0</v>
      </c>
      <c r="F4203">
        <v>0</v>
      </c>
      <c r="G4203">
        <v>0</v>
      </c>
      <c r="H4203">
        <v>0</v>
      </c>
      <c r="I4203">
        <v>0</v>
      </c>
      <c r="J4203">
        <v>0</v>
      </c>
      <c r="K4203">
        <v>0</v>
      </c>
    </row>
    <row r="4204" spans="1:11" x14ac:dyDescent="0.2">
      <c r="A4204" t="s">
        <v>1782</v>
      </c>
      <c r="B4204">
        <v>0</v>
      </c>
      <c r="C4204">
        <v>0</v>
      </c>
      <c r="D4204">
        <v>0</v>
      </c>
      <c r="E4204">
        <v>0</v>
      </c>
      <c r="F4204">
        <v>0</v>
      </c>
      <c r="G4204">
        <v>0</v>
      </c>
      <c r="H4204">
        <v>0</v>
      </c>
      <c r="I4204">
        <v>0</v>
      </c>
      <c r="J4204">
        <v>0</v>
      </c>
      <c r="K4204">
        <v>0</v>
      </c>
    </row>
    <row r="4205" spans="1:11" x14ac:dyDescent="0.2">
      <c r="A4205" t="s">
        <v>1274</v>
      </c>
      <c r="B4205">
        <v>0</v>
      </c>
      <c r="C4205">
        <v>0</v>
      </c>
      <c r="D4205">
        <v>0</v>
      </c>
      <c r="E4205">
        <v>0</v>
      </c>
      <c r="F4205">
        <v>0</v>
      </c>
      <c r="G4205">
        <v>7</v>
      </c>
      <c r="H4205">
        <v>9</v>
      </c>
      <c r="I4205">
        <v>0</v>
      </c>
      <c r="J4205">
        <v>0</v>
      </c>
      <c r="K4205">
        <v>1</v>
      </c>
    </row>
    <row r="4206" spans="1:11" x14ac:dyDescent="0.2">
      <c r="A4206" t="s">
        <v>1277</v>
      </c>
      <c r="B4206">
        <v>0</v>
      </c>
      <c r="C4206">
        <v>0</v>
      </c>
      <c r="D4206">
        <v>0</v>
      </c>
      <c r="E4206">
        <v>0</v>
      </c>
      <c r="F4206">
        <v>2</v>
      </c>
      <c r="G4206">
        <v>55</v>
      </c>
      <c r="H4206">
        <v>73</v>
      </c>
      <c r="I4206">
        <v>0</v>
      </c>
      <c r="J4206">
        <v>2</v>
      </c>
      <c r="K4206">
        <v>5</v>
      </c>
    </row>
    <row r="4207" spans="1:11" x14ac:dyDescent="0.2">
      <c r="A4207" t="s">
        <v>1798</v>
      </c>
      <c r="B4207">
        <v>0</v>
      </c>
      <c r="C4207">
        <v>0</v>
      </c>
      <c r="D4207">
        <v>0</v>
      </c>
      <c r="E4207">
        <v>0</v>
      </c>
      <c r="F4207">
        <v>0</v>
      </c>
      <c r="G4207">
        <v>0</v>
      </c>
      <c r="H4207">
        <v>0</v>
      </c>
      <c r="I4207">
        <v>0</v>
      </c>
      <c r="J4207">
        <v>0</v>
      </c>
      <c r="K4207">
        <v>0</v>
      </c>
    </row>
    <row r="4208" spans="1:11" x14ac:dyDescent="0.2">
      <c r="A4208" t="s">
        <v>1803</v>
      </c>
      <c r="B4208">
        <v>0</v>
      </c>
      <c r="C4208">
        <v>0</v>
      </c>
      <c r="D4208">
        <v>0</v>
      </c>
      <c r="E4208">
        <v>0</v>
      </c>
      <c r="F4208">
        <v>0</v>
      </c>
      <c r="G4208">
        <v>0</v>
      </c>
      <c r="H4208">
        <v>0</v>
      </c>
      <c r="I4208">
        <v>0</v>
      </c>
      <c r="J4208">
        <v>0</v>
      </c>
      <c r="K4208">
        <v>0</v>
      </c>
    </row>
    <row r="4209" spans="1:11" x14ac:dyDescent="0.2">
      <c r="A4209" t="s">
        <v>1808</v>
      </c>
      <c r="B4209">
        <v>0</v>
      </c>
      <c r="C4209">
        <v>0</v>
      </c>
      <c r="D4209">
        <v>0</v>
      </c>
      <c r="E4209">
        <v>0</v>
      </c>
      <c r="F4209">
        <v>0</v>
      </c>
      <c r="G4209">
        <v>0</v>
      </c>
      <c r="H4209">
        <v>0</v>
      </c>
      <c r="I4209">
        <v>0</v>
      </c>
      <c r="J4209">
        <v>0</v>
      </c>
      <c r="K4209">
        <v>0</v>
      </c>
    </row>
    <row r="4210" spans="1:11" x14ac:dyDescent="0.2">
      <c r="A4210" t="s">
        <v>1813</v>
      </c>
      <c r="B4210">
        <v>0</v>
      </c>
      <c r="C4210">
        <v>0</v>
      </c>
      <c r="D4210">
        <v>0</v>
      </c>
      <c r="E4210">
        <v>0</v>
      </c>
      <c r="F4210">
        <v>0</v>
      </c>
      <c r="G4210">
        <v>0</v>
      </c>
      <c r="H4210">
        <v>0</v>
      </c>
      <c r="I4210">
        <v>0</v>
      </c>
      <c r="J4210">
        <v>0</v>
      </c>
      <c r="K4210">
        <v>0</v>
      </c>
    </row>
    <row r="4211" spans="1:11" x14ac:dyDescent="0.2">
      <c r="A4211" t="s">
        <v>1819</v>
      </c>
      <c r="B4211">
        <v>0</v>
      </c>
      <c r="C4211">
        <v>0</v>
      </c>
      <c r="D4211">
        <v>0</v>
      </c>
      <c r="E4211">
        <v>0</v>
      </c>
      <c r="F4211">
        <v>0</v>
      </c>
      <c r="G4211">
        <v>0</v>
      </c>
      <c r="H4211">
        <v>0</v>
      </c>
      <c r="I4211">
        <v>0</v>
      </c>
      <c r="J4211">
        <v>0</v>
      </c>
      <c r="K4211">
        <v>0</v>
      </c>
    </row>
    <row r="4212" spans="1:11" x14ac:dyDescent="0.2">
      <c r="A4212" t="s">
        <v>1826</v>
      </c>
      <c r="B4212">
        <v>0</v>
      </c>
      <c r="C4212">
        <v>0</v>
      </c>
      <c r="D4212">
        <v>0</v>
      </c>
      <c r="E4212">
        <v>0</v>
      </c>
      <c r="F4212">
        <v>0</v>
      </c>
      <c r="G4212">
        <v>0</v>
      </c>
      <c r="H4212">
        <v>0</v>
      </c>
      <c r="I4212">
        <v>0</v>
      </c>
      <c r="J4212">
        <v>0</v>
      </c>
      <c r="K4212">
        <v>0</v>
      </c>
    </row>
    <row r="4213" spans="1:11" x14ac:dyDescent="0.2">
      <c r="A4213" t="s">
        <v>1830</v>
      </c>
      <c r="B4213">
        <v>0</v>
      </c>
      <c r="C4213">
        <v>0</v>
      </c>
      <c r="D4213">
        <v>0</v>
      </c>
      <c r="E4213">
        <v>0</v>
      </c>
      <c r="F4213">
        <v>0</v>
      </c>
      <c r="G4213">
        <v>0</v>
      </c>
      <c r="H4213">
        <v>0</v>
      </c>
      <c r="I4213">
        <v>0</v>
      </c>
      <c r="J4213">
        <v>0</v>
      </c>
      <c r="K4213">
        <v>0</v>
      </c>
    </row>
    <row r="4214" spans="1:11" x14ac:dyDescent="0.2">
      <c r="A4214" t="s">
        <v>1836</v>
      </c>
      <c r="B4214">
        <v>0</v>
      </c>
      <c r="C4214">
        <v>0</v>
      </c>
      <c r="D4214">
        <v>0</v>
      </c>
      <c r="E4214">
        <v>0</v>
      </c>
      <c r="F4214">
        <v>0</v>
      </c>
      <c r="G4214">
        <v>0</v>
      </c>
      <c r="H4214">
        <v>0</v>
      </c>
      <c r="I4214">
        <v>0</v>
      </c>
      <c r="J4214">
        <v>0</v>
      </c>
      <c r="K4214">
        <v>0</v>
      </c>
    </row>
    <row r="4215" spans="1:11" x14ac:dyDescent="0.2">
      <c r="A4215" t="s">
        <v>1841</v>
      </c>
      <c r="B4215">
        <v>0</v>
      </c>
      <c r="C4215">
        <v>0</v>
      </c>
      <c r="D4215">
        <v>0</v>
      </c>
      <c r="E4215">
        <v>0</v>
      </c>
      <c r="F4215">
        <v>0</v>
      </c>
      <c r="G4215">
        <v>0</v>
      </c>
      <c r="H4215">
        <v>0</v>
      </c>
      <c r="I4215">
        <v>0</v>
      </c>
      <c r="J4215">
        <v>0</v>
      </c>
      <c r="K4215">
        <v>0</v>
      </c>
    </row>
    <row r="4216" spans="1:11" x14ac:dyDescent="0.2">
      <c r="A4216" t="s">
        <v>1842</v>
      </c>
      <c r="B4216">
        <v>0</v>
      </c>
      <c r="C4216">
        <v>0</v>
      </c>
      <c r="D4216">
        <v>0</v>
      </c>
      <c r="E4216">
        <v>0</v>
      </c>
      <c r="F4216">
        <v>0</v>
      </c>
      <c r="G4216">
        <v>0</v>
      </c>
      <c r="H4216">
        <v>0</v>
      </c>
      <c r="I4216">
        <v>0</v>
      </c>
      <c r="J4216">
        <v>0</v>
      </c>
      <c r="K4216">
        <v>2</v>
      </c>
    </row>
    <row r="4217" spans="1:11" x14ac:dyDescent="0.2">
      <c r="A4217" t="s">
        <v>1843</v>
      </c>
      <c r="B4217">
        <v>0</v>
      </c>
      <c r="C4217">
        <v>0</v>
      </c>
      <c r="D4217">
        <v>0</v>
      </c>
      <c r="E4217">
        <v>0</v>
      </c>
      <c r="F4217">
        <v>0</v>
      </c>
      <c r="G4217">
        <v>0</v>
      </c>
      <c r="H4217">
        <v>0</v>
      </c>
      <c r="I4217">
        <v>0</v>
      </c>
      <c r="J4217">
        <v>0</v>
      </c>
      <c r="K4217">
        <v>0</v>
      </c>
    </row>
    <row r="4218" spans="1:11" x14ac:dyDescent="0.2">
      <c r="A4218" t="s">
        <v>1846</v>
      </c>
      <c r="B4218">
        <v>0</v>
      </c>
      <c r="C4218">
        <v>0</v>
      </c>
      <c r="D4218">
        <v>0</v>
      </c>
      <c r="E4218">
        <v>0</v>
      </c>
      <c r="F4218">
        <v>0</v>
      </c>
      <c r="G4218">
        <v>0</v>
      </c>
      <c r="H4218">
        <v>0</v>
      </c>
      <c r="I4218">
        <v>0</v>
      </c>
      <c r="J4218">
        <v>0</v>
      </c>
      <c r="K4218">
        <v>0</v>
      </c>
    </row>
    <row r="4219" spans="1:11" x14ac:dyDescent="0.2">
      <c r="A4219" t="s">
        <v>1851</v>
      </c>
      <c r="B4219">
        <v>0</v>
      </c>
      <c r="C4219">
        <v>0</v>
      </c>
      <c r="D4219">
        <v>0</v>
      </c>
      <c r="E4219">
        <v>0</v>
      </c>
      <c r="F4219">
        <v>0</v>
      </c>
      <c r="G4219">
        <v>0</v>
      </c>
      <c r="H4219">
        <v>0</v>
      </c>
      <c r="I4219">
        <v>0</v>
      </c>
      <c r="J4219">
        <v>0</v>
      </c>
      <c r="K4219">
        <v>0</v>
      </c>
    </row>
    <row r="4220" spans="1:11" x14ac:dyDescent="0.2">
      <c r="A4220" t="s">
        <v>1857</v>
      </c>
      <c r="B4220">
        <v>0</v>
      </c>
      <c r="C4220">
        <v>0</v>
      </c>
      <c r="D4220">
        <v>0</v>
      </c>
      <c r="E4220">
        <v>0</v>
      </c>
      <c r="F4220">
        <v>0</v>
      </c>
      <c r="G4220">
        <v>0</v>
      </c>
      <c r="H4220">
        <v>0</v>
      </c>
      <c r="I4220">
        <v>0</v>
      </c>
      <c r="J4220">
        <v>0</v>
      </c>
      <c r="K4220">
        <v>0</v>
      </c>
    </row>
    <row r="4221" spans="1:11" x14ac:dyDescent="0.2">
      <c r="A4221" t="s">
        <v>1862</v>
      </c>
      <c r="B4221">
        <v>0</v>
      </c>
      <c r="C4221">
        <v>0</v>
      </c>
      <c r="D4221">
        <v>0</v>
      </c>
      <c r="E4221">
        <v>0</v>
      </c>
      <c r="F4221">
        <v>0</v>
      </c>
      <c r="G4221">
        <v>0</v>
      </c>
      <c r="H4221">
        <v>0</v>
      </c>
      <c r="I4221">
        <v>0</v>
      </c>
      <c r="J4221">
        <v>0</v>
      </c>
      <c r="K4221">
        <v>0</v>
      </c>
    </row>
    <row r="4222" spans="1:11" x14ac:dyDescent="0.2">
      <c r="A4222" t="s">
        <v>1867</v>
      </c>
      <c r="B4222">
        <v>0</v>
      </c>
      <c r="C4222">
        <v>0</v>
      </c>
      <c r="D4222">
        <v>0</v>
      </c>
      <c r="E4222">
        <v>0</v>
      </c>
      <c r="F4222">
        <v>0</v>
      </c>
      <c r="G4222">
        <v>0</v>
      </c>
      <c r="H4222">
        <v>0</v>
      </c>
      <c r="I4222">
        <v>0</v>
      </c>
      <c r="J4222">
        <v>0</v>
      </c>
      <c r="K4222">
        <v>0</v>
      </c>
    </row>
    <row r="4223" spans="1:11" x14ac:dyDescent="0.2">
      <c r="A4223" t="s">
        <v>1870</v>
      </c>
      <c r="B4223">
        <v>0</v>
      </c>
      <c r="C4223">
        <v>0</v>
      </c>
      <c r="D4223">
        <v>0</v>
      </c>
      <c r="E4223">
        <v>0</v>
      </c>
      <c r="F4223">
        <v>0</v>
      </c>
      <c r="G4223">
        <v>0</v>
      </c>
      <c r="H4223">
        <v>0</v>
      </c>
      <c r="I4223">
        <v>0</v>
      </c>
      <c r="J4223">
        <v>0</v>
      </c>
      <c r="K4223">
        <v>0</v>
      </c>
    </row>
    <row r="4224" spans="1:11" x14ac:dyDescent="0.2">
      <c r="A4224" t="s">
        <v>1874</v>
      </c>
      <c r="B4224">
        <v>0</v>
      </c>
      <c r="C4224">
        <v>0</v>
      </c>
      <c r="D4224">
        <v>0</v>
      </c>
      <c r="E4224">
        <v>0</v>
      </c>
      <c r="F4224">
        <v>0</v>
      </c>
      <c r="G4224">
        <v>0</v>
      </c>
      <c r="H4224">
        <v>0</v>
      </c>
      <c r="I4224">
        <v>0</v>
      </c>
      <c r="J4224">
        <v>0</v>
      </c>
      <c r="K4224">
        <v>0</v>
      </c>
    </row>
    <row r="4225" spans="1:11" x14ac:dyDescent="0.2">
      <c r="A4225" t="s">
        <v>1876</v>
      </c>
      <c r="B4225">
        <v>0</v>
      </c>
      <c r="C4225">
        <v>0</v>
      </c>
      <c r="D4225">
        <v>0</v>
      </c>
      <c r="E4225">
        <v>0</v>
      </c>
      <c r="F4225">
        <v>0</v>
      </c>
      <c r="G4225">
        <v>0</v>
      </c>
      <c r="H4225">
        <v>0</v>
      </c>
      <c r="I4225">
        <v>0</v>
      </c>
      <c r="J4225">
        <v>0</v>
      </c>
      <c r="K4225">
        <v>0</v>
      </c>
    </row>
    <row r="4226" spans="1:11" x14ac:dyDescent="0.2">
      <c r="A4226" t="s">
        <v>1881</v>
      </c>
      <c r="B4226">
        <v>0</v>
      </c>
      <c r="C4226">
        <v>0</v>
      </c>
      <c r="D4226">
        <v>0</v>
      </c>
      <c r="E4226">
        <v>0</v>
      </c>
      <c r="F4226">
        <v>0</v>
      </c>
      <c r="G4226">
        <v>0</v>
      </c>
      <c r="H4226">
        <v>0</v>
      </c>
      <c r="I4226">
        <v>0</v>
      </c>
      <c r="J4226">
        <v>0</v>
      </c>
      <c r="K4226">
        <v>0</v>
      </c>
    </row>
    <row r="4227" spans="1:11" x14ac:dyDescent="0.2">
      <c r="A4227" t="s">
        <v>1885</v>
      </c>
      <c r="B4227">
        <v>0</v>
      </c>
      <c r="C4227">
        <v>0</v>
      </c>
      <c r="D4227">
        <v>0</v>
      </c>
      <c r="E4227">
        <v>0</v>
      </c>
      <c r="F4227">
        <v>0</v>
      </c>
      <c r="G4227">
        <v>10</v>
      </c>
      <c r="H4227">
        <v>12</v>
      </c>
      <c r="I4227">
        <v>0</v>
      </c>
      <c r="J4227">
        <v>1</v>
      </c>
      <c r="K4227">
        <v>3</v>
      </c>
    </row>
    <row r="4228" spans="1:11" x14ac:dyDescent="0.2">
      <c r="A4228" t="s">
        <v>1887</v>
      </c>
      <c r="B4228">
        <v>0</v>
      </c>
      <c r="C4228">
        <v>0</v>
      </c>
      <c r="D4228">
        <v>0</v>
      </c>
      <c r="E4228">
        <v>0</v>
      </c>
      <c r="F4228">
        <v>0</v>
      </c>
      <c r="G4228">
        <v>0</v>
      </c>
      <c r="H4228">
        <v>0</v>
      </c>
      <c r="I4228">
        <v>0</v>
      </c>
      <c r="J4228">
        <v>0</v>
      </c>
      <c r="K4228">
        <v>0</v>
      </c>
    </row>
    <row r="4229" spans="1:11" x14ac:dyDescent="0.2">
      <c r="A4229" t="s">
        <v>1893</v>
      </c>
      <c r="B4229">
        <v>0</v>
      </c>
      <c r="C4229">
        <v>0</v>
      </c>
      <c r="D4229">
        <v>0</v>
      </c>
      <c r="E4229">
        <v>0</v>
      </c>
      <c r="F4229">
        <v>0</v>
      </c>
      <c r="G4229">
        <v>1</v>
      </c>
      <c r="H4229">
        <v>1</v>
      </c>
      <c r="I4229">
        <v>0</v>
      </c>
      <c r="J4229">
        <v>0</v>
      </c>
      <c r="K4229">
        <v>0</v>
      </c>
    </row>
    <row r="4230" spans="1:11" x14ac:dyDescent="0.2">
      <c r="A4230" t="s">
        <v>1899</v>
      </c>
      <c r="B4230">
        <v>0</v>
      </c>
      <c r="C4230">
        <v>0</v>
      </c>
      <c r="D4230">
        <v>0</v>
      </c>
      <c r="E4230">
        <v>0</v>
      </c>
      <c r="F4230">
        <v>0</v>
      </c>
      <c r="G4230">
        <v>0</v>
      </c>
      <c r="H4230">
        <v>0</v>
      </c>
      <c r="I4230">
        <v>0</v>
      </c>
      <c r="J4230">
        <v>0</v>
      </c>
      <c r="K4230">
        <v>0</v>
      </c>
    </row>
    <row r="4231" spans="1:11" x14ac:dyDescent="0.2">
      <c r="A4231" t="s">
        <v>1906</v>
      </c>
      <c r="B4231">
        <v>0</v>
      </c>
      <c r="C4231">
        <v>0</v>
      </c>
      <c r="D4231">
        <v>0</v>
      </c>
      <c r="E4231">
        <v>0</v>
      </c>
      <c r="F4231">
        <v>0</v>
      </c>
      <c r="G4231">
        <v>0</v>
      </c>
      <c r="H4231">
        <v>0</v>
      </c>
      <c r="I4231">
        <v>0</v>
      </c>
      <c r="J4231">
        <v>0</v>
      </c>
      <c r="K4231">
        <v>0</v>
      </c>
    </row>
    <row r="4232" spans="1:11" x14ac:dyDescent="0.2">
      <c r="A4232" t="s">
        <v>1911</v>
      </c>
      <c r="B4232">
        <v>0</v>
      </c>
      <c r="C4232">
        <v>0</v>
      </c>
      <c r="D4232">
        <v>0</v>
      </c>
      <c r="E4232">
        <v>0</v>
      </c>
      <c r="F4232">
        <v>0</v>
      </c>
      <c r="G4232">
        <v>0</v>
      </c>
      <c r="H4232">
        <v>0</v>
      </c>
      <c r="I4232">
        <v>0</v>
      </c>
      <c r="J4232">
        <v>0</v>
      </c>
      <c r="K4232">
        <v>0</v>
      </c>
    </row>
    <row r="4233" spans="1:11" x14ac:dyDescent="0.2">
      <c r="A4233" t="s">
        <v>1917</v>
      </c>
      <c r="B4233">
        <v>0</v>
      </c>
      <c r="C4233">
        <v>0</v>
      </c>
      <c r="D4233">
        <v>0</v>
      </c>
      <c r="E4233">
        <v>0</v>
      </c>
      <c r="F4233">
        <v>0</v>
      </c>
      <c r="G4233">
        <v>0</v>
      </c>
      <c r="H4233">
        <v>0</v>
      </c>
      <c r="I4233">
        <v>0</v>
      </c>
      <c r="J4233">
        <v>0</v>
      </c>
      <c r="K4233">
        <v>0</v>
      </c>
    </row>
    <row r="4234" spans="1:11" x14ac:dyDescent="0.2">
      <c r="A4234" t="s">
        <v>1922</v>
      </c>
      <c r="B4234">
        <v>0</v>
      </c>
      <c r="C4234">
        <v>0</v>
      </c>
      <c r="D4234">
        <v>0</v>
      </c>
      <c r="E4234">
        <v>0</v>
      </c>
      <c r="F4234">
        <v>0</v>
      </c>
      <c r="G4234">
        <v>0</v>
      </c>
      <c r="H4234">
        <v>0</v>
      </c>
      <c r="I4234">
        <v>0</v>
      </c>
      <c r="J4234">
        <v>0</v>
      </c>
      <c r="K4234">
        <v>0</v>
      </c>
    </row>
    <row r="4235" spans="1:11" x14ac:dyDescent="0.2">
      <c r="A4235" t="s">
        <v>1928</v>
      </c>
      <c r="B4235">
        <v>0</v>
      </c>
      <c r="C4235">
        <v>0</v>
      </c>
      <c r="D4235">
        <v>0</v>
      </c>
      <c r="E4235">
        <v>0</v>
      </c>
      <c r="F4235">
        <v>0</v>
      </c>
      <c r="G4235">
        <v>0</v>
      </c>
      <c r="H4235">
        <v>0</v>
      </c>
      <c r="I4235">
        <v>0</v>
      </c>
      <c r="J4235">
        <v>0</v>
      </c>
      <c r="K4235">
        <v>0</v>
      </c>
    </row>
    <row r="4236" spans="1:11" x14ac:dyDescent="0.2">
      <c r="A4236" t="s">
        <v>1932</v>
      </c>
      <c r="B4236">
        <v>0</v>
      </c>
      <c r="C4236">
        <v>0</v>
      </c>
      <c r="D4236">
        <v>0</v>
      </c>
      <c r="E4236">
        <v>0</v>
      </c>
      <c r="F4236">
        <v>0</v>
      </c>
      <c r="G4236">
        <v>0</v>
      </c>
      <c r="H4236">
        <v>0</v>
      </c>
      <c r="I4236">
        <v>0</v>
      </c>
      <c r="J4236">
        <v>0</v>
      </c>
      <c r="K4236">
        <v>0</v>
      </c>
    </row>
    <row r="4237" spans="1:11" x14ac:dyDescent="0.2">
      <c r="A4237" t="s">
        <v>1938</v>
      </c>
      <c r="B4237">
        <v>0</v>
      </c>
      <c r="C4237">
        <v>0</v>
      </c>
      <c r="D4237">
        <v>0</v>
      </c>
      <c r="E4237">
        <v>0</v>
      </c>
      <c r="F4237">
        <v>0</v>
      </c>
      <c r="G4237">
        <v>0</v>
      </c>
      <c r="H4237">
        <v>0</v>
      </c>
      <c r="I4237">
        <v>0</v>
      </c>
      <c r="J4237">
        <v>0</v>
      </c>
      <c r="K4237">
        <v>0</v>
      </c>
    </row>
    <row r="4238" spans="1:11" x14ac:dyDescent="0.2">
      <c r="A4238" t="s">
        <v>1944</v>
      </c>
      <c r="B4238">
        <v>0</v>
      </c>
      <c r="C4238">
        <v>0</v>
      </c>
      <c r="D4238">
        <v>0</v>
      </c>
      <c r="E4238">
        <v>0</v>
      </c>
      <c r="F4238">
        <v>0</v>
      </c>
      <c r="G4238">
        <v>3</v>
      </c>
      <c r="H4238">
        <v>4</v>
      </c>
      <c r="I4238">
        <v>0</v>
      </c>
      <c r="J4238">
        <v>0</v>
      </c>
      <c r="K4238">
        <v>0</v>
      </c>
    </row>
    <row r="4239" spans="1:11" x14ac:dyDescent="0.2">
      <c r="A4239" t="s">
        <v>1947</v>
      </c>
      <c r="B4239">
        <v>0</v>
      </c>
      <c r="C4239">
        <v>0</v>
      </c>
      <c r="D4239">
        <v>0</v>
      </c>
      <c r="E4239">
        <v>0</v>
      </c>
      <c r="F4239">
        <v>0</v>
      </c>
      <c r="G4239">
        <v>0</v>
      </c>
      <c r="H4239">
        <v>0</v>
      </c>
      <c r="I4239">
        <v>0</v>
      </c>
      <c r="J4239">
        <v>0</v>
      </c>
      <c r="K4239">
        <v>0</v>
      </c>
    </row>
    <row r="4240" spans="1:11" x14ac:dyDescent="0.2">
      <c r="A4240" t="s">
        <v>1953</v>
      </c>
      <c r="B4240">
        <v>0</v>
      </c>
      <c r="C4240">
        <v>0</v>
      </c>
      <c r="D4240">
        <v>0</v>
      </c>
      <c r="E4240">
        <v>0</v>
      </c>
      <c r="F4240">
        <v>0</v>
      </c>
      <c r="G4240">
        <v>0</v>
      </c>
      <c r="H4240">
        <v>0</v>
      </c>
      <c r="I4240">
        <v>0</v>
      </c>
      <c r="J4240">
        <v>0</v>
      </c>
      <c r="K4240">
        <v>0</v>
      </c>
    </row>
    <row r="4241" spans="1:11" x14ac:dyDescent="0.2">
      <c r="A4241" t="s">
        <v>1958</v>
      </c>
      <c r="B4241">
        <v>0</v>
      </c>
      <c r="C4241">
        <v>0</v>
      </c>
      <c r="D4241">
        <v>0</v>
      </c>
      <c r="E4241">
        <v>0</v>
      </c>
      <c r="F4241">
        <v>0</v>
      </c>
      <c r="G4241">
        <v>0</v>
      </c>
      <c r="H4241">
        <v>0</v>
      </c>
      <c r="I4241">
        <v>0</v>
      </c>
      <c r="J4241">
        <v>0</v>
      </c>
      <c r="K4241">
        <v>0</v>
      </c>
    </row>
    <row r="4242" spans="1:11" x14ac:dyDescent="0.2">
      <c r="A4242" t="s">
        <v>1964</v>
      </c>
      <c r="B4242">
        <v>0</v>
      </c>
      <c r="C4242">
        <v>0</v>
      </c>
      <c r="D4242">
        <v>0</v>
      </c>
      <c r="E4242">
        <v>0</v>
      </c>
      <c r="F4242">
        <v>0</v>
      </c>
      <c r="G4242">
        <v>0</v>
      </c>
      <c r="H4242">
        <v>0</v>
      </c>
      <c r="I4242">
        <v>0</v>
      </c>
      <c r="J4242">
        <v>0</v>
      </c>
      <c r="K4242">
        <v>0</v>
      </c>
    </row>
    <row r="4243" spans="1:11" x14ac:dyDescent="0.2">
      <c r="A4243" t="s">
        <v>1973</v>
      </c>
      <c r="B4243">
        <v>0</v>
      </c>
      <c r="C4243">
        <v>0</v>
      </c>
      <c r="D4243">
        <v>0</v>
      </c>
      <c r="E4243">
        <v>0</v>
      </c>
      <c r="F4243">
        <v>0</v>
      </c>
      <c r="G4243">
        <v>0</v>
      </c>
      <c r="H4243">
        <v>0</v>
      </c>
      <c r="I4243">
        <v>0</v>
      </c>
      <c r="J4243">
        <v>0</v>
      </c>
      <c r="K4243">
        <v>0</v>
      </c>
    </row>
    <row r="4244" spans="1:11" x14ac:dyDescent="0.2">
      <c r="A4244" t="s">
        <v>1978</v>
      </c>
      <c r="B4244">
        <v>0</v>
      </c>
      <c r="C4244">
        <v>0</v>
      </c>
      <c r="D4244">
        <v>0</v>
      </c>
      <c r="E4244">
        <v>0</v>
      </c>
      <c r="F4244">
        <v>0</v>
      </c>
      <c r="G4244">
        <v>0</v>
      </c>
      <c r="H4244">
        <v>0</v>
      </c>
      <c r="I4244">
        <v>0</v>
      </c>
      <c r="J4244">
        <v>0</v>
      </c>
      <c r="K4244">
        <v>0</v>
      </c>
    </row>
    <row r="4245" spans="1:11" x14ac:dyDescent="0.2">
      <c r="A4245" t="s">
        <v>1983</v>
      </c>
      <c r="B4245">
        <v>0</v>
      </c>
      <c r="C4245">
        <v>0</v>
      </c>
      <c r="D4245">
        <v>0</v>
      </c>
      <c r="E4245">
        <v>0</v>
      </c>
      <c r="F4245">
        <v>0</v>
      </c>
      <c r="G4245">
        <v>0</v>
      </c>
      <c r="H4245">
        <v>0</v>
      </c>
      <c r="I4245">
        <v>0</v>
      </c>
      <c r="J4245">
        <v>0</v>
      </c>
      <c r="K4245">
        <v>0</v>
      </c>
    </row>
    <row r="4246" spans="1:11" x14ac:dyDescent="0.2">
      <c r="A4246" t="s">
        <v>1984</v>
      </c>
      <c r="B4246">
        <v>0</v>
      </c>
      <c r="C4246">
        <v>0</v>
      </c>
      <c r="D4246">
        <v>0</v>
      </c>
      <c r="E4246">
        <v>0</v>
      </c>
      <c r="F4246">
        <v>0</v>
      </c>
      <c r="G4246">
        <v>0</v>
      </c>
      <c r="H4246">
        <v>0</v>
      </c>
      <c r="I4246">
        <v>0</v>
      </c>
      <c r="J4246">
        <v>0</v>
      </c>
      <c r="K4246">
        <v>0</v>
      </c>
    </row>
    <row r="4247" spans="1:11" x14ac:dyDescent="0.2">
      <c r="A4247" t="s">
        <v>1990</v>
      </c>
      <c r="B4247">
        <v>0</v>
      </c>
      <c r="C4247">
        <v>0</v>
      </c>
      <c r="D4247">
        <v>0</v>
      </c>
      <c r="E4247">
        <v>0</v>
      </c>
      <c r="F4247">
        <v>0</v>
      </c>
      <c r="G4247">
        <v>0</v>
      </c>
      <c r="H4247">
        <v>0</v>
      </c>
      <c r="I4247">
        <v>0</v>
      </c>
      <c r="J4247">
        <v>0</v>
      </c>
      <c r="K4247">
        <v>0</v>
      </c>
    </row>
    <row r="4248" spans="1:11" x14ac:dyDescent="0.2">
      <c r="A4248" t="s">
        <v>1996</v>
      </c>
      <c r="B4248">
        <v>0</v>
      </c>
      <c r="C4248">
        <v>0</v>
      </c>
      <c r="D4248">
        <v>0</v>
      </c>
      <c r="E4248">
        <v>0</v>
      </c>
      <c r="F4248">
        <v>0</v>
      </c>
      <c r="G4248">
        <v>0</v>
      </c>
      <c r="H4248">
        <v>0</v>
      </c>
      <c r="I4248">
        <v>0</v>
      </c>
      <c r="J4248">
        <v>0</v>
      </c>
      <c r="K4248">
        <v>0</v>
      </c>
    </row>
    <row r="4249" spans="1:11" x14ac:dyDescent="0.2">
      <c r="A4249" t="s">
        <v>1998</v>
      </c>
      <c r="B4249">
        <v>0</v>
      </c>
      <c r="C4249">
        <v>0</v>
      </c>
      <c r="D4249">
        <v>0</v>
      </c>
      <c r="E4249">
        <v>0</v>
      </c>
      <c r="F4249">
        <v>0</v>
      </c>
      <c r="G4249">
        <v>0</v>
      </c>
      <c r="H4249">
        <v>0</v>
      </c>
      <c r="I4249">
        <v>0</v>
      </c>
      <c r="J4249">
        <v>0</v>
      </c>
      <c r="K4249">
        <v>0</v>
      </c>
    </row>
    <row r="4250" spans="1:11" x14ac:dyDescent="0.2">
      <c r="A4250" t="s">
        <v>1999</v>
      </c>
      <c r="B4250">
        <v>0</v>
      </c>
      <c r="C4250">
        <v>0</v>
      </c>
      <c r="D4250">
        <v>0</v>
      </c>
      <c r="E4250">
        <v>0</v>
      </c>
      <c r="F4250">
        <v>0</v>
      </c>
      <c r="G4250">
        <v>0</v>
      </c>
      <c r="H4250">
        <v>0</v>
      </c>
      <c r="I4250">
        <v>0</v>
      </c>
      <c r="J4250">
        <v>0</v>
      </c>
      <c r="K4250">
        <v>0</v>
      </c>
    </row>
    <row r="4251" spans="1:11" x14ac:dyDescent="0.2">
      <c r="A4251" t="s">
        <v>2004</v>
      </c>
      <c r="B4251">
        <v>0</v>
      </c>
      <c r="C4251">
        <v>0</v>
      </c>
      <c r="D4251">
        <v>0</v>
      </c>
      <c r="E4251">
        <v>0</v>
      </c>
      <c r="F4251">
        <v>0</v>
      </c>
      <c r="G4251">
        <v>0</v>
      </c>
      <c r="H4251">
        <v>0</v>
      </c>
      <c r="I4251">
        <v>0</v>
      </c>
      <c r="J4251">
        <v>0</v>
      </c>
      <c r="K4251">
        <v>0</v>
      </c>
    </row>
    <row r="4252" spans="1:11" x14ac:dyDescent="0.2">
      <c r="A4252" t="s">
        <v>2009</v>
      </c>
      <c r="B4252">
        <v>0</v>
      </c>
      <c r="C4252">
        <v>0</v>
      </c>
      <c r="D4252">
        <v>0</v>
      </c>
      <c r="E4252">
        <v>0</v>
      </c>
      <c r="F4252">
        <v>0</v>
      </c>
      <c r="G4252">
        <v>0</v>
      </c>
      <c r="H4252">
        <v>0</v>
      </c>
      <c r="I4252">
        <v>0</v>
      </c>
      <c r="J4252">
        <v>0</v>
      </c>
      <c r="K4252">
        <v>0</v>
      </c>
    </row>
    <row r="4253" spans="1:11" x14ac:dyDescent="0.2">
      <c r="A4253" t="s">
        <v>2014</v>
      </c>
      <c r="B4253">
        <v>0</v>
      </c>
      <c r="C4253">
        <v>0</v>
      </c>
      <c r="D4253">
        <v>0</v>
      </c>
      <c r="E4253">
        <v>0</v>
      </c>
      <c r="F4253">
        <v>0</v>
      </c>
      <c r="G4253">
        <v>0</v>
      </c>
      <c r="H4253">
        <v>0</v>
      </c>
      <c r="I4253">
        <v>0</v>
      </c>
      <c r="J4253">
        <v>0</v>
      </c>
      <c r="K4253">
        <v>0</v>
      </c>
    </row>
    <row r="4254" spans="1:11" x14ac:dyDescent="0.2">
      <c r="A4254" t="s">
        <v>2019</v>
      </c>
      <c r="B4254">
        <v>0</v>
      </c>
      <c r="C4254">
        <v>0</v>
      </c>
      <c r="D4254">
        <v>0</v>
      </c>
      <c r="E4254">
        <v>0</v>
      </c>
      <c r="F4254">
        <v>0</v>
      </c>
      <c r="G4254">
        <v>0</v>
      </c>
      <c r="H4254">
        <v>0</v>
      </c>
      <c r="I4254">
        <v>0</v>
      </c>
      <c r="J4254">
        <v>0</v>
      </c>
      <c r="K4254">
        <v>0</v>
      </c>
    </row>
    <row r="4255" spans="1:11" x14ac:dyDescent="0.2">
      <c r="A4255" t="s">
        <v>2023</v>
      </c>
      <c r="B4255">
        <v>0</v>
      </c>
      <c r="C4255">
        <v>0</v>
      </c>
      <c r="D4255">
        <v>0</v>
      </c>
      <c r="E4255">
        <v>0</v>
      </c>
      <c r="F4255">
        <v>0</v>
      </c>
      <c r="G4255">
        <v>0</v>
      </c>
      <c r="H4255">
        <v>0</v>
      </c>
      <c r="I4255">
        <v>0</v>
      </c>
      <c r="J4255">
        <v>0</v>
      </c>
      <c r="K4255">
        <v>0</v>
      </c>
    </row>
    <row r="4256" spans="1:11" x14ac:dyDescent="0.2">
      <c r="A4256" t="s">
        <v>2026</v>
      </c>
      <c r="B4256">
        <v>0</v>
      </c>
      <c r="C4256">
        <v>0</v>
      </c>
      <c r="D4256">
        <v>0</v>
      </c>
      <c r="E4256">
        <v>0</v>
      </c>
      <c r="F4256">
        <v>0</v>
      </c>
      <c r="G4256">
        <v>0</v>
      </c>
      <c r="H4256">
        <v>0</v>
      </c>
      <c r="I4256">
        <v>0</v>
      </c>
      <c r="J4256">
        <v>0</v>
      </c>
      <c r="K4256">
        <v>0</v>
      </c>
    </row>
    <row r="4257" spans="1:11" x14ac:dyDescent="0.2">
      <c r="A4257" t="s">
        <v>2030</v>
      </c>
      <c r="B4257">
        <v>0</v>
      </c>
      <c r="C4257">
        <v>0</v>
      </c>
      <c r="D4257">
        <v>0</v>
      </c>
      <c r="E4257">
        <v>0</v>
      </c>
      <c r="F4257">
        <v>0</v>
      </c>
      <c r="G4257">
        <v>0</v>
      </c>
      <c r="H4257">
        <v>0</v>
      </c>
      <c r="I4257">
        <v>0</v>
      </c>
      <c r="J4257">
        <v>0</v>
      </c>
      <c r="K4257">
        <v>0</v>
      </c>
    </row>
    <row r="4258" spans="1:11" x14ac:dyDescent="0.2">
      <c r="A4258" t="s">
        <v>2035</v>
      </c>
      <c r="B4258">
        <v>0</v>
      </c>
      <c r="C4258">
        <v>0</v>
      </c>
      <c r="D4258">
        <v>0</v>
      </c>
      <c r="E4258">
        <v>0</v>
      </c>
      <c r="F4258">
        <v>0</v>
      </c>
      <c r="G4258">
        <v>0</v>
      </c>
      <c r="H4258">
        <v>0</v>
      </c>
      <c r="I4258">
        <v>0</v>
      </c>
      <c r="J4258">
        <v>0</v>
      </c>
      <c r="K4258">
        <v>0</v>
      </c>
    </row>
    <row r="4259" spans="1:11" x14ac:dyDescent="0.2">
      <c r="A4259" t="s">
        <v>2040</v>
      </c>
      <c r="B4259">
        <v>0</v>
      </c>
      <c r="C4259">
        <v>0</v>
      </c>
      <c r="D4259">
        <v>0</v>
      </c>
      <c r="E4259">
        <v>0</v>
      </c>
      <c r="F4259">
        <v>0</v>
      </c>
      <c r="G4259">
        <v>0</v>
      </c>
      <c r="H4259">
        <v>0</v>
      </c>
      <c r="I4259">
        <v>0</v>
      </c>
      <c r="J4259">
        <v>0</v>
      </c>
      <c r="K4259">
        <v>0</v>
      </c>
    </row>
    <row r="4260" spans="1:11" x14ac:dyDescent="0.2">
      <c r="A4260" t="s">
        <v>2045</v>
      </c>
      <c r="B4260">
        <v>0</v>
      </c>
      <c r="C4260">
        <v>0</v>
      </c>
      <c r="D4260">
        <v>0</v>
      </c>
      <c r="E4260">
        <v>0</v>
      </c>
      <c r="F4260">
        <v>0</v>
      </c>
      <c r="G4260">
        <v>0</v>
      </c>
      <c r="H4260">
        <v>0</v>
      </c>
      <c r="I4260">
        <v>0</v>
      </c>
      <c r="J4260">
        <v>0</v>
      </c>
      <c r="K4260">
        <v>0</v>
      </c>
    </row>
    <row r="4261" spans="1:11" x14ac:dyDescent="0.2">
      <c r="A4261" t="s">
        <v>2049</v>
      </c>
      <c r="B4261">
        <v>0</v>
      </c>
      <c r="C4261">
        <v>0</v>
      </c>
      <c r="D4261">
        <v>0</v>
      </c>
      <c r="E4261">
        <v>0</v>
      </c>
      <c r="F4261">
        <v>0</v>
      </c>
      <c r="G4261">
        <v>0</v>
      </c>
      <c r="H4261">
        <v>0</v>
      </c>
      <c r="I4261">
        <v>0</v>
      </c>
      <c r="J4261">
        <v>0</v>
      </c>
      <c r="K4261">
        <v>0</v>
      </c>
    </row>
    <row r="4262" spans="1:11" x14ac:dyDescent="0.2">
      <c r="A4262" t="s">
        <v>2051</v>
      </c>
      <c r="B4262">
        <v>0</v>
      </c>
      <c r="C4262">
        <v>0</v>
      </c>
      <c r="D4262">
        <v>0</v>
      </c>
      <c r="E4262">
        <v>0</v>
      </c>
      <c r="F4262">
        <v>0</v>
      </c>
      <c r="G4262">
        <v>0</v>
      </c>
      <c r="H4262">
        <v>0</v>
      </c>
      <c r="I4262">
        <v>0</v>
      </c>
      <c r="J4262">
        <v>0</v>
      </c>
      <c r="K4262">
        <v>0</v>
      </c>
    </row>
    <row r="4263" spans="1:11" x14ac:dyDescent="0.2">
      <c r="A4263" t="s">
        <v>2057</v>
      </c>
      <c r="B4263">
        <v>0</v>
      </c>
      <c r="C4263">
        <v>0</v>
      </c>
      <c r="D4263">
        <v>0</v>
      </c>
      <c r="E4263">
        <v>0</v>
      </c>
      <c r="F4263">
        <v>0</v>
      </c>
      <c r="G4263">
        <v>0</v>
      </c>
      <c r="H4263">
        <v>0</v>
      </c>
      <c r="I4263">
        <v>0</v>
      </c>
      <c r="J4263">
        <v>0</v>
      </c>
      <c r="K4263">
        <v>0</v>
      </c>
    </row>
    <row r="4264" spans="1:11" x14ac:dyDescent="0.2">
      <c r="A4264" t="s">
        <v>4344</v>
      </c>
      <c r="B4264">
        <v>0</v>
      </c>
      <c r="C4264">
        <v>0</v>
      </c>
      <c r="D4264">
        <v>0</v>
      </c>
      <c r="E4264">
        <v>0</v>
      </c>
      <c r="F4264">
        <v>0</v>
      </c>
      <c r="G4264">
        <v>0</v>
      </c>
      <c r="H4264">
        <v>0</v>
      </c>
      <c r="I4264">
        <v>0</v>
      </c>
      <c r="J4264">
        <v>0</v>
      </c>
      <c r="K4264">
        <v>0</v>
      </c>
    </row>
    <row r="4265" spans="1:11" x14ac:dyDescent="0.2">
      <c r="A4265" t="s">
        <v>4345</v>
      </c>
      <c r="B4265">
        <v>0</v>
      </c>
      <c r="C4265">
        <v>0</v>
      </c>
      <c r="D4265">
        <v>0</v>
      </c>
      <c r="E4265">
        <v>0</v>
      </c>
      <c r="F4265">
        <v>0</v>
      </c>
      <c r="G4265">
        <v>0</v>
      </c>
      <c r="H4265">
        <v>0</v>
      </c>
      <c r="I4265">
        <v>0</v>
      </c>
      <c r="J4265">
        <v>0</v>
      </c>
      <c r="K4265">
        <v>0</v>
      </c>
    </row>
    <row r="4266" spans="1:11" x14ac:dyDescent="0.2">
      <c r="A4266" t="s">
        <v>2074</v>
      </c>
      <c r="B4266">
        <v>0</v>
      </c>
      <c r="C4266">
        <v>0</v>
      </c>
      <c r="D4266">
        <v>0</v>
      </c>
      <c r="E4266">
        <v>0</v>
      </c>
      <c r="F4266">
        <v>0</v>
      </c>
      <c r="G4266">
        <v>0</v>
      </c>
      <c r="H4266">
        <v>0</v>
      </c>
      <c r="I4266">
        <v>0</v>
      </c>
      <c r="J4266">
        <v>0</v>
      </c>
      <c r="K4266">
        <v>0</v>
      </c>
    </row>
    <row r="4267" spans="1:11" x14ac:dyDescent="0.2">
      <c r="A4267" t="s">
        <v>2079</v>
      </c>
      <c r="B4267">
        <v>0</v>
      </c>
      <c r="C4267">
        <v>0</v>
      </c>
      <c r="D4267">
        <v>0</v>
      </c>
      <c r="E4267">
        <v>0</v>
      </c>
      <c r="F4267">
        <v>0</v>
      </c>
      <c r="G4267">
        <v>0</v>
      </c>
      <c r="H4267">
        <v>0</v>
      </c>
      <c r="I4267">
        <v>0</v>
      </c>
      <c r="J4267">
        <v>0</v>
      </c>
      <c r="K4267">
        <v>0</v>
      </c>
    </row>
    <row r="4268" spans="1:11" x14ac:dyDescent="0.2">
      <c r="A4268" t="s">
        <v>2085</v>
      </c>
      <c r="B4268">
        <v>0</v>
      </c>
      <c r="C4268">
        <v>0</v>
      </c>
      <c r="D4268">
        <v>0</v>
      </c>
      <c r="E4268">
        <v>0</v>
      </c>
      <c r="F4268">
        <v>0</v>
      </c>
      <c r="G4268">
        <v>0</v>
      </c>
      <c r="H4268">
        <v>0</v>
      </c>
      <c r="I4268">
        <v>0</v>
      </c>
      <c r="J4268">
        <v>0</v>
      </c>
      <c r="K4268">
        <v>0</v>
      </c>
    </row>
    <row r="4269" spans="1:11" x14ac:dyDescent="0.2">
      <c r="A4269" t="s">
        <v>2091</v>
      </c>
      <c r="B4269">
        <v>0</v>
      </c>
      <c r="C4269">
        <v>0</v>
      </c>
      <c r="D4269">
        <v>0</v>
      </c>
      <c r="E4269">
        <v>0</v>
      </c>
      <c r="F4269">
        <v>0</v>
      </c>
      <c r="G4269">
        <v>0</v>
      </c>
      <c r="H4269">
        <v>0</v>
      </c>
      <c r="I4269">
        <v>0</v>
      </c>
      <c r="J4269">
        <v>0</v>
      </c>
      <c r="K4269">
        <v>0</v>
      </c>
    </row>
    <row r="4270" spans="1:11" x14ac:dyDescent="0.2">
      <c r="A4270" t="s">
        <v>2097</v>
      </c>
      <c r="B4270">
        <v>0</v>
      </c>
      <c r="C4270">
        <v>0</v>
      </c>
      <c r="D4270">
        <v>0</v>
      </c>
      <c r="E4270">
        <v>0</v>
      </c>
      <c r="F4270">
        <v>0</v>
      </c>
      <c r="G4270">
        <v>0</v>
      </c>
      <c r="H4270">
        <v>0</v>
      </c>
      <c r="I4270">
        <v>0</v>
      </c>
      <c r="J4270">
        <v>0</v>
      </c>
      <c r="K4270">
        <v>0</v>
      </c>
    </row>
    <row r="4271" spans="1:11" x14ac:dyDescent="0.2">
      <c r="A4271" t="s">
        <v>2101</v>
      </c>
      <c r="B4271">
        <v>0</v>
      </c>
      <c r="C4271">
        <v>0</v>
      </c>
      <c r="D4271">
        <v>0</v>
      </c>
      <c r="E4271">
        <v>0</v>
      </c>
      <c r="F4271">
        <v>0</v>
      </c>
      <c r="G4271">
        <v>0</v>
      </c>
      <c r="H4271">
        <v>0</v>
      </c>
      <c r="I4271">
        <v>0</v>
      </c>
      <c r="J4271">
        <v>0</v>
      </c>
      <c r="K4271">
        <v>0</v>
      </c>
    </row>
    <row r="4272" spans="1:11" x14ac:dyDescent="0.2">
      <c r="A4272" t="s">
        <v>2104</v>
      </c>
      <c r="B4272">
        <v>0</v>
      </c>
      <c r="C4272">
        <v>0</v>
      </c>
      <c r="D4272">
        <v>0</v>
      </c>
      <c r="E4272">
        <v>0</v>
      </c>
      <c r="F4272">
        <v>0</v>
      </c>
      <c r="G4272">
        <v>0</v>
      </c>
      <c r="H4272">
        <v>0</v>
      </c>
      <c r="I4272">
        <v>0</v>
      </c>
      <c r="J4272">
        <v>0</v>
      </c>
      <c r="K4272">
        <v>0</v>
      </c>
    </row>
    <row r="4273" spans="1:11" x14ac:dyDescent="0.2">
      <c r="A4273" t="s">
        <v>2107</v>
      </c>
      <c r="B4273">
        <v>0</v>
      </c>
      <c r="C4273">
        <v>0</v>
      </c>
      <c r="D4273">
        <v>0</v>
      </c>
      <c r="E4273">
        <v>0</v>
      </c>
      <c r="F4273">
        <v>0</v>
      </c>
      <c r="G4273">
        <v>0</v>
      </c>
      <c r="H4273">
        <v>0</v>
      </c>
      <c r="I4273">
        <v>0</v>
      </c>
      <c r="J4273">
        <v>0</v>
      </c>
      <c r="K4273">
        <v>0</v>
      </c>
    </row>
    <row r="4274" spans="1:11" x14ac:dyDescent="0.2">
      <c r="A4274" t="s">
        <v>2110</v>
      </c>
      <c r="B4274">
        <v>0</v>
      </c>
      <c r="C4274">
        <v>0</v>
      </c>
      <c r="D4274">
        <v>0</v>
      </c>
      <c r="E4274">
        <v>0</v>
      </c>
      <c r="F4274">
        <v>0</v>
      </c>
      <c r="G4274">
        <v>0</v>
      </c>
      <c r="H4274">
        <v>0</v>
      </c>
      <c r="I4274">
        <v>0</v>
      </c>
      <c r="J4274">
        <v>0</v>
      </c>
      <c r="K4274">
        <v>0</v>
      </c>
    </row>
    <row r="4275" spans="1:11" x14ac:dyDescent="0.2">
      <c r="A4275" t="s">
        <v>2113</v>
      </c>
      <c r="B4275">
        <v>0</v>
      </c>
      <c r="C4275">
        <v>0</v>
      </c>
      <c r="D4275">
        <v>0</v>
      </c>
      <c r="E4275">
        <v>0</v>
      </c>
      <c r="F4275">
        <v>0</v>
      </c>
      <c r="G4275">
        <v>0</v>
      </c>
      <c r="H4275">
        <v>0</v>
      </c>
      <c r="I4275">
        <v>0</v>
      </c>
      <c r="J4275">
        <v>0</v>
      </c>
      <c r="K4275">
        <v>0</v>
      </c>
    </row>
    <row r="4276" spans="1:11" x14ac:dyDescent="0.2">
      <c r="A4276" t="s">
        <v>4346</v>
      </c>
      <c r="B4276">
        <v>0</v>
      </c>
      <c r="C4276">
        <v>0</v>
      </c>
      <c r="D4276">
        <v>0</v>
      </c>
      <c r="E4276">
        <v>0</v>
      </c>
      <c r="F4276">
        <v>0</v>
      </c>
      <c r="G4276">
        <v>0</v>
      </c>
      <c r="H4276">
        <v>0</v>
      </c>
      <c r="I4276">
        <v>0</v>
      </c>
      <c r="J4276">
        <v>0</v>
      </c>
      <c r="K4276">
        <v>0</v>
      </c>
    </row>
    <row r="4277" spans="1:11" x14ac:dyDescent="0.2">
      <c r="A4277" t="s">
        <v>4347</v>
      </c>
      <c r="B4277">
        <v>0</v>
      </c>
      <c r="C4277">
        <v>0</v>
      </c>
      <c r="D4277">
        <v>0</v>
      </c>
      <c r="E4277">
        <v>0</v>
      </c>
      <c r="F4277">
        <v>0</v>
      </c>
      <c r="G4277">
        <v>0</v>
      </c>
      <c r="H4277">
        <v>0</v>
      </c>
      <c r="I4277">
        <v>0</v>
      </c>
      <c r="J4277">
        <v>0</v>
      </c>
      <c r="K4277">
        <v>0</v>
      </c>
    </row>
    <row r="4278" spans="1:11" x14ac:dyDescent="0.2">
      <c r="A4278" t="s">
        <v>4348</v>
      </c>
      <c r="B4278">
        <v>0</v>
      </c>
      <c r="C4278">
        <v>0</v>
      </c>
      <c r="D4278">
        <v>0</v>
      </c>
      <c r="E4278">
        <v>0</v>
      </c>
      <c r="F4278">
        <v>0</v>
      </c>
      <c r="G4278">
        <v>0</v>
      </c>
      <c r="H4278">
        <v>0</v>
      </c>
      <c r="I4278">
        <v>0</v>
      </c>
      <c r="J4278">
        <v>0</v>
      </c>
      <c r="K4278">
        <v>0</v>
      </c>
    </row>
    <row r="4279" spans="1:11" x14ac:dyDescent="0.2">
      <c r="A4279" t="s">
        <v>4349</v>
      </c>
      <c r="B4279">
        <v>0</v>
      </c>
      <c r="C4279">
        <v>0</v>
      </c>
      <c r="D4279">
        <v>0</v>
      </c>
      <c r="E4279">
        <v>0</v>
      </c>
      <c r="F4279">
        <v>0</v>
      </c>
      <c r="G4279">
        <v>0</v>
      </c>
      <c r="H4279">
        <v>0</v>
      </c>
      <c r="I4279">
        <v>0</v>
      </c>
      <c r="J4279">
        <v>0</v>
      </c>
      <c r="K4279">
        <v>0</v>
      </c>
    </row>
    <row r="4280" spans="1:11" x14ac:dyDescent="0.2">
      <c r="A4280" t="s">
        <v>4350</v>
      </c>
      <c r="B4280">
        <v>0</v>
      </c>
      <c r="C4280">
        <v>0</v>
      </c>
      <c r="D4280">
        <v>0</v>
      </c>
      <c r="E4280">
        <v>0</v>
      </c>
      <c r="F4280">
        <v>1</v>
      </c>
      <c r="G4280">
        <v>36</v>
      </c>
      <c r="H4280">
        <v>43</v>
      </c>
      <c r="I4280">
        <v>0</v>
      </c>
      <c r="J4280">
        <v>11</v>
      </c>
      <c r="K4280">
        <v>35</v>
      </c>
    </row>
    <row r="4281" spans="1:11" x14ac:dyDescent="0.2">
      <c r="A4281" t="s">
        <v>4351</v>
      </c>
      <c r="B4281">
        <v>0</v>
      </c>
      <c r="C4281">
        <v>0</v>
      </c>
      <c r="D4281">
        <v>0</v>
      </c>
      <c r="E4281">
        <v>0</v>
      </c>
      <c r="F4281">
        <v>0</v>
      </c>
      <c r="G4281">
        <v>0</v>
      </c>
      <c r="H4281">
        <v>0</v>
      </c>
      <c r="I4281">
        <v>0</v>
      </c>
      <c r="J4281">
        <v>0</v>
      </c>
      <c r="K4281">
        <v>0</v>
      </c>
    </row>
    <row r="4282" spans="1:11" x14ac:dyDescent="0.2">
      <c r="A4282" t="s">
        <v>4352</v>
      </c>
      <c r="B4282">
        <v>0</v>
      </c>
      <c r="C4282">
        <v>0</v>
      </c>
      <c r="D4282">
        <v>0</v>
      </c>
      <c r="E4282">
        <v>0</v>
      </c>
      <c r="F4282">
        <v>0</v>
      </c>
      <c r="G4282">
        <v>0</v>
      </c>
      <c r="H4282">
        <v>0</v>
      </c>
      <c r="I4282">
        <v>0</v>
      </c>
      <c r="J4282">
        <v>0</v>
      </c>
      <c r="K4282">
        <v>0</v>
      </c>
    </row>
    <row r="4283" spans="1:11" x14ac:dyDescent="0.2">
      <c r="A4283" t="s">
        <v>4353</v>
      </c>
      <c r="B4283">
        <v>0</v>
      </c>
      <c r="C4283">
        <v>0</v>
      </c>
      <c r="D4283">
        <v>0</v>
      </c>
      <c r="E4283">
        <v>0</v>
      </c>
      <c r="F4283">
        <v>1</v>
      </c>
      <c r="G4283">
        <v>54</v>
      </c>
      <c r="H4283">
        <v>62</v>
      </c>
      <c r="I4283">
        <v>0</v>
      </c>
      <c r="J4283">
        <v>14</v>
      </c>
      <c r="K4283">
        <v>48</v>
      </c>
    </row>
    <row r="4284" spans="1:11" x14ac:dyDescent="0.2">
      <c r="A4284" t="s">
        <v>4354</v>
      </c>
      <c r="B4284">
        <v>0</v>
      </c>
      <c r="C4284">
        <v>0</v>
      </c>
      <c r="D4284">
        <v>0</v>
      </c>
      <c r="E4284">
        <v>0</v>
      </c>
      <c r="F4284">
        <v>1</v>
      </c>
      <c r="G4284">
        <v>31</v>
      </c>
      <c r="H4284">
        <v>35</v>
      </c>
      <c r="I4284">
        <v>0</v>
      </c>
      <c r="J4284">
        <v>3</v>
      </c>
      <c r="K4284">
        <v>9</v>
      </c>
    </row>
    <row r="4285" spans="1:11" x14ac:dyDescent="0.2">
      <c r="A4285" t="s">
        <v>4355</v>
      </c>
      <c r="B4285">
        <v>0</v>
      </c>
      <c r="C4285">
        <v>0</v>
      </c>
      <c r="D4285">
        <v>0</v>
      </c>
      <c r="E4285">
        <v>0</v>
      </c>
      <c r="F4285">
        <v>0</v>
      </c>
      <c r="G4285">
        <v>0</v>
      </c>
      <c r="H4285">
        <v>0</v>
      </c>
      <c r="I4285">
        <v>0</v>
      </c>
      <c r="J4285">
        <v>0</v>
      </c>
      <c r="K4285">
        <v>0</v>
      </c>
    </row>
    <row r="4286" spans="1:11" x14ac:dyDescent="0.2">
      <c r="A4286" t="s">
        <v>4356</v>
      </c>
      <c r="B4286">
        <v>0</v>
      </c>
      <c r="C4286">
        <v>0</v>
      </c>
      <c r="D4286">
        <v>0</v>
      </c>
      <c r="E4286">
        <v>0</v>
      </c>
      <c r="F4286">
        <v>0</v>
      </c>
      <c r="G4286">
        <v>0</v>
      </c>
      <c r="H4286">
        <v>0</v>
      </c>
      <c r="I4286">
        <v>0</v>
      </c>
      <c r="J4286">
        <v>0</v>
      </c>
      <c r="K4286">
        <v>0</v>
      </c>
    </row>
    <row r="4287" spans="1:11" x14ac:dyDescent="0.2">
      <c r="A4287" t="s">
        <v>4357</v>
      </c>
      <c r="B4287">
        <v>0</v>
      </c>
      <c r="C4287">
        <v>0</v>
      </c>
      <c r="D4287">
        <v>0</v>
      </c>
      <c r="E4287">
        <v>0</v>
      </c>
      <c r="F4287">
        <v>0</v>
      </c>
      <c r="G4287">
        <v>6</v>
      </c>
      <c r="H4287">
        <v>6</v>
      </c>
      <c r="I4287">
        <v>0</v>
      </c>
      <c r="J4287">
        <v>2</v>
      </c>
      <c r="K4287">
        <v>5</v>
      </c>
    </row>
    <row r="4288" spans="1:11" x14ac:dyDescent="0.2">
      <c r="A4288" t="s">
        <v>4358</v>
      </c>
      <c r="B4288">
        <v>0</v>
      </c>
      <c r="C4288">
        <v>0</v>
      </c>
      <c r="D4288">
        <v>0</v>
      </c>
      <c r="E4288">
        <v>0</v>
      </c>
      <c r="F4288">
        <v>0</v>
      </c>
      <c r="G4288">
        <v>9</v>
      </c>
      <c r="H4288">
        <v>10</v>
      </c>
      <c r="I4288">
        <v>0</v>
      </c>
      <c r="J4288">
        <v>2</v>
      </c>
      <c r="K4288">
        <v>7</v>
      </c>
    </row>
    <row r="4289" spans="1:11" x14ac:dyDescent="0.2">
      <c r="A4289" t="s">
        <v>4359</v>
      </c>
      <c r="B4289">
        <v>0</v>
      </c>
      <c r="C4289">
        <v>0</v>
      </c>
      <c r="D4289">
        <v>0</v>
      </c>
      <c r="E4289">
        <v>0</v>
      </c>
      <c r="F4289">
        <v>0</v>
      </c>
      <c r="G4289">
        <v>0</v>
      </c>
      <c r="H4289">
        <v>0</v>
      </c>
      <c r="I4289">
        <v>0</v>
      </c>
      <c r="J4289">
        <v>0</v>
      </c>
      <c r="K4289">
        <v>0</v>
      </c>
    </row>
    <row r="4290" spans="1:11" x14ac:dyDescent="0.2">
      <c r="A4290" t="s">
        <v>4360</v>
      </c>
      <c r="B4290">
        <v>0</v>
      </c>
      <c r="C4290">
        <v>0</v>
      </c>
      <c r="D4290">
        <v>0</v>
      </c>
      <c r="E4290">
        <v>0</v>
      </c>
      <c r="F4290">
        <v>0</v>
      </c>
      <c r="G4290">
        <v>2</v>
      </c>
      <c r="H4290">
        <v>2</v>
      </c>
      <c r="I4290">
        <v>0</v>
      </c>
      <c r="J4290">
        <v>0</v>
      </c>
      <c r="K4290">
        <v>1</v>
      </c>
    </row>
    <row r="4291" spans="1:11" x14ac:dyDescent="0.2">
      <c r="A4291" t="s">
        <v>4361</v>
      </c>
      <c r="B4291">
        <v>0</v>
      </c>
      <c r="C4291">
        <v>0</v>
      </c>
      <c r="D4291">
        <v>0</v>
      </c>
      <c r="E4291">
        <v>0</v>
      </c>
      <c r="F4291">
        <v>4</v>
      </c>
      <c r="G4291">
        <v>148</v>
      </c>
      <c r="H4291">
        <v>172</v>
      </c>
      <c r="I4291">
        <v>0</v>
      </c>
      <c r="J4291">
        <v>45</v>
      </c>
      <c r="K4291">
        <v>148</v>
      </c>
    </row>
    <row r="4292" spans="1:11" x14ac:dyDescent="0.2">
      <c r="A4292" t="s">
        <v>4362</v>
      </c>
      <c r="B4292">
        <v>0</v>
      </c>
      <c r="C4292">
        <v>0</v>
      </c>
      <c r="D4292">
        <v>0</v>
      </c>
      <c r="E4292">
        <v>0</v>
      </c>
      <c r="F4292">
        <v>1</v>
      </c>
      <c r="G4292">
        <v>41</v>
      </c>
      <c r="H4292">
        <v>52</v>
      </c>
      <c r="I4292">
        <v>0</v>
      </c>
      <c r="J4292">
        <v>2</v>
      </c>
      <c r="K4292">
        <v>6</v>
      </c>
    </row>
    <row r="4293" spans="1:11" x14ac:dyDescent="0.2">
      <c r="A4293" t="s">
        <v>4363</v>
      </c>
      <c r="B4293">
        <v>0</v>
      </c>
      <c r="C4293">
        <v>0</v>
      </c>
      <c r="D4293">
        <v>0</v>
      </c>
      <c r="E4293">
        <v>0</v>
      </c>
      <c r="F4293">
        <v>0</v>
      </c>
      <c r="G4293">
        <v>0</v>
      </c>
      <c r="H4293">
        <v>0</v>
      </c>
      <c r="I4293">
        <v>0</v>
      </c>
      <c r="J4293">
        <v>0</v>
      </c>
      <c r="K4293">
        <v>0</v>
      </c>
    </row>
    <row r="4294" spans="1:11" x14ac:dyDescent="0.2">
      <c r="A4294" t="s">
        <v>4364</v>
      </c>
      <c r="B4294">
        <v>0</v>
      </c>
      <c r="C4294">
        <v>0</v>
      </c>
      <c r="D4294">
        <v>0</v>
      </c>
      <c r="E4294">
        <v>0</v>
      </c>
      <c r="F4294">
        <v>0</v>
      </c>
      <c r="G4294">
        <v>0</v>
      </c>
      <c r="H4294">
        <v>0</v>
      </c>
      <c r="I4294">
        <v>0</v>
      </c>
      <c r="J4294">
        <v>0</v>
      </c>
      <c r="K4294">
        <v>0</v>
      </c>
    </row>
    <row r="4295" spans="1:11" x14ac:dyDescent="0.2">
      <c r="A4295" t="s">
        <v>4365</v>
      </c>
      <c r="B4295">
        <v>0</v>
      </c>
      <c r="C4295">
        <v>0</v>
      </c>
      <c r="D4295">
        <v>0</v>
      </c>
      <c r="E4295">
        <v>0</v>
      </c>
      <c r="F4295">
        <v>1</v>
      </c>
      <c r="G4295">
        <v>362</v>
      </c>
      <c r="H4295">
        <v>49</v>
      </c>
      <c r="I4295">
        <v>0</v>
      </c>
      <c r="J4295">
        <v>14</v>
      </c>
      <c r="K4295">
        <v>404</v>
      </c>
    </row>
    <row r="4296" spans="1:11" x14ac:dyDescent="0.2">
      <c r="A4296" t="s">
        <v>4366</v>
      </c>
      <c r="B4296">
        <v>0</v>
      </c>
      <c r="C4296">
        <v>0</v>
      </c>
      <c r="D4296">
        <v>0</v>
      </c>
      <c r="E4296">
        <v>0</v>
      </c>
      <c r="F4296">
        <v>0</v>
      </c>
      <c r="G4296">
        <v>0</v>
      </c>
      <c r="H4296">
        <v>0</v>
      </c>
      <c r="I4296">
        <v>0</v>
      </c>
      <c r="J4296">
        <v>0</v>
      </c>
      <c r="K4296">
        <v>0</v>
      </c>
    </row>
    <row r="4297" spans="1:11" x14ac:dyDescent="0.2">
      <c r="A4297" t="s">
        <v>4367</v>
      </c>
      <c r="B4297">
        <v>0</v>
      </c>
      <c r="C4297">
        <v>0</v>
      </c>
      <c r="D4297">
        <v>0</v>
      </c>
      <c r="E4297">
        <v>0</v>
      </c>
      <c r="F4297">
        <v>7</v>
      </c>
      <c r="G4297">
        <v>259</v>
      </c>
      <c r="H4297">
        <v>306</v>
      </c>
      <c r="I4297">
        <v>0</v>
      </c>
      <c r="J4297">
        <v>5</v>
      </c>
      <c r="K4297">
        <v>16</v>
      </c>
    </row>
    <row r="4298" spans="1:11" x14ac:dyDescent="0.2">
      <c r="A4298" t="s">
        <v>4368</v>
      </c>
      <c r="B4298">
        <v>0</v>
      </c>
      <c r="C4298">
        <v>0</v>
      </c>
      <c r="D4298">
        <v>0</v>
      </c>
      <c r="E4298">
        <v>0</v>
      </c>
      <c r="F4298">
        <v>3</v>
      </c>
      <c r="G4298">
        <v>805</v>
      </c>
      <c r="H4298">
        <v>115</v>
      </c>
      <c r="I4298">
        <v>0</v>
      </c>
      <c r="J4298">
        <v>9</v>
      </c>
      <c r="K4298">
        <v>231</v>
      </c>
    </row>
    <row r="4299" spans="1:11" x14ac:dyDescent="0.2">
      <c r="A4299" t="s">
        <v>4369</v>
      </c>
      <c r="B4299">
        <v>0</v>
      </c>
      <c r="C4299">
        <v>1</v>
      </c>
      <c r="D4299">
        <v>0</v>
      </c>
      <c r="E4299">
        <v>0</v>
      </c>
      <c r="F4299">
        <v>6</v>
      </c>
      <c r="G4299">
        <v>532</v>
      </c>
      <c r="H4299">
        <v>259</v>
      </c>
      <c r="I4299">
        <v>0</v>
      </c>
      <c r="J4299">
        <v>17</v>
      </c>
      <c r="K4299">
        <v>132</v>
      </c>
    </row>
    <row r="4300" spans="1:11" x14ac:dyDescent="0.2">
      <c r="A4300" t="s">
        <v>4370</v>
      </c>
      <c r="B4300">
        <v>0</v>
      </c>
      <c r="C4300">
        <v>0</v>
      </c>
      <c r="D4300">
        <v>0</v>
      </c>
      <c r="E4300">
        <v>0</v>
      </c>
      <c r="F4300">
        <v>6</v>
      </c>
      <c r="G4300">
        <v>1899</v>
      </c>
      <c r="H4300">
        <v>250</v>
      </c>
      <c r="I4300">
        <v>0</v>
      </c>
      <c r="J4300">
        <v>15</v>
      </c>
      <c r="K4300">
        <v>436</v>
      </c>
    </row>
    <row r="4301" spans="1:11" x14ac:dyDescent="0.2">
      <c r="A4301" t="s">
        <v>4371</v>
      </c>
      <c r="B4301">
        <v>0</v>
      </c>
      <c r="C4301">
        <v>0</v>
      </c>
      <c r="D4301">
        <v>0</v>
      </c>
      <c r="E4301">
        <v>0</v>
      </c>
      <c r="F4301">
        <v>5</v>
      </c>
      <c r="G4301">
        <v>1462</v>
      </c>
      <c r="H4301">
        <v>206</v>
      </c>
      <c r="I4301">
        <v>0</v>
      </c>
      <c r="J4301">
        <v>2</v>
      </c>
      <c r="K4301">
        <v>59</v>
      </c>
    </row>
    <row r="4302" spans="1:11" x14ac:dyDescent="0.2">
      <c r="A4302" t="s">
        <v>4372</v>
      </c>
      <c r="B4302">
        <v>0</v>
      </c>
      <c r="C4302">
        <v>0</v>
      </c>
      <c r="D4302">
        <v>0</v>
      </c>
      <c r="E4302">
        <v>0</v>
      </c>
      <c r="F4302">
        <v>0</v>
      </c>
      <c r="G4302">
        <v>0</v>
      </c>
      <c r="H4302">
        <v>0</v>
      </c>
      <c r="I4302">
        <v>0</v>
      </c>
      <c r="J4302">
        <v>0</v>
      </c>
      <c r="K4302">
        <v>0</v>
      </c>
    </row>
    <row r="4303" spans="1:11" x14ac:dyDescent="0.2">
      <c r="A4303" t="s">
        <v>4373</v>
      </c>
      <c r="B4303">
        <v>0</v>
      </c>
      <c r="C4303">
        <v>0</v>
      </c>
      <c r="D4303">
        <v>0</v>
      </c>
      <c r="E4303">
        <v>0</v>
      </c>
      <c r="F4303">
        <v>0</v>
      </c>
      <c r="G4303">
        <v>6</v>
      </c>
      <c r="H4303">
        <v>7</v>
      </c>
      <c r="I4303">
        <v>0</v>
      </c>
      <c r="J4303">
        <v>3</v>
      </c>
      <c r="K4303">
        <v>9</v>
      </c>
    </row>
    <row r="4304" spans="1:11" x14ac:dyDescent="0.2">
      <c r="A4304" t="s">
        <v>4374</v>
      </c>
      <c r="B4304">
        <v>0</v>
      </c>
      <c r="C4304">
        <v>0</v>
      </c>
      <c r="D4304">
        <v>0</v>
      </c>
      <c r="E4304">
        <v>0</v>
      </c>
      <c r="F4304">
        <v>0</v>
      </c>
      <c r="G4304">
        <v>12</v>
      </c>
      <c r="H4304">
        <v>15</v>
      </c>
      <c r="I4304">
        <v>0</v>
      </c>
      <c r="J4304">
        <v>2</v>
      </c>
      <c r="K4304">
        <v>7</v>
      </c>
    </row>
    <row r="4305" spans="1:11" x14ac:dyDescent="0.2">
      <c r="A4305" t="s">
        <v>4375</v>
      </c>
      <c r="B4305">
        <v>0</v>
      </c>
      <c r="C4305">
        <v>0</v>
      </c>
      <c r="D4305">
        <v>0</v>
      </c>
      <c r="E4305">
        <v>0</v>
      </c>
      <c r="F4305">
        <v>1</v>
      </c>
      <c r="G4305">
        <v>20</v>
      </c>
      <c r="H4305">
        <v>23</v>
      </c>
      <c r="I4305">
        <v>0</v>
      </c>
      <c r="J4305">
        <v>1</v>
      </c>
      <c r="K4305">
        <v>4</v>
      </c>
    </row>
    <row r="4306" spans="1:11" x14ac:dyDescent="0.2">
      <c r="A4306" t="s">
        <v>4376</v>
      </c>
      <c r="B4306">
        <v>0</v>
      </c>
      <c r="C4306">
        <v>0</v>
      </c>
      <c r="D4306">
        <v>0</v>
      </c>
      <c r="E4306">
        <v>0</v>
      </c>
      <c r="F4306">
        <v>0</v>
      </c>
      <c r="G4306">
        <v>2</v>
      </c>
      <c r="H4306">
        <v>2</v>
      </c>
      <c r="I4306">
        <v>0</v>
      </c>
      <c r="J4306">
        <v>0</v>
      </c>
      <c r="K4306">
        <v>1</v>
      </c>
    </row>
    <row r="4307" spans="1:11" x14ac:dyDescent="0.2">
      <c r="A4307" t="s">
        <v>4377</v>
      </c>
      <c r="B4307">
        <v>0</v>
      </c>
      <c r="C4307">
        <v>0</v>
      </c>
      <c r="D4307">
        <v>0</v>
      </c>
      <c r="E4307">
        <v>0</v>
      </c>
      <c r="F4307">
        <v>0</v>
      </c>
      <c r="G4307">
        <v>17</v>
      </c>
      <c r="H4307">
        <v>21</v>
      </c>
      <c r="I4307">
        <v>0</v>
      </c>
      <c r="J4307">
        <v>5</v>
      </c>
      <c r="K4307">
        <v>16</v>
      </c>
    </row>
    <row r="4308" spans="1:11" x14ac:dyDescent="0.2">
      <c r="A4308" t="s">
        <v>4854</v>
      </c>
      <c r="B4308">
        <v>13</v>
      </c>
      <c r="C4308">
        <v>28</v>
      </c>
      <c r="D4308">
        <v>3</v>
      </c>
      <c r="E4308">
        <v>0</v>
      </c>
      <c r="F4308">
        <v>66</v>
      </c>
      <c r="G4308">
        <v>7531</v>
      </c>
      <c r="H4308">
        <v>2928</v>
      </c>
      <c r="I4308">
        <v>0</v>
      </c>
      <c r="J4308">
        <v>220</v>
      </c>
      <c r="K4308">
        <v>2023</v>
      </c>
    </row>
    <row r="4309" spans="1:11" x14ac:dyDescent="0.2">
      <c r="A4309" t="s">
        <v>2318</v>
      </c>
      <c r="B4309" t="s">
        <v>4399</v>
      </c>
      <c r="C4309" t="s">
        <v>4399</v>
      </c>
      <c r="D4309" t="s">
        <v>4399</v>
      </c>
      <c r="E4309" t="s">
        <v>4399</v>
      </c>
      <c r="F4309" t="s">
        <v>4399</v>
      </c>
      <c r="G4309" t="s">
        <v>4399</v>
      </c>
      <c r="H4309" t="s">
        <v>4399</v>
      </c>
      <c r="I4309" t="s">
        <v>4399</v>
      </c>
      <c r="J4309" t="s">
        <v>4399</v>
      </c>
      <c r="K4309" t="s">
        <v>4399</v>
      </c>
    </row>
    <row r="4310" spans="1:11" x14ac:dyDescent="0.2">
      <c r="A4310" t="s">
        <v>4248</v>
      </c>
    </row>
    <row r="4311" spans="1:11" x14ac:dyDescent="0.2">
      <c r="A4311" t="s">
        <v>4855</v>
      </c>
      <c r="B4311" t="s">
        <v>4856</v>
      </c>
      <c r="C4311" t="s">
        <v>4857</v>
      </c>
      <c r="D4311" t="s">
        <v>4858</v>
      </c>
      <c r="E4311" t="s">
        <v>4859</v>
      </c>
      <c r="F4311" t="s">
        <v>4860</v>
      </c>
      <c r="G4311" t="s">
        <v>4881</v>
      </c>
    </row>
    <row r="4312" spans="1:11" x14ac:dyDescent="0.2">
      <c r="A4312" t="s">
        <v>2318</v>
      </c>
      <c r="B4312" t="s">
        <v>4399</v>
      </c>
      <c r="C4312" t="s">
        <v>4399</v>
      </c>
      <c r="D4312" t="s">
        <v>4399</v>
      </c>
      <c r="E4312" t="s">
        <v>4399</v>
      </c>
      <c r="F4312" t="s">
        <v>4399</v>
      </c>
      <c r="G4312" t="s">
        <v>4399</v>
      </c>
      <c r="H4312" t="s">
        <v>4399</v>
      </c>
      <c r="I4312" t="s">
        <v>4399</v>
      </c>
      <c r="J4312" t="s">
        <v>4399</v>
      </c>
      <c r="K4312" t="s">
        <v>4399</v>
      </c>
    </row>
    <row r="4313" spans="1:11" x14ac:dyDescent="0.2">
      <c r="A4313" t="s">
        <v>126</v>
      </c>
      <c r="B4313" t="s">
        <v>4732</v>
      </c>
      <c r="C4313" t="s">
        <v>4736</v>
      </c>
      <c r="D4313" t="s">
        <v>4740</v>
      </c>
      <c r="E4313" t="s">
        <v>4744</v>
      </c>
      <c r="F4313" t="s">
        <v>4747</v>
      </c>
      <c r="G4313" t="s">
        <v>4750</v>
      </c>
      <c r="H4313" t="s">
        <v>4754</v>
      </c>
      <c r="I4313" t="s">
        <v>4758</v>
      </c>
      <c r="J4313" t="s">
        <v>4761</v>
      </c>
      <c r="K4313" t="s">
        <v>4764</v>
      </c>
    </row>
    <row r="4314" spans="1:11" x14ac:dyDescent="0.2">
      <c r="A4314" t="s">
        <v>2318</v>
      </c>
      <c r="B4314" t="s">
        <v>4399</v>
      </c>
      <c r="C4314" t="s">
        <v>4399</v>
      </c>
      <c r="D4314" t="s">
        <v>4399</v>
      </c>
      <c r="E4314" t="s">
        <v>4399</v>
      </c>
      <c r="F4314" t="s">
        <v>4399</v>
      </c>
      <c r="G4314" t="s">
        <v>4399</v>
      </c>
      <c r="H4314" t="s">
        <v>4399</v>
      </c>
      <c r="I4314" t="s">
        <v>4399</v>
      </c>
      <c r="J4314" t="s">
        <v>4399</v>
      </c>
      <c r="K4314" t="s">
        <v>4399</v>
      </c>
    </row>
    <row r="4315" spans="1:11" x14ac:dyDescent="0.2">
      <c r="A4315" t="s">
        <v>4265</v>
      </c>
      <c r="B4315">
        <v>0</v>
      </c>
      <c r="C4315">
        <v>0</v>
      </c>
      <c r="D4315">
        <v>0</v>
      </c>
      <c r="E4315">
        <v>0</v>
      </c>
      <c r="F4315">
        <v>0</v>
      </c>
      <c r="G4315">
        <v>0</v>
      </c>
      <c r="H4315">
        <v>0</v>
      </c>
      <c r="I4315">
        <v>0</v>
      </c>
      <c r="J4315">
        <v>0</v>
      </c>
      <c r="K4315">
        <v>0</v>
      </c>
    </row>
    <row r="4316" spans="1:11" x14ac:dyDescent="0.2">
      <c r="A4316" t="s">
        <v>4266</v>
      </c>
      <c r="B4316">
        <v>0</v>
      </c>
      <c r="C4316">
        <v>0</v>
      </c>
      <c r="D4316">
        <v>0</v>
      </c>
      <c r="E4316">
        <v>0</v>
      </c>
      <c r="F4316">
        <v>0</v>
      </c>
      <c r="G4316">
        <v>0</v>
      </c>
      <c r="H4316">
        <v>0</v>
      </c>
      <c r="I4316">
        <v>0</v>
      </c>
      <c r="J4316">
        <v>0</v>
      </c>
      <c r="K4316">
        <v>0</v>
      </c>
    </row>
    <row r="4317" spans="1:11" x14ac:dyDescent="0.2">
      <c r="A4317" t="s">
        <v>4267</v>
      </c>
      <c r="B4317">
        <v>0</v>
      </c>
      <c r="C4317">
        <v>0</v>
      </c>
      <c r="D4317">
        <v>0</v>
      </c>
      <c r="E4317">
        <v>0</v>
      </c>
      <c r="F4317">
        <v>0</v>
      </c>
      <c r="G4317">
        <v>0</v>
      </c>
      <c r="H4317">
        <v>0</v>
      </c>
      <c r="I4317">
        <v>0</v>
      </c>
      <c r="J4317">
        <v>0</v>
      </c>
      <c r="K4317">
        <v>0</v>
      </c>
    </row>
    <row r="4318" spans="1:11" x14ac:dyDescent="0.2">
      <c r="A4318" t="s">
        <v>4268</v>
      </c>
      <c r="B4318">
        <v>0</v>
      </c>
      <c r="C4318">
        <v>0</v>
      </c>
      <c r="D4318">
        <v>0</v>
      </c>
      <c r="E4318">
        <v>0</v>
      </c>
      <c r="F4318">
        <v>0</v>
      </c>
      <c r="G4318">
        <v>0</v>
      </c>
      <c r="H4318">
        <v>0</v>
      </c>
      <c r="I4318">
        <v>0</v>
      </c>
      <c r="J4318">
        <v>0</v>
      </c>
      <c r="K4318">
        <v>0</v>
      </c>
    </row>
    <row r="4319" spans="1:11" x14ac:dyDescent="0.2">
      <c r="A4319" t="s">
        <v>4269</v>
      </c>
      <c r="B4319">
        <v>0</v>
      </c>
      <c r="C4319">
        <v>0</v>
      </c>
      <c r="D4319">
        <v>0</v>
      </c>
      <c r="E4319">
        <v>0</v>
      </c>
      <c r="F4319">
        <v>0</v>
      </c>
      <c r="G4319">
        <v>0</v>
      </c>
      <c r="H4319">
        <v>0</v>
      </c>
      <c r="I4319">
        <v>0</v>
      </c>
      <c r="J4319">
        <v>0</v>
      </c>
      <c r="K4319">
        <v>0</v>
      </c>
    </row>
    <row r="4320" spans="1:11" x14ac:dyDescent="0.2">
      <c r="A4320" t="s">
        <v>4270</v>
      </c>
      <c r="B4320">
        <v>0</v>
      </c>
      <c r="C4320">
        <v>0</v>
      </c>
      <c r="D4320">
        <v>0</v>
      </c>
      <c r="E4320">
        <v>0</v>
      </c>
      <c r="F4320">
        <v>0</v>
      </c>
      <c r="G4320">
        <v>0</v>
      </c>
      <c r="H4320">
        <v>0</v>
      </c>
      <c r="I4320">
        <v>0</v>
      </c>
      <c r="J4320">
        <v>0</v>
      </c>
      <c r="K4320">
        <v>0</v>
      </c>
    </row>
    <row r="4321" spans="1:11" x14ac:dyDescent="0.2">
      <c r="A4321" t="s">
        <v>4271</v>
      </c>
      <c r="B4321">
        <v>0</v>
      </c>
      <c r="C4321">
        <v>0</v>
      </c>
      <c r="D4321">
        <v>0</v>
      </c>
      <c r="E4321">
        <v>0</v>
      </c>
      <c r="F4321">
        <v>0</v>
      </c>
      <c r="G4321">
        <v>0</v>
      </c>
      <c r="H4321">
        <v>0</v>
      </c>
      <c r="I4321">
        <v>0</v>
      </c>
      <c r="J4321">
        <v>0</v>
      </c>
      <c r="K4321">
        <v>0</v>
      </c>
    </row>
    <row r="4322" spans="1:11" x14ac:dyDescent="0.2">
      <c r="A4322" t="s">
        <v>4272</v>
      </c>
      <c r="B4322">
        <v>0</v>
      </c>
      <c r="C4322">
        <v>0</v>
      </c>
      <c r="D4322">
        <v>0</v>
      </c>
      <c r="E4322">
        <v>0</v>
      </c>
      <c r="F4322">
        <v>0</v>
      </c>
      <c r="G4322">
        <v>0</v>
      </c>
      <c r="H4322">
        <v>0</v>
      </c>
      <c r="I4322">
        <v>0</v>
      </c>
      <c r="J4322">
        <v>0</v>
      </c>
      <c r="K4322">
        <v>0</v>
      </c>
    </row>
    <row r="4323" spans="1:11" x14ac:dyDescent="0.2">
      <c r="A4323" t="s">
        <v>4273</v>
      </c>
      <c r="B4323">
        <v>0</v>
      </c>
      <c r="C4323">
        <v>0</v>
      </c>
      <c r="D4323">
        <v>0</v>
      </c>
      <c r="E4323">
        <v>0</v>
      </c>
      <c r="F4323">
        <v>0</v>
      </c>
      <c r="G4323">
        <v>0</v>
      </c>
      <c r="H4323">
        <v>0</v>
      </c>
      <c r="I4323">
        <v>0</v>
      </c>
      <c r="J4323">
        <v>0</v>
      </c>
      <c r="K4323">
        <v>0</v>
      </c>
    </row>
    <row r="4324" spans="1:11" x14ac:dyDescent="0.2">
      <c r="A4324" t="s">
        <v>4274</v>
      </c>
      <c r="B4324">
        <v>0</v>
      </c>
      <c r="C4324">
        <v>0</v>
      </c>
      <c r="D4324">
        <v>0</v>
      </c>
      <c r="E4324">
        <v>0</v>
      </c>
      <c r="F4324">
        <v>0</v>
      </c>
      <c r="G4324">
        <v>0</v>
      </c>
      <c r="H4324">
        <v>0</v>
      </c>
      <c r="I4324">
        <v>0</v>
      </c>
      <c r="J4324">
        <v>0</v>
      </c>
      <c r="K4324">
        <v>0</v>
      </c>
    </row>
    <row r="4325" spans="1:11" x14ac:dyDescent="0.2">
      <c r="A4325" t="s">
        <v>4275</v>
      </c>
      <c r="B4325">
        <v>0</v>
      </c>
      <c r="C4325">
        <v>0</v>
      </c>
      <c r="D4325">
        <v>0</v>
      </c>
      <c r="E4325">
        <v>0</v>
      </c>
      <c r="F4325">
        <v>0</v>
      </c>
      <c r="G4325">
        <v>0</v>
      </c>
      <c r="H4325">
        <v>0</v>
      </c>
      <c r="I4325">
        <v>0</v>
      </c>
      <c r="J4325">
        <v>0</v>
      </c>
      <c r="K4325">
        <v>0</v>
      </c>
    </row>
    <row r="4326" spans="1:11" x14ac:dyDescent="0.2">
      <c r="A4326" t="s">
        <v>4276</v>
      </c>
      <c r="B4326">
        <v>0</v>
      </c>
      <c r="C4326">
        <v>0</v>
      </c>
      <c r="D4326">
        <v>0</v>
      </c>
      <c r="E4326">
        <v>0</v>
      </c>
      <c r="F4326">
        <v>0</v>
      </c>
      <c r="G4326">
        <v>0</v>
      </c>
      <c r="H4326">
        <v>0</v>
      </c>
      <c r="I4326">
        <v>0</v>
      </c>
      <c r="J4326">
        <v>0</v>
      </c>
      <c r="K4326">
        <v>0</v>
      </c>
    </row>
    <row r="4327" spans="1:11" x14ac:dyDescent="0.2">
      <c r="A4327" t="s">
        <v>4277</v>
      </c>
      <c r="B4327">
        <v>0</v>
      </c>
      <c r="C4327">
        <v>0</v>
      </c>
      <c r="D4327">
        <v>0</v>
      </c>
      <c r="E4327">
        <v>0</v>
      </c>
      <c r="F4327">
        <v>0</v>
      </c>
      <c r="G4327">
        <v>0</v>
      </c>
      <c r="H4327">
        <v>0</v>
      </c>
      <c r="I4327">
        <v>0</v>
      </c>
      <c r="J4327">
        <v>0</v>
      </c>
      <c r="K4327">
        <v>0</v>
      </c>
    </row>
    <row r="4328" spans="1:11" x14ac:dyDescent="0.2">
      <c r="A4328" t="s">
        <v>4278</v>
      </c>
      <c r="B4328">
        <v>0</v>
      </c>
      <c r="C4328">
        <v>0</v>
      </c>
      <c r="D4328">
        <v>0</v>
      </c>
      <c r="E4328">
        <v>0</v>
      </c>
      <c r="F4328">
        <v>0</v>
      </c>
      <c r="G4328">
        <v>0</v>
      </c>
      <c r="H4328">
        <v>0</v>
      </c>
      <c r="I4328">
        <v>0</v>
      </c>
      <c r="J4328">
        <v>0</v>
      </c>
      <c r="K4328">
        <v>0</v>
      </c>
    </row>
    <row r="4329" spans="1:11" x14ac:dyDescent="0.2">
      <c r="A4329" t="s">
        <v>4279</v>
      </c>
      <c r="B4329">
        <v>0</v>
      </c>
      <c r="C4329">
        <v>0</v>
      </c>
      <c r="D4329">
        <v>0</v>
      </c>
      <c r="E4329">
        <v>0</v>
      </c>
      <c r="F4329">
        <v>0</v>
      </c>
      <c r="G4329">
        <v>0</v>
      </c>
      <c r="H4329">
        <v>0</v>
      </c>
      <c r="I4329">
        <v>0</v>
      </c>
      <c r="J4329">
        <v>0</v>
      </c>
      <c r="K4329">
        <v>0</v>
      </c>
    </row>
    <row r="4330" spans="1:11" x14ac:dyDescent="0.2">
      <c r="A4330" t="s">
        <v>4280</v>
      </c>
      <c r="B4330">
        <v>0</v>
      </c>
      <c r="C4330">
        <v>0</v>
      </c>
      <c r="D4330">
        <v>0</v>
      </c>
      <c r="E4330">
        <v>0</v>
      </c>
      <c r="F4330">
        <v>0</v>
      </c>
      <c r="G4330">
        <v>0</v>
      </c>
      <c r="H4330">
        <v>0</v>
      </c>
      <c r="I4330">
        <v>0</v>
      </c>
      <c r="J4330">
        <v>0</v>
      </c>
      <c r="K4330">
        <v>0</v>
      </c>
    </row>
    <row r="4331" spans="1:11" x14ac:dyDescent="0.2">
      <c r="A4331" t="s">
        <v>4281</v>
      </c>
      <c r="B4331">
        <v>3</v>
      </c>
      <c r="C4331">
        <v>0</v>
      </c>
      <c r="D4331">
        <v>0</v>
      </c>
      <c r="E4331">
        <v>0</v>
      </c>
      <c r="F4331">
        <v>0</v>
      </c>
      <c r="G4331">
        <v>0</v>
      </c>
      <c r="H4331">
        <v>0</v>
      </c>
      <c r="I4331">
        <v>0</v>
      </c>
      <c r="J4331">
        <v>1</v>
      </c>
      <c r="K4331">
        <v>0</v>
      </c>
    </row>
    <row r="4332" spans="1:11" x14ac:dyDescent="0.2">
      <c r="A4332" t="s">
        <v>4282</v>
      </c>
      <c r="B4332">
        <v>5</v>
      </c>
      <c r="C4332">
        <v>0</v>
      </c>
      <c r="D4332">
        <v>0</v>
      </c>
      <c r="E4332">
        <v>1</v>
      </c>
      <c r="F4332">
        <v>3</v>
      </c>
      <c r="G4332">
        <v>0</v>
      </c>
      <c r="H4332">
        <v>0</v>
      </c>
      <c r="I4332">
        <v>1</v>
      </c>
      <c r="J4332">
        <v>2</v>
      </c>
      <c r="K4332">
        <v>0</v>
      </c>
    </row>
    <row r="4333" spans="1:11" x14ac:dyDescent="0.2">
      <c r="A4333" t="s">
        <v>4283</v>
      </c>
      <c r="B4333">
        <v>1</v>
      </c>
      <c r="C4333">
        <v>0</v>
      </c>
      <c r="D4333">
        <v>0</v>
      </c>
      <c r="E4333">
        <v>0</v>
      </c>
      <c r="F4333">
        <v>0</v>
      </c>
      <c r="G4333">
        <v>0</v>
      </c>
      <c r="H4333">
        <v>0</v>
      </c>
      <c r="I4333">
        <v>0</v>
      </c>
      <c r="J4333">
        <v>0</v>
      </c>
      <c r="K4333">
        <v>0</v>
      </c>
    </row>
    <row r="4334" spans="1:11" x14ac:dyDescent="0.2">
      <c r="A4334" t="s">
        <v>4284</v>
      </c>
      <c r="B4334">
        <v>0</v>
      </c>
      <c r="C4334">
        <v>0</v>
      </c>
      <c r="D4334">
        <v>0</v>
      </c>
      <c r="E4334">
        <v>0</v>
      </c>
      <c r="F4334">
        <v>0</v>
      </c>
      <c r="G4334">
        <v>0</v>
      </c>
      <c r="H4334">
        <v>0</v>
      </c>
      <c r="I4334">
        <v>0</v>
      </c>
      <c r="J4334">
        <v>0</v>
      </c>
      <c r="K4334">
        <v>0</v>
      </c>
    </row>
    <row r="4335" spans="1:11" x14ac:dyDescent="0.2">
      <c r="A4335" t="s">
        <v>4285</v>
      </c>
      <c r="B4335">
        <v>2</v>
      </c>
      <c r="C4335">
        <v>0</v>
      </c>
      <c r="D4335">
        <v>0</v>
      </c>
      <c r="E4335">
        <v>0</v>
      </c>
      <c r="F4335">
        <v>0</v>
      </c>
      <c r="G4335">
        <v>0</v>
      </c>
      <c r="H4335">
        <v>0</v>
      </c>
      <c r="I4335">
        <v>0</v>
      </c>
      <c r="J4335">
        <v>0</v>
      </c>
      <c r="K4335">
        <v>0</v>
      </c>
    </row>
    <row r="4336" spans="1:11" x14ac:dyDescent="0.2">
      <c r="A4336" t="s">
        <v>4286</v>
      </c>
      <c r="B4336">
        <v>0</v>
      </c>
      <c r="C4336">
        <v>0</v>
      </c>
      <c r="D4336">
        <v>0</v>
      </c>
      <c r="E4336">
        <v>0</v>
      </c>
      <c r="F4336">
        <v>0</v>
      </c>
      <c r="G4336">
        <v>0</v>
      </c>
      <c r="H4336">
        <v>0</v>
      </c>
      <c r="I4336">
        <v>0</v>
      </c>
      <c r="J4336">
        <v>0</v>
      </c>
      <c r="K4336">
        <v>0</v>
      </c>
    </row>
    <row r="4337" spans="1:11" x14ac:dyDescent="0.2">
      <c r="A4337" t="s">
        <v>4287</v>
      </c>
      <c r="B4337">
        <v>0</v>
      </c>
      <c r="C4337">
        <v>0</v>
      </c>
      <c r="D4337">
        <v>0</v>
      </c>
      <c r="E4337">
        <v>0</v>
      </c>
      <c r="F4337">
        <v>0</v>
      </c>
      <c r="G4337">
        <v>0</v>
      </c>
      <c r="H4337">
        <v>0</v>
      </c>
      <c r="I4337">
        <v>0</v>
      </c>
      <c r="J4337">
        <v>0</v>
      </c>
      <c r="K4337">
        <v>0</v>
      </c>
    </row>
    <row r="4338" spans="1:11" x14ac:dyDescent="0.2">
      <c r="A4338" t="s">
        <v>4288</v>
      </c>
      <c r="B4338">
        <v>0</v>
      </c>
      <c r="C4338">
        <v>0</v>
      </c>
      <c r="D4338">
        <v>0</v>
      </c>
      <c r="E4338">
        <v>0</v>
      </c>
      <c r="F4338">
        <v>0</v>
      </c>
      <c r="G4338">
        <v>0</v>
      </c>
      <c r="H4338">
        <v>0</v>
      </c>
      <c r="I4338">
        <v>0</v>
      </c>
      <c r="J4338">
        <v>0</v>
      </c>
      <c r="K4338">
        <v>0</v>
      </c>
    </row>
    <row r="4339" spans="1:11" x14ac:dyDescent="0.2">
      <c r="A4339" t="s">
        <v>4289</v>
      </c>
      <c r="B4339">
        <v>0</v>
      </c>
      <c r="C4339">
        <v>0</v>
      </c>
      <c r="D4339">
        <v>0</v>
      </c>
      <c r="E4339">
        <v>0</v>
      </c>
      <c r="F4339">
        <v>0</v>
      </c>
      <c r="G4339">
        <v>0</v>
      </c>
      <c r="H4339">
        <v>0</v>
      </c>
      <c r="I4339">
        <v>0</v>
      </c>
      <c r="J4339">
        <v>0</v>
      </c>
      <c r="K4339">
        <v>0</v>
      </c>
    </row>
    <row r="4340" spans="1:11" x14ac:dyDescent="0.2">
      <c r="A4340" t="s">
        <v>4290</v>
      </c>
      <c r="B4340">
        <v>0</v>
      </c>
      <c r="C4340">
        <v>0</v>
      </c>
      <c r="D4340">
        <v>0</v>
      </c>
      <c r="E4340">
        <v>0</v>
      </c>
      <c r="F4340">
        <v>0</v>
      </c>
      <c r="G4340">
        <v>0</v>
      </c>
      <c r="H4340">
        <v>0</v>
      </c>
      <c r="I4340">
        <v>0</v>
      </c>
      <c r="J4340">
        <v>0</v>
      </c>
      <c r="K4340">
        <v>0</v>
      </c>
    </row>
    <row r="4341" spans="1:11" x14ac:dyDescent="0.2">
      <c r="A4341" t="s">
        <v>4291</v>
      </c>
      <c r="B4341">
        <v>0</v>
      </c>
      <c r="C4341">
        <v>0</v>
      </c>
      <c r="D4341">
        <v>0</v>
      </c>
      <c r="E4341">
        <v>0</v>
      </c>
      <c r="F4341">
        <v>0</v>
      </c>
      <c r="G4341">
        <v>0</v>
      </c>
      <c r="H4341">
        <v>0</v>
      </c>
      <c r="I4341">
        <v>0</v>
      </c>
      <c r="J4341">
        <v>0</v>
      </c>
      <c r="K4341">
        <v>0</v>
      </c>
    </row>
    <row r="4342" spans="1:11" x14ac:dyDescent="0.2">
      <c r="A4342" t="s">
        <v>4292</v>
      </c>
      <c r="B4342">
        <v>0</v>
      </c>
      <c r="C4342">
        <v>0</v>
      </c>
      <c r="D4342">
        <v>0</v>
      </c>
      <c r="E4342">
        <v>0</v>
      </c>
      <c r="F4342">
        <v>0</v>
      </c>
      <c r="G4342">
        <v>0</v>
      </c>
      <c r="H4342">
        <v>0</v>
      </c>
      <c r="I4342">
        <v>0</v>
      </c>
      <c r="J4342">
        <v>0</v>
      </c>
      <c r="K4342">
        <v>0</v>
      </c>
    </row>
    <row r="4343" spans="1:11" x14ac:dyDescent="0.2">
      <c r="A4343" t="s">
        <v>4293</v>
      </c>
      <c r="B4343">
        <v>0</v>
      </c>
      <c r="C4343">
        <v>0</v>
      </c>
      <c r="D4343">
        <v>0</v>
      </c>
      <c r="E4343">
        <v>0</v>
      </c>
      <c r="F4343">
        <v>0</v>
      </c>
      <c r="G4343">
        <v>0</v>
      </c>
      <c r="H4343">
        <v>0</v>
      </c>
      <c r="I4343">
        <v>0</v>
      </c>
      <c r="J4343">
        <v>0</v>
      </c>
      <c r="K4343">
        <v>0</v>
      </c>
    </row>
    <row r="4344" spans="1:11" x14ac:dyDescent="0.2">
      <c r="A4344" t="s">
        <v>4294</v>
      </c>
      <c r="B4344">
        <v>0</v>
      </c>
      <c r="C4344">
        <v>0</v>
      </c>
      <c r="D4344">
        <v>0</v>
      </c>
      <c r="E4344">
        <v>0</v>
      </c>
      <c r="F4344">
        <v>0</v>
      </c>
      <c r="G4344">
        <v>0</v>
      </c>
      <c r="H4344">
        <v>0</v>
      </c>
      <c r="I4344">
        <v>0</v>
      </c>
      <c r="J4344">
        <v>0</v>
      </c>
      <c r="K4344">
        <v>0</v>
      </c>
    </row>
    <row r="4345" spans="1:11" x14ac:dyDescent="0.2">
      <c r="A4345" t="s">
        <v>4295</v>
      </c>
      <c r="B4345">
        <v>0</v>
      </c>
      <c r="C4345">
        <v>0</v>
      </c>
      <c r="D4345">
        <v>0</v>
      </c>
      <c r="E4345">
        <v>0</v>
      </c>
      <c r="F4345">
        <v>0</v>
      </c>
      <c r="G4345">
        <v>0</v>
      </c>
      <c r="H4345">
        <v>0</v>
      </c>
      <c r="I4345">
        <v>0</v>
      </c>
      <c r="J4345">
        <v>0</v>
      </c>
      <c r="K4345">
        <v>0</v>
      </c>
    </row>
    <row r="4346" spans="1:11" x14ac:dyDescent="0.2">
      <c r="A4346" t="s">
        <v>4296</v>
      </c>
      <c r="B4346">
        <v>0</v>
      </c>
      <c r="C4346">
        <v>0</v>
      </c>
      <c r="D4346">
        <v>0</v>
      </c>
      <c r="E4346">
        <v>0</v>
      </c>
      <c r="F4346">
        <v>0</v>
      </c>
      <c r="G4346">
        <v>0</v>
      </c>
      <c r="H4346">
        <v>0</v>
      </c>
      <c r="I4346">
        <v>0</v>
      </c>
      <c r="J4346">
        <v>0</v>
      </c>
      <c r="K4346">
        <v>0</v>
      </c>
    </row>
    <row r="4347" spans="1:11" x14ac:dyDescent="0.2">
      <c r="A4347" t="s">
        <v>4297</v>
      </c>
      <c r="B4347">
        <v>1</v>
      </c>
      <c r="C4347">
        <v>0</v>
      </c>
      <c r="D4347">
        <v>0</v>
      </c>
      <c r="E4347">
        <v>1</v>
      </c>
      <c r="F4347">
        <v>1</v>
      </c>
      <c r="G4347">
        <v>0</v>
      </c>
      <c r="H4347">
        <v>0</v>
      </c>
      <c r="I4347">
        <v>5</v>
      </c>
      <c r="J4347">
        <v>8</v>
      </c>
      <c r="K4347">
        <v>0</v>
      </c>
    </row>
    <row r="4348" spans="1:11" x14ac:dyDescent="0.2">
      <c r="A4348" t="s">
        <v>4298</v>
      </c>
      <c r="B4348">
        <v>0</v>
      </c>
      <c r="C4348">
        <v>0</v>
      </c>
      <c r="D4348">
        <v>0</v>
      </c>
      <c r="E4348">
        <v>0</v>
      </c>
      <c r="F4348">
        <v>0</v>
      </c>
      <c r="G4348">
        <v>0</v>
      </c>
      <c r="H4348">
        <v>0</v>
      </c>
      <c r="I4348">
        <v>0</v>
      </c>
      <c r="J4348">
        <v>0</v>
      </c>
      <c r="K4348">
        <v>0</v>
      </c>
    </row>
    <row r="4349" spans="1:11" x14ac:dyDescent="0.2">
      <c r="A4349" t="s">
        <v>4299</v>
      </c>
      <c r="B4349">
        <v>0</v>
      </c>
      <c r="C4349">
        <v>0</v>
      </c>
      <c r="D4349">
        <v>0</v>
      </c>
      <c r="E4349">
        <v>0</v>
      </c>
      <c r="F4349">
        <v>0</v>
      </c>
      <c r="G4349">
        <v>0</v>
      </c>
      <c r="H4349">
        <v>0</v>
      </c>
      <c r="I4349">
        <v>2</v>
      </c>
      <c r="J4349">
        <v>5</v>
      </c>
      <c r="K4349">
        <v>0</v>
      </c>
    </row>
    <row r="4350" spans="1:11" x14ac:dyDescent="0.2">
      <c r="A4350" t="s">
        <v>4300</v>
      </c>
      <c r="B4350">
        <v>0</v>
      </c>
      <c r="C4350">
        <v>0</v>
      </c>
      <c r="D4350">
        <v>0</v>
      </c>
      <c r="E4350">
        <v>0</v>
      </c>
      <c r="F4350">
        <v>0</v>
      </c>
      <c r="G4350">
        <v>0</v>
      </c>
      <c r="H4350">
        <v>0</v>
      </c>
      <c r="I4350">
        <v>0</v>
      </c>
      <c r="J4350">
        <v>0</v>
      </c>
      <c r="K4350">
        <v>0</v>
      </c>
    </row>
    <row r="4351" spans="1:11" x14ac:dyDescent="0.2">
      <c r="A4351" t="s">
        <v>4301</v>
      </c>
      <c r="B4351">
        <v>13</v>
      </c>
      <c r="C4351">
        <v>0</v>
      </c>
      <c r="D4351">
        <v>0</v>
      </c>
      <c r="E4351">
        <v>1</v>
      </c>
      <c r="F4351">
        <v>1</v>
      </c>
      <c r="G4351">
        <v>0</v>
      </c>
      <c r="H4351">
        <v>0</v>
      </c>
      <c r="I4351">
        <v>9</v>
      </c>
      <c r="J4351">
        <v>13</v>
      </c>
      <c r="K4351">
        <v>0</v>
      </c>
    </row>
    <row r="4352" spans="1:11" x14ac:dyDescent="0.2">
      <c r="A4352" t="s">
        <v>4302</v>
      </c>
      <c r="B4352">
        <v>3</v>
      </c>
      <c r="C4352">
        <v>0</v>
      </c>
      <c r="D4352">
        <v>0</v>
      </c>
      <c r="E4352">
        <v>0</v>
      </c>
      <c r="F4352">
        <v>1</v>
      </c>
      <c r="G4352">
        <v>0</v>
      </c>
      <c r="H4352">
        <v>0</v>
      </c>
      <c r="I4352">
        <v>4</v>
      </c>
      <c r="J4352">
        <v>10</v>
      </c>
      <c r="K4352">
        <v>0</v>
      </c>
    </row>
    <row r="4353" spans="1:11" x14ac:dyDescent="0.2">
      <c r="A4353" t="s">
        <v>4303</v>
      </c>
      <c r="B4353">
        <v>14</v>
      </c>
      <c r="C4353">
        <v>0</v>
      </c>
      <c r="D4353">
        <v>0</v>
      </c>
      <c r="E4353">
        <v>0</v>
      </c>
      <c r="F4353">
        <v>2</v>
      </c>
      <c r="G4353">
        <v>0</v>
      </c>
      <c r="H4353">
        <v>0</v>
      </c>
      <c r="I4353">
        <v>5</v>
      </c>
      <c r="J4353">
        <v>35</v>
      </c>
      <c r="K4353">
        <v>0</v>
      </c>
    </row>
    <row r="4354" spans="1:11" x14ac:dyDescent="0.2">
      <c r="A4354" t="s">
        <v>4304</v>
      </c>
      <c r="B4354">
        <v>1</v>
      </c>
      <c r="C4354">
        <v>0</v>
      </c>
      <c r="D4354">
        <v>0</v>
      </c>
      <c r="E4354">
        <v>1</v>
      </c>
      <c r="F4354">
        <v>1</v>
      </c>
      <c r="G4354">
        <v>0</v>
      </c>
      <c r="H4354">
        <v>0</v>
      </c>
      <c r="I4354">
        <v>18</v>
      </c>
      <c r="J4354">
        <v>28</v>
      </c>
      <c r="K4354">
        <v>0</v>
      </c>
    </row>
    <row r="4355" spans="1:11" x14ac:dyDescent="0.2">
      <c r="A4355" t="s">
        <v>4305</v>
      </c>
      <c r="B4355">
        <v>59</v>
      </c>
      <c r="C4355">
        <v>0</v>
      </c>
      <c r="D4355">
        <v>0</v>
      </c>
      <c r="E4355">
        <v>1</v>
      </c>
      <c r="F4355">
        <v>1</v>
      </c>
      <c r="G4355">
        <v>0</v>
      </c>
      <c r="H4355">
        <v>0</v>
      </c>
      <c r="I4355">
        <v>29</v>
      </c>
      <c r="J4355">
        <v>43</v>
      </c>
      <c r="K4355">
        <v>0</v>
      </c>
    </row>
    <row r="4356" spans="1:11" x14ac:dyDescent="0.2">
      <c r="A4356" t="s">
        <v>4306</v>
      </c>
      <c r="B4356">
        <v>6</v>
      </c>
      <c r="C4356">
        <v>0</v>
      </c>
      <c r="D4356">
        <v>0</v>
      </c>
      <c r="E4356">
        <v>1</v>
      </c>
      <c r="F4356">
        <v>1</v>
      </c>
      <c r="G4356">
        <v>0</v>
      </c>
      <c r="H4356">
        <v>0</v>
      </c>
      <c r="I4356">
        <v>4</v>
      </c>
      <c r="J4356">
        <v>8</v>
      </c>
      <c r="K4356">
        <v>0</v>
      </c>
    </row>
    <row r="4357" spans="1:11" x14ac:dyDescent="0.2">
      <c r="A4357" t="s">
        <v>4307</v>
      </c>
      <c r="B4357">
        <v>214</v>
      </c>
      <c r="C4357">
        <v>0</v>
      </c>
      <c r="D4357">
        <v>0</v>
      </c>
      <c r="E4357">
        <v>4</v>
      </c>
      <c r="F4357">
        <v>22</v>
      </c>
      <c r="G4357">
        <v>0</v>
      </c>
      <c r="H4357">
        <v>0</v>
      </c>
      <c r="I4357">
        <v>29</v>
      </c>
      <c r="J4357">
        <v>202</v>
      </c>
      <c r="K4357">
        <v>0</v>
      </c>
    </row>
    <row r="4358" spans="1:11" x14ac:dyDescent="0.2">
      <c r="A4358" t="s">
        <v>4308</v>
      </c>
      <c r="B4358">
        <v>2</v>
      </c>
      <c r="C4358">
        <v>0</v>
      </c>
      <c r="D4358">
        <v>0</v>
      </c>
      <c r="E4358">
        <v>0</v>
      </c>
      <c r="F4358">
        <v>1</v>
      </c>
      <c r="G4358">
        <v>0</v>
      </c>
      <c r="H4358">
        <v>0</v>
      </c>
      <c r="I4358">
        <v>0</v>
      </c>
      <c r="J4358">
        <v>0</v>
      </c>
      <c r="K4358">
        <v>0</v>
      </c>
    </row>
    <row r="4359" spans="1:11" x14ac:dyDescent="0.2">
      <c r="A4359" t="s">
        <v>4309</v>
      </c>
      <c r="B4359">
        <v>0</v>
      </c>
      <c r="C4359">
        <v>0</v>
      </c>
      <c r="D4359">
        <v>0</v>
      </c>
      <c r="E4359">
        <v>0</v>
      </c>
      <c r="F4359">
        <v>0</v>
      </c>
      <c r="G4359">
        <v>0</v>
      </c>
      <c r="H4359">
        <v>0</v>
      </c>
      <c r="I4359">
        <v>0</v>
      </c>
      <c r="J4359">
        <v>0</v>
      </c>
      <c r="K4359">
        <v>0</v>
      </c>
    </row>
    <row r="4360" spans="1:11" x14ac:dyDescent="0.2">
      <c r="A4360" t="s">
        <v>4310</v>
      </c>
      <c r="B4360">
        <v>0</v>
      </c>
      <c r="C4360">
        <v>0</v>
      </c>
      <c r="D4360">
        <v>0</v>
      </c>
      <c r="E4360">
        <v>0</v>
      </c>
      <c r="F4360">
        <v>0</v>
      </c>
      <c r="G4360">
        <v>0</v>
      </c>
      <c r="H4360">
        <v>0</v>
      </c>
      <c r="I4360">
        <v>0</v>
      </c>
      <c r="J4360">
        <v>0</v>
      </c>
      <c r="K4360">
        <v>0</v>
      </c>
    </row>
    <row r="4361" spans="1:11" x14ac:dyDescent="0.2">
      <c r="A4361" t="s">
        <v>4311</v>
      </c>
      <c r="B4361">
        <v>0</v>
      </c>
      <c r="C4361">
        <v>0</v>
      </c>
      <c r="D4361">
        <v>0</v>
      </c>
      <c r="E4361">
        <v>0</v>
      </c>
      <c r="F4361">
        <v>0</v>
      </c>
      <c r="G4361">
        <v>0</v>
      </c>
      <c r="H4361">
        <v>0</v>
      </c>
      <c r="I4361">
        <v>0</v>
      </c>
      <c r="J4361">
        <v>0</v>
      </c>
      <c r="K4361">
        <v>0</v>
      </c>
    </row>
    <row r="4362" spans="1:11" x14ac:dyDescent="0.2">
      <c r="A4362" t="s">
        <v>4312</v>
      </c>
      <c r="B4362">
        <v>0</v>
      </c>
      <c r="C4362">
        <v>0</v>
      </c>
      <c r="D4362">
        <v>0</v>
      </c>
      <c r="E4362">
        <v>0</v>
      </c>
      <c r="F4362">
        <v>0</v>
      </c>
      <c r="G4362">
        <v>0</v>
      </c>
      <c r="H4362">
        <v>0</v>
      </c>
      <c r="I4362">
        <v>0</v>
      </c>
      <c r="J4362">
        <v>0</v>
      </c>
      <c r="K4362">
        <v>0</v>
      </c>
    </row>
    <row r="4363" spans="1:11" x14ac:dyDescent="0.2">
      <c r="A4363" t="s">
        <v>4313</v>
      </c>
      <c r="B4363">
        <v>0</v>
      </c>
      <c r="C4363">
        <v>0</v>
      </c>
      <c r="D4363">
        <v>0</v>
      </c>
      <c r="E4363">
        <v>0</v>
      </c>
      <c r="F4363">
        <v>0</v>
      </c>
      <c r="G4363">
        <v>0</v>
      </c>
      <c r="H4363">
        <v>0</v>
      </c>
      <c r="I4363">
        <v>0</v>
      </c>
      <c r="J4363">
        <v>0</v>
      </c>
      <c r="K4363">
        <v>0</v>
      </c>
    </row>
    <row r="4364" spans="1:11" x14ac:dyDescent="0.2">
      <c r="A4364" t="s">
        <v>4314</v>
      </c>
      <c r="B4364">
        <v>0</v>
      </c>
      <c r="C4364">
        <v>0</v>
      </c>
      <c r="D4364">
        <v>0</v>
      </c>
      <c r="E4364">
        <v>0</v>
      </c>
      <c r="F4364">
        <v>0</v>
      </c>
      <c r="G4364">
        <v>0</v>
      </c>
      <c r="H4364">
        <v>0</v>
      </c>
      <c r="I4364">
        <v>0</v>
      </c>
      <c r="J4364">
        <v>0</v>
      </c>
      <c r="K4364">
        <v>0</v>
      </c>
    </row>
    <row r="4365" spans="1:11" x14ac:dyDescent="0.2">
      <c r="A4365" t="s">
        <v>4315</v>
      </c>
      <c r="B4365">
        <v>0</v>
      </c>
      <c r="C4365">
        <v>0</v>
      </c>
      <c r="D4365">
        <v>0</v>
      </c>
      <c r="E4365">
        <v>0</v>
      </c>
      <c r="F4365">
        <v>0</v>
      </c>
      <c r="G4365">
        <v>0</v>
      </c>
      <c r="H4365">
        <v>0</v>
      </c>
      <c r="I4365">
        <v>0</v>
      </c>
      <c r="J4365">
        <v>0</v>
      </c>
      <c r="K4365">
        <v>0</v>
      </c>
    </row>
    <row r="4366" spans="1:11" x14ac:dyDescent="0.2">
      <c r="A4366" t="s">
        <v>4316</v>
      </c>
      <c r="B4366">
        <v>0</v>
      </c>
      <c r="C4366">
        <v>0</v>
      </c>
      <c r="D4366">
        <v>0</v>
      </c>
      <c r="E4366">
        <v>0</v>
      </c>
      <c r="F4366">
        <v>0</v>
      </c>
      <c r="G4366">
        <v>0</v>
      </c>
      <c r="H4366">
        <v>0</v>
      </c>
      <c r="I4366">
        <v>0</v>
      </c>
      <c r="J4366">
        <v>0</v>
      </c>
      <c r="K4366">
        <v>0</v>
      </c>
    </row>
    <row r="4367" spans="1:11" x14ac:dyDescent="0.2">
      <c r="A4367" t="s">
        <v>4317</v>
      </c>
      <c r="B4367">
        <v>0</v>
      </c>
      <c r="C4367">
        <v>0</v>
      </c>
      <c r="D4367">
        <v>0</v>
      </c>
      <c r="E4367">
        <v>0</v>
      </c>
      <c r="F4367">
        <v>0</v>
      </c>
      <c r="G4367">
        <v>0</v>
      </c>
      <c r="H4367">
        <v>0</v>
      </c>
      <c r="I4367">
        <v>0</v>
      </c>
      <c r="J4367">
        <v>0</v>
      </c>
      <c r="K4367">
        <v>0</v>
      </c>
    </row>
    <row r="4368" spans="1:11" x14ac:dyDescent="0.2">
      <c r="A4368" t="s">
        <v>4318</v>
      </c>
      <c r="B4368">
        <v>0</v>
      </c>
      <c r="C4368">
        <v>0</v>
      </c>
      <c r="D4368">
        <v>0</v>
      </c>
      <c r="E4368">
        <v>0</v>
      </c>
      <c r="F4368">
        <v>0</v>
      </c>
      <c r="G4368">
        <v>0</v>
      </c>
      <c r="H4368">
        <v>0</v>
      </c>
      <c r="I4368">
        <v>0</v>
      </c>
      <c r="J4368">
        <v>0</v>
      </c>
      <c r="K4368">
        <v>0</v>
      </c>
    </row>
    <row r="4369" spans="1:11" x14ac:dyDescent="0.2">
      <c r="A4369" t="s">
        <v>4319</v>
      </c>
      <c r="B4369">
        <v>0</v>
      </c>
      <c r="C4369">
        <v>0</v>
      </c>
      <c r="D4369">
        <v>0</v>
      </c>
      <c r="E4369">
        <v>0</v>
      </c>
      <c r="F4369">
        <v>0</v>
      </c>
      <c r="G4369">
        <v>0</v>
      </c>
      <c r="H4369">
        <v>0</v>
      </c>
      <c r="I4369">
        <v>0</v>
      </c>
      <c r="J4369">
        <v>0</v>
      </c>
      <c r="K4369">
        <v>0</v>
      </c>
    </row>
    <row r="4370" spans="1:11" x14ac:dyDescent="0.2">
      <c r="A4370" t="s">
        <v>4320</v>
      </c>
      <c r="B4370">
        <v>0</v>
      </c>
      <c r="C4370">
        <v>0</v>
      </c>
      <c r="D4370">
        <v>0</v>
      </c>
      <c r="E4370">
        <v>0</v>
      </c>
      <c r="F4370">
        <v>0</v>
      </c>
      <c r="G4370">
        <v>0</v>
      </c>
      <c r="H4370">
        <v>0</v>
      </c>
      <c r="I4370">
        <v>0</v>
      </c>
      <c r="J4370">
        <v>0</v>
      </c>
      <c r="K4370">
        <v>0</v>
      </c>
    </row>
    <row r="4371" spans="1:11" x14ac:dyDescent="0.2">
      <c r="A4371" t="s">
        <v>4321</v>
      </c>
      <c r="B4371">
        <v>0</v>
      </c>
      <c r="C4371">
        <v>0</v>
      </c>
      <c r="D4371">
        <v>0</v>
      </c>
      <c r="E4371">
        <v>0</v>
      </c>
      <c r="F4371">
        <v>0</v>
      </c>
      <c r="G4371">
        <v>0</v>
      </c>
      <c r="H4371">
        <v>0</v>
      </c>
      <c r="I4371">
        <v>0</v>
      </c>
      <c r="J4371">
        <v>0</v>
      </c>
      <c r="K4371">
        <v>0</v>
      </c>
    </row>
    <row r="4372" spans="1:11" x14ac:dyDescent="0.2">
      <c r="A4372" t="s">
        <v>4322</v>
      </c>
      <c r="B4372">
        <v>0</v>
      </c>
      <c r="C4372">
        <v>0</v>
      </c>
      <c r="D4372">
        <v>0</v>
      </c>
      <c r="E4372">
        <v>0</v>
      </c>
      <c r="F4372">
        <v>0</v>
      </c>
      <c r="G4372">
        <v>0</v>
      </c>
      <c r="H4372">
        <v>0</v>
      </c>
      <c r="I4372">
        <v>0</v>
      </c>
      <c r="J4372">
        <v>0</v>
      </c>
      <c r="K4372">
        <v>0</v>
      </c>
    </row>
    <row r="4373" spans="1:11" x14ac:dyDescent="0.2">
      <c r="A4373" t="s">
        <v>4323</v>
      </c>
      <c r="B4373">
        <v>0</v>
      </c>
      <c r="C4373">
        <v>0</v>
      </c>
      <c r="D4373">
        <v>0</v>
      </c>
      <c r="E4373">
        <v>0</v>
      </c>
      <c r="F4373">
        <v>0</v>
      </c>
      <c r="G4373">
        <v>0</v>
      </c>
      <c r="H4373">
        <v>0</v>
      </c>
      <c r="I4373">
        <v>0</v>
      </c>
      <c r="J4373">
        <v>0</v>
      </c>
      <c r="K4373">
        <v>0</v>
      </c>
    </row>
    <row r="4374" spans="1:11" x14ac:dyDescent="0.2">
      <c r="A4374" t="s">
        <v>4324</v>
      </c>
      <c r="B4374">
        <v>0</v>
      </c>
      <c r="C4374">
        <v>0</v>
      </c>
      <c r="D4374">
        <v>0</v>
      </c>
      <c r="E4374">
        <v>0</v>
      </c>
      <c r="F4374">
        <v>0</v>
      </c>
      <c r="G4374">
        <v>0</v>
      </c>
      <c r="H4374">
        <v>0</v>
      </c>
      <c r="I4374">
        <v>0</v>
      </c>
      <c r="J4374">
        <v>0</v>
      </c>
      <c r="K4374">
        <v>0</v>
      </c>
    </row>
    <row r="4375" spans="1:11" x14ac:dyDescent="0.2">
      <c r="A4375" t="s">
        <v>4325</v>
      </c>
      <c r="B4375">
        <v>0</v>
      </c>
      <c r="C4375">
        <v>0</v>
      </c>
      <c r="D4375">
        <v>0</v>
      </c>
      <c r="E4375">
        <v>0</v>
      </c>
      <c r="F4375">
        <v>0</v>
      </c>
      <c r="G4375">
        <v>0</v>
      </c>
      <c r="H4375">
        <v>0</v>
      </c>
      <c r="I4375">
        <v>0</v>
      </c>
      <c r="J4375">
        <v>0</v>
      </c>
      <c r="K4375">
        <v>0</v>
      </c>
    </row>
    <row r="4376" spans="1:11" x14ac:dyDescent="0.2">
      <c r="A4376" t="s">
        <v>4326</v>
      </c>
      <c r="B4376">
        <v>0</v>
      </c>
      <c r="C4376">
        <v>0</v>
      </c>
      <c r="D4376">
        <v>0</v>
      </c>
      <c r="E4376">
        <v>0</v>
      </c>
      <c r="F4376">
        <v>0</v>
      </c>
      <c r="G4376">
        <v>0</v>
      </c>
      <c r="H4376">
        <v>0</v>
      </c>
      <c r="I4376">
        <v>0</v>
      </c>
      <c r="J4376">
        <v>0</v>
      </c>
      <c r="K4376">
        <v>0</v>
      </c>
    </row>
    <row r="4377" spans="1:11" x14ac:dyDescent="0.2">
      <c r="A4377" t="s">
        <v>4327</v>
      </c>
      <c r="B4377">
        <v>0</v>
      </c>
      <c r="C4377">
        <v>0</v>
      </c>
      <c r="D4377">
        <v>0</v>
      </c>
      <c r="E4377">
        <v>0</v>
      </c>
      <c r="F4377">
        <v>0</v>
      </c>
      <c r="G4377">
        <v>0</v>
      </c>
      <c r="H4377">
        <v>0</v>
      </c>
      <c r="I4377">
        <v>0</v>
      </c>
      <c r="J4377">
        <v>0</v>
      </c>
      <c r="K4377">
        <v>0</v>
      </c>
    </row>
    <row r="4378" spans="1:11" x14ac:dyDescent="0.2">
      <c r="A4378" t="s">
        <v>4328</v>
      </c>
      <c r="B4378">
        <v>0</v>
      </c>
      <c r="C4378">
        <v>0</v>
      </c>
      <c r="D4378">
        <v>0</v>
      </c>
      <c r="E4378">
        <v>0</v>
      </c>
      <c r="F4378">
        <v>0</v>
      </c>
      <c r="G4378">
        <v>0</v>
      </c>
      <c r="H4378">
        <v>0</v>
      </c>
      <c r="I4378">
        <v>0</v>
      </c>
      <c r="J4378">
        <v>0</v>
      </c>
      <c r="K4378">
        <v>0</v>
      </c>
    </row>
    <row r="4379" spans="1:11" x14ac:dyDescent="0.2">
      <c r="A4379" t="s">
        <v>4329</v>
      </c>
      <c r="B4379">
        <v>0</v>
      </c>
      <c r="C4379">
        <v>0</v>
      </c>
      <c r="D4379">
        <v>0</v>
      </c>
      <c r="E4379">
        <v>0</v>
      </c>
      <c r="F4379">
        <v>0</v>
      </c>
      <c r="G4379">
        <v>0</v>
      </c>
      <c r="H4379">
        <v>0</v>
      </c>
      <c r="I4379">
        <v>0</v>
      </c>
      <c r="J4379">
        <v>0</v>
      </c>
      <c r="K4379">
        <v>0</v>
      </c>
    </row>
    <row r="4380" spans="1:11" x14ac:dyDescent="0.2">
      <c r="A4380" t="s">
        <v>4330</v>
      </c>
      <c r="B4380">
        <v>0</v>
      </c>
      <c r="C4380">
        <v>0</v>
      </c>
      <c r="D4380">
        <v>0</v>
      </c>
      <c r="E4380">
        <v>0</v>
      </c>
      <c r="F4380">
        <v>0</v>
      </c>
      <c r="G4380">
        <v>0</v>
      </c>
      <c r="H4380">
        <v>0</v>
      </c>
      <c r="I4380">
        <v>0</v>
      </c>
      <c r="J4380">
        <v>0</v>
      </c>
      <c r="K4380">
        <v>0</v>
      </c>
    </row>
    <row r="4381" spans="1:11" x14ac:dyDescent="0.2">
      <c r="A4381" t="s">
        <v>4331</v>
      </c>
      <c r="B4381">
        <v>0</v>
      </c>
      <c r="C4381">
        <v>0</v>
      </c>
      <c r="D4381">
        <v>0</v>
      </c>
      <c r="E4381">
        <v>0</v>
      </c>
      <c r="F4381">
        <v>0</v>
      </c>
      <c r="G4381">
        <v>0</v>
      </c>
      <c r="H4381">
        <v>0</v>
      </c>
      <c r="I4381">
        <v>0</v>
      </c>
      <c r="J4381">
        <v>0</v>
      </c>
      <c r="K4381">
        <v>0</v>
      </c>
    </row>
    <row r="4382" spans="1:11" x14ac:dyDescent="0.2">
      <c r="A4382" t="s">
        <v>4332</v>
      </c>
      <c r="B4382">
        <v>0</v>
      </c>
      <c r="C4382">
        <v>0</v>
      </c>
      <c r="D4382">
        <v>0</v>
      </c>
      <c r="E4382">
        <v>0</v>
      </c>
      <c r="F4382">
        <v>0</v>
      </c>
      <c r="G4382">
        <v>0</v>
      </c>
      <c r="H4382">
        <v>0</v>
      </c>
      <c r="I4382">
        <v>0</v>
      </c>
      <c r="J4382">
        <v>0</v>
      </c>
      <c r="K4382">
        <v>0</v>
      </c>
    </row>
    <row r="4383" spans="1:11" x14ac:dyDescent="0.2">
      <c r="A4383" t="s">
        <v>4333</v>
      </c>
      <c r="B4383">
        <v>0</v>
      </c>
      <c r="C4383">
        <v>0</v>
      </c>
      <c r="D4383">
        <v>0</v>
      </c>
      <c r="E4383">
        <v>0</v>
      </c>
      <c r="F4383">
        <v>0</v>
      </c>
      <c r="G4383">
        <v>0</v>
      </c>
      <c r="H4383">
        <v>0</v>
      </c>
      <c r="I4383">
        <v>0</v>
      </c>
      <c r="J4383">
        <v>0</v>
      </c>
      <c r="K4383">
        <v>0</v>
      </c>
    </row>
    <row r="4384" spans="1:11" x14ac:dyDescent="0.2">
      <c r="A4384" t="s">
        <v>4334</v>
      </c>
      <c r="B4384">
        <v>0</v>
      </c>
      <c r="C4384">
        <v>0</v>
      </c>
      <c r="D4384">
        <v>0</v>
      </c>
      <c r="E4384">
        <v>0</v>
      </c>
      <c r="F4384">
        <v>0</v>
      </c>
      <c r="G4384">
        <v>0</v>
      </c>
      <c r="H4384">
        <v>0</v>
      </c>
      <c r="I4384">
        <v>0</v>
      </c>
      <c r="J4384">
        <v>0</v>
      </c>
      <c r="K4384">
        <v>0</v>
      </c>
    </row>
    <row r="4385" spans="1:11" x14ac:dyDescent="0.2">
      <c r="A4385" t="s">
        <v>4335</v>
      </c>
      <c r="B4385">
        <v>0</v>
      </c>
      <c r="C4385">
        <v>0</v>
      </c>
      <c r="D4385">
        <v>0</v>
      </c>
      <c r="E4385">
        <v>0</v>
      </c>
      <c r="F4385">
        <v>0</v>
      </c>
      <c r="G4385">
        <v>0</v>
      </c>
      <c r="H4385">
        <v>0</v>
      </c>
      <c r="I4385">
        <v>0</v>
      </c>
      <c r="J4385">
        <v>0</v>
      </c>
      <c r="K4385">
        <v>0</v>
      </c>
    </row>
    <row r="4386" spans="1:11" x14ac:dyDescent="0.2">
      <c r="A4386" t="s">
        <v>4336</v>
      </c>
      <c r="B4386">
        <v>0</v>
      </c>
      <c r="C4386">
        <v>0</v>
      </c>
      <c r="D4386">
        <v>0</v>
      </c>
      <c r="E4386">
        <v>0</v>
      </c>
      <c r="F4386">
        <v>0</v>
      </c>
      <c r="G4386">
        <v>0</v>
      </c>
      <c r="H4386">
        <v>0</v>
      </c>
      <c r="I4386">
        <v>0</v>
      </c>
      <c r="J4386">
        <v>0</v>
      </c>
      <c r="K4386">
        <v>0</v>
      </c>
    </row>
    <row r="4387" spans="1:11" x14ac:dyDescent="0.2">
      <c r="A4387" t="s">
        <v>4337</v>
      </c>
      <c r="B4387">
        <v>0</v>
      </c>
      <c r="C4387">
        <v>0</v>
      </c>
      <c r="D4387">
        <v>0</v>
      </c>
      <c r="E4387">
        <v>0</v>
      </c>
      <c r="F4387">
        <v>0</v>
      </c>
      <c r="G4387">
        <v>0</v>
      </c>
      <c r="H4387">
        <v>0</v>
      </c>
      <c r="I4387">
        <v>0</v>
      </c>
      <c r="J4387">
        <v>0</v>
      </c>
      <c r="K4387">
        <v>0</v>
      </c>
    </row>
    <row r="4388" spans="1:11" x14ac:dyDescent="0.2">
      <c r="A4388" t="s">
        <v>4338</v>
      </c>
      <c r="B4388">
        <v>0</v>
      </c>
      <c r="C4388">
        <v>0</v>
      </c>
      <c r="D4388">
        <v>0</v>
      </c>
      <c r="E4388">
        <v>0</v>
      </c>
      <c r="F4388">
        <v>0</v>
      </c>
      <c r="G4388">
        <v>0</v>
      </c>
      <c r="H4388">
        <v>0</v>
      </c>
      <c r="I4388">
        <v>0</v>
      </c>
      <c r="J4388">
        <v>0</v>
      </c>
      <c r="K4388">
        <v>0</v>
      </c>
    </row>
    <row r="4389" spans="1:11" x14ac:dyDescent="0.2">
      <c r="A4389" t="s">
        <v>4339</v>
      </c>
      <c r="B4389">
        <v>0</v>
      </c>
      <c r="C4389">
        <v>0</v>
      </c>
      <c r="D4389">
        <v>0</v>
      </c>
      <c r="E4389">
        <v>0</v>
      </c>
      <c r="F4389">
        <v>0</v>
      </c>
      <c r="G4389">
        <v>0</v>
      </c>
      <c r="H4389">
        <v>0</v>
      </c>
      <c r="I4389">
        <v>0</v>
      </c>
      <c r="J4389">
        <v>0</v>
      </c>
      <c r="K4389">
        <v>0</v>
      </c>
    </row>
    <row r="4390" spans="1:11" x14ac:dyDescent="0.2">
      <c r="A4390" t="s">
        <v>4340</v>
      </c>
      <c r="B4390">
        <v>0</v>
      </c>
      <c r="C4390">
        <v>0</v>
      </c>
      <c r="D4390">
        <v>0</v>
      </c>
      <c r="E4390">
        <v>0</v>
      </c>
      <c r="F4390">
        <v>0</v>
      </c>
      <c r="G4390">
        <v>0</v>
      </c>
      <c r="H4390">
        <v>0</v>
      </c>
      <c r="I4390">
        <v>0</v>
      </c>
      <c r="J4390">
        <v>0</v>
      </c>
      <c r="K4390">
        <v>0</v>
      </c>
    </row>
    <row r="4391" spans="1:11" x14ac:dyDescent="0.2">
      <c r="A4391" t="s">
        <v>4341</v>
      </c>
      <c r="B4391">
        <v>0</v>
      </c>
      <c r="C4391">
        <v>0</v>
      </c>
      <c r="D4391">
        <v>0</v>
      </c>
      <c r="E4391">
        <v>0</v>
      </c>
      <c r="F4391">
        <v>0</v>
      </c>
      <c r="G4391">
        <v>0</v>
      </c>
      <c r="H4391">
        <v>0</v>
      </c>
      <c r="I4391">
        <v>0</v>
      </c>
      <c r="J4391">
        <v>0</v>
      </c>
      <c r="K4391">
        <v>0</v>
      </c>
    </row>
    <row r="4392" spans="1:11" x14ac:dyDescent="0.2">
      <c r="A4392" t="s">
        <v>4342</v>
      </c>
      <c r="B4392">
        <v>0</v>
      </c>
      <c r="C4392">
        <v>0</v>
      </c>
      <c r="D4392">
        <v>0</v>
      </c>
      <c r="E4392">
        <v>0</v>
      </c>
      <c r="F4392">
        <v>0</v>
      </c>
      <c r="G4392">
        <v>0</v>
      </c>
      <c r="H4392">
        <v>0</v>
      </c>
      <c r="I4392">
        <v>0</v>
      </c>
      <c r="J4392">
        <v>0</v>
      </c>
      <c r="K4392">
        <v>0</v>
      </c>
    </row>
    <row r="4393" spans="1:11" x14ac:dyDescent="0.2">
      <c r="A4393" t="s">
        <v>4343</v>
      </c>
      <c r="B4393">
        <v>0</v>
      </c>
      <c r="C4393">
        <v>0</v>
      </c>
      <c r="D4393">
        <v>0</v>
      </c>
      <c r="E4393">
        <v>0</v>
      </c>
      <c r="F4393">
        <v>0</v>
      </c>
      <c r="G4393">
        <v>0</v>
      </c>
      <c r="H4393">
        <v>0</v>
      </c>
      <c r="I4393">
        <v>0</v>
      </c>
      <c r="J4393">
        <v>0</v>
      </c>
      <c r="K4393">
        <v>0</v>
      </c>
    </row>
    <row r="4394" spans="1:11" x14ac:dyDescent="0.2">
      <c r="A4394" t="s">
        <v>1728</v>
      </c>
      <c r="B4394">
        <v>0</v>
      </c>
      <c r="C4394">
        <v>0</v>
      </c>
      <c r="D4394">
        <v>0</v>
      </c>
      <c r="E4394">
        <v>0</v>
      </c>
      <c r="F4394">
        <v>0</v>
      </c>
      <c r="G4394">
        <v>0</v>
      </c>
      <c r="H4394">
        <v>0</v>
      </c>
      <c r="I4394">
        <v>0</v>
      </c>
      <c r="J4394">
        <v>0</v>
      </c>
      <c r="K4394">
        <v>0</v>
      </c>
    </row>
    <row r="4395" spans="1:11" x14ac:dyDescent="0.2">
      <c r="A4395" t="s">
        <v>1730</v>
      </c>
      <c r="B4395">
        <v>87</v>
      </c>
      <c r="C4395">
        <v>0</v>
      </c>
      <c r="D4395">
        <v>0</v>
      </c>
      <c r="E4395">
        <v>2</v>
      </c>
      <c r="F4395">
        <v>10</v>
      </c>
      <c r="G4395">
        <v>0</v>
      </c>
      <c r="H4395">
        <v>0</v>
      </c>
      <c r="I4395">
        <v>8</v>
      </c>
      <c r="J4395">
        <v>59</v>
      </c>
      <c r="K4395">
        <v>0</v>
      </c>
    </row>
    <row r="4396" spans="1:11" x14ac:dyDescent="0.2">
      <c r="A4396" t="s">
        <v>1733</v>
      </c>
      <c r="B4396">
        <v>0</v>
      </c>
      <c r="C4396">
        <v>0</v>
      </c>
      <c r="D4396">
        <v>0</v>
      </c>
      <c r="E4396">
        <v>0</v>
      </c>
      <c r="F4396">
        <v>0</v>
      </c>
      <c r="G4396">
        <v>0</v>
      </c>
      <c r="H4396">
        <v>0</v>
      </c>
      <c r="I4396">
        <v>0</v>
      </c>
      <c r="J4396">
        <v>0</v>
      </c>
      <c r="K4396">
        <v>0</v>
      </c>
    </row>
    <row r="4397" spans="1:11" x14ac:dyDescent="0.2">
      <c r="A4397" t="s">
        <v>1738</v>
      </c>
      <c r="B4397">
        <v>0</v>
      </c>
      <c r="C4397">
        <v>0</v>
      </c>
      <c r="D4397">
        <v>0</v>
      </c>
      <c r="E4397">
        <v>0</v>
      </c>
      <c r="F4397">
        <v>0</v>
      </c>
      <c r="G4397">
        <v>0</v>
      </c>
      <c r="H4397">
        <v>0</v>
      </c>
      <c r="I4397">
        <v>0</v>
      </c>
      <c r="J4397">
        <v>0</v>
      </c>
      <c r="K4397">
        <v>0</v>
      </c>
    </row>
    <row r="4398" spans="1:11" x14ac:dyDescent="0.2">
      <c r="A4398" t="s">
        <v>1744</v>
      </c>
      <c r="B4398">
        <v>0</v>
      </c>
      <c r="C4398">
        <v>0</v>
      </c>
      <c r="D4398">
        <v>0</v>
      </c>
      <c r="E4398">
        <v>0</v>
      </c>
      <c r="F4398">
        <v>0</v>
      </c>
      <c r="G4398">
        <v>0</v>
      </c>
      <c r="H4398">
        <v>0</v>
      </c>
      <c r="I4398">
        <v>0</v>
      </c>
      <c r="J4398">
        <v>0</v>
      </c>
      <c r="K4398">
        <v>0</v>
      </c>
    </row>
    <row r="4399" spans="1:11" x14ac:dyDescent="0.2">
      <c r="A4399" t="s">
        <v>1747</v>
      </c>
      <c r="B4399">
        <v>0</v>
      </c>
      <c r="C4399">
        <v>0</v>
      </c>
      <c r="D4399">
        <v>0</v>
      </c>
      <c r="E4399">
        <v>0</v>
      </c>
      <c r="F4399">
        <v>0</v>
      </c>
      <c r="G4399">
        <v>0</v>
      </c>
      <c r="H4399">
        <v>0</v>
      </c>
      <c r="I4399">
        <v>0</v>
      </c>
      <c r="J4399">
        <v>0</v>
      </c>
      <c r="K4399">
        <v>0</v>
      </c>
    </row>
    <row r="4400" spans="1:11" x14ac:dyDescent="0.2">
      <c r="A4400" t="s">
        <v>1751</v>
      </c>
      <c r="B4400">
        <v>0</v>
      </c>
      <c r="C4400">
        <v>0</v>
      </c>
      <c r="D4400">
        <v>0</v>
      </c>
      <c r="E4400">
        <v>0</v>
      </c>
      <c r="F4400">
        <v>0</v>
      </c>
      <c r="G4400">
        <v>0</v>
      </c>
      <c r="H4400">
        <v>0</v>
      </c>
      <c r="I4400">
        <v>0</v>
      </c>
      <c r="J4400">
        <v>0</v>
      </c>
      <c r="K4400">
        <v>0</v>
      </c>
    </row>
    <row r="4401" spans="1:11" x14ac:dyDescent="0.2">
      <c r="A4401" t="s">
        <v>1755</v>
      </c>
      <c r="B4401">
        <v>409</v>
      </c>
      <c r="C4401">
        <v>0</v>
      </c>
      <c r="D4401">
        <v>1</v>
      </c>
      <c r="E4401">
        <v>17</v>
      </c>
      <c r="F4401">
        <v>64</v>
      </c>
      <c r="G4401">
        <v>0</v>
      </c>
      <c r="H4401">
        <v>0</v>
      </c>
      <c r="I4401">
        <v>5</v>
      </c>
      <c r="J4401">
        <v>28</v>
      </c>
      <c r="K4401">
        <v>0</v>
      </c>
    </row>
    <row r="4402" spans="1:11" x14ac:dyDescent="0.2">
      <c r="A4402" t="s">
        <v>1757</v>
      </c>
      <c r="B4402">
        <v>424</v>
      </c>
      <c r="C4402">
        <v>0</v>
      </c>
      <c r="D4402">
        <v>1</v>
      </c>
      <c r="E4402">
        <v>12</v>
      </c>
      <c r="F4402">
        <v>67</v>
      </c>
      <c r="G4402">
        <v>0</v>
      </c>
      <c r="H4402">
        <v>0</v>
      </c>
      <c r="I4402">
        <v>4</v>
      </c>
      <c r="J4402">
        <v>30</v>
      </c>
      <c r="K4402">
        <v>0</v>
      </c>
    </row>
    <row r="4403" spans="1:11" x14ac:dyDescent="0.2">
      <c r="A4403" t="s">
        <v>1761</v>
      </c>
      <c r="B4403">
        <v>0</v>
      </c>
      <c r="C4403">
        <v>0</v>
      </c>
      <c r="D4403">
        <v>0</v>
      </c>
      <c r="E4403">
        <v>0</v>
      </c>
      <c r="F4403">
        <v>0</v>
      </c>
      <c r="G4403">
        <v>0</v>
      </c>
      <c r="H4403">
        <v>0</v>
      </c>
      <c r="I4403">
        <v>0</v>
      </c>
      <c r="J4403">
        <v>0</v>
      </c>
      <c r="K4403">
        <v>0</v>
      </c>
    </row>
    <row r="4404" spans="1:11" x14ac:dyDescent="0.2">
      <c r="A4404" t="s">
        <v>1764</v>
      </c>
      <c r="B4404">
        <v>0</v>
      </c>
      <c r="C4404">
        <v>0</v>
      </c>
      <c r="D4404">
        <v>0</v>
      </c>
      <c r="E4404">
        <v>0</v>
      </c>
      <c r="F4404">
        <v>0</v>
      </c>
      <c r="G4404">
        <v>0</v>
      </c>
      <c r="H4404">
        <v>0</v>
      </c>
      <c r="I4404">
        <v>0</v>
      </c>
      <c r="J4404">
        <v>0</v>
      </c>
      <c r="K4404">
        <v>0</v>
      </c>
    </row>
    <row r="4405" spans="1:11" x14ac:dyDescent="0.2">
      <c r="A4405" t="s">
        <v>1770</v>
      </c>
      <c r="B4405">
        <v>82</v>
      </c>
      <c r="C4405">
        <v>0</v>
      </c>
      <c r="D4405">
        <v>0</v>
      </c>
      <c r="E4405">
        <v>12</v>
      </c>
      <c r="F4405">
        <v>9</v>
      </c>
      <c r="G4405">
        <v>0</v>
      </c>
      <c r="H4405">
        <v>0</v>
      </c>
      <c r="I4405">
        <v>24</v>
      </c>
      <c r="J4405">
        <v>26</v>
      </c>
      <c r="K4405">
        <v>0</v>
      </c>
    </row>
    <row r="4406" spans="1:11" x14ac:dyDescent="0.2">
      <c r="A4406" t="s">
        <v>1772</v>
      </c>
      <c r="B4406">
        <v>18</v>
      </c>
      <c r="C4406">
        <v>0</v>
      </c>
      <c r="D4406">
        <v>0</v>
      </c>
      <c r="E4406">
        <v>2</v>
      </c>
      <c r="F4406">
        <v>2</v>
      </c>
      <c r="G4406">
        <v>0</v>
      </c>
      <c r="H4406">
        <v>0</v>
      </c>
      <c r="I4406">
        <v>0</v>
      </c>
      <c r="J4406">
        <v>0</v>
      </c>
      <c r="K4406">
        <v>0</v>
      </c>
    </row>
    <row r="4407" spans="1:11" x14ac:dyDescent="0.2">
      <c r="A4407" t="s">
        <v>1774</v>
      </c>
      <c r="B4407">
        <v>128</v>
      </c>
      <c r="C4407">
        <v>0</v>
      </c>
      <c r="D4407">
        <v>1</v>
      </c>
      <c r="E4407">
        <v>61</v>
      </c>
      <c r="F4407">
        <v>54</v>
      </c>
      <c r="G4407">
        <v>0</v>
      </c>
      <c r="H4407">
        <v>0</v>
      </c>
      <c r="I4407">
        <v>0</v>
      </c>
      <c r="J4407">
        <v>0</v>
      </c>
      <c r="K4407">
        <v>0</v>
      </c>
    </row>
    <row r="4408" spans="1:11" x14ac:dyDescent="0.2">
      <c r="A4408" t="s">
        <v>1777</v>
      </c>
      <c r="B4408">
        <v>0</v>
      </c>
      <c r="C4408">
        <v>0</v>
      </c>
      <c r="D4408">
        <v>0</v>
      </c>
      <c r="E4408">
        <v>0</v>
      </c>
      <c r="F4408">
        <v>0</v>
      </c>
      <c r="G4408">
        <v>0</v>
      </c>
      <c r="H4408">
        <v>0</v>
      </c>
      <c r="I4408">
        <v>0</v>
      </c>
      <c r="J4408">
        <v>0</v>
      </c>
      <c r="K4408">
        <v>0</v>
      </c>
    </row>
    <row r="4409" spans="1:11" x14ac:dyDescent="0.2">
      <c r="A4409" t="s">
        <v>1782</v>
      </c>
      <c r="B4409">
        <v>0</v>
      </c>
      <c r="C4409">
        <v>0</v>
      </c>
      <c r="D4409">
        <v>0</v>
      </c>
      <c r="E4409">
        <v>0</v>
      </c>
      <c r="F4409">
        <v>0</v>
      </c>
      <c r="G4409">
        <v>0</v>
      </c>
      <c r="H4409">
        <v>0</v>
      </c>
      <c r="I4409">
        <v>0</v>
      </c>
      <c r="J4409">
        <v>0</v>
      </c>
      <c r="K4409">
        <v>0</v>
      </c>
    </row>
    <row r="4410" spans="1:11" x14ac:dyDescent="0.2">
      <c r="A4410" t="s">
        <v>1274</v>
      </c>
      <c r="B4410">
        <v>5</v>
      </c>
      <c r="C4410">
        <v>0</v>
      </c>
      <c r="D4410">
        <v>0</v>
      </c>
      <c r="E4410">
        <v>0</v>
      </c>
      <c r="F4410">
        <v>2</v>
      </c>
      <c r="G4410">
        <v>0</v>
      </c>
      <c r="H4410">
        <v>0</v>
      </c>
      <c r="I4410">
        <v>0</v>
      </c>
      <c r="J4410">
        <v>0</v>
      </c>
      <c r="K4410">
        <v>0</v>
      </c>
    </row>
    <row r="4411" spans="1:11" x14ac:dyDescent="0.2">
      <c r="A4411" t="s">
        <v>1277</v>
      </c>
      <c r="B4411">
        <v>38</v>
      </c>
      <c r="C4411">
        <v>0</v>
      </c>
      <c r="D4411">
        <v>0</v>
      </c>
      <c r="E4411">
        <v>3</v>
      </c>
      <c r="F4411">
        <v>19</v>
      </c>
      <c r="G4411">
        <v>0</v>
      </c>
      <c r="H4411">
        <v>0</v>
      </c>
      <c r="I4411">
        <v>0</v>
      </c>
      <c r="J4411">
        <v>0</v>
      </c>
      <c r="K4411">
        <v>0</v>
      </c>
    </row>
    <row r="4412" spans="1:11" x14ac:dyDescent="0.2">
      <c r="A4412" t="s">
        <v>1798</v>
      </c>
      <c r="B4412">
        <v>0</v>
      </c>
      <c r="C4412">
        <v>0</v>
      </c>
      <c r="D4412">
        <v>0</v>
      </c>
      <c r="E4412">
        <v>0</v>
      </c>
      <c r="F4412">
        <v>0</v>
      </c>
      <c r="G4412">
        <v>0</v>
      </c>
      <c r="H4412">
        <v>0</v>
      </c>
      <c r="I4412">
        <v>0</v>
      </c>
      <c r="J4412">
        <v>0</v>
      </c>
      <c r="K4412">
        <v>0</v>
      </c>
    </row>
    <row r="4413" spans="1:11" x14ac:dyDescent="0.2">
      <c r="A4413" t="s">
        <v>1803</v>
      </c>
      <c r="B4413">
        <v>0</v>
      </c>
      <c r="C4413">
        <v>0</v>
      </c>
      <c r="D4413">
        <v>0</v>
      </c>
      <c r="E4413">
        <v>0</v>
      </c>
      <c r="F4413">
        <v>0</v>
      </c>
      <c r="G4413">
        <v>0</v>
      </c>
      <c r="H4413">
        <v>0</v>
      </c>
      <c r="I4413">
        <v>0</v>
      </c>
      <c r="J4413">
        <v>0</v>
      </c>
      <c r="K4413">
        <v>0</v>
      </c>
    </row>
    <row r="4414" spans="1:11" x14ac:dyDescent="0.2">
      <c r="A4414" t="s">
        <v>1808</v>
      </c>
      <c r="B4414">
        <v>0</v>
      </c>
      <c r="C4414">
        <v>0</v>
      </c>
      <c r="D4414">
        <v>0</v>
      </c>
      <c r="E4414">
        <v>0</v>
      </c>
      <c r="F4414">
        <v>0</v>
      </c>
      <c r="G4414">
        <v>0</v>
      </c>
      <c r="H4414">
        <v>0</v>
      </c>
      <c r="I4414">
        <v>0</v>
      </c>
      <c r="J4414">
        <v>0</v>
      </c>
      <c r="K4414">
        <v>0</v>
      </c>
    </row>
    <row r="4415" spans="1:11" x14ac:dyDescent="0.2">
      <c r="A4415" t="s">
        <v>1813</v>
      </c>
      <c r="B4415">
        <v>0</v>
      </c>
      <c r="C4415">
        <v>0</v>
      </c>
      <c r="D4415">
        <v>0</v>
      </c>
      <c r="E4415">
        <v>0</v>
      </c>
      <c r="F4415">
        <v>0</v>
      </c>
      <c r="G4415">
        <v>0</v>
      </c>
      <c r="H4415">
        <v>0</v>
      </c>
      <c r="I4415">
        <v>0</v>
      </c>
      <c r="J4415">
        <v>0</v>
      </c>
      <c r="K4415">
        <v>0</v>
      </c>
    </row>
    <row r="4416" spans="1:11" x14ac:dyDescent="0.2">
      <c r="A4416" t="s">
        <v>1819</v>
      </c>
      <c r="B4416">
        <v>0</v>
      </c>
      <c r="C4416">
        <v>0</v>
      </c>
      <c r="D4416">
        <v>0</v>
      </c>
      <c r="E4416">
        <v>0</v>
      </c>
      <c r="F4416">
        <v>0</v>
      </c>
      <c r="G4416">
        <v>0</v>
      </c>
      <c r="H4416">
        <v>0</v>
      </c>
      <c r="I4416">
        <v>0</v>
      </c>
      <c r="J4416">
        <v>0</v>
      </c>
      <c r="K4416">
        <v>0</v>
      </c>
    </row>
    <row r="4417" spans="1:11" x14ac:dyDescent="0.2">
      <c r="A4417" t="s">
        <v>1826</v>
      </c>
      <c r="B4417">
        <v>0</v>
      </c>
      <c r="C4417">
        <v>0</v>
      </c>
      <c r="D4417">
        <v>0</v>
      </c>
      <c r="E4417">
        <v>0</v>
      </c>
      <c r="F4417">
        <v>0</v>
      </c>
      <c r="G4417">
        <v>0</v>
      </c>
      <c r="H4417">
        <v>0</v>
      </c>
      <c r="I4417">
        <v>0</v>
      </c>
      <c r="J4417">
        <v>0</v>
      </c>
      <c r="K4417">
        <v>0</v>
      </c>
    </row>
    <row r="4418" spans="1:11" x14ac:dyDescent="0.2">
      <c r="A4418" t="s">
        <v>1830</v>
      </c>
      <c r="B4418">
        <v>0</v>
      </c>
      <c r="C4418">
        <v>0</v>
      </c>
      <c r="D4418">
        <v>0</v>
      </c>
      <c r="E4418">
        <v>0</v>
      </c>
      <c r="F4418">
        <v>0</v>
      </c>
      <c r="G4418">
        <v>0</v>
      </c>
      <c r="H4418">
        <v>0</v>
      </c>
      <c r="I4418">
        <v>0</v>
      </c>
      <c r="J4418">
        <v>0</v>
      </c>
      <c r="K4418">
        <v>0</v>
      </c>
    </row>
    <row r="4419" spans="1:11" x14ac:dyDescent="0.2">
      <c r="A4419" t="s">
        <v>1836</v>
      </c>
      <c r="B4419">
        <v>0</v>
      </c>
      <c r="C4419">
        <v>0</v>
      </c>
      <c r="D4419">
        <v>0</v>
      </c>
      <c r="E4419">
        <v>0</v>
      </c>
      <c r="F4419">
        <v>0</v>
      </c>
      <c r="G4419">
        <v>0</v>
      </c>
      <c r="H4419">
        <v>0</v>
      </c>
      <c r="I4419">
        <v>0</v>
      </c>
      <c r="J4419">
        <v>0</v>
      </c>
      <c r="K4419">
        <v>0</v>
      </c>
    </row>
    <row r="4420" spans="1:11" x14ac:dyDescent="0.2">
      <c r="A4420" t="s">
        <v>1841</v>
      </c>
      <c r="B4420">
        <v>0</v>
      </c>
      <c r="C4420">
        <v>0</v>
      </c>
      <c r="D4420">
        <v>0</v>
      </c>
      <c r="E4420">
        <v>0</v>
      </c>
      <c r="F4420">
        <v>0</v>
      </c>
      <c r="G4420">
        <v>0</v>
      </c>
      <c r="H4420">
        <v>0</v>
      </c>
      <c r="I4420">
        <v>0</v>
      </c>
      <c r="J4420">
        <v>0</v>
      </c>
      <c r="K4420">
        <v>0</v>
      </c>
    </row>
    <row r="4421" spans="1:11" x14ac:dyDescent="0.2">
      <c r="A4421" t="s">
        <v>1842</v>
      </c>
      <c r="B4421">
        <v>4</v>
      </c>
      <c r="C4421">
        <v>0</v>
      </c>
      <c r="D4421">
        <v>0</v>
      </c>
      <c r="E4421">
        <v>0</v>
      </c>
      <c r="F4421">
        <v>0</v>
      </c>
      <c r="G4421">
        <v>0</v>
      </c>
      <c r="H4421">
        <v>0</v>
      </c>
      <c r="I4421">
        <v>0</v>
      </c>
      <c r="J4421">
        <v>0</v>
      </c>
      <c r="K4421">
        <v>0</v>
      </c>
    </row>
    <row r="4422" spans="1:11" x14ac:dyDescent="0.2">
      <c r="A4422" t="s">
        <v>1843</v>
      </c>
      <c r="B4422">
        <v>0</v>
      </c>
      <c r="C4422">
        <v>0</v>
      </c>
      <c r="D4422">
        <v>0</v>
      </c>
      <c r="E4422">
        <v>0</v>
      </c>
      <c r="F4422">
        <v>0</v>
      </c>
      <c r="G4422">
        <v>0</v>
      </c>
      <c r="H4422">
        <v>0</v>
      </c>
      <c r="I4422">
        <v>0</v>
      </c>
      <c r="J4422">
        <v>0</v>
      </c>
      <c r="K4422">
        <v>0</v>
      </c>
    </row>
    <row r="4423" spans="1:11" x14ac:dyDescent="0.2">
      <c r="A4423" t="s">
        <v>1846</v>
      </c>
      <c r="B4423">
        <v>0</v>
      </c>
      <c r="C4423">
        <v>0</v>
      </c>
      <c r="D4423">
        <v>0</v>
      </c>
      <c r="E4423">
        <v>0</v>
      </c>
      <c r="F4423">
        <v>0</v>
      </c>
      <c r="G4423">
        <v>0</v>
      </c>
      <c r="H4423">
        <v>0</v>
      </c>
      <c r="I4423">
        <v>0</v>
      </c>
      <c r="J4423">
        <v>0</v>
      </c>
      <c r="K4423">
        <v>0</v>
      </c>
    </row>
    <row r="4424" spans="1:11" x14ac:dyDescent="0.2">
      <c r="A4424" t="s">
        <v>1851</v>
      </c>
      <c r="B4424">
        <v>1</v>
      </c>
      <c r="C4424">
        <v>0</v>
      </c>
      <c r="D4424">
        <v>0</v>
      </c>
      <c r="E4424">
        <v>0</v>
      </c>
      <c r="F4424">
        <v>0</v>
      </c>
      <c r="G4424">
        <v>0</v>
      </c>
      <c r="H4424">
        <v>0</v>
      </c>
      <c r="I4424">
        <v>0</v>
      </c>
      <c r="J4424">
        <v>0</v>
      </c>
      <c r="K4424">
        <v>0</v>
      </c>
    </row>
    <row r="4425" spans="1:11" x14ac:dyDescent="0.2">
      <c r="A4425" t="s">
        <v>1857</v>
      </c>
      <c r="B4425">
        <v>0</v>
      </c>
      <c r="C4425">
        <v>0</v>
      </c>
      <c r="D4425">
        <v>0</v>
      </c>
      <c r="E4425">
        <v>0</v>
      </c>
      <c r="F4425">
        <v>0</v>
      </c>
      <c r="G4425">
        <v>0</v>
      </c>
      <c r="H4425">
        <v>0</v>
      </c>
      <c r="I4425">
        <v>0</v>
      </c>
      <c r="J4425">
        <v>0</v>
      </c>
      <c r="K4425">
        <v>0</v>
      </c>
    </row>
    <row r="4426" spans="1:11" x14ac:dyDescent="0.2">
      <c r="A4426" t="s">
        <v>1862</v>
      </c>
      <c r="B4426">
        <v>0</v>
      </c>
      <c r="C4426">
        <v>0</v>
      </c>
      <c r="D4426">
        <v>0</v>
      </c>
      <c r="E4426">
        <v>0</v>
      </c>
      <c r="F4426">
        <v>0</v>
      </c>
      <c r="G4426">
        <v>0</v>
      </c>
      <c r="H4426">
        <v>0</v>
      </c>
      <c r="I4426">
        <v>0</v>
      </c>
      <c r="J4426">
        <v>0</v>
      </c>
      <c r="K4426">
        <v>0</v>
      </c>
    </row>
    <row r="4427" spans="1:11" x14ac:dyDescent="0.2">
      <c r="A4427" t="s">
        <v>1867</v>
      </c>
      <c r="B4427">
        <v>0</v>
      </c>
      <c r="C4427">
        <v>0</v>
      </c>
      <c r="D4427">
        <v>0</v>
      </c>
      <c r="E4427">
        <v>0</v>
      </c>
      <c r="F4427">
        <v>0</v>
      </c>
      <c r="G4427">
        <v>0</v>
      </c>
      <c r="H4427">
        <v>0</v>
      </c>
      <c r="I4427">
        <v>0</v>
      </c>
      <c r="J4427">
        <v>0</v>
      </c>
      <c r="K4427">
        <v>0</v>
      </c>
    </row>
    <row r="4428" spans="1:11" x14ac:dyDescent="0.2">
      <c r="A4428" t="s">
        <v>1870</v>
      </c>
      <c r="B4428">
        <v>0</v>
      </c>
      <c r="C4428">
        <v>0</v>
      </c>
      <c r="D4428">
        <v>0</v>
      </c>
      <c r="E4428">
        <v>0</v>
      </c>
      <c r="F4428">
        <v>0</v>
      </c>
      <c r="G4428">
        <v>0</v>
      </c>
      <c r="H4428">
        <v>0</v>
      </c>
      <c r="I4428">
        <v>0</v>
      </c>
      <c r="J4428">
        <v>0</v>
      </c>
      <c r="K4428">
        <v>0</v>
      </c>
    </row>
    <row r="4429" spans="1:11" x14ac:dyDescent="0.2">
      <c r="A4429" t="s">
        <v>1874</v>
      </c>
      <c r="B4429">
        <v>0</v>
      </c>
      <c r="C4429">
        <v>0</v>
      </c>
      <c r="D4429">
        <v>0</v>
      </c>
      <c r="E4429">
        <v>0</v>
      </c>
      <c r="F4429">
        <v>0</v>
      </c>
      <c r="G4429">
        <v>0</v>
      </c>
      <c r="H4429">
        <v>0</v>
      </c>
      <c r="I4429">
        <v>0</v>
      </c>
      <c r="J4429">
        <v>0</v>
      </c>
      <c r="K4429">
        <v>0</v>
      </c>
    </row>
    <row r="4430" spans="1:11" x14ac:dyDescent="0.2">
      <c r="A4430" t="s">
        <v>1876</v>
      </c>
      <c r="B4430">
        <v>0</v>
      </c>
      <c r="C4430">
        <v>0</v>
      </c>
      <c r="D4430">
        <v>0</v>
      </c>
      <c r="E4430">
        <v>0</v>
      </c>
      <c r="F4430">
        <v>0</v>
      </c>
      <c r="G4430">
        <v>0</v>
      </c>
      <c r="H4430">
        <v>0</v>
      </c>
      <c r="I4430">
        <v>0</v>
      </c>
      <c r="J4430">
        <v>0</v>
      </c>
      <c r="K4430">
        <v>0</v>
      </c>
    </row>
    <row r="4431" spans="1:11" x14ac:dyDescent="0.2">
      <c r="A4431" t="s">
        <v>1881</v>
      </c>
      <c r="B4431">
        <v>0</v>
      </c>
      <c r="C4431">
        <v>0</v>
      </c>
      <c r="D4431">
        <v>0</v>
      </c>
      <c r="E4431">
        <v>0</v>
      </c>
      <c r="F4431">
        <v>0</v>
      </c>
      <c r="G4431">
        <v>0</v>
      </c>
      <c r="H4431">
        <v>0</v>
      </c>
      <c r="I4431">
        <v>0</v>
      </c>
      <c r="J4431">
        <v>0</v>
      </c>
      <c r="K4431">
        <v>0</v>
      </c>
    </row>
    <row r="4432" spans="1:11" x14ac:dyDescent="0.2">
      <c r="A4432" t="s">
        <v>1885</v>
      </c>
      <c r="B4432">
        <v>20</v>
      </c>
      <c r="C4432">
        <v>0</v>
      </c>
      <c r="D4432">
        <v>0</v>
      </c>
      <c r="E4432">
        <v>0</v>
      </c>
      <c r="F4432">
        <v>0</v>
      </c>
      <c r="G4432">
        <v>0</v>
      </c>
      <c r="H4432">
        <v>0</v>
      </c>
      <c r="I4432">
        <v>0</v>
      </c>
      <c r="J4432">
        <v>0</v>
      </c>
      <c r="K4432">
        <v>0</v>
      </c>
    </row>
    <row r="4433" spans="1:11" x14ac:dyDescent="0.2">
      <c r="A4433" t="s">
        <v>1887</v>
      </c>
      <c r="B4433">
        <v>0</v>
      </c>
      <c r="C4433">
        <v>0</v>
      </c>
      <c r="D4433">
        <v>0</v>
      </c>
      <c r="E4433">
        <v>0</v>
      </c>
      <c r="F4433">
        <v>0</v>
      </c>
      <c r="G4433">
        <v>0</v>
      </c>
      <c r="H4433">
        <v>0</v>
      </c>
      <c r="I4433">
        <v>0</v>
      </c>
      <c r="J4433">
        <v>0</v>
      </c>
      <c r="K4433">
        <v>0</v>
      </c>
    </row>
    <row r="4434" spans="1:11" x14ac:dyDescent="0.2">
      <c r="A4434" t="s">
        <v>1893</v>
      </c>
      <c r="B4434">
        <v>2</v>
      </c>
      <c r="C4434">
        <v>0</v>
      </c>
      <c r="D4434">
        <v>0</v>
      </c>
      <c r="E4434">
        <v>0</v>
      </c>
      <c r="F4434">
        <v>0</v>
      </c>
      <c r="G4434">
        <v>0</v>
      </c>
      <c r="H4434">
        <v>0</v>
      </c>
      <c r="I4434">
        <v>0</v>
      </c>
      <c r="J4434">
        <v>1</v>
      </c>
      <c r="K4434">
        <v>0</v>
      </c>
    </row>
    <row r="4435" spans="1:11" x14ac:dyDescent="0.2">
      <c r="A4435" t="s">
        <v>1899</v>
      </c>
      <c r="B4435">
        <v>0</v>
      </c>
      <c r="C4435">
        <v>0</v>
      </c>
      <c r="D4435">
        <v>0</v>
      </c>
      <c r="E4435">
        <v>0</v>
      </c>
      <c r="F4435">
        <v>0</v>
      </c>
      <c r="G4435">
        <v>0</v>
      </c>
      <c r="H4435">
        <v>0</v>
      </c>
      <c r="I4435">
        <v>0</v>
      </c>
      <c r="J4435">
        <v>0</v>
      </c>
      <c r="K4435">
        <v>0</v>
      </c>
    </row>
    <row r="4436" spans="1:11" x14ac:dyDescent="0.2">
      <c r="A4436" t="s">
        <v>1906</v>
      </c>
      <c r="B4436">
        <v>0</v>
      </c>
      <c r="C4436">
        <v>0</v>
      </c>
      <c r="D4436">
        <v>0</v>
      </c>
      <c r="E4436">
        <v>0</v>
      </c>
      <c r="F4436">
        <v>0</v>
      </c>
      <c r="G4436">
        <v>0</v>
      </c>
      <c r="H4436">
        <v>0</v>
      </c>
      <c r="I4436">
        <v>0</v>
      </c>
      <c r="J4436">
        <v>0</v>
      </c>
      <c r="K4436">
        <v>0</v>
      </c>
    </row>
    <row r="4437" spans="1:11" x14ac:dyDescent="0.2">
      <c r="A4437" t="s">
        <v>1911</v>
      </c>
      <c r="B4437">
        <v>0</v>
      </c>
      <c r="C4437">
        <v>0</v>
      </c>
      <c r="D4437">
        <v>0</v>
      </c>
      <c r="E4437">
        <v>0</v>
      </c>
      <c r="F4437">
        <v>0</v>
      </c>
      <c r="G4437">
        <v>0</v>
      </c>
      <c r="H4437">
        <v>0</v>
      </c>
      <c r="I4437">
        <v>0</v>
      </c>
      <c r="J4437">
        <v>0</v>
      </c>
      <c r="K4437">
        <v>0</v>
      </c>
    </row>
    <row r="4438" spans="1:11" x14ac:dyDescent="0.2">
      <c r="A4438" t="s">
        <v>1917</v>
      </c>
      <c r="B4438">
        <v>0</v>
      </c>
      <c r="C4438">
        <v>0</v>
      </c>
      <c r="D4438">
        <v>0</v>
      </c>
      <c r="E4438">
        <v>0</v>
      </c>
      <c r="F4438">
        <v>0</v>
      </c>
      <c r="G4438">
        <v>0</v>
      </c>
      <c r="H4438">
        <v>0</v>
      </c>
      <c r="I4438">
        <v>0</v>
      </c>
      <c r="J4438">
        <v>0</v>
      </c>
      <c r="K4438">
        <v>0</v>
      </c>
    </row>
    <row r="4439" spans="1:11" x14ac:dyDescent="0.2">
      <c r="A4439" t="s">
        <v>1922</v>
      </c>
      <c r="B4439">
        <v>0</v>
      </c>
      <c r="C4439">
        <v>0</v>
      </c>
      <c r="D4439">
        <v>0</v>
      </c>
      <c r="E4439">
        <v>0</v>
      </c>
      <c r="F4439">
        <v>0</v>
      </c>
      <c r="G4439">
        <v>0</v>
      </c>
      <c r="H4439">
        <v>0</v>
      </c>
      <c r="I4439">
        <v>0</v>
      </c>
      <c r="J4439">
        <v>0</v>
      </c>
      <c r="K4439">
        <v>0</v>
      </c>
    </row>
    <row r="4440" spans="1:11" x14ac:dyDescent="0.2">
      <c r="A4440" t="s">
        <v>1928</v>
      </c>
      <c r="B4440">
        <v>0</v>
      </c>
      <c r="C4440">
        <v>0</v>
      </c>
      <c r="D4440">
        <v>0</v>
      </c>
      <c r="E4440">
        <v>0</v>
      </c>
      <c r="F4440">
        <v>0</v>
      </c>
      <c r="G4440">
        <v>0</v>
      </c>
      <c r="H4440">
        <v>0</v>
      </c>
      <c r="I4440">
        <v>0</v>
      </c>
      <c r="J4440">
        <v>0</v>
      </c>
      <c r="K4440">
        <v>0</v>
      </c>
    </row>
    <row r="4441" spans="1:11" x14ac:dyDescent="0.2">
      <c r="A4441" t="s">
        <v>1932</v>
      </c>
      <c r="B4441">
        <v>0</v>
      </c>
      <c r="C4441">
        <v>0</v>
      </c>
      <c r="D4441">
        <v>0</v>
      </c>
      <c r="E4441">
        <v>0</v>
      </c>
      <c r="F4441">
        <v>0</v>
      </c>
      <c r="G4441">
        <v>0</v>
      </c>
      <c r="H4441">
        <v>0</v>
      </c>
      <c r="I4441">
        <v>0</v>
      </c>
      <c r="J4441">
        <v>0</v>
      </c>
      <c r="K4441">
        <v>0</v>
      </c>
    </row>
    <row r="4442" spans="1:11" x14ac:dyDescent="0.2">
      <c r="A4442" t="s">
        <v>1938</v>
      </c>
      <c r="B4442">
        <v>0</v>
      </c>
      <c r="C4442">
        <v>0</v>
      </c>
      <c r="D4442">
        <v>0</v>
      </c>
      <c r="E4442">
        <v>0</v>
      </c>
      <c r="F4442">
        <v>0</v>
      </c>
      <c r="G4442">
        <v>0</v>
      </c>
      <c r="H4442">
        <v>0</v>
      </c>
      <c r="I4442">
        <v>0</v>
      </c>
      <c r="J4442">
        <v>0</v>
      </c>
      <c r="K4442">
        <v>0</v>
      </c>
    </row>
    <row r="4443" spans="1:11" x14ac:dyDescent="0.2">
      <c r="A4443" t="s">
        <v>1944</v>
      </c>
      <c r="B4443">
        <v>0</v>
      </c>
      <c r="C4443">
        <v>0</v>
      </c>
      <c r="D4443">
        <v>0</v>
      </c>
      <c r="E4443">
        <v>0</v>
      </c>
      <c r="F4443">
        <v>0</v>
      </c>
      <c r="G4443">
        <v>0</v>
      </c>
      <c r="H4443">
        <v>0</v>
      </c>
      <c r="I4443">
        <v>1</v>
      </c>
      <c r="J4443">
        <v>9</v>
      </c>
      <c r="K4443">
        <v>0</v>
      </c>
    </row>
    <row r="4444" spans="1:11" x14ac:dyDescent="0.2">
      <c r="A4444" t="s">
        <v>1947</v>
      </c>
      <c r="B4444">
        <v>0</v>
      </c>
      <c r="C4444">
        <v>0</v>
      </c>
      <c r="D4444">
        <v>0</v>
      </c>
      <c r="E4444">
        <v>0</v>
      </c>
      <c r="F4444">
        <v>0</v>
      </c>
      <c r="G4444">
        <v>0</v>
      </c>
      <c r="H4444">
        <v>0</v>
      </c>
      <c r="I4444">
        <v>0</v>
      </c>
      <c r="J4444">
        <v>0</v>
      </c>
      <c r="K4444">
        <v>0</v>
      </c>
    </row>
    <row r="4445" spans="1:11" x14ac:dyDescent="0.2">
      <c r="A4445" t="s">
        <v>1953</v>
      </c>
      <c r="B4445">
        <v>0</v>
      </c>
      <c r="C4445">
        <v>0</v>
      </c>
      <c r="D4445">
        <v>0</v>
      </c>
      <c r="E4445">
        <v>0</v>
      </c>
      <c r="F4445">
        <v>0</v>
      </c>
      <c r="G4445">
        <v>0</v>
      </c>
      <c r="H4445">
        <v>0</v>
      </c>
      <c r="I4445">
        <v>0</v>
      </c>
      <c r="J4445">
        <v>0</v>
      </c>
      <c r="K4445">
        <v>0</v>
      </c>
    </row>
    <row r="4446" spans="1:11" x14ac:dyDescent="0.2">
      <c r="A4446" t="s">
        <v>1958</v>
      </c>
      <c r="B4446">
        <v>0</v>
      </c>
      <c r="C4446">
        <v>0</v>
      </c>
      <c r="D4446">
        <v>0</v>
      </c>
      <c r="E4446">
        <v>0</v>
      </c>
      <c r="F4446">
        <v>0</v>
      </c>
      <c r="G4446">
        <v>0</v>
      </c>
      <c r="H4446">
        <v>0</v>
      </c>
      <c r="I4446">
        <v>0</v>
      </c>
      <c r="J4446">
        <v>0</v>
      </c>
      <c r="K4446">
        <v>0</v>
      </c>
    </row>
    <row r="4447" spans="1:11" x14ac:dyDescent="0.2">
      <c r="A4447" t="s">
        <v>1964</v>
      </c>
      <c r="B4447">
        <v>0</v>
      </c>
      <c r="C4447">
        <v>0</v>
      </c>
      <c r="D4447">
        <v>0</v>
      </c>
      <c r="E4447">
        <v>0</v>
      </c>
      <c r="F4447">
        <v>0</v>
      </c>
      <c r="G4447">
        <v>0</v>
      </c>
      <c r="H4447">
        <v>0</v>
      </c>
      <c r="I4447">
        <v>0</v>
      </c>
      <c r="J4447">
        <v>0</v>
      </c>
      <c r="K4447">
        <v>0</v>
      </c>
    </row>
    <row r="4448" spans="1:11" x14ac:dyDescent="0.2">
      <c r="A4448" t="s">
        <v>1973</v>
      </c>
      <c r="B4448">
        <v>0</v>
      </c>
      <c r="C4448">
        <v>0</v>
      </c>
      <c r="D4448">
        <v>0</v>
      </c>
      <c r="E4448">
        <v>0</v>
      </c>
      <c r="F4448">
        <v>0</v>
      </c>
      <c r="G4448">
        <v>0</v>
      </c>
      <c r="H4448">
        <v>0</v>
      </c>
      <c r="I4448">
        <v>0</v>
      </c>
      <c r="J4448">
        <v>0</v>
      </c>
      <c r="K4448">
        <v>0</v>
      </c>
    </row>
    <row r="4449" spans="1:11" x14ac:dyDescent="0.2">
      <c r="A4449" t="s">
        <v>1978</v>
      </c>
      <c r="B4449">
        <v>0</v>
      </c>
      <c r="C4449">
        <v>0</v>
      </c>
      <c r="D4449">
        <v>0</v>
      </c>
      <c r="E4449">
        <v>0</v>
      </c>
      <c r="F4449">
        <v>0</v>
      </c>
      <c r="G4449">
        <v>0</v>
      </c>
      <c r="H4449">
        <v>0</v>
      </c>
      <c r="I4449">
        <v>0</v>
      </c>
      <c r="J4449">
        <v>0</v>
      </c>
      <c r="K4449">
        <v>0</v>
      </c>
    </row>
    <row r="4450" spans="1:11" x14ac:dyDescent="0.2">
      <c r="A4450" t="s">
        <v>1983</v>
      </c>
      <c r="B4450">
        <v>0</v>
      </c>
      <c r="C4450">
        <v>0</v>
      </c>
      <c r="D4450">
        <v>0</v>
      </c>
      <c r="E4450">
        <v>0</v>
      </c>
      <c r="F4450">
        <v>0</v>
      </c>
      <c r="G4450">
        <v>0</v>
      </c>
      <c r="H4450">
        <v>0</v>
      </c>
      <c r="I4450">
        <v>0</v>
      </c>
      <c r="J4450">
        <v>0</v>
      </c>
      <c r="K4450">
        <v>0</v>
      </c>
    </row>
    <row r="4451" spans="1:11" x14ac:dyDescent="0.2">
      <c r="A4451" t="s">
        <v>1984</v>
      </c>
      <c r="B4451">
        <v>0</v>
      </c>
      <c r="C4451">
        <v>0</v>
      </c>
      <c r="D4451">
        <v>0</v>
      </c>
      <c r="E4451">
        <v>0</v>
      </c>
      <c r="F4451">
        <v>0</v>
      </c>
      <c r="G4451">
        <v>0</v>
      </c>
      <c r="H4451">
        <v>0</v>
      </c>
      <c r="I4451">
        <v>0</v>
      </c>
      <c r="J4451">
        <v>0</v>
      </c>
      <c r="K4451">
        <v>0</v>
      </c>
    </row>
    <row r="4452" spans="1:11" x14ac:dyDescent="0.2">
      <c r="A4452" t="s">
        <v>1990</v>
      </c>
      <c r="B4452">
        <v>0</v>
      </c>
      <c r="C4452">
        <v>0</v>
      </c>
      <c r="D4452">
        <v>0</v>
      </c>
      <c r="E4452">
        <v>0</v>
      </c>
      <c r="F4452">
        <v>0</v>
      </c>
      <c r="G4452">
        <v>0</v>
      </c>
      <c r="H4452">
        <v>0</v>
      </c>
      <c r="I4452">
        <v>0</v>
      </c>
      <c r="J4452">
        <v>0</v>
      </c>
      <c r="K4452">
        <v>0</v>
      </c>
    </row>
    <row r="4453" spans="1:11" x14ac:dyDescent="0.2">
      <c r="A4453" t="s">
        <v>1996</v>
      </c>
      <c r="B4453">
        <v>0</v>
      </c>
      <c r="C4453">
        <v>0</v>
      </c>
      <c r="D4453">
        <v>0</v>
      </c>
      <c r="E4453">
        <v>0</v>
      </c>
      <c r="F4453">
        <v>0</v>
      </c>
      <c r="G4453">
        <v>0</v>
      </c>
      <c r="H4453">
        <v>0</v>
      </c>
      <c r="I4453">
        <v>0</v>
      </c>
      <c r="J4453">
        <v>0</v>
      </c>
      <c r="K4453">
        <v>0</v>
      </c>
    </row>
    <row r="4454" spans="1:11" x14ac:dyDescent="0.2">
      <c r="A4454" t="s">
        <v>1998</v>
      </c>
      <c r="B4454">
        <v>0</v>
      </c>
      <c r="C4454">
        <v>0</v>
      </c>
      <c r="D4454">
        <v>0</v>
      </c>
      <c r="E4454">
        <v>0</v>
      </c>
      <c r="F4454">
        <v>0</v>
      </c>
      <c r="G4454">
        <v>0</v>
      </c>
      <c r="H4454">
        <v>0</v>
      </c>
      <c r="I4454">
        <v>0</v>
      </c>
      <c r="J4454">
        <v>0</v>
      </c>
      <c r="K4454">
        <v>0</v>
      </c>
    </row>
    <row r="4455" spans="1:11" x14ac:dyDescent="0.2">
      <c r="A4455" t="s">
        <v>1999</v>
      </c>
      <c r="B4455">
        <v>0</v>
      </c>
      <c r="C4455">
        <v>0</v>
      </c>
      <c r="D4455">
        <v>0</v>
      </c>
      <c r="E4455">
        <v>0</v>
      </c>
      <c r="F4455">
        <v>0</v>
      </c>
      <c r="G4455">
        <v>0</v>
      </c>
      <c r="H4455">
        <v>0</v>
      </c>
      <c r="I4455">
        <v>0</v>
      </c>
      <c r="J4455">
        <v>0</v>
      </c>
      <c r="K4455">
        <v>0</v>
      </c>
    </row>
    <row r="4456" spans="1:11" x14ac:dyDescent="0.2">
      <c r="A4456" t="s">
        <v>2004</v>
      </c>
      <c r="B4456">
        <v>0</v>
      </c>
      <c r="C4456">
        <v>0</v>
      </c>
      <c r="D4456">
        <v>0</v>
      </c>
      <c r="E4456">
        <v>0</v>
      </c>
      <c r="F4456">
        <v>0</v>
      </c>
      <c r="G4456">
        <v>0</v>
      </c>
      <c r="H4456">
        <v>0</v>
      </c>
      <c r="I4456">
        <v>0</v>
      </c>
      <c r="J4456">
        <v>0</v>
      </c>
      <c r="K4456">
        <v>0</v>
      </c>
    </row>
    <row r="4457" spans="1:11" x14ac:dyDescent="0.2">
      <c r="A4457" t="s">
        <v>2009</v>
      </c>
      <c r="B4457">
        <v>0</v>
      </c>
      <c r="C4457">
        <v>0</v>
      </c>
      <c r="D4457">
        <v>0</v>
      </c>
      <c r="E4457">
        <v>0</v>
      </c>
      <c r="F4457">
        <v>0</v>
      </c>
      <c r="G4457">
        <v>0</v>
      </c>
      <c r="H4457">
        <v>0</v>
      </c>
      <c r="I4457">
        <v>0</v>
      </c>
      <c r="J4457">
        <v>0</v>
      </c>
      <c r="K4457">
        <v>0</v>
      </c>
    </row>
    <row r="4458" spans="1:11" x14ac:dyDescent="0.2">
      <c r="A4458" t="s">
        <v>2014</v>
      </c>
      <c r="B4458">
        <v>0</v>
      </c>
      <c r="C4458">
        <v>0</v>
      </c>
      <c r="D4458">
        <v>0</v>
      </c>
      <c r="E4458">
        <v>0</v>
      </c>
      <c r="F4458">
        <v>0</v>
      </c>
      <c r="G4458">
        <v>0</v>
      </c>
      <c r="H4458">
        <v>0</v>
      </c>
      <c r="I4458">
        <v>0</v>
      </c>
      <c r="J4458">
        <v>0</v>
      </c>
      <c r="K4458">
        <v>0</v>
      </c>
    </row>
    <row r="4459" spans="1:11" x14ac:dyDescent="0.2">
      <c r="A4459" t="s">
        <v>2019</v>
      </c>
      <c r="B4459">
        <v>0</v>
      </c>
      <c r="C4459">
        <v>0</v>
      </c>
      <c r="D4459">
        <v>0</v>
      </c>
      <c r="E4459">
        <v>0</v>
      </c>
      <c r="F4459">
        <v>0</v>
      </c>
      <c r="G4459">
        <v>0</v>
      </c>
      <c r="H4459">
        <v>0</v>
      </c>
      <c r="I4459">
        <v>0</v>
      </c>
      <c r="J4459">
        <v>0</v>
      </c>
      <c r="K4459">
        <v>0</v>
      </c>
    </row>
    <row r="4460" spans="1:11" x14ac:dyDescent="0.2">
      <c r="A4460" t="s">
        <v>2023</v>
      </c>
      <c r="B4460">
        <v>0</v>
      </c>
      <c r="C4460">
        <v>0</v>
      </c>
      <c r="D4460">
        <v>0</v>
      </c>
      <c r="E4460">
        <v>0</v>
      </c>
      <c r="F4460">
        <v>0</v>
      </c>
      <c r="G4460">
        <v>0</v>
      </c>
      <c r="H4460">
        <v>0</v>
      </c>
      <c r="I4460">
        <v>0</v>
      </c>
      <c r="J4460">
        <v>0</v>
      </c>
      <c r="K4460">
        <v>0</v>
      </c>
    </row>
    <row r="4461" spans="1:11" x14ac:dyDescent="0.2">
      <c r="A4461" t="s">
        <v>2026</v>
      </c>
      <c r="B4461">
        <v>0</v>
      </c>
      <c r="C4461">
        <v>0</v>
      </c>
      <c r="D4461">
        <v>0</v>
      </c>
      <c r="E4461">
        <v>0</v>
      </c>
      <c r="F4461">
        <v>0</v>
      </c>
      <c r="G4461">
        <v>0</v>
      </c>
      <c r="H4461">
        <v>0</v>
      </c>
      <c r="I4461">
        <v>0</v>
      </c>
      <c r="J4461">
        <v>0</v>
      </c>
      <c r="K4461">
        <v>0</v>
      </c>
    </row>
    <row r="4462" spans="1:11" x14ac:dyDescent="0.2">
      <c r="A4462" t="s">
        <v>2030</v>
      </c>
      <c r="B4462">
        <v>0</v>
      </c>
      <c r="C4462">
        <v>0</v>
      </c>
      <c r="D4462">
        <v>0</v>
      </c>
      <c r="E4462">
        <v>0</v>
      </c>
      <c r="F4462">
        <v>0</v>
      </c>
      <c r="G4462">
        <v>0</v>
      </c>
      <c r="H4462">
        <v>0</v>
      </c>
      <c r="I4462">
        <v>0</v>
      </c>
      <c r="J4462">
        <v>0</v>
      </c>
      <c r="K4462">
        <v>0</v>
      </c>
    </row>
    <row r="4463" spans="1:11" x14ac:dyDescent="0.2">
      <c r="A4463" t="s">
        <v>2035</v>
      </c>
      <c r="B4463">
        <v>0</v>
      </c>
      <c r="C4463">
        <v>0</v>
      </c>
      <c r="D4463">
        <v>0</v>
      </c>
      <c r="E4463">
        <v>0</v>
      </c>
      <c r="F4463">
        <v>0</v>
      </c>
      <c r="G4463">
        <v>0</v>
      </c>
      <c r="H4463">
        <v>0</v>
      </c>
      <c r="I4463">
        <v>0</v>
      </c>
      <c r="J4463">
        <v>0</v>
      </c>
      <c r="K4463">
        <v>0</v>
      </c>
    </row>
    <row r="4464" spans="1:11" x14ac:dyDescent="0.2">
      <c r="A4464" t="s">
        <v>2040</v>
      </c>
      <c r="B4464">
        <v>0</v>
      </c>
      <c r="C4464">
        <v>0</v>
      </c>
      <c r="D4464">
        <v>0</v>
      </c>
      <c r="E4464">
        <v>0</v>
      </c>
      <c r="F4464">
        <v>0</v>
      </c>
      <c r="G4464">
        <v>0</v>
      </c>
      <c r="H4464">
        <v>0</v>
      </c>
      <c r="I4464">
        <v>0</v>
      </c>
      <c r="J4464">
        <v>0</v>
      </c>
      <c r="K4464">
        <v>0</v>
      </c>
    </row>
    <row r="4465" spans="1:11" x14ac:dyDescent="0.2">
      <c r="A4465" t="s">
        <v>2045</v>
      </c>
      <c r="B4465">
        <v>0</v>
      </c>
      <c r="C4465">
        <v>0</v>
      </c>
      <c r="D4465">
        <v>0</v>
      </c>
      <c r="E4465">
        <v>0</v>
      </c>
      <c r="F4465">
        <v>0</v>
      </c>
      <c r="G4465">
        <v>0</v>
      </c>
      <c r="H4465">
        <v>0</v>
      </c>
      <c r="I4465">
        <v>0</v>
      </c>
      <c r="J4465">
        <v>0</v>
      </c>
      <c r="K4465">
        <v>0</v>
      </c>
    </row>
    <row r="4466" spans="1:11" x14ac:dyDescent="0.2">
      <c r="A4466" t="s">
        <v>2049</v>
      </c>
      <c r="B4466">
        <v>0</v>
      </c>
      <c r="C4466">
        <v>0</v>
      </c>
      <c r="D4466">
        <v>0</v>
      </c>
      <c r="E4466">
        <v>0</v>
      </c>
      <c r="F4466">
        <v>0</v>
      </c>
      <c r="G4466">
        <v>0</v>
      </c>
      <c r="H4466">
        <v>0</v>
      </c>
      <c r="I4466">
        <v>0</v>
      </c>
      <c r="J4466">
        <v>0</v>
      </c>
      <c r="K4466">
        <v>0</v>
      </c>
    </row>
    <row r="4467" spans="1:11" x14ac:dyDescent="0.2">
      <c r="A4467" t="s">
        <v>2051</v>
      </c>
      <c r="B4467">
        <v>0</v>
      </c>
      <c r="C4467">
        <v>0</v>
      </c>
      <c r="D4467">
        <v>0</v>
      </c>
      <c r="E4467">
        <v>0</v>
      </c>
      <c r="F4467">
        <v>0</v>
      </c>
      <c r="G4467">
        <v>0</v>
      </c>
      <c r="H4467">
        <v>0</v>
      </c>
      <c r="I4467">
        <v>0</v>
      </c>
      <c r="J4467">
        <v>0</v>
      </c>
      <c r="K4467">
        <v>0</v>
      </c>
    </row>
    <row r="4468" spans="1:11" x14ac:dyDescent="0.2">
      <c r="A4468" t="s">
        <v>2057</v>
      </c>
      <c r="B4468">
        <v>0</v>
      </c>
      <c r="C4468">
        <v>0</v>
      </c>
      <c r="D4468">
        <v>0</v>
      </c>
      <c r="E4468">
        <v>0</v>
      </c>
      <c r="F4468">
        <v>0</v>
      </c>
      <c r="G4468">
        <v>0</v>
      </c>
      <c r="H4468">
        <v>0</v>
      </c>
      <c r="I4468">
        <v>0</v>
      </c>
      <c r="J4468">
        <v>0</v>
      </c>
      <c r="K4468">
        <v>0</v>
      </c>
    </row>
    <row r="4469" spans="1:11" x14ac:dyDescent="0.2">
      <c r="A4469" t="s">
        <v>4344</v>
      </c>
      <c r="B4469">
        <v>0</v>
      </c>
      <c r="C4469">
        <v>0</v>
      </c>
      <c r="D4469">
        <v>0</v>
      </c>
      <c r="E4469">
        <v>0</v>
      </c>
      <c r="F4469">
        <v>0</v>
      </c>
      <c r="G4469">
        <v>0</v>
      </c>
      <c r="H4469">
        <v>0</v>
      </c>
      <c r="I4469">
        <v>0</v>
      </c>
      <c r="J4469">
        <v>0</v>
      </c>
      <c r="K4469">
        <v>0</v>
      </c>
    </row>
    <row r="4470" spans="1:11" x14ac:dyDescent="0.2">
      <c r="A4470" t="s">
        <v>4345</v>
      </c>
      <c r="B4470">
        <v>0</v>
      </c>
      <c r="C4470">
        <v>0</v>
      </c>
      <c r="D4470">
        <v>0</v>
      </c>
      <c r="E4470">
        <v>0</v>
      </c>
      <c r="F4470">
        <v>0</v>
      </c>
      <c r="G4470">
        <v>0</v>
      </c>
      <c r="H4470">
        <v>0</v>
      </c>
      <c r="I4470">
        <v>0</v>
      </c>
      <c r="J4470">
        <v>0</v>
      </c>
      <c r="K4470">
        <v>0</v>
      </c>
    </row>
    <row r="4471" spans="1:11" x14ac:dyDescent="0.2">
      <c r="A4471" t="s">
        <v>2074</v>
      </c>
      <c r="B4471">
        <v>0</v>
      </c>
      <c r="C4471">
        <v>0</v>
      </c>
      <c r="D4471">
        <v>0</v>
      </c>
      <c r="E4471">
        <v>0</v>
      </c>
      <c r="F4471">
        <v>0</v>
      </c>
      <c r="G4471">
        <v>0</v>
      </c>
      <c r="H4471">
        <v>0</v>
      </c>
      <c r="I4471">
        <v>0</v>
      </c>
      <c r="J4471">
        <v>0</v>
      </c>
      <c r="K4471">
        <v>0</v>
      </c>
    </row>
    <row r="4472" spans="1:11" x14ac:dyDescent="0.2">
      <c r="A4472" t="s">
        <v>2079</v>
      </c>
      <c r="B4472">
        <v>0</v>
      </c>
      <c r="C4472">
        <v>0</v>
      </c>
      <c r="D4472">
        <v>0</v>
      </c>
      <c r="E4472">
        <v>0</v>
      </c>
      <c r="F4472">
        <v>0</v>
      </c>
      <c r="G4472">
        <v>0</v>
      </c>
      <c r="H4472">
        <v>0</v>
      </c>
      <c r="I4472">
        <v>0</v>
      </c>
      <c r="J4472">
        <v>0</v>
      </c>
      <c r="K4472">
        <v>0</v>
      </c>
    </row>
    <row r="4473" spans="1:11" x14ac:dyDescent="0.2">
      <c r="A4473" t="s">
        <v>2085</v>
      </c>
      <c r="B4473">
        <v>0</v>
      </c>
      <c r="C4473">
        <v>0</v>
      </c>
      <c r="D4473">
        <v>0</v>
      </c>
      <c r="E4473">
        <v>0</v>
      </c>
      <c r="F4473">
        <v>0</v>
      </c>
      <c r="G4473">
        <v>0</v>
      </c>
      <c r="H4473">
        <v>0</v>
      </c>
      <c r="I4473">
        <v>0</v>
      </c>
      <c r="J4473">
        <v>0</v>
      </c>
      <c r="K4473">
        <v>0</v>
      </c>
    </row>
    <row r="4474" spans="1:11" x14ac:dyDescent="0.2">
      <c r="A4474" t="s">
        <v>2091</v>
      </c>
      <c r="B4474">
        <v>0</v>
      </c>
      <c r="C4474">
        <v>0</v>
      </c>
      <c r="D4474">
        <v>0</v>
      </c>
      <c r="E4474">
        <v>0</v>
      </c>
      <c r="F4474">
        <v>0</v>
      </c>
      <c r="G4474">
        <v>0</v>
      </c>
      <c r="H4474">
        <v>0</v>
      </c>
      <c r="I4474">
        <v>0</v>
      </c>
      <c r="J4474">
        <v>0</v>
      </c>
      <c r="K4474">
        <v>0</v>
      </c>
    </row>
    <row r="4475" spans="1:11" x14ac:dyDescent="0.2">
      <c r="A4475" t="s">
        <v>2097</v>
      </c>
      <c r="B4475">
        <v>0</v>
      </c>
      <c r="C4475">
        <v>0</v>
      </c>
      <c r="D4475">
        <v>0</v>
      </c>
      <c r="E4475">
        <v>0</v>
      </c>
      <c r="F4475">
        <v>0</v>
      </c>
      <c r="G4475">
        <v>0</v>
      </c>
      <c r="H4475">
        <v>0</v>
      </c>
      <c r="I4475">
        <v>0</v>
      </c>
      <c r="J4475">
        <v>0</v>
      </c>
      <c r="K4475">
        <v>0</v>
      </c>
    </row>
    <row r="4476" spans="1:11" x14ac:dyDescent="0.2">
      <c r="A4476" t="s">
        <v>2101</v>
      </c>
      <c r="B4476">
        <v>0</v>
      </c>
      <c r="C4476">
        <v>0</v>
      </c>
      <c r="D4476">
        <v>0</v>
      </c>
      <c r="E4476">
        <v>0</v>
      </c>
      <c r="F4476">
        <v>0</v>
      </c>
      <c r="G4476">
        <v>0</v>
      </c>
      <c r="H4476">
        <v>0</v>
      </c>
      <c r="I4476">
        <v>0</v>
      </c>
      <c r="J4476">
        <v>0</v>
      </c>
      <c r="K4476">
        <v>0</v>
      </c>
    </row>
    <row r="4477" spans="1:11" x14ac:dyDescent="0.2">
      <c r="A4477" t="s">
        <v>2104</v>
      </c>
      <c r="B4477">
        <v>0</v>
      </c>
      <c r="C4477">
        <v>0</v>
      </c>
      <c r="D4477">
        <v>0</v>
      </c>
      <c r="E4477">
        <v>0</v>
      </c>
      <c r="F4477">
        <v>0</v>
      </c>
      <c r="G4477">
        <v>0</v>
      </c>
      <c r="H4477">
        <v>0</v>
      </c>
      <c r="I4477">
        <v>0</v>
      </c>
      <c r="J4477">
        <v>0</v>
      </c>
      <c r="K4477">
        <v>0</v>
      </c>
    </row>
    <row r="4478" spans="1:11" x14ac:dyDescent="0.2">
      <c r="A4478" t="s">
        <v>2107</v>
      </c>
      <c r="B4478">
        <v>0</v>
      </c>
      <c r="C4478">
        <v>0</v>
      </c>
      <c r="D4478">
        <v>0</v>
      </c>
      <c r="E4478">
        <v>0</v>
      </c>
      <c r="F4478">
        <v>0</v>
      </c>
      <c r="G4478">
        <v>0</v>
      </c>
      <c r="H4478">
        <v>0</v>
      </c>
      <c r="I4478">
        <v>0</v>
      </c>
      <c r="J4478">
        <v>0</v>
      </c>
      <c r="K4478">
        <v>0</v>
      </c>
    </row>
    <row r="4479" spans="1:11" x14ac:dyDescent="0.2">
      <c r="A4479" t="s">
        <v>2110</v>
      </c>
      <c r="B4479">
        <v>0</v>
      </c>
      <c r="C4479">
        <v>0</v>
      </c>
      <c r="D4479">
        <v>0</v>
      </c>
      <c r="E4479">
        <v>0</v>
      </c>
      <c r="F4479">
        <v>0</v>
      </c>
      <c r="G4479">
        <v>0</v>
      </c>
      <c r="H4479">
        <v>0</v>
      </c>
      <c r="I4479">
        <v>0</v>
      </c>
      <c r="J4479">
        <v>0</v>
      </c>
      <c r="K4479">
        <v>0</v>
      </c>
    </row>
    <row r="4480" spans="1:11" x14ac:dyDescent="0.2">
      <c r="A4480" t="s">
        <v>2113</v>
      </c>
      <c r="B4480">
        <v>0</v>
      </c>
      <c r="C4480">
        <v>0</v>
      </c>
      <c r="D4480">
        <v>0</v>
      </c>
      <c r="E4480">
        <v>0</v>
      </c>
      <c r="F4480">
        <v>0</v>
      </c>
      <c r="G4480">
        <v>0</v>
      </c>
      <c r="H4480">
        <v>0</v>
      </c>
      <c r="I4480">
        <v>0</v>
      </c>
      <c r="J4480">
        <v>0</v>
      </c>
      <c r="K4480">
        <v>0</v>
      </c>
    </row>
    <row r="4481" spans="1:11" x14ac:dyDescent="0.2">
      <c r="A4481" t="s">
        <v>4346</v>
      </c>
      <c r="B4481">
        <v>0</v>
      </c>
      <c r="C4481">
        <v>0</v>
      </c>
      <c r="D4481">
        <v>0</v>
      </c>
      <c r="E4481">
        <v>0</v>
      </c>
      <c r="F4481">
        <v>0</v>
      </c>
      <c r="G4481">
        <v>0</v>
      </c>
      <c r="H4481">
        <v>0</v>
      </c>
      <c r="I4481">
        <v>0</v>
      </c>
      <c r="J4481">
        <v>0</v>
      </c>
      <c r="K4481">
        <v>0</v>
      </c>
    </row>
    <row r="4482" spans="1:11" x14ac:dyDescent="0.2">
      <c r="A4482" t="s">
        <v>4347</v>
      </c>
      <c r="B4482">
        <v>0</v>
      </c>
      <c r="C4482">
        <v>0</v>
      </c>
      <c r="D4482">
        <v>0</v>
      </c>
      <c r="E4482">
        <v>0</v>
      </c>
      <c r="F4482">
        <v>0</v>
      </c>
      <c r="G4482">
        <v>0</v>
      </c>
      <c r="H4482">
        <v>0</v>
      </c>
      <c r="I4482">
        <v>0</v>
      </c>
      <c r="J4482">
        <v>0</v>
      </c>
      <c r="K4482">
        <v>0</v>
      </c>
    </row>
    <row r="4483" spans="1:11" x14ac:dyDescent="0.2">
      <c r="A4483" t="s">
        <v>4348</v>
      </c>
      <c r="B4483">
        <v>0</v>
      </c>
      <c r="C4483">
        <v>0</v>
      </c>
      <c r="D4483">
        <v>0</v>
      </c>
      <c r="E4483">
        <v>0</v>
      </c>
      <c r="F4483">
        <v>0</v>
      </c>
      <c r="G4483">
        <v>0</v>
      </c>
      <c r="H4483">
        <v>0</v>
      </c>
      <c r="I4483">
        <v>0</v>
      </c>
      <c r="J4483">
        <v>0</v>
      </c>
      <c r="K4483">
        <v>0</v>
      </c>
    </row>
    <row r="4484" spans="1:11" x14ac:dyDescent="0.2">
      <c r="A4484" t="s">
        <v>4349</v>
      </c>
      <c r="B4484">
        <v>0</v>
      </c>
      <c r="C4484">
        <v>0</v>
      </c>
      <c r="D4484">
        <v>0</v>
      </c>
      <c r="E4484">
        <v>0</v>
      </c>
      <c r="F4484">
        <v>0</v>
      </c>
      <c r="G4484">
        <v>0</v>
      </c>
      <c r="H4484">
        <v>0</v>
      </c>
      <c r="I4484">
        <v>0</v>
      </c>
      <c r="J4484">
        <v>0</v>
      </c>
      <c r="K4484">
        <v>0</v>
      </c>
    </row>
    <row r="4485" spans="1:11" x14ac:dyDescent="0.2">
      <c r="A4485" t="s">
        <v>4350</v>
      </c>
      <c r="B4485">
        <v>253</v>
      </c>
      <c r="C4485">
        <v>0</v>
      </c>
      <c r="D4485">
        <v>3</v>
      </c>
      <c r="E4485">
        <v>43</v>
      </c>
      <c r="F4485">
        <v>220</v>
      </c>
      <c r="G4485">
        <v>0</v>
      </c>
      <c r="H4485">
        <v>0</v>
      </c>
      <c r="I4485">
        <v>61</v>
      </c>
      <c r="J4485">
        <v>432</v>
      </c>
      <c r="K4485">
        <v>0</v>
      </c>
    </row>
    <row r="4486" spans="1:11" x14ac:dyDescent="0.2">
      <c r="A4486" t="s">
        <v>4351</v>
      </c>
      <c r="B4486">
        <v>0</v>
      </c>
      <c r="C4486">
        <v>0</v>
      </c>
      <c r="D4486">
        <v>0</v>
      </c>
      <c r="E4486">
        <v>0</v>
      </c>
      <c r="F4486">
        <v>0</v>
      </c>
      <c r="G4486">
        <v>0</v>
      </c>
      <c r="H4486">
        <v>0</v>
      </c>
      <c r="I4486">
        <v>0</v>
      </c>
      <c r="J4486">
        <v>0</v>
      </c>
      <c r="K4486">
        <v>0</v>
      </c>
    </row>
    <row r="4487" spans="1:11" x14ac:dyDescent="0.2">
      <c r="A4487" t="s">
        <v>4352</v>
      </c>
      <c r="B4487">
        <v>0</v>
      </c>
      <c r="C4487">
        <v>0</v>
      </c>
      <c r="D4487">
        <v>0</v>
      </c>
      <c r="E4487">
        <v>0</v>
      </c>
      <c r="F4487">
        <v>0</v>
      </c>
      <c r="G4487">
        <v>0</v>
      </c>
      <c r="H4487">
        <v>0</v>
      </c>
      <c r="I4487">
        <v>0</v>
      </c>
      <c r="J4487">
        <v>0</v>
      </c>
      <c r="K4487">
        <v>0</v>
      </c>
    </row>
    <row r="4488" spans="1:11" x14ac:dyDescent="0.2">
      <c r="A4488" t="s">
        <v>4353</v>
      </c>
      <c r="B4488">
        <v>335</v>
      </c>
      <c r="C4488">
        <v>0</v>
      </c>
      <c r="D4488">
        <v>3</v>
      </c>
      <c r="E4488">
        <v>42</v>
      </c>
      <c r="F4488">
        <v>200</v>
      </c>
      <c r="G4488">
        <v>0</v>
      </c>
      <c r="H4488">
        <v>0</v>
      </c>
      <c r="I4488">
        <v>86</v>
      </c>
      <c r="J4488">
        <v>591</v>
      </c>
      <c r="K4488">
        <v>0</v>
      </c>
    </row>
    <row r="4489" spans="1:11" x14ac:dyDescent="0.2">
      <c r="A4489" t="s">
        <v>4354</v>
      </c>
      <c r="B4489">
        <v>65</v>
      </c>
      <c r="C4489">
        <v>0</v>
      </c>
      <c r="D4489">
        <v>0</v>
      </c>
      <c r="E4489">
        <v>4</v>
      </c>
      <c r="F4489">
        <v>17</v>
      </c>
      <c r="G4489">
        <v>0</v>
      </c>
      <c r="H4489">
        <v>0</v>
      </c>
      <c r="I4489">
        <v>20</v>
      </c>
      <c r="J4489">
        <v>134</v>
      </c>
      <c r="K4489">
        <v>0</v>
      </c>
    </row>
    <row r="4490" spans="1:11" x14ac:dyDescent="0.2">
      <c r="A4490" t="s">
        <v>4355</v>
      </c>
      <c r="B4490">
        <v>0</v>
      </c>
      <c r="C4490">
        <v>0</v>
      </c>
      <c r="D4490">
        <v>0</v>
      </c>
      <c r="E4490">
        <v>0</v>
      </c>
      <c r="F4490">
        <v>0</v>
      </c>
      <c r="G4490">
        <v>0</v>
      </c>
      <c r="H4490">
        <v>0</v>
      </c>
      <c r="I4490">
        <v>0</v>
      </c>
      <c r="J4490">
        <v>0</v>
      </c>
      <c r="K4490">
        <v>0</v>
      </c>
    </row>
    <row r="4491" spans="1:11" x14ac:dyDescent="0.2">
      <c r="A4491" t="s">
        <v>4356</v>
      </c>
      <c r="B4491">
        <v>0</v>
      </c>
      <c r="C4491">
        <v>0</v>
      </c>
      <c r="D4491">
        <v>0</v>
      </c>
      <c r="E4491">
        <v>0</v>
      </c>
      <c r="F4491">
        <v>0</v>
      </c>
      <c r="G4491">
        <v>0</v>
      </c>
      <c r="H4491">
        <v>0</v>
      </c>
      <c r="I4491">
        <v>0</v>
      </c>
      <c r="J4491">
        <v>0</v>
      </c>
      <c r="K4491">
        <v>0</v>
      </c>
    </row>
    <row r="4492" spans="1:11" x14ac:dyDescent="0.2">
      <c r="A4492" t="s">
        <v>4357</v>
      </c>
      <c r="B4492">
        <v>38</v>
      </c>
      <c r="C4492">
        <v>0</v>
      </c>
      <c r="D4492">
        <v>0</v>
      </c>
      <c r="E4492">
        <v>2</v>
      </c>
      <c r="F4492">
        <v>11</v>
      </c>
      <c r="G4492">
        <v>0</v>
      </c>
      <c r="H4492">
        <v>0</v>
      </c>
      <c r="I4492">
        <v>11</v>
      </c>
      <c r="J4492">
        <v>75</v>
      </c>
      <c r="K4492">
        <v>0</v>
      </c>
    </row>
    <row r="4493" spans="1:11" x14ac:dyDescent="0.2">
      <c r="A4493" t="s">
        <v>4358</v>
      </c>
      <c r="B4493">
        <v>47</v>
      </c>
      <c r="C4493">
        <v>0</v>
      </c>
      <c r="D4493">
        <v>0</v>
      </c>
      <c r="E4493">
        <v>7</v>
      </c>
      <c r="F4493">
        <v>33</v>
      </c>
      <c r="G4493">
        <v>0</v>
      </c>
      <c r="H4493">
        <v>0</v>
      </c>
      <c r="I4493">
        <v>1</v>
      </c>
      <c r="J4493">
        <v>7</v>
      </c>
      <c r="K4493">
        <v>0</v>
      </c>
    </row>
    <row r="4494" spans="1:11" x14ac:dyDescent="0.2">
      <c r="A4494" t="s">
        <v>4359</v>
      </c>
      <c r="B4494">
        <v>0</v>
      </c>
      <c r="C4494">
        <v>0</v>
      </c>
      <c r="D4494">
        <v>0</v>
      </c>
      <c r="E4494">
        <v>0</v>
      </c>
      <c r="F4494">
        <v>0</v>
      </c>
      <c r="G4494">
        <v>0</v>
      </c>
      <c r="H4494">
        <v>0</v>
      </c>
      <c r="I4494">
        <v>0</v>
      </c>
      <c r="J4494">
        <v>0</v>
      </c>
      <c r="K4494">
        <v>0</v>
      </c>
    </row>
    <row r="4495" spans="1:11" x14ac:dyDescent="0.2">
      <c r="A4495" t="s">
        <v>4360</v>
      </c>
      <c r="B4495">
        <v>4</v>
      </c>
      <c r="C4495">
        <v>0</v>
      </c>
      <c r="D4495">
        <v>0</v>
      </c>
      <c r="E4495">
        <v>0</v>
      </c>
      <c r="F4495">
        <v>2</v>
      </c>
      <c r="G4495">
        <v>0</v>
      </c>
      <c r="H4495">
        <v>0</v>
      </c>
      <c r="I4495">
        <v>9</v>
      </c>
      <c r="J4495">
        <v>69</v>
      </c>
      <c r="K4495">
        <v>0</v>
      </c>
    </row>
    <row r="4496" spans="1:11" x14ac:dyDescent="0.2">
      <c r="A4496" t="s">
        <v>4361</v>
      </c>
      <c r="B4496">
        <v>1052</v>
      </c>
      <c r="C4496">
        <v>0</v>
      </c>
      <c r="D4496">
        <v>13</v>
      </c>
      <c r="E4496">
        <v>192</v>
      </c>
      <c r="F4496">
        <v>934</v>
      </c>
      <c r="G4496">
        <v>0</v>
      </c>
      <c r="H4496">
        <v>0</v>
      </c>
      <c r="I4496">
        <v>12</v>
      </c>
      <c r="J4496">
        <v>85</v>
      </c>
      <c r="K4496">
        <v>0</v>
      </c>
    </row>
    <row r="4497" spans="1:15" x14ac:dyDescent="0.2">
      <c r="A4497" t="s">
        <v>4362</v>
      </c>
      <c r="B4497">
        <v>48</v>
      </c>
      <c r="C4497">
        <v>0</v>
      </c>
      <c r="D4497">
        <v>0</v>
      </c>
      <c r="E4497">
        <v>6</v>
      </c>
      <c r="F4497">
        <v>32</v>
      </c>
      <c r="G4497">
        <v>0</v>
      </c>
      <c r="H4497">
        <v>0</v>
      </c>
      <c r="I4497">
        <v>0</v>
      </c>
      <c r="J4497">
        <v>0</v>
      </c>
      <c r="K4497">
        <v>0</v>
      </c>
    </row>
    <row r="4498" spans="1:15" x14ac:dyDescent="0.2">
      <c r="A4498" t="s">
        <v>4363</v>
      </c>
      <c r="B4498">
        <v>0</v>
      </c>
      <c r="C4498">
        <v>0</v>
      </c>
      <c r="D4498">
        <v>0</v>
      </c>
      <c r="E4498">
        <v>0</v>
      </c>
      <c r="F4498">
        <v>0</v>
      </c>
      <c r="G4498">
        <v>0</v>
      </c>
      <c r="H4498">
        <v>0</v>
      </c>
      <c r="I4498">
        <v>0</v>
      </c>
      <c r="J4498">
        <v>0</v>
      </c>
      <c r="K4498">
        <v>0</v>
      </c>
    </row>
    <row r="4499" spans="1:15" x14ac:dyDescent="0.2">
      <c r="A4499" t="s">
        <v>4364</v>
      </c>
      <c r="B4499">
        <v>0</v>
      </c>
      <c r="C4499">
        <v>0</v>
      </c>
      <c r="D4499">
        <v>0</v>
      </c>
      <c r="E4499">
        <v>0</v>
      </c>
      <c r="F4499">
        <v>0</v>
      </c>
      <c r="G4499">
        <v>0</v>
      </c>
      <c r="H4499">
        <v>0</v>
      </c>
      <c r="I4499">
        <v>0</v>
      </c>
      <c r="J4499">
        <v>0</v>
      </c>
      <c r="K4499">
        <v>0</v>
      </c>
    </row>
    <row r="4500" spans="1:15" x14ac:dyDescent="0.2">
      <c r="A4500" t="s">
        <v>4365</v>
      </c>
      <c r="B4500">
        <v>330</v>
      </c>
      <c r="C4500">
        <v>0</v>
      </c>
      <c r="D4500">
        <v>7</v>
      </c>
      <c r="E4500">
        <v>916</v>
      </c>
      <c r="F4500">
        <v>524</v>
      </c>
      <c r="G4500">
        <v>0</v>
      </c>
      <c r="H4500">
        <v>0</v>
      </c>
      <c r="I4500">
        <v>15</v>
      </c>
      <c r="J4500">
        <v>12</v>
      </c>
      <c r="K4500">
        <v>0</v>
      </c>
    </row>
    <row r="4501" spans="1:15" x14ac:dyDescent="0.2">
      <c r="A4501" t="s">
        <v>4366</v>
      </c>
      <c r="B4501">
        <v>0</v>
      </c>
      <c r="C4501">
        <v>0</v>
      </c>
      <c r="D4501">
        <v>0</v>
      </c>
      <c r="E4501">
        <v>0</v>
      </c>
      <c r="F4501">
        <v>0</v>
      </c>
      <c r="G4501">
        <v>0</v>
      </c>
      <c r="H4501">
        <v>0</v>
      </c>
      <c r="I4501">
        <v>2</v>
      </c>
      <c r="J4501">
        <v>17</v>
      </c>
      <c r="K4501">
        <v>0</v>
      </c>
    </row>
    <row r="4502" spans="1:15" x14ac:dyDescent="0.2">
      <c r="A4502" t="s">
        <v>4367</v>
      </c>
      <c r="B4502">
        <v>111</v>
      </c>
      <c r="C4502">
        <v>0</v>
      </c>
      <c r="D4502">
        <v>2</v>
      </c>
      <c r="E4502">
        <v>35</v>
      </c>
      <c r="F4502">
        <v>179</v>
      </c>
      <c r="G4502">
        <v>0</v>
      </c>
      <c r="H4502">
        <v>0</v>
      </c>
      <c r="I4502">
        <v>0</v>
      </c>
      <c r="J4502">
        <v>0</v>
      </c>
      <c r="K4502">
        <v>0</v>
      </c>
    </row>
    <row r="4503" spans="1:15" x14ac:dyDescent="0.2">
      <c r="A4503" t="s">
        <v>4368</v>
      </c>
      <c r="B4503">
        <v>202</v>
      </c>
      <c r="C4503">
        <v>0</v>
      </c>
      <c r="D4503">
        <v>1</v>
      </c>
      <c r="E4503">
        <v>126</v>
      </c>
      <c r="F4503">
        <v>80</v>
      </c>
      <c r="G4503">
        <v>0</v>
      </c>
      <c r="H4503">
        <v>0</v>
      </c>
      <c r="I4503">
        <v>81</v>
      </c>
      <c r="J4503">
        <v>72</v>
      </c>
      <c r="K4503">
        <v>0</v>
      </c>
    </row>
    <row r="4504" spans="1:15" s="180" customFormat="1" x14ac:dyDescent="0.2">
      <c r="A4504" s="180" t="s">
        <v>4369</v>
      </c>
      <c r="B4504" s="180">
        <v>399</v>
      </c>
      <c r="C4504" s="180">
        <v>0</v>
      </c>
      <c r="D4504" s="180">
        <v>2</v>
      </c>
      <c r="E4504" s="180">
        <v>72</v>
      </c>
      <c r="F4504" s="180">
        <v>139</v>
      </c>
      <c r="G4504" s="180">
        <v>0</v>
      </c>
      <c r="H4504" s="180">
        <v>0</v>
      </c>
      <c r="I4504" s="180">
        <v>1130</v>
      </c>
      <c r="J4504" s="180">
        <v>3274</v>
      </c>
      <c r="K4504" s="180">
        <v>0</v>
      </c>
      <c r="N4504"/>
      <c r="O4504"/>
    </row>
    <row r="4505" spans="1:15" x14ac:dyDescent="0.2">
      <c r="A4505" t="s">
        <v>4370</v>
      </c>
      <c r="B4505">
        <v>355</v>
      </c>
      <c r="C4505">
        <v>0</v>
      </c>
      <c r="D4505">
        <v>3</v>
      </c>
      <c r="E4505">
        <v>424</v>
      </c>
      <c r="F4505">
        <v>235</v>
      </c>
      <c r="G4505">
        <v>0</v>
      </c>
      <c r="H4505">
        <v>0</v>
      </c>
      <c r="I4505">
        <v>1</v>
      </c>
      <c r="J4505">
        <v>1</v>
      </c>
      <c r="K4505">
        <v>0</v>
      </c>
      <c r="N4505" s="180"/>
      <c r="O4505" s="180"/>
    </row>
    <row r="4506" spans="1:15" x14ac:dyDescent="0.2">
      <c r="A4506" t="s">
        <v>4371</v>
      </c>
      <c r="B4506">
        <v>49</v>
      </c>
      <c r="C4506">
        <v>0</v>
      </c>
      <c r="D4506">
        <v>0</v>
      </c>
      <c r="E4506">
        <v>22</v>
      </c>
      <c r="F4506">
        <v>12</v>
      </c>
      <c r="G4506">
        <v>0</v>
      </c>
      <c r="H4506">
        <v>0</v>
      </c>
      <c r="I4506">
        <v>0</v>
      </c>
      <c r="J4506">
        <v>0</v>
      </c>
      <c r="K4506">
        <v>0</v>
      </c>
    </row>
    <row r="4507" spans="1:15" x14ac:dyDescent="0.2">
      <c r="A4507" t="s">
        <v>4372</v>
      </c>
      <c r="B4507">
        <v>0</v>
      </c>
      <c r="C4507">
        <v>0</v>
      </c>
      <c r="D4507">
        <v>0</v>
      </c>
      <c r="E4507">
        <v>0</v>
      </c>
      <c r="F4507">
        <v>0</v>
      </c>
      <c r="G4507">
        <v>0</v>
      </c>
      <c r="H4507">
        <v>0</v>
      </c>
      <c r="I4507">
        <v>0</v>
      </c>
      <c r="J4507">
        <v>0</v>
      </c>
      <c r="K4507">
        <v>0</v>
      </c>
    </row>
    <row r="4508" spans="1:15" x14ac:dyDescent="0.2">
      <c r="A4508" t="s">
        <v>4373</v>
      </c>
      <c r="B4508">
        <v>69</v>
      </c>
      <c r="C4508">
        <v>0</v>
      </c>
      <c r="D4508">
        <v>0</v>
      </c>
      <c r="E4508">
        <v>3</v>
      </c>
      <c r="F4508">
        <v>15</v>
      </c>
      <c r="G4508">
        <v>0</v>
      </c>
      <c r="H4508">
        <v>0</v>
      </c>
      <c r="I4508">
        <v>15</v>
      </c>
      <c r="J4508">
        <v>104</v>
      </c>
      <c r="K4508">
        <v>0</v>
      </c>
    </row>
    <row r="4509" spans="1:15" x14ac:dyDescent="0.2">
      <c r="A4509" t="s">
        <v>4374</v>
      </c>
      <c r="B4509">
        <v>52</v>
      </c>
      <c r="C4509">
        <v>0</v>
      </c>
      <c r="D4509">
        <v>0</v>
      </c>
      <c r="E4509">
        <v>2</v>
      </c>
      <c r="F4509">
        <v>9</v>
      </c>
      <c r="G4509">
        <v>0</v>
      </c>
      <c r="H4509">
        <v>0</v>
      </c>
      <c r="I4509">
        <v>2</v>
      </c>
      <c r="J4509">
        <v>12</v>
      </c>
      <c r="K4509">
        <v>0</v>
      </c>
    </row>
    <row r="4510" spans="1:15" x14ac:dyDescent="0.2">
      <c r="A4510" t="s">
        <v>4375</v>
      </c>
      <c r="B4510">
        <v>29</v>
      </c>
      <c r="C4510">
        <v>0</v>
      </c>
      <c r="D4510">
        <v>1</v>
      </c>
      <c r="E4510">
        <v>12</v>
      </c>
      <c r="F4510">
        <v>62</v>
      </c>
      <c r="G4510">
        <v>0</v>
      </c>
      <c r="H4510">
        <v>0</v>
      </c>
      <c r="I4510">
        <v>19</v>
      </c>
      <c r="J4510">
        <v>131</v>
      </c>
      <c r="K4510">
        <v>0</v>
      </c>
    </row>
    <row r="4511" spans="1:15" x14ac:dyDescent="0.2">
      <c r="A4511" t="s">
        <v>4376</v>
      </c>
      <c r="B4511">
        <v>4</v>
      </c>
      <c r="C4511">
        <v>0</v>
      </c>
      <c r="D4511">
        <v>0</v>
      </c>
      <c r="E4511">
        <v>1</v>
      </c>
      <c r="F4511">
        <v>3</v>
      </c>
      <c r="G4511">
        <v>0</v>
      </c>
      <c r="H4511">
        <v>0</v>
      </c>
      <c r="I4511">
        <v>2</v>
      </c>
      <c r="J4511">
        <v>14</v>
      </c>
      <c r="K4511">
        <v>0</v>
      </c>
    </row>
    <row r="4512" spans="1:15" x14ac:dyDescent="0.2">
      <c r="A4512" t="s">
        <v>4377</v>
      </c>
      <c r="B4512">
        <v>113</v>
      </c>
      <c r="C4512">
        <v>0</v>
      </c>
      <c r="D4512">
        <v>1</v>
      </c>
      <c r="E4512">
        <v>12</v>
      </c>
      <c r="F4512">
        <v>61</v>
      </c>
      <c r="G4512">
        <v>0</v>
      </c>
      <c r="H4512">
        <v>0</v>
      </c>
      <c r="I4512">
        <v>24</v>
      </c>
      <c r="J4512">
        <v>173</v>
      </c>
      <c r="K4512">
        <v>0</v>
      </c>
    </row>
    <row r="4513" spans="1:11" x14ac:dyDescent="0.2">
      <c r="A4513" t="s">
        <v>4854</v>
      </c>
      <c r="B4513">
        <v>5097</v>
      </c>
      <c r="C4513">
        <v>0</v>
      </c>
      <c r="D4513">
        <v>42</v>
      </c>
      <c r="E4513">
        <v>2041</v>
      </c>
      <c r="F4513">
        <v>3029</v>
      </c>
      <c r="G4513">
        <v>0</v>
      </c>
      <c r="H4513">
        <v>0</v>
      </c>
      <c r="I4513">
        <v>1639</v>
      </c>
      <c r="J4513">
        <v>5711</v>
      </c>
      <c r="K4513">
        <v>0</v>
      </c>
    </row>
    <row r="4514" spans="1:11" x14ac:dyDescent="0.2">
      <c r="A4514" t="s">
        <v>2318</v>
      </c>
      <c r="B4514" t="s">
        <v>4399</v>
      </c>
      <c r="C4514" t="s">
        <v>4399</v>
      </c>
      <c r="D4514" t="s">
        <v>4399</v>
      </c>
      <c r="E4514" t="s">
        <v>4399</v>
      </c>
      <c r="F4514" t="s">
        <v>4399</v>
      </c>
      <c r="G4514" t="s">
        <v>4399</v>
      </c>
      <c r="H4514" t="s">
        <v>4399</v>
      </c>
      <c r="I4514" t="s">
        <v>4399</v>
      </c>
      <c r="J4514" t="s">
        <v>4399</v>
      </c>
      <c r="K4514" t="s">
        <v>4399</v>
      </c>
    </row>
    <row r="4515" spans="1:11" x14ac:dyDescent="0.2">
      <c r="A4515" t="s">
        <v>4248</v>
      </c>
    </row>
    <row r="4516" spans="1:11" x14ac:dyDescent="0.2">
      <c r="A4516" t="s">
        <v>4855</v>
      </c>
      <c r="B4516" t="s">
        <v>4856</v>
      </c>
      <c r="C4516" t="s">
        <v>4857</v>
      </c>
      <c r="D4516" t="s">
        <v>4858</v>
      </c>
      <c r="E4516" t="s">
        <v>4859</v>
      </c>
      <c r="F4516" t="s">
        <v>4860</v>
      </c>
      <c r="G4516" t="s">
        <v>4882</v>
      </c>
    </row>
    <row r="4517" spans="1:11" x14ac:dyDescent="0.2">
      <c r="A4517" t="s">
        <v>2318</v>
      </c>
      <c r="B4517" t="s">
        <v>4399</v>
      </c>
      <c r="C4517" t="s">
        <v>4399</v>
      </c>
      <c r="D4517" t="s">
        <v>4399</v>
      </c>
      <c r="E4517" t="s">
        <v>4399</v>
      </c>
      <c r="F4517" t="s">
        <v>4399</v>
      </c>
      <c r="G4517" t="s">
        <v>4399</v>
      </c>
      <c r="H4517" t="s">
        <v>4399</v>
      </c>
      <c r="I4517" t="s">
        <v>4399</v>
      </c>
      <c r="J4517" t="s">
        <v>4399</v>
      </c>
      <c r="K4517" t="s">
        <v>4399</v>
      </c>
    </row>
    <row r="4518" spans="1:11" x14ac:dyDescent="0.2">
      <c r="A4518" t="s">
        <v>126</v>
      </c>
      <c r="B4518" t="s">
        <v>4768</v>
      </c>
      <c r="C4518" t="s">
        <v>4772</v>
      </c>
      <c r="D4518" t="s">
        <v>4776</v>
      </c>
      <c r="E4518" t="s">
        <v>4780</v>
      </c>
      <c r="F4518" t="s">
        <v>4784</v>
      </c>
      <c r="G4518" t="s">
        <v>4788</v>
      </c>
      <c r="H4518" t="s">
        <v>4792</v>
      </c>
      <c r="I4518" t="s">
        <v>4796</v>
      </c>
      <c r="J4518" t="s">
        <v>4799</v>
      </c>
      <c r="K4518" t="s">
        <v>4802</v>
      </c>
    </row>
    <row r="4519" spans="1:11" x14ac:dyDescent="0.2">
      <c r="A4519" t="s">
        <v>2318</v>
      </c>
      <c r="B4519" t="s">
        <v>4399</v>
      </c>
      <c r="C4519" t="s">
        <v>4399</v>
      </c>
      <c r="D4519" t="s">
        <v>4399</v>
      </c>
      <c r="E4519" t="s">
        <v>4399</v>
      </c>
      <c r="F4519" t="s">
        <v>4399</v>
      </c>
      <c r="G4519" t="s">
        <v>4399</v>
      </c>
      <c r="H4519" t="s">
        <v>4399</v>
      </c>
      <c r="I4519" t="s">
        <v>4399</v>
      </c>
      <c r="J4519" t="s">
        <v>4399</v>
      </c>
      <c r="K4519" t="s">
        <v>4399</v>
      </c>
    </row>
    <row r="4520" spans="1:11" x14ac:dyDescent="0.2">
      <c r="A4520" t="s">
        <v>4265</v>
      </c>
      <c r="B4520">
        <v>0</v>
      </c>
      <c r="C4520">
        <v>0</v>
      </c>
      <c r="D4520">
        <v>0</v>
      </c>
      <c r="E4520">
        <v>0</v>
      </c>
      <c r="F4520">
        <v>0</v>
      </c>
      <c r="G4520">
        <v>0</v>
      </c>
      <c r="H4520">
        <v>0</v>
      </c>
      <c r="I4520">
        <v>0</v>
      </c>
      <c r="J4520">
        <v>0</v>
      </c>
      <c r="K4520">
        <v>0</v>
      </c>
    </row>
    <row r="4521" spans="1:11" x14ac:dyDescent="0.2">
      <c r="A4521" t="s">
        <v>4266</v>
      </c>
      <c r="B4521">
        <v>0</v>
      </c>
      <c r="C4521">
        <v>0</v>
      </c>
      <c r="D4521">
        <v>0</v>
      </c>
      <c r="E4521">
        <v>0</v>
      </c>
      <c r="F4521">
        <v>0</v>
      </c>
      <c r="G4521">
        <v>0</v>
      </c>
      <c r="H4521">
        <v>0</v>
      </c>
      <c r="I4521">
        <v>0</v>
      </c>
      <c r="J4521">
        <v>0</v>
      </c>
      <c r="K4521">
        <v>0</v>
      </c>
    </row>
    <row r="4522" spans="1:11" x14ac:dyDescent="0.2">
      <c r="A4522" t="s">
        <v>4267</v>
      </c>
      <c r="B4522">
        <v>0</v>
      </c>
      <c r="C4522">
        <v>0</v>
      </c>
      <c r="D4522">
        <v>0</v>
      </c>
      <c r="E4522">
        <v>0</v>
      </c>
      <c r="F4522">
        <v>0</v>
      </c>
      <c r="G4522">
        <v>0</v>
      </c>
      <c r="H4522">
        <v>0</v>
      </c>
      <c r="I4522">
        <v>0</v>
      </c>
      <c r="J4522">
        <v>0</v>
      </c>
      <c r="K4522">
        <v>0</v>
      </c>
    </row>
    <row r="4523" spans="1:11" x14ac:dyDescent="0.2">
      <c r="A4523" t="s">
        <v>4268</v>
      </c>
      <c r="B4523">
        <v>0</v>
      </c>
      <c r="C4523">
        <v>0</v>
      </c>
      <c r="D4523">
        <v>0</v>
      </c>
      <c r="E4523">
        <v>0</v>
      </c>
      <c r="F4523">
        <v>0</v>
      </c>
      <c r="G4523">
        <v>0</v>
      </c>
      <c r="H4523">
        <v>0</v>
      </c>
      <c r="I4523">
        <v>0</v>
      </c>
      <c r="J4523">
        <v>0</v>
      </c>
      <c r="K4523">
        <v>0</v>
      </c>
    </row>
    <row r="4524" spans="1:11" x14ac:dyDescent="0.2">
      <c r="A4524" t="s">
        <v>4269</v>
      </c>
      <c r="B4524">
        <v>0</v>
      </c>
      <c r="C4524">
        <v>0</v>
      </c>
      <c r="D4524">
        <v>0</v>
      </c>
      <c r="E4524">
        <v>0</v>
      </c>
      <c r="F4524">
        <v>0</v>
      </c>
      <c r="G4524">
        <v>0</v>
      </c>
      <c r="H4524">
        <v>0</v>
      </c>
      <c r="I4524">
        <v>0</v>
      </c>
      <c r="J4524">
        <v>0</v>
      </c>
      <c r="K4524">
        <v>0</v>
      </c>
    </row>
    <row r="4525" spans="1:11" x14ac:dyDescent="0.2">
      <c r="A4525" t="s">
        <v>4270</v>
      </c>
      <c r="B4525">
        <v>0</v>
      </c>
      <c r="C4525">
        <v>0</v>
      </c>
      <c r="D4525">
        <v>0</v>
      </c>
      <c r="E4525">
        <v>0</v>
      </c>
      <c r="F4525">
        <v>0</v>
      </c>
      <c r="G4525">
        <v>0</v>
      </c>
      <c r="H4525">
        <v>0</v>
      </c>
      <c r="I4525">
        <v>0</v>
      </c>
      <c r="J4525">
        <v>0</v>
      </c>
      <c r="K4525">
        <v>0</v>
      </c>
    </row>
    <row r="4526" spans="1:11" x14ac:dyDescent="0.2">
      <c r="A4526" t="s">
        <v>4271</v>
      </c>
      <c r="B4526">
        <v>0</v>
      </c>
      <c r="C4526">
        <v>0</v>
      </c>
      <c r="D4526">
        <v>0</v>
      </c>
      <c r="E4526">
        <v>0</v>
      </c>
      <c r="F4526">
        <v>0</v>
      </c>
      <c r="G4526">
        <v>0</v>
      </c>
      <c r="H4526">
        <v>0</v>
      </c>
      <c r="I4526">
        <v>0</v>
      </c>
      <c r="J4526">
        <v>0</v>
      </c>
      <c r="K4526">
        <v>0</v>
      </c>
    </row>
    <row r="4527" spans="1:11" x14ac:dyDescent="0.2">
      <c r="A4527" t="s">
        <v>4272</v>
      </c>
      <c r="B4527">
        <v>0</v>
      </c>
      <c r="C4527">
        <v>0</v>
      </c>
      <c r="D4527">
        <v>0</v>
      </c>
      <c r="E4527">
        <v>0</v>
      </c>
      <c r="F4527">
        <v>0</v>
      </c>
      <c r="G4527">
        <v>0</v>
      </c>
      <c r="H4527">
        <v>0</v>
      </c>
      <c r="I4527">
        <v>0</v>
      </c>
      <c r="J4527">
        <v>0</v>
      </c>
      <c r="K4527">
        <v>0</v>
      </c>
    </row>
    <row r="4528" spans="1:11" x14ac:dyDescent="0.2">
      <c r="A4528" t="s">
        <v>4273</v>
      </c>
      <c r="B4528">
        <v>0</v>
      </c>
      <c r="C4528">
        <v>0</v>
      </c>
      <c r="D4528">
        <v>0</v>
      </c>
      <c r="E4528">
        <v>0</v>
      </c>
      <c r="F4528">
        <v>0</v>
      </c>
      <c r="G4528">
        <v>0</v>
      </c>
      <c r="H4528">
        <v>0</v>
      </c>
      <c r="I4528">
        <v>0</v>
      </c>
      <c r="J4528">
        <v>0</v>
      </c>
      <c r="K4528">
        <v>0</v>
      </c>
    </row>
    <row r="4529" spans="1:11" x14ac:dyDescent="0.2">
      <c r="A4529" t="s">
        <v>4274</v>
      </c>
      <c r="B4529">
        <v>0</v>
      </c>
      <c r="C4529">
        <v>0</v>
      </c>
      <c r="D4529">
        <v>0</v>
      </c>
      <c r="E4529">
        <v>0</v>
      </c>
      <c r="F4529">
        <v>0</v>
      </c>
      <c r="G4529">
        <v>0</v>
      </c>
      <c r="H4529">
        <v>0</v>
      </c>
      <c r="I4529">
        <v>0</v>
      </c>
      <c r="J4529">
        <v>0</v>
      </c>
      <c r="K4529">
        <v>0</v>
      </c>
    </row>
    <row r="4530" spans="1:11" x14ac:dyDescent="0.2">
      <c r="A4530" t="s">
        <v>4275</v>
      </c>
      <c r="B4530">
        <v>0</v>
      </c>
      <c r="C4530">
        <v>0</v>
      </c>
      <c r="D4530">
        <v>0</v>
      </c>
      <c r="E4530">
        <v>0</v>
      </c>
      <c r="F4530">
        <v>0</v>
      </c>
      <c r="G4530">
        <v>0</v>
      </c>
      <c r="H4530">
        <v>0</v>
      </c>
      <c r="I4530">
        <v>0</v>
      </c>
      <c r="J4530">
        <v>0</v>
      </c>
      <c r="K4530">
        <v>0</v>
      </c>
    </row>
    <row r="4531" spans="1:11" x14ac:dyDescent="0.2">
      <c r="A4531" t="s">
        <v>4276</v>
      </c>
      <c r="B4531">
        <v>0</v>
      </c>
      <c r="C4531">
        <v>0</v>
      </c>
      <c r="D4531">
        <v>0</v>
      </c>
      <c r="E4531">
        <v>0</v>
      </c>
      <c r="F4531">
        <v>0</v>
      </c>
      <c r="G4531">
        <v>0</v>
      </c>
      <c r="H4531">
        <v>0</v>
      </c>
      <c r="I4531">
        <v>0</v>
      </c>
      <c r="J4531">
        <v>0</v>
      </c>
      <c r="K4531">
        <v>0</v>
      </c>
    </row>
    <row r="4532" spans="1:11" x14ac:dyDescent="0.2">
      <c r="A4532" t="s">
        <v>4277</v>
      </c>
      <c r="B4532">
        <v>0</v>
      </c>
      <c r="C4532">
        <v>0</v>
      </c>
      <c r="D4532">
        <v>0</v>
      </c>
      <c r="E4532">
        <v>0</v>
      </c>
      <c r="F4532">
        <v>0</v>
      </c>
      <c r="G4532">
        <v>0</v>
      </c>
      <c r="H4532">
        <v>0</v>
      </c>
      <c r="I4532">
        <v>0</v>
      </c>
      <c r="J4532">
        <v>0</v>
      </c>
      <c r="K4532">
        <v>0</v>
      </c>
    </row>
    <row r="4533" spans="1:11" x14ac:dyDescent="0.2">
      <c r="A4533" t="s">
        <v>4278</v>
      </c>
      <c r="B4533">
        <v>0</v>
      </c>
      <c r="C4533">
        <v>0</v>
      </c>
      <c r="D4533">
        <v>0</v>
      </c>
      <c r="E4533">
        <v>0</v>
      </c>
      <c r="F4533">
        <v>0</v>
      </c>
      <c r="G4533">
        <v>0</v>
      </c>
      <c r="H4533">
        <v>0</v>
      </c>
      <c r="I4533">
        <v>0</v>
      </c>
      <c r="J4533">
        <v>0</v>
      </c>
      <c r="K4533">
        <v>0</v>
      </c>
    </row>
    <row r="4534" spans="1:11" x14ac:dyDescent="0.2">
      <c r="A4534" t="s">
        <v>4279</v>
      </c>
      <c r="B4534">
        <v>0</v>
      </c>
      <c r="C4534">
        <v>0</v>
      </c>
      <c r="D4534">
        <v>0</v>
      </c>
      <c r="E4534">
        <v>0</v>
      </c>
      <c r="F4534">
        <v>0</v>
      </c>
      <c r="G4534">
        <v>0</v>
      </c>
      <c r="H4534">
        <v>0</v>
      </c>
      <c r="I4534">
        <v>0</v>
      </c>
      <c r="J4534">
        <v>0</v>
      </c>
      <c r="K4534">
        <v>0</v>
      </c>
    </row>
    <row r="4535" spans="1:11" x14ac:dyDescent="0.2">
      <c r="A4535" t="s">
        <v>4280</v>
      </c>
      <c r="B4535">
        <v>0</v>
      </c>
      <c r="C4535">
        <v>0</v>
      </c>
      <c r="D4535">
        <v>0</v>
      </c>
      <c r="E4535">
        <v>0</v>
      </c>
      <c r="F4535">
        <v>0</v>
      </c>
      <c r="G4535">
        <v>0</v>
      </c>
      <c r="H4535">
        <v>0</v>
      </c>
      <c r="I4535">
        <v>0</v>
      </c>
      <c r="J4535">
        <v>0</v>
      </c>
      <c r="K4535">
        <v>0</v>
      </c>
    </row>
    <row r="4536" spans="1:11" x14ac:dyDescent="0.2">
      <c r="A4536" t="s">
        <v>4281</v>
      </c>
      <c r="B4536">
        <v>0</v>
      </c>
      <c r="C4536">
        <v>0</v>
      </c>
      <c r="D4536">
        <v>0</v>
      </c>
      <c r="E4536">
        <v>0</v>
      </c>
      <c r="F4536">
        <v>1</v>
      </c>
      <c r="G4536">
        <v>21</v>
      </c>
      <c r="H4536">
        <v>2</v>
      </c>
      <c r="I4536">
        <v>0</v>
      </c>
      <c r="J4536">
        <v>0</v>
      </c>
      <c r="K4536">
        <v>4</v>
      </c>
    </row>
    <row r="4537" spans="1:11" x14ac:dyDescent="0.2">
      <c r="A4537" t="s">
        <v>4282</v>
      </c>
      <c r="B4537">
        <v>0</v>
      </c>
      <c r="C4537">
        <v>0</v>
      </c>
      <c r="D4537">
        <v>0</v>
      </c>
      <c r="E4537">
        <v>0</v>
      </c>
      <c r="F4537">
        <v>1</v>
      </c>
      <c r="G4537">
        <v>13</v>
      </c>
      <c r="H4537">
        <v>4</v>
      </c>
      <c r="I4537">
        <v>0</v>
      </c>
      <c r="J4537">
        <v>0</v>
      </c>
      <c r="K4537">
        <v>1</v>
      </c>
    </row>
    <row r="4538" spans="1:11" x14ac:dyDescent="0.2">
      <c r="A4538" t="s">
        <v>4283</v>
      </c>
      <c r="B4538">
        <v>0</v>
      </c>
      <c r="C4538">
        <v>0</v>
      </c>
      <c r="D4538">
        <v>0</v>
      </c>
      <c r="E4538">
        <v>0</v>
      </c>
      <c r="F4538">
        <v>0</v>
      </c>
      <c r="G4538">
        <v>2</v>
      </c>
      <c r="H4538">
        <v>0</v>
      </c>
      <c r="I4538">
        <v>0</v>
      </c>
      <c r="J4538">
        <v>0</v>
      </c>
      <c r="K4538">
        <v>1</v>
      </c>
    </row>
    <row r="4539" spans="1:11" x14ac:dyDescent="0.2">
      <c r="A4539" t="s">
        <v>4284</v>
      </c>
      <c r="B4539">
        <v>0</v>
      </c>
      <c r="C4539">
        <v>0</v>
      </c>
      <c r="D4539">
        <v>0</v>
      </c>
      <c r="E4539">
        <v>0</v>
      </c>
      <c r="F4539">
        <v>0</v>
      </c>
      <c r="G4539">
        <v>0</v>
      </c>
      <c r="H4539">
        <v>0</v>
      </c>
      <c r="I4539">
        <v>0</v>
      </c>
      <c r="J4539">
        <v>0</v>
      </c>
      <c r="K4539">
        <v>0</v>
      </c>
    </row>
    <row r="4540" spans="1:11" x14ac:dyDescent="0.2">
      <c r="A4540" t="s">
        <v>4285</v>
      </c>
      <c r="B4540">
        <v>0</v>
      </c>
      <c r="C4540">
        <v>3</v>
      </c>
      <c r="D4540">
        <v>3</v>
      </c>
      <c r="E4540">
        <v>0</v>
      </c>
      <c r="F4540">
        <v>0</v>
      </c>
      <c r="G4540">
        <v>6</v>
      </c>
      <c r="H4540">
        <v>1</v>
      </c>
      <c r="I4540">
        <v>0</v>
      </c>
      <c r="J4540">
        <v>0</v>
      </c>
      <c r="K4540">
        <v>2</v>
      </c>
    </row>
    <row r="4541" spans="1:11" x14ac:dyDescent="0.2">
      <c r="A4541" t="s">
        <v>4286</v>
      </c>
      <c r="B4541">
        <v>0</v>
      </c>
      <c r="C4541">
        <v>0</v>
      </c>
      <c r="D4541">
        <v>0</v>
      </c>
      <c r="E4541">
        <v>0</v>
      </c>
      <c r="F4541">
        <v>0</v>
      </c>
      <c r="G4541">
        <v>2</v>
      </c>
      <c r="H4541">
        <v>1</v>
      </c>
      <c r="I4541">
        <v>0</v>
      </c>
      <c r="J4541">
        <v>0</v>
      </c>
      <c r="K4541">
        <v>0</v>
      </c>
    </row>
    <row r="4542" spans="1:11" x14ac:dyDescent="0.2">
      <c r="A4542" t="s">
        <v>4287</v>
      </c>
      <c r="B4542">
        <v>0</v>
      </c>
      <c r="C4542">
        <v>0</v>
      </c>
      <c r="D4542">
        <v>0</v>
      </c>
      <c r="E4542">
        <v>0</v>
      </c>
      <c r="F4542">
        <v>1</v>
      </c>
      <c r="G4542">
        <v>18</v>
      </c>
      <c r="H4542">
        <v>2</v>
      </c>
      <c r="I4542">
        <v>0</v>
      </c>
      <c r="J4542">
        <v>0</v>
      </c>
      <c r="K4542">
        <v>0</v>
      </c>
    </row>
    <row r="4543" spans="1:11" x14ac:dyDescent="0.2">
      <c r="A4543" t="s">
        <v>4288</v>
      </c>
      <c r="B4543">
        <v>0</v>
      </c>
      <c r="C4543">
        <v>0</v>
      </c>
      <c r="D4543">
        <v>0</v>
      </c>
      <c r="E4543">
        <v>0</v>
      </c>
      <c r="F4543">
        <v>0</v>
      </c>
      <c r="G4543">
        <v>0</v>
      </c>
      <c r="H4543">
        <v>0</v>
      </c>
      <c r="I4543">
        <v>0</v>
      </c>
      <c r="J4543">
        <v>0</v>
      </c>
      <c r="K4543">
        <v>0</v>
      </c>
    </row>
    <row r="4544" spans="1:11" x14ac:dyDescent="0.2">
      <c r="A4544" t="s">
        <v>4289</v>
      </c>
      <c r="B4544">
        <v>0</v>
      </c>
      <c r="C4544">
        <v>0</v>
      </c>
      <c r="D4544">
        <v>0</v>
      </c>
      <c r="E4544">
        <v>0</v>
      </c>
      <c r="F4544">
        <v>0</v>
      </c>
      <c r="G4544">
        <v>0</v>
      </c>
      <c r="H4544">
        <v>0</v>
      </c>
      <c r="I4544">
        <v>0</v>
      </c>
      <c r="J4544">
        <v>0</v>
      </c>
      <c r="K4544">
        <v>0</v>
      </c>
    </row>
    <row r="4545" spans="1:11" x14ac:dyDescent="0.2">
      <c r="A4545" t="s">
        <v>4290</v>
      </c>
      <c r="B4545">
        <v>0</v>
      </c>
      <c r="C4545">
        <v>0</v>
      </c>
      <c r="D4545">
        <v>0</v>
      </c>
      <c r="E4545">
        <v>0</v>
      </c>
      <c r="F4545">
        <v>0</v>
      </c>
      <c r="G4545">
        <v>0</v>
      </c>
      <c r="H4545">
        <v>0</v>
      </c>
      <c r="I4545">
        <v>0</v>
      </c>
      <c r="J4545">
        <v>0</v>
      </c>
      <c r="K4545">
        <v>0</v>
      </c>
    </row>
    <row r="4546" spans="1:11" x14ac:dyDescent="0.2">
      <c r="A4546" t="s">
        <v>4291</v>
      </c>
      <c r="B4546">
        <v>0</v>
      </c>
      <c r="C4546">
        <v>0</v>
      </c>
      <c r="D4546">
        <v>0</v>
      </c>
      <c r="E4546">
        <v>0</v>
      </c>
      <c r="F4546">
        <v>0</v>
      </c>
      <c r="G4546">
        <v>0</v>
      </c>
      <c r="H4546">
        <v>0</v>
      </c>
      <c r="I4546">
        <v>0</v>
      </c>
      <c r="J4546">
        <v>0</v>
      </c>
      <c r="K4546">
        <v>0</v>
      </c>
    </row>
    <row r="4547" spans="1:11" x14ac:dyDescent="0.2">
      <c r="A4547" t="s">
        <v>4292</v>
      </c>
      <c r="B4547">
        <v>0</v>
      </c>
      <c r="C4547">
        <v>0</v>
      </c>
      <c r="D4547">
        <v>0</v>
      </c>
      <c r="E4547">
        <v>0</v>
      </c>
      <c r="F4547">
        <v>0</v>
      </c>
      <c r="G4547">
        <v>0</v>
      </c>
      <c r="H4547">
        <v>0</v>
      </c>
      <c r="I4547">
        <v>0</v>
      </c>
      <c r="J4547">
        <v>0</v>
      </c>
      <c r="K4547">
        <v>0</v>
      </c>
    </row>
    <row r="4548" spans="1:11" x14ac:dyDescent="0.2">
      <c r="A4548" t="s">
        <v>4293</v>
      </c>
      <c r="B4548">
        <v>0</v>
      </c>
      <c r="C4548">
        <v>0</v>
      </c>
      <c r="D4548">
        <v>0</v>
      </c>
      <c r="E4548">
        <v>0</v>
      </c>
      <c r="F4548">
        <v>0</v>
      </c>
      <c r="G4548">
        <v>0</v>
      </c>
      <c r="H4548">
        <v>0</v>
      </c>
      <c r="I4548">
        <v>0</v>
      </c>
      <c r="J4548">
        <v>0</v>
      </c>
      <c r="K4548">
        <v>0</v>
      </c>
    </row>
    <row r="4549" spans="1:11" x14ac:dyDescent="0.2">
      <c r="A4549" t="s">
        <v>4294</v>
      </c>
      <c r="B4549">
        <v>0</v>
      </c>
      <c r="C4549">
        <v>0</v>
      </c>
      <c r="D4549">
        <v>0</v>
      </c>
      <c r="E4549">
        <v>0</v>
      </c>
      <c r="F4549">
        <v>0</v>
      </c>
      <c r="G4549">
        <v>0</v>
      </c>
      <c r="H4549">
        <v>0</v>
      </c>
      <c r="I4549">
        <v>0</v>
      </c>
      <c r="J4549">
        <v>0</v>
      </c>
      <c r="K4549">
        <v>0</v>
      </c>
    </row>
    <row r="4550" spans="1:11" x14ac:dyDescent="0.2">
      <c r="A4550" t="s">
        <v>4295</v>
      </c>
      <c r="B4550">
        <v>0</v>
      </c>
      <c r="C4550">
        <v>0</v>
      </c>
      <c r="D4550">
        <v>0</v>
      </c>
      <c r="E4550">
        <v>0</v>
      </c>
      <c r="F4550">
        <v>0</v>
      </c>
      <c r="G4550">
        <v>0</v>
      </c>
      <c r="H4550">
        <v>0</v>
      </c>
      <c r="I4550">
        <v>0</v>
      </c>
      <c r="J4550">
        <v>0</v>
      </c>
      <c r="K4550">
        <v>0</v>
      </c>
    </row>
    <row r="4551" spans="1:11" x14ac:dyDescent="0.2">
      <c r="A4551" t="s">
        <v>4296</v>
      </c>
      <c r="B4551">
        <v>0</v>
      </c>
      <c r="C4551">
        <v>0</v>
      </c>
      <c r="D4551">
        <v>0</v>
      </c>
      <c r="E4551">
        <v>0</v>
      </c>
      <c r="F4551">
        <v>0</v>
      </c>
      <c r="G4551">
        <v>0</v>
      </c>
      <c r="H4551">
        <v>0</v>
      </c>
      <c r="I4551">
        <v>0</v>
      </c>
      <c r="J4551">
        <v>0</v>
      </c>
      <c r="K4551">
        <v>0</v>
      </c>
    </row>
    <row r="4552" spans="1:11" x14ac:dyDescent="0.2">
      <c r="A4552" t="s">
        <v>4297</v>
      </c>
      <c r="B4552">
        <v>0</v>
      </c>
      <c r="C4552">
        <v>0</v>
      </c>
      <c r="D4552">
        <v>0</v>
      </c>
      <c r="E4552">
        <v>0</v>
      </c>
      <c r="F4552">
        <v>2</v>
      </c>
      <c r="G4552">
        <v>46</v>
      </c>
      <c r="H4552">
        <v>5</v>
      </c>
      <c r="I4552">
        <v>0</v>
      </c>
      <c r="J4552">
        <v>0</v>
      </c>
      <c r="K4552">
        <v>4</v>
      </c>
    </row>
    <row r="4553" spans="1:11" x14ac:dyDescent="0.2">
      <c r="A4553" t="s">
        <v>4298</v>
      </c>
      <c r="B4553">
        <v>0</v>
      </c>
      <c r="C4553">
        <v>0</v>
      </c>
      <c r="D4553">
        <v>0</v>
      </c>
      <c r="E4553">
        <v>0</v>
      </c>
      <c r="F4553">
        <v>1</v>
      </c>
      <c r="G4553">
        <v>22</v>
      </c>
      <c r="H4553">
        <v>4</v>
      </c>
      <c r="I4553">
        <v>0</v>
      </c>
      <c r="J4553">
        <v>0</v>
      </c>
      <c r="K4553">
        <v>0</v>
      </c>
    </row>
    <row r="4554" spans="1:11" x14ac:dyDescent="0.2">
      <c r="A4554" t="s">
        <v>4299</v>
      </c>
      <c r="B4554">
        <v>0</v>
      </c>
      <c r="C4554">
        <v>1</v>
      </c>
      <c r="D4554">
        <v>1</v>
      </c>
      <c r="E4554">
        <v>0</v>
      </c>
      <c r="F4554">
        <v>2</v>
      </c>
      <c r="G4554">
        <v>35</v>
      </c>
      <c r="H4554">
        <v>6</v>
      </c>
      <c r="I4554">
        <v>0</v>
      </c>
      <c r="J4554">
        <v>0</v>
      </c>
      <c r="K4554">
        <v>4</v>
      </c>
    </row>
    <row r="4555" spans="1:11" x14ac:dyDescent="0.2">
      <c r="A4555" t="s">
        <v>4300</v>
      </c>
      <c r="B4555">
        <v>0</v>
      </c>
      <c r="C4555">
        <v>0</v>
      </c>
      <c r="D4555">
        <v>0</v>
      </c>
      <c r="E4555">
        <v>0</v>
      </c>
      <c r="F4555">
        <v>0</v>
      </c>
      <c r="G4555">
        <v>1</v>
      </c>
      <c r="H4555">
        <v>0</v>
      </c>
      <c r="I4555">
        <v>0</v>
      </c>
      <c r="J4555">
        <v>0</v>
      </c>
      <c r="K4555">
        <v>0</v>
      </c>
    </row>
    <row r="4556" spans="1:11" x14ac:dyDescent="0.2">
      <c r="A4556" t="s">
        <v>4301</v>
      </c>
      <c r="B4556">
        <v>0</v>
      </c>
      <c r="C4556">
        <v>0</v>
      </c>
      <c r="D4556">
        <v>0</v>
      </c>
      <c r="E4556">
        <v>0</v>
      </c>
      <c r="F4556">
        <v>6</v>
      </c>
      <c r="G4556">
        <v>171</v>
      </c>
      <c r="H4556">
        <v>17</v>
      </c>
      <c r="I4556">
        <v>0</v>
      </c>
      <c r="J4556">
        <v>1</v>
      </c>
      <c r="K4556">
        <v>13</v>
      </c>
    </row>
    <row r="4557" spans="1:11" x14ac:dyDescent="0.2">
      <c r="A4557" t="s">
        <v>4302</v>
      </c>
      <c r="B4557">
        <v>0</v>
      </c>
      <c r="C4557">
        <v>1</v>
      </c>
      <c r="D4557">
        <v>2</v>
      </c>
      <c r="E4557">
        <v>0</v>
      </c>
      <c r="F4557">
        <v>12</v>
      </c>
      <c r="G4557">
        <v>214</v>
      </c>
      <c r="H4557">
        <v>35</v>
      </c>
      <c r="I4557">
        <v>0</v>
      </c>
      <c r="J4557">
        <v>1</v>
      </c>
      <c r="K4557">
        <v>5</v>
      </c>
    </row>
    <row r="4558" spans="1:11" x14ac:dyDescent="0.2">
      <c r="A4558" t="s">
        <v>4303</v>
      </c>
      <c r="B4558">
        <v>0</v>
      </c>
      <c r="C4558">
        <v>1</v>
      </c>
      <c r="D4558">
        <v>6</v>
      </c>
      <c r="E4558">
        <v>0</v>
      </c>
      <c r="F4558">
        <v>40</v>
      </c>
      <c r="G4558">
        <v>232</v>
      </c>
      <c r="H4558">
        <v>114</v>
      </c>
      <c r="I4558">
        <v>0</v>
      </c>
      <c r="J4558">
        <v>2</v>
      </c>
      <c r="K4558">
        <v>6</v>
      </c>
    </row>
    <row r="4559" spans="1:11" x14ac:dyDescent="0.2">
      <c r="A4559" t="s">
        <v>4304</v>
      </c>
      <c r="B4559">
        <v>0</v>
      </c>
      <c r="C4559">
        <v>0</v>
      </c>
      <c r="D4559">
        <v>0</v>
      </c>
      <c r="E4559">
        <v>0</v>
      </c>
      <c r="F4559">
        <v>1</v>
      </c>
      <c r="G4559">
        <v>42</v>
      </c>
      <c r="H4559">
        <v>4</v>
      </c>
      <c r="I4559">
        <v>0</v>
      </c>
      <c r="J4559">
        <v>0</v>
      </c>
      <c r="K4559">
        <v>4</v>
      </c>
    </row>
    <row r="4560" spans="1:11" x14ac:dyDescent="0.2">
      <c r="A4560" t="s">
        <v>4305</v>
      </c>
      <c r="B4560">
        <v>0</v>
      </c>
      <c r="C4560">
        <v>3</v>
      </c>
      <c r="D4560">
        <v>4</v>
      </c>
      <c r="E4560">
        <v>0</v>
      </c>
      <c r="F4560">
        <v>35</v>
      </c>
      <c r="G4560">
        <v>985</v>
      </c>
      <c r="H4560">
        <v>101</v>
      </c>
      <c r="I4560">
        <v>0</v>
      </c>
      <c r="J4560">
        <v>2</v>
      </c>
      <c r="K4560">
        <v>31</v>
      </c>
    </row>
    <row r="4561" spans="1:11" x14ac:dyDescent="0.2">
      <c r="A4561" t="s">
        <v>4306</v>
      </c>
      <c r="B4561">
        <v>0</v>
      </c>
      <c r="C4561">
        <v>0</v>
      </c>
      <c r="D4561">
        <v>0</v>
      </c>
      <c r="E4561">
        <v>0</v>
      </c>
      <c r="F4561">
        <v>4</v>
      </c>
      <c r="G4561">
        <v>79</v>
      </c>
      <c r="H4561">
        <v>12</v>
      </c>
      <c r="I4561">
        <v>0</v>
      </c>
      <c r="J4561">
        <v>0</v>
      </c>
      <c r="K4561">
        <v>2</v>
      </c>
    </row>
    <row r="4562" spans="1:11" x14ac:dyDescent="0.2">
      <c r="A4562" t="s">
        <v>4307</v>
      </c>
      <c r="B4562">
        <v>0</v>
      </c>
      <c r="C4562">
        <v>1</v>
      </c>
      <c r="D4562">
        <v>5</v>
      </c>
      <c r="E4562">
        <v>0</v>
      </c>
      <c r="F4562">
        <v>134</v>
      </c>
      <c r="G4562">
        <v>785</v>
      </c>
      <c r="H4562">
        <v>381</v>
      </c>
      <c r="I4562">
        <v>0</v>
      </c>
      <c r="J4562">
        <v>12</v>
      </c>
      <c r="K4562">
        <v>35</v>
      </c>
    </row>
    <row r="4563" spans="1:11" x14ac:dyDescent="0.2">
      <c r="A4563" t="s">
        <v>4308</v>
      </c>
      <c r="B4563">
        <v>0</v>
      </c>
      <c r="C4563">
        <v>0</v>
      </c>
      <c r="D4563">
        <v>0</v>
      </c>
      <c r="E4563">
        <v>0</v>
      </c>
      <c r="F4563">
        <v>2</v>
      </c>
      <c r="G4563">
        <v>9</v>
      </c>
      <c r="H4563">
        <v>5</v>
      </c>
      <c r="I4563">
        <v>0</v>
      </c>
      <c r="J4563">
        <v>0</v>
      </c>
      <c r="K4563">
        <v>0</v>
      </c>
    </row>
    <row r="4564" spans="1:11" x14ac:dyDescent="0.2">
      <c r="A4564" t="s">
        <v>4309</v>
      </c>
      <c r="B4564">
        <v>0</v>
      </c>
      <c r="C4564">
        <v>0</v>
      </c>
      <c r="D4564">
        <v>0</v>
      </c>
      <c r="E4564">
        <v>0</v>
      </c>
      <c r="F4564">
        <v>0</v>
      </c>
      <c r="G4564">
        <v>0</v>
      </c>
      <c r="H4564">
        <v>0</v>
      </c>
      <c r="I4564">
        <v>0</v>
      </c>
      <c r="J4564">
        <v>0</v>
      </c>
      <c r="K4564">
        <v>0</v>
      </c>
    </row>
    <row r="4565" spans="1:11" x14ac:dyDescent="0.2">
      <c r="A4565" t="s">
        <v>4310</v>
      </c>
      <c r="B4565">
        <v>0</v>
      </c>
      <c r="C4565">
        <v>0</v>
      </c>
      <c r="D4565">
        <v>0</v>
      </c>
      <c r="E4565">
        <v>0</v>
      </c>
      <c r="F4565">
        <v>0</v>
      </c>
      <c r="G4565">
        <v>0</v>
      </c>
      <c r="H4565">
        <v>0</v>
      </c>
      <c r="I4565">
        <v>0</v>
      </c>
      <c r="J4565">
        <v>0</v>
      </c>
      <c r="K4565">
        <v>0</v>
      </c>
    </row>
    <row r="4566" spans="1:11" x14ac:dyDescent="0.2">
      <c r="A4566" t="s">
        <v>4311</v>
      </c>
      <c r="B4566">
        <v>0</v>
      </c>
      <c r="C4566">
        <v>0</v>
      </c>
      <c r="D4566">
        <v>0</v>
      </c>
      <c r="E4566">
        <v>0</v>
      </c>
      <c r="F4566">
        <v>0</v>
      </c>
      <c r="G4566">
        <v>0</v>
      </c>
      <c r="H4566">
        <v>0</v>
      </c>
      <c r="I4566">
        <v>0</v>
      </c>
      <c r="J4566">
        <v>0</v>
      </c>
      <c r="K4566">
        <v>0</v>
      </c>
    </row>
    <row r="4567" spans="1:11" x14ac:dyDescent="0.2">
      <c r="A4567" t="s">
        <v>4312</v>
      </c>
      <c r="B4567">
        <v>0</v>
      </c>
      <c r="C4567">
        <v>0</v>
      </c>
      <c r="D4567">
        <v>0</v>
      </c>
      <c r="E4567">
        <v>0</v>
      </c>
      <c r="F4567">
        <v>0</v>
      </c>
      <c r="G4567">
        <v>0</v>
      </c>
      <c r="H4567">
        <v>0</v>
      </c>
      <c r="I4567">
        <v>0</v>
      </c>
      <c r="J4567">
        <v>0</v>
      </c>
      <c r="K4567">
        <v>0</v>
      </c>
    </row>
    <row r="4568" spans="1:11" x14ac:dyDescent="0.2">
      <c r="A4568" t="s">
        <v>4313</v>
      </c>
      <c r="B4568">
        <v>0</v>
      </c>
      <c r="C4568">
        <v>0</v>
      </c>
      <c r="D4568">
        <v>0</v>
      </c>
      <c r="E4568">
        <v>0</v>
      </c>
      <c r="F4568">
        <v>0</v>
      </c>
      <c r="G4568">
        <v>0</v>
      </c>
      <c r="H4568">
        <v>0</v>
      </c>
      <c r="I4568">
        <v>0</v>
      </c>
      <c r="J4568">
        <v>0</v>
      </c>
      <c r="K4568">
        <v>0</v>
      </c>
    </row>
    <row r="4569" spans="1:11" x14ac:dyDescent="0.2">
      <c r="A4569" t="s">
        <v>4314</v>
      </c>
      <c r="B4569">
        <v>0</v>
      </c>
      <c r="C4569">
        <v>0</v>
      </c>
      <c r="D4569">
        <v>0</v>
      </c>
      <c r="E4569">
        <v>0</v>
      </c>
      <c r="F4569">
        <v>0</v>
      </c>
      <c r="G4569">
        <v>0</v>
      </c>
      <c r="H4569">
        <v>0</v>
      </c>
      <c r="I4569">
        <v>0</v>
      </c>
      <c r="J4569">
        <v>0</v>
      </c>
      <c r="K4569">
        <v>0</v>
      </c>
    </row>
    <row r="4570" spans="1:11" x14ac:dyDescent="0.2">
      <c r="A4570" t="s">
        <v>4315</v>
      </c>
      <c r="B4570">
        <v>0</v>
      </c>
      <c r="C4570">
        <v>0</v>
      </c>
      <c r="D4570">
        <v>0</v>
      </c>
      <c r="E4570">
        <v>0</v>
      </c>
      <c r="F4570">
        <v>0</v>
      </c>
      <c r="G4570">
        <v>0</v>
      </c>
      <c r="H4570">
        <v>0</v>
      </c>
      <c r="I4570">
        <v>0</v>
      </c>
      <c r="J4570">
        <v>0</v>
      </c>
      <c r="K4570">
        <v>0</v>
      </c>
    </row>
    <row r="4571" spans="1:11" x14ac:dyDescent="0.2">
      <c r="A4571" t="s">
        <v>4316</v>
      </c>
      <c r="B4571">
        <v>0</v>
      </c>
      <c r="C4571">
        <v>0</v>
      </c>
      <c r="D4571">
        <v>0</v>
      </c>
      <c r="E4571">
        <v>0</v>
      </c>
      <c r="F4571">
        <v>0</v>
      </c>
      <c r="G4571">
        <v>0</v>
      </c>
      <c r="H4571">
        <v>0</v>
      </c>
      <c r="I4571">
        <v>0</v>
      </c>
      <c r="J4571">
        <v>0</v>
      </c>
      <c r="K4571">
        <v>0</v>
      </c>
    </row>
    <row r="4572" spans="1:11" x14ac:dyDescent="0.2">
      <c r="A4572" t="s">
        <v>4317</v>
      </c>
      <c r="B4572">
        <v>0</v>
      </c>
      <c r="C4572">
        <v>0</v>
      </c>
      <c r="D4572">
        <v>0</v>
      </c>
      <c r="E4572">
        <v>0</v>
      </c>
      <c r="F4572">
        <v>0</v>
      </c>
      <c r="G4572">
        <v>0</v>
      </c>
      <c r="H4572">
        <v>0</v>
      </c>
      <c r="I4572">
        <v>0</v>
      </c>
      <c r="J4572">
        <v>0</v>
      </c>
      <c r="K4572">
        <v>0</v>
      </c>
    </row>
    <row r="4573" spans="1:11" x14ac:dyDescent="0.2">
      <c r="A4573" t="s">
        <v>4318</v>
      </c>
      <c r="B4573">
        <v>0</v>
      </c>
      <c r="C4573">
        <v>0</v>
      </c>
      <c r="D4573">
        <v>0</v>
      </c>
      <c r="E4573">
        <v>0</v>
      </c>
      <c r="F4573">
        <v>0</v>
      </c>
      <c r="G4573">
        <v>0</v>
      </c>
      <c r="H4573">
        <v>0</v>
      </c>
      <c r="I4573">
        <v>0</v>
      </c>
      <c r="J4573">
        <v>0</v>
      </c>
      <c r="K4573">
        <v>0</v>
      </c>
    </row>
    <row r="4574" spans="1:11" x14ac:dyDescent="0.2">
      <c r="A4574" t="s">
        <v>4319</v>
      </c>
      <c r="B4574">
        <v>0</v>
      </c>
      <c r="C4574">
        <v>0</v>
      </c>
      <c r="D4574">
        <v>0</v>
      </c>
      <c r="E4574">
        <v>0</v>
      </c>
      <c r="F4574">
        <v>0</v>
      </c>
      <c r="G4574">
        <v>0</v>
      </c>
      <c r="H4574">
        <v>0</v>
      </c>
      <c r="I4574">
        <v>0</v>
      </c>
      <c r="J4574">
        <v>0</v>
      </c>
      <c r="K4574">
        <v>0</v>
      </c>
    </row>
    <row r="4575" spans="1:11" x14ac:dyDescent="0.2">
      <c r="A4575" t="s">
        <v>4320</v>
      </c>
      <c r="B4575">
        <v>0</v>
      </c>
      <c r="C4575">
        <v>0</v>
      </c>
      <c r="D4575">
        <v>0</v>
      </c>
      <c r="E4575">
        <v>0</v>
      </c>
      <c r="F4575">
        <v>0</v>
      </c>
      <c r="G4575">
        <v>0</v>
      </c>
      <c r="H4575">
        <v>0</v>
      </c>
      <c r="I4575">
        <v>0</v>
      </c>
      <c r="J4575">
        <v>0</v>
      </c>
      <c r="K4575">
        <v>0</v>
      </c>
    </row>
    <row r="4576" spans="1:11" x14ac:dyDescent="0.2">
      <c r="A4576" t="s">
        <v>4321</v>
      </c>
      <c r="B4576">
        <v>0</v>
      </c>
      <c r="C4576">
        <v>0</v>
      </c>
      <c r="D4576">
        <v>0</v>
      </c>
      <c r="E4576">
        <v>0</v>
      </c>
      <c r="F4576">
        <v>0</v>
      </c>
      <c r="G4576">
        <v>0</v>
      </c>
      <c r="H4576">
        <v>0</v>
      </c>
      <c r="I4576">
        <v>0</v>
      </c>
      <c r="J4576">
        <v>0</v>
      </c>
      <c r="K4576">
        <v>0</v>
      </c>
    </row>
    <row r="4577" spans="1:11" x14ac:dyDescent="0.2">
      <c r="A4577" t="s">
        <v>4322</v>
      </c>
      <c r="B4577">
        <v>0</v>
      </c>
      <c r="C4577">
        <v>0</v>
      </c>
      <c r="D4577">
        <v>0</v>
      </c>
      <c r="E4577">
        <v>0</v>
      </c>
      <c r="F4577">
        <v>0</v>
      </c>
      <c r="G4577">
        <v>0</v>
      </c>
      <c r="H4577">
        <v>0</v>
      </c>
      <c r="I4577">
        <v>0</v>
      </c>
      <c r="J4577">
        <v>0</v>
      </c>
      <c r="K4577">
        <v>0</v>
      </c>
    </row>
    <row r="4578" spans="1:11" x14ac:dyDescent="0.2">
      <c r="A4578" t="s">
        <v>4323</v>
      </c>
      <c r="B4578">
        <v>0</v>
      </c>
      <c r="C4578">
        <v>0</v>
      </c>
      <c r="D4578">
        <v>0</v>
      </c>
      <c r="E4578">
        <v>0</v>
      </c>
      <c r="F4578">
        <v>0</v>
      </c>
      <c r="G4578">
        <v>0</v>
      </c>
      <c r="H4578">
        <v>0</v>
      </c>
      <c r="I4578">
        <v>0</v>
      </c>
      <c r="J4578">
        <v>0</v>
      </c>
      <c r="K4578">
        <v>0</v>
      </c>
    </row>
    <row r="4579" spans="1:11" x14ac:dyDescent="0.2">
      <c r="A4579" t="s">
        <v>4324</v>
      </c>
      <c r="B4579">
        <v>0</v>
      </c>
      <c r="C4579">
        <v>0</v>
      </c>
      <c r="D4579">
        <v>0</v>
      </c>
      <c r="E4579">
        <v>0</v>
      </c>
      <c r="F4579">
        <v>0</v>
      </c>
      <c r="G4579">
        <v>0</v>
      </c>
      <c r="H4579">
        <v>0</v>
      </c>
      <c r="I4579">
        <v>0</v>
      </c>
      <c r="J4579">
        <v>0</v>
      </c>
      <c r="K4579">
        <v>0</v>
      </c>
    </row>
    <row r="4580" spans="1:11" x14ac:dyDescent="0.2">
      <c r="A4580" t="s">
        <v>4325</v>
      </c>
      <c r="B4580">
        <v>0</v>
      </c>
      <c r="C4580">
        <v>0</v>
      </c>
      <c r="D4580">
        <v>0</v>
      </c>
      <c r="E4580">
        <v>0</v>
      </c>
      <c r="F4580">
        <v>0</v>
      </c>
      <c r="G4580">
        <v>0</v>
      </c>
      <c r="H4580">
        <v>0</v>
      </c>
      <c r="I4580">
        <v>0</v>
      </c>
      <c r="J4580">
        <v>0</v>
      </c>
      <c r="K4580">
        <v>0</v>
      </c>
    </row>
    <row r="4581" spans="1:11" x14ac:dyDescent="0.2">
      <c r="A4581" t="s">
        <v>4326</v>
      </c>
      <c r="B4581">
        <v>0</v>
      </c>
      <c r="C4581">
        <v>0</v>
      </c>
      <c r="D4581">
        <v>0</v>
      </c>
      <c r="E4581">
        <v>0</v>
      </c>
      <c r="F4581">
        <v>0</v>
      </c>
      <c r="G4581">
        <v>0</v>
      </c>
      <c r="H4581">
        <v>0</v>
      </c>
      <c r="I4581">
        <v>0</v>
      </c>
      <c r="J4581">
        <v>0</v>
      </c>
      <c r="K4581">
        <v>0</v>
      </c>
    </row>
    <row r="4582" spans="1:11" x14ac:dyDescent="0.2">
      <c r="A4582" t="s">
        <v>4327</v>
      </c>
      <c r="B4582">
        <v>0</v>
      </c>
      <c r="C4582">
        <v>0</v>
      </c>
      <c r="D4582">
        <v>0</v>
      </c>
      <c r="E4582">
        <v>0</v>
      </c>
      <c r="F4582">
        <v>0</v>
      </c>
      <c r="G4582">
        <v>0</v>
      </c>
      <c r="H4582">
        <v>0</v>
      </c>
      <c r="I4582">
        <v>0</v>
      </c>
      <c r="J4582">
        <v>0</v>
      </c>
      <c r="K4582">
        <v>0</v>
      </c>
    </row>
    <row r="4583" spans="1:11" x14ac:dyDescent="0.2">
      <c r="A4583" t="s">
        <v>4328</v>
      </c>
      <c r="B4583">
        <v>0</v>
      </c>
      <c r="C4583">
        <v>0</v>
      </c>
      <c r="D4583">
        <v>0</v>
      </c>
      <c r="E4583">
        <v>0</v>
      </c>
      <c r="F4583">
        <v>0</v>
      </c>
      <c r="G4583">
        <v>0</v>
      </c>
      <c r="H4583">
        <v>0</v>
      </c>
      <c r="I4583">
        <v>0</v>
      </c>
      <c r="J4583">
        <v>0</v>
      </c>
      <c r="K4583">
        <v>0</v>
      </c>
    </row>
    <row r="4584" spans="1:11" x14ac:dyDescent="0.2">
      <c r="A4584" t="s">
        <v>4329</v>
      </c>
      <c r="B4584">
        <v>0</v>
      </c>
      <c r="C4584">
        <v>0</v>
      </c>
      <c r="D4584">
        <v>0</v>
      </c>
      <c r="E4584">
        <v>0</v>
      </c>
      <c r="F4584">
        <v>0</v>
      </c>
      <c r="G4584">
        <v>0</v>
      </c>
      <c r="H4584">
        <v>0</v>
      </c>
      <c r="I4584">
        <v>0</v>
      </c>
      <c r="J4584">
        <v>0</v>
      </c>
      <c r="K4584">
        <v>0</v>
      </c>
    </row>
    <row r="4585" spans="1:11" x14ac:dyDescent="0.2">
      <c r="A4585" t="s">
        <v>4330</v>
      </c>
      <c r="B4585">
        <v>0</v>
      </c>
      <c r="C4585">
        <v>0</v>
      </c>
      <c r="D4585">
        <v>0</v>
      </c>
      <c r="E4585">
        <v>0</v>
      </c>
      <c r="F4585">
        <v>0</v>
      </c>
      <c r="G4585">
        <v>0</v>
      </c>
      <c r="H4585">
        <v>0</v>
      </c>
      <c r="I4585">
        <v>0</v>
      </c>
      <c r="J4585">
        <v>0</v>
      </c>
      <c r="K4585">
        <v>0</v>
      </c>
    </row>
    <row r="4586" spans="1:11" x14ac:dyDescent="0.2">
      <c r="A4586" t="s">
        <v>4331</v>
      </c>
      <c r="B4586">
        <v>0</v>
      </c>
      <c r="C4586">
        <v>0</v>
      </c>
      <c r="D4586">
        <v>0</v>
      </c>
      <c r="E4586">
        <v>0</v>
      </c>
      <c r="F4586">
        <v>0</v>
      </c>
      <c r="G4586">
        <v>0</v>
      </c>
      <c r="H4586">
        <v>0</v>
      </c>
      <c r="I4586">
        <v>0</v>
      </c>
      <c r="J4586">
        <v>0</v>
      </c>
      <c r="K4586">
        <v>0</v>
      </c>
    </row>
    <row r="4587" spans="1:11" x14ac:dyDescent="0.2">
      <c r="A4587" t="s">
        <v>4332</v>
      </c>
      <c r="B4587">
        <v>0</v>
      </c>
      <c r="C4587">
        <v>0</v>
      </c>
      <c r="D4587">
        <v>0</v>
      </c>
      <c r="E4587">
        <v>0</v>
      </c>
      <c r="F4587">
        <v>0</v>
      </c>
      <c r="G4587">
        <v>0</v>
      </c>
      <c r="H4587">
        <v>0</v>
      </c>
      <c r="I4587">
        <v>0</v>
      </c>
      <c r="J4587">
        <v>0</v>
      </c>
      <c r="K4587">
        <v>0</v>
      </c>
    </row>
    <row r="4588" spans="1:11" x14ac:dyDescent="0.2">
      <c r="A4588" t="s">
        <v>4333</v>
      </c>
      <c r="B4588">
        <v>0</v>
      </c>
      <c r="C4588">
        <v>0</v>
      </c>
      <c r="D4588">
        <v>0</v>
      </c>
      <c r="E4588">
        <v>0</v>
      </c>
      <c r="F4588">
        <v>0</v>
      </c>
      <c r="G4588">
        <v>0</v>
      </c>
      <c r="H4588">
        <v>0</v>
      </c>
      <c r="I4588">
        <v>0</v>
      </c>
      <c r="J4588">
        <v>0</v>
      </c>
      <c r="K4588">
        <v>0</v>
      </c>
    </row>
    <row r="4589" spans="1:11" x14ac:dyDescent="0.2">
      <c r="A4589" t="s">
        <v>4334</v>
      </c>
      <c r="B4589">
        <v>0</v>
      </c>
      <c r="C4589">
        <v>0</v>
      </c>
      <c r="D4589">
        <v>0</v>
      </c>
      <c r="E4589">
        <v>0</v>
      </c>
      <c r="F4589">
        <v>0</v>
      </c>
      <c r="G4589">
        <v>0</v>
      </c>
      <c r="H4589">
        <v>0</v>
      </c>
      <c r="I4589">
        <v>0</v>
      </c>
      <c r="J4589">
        <v>0</v>
      </c>
      <c r="K4589">
        <v>0</v>
      </c>
    </row>
    <row r="4590" spans="1:11" x14ac:dyDescent="0.2">
      <c r="A4590" t="s">
        <v>4335</v>
      </c>
      <c r="B4590">
        <v>0</v>
      </c>
      <c r="C4590">
        <v>0</v>
      </c>
      <c r="D4590">
        <v>0</v>
      </c>
      <c r="E4590">
        <v>0</v>
      </c>
      <c r="F4590">
        <v>0</v>
      </c>
      <c r="G4590">
        <v>0</v>
      </c>
      <c r="H4590">
        <v>0</v>
      </c>
      <c r="I4590">
        <v>0</v>
      </c>
      <c r="J4590">
        <v>0</v>
      </c>
      <c r="K4590">
        <v>0</v>
      </c>
    </row>
    <row r="4591" spans="1:11" x14ac:dyDescent="0.2">
      <c r="A4591" t="s">
        <v>4336</v>
      </c>
      <c r="B4591">
        <v>0</v>
      </c>
      <c r="C4591">
        <v>0</v>
      </c>
      <c r="D4591">
        <v>0</v>
      </c>
      <c r="E4591">
        <v>0</v>
      </c>
      <c r="F4591">
        <v>0</v>
      </c>
      <c r="G4591">
        <v>0</v>
      </c>
      <c r="H4591">
        <v>0</v>
      </c>
      <c r="I4591">
        <v>0</v>
      </c>
      <c r="J4591">
        <v>0</v>
      </c>
      <c r="K4591">
        <v>0</v>
      </c>
    </row>
    <row r="4592" spans="1:11" x14ac:dyDescent="0.2">
      <c r="A4592" t="s">
        <v>4337</v>
      </c>
      <c r="B4592">
        <v>0</v>
      </c>
      <c r="C4592">
        <v>0</v>
      </c>
      <c r="D4592">
        <v>0</v>
      </c>
      <c r="E4592">
        <v>0</v>
      </c>
      <c r="F4592">
        <v>0</v>
      </c>
      <c r="G4592">
        <v>0</v>
      </c>
      <c r="H4592">
        <v>0</v>
      </c>
      <c r="I4592">
        <v>0</v>
      </c>
      <c r="J4592">
        <v>0</v>
      </c>
      <c r="K4592">
        <v>0</v>
      </c>
    </row>
    <row r="4593" spans="1:11" x14ac:dyDescent="0.2">
      <c r="A4593" t="s">
        <v>4338</v>
      </c>
      <c r="B4593">
        <v>0</v>
      </c>
      <c r="C4593">
        <v>0</v>
      </c>
      <c r="D4593">
        <v>0</v>
      </c>
      <c r="E4593">
        <v>0</v>
      </c>
      <c r="F4593">
        <v>0</v>
      </c>
      <c r="G4593">
        <v>0</v>
      </c>
      <c r="H4593">
        <v>0</v>
      </c>
      <c r="I4593">
        <v>0</v>
      </c>
      <c r="J4593">
        <v>0</v>
      </c>
      <c r="K4593">
        <v>0</v>
      </c>
    </row>
    <row r="4594" spans="1:11" x14ac:dyDescent="0.2">
      <c r="A4594" t="s">
        <v>4339</v>
      </c>
      <c r="B4594">
        <v>0</v>
      </c>
      <c r="C4594">
        <v>0</v>
      </c>
      <c r="D4594">
        <v>0</v>
      </c>
      <c r="E4594">
        <v>0</v>
      </c>
      <c r="F4594">
        <v>0</v>
      </c>
      <c r="G4594">
        <v>0</v>
      </c>
      <c r="H4594">
        <v>0</v>
      </c>
      <c r="I4594">
        <v>0</v>
      </c>
      <c r="J4594">
        <v>0</v>
      </c>
      <c r="K4594">
        <v>0</v>
      </c>
    </row>
    <row r="4595" spans="1:11" x14ac:dyDescent="0.2">
      <c r="A4595" t="s">
        <v>4340</v>
      </c>
      <c r="B4595">
        <v>0</v>
      </c>
      <c r="C4595">
        <v>0</v>
      </c>
      <c r="D4595">
        <v>0</v>
      </c>
      <c r="E4595">
        <v>0</v>
      </c>
      <c r="F4595">
        <v>0</v>
      </c>
      <c r="G4595">
        <v>0</v>
      </c>
      <c r="H4595">
        <v>0</v>
      </c>
      <c r="I4595">
        <v>0</v>
      </c>
      <c r="J4595">
        <v>0</v>
      </c>
      <c r="K4595">
        <v>0</v>
      </c>
    </row>
    <row r="4596" spans="1:11" x14ac:dyDescent="0.2">
      <c r="A4596" t="s">
        <v>4341</v>
      </c>
      <c r="B4596">
        <v>0</v>
      </c>
      <c r="C4596">
        <v>0</v>
      </c>
      <c r="D4596">
        <v>0</v>
      </c>
      <c r="E4596">
        <v>0</v>
      </c>
      <c r="F4596">
        <v>0</v>
      </c>
      <c r="G4596">
        <v>0</v>
      </c>
      <c r="H4596">
        <v>0</v>
      </c>
      <c r="I4596">
        <v>0</v>
      </c>
      <c r="J4596">
        <v>0</v>
      </c>
      <c r="K4596">
        <v>0</v>
      </c>
    </row>
    <row r="4597" spans="1:11" x14ac:dyDescent="0.2">
      <c r="A4597" t="s">
        <v>4342</v>
      </c>
      <c r="B4597">
        <v>0</v>
      </c>
      <c r="C4597">
        <v>0</v>
      </c>
      <c r="D4597">
        <v>0</v>
      </c>
      <c r="E4597">
        <v>0</v>
      </c>
      <c r="F4597">
        <v>0</v>
      </c>
      <c r="G4597">
        <v>0</v>
      </c>
      <c r="H4597">
        <v>0</v>
      </c>
      <c r="I4597">
        <v>0</v>
      </c>
      <c r="J4597">
        <v>0</v>
      </c>
      <c r="K4597">
        <v>0</v>
      </c>
    </row>
    <row r="4598" spans="1:11" x14ac:dyDescent="0.2">
      <c r="A4598" t="s">
        <v>4343</v>
      </c>
      <c r="B4598">
        <v>0</v>
      </c>
      <c r="C4598">
        <v>0</v>
      </c>
      <c r="D4598">
        <v>0</v>
      </c>
      <c r="E4598">
        <v>0</v>
      </c>
      <c r="F4598">
        <v>0</v>
      </c>
      <c r="G4598">
        <v>0</v>
      </c>
      <c r="H4598">
        <v>0</v>
      </c>
      <c r="I4598">
        <v>0</v>
      </c>
      <c r="J4598">
        <v>0</v>
      </c>
      <c r="K4598">
        <v>0</v>
      </c>
    </row>
    <row r="4599" spans="1:11" x14ac:dyDescent="0.2">
      <c r="A4599" t="s">
        <v>1728</v>
      </c>
      <c r="B4599">
        <v>0</v>
      </c>
      <c r="C4599">
        <v>0</v>
      </c>
      <c r="D4599">
        <v>0</v>
      </c>
      <c r="E4599">
        <v>0</v>
      </c>
      <c r="F4599">
        <v>0</v>
      </c>
      <c r="G4599">
        <v>0</v>
      </c>
      <c r="H4599">
        <v>0</v>
      </c>
      <c r="I4599">
        <v>0</v>
      </c>
      <c r="J4599">
        <v>0</v>
      </c>
      <c r="K4599">
        <v>0</v>
      </c>
    </row>
    <row r="4600" spans="1:11" x14ac:dyDescent="0.2">
      <c r="A4600" t="s">
        <v>1730</v>
      </c>
      <c r="B4600">
        <v>0</v>
      </c>
      <c r="C4600">
        <v>1</v>
      </c>
      <c r="D4600">
        <v>9</v>
      </c>
      <c r="E4600">
        <v>0</v>
      </c>
      <c r="F4600">
        <v>43</v>
      </c>
      <c r="G4600">
        <v>228</v>
      </c>
      <c r="H4600">
        <v>124</v>
      </c>
      <c r="I4600">
        <v>0</v>
      </c>
      <c r="J4600">
        <v>0</v>
      </c>
      <c r="K4600">
        <v>1</v>
      </c>
    </row>
    <row r="4601" spans="1:11" x14ac:dyDescent="0.2">
      <c r="A4601" t="s">
        <v>1733</v>
      </c>
      <c r="B4601">
        <v>0</v>
      </c>
      <c r="C4601">
        <v>0</v>
      </c>
      <c r="D4601">
        <v>0</v>
      </c>
      <c r="E4601">
        <v>0</v>
      </c>
      <c r="F4601">
        <v>0</v>
      </c>
      <c r="G4601">
        <v>0</v>
      </c>
      <c r="H4601">
        <v>0</v>
      </c>
      <c r="I4601">
        <v>0</v>
      </c>
      <c r="J4601">
        <v>0</v>
      </c>
      <c r="K4601">
        <v>0</v>
      </c>
    </row>
    <row r="4602" spans="1:11" x14ac:dyDescent="0.2">
      <c r="A4602" t="s">
        <v>1738</v>
      </c>
      <c r="B4602">
        <v>0</v>
      </c>
      <c r="C4602">
        <v>0</v>
      </c>
      <c r="D4602">
        <v>0</v>
      </c>
      <c r="E4602">
        <v>0</v>
      </c>
      <c r="F4602">
        <v>0</v>
      </c>
      <c r="G4602">
        <v>0</v>
      </c>
      <c r="H4602">
        <v>0</v>
      </c>
      <c r="I4602">
        <v>0</v>
      </c>
      <c r="J4602">
        <v>0</v>
      </c>
      <c r="K4602">
        <v>0</v>
      </c>
    </row>
    <row r="4603" spans="1:11" x14ac:dyDescent="0.2">
      <c r="A4603" t="s">
        <v>1744</v>
      </c>
      <c r="B4603">
        <v>0</v>
      </c>
      <c r="C4603">
        <v>0</v>
      </c>
      <c r="D4603">
        <v>0</v>
      </c>
      <c r="E4603">
        <v>0</v>
      </c>
      <c r="F4603">
        <v>0</v>
      </c>
      <c r="G4603">
        <v>0</v>
      </c>
      <c r="H4603">
        <v>0</v>
      </c>
      <c r="I4603">
        <v>0</v>
      </c>
      <c r="J4603">
        <v>0</v>
      </c>
      <c r="K4603">
        <v>0</v>
      </c>
    </row>
    <row r="4604" spans="1:11" x14ac:dyDescent="0.2">
      <c r="A4604" t="s">
        <v>1747</v>
      </c>
      <c r="B4604">
        <v>0</v>
      </c>
      <c r="C4604">
        <v>0</v>
      </c>
      <c r="D4604">
        <v>0</v>
      </c>
      <c r="E4604">
        <v>0</v>
      </c>
      <c r="F4604">
        <v>0</v>
      </c>
      <c r="G4604">
        <v>0</v>
      </c>
      <c r="H4604">
        <v>0</v>
      </c>
      <c r="I4604">
        <v>0</v>
      </c>
      <c r="J4604">
        <v>0</v>
      </c>
      <c r="K4604">
        <v>0</v>
      </c>
    </row>
    <row r="4605" spans="1:11" x14ac:dyDescent="0.2">
      <c r="A4605" t="s">
        <v>1751</v>
      </c>
      <c r="B4605">
        <v>0</v>
      </c>
      <c r="C4605">
        <v>0</v>
      </c>
      <c r="D4605">
        <v>0</v>
      </c>
      <c r="E4605">
        <v>0</v>
      </c>
      <c r="F4605">
        <v>0</v>
      </c>
      <c r="G4605">
        <v>0</v>
      </c>
      <c r="H4605">
        <v>0</v>
      </c>
      <c r="I4605">
        <v>0</v>
      </c>
      <c r="J4605">
        <v>0</v>
      </c>
      <c r="K4605">
        <v>0</v>
      </c>
    </row>
    <row r="4606" spans="1:11" x14ac:dyDescent="0.2">
      <c r="A4606" t="s">
        <v>1755</v>
      </c>
      <c r="B4606">
        <v>0</v>
      </c>
      <c r="C4606">
        <v>0</v>
      </c>
      <c r="D4606">
        <v>0</v>
      </c>
      <c r="E4606">
        <v>0</v>
      </c>
      <c r="F4606">
        <v>289</v>
      </c>
      <c r="G4606">
        <v>1975</v>
      </c>
      <c r="H4606">
        <v>823</v>
      </c>
      <c r="I4606">
        <v>0</v>
      </c>
      <c r="J4606">
        <v>3</v>
      </c>
      <c r="K4606">
        <v>18</v>
      </c>
    </row>
    <row r="4607" spans="1:11" x14ac:dyDescent="0.2">
      <c r="A4607" t="s">
        <v>1757</v>
      </c>
      <c r="B4607">
        <v>0</v>
      </c>
      <c r="C4607">
        <v>0</v>
      </c>
      <c r="D4607">
        <v>0</v>
      </c>
      <c r="E4607">
        <v>0</v>
      </c>
      <c r="F4607">
        <v>310</v>
      </c>
      <c r="G4607">
        <v>1623</v>
      </c>
      <c r="H4607">
        <v>883</v>
      </c>
      <c r="I4607">
        <v>0</v>
      </c>
      <c r="J4607">
        <v>3</v>
      </c>
      <c r="K4607">
        <v>8</v>
      </c>
    </row>
    <row r="4608" spans="1:11" x14ac:dyDescent="0.2">
      <c r="A4608" t="s">
        <v>1761</v>
      </c>
      <c r="B4608">
        <v>0</v>
      </c>
      <c r="C4608">
        <v>0</v>
      </c>
      <c r="D4608">
        <v>0</v>
      </c>
      <c r="E4608">
        <v>0</v>
      </c>
      <c r="F4608">
        <v>0</v>
      </c>
      <c r="G4608">
        <v>0</v>
      </c>
      <c r="H4608">
        <v>0</v>
      </c>
      <c r="I4608">
        <v>0</v>
      </c>
      <c r="J4608">
        <v>0</v>
      </c>
      <c r="K4608">
        <v>0</v>
      </c>
    </row>
    <row r="4609" spans="1:11" x14ac:dyDescent="0.2">
      <c r="A4609" t="s">
        <v>1764</v>
      </c>
      <c r="B4609">
        <v>0</v>
      </c>
      <c r="C4609">
        <v>0</v>
      </c>
      <c r="D4609">
        <v>0</v>
      </c>
      <c r="E4609">
        <v>0</v>
      </c>
      <c r="F4609">
        <v>0</v>
      </c>
      <c r="G4609">
        <v>0</v>
      </c>
      <c r="H4609">
        <v>0</v>
      </c>
      <c r="I4609">
        <v>0</v>
      </c>
      <c r="J4609">
        <v>0</v>
      </c>
      <c r="K4609">
        <v>0</v>
      </c>
    </row>
    <row r="4610" spans="1:11" x14ac:dyDescent="0.2">
      <c r="A4610" t="s">
        <v>1770</v>
      </c>
      <c r="B4610">
        <v>0</v>
      </c>
      <c r="C4610">
        <v>0</v>
      </c>
      <c r="D4610">
        <v>0</v>
      </c>
      <c r="E4610">
        <v>0</v>
      </c>
      <c r="F4610">
        <v>41</v>
      </c>
      <c r="G4610">
        <v>1596</v>
      </c>
      <c r="H4610">
        <v>115</v>
      </c>
      <c r="I4610">
        <v>0</v>
      </c>
      <c r="J4610">
        <v>3</v>
      </c>
      <c r="K4610">
        <v>53</v>
      </c>
    </row>
    <row r="4611" spans="1:11" x14ac:dyDescent="0.2">
      <c r="A4611" t="s">
        <v>1772</v>
      </c>
      <c r="B4611">
        <v>0</v>
      </c>
      <c r="C4611">
        <v>0</v>
      </c>
      <c r="D4611">
        <v>0</v>
      </c>
      <c r="E4611">
        <v>0</v>
      </c>
      <c r="F4611">
        <v>8</v>
      </c>
      <c r="G4611">
        <v>314</v>
      </c>
      <c r="H4611">
        <v>23</v>
      </c>
      <c r="I4611">
        <v>0</v>
      </c>
      <c r="J4611">
        <v>1</v>
      </c>
      <c r="K4611">
        <v>21</v>
      </c>
    </row>
    <row r="4612" spans="1:11" x14ac:dyDescent="0.2">
      <c r="A4612" t="s">
        <v>1774</v>
      </c>
      <c r="B4612">
        <v>0</v>
      </c>
      <c r="C4612">
        <v>0</v>
      </c>
      <c r="D4612">
        <v>0</v>
      </c>
      <c r="E4612">
        <v>0</v>
      </c>
      <c r="F4612">
        <v>16</v>
      </c>
      <c r="G4612">
        <v>547</v>
      </c>
      <c r="H4612">
        <v>44</v>
      </c>
      <c r="I4612">
        <v>0</v>
      </c>
      <c r="J4612">
        <v>3</v>
      </c>
      <c r="K4612">
        <v>60</v>
      </c>
    </row>
    <row r="4613" spans="1:11" x14ac:dyDescent="0.2">
      <c r="A4613" t="s">
        <v>1777</v>
      </c>
      <c r="B4613">
        <v>0</v>
      </c>
      <c r="C4613">
        <v>0</v>
      </c>
      <c r="D4613">
        <v>0</v>
      </c>
      <c r="E4613">
        <v>0</v>
      </c>
      <c r="F4613">
        <v>0</v>
      </c>
      <c r="G4613">
        <v>0</v>
      </c>
      <c r="H4613">
        <v>0</v>
      </c>
      <c r="I4613">
        <v>0</v>
      </c>
      <c r="J4613">
        <v>0</v>
      </c>
      <c r="K4613">
        <v>0</v>
      </c>
    </row>
    <row r="4614" spans="1:11" x14ac:dyDescent="0.2">
      <c r="A4614" t="s">
        <v>1782</v>
      </c>
      <c r="B4614">
        <v>0</v>
      </c>
      <c r="C4614">
        <v>0</v>
      </c>
      <c r="D4614">
        <v>0</v>
      </c>
      <c r="E4614">
        <v>0</v>
      </c>
      <c r="F4614">
        <v>0</v>
      </c>
      <c r="G4614">
        <v>0</v>
      </c>
      <c r="H4614">
        <v>0</v>
      </c>
      <c r="I4614">
        <v>0</v>
      </c>
      <c r="J4614">
        <v>0</v>
      </c>
      <c r="K4614">
        <v>0</v>
      </c>
    </row>
    <row r="4615" spans="1:11" x14ac:dyDescent="0.2">
      <c r="A4615" t="s">
        <v>1274</v>
      </c>
      <c r="B4615">
        <v>0</v>
      </c>
      <c r="C4615">
        <v>0</v>
      </c>
      <c r="D4615">
        <v>0</v>
      </c>
      <c r="E4615">
        <v>0</v>
      </c>
      <c r="F4615">
        <v>5</v>
      </c>
      <c r="G4615">
        <v>25</v>
      </c>
      <c r="H4615">
        <v>13</v>
      </c>
      <c r="I4615">
        <v>0</v>
      </c>
      <c r="J4615">
        <v>1</v>
      </c>
      <c r="K4615">
        <v>2</v>
      </c>
    </row>
    <row r="4616" spans="1:11" x14ac:dyDescent="0.2">
      <c r="A4616" t="s">
        <v>1277</v>
      </c>
      <c r="B4616">
        <v>0</v>
      </c>
      <c r="C4616">
        <v>0</v>
      </c>
      <c r="D4616">
        <v>0</v>
      </c>
      <c r="E4616">
        <v>0</v>
      </c>
      <c r="F4616">
        <v>38</v>
      </c>
      <c r="G4616">
        <v>209</v>
      </c>
      <c r="H4616">
        <v>109</v>
      </c>
      <c r="I4616">
        <v>0</v>
      </c>
      <c r="J4616">
        <v>5</v>
      </c>
      <c r="K4616">
        <v>13</v>
      </c>
    </row>
    <row r="4617" spans="1:11" x14ac:dyDescent="0.2">
      <c r="A4617" t="s">
        <v>1798</v>
      </c>
      <c r="B4617">
        <v>0</v>
      </c>
      <c r="C4617">
        <v>0</v>
      </c>
      <c r="D4617">
        <v>0</v>
      </c>
      <c r="E4617">
        <v>0</v>
      </c>
      <c r="F4617">
        <v>0</v>
      </c>
      <c r="G4617">
        <v>0</v>
      </c>
      <c r="H4617">
        <v>0</v>
      </c>
      <c r="I4617">
        <v>0</v>
      </c>
      <c r="J4617">
        <v>0</v>
      </c>
      <c r="K4617">
        <v>0</v>
      </c>
    </row>
    <row r="4618" spans="1:11" x14ac:dyDescent="0.2">
      <c r="A4618" t="s">
        <v>1803</v>
      </c>
      <c r="B4618">
        <v>0</v>
      </c>
      <c r="C4618">
        <v>0</v>
      </c>
      <c r="D4618">
        <v>0</v>
      </c>
      <c r="E4618">
        <v>0</v>
      </c>
      <c r="F4618">
        <v>0</v>
      </c>
      <c r="G4618">
        <v>0</v>
      </c>
      <c r="H4618">
        <v>0</v>
      </c>
      <c r="I4618">
        <v>0</v>
      </c>
      <c r="J4618">
        <v>0</v>
      </c>
      <c r="K4618">
        <v>0</v>
      </c>
    </row>
    <row r="4619" spans="1:11" x14ac:dyDescent="0.2">
      <c r="A4619" t="s">
        <v>1808</v>
      </c>
      <c r="B4619">
        <v>0</v>
      </c>
      <c r="C4619">
        <v>0</v>
      </c>
      <c r="D4619">
        <v>0</v>
      </c>
      <c r="E4619">
        <v>0</v>
      </c>
      <c r="F4619">
        <v>0</v>
      </c>
      <c r="G4619">
        <v>0</v>
      </c>
      <c r="H4619">
        <v>0</v>
      </c>
      <c r="I4619">
        <v>0</v>
      </c>
      <c r="J4619">
        <v>0</v>
      </c>
      <c r="K4619">
        <v>0</v>
      </c>
    </row>
    <row r="4620" spans="1:11" x14ac:dyDescent="0.2">
      <c r="A4620" t="s">
        <v>1813</v>
      </c>
      <c r="B4620">
        <v>0</v>
      </c>
      <c r="C4620">
        <v>0</v>
      </c>
      <c r="D4620">
        <v>0</v>
      </c>
      <c r="E4620">
        <v>0</v>
      </c>
      <c r="F4620">
        <v>0</v>
      </c>
      <c r="G4620">
        <v>0</v>
      </c>
      <c r="H4620">
        <v>0</v>
      </c>
      <c r="I4620">
        <v>0</v>
      </c>
      <c r="J4620">
        <v>0</v>
      </c>
      <c r="K4620">
        <v>0</v>
      </c>
    </row>
    <row r="4621" spans="1:11" x14ac:dyDescent="0.2">
      <c r="A4621" t="s">
        <v>1819</v>
      </c>
      <c r="B4621">
        <v>0</v>
      </c>
      <c r="C4621">
        <v>0</v>
      </c>
      <c r="D4621">
        <v>0</v>
      </c>
      <c r="E4621">
        <v>0</v>
      </c>
      <c r="F4621">
        <v>0</v>
      </c>
      <c r="G4621">
        <v>1</v>
      </c>
      <c r="H4621">
        <v>0</v>
      </c>
      <c r="I4621">
        <v>0</v>
      </c>
      <c r="J4621">
        <v>0</v>
      </c>
      <c r="K4621">
        <v>0</v>
      </c>
    </row>
    <row r="4622" spans="1:11" x14ac:dyDescent="0.2">
      <c r="A4622" t="s">
        <v>1826</v>
      </c>
      <c r="B4622">
        <v>0</v>
      </c>
      <c r="C4622">
        <v>0</v>
      </c>
      <c r="D4622">
        <v>0</v>
      </c>
      <c r="E4622">
        <v>0</v>
      </c>
      <c r="F4622">
        <v>0</v>
      </c>
      <c r="G4622">
        <v>0</v>
      </c>
      <c r="H4622">
        <v>0</v>
      </c>
      <c r="I4622">
        <v>0</v>
      </c>
      <c r="J4622">
        <v>0</v>
      </c>
      <c r="K4622">
        <v>0</v>
      </c>
    </row>
    <row r="4623" spans="1:11" x14ac:dyDescent="0.2">
      <c r="A4623" t="s">
        <v>1830</v>
      </c>
      <c r="B4623">
        <v>0</v>
      </c>
      <c r="C4623">
        <v>0</v>
      </c>
      <c r="D4623">
        <v>0</v>
      </c>
      <c r="E4623">
        <v>0</v>
      </c>
      <c r="F4623">
        <v>0</v>
      </c>
      <c r="G4623">
        <v>0</v>
      </c>
      <c r="H4623">
        <v>0</v>
      </c>
      <c r="I4623">
        <v>0</v>
      </c>
      <c r="J4623">
        <v>0</v>
      </c>
      <c r="K4623">
        <v>0</v>
      </c>
    </row>
    <row r="4624" spans="1:11" x14ac:dyDescent="0.2">
      <c r="A4624" t="s">
        <v>1836</v>
      </c>
      <c r="B4624">
        <v>0</v>
      </c>
      <c r="C4624">
        <v>0</v>
      </c>
      <c r="D4624">
        <v>0</v>
      </c>
      <c r="E4624">
        <v>0</v>
      </c>
      <c r="F4624">
        <v>0</v>
      </c>
      <c r="G4624">
        <v>0</v>
      </c>
      <c r="H4624">
        <v>0</v>
      </c>
      <c r="I4624">
        <v>0</v>
      </c>
      <c r="J4624">
        <v>0</v>
      </c>
      <c r="K4624">
        <v>0</v>
      </c>
    </row>
    <row r="4625" spans="1:11" x14ac:dyDescent="0.2">
      <c r="A4625" t="s">
        <v>1841</v>
      </c>
      <c r="B4625">
        <v>0</v>
      </c>
      <c r="C4625">
        <v>0</v>
      </c>
      <c r="D4625">
        <v>0</v>
      </c>
      <c r="E4625">
        <v>0</v>
      </c>
      <c r="F4625">
        <v>0</v>
      </c>
      <c r="G4625">
        <v>0</v>
      </c>
      <c r="H4625">
        <v>0</v>
      </c>
      <c r="I4625">
        <v>0</v>
      </c>
      <c r="J4625">
        <v>0</v>
      </c>
      <c r="K4625">
        <v>0</v>
      </c>
    </row>
    <row r="4626" spans="1:11" x14ac:dyDescent="0.2">
      <c r="A4626" t="s">
        <v>1842</v>
      </c>
      <c r="B4626">
        <v>0</v>
      </c>
      <c r="C4626">
        <v>0</v>
      </c>
      <c r="D4626">
        <v>0</v>
      </c>
      <c r="E4626">
        <v>0</v>
      </c>
      <c r="F4626">
        <v>0</v>
      </c>
      <c r="G4626">
        <v>0</v>
      </c>
      <c r="H4626">
        <v>0</v>
      </c>
      <c r="I4626">
        <v>0</v>
      </c>
      <c r="J4626">
        <v>0</v>
      </c>
      <c r="K4626">
        <v>1</v>
      </c>
    </row>
    <row r="4627" spans="1:11" x14ac:dyDescent="0.2">
      <c r="A4627" t="s">
        <v>1843</v>
      </c>
      <c r="B4627">
        <v>0</v>
      </c>
      <c r="C4627">
        <v>0</v>
      </c>
      <c r="D4627">
        <v>0</v>
      </c>
      <c r="E4627">
        <v>0</v>
      </c>
      <c r="F4627">
        <v>0</v>
      </c>
      <c r="G4627">
        <v>0</v>
      </c>
      <c r="H4627">
        <v>0</v>
      </c>
      <c r="I4627">
        <v>0</v>
      </c>
      <c r="J4627">
        <v>0</v>
      </c>
      <c r="K4627">
        <v>0</v>
      </c>
    </row>
    <row r="4628" spans="1:11" x14ac:dyDescent="0.2">
      <c r="A4628" t="s">
        <v>1846</v>
      </c>
      <c r="B4628">
        <v>0</v>
      </c>
      <c r="C4628">
        <v>0</v>
      </c>
      <c r="D4628">
        <v>0</v>
      </c>
      <c r="E4628">
        <v>0</v>
      </c>
      <c r="F4628">
        <v>0</v>
      </c>
      <c r="G4628">
        <v>0</v>
      </c>
      <c r="H4628">
        <v>0</v>
      </c>
      <c r="I4628">
        <v>0</v>
      </c>
      <c r="J4628">
        <v>0</v>
      </c>
      <c r="K4628">
        <v>0</v>
      </c>
    </row>
    <row r="4629" spans="1:11" x14ac:dyDescent="0.2">
      <c r="A4629" t="s">
        <v>1851</v>
      </c>
      <c r="B4629">
        <v>0</v>
      </c>
      <c r="C4629">
        <v>0</v>
      </c>
      <c r="D4629">
        <v>0</v>
      </c>
      <c r="E4629">
        <v>0</v>
      </c>
      <c r="F4629">
        <v>0</v>
      </c>
      <c r="G4629">
        <v>1</v>
      </c>
      <c r="H4629">
        <v>0</v>
      </c>
      <c r="I4629">
        <v>0</v>
      </c>
      <c r="J4629">
        <v>0</v>
      </c>
      <c r="K4629">
        <v>0</v>
      </c>
    </row>
    <row r="4630" spans="1:11" x14ac:dyDescent="0.2">
      <c r="A4630" t="s">
        <v>1857</v>
      </c>
      <c r="B4630">
        <v>0</v>
      </c>
      <c r="C4630">
        <v>0</v>
      </c>
      <c r="D4630">
        <v>0</v>
      </c>
      <c r="E4630">
        <v>0</v>
      </c>
      <c r="F4630">
        <v>0</v>
      </c>
      <c r="G4630">
        <v>0</v>
      </c>
      <c r="H4630">
        <v>0</v>
      </c>
      <c r="I4630">
        <v>0</v>
      </c>
      <c r="J4630">
        <v>0</v>
      </c>
      <c r="K4630">
        <v>0</v>
      </c>
    </row>
    <row r="4631" spans="1:11" x14ac:dyDescent="0.2">
      <c r="A4631" t="s">
        <v>1862</v>
      </c>
      <c r="B4631">
        <v>0</v>
      </c>
      <c r="C4631">
        <v>0</v>
      </c>
      <c r="D4631">
        <v>0</v>
      </c>
      <c r="E4631">
        <v>0</v>
      </c>
      <c r="F4631">
        <v>0</v>
      </c>
      <c r="G4631">
        <v>0</v>
      </c>
      <c r="H4631">
        <v>0</v>
      </c>
      <c r="I4631">
        <v>0</v>
      </c>
      <c r="J4631">
        <v>0</v>
      </c>
      <c r="K4631">
        <v>0</v>
      </c>
    </row>
    <row r="4632" spans="1:11" x14ac:dyDescent="0.2">
      <c r="A4632" t="s">
        <v>1867</v>
      </c>
      <c r="B4632">
        <v>0</v>
      </c>
      <c r="C4632">
        <v>0</v>
      </c>
      <c r="D4632">
        <v>0</v>
      </c>
      <c r="E4632">
        <v>0</v>
      </c>
      <c r="F4632">
        <v>0</v>
      </c>
      <c r="G4632">
        <v>0</v>
      </c>
      <c r="H4632">
        <v>0</v>
      </c>
      <c r="I4632">
        <v>0</v>
      </c>
      <c r="J4632">
        <v>0</v>
      </c>
      <c r="K4632">
        <v>0</v>
      </c>
    </row>
    <row r="4633" spans="1:11" x14ac:dyDescent="0.2">
      <c r="A4633" t="s">
        <v>1870</v>
      </c>
      <c r="B4633">
        <v>0</v>
      </c>
      <c r="C4633">
        <v>0</v>
      </c>
      <c r="D4633">
        <v>0</v>
      </c>
      <c r="E4633">
        <v>0</v>
      </c>
      <c r="F4633">
        <v>0</v>
      </c>
      <c r="G4633">
        <v>0</v>
      </c>
      <c r="H4633">
        <v>0</v>
      </c>
      <c r="I4633">
        <v>0</v>
      </c>
      <c r="J4633">
        <v>0</v>
      </c>
      <c r="K4633">
        <v>0</v>
      </c>
    </row>
    <row r="4634" spans="1:11" x14ac:dyDescent="0.2">
      <c r="A4634" t="s">
        <v>1874</v>
      </c>
      <c r="B4634">
        <v>0</v>
      </c>
      <c r="C4634">
        <v>0</v>
      </c>
      <c r="D4634">
        <v>0</v>
      </c>
      <c r="E4634">
        <v>0</v>
      </c>
      <c r="F4634">
        <v>0</v>
      </c>
      <c r="G4634">
        <v>0</v>
      </c>
      <c r="H4634">
        <v>0</v>
      </c>
      <c r="I4634">
        <v>0</v>
      </c>
      <c r="J4634">
        <v>0</v>
      </c>
      <c r="K4634">
        <v>0</v>
      </c>
    </row>
    <row r="4635" spans="1:11" x14ac:dyDescent="0.2">
      <c r="A4635" t="s">
        <v>1876</v>
      </c>
      <c r="B4635">
        <v>0</v>
      </c>
      <c r="C4635">
        <v>0</v>
      </c>
      <c r="D4635">
        <v>0</v>
      </c>
      <c r="E4635">
        <v>0</v>
      </c>
      <c r="F4635">
        <v>0</v>
      </c>
      <c r="G4635">
        <v>0</v>
      </c>
      <c r="H4635">
        <v>0</v>
      </c>
      <c r="I4635">
        <v>0</v>
      </c>
      <c r="J4635">
        <v>0</v>
      </c>
      <c r="K4635">
        <v>0</v>
      </c>
    </row>
    <row r="4636" spans="1:11" x14ac:dyDescent="0.2">
      <c r="A4636" t="s">
        <v>1881</v>
      </c>
      <c r="B4636">
        <v>0</v>
      </c>
      <c r="C4636">
        <v>0</v>
      </c>
      <c r="D4636">
        <v>0</v>
      </c>
      <c r="E4636">
        <v>0</v>
      </c>
      <c r="F4636">
        <v>0</v>
      </c>
      <c r="G4636">
        <v>0</v>
      </c>
      <c r="H4636">
        <v>0</v>
      </c>
      <c r="I4636">
        <v>0</v>
      </c>
      <c r="J4636">
        <v>0</v>
      </c>
      <c r="K4636">
        <v>0</v>
      </c>
    </row>
    <row r="4637" spans="1:11" x14ac:dyDescent="0.2">
      <c r="A4637" t="s">
        <v>1885</v>
      </c>
      <c r="B4637">
        <v>0</v>
      </c>
      <c r="C4637">
        <v>0</v>
      </c>
      <c r="D4637">
        <v>0</v>
      </c>
      <c r="E4637">
        <v>0</v>
      </c>
      <c r="F4637">
        <v>3</v>
      </c>
      <c r="G4637">
        <v>15</v>
      </c>
      <c r="H4637">
        <v>7</v>
      </c>
      <c r="I4637">
        <v>0</v>
      </c>
      <c r="J4637">
        <v>0</v>
      </c>
      <c r="K4637">
        <v>1</v>
      </c>
    </row>
    <row r="4638" spans="1:11" x14ac:dyDescent="0.2">
      <c r="A4638" t="s">
        <v>1887</v>
      </c>
      <c r="B4638">
        <v>0</v>
      </c>
      <c r="C4638">
        <v>0</v>
      </c>
      <c r="D4638">
        <v>0</v>
      </c>
      <c r="E4638">
        <v>0</v>
      </c>
      <c r="F4638">
        <v>0</v>
      </c>
      <c r="G4638">
        <v>1</v>
      </c>
      <c r="H4638">
        <v>0</v>
      </c>
      <c r="I4638">
        <v>0</v>
      </c>
      <c r="J4638">
        <v>0</v>
      </c>
      <c r="K4638">
        <v>0</v>
      </c>
    </row>
    <row r="4639" spans="1:11" x14ac:dyDescent="0.2">
      <c r="A4639" t="s">
        <v>1893</v>
      </c>
      <c r="B4639">
        <v>0</v>
      </c>
      <c r="C4639">
        <v>0</v>
      </c>
      <c r="D4639">
        <v>0</v>
      </c>
      <c r="E4639">
        <v>0</v>
      </c>
      <c r="F4639">
        <v>1</v>
      </c>
      <c r="G4639">
        <v>3</v>
      </c>
      <c r="H4639">
        <v>2</v>
      </c>
      <c r="I4639">
        <v>0</v>
      </c>
      <c r="J4639">
        <v>0</v>
      </c>
      <c r="K4639">
        <v>0</v>
      </c>
    </row>
    <row r="4640" spans="1:11" x14ac:dyDescent="0.2">
      <c r="A4640" t="s">
        <v>1899</v>
      </c>
      <c r="B4640">
        <v>0</v>
      </c>
      <c r="C4640">
        <v>0</v>
      </c>
      <c r="D4640">
        <v>0</v>
      </c>
      <c r="E4640">
        <v>0</v>
      </c>
      <c r="F4640">
        <v>0</v>
      </c>
      <c r="G4640">
        <v>0</v>
      </c>
      <c r="H4640">
        <v>0</v>
      </c>
      <c r="I4640">
        <v>0</v>
      </c>
      <c r="J4640">
        <v>0</v>
      </c>
      <c r="K4640">
        <v>0</v>
      </c>
    </row>
    <row r="4641" spans="1:11" x14ac:dyDescent="0.2">
      <c r="A4641" t="s">
        <v>1906</v>
      </c>
      <c r="B4641">
        <v>0</v>
      </c>
      <c r="C4641">
        <v>0</v>
      </c>
      <c r="D4641">
        <v>0</v>
      </c>
      <c r="E4641">
        <v>0</v>
      </c>
      <c r="F4641">
        <v>0</v>
      </c>
      <c r="G4641">
        <v>0</v>
      </c>
      <c r="H4641">
        <v>0</v>
      </c>
      <c r="I4641">
        <v>0</v>
      </c>
      <c r="J4641">
        <v>0</v>
      </c>
      <c r="K4641">
        <v>0</v>
      </c>
    </row>
    <row r="4642" spans="1:11" x14ac:dyDescent="0.2">
      <c r="A4642" t="s">
        <v>1911</v>
      </c>
      <c r="B4642">
        <v>0</v>
      </c>
      <c r="C4642">
        <v>0</v>
      </c>
      <c r="D4642">
        <v>0</v>
      </c>
      <c r="E4642">
        <v>0</v>
      </c>
      <c r="F4642">
        <v>0</v>
      </c>
      <c r="G4642">
        <v>0</v>
      </c>
      <c r="H4642">
        <v>0</v>
      </c>
      <c r="I4642">
        <v>0</v>
      </c>
      <c r="J4642">
        <v>0</v>
      </c>
      <c r="K4642">
        <v>0</v>
      </c>
    </row>
    <row r="4643" spans="1:11" x14ac:dyDescent="0.2">
      <c r="A4643" t="s">
        <v>1917</v>
      </c>
      <c r="B4643">
        <v>0</v>
      </c>
      <c r="C4643">
        <v>0</v>
      </c>
      <c r="D4643">
        <v>0</v>
      </c>
      <c r="E4643">
        <v>0</v>
      </c>
      <c r="F4643">
        <v>0</v>
      </c>
      <c r="G4643">
        <v>0</v>
      </c>
      <c r="H4643">
        <v>0</v>
      </c>
      <c r="I4643">
        <v>0</v>
      </c>
      <c r="J4643">
        <v>0</v>
      </c>
      <c r="K4643">
        <v>0</v>
      </c>
    </row>
    <row r="4644" spans="1:11" x14ac:dyDescent="0.2">
      <c r="A4644" t="s">
        <v>1922</v>
      </c>
      <c r="B4644">
        <v>0</v>
      </c>
      <c r="C4644">
        <v>0</v>
      </c>
      <c r="D4644">
        <v>0</v>
      </c>
      <c r="E4644">
        <v>0</v>
      </c>
      <c r="F4644">
        <v>0</v>
      </c>
      <c r="G4644">
        <v>0</v>
      </c>
      <c r="H4644">
        <v>0</v>
      </c>
      <c r="I4644">
        <v>0</v>
      </c>
      <c r="J4644">
        <v>0</v>
      </c>
      <c r="K4644">
        <v>0</v>
      </c>
    </row>
    <row r="4645" spans="1:11" x14ac:dyDescent="0.2">
      <c r="A4645" t="s">
        <v>1928</v>
      </c>
      <c r="B4645">
        <v>0</v>
      </c>
      <c r="C4645">
        <v>0</v>
      </c>
      <c r="D4645">
        <v>0</v>
      </c>
      <c r="E4645">
        <v>0</v>
      </c>
      <c r="F4645">
        <v>0</v>
      </c>
      <c r="G4645">
        <v>0</v>
      </c>
      <c r="H4645">
        <v>0</v>
      </c>
      <c r="I4645">
        <v>0</v>
      </c>
      <c r="J4645">
        <v>0</v>
      </c>
      <c r="K4645">
        <v>0</v>
      </c>
    </row>
    <row r="4646" spans="1:11" x14ac:dyDescent="0.2">
      <c r="A4646" t="s">
        <v>1932</v>
      </c>
      <c r="B4646">
        <v>0</v>
      </c>
      <c r="C4646">
        <v>0</v>
      </c>
      <c r="D4646">
        <v>0</v>
      </c>
      <c r="E4646">
        <v>0</v>
      </c>
      <c r="F4646">
        <v>0</v>
      </c>
      <c r="G4646">
        <v>0</v>
      </c>
      <c r="H4646">
        <v>0</v>
      </c>
      <c r="I4646">
        <v>0</v>
      </c>
      <c r="J4646">
        <v>0</v>
      </c>
      <c r="K4646">
        <v>0</v>
      </c>
    </row>
    <row r="4647" spans="1:11" x14ac:dyDescent="0.2">
      <c r="A4647" t="s">
        <v>1938</v>
      </c>
      <c r="B4647">
        <v>0</v>
      </c>
      <c r="C4647">
        <v>0</v>
      </c>
      <c r="D4647">
        <v>0</v>
      </c>
      <c r="E4647">
        <v>0</v>
      </c>
      <c r="F4647">
        <v>0</v>
      </c>
      <c r="G4647">
        <v>0</v>
      </c>
      <c r="H4647">
        <v>0</v>
      </c>
      <c r="I4647">
        <v>0</v>
      </c>
      <c r="J4647">
        <v>0</v>
      </c>
      <c r="K4647">
        <v>0</v>
      </c>
    </row>
    <row r="4648" spans="1:11" x14ac:dyDescent="0.2">
      <c r="A4648" t="s">
        <v>1944</v>
      </c>
      <c r="B4648">
        <v>0</v>
      </c>
      <c r="C4648">
        <v>0</v>
      </c>
      <c r="D4648">
        <v>0</v>
      </c>
      <c r="E4648">
        <v>0</v>
      </c>
      <c r="F4648">
        <v>0</v>
      </c>
      <c r="G4648">
        <v>0</v>
      </c>
      <c r="H4648">
        <v>0</v>
      </c>
      <c r="I4648">
        <v>0</v>
      </c>
      <c r="J4648">
        <v>0</v>
      </c>
      <c r="K4648">
        <v>0</v>
      </c>
    </row>
    <row r="4649" spans="1:11" x14ac:dyDescent="0.2">
      <c r="A4649" t="s">
        <v>1947</v>
      </c>
      <c r="B4649">
        <v>0</v>
      </c>
      <c r="C4649">
        <v>0</v>
      </c>
      <c r="D4649">
        <v>0</v>
      </c>
      <c r="E4649">
        <v>0</v>
      </c>
      <c r="F4649">
        <v>0</v>
      </c>
      <c r="G4649">
        <v>0</v>
      </c>
      <c r="H4649">
        <v>0</v>
      </c>
      <c r="I4649">
        <v>0</v>
      </c>
      <c r="J4649">
        <v>0</v>
      </c>
      <c r="K4649">
        <v>0</v>
      </c>
    </row>
    <row r="4650" spans="1:11" x14ac:dyDescent="0.2">
      <c r="A4650" t="s">
        <v>1953</v>
      </c>
      <c r="B4650">
        <v>0</v>
      </c>
      <c r="C4650">
        <v>0</v>
      </c>
      <c r="D4650">
        <v>0</v>
      </c>
      <c r="E4650">
        <v>0</v>
      </c>
      <c r="F4650">
        <v>0</v>
      </c>
      <c r="G4650">
        <v>0</v>
      </c>
      <c r="H4650">
        <v>0</v>
      </c>
      <c r="I4650">
        <v>0</v>
      </c>
      <c r="J4650">
        <v>0</v>
      </c>
      <c r="K4650">
        <v>0</v>
      </c>
    </row>
    <row r="4651" spans="1:11" x14ac:dyDescent="0.2">
      <c r="A4651" t="s">
        <v>1958</v>
      </c>
      <c r="B4651">
        <v>0</v>
      </c>
      <c r="C4651">
        <v>0</v>
      </c>
      <c r="D4651">
        <v>0</v>
      </c>
      <c r="E4651">
        <v>0</v>
      </c>
      <c r="F4651">
        <v>0</v>
      </c>
      <c r="G4651">
        <v>0</v>
      </c>
      <c r="H4651">
        <v>0</v>
      </c>
      <c r="I4651">
        <v>0</v>
      </c>
      <c r="J4651">
        <v>0</v>
      </c>
      <c r="K4651">
        <v>0</v>
      </c>
    </row>
    <row r="4652" spans="1:11" x14ac:dyDescent="0.2">
      <c r="A4652" t="s">
        <v>1964</v>
      </c>
      <c r="B4652">
        <v>0</v>
      </c>
      <c r="C4652">
        <v>0</v>
      </c>
      <c r="D4652">
        <v>0</v>
      </c>
      <c r="E4652">
        <v>0</v>
      </c>
      <c r="F4652">
        <v>0</v>
      </c>
      <c r="G4652">
        <v>0</v>
      </c>
      <c r="H4652">
        <v>0</v>
      </c>
      <c r="I4652">
        <v>0</v>
      </c>
      <c r="J4652">
        <v>0</v>
      </c>
      <c r="K4652">
        <v>0</v>
      </c>
    </row>
    <row r="4653" spans="1:11" x14ac:dyDescent="0.2">
      <c r="A4653" t="s">
        <v>1973</v>
      </c>
      <c r="B4653">
        <v>0</v>
      </c>
      <c r="C4653">
        <v>0</v>
      </c>
      <c r="D4653">
        <v>0</v>
      </c>
      <c r="E4653">
        <v>0</v>
      </c>
      <c r="F4653">
        <v>0</v>
      </c>
      <c r="G4653">
        <v>0</v>
      </c>
      <c r="H4653">
        <v>0</v>
      </c>
      <c r="I4653">
        <v>0</v>
      </c>
      <c r="J4653">
        <v>0</v>
      </c>
      <c r="K4653">
        <v>0</v>
      </c>
    </row>
    <row r="4654" spans="1:11" x14ac:dyDescent="0.2">
      <c r="A4654" t="s">
        <v>1978</v>
      </c>
      <c r="B4654">
        <v>0</v>
      </c>
      <c r="C4654">
        <v>0</v>
      </c>
      <c r="D4654">
        <v>0</v>
      </c>
      <c r="E4654">
        <v>0</v>
      </c>
      <c r="F4654">
        <v>0</v>
      </c>
      <c r="G4654">
        <v>0</v>
      </c>
      <c r="H4654">
        <v>0</v>
      </c>
      <c r="I4654">
        <v>0</v>
      </c>
      <c r="J4654">
        <v>0</v>
      </c>
      <c r="K4654">
        <v>0</v>
      </c>
    </row>
    <row r="4655" spans="1:11" x14ac:dyDescent="0.2">
      <c r="A4655" t="s">
        <v>1983</v>
      </c>
      <c r="B4655">
        <v>0</v>
      </c>
      <c r="C4655">
        <v>0</v>
      </c>
      <c r="D4655">
        <v>0</v>
      </c>
      <c r="E4655">
        <v>0</v>
      </c>
      <c r="F4655">
        <v>0</v>
      </c>
      <c r="G4655">
        <v>0</v>
      </c>
      <c r="H4655">
        <v>0</v>
      </c>
      <c r="I4655">
        <v>0</v>
      </c>
      <c r="J4655">
        <v>0</v>
      </c>
      <c r="K4655">
        <v>0</v>
      </c>
    </row>
    <row r="4656" spans="1:11" x14ac:dyDescent="0.2">
      <c r="A4656" t="s">
        <v>1984</v>
      </c>
      <c r="B4656">
        <v>0</v>
      </c>
      <c r="C4656">
        <v>0</v>
      </c>
      <c r="D4656">
        <v>0</v>
      </c>
      <c r="E4656">
        <v>0</v>
      </c>
      <c r="F4656">
        <v>0</v>
      </c>
      <c r="G4656">
        <v>0</v>
      </c>
      <c r="H4656">
        <v>0</v>
      </c>
      <c r="I4656">
        <v>0</v>
      </c>
      <c r="J4656">
        <v>0</v>
      </c>
      <c r="K4656">
        <v>0</v>
      </c>
    </row>
    <row r="4657" spans="1:11" x14ac:dyDescent="0.2">
      <c r="A4657" t="s">
        <v>1990</v>
      </c>
      <c r="B4657">
        <v>0</v>
      </c>
      <c r="C4657">
        <v>0</v>
      </c>
      <c r="D4657">
        <v>0</v>
      </c>
      <c r="E4657">
        <v>0</v>
      </c>
      <c r="F4657">
        <v>0</v>
      </c>
      <c r="G4657">
        <v>0</v>
      </c>
      <c r="H4657">
        <v>0</v>
      </c>
      <c r="I4657">
        <v>0</v>
      </c>
      <c r="J4657">
        <v>0</v>
      </c>
      <c r="K4657">
        <v>0</v>
      </c>
    </row>
    <row r="4658" spans="1:11" x14ac:dyDescent="0.2">
      <c r="A4658" t="s">
        <v>1996</v>
      </c>
      <c r="B4658">
        <v>0</v>
      </c>
      <c r="C4658">
        <v>0</v>
      </c>
      <c r="D4658">
        <v>0</v>
      </c>
      <c r="E4658">
        <v>0</v>
      </c>
      <c r="F4658">
        <v>0</v>
      </c>
      <c r="G4658">
        <v>0</v>
      </c>
      <c r="H4658">
        <v>0</v>
      </c>
      <c r="I4658">
        <v>0</v>
      </c>
      <c r="J4658">
        <v>0</v>
      </c>
      <c r="K4658">
        <v>0</v>
      </c>
    </row>
    <row r="4659" spans="1:11" x14ac:dyDescent="0.2">
      <c r="A4659" t="s">
        <v>1998</v>
      </c>
      <c r="B4659">
        <v>0</v>
      </c>
      <c r="C4659">
        <v>0</v>
      </c>
      <c r="D4659">
        <v>0</v>
      </c>
      <c r="E4659">
        <v>0</v>
      </c>
      <c r="F4659">
        <v>0</v>
      </c>
      <c r="G4659">
        <v>0</v>
      </c>
      <c r="H4659">
        <v>0</v>
      </c>
      <c r="I4659">
        <v>0</v>
      </c>
      <c r="J4659">
        <v>0</v>
      </c>
      <c r="K4659">
        <v>0</v>
      </c>
    </row>
    <row r="4660" spans="1:11" x14ac:dyDescent="0.2">
      <c r="A4660" t="s">
        <v>1999</v>
      </c>
      <c r="B4660">
        <v>0</v>
      </c>
      <c r="C4660">
        <v>0</v>
      </c>
      <c r="D4660">
        <v>0</v>
      </c>
      <c r="E4660">
        <v>0</v>
      </c>
      <c r="F4660">
        <v>0</v>
      </c>
      <c r="G4660">
        <v>0</v>
      </c>
      <c r="H4660">
        <v>0</v>
      </c>
      <c r="I4660">
        <v>0</v>
      </c>
      <c r="J4660">
        <v>0</v>
      </c>
      <c r="K4660">
        <v>0</v>
      </c>
    </row>
    <row r="4661" spans="1:11" x14ac:dyDescent="0.2">
      <c r="A4661" t="s">
        <v>2004</v>
      </c>
      <c r="B4661">
        <v>0</v>
      </c>
      <c r="C4661">
        <v>0</v>
      </c>
      <c r="D4661">
        <v>0</v>
      </c>
      <c r="E4661">
        <v>0</v>
      </c>
      <c r="F4661">
        <v>0</v>
      </c>
      <c r="G4661">
        <v>0</v>
      </c>
      <c r="H4661">
        <v>0</v>
      </c>
      <c r="I4661">
        <v>0</v>
      </c>
      <c r="J4661">
        <v>0</v>
      </c>
      <c r="K4661">
        <v>0</v>
      </c>
    </row>
    <row r="4662" spans="1:11" x14ac:dyDescent="0.2">
      <c r="A4662" t="s">
        <v>2009</v>
      </c>
      <c r="B4662">
        <v>0</v>
      </c>
      <c r="C4662">
        <v>0</v>
      </c>
      <c r="D4662">
        <v>0</v>
      </c>
      <c r="E4662">
        <v>0</v>
      </c>
      <c r="F4662">
        <v>0</v>
      </c>
      <c r="G4662">
        <v>0</v>
      </c>
      <c r="H4662">
        <v>0</v>
      </c>
      <c r="I4662">
        <v>0</v>
      </c>
      <c r="J4662">
        <v>0</v>
      </c>
      <c r="K4662">
        <v>0</v>
      </c>
    </row>
    <row r="4663" spans="1:11" x14ac:dyDescent="0.2">
      <c r="A4663" t="s">
        <v>2014</v>
      </c>
      <c r="B4663">
        <v>0</v>
      </c>
      <c r="C4663">
        <v>0</v>
      </c>
      <c r="D4663">
        <v>0</v>
      </c>
      <c r="E4663">
        <v>0</v>
      </c>
      <c r="F4663">
        <v>0</v>
      </c>
      <c r="G4663">
        <v>0</v>
      </c>
      <c r="H4663">
        <v>0</v>
      </c>
      <c r="I4663">
        <v>0</v>
      </c>
      <c r="J4663">
        <v>0</v>
      </c>
      <c r="K4663">
        <v>0</v>
      </c>
    </row>
    <row r="4664" spans="1:11" x14ac:dyDescent="0.2">
      <c r="A4664" t="s">
        <v>2019</v>
      </c>
      <c r="B4664">
        <v>0</v>
      </c>
      <c r="C4664">
        <v>0</v>
      </c>
      <c r="D4664">
        <v>0</v>
      </c>
      <c r="E4664">
        <v>0</v>
      </c>
      <c r="F4664">
        <v>0</v>
      </c>
      <c r="G4664">
        <v>0</v>
      </c>
      <c r="H4664">
        <v>0</v>
      </c>
      <c r="I4664">
        <v>0</v>
      </c>
      <c r="J4664">
        <v>0</v>
      </c>
      <c r="K4664">
        <v>0</v>
      </c>
    </row>
    <row r="4665" spans="1:11" x14ac:dyDescent="0.2">
      <c r="A4665" t="s">
        <v>2023</v>
      </c>
      <c r="B4665">
        <v>0</v>
      </c>
      <c r="C4665">
        <v>0</v>
      </c>
      <c r="D4665">
        <v>0</v>
      </c>
      <c r="E4665">
        <v>0</v>
      </c>
      <c r="F4665">
        <v>0</v>
      </c>
      <c r="G4665">
        <v>0</v>
      </c>
      <c r="H4665">
        <v>0</v>
      </c>
      <c r="I4665">
        <v>0</v>
      </c>
      <c r="J4665">
        <v>0</v>
      </c>
      <c r="K4665">
        <v>0</v>
      </c>
    </row>
    <row r="4666" spans="1:11" x14ac:dyDescent="0.2">
      <c r="A4666" t="s">
        <v>2026</v>
      </c>
      <c r="B4666">
        <v>0</v>
      </c>
      <c r="C4666">
        <v>0</v>
      </c>
      <c r="D4666">
        <v>0</v>
      </c>
      <c r="E4666">
        <v>0</v>
      </c>
      <c r="F4666">
        <v>0</v>
      </c>
      <c r="G4666">
        <v>0</v>
      </c>
      <c r="H4666">
        <v>0</v>
      </c>
      <c r="I4666">
        <v>0</v>
      </c>
      <c r="J4666">
        <v>0</v>
      </c>
      <c r="K4666">
        <v>0</v>
      </c>
    </row>
    <row r="4667" spans="1:11" x14ac:dyDescent="0.2">
      <c r="A4667" t="s">
        <v>2030</v>
      </c>
      <c r="B4667">
        <v>0</v>
      </c>
      <c r="C4667">
        <v>0</v>
      </c>
      <c r="D4667">
        <v>0</v>
      </c>
      <c r="E4667">
        <v>0</v>
      </c>
      <c r="F4667">
        <v>0</v>
      </c>
      <c r="G4667">
        <v>0</v>
      </c>
      <c r="H4667">
        <v>0</v>
      </c>
      <c r="I4667">
        <v>0</v>
      </c>
      <c r="J4667">
        <v>0</v>
      </c>
      <c r="K4667">
        <v>0</v>
      </c>
    </row>
    <row r="4668" spans="1:11" x14ac:dyDescent="0.2">
      <c r="A4668" t="s">
        <v>2035</v>
      </c>
      <c r="B4668">
        <v>0</v>
      </c>
      <c r="C4668">
        <v>0</v>
      </c>
      <c r="D4668">
        <v>0</v>
      </c>
      <c r="E4668">
        <v>0</v>
      </c>
      <c r="F4668">
        <v>0</v>
      </c>
      <c r="G4668">
        <v>0</v>
      </c>
      <c r="H4668">
        <v>0</v>
      </c>
      <c r="I4668">
        <v>0</v>
      </c>
      <c r="J4668">
        <v>0</v>
      </c>
      <c r="K4668">
        <v>0</v>
      </c>
    </row>
    <row r="4669" spans="1:11" x14ac:dyDescent="0.2">
      <c r="A4669" t="s">
        <v>2040</v>
      </c>
      <c r="B4669">
        <v>0</v>
      </c>
      <c r="C4669">
        <v>0</v>
      </c>
      <c r="D4669">
        <v>0</v>
      </c>
      <c r="E4669">
        <v>0</v>
      </c>
      <c r="F4669">
        <v>0</v>
      </c>
      <c r="G4669">
        <v>0</v>
      </c>
      <c r="H4669">
        <v>0</v>
      </c>
      <c r="I4669">
        <v>0</v>
      </c>
      <c r="J4669">
        <v>0</v>
      </c>
      <c r="K4669">
        <v>0</v>
      </c>
    </row>
    <row r="4670" spans="1:11" x14ac:dyDescent="0.2">
      <c r="A4670" t="s">
        <v>2045</v>
      </c>
      <c r="B4670">
        <v>0</v>
      </c>
      <c r="C4670">
        <v>0</v>
      </c>
      <c r="D4670">
        <v>0</v>
      </c>
      <c r="E4670">
        <v>0</v>
      </c>
      <c r="F4670">
        <v>0</v>
      </c>
      <c r="G4670">
        <v>0</v>
      </c>
      <c r="H4670">
        <v>0</v>
      </c>
      <c r="I4670">
        <v>0</v>
      </c>
      <c r="J4670">
        <v>0</v>
      </c>
      <c r="K4670">
        <v>0</v>
      </c>
    </row>
    <row r="4671" spans="1:11" x14ac:dyDescent="0.2">
      <c r="A4671" t="s">
        <v>2049</v>
      </c>
      <c r="B4671">
        <v>0</v>
      </c>
      <c r="C4671">
        <v>0</v>
      </c>
      <c r="D4671">
        <v>0</v>
      </c>
      <c r="E4671">
        <v>0</v>
      </c>
      <c r="F4671">
        <v>0</v>
      </c>
      <c r="G4671">
        <v>0</v>
      </c>
      <c r="H4671">
        <v>0</v>
      </c>
      <c r="I4671">
        <v>0</v>
      </c>
      <c r="J4671">
        <v>0</v>
      </c>
      <c r="K4671">
        <v>0</v>
      </c>
    </row>
    <row r="4672" spans="1:11" x14ac:dyDescent="0.2">
      <c r="A4672" t="s">
        <v>2051</v>
      </c>
      <c r="B4672">
        <v>0</v>
      </c>
      <c r="C4672">
        <v>0</v>
      </c>
      <c r="D4672">
        <v>0</v>
      </c>
      <c r="E4672">
        <v>0</v>
      </c>
      <c r="F4672">
        <v>0</v>
      </c>
      <c r="G4672">
        <v>1</v>
      </c>
      <c r="H4672">
        <v>1</v>
      </c>
      <c r="I4672">
        <v>0</v>
      </c>
      <c r="J4672">
        <v>0</v>
      </c>
      <c r="K4672">
        <v>0</v>
      </c>
    </row>
    <row r="4673" spans="1:11" x14ac:dyDescent="0.2">
      <c r="A4673" t="s">
        <v>2057</v>
      </c>
      <c r="B4673">
        <v>0</v>
      </c>
      <c r="C4673">
        <v>0</v>
      </c>
      <c r="D4673">
        <v>0</v>
      </c>
      <c r="E4673">
        <v>0</v>
      </c>
      <c r="F4673">
        <v>0</v>
      </c>
      <c r="G4673">
        <v>2</v>
      </c>
      <c r="H4673">
        <v>1</v>
      </c>
      <c r="I4673">
        <v>0</v>
      </c>
      <c r="J4673">
        <v>0</v>
      </c>
      <c r="K4673">
        <v>0</v>
      </c>
    </row>
    <row r="4674" spans="1:11" x14ac:dyDescent="0.2">
      <c r="A4674" t="s">
        <v>4344</v>
      </c>
      <c r="B4674">
        <v>0</v>
      </c>
      <c r="C4674">
        <v>0</v>
      </c>
      <c r="D4674">
        <v>0</v>
      </c>
      <c r="E4674">
        <v>0</v>
      </c>
      <c r="F4674">
        <v>0</v>
      </c>
      <c r="G4674">
        <v>0</v>
      </c>
      <c r="H4674">
        <v>0</v>
      </c>
      <c r="I4674">
        <v>0</v>
      </c>
      <c r="J4674">
        <v>0</v>
      </c>
      <c r="K4674">
        <v>0</v>
      </c>
    </row>
    <row r="4675" spans="1:11" x14ac:dyDescent="0.2">
      <c r="A4675" t="s">
        <v>4345</v>
      </c>
      <c r="B4675">
        <v>0</v>
      </c>
      <c r="C4675">
        <v>0</v>
      </c>
      <c r="D4675">
        <v>0</v>
      </c>
      <c r="E4675">
        <v>0</v>
      </c>
      <c r="F4675">
        <v>0</v>
      </c>
      <c r="G4675">
        <v>0</v>
      </c>
      <c r="H4675">
        <v>0</v>
      </c>
      <c r="I4675">
        <v>0</v>
      </c>
      <c r="J4675">
        <v>0</v>
      </c>
      <c r="K4675">
        <v>0</v>
      </c>
    </row>
    <row r="4676" spans="1:11" x14ac:dyDescent="0.2">
      <c r="A4676" t="s">
        <v>2074</v>
      </c>
      <c r="B4676">
        <v>0</v>
      </c>
      <c r="C4676">
        <v>0</v>
      </c>
      <c r="D4676">
        <v>0</v>
      </c>
      <c r="E4676">
        <v>0</v>
      </c>
      <c r="F4676">
        <v>0</v>
      </c>
      <c r="G4676">
        <v>0</v>
      </c>
      <c r="H4676">
        <v>0</v>
      </c>
      <c r="I4676">
        <v>0</v>
      </c>
      <c r="J4676">
        <v>0</v>
      </c>
      <c r="K4676">
        <v>0</v>
      </c>
    </row>
    <row r="4677" spans="1:11" x14ac:dyDescent="0.2">
      <c r="A4677" t="s">
        <v>2079</v>
      </c>
      <c r="B4677">
        <v>0</v>
      </c>
      <c r="C4677">
        <v>0</v>
      </c>
      <c r="D4677">
        <v>0</v>
      </c>
      <c r="E4677">
        <v>0</v>
      </c>
      <c r="F4677">
        <v>0</v>
      </c>
      <c r="G4677">
        <v>0</v>
      </c>
      <c r="H4677">
        <v>0</v>
      </c>
      <c r="I4677">
        <v>0</v>
      </c>
      <c r="J4677">
        <v>0</v>
      </c>
      <c r="K4677">
        <v>0</v>
      </c>
    </row>
    <row r="4678" spans="1:11" x14ac:dyDescent="0.2">
      <c r="A4678" t="s">
        <v>2085</v>
      </c>
      <c r="B4678">
        <v>0</v>
      </c>
      <c r="C4678">
        <v>0</v>
      </c>
      <c r="D4678">
        <v>0</v>
      </c>
      <c r="E4678">
        <v>0</v>
      </c>
      <c r="F4678">
        <v>0</v>
      </c>
      <c r="G4678">
        <v>0</v>
      </c>
      <c r="H4678">
        <v>0</v>
      </c>
      <c r="I4678">
        <v>0</v>
      </c>
      <c r="J4678">
        <v>0</v>
      </c>
      <c r="K4678">
        <v>0</v>
      </c>
    </row>
    <row r="4679" spans="1:11" x14ac:dyDescent="0.2">
      <c r="A4679" t="s">
        <v>2091</v>
      </c>
      <c r="B4679">
        <v>0</v>
      </c>
      <c r="C4679">
        <v>0</v>
      </c>
      <c r="D4679">
        <v>0</v>
      </c>
      <c r="E4679">
        <v>0</v>
      </c>
      <c r="F4679">
        <v>0</v>
      </c>
      <c r="G4679">
        <v>0</v>
      </c>
      <c r="H4679">
        <v>0</v>
      </c>
      <c r="I4679">
        <v>0</v>
      </c>
      <c r="J4679">
        <v>0</v>
      </c>
      <c r="K4679">
        <v>0</v>
      </c>
    </row>
    <row r="4680" spans="1:11" x14ac:dyDescent="0.2">
      <c r="A4680" t="s">
        <v>2097</v>
      </c>
      <c r="B4680">
        <v>0</v>
      </c>
      <c r="C4680">
        <v>0</v>
      </c>
      <c r="D4680">
        <v>0</v>
      </c>
      <c r="E4680">
        <v>0</v>
      </c>
      <c r="F4680">
        <v>0</v>
      </c>
      <c r="G4680">
        <v>0</v>
      </c>
      <c r="H4680">
        <v>0</v>
      </c>
      <c r="I4680">
        <v>0</v>
      </c>
      <c r="J4680">
        <v>0</v>
      </c>
      <c r="K4680">
        <v>0</v>
      </c>
    </row>
    <row r="4681" spans="1:11" x14ac:dyDescent="0.2">
      <c r="A4681" t="s">
        <v>2101</v>
      </c>
      <c r="B4681">
        <v>0</v>
      </c>
      <c r="C4681">
        <v>0</v>
      </c>
      <c r="D4681">
        <v>0</v>
      </c>
      <c r="E4681">
        <v>0</v>
      </c>
      <c r="F4681">
        <v>0</v>
      </c>
      <c r="G4681">
        <v>0</v>
      </c>
      <c r="H4681">
        <v>0</v>
      </c>
      <c r="I4681">
        <v>0</v>
      </c>
      <c r="J4681">
        <v>0</v>
      </c>
      <c r="K4681">
        <v>0</v>
      </c>
    </row>
    <row r="4682" spans="1:11" x14ac:dyDescent="0.2">
      <c r="A4682" t="s">
        <v>2104</v>
      </c>
      <c r="B4682">
        <v>0</v>
      </c>
      <c r="C4682">
        <v>0</v>
      </c>
      <c r="D4682">
        <v>0</v>
      </c>
      <c r="E4682">
        <v>0</v>
      </c>
      <c r="F4682">
        <v>0</v>
      </c>
      <c r="G4682">
        <v>0</v>
      </c>
      <c r="H4682">
        <v>0</v>
      </c>
      <c r="I4682">
        <v>0</v>
      </c>
      <c r="J4682">
        <v>0</v>
      </c>
      <c r="K4682">
        <v>0</v>
      </c>
    </row>
    <row r="4683" spans="1:11" x14ac:dyDescent="0.2">
      <c r="A4683" t="s">
        <v>2107</v>
      </c>
      <c r="B4683">
        <v>0</v>
      </c>
      <c r="C4683">
        <v>0</v>
      </c>
      <c r="D4683">
        <v>0</v>
      </c>
      <c r="E4683">
        <v>0</v>
      </c>
      <c r="F4683">
        <v>0</v>
      </c>
      <c r="G4683">
        <v>0</v>
      </c>
      <c r="H4683">
        <v>0</v>
      </c>
      <c r="I4683">
        <v>0</v>
      </c>
      <c r="J4683">
        <v>0</v>
      </c>
      <c r="K4683">
        <v>0</v>
      </c>
    </row>
    <row r="4684" spans="1:11" x14ac:dyDescent="0.2">
      <c r="A4684" t="s">
        <v>2110</v>
      </c>
      <c r="B4684">
        <v>0</v>
      </c>
      <c r="C4684">
        <v>0</v>
      </c>
      <c r="D4684">
        <v>0</v>
      </c>
      <c r="E4684">
        <v>0</v>
      </c>
      <c r="F4684">
        <v>0</v>
      </c>
      <c r="G4684">
        <v>0</v>
      </c>
      <c r="H4684">
        <v>0</v>
      </c>
      <c r="I4684">
        <v>0</v>
      </c>
      <c r="J4684">
        <v>0</v>
      </c>
      <c r="K4684">
        <v>0</v>
      </c>
    </row>
    <row r="4685" spans="1:11" x14ac:dyDescent="0.2">
      <c r="A4685" t="s">
        <v>2113</v>
      </c>
      <c r="B4685">
        <v>0</v>
      </c>
      <c r="C4685">
        <v>0</v>
      </c>
      <c r="D4685">
        <v>0</v>
      </c>
      <c r="E4685">
        <v>0</v>
      </c>
      <c r="F4685">
        <v>0</v>
      </c>
      <c r="G4685">
        <v>0</v>
      </c>
      <c r="H4685">
        <v>0</v>
      </c>
      <c r="I4685">
        <v>0</v>
      </c>
      <c r="J4685">
        <v>0</v>
      </c>
      <c r="K4685">
        <v>0</v>
      </c>
    </row>
    <row r="4686" spans="1:11" x14ac:dyDescent="0.2">
      <c r="A4686" t="s">
        <v>4346</v>
      </c>
      <c r="B4686">
        <v>0</v>
      </c>
      <c r="C4686">
        <v>0</v>
      </c>
      <c r="D4686">
        <v>0</v>
      </c>
      <c r="E4686">
        <v>0</v>
      </c>
      <c r="F4686">
        <v>120</v>
      </c>
      <c r="G4686">
        <v>623</v>
      </c>
      <c r="H4686">
        <v>341</v>
      </c>
      <c r="I4686">
        <v>0</v>
      </c>
      <c r="J4686">
        <v>0</v>
      </c>
      <c r="K4686">
        <v>0</v>
      </c>
    </row>
    <row r="4687" spans="1:11" x14ac:dyDescent="0.2">
      <c r="A4687" t="s">
        <v>4347</v>
      </c>
      <c r="B4687">
        <v>0</v>
      </c>
      <c r="C4687">
        <v>0</v>
      </c>
      <c r="D4687">
        <v>0</v>
      </c>
      <c r="E4687">
        <v>0</v>
      </c>
      <c r="F4687">
        <v>0</v>
      </c>
      <c r="G4687">
        <v>0</v>
      </c>
      <c r="H4687">
        <v>0</v>
      </c>
      <c r="I4687">
        <v>0</v>
      </c>
      <c r="J4687">
        <v>5</v>
      </c>
      <c r="K4687">
        <v>12</v>
      </c>
    </row>
    <row r="4688" spans="1:11" x14ac:dyDescent="0.2">
      <c r="A4688" t="s">
        <v>4348</v>
      </c>
      <c r="B4688">
        <v>0</v>
      </c>
      <c r="C4688">
        <v>0</v>
      </c>
      <c r="D4688">
        <v>0</v>
      </c>
      <c r="E4688">
        <v>0</v>
      </c>
      <c r="F4688">
        <v>0</v>
      </c>
      <c r="G4688">
        <v>0</v>
      </c>
      <c r="H4688">
        <v>0</v>
      </c>
      <c r="I4688">
        <v>0</v>
      </c>
      <c r="J4688">
        <v>0</v>
      </c>
      <c r="K4688">
        <v>0</v>
      </c>
    </row>
    <row r="4689" spans="1:11" x14ac:dyDescent="0.2">
      <c r="A4689" t="s">
        <v>4349</v>
      </c>
      <c r="B4689">
        <v>0</v>
      </c>
      <c r="C4689">
        <v>0</v>
      </c>
      <c r="D4689">
        <v>0</v>
      </c>
      <c r="E4689">
        <v>0</v>
      </c>
      <c r="F4689">
        <v>0</v>
      </c>
      <c r="G4689">
        <v>0</v>
      </c>
      <c r="H4689">
        <v>0</v>
      </c>
      <c r="I4689">
        <v>0</v>
      </c>
      <c r="J4689">
        <v>0</v>
      </c>
      <c r="K4689">
        <v>0</v>
      </c>
    </row>
    <row r="4690" spans="1:11" x14ac:dyDescent="0.2">
      <c r="A4690" t="s">
        <v>4350</v>
      </c>
      <c r="B4690">
        <v>0</v>
      </c>
      <c r="C4690">
        <v>13</v>
      </c>
      <c r="D4690">
        <v>82</v>
      </c>
      <c r="E4690">
        <v>0</v>
      </c>
      <c r="F4690">
        <v>6</v>
      </c>
      <c r="G4690">
        <v>37</v>
      </c>
      <c r="H4690">
        <v>18</v>
      </c>
      <c r="I4690">
        <v>0</v>
      </c>
      <c r="J4690">
        <v>1</v>
      </c>
      <c r="K4690">
        <v>2</v>
      </c>
    </row>
    <row r="4691" spans="1:11" x14ac:dyDescent="0.2">
      <c r="A4691" t="s">
        <v>4351</v>
      </c>
      <c r="B4691">
        <v>0</v>
      </c>
      <c r="C4691">
        <v>0</v>
      </c>
      <c r="D4691">
        <v>0</v>
      </c>
      <c r="E4691">
        <v>0</v>
      </c>
      <c r="F4691">
        <v>0</v>
      </c>
      <c r="G4691">
        <v>0</v>
      </c>
      <c r="H4691">
        <v>0</v>
      </c>
      <c r="I4691">
        <v>0</v>
      </c>
      <c r="J4691">
        <v>0</v>
      </c>
      <c r="K4691">
        <v>0</v>
      </c>
    </row>
    <row r="4692" spans="1:11" x14ac:dyDescent="0.2">
      <c r="A4692" t="s">
        <v>4352</v>
      </c>
      <c r="B4692">
        <v>0</v>
      </c>
      <c r="C4692">
        <v>0</v>
      </c>
      <c r="D4692">
        <v>0</v>
      </c>
      <c r="E4692">
        <v>0</v>
      </c>
      <c r="F4692">
        <v>0</v>
      </c>
      <c r="G4692">
        <v>0</v>
      </c>
      <c r="H4692">
        <v>0</v>
      </c>
      <c r="I4692">
        <v>0</v>
      </c>
      <c r="J4692">
        <v>0</v>
      </c>
      <c r="K4692">
        <v>0</v>
      </c>
    </row>
    <row r="4693" spans="1:11" x14ac:dyDescent="0.2">
      <c r="A4693" t="s">
        <v>4353</v>
      </c>
      <c r="B4693">
        <v>0</v>
      </c>
      <c r="C4693">
        <v>97</v>
      </c>
      <c r="D4693">
        <v>604</v>
      </c>
      <c r="E4693">
        <v>0</v>
      </c>
      <c r="F4693">
        <v>40</v>
      </c>
      <c r="G4693">
        <v>244</v>
      </c>
      <c r="H4693">
        <v>115</v>
      </c>
      <c r="I4693">
        <v>0</v>
      </c>
      <c r="J4693">
        <v>2</v>
      </c>
      <c r="K4693">
        <v>6</v>
      </c>
    </row>
    <row r="4694" spans="1:11" x14ac:dyDescent="0.2">
      <c r="A4694" t="s">
        <v>4354</v>
      </c>
      <c r="B4694">
        <v>0</v>
      </c>
      <c r="C4694">
        <v>11</v>
      </c>
      <c r="D4694">
        <v>68</v>
      </c>
      <c r="E4694">
        <v>0</v>
      </c>
      <c r="F4694">
        <v>24</v>
      </c>
      <c r="G4694">
        <v>143</v>
      </c>
      <c r="H4694">
        <v>67</v>
      </c>
      <c r="I4694">
        <v>0</v>
      </c>
      <c r="J4694">
        <v>1</v>
      </c>
      <c r="K4694">
        <v>4</v>
      </c>
    </row>
    <row r="4695" spans="1:11" x14ac:dyDescent="0.2">
      <c r="A4695" t="s">
        <v>4355</v>
      </c>
      <c r="B4695">
        <v>0</v>
      </c>
      <c r="C4695">
        <v>0</v>
      </c>
      <c r="D4695">
        <v>0</v>
      </c>
      <c r="E4695">
        <v>0</v>
      </c>
      <c r="F4695">
        <v>0</v>
      </c>
      <c r="G4695">
        <v>0</v>
      </c>
      <c r="H4695">
        <v>0</v>
      </c>
      <c r="I4695">
        <v>0</v>
      </c>
      <c r="J4695">
        <v>0</v>
      </c>
      <c r="K4695">
        <v>0</v>
      </c>
    </row>
    <row r="4696" spans="1:11" x14ac:dyDescent="0.2">
      <c r="A4696" t="s">
        <v>4356</v>
      </c>
      <c r="B4696">
        <v>0</v>
      </c>
      <c r="C4696">
        <v>0</v>
      </c>
      <c r="D4696">
        <v>0</v>
      </c>
      <c r="E4696">
        <v>0</v>
      </c>
      <c r="F4696">
        <v>0</v>
      </c>
      <c r="G4696">
        <v>0</v>
      </c>
      <c r="H4696">
        <v>0</v>
      </c>
      <c r="I4696">
        <v>0</v>
      </c>
      <c r="J4696">
        <v>0</v>
      </c>
      <c r="K4696">
        <v>0</v>
      </c>
    </row>
    <row r="4697" spans="1:11" x14ac:dyDescent="0.2">
      <c r="A4697" t="s">
        <v>4357</v>
      </c>
      <c r="B4697">
        <v>0</v>
      </c>
      <c r="C4697">
        <v>1</v>
      </c>
      <c r="D4697">
        <v>4</v>
      </c>
      <c r="E4697">
        <v>0</v>
      </c>
      <c r="F4697">
        <v>0</v>
      </c>
      <c r="G4697">
        <v>2</v>
      </c>
      <c r="H4697">
        <v>1</v>
      </c>
      <c r="I4697">
        <v>0</v>
      </c>
      <c r="J4697">
        <v>0</v>
      </c>
      <c r="K4697">
        <v>0</v>
      </c>
    </row>
    <row r="4698" spans="1:11" x14ac:dyDescent="0.2">
      <c r="A4698" t="s">
        <v>4358</v>
      </c>
      <c r="B4698">
        <v>0</v>
      </c>
      <c r="C4698">
        <v>0</v>
      </c>
      <c r="D4698">
        <v>0</v>
      </c>
      <c r="E4698">
        <v>0</v>
      </c>
      <c r="F4698">
        <v>1</v>
      </c>
      <c r="G4698">
        <v>6</v>
      </c>
      <c r="H4698">
        <v>3</v>
      </c>
      <c r="I4698">
        <v>0</v>
      </c>
      <c r="J4698">
        <v>0</v>
      </c>
      <c r="K4698">
        <v>0</v>
      </c>
    </row>
    <row r="4699" spans="1:11" x14ac:dyDescent="0.2">
      <c r="A4699" t="s">
        <v>4359</v>
      </c>
      <c r="B4699">
        <v>0</v>
      </c>
      <c r="C4699">
        <v>0</v>
      </c>
      <c r="D4699">
        <v>0</v>
      </c>
      <c r="E4699">
        <v>0</v>
      </c>
      <c r="F4699">
        <v>0</v>
      </c>
      <c r="G4699">
        <v>0</v>
      </c>
      <c r="H4699">
        <v>0</v>
      </c>
      <c r="I4699">
        <v>0</v>
      </c>
      <c r="J4699">
        <v>0</v>
      </c>
      <c r="K4699">
        <v>0</v>
      </c>
    </row>
    <row r="4700" spans="1:11" x14ac:dyDescent="0.2">
      <c r="A4700" t="s">
        <v>4360</v>
      </c>
      <c r="B4700">
        <v>0</v>
      </c>
      <c r="C4700">
        <v>42</v>
      </c>
      <c r="D4700">
        <v>277</v>
      </c>
      <c r="E4700">
        <v>0</v>
      </c>
      <c r="F4700">
        <v>3</v>
      </c>
      <c r="G4700">
        <v>16</v>
      </c>
      <c r="H4700">
        <v>8</v>
      </c>
      <c r="I4700">
        <v>0</v>
      </c>
      <c r="J4700">
        <v>0</v>
      </c>
      <c r="K4700">
        <v>0</v>
      </c>
    </row>
    <row r="4701" spans="1:11" x14ac:dyDescent="0.2">
      <c r="A4701" t="s">
        <v>4361</v>
      </c>
      <c r="B4701">
        <v>0</v>
      </c>
      <c r="C4701">
        <v>4</v>
      </c>
      <c r="D4701">
        <v>27</v>
      </c>
      <c r="E4701">
        <v>0</v>
      </c>
      <c r="F4701">
        <v>34</v>
      </c>
      <c r="G4701">
        <v>202</v>
      </c>
      <c r="H4701">
        <v>97</v>
      </c>
      <c r="I4701">
        <v>0</v>
      </c>
      <c r="J4701">
        <v>2</v>
      </c>
      <c r="K4701">
        <v>5</v>
      </c>
    </row>
    <row r="4702" spans="1:11" x14ac:dyDescent="0.2">
      <c r="A4702" t="s">
        <v>4362</v>
      </c>
      <c r="B4702">
        <v>0</v>
      </c>
      <c r="C4702">
        <v>0</v>
      </c>
      <c r="D4702">
        <v>0</v>
      </c>
      <c r="E4702">
        <v>0</v>
      </c>
      <c r="F4702">
        <v>4</v>
      </c>
      <c r="G4702">
        <v>25</v>
      </c>
      <c r="H4702">
        <v>13</v>
      </c>
      <c r="I4702">
        <v>0</v>
      </c>
      <c r="J4702">
        <v>0</v>
      </c>
      <c r="K4702">
        <v>1</v>
      </c>
    </row>
    <row r="4703" spans="1:11" x14ac:dyDescent="0.2">
      <c r="A4703" t="s">
        <v>4363</v>
      </c>
      <c r="B4703">
        <v>0</v>
      </c>
      <c r="C4703">
        <v>0</v>
      </c>
      <c r="D4703">
        <v>0</v>
      </c>
      <c r="E4703">
        <v>0</v>
      </c>
      <c r="F4703">
        <v>0</v>
      </c>
      <c r="G4703">
        <v>0</v>
      </c>
      <c r="H4703">
        <v>0</v>
      </c>
      <c r="I4703">
        <v>0</v>
      </c>
      <c r="J4703">
        <v>0</v>
      </c>
      <c r="K4703">
        <v>0</v>
      </c>
    </row>
    <row r="4704" spans="1:11" x14ac:dyDescent="0.2">
      <c r="A4704" t="s">
        <v>4364</v>
      </c>
      <c r="B4704">
        <v>0</v>
      </c>
      <c r="C4704">
        <v>0</v>
      </c>
      <c r="D4704">
        <v>0</v>
      </c>
      <c r="E4704">
        <v>0</v>
      </c>
      <c r="F4704">
        <v>0</v>
      </c>
      <c r="G4704">
        <v>0</v>
      </c>
      <c r="H4704">
        <v>0</v>
      </c>
      <c r="I4704">
        <v>0</v>
      </c>
      <c r="J4704">
        <v>0</v>
      </c>
      <c r="K4704">
        <v>0</v>
      </c>
    </row>
    <row r="4705" spans="1:15" x14ac:dyDescent="0.2">
      <c r="A4705" t="s">
        <v>4365</v>
      </c>
      <c r="B4705">
        <v>0</v>
      </c>
      <c r="C4705">
        <v>3</v>
      </c>
      <c r="D4705">
        <v>2</v>
      </c>
      <c r="E4705">
        <v>0</v>
      </c>
      <c r="F4705">
        <v>10</v>
      </c>
      <c r="G4705">
        <v>542</v>
      </c>
      <c r="H4705">
        <v>30</v>
      </c>
      <c r="I4705">
        <v>0</v>
      </c>
      <c r="J4705">
        <v>1</v>
      </c>
      <c r="K4705">
        <v>27</v>
      </c>
    </row>
    <row r="4706" spans="1:15" x14ac:dyDescent="0.2">
      <c r="A4706" t="s">
        <v>4366</v>
      </c>
      <c r="B4706">
        <v>0</v>
      </c>
      <c r="C4706">
        <v>0</v>
      </c>
      <c r="D4706">
        <v>0</v>
      </c>
      <c r="E4706">
        <v>0</v>
      </c>
      <c r="F4706">
        <v>0</v>
      </c>
      <c r="G4706">
        <v>0</v>
      </c>
      <c r="H4706">
        <v>0</v>
      </c>
      <c r="I4706">
        <v>0</v>
      </c>
      <c r="J4706">
        <v>0</v>
      </c>
      <c r="K4706">
        <v>0</v>
      </c>
    </row>
    <row r="4707" spans="1:15" x14ac:dyDescent="0.2">
      <c r="A4707" t="s">
        <v>4367</v>
      </c>
      <c r="B4707">
        <v>0</v>
      </c>
      <c r="C4707">
        <v>1</v>
      </c>
      <c r="D4707">
        <v>6</v>
      </c>
      <c r="E4707">
        <v>0</v>
      </c>
      <c r="F4707">
        <v>12</v>
      </c>
      <c r="G4707">
        <v>75</v>
      </c>
      <c r="H4707">
        <v>35</v>
      </c>
      <c r="I4707">
        <v>0</v>
      </c>
      <c r="J4707">
        <v>0</v>
      </c>
      <c r="K4707">
        <v>1</v>
      </c>
    </row>
    <row r="4708" spans="1:15" x14ac:dyDescent="0.2">
      <c r="A4708" t="s">
        <v>4368</v>
      </c>
      <c r="B4708">
        <v>0</v>
      </c>
      <c r="C4708">
        <v>6</v>
      </c>
      <c r="D4708">
        <v>5</v>
      </c>
      <c r="E4708">
        <v>0</v>
      </c>
      <c r="F4708">
        <v>55</v>
      </c>
      <c r="G4708">
        <v>2629</v>
      </c>
      <c r="H4708">
        <v>158</v>
      </c>
      <c r="I4708">
        <v>0</v>
      </c>
      <c r="J4708">
        <v>3</v>
      </c>
      <c r="K4708">
        <v>66</v>
      </c>
    </row>
    <row r="4709" spans="1:15" s="180" customFormat="1" x14ac:dyDescent="0.2">
      <c r="A4709" s="180" t="s">
        <v>4369</v>
      </c>
      <c r="B4709" s="180">
        <v>0</v>
      </c>
      <c r="C4709" s="180">
        <v>1474</v>
      </c>
      <c r="D4709" s="180">
        <v>4027</v>
      </c>
      <c r="E4709" s="180">
        <v>0</v>
      </c>
      <c r="F4709" s="180">
        <v>39</v>
      </c>
      <c r="G4709" s="180">
        <v>524</v>
      </c>
      <c r="H4709" s="180">
        <v>111</v>
      </c>
      <c r="I4709" s="180">
        <v>0</v>
      </c>
      <c r="J4709" s="180">
        <v>2</v>
      </c>
      <c r="K4709" s="180">
        <v>18</v>
      </c>
      <c r="N4709"/>
      <c r="O4709"/>
    </row>
    <row r="4710" spans="1:15" x14ac:dyDescent="0.2">
      <c r="A4710" t="s">
        <v>4370</v>
      </c>
      <c r="B4710">
        <v>0</v>
      </c>
      <c r="C4710">
        <v>1</v>
      </c>
      <c r="D4710">
        <v>1</v>
      </c>
      <c r="E4710">
        <v>0</v>
      </c>
      <c r="F4710">
        <v>61</v>
      </c>
      <c r="G4710">
        <v>3158</v>
      </c>
      <c r="H4710">
        <v>173</v>
      </c>
      <c r="I4710">
        <v>0</v>
      </c>
      <c r="J4710">
        <v>1</v>
      </c>
      <c r="K4710">
        <v>31</v>
      </c>
      <c r="N4710" s="180"/>
      <c r="O4710" s="180"/>
    </row>
    <row r="4711" spans="1:15" x14ac:dyDescent="0.2">
      <c r="A4711" t="s">
        <v>4371</v>
      </c>
      <c r="B4711">
        <v>0</v>
      </c>
      <c r="C4711">
        <v>1</v>
      </c>
      <c r="D4711">
        <v>1</v>
      </c>
      <c r="E4711">
        <v>0</v>
      </c>
      <c r="F4711">
        <v>16</v>
      </c>
      <c r="G4711">
        <v>813</v>
      </c>
      <c r="H4711">
        <v>46</v>
      </c>
      <c r="I4711">
        <v>0</v>
      </c>
      <c r="J4711">
        <v>1</v>
      </c>
      <c r="K4711">
        <v>14</v>
      </c>
    </row>
    <row r="4712" spans="1:15" x14ac:dyDescent="0.2">
      <c r="A4712" t="s">
        <v>4372</v>
      </c>
      <c r="B4712">
        <v>0</v>
      </c>
      <c r="C4712">
        <v>0</v>
      </c>
      <c r="D4712">
        <v>0</v>
      </c>
      <c r="E4712">
        <v>0</v>
      </c>
      <c r="F4712">
        <v>0</v>
      </c>
      <c r="G4712">
        <v>0</v>
      </c>
      <c r="H4712">
        <v>0</v>
      </c>
      <c r="I4712">
        <v>0</v>
      </c>
      <c r="J4712">
        <v>0</v>
      </c>
      <c r="K4712">
        <v>0</v>
      </c>
    </row>
    <row r="4713" spans="1:15" x14ac:dyDescent="0.2">
      <c r="A4713" t="s">
        <v>4373</v>
      </c>
      <c r="B4713">
        <v>0</v>
      </c>
      <c r="C4713">
        <v>1</v>
      </c>
      <c r="D4713">
        <v>4</v>
      </c>
      <c r="E4713">
        <v>0</v>
      </c>
      <c r="F4713">
        <v>1</v>
      </c>
      <c r="G4713">
        <v>6</v>
      </c>
      <c r="H4713">
        <v>3</v>
      </c>
      <c r="I4713">
        <v>0</v>
      </c>
      <c r="J4713">
        <v>0</v>
      </c>
      <c r="K4713">
        <v>0</v>
      </c>
    </row>
    <row r="4714" spans="1:15" x14ac:dyDescent="0.2">
      <c r="A4714" t="s">
        <v>4374</v>
      </c>
      <c r="B4714">
        <v>0</v>
      </c>
      <c r="C4714">
        <v>0</v>
      </c>
      <c r="D4714">
        <v>0</v>
      </c>
      <c r="E4714">
        <v>0</v>
      </c>
      <c r="F4714">
        <v>0</v>
      </c>
      <c r="G4714">
        <v>2</v>
      </c>
      <c r="H4714">
        <v>1</v>
      </c>
      <c r="I4714">
        <v>0</v>
      </c>
      <c r="J4714">
        <v>0</v>
      </c>
      <c r="K4714">
        <v>0</v>
      </c>
    </row>
    <row r="4715" spans="1:15" x14ac:dyDescent="0.2">
      <c r="A4715" t="s">
        <v>4375</v>
      </c>
      <c r="B4715">
        <v>0</v>
      </c>
      <c r="C4715">
        <v>0</v>
      </c>
      <c r="D4715">
        <v>2</v>
      </c>
      <c r="E4715">
        <v>0</v>
      </c>
      <c r="F4715">
        <v>2</v>
      </c>
      <c r="G4715">
        <v>14</v>
      </c>
      <c r="H4715">
        <v>7</v>
      </c>
      <c r="I4715">
        <v>0</v>
      </c>
      <c r="J4715">
        <v>0</v>
      </c>
      <c r="K4715">
        <v>1</v>
      </c>
    </row>
    <row r="4716" spans="1:15" x14ac:dyDescent="0.2">
      <c r="A4716" t="s">
        <v>4376</v>
      </c>
      <c r="B4716">
        <v>0</v>
      </c>
      <c r="C4716">
        <v>0</v>
      </c>
      <c r="D4716">
        <v>0</v>
      </c>
      <c r="E4716">
        <v>0</v>
      </c>
      <c r="F4716">
        <v>0</v>
      </c>
      <c r="G4716">
        <v>1</v>
      </c>
      <c r="H4716">
        <v>0</v>
      </c>
      <c r="I4716">
        <v>0</v>
      </c>
      <c r="J4716">
        <v>0</v>
      </c>
      <c r="K4716">
        <v>0</v>
      </c>
    </row>
    <row r="4717" spans="1:15" x14ac:dyDescent="0.2">
      <c r="A4717" t="s">
        <v>4377</v>
      </c>
      <c r="B4717">
        <v>0</v>
      </c>
      <c r="C4717">
        <v>0</v>
      </c>
      <c r="D4717">
        <v>0</v>
      </c>
      <c r="E4717">
        <v>0</v>
      </c>
      <c r="F4717">
        <v>1</v>
      </c>
      <c r="G4717">
        <v>7</v>
      </c>
      <c r="H4717">
        <v>4</v>
      </c>
      <c r="I4717">
        <v>0</v>
      </c>
      <c r="J4717">
        <v>0</v>
      </c>
      <c r="K4717">
        <v>0</v>
      </c>
    </row>
    <row r="4718" spans="1:15" x14ac:dyDescent="0.2">
      <c r="A4718" t="s">
        <v>4854</v>
      </c>
      <c r="B4718">
        <v>0</v>
      </c>
      <c r="C4718">
        <v>1665</v>
      </c>
      <c r="D4718">
        <v>5139</v>
      </c>
      <c r="E4718">
        <v>0</v>
      </c>
      <c r="F4718">
        <v>1427</v>
      </c>
      <c r="G4718">
        <v>18291</v>
      </c>
      <c r="H4718">
        <v>4068</v>
      </c>
      <c r="I4718">
        <v>0</v>
      </c>
      <c r="J4718">
        <v>59</v>
      </c>
      <c r="K4718">
        <v>482</v>
      </c>
    </row>
    <row r="4719" spans="1:15" x14ac:dyDescent="0.2">
      <c r="A4719" t="s">
        <v>2318</v>
      </c>
      <c r="B4719" t="s">
        <v>4399</v>
      </c>
      <c r="C4719" t="s">
        <v>4399</v>
      </c>
      <c r="D4719" t="s">
        <v>4399</v>
      </c>
      <c r="E4719" t="s">
        <v>4399</v>
      </c>
      <c r="F4719" t="s">
        <v>4399</v>
      </c>
      <c r="G4719" t="s">
        <v>4399</v>
      </c>
      <c r="H4719" t="s">
        <v>4399</v>
      </c>
      <c r="I4719" t="s">
        <v>4399</v>
      </c>
      <c r="J4719" t="s">
        <v>4399</v>
      </c>
      <c r="K4719" t="s">
        <v>4399</v>
      </c>
    </row>
    <row r="4720" spans="1:15" x14ac:dyDescent="0.2">
      <c r="A4720" t="s">
        <v>4248</v>
      </c>
    </row>
    <row r="4721" spans="1:11" x14ac:dyDescent="0.2">
      <c r="A4721" t="s">
        <v>4855</v>
      </c>
      <c r="B4721" t="s">
        <v>4856</v>
      </c>
      <c r="C4721" t="s">
        <v>4857</v>
      </c>
      <c r="D4721" t="s">
        <v>4858</v>
      </c>
      <c r="E4721" t="s">
        <v>4859</v>
      </c>
      <c r="F4721" t="s">
        <v>4860</v>
      </c>
      <c r="G4721" t="s">
        <v>4883</v>
      </c>
    </row>
    <row r="4722" spans="1:11" x14ac:dyDescent="0.2">
      <c r="A4722" t="s">
        <v>2318</v>
      </c>
      <c r="B4722" t="s">
        <v>4399</v>
      </c>
      <c r="C4722" t="s">
        <v>4399</v>
      </c>
      <c r="D4722" t="s">
        <v>4399</v>
      </c>
      <c r="E4722" t="s">
        <v>4399</v>
      </c>
      <c r="F4722" t="s">
        <v>4399</v>
      </c>
      <c r="G4722" t="s">
        <v>4399</v>
      </c>
      <c r="H4722" t="s">
        <v>4399</v>
      </c>
      <c r="I4722" t="s">
        <v>4399</v>
      </c>
      <c r="J4722" t="s">
        <v>4399</v>
      </c>
      <c r="K4722" t="s">
        <v>4399</v>
      </c>
    </row>
    <row r="4723" spans="1:11" x14ac:dyDescent="0.2">
      <c r="A4723" t="s">
        <v>126</v>
      </c>
      <c r="B4723" t="s">
        <v>4806</v>
      </c>
      <c r="C4723" t="s">
        <v>4810</v>
      </c>
      <c r="D4723" t="s">
        <v>4813</v>
      </c>
      <c r="E4723" t="s">
        <v>4816</v>
      </c>
      <c r="F4723" t="s">
        <v>4820</v>
      </c>
      <c r="G4723" t="s">
        <v>4824</v>
      </c>
      <c r="H4723" t="s">
        <v>4828</v>
      </c>
      <c r="I4723" t="s">
        <v>4832</v>
      </c>
      <c r="J4723" t="s">
        <v>4836</v>
      </c>
      <c r="K4723" t="s">
        <v>4840</v>
      </c>
    </row>
    <row r="4724" spans="1:11" x14ac:dyDescent="0.2">
      <c r="A4724" t="s">
        <v>2318</v>
      </c>
      <c r="B4724" t="s">
        <v>4399</v>
      </c>
      <c r="C4724" t="s">
        <v>4399</v>
      </c>
      <c r="D4724" t="s">
        <v>4399</v>
      </c>
      <c r="E4724" t="s">
        <v>4399</v>
      </c>
      <c r="F4724" t="s">
        <v>4399</v>
      </c>
      <c r="G4724" t="s">
        <v>4399</v>
      </c>
      <c r="H4724" t="s">
        <v>4399</v>
      </c>
      <c r="I4724" t="s">
        <v>4399</v>
      </c>
      <c r="J4724" t="s">
        <v>4399</v>
      </c>
      <c r="K4724" t="s">
        <v>4399</v>
      </c>
    </row>
    <row r="4725" spans="1:11" x14ac:dyDescent="0.2">
      <c r="A4725" t="s">
        <v>4265</v>
      </c>
      <c r="B4725">
        <v>0</v>
      </c>
      <c r="C4725">
        <v>0</v>
      </c>
      <c r="D4725">
        <v>0</v>
      </c>
      <c r="E4725">
        <v>0</v>
      </c>
      <c r="F4725">
        <v>0</v>
      </c>
      <c r="G4725">
        <v>0</v>
      </c>
      <c r="H4725">
        <v>0</v>
      </c>
      <c r="I4725">
        <v>0</v>
      </c>
      <c r="J4725">
        <v>0</v>
      </c>
      <c r="K4725">
        <v>0</v>
      </c>
    </row>
    <row r="4726" spans="1:11" x14ac:dyDescent="0.2">
      <c r="A4726" t="s">
        <v>4266</v>
      </c>
      <c r="B4726">
        <v>0</v>
      </c>
      <c r="C4726">
        <v>0</v>
      </c>
      <c r="D4726">
        <v>0</v>
      </c>
      <c r="E4726">
        <v>0</v>
      </c>
      <c r="F4726">
        <v>0</v>
      </c>
      <c r="G4726">
        <v>0</v>
      </c>
      <c r="H4726">
        <v>0</v>
      </c>
      <c r="I4726">
        <v>0</v>
      </c>
      <c r="J4726">
        <v>0</v>
      </c>
      <c r="K4726">
        <v>0</v>
      </c>
    </row>
    <row r="4727" spans="1:11" x14ac:dyDescent="0.2">
      <c r="A4727" t="s">
        <v>4267</v>
      </c>
      <c r="B4727">
        <v>0</v>
      </c>
      <c r="C4727">
        <v>0</v>
      </c>
      <c r="D4727">
        <v>0</v>
      </c>
      <c r="E4727">
        <v>0</v>
      </c>
      <c r="F4727">
        <v>0</v>
      </c>
      <c r="G4727">
        <v>0</v>
      </c>
      <c r="H4727">
        <v>0</v>
      </c>
      <c r="I4727">
        <v>0</v>
      </c>
      <c r="J4727">
        <v>0</v>
      </c>
      <c r="K4727">
        <v>0</v>
      </c>
    </row>
    <row r="4728" spans="1:11" x14ac:dyDescent="0.2">
      <c r="A4728" t="s">
        <v>4268</v>
      </c>
      <c r="B4728">
        <v>0</v>
      </c>
      <c r="C4728">
        <v>0</v>
      </c>
      <c r="D4728">
        <v>0</v>
      </c>
      <c r="E4728">
        <v>0</v>
      </c>
      <c r="F4728">
        <v>0</v>
      </c>
      <c r="G4728">
        <v>0</v>
      </c>
      <c r="H4728">
        <v>0</v>
      </c>
      <c r="I4728">
        <v>0</v>
      </c>
      <c r="J4728">
        <v>0</v>
      </c>
      <c r="K4728">
        <v>0</v>
      </c>
    </row>
    <row r="4729" spans="1:11" x14ac:dyDescent="0.2">
      <c r="A4729" t="s">
        <v>4269</v>
      </c>
      <c r="B4729">
        <v>0</v>
      </c>
      <c r="C4729">
        <v>0</v>
      </c>
      <c r="D4729">
        <v>0</v>
      </c>
      <c r="E4729">
        <v>0</v>
      </c>
      <c r="F4729">
        <v>0</v>
      </c>
      <c r="G4729">
        <v>0</v>
      </c>
      <c r="H4729">
        <v>0</v>
      </c>
      <c r="I4729">
        <v>0</v>
      </c>
      <c r="J4729">
        <v>0</v>
      </c>
      <c r="K4729">
        <v>0</v>
      </c>
    </row>
    <row r="4730" spans="1:11" x14ac:dyDescent="0.2">
      <c r="A4730" t="s">
        <v>4270</v>
      </c>
      <c r="B4730">
        <v>0</v>
      </c>
      <c r="C4730">
        <v>0</v>
      </c>
      <c r="D4730">
        <v>0</v>
      </c>
      <c r="E4730">
        <v>0</v>
      </c>
      <c r="F4730">
        <v>0</v>
      </c>
      <c r="G4730">
        <v>0</v>
      </c>
      <c r="H4730">
        <v>0</v>
      </c>
      <c r="I4730">
        <v>0</v>
      </c>
      <c r="J4730">
        <v>0</v>
      </c>
      <c r="K4730">
        <v>0</v>
      </c>
    </row>
    <row r="4731" spans="1:11" x14ac:dyDescent="0.2">
      <c r="A4731" t="s">
        <v>4271</v>
      </c>
      <c r="B4731">
        <v>0</v>
      </c>
      <c r="C4731">
        <v>0</v>
      </c>
      <c r="D4731">
        <v>0</v>
      </c>
      <c r="E4731">
        <v>0</v>
      </c>
      <c r="F4731">
        <v>0</v>
      </c>
      <c r="G4731">
        <v>0</v>
      </c>
      <c r="H4731">
        <v>0</v>
      </c>
      <c r="I4731">
        <v>0</v>
      </c>
      <c r="J4731">
        <v>0</v>
      </c>
      <c r="K4731">
        <v>0</v>
      </c>
    </row>
    <row r="4732" spans="1:11" x14ac:dyDescent="0.2">
      <c r="A4732" t="s">
        <v>4272</v>
      </c>
      <c r="B4732">
        <v>0</v>
      </c>
      <c r="C4732">
        <v>0</v>
      </c>
      <c r="D4732">
        <v>0</v>
      </c>
      <c r="E4732">
        <v>0</v>
      </c>
      <c r="F4732">
        <v>0</v>
      </c>
      <c r="G4732">
        <v>0</v>
      </c>
      <c r="H4732">
        <v>0</v>
      </c>
      <c r="I4732">
        <v>0</v>
      </c>
      <c r="J4732">
        <v>0</v>
      </c>
      <c r="K4732">
        <v>0</v>
      </c>
    </row>
    <row r="4733" spans="1:11" x14ac:dyDescent="0.2">
      <c r="A4733" t="s">
        <v>4273</v>
      </c>
      <c r="B4733">
        <v>0</v>
      </c>
      <c r="C4733">
        <v>0</v>
      </c>
      <c r="D4733">
        <v>0</v>
      </c>
      <c r="E4733">
        <v>0</v>
      </c>
      <c r="F4733">
        <v>0</v>
      </c>
      <c r="G4733">
        <v>0</v>
      </c>
      <c r="H4733">
        <v>0</v>
      </c>
      <c r="I4733">
        <v>0</v>
      </c>
      <c r="J4733">
        <v>0</v>
      </c>
      <c r="K4733">
        <v>0</v>
      </c>
    </row>
    <row r="4734" spans="1:11" x14ac:dyDescent="0.2">
      <c r="A4734" t="s">
        <v>4274</v>
      </c>
      <c r="B4734">
        <v>0</v>
      </c>
      <c r="C4734">
        <v>0</v>
      </c>
      <c r="D4734">
        <v>0</v>
      </c>
      <c r="E4734">
        <v>0</v>
      </c>
      <c r="F4734">
        <v>0</v>
      </c>
      <c r="G4734">
        <v>0</v>
      </c>
      <c r="H4734">
        <v>0</v>
      </c>
      <c r="I4734">
        <v>0</v>
      </c>
      <c r="J4734">
        <v>0</v>
      </c>
      <c r="K4734">
        <v>0</v>
      </c>
    </row>
    <row r="4735" spans="1:11" x14ac:dyDescent="0.2">
      <c r="A4735" t="s">
        <v>4275</v>
      </c>
      <c r="B4735">
        <v>0</v>
      </c>
      <c r="C4735">
        <v>0</v>
      </c>
      <c r="D4735">
        <v>0</v>
      </c>
      <c r="E4735">
        <v>0</v>
      </c>
      <c r="F4735">
        <v>0</v>
      </c>
      <c r="G4735">
        <v>0</v>
      </c>
      <c r="H4735">
        <v>0</v>
      </c>
      <c r="I4735">
        <v>0</v>
      </c>
      <c r="J4735">
        <v>0</v>
      </c>
      <c r="K4735">
        <v>0</v>
      </c>
    </row>
    <row r="4736" spans="1:11" x14ac:dyDescent="0.2">
      <c r="A4736" t="s">
        <v>4276</v>
      </c>
      <c r="B4736">
        <v>0</v>
      </c>
      <c r="C4736">
        <v>0</v>
      </c>
      <c r="D4736">
        <v>0</v>
      </c>
      <c r="E4736">
        <v>0</v>
      </c>
      <c r="F4736">
        <v>0</v>
      </c>
      <c r="G4736">
        <v>0</v>
      </c>
      <c r="H4736">
        <v>0</v>
      </c>
      <c r="I4736">
        <v>0</v>
      </c>
      <c r="J4736">
        <v>0</v>
      </c>
      <c r="K4736">
        <v>0</v>
      </c>
    </row>
    <row r="4737" spans="1:11" x14ac:dyDescent="0.2">
      <c r="A4737" t="s">
        <v>4277</v>
      </c>
      <c r="B4737">
        <v>0</v>
      </c>
      <c r="C4737">
        <v>0</v>
      </c>
      <c r="D4737">
        <v>0</v>
      </c>
      <c r="E4737">
        <v>0</v>
      </c>
      <c r="F4737">
        <v>0</v>
      </c>
      <c r="G4737">
        <v>0</v>
      </c>
      <c r="H4737">
        <v>0</v>
      </c>
      <c r="I4737">
        <v>0</v>
      </c>
      <c r="J4737">
        <v>0</v>
      </c>
      <c r="K4737">
        <v>0</v>
      </c>
    </row>
    <row r="4738" spans="1:11" x14ac:dyDescent="0.2">
      <c r="A4738" t="s">
        <v>4278</v>
      </c>
      <c r="B4738">
        <v>0</v>
      </c>
      <c r="C4738">
        <v>0</v>
      </c>
      <c r="D4738">
        <v>0</v>
      </c>
      <c r="E4738">
        <v>0</v>
      </c>
      <c r="F4738">
        <v>0</v>
      </c>
      <c r="G4738">
        <v>0</v>
      </c>
      <c r="H4738">
        <v>0</v>
      </c>
      <c r="I4738">
        <v>0</v>
      </c>
      <c r="J4738">
        <v>0</v>
      </c>
      <c r="K4738">
        <v>0</v>
      </c>
    </row>
    <row r="4739" spans="1:11" x14ac:dyDescent="0.2">
      <c r="A4739" t="s">
        <v>4279</v>
      </c>
      <c r="B4739">
        <v>0</v>
      </c>
      <c r="C4739">
        <v>0</v>
      </c>
      <c r="D4739">
        <v>0</v>
      </c>
      <c r="E4739">
        <v>0</v>
      </c>
      <c r="F4739">
        <v>0</v>
      </c>
      <c r="G4739">
        <v>0</v>
      </c>
      <c r="H4739">
        <v>0</v>
      </c>
      <c r="I4739">
        <v>0</v>
      </c>
      <c r="J4739">
        <v>0</v>
      </c>
      <c r="K4739">
        <v>0</v>
      </c>
    </row>
    <row r="4740" spans="1:11" x14ac:dyDescent="0.2">
      <c r="A4740" t="s">
        <v>4280</v>
      </c>
      <c r="B4740">
        <v>0</v>
      </c>
      <c r="C4740">
        <v>0</v>
      </c>
      <c r="D4740">
        <v>0</v>
      </c>
      <c r="E4740">
        <v>0</v>
      </c>
      <c r="F4740">
        <v>0</v>
      </c>
      <c r="G4740">
        <v>0</v>
      </c>
      <c r="H4740">
        <v>0</v>
      </c>
      <c r="I4740">
        <v>0</v>
      </c>
      <c r="J4740">
        <v>0</v>
      </c>
      <c r="K4740">
        <v>0</v>
      </c>
    </row>
    <row r="4741" spans="1:11" x14ac:dyDescent="0.2">
      <c r="A4741" t="s">
        <v>4281</v>
      </c>
      <c r="B4741">
        <v>69</v>
      </c>
      <c r="C4741">
        <v>0</v>
      </c>
      <c r="D4741">
        <v>0</v>
      </c>
      <c r="E4741">
        <v>0</v>
      </c>
      <c r="F4741">
        <v>0</v>
      </c>
      <c r="G4741">
        <v>0</v>
      </c>
      <c r="H4741">
        <v>0</v>
      </c>
      <c r="I4741">
        <v>0</v>
      </c>
      <c r="J4741">
        <v>0</v>
      </c>
      <c r="K4741">
        <v>0</v>
      </c>
    </row>
    <row r="4742" spans="1:11" x14ac:dyDescent="0.2">
      <c r="A4742" t="s">
        <v>4282</v>
      </c>
      <c r="B4742">
        <v>43</v>
      </c>
      <c r="C4742">
        <v>0</v>
      </c>
      <c r="D4742">
        <v>0</v>
      </c>
      <c r="E4742">
        <v>0</v>
      </c>
      <c r="F4742">
        <v>0</v>
      </c>
      <c r="G4742">
        <v>0</v>
      </c>
      <c r="H4742">
        <v>0</v>
      </c>
      <c r="I4742">
        <v>0</v>
      </c>
      <c r="J4742">
        <v>0</v>
      </c>
      <c r="K4742">
        <v>0</v>
      </c>
    </row>
    <row r="4743" spans="1:11" x14ac:dyDescent="0.2">
      <c r="A4743" t="s">
        <v>4283</v>
      </c>
      <c r="B4743">
        <v>10</v>
      </c>
      <c r="C4743">
        <v>0</v>
      </c>
      <c r="D4743">
        <v>0</v>
      </c>
      <c r="E4743">
        <v>0</v>
      </c>
      <c r="F4743">
        <v>0</v>
      </c>
      <c r="G4743">
        <v>0</v>
      </c>
      <c r="H4743">
        <v>0</v>
      </c>
      <c r="I4743">
        <v>0</v>
      </c>
      <c r="J4743">
        <v>0</v>
      </c>
      <c r="K4743">
        <v>0</v>
      </c>
    </row>
    <row r="4744" spans="1:11" x14ac:dyDescent="0.2">
      <c r="A4744" t="s">
        <v>4284</v>
      </c>
      <c r="B4744">
        <v>1</v>
      </c>
      <c r="C4744">
        <v>0</v>
      </c>
      <c r="D4744">
        <v>0</v>
      </c>
      <c r="E4744">
        <v>0</v>
      </c>
      <c r="F4744">
        <v>0</v>
      </c>
      <c r="G4744">
        <v>0</v>
      </c>
      <c r="H4744">
        <v>0</v>
      </c>
      <c r="I4744">
        <v>0</v>
      </c>
      <c r="J4744">
        <v>0</v>
      </c>
      <c r="K4744">
        <v>0</v>
      </c>
    </row>
    <row r="4745" spans="1:11" x14ac:dyDescent="0.2">
      <c r="A4745" t="s">
        <v>4285</v>
      </c>
      <c r="B4745">
        <v>23</v>
      </c>
      <c r="C4745">
        <v>0</v>
      </c>
      <c r="D4745">
        <v>0</v>
      </c>
      <c r="E4745">
        <v>0</v>
      </c>
      <c r="F4745">
        <v>0</v>
      </c>
      <c r="G4745">
        <v>0</v>
      </c>
      <c r="H4745">
        <v>0</v>
      </c>
      <c r="I4745">
        <v>0</v>
      </c>
      <c r="J4745">
        <v>0</v>
      </c>
      <c r="K4745">
        <v>0</v>
      </c>
    </row>
    <row r="4746" spans="1:11" x14ac:dyDescent="0.2">
      <c r="A4746" t="s">
        <v>4286</v>
      </c>
      <c r="B4746">
        <v>17</v>
      </c>
      <c r="C4746">
        <v>0</v>
      </c>
      <c r="D4746">
        <v>0</v>
      </c>
      <c r="E4746">
        <v>0</v>
      </c>
      <c r="F4746">
        <v>0</v>
      </c>
      <c r="G4746">
        <v>0</v>
      </c>
      <c r="H4746">
        <v>0</v>
      </c>
      <c r="I4746">
        <v>0</v>
      </c>
      <c r="J4746">
        <v>0</v>
      </c>
      <c r="K4746">
        <v>0</v>
      </c>
    </row>
    <row r="4747" spans="1:11" x14ac:dyDescent="0.2">
      <c r="A4747" t="s">
        <v>4287</v>
      </c>
      <c r="B4747">
        <v>0</v>
      </c>
      <c r="C4747">
        <v>0</v>
      </c>
      <c r="D4747">
        <v>0</v>
      </c>
      <c r="E4747">
        <v>0</v>
      </c>
      <c r="F4747">
        <v>0</v>
      </c>
      <c r="G4747">
        <v>0</v>
      </c>
      <c r="H4747">
        <v>0</v>
      </c>
      <c r="I4747">
        <v>0</v>
      </c>
      <c r="J4747">
        <v>0</v>
      </c>
      <c r="K4747">
        <v>0</v>
      </c>
    </row>
    <row r="4748" spans="1:11" x14ac:dyDescent="0.2">
      <c r="A4748" t="s">
        <v>4288</v>
      </c>
      <c r="B4748">
        <v>0</v>
      </c>
      <c r="C4748">
        <v>0</v>
      </c>
      <c r="D4748">
        <v>0</v>
      </c>
      <c r="E4748">
        <v>0</v>
      </c>
      <c r="F4748">
        <v>0</v>
      </c>
      <c r="G4748">
        <v>0</v>
      </c>
      <c r="H4748">
        <v>0</v>
      </c>
      <c r="I4748">
        <v>0</v>
      </c>
      <c r="J4748">
        <v>0</v>
      </c>
      <c r="K4748">
        <v>0</v>
      </c>
    </row>
    <row r="4749" spans="1:11" x14ac:dyDescent="0.2">
      <c r="A4749" t="s">
        <v>4289</v>
      </c>
      <c r="B4749">
        <v>0</v>
      </c>
      <c r="C4749">
        <v>0</v>
      </c>
      <c r="D4749">
        <v>0</v>
      </c>
      <c r="E4749">
        <v>0</v>
      </c>
      <c r="F4749">
        <v>0</v>
      </c>
      <c r="G4749">
        <v>0</v>
      </c>
      <c r="H4749">
        <v>0</v>
      </c>
      <c r="I4749">
        <v>0</v>
      </c>
      <c r="J4749">
        <v>0</v>
      </c>
      <c r="K4749">
        <v>0</v>
      </c>
    </row>
    <row r="4750" spans="1:11" x14ac:dyDescent="0.2">
      <c r="A4750" t="s">
        <v>4290</v>
      </c>
      <c r="B4750">
        <v>0</v>
      </c>
      <c r="C4750">
        <v>0</v>
      </c>
      <c r="D4750">
        <v>0</v>
      </c>
      <c r="E4750">
        <v>0</v>
      </c>
      <c r="F4750">
        <v>0</v>
      </c>
      <c r="G4750">
        <v>0</v>
      </c>
      <c r="H4750">
        <v>0</v>
      </c>
      <c r="I4750">
        <v>0</v>
      </c>
      <c r="J4750">
        <v>0</v>
      </c>
      <c r="K4750">
        <v>0</v>
      </c>
    </row>
    <row r="4751" spans="1:11" x14ac:dyDescent="0.2">
      <c r="A4751" t="s">
        <v>4291</v>
      </c>
      <c r="B4751">
        <v>0</v>
      </c>
      <c r="C4751">
        <v>0</v>
      </c>
      <c r="D4751">
        <v>0</v>
      </c>
      <c r="E4751">
        <v>0</v>
      </c>
      <c r="F4751">
        <v>0</v>
      </c>
      <c r="G4751">
        <v>0</v>
      </c>
      <c r="H4751">
        <v>0</v>
      </c>
      <c r="I4751">
        <v>0</v>
      </c>
      <c r="J4751">
        <v>0</v>
      </c>
      <c r="K4751">
        <v>0</v>
      </c>
    </row>
    <row r="4752" spans="1:11" x14ac:dyDescent="0.2">
      <c r="A4752" t="s">
        <v>4292</v>
      </c>
      <c r="B4752">
        <v>0</v>
      </c>
      <c r="C4752">
        <v>0</v>
      </c>
      <c r="D4752">
        <v>0</v>
      </c>
      <c r="E4752">
        <v>0</v>
      </c>
      <c r="F4752">
        <v>0</v>
      </c>
      <c r="G4752">
        <v>0</v>
      </c>
      <c r="H4752">
        <v>0</v>
      </c>
      <c r="I4752">
        <v>0</v>
      </c>
      <c r="J4752">
        <v>0</v>
      </c>
      <c r="K4752">
        <v>0</v>
      </c>
    </row>
    <row r="4753" spans="1:11" x14ac:dyDescent="0.2">
      <c r="A4753" t="s">
        <v>4293</v>
      </c>
      <c r="B4753">
        <v>0</v>
      </c>
      <c r="C4753">
        <v>0</v>
      </c>
      <c r="D4753">
        <v>0</v>
      </c>
      <c r="E4753">
        <v>0</v>
      </c>
      <c r="F4753">
        <v>0</v>
      </c>
      <c r="G4753">
        <v>0</v>
      </c>
      <c r="H4753">
        <v>0</v>
      </c>
      <c r="I4753">
        <v>0</v>
      </c>
      <c r="J4753">
        <v>0</v>
      </c>
      <c r="K4753">
        <v>0</v>
      </c>
    </row>
    <row r="4754" spans="1:11" x14ac:dyDescent="0.2">
      <c r="A4754" t="s">
        <v>4294</v>
      </c>
      <c r="B4754">
        <v>0</v>
      </c>
      <c r="C4754">
        <v>0</v>
      </c>
      <c r="D4754">
        <v>0</v>
      </c>
      <c r="E4754">
        <v>0</v>
      </c>
      <c r="F4754">
        <v>0</v>
      </c>
      <c r="G4754">
        <v>0</v>
      </c>
      <c r="H4754">
        <v>0</v>
      </c>
      <c r="I4754">
        <v>0</v>
      </c>
      <c r="J4754">
        <v>0</v>
      </c>
      <c r="K4754">
        <v>0</v>
      </c>
    </row>
    <row r="4755" spans="1:11" x14ac:dyDescent="0.2">
      <c r="A4755" t="s">
        <v>4295</v>
      </c>
      <c r="B4755">
        <v>0</v>
      </c>
      <c r="C4755">
        <v>0</v>
      </c>
      <c r="D4755">
        <v>0</v>
      </c>
      <c r="E4755">
        <v>0</v>
      </c>
      <c r="F4755">
        <v>0</v>
      </c>
      <c r="G4755">
        <v>0</v>
      </c>
      <c r="H4755">
        <v>0</v>
      </c>
      <c r="I4755">
        <v>0</v>
      </c>
      <c r="J4755">
        <v>0</v>
      </c>
      <c r="K4755">
        <v>0</v>
      </c>
    </row>
    <row r="4756" spans="1:11" x14ac:dyDescent="0.2">
      <c r="A4756" t="s">
        <v>4296</v>
      </c>
      <c r="B4756">
        <v>0</v>
      </c>
      <c r="C4756">
        <v>0</v>
      </c>
      <c r="D4756">
        <v>0</v>
      </c>
      <c r="E4756">
        <v>0</v>
      </c>
      <c r="F4756">
        <v>0</v>
      </c>
      <c r="G4756">
        <v>0</v>
      </c>
      <c r="H4756">
        <v>0</v>
      </c>
      <c r="I4756">
        <v>0</v>
      </c>
      <c r="J4756">
        <v>0</v>
      </c>
      <c r="K4756">
        <v>0</v>
      </c>
    </row>
    <row r="4757" spans="1:11" x14ac:dyDescent="0.2">
      <c r="A4757" t="s">
        <v>4297</v>
      </c>
      <c r="B4757">
        <v>53</v>
      </c>
      <c r="C4757">
        <v>0</v>
      </c>
      <c r="D4757">
        <v>0</v>
      </c>
      <c r="E4757">
        <v>0</v>
      </c>
      <c r="F4757">
        <v>0</v>
      </c>
      <c r="G4757">
        <v>0</v>
      </c>
      <c r="H4757">
        <v>0</v>
      </c>
      <c r="I4757">
        <v>0</v>
      </c>
      <c r="J4757">
        <v>0</v>
      </c>
      <c r="K4757">
        <v>0</v>
      </c>
    </row>
    <row r="4758" spans="1:11" x14ac:dyDescent="0.2">
      <c r="A4758" t="s">
        <v>4298</v>
      </c>
      <c r="B4758">
        <v>11</v>
      </c>
      <c r="C4758">
        <v>0</v>
      </c>
      <c r="D4758">
        <v>0</v>
      </c>
      <c r="E4758">
        <v>0</v>
      </c>
      <c r="F4758">
        <v>0</v>
      </c>
      <c r="G4758">
        <v>0</v>
      </c>
      <c r="H4758">
        <v>0</v>
      </c>
      <c r="I4758">
        <v>0</v>
      </c>
      <c r="J4758">
        <v>0</v>
      </c>
      <c r="K4758">
        <v>0</v>
      </c>
    </row>
    <row r="4759" spans="1:11" x14ac:dyDescent="0.2">
      <c r="A4759" t="s">
        <v>4299</v>
      </c>
      <c r="B4759">
        <v>100</v>
      </c>
      <c r="C4759">
        <v>0</v>
      </c>
      <c r="D4759">
        <v>0</v>
      </c>
      <c r="E4759">
        <v>0</v>
      </c>
      <c r="F4759">
        <v>0</v>
      </c>
      <c r="G4759">
        <v>0</v>
      </c>
      <c r="H4759">
        <v>0</v>
      </c>
      <c r="I4759">
        <v>0</v>
      </c>
      <c r="J4759">
        <v>0</v>
      </c>
      <c r="K4759">
        <v>0</v>
      </c>
    </row>
    <row r="4760" spans="1:11" x14ac:dyDescent="0.2">
      <c r="A4760" t="s">
        <v>4300</v>
      </c>
      <c r="B4760">
        <v>7</v>
      </c>
      <c r="C4760">
        <v>0</v>
      </c>
      <c r="D4760">
        <v>0</v>
      </c>
      <c r="E4760">
        <v>0</v>
      </c>
      <c r="F4760">
        <v>0</v>
      </c>
      <c r="G4760">
        <v>0</v>
      </c>
      <c r="H4760">
        <v>0</v>
      </c>
      <c r="I4760">
        <v>0</v>
      </c>
      <c r="J4760">
        <v>0</v>
      </c>
      <c r="K4760">
        <v>0</v>
      </c>
    </row>
    <row r="4761" spans="1:11" x14ac:dyDescent="0.2">
      <c r="A4761" t="s">
        <v>4301</v>
      </c>
      <c r="B4761">
        <v>178</v>
      </c>
      <c r="C4761">
        <v>0</v>
      </c>
      <c r="D4761">
        <v>0</v>
      </c>
      <c r="E4761">
        <v>0</v>
      </c>
      <c r="F4761">
        <v>0</v>
      </c>
      <c r="G4761">
        <v>0</v>
      </c>
      <c r="H4761">
        <v>0</v>
      </c>
      <c r="I4761">
        <v>0</v>
      </c>
      <c r="J4761">
        <v>0</v>
      </c>
      <c r="K4761">
        <v>0</v>
      </c>
    </row>
    <row r="4762" spans="1:11" x14ac:dyDescent="0.2">
      <c r="A4762" t="s">
        <v>4302</v>
      </c>
      <c r="B4762">
        <v>110</v>
      </c>
      <c r="C4762">
        <v>0</v>
      </c>
      <c r="D4762">
        <v>0</v>
      </c>
      <c r="E4762">
        <v>0</v>
      </c>
      <c r="F4762">
        <v>0</v>
      </c>
      <c r="G4762">
        <v>0</v>
      </c>
      <c r="H4762">
        <v>0</v>
      </c>
      <c r="I4762">
        <v>0</v>
      </c>
      <c r="J4762">
        <v>0</v>
      </c>
      <c r="K4762">
        <v>0</v>
      </c>
    </row>
    <row r="4763" spans="1:11" x14ac:dyDescent="0.2">
      <c r="A4763" t="s">
        <v>4303</v>
      </c>
      <c r="B4763">
        <v>385</v>
      </c>
      <c r="C4763">
        <v>0</v>
      </c>
      <c r="D4763">
        <v>0</v>
      </c>
      <c r="E4763">
        <v>0</v>
      </c>
      <c r="F4763">
        <v>0</v>
      </c>
      <c r="G4763">
        <v>0</v>
      </c>
      <c r="H4763">
        <v>0</v>
      </c>
      <c r="I4763">
        <v>0</v>
      </c>
      <c r="J4763">
        <v>0</v>
      </c>
      <c r="K4763">
        <v>0</v>
      </c>
    </row>
    <row r="4764" spans="1:11" x14ac:dyDescent="0.2">
      <c r="A4764" t="s">
        <v>4304</v>
      </c>
      <c r="B4764">
        <v>63</v>
      </c>
      <c r="C4764">
        <v>0</v>
      </c>
      <c r="D4764">
        <v>0</v>
      </c>
      <c r="E4764">
        <v>0</v>
      </c>
      <c r="F4764">
        <v>0</v>
      </c>
      <c r="G4764">
        <v>0</v>
      </c>
      <c r="H4764">
        <v>0</v>
      </c>
      <c r="I4764">
        <v>0</v>
      </c>
      <c r="J4764">
        <v>0</v>
      </c>
      <c r="K4764">
        <v>0</v>
      </c>
    </row>
    <row r="4765" spans="1:11" x14ac:dyDescent="0.2">
      <c r="A4765" t="s">
        <v>4305</v>
      </c>
      <c r="B4765">
        <v>440</v>
      </c>
      <c r="C4765">
        <v>0</v>
      </c>
      <c r="D4765">
        <v>0</v>
      </c>
      <c r="E4765">
        <v>0</v>
      </c>
      <c r="F4765">
        <v>0</v>
      </c>
      <c r="G4765">
        <v>0</v>
      </c>
      <c r="H4765">
        <v>0</v>
      </c>
      <c r="I4765">
        <v>0</v>
      </c>
      <c r="J4765">
        <v>0</v>
      </c>
      <c r="K4765">
        <v>0</v>
      </c>
    </row>
    <row r="4766" spans="1:11" x14ac:dyDescent="0.2">
      <c r="A4766" t="s">
        <v>4306</v>
      </c>
      <c r="B4766">
        <v>57</v>
      </c>
      <c r="C4766">
        <v>0</v>
      </c>
      <c r="D4766">
        <v>0</v>
      </c>
      <c r="E4766">
        <v>0</v>
      </c>
      <c r="F4766">
        <v>0</v>
      </c>
      <c r="G4766">
        <v>0</v>
      </c>
      <c r="H4766">
        <v>0</v>
      </c>
      <c r="I4766">
        <v>0</v>
      </c>
      <c r="J4766">
        <v>0</v>
      </c>
      <c r="K4766">
        <v>0</v>
      </c>
    </row>
    <row r="4767" spans="1:11" x14ac:dyDescent="0.2">
      <c r="A4767" t="s">
        <v>4307</v>
      </c>
      <c r="B4767">
        <v>2436</v>
      </c>
      <c r="C4767">
        <v>0</v>
      </c>
      <c r="D4767">
        <v>0</v>
      </c>
      <c r="E4767">
        <v>0</v>
      </c>
      <c r="F4767">
        <v>0</v>
      </c>
      <c r="G4767">
        <v>0</v>
      </c>
      <c r="H4767">
        <v>0</v>
      </c>
      <c r="I4767">
        <v>0</v>
      </c>
      <c r="J4767">
        <v>0</v>
      </c>
      <c r="K4767">
        <v>0</v>
      </c>
    </row>
    <row r="4768" spans="1:11" x14ac:dyDescent="0.2">
      <c r="A4768" t="s">
        <v>4308</v>
      </c>
      <c r="B4768">
        <v>23</v>
      </c>
      <c r="C4768">
        <v>0</v>
      </c>
      <c r="D4768">
        <v>0</v>
      </c>
      <c r="E4768">
        <v>0</v>
      </c>
      <c r="F4768">
        <v>0</v>
      </c>
      <c r="G4768">
        <v>0</v>
      </c>
      <c r="H4768">
        <v>0</v>
      </c>
      <c r="I4768">
        <v>0</v>
      </c>
      <c r="J4768">
        <v>0</v>
      </c>
      <c r="K4768">
        <v>0</v>
      </c>
    </row>
    <row r="4769" spans="1:11" x14ac:dyDescent="0.2">
      <c r="A4769" t="s">
        <v>4309</v>
      </c>
      <c r="B4769">
        <v>0</v>
      </c>
      <c r="C4769">
        <v>0</v>
      </c>
      <c r="D4769">
        <v>0</v>
      </c>
      <c r="E4769">
        <v>0</v>
      </c>
      <c r="F4769">
        <v>0</v>
      </c>
      <c r="G4769">
        <v>0</v>
      </c>
      <c r="H4769">
        <v>0</v>
      </c>
      <c r="I4769">
        <v>0</v>
      </c>
      <c r="J4769">
        <v>0</v>
      </c>
      <c r="K4769">
        <v>0</v>
      </c>
    </row>
    <row r="4770" spans="1:11" x14ac:dyDescent="0.2">
      <c r="A4770" t="s">
        <v>4310</v>
      </c>
      <c r="B4770">
        <v>0</v>
      </c>
      <c r="C4770">
        <v>0</v>
      </c>
      <c r="D4770">
        <v>0</v>
      </c>
      <c r="E4770">
        <v>0</v>
      </c>
      <c r="F4770">
        <v>0</v>
      </c>
      <c r="G4770">
        <v>0</v>
      </c>
      <c r="H4770">
        <v>0</v>
      </c>
      <c r="I4770">
        <v>0</v>
      </c>
      <c r="J4770">
        <v>0</v>
      </c>
      <c r="K4770">
        <v>0</v>
      </c>
    </row>
    <row r="4771" spans="1:11" x14ac:dyDescent="0.2">
      <c r="A4771" t="s">
        <v>4311</v>
      </c>
      <c r="B4771">
        <v>0</v>
      </c>
      <c r="C4771">
        <v>0</v>
      </c>
      <c r="D4771">
        <v>0</v>
      </c>
      <c r="E4771">
        <v>0</v>
      </c>
      <c r="F4771">
        <v>0</v>
      </c>
      <c r="G4771">
        <v>0</v>
      </c>
      <c r="H4771">
        <v>0</v>
      </c>
      <c r="I4771">
        <v>0</v>
      </c>
      <c r="J4771">
        <v>0</v>
      </c>
      <c r="K4771">
        <v>0</v>
      </c>
    </row>
    <row r="4772" spans="1:11" x14ac:dyDescent="0.2">
      <c r="A4772" t="s">
        <v>4312</v>
      </c>
      <c r="B4772">
        <v>0</v>
      </c>
      <c r="C4772">
        <v>0</v>
      </c>
      <c r="D4772">
        <v>0</v>
      </c>
      <c r="E4772">
        <v>0</v>
      </c>
      <c r="F4772">
        <v>0</v>
      </c>
      <c r="G4772">
        <v>0</v>
      </c>
      <c r="H4772">
        <v>0</v>
      </c>
      <c r="I4772">
        <v>0</v>
      </c>
      <c r="J4772">
        <v>0</v>
      </c>
      <c r="K4772">
        <v>0</v>
      </c>
    </row>
    <row r="4773" spans="1:11" x14ac:dyDescent="0.2">
      <c r="A4773" t="s">
        <v>4313</v>
      </c>
      <c r="B4773">
        <v>0</v>
      </c>
      <c r="C4773">
        <v>0</v>
      </c>
      <c r="D4773">
        <v>0</v>
      </c>
      <c r="E4773">
        <v>0</v>
      </c>
      <c r="F4773">
        <v>0</v>
      </c>
      <c r="G4773">
        <v>0</v>
      </c>
      <c r="H4773">
        <v>0</v>
      </c>
      <c r="I4773">
        <v>0</v>
      </c>
      <c r="J4773">
        <v>0</v>
      </c>
      <c r="K4773">
        <v>0</v>
      </c>
    </row>
    <row r="4774" spans="1:11" x14ac:dyDescent="0.2">
      <c r="A4774" t="s">
        <v>4314</v>
      </c>
      <c r="B4774">
        <v>0</v>
      </c>
      <c r="C4774">
        <v>0</v>
      </c>
      <c r="D4774">
        <v>0</v>
      </c>
      <c r="E4774">
        <v>0</v>
      </c>
      <c r="F4774">
        <v>0</v>
      </c>
      <c r="G4774">
        <v>0</v>
      </c>
      <c r="H4774">
        <v>0</v>
      </c>
      <c r="I4774">
        <v>0</v>
      </c>
      <c r="J4774">
        <v>0</v>
      </c>
      <c r="K4774">
        <v>0</v>
      </c>
    </row>
    <row r="4775" spans="1:11" x14ac:dyDescent="0.2">
      <c r="A4775" t="s">
        <v>4315</v>
      </c>
      <c r="B4775">
        <v>0</v>
      </c>
      <c r="C4775">
        <v>0</v>
      </c>
      <c r="D4775">
        <v>0</v>
      </c>
      <c r="E4775">
        <v>0</v>
      </c>
      <c r="F4775">
        <v>0</v>
      </c>
      <c r="G4775">
        <v>0</v>
      </c>
      <c r="H4775">
        <v>0</v>
      </c>
      <c r="I4775">
        <v>0</v>
      </c>
      <c r="J4775">
        <v>0</v>
      </c>
      <c r="K4775">
        <v>0</v>
      </c>
    </row>
    <row r="4776" spans="1:11" x14ac:dyDescent="0.2">
      <c r="A4776" t="s">
        <v>4316</v>
      </c>
      <c r="B4776">
        <v>0</v>
      </c>
      <c r="C4776">
        <v>0</v>
      </c>
      <c r="D4776">
        <v>0</v>
      </c>
      <c r="E4776">
        <v>0</v>
      </c>
      <c r="F4776">
        <v>0</v>
      </c>
      <c r="G4776">
        <v>0</v>
      </c>
      <c r="H4776">
        <v>0</v>
      </c>
      <c r="I4776">
        <v>0</v>
      </c>
      <c r="J4776">
        <v>0</v>
      </c>
      <c r="K4776">
        <v>0</v>
      </c>
    </row>
    <row r="4777" spans="1:11" x14ac:dyDescent="0.2">
      <c r="A4777" t="s">
        <v>4317</v>
      </c>
      <c r="B4777">
        <v>0</v>
      </c>
      <c r="C4777">
        <v>0</v>
      </c>
      <c r="D4777">
        <v>0</v>
      </c>
      <c r="E4777">
        <v>0</v>
      </c>
      <c r="F4777">
        <v>0</v>
      </c>
      <c r="G4777">
        <v>0</v>
      </c>
      <c r="H4777">
        <v>0</v>
      </c>
      <c r="I4777">
        <v>0</v>
      </c>
      <c r="J4777">
        <v>0</v>
      </c>
      <c r="K4777">
        <v>0</v>
      </c>
    </row>
    <row r="4778" spans="1:11" x14ac:dyDescent="0.2">
      <c r="A4778" t="s">
        <v>4318</v>
      </c>
      <c r="B4778">
        <v>0</v>
      </c>
      <c r="C4778">
        <v>0</v>
      </c>
      <c r="D4778">
        <v>0</v>
      </c>
      <c r="E4778">
        <v>0</v>
      </c>
      <c r="F4778">
        <v>0</v>
      </c>
      <c r="G4778">
        <v>0</v>
      </c>
      <c r="H4778">
        <v>0</v>
      </c>
      <c r="I4778">
        <v>0</v>
      </c>
      <c r="J4778">
        <v>0</v>
      </c>
      <c r="K4778">
        <v>0</v>
      </c>
    </row>
    <row r="4779" spans="1:11" x14ac:dyDescent="0.2">
      <c r="A4779" t="s">
        <v>4319</v>
      </c>
      <c r="B4779">
        <v>0</v>
      </c>
      <c r="C4779">
        <v>0</v>
      </c>
      <c r="D4779">
        <v>0</v>
      </c>
      <c r="E4779">
        <v>0</v>
      </c>
      <c r="F4779">
        <v>0</v>
      </c>
      <c r="G4779">
        <v>0</v>
      </c>
      <c r="H4779">
        <v>0</v>
      </c>
      <c r="I4779">
        <v>0</v>
      </c>
      <c r="J4779">
        <v>0</v>
      </c>
      <c r="K4779">
        <v>0</v>
      </c>
    </row>
    <row r="4780" spans="1:11" x14ac:dyDescent="0.2">
      <c r="A4780" t="s">
        <v>4320</v>
      </c>
      <c r="B4780">
        <v>0</v>
      </c>
      <c r="C4780">
        <v>0</v>
      </c>
      <c r="D4780">
        <v>0</v>
      </c>
      <c r="E4780">
        <v>0</v>
      </c>
      <c r="F4780">
        <v>0</v>
      </c>
      <c r="G4780">
        <v>0</v>
      </c>
      <c r="H4780">
        <v>0</v>
      </c>
      <c r="I4780">
        <v>0</v>
      </c>
      <c r="J4780">
        <v>0</v>
      </c>
      <c r="K4780">
        <v>0</v>
      </c>
    </row>
    <row r="4781" spans="1:11" x14ac:dyDescent="0.2">
      <c r="A4781" t="s">
        <v>4321</v>
      </c>
      <c r="B4781">
        <v>0</v>
      </c>
      <c r="C4781">
        <v>0</v>
      </c>
      <c r="D4781">
        <v>0</v>
      </c>
      <c r="E4781">
        <v>0</v>
      </c>
      <c r="F4781">
        <v>0</v>
      </c>
      <c r="G4781">
        <v>0</v>
      </c>
      <c r="H4781">
        <v>0</v>
      </c>
      <c r="I4781">
        <v>0</v>
      </c>
      <c r="J4781">
        <v>0</v>
      </c>
      <c r="K4781">
        <v>0</v>
      </c>
    </row>
    <row r="4782" spans="1:11" x14ac:dyDescent="0.2">
      <c r="A4782" t="s">
        <v>4322</v>
      </c>
      <c r="B4782">
        <v>0</v>
      </c>
      <c r="C4782">
        <v>0</v>
      </c>
      <c r="D4782">
        <v>0</v>
      </c>
      <c r="E4782">
        <v>0</v>
      </c>
      <c r="F4782">
        <v>0</v>
      </c>
      <c r="G4782">
        <v>0</v>
      </c>
      <c r="H4782">
        <v>0</v>
      </c>
      <c r="I4782">
        <v>0</v>
      </c>
      <c r="J4782">
        <v>0</v>
      </c>
      <c r="K4782">
        <v>0</v>
      </c>
    </row>
    <row r="4783" spans="1:11" x14ac:dyDescent="0.2">
      <c r="A4783" t="s">
        <v>4323</v>
      </c>
      <c r="B4783">
        <v>0</v>
      </c>
      <c r="C4783">
        <v>0</v>
      </c>
      <c r="D4783">
        <v>0</v>
      </c>
      <c r="E4783">
        <v>0</v>
      </c>
      <c r="F4783">
        <v>0</v>
      </c>
      <c r="G4783">
        <v>0</v>
      </c>
      <c r="H4783">
        <v>0</v>
      </c>
      <c r="I4783">
        <v>0</v>
      </c>
      <c r="J4783">
        <v>0</v>
      </c>
      <c r="K4783">
        <v>0</v>
      </c>
    </row>
    <row r="4784" spans="1:11" x14ac:dyDescent="0.2">
      <c r="A4784" t="s">
        <v>4324</v>
      </c>
      <c r="B4784">
        <v>0</v>
      </c>
      <c r="C4784">
        <v>0</v>
      </c>
      <c r="D4784">
        <v>0</v>
      </c>
      <c r="E4784">
        <v>0</v>
      </c>
      <c r="F4784">
        <v>0</v>
      </c>
      <c r="G4784">
        <v>0</v>
      </c>
      <c r="H4784">
        <v>0</v>
      </c>
      <c r="I4784">
        <v>0</v>
      </c>
      <c r="J4784">
        <v>0</v>
      </c>
      <c r="K4784">
        <v>0</v>
      </c>
    </row>
    <row r="4785" spans="1:11" x14ac:dyDescent="0.2">
      <c r="A4785" t="s">
        <v>4325</v>
      </c>
      <c r="B4785">
        <v>0</v>
      </c>
      <c r="C4785">
        <v>0</v>
      </c>
      <c r="D4785">
        <v>0</v>
      </c>
      <c r="E4785">
        <v>0</v>
      </c>
      <c r="F4785">
        <v>0</v>
      </c>
      <c r="G4785">
        <v>0</v>
      </c>
      <c r="H4785">
        <v>0</v>
      </c>
      <c r="I4785">
        <v>0</v>
      </c>
      <c r="J4785">
        <v>0</v>
      </c>
      <c r="K4785">
        <v>0</v>
      </c>
    </row>
    <row r="4786" spans="1:11" x14ac:dyDescent="0.2">
      <c r="A4786" t="s">
        <v>4326</v>
      </c>
      <c r="B4786">
        <v>0</v>
      </c>
      <c r="C4786">
        <v>0</v>
      </c>
      <c r="D4786">
        <v>0</v>
      </c>
      <c r="E4786">
        <v>0</v>
      </c>
      <c r="F4786">
        <v>0</v>
      </c>
      <c r="G4786">
        <v>0</v>
      </c>
      <c r="H4786">
        <v>0</v>
      </c>
      <c r="I4786">
        <v>0</v>
      </c>
      <c r="J4786">
        <v>0</v>
      </c>
      <c r="K4786">
        <v>0</v>
      </c>
    </row>
    <row r="4787" spans="1:11" x14ac:dyDescent="0.2">
      <c r="A4787" t="s">
        <v>4327</v>
      </c>
      <c r="B4787">
        <v>0</v>
      </c>
      <c r="C4787">
        <v>0</v>
      </c>
      <c r="D4787">
        <v>0</v>
      </c>
      <c r="E4787">
        <v>0</v>
      </c>
      <c r="F4787">
        <v>0</v>
      </c>
      <c r="G4787">
        <v>0</v>
      </c>
      <c r="H4787">
        <v>0</v>
      </c>
      <c r="I4787">
        <v>0</v>
      </c>
      <c r="J4787">
        <v>0</v>
      </c>
      <c r="K4787">
        <v>0</v>
      </c>
    </row>
    <row r="4788" spans="1:11" x14ac:dyDescent="0.2">
      <c r="A4788" t="s">
        <v>4328</v>
      </c>
      <c r="B4788">
        <v>0</v>
      </c>
      <c r="C4788">
        <v>0</v>
      </c>
      <c r="D4788">
        <v>0</v>
      </c>
      <c r="E4788">
        <v>0</v>
      </c>
      <c r="F4788">
        <v>0</v>
      </c>
      <c r="G4788">
        <v>0</v>
      </c>
      <c r="H4788">
        <v>0</v>
      </c>
      <c r="I4788">
        <v>0</v>
      </c>
      <c r="J4788">
        <v>0</v>
      </c>
      <c r="K4788">
        <v>0</v>
      </c>
    </row>
    <row r="4789" spans="1:11" x14ac:dyDescent="0.2">
      <c r="A4789" t="s">
        <v>4329</v>
      </c>
      <c r="B4789">
        <v>0</v>
      </c>
      <c r="C4789">
        <v>0</v>
      </c>
      <c r="D4789">
        <v>0</v>
      </c>
      <c r="E4789">
        <v>0</v>
      </c>
      <c r="F4789">
        <v>0</v>
      </c>
      <c r="G4789">
        <v>0</v>
      </c>
      <c r="H4789">
        <v>0</v>
      </c>
      <c r="I4789">
        <v>0</v>
      </c>
      <c r="J4789">
        <v>0</v>
      </c>
      <c r="K4789">
        <v>0</v>
      </c>
    </row>
    <row r="4790" spans="1:11" x14ac:dyDescent="0.2">
      <c r="A4790" t="s">
        <v>4330</v>
      </c>
      <c r="B4790">
        <v>0</v>
      </c>
      <c r="C4790">
        <v>0</v>
      </c>
      <c r="D4790">
        <v>0</v>
      </c>
      <c r="E4790">
        <v>0</v>
      </c>
      <c r="F4790">
        <v>0</v>
      </c>
      <c r="G4790">
        <v>0</v>
      </c>
      <c r="H4790">
        <v>0</v>
      </c>
      <c r="I4790">
        <v>0</v>
      </c>
      <c r="J4790">
        <v>0</v>
      </c>
      <c r="K4790">
        <v>0</v>
      </c>
    </row>
    <row r="4791" spans="1:11" x14ac:dyDescent="0.2">
      <c r="A4791" t="s">
        <v>4331</v>
      </c>
      <c r="B4791">
        <v>0</v>
      </c>
      <c r="C4791">
        <v>0</v>
      </c>
      <c r="D4791">
        <v>0</v>
      </c>
      <c r="E4791">
        <v>0</v>
      </c>
      <c r="F4791">
        <v>0</v>
      </c>
      <c r="G4791">
        <v>0</v>
      </c>
      <c r="H4791">
        <v>0</v>
      </c>
      <c r="I4791">
        <v>0</v>
      </c>
      <c r="J4791">
        <v>0</v>
      </c>
      <c r="K4791">
        <v>0</v>
      </c>
    </row>
    <row r="4792" spans="1:11" x14ac:dyDescent="0.2">
      <c r="A4792" t="s">
        <v>4332</v>
      </c>
      <c r="B4792">
        <v>0</v>
      </c>
      <c r="C4792">
        <v>0</v>
      </c>
      <c r="D4792">
        <v>0</v>
      </c>
      <c r="E4792">
        <v>0</v>
      </c>
      <c r="F4792">
        <v>0</v>
      </c>
      <c r="G4792">
        <v>0</v>
      </c>
      <c r="H4792">
        <v>0</v>
      </c>
      <c r="I4792">
        <v>0</v>
      </c>
      <c r="J4792">
        <v>0</v>
      </c>
      <c r="K4792">
        <v>0</v>
      </c>
    </row>
    <row r="4793" spans="1:11" x14ac:dyDescent="0.2">
      <c r="A4793" t="s">
        <v>4333</v>
      </c>
      <c r="B4793">
        <v>0</v>
      </c>
      <c r="C4793">
        <v>0</v>
      </c>
      <c r="D4793">
        <v>0</v>
      </c>
      <c r="E4793">
        <v>0</v>
      </c>
      <c r="F4793">
        <v>0</v>
      </c>
      <c r="G4793">
        <v>0</v>
      </c>
      <c r="H4793">
        <v>0</v>
      </c>
      <c r="I4793">
        <v>0</v>
      </c>
      <c r="J4793">
        <v>0</v>
      </c>
      <c r="K4793">
        <v>0</v>
      </c>
    </row>
    <row r="4794" spans="1:11" x14ac:dyDescent="0.2">
      <c r="A4794" t="s">
        <v>4334</v>
      </c>
      <c r="B4794">
        <v>0</v>
      </c>
      <c r="C4794">
        <v>0</v>
      </c>
      <c r="D4794">
        <v>0</v>
      </c>
      <c r="E4794">
        <v>0</v>
      </c>
      <c r="F4794">
        <v>0</v>
      </c>
      <c r="G4794">
        <v>0</v>
      </c>
      <c r="H4794">
        <v>0</v>
      </c>
      <c r="I4794">
        <v>0</v>
      </c>
      <c r="J4794">
        <v>0</v>
      </c>
      <c r="K4794">
        <v>0</v>
      </c>
    </row>
    <row r="4795" spans="1:11" x14ac:dyDescent="0.2">
      <c r="A4795" t="s">
        <v>4335</v>
      </c>
      <c r="B4795">
        <v>0</v>
      </c>
      <c r="C4795">
        <v>0</v>
      </c>
      <c r="D4795">
        <v>0</v>
      </c>
      <c r="E4795">
        <v>0</v>
      </c>
      <c r="F4795">
        <v>0</v>
      </c>
      <c r="G4795">
        <v>0</v>
      </c>
      <c r="H4795">
        <v>0</v>
      </c>
      <c r="I4795">
        <v>0</v>
      </c>
      <c r="J4795">
        <v>0</v>
      </c>
      <c r="K4795">
        <v>0</v>
      </c>
    </row>
    <row r="4796" spans="1:11" x14ac:dyDescent="0.2">
      <c r="A4796" t="s">
        <v>4336</v>
      </c>
      <c r="B4796">
        <v>0</v>
      </c>
      <c r="C4796">
        <v>0</v>
      </c>
      <c r="D4796">
        <v>0</v>
      </c>
      <c r="E4796">
        <v>0</v>
      </c>
      <c r="F4796">
        <v>0</v>
      </c>
      <c r="G4796">
        <v>0</v>
      </c>
      <c r="H4796">
        <v>0</v>
      </c>
      <c r="I4796">
        <v>0</v>
      </c>
      <c r="J4796">
        <v>0</v>
      </c>
      <c r="K4796">
        <v>0</v>
      </c>
    </row>
    <row r="4797" spans="1:11" x14ac:dyDescent="0.2">
      <c r="A4797" t="s">
        <v>4337</v>
      </c>
      <c r="B4797">
        <v>0</v>
      </c>
      <c r="C4797">
        <v>0</v>
      </c>
      <c r="D4797">
        <v>0</v>
      </c>
      <c r="E4797">
        <v>0</v>
      </c>
      <c r="F4797">
        <v>0</v>
      </c>
      <c r="G4797">
        <v>0</v>
      </c>
      <c r="H4797">
        <v>0</v>
      </c>
      <c r="I4797">
        <v>0</v>
      </c>
      <c r="J4797">
        <v>0</v>
      </c>
      <c r="K4797">
        <v>0</v>
      </c>
    </row>
    <row r="4798" spans="1:11" x14ac:dyDescent="0.2">
      <c r="A4798" t="s">
        <v>4338</v>
      </c>
      <c r="B4798">
        <v>0</v>
      </c>
      <c r="C4798">
        <v>0</v>
      </c>
      <c r="D4798">
        <v>0</v>
      </c>
      <c r="E4798">
        <v>0</v>
      </c>
      <c r="F4798">
        <v>0</v>
      </c>
      <c r="G4798">
        <v>0</v>
      </c>
      <c r="H4798">
        <v>0</v>
      </c>
      <c r="I4798">
        <v>0</v>
      </c>
      <c r="J4798">
        <v>0</v>
      </c>
      <c r="K4798">
        <v>0</v>
      </c>
    </row>
    <row r="4799" spans="1:11" x14ac:dyDescent="0.2">
      <c r="A4799" t="s">
        <v>4339</v>
      </c>
      <c r="B4799">
        <v>0</v>
      </c>
      <c r="C4799">
        <v>0</v>
      </c>
      <c r="D4799">
        <v>0</v>
      </c>
      <c r="E4799">
        <v>0</v>
      </c>
      <c r="F4799">
        <v>0</v>
      </c>
      <c r="G4799">
        <v>0</v>
      </c>
      <c r="H4799">
        <v>0</v>
      </c>
      <c r="I4799">
        <v>0</v>
      </c>
      <c r="J4799">
        <v>0</v>
      </c>
      <c r="K4799">
        <v>0</v>
      </c>
    </row>
    <row r="4800" spans="1:11" x14ac:dyDescent="0.2">
      <c r="A4800" t="s">
        <v>4340</v>
      </c>
      <c r="B4800">
        <v>0</v>
      </c>
      <c r="C4800">
        <v>0</v>
      </c>
      <c r="D4800">
        <v>0</v>
      </c>
      <c r="E4800">
        <v>0</v>
      </c>
      <c r="F4800">
        <v>0</v>
      </c>
      <c r="G4800">
        <v>0</v>
      </c>
      <c r="H4800">
        <v>0</v>
      </c>
      <c r="I4800">
        <v>0</v>
      </c>
      <c r="J4800">
        <v>0</v>
      </c>
      <c r="K4800">
        <v>0</v>
      </c>
    </row>
    <row r="4801" spans="1:11" x14ac:dyDescent="0.2">
      <c r="A4801" t="s">
        <v>4341</v>
      </c>
      <c r="B4801">
        <v>0</v>
      </c>
      <c r="C4801">
        <v>0</v>
      </c>
      <c r="D4801">
        <v>0</v>
      </c>
      <c r="E4801">
        <v>0</v>
      </c>
      <c r="F4801">
        <v>0</v>
      </c>
      <c r="G4801">
        <v>0</v>
      </c>
      <c r="H4801">
        <v>0</v>
      </c>
      <c r="I4801">
        <v>0</v>
      </c>
      <c r="J4801">
        <v>0</v>
      </c>
      <c r="K4801">
        <v>0</v>
      </c>
    </row>
    <row r="4802" spans="1:11" x14ac:dyDescent="0.2">
      <c r="A4802" t="s">
        <v>4342</v>
      </c>
      <c r="B4802">
        <v>0</v>
      </c>
      <c r="C4802">
        <v>0</v>
      </c>
      <c r="D4802">
        <v>0</v>
      </c>
      <c r="E4802">
        <v>0</v>
      </c>
      <c r="F4802">
        <v>0</v>
      </c>
      <c r="G4802">
        <v>0</v>
      </c>
      <c r="H4802">
        <v>0</v>
      </c>
      <c r="I4802">
        <v>0</v>
      </c>
      <c r="J4802">
        <v>0</v>
      </c>
      <c r="K4802">
        <v>0</v>
      </c>
    </row>
    <row r="4803" spans="1:11" x14ac:dyDescent="0.2">
      <c r="A4803" t="s">
        <v>4343</v>
      </c>
      <c r="B4803">
        <v>0</v>
      </c>
      <c r="C4803">
        <v>0</v>
      </c>
      <c r="D4803">
        <v>0</v>
      </c>
      <c r="E4803">
        <v>0</v>
      </c>
      <c r="F4803">
        <v>0</v>
      </c>
      <c r="G4803">
        <v>0</v>
      </c>
      <c r="H4803">
        <v>0</v>
      </c>
      <c r="I4803">
        <v>0</v>
      </c>
      <c r="J4803">
        <v>0</v>
      </c>
      <c r="K4803">
        <v>0</v>
      </c>
    </row>
    <row r="4804" spans="1:11" x14ac:dyDescent="0.2">
      <c r="A4804" t="s">
        <v>1728</v>
      </c>
      <c r="B4804">
        <v>0</v>
      </c>
      <c r="C4804">
        <v>0</v>
      </c>
      <c r="D4804">
        <v>0</v>
      </c>
      <c r="E4804">
        <v>0</v>
      </c>
      <c r="F4804">
        <v>0</v>
      </c>
      <c r="G4804">
        <v>0</v>
      </c>
      <c r="H4804">
        <v>0</v>
      </c>
      <c r="I4804">
        <v>0</v>
      </c>
      <c r="J4804">
        <v>0</v>
      </c>
      <c r="K4804">
        <v>0</v>
      </c>
    </row>
    <row r="4805" spans="1:11" x14ac:dyDescent="0.2">
      <c r="A4805" t="s">
        <v>1730</v>
      </c>
      <c r="B4805">
        <v>41</v>
      </c>
      <c r="C4805">
        <v>0</v>
      </c>
      <c r="D4805">
        <v>0</v>
      </c>
      <c r="E4805">
        <v>0</v>
      </c>
      <c r="F4805">
        <v>0</v>
      </c>
      <c r="G4805">
        <v>0</v>
      </c>
      <c r="H4805">
        <v>0</v>
      </c>
      <c r="I4805">
        <v>0</v>
      </c>
      <c r="J4805">
        <v>0</v>
      </c>
      <c r="K4805">
        <v>0</v>
      </c>
    </row>
    <row r="4806" spans="1:11" x14ac:dyDescent="0.2">
      <c r="A4806" t="s">
        <v>1733</v>
      </c>
      <c r="B4806">
        <v>0</v>
      </c>
      <c r="C4806">
        <v>0</v>
      </c>
      <c r="D4806">
        <v>0</v>
      </c>
      <c r="E4806">
        <v>0</v>
      </c>
      <c r="F4806">
        <v>0</v>
      </c>
      <c r="G4806">
        <v>0</v>
      </c>
      <c r="H4806">
        <v>0</v>
      </c>
      <c r="I4806">
        <v>0</v>
      </c>
      <c r="J4806">
        <v>0</v>
      </c>
      <c r="K4806">
        <v>0</v>
      </c>
    </row>
    <row r="4807" spans="1:11" x14ac:dyDescent="0.2">
      <c r="A4807" t="s">
        <v>1738</v>
      </c>
      <c r="B4807">
        <v>0</v>
      </c>
      <c r="C4807">
        <v>0</v>
      </c>
      <c r="D4807">
        <v>0</v>
      </c>
      <c r="E4807">
        <v>0</v>
      </c>
      <c r="F4807">
        <v>0</v>
      </c>
      <c r="G4807">
        <v>0</v>
      </c>
      <c r="H4807">
        <v>0</v>
      </c>
      <c r="I4807">
        <v>0</v>
      </c>
      <c r="J4807">
        <v>0</v>
      </c>
      <c r="K4807">
        <v>0</v>
      </c>
    </row>
    <row r="4808" spans="1:11" x14ac:dyDescent="0.2">
      <c r="A4808" t="s">
        <v>1744</v>
      </c>
      <c r="B4808">
        <v>0</v>
      </c>
      <c r="C4808">
        <v>0</v>
      </c>
      <c r="D4808">
        <v>0</v>
      </c>
      <c r="E4808">
        <v>0</v>
      </c>
      <c r="F4808">
        <v>0</v>
      </c>
      <c r="G4808">
        <v>0</v>
      </c>
      <c r="H4808">
        <v>0</v>
      </c>
      <c r="I4808">
        <v>0</v>
      </c>
      <c r="J4808">
        <v>0</v>
      </c>
      <c r="K4808">
        <v>0</v>
      </c>
    </row>
    <row r="4809" spans="1:11" x14ac:dyDescent="0.2">
      <c r="A4809" t="s">
        <v>1747</v>
      </c>
      <c r="B4809">
        <v>0</v>
      </c>
      <c r="C4809">
        <v>0</v>
      </c>
      <c r="D4809">
        <v>0</v>
      </c>
      <c r="E4809">
        <v>0</v>
      </c>
      <c r="F4809">
        <v>0</v>
      </c>
      <c r="G4809">
        <v>0</v>
      </c>
      <c r="H4809">
        <v>0</v>
      </c>
      <c r="I4809">
        <v>0</v>
      </c>
      <c r="J4809">
        <v>0</v>
      </c>
      <c r="K4809">
        <v>0</v>
      </c>
    </row>
    <row r="4810" spans="1:11" x14ac:dyDescent="0.2">
      <c r="A4810" t="s">
        <v>1751</v>
      </c>
      <c r="B4810">
        <v>0</v>
      </c>
      <c r="C4810">
        <v>0</v>
      </c>
      <c r="D4810">
        <v>0</v>
      </c>
      <c r="E4810">
        <v>0</v>
      </c>
      <c r="F4810">
        <v>0</v>
      </c>
      <c r="G4810">
        <v>0</v>
      </c>
      <c r="H4810">
        <v>0</v>
      </c>
      <c r="I4810">
        <v>0</v>
      </c>
      <c r="J4810">
        <v>0</v>
      </c>
      <c r="K4810">
        <v>0</v>
      </c>
    </row>
    <row r="4811" spans="1:11" x14ac:dyDescent="0.2">
      <c r="A4811" t="s">
        <v>1755</v>
      </c>
      <c r="B4811">
        <v>605</v>
      </c>
      <c r="C4811">
        <v>0</v>
      </c>
      <c r="D4811">
        <v>32</v>
      </c>
      <c r="E4811">
        <v>0</v>
      </c>
      <c r="F4811">
        <v>0</v>
      </c>
      <c r="G4811">
        <v>0</v>
      </c>
      <c r="H4811">
        <v>0</v>
      </c>
      <c r="I4811">
        <v>0</v>
      </c>
      <c r="J4811">
        <v>0</v>
      </c>
      <c r="K4811">
        <v>0</v>
      </c>
    </row>
    <row r="4812" spans="1:11" x14ac:dyDescent="0.2">
      <c r="A4812" t="s">
        <v>1757</v>
      </c>
      <c r="B4812">
        <v>585</v>
      </c>
      <c r="C4812">
        <v>0</v>
      </c>
      <c r="D4812">
        <v>34</v>
      </c>
      <c r="E4812">
        <v>0</v>
      </c>
      <c r="F4812">
        <v>0</v>
      </c>
      <c r="G4812">
        <v>0</v>
      </c>
      <c r="H4812">
        <v>0</v>
      </c>
      <c r="I4812">
        <v>0</v>
      </c>
      <c r="J4812">
        <v>0</v>
      </c>
      <c r="K4812">
        <v>0</v>
      </c>
    </row>
    <row r="4813" spans="1:11" x14ac:dyDescent="0.2">
      <c r="A4813" t="s">
        <v>1761</v>
      </c>
      <c r="B4813">
        <v>0</v>
      </c>
      <c r="C4813">
        <v>0</v>
      </c>
      <c r="D4813">
        <v>0</v>
      </c>
      <c r="E4813">
        <v>0</v>
      </c>
      <c r="F4813">
        <v>0</v>
      </c>
      <c r="G4813">
        <v>0</v>
      </c>
      <c r="H4813">
        <v>0</v>
      </c>
      <c r="I4813">
        <v>0</v>
      </c>
      <c r="J4813">
        <v>0</v>
      </c>
      <c r="K4813">
        <v>0</v>
      </c>
    </row>
    <row r="4814" spans="1:11" x14ac:dyDescent="0.2">
      <c r="A4814" t="s">
        <v>1764</v>
      </c>
      <c r="B4814">
        <v>0</v>
      </c>
      <c r="C4814">
        <v>0</v>
      </c>
      <c r="D4814">
        <v>0</v>
      </c>
      <c r="E4814">
        <v>0</v>
      </c>
      <c r="F4814">
        <v>0</v>
      </c>
      <c r="G4814">
        <v>0</v>
      </c>
      <c r="H4814">
        <v>0</v>
      </c>
      <c r="I4814">
        <v>0</v>
      </c>
      <c r="J4814">
        <v>0</v>
      </c>
      <c r="K4814">
        <v>0</v>
      </c>
    </row>
    <row r="4815" spans="1:11" x14ac:dyDescent="0.2">
      <c r="A4815" t="s">
        <v>1770</v>
      </c>
      <c r="B4815">
        <v>554</v>
      </c>
      <c r="C4815">
        <v>0</v>
      </c>
      <c r="D4815">
        <v>0</v>
      </c>
      <c r="E4815">
        <v>0</v>
      </c>
      <c r="F4815">
        <v>0</v>
      </c>
      <c r="G4815">
        <v>0</v>
      </c>
      <c r="H4815">
        <v>0</v>
      </c>
      <c r="I4815">
        <v>0</v>
      </c>
      <c r="J4815">
        <v>0</v>
      </c>
      <c r="K4815">
        <v>0</v>
      </c>
    </row>
    <row r="4816" spans="1:11" x14ac:dyDescent="0.2">
      <c r="A4816" t="s">
        <v>1772</v>
      </c>
      <c r="B4816">
        <v>223</v>
      </c>
      <c r="C4816">
        <v>0</v>
      </c>
      <c r="D4816">
        <v>0</v>
      </c>
      <c r="E4816">
        <v>0</v>
      </c>
      <c r="F4816">
        <v>0</v>
      </c>
      <c r="G4816">
        <v>0</v>
      </c>
      <c r="H4816">
        <v>0</v>
      </c>
      <c r="I4816">
        <v>0</v>
      </c>
      <c r="J4816">
        <v>0</v>
      </c>
      <c r="K4816">
        <v>0</v>
      </c>
    </row>
    <row r="4817" spans="1:11" x14ac:dyDescent="0.2">
      <c r="A4817" t="s">
        <v>1774</v>
      </c>
      <c r="B4817">
        <v>711</v>
      </c>
      <c r="C4817">
        <v>0</v>
      </c>
      <c r="D4817">
        <v>0</v>
      </c>
      <c r="E4817">
        <v>0</v>
      </c>
      <c r="F4817">
        <v>0</v>
      </c>
      <c r="G4817">
        <v>0</v>
      </c>
      <c r="H4817">
        <v>0</v>
      </c>
      <c r="I4817">
        <v>0</v>
      </c>
      <c r="J4817">
        <v>0</v>
      </c>
      <c r="K4817">
        <v>0</v>
      </c>
    </row>
    <row r="4818" spans="1:11" x14ac:dyDescent="0.2">
      <c r="A4818" t="s">
        <v>1777</v>
      </c>
      <c r="B4818">
        <v>0</v>
      </c>
      <c r="C4818">
        <v>0</v>
      </c>
      <c r="D4818">
        <v>0</v>
      </c>
      <c r="E4818">
        <v>0</v>
      </c>
      <c r="F4818">
        <v>0</v>
      </c>
      <c r="G4818">
        <v>0</v>
      </c>
      <c r="H4818">
        <v>0</v>
      </c>
      <c r="I4818">
        <v>0</v>
      </c>
      <c r="J4818">
        <v>0</v>
      </c>
      <c r="K4818">
        <v>0</v>
      </c>
    </row>
    <row r="4819" spans="1:11" x14ac:dyDescent="0.2">
      <c r="A4819" t="s">
        <v>1782</v>
      </c>
      <c r="B4819">
        <v>0</v>
      </c>
      <c r="C4819">
        <v>0</v>
      </c>
      <c r="D4819">
        <v>0</v>
      </c>
      <c r="E4819">
        <v>0</v>
      </c>
      <c r="F4819">
        <v>0</v>
      </c>
      <c r="G4819">
        <v>0</v>
      </c>
      <c r="H4819">
        <v>0</v>
      </c>
      <c r="I4819">
        <v>0</v>
      </c>
      <c r="J4819">
        <v>0</v>
      </c>
      <c r="K4819">
        <v>0</v>
      </c>
    </row>
    <row r="4820" spans="1:11" x14ac:dyDescent="0.2">
      <c r="A4820" t="s">
        <v>1274</v>
      </c>
      <c r="B4820">
        <v>122</v>
      </c>
      <c r="C4820">
        <v>0</v>
      </c>
      <c r="D4820">
        <v>0</v>
      </c>
      <c r="E4820">
        <v>0</v>
      </c>
      <c r="F4820">
        <v>0</v>
      </c>
      <c r="G4820">
        <v>0</v>
      </c>
      <c r="H4820">
        <v>0</v>
      </c>
      <c r="I4820">
        <v>0</v>
      </c>
      <c r="J4820">
        <v>0</v>
      </c>
      <c r="K4820">
        <v>0</v>
      </c>
    </row>
    <row r="4821" spans="1:11" x14ac:dyDescent="0.2">
      <c r="A4821" t="s">
        <v>1277</v>
      </c>
      <c r="B4821">
        <v>1014</v>
      </c>
      <c r="C4821">
        <v>0</v>
      </c>
      <c r="D4821">
        <v>0</v>
      </c>
      <c r="E4821">
        <v>0</v>
      </c>
      <c r="F4821">
        <v>0</v>
      </c>
      <c r="G4821">
        <v>0</v>
      </c>
      <c r="H4821">
        <v>0</v>
      </c>
      <c r="I4821">
        <v>0</v>
      </c>
      <c r="J4821">
        <v>0</v>
      </c>
      <c r="K4821">
        <v>0</v>
      </c>
    </row>
    <row r="4822" spans="1:11" x14ac:dyDescent="0.2">
      <c r="A4822" t="s">
        <v>1798</v>
      </c>
      <c r="B4822">
        <v>0</v>
      </c>
      <c r="C4822">
        <v>0</v>
      </c>
      <c r="D4822">
        <v>0</v>
      </c>
      <c r="E4822">
        <v>0</v>
      </c>
      <c r="F4822">
        <v>0</v>
      </c>
      <c r="G4822">
        <v>0</v>
      </c>
      <c r="H4822">
        <v>0</v>
      </c>
      <c r="I4822">
        <v>0</v>
      </c>
      <c r="J4822">
        <v>0</v>
      </c>
      <c r="K4822">
        <v>0</v>
      </c>
    </row>
    <row r="4823" spans="1:11" x14ac:dyDescent="0.2">
      <c r="A4823" t="s">
        <v>1803</v>
      </c>
      <c r="B4823">
        <v>0</v>
      </c>
      <c r="C4823">
        <v>0</v>
      </c>
      <c r="D4823">
        <v>0</v>
      </c>
      <c r="E4823">
        <v>0</v>
      </c>
      <c r="F4823">
        <v>0</v>
      </c>
      <c r="G4823">
        <v>0</v>
      </c>
      <c r="H4823">
        <v>0</v>
      </c>
      <c r="I4823">
        <v>0</v>
      </c>
      <c r="J4823">
        <v>0</v>
      </c>
      <c r="K4823">
        <v>0</v>
      </c>
    </row>
    <row r="4824" spans="1:11" x14ac:dyDescent="0.2">
      <c r="A4824" t="s">
        <v>1808</v>
      </c>
      <c r="B4824">
        <v>0</v>
      </c>
      <c r="C4824">
        <v>0</v>
      </c>
      <c r="D4824">
        <v>0</v>
      </c>
      <c r="E4824">
        <v>0</v>
      </c>
      <c r="F4824">
        <v>0</v>
      </c>
      <c r="G4824">
        <v>0</v>
      </c>
      <c r="H4824">
        <v>0</v>
      </c>
      <c r="I4824">
        <v>0</v>
      </c>
      <c r="J4824">
        <v>0</v>
      </c>
      <c r="K4824">
        <v>0</v>
      </c>
    </row>
    <row r="4825" spans="1:11" x14ac:dyDescent="0.2">
      <c r="A4825" t="s">
        <v>1813</v>
      </c>
      <c r="B4825">
        <v>0</v>
      </c>
      <c r="C4825">
        <v>0</v>
      </c>
      <c r="D4825">
        <v>0</v>
      </c>
      <c r="E4825">
        <v>0</v>
      </c>
      <c r="F4825">
        <v>0</v>
      </c>
      <c r="G4825">
        <v>0</v>
      </c>
      <c r="H4825">
        <v>0</v>
      </c>
      <c r="I4825">
        <v>0</v>
      </c>
      <c r="J4825">
        <v>0</v>
      </c>
      <c r="K4825">
        <v>0</v>
      </c>
    </row>
    <row r="4826" spans="1:11" x14ac:dyDescent="0.2">
      <c r="A4826" t="s">
        <v>1819</v>
      </c>
      <c r="B4826">
        <v>2</v>
      </c>
      <c r="C4826">
        <v>0</v>
      </c>
      <c r="D4826">
        <v>0</v>
      </c>
      <c r="E4826">
        <v>0</v>
      </c>
      <c r="F4826">
        <v>0</v>
      </c>
      <c r="G4826">
        <v>0</v>
      </c>
      <c r="H4826">
        <v>0</v>
      </c>
      <c r="I4826">
        <v>0</v>
      </c>
      <c r="J4826">
        <v>0</v>
      </c>
      <c r="K4826">
        <v>0</v>
      </c>
    </row>
    <row r="4827" spans="1:11" x14ac:dyDescent="0.2">
      <c r="A4827" t="s">
        <v>1826</v>
      </c>
      <c r="B4827">
        <v>0</v>
      </c>
      <c r="C4827">
        <v>0</v>
      </c>
      <c r="D4827">
        <v>0</v>
      </c>
      <c r="E4827">
        <v>0</v>
      </c>
      <c r="F4827">
        <v>0</v>
      </c>
      <c r="G4827">
        <v>0</v>
      </c>
      <c r="H4827">
        <v>0</v>
      </c>
      <c r="I4827">
        <v>0</v>
      </c>
      <c r="J4827">
        <v>0</v>
      </c>
      <c r="K4827">
        <v>0</v>
      </c>
    </row>
    <row r="4828" spans="1:11" x14ac:dyDescent="0.2">
      <c r="A4828" t="s">
        <v>1830</v>
      </c>
      <c r="B4828">
        <v>0</v>
      </c>
      <c r="C4828">
        <v>0</v>
      </c>
      <c r="D4828">
        <v>0</v>
      </c>
      <c r="E4828">
        <v>0</v>
      </c>
      <c r="F4828">
        <v>0</v>
      </c>
      <c r="G4828">
        <v>0</v>
      </c>
      <c r="H4828">
        <v>0</v>
      </c>
      <c r="I4828">
        <v>0</v>
      </c>
      <c r="J4828">
        <v>0</v>
      </c>
      <c r="K4828">
        <v>0</v>
      </c>
    </row>
    <row r="4829" spans="1:11" x14ac:dyDescent="0.2">
      <c r="A4829" t="s">
        <v>1836</v>
      </c>
      <c r="B4829">
        <v>0</v>
      </c>
      <c r="C4829">
        <v>0</v>
      </c>
      <c r="D4829">
        <v>0</v>
      </c>
      <c r="E4829">
        <v>0</v>
      </c>
      <c r="F4829">
        <v>0</v>
      </c>
      <c r="G4829">
        <v>0</v>
      </c>
      <c r="H4829">
        <v>0</v>
      </c>
      <c r="I4829">
        <v>0</v>
      </c>
      <c r="J4829">
        <v>0</v>
      </c>
      <c r="K4829">
        <v>0</v>
      </c>
    </row>
    <row r="4830" spans="1:11" x14ac:dyDescent="0.2">
      <c r="A4830" t="s">
        <v>1841</v>
      </c>
      <c r="B4830">
        <v>0</v>
      </c>
      <c r="C4830">
        <v>0</v>
      </c>
      <c r="D4830">
        <v>0</v>
      </c>
      <c r="E4830">
        <v>0</v>
      </c>
      <c r="F4830">
        <v>0</v>
      </c>
      <c r="G4830">
        <v>0</v>
      </c>
      <c r="H4830">
        <v>0</v>
      </c>
      <c r="I4830">
        <v>0</v>
      </c>
      <c r="J4830">
        <v>0</v>
      </c>
      <c r="K4830">
        <v>0</v>
      </c>
    </row>
    <row r="4831" spans="1:11" x14ac:dyDescent="0.2">
      <c r="A4831" t="s">
        <v>1842</v>
      </c>
      <c r="B4831">
        <v>22</v>
      </c>
      <c r="C4831">
        <v>0</v>
      </c>
      <c r="D4831">
        <v>0</v>
      </c>
      <c r="E4831">
        <v>0</v>
      </c>
      <c r="F4831">
        <v>0</v>
      </c>
      <c r="G4831">
        <v>0</v>
      </c>
      <c r="H4831">
        <v>0</v>
      </c>
      <c r="I4831">
        <v>0</v>
      </c>
      <c r="J4831">
        <v>0</v>
      </c>
      <c r="K4831">
        <v>0</v>
      </c>
    </row>
    <row r="4832" spans="1:11" x14ac:dyDescent="0.2">
      <c r="A4832" t="s">
        <v>1843</v>
      </c>
      <c r="B4832">
        <v>0</v>
      </c>
      <c r="C4832">
        <v>0</v>
      </c>
      <c r="D4832">
        <v>0</v>
      </c>
      <c r="E4832">
        <v>0</v>
      </c>
      <c r="F4832">
        <v>0</v>
      </c>
      <c r="G4832">
        <v>0</v>
      </c>
      <c r="H4832">
        <v>0</v>
      </c>
      <c r="I4832">
        <v>0</v>
      </c>
      <c r="J4832">
        <v>0</v>
      </c>
      <c r="K4832">
        <v>0</v>
      </c>
    </row>
    <row r="4833" spans="1:11" x14ac:dyDescent="0.2">
      <c r="A4833" t="s">
        <v>1846</v>
      </c>
      <c r="B4833">
        <v>0</v>
      </c>
      <c r="C4833">
        <v>0</v>
      </c>
      <c r="D4833">
        <v>0</v>
      </c>
      <c r="E4833">
        <v>0</v>
      </c>
      <c r="F4833">
        <v>0</v>
      </c>
      <c r="G4833">
        <v>0</v>
      </c>
      <c r="H4833">
        <v>0</v>
      </c>
      <c r="I4833">
        <v>0</v>
      </c>
      <c r="J4833">
        <v>0</v>
      </c>
      <c r="K4833">
        <v>0</v>
      </c>
    </row>
    <row r="4834" spans="1:11" x14ac:dyDescent="0.2">
      <c r="A4834" t="s">
        <v>1851</v>
      </c>
      <c r="B4834">
        <v>8</v>
      </c>
      <c r="C4834">
        <v>0</v>
      </c>
      <c r="D4834">
        <v>0</v>
      </c>
      <c r="E4834">
        <v>0</v>
      </c>
      <c r="F4834">
        <v>0</v>
      </c>
      <c r="G4834">
        <v>0</v>
      </c>
      <c r="H4834">
        <v>0</v>
      </c>
      <c r="I4834">
        <v>0</v>
      </c>
      <c r="J4834">
        <v>0</v>
      </c>
      <c r="K4834">
        <v>0</v>
      </c>
    </row>
    <row r="4835" spans="1:11" x14ac:dyDescent="0.2">
      <c r="A4835" t="s">
        <v>1857</v>
      </c>
      <c r="B4835">
        <v>0</v>
      </c>
      <c r="C4835">
        <v>0</v>
      </c>
      <c r="D4835">
        <v>0</v>
      </c>
      <c r="E4835">
        <v>0</v>
      </c>
      <c r="F4835">
        <v>0</v>
      </c>
      <c r="G4835">
        <v>0</v>
      </c>
      <c r="H4835">
        <v>0</v>
      </c>
      <c r="I4835">
        <v>0</v>
      </c>
      <c r="J4835">
        <v>0</v>
      </c>
      <c r="K4835">
        <v>0</v>
      </c>
    </row>
    <row r="4836" spans="1:11" x14ac:dyDescent="0.2">
      <c r="A4836" t="s">
        <v>1862</v>
      </c>
      <c r="B4836">
        <v>0</v>
      </c>
      <c r="C4836">
        <v>0</v>
      </c>
      <c r="D4836">
        <v>0</v>
      </c>
      <c r="E4836">
        <v>0</v>
      </c>
      <c r="F4836">
        <v>0</v>
      </c>
      <c r="G4836">
        <v>0</v>
      </c>
      <c r="H4836">
        <v>0</v>
      </c>
      <c r="I4836">
        <v>0</v>
      </c>
      <c r="J4836">
        <v>0</v>
      </c>
      <c r="K4836">
        <v>0</v>
      </c>
    </row>
    <row r="4837" spans="1:11" x14ac:dyDescent="0.2">
      <c r="A4837" t="s">
        <v>1867</v>
      </c>
      <c r="B4837">
        <v>0</v>
      </c>
      <c r="C4837">
        <v>0</v>
      </c>
      <c r="D4837">
        <v>0</v>
      </c>
      <c r="E4837">
        <v>0</v>
      </c>
      <c r="F4837">
        <v>0</v>
      </c>
      <c r="G4837">
        <v>0</v>
      </c>
      <c r="H4837">
        <v>0</v>
      </c>
      <c r="I4837">
        <v>0</v>
      </c>
      <c r="J4837">
        <v>0</v>
      </c>
      <c r="K4837">
        <v>0</v>
      </c>
    </row>
    <row r="4838" spans="1:11" x14ac:dyDescent="0.2">
      <c r="A4838" t="s">
        <v>1870</v>
      </c>
      <c r="B4838">
        <v>0</v>
      </c>
      <c r="C4838">
        <v>0</v>
      </c>
      <c r="D4838">
        <v>0</v>
      </c>
      <c r="E4838">
        <v>0</v>
      </c>
      <c r="F4838">
        <v>0</v>
      </c>
      <c r="G4838">
        <v>0</v>
      </c>
      <c r="H4838">
        <v>0</v>
      </c>
      <c r="I4838">
        <v>0</v>
      </c>
      <c r="J4838">
        <v>0</v>
      </c>
      <c r="K4838">
        <v>0</v>
      </c>
    </row>
    <row r="4839" spans="1:11" x14ac:dyDescent="0.2">
      <c r="A4839" t="s">
        <v>1874</v>
      </c>
      <c r="B4839">
        <v>0</v>
      </c>
      <c r="C4839">
        <v>0</v>
      </c>
      <c r="D4839">
        <v>0</v>
      </c>
      <c r="E4839">
        <v>0</v>
      </c>
      <c r="F4839">
        <v>0</v>
      </c>
      <c r="G4839">
        <v>0</v>
      </c>
      <c r="H4839">
        <v>0</v>
      </c>
      <c r="I4839">
        <v>0</v>
      </c>
      <c r="J4839">
        <v>0</v>
      </c>
      <c r="K4839">
        <v>0</v>
      </c>
    </row>
    <row r="4840" spans="1:11" x14ac:dyDescent="0.2">
      <c r="A4840" t="s">
        <v>1876</v>
      </c>
      <c r="B4840">
        <v>0</v>
      </c>
      <c r="C4840">
        <v>0</v>
      </c>
      <c r="D4840">
        <v>0</v>
      </c>
      <c r="E4840">
        <v>0</v>
      </c>
      <c r="F4840">
        <v>0</v>
      </c>
      <c r="G4840">
        <v>0</v>
      </c>
      <c r="H4840">
        <v>0</v>
      </c>
      <c r="I4840">
        <v>0</v>
      </c>
      <c r="J4840">
        <v>0</v>
      </c>
      <c r="K4840">
        <v>0</v>
      </c>
    </row>
    <row r="4841" spans="1:11" x14ac:dyDescent="0.2">
      <c r="A4841" t="s">
        <v>1881</v>
      </c>
      <c r="B4841">
        <v>0</v>
      </c>
      <c r="C4841">
        <v>0</v>
      </c>
      <c r="D4841">
        <v>0</v>
      </c>
      <c r="E4841">
        <v>0</v>
      </c>
      <c r="F4841">
        <v>0</v>
      </c>
      <c r="G4841">
        <v>0</v>
      </c>
      <c r="H4841">
        <v>0</v>
      </c>
      <c r="I4841">
        <v>0</v>
      </c>
      <c r="J4841">
        <v>0</v>
      </c>
      <c r="K4841">
        <v>0</v>
      </c>
    </row>
    <row r="4842" spans="1:11" x14ac:dyDescent="0.2">
      <c r="A4842" t="s">
        <v>1885</v>
      </c>
      <c r="B4842">
        <v>39</v>
      </c>
      <c r="C4842">
        <v>0</v>
      </c>
      <c r="D4842">
        <v>0</v>
      </c>
      <c r="E4842">
        <v>0</v>
      </c>
      <c r="F4842">
        <v>0</v>
      </c>
      <c r="G4842">
        <v>0</v>
      </c>
      <c r="H4842">
        <v>0</v>
      </c>
      <c r="I4842">
        <v>0</v>
      </c>
      <c r="J4842">
        <v>0</v>
      </c>
      <c r="K4842">
        <v>0</v>
      </c>
    </row>
    <row r="4843" spans="1:11" x14ac:dyDescent="0.2">
      <c r="A4843" t="s">
        <v>1887</v>
      </c>
      <c r="B4843">
        <v>1</v>
      </c>
      <c r="C4843">
        <v>0</v>
      </c>
      <c r="D4843">
        <v>0</v>
      </c>
      <c r="E4843">
        <v>0</v>
      </c>
      <c r="F4843">
        <v>0</v>
      </c>
      <c r="G4843">
        <v>0</v>
      </c>
      <c r="H4843">
        <v>0</v>
      </c>
      <c r="I4843">
        <v>0</v>
      </c>
      <c r="J4843">
        <v>0</v>
      </c>
      <c r="K4843">
        <v>0</v>
      </c>
    </row>
    <row r="4844" spans="1:11" x14ac:dyDescent="0.2">
      <c r="A4844" t="s">
        <v>1893</v>
      </c>
      <c r="B4844">
        <v>25</v>
      </c>
      <c r="C4844">
        <v>0</v>
      </c>
      <c r="D4844">
        <v>0</v>
      </c>
      <c r="E4844">
        <v>0</v>
      </c>
      <c r="F4844">
        <v>1</v>
      </c>
      <c r="G4844">
        <v>0</v>
      </c>
      <c r="H4844">
        <v>0</v>
      </c>
      <c r="I4844">
        <v>0</v>
      </c>
      <c r="J4844">
        <v>0</v>
      </c>
      <c r="K4844">
        <v>0</v>
      </c>
    </row>
    <row r="4845" spans="1:11" x14ac:dyDescent="0.2">
      <c r="A4845" t="s">
        <v>1899</v>
      </c>
      <c r="B4845">
        <v>0</v>
      </c>
      <c r="C4845">
        <v>0</v>
      </c>
      <c r="D4845">
        <v>0</v>
      </c>
      <c r="E4845">
        <v>0</v>
      </c>
      <c r="F4845">
        <v>0</v>
      </c>
      <c r="G4845">
        <v>0</v>
      </c>
      <c r="H4845">
        <v>0</v>
      </c>
      <c r="I4845">
        <v>0</v>
      </c>
      <c r="J4845">
        <v>0</v>
      </c>
      <c r="K4845">
        <v>0</v>
      </c>
    </row>
    <row r="4846" spans="1:11" x14ac:dyDescent="0.2">
      <c r="A4846" t="s">
        <v>1906</v>
      </c>
      <c r="B4846">
        <v>0</v>
      </c>
      <c r="C4846">
        <v>0</v>
      </c>
      <c r="D4846">
        <v>0</v>
      </c>
      <c r="E4846">
        <v>0</v>
      </c>
      <c r="F4846">
        <v>0</v>
      </c>
      <c r="G4846">
        <v>0</v>
      </c>
      <c r="H4846">
        <v>0</v>
      </c>
      <c r="I4846">
        <v>0</v>
      </c>
      <c r="J4846">
        <v>0</v>
      </c>
      <c r="K4846">
        <v>0</v>
      </c>
    </row>
    <row r="4847" spans="1:11" x14ac:dyDescent="0.2">
      <c r="A4847" t="s">
        <v>1911</v>
      </c>
      <c r="B4847">
        <v>0</v>
      </c>
      <c r="C4847">
        <v>0</v>
      </c>
      <c r="D4847">
        <v>0</v>
      </c>
      <c r="E4847">
        <v>0</v>
      </c>
      <c r="F4847">
        <v>0</v>
      </c>
      <c r="G4847">
        <v>0</v>
      </c>
      <c r="H4847">
        <v>0</v>
      </c>
      <c r="I4847">
        <v>0</v>
      </c>
      <c r="J4847">
        <v>0</v>
      </c>
      <c r="K4847">
        <v>0</v>
      </c>
    </row>
    <row r="4848" spans="1:11" x14ac:dyDescent="0.2">
      <c r="A4848" t="s">
        <v>1917</v>
      </c>
      <c r="B4848">
        <v>7</v>
      </c>
      <c r="C4848">
        <v>0</v>
      </c>
      <c r="D4848">
        <v>0</v>
      </c>
      <c r="E4848">
        <v>0</v>
      </c>
      <c r="F4848">
        <v>0</v>
      </c>
      <c r="G4848">
        <v>0</v>
      </c>
      <c r="H4848">
        <v>0</v>
      </c>
      <c r="I4848">
        <v>0</v>
      </c>
      <c r="J4848">
        <v>0</v>
      </c>
      <c r="K4848">
        <v>0</v>
      </c>
    </row>
    <row r="4849" spans="1:11" x14ac:dyDescent="0.2">
      <c r="A4849" t="s">
        <v>1922</v>
      </c>
      <c r="B4849">
        <v>0</v>
      </c>
      <c r="C4849">
        <v>0</v>
      </c>
      <c r="D4849">
        <v>0</v>
      </c>
      <c r="E4849">
        <v>0</v>
      </c>
      <c r="F4849">
        <v>0</v>
      </c>
      <c r="G4849">
        <v>0</v>
      </c>
      <c r="H4849">
        <v>0</v>
      </c>
      <c r="I4849">
        <v>0</v>
      </c>
      <c r="J4849">
        <v>0</v>
      </c>
      <c r="K4849">
        <v>0</v>
      </c>
    </row>
    <row r="4850" spans="1:11" x14ac:dyDescent="0.2">
      <c r="A4850" t="s">
        <v>1928</v>
      </c>
      <c r="B4850">
        <v>0</v>
      </c>
      <c r="C4850">
        <v>0</v>
      </c>
      <c r="D4850">
        <v>0</v>
      </c>
      <c r="E4850">
        <v>0</v>
      </c>
      <c r="F4850">
        <v>0</v>
      </c>
      <c r="G4850">
        <v>0</v>
      </c>
      <c r="H4850">
        <v>0</v>
      </c>
      <c r="I4850">
        <v>0</v>
      </c>
      <c r="J4850">
        <v>0</v>
      </c>
      <c r="K4850">
        <v>0</v>
      </c>
    </row>
    <row r="4851" spans="1:11" x14ac:dyDescent="0.2">
      <c r="A4851" t="s">
        <v>1932</v>
      </c>
      <c r="B4851">
        <v>0</v>
      </c>
      <c r="C4851">
        <v>0</v>
      </c>
      <c r="D4851">
        <v>0</v>
      </c>
      <c r="E4851">
        <v>0</v>
      </c>
      <c r="F4851">
        <v>0</v>
      </c>
      <c r="G4851">
        <v>0</v>
      </c>
      <c r="H4851">
        <v>0</v>
      </c>
      <c r="I4851">
        <v>0</v>
      </c>
      <c r="J4851">
        <v>0</v>
      </c>
      <c r="K4851">
        <v>0</v>
      </c>
    </row>
    <row r="4852" spans="1:11" x14ac:dyDescent="0.2">
      <c r="A4852" t="s">
        <v>1938</v>
      </c>
      <c r="B4852">
        <v>0</v>
      </c>
      <c r="C4852">
        <v>0</v>
      </c>
      <c r="D4852">
        <v>0</v>
      </c>
      <c r="E4852">
        <v>0</v>
      </c>
      <c r="F4852">
        <v>0</v>
      </c>
      <c r="G4852">
        <v>0</v>
      </c>
      <c r="H4852">
        <v>0</v>
      </c>
      <c r="I4852">
        <v>0</v>
      </c>
      <c r="J4852">
        <v>0</v>
      </c>
      <c r="K4852">
        <v>0</v>
      </c>
    </row>
    <row r="4853" spans="1:11" x14ac:dyDescent="0.2">
      <c r="A4853" t="s">
        <v>1944</v>
      </c>
      <c r="B4853">
        <v>6</v>
      </c>
      <c r="C4853">
        <v>0</v>
      </c>
      <c r="D4853">
        <v>81</v>
      </c>
      <c r="E4853">
        <v>0</v>
      </c>
      <c r="F4853">
        <v>0</v>
      </c>
      <c r="G4853">
        <v>0</v>
      </c>
      <c r="H4853">
        <v>0</v>
      </c>
      <c r="I4853">
        <v>0</v>
      </c>
      <c r="J4853">
        <v>0</v>
      </c>
      <c r="K4853">
        <v>0</v>
      </c>
    </row>
    <row r="4854" spans="1:11" x14ac:dyDescent="0.2">
      <c r="A4854" t="s">
        <v>1947</v>
      </c>
      <c r="B4854">
        <v>0</v>
      </c>
      <c r="C4854">
        <v>0</v>
      </c>
      <c r="D4854">
        <v>0</v>
      </c>
      <c r="E4854">
        <v>0</v>
      </c>
      <c r="F4854">
        <v>0</v>
      </c>
      <c r="G4854">
        <v>0</v>
      </c>
      <c r="H4854">
        <v>0</v>
      </c>
      <c r="I4854">
        <v>0</v>
      </c>
      <c r="J4854">
        <v>0</v>
      </c>
      <c r="K4854">
        <v>0</v>
      </c>
    </row>
    <row r="4855" spans="1:11" x14ac:dyDescent="0.2">
      <c r="A4855" t="s">
        <v>1953</v>
      </c>
      <c r="B4855">
        <v>1</v>
      </c>
      <c r="C4855">
        <v>0</v>
      </c>
      <c r="D4855">
        <v>0</v>
      </c>
      <c r="E4855">
        <v>0</v>
      </c>
      <c r="F4855">
        <v>0</v>
      </c>
      <c r="G4855">
        <v>0</v>
      </c>
      <c r="H4855">
        <v>0</v>
      </c>
      <c r="I4855">
        <v>0</v>
      </c>
      <c r="J4855">
        <v>0</v>
      </c>
      <c r="K4855">
        <v>0</v>
      </c>
    </row>
    <row r="4856" spans="1:11" x14ac:dyDescent="0.2">
      <c r="A4856" t="s">
        <v>1958</v>
      </c>
      <c r="B4856">
        <v>0</v>
      </c>
      <c r="C4856">
        <v>0</v>
      </c>
      <c r="D4856">
        <v>0</v>
      </c>
      <c r="E4856">
        <v>0</v>
      </c>
      <c r="F4856">
        <v>0</v>
      </c>
      <c r="G4856">
        <v>0</v>
      </c>
      <c r="H4856">
        <v>0</v>
      </c>
      <c r="I4856">
        <v>0</v>
      </c>
      <c r="J4856">
        <v>0</v>
      </c>
      <c r="K4856">
        <v>0</v>
      </c>
    </row>
    <row r="4857" spans="1:11" x14ac:dyDescent="0.2">
      <c r="A4857" t="s">
        <v>1964</v>
      </c>
      <c r="B4857">
        <v>0</v>
      </c>
      <c r="C4857">
        <v>0</v>
      </c>
      <c r="D4857">
        <v>0</v>
      </c>
      <c r="E4857">
        <v>0</v>
      </c>
      <c r="F4857">
        <v>0</v>
      </c>
      <c r="G4857">
        <v>0</v>
      </c>
      <c r="H4857">
        <v>0</v>
      </c>
      <c r="I4857">
        <v>0</v>
      </c>
      <c r="J4857">
        <v>0</v>
      </c>
      <c r="K4857">
        <v>0</v>
      </c>
    </row>
    <row r="4858" spans="1:11" x14ac:dyDescent="0.2">
      <c r="A4858" t="s">
        <v>1973</v>
      </c>
      <c r="B4858">
        <v>0</v>
      </c>
      <c r="C4858">
        <v>0</v>
      </c>
      <c r="D4858">
        <v>0</v>
      </c>
      <c r="E4858">
        <v>0</v>
      </c>
      <c r="F4858">
        <v>0</v>
      </c>
      <c r="G4858">
        <v>0</v>
      </c>
      <c r="H4858">
        <v>0</v>
      </c>
      <c r="I4858">
        <v>0</v>
      </c>
      <c r="J4858">
        <v>0</v>
      </c>
      <c r="K4858">
        <v>0</v>
      </c>
    </row>
    <row r="4859" spans="1:11" x14ac:dyDescent="0.2">
      <c r="A4859" t="s">
        <v>1978</v>
      </c>
      <c r="B4859">
        <v>0</v>
      </c>
      <c r="C4859">
        <v>0</v>
      </c>
      <c r="D4859">
        <v>0</v>
      </c>
      <c r="E4859">
        <v>0</v>
      </c>
      <c r="F4859">
        <v>0</v>
      </c>
      <c r="G4859">
        <v>0</v>
      </c>
      <c r="H4859">
        <v>0</v>
      </c>
      <c r="I4859">
        <v>0</v>
      </c>
      <c r="J4859">
        <v>0</v>
      </c>
      <c r="K4859">
        <v>0</v>
      </c>
    </row>
    <row r="4860" spans="1:11" x14ac:dyDescent="0.2">
      <c r="A4860" t="s">
        <v>1983</v>
      </c>
      <c r="B4860">
        <v>0</v>
      </c>
      <c r="C4860">
        <v>0</v>
      </c>
      <c r="D4860">
        <v>0</v>
      </c>
      <c r="E4860">
        <v>0</v>
      </c>
      <c r="F4860">
        <v>0</v>
      </c>
      <c r="G4860">
        <v>0</v>
      </c>
      <c r="H4860">
        <v>0</v>
      </c>
      <c r="I4860">
        <v>0</v>
      </c>
      <c r="J4860">
        <v>0</v>
      </c>
      <c r="K4860">
        <v>0</v>
      </c>
    </row>
    <row r="4861" spans="1:11" x14ac:dyDescent="0.2">
      <c r="A4861" t="s">
        <v>1984</v>
      </c>
      <c r="B4861">
        <v>0</v>
      </c>
      <c r="C4861">
        <v>0</v>
      </c>
      <c r="D4861">
        <v>0</v>
      </c>
      <c r="E4861">
        <v>0</v>
      </c>
      <c r="F4861">
        <v>0</v>
      </c>
      <c r="G4861">
        <v>0</v>
      </c>
      <c r="H4861">
        <v>0</v>
      </c>
      <c r="I4861">
        <v>0</v>
      </c>
      <c r="J4861">
        <v>0</v>
      </c>
      <c r="K4861">
        <v>0</v>
      </c>
    </row>
    <row r="4862" spans="1:11" x14ac:dyDescent="0.2">
      <c r="A4862" t="s">
        <v>1990</v>
      </c>
      <c r="B4862">
        <v>0</v>
      </c>
      <c r="C4862">
        <v>0</v>
      </c>
      <c r="D4862">
        <v>0</v>
      </c>
      <c r="E4862">
        <v>0</v>
      </c>
      <c r="F4862">
        <v>0</v>
      </c>
      <c r="G4862">
        <v>0</v>
      </c>
      <c r="H4862">
        <v>0</v>
      </c>
      <c r="I4862">
        <v>0</v>
      </c>
      <c r="J4862">
        <v>0</v>
      </c>
      <c r="K4862">
        <v>0</v>
      </c>
    </row>
    <row r="4863" spans="1:11" x14ac:dyDescent="0.2">
      <c r="A4863" t="s">
        <v>1996</v>
      </c>
      <c r="B4863">
        <v>0</v>
      </c>
      <c r="C4863">
        <v>0</v>
      </c>
      <c r="D4863">
        <v>0</v>
      </c>
      <c r="E4863">
        <v>0</v>
      </c>
      <c r="F4863">
        <v>0</v>
      </c>
      <c r="G4863">
        <v>0</v>
      </c>
      <c r="H4863">
        <v>0</v>
      </c>
      <c r="I4863">
        <v>0</v>
      </c>
      <c r="J4863">
        <v>0</v>
      </c>
      <c r="K4863">
        <v>0</v>
      </c>
    </row>
    <row r="4864" spans="1:11" x14ac:dyDescent="0.2">
      <c r="A4864" t="s">
        <v>1998</v>
      </c>
      <c r="B4864">
        <v>0</v>
      </c>
      <c r="C4864">
        <v>0</v>
      </c>
      <c r="D4864">
        <v>0</v>
      </c>
      <c r="E4864">
        <v>0</v>
      </c>
      <c r="F4864">
        <v>0</v>
      </c>
      <c r="G4864">
        <v>0</v>
      </c>
      <c r="H4864">
        <v>0</v>
      </c>
      <c r="I4864">
        <v>0</v>
      </c>
      <c r="J4864">
        <v>0</v>
      </c>
      <c r="K4864">
        <v>0</v>
      </c>
    </row>
    <row r="4865" spans="1:11" x14ac:dyDescent="0.2">
      <c r="A4865" t="s">
        <v>1999</v>
      </c>
      <c r="B4865">
        <v>0</v>
      </c>
      <c r="C4865">
        <v>0</v>
      </c>
      <c r="D4865">
        <v>0</v>
      </c>
      <c r="E4865">
        <v>0</v>
      </c>
      <c r="F4865">
        <v>0</v>
      </c>
      <c r="G4865">
        <v>0</v>
      </c>
      <c r="H4865">
        <v>0</v>
      </c>
      <c r="I4865">
        <v>0</v>
      </c>
      <c r="J4865">
        <v>0</v>
      </c>
      <c r="K4865">
        <v>0</v>
      </c>
    </row>
    <row r="4866" spans="1:11" x14ac:dyDescent="0.2">
      <c r="A4866" t="s">
        <v>2004</v>
      </c>
      <c r="B4866">
        <v>0</v>
      </c>
      <c r="C4866">
        <v>0</v>
      </c>
      <c r="D4866">
        <v>0</v>
      </c>
      <c r="E4866">
        <v>0</v>
      </c>
      <c r="F4866">
        <v>0</v>
      </c>
      <c r="G4866">
        <v>0</v>
      </c>
      <c r="H4866">
        <v>0</v>
      </c>
      <c r="I4866">
        <v>0</v>
      </c>
      <c r="J4866">
        <v>0</v>
      </c>
      <c r="K4866">
        <v>0</v>
      </c>
    </row>
    <row r="4867" spans="1:11" x14ac:dyDescent="0.2">
      <c r="A4867" t="s">
        <v>2009</v>
      </c>
      <c r="B4867">
        <v>0</v>
      </c>
      <c r="C4867">
        <v>0</v>
      </c>
      <c r="D4867">
        <v>0</v>
      </c>
      <c r="E4867">
        <v>0</v>
      </c>
      <c r="F4867">
        <v>0</v>
      </c>
      <c r="G4867">
        <v>0</v>
      </c>
      <c r="H4867">
        <v>0</v>
      </c>
      <c r="I4867">
        <v>0</v>
      </c>
      <c r="J4867">
        <v>0</v>
      </c>
      <c r="K4867">
        <v>0</v>
      </c>
    </row>
    <row r="4868" spans="1:11" x14ac:dyDescent="0.2">
      <c r="A4868" t="s">
        <v>2014</v>
      </c>
      <c r="B4868">
        <v>0</v>
      </c>
      <c r="C4868">
        <v>0</v>
      </c>
      <c r="D4868">
        <v>0</v>
      </c>
      <c r="E4868">
        <v>0</v>
      </c>
      <c r="F4868">
        <v>0</v>
      </c>
      <c r="G4868">
        <v>0</v>
      </c>
      <c r="H4868">
        <v>0</v>
      </c>
      <c r="I4868">
        <v>0</v>
      </c>
      <c r="J4868">
        <v>0</v>
      </c>
      <c r="K4868">
        <v>0</v>
      </c>
    </row>
    <row r="4869" spans="1:11" x14ac:dyDescent="0.2">
      <c r="A4869" t="s">
        <v>2019</v>
      </c>
      <c r="B4869">
        <v>0</v>
      </c>
      <c r="C4869">
        <v>0</v>
      </c>
      <c r="D4869">
        <v>0</v>
      </c>
      <c r="E4869">
        <v>0</v>
      </c>
      <c r="F4869">
        <v>0</v>
      </c>
      <c r="G4869">
        <v>0</v>
      </c>
      <c r="H4869">
        <v>0</v>
      </c>
      <c r="I4869">
        <v>0</v>
      </c>
      <c r="J4869">
        <v>0</v>
      </c>
      <c r="K4869">
        <v>0</v>
      </c>
    </row>
    <row r="4870" spans="1:11" x14ac:dyDescent="0.2">
      <c r="A4870" t="s">
        <v>2023</v>
      </c>
      <c r="B4870">
        <v>0</v>
      </c>
      <c r="C4870">
        <v>0</v>
      </c>
      <c r="D4870">
        <v>0</v>
      </c>
      <c r="E4870">
        <v>0</v>
      </c>
      <c r="F4870">
        <v>0</v>
      </c>
      <c r="G4870">
        <v>0</v>
      </c>
      <c r="H4870">
        <v>0</v>
      </c>
      <c r="I4870">
        <v>0</v>
      </c>
      <c r="J4870">
        <v>0</v>
      </c>
      <c r="K4870">
        <v>0</v>
      </c>
    </row>
    <row r="4871" spans="1:11" x14ac:dyDescent="0.2">
      <c r="A4871" t="s">
        <v>2026</v>
      </c>
      <c r="B4871">
        <v>0</v>
      </c>
      <c r="C4871">
        <v>0</v>
      </c>
      <c r="D4871">
        <v>0</v>
      </c>
      <c r="E4871">
        <v>0</v>
      </c>
      <c r="F4871">
        <v>0</v>
      </c>
      <c r="G4871">
        <v>0</v>
      </c>
      <c r="H4871">
        <v>0</v>
      </c>
      <c r="I4871">
        <v>0</v>
      </c>
      <c r="J4871">
        <v>0</v>
      </c>
      <c r="K4871">
        <v>0</v>
      </c>
    </row>
    <row r="4872" spans="1:11" x14ac:dyDescent="0.2">
      <c r="A4872" t="s">
        <v>2030</v>
      </c>
      <c r="B4872">
        <v>0</v>
      </c>
      <c r="C4872">
        <v>0</v>
      </c>
      <c r="D4872">
        <v>0</v>
      </c>
      <c r="E4872">
        <v>0</v>
      </c>
      <c r="F4872">
        <v>0</v>
      </c>
      <c r="G4872">
        <v>0</v>
      </c>
      <c r="H4872">
        <v>0</v>
      </c>
      <c r="I4872">
        <v>0</v>
      </c>
      <c r="J4872">
        <v>0</v>
      </c>
      <c r="K4872">
        <v>0</v>
      </c>
    </row>
    <row r="4873" spans="1:11" x14ac:dyDescent="0.2">
      <c r="A4873" t="s">
        <v>2035</v>
      </c>
      <c r="B4873">
        <v>0</v>
      </c>
      <c r="C4873">
        <v>0</v>
      </c>
      <c r="D4873">
        <v>0</v>
      </c>
      <c r="E4873">
        <v>0</v>
      </c>
      <c r="F4873">
        <v>0</v>
      </c>
      <c r="G4873">
        <v>0</v>
      </c>
      <c r="H4873">
        <v>0</v>
      </c>
      <c r="I4873">
        <v>0</v>
      </c>
      <c r="J4873">
        <v>0</v>
      </c>
      <c r="K4873">
        <v>0</v>
      </c>
    </row>
    <row r="4874" spans="1:11" x14ac:dyDescent="0.2">
      <c r="A4874" t="s">
        <v>2040</v>
      </c>
      <c r="B4874">
        <v>0</v>
      </c>
      <c r="C4874">
        <v>0</v>
      </c>
      <c r="D4874">
        <v>0</v>
      </c>
      <c r="E4874">
        <v>0</v>
      </c>
      <c r="F4874">
        <v>0</v>
      </c>
      <c r="G4874">
        <v>0</v>
      </c>
      <c r="H4874">
        <v>0</v>
      </c>
      <c r="I4874">
        <v>0</v>
      </c>
      <c r="J4874">
        <v>0</v>
      </c>
      <c r="K4874">
        <v>0</v>
      </c>
    </row>
    <row r="4875" spans="1:11" x14ac:dyDescent="0.2">
      <c r="A4875" t="s">
        <v>2045</v>
      </c>
      <c r="B4875">
        <v>0</v>
      </c>
      <c r="C4875">
        <v>0</v>
      </c>
      <c r="D4875">
        <v>0</v>
      </c>
      <c r="E4875">
        <v>0</v>
      </c>
      <c r="F4875">
        <v>0</v>
      </c>
      <c r="G4875">
        <v>0</v>
      </c>
      <c r="H4875">
        <v>0</v>
      </c>
      <c r="I4875">
        <v>0</v>
      </c>
      <c r="J4875">
        <v>0</v>
      </c>
      <c r="K4875">
        <v>0</v>
      </c>
    </row>
    <row r="4876" spans="1:11" x14ac:dyDescent="0.2">
      <c r="A4876" t="s">
        <v>2049</v>
      </c>
      <c r="B4876">
        <v>0</v>
      </c>
      <c r="C4876">
        <v>0</v>
      </c>
      <c r="D4876">
        <v>0</v>
      </c>
      <c r="E4876">
        <v>0</v>
      </c>
      <c r="F4876">
        <v>0</v>
      </c>
      <c r="G4876">
        <v>0</v>
      </c>
      <c r="H4876">
        <v>0</v>
      </c>
      <c r="I4876">
        <v>0</v>
      </c>
      <c r="J4876">
        <v>0</v>
      </c>
      <c r="K4876">
        <v>0</v>
      </c>
    </row>
    <row r="4877" spans="1:11" x14ac:dyDescent="0.2">
      <c r="A4877" t="s">
        <v>2051</v>
      </c>
      <c r="B4877">
        <v>0</v>
      </c>
      <c r="C4877">
        <v>0</v>
      </c>
      <c r="D4877">
        <v>0</v>
      </c>
      <c r="E4877">
        <v>0</v>
      </c>
      <c r="F4877">
        <v>0</v>
      </c>
      <c r="G4877">
        <v>0</v>
      </c>
      <c r="H4877">
        <v>0</v>
      </c>
      <c r="I4877">
        <v>0</v>
      </c>
      <c r="J4877">
        <v>0</v>
      </c>
      <c r="K4877">
        <v>0</v>
      </c>
    </row>
    <row r="4878" spans="1:11" x14ac:dyDescent="0.2">
      <c r="A4878" t="s">
        <v>2057</v>
      </c>
      <c r="B4878">
        <v>0</v>
      </c>
      <c r="C4878">
        <v>0</v>
      </c>
      <c r="D4878">
        <v>0</v>
      </c>
      <c r="E4878">
        <v>0</v>
      </c>
      <c r="F4878">
        <v>0</v>
      </c>
      <c r="G4878">
        <v>0</v>
      </c>
      <c r="H4878">
        <v>0</v>
      </c>
      <c r="I4878">
        <v>0</v>
      </c>
      <c r="J4878">
        <v>0</v>
      </c>
      <c r="K4878">
        <v>0</v>
      </c>
    </row>
    <row r="4879" spans="1:11" x14ac:dyDescent="0.2">
      <c r="A4879" t="s">
        <v>4344</v>
      </c>
      <c r="B4879">
        <v>0</v>
      </c>
      <c r="C4879">
        <v>0</v>
      </c>
      <c r="D4879">
        <v>0</v>
      </c>
      <c r="E4879">
        <v>0</v>
      </c>
      <c r="F4879">
        <v>0</v>
      </c>
      <c r="G4879">
        <v>0</v>
      </c>
      <c r="H4879">
        <v>0</v>
      </c>
      <c r="I4879">
        <v>0</v>
      </c>
      <c r="J4879">
        <v>0</v>
      </c>
      <c r="K4879">
        <v>0</v>
      </c>
    </row>
    <row r="4880" spans="1:11" x14ac:dyDescent="0.2">
      <c r="A4880" t="s">
        <v>4345</v>
      </c>
      <c r="B4880">
        <v>0</v>
      </c>
      <c r="C4880">
        <v>0</v>
      </c>
      <c r="D4880">
        <v>0</v>
      </c>
      <c r="E4880">
        <v>0</v>
      </c>
      <c r="F4880">
        <v>0</v>
      </c>
      <c r="G4880">
        <v>0</v>
      </c>
      <c r="H4880">
        <v>0</v>
      </c>
      <c r="I4880">
        <v>0</v>
      </c>
      <c r="J4880">
        <v>0</v>
      </c>
      <c r="K4880">
        <v>0</v>
      </c>
    </row>
    <row r="4881" spans="1:11" x14ac:dyDescent="0.2">
      <c r="A4881" t="s">
        <v>2074</v>
      </c>
      <c r="B4881">
        <v>0</v>
      </c>
      <c r="C4881">
        <v>0</v>
      </c>
      <c r="D4881">
        <v>0</v>
      </c>
      <c r="E4881">
        <v>0</v>
      </c>
      <c r="F4881">
        <v>0</v>
      </c>
      <c r="G4881">
        <v>0</v>
      </c>
      <c r="H4881">
        <v>0</v>
      </c>
      <c r="I4881">
        <v>0</v>
      </c>
      <c r="J4881">
        <v>0</v>
      </c>
      <c r="K4881">
        <v>0</v>
      </c>
    </row>
    <row r="4882" spans="1:11" x14ac:dyDescent="0.2">
      <c r="A4882" t="s">
        <v>2079</v>
      </c>
      <c r="B4882">
        <v>0</v>
      </c>
      <c r="C4882">
        <v>0</v>
      </c>
      <c r="D4882">
        <v>0</v>
      </c>
      <c r="E4882">
        <v>0</v>
      </c>
      <c r="F4882">
        <v>0</v>
      </c>
      <c r="G4882">
        <v>0</v>
      </c>
      <c r="H4882">
        <v>0</v>
      </c>
      <c r="I4882">
        <v>0</v>
      </c>
      <c r="J4882">
        <v>0</v>
      </c>
      <c r="K4882">
        <v>0</v>
      </c>
    </row>
    <row r="4883" spans="1:11" x14ac:dyDescent="0.2">
      <c r="A4883" t="s">
        <v>2085</v>
      </c>
      <c r="B4883">
        <v>0</v>
      </c>
      <c r="C4883">
        <v>0</v>
      </c>
      <c r="D4883">
        <v>0</v>
      </c>
      <c r="E4883">
        <v>0</v>
      </c>
      <c r="F4883">
        <v>0</v>
      </c>
      <c r="G4883">
        <v>0</v>
      </c>
      <c r="H4883">
        <v>0</v>
      </c>
      <c r="I4883">
        <v>0</v>
      </c>
      <c r="J4883">
        <v>0</v>
      </c>
      <c r="K4883">
        <v>0</v>
      </c>
    </row>
    <row r="4884" spans="1:11" x14ac:dyDescent="0.2">
      <c r="A4884" t="s">
        <v>2091</v>
      </c>
      <c r="B4884">
        <v>0</v>
      </c>
      <c r="C4884">
        <v>0</v>
      </c>
      <c r="D4884">
        <v>0</v>
      </c>
      <c r="E4884">
        <v>0</v>
      </c>
      <c r="F4884">
        <v>0</v>
      </c>
      <c r="G4884">
        <v>0</v>
      </c>
      <c r="H4884">
        <v>0</v>
      </c>
      <c r="I4884">
        <v>0</v>
      </c>
      <c r="J4884">
        <v>0</v>
      </c>
      <c r="K4884">
        <v>0</v>
      </c>
    </row>
    <row r="4885" spans="1:11" x14ac:dyDescent="0.2">
      <c r="A4885" t="s">
        <v>2097</v>
      </c>
      <c r="B4885">
        <v>0</v>
      </c>
      <c r="C4885">
        <v>0</v>
      </c>
      <c r="D4885">
        <v>0</v>
      </c>
      <c r="E4885">
        <v>0</v>
      </c>
      <c r="F4885">
        <v>0</v>
      </c>
      <c r="G4885">
        <v>0</v>
      </c>
      <c r="H4885">
        <v>0</v>
      </c>
      <c r="I4885">
        <v>0</v>
      </c>
      <c r="J4885">
        <v>0</v>
      </c>
      <c r="K4885">
        <v>0</v>
      </c>
    </row>
    <row r="4886" spans="1:11" x14ac:dyDescent="0.2">
      <c r="A4886" t="s">
        <v>2101</v>
      </c>
      <c r="B4886">
        <v>0</v>
      </c>
      <c r="C4886">
        <v>0</v>
      </c>
      <c r="D4886">
        <v>0</v>
      </c>
      <c r="E4886">
        <v>0</v>
      </c>
      <c r="F4886">
        <v>0</v>
      </c>
      <c r="G4886">
        <v>0</v>
      </c>
      <c r="H4886">
        <v>0</v>
      </c>
      <c r="I4886">
        <v>0</v>
      </c>
      <c r="J4886">
        <v>0</v>
      </c>
      <c r="K4886">
        <v>0</v>
      </c>
    </row>
    <row r="4887" spans="1:11" x14ac:dyDescent="0.2">
      <c r="A4887" t="s">
        <v>2104</v>
      </c>
      <c r="B4887">
        <v>0</v>
      </c>
      <c r="C4887">
        <v>0</v>
      </c>
      <c r="D4887">
        <v>0</v>
      </c>
      <c r="E4887">
        <v>0</v>
      </c>
      <c r="F4887">
        <v>0</v>
      </c>
      <c r="G4887">
        <v>0</v>
      </c>
      <c r="H4887">
        <v>0</v>
      </c>
      <c r="I4887">
        <v>0</v>
      </c>
      <c r="J4887">
        <v>0</v>
      </c>
      <c r="K4887">
        <v>0</v>
      </c>
    </row>
    <row r="4888" spans="1:11" x14ac:dyDescent="0.2">
      <c r="A4888" t="s">
        <v>2107</v>
      </c>
      <c r="B4888">
        <v>0</v>
      </c>
      <c r="C4888">
        <v>0</v>
      </c>
      <c r="D4888">
        <v>0</v>
      </c>
      <c r="E4888">
        <v>0</v>
      </c>
      <c r="F4888">
        <v>0</v>
      </c>
      <c r="G4888">
        <v>0</v>
      </c>
      <c r="H4888">
        <v>0</v>
      </c>
      <c r="I4888">
        <v>0</v>
      </c>
      <c r="J4888">
        <v>0</v>
      </c>
      <c r="K4888">
        <v>0</v>
      </c>
    </row>
    <row r="4889" spans="1:11" x14ac:dyDescent="0.2">
      <c r="A4889" t="s">
        <v>2110</v>
      </c>
      <c r="B4889">
        <v>0</v>
      </c>
      <c r="C4889">
        <v>0</v>
      </c>
      <c r="D4889">
        <v>0</v>
      </c>
      <c r="E4889">
        <v>0</v>
      </c>
      <c r="F4889">
        <v>0</v>
      </c>
      <c r="G4889">
        <v>0</v>
      </c>
      <c r="H4889">
        <v>0</v>
      </c>
      <c r="I4889">
        <v>0</v>
      </c>
      <c r="J4889">
        <v>0</v>
      </c>
      <c r="K4889">
        <v>0</v>
      </c>
    </row>
    <row r="4890" spans="1:11" x14ac:dyDescent="0.2">
      <c r="A4890" t="s">
        <v>2113</v>
      </c>
      <c r="B4890">
        <v>0</v>
      </c>
      <c r="C4890">
        <v>0</v>
      </c>
      <c r="D4890">
        <v>0</v>
      </c>
      <c r="E4890">
        <v>0</v>
      </c>
      <c r="F4890">
        <v>0</v>
      </c>
      <c r="G4890">
        <v>0</v>
      </c>
      <c r="H4890">
        <v>0</v>
      </c>
      <c r="I4890">
        <v>0</v>
      </c>
      <c r="J4890">
        <v>0</v>
      </c>
      <c r="K4890">
        <v>0</v>
      </c>
    </row>
    <row r="4891" spans="1:11" x14ac:dyDescent="0.2">
      <c r="A4891" t="s">
        <v>4346</v>
      </c>
      <c r="B4891">
        <v>0</v>
      </c>
      <c r="C4891">
        <v>0</v>
      </c>
      <c r="D4891">
        <v>0</v>
      </c>
      <c r="E4891">
        <v>0</v>
      </c>
      <c r="F4891">
        <v>0</v>
      </c>
      <c r="G4891">
        <v>0</v>
      </c>
      <c r="H4891">
        <v>0</v>
      </c>
      <c r="I4891">
        <v>0</v>
      </c>
      <c r="J4891">
        <v>0</v>
      </c>
      <c r="K4891">
        <v>0</v>
      </c>
    </row>
    <row r="4892" spans="1:11" x14ac:dyDescent="0.2">
      <c r="A4892" t="s">
        <v>4347</v>
      </c>
      <c r="B4892">
        <v>993</v>
      </c>
      <c r="C4892">
        <v>0</v>
      </c>
      <c r="D4892">
        <v>0</v>
      </c>
      <c r="E4892">
        <v>0</v>
      </c>
      <c r="F4892">
        <v>0</v>
      </c>
      <c r="G4892">
        <v>0</v>
      </c>
      <c r="H4892">
        <v>0</v>
      </c>
      <c r="I4892">
        <v>0</v>
      </c>
      <c r="J4892">
        <v>0</v>
      </c>
      <c r="K4892">
        <v>0</v>
      </c>
    </row>
    <row r="4893" spans="1:11" x14ac:dyDescent="0.2">
      <c r="A4893" t="s">
        <v>4348</v>
      </c>
      <c r="B4893">
        <v>0</v>
      </c>
      <c r="C4893">
        <v>0</v>
      </c>
      <c r="D4893">
        <v>0</v>
      </c>
      <c r="E4893">
        <v>0</v>
      </c>
      <c r="F4893">
        <v>0</v>
      </c>
      <c r="G4893">
        <v>0</v>
      </c>
      <c r="H4893">
        <v>0</v>
      </c>
      <c r="I4893">
        <v>0</v>
      </c>
      <c r="J4893">
        <v>0</v>
      </c>
      <c r="K4893">
        <v>0</v>
      </c>
    </row>
    <row r="4894" spans="1:11" x14ac:dyDescent="0.2">
      <c r="A4894" t="s">
        <v>4349</v>
      </c>
      <c r="B4894">
        <v>0</v>
      </c>
      <c r="C4894">
        <v>0</v>
      </c>
      <c r="D4894">
        <v>0</v>
      </c>
      <c r="E4894">
        <v>0</v>
      </c>
      <c r="F4894">
        <v>0</v>
      </c>
      <c r="G4894">
        <v>0</v>
      </c>
      <c r="H4894">
        <v>0</v>
      </c>
      <c r="I4894">
        <v>0</v>
      </c>
      <c r="J4894">
        <v>0</v>
      </c>
      <c r="K4894">
        <v>0</v>
      </c>
    </row>
    <row r="4895" spans="1:11" x14ac:dyDescent="0.2">
      <c r="A4895" t="s">
        <v>4350</v>
      </c>
      <c r="B4895">
        <v>115</v>
      </c>
      <c r="C4895">
        <v>0</v>
      </c>
      <c r="D4895">
        <v>18420</v>
      </c>
      <c r="E4895">
        <v>0</v>
      </c>
      <c r="F4895">
        <v>33837</v>
      </c>
      <c r="G4895">
        <v>1749</v>
      </c>
      <c r="H4895">
        <v>13</v>
      </c>
      <c r="I4895">
        <v>1</v>
      </c>
      <c r="J4895">
        <v>533</v>
      </c>
      <c r="K4895">
        <v>28</v>
      </c>
    </row>
    <row r="4896" spans="1:11" x14ac:dyDescent="0.2">
      <c r="A4896" t="s">
        <v>4351</v>
      </c>
      <c r="B4896">
        <v>0</v>
      </c>
      <c r="C4896">
        <v>0</v>
      </c>
      <c r="D4896">
        <v>1</v>
      </c>
      <c r="E4896">
        <v>0</v>
      </c>
      <c r="F4896">
        <v>0</v>
      </c>
      <c r="G4896">
        <v>0</v>
      </c>
      <c r="H4896">
        <v>0</v>
      </c>
      <c r="I4896">
        <v>0</v>
      </c>
      <c r="J4896">
        <v>0</v>
      </c>
      <c r="K4896">
        <v>0</v>
      </c>
    </row>
    <row r="4897" spans="1:11" x14ac:dyDescent="0.2">
      <c r="A4897" t="s">
        <v>4352</v>
      </c>
      <c r="B4897">
        <v>0</v>
      </c>
      <c r="C4897">
        <v>0</v>
      </c>
      <c r="D4897">
        <v>0</v>
      </c>
      <c r="E4897">
        <v>0</v>
      </c>
      <c r="F4897">
        <v>0</v>
      </c>
      <c r="G4897">
        <v>0</v>
      </c>
      <c r="H4897">
        <v>0</v>
      </c>
      <c r="I4897">
        <v>0</v>
      </c>
      <c r="J4897">
        <v>0</v>
      </c>
      <c r="K4897">
        <v>0</v>
      </c>
    </row>
    <row r="4898" spans="1:11" x14ac:dyDescent="0.2">
      <c r="A4898" t="s">
        <v>4353</v>
      </c>
      <c r="B4898">
        <v>414</v>
      </c>
      <c r="C4898">
        <v>0</v>
      </c>
      <c r="D4898">
        <v>104</v>
      </c>
      <c r="E4898">
        <v>0</v>
      </c>
      <c r="F4898">
        <v>25</v>
      </c>
      <c r="G4898">
        <v>1</v>
      </c>
      <c r="H4898">
        <v>0</v>
      </c>
      <c r="I4898">
        <v>0</v>
      </c>
      <c r="J4898">
        <v>0</v>
      </c>
      <c r="K4898">
        <v>0</v>
      </c>
    </row>
    <row r="4899" spans="1:11" x14ac:dyDescent="0.2">
      <c r="A4899" t="s">
        <v>4354</v>
      </c>
      <c r="B4899">
        <v>237</v>
      </c>
      <c r="C4899">
        <v>0</v>
      </c>
      <c r="D4899">
        <v>1</v>
      </c>
      <c r="E4899">
        <v>0</v>
      </c>
      <c r="F4899">
        <v>0</v>
      </c>
      <c r="G4899">
        <v>0</v>
      </c>
      <c r="H4899">
        <v>0</v>
      </c>
      <c r="I4899">
        <v>0</v>
      </c>
      <c r="J4899">
        <v>0</v>
      </c>
      <c r="K4899">
        <v>0</v>
      </c>
    </row>
    <row r="4900" spans="1:11" x14ac:dyDescent="0.2">
      <c r="A4900" t="s">
        <v>4355</v>
      </c>
      <c r="B4900">
        <v>0</v>
      </c>
      <c r="C4900">
        <v>0</v>
      </c>
      <c r="D4900">
        <v>0</v>
      </c>
      <c r="E4900">
        <v>0</v>
      </c>
      <c r="F4900">
        <v>0</v>
      </c>
      <c r="G4900">
        <v>0</v>
      </c>
      <c r="H4900">
        <v>0</v>
      </c>
      <c r="I4900">
        <v>0</v>
      </c>
      <c r="J4900">
        <v>0</v>
      </c>
      <c r="K4900">
        <v>0</v>
      </c>
    </row>
    <row r="4901" spans="1:11" x14ac:dyDescent="0.2">
      <c r="A4901" t="s">
        <v>4356</v>
      </c>
      <c r="B4901">
        <v>0</v>
      </c>
      <c r="C4901">
        <v>0</v>
      </c>
      <c r="D4901">
        <v>0</v>
      </c>
      <c r="E4901">
        <v>0</v>
      </c>
      <c r="F4901">
        <v>0</v>
      </c>
      <c r="G4901">
        <v>0</v>
      </c>
      <c r="H4901">
        <v>0</v>
      </c>
      <c r="I4901">
        <v>0</v>
      </c>
      <c r="J4901">
        <v>0</v>
      </c>
      <c r="K4901">
        <v>0</v>
      </c>
    </row>
    <row r="4902" spans="1:11" x14ac:dyDescent="0.2">
      <c r="A4902" t="s">
        <v>4357</v>
      </c>
      <c r="B4902">
        <v>25</v>
      </c>
      <c r="C4902">
        <v>0</v>
      </c>
      <c r="D4902">
        <v>4677</v>
      </c>
      <c r="E4902">
        <v>0</v>
      </c>
      <c r="F4902">
        <v>7853</v>
      </c>
      <c r="G4902">
        <v>406</v>
      </c>
      <c r="H4902">
        <v>0</v>
      </c>
      <c r="I4902">
        <v>0</v>
      </c>
      <c r="J4902">
        <v>3</v>
      </c>
      <c r="K4902">
        <v>0</v>
      </c>
    </row>
    <row r="4903" spans="1:11" x14ac:dyDescent="0.2">
      <c r="A4903" t="s">
        <v>4358</v>
      </c>
      <c r="B4903">
        <v>4</v>
      </c>
      <c r="C4903">
        <v>0</v>
      </c>
      <c r="D4903">
        <v>1948</v>
      </c>
      <c r="E4903">
        <v>0</v>
      </c>
      <c r="F4903">
        <v>239</v>
      </c>
      <c r="G4903">
        <v>12</v>
      </c>
      <c r="H4903">
        <v>0</v>
      </c>
      <c r="I4903">
        <v>0</v>
      </c>
      <c r="J4903">
        <v>0</v>
      </c>
      <c r="K4903">
        <v>0</v>
      </c>
    </row>
    <row r="4904" spans="1:11" x14ac:dyDescent="0.2">
      <c r="A4904" t="s">
        <v>4359</v>
      </c>
      <c r="B4904">
        <v>0</v>
      </c>
      <c r="C4904">
        <v>0</v>
      </c>
      <c r="D4904">
        <v>0</v>
      </c>
      <c r="E4904">
        <v>0</v>
      </c>
      <c r="F4904">
        <v>0</v>
      </c>
      <c r="G4904">
        <v>0</v>
      </c>
      <c r="H4904">
        <v>0</v>
      </c>
      <c r="I4904">
        <v>0</v>
      </c>
      <c r="J4904">
        <v>0</v>
      </c>
      <c r="K4904">
        <v>0</v>
      </c>
    </row>
    <row r="4905" spans="1:11" x14ac:dyDescent="0.2">
      <c r="A4905" t="s">
        <v>4360</v>
      </c>
      <c r="B4905">
        <v>11</v>
      </c>
      <c r="C4905">
        <v>0</v>
      </c>
      <c r="D4905">
        <v>0</v>
      </c>
      <c r="E4905">
        <v>0</v>
      </c>
      <c r="F4905">
        <v>0</v>
      </c>
      <c r="G4905">
        <v>0</v>
      </c>
      <c r="H4905">
        <v>0</v>
      </c>
      <c r="I4905">
        <v>0</v>
      </c>
      <c r="J4905">
        <v>0</v>
      </c>
      <c r="K4905">
        <v>0</v>
      </c>
    </row>
    <row r="4906" spans="1:11" x14ac:dyDescent="0.2">
      <c r="A4906" t="s">
        <v>4361</v>
      </c>
      <c r="B4906">
        <v>319</v>
      </c>
      <c r="C4906">
        <v>0</v>
      </c>
      <c r="D4906">
        <v>62</v>
      </c>
      <c r="E4906">
        <v>0</v>
      </c>
      <c r="F4906">
        <v>15</v>
      </c>
      <c r="G4906">
        <v>1</v>
      </c>
      <c r="H4906">
        <v>0</v>
      </c>
      <c r="I4906">
        <v>0</v>
      </c>
      <c r="J4906">
        <v>9</v>
      </c>
      <c r="K4906">
        <v>0</v>
      </c>
    </row>
    <row r="4907" spans="1:11" x14ac:dyDescent="0.2">
      <c r="A4907" t="s">
        <v>4362</v>
      </c>
      <c r="B4907">
        <v>63</v>
      </c>
      <c r="C4907">
        <v>0</v>
      </c>
      <c r="D4907">
        <v>0</v>
      </c>
      <c r="E4907">
        <v>0</v>
      </c>
      <c r="F4907">
        <v>0</v>
      </c>
      <c r="G4907">
        <v>0</v>
      </c>
      <c r="H4907">
        <v>0</v>
      </c>
      <c r="I4907">
        <v>0</v>
      </c>
      <c r="J4907">
        <v>0</v>
      </c>
      <c r="K4907">
        <v>0</v>
      </c>
    </row>
    <row r="4908" spans="1:11" x14ac:dyDescent="0.2">
      <c r="A4908" t="s">
        <v>4363</v>
      </c>
      <c r="B4908">
        <v>0</v>
      </c>
      <c r="C4908">
        <v>0</v>
      </c>
      <c r="D4908">
        <v>0</v>
      </c>
      <c r="E4908">
        <v>0</v>
      </c>
      <c r="F4908">
        <v>0</v>
      </c>
      <c r="G4908">
        <v>0</v>
      </c>
      <c r="H4908">
        <v>0</v>
      </c>
      <c r="I4908">
        <v>0</v>
      </c>
      <c r="J4908">
        <v>0</v>
      </c>
      <c r="K4908">
        <v>0</v>
      </c>
    </row>
    <row r="4909" spans="1:11" x14ac:dyDescent="0.2">
      <c r="A4909" t="s">
        <v>4364</v>
      </c>
      <c r="B4909">
        <v>0</v>
      </c>
      <c r="C4909">
        <v>0</v>
      </c>
      <c r="D4909">
        <v>0</v>
      </c>
      <c r="E4909">
        <v>0</v>
      </c>
      <c r="F4909">
        <v>0</v>
      </c>
      <c r="G4909">
        <v>0</v>
      </c>
      <c r="H4909">
        <v>0</v>
      </c>
      <c r="I4909">
        <v>0</v>
      </c>
      <c r="J4909">
        <v>0</v>
      </c>
      <c r="K4909">
        <v>0</v>
      </c>
    </row>
    <row r="4910" spans="1:11" x14ac:dyDescent="0.2">
      <c r="A4910" t="s">
        <v>4365</v>
      </c>
      <c r="B4910">
        <v>210</v>
      </c>
      <c r="C4910">
        <v>0</v>
      </c>
      <c r="D4910">
        <v>29</v>
      </c>
      <c r="E4910">
        <v>0</v>
      </c>
      <c r="F4910">
        <v>0</v>
      </c>
      <c r="G4910">
        <v>0</v>
      </c>
      <c r="H4910">
        <v>0</v>
      </c>
      <c r="I4910">
        <v>0</v>
      </c>
      <c r="J4910">
        <v>0</v>
      </c>
      <c r="K4910">
        <v>0</v>
      </c>
    </row>
    <row r="4911" spans="1:11" x14ac:dyDescent="0.2">
      <c r="A4911" t="s">
        <v>4366</v>
      </c>
      <c r="B4911">
        <v>0</v>
      </c>
      <c r="C4911">
        <v>0</v>
      </c>
      <c r="D4911">
        <v>4017</v>
      </c>
      <c r="E4911">
        <v>0</v>
      </c>
      <c r="F4911">
        <v>46226</v>
      </c>
      <c r="G4911">
        <v>2390</v>
      </c>
      <c r="H4911">
        <v>2</v>
      </c>
      <c r="I4911">
        <v>0</v>
      </c>
      <c r="J4911">
        <v>0</v>
      </c>
      <c r="K4911">
        <v>0</v>
      </c>
    </row>
    <row r="4912" spans="1:11" x14ac:dyDescent="0.2">
      <c r="A4912" t="s">
        <v>4367</v>
      </c>
      <c r="B4912">
        <v>96</v>
      </c>
      <c r="C4912">
        <v>0</v>
      </c>
      <c r="D4912">
        <v>4546</v>
      </c>
      <c r="E4912">
        <v>0</v>
      </c>
      <c r="F4912">
        <v>83</v>
      </c>
      <c r="G4912">
        <v>4</v>
      </c>
      <c r="H4912">
        <v>0</v>
      </c>
      <c r="I4912">
        <v>0</v>
      </c>
      <c r="J4912">
        <v>0</v>
      </c>
      <c r="K4912">
        <v>0</v>
      </c>
    </row>
    <row r="4913" spans="1:11" x14ac:dyDescent="0.2">
      <c r="A4913" t="s">
        <v>4368</v>
      </c>
      <c r="B4913">
        <v>563</v>
      </c>
      <c r="C4913">
        <v>0</v>
      </c>
      <c r="D4913">
        <v>0</v>
      </c>
      <c r="E4913">
        <v>0</v>
      </c>
      <c r="F4913">
        <v>0</v>
      </c>
      <c r="G4913">
        <v>0</v>
      </c>
      <c r="H4913">
        <v>0</v>
      </c>
      <c r="I4913">
        <v>0</v>
      </c>
      <c r="J4913">
        <v>0</v>
      </c>
      <c r="K4913">
        <v>0</v>
      </c>
    </row>
    <row r="4914" spans="1:11" x14ac:dyDescent="0.2">
      <c r="A4914" t="s">
        <v>4369</v>
      </c>
      <c r="B4914">
        <v>508</v>
      </c>
      <c r="C4914">
        <v>0</v>
      </c>
      <c r="D4914">
        <v>66</v>
      </c>
      <c r="E4914">
        <v>0</v>
      </c>
      <c r="F4914">
        <v>0</v>
      </c>
      <c r="G4914">
        <v>0</v>
      </c>
      <c r="H4914">
        <v>0</v>
      </c>
      <c r="I4914">
        <v>0</v>
      </c>
      <c r="J4914">
        <v>0</v>
      </c>
      <c r="K4914">
        <v>0</v>
      </c>
    </row>
    <row r="4915" spans="1:11" x14ac:dyDescent="0.2">
      <c r="A4915" t="s">
        <v>4370</v>
      </c>
      <c r="B4915">
        <v>237</v>
      </c>
      <c r="C4915">
        <v>0</v>
      </c>
      <c r="D4915">
        <v>0</v>
      </c>
      <c r="E4915">
        <v>0</v>
      </c>
      <c r="F4915">
        <v>0</v>
      </c>
      <c r="G4915">
        <v>0</v>
      </c>
      <c r="H4915">
        <v>1</v>
      </c>
      <c r="I4915">
        <v>0</v>
      </c>
      <c r="J4915">
        <v>0</v>
      </c>
      <c r="K4915">
        <v>0</v>
      </c>
    </row>
    <row r="4916" spans="1:11" x14ac:dyDescent="0.2">
      <c r="A4916" t="s">
        <v>4371</v>
      </c>
      <c r="B4916">
        <v>107</v>
      </c>
      <c r="C4916">
        <v>0</v>
      </c>
      <c r="D4916">
        <v>1</v>
      </c>
      <c r="E4916">
        <v>0</v>
      </c>
      <c r="F4916">
        <v>8</v>
      </c>
      <c r="G4916">
        <v>4</v>
      </c>
      <c r="H4916">
        <v>0</v>
      </c>
      <c r="I4916">
        <v>0</v>
      </c>
      <c r="J4916">
        <v>0</v>
      </c>
      <c r="K4916">
        <v>0</v>
      </c>
    </row>
    <row r="4917" spans="1:11" x14ac:dyDescent="0.2">
      <c r="A4917" t="s">
        <v>4372</v>
      </c>
      <c r="B4917">
        <v>0</v>
      </c>
      <c r="C4917">
        <v>0</v>
      </c>
      <c r="D4917">
        <v>0</v>
      </c>
      <c r="E4917">
        <v>0</v>
      </c>
      <c r="F4917">
        <v>0</v>
      </c>
      <c r="G4917">
        <v>0</v>
      </c>
      <c r="H4917">
        <v>0</v>
      </c>
      <c r="I4917">
        <v>0</v>
      </c>
      <c r="J4917">
        <v>0</v>
      </c>
      <c r="K4917">
        <v>0</v>
      </c>
    </row>
    <row r="4918" spans="1:11" x14ac:dyDescent="0.2">
      <c r="A4918" t="s">
        <v>4373</v>
      </c>
      <c r="B4918">
        <v>34</v>
      </c>
      <c r="C4918">
        <v>0</v>
      </c>
      <c r="D4918">
        <v>11553</v>
      </c>
      <c r="E4918">
        <v>0</v>
      </c>
      <c r="F4918">
        <v>12478</v>
      </c>
      <c r="G4918">
        <v>645</v>
      </c>
      <c r="H4918">
        <v>126</v>
      </c>
      <c r="I4918">
        <v>7</v>
      </c>
      <c r="J4918">
        <v>5521</v>
      </c>
      <c r="K4918">
        <v>291</v>
      </c>
    </row>
    <row r="4919" spans="1:11" x14ac:dyDescent="0.2">
      <c r="A4919" t="s">
        <v>4374</v>
      </c>
      <c r="B4919">
        <v>24</v>
      </c>
      <c r="C4919">
        <v>0</v>
      </c>
      <c r="D4919">
        <v>9205</v>
      </c>
      <c r="E4919">
        <v>0</v>
      </c>
      <c r="F4919">
        <v>11176</v>
      </c>
      <c r="G4919">
        <v>578</v>
      </c>
      <c r="H4919">
        <v>33</v>
      </c>
      <c r="I4919">
        <v>2</v>
      </c>
      <c r="J4919">
        <v>1763</v>
      </c>
      <c r="K4919">
        <v>93</v>
      </c>
    </row>
    <row r="4920" spans="1:11" x14ac:dyDescent="0.2">
      <c r="A4920" t="s">
        <v>4375</v>
      </c>
      <c r="B4920">
        <v>88</v>
      </c>
      <c r="C4920">
        <v>0</v>
      </c>
      <c r="D4920">
        <v>26194</v>
      </c>
      <c r="E4920">
        <v>0</v>
      </c>
      <c r="F4920">
        <v>18728</v>
      </c>
      <c r="G4920">
        <v>968</v>
      </c>
      <c r="H4920">
        <v>7986</v>
      </c>
      <c r="I4920">
        <v>413</v>
      </c>
      <c r="J4920">
        <v>282948</v>
      </c>
      <c r="K4920">
        <v>14892</v>
      </c>
    </row>
    <row r="4921" spans="1:11" x14ac:dyDescent="0.2">
      <c r="A4921" t="s">
        <v>4376</v>
      </c>
      <c r="B4921">
        <v>17</v>
      </c>
      <c r="C4921">
        <v>0</v>
      </c>
      <c r="D4921">
        <v>3151</v>
      </c>
      <c r="E4921">
        <v>0</v>
      </c>
      <c r="F4921">
        <v>2741</v>
      </c>
      <c r="G4921">
        <v>142</v>
      </c>
      <c r="H4921">
        <v>692</v>
      </c>
      <c r="I4921">
        <v>36</v>
      </c>
      <c r="J4921">
        <v>44853</v>
      </c>
      <c r="K4921">
        <v>2361</v>
      </c>
    </row>
    <row r="4922" spans="1:11" x14ac:dyDescent="0.2">
      <c r="A4922" t="s">
        <v>4377</v>
      </c>
      <c r="B4922">
        <v>23</v>
      </c>
      <c r="C4922">
        <v>0</v>
      </c>
      <c r="D4922">
        <v>21679</v>
      </c>
      <c r="E4922">
        <v>0</v>
      </c>
      <c r="F4922">
        <v>24789</v>
      </c>
      <c r="G4922">
        <v>1281</v>
      </c>
      <c r="H4922">
        <v>9325</v>
      </c>
      <c r="I4922">
        <v>482</v>
      </c>
      <c r="J4922">
        <v>198442</v>
      </c>
      <c r="K4922">
        <v>10444</v>
      </c>
    </row>
    <row r="4923" spans="1:11" x14ac:dyDescent="0.2">
      <c r="A4923" t="s">
        <v>4854</v>
      </c>
      <c r="B4923">
        <v>12077</v>
      </c>
      <c r="C4923">
        <v>0</v>
      </c>
      <c r="D4923">
        <v>105802</v>
      </c>
      <c r="E4923">
        <v>0</v>
      </c>
      <c r="F4923">
        <v>158199</v>
      </c>
      <c r="G4923">
        <v>8181</v>
      </c>
      <c r="H4923">
        <v>18179</v>
      </c>
      <c r="I4923">
        <v>940</v>
      </c>
      <c r="J4923">
        <v>534072</v>
      </c>
      <c r="K4923">
        <v>28109</v>
      </c>
    </row>
    <row r="4924" spans="1:11" x14ac:dyDescent="0.2">
      <c r="A4924" t="s">
        <v>2318</v>
      </c>
      <c r="B4924" t="s">
        <v>4399</v>
      </c>
      <c r="C4924" t="s">
        <v>4399</v>
      </c>
      <c r="D4924" t="s">
        <v>4399</v>
      </c>
      <c r="E4924" t="s">
        <v>4399</v>
      </c>
      <c r="F4924" t="s">
        <v>4399</v>
      </c>
      <c r="G4924" t="s">
        <v>4399</v>
      </c>
      <c r="H4924" t="s">
        <v>4399</v>
      </c>
      <c r="I4924" t="s">
        <v>4399</v>
      </c>
      <c r="J4924" t="s">
        <v>4399</v>
      </c>
      <c r="K4924" t="s">
        <v>4399</v>
      </c>
    </row>
    <row r="4925" spans="1:11" x14ac:dyDescent="0.2">
      <c r="A4925" t="s">
        <v>4248</v>
      </c>
    </row>
    <row r="4926" spans="1:11" x14ac:dyDescent="0.2">
      <c r="A4926" t="s">
        <v>4855</v>
      </c>
      <c r="B4926" t="s">
        <v>4856</v>
      </c>
      <c r="C4926" t="s">
        <v>4857</v>
      </c>
      <c r="D4926" t="s">
        <v>4858</v>
      </c>
      <c r="E4926" t="s">
        <v>4859</v>
      </c>
      <c r="F4926" t="s">
        <v>4860</v>
      </c>
      <c r="G4926" t="s">
        <v>4884</v>
      </c>
    </row>
    <row r="4927" spans="1:11" x14ac:dyDescent="0.2">
      <c r="A4927" t="s">
        <v>2318</v>
      </c>
      <c r="B4927" t="s">
        <v>4399</v>
      </c>
      <c r="C4927" t="s">
        <v>4399</v>
      </c>
      <c r="D4927" t="s">
        <v>4399</v>
      </c>
      <c r="E4927" t="s">
        <v>4399</v>
      </c>
      <c r="F4927" t="s">
        <v>4399</v>
      </c>
      <c r="G4927" t="s">
        <v>4399</v>
      </c>
      <c r="H4927" t="s">
        <v>4399</v>
      </c>
    </row>
    <row r="4928" spans="1:11" x14ac:dyDescent="0.2">
      <c r="A4928" t="s">
        <v>126</v>
      </c>
      <c r="B4928" t="s">
        <v>4842</v>
      </c>
      <c r="C4928" t="s">
        <v>4844</v>
      </c>
      <c r="D4928" t="s">
        <v>4846</v>
      </c>
      <c r="E4928" t="s">
        <v>4848</v>
      </c>
      <c r="F4928" t="s">
        <v>4850</v>
      </c>
      <c r="G4928" t="s">
        <v>4852</v>
      </c>
      <c r="H4928" t="s">
        <v>236</v>
      </c>
    </row>
    <row r="4929" spans="1:8" x14ac:dyDescent="0.2">
      <c r="A4929" t="s">
        <v>2318</v>
      </c>
      <c r="B4929" t="s">
        <v>4399</v>
      </c>
      <c r="C4929" t="s">
        <v>4399</v>
      </c>
      <c r="D4929" t="s">
        <v>4399</v>
      </c>
      <c r="E4929" t="s">
        <v>4399</v>
      </c>
      <c r="F4929" t="s">
        <v>4399</v>
      </c>
      <c r="G4929" t="s">
        <v>4399</v>
      </c>
      <c r="H4929" t="s">
        <v>4399</v>
      </c>
    </row>
    <row r="4930" spans="1:8" x14ac:dyDescent="0.2">
      <c r="A4930" t="s">
        <v>4265</v>
      </c>
      <c r="B4930">
        <v>0</v>
      </c>
      <c r="C4930">
        <v>0</v>
      </c>
      <c r="D4930">
        <v>0</v>
      </c>
      <c r="E4930">
        <v>0</v>
      </c>
      <c r="F4930">
        <v>0</v>
      </c>
      <c r="G4930">
        <v>0</v>
      </c>
      <c r="H4930">
        <v>21</v>
      </c>
    </row>
    <row r="4931" spans="1:8" x14ac:dyDescent="0.2">
      <c r="A4931" t="s">
        <v>4266</v>
      </c>
      <c r="B4931">
        <v>0</v>
      </c>
      <c r="C4931">
        <v>0</v>
      </c>
      <c r="D4931">
        <v>0</v>
      </c>
      <c r="E4931">
        <v>0</v>
      </c>
      <c r="F4931">
        <v>0</v>
      </c>
      <c r="G4931">
        <v>0</v>
      </c>
      <c r="H4931">
        <v>0</v>
      </c>
    </row>
    <row r="4932" spans="1:8" x14ac:dyDescent="0.2">
      <c r="A4932" t="s">
        <v>4267</v>
      </c>
      <c r="B4932">
        <v>0</v>
      </c>
      <c r="C4932">
        <v>0</v>
      </c>
      <c r="D4932">
        <v>2</v>
      </c>
      <c r="E4932">
        <v>0</v>
      </c>
      <c r="F4932">
        <v>0</v>
      </c>
      <c r="G4932">
        <v>0</v>
      </c>
      <c r="H4932">
        <v>754</v>
      </c>
    </row>
    <row r="4933" spans="1:8" x14ac:dyDescent="0.2">
      <c r="A4933" t="s">
        <v>4268</v>
      </c>
      <c r="B4933">
        <v>0</v>
      </c>
      <c r="C4933">
        <v>0</v>
      </c>
      <c r="D4933">
        <v>0</v>
      </c>
      <c r="E4933">
        <v>0</v>
      </c>
      <c r="F4933">
        <v>0</v>
      </c>
      <c r="G4933">
        <v>0</v>
      </c>
      <c r="H4933">
        <v>303</v>
      </c>
    </row>
    <row r="4934" spans="1:8" x14ac:dyDescent="0.2">
      <c r="A4934" t="s">
        <v>4269</v>
      </c>
      <c r="B4934">
        <v>0</v>
      </c>
      <c r="C4934">
        <v>0</v>
      </c>
      <c r="D4934">
        <v>0</v>
      </c>
      <c r="E4934">
        <v>0</v>
      </c>
      <c r="F4934">
        <v>0</v>
      </c>
      <c r="G4934">
        <v>0</v>
      </c>
      <c r="H4934">
        <v>812</v>
      </c>
    </row>
    <row r="4935" spans="1:8" x14ac:dyDescent="0.2">
      <c r="A4935" t="s">
        <v>4270</v>
      </c>
      <c r="B4935">
        <v>0</v>
      </c>
      <c r="C4935">
        <v>0</v>
      </c>
      <c r="D4935">
        <v>0</v>
      </c>
      <c r="E4935">
        <v>0</v>
      </c>
      <c r="F4935">
        <v>0</v>
      </c>
      <c r="G4935">
        <v>0</v>
      </c>
      <c r="H4935">
        <v>0</v>
      </c>
    </row>
    <row r="4936" spans="1:8" x14ac:dyDescent="0.2">
      <c r="A4936" t="s">
        <v>4271</v>
      </c>
      <c r="B4936">
        <v>0</v>
      </c>
      <c r="C4936">
        <v>0</v>
      </c>
      <c r="D4936">
        <v>0</v>
      </c>
      <c r="E4936">
        <v>0</v>
      </c>
      <c r="F4936">
        <v>0</v>
      </c>
      <c r="G4936">
        <v>0</v>
      </c>
      <c r="H4936">
        <v>347</v>
      </c>
    </row>
    <row r="4937" spans="1:8" x14ac:dyDescent="0.2">
      <c r="A4937" t="s">
        <v>4272</v>
      </c>
      <c r="B4937">
        <v>0</v>
      </c>
      <c r="C4937">
        <v>0</v>
      </c>
      <c r="D4937">
        <v>0</v>
      </c>
      <c r="E4937">
        <v>0</v>
      </c>
      <c r="F4937">
        <v>0</v>
      </c>
      <c r="G4937">
        <v>0</v>
      </c>
      <c r="H4937">
        <v>497</v>
      </c>
    </row>
    <row r="4938" spans="1:8" x14ac:dyDescent="0.2">
      <c r="A4938" t="s">
        <v>4273</v>
      </c>
      <c r="B4938">
        <v>0</v>
      </c>
      <c r="C4938">
        <v>0</v>
      </c>
      <c r="D4938">
        <v>0</v>
      </c>
      <c r="E4938">
        <v>0</v>
      </c>
      <c r="F4938">
        <v>0</v>
      </c>
      <c r="G4938">
        <v>0</v>
      </c>
      <c r="H4938">
        <v>15</v>
      </c>
    </row>
    <row r="4939" spans="1:8" x14ac:dyDescent="0.2">
      <c r="A4939" t="s">
        <v>4274</v>
      </c>
      <c r="B4939">
        <v>0</v>
      </c>
      <c r="C4939">
        <v>0</v>
      </c>
      <c r="D4939">
        <v>0</v>
      </c>
      <c r="E4939">
        <v>0</v>
      </c>
      <c r="F4939">
        <v>0</v>
      </c>
      <c r="G4939">
        <v>0</v>
      </c>
      <c r="H4939">
        <v>0</v>
      </c>
    </row>
    <row r="4940" spans="1:8" x14ac:dyDescent="0.2">
      <c r="A4940" t="s">
        <v>4275</v>
      </c>
      <c r="B4940">
        <v>0</v>
      </c>
      <c r="C4940">
        <v>0</v>
      </c>
      <c r="D4940">
        <v>0</v>
      </c>
      <c r="E4940">
        <v>0</v>
      </c>
      <c r="F4940">
        <v>0</v>
      </c>
      <c r="G4940">
        <v>0</v>
      </c>
      <c r="H4940">
        <v>4093</v>
      </c>
    </row>
    <row r="4941" spans="1:8" x14ac:dyDescent="0.2">
      <c r="A4941" t="s">
        <v>4276</v>
      </c>
      <c r="B4941">
        <v>0</v>
      </c>
      <c r="C4941">
        <v>0</v>
      </c>
      <c r="D4941">
        <v>0</v>
      </c>
      <c r="E4941">
        <v>0</v>
      </c>
      <c r="F4941">
        <v>0</v>
      </c>
      <c r="G4941">
        <v>0</v>
      </c>
      <c r="H4941">
        <v>2375</v>
      </c>
    </row>
    <row r="4942" spans="1:8" x14ac:dyDescent="0.2">
      <c r="A4942" t="s">
        <v>4277</v>
      </c>
      <c r="B4942">
        <v>0</v>
      </c>
      <c r="C4942">
        <v>0</v>
      </c>
      <c r="D4942">
        <v>0</v>
      </c>
      <c r="E4942">
        <v>0</v>
      </c>
      <c r="F4942">
        <v>0</v>
      </c>
      <c r="G4942">
        <v>0</v>
      </c>
      <c r="H4942">
        <v>1137</v>
      </c>
    </row>
    <row r="4943" spans="1:8" x14ac:dyDescent="0.2">
      <c r="A4943" t="s">
        <v>4278</v>
      </c>
      <c r="B4943">
        <v>0</v>
      </c>
      <c r="C4943">
        <v>0</v>
      </c>
      <c r="D4943">
        <v>0</v>
      </c>
      <c r="E4943">
        <v>0</v>
      </c>
      <c r="F4943">
        <v>0</v>
      </c>
      <c r="G4943">
        <v>0</v>
      </c>
      <c r="H4943">
        <v>0</v>
      </c>
    </row>
    <row r="4944" spans="1:8" x14ac:dyDescent="0.2">
      <c r="A4944" t="s">
        <v>4279</v>
      </c>
      <c r="B4944">
        <v>0</v>
      </c>
      <c r="C4944">
        <v>0</v>
      </c>
      <c r="D4944">
        <v>0</v>
      </c>
      <c r="E4944">
        <v>0</v>
      </c>
      <c r="F4944">
        <v>0</v>
      </c>
      <c r="G4944">
        <v>0</v>
      </c>
      <c r="H4944">
        <v>2362</v>
      </c>
    </row>
    <row r="4945" spans="1:8" x14ac:dyDescent="0.2">
      <c r="A4945" t="s">
        <v>4280</v>
      </c>
      <c r="B4945">
        <v>0</v>
      </c>
      <c r="C4945">
        <v>0</v>
      </c>
      <c r="D4945">
        <v>0</v>
      </c>
      <c r="E4945">
        <v>0</v>
      </c>
      <c r="F4945">
        <v>0</v>
      </c>
      <c r="G4945">
        <v>0</v>
      </c>
      <c r="H4945">
        <v>115</v>
      </c>
    </row>
    <row r="4946" spans="1:8" x14ac:dyDescent="0.2">
      <c r="A4946" t="s">
        <v>4281</v>
      </c>
      <c r="B4946">
        <v>0</v>
      </c>
      <c r="C4946">
        <v>0</v>
      </c>
      <c r="D4946">
        <v>3</v>
      </c>
      <c r="E4946">
        <v>1</v>
      </c>
      <c r="F4946">
        <v>0</v>
      </c>
      <c r="G4946">
        <v>0</v>
      </c>
      <c r="H4946">
        <v>74860</v>
      </c>
    </row>
    <row r="4947" spans="1:8" x14ac:dyDescent="0.2">
      <c r="A4947" t="s">
        <v>4282</v>
      </c>
      <c r="B4947">
        <v>0</v>
      </c>
      <c r="C4947">
        <v>0</v>
      </c>
      <c r="D4947">
        <v>0</v>
      </c>
      <c r="E4947">
        <v>0</v>
      </c>
      <c r="F4947">
        <v>0</v>
      </c>
      <c r="G4947">
        <v>0</v>
      </c>
      <c r="H4947">
        <v>15862</v>
      </c>
    </row>
    <row r="4948" spans="1:8" x14ac:dyDescent="0.2">
      <c r="A4948" t="s">
        <v>4283</v>
      </c>
      <c r="B4948">
        <v>0</v>
      </c>
      <c r="C4948">
        <v>0</v>
      </c>
      <c r="D4948">
        <v>4</v>
      </c>
      <c r="E4948">
        <v>1</v>
      </c>
      <c r="F4948">
        <v>0</v>
      </c>
      <c r="G4948">
        <v>0</v>
      </c>
      <c r="H4948">
        <v>26942</v>
      </c>
    </row>
    <row r="4949" spans="1:8" x14ac:dyDescent="0.2">
      <c r="A4949" t="s">
        <v>4284</v>
      </c>
      <c r="B4949">
        <v>0</v>
      </c>
      <c r="C4949">
        <v>0</v>
      </c>
      <c r="D4949">
        <v>0</v>
      </c>
      <c r="E4949">
        <v>0</v>
      </c>
      <c r="F4949">
        <v>0</v>
      </c>
      <c r="G4949">
        <v>0</v>
      </c>
      <c r="H4949">
        <v>1415</v>
      </c>
    </row>
    <row r="4950" spans="1:8" x14ac:dyDescent="0.2">
      <c r="A4950" t="s">
        <v>4285</v>
      </c>
      <c r="B4950">
        <v>0</v>
      </c>
      <c r="C4950">
        <v>0</v>
      </c>
      <c r="D4950">
        <v>0</v>
      </c>
      <c r="E4950">
        <v>0</v>
      </c>
      <c r="F4950">
        <v>0</v>
      </c>
      <c r="G4950">
        <v>0</v>
      </c>
      <c r="H4950">
        <v>38036</v>
      </c>
    </row>
    <row r="4951" spans="1:8" x14ac:dyDescent="0.2">
      <c r="A4951" t="s">
        <v>4286</v>
      </c>
      <c r="B4951">
        <v>0</v>
      </c>
      <c r="C4951">
        <v>0</v>
      </c>
      <c r="D4951">
        <v>0</v>
      </c>
      <c r="E4951">
        <v>0</v>
      </c>
      <c r="F4951">
        <v>0</v>
      </c>
      <c r="G4951">
        <v>0</v>
      </c>
      <c r="H4951">
        <v>1929</v>
      </c>
    </row>
    <row r="4952" spans="1:8" x14ac:dyDescent="0.2">
      <c r="A4952" t="s">
        <v>4287</v>
      </c>
      <c r="B4952">
        <v>0</v>
      </c>
      <c r="C4952">
        <v>0</v>
      </c>
      <c r="D4952">
        <v>0</v>
      </c>
      <c r="E4952">
        <v>0</v>
      </c>
      <c r="F4952">
        <v>0</v>
      </c>
      <c r="G4952">
        <v>0</v>
      </c>
      <c r="H4952">
        <v>65601</v>
      </c>
    </row>
    <row r="4953" spans="1:8" x14ac:dyDescent="0.2">
      <c r="A4953" t="s">
        <v>4288</v>
      </c>
      <c r="B4953">
        <v>0</v>
      </c>
      <c r="C4953">
        <v>0</v>
      </c>
      <c r="D4953">
        <v>0</v>
      </c>
      <c r="E4953">
        <v>0</v>
      </c>
      <c r="F4953">
        <v>0</v>
      </c>
      <c r="G4953">
        <v>0</v>
      </c>
      <c r="H4953">
        <v>1525</v>
      </c>
    </row>
    <row r="4954" spans="1:8" x14ac:dyDescent="0.2">
      <c r="A4954" t="s">
        <v>4289</v>
      </c>
      <c r="B4954">
        <v>0</v>
      </c>
      <c r="C4954">
        <v>0</v>
      </c>
      <c r="D4954">
        <v>0</v>
      </c>
      <c r="E4954">
        <v>0</v>
      </c>
      <c r="F4954">
        <v>0</v>
      </c>
      <c r="G4954">
        <v>0</v>
      </c>
      <c r="H4954">
        <v>247739</v>
      </c>
    </row>
    <row r="4955" spans="1:8" x14ac:dyDescent="0.2">
      <c r="A4955" t="s">
        <v>4290</v>
      </c>
      <c r="B4955">
        <v>0</v>
      </c>
      <c r="C4955">
        <v>0</v>
      </c>
      <c r="D4955">
        <v>0</v>
      </c>
      <c r="E4955">
        <v>0</v>
      </c>
      <c r="F4955">
        <v>0</v>
      </c>
      <c r="G4955">
        <v>0</v>
      </c>
      <c r="H4955">
        <v>49093</v>
      </c>
    </row>
    <row r="4956" spans="1:8" x14ac:dyDescent="0.2">
      <c r="A4956" t="s">
        <v>4291</v>
      </c>
      <c r="B4956">
        <v>0</v>
      </c>
      <c r="C4956">
        <v>0</v>
      </c>
      <c r="D4956">
        <v>0</v>
      </c>
      <c r="E4956">
        <v>0</v>
      </c>
      <c r="F4956">
        <v>0</v>
      </c>
      <c r="G4956">
        <v>0</v>
      </c>
      <c r="H4956">
        <v>5338</v>
      </c>
    </row>
    <row r="4957" spans="1:8" x14ac:dyDescent="0.2">
      <c r="A4957" t="s">
        <v>4292</v>
      </c>
      <c r="B4957">
        <v>0</v>
      </c>
      <c r="C4957">
        <v>0</v>
      </c>
      <c r="D4957">
        <v>0</v>
      </c>
      <c r="E4957">
        <v>0</v>
      </c>
      <c r="F4957">
        <v>0</v>
      </c>
      <c r="G4957">
        <v>0</v>
      </c>
      <c r="H4957">
        <v>1513</v>
      </c>
    </row>
    <row r="4958" spans="1:8" x14ac:dyDescent="0.2">
      <c r="A4958" t="s">
        <v>4293</v>
      </c>
      <c r="B4958">
        <v>0</v>
      </c>
      <c r="C4958">
        <v>0</v>
      </c>
      <c r="D4958">
        <v>0</v>
      </c>
      <c r="E4958">
        <v>0</v>
      </c>
      <c r="F4958">
        <v>0</v>
      </c>
      <c r="G4958">
        <v>0</v>
      </c>
      <c r="H4958">
        <v>2519</v>
      </c>
    </row>
    <row r="4959" spans="1:8" x14ac:dyDescent="0.2">
      <c r="A4959" t="s">
        <v>4294</v>
      </c>
      <c r="B4959">
        <v>0</v>
      </c>
      <c r="C4959">
        <v>0</v>
      </c>
      <c r="D4959">
        <v>0</v>
      </c>
      <c r="E4959">
        <v>0</v>
      </c>
      <c r="F4959">
        <v>0</v>
      </c>
      <c r="G4959">
        <v>0</v>
      </c>
      <c r="H4959">
        <v>11442</v>
      </c>
    </row>
    <row r="4960" spans="1:8" x14ac:dyDescent="0.2">
      <c r="A4960" t="s">
        <v>4295</v>
      </c>
      <c r="B4960">
        <v>0</v>
      </c>
      <c r="C4960">
        <v>0</v>
      </c>
      <c r="D4960">
        <v>0</v>
      </c>
      <c r="E4960">
        <v>0</v>
      </c>
      <c r="F4960">
        <v>0</v>
      </c>
      <c r="G4960">
        <v>0</v>
      </c>
      <c r="H4960">
        <v>0</v>
      </c>
    </row>
    <row r="4961" spans="1:8" x14ac:dyDescent="0.2">
      <c r="A4961" t="s">
        <v>4296</v>
      </c>
      <c r="B4961">
        <v>0</v>
      </c>
      <c r="C4961">
        <v>0</v>
      </c>
      <c r="D4961">
        <v>0</v>
      </c>
      <c r="E4961">
        <v>0</v>
      </c>
      <c r="F4961">
        <v>0</v>
      </c>
      <c r="G4961">
        <v>0</v>
      </c>
      <c r="H4961">
        <v>0</v>
      </c>
    </row>
    <row r="4962" spans="1:8" x14ac:dyDescent="0.2">
      <c r="A4962" t="s">
        <v>4297</v>
      </c>
      <c r="B4962">
        <v>0</v>
      </c>
      <c r="C4962">
        <v>0</v>
      </c>
      <c r="D4962">
        <v>0</v>
      </c>
      <c r="E4962">
        <v>0</v>
      </c>
      <c r="F4962">
        <v>0</v>
      </c>
      <c r="G4962">
        <v>0</v>
      </c>
      <c r="H4962">
        <v>97706</v>
      </c>
    </row>
    <row r="4963" spans="1:8" x14ac:dyDescent="0.2">
      <c r="A4963" t="s">
        <v>4298</v>
      </c>
      <c r="B4963">
        <v>0</v>
      </c>
      <c r="C4963">
        <v>0</v>
      </c>
      <c r="D4963">
        <v>0</v>
      </c>
      <c r="E4963">
        <v>0</v>
      </c>
      <c r="F4963">
        <v>0</v>
      </c>
      <c r="G4963">
        <v>0</v>
      </c>
      <c r="H4963">
        <v>17554</v>
      </c>
    </row>
    <row r="4964" spans="1:8" x14ac:dyDescent="0.2">
      <c r="A4964" t="s">
        <v>4299</v>
      </c>
      <c r="B4964">
        <v>0</v>
      </c>
      <c r="C4964">
        <v>0</v>
      </c>
      <c r="D4964">
        <v>0</v>
      </c>
      <c r="E4964">
        <v>0</v>
      </c>
      <c r="F4964">
        <v>0</v>
      </c>
      <c r="G4964">
        <v>0</v>
      </c>
      <c r="H4964">
        <v>16610</v>
      </c>
    </row>
    <row r="4965" spans="1:8" x14ac:dyDescent="0.2">
      <c r="A4965" t="s">
        <v>4300</v>
      </c>
      <c r="B4965">
        <v>0</v>
      </c>
      <c r="C4965">
        <v>0</v>
      </c>
      <c r="D4965">
        <v>0</v>
      </c>
      <c r="E4965">
        <v>0</v>
      </c>
      <c r="F4965">
        <v>0</v>
      </c>
      <c r="G4965">
        <v>0</v>
      </c>
      <c r="H4965">
        <v>492</v>
      </c>
    </row>
    <row r="4966" spans="1:8" x14ac:dyDescent="0.2">
      <c r="A4966" t="s">
        <v>4301</v>
      </c>
      <c r="B4966">
        <v>0</v>
      </c>
      <c r="C4966">
        <v>0</v>
      </c>
      <c r="D4966">
        <v>0</v>
      </c>
      <c r="E4966">
        <v>0</v>
      </c>
      <c r="F4966">
        <v>0</v>
      </c>
      <c r="G4966">
        <v>0</v>
      </c>
      <c r="H4966">
        <v>73879</v>
      </c>
    </row>
    <row r="4967" spans="1:8" x14ac:dyDescent="0.2">
      <c r="A4967" t="s">
        <v>4302</v>
      </c>
      <c r="B4967">
        <v>0</v>
      </c>
      <c r="C4967">
        <v>0</v>
      </c>
      <c r="D4967">
        <v>0</v>
      </c>
      <c r="E4967">
        <v>0</v>
      </c>
      <c r="F4967">
        <v>0</v>
      </c>
      <c r="G4967">
        <v>0</v>
      </c>
      <c r="H4967">
        <v>8351</v>
      </c>
    </row>
    <row r="4968" spans="1:8" x14ac:dyDescent="0.2">
      <c r="A4968" t="s">
        <v>4303</v>
      </c>
      <c r="B4968">
        <v>0</v>
      </c>
      <c r="C4968">
        <v>0</v>
      </c>
      <c r="D4968">
        <v>0</v>
      </c>
      <c r="E4968">
        <v>0</v>
      </c>
      <c r="F4968">
        <v>0</v>
      </c>
      <c r="G4968">
        <v>0</v>
      </c>
      <c r="H4968">
        <v>13986</v>
      </c>
    </row>
    <row r="4969" spans="1:8" x14ac:dyDescent="0.2">
      <c r="A4969" t="s">
        <v>4304</v>
      </c>
      <c r="B4969">
        <v>0</v>
      </c>
      <c r="C4969">
        <v>0</v>
      </c>
      <c r="D4969">
        <v>0</v>
      </c>
      <c r="E4969">
        <v>0</v>
      </c>
      <c r="F4969">
        <v>0</v>
      </c>
      <c r="G4969">
        <v>0</v>
      </c>
      <c r="H4969">
        <v>5273</v>
      </c>
    </row>
    <row r="4970" spans="1:8" x14ac:dyDescent="0.2">
      <c r="A4970" t="s">
        <v>4305</v>
      </c>
      <c r="B4970">
        <v>0</v>
      </c>
      <c r="C4970">
        <v>0</v>
      </c>
      <c r="D4970">
        <v>0</v>
      </c>
      <c r="E4970">
        <v>0</v>
      </c>
      <c r="F4970">
        <v>0</v>
      </c>
      <c r="G4970">
        <v>0</v>
      </c>
      <c r="H4970">
        <v>21857</v>
      </c>
    </row>
    <row r="4971" spans="1:8" x14ac:dyDescent="0.2">
      <c r="A4971" t="s">
        <v>4306</v>
      </c>
      <c r="B4971">
        <v>0</v>
      </c>
      <c r="C4971">
        <v>0</v>
      </c>
      <c r="D4971">
        <v>0</v>
      </c>
      <c r="E4971">
        <v>0</v>
      </c>
      <c r="F4971">
        <v>0</v>
      </c>
      <c r="G4971">
        <v>0</v>
      </c>
      <c r="H4971">
        <v>2241</v>
      </c>
    </row>
    <row r="4972" spans="1:8" x14ac:dyDescent="0.2">
      <c r="A4972" t="s">
        <v>4307</v>
      </c>
      <c r="B4972">
        <v>0</v>
      </c>
      <c r="C4972">
        <v>0</v>
      </c>
      <c r="D4972">
        <v>0</v>
      </c>
      <c r="E4972">
        <v>0</v>
      </c>
      <c r="F4972">
        <v>0</v>
      </c>
      <c r="G4972">
        <v>0</v>
      </c>
      <c r="H4972">
        <v>40902</v>
      </c>
    </row>
    <row r="4973" spans="1:8" x14ac:dyDescent="0.2">
      <c r="A4973" t="s">
        <v>4308</v>
      </c>
      <c r="B4973">
        <v>0</v>
      </c>
      <c r="C4973">
        <v>0</v>
      </c>
      <c r="D4973">
        <v>0</v>
      </c>
      <c r="E4973">
        <v>0</v>
      </c>
      <c r="F4973">
        <v>0</v>
      </c>
      <c r="G4973">
        <v>0</v>
      </c>
      <c r="H4973">
        <v>410</v>
      </c>
    </row>
    <row r="4974" spans="1:8" x14ac:dyDescent="0.2">
      <c r="A4974" t="s">
        <v>4309</v>
      </c>
      <c r="B4974">
        <v>0</v>
      </c>
      <c r="C4974">
        <v>0</v>
      </c>
      <c r="D4974">
        <v>0</v>
      </c>
      <c r="E4974">
        <v>0</v>
      </c>
      <c r="F4974">
        <v>0</v>
      </c>
      <c r="G4974">
        <v>0</v>
      </c>
      <c r="H4974">
        <v>807</v>
      </c>
    </row>
    <row r="4975" spans="1:8" x14ac:dyDescent="0.2">
      <c r="A4975" t="s">
        <v>4310</v>
      </c>
      <c r="B4975">
        <v>0</v>
      </c>
      <c r="C4975">
        <v>0</v>
      </c>
      <c r="D4975">
        <v>0</v>
      </c>
      <c r="E4975">
        <v>0</v>
      </c>
      <c r="F4975">
        <v>0</v>
      </c>
      <c r="G4975">
        <v>0</v>
      </c>
      <c r="H4975">
        <v>4356</v>
      </c>
    </row>
    <row r="4976" spans="1:8" x14ac:dyDescent="0.2">
      <c r="A4976" t="s">
        <v>4311</v>
      </c>
      <c r="B4976">
        <v>0</v>
      </c>
      <c r="C4976">
        <v>0</v>
      </c>
      <c r="D4976">
        <v>0</v>
      </c>
      <c r="E4976">
        <v>0</v>
      </c>
      <c r="F4976">
        <v>0</v>
      </c>
      <c r="G4976">
        <v>0</v>
      </c>
      <c r="H4976">
        <v>33551</v>
      </c>
    </row>
    <row r="4977" spans="1:8" x14ac:dyDescent="0.2">
      <c r="A4977" t="s">
        <v>4312</v>
      </c>
      <c r="B4977">
        <v>0</v>
      </c>
      <c r="C4977">
        <v>0</v>
      </c>
      <c r="D4977">
        <v>0</v>
      </c>
      <c r="E4977">
        <v>0</v>
      </c>
      <c r="F4977">
        <v>0</v>
      </c>
      <c r="G4977">
        <v>0</v>
      </c>
      <c r="H4977">
        <v>5127</v>
      </c>
    </row>
    <row r="4978" spans="1:8" x14ac:dyDescent="0.2">
      <c r="A4978" t="s">
        <v>4313</v>
      </c>
      <c r="B4978">
        <v>0</v>
      </c>
      <c r="C4978">
        <v>0</v>
      </c>
      <c r="D4978">
        <v>0</v>
      </c>
      <c r="E4978">
        <v>0</v>
      </c>
      <c r="F4978">
        <v>0</v>
      </c>
      <c r="G4978">
        <v>0</v>
      </c>
      <c r="H4978">
        <v>81</v>
      </c>
    </row>
    <row r="4979" spans="1:8" x14ac:dyDescent="0.2">
      <c r="A4979" t="s">
        <v>4314</v>
      </c>
      <c r="B4979">
        <v>0</v>
      </c>
      <c r="C4979">
        <v>0</v>
      </c>
      <c r="D4979">
        <v>0</v>
      </c>
      <c r="E4979">
        <v>0</v>
      </c>
      <c r="F4979">
        <v>0</v>
      </c>
      <c r="G4979">
        <v>0</v>
      </c>
      <c r="H4979">
        <v>6397</v>
      </c>
    </row>
    <row r="4980" spans="1:8" x14ac:dyDescent="0.2">
      <c r="A4980" t="s">
        <v>4315</v>
      </c>
      <c r="B4980">
        <v>0</v>
      </c>
      <c r="C4980">
        <v>0</v>
      </c>
      <c r="D4980">
        <v>0</v>
      </c>
      <c r="E4980">
        <v>0</v>
      </c>
      <c r="F4980">
        <v>0</v>
      </c>
      <c r="G4980">
        <v>0</v>
      </c>
      <c r="H4980">
        <v>4284</v>
      </c>
    </row>
    <row r="4981" spans="1:8" x14ac:dyDescent="0.2">
      <c r="A4981" t="s">
        <v>4316</v>
      </c>
      <c r="B4981">
        <v>0</v>
      </c>
      <c r="C4981">
        <v>0</v>
      </c>
      <c r="D4981">
        <v>0</v>
      </c>
      <c r="E4981">
        <v>0</v>
      </c>
      <c r="F4981">
        <v>0</v>
      </c>
      <c r="G4981">
        <v>0</v>
      </c>
      <c r="H4981">
        <v>27835</v>
      </c>
    </row>
    <row r="4982" spans="1:8" x14ac:dyDescent="0.2">
      <c r="A4982" t="s">
        <v>4317</v>
      </c>
      <c r="B4982">
        <v>0</v>
      </c>
      <c r="C4982">
        <v>0</v>
      </c>
      <c r="D4982">
        <v>0</v>
      </c>
      <c r="E4982">
        <v>0</v>
      </c>
      <c r="F4982">
        <v>0</v>
      </c>
      <c r="G4982">
        <v>0</v>
      </c>
      <c r="H4982">
        <v>0</v>
      </c>
    </row>
    <row r="4983" spans="1:8" x14ac:dyDescent="0.2">
      <c r="A4983" t="s">
        <v>4318</v>
      </c>
      <c r="B4983">
        <v>0</v>
      </c>
      <c r="C4983">
        <v>0</v>
      </c>
      <c r="D4983">
        <v>0</v>
      </c>
      <c r="E4983">
        <v>0</v>
      </c>
      <c r="F4983">
        <v>0</v>
      </c>
      <c r="G4983">
        <v>0</v>
      </c>
      <c r="H4983">
        <v>17185</v>
      </c>
    </row>
    <row r="4984" spans="1:8" x14ac:dyDescent="0.2">
      <c r="A4984" t="s">
        <v>4319</v>
      </c>
      <c r="B4984">
        <v>0</v>
      </c>
      <c r="C4984">
        <v>0</v>
      </c>
      <c r="D4984">
        <v>0</v>
      </c>
      <c r="E4984">
        <v>0</v>
      </c>
      <c r="F4984">
        <v>0</v>
      </c>
      <c r="G4984">
        <v>0</v>
      </c>
      <c r="H4984">
        <v>7319</v>
      </c>
    </row>
    <row r="4985" spans="1:8" x14ac:dyDescent="0.2">
      <c r="A4985" t="s">
        <v>4320</v>
      </c>
      <c r="B4985">
        <v>0</v>
      </c>
      <c r="C4985">
        <v>0</v>
      </c>
      <c r="D4985">
        <v>0</v>
      </c>
      <c r="E4985">
        <v>0</v>
      </c>
      <c r="F4985">
        <v>0</v>
      </c>
      <c r="G4985">
        <v>0</v>
      </c>
      <c r="H4985">
        <v>6308</v>
      </c>
    </row>
    <row r="4986" spans="1:8" x14ac:dyDescent="0.2">
      <c r="A4986" t="s">
        <v>4321</v>
      </c>
      <c r="B4986">
        <v>0</v>
      </c>
      <c r="C4986">
        <v>0</v>
      </c>
      <c r="D4986">
        <v>0</v>
      </c>
      <c r="E4986">
        <v>0</v>
      </c>
      <c r="F4986">
        <v>0</v>
      </c>
      <c r="G4986">
        <v>0</v>
      </c>
      <c r="H4986">
        <v>0</v>
      </c>
    </row>
    <row r="4987" spans="1:8" x14ac:dyDescent="0.2">
      <c r="A4987" t="s">
        <v>4322</v>
      </c>
      <c r="B4987">
        <v>0</v>
      </c>
      <c r="C4987">
        <v>0</v>
      </c>
      <c r="D4987">
        <v>0</v>
      </c>
      <c r="E4987">
        <v>0</v>
      </c>
      <c r="F4987">
        <v>0</v>
      </c>
      <c r="G4987">
        <v>0</v>
      </c>
      <c r="H4987">
        <v>0</v>
      </c>
    </row>
    <row r="4988" spans="1:8" x14ac:dyDescent="0.2">
      <c r="A4988" t="s">
        <v>4323</v>
      </c>
      <c r="B4988">
        <v>0</v>
      </c>
      <c r="C4988">
        <v>0</v>
      </c>
      <c r="D4988">
        <v>0</v>
      </c>
      <c r="E4988">
        <v>0</v>
      </c>
      <c r="F4988">
        <v>0</v>
      </c>
      <c r="G4988">
        <v>0</v>
      </c>
      <c r="H4988">
        <v>0</v>
      </c>
    </row>
    <row r="4989" spans="1:8" x14ac:dyDescent="0.2">
      <c r="A4989" t="s">
        <v>4324</v>
      </c>
      <c r="B4989">
        <v>0</v>
      </c>
      <c r="C4989">
        <v>0</v>
      </c>
      <c r="D4989">
        <v>0</v>
      </c>
      <c r="E4989">
        <v>0</v>
      </c>
      <c r="F4989">
        <v>0</v>
      </c>
      <c r="G4989">
        <v>0</v>
      </c>
      <c r="H4989">
        <v>0</v>
      </c>
    </row>
    <row r="4990" spans="1:8" x14ac:dyDescent="0.2">
      <c r="A4990" t="s">
        <v>4325</v>
      </c>
      <c r="B4990">
        <v>0</v>
      </c>
      <c r="C4990">
        <v>0</v>
      </c>
      <c r="D4990">
        <v>0</v>
      </c>
      <c r="E4990">
        <v>0</v>
      </c>
      <c r="F4990">
        <v>0</v>
      </c>
      <c r="G4990">
        <v>0</v>
      </c>
      <c r="H4990">
        <v>0</v>
      </c>
    </row>
    <row r="4991" spans="1:8" x14ac:dyDescent="0.2">
      <c r="A4991" t="s">
        <v>4326</v>
      </c>
      <c r="B4991">
        <v>0</v>
      </c>
      <c r="C4991">
        <v>0</v>
      </c>
      <c r="D4991">
        <v>0</v>
      </c>
      <c r="E4991">
        <v>0</v>
      </c>
      <c r="F4991">
        <v>0</v>
      </c>
      <c r="G4991">
        <v>0</v>
      </c>
      <c r="H4991">
        <v>0</v>
      </c>
    </row>
    <row r="4992" spans="1:8" x14ac:dyDescent="0.2">
      <c r="A4992" t="s">
        <v>4327</v>
      </c>
      <c r="B4992">
        <v>0</v>
      </c>
      <c r="C4992">
        <v>0</v>
      </c>
      <c r="D4992">
        <v>0</v>
      </c>
      <c r="E4992">
        <v>0</v>
      </c>
      <c r="F4992">
        <v>0</v>
      </c>
      <c r="G4992">
        <v>0</v>
      </c>
      <c r="H4992">
        <v>16788</v>
      </c>
    </row>
    <row r="4993" spans="1:8" x14ac:dyDescent="0.2">
      <c r="A4993" t="s">
        <v>4328</v>
      </c>
      <c r="B4993">
        <v>0</v>
      </c>
      <c r="C4993">
        <v>0</v>
      </c>
      <c r="D4993">
        <v>0</v>
      </c>
      <c r="E4993">
        <v>0</v>
      </c>
      <c r="F4993">
        <v>0</v>
      </c>
      <c r="G4993">
        <v>0</v>
      </c>
      <c r="H4993">
        <v>0</v>
      </c>
    </row>
    <row r="4994" spans="1:8" x14ac:dyDescent="0.2">
      <c r="A4994" t="s">
        <v>4329</v>
      </c>
      <c r="B4994">
        <v>0</v>
      </c>
      <c r="C4994">
        <v>0</v>
      </c>
      <c r="D4994">
        <v>0</v>
      </c>
      <c r="E4994">
        <v>0</v>
      </c>
      <c r="F4994">
        <v>0</v>
      </c>
      <c r="G4994">
        <v>0</v>
      </c>
      <c r="H4994">
        <v>2180</v>
      </c>
    </row>
    <row r="4995" spans="1:8" x14ac:dyDescent="0.2">
      <c r="A4995" t="s">
        <v>4330</v>
      </c>
      <c r="B4995">
        <v>0</v>
      </c>
      <c r="C4995">
        <v>0</v>
      </c>
      <c r="D4995">
        <v>0</v>
      </c>
      <c r="E4995">
        <v>0</v>
      </c>
      <c r="F4995">
        <v>0</v>
      </c>
      <c r="G4995">
        <v>0</v>
      </c>
      <c r="H4995">
        <v>0</v>
      </c>
    </row>
    <row r="4996" spans="1:8" x14ac:dyDescent="0.2">
      <c r="A4996" t="s">
        <v>4331</v>
      </c>
      <c r="B4996">
        <v>0</v>
      </c>
      <c r="C4996">
        <v>0</v>
      </c>
      <c r="D4996">
        <v>0</v>
      </c>
      <c r="E4996">
        <v>0</v>
      </c>
      <c r="F4996">
        <v>0</v>
      </c>
      <c r="G4996">
        <v>0</v>
      </c>
      <c r="H4996">
        <v>0</v>
      </c>
    </row>
    <row r="4997" spans="1:8" x14ac:dyDescent="0.2">
      <c r="A4997" t="s">
        <v>4332</v>
      </c>
      <c r="B4997">
        <v>0</v>
      </c>
      <c r="C4997">
        <v>0</v>
      </c>
      <c r="D4997">
        <v>0</v>
      </c>
      <c r="E4997">
        <v>0</v>
      </c>
      <c r="F4997">
        <v>0</v>
      </c>
      <c r="G4997">
        <v>0</v>
      </c>
      <c r="H4997">
        <v>11268</v>
      </c>
    </row>
    <row r="4998" spans="1:8" x14ac:dyDescent="0.2">
      <c r="A4998" t="s">
        <v>4333</v>
      </c>
      <c r="B4998">
        <v>0</v>
      </c>
      <c r="C4998">
        <v>0</v>
      </c>
      <c r="D4998">
        <v>0</v>
      </c>
      <c r="E4998">
        <v>0</v>
      </c>
      <c r="F4998">
        <v>0</v>
      </c>
      <c r="G4998">
        <v>0</v>
      </c>
      <c r="H4998">
        <v>0</v>
      </c>
    </row>
    <row r="4999" spans="1:8" x14ac:dyDescent="0.2">
      <c r="A4999" t="s">
        <v>4334</v>
      </c>
      <c r="B4999">
        <v>0</v>
      </c>
      <c r="C4999">
        <v>0</v>
      </c>
      <c r="D4999">
        <v>0</v>
      </c>
      <c r="E4999">
        <v>0</v>
      </c>
      <c r="F4999">
        <v>0</v>
      </c>
      <c r="G4999">
        <v>0</v>
      </c>
      <c r="H4999">
        <v>4177</v>
      </c>
    </row>
    <row r="5000" spans="1:8" x14ac:dyDescent="0.2">
      <c r="A5000" t="s">
        <v>4335</v>
      </c>
      <c r="B5000">
        <v>0</v>
      </c>
      <c r="C5000">
        <v>0</v>
      </c>
      <c r="D5000">
        <v>0</v>
      </c>
      <c r="E5000">
        <v>0</v>
      </c>
      <c r="F5000">
        <v>0</v>
      </c>
      <c r="G5000">
        <v>0</v>
      </c>
      <c r="H5000">
        <v>4617</v>
      </c>
    </row>
    <row r="5001" spans="1:8" x14ac:dyDescent="0.2">
      <c r="A5001" t="s">
        <v>4336</v>
      </c>
      <c r="B5001">
        <v>0</v>
      </c>
      <c r="C5001">
        <v>0</v>
      </c>
      <c r="D5001">
        <v>0</v>
      </c>
      <c r="E5001">
        <v>0</v>
      </c>
      <c r="F5001">
        <v>0</v>
      </c>
      <c r="G5001">
        <v>0</v>
      </c>
      <c r="H5001">
        <v>0</v>
      </c>
    </row>
    <row r="5002" spans="1:8" x14ac:dyDescent="0.2">
      <c r="A5002" t="s">
        <v>4337</v>
      </c>
      <c r="B5002">
        <v>0</v>
      </c>
      <c r="C5002">
        <v>0</v>
      </c>
      <c r="D5002">
        <v>0</v>
      </c>
      <c r="E5002">
        <v>0</v>
      </c>
      <c r="F5002">
        <v>0</v>
      </c>
      <c r="G5002">
        <v>0</v>
      </c>
      <c r="H5002">
        <v>568</v>
      </c>
    </row>
    <row r="5003" spans="1:8" x14ac:dyDescent="0.2">
      <c r="A5003" t="s">
        <v>4338</v>
      </c>
      <c r="B5003">
        <v>0</v>
      </c>
      <c r="C5003">
        <v>0</v>
      </c>
      <c r="D5003">
        <v>0</v>
      </c>
      <c r="E5003">
        <v>0</v>
      </c>
      <c r="F5003">
        <v>0</v>
      </c>
      <c r="G5003">
        <v>0</v>
      </c>
      <c r="H5003">
        <v>1840</v>
      </c>
    </row>
    <row r="5004" spans="1:8" x14ac:dyDescent="0.2">
      <c r="A5004" t="s">
        <v>4339</v>
      </c>
      <c r="B5004">
        <v>0</v>
      </c>
      <c r="C5004">
        <v>0</v>
      </c>
      <c r="D5004">
        <v>0</v>
      </c>
      <c r="E5004">
        <v>0</v>
      </c>
      <c r="F5004">
        <v>0</v>
      </c>
      <c r="G5004">
        <v>0</v>
      </c>
      <c r="H5004">
        <v>0</v>
      </c>
    </row>
    <row r="5005" spans="1:8" x14ac:dyDescent="0.2">
      <c r="A5005" t="s">
        <v>4340</v>
      </c>
      <c r="B5005">
        <v>0</v>
      </c>
      <c r="C5005">
        <v>0</v>
      </c>
      <c r="D5005">
        <v>0</v>
      </c>
      <c r="E5005">
        <v>0</v>
      </c>
      <c r="F5005">
        <v>0</v>
      </c>
      <c r="G5005">
        <v>0</v>
      </c>
      <c r="H5005">
        <v>0</v>
      </c>
    </row>
    <row r="5006" spans="1:8" x14ac:dyDescent="0.2">
      <c r="A5006" t="s">
        <v>4341</v>
      </c>
      <c r="B5006">
        <v>0</v>
      </c>
      <c r="C5006">
        <v>0</v>
      </c>
      <c r="D5006">
        <v>0</v>
      </c>
      <c r="E5006">
        <v>0</v>
      </c>
      <c r="F5006">
        <v>0</v>
      </c>
      <c r="G5006">
        <v>0</v>
      </c>
      <c r="H5006">
        <v>53</v>
      </c>
    </row>
    <row r="5007" spans="1:8" x14ac:dyDescent="0.2">
      <c r="A5007" t="s">
        <v>4342</v>
      </c>
      <c r="B5007">
        <v>0</v>
      </c>
      <c r="C5007">
        <v>0</v>
      </c>
      <c r="D5007">
        <v>0</v>
      </c>
      <c r="E5007">
        <v>0</v>
      </c>
      <c r="F5007">
        <v>0</v>
      </c>
      <c r="G5007">
        <v>0</v>
      </c>
      <c r="H5007">
        <v>0</v>
      </c>
    </row>
    <row r="5008" spans="1:8" x14ac:dyDescent="0.2">
      <c r="A5008" t="s">
        <v>4343</v>
      </c>
      <c r="B5008">
        <v>0</v>
      </c>
      <c r="C5008">
        <v>0</v>
      </c>
      <c r="D5008">
        <v>0</v>
      </c>
      <c r="E5008">
        <v>0</v>
      </c>
      <c r="F5008">
        <v>0</v>
      </c>
      <c r="G5008">
        <v>0</v>
      </c>
      <c r="H5008">
        <v>0</v>
      </c>
    </row>
    <row r="5009" spans="1:8" x14ac:dyDescent="0.2">
      <c r="A5009" t="s">
        <v>1728</v>
      </c>
      <c r="B5009">
        <v>0</v>
      </c>
      <c r="C5009">
        <v>0</v>
      </c>
      <c r="D5009">
        <v>0</v>
      </c>
      <c r="E5009">
        <v>0</v>
      </c>
      <c r="F5009">
        <v>0</v>
      </c>
      <c r="G5009">
        <v>0</v>
      </c>
      <c r="H5009">
        <v>0</v>
      </c>
    </row>
    <row r="5010" spans="1:8" x14ac:dyDescent="0.2">
      <c r="A5010" t="s">
        <v>1730</v>
      </c>
      <c r="B5010">
        <v>0</v>
      </c>
      <c r="C5010">
        <v>0</v>
      </c>
      <c r="D5010">
        <v>5</v>
      </c>
      <c r="E5010">
        <v>0</v>
      </c>
      <c r="F5010">
        <v>0</v>
      </c>
      <c r="G5010">
        <v>0</v>
      </c>
      <c r="H5010">
        <v>2885</v>
      </c>
    </row>
    <row r="5011" spans="1:8" x14ac:dyDescent="0.2">
      <c r="A5011" t="s">
        <v>1733</v>
      </c>
      <c r="B5011">
        <v>0</v>
      </c>
      <c r="C5011">
        <v>0</v>
      </c>
      <c r="D5011">
        <v>0</v>
      </c>
      <c r="E5011">
        <v>0</v>
      </c>
      <c r="F5011">
        <v>0</v>
      </c>
      <c r="G5011">
        <v>0</v>
      </c>
      <c r="H5011">
        <v>2254</v>
      </c>
    </row>
    <row r="5012" spans="1:8" x14ac:dyDescent="0.2">
      <c r="A5012" t="s">
        <v>1738</v>
      </c>
      <c r="B5012">
        <v>0</v>
      </c>
      <c r="C5012">
        <v>0</v>
      </c>
      <c r="D5012">
        <v>0</v>
      </c>
      <c r="E5012">
        <v>0</v>
      </c>
      <c r="F5012">
        <v>0</v>
      </c>
      <c r="G5012">
        <v>0</v>
      </c>
      <c r="H5012">
        <v>805</v>
      </c>
    </row>
    <row r="5013" spans="1:8" x14ac:dyDescent="0.2">
      <c r="A5013" t="s">
        <v>1744</v>
      </c>
      <c r="B5013">
        <v>0</v>
      </c>
      <c r="C5013">
        <v>0</v>
      </c>
      <c r="D5013">
        <v>0</v>
      </c>
      <c r="E5013">
        <v>0</v>
      </c>
      <c r="F5013">
        <v>0</v>
      </c>
      <c r="G5013">
        <v>0</v>
      </c>
      <c r="H5013">
        <v>0</v>
      </c>
    </row>
    <row r="5014" spans="1:8" x14ac:dyDescent="0.2">
      <c r="A5014" t="s">
        <v>1747</v>
      </c>
      <c r="B5014">
        <v>0</v>
      </c>
      <c r="C5014">
        <v>0</v>
      </c>
      <c r="D5014">
        <v>0</v>
      </c>
      <c r="E5014">
        <v>0</v>
      </c>
      <c r="F5014">
        <v>0</v>
      </c>
      <c r="G5014">
        <v>0</v>
      </c>
      <c r="H5014">
        <v>0</v>
      </c>
    </row>
    <row r="5015" spans="1:8" x14ac:dyDescent="0.2">
      <c r="A5015" t="s">
        <v>1751</v>
      </c>
      <c r="B5015">
        <v>0</v>
      </c>
      <c r="C5015">
        <v>0</v>
      </c>
      <c r="D5015">
        <v>0</v>
      </c>
      <c r="E5015">
        <v>0</v>
      </c>
      <c r="F5015">
        <v>0</v>
      </c>
      <c r="G5015">
        <v>0</v>
      </c>
      <c r="H5015">
        <v>0</v>
      </c>
    </row>
    <row r="5016" spans="1:8" x14ac:dyDescent="0.2">
      <c r="A5016" t="s">
        <v>1755</v>
      </c>
      <c r="B5016">
        <v>0</v>
      </c>
      <c r="C5016">
        <v>0</v>
      </c>
      <c r="D5016">
        <v>0</v>
      </c>
      <c r="E5016">
        <v>0</v>
      </c>
      <c r="F5016">
        <v>0</v>
      </c>
      <c r="G5016">
        <v>0</v>
      </c>
      <c r="H5016">
        <v>7564</v>
      </c>
    </row>
    <row r="5017" spans="1:8" x14ac:dyDescent="0.2">
      <c r="A5017" t="s">
        <v>1757</v>
      </c>
      <c r="B5017">
        <v>0</v>
      </c>
      <c r="C5017">
        <v>0</v>
      </c>
      <c r="D5017">
        <v>0</v>
      </c>
      <c r="E5017">
        <v>0</v>
      </c>
      <c r="F5017">
        <v>0</v>
      </c>
      <c r="G5017">
        <v>0</v>
      </c>
      <c r="H5017">
        <v>6836</v>
      </c>
    </row>
    <row r="5018" spans="1:8" x14ac:dyDescent="0.2">
      <c r="A5018" t="s">
        <v>1761</v>
      </c>
      <c r="B5018">
        <v>0</v>
      </c>
      <c r="C5018">
        <v>0</v>
      </c>
      <c r="D5018">
        <v>0</v>
      </c>
      <c r="E5018">
        <v>0</v>
      </c>
      <c r="F5018">
        <v>0</v>
      </c>
      <c r="G5018">
        <v>0</v>
      </c>
      <c r="H5018">
        <v>0</v>
      </c>
    </row>
    <row r="5019" spans="1:8" x14ac:dyDescent="0.2">
      <c r="A5019" t="s">
        <v>1764</v>
      </c>
      <c r="B5019">
        <v>0</v>
      </c>
      <c r="C5019">
        <v>0</v>
      </c>
      <c r="D5019">
        <v>0</v>
      </c>
      <c r="E5019">
        <v>0</v>
      </c>
      <c r="F5019">
        <v>0</v>
      </c>
      <c r="G5019">
        <v>0</v>
      </c>
      <c r="H5019">
        <v>0</v>
      </c>
    </row>
    <row r="5020" spans="1:8" x14ac:dyDescent="0.2">
      <c r="A5020" t="s">
        <v>1770</v>
      </c>
      <c r="B5020">
        <v>0</v>
      </c>
      <c r="C5020">
        <v>0</v>
      </c>
      <c r="D5020">
        <v>0</v>
      </c>
      <c r="E5020">
        <v>0</v>
      </c>
      <c r="F5020">
        <v>0</v>
      </c>
      <c r="G5020">
        <v>0</v>
      </c>
      <c r="H5020">
        <v>23032</v>
      </c>
    </row>
    <row r="5021" spans="1:8" x14ac:dyDescent="0.2">
      <c r="A5021" t="s">
        <v>1772</v>
      </c>
      <c r="B5021">
        <v>0</v>
      </c>
      <c r="C5021">
        <v>0</v>
      </c>
      <c r="D5021">
        <v>0</v>
      </c>
      <c r="E5021">
        <v>0</v>
      </c>
      <c r="F5021">
        <v>0</v>
      </c>
      <c r="G5021">
        <v>0</v>
      </c>
      <c r="H5021">
        <v>8373</v>
      </c>
    </row>
    <row r="5022" spans="1:8" x14ac:dyDescent="0.2">
      <c r="A5022" t="s">
        <v>1774</v>
      </c>
      <c r="B5022">
        <v>0</v>
      </c>
      <c r="C5022">
        <v>0</v>
      </c>
      <c r="D5022">
        <v>0</v>
      </c>
      <c r="E5022">
        <v>0</v>
      </c>
      <c r="F5022">
        <v>0</v>
      </c>
      <c r="G5022">
        <v>0</v>
      </c>
      <c r="H5022">
        <v>5720</v>
      </c>
    </row>
    <row r="5023" spans="1:8" x14ac:dyDescent="0.2">
      <c r="A5023" t="s">
        <v>1777</v>
      </c>
      <c r="B5023">
        <v>0</v>
      </c>
      <c r="C5023">
        <v>0</v>
      </c>
      <c r="D5023">
        <v>0</v>
      </c>
      <c r="E5023">
        <v>0</v>
      </c>
      <c r="F5023">
        <v>0</v>
      </c>
      <c r="G5023">
        <v>0</v>
      </c>
      <c r="H5023">
        <v>614</v>
      </c>
    </row>
    <row r="5024" spans="1:8" x14ac:dyDescent="0.2">
      <c r="A5024" t="s">
        <v>1782</v>
      </c>
      <c r="B5024">
        <v>0</v>
      </c>
      <c r="C5024">
        <v>0</v>
      </c>
      <c r="D5024">
        <v>0</v>
      </c>
      <c r="E5024">
        <v>0</v>
      </c>
      <c r="F5024">
        <v>0</v>
      </c>
      <c r="G5024">
        <v>0</v>
      </c>
      <c r="H5024">
        <v>0</v>
      </c>
    </row>
    <row r="5025" spans="1:8" x14ac:dyDescent="0.2">
      <c r="A5025" t="s">
        <v>1274</v>
      </c>
      <c r="B5025">
        <v>0</v>
      </c>
      <c r="C5025">
        <v>0</v>
      </c>
      <c r="D5025">
        <v>0</v>
      </c>
      <c r="E5025">
        <v>0</v>
      </c>
      <c r="F5025">
        <v>0</v>
      </c>
      <c r="G5025">
        <v>0</v>
      </c>
      <c r="H5025">
        <v>2911</v>
      </c>
    </row>
    <row r="5026" spans="1:8" x14ac:dyDescent="0.2">
      <c r="A5026" t="s">
        <v>1277</v>
      </c>
      <c r="B5026">
        <v>0</v>
      </c>
      <c r="C5026">
        <v>0</v>
      </c>
      <c r="D5026">
        <v>0</v>
      </c>
      <c r="E5026">
        <v>0</v>
      </c>
      <c r="F5026">
        <v>0</v>
      </c>
      <c r="G5026">
        <v>0</v>
      </c>
      <c r="H5026">
        <v>24865</v>
      </c>
    </row>
    <row r="5027" spans="1:8" x14ac:dyDescent="0.2">
      <c r="A5027" t="s">
        <v>1798</v>
      </c>
      <c r="B5027">
        <v>0</v>
      </c>
      <c r="C5027">
        <v>0</v>
      </c>
      <c r="D5027">
        <v>0</v>
      </c>
      <c r="E5027">
        <v>0</v>
      </c>
      <c r="F5027">
        <v>0</v>
      </c>
      <c r="G5027">
        <v>0</v>
      </c>
      <c r="H5027">
        <v>24393</v>
      </c>
    </row>
    <row r="5028" spans="1:8" x14ac:dyDescent="0.2">
      <c r="A5028" t="s">
        <v>1803</v>
      </c>
      <c r="B5028">
        <v>0</v>
      </c>
      <c r="C5028">
        <v>0</v>
      </c>
      <c r="D5028">
        <v>0</v>
      </c>
      <c r="E5028">
        <v>0</v>
      </c>
      <c r="F5028">
        <v>0</v>
      </c>
      <c r="G5028">
        <v>0</v>
      </c>
      <c r="H5028">
        <v>1952</v>
      </c>
    </row>
    <row r="5029" spans="1:8" x14ac:dyDescent="0.2">
      <c r="A5029" t="s">
        <v>1808</v>
      </c>
      <c r="B5029">
        <v>0</v>
      </c>
      <c r="C5029">
        <v>0</v>
      </c>
      <c r="D5029">
        <v>0</v>
      </c>
      <c r="E5029">
        <v>0</v>
      </c>
      <c r="F5029">
        <v>0</v>
      </c>
      <c r="G5029">
        <v>0</v>
      </c>
      <c r="H5029">
        <v>425</v>
      </c>
    </row>
    <row r="5030" spans="1:8" x14ac:dyDescent="0.2">
      <c r="A5030" t="s">
        <v>1813</v>
      </c>
      <c r="B5030">
        <v>0</v>
      </c>
      <c r="C5030">
        <v>0</v>
      </c>
      <c r="D5030">
        <v>0</v>
      </c>
      <c r="E5030">
        <v>0</v>
      </c>
      <c r="F5030">
        <v>0</v>
      </c>
      <c r="G5030">
        <v>0</v>
      </c>
      <c r="H5030">
        <v>0</v>
      </c>
    </row>
    <row r="5031" spans="1:8" x14ac:dyDescent="0.2">
      <c r="A5031" t="s">
        <v>1819</v>
      </c>
      <c r="B5031">
        <v>0</v>
      </c>
      <c r="C5031">
        <v>0</v>
      </c>
      <c r="D5031">
        <v>0</v>
      </c>
      <c r="E5031">
        <v>0</v>
      </c>
      <c r="F5031">
        <v>0</v>
      </c>
      <c r="G5031">
        <v>0</v>
      </c>
      <c r="H5031">
        <v>647</v>
      </c>
    </row>
    <row r="5032" spans="1:8" x14ac:dyDescent="0.2">
      <c r="A5032" t="s">
        <v>1826</v>
      </c>
      <c r="B5032">
        <v>0</v>
      </c>
      <c r="C5032">
        <v>0</v>
      </c>
      <c r="D5032">
        <v>0</v>
      </c>
      <c r="E5032">
        <v>0</v>
      </c>
      <c r="F5032">
        <v>0</v>
      </c>
      <c r="G5032">
        <v>0</v>
      </c>
      <c r="H5032">
        <v>15565</v>
      </c>
    </row>
    <row r="5033" spans="1:8" x14ac:dyDescent="0.2">
      <c r="A5033" t="s">
        <v>1830</v>
      </c>
      <c r="B5033">
        <v>0</v>
      </c>
      <c r="C5033">
        <v>0</v>
      </c>
      <c r="D5033">
        <v>0</v>
      </c>
      <c r="E5033">
        <v>0</v>
      </c>
      <c r="F5033">
        <v>0</v>
      </c>
      <c r="G5033">
        <v>0</v>
      </c>
      <c r="H5033">
        <v>1995</v>
      </c>
    </row>
    <row r="5034" spans="1:8" x14ac:dyDescent="0.2">
      <c r="A5034" t="s">
        <v>1836</v>
      </c>
      <c r="B5034">
        <v>0</v>
      </c>
      <c r="C5034">
        <v>0</v>
      </c>
      <c r="D5034">
        <v>0</v>
      </c>
      <c r="E5034">
        <v>0</v>
      </c>
      <c r="F5034">
        <v>0</v>
      </c>
      <c r="G5034">
        <v>0</v>
      </c>
      <c r="H5034">
        <v>0</v>
      </c>
    </row>
    <row r="5035" spans="1:8" x14ac:dyDescent="0.2">
      <c r="A5035" t="s">
        <v>1841</v>
      </c>
      <c r="B5035">
        <v>0</v>
      </c>
      <c r="C5035">
        <v>0</v>
      </c>
      <c r="D5035">
        <v>0</v>
      </c>
      <c r="E5035">
        <v>0</v>
      </c>
      <c r="F5035">
        <v>0</v>
      </c>
      <c r="G5035">
        <v>0</v>
      </c>
      <c r="H5035">
        <v>3016</v>
      </c>
    </row>
    <row r="5036" spans="1:8" x14ac:dyDescent="0.2">
      <c r="A5036" t="s">
        <v>1842</v>
      </c>
      <c r="B5036">
        <v>0</v>
      </c>
      <c r="C5036">
        <v>0</v>
      </c>
      <c r="D5036">
        <v>0</v>
      </c>
      <c r="E5036">
        <v>0</v>
      </c>
      <c r="F5036">
        <v>0</v>
      </c>
      <c r="G5036">
        <v>0</v>
      </c>
      <c r="H5036">
        <v>12821</v>
      </c>
    </row>
    <row r="5037" spans="1:8" x14ac:dyDescent="0.2">
      <c r="A5037" t="s">
        <v>1843</v>
      </c>
      <c r="B5037">
        <v>0</v>
      </c>
      <c r="C5037">
        <v>0</v>
      </c>
      <c r="D5037">
        <v>0</v>
      </c>
      <c r="E5037">
        <v>0</v>
      </c>
      <c r="F5037">
        <v>0</v>
      </c>
      <c r="G5037">
        <v>0</v>
      </c>
      <c r="H5037">
        <v>5999</v>
      </c>
    </row>
    <row r="5038" spans="1:8" x14ac:dyDescent="0.2">
      <c r="A5038" t="s">
        <v>1846</v>
      </c>
      <c r="B5038">
        <v>0</v>
      </c>
      <c r="C5038">
        <v>0</v>
      </c>
      <c r="D5038">
        <v>0</v>
      </c>
      <c r="E5038">
        <v>0</v>
      </c>
      <c r="F5038">
        <v>0</v>
      </c>
      <c r="G5038">
        <v>0</v>
      </c>
      <c r="H5038">
        <v>0</v>
      </c>
    </row>
    <row r="5039" spans="1:8" x14ac:dyDescent="0.2">
      <c r="A5039" t="s">
        <v>1851</v>
      </c>
      <c r="B5039">
        <v>0</v>
      </c>
      <c r="C5039">
        <v>0</v>
      </c>
      <c r="D5039">
        <v>0</v>
      </c>
      <c r="E5039">
        <v>0</v>
      </c>
      <c r="F5039">
        <v>0</v>
      </c>
      <c r="G5039">
        <v>0</v>
      </c>
      <c r="H5039">
        <v>5748</v>
      </c>
    </row>
    <row r="5040" spans="1:8" x14ac:dyDescent="0.2">
      <c r="A5040" t="s">
        <v>1857</v>
      </c>
      <c r="B5040">
        <v>0</v>
      </c>
      <c r="C5040">
        <v>0</v>
      </c>
      <c r="D5040">
        <v>0</v>
      </c>
      <c r="E5040">
        <v>0</v>
      </c>
      <c r="F5040">
        <v>0</v>
      </c>
      <c r="G5040">
        <v>0</v>
      </c>
      <c r="H5040">
        <v>21</v>
      </c>
    </row>
    <row r="5041" spans="1:8" x14ac:dyDescent="0.2">
      <c r="A5041" t="s">
        <v>1862</v>
      </c>
      <c r="B5041">
        <v>0</v>
      </c>
      <c r="C5041">
        <v>0</v>
      </c>
      <c r="D5041">
        <v>0</v>
      </c>
      <c r="E5041">
        <v>0</v>
      </c>
      <c r="F5041">
        <v>0</v>
      </c>
      <c r="G5041">
        <v>0</v>
      </c>
      <c r="H5041">
        <v>23731</v>
      </c>
    </row>
    <row r="5042" spans="1:8" x14ac:dyDescent="0.2">
      <c r="A5042" t="s">
        <v>1867</v>
      </c>
      <c r="B5042">
        <v>0</v>
      </c>
      <c r="C5042">
        <v>0</v>
      </c>
      <c r="D5042">
        <v>0</v>
      </c>
      <c r="E5042">
        <v>0</v>
      </c>
      <c r="F5042">
        <v>0</v>
      </c>
      <c r="G5042">
        <v>0</v>
      </c>
      <c r="H5042">
        <v>206</v>
      </c>
    </row>
    <row r="5043" spans="1:8" x14ac:dyDescent="0.2">
      <c r="A5043" t="s">
        <v>1870</v>
      </c>
      <c r="B5043">
        <v>0</v>
      </c>
      <c r="C5043">
        <v>0</v>
      </c>
      <c r="D5043">
        <v>0</v>
      </c>
      <c r="E5043">
        <v>0</v>
      </c>
      <c r="F5043">
        <v>0</v>
      </c>
      <c r="G5043">
        <v>0</v>
      </c>
      <c r="H5043">
        <v>0</v>
      </c>
    </row>
    <row r="5044" spans="1:8" x14ac:dyDescent="0.2">
      <c r="A5044" t="s">
        <v>1874</v>
      </c>
      <c r="B5044">
        <v>0</v>
      </c>
      <c r="C5044">
        <v>0</v>
      </c>
      <c r="D5044">
        <v>0</v>
      </c>
      <c r="E5044">
        <v>0</v>
      </c>
      <c r="F5044">
        <v>0</v>
      </c>
      <c r="G5044">
        <v>0</v>
      </c>
      <c r="H5044">
        <v>4681</v>
      </c>
    </row>
    <row r="5045" spans="1:8" x14ac:dyDescent="0.2">
      <c r="A5045" t="s">
        <v>1876</v>
      </c>
      <c r="B5045">
        <v>0</v>
      </c>
      <c r="C5045">
        <v>0</v>
      </c>
      <c r="D5045">
        <v>0</v>
      </c>
      <c r="E5045">
        <v>0</v>
      </c>
      <c r="F5045">
        <v>0</v>
      </c>
      <c r="G5045">
        <v>0</v>
      </c>
      <c r="H5045">
        <v>663</v>
      </c>
    </row>
    <row r="5046" spans="1:8" x14ac:dyDescent="0.2">
      <c r="A5046" t="s">
        <v>1881</v>
      </c>
      <c r="B5046">
        <v>0</v>
      </c>
      <c r="C5046">
        <v>0</v>
      </c>
      <c r="D5046">
        <v>0</v>
      </c>
      <c r="E5046">
        <v>0</v>
      </c>
      <c r="F5046">
        <v>0</v>
      </c>
      <c r="G5046">
        <v>0</v>
      </c>
      <c r="H5046">
        <v>1948</v>
      </c>
    </row>
    <row r="5047" spans="1:8" x14ac:dyDescent="0.2">
      <c r="A5047" t="s">
        <v>1885</v>
      </c>
      <c r="B5047">
        <v>0</v>
      </c>
      <c r="C5047">
        <v>0</v>
      </c>
      <c r="D5047">
        <v>0</v>
      </c>
      <c r="E5047">
        <v>0</v>
      </c>
      <c r="F5047">
        <v>0</v>
      </c>
      <c r="G5047">
        <v>0</v>
      </c>
      <c r="H5047">
        <v>25894</v>
      </c>
    </row>
    <row r="5048" spans="1:8" x14ac:dyDescent="0.2">
      <c r="A5048" t="s">
        <v>1887</v>
      </c>
      <c r="B5048">
        <v>0</v>
      </c>
      <c r="C5048">
        <v>0</v>
      </c>
      <c r="D5048">
        <v>0</v>
      </c>
      <c r="E5048">
        <v>0</v>
      </c>
      <c r="F5048">
        <v>0</v>
      </c>
      <c r="G5048">
        <v>0</v>
      </c>
      <c r="H5048">
        <v>333</v>
      </c>
    </row>
    <row r="5049" spans="1:8" x14ac:dyDescent="0.2">
      <c r="A5049" t="s">
        <v>1893</v>
      </c>
      <c r="B5049">
        <v>0</v>
      </c>
      <c r="C5049">
        <v>0</v>
      </c>
      <c r="D5049">
        <v>0</v>
      </c>
      <c r="E5049">
        <v>0</v>
      </c>
      <c r="F5049">
        <v>0</v>
      </c>
      <c r="G5049">
        <v>0</v>
      </c>
      <c r="H5049">
        <v>2657</v>
      </c>
    </row>
    <row r="5050" spans="1:8" x14ac:dyDescent="0.2">
      <c r="A5050" t="s">
        <v>1899</v>
      </c>
      <c r="B5050">
        <v>0</v>
      </c>
      <c r="C5050">
        <v>0</v>
      </c>
      <c r="D5050">
        <v>0</v>
      </c>
      <c r="E5050">
        <v>0</v>
      </c>
      <c r="F5050">
        <v>0</v>
      </c>
      <c r="G5050">
        <v>0</v>
      </c>
      <c r="H5050">
        <v>0</v>
      </c>
    </row>
    <row r="5051" spans="1:8" x14ac:dyDescent="0.2">
      <c r="A5051" t="s">
        <v>1906</v>
      </c>
      <c r="B5051">
        <v>0</v>
      </c>
      <c r="C5051">
        <v>0</v>
      </c>
      <c r="D5051">
        <v>0</v>
      </c>
      <c r="E5051">
        <v>0</v>
      </c>
      <c r="F5051">
        <v>0</v>
      </c>
      <c r="G5051">
        <v>0</v>
      </c>
      <c r="H5051">
        <v>2608</v>
      </c>
    </row>
    <row r="5052" spans="1:8" x14ac:dyDescent="0.2">
      <c r="A5052" t="s">
        <v>1911</v>
      </c>
      <c r="B5052">
        <v>0</v>
      </c>
      <c r="C5052">
        <v>0</v>
      </c>
      <c r="D5052">
        <v>0</v>
      </c>
      <c r="E5052">
        <v>0</v>
      </c>
      <c r="F5052">
        <v>0</v>
      </c>
      <c r="G5052">
        <v>0</v>
      </c>
      <c r="H5052">
        <v>0</v>
      </c>
    </row>
    <row r="5053" spans="1:8" x14ac:dyDescent="0.2">
      <c r="A5053" t="s">
        <v>1917</v>
      </c>
      <c r="B5053">
        <v>0</v>
      </c>
      <c r="C5053">
        <v>0</v>
      </c>
      <c r="D5053">
        <v>0</v>
      </c>
      <c r="E5053">
        <v>0</v>
      </c>
      <c r="F5053">
        <v>0</v>
      </c>
      <c r="G5053">
        <v>0</v>
      </c>
      <c r="H5053">
        <v>3806</v>
      </c>
    </row>
    <row r="5054" spans="1:8" x14ac:dyDescent="0.2">
      <c r="A5054" t="s">
        <v>1922</v>
      </c>
      <c r="B5054">
        <v>0</v>
      </c>
      <c r="C5054">
        <v>0</v>
      </c>
      <c r="D5054">
        <v>0</v>
      </c>
      <c r="E5054">
        <v>0</v>
      </c>
      <c r="F5054">
        <v>0</v>
      </c>
      <c r="G5054">
        <v>0</v>
      </c>
      <c r="H5054">
        <v>3465</v>
      </c>
    </row>
    <row r="5055" spans="1:8" x14ac:dyDescent="0.2">
      <c r="A5055" t="s">
        <v>1928</v>
      </c>
      <c r="B5055">
        <v>0</v>
      </c>
      <c r="C5055">
        <v>0</v>
      </c>
      <c r="D5055">
        <v>0</v>
      </c>
      <c r="E5055">
        <v>0</v>
      </c>
      <c r="F5055">
        <v>0</v>
      </c>
      <c r="G5055">
        <v>0</v>
      </c>
      <c r="H5055">
        <v>21330</v>
      </c>
    </row>
    <row r="5056" spans="1:8" x14ac:dyDescent="0.2">
      <c r="A5056" t="s">
        <v>1932</v>
      </c>
      <c r="B5056">
        <v>0</v>
      </c>
      <c r="C5056">
        <v>0</v>
      </c>
      <c r="D5056">
        <v>0</v>
      </c>
      <c r="E5056">
        <v>0</v>
      </c>
      <c r="F5056">
        <v>0</v>
      </c>
      <c r="G5056">
        <v>0</v>
      </c>
      <c r="H5056">
        <v>2260</v>
      </c>
    </row>
    <row r="5057" spans="1:8" x14ac:dyDescent="0.2">
      <c r="A5057" t="s">
        <v>1938</v>
      </c>
      <c r="B5057">
        <v>0</v>
      </c>
      <c r="C5057">
        <v>0</v>
      </c>
      <c r="D5057">
        <v>0</v>
      </c>
      <c r="E5057">
        <v>0</v>
      </c>
      <c r="F5057">
        <v>0</v>
      </c>
      <c r="G5057">
        <v>0</v>
      </c>
      <c r="H5057">
        <v>477</v>
      </c>
    </row>
    <row r="5058" spans="1:8" x14ac:dyDescent="0.2">
      <c r="A5058" t="s">
        <v>1944</v>
      </c>
      <c r="B5058">
        <v>0</v>
      </c>
      <c r="C5058">
        <v>0</v>
      </c>
      <c r="D5058">
        <v>0</v>
      </c>
      <c r="E5058">
        <v>0</v>
      </c>
      <c r="F5058">
        <v>0</v>
      </c>
      <c r="G5058">
        <v>0</v>
      </c>
      <c r="H5058">
        <v>4792</v>
      </c>
    </row>
    <row r="5059" spans="1:8" x14ac:dyDescent="0.2">
      <c r="A5059" t="s">
        <v>1947</v>
      </c>
      <c r="B5059">
        <v>0</v>
      </c>
      <c r="C5059">
        <v>0</v>
      </c>
      <c r="D5059">
        <v>0</v>
      </c>
      <c r="E5059">
        <v>0</v>
      </c>
      <c r="F5059">
        <v>0</v>
      </c>
      <c r="G5059">
        <v>0</v>
      </c>
      <c r="H5059">
        <v>90</v>
      </c>
    </row>
    <row r="5060" spans="1:8" x14ac:dyDescent="0.2">
      <c r="A5060" t="s">
        <v>1953</v>
      </c>
      <c r="B5060">
        <v>0</v>
      </c>
      <c r="C5060">
        <v>0</v>
      </c>
      <c r="D5060">
        <v>0</v>
      </c>
      <c r="E5060">
        <v>0</v>
      </c>
      <c r="F5060">
        <v>0</v>
      </c>
      <c r="G5060">
        <v>0</v>
      </c>
      <c r="H5060">
        <v>267</v>
      </c>
    </row>
    <row r="5061" spans="1:8" x14ac:dyDescent="0.2">
      <c r="A5061" t="s">
        <v>1958</v>
      </c>
      <c r="B5061">
        <v>0</v>
      </c>
      <c r="C5061">
        <v>0</v>
      </c>
      <c r="D5061">
        <v>0</v>
      </c>
      <c r="E5061">
        <v>0</v>
      </c>
      <c r="F5061">
        <v>0</v>
      </c>
      <c r="G5061">
        <v>0</v>
      </c>
      <c r="H5061">
        <v>0</v>
      </c>
    </row>
    <row r="5062" spans="1:8" x14ac:dyDescent="0.2">
      <c r="A5062" t="s">
        <v>1964</v>
      </c>
      <c r="B5062">
        <v>0</v>
      </c>
      <c r="C5062">
        <v>0</v>
      </c>
      <c r="D5062">
        <v>0</v>
      </c>
      <c r="E5062">
        <v>0</v>
      </c>
      <c r="F5062">
        <v>0</v>
      </c>
      <c r="G5062">
        <v>0</v>
      </c>
      <c r="H5062">
        <v>165</v>
      </c>
    </row>
    <row r="5063" spans="1:8" x14ac:dyDescent="0.2">
      <c r="A5063" t="s">
        <v>1973</v>
      </c>
      <c r="B5063">
        <v>0</v>
      </c>
      <c r="C5063">
        <v>0</v>
      </c>
      <c r="D5063">
        <v>0</v>
      </c>
      <c r="E5063">
        <v>0</v>
      </c>
      <c r="F5063">
        <v>0</v>
      </c>
      <c r="G5063">
        <v>0</v>
      </c>
      <c r="H5063">
        <v>5919</v>
      </c>
    </row>
    <row r="5064" spans="1:8" x14ac:dyDescent="0.2">
      <c r="A5064" t="s">
        <v>1978</v>
      </c>
      <c r="B5064">
        <v>0</v>
      </c>
      <c r="C5064">
        <v>0</v>
      </c>
      <c r="D5064">
        <v>0</v>
      </c>
      <c r="E5064">
        <v>0</v>
      </c>
      <c r="F5064">
        <v>0</v>
      </c>
      <c r="G5064">
        <v>0</v>
      </c>
      <c r="H5064">
        <v>3832</v>
      </c>
    </row>
    <row r="5065" spans="1:8" x14ac:dyDescent="0.2">
      <c r="A5065" t="s">
        <v>1983</v>
      </c>
      <c r="B5065">
        <v>0</v>
      </c>
      <c r="C5065">
        <v>0</v>
      </c>
      <c r="D5065">
        <v>0</v>
      </c>
      <c r="E5065">
        <v>0</v>
      </c>
      <c r="F5065">
        <v>0</v>
      </c>
      <c r="G5065">
        <v>0</v>
      </c>
      <c r="H5065">
        <v>1058</v>
      </c>
    </row>
    <row r="5066" spans="1:8" x14ac:dyDescent="0.2">
      <c r="A5066" t="s">
        <v>1984</v>
      </c>
      <c r="B5066">
        <v>0</v>
      </c>
      <c r="C5066">
        <v>0</v>
      </c>
      <c r="D5066">
        <v>0</v>
      </c>
      <c r="E5066">
        <v>0</v>
      </c>
      <c r="F5066">
        <v>0</v>
      </c>
      <c r="G5066">
        <v>0</v>
      </c>
      <c r="H5066">
        <v>0</v>
      </c>
    </row>
    <row r="5067" spans="1:8" x14ac:dyDescent="0.2">
      <c r="A5067" t="s">
        <v>1990</v>
      </c>
      <c r="B5067">
        <v>0</v>
      </c>
      <c r="C5067">
        <v>0</v>
      </c>
      <c r="D5067">
        <v>0</v>
      </c>
      <c r="E5067">
        <v>0</v>
      </c>
      <c r="F5067">
        <v>0</v>
      </c>
      <c r="G5067">
        <v>0</v>
      </c>
      <c r="H5067">
        <v>218</v>
      </c>
    </row>
    <row r="5068" spans="1:8" x14ac:dyDescent="0.2">
      <c r="A5068" t="s">
        <v>1996</v>
      </c>
      <c r="B5068">
        <v>0</v>
      </c>
      <c r="C5068">
        <v>0</v>
      </c>
      <c r="D5068">
        <v>0</v>
      </c>
      <c r="E5068">
        <v>0</v>
      </c>
      <c r="F5068">
        <v>0</v>
      </c>
      <c r="G5068">
        <v>0</v>
      </c>
      <c r="H5068">
        <v>0</v>
      </c>
    </row>
    <row r="5069" spans="1:8" x14ac:dyDescent="0.2">
      <c r="A5069" t="s">
        <v>1998</v>
      </c>
      <c r="B5069">
        <v>0</v>
      </c>
      <c r="C5069">
        <v>0</v>
      </c>
      <c r="D5069">
        <v>0</v>
      </c>
      <c r="E5069">
        <v>0</v>
      </c>
      <c r="F5069">
        <v>0</v>
      </c>
      <c r="G5069">
        <v>0</v>
      </c>
      <c r="H5069">
        <v>0</v>
      </c>
    </row>
    <row r="5070" spans="1:8" x14ac:dyDescent="0.2">
      <c r="A5070" t="s">
        <v>1999</v>
      </c>
      <c r="B5070">
        <v>0</v>
      </c>
      <c r="C5070">
        <v>0</v>
      </c>
      <c r="D5070">
        <v>0</v>
      </c>
      <c r="E5070">
        <v>0</v>
      </c>
      <c r="F5070">
        <v>0</v>
      </c>
      <c r="G5070">
        <v>0</v>
      </c>
      <c r="H5070">
        <v>562</v>
      </c>
    </row>
    <row r="5071" spans="1:8" x14ac:dyDescent="0.2">
      <c r="A5071" t="s">
        <v>2004</v>
      </c>
      <c r="B5071">
        <v>0</v>
      </c>
      <c r="C5071">
        <v>0</v>
      </c>
      <c r="D5071">
        <v>0</v>
      </c>
      <c r="E5071">
        <v>0</v>
      </c>
      <c r="F5071">
        <v>0</v>
      </c>
      <c r="G5071">
        <v>0</v>
      </c>
      <c r="H5071">
        <v>1159</v>
      </c>
    </row>
    <row r="5072" spans="1:8" x14ac:dyDescent="0.2">
      <c r="A5072" t="s">
        <v>2009</v>
      </c>
      <c r="B5072">
        <v>0</v>
      </c>
      <c r="C5072">
        <v>0</v>
      </c>
      <c r="D5072">
        <v>0</v>
      </c>
      <c r="E5072">
        <v>0</v>
      </c>
      <c r="F5072">
        <v>0</v>
      </c>
      <c r="G5072">
        <v>0</v>
      </c>
      <c r="H5072">
        <v>0</v>
      </c>
    </row>
    <row r="5073" spans="1:8" x14ac:dyDescent="0.2">
      <c r="A5073" t="s">
        <v>2014</v>
      </c>
      <c r="B5073">
        <v>0</v>
      </c>
      <c r="C5073">
        <v>0</v>
      </c>
      <c r="D5073">
        <v>0</v>
      </c>
      <c r="E5073">
        <v>0</v>
      </c>
      <c r="F5073">
        <v>0</v>
      </c>
      <c r="G5073">
        <v>0</v>
      </c>
      <c r="H5073">
        <v>34532</v>
      </c>
    </row>
    <row r="5074" spans="1:8" x14ac:dyDescent="0.2">
      <c r="A5074" t="s">
        <v>2019</v>
      </c>
      <c r="B5074">
        <v>0</v>
      </c>
      <c r="C5074">
        <v>0</v>
      </c>
      <c r="D5074">
        <v>0</v>
      </c>
      <c r="E5074">
        <v>0</v>
      </c>
      <c r="F5074">
        <v>0</v>
      </c>
      <c r="G5074">
        <v>0</v>
      </c>
      <c r="H5074">
        <v>0</v>
      </c>
    </row>
    <row r="5075" spans="1:8" x14ac:dyDescent="0.2">
      <c r="A5075" t="s">
        <v>2023</v>
      </c>
      <c r="B5075">
        <v>0</v>
      </c>
      <c r="C5075">
        <v>0</v>
      </c>
      <c r="D5075">
        <v>0</v>
      </c>
      <c r="E5075">
        <v>0</v>
      </c>
      <c r="F5075">
        <v>0</v>
      </c>
      <c r="G5075">
        <v>0</v>
      </c>
      <c r="H5075">
        <v>116</v>
      </c>
    </row>
    <row r="5076" spans="1:8" x14ac:dyDescent="0.2">
      <c r="A5076" t="s">
        <v>2026</v>
      </c>
      <c r="B5076">
        <v>0</v>
      </c>
      <c r="C5076">
        <v>0</v>
      </c>
      <c r="D5076">
        <v>0</v>
      </c>
      <c r="E5076">
        <v>0</v>
      </c>
      <c r="F5076">
        <v>0</v>
      </c>
      <c r="G5076">
        <v>0</v>
      </c>
      <c r="H5076">
        <v>2471</v>
      </c>
    </row>
    <row r="5077" spans="1:8" x14ac:dyDescent="0.2">
      <c r="A5077" t="s">
        <v>2030</v>
      </c>
      <c r="B5077">
        <v>0</v>
      </c>
      <c r="C5077">
        <v>0</v>
      </c>
      <c r="D5077">
        <v>0</v>
      </c>
      <c r="E5077">
        <v>0</v>
      </c>
      <c r="F5077">
        <v>0</v>
      </c>
      <c r="G5077">
        <v>0</v>
      </c>
      <c r="H5077">
        <v>2</v>
      </c>
    </row>
    <row r="5078" spans="1:8" x14ac:dyDescent="0.2">
      <c r="A5078" t="s">
        <v>2035</v>
      </c>
      <c r="B5078">
        <v>0</v>
      </c>
      <c r="C5078">
        <v>0</v>
      </c>
      <c r="D5078">
        <v>0</v>
      </c>
      <c r="E5078">
        <v>0</v>
      </c>
      <c r="F5078">
        <v>0</v>
      </c>
      <c r="G5078">
        <v>0</v>
      </c>
      <c r="H5078">
        <v>0</v>
      </c>
    </row>
    <row r="5079" spans="1:8" x14ac:dyDescent="0.2">
      <c r="A5079" t="s">
        <v>2040</v>
      </c>
      <c r="B5079">
        <v>0</v>
      </c>
      <c r="C5079">
        <v>0</v>
      </c>
      <c r="D5079">
        <v>0</v>
      </c>
      <c r="E5079">
        <v>0</v>
      </c>
      <c r="F5079">
        <v>0</v>
      </c>
      <c r="G5079">
        <v>0</v>
      </c>
      <c r="H5079">
        <v>1934</v>
      </c>
    </row>
    <row r="5080" spans="1:8" x14ac:dyDescent="0.2">
      <c r="A5080" t="s">
        <v>2045</v>
      </c>
      <c r="B5080">
        <v>0</v>
      </c>
      <c r="C5080">
        <v>0</v>
      </c>
      <c r="D5080">
        <v>0</v>
      </c>
      <c r="E5080">
        <v>0</v>
      </c>
      <c r="F5080">
        <v>0</v>
      </c>
      <c r="G5080">
        <v>0</v>
      </c>
      <c r="H5080">
        <v>5</v>
      </c>
    </row>
    <row r="5081" spans="1:8" x14ac:dyDescent="0.2">
      <c r="A5081" t="s">
        <v>2049</v>
      </c>
      <c r="B5081">
        <v>0</v>
      </c>
      <c r="C5081">
        <v>0</v>
      </c>
      <c r="D5081">
        <v>0</v>
      </c>
      <c r="E5081">
        <v>0</v>
      </c>
      <c r="F5081">
        <v>0</v>
      </c>
      <c r="G5081">
        <v>0</v>
      </c>
      <c r="H5081">
        <v>8002</v>
      </c>
    </row>
    <row r="5082" spans="1:8" x14ac:dyDescent="0.2">
      <c r="A5082" t="s">
        <v>2051</v>
      </c>
      <c r="B5082">
        <v>0</v>
      </c>
      <c r="C5082">
        <v>0</v>
      </c>
      <c r="D5082">
        <v>0</v>
      </c>
      <c r="E5082">
        <v>0</v>
      </c>
      <c r="F5082">
        <v>0</v>
      </c>
      <c r="G5082">
        <v>0</v>
      </c>
      <c r="H5082">
        <v>1368</v>
      </c>
    </row>
    <row r="5083" spans="1:8" x14ac:dyDescent="0.2">
      <c r="A5083" t="s">
        <v>2057</v>
      </c>
      <c r="B5083">
        <v>0</v>
      </c>
      <c r="C5083">
        <v>0</v>
      </c>
      <c r="D5083">
        <v>0</v>
      </c>
      <c r="E5083">
        <v>0</v>
      </c>
      <c r="F5083">
        <v>0</v>
      </c>
      <c r="G5083">
        <v>0</v>
      </c>
      <c r="H5083">
        <v>2362</v>
      </c>
    </row>
    <row r="5084" spans="1:8" x14ac:dyDescent="0.2">
      <c r="A5084" t="s">
        <v>4344</v>
      </c>
      <c r="B5084">
        <v>0</v>
      </c>
      <c r="C5084">
        <v>0</v>
      </c>
      <c r="D5084">
        <v>0</v>
      </c>
      <c r="E5084">
        <v>0</v>
      </c>
      <c r="F5084">
        <v>0</v>
      </c>
      <c r="G5084">
        <v>0</v>
      </c>
      <c r="H5084">
        <v>1334</v>
      </c>
    </row>
    <row r="5085" spans="1:8" x14ac:dyDescent="0.2">
      <c r="A5085" t="s">
        <v>4345</v>
      </c>
      <c r="B5085">
        <v>0</v>
      </c>
      <c r="C5085">
        <v>0</v>
      </c>
      <c r="D5085">
        <v>0</v>
      </c>
      <c r="E5085">
        <v>0</v>
      </c>
      <c r="F5085">
        <v>0</v>
      </c>
      <c r="G5085">
        <v>0</v>
      </c>
      <c r="H5085">
        <v>6164</v>
      </c>
    </row>
    <row r="5086" spans="1:8" x14ac:dyDescent="0.2">
      <c r="A5086" t="s">
        <v>2074</v>
      </c>
      <c r="B5086">
        <v>0</v>
      </c>
      <c r="C5086">
        <v>0</v>
      </c>
      <c r="D5086">
        <v>0</v>
      </c>
      <c r="E5086">
        <v>0</v>
      </c>
      <c r="F5086">
        <v>0</v>
      </c>
      <c r="G5086">
        <v>0</v>
      </c>
      <c r="H5086">
        <v>1284</v>
      </c>
    </row>
    <row r="5087" spans="1:8" x14ac:dyDescent="0.2">
      <c r="A5087" t="s">
        <v>2079</v>
      </c>
      <c r="B5087">
        <v>0</v>
      </c>
      <c r="C5087">
        <v>0</v>
      </c>
      <c r="D5087">
        <v>0</v>
      </c>
      <c r="E5087">
        <v>0</v>
      </c>
      <c r="F5087">
        <v>0</v>
      </c>
      <c r="G5087">
        <v>0</v>
      </c>
      <c r="H5087">
        <v>3993</v>
      </c>
    </row>
    <row r="5088" spans="1:8" x14ac:dyDescent="0.2">
      <c r="A5088" t="s">
        <v>2085</v>
      </c>
      <c r="B5088">
        <v>0</v>
      </c>
      <c r="C5088">
        <v>0</v>
      </c>
      <c r="D5088">
        <v>0</v>
      </c>
      <c r="E5088">
        <v>0</v>
      </c>
      <c r="F5088">
        <v>0</v>
      </c>
      <c r="G5088">
        <v>0</v>
      </c>
      <c r="H5088">
        <v>8</v>
      </c>
    </row>
    <row r="5089" spans="1:8" x14ac:dyDescent="0.2">
      <c r="A5089" t="s">
        <v>2091</v>
      </c>
      <c r="B5089">
        <v>0</v>
      </c>
      <c r="C5089">
        <v>0</v>
      </c>
      <c r="D5089">
        <v>0</v>
      </c>
      <c r="E5089">
        <v>0</v>
      </c>
      <c r="F5089">
        <v>0</v>
      </c>
      <c r="G5089">
        <v>0</v>
      </c>
      <c r="H5089">
        <v>2242</v>
      </c>
    </row>
    <row r="5090" spans="1:8" x14ac:dyDescent="0.2">
      <c r="A5090" t="s">
        <v>2097</v>
      </c>
      <c r="B5090">
        <v>0</v>
      </c>
      <c r="C5090">
        <v>0</v>
      </c>
      <c r="D5090">
        <v>0</v>
      </c>
      <c r="E5090">
        <v>0</v>
      </c>
      <c r="F5090">
        <v>0</v>
      </c>
      <c r="G5090">
        <v>0</v>
      </c>
      <c r="H5090">
        <v>1494</v>
      </c>
    </row>
    <row r="5091" spans="1:8" x14ac:dyDescent="0.2">
      <c r="A5091" t="s">
        <v>2101</v>
      </c>
      <c r="B5091">
        <v>0</v>
      </c>
      <c r="C5091">
        <v>0</v>
      </c>
      <c r="D5091">
        <v>0</v>
      </c>
      <c r="E5091">
        <v>0</v>
      </c>
      <c r="F5091">
        <v>0</v>
      </c>
      <c r="G5091">
        <v>0</v>
      </c>
      <c r="H5091">
        <v>1224</v>
      </c>
    </row>
    <row r="5092" spans="1:8" x14ac:dyDescent="0.2">
      <c r="A5092" t="s">
        <v>2104</v>
      </c>
      <c r="B5092">
        <v>0</v>
      </c>
      <c r="C5092">
        <v>0</v>
      </c>
      <c r="D5092">
        <v>0</v>
      </c>
      <c r="E5092">
        <v>0</v>
      </c>
      <c r="F5092">
        <v>0</v>
      </c>
      <c r="G5092">
        <v>0</v>
      </c>
      <c r="H5092">
        <v>0</v>
      </c>
    </row>
    <row r="5093" spans="1:8" x14ac:dyDescent="0.2">
      <c r="A5093" t="s">
        <v>2107</v>
      </c>
      <c r="B5093">
        <v>0</v>
      </c>
      <c r="C5093">
        <v>0</v>
      </c>
      <c r="D5093">
        <v>0</v>
      </c>
      <c r="E5093">
        <v>0</v>
      </c>
      <c r="F5093">
        <v>0</v>
      </c>
      <c r="G5093">
        <v>0</v>
      </c>
      <c r="H5093">
        <v>2036</v>
      </c>
    </row>
    <row r="5094" spans="1:8" x14ac:dyDescent="0.2">
      <c r="A5094" t="s">
        <v>2110</v>
      </c>
      <c r="B5094">
        <v>0</v>
      </c>
      <c r="C5094">
        <v>0</v>
      </c>
      <c r="D5094">
        <v>0</v>
      </c>
      <c r="E5094">
        <v>0</v>
      </c>
      <c r="F5094">
        <v>0</v>
      </c>
      <c r="G5094">
        <v>0</v>
      </c>
      <c r="H5094">
        <v>0</v>
      </c>
    </row>
    <row r="5095" spans="1:8" x14ac:dyDescent="0.2">
      <c r="A5095" t="s">
        <v>2113</v>
      </c>
      <c r="B5095">
        <v>0</v>
      </c>
      <c r="C5095">
        <v>0</v>
      </c>
      <c r="D5095">
        <v>0</v>
      </c>
      <c r="E5095">
        <v>0</v>
      </c>
      <c r="F5095">
        <v>0</v>
      </c>
      <c r="G5095">
        <v>0</v>
      </c>
      <c r="H5095">
        <v>0</v>
      </c>
    </row>
    <row r="5096" spans="1:8" x14ac:dyDescent="0.2">
      <c r="A5096" t="s">
        <v>4346</v>
      </c>
      <c r="B5096">
        <v>0</v>
      </c>
      <c r="C5096">
        <v>0</v>
      </c>
      <c r="D5096">
        <v>0</v>
      </c>
      <c r="E5096">
        <v>0</v>
      </c>
      <c r="F5096">
        <v>0</v>
      </c>
      <c r="G5096">
        <v>0</v>
      </c>
      <c r="H5096">
        <v>1084</v>
      </c>
    </row>
    <row r="5097" spans="1:8" x14ac:dyDescent="0.2">
      <c r="A5097" t="s">
        <v>4347</v>
      </c>
      <c r="B5097">
        <v>0</v>
      </c>
      <c r="C5097">
        <v>0</v>
      </c>
      <c r="D5097">
        <v>0</v>
      </c>
      <c r="E5097">
        <v>0</v>
      </c>
      <c r="F5097">
        <v>0</v>
      </c>
      <c r="G5097">
        <v>0</v>
      </c>
      <c r="H5097">
        <v>1010</v>
      </c>
    </row>
    <row r="5098" spans="1:8" x14ac:dyDescent="0.2">
      <c r="A5098" t="s">
        <v>4348</v>
      </c>
      <c r="B5098">
        <v>0</v>
      </c>
      <c r="C5098">
        <v>0</v>
      </c>
      <c r="D5098">
        <v>0</v>
      </c>
      <c r="E5098">
        <v>0</v>
      </c>
      <c r="F5098">
        <v>0</v>
      </c>
      <c r="G5098">
        <v>0</v>
      </c>
      <c r="H5098">
        <v>0</v>
      </c>
    </row>
    <row r="5099" spans="1:8" x14ac:dyDescent="0.2">
      <c r="A5099" t="s">
        <v>4349</v>
      </c>
      <c r="B5099">
        <v>0</v>
      </c>
      <c r="C5099">
        <v>0</v>
      </c>
      <c r="D5099">
        <v>0</v>
      </c>
      <c r="E5099">
        <v>0</v>
      </c>
      <c r="F5099">
        <v>0</v>
      </c>
      <c r="G5099">
        <v>0</v>
      </c>
      <c r="H5099">
        <v>0</v>
      </c>
    </row>
    <row r="5100" spans="1:8" x14ac:dyDescent="0.2">
      <c r="A5100" t="s">
        <v>4350</v>
      </c>
      <c r="B5100">
        <v>317</v>
      </c>
      <c r="C5100">
        <v>17</v>
      </c>
      <c r="D5100">
        <v>22523</v>
      </c>
      <c r="E5100">
        <v>1185</v>
      </c>
      <c r="F5100">
        <v>2438</v>
      </c>
      <c r="G5100">
        <v>128</v>
      </c>
      <c r="H5100">
        <v>84255</v>
      </c>
    </row>
    <row r="5101" spans="1:8" x14ac:dyDescent="0.2">
      <c r="A5101" t="s">
        <v>4351</v>
      </c>
      <c r="B5101">
        <v>0</v>
      </c>
      <c r="C5101">
        <v>0</v>
      </c>
      <c r="D5101">
        <v>0</v>
      </c>
      <c r="E5101">
        <v>0</v>
      </c>
      <c r="F5101">
        <v>0</v>
      </c>
      <c r="G5101">
        <v>0</v>
      </c>
      <c r="H5101">
        <v>2</v>
      </c>
    </row>
    <row r="5102" spans="1:8" x14ac:dyDescent="0.2">
      <c r="A5102" t="s">
        <v>4352</v>
      </c>
      <c r="B5102">
        <v>0</v>
      </c>
      <c r="C5102">
        <v>0</v>
      </c>
      <c r="D5102">
        <v>0</v>
      </c>
      <c r="E5102">
        <v>0</v>
      </c>
      <c r="F5102">
        <v>0</v>
      </c>
      <c r="G5102">
        <v>0</v>
      </c>
      <c r="H5102">
        <v>0</v>
      </c>
    </row>
    <row r="5103" spans="1:8" x14ac:dyDescent="0.2">
      <c r="A5103" t="s">
        <v>4353</v>
      </c>
      <c r="B5103">
        <v>0</v>
      </c>
      <c r="C5103">
        <v>0</v>
      </c>
      <c r="D5103">
        <v>86</v>
      </c>
      <c r="E5103">
        <v>5</v>
      </c>
      <c r="F5103">
        <v>1</v>
      </c>
      <c r="G5103">
        <v>0</v>
      </c>
      <c r="H5103">
        <v>6854</v>
      </c>
    </row>
    <row r="5104" spans="1:8" x14ac:dyDescent="0.2">
      <c r="A5104" t="s">
        <v>4354</v>
      </c>
      <c r="B5104">
        <v>0</v>
      </c>
      <c r="C5104">
        <v>0</v>
      </c>
      <c r="D5104">
        <v>5</v>
      </c>
      <c r="E5104">
        <v>0</v>
      </c>
      <c r="F5104">
        <v>0</v>
      </c>
      <c r="G5104">
        <v>0</v>
      </c>
      <c r="H5104">
        <v>3475</v>
      </c>
    </row>
    <row r="5105" spans="1:8" x14ac:dyDescent="0.2">
      <c r="A5105" t="s">
        <v>4355</v>
      </c>
      <c r="B5105">
        <v>0</v>
      </c>
      <c r="C5105">
        <v>0</v>
      </c>
      <c r="D5105">
        <v>0</v>
      </c>
      <c r="E5105">
        <v>0</v>
      </c>
      <c r="F5105">
        <v>0</v>
      </c>
      <c r="G5105">
        <v>0</v>
      </c>
      <c r="H5105">
        <v>0</v>
      </c>
    </row>
    <row r="5106" spans="1:8" x14ac:dyDescent="0.2">
      <c r="A5106" t="s">
        <v>4356</v>
      </c>
      <c r="B5106">
        <v>0</v>
      </c>
      <c r="C5106">
        <v>0</v>
      </c>
      <c r="D5106">
        <v>0</v>
      </c>
      <c r="E5106">
        <v>0</v>
      </c>
      <c r="F5106">
        <v>0</v>
      </c>
      <c r="G5106">
        <v>0</v>
      </c>
      <c r="H5106">
        <v>0</v>
      </c>
    </row>
    <row r="5107" spans="1:8" x14ac:dyDescent="0.2">
      <c r="A5107" t="s">
        <v>4357</v>
      </c>
      <c r="B5107">
        <v>35</v>
      </c>
      <c r="C5107">
        <v>2</v>
      </c>
      <c r="D5107">
        <v>1960</v>
      </c>
      <c r="E5107">
        <v>103</v>
      </c>
      <c r="F5107">
        <v>456</v>
      </c>
      <c r="G5107">
        <v>24</v>
      </c>
      <c r="H5107">
        <v>15831</v>
      </c>
    </row>
    <row r="5108" spans="1:8" x14ac:dyDescent="0.2">
      <c r="A5108" t="s">
        <v>4358</v>
      </c>
      <c r="B5108">
        <v>0</v>
      </c>
      <c r="C5108">
        <v>0</v>
      </c>
      <c r="D5108">
        <v>82</v>
      </c>
      <c r="E5108">
        <v>4</v>
      </c>
      <c r="F5108">
        <v>2</v>
      </c>
      <c r="G5108">
        <v>0</v>
      </c>
      <c r="H5108">
        <v>2448</v>
      </c>
    </row>
    <row r="5109" spans="1:8" x14ac:dyDescent="0.2">
      <c r="A5109" t="s">
        <v>4359</v>
      </c>
      <c r="B5109">
        <v>0</v>
      </c>
      <c r="C5109">
        <v>0</v>
      </c>
      <c r="D5109">
        <v>0</v>
      </c>
      <c r="E5109">
        <v>0</v>
      </c>
      <c r="F5109">
        <v>0</v>
      </c>
      <c r="G5109">
        <v>0</v>
      </c>
      <c r="H5109">
        <v>0</v>
      </c>
    </row>
    <row r="5110" spans="1:8" x14ac:dyDescent="0.2">
      <c r="A5110" t="s">
        <v>4360</v>
      </c>
      <c r="B5110">
        <v>0</v>
      </c>
      <c r="C5110">
        <v>0</v>
      </c>
      <c r="D5110">
        <v>0</v>
      </c>
      <c r="E5110">
        <v>0</v>
      </c>
      <c r="F5110">
        <v>0</v>
      </c>
      <c r="G5110">
        <v>0</v>
      </c>
      <c r="H5110">
        <v>615</v>
      </c>
    </row>
    <row r="5111" spans="1:8" x14ac:dyDescent="0.2">
      <c r="A5111" t="s">
        <v>4361</v>
      </c>
      <c r="B5111">
        <v>0</v>
      </c>
      <c r="C5111">
        <v>0</v>
      </c>
      <c r="D5111">
        <v>6</v>
      </c>
      <c r="E5111">
        <v>0</v>
      </c>
      <c r="F5111">
        <v>5</v>
      </c>
      <c r="G5111">
        <v>0</v>
      </c>
      <c r="H5111">
        <v>4128</v>
      </c>
    </row>
    <row r="5112" spans="1:8" x14ac:dyDescent="0.2">
      <c r="A5112" t="s">
        <v>4362</v>
      </c>
      <c r="B5112">
        <v>0</v>
      </c>
      <c r="C5112">
        <v>0</v>
      </c>
      <c r="D5112">
        <v>0</v>
      </c>
      <c r="E5112">
        <v>0</v>
      </c>
      <c r="F5112">
        <v>0</v>
      </c>
      <c r="G5112">
        <v>0</v>
      </c>
      <c r="H5112">
        <v>314</v>
      </c>
    </row>
    <row r="5113" spans="1:8" x14ac:dyDescent="0.2">
      <c r="A5113" t="s">
        <v>4363</v>
      </c>
      <c r="B5113">
        <v>0</v>
      </c>
      <c r="C5113">
        <v>0</v>
      </c>
      <c r="D5113">
        <v>0</v>
      </c>
      <c r="E5113">
        <v>0</v>
      </c>
      <c r="F5113">
        <v>0</v>
      </c>
      <c r="G5113">
        <v>0</v>
      </c>
      <c r="H5113">
        <v>0</v>
      </c>
    </row>
    <row r="5114" spans="1:8" x14ac:dyDescent="0.2">
      <c r="A5114" t="s">
        <v>4364</v>
      </c>
      <c r="B5114">
        <v>0</v>
      </c>
      <c r="C5114">
        <v>0</v>
      </c>
      <c r="D5114">
        <v>0</v>
      </c>
      <c r="E5114">
        <v>0</v>
      </c>
      <c r="F5114">
        <v>0</v>
      </c>
      <c r="G5114">
        <v>0</v>
      </c>
      <c r="H5114">
        <v>0</v>
      </c>
    </row>
    <row r="5115" spans="1:8" x14ac:dyDescent="0.2">
      <c r="A5115" t="s">
        <v>4365</v>
      </c>
      <c r="B5115">
        <v>0</v>
      </c>
      <c r="C5115">
        <v>0</v>
      </c>
      <c r="D5115">
        <v>0</v>
      </c>
      <c r="E5115">
        <v>0</v>
      </c>
      <c r="F5115">
        <v>0</v>
      </c>
      <c r="G5115">
        <v>0</v>
      </c>
      <c r="H5115">
        <v>4885</v>
      </c>
    </row>
    <row r="5116" spans="1:8" x14ac:dyDescent="0.2">
      <c r="A5116" t="s">
        <v>4366</v>
      </c>
      <c r="B5116">
        <v>0</v>
      </c>
      <c r="C5116">
        <v>0</v>
      </c>
      <c r="D5116">
        <v>1870</v>
      </c>
      <c r="E5116">
        <v>98</v>
      </c>
      <c r="F5116">
        <v>320</v>
      </c>
      <c r="G5116">
        <v>17</v>
      </c>
      <c r="H5116">
        <v>55086</v>
      </c>
    </row>
    <row r="5117" spans="1:8" x14ac:dyDescent="0.2">
      <c r="A5117" t="s">
        <v>4367</v>
      </c>
      <c r="B5117">
        <v>0</v>
      </c>
      <c r="C5117">
        <v>0</v>
      </c>
      <c r="D5117">
        <v>0</v>
      </c>
      <c r="E5117">
        <v>0</v>
      </c>
      <c r="F5117">
        <v>0</v>
      </c>
      <c r="G5117">
        <v>0</v>
      </c>
      <c r="H5117">
        <v>5902</v>
      </c>
    </row>
    <row r="5118" spans="1:8" x14ac:dyDescent="0.2">
      <c r="A5118" t="s">
        <v>4368</v>
      </c>
      <c r="B5118">
        <v>0</v>
      </c>
      <c r="C5118">
        <v>0</v>
      </c>
      <c r="D5118">
        <v>0</v>
      </c>
      <c r="E5118">
        <v>0</v>
      </c>
      <c r="F5118">
        <v>0</v>
      </c>
      <c r="G5118">
        <v>0</v>
      </c>
      <c r="H5118">
        <v>16170</v>
      </c>
    </row>
    <row r="5119" spans="1:8" x14ac:dyDescent="0.2">
      <c r="A5119" t="s">
        <v>4369</v>
      </c>
      <c r="B5119">
        <v>0</v>
      </c>
      <c r="C5119">
        <v>0</v>
      </c>
      <c r="D5119">
        <v>0</v>
      </c>
      <c r="E5119">
        <v>0</v>
      </c>
      <c r="F5119">
        <v>0</v>
      </c>
      <c r="G5119">
        <v>0</v>
      </c>
      <c r="H5119">
        <v>22829</v>
      </c>
    </row>
    <row r="5120" spans="1:8" x14ac:dyDescent="0.2">
      <c r="A5120" t="s">
        <v>4370</v>
      </c>
      <c r="B5120">
        <v>0</v>
      </c>
      <c r="C5120">
        <v>0</v>
      </c>
      <c r="D5120">
        <v>0</v>
      </c>
      <c r="E5120">
        <v>0</v>
      </c>
      <c r="F5120">
        <v>0</v>
      </c>
      <c r="G5120">
        <v>0</v>
      </c>
      <c r="H5120">
        <v>9903</v>
      </c>
    </row>
    <row r="5121" spans="1:11" x14ac:dyDescent="0.2">
      <c r="A5121" t="s">
        <v>4371</v>
      </c>
      <c r="B5121">
        <v>0</v>
      </c>
      <c r="C5121">
        <v>0</v>
      </c>
      <c r="D5121">
        <v>0</v>
      </c>
      <c r="E5121">
        <v>0</v>
      </c>
      <c r="F5121">
        <v>0</v>
      </c>
      <c r="G5121">
        <v>0</v>
      </c>
      <c r="H5121">
        <v>3804</v>
      </c>
    </row>
    <row r="5122" spans="1:11" x14ac:dyDescent="0.2">
      <c r="A5122" t="s">
        <v>4372</v>
      </c>
      <c r="B5122">
        <v>0</v>
      </c>
      <c r="C5122">
        <v>0</v>
      </c>
      <c r="D5122">
        <v>0</v>
      </c>
      <c r="E5122">
        <v>0</v>
      </c>
      <c r="F5122">
        <v>0</v>
      </c>
      <c r="G5122">
        <v>0</v>
      </c>
      <c r="H5122">
        <v>0</v>
      </c>
    </row>
    <row r="5123" spans="1:11" x14ac:dyDescent="0.2">
      <c r="A5123" t="s">
        <v>4373</v>
      </c>
      <c r="B5123">
        <v>2815</v>
      </c>
      <c r="C5123">
        <v>148</v>
      </c>
      <c r="D5123">
        <v>81109</v>
      </c>
      <c r="E5123">
        <v>4269</v>
      </c>
      <c r="F5123">
        <v>100678</v>
      </c>
      <c r="G5123">
        <v>5299</v>
      </c>
      <c r="H5123">
        <v>225545</v>
      </c>
    </row>
    <row r="5124" spans="1:11" x14ac:dyDescent="0.2">
      <c r="A5124" t="s">
        <v>4374</v>
      </c>
      <c r="B5124">
        <v>252</v>
      </c>
      <c r="C5124">
        <v>13</v>
      </c>
      <c r="D5124">
        <v>80531</v>
      </c>
      <c r="E5124">
        <v>4238</v>
      </c>
      <c r="F5124">
        <v>6402</v>
      </c>
      <c r="G5124">
        <v>337</v>
      </c>
      <c r="H5124">
        <v>114848</v>
      </c>
    </row>
    <row r="5125" spans="1:11" x14ac:dyDescent="0.2">
      <c r="A5125" t="s">
        <v>4375</v>
      </c>
      <c r="B5125">
        <v>164074</v>
      </c>
      <c r="C5125">
        <v>8635</v>
      </c>
      <c r="D5125">
        <v>243326</v>
      </c>
      <c r="E5125">
        <v>12806</v>
      </c>
      <c r="F5125">
        <v>31719</v>
      </c>
      <c r="G5125">
        <v>1669</v>
      </c>
      <c r="H5125">
        <v>815313</v>
      </c>
    </row>
    <row r="5126" spans="1:11" x14ac:dyDescent="0.2">
      <c r="A5126" t="s">
        <v>4376</v>
      </c>
      <c r="B5126">
        <v>2163</v>
      </c>
      <c r="C5126">
        <v>114</v>
      </c>
      <c r="D5126">
        <v>44389</v>
      </c>
      <c r="E5126">
        <v>2336</v>
      </c>
      <c r="F5126">
        <v>6415</v>
      </c>
      <c r="G5126">
        <v>338</v>
      </c>
      <c r="H5126">
        <v>109799</v>
      </c>
    </row>
    <row r="5127" spans="1:11" x14ac:dyDescent="0.2">
      <c r="A5127" t="s">
        <v>4377</v>
      </c>
      <c r="B5127">
        <v>15488</v>
      </c>
      <c r="C5127">
        <v>815</v>
      </c>
      <c r="D5127">
        <v>414009</v>
      </c>
      <c r="E5127">
        <v>21790</v>
      </c>
      <c r="F5127">
        <v>67594</v>
      </c>
      <c r="G5127">
        <v>3558</v>
      </c>
      <c r="H5127">
        <v>790521</v>
      </c>
    </row>
    <row r="5128" spans="1:11" x14ac:dyDescent="0.2">
      <c r="A5128" t="s">
        <v>4854</v>
      </c>
      <c r="B5128">
        <v>185143</v>
      </c>
      <c r="C5128">
        <v>9744</v>
      </c>
      <c r="D5128">
        <v>889910</v>
      </c>
      <c r="E5128">
        <v>46838</v>
      </c>
      <c r="F5128">
        <v>216029</v>
      </c>
      <c r="G5128">
        <v>11370</v>
      </c>
    </row>
    <row r="5129" spans="1:11" x14ac:dyDescent="0.2">
      <c r="A5129" t="s">
        <v>2318</v>
      </c>
      <c r="B5129" t="s">
        <v>4399</v>
      </c>
      <c r="C5129" t="s">
        <v>4399</v>
      </c>
      <c r="D5129" t="s">
        <v>4399</v>
      </c>
      <c r="E5129" t="s">
        <v>4399</v>
      </c>
      <c r="F5129" t="s">
        <v>4399</v>
      </c>
      <c r="G5129" t="s">
        <v>4399</v>
      </c>
      <c r="H5129" t="s">
        <v>4399</v>
      </c>
    </row>
    <row r="5130" spans="1:11" x14ac:dyDescent="0.2">
      <c r="A5130" t="s">
        <v>4248</v>
      </c>
    </row>
    <row r="5131" spans="1:11" x14ac:dyDescent="0.2">
      <c r="A5131" t="s">
        <v>4885</v>
      </c>
      <c r="B5131" t="s">
        <v>4886</v>
      </c>
      <c r="C5131" t="s">
        <v>4887</v>
      </c>
      <c r="D5131" t="s">
        <v>4888</v>
      </c>
      <c r="E5131" t="s">
        <v>4889</v>
      </c>
      <c r="G5131" t="s">
        <v>4890</v>
      </c>
      <c r="H5131" s="87">
        <v>40707</v>
      </c>
    </row>
    <row r="5132" spans="1:11" x14ac:dyDescent="0.2">
      <c r="A5132" t="s">
        <v>4891</v>
      </c>
      <c r="B5132" t="s">
        <v>4892</v>
      </c>
      <c r="C5132" t="s">
        <v>4893</v>
      </c>
      <c r="D5132" t="s">
        <v>4894</v>
      </c>
      <c r="E5132" t="s">
        <v>4895</v>
      </c>
      <c r="F5132" t="s">
        <v>4896</v>
      </c>
      <c r="G5132" t="s">
        <v>4897</v>
      </c>
      <c r="H5132" s="950">
        <v>0.6818981481481482</v>
      </c>
    </row>
    <row r="5133" spans="1:11" x14ac:dyDescent="0.2">
      <c r="A5133" t="s">
        <v>4898</v>
      </c>
      <c r="B5133" t="s">
        <v>4899</v>
      </c>
      <c r="C5133" t="s">
        <v>4900</v>
      </c>
      <c r="D5133" t="s">
        <v>4901</v>
      </c>
    </row>
    <row r="5135" spans="1:11" x14ac:dyDescent="0.2">
      <c r="A5135" t="s">
        <v>4902</v>
      </c>
      <c r="B5135" t="s">
        <v>4903</v>
      </c>
      <c r="C5135" t="s">
        <v>4904</v>
      </c>
      <c r="D5135" t="s">
        <v>4905</v>
      </c>
      <c r="E5135" t="s">
        <v>4906</v>
      </c>
      <c r="F5135" t="s">
        <v>4907</v>
      </c>
      <c r="G5135" t="s">
        <v>4908</v>
      </c>
    </row>
    <row r="5136" spans="1:11" x14ac:dyDescent="0.2">
      <c r="A5136" t="s">
        <v>2318</v>
      </c>
      <c r="B5136" t="s">
        <v>4399</v>
      </c>
      <c r="C5136" t="s">
        <v>4399</v>
      </c>
      <c r="D5136" t="s">
        <v>4399</v>
      </c>
      <c r="E5136" t="s">
        <v>4399</v>
      </c>
      <c r="F5136" t="s">
        <v>4399</v>
      </c>
      <c r="G5136" t="s">
        <v>4399</v>
      </c>
      <c r="H5136" t="s">
        <v>4399</v>
      </c>
      <c r="I5136" t="s">
        <v>4399</v>
      </c>
      <c r="J5136" t="s">
        <v>4399</v>
      </c>
      <c r="K5136" t="s">
        <v>4399</v>
      </c>
    </row>
    <row r="5137" spans="1:11" x14ac:dyDescent="0.2">
      <c r="A5137" t="s">
        <v>126</v>
      </c>
      <c r="B5137" t="s">
        <v>4387</v>
      </c>
      <c r="C5137" t="s">
        <v>4391</v>
      </c>
      <c r="D5137" t="s">
        <v>4395</v>
      </c>
      <c r="E5137" t="s">
        <v>4400</v>
      </c>
      <c r="F5137" t="s">
        <v>361</v>
      </c>
      <c r="G5137" t="s">
        <v>362</v>
      </c>
      <c r="H5137" t="s">
        <v>353</v>
      </c>
      <c r="I5137" t="s">
        <v>354</v>
      </c>
      <c r="J5137" t="s">
        <v>4404</v>
      </c>
      <c r="K5137" t="s">
        <v>4405</v>
      </c>
    </row>
    <row r="5138" spans="1:11" x14ac:dyDescent="0.2">
      <c r="A5138" t="s">
        <v>2318</v>
      </c>
      <c r="B5138" t="s">
        <v>4399</v>
      </c>
      <c r="C5138" t="s">
        <v>4399</v>
      </c>
      <c r="D5138" t="s">
        <v>4399</v>
      </c>
      <c r="E5138" t="s">
        <v>4399</v>
      </c>
      <c r="F5138" t="s">
        <v>4399</v>
      </c>
      <c r="G5138" t="s">
        <v>4399</v>
      </c>
      <c r="H5138" t="s">
        <v>4399</v>
      </c>
      <c r="I5138" t="s">
        <v>4399</v>
      </c>
      <c r="J5138" t="s">
        <v>4399</v>
      </c>
      <c r="K5138" t="s">
        <v>4399</v>
      </c>
    </row>
    <row r="5139" spans="1:11" x14ac:dyDescent="0.2">
      <c r="A5139" t="s">
        <v>4265</v>
      </c>
      <c r="B5139" t="s">
        <v>4909</v>
      </c>
      <c r="C5139" t="s">
        <v>4909</v>
      </c>
      <c r="D5139" t="s">
        <v>4909</v>
      </c>
      <c r="E5139" t="s">
        <v>4909</v>
      </c>
      <c r="F5139" t="s">
        <v>4909</v>
      </c>
      <c r="G5139" t="s">
        <v>4909</v>
      </c>
      <c r="H5139" t="s">
        <v>4909</v>
      </c>
      <c r="I5139" t="s">
        <v>4909</v>
      </c>
      <c r="J5139" t="s">
        <v>4909</v>
      </c>
      <c r="K5139" t="s">
        <v>4909</v>
      </c>
    </row>
    <row r="5140" spans="1:11" x14ac:dyDescent="0.2">
      <c r="A5140" t="s">
        <v>4266</v>
      </c>
      <c r="B5140" t="s">
        <v>4909</v>
      </c>
      <c r="C5140" t="s">
        <v>4909</v>
      </c>
      <c r="D5140" t="s">
        <v>4909</v>
      </c>
      <c r="E5140" t="s">
        <v>4909</v>
      </c>
      <c r="F5140" t="s">
        <v>4909</v>
      </c>
      <c r="G5140" t="s">
        <v>4909</v>
      </c>
      <c r="H5140" t="s">
        <v>4909</v>
      </c>
      <c r="I5140" t="s">
        <v>4909</v>
      </c>
      <c r="J5140" t="s">
        <v>4909</v>
      </c>
      <c r="K5140" t="s">
        <v>4909</v>
      </c>
    </row>
    <row r="5141" spans="1:11" x14ac:dyDescent="0.2">
      <c r="A5141" t="s">
        <v>4267</v>
      </c>
      <c r="B5141" t="s">
        <v>4909</v>
      </c>
      <c r="C5141" t="s">
        <v>4909</v>
      </c>
      <c r="D5141" t="s">
        <v>4909</v>
      </c>
      <c r="E5141" t="s">
        <v>4909</v>
      </c>
      <c r="F5141" t="s">
        <v>4909</v>
      </c>
      <c r="G5141" t="s">
        <v>4909</v>
      </c>
      <c r="H5141" t="s">
        <v>4909</v>
      </c>
      <c r="I5141" t="s">
        <v>4909</v>
      </c>
      <c r="J5141" t="s">
        <v>4909</v>
      </c>
      <c r="K5141" t="s">
        <v>4909</v>
      </c>
    </row>
    <row r="5142" spans="1:11" x14ac:dyDescent="0.2">
      <c r="A5142" t="s">
        <v>4268</v>
      </c>
      <c r="B5142" t="s">
        <v>4909</v>
      </c>
      <c r="C5142" t="s">
        <v>4909</v>
      </c>
      <c r="D5142" t="s">
        <v>4909</v>
      </c>
      <c r="E5142" t="s">
        <v>4909</v>
      </c>
      <c r="F5142" t="s">
        <v>4909</v>
      </c>
      <c r="G5142" t="s">
        <v>4909</v>
      </c>
      <c r="H5142" t="s">
        <v>4909</v>
      </c>
      <c r="I5142" t="s">
        <v>4909</v>
      </c>
      <c r="J5142" t="s">
        <v>4909</v>
      </c>
      <c r="K5142" t="s">
        <v>4909</v>
      </c>
    </row>
    <row r="5143" spans="1:11" x14ac:dyDescent="0.2">
      <c r="A5143" t="s">
        <v>4269</v>
      </c>
      <c r="B5143" t="s">
        <v>4909</v>
      </c>
      <c r="C5143" t="s">
        <v>4909</v>
      </c>
      <c r="D5143" t="s">
        <v>4909</v>
      </c>
      <c r="E5143" t="s">
        <v>4909</v>
      </c>
      <c r="F5143" t="s">
        <v>4909</v>
      </c>
      <c r="G5143" t="s">
        <v>4909</v>
      </c>
      <c r="H5143" t="s">
        <v>4909</v>
      </c>
      <c r="I5143" t="s">
        <v>4909</v>
      </c>
      <c r="J5143" t="s">
        <v>4909</v>
      </c>
      <c r="K5143" t="s">
        <v>4909</v>
      </c>
    </row>
    <row r="5144" spans="1:11" x14ac:dyDescent="0.2">
      <c r="A5144" t="s">
        <v>4270</v>
      </c>
      <c r="B5144" t="s">
        <v>4909</v>
      </c>
      <c r="C5144" t="s">
        <v>4909</v>
      </c>
      <c r="D5144" t="s">
        <v>4909</v>
      </c>
      <c r="E5144" t="s">
        <v>4909</v>
      </c>
      <c r="F5144" t="s">
        <v>4909</v>
      </c>
      <c r="G5144" t="s">
        <v>4909</v>
      </c>
      <c r="H5144" t="s">
        <v>4909</v>
      </c>
      <c r="I5144" t="s">
        <v>4909</v>
      </c>
      <c r="J5144" t="s">
        <v>4909</v>
      </c>
      <c r="K5144" t="s">
        <v>4909</v>
      </c>
    </row>
    <row r="5145" spans="1:11" x14ac:dyDescent="0.2">
      <c r="A5145" t="s">
        <v>4271</v>
      </c>
      <c r="B5145" t="s">
        <v>4909</v>
      </c>
      <c r="C5145" t="s">
        <v>4909</v>
      </c>
      <c r="D5145" t="s">
        <v>4909</v>
      </c>
      <c r="E5145" t="s">
        <v>4909</v>
      </c>
      <c r="F5145" t="s">
        <v>4909</v>
      </c>
      <c r="G5145" t="s">
        <v>4909</v>
      </c>
      <c r="H5145" t="s">
        <v>4909</v>
      </c>
      <c r="I5145" t="s">
        <v>4909</v>
      </c>
      <c r="J5145" t="s">
        <v>4909</v>
      </c>
      <c r="K5145" t="s">
        <v>4909</v>
      </c>
    </row>
    <row r="5146" spans="1:11" x14ac:dyDescent="0.2">
      <c r="A5146" t="s">
        <v>4272</v>
      </c>
      <c r="B5146" t="s">
        <v>4909</v>
      </c>
      <c r="C5146" t="s">
        <v>4909</v>
      </c>
      <c r="D5146" t="s">
        <v>4909</v>
      </c>
      <c r="E5146" t="s">
        <v>4909</v>
      </c>
      <c r="F5146" t="s">
        <v>4909</v>
      </c>
      <c r="G5146" t="s">
        <v>4909</v>
      </c>
      <c r="H5146" t="s">
        <v>4909</v>
      </c>
      <c r="I5146" t="s">
        <v>4909</v>
      </c>
      <c r="J5146" t="s">
        <v>4909</v>
      </c>
      <c r="K5146" t="s">
        <v>4909</v>
      </c>
    </row>
    <row r="5147" spans="1:11" x14ac:dyDescent="0.2">
      <c r="A5147" t="s">
        <v>4273</v>
      </c>
      <c r="B5147" t="s">
        <v>4909</v>
      </c>
      <c r="C5147" t="s">
        <v>4909</v>
      </c>
      <c r="D5147" t="s">
        <v>4909</v>
      </c>
      <c r="E5147" t="s">
        <v>4909</v>
      </c>
      <c r="F5147" t="s">
        <v>4909</v>
      </c>
      <c r="G5147" t="s">
        <v>4909</v>
      </c>
      <c r="H5147" t="s">
        <v>4909</v>
      </c>
      <c r="I5147" t="s">
        <v>4909</v>
      </c>
      <c r="J5147" t="s">
        <v>4909</v>
      </c>
      <c r="K5147" t="s">
        <v>4909</v>
      </c>
    </row>
    <row r="5148" spans="1:11" x14ac:dyDescent="0.2">
      <c r="A5148" t="s">
        <v>4274</v>
      </c>
      <c r="B5148" t="s">
        <v>4909</v>
      </c>
      <c r="C5148" t="s">
        <v>4909</v>
      </c>
      <c r="D5148" t="s">
        <v>4909</v>
      </c>
      <c r="E5148" t="s">
        <v>4909</v>
      </c>
      <c r="F5148" t="s">
        <v>4909</v>
      </c>
      <c r="G5148" t="s">
        <v>4909</v>
      </c>
      <c r="H5148" t="s">
        <v>4909</v>
      </c>
      <c r="I5148" t="s">
        <v>4909</v>
      </c>
      <c r="J5148" t="s">
        <v>4909</v>
      </c>
      <c r="K5148" t="s">
        <v>4909</v>
      </c>
    </row>
    <row r="5149" spans="1:11" x14ac:dyDescent="0.2">
      <c r="A5149" t="s">
        <v>4275</v>
      </c>
      <c r="B5149" t="s">
        <v>4909</v>
      </c>
      <c r="C5149" t="s">
        <v>4909</v>
      </c>
      <c r="D5149" t="s">
        <v>4909</v>
      </c>
      <c r="E5149" t="s">
        <v>4909</v>
      </c>
      <c r="F5149" t="s">
        <v>4909</v>
      </c>
      <c r="G5149" t="s">
        <v>4909</v>
      </c>
      <c r="H5149" t="s">
        <v>4909</v>
      </c>
      <c r="I5149" t="s">
        <v>4909</v>
      </c>
      <c r="J5149" t="s">
        <v>4909</v>
      </c>
      <c r="K5149" t="s">
        <v>4909</v>
      </c>
    </row>
    <row r="5150" spans="1:11" x14ac:dyDescent="0.2">
      <c r="A5150" t="s">
        <v>4276</v>
      </c>
      <c r="B5150" t="s">
        <v>4909</v>
      </c>
      <c r="C5150" t="s">
        <v>4909</v>
      </c>
      <c r="D5150" t="s">
        <v>4909</v>
      </c>
      <c r="E5150" t="s">
        <v>4909</v>
      </c>
      <c r="F5150" t="s">
        <v>4909</v>
      </c>
      <c r="G5150" t="s">
        <v>4909</v>
      </c>
      <c r="H5150" t="s">
        <v>4909</v>
      </c>
      <c r="I5150" t="s">
        <v>4909</v>
      </c>
      <c r="J5150" t="s">
        <v>4909</v>
      </c>
      <c r="K5150" t="s">
        <v>4909</v>
      </c>
    </row>
    <row r="5151" spans="1:11" x14ac:dyDescent="0.2">
      <c r="A5151" t="s">
        <v>4277</v>
      </c>
      <c r="B5151" t="s">
        <v>4909</v>
      </c>
      <c r="C5151" t="s">
        <v>4909</v>
      </c>
      <c r="D5151" t="s">
        <v>4909</v>
      </c>
      <c r="E5151" t="s">
        <v>4909</v>
      </c>
      <c r="F5151" t="s">
        <v>4909</v>
      </c>
      <c r="G5151" t="s">
        <v>4909</v>
      </c>
      <c r="H5151" t="s">
        <v>4909</v>
      </c>
      <c r="I5151" t="s">
        <v>4909</v>
      </c>
      <c r="J5151" t="s">
        <v>4909</v>
      </c>
      <c r="K5151" t="s">
        <v>4909</v>
      </c>
    </row>
    <row r="5152" spans="1:11" x14ac:dyDescent="0.2">
      <c r="A5152" t="s">
        <v>4278</v>
      </c>
      <c r="B5152" t="s">
        <v>4909</v>
      </c>
      <c r="C5152" t="s">
        <v>4909</v>
      </c>
      <c r="D5152" t="s">
        <v>4909</v>
      </c>
      <c r="E5152" t="s">
        <v>4909</v>
      </c>
      <c r="F5152" t="s">
        <v>4909</v>
      </c>
      <c r="G5152" t="s">
        <v>4909</v>
      </c>
      <c r="H5152" t="s">
        <v>4909</v>
      </c>
      <c r="I5152" t="s">
        <v>4909</v>
      </c>
      <c r="J5152" t="s">
        <v>4909</v>
      </c>
      <c r="K5152" t="s">
        <v>4909</v>
      </c>
    </row>
    <row r="5153" spans="1:11" x14ac:dyDescent="0.2">
      <c r="A5153" t="s">
        <v>4279</v>
      </c>
      <c r="B5153" t="s">
        <v>4909</v>
      </c>
      <c r="C5153" t="s">
        <v>4909</v>
      </c>
      <c r="D5153" t="s">
        <v>4909</v>
      </c>
      <c r="E5153" t="s">
        <v>4909</v>
      </c>
      <c r="F5153" t="s">
        <v>4909</v>
      </c>
      <c r="G5153" t="s">
        <v>4909</v>
      </c>
      <c r="H5153" t="s">
        <v>4909</v>
      </c>
      <c r="I5153" t="s">
        <v>4909</v>
      </c>
      <c r="J5153" t="s">
        <v>4909</v>
      </c>
      <c r="K5153" t="s">
        <v>4909</v>
      </c>
    </row>
    <row r="5154" spans="1:11" x14ac:dyDescent="0.2">
      <c r="A5154" t="s">
        <v>4280</v>
      </c>
      <c r="B5154" t="s">
        <v>4909</v>
      </c>
      <c r="C5154" t="s">
        <v>4909</v>
      </c>
      <c r="D5154" t="s">
        <v>4909</v>
      </c>
      <c r="E5154" t="s">
        <v>4909</v>
      </c>
      <c r="F5154" t="s">
        <v>4909</v>
      </c>
      <c r="G5154" t="s">
        <v>4909</v>
      </c>
      <c r="H5154" t="s">
        <v>4909</v>
      </c>
      <c r="I5154" t="s">
        <v>4909</v>
      </c>
      <c r="J5154" t="s">
        <v>4909</v>
      </c>
      <c r="K5154" t="s">
        <v>4909</v>
      </c>
    </row>
    <row r="5155" spans="1:11" x14ac:dyDescent="0.2">
      <c r="A5155" t="s">
        <v>4281</v>
      </c>
      <c r="B5155" s="88">
        <v>0</v>
      </c>
      <c r="C5155" t="s">
        <v>4909</v>
      </c>
      <c r="D5155" t="s">
        <v>4909</v>
      </c>
      <c r="E5155" t="s">
        <v>4909</v>
      </c>
      <c r="F5155" t="s">
        <v>4909</v>
      </c>
      <c r="G5155" s="88">
        <v>0</v>
      </c>
      <c r="H5155" t="s">
        <v>4909</v>
      </c>
      <c r="I5155" s="88">
        <v>0</v>
      </c>
      <c r="J5155" t="s">
        <v>4909</v>
      </c>
      <c r="K5155" t="s">
        <v>4909</v>
      </c>
    </row>
    <row r="5156" spans="1:11" x14ac:dyDescent="0.2">
      <c r="A5156" t="s">
        <v>4282</v>
      </c>
      <c r="B5156" s="88">
        <v>1E-3</v>
      </c>
      <c r="C5156" t="s">
        <v>4909</v>
      </c>
      <c r="D5156" t="s">
        <v>4909</v>
      </c>
      <c r="E5156" t="s">
        <v>4909</v>
      </c>
      <c r="F5156" t="s">
        <v>4909</v>
      </c>
      <c r="G5156" s="88">
        <v>1E-3</v>
      </c>
      <c r="H5156" t="s">
        <v>4909</v>
      </c>
      <c r="I5156" s="88">
        <v>0</v>
      </c>
      <c r="J5156" t="s">
        <v>4909</v>
      </c>
      <c r="K5156" t="s">
        <v>4909</v>
      </c>
    </row>
    <row r="5157" spans="1:11" x14ac:dyDescent="0.2">
      <c r="A5157" t="s">
        <v>4283</v>
      </c>
      <c r="B5157" t="s">
        <v>4909</v>
      </c>
      <c r="C5157" t="s">
        <v>4909</v>
      </c>
      <c r="D5157" t="s">
        <v>4909</v>
      </c>
      <c r="E5157" t="s">
        <v>4909</v>
      </c>
      <c r="F5157" t="s">
        <v>4909</v>
      </c>
      <c r="G5157" s="88">
        <v>0</v>
      </c>
      <c r="H5157" t="s">
        <v>4909</v>
      </c>
      <c r="I5157" s="88">
        <v>0</v>
      </c>
      <c r="J5157" t="s">
        <v>4909</v>
      </c>
      <c r="K5157" t="s">
        <v>4909</v>
      </c>
    </row>
    <row r="5158" spans="1:11" x14ac:dyDescent="0.2">
      <c r="A5158" t="s">
        <v>4284</v>
      </c>
      <c r="B5158" t="s">
        <v>4909</v>
      </c>
      <c r="C5158" t="s">
        <v>4909</v>
      </c>
      <c r="D5158" t="s">
        <v>4909</v>
      </c>
      <c r="E5158" t="s">
        <v>4909</v>
      </c>
      <c r="F5158" t="s">
        <v>4909</v>
      </c>
      <c r="G5158" t="s">
        <v>4909</v>
      </c>
      <c r="H5158" t="s">
        <v>4909</v>
      </c>
      <c r="I5158" t="s">
        <v>4909</v>
      </c>
      <c r="J5158" t="s">
        <v>4909</v>
      </c>
      <c r="K5158" t="s">
        <v>4909</v>
      </c>
    </row>
    <row r="5159" spans="1:11" x14ac:dyDescent="0.2">
      <c r="A5159" t="s">
        <v>4285</v>
      </c>
      <c r="B5159" s="88">
        <v>0</v>
      </c>
      <c r="C5159" t="s">
        <v>4909</v>
      </c>
      <c r="D5159" t="s">
        <v>4909</v>
      </c>
      <c r="E5159" t="s">
        <v>4909</v>
      </c>
      <c r="F5159" t="s">
        <v>4909</v>
      </c>
      <c r="G5159" s="88">
        <v>1E-3</v>
      </c>
      <c r="H5159" t="s">
        <v>4909</v>
      </c>
      <c r="I5159" s="88">
        <v>1E-3</v>
      </c>
      <c r="J5159" t="s">
        <v>4909</v>
      </c>
      <c r="K5159" t="s">
        <v>4909</v>
      </c>
    </row>
    <row r="5160" spans="1:11" x14ac:dyDescent="0.2">
      <c r="A5160" t="s">
        <v>4286</v>
      </c>
      <c r="B5160" t="s">
        <v>4909</v>
      </c>
      <c r="C5160" t="s">
        <v>4909</v>
      </c>
      <c r="D5160" t="s">
        <v>4909</v>
      </c>
      <c r="E5160" t="s">
        <v>4909</v>
      </c>
      <c r="F5160" t="s">
        <v>4909</v>
      </c>
      <c r="G5160" s="88">
        <v>0</v>
      </c>
      <c r="H5160" t="s">
        <v>4909</v>
      </c>
      <c r="I5160" t="s">
        <v>4909</v>
      </c>
      <c r="J5160" t="s">
        <v>4909</v>
      </c>
      <c r="K5160" t="s">
        <v>4909</v>
      </c>
    </row>
    <row r="5161" spans="1:11" x14ac:dyDescent="0.2">
      <c r="A5161" t="s">
        <v>4287</v>
      </c>
      <c r="B5161" t="s">
        <v>4909</v>
      </c>
      <c r="C5161" t="s">
        <v>4909</v>
      </c>
      <c r="D5161" t="s">
        <v>4909</v>
      </c>
      <c r="E5161" t="s">
        <v>4909</v>
      </c>
      <c r="F5161" t="s">
        <v>4909</v>
      </c>
      <c r="G5161" s="88">
        <v>0</v>
      </c>
      <c r="H5161" t="s">
        <v>4909</v>
      </c>
      <c r="I5161" t="s">
        <v>4909</v>
      </c>
      <c r="J5161" t="s">
        <v>4909</v>
      </c>
      <c r="K5161" t="s">
        <v>4909</v>
      </c>
    </row>
    <row r="5162" spans="1:11" x14ac:dyDescent="0.2">
      <c r="A5162" t="s">
        <v>4288</v>
      </c>
      <c r="B5162" t="s">
        <v>4909</v>
      </c>
      <c r="C5162" t="s">
        <v>4909</v>
      </c>
      <c r="D5162" t="s">
        <v>4909</v>
      </c>
      <c r="E5162" t="s">
        <v>4909</v>
      </c>
      <c r="F5162" t="s">
        <v>4909</v>
      </c>
      <c r="G5162" t="s">
        <v>4909</v>
      </c>
      <c r="H5162" t="s">
        <v>4909</v>
      </c>
      <c r="I5162" t="s">
        <v>4909</v>
      </c>
      <c r="J5162" t="s">
        <v>4909</v>
      </c>
      <c r="K5162" t="s">
        <v>4909</v>
      </c>
    </row>
    <row r="5163" spans="1:11" x14ac:dyDescent="0.2">
      <c r="A5163" t="s">
        <v>4289</v>
      </c>
      <c r="B5163" t="s">
        <v>4909</v>
      </c>
      <c r="C5163" t="s">
        <v>4909</v>
      </c>
      <c r="D5163" t="s">
        <v>4909</v>
      </c>
      <c r="E5163" t="s">
        <v>4909</v>
      </c>
      <c r="F5163" t="s">
        <v>4909</v>
      </c>
      <c r="G5163" t="s">
        <v>4909</v>
      </c>
      <c r="H5163" t="s">
        <v>4909</v>
      </c>
      <c r="I5163" t="s">
        <v>4909</v>
      </c>
      <c r="J5163" t="s">
        <v>4909</v>
      </c>
      <c r="K5163" t="s">
        <v>4909</v>
      </c>
    </row>
    <row r="5164" spans="1:11" x14ac:dyDescent="0.2">
      <c r="A5164" t="s">
        <v>4290</v>
      </c>
      <c r="B5164" t="s">
        <v>4909</v>
      </c>
      <c r="C5164" t="s">
        <v>4909</v>
      </c>
      <c r="D5164" t="s">
        <v>4909</v>
      </c>
      <c r="E5164" t="s">
        <v>4909</v>
      </c>
      <c r="F5164" t="s">
        <v>4909</v>
      </c>
      <c r="G5164" t="s">
        <v>4909</v>
      </c>
      <c r="H5164" t="s">
        <v>4909</v>
      </c>
      <c r="I5164" t="s">
        <v>4909</v>
      </c>
      <c r="J5164" t="s">
        <v>4909</v>
      </c>
      <c r="K5164" t="s">
        <v>4909</v>
      </c>
    </row>
    <row r="5165" spans="1:11" x14ac:dyDescent="0.2">
      <c r="A5165" t="s">
        <v>4291</v>
      </c>
      <c r="B5165" t="s">
        <v>4909</v>
      </c>
      <c r="C5165" t="s">
        <v>4909</v>
      </c>
      <c r="D5165" t="s">
        <v>4909</v>
      </c>
      <c r="E5165" t="s">
        <v>4909</v>
      </c>
      <c r="F5165" t="s">
        <v>4909</v>
      </c>
      <c r="G5165" t="s">
        <v>4909</v>
      </c>
      <c r="H5165" t="s">
        <v>4909</v>
      </c>
      <c r="I5165" t="s">
        <v>4909</v>
      </c>
      <c r="J5165" t="s">
        <v>4909</v>
      </c>
      <c r="K5165" t="s">
        <v>4909</v>
      </c>
    </row>
    <row r="5166" spans="1:11" x14ac:dyDescent="0.2">
      <c r="A5166" t="s">
        <v>4292</v>
      </c>
      <c r="B5166" t="s">
        <v>4909</v>
      </c>
      <c r="C5166" t="s">
        <v>4909</v>
      </c>
      <c r="D5166" t="s">
        <v>4909</v>
      </c>
      <c r="E5166" t="s">
        <v>4909</v>
      </c>
      <c r="F5166" t="s">
        <v>4909</v>
      </c>
      <c r="G5166" t="s">
        <v>4909</v>
      </c>
      <c r="H5166" t="s">
        <v>4909</v>
      </c>
      <c r="I5166" t="s">
        <v>4909</v>
      </c>
      <c r="J5166" t="s">
        <v>4909</v>
      </c>
      <c r="K5166" t="s">
        <v>4909</v>
      </c>
    </row>
    <row r="5167" spans="1:11" x14ac:dyDescent="0.2">
      <c r="A5167" t="s">
        <v>4293</v>
      </c>
      <c r="B5167" t="s">
        <v>4909</v>
      </c>
      <c r="C5167" t="s">
        <v>4909</v>
      </c>
      <c r="D5167" t="s">
        <v>4909</v>
      </c>
      <c r="E5167" t="s">
        <v>4909</v>
      </c>
      <c r="F5167" t="s">
        <v>4909</v>
      </c>
      <c r="G5167" t="s">
        <v>4909</v>
      </c>
      <c r="H5167" t="s">
        <v>4909</v>
      </c>
      <c r="I5167" t="s">
        <v>4909</v>
      </c>
      <c r="J5167" t="s">
        <v>4909</v>
      </c>
      <c r="K5167" t="s">
        <v>4909</v>
      </c>
    </row>
    <row r="5168" spans="1:11" x14ac:dyDescent="0.2">
      <c r="A5168" t="s">
        <v>4294</v>
      </c>
      <c r="B5168" t="s">
        <v>4909</v>
      </c>
      <c r="C5168" t="s">
        <v>4909</v>
      </c>
      <c r="D5168" t="s">
        <v>4909</v>
      </c>
      <c r="E5168" t="s">
        <v>4909</v>
      </c>
      <c r="F5168" t="s">
        <v>4909</v>
      </c>
      <c r="G5168" t="s">
        <v>4909</v>
      </c>
      <c r="H5168" t="s">
        <v>4909</v>
      </c>
      <c r="I5168" t="s">
        <v>4909</v>
      </c>
      <c r="J5168" t="s">
        <v>4909</v>
      </c>
      <c r="K5168" t="s">
        <v>4909</v>
      </c>
    </row>
    <row r="5169" spans="1:11" x14ac:dyDescent="0.2">
      <c r="A5169" t="s">
        <v>4295</v>
      </c>
      <c r="B5169" t="s">
        <v>4909</v>
      </c>
      <c r="C5169" t="s">
        <v>4909</v>
      </c>
      <c r="D5169" t="s">
        <v>4909</v>
      </c>
      <c r="E5169" t="s">
        <v>4909</v>
      </c>
      <c r="F5169" t="s">
        <v>4909</v>
      </c>
      <c r="G5169" t="s">
        <v>4909</v>
      </c>
      <c r="H5169" t="s">
        <v>4909</v>
      </c>
      <c r="I5169" t="s">
        <v>4909</v>
      </c>
      <c r="J5169" t="s">
        <v>4909</v>
      </c>
      <c r="K5169" t="s">
        <v>4909</v>
      </c>
    </row>
    <row r="5170" spans="1:11" x14ac:dyDescent="0.2">
      <c r="A5170" t="s">
        <v>4296</v>
      </c>
      <c r="B5170" t="s">
        <v>4909</v>
      </c>
      <c r="C5170" t="s">
        <v>4909</v>
      </c>
      <c r="D5170" t="s">
        <v>4909</v>
      </c>
      <c r="E5170" t="s">
        <v>4909</v>
      </c>
      <c r="F5170" t="s">
        <v>4909</v>
      </c>
      <c r="G5170" t="s">
        <v>4909</v>
      </c>
      <c r="H5170" t="s">
        <v>4909</v>
      </c>
      <c r="I5170" t="s">
        <v>4909</v>
      </c>
      <c r="J5170" t="s">
        <v>4909</v>
      </c>
      <c r="K5170" t="s">
        <v>4909</v>
      </c>
    </row>
    <row r="5171" spans="1:11" x14ac:dyDescent="0.2">
      <c r="A5171" t="s">
        <v>4297</v>
      </c>
      <c r="B5171" s="88">
        <v>0</v>
      </c>
      <c r="C5171" t="s">
        <v>4909</v>
      </c>
      <c r="D5171" t="s">
        <v>4909</v>
      </c>
      <c r="E5171" t="s">
        <v>4909</v>
      </c>
      <c r="F5171" t="s">
        <v>4909</v>
      </c>
      <c r="G5171" s="88">
        <v>0</v>
      </c>
      <c r="H5171" t="s">
        <v>4909</v>
      </c>
      <c r="I5171" s="88">
        <v>0</v>
      </c>
      <c r="J5171" t="s">
        <v>4909</v>
      </c>
      <c r="K5171" s="88">
        <v>0</v>
      </c>
    </row>
    <row r="5172" spans="1:11" x14ac:dyDescent="0.2">
      <c r="A5172" t="s">
        <v>4298</v>
      </c>
      <c r="B5172" s="88">
        <v>0</v>
      </c>
      <c r="C5172" t="s">
        <v>4909</v>
      </c>
      <c r="D5172" t="s">
        <v>4909</v>
      </c>
      <c r="E5172" t="s">
        <v>4909</v>
      </c>
      <c r="F5172" t="s">
        <v>4909</v>
      </c>
      <c r="G5172" s="88">
        <v>2E-3</v>
      </c>
      <c r="H5172" t="s">
        <v>4909</v>
      </c>
      <c r="I5172" s="88">
        <v>1E-3</v>
      </c>
      <c r="J5172" t="s">
        <v>4909</v>
      </c>
      <c r="K5172" t="s">
        <v>4909</v>
      </c>
    </row>
    <row r="5173" spans="1:11" x14ac:dyDescent="0.2">
      <c r="A5173" t="s">
        <v>4299</v>
      </c>
      <c r="B5173" s="88">
        <v>2E-3</v>
      </c>
      <c r="C5173" t="s">
        <v>4909</v>
      </c>
      <c r="D5173" t="s">
        <v>4909</v>
      </c>
      <c r="E5173" t="s">
        <v>4909</v>
      </c>
      <c r="F5173" t="s">
        <v>4909</v>
      </c>
      <c r="G5173" s="88">
        <v>6.0000000000000001E-3</v>
      </c>
      <c r="H5173" t="s">
        <v>4909</v>
      </c>
      <c r="I5173" s="88">
        <v>3.0000000000000001E-3</v>
      </c>
      <c r="J5173" t="s">
        <v>4909</v>
      </c>
      <c r="K5173" t="s">
        <v>4909</v>
      </c>
    </row>
    <row r="5174" spans="1:11" x14ac:dyDescent="0.2">
      <c r="A5174" t="s">
        <v>4300</v>
      </c>
      <c r="B5174" s="88">
        <v>2E-3</v>
      </c>
      <c r="C5174" t="s">
        <v>4909</v>
      </c>
      <c r="D5174" t="s">
        <v>4909</v>
      </c>
      <c r="E5174" t="s">
        <v>4909</v>
      </c>
      <c r="F5174" t="s">
        <v>4909</v>
      </c>
      <c r="G5174" s="88">
        <v>2E-3</v>
      </c>
      <c r="H5174" t="s">
        <v>4909</v>
      </c>
      <c r="I5174" s="88">
        <v>1E-3</v>
      </c>
      <c r="J5174" t="s">
        <v>4909</v>
      </c>
      <c r="K5174" t="s">
        <v>4909</v>
      </c>
    </row>
    <row r="5175" spans="1:11" x14ac:dyDescent="0.2">
      <c r="A5175" t="s">
        <v>4301</v>
      </c>
      <c r="B5175" s="88">
        <v>0</v>
      </c>
      <c r="C5175" t="s">
        <v>4909</v>
      </c>
      <c r="D5175" t="s">
        <v>4909</v>
      </c>
      <c r="E5175" t="s">
        <v>4909</v>
      </c>
      <c r="F5175" s="88">
        <v>0</v>
      </c>
      <c r="G5175" s="88">
        <v>4.0000000000000001E-3</v>
      </c>
      <c r="H5175" t="s">
        <v>4909</v>
      </c>
      <c r="I5175" s="88">
        <v>2E-3</v>
      </c>
      <c r="J5175" t="s">
        <v>4909</v>
      </c>
      <c r="K5175" s="88">
        <v>0</v>
      </c>
    </row>
    <row r="5176" spans="1:11" x14ac:dyDescent="0.2">
      <c r="A5176" t="s">
        <v>4302</v>
      </c>
      <c r="B5176" s="88">
        <v>3.0000000000000001E-3</v>
      </c>
      <c r="C5176" t="s">
        <v>4909</v>
      </c>
      <c r="D5176" t="s">
        <v>4909</v>
      </c>
      <c r="E5176" t="s">
        <v>4909</v>
      </c>
      <c r="F5176" t="s">
        <v>4909</v>
      </c>
      <c r="G5176" s="88">
        <v>1.0999999999999999E-2</v>
      </c>
      <c r="H5176" t="s">
        <v>4909</v>
      </c>
      <c r="I5176" s="88">
        <v>7.0000000000000001E-3</v>
      </c>
      <c r="J5176" t="s">
        <v>4909</v>
      </c>
      <c r="K5176" s="88">
        <v>0</v>
      </c>
    </row>
    <row r="5177" spans="1:11" x14ac:dyDescent="0.2">
      <c r="A5177" t="s">
        <v>4303</v>
      </c>
      <c r="B5177" s="88">
        <v>6.0000000000000001E-3</v>
      </c>
      <c r="C5177" t="s">
        <v>4909</v>
      </c>
      <c r="D5177" t="s">
        <v>4909</v>
      </c>
      <c r="E5177" t="s">
        <v>4909</v>
      </c>
      <c r="F5177" t="s">
        <v>4909</v>
      </c>
      <c r="G5177" s="88">
        <v>8.0000000000000002E-3</v>
      </c>
      <c r="H5177" t="s">
        <v>4909</v>
      </c>
      <c r="I5177" s="88">
        <v>4.0000000000000001E-3</v>
      </c>
      <c r="J5177" t="s">
        <v>4909</v>
      </c>
      <c r="K5177" t="s">
        <v>4909</v>
      </c>
    </row>
    <row r="5178" spans="1:11" x14ac:dyDescent="0.2">
      <c r="A5178" t="s">
        <v>4304</v>
      </c>
      <c r="B5178" s="88">
        <v>4.0000000000000001E-3</v>
      </c>
      <c r="C5178" t="s">
        <v>4909</v>
      </c>
      <c r="D5178" t="s">
        <v>4909</v>
      </c>
      <c r="E5178" t="s">
        <v>4909</v>
      </c>
      <c r="F5178" t="s">
        <v>4909</v>
      </c>
      <c r="G5178" s="88">
        <v>1.9E-2</v>
      </c>
      <c r="H5178" t="s">
        <v>4909</v>
      </c>
      <c r="I5178" s="88">
        <v>1.0999999999999999E-2</v>
      </c>
      <c r="J5178" t="s">
        <v>4909</v>
      </c>
      <c r="K5178" s="88">
        <v>0</v>
      </c>
    </row>
    <row r="5179" spans="1:11" x14ac:dyDescent="0.2">
      <c r="A5179" t="s">
        <v>4305</v>
      </c>
      <c r="B5179" s="88">
        <v>7.0000000000000001E-3</v>
      </c>
      <c r="C5179" t="s">
        <v>4909</v>
      </c>
      <c r="D5179" t="s">
        <v>4909</v>
      </c>
      <c r="E5179" t="s">
        <v>4909</v>
      </c>
      <c r="F5179" s="88">
        <v>0</v>
      </c>
      <c r="G5179" s="88">
        <v>3.6999999999999998E-2</v>
      </c>
      <c r="H5179" t="s">
        <v>4909</v>
      </c>
      <c r="I5179" s="88">
        <v>2.1999999999999999E-2</v>
      </c>
      <c r="J5179" t="s">
        <v>4909</v>
      </c>
      <c r="K5179" s="88">
        <v>1E-3</v>
      </c>
    </row>
    <row r="5180" spans="1:11" x14ac:dyDescent="0.2">
      <c r="A5180" t="s">
        <v>4306</v>
      </c>
      <c r="B5180" s="88">
        <v>8.9999999999999993E-3</v>
      </c>
      <c r="C5180" t="s">
        <v>4909</v>
      </c>
      <c r="D5180" t="s">
        <v>4909</v>
      </c>
      <c r="E5180" t="s">
        <v>4909</v>
      </c>
      <c r="F5180" t="s">
        <v>4909</v>
      </c>
      <c r="G5180" s="88">
        <v>0.03</v>
      </c>
      <c r="H5180" t="s">
        <v>4909</v>
      </c>
      <c r="I5180" s="88">
        <v>1.7999999999999999E-2</v>
      </c>
      <c r="J5180" t="s">
        <v>4909</v>
      </c>
      <c r="K5180" s="88">
        <v>0</v>
      </c>
    </row>
    <row r="5181" spans="1:11" x14ac:dyDescent="0.2">
      <c r="A5181" t="s">
        <v>4307</v>
      </c>
      <c r="B5181" s="88">
        <v>1.4999999999999999E-2</v>
      </c>
      <c r="C5181" t="s">
        <v>4909</v>
      </c>
      <c r="D5181" t="s">
        <v>4909</v>
      </c>
      <c r="E5181" t="s">
        <v>4909</v>
      </c>
      <c r="F5181" s="88">
        <v>0</v>
      </c>
      <c r="G5181" s="88">
        <v>1.6E-2</v>
      </c>
      <c r="H5181" s="88">
        <v>0</v>
      </c>
      <c r="I5181" s="88">
        <v>0.01</v>
      </c>
      <c r="J5181" t="s">
        <v>4909</v>
      </c>
      <c r="K5181" s="88">
        <v>0</v>
      </c>
    </row>
    <row r="5182" spans="1:11" x14ac:dyDescent="0.2">
      <c r="A5182" t="s">
        <v>4308</v>
      </c>
      <c r="B5182" t="s">
        <v>4909</v>
      </c>
      <c r="C5182" t="s">
        <v>4909</v>
      </c>
      <c r="D5182" t="s">
        <v>4909</v>
      </c>
      <c r="E5182" t="s">
        <v>4909</v>
      </c>
      <c r="F5182" t="s">
        <v>4909</v>
      </c>
      <c r="G5182" t="s">
        <v>4909</v>
      </c>
      <c r="H5182" t="s">
        <v>4909</v>
      </c>
      <c r="I5182" t="s">
        <v>4909</v>
      </c>
      <c r="J5182" t="s">
        <v>4909</v>
      </c>
      <c r="K5182" t="s">
        <v>4909</v>
      </c>
    </row>
    <row r="5183" spans="1:11" x14ac:dyDescent="0.2">
      <c r="A5183" t="s">
        <v>4309</v>
      </c>
      <c r="B5183" t="s">
        <v>4909</v>
      </c>
      <c r="C5183" t="s">
        <v>4909</v>
      </c>
      <c r="D5183" t="s">
        <v>4909</v>
      </c>
      <c r="E5183" t="s">
        <v>4909</v>
      </c>
      <c r="F5183" t="s">
        <v>4909</v>
      </c>
      <c r="G5183" t="s">
        <v>4909</v>
      </c>
      <c r="H5183" t="s">
        <v>4909</v>
      </c>
      <c r="I5183" t="s">
        <v>4909</v>
      </c>
      <c r="J5183" t="s">
        <v>4909</v>
      </c>
      <c r="K5183" t="s">
        <v>4909</v>
      </c>
    </row>
    <row r="5184" spans="1:11" x14ac:dyDescent="0.2">
      <c r="A5184" t="s">
        <v>4310</v>
      </c>
      <c r="B5184" t="s">
        <v>4909</v>
      </c>
      <c r="C5184" t="s">
        <v>4909</v>
      </c>
      <c r="D5184" t="s">
        <v>4909</v>
      </c>
      <c r="E5184" t="s">
        <v>4909</v>
      </c>
      <c r="F5184" t="s">
        <v>4909</v>
      </c>
      <c r="G5184" t="s">
        <v>4909</v>
      </c>
      <c r="H5184" t="s">
        <v>4909</v>
      </c>
      <c r="I5184" t="s">
        <v>4909</v>
      </c>
      <c r="J5184" t="s">
        <v>4909</v>
      </c>
      <c r="K5184" t="s">
        <v>4909</v>
      </c>
    </row>
    <row r="5185" spans="1:11" x14ac:dyDescent="0.2">
      <c r="A5185" t="s">
        <v>4311</v>
      </c>
      <c r="B5185" t="s">
        <v>4909</v>
      </c>
      <c r="C5185" t="s">
        <v>4909</v>
      </c>
      <c r="D5185" t="s">
        <v>4909</v>
      </c>
      <c r="E5185" t="s">
        <v>4909</v>
      </c>
      <c r="F5185" t="s">
        <v>4909</v>
      </c>
      <c r="G5185" t="s">
        <v>4909</v>
      </c>
      <c r="H5185" t="s">
        <v>4909</v>
      </c>
      <c r="I5185" t="s">
        <v>4909</v>
      </c>
      <c r="J5185" t="s">
        <v>4909</v>
      </c>
      <c r="K5185" t="s">
        <v>4909</v>
      </c>
    </row>
    <row r="5186" spans="1:11" x14ac:dyDescent="0.2">
      <c r="A5186" t="s">
        <v>4312</v>
      </c>
      <c r="B5186" t="s">
        <v>4909</v>
      </c>
      <c r="C5186" t="s">
        <v>4909</v>
      </c>
      <c r="D5186" t="s">
        <v>4909</v>
      </c>
      <c r="E5186" t="s">
        <v>4909</v>
      </c>
      <c r="F5186" t="s">
        <v>4909</v>
      </c>
      <c r="G5186" t="s">
        <v>4909</v>
      </c>
      <c r="H5186" t="s">
        <v>4909</v>
      </c>
      <c r="I5186" t="s">
        <v>4909</v>
      </c>
      <c r="J5186" t="s">
        <v>4909</v>
      </c>
      <c r="K5186" t="s">
        <v>4909</v>
      </c>
    </row>
    <row r="5187" spans="1:11" x14ac:dyDescent="0.2">
      <c r="A5187" t="s">
        <v>4313</v>
      </c>
      <c r="B5187" t="s">
        <v>4909</v>
      </c>
      <c r="C5187" t="s">
        <v>4909</v>
      </c>
      <c r="D5187" t="s">
        <v>4909</v>
      </c>
      <c r="E5187" t="s">
        <v>4909</v>
      </c>
      <c r="F5187" t="s">
        <v>4909</v>
      </c>
      <c r="G5187" t="s">
        <v>4909</v>
      </c>
      <c r="H5187" t="s">
        <v>4909</v>
      </c>
      <c r="I5187" t="s">
        <v>4909</v>
      </c>
      <c r="J5187" t="s">
        <v>4909</v>
      </c>
      <c r="K5187" t="s">
        <v>4909</v>
      </c>
    </row>
    <row r="5188" spans="1:11" x14ac:dyDescent="0.2">
      <c r="A5188" t="s">
        <v>4314</v>
      </c>
      <c r="B5188" t="s">
        <v>4909</v>
      </c>
      <c r="C5188" t="s">
        <v>4909</v>
      </c>
      <c r="D5188" t="s">
        <v>4909</v>
      </c>
      <c r="E5188" t="s">
        <v>4909</v>
      </c>
      <c r="F5188" t="s">
        <v>4909</v>
      </c>
      <c r="G5188" t="s">
        <v>4909</v>
      </c>
      <c r="H5188" t="s">
        <v>4909</v>
      </c>
      <c r="I5188" t="s">
        <v>4909</v>
      </c>
      <c r="J5188" t="s">
        <v>4909</v>
      </c>
      <c r="K5188" t="s">
        <v>4909</v>
      </c>
    </row>
    <row r="5189" spans="1:11" x14ac:dyDescent="0.2">
      <c r="A5189" t="s">
        <v>4315</v>
      </c>
      <c r="B5189" t="s">
        <v>4909</v>
      </c>
      <c r="C5189" t="s">
        <v>4909</v>
      </c>
      <c r="D5189" t="s">
        <v>4909</v>
      </c>
      <c r="E5189" t="s">
        <v>4909</v>
      </c>
      <c r="F5189" t="s">
        <v>4909</v>
      </c>
      <c r="G5189" t="s">
        <v>4909</v>
      </c>
      <c r="H5189" t="s">
        <v>4909</v>
      </c>
      <c r="I5189" t="s">
        <v>4909</v>
      </c>
      <c r="J5189" t="s">
        <v>4909</v>
      </c>
      <c r="K5189" t="s">
        <v>4909</v>
      </c>
    </row>
    <row r="5190" spans="1:11" x14ac:dyDescent="0.2">
      <c r="A5190" t="s">
        <v>4316</v>
      </c>
      <c r="B5190" t="s">
        <v>4909</v>
      </c>
      <c r="C5190" t="s">
        <v>4909</v>
      </c>
      <c r="D5190" t="s">
        <v>4909</v>
      </c>
      <c r="E5190" t="s">
        <v>4909</v>
      </c>
      <c r="F5190" t="s">
        <v>4909</v>
      </c>
      <c r="G5190" t="s">
        <v>4909</v>
      </c>
      <c r="H5190" t="s">
        <v>4909</v>
      </c>
      <c r="I5190" t="s">
        <v>4909</v>
      </c>
      <c r="J5190" t="s">
        <v>4909</v>
      </c>
      <c r="K5190" t="s">
        <v>4909</v>
      </c>
    </row>
    <row r="5191" spans="1:11" x14ac:dyDescent="0.2">
      <c r="A5191" t="s">
        <v>4317</v>
      </c>
      <c r="B5191" t="s">
        <v>4909</v>
      </c>
      <c r="C5191" t="s">
        <v>4909</v>
      </c>
      <c r="D5191" t="s">
        <v>4909</v>
      </c>
      <c r="E5191" t="s">
        <v>4909</v>
      </c>
      <c r="F5191" t="s">
        <v>4909</v>
      </c>
      <c r="G5191" t="s">
        <v>4909</v>
      </c>
      <c r="H5191" t="s">
        <v>4909</v>
      </c>
      <c r="I5191" t="s">
        <v>4909</v>
      </c>
      <c r="J5191" t="s">
        <v>4909</v>
      </c>
      <c r="K5191" t="s">
        <v>4909</v>
      </c>
    </row>
    <row r="5192" spans="1:11" x14ac:dyDescent="0.2">
      <c r="A5192" t="s">
        <v>4318</v>
      </c>
      <c r="B5192" t="s">
        <v>4909</v>
      </c>
      <c r="C5192" t="s">
        <v>4909</v>
      </c>
      <c r="D5192" t="s">
        <v>4909</v>
      </c>
      <c r="E5192" t="s">
        <v>4909</v>
      </c>
      <c r="F5192" t="s">
        <v>4909</v>
      </c>
      <c r="G5192" t="s">
        <v>4909</v>
      </c>
      <c r="H5192" t="s">
        <v>4909</v>
      </c>
      <c r="I5192" t="s">
        <v>4909</v>
      </c>
      <c r="J5192" t="s">
        <v>4909</v>
      </c>
      <c r="K5192" t="s">
        <v>4909</v>
      </c>
    </row>
    <row r="5193" spans="1:11" x14ac:dyDescent="0.2">
      <c r="A5193" t="s">
        <v>4319</v>
      </c>
      <c r="B5193" t="s">
        <v>4909</v>
      </c>
      <c r="C5193" t="s">
        <v>4909</v>
      </c>
      <c r="D5193" t="s">
        <v>4909</v>
      </c>
      <c r="E5193" t="s">
        <v>4909</v>
      </c>
      <c r="F5193" t="s">
        <v>4909</v>
      </c>
      <c r="G5193" t="s">
        <v>4909</v>
      </c>
      <c r="H5193" t="s">
        <v>4909</v>
      </c>
      <c r="I5193" t="s">
        <v>4909</v>
      </c>
      <c r="J5193" t="s">
        <v>4909</v>
      </c>
      <c r="K5193" t="s">
        <v>4909</v>
      </c>
    </row>
    <row r="5194" spans="1:11" x14ac:dyDescent="0.2">
      <c r="A5194" t="s">
        <v>4320</v>
      </c>
      <c r="B5194" t="s">
        <v>4909</v>
      </c>
      <c r="C5194" t="s">
        <v>4909</v>
      </c>
      <c r="D5194" t="s">
        <v>4909</v>
      </c>
      <c r="E5194" t="s">
        <v>4909</v>
      </c>
      <c r="F5194" t="s">
        <v>4909</v>
      </c>
      <c r="G5194" t="s">
        <v>4909</v>
      </c>
      <c r="H5194" t="s">
        <v>4909</v>
      </c>
      <c r="I5194" t="s">
        <v>4909</v>
      </c>
      <c r="J5194" t="s">
        <v>4909</v>
      </c>
      <c r="K5194" t="s">
        <v>4909</v>
      </c>
    </row>
    <row r="5195" spans="1:11" x14ac:dyDescent="0.2">
      <c r="A5195" t="s">
        <v>4321</v>
      </c>
      <c r="B5195" t="s">
        <v>4909</v>
      </c>
      <c r="C5195" t="s">
        <v>4909</v>
      </c>
      <c r="D5195" t="s">
        <v>4909</v>
      </c>
      <c r="E5195" t="s">
        <v>4909</v>
      </c>
      <c r="F5195" t="s">
        <v>4909</v>
      </c>
      <c r="G5195" t="s">
        <v>4909</v>
      </c>
      <c r="H5195" t="s">
        <v>4909</v>
      </c>
      <c r="I5195" t="s">
        <v>4909</v>
      </c>
      <c r="J5195" t="s">
        <v>4909</v>
      </c>
      <c r="K5195" t="s">
        <v>4909</v>
      </c>
    </row>
    <row r="5196" spans="1:11" x14ac:dyDescent="0.2">
      <c r="A5196" t="s">
        <v>4322</v>
      </c>
      <c r="B5196" t="s">
        <v>4909</v>
      </c>
      <c r="C5196" t="s">
        <v>4909</v>
      </c>
      <c r="D5196" t="s">
        <v>4909</v>
      </c>
      <c r="E5196" t="s">
        <v>4909</v>
      </c>
      <c r="F5196" t="s">
        <v>4909</v>
      </c>
      <c r="G5196" t="s">
        <v>4909</v>
      </c>
      <c r="H5196" t="s">
        <v>4909</v>
      </c>
      <c r="I5196" t="s">
        <v>4909</v>
      </c>
      <c r="J5196" t="s">
        <v>4909</v>
      </c>
      <c r="K5196" t="s">
        <v>4909</v>
      </c>
    </row>
    <row r="5197" spans="1:11" x14ac:dyDescent="0.2">
      <c r="A5197" t="s">
        <v>4323</v>
      </c>
      <c r="B5197" t="s">
        <v>4909</v>
      </c>
      <c r="C5197" t="s">
        <v>4909</v>
      </c>
      <c r="D5197" t="s">
        <v>4909</v>
      </c>
      <c r="E5197" t="s">
        <v>4909</v>
      </c>
      <c r="F5197" t="s">
        <v>4909</v>
      </c>
      <c r="G5197" t="s">
        <v>4909</v>
      </c>
      <c r="H5197" t="s">
        <v>4909</v>
      </c>
      <c r="I5197" t="s">
        <v>4909</v>
      </c>
      <c r="J5197" t="s">
        <v>4909</v>
      </c>
      <c r="K5197" t="s">
        <v>4909</v>
      </c>
    </row>
    <row r="5198" spans="1:11" x14ac:dyDescent="0.2">
      <c r="A5198" t="s">
        <v>4324</v>
      </c>
      <c r="B5198" t="s">
        <v>4909</v>
      </c>
      <c r="C5198" t="s">
        <v>4909</v>
      </c>
      <c r="D5198" t="s">
        <v>4909</v>
      </c>
      <c r="E5198" t="s">
        <v>4909</v>
      </c>
      <c r="F5198" t="s">
        <v>4909</v>
      </c>
      <c r="G5198" t="s">
        <v>4909</v>
      </c>
      <c r="H5198" t="s">
        <v>4909</v>
      </c>
      <c r="I5198" t="s">
        <v>4909</v>
      </c>
      <c r="J5198" t="s">
        <v>4909</v>
      </c>
      <c r="K5198" t="s">
        <v>4909</v>
      </c>
    </row>
    <row r="5199" spans="1:11" x14ac:dyDescent="0.2">
      <c r="A5199" t="s">
        <v>4325</v>
      </c>
      <c r="B5199" t="s">
        <v>4909</v>
      </c>
      <c r="C5199" t="s">
        <v>4909</v>
      </c>
      <c r="D5199" t="s">
        <v>4909</v>
      </c>
      <c r="E5199" t="s">
        <v>4909</v>
      </c>
      <c r="F5199" t="s">
        <v>4909</v>
      </c>
      <c r="G5199" t="s">
        <v>4909</v>
      </c>
      <c r="H5199" t="s">
        <v>4909</v>
      </c>
      <c r="I5199" t="s">
        <v>4909</v>
      </c>
      <c r="J5199" t="s">
        <v>4909</v>
      </c>
      <c r="K5199" t="s">
        <v>4909</v>
      </c>
    </row>
    <row r="5200" spans="1:11" x14ac:dyDescent="0.2">
      <c r="A5200" t="s">
        <v>4326</v>
      </c>
      <c r="B5200" t="s">
        <v>4909</v>
      </c>
      <c r="C5200" t="s">
        <v>4909</v>
      </c>
      <c r="D5200" t="s">
        <v>4909</v>
      </c>
      <c r="E5200" t="s">
        <v>4909</v>
      </c>
      <c r="F5200" t="s">
        <v>4909</v>
      </c>
      <c r="G5200" t="s">
        <v>4909</v>
      </c>
      <c r="H5200" t="s">
        <v>4909</v>
      </c>
      <c r="I5200" t="s">
        <v>4909</v>
      </c>
      <c r="J5200" t="s">
        <v>4909</v>
      </c>
      <c r="K5200" t="s">
        <v>4909</v>
      </c>
    </row>
    <row r="5201" spans="1:11" x14ac:dyDescent="0.2">
      <c r="A5201" t="s">
        <v>4327</v>
      </c>
      <c r="B5201" t="s">
        <v>4909</v>
      </c>
      <c r="C5201" t="s">
        <v>4909</v>
      </c>
      <c r="D5201" t="s">
        <v>4909</v>
      </c>
      <c r="E5201" t="s">
        <v>4909</v>
      </c>
      <c r="F5201" t="s">
        <v>4909</v>
      </c>
      <c r="G5201" t="s">
        <v>4909</v>
      </c>
      <c r="H5201" t="s">
        <v>4909</v>
      </c>
      <c r="I5201" t="s">
        <v>4909</v>
      </c>
      <c r="J5201" t="s">
        <v>4909</v>
      </c>
      <c r="K5201" t="s">
        <v>4909</v>
      </c>
    </row>
    <row r="5202" spans="1:11" x14ac:dyDescent="0.2">
      <c r="A5202" t="s">
        <v>4328</v>
      </c>
      <c r="B5202" t="s">
        <v>4909</v>
      </c>
      <c r="C5202" t="s">
        <v>4909</v>
      </c>
      <c r="D5202" t="s">
        <v>4909</v>
      </c>
      <c r="E5202" t="s">
        <v>4909</v>
      </c>
      <c r="F5202" t="s">
        <v>4909</v>
      </c>
      <c r="G5202" t="s">
        <v>4909</v>
      </c>
      <c r="H5202" t="s">
        <v>4909</v>
      </c>
      <c r="I5202" t="s">
        <v>4909</v>
      </c>
      <c r="J5202" t="s">
        <v>4909</v>
      </c>
      <c r="K5202" t="s">
        <v>4909</v>
      </c>
    </row>
    <row r="5203" spans="1:11" x14ac:dyDescent="0.2">
      <c r="A5203" t="s">
        <v>4329</v>
      </c>
      <c r="B5203" t="s">
        <v>4909</v>
      </c>
      <c r="C5203" t="s">
        <v>4909</v>
      </c>
      <c r="D5203" t="s">
        <v>4909</v>
      </c>
      <c r="E5203" t="s">
        <v>4909</v>
      </c>
      <c r="F5203" t="s">
        <v>4909</v>
      </c>
      <c r="G5203" t="s">
        <v>4909</v>
      </c>
      <c r="H5203" t="s">
        <v>4909</v>
      </c>
      <c r="I5203" t="s">
        <v>4909</v>
      </c>
      <c r="J5203" t="s">
        <v>4909</v>
      </c>
      <c r="K5203" t="s">
        <v>4909</v>
      </c>
    </row>
    <row r="5204" spans="1:11" x14ac:dyDescent="0.2">
      <c r="A5204" t="s">
        <v>4330</v>
      </c>
      <c r="B5204" t="s">
        <v>4909</v>
      </c>
      <c r="C5204" t="s">
        <v>4909</v>
      </c>
      <c r="D5204" t="s">
        <v>4909</v>
      </c>
      <c r="E5204" t="s">
        <v>4909</v>
      </c>
      <c r="F5204" t="s">
        <v>4909</v>
      </c>
      <c r="G5204" t="s">
        <v>4909</v>
      </c>
      <c r="H5204" t="s">
        <v>4909</v>
      </c>
      <c r="I5204" t="s">
        <v>4909</v>
      </c>
      <c r="J5204" t="s">
        <v>4909</v>
      </c>
      <c r="K5204" t="s">
        <v>4909</v>
      </c>
    </row>
    <row r="5205" spans="1:11" x14ac:dyDescent="0.2">
      <c r="A5205" t="s">
        <v>4331</v>
      </c>
      <c r="B5205" t="s">
        <v>4909</v>
      </c>
      <c r="C5205" t="s">
        <v>4909</v>
      </c>
      <c r="D5205" t="s">
        <v>4909</v>
      </c>
      <c r="E5205" t="s">
        <v>4909</v>
      </c>
      <c r="F5205" t="s">
        <v>4909</v>
      </c>
      <c r="G5205" t="s">
        <v>4909</v>
      </c>
      <c r="H5205" t="s">
        <v>4909</v>
      </c>
      <c r="I5205" t="s">
        <v>4909</v>
      </c>
      <c r="J5205" t="s">
        <v>4909</v>
      </c>
      <c r="K5205" t="s">
        <v>4909</v>
      </c>
    </row>
    <row r="5206" spans="1:11" x14ac:dyDescent="0.2">
      <c r="A5206" t="s">
        <v>4332</v>
      </c>
      <c r="B5206" t="s">
        <v>4909</v>
      </c>
      <c r="C5206" t="s">
        <v>4909</v>
      </c>
      <c r="D5206" t="s">
        <v>4909</v>
      </c>
      <c r="E5206" t="s">
        <v>4909</v>
      </c>
      <c r="F5206" t="s">
        <v>4909</v>
      </c>
      <c r="G5206" t="s">
        <v>4909</v>
      </c>
      <c r="H5206" t="s">
        <v>4909</v>
      </c>
      <c r="I5206" t="s">
        <v>4909</v>
      </c>
      <c r="J5206" t="s">
        <v>4909</v>
      </c>
      <c r="K5206" t="s">
        <v>4909</v>
      </c>
    </row>
    <row r="5207" spans="1:11" x14ac:dyDescent="0.2">
      <c r="A5207" t="s">
        <v>4333</v>
      </c>
      <c r="B5207" t="s">
        <v>4909</v>
      </c>
      <c r="C5207" t="s">
        <v>4909</v>
      </c>
      <c r="D5207" t="s">
        <v>4909</v>
      </c>
      <c r="E5207" t="s">
        <v>4909</v>
      </c>
      <c r="F5207" t="s">
        <v>4909</v>
      </c>
      <c r="G5207" t="s">
        <v>4909</v>
      </c>
      <c r="H5207" t="s">
        <v>4909</v>
      </c>
      <c r="I5207" t="s">
        <v>4909</v>
      </c>
      <c r="J5207" t="s">
        <v>4909</v>
      </c>
      <c r="K5207" t="s">
        <v>4909</v>
      </c>
    </row>
    <row r="5208" spans="1:11" x14ac:dyDescent="0.2">
      <c r="A5208" t="s">
        <v>4334</v>
      </c>
      <c r="B5208" t="s">
        <v>4909</v>
      </c>
      <c r="C5208" t="s">
        <v>4909</v>
      </c>
      <c r="D5208" t="s">
        <v>4909</v>
      </c>
      <c r="E5208" t="s">
        <v>4909</v>
      </c>
      <c r="F5208" t="s">
        <v>4909</v>
      </c>
      <c r="G5208" t="s">
        <v>4909</v>
      </c>
      <c r="H5208" t="s">
        <v>4909</v>
      </c>
      <c r="I5208" t="s">
        <v>4909</v>
      </c>
      <c r="J5208" t="s">
        <v>4909</v>
      </c>
      <c r="K5208" t="s">
        <v>4909</v>
      </c>
    </row>
    <row r="5209" spans="1:11" x14ac:dyDescent="0.2">
      <c r="A5209" t="s">
        <v>4335</v>
      </c>
      <c r="B5209" t="s">
        <v>4909</v>
      </c>
      <c r="C5209" t="s">
        <v>4909</v>
      </c>
      <c r="D5209" t="s">
        <v>4909</v>
      </c>
      <c r="E5209" t="s">
        <v>4909</v>
      </c>
      <c r="F5209" t="s">
        <v>4909</v>
      </c>
      <c r="G5209" t="s">
        <v>4909</v>
      </c>
      <c r="H5209" t="s">
        <v>4909</v>
      </c>
      <c r="I5209" t="s">
        <v>4909</v>
      </c>
      <c r="J5209" t="s">
        <v>4909</v>
      </c>
      <c r="K5209" t="s">
        <v>4909</v>
      </c>
    </row>
    <row r="5210" spans="1:11" x14ac:dyDescent="0.2">
      <c r="A5210" t="s">
        <v>4336</v>
      </c>
      <c r="B5210" t="s">
        <v>4909</v>
      </c>
      <c r="C5210" t="s">
        <v>4909</v>
      </c>
      <c r="D5210" t="s">
        <v>4909</v>
      </c>
      <c r="E5210" t="s">
        <v>4909</v>
      </c>
      <c r="F5210" t="s">
        <v>4909</v>
      </c>
      <c r="G5210" t="s">
        <v>4909</v>
      </c>
      <c r="H5210" t="s">
        <v>4909</v>
      </c>
      <c r="I5210" t="s">
        <v>4909</v>
      </c>
      <c r="J5210" t="s">
        <v>4909</v>
      </c>
      <c r="K5210" t="s">
        <v>4909</v>
      </c>
    </row>
    <row r="5211" spans="1:11" x14ac:dyDescent="0.2">
      <c r="A5211" t="s">
        <v>4337</v>
      </c>
      <c r="B5211" t="s">
        <v>4909</v>
      </c>
      <c r="C5211" t="s">
        <v>4909</v>
      </c>
      <c r="D5211" t="s">
        <v>4909</v>
      </c>
      <c r="E5211" t="s">
        <v>4909</v>
      </c>
      <c r="F5211" t="s">
        <v>4909</v>
      </c>
      <c r="G5211" t="s">
        <v>4909</v>
      </c>
      <c r="H5211" t="s">
        <v>4909</v>
      </c>
      <c r="I5211" t="s">
        <v>4909</v>
      </c>
      <c r="J5211" t="s">
        <v>4909</v>
      </c>
      <c r="K5211" t="s">
        <v>4909</v>
      </c>
    </row>
    <row r="5212" spans="1:11" x14ac:dyDescent="0.2">
      <c r="A5212" t="s">
        <v>4338</v>
      </c>
      <c r="B5212" t="s">
        <v>4909</v>
      </c>
      <c r="C5212" t="s">
        <v>4909</v>
      </c>
      <c r="D5212" t="s">
        <v>4909</v>
      </c>
      <c r="E5212" t="s">
        <v>4909</v>
      </c>
      <c r="F5212" t="s">
        <v>4909</v>
      </c>
      <c r="G5212" t="s">
        <v>4909</v>
      </c>
      <c r="H5212" t="s">
        <v>4909</v>
      </c>
      <c r="I5212" t="s">
        <v>4909</v>
      </c>
      <c r="J5212" t="s">
        <v>4909</v>
      </c>
      <c r="K5212" t="s">
        <v>4909</v>
      </c>
    </row>
    <row r="5213" spans="1:11" x14ac:dyDescent="0.2">
      <c r="A5213" t="s">
        <v>4339</v>
      </c>
      <c r="B5213" t="s">
        <v>4909</v>
      </c>
      <c r="C5213" t="s">
        <v>4909</v>
      </c>
      <c r="D5213" t="s">
        <v>4909</v>
      </c>
      <c r="E5213" t="s">
        <v>4909</v>
      </c>
      <c r="F5213" t="s">
        <v>4909</v>
      </c>
      <c r="G5213" t="s">
        <v>4909</v>
      </c>
      <c r="H5213" t="s">
        <v>4909</v>
      </c>
      <c r="I5213" t="s">
        <v>4909</v>
      </c>
      <c r="J5213" t="s">
        <v>4909</v>
      </c>
      <c r="K5213" t="s">
        <v>4909</v>
      </c>
    </row>
    <row r="5214" spans="1:11" x14ac:dyDescent="0.2">
      <c r="A5214" t="s">
        <v>4340</v>
      </c>
      <c r="B5214" t="s">
        <v>4909</v>
      </c>
      <c r="C5214" t="s">
        <v>4909</v>
      </c>
      <c r="D5214" t="s">
        <v>4909</v>
      </c>
      <c r="E5214" t="s">
        <v>4909</v>
      </c>
      <c r="F5214" t="s">
        <v>4909</v>
      </c>
      <c r="G5214" t="s">
        <v>4909</v>
      </c>
      <c r="H5214" t="s">
        <v>4909</v>
      </c>
      <c r="I5214" t="s">
        <v>4909</v>
      </c>
      <c r="J5214" t="s">
        <v>4909</v>
      </c>
      <c r="K5214" t="s">
        <v>4909</v>
      </c>
    </row>
    <row r="5215" spans="1:11" x14ac:dyDescent="0.2">
      <c r="A5215" t="s">
        <v>4341</v>
      </c>
      <c r="B5215" t="s">
        <v>4909</v>
      </c>
      <c r="C5215" t="s">
        <v>4909</v>
      </c>
      <c r="D5215" t="s">
        <v>4909</v>
      </c>
      <c r="E5215" t="s">
        <v>4909</v>
      </c>
      <c r="F5215" t="s">
        <v>4909</v>
      </c>
      <c r="G5215" t="s">
        <v>4909</v>
      </c>
      <c r="H5215" t="s">
        <v>4909</v>
      </c>
      <c r="I5215" t="s">
        <v>4909</v>
      </c>
      <c r="J5215" t="s">
        <v>4909</v>
      </c>
      <c r="K5215" t="s">
        <v>4909</v>
      </c>
    </row>
    <row r="5216" spans="1:11" x14ac:dyDescent="0.2">
      <c r="A5216" t="s">
        <v>4342</v>
      </c>
      <c r="B5216" t="s">
        <v>4909</v>
      </c>
      <c r="C5216" t="s">
        <v>4909</v>
      </c>
      <c r="D5216" t="s">
        <v>4909</v>
      </c>
      <c r="E5216" t="s">
        <v>4909</v>
      </c>
      <c r="F5216" t="s">
        <v>4909</v>
      </c>
      <c r="G5216" t="s">
        <v>4909</v>
      </c>
      <c r="H5216" t="s">
        <v>4909</v>
      </c>
      <c r="I5216" t="s">
        <v>4909</v>
      </c>
      <c r="J5216" t="s">
        <v>4909</v>
      </c>
      <c r="K5216" t="s">
        <v>4909</v>
      </c>
    </row>
    <row r="5217" spans="1:11" x14ac:dyDescent="0.2">
      <c r="A5217" t="s">
        <v>4343</v>
      </c>
      <c r="B5217" t="s">
        <v>4909</v>
      </c>
      <c r="C5217" t="s">
        <v>4909</v>
      </c>
      <c r="D5217" t="s">
        <v>4909</v>
      </c>
      <c r="E5217" t="s">
        <v>4909</v>
      </c>
      <c r="F5217" t="s">
        <v>4909</v>
      </c>
      <c r="G5217" t="s">
        <v>4909</v>
      </c>
      <c r="H5217" t="s">
        <v>4909</v>
      </c>
      <c r="I5217" t="s">
        <v>4909</v>
      </c>
      <c r="J5217" t="s">
        <v>4909</v>
      </c>
      <c r="K5217" t="s">
        <v>4909</v>
      </c>
    </row>
    <row r="5218" spans="1:11" x14ac:dyDescent="0.2">
      <c r="A5218" t="s">
        <v>1728</v>
      </c>
      <c r="B5218" t="s">
        <v>4909</v>
      </c>
      <c r="C5218" t="s">
        <v>4909</v>
      </c>
      <c r="D5218" t="s">
        <v>4909</v>
      </c>
      <c r="E5218" t="s">
        <v>4909</v>
      </c>
      <c r="F5218" t="s">
        <v>4909</v>
      </c>
      <c r="G5218" t="s">
        <v>4909</v>
      </c>
      <c r="H5218" t="s">
        <v>4909</v>
      </c>
      <c r="I5218" t="s">
        <v>4909</v>
      </c>
      <c r="J5218" t="s">
        <v>4909</v>
      </c>
      <c r="K5218" t="s">
        <v>4909</v>
      </c>
    </row>
    <row r="5219" spans="1:11" x14ac:dyDescent="0.2">
      <c r="A5219" t="s">
        <v>1730</v>
      </c>
      <c r="B5219" s="88">
        <v>8.0000000000000002E-3</v>
      </c>
      <c r="C5219" t="s">
        <v>4909</v>
      </c>
      <c r="D5219" t="s">
        <v>4909</v>
      </c>
      <c r="E5219" t="s">
        <v>4909</v>
      </c>
      <c r="F5219" s="88">
        <v>0</v>
      </c>
      <c r="G5219" s="88">
        <v>8.0000000000000002E-3</v>
      </c>
      <c r="H5219" t="s">
        <v>4909</v>
      </c>
      <c r="I5219" s="88">
        <v>5.0000000000000001E-3</v>
      </c>
      <c r="J5219" t="s">
        <v>4909</v>
      </c>
      <c r="K5219" t="s">
        <v>4909</v>
      </c>
    </row>
    <row r="5220" spans="1:11" x14ac:dyDescent="0.2">
      <c r="A5220" t="s">
        <v>1733</v>
      </c>
      <c r="B5220" t="s">
        <v>4909</v>
      </c>
      <c r="C5220" t="s">
        <v>4909</v>
      </c>
      <c r="D5220" t="s">
        <v>4909</v>
      </c>
      <c r="E5220" t="s">
        <v>4909</v>
      </c>
      <c r="F5220" t="s">
        <v>4909</v>
      </c>
      <c r="G5220" t="s">
        <v>4909</v>
      </c>
      <c r="H5220" t="s">
        <v>4909</v>
      </c>
      <c r="I5220" t="s">
        <v>4909</v>
      </c>
      <c r="J5220" t="s">
        <v>4909</v>
      </c>
      <c r="K5220" t="s">
        <v>4909</v>
      </c>
    </row>
    <row r="5221" spans="1:11" x14ac:dyDescent="0.2">
      <c r="A5221" t="s">
        <v>1738</v>
      </c>
      <c r="B5221" t="s">
        <v>4909</v>
      </c>
      <c r="C5221" t="s">
        <v>4909</v>
      </c>
      <c r="D5221" t="s">
        <v>4909</v>
      </c>
      <c r="E5221" t="s">
        <v>4909</v>
      </c>
      <c r="F5221" t="s">
        <v>4909</v>
      </c>
      <c r="G5221" t="s">
        <v>4909</v>
      </c>
      <c r="H5221" t="s">
        <v>4909</v>
      </c>
      <c r="I5221" t="s">
        <v>4909</v>
      </c>
      <c r="J5221" t="s">
        <v>4909</v>
      </c>
      <c r="K5221" t="s">
        <v>4909</v>
      </c>
    </row>
    <row r="5222" spans="1:11" x14ac:dyDescent="0.2">
      <c r="A5222" t="s">
        <v>1744</v>
      </c>
      <c r="B5222" t="s">
        <v>4909</v>
      </c>
      <c r="C5222" t="s">
        <v>4909</v>
      </c>
      <c r="D5222" t="s">
        <v>4909</v>
      </c>
      <c r="E5222" t="s">
        <v>4909</v>
      </c>
      <c r="F5222" t="s">
        <v>4909</v>
      </c>
      <c r="G5222" t="s">
        <v>4909</v>
      </c>
      <c r="H5222" t="s">
        <v>4909</v>
      </c>
      <c r="I5222" t="s">
        <v>4909</v>
      </c>
      <c r="J5222" t="s">
        <v>4909</v>
      </c>
      <c r="K5222" t="s">
        <v>4909</v>
      </c>
    </row>
    <row r="5223" spans="1:11" x14ac:dyDescent="0.2">
      <c r="A5223" t="s">
        <v>1747</v>
      </c>
      <c r="B5223" t="s">
        <v>4909</v>
      </c>
      <c r="C5223" t="s">
        <v>4909</v>
      </c>
      <c r="D5223" t="s">
        <v>4909</v>
      </c>
      <c r="E5223" t="s">
        <v>4909</v>
      </c>
      <c r="F5223" t="s">
        <v>4909</v>
      </c>
      <c r="G5223" t="s">
        <v>4909</v>
      </c>
      <c r="H5223" t="s">
        <v>4909</v>
      </c>
      <c r="I5223" t="s">
        <v>4909</v>
      </c>
      <c r="J5223" t="s">
        <v>4909</v>
      </c>
      <c r="K5223" t="s">
        <v>4909</v>
      </c>
    </row>
    <row r="5224" spans="1:11" x14ac:dyDescent="0.2">
      <c r="A5224" t="s">
        <v>1751</v>
      </c>
      <c r="B5224" t="s">
        <v>4909</v>
      </c>
      <c r="C5224" t="s">
        <v>4909</v>
      </c>
      <c r="D5224" t="s">
        <v>4909</v>
      </c>
      <c r="E5224" t="s">
        <v>4909</v>
      </c>
      <c r="F5224" t="s">
        <v>4909</v>
      </c>
      <c r="G5224" t="s">
        <v>4909</v>
      </c>
      <c r="H5224" t="s">
        <v>4909</v>
      </c>
      <c r="I5224" t="s">
        <v>4909</v>
      </c>
      <c r="J5224" t="s">
        <v>4909</v>
      </c>
      <c r="K5224" t="s">
        <v>4909</v>
      </c>
    </row>
    <row r="5225" spans="1:11" x14ac:dyDescent="0.2">
      <c r="A5225" t="s">
        <v>1755</v>
      </c>
      <c r="B5225" s="88">
        <v>6.9000000000000006E-2</v>
      </c>
      <c r="C5225" t="s">
        <v>4909</v>
      </c>
      <c r="D5225" t="s">
        <v>4909</v>
      </c>
      <c r="E5225" t="s">
        <v>4909</v>
      </c>
      <c r="F5225" s="88">
        <v>2E-3</v>
      </c>
      <c r="G5225" s="88">
        <v>6.9000000000000006E-2</v>
      </c>
      <c r="H5225" s="88">
        <v>0</v>
      </c>
      <c r="I5225" s="88">
        <v>4.1000000000000002E-2</v>
      </c>
      <c r="J5225" t="s">
        <v>4909</v>
      </c>
      <c r="K5225" s="88">
        <v>2E-3</v>
      </c>
    </row>
    <row r="5226" spans="1:11" x14ac:dyDescent="0.2">
      <c r="A5226" t="s">
        <v>1757</v>
      </c>
      <c r="B5226" s="88">
        <v>6.8000000000000005E-2</v>
      </c>
      <c r="C5226" t="s">
        <v>4909</v>
      </c>
      <c r="D5226" t="s">
        <v>4909</v>
      </c>
      <c r="E5226" t="s">
        <v>4909</v>
      </c>
      <c r="F5226" s="88">
        <v>2E-3</v>
      </c>
      <c r="G5226" s="88">
        <v>6.4000000000000001E-2</v>
      </c>
      <c r="H5226" s="88">
        <v>0</v>
      </c>
      <c r="I5226" s="88">
        <v>3.9E-2</v>
      </c>
      <c r="J5226" t="s">
        <v>4909</v>
      </c>
      <c r="K5226" s="88">
        <v>1E-3</v>
      </c>
    </row>
    <row r="5227" spans="1:11" x14ac:dyDescent="0.2">
      <c r="A5227" t="s">
        <v>1761</v>
      </c>
      <c r="B5227" t="s">
        <v>4909</v>
      </c>
      <c r="C5227" t="s">
        <v>4909</v>
      </c>
      <c r="D5227" t="s">
        <v>4909</v>
      </c>
      <c r="E5227" t="s">
        <v>4909</v>
      </c>
      <c r="F5227" t="s">
        <v>4909</v>
      </c>
      <c r="G5227" t="s">
        <v>4909</v>
      </c>
      <c r="H5227" t="s">
        <v>4909</v>
      </c>
      <c r="I5227" t="s">
        <v>4909</v>
      </c>
      <c r="J5227" t="s">
        <v>4909</v>
      </c>
      <c r="K5227" t="s">
        <v>4909</v>
      </c>
    </row>
    <row r="5228" spans="1:11" x14ac:dyDescent="0.2">
      <c r="A5228" t="s">
        <v>1764</v>
      </c>
      <c r="B5228" t="s">
        <v>4909</v>
      </c>
      <c r="C5228" t="s">
        <v>4909</v>
      </c>
      <c r="D5228" t="s">
        <v>4909</v>
      </c>
      <c r="E5228" t="s">
        <v>4909</v>
      </c>
      <c r="F5228" t="s">
        <v>4909</v>
      </c>
      <c r="G5228" t="s">
        <v>4909</v>
      </c>
      <c r="H5228" t="s">
        <v>4909</v>
      </c>
      <c r="I5228" t="s">
        <v>4909</v>
      </c>
      <c r="J5228" t="s">
        <v>4909</v>
      </c>
      <c r="K5228" t="s">
        <v>4909</v>
      </c>
    </row>
    <row r="5229" spans="1:11" x14ac:dyDescent="0.2">
      <c r="A5229" t="s">
        <v>1770</v>
      </c>
      <c r="B5229" s="88">
        <v>6.0000000000000001E-3</v>
      </c>
      <c r="C5229" t="s">
        <v>4909</v>
      </c>
      <c r="D5229" t="s">
        <v>4909</v>
      </c>
      <c r="E5229" t="s">
        <v>4909</v>
      </c>
      <c r="F5229" s="88">
        <v>0</v>
      </c>
      <c r="G5229" s="88">
        <v>2.5000000000000001E-2</v>
      </c>
      <c r="H5229" s="88">
        <v>0</v>
      </c>
      <c r="I5229" s="88">
        <v>1.4999999999999999E-2</v>
      </c>
      <c r="J5229" t="s">
        <v>4909</v>
      </c>
      <c r="K5229" s="88">
        <v>0</v>
      </c>
    </row>
    <row r="5230" spans="1:11" x14ac:dyDescent="0.2">
      <c r="A5230" t="s">
        <v>1772</v>
      </c>
      <c r="B5230" s="88">
        <v>6.0000000000000001E-3</v>
      </c>
      <c r="C5230" t="s">
        <v>4909</v>
      </c>
      <c r="D5230" t="s">
        <v>4909</v>
      </c>
      <c r="E5230" t="s">
        <v>4909</v>
      </c>
      <c r="F5230" t="s">
        <v>4909</v>
      </c>
      <c r="G5230" s="88">
        <v>2.9000000000000001E-2</v>
      </c>
      <c r="H5230" t="s">
        <v>4909</v>
      </c>
      <c r="I5230" s="88">
        <v>1.7000000000000001E-2</v>
      </c>
      <c r="J5230" t="s">
        <v>4909</v>
      </c>
      <c r="K5230" s="88">
        <v>1E-3</v>
      </c>
    </row>
    <row r="5231" spans="1:11" x14ac:dyDescent="0.2">
      <c r="A5231" t="s">
        <v>1774</v>
      </c>
      <c r="B5231" s="88">
        <v>2.9000000000000001E-2</v>
      </c>
      <c r="C5231" t="s">
        <v>4909</v>
      </c>
      <c r="D5231" t="s">
        <v>4909</v>
      </c>
      <c r="E5231" t="s">
        <v>4909</v>
      </c>
      <c r="F5231" t="s">
        <v>4909</v>
      </c>
      <c r="G5231" s="88">
        <v>0.105</v>
      </c>
      <c r="H5231" t="s">
        <v>4909</v>
      </c>
      <c r="I5231" s="88">
        <v>6.2E-2</v>
      </c>
      <c r="J5231" t="s">
        <v>4909</v>
      </c>
      <c r="K5231" s="88">
        <v>1E-3</v>
      </c>
    </row>
    <row r="5232" spans="1:11" x14ac:dyDescent="0.2">
      <c r="A5232" t="s">
        <v>1777</v>
      </c>
      <c r="B5232" t="s">
        <v>4909</v>
      </c>
      <c r="C5232" t="s">
        <v>4909</v>
      </c>
      <c r="D5232" t="s">
        <v>4909</v>
      </c>
      <c r="E5232" t="s">
        <v>4909</v>
      </c>
      <c r="F5232" t="s">
        <v>4909</v>
      </c>
      <c r="G5232" t="s">
        <v>4909</v>
      </c>
      <c r="H5232" t="s">
        <v>4909</v>
      </c>
      <c r="I5232" t="s">
        <v>4909</v>
      </c>
      <c r="J5232" t="s">
        <v>4909</v>
      </c>
      <c r="K5232" t="s">
        <v>4909</v>
      </c>
    </row>
    <row r="5233" spans="1:11" x14ac:dyDescent="0.2">
      <c r="A5233" t="s">
        <v>1782</v>
      </c>
      <c r="B5233" t="s">
        <v>4909</v>
      </c>
      <c r="C5233" t="s">
        <v>4909</v>
      </c>
      <c r="D5233" t="s">
        <v>4909</v>
      </c>
      <c r="E5233" t="s">
        <v>4909</v>
      </c>
      <c r="F5233" t="s">
        <v>4909</v>
      </c>
      <c r="G5233" t="s">
        <v>4909</v>
      </c>
      <c r="H5233" t="s">
        <v>4909</v>
      </c>
      <c r="I5233" t="s">
        <v>4909</v>
      </c>
      <c r="J5233" t="s">
        <v>4909</v>
      </c>
      <c r="K5233" t="s">
        <v>4909</v>
      </c>
    </row>
    <row r="5234" spans="1:11" x14ac:dyDescent="0.2">
      <c r="A5234" t="s">
        <v>1274</v>
      </c>
      <c r="B5234" s="88">
        <v>0.34200000000000003</v>
      </c>
      <c r="C5234" t="s">
        <v>4909</v>
      </c>
      <c r="D5234" t="s">
        <v>4909</v>
      </c>
      <c r="E5234" t="s">
        <v>4909</v>
      </c>
      <c r="F5234" s="88">
        <v>1.2E-2</v>
      </c>
      <c r="G5234" s="88">
        <v>0.32700000000000001</v>
      </c>
      <c r="H5234" s="88">
        <v>3.0000000000000001E-3</v>
      </c>
      <c r="I5234" s="88">
        <v>0.20399999999999999</v>
      </c>
      <c r="J5234" t="s">
        <v>4909</v>
      </c>
      <c r="K5234" s="88">
        <v>0.01</v>
      </c>
    </row>
    <row r="5235" spans="1:11" x14ac:dyDescent="0.2">
      <c r="A5235" t="s">
        <v>1277</v>
      </c>
      <c r="B5235" s="88">
        <v>0.33400000000000002</v>
      </c>
      <c r="C5235" t="s">
        <v>4909</v>
      </c>
      <c r="D5235" t="s">
        <v>4909</v>
      </c>
      <c r="E5235" t="s">
        <v>4909</v>
      </c>
      <c r="F5235" s="88">
        <v>1.0999999999999999E-2</v>
      </c>
      <c r="G5235" s="88">
        <v>0.316</v>
      </c>
      <c r="H5235" s="88">
        <v>3.0000000000000001E-3</v>
      </c>
      <c r="I5235" s="88">
        <v>0.19700000000000001</v>
      </c>
      <c r="J5235" s="88">
        <v>0</v>
      </c>
      <c r="K5235" s="88">
        <v>0.01</v>
      </c>
    </row>
    <row r="5236" spans="1:11" x14ac:dyDescent="0.2">
      <c r="A5236" t="s">
        <v>1798</v>
      </c>
      <c r="B5236" s="88">
        <v>0.48799999999999999</v>
      </c>
      <c r="C5236" t="s">
        <v>4909</v>
      </c>
      <c r="D5236" t="s">
        <v>4909</v>
      </c>
      <c r="E5236" t="s">
        <v>4909</v>
      </c>
      <c r="F5236" s="88">
        <v>1.7000000000000001E-2</v>
      </c>
      <c r="G5236" s="88">
        <v>0.437</v>
      </c>
      <c r="H5236" s="88">
        <v>0</v>
      </c>
      <c r="I5236" s="88">
        <v>4.3999999999999997E-2</v>
      </c>
      <c r="J5236" t="s">
        <v>4909</v>
      </c>
      <c r="K5236" s="88">
        <v>1.0999999999999999E-2</v>
      </c>
    </row>
    <row r="5237" spans="1:11" x14ac:dyDescent="0.2">
      <c r="A5237" t="s">
        <v>1803</v>
      </c>
      <c r="B5237" s="88">
        <v>0.51700000000000002</v>
      </c>
      <c r="C5237" t="s">
        <v>4909</v>
      </c>
      <c r="D5237" t="s">
        <v>4909</v>
      </c>
      <c r="E5237" t="s">
        <v>4909</v>
      </c>
      <c r="F5237" s="88">
        <v>1.7999999999999999E-2</v>
      </c>
      <c r="G5237" s="88">
        <v>0.46300000000000002</v>
      </c>
      <c r="H5237" t="s">
        <v>4909</v>
      </c>
      <c r="I5237" t="s">
        <v>4909</v>
      </c>
      <c r="J5237" t="s">
        <v>4909</v>
      </c>
      <c r="K5237" t="s">
        <v>4909</v>
      </c>
    </row>
    <row r="5238" spans="1:11" x14ac:dyDescent="0.2">
      <c r="A5238" t="s">
        <v>1808</v>
      </c>
      <c r="B5238" t="s">
        <v>4909</v>
      </c>
      <c r="C5238" t="s">
        <v>4909</v>
      </c>
      <c r="D5238" t="s">
        <v>4909</v>
      </c>
      <c r="E5238" t="s">
        <v>4909</v>
      </c>
      <c r="F5238" t="s">
        <v>4909</v>
      </c>
      <c r="G5238" t="s">
        <v>4909</v>
      </c>
      <c r="H5238" t="s">
        <v>4909</v>
      </c>
      <c r="I5238" t="s">
        <v>4909</v>
      </c>
      <c r="J5238" t="s">
        <v>4909</v>
      </c>
      <c r="K5238" t="s">
        <v>4909</v>
      </c>
    </row>
    <row r="5239" spans="1:11" x14ac:dyDescent="0.2">
      <c r="A5239" t="s">
        <v>1813</v>
      </c>
      <c r="B5239" t="s">
        <v>4909</v>
      </c>
      <c r="C5239" t="s">
        <v>4909</v>
      </c>
      <c r="D5239" t="s">
        <v>4909</v>
      </c>
      <c r="E5239" t="s">
        <v>4909</v>
      </c>
      <c r="F5239" t="s">
        <v>4909</v>
      </c>
      <c r="G5239" t="s">
        <v>4909</v>
      </c>
      <c r="H5239" t="s">
        <v>4909</v>
      </c>
      <c r="I5239" t="s">
        <v>4909</v>
      </c>
      <c r="J5239" t="s">
        <v>4909</v>
      </c>
      <c r="K5239" t="s">
        <v>4909</v>
      </c>
    </row>
    <row r="5240" spans="1:11" x14ac:dyDescent="0.2">
      <c r="A5240" t="s">
        <v>1819</v>
      </c>
      <c r="B5240" s="88">
        <v>1E-3</v>
      </c>
      <c r="C5240" t="s">
        <v>4909</v>
      </c>
      <c r="D5240" t="s">
        <v>4909</v>
      </c>
      <c r="E5240" t="s">
        <v>4909</v>
      </c>
      <c r="F5240" t="s">
        <v>4909</v>
      </c>
      <c r="G5240" s="88">
        <v>1E-3</v>
      </c>
      <c r="H5240" t="s">
        <v>4909</v>
      </c>
      <c r="I5240" s="88">
        <v>1E-3</v>
      </c>
      <c r="J5240" t="s">
        <v>4909</v>
      </c>
      <c r="K5240" t="s">
        <v>4909</v>
      </c>
    </row>
    <row r="5241" spans="1:11" x14ac:dyDescent="0.2">
      <c r="A5241" t="s">
        <v>1826</v>
      </c>
      <c r="B5241" t="s">
        <v>4909</v>
      </c>
      <c r="C5241" t="s">
        <v>4909</v>
      </c>
      <c r="D5241" t="s">
        <v>4909</v>
      </c>
      <c r="E5241" t="s">
        <v>4909</v>
      </c>
      <c r="F5241" t="s">
        <v>4909</v>
      </c>
      <c r="G5241" t="s">
        <v>4909</v>
      </c>
      <c r="H5241" t="s">
        <v>4909</v>
      </c>
      <c r="I5241" t="s">
        <v>4909</v>
      </c>
      <c r="J5241" t="s">
        <v>4909</v>
      </c>
      <c r="K5241" t="s">
        <v>4909</v>
      </c>
    </row>
    <row r="5242" spans="1:11" x14ac:dyDescent="0.2">
      <c r="A5242" t="s">
        <v>1830</v>
      </c>
      <c r="B5242" t="s">
        <v>4909</v>
      </c>
      <c r="C5242" t="s">
        <v>4909</v>
      </c>
      <c r="D5242" t="s">
        <v>4909</v>
      </c>
      <c r="E5242" t="s">
        <v>4909</v>
      </c>
      <c r="F5242" t="s">
        <v>4909</v>
      </c>
      <c r="G5242" t="s">
        <v>4909</v>
      </c>
      <c r="H5242" t="s">
        <v>4909</v>
      </c>
      <c r="I5242" t="s">
        <v>4909</v>
      </c>
      <c r="J5242" t="s">
        <v>4909</v>
      </c>
      <c r="K5242" t="s">
        <v>4909</v>
      </c>
    </row>
    <row r="5243" spans="1:11" x14ac:dyDescent="0.2">
      <c r="A5243" t="s">
        <v>1836</v>
      </c>
      <c r="B5243" t="s">
        <v>4909</v>
      </c>
      <c r="C5243" t="s">
        <v>4909</v>
      </c>
      <c r="D5243" t="s">
        <v>4909</v>
      </c>
      <c r="E5243" t="s">
        <v>4909</v>
      </c>
      <c r="F5243" t="s">
        <v>4909</v>
      </c>
      <c r="G5243" t="s">
        <v>4909</v>
      </c>
      <c r="H5243" t="s">
        <v>4909</v>
      </c>
      <c r="I5243" t="s">
        <v>4909</v>
      </c>
      <c r="J5243" t="s">
        <v>4909</v>
      </c>
      <c r="K5243" t="s">
        <v>4909</v>
      </c>
    </row>
    <row r="5244" spans="1:11" x14ac:dyDescent="0.2">
      <c r="A5244" t="s">
        <v>1841</v>
      </c>
      <c r="B5244" s="88">
        <v>5.2999999999999999E-2</v>
      </c>
      <c r="C5244" t="s">
        <v>4909</v>
      </c>
      <c r="D5244" t="s">
        <v>4909</v>
      </c>
      <c r="E5244" t="s">
        <v>4909</v>
      </c>
      <c r="F5244" s="88">
        <v>2E-3</v>
      </c>
      <c r="G5244" s="88">
        <v>5.1999999999999998E-2</v>
      </c>
      <c r="H5244" t="s">
        <v>4909</v>
      </c>
      <c r="I5244" s="88">
        <v>3.1E-2</v>
      </c>
      <c r="J5244" t="s">
        <v>4909</v>
      </c>
      <c r="K5244" s="88">
        <v>2E-3</v>
      </c>
    </row>
    <row r="5245" spans="1:11" x14ac:dyDescent="0.2">
      <c r="A5245" t="s">
        <v>1842</v>
      </c>
      <c r="B5245" s="88">
        <v>1E-3</v>
      </c>
      <c r="C5245" t="s">
        <v>4909</v>
      </c>
      <c r="D5245" t="s">
        <v>4909</v>
      </c>
      <c r="E5245" t="s">
        <v>4909</v>
      </c>
      <c r="F5245" s="88">
        <v>0</v>
      </c>
      <c r="G5245" s="88">
        <v>1E-3</v>
      </c>
      <c r="H5245" t="s">
        <v>4909</v>
      </c>
      <c r="I5245" s="88">
        <v>0</v>
      </c>
      <c r="J5245" t="s">
        <v>4909</v>
      </c>
      <c r="K5245" t="s">
        <v>4909</v>
      </c>
    </row>
    <row r="5246" spans="1:11" x14ac:dyDescent="0.2">
      <c r="A5246" t="s">
        <v>1843</v>
      </c>
      <c r="B5246" t="s">
        <v>4909</v>
      </c>
      <c r="C5246" t="s">
        <v>4909</v>
      </c>
      <c r="D5246" t="s">
        <v>4909</v>
      </c>
      <c r="E5246" t="s">
        <v>4909</v>
      </c>
      <c r="F5246" t="s">
        <v>4909</v>
      </c>
      <c r="G5246" t="s">
        <v>4909</v>
      </c>
      <c r="H5246" t="s">
        <v>4909</v>
      </c>
      <c r="I5246" t="s">
        <v>4909</v>
      </c>
      <c r="J5246" t="s">
        <v>4909</v>
      </c>
      <c r="K5246" t="s">
        <v>4909</v>
      </c>
    </row>
    <row r="5247" spans="1:11" x14ac:dyDescent="0.2">
      <c r="A5247" t="s">
        <v>1846</v>
      </c>
      <c r="B5247" t="s">
        <v>4909</v>
      </c>
      <c r="C5247" t="s">
        <v>4909</v>
      </c>
      <c r="D5247" t="s">
        <v>4909</v>
      </c>
      <c r="E5247" t="s">
        <v>4909</v>
      </c>
      <c r="F5247" t="s">
        <v>4909</v>
      </c>
      <c r="G5247" t="s">
        <v>4909</v>
      </c>
      <c r="H5247" t="s">
        <v>4909</v>
      </c>
      <c r="I5247" t="s">
        <v>4909</v>
      </c>
      <c r="J5247" t="s">
        <v>4909</v>
      </c>
      <c r="K5247" t="s">
        <v>4909</v>
      </c>
    </row>
    <row r="5248" spans="1:11" x14ac:dyDescent="0.2">
      <c r="A5248" t="s">
        <v>1851</v>
      </c>
      <c r="B5248" s="88">
        <v>0</v>
      </c>
      <c r="C5248" t="s">
        <v>4909</v>
      </c>
      <c r="D5248" t="s">
        <v>4909</v>
      </c>
      <c r="E5248" t="s">
        <v>4909</v>
      </c>
      <c r="F5248" t="s">
        <v>4909</v>
      </c>
      <c r="G5248" s="88">
        <v>0</v>
      </c>
      <c r="H5248" t="s">
        <v>4909</v>
      </c>
      <c r="I5248" s="88">
        <v>0</v>
      </c>
      <c r="J5248" t="s">
        <v>4909</v>
      </c>
      <c r="K5248" t="s">
        <v>4909</v>
      </c>
    </row>
    <row r="5249" spans="1:11" x14ac:dyDescent="0.2">
      <c r="A5249" t="s">
        <v>1857</v>
      </c>
      <c r="B5249" t="s">
        <v>4909</v>
      </c>
      <c r="C5249" t="s">
        <v>4909</v>
      </c>
      <c r="D5249" t="s">
        <v>4909</v>
      </c>
      <c r="E5249" t="s">
        <v>4909</v>
      </c>
      <c r="F5249" t="s">
        <v>4909</v>
      </c>
      <c r="G5249" t="s">
        <v>4909</v>
      </c>
      <c r="H5249" t="s">
        <v>4909</v>
      </c>
      <c r="I5249" t="s">
        <v>4909</v>
      </c>
      <c r="J5249" t="s">
        <v>4909</v>
      </c>
      <c r="K5249" t="s">
        <v>4909</v>
      </c>
    </row>
    <row r="5250" spans="1:11" x14ac:dyDescent="0.2">
      <c r="A5250" t="s">
        <v>1862</v>
      </c>
      <c r="B5250" t="s">
        <v>4909</v>
      </c>
      <c r="C5250" t="s">
        <v>4909</v>
      </c>
      <c r="D5250" t="s">
        <v>4909</v>
      </c>
      <c r="E5250" t="s">
        <v>4909</v>
      </c>
      <c r="F5250" t="s">
        <v>4909</v>
      </c>
      <c r="G5250" t="s">
        <v>4909</v>
      </c>
      <c r="H5250" t="s">
        <v>4909</v>
      </c>
      <c r="I5250" t="s">
        <v>4909</v>
      </c>
      <c r="J5250" t="s">
        <v>4909</v>
      </c>
      <c r="K5250" t="s">
        <v>4909</v>
      </c>
    </row>
    <row r="5251" spans="1:11" x14ac:dyDescent="0.2">
      <c r="A5251" t="s">
        <v>1867</v>
      </c>
      <c r="B5251" t="s">
        <v>4909</v>
      </c>
      <c r="C5251" t="s">
        <v>4909</v>
      </c>
      <c r="D5251" t="s">
        <v>4909</v>
      </c>
      <c r="E5251" t="s">
        <v>4909</v>
      </c>
      <c r="F5251" t="s">
        <v>4909</v>
      </c>
      <c r="G5251" t="s">
        <v>4909</v>
      </c>
      <c r="H5251" t="s">
        <v>4909</v>
      </c>
      <c r="I5251" t="s">
        <v>4909</v>
      </c>
      <c r="J5251" t="s">
        <v>4909</v>
      </c>
      <c r="K5251" t="s">
        <v>4909</v>
      </c>
    </row>
    <row r="5252" spans="1:11" x14ac:dyDescent="0.2">
      <c r="A5252" t="s">
        <v>1870</v>
      </c>
      <c r="B5252" t="s">
        <v>4909</v>
      </c>
      <c r="C5252" t="s">
        <v>4909</v>
      </c>
      <c r="D5252" t="s">
        <v>4909</v>
      </c>
      <c r="E5252" t="s">
        <v>4909</v>
      </c>
      <c r="F5252" t="s">
        <v>4909</v>
      </c>
      <c r="G5252" t="s">
        <v>4909</v>
      </c>
      <c r="H5252" t="s">
        <v>4909</v>
      </c>
      <c r="I5252" t="s">
        <v>4909</v>
      </c>
      <c r="J5252" t="s">
        <v>4909</v>
      </c>
      <c r="K5252" t="s">
        <v>4909</v>
      </c>
    </row>
    <row r="5253" spans="1:11" x14ac:dyDescent="0.2">
      <c r="A5253" t="s">
        <v>1874</v>
      </c>
      <c r="B5253" t="s">
        <v>4909</v>
      </c>
      <c r="C5253" t="s">
        <v>4909</v>
      </c>
      <c r="D5253" t="s">
        <v>4909</v>
      </c>
      <c r="E5253" t="s">
        <v>4909</v>
      </c>
      <c r="F5253" t="s">
        <v>4909</v>
      </c>
      <c r="G5253" t="s">
        <v>4909</v>
      </c>
      <c r="H5253" t="s">
        <v>4909</v>
      </c>
      <c r="I5253" t="s">
        <v>4909</v>
      </c>
      <c r="J5253" t="s">
        <v>4909</v>
      </c>
      <c r="K5253" t="s">
        <v>4909</v>
      </c>
    </row>
    <row r="5254" spans="1:11" x14ac:dyDescent="0.2">
      <c r="A5254" t="s">
        <v>1876</v>
      </c>
      <c r="B5254" t="s">
        <v>4909</v>
      </c>
      <c r="C5254" t="s">
        <v>4909</v>
      </c>
      <c r="D5254" t="s">
        <v>4909</v>
      </c>
      <c r="E5254" t="s">
        <v>4909</v>
      </c>
      <c r="F5254" t="s">
        <v>4909</v>
      </c>
      <c r="G5254" t="s">
        <v>4909</v>
      </c>
      <c r="H5254" t="s">
        <v>4909</v>
      </c>
      <c r="I5254" t="s">
        <v>4909</v>
      </c>
      <c r="J5254" t="s">
        <v>4909</v>
      </c>
      <c r="K5254" t="s">
        <v>4909</v>
      </c>
    </row>
    <row r="5255" spans="1:11" x14ac:dyDescent="0.2">
      <c r="A5255" t="s">
        <v>1881</v>
      </c>
      <c r="B5255" t="s">
        <v>4909</v>
      </c>
      <c r="C5255" t="s">
        <v>4909</v>
      </c>
      <c r="D5255" t="s">
        <v>4909</v>
      </c>
      <c r="E5255" t="s">
        <v>4909</v>
      </c>
      <c r="F5255" t="s">
        <v>4909</v>
      </c>
      <c r="G5255" t="s">
        <v>4909</v>
      </c>
      <c r="H5255" t="s">
        <v>4909</v>
      </c>
      <c r="I5255" t="s">
        <v>4909</v>
      </c>
      <c r="J5255" t="s">
        <v>4909</v>
      </c>
      <c r="K5255" t="s">
        <v>4909</v>
      </c>
    </row>
    <row r="5256" spans="1:11" x14ac:dyDescent="0.2">
      <c r="A5256" t="s">
        <v>1885</v>
      </c>
      <c r="B5256" s="88">
        <v>1E-3</v>
      </c>
      <c r="C5256" t="s">
        <v>4909</v>
      </c>
      <c r="D5256" t="s">
        <v>4909</v>
      </c>
      <c r="E5256" t="s">
        <v>4909</v>
      </c>
      <c r="F5256" t="s">
        <v>4909</v>
      </c>
      <c r="G5256" s="88">
        <v>1E-3</v>
      </c>
      <c r="H5256" t="s">
        <v>4909</v>
      </c>
      <c r="I5256" s="88">
        <v>0</v>
      </c>
      <c r="J5256" t="s">
        <v>4909</v>
      </c>
      <c r="K5256" t="s">
        <v>4909</v>
      </c>
    </row>
    <row r="5257" spans="1:11" x14ac:dyDescent="0.2">
      <c r="A5257" t="s">
        <v>1887</v>
      </c>
      <c r="B5257" s="88">
        <v>3.0000000000000001E-3</v>
      </c>
      <c r="C5257" t="s">
        <v>4909</v>
      </c>
      <c r="D5257" t="s">
        <v>4909</v>
      </c>
      <c r="E5257" t="s">
        <v>4909</v>
      </c>
      <c r="F5257" t="s">
        <v>4909</v>
      </c>
      <c r="G5257" s="88">
        <v>3.0000000000000001E-3</v>
      </c>
      <c r="H5257" t="s">
        <v>4909</v>
      </c>
      <c r="I5257" s="88">
        <v>2E-3</v>
      </c>
      <c r="J5257" t="s">
        <v>4909</v>
      </c>
      <c r="K5257" t="s">
        <v>4909</v>
      </c>
    </row>
    <row r="5258" spans="1:11" x14ac:dyDescent="0.2">
      <c r="A5258" t="s">
        <v>1893</v>
      </c>
      <c r="B5258" s="88">
        <v>3.0000000000000001E-3</v>
      </c>
      <c r="C5258" t="s">
        <v>4909</v>
      </c>
      <c r="D5258" t="s">
        <v>4909</v>
      </c>
      <c r="E5258" t="s">
        <v>4909</v>
      </c>
      <c r="F5258" s="88">
        <v>0</v>
      </c>
      <c r="G5258" s="88">
        <v>3.0000000000000001E-3</v>
      </c>
      <c r="H5258" t="s">
        <v>4909</v>
      </c>
      <c r="I5258" s="88">
        <v>2E-3</v>
      </c>
      <c r="J5258" t="s">
        <v>4909</v>
      </c>
      <c r="K5258" s="88">
        <v>0</v>
      </c>
    </row>
    <row r="5259" spans="1:11" x14ac:dyDescent="0.2">
      <c r="A5259" t="s">
        <v>1899</v>
      </c>
      <c r="B5259" t="s">
        <v>4909</v>
      </c>
      <c r="C5259" t="s">
        <v>4909</v>
      </c>
      <c r="D5259" t="s">
        <v>4909</v>
      </c>
      <c r="E5259" t="s">
        <v>4909</v>
      </c>
      <c r="F5259" t="s">
        <v>4909</v>
      </c>
      <c r="G5259" t="s">
        <v>4909</v>
      </c>
      <c r="H5259" t="s">
        <v>4909</v>
      </c>
      <c r="I5259" t="s">
        <v>4909</v>
      </c>
      <c r="J5259" t="s">
        <v>4909</v>
      </c>
      <c r="K5259" t="s">
        <v>4909</v>
      </c>
    </row>
    <row r="5260" spans="1:11" x14ac:dyDescent="0.2">
      <c r="A5260" t="s">
        <v>1906</v>
      </c>
      <c r="B5260" t="s">
        <v>4909</v>
      </c>
      <c r="C5260" t="s">
        <v>4909</v>
      </c>
      <c r="D5260" t="s">
        <v>4909</v>
      </c>
      <c r="E5260" t="s">
        <v>4909</v>
      </c>
      <c r="F5260" t="s">
        <v>4909</v>
      </c>
      <c r="G5260" t="s">
        <v>4909</v>
      </c>
      <c r="H5260" t="s">
        <v>4909</v>
      </c>
      <c r="I5260" t="s">
        <v>4909</v>
      </c>
      <c r="J5260" t="s">
        <v>4909</v>
      </c>
      <c r="K5260" t="s">
        <v>4909</v>
      </c>
    </row>
    <row r="5261" spans="1:11" x14ac:dyDescent="0.2">
      <c r="A5261" t="s">
        <v>1911</v>
      </c>
      <c r="B5261" t="s">
        <v>4909</v>
      </c>
      <c r="C5261" t="s">
        <v>4909</v>
      </c>
      <c r="D5261" t="s">
        <v>4909</v>
      </c>
      <c r="E5261" t="s">
        <v>4909</v>
      </c>
      <c r="F5261" t="s">
        <v>4909</v>
      </c>
      <c r="G5261" t="s">
        <v>4909</v>
      </c>
      <c r="H5261" t="s">
        <v>4909</v>
      </c>
      <c r="I5261" t="s">
        <v>4909</v>
      </c>
      <c r="J5261" t="s">
        <v>4909</v>
      </c>
      <c r="K5261" t="s">
        <v>4909</v>
      </c>
    </row>
    <row r="5262" spans="1:11" x14ac:dyDescent="0.2">
      <c r="A5262" t="s">
        <v>1917</v>
      </c>
      <c r="B5262" t="s">
        <v>4909</v>
      </c>
      <c r="C5262" t="s">
        <v>4909</v>
      </c>
      <c r="D5262" t="s">
        <v>4909</v>
      </c>
      <c r="E5262" t="s">
        <v>4909</v>
      </c>
      <c r="F5262" t="s">
        <v>4909</v>
      </c>
      <c r="G5262" t="s">
        <v>4909</v>
      </c>
      <c r="H5262" t="s">
        <v>4909</v>
      </c>
      <c r="I5262" t="s">
        <v>4909</v>
      </c>
      <c r="J5262" t="s">
        <v>4909</v>
      </c>
      <c r="K5262" t="s">
        <v>4909</v>
      </c>
    </row>
    <row r="5263" spans="1:11" x14ac:dyDescent="0.2">
      <c r="A5263" t="s">
        <v>1922</v>
      </c>
      <c r="B5263" t="s">
        <v>4909</v>
      </c>
      <c r="C5263" t="s">
        <v>4909</v>
      </c>
      <c r="D5263" t="s">
        <v>4909</v>
      </c>
      <c r="E5263" t="s">
        <v>4909</v>
      </c>
      <c r="F5263" t="s">
        <v>4909</v>
      </c>
      <c r="G5263" t="s">
        <v>4909</v>
      </c>
      <c r="H5263" t="s">
        <v>4909</v>
      </c>
      <c r="I5263" t="s">
        <v>4909</v>
      </c>
      <c r="J5263" t="s">
        <v>4909</v>
      </c>
      <c r="K5263" t="s">
        <v>4909</v>
      </c>
    </row>
    <row r="5264" spans="1:11" x14ac:dyDescent="0.2">
      <c r="A5264" t="s">
        <v>1928</v>
      </c>
      <c r="B5264" t="s">
        <v>4909</v>
      </c>
      <c r="C5264" t="s">
        <v>4909</v>
      </c>
      <c r="D5264" t="s">
        <v>4909</v>
      </c>
      <c r="E5264" t="s">
        <v>4909</v>
      </c>
      <c r="F5264" t="s">
        <v>4909</v>
      </c>
      <c r="G5264" t="s">
        <v>4909</v>
      </c>
      <c r="H5264" t="s">
        <v>4909</v>
      </c>
      <c r="I5264" t="s">
        <v>4909</v>
      </c>
      <c r="J5264" t="s">
        <v>4909</v>
      </c>
      <c r="K5264" t="s">
        <v>4909</v>
      </c>
    </row>
    <row r="5265" spans="1:11" x14ac:dyDescent="0.2">
      <c r="A5265" t="s">
        <v>1932</v>
      </c>
      <c r="B5265" t="s">
        <v>4909</v>
      </c>
      <c r="C5265" t="s">
        <v>4909</v>
      </c>
      <c r="D5265" t="s">
        <v>4909</v>
      </c>
      <c r="E5265" t="s">
        <v>4909</v>
      </c>
      <c r="F5265" t="s">
        <v>4909</v>
      </c>
      <c r="G5265" t="s">
        <v>4909</v>
      </c>
      <c r="H5265" t="s">
        <v>4909</v>
      </c>
      <c r="I5265" t="s">
        <v>4909</v>
      </c>
      <c r="J5265" t="s">
        <v>4909</v>
      </c>
      <c r="K5265" t="s">
        <v>4909</v>
      </c>
    </row>
    <row r="5266" spans="1:11" x14ac:dyDescent="0.2">
      <c r="A5266" t="s">
        <v>1938</v>
      </c>
      <c r="B5266" t="s">
        <v>4909</v>
      </c>
      <c r="C5266" t="s">
        <v>4909</v>
      </c>
      <c r="D5266" t="s">
        <v>4909</v>
      </c>
      <c r="E5266" t="s">
        <v>4909</v>
      </c>
      <c r="F5266" t="s">
        <v>4909</v>
      </c>
      <c r="G5266" t="s">
        <v>4909</v>
      </c>
      <c r="H5266" t="s">
        <v>4909</v>
      </c>
      <c r="I5266" t="s">
        <v>4909</v>
      </c>
      <c r="J5266" t="s">
        <v>4909</v>
      </c>
      <c r="K5266" t="s">
        <v>4909</v>
      </c>
    </row>
    <row r="5267" spans="1:11" x14ac:dyDescent="0.2">
      <c r="A5267" t="s">
        <v>1944</v>
      </c>
      <c r="B5267" t="s">
        <v>4909</v>
      </c>
      <c r="C5267" t="s">
        <v>4909</v>
      </c>
      <c r="D5267" t="s">
        <v>4909</v>
      </c>
      <c r="E5267" t="s">
        <v>4909</v>
      </c>
      <c r="F5267" t="s">
        <v>4909</v>
      </c>
      <c r="G5267" t="s">
        <v>4909</v>
      </c>
      <c r="H5267" t="s">
        <v>4909</v>
      </c>
      <c r="I5267" t="s">
        <v>4909</v>
      </c>
      <c r="J5267" t="s">
        <v>4909</v>
      </c>
      <c r="K5267" t="s">
        <v>4909</v>
      </c>
    </row>
    <row r="5268" spans="1:11" x14ac:dyDescent="0.2">
      <c r="A5268" t="s">
        <v>1947</v>
      </c>
      <c r="B5268" t="s">
        <v>4909</v>
      </c>
      <c r="C5268" t="s">
        <v>4909</v>
      </c>
      <c r="D5268" t="s">
        <v>4909</v>
      </c>
      <c r="E5268" t="s">
        <v>4909</v>
      </c>
      <c r="F5268" t="s">
        <v>4909</v>
      </c>
      <c r="G5268" t="s">
        <v>4909</v>
      </c>
      <c r="H5268" t="s">
        <v>4909</v>
      </c>
      <c r="I5268" t="s">
        <v>4909</v>
      </c>
      <c r="J5268" t="s">
        <v>4909</v>
      </c>
      <c r="K5268" t="s">
        <v>4909</v>
      </c>
    </row>
    <row r="5269" spans="1:11" x14ac:dyDescent="0.2">
      <c r="A5269" t="s">
        <v>1953</v>
      </c>
      <c r="B5269" t="s">
        <v>4909</v>
      </c>
      <c r="C5269" t="s">
        <v>4909</v>
      </c>
      <c r="D5269" t="s">
        <v>4909</v>
      </c>
      <c r="E5269" t="s">
        <v>4909</v>
      </c>
      <c r="F5269" t="s">
        <v>4909</v>
      </c>
      <c r="G5269" t="s">
        <v>4909</v>
      </c>
      <c r="H5269" t="s">
        <v>4909</v>
      </c>
      <c r="I5269" t="s">
        <v>4909</v>
      </c>
      <c r="J5269" t="s">
        <v>4909</v>
      </c>
      <c r="K5269" t="s">
        <v>4909</v>
      </c>
    </row>
    <row r="5270" spans="1:11" x14ac:dyDescent="0.2">
      <c r="A5270" t="s">
        <v>1958</v>
      </c>
      <c r="B5270" t="s">
        <v>4909</v>
      </c>
      <c r="C5270" t="s">
        <v>4909</v>
      </c>
      <c r="D5270" t="s">
        <v>4909</v>
      </c>
      <c r="E5270" t="s">
        <v>4909</v>
      </c>
      <c r="F5270" t="s">
        <v>4909</v>
      </c>
      <c r="G5270" t="s">
        <v>4909</v>
      </c>
      <c r="H5270" t="s">
        <v>4909</v>
      </c>
      <c r="I5270" t="s">
        <v>4909</v>
      </c>
      <c r="J5270" t="s">
        <v>4909</v>
      </c>
      <c r="K5270" t="s">
        <v>4909</v>
      </c>
    </row>
    <row r="5271" spans="1:11" x14ac:dyDescent="0.2">
      <c r="A5271" t="s">
        <v>1964</v>
      </c>
      <c r="B5271" t="s">
        <v>4909</v>
      </c>
      <c r="C5271" t="s">
        <v>4909</v>
      </c>
      <c r="D5271" t="s">
        <v>4909</v>
      </c>
      <c r="E5271" t="s">
        <v>4909</v>
      </c>
      <c r="F5271" t="s">
        <v>4909</v>
      </c>
      <c r="G5271" t="s">
        <v>4909</v>
      </c>
      <c r="H5271" t="s">
        <v>4909</v>
      </c>
      <c r="I5271" t="s">
        <v>4909</v>
      </c>
      <c r="J5271" t="s">
        <v>4909</v>
      </c>
      <c r="K5271" t="s">
        <v>4909</v>
      </c>
    </row>
    <row r="5272" spans="1:11" x14ac:dyDescent="0.2">
      <c r="A5272" t="s">
        <v>1973</v>
      </c>
      <c r="B5272" t="s">
        <v>4909</v>
      </c>
      <c r="C5272" t="s">
        <v>4909</v>
      </c>
      <c r="D5272" t="s">
        <v>4909</v>
      </c>
      <c r="E5272" t="s">
        <v>4909</v>
      </c>
      <c r="F5272" t="s">
        <v>4909</v>
      </c>
      <c r="G5272" t="s">
        <v>4909</v>
      </c>
      <c r="H5272" t="s">
        <v>4909</v>
      </c>
      <c r="I5272" t="s">
        <v>4909</v>
      </c>
      <c r="J5272" t="s">
        <v>4909</v>
      </c>
      <c r="K5272" t="s">
        <v>4909</v>
      </c>
    </row>
    <row r="5273" spans="1:11" x14ac:dyDescent="0.2">
      <c r="A5273" t="s">
        <v>1978</v>
      </c>
      <c r="B5273" t="s">
        <v>4909</v>
      </c>
      <c r="C5273" t="s">
        <v>4909</v>
      </c>
      <c r="D5273" t="s">
        <v>4909</v>
      </c>
      <c r="E5273" t="s">
        <v>4909</v>
      </c>
      <c r="F5273" t="s">
        <v>4909</v>
      </c>
      <c r="G5273" t="s">
        <v>4909</v>
      </c>
      <c r="H5273" t="s">
        <v>4909</v>
      </c>
      <c r="I5273" t="s">
        <v>4909</v>
      </c>
      <c r="J5273" t="s">
        <v>4909</v>
      </c>
      <c r="K5273" t="s">
        <v>4909</v>
      </c>
    </row>
    <row r="5274" spans="1:11" x14ac:dyDescent="0.2">
      <c r="A5274" t="s">
        <v>1983</v>
      </c>
      <c r="B5274" t="s">
        <v>4909</v>
      </c>
      <c r="C5274" t="s">
        <v>4909</v>
      </c>
      <c r="D5274" t="s">
        <v>4909</v>
      </c>
      <c r="E5274" t="s">
        <v>4909</v>
      </c>
      <c r="F5274" t="s">
        <v>4909</v>
      </c>
      <c r="G5274" t="s">
        <v>4909</v>
      </c>
      <c r="H5274" t="s">
        <v>4909</v>
      </c>
      <c r="I5274" t="s">
        <v>4909</v>
      </c>
      <c r="J5274" t="s">
        <v>4909</v>
      </c>
      <c r="K5274" t="s">
        <v>4909</v>
      </c>
    </row>
    <row r="5275" spans="1:11" x14ac:dyDescent="0.2">
      <c r="A5275" t="s">
        <v>1984</v>
      </c>
      <c r="B5275" t="s">
        <v>4909</v>
      </c>
      <c r="C5275" t="s">
        <v>4909</v>
      </c>
      <c r="D5275" t="s">
        <v>4909</v>
      </c>
      <c r="E5275" t="s">
        <v>4909</v>
      </c>
      <c r="F5275" t="s">
        <v>4909</v>
      </c>
      <c r="G5275" t="s">
        <v>4909</v>
      </c>
      <c r="H5275" t="s">
        <v>4909</v>
      </c>
      <c r="I5275" t="s">
        <v>4909</v>
      </c>
      <c r="J5275" t="s">
        <v>4909</v>
      </c>
      <c r="K5275" t="s">
        <v>4909</v>
      </c>
    </row>
    <row r="5276" spans="1:11" x14ac:dyDescent="0.2">
      <c r="A5276" t="s">
        <v>1990</v>
      </c>
      <c r="B5276" t="s">
        <v>4909</v>
      </c>
      <c r="C5276" t="s">
        <v>4909</v>
      </c>
      <c r="D5276" t="s">
        <v>4909</v>
      </c>
      <c r="E5276" t="s">
        <v>4909</v>
      </c>
      <c r="F5276" t="s">
        <v>4909</v>
      </c>
      <c r="G5276" t="s">
        <v>4909</v>
      </c>
      <c r="H5276" t="s">
        <v>4909</v>
      </c>
      <c r="I5276" t="s">
        <v>4909</v>
      </c>
      <c r="J5276" t="s">
        <v>4909</v>
      </c>
      <c r="K5276" t="s">
        <v>4909</v>
      </c>
    </row>
    <row r="5277" spans="1:11" x14ac:dyDescent="0.2">
      <c r="A5277" t="s">
        <v>1996</v>
      </c>
      <c r="B5277" t="s">
        <v>4909</v>
      </c>
      <c r="C5277" t="s">
        <v>4909</v>
      </c>
      <c r="D5277" t="s">
        <v>4909</v>
      </c>
      <c r="E5277" t="s">
        <v>4909</v>
      </c>
      <c r="F5277" t="s">
        <v>4909</v>
      </c>
      <c r="G5277" t="s">
        <v>4909</v>
      </c>
      <c r="H5277" t="s">
        <v>4909</v>
      </c>
      <c r="I5277" t="s">
        <v>4909</v>
      </c>
      <c r="J5277" t="s">
        <v>4909</v>
      </c>
      <c r="K5277" t="s">
        <v>4909</v>
      </c>
    </row>
    <row r="5278" spans="1:11" x14ac:dyDescent="0.2">
      <c r="A5278" t="s">
        <v>1998</v>
      </c>
      <c r="B5278" t="s">
        <v>4909</v>
      </c>
      <c r="C5278" t="s">
        <v>4909</v>
      </c>
      <c r="D5278" t="s">
        <v>4909</v>
      </c>
      <c r="E5278" t="s">
        <v>4909</v>
      </c>
      <c r="F5278" t="s">
        <v>4909</v>
      </c>
      <c r="G5278" t="s">
        <v>4909</v>
      </c>
      <c r="H5278" t="s">
        <v>4909</v>
      </c>
      <c r="I5278" t="s">
        <v>4909</v>
      </c>
      <c r="J5278" t="s">
        <v>4909</v>
      </c>
      <c r="K5278" t="s">
        <v>4909</v>
      </c>
    </row>
    <row r="5279" spans="1:11" x14ac:dyDescent="0.2">
      <c r="A5279" t="s">
        <v>1999</v>
      </c>
      <c r="B5279" t="s">
        <v>4909</v>
      </c>
      <c r="C5279" t="s">
        <v>4909</v>
      </c>
      <c r="D5279" t="s">
        <v>4909</v>
      </c>
      <c r="E5279" t="s">
        <v>4909</v>
      </c>
      <c r="F5279" t="s">
        <v>4909</v>
      </c>
      <c r="G5279" t="s">
        <v>4909</v>
      </c>
      <c r="H5279" t="s">
        <v>4909</v>
      </c>
      <c r="I5279" t="s">
        <v>4909</v>
      </c>
      <c r="J5279" t="s">
        <v>4909</v>
      </c>
      <c r="K5279" t="s">
        <v>4909</v>
      </c>
    </row>
    <row r="5280" spans="1:11" x14ac:dyDescent="0.2">
      <c r="A5280" t="s">
        <v>2004</v>
      </c>
      <c r="B5280" t="s">
        <v>4909</v>
      </c>
      <c r="C5280" t="s">
        <v>4909</v>
      </c>
      <c r="D5280" t="s">
        <v>4909</v>
      </c>
      <c r="E5280" t="s">
        <v>4909</v>
      </c>
      <c r="F5280" t="s">
        <v>4909</v>
      </c>
      <c r="G5280" t="s">
        <v>4909</v>
      </c>
      <c r="H5280" t="s">
        <v>4909</v>
      </c>
      <c r="I5280" t="s">
        <v>4909</v>
      </c>
      <c r="J5280" t="s">
        <v>4909</v>
      </c>
      <c r="K5280" t="s">
        <v>4909</v>
      </c>
    </row>
    <row r="5281" spans="1:11" x14ac:dyDescent="0.2">
      <c r="A5281" t="s">
        <v>2009</v>
      </c>
      <c r="B5281" t="s">
        <v>4909</v>
      </c>
      <c r="C5281" t="s">
        <v>4909</v>
      </c>
      <c r="D5281" t="s">
        <v>4909</v>
      </c>
      <c r="E5281" t="s">
        <v>4909</v>
      </c>
      <c r="F5281" t="s">
        <v>4909</v>
      </c>
      <c r="G5281" t="s">
        <v>4909</v>
      </c>
      <c r="H5281" t="s">
        <v>4909</v>
      </c>
      <c r="I5281" t="s">
        <v>4909</v>
      </c>
      <c r="J5281" t="s">
        <v>4909</v>
      </c>
      <c r="K5281" t="s">
        <v>4909</v>
      </c>
    </row>
    <row r="5282" spans="1:11" x14ac:dyDescent="0.2">
      <c r="A5282" t="s">
        <v>2014</v>
      </c>
      <c r="B5282" t="s">
        <v>4909</v>
      </c>
      <c r="C5282" t="s">
        <v>4909</v>
      </c>
      <c r="D5282" t="s">
        <v>4909</v>
      </c>
      <c r="E5282" t="s">
        <v>4909</v>
      </c>
      <c r="F5282" t="s">
        <v>4909</v>
      </c>
      <c r="G5282" t="s">
        <v>4909</v>
      </c>
      <c r="H5282" t="s">
        <v>4909</v>
      </c>
      <c r="I5282" t="s">
        <v>4909</v>
      </c>
      <c r="J5282" t="s">
        <v>4909</v>
      </c>
      <c r="K5282" t="s">
        <v>4909</v>
      </c>
    </row>
    <row r="5283" spans="1:11" x14ac:dyDescent="0.2">
      <c r="A5283" t="s">
        <v>2019</v>
      </c>
      <c r="B5283" t="s">
        <v>4909</v>
      </c>
      <c r="C5283" t="s">
        <v>4909</v>
      </c>
      <c r="D5283" t="s">
        <v>4909</v>
      </c>
      <c r="E5283" t="s">
        <v>4909</v>
      </c>
      <c r="F5283" t="s">
        <v>4909</v>
      </c>
      <c r="G5283" t="s">
        <v>4909</v>
      </c>
      <c r="H5283" t="s">
        <v>4909</v>
      </c>
      <c r="I5283" t="s">
        <v>4909</v>
      </c>
      <c r="J5283" t="s">
        <v>4909</v>
      </c>
      <c r="K5283" t="s">
        <v>4909</v>
      </c>
    </row>
    <row r="5284" spans="1:11" x14ac:dyDescent="0.2">
      <c r="A5284" t="s">
        <v>2023</v>
      </c>
      <c r="B5284" t="s">
        <v>4909</v>
      </c>
      <c r="C5284" t="s">
        <v>4909</v>
      </c>
      <c r="D5284" t="s">
        <v>4909</v>
      </c>
      <c r="E5284" t="s">
        <v>4909</v>
      </c>
      <c r="F5284" t="s">
        <v>4909</v>
      </c>
      <c r="G5284" t="s">
        <v>4909</v>
      </c>
      <c r="H5284" t="s">
        <v>4909</v>
      </c>
      <c r="I5284" t="s">
        <v>4909</v>
      </c>
      <c r="J5284" t="s">
        <v>4909</v>
      </c>
      <c r="K5284" t="s">
        <v>4909</v>
      </c>
    </row>
    <row r="5285" spans="1:11" x14ac:dyDescent="0.2">
      <c r="A5285" t="s">
        <v>2026</v>
      </c>
      <c r="B5285" t="s">
        <v>4909</v>
      </c>
      <c r="C5285" t="s">
        <v>4909</v>
      </c>
      <c r="D5285" t="s">
        <v>4909</v>
      </c>
      <c r="E5285" t="s">
        <v>4909</v>
      </c>
      <c r="F5285" t="s">
        <v>4909</v>
      </c>
      <c r="G5285" t="s">
        <v>4909</v>
      </c>
      <c r="H5285" t="s">
        <v>4909</v>
      </c>
      <c r="I5285" t="s">
        <v>4909</v>
      </c>
      <c r="J5285" t="s">
        <v>4909</v>
      </c>
      <c r="K5285" t="s">
        <v>4909</v>
      </c>
    </row>
    <row r="5286" spans="1:11" x14ac:dyDescent="0.2">
      <c r="A5286" t="s">
        <v>2030</v>
      </c>
      <c r="B5286" t="s">
        <v>4909</v>
      </c>
      <c r="C5286" t="s">
        <v>4909</v>
      </c>
      <c r="D5286" t="s">
        <v>4909</v>
      </c>
      <c r="E5286" t="s">
        <v>4909</v>
      </c>
      <c r="F5286" t="s">
        <v>4909</v>
      </c>
      <c r="G5286" t="s">
        <v>4909</v>
      </c>
      <c r="H5286" t="s">
        <v>4909</v>
      </c>
      <c r="I5286" t="s">
        <v>4909</v>
      </c>
      <c r="J5286" t="s">
        <v>4909</v>
      </c>
      <c r="K5286" t="s">
        <v>4909</v>
      </c>
    </row>
    <row r="5287" spans="1:11" x14ac:dyDescent="0.2">
      <c r="A5287" t="s">
        <v>2035</v>
      </c>
      <c r="B5287" t="s">
        <v>4909</v>
      </c>
      <c r="C5287" t="s">
        <v>4909</v>
      </c>
      <c r="D5287" t="s">
        <v>4909</v>
      </c>
      <c r="E5287" t="s">
        <v>4909</v>
      </c>
      <c r="F5287" t="s">
        <v>4909</v>
      </c>
      <c r="G5287" t="s">
        <v>4909</v>
      </c>
      <c r="H5287" t="s">
        <v>4909</v>
      </c>
      <c r="I5287" t="s">
        <v>4909</v>
      </c>
      <c r="J5287" t="s">
        <v>4909</v>
      </c>
      <c r="K5287" t="s">
        <v>4909</v>
      </c>
    </row>
    <row r="5288" spans="1:11" x14ac:dyDescent="0.2">
      <c r="A5288" t="s">
        <v>2040</v>
      </c>
      <c r="B5288" t="s">
        <v>4909</v>
      </c>
      <c r="C5288" t="s">
        <v>4909</v>
      </c>
      <c r="D5288" t="s">
        <v>4909</v>
      </c>
      <c r="E5288" t="s">
        <v>4909</v>
      </c>
      <c r="F5288" t="s">
        <v>4909</v>
      </c>
      <c r="G5288" t="s">
        <v>4909</v>
      </c>
      <c r="H5288" t="s">
        <v>4909</v>
      </c>
      <c r="I5288" t="s">
        <v>4909</v>
      </c>
      <c r="J5288" t="s">
        <v>4909</v>
      </c>
      <c r="K5288" t="s">
        <v>4909</v>
      </c>
    </row>
    <row r="5289" spans="1:11" x14ac:dyDescent="0.2">
      <c r="A5289" t="s">
        <v>2045</v>
      </c>
      <c r="B5289" t="s">
        <v>4909</v>
      </c>
      <c r="C5289" t="s">
        <v>4909</v>
      </c>
      <c r="D5289" t="s">
        <v>4909</v>
      </c>
      <c r="E5289" t="s">
        <v>4909</v>
      </c>
      <c r="F5289" t="s">
        <v>4909</v>
      </c>
      <c r="G5289" t="s">
        <v>4909</v>
      </c>
      <c r="H5289" t="s">
        <v>4909</v>
      </c>
      <c r="I5289" t="s">
        <v>4909</v>
      </c>
      <c r="J5289" t="s">
        <v>4909</v>
      </c>
      <c r="K5289" t="s">
        <v>4909</v>
      </c>
    </row>
    <row r="5290" spans="1:11" x14ac:dyDescent="0.2">
      <c r="A5290" t="s">
        <v>2049</v>
      </c>
      <c r="B5290" s="88">
        <v>1.6E-2</v>
      </c>
      <c r="C5290" t="s">
        <v>4909</v>
      </c>
      <c r="D5290" t="s">
        <v>4909</v>
      </c>
      <c r="E5290" t="s">
        <v>4909</v>
      </c>
      <c r="F5290" s="88">
        <v>0</v>
      </c>
      <c r="G5290" s="88">
        <v>1.7000000000000001E-2</v>
      </c>
      <c r="H5290" t="s">
        <v>4909</v>
      </c>
      <c r="I5290" s="88">
        <v>0.01</v>
      </c>
      <c r="J5290" t="s">
        <v>4909</v>
      </c>
      <c r="K5290" s="88">
        <v>0</v>
      </c>
    </row>
    <row r="5291" spans="1:11" x14ac:dyDescent="0.2">
      <c r="A5291" t="s">
        <v>2051</v>
      </c>
      <c r="B5291" s="88">
        <v>0</v>
      </c>
      <c r="C5291" t="s">
        <v>4909</v>
      </c>
      <c r="D5291" t="s">
        <v>4909</v>
      </c>
      <c r="E5291" t="s">
        <v>4909</v>
      </c>
      <c r="F5291" t="s">
        <v>4909</v>
      </c>
      <c r="G5291" s="88">
        <v>0</v>
      </c>
      <c r="H5291" t="s">
        <v>4909</v>
      </c>
      <c r="I5291" s="88">
        <v>0</v>
      </c>
      <c r="J5291" t="s">
        <v>4909</v>
      </c>
      <c r="K5291" t="s">
        <v>4909</v>
      </c>
    </row>
    <row r="5292" spans="1:11" x14ac:dyDescent="0.2">
      <c r="A5292" t="s">
        <v>2057</v>
      </c>
      <c r="B5292" s="88">
        <v>0</v>
      </c>
      <c r="C5292" t="s">
        <v>4909</v>
      </c>
      <c r="D5292" t="s">
        <v>4909</v>
      </c>
      <c r="E5292" t="s">
        <v>4909</v>
      </c>
      <c r="F5292" t="s">
        <v>4909</v>
      </c>
      <c r="G5292" s="88">
        <v>0</v>
      </c>
      <c r="H5292" t="s">
        <v>4909</v>
      </c>
      <c r="I5292" s="88">
        <v>0</v>
      </c>
      <c r="J5292" t="s">
        <v>4909</v>
      </c>
      <c r="K5292" t="s">
        <v>4909</v>
      </c>
    </row>
    <row r="5293" spans="1:11" x14ac:dyDescent="0.2">
      <c r="A5293" t="s">
        <v>4344</v>
      </c>
      <c r="B5293" s="88">
        <v>0</v>
      </c>
      <c r="C5293" t="s">
        <v>4909</v>
      </c>
      <c r="D5293" t="s">
        <v>4909</v>
      </c>
      <c r="E5293" t="s">
        <v>4909</v>
      </c>
      <c r="F5293" t="s">
        <v>4909</v>
      </c>
      <c r="G5293" s="88">
        <v>0</v>
      </c>
      <c r="H5293" t="s">
        <v>4909</v>
      </c>
      <c r="I5293" s="88">
        <v>0</v>
      </c>
      <c r="J5293" t="s">
        <v>4909</v>
      </c>
      <c r="K5293" t="s">
        <v>4909</v>
      </c>
    </row>
    <row r="5294" spans="1:11" x14ac:dyDescent="0.2">
      <c r="A5294" t="s">
        <v>4345</v>
      </c>
      <c r="B5294" s="88">
        <v>0</v>
      </c>
      <c r="C5294" t="s">
        <v>4909</v>
      </c>
      <c r="D5294" t="s">
        <v>4909</v>
      </c>
      <c r="E5294" t="s">
        <v>4909</v>
      </c>
      <c r="F5294" t="s">
        <v>4909</v>
      </c>
      <c r="G5294" s="88">
        <v>0</v>
      </c>
      <c r="H5294" t="s">
        <v>4909</v>
      </c>
      <c r="I5294" s="88">
        <v>0</v>
      </c>
      <c r="J5294" t="s">
        <v>4909</v>
      </c>
      <c r="K5294" t="s">
        <v>4909</v>
      </c>
    </row>
    <row r="5295" spans="1:11" x14ac:dyDescent="0.2">
      <c r="A5295" t="s">
        <v>2074</v>
      </c>
      <c r="B5295" t="s">
        <v>4909</v>
      </c>
      <c r="C5295" t="s">
        <v>4909</v>
      </c>
      <c r="D5295" t="s">
        <v>4909</v>
      </c>
      <c r="E5295" t="s">
        <v>4909</v>
      </c>
      <c r="F5295" t="s">
        <v>4909</v>
      </c>
      <c r="G5295" t="s">
        <v>4909</v>
      </c>
      <c r="H5295" t="s">
        <v>4909</v>
      </c>
      <c r="I5295" t="s">
        <v>4909</v>
      </c>
      <c r="J5295" t="s">
        <v>4909</v>
      </c>
      <c r="K5295" t="s">
        <v>4909</v>
      </c>
    </row>
    <row r="5296" spans="1:11" x14ac:dyDescent="0.2">
      <c r="A5296" t="s">
        <v>2079</v>
      </c>
      <c r="B5296" t="s">
        <v>4909</v>
      </c>
      <c r="C5296" t="s">
        <v>4909</v>
      </c>
      <c r="D5296" t="s">
        <v>4909</v>
      </c>
      <c r="E5296" t="s">
        <v>4909</v>
      </c>
      <c r="F5296" t="s">
        <v>4909</v>
      </c>
      <c r="G5296" t="s">
        <v>4909</v>
      </c>
      <c r="H5296" t="s">
        <v>4909</v>
      </c>
      <c r="I5296" t="s">
        <v>4909</v>
      </c>
      <c r="J5296" t="s">
        <v>4909</v>
      </c>
      <c r="K5296" t="s">
        <v>4909</v>
      </c>
    </row>
    <row r="5297" spans="1:11" x14ac:dyDescent="0.2">
      <c r="A5297" t="s">
        <v>2085</v>
      </c>
      <c r="B5297" t="s">
        <v>4909</v>
      </c>
      <c r="C5297" t="s">
        <v>4909</v>
      </c>
      <c r="D5297" t="s">
        <v>4909</v>
      </c>
      <c r="E5297" t="s">
        <v>4909</v>
      </c>
      <c r="F5297" t="s">
        <v>4909</v>
      </c>
      <c r="G5297" t="s">
        <v>4909</v>
      </c>
      <c r="H5297" t="s">
        <v>4909</v>
      </c>
      <c r="I5297" t="s">
        <v>4909</v>
      </c>
      <c r="J5297" t="s">
        <v>4909</v>
      </c>
      <c r="K5297" t="s">
        <v>4909</v>
      </c>
    </row>
    <row r="5298" spans="1:11" x14ac:dyDescent="0.2">
      <c r="A5298" t="s">
        <v>2091</v>
      </c>
      <c r="B5298" t="s">
        <v>4909</v>
      </c>
      <c r="C5298" t="s">
        <v>4909</v>
      </c>
      <c r="D5298" t="s">
        <v>4909</v>
      </c>
      <c r="E5298" t="s">
        <v>4909</v>
      </c>
      <c r="F5298" t="s">
        <v>4909</v>
      </c>
      <c r="G5298" t="s">
        <v>4909</v>
      </c>
      <c r="H5298" t="s">
        <v>4909</v>
      </c>
      <c r="I5298" t="s">
        <v>4909</v>
      </c>
      <c r="J5298" t="s">
        <v>4909</v>
      </c>
      <c r="K5298" t="s">
        <v>4909</v>
      </c>
    </row>
    <row r="5299" spans="1:11" x14ac:dyDescent="0.2">
      <c r="A5299" t="s">
        <v>2097</v>
      </c>
      <c r="B5299" t="s">
        <v>4909</v>
      </c>
      <c r="C5299" t="s">
        <v>4909</v>
      </c>
      <c r="D5299" t="s">
        <v>4909</v>
      </c>
      <c r="E5299" t="s">
        <v>4909</v>
      </c>
      <c r="F5299" t="s">
        <v>4909</v>
      </c>
      <c r="G5299" t="s">
        <v>4909</v>
      </c>
      <c r="H5299" t="s">
        <v>4909</v>
      </c>
      <c r="I5299" t="s">
        <v>4909</v>
      </c>
      <c r="J5299" t="s">
        <v>4909</v>
      </c>
      <c r="K5299" t="s">
        <v>4909</v>
      </c>
    </row>
    <row r="5300" spans="1:11" x14ac:dyDescent="0.2">
      <c r="A5300" t="s">
        <v>2101</v>
      </c>
      <c r="B5300" t="s">
        <v>4909</v>
      </c>
      <c r="C5300" t="s">
        <v>4909</v>
      </c>
      <c r="D5300" t="s">
        <v>4909</v>
      </c>
      <c r="E5300" t="s">
        <v>4909</v>
      </c>
      <c r="F5300" t="s">
        <v>4909</v>
      </c>
      <c r="G5300" t="s">
        <v>4909</v>
      </c>
      <c r="H5300" t="s">
        <v>4909</v>
      </c>
      <c r="I5300" t="s">
        <v>4909</v>
      </c>
      <c r="J5300" t="s">
        <v>4909</v>
      </c>
      <c r="K5300" t="s">
        <v>4909</v>
      </c>
    </row>
    <row r="5301" spans="1:11" x14ac:dyDescent="0.2">
      <c r="A5301" t="s">
        <v>2104</v>
      </c>
      <c r="B5301" t="s">
        <v>4909</v>
      </c>
      <c r="C5301" t="s">
        <v>4909</v>
      </c>
      <c r="D5301" t="s">
        <v>4909</v>
      </c>
      <c r="E5301" t="s">
        <v>4909</v>
      </c>
      <c r="F5301" t="s">
        <v>4909</v>
      </c>
      <c r="G5301" t="s">
        <v>4909</v>
      </c>
      <c r="H5301" t="s">
        <v>4909</v>
      </c>
      <c r="I5301" t="s">
        <v>4909</v>
      </c>
      <c r="J5301" t="s">
        <v>4909</v>
      </c>
      <c r="K5301" t="s">
        <v>4909</v>
      </c>
    </row>
    <row r="5302" spans="1:11" x14ac:dyDescent="0.2">
      <c r="A5302" t="s">
        <v>2107</v>
      </c>
      <c r="B5302" t="s">
        <v>4909</v>
      </c>
      <c r="C5302" t="s">
        <v>4909</v>
      </c>
      <c r="D5302" t="s">
        <v>4909</v>
      </c>
      <c r="E5302" t="s">
        <v>4909</v>
      </c>
      <c r="F5302" t="s">
        <v>4909</v>
      </c>
      <c r="G5302" t="s">
        <v>4909</v>
      </c>
      <c r="H5302" t="s">
        <v>4909</v>
      </c>
      <c r="I5302" t="s">
        <v>4909</v>
      </c>
      <c r="J5302" t="s">
        <v>4909</v>
      </c>
      <c r="K5302" t="s">
        <v>4909</v>
      </c>
    </row>
    <row r="5303" spans="1:11" x14ac:dyDescent="0.2">
      <c r="A5303" t="s">
        <v>2110</v>
      </c>
      <c r="B5303" t="s">
        <v>4909</v>
      </c>
      <c r="C5303" t="s">
        <v>4909</v>
      </c>
      <c r="D5303" t="s">
        <v>4909</v>
      </c>
      <c r="E5303" t="s">
        <v>4909</v>
      </c>
      <c r="F5303" t="s">
        <v>4909</v>
      </c>
      <c r="G5303" t="s">
        <v>4909</v>
      </c>
      <c r="H5303" t="s">
        <v>4909</v>
      </c>
      <c r="I5303" t="s">
        <v>4909</v>
      </c>
      <c r="J5303" t="s">
        <v>4909</v>
      </c>
      <c r="K5303" t="s">
        <v>4909</v>
      </c>
    </row>
    <row r="5304" spans="1:11" x14ac:dyDescent="0.2">
      <c r="A5304" t="s">
        <v>2113</v>
      </c>
      <c r="B5304" t="s">
        <v>4909</v>
      </c>
      <c r="C5304" t="s">
        <v>4909</v>
      </c>
      <c r="D5304" t="s">
        <v>4909</v>
      </c>
      <c r="E5304" t="s">
        <v>4909</v>
      </c>
      <c r="F5304" t="s">
        <v>4909</v>
      </c>
      <c r="G5304" t="s">
        <v>4909</v>
      </c>
      <c r="H5304" t="s">
        <v>4909</v>
      </c>
      <c r="I5304" t="s">
        <v>4909</v>
      </c>
      <c r="J5304" t="s">
        <v>4909</v>
      </c>
      <c r="K5304" t="s">
        <v>4909</v>
      </c>
    </row>
    <row r="5305" spans="1:11" x14ac:dyDescent="0.2">
      <c r="A5305" t="s">
        <v>4346</v>
      </c>
      <c r="B5305" t="s">
        <v>4909</v>
      </c>
      <c r="C5305" t="s">
        <v>4909</v>
      </c>
      <c r="D5305" t="s">
        <v>4909</v>
      </c>
      <c r="E5305" t="s">
        <v>4909</v>
      </c>
      <c r="F5305" t="s">
        <v>4909</v>
      </c>
      <c r="G5305" t="s">
        <v>4909</v>
      </c>
      <c r="H5305" t="s">
        <v>4909</v>
      </c>
      <c r="I5305" t="s">
        <v>4909</v>
      </c>
      <c r="J5305" t="s">
        <v>4909</v>
      </c>
      <c r="K5305" t="s">
        <v>4909</v>
      </c>
    </row>
    <row r="5306" spans="1:11" x14ac:dyDescent="0.2">
      <c r="A5306" t="s">
        <v>4347</v>
      </c>
      <c r="B5306" t="s">
        <v>4909</v>
      </c>
      <c r="C5306" t="s">
        <v>4909</v>
      </c>
      <c r="D5306" t="s">
        <v>4909</v>
      </c>
      <c r="E5306" t="s">
        <v>4909</v>
      </c>
      <c r="F5306" t="s">
        <v>4909</v>
      </c>
      <c r="G5306" t="s">
        <v>4909</v>
      </c>
      <c r="H5306" t="s">
        <v>4909</v>
      </c>
      <c r="I5306" t="s">
        <v>4909</v>
      </c>
      <c r="J5306" t="s">
        <v>4909</v>
      </c>
      <c r="K5306" t="s">
        <v>4909</v>
      </c>
    </row>
    <row r="5307" spans="1:11" x14ac:dyDescent="0.2">
      <c r="A5307" t="s">
        <v>4348</v>
      </c>
      <c r="B5307" t="s">
        <v>4909</v>
      </c>
      <c r="C5307" t="s">
        <v>4909</v>
      </c>
      <c r="D5307" t="s">
        <v>4909</v>
      </c>
      <c r="E5307" t="s">
        <v>4909</v>
      </c>
      <c r="F5307" t="s">
        <v>4909</v>
      </c>
      <c r="G5307" t="s">
        <v>4909</v>
      </c>
      <c r="H5307" t="s">
        <v>4909</v>
      </c>
      <c r="I5307" t="s">
        <v>4909</v>
      </c>
      <c r="J5307" t="s">
        <v>4909</v>
      </c>
      <c r="K5307" t="s">
        <v>4909</v>
      </c>
    </row>
    <row r="5308" spans="1:11" x14ac:dyDescent="0.2">
      <c r="A5308" t="s">
        <v>4349</v>
      </c>
      <c r="B5308" t="s">
        <v>4909</v>
      </c>
      <c r="C5308" t="s">
        <v>4909</v>
      </c>
      <c r="D5308" t="s">
        <v>4909</v>
      </c>
      <c r="E5308" t="s">
        <v>4909</v>
      </c>
      <c r="F5308" t="s">
        <v>4909</v>
      </c>
      <c r="G5308" t="s">
        <v>4909</v>
      </c>
      <c r="H5308" t="s">
        <v>4909</v>
      </c>
      <c r="I5308" t="s">
        <v>4909</v>
      </c>
      <c r="J5308" t="s">
        <v>4909</v>
      </c>
      <c r="K5308" t="s">
        <v>4909</v>
      </c>
    </row>
    <row r="5309" spans="1:11" x14ac:dyDescent="0.2">
      <c r="A5309" t="s">
        <v>4350</v>
      </c>
      <c r="B5309" s="88">
        <v>0</v>
      </c>
      <c r="C5309" t="s">
        <v>4909</v>
      </c>
      <c r="D5309" t="s">
        <v>4909</v>
      </c>
      <c r="E5309" t="s">
        <v>4909</v>
      </c>
      <c r="F5309" t="s">
        <v>4909</v>
      </c>
      <c r="G5309" s="88">
        <v>0</v>
      </c>
      <c r="H5309" t="s">
        <v>4909</v>
      </c>
      <c r="I5309" s="88">
        <v>0</v>
      </c>
      <c r="J5309" t="s">
        <v>4909</v>
      </c>
      <c r="K5309" t="s">
        <v>4909</v>
      </c>
    </row>
    <row r="5310" spans="1:11" x14ac:dyDescent="0.2">
      <c r="A5310" t="s">
        <v>4351</v>
      </c>
      <c r="B5310" t="s">
        <v>4909</v>
      </c>
      <c r="C5310" t="s">
        <v>4909</v>
      </c>
      <c r="D5310" t="s">
        <v>4909</v>
      </c>
      <c r="E5310" t="s">
        <v>4909</v>
      </c>
      <c r="F5310" t="s">
        <v>4909</v>
      </c>
      <c r="G5310" t="s">
        <v>4909</v>
      </c>
      <c r="H5310" t="s">
        <v>4909</v>
      </c>
      <c r="I5310" t="s">
        <v>4909</v>
      </c>
      <c r="J5310" t="s">
        <v>4909</v>
      </c>
      <c r="K5310" t="s">
        <v>4909</v>
      </c>
    </row>
    <row r="5311" spans="1:11" x14ac:dyDescent="0.2">
      <c r="A5311" t="s">
        <v>4352</v>
      </c>
      <c r="B5311" t="s">
        <v>4909</v>
      </c>
      <c r="C5311" t="s">
        <v>4909</v>
      </c>
      <c r="D5311" t="s">
        <v>4909</v>
      </c>
      <c r="E5311" t="s">
        <v>4909</v>
      </c>
      <c r="F5311" t="s">
        <v>4909</v>
      </c>
      <c r="G5311" t="s">
        <v>4909</v>
      </c>
      <c r="H5311" t="s">
        <v>4909</v>
      </c>
      <c r="I5311" t="s">
        <v>4909</v>
      </c>
      <c r="J5311" t="s">
        <v>4909</v>
      </c>
      <c r="K5311" t="s">
        <v>4909</v>
      </c>
    </row>
    <row r="5312" spans="1:11" x14ac:dyDescent="0.2">
      <c r="A5312" t="s">
        <v>4353</v>
      </c>
      <c r="B5312" s="88">
        <v>4.0000000000000001E-3</v>
      </c>
      <c r="C5312" t="s">
        <v>4909</v>
      </c>
      <c r="D5312" t="s">
        <v>4909</v>
      </c>
      <c r="E5312" t="s">
        <v>4909</v>
      </c>
      <c r="F5312" t="s">
        <v>4909</v>
      </c>
      <c r="G5312" s="88">
        <v>5.0000000000000001E-3</v>
      </c>
      <c r="H5312" t="s">
        <v>4909</v>
      </c>
      <c r="I5312" s="88">
        <v>2E-3</v>
      </c>
      <c r="J5312" t="s">
        <v>4909</v>
      </c>
      <c r="K5312" t="s">
        <v>4909</v>
      </c>
    </row>
    <row r="5313" spans="1:11" x14ac:dyDescent="0.2">
      <c r="A5313" t="s">
        <v>4354</v>
      </c>
      <c r="B5313" s="88">
        <v>1.2999999999999999E-2</v>
      </c>
      <c r="C5313" t="s">
        <v>4909</v>
      </c>
      <c r="D5313" t="s">
        <v>4909</v>
      </c>
      <c r="E5313" t="s">
        <v>4909</v>
      </c>
      <c r="F5313" t="s">
        <v>4909</v>
      </c>
      <c r="G5313" s="88">
        <v>1.9E-2</v>
      </c>
      <c r="H5313" t="s">
        <v>4909</v>
      </c>
      <c r="I5313" s="88">
        <v>1.0999999999999999E-2</v>
      </c>
      <c r="J5313" t="s">
        <v>4909</v>
      </c>
      <c r="K5313" t="s">
        <v>4909</v>
      </c>
    </row>
    <row r="5314" spans="1:11" x14ac:dyDescent="0.2">
      <c r="A5314" t="s">
        <v>4355</v>
      </c>
      <c r="B5314" t="s">
        <v>4909</v>
      </c>
      <c r="C5314" t="s">
        <v>4909</v>
      </c>
      <c r="D5314" t="s">
        <v>4909</v>
      </c>
      <c r="E5314" t="s">
        <v>4909</v>
      </c>
      <c r="F5314" t="s">
        <v>4909</v>
      </c>
      <c r="G5314" t="s">
        <v>4909</v>
      </c>
      <c r="H5314" t="s">
        <v>4909</v>
      </c>
      <c r="I5314" t="s">
        <v>4909</v>
      </c>
      <c r="J5314" t="s">
        <v>4909</v>
      </c>
      <c r="K5314" t="s">
        <v>4909</v>
      </c>
    </row>
    <row r="5315" spans="1:11" x14ac:dyDescent="0.2">
      <c r="A5315" t="s">
        <v>4356</v>
      </c>
      <c r="B5315" t="s">
        <v>4909</v>
      </c>
      <c r="C5315" t="s">
        <v>4909</v>
      </c>
      <c r="D5315" t="s">
        <v>4909</v>
      </c>
      <c r="E5315" t="s">
        <v>4909</v>
      </c>
      <c r="F5315" t="s">
        <v>4909</v>
      </c>
      <c r="G5315" t="s">
        <v>4909</v>
      </c>
      <c r="H5315" t="s">
        <v>4909</v>
      </c>
      <c r="I5315" t="s">
        <v>4909</v>
      </c>
      <c r="J5315" t="s">
        <v>4909</v>
      </c>
      <c r="K5315" t="s">
        <v>4909</v>
      </c>
    </row>
    <row r="5316" spans="1:11" x14ac:dyDescent="0.2">
      <c r="A5316" t="s">
        <v>4357</v>
      </c>
      <c r="B5316" t="s">
        <v>4909</v>
      </c>
      <c r="C5316" t="s">
        <v>4909</v>
      </c>
      <c r="D5316" t="s">
        <v>4909</v>
      </c>
      <c r="E5316" t="s">
        <v>4909</v>
      </c>
      <c r="F5316" t="s">
        <v>4909</v>
      </c>
      <c r="G5316" t="s">
        <v>4909</v>
      </c>
      <c r="H5316" t="s">
        <v>4909</v>
      </c>
      <c r="I5316" t="s">
        <v>4909</v>
      </c>
      <c r="J5316" t="s">
        <v>4909</v>
      </c>
      <c r="K5316" t="s">
        <v>4909</v>
      </c>
    </row>
    <row r="5317" spans="1:11" x14ac:dyDescent="0.2">
      <c r="A5317" t="s">
        <v>4358</v>
      </c>
      <c r="B5317" s="88">
        <v>0</v>
      </c>
      <c r="C5317" t="s">
        <v>4909</v>
      </c>
      <c r="D5317" t="s">
        <v>4909</v>
      </c>
      <c r="E5317" t="s">
        <v>4909</v>
      </c>
      <c r="F5317" t="s">
        <v>4909</v>
      </c>
      <c r="G5317" s="88">
        <v>0</v>
      </c>
      <c r="H5317" t="s">
        <v>4909</v>
      </c>
      <c r="I5317" s="88">
        <v>0</v>
      </c>
      <c r="J5317" t="s">
        <v>4909</v>
      </c>
      <c r="K5317" t="s">
        <v>4909</v>
      </c>
    </row>
    <row r="5318" spans="1:11" x14ac:dyDescent="0.2">
      <c r="A5318" t="s">
        <v>4359</v>
      </c>
      <c r="B5318" t="s">
        <v>4909</v>
      </c>
      <c r="C5318" t="s">
        <v>4909</v>
      </c>
      <c r="D5318" t="s">
        <v>4909</v>
      </c>
      <c r="E5318" t="s">
        <v>4909</v>
      </c>
      <c r="F5318" t="s">
        <v>4909</v>
      </c>
      <c r="G5318" t="s">
        <v>4909</v>
      </c>
      <c r="H5318" t="s">
        <v>4909</v>
      </c>
      <c r="I5318" t="s">
        <v>4909</v>
      </c>
      <c r="J5318" t="s">
        <v>4909</v>
      </c>
      <c r="K5318" t="s">
        <v>4909</v>
      </c>
    </row>
    <row r="5319" spans="1:11" x14ac:dyDescent="0.2">
      <c r="A5319" t="s">
        <v>4360</v>
      </c>
      <c r="B5319" s="88">
        <v>1E-3</v>
      </c>
      <c r="C5319" t="s">
        <v>4909</v>
      </c>
      <c r="D5319" t="s">
        <v>4909</v>
      </c>
      <c r="E5319" t="s">
        <v>4909</v>
      </c>
      <c r="F5319" t="s">
        <v>4909</v>
      </c>
      <c r="G5319" s="88">
        <v>1E-3</v>
      </c>
      <c r="H5319" t="s">
        <v>4909</v>
      </c>
      <c r="I5319" s="88">
        <v>0</v>
      </c>
      <c r="J5319" t="s">
        <v>4909</v>
      </c>
      <c r="K5319" t="s">
        <v>4909</v>
      </c>
    </row>
    <row r="5320" spans="1:11" x14ac:dyDescent="0.2">
      <c r="A5320" t="s">
        <v>4361</v>
      </c>
      <c r="B5320" s="88">
        <v>1.2E-2</v>
      </c>
      <c r="C5320" t="s">
        <v>4909</v>
      </c>
      <c r="D5320" t="s">
        <v>4909</v>
      </c>
      <c r="E5320" t="s">
        <v>4909</v>
      </c>
      <c r="F5320" s="88">
        <v>0</v>
      </c>
      <c r="G5320" s="88">
        <v>1.2E-2</v>
      </c>
      <c r="H5320" t="s">
        <v>4909</v>
      </c>
      <c r="I5320" s="88">
        <v>7.0000000000000001E-3</v>
      </c>
      <c r="J5320" t="s">
        <v>4909</v>
      </c>
      <c r="K5320" s="88">
        <v>0</v>
      </c>
    </row>
    <row r="5321" spans="1:11" x14ac:dyDescent="0.2">
      <c r="A5321" t="s">
        <v>4362</v>
      </c>
      <c r="B5321" t="s">
        <v>4909</v>
      </c>
      <c r="C5321" t="s">
        <v>4909</v>
      </c>
      <c r="D5321" t="s">
        <v>4909</v>
      </c>
      <c r="E5321" t="s">
        <v>4909</v>
      </c>
      <c r="F5321" t="s">
        <v>4909</v>
      </c>
      <c r="G5321" t="s">
        <v>4909</v>
      </c>
      <c r="H5321" t="s">
        <v>4909</v>
      </c>
      <c r="I5321" t="s">
        <v>4909</v>
      </c>
      <c r="J5321" t="s">
        <v>4909</v>
      </c>
      <c r="K5321" t="s">
        <v>4909</v>
      </c>
    </row>
    <row r="5322" spans="1:11" x14ac:dyDescent="0.2">
      <c r="A5322" t="s">
        <v>4363</v>
      </c>
      <c r="B5322" s="88">
        <v>2E-3</v>
      </c>
      <c r="C5322" t="s">
        <v>4909</v>
      </c>
      <c r="D5322" t="s">
        <v>4909</v>
      </c>
      <c r="E5322" t="s">
        <v>4909</v>
      </c>
      <c r="F5322" t="s">
        <v>4909</v>
      </c>
      <c r="G5322" s="88">
        <v>2E-3</v>
      </c>
      <c r="H5322" t="s">
        <v>4909</v>
      </c>
      <c r="I5322" t="s">
        <v>4909</v>
      </c>
      <c r="J5322" t="s">
        <v>4909</v>
      </c>
      <c r="K5322" t="s">
        <v>4909</v>
      </c>
    </row>
    <row r="5323" spans="1:11" x14ac:dyDescent="0.2">
      <c r="A5323" t="s">
        <v>4364</v>
      </c>
      <c r="B5323" t="s">
        <v>4909</v>
      </c>
      <c r="C5323" t="s">
        <v>4909</v>
      </c>
      <c r="D5323" t="s">
        <v>4909</v>
      </c>
      <c r="E5323" t="s">
        <v>4909</v>
      </c>
      <c r="F5323" t="s">
        <v>4909</v>
      </c>
      <c r="G5323" t="s">
        <v>4909</v>
      </c>
      <c r="H5323" t="s">
        <v>4909</v>
      </c>
      <c r="I5323" t="s">
        <v>4909</v>
      </c>
      <c r="J5323" t="s">
        <v>4909</v>
      </c>
      <c r="K5323" t="s">
        <v>4909</v>
      </c>
    </row>
    <row r="5324" spans="1:11" x14ac:dyDescent="0.2">
      <c r="A5324" t="s">
        <v>4365</v>
      </c>
      <c r="B5324" s="88">
        <v>5.0000000000000001E-3</v>
      </c>
      <c r="C5324" t="s">
        <v>4909</v>
      </c>
      <c r="D5324" t="s">
        <v>4909</v>
      </c>
      <c r="E5324" t="s">
        <v>4909</v>
      </c>
      <c r="F5324" s="88">
        <v>0</v>
      </c>
      <c r="G5324" s="88">
        <v>5.6000000000000001E-2</v>
      </c>
      <c r="H5324" t="s">
        <v>4909</v>
      </c>
      <c r="I5324" s="88">
        <v>3.4000000000000002E-2</v>
      </c>
      <c r="J5324" t="s">
        <v>4909</v>
      </c>
      <c r="K5324" s="88">
        <v>1E-3</v>
      </c>
    </row>
    <row r="5325" spans="1:11" x14ac:dyDescent="0.2">
      <c r="A5325" t="s">
        <v>4366</v>
      </c>
      <c r="B5325" t="s">
        <v>4909</v>
      </c>
      <c r="C5325" t="s">
        <v>4909</v>
      </c>
      <c r="D5325" t="s">
        <v>4909</v>
      </c>
      <c r="E5325" t="s">
        <v>4909</v>
      </c>
      <c r="F5325" t="s">
        <v>4909</v>
      </c>
      <c r="G5325" t="s">
        <v>4909</v>
      </c>
      <c r="H5325" t="s">
        <v>4909</v>
      </c>
      <c r="I5325" t="s">
        <v>4909</v>
      </c>
      <c r="J5325" t="s">
        <v>4909</v>
      </c>
      <c r="K5325" t="s">
        <v>4909</v>
      </c>
    </row>
    <row r="5326" spans="1:11" x14ac:dyDescent="0.2">
      <c r="A5326" t="s">
        <v>4367</v>
      </c>
      <c r="B5326" t="s">
        <v>4909</v>
      </c>
      <c r="C5326" t="s">
        <v>4909</v>
      </c>
      <c r="D5326" t="s">
        <v>4909</v>
      </c>
      <c r="E5326" t="s">
        <v>4909</v>
      </c>
      <c r="F5326" t="s">
        <v>4909</v>
      </c>
      <c r="G5326" t="s">
        <v>4909</v>
      </c>
      <c r="H5326" t="s">
        <v>4909</v>
      </c>
      <c r="I5326" t="s">
        <v>4909</v>
      </c>
      <c r="J5326" t="s">
        <v>4909</v>
      </c>
      <c r="K5326" t="s">
        <v>4909</v>
      </c>
    </row>
    <row r="5327" spans="1:11" x14ac:dyDescent="0.2">
      <c r="A5327" t="s">
        <v>4368</v>
      </c>
      <c r="B5327" s="88">
        <v>6.0000000000000001E-3</v>
      </c>
      <c r="C5327" t="s">
        <v>4909</v>
      </c>
      <c r="D5327" t="s">
        <v>4909</v>
      </c>
      <c r="E5327" t="s">
        <v>4909</v>
      </c>
      <c r="F5327" s="88">
        <v>0</v>
      </c>
      <c r="G5327" s="88">
        <v>5.2999999999999999E-2</v>
      </c>
      <c r="H5327" t="s">
        <v>4909</v>
      </c>
      <c r="I5327" s="88">
        <v>3.2000000000000001E-2</v>
      </c>
      <c r="J5327" t="s">
        <v>4909</v>
      </c>
      <c r="K5327" s="88">
        <v>1E-3</v>
      </c>
    </row>
    <row r="5328" spans="1:11" x14ac:dyDescent="0.2">
      <c r="A5328" t="s">
        <v>4369</v>
      </c>
      <c r="B5328" s="88">
        <v>3.0000000000000001E-3</v>
      </c>
      <c r="C5328" t="s">
        <v>4909</v>
      </c>
      <c r="D5328" t="s">
        <v>4909</v>
      </c>
      <c r="E5328" t="s">
        <v>4909</v>
      </c>
      <c r="F5328" s="88">
        <v>0</v>
      </c>
      <c r="G5328" s="88">
        <v>2.8000000000000001E-2</v>
      </c>
      <c r="H5328" s="88">
        <v>0</v>
      </c>
      <c r="I5328" s="88">
        <v>1.7000000000000001E-2</v>
      </c>
      <c r="J5328" t="s">
        <v>4909</v>
      </c>
      <c r="K5328" s="88">
        <v>0</v>
      </c>
    </row>
    <row r="5329" spans="1:11" x14ac:dyDescent="0.2">
      <c r="A5329" t="s">
        <v>4370</v>
      </c>
      <c r="B5329" s="88">
        <v>8.0000000000000002E-3</v>
      </c>
      <c r="C5329" t="s">
        <v>4909</v>
      </c>
      <c r="D5329" t="s">
        <v>4909</v>
      </c>
      <c r="E5329" t="s">
        <v>4909</v>
      </c>
      <c r="F5329" t="s">
        <v>4909</v>
      </c>
      <c r="G5329" s="88">
        <v>7.9000000000000001E-2</v>
      </c>
      <c r="H5329" t="s">
        <v>4909</v>
      </c>
      <c r="I5329" s="88">
        <v>4.8000000000000001E-2</v>
      </c>
      <c r="J5329" t="s">
        <v>4909</v>
      </c>
      <c r="K5329" s="88">
        <v>1E-3</v>
      </c>
    </row>
    <row r="5330" spans="1:11" x14ac:dyDescent="0.2">
      <c r="A5330" t="s">
        <v>4371</v>
      </c>
      <c r="B5330" s="88">
        <v>8.9999999999999993E-3</v>
      </c>
      <c r="C5330" t="s">
        <v>4909</v>
      </c>
      <c r="D5330" t="s">
        <v>4909</v>
      </c>
      <c r="E5330" t="s">
        <v>4909</v>
      </c>
      <c r="F5330" t="s">
        <v>4909</v>
      </c>
      <c r="G5330" s="88">
        <v>0.108</v>
      </c>
      <c r="H5330" t="s">
        <v>4909</v>
      </c>
      <c r="I5330" s="88">
        <v>6.7000000000000004E-2</v>
      </c>
      <c r="J5330" t="s">
        <v>4909</v>
      </c>
      <c r="K5330" t="s">
        <v>4909</v>
      </c>
    </row>
    <row r="5331" spans="1:11" x14ac:dyDescent="0.2">
      <c r="A5331" t="s">
        <v>4372</v>
      </c>
      <c r="B5331" t="s">
        <v>4909</v>
      </c>
      <c r="C5331" t="s">
        <v>4909</v>
      </c>
      <c r="D5331" t="s">
        <v>4909</v>
      </c>
      <c r="E5331" t="s">
        <v>4909</v>
      </c>
      <c r="F5331" t="s">
        <v>4909</v>
      </c>
      <c r="G5331" t="s">
        <v>4909</v>
      </c>
      <c r="H5331" t="s">
        <v>4909</v>
      </c>
      <c r="I5331" t="s">
        <v>4909</v>
      </c>
      <c r="J5331" t="s">
        <v>4909</v>
      </c>
      <c r="K5331" t="s">
        <v>4909</v>
      </c>
    </row>
    <row r="5332" spans="1:11" x14ac:dyDescent="0.2">
      <c r="A5332" t="s">
        <v>4373</v>
      </c>
      <c r="B5332" s="88">
        <v>0</v>
      </c>
      <c r="C5332" t="s">
        <v>4909</v>
      </c>
      <c r="D5332" t="s">
        <v>4909</v>
      </c>
      <c r="E5332" t="s">
        <v>4909</v>
      </c>
      <c r="F5332" t="s">
        <v>4909</v>
      </c>
      <c r="G5332" s="88">
        <v>0</v>
      </c>
      <c r="H5332" t="s">
        <v>4909</v>
      </c>
      <c r="I5332" s="88">
        <v>0</v>
      </c>
      <c r="J5332" t="s">
        <v>4909</v>
      </c>
      <c r="K5332" t="s">
        <v>4909</v>
      </c>
    </row>
    <row r="5333" spans="1:11" x14ac:dyDescent="0.2">
      <c r="A5333" t="s">
        <v>4374</v>
      </c>
      <c r="B5333" t="s">
        <v>4909</v>
      </c>
      <c r="C5333" t="s">
        <v>4909</v>
      </c>
      <c r="D5333" t="s">
        <v>4909</v>
      </c>
      <c r="E5333" t="s">
        <v>4909</v>
      </c>
      <c r="F5333" t="s">
        <v>4909</v>
      </c>
      <c r="G5333" t="s">
        <v>4909</v>
      </c>
      <c r="H5333" t="s">
        <v>4909</v>
      </c>
      <c r="I5333" t="s">
        <v>4909</v>
      </c>
      <c r="J5333" t="s">
        <v>4909</v>
      </c>
      <c r="K5333" t="s">
        <v>4909</v>
      </c>
    </row>
    <row r="5334" spans="1:11" x14ac:dyDescent="0.2">
      <c r="A5334" t="s">
        <v>4375</v>
      </c>
      <c r="B5334" s="88">
        <v>0</v>
      </c>
      <c r="C5334" t="s">
        <v>4909</v>
      </c>
      <c r="D5334" t="s">
        <v>4909</v>
      </c>
      <c r="E5334" t="s">
        <v>4909</v>
      </c>
      <c r="F5334" t="s">
        <v>4909</v>
      </c>
      <c r="G5334" s="88">
        <v>0</v>
      </c>
      <c r="H5334" t="s">
        <v>4909</v>
      </c>
      <c r="I5334" s="88">
        <v>0</v>
      </c>
      <c r="J5334" t="s">
        <v>4909</v>
      </c>
      <c r="K5334" t="s">
        <v>4909</v>
      </c>
    </row>
    <row r="5335" spans="1:11" x14ac:dyDescent="0.2">
      <c r="A5335" t="s">
        <v>4376</v>
      </c>
      <c r="B5335" t="s">
        <v>4909</v>
      </c>
      <c r="C5335" t="s">
        <v>4909</v>
      </c>
      <c r="D5335" t="s">
        <v>4909</v>
      </c>
      <c r="E5335" t="s">
        <v>4909</v>
      </c>
      <c r="F5335" t="s">
        <v>4909</v>
      </c>
      <c r="G5335" t="s">
        <v>4909</v>
      </c>
      <c r="H5335" t="s">
        <v>4909</v>
      </c>
      <c r="I5335" t="s">
        <v>4909</v>
      </c>
      <c r="J5335" t="s">
        <v>4909</v>
      </c>
      <c r="K5335" t="s">
        <v>4909</v>
      </c>
    </row>
    <row r="5336" spans="1:11" x14ac:dyDescent="0.2">
      <c r="A5336" t="s">
        <v>4377</v>
      </c>
      <c r="B5336" t="s">
        <v>4909</v>
      </c>
      <c r="C5336" t="s">
        <v>4909</v>
      </c>
      <c r="D5336" t="s">
        <v>4909</v>
      </c>
      <c r="E5336" t="s">
        <v>4909</v>
      </c>
      <c r="F5336" t="s">
        <v>4909</v>
      </c>
      <c r="G5336" t="s">
        <v>4909</v>
      </c>
      <c r="H5336" t="s">
        <v>4909</v>
      </c>
      <c r="I5336" t="s">
        <v>4909</v>
      </c>
      <c r="J5336" t="s">
        <v>4909</v>
      </c>
      <c r="K5336" t="s">
        <v>4909</v>
      </c>
    </row>
    <row r="5337" spans="1:11" x14ac:dyDescent="0.2">
      <c r="A5337" t="s">
        <v>2318</v>
      </c>
      <c r="B5337" t="s">
        <v>4399</v>
      </c>
      <c r="C5337" t="s">
        <v>4399</v>
      </c>
      <c r="D5337" t="s">
        <v>4399</v>
      </c>
      <c r="E5337" t="s">
        <v>4399</v>
      </c>
      <c r="F5337" t="s">
        <v>4399</v>
      </c>
      <c r="G5337" t="s">
        <v>4399</v>
      </c>
      <c r="H5337" t="s">
        <v>4399</v>
      </c>
      <c r="I5337" t="s">
        <v>4399</v>
      </c>
      <c r="J5337" t="s">
        <v>4399</v>
      </c>
      <c r="K5337" t="s">
        <v>4399</v>
      </c>
    </row>
    <row r="5338" spans="1:11" x14ac:dyDescent="0.2">
      <c r="A5338" t="s">
        <v>4248</v>
      </c>
    </row>
    <row r="5339" spans="1:11" x14ac:dyDescent="0.2">
      <c r="A5339" t="s">
        <v>4910</v>
      </c>
      <c r="B5339" t="s">
        <v>4904</v>
      </c>
      <c r="C5339" t="s">
        <v>4911</v>
      </c>
      <c r="D5339" t="s">
        <v>4912</v>
      </c>
      <c r="E5339" t="s">
        <v>4907</v>
      </c>
      <c r="F5339" t="s">
        <v>4913</v>
      </c>
      <c r="G5339">
        <v>2</v>
      </c>
    </row>
    <row r="5340" spans="1:11" x14ac:dyDescent="0.2">
      <c r="A5340" t="s">
        <v>2318</v>
      </c>
      <c r="B5340" t="s">
        <v>4399</v>
      </c>
      <c r="C5340" t="s">
        <v>4399</v>
      </c>
      <c r="D5340" t="s">
        <v>4399</v>
      </c>
      <c r="E5340" t="s">
        <v>4399</v>
      </c>
      <c r="F5340" t="s">
        <v>4399</v>
      </c>
      <c r="G5340" t="s">
        <v>4399</v>
      </c>
      <c r="H5340" t="s">
        <v>4399</v>
      </c>
      <c r="I5340" t="s">
        <v>4399</v>
      </c>
      <c r="J5340" t="s">
        <v>4399</v>
      </c>
      <c r="K5340" t="s">
        <v>4399</v>
      </c>
    </row>
    <row r="5341" spans="1:11" x14ac:dyDescent="0.2">
      <c r="A5341" t="s">
        <v>126</v>
      </c>
      <c r="B5341" t="s">
        <v>4424</v>
      </c>
      <c r="C5341" t="s">
        <v>4428</v>
      </c>
      <c r="D5341" t="s">
        <v>4432</v>
      </c>
      <c r="E5341" t="s">
        <v>4436</v>
      </c>
      <c r="F5341" t="s">
        <v>4440</v>
      </c>
      <c r="G5341" t="s">
        <v>4444</v>
      </c>
      <c r="H5341" t="s">
        <v>4448</v>
      </c>
      <c r="I5341" t="s">
        <v>4452</v>
      </c>
      <c r="J5341" t="s">
        <v>368</v>
      </c>
      <c r="K5341" t="s">
        <v>369</v>
      </c>
    </row>
    <row r="5342" spans="1:11" x14ac:dyDescent="0.2">
      <c r="A5342" t="s">
        <v>2318</v>
      </c>
      <c r="B5342" t="s">
        <v>4399</v>
      </c>
      <c r="C5342" t="s">
        <v>4399</v>
      </c>
      <c r="D5342" t="s">
        <v>4399</v>
      </c>
      <c r="E5342" t="s">
        <v>4399</v>
      </c>
      <c r="F5342" t="s">
        <v>4399</v>
      </c>
      <c r="G5342" t="s">
        <v>4399</v>
      </c>
      <c r="H5342" t="s">
        <v>4399</v>
      </c>
      <c r="I5342" t="s">
        <v>4399</v>
      </c>
      <c r="J5342" t="s">
        <v>4399</v>
      </c>
      <c r="K5342" t="s">
        <v>4399</v>
      </c>
    </row>
    <row r="5343" spans="1:11" x14ac:dyDescent="0.2">
      <c r="A5343" t="s">
        <v>4265</v>
      </c>
      <c r="B5343" t="s">
        <v>4909</v>
      </c>
      <c r="C5343" t="s">
        <v>4909</v>
      </c>
      <c r="D5343" t="s">
        <v>4909</v>
      </c>
      <c r="E5343" t="s">
        <v>4909</v>
      </c>
      <c r="F5343" t="s">
        <v>4909</v>
      </c>
      <c r="G5343" t="s">
        <v>4909</v>
      </c>
      <c r="H5343" t="s">
        <v>4909</v>
      </c>
      <c r="I5343" t="s">
        <v>4909</v>
      </c>
      <c r="J5343" t="s">
        <v>4909</v>
      </c>
      <c r="K5343" t="s">
        <v>4909</v>
      </c>
    </row>
    <row r="5344" spans="1:11" x14ac:dyDescent="0.2">
      <c r="A5344" t="s">
        <v>4266</v>
      </c>
      <c r="B5344" t="s">
        <v>4909</v>
      </c>
      <c r="C5344" t="s">
        <v>4909</v>
      </c>
      <c r="D5344" t="s">
        <v>4909</v>
      </c>
      <c r="E5344" t="s">
        <v>4909</v>
      </c>
      <c r="F5344" t="s">
        <v>4909</v>
      </c>
      <c r="G5344" t="s">
        <v>4909</v>
      </c>
      <c r="H5344" t="s">
        <v>4909</v>
      </c>
      <c r="I5344" t="s">
        <v>4909</v>
      </c>
      <c r="J5344" t="s">
        <v>4909</v>
      </c>
      <c r="K5344" t="s">
        <v>4909</v>
      </c>
    </row>
    <row r="5345" spans="1:11" x14ac:dyDescent="0.2">
      <c r="A5345" t="s">
        <v>4267</v>
      </c>
      <c r="B5345" t="s">
        <v>4909</v>
      </c>
      <c r="C5345" t="s">
        <v>4909</v>
      </c>
      <c r="D5345" t="s">
        <v>4909</v>
      </c>
      <c r="E5345" t="s">
        <v>4909</v>
      </c>
      <c r="F5345" t="s">
        <v>4909</v>
      </c>
      <c r="G5345" t="s">
        <v>4909</v>
      </c>
      <c r="H5345" t="s">
        <v>4909</v>
      </c>
      <c r="I5345" t="s">
        <v>4909</v>
      </c>
      <c r="J5345" t="s">
        <v>4909</v>
      </c>
      <c r="K5345" t="s">
        <v>4909</v>
      </c>
    </row>
    <row r="5346" spans="1:11" x14ac:dyDescent="0.2">
      <c r="A5346" t="s">
        <v>4268</v>
      </c>
      <c r="B5346" t="s">
        <v>4909</v>
      </c>
      <c r="C5346" t="s">
        <v>4909</v>
      </c>
      <c r="D5346" t="s">
        <v>4909</v>
      </c>
      <c r="E5346" t="s">
        <v>4909</v>
      </c>
      <c r="F5346" t="s">
        <v>4909</v>
      </c>
      <c r="G5346" t="s">
        <v>4909</v>
      </c>
      <c r="H5346" t="s">
        <v>4909</v>
      </c>
      <c r="I5346" t="s">
        <v>4909</v>
      </c>
      <c r="J5346" t="s">
        <v>4909</v>
      </c>
      <c r="K5346" t="s">
        <v>4909</v>
      </c>
    </row>
    <row r="5347" spans="1:11" x14ac:dyDescent="0.2">
      <c r="A5347" t="s">
        <v>4269</v>
      </c>
      <c r="B5347" t="s">
        <v>4909</v>
      </c>
      <c r="C5347" t="s">
        <v>4909</v>
      </c>
      <c r="D5347" t="s">
        <v>4909</v>
      </c>
      <c r="E5347" t="s">
        <v>4909</v>
      </c>
      <c r="F5347" t="s">
        <v>4909</v>
      </c>
      <c r="G5347" t="s">
        <v>4909</v>
      </c>
      <c r="H5347" t="s">
        <v>4909</v>
      </c>
      <c r="I5347" t="s">
        <v>4909</v>
      </c>
      <c r="J5347" t="s">
        <v>4909</v>
      </c>
      <c r="K5347" t="s">
        <v>4909</v>
      </c>
    </row>
    <row r="5348" spans="1:11" x14ac:dyDescent="0.2">
      <c r="A5348" t="s">
        <v>4270</v>
      </c>
      <c r="B5348" t="s">
        <v>4909</v>
      </c>
      <c r="C5348" t="s">
        <v>4909</v>
      </c>
      <c r="D5348" t="s">
        <v>4909</v>
      </c>
      <c r="E5348" t="s">
        <v>4909</v>
      </c>
      <c r="F5348" t="s">
        <v>4909</v>
      </c>
      <c r="G5348" t="s">
        <v>4909</v>
      </c>
      <c r="H5348" t="s">
        <v>4909</v>
      </c>
      <c r="I5348" t="s">
        <v>4909</v>
      </c>
      <c r="J5348" t="s">
        <v>4909</v>
      </c>
      <c r="K5348" t="s">
        <v>4909</v>
      </c>
    </row>
    <row r="5349" spans="1:11" x14ac:dyDescent="0.2">
      <c r="A5349" t="s">
        <v>4271</v>
      </c>
      <c r="B5349" t="s">
        <v>4909</v>
      </c>
      <c r="C5349" t="s">
        <v>4909</v>
      </c>
      <c r="D5349" t="s">
        <v>4909</v>
      </c>
      <c r="E5349" t="s">
        <v>4909</v>
      </c>
      <c r="F5349" t="s">
        <v>4909</v>
      </c>
      <c r="G5349" t="s">
        <v>4909</v>
      </c>
      <c r="H5349" t="s">
        <v>4909</v>
      </c>
      <c r="I5349" t="s">
        <v>4909</v>
      </c>
      <c r="J5349" t="s">
        <v>4909</v>
      </c>
      <c r="K5349" t="s">
        <v>4909</v>
      </c>
    </row>
    <row r="5350" spans="1:11" x14ac:dyDescent="0.2">
      <c r="A5350" t="s">
        <v>4272</v>
      </c>
      <c r="B5350" t="s">
        <v>4909</v>
      </c>
      <c r="C5350" t="s">
        <v>4909</v>
      </c>
      <c r="D5350" t="s">
        <v>4909</v>
      </c>
      <c r="E5350" t="s">
        <v>4909</v>
      </c>
      <c r="F5350" t="s">
        <v>4909</v>
      </c>
      <c r="G5350" t="s">
        <v>4909</v>
      </c>
      <c r="H5350" t="s">
        <v>4909</v>
      </c>
      <c r="I5350" t="s">
        <v>4909</v>
      </c>
      <c r="J5350" t="s">
        <v>4909</v>
      </c>
      <c r="K5350" t="s">
        <v>4909</v>
      </c>
    </row>
    <row r="5351" spans="1:11" x14ac:dyDescent="0.2">
      <c r="A5351" t="s">
        <v>4273</v>
      </c>
      <c r="B5351" t="s">
        <v>4909</v>
      </c>
      <c r="C5351" t="s">
        <v>4909</v>
      </c>
      <c r="D5351" t="s">
        <v>4909</v>
      </c>
      <c r="E5351" t="s">
        <v>4909</v>
      </c>
      <c r="F5351" t="s">
        <v>4909</v>
      </c>
      <c r="G5351" t="s">
        <v>4909</v>
      </c>
      <c r="H5351" t="s">
        <v>4909</v>
      </c>
      <c r="I5351" t="s">
        <v>4909</v>
      </c>
      <c r="J5351" t="s">
        <v>4909</v>
      </c>
      <c r="K5351" t="s">
        <v>4909</v>
      </c>
    </row>
    <row r="5352" spans="1:11" x14ac:dyDescent="0.2">
      <c r="A5352" t="s">
        <v>4274</v>
      </c>
      <c r="B5352" t="s">
        <v>4909</v>
      </c>
      <c r="C5352" t="s">
        <v>4909</v>
      </c>
      <c r="D5352" t="s">
        <v>4909</v>
      </c>
      <c r="E5352" t="s">
        <v>4909</v>
      </c>
      <c r="F5352" t="s">
        <v>4909</v>
      </c>
      <c r="G5352" t="s">
        <v>4909</v>
      </c>
      <c r="H5352" t="s">
        <v>4909</v>
      </c>
      <c r="I5352" t="s">
        <v>4909</v>
      </c>
      <c r="J5352" t="s">
        <v>4909</v>
      </c>
      <c r="K5352" t="s">
        <v>4909</v>
      </c>
    </row>
    <row r="5353" spans="1:11" x14ac:dyDescent="0.2">
      <c r="A5353" t="s">
        <v>4275</v>
      </c>
      <c r="B5353" t="s">
        <v>4909</v>
      </c>
      <c r="C5353" t="s">
        <v>4909</v>
      </c>
      <c r="D5353" t="s">
        <v>4909</v>
      </c>
      <c r="E5353" t="s">
        <v>4909</v>
      </c>
      <c r="F5353" t="s">
        <v>4909</v>
      </c>
      <c r="G5353" t="s">
        <v>4909</v>
      </c>
      <c r="H5353" t="s">
        <v>4909</v>
      </c>
      <c r="I5353" t="s">
        <v>4909</v>
      </c>
      <c r="J5353" t="s">
        <v>4909</v>
      </c>
      <c r="K5353" t="s">
        <v>4909</v>
      </c>
    </row>
    <row r="5354" spans="1:11" x14ac:dyDescent="0.2">
      <c r="A5354" t="s">
        <v>4276</v>
      </c>
      <c r="B5354" t="s">
        <v>4909</v>
      </c>
      <c r="C5354" t="s">
        <v>4909</v>
      </c>
      <c r="D5354" t="s">
        <v>4909</v>
      </c>
      <c r="E5354" t="s">
        <v>4909</v>
      </c>
      <c r="F5354" t="s">
        <v>4909</v>
      </c>
      <c r="G5354" t="s">
        <v>4909</v>
      </c>
      <c r="H5354" t="s">
        <v>4909</v>
      </c>
      <c r="I5354" t="s">
        <v>4909</v>
      </c>
      <c r="J5354" t="s">
        <v>4909</v>
      </c>
      <c r="K5354" t="s">
        <v>4909</v>
      </c>
    </row>
    <row r="5355" spans="1:11" x14ac:dyDescent="0.2">
      <c r="A5355" t="s">
        <v>4277</v>
      </c>
      <c r="B5355" t="s">
        <v>4909</v>
      </c>
      <c r="C5355" t="s">
        <v>4909</v>
      </c>
      <c r="D5355" t="s">
        <v>4909</v>
      </c>
      <c r="E5355" t="s">
        <v>4909</v>
      </c>
      <c r="F5355" t="s">
        <v>4909</v>
      </c>
      <c r="G5355" t="s">
        <v>4909</v>
      </c>
      <c r="H5355" t="s">
        <v>4909</v>
      </c>
      <c r="I5355" t="s">
        <v>4909</v>
      </c>
      <c r="J5355" t="s">
        <v>4909</v>
      </c>
      <c r="K5355" t="s">
        <v>4909</v>
      </c>
    </row>
    <row r="5356" spans="1:11" x14ac:dyDescent="0.2">
      <c r="A5356" t="s">
        <v>4278</v>
      </c>
      <c r="B5356" t="s">
        <v>4909</v>
      </c>
      <c r="C5356" t="s">
        <v>4909</v>
      </c>
      <c r="D5356" t="s">
        <v>4909</v>
      </c>
      <c r="E5356" t="s">
        <v>4909</v>
      </c>
      <c r="F5356" t="s">
        <v>4909</v>
      </c>
      <c r="G5356" t="s">
        <v>4909</v>
      </c>
      <c r="H5356" t="s">
        <v>4909</v>
      </c>
      <c r="I5356" t="s">
        <v>4909</v>
      </c>
      <c r="J5356" t="s">
        <v>4909</v>
      </c>
      <c r="K5356" t="s">
        <v>4909</v>
      </c>
    </row>
    <row r="5357" spans="1:11" x14ac:dyDescent="0.2">
      <c r="A5357" t="s">
        <v>4279</v>
      </c>
      <c r="B5357" t="s">
        <v>4909</v>
      </c>
      <c r="C5357" t="s">
        <v>4909</v>
      </c>
      <c r="D5357" t="s">
        <v>4909</v>
      </c>
      <c r="E5357" t="s">
        <v>4909</v>
      </c>
      <c r="F5357" t="s">
        <v>4909</v>
      </c>
      <c r="G5357" t="s">
        <v>4909</v>
      </c>
      <c r="H5357" t="s">
        <v>4909</v>
      </c>
      <c r="I5357" t="s">
        <v>4909</v>
      </c>
      <c r="J5357" t="s">
        <v>4909</v>
      </c>
      <c r="K5357" t="s">
        <v>4909</v>
      </c>
    </row>
    <row r="5358" spans="1:11" x14ac:dyDescent="0.2">
      <c r="A5358" t="s">
        <v>4280</v>
      </c>
      <c r="B5358" t="s">
        <v>4909</v>
      </c>
      <c r="C5358" t="s">
        <v>4909</v>
      </c>
      <c r="D5358" t="s">
        <v>4909</v>
      </c>
      <c r="E5358" t="s">
        <v>4909</v>
      </c>
      <c r="F5358" t="s">
        <v>4909</v>
      </c>
      <c r="G5358" t="s">
        <v>4909</v>
      </c>
      <c r="H5358" t="s">
        <v>4909</v>
      </c>
      <c r="I5358" t="s">
        <v>4909</v>
      </c>
      <c r="J5358" t="s">
        <v>4909</v>
      </c>
      <c r="K5358" t="s">
        <v>4909</v>
      </c>
    </row>
    <row r="5359" spans="1:11" x14ac:dyDescent="0.2">
      <c r="A5359" t="s">
        <v>4281</v>
      </c>
      <c r="B5359" t="s">
        <v>4909</v>
      </c>
      <c r="C5359" t="s">
        <v>4909</v>
      </c>
      <c r="D5359" t="s">
        <v>4909</v>
      </c>
      <c r="E5359" t="s">
        <v>4909</v>
      </c>
      <c r="F5359" t="s">
        <v>4909</v>
      </c>
      <c r="G5359" t="s">
        <v>4909</v>
      </c>
      <c r="H5359" s="88">
        <v>1E-3</v>
      </c>
      <c r="I5359" t="s">
        <v>4909</v>
      </c>
      <c r="J5359" t="s">
        <v>4909</v>
      </c>
      <c r="K5359" s="88">
        <v>0</v>
      </c>
    </row>
    <row r="5360" spans="1:11" x14ac:dyDescent="0.2">
      <c r="A5360" t="s">
        <v>4282</v>
      </c>
      <c r="B5360" t="s">
        <v>4909</v>
      </c>
      <c r="C5360" t="s">
        <v>4909</v>
      </c>
      <c r="D5360" t="s">
        <v>4909</v>
      </c>
      <c r="E5360" t="s">
        <v>4909</v>
      </c>
      <c r="F5360" t="s">
        <v>4909</v>
      </c>
      <c r="G5360" t="s">
        <v>4909</v>
      </c>
      <c r="H5360" s="88">
        <v>6.0000000000000001E-3</v>
      </c>
      <c r="I5360" t="s">
        <v>4909</v>
      </c>
      <c r="J5360" t="s">
        <v>4909</v>
      </c>
      <c r="K5360" s="88">
        <v>0</v>
      </c>
    </row>
    <row r="5361" spans="1:11" x14ac:dyDescent="0.2">
      <c r="A5361" t="s">
        <v>4283</v>
      </c>
      <c r="B5361" t="s">
        <v>4909</v>
      </c>
      <c r="C5361" t="s">
        <v>4909</v>
      </c>
      <c r="D5361" t="s">
        <v>4909</v>
      </c>
      <c r="E5361" t="s">
        <v>4909</v>
      </c>
      <c r="F5361" t="s">
        <v>4909</v>
      </c>
      <c r="G5361" t="s">
        <v>4909</v>
      </c>
      <c r="H5361" s="88">
        <v>1E-3</v>
      </c>
      <c r="I5361" t="s">
        <v>4909</v>
      </c>
      <c r="J5361" t="s">
        <v>4909</v>
      </c>
      <c r="K5361" s="88">
        <v>0</v>
      </c>
    </row>
    <row r="5362" spans="1:11" x14ac:dyDescent="0.2">
      <c r="A5362" t="s">
        <v>4284</v>
      </c>
      <c r="B5362" t="s">
        <v>4909</v>
      </c>
      <c r="C5362" t="s">
        <v>4909</v>
      </c>
      <c r="D5362" t="s">
        <v>4909</v>
      </c>
      <c r="E5362" t="s">
        <v>4909</v>
      </c>
      <c r="F5362" t="s">
        <v>4909</v>
      </c>
      <c r="G5362" t="s">
        <v>4909</v>
      </c>
      <c r="H5362" s="88">
        <v>1E-3</v>
      </c>
      <c r="I5362" t="s">
        <v>4909</v>
      </c>
      <c r="J5362" t="s">
        <v>4909</v>
      </c>
      <c r="K5362" t="s">
        <v>4909</v>
      </c>
    </row>
    <row r="5363" spans="1:11" x14ac:dyDescent="0.2">
      <c r="A5363" t="s">
        <v>4285</v>
      </c>
      <c r="B5363" t="s">
        <v>4909</v>
      </c>
      <c r="C5363" t="s">
        <v>4909</v>
      </c>
      <c r="D5363" t="s">
        <v>4909</v>
      </c>
      <c r="E5363" t="s">
        <v>4909</v>
      </c>
      <c r="F5363" t="s">
        <v>4909</v>
      </c>
      <c r="G5363" t="s">
        <v>4909</v>
      </c>
      <c r="H5363" s="88">
        <v>2E-3</v>
      </c>
      <c r="I5363" t="s">
        <v>4909</v>
      </c>
      <c r="J5363" t="s">
        <v>4909</v>
      </c>
      <c r="K5363" s="88">
        <v>0</v>
      </c>
    </row>
    <row r="5364" spans="1:11" x14ac:dyDescent="0.2">
      <c r="A5364" t="s">
        <v>4286</v>
      </c>
      <c r="B5364" t="s">
        <v>4909</v>
      </c>
      <c r="C5364" t="s">
        <v>4909</v>
      </c>
      <c r="D5364" t="s">
        <v>4909</v>
      </c>
      <c r="E5364" t="s">
        <v>4909</v>
      </c>
      <c r="F5364" t="s">
        <v>4909</v>
      </c>
      <c r="G5364" t="s">
        <v>4909</v>
      </c>
      <c r="H5364" s="88">
        <v>7.0000000000000001E-3</v>
      </c>
      <c r="I5364" t="s">
        <v>4909</v>
      </c>
      <c r="J5364" t="s">
        <v>4909</v>
      </c>
      <c r="K5364" t="s">
        <v>4909</v>
      </c>
    </row>
    <row r="5365" spans="1:11" x14ac:dyDescent="0.2">
      <c r="A5365" t="s">
        <v>4287</v>
      </c>
      <c r="B5365" t="s">
        <v>4909</v>
      </c>
      <c r="C5365" t="s">
        <v>4909</v>
      </c>
      <c r="D5365" t="s">
        <v>4909</v>
      </c>
      <c r="E5365" t="s">
        <v>4909</v>
      </c>
      <c r="F5365" t="s">
        <v>4909</v>
      </c>
      <c r="G5365" t="s">
        <v>4909</v>
      </c>
      <c r="H5365" s="88">
        <v>0</v>
      </c>
      <c r="I5365" t="s">
        <v>4909</v>
      </c>
      <c r="J5365" t="s">
        <v>4909</v>
      </c>
      <c r="K5365" t="s">
        <v>4909</v>
      </c>
    </row>
    <row r="5366" spans="1:11" x14ac:dyDescent="0.2">
      <c r="A5366" t="s">
        <v>4288</v>
      </c>
      <c r="B5366" t="s">
        <v>4909</v>
      </c>
      <c r="C5366" t="s">
        <v>4909</v>
      </c>
      <c r="D5366" t="s">
        <v>4909</v>
      </c>
      <c r="E5366" t="s">
        <v>4909</v>
      </c>
      <c r="F5366" t="s">
        <v>4909</v>
      </c>
      <c r="G5366" t="s">
        <v>4909</v>
      </c>
      <c r="H5366" t="s">
        <v>4909</v>
      </c>
      <c r="I5366" t="s">
        <v>4909</v>
      </c>
      <c r="J5366" t="s">
        <v>4909</v>
      </c>
      <c r="K5366" t="s">
        <v>4909</v>
      </c>
    </row>
    <row r="5367" spans="1:11" x14ac:dyDescent="0.2">
      <c r="A5367" t="s">
        <v>4289</v>
      </c>
      <c r="B5367" t="s">
        <v>4909</v>
      </c>
      <c r="C5367" t="s">
        <v>4909</v>
      </c>
      <c r="D5367" t="s">
        <v>4909</v>
      </c>
      <c r="E5367" t="s">
        <v>4909</v>
      </c>
      <c r="F5367" t="s">
        <v>4909</v>
      </c>
      <c r="G5367" t="s">
        <v>4909</v>
      </c>
      <c r="H5367" t="s">
        <v>4909</v>
      </c>
      <c r="I5367" t="s">
        <v>4909</v>
      </c>
      <c r="J5367" t="s">
        <v>4909</v>
      </c>
      <c r="K5367" t="s">
        <v>4909</v>
      </c>
    </row>
    <row r="5368" spans="1:11" x14ac:dyDescent="0.2">
      <c r="A5368" t="s">
        <v>4290</v>
      </c>
      <c r="B5368" t="s">
        <v>4909</v>
      </c>
      <c r="C5368" t="s">
        <v>4909</v>
      </c>
      <c r="D5368" t="s">
        <v>4909</v>
      </c>
      <c r="E5368" t="s">
        <v>4909</v>
      </c>
      <c r="F5368" t="s">
        <v>4909</v>
      </c>
      <c r="G5368" t="s">
        <v>4909</v>
      </c>
      <c r="H5368" t="s">
        <v>4909</v>
      </c>
      <c r="I5368" t="s">
        <v>4909</v>
      </c>
      <c r="J5368" t="s">
        <v>4909</v>
      </c>
      <c r="K5368" t="s">
        <v>4909</v>
      </c>
    </row>
    <row r="5369" spans="1:11" x14ac:dyDescent="0.2">
      <c r="A5369" t="s">
        <v>4291</v>
      </c>
      <c r="B5369" t="s">
        <v>4909</v>
      </c>
      <c r="C5369" t="s">
        <v>4909</v>
      </c>
      <c r="D5369" t="s">
        <v>4909</v>
      </c>
      <c r="E5369" t="s">
        <v>4909</v>
      </c>
      <c r="F5369" t="s">
        <v>4909</v>
      </c>
      <c r="G5369" t="s">
        <v>4909</v>
      </c>
      <c r="H5369" t="s">
        <v>4909</v>
      </c>
      <c r="I5369" t="s">
        <v>4909</v>
      </c>
      <c r="J5369" t="s">
        <v>4909</v>
      </c>
      <c r="K5369" t="s">
        <v>4909</v>
      </c>
    </row>
    <row r="5370" spans="1:11" x14ac:dyDescent="0.2">
      <c r="A5370" t="s">
        <v>4292</v>
      </c>
      <c r="B5370" t="s">
        <v>4909</v>
      </c>
      <c r="C5370" t="s">
        <v>4909</v>
      </c>
      <c r="D5370" t="s">
        <v>4909</v>
      </c>
      <c r="E5370" t="s">
        <v>4909</v>
      </c>
      <c r="F5370" t="s">
        <v>4909</v>
      </c>
      <c r="G5370" t="s">
        <v>4909</v>
      </c>
      <c r="H5370" t="s">
        <v>4909</v>
      </c>
      <c r="I5370" t="s">
        <v>4909</v>
      </c>
      <c r="J5370" t="s">
        <v>4909</v>
      </c>
      <c r="K5370" t="s">
        <v>4909</v>
      </c>
    </row>
    <row r="5371" spans="1:11" x14ac:dyDescent="0.2">
      <c r="A5371" t="s">
        <v>4293</v>
      </c>
      <c r="B5371" t="s">
        <v>4909</v>
      </c>
      <c r="C5371" t="s">
        <v>4909</v>
      </c>
      <c r="D5371" t="s">
        <v>4909</v>
      </c>
      <c r="E5371" t="s">
        <v>4909</v>
      </c>
      <c r="F5371" t="s">
        <v>4909</v>
      </c>
      <c r="G5371" t="s">
        <v>4909</v>
      </c>
      <c r="H5371" t="s">
        <v>4909</v>
      </c>
      <c r="I5371" t="s">
        <v>4909</v>
      </c>
      <c r="J5371" t="s">
        <v>4909</v>
      </c>
      <c r="K5371" t="s">
        <v>4909</v>
      </c>
    </row>
    <row r="5372" spans="1:11" x14ac:dyDescent="0.2">
      <c r="A5372" t="s">
        <v>4294</v>
      </c>
      <c r="B5372" t="s">
        <v>4909</v>
      </c>
      <c r="C5372" t="s">
        <v>4909</v>
      </c>
      <c r="D5372" t="s">
        <v>4909</v>
      </c>
      <c r="E5372" t="s">
        <v>4909</v>
      </c>
      <c r="F5372" t="s">
        <v>4909</v>
      </c>
      <c r="G5372" t="s">
        <v>4909</v>
      </c>
      <c r="H5372" t="s">
        <v>4909</v>
      </c>
      <c r="I5372" t="s">
        <v>4909</v>
      </c>
      <c r="J5372" t="s">
        <v>4909</v>
      </c>
      <c r="K5372" t="s">
        <v>4909</v>
      </c>
    </row>
    <row r="5373" spans="1:11" x14ac:dyDescent="0.2">
      <c r="A5373" t="s">
        <v>4295</v>
      </c>
      <c r="B5373" t="s">
        <v>4909</v>
      </c>
      <c r="C5373" t="s">
        <v>4909</v>
      </c>
      <c r="D5373" t="s">
        <v>4909</v>
      </c>
      <c r="E5373" t="s">
        <v>4909</v>
      </c>
      <c r="F5373" t="s">
        <v>4909</v>
      </c>
      <c r="G5373" t="s">
        <v>4909</v>
      </c>
      <c r="H5373" t="s">
        <v>4909</v>
      </c>
      <c r="I5373" t="s">
        <v>4909</v>
      </c>
      <c r="J5373" t="s">
        <v>4909</v>
      </c>
      <c r="K5373" t="s">
        <v>4909</v>
      </c>
    </row>
    <row r="5374" spans="1:11" x14ac:dyDescent="0.2">
      <c r="A5374" t="s">
        <v>4296</v>
      </c>
      <c r="B5374" t="s">
        <v>4909</v>
      </c>
      <c r="C5374" t="s">
        <v>4909</v>
      </c>
      <c r="D5374" t="s">
        <v>4909</v>
      </c>
      <c r="E5374" t="s">
        <v>4909</v>
      </c>
      <c r="F5374" t="s">
        <v>4909</v>
      </c>
      <c r="G5374" t="s">
        <v>4909</v>
      </c>
      <c r="H5374" t="s">
        <v>4909</v>
      </c>
      <c r="I5374" t="s">
        <v>4909</v>
      </c>
      <c r="J5374" t="s">
        <v>4909</v>
      </c>
      <c r="K5374" t="s">
        <v>4909</v>
      </c>
    </row>
    <row r="5375" spans="1:11" x14ac:dyDescent="0.2">
      <c r="A5375" t="s">
        <v>4297</v>
      </c>
      <c r="B5375" s="88">
        <v>0</v>
      </c>
      <c r="C5375" t="s">
        <v>4909</v>
      </c>
      <c r="D5375" s="88">
        <v>0</v>
      </c>
      <c r="E5375" t="s">
        <v>4909</v>
      </c>
      <c r="F5375" t="s">
        <v>4909</v>
      </c>
      <c r="G5375" t="s">
        <v>4909</v>
      </c>
      <c r="H5375" s="88">
        <v>1E-3</v>
      </c>
      <c r="I5375" t="s">
        <v>4909</v>
      </c>
      <c r="J5375" s="88">
        <v>0</v>
      </c>
      <c r="K5375" s="88">
        <v>0</v>
      </c>
    </row>
    <row r="5376" spans="1:11" x14ac:dyDescent="0.2">
      <c r="A5376" t="s">
        <v>4298</v>
      </c>
      <c r="B5376" t="s">
        <v>4909</v>
      </c>
      <c r="C5376" t="s">
        <v>4909</v>
      </c>
      <c r="D5376" t="s">
        <v>4909</v>
      </c>
      <c r="E5376" t="s">
        <v>4909</v>
      </c>
      <c r="F5376" t="s">
        <v>4909</v>
      </c>
      <c r="G5376" t="s">
        <v>4909</v>
      </c>
      <c r="H5376" s="88">
        <v>8.0000000000000002E-3</v>
      </c>
      <c r="I5376" t="s">
        <v>4909</v>
      </c>
      <c r="J5376" s="88">
        <v>0</v>
      </c>
      <c r="K5376" s="88">
        <v>1E-3</v>
      </c>
    </row>
    <row r="5377" spans="1:11" x14ac:dyDescent="0.2">
      <c r="A5377" t="s">
        <v>4299</v>
      </c>
      <c r="B5377" s="88">
        <v>0</v>
      </c>
      <c r="C5377" t="s">
        <v>4909</v>
      </c>
      <c r="D5377" s="88">
        <v>0</v>
      </c>
      <c r="E5377" t="s">
        <v>4909</v>
      </c>
      <c r="F5377" t="s">
        <v>4909</v>
      </c>
      <c r="G5377" t="s">
        <v>4909</v>
      </c>
      <c r="H5377" s="88">
        <v>1.7999999999999999E-2</v>
      </c>
      <c r="I5377" t="s">
        <v>4909</v>
      </c>
      <c r="J5377" s="88">
        <v>0</v>
      </c>
      <c r="K5377" s="88">
        <v>3.0000000000000001E-3</v>
      </c>
    </row>
    <row r="5378" spans="1:11" x14ac:dyDescent="0.2">
      <c r="A5378" t="s">
        <v>4300</v>
      </c>
      <c r="B5378" t="s">
        <v>4909</v>
      </c>
      <c r="C5378" t="s">
        <v>4909</v>
      </c>
      <c r="D5378" t="s">
        <v>4909</v>
      </c>
      <c r="E5378" t="s">
        <v>4909</v>
      </c>
      <c r="F5378" t="s">
        <v>4909</v>
      </c>
      <c r="G5378" t="s">
        <v>4909</v>
      </c>
      <c r="H5378" s="88">
        <v>2.5999999999999999E-2</v>
      </c>
      <c r="I5378" t="s">
        <v>4909</v>
      </c>
      <c r="J5378" t="s">
        <v>4909</v>
      </c>
      <c r="K5378" s="88">
        <v>1E-3</v>
      </c>
    </row>
    <row r="5379" spans="1:11" x14ac:dyDescent="0.2">
      <c r="A5379" t="s">
        <v>4301</v>
      </c>
      <c r="B5379" s="88">
        <v>0</v>
      </c>
      <c r="C5379" t="s">
        <v>4909</v>
      </c>
      <c r="D5379" s="88">
        <v>0</v>
      </c>
      <c r="E5379" t="s">
        <v>4909</v>
      </c>
      <c r="F5379" t="s">
        <v>4909</v>
      </c>
      <c r="G5379" t="s">
        <v>4909</v>
      </c>
      <c r="H5379" s="88">
        <v>6.0000000000000001E-3</v>
      </c>
      <c r="I5379" t="s">
        <v>4909</v>
      </c>
      <c r="J5379" s="88">
        <v>0</v>
      </c>
      <c r="K5379" s="88">
        <v>2E-3</v>
      </c>
    </row>
    <row r="5380" spans="1:11" x14ac:dyDescent="0.2">
      <c r="A5380" t="s">
        <v>4302</v>
      </c>
      <c r="B5380" s="88">
        <v>0</v>
      </c>
      <c r="C5380" t="s">
        <v>4909</v>
      </c>
      <c r="D5380" s="88">
        <v>0</v>
      </c>
      <c r="E5380" t="s">
        <v>4909</v>
      </c>
      <c r="F5380" t="s">
        <v>4909</v>
      </c>
      <c r="G5380" t="s">
        <v>4909</v>
      </c>
      <c r="H5380" s="88">
        <v>3.2000000000000001E-2</v>
      </c>
      <c r="I5380" t="s">
        <v>4909</v>
      </c>
      <c r="J5380" s="88">
        <v>0</v>
      </c>
      <c r="K5380" s="88">
        <v>6.0000000000000001E-3</v>
      </c>
    </row>
    <row r="5381" spans="1:11" x14ac:dyDescent="0.2">
      <c r="A5381" t="s">
        <v>4303</v>
      </c>
      <c r="B5381" s="88">
        <v>1E-3</v>
      </c>
      <c r="C5381" t="s">
        <v>4909</v>
      </c>
      <c r="D5381" s="88">
        <v>1E-3</v>
      </c>
      <c r="E5381" t="s">
        <v>4909</v>
      </c>
      <c r="F5381" t="s">
        <v>4909</v>
      </c>
      <c r="G5381" t="s">
        <v>4909</v>
      </c>
      <c r="H5381" s="88">
        <v>5.5E-2</v>
      </c>
      <c r="I5381" t="s">
        <v>4909</v>
      </c>
      <c r="J5381" s="88">
        <v>1E-3</v>
      </c>
      <c r="K5381" s="88">
        <v>3.0000000000000001E-3</v>
      </c>
    </row>
    <row r="5382" spans="1:11" x14ac:dyDescent="0.2">
      <c r="A5382" t="s">
        <v>4304</v>
      </c>
      <c r="B5382" s="88">
        <v>0</v>
      </c>
      <c r="C5382" t="s">
        <v>4909</v>
      </c>
      <c r="D5382" s="88">
        <v>0</v>
      </c>
      <c r="E5382" t="s">
        <v>4909</v>
      </c>
      <c r="F5382" t="s">
        <v>4909</v>
      </c>
      <c r="G5382" t="s">
        <v>4909</v>
      </c>
      <c r="H5382" s="88">
        <v>1.4999999999999999E-2</v>
      </c>
      <c r="I5382" t="s">
        <v>4909</v>
      </c>
      <c r="J5382" t="s">
        <v>4909</v>
      </c>
      <c r="K5382" s="88">
        <v>5.0000000000000001E-3</v>
      </c>
    </row>
    <row r="5383" spans="1:11" x14ac:dyDescent="0.2">
      <c r="A5383" t="s">
        <v>4305</v>
      </c>
      <c r="B5383" s="88">
        <v>0</v>
      </c>
      <c r="C5383" t="s">
        <v>4909</v>
      </c>
      <c r="D5383" s="88">
        <v>0</v>
      </c>
      <c r="E5383" t="s">
        <v>4909</v>
      </c>
      <c r="F5383" t="s">
        <v>4909</v>
      </c>
      <c r="G5383" t="s">
        <v>4909</v>
      </c>
      <c r="H5383" s="88">
        <v>4.2000000000000003E-2</v>
      </c>
      <c r="I5383" t="s">
        <v>4909</v>
      </c>
      <c r="J5383" s="88">
        <v>0</v>
      </c>
      <c r="K5383" s="88">
        <v>1.4E-2</v>
      </c>
    </row>
    <row r="5384" spans="1:11" x14ac:dyDescent="0.2">
      <c r="A5384" t="s">
        <v>4306</v>
      </c>
      <c r="B5384" s="88">
        <v>0</v>
      </c>
      <c r="C5384" t="s">
        <v>4909</v>
      </c>
      <c r="D5384" s="88">
        <v>0</v>
      </c>
      <c r="E5384" t="s">
        <v>4909</v>
      </c>
      <c r="F5384" t="s">
        <v>4909</v>
      </c>
      <c r="G5384" t="s">
        <v>4909</v>
      </c>
      <c r="H5384" s="88">
        <v>4.7E-2</v>
      </c>
      <c r="I5384" t="s">
        <v>4909</v>
      </c>
      <c r="J5384" s="88">
        <v>0</v>
      </c>
      <c r="K5384" s="88">
        <v>0.01</v>
      </c>
    </row>
    <row r="5385" spans="1:11" x14ac:dyDescent="0.2">
      <c r="A5385" t="s">
        <v>4307</v>
      </c>
      <c r="B5385" s="88">
        <v>1E-3</v>
      </c>
      <c r="C5385" t="s">
        <v>4909</v>
      </c>
      <c r="D5385" s="88">
        <v>1E-3</v>
      </c>
      <c r="E5385" t="s">
        <v>4909</v>
      </c>
      <c r="F5385" t="s">
        <v>4909</v>
      </c>
      <c r="G5385" t="s">
        <v>4909</v>
      </c>
      <c r="H5385" s="88">
        <v>8.4000000000000005E-2</v>
      </c>
      <c r="I5385" t="s">
        <v>4909</v>
      </c>
      <c r="J5385" s="88">
        <v>1E-3</v>
      </c>
      <c r="K5385" s="88">
        <v>5.0000000000000001E-3</v>
      </c>
    </row>
    <row r="5386" spans="1:11" x14ac:dyDescent="0.2">
      <c r="A5386" t="s">
        <v>4308</v>
      </c>
      <c r="B5386" t="s">
        <v>4909</v>
      </c>
      <c r="C5386" t="s">
        <v>4909</v>
      </c>
      <c r="D5386" t="s">
        <v>4909</v>
      </c>
      <c r="E5386" t="s">
        <v>4909</v>
      </c>
      <c r="F5386" t="s">
        <v>4909</v>
      </c>
      <c r="G5386" t="s">
        <v>4909</v>
      </c>
      <c r="H5386" s="88">
        <v>5.0999999999999997E-2</v>
      </c>
      <c r="I5386" t="s">
        <v>4909</v>
      </c>
      <c r="J5386" t="s">
        <v>4909</v>
      </c>
      <c r="K5386" s="88">
        <v>1E-3</v>
      </c>
    </row>
    <row r="5387" spans="1:11" x14ac:dyDescent="0.2">
      <c r="A5387" t="s">
        <v>4309</v>
      </c>
      <c r="B5387" t="s">
        <v>4909</v>
      </c>
      <c r="C5387" t="s">
        <v>4909</v>
      </c>
      <c r="D5387" t="s">
        <v>4909</v>
      </c>
      <c r="E5387" t="s">
        <v>4909</v>
      </c>
      <c r="F5387" t="s">
        <v>4909</v>
      </c>
      <c r="G5387" t="s">
        <v>4909</v>
      </c>
      <c r="H5387" t="s">
        <v>4909</v>
      </c>
      <c r="I5387" t="s">
        <v>4909</v>
      </c>
      <c r="J5387" t="s">
        <v>4909</v>
      </c>
      <c r="K5387" t="s">
        <v>4909</v>
      </c>
    </row>
    <row r="5388" spans="1:11" x14ac:dyDescent="0.2">
      <c r="A5388" t="s">
        <v>4310</v>
      </c>
      <c r="B5388" t="s">
        <v>4909</v>
      </c>
      <c r="C5388" t="s">
        <v>4909</v>
      </c>
      <c r="D5388" t="s">
        <v>4909</v>
      </c>
      <c r="E5388" t="s">
        <v>4909</v>
      </c>
      <c r="F5388" t="s">
        <v>4909</v>
      </c>
      <c r="G5388" t="s">
        <v>4909</v>
      </c>
      <c r="H5388" t="s">
        <v>4909</v>
      </c>
      <c r="I5388" t="s">
        <v>4909</v>
      </c>
      <c r="J5388" t="s">
        <v>4909</v>
      </c>
      <c r="K5388" t="s">
        <v>4909</v>
      </c>
    </row>
    <row r="5389" spans="1:11" x14ac:dyDescent="0.2">
      <c r="A5389" t="s">
        <v>4311</v>
      </c>
      <c r="B5389" t="s">
        <v>4909</v>
      </c>
      <c r="C5389" t="s">
        <v>4909</v>
      </c>
      <c r="D5389" t="s">
        <v>4909</v>
      </c>
      <c r="E5389" t="s">
        <v>4909</v>
      </c>
      <c r="F5389" t="s">
        <v>4909</v>
      </c>
      <c r="G5389" t="s">
        <v>4909</v>
      </c>
      <c r="H5389" s="88">
        <v>0</v>
      </c>
      <c r="I5389" t="s">
        <v>4909</v>
      </c>
      <c r="J5389" t="s">
        <v>4909</v>
      </c>
      <c r="K5389" t="s">
        <v>4909</v>
      </c>
    </row>
    <row r="5390" spans="1:11" x14ac:dyDescent="0.2">
      <c r="A5390" t="s">
        <v>4312</v>
      </c>
      <c r="B5390" t="s">
        <v>4909</v>
      </c>
      <c r="C5390" t="s">
        <v>4909</v>
      </c>
      <c r="D5390" t="s">
        <v>4909</v>
      </c>
      <c r="E5390" t="s">
        <v>4909</v>
      </c>
      <c r="F5390" t="s">
        <v>4909</v>
      </c>
      <c r="G5390" t="s">
        <v>4909</v>
      </c>
      <c r="H5390" t="s">
        <v>4909</v>
      </c>
      <c r="I5390" t="s">
        <v>4909</v>
      </c>
      <c r="J5390" t="s">
        <v>4909</v>
      </c>
      <c r="K5390" t="s">
        <v>4909</v>
      </c>
    </row>
    <row r="5391" spans="1:11" x14ac:dyDescent="0.2">
      <c r="A5391" t="s">
        <v>4313</v>
      </c>
      <c r="B5391" t="s">
        <v>4909</v>
      </c>
      <c r="C5391" t="s">
        <v>4909</v>
      </c>
      <c r="D5391" t="s">
        <v>4909</v>
      </c>
      <c r="E5391" t="s">
        <v>4909</v>
      </c>
      <c r="F5391" t="s">
        <v>4909</v>
      </c>
      <c r="G5391" t="s">
        <v>4909</v>
      </c>
      <c r="H5391" t="s">
        <v>4909</v>
      </c>
      <c r="I5391" t="s">
        <v>4909</v>
      </c>
      <c r="J5391" t="s">
        <v>4909</v>
      </c>
      <c r="K5391" t="s">
        <v>4909</v>
      </c>
    </row>
    <row r="5392" spans="1:11" x14ac:dyDescent="0.2">
      <c r="A5392" t="s">
        <v>4314</v>
      </c>
      <c r="B5392" t="s">
        <v>4909</v>
      </c>
      <c r="C5392" t="s">
        <v>4909</v>
      </c>
      <c r="D5392" t="s">
        <v>4909</v>
      </c>
      <c r="E5392" t="s">
        <v>4909</v>
      </c>
      <c r="F5392" t="s">
        <v>4909</v>
      </c>
      <c r="G5392" t="s">
        <v>4909</v>
      </c>
      <c r="H5392" t="s">
        <v>4909</v>
      </c>
      <c r="I5392" t="s">
        <v>4909</v>
      </c>
      <c r="J5392" t="s">
        <v>4909</v>
      </c>
      <c r="K5392" t="s">
        <v>4909</v>
      </c>
    </row>
    <row r="5393" spans="1:11" x14ac:dyDescent="0.2">
      <c r="A5393" t="s">
        <v>4315</v>
      </c>
      <c r="B5393" t="s">
        <v>4909</v>
      </c>
      <c r="C5393" t="s">
        <v>4909</v>
      </c>
      <c r="D5393" t="s">
        <v>4909</v>
      </c>
      <c r="E5393" t="s">
        <v>4909</v>
      </c>
      <c r="F5393" t="s">
        <v>4909</v>
      </c>
      <c r="G5393" t="s">
        <v>4909</v>
      </c>
      <c r="H5393" t="s">
        <v>4909</v>
      </c>
      <c r="I5393" t="s">
        <v>4909</v>
      </c>
      <c r="J5393" t="s">
        <v>4909</v>
      </c>
      <c r="K5393" t="s">
        <v>4909</v>
      </c>
    </row>
    <row r="5394" spans="1:11" x14ac:dyDescent="0.2">
      <c r="A5394" t="s">
        <v>4316</v>
      </c>
      <c r="B5394" t="s">
        <v>4909</v>
      </c>
      <c r="C5394" t="s">
        <v>4909</v>
      </c>
      <c r="D5394" t="s">
        <v>4909</v>
      </c>
      <c r="E5394" t="s">
        <v>4909</v>
      </c>
      <c r="F5394" t="s">
        <v>4909</v>
      </c>
      <c r="G5394" t="s">
        <v>4909</v>
      </c>
      <c r="H5394" t="s">
        <v>4909</v>
      </c>
      <c r="I5394" t="s">
        <v>4909</v>
      </c>
      <c r="J5394" t="s">
        <v>4909</v>
      </c>
      <c r="K5394" t="s">
        <v>4909</v>
      </c>
    </row>
    <row r="5395" spans="1:11" x14ac:dyDescent="0.2">
      <c r="A5395" t="s">
        <v>4317</v>
      </c>
      <c r="B5395" t="s">
        <v>4909</v>
      </c>
      <c r="C5395" t="s">
        <v>4909</v>
      </c>
      <c r="D5395" t="s">
        <v>4909</v>
      </c>
      <c r="E5395" t="s">
        <v>4909</v>
      </c>
      <c r="F5395" t="s">
        <v>4909</v>
      </c>
      <c r="G5395" t="s">
        <v>4909</v>
      </c>
      <c r="H5395" t="s">
        <v>4909</v>
      </c>
      <c r="I5395" t="s">
        <v>4909</v>
      </c>
      <c r="J5395" t="s">
        <v>4909</v>
      </c>
      <c r="K5395" t="s">
        <v>4909</v>
      </c>
    </row>
    <row r="5396" spans="1:11" x14ac:dyDescent="0.2">
      <c r="A5396" t="s">
        <v>4318</v>
      </c>
      <c r="B5396" t="s">
        <v>4909</v>
      </c>
      <c r="C5396" t="s">
        <v>4909</v>
      </c>
      <c r="D5396" t="s">
        <v>4909</v>
      </c>
      <c r="E5396" t="s">
        <v>4909</v>
      </c>
      <c r="F5396" t="s">
        <v>4909</v>
      </c>
      <c r="G5396" t="s">
        <v>4909</v>
      </c>
      <c r="H5396" t="s">
        <v>4909</v>
      </c>
      <c r="I5396" t="s">
        <v>4909</v>
      </c>
      <c r="J5396" t="s">
        <v>4909</v>
      </c>
      <c r="K5396" t="s">
        <v>4909</v>
      </c>
    </row>
    <row r="5397" spans="1:11" x14ac:dyDescent="0.2">
      <c r="A5397" t="s">
        <v>4319</v>
      </c>
      <c r="B5397" t="s">
        <v>4909</v>
      </c>
      <c r="C5397" t="s">
        <v>4909</v>
      </c>
      <c r="D5397" t="s">
        <v>4909</v>
      </c>
      <c r="E5397" t="s">
        <v>4909</v>
      </c>
      <c r="F5397" t="s">
        <v>4909</v>
      </c>
      <c r="G5397" t="s">
        <v>4909</v>
      </c>
      <c r="H5397" t="s">
        <v>4909</v>
      </c>
      <c r="I5397" t="s">
        <v>4909</v>
      </c>
      <c r="J5397" t="s">
        <v>4909</v>
      </c>
      <c r="K5397" t="s">
        <v>4909</v>
      </c>
    </row>
    <row r="5398" spans="1:11" x14ac:dyDescent="0.2">
      <c r="A5398" t="s">
        <v>4320</v>
      </c>
      <c r="B5398" t="s">
        <v>4909</v>
      </c>
      <c r="C5398" t="s">
        <v>4909</v>
      </c>
      <c r="D5398" t="s">
        <v>4909</v>
      </c>
      <c r="E5398" t="s">
        <v>4909</v>
      </c>
      <c r="F5398" t="s">
        <v>4909</v>
      </c>
      <c r="G5398" t="s">
        <v>4909</v>
      </c>
      <c r="H5398" t="s">
        <v>4909</v>
      </c>
      <c r="I5398" t="s">
        <v>4909</v>
      </c>
      <c r="J5398" t="s">
        <v>4909</v>
      </c>
      <c r="K5398" t="s">
        <v>4909</v>
      </c>
    </row>
    <row r="5399" spans="1:11" x14ac:dyDescent="0.2">
      <c r="A5399" t="s">
        <v>4321</v>
      </c>
      <c r="B5399" t="s">
        <v>4909</v>
      </c>
      <c r="C5399" t="s">
        <v>4909</v>
      </c>
      <c r="D5399" t="s">
        <v>4909</v>
      </c>
      <c r="E5399" t="s">
        <v>4909</v>
      </c>
      <c r="F5399" t="s">
        <v>4909</v>
      </c>
      <c r="G5399" t="s">
        <v>4909</v>
      </c>
      <c r="H5399" t="s">
        <v>4909</v>
      </c>
      <c r="I5399" t="s">
        <v>4909</v>
      </c>
      <c r="J5399" t="s">
        <v>4909</v>
      </c>
      <c r="K5399" t="s">
        <v>4909</v>
      </c>
    </row>
    <row r="5400" spans="1:11" x14ac:dyDescent="0.2">
      <c r="A5400" t="s">
        <v>4322</v>
      </c>
      <c r="B5400" t="s">
        <v>4909</v>
      </c>
      <c r="C5400" t="s">
        <v>4909</v>
      </c>
      <c r="D5400" t="s">
        <v>4909</v>
      </c>
      <c r="E5400" t="s">
        <v>4909</v>
      </c>
      <c r="F5400" t="s">
        <v>4909</v>
      </c>
      <c r="G5400" t="s">
        <v>4909</v>
      </c>
      <c r="H5400" t="s">
        <v>4909</v>
      </c>
      <c r="I5400" t="s">
        <v>4909</v>
      </c>
      <c r="J5400" t="s">
        <v>4909</v>
      </c>
      <c r="K5400" t="s">
        <v>4909</v>
      </c>
    </row>
    <row r="5401" spans="1:11" x14ac:dyDescent="0.2">
      <c r="A5401" t="s">
        <v>4323</v>
      </c>
      <c r="B5401" t="s">
        <v>4909</v>
      </c>
      <c r="C5401" t="s">
        <v>4909</v>
      </c>
      <c r="D5401" t="s">
        <v>4909</v>
      </c>
      <c r="E5401" t="s">
        <v>4909</v>
      </c>
      <c r="F5401" t="s">
        <v>4909</v>
      </c>
      <c r="G5401" t="s">
        <v>4909</v>
      </c>
      <c r="H5401" t="s">
        <v>4909</v>
      </c>
      <c r="I5401" t="s">
        <v>4909</v>
      </c>
      <c r="J5401" t="s">
        <v>4909</v>
      </c>
      <c r="K5401" t="s">
        <v>4909</v>
      </c>
    </row>
    <row r="5402" spans="1:11" x14ac:dyDescent="0.2">
      <c r="A5402" t="s">
        <v>4324</v>
      </c>
      <c r="B5402" t="s">
        <v>4909</v>
      </c>
      <c r="C5402" t="s">
        <v>4909</v>
      </c>
      <c r="D5402" t="s">
        <v>4909</v>
      </c>
      <c r="E5402" t="s">
        <v>4909</v>
      </c>
      <c r="F5402" t="s">
        <v>4909</v>
      </c>
      <c r="G5402" t="s">
        <v>4909</v>
      </c>
      <c r="H5402" t="s">
        <v>4909</v>
      </c>
      <c r="I5402" t="s">
        <v>4909</v>
      </c>
      <c r="J5402" t="s">
        <v>4909</v>
      </c>
      <c r="K5402" t="s">
        <v>4909</v>
      </c>
    </row>
    <row r="5403" spans="1:11" x14ac:dyDescent="0.2">
      <c r="A5403" t="s">
        <v>4325</v>
      </c>
      <c r="B5403" t="s">
        <v>4909</v>
      </c>
      <c r="C5403" t="s">
        <v>4909</v>
      </c>
      <c r="D5403" t="s">
        <v>4909</v>
      </c>
      <c r="E5403" t="s">
        <v>4909</v>
      </c>
      <c r="F5403" t="s">
        <v>4909</v>
      </c>
      <c r="G5403" t="s">
        <v>4909</v>
      </c>
      <c r="H5403" t="s">
        <v>4909</v>
      </c>
      <c r="I5403" t="s">
        <v>4909</v>
      </c>
      <c r="J5403" t="s">
        <v>4909</v>
      </c>
      <c r="K5403" t="s">
        <v>4909</v>
      </c>
    </row>
    <row r="5404" spans="1:11" x14ac:dyDescent="0.2">
      <c r="A5404" t="s">
        <v>4326</v>
      </c>
      <c r="B5404" t="s">
        <v>4909</v>
      </c>
      <c r="C5404" t="s">
        <v>4909</v>
      </c>
      <c r="D5404" t="s">
        <v>4909</v>
      </c>
      <c r="E5404" t="s">
        <v>4909</v>
      </c>
      <c r="F5404" t="s">
        <v>4909</v>
      </c>
      <c r="G5404" t="s">
        <v>4909</v>
      </c>
      <c r="H5404" t="s">
        <v>4909</v>
      </c>
      <c r="I5404" t="s">
        <v>4909</v>
      </c>
      <c r="J5404" t="s">
        <v>4909</v>
      </c>
      <c r="K5404" t="s">
        <v>4909</v>
      </c>
    </row>
    <row r="5405" spans="1:11" x14ac:dyDescent="0.2">
      <c r="A5405" t="s">
        <v>4327</v>
      </c>
      <c r="B5405" t="s">
        <v>4909</v>
      </c>
      <c r="C5405" t="s">
        <v>4909</v>
      </c>
      <c r="D5405" t="s">
        <v>4909</v>
      </c>
      <c r="E5405" t="s">
        <v>4909</v>
      </c>
      <c r="F5405" t="s">
        <v>4909</v>
      </c>
      <c r="G5405" t="s">
        <v>4909</v>
      </c>
      <c r="H5405" t="s">
        <v>4909</v>
      </c>
      <c r="I5405" t="s">
        <v>4909</v>
      </c>
      <c r="J5405" t="s">
        <v>4909</v>
      </c>
      <c r="K5405" t="s">
        <v>4909</v>
      </c>
    </row>
    <row r="5406" spans="1:11" x14ac:dyDescent="0.2">
      <c r="A5406" t="s">
        <v>4328</v>
      </c>
      <c r="B5406" t="s">
        <v>4909</v>
      </c>
      <c r="C5406" t="s">
        <v>4909</v>
      </c>
      <c r="D5406" t="s">
        <v>4909</v>
      </c>
      <c r="E5406" t="s">
        <v>4909</v>
      </c>
      <c r="F5406" t="s">
        <v>4909</v>
      </c>
      <c r="G5406" t="s">
        <v>4909</v>
      </c>
      <c r="H5406" t="s">
        <v>4909</v>
      </c>
      <c r="I5406" t="s">
        <v>4909</v>
      </c>
      <c r="J5406" t="s">
        <v>4909</v>
      </c>
      <c r="K5406" t="s">
        <v>4909</v>
      </c>
    </row>
    <row r="5407" spans="1:11" x14ac:dyDescent="0.2">
      <c r="A5407" t="s">
        <v>4329</v>
      </c>
      <c r="B5407" t="s">
        <v>4909</v>
      </c>
      <c r="C5407" t="s">
        <v>4909</v>
      </c>
      <c r="D5407" t="s">
        <v>4909</v>
      </c>
      <c r="E5407" t="s">
        <v>4909</v>
      </c>
      <c r="F5407" t="s">
        <v>4909</v>
      </c>
      <c r="G5407" t="s">
        <v>4909</v>
      </c>
      <c r="H5407" t="s">
        <v>4909</v>
      </c>
      <c r="I5407" t="s">
        <v>4909</v>
      </c>
      <c r="J5407" t="s">
        <v>4909</v>
      </c>
      <c r="K5407" t="s">
        <v>4909</v>
      </c>
    </row>
    <row r="5408" spans="1:11" x14ac:dyDescent="0.2">
      <c r="A5408" t="s">
        <v>4330</v>
      </c>
      <c r="B5408" t="s">
        <v>4909</v>
      </c>
      <c r="C5408" t="s">
        <v>4909</v>
      </c>
      <c r="D5408" t="s">
        <v>4909</v>
      </c>
      <c r="E5408" t="s">
        <v>4909</v>
      </c>
      <c r="F5408" t="s">
        <v>4909</v>
      </c>
      <c r="G5408" t="s">
        <v>4909</v>
      </c>
      <c r="H5408" t="s">
        <v>4909</v>
      </c>
      <c r="I5408" t="s">
        <v>4909</v>
      </c>
      <c r="J5408" t="s">
        <v>4909</v>
      </c>
      <c r="K5408" t="s">
        <v>4909</v>
      </c>
    </row>
    <row r="5409" spans="1:11" x14ac:dyDescent="0.2">
      <c r="A5409" t="s">
        <v>4331</v>
      </c>
      <c r="B5409" t="s">
        <v>4909</v>
      </c>
      <c r="C5409" t="s">
        <v>4909</v>
      </c>
      <c r="D5409" t="s">
        <v>4909</v>
      </c>
      <c r="E5409" t="s">
        <v>4909</v>
      </c>
      <c r="F5409" t="s">
        <v>4909</v>
      </c>
      <c r="G5409" t="s">
        <v>4909</v>
      </c>
      <c r="H5409" t="s">
        <v>4909</v>
      </c>
      <c r="I5409" t="s">
        <v>4909</v>
      </c>
      <c r="J5409" t="s">
        <v>4909</v>
      </c>
      <c r="K5409" t="s">
        <v>4909</v>
      </c>
    </row>
    <row r="5410" spans="1:11" x14ac:dyDescent="0.2">
      <c r="A5410" t="s">
        <v>4332</v>
      </c>
      <c r="B5410" t="s">
        <v>4909</v>
      </c>
      <c r="C5410" t="s">
        <v>4909</v>
      </c>
      <c r="D5410" t="s">
        <v>4909</v>
      </c>
      <c r="E5410" t="s">
        <v>4909</v>
      </c>
      <c r="F5410" t="s">
        <v>4909</v>
      </c>
      <c r="G5410" t="s">
        <v>4909</v>
      </c>
      <c r="H5410" t="s">
        <v>4909</v>
      </c>
      <c r="I5410" t="s">
        <v>4909</v>
      </c>
      <c r="J5410" t="s">
        <v>4909</v>
      </c>
      <c r="K5410" t="s">
        <v>4909</v>
      </c>
    </row>
    <row r="5411" spans="1:11" x14ac:dyDescent="0.2">
      <c r="A5411" t="s">
        <v>4333</v>
      </c>
      <c r="B5411" t="s">
        <v>4909</v>
      </c>
      <c r="C5411" t="s">
        <v>4909</v>
      </c>
      <c r="D5411" t="s">
        <v>4909</v>
      </c>
      <c r="E5411" t="s">
        <v>4909</v>
      </c>
      <c r="F5411" t="s">
        <v>4909</v>
      </c>
      <c r="G5411" t="s">
        <v>4909</v>
      </c>
      <c r="H5411" t="s">
        <v>4909</v>
      </c>
      <c r="I5411" t="s">
        <v>4909</v>
      </c>
      <c r="J5411" t="s">
        <v>4909</v>
      </c>
      <c r="K5411" t="s">
        <v>4909</v>
      </c>
    </row>
    <row r="5412" spans="1:11" x14ac:dyDescent="0.2">
      <c r="A5412" t="s">
        <v>4334</v>
      </c>
      <c r="B5412" t="s">
        <v>4909</v>
      </c>
      <c r="C5412" t="s">
        <v>4909</v>
      </c>
      <c r="D5412" t="s">
        <v>4909</v>
      </c>
      <c r="E5412" t="s">
        <v>4909</v>
      </c>
      <c r="F5412" t="s">
        <v>4909</v>
      </c>
      <c r="G5412" t="s">
        <v>4909</v>
      </c>
      <c r="H5412" t="s">
        <v>4909</v>
      </c>
      <c r="I5412" t="s">
        <v>4909</v>
      </c>
      <c r="J5412" t="s">
        <v>4909</v>
      </c>
      <c r="K5412" t="s">
        <v>4909</v>
      </c>
    </row>
    <row r="5413" spans="1:11" x14ac:dyDescent="0.2">
      <c r="A5413" t="s">
        <v>4335</v>
      </c>
      <c r="B5413" t="s">
        <v>4909</v>
      </c>
      <c r="C5413" t="s">
        <v>4909</v>
      </c>
      <c r="D5413" t="s">
        <v>4909</v>
      </c>
      <c r="E5413" t="s">
        <v>4909</v>
      </c>
      <c r="F5413" t="s">
        <v>4909</v>
      </c>
      <c r="G5413" t="s">
        <v>4909</v>
      </c>
      <c r="H5413" t="s">
        <v>4909</v>
      </c>
      <c r="I5413" t="s">
        <v>4909</v>
      </c>
      <c r="J5413" t="s">
        <v>4909</v>
      </c>
      <c r="K5413" t="s">
        <v>4909</v>
      </c>
    </row>
    <row r="5414" spans="1:11" x14ac:dyDescent="0.2">
      <c r="A5414" t="s">
        <v>4336</v>
      </c>
      <c r="B5414" t="s">
        <v>4909</v>
      </c>
      <c r="C5414" t="s">
        <v>4909</v>
      </c>
      <c r="D5414" t="s">
        <v>4909</v>
      </c>
      <c r="E5414" t="s">
        <v>4909</v>
      </c>
      <c r="F5414" t="s">
        <v>4909</v>
      </c>
      <c r="G5414" t="s">
        <v>4909</v>
      </c>
      <c r="H5414" t="s">
        <v>4909</v>
      </c>
      <c r="I5414" t="s">
        <v>4909</v>
      </c>
      <c r="J5414" t="s">
        <v>4909</v>
      </c>
      <c r="K5414" t="s">
        <v>4909</v>
      </c>
    </row>
    <row r="5415" spans="1:11" x14ac:dyDescent="0.2">
      <c r="A5415" t="s">
        <v>4337</v>
      </c>
      <c r="B5415" t="s">
        <v>4909</v>
      </c>
      <c r="C5415" t="s">
        <v>4909</v>
      </c>
      <c r="D5415" t="s">
        <v>4909</v>
      </c>
      <c r="E5415" t="s">
        <v>4909</v>
      </c>
      <c r="F5415" t="s">
        <v>4909</v>
      </c>
      <c r="G5415" t="s">
        <v>4909</v>
      </c>
      <c r="H5415" t="s">
        <v>4909</v>
      </c>
      <c r="I5415" t="s">
        <v>4909</v>
      </c>
      <c r="J5415" t="s">
        <v>4909</v>
      </c>
      <c r="K5415" t="s">
        <v>4909</v>
      </c>
    </row>
    <row r="5416" spans="1:11" x14ac:dyDescent="0.2">
      <c r="A5416" t="s">
        <v>4338</v>
      </c>
      <c r="B5416" t="s">
        <v>4909</v>
      </c>
      <c r="C5416" t="s">
        <v>4909</v>
      </c>
      <c r="D5416" t="s">
        <v>4909</v>
      </c>
      <c r="E5416" t="s">
        <v>4909</v>
      </c>
      <c r="F5416" t="s">
        <v>4909</v>
      </c>
      <c r="G5416" t="s">
        <v>4909</v>
      </c>
      <c r="H5416" s="88">
        <v>0</v>
      </c>
      <c r="I5416" t="s">
        <v>4909</v>
      </c>
      <c r="J5416" t="s">
        <v>4909</v>
      </c>
      <c r="K5416" t="s">
        <v>4909</v>
      </c>
    </row>
    <row r="5417" spans="1:11" x14ac:dyDescent="0.2">
      <c r="A5417" t="s">
        <v>4339</v>
      </c>
      <c r="B5417" t="s">
        <v>4909</v>
      </c>
      <c r="C5417" t="s">
        <v>4909</v>
      </c>
      <c r="D5417" t="s">
        <v>4909</v>
      </c>
      <c r="E5417" t="s">
        <v>4909</v>
      </c>
      <c r="F5417" t="s">
        <v>4909</v>
      </c>
      <c r="G5417" t="s">
        <v>4909</v>
      </c>
      <c r="H5417" t="s">
        <v>4909</v>
      </c>
      <c r="I5417" t="s">
        <v>4909</v>
      </c>
      <c r="J5417" t="s">
        <v>4909</v>
      </c>
      <c r="K5417" t="s">
        <v>4909</v>
      </c>
    </row>
    <row r="5418" spans="1:11" x14ac:dyDescent="0.2">
      <c r="A5418" t="s">
        <v>4340</v>
      </c>
      <c r="B5418" t="s">
        <v>4909</v>
      </c>
      <c r="C5418" t="s">
        <v>4909</v>
      </c>
      <c r="D5418" t="s">
        <v>4909</v>
      </c>
      <c r="E5418" t="s">
        <v>4909</v>
      </c>
      <c r="F5418" t="s">
        <v>4909</v>
      </c>
      <c r="G5418" t="s">
        <v>4909</v>
      </c>
      <c r="H5418" t="s">
        <v>4909</v>
      </c>
      <c r="I5418" t="s">
        <v>4909</v>
      </c>
      <c r="J5418" t="s">
        <v>4909</v>
      </c>
      <c r="K5418" t="s">
        <v>4909</v>
      </c>
    </row>
    <row r="5419" spans="1:11" x14ac:dyDescent="0.2">
      <c r="A5419" t="s">
        <v>4341</v>
      </c>
      <c r="B5419" t="s">
        <v>4909</v>
      </c>
      <c r="C5419" t="s">
        <v>4909</v>
      </c>
      <c r="D5419" t="s">
        <v>4909</v>
      </c>
      <c r="E5419" t="s">
        <v>4909</v>
      </c>
      <c r="F5419" t="s">
        <v>4909</v>
      </c>
      <c r="G5419" t="s">
        <v>4909</v>
      </c>
      <c r="H5419" t="s">
        <v>4909</v>
      </c>
      <c r="I5419" t="s">
        <v>4909</v>
      </c>
      <c r="J5419" t="s">
        <v>4909</v>
      </c>
      <c r="K5419" t="s">
        <v>4909</v>
      </c>
    </row>
    <row r="5420" spans="1:11" x14ac:dyDescent="0.2">
      <c r="A5420" t="s">
        <v>4342</v>
      </c>
      <c r="B5420" t="s">
        <v>4909</v>
      </c>
      <c r="C5420" t="s">
        <v>4909</v>
      </c>
      <c r="D5420" t="s">
        <v>4909</v>
      </c>
      <c r="E5420" t="s">
        <v>4909</v>
      </c>
      <c r="F5420" t="s">
        <v>4909</v>
      </c>
      <c r="G5420" t="s">
        <v>4909</v>
      </c>
      <c r="H5420" t="s">
        <v>4909</v>
      </c>
      <c r="I5420" t="s">
        <v>4909</v>
      </c>
      <c r="J5420" t="s">
        <v>4909</v>
      </c>
      <c r="K5420" t="s">
        <v>4909</v>
      </c>
    </row>
    <row r="5421" spans="1:11" x14ac:dyDescent="0.2">
      <c r="A5421" t="s">
        <v>4343</v>
      </c>
      <c r="B5421" t="s">
        <v>4909</v>
      </c>
      <c r="C5421" t="s">
        <v>4909</v>
      </c>
      <c r="D5421" t="s">
        <v>4909</v>
      </c>
      <c r="E5421" t="s">
        <v>4909</v>
      </c>
      <c r="F5421" t="s">
        <v>4909</v>
      </c>
      <c r="G5421" t="s">
        <v>4909</v>
      </c>
      <c r="H5421" t="s">
        <v>4909</v>
      </c>
      <c r="I5421" t="s">
        <v>4909</v>
      </c>
      <c r="J5421" t="s">
        <v>4909</v>
      </c>
      <c r="K5421" t="s">
        <v>4909</v>
      </c>
    </row>
    <row r="5422" spans="1:11" x14ac:dyDescent="0.2">
      <c r="A5422" t="s">
        <v>1728</v>
      </c>
      <c r="B5422" t="s">
        <v>4909</v>
      </c>
      <c r="C5422" t="s">
        <v>4909</v>
      </c>
      <c r="D5422" t="s">
        <v>4909</v>
      </c>
      <c r="E5422" t="s">
        <v>4909</v>
      </c>
      <c r="F5422" t="s">
        <v>4909</v>
      </c>
      <c r="G5422" t="s">
        <v>4909</v>
      </c>
      <c r="H5422" t="s">
        <v>4909</v>
      </c>
      <c r="I5422" t="s">
        <v>4909</v>
      </c>
      <c r="J5422" t="s">
        <v>4909</v>
      </c>
      <c r="K5422" t="s">
        <v>4909</v>
      </c>
    </row>
    <row r="5423" spans="1:11" x14ac:dyDescent="0.2">
      <c r="A5423" t="s">
        <v>1730</v>
      </c>
      <c r="B5423" s="88">
        <v>1E-3</v>
      </c>
      <c r="C5423" t="s">
        <v>4909</v>
      </c>
      <c r="D5423" s="88">
        <v>1E-3</v>
      </c>
      <c r="E5423" t="s">
        <v>4909</v>
      </c>
      <c r="F5423" t="s">
        <v>4909</v>
      </c>
      <c r="G5423" t="s">
        <v>4909</v>
      </c>
      <c r="H5423" s="88">
        <v>9.5000000000000001E-2</v>
      </c>
      <c r="I5423" t="s">
        <v>4909</v>
      </c>
      <c r="J5423" s="88">
        <v>1E-3</v>
      </c>
      <c r="K5423" s="88">
        <v>6.0000000000000001E-3</v>
      </c>
    </row>
    <row r="5424" spans="1:11" x14ac:dyDescent="0.2">
      <c r="A5424" t="s">
        <v>1733</v>
      </c>
      <c r="B5424" t="s">
        <v>4909</v>
      </c>
      <c r="C5424" t="s">
        <v>4909</v>
      </c>
      <c r="D5424" t="s">
        <v>4909</v>
      </c>
      <c r="E5424" t="s">
        <v>4909</v>
      </c>
      <c r="F5424" t="s">
        <v>4909</v>
      </c>
      <c r="G5424" t="s">
        <v>4909</v>
      </c>
      <c r="H5424" t="s">
        <v>4909</v>
      </c>
      <c r="I5424" t="s">
        <v>4909</v>
      </c>
      <c r="J5424" t="s">
        <v>4909</v>
      </c>
      <c r="K5424" t="s">
        <v>4909</v>
      </c>
    </row>
    <row r="5425" spans="1:11" x14ac:dyDescent="0.2">
      <c r="A5425" t="s">
        <v>1738</v>
      </c>
      <c r="B5425" t="s">
        <v>4909</v>
      </c>
      <c r="C5425" t="s">
        <v>4909</v>
      </c>
      <c r="D5425" t="s">
        <v>4909</v>
      </c>
      <c r="E5425" t="s">
        <v>4909</v>
      </c>
      <c r="F5425" t="s">
        <v>4909</v>
      </c>
      <c r="G5425" t="s">
        <v>4909</v>
      </c>
      <c r="H5425" t="s">
        <v>4909</v>
      </c>
      <c r="I5425" t="s">
        <v>4909</v>
      </c>
      <c r="J5425" t="s">
        <v>4909</v>
      </c>
      <c r="K5425" t="s">
        <v>4909</v>
      </c>
    </row>
    <row r="5426" spans="1:11" x14ac:dyDescent="0.2">
      <c r="A5426" t="s">
        <v>1744</v>
      </c>
      <c r="B5426" t="s">
        <v>4909</v>
      </c>
      <c r="C5426" t="s">
        <v>4909</v>
      </c>
      <c r="D5426" t="s">
        <v>4909</v>
      </c>
      <c r="E5426" t="s">
        <v>4909</v>
      </c>
      <c r="F5426" t="s">
        <v>4909</v>
      </c>
      <c r="G5426" t="s">
        <v>4909</v>
      </c>
      <c r="H5426" t="s">
        <v>4909</v>
      </c>
      <c r="I5426" t="s">
        <v>4909</v>
      </c>
      <c r="J5426" t="s">
        <v>4909</v>
      </c>
      <c r="K5426" t="s">
        <v>4909</v>
      </c>
    </row>
    <row r="5427" spans="1:11" x14ac:dyDescent="0.2">
      <c r="A5427" t="s">
        <v>1747</v>
      </c>
      <c r="B5427" t="s">
        <v>4909</v>
      </c>
      <c r="C5427" t="s">
        <v>4909</v>
      </c>
      <c r="D5427" t="s">
        <v>4909</v>
      </c>
      <c r="E5427" t="s">
        <v>4909</v>
      </c>
      <c r="F5427" t="s">
        <v>4909</v>
      </c>
      <c r="G5427" t="s">
        <v>4909</v>
      </c>
      <c r="H5427" t="s">
        <v>4909</v>
      </c>
      <c r="I5427" t="s">
        <v>4909</v>
      </c>
      <c r="J5427" t="s">
        <v>4909</v>
      </c>
      <c r="K5427" t="s">
        <v>4909</v>
      </c>
    </row>
    <row r="5428" spans="1:11" x14ac:dyDescent="0.2">
      <c r="A5428" t="s">
        <v>1751</v>
      </c>
      <c r="B5428" t="s">
        <v>4909</v>
      </c>
      <c r="C5428" t="s">
        <v>4909</v>
      </c>
      <c r="D5428" t="s">
        <v>4909</v>
      </c>
      <c r="E5428" t="s">
        <v>4909</v>
      </c>
      <c r="F5428" t="s">
        <v>4909</v>
      </c>
      <c r="G5428" t="s">
        <v>4909</v>
      </c>
      <c r="H5428" t="s">
        <v>4909</v>
      </c>
      <c r="I5428" t="s">
        <v>4909</v>
      </c>
      <c r="J5428" t="s">
        <v>4909</v>
      </c>
      <c r="K5428" t="s">
        <v>4909</v>
      </c>
    </row>
    <row r="5429" spans="1:11" x14ac:dyDescent="0.2">
      <c r="A5429" t="s">
        <v>1755</v>
      </c>
      <c r="B5429" s="88">
        <v>7.0000000000000001E-3</v>
      </c>
      <c r="C5429" t="s">
        <v>4909</v>
      </c>
      <c r="D5429" s="88">
        <v>8.0000000000000002E-3</v>
      </c>
      <c r="E5429" t="s">
        <v>4909</v>
      </c>
      <c r="F5429" t="s">
        <v>4909</v>
      </c>
      <c r="G5429" t="s">
        <v>4909</v>
      </c>
      <c r="H5429" s="88">
        <v>0.10299999999999999</v>
      </c>
      <c r="I5429" t="s">
        <v>4909</v>
      </c>
      <c r="J5429" s="88">
        <v>1E-3</v>
      </c>
      <c r="K5429" s="88">
        <v>7.0000000000000001E-3</v>
      </c>
    </row>
    <row r="5430" spans="1:11" x14ac:dyDescent="0.2">
      <c r="A5430" t="s">
        <v>1757</v>
      </c>
      <c r="B5430" s="88">
        <v>7.0000000000000001E-3</v>
      </c>
      <c r="C5430" t="s">
        <v>4909</v>
      </c>
      <c r="D5430" s="88">
        <v>8.0000000000000002E-3</v>
      </c>
      <c r="E5430" t="s">
        <v>4909</v>
      </c>
      <c r="F5430" t="s">
        <v>4909</v>
      </c>
      <c r="G5430" t="s">
        <v>4909</v>
      </c>
      <c r="H5430" s="88">
        <v>7.6999999999999999E-2</v>
      </c>
      <c r="I5430" t="s">
        <v>4909</v>
      </c>
      <c r="J5430" s="88">
        <v>1E-3</v>
      </c>
      <c r="K5430" s="88">
        <v>5.0000000000000001E-3</v>
      </c>
    </row>
    <row r="5431" spans="1:11" x14ac:dyDescent="0.2">
      <c r="A5431" t="s">
        <v>1761</v>
      </c>
      <c r="B5431" t="s">
        <v>4909</v>
      </c>
      <c r="C5431" t="s">
        <v>4909</v>
      </c>
      <c r="D5431" t="s">
        <v>4909</v>
      </c>
      <c r="E5431" t="s">
        <v>4909</v>
      </c>
      <c r="F5431" t="s">
        <v>4909</v>
      </c>
      <c r="G5431" t="s">
        <v>4909</v>
      </c>
      <c r="H5431" t="s">
        <v>4909</v>
      </c>
      <c r="I5431" t="s">
        <v>4909</v>
      </c>
      <c r="J5431" t="s">
        <v>4909</v>
      </c>
      <c r="K5431" t="s">
        <v>4909</v>
      </c>
    </row>
    <row r="5432" spans="1:11" x14ac:dyDescent="0.2">
      <c r="A5432" t="s">
        <v>1764</v>
      </c>
      <c r="B5432" t="s">
        <v>4909</v>
      </c>
      <c r="C5432" t="s">
        <v>4909</v>
      </c>
      <c r="D5432" t="s">
        <v>4909</v>
      </c>
      <c r="E5432" t="s">
        <v>4909</v>
      </c>
      <c r="F5432" t="s">
        <v>4909</v>
      </c>
      <c r="G5432" t="s">
        <v>4909</v>
      </c>
      <c r="H5432" t="s">
        <v>4909</v>
      </c>
      <c r="I5432" t="s">
        <v>4909</v>
      </c>
      <c r="J5432" t="s">
        <v>4909</v>
      </c>
      <c r="K5432" t="s">
        <v>4909</v>
      </c>
    </row>
    <row r="5433" spans="1:11" x14ac:dyDescent="0.2">
      <c r="A5433" t="s">
        <v>1770</v>
      </c>
      <c r="B5433" s="88">
        <v>0</v>
      </c>
      <c r="C5433" t="s">
        <v>4909</v>
      </c>
      <c r="D5433" s="88">
        <v>0</v>
      </c>
      <c r="E5433" t="s">
        <v>4909</v>
      </c>
      <c r="F5433" t="s">
        <v>4909</v>
      </c>
      <c r="G5433" t="s">
        <v>4909</v>
      </c>
      <c r="H5433" s="88">
        <v>5.6000000000000001E-2</v>
      </c>
      <c r="I5433" t="s">
        <v>4909</v>
      </c>
      <c r="J5433" s="88">
        <v>0</v>
      </c>
      <c r="K5433" s="88">
        <v>1.2999999999999999E-2</v>
      </c>
    </row>
    <row r="5434" spans="1:11" x14ac:dyDescent="0.2">
      <c r="A5434" t="s">
        <v>1772</v>
      </c>
      <c r="B5434" s="88">
        <v>1E-3</v>
      </c>
      <c r="C5434" t="s">
        <v>4909</v>
      </c>
      <c r="D5434" s="88">
        <v>1E-3</v>
      </c>
      <c r="E5434" t="s">
        <v>4909</v>
      </c>
      <c r="F5434" t="s">
        <v>4909</v>
      </c>
      <c r="G5434" t="s">
        <v>4909</v>
      </c>
      <c r="H5434" s="88">
        <v>6.3E-2</v>
      </c>
      <c r="I5434" t="s">
        <v>4909</v>
      </c>
      <c r="J5434" s="88">
        <v>1E-3</v>
      </c>
      <c r="K5434" s="88">
        <v>0.02</v>
      </c>
    </row>
    <row r="5435" spans="1:11" x14ac:dyDescent="0.2">
      <c r="A5435" t="s">
        <v>1774</v>
      </c>
      <c r="B5435" s="88">
        <v>2E-3</v>
      </c>
      <c r="C5435" t="s">
        <v>4909</v>
      </c>
      <c r="D5435" s="88">
        <v>2E-3</v>
      </c>
      <c r="E5435" t="s">
        <v>4909</v>
      </c>
      <c r="F5435" t="s">
        <v>4909</v>
      </c>
      <c r="G5435" t="s">
        <v>4909</v>
      </c>
      <c r="H5435" s="88">
        <v>8.7999999999999995E-2</v>
      </c>
      <c r="I5435" t="s">
        <v>4909</v>
      </c>
      <c r="J5435" s="88">
        <v>1E-3</v>
      </c>
      <c r="K5435" s="88">
        <v>0.02</v>
      </c>
    </row>
    <row r="5436" spans="1:11" x14ac:dyDescent="0.2">
      <c r="A5436" t="s">
        <v>1777</v>
      </c>
      <c r="B5436" t="s">
        <v>4909</v>
      </c>
      <c r="C5436" t="s">
        <v>4909</v>
      </c>
      <c r="D5436" t="s">
        <v>4909</v>
      </c>
      <c r="E5436" t="s">
        <v>4909</v>
      </c>
      <c r="F5436" t="s">
        <v>4909</v>
      </c>
      <c r="G5436" t="s">
        <v>4909</v>
      </c>
      <c r="H5436" t="s">
        <v>4909</v>
      </c>
      <c r="I5436" t="s">
        <v>4909</v>
      </c>
      <c r="J5436" t="s">
        <v>4909</v>
      </c>
      <c r="K5436" t="s">
        <v>4909</v>
      </c>
    </row>
    <row r="5437" spans="1:11" x14ac:dyDescent="0.2">
      <c r="A5437" t="s">
        <v>1782</v>
      </c>
      <c r="B5437" t="s">
        <v>4909</v>
      </c>
      <c r="C5437" t="s">
        <v>4909</v>
      </c>
      <c r="D5437" t="s">
        <v>4909</v>
      </c>
      <c r="E5437" t="s">
        <v>4909</v>
      </c>
      <c r="F5437" t="s">
        <v>4909</v>
      </c>
      <c r="G5437" t="s">
        <v>4909</v>
      </c>
      <c r="H5437" t="s">
        <v>4909</v>
      </c>
      <c r="I5437" t="s">
        <v>4909</v>
      </c>
      <c r="J5437" t="s">
        <v>4909</v>
      </c>
      <c r="K5437" t="s">
        <v>4909</v>
      </c>
    </row>
    <row r="5438" spans="1:11" x14ac:dyDescent="0.2">
      <c r="A5438" t="s">
        <v>1274</v>
      </c>
      <c r="B5438" s="88">
        <v>3.7999999999999999E-2</v>
      </c>
      <c r="C5438" t="s">
        <v>4909</v>
      </c>
      <c r="D5438" t="s">
        <v>4909</v>
      </c>
      <c r="E5438" t="s">
        <v>4909</v>
      </c>
      <c r="F5438" t="s">
        <v>4909</v>
      </c>
      <c r="G5438" t="s">
        <v>4909</v>
      </c>
      <c r="H5438" s="88">
        <v>2.1000000000000001E-2</v>
      </c>
      <c r="I5438" t="s">
        <v>4909</v>
      </c>
      <c r="J5438" s="88">
        <v>0</v>
      </c>
      <c r="K5438" s="88">
        <v>1E-3</v>
      </c>
    </row>
    <row r="5439" spans="1:11" x14ac:dyDescent="0.2">
      <c r="A5439" t="s">
        <v>1277</v>
      </c>
      <c r="B5439" s="88">
        <v>3.6999999999999998E-2</v>
      </c>
      <c r="C5439" t="s">
        <v>4909</v>
      </c>
      <c r="D5439" t="s">
        <v>4909</v>
      </c>
      <c r="E5439" t="s">
        <v>4909</v>
      </c>
      <c r="F5439" t="s">
        <v>4909</v>
      </c>
      <c r="G5439" t="s">
        <v>4909</v>
      </c>
      <c r="H5439" s="88">
        <v>0.03</v>
      </c>
      <c r="I5439" t="s">
        <v>4909</v>
      </c>
      <c r="J5439" s="88">
        <v>0</v>
      </c>
      <c r="K5439" s="88">
        <v>1E-3</v>
      </c>
    </row>
    <row r="5440" spans="1:11" x14ac:dyDescent="0.2">
      <c r="A5440" t="s">
        <v>1798</v>
      </c>
      <c r="B5440" t="s">
        <v>4909</v>
      </c>
      <c r="C5440" t="s">
        <v>4909</v>
      </c>
      <c r="D5440" t="s">
        <v>4909</v>
      </c>
      <c r="E5440" t="s">
        <v>4909</v>
      </c>
      <c r="F5440" t="s">
        <v>4909</v>
      </c>
      <c r="G5440" t="s">
        <v>4909</v>
      </c>
      <c r="H5440" t="s">
        <v>4909</v>
      </c>
      <c r="I5440" t="s">
        <v>4909</v>
      </c>
      <c r="J5440" t="s">
        <v>4909</v>
      </c>
      <c r="K5440" t="s">
        <v>4909</v>
      </c>
    </row>
    <row r="5441" spans="1:11" x14ac:dyDescent="0.2">
      <c r="A5441" t="s">
        <v>1803</v>
      </c>
      <c r="B5441" t="s">
        <v>4909</v>
      </c>
      <c r="C5441" t="s">
        <v>4909</v>
      </c>
      <c r="D5441" t="s">
        <v>4909</v>
      </c>
      <c r="E5441" t="s">
        <v>4909</v>
      </c>
      <c r="F5441" t="s">
        <v>4909</v>
      </c>
      <c r="G5441" t="s">
        <v>4909</v>
      </c>
      <c r="H5441" t="s">
        <v>4909</v>
      </c>
      <c r="I5441" t="s">
        <v>4909</v>
      </c>
      <c r="J5441" t="s">
        <v>4909</v>
      </c>
      <c r="K5441" t="s">
        <v>4909</v>
      </c>
    </row>
    <row r="5442" spans="1:11" x14ac:dyDescent="0.2">
      <c r="A5442" t="s">
        <v>1808</v>
      </c>
      <c r="B5442" s="88">
        <v>1</v>
      </c>
      <c r="C5442" t="s">
        <v>4909</v>
      </c>
      <c r="D5442" t="s">
        <v>4909</v>
      </c>
      <c r="E5442" t="s">
        <v>4909</v>
      </c>
      <c r="F5442" t="s">
        <v>4909</v>
      </c>
      <c r="G5442" t="s">
        <v>4909</v>
      </c>
      <c r="H5442" t="s">
        <v>4909</v>
      </c>
      <c r="I5442" t="s">
        <v>4909</v>
      </c>
      <c r="J5442" t="s">
        <v>4909</v>
      </c>
      <c r="K5442" t="s">
        <v>4909</v>
      </c>
    </row>
    <row r="5443" spans="1:11" x14ac:dyDescent="0.2">
      <c r="A5443" t="s">
        <v>1813</v>
      </c>
      <c r="B5443" t="s">
        <v>4909</v>
      </c>
      <c r="C5443" t="s">
        <v>4909</v>
      </c>
      <c r="D5443" t="s">
        <v>4909</v>
      </c>
      <c r="E5443" t="s">
        <v>4909</v>
      </c>
      <c r="F5443" t="s">
        <v>4909</v>
      </c>
      <c r="G5443" t="s">
        <v>4909</v>
      </c>
      <c r="H5443" s="88">
        <v>0.84399999999999997</v>
      </c>
      <c r="I5443" t="s">
        <v>4909</v>
      </c>
      <c r="J5443" s="88">
        <v>1.6E-2</v>
      </c>
      <c r="K5443" s="88">
        <v>6.5000000000000002E-2</v>
      </c>
    </row>
    <row r="5444" spans="1:11" x14ac:dyDescent="0.2">
      <c r="A5444" t="s">
        <v>1819</v>
      </c>
      <c r="B5444" s="88">
        <v>0</v>
      </c>
      <c r="C5444" t="s">
        <v>4909</v>
      </c>
      <c r="D5444" s="88">
        <v>0</v>
      </c>
      <c r="E5444" t="s">
        <v>4909</v>
      </c>
      <c r="F5444" t="s">
        <v>4909</v>
      </c>
      <c r="G5444" t="s">
        <v>4909</v>
      </c>
      <c r="H5444" s="88">
        <v>0.83199999999999996</v>
      </c>
      <c r="I5444" t="s">
        <v>4909</v>
      </c>
      <c r="J5444" s="88">
        <v>1.6E-2</v>
      </c>
      <c r="K5444" s="88">
        <v>6.4000000000000001E-2</v>
      </c>
    </row>
    <row r="5445" spans="1:11" x14ac:dyDescent="0.2">
      <c r="A5445" t="s">
        <v>1826</v>
      </c>
      <c r="B5445" t="s">
        <v>4909</v>
      </c>
      <c r="C5445" t="s">
        <v>4909</v>
      </c>
      <c r="D5445" t="s">
        <v>4909</v>
      </c>
      <c r="E5445" t="s">
        <v>4909</v>
      </c>
      <c r="F5445" t="s">
        <v>4909</v>
      </c>
      <c r="G5445" t="s">
        <v>4909</v>
      </c>
      <c r="H5445" s="88">
        <v>0.88800000000000001</v>
      </c>
      <c r="I5445" t="s">
        <v>4909</v>
      </c>
      <c r="J5445" s="88">
        <v>0.01</v>
      </c>
      <c r="K5445" s="88">
        <v>3.9E-2</v>
      </c>
    </row>
    <row r="5446" spans="1:11" x14ac:dyDescent="0.2">
      <c r="A5446" t="s">
        <v>1830</v>
      </c>
      <c r="B5446" t="s">
        <v>4909</v>
      </c>
      <c r="C5446" t="s">
        <v>4909</v>
      </c>
      <c r="D5446" t="s">
        <v>4909</v>
      </c>
      <c r="E5446" t="s">
        <v>4909</v>
      </c>
      <c r="F5446" t="s">
        <v>4909</v>
      </c>
      <c r="G5446" t="s">
        <v>4909</v>
      </c>
      <c r="H5446" s="88">
        <v>0.83799999999999997</v>
      </c>
      <c r="I5446" t="s">
        <v>4909</v>
      </c>
      <c r="J5446" s="88">
        <v>2.1000000000000001E-2</v>
      </c>
      <c r="K5446" s="88">
        <v>7.8E-2</v>
      </c>
    </row>
    <row r="5447" spans="1:11" x14ac:dyDescent="0.2">
      <c r="A5447" t="s">
        <v>1836</v>
      </c>
      <c r="B5447" t="s">
        <v>4909</v>
      </c>
      <c r="C5447" t="s">
        <v>4909</v>
      </c>
      <c r="D5447" t="s">
        <v>4909</v>
      </c>
      <c r="E5447" t="s">
        <v>4909</v>
      </c>
      <c r="F5447" t="s">
        <v>4909</v>
      </c>
      <c r="G5447" t="s">
        <v>4909</v>
      </c>
      <c r="H5447" t="s">
        <v>4909</v>
      </c>
      <c r="I5447" t="s">
        <v>4909</v>
      </c>
      <c r="J5447" t="s">
        <v>4909</v>
      </c>
      <c r="K5447" t="s">
        <v>4909</v>
      </c>
    </row>
    <row r="5448" spans="1:11" x14ac:dyDescent="0.2">
      <c r="A5448" t="s">
        <v>1841</v>
      </c>
      <c r="B5448" s="88">
        <v>6.0000000000000001E-3</v>
      </c>
      <c r="C5448" t="s">
        <v>4909</v>
      </c>
      <c r="D5448" s="88">
        <v>6.0000000000000001E-3</v>
      </c>
      <c r="E5448" t="s">
        <v>4909</v>
      </c>
      <c r="F5448" t="s">
        <v>4909</v>
      </c>
      <c r="G5448" t="s">
        <v>4909</v>
      </c>
      <c r="H5448" s="88">
        <v>0.71799999999999997</v>
      </c>
      <c r="I5448" t="s">
        <v>4909</v>
      </c>
      <c r="J5448" s="88">
        <v>1.2E-2</v>
      </c>
      <c r="K5448" s="88">
        <v>4.7E-2</v>
      </c>
    </row>
    <row r="5449" spans="1:11" x14ac:dyDescent="0.2">
      <c r="A5449" t="s">
        <v>1842</v>
      </c>
      <c r="B5449" s="88">
        <v>0</v>
      </c>
      <c r="C5449" t="s">
        <v>4909</v>
      </c>
      <c r="D5449" s="88">
        <v>0</v>
      </c>
      <c r="E5449" t="s">
        <v>4909</v>
      </c>
      <c r="F5449" t="s">
        <v>4909</v>
      </c>
      <c r="G5449" t="s">
        <v>4909</v>
      </c>
      <c r="H5449" s="88">
        <v>0.11700000000000001</v>
      </c>
      <c r="I5449" t="s">
        <v>4909</v>
      </c>
      <c r="J5449" s="88">
        <v>2E-3</v>
      </c>
      <c r="K5449" s="88">
        <v>7.0000000000000001E-3</v>
      </c>
    </row>
    <row r="5450" spans="1:11" x14ac:dyDescent="0.2">
      <c r="A5450" t="s">
        <v>1843</v>
      </c>
      <c r="B5450" t="s">
        <v>4909</v>
      </c>
      <c r="C5450" t="s">
        <v>4909</v>
      </c>
      <c r="D5450" t="s">
        <v>4909</v>
      </c>
      <c r="E5450" t="s">
        <v>4909</v>
      </c>
      <c r="F5450" t="s">
        <v>4909</v>
      </c>
      <c r="G5450" t="s">
        <v>4909</v>
      </c>
      <c r="H5450" s="88">
        <v>0.872</v>
      </c>
      <c r="I5450" t="s">
        <v>4909</v>
      </c>
      <c r="J5450" s="88">
        <v>1.4E-2</v>
      </c>
      <c r="K5450" s="88">
        <v>5.1999999999999998E-2</v>
      </c>
    </row>
    <row r="5451" spans="1:11" x14ac:dyDescent="0.2">
      <c r="A5451" t="s">
        <v>1846</v>
      </c>
      <c r="B5451" t="s">
        <v>4909</v>
      </c>
      <c r="C5451" t="s">
        <v>4909</v>
      </c>
      <c r="D5451" t="s">
        <v>4909</v>
      </c>
      <c r="E5451" t="s">
        <v>4909</v>
      </c>
      <c r="F5451" t="s">
        <v>4909</v>
      </c>
      <c r="G5451" t="s">
        <v>4909</v>
      </c>
      <c r="H5451" s="88">
        <v>0.11</v>
      </c>
      <c r="I5451" t="s">
        <v>4909</v>
      </c>
      <c r="J5451" t="s">
        <v>4909</v>
      </c>
      <c r="K5451" s="88">
        <v>7.0000000000000001E-3</v>
      </c>
    </row>
    <row r="5452" spans="1:11" x14ac:dyDescent="0.2">
      <c r="A5452" t="s">
        <v>1851</v>
      </c>
      <c r="B5452" t="s">
        <v>4909</v>
      </c>
      <c r="C5452" t="s">
        <v>4909</v>
      </c>
      <c r="D5452" s="88">
        <v>0</v>
      </c>
      <c r="E5452" t="s">
        <v>4909</v>
      </c>
      <c r="F5452" t="s">
        <v>4909</v>
      </c>
      <c r="G5452" t="s">
        <v>4909</v>
      </c>
      <c r="H5452" s="88">
        <v>0.112</v>
      </c>
      <c r="I5452" t="s">
        <v>4909</v>
      </c>
      <c r="J5452" s="88">
        <v>1E-3</v>
      </c>
      <c r="K5452" s="88">
        <v>7.0000000000000001E-3</v>
      </c>
    </row>
    <row r="5453" spans="1:11" x14ac:dyDescent="0.2">
      <c r="A5453" t="s">
        <v>1857</v>
      </c>
      <c r="B5453" t="s">
        <v>4909</v>
      </c>
      <c r="C5453" t="s">
        <v>4909</v>
      </c>
      <c r="D5453" t="s">
        <v>4909</v>
      </c>
      <c r="E5453" t="s">
        <v>4909</v>
      </c>
      <c r="F5453" t="s">
        <v>4909</v>
      </c>
      <c r="G5453" t="s">
        <v>4909</v>
      </c>
      <c r="H5453" t="s">
        <v>4909</v>
      </c>
      <c r="I5453" t="s">
        <v>4909</v>
      </c>
      <c r="J5453" t="s">
        <v>4909</v>
      </c>
      <c r="K5453" t="s">
        <v>4909</v>
      </c>
    </row>
    <row r="5454" spans="1:11" x14ac:dyDescent="0.2">
      <c r="A5454" t="s">
        <v>1862</v>
      </c>
      <c r="B5454" t="s">
        <v>4909</v>
      </c>
      <c r="C5454" t="s">
        <v>4909</v>
      </c>
      <c r="D5454" t="s">
        <v>4909</v>
      </c>
      <c r="E5454" t="s">
        <v>4909</v>
      </c>
      <c r="F5454" t="s">
        <v>4909</v>
      </c>
      <c r="G5454" t="s">
        <v>4909</v>
      </c>
      <c r="H5454" t="s">
        <v>4909</v>
      </c>
      <c r="I5454" t="s">
        <v>4909</v>
      </c>
      <c r="J5454" t="s">
        <v>4909</v>
      </c>
      <c r="K5454" t="s">
        <v>4909</v>
      </c>
    </row>
    <row r="5455" spans="1:11" x14ac:dyDescent="0.2">
      <c r="A5455" t="s">
        <v>1867</v>
      </c>
      <c r="B5455" t="s">
        <v>4909</v>
      </c>
      <c r="C5455" t="s">
        <v>4909</v>
      </c>
      <c r="D5455" t="s">
        <v>4909</v>
      </c>
      <c r="E5455" t="s">
        <v>4909</v>
      </c>
      <c r="F5455" t="s">
        <v>4909</v>
      </c>
      <c r="G5455" t="s">
        <v>4909</v>
      </c>
      <c r="H5455" t="s">
        <v>4909</v>
      </c>
      <c r="I5455" t="s">
        <v>4909</v>
      </c>
      <c r="J5455" t="s">
        <v>4909</v>
      </c>
      <c r="K5455" t="s">
        <v>4909</v>
      </c>
    </row>
    <row r="5456" spans="1:11" x14ac:dyDescent="0.2">
      <c r="A5456" t="s">
        <v>1870</v>
      </c>
      <c r="B5456" t="s">
        <v>4909</v>
      </c>
      <c r="C5456" t="s">
        <v>4909</v>
      </c>
      <c r="D5456" t="s">
        <v>4909</v>
      </c>
      <c r="E5456" t="s">
        <v>4909</v>
      </c>
      <c r="F5456" t="s">
        <v>4909</v>
      </c>
      <c r="G5456" t="s">
        <v>4909</v>
      </c>
      <c r="H5456" t="s">
        <v>4909</v>
      </c>
      <c r="I5456" t="s">
        <v>4909</v>
      </c>
      <c r="J5456" t="s">
        <v>4909</v>
      </c>
      <c r="K5456" t="s">
        <v>4909</v>
      </c>
    </row>
    <row r="5457" spans="1:11" x14ac:dyDescent="0.2">
      <c r="A5457" t="s">
        <v>1874</v>
      </c>
      <c r="B5457" t="s">
        <v>4909</v>
      </c>
      <c r="C5457" t="s">
        <v>4909</v>
      </c>
      <c r="D5457" t="s">
        <v>4909</v>
      </c>
      <c r="E5457" t="s">
        <v>4909</v>
      </c>
      <c r="F5457" t="s">
        <v>4909</v>
      </c>
      <c r="G5457" t="s">
        <v>4909</v>
      </c>
      <c r="H5457" s="88">
        <v>1.4999999999999999E-2</v>
      </c>
      <c r="I5457" t="s">
        <v>4909</v>
      </c>
      <c r="J5457" s="88">
        <v>0</v>
      </c>
      <c r="K5457" s="88">
        <v>1E-3</v>
      </c>
    </row>
    <row r="5458" spans="1:11" x14ac:dyDescent="0.2">
      <c r="A5458" t="s">
        <v>1876</v>
      </c>
      <c r="B5458" t="s">
        <v>4909</v>
      </c>
      <c r="C5458" t="s">
        <v>4909</v>
      </c>
      <c r="D5458" t="s">
        <v>4909</v>
      </c>
      <c r="E5458" t="s">
        <v>4909</v>
      </c>
      <c r="F5458" t="s">
        <v>4909</v>
      </c>
      <c r="G5458" t="s">
        <v>4909</v>
      </c>
      <c r="H5458" t="s">
        <v>4909</v>
      </c>
      <c r="I5458" t="s">
        <v>4909</v>
      </c>
      <c r="J5458" t="s">
        <v>4909</v>
      </c>
      <c r="K5458" t="s">
        <v>4909</v>
      </c>
    </row>
    <row r="5459" spans="1:11" x14ac:dyDescent="0.2">
      <c r="A5459" t="s">
        <v>1881</v>
      </c>
      <c r="B5459" t="s">
        <v>4909</v>
      </c>
      <c r="C5459" t="s">
        <v>4909</v>
      </c>
      <c r="D5459" t="s">
        <v>4909</v>
      </c>
      <c r="E5459" t="s">
        <v>4909</v>
      </c>
      <c r="F5459" t="s">
        <v>4909</v>
      </c>
      <c r="G5459" t="s">
        <v>4909</v>
      </c>
      <c r="H5459" t="s">
        <v>4909</v>
      </c>
      <c r="I5459" t="s">
        <v>4909</v>
      </c>
      <c r="J5459" t="s">
        <v>4909</v>
      </c>
      <c r="K5459" t="s">
        <v>4909</v>
      </c>
    </row>
    <row r="5460" spans="1:11" x14ac:dyDescent="0.2">
      <c r="A5460" t="s">
        <v>1885</v>
      </c>
      <c r="B5460" s="88">
        <v>0</v>
      </c>
      <c r="C5460" t="s">
        <v>4909</v>
      </c>
      <c r="D5460" s="88">
        <v>0</v>
      </c>
      <c r="E5460" t="s">
        <v>4909</v>
      </c>
      <c r="F5460" t="s">
        <v>4909</v>
      </c>
      <c r="G5460" t="s">
        <v>4909</v>
      </c>
      <c r="H5460" s="88">
        <v>4.7E-2</v>
      </c>
      <c r="I5460" t="s">
        <v>4909</v>
      </c>
      <c r="J5460" s="88">
        <v>0</v>
      </c>
      <c r="K5460" s="88">
        <v>3.0000000000000001E-3</v>
      </c>
    </row>
    <row r="5461" spans="1:11" x14ac:dyDescent="0.2">
      <c r="A5461" t="s">
        <v>1887</v>
      </c>
      <c r="B5461" t="s">
        <v>4909</v>
      </c>
      <c r="C5461" t="s">
        <v>4909</v>
      </c>
      <c r="D5461" t="s">
        <v>4909</v>
      </c>
      <c r="E5461" t="s">
        <v>4909</v>
      </c>
      <c r="F5461" t="s">
        <v>4909</v>
      </c>
      <c r="G5461" t="s">
        <v>4909</v>
      </c>
      <c r="H5461" s="88">
        <v>1.7000000000000001E-2</v>
      </c>
      <c r="I5461" t="s">
        <v>4909</v>
      </c>
      <c r="J5461" t="s">
        <v>4909</v>
      </c>
      <c r="K5461" s="88">
        <v>0</v>
      </c>
    </row>
    <row r="5462" spans="1:11" x14ac:dyDescent="0.2">
      <c r="A5462" t="s">
        <v>1893</v>
      </c>
      <c r="B5462" s="88">
        <v>0</v>
      </c>
      <c r="C5462" t="s">
        <v>4909</v>
      </c>
      <c r="D5462" s="88">
        <v>0</v>
      </c>
      <c r="E5462" t="s">
        <v>4909</v>
      </c>
      <c r="F5462" t="s">
        <v>4909</v>
      </c>
      <c r="G5462" t="s">
        <v>4909</v>
      </c>
      <c r="H5462" s="88">
        <v>2.1000000000000001E-2</v>
      </c>
      <c r="I5462" t="s">
        <v>4909</v>
      </c>
      <c r="J5462" s="88">
        <v>0</v>
      </c>
      <c r="K5462" s="88">
        <v>1E-3</v>
      </c>
    </row>
    <row r="5463" spans="1:11" x14ac:dyDescent="0.2">
      <c r="A5463" t="s">
        <v>1899</v>
      </c>
      <c r="B5463" t="s">
        <v>4909</v>
      </c>
      <c r="C5463" t="s">
        <v>4909</v>
      </c>
      <c r="D5463" t="s">
        <v>4909</v>
      </c>
      <c r="E5463" t="s">
        <v>4909</v>
      </c>
      <c r="F5463" t="s">
        <v>4909</v>
      </c>
      <c r="G5463" t="s">
        <v>4909</v>
      </c>
      <c r="H5463" t="s">
        <v>4909</v>
      </c>
      <c r="I5463" t="s">
        <v>4909</v>
      </c>
      <c r="J5463" t="s">
        <v>4909</v>
      </c>
      <c r="K5463" t="s">
        <v>4909</v>
      </c>
    </row>
    <row r="5464" spans="1:11" x14ac:dyDescent="0.2">
      <c r="A5464" t="s">
        <v>1906</v>
      </c>
      <c r="B5464" t="s">
        <v>4909</v>
      </c>
      <c r="C5464" t="s">
        <v>4909</v>
      </c>
      <c r="D5464" t="s">
        <v>4909</v>
      </c>
      <c r="E5464" t="s">
        <v>4909</v>
      </c>
      <c r="F5464" t="s">
        <v>4909</v>
      </c>
      <c r="G5464" t="s">
        <v>4909</v>
      </c>
      <c r="H5464" t="s">
        <v>4909</v>
      </c>
      <c r="I5464" t="s">
        <v>4909</v>
      </c>
      <c r="J5464" t="s">
        <v>4909</v>
      </c>
      <c r="K5464" t="s">
        <v>4909</v>
      </c>
    </row>
    <row r="5465" spans="1:11" x14ac:dyDescent="0.2">
      <c r="A5465" t="s">
        <v>1911</v>
      </c>
      <c r="B5465" t="s">
        <v>4909</v>
      </c>
      <c r="C5465" t="s">
        <v>4909</v>
      </c>
      <c r="D5465" t="s">
        <v>4909</v>
      </c>
      <c r="E5465" t="s">
        <v>4909</v>
      </c>
      <c r="F5465" t="s">
        <v>4909</v>
      </c>
      <c r="G5465" t="s">
        <v>4909</v>
      </c>
      <c r="H5465" t="s">
        <v>4909</v>
      </c>
      <c r="I5465" t="s">
        <v>4909</v>
      </c>
      <c r="J5465" t="s">
        <v>4909</v>
      </c>
      <c r="K5465" t="s">
        <v>4909</v>
      </c>
    </row>
    <row r="5466" spans="1:11" x14ac:dyDescent="0.2">
      <c r="A5466" t="s">
        <v>1917</v>
      </c>
      <c r="B5466" t="s">
        <v>4909</v>
      </c>
      <c r="C5466" t="s">
        <v>4909</v>
      </c>
      <c r="D5466" t="s">
        <v>4909</v>
      </c>
      <c r="E5466" t="s">
        <v>4909</v>
      </c>
      <c r="F5466" t="s">
        <v>4909</v>
      </c>
      <c r="G5466" t="s">
        <v>4909</v>
      </c>
      <c r="H5466" s="88">
        <v>0</v>
      </c>
      <c r="I5466" t="s">
        <v>4909</v>
      </c>
      <c r="J5466" t="s">
        <v>4909</v>
      </c>
      <c r="K5466" t="s">
        <v>4909</v>
      </c>
    </row>
    <row r="5467" spans="1:11" x14ac:dyDescent="0.2">
      <c r="A5467" t="s">
        <v>1922</v>
      </c>
      <c r="B5467" t="s">
        <v>4909</v>
      </c>
      <c r="C5467" t="s">
        <v>4909</v>
      </c>
      <c r="D5467" t="s">
        <v>4909</v>
      </c>
      <c r="E5467" t="s">
        <v>4909</v>
      </c>
      <c r="F5467" t="s">
        <v>4909</v>
      </c>
      <c r="G5467" t="s">
        <v>4909</v>
      </c>
      <c r="H5467" t="s">
        <v>4909</v>
      </c>
      <c r="I5467" t="s">
        <v>4909</v>
      </c>
      <c r="J5467" t="s">
        <v>4909</v>
      </c>
      <c r="K5467" t="s">
        <v>4909</v>
      </c>
    </row>
    <row r="5468" spans="1:11" x14ac:dyDescent="0.2">
      <c r="A5468" t="s">
        <v>1928</v>
      </c>
      <c r="B5468" t="s">
        <v>4909</v>
      </c>
      <c r="C5468" t="s">
        <v>4909</v>
      </c>
      <c r="D5468" t="s">
        <v>4909</v>
      </c>
      <c r="E5468" t="s">
        <v>4909</v>
      </c>
      <c r="F5468" t="s">
        <v>4909</v>
      </c>
      <c r="G5468" t="s">
        <v>4909</v>
      </c>
      <c r="H5468" t="s">
        <v>4909</v>
      </c>
      <c r="I5468" t="s">
        <v>4909</v>
      </c>
      <c r="J5468" t="s">
        <v>4909</v>
      </c>
      <c r="K5468" t="s">
        <v>4909</v>
      </c>
    </row>
    <row r="5469" spans="1:11" x14ac:dyDescent="0.2">
      <c r="A5469" t="s">
        <v>1932</v>
      </c>
      <c r="B5469" t="s">
        <v>4909</v>
      </c>
      <c r="C5469" t="s">
        <v>4909</v>
      </c>
      <c r="D5469" t="s">
        <v>4909</v>
      </c>
      <c r="E5469" t="s">
        <v>4909</v>
      </c>
      <c r="F5469" t="s">
        <v>4909</v>
      </c>
      <c r="G5469" t="s">
        <v>4909</v>
      </c>
      <c r="H5469" t="s">
        <v>4909</v>
      </c>
      <c r="I5469" t="s">
        <v>4909</v>
      </c>
      <c r="J5469" t="s">
        <v>4909</v>
      </c>
      <c r="K5469" t="s">
        <v>4909</v>
      </c>
    </row>
    <row r="5470" spans="1:11" x14ac:dyDescent="0.2">
      <c r="A5470" t="s">
        <v>1938</v>
      </c>
      <c r="B5470" t="s">
        <v>4909</v>
      </c>
      <c r="C5470" t="s">
        <v>4909</v>
      </c>
      <c r="D5470" t="s">
        <v>4909</v>
      </c>
      <c r="E5470" t="s">
        <v>4909</v>
      </c>
      <c r="F5470" t="s">
        <v>4909</v>
      </c>
      <c r="G5470" t="s">
        <v>4909</v>
      </c>
      <c r="H5470" t="s">
        <v>4909</v>
      </c>
      <c r="I5470" t="s">
        <v>4909</v>
      </c>
      <c r="J5470" t="s">
        <v>4909</v>
      </c>
      <c r="K5470" t="s">
        <v>4909</v>
      </c>
    </row>
    <row r="5471" spans="1:11" x14ac:dyDescent="0.2">
      <c r="A5471" t="s">
        <v>1944</v>
      </c>
      <c r="B5471" t="s">
        <v>4909</v>
      </c>
      <c r="C5471" t="s">
        <v>4909</v>
      </c>
      <c r="D5471" t="s">
        <v>4909</v>
      </c>
      <c r="E5471" t="s">
        <v>4909</v>
      </c>
      <c r="F5471" t="s">
        <v>4909</v>
      </c>
      <c r="G5471" t="s">
        <v>4909</v>
      </c>
      <c r="H5471" s="88">
        <v>1.2E-2</v>
      </c>
      <c r="I5471" t="s">
        <v>4909</v>
      </c>
      <c r="J5471" t="s">
        <v>4909</v>
      </c>
      <c r="K5471" s="88">
        <v>0</v>
      </c>
    </row>
    <row r="5472" spans="1:11" x14ac:dyDescent="0.2">
      <c r="A5472" t="s">
        <v>1947</v>
      </c>
      <c r="B5472" t="s">
        <v>4909</v>
      </c>
      <c r="C5472" t="s">
        <v>4909</v>
      </c>
      <c r="D5472" t="s">
        <v>4909</v>
      </c>
      <c r="E5472" t="s">
        <v>4909</v>
      </c>
      <c r="F5472" t="s">
        <v>4909</v>
      </c>
      <c r="G5472" t="s">
        <v>4909</v>
      </c>
      <c r="H5472" s="88">
        <v>6.0000000000000001E-3</v>
      </c>
      <c r="I5472" t="s">
        <v>4909</v>
      </c>
      <c r="J5472" t="s">
        <v>4909</v>
      </c>
      <c r="K5472" t="s">
        <v>4909</v>
      </c>
    </row>
    <row r="5473" spans="1:11" x14ac:dyDescent="0.2">
      <c r="A5473" t="s">
        <v>1953</v>
      </c>
      <c r="B5473" t="s">
        <v>4909</v>
      </c>
      <c r="C5473" t="s">
        <v>4909</v>
      </c>
      <c r="D5473" t="s">
        <v>4909</v>
      </c>
      <c r="E5473" t="s">
        <v>4909</v>
      </c>
      <c r="F5473" t="s">
        <v>4909</v>
      </c>
      <c r="G5473" t="s">
        <v>4909</v>
      </c>
      <c r="H5473" s="88">
        <v>1.4999999999999999E-2</v>
      </c>
      <c r="I5473" t="s">
        <v>4909</v>
      </c>
      <c r="J5473" t="s">
        <v>4909</v>
      </c>
      <c r="K5473" s="88">
        <v>0</v>
      </c>
    </row>
    <row r="5474" spans="1:11" x14ac:dyDescent="0.2">
      <c r="A5474" t="s">
        <v>1958</v>
      </c>
      <c r="B5474" t="s">
        <v>4909</v>
      </c>
      <c r="C5474" t="s">
        <v>4909</v>
      </c>
      <c r="D5474" t="s">
        <v>4909</v>
      </c>
      <c r="E5474" t="s">
        <v>4909</v>
      </c>
      <c r="F5474" t="s">
        <v>4909</v>
      </c>
      <c r="G5474" t="s">
        <v>4909</v>
      </c>
      <c r="H5474" t="s">
        <v>4909</v>
      </c>
      <c r="I5474" t="s">
        <v>4909</v>
      </c>
      <c r="J5474" t="s">
        <v>4909</v>
      </c>
      <c r="K5474" t="s">
        <v>4909</v>
      </c>
    </row>
    <row r="5475" spans="1:11" x14ac:dyDescent="0.2">
      <c r="A5475" t="s">
        <v>1964</v>
      </c>
      <c r="B5475" t="s">
        <v>4909</v>
      </c>
      <c r="C5475" t="s">
        <v>4909</v>
      </c>
      <c r="D5475" t="s">
        <v>4909</v>
      </c>
      <c r="E5475" t="s">
        <v>4909</v>
      </c>
      <c r="F5475" t="s">
        <v>4909</v>
      </c>
      <c r="G5475" t="s">
        <v>4909</v>
      </c>
      <c r="H5475" t="s">
        <v>4909</v>
      </c>
      <c r="I5475" t="s">
        <v>4909</v>
      </c>
      <c r="J5475" t="s">
        <v>4909</v>
      </c>
      <c r="K5475" t="s">
        <v>4909</v>
      </c>
    </row>
    <row r="5476" spans="1:11" x14ac:dyDescent="0.2">
      <c r="A5476" t="s">
        <v>1973</v>
      </c>
      <c r="B5476" t="s">
        <v>4909</v>
      </c>
      <c r="C5476" t="s">
        <v>4909</v>
      </c>
      <c r="D5476" t="s">
        <v>4909</v>
      </c>
      <c r="E5476" t="s">
        <v>4909</v>
      </c>
      <c r="F5476" t="s">
        <v>4909</v>
      </c>
      <c r="G5476" t="s">
        <v>4909</v>
      </c>
      <c r="H5476" t="s">
        <v>4909</v>
      </c>
      <c r="I5476" t="s">
        <v>4909</v>
      </c>
      <c r="J5476" t="s">
        <v>4909</v>
      </c>
      <c r="K5476" t="s">
        <v>4909</v>
      </c>
    </row>
    <row r="5477" spans="1:11" x14ac:dyDescent="0.2">
      <c r="A5477" t="s">
        <v>1978</v>
      </c>
      <c r="B5477" t="s">
        <v>4909</v>
      </c>
      <c r="C5477" t="s">
        <v>4909</v>
      </c>
      <c r="D5477" t="s">
        <v>4909</v>
      </c>
      <c r="E5477" t="s">
        <v>4909</v>
      </c>
      <c r="F5477" t="s">
        <v>4909</v>
      </c>
      <c r="G5477" t="s">
        <v>4909</v>
      </c>
      <c r="H5477" t="s">
        <v>4909</v>
      </c>
      <c r="I5477" t="s">
        <v>4909</v>
      </c>
      <c r="J5477" t="s">
        <v>4909</v>
      </c>
      <c r="K5477" t="s">
        <v>4909</v>
      </c>
    </row>
    <row r="5478" spans="1:11" x14ac:dyDescent="0.2">
      <c r="A5478" t="s">
        <v>1983</v>
      </c>
      <c r="B5478" t="s">
        <v>4909</v>
      </c>
      <c r="C5478" t="s">
        <v>4909</v>
      </c>
      <c r="D5478" t="s">
        <v>4909</v>
      </c>
      <c r="E5478" t="s">
        <v>4909</v>
      </c>
      <c r="F5478" t="s">
        <v>4909</v>
      </c>
      <c r="G5478" t="s">
        <v>4909</v>
      </c>
      <c r="H5478" s="88">
        <v>1.2E-2</v>
      </c>
      <c r="I5478" t="s">
        <v>4909</v>
      </c>
      <c r="J5478" t="s">
        <v>4909</v>
      </c>
      <c r="K5478" s="88">
        <v>0</v>
      </c>
    </row>
    <row r="5479" spans="1:11" x14ac:dyDescent="0.2">
      <c r="A5479" t="s">
        <v>1984</v>
      </c>
      <c r="B5479" t="s">
        <v>4909</v>
      </c>
      <c r="C5479" t="s">
        <v>4909</v>
      </c>
      <c r="D5479" t="s">
        <v>4909</v>
      </c>
      <c r="E5479" t="s">
        <v>4909</v>
      </c>
      <c r="F5479" t="s">
        <v>4909</v>
      </c>
      <c r="G5479" t="s">
        <v>4909</v>
      </c>
      <c r="H5479" t="s">
        <v>4909</v>
      </c>
      <c r="I5479" t="s">
        <v>4909</v>
      </c>
      <c r="J5479" t="s">
        <v>4909</v>
      </c>
      <c r="K5479" t="s">
        <v>4909</v>
      </c>
    </row>
    <row r="5480" spans="1:11" x14ac:dyDescent="0.2">
      <c r="A5480" t="s">
        <v>1990</v>
      </c>
      <c r="B5480" t="s">
        <v>4909</v>
      </c>
      <c r="C5480" t="s">
        <v>4909</v>
      </c>
      <c r="D5480" t="s">
        <v>4909</v>
      </c>
      <c r="E5480" t="s">
        <v>4909</v>
      </c>
      <c r="F5480" t="s">
        <v>4909</v>
      </c>
      <c r="G5480" t="s">
        <v>4909</v>
      </c>
      <c r="H5480" t="s">
        <v>4909</v>
      </c>
      <c r="I5480" t="s">
        <v>4909</v>
      </c>
      <c r="J5480" t="s">
        <v>4909</v>
      </c>
      <c r="K5480" t="s">
        <v>4909</v>
      </c>
    </row>
    <row r="5481" spans="1:11" x14ac:dyDescent="0.2">
      <c r="A5481" t="s">
        <v>1996</v>
      </c>
      <c r="B5481" t="s">
        <v>4909</v>
      </c>
      <c r="C5481" t="s">
        <v>4909</v>
      </c>
      <c r="D5481" t="s">
        <v>4909</v>
      </c>
      <c r="E5481" t="s">
        <v>4909</v>
      </c>
      <c r="F5481" t="s">
        <v>4909</v>
      </c>
      <c r="G5481" t="s">
        <v>4909</v>
      </c>
      <c r="H5481" t="s">
        <v>4909</v>
      </c>
      <c r="I5481" t="s">
        <v>4909</v>
      </c>
      <c r="J5481" t="s">
        <v>4909</v>
      </c>
      <c r="K5481" t="s">
        <v>4909</v>
      </c>
    </row>
    <row r="5482" spans="1:11" x14ac:dyDescent="0.2">
      <c r="A5482" t="s">
        <v>1998</v>
      </c>
      <c r="B5482" t="s">
        <v>4909</v>
      </c>
      <c r="C5482" t="s">
        <v>4909</v>
      </c>
      <c r="D5482" t="s">
        <v>4909</v>
      </c>
      <c r="E5482" t="s">
        <v>4909</v>
      </c>
      <c r="F5482" t="s">
        <v>4909</v>
      </c>
      <c r="G5482" t="s">
        <v>4909</v>
      </c>
      <c r="H5482" t="s">
        <v>4909</v>
      </c>
      <c r="I5482" t="s">
        <v>4909</v>
      </c>
      <c r="J5482" t="s">
        <v>4909</v>
      </c>
      <c r="K5482" t="s">
        <v>4909</v>
      </c>
    </row>
    <row r="5483" spans="1:11" x14ac:dyDescent="0.2">
      <c r="A5483" t="s">
        <v>1999</v>
      </c>
      <c r="B5483" t="s">
        <v>4909</v>
      </c>
      <c r="C5483" t="s">
        <v>4909</v>
      </c>
      <c r="D5483" t="s">
        <v>4909</v>
      </c>
      <c r="E5483" t="s">
        <v>4909</v>
      </c>
      <c r="F5483" t="s">
        <v>4909</v>
      </c>
      <c r="G5483" t="s">
        <v>4909</v>
      </c>
      <c r="H5483" t="s">
        <v>4909</v>
      </c>
      <c r="I5483" t="s">
        <v>4909</v>
      </c>
      <c r="J5483" t="s">
        <v>4909</v>
      </c>
      <c r="K5483" t="s">
        <v>4909</v>
      </c>
    </row>
    <row r="5484" spans="1:11" x14ac:dyDescent="0.2">
      <c r="A5484" t="s">
        <v>2004</v>
      </c>
      <c r="B5484" t="s">
        <v>4909</v>
      </c>
      <c r="C5484" t="s">
        <v>4909</v>
      </c>
      <c r="D5484" t="s">
        <v>4909</v>
      </c>
      <c r="E5484" t="s">
        <v>4909</v>
      </c>
      <c r="F5484" t="s">
        <v>4909</v>
      </c>
      <c r="G5484" t="s">
        <v>4909</v>
      </c>
      <c r="H5484" t="s">
        <v>4909</v>
      </c>
      <c r="I5484" t="s">
        <v>4909</v>
      </c>
      <c r="J5484" t="s">
        <v>4909</v>
      </c>
      <c r="K5484" t="s">
        <v>4909</v>
      </c>
    </row>
    <row r="5485" spans="1:11" x14ac:dyDescent="0.2">
      <c r="A5485" t="s">
        <v>2009</v>
      </c>
      <c r="B5485" t="s">
        <v>4909</v>
      </c>
      <c r="C5485" t="s">
        <v>4909</v>
      </c>
      <c r="D5485" t="s">
        <v>4909</v>
      </c>
      <c r="E5485" t="s">
        <v>4909</v>
      </c>
      <c r="F5485" t="s">
        <v>4909</v>
      </c>
      <c r="G5485" t="s">
        <v>4909</v>
      </c>
      <c r="H5485" t="s">
        <v>4909</v>
      </c>
      <c r="I5485" t="s">
        <v>4909</v>
      </c>
      <c r="J5485" t="s">
        <v>4909</v>
      </c>
      <c r="K5485" t="s">
        <v>4909</v>
      </c>
    </row>
    <row r="5486" spans="1:11" x14ac:dyDescent="0.2">
      <c r="A5486" t="s">
        <v>2014</v>
      </c>
      <c r="B5486" t="s">
        <v>4909</v>
      </c>
      <c r="C5486" t="s">
        <v>4909</v>
      </c>
      <c r="D5486" t="s">
        <v>4909</v>
      </c>
      <c r="E5486" t="s">
        <v>4909</v>
      </c>
      <c r="F5486" t="s">
        <v>4909</v>
      </c>
      <c r="G5486" t="s">
        <v>4909</v>
      </c>
      <c r="H5486" t="s">
        <v>4909</v>
      </c>
      <c r="I5486" t="s">
        <v>4909</v>
      </c>
      <c r="J5486" t="s">
        <v>4909</v>
      </c>
      <c r="K5486" t="s">
        <v>4909</v>
      </c>
    </row>
    <row r="5487" spans="1:11" x14ac:dyDescent="0.2">
      <c r="A5487" t="s">
        <v>2019</v>
      </c>
      <c r="B5487" t="s">
        <v>4909</v>
      </c>
      <c r="C5487" t="s">
        <v>4909</v>
      </c>
      <c r="D5487" t="s">
        <v>4909</v>
      </c>
      <c r="E5487" t="s">
        <v>4909</v>
      </c>
      <c r="F5487" t="s">
        <v>4909</v>
      </c>
      <c r="G5487" t="s">
        <v>4909</v>
      </c>
      <c r="H5487" t="s">
        <v>4909</v>
      </c>
      <c r="I5487" t="s">
        <v>4909</v>
      </c>
      <c r="J5487" t="s">
        <v>4909</v>
      </c>
      <c r="K5487" t="s">
        <v>4909</v>
      </c>
    </row>
    <row r="5488" spans="1:11" x14ac:dyDescent="0.2">
      <c r="A5488" t="s">
        <v>2023</v>
      </c>
      <c r="B5488" t="s">
        <v>4909</v>
      </c>
      <c r="C5488" t="s">
        <v>4909</v>
      </c>
      <c r="D5488" t="s">
        <v>4909</v>
      </c>
      <c r="E5488" t="s">
        <v>4909</v>
      </c>
      <c r="F5488" t="s">
        <v>4909</v>
      </c>
      <c r="G5488" t="s">
        <v>4909</v>
      </c>
      <c r="H5488" t="s">
        <v>4909</v>
      </c>
      <c r="I5488" t="s">
        <v>4909</v>
      </c>
      <c r="J5488" t="s">
        <v>4909</v>
      </c>
      <c r="K5488" t="s">
        <v>4909</v>
      </c>
    </row>
    <row r="5489" spans="1:11" x14ac:dyDescent="0.2">
      <c r="A5489" t="s">
        <v>2026</v>
      </c>
      <c r="B5489" t="s">
        <v>4909</v>
      </c>
      <c r="C5489" t="s">
        <v>4909</v>
      </c>
      <c r="D5489" t="s">
        <v>4909</v>
      </c>
      <c r="E5489" t="s">
        <v>4909</v>
      </c>
      <c r="F5489" t="s">
        <v>4909</v>
      </c>
      <c r="G5489" t="s">
        <v>4909</v>
      </c>
      <c r="H5489" t="s">
        <v>4909</v>
      </c>
      <c r="I5489" t="s">
        <v>4909</v>
      </c>
      <c r="J5489" t="s">
        <v>4909</v>
      </c>
      <c r="K5489" t="s">
        <v>4909</v>
      </c>
    </row>
    <row r="5490" spans="1:11" x14ac:dyDescent="0.2">
      <c r="A5490" t="s">
        <v>2030</v>
      </c>
      <c r="B5490" t="s">
        <v>4909</v>
      </c>
      <c r="C5490" t="s">
        <v>4909</v>
      </c>
      <c r="D5490" t="s">
        <v>4909</v>
      </c>
      <c r="E5490" t="s">
        <v>4909</v>
      </c>
      <c r="F5490" t="s">
        <v>4909</v>
      </c>
      <c r="G5490" t="s">
        <v>4909</v>
      </c>
      <c r="H5490" t="s">
        <v>4909</v>
      </c>
      <c r="I5490" t="s">
        <v>4909</v>
      </c>
      <c r="J5490" t="s">
        <v>4909</v>
      </c>
      <c r="K5490" t="s">
        <v>4909</v>
      </c>
    </row>
    <row r="5491" spans="1:11" x14ac:dyDescent="0.2">
      <c r="A5491" t="s">
        <v>2035</v>
      </c>
      <c r="B5491" t="s">
        <v>4909</v>
      </c>
      <c r="C5491" t="s">
        <v>4909</v>
      </c>
      <c r="D5491" t="s">
        <v>4909</v>
      </c>
      <c r="E5491" t="s">
        <v>4909</v>
      </c>
      <c r="F5491" t="s">
        <v>4909</v>
      </c>
      <c r="G5491" t="s">
        <v>4909</v>
      </c>
      <c r="H5491" t="s">
        <v>4909</v>
      </c>
      <c r="I5491" t="s">
        <v>4909</v>
      </c>
      <c r="J5491" t="s">
        <v>4909</v>
      </c>
      <c r="K5491" t="s">
        <v>4909</v>
      </c>
    </row>
    <row r="5492" spans="1:11" x14ac:dyDescent="0.2">
      <c r="A5492" t="s">
        <v>2040</v>
      </c>
      <c r="B5492" t="s">
        <v>4909</v>
      </c>
      <c r="C5492" t="s">
        <v>4909</v>
      </c>
      <c r="D5492" t="s">
        <v>4909</v>
      </c>
      <c r="E5492" t="s">
        <v>4909</v>
      </c>
      <c r="F5492" t="s">
        <v>4909</v>
      </c>
      <c r="G5492" t="s">
        <v>4909</v>
      </c>
      <c r="H5492" t="s">
        <v>4909</v>
      </c>
      <c r="I5492" t="s">
        <v>4909</v>
      </c>
      <c r="J5492" t="s">
        <v>4909</v>
      </c>
      <c r="K5492" t="s">
        <v>4909</v>
      </c>
    </row>
    <row r="5493" spans="1:11" x14ac:dyDescent="0.2">
      <c r="A5493" t="s">
        <v>2045</v>
      </c>
      <c r="B5493" t="s">
        <v>4909</v>
      </c>
      <c r="C5493" t="s">
        <v>4909</v>
      </c>
      <c r="D5493" t="s">
        <v>4909</v>
      </c>
      <c r="E5493" t="s">
        <v>4909</v>
      </c>
      <c r="F5493" t="s">
        <v>4909</v>
      </c>
      <c r="G5493" t="s">
        <v>4909</v>
      </c>
      <c r="H5493" t="s">
        <v>4909</v>
      </c>
      <c r="I5493" t="s">
        <v>4909</v>
      </c>
      <c r="J5493" t="s">
        <v>4909</v>
      </c>
      <c r="K5493" t="s">
        <v>4909</v>
      </c>
    </row>
    <row r="5494" spans="1:11" x14ac:dyDescent="0.2">
      <c r="A5494" t="s">
        <v>2049</v>
      </c>
      <c r="B5494" s="88">
        <v>1E-3</v>
      </c>
      <c r="C5494" t="s">
        <v>4909</v>
      </c>
      <c r="D5494" s="88">
        <v>1E-3</v>
      </c>
      <c r="E5494" t="s">
        <v>4909</v>
      </c>
      <c r="F5494" t="s">
        <v>4909</v>
      </c>
      <c r="G5494" t="s">
        <v>4909</v>
      </c>
      <c r="H5494" s="88">
        <v>3.0000000000000001E-3</v>
      </c>
      <c r="I5494" t="s">
        <v>4909</v>
      </c>
      <c r="J5494" t="s">
        <v>4909</v>
      </c>
      <c r="K5494" t="s">
        <v>4909</v>
      </c>
    </row>
    <row r="5495" spans="1:11" x14ac:dyDescent="0.2">
      <c r="A5495" t="s">
        <v>2051</v>
      </c>
      <c r="B5495" t="s">
        <v>4909</v>
      </c>
      <c r="C5495" t="s">
        <v>4909</v>
      </c>
      <c r="D5495" t="s">
        <v>4909</v>
      </c>
      <c r="E5495" t="s">
        <v>4909</v>
      </c>
      <c r="F5495" t="s">
        <v>4909</v>
      </c>
      <c r="G5495" t="s">
        <v>4909</v>
      </c>
      <c r="H5495" s="88">
        <v>4.0000000000000001E-3</v>
      </c>
      <c r="I5495" t="s">
        <v>4909</v>
      </c>
      <c r="J5495" t="s">
        <v>4909</v>
      </c>
      <c r="K5495" s="88">
        <v>0</v>
      </c>
    </row>
    <row r="5496" spans="1:11" x14ac:dyDescent="0.2">
      <c r="A5496" t="s">
        <v>2057</v>
      </c>
      <c r="B5496" t="s">
        <v>4909</v>
      </c>
      <c r="C5496" t="s">
        <v>4909</v>
      </c>
      <c r="D5496" s="88">
        <v>0</v>
      </c>
      <c r="E5496" t="s">
        <v>4909</v>
      </c>
      <c r="F5496" t="s">
        <v>4909</v>
      </c>
      <c r="G5496" t="s">
        <v>4909</v>
      </c>
      <c r="H5496" s="88">
        <v>4.0000000000000001E-3</v>
      </c>
      <c r="I5496" t="s">
        <v>4909</v>
      </c>
      <c r="J5496" t="s">
        <v>4909</v>
      </c>
      <c r="K5496" s="88">
        <v>0</v>
      </c>
    </row>
    <row r="5497" spans="1:11" x14ac:dyDescent="0.2">
      <c r="A5497" t="s">
        <v>4344</v>
      </c>
      <c r="B5497" t="s">
        <v>4909</v>
      </c>
      <c r="C5497" t="s">
        <v>4909</v>
      </c>
      <c r="D5497" t="s">
        <v>4909</v>
      </c>
      <c r="E5497" t="s">
        <v>4909</v>
      </c>
      <c r="F5497" t="s">
        <v>4909</v>
      </c>
      <c r="G5497" t="s">
        <v>4909</v>
      </c>
      <c r="H5497" s="88">
        <v>1E-3</v>
      </c>
      <c r="I5497" t="s">
        <v>4909</v>
      </c>
      <c r="J5497" t="s">
        <v>4909</v>
      </c>
      <c r="K5497" t="s">
        <v>4909</v>
      </c>
    </row>
    <row r="5498" spans="1:11" x14ac:dyDescent="0.2">
      <c r="A5498" t="s">
        <v>4345</v>
      </c>
      <c r="B5498" t="s">
        <v>4909</v>
      </c>
      <c r="C5498" t="s">
        <v>4909</v>
      </c>
      <c r="D5498" t="s">
        <v>4909</v>
      </c>
      <c r="E5498" t="s">
        <v>4909</v>
      </c>
      <c r="F5498" t="s">
        <v>4909</v>
      </c>
      <c r="G5498" t="s">
        <v>4909</v>
      </c>
      <c r="H5498" s="88">
        <v>1E-3</v>
      </c>
      <c r="I5498" t="s">
        <v>4909</v>
      </c>
      <c r="J5498" t="s">
        <v>4909</v>
      </c>
      <c r="K5498" s="88">
        <v>0</v>
      </c>
    </row>
    <row r="5499" spans="1:11" x14ac:dyDescent="0.2">
      <c r="A5499" t="s">
        <v>2074</v>
      </c>
      <c r="B5499" t="s">
        <v>4909</v>
      </c>
      <c r="C5499" t="s">
        <v>4909</v>
      </c>
      <c r="D5499" t="s">
        <v>4909</v>
      </c>
      <c r="E5499" t="s">
        <v>4909</v>
      </c>
      <c r="F5499" t="s">
        <v>4909</v>
      </c>
      <c r="G5499" t="s">
        <v>4909</v>
      </c>
      <c r="H5499" t="s">
        <v>4909</v>
      </c>
      <c r="I5499" t="s">
        <v>4909</v>
      </c>
      <c r="J5499" t="s">
        <v>4909</v>
      </c>
      <c r="K5499" t="s">
        <v>4909</v>
      </c>
    </row>
    <row r="5500" spans="1:11" x14ac:dyDescent="0.2">
      <c r="A5500" t="s">
        <v>2079</v>
      </c>
      <c r="B5500" t="s">
        <v>4909</v>
      </c>
      <c r="C5500" t="s">
        <v>4909</v>
      </c>
      <c r="D5500" t="s">
        <v>4909</v>
      </c>
      <c r="E5500" t="s">
        <v>4909</v>
      </c>
      <c r="F5500" t="s">
        <v>4909</v>
      </c>
      <c r="G5500" t="s">
        <v>4909</v>
      </c>
      <c r="H5500" t="s">
        <v>4909</v>
      </c>
      <c r="I5500" t="s">
        <v>4909</v>
      </c>
      <c r="J5500" t="s">
        <v>4909</v>
      </c>
      <c r="K5500" t="s">
        <v>4909</v>
      </c>
    </row>
    <row r="5501" spans="1:11" x14ac:dyDescent="0.2">
      <c r="A5501" t="s">
        <v>2085</v>
      </c>
      <c r="B5501" t="s">
        <v>4909</v>
      </c>
      <c r="C5501" t="s">
        <v>4909</v>
      </c>
      <c r="D5501" t="s">
        <v>4909</v>
      </c>
      <c r="E5501" t="s">
        <v>4909</v>
      </c>
      <c r="F5501" t="s">
        <v>4909</v>
      </c>
      <c r="G5501" t="s">
        <v>4909</v>
      </c>
      <c r="H5501" t="s">
        <v>4909</v>
      </c>
      <c r="I5501" t="s">
        <v>4909</v>
      </c>
      <c r="J5501" t="s">
        <v>4909</v>
      </c>
      <c r="K5501" t="s">
        <v>4909</v>
      </c>
    </row>
    <row r="5502" spans="1:11" x14ac:dyDescent="0.2">
      <c r="A5502" t="s">
        <v>2091</v>
      </c>
      <c r="B5502" t="s">
        <v>4909</v>
      </c>
      <c r="C5502" t="s">
        <v>4909</v>
      </c>
      <c r="D5502" t="s">
        <v>4909</v>
      </c>
      <c r="E5502" t="s">
        <v>4909</v>
      </c>
      <c r="F5502" t="s">
        <v>4909</v>
      </c>
      <c r="G5502" t="s">
        <v>4909</v>
      </c>
      <c r="H5502" t="s">
        <v>4909</v>
      </c>
      <c r="I5502" t="s">
        <v>4909</v>
      </c>
      <c r="J5502" t="s">
        <v>4909</v>
      </c>
      <c r="K5502" t="s">
        <v>4909</v>
      </c>
    </row>
    <row r="5503" spans="1:11" x14ac:dyDescent="0.2">
      <c r="A5503" t="s">
        <v>2097</v>
      </c>
      <c r="B5503" t="s">
        <v>4909</v>
      </c>
      <c r="C5503" t="s">
        <v>4909</v>
      </c>
      <c r="D5503" t="s">
        <v>4909</v>
      </c>
      <c r="E5503" t="s">
        <v>4909</v>
      </c>
      <c r="F5503" t="s">
        <v>4909</v>
      </c>
      <c r="G5503" t="s">
        <v>4909</v>
      </c>
      <c r="H5503" t="s">
        <v>4909</v>
      </c>
      <c r="I5503" t="s">
        <v>4909</v>
      </c>
      <c r="J5503" t="s">
        <v>4909</v>
      </c>
      <c r="K5503" t="s">
        <v>4909</v>
      </c>
    </row>
    <row r="5504" spans="1:11" x14ac:dyDescent="0.2">
      <c r="A5504" t="s">
        <v>2101</v>
      </c>
      <c r="B5504" t="s">
        <v>4909</v>
      </c>
      <c r="C5504" t="s">
        <v>4909</v>
      </c>
      <c r="D5504" t="s">
        <v>4909</v>
      </c>
      <c r="E5504" t="s">
        <v>4909</v>
      </c>
      <c r="F5504" t="s">
        <v>4909</v>
      </c>
      <c r="G5504" t="s">
        <v>4909</v>
      </c>
      <c r="H5504" t="s">
        <v>4909</v>
      </c>
      <c r="I5504" t="s">
        <v>4909</v>
      </c>
      <c r="J5504" t="s">
        <v>4909</v>
      </c>
      <c r="K5504" t="s">
        <v>4909</v>
      </c>
    </row>
    <row r="5505" spans="1:11" x14ac:dyDescent="0.2">
      <c r="A5505" t="s">
        <v>2104</v>
      </c>
      <c r="B5505" t="s">
        <v>4909</v>
      </c>
      <c r="C5505" t="s">
        <v>4909</v>
      </c>
      <c r="D5505" t="s">
        <v>4909</v>
      </c>
      <c r="E5505" t="s">
        <v>4909</v>
      </c>
      <c r="F5505" t="s">
        <v>4909</v>
      </c>
      <c r="G5505" t="s">
        <v>4909</v>
      </c>
      <c r="H5505" t="s">
        <v>4909</v>
      </c>
      <c r="I5505" t="s">
        <v>4909</v>
      </c>
      <c r="J5505" t="s">
        <v>4909</v>
      </c>
      <c r="K5505" t="s">
        <v>4909</v>
      </c>
    </row>
    <row r="5506" spans="1:11" x14ac:dyDescent="0.2">
      <c r="A5506" t="s">
        <v>2107</v>
      </c>
      <c r="B5506" t="s">
        <v>4909</v>
      </c>
      <c r="C5506" t="s">
        <v>4909</v>
      </c>
      <c r="D5506" t="s">
        <v>4909</v>
      </c>
      <c r="E5506" t="s">
        <v>4909</v>
      </c>
      <c r="F5506" t="s">
        <v>4909</v>
      </c>
      <c r="G5506" t="s">
        <v>4909</v>
      </c>
      <c r="H5506" t="s">
        <v>4909</v>
      </c>
      <c r="I5506" t="s">
        <v>4909</v>
      </c>
      <c r="J5506" t="s">
        <v>4909</v>
      </c>
      <c r="K5506" t="s">
        <v>4909</v>
      </c>
    </row>
    <row r="5507" spans="1:11" x14ac:dyDescent="0.2">
      <c r="A5507" t="s">
        <v>2110</v>
      </c>
      <c r="B5507" t="s">
        <v>4909</v>
      </c>
      <c r="C5507" t="s">
        <v>4909</v>
      </c>
      <c r="D5507" t="s">
        <v>4909</v>
      </c>
      <c r="E5507" t="s">
        <v>4909</v>
      </c>
      <c r="F5507" t="s">
        <v>4909</v>
      </c>
      <c r="G5507" t="s">
        <v>4909</v>
      </c>
      <c r="H5507" t="s">
        <v>4909</v>
      </c>
      <c r="I5507" t="s">
        <v>4909</v>
      </c>
      <c r="J5507" t="s">
        <v>4909</v>
      </c>
      <c r="K5507" t="s">
        <v>4909</v>
      </c>
    </row>
    <row r="5508" spans="1:11" x14ac:dyDescent="0.2">
      <c r="A5508" t="s">
        <v>2113</v>
      </c>
      <c r="B5508" t="s">
        <v>4909</v>
      </c>
      <c r="C5508" t="s">
        <v>4909</v>
      </c>
      <c r="D5508" t="s">
        <v>4909</v>
      </c>
      <c r="E5508" t="s">
        <v>4909</v>
      </c>
      <c r="F5508" t="s">
        <v>4909</v>
      </c>
      <c r="G5508" t="s">
        <v>4909</v>
      </c>
      <c r="H5508" t="s">
        <v>4909</v>
      </c>
      <c r="I5508" t="s">
        <v>4909</v>
      </c>
      <c r="J5508" t="s">
        <v>4909</v>
      </c>
      <c r="K5508" t="s">
        <v>4909</v>
      </c>
    </row>
    <row r="5509" spans="1:11" x14ac:dyDescent="0.2">
      <c r="A5509" t="s">
        <v>4346</v>
      </c>
      <c r="B5509" t="s">
        <v>4909</v>
      </c>
      <c r="C5509" t="s">
        <v>4909</v>
      </c>
      <c r="D5509" t="s">
        <v>4909</v>
      </c>
      <c r="E5509" t="s">
        <v>4909</v>
      </c>
      <c r="F5509" t="s">
        <v>4909</v>
      </c>
      <c r="G5509" t="s">
        <v>4909</v>
      </c>
      <c r="H5509" t="s">
        <v>4909</v>
      </c>
      <c r="I5509" t="s">
        <v>4909</v>
      </c>
      <c r="J5509" t="s">
        <v>4909</v>
      </c>
      <c r="K5509" t="s">
        <v>4909</v>
      </c>
    </row>
    <row r="5510" spans="1:11" x14ac:dyDescent="0.2">
      <c r="A5510" t="s">
        <v>4347</v>
      </c>
      <c r="B5510" t="s">
        <v>4909</v>
      </c>
      <c r="C5510" t="s">
        <v>4909</v>
      </c>
      <c r="D5510" t="s">
        <v>4909</v>
      </c>
      <c r="E5510" t="s">
        <v>4909</v>
      </c>
      <c r="F5510" t="s">
        <v>4909</v>
      </c>
      <c r="G5510" t="s">
        <v>4909</v>
      </c>
      <c r="H5510" t="s">
        <v>4909</v>
      </c>
      <c r="I5510" t="s">
        <v>4909</v>
      </c>
      <c r="J5510" t="s">
        <v>4909</v>
      </c>
      <c r="K5510" t="s">
        <v>4909</v>
      </c>
    </row>
    <row r="5511" spans="1:11" x14ac:dyDescent="0.2">
      <c r="A5511" t="s">
        <v>4348</v>
      </c>
      <c r="B5511" t="s">
        <v>4909</v>
      </c>
      <c r="C5511" t="s">
        <v>4909</v>
      </c>
      <c r="D5511" t="s">
        <v>4909</v>
      </c>
      <c r="E5511" t="s">
        <v>4909</v>
      </c>
      <c r="F5511" t="s">
        <v>4909</v>
      </c>
      <c r="G5511" t="s">
        <v>4909</v>
      </c>
      <c r="H5511" t="s">
        <v>4909</v>
      </c>
      <c r="I5511" t="s">
        <v>4909</v>
      </c>
      <c r="J5511" t="s">
        <v>4909</v>
      </c>
      <c r="K5511" t="s">
        <v>4909</v>
      </c>
    </row>
    <row r="5512" spans="1:11" x14ac:dyDescent="0.2">
      <c r="A5512" t="s">
        <v>4349</v>
      </c>
      <c r="B5512" t="s">
        <v>4909</v>
      </c>
      <c r="C5512" t="s">
        <v>4909</v>
      </c>
      <c r="D5512" t="s">
        <v>4909</v>
      </c>
      <c r="E5512" t="s">
        <v>4909</v>
      </c>
      <c r="F5512" t="s">
        <v>4909</v>
      </c>
      <c r="G5512" t="s">
        <v>4909</v>
      </c>
      <c r="H5512" t="s">
        <v>4909</v>
      </c>
      <c r="I5512" t="s">
        <v>4909</v>
      </c>
      <c r="J5512" t="s">
        <v>4909</v>
      </c>
      <c r="K5512" t="s">
        <v>4909</v>
      </c>
    </row>
    <row r="5513" spans="1:11" x14ac:dyDescent="0.2">
      <c r="A5513" t="s">
        <v>4350</v>
      </c>
      <c r="B5513" t="s">
        <v>4909</v>
      </c>
      <c r="C5513" t="s">
        <v>4909</v>
      </c>
      <c r="D5513" t="s">
        <v>4909</v>
      </c>
      <c r="E5513" t="s">
        <v>4909</v>
      </c>
      <c r="F5513" t="s">
        <v>4909</v>
      </c>
      <c r="G5513" t="s">
        <v>4909</v>
      </c>
      <c r="H5513" s="88">
        <v>0</v>
      </c>
      <c r="I5513" t="s">
        <v>4909</v>
      </c>
      <c r="J5513" t="s">
        <v>4909</v>
      </c>
      <c r="K5513" s="88">
        <v>0</v>
      </c>
    </row>
    <row r="5514" spans="1:11" x14ac:dyDescent="0.2">
      <c r="A5514" t="s">
        <v>4351</v>
      </c>
      <c r="B5514" t="s">
        <v>4909</v>
      </c>
      <c r="C5514" t="s">
        <v>4909</v>
      </c>
      <c r="D5514" t="s">
        <v>4909</v>
      </c>
      <c r="E5514" t="s">
        <v>4909</v>
      </c>
      <c r="F5514" t="s">
        <v>4909</v>
      </c>
      <c r="G5514" t="s">
        <v>4909</v>
      </c>
      <c r="H5514" t="s">
        <v>4909</v>
      </c>
      <c r="I5514" t="s">
        <v>4909</v>
      </c>
      <c r="J5514" t="s">
        <v>4909</v>
      </c>
      <c r="K5514" t="s">
        <v>4909</v>
      </c>
    </row>
    <row r="5515" spans="1:11" x14ac:dyDescent="0.2">
      <c r="A5515" t="s">
        <v>4352</v>
      </c>
      <c r="B5515" t="s">
        <v>4909</v>
      </c>
      <c r="C5515" t="s">
        <v>4909</v>
      </c>
      <c r="D5515" t="s">
        <v>4909</v>
      </c>
      <c r="E5515" t="s">
        <v>4909</v>
      </c>
      <c r="F5515" t="s">
        <v>4909</v>
      </c>
      <c r="G5515" t="s">
        <v>4909</v>
      </c>
      <c r="H5515" t="s">
        <v>4909</v>
      </c>
      <c r="I5515" t="s">
        <v>4909</v>
      </c>
      <c r="J5515" t="s">
        <v>4909</v>
      </c>
      <c r="K5515" t="s">
        <v>4909</v>
      </c>
    </row>
    <row r="5516" spans="1:11" x14ac:dyDescent="0.2">
      <c r="A5516" t="s">
        <v>4353</v>
      </c>
      <c r="B5516" t="s">
        <v>4909</v>
      </c>
      <c r="C5516" t="s">
        <v>4909</v>
      </c>
      <c r="D5516" t="s">
        <v>4909</v>
      </c>
      <c r="E5516" t="s">
        <v>4909</v>
      </c>
      <c r="F5516" t="s">
        <v>4909</v>
      </c>
      <c r="G5516" t="s">
        <v>4909</v>
      </c>
      <c r="H5516" s="88">
        <v>3.5999999999999997E-2</v>
      </c>
      <c r="I5516" t="s">
        <v>4909</v>
      </c>
      <c r="J5516" t="s">
        <v>4909</v>
      </c>
      <c r="K5516" s="88">
        <v>2E-3</v>
      </c>
    </row>
    <row r="5517" spans="1:11" x14ac:dyDescent="0.2">
      <c r="A5517" t="s">
        <v>4354</v>
      </c>
      <c r="B5517" s="88">
        <v>1E-3</v>
      </c>
      <c r="C5517" t="s">
        <v>4909</v>
      </c>
      <c r="D5517" s="88">
        <v>1E-3</v>
      </c>
      <c r="E5517" t="s">
        <v>4909</v>
      </c>
      <c r="F5517" t="s">
        <v>4909</v>
      </c>
      <c r="G5517" t="s">
        <v>4909</v>
      </c>
      <c r="H5517" s="88">
        <v>6.9000000000000006E-2</v>
      </c>
      <c r="I5517" t="s">
        <v>4909</v>
      </c>
      <c r="J5517" s="88">
        <v>1E-3</v>
      </c>
      <c r="K5517" s="88">
        <v>5.0000000000000001E-3</v>
      </c>
    </row>
    <row r="5518" spans="1:11" x14ac:dyDescent="0.2">
      <c r="A5518" t="s">
        <v>4355</v>
      </c>
      <c r="B5518" t="s">
        <v>4909</v>
      </c>
      <c r="C5518" t="s">
        <v>4909</v>
      </c>
      <c r="D5518" t="s">
        <v>4909</v>
      </c>
      <c r="E5518" t="s">
        <v>4909</v>
      </c>
      <c r="F5518" t="s">
        <v>4909</v>
      </c>
      <c r="G5518" t="s">
        <v>4909</v>
      </c>
      <c r="H5518" t="s">
        <v>4909</v>
      </c>
      <c r="I5518" t="s">
        <v>4909</v>
      </c>
      <c r="J5518" t="s">
        <v>4909</v>
      </c>
      <c r="K5518" t="s">
        <v>4909</v>
      </c>
    </row>
    <row r="5519" spans="1:11" x14ac:dyDescent="0.2">
      <c r="A5519" t="s">
        <v>4356</v>
      </c>
      <c r="B5519" t="s">
        <v>4909</v>
      </c>
      <c r="C5519" t="s">
        <v>4909</v>
      </c>
      <c r="D5519" t="s">
        <v>4909</v>
      </c>
      <c r="E5519" t="s">
        <v>4909</v>
      </c>
      <c r="F5519" t="s">
        <v>4909</v>
      </c>
      <c r="G5519" t="s">
        <v>4909</v>
      </c>
      <c r="H5519" t="s">
        <v>4909</v>
      </c>
      <c r="I5519" t="s">
        <v>4909</v>
      </c>
      <c r="J5519" t="s">
        <v>4909</v>
      </c>
      <c r="K5519" t="s">
        <v>4909</v>
      </c>
    </row>
    <row r="5520" spans="1:11" x14ac:dyDescent="0.2">
      <c r="A5520" t="s">
        <v>4357</v>
      </c>
      <c r="B5520" t="s">
        <v>4909</v>
      </c>
      <c r="C5520" t="s">
        <v>4909</v>
      </c>
      <c r="D5520" t="s">
        <v>4909</v>
      </c>
      <c r="E5520" t="s">
        <v>4909</v>
      </c>
      <c r="F5520" t="s">
        <v>4909</v>
      </c>
      <c r="G5520" t="s">
        <v>4909</v>
      </c>
      <c r="H5520" s="88">
        <v>0</v>
      </c>
      <c r="I5520" t="s">
        <v>4909</v>
      </c>
      <c r="J5520" t="s">
        <v>4909</v>
      </c>
      <c r="K5520" t="s">
        <v>4909</v>
      </c>
    </row>
    <row r="5521" spans="1:11" x14ac:dyDescent="0.2">
      <c r="A5521" t="s">
        <v>4358</v>
      </c>
      <c r="B5521" t="s">
        <v>4909</v>
      </c>
      <c r="C5521" t="s">
        <v>4909</v>
      </c>
      <c r="D5521" t="s">
        <v>4909</v>
      </c>
      <c r="E5521" t="s">
        <v>4909</v>
      </c>
      <c r="F5521" t="s">
        <v>4909</v>
      </c>
      <c r="G5521" t="s">
        <v>4909</v>
      </c>
      <c r="H5521" s="88">
        <v>0</v>
      </c>
      <c r="I5521" t="s">
        <v>4909</v>
      </c>
      <c r="J5521" t="s">
        <v>4909</v>
      </c>
      <c r="K5521" t="s">
        <v>4909</v>
      </c>
    </row>
    <row r="5522" spans="1:11" x14ac:dyDescent="0.2">
      <c r="A5522" t="s">
        <v>4359</v>
      </c>
      <c r="B5522" t="s">
        <v>4909</v>
      </c>
      <c r="C5522" t="s">
        <v>4909</v>
      </c>
      <c r="D5522" t="s">
        <v>4909</v>
      </c>
      <c r="E5522" t="s">
        <v>4909</v>
      </c>
      <c r="F5522" t="s">
        <v>4909</v>
      </c>
      <c r="G5522" t="s">
        <v>4909</v>
      </c>
      <c r="H5522" t="s">
        <v>4909</v>
      </c>
      <c r="I5522" t="s">
        <v>4909</v>
      </c>
      <c r="J5522" t="s">
        <v>4909</v>
      </c>
      <c r="K5522" t="s">
        <v>4909</v>
      </c>
    </row>
    <row r="5523" spans="1:11" x14ac:dyDescent="0.2">
      <c r="A5523" t="s">
        <v>4360</v>
      </c>
      <c r="B5523" t="s">
        <v>4909</v>
      </c>
      <c r="C5523" t="s">
        <v>4909</v>
      </c>
      <c r="D5523" t="s">
        <v>4909</v>
      </c>
      <c r="E5523" t="s">
        <v>4909</v>
      </c>
      <c r="F5523" t="s">
        <v>4909</v>
      </c>
      <c r="G5523" t="s">
        <v>4909</v>
      </c>
      <c r="H5523" s="88">
        <v>1.0999999999999999E-2</v>
      </c>
      <c r="I5523" t="s">
        <v>4909</v>
      </c>
      <c r="J5523" t="s">
        <v>4909</v>
      </c>
      <c r="K5523" s="88">
        <v>0</v>
      </c>
    </row>
    <row r="5524" spans="1:11" x14ac:dyDescent="0.2">
      <c r="A5524" t="s">
        <v>4361</v>
      </c>
      <c r="B5524" s="88">
        <v>1E-3</v>
      </c>
      <c r="C5524" t="s">
        <v>4909</v>
      </c>
      <c r="D5524" s="88">
        <v>1E-3</v>
      </c>
      <c r="E5524" t="s">
        <v>4909</v>
      </c>
      <c r="F5524" t="s">
        <v>4909</v>
      </c>
      <c r="G5524" t="s">
        <v>4909</v>
      </c>
      <c r="H5524" s="88">
        <v>1.6E-2</v>
      </c>
      <c r="I5524" t="s">
        <v>4909</v>
      </c>
      <c r="J5524" s="88">
        <v>0</v>
      </c>
      <c r="K5524" s="88">
        <v>1E-3</v>
      </c>
    </row>
    <row r="5525" spans="1:11" x14ac:dyDescent="0.2">
      <c r="A5525" t="s">
        <v>4362</v>
      </c>
      <c r="B5525" t="s">
        <v>4909</v>
      </c>
      <c r="C5525" t="s">
        <v>4909</v>
      </c>
      <c r="D5525" t="s">
        <v>4909</v>
      </c>
      <c r="E5525" t="s">
        <v>4909</v>
      </c>
      <c r="F5525" t="s">
        <v>4909</v>
      </c>
      <c r="G5525" t="s">
        <v>4909</v>
      </c>
      <c r="H5525" t="s">
        <v>4909</v>
      </c>
      <c r="I5525" t="s">
        <v>4909</v>
      </c>
      <c r="J5525" t="s">
        <v>4909</v>
      </c>
      <c r="K5525" t="s">
        <v>4909</v>
      </c>
    </row>
    <row r="5526" spans="1:11" x14ac:dyDescent="0.2">
      <c r="A5526" t="s">
        <v>4363</v>
      </c>
      <c r="B5526" t="s">
        <v>4909</v>
      </c>
      <c r="C5526" t="s">
        <v>4909</v>
      </c>
      <c r="D5526" t="s">
        <v>4909</v>
      </c>
      <c r="E5526" t="s">
        <v>4909</v>
      </c>
      <c r="F5526" t="s">
        <v>4909</v>
      </c>
      <c r="G5526" t="s">
        <v>4909</v>
      </c>
      <c r="H5526" s="88">
        <v>1E-3</v>
      </c>
      <c r="I5526" t="s">
        <v>4909</v>
      </c>
      <c r="J5526" t="s">
        <v>4909</v>
      </c>
      <c r="K5526" t="s">
        <v>4909</v>
      </c>
    </row>
    <row r="5527" spans="1:11" x14ac:dyDescent="0.2">
      <c r="A5527" t="s">
        <v>4364</v>
      </c>
      <c r="B5527" t="s">
        <v>4909</v>
      </c>
      <c r="C5527" t="s">
        <v>4909</v>
      </c>
      <c r="D5527" t="s">
        <v>4909</v>
      </c>
      <c r="E5527" t="s">
        <v>4909</v>
      </c>
      <c r="F5527" t="s">
        <v>4909</v>
      </c>
      <c r="G5527" t="s">
        <v>4909</v>
      </c>
      <c r="H5527" t="s">
        <v>4909</v>
      </c>
      <c r="I5527" t="s">
        <v>4909</v>
      </c>
      <c r="J5527" t="s">
        <v>4909</v>
      </c>
      <c r="K5527" t="s">
        <v>4909</v>
      </c>
    </row>
    <row r="5528" spans="1:11" x14ac:dyDescent="0.2">
      <c r="A5528" t="s">
        <v>4365</v>
      </c>
      <c r="B5528" s="88">
        <v>0</v>
      </c>
      <c r="C5528" t="s">
        <v>4909</v>
      </c>
      <c r="D5528" s="88">
        <v>0</v>
      </c>
      <c r="E5528" t="s">
        <v>4909</v>
      </c>
      <c r="F5528" t="s">
        <v>4909</v>
      </c>
      <c r="G5528" t="s">
        <v>4909</v>
      </c>
      <c r="H5528" s="88">
        <v>8.0000000000000002E-3</v>
      </c>
      <c r="I5528" t="s">
        <v>4909</v>
      </c>
      <c r="J5528" s="88">
        <v>0</v>
      </c>
      <c r="K5528" s="88">
        <v>5.0000000000000001E-3</v>
      </c>
    </row>
    <row r="5529" spans="1:11" x14ac:dyDescent="0.2">
      <c r="A5529" t="s">
        <v>4366</v>
      </c>
      <c r="B5529" t="s">
        <v>4909</v>
      </c>
      <c r="C5529" t="s">
        <v>4909</v>
      </c>
      <c r="D5529" t="s">
        <v>4909</v>
      </c>
      <c r="E5529" t="s">
        <v>4909</v>
      </c>
      <c r="F5529" t="s">
        <v>4909</v>
      </c>
      <c r="G5529" t="s">
        <v>4909</v>
      </c>
      <c r="H5529" t="s">
        <v>4909</v>
      </c>
      <c r="I5529" t="s">
        <v>4909</v>
      </c>
      <c r="J5529" t="s">
        <v>4909</v>
      </c>
      <c r="K5529" t="s">
        <v>4909</v>
      </c>
    </row>
    <row r="5530" spans="1:11" x14ac:dyDescent="0.2">
      <c r="A5530" t="s">
        <v>4367</v>
      </c>
      <c r="B5530" t="s">
        <v>4909</v>
      </c>
      <c r="C5530" t="s">
        <v>4909</v>
      </c>
      <c r="D5530" t="s">
        <v>4909</v>
      </c>
      <c r="E5530" t="s">
        <v>4909</v>
      </c>
      <c r="F5530" t="s">
        <v>4909</v>
      </c>
      <c r="G5530" t="s">
        <v>4909</v>
      </c>
      <c r="H5530" t="s">
        <v>4909</v>
      </c>
      <c r="I5530" t="s">
        <v>4909</v>
      </c>
      <c r="J5530" t="s">
        <v>4909</v>
      </c>
      <c r="K5530" t="s">
        <v>4909</v>
      </c>
    </row>
    <row r="5531" spans="1:11" x14ac:dyDescent="0.2">
      <c r="A5531" t="s">
        <v>4368</v>
      </c>
      <c r="B5531" s="88">
        <v>0</v>
      </c>
      <c r="C5531" t="s">
        <v>4909</v>
      </c>
      <c r="D5531" s="88">
        <v>0</v>
      </c>
      <c r="E5531" t="s">
        <v>4909</v>
      </c>
      <c r="F5531" t="s">
        <v>4909</v>
      </c>
      <c r="G5531" t="s">
        <v>4909</v>
      </c>
      <c r="H5531" s="88">
        <v>3.3000000000000002E-2</v>
      </c>
      <c r="I5531" t="s">
        <v>4909</v>
      </c>
      <c r="J5531" s="88">
        <v>0</v>
      </c>
      <c r="K5531" s="88">
        <v>0.02</v>
      </c>
    </row>
    <row r="5532" spans="1:11" x14ac:dyDescent="0.2">
      <c r="A5532" t="s">
        <v>4369</v>
      </c>
      <c r="B5532" s="88">
        <v>0</v>
      </c>
      <c r="C5532" t="s">
        <v>4909</v>
      </c>
      <c r="D5532" s="88">
        <v>0</v>
      </c>
      <c r="E5532" t="s">
        <v>4909</v>
      </c>
      <c r="F5532" t="s">
        <v>4909</v>
      </c>
      <c r="G5532" t="s">
        <v>4909</v>
      </c>
      <c r="H5532" s="88">
        <v>1.4999999999999999E-2</v>
      </c>
      <c r="I5532" t="s">
        <v>4909</v>
      </c>
      <c r="J5532" s="88">
        <v>0</v>
      </c>
      <c r="K5532" s="88">
        <v>0.01</v>
      </c>
    </row>
    <row r="5533" spans="1:11" x14ac:dyDescent="0.2">
      <c r="A5533" t="s">
        <v>4370</v>
      </c>
      <c r="B5533" s="88">
        <v>0</v>
      </c>
      <c r="C5533" t="s">
        <v>4909</v>
      </c>
      <c r="D5533" s="88">
        <v>1E-3</v>
      </c>
      <c r="E5533" t="s">
        <v>4909</v>
      </c>
      <c r="F5533" t="s">
        <v>4909</v>
      </c>
      <c r="G5533" t="s">
        <v>4909</v>
      </c>
      <c r="H5533" s="88">
        <v>8.9999999999999993E-3</v>
      </c>
      <c r="I5533" t="s">
        <v>4909</v>
      </c>
      <c r="J5533" t="s">
        <v>4909</v>
      </c>
      <c r="K5533" s="88">
        <v>5.0000000000000001E-3</v>
      </c>
    </row>
    <row r="5534" spans="1:11" x14ac:dyDescent="0.2">
      <c r="A5534" t="s">
        <v>4371</v>
      </c>
      <c r="B5534" t="s">
        <v>4909</v>
      </c>
      <c r="C5534" t="s">
        <v>4909</v>
      </c>
      <c r="D5534" t="s">
        <v>4909</v>
      </c>
      <c r="E5534" t="s">
        <v>4909</v>
      </c>
      <c r="F5534" t="s">
        <v>4909</v>
      </c>
      <c r="G5534" t="s">
        <v>4909</v>
      </c>
      <c r="H5534" s="88">
        <v>1.9E-2</v>
      </c>
      <c r="I5534" t="s">
        <v>4909</v>
      </c>
      <c r="J5534" t="s">
        <v>4909</v>
      </c>
      <c r="K5534" s="88">
        <v>1.2E-2</v>
      </c>
    </row>
    <row r="5535" spans="1:11" x14ac:dyDescent="0.2">
      <c r="A5535" t="s">
        <v>4372</v>
      </c>
      <c r="B5535" t="s">
        <v>4909</v>
      </c>
      <c r="C5535" t="s">
        <v>4909</v>
      </c>
      <c r="D5535" t="s">
        <v>4909</v>
      </c>
      <c r="E5535" t="s">
        <v>4909</v>
      </c>
      <c r="F5535" t="s">
        <v>4909</v>
      </c>
      <c r="G5535" t="s">
        <v>4909</v>
      </c>
      <c r="H5535" t="s">
        <v>4909</v>
      </c>
      <c r="I5535" t="s">
        <v>4909</v>
      </c>
      <c r="J5535" t="s">
        <v>4909</v>
      </c>
      <c r="K5535" t="s">
        <v>4909</v>
      </c>
    </row>
    <row r="5536" spans="1:11" x14ac:dyDescent="0.2">
      <c r="A5536" t="s">
        <v>4373</v>
      </c>
      <c r="B5536" t="s">
        <v>4909</v>
      </c>
      <c r="C5536" t="s">
        <v>4909</v>
      </c>
      <c r="D5536" t="s">
        <v>4909</v>
      </c>
      <c r="E5536" t="s">
        <v>4909</v>
      </c>
      <c r="F5536" t="s">
        <v>4909</v>
      </c>
      <c r="G5536" t="s">
        <v>4909</v>
      </c>
      <c r="H5536" s="88">
        <v>0</v>
      </c>
      <c r="I5536" t="s">
        <v>4909</v>
      </c>
      <c r="J5536" t="s">
        <v>4909</v>
      </c>
      <c r="K5536" t="s">
        <v>4909</v>
      </c>
    </row>
    <row r="5537" spans="1:11" x14ac:dyDescent="0.2">
      <c r="A5537" t="s">
        <v>4374</v>
      </c>
      <c r="B5537" t="s">
        <v>4909</v>
      </c>
      <c r="C5537" t="s">
        <v>4909</v>
      </c>
      <c r="D5537" t="s">
        <v>4909</v>
      </c>
      <c r="E5537" t="s">
        <v>4909</v>
      </c>
      <c r="F5537" t="s">
        <v>4909</v>
      </c>
      <c r="G5537" t="s">
        <v>4909</v>
      </c>
      <c r="H5537" t="s">
        <v>4909</v>
      </c>
      <c r="I5537" t="s">
        <v>4909</v>
      </c>
      <c r="J5537" t="s">
        <v>4909</v>
      </c>
      <c r="K5537" t="s">
        <v>4909</v>
      </c>
    </row>
    <row r="5538" spans="1:11" x14ac:dyDescent="0.2">
      <c r="A5538" t="s">
        <v>4375</v>
      </c>
      <c r="B5538" t="s">
        <v>4909</v>
      </c>
      <c r="C5538" t="s">
        <v>4909</v>
      </c>
      <c r="D5538" t="s">
        <v>4909</v>
      </c>
      <c r="E5538" t="s">
        <v>4909</v>
      </c>
      <c r="F5538" t="s">
        <v>4909</v>
      </c>
      <c r="G5538" t="s">
        <v>4909</v>
      </c>
      <c r="H5538" t="s">
        <v>4909</v>
      </c>
      <c r="I5538" t="s">
        <v>4909</v>
      </c>
      <c r="J5538" t="s">
        <v>4909</v>
      </c>
      <c r="K5538" t="s">
        <v>4909</v>
      </c>
    </row>
    <row r="5539" spans="1:11" x14ac:dyDescent="0.2">
      <c r="A5539" t="s">
        <v>4376</v>
      </c>
      <c r="B5539" t="s">
        <v>4909</v>
      </c>
      <c r="C5539" t="s">
        <v>4909</v>
      </c>
      <c r="D5539" t="s">
        <v>4909</v>
      </c>
      <c r="E5539" t="s">
        <v>4909</v>
      </c>
      <c r="F5539" t="s">
        <v>4909</v>
      </c>
      <c r="G5539" t="s">
        <v>4909</v>
      </c>
      <c r="H5539" t="s">
        <v>4909</v>
      </c>
      <c r="I5539" t="s">
        <v>4909</v>
      </c>
      <c r="J5539" t="s">
        <v>4909</v>
      </c>
      <c r="K5539" t="s">
        <v>4909</v>
      </c>
    </row>
    <row r="5540" spans="1:11" x14ac:dyDescent="0.2">
      <c r="A5540" t="s">
        <v>4377</v>
      </c>
      <c r="B5540" t="s">
        <v>4909</v>
      </c>
      <c r="C5540" t="s">
        <v>4909</v>
      </c>
      <c r="D5540" t="s">
        <v>4909</v>
      </c>
      <c r="E5540" t="s">
        <v>4909</v>
      </c>
      <c r="F5540" t="s">
        <v>4909</v>
      </c>
      <c r="G5540" t="s">
        <v>4909</v>
      </c>
      <c r="H5540" t="s">
        <v>4909</v>
      </c>
      <c r="I5540" t="s">
        <v>4909</v>
      </c>
      <c r="J5540" t="s">
        <v>4909</v>
      </c>
      <c r="K5540" t="s">
        <v>4909</v>
      </c>
    </row>
    <row r="5541" spans="1:11" x14ac:dyDescent="0.2">
      <c r="A5541" t="s">
        <v>2318</v>
      </c>
      <c r="B5541" t="s">
        <v>4399</v>
      </c>
      <c r="C5541" t="s">
        <v>4399</v>
      </c>
      <c r="D5541" t="s">
        <v>4399</v>
      </c>
      <c r="E5541" t="s">
        <v>4399</v>
      </c>
      <c r="F5541" t="s">
        <v>4399</v>
      </c>
      <c r="G5541" t="s">
        <v>4399</v>
      </c>
      <c r="H5541" t="s">
        <v>4399</v>
      </c>
      <c r="I5541" t="s">
        <v>4399</v>
      </c>
      <c r="J5541" t="s">
        <v>4399</v>
      </c>
      <c r="K5541" t="s">
        <v>4399</v>
      </c>
    </row>
    <row r="5542" spans="1:11" x14ac:dyDescent="0.2">
      <c r="A5542" t="s">
        <v>4248</v>
      </c>
    </row>
    <row r="5543" spans="1:11" x14ac:dyDescent="0.2">
      <c r="A5543" t="s">
        <v>4910</v>
      </c>
      <c r="B5543" t="s">
        <v>4904</v>
      </c>
      <c r="C5543" t="s">
        <v>4911</v>
      </c>
      <c r="D5543" t="s">
        <v>4912</v>
      </c>
      <c r="E5543" t="s">
        <v>4907</v>
      </c>
      <c r="F5543" t="s">
        <v>4913</v>
      </c>
      <c r="G5543">
        <v>3</v>
      </c>
    </row>
    <row r="5544" spans="1:11" x14ac:dyDescent="0.2">
      <c r="A5544" t="s">
        <v>2318</v>
      </c>
      <c r="B5544" t="s">
        <v>4399</v>
      </c>
      <c r="C5544" t="s">
        <v>4399</v>
      </c>
      <c r="D5544" t="s">
        <v>4399</v>
      </c>
      <c r="E5544" t="s">
        <v>4399</v>
      </c>
      <c r="F5544" t="s">
        <v>4399</v>
      </c>
      <c r="G5544" t="s">
        <v>4399</v>
      </c>
      <c r="H5544" t="s">
        <v>4399</v>
      </c>
      <c r="I5544" t="s">
        <v>4399</v>
      </c>
      <c r="J5544" t="s">
        <v>4399</v>
      </c>
      <c r="K5544" t="s">
        <v>4399</v>
      </c>
    </row>
    <row r="5545" spans="1:11" x14ac:dyDescent="0.2">
      <c r="A5545" t="s">
        <v>126</v>
      </c>
      <c r="B5545" t="s">
        <v>4462</v>
      </c>
      <c r="C5545" t="s">
        <v>4466</v>
      </c>
      <c r="D5545" t="s">
        <v>4470</v>
      </c>
      <c r="E5545" t="s">
        <v>4474</v>
      </c>
      <c r="F5545" t="s">
        <v>4478</v>
      </c>
      <c r="G5545" t="s">
        <v>4482</v>
      </c>
      <c r="H5545" t="s">
        <v>4486</v>
      </c>
      <c r="I5545" t="s">
        <v>4490</v>
      </c>
      <c r="J5545" t="s">
        <v>4494</v>
      </c>
      <c r="K5545" t="s">
        <v>4498</v>
      </c>
    </row>
    <row r="5546" spans="1:11" x14ac:dyDescent="0.2">
      <c r="A5546" t="s">
        <v>2318</v>
      </c>
      <c r="B5546" t="s">
        <v>4399</v>
      </c>
      <c r="C5546" t="s">
        <v>4399</v>
      </c>
      <c r="D5546" t="s">
        <v>4399</v>
      </c>
      <c r="E5546" t="s">
        <v>4399</v>
      </c>
      <c r="F5546" t="s">
        <v>4399</v>
      </c>
      <c r="G5546" t="s">
        <v>4399</v>
      </c>
      <c r="H5546" t="s">
        <v>4399</v>
      </c>
      <c r="I5546" t="s">
        <v>4399</v>
      </c>
      <c r="J5546" t="s">
        <v>4399</v>
      </c>
      <c r="K5546" t="s">
        <v>4399</v>
      </c>
    </row>
    <row r="5547" spans="1:11" x14ac:dyDescent="0.2">
      <c r="A5547" t="s">
        <v>4265</v>
      </c>
      <c r="B5547" t="s">
        <v>4909</v>
      </c>
      <c r="C5547" t="s">
        <v>4909</v>
      </c>
      <c r="D5547" t="s">
        <v>4909</v>
      </c>
      <c r="E5547" t="s">
        <v>4909</v>
      </c>
      <c r="F5547" t="s">
        <v>4909</v>
      </c>
      <c r="G5547" t="s">
        <v>4909</v>
      </c>
      <c r="H5547" t="s">
        <v>4909</v>
      </c>
      <c r="I5547" t="s">
        <v>4909</v>
      </c>
      <c r="J5547" t="s">
        <v>4909</v>
      </c>
      <c r="K5547" t="s">
        <v>4909</v>
      </c>
    </row>
    <row r="5548" spans="1:11" x14ac:dyDescent="0.2">
      <c r="A5548" t="s">
        <v>4266</v>
      </c>
      <c r="B5548" t="s">
        <v>4909</v>
      </c>
      <c r="C5548" t="s">
        <v>4909</v>
      </c>
      <c r="D5548" t="s">
        <v>4909</v>
      </c>
      <c r="E5548" t="s">
        <v>4909</v>
      </c>
      <c r="F5548" t="s">
        <v>4909</v>
      </c>
      <c r="G5548" t="s">
        <v>4909</v>
      </c>
      <c r="H5548" t="s">
        <v>4909</v>
      </c>
      <c r="I5548" t="s">
        <v>4909</v>
      </c>
      <c r="J5548" t="s">
        <v>4909</v>
      </c>
      <c r="K5548" t="s">
        <v>4909</v>
      </c>
    </row>
    <row r="5549" spans="1:11" x14ac:dyDescent="0.2">
      <c r="A5549" t="s">
        <v>4267</v>
      </c>
      <c r="B5549" t="s">
        <v>4909</v>
      </c>
      <c r="C5549" t="s">
        <v>4909</v>
      </c>
      <c r="D5549" t="s">
        <v>4909</v>
      </c>
      <c r="E5549" t="s">
        <v>4909</v>
      </c>
      <c r="F5549" t="s">
        <v>4909</v>
      </c>
      <c r="G5549" t="s">
        <v>4909</v>
      </c>
      <c r="H5549" t="s">
        <v>4909</v>
      </c>
      <c r="I5549" t="s">
        <v>4909</v>
      </c>
      <c r="J5549" t="s">
        <v>4909</v>
      </c>
      <c r="K5549" t="s">
        <v>4909</v>
      </c>
    </row>
    <row r="5550" spans="1:11" x14ac:dyDescent="0.2">
      <c r="A5550" t="s">
        <v>4268</v>
      </c>
      <c r="B5550" t="s">
        <v>4909</v>
      </c>
      <c r="C5550" t="s">
        <v>4909</v>
      </c>
      <c r="D5550" t="s">
        <v>4909</v>
      </c>
      <c r="E5550" t="s">
        <v>4909</v>
      </c>
      <c r="F5550" t="s">
        <v>4909</v>
      </c>
      <c r="G5550" t="s">
        <v>4909</v>
      </c>
      <c r="H5550" t="s">
        <v>4909</v>
      </c>
      <c r="I5550" t="s">
        <v>4909</v>
      </c>
      <c r="J5550" t="s">
        <v>4909</v>
      </c>
      <c r="K5550" t="s">
        <v>4909</v>
      </c>
    </row>
    <row r="5551" spans="1:11" x14ac:dyDescent="0.2">
      <c r="A5551" t="s">
        <v>4269</v>
      </c>
      <c r="B5551" t="s">
        <v>4909</v>
      </c>
      <c r="C5551" t="s">
        <v>4909</v>
      </c>
      <c r="D5551" t="s">
        <v>4909</v>
      </c>
      <c r="E5551" t="s">
        <v>4909</v>
      </c>
      <c r="F5551" t="s">
        <v>4909</v>
      </c>
      <c r="G5551" t="s">
        <v>4909</v>
      </c>
      <c r="H5551" t="s">
        <v>4909</v>
      </c>
      <c r="I5551" t="s">
        <v>4909</v>
      </c>
      <c r="J5551" t="s">
        <v>4909</v>
      </c>
      <c r="K5551" t="s">
        <v>4909</v>
      </c>
    </row>
    <row r="5552" spans="1:11" x14ac:dyDescent="0.2">
      <c r="A5552" t="s">
        <v>4270</v>
      </c>
      <c r="B5552" t="s">
        <v>4909</v>
      </c>
      <c r="C5552" t="s">
        <v>4909</v>
      </c>
      <c r="D5552" t="s">
        <v>4909</v>
      </c>
      <c r="E5552" t="s">
        <v>4909</v>
      </c>
      <c r="F5552" t="s">
        <v>4909</v>
      </c>
      <c r="G5552" t="s">
        <v>4909</v>
      </c>
      <c r="H5552" t="s">
        <v>4909</v>
      </c>
      <c r="I5552" t="s">
        <v>4909</v>
      </c>
      <c r="J5552" t="s">
        <v>4909</v>
      </c>
      <c r="K5552" t="s">
        <v>4909</v>
      </c>
    </row>
    <row r="5553" spans="1:11" x14ac:dyDescent="0.2">
      <c r="A5553" t="s">
        <v>4271</v>
      </c>
      <c r="B5553" t="s">
        <v>4909</v>
      </c>
      <c r="C5553" t="s">
        <v>4909</v>
      </c>
      <c r="D5553" t="s">
        <v>4909</v>
      </c>
      <c r="E5553" t="s">
        <v>4909</v>
      </c>
      <c r="F5553" t="s">
        <v>4909</v>
      </c>
      <c r="G5553" t="s">
        <v>4909</v>
      </c>
      <c r="H5553" t="s">
        <v>4909</v>
      </c>
      <c r="I5553" t="s">
        <v>4909</v>
      </c>
      <c r="J5553" t="s">
        <v>4909</v>
      </c>
      <c r="K5553" t="s">
        <v>4909</v>
      </c>
    </row>
    <row r="5554" spans="1:11" x14ac:dyDescent="0.2">
      <c r="A5554" t="s">
        <v>4272</v>
      </c>
      <c r="B5554" t="s">
        <v>4909</v>
      </c>
      <c r="C5554" t="s">
        <v>4909</v>
      </c>
      <c r="D5554" t="s">
        <v>4909</v>
      </c>
      <c r="E5554" t="s">
        <v>4909</v>
      </c>
      <c r="F5554" t="s">
        <v>4909</v>
      </c>
      <c r="G5554" t="s">
        <v>4909</v>
      </c>
      <c r="H5554" t="s">
        <v>4909</v>
      </c>
      <c r="I5554" t="s">
        <v>4909</v>
      </c>
      <c r="J5554" t="s">
        <v>4909</v>
      </c>
      <c r="K5554" t="s">
        <v>4909</v>
      </c>
    </row>
    <row r="5555" spans="1:11" x14ac:dyDescent="0.2">
      <c r="A5555" t="s">
        <v>4273</v>
      </c>
      <c r="B5555" t="s">
        <v>4909</v>
      </c>
      <c r="C5555" t="s">
        <v>4909</v>
      </c>
      <c r="D5555" t="s">
        <v>4909</v>
      </c>
      <c r="E5555" t="s">
        <v>4909</v>
      </c>
      <c r="F5555" t="s">
        <v>4909</v>
      </c>
      <c r="G5555" t="s">
        <v>4909</v>
      </c>
      <c r="H5555" t="s">
        <v>4909</v>
      </c>
      <c r="I5555" t="s">
        <v>4909</v>
      </c>
      <c r="J5555" t="s">
        <v>4909</v>
      </c>
      <c r="K5555" t="s">
        <v>4909</v>
      </c>
    </row>
    <row r="5556" spans="1:11" x14ac:dyDescent="0.2">
      <c r="A5556" t="s">
        <v>4274</v>
      </c>
      <c r="B5556" t="s">
        <v>4909</v>
      </c>
      <c r="C5556" t="s">
        <v>4909</v>
      </c>
      <c r="D5556" t="s">
        <v>4909</v>
      </c>
      <c r="E5556" t="s">
        <v>4909</v>
      </c>
      <c r="F5556" t="s">
        <v>4909</v>
      </c>
      <c r="G5556" t="s">
        <v>4909</v>
      </c>
      <c r="H5556" t="s">
        <v>4909</v>
      </c>
      <c r="I5556" t="s">
        <v>4909</v>
      </c>
      <c r="J5556" t="s">
        <v>4909</v>
      </c>
      <c r="K5556" t="s">
        <v>4909</v>
      </c>
    </row>
    <row r="5557" spans="1:11" x14ac:dyDescent="0.2">
      <c r="A5557" t="s">
        <v>4275</v>
      </c>
      <c r="B5557" t="s">
        <v>4909</v>
      </c>
      <c r="C5557" t="s">
        <v>4909</v>
      </c>
      <c r="D5557" t="s">
        <v>4909</v>
      </c>
      <c r="E5557" t="s">
        <v>4909</v>
      </c>
      <c r="F5557" t="s">
        <v>4909</v>
      </c>
      <c r="G5557" t="s">
        <v>4909</v>
      </c>
      <c r="H5557" t="s">
        <v>4909</v>
      </c>
      <c r="I5557" t="s">
        <v>4909</v>
      </c>
      <c r="J5557" t="s">
        <v>4909</v>
      </c>
      <c r="K5557" t="s">
        <v>4909</v>
      </c>
    </row>
    <row r="5558" spans="1:11" x14ac:dyDescent="0.2">
      <c r="A5558" t="s">
        <v>4276</v>
      </c>
      <c r="B5558" t="s">
        <v>4909</v>
      </c>
      <c r="C5558" t="s">
        <v>4909</v>
      </c>
      <c r="D5558" t="s">
        <v>4909</v>
      </c>
      <c r="E5558" t="s">
        <v>4909</v>
      </c>
      <c r="F5558" t="s">
        <v>4909</v>
      </c>
      <c r="G5558" t="s">
        <v>4909</v>
      </c>
      <c r="H5558" t="s">
        <v>4909</v>
      </c>
      <c r="I5558" t="s">
        <v>4909</v>
      </c>
      <c r="J5558" t="s">
        <v>4909</v>
      </c>
      <c r="K5558" t="s">
        <v>4909</v>
      </c>
    </row>
    <row r="5559" spans="1:11" x14ac:dyDescent="0.2">
      <c r="A5559" t="s">
        <v>4277</v>
      </c>
      <c r="B5559" t="s">
        <v>4909</v>
      </c>
      <c r="C5559" t="s">
        <v>4909</v>
      </c>
      <c r="D5559" t="s">
        <v>4909</v>
      </c>
      <c r="E5559" t="s">
        <v>4909</v>
      </c>
      <c r="F5559" t="s">
        <v>4909</v>
      </c>
      <c r="G5559" t="s">
        <v>4909</v>
      </c>
      <c r="H5559" t="s">
        <v>4909</v>
      </c>
      <c r="I5559" t="s">
        <v>4909</v>
      </c>
      <c r="J5559" t="s">
        <v>4909</v>
      </c>
      <c r="K5559" t="s">
        <v>4909</v>
      </c>
    </row>
    <row r="5560" spans="1:11" x14ac:dyDescent="0.2">
      <c r="A5560" t="s">
        <v>4278</v>
      </c>
      <c r="B5560" t="s">
        <v>4909</v>
      </c>
      <c r="C5560" t="s">
        <v>4909</v>
      </c>
      <c r="D5560" t="s">
        <v>4909</v>
      </c>
      <c r="E5560" t="s">
        <v>4909</v>
      </c>
      <c r="F5560" t="s">
        <v>4909</v>
      </c>
      <c r="G5560" t="s">
        <v>4909</v>
      </c>
      <c r="H5560" t="s">
        <v>4909</v>
      </c>
      <c r="I5560" t="s">
        <v>4909</v>
      </c>
      <c r="J5560" t="s">
        <v>4909</v>
      </c>
      <c r="K5560" t="s">
        <v>4909</v>
      </c>
    </row>
    <row r="5561" spans="1:11" x14ac:dyDescent="0.2">
      <c r="A5561" t="s">
        <v>4279</v>
      </c>
      <c r="B5561" t="s">
        <v>4909</v>
      </c>
      <c r="C5561" t="s">
        <v>4909</v>
      </c>
      <c r="D5561" t="s">
        <v>4909</v>
      </c>
      <c r="E5561" t="s">
        <v>4909</v>
      </c>
      <c r="F5561" t="s">
        <v>4909</v>
      </c>
      <c r="G5561" t="s">
        <v>4909</v>
      </c>
      <c r="H5561" t="s">
        <v>4909</v>
      </c>
      <c r="I5561" t="s">
        <v>4909</v>
      </c>
      <c r="J5561" t="s">
        <v>4909</v>
      </c>
      <c r="K5561" t="s">
        <v>4909</v>
      </c>
    </row>
    <row r="5562" spans="1:11" x14ac:dyDescent="0.2">
      <c r="A5562" t="s">
        <v>4280</v>
      </c>
      <c r="B5562" t="s">
        <v>4909</v>
      </c>
      <c r="C5562" t="s">
        <v>4909</v>
      </c>
      <c r="D5562" t="s">
        <v>4909</v>
      </c>
      <c r="E5562" t="s">
        <v>4909</v>
      </c>
      <c r="F5562" t="s">
        <v>4909</v>
      </c>
      <c r="G5562" t="s">
        <v>4909</v>
      </c>
      <c r="H5562" t="s">
        <v>4909</v>
      </c>
      <c r="I5562" t="s">
        <v>4909</v>
      </c>
      <c r="J5562" t="s">
        <v>4909</v>
      </c>
      <c r="K5562" t="s">
        <v>4909</v>
      </c>
    </row>
    <row r="5563" spans="1:11" x14ac:dyDescent="0.2">
      <c r="A5563" t="s">
        <v>4281</v>
      </c>
      <c r="B5563" t="s">
        <v>4909</v>
      </c>
      <c r="C5563" s="88">
        <v>0</v>
      </c>
      <c r="D5563" t="s">
        <v>4909</v>
      </c>
      <c r="E5563" t="s">
        <v>4909</v>
      </c>
      <c r="F5563" t="s">
        <v>4909</v>
      </c>
      <c r="G5563" t="s">
        <v>4909</v>
      </c>
      <c r="H5563" t="s">
        <v>4909</v>
      </c>
      <c r="I5563" t="s">
        <v>4909</v>
      </c>
      <c r="J5563" s="88">
        <v>0</v>
      </c>
      <c r="K5563" t="s">
        <v>4909</v>
      </c>
    </row>
    <row r="5564" spans="1:11" x14ac:dyDescent="0.2">
      <c r="A5564" t="s">
        <v>4282</v>
      </c>
      <c r="B5564" t="s">
        <v>4909</v>
      </c>
      <c r="C5564" t="s">
        <v>4909</v>
      </c>
      <c r="D5564" s="88">
        <v>0</v>
      </c>
      <c r="E5564" t="s">
        <v>4909</v>
      </c>
      <c r="F5564" t="s">
        <v>4909</v>
      </c>
      <c r="G5564" t="s">
        <v>4909</v>
      </c>
      <c r="H5564" t="s">
        <v>4909</v>
      </c>
      <c r="I5564" t="s">
        <v>4909</v>
      </c>
      <c r="J5564" s="88">
        <v>3.0000000000000001E-3</v>
      </c>
      <c r="K5564" t="s">
        <v>4909</v>
      </c>
    </row>
    <row r="5565" spans="1:11" x14ac:dyDescent="0.2">
      <c r="A5565" t="s">
        <v>4283</v>
      </c>
      <c r="B5565" t="s">
        <v>4909</v>
      </c>
      <c r="C5565" t="s">
        <v>4909</v>
      </c>
      <c r="D5565" t="s">
        <v>4909</v>
      </c>
      <c r="E5565" t="s">
        <v>4909</v>
      </c>
      <c r="F5565" t="s">
        <v>4909</v>
      </c>
      <c r="G5565" t="s">
        <v>4909</v>
      </c>
      <c r="H5565" t="s">
        <v>4909</v>
      </c>
      <c r="I5565" t="s">
        <v>4909</v>
      </c>
      <c r="J5565" s="88">
        <v>0</v>
      </c>
      <c r="K5565" t="s">
        <v>4909</v>
      </c>
    </row>
    <row r="5566" spans="1:11" x14ac:dyDescent="0.2">
      <c r="A5566" t="s">
        <v>4284</v>
      </c>
      <c r="B5566" t="s">
        <v>4909</v>
      </c>
      <c r="C5566" t="s">
        <v>4909</v>
      </c>
      <c r="D5566" t="s">
        <v>4909</v>
      </c>
      <c r="E5566" t="s">
        <v>4909</v>
      </c>
      <c r="F5566" t="s">
        <v>4909</v>
      </c>
      <c r="G5566" t="s">
        <v>4909</v>
      </c>
      <c r="H5566" t="s">
        <v>4909</v>
      </c>
      <c r="I5566" t="s">
        <v>4909</v>
      </c>
      <c r="J5566" s="88">
        <v>0</v>
      </c>
      <c r="K5566" t="s">
        <v>4909</v>
      </c>
    </row>
    <row r="5567" spans="1:11" x14ac:dyDescent="0.2">
      <c r="A5567" t="s">
        <v>4285</v>
      </c>
      <c r="B5567" t="s">
        <v>4909</v>
      </c>
      <c r="C5567" s="88">
        <v>0</v>
      </c>
      <c r="D5567" t="s">
        <v>4909</v>
      </c>
      <c r="E5567" t="s">
        <v>4909</v>
      </c>
      <c r="F5567" t="s">
        <v>4909</v>
      </c>
      <c r="G5567" t="s">
        <v>4909</v>
      </c>
      <c r="H5567" t="s">
        <v>4909</v>
      </c>
      <c r="I5567" t="s">
        <v>4909</v>
      </c>
      <c r="J5567" s="88">
        <v>1E-3</v>
      </c>
      <c r="K5567" t="s">
        <v>4909</v>
      </c>
    </row>
    <row r="5568" spans="1:11" x14ac:dyDescent="0.2">
      <c r="A5568" t="s">
        <v>4286</v>
      </c>
      <c r="B5568" t="s">
        <v>4909</v>
      </c>
      <c r="C5568" t="s">
        <v>4909</v>
      </c>
      <c r="D5568" t="s">
        <v>4909</v>
      </c>
      <c r="E5568" t="s">
        <v>4909</v>
      </c>
      <c r="F5568" t="s">
        <v>4909</v>
      </c>
      <c r="G5568" t="s">
        <v>4909</v>
      </c>
      <c r="H5568" t="s">
        <v>4909</v>
      </c>
      <c r="I5568" t="s">
        <v>4909</v>
      </c>
      <c r="J5568" s="88">
        <v>5.0000000000000001E-3</v>
      </c>
      <c r="K5568" t="s">
        <v>4909</v>
      </c>
    </row>
    <row r="5569" spans="1:11" x14ac:dyDescent="0.2">
      <c r="A5569" t="s">
        <v>4287</v>
      </c>
      <c r="B5569" t="s">
        <v>4909</v>
      </c>
      <c r="C5569" t="s">
        <v>4909</v>
      </c>
      <c r="D5569" t="s">
        <v>4909</v>
      </c>
      <c r="E5569" t="s">
        <v>4909</v>
      </c>
      <c r="F5569" t="s">
        <v>4909</v>
      </c>
      <c r="G5569" t="s">
        <v>4909</v>
      </c>
      <c r="H5569" t="s">
        <v>4909</v>
      </c>
      <c r="I5569" t="s">
        <v>4909</v>
      </c>
      <c r="J5569" t="s">
        <v>4909</v>
      </c>
      <c r="K5569" t="s">
        <v>4909</v>
      </c>
    </row>
    <row r="5570" spans="1:11" x14ac:dyDescent="0.2">
      <c r="A5570" t="s">
        <v>4288</v>
      </c>
      <c r="B5570" t="s">
        <v>4909</v>
      </c>
      <c r="C5570" t="s">
        <v>4909</v>
      </c>
      <c r="D5570" t="s">
        <v>4909</v>
      </c>
      <c r="E5570" t="s">
        <v>4909</v>
      </c>
      <c r="F5570" t="s">
        <v>4909</v>
      </c>
      <c r="G5570" t="s">
        <v>4909</v>
      </c>
      <c r="H5570" t="s">
        <v>4909</v>
      </c>
      <c r="I5570" t="s">
        <v>4909</v>
      </c>
      <c r="J5570" t="s">
        <v>4909</v>
      </c>
      <c r="K5570" t="s">
        <v>4909</v>
      </c>
    </row>
    <row r="5571" spans="1:11" x14ac:dyDescent="0.2">
      <c r="A5571" t="s">
        <v>4289</v>
      </c>
      <c r="B5571" t="s">
        <v>4909</v>
      </c>
      <c r="C5571" t="s">
        <v>4909</v>
      </c>
      <c r="D5571" t="s">
        <v>4909</v>
      </c>
      <c r="E5571" t="s">
        <v>4909</v>
      </c>
      <c r="F5571" t="s">
        <v>4909</v>
      </c>
      <c r="G5571" t="s">
        <v>4909</v>
      </c>
      <c r="H5571" t="s">
        <v>4909</v>
      </c>
      <c r="I5571" t="s">
        <v>4909</v>
      </c>
      <c r="J5571" t="s">
        <v>4909</v>
      </c>
      <c r="K5571" t="s">
        <v>4909</v>
      </c>
    </row>
    <row r="5572" spans="1:11" x14ac:dyDescent="0.2">
      <c r="A5572" t="s">
        <v>4290</v>
      </c>
      <c r="B5572" t="s">
        <v>4909</v>
      </c>
      <c r="C5572" t="s">
        <v>4909</v>
      </c>
      <c r="D5572" t="s">
        <v>4909</v>
      </c>
      <c r="E5572" t="s">
        <v>4909</v>
      </c>
      <c r="F5572" t="s">
        <v>4909</v>
      </c>
      <c r="G5572" t="s">
        <v>4909</v>
      </c>
      <c r="H5572" t="s">
        <v>4909</v>
      </c>
      <c r="I5572" t="s">
        <v>4909</v>
      </c>
      <c r="J5572" t="s">
        <v>4909</v>
      </c>
      <c r="K5572" t="s">
        <v>4909</v>
      </c>
    </row>
    <row r="5573" spans="1:11" x14ac:dyDescent="0.2">
      <c r="A5573" t="s">
        <v>4291</v>
      </c>
      <c r="B5573" t="s">
        <v>4909</v>
      </c>
      <c r="C5573" t="s">
        <v>4909</v>
      </c>
      <c r="D5573" t="s">
        <v>4909</v>
      </c>
      <c r="E5573" t="s">
        <v>4909</v>
      </c>
      <c r="F5573" t="s">
        <v>4909</v>
      </c>
      <c r="G5573" t="s">
        <v>4909</v>
      </c>
      <c r="H5573" t="s">
        <v>4909</v>
      </c>
      <c r="I5573" t="s">
        <v>4909</v>
      </c>
      <c r="J5573" t="s">
        <v>4909</v>
      </c>
      <c r="K5573" t="s">
        <v>4909</v>
      </c>
    </row>
    <row r="5574" spans="1:11" x14ac:dyDescent="0.2">
      <c r="A5574" t="s">
        <v>4292</v>
      </c>
      <c r="B5574" t="s">
        <v>4909</v>
      </c>
      <c r="C5574" t="s">
        <v>4909</v>
      </c>
      <c r="D5574" t="s">
        <v>4909</v>
      </c>
      <c r="E5574" t="s">
        <v>4909</v>
      </c>
      <c r="F5574" t="s">
        <v>4909</v>
      </c>
      <c r="G5574" t="s">
        <v>4909</v>
      </c>
      <c r="H5574" t="s">
        <v>4909</v>
      </c>
      <c r="I5574" t="s">
        <v>4909</v>
      </c>
      <c r="J5574" t="s">
        <v>4909</v>
      </c>
      <c r="K5574" t="s">
        <v>4909</v>
      </c>
    </row>
    <row r="5575" spans="1:11" x14ac:dyDescent="0.2">
      <c r="A5575" t="s">
        <v>4293</v>
      </c>
      <c r="B5575" t="s">
        <v>4909</v>
      </c>
      <c r="C5575" t="s">
        <v>4909</v>
      </c>
      <c r="D5575" t="s">
        <v>4909</v>
      </c>
      <c r="E5575" t="s">
        <v>4909</v>
      </c>
      <c r="F5575" t="s">
        <v>4909</v>
      </c>
      <c r="G5575" t="s">
        <v>4909</v>
      </c>
      <c r="H5575" t="s">
        <v>4909</v>
      </c>
      <c r="I5575" t="s">
        <v>4909</v>
      </c>
      <c r="J5575" t="s">
        <v>4909</v>
      </c>
      <c r="K5575" t="s">
        <v>4909</v>
      </c>
    </row>
    <row r="5576" spans="1:11" x14ac:dyDescent="0.2">
      <c r="A5576" t="s">
        <v>4294</v>
      </c>
      <c r="B5576" t="s">
        <v>4909</v>
      </c>
      <c r="C5576" t="s">
        <v>4909</v>
      </c>
      <c r="D5576" t="s">
        <v>4909</v>
      </c>
      <c r="E5576" t="s">
        <v>4909</v>
      </c>
      <c r="F5576" t="s">
        <v>4909</v>
      </c>
      <c r="G5576" t="s">
        <v>4909</v>
      </c>
      <c r="H5576" t="s">
        <v>4909</v>
      </c>
      <c r="I5576" t="s">
        <v>4909</v>
      </c>
      <c r="J5576" t="s">
        <v>4909</v>
      </c>
      <c r="K5576" t="s">
        <v>4909</v>
      </c>
    </row>
    <row r="5577" spans="1:11" x14ac:dyDescent="0.2">
      <c r="A5577" t="s">
        <v>4295</v>
      </c>
      <c r="B5577" t="s">
        <v>4909</v>
      </c>
      <c r="C5577" t="s">
        <v>4909</v>
      </c>
      <c r="D5577" t="s">
        <v>4909</v>
      </c>
      <c r="E5577" t="s">
        <v>4909</v>
      </c>
      <c r="F5577" t="s">
        <v>4909</v>
      </c>
      <c r="G5577" t="s">
        <v>4909</v>
      </c>
      <c r="H5577" t="s">
        <v>4909</v>
      </c>
      <c r="I5577" t="s">
        <v>4909</v>
      </c>
      <c r="J5577" t="s">
        <v>4909</v>
      </c>
      <c r="K5577" t="s">
        <v>4909</v>
      </c>
    </row>
    <row r="5578" spans="1:11" x14ac:dyDescent="0.2">
      <c r="A5578" t="s">
        <v>4296</v>
      </c>
      <c r="B5578" t="s">
        <v>4909</v>
      </c>
      <c r="C5578" t="s">
        <v>4909</v>
      </c>
      <c r="D5578" t="s">
        <v>4909</v>
      </c>
      <c r="E5578" t="s">
        <v>4909</v>
      </c>
      <c r="F5578" t="s">
        <v>4909</v>
      </c>
      <c r="G5578" t="s">
        <v>4909</v>
      </c>
      <c r="H5578" t="s">
        <v>4909</v>
      </c>
      <c r="I5578" t="s">
        <v>4909</v>
      </c>
      <c r="J5578" t="s">
        <v>4909</v>
      </c>
      <c r="K5578" t="s">
        <v>4909</v>
      </c>
    </row>
    <row r="5579" spans="1:11" x14ac:dyDescent="0.2">
      <c r="A5579" t="s">
        <v>4297</v>
      </c>
      <c r="B5579" t="s">
        <v>4909</v>
      </c>
      <c r="C5579" s="88">
        <v>0</v>
      </c>
      <c r="D5579" s="88">
        <v>0</v>
      </c>
      <c r="E5579" t="s">
        <v>4909</v>
      </c>
      <c r="F5579" t="s">
        <v>4909</v>
      </c>
      <c r="G5579" t="s">
        <v>4909</v>
      </c>
      <c r="H5579" t="s">
        <v>4909</v>
      </c>
      <c r="I5579" t="s">
        <v>4909</v>
      </c>
      <c r="J5579" s="88">
        <v>0</v>
      </c>
      <c r="K5579" t="s">
        <v>4909</v>
      </c>
    </row>
    <row r="5580" spans="1:11" x14ac:dyDescent="0.2">
      <c r="A5580" t="s">
        <v>4298</v>
      </c>
      <c r="B5580" t="s">
        <v>4909</v>
      </c>
      <c r="C5580" s="88">
        <v>0</v>
      </c>
      <c r="D5580" s="88">
        <v>0</v>
      </c>
      <c r="E5580" t="s">
        <v>4909</v>
      </c>
      <c r="F5580" t="s">
        <v>4909</v>
      </c>
      <c r="G5580" t="s">
        <v>4909</v>
      </c>
      <c r="H5580" t="s">
        <v>4909</v>
      </c>
      <c r="I5580" t="s">
        <v>4909</v>
      </c>
      <c r="J5580" s="88">
        <v>4.0000000000000001E-3</v>
      </c>
      <c r="K5580" t="s">
        <v>4909</v>
      </c>
    </row>
    <row r="5581" spans="1:11" x14ac:dyDescent="0.2">
      <c r="A5581" t="s">
        <v>4299</v>
      </c>
      <c r="B5581" t="s">
        <v>4909</v>
      </c>
      <c r="C5581" s="88">
        <v>0</v>
      </c>
      <c r="D5581" s="88">
        <v>1E-3</v>
      </c>
      <c r="E5581" t="s">
        <v>4909</v>
      </c>
      <c r="F5581" t="s">
        <v>4909</v>
      </c>
      <c r="G5581" t="s">
        <v>4909</v>
      </c>
      <c r="H5581" t="s">
        <v>4909</v>
      </c>
      <c r="I5581" s="88">
        <v>0</v>
      </c>
      <c r="J5581" s="88">
        <v>1.4E-2</v>
      </c>
      <c r="K5581" t="s">
        <v>4909</v>
      </c>
    </row>
    <row r="5582" spans="1:11" x14ac:dyDescent="0.2">
      <c r="A5582" t="s">
        <v>4300</v>
      </c>
      <c r="B5582" t="s">
        <v>4909</v>
      </c>
      <c r="C5582" t="s">
        <v>4909</v>
      </c>
      <c r="D5582" s="88">
        <v>1E-3</v>
      </c>
      <c r="E5582" t="s">
        <v>4909</v>
      </c>
      <c r="F5582" t="s">
        <v>4909</v>
      </c>
      <c r="G5582" t="s">
        <v>4909</v>
      </c>
      <c r="H5582" t="s">
        <v>4909</v>
      </c>
      <c r="I5582" t="s">
        <v>4909</v>
      </c>
      <c r="J5582" s="88">
        <v>0.01</v>
      </c>
      <c r="K5582" t="s">
        <v>4909</v>
      </c>
    </row>
    <row r="5583" spans="1:11" x14ac:dyDescent="0.2">
      <c r="A5583" t="s">
        <v>4301</v>
      </c>
      <c r="B5583" t="s">
        <v>4909</v>
      </c>
      <c r="C5583" s="88">
        <v>0</v>
      </c>
      <c r="D5583" s="88">
        <v>0</v>
      </c>
      <c r="E5583" t="s">
        <v>4909</v>
      </c>
      <c r="F5583" t="s">
        <v>4909</v>
      </c>
      <c r="G5583" t="s">
        <v>4909</v>
      </c>
      <c r="H5583" t="s">
        <v>4909</v>
      </c>
      <c r="I5583" s="88">
        <v>0</v>
      </c>
      <c r="J5583" s="88">
        <v>2E-3</v>
      </c>
      <c r="K5583" t="s">
        <v>4909</v>
      </c>
    </row>
    <row r="5584" spans="1:11" x14ac:dyDescent="0.2">
      <c r="A5584" t="s">
        <v>4302</v>
      </c>
      <c r="B5584" t="s">
        <v>4909</v>
      </c>
      <c r="C5584" s="88">
        <v>1E-3</v>
      </c>
      <c r="D5584" s="88">
        <v>2E-3</v>
      </c>
      <c r="E5584" t="s">
        <v>4909</v>
      </c>
      <c r="F5584" t="s">
        <v>4909</v>
      </c>
      <c r="G5584" t="s">
        <v>4909</v>
      </c>
      <c r="H5584" t="s">
        <v>4909</v>
      </c>
      <c r="I5584" s="88">
        <v>0</v>
      </c>
      <c r="J5584" s="88">
        <v>1.2E-2</v>
      </c>
      <c r="K5584" t="s">
        <v>4909</v>
      </c>
    </row>
    <row r="5585" spans="1:11" x14ac:dyDescent="0.2">
      <c r="A5585" t="s">
        <v>4303</v>
      </c>
      <c r="B5585" t="s">
        <v>4909</v>
      </c>
      <c r="C5585" s="88">
        <v>1E-3</v>
      </c>
      <c r="D5585" s="88">
        <v>2E-3</v>
      </c>
      <c r="E5585" t="s">
        <v>4909</v>
      </c>
      <c r="F5585" t="s">
        <v>4909</v>
      </c>
      <c r="G5585" t="s">
        <v>4909</v>
      </c>
      <c r="H5585" t="s">
        <v>4909</v>
      </c>
      <c r="I5585" t="s">
        <v>4909</v>
      </c>
      <c r="J5585" s="88">
        <v>2.4E-2</v>
      </c>
      <c r="K5585" t="s">
        <v>4909</v>
      </c>
    </row>
    <row r="5586" spans="1:11" x14ac:dyDescent="0.2">
      <c r="A5586" t="s">
        <v>4304</v>
      </c>
      <c r="B5586" t="s">
        <v>4909</v>
      </c>
      <c r="C5586" s="88">
        <v>1E-3</v>
      </c>
      <c r="D5586" s="88">
        <v>0</v>
      </c>
      <c r="E5586" t="s">
        <v>4909</v>
      </c>
      <c r="F5586" t="s">
        <v>4909</v>
      </c>
      <c r="G5586" t="s">
        <v>4909</v>
      </c>
      <c r="H5586" t="s">
        <v>4909</v>
      </c>
      <c r="I5586" t="s">
        <v>4909</v>
      </c>
      <c r="J5586" s="88">
        <v>8.9999999999999993E-3</v>
      </c>
      <c r="K5586" t="s">
        <v>4909</v>
      </c>
    </row>
    <row r="5587" spans="1:11" x14ac:dyDescent="0.2">
      <c r="A5587" t="s">
        <v>4305</v>
      </c>
      <c r="B5587" t="s">
        <v>4909</v>
      </c>
      <c r="C5587" s="88">
        <v>3.0000000000000001E-3</v>
      </c>
      <c r="D5587" s="88">
        <v>2E-3</v>
      </c>
      <c r="E5587" t="s">
        <v>4909</v>
      </c>
      <c r="F5587" t="s">
        <v>4909</v>
      </c>
      <c r="G5587" t="s">
        <v>4909</v>
      </c>
      <c r="H5587" t="s">
        <v>4909</v>
      </c>
      <c r="I5587" s="88">
        <v>0</v>
      </c>
      <c r="J5587" s="88">
        <v>1.0999999999999999E-2</v>
      </c>
      <c r="K5587" t="s">
        <v>4909</v>
      </c>
    </row>
    <row r="5588" spans="1:11" x14ac:dyDescent="0.2">
      <c r="A5588" t="s">
        <v>4306</v>
      </c>
      <c r="B5588" t="s">
        <v>4909</v>
      </c>
      <c r="C5588" s="88">
        <v>2E-3</v>
      </c>
      <c r="D5588" s="88">
        <v>2E-3</v>
      </c>
      <c r="E5588" t="s">
        <v>4909</v>
      </c>
      <c r="F5588" t="s">
        <v>4909</v>
      </c>
      <c r="G5588" t="s">
        <v>4909</v>
      </c>
      <c r="H5588" t="s">
        <v>4909</v>
      </c>
      <c r="I5588" t="s">
        <v>4909</v>
      </c>
      <c r="J5588" s="88">
        <v>1.4E-2</v>
      </c>
      <c r="K5588" t="s">
        <v>4909</v>
      </c>
    </row>
    <row r="5589" spans="1:11" x14ac:dyDescent="0.2">
      <c r="A5589" t="s">
        <v>4307</v>
      </c>
      <c r="B5589" t="s">
        <v>4909</v>
      </c>
      <c r="C5589" s="88">
        <v>1E-3</v>
      </c>
      <c r="D5589" s="88">
        <v>4.0000000000000001E-3</v>
      </c>
      <c r="E5589" t="s">
        <v>4909</v>
      </c>
      <c r="F5589" t="s">
        <v>4909</v>
      </c>
      <c r="G5589" t="s">
        <v>4909</v>
      </c>
      <c r="H5589" t="s">
        <v>4909</v>
      </c>
      <c r="I5589" s="88">
        <v>0</v>
      </c>
      <c r="J5589" s="88">
        <v>2.8000000000000001E-2</v>
      </c>
      <c r="K5589" t="s">
        <v>4909</v>
      </c>
    </row>
    <row r="5590" spans="1:11" x14ac:dyDescent="0.2">
      <c r="A5590" t="s">
        <v>4308</v>
      </c>
      <c r="B5590" t="s">
        <v>4909</v>
      </c>
      <c r="C5590" t="s">
        <v>4909</v>
      </c>
      <c r="D5590" s="88">
        <v>1E-3</v>
      </c>
      <c r="E5590" t="s">
        <v>4909</v>
      </c>
      <c r="F5590" t="s">
        <v>4909</v>
      </c>
      <c r="G5590" t="s">
        <v>4909</v>
      </c>
      <c r="H5590" t="s">
        <v>4909</v>
      </c>
      <c r="I5590" t="s">
        <v>4909</v>
      </c>
      <c r="J5590" s="88">
        <v>0.10199999999999999</v>
      </c>
      <c r="K5590" t="s">
        <v>4909</v>
      </c>
    </row>
    <row r="5591" spans="1:11" x14ac:dyDescent="0.2">
      <c r="A5591" t="s">
        <v>4309</v>
      </c>
      <c r="B5591" t="s">
        <v>4909</v>
      </c>
      <c r="C5591" t="s">
        <v>4909</v>
      </c>
      <c r="D5591" t="s">
        <v>4909</v>
      </c>
      <c r="E5591" t="s">
        <v>4909</v>
      </c>
      <c r="F5591" t="s">
        <v>4909</v>
      </c>
      <c r="G5591" t="s">
        <v>4909</v>
      </c>
      <c r="H5591" t="s">
        <v>4909</v>
      </c>
      <c r="I5591" t="s">
        <v>4909</v>
      </c>
      <c r="J5591" t="s">
        <v>4909</v>
      </c>
      <c r="K5591" t="s">
        <v>4909</v>
      </c>
    </row>
    <row r="5592" spans="1:11" x14ac:dyDescent="0.2">
      <c r="A5592" t="s">
        <v>4310</v>
      </c>
      <c r="B5592" t="s">
        <v>4909</v>
      </c>
      <c r="C5592" t="s">
        <v>4909</v>
      </c>
      <c r="D5592" t="s">
        <v>4909</v>
      </c>
      <c r="E5592" t="s">
        <v>4909</v>
      </c>
      <c r="F5592" t="s">
        <v>4909</v>
      </c>
      <c r="G5592" t="s">
        <v>4909</v>
      </c>
      <c r="H5592" t="s">
        <v>4909</v>
      </c>
      <c r="I5592" t="s">
        <v>4909</v>
      </c>
      <c r="J5592" t="s">
        <v>4909</v>
      </c>
      <c r="K5592" t="s">
        <v>4909</v>
      </c>
    </row>
    <row r="5593" spans="1:11" x14ac:dyDescent="0.2">
      <c r="A5593" t="s">
        <v>4311</v>
      </c>
      <c r="B5593" t="s">
        <v>4909</v>
      </c>
      <c r="C5593" t="s">
        <v>4909</v>
      </c>
      <c r="D5593" t="s">
        <v>4909</v>
      </c>
      <c r="E5593" t="s">
        <v>4909</v>
      </c>
      <c r="F5593" t="s">
        <v>4909</v>
      </c>
      <c r="G5593" t="s">
        <v>4909</v>
      </c>
      <c r="H5593" t="s">
        <v>4909</v>
      </c>
      <c r="I5593" t="s">
        <v>4909</v>
      </c>
      <c r="J5593" t="s">
        <v>4909</v>
      </c>
      <c r="K5593" t="s">
        <v>4909</v>
      </c>
    </row>
    <row r="5594" spans="1:11" x14ac:dyDescent="0.2">
      <c r="A5594" t="s">
        <v>4312</v>
      </c>
      <c r="B5594" t="s">
        <v>4909</v>
      </c>
      <c r="C5594" t="s">
        <v>4909</v>
      </c>
      <c r="D5594" t="s">
        <v>4909</v>
      </c>
      <c r="E5594" t="s">
        <v>4909</v>
      </c>
      <c r="F5594" t="s">
        <v>4909</v>
      </c>
      <c r="G5594" t="s">
        <v>4909</v>
      </c>
      <c r="H5594" t="s">
        <v>4909</v>
      </c>
      <c r="I5594" t="s">
        <v>4909</v>
      </c>
      <c r="J5594" t="s">
        <v>4909</v>
      </c>
      <c r="K5594" t="s">
        <v>4909</v>
      </c>
    </row>
    <row r="5595" spans="1:11" x14ac:dyDescent="0.2">
      <c r="A5595" t="s">
        <v>4313</v>
      </c>
      <c r="B5595" t="s">
        <v>4909</v>
      </c>
      <c r="C5595" t="s">
        <v>4909</v>
      </c>
      <c r="D5595" t="s">
        <v>4909</v>
      </c>
      <c r="E5595" t="s">
        <v>4909</v>
      </c>
      <c r="F5595" t="s">
        <v>4909</v>
      </c>
      <c r="G5595" t="s">
        <v>4909</v>
      </c>
      <c r="H5595" t="s">
        <v>4909</v>
      </c>
      <c r="I5595" t="s">
        <v>4909</v>
      </c>
      <c r="J5595" t="s">
        <v>4909</v>
      </c>
      <c r="K5595" t="s">
        <v>4909</v>
      </c>
    </row>
    <row r="5596" spans="1:11" x14ac:dyDescent="0.2">
      <c r="A5596" t="s">
        <v>4314</v>
      </c>
      <c r="B5596" t="s">
        <v>4909</v>
      </c>
      <c r="C5596" t="s">
        <v>4909</v>
      </c>
      <c r="D5596" t="s">
        <v>4909</v>
      </c>
      <c r="E5596" t="s">
        <v>4909</v>
      </c>
      <c r="F5596" t="s">
        <v>4909</v>
      </c>
      <c r="G5596" t="s">
        <v>4909</v>
      </c>
      <c r="H5596" t="s">
        <v>4909</v>
      </c>
      <c r="I5596" t="s">
        <v>4909</v>
      </c>
      <c r="J5596" t="s">
        <v>4909</v>
      </c>
      <c r="K5596" t="s">
        <v>4909</v>
      </c>
    </row>
    <row r="5597" spans="1:11" x14ac:dyDescent="0.2">
      <c r="A5597" t="s">
        <v>4315</v>
      </c>
      <c r="B5597" t="s">
        <v>4909</v>
      </c>
      <c r="C5597" t="s">
        <v>4909</v>
      </c>
      <c r="D5597" t="s">
        <v>4909</v>
      </c>
      <c r="E5597" t="s">
        <v>4909</v>
      </c>
      <c r="F5597" t="s">
        <v>4909</v>
      </c>
      <c r="G5597" t="s">
        <v>4909</v>
      </c>
      <c r="H5597" t="s">
        <v>4909</v>
      </c>
      <c r="I5597" t="s">
        <v>4909</v>
      </c>
      <c r="J5597" t="s">
        <v>4909</v>
      </c>
      <c r="K5597" t="s">
        <v>4909</v>
      </c>
    </row>
    <row r="5598" spans="1:11" x14ac:dyDescent="0.2">
      <c r="A5598" t="s">
        <v>4316</v>
      </c>
      <c r="B5598" t="s">
        <v>4909</v>
      </c>
      <c r="C5598" t="s">
        <v>4909</v>
      </c>
      <c r="D5598" t="s">
        <v>4909</v>
      </c>
      <c r="E5598" t="s">
        <v>4909</v>
      </c>
      <c r="F5598" t="s">
        <v>4909</v>
      </c>
      <c r="G5598" t="s">
        <v>4909</v>
      </c>
      <c r="H5598" t="s">
        <v>4909</v>
      </c>
      <c r="I5598" t="s">
        <v>4909</v>
      </c>
      <c r="J5598" t="s">
        <v>4909</v>
      </c>
      <c r="K5598" t="s">
        <v>4909</v>
      </c>
    </row>
    <row r="5599" spans="1:11" x14ac:dyDescent="0.2">
      <c r="A5599" t="s">
        <v>4317</v>
      </c>
      <c r="B5599" t="s">
        <v>4909</v>
      </c>
      <c r="C5599" t="s">
        <v>4909</v>
      </c>
      <c r="D5599" t="s">
        <v>4909</v>
      </c>
      <c r="E5599" t="s">
        <v>4909</v>
      </c>
      <c r="F5599" t="s">
        <v>4909</v>
      </c>
      <c r="G5599" t="s">
        <v>4909</v>
      </c>
      <c r="H5599" t="s">
        <v>4909</v>
      </c>
      <c r="I5599" t="s">
        <v>4909</v>
      </c>
      <c r="J5599" t="s">
        <v>4909</v>
      </c>
      <c r="K5599" t="s">
        <v>4909</v>
      </c>
    </row>
    <row r="5600" spans="1:11" x14ac:dyDescent="0.2">
      <c r="A5600" t="s">
        <v>4318</v>
      </c>
      <c r="B5600" t="s">
        <v>4909</v>
      </c>
      <c r="C5600" t="s">
        <v>4909</v>
      </c>
      <c r="D5600" t="s">
        <v>4909</v>
      </c>
      <c r="E5600" t="s">
        <v>4909</v>
      </c>
      <c r="F5600" t="s">
        <v>4909</v>
      </c>
      <c r="G5600" t="s">
        <v>4909</v>
      </c>
      <c r="H5600" t="s">
        <v>4909</v>
      </c>
      <c r="I5600" t="s">
        <v>4909</v>
      </c>
      <c r="J5600" t="s">
        <v>4909</v>
      </c>
      <c r="K5600" t="s">
        <v>4909</v>
      </c>
    </row>
    <row r="5601" spans="1:11" x14ac:dyDescent="0.2">
      <c r="A5601" t="s">
        <v>4319</v>
      </c>
      <c r="B5601" t="s">
        <v>4909</v>
      </c>
      <c r="C5601" t="s">
        <v>4909</v>
      </c>
      <c r="D5601" t="s">
        <v>4909</v>
      </c>
      <c r="E5601" t="s">
        <v>4909</v>
      </c>
      <c r="F5601" t="s">
        <v>4909</v>
      </c>
      <c r="G5601" t="s">
        <v>4909</v>
      </c>
      <c r="H5601" t="s">
        <v>4909</v>
      </c>
      <c r="I5601" t="s">
        <v>4909</v>
      </c>
      <c r="J5601" t="s">
        <v>4909</v>
      </c>
      <c r="K5601" t="s">
        <v>4909</v>
      </c>
    </row>
    <row r="5602" spans="1:11" x14ac:dyDescent="0.2">
      <c r="A5602" t="s">
        <v>4320</v>
      </c>
      <c r="B5602" t="s">
        <v>4909</v>
      </c>
      <c r="C5602" t="s">
        <v>4909</v>
      </c>
      <c r="D5602" t="s">
        <v>4909</v>
      </c>
      <c r="E5602" t="s">
        <v>4909</v>
      </c>
      <c r="F5602" t="s">
        <v>4909</v>
      </c>
      <c r="G5602" t="s">
        <v>4909</v>
      </c>
      <c r="H5602" t="s">
        <v>4909</v>
      </c>
      <c r="I5602" t="s">
        <v>4909</v>
      </c>
      <c r="J5602" t="s">
        <v>4909</v>
      </c>
      <c r="K5602" t="s">
        <v>4909</v>
      </c>
    </row>
    <row r="5603" spans="1:11" x14ac:dyDescent="0.2">
      <c r="A5603" t="s">
        <v>4321</v>
      </c>
      <c r="B5603" t="s">
        <v>4909</v>
      </c>
      <c r="C5603" t="s">
        <v>4909</v>
      </c>
      <c r="D5603" t="s">
        <v>4909</v>
      </c>
      <c r="E5603" t="s">
        <v>4909</v>
      </c>
      <c r="F5603" t="s">
        <v>4909</v>
      </c>
      <c r="G5603" t="s">
        <v>4909</v>
      </c>
      <c r="H5603" t="s">
        <v>4909</v>
      </c>
      <c r="I5603" t="s">
        <v>4909</v>
      </c>
      <c r="J5603" t="s">
        <v>4909</v>
      </c>
      <c r="K5603" t="s">
        <v>4909</v>
      </c>
    </row>
    <row r="5604" spans="1:11" x14ac:dyDescent="0.2">
      <c r="A5604" t="s">
        <v>4322</v>
      </c>
      <c r="B5604" t="s">
        <v>4909</v>
      </c>
      <c r="C5604" t="s">
        <v>4909</v>
      </c>
      <c r="D5604" t="s">
        <v>4909</v>
      </c>
      <c r="E5604" t="s">
        <v>4909</v>
      </c>
      <c r="F5604" t="s">
        <v>4909</v>
      </c>
      <c r="G5604" t="s">
        <v>4909</v>
      </c>
      <c r="H5604" t="s">
        <v>4909</v>
      </c>
      <c r="I5604" t="s">
        <v>4909</v>
      </c>
      <c r="J5604" t="s">
        <v>4909</v>
      </c>
      <c r="K5604" t="s">
        <v>4909</v>
      </c>
    </row>
    <row r="5605" spans="1:11" x14ac:dyDescent="0.2">
      <c r="A5605" t="s">
        <v>4323</v>
      </c>
      <c r="B5605" t="s">
        <v>4909</v>
      </c>
      <c r="C5605" t="s">
        <v>4909</v>
      </c>
      <c r="D5605" t="s">
        <v>4909</v>
      </c>
      <c r="E5605" t="s">
        <v>4909</v>
      </c>
      <c r="F5605" t="s">
        <v>4909</v>
      </c>
      <c r="G5605" t="s">
        <v>4909</v>
      </c>
      <c r="H5605" t="s">
        <v>4909</v>
      </c>
      <c r="I5605" t="s">
        <v>4909</v>
      </c>
      <c r="J5605" t="s">
        <v>4909</v>
      </c>
      <c r="K5605" t="s">
        <v>4909</v>
      </c>
    </row>
    <row r="5606" spans="1:11" x14ac:dyDescent="0.2">
      <c r="A5606" t="s">
        <v>4324</v>
      </c>
      <c r="B5606" t="s">
        <v>4909</v>
      </c>
      <c r="C5606" t="s">
        <v>4909</v>
      </c>
      <c r="D5606" t="s">
        <v>4909</v>
      </c>
      <c r="E5606" t="s">
        <v>4909</v>
      </c>
      <c r="F5606" t="s">
        <v>4909</v>
      </c>
      <c r="G5606" t="s">
        <v>4909</v>
      </c>
      <c r="H5606" t="s">
        <v>4909</v>
      </c>
      <c r="I5606" t="s">
        <v>4909</v>
      </c>
      <c r="J5606" t="s">
        <v>4909</v>
      </c>
      <c r="K5606" t="s">
        <v>4909</v>
      </c>
    </row>
    <row r="5607" spans="1:11" x14ac:dyDescent="0.2">
      <c r="A5607" t="s">
        <v>4325</v>
      </c>
      <c r="B5607" t="s">
        <v>4909</v>
      </c>
      <c r="C5607" t="s">
        <v>4909</v>
      </c>
      <c r="D5607" t="s">
        <v>4909</v>
      </c>
      <c r="E5607" t="s">
        <v>4909</v>
      </c>
      <c r="F5607" t="s">
        <v>4909</v>
      </c>
      <c r="G5607" t="s">
        <v>4909</v>
      </c>
      <c r="H5607" t="s">
        <v>4909</v>
      </c>
      <c r="I5607" t="s">
        <v>4909</v>
      </c>
      <c r="J5607" t="s">
        <v>4909</v>
      </c>
      <c r="K5607" t="s">
        <v>4909</v>
      </c>
    </row>
    <row r="5608" spans="1:11" x14ac:dyDescent="0.2">
      <c r="A5608" t="s">
        <v>4326</v>
      </c>
      <c r="B5608" t="s">
        <v>4909</v>
      </c>
      <c r="C5608" t="s">
        <v>4909</v>
      </c>
      <c r="D5608" t="s">
        <v>4909</v>
      </c>
      <c r="E5608" t="s">
        <v>4909</v>
      </c>
      <c r="F5608" t="s">
        <v>4909</v>
      </c>
      <c r="G5608" t="s">
        <v>4909</v>
      </c>
      <c r="H5608" t="s">
        <v>4909</v>
      </c>
      <c r="I5608" t="s">
        <v>4909</v>
      </c>
      <c r="J5608" t="s">
        <v>4909</v>
      </c>
      <c r="K5608" t="s">
        <v>4909</v>
      </c>
    </row>
    <row r="5609" spans="1:11" x14ac:dyDescent="0.2">
      <c r="A5609" t="s">
        <v>4327</v>
      </c>
      <c r="B5609" t="s">
        <v>4909</v>
      </c>
      <c r="C5609" t="s">
        <v>4909</v>
      </c>
      <c r="D5609" t="s">
        <v>4909</v>
      </c>
      <c r="E5609" t="s">
        <v>4909</v>
      </c>
      <c r="F5609" t="s">
        <v>4909</v>
      </c>
      <c r="G5609" t="s">
        <v>4909</v>
      </c>
      <c r="H5609" t="s">
        <v>4909</v>
      </c>
      <c r="I5609" t="s">
        <v>4909</v>
      </c>
      <c r="J5609" t="s">
        <v>4909</v>
      </c>
      <c r="K5609" t="s">
        <v>4909</v>
      </c>
    </row>
    <row r="5610" spans="1:11" x14ac:dyDescent="0.2">
      <c r="A5610" t="s">
        <v>4328</v>
      </c>
      <c r="B5610" t="s">
        <v>4909</v>
      </c>
      <c r="C5610" t="s">
        <v>4909</v>
      </c>
      <c r="D5610" t="s">
        <v>4909</v>
      </c>
      <c r="E5610" t="s">
        <v>4909</v>
      </c>
      <c r="F5610" t="s">
        <v>4909</v>
      </c>
      <c r="G5610" t="s">
        <v>4909</v>
      </c>
      <c r="H5610" t="s">
        <v>4909</v>
      </c>
      <c r="I5610" t="s">
        <v>4909</v>
      </c>
      <c r="J5610" t="s">
        <v>4909</v>
      </c>
      <c r="K5610" t="s">
        <v>4909</v>
      </c>
    </row>
    <row r="5611" spans="1:11" x14ac:dyDescent="0.2">
      <c r="A5611" t="s">
        <v>4329</v>
      </c>
      <c r="B5611" t="s">
        <v>4909</v>
      </c>
      <c r="C5611" t="s">
        <v>4909</v>
      </c>
      <c r="D5611" t="s">
        <v>4909</v>
      </c>
      <c r="E5611" t="s">
        <v>4909</v>
      </c>
      <c r="F5611" t="s">
        <v>4909</v>
      </c>
      <c r="G5611" t="s">
        <v>4909</v>
      </c>
      <c r="H5611" t="s">
        <v>4909</v>
      </c>
      <c r="I5611" t="s">
        <v>4909</v>
      </c>
      <c r="J5611" t="s">
        <v>4909</v>
      </c>
      <c r="K5611" t="s">
        <v>4909</v>
      </c>
    </row>
    <row r="5612" spans="1:11" x14ac:dyDescent="0.2">
      <c r="A5612" t="s">
        <v>4330</v>
      </c>
      <c r="B5612" t="s">
        <v>4909</v>
      </c>
      <c r="C5612" t="s">
        <v>4909</v>
      </c>
      <c r="D5612" t="s">
        <v>4909</v>
      </c>
      <c r="E5612" t="s">
        <v>4909</v>
      </c>
      <c r="F5612" t="s">
        <v>4909</v>
      </c>
      <c r="G5612" t="s">
        <v>4909</v>
      </c>
      <c r="H5612" t="s">
        <v>4909</v>
      </c>
      <c r="I5612" t="s">
        <v>4909</v>
      </c>
      <c r="J5612" t="s">
        <v>4909</v>
      </c>
      <c r="K5612" t="s">
        <v>4909</v>
      </c>
    </row>
    <row r="5613" spans="1:11" x14ac:dyDescent="0.2">
      <c r="A5613" t="s">
        <v>4331</v>
      </c>
      <c r="B5613" t="s">
        <v>4909</v>
      </c>
      <c r="C5613" t="s">
        <v>4909</v>
      </c>
      <c r="D5613" t="s">
        <v>4909</v>
      </c>
      <c r="E5613" t="s">
        <v>4909</v>
      </c>
      <c r="F5613" t="s">
        <v>4909</v>
      </c>
      <c r="G5613" t="s">
        <v>4909</v>
      </c>
      <c r="H5613" t="s">
        <v>4909</v>
      </c>
      <c r="I5613" t="s">
        <v>4909</v>
      </c>
      <c r="J5613" t="s">
        <v>4909</v>
      </c>
      <c r="K5613" t="s">
        <v>4909</v>
      </c>
    </row>
    <row r="5614" spans="1:11" x14ac:dyDescent="0.2">
      <c r="A5614" t="s">
        <v>4332</v>
      </c>
      <c r="B5614" t="s">
        <v>4909</v>
      </c>
      <c r="C5614" t="s">
        <v>4909</v>
      </c>
      <c r="D5614" t="s">
        <v>4909</v>
      </c>
      <c r="E5614" t="s">
        <v>4909</v>
      </c>
      <c r="F5614" t="s">
        <v>4909</v>
      </c>
      <c r="G5614" t="s">
        <v>4909</v>
      </c>
      <c r="H5614" t="s">
        <v>4909</v>
      </c>
      <c r="I5614" t="s">
        <v>4909</v>
      </c>
      <c r="J5614" s="88">
        <v>0</v>
      </c>
      <c r="K5614" t="s">
        <v>4909</v>
      </c>
    </row>
    <row r="5615" spans="1:11" x14ac:dyDescent="0.2">
      <c r="A5615" t="s">
        <v>4333</v>
      </c>
      <c r="B5615" t="s">
        <v>4909</v>
      </c>
      <c r="C5615" t="s">
        <v>4909</v>
      </c>
      <c r="D5615" t="s">
        <v>4909</v>
      </c>
      <c r="E5615" t="s">
        <v>4909</v>
      </c>
      <c r="F5615" t="s">
        <v>4909</v>
      </c>
      <c r="G5615" t="s">
        <v>4909</v>
      </c>
      <c r="H5615" t="s">
        <v>4909</v>
      </c>
      <c r="I5615" t="s">
        <v>4909</v>
      </c>
      <c r="J5615" t="s">
        <v>4909</v>
      </c>
      <c r="K5615" t="s">
        <v>4909</v>
      </c>
    </row>
    <row r="5616" spans="1:11" x14ac:dyDescent="0.2">
      <c r="A5616" t="s">
        <v>4334</v>
      </c>
      <c r="B5616" t="s">
        <v>4909</v>
      </c>
      <c r="C5616" t="s">
        <v>4909</v>
      </c>
      <c r="D5616" t="s">
        <v>4909</v>
      </c>
      <c r="E5616" t="s">
        <v>4909</v>
      </c>
      <c r="F5616" t="s">
        <v>4909</v>
      </c>
      <c r="G5616" t="s">
        <v>4909</v>
      </c>
      <c r="H5616" t="s">
        <v>4909</v>
      </c>
      <c r="I5616" t="s">
        <v>4909</v>
      </c>
      <c r="J5616" t="s">
        <v>4909</v>
      </c>
      <c r="K5616" t="s">
        <v>4909</v>
      </c>
    </row>
    <row r="5617" spans="1:11" x14ac:dyDescent="0.2">
      <c r="A5617" t="s">
        <v>4335</v>
      </c>
      <c r="B5617" t="s">
        <v>4909</v>
      </c>
      <c r="C5617" t="s">
        <v>4909</v>
      </c>
      <c r="D5617" t="s">
        <v>4909</v>
      </c>
      <c r="E5617" t="s">
        <v>4909</v>
      </c>
      <c r="F5617" t="s">
        <v>4909</v>
      </c>
      <c r="G5617" t="s">
        <v>4909</v>
      </c>
      <c r="H5617" t="s">
        <v>4909</v>
      </c>
      <c r="I5617" t="s">
        <v>4909</v>
      </c>
      <c r="J5617" t="s">
        <v>4909</v>
      </c>
      <c r="K5617" t="s">
        <v>4909</v>
      </c>
    </row>
    <row r="5618" spans="1:11" x14ac:dyDescent="0.2">
      <c r="A5618" t="s">
        <v>4336</v>
      </c>
      <c r="B5618" t="s">
        <v>4909</v>
      </c>
      <c r="C5618" t="s">
        <v>4909</v>
      </c>
      <c r="D5618" t="s">
        <v>4909</v>
      </c>
      <c r="E5618" t="s">
        <v>4909</v>
      </c>
      <c r="F5618" t="s">
        <v>4909</v>
      </c>
      <c r="G5618" t="s">
        <v>4909</v>
      </c>
      <c r="H5618" t="s">
        <v>4909</v>
      </c>
      <c r="I5618" t="s">
        <v>4909</v>
      </c>
      <c r="J5618" t="s">
        <v>4909</v>
      </c>
      <c r="K5618" t="s">
        <v>4909</v>
      </c>
    </row>
    <row r="5619" spans="1:11" x14ac:dyDescent="0.2">
      <c r="A5619" t="s">
        <v>4337</v>
      </c>
      <c r="B5619" t="s">
        <v>4909</v>
      </c>
      <c r="C5619" t="s">
        <v>4909</v>
      </c>
      <c r="D5619" t="s">
        <v>4909</v>
      </c>
      <c r="E5619" t="s">
        <v>4909</v>
      </c>
      <c r="F5619" t="s">
        <v>4909</v>
      </c>
      <c r="G5619" t="s">
        <v>4909</v>
      </c>
      <c r="H5619" t="s">
        <v>4909</v>
      </c>
      <c r="I5619" t="s">
        <v>4909</v>
      </c>
      <c r="J5619" t="s">
        <v>4909</v>
      </c>
      <c r="K5619" t="s">
        <v>4909</v>
      </c>
    </row>
    <row r="5620" spans="1:11" x14ac:dyDescent="0.2">
      <c r="A5620" t="s">
        <v>4338</v>
      </c>
      <c r="B5620" t="s">
        <v>4909</v>
      </c>
      <c r="C5620" t="s">
        <v>4909</v>
      </c>
      <c r="D5620" t="s">
        <v>4909</v>
      </c>
      <c r="E5620" t="s">
        <v>4909</v>
      </c>
      <c r="F5620" t="s">
        <v>4909</v>
      </c>
      <c r="G5620" t="s">
        <v>4909</v>
      </c>
      <c r="H5620" t="s">
        <v>4909</v>
      </c>
      <c r="I5620" t="s">
        <v>4909</v>
      </c>
      <c r="J5620" s="88">
        <v>0</v>
      </c>
      <c r="K5620" t="s">
        <v>4909</v>
      </c>
    </row>
    <row r="5621" spans="1:11" x14ac:dyDescent="0.2">
      <c r="A5621" t="s">
        <v>4339</v>
      </c>
      <c r="B5621" t="s">
        <v>4909</v>
      </c>
      <c r="C5621" t="s">
        <v>4909</v>
      </c>
      <c r="D5621" t="s">
        <v>4909</v>
      </c>
      <c r="E5621" t="s">
        <v>4909</v>
      </c>
      <c r="F5621" t="s">
        <v>4909</v>
      </c>
      <c r="G5621" t="s">
        <v>4909</v>
      </c>
      <c r="H5621" t="s">
        <v>4909</v>
      </c>
      <c r="I5621" t="s">
        <v>4909</v>
      </c>
      <c r="J5621" t="s">
        <v>4909</v>
      </c>
      <c r="K5621" t="s">
        <v>4909</v>
      </c>
    </row>
    <row r="5622" spans="1:11" x14ac:dyDescent="0.2">
      <c r="A5622" t="s">
        <v>4340</v>
      </c>
      <c r="B5622" t="s">
        <v>4909</v>
      </c>
      <c r="C5622" t="s">
        <v>4909</v>
      </c>
      <c r="D5622" t="s">
        <v>4909</v>
      </c>
      <c r="E5622" t="s">
        <v>4909</v>
      </c>
      <c r="F5622" t="s">
        <v>4909</v>
      </c>
      <c r="G5622" t="s">
        <v>4909</v>
      </c>
      <c r="H5622" t="s">
        <v>4909</v>
      </c>
      <c r="I5622" t="s">
        <v>4909</v>
      </c>
      <c r="J5622" t="s">
        <v>4909</v>
      </c>
      <c r="K5622" t="s">
        <v>4909</v>
      </c>
    </row>
    <row r="5623" spans="1:11" x14ac:dyDescent="0.2">
      <c r="A5623" t="s">
        <v>4341</v>
      </c>
      <c r="B5623" t="s">
        <v>4909</v>
      </c>
      <c r="C5623" t="s">
        <v>4909</v>
      </c>
      <c r="D5623" t="s">
        <v>4909</v>
      </c>
      <c r="E5623" t="s">
        <v>4909</v>
      </c>
      <c r="F5623" t="s">
        <v>4909</v>
      </c>
      <c r="G5623" t="s">
        <v>4909</v>
      </c>
      <c r="H5623" t="s">
        <v>4909</v>
      </c>
      <c r="I5623" t="s">
        <v>4909</v>
      </c>
      <c r="J5623" t="s">
        <v>4909</v>
      </c>
      <c r="K5623" t="s">
        <v>4909</v>
      </c>
    </row>
    <row r="5624" spans="1:11" x14ac:dyDescent="0.2">
      <c r="A5624" t="s">
        <v>4342</v>
      </c>
      <c r="B5624" t="s">
        <v>4909</v>
      </c>
      <c r="C5624" t="s">
        <v>4909</v>
      </c>
      <c r="D5624" t="s">
        <v>4909</v>
      </c>
      <c r="E5624" t="s">
        <v>4909</v>
      </c>
      <c r="F5624" t="s">
        <v>4909</v>
      </c>
      <c r="G5624" t="s">
        <v>4909</v>
      </c>
      <c r="H5624" t="s">
        <v>4909</v>
      </c>
      <c r="I5624" t="s">
        <v>4909</v>
      </c>
      <c r="J5624" t="s">
        <v>4909</v>
      </c>
      <c r="K5624" t="s">
        <v>4909</v>
      </c>
    </row>
    <row r="5625" spans="1:11" x14ac:dyDescent="0.2">
      <c r="A5625" t="s">
        <v>4343</v>
      </c>
      <c r="B5625" t="s">
        <v>4909</v>
      </c>
      <c r="C5625" t="s">
        <v>4909</v>
      </c>
      <c r="D5625" t="s">
        <v>4909</v>
      </c>
      <c r="E5625" t="s">
        <v>4909</v>
      </c>
      <c r="F5625" t="s">
        <v>4909</v>
      </c>
      <c r="G5625" t="s">
        <v>4909</v>
      </c>
      <c r="H5625" t="s">
        <v>4909</v>
      </c>
      <c r="I5625" t="s">
        <v>4909</v>
      </c>
      <c r="J5625" t="s">
        <v>4909</v>
      </c>
      <c r="K5625" t="s">
        <v>4909</v>
      </c>
    </row>
    <row r="5626" spans="1:11" x14ac:dyDescent="0.2">
      <c r="A5626" t="s">
        <v>1728</v>
      </c>
      <c r="B5626" t="s">
        <v>4909</v>
      </c>
      <c r="C5626" t="s">
        <v>4909</v>
      </c>
      <c r="D5626" t="s">
        <v>4909</v>
      </c>
      <c r="E5626" t="s">
        <v>4909</v>
      </c>
      <c r="F5626" t="s">
        <v>4909</v>
      </c>
      <c r="G5626" t="s">
        <v>4909</v>
      </c>
      <c r="H5626" t="s">
        <v>4909</v>
      </c>
      <c r="I5626" t="s">
        <v>4909</v>
      </c>
      <c r="J5626" t="s">
        <v>4909</v>
      </c>
      <c r="K5626" t="s">
        <v>4909</v>
      </c>
    </row>
    <row r="5627" spans="1:11" x14ac:dyDescent="0.2">
      <c r="A5627" t="s">
        <v>1730</v>
      </c>
      <c r="B5627" t="s">
        <v>4909</v>
      </c>
      <c r="C5627" s="88">
        <v>1E-3</v>
      </c>
      <c r="D5627" s="88">
        <v>4.0000000000000001E-3</v>
      </c>
      <c r="E5627" t="s">
        <v>4909</v>
      </c>
      <c r="F5627" t="s">
        <v>4909</v>
      </c>
      <c r="G5627" t="s">
        <v>4909</v>
      </c>
      <c r="H5627" t="s">
        <v>4909</v>
      </c>
      <c r="I5627" t="s">
        <v>4909</v>
      </c>
      <c r="J5627" s="88">
        <v>3.3000000000000002E-2</v>
      </c>
      <c r="K5627" t="s">
        <v>4909</v>
      </c>
    </row>
    <row r="5628" spans="1:11" x14ac:dyDescent="0.2">
      <c r="A5628" t="s">
        <v>1733</v>
      </c>
      <c r="B5628" t="s">
        <v>4909</v>
      </c>
      <c r="C5628" t="s">
        <v>4909</v>
      </c>
      <c r="D5628" t="s">
        <v>4909</v>
      </c>
      <c r="E5628" t="s">
        <v>4909</v>
      </c>
      <c r="F5628" t="s">
        <v>4909</v>
      </c>
      <c r="G5628" t="s">
        <v>4909</v>
      </c>
      <c r="H5628" t="s">
        <v>4909</v>
      </c>
      <c r="I5628" t="s">
        <v>4909</v>
      </c>
      <c r="J5628" t="s">
        <v>4909</v>
      </c>
      <c r="K5628" t="s">
        <v>4909</v>
      </c>
    </row>
    <row r="5629" spans="1:11" x14ac:dyDescent="0.2">
      <c r="A5629" t="s">
        <v>1738</v>
      </c>
      <c r="B5629" t="s">
        <v>4909</v>
      </c>
      <c r="C5629" t="s">
        <v>4909</v>
      </c>
      <c r="D5629" t="s">
        <v>4909</v>
      </c>
      <c r="E5629" t="s">
        <v>4909</v>
      </c>
      <c r="F5629" t="s">
        <v>4909</v>
      </c>
      <c r="G5629" t="s">
        <v>4909</v>
      </c>
      <c r="H5629" t="s">
        <v>4909</v>
      </c>
      <c r="I5629" t="s">
        <v>4909</v>
      </c>
      <c r="J5629" t="s">
        <v>4909</v>
      </c>
      <c r="K5629" t="s">
        <v>4909</v>
      </c>
    </row>
    <row r="5630" spans="1:11" x14ac:dyDescent="0.2">
      <c r="A5630" t="s">
        <v>1744</v>
      </c>
      <c r="B5630" t="s">
        <v>4909</v>
      </c>
      <c r="C5630" t="s">
        <v>4909</v>
      </c>
      <c r="D5630" t="s">
        <v>4909</v>
      </c>
      <c r="E5630" t="s">
        <v>4909</v>
      </c>
      <c r="F5630" t="s">
        <v>4909</v>
      </c>
      <c r="G5630" t="s">
        <v>4909</v>
      </c>
      <c r="H5630" t="s">
        <v>4909</v>
      </c>
      <c r="I5630" t="s">
        <v>4909</v>
      </c>
      <c r="J5630" t="s">
        <v>4909</v>
      </c>
      <c r="K5630" t="s">
        <v>4909</v>
      </c>
    </row>
    <row r="5631" spans="1:11" x14ac:dyDescent="0.2">
      <c r="A5631" t="s">
        <v>1747</v>
      </c>
      <c r="B5631" t="s">
        <v>4909</v>
      </c>
      <c r="C5631" t="s">
        <v>4909</v>
      </c>
      <c r="D5631" t="s">
        <v>4909</v>
      </c>
      <c r="E5631" t="s">
        <v>4909</v>
      </c>
      <c r="F5631" t="s">
        <v>4909</v>
      </c>
      <c r="G5631" t="s">
        <v>4909</v>
      </c>
      <c r="H5631" t="s">
        <v>4909</v>
      </c>
      <c r="I5631" t="s">
        <v>4909</v>
      </c>
      <c r="J5631" t="s">
        <v>4909</v>
      </c>
      <c r="K5631" t="s">
        <v>4909</v>
      </c>
    </row>
    <row r="5632" spans="1:11" x14ac:dyDescent="0.2">
      <c r="A5632" t="s">
        <v>1751</v>
      </c>
      <c r="B5632" t="s">
        <v>4909</v>
      </c>
      <c r="C5632" t="s">
        <v>4909</v>
      </c>
      <c r="D5632" t="s">
        <v>4909</v>
      </c>
      <c r="E5632" t="s">
        <v>4909</v>
      </c>
      <c r="F5632" t="s">
        <v>4909</v>
      </c>
      <c r="G5632" t="s">
        <v>4909</v>
      </c>
      <c r="H5632" t="s">
        <v>4909</v>
      </c>
      <c r="I5632" t="s">
        <v>4909</v>
      </c>
      <c r="J5632" t="s">
        <v>4909</v>
      </c>
      <c r="K5632" t="s">
        <v>4909</v>
      </c>
    </row>
    <row r="5633" spans="1:11" x14ac:dyDescent="0.2">
      <c r="A5633" t="s">
        <v>1755</v>
      </c>
      <c r="B5633" t="s">
        <v>4909</v>
      </c>
      <c r="C5633" s="88">
        <v>1E-3</v>
      </c>
      <c r="D5633" s="88">
        <v>5.0000000000000001E-3</v>
      </c>
      <c r="E5633" t="s">
        <v>4909</v>
      </c>
      <c r="F5633" t="s">
        <v>4909</v>
      </c>
      <c r="G5633" t="s">
        <v>4909</v>
      </c>
      <c r="H5633" t="s">
        <v>4909</v>
      </c>
      <c r="I5633" t="s">
        <v>4909</v>
      </c>
      <c r="J5633" s="88">
        <v>8.9999999999999993E-3</v>
      </c>
      <c r="K5633" t="s">
        <v>4909</v>
      </c>
    </row>
    <row r="5634" spans="1:11" x14ac:dyDescent="0.2">
      <c r="A5634" t="s">
        <v>1757</v>
      </c>
      <c r="B5634" t="s">
        <v>4909</v>
      </c>
      <c r="C5634" s="88">
        <v>1E-3</v>
      </c>
      <c r="D5634" s="88">
        <v>4.0000000000000001E-3</v>
      </c>
      <c r="E5634" t="s">
        <v>4909</v>
      </c>
      <c r="F5634" t="s">
        <v>4909</v>
      </c>
      <c r="G5634" t="s">
        <v>4909</v>
      </c>
      <c r="H5634" t="s">
        <v>4909</v>
      </c>
      <c r="I5634" t="s">
        <v>4909</v>
      </c>
      <c r="J5634" s="88">
        <v>5.0000000000000001E-3</v>
      </c>
      <c r="K5634" t="s">
        <v>4909</v>
      </c>
    </row>
    <row r="5635" spans="1:11" x14ac:dyDescent="0.2">
      <c r="A5635" t="s">
        <v>1761</v>
      </c>
      <c r="B5635" t="s">
        <v>4909</v>
      </c>
      <c r="C5635" t="s">
        <v>4909</v>
      </c>
      <c r="D5635" t="s">
        <v>4909</v>
      </c>
      <c r="E5635" t="s">
        <v>4909</v>
      </c>
      <c r="F5635" t="s">
        <v>4909</v>
      </c>
      <c r="G5635" t="s">
        <v>4909</v>
      </c>
      <c r="H5635" t="s">
        <v>4909</v>
      </c>
      <c r="I5635" t="s">
        <v>4909</v>
      </c>
      <c r="J5635" t="s">
        <v>4909</v>
      </c>
      <c r="K5635" t="s">
        <v>4909</v>
      </c>
    </row>
    <row r="5636" spans="1:11" x14ac:dyDescent="0.2">
      <c r="A5636" t="s">
        <v>1764</v>
      </c>
      <c r="B5636" t="s">
        <v>4909</v>
      </c>
      <c r="C5636" t="s">
        <v>4909</v>
      </c>
      <c r="D5636" t="s">
        <v>4909</v>
      </c>
      <c r="E5636" t="s">
        <v>4909</v>
      </c>
      <c r="F5636" t="s">
        <v>4909</v>
      </c>
      <c r="G5636" t="s">
        <v>4909</v>
      </c>
      <c r="H5636" t="s">
        <v>4909</v>
      </c>
      <c r="I5636" t="s">
        <v>4909</v>
      </c>
      <c r="J5636" t="s">
        <v>4909</v>
      </c>
      <c r="K5636" t="s">
        <v>4909</v>
      </c>
    </row>
    <row r="5637" spans="1:11" x14ac:dyDescent="0.2">
      <c r="A5637" t="s">
        <v>1770</v>
      </c>
      <c r="B5637" t="s">
        <v>4909</v>
      </c>
      <c r="C5637" s="88">
        <v>3.0000000000000001E-3</v>
      </c>
      <c r="D5637" s="88">
        <v>3.0000000000000001E-3</v>
      </c>
      <c r="E5637" t="s">
        <v>4909</v>
      </c>
      <c r="F5637" t="s">
        <v>4909</v>
      </c>
      <c r="G5637" t="s">
        <v>4909</v>
      </c>
      <c r="H5637" t="s">
        <v>4909</v>
      </c>
      <c r="I5637" s="88">
        <v>0</v>
      </c>
      <c r="J5637" s="88">
        <v>2.1000000000000001E-2</v>
      </c>
      <c r="K5637" t="s">
        <v>4909</v>
      </c>
    </row>
    <row r="5638" spans="1:11" x14ac:dyDescent="0.2">
      <c r="A5638" t="s">
        <v>1772</v>
      </c>
      <c r="B5638" t="s">
        <v>4909</v>
      </c>
      <c r="C5638" s="88">
        <v>4.0000000000000001E-3</v>
      </c>
      <c r="D5638" s="88">
        <v>3.0000000000000001E-3</v>
      </c>
      <c r="E5638" t="s">
        <v>4909</v>
      </c>
      <c r="F5638" t="s">
        <v>4909</v>
      </c>
      <c r="G5638" t="s">
        <v>4909</v>
      </c>
      <c r="H5638" t="s">
        <v>4909</v>
      </c>
      <c r="I5638" s="88">
        <v>0</v>
      </c>
      <c r="J5638" s="88">
        <v>1.7999999999999999E-2</v>
      </c>
      <c r="K5638" t="s">
        <v>4909</v>
      </c>
    </row>
    <row r="5639" spans="1:11" x14ac:dyDescent="0.2">
      <c r="A5639" t="s">
        <v>1774</v>
      </c>
      <c r="B5639" t="s">
        <v>4909</v>
      </c>
      <c r="C5639" s="88">
        <v>4.0000000000000001E-3</v>
      </c>
      <c r="D5639" s="88">
        <v>4.0000000000000001E-3</v>
      </c>
      <c r="E5639" t="s">
        <v>4909</v>
      </c>
      <c r="F5639" t="s">
        <v>4909</v>
      </c>
      <c r="G5639" t="s">
        <v>4909</v>
      </c>
      <c r="H5639" t="s">
        <v>4909</v>
      </c>
      <c r="I5639" t="s">
        <v>4909</v>
      </c>
      <c r="J5639" s="88">
        <v>1.0999999999999999E-2</v>
      </c>
      <c r="K5639" t="s">
        <v>4909</v>
      </c>
    </row>
    <row r="5640" spans="1:11" x14ac:dyDescent="0.2">
      <c r="A5640" t="s">
        <v>1777</v>
      </c>
      <c r="B5640" t="s">
        <v>4909</v>
      </c>
      <c r="C5640" t="s">
        <v>4909</v>
      </c>
      <c r="D5640" t="s">
        <v>4909</v>
      </c>
      <c r="E5640" t="s">
        <v>4909</v>
      </c>
      <c r="F5640" t="s">
        <v>4909</v>
      </c>
      <c r="G5640" t="s">
        <v>4909</v>
      </c>
      <c r="H5640" t="s">
        <v>4909</v>
      </c>
      <c r="I5640" t="s">
        <v>4909</v>
      </c>
      <c r="J5640" t="s">
        <v>4909</v>
      </c>
      <c r="K5640" t="s">
        <v>4909</v>
      </c>
    </row>
    <row r="5641" spans="1:11" x14ac:dyDescent="0.2">
      <c r="A5641" t="s">
        <v>1782</v>
      </c>
      <c r="B5641" t="s">
        <v>4909</v>
      </c>
      <c r="C5641" t="s">
        <v>4909</v>
      </c>
      <c r="D5641" t="s">
        <v>4909</v>
      </c>
      <c r="E5641" t="s">
        <v>4909</v>
      </c>
      <c r="F5641" t="s">
        <v>4909</v>
      </c>
      <c r="G5641" t="s">
        <v>4909</v>
      </c>
      <c r="H5641" t="s">
        <v>4909</v>
      </c>
      <c r="I5641" t="s">
        <v>4909</v>
      </c>
      <c r="J5641" t="s">
        <v>4909</v>
      </c>
      <c r="K5641" t="s">
        <v>4909</v>
      </c>
    </row>
    <row r="5642" spans="1:11" x14ac:dyDescent="0.2">
      <c r="A5642" t="s">
        <v>1274</v>
      </c>
      <c r="B5642" t="s">
        <v>4909</v>
      </c>
      <c r="C5642" s="88">
        <v>0</v>
      </c>
      <c r="D5642" s="88">
        <v>1E-3</v>
      </c>
      <c r="E5642" t="s">
        <v>4909</v>
      </c>
      <c r="F5642" t="s">
        <v>4909</v>
      </c>
      <c r="G5642" t="s">
        <v>4909</v>
      </c>
      <c r="H5642" t="s">
        <v>4909</v>
      </c>
      <c r="I5642" t="s">
        <v>4909</v>
      </c>
      <c r="J5642" s="88">
        <v>0</v>
      </c>
      <c r="K5642" t="s">
        <v>4909</v>
      </c>
    </row>
    <row r="5643" spans="1:11" x14ac:dyDescent="0.2">
      <c r="A5643" t="s">
        <v>1277</v>
      </c>
      <c r="B5643" t="s">
        <v>4909</v>
      </c>
      <c r="C5643" s="88">
        <v>0</v>
      </c>
      <c r="D5643" s="88">
        <v>1E-3</v>
      </c>
      <c r="E5643" t="s">
        <v>4909</v>
      </c>
      <c r="F5643" t="s">
        <v>4909</v>
      </c>
      <c r="G5643" t="s">
        <v>4909</v>
      </c>
      <c r="H5643" t="s">
        <v>4909</v>
      </c>
      <c r="I5643" s="88">
        <v>0</v>
      </c>
      <c r="J5643" s="88">
        <v>1E-3</v>
      </c>
      <c r="K5643" t="s">
        <v>4909</v>
      </c>
    </row>
    <row r="5644" spans="1:11" x14ac:dyDescent="0.2">
      <c r="A5644" t="s">
        <v>1798</v>
      </c>
      <c r="B5644" t="s">
        <v>4909</v>
      </c>
      <c r="C5644" t="s">
        <v>4909</v>
      </c>
      <c r="D5644" t="s">
        <v>4909</v>
      </c>
      <c r="E5644" t="s">
        <v>4909</v>
      </c>
      <c r="F5644" t="s">
        <v>4909</v>
      </c>
      <c r="G5644" t="s">
        <v>4909</v>
      </c>
      <c r="H5644" t="s">
        <v>4909</v>
      </c>
      <c r="I5644" t="s">
        <v>4909</v>
      </c>
      <c r="J5644" t="s">
        <v>4909</v>
      </c>
      <c r="K5644" t="s">
        <v>4909</v>
      </c>
    </row>
    <row r="5645" spans="1:11" x14ac:dyDescent="0.2">
      <c r="A5645" t="s">
        <v>1803</v>
      </c>
      <c r="B5645" t="s">
        <v>4909</v>
      </c>
      <c r="C5645" t="s">
        <v>4909</v>
      </c>
      <c r="D5645" t="s">
        <v>4909</v>
      </c>
      <c r="E5645" t="s">
        <v>4909</v>
      </c>
      <c r="F5645" t="s">
        <v>4909</v>
      </c>
      <c r="G5645" t="s">
        <v>4909</v>
      </c>
      <c r="H5645" t="s">
        <v>4909</v>
      </c>
      <c r="I5645" t="s">
        <v>4909</v>
      </c>
      <c r="J5645" t="s">
        <v>4909</v>
      </c>
      <c r="K5645" t="s">
        <v>4909</v>
      </c>
    </row>
    <row r="5646" spans="1:11" x14ac:dyDescent="0.2">
      <c r="A5646" t="s">
        <v>1808</v>
      </c>
      <c r="B5646" t="s">
        <v>4909</v>
      </c>
      <c r="C5646" t="s">
        <v>4909</v>
      </c>
      <c r="D5646" t="s">
        <v>4909</v>
      </c>
      <c r="E5646" t="s">
        <v>4909</v>
      </c>
      <c r="F5646" t="s">
        <v>4909</v>
      </c>
      <c r="G5646" t="s">
        <v>4909</v>
      </c>
      <c r="H5646" t="s">
        <v>4909</v>
      </c>
      <c r="I5646" t="s">
        <v>4909</v>
      </c>
      <c r="J5646" t="s">
        <v>4909</v>
      </c>
      <c r="K5646" t="s">
        <v>4909</v>
      </c>
    </row>
    <row r="5647" spans="1:11" x14ac:dyDescent="0.2">
      <c r="A5647" t="s">
        <v>1813</v>
      </c>
      <c r="B5647" t="s">
        <v>4909</v>
      </c>
      <c r="C5647" s="88">
        <v>1.2E-2</v>
      </c>
      <c r="D5647" s="88">
        <v>4.3999999999999997E-2</v>
      </c>
      <c r="E5647" t="s">
        <v>4909</v>
      </c>
      <c r="F5647" t="s">
        <v>4909</v>
      </c>
      <c r="G5647" t="s">
        <v>4909</v>
      </c>
      <c r="H5647" t="s">
        <v>4909</v>
      </c>
      <c r="I5647" s="88">
        <v>8.0000000000000002E-3</v>
      </c>
      <c r="J5647" s="88">
        <v>4.0000000000000001E-3</v>
      </c>
      <c r="K5647" t="s">
        <v>4909</v>
      </c>
    </row>
    <row r="5648" spans="1:11" x14ac:dyDescent="0.2">
      <c r="A5648" t="s">
        <v>1819</v>
      </c>
      <c r="B5648" t="s">
        <v>4909</v>
      </c>
      <c r="C5648" s="88">
        <v>1.2E-2</v>
      </c>
      <c r="D5648" s="88">
        <v>4.4999999999999998E-2</v>
      </c>
      <c r="E5648" t="s">
        <v>4909</v>
      </c>
      <c r="F5648" t="s">
        <v>4909</v>
      </c>
      <c r="G5648" t="s">
        <v>4909</v>
      </c>
      <c r="H5648" t="s">
        <v>4909</v>
      </c>
      <c r="I5648" s="88">
        <v>8.9999999999999993E-3</v>
      </c>
      <c r="J5648" s="88">
        <v>1E-3</v>
      </c>
      <c r="K5648" t="s">
        <v>4909</v>
      </c>
    </row>
    <row r="5649" spans="1:11" x14ac:dyDescent="0.2">
      <c r="A5649" t="s">
        <v>1826</v>
      </c>
      <c r="B5649" t="s">
        <v>4909</v>
      </c>
      <c r="C5649" s="88">
        <v>1.2999999999999999E-2</v>
      </c>
      <c r="D5649" s="88">
        <v>4.8000000000000001E-2</v>
      </c>
      <c r="E5649" t="s">
        <v>4909</v>
      </c>
      <c r="F5649" t="s">
        <v>4909</v>
      </c>
      <c r="G5649" t="s">
        <v>4909</v>
      </c>
      <c r="H5649" t="s">
        <v>4909</v>
      </c>
      <c r="I5649" s="88">
        <v>0</v>
      </c>
      <c r="J5649" t="s">
        <v>4909</v>
      </c>
      <c r="K5649" t="s">
        <v>4909</v>
      </c>
    </row>
    <row r="5650" spans="1:11" x14ac:dyDescent="0.2">
      <c r="A5650" t="s">
        <v>1830</v>
      </c>
      <c r="B5650" t="s">
        <v>4909</v>
      </c>
      <c r="C5650" s="88">
        <v>1.2E-2</v>
      </c>
      <c r="D5650" s="88">
        <v>4.4999999999999998E-2</v>
      </c>
      <c r="E5650" t="s">
        <v>4909</v>
      </c>
      <c r="F5650" t="s">
        <v>4909</v>
      </c>
      <c r="G5650" t="s">
        <v>4909</v>
      </c>
      <c r="H5650" t="s">
        <v>4909</v>
      </c>
      <c r="I5650" s="88">
        <v>4.0000000000000001E-3</v>
      </c>
      <c r="J5650" t="s">
        <v>4909</v>
      </c>
      <c r="K5650" t="s">
        <v>4909</v>
      </c>
    </row>
    <row r="5651" spans="1:11" x14ac:dyDescent="0.2">
      <c r="A5651" t="s">
        <v>1836</v>
      </c>
      <c r="B5651" t="s">
        <v>4909</v>
      </c>
      <c r="C5651" t="s">
        <v>4909</v>
      </c>
      <c r="D5651" t="s">
        <v>4909</v>
      </c>
      <c r="E5651" t="s">
        <v>4909</v>
      </c>
      <c r="F5651" t="s">
        <v>4909</v>
      </c>
      <c r="G5651" t="s">
        <v>4909</v>
      </c>
      <c r="H5651" t="s">
        <v>4909</v>
      </c>
      <c r="I5651" t="s">
        <v>4909</v>
      </c>
      <c r="J5651" t="s">
        <v>4909</v>
      </c>
      <c r="K5651" t="s">
        <v>4909</v>
      </c>
    </row>
    <row r="5652" spans="1:11" x14ac:dyDescent="0.2">
      <c r="A5652" t="s">
        <v>1841</v>
      </c>
      <c r="B5652" t="s">
        <v>4909</v>
      </c>
      <c r="C5652" s="88">
        <v>1.0999999999999999E-2</v>
      </c>
      <c r="D5652" s="88">
        <v>3.6999999999999998E-2</v>
      </c>
      <c r="E5652" t="s">
        <v>4909</v>
      </c>
      <c r="F5652" t="s">
        <v>4909</v>
      </c>
      <c r="G5652" t="s">
        <v>4909</v>
      </c>
      <c r="H5652" t="s">
        <v>4909</v>
      </c>
      <c r="I5652" t="s">
        <v>4909</v>
      </c>
      <c r="J5652" s="88">
        <v>3.0000000000000001E-3</v>
      </c>
      <c r="K5652" t="s">
        <v>4909</v>
      </c>
    </row>
    <row r="5653" spans="1:11" x14ac:dyDescent="0.2">
      <c r="A5653" t="s">
        <v>1842</v>
      </c>
      <c r="B5653" t="s">
        <v>4909</v>
      </c>
      <c r="C5653" s="88">
        <v>1E-3</v>
      </c>
      <c r="D5653" s="88">
        <v>6.0000000000000001E-3</v>
      </c>
      <c r="E5653" t="s">
        <v>4909</v>
      </c>
      <c r="F5653" t="s">
        <v>4909</v>
      </c>
      <c r="G5653" t="s">
        <v>4909</v>
      </c>
      <c r="H5653" t="s">
        <v>4909</v>
      </c>
      <c r="I5653" s="88">
        <v>0</v>
      </c>
      <c r="J5653" s="88">
        <v>5.1999999999999998E-2</v>
      </c>
      <c r="K5653" t="s">
        <v>4909</v>
      </c>
    </row>
    <row r="5654" spans="1:11" x14ac:dyDescent="0.2">
      <c r="A5654" t="s">
        <v>1843</v>
      </c>
      <c r="B5654" t="s">
        <v>4909</v>
      </c>
      <c r="C5654" s="88">
        <v>1.2E-2</v>
      </c>
      <c r="D5654" s="88">
        <v>4.7E-2</v>
      </c>
      <c r="E5654" t="s">
        <v>4909</v>
      </c>
      <c r="F5654" t="s">
        <v>4909</v>
      </c>
      <c r="G5654" t="s">
        <v>4909</v>
      </c>
      <c r="H5654" t="s">
        <v>4909</v>
      </c>
      <c r="I5654" t="s">
        <v>4909</v>
      </c>
      <c r="J5654" t="s">
        <v>4909</v>
      </c>
      <c r="K5654" t="s">
        <v>4909</v>
      </c>
    </row>
    <row r="5655" spans="1:11" x14ac:dyDescent="0.2">
      <c r="A5655" t="s">
        <v>1846</v>
      </c>
      <c r="B5655" t="s">
        <v>4909</v>
      </c>
      <c r="C5655" t="s">
        <v>4909</v>
      </c>
      <c r="D5655" s="88">
        <v>7.0000000000000001E-3</v>
      </c>
      <c r="E5655" t="s">
        <v>4909</v>
      </c>
      <c r="F5655" t="s">
        <v>4909</v>
      </c>
      <c r="G5655" t="s">
        <v>4909</v>
      </c>
      <c r="H5655" t="s">
        <v>4909</v>
      </c>
      <c r="I5655" t="s">
        <v>4909</v>
      </c>
      <c r="J5655" s="88">
        <v>0.154</v>
      </c>
      <c r="K5655" t="s">
        <v>4909</v>
      </c>
    </row>
    <row r="5656" spans="1:11" x14ac:dyDescent="0.2">
      <c r="A5656" t="s">
        <v>1851</v>
      </c>
      <c r="B5656" t="s">
        <v>4909</v>
      </c>
      <c r="C5656" s="88">
        <v>1E-3</v>
      </c>
      <c r="D5656" s="88">
        <v>6.0000000000000001E-3</v>
      </c>
      <c r="E5656" t="s">
        <v>4909</v>
      </c>
      <c r="F5656" t="s">
        <v>4909</v>
      </c>
      <c r="G5656" t="s">
        <v>4909</v>
      </c>
      <c r="H5656" t="s">
        <v>4909</v>
      </c>
      <c r="I5656" s="88">
        <v>0</v>
      </c>
      <c r="J5656" s="88">
        <v>0.14699999999999999</v>
      </c>
      <c r="K5656" t="s">
        <v>4909</v>
      </c>
    </row>
    <row r="5657" spans="1:11" x14ac:dyDescent="0.2">
      <c r="A5657" t="s">
        <v>1857</v>
      </c>
      <c r="B5657" t="s">
        <v>4909</v>
      </c>
      <c r="C5657" t="s">
        <v>4909</v>
      </c>
      <c r="D5657" t="s">
        <v>4909</v>
      </c>
      <c r="E5657" t="s">
        <v>4909</v>
      </c>
      <c r="F5657" t="s">
        <v>4909</v>
      </c>
      <c r="G5657" t="s">
        <v>4909</v>
      </c>
      <c r="H5657" t="s">
        <v>4909</v>
      </c>
      <c r="I5657" t="s">
        <v>4909</v>
      </c>
      <c r="J5657" s="88">
        <v>0.153</v>
      </c>
      <c r="K5657" t="s">
        <v>4909</v>
      </c>
    </row>
    <row r="5658" spans="1:11" x14ac:dyDescent="0.2">
      <c r="A5658" t="s">
        <v>1862</v>
      </c>
      <c r="B5658" t="s">
        <v>4909</v>
      </c>
      <c r="C5658" t="s">
        <v>4909</v>
      </c>
      <c r="D5658" t="s">
        <v>4909</v>
      </c>
      <c r="E5658" t="s">
        <v>4909</v>
      </c>
      <c r="F5658" t="s">
        <v>4909</v>
      </c>
      <c r="G5658" t="s">
        <v>4909</v>
      </c>
      <c r="H5658" t="s">
        <v>4909</v>
      </c>
      <c r="I5658" t="s">
        <v>4909</v>
      </c>
      <c r="J5658" s="88">
        <v>0.154</v>
      </c>
      <c r="K5658" t="s">
        <v>4909</v>
      </c>
    </row>
    <row r="5659" spans="1:11" x14ac:dyDescent="0.2">
      <c r="A5659" t="s">
        <v>1867</v>
      </c>
      <c r="B5659" t="s">
        <v>4909</v>
      </c>
      <c r="C5659" t="s">
        <v>4909</v>
      </c>
      <c r="D5659" t="s">
        <v>4909</v>
      </c>
      <c r="E5659" t="s">
        <v>4909</v>
      </c>
      <c r="F5659" t="s">
        <v>4909</v>
      </c>
      <c r="G5659" t="s">
        <v>4909</v>
      </c>
      <c r="H5659" t="s">
        <v>4909</v>
      </c>
      <c r="I5659" t="s">
        <v>4909</v>
      </c>
      <c r="J5659" s="88">
        <v>0.995</v>
      </c>
      <c r="K5659" t="s">
        <v>4909</v>
      </c>
    </row>
    <row r="5660" spans="1:11" x14ac:dyDescent="0.2">
      <c r="A5660" t="s">
        <v>1870</v>
      </c>
      <c r="B5660" t="s">
        <v>4909</v>
      </c>
      <c r="C5660" t="s">
        <v>4909</v>
      </c>
      <c r="D5660" t="s">
        <v>4909</v>
      </c>
      <c r="E5660" t="s">
        <v>4909</v>
      </c>
      <c r="F5660" t="s">
        <v>4909</v>
      </c>
      <c r="G5660" t="s">
        <v>4909</v>
      </c>
      <c r="H5660" t="s">
        <v>4909</v>
      </c>
      <c r="I5660" t="s">
        <v>4909</v>
      </c>
      <c r="J5660" t="s">
        <v>4909</v>
      </c>
      <c r="K5660" t="s">
        <v>4909</v>
      </c>
    </row>
    <row r="5661" spans="1:11" x14ac:dyDescent="0.2">
      <c r="A5661" t="s">
        <v>1874</v>
      </c>
      <c r="B5661" t="s">
        <v>4909</v>
      </c>
      <c r="C5661" s="88">
        <v>0</v>
      </c>
      <c r="D5661" s="88">
        <v>0</v>
      </c>
      <c r="E5661" t="s">
        <v>4909</v>
      </c>
      <c r="F5661" t="s">
        <v>4909</v>
      </c>
      <c r="G5661" t="s">
        <v>4909</v>
      </c>
      <c r="H5661" t="s">
        <v>4909</v>
      </c>
      <c r="I5661" t="s">
        <v>4909</v>
      </c>
      <c r="J5661" s="88">
        <v>0.193</v>
      </c>
      <c r="K5661" t="s">
        <v>4909</v>
      </c>
    </row>
    <row r="5662" spans="1:11" x14ac:dyDescent="0.2">
      <c r="A5662" t="s">
        <v>1876</v>
      </c>
      <c r="B5662" t="s">
        <v>4909</v>
      </c>
      <c r="C5662" t="s">
        <v>4909</v>
      </c>
      <c r="D5662" t="s">
        <v>4909</v>
      </c>
      <c r="E5662" t="s">
        <v>4909</v>
      </c>
      <c r="F5662" t="s">
        <v>4909</v>
      </c>
      <c r="G5662" t="s">
        <v>4909</v>
      </c>
      <c r="H5662" t="s">
        <v>4909</v>
      </c>
      <c r="I5662" t="s">
        <v>4909</v>
      </c>
      <c r="J5662" s="88">
        <v>0.998</v>
      </c>
      <c r="K5662" t="s">
        <v>4909</v>
      </c>
    </row>
    <row r="5663" spans="1:11" x14ac:dyDescent="0.2">
      <c r="A5663" t="s">
        <v>1881</v>
      </c>
      <c r="B5663" t="s">
        <v>4909</v>
      </c>
      <c r="C5663" t="s">
        <v>4909</v>
      </c>
      <c r="D5663" t="s">
        <v>4909</v>
      </c>
      <c r="E5663" t="s">
        <v>4909</v>
      </c>
      <c r="F5663" t="s">
        <v>4909</v>
      </c>
      <c r="G5663" t="s">
        <v>4909</v>
      </c>
      <c r="H5663" t="s">
        <v>4909</v>
      </c>
      <c r="I5663" t="s">
        <v>4909</v>
      </c>
      <c r="J5663" t="s">
        <v>4909</v>
      </c>
      <c r="K5663" t="s">
        <v>4909</v>
      </c>
    </row>
    <row r="5664" spans="1:11" x14ac:dyDescent="0.2">
      <c r="A5664" t="s">
        <v>1885</v>
      </c>
      <c r="B5664" t="s">
        <v>4909</v>
      </c>
      <c r="C5664" s="88">
        <v>0</v>
      </c>
      <c r="D5664" s="88">
        <v>2E-3</v>
      </c>
      <c r="E5664" t="s">
        <v>4909</v>
      </c>
      <c r="F5664" t="s">
        <v>4909</v>
      </c>
      <c r="G5664" t="s">
        <v>4909</v>
      </c>
      <c r="H5664" t="s">
        <v>4909</v>
      </c>
      <c r="I5664" t="s">
        <v>4909</v>
      </c>
      <c r="J5664" s="88">
        <v>8.0000000000000002E-3</v>
      </c>
      <c r="K5664" t="s">
        <v>4909</v>
      </c>
    </row>
    <row r="5665" spans="1:11" x14ac:dyDescent="0.2">
      <c r="A5665" t="s">
        <v>1887</v>
      </c>
      <c r="B5665" t="s">
        <v>4909</v>
      </c>
      <c r="C5665" t="s">
        <v>4909</v>
      </c>
      <c r="D5665" s="88">
        <v>0</v>
      </c>
      <c r="E5665" t="s">
        <v>4909</v>
      </c>
      <c r="F5665" t="s">
        <v>4909</v>
      </c>
      <c r="G5665" t="s">
        <v>4909</v>
      </c>
      <c r="H5665" t="s">
        <v>4909</v>
      </c>
      <c r="I5665" t="s">
        <v>4909</v>
      </c>
      <c r="J5665" s="88">
        <v>8.0000000000000002E-3</v>
      </c>
      <c r="K5665" t="s">
        <v>4909</v>
      </c>
    </row>
    <row r="5666" spans="1:11" x14ac:dyDescent="0.2">
      <c r="A5666" t="s">
        <v>1893</v>
      </c>
      <c r="B5666" t="s">
        <v>4909</v>
      </c>
      <c r="C5666" s="88">
        <v>0</v>
      </c>
      <c r="D5666" s="88">
        <v>1E-3</v>
      </c>
      <c r="E5666" t="s">
        <v>4909</v>
      </c>
      <c r="F5666" t="s">
        <v>4909</v>
      </c>
      <c r="G5666" t="s">
        <v>4909</v>
      </c>
      <c r="H5666" t="s">
        <v>4909</v>
      </c>
      <c r="I5666" s="88">
        <v>0</v>
      </c>
      <c r="J5666" s="88">
        <v>8.9999999999999993E-3</v>
      </c>
      <c r="K5666" t="s">
        <v>4909</v>
      </c>
    </row>
    <row r="5667" spans="1:11" x14ac:dyDescent="0.2">
      <c r="A5667" t="s">
        <v>1899</v>
      </c>
      <c r="B5667" t="s">
        <v>4909</v>
      </c>
      <c r="C5667" t="s">
        <v>4909</v>
      </c>
      <c r="D5667" t="s">
        <v>4909</v>
      </c>
      <c r="E5667" t="s">
        <v>4909</v>
      </c>
      <c r="F5667" t="s">
        <v>4909</v>
      </c>
      <c r="G5667" t="s">
        <v>4909</v>
      </c>
      <c r="H5667" t="s">
        <v>4909</v>
      </c>
      <c r="I5667" t="s">
        <v>4909</v>
      </c>
      <c r="J5667" t="s">
        <v>4909</v>
      </c>
      <c r="K5667" t="s">
        <v>4909</v>
      </c>
    </row>
    <row r="5668" spans="1:11" x14ac:dyDescent="0.2">
      <c r="A5668" t="s">
        <v>1906</v>
      </c>
      <c r="B5668" t="s">
        <v>4909</v>
      </c>
      <c r="C5668" t="s">
        <v>4909</v>
      </c>
      <c r="D5668" t="s">
        <v>4909</v>
      </c>
      <c r="E5668" t="s">
        <v>4909</v>
      </c>
      <c r="F5668" t="s">
        <v>4909</v>
      </c>
      <c r="G5668" t="s">
        <v>4909</v>
      </c>
      <c r="H5668" t="s">
        <v>4909</v>
      </c>
      <c r="I5668" t="s">
        <v>4909</v>
      </c>
      <c r="J5668" t="s">
        <v>4909</v>
      </c>
      <c r="K5668" t="s">
        <v>4909</v>
      </c>
    </row>
    <row r="5669" spans="1:11" x14ac:dyDescent="0.2">
      <c r="A5669" t="s">
        <v>1911</v>
      </c>
      <c r="B5669" t="s">
        <v>4909</v>
      </c>
      <c r="C5669" t="s">
        <v>4909</v>
      </c>
      <c r="D5669" t="s">
        <v>4909</v>
      </c>
      <c r="E5669" t="s">
        <v>4909</v>
      </c>
      <c r="F5669" t="s">
        <v>4909</v>
      </c>
      <c r="G5669" t="s">
        <v>4909</v>
      </c>
      <c r="H5669" t="s">
        <v>4909</v>
      </c>
      <c r="I5669" t="s">
        <v>4909</v>
      </c>
      <c r="J5669" t="s">
        <v>4909</v>
      </c>
      <c r="K5669" t="s">
        <v>4909</v>
      </c>
    </row>
    <row r="5670" spans="1:11" x14ac:dyDescent="0.2">
      <c r="A5670" t="s">
        <v>1917</v>
      </c>
      <c r="B5670" t="s">
        <v>4909</v>
      </c>
      <c r="C5670" t="s">
        <v>4909</v>
      </c>
      <c r="D5670" t="s">
        <v>4909</v>
      </c>
      <c r="E5670" t="s">
        <v>4909</v>
      </c>
      <c r="F5670" t="s">
        <v>4909</v>
      </c>
      <c r="G5670" t="s">
        <v>4909</v>
      </c>
      <c r="H5670" t="s">
        <v>4909</v>
      </c>
      <c r="I5670" t="s">
        <v>4909</v>
      </c>
      <c r="J5670" t="s">
        <v>4909</v>
      </c>
      <c r="K5670" t="s">
        <v>4909</v>
      </c>
    </row>
    <row r="5671" spans="1:11" x14ac:dyDescent="0.2">
      <c r="A5671" t="s">
        <v>1922</v>
      </c>
      <c r="B5671" t="s">
        <v>4909</v>
      </c>
      <c r="C5671" t="s">
        <v>4909</v>
      </c>
      <c r="D5671" t="s">
        <v>4909</v>
      </c>
      <c r="E5671" t="s">
        <v>4909</v>
      </c>
      <c r="F5671" t="s">
        <v>4909</v>
      </c>
      <c r="G5671" t="s">
        <v>4909</v>
      </c>
      <c r="H5671" t="s">
        <v>4909</v>
      </c>
      <c r="I5671" t="s">
        <v>4909</v>
      </c>
      <c r="J5671" s="88">
        <v>1.0999999999999999E-2</v>
      </c>
      <c r="K5671" t="s">
        <v>4909</v>
      </c>
    </row>
    <row r="5672" spans="1:11" x14ac:dyDescent="0.2">
      <c r="A5672" t="s">
        <v>1928</v>
      </c>
      <c r="B5672" t="s">
        <v>4909</v>
      </c>
      <c r="C5672" t="s">
        <v>4909</v>
      </c>
      <c r="D5672" t="s">
        <v>4909</v>
      </c>
      <c r="E5672" t="s">
        <v>4909</v>
      </c>
      <c r="F5672" t="s">
        <v>4909</v>
      </c>
      <c r="G5672" t="s">
        <v>4909</v>
      </c>
      <c r="H5672" t="s">
        <v>4909</v>
      </c>
      <c r="I5672" t="s">
        <v>4909</v>
      </c>
      <c r="J5672" t="s">
        <v>4909</v>
      </c>
      <c r="K5672" t="s">
        <v>4909</v>
      </c>
    </row>
    <row r="5673" spans="1:11" x14ac:dyDescent="0.2">
      <c r="A5673" t="s">
        <v>1932</v>
      </c>
      <c r="B5673" t="s">
        <v>4909</v>
      </c>
      <c r="C5673" t="s">
        <v>4909</v>
      </c>
      <c r="D5673" t="s">
        <v>4909</v>
      </c>
      <c r="E5673" t="s">
        <v>4909</v>
      </c>
      <c r="F5673" t="s">
        <v>4909</v>
      </c>
      <c r="G5673" t="s">
        <v>4909</v>
      </c>
      <c r="H5673" t="s">
        <v>4909</v>
      </c>
      <c r="I5673" t="s">
        <v>4909</v>
      </c>
      <c r="J5673" t="s">
        <v>4909</v>
      </c>
      <c r="K5673" t="s">
        <v>4909</v>
      </c>
    </row>
    <row r="5674" spans="1:11" x14ac:dyDescent="0.2">
      <c r="A5674" t="s">
        <v>1938</v>
      </c>
      <c r="B5674" t="s">
        <v>4909</v>
      </c>
      <c r="C5674" t="s">
        <v>4909</v>
      </c>
      <c r="D5674" t="s">
        <v>4909</v>
      </c>
      <c r="E5674" t="s">
        <v>4909</v>
      </c>
      <c r="F5674" t="s">
        <v>4909</v>
      </c>
      <c r="G5674" t="s">
        <v>4909</v>
      </c>
      <c r="H5674" t="s">
        <v>4909</v>
      </c>
      <c r="I5674" t="s">
        <v>4909</v>
      </c>
      <c r="J5674" t="s">
        <v>4909</v>
      </c>
      <c r="K5674" t="s">
        <v>4909</v>
      </c>
    </row>
    <row r="5675" spans="1:11" x14ac:dyDescent="0.2">
      <c r="A5675" t="s">
        <v>1944</v>
      </c>
      <c r="B5675" t="s">
        <v>4909</v>
      </c>
      <c r="C5675" t="s">
        <v>4909</v>
      </c>
      <c r="D5675" s="88">
        <v>0</v>
      </c>
      <c r="E5675" t="s">
        <v>4909</v>
      </c>
      <c r="F5675" t="s">
        <v>4909</v>
      </c>
      <c r="G5675" t="s">
        <v>4909</v>
      </c>
      <c r="H5675" t="s">
        <v>4909</v>
      </c>
      <c r="I5675" t="s">
        <v>4909</v>
      </c>
      <c r="J5675" s="88">
        <v>7.0000000000000001E-3</v>
      </c>
      <c r="K5675" t="s">
        <v>4909</v>
      </c>
    </row>
    <row r="5676" spans="1:11" x14ac:dyDescent="0.2">
      <c r="A5676" t="s">
        <v>1947</v>
      </c>
      <c r="B5676" t="s">
        <v>4909</v>
      </c>
      <c r="C5676" t="s">
        <v>4909</v>
      </c>
      <c r="D5676" t="s">
        <v>4909</v>
      </c>
      <c r="E5676" t="s">
        <v>4909</v>
      </c>
      <c r="F5676" t="s">
        <v>4909</v>
      </c>
      <c r="G5676" t="s">
        <v>4909</v>
      </c>
      <c r="H5676" t="s">
        <v>4909</v>
      </c>
      <c r="I5676" t="s">
        <v>4909</v>
      </c>
      <c r="J5676" s="88">
        <v>3.0000000000000001E-3</v>
      </c>
      <c r="K5676" t="s">
        <v>4909</v>
      </c>
    </row>
    <row r="5677" spans="1:11" x14ac:dyDescent="0.2">
      <c r="A5677" t="s">
        <v>1953</v>
      </c>
      <c r="B5677" t="s">
        <v>4909</v>
      </c>
      <c r="C5677" t="s">
        <v>4909</v>
      </c>
      <c r="D5677" s="88">
        <v>0</v>
      </c>
      <c r="E5677" t="s">
        <v>4909</v>
      </c>
      <c r="F5677" t="s">
        <v>4909</v>
      </c>
      <c r="G5677" t="s">
        <v>4909</v>
      </c>
      <c r="H5677" t="s">
        <v>4909</v>
      </c>
      <c r="I5677" t="s">
        <v>4909</v>
      </c>
      <c r="J5677" s="88">
        <v>8.0000000000000002E-3</v>
      </c>
      <c r="K5677" t="s">
        <v>4909</v>
      </c>
    </row>
    <row r="5678" spans="1:11" x14ac:dyDescent="0.2">
      <c r="A5678" t="s">
        <v>1958</v>
      </c>
      <c r="B5678" t="s">
        <v>4909</v>
      </c>
      <c r="C5678" t="s">
        <v>4909</v>
      </c>
      <c r="D5678" t="s">
        <v>4909</v>
      </c>
      <c r="E5678" t="s">
        <v>4909</v>
      </c>
      <c r="F5678" t="s">
        <v>4909</v>
      </c>
      <c r="G5678" t="s">
        <v>4909</v>
      </c>
      <c r="H5678" t="s">
        <v>4909</v>
      </c>
      <c r="I5678" t="s">
        <v>4909</v>
      </c>
      <c r="J5678" t="s">
        <v>4909</v>
      </c>
      <c r="K5678" t="s">
        <v>4909</v>
      </c>
    </row>
    <row r="5679" spans="1:11" x14ac:dyDescent="0.2">
      <c r="A5679" t="s">
        <v>1964</v>
      </c>
      <c r="B5679" t="s">
        <v>4909</v>
      </c>
      <c r="C5679" t="s">
        <v>4909</v>
      </c>
      <c r="D5679" t="s">
        <v>4909</v>
      </c>
      <c r="E5679" t="s">
        <v>4909</v>
      </c>
      <c r="F5679" t="s">
        <v>4909</v>
      </c>
      <c r="G5679" t="s">
        <v>4909</v>
      </c>
      <c r="H5679" t="s">
        <v>4909</v>
      </c>
      <c r="I5679" t="s">
        <v>4909</v>
      </c>
      <c r="J5679" t="s">
        <v>4909</v>
      </c>
      <c r="K5679" t="s">
        <v>4909</v>
      </c>
    </row>
    <row r="5680" spans="1:11" x14ac:dyDescent="0.2">
      <c r="A5680" t="s">
        <v>1973</v>
      </c>
      <c r="B5680" t="s">
        <v>4909</v>
      </c>
      <c r="C5680" t="s">
        <v>4909</v>
      </c>
      <c r="D5680" t="s">
        <v>4909</v>
      </c>
      <c r="E5680" t="s">
        <v>4909</v>
      </c>
      <c r="F5680" t="s">
        <v>4909</v>
      </c>
      <c r="G5680" t="s">
        <v>4909</v>
      </c>
      <c r="H5680" t="s">
        <v>4909</v>
      </c>
      <c r="I5680" t="s">
        <v>4909</v>
      </c>
      <c r="J5680" t="s">
        <v>4909</v>
      </c>
      <c r="K5680" t="s">
        <v>4909</v>
      </c>
    </row>
    <row r="5681" spans="1:11" x14ac:dyDescent="0.2">
      <c r="A5681" t="s">
        <v>1978</v>
      </c>
      <c r="B5681" t="s">
        <v>4909</v>
      </c>
      <c r="C5681" t="s">
        <v>4909</v>
      </c>
      <c r="D5681" t="s">
        <v>4909</v>
      </c>
      <c r="E5681" t="s">
        <v>4909</v>
      </c>
      <c r="F5681" t="s">
        <v>4909</v>
      </c>
      <c r="G5681" t="s">
        <v>4909</v>
      </c>
      <c r="H5681" t="s">
        <v>4909</v>
      </c>
      <c r="I5681" t="s">
        <v>4909</v>
      </c>
      <c r="J5681" t="s">
        <v>4909</v>
      </c>
      <c r="K5681" t="s">
        <v>4909</v>
      </c>
    </row>
    <row r="5682" spans="1:11" x14ac:dyDescent="0.2">
      <c r="A5682" t="s">
        <v>1983</v>
      </c>
      <c r="B5682" t="s">
        <v>4909</v>
      </c>
      <c r="C5682" t="s">
        <v>4909</v>
      </c>
      <c r="D5682" t="s">
        <v>4909</v>
      </c>
      <c r="E5682" t="s">
        <v>4909</v>
      </c>
      <c r="F5682" t="s">
        <v>4909</v>
      </c>
      <c r="G5682" t="s">
        <v>4909</v>
      </c>
      <c r="H5682" t="s">
        <v>4909</v>
      </c>
      <c r="I5682" t="s">
        <v>4909</v>
      </c>
      <c r="J5682" s="88">
        <v>0</v>
      </c>
      <c r="K5682" t="s">
        <v>4909</v>
      </c>
    </row>
    <row r="5683" spans="1:11" x14ac:dyDescent="0.2">
      <c r="A5683" t="s">
        <v>1984</v>
      </c>
      <c r="B5683" t="s">
        <v>4909</v>
      </c>
      <c r="C5683" t="s">
        <v>4909</v>
      </c>
      <c r="D5683" t="s">
        <v>4909</v>
      </c>
      <c r="E5683" t="s">
        <v>4909</v>
      </c>
      <c r="F5683" t="s">
        <v>4909</v>
      </c>
      <c r="G5683" t="s">
        <v>4909</v>
      </c>
      <c r="H5683" t="s">
        <v>4909</v>
      </c>
      <c r="I5683" t="s">
        <v>4909</v>
      </c>
      <c r="J5683" t="s">
        <v>4909</v>
      </c>
      <c r="K5683" t="s">
        <v>4909</v>
      </c>
    </row>
    <row r="5684" spans="1:11" x14ac:dyDescent="0.2">
      <c r="A5684" t="s">
        <v>1990</v>
      </c>
      <c r="B5684" t="s">
        <v>4909</v>
      </c>
      <c r="C5684" t="s">
        <v>4909</v>
      </c>
      <c r="D5684" t="s">
        <v>4909</v>
      </c>
      <c r="E5684" t="s">
        <v>4909</v>
      </c>
      <c r="F5684" t="s">
        <v>4909</v>
      </c>
      <c r="G5684" t="s">
        <v>4909</v>
      </c>
      <c r="H5684" t="s">
        <v>4909</v>
      </c>
      <c r="I5684" t="s">
        <v>4909</v>
      </c>
      <c r="J5684" t="s">
        <v>4909</v>
      </c>
      <c r="K5684" t="s">
        <v>4909</v>
      </c>
    </row>
    <row r="5685" spans="1:11" x14ac:dyDescent="0.2">
      <c r="A5685" t="s">
        <v>1996</v>
      </c>
      <c r="B5685" t="s">
        <v>4909</v>
      </c>
      <c r="C5685" t="s">
        <v>4909</v>
      </c>
      <c r="D5685" t="s">
        <v>4909</v>
      </c>
      <c r="E5685" t="s">
        <v>4909</v>
      </c>
      <c r="F5685" t="s">
        <v>4909</v>
      </c>
      <c r="G5685" t="s">
        <v>4909</v>
      </c>
      <c r="H5685" t="s">
        <v>4909</v>
      </c>
      <c r="I5685" t="s">
        <v>4909</v>
      </c>
      <c r="J5685" t="s">
        <v>4909</v>
      </c>
      <c r="K5685" t="s">
        <v>4909</v>
      </c>
    </row>
    <row r="5686" spans="1:11" x14ac:dyDescent="0.2">
      <c r="A5686" t="s">
        <v>1998</v>
      </c>
      <c r="B5686" t="s">
        <v>4909</v>
      </c>
      <c r="C5686" t="s">
        <v>4909</v>
      </c>
      <c r="D5686" t="s">
        <v>4909</v>
      </c>
      <c r="E5686" t="s">
        <v>4909</v>
      </c>
      <c r="F5686" t="s">
        <v>4909</v>
      </c>
      <c r="G5686" t="s">
        <v>4909</v>
      </c>
      <c r="H5686" t="s">
        <v>4909</v>
      </c>
      <c r="I5686" t="s">
        <v>4909</v>
      </c>
      <c r="J5686" t="s">
        <v>4909</v>
      </c>
      <c r="K5686" t="s">
        <v>4909</v>
      </c>
    </row>
    <row r="5687" spans="1:11" x14ac:dyDescent="0.2">
      <c r="A5687" t="s">
        <v>1999</v>
      </c>
      <c r="B5687" t="s">
        <v>4909</v>
      </c>
      <c r="C5687" t="s">
        <v>4909</v>
      </c>
      <c r="D5687" t="s">
        <v>4909</v>
      </c>
      <c r="E5687" t="s">
        <v>4909</v>
      </c>
      <c r="F5687" t="s">
        <v>4909</v>
      </c>
      <c r="G5687" t="s">
        <v>4909</v>
      </c>
      <c r="H5687" t="s">
        <v>4909</v>
      </c>
      <c r="I5687" t="s">
        <v>4909</v>
      </c>
      <c r="J5687" t="s">
        <v>4909</v>
      </c>
      <c r="K5687" t="s">
        <v>4909</v>
      </c>
    </row>
    <row r="5688" spans="1:11" x14ac:dyDescent="0.2">
      <c r="A5688" t="s">
        <v>2004</v>
      </c>
      <c r="B5688" t="s">
        <v>4909</v>
      </c>
      <c r="C5688" t="s">
        <v>4909</v>
      </c>
      <c r="D5688" t="s">
        <v>4909</v>
      </c>
      <c r="E5688" t="s">
        <v>4909</v>
      </c>
      <c r="F5688" t="s">
        <v>4909</v>
      </c>
      <c r="G5688" t="s">
        <v>4909</v>
      </c>
      <c r="H5688" t="s">
        <v>4909</v>
      </c>
      <c r="I5688" t="s">
        <v>4909</v>
      </c>
      <c r="J5688" t="s">
        <v>4909</v>
      </c>
      <c r="K5688" t="s">
        <v>4909</v>
      </c>
    </row>
    <row r="5689" spans="1:11" x14ac:dyDescent="0.2">
      <c r="A5689" t="s">
        <v>2009</v>
      </c>
      <c r="B5689" t="s">
        <v>4909</v>
      </c>
      <c r="C5689" t="s">
        <v>4909</v>
      </c>
      <c r="D5689" t="s">
        <v>4909</v>
      </c>
      <c r="E5689" t="s">
        <v>4909</v>
      </c>
      <c r="F5689" t="s">
        <v>4909</v>
      </c>
      <c r="G5689" t="s">
        <v>4909</v>
      </c>
      <c r="H5689" t="s">
        <v>4909</v>
      </c>
      <c r="I5689" t="s">
        <v>4909</v>
      </c>
      <c r="J5689" t="s">
        <v>4909</v>
      </c>
      <c r="K5689" t="s">
        <v>4909</v>
      </c>
    </row>
    <row r="5690" spans="1:11" x14ac:dyDescent="0.2">
      <c r="A5690" t="s">
        <v>2014</v>
      </c>
      <c r="B5690" t="s">
        <v>4909</v>
      </c>
      <c r="C5690" t="s">
        <v>4909</v>
      </c>
      <c r="D5690" t="s">
        <v>4909</v>
      </c>
      <c r="E5690" t="s">
        <v>4909</v>
      </c>
      <c r="F5690" t="s">
        <v>4909</v>
      </c>
      <c r="G5690" t="s">
        <v>4909</v>
      </c>
      <c r="H5690" t="s">
        <v>4909</v>
      </c>
      <c r="I5690" t="s">
        <v>4909</v>
      </c>
      <c r="J5690" t="s">
        <v>4909</v>
      </c>
      <c r="K5690" t="s">
        <v>4909</v>
      </c>
    </row>
    <row r="5691" spans="1:11" x14ac:dyDescent="0.2">
      <c r="A5691" t="s">
        <v>2019</v>
      </c>
      <c r="B5691" t="s">
        <v>4909</v>
      </c>
      <c r="C5691" t="s">
        <v>4909</v>
      </c>
      <c r="D5691" t="s">
        <v>4909</v>
      </c>
      <c r="E5691" t="s">
        <v>4909</v>
      </c>
      <c r="F5691" t="s">
        <v>4909</v>
      </c>
      <c r="G5691" t="s">
        <v>4909</v>
      </c>
      <c r="H5691" t="s">
        <v>4909</v>
      </c>
      <c r="I5691" t="s">
        <v>4909</v>
      </c>
      <c r="J5691" t="s">
        <v>4909</v>
      </c>
      <c r="K5691" t="s">
        <v>4909</v>
      </c>
    </row>
    <row r="5692" spans="1:11" x14ac:dyDescent="0.2">
      <c r="A5692" t="s">
        <v>2023</v>
      </c>
      <c r="B5692" t="s">
        <v>4909</v>
      </c>
      <c r="C5692" t="s">
        <v>4909</v>
      </c>
      <c r="D5692" t="s">
        <v>4909</v>
      </c>
      <c r="E5692" t="s">
        <v>4909</v>
      </c>
      <c r="F5692" t="s">
        <v>4909</v>
      </c>
      <c r="G5692" t="s">
        <v>4909</v>
      </c>
      <c r="H5692" t="s">
        <v>4909</v>
      </c>
      <c r="I5692" t="s">
        <v>4909</v>
      </c>
      <c r="J5692" t="s">
        <v>4909</v>
      </c>
      <c r="K5692" t="s">
        <v>4909</v>
      </c>
    </row>
    <row r="5693" spans="1:11" x14ac:dyDescent="0.2">
      <c r="A5693" t="s">
        <v>2026</v>
      </c>
      <c r="B5693" t="s">
        <v>4909</v>
      </c>
      <c r="C5693" t="s">
        <v>4909</v>
      </c>
      <c r="D5693" t="s">
        <v>4909</v>
      </c>
      <c r="E5693" t="s">
        <v>4909</v>
      </c>
      <c r="F5693" t="s">
        <v>4909</v>
      </c>
      <c r="G5693" t="s">
        <v>4909</v>
      </c>
      <c r="H5693" t="s">
        <v>4909</v>
      </c>
      <c r="I5693" t="s">
        <v>4909</v>
      </c>
      <c r="J5693" t="s">
        <v>4909</v>
      </c>
      <c r="K5693" t="s">
        <v>4909</v>
      </c>
    </row>
    <row r="5694" spans="1:11" x14ac:dyDescent="0.2">
      <c r="A5694" t="s">
        <v>2030</v>
      </c>
      <c r="B5694" t="s">
        <v>4909</v>
      </c>
      <c r="C5694" t="s">
        <v>4909</v>
      </c>
      <c r="D5694" t="s">
        <v>4909</v>
      </c>
      <c r="E5694" t="s">
        <v>4909</v>
      </c>
      <c r="F5694" t="s">
        <v>4909</v>
      </c>
      <c r="G5694" t="s">
        <v>4909</v>
      </c>
      <c r="H5694" t="s">
        <v>4909</v>
      </c>
      <c r="I5694" t="s">
        <v>4909</v>
      </c>
      <c r="J5694" t="s">
        <v>4909</v>
      </c>
      <c r="K5694" t="s">
        <v>4909</v>
      </c>
    </row>
    <row r="5695" spans="1:11" x14ac:dyDescent="0.2">
      <c r="A5695" t="s">
        <v>2035</v>
      </c>
      <c r="B5695" t="s">
        <v>4909</v>
      </c>
      <c r="C5695" t="s">
        <v>4909</v>
      </c>
      <c r="D5695" t="s">
        <v>4909</v>
      </c>
      <c r="E5695" t="s">
        <v>4909</v>
      </c>
      <c r="F5695" t="s">
        <v>4909</v>
      </c>
      <c r="G5695" t="s">
        <v>4909</v>
      </c>
      <c r="H5695" t="s">
        <v>4909</v>
      </c>
      <c r="I5695" t="s">
        <v>4909</v>
      </c>
      <c r="J5695" t="s">
        <v>4909</v>
      </c>
      <c r="K5695" t="s">
        <v>4909</v>
      </c>
    </row>
    <row r="5696" spans="1:11" x14ac:dyDescent="0.2">
      <c r="A5696" t="s">
        <v>2040</v>
      </c>
      <c r="B5696" t="s">
        <v>4909</v>
      </c>
      <c r="C5696" t="s">
        <v>4909</v>
      </c>
      <c r="D5696" t="s">
        <v>4909</v>
      </c>
      <c r="E5696" t="s">
        <v>4909</v>
      </c>
      <c r="F5696" t="s">
        <v>4909</v>
      </c>
      <c r="G5696" t="s">
        <v>4909</v>
      </c>
      <c r="H5696" t="s">
        <v>4909</v>
      </c>
      <c r="I5696" t="s">
        <v>4909</v>
      </c>
      <c r="J5696" t="s">
        <v>4909</v>
      </c>
      <c r="K5696" t="s">
        <v>4909</v>
      </c>
    </row>
    <row r="5697" spans="1:11" x14ac:dyDescent="0.2">
      <c r="A5697" t="s">
        <v>2045</v>
      </c>
      <c r="B5697" t="s">
        <v>4909</v>
      </c>
      <c r="C5697" t="s">
        <v>4909</v>
      </c>
      <c r="D5697" t="s">
        <v>4909</v>
      </c>
      <c r="E5697" t="s">
        <v>4909</v>
      </c>
      <c r="F5697" t="s">
        <v>4909</v>
      </c>
      <c r="G5697" t="s">
        <v>4909</v>
      </c>
      <c r="H5697" t="s">
        <v>4909</v>
      </c>
      <c r="I5697" t="s">
        <v>4909</v>
      </c>
      <c r="J5697" t="s">
        <v>4909</v>
      </c>
      <c r="K5697" t="s">
        <v>4909</v>
      </c>
    </row>
    <row r="5698" spans="1:11" x14ac:dyDescent="0.2">
      <c r="A5698" t="s">
        <v>2049</v>
      </c>
      <c r="B5698" t="s">
        <v>4909</v>
      </c>
      <c r="C5698" t="s">
        <v>4909</v>
      </c>
      <c r="D5698" t="s">
        <v>4909</v>
      </c>
      <c r="E5698" t="s">
        <v>4909</v>
      </c>
      <c r="F5698" t="s">
        <v>4909</v>
      </c>
      <c r="G5698" t="s">
        <v>4909</v>
      </c>
      <c r="H5698" t="s">
        <v>4909</v>
      </c>
      <c r="I5698" t="s">
        <v>4909</v>
      </c>
      <c r="J5698" t="s">
        <v>4909</v>
      </c>
      <c r="K5698" t="s">
        <v>4909</v>
      </c>
    </row>
    <row r="5699" spans="1:11" x14ac:dyDescent="0.2">
      <c r="A5699" t="s">
        <v>2051</v>
      </c>
      <c r="B5699" t="s">
        <v>4909</v>
      </c>
      <c r="C5699" t="s">
        <v>4909</v>
      </c>
      <c r="D5699" t="s">
        <v>4909</v>
      </c>
      <c r="E5699" t="s">
        <v>4909</v>
      </c>
      <c r="F5699" t="s">
        <v>4909</v>
      </c>
      <c r="G5699" t="s">
        <v>4909</v>
      </c>
      <c r="H5699" t="s">
        <v>4909</v>
      </c>
      <c r="I5699" t="s">
        <v>4909</v>
      </c>
      <c r="J5699" s="88">
        <v>1E-3</v>
      </c>
      <c r="K5699" t="s">
        <v>4909</v>
      </c>
    </row>
    <row r="5700" spans="1:11" x14ac:dyDescent="0.2">
      <c r="A5700" t="s">
        <v>2057</v>
      </c>
      <c r="B5700" t="s">
        <v>4909</v>
      </c>
      <c r="C5700" t="s">
        <v>4909</v>
      </c>
      <c r="D5700" s="88">
        <v>0</v>
      </c>
      <c r="E5700" t="s">
        <v>4909</v>
      </c>
      <c r="F5700" t="s">
        <v>4909</v>
      </c>
      <c r="G5700" t="s">
        <v>4909</v>
      </c>
      <c r="H5700" t="s">
        <v>4909</v>
      </c>
      <c r="I5700" t="s">
        <v>4909</v>
      </c>
      <c r="J5700" s="88">
        <v>1E-3</v>
      </c>
      <c r="K5700" t="s">
        <v>4909</v>
      </c>
    </row>
    <row r="5701" spans="1:11" x14ac:dyDescent="0.2">
      <c r="A5701" t="s">
        <v>4344</v>
      </c>
      <c r="B5701" t="s">
        <v>4909</v>
      </c>
      <c r="C5701" t="s">
        <v>4909</v>
      </c>
      <c r="D5701" t="s">
        <v>4909</v>
      </c>
      <c r="E5701" t="s">
        <v>4909</v>
      </c>
      <c r="F5701" t="s">
        <v>4909</v>
      </c>
      <c r="G5701" t="s">
        <v>4909</v>
      </c>
      <c r="H5701" t="s">
        <v>4909</v>
      </c>
      <c r="I5701" t="s">
        <v>4909</v>
      </c>
      <c r="J5701" s="88">
        <v>1E-3</v>
      </c>
      <c r="K5701" t="s">
        <v>4909</v>
      </c>
    </row>
    <row r="5702" spans="1:11" x14ac:dyDescent="0.2">
      <c r="A5702" t="s">
        <v>4345</v>
      </c>
      <c r="B5702" t="s">
        <v>4909</v>
      </c>
      <c r="C5702" t="s">
        <v>4909</v>
      </c>
      <c r="D5702" s="88">
        <v>0</v>
      </c>
      <c r="E5702" t="s">
        <v>4909</v>
      </c>
      <c r="F5702" t="s">
        <v>4909</v>
      </c>
      <c r="G5702" t="s">
        <v>4909</v>
      </c>
      <c r="H5702" t="s">
        <v>4909</v>
      </c>
      <c r="I5702" t="s">
        <v>4909</v>
      </c>
      <c r="J5702" s="88">
        <v>1E-3</v>
      </c>
      <c r="K5702" t="s">
        <v>4909</v>
      </c>
    </row>
    <row r="5703" spans="1:11" x14ac:dyDescent="0.2">
      <c r="A5703" t="s">
        <v>2074</v>
      </c>
      <c r="B5703" t="s">
        <v>4909</v>
      </c>
      <c r="C5703" t="s">
        <v>4909</v>
      </c>
      <c r="D5703" t="s">
        <v>4909</v>
      </c>
      <c r="E5703" t="s">
        <v>4909</v>
      </c>
      <c r="F5703" t="s">
        <v>4909</v>
      </c>
      <c r="G5703" t="s">
        <v>4909</v>
      </c>
      <c r="H5703" t="s">
        <v>4909</v>
      </c>
      <c r="I5703" t="s">
        <v>4909</v>
      </c>
      <c r="J5703" t="s">
        <v>4909</v>
      </c>
      <c r="K5703" t="s">
        <v>4909</v>
      </c>
    </row>
    <row r="5704" spans="1:11" x14ac:dyDescent="0.2">
      <c r="A5704" t="s">
        <v>2079</v>
      </c>
      <c r="B5704" t="s">
        <v>4909</v>
      </c>
      <c r="C5704" t="s">
        <v>4909</v>
      </c>
      <c r="D5704" t="s">
        <v>4909</v>
      </c>
      <c r="E5704" t="s">
        <v>4909</v>
      </c>
      <c r="F5704" t="s">
        <v>4909</v>
      </c>
      <c r="G5704" t="s">
        <v>4909</v>
      </c>
      <c r="H5704" t="s">
        <v>4909</v>
      </c>
      <c r="I5704" t="s">
        <v>4909</v>
      </c>
      <c r="J5704" t="s">
        <v>4909</v>
      </c>
      <c r="K5704" t="s">
        <v>4909</v>
      </c>
    </row>
    <row r="5705" spans="1:11" x14ac:dyDescent="0.2">
      <c r="A5705" t="s">
        <v>2085</v>
      </c>
      <c r="B5705" t="s">
        <v>4909</v>
      </c>
      <c r="C5705" t="s">
        <v>4909</v>
      </c>
      <c r="D5705" t="s">
        <v>4909</v>
      </c>
      <c r="E5705" t="s">
        <v>4909</v>
      </c>
      <c r="F5705" t="s">
        <v>4909</v>
      </c>
      <c r="G5705" t="s">
        <v>4909</v>
      </c>
      <c r="H5705" t="s">
        <v>4909</v>
      </c>
      <c r="I5705" t="s">
        <v>4909</v>
      </c>
      <c r="J5705" t="s">
        <v>4909</v>
      </c>
      <c r="K5705" t="s">
        <v>4909</v>
      </c>
    </row>
    <row r="5706" spans="1:11" x14ac:dyDescent="0.2">
      <c r="A5706" t="s">
        <v>2091</v>
      </c>
      <c r="B5706" t="s">
        <v>4909</v>
      </c>
      <c r="C5706" t="s">
        <v>4909</v>
      </c>
      <c r="D5706" t="s">
        <v>4909</v>
      </c>
      <c r="E5706" t="s">
        <v>4909</v>
      </c>
      <c r="F5706" t="s">
        <v>4909</v>
      </c>
      <c r="G5706" t="s">
        <v>4909</v>
      </c>
      <c r="H5706" t="s">
        <v>4909</v>
      </c>
      <c r="I5706" t="s">
        <v>4909</v>
      </c>
      <c r="J5706" t="s">
        <v>4909</v>
      </c>
      <c r="K5706" t="s">
        <v>4909</v>
      </c>
    </row>
    <row r="5707" spans="1:11" x14ac:dyDescent="0.2">
      <c r="A5707" t="s">
        <v>2097</v>
      </c>
      <c r="B5707" t="s">
        <v>4909</v>
      </c>
      <c r="C5707" t="s">
        <v>4909</v>
      </c>
      <c r="D5707" t="s">
        <v>4909</v>
      </c>
      <c r="E5707" t="s">
        <v>4909</v>
      </c>
      <c r="F5707" t="s">
        <v>4909</v>
      </c>
      <c r="G5707" t="s">
        <v>4909</v>
      </c>
      <c r="H5707" t="s">
        <v>4909</v>
      </c>
      <c r="I5707" t="s">
        <v>4909</v>
      </c>
      <c r="J5707" t="s">
        <v>4909</v>
      </c>
      <c r="K5707" t="s">
        <v>4909</v>
      </c>
    </row>
    <row r="5708" spans="1:11" x14ac:dyDescent="0.2">
      <c r="A5708" t="s">
        <v>2101</v>
      </c>
      <c r="B5708" t="s">
        <v>4909</v>
      </c>
      <c r="C5708" t="s">
        <v>4909</v>
      </c>
      <c r="D5708" t="s">
        <v>4909</v>
      </c>
      <c r="E5708" t="s">
        <v>4909</v>
      </c>
      <c r="F5708" t="s">
        <v>4909</v>
      </c>
      <c r="G5708" t="s">
        <v>4909</v>
      </c>
      <c r="H5708" t="s">
        <v>4909</v>
      </c>
      <c r="I5708" t="s">
        <v>4909</v>
      </c>
      <c r="J5708" t="s">
        <v>4909</v>
      </c>
      <c r="K5708" t="s">
        <v>4909</v>
      </c>
    </row>
    <row r="5709" spans="1:11" x14ac:dyDescent="0.2">
      <c r="A5709" t="s">
        <v>2104</v>
      </c>
      <c r="B5709" t="s">
        <v>4909</v>
      </c>
      <c r="C5709" t="s">
        <v>4909</v>
      </c>
      <c r="D5709" t="s">
        <v>4909</v>
      </c>
      <c r="E5709" t="s">
        <v>4909</v>
      </c>
      <c r="F5709" t="s">
        <v>4909</v>
      </c>
      <c r="G5709" t="s">
        <v>4909</v>
      </c>
      <c r="H5709" t="s">
        <v>4909</v>
      </c>
      <c r="I5709" t="s">
        <v>4909</v>
      </c>
      <c r="J5709" t="s">
        <v>4909</v>
      </c>
      <c r="K5709" t="s">
        <v>4909</v>
      </c>
    </row>
    <row r="5710" spans="1:11" x14ac:dyDescent="0.2">
      <c r="A5710" t="s">
        <v>2107</v>
      </c>
      <c r="B5710" t="s">
        <v>4909</v>
      </c>
      <c r="C5710" t="s">
        <v>4909</v>
      </c>
      <c r="D5710" t="s">
        <v>4909</v>
      </c>
      <c r="E5710" t="s">
        <v>4909</v>
      </c>
      <c r="F5710" t="s">
        <v>4909</v>
      </c>
      <c r="G5710" t="s">
        <v>4909</v>
      </c>
      <c r="H5710" t="s">
        <v>4909</v>
      </c>
      <c r="I5710" t="s">
        <v>4909</v>
      </c>
      <c r="J5710" t="s">
        <v>4909</v>
      </c>
      <c r="K5710" t="s">
        <v>4909</v>
      </c>
    </row>
    <row r="5711" spans="1:11" x14ac:dyDescent="0.2">
      <c r="A5711" t="s">
        <v>2110</v>
      </c>
      <c r="B5711" t="s">
        <v>4909</v>
      </c>
      <c r="C5711" t="s">
        <v>4909</v>
      </c>
      <c r="D5711" t="s">
        <v>4909</v>
      </c>
      <c r="E5711" t="s">
        <v>4909</v>
      </c>
      <c r="F5711" t="s">
        <v>4909</v>
      </c>
      <c r="G5711" t="s">
        <v>4909</v>
      </c>
      <c r="H5711" t="s">
        <v>4909</v>
      </c>
      <c r="I5711" t="s">
        <v>4909</v>
      </c>
      <c r="J5711" t="s">
        <v>4909</v>
      </c>
      <c r="K5711" t="s">
        <v>4909</v>
      </c>
    </row>
    <row r="5712" spans="1:11" x14ac:dyDescent="0.2">
      <c r="A5712" t="s">
        <v>2113</v>
      </c>
      <c r="B5712" t="s">
        <v>4909</v>
      </c>
      <c r="C5712" t="s">
        <v>4909</v>
      </c>
      <c r="D5712" t="s">
        <v>4909</v>
      </c>
      <c r="E5712" t="s">
        <v>4909</v>
      </c>
      <c r="F5712" t="s">
        <v>4909</v>
      </c>
      <c r="G5712" t="s">
        <v>4909</v>
      </c>
      <c r="H5712" t="s">
        <v>4909</v>
      </c>
      <c r="I5712" t="s">
        <v>4909</v>
      </c>
      <c r="J5712" t="s">
        <v>4909</v>
      </c>
      <c r="K5712" t="s">
        <v>4909</v>
      </c>
    </row>
    <row r="5713" spans="1:11" x14ac:dyDescent="0.2">
      <c r="A5713" t="s">
        <v>4346</v>
      </c>
      <c r="B5713" t="s">
        <v>4909</v>
      </c>
      <c r="C5713" t="s">
        <v>4909</v>
      </c>
      <c r="D5713" t="s">
        <v>4909</v>
      </c>
      <c r="E5713" t="s">
        <v>4909</v>
      </c>
      <c r="F5713" t="s">
        <v>4909</v>
      </c>
      <c r="G5713" t="s">
        <v>4909</v>
      </c>
      <c r="H5713" t="s">
        <v>4909</v>
      </c>
      <c r="I5713" t="s">
        <v>4909</v>
      </c>
      <c r="J5713" t="s">
        <v>4909</v>
      </c>
      <c r="K5713" t="s">
        <v>4909</v>
      </c>
    </row>
    <row r="5714" spans="1:11" x14ac:dyDescent="0.2">
      <c r="A5714" t="s">
        <v>4347</v>
      </c>
      <c r="B5714" t="s">
        <v>4909</v>
      </c>
      <c r="C5714" t="s">
        <v>4909</v>
      </c>
      <c r="D5714" t="s">
        <v>4909</v>
      </c>
      <c r="E5714" t="s">
        <v>4909</v>
      </c>
      <c r="F5714" t="s">
        <v>4909</v>
      </c>
      <c r="G5714" t="s">
        <v>4909</v>
      </c>
      <c r="H5714" t="s">
        <v>4909</v>
      </c>
      <c r="I5714" t="s">
        <v>4909</v>
      </c>
      <c r="J5714" t="s">
        <v>4909</v>
      </c>
      <c r="K5714" t="s">
        <v>4909</v>
      </c>
    </row>
    <row r="5715" spans="1:11" x14ac:dyDescent="0.2">
      <c r="A5715" t="s">
        <v>4348</v>
      </c>
      <c r="B5715" t="s">
        <v>4909</v>
      </c>
      <c r="C5715" t="s">
        <v>4909</v>
      </c>
      <c r="D5715" t="s">
        <v>4909</v>
      </c>
      <c r="E5715" t="s">
        <v>4909</v>
      </c>
      <c r="F5715" t="s">
        <v>4909</v>
      </c>
      <c r="G5715" t="s">
        <v>4909</v>
      </c>
      <c r="H5715" t="s">
        <v>4909</v>
      </c>
      <c r="I5715" t="s">
        <v>4909</v>
      </c>
      <c r="J5715" t="s">
        <v>4909</v>
      </c>
      <c r="K5715" t="s">
        <v>4909</v>
      </c>
    </row>
    <row r="5716" spans="1:11" x14ac:dyDescent="0.2">
      <c r="A5716" t="s">
        <v>4349</v>
      </c>
      <c r="B5716" t="s">
        <v>4909</v>
      </c>
      <c r="C5716" t="s">
        <v>4909</v>
      </c>
      <c r="D5716" t="s">
        <v>4909</v>
      </c>
      <c r="E5716" t="s">
        <v>4909</v>
      </c>
      <c r="F5716" t="s">
        <v>4909</v>
      </c>
      <c r="G5716" t="s">
        <v>4909</v>
      </c>
      <c r="H5716" t="s">
        <v>4909</v>
      </c>
      <c r="I5716" t="s">
        <v>4909</v>
      </c>
      <c r="J5716" t="s">
        <v>4909</v>
      </c>
      <c r="K5716" t="s">
        <v>4909</v>
      </c>
    </row>
    <row r="5717" spans="1:11" x14ac:dyDescent="0.2">
      <c r="A5717" t="s">
        <v>4350</v>
      </c>
      <c r="B5717" t="s">
        <v>4909</v>
      </c>
      <c r="C5717" t="s">
        <v>4909</v>
      </c>
      <c r="D5717" t="s">
        <v>4909</v>
      </c>
      <c r="E5717" t="s">
        <v>4909</v>
      </c>
      <c r="F5717" t="s">
        <v>4909</v>
      </c>
      <c r="G5717" t="s">
        <v>4909</v>
      </c>
      <c r="H5717" t="s">
        <v>4909</v>
      </c>
      <c r="I5717" t="s">
        <v>4909</v>
      </c>
      <c r="J5717" s="88">
        <v>0</v>
      </c>
      <c r="K5717" t="s">
        <v>4909</v>
      </c>
    </row>
    <row r="5718" spans="1:11" x14ac:dyDescent="0.2">
      <c r="A5718" t="s">
        <v>4351</v>
      </c>
      <c r="B5718" t="s">
        <v>4909</v>
      </c>
      <c r="C5718" t="s">
        <v>4909</v>
      </c>
      <c r="D5718" t="s">
        <v>4909</v>
      </c>
      <c r="E5718" t="s">
        <v>4909</v>
      </c>
      <c r="F5718" t="s">
        <v>4909</v>
      </c>
      <c r="G5718" t="s">
        <v>4909</v>
      </c>
      <c r="H5718" t="s">
        <v>4909</v>
      </c>
      <c r="I5718" t="s">
        <v>4909</v>
      </c>
      <c r="J5718" t="s">
        <v>4909</v>
      </c>
      <c r="K5718" t="s">
        <v>4909</v>
      </c>
    </row>
    <row r="5719" spans="1:11" x14ac:dyDescent="0.2">
      <c r="A5719" t="s">
        <v>4352</v>
      </c>
      <c r="B5719" t="s">
        <v>4909</v>
      </c>
      <c r="C5719" t="s">
        <v>4909</v>
      </c>
      <c r="D5719" t="s">
        <v>4909</v>
      </c>
      <c r="E5719" t="s">
        <v>4909</v>
      </c>
      <c r="F5719" t="s">
        <v>4909</v>
      </c>
      <c r="G5719" t="s">
        <v>4909</v>
      </c>
      <c r="H5719" t="s">
        <v>4909</v>
      </c>
      <c r="I5719" t="s">
        <v>4909</v>
      </c>
      <c r="J5719" t="s">
        <v>4909</v>
      </c>
      <c r="K5719" t="s">
        <v>4909</v>
      </c>
    </row>
    <row r="5720" spans="1:11" x14ac:dyDescent="0.2">
      <c r="A5720" t="s">
        <v>4353</v>
      </c>
      <c r="B5720" t="s">
        <v>4909</v>
      </c>
      <c r="C5720" t="s">
        <v>4909</v>
      </c>
      <c r="D5720" s="88">
        <v>1E-3</v>
      </c>
      <c r="E5720" t="s">
        <v>4909</v>
      </c>
      <c r="F5720" t="s">
        <v>4909</v>
      </c>
      <c r="G5720" t="s">
        <v>4909</v>
      </c>
      <c r="H5720" t="s">
        <v>4909</v>
      </c>
      <c r="I5720" t="s">
        <v>4909</v>
      </c>
      <c r="J5720" s="88">
        <v>2.3E-2</v>
      </c>
      <c r="K5720" t="s">
        <v>4909</v>
      </c>
    </row>
    <row r="5721" spans="1:11" x14ac:dyDescent="0.2">
      <c r="A5721" t="s">
        <v>4354</v>
      </c>
      <c r="B5721" t="s">
        <v>4909</v>
      </c>
      <c r="C5721" s="88">
        <v>1E-3</v>
      </c>
      <c r="D5721" s="88">
        <v>3.0000000000000001E-3</v>
      </c>
      <c r="E5721" t="s">
        <v>4909</v>
      </c>
      <c r="F5721" t="s">
        <v>4909</v>
      </c>
      <c r="G5721" t="s">
        <v>4909</v>
      </c>
      <c r="H5721" t="s">
        <v>4909</v>
      </c>
      <c r="I5721" t="s">
        <v>4909</v>
      </c>
      <c r="J5721" s="88">
        <v>2.3E-2</v>
      </c>
      <c r="K5721" t="s">
        <v>4909</v>
      </c>
    </row>
    <row r="5722" spans="1:11" x14ac:dyDescent="0.2">
      <c r="A5722" t="s">
        <v>4355</v>
      </c>
      <c r="B5722" t="s">
        <v>4909</v>
      </c>
      <c r="C5722" t="s">
        <v>4909</v>
      </c>
      <c r="D5722" t="s">
        <v>4909</v>
      </c>
      <c r="E5722" t="s">
        <v>4909</v>
      </c>
      <c r="F5722" t="s">
        <v>4909</v>
      </c>
      <c r="G5722" t="s">
        <v>4909</v>
      </c>
      <c r="H5722" t="s">
        <v>4909</v>
      </c>
      <c r="I5722" t="s">
        <v>4909</v>
      </c>
      <c r="J5722" t="s">
        <v>4909</v>
      </c>
      <c r="K5722" t="s">
        <v>4909</v>
      </c>
    </row>
    <row r="5723" spans="1:11" x14ac:dyDescent="0.2">
      <c r="A5723" t="s">
        <v>4356</v>
      </c>
      <c r="B5723" t="s">
        <v>4909</v>
      </c>
      <c r="C5723" t="s">
        <v>4909</v>
      </c>
      <c r="D5723" t="s">
        <v>4909</v>
      </c>
      <c r="E5723" t="s">
        <v>4909</v>
      </c>
      <c r="F5723" t="s">
        <v>4909</v>
      </c>
      <c r="G5723" t="s">
        <v>4909</v>
      </c>
      <c r="H5723" t="s">
        <v>4909</v>
      </c>
      <c r="I5723" t="s">
        <v>4909</v>
      </c>
      <c r="J5723" t="s">
        <v>4909</v>
      </c>
      <c r="K5723" t="s">
        <v>4909</v>
      </c>
    </row>
    <row r="5724" spans="1:11" x14ac:dyDescent="0.2">
      <c r="A5724" t="s">
        <v>4357</v>
      </c>
      <c r="B5724" t="s">
        <v>4909</v>
      </c>
      <c r="C5724" t="s">
        <v>4909</v>
      </c>
      <c r="D5724" t="s">
        <v>4909</v>
      </c>
      <c r="E5724" t="s">
        <v>4909</v>
      </c>
      <c r="F5724" t="s">
        <v>4909</v>
      </c>
      <c r="G5724" t="s">
        <v>4909</v>
      </c>
      <c r="H5724" t="s">
        <v>4909</v>
      </c>
      <c r="I5724" t="s">
        <v>4909</v>
      </c>
      <c r="J5724" t="s">
        <v>4909</v>
      </c>
      <c r="K5724" t="s">
        <v>4909</v>
      </c>
    </row>
    <row r="5725" spans="1:11" x14ac:dyDescent="0.2">
      <c r="A5725" t="s">
        <v>4358</v>
      </c>
      <c r="B5725" t="s">
        <v>4909</v>
      </c>
      <c r="C5725" t="s">
        <v>4909</v>
      </c>
      <c r="D5725" t="s">
        <v>4909</v>
      </c>
      <c r="E5725" t="s">
        <v>4909</v>
      </c>
      <c r="F5725" t="s">
        <v>4909</v>
      </c>
      <c r="G5725" t="s">
        <v>4909</v>
      </c>
      <c r="H5725" t="s">
        <v>4909</v>
      </c>
      <c r="I5725" t="s">
        <v>4909</v>
      </c>
      <c r="J5725" s="88">
        <v>0</v>
      </c>
      <c r="K5725" t="s">
        <v>4909</v>
      </c>
    </row>
    <row r="5726" spans="1:11" x14ac:dyDescent="0.2">
      <c r="A5726" t="s">
        <v>4359</v>
      </c>
      <c r="B5726" t="s">
        <v>4909</v>
      </c>
      <c r="C5726" t="s">
        <v>4909</v>
      </c>
      <c r="D5726" t="s">
        <v>4909</v>
      </c>
      <c r="E5726" t="s">
        <v>4909</v>
      </c>
      <c r="F5726" t="s">
        <v>4909</v>
      </c>
      <c r="G5726" t="s">
        <v>4909</v>
      </c>
      <c r="H5726" t="s">
        <v>4909</v>
      </c>
      <c r="I5726" t="s">
        <v>4909</v>
      </c>
      <c r="J5726" t="s">
        <v>4909</v>
      </c>
      <c r="K5726" t="s">
        <v>4909</v>
      </c>
    </row>
    <row r="5727" spans="1:11" x14ac:dyDescent="0.2">
      <c r="A5727" t="s">
        <v>4360</v>
      </c>
      <c r="B5727" t="s">
        <v>4909</v>
      </c>
      <c r="C5727" t="s">
        <v>4909</v>
      </c>
      <c r="D5727" s="88">
        <v>0</v>
      </c>
      <c r="E5727" t="s">
        <v>4909</v>
      </c>
      <c r="F5727" t="s">
        <v>4909</v>
      </c>
      <c r="G5727" t="s">
        <v>4909</v>
      </c>
      <c r="H5727" t="s">
        <v>4909</v>
      </c>
      <c r="I5727" t="s">
        <v>4909</v>
      </c>
      <c r="J5727" s="88">
        <v>3.0000000000000001E-3</v>
      </c>
      <c r="K5727" t="s">
        <v>4909</v>
      </c>
    </row>
    <row r="5728" spans="1:11" x14ac:dyDescent="0.2">
      <c r="A5728" t="s">
        <v>4361</v>
      </c>
      <c r="B5728" t="s">
        <v>4909</v>
      </c>
      <c r="C5728" s="88">
        <v>0</v>
      </c>
      <c r="D5728" s="88">
        <v>0</v>
      </c>
      <c r="E5728" t="s">
        <v>4909</v>
      </c>
      <c r="F5728" t="s">
        <v>4909</v>
      </c>
      <c r="G5728" t="s">
        <v>4909</v>
      </c>
      <c r="H5728" t="s">
        <v>4909</v>
      </c>
      <c r="I5728" t="s">
        <v>4909</v>
      </c>
      <c r="J5728" s="88">
        <v>2E-3</v>
      </c>
      <c r="K5728" t="s">
        <v>4909</v>
      </c>
    </row>
    <row r="5729" spans="1:11" x14ac:dyDescent="0.2">
      <c r="A5729" t="s">
        <v>4362</v>
      </c>
      <c r="B5729" t="s">
        <v>4909</v>
      </c>
      <c r="C5729" t="s">
        <v>4909</v>
      </c>
      <c r="D5729" t="s">
        <v>4909</v>
      </c>
      <c r="E5729" t="s">
        <v>4909</v>
      </c>
      <c r="F5729" t="s">
        <v>4909</v>
      </c>
      <c r="G5729" t="s">
        <v>4909</v>
      </c>
      <c r="H5729" t="s">
        <v>4909</v>
      </c>
      <c r="I5729" t="s">
        <v>4909</v>
      </c>
      <c r="J5729" t="s">
        <v>4909</v>
      </c>
      <c r="K5729" t="s">
        <v>4909</v>
      </c>
    </row>
    <row r="5730" spans="1:11" x14ac:dyDescent="0.2">
      <c r="A5730" t="s">
        <v>4363</v>
      </c>
      <c r="B5730" t="s">
        <v>4909</v>
      </c>
      <c r="C5730" t="s">
        <v>4909</v>
      </c>
      <c r="D5730" t="s">
        <v>4909</v>
      </c>
      <c r="E5730" t="s">
        <v>4909</v>
      </c>
      <c r="F5730" t="s">
        <v>4909</v>
      </c>
      <c r="G5730" t="s">
        <v>4909</v>
      </c>
      <c r="H5730" t="s">
        <v>4909</v>
      </c>
      <c r="I5730" t="s">
        <v>4909</v>
      </c>
      <c r="J5730" t="s">
        <v>4909</v>
      </c>
      <c r="K5730" t="s">
        <v>4909</v>
      </c>
    </row>
    <row r="5731" spans="1:11" x14ac:dyDescent="0.2">
      <c r="A5731" t="s">
        <v>4364</v>
      </c>
      <c r="B5731" t="s">
        <v>4909</v>
      </c>
      <c r="C5731" t="s">
        <v>4909</v>
      </c>
      <c r="D5731" t="s">
        <v>4909</v>
      </c>
      <c r="E5731" t="s">
        <v>4909</v>
      </c>
      <c r="F5731" t="s">
        <v>4909</v>
      </c>
      <c r="G5731" t="s">
        <v>4909</v>
      </c>
      <c r="H5731" t="s">
        <v>4909</v>
      </c>
      <c r="I5731" t="s">
        <v>4909</v>
      </c>
      <c r="J5731" t="s">
        <v>4909</v>
      </c>
      <c r="K5731" t="s">
        <v>4909</v>
      </c>
    </row>
    <row r="5732" spans="1:11" x14ac:dyDescent="0.2">
      <c r="A5732" t="s">
        <v>4365</v>
      </c>
      <c r="B5732" t="s">
        <v>4909</v>
      </c>
      <c r="C5732" s="88">
        <v>1E-3</v>
      </c>
      <c r="D5732" s="88">
        <v>0</v>
      </c>
      <c r="E5732" t="s">
        <v>4909</v>
      </c>
      <c r="F5732" t="s">
        <v>4909</v>
      </c>
      <c r="G5732" t="s">
        <v>4909</v>
      </c>
      <c r="H5732" t="s">
        <v>4909</v>
      </c>
      <c r="I5732" s="88">
        <v>0</v>
      </c>
      <c r="J5732" s="88">
        <v>0</v>
      </c>
      <c r="K5732" t="s">
        <v>4909</v>
      </c>
    </row>
    <row r="5733" spans="1:11" x14ac:dyDescent="0.2">
      <c r="A5733" t="s">
        <v>4366</v>
      </c>
      <c r="B5733" t="s">
        <v>4909</v>
      </c>
      <c r="C5733" t="s">
        <v>4909</v>
      </c>
      <c r="D5733" t="s">
        <v>4909</v>
      </c>
      <c r="E5733" t="s">
        <v>4909</v>
      </c>
      <c r="F5733" t="s">
        <v>4909</v>
      </c>
      <c r="G5733" t="s">
        <v>4909</v>
      </c>
      <c r="H5733" t="s">
        <v>4909</v>
      </c>
      <c r="I5733" t="s">
        <v>4909</v>
      </c>
      <c r="J5733" t="s">
        <v>4909</v>
      </c>
      <c r="K5733" t="s">
        <v>4909</v>
      </c>
    </row>
    <row r="5734" spans="1:11" x14ac:dyDescent="0.2">
      <c r="A5734" t="s">
        <v>4367</v>
      </c>
      <c r="B5734" t="s">
        <v>4909</v>
      </c>
      <c r="C5734" t="s">
        <v>4909</v>
      </c>
      <c r="D5734" t="s">
        <v>4909</v>
      </c>
      <c r="E5734" t="s">
        <v>4909</v>
      </c>
      <c r="F5734" t="s">
        <v>4909</v>
      </c>
      <c r="G5734" t="s">
        <v>4909</v>
      </c>
      <c r="H5734" t="s">
        <v>4909</v>
      </c>
      <c r="I5734" t="s">
        <v>4909</v>
      </c>
      <c r="J5734" s="88">
        <v>0</v>
      </c>
      <c r="K5734" t="s">
        <v>4909</v>
      </c>
    </row>
    <row r="5735" spans="1:11" x14ac:dyDescent="0.2">
      <c r="A5735" t="s">
        <v>4368</v>
      </c>
      <c r="B5735" t="s">
        <v>4909</v>
      </c>
      <c r="C5735" s="88">
        <v>4.0000000000000001E-3</v>
      </c>
      <c r="D5735" s="88">
        <v>1E-3</v>
      </c>
      <c r="E5735" t="s">
        <v>4909</v>
      </c>
      <c r="F5735" t="s">
        <v>4909</v>
      </c>
      <c r="G5735" t="s">
        <v>4909</v>
      </c>
      <c r="H5735" t="s">
        <v>4909</v>
      </c>
      <c r="I5735" s="88">
        <v>0</v>
      </c>
      <c r="J5735" s="88">
        <v>5.0000000000000001E-3</v>
      </c>
      <c r="K5735" t="s">
        <v>4909</v>
      </c>
    </row>
    <row r="5736" spans="1:11" x14ac:dyDescent="0.2">
      <c r="A5736" t="s">
        <v>4369</v>
      </c>
      <c r="B5736" t="s">
        <v>4909</v>
      </c>
      <c r="C5736" s="88">
        <v>2E-3</v>
      </c>
      <c r="D5736" s="88">
        <v>0</v>
      </c>
      <c r="E5736" t="s">
        <v>4909</v>
      </c>
      <c r="F5736" t="s">
        <v>4909</v>
      </c>
      <c r="G5736" t="s">
        <v>4909</v>
      </c>
      <c r="H5736" t="s">
        <v>4909</v>
      </c>
      <c r="I5736" s="88">
        <v>0</v>
      </c>
      <c r="J5736" s="88">
        <v>5.0000000000000001E-3</v>
      </c>
      <c r="K5736" t="s">
        <v>4909</v>
      </c>
    </row>
    <row r="5737" spans="1:11" x14ac:dyDescent="0.2">
      <c r="A5737" t="s">
        <v>4370</v>
      </c>
      <c r="B5737" t="s">
        <v>4909</v>
      </c>
      <c r="C5737" s="88">
        <v>1E-3</v>
      </c>
      <c r="D5737" s="88">
        <v>0</v>
      </c>
      <c r="E5737" t="s">
        <v>4909</v>
      </c>
      <c r="F5737" t="s">
        <v>4909</v>
      </c>
      <c r="G5737" t="s">
        <v>4909</v>
      </c>
      <c r="H5737" t="s">
        <v>4909</v>
      </c>
      <c r="I5737" s="88">
        <v>0</v>
      </c>
      <c r="J5737" t="s">
        <v>4909</v>
      </c>
      <c r="K5737" t="s">
        <v>4909</v>
      </c>
    </row>
    <row r="5738" spans="1:11" x14ac:dyDescent="0.2">
      <c r="A5738" t="s">
        <v>4371</v>
      </c>
      <c r="B5738" t="s">
        <v>4909</v>
      </c>
      <c r="C5738" t="s">
        <v>4909</v>
      </c>
      <c r="D5738" t="s">
        <v>4909</v>
      </c>
      <c r="E5738" t="s">
        <v>4909</v>
      </c>
      <c r="F5738" t="s">
        <v>4909</v>
      </c>
      <c r="G5738" t="s">
        <v>4909</v>
      </c>
      <c r="H5738" t="s">
        <v>4909</v>
      </c>
      <c r="I5738" t="s">
        <v>4909</v>
      </c>
      <c r="J5738" t="s">
        <v>4909</v>
      </c>
      <c r="K5738" t="s">
        <v>4909</v>
      </c>
    </row>
    <row r="5739" spans="1:11" x14ac:dyDescent="0.2">
      <c r="A5739" t="s">
        <v>4372</v>
      </c>
      <c r="B5739" t="s">
        <v>4909</v>
      </c>
      <c r="C5739" t="s">
        <v>4909</v>
      </c>
      <c r="D5739" t="s">
        <v>4909</v>
      </c>
      <c r="E5739" t="s">
        <v>4909</v>
      </c>
      <c r="F5739" t="s">
        <v>4909</v>
      </c>
      <c r="G5739" t="s">
        <v>4909</v>
      </c>
      <c r="H5739" t="s">
        <v>4909</v>
      </c>
      <c r="I5739" t="s">
        <v>4909</v>
      </c>
      <c r="J5739" t="s">
        <v>4909</v>
      </c>
      <c r="K5739" t="s">
        <v>4909</v>
      </c>
    </row>
    <row r="5740" spans="1:11" x14ac:dyDescent="0.2">
      <c r="A5740" t="s">
        <v>4373</v>
      </c>
      <c r="B5740" t="s">
        <v>4909</v>
      </c>
      <c r="C5740" t="s">
        <v>4909</v>
      </c>
      <c r="D5740" t="s">
        <v>4909</v>
      </c>
      <c r="E5740" t="s">
        <v>4909</v>
      </c>
      <c r="F5740" t="s">
        <v>4909</v>
      </c>
      <c r="G5740" t="s">
        <v>4909</v>
      </c>
      <c r="H5740" t="s">
        <v>4909</v>
      </c>
      <c r="I5740" t="s">
        <v>4909</v>
      </c>
      <c r="J5740" t="s">
        <v>4909</v>
      </c>
      <c r="K5740" t="s">
        <v>4909</v>
      </c>
    </row>
    <row r="5741" spans="1:11" x14ac:dyDescent="0.2">
      <c r="A5741" t="s">
        <v>4374</v>
      </c>
      <c r="B5741" t="s">
        <v>4909</v>
      </c>
      <c r="C5741" t="s">
        <v>4909</v>
      </c>
      <c r="D5741" t="s">
        <v>4909</v>
      </c>
      <c r="E5741" t="s">
        <v>4909</v>
      </c>
      <c r="F5741" t="s">
        <v>4909</v>
      </c>
      <c r="G5741" t="s">
        <v>4909</v>
      </c>
      <c r="H5741" t="s">
        <v>4909</v>
      </c>
      <c r="I5741" t="s">
        <v>4909</v>
      </c>
      <c r="J5741" t="s">
        <v>4909</v>
      </c>
      <c r="K5741" t="s">
        <v>4909</v>
      </c>
    </row>
    <row r="5742" spans="1:11" x14ac:dyDescent="0.2">
      <c r="A5742" t="s">
        <v>4375</v>
      </c>
      <c r="B5742" t="s">
        <v>4909</v>
      </c>
      <c r="C5742" t="s">
        <v>4909</v>
      </c>
      <c r="D5742" t="s">
        <v>4909</v>
      </c>
      <c r="E5742" t="s">
        <v>4909</v>
      </c>
      <c r="F5742" t="s">
        <v>4909</v>
      </c>
      <c r="G5742" t="s">
        <v>4909</v>
      </c>
      <c r="H5742" t="s">
        <v>4909</v>
      </c>
      <c r="I5742" t="s">
        <v>4909</v>
      </c>
      <c r="J5742" t="s">
        <v>4909</v>
      </c>
      <c r="K5742" t="s">
        <v>4909</v>
      </c>
    </row>
    <row r="5743" spans="1:11" x14ac:dyDescent="0.2">
      <c r="A5743" t="s">
        <v>4376</v>
      </c>
      <c r="B5743" t="s">
        <v>4909</v>
      </c>
      <c r="C5743" t="s">
        <v>4909</v>
      </c>
      <c r="D5743" t="s">
        <v>4909</v>
      </c>
      <c r="E5743" t="s">
        <v>4909</v>
      </c>
      <c r="F5743" t="s">
        <v>4909</v>
      </c>
      <c r="G5743" t="s">
        <v>4909</v>
      </c>
      <c r="H5743" t="s">
        <v>4909</v>
      </c>
      <c r="I5743" t="s">
        <v>4909</v>
      </c>
      <c r="J5743" t="s">
        <v>4909</v>
      </c>
      <c r="K5743" t="s">
        <v>4909</v>
      </c>
    </row>
    <row r="5744" spans="1:11" x14ac:dyDescent="0.2">
      <c r="A5744" t="s">
        <v>4377</v>
      </c>
      <c r="B5744" t="s">
        <v>4909</v>
      </c>
      <c r="C5744" t="s">
        <v>4909</v>
      </c>
      <c r="D5744" t="s">
        <v>4909</v>
      </c>
      <c r="E5744" t="s">
        <v>4909</v>
      </c>
      <c r="F5744" t="s">
        <v>4909</v>
      </c>
      <c r="G5744" t="s">
        <v>4909</v>
      </c>
      <c r="H5744" t="s">
        <v>4909</v>
      </c>
      <c r="I5744" t="s">
        <v>4909</v>
      </c>
      <c r="J5744" t="s">
        <v>4909</v>
      </c>
      <c r="K5744" t="s">
        <v>4909</v>
      </c>
    </row>
    <row r="5745" spans="1:11" x14ac:dyDescent="0.2">
      <c r="A5745" t="s">
        <v>2318</v>
      </c>
      <c r="B5745" t="s">
        <v>4399</v>
      </c>
      <c r="C5745" t="s">
        <v>4399</v>
      </c>
      <c r="D5745" t="s">
        <v>4399</v>
      </c>
      <c r="E5745" t="s">
        <v>4399</v>
      </c>
      <c r="F5745" t="s">
        <v>4399</v>
      </c>
      <c r="G5745" t="s">
        <v>4399</v>
      </c>
      <c r="H5745" t="s">
        <v>4399</v>
      </c>
      <c r="I5745" t="s">
        <v>4399</v>
      </c>
      <c r="J5745" t="s">
        <v>4399</v>
      </c>
      <c r="K5745" t="s">
        <v>4399</v>
      </c>
    </row>
    <row r="5746" spans="1:11" x14ac:dyDescent="0.2">
      <c r="A5746" t="s">
        <v>4248</v>
      </c>
    </row>
    <row r="5747" spans="1:11" x14ac:dyDescent="0.2">
      <c r="A5747" t="s">
        <v>4910</v>
      </c>
      <c r="B5747" t="s">
        <v>4904</v>
      </c>
      <c r="C5747" t="s">
        <v>4911</v>
      </c>
      <c r="D5747" t="s">
        <v>4912</v>
      </c>
      <c r="E5747" t="s">
        <v>4907</v>
      </c>
      <c r="F5747" t="s">
        <v>4913</v>
      </c>
      <c r="G5747">
        <v>4</v>
      </c>
    </row>
    <row r="5748" spans="1:11" x14ac:dyDescent="0.2">
      <c r="A5748" t="s">
        <v>2318</v>
      </c>
      <c r="B5748" t="s">
        <v>4399</v>
      </c>
      <c r="C5748" t="s">
        <v>4399</v>
      </c>
      <c r="D5748" t="s">
        <v>4399</v>
      </c>
      <c r="E5748" t="s">
        <v>4399</v>
      </c>
      <c r="F5748" t="s">
        <v>4399</v>
      </c>
      <c r="G5748" t="s">
        <v>4399</v>
      </c>
      <c r="H5748" t="s">
        <v>4399</v>
      </c>
      <c r="I5748" t="s">
        <v>4399</v>
      </c>
      <c r="J5748" t="s">
        <v>4399</v>
      </c>
      <c r="K5748" t="s">
        <v>4399</v>
      </c>
    </row>
    <row r="5749" spans="1:11" x14ac:dyDescent="0.2">
      <c r="A5749" t="s">
        <v>126</v>
      </c>
      <c r="B5749" t="s">
        <v>4502</v>
      </c>
      <c r="C5749" t="s">
        <v>4506</v>
      </c>
      <c r="D5749" t="s">
        <v>4510</v>
      </c>
      <c r="E5749" t="s">
        <v>4514</v>
      </c>
      <c r="F5749" t="s">
        <v>4518</v>
      </c>
      <c r="G5749" t="s">
        <v>4522</v>
      </c>
      <c r="H5749" t="s">
        <v>375</v>
      </c>
      <c r="I5749" t="s">
        <v>376</v>
      </c>
      <c r="J5749" t="s">
        <v>4532</v>
      </c>
      <c r="K5749" t="s">
        <v>4536</v>
      </c>
    </row>
    <row r="5750" spans="1:11" x14ac:dyDescent="0.2">
      <c r="A5750" t="s">
        <v>2318</v>
      </c>
      <c r="B5750" t="s">
        <v>4399</v>
      </c>
      <c r="C5750" t="s">
        <v>4399</v>
      </c>
      <c r="D5750" t="s">
        <v>4399</v>
      </c>
      <c r="E5750" t="s">
        <v>4399</v>
      </c>
      <c r="F5750" t="s">
        <v>4399</v>
      </c>
      <c r="G5750" t="s">
        <v>4399</v>
      </c>
      <c r="H5750" t="s">
        <v>4399</v>
      </c>
      <c r="I5750" t="s">
        <v>4399</v>
      </c>
      <c r="J5750" t="s">
        <v>4399</v>
      </c>
      <c r="K5750" t="s">
        <v>4399</v>
      </c>
    </row>
    <row r="5751" spans="1:11" x14ac:dyDescent="0.2">
      <c r="A5751" t="s">
        <v>4265</v>
      </c>
      <c r="B5751" t="s">
        <v>4909</v>
      </c>
      <c r="C5751" t="s">
        <v>4909</v>
      </c>
      <c r="D5751" t="s">
        <v>4909</v>
      </c>
      <c r="E5751" t="s">
        <v>4909</v>
      </c>
      <c r="F5751" t="s">
        <v>4909</v>
      </c>
      <c r="G5751" t="s">
        <v>4909</v>
      </c>
      <c r="H5751" t="s">
        <v>4909</v>
      </c>
      <c r="I5751" t="s">
        <v>4909</v>
      </c>
      <c r="J5751" t="s">
        <v>4909</v>
      </c>
      <c r="K5751" t="s">
        <v>4909</v>
      </c>
    </row>
    <row r="5752" spans="1:11" x14ac:dyDescent="0.2">
      <c r="A5752" t="s">
        <v>4266</v>
      </c>
      <c r="B5752" t="s">
        <v>4909</v>
      </c>
      <c r="C5752" t="s">
        <v>4909</v>
      </c>
      <c r="D5752" t="s">
        <v>4909</v>
      </c>
      <c r="E5752" t="s">
        <v>4909</v>
      </c>
      <c r="F5752" t="s">
        <v>4909</v>
      </c>
      <c r="G5752" t="s">
        <v>4909</v>
      </c>
      <c r="H5752" t="s">
        <v>4909</v>
      </c>
      <c r="I5752" t="s">
        <v>4909</v>
      </c>
      <c r="J5752" t="s">
        <v>4909</v>
      </c>
      <c r="K5752" t="s">
        <v>4909</v>
      </c>
    </row>
    <row r="5753" spans="1:11" x14ac:dyDescent="0.2">
      <c r="A5753" t="s">
        <v>4267</v>
      </c>
      <c r="B5753" t="s">
        <v>4909</v>
      </c>
      <c r="C5753" t="s">
        <v>4909</v>
      </c>
      <c r="D5753" t="s">
        <v>4909</v>
      </c>
      <c r="E5753" t="s">
        <v>4909</v>
      </c>
      <c r="F5753" t="s">
        <v>4909</v>
      </c>
      <c r="G5753" t="s">
        <v>4909</v>
      </c>
      <c r="H5753" t="s">
        <v>4909</v>
      </c>
      <c r="I5753" t="s">
        <v>4909</v>
      </c>
      <c r="J5753" t="s">
        <v>4909</v>
      </c>
      <c r="K5753" t="s">
        <v>4909</v>
      </c>
    </row>
    <row r="5754" spans="1:11" x14ac:dyDescent="0.2">
      <c r="A5754" t="s">
        <v>4268</v>
      </c>
      <c r="B5754" t="s">
        <v>4909</v>
      </c>
      <c r="C5754" t="s">
        <v>4909</v>
      </c>
      <c r="D5754" t="s">
        <v>4909</v>
      </c>
      <c r="E5754" t="s">
        <v>4909</v>
      </c>
      <c r="F5754" t="s">
        <v>4909</v>
      </c>
      <c r="G5754" t="s">
        <v>4909</v>
      </c>
      <c r="H5754" t="s">
        <v>4909</v>
      </c>
      <c r="I5754" t="s">
        <v>4909</v>
      </c>
      <c r="J5754" t="s">
        <v>4909</v>
      </c>
      <c r="K5754" t="s">
        <v>4909</v>
      </c>
    </row>
    <row r="5755" spans="1:11" x14ac:dyDescent="0.2">
      <c r="A5755" t="s">
        <v>4269</v>
      </c>
      <c r="B5755" t="s">
        <v>4909</v>
      </c>
      <c r="C5755" t="s">
        <v>4909</v>
      </c>
      <c r="D5755" t="s">
        <v>4909</v>
      </c>
      <c r="E5755" t="s">
        <v>4909</v>
      </c>
      <c r="F5755" s="88">
        <v>0</v>
      </c>
      <c r="G5755" t="s">
        <v>4909</v>
      </c>
      <c r="H5755" t="s">
        <v>4909</v>
      </c>
      <c r="I5755" t="s">
        <v>4909</v>
      </c>
      <c r="J5755" t="s">
        <v>4909</v>
      </c>
      <c r="K5755" t="s">
        <v>4909</v>
      </c>
    </row>
    <row r="5756" spans="1:11" x14ac:dyDescent="0.2">
      <c r="A5756" t="s">
        <v>4270</v>
      </c>
      <c r="B5756" t="s">
        <v>4909</v>
      </c>
      <c r="C5756" t="s">
        <v>4909</v>
      </c>
      <c r="D5756" t="s">
        <v>4909</v>
      </c>
      <c r="E5756" t="s">
        <v>4909</v>
      </c>
      <c r="F5756" t="s">
        <v>4909</v>
      </c>
      <c r="G5756" t="s">
        <v>4909</v>
      </c>
      <c r="H5756" t="s">
        <v>4909</v>
      </c>
      <c r="I5756" t="s">
        <v>4909</v>
      </c>
      <c r="J5756" t="s">
        <v>4909</v>
      </c>
      <c r="K5756" t="s">
        <v>4909</v>
      </c>
    </row>
    <row r="5757" spans="1:11" x14ac:dyDescent="0.2">
      <c r="A5757" t="s">
        <v>4271</v>
      </c>
      <c r="B5757" t="s">
        <v>4909</v>
      </c>
      <c r="C5757" t="s">
        <v>4909</v>
      </c>
      <c r="D5757" t="s">
        <v>4909</v>
      </c>
      <c r="E5757" t="s">
        <v>4909</v>
      </c>
      <c r="F5757" t="s">
        <v>4909</v>
      </c>
      <c r="G5757" t="s">
        <v>4909</v>
      </c>
      <c r="H5757" t="s">
        <v>4909</v>
      </c>
      <c r="I5757" t="s">
        <v>4909</v>
      </c>
      <c r="J5757" t="s">
        <v>4909</v>
      </c>
      <c r="K5757" t="s">
        <v>4909</v>
      </c>
    </row>
    <row r="5758" spans="1:11" x14ac:dyDescent="0.2">
      <c r="A5758" t="s">
        <v>4272</v>
      </c>
      <c r="B5758" t="s">
        <v>4909</v>
      </c>
      <c r="C5758" t="s">
        <v>4909</v>
      </c>
      <c r="D5758" t="s">
        <v>4909</v>
      </c>
      <c r="E5758" t="s">
        <v>4909</v>
      </c>
      <c r="F5758" t="s">
        <v>4909</v>
      </c>
      <c r="G5758" t="s">
        <v>4909</v>
      </c>
      <c r="H5758" t="s">
        <v>4909</v>
      </c>
      <c r="I5758" t="s">
        <v>4909</v>
      </c>
      <c r="J5758" t="s">
        <v>4909</v>
      </c>
      <c r="K5758" t="s">
        <v>4909</v>
      </c>
    </row>
    <row r="5759" spans="1:11" x14ac:dyDescent="0.2">
      <c r="A5759" t="s">
        <v>4273</v>
      </c>
      <c r="B5759" t="s">
        <v>4909</v>
      </c>
      <c r="C5759" t="s">
        <v>4909</v>
      </c>
      <c r="D5759" t="s">
        <v>4909</v>
      </c>
      <c r="E5759" t="s">
        <v>4909</v>
      </c>
      <c r="F5759" t="s">
        <v>4909</v>
      </c>
      <c r="G5759" t="s">
        <v>4909</v>
      </c>
      <c r="H5759" t="s">
        <v>4909</v>
      </c>
      <c r="I5759" t="s">
        <v>4909</v>
      </c>
      <c r="J5759" t="s">
        <v>4909</v>
      </c>
      <c r="K5759" t="s">
        <v>4909</v>
      </c>
    </row>
    <row r="5760" spans="1:11" x14ac:dyDescent="0.2">
      <c r="A5760" t="s">
        <v>4274</v>
      </c>
      <c r="B5760" t="s">
        <v>4909</v>
      </c>
      <c r="C5760" t="s">
        <v>4909</v>
      </c>
      <c r="D5760" t="s">
        <v>4909</v>
      </c>
      <c r="E5760" t="s">
        <v>4909</v>
      </c>
      <c r="F5760" t="s">
        <v>4909</v>
      </c>
      <c r="G5760" t="s">
        <v>4909</v>
      </c>
      <c r="H5760" t="s">
        <v>4909</v>
      </c>
      <c r="I5760" t="s">
        <v>4909</v>
      </c>
      <c r="J5760" t="s">
        <v>4909</v>
      </c>
      <c r="K5760" t="s">
        <v>4909</v>
      </c>
    </row>
    <row r="5761" spans="1:11" x14ac:dyDescent="0.2">
      <c r="A5761" t="s">
        <v>4275</v>
      </c>
      <c r="B5761" t="s">
        <v>4909</v>
      </c>
      <c r="C5761" t="s">
        <v>4909</v>
      </c>
      <c r="D5761" t="s">
        <v>4909</v>
      </c>
      <c r="E5761" t="s">
        <v>4909</v>
      </c>
      <c r="F5761" t="s">
        <v>4909</v>
      </c>
      <c r="G5761" t="s">
        <v>4909</v>
      </c>
      <c r="H5761" t="s">
        <v>4909</v>
      </c>
      <c r="I5761" t="s">
        <v>4909</v>
      </c>
      <c r="J5761" t="s">
        <v>4909</v>
      </c>
      <c r="K5761" t="s">
        <v>4909</v>
      </c>
    </row>
    <row r="5762" spans="1:11" x14ac:dyDescent="0.2">
      <c r="A5762" t="s">
        <v>4276</v>
      </c>
      <c r="B5762" t="s">
        <v>4909</v>
      </c>
      <c r="C5762" t="s">
        <v>4909</v>
      </c>
      <c r="D5762" t="s">
        <v>4909</v>
      </c>
      <c r="E5762" t="s">
        <v>4909</v>
      </c>
      <c r="F5762" t="s">
        <v>4909</v>
      </c>
      <c r="G5762" t="s">
        <v>4909</v>
      </c>
      <c r="H5762" t="s">
        <v>4909</v>
      </c>
      <c r="I5762" t="s">
        <v>4909</v>
      </c>
      <c r="J5762" t="s">
        <v>4909</v>
      </c>
      <c r="K5762" t="s">
        <v>4909</v>
      </c>
    </row>
    <row r="5763" spans="1:11" x14ac:dyDescent="0.2">
      <c r="A5763" t="s">
        <v>4277</v>
      </c>
      <c r="B5763" t="s">
        <v>4909</v>
      </c>
      <c r="C5763" t="s">
        <v>4909</v>
      </c>
      <c r="D5763" t="s">
        <v>4909</v>
      </c>
      <c r="E5763" t="s">
        <v>4909</v>
      </c>
      <c r="F5763" t="s">
        <v>4909</v>
      </c>
      <c r="G5763" t="s">
        <v>4909</v>
      </c>
      <c r="H5763" t="s">
        <v>4909</v>
      </c>
      <c r="I5763" t="s">
        <v>4909</v>
      </c>
      <c r="J5763" t="s">
        <v>4909</v>
      </c>
      <c r="K5763" t="s">
        <v>4909</v>
      </c>
    </row>
    <row r="5764" spans="1:11" x14ac:dyDescent="0.2">
      <c r="A5764" t="s">
        <v>4278</v>
      </c>
      <c r="B5764" t="s">
        <v>4909</v>
      </c>
      <c r="C5764" t="s">
        <v>4909</v>
      </c>
      <c r="D5764" t="s">
        <v>4909</v>
      </c>
      <c r="E5764" t="s">
        <v>4909</v>
      </c>
      <c r="F5764" t="s">
        <v>4909</v>
      </c>
      <c r="G5764" t="s">
        <v>4909</v>
      </c>
      <c r="H5764" t="s">
        <v>4909</v>
      </c>
      <c r="I5764" t="s">
        <v>4909</v>
      </c>
      <c r="J5764" t="s">
        <v>4909</v>
      </c>
      <c r="K5764" t="s">
        <v>4909</v>
      </c>
    </row>
    <row r="5765" spans="1:11" x14ac:dyDescent="0.2">
      <c r="A5765" t="s">
        <v>4279</v>
      </c>
      <c r="B5765" t="s">
        <v>4909</v>
      </c>
      <c r="C5765" t="s">
        <v>4909</v>
      </c>
      <c r="D5765" t="s">
        <v>4909</v>
      </c>
      <c r="E5765" t="s">
        <v>4909</v>
      </c>
      <c r="F5765" t="s">
        <v>4909</v>
      </c>
      <c r="G5765" t="s">
        <v>4909</v>
      </c>
      <c r="H5765" t="s">
        <v>4909</v>
      </c>
      <c r="I5765" t="s">
        <v>4909</v>
      </c>
      <c r="J5765" t="s">
        <v>4909</v>
      </c>
      <c r="K5765" t="s">
        <v>4909</v>
      </c>
    </row>
    <row r="5766" spans="1:11" x14ac:dyDescent="0.2">
      <c r="A5766" t="s">
        <v>4280</v>
      </c>
      <c r="B5766" t="s">
        <v>4909</v>
      </c>
      <c r="C5766" t="s">
        <v>4909</v>
      </c>
      <c r="D5766" t="s">
        <v>4909</v>
      </c>
      <c r="E5766" t="s">
        <v>4909</v>
      </c>
      <c r="F5766" t="s">
        <v>4909</v>
      </c>
      <c r="G5766" t="s">
        <v>4909</v>
      </c>
      <c r="H5766" t="s">
        <v>4909</v>
      </c>
      <c r="I5766" t="s">
        <v>4909</v>
      </c>
      <c r="J5766" t="s">
        <v>4909</v>
      </c>
      <c r="K5766" t="s">
        <v>4909</v>
      </c>
    </row>
    <row r="5767" spans="1:11" x14ac:dyDescent="0.2">
      <c r="A5767" t="s">
        <v>4281</v>
      </c>
      <c r="B5767" t="s">
        <v>4909</v>
      </c>
      <c r="C5767" t="s">
        <v>4909</v>
      </c>
      <c r="D5767" t="s">
        <v>4909</v>
      </c>
      <c r="E5767" s="88">
        <v>1E-3</v>
      </c>
      <c r="F5767" s="88">
        <v>1E-3</v>
      </c>
      <c r="G5767" t="s">
        <v>4909</v>
      </c>
      <c r="H5767" t="s">
        <v>4909</v>
      </c>
      <c r="I5767" s="88">
        <v>0</v>
      </c>
      <c r="J5767" t="s">
        <v>4909</v>
      </c>
      <c r="K5767" t="s">
        <v>4909</v>
      </c>
    </row>
    <row r="5768" spans="1:11" x14ac:dyDescent="0.2">
      <c r="A5768" t="s">
        <v>4282</v>
      </c>
      <c r="B5768" t="s">
        <v>4909</v>
      </c>
      <c r="C5768" t="s">
        <v>4909</v>
      </c>
      <c r="D5768" s="88">
        <v>0</v>
      </c>
      <c r="E5768" s="88">
        <v>1E-3</v>
      </c>
      <c r="F5768" s="88">
        <v>8.0000000000000002E-3</v>
      </c>
      <c r="G5768" t="s">
        <v>4909</v>
      </c>
      <c r="H5768" t="s">
        <v>4909</v>
      </c>
      <c r="I5768" s="88">
        <v>0</v>
      </c>
      <c r="J5768" t="s">
        <v>4909</v>
      </c>
      <c r="K5768" t="s">
        <v>4909</v>
      </c>
    </row>
    <row r="5769" spans="1:11" x14ac:dyDescent="0.2">
      <c r="A5769" t="s">
        <v>4283</v>
      </c>
      <c r="B5769" t="s">
        <v>4909</v>
      </c>
      <c r="C5769" t="s">
        <v>4909</v>
      </c>
      <c r="D5769" t="s">
        <v>4909</v>
      </c>
      <c r="E5769" s="88">
        <v>0</v>
      </c>
      <c r="F5769" s="88">
        <v>0</v>
      </c>
      <c r="G5769" t="s">
        <v>4909</v>
      </c>
      <c r="H5769" t="s">
        <v>4909</v>
      </c>
      <c r="I5769" s="88">
        <v>0</v>
      </c>
      <c r="J5769" t="s">
        <v>4909</v>
      </c>
      <c r="K5769" t="s">
        <v>4909</v>
      </c>
    </row>
    <row r="5770" spans="1:11" x14ac:dyDescent="0.2">
      <c r="A5770" t="s">
        <v>4284</v>
      </c>
      <c r="B5770" t="s">
        <v>4909</v>
      </c>
      <c r="C5770" t="s">
        <v>4909</v>
      </c>
      <c r="D5770" t="s">
        <v>4909</v>
      </c>
      <c r="E5770" t="s">
        <v>4909</v>
      </c>
      <c r="F5770" s="88">
        <v>1E-3</v>
      </c>
      <c r="G5770" t="s">
        <v>4909</v>
      </c>
      <c r="H5770" t="s">
        <v>4909</v>
      </c>
      <c r="I5770" t="s">
        <v>4909</v>
      </c>
      <c r="J5770" t="s">
        <v>4909</v>
      </c>
      <c r="K5770" t="s">
        <v>4909</v>
      </c>
    </row>
    <row r="5771" spans="1:11" x14ac:dyDescent="0.2">
      <c r="A5771" t="s">
        <v>4285</v>
      </c>
      <c r="B5771" t="s">
        <v>4909</v>
      </c>
      <c r="C5771" t="s">
        <v>4909</v>
      </c>
      <c r="D5771" s="88">
        <v>0</v>
      </c>
      <c r="E5771" s="88">
        <v>3.0000000000000001E-3</v>
      </c>
      <c r="F5771" s="88">
        <v>4.0000000000000001E-3</v>
      </c>
      <c r="G5771" t="s">
        <v>4909</v>
      </c>
      <c r="H5771" t="s">
        <v>4909</v>
      </c>
      <c r="I5771" s="88">
        <v>0</v>
      </c>
      <c r="J5771" t="s">
        <v>4909</v>
      </c>
      <c r="K5771" t="s">
        <v>4909</v>
      </c>
    </row>
    <row r="5772" spans="1:11" x14ac:dyDescent="0.2">
      <c r="A5772" t="s">
        <v>4286</v>
      </c>
      <c r="B5772" t="s">
        <v>4909</v>
      </c>
      <c r="C5772" t="s">
        <v>4909</v>
      </c>
      <c r="D5772" t="s">
        <v>4909</v>
      </c>
      <c r="E5772" s="88">
        <v>2E-3</v>
      </c>
      <c r="F5772" s="88">
        <v>1.4E-2</v>
      </c>
      <c r="G5772" t="s">
        <v>4909</v>
      </c>
      <c r="H5772" t="s">
        <v>4909</v>
      </c>
      <c r="I5772" t="s">
        <v>4909</v>
      </c>
      <c r="J5772" t="s">
        <v>4909</v>
      </c>
      <c r="K5772" t="s">
        <v>4909</v>
      </c>
    </row>
    <row r="5773" spans="1:11" x14ac:dyDescent="0.2">
      <c r="A5773" t="s">
        <v>4287</v>
      </c>
      <c r="B5773" t="s">
        <v>4909</v>
      </c>
      <c r="C5773" t="s">
        <v>4909</v>
      </c>
      <c r="D5773" t="s">
        <v>4909</v>
      </c>
      <c r="E5773" t="s">
        <v>4909</v>
      </c>
      <c r="F5773" t="s">
        <v>4909</v>
      </c>
      <c r="G5773" t="s">
        <v>4909</v>
      </c>
      <c r="H5773" t="s">
        <v>4909</v>
      </c>
      <c r="I5773" t="s">
        <v>4909</v>
      </c>
      <c r="J5773" t="s">
        <v>4909</v>
      </c>
      <c r="K5773" t="s">
        <v>4909</v>
      </c>
    </row>
    <row r="5774" spans="1:11" x14ac:dyDescent="0.2">
      <c r="A5774" t="s">
        <v>4288</v>
      </c>
      <c r="B5774" t="s">
        <v>4909</v>
      </c>
      <c r="C5774" t="s">
        <v>4909</v>
      </c>
      <c r="D5774" t="s">
        <v>4909</v>
      </c>
      <c r="E5774" t="s">
        <v>4909</v>
      </c>
      <c r="F5774" t="s">
        <v>4909</v>
      </c>
      <c r="G5774" t="s">
        <v>4909</v>
      </c>
      <c r="H5774" t="s">
        <v>4909</v>
      </c>
      <c r="I5774" t="s">
        <v>4909</v>
      </c>
      <c r="J5774" t="s">
        <v>4909</v>
      </c>
      <c r="K5774" t="s">
        <v>4909</v>
      </c>
    </row>
    <row r="5775" spans="1:11" x14ac:dyDescent="0.2">
      <c r="A5775" t="s">
        <v>4289</v>
      </c>
      <c r="B5775" t="s">
        <v>4909</v>
      </c>
      <c r="C5775" t="s">
        <v>4909</v>
      </c>
      <c r="D5775" t="s">
        <v>4909</v>
      </c>
      <c r="E5775" t="s">
        <v>4909</v>
      </c>
      <c r="F5775" t="s">
        <v>4909</v>
      </c>
      <c r="G5775" t="s">
        <v>4909</v>
      </c>
      <c r="H5775" t="s">
        <v>4909</v>
      </c>
      <c r="I5775" t="s">
        <v>4909</v>
      </c>
      <c r="J5775" t="s">
        <v>4909</v>
      </c>
      <c r="K5775" t="s">
        <v>4909</v>
      </c>
    </row>
    <row r="5776" spans="1:11" x14ac:dyDescent="0.2">
      <c r="A5776" t="s">
        <v>4290</v>
      </c>
      <c r="B5776" t="s">
        <v>4909</v>
      </c>
      <c r="C5776" t="s">
        <v>4909</v>
      </c>
      <c r="D5776" t="s">
        <v>4909</v>
      </c>
      <c r="E5776" t="s">
        <v>4909</v>
      </c>
      <c r="F5776" t="s">
        <v>4909</v>
      </c>
      <c r="G5776" t="s">
        <v>4909</v>
      </c>
      <c r="H5776" t="s">
        <v>4909</v>
      </c>
      <c r="I5776" t="s">
        <v>4909</v>
      </c>
      <c r="J5776" t="s">
        <v>4909</v>
      </c>
      <c r="K5776" t="s">
        <v>4909</v>
      </c>
    </row>
    <row r="5777" spans="1:11" x14ac:dyDescent="0.2">
      <c r="A5777" t="s">
        <v>4291</v>
      </c>
      <c r="B5777" t="s">
        <v>4909</v>
      </c>
      <c r="C5777" t="s">
        <v>4909</v>
      </c>
      <c r="D5777" t="s">
        <v>4909</v>
      </c>
      <c r="E5777" t="s">
        <v>4909</v>
      </c>
      <c r="F5777" t="s">
        <v>4909</v>
      </c>
      <c r="G5777" t="s">
        <v>4909</v>
      </c>
      <c r="H5777" t="s">
        <v>4909</v>
      </c>
      <c r="I5777" t="s">
        <v>4909</v>
      </c>
      <c r="J5777" t="s">
        <v>4909</v>
      </c>
      <c r="K5777" t="s">
        <v>4909</v>
      </c>
    </row>
    <row r="5778" spans="1:11" x14ac:dyDescent="0.2">
      <c r="A5778" t="s">
        <v>4292</v>
      </c>
      <c r="B5778" t="s">
        <v>4909</v>
      </c>
      <c r="C5778" t="s">
        <v>4909</v>
      </c>
      <c r="D5778" t="s">
        <v>4909</v>
      </c>
      <c r="E5778" t="s">
        <v>4909</v>
      </c>
      <c r="F5778" t="s">
        <v>4909</v>
      </c>
      <c r="G5778" t="s">
        <v>4909</v>
      </c>
      <c r="H5778" t="s">
        <v>4909</v>
      </c>
      <c r="I5778" t="s">
        <v>4909</v>
      </c>
      <c r="J5778" t="s">
        <v>4909</v>
      </c>
      <c r="K5778" t="s">
        <v>4909</v>
      </c>
    </row>
    <row r="5779" spans="1:11" x14ac:dyDescent="0.2">
      <c r="A5779" t="s">
        <v>4293</v>
      </c>
      <c r="B5779" t="s">
        <v>4909</v>
      </c>
      <c r="C5779" t="s">
        <v>4909</v>
      </c>
      <c r="D5779" t="s">
        <v>4909</v>
      </c>
      <c r="E5779" t="s">
        <v>4909</v>
      </c>
      <c r="F5779" t="s">
        <v>4909</v>
      </c>
      <c r="G5779" t="s">
        <v>4909</v>
      </c>
      <c r="H5779" t="s">
        <v>4909</v>
      </c>
      <c r="I5779" t="s">
        <v>4909</v>
      </c>
      <c r="J5779" t="s">
        <v>4909</v>
      </c>
      <c r="K5779" t="s">
        <v>4909</v>
      </c>
    </row>
    <row r="5780" spans="1:11" x14ac:dyDescent="0.2">
      <c r="A5780" t="s">
        <v>4294</v>
      </c>
      <c r="B5780" t="s">
        <v>4909</v>
      </c>
      <c r="C5780" t="s">
        <v>4909</v>
      </c>
      <c r="D5780" t="s">
        <v>4909</v>
      </c>
      <c r="E5780" t="s">
        <v>4909</v>
      </c>
      <c r="F5780" t="s">
        <v>4909</v>
      </c>
      <c r="G5780" t="s">
        <v>4909</v>
      </c>
      <c r="H5780" t="s">
        <v>4909</v>
      </c>
      <c r="I5780" t="s">
        <v>4909</v>
      </c>
      <c r="J5780" t="s">
        <v>4909</v>
      </c>
      <c r="K5780" t="s">
        <v>4909</v>
      </c>
    </row>
    <row r="5781" spans="1:11" x14ac:dyDescent="0.2">
      <c r="A5781" t="s">
        <v>4295</v>
      </c>
      <c r="B5781" t="s">
        <v>4909</v>
      </c>
      <c r="C5781" t="s">
        <v>4909</v>
      </c>
      <c r="D5781" t="s">
        <v>4909</v>
      </c>
      <c r="E5781" t="s">
        <v>4909</v>
      </c>
      <c r="F5781" t="s">
        <v>4909</v>
      </c>
      <c r="G5781" t="s">
        <v>4909</v>
      </c>
      <c r="H5781" t="s">
        <v>4909</v>
      </c>
      <c r="I5781" t="s">
        <v>4909</v>
      </c>
      <c r="J5781" t="s">
        <v>4909</v>
      </c>
      <c r="K5781" t="s">
        <v>4909</v>
      </c>
    </row>
    <row r="5782" spans="1:11" x14ac:dyDescent="0.2">
      <c r="A5782" t="s">
        <v>4296</v>
      </c>
      <c r="B5782" t="s">
        <v>4909</v>
      </c>
      <c r="C5782" t="s">
        <v>4909</v>
      </c>
      <c r="D5782" t="s">
        <v>4909</v>
      </c>
      <c r="E5782" t="s">
        <v>4909</v>
      </c>
      <c r="F5782" t="s">
        <v>4909</v>
      </c>
      <c r="G5782" t="s">
        <v>4909</v>
      </c>
      <c r="H5782" t="s">
        <v>4909</v>
      </c>
      <c r="I5782" t="s">
        <v>4909</v>
      </c>
      <c r="J5782" t="s">
        <v>4909</v>
      </c>
      <c r="K5782" t="s">
        <v>4909</v>
      </c>
    </row>
    <row r="5783" spans="1:11" x14ac:dyDescent="0.2">
      <c r="A5783" t="s">
        <v>4297</v>
      </c>
      <c r="B5783" t="s">
        <v>4909</v>
      </c>
      <c r="C5783" t="s">
        <v>4909</v>
      </c>
      <c r="D5783" s="88">
        <v>0</v>
      </c>
      <c r="E5783" s="88">
        <v>1E-3</v>
      </c>
      <c r="F5783" s="88">
        <v>1E-3</v>
      </c>
      <c r="G5783" t="s">
        <v>4909</v>
      </c>
      <c r="H5783" t="s">
        <v>4909</v>
      </c>
      <c r="I5783" s="88">
        <v>0</v>
      </c>
      <c r="J5783" t="s">
        <v>4909</v>
      </c>
      <c r="K5783" t="s">
        <v>4909</v>
      </c>
    </row>
    <row r="5784" spans="1:11" x14ac:dyDescent="0.2">
      <c r="A5784" t="s">
        <v>4298</v>
      </c>
      <c r="B5784" t="s">
        <v>4909</v>
      </c>
      <c r="C5784" t="s">
        <v>4909</v>
      </c>
      <c r="D5784" s="88">
        <v>0</v>
      </c>
      <c r="E5784" s="88">
        <v>5.0000000000000001E-3</v>
      </c>
      <c r="F5784" s="88">
        <v>1.0999999999999999E-2</v>
      </c>
      <c r="G5784" t="s">
        <v>4909</v>
      </c>
      <c r="H5784" s="88">
        <v>0</v>
      </c>
      <c r="I5784" s="88">
        <v>0</v>
      </c>
      <c r="J5784" t="s">
        <v>4909</v>
      </c>
      <c r="K5784" t="s">
        <v>4909</v>
      </c>
    </row>
    <row r="5785" spans="1:11" x14ac:dyDescent="0.2">
      <c r="A5785" t="s">
        <v>4299</v>
      </c>
      <c r="B5785" t="s">
        <v>4909</v>
      </c>
      <c r="C5785" t="s">
        <v>4909</v>
      </c>
      <c r="D5785" s="88">
        <v>1E-3</v>
      </c>
      <c r="E5785" s="88">
        <v>1.4E-2</v>
      </c>
      <c r="F5785" s="88">
        <v>3.7999999999999999E-2</v>
      </c>
      <c r="G5785" t="s">
        <v>4909</v>
      </c>
      <c r="H5785" s="88">
        <v>0</v>
      </c>
      <c r="I5785" s="88">
        <v>2E-3</v>
      </c>
      <c r="J5785" t="s">
        <v>4909</v>
      </c>
      <c r="K5785" t="s">
        <v>4909</v>
      </c>
    </row>
    <row r="5786" spans="1:11" x14ac:dyDescent="0.2">
      <c r="A5786" t="s">
        <v>4300</v>
      </c>
      <c r="B5786" t="s">
        <v>4909</v>
      </c>
      <c r="C5786" t="s">
        <v>4909</v>
      </c>
      <c r="D5786" s="88">
        <v>0</v>
      </c>
      <c r="E5786" s="88">
        <v>6.0000000000000001E-3</v>
      </c>
      <c r="F5786" s="88">
        <v>2.8000000000000001E-2</v>
      </c>
      <c r="G5786" t="s">
        <v>4909</v>
      </c>
      <c r="H5786" t="s">
        <v>4909</v>
      </c>
      <c r="I5786" s="88">
        <v>0</v>
      </c>
      <c r="J5786" t="s">
        <v>4909</v>
      </c>
      <c r="K5786" t="s">
        <v>4909</v>
      </c>
    </row>
    <row r="5787" spans="1:11" x14ac:dyDescent="0.2">
      <c r="A5787" t="s">
        <v>4301</v>
      </c>
      <c r="B5787" t="s">
        <v>4909</v>
      </c>
      <c r="C5787" s="88">
        <v>0</v>
      </c>
      <c r="D5787" s="88">
        <v>0</v>
      </c>
      <c r="E5787" s="88">
        <v>6.0000000000000001E-3</v>
      </c>
      <c r="F5787" s="88">
        <v>7.0000000000000001E-3</v>
      </c>
      <c r="G5787" t="s">
        <v>4909</v>
      </c>
      <c r="H5787" s="88">
        <v>0</v>
      </c>
      <c r="I5787" s="88">
        <v>0</v>
      </c>
      <c r="J5787" t="s">
        <v>4909</v>
      </c>
      <c r="K5787" t="s">
        <v>4909</v>
      </c>
    </row>
    <row r="5788" spans="1:11" x14ac:dyDescent="0.2">
      <c r="A5788" t="s">
        <v>4302</v>
      </c>
      <c r="B5788" t="s">
        <v>4909</v>
      </c>
      <c r="C5788" t="s">
        <v>4909</v>
      </c>
      <c r="D5788" s="88">
        <v>1E-3</v>
      </c>
      <c r="E5788" s="88">
        <v>1.7999999999999999E-2</v>
      </c>
      <c r="F5788" s="88">
        <v>3.4000000000000002E-2</v>
      </c>
      <c r="G5788" t="s">
        <v>4909</v>
      </c>
      <c r="H5788" s="88">
        <v>0</v>
      </c>
      <c r="I5788" s="88">
        <v>2E-3</v>
      </c>
      <c r="J5788" t="s">
        <v>4909</v>
      </c>
      <c r="K5788" t="s">
        <v>4909</v>
      </c>
    </row>
    <row r="5789" spans="1:11" x14ac:dyDescent="0.2">
      <c r="A5789" t="s">
        <v>4303</v>
      </c>
      <c r="B5789" t="s">
        <v>4909</v>
      </c>
      <c r="C5789" t="s">
        <v>4909</v>
      </c>
      <c r="D5789" s="88">
        <v>2E-3</v>
      </c>
      <c r="E5789" s="88">
        <v>1.0999999999999999E-2</v>
      </c>
      <c r="F5789" s="88">
        <v>6.3E-2</v>
      </c>
      <c r="G5789" t="s">
        <v>4909</v>
      </c>
      <c r="H5789" s="88">
        <v>1E-3</v>
      </c>
      <c r="I5789" s="88">
        <v>1E-3</v>
      </c>
      <c r="J5789" t="s">
        <v>4909</v>
      </c>
      <c r="K5789" t="s">
        <v>4909</v>
      </c>
    </row>
    <row r="5790" spans="1:11" x14ac:dyDescent="0.2">
      <c r="A5790" t="s">
        <v>4304</v>
      </c>
      <c r="B5790" t="s">
        <v>4909</v>
      </c>
      <c r="C5790" t="s">
        <v>4909</v>
      </c>
      <c r="D5790" s="88">
        <v>0</v>
      </c>
      <c r="E5790" s="88">
        <v>2.5000000000000001E-2</v>
      </c>
      <c r="F5790" s="88">
        <v>2.5000000000000001E-2</v>
      </c>
      <c r="G5790" t="s">
        <v>4909</v>
      </c>
      <c r="H5790" t="s">
        <v>4909</v>
      </c>
      <c r="I5790" s="88">
        <v>4.0000000000000001E-3</v>
      </c>
      <c r="J5790" t="s">
        <v>4909</v>
      </c>
      <c r="K5790" t="s">
        <v>4909</v>
      </c>
    </row>
    <row r="5791" spans="1:11" x14ac:dyDescent="0.2">
      <c r="A5791" t="s">
        <v>4305</v>
      </c>
      <c r="B5791" t="s">
        <v>4909</v>
      </c>
      <c r="C5791" t="s">
        <v>4909</v>
      </c>
      <c r="D5791" s="88">
        <v>1E-3</v>
      </c>
      <c r="E5791" s="88">
        <v>3.1E-2</v>
      </c>
      <c r="F5791" s="88">
        <v>3.1E-2</v>
      </c>
      <c r="G5791" t="s">
        <v>4909</v>
      </c>
      <c r="H5791" s="88">
        <v>0</v>
      </c>
      <c r="I5791" s="88">
        <v>4.0000000000000001E-3</v>
      </c>
      <c r="J5791" t="s">
        <v>4909</v>
      </c>
      <c r="K5791" t="s">
        <v>4909</v>
      </c>
    </row>
    <row r="5792" spans="1:11" x14ac:dyDescent="0.2">
      <c r="A5792" t="s">
        <v>4306</v>
      </c>
      <c r="B5792" t="s">
        <v>4909</v>
      </c>
      <c r="C5792" t="s">
        <v>4909</v>
      </c>
      <c r="D5792" s="88">
        <v>1E-3</v>
      </c>
      <c r="E5792" s="88">
        <v>2.7E-2</v>
      </c>
      <c r="F5792" s="88">
        <v>4.1000000000000002E-2</v>
      </c>
      <c r="G5792" t="s">
        <v>4909</v>
      </c>
      <c r="H5792" t="s">
        <v>4909</v>
      </c>
      <c r="I5792" s="88">
        <v>4.0000000000000001E-3</v>
      </c>
      <c r="J5792" t="s">
        <v>4909</v>
      </c>
      <c r="K5792" t="s">
        <v>4909</v>
      </c>
    </row>
    <row r="5793" spans="1:11" x14ac:dyDescent="0.2">
      <c r="A5793" t="s">
        <v>4307</v>
      </c>
      <c r="B5793" t="s">
        <v>4909</v>
      </c>
      <c r="C5793" s="88">
        <v>0</v>
      </c>
      <c r="D5793" s="88">
        <v>3.0000000000000001E-3</v>
      </c>
      <c r="E5793" s="88">
        <v>1.4999999999999999E-2</v>
      </c>
      <c r="F5793" s="88">
        <v>7.5999999999999998E-2</v>
      </c>
      <c r="G5793" t="s">
        <v>4909</v>
      </c>
      <c r="H5793" s="88">
        <v>1E-3</v>
      </c>
      <c r="I5793" s="88">
        <v>2E-3</v>
      </c>
      <c r="J5793" t="s">
        <v>4909</v>
      </c>
      <c r="K5793" t="s">
        <v>4909</v>
      </c>
    </row>
    <row r="5794" spans="1:11" x14ac:dyDescent="0.2">
      <c r="A5794" t="s">
        <v>4308</v>
      </c>
      <c r="B5794" t="s">
        <v>4909</v>
      </c>
      <c r="C5794" t="s">
        <v>4909</v>
      </c>
      <c r="D5794" s="88">
        <v>1.0999999999999999E-2</v>
      </c>
      <c r="E5794" s="88">
        <v>5.8999999999999997E-2</v>
      </c>
      <c r="F5794" s="88">
        <v>0.27800000000000002</v>
      </c>
      <c r="G5794" t="s">
        <v>4909</v>
      </c>
      <c r="H5794" s="88">
        <v>3.0000000000000001E-3</v>
      </c>
      <c r="I5794" s="88">
        <v>7.0000000000000001E-3</v>
      </c>
      <c r="J5794" t="s">
        <v>4909</v>
      </c>
      <c r="K5794" t="s">
        <v>4909</v>
      </c>
    </row>
    <row r="5795" spans="1:11" x14ac:dyDescent="0.2">
      <c r="A5795" t="s">
        <v>4309</v>
      </c>
      <c r="B5795" t="s">
        <v>4909</v>
      </c>
      <c r="C5795" t="s">
        <v>4909</v>
      </c>
      <c r="D5795" t="s">
        <v>4909</v>
      </c>
      <c r="E5795" t="s">
        <v>4909</v>
      </c>
      <c r="F5795" t="s">
        <v>4909</v>
      </c>
      <c r="G5795" t="s">
        <v>4909</v>
      </c>
      <c r="H5795" t="s">
        <v>4909</v>
      </c>
      <c r="I5795" t="s">
        <v>4909</v>
      </c>
      <c r="J5795" t="s">
        <v>4909</v>
      </c>
      <c r="K5795" t="s">
        <v>4909</v>
      </c>
    </row>
    <row r="5796" spans="1:11" x14ac:dyDescent="0.2">
      <c r="A5796" t="s">
        <v>4310</v>
      </c>
      <c r="B5796" t="s">
        <v>4909</v>
      </c>
      <c r="C5796" t="s">
        <v>4909</v>
      </c>
      <c r="D5796" t="s">
        <v>4909</v>
      </c>
      <c r="E5796" t="s">
        <v>4909</v>
      </c>
      <c r="F5796" t="s">
        <v>4909</v>
      </c>
      <c r="G5796" t="s">
        <v>4909</v>
      </c>
      <c r="H5796" t="s">
        <v>4909</v>
      </c>
      <c r="I5796" t="s">
        <v>4909</v>
      </c>
      <c r="J5796" t="s">
        <v>4909</v>
      </c>
      <c r="K5796" t="s">
        <v>4909</v>
      </c>
    </row>
    <row r="5797" spans="1:11" x14ac:dyDescent="0.2">
      <c r="A5797" t="s">
        <v>4311</v>
      </c>
      <c r="B5797" t="s">
        <v>4909</v>
      </c>
      <c r="C5797" t="s">
        <v>4909</v>
      </c>
      <c r="D5797" t="s">
        <v>4909</v>
      </c>
      <c r="E5797" t="s">
        <v>4909</v>
      </c>
      <c r="F5797" t="s">
        <v>4909</v>
      </c>
      <c r="G5797" t="s">
        <v>4909</v>
      </c>
      <c r="H5797" t="s">
        <v>4909</v>
      </c>
      <c r="I5797" t="s">
        <v>4909</v>
      </c>
      <c r="J5797" t="s">
        <v>4909</v>
      </c>
      <c r="K5797" t="s">
        <v>4909</v>
      </c>
    </row>
    <row r="5798" spans="1:11" x14ac:dyDescent="0.2">
      <c r="A5798" t="s">
        <v>4312</v>
      </c>
      <c r="B5798" t="s">
        <v>4909</v>
      </c>
      <c r="C5798" t="s">
        <v>4909</v>
      </c>
      <c r="D5798" t="s">
        <v>4909</v>
      </c>
      <c r="E5798" t="s">
        <v>4909</v>
      </c>
      <c r="F5798" t="s">
        <v>4909</v>
      </c>
      <c r="G5798" t="s">
        <v>4909</v>
      </c>
      <c r="H5798" t="s">
        <v>4909</v>
      </c>
      <c r="I5798" t="s">
        <v>4909</v>
      </c>
      <c r="J5798" t="s">
        <v>4909</v>
      </c>
      <c r="K5798" t="s">
        <v>4909</v>
      </c>
    </row>
    <row r="5799" spans="1:11" x14ac:dyDescent="0.2">
      <c r="A5799" t="s">
        <v>4313</v>
      </c>
      <c r="B5799" t="s">
        <v>4909</v>
      </c>
      <c r="C5799" t="s">
        <v>4909</v>
      </c>
      <c r="D5799" t="s">
        <v>4909</v>
      </c>
      <c r="E5799" t="s">
        <v>4909</v>
      </c>
      <c r="F5799" t="s">
        <v>4909</v>
      </c>
      <c r="G5799" t="s">
        <v>4909</v>
      </c>
      <c r="H5799" t="s">
        <v>4909</v>
      </c>
      <c r="I5799" t="s">
        <v>4909</v>
      </c>
      <c r="J5799" t="s">
        <v>4909</v>
      </c>
      <c r="K5799" t="s">
        <v>4909</v>
      </c>
    </row>
    <row r="5800" spans="1:11" x14ac:dyDescent="0.2">
      <c r="A5800" t="s">
        <v>4314</v>
      </c>
      <c r="B5800" t="s">
        <v>4909</v>
      </c>
      <c r="C5800" t="s">
        <v>4909</v>
      </c>
      <c r="D5800" t="s">
        <v>4909</v>
      </c>
      <c r="E5800" t="s">
        <v>4909</v>
      </c>
      <c r="F5800" t="s">
        <v>4909</v>
      </c>
      <c r="G5800" t="s">
        <v>4909</v>
      </c>
      <c r="H5800" t="s">
        <v>4909</v>
      </c>
      <c r="I5800" t="s">
        <v>4909</v>
      </c>
      <c r="J5800" t="s">
        <v>4909</v>
      </c>
      <c r="K5800" t="s">
        <v>4909</v>
      </c>
    </row>
    <row r="5801" spans="1:11" x14ac:dyDescent="0.2">
      <c r="A5801" t="s">
        <v>4315</v>
      </c>
      <c r="B5801" t="s">
        <v>4909</v>
      </c>
      <c r="C5801" t="s">
        <v>4909</v>
      </c>
      <c r="D5801" t="s">
        <v>4909</v>
      </c>
      <c r="E5801" t="s">
        <v>4909</v>
      </c>
      <c r="F5801" t="s">
        <v>4909</v>
      </c>
      <c r="G5801" t="s">
        <v>4909</v>
      </c>
      <c r="H5801" t="s">
        <v>4909</v>
      </c>
      <c r="I5801" t="s">
        <v>4909</v>
      </c>
      <c r="J5801" t="s">
        <v>4909</v>
      </c>
      <c r="K5801" t="s">
        <v>4909</v>
      </c>
    </row>
    <row r="5802" spans="1:11" x14ac:dyDescent="0.2">
      <c r="A5802" t="s">
        <v>4316</v>
      </c>
      <c r="B5802" t="s">
        <v>4909</v>
      </c>
      <c r="C5802" t="s">
        <v>4909</v>
      </c>
      <c r="D5802" t="s">
        <v>4909</v>
      </c>
      <c r="E5802" t="s">
        <v>4909</v>
      </c>
      <c r="F5802" t="s">
        <v>4909</v>
      </c>
      <c r="G5802" t="s">
        <v>4909</v>
      </c>
      <c r="H5802" t="s">
        <v>4909</v>
      </c>
      <c r="I5802" t="s">
        <v>4909</v>
      </c>
      <c r="J5802" t="s">
        <v>4909</v>
      </c>
      <c r="K5802" t="s">
        <v>4909</v>
      </c>
    </row>
    <row r="5803" spans="1:11" x14ac:dyDescent="0.2">
      <c r="A5803" t="s">
        <v>4317</v>
      </c>
      <c r="B5803" t="s">
        <v>4909</v>
      </c>
      <c r="C5803" t="s">
        <v>4909</v>
      </c>
      <c r="D5803" t="s">
        <v>4909</v>
      </c>
      <c r="E5803" t="s">
        <v>4909</v>
      </c>
      <c r="F5803" t="s">
        <v>4909</v>
      </c>
      <c r="G5803" t="s">
        <v>4909</v>
      </c>
      <c r="H5803" t="s">
        <v>4909</v>
      </c>
      <c r="I5803" t="s">
        <v>4909</v>
      </c>
      <c r="J5803" t="s">
        <v>4909</v>
      </c>
      <c r="K5803" t="s">
        <v>4909</v>
      </c>
    </row>
    <row r="5804" spans="1:11" x14ac:dyDescent="0.2">
      <c r="A5804" t="s">
        <v>4318</v>
      </c>
      <c r="B5804" t="s">
        <v>4909</v>
      </c>
      <c r="C5804" t="s">
        <v>4909</v>
      </c>
      <c r="D5804" t="s">
        <v>4909</v>
      </c>
      <c r="E5804" t="s">
        <v>4909</v>
      </c>
      <c r="F5804" t="s">
        <v>4909</v>
      </c>
      <c r="G5804" t="s">
        <v>4909</v>
      </c>
      <c r="H5804" t="s">
        <v>4909</v>
      </c>
      <c r="I5804" t="s">
        <v>4909</v>
      </c>
      <c r="J5804" t="s">
        <v>4909</v>
      </c>
      <c r="K5804" t="s">
        <v>4909</v>
      </c>
    </row>
    <row r="5805" spans="1:11" x14ac:dyDescent="0.2">
      <c r="A5805" t="s">
        <v>4319</v>
      </c>
      <c r="B5805" t="s">
        <v>4909</v>
      </c>
      <c r="C5805" t="s">
        <v>4909</v>
      </c>
      <c r="D5805" t="s">
        <v>4909</v>
      </c>
      <c r="E5805" t="s">
        <v>4909</v>
      </c>
      <c r="F5805" t="s">
        <v>4909</v>
      </c>
      <c r="G5805" t="s">
        <v>4909</v>
      </c>
      <c r="H5805" t="s">
        <v>4909</v>
      </c>
      <c r="I5805" t="s">
        <v>4909</v>
      </c>
      <c r="J5805" t="s">
        <v>4909</v>
      </c>
      <c r="K5805" t="s">
        <v>4909</v>
      </c>
    </row>
    <row r="5806" spans="1:11" x14ac:dyDescent="0.2">
      <c r="A5806" t="s">
        <v>4320</v>
      </c>
      <c r="B5806" t="s">
        <v>4909</v>
      </c>
      <c r="C5806" t="s">
        <v>4909</v>
      </c>
      <c r="D5806" t="s">
        <v>4909</v>
      </c>
      <c r="E5806" t="s">
        <v>4909</v>
      </c>
      <c r="F5806" t="s">
        <v>4909</v>
      </c>
      <c r="G5806" t="s">
        <v>4909</v>
      </c>
      <c r="H5806" t="s">
        <v>4909</v>
      </c>
      <c r="I5806" t="s">
        <v>4909</v>
      </c>
      <c r="J5806" t="s">
        <v>4909</v>
      </c>
      <c r="K5806" t="s">
        <v>4909</v>
      </c>
    </row>
    <row r="5807" spans="1:11" x14ac:dyDescent="0.2">
      <c r="A5807" t="s">
        <v>4321</v>
      </c>
      <c r="B5807" t="s">
        <v>4909</v>
      </c>
      <c r="C5807" t="s">
        <v>4909</v>
      </c>
      <c r="D5807" t="s">
        <v>4909</v>
      </c>
      <c r="E5807" t="s">
        <v>4909</v>
      </c>
      <c r="F5807" t="s">
        <v>4909</v>
      </c>
      <c r="G5807" t="s">
        <v>4909</v>
      </c>
      <c r="H5807" t="s">
        <v>4909</v>
      </c>
      <c r="I5807" t="s">
        <v>4909</v>
      </c>
      <c r="J5807" t="s">
        <v>4909</v>
      </c>
      <c r="K5807" t="s">
        <v>4909</v>
      </c>
    </row>
    <row r="5808" spans="1:11" x14ac:dyDescent="0.2">
      <c r="A5808" t="s">
        <v>4322</v>
      </c>
      <c r="B5808" t="s">
        <v>4909</v>
      </c>
      <c r="C5808" t="s">
        <v>4909</v>
      </c>
      <c r="D5808" t="s">
        <v>4909</v>
      </c>
      <c r="E5808" t="s">
        <v>4909</v>
      </c>
      <c r="F5808" t="s">
        <v>4909</v>
      </c>
      <c r="G5808" t="s">
        <v>4909</v>
      </c>
      <c r="H5808" t="s">
        <v>4909</v>
      </c>
      <c r="I5808" t="s">
        <v>4909</v>
      </c>
      <c r="J5808" t="s">
        <v>4909</v>
      </c>
      <c r="K5808" t="s">
        <v>4909</v>
      </c>
    </row>
    <row r="5809" spans="1:11" x14ac:dyDescent="0.2">
      <c r="A5809" t="s">
        <v>4323</v>
      </c>
      <c r="B5809" t="s">
        <v>4909</v>
      </c>
      <c r="C5809" t="s">
        <v>4909</v>
      </c>
      <c r="D5809" t="s">
        <v>4909</v>
      </c>
      <c r="E5809" t="s">
        <v>4909</v>
      </c>
      <c r="F5809" t="s">
        <v>4909</v>
      </c>
      <c r="G5809" t="s">
        <v>4909</v>
      </c>
      <c r="H5809" t="s">
        <v>4909</v>
      </c>
      <c r="I5809" t="s">
        <v>4909</v>
      </c>
      <c r="J5809" t="s">
        <v>4909</v>
      </c>
      <c r="K5809" t="s">
        <v>4909</v>
      </c>
    </row>
    <row r="5810" spans="1:11" x14ac:dyDescent="0.2">
      <c r="A5810" t="s">
        <v>4324</v>
      </c>
      <c r="B5810" t="s">
        <v>4909</v>
      </c>
      <c r="C5810" t="s">
        <v>4909</v>
      </c>
      <c r="D5810" t="s">
        <v>4909</v>
      </c>
      <c r="E5810" t="s">
        <v>4909</v>
      </c>
      <c r="F5810" t="s">
        <v>4909</v>
      </c>
      <c r="G5810" t="s">
        <v>4909</v>
      </c>
      <c r="H5810" t="s">
        <v>4909</v>
      </c>
      <c r="I5810" t="s">
        <v>4909</v>
      </c>
      <c r="J5810" t="s">
        <v>4909</v>
      </c>
      <c r="K5810" t="s">
        <v>4909</v>
      </c>
    </row>
    <row r="5811" spans="1:11" x14ac:dyDescent="0.2">
      <c r="A5811" t="s">
        <v>4325</v>
      </c>
      <c r="B5811" t="s">
        <v>4909</v>
      </c>
      <c r="C5811" t="s">
        <v>4909</v>
      </c>
      <c r="D5811" t="s">
        <v>4909</v>
      </c>
      <c r="E5811" t="s">
        <v>4909</v>
      </c>
      <c r="F5811" t="s">
        <v>4909</v>
      </c>
      <c r="G5811" t="s">
        <v>4909</v>
      </c>
      <c r="H5811" t="s">
        <v>4909</v>
      </c>
      <c r="I5811" t="s">
        <v>4909</v>
      </c>
      <c r="J5811" t="s">
        <v>4909</v>
      </c>
      <c r="K5811" t="s">
        <v>4909</v>
      </c>
    </row>
    <row r="5812" spans="1:11" x14ac:dyDescent="0.2">
      <c r="A5812" t="s">
        <v>4326</v>
      </c>
      <c r="B5812" t="s">
        <v>4909</v>
      </c>
      <c r="C5812" t="s">
        <v>4909</v>
      </c>
      <c r="D5812" t="s">
        <v>4909</v>
      </c>
      <c r="E5812" t="s">
        <v>4909</v>
      </c>
      <c r="F5812" t="s">
        <v>4909</v>
      </c>
      <c r="G5812" t="s">
        <v>4909</v>
      </c>
      <c r="H5812" t="s">
        <v>4909</v>
      </c>
      <c r="I5812" t="s">
        <v>4909</v>
      </c>
      <c r="J5812" t="s">
        <v>4909</v>
      </c>
      <c r="K5812" t="s">
        <v>4909</v>
      </c>
    </row>
    <row r="5813" spans="1:11" x14ac:dyDescent="0.2">
      <c r="A5813" t="s">
        <v>4327</v>
      </c>
      <c r="B5813" t="s">
        <v>4909</v>
      </c>
      <c r="C5813" t="s">
        <v>4909</v>
      </c>
      <c r="D5813" t="s">
        <v>4909</v>
      </c>
      <c r="E5813" t="s">
        <v>4909</v>
      </c>
      <c r="F5813" t="s">
        <v>4909</v>
      </c>
      <c r="G5813" t="s">
        <v>4909</v>
      </c>
      <c r="H5813" t="s">
        <v>4909</v>
      </c>
      <c r="I5813" t="s">
        <v>4909</v>
      </c>
      <c r="J5813" t="s">
        <v>4909</v>
      </c>
      <c r="K5813" t="s">
        <v>4909</v>
      </c>
    </row>
    <row r="5814" spans="1:11" x14ac:dyDescent="0.2">
      <c r="A5814" t="s">
        <v>4328</v>
      </c>
      <c r="B5814" t="s">
        <v>4909</v>
      </c>
      <c r="C5814" t="s">
        <v>4909</v>
      </c>
      <c r="D5814" t="s">
        <v>4909</v>
      </c>
      <c r="E5814" t="s">
        <v>4909</v>
      </c>
      <c r="F5814" t="s">
        <v>4909</v>
      </c>
      <c r="G5814" t="s">
        <v>4909</v>
      </c>
      <c r="H5814" t="s">
        <v>4909</v>
      </c>
      <c r="I5814" t="s">
        <v>4909</v>
      </c>
      <c r="J5814" t="s">
        <v>4909</v>
      </c>
      <c r="K5814" t="s">
        <v>4909</v>
      </c>
    </row>
    <row r="5815" spans="1:11" x14ac:dyDescent="0.2">
      <c r="A5815" t="s">
        <v>4329</v>
      </c>
      <c r="B5815" t="s">
        <v>4909</v>
      </c>
      <c r="C5815" t="s">
        <v>4909</v>
      </c>
      <c r="D5815" t="s">
        <v>4909</v>
      </c>
      <c r="E5815" t="s">
        <v>4909</v>
      </c>
      <c r="F5815" t="s">
        <v>4909</v>
      </c>
      <c r="G5815" t="s">
        <v>4909</v>
      </c>
      <c r="H5815" t="s">
        <v>4909</v>
      </c>
      <c r="I5815" t="s">
        <v>4909</v>
      </c>
      <c r="J5815" t="s">
        <v>4909</v>
      </c>
      <c r="K5815" t="s">
        <v>4909</v>
      </c>
    </row>
    <row r="5816" spans="1:11" x14ac:dyDescent="0.2">
      <c r="A5816" t="s">
        <v>4330</v>
      </c>
      <c r="B5816" t="s">
        <v>4909</v>
      </c>
      <c r="C5816" t="s">
        <v>4909</v>
      </c>
      <c r="D5816" t="s">
        <v>4909</v>
      </c>
      <c r="E5816" t="s">
        <v>4909</v>
      </c>
      <c r="F5816" t="s">
        <v>4909</v>
      </c>
      <c r="G5816" t="s">
        <v>4909</v>
      </c>
      <c r="H5816" t="s">
        <v>4909</v>
      </c>
      <c r="I5816" t="s">
        <v>4909</v>
      </c>
      <c r="J5816" t="s">
        <v>4909</v>
      </c>
      <c r="K5816" t="s">
        <v>4909</v>
      </c>
    </row>
    <row r="5817" spans="1:11" x14ac:dyDescent="0.2">
      <c r="A5817" t="s">
        <v>4331</v>
      </c>
      <c r="B5817" t="s">
        <v>4909</v>
      </c>
      <c r="C5817" t="s">
        <v>4909</v>
      </c>
      <c r="D5817" t="s">
        <v>4909</v>
      </c>
      <c r="E5817" t="s">
        <v>4909</v>
      </c>
      <c r="F5817" t="s">
        <v>4909</v>
      </c>
      <c r="G5817" t="s">
        <v>4909</v>
      </c>
      <c r="H5817" t="s">
        <v>4909</v>
      </c>
      <c r="I5817" t="s">
        <v>4909</v>
      </c>
      <c r="J5817" t="s">
        <v>4909</v>
      </c>
      <c r="K5817" t="s">
        <v>4909</v>
      </c>
    </row>
    <row r="5818" spans="1:11" x14ac:dyDescent="0.2">
      <c r="A5818" t="s">
        <v>4332</v>
      </c>
      <c r="B5818" t="s">
        <v>4909</v>
      </c>
      <c r="C5818" t="s">
        <v>4909</v>
      </c>
      <c r="D5818" t="s">
        <v>4909</v>
      </c>
      <c r="E5818" s="88">
        <v>0</v>
      </c>
      <c r="F5818" s="88">
        <v>0</v>
      </c>
      <c r="G5818" t="s">
        <v>4909</v>
      </c>
      <c r="H5818" t="s">
        <v>4909</v>
      </c>
      <c r="I5818" t="s">
        <v>4909</v>
      </c>
      <c r="J5818" t="s">
        <v>4909</v>
      </c>
      <c r="K5818" t="s">
        <v>4909</v>
      </c>
    </row>
    <row r="5819" spans="1:11" x14ac:dyDescent="0.2">
      <c r="A5819" t="s">
        <v>4333</v>
      </c>
      <c r="B5819" t="s">
        <v>4909</v>
      </c>
      <c r="C5819" t="s">
        <v>4909</v>
      </c>
      <c r="D5819" t="s">
        <v>4909</v>
      </c>
      <c r="E5819" t="s">
        <v>4909</v>
      </c>
      <c r="F5819" t="s">
        <v>4909</v>
      </c>
      <c r="G5819" t="s">
        <v>4909</v>
      </c>
      <c r="H5819" t="s">
        <v>4909</v>
      </c>
      <c r="I5819" t="s">
        <v>4909</v>
      </c>
      <c r="J5819" t="s">
        <v>4909</v>
      </c>
      <c r="K5819" t="s">
        <v>4909</v>
      </c>
    </row>
    <row r="5820" spans="1:11" x14ac:dyDescent="0.2">
      <c r="A5820" t="s">
        <v>4334</v>
      </c>
      <c r="B5820" t="s">
        <v>4909</v>
      </c>
      <c r="C5820" t="s">
        <v>4909</v>
      </c>
      <c r="D5820" t="s">
        <v>4909</v>
      </c>
      <c r="E5820" t="s">
        <v>4909</v>
      </c>
      <c r="F5820" t="s">
        <v>4909</v>
      </c>
      <c r="G5820" t="s">
        <v>4909</v>
      </c>
      <c r="H5820" t="s">
        <v>4909</v>
      </c>
      <c r="I5820" t="s">
        <v>4909</v>
      </c>
      <c r="J5820" t="s">
        <v>4909</v>
      </c>
      <c r="K5820" t="s">
        <v>4909</v>
      </c>
    </row>
    <row r="5821" spans="1:11" x14ac:dyDescent="0.2">
      <c r="A5821" t="s">
        <v>4335</v>
      </c>
      <c r="B5821" t="s">
        <v>4909</v>
      </c>
      <c r="C5821" t="s">
        <v>4909</v>
      </c>
      <c r="D5821" t="s">
        <v>4909</v>
      </c>
      <c r="E5821" t="s">
        <v>4909</v>
      </c>
      <c r="F5821" t="s">
        <v>4909</v>
      </c>
      <c r="G5821" t="s">
        <v>4909</v>
      </c>
      <c r="H5821" t="s">
        <v>4909</v>
      </c>
      <c r="I5821" t="s">
        <v>4909</v>
      </c>
      <c r="J5821" t="s">
        <v>4909</v>
      </c>
      <c r="K5821" t="s">
        <v>4909</v>
      </c>
    </row>
    <row r="5822" spans="1:11" x14ac:dyDescent="0.2">
      <c r="A5822" t="s">
        <v>4336</v>
      </c>
      <c r="B5822" t="s">
        <v>4909</v>
      </c>
      <c r="C5822" t="s">
        <v>4909</v>
      </c>
      <c r="D5822" t="s">
        <v>4909</v>
      </c>
      <c r="E5822" t="s">
        <v>4909</v>
      </c>
      <c r="F5822" t="s">
        <v>4909</v>
      </c>
      <c r="G5822" t="s">
        <v>4909</v>
      </c>
      <c r="H5822" t="s">
        <v>4909</v>
      </c>
      <c r="I5822" t="s">
        <v>4909</v>
      </c>
      <c r="J5822" t="s">
        <v>4909</v>
      </c>
      <c r="K5822" t="s">
        <v>4909</v>
      </c>
    </row>
    <row r="5823" spans="1:11" x14ac:dyDescent="0.2">
      <c r="A5823" t="s">
        <v>4337</v>
      </c>
      <c r="B5823" t="s">
        <v>4909</v>
      </c>
      <c r="C5823" t="s">
        <v>4909</v>
      </c>
      <c r="D5823" t="s">
        <v>4909</v>
      </c>
      <c r="E5823" t="s">
        <v>4909</v>
      </c>
      <c r="F5823" t="s">
        <v>4909</v>
      </c>
      <c r="G5823" t="s">
        <v>4909</v>
      </c>
      <c r="H5823" t="s">
        <v>4909</v>
      </c>
      <c r="I5823" t="s">
        <v>4909</v>
      </c>
      <c r="J5823" t="s">
        <v>4909</v>
      </c>
      <c r="K5823" t="s">
        <v>4909</v>
      </c>
    </row>
    <row r="5824" spans="1:11" x14ac:dyDescent="0.2">
      <c r="A5824" t="s">
        <v>4338</v>
      </c>
      <c r="B5824" t="s">
        <v>4909</v>
      </c>
      <c r="C5824" t="s">
        <v>4909</v>
      </c>
      <c r="D5824" t="s">
        <v>4909</v>
      </c>
      <c r="E5824" s="88">
        <v>0</v>
      </c>
      <c r="F5824" s="88">
        <v>0</v>
      </c>
      <c r="G5824" t="s">
        <v>4909</v>
      </c>
      <c r="H5824" t="s">
        <v>4909</v>
      </c>
      <c r="I5824" t="s">
        <v>4909</v>
      </c>
      <c r="J5824" t="s">
        <v>4909</v>
      </c>
      <c r="K5824" t="s">
        <v>4909</v>
      </c>
    </row>
    <row r="5825" spans="1:11" x14ac:dyDescent="0.2">
      <c r="A5825" t="s">
        <v>4339</v>
      </c>
      <c r="B5825" t="s">
        <v>4909</v>
      </c>
      <c r="C5825" t="s">
        <v>4909</v>
      </c>
      <c r="D5825" t="s">
        <v>4909</v>
      </c>
      <c r="E5825" t="s">
        <v>4909</v>
      </c>
      <c r="F5825" t="s">
        <v>4909</v>
      </c>
      <c r="G5825" t="s">
        <v>4909</v>
      </c>
      <c r="H5825" t="s">
        <v>4909</v>
      </c>
      <c r="I5825" t="s">
        <v>4909</v>
      </c>
      <c r="J5825" t="s">
        <v>4909</v>
      </c>
      <c r="K5825" t="s">
        <v>4909</v>
      </c>
    </row>
    <row r="5826" spans="1:11" x14ac:dyDescent="0.2">
      <c r="A5826" t="s">
        <v>4340</v>
      </c>
      <c r="B5826" t="s">
        <v>4909</v>
      </c>
      <c r="C5826" t="s">
        <v>4909</v>
      </c>
      <c r="D5826" t="s">
        <v>4909</v>
      </c>
      <c r="E5826" t="s">
        <v>4909</v>
      </c>
      <c r="F5826" t="s">
        <v>4909</v>
      </c>
      <c r="G5826" t="s">
        <v>4909</v>
      </c>
      <c r="H5826" t="s">
        <v>4909</v>
      </c>
      <c r="I5826" t="s">
        <v>4909</v>
      </c>
      <c r="J5826" t="s">
        <v>4909</v>
      </c>
      <c r="K5826" t="s">
        <v>4909</v>
      </c>
    </row>
    <row r="5827" spans="1:11" x14ac:dyDescent="0.2">
      <c r="A5827" t="s">
        <v>4341</v>
      </c>
      <c r="B5827" t="s">
        <v>4909</v>
      </c>
      <c r="C5827" t="s">
        <v>4909</v>
      </c>
      <c r="D5827" t="s">
        <v>4909</v>
      </c>
      <c r="E5827" t="s">
        <v>4909</v>
      </c>
      <c r="F5827" t="s">
        <v>4909</v>
      </c>
      <c r="G5827" t="s">
        <v>4909</v>
      </c>
      <c r="H5827" t="s">
        <v>4909</v>
      </c>
      <c r="I5827" t="s">
        <v>4909</v>
      </c>
      <c r="J5827" t="s">
        <v>4909</v>
      </c>
      <c r="K5827" t="s">
        <v>4909</v>
      </c>
    </row>
    <row r="5828" spans="1:11" x14ac:dyDescent="0.2">
      <c r="A5828" t="s">
        <v>4342</v>
      </c>
      <c r="B5828" t="s">
        <v>4909</v>
      </c>
      <c r="C5828" t="s">
        <v>4909</v>
      </c>
      <c r="D5828" t="s">
        <v>4909</v>
      </c>
      <c r="E5828" t="s">
        <v>4909</v>
      </c>
      <c r="F5828" t="s">
        <v>4909</v>
      </c>
      <c r="G5828" t="s">
        <v>4909</v>
      </c>
      <c r="H5828" t="s">
        <v>4909</v>
      </c>
      <c r="I5828" t="s">
        <v>4909</v>
      </c>
      <c r="J5828" t="s">
        <v>4909</v>
      </c>
      <c r="K5828" t="s">
        <v>4909</v>
      </c>
    </row>
    <row r="5829" spans="1:11" x14ac:dyDescent="0.2">
      <c r="A5829" t="s">
        <v>4343</v>
      </c>
      <c r="B5829" t="s">
        <v>4909</v>
      </c>
      <c r="C5829" t="s">
        <v>4909</v>
      </c>
      <c r="D5829" t="s">
        <v>4909</v>
      </c>
      <c r="E5829" t="s">
        <v>4909</v>
      </c>
      <c r="F5829" t="s">
        <v>4909</v>
      </c>
      <c r="G5829" t="s">
        <v>4909</v>
      </c>
      <c r="H5829" t="s">
        <v>4909</v>
      </c>
      <c r="I5829" t="s">
        <v>4909</v>
      </c>
      <c r="J5829" t="s">
        <v>4909</v>
      </c>
      <c r="K5829" t="s">
        <v>4909</v>
      </c>
    </row>
    <row r="5830" spans="1:11" x14ac:dyDescent="0.2">
      <c r="A5830" t="s">
        <v>1728</v>
      </c>
      <c r="B5830" t="s">
        <v>4909</v>
      </c>
      <c r="C5830" t="s">
        <v>4909</v>
      </c>
      <c r="D5830" t="s">
        <v>4909</v>
      </c>
      <c r="E5830" t="s">
        <v>4909</v>
      </c>
      <c r="F5830" t="s">
        <v>4909</v>
      </c>
      <c r="G5830" t="s">
        <v>4909</v>
      </c>
      <c r="H5830" t="s">
        <v>4909</v>
      </c>
      <c r="I5830" t="s">
        <v>4909</v>
      </c>
      <c r="J5830" t="s">
        <v>4909</v>
      </c>
      <c r="K5830" t="s">
        <v>4909</v>
      </c>
    </row>
    <row r="5831" spans="1:11" x14ac:dyDescent="0.2">
      <c r="A5831" t="s">
        <v>1730</v>
      </c>
      <c r="B5831" t="s">
        <v>4909</v>
      </c>
      <c r="C5831" t="s">
        <v>4909</v>
      </c>
      <c r="D5831" s="88">
        <v>3.0000000000000001E-3</v>
      </c>
      <c r="E5831" s="88">
        <v>1.7000000000000001E-2</v>
      </c>
      <c r="F5831" s="88">
        <v>9.0999999999999998E-2</v>
      </c>
      <c r="G5831" t="s">
        <v>4909</v>
      </c>
      <c r="H5831" s="88">
        <v>1E-3</v>
      </c>
      <c r="I5831" s="88">
        <v>2E-3</v>
      </c>
      <c r="J5831" t="s">
        <v>4909</v>
      </c>
      <c r="K5831" t="s">
        <v>4909</v>
      </c>
    </row>
    <row r="5832" spans="1:11" x14ac:dyDescent="0.2">
      <c r="A5832" t="s">
        <v>1733</v>
      </c>
      <c r="B5832" t="s">
        <v>4909</v>
      </c>
      <c r="C5832" t="s">
        <v>4909</v>
      </c>
      <c r="D5832" t="s">
        <v>4909</v>
      </c>
      <c r="E5832" t="s">
        <v>4909</v>
      </c>
      <c r="F5832" t="s">
        <v>4909</v>
      </c>
      <c r="G5832" t="s">
        <v>4909</v>
      </c>
      <c r="H5832" t="s">
        <v>4909</v>
      </c>
      <c r="I5832" t="s">
        <v>4909</v>
      </c>
      <c r="J5832" t="s">
        <v>4909</v>
      </c>
      <c r="K5832" t="s">
        <v>4909</v>
      </c>
    </row>
    <row r="5833" spans="1:11" x14ac:dyDescent="0.2">
      <c r="A5833" t="s">
        <v>1738</v>
      </c>
      <c r="B5833" t="s">
        <v>4909</v>
      </c>
      <c r="C5833" t="s">
        <v>4909</v>
      </c>
      <c r="D5833" t="s">
        <v>4909</v>
      </c>
      <c r="E5833" t="s">
        <v>4909</v>
      </c>
      <c r="F5833" t="s">
        <v>4909</v>
      </c>
      <c r="G5833" t="s">
        <v>4909</v>
      </c>
      <c r="H5833" t="s">
        <v>4909</v>
      </c>
      <c r="I5833" t="s">
        <v>4909</v>
      </c>
      <c r="J5833" t="s">
        <v>4909</v>
      </c>
      <c r="K5833" t="s">
        <v>4909</v>
      </c>
    </row>
    <row r="5834" spans="1:11" x14ac:dyDescent="0.2">
      <c r="A5834" t="s">
        <v>1744</v>
      </c>
      <c r="B5834" t="s">
        <v>4909</v>
      </c>
      <c r="C5834" t="s">
        <v>4909</v>
      </c>
      <c r="D5834" t="s">
        <v>4909</v>
      </c>
      <c r="E5834" t="s">
        <v>4909</v>
      </c>
      <c r="F5834" t="s">
        <v>4909</v>
      </c>
      <c r="G5834" t="s">
        <v>4909</v>
      </c>
      <c r="H5834" t="s">
        <v>4909</v>
      </c>
      <c r="I5834" t="s">
        <v>4909</v>
      </c>
      <c r="J5834" t="s">
        <v>4909</v>
      </c>
      <c r="K5834" t="s">
        <v>4909</v>
      </c>
    </row>
    <row r="5835" spans="1:11" x14ac:dyDescent="0.2">
      <c r="A5835" t="s">
        <v>1747</v>
      </c>
      <c r="B5835" t="s">
        <v>4909</v>
      </c>
      <c r="C5835" t="s">
        <v>4909</v>
      </c>
      <c r="D5835" t="s">
        <v>4909</v>
      </c>
      <c r="E5835" t="s">
        <v>4909</v>
      </c>
      <c r="F5835" t="s">
        <v>4909</v>
      </c>
      <c r="G5835" t="s">
        <v>4909</v>
      </c>
      <c r="H5835" t="s">
        <v>4909</v>
      </c>
      <c r="I5835" t="s">
        <v>4909</v>
      </c>
      <c r="J5835" t="s">
        <v>4909</v>
      </c>
      <c r="K5835" t="s">
        <v>4909</v>
      </c>
    </row>
    <row r="5836" spans="1:11" x14ac:dyDescent="0.2">
      <c r="A5836" t="s">
        <v>1751</v>
      </c>
      <c r="B5836" t="s">
        <v>4909</v>
      </c>
      <c r="C5836" t="s">
        <v>4909</v>
      </c>
      <c r="D5836" t="s">
        <v>4909</v>
      </c>
      <c r="E5836" t="s">
        <v>4909</v>
      </c>
      <c r="F5836" t="s">
        <v>4909</v>
      </c>
      <c r="G5836" t="s">
        <v>4909</v>
      </c>
      <c r="H5836" t="s">
        <v>4909</v>
      </c>
      <c r="I5836" t="s">
        <v>4909</v>
      </c>
      <c r="J5836" t="s">
        <v>4909</v>
      </c>
      <c r="K5836" t="s">
        <v>4909</v>
      </c>
    </row>
    <row r="5837" spans="1:11" x14ac:dyDescent="0.2">
      <c r="A5837" t="s">
        <v>1755</v>
      </c>
      <c r="B5837" t="s">
        <v>4909</v>
      </c>
      <c r="C5837" t="s">
        <v>4909</v>
      </c>
      <c r="D5837" s="88">
        <v>1E-3</v>
      </c>
      <c r="E5837" s="88">
        <v>5.0000000000000001E-3</v>
      </c>
      <c r="F5837" s="88">
        <v>2.3E-2</v>
      </c>
      <c r="G5837" t="s">
        <v>4909</v>
      </c>
      <c r="H5837" t="s">
        <v>4909</v>
      </c>
      <c r="I5837" s="88">
        <v>1E-3</v>
      </c>
      <c r="J5837" t="s">
        <v>4909</v>
      </c>
      <c r="K5837" t="s">
        <v>4909</v>
      </c>
    </row>
    <row r="5838" spans="1:11" x14ac:dyDescent="0.2">
      <c r="A5838" t="s">
        <v>1757</v>
      </c>
      <c r="B5838" t="s">
        <v>4909</v>
      </c>
      <c r="C5838" t="s">
        <v>4909</v>
      </c>
      <c r="D5838" s="88">
        <v>0</v>
      </c>
      <c r="E5838" s="88">
        <v>2E-3</v>
      </c>
      <c r="F5838" s="88">
        <v>1.4999999999999999E-2</v>
      </c>
      <c r="G5838" t="s">
        <v>4909</v>
      </c>
      <c r="H5838" s="88">
        <v>0</v>
      </c>
      <c r="I5838" s="88">
        <v>0</v>
      </c>
      <c r="J5838" t="s">
        <v>4909</v>
      </c>
      <c r="K5838" t="s">
        <v>4909</v>
      </c>
    </row>
    <row r="5839" spans="1:11" x14ac:dyDescent="0.2">
      <c r="A5839" t="s">
        <v>1761</v>
      </c>
      <c r="B5839" t="s">
        <v>4909</v>
      </c>
      <c r="C5839" t="s">
        <v>4909</v>
      </c>
      <c r="D5839" t="s">
        <v>4909</v>
      </c>
      <c r="E5839" t="s">
        <v>4909</v>
      </c>
      <c r="F5839" t="s">
        <v>4909</v>
      </c>
      <c r="G5839" t="s">
        <v>4909</v>
      </c>
      <c r="H5839" t="s">
        <v>4909</v>
      </c>
      <c r="I5839" t="s">
        <v>4909</v>
      </c>
      <c r="J5839" t="s">
        <v>4909</v>
      </c>
      <c r="K5839" t="s">
        <v>4909</v>
      </c>
    </row>
    <row r="5840" spans="1:11" x14ac:dyDescent="0.2">
      <c r="A5840" t="s">
        <v>1764</v>
      </c>
      <c r="B5840" t="s">
        <v>4909</v>
      </c>
      <c r="C5840" t="s">
        <v>4909</v>
      </c>
      <c r="D5840" t="s">
        <v>4909</v>
      </c>
      <c r="E5840" t="s">
        <v>4909</v>
      </c>
      <c r="F5840" t="s">
        <v>4909</v>
      </c>
      <c r="G5840" t="s">
        <v>4909</v>
      </c>
      <c r="H5840" t="s">
        <v>4909</v>
      </c>
      <c r="I5840" t="s">
        <v>4909</v>
      </c>
      <c r="J5840" t="s">
        <v>4909</v>
      </c>
      <c r="K5840" t="s">
        <v>4909</v>
      </c>
    </row>
    <row r="5841" spans="1:11" x14ac:dyDescent="0.2">
      <c r="A5841" t="s">
        <v>1770</v>
      </c>
      <c r="B5841" t="s">
        <v>4909</v>
      </c>
      <c r="C5841" s="88">
        <v>0</v>
      </c>
      <c r="D5841" s="88">
        <v>2E-3</v>
      </c>
      <c r="E5841" s="88">
        <v>3.6999999999999998E-2</v>
      </c>
      <c r="F5841" s="88">
        <v>5.8999999999999997E-2</v>
      </c>
      <c r="G5841" t="s">
        <v>4909</v>
      </c>
      <c r="H5841" s="88">
        <v>0</v>
      </c>
      <c r="I5841" s="88">
        <v>5.0000000000000001E-3</v>
      </c>
      <c r="J5841" t="s">
        <v>4909</v>
      </c>
      <c r="K5841" t="s">
        <v>4909</v>
      </c>
    </row>
    <row r="5842" spans="1:11" x14ac:dyDescent="0.2">
      <c r="A5842" t="s">
        <v>1772</v>
      </c>
      <c r="B5842" t="s">
        <v>4909</v>
      </c>
      <c r="C5842" t="s">
        <v>4909</v>
      </c>
      <c r="D5842" s="88">
        <v>1E-3</v>
      </c>
      <c r="E5842" s="88">
        <v>5.0999999999999997E-2</v>
      </c>
      <c r="F5842" s="88">
        <v>0.05</v>
      </c>
      <c r="G5842" t="s">
        <v>4909</v>
      </c>
      <c r="H5842" s="88">
        <v>0</v>
      </c>
      <c r="I5842" s="88">
        <v>7.0000000000000001E-3</v>
      </c>
      <c r="J5842" t="s">
        <v>4909</v>
      </c>
      <c r="K5842" t="s">
        <v>4909</v>
      </c>
    </row>
    <row r="5843" spans="1:11" x14ac:dyDescent="0.2">
      <c r="A5843" t="s">
        <v>1774</v>
      </c>
      <c r="B5843" t="s">
        <v>4909</v>
      </c>
      <c r="C5843" t="s">
        <v>4909</v>
      </c>
      <c r="D5843" t="s">
        <v>4909</v>
      </c>
      <c r="E5843" s="88">
        <v>0.02</v>
      </c>
      <c r="F5843" s="88">
        <v>3.1E-2</v>
      </c>
      <c r="G5843" t="s">
        <v>4909</v>
      </c>
      <c r="H5843" t="s">
        <v>4909</v>
      </c>
      <c r="I5843" s="88">
        <v>4.0000000000000001E-3</v>
      </c>
      <c r="J5843" t="s">
        <v>4909</v>
      </c>
      <c r="K5843" t="s">
        <v>4909</v>
      </c>
    </row>
    <row r="5844" spans="1:11" x14ac:dyDescent="0.2">
      <c r="A5844" t="s">
        <v>1777</v>
      </c>
      <c r="B5844" t="s">
        <v>4909</v>
      </c>
      <c r="C5844" t="s">
        <v>4909</v>
      </c>
      <c r="D5844" t="s">
        <v>4909</v>
      </c>
      <c r="E5844" t="s">
        <v>4909</v>
      </c>
      <c r="F5844" t="s">
        <v>4909</v>
      </c>
      <c r="G5844" t="s">
        <v>4909</v>
      </c>
      <c r="H5844" t="s">
        <v>4909</v>
      </c>
      <c r="I5844" t="s">
        <v>4909</v>
      </c>
      <c r="J5844" t="s">
        <v>4909</v>
      </c>
      <c r="K5844" t="s">
        <v>4909</v>
      </c>
    </row>
    <row r="5845" spans="1:11" x14ac:dyDescent="0.2">
      <c r="A5845" t="s">
        <v>1782</v>
      </c>
      <c r="B5845" t="s">
        <v>4909</v>
      </c>
      <c r="C5845" t="s">
        <v>4909</v>
      </c>
      <c r="D5845" t="s">
        <v>4909</v>
      </c>
      <c r="E5845" t="s">
        <v>4909</v>
      </c>
      <c r="F5845" t="s">
        <v>4909</v>
      </c>
      <c r="G5845" t="s">
        <v>4909</v>
      </c>
      <c r="H5845" t="s">
        <v>4909</v>
      </c>
      <c r="I5845" t="s">
        <v>4909</v>
      </c>
      <c r="J5845" t="s">
        <v>4909</v>
      </c>
      <c r="K5845" t="s">
        <v>4909</v>
      </c>
    </row>
    <row r="5846" spans="1:11" x14ac:dyDescent="0.2">
      <c r="A5846" t="s">
        <v>1274</v>
      </c>
      <c r="B5846" t="s">
        <v>4909</v>
      </c>
      <c r="C5846" t="s">
        <v>4909</v>
      </c>
      <c r="D5846" s="88">
        <v>0</v>
      </c>
      <c r="E5846" s="88">
        <v>0</v>
      </c>
      <c r="F5846" s="88">
        <v>2E-3</v>
      </c>
      <c r="G5846" t="s">
        <v>4909</v>
      </c>
      <c r="H5846" t="s">
        <v>4909</v>
      </c>
      <c r="I5846" t="s">
        <v>4909</v>
      </c>
      <c r="J5846" t="s">
        <v>4909</v>
      </c>
      <c r="K5846" t="s">
        <v>4909</v>
      </c>
    </row>
    <row r="5847" spans="1:11" x14ac:dyDescent="0.2">
      <c r="A5847" t="s">
        <v>1277</v>
      </c>
      <c r="B5847" t="s">
        <v>4909</v>
      </c>
      <c r="C5847" t="s">
        <v>4909</v>
      </c>
      <c r="D5847" s="88">
        <v>0</v>
      </c>
      <c r="E5847" s="88">
        <v>0</v>
      </c>
      <c r="F5847" s="88">
        <v>3.0000000000000001E-3</v>
      </c>
      <c r="G5847" t="s">
        <v>4909</v>
      </c>
      <c r="H5847" s="88">
        <v>0</v>
      </c>
      <c r="I5847" s="88">
        <v>0</v>
      </c>
      <c r="J5847" t="s">
        <v>4909</v>
      </c>
      <c r="K5847" t="s">
        <v>4909</v>
      </c>
    </row>
    <row r="5848" spans="1:11" x14ac:dyDescent="0.2">
      <c r="A5848" t="s">
        <v>1798</v>
      </c>
      <c r="B5848" t="s">
        <v>4909</v>
      </c>
      <c r="C5848" t="s">
        <v>4909</v>
      </c>
      <c r="D5848" t="s">
        <v>4909</v>
      </c>
      <c r="E5848" t="s">
        <v>4909</v>
      </c>
      <c r="F5848" t="s">
        <v>4909</v>
      </c>
      <c r="G5848" t="s">
        <v>4909</v>
      </c>
      <c r="H5848" t="s">
        <v>4909</v>
      </c>
      <c r="I5848" t="s">
        <v>4909</v>
      </c>
      <c r="J5848" t="s">
        <v>4909</v>
      </c>
      <c r="K5848" t="s">
        <v>4909</v>
      </c>
    </row>
    <row r="5849" spans="1:11" x14ac:dyDescent="0.2">
      <c r="A5849" t="s">
        <v>1803</v>
      </c>
      <c r="B5849" t="s">
        <v>4909</v>
      </c>
      <c r="C5849" t="s">
        <v>4909</v>
      </c>
      <c r="D5849" t="s">
        <v>4909</v>
      </c>
      <c r="E5849" t="s">
        <v>4909</v>
      </c>
      <c r="F5849" t="s">
        <v>4909</v>
      </c>
      <c r="G5849" t="s">
        <v>4909</v>
      </c>
      <c r="H5849" t="s">
        <v>4909</v>
      </c>
      <c r="I5849" t="s">
        <v>4909</v>
      </c>
      <c r="J5849" t="s">
        <v>4909</v>
      </c>
      <c r="K5849" t="s">
        <v>4909</v>
      </c>
    </row>
    <row r="5850" spans="1:11" x14ac:dyDescent="0.2">
      <c r="A5850" t="s">
        <v>1808</v>
      </c>
      <c r="B5850" t="s">
        <v>4909</v>
      </c>
      <c r="C5850" t="s">
        <v>4909</v>
      </c>
      <c r="D5850" t="s">
        <v>4909</v>
      </c>
      <c r="E5850" t="s">
        <v>4909</v>
      </c>
      <c r="F5850" t="s">
        <v>4909</v>
      </c>
      <c r="G5850" t="s">
        <v>4909</v>
      </c>
      <c r="H5850" t="s">
        <v>4909</v>
      </c>
      <c r="I5850" t="s">
        <v>4909</v>
      </c>
      <c r="J5850" t="s">
        <v>4909</v>
      </c>
      <c r="K5850" t="s">
        <v>4909</v>
      </c>
    </row>
    <row r="5851" spans="1:11" x14ac:dyDescent="0.2">
      <c r="A5851" t="s">
        <v>1813</v>
      </c>
      <c r="B5851" t="s">
        <v>4909</v>
      </c>
      <c r="C5851" t="s">
        <v>4909</v>
      </c>
      <c r="D5851" t="s">
        <v>4909</v>
      </c>
      <c r="E5851" t="s">
        <v>4909</v>
      </c>
      <c r="F5851" s="88">
        <v>4.0000000000000001E-3</v>
      </c>
      <c r="G5851" t="s">
        <v>4909</v>
      </c>
      <c r="H5851" t="s">
        <v>4909</v>
      </c>
      <c r="I5851" t="s">
        <v>4909</v>
      </c>
      <c r="J5851" t="s">
        <v>4909</v>
      </c>
      <c r="K5851" t="s">
        <v>4909</v>
      </c>
    </row>
    <row r="5852" spans="1:11" x14ac:dyDescent="0.2">
      <c r="A5852" t="s">
        <v>1819</v>
      </c>
      <c r="B5852" t="s">
        <v>4909</v>
      </c>
      <c r="C5852" t="s">
        <v>4909</v>
      </c>
      <c r="D5852" s="88">
        <v>0</v>
      </c>
      <c r="E5852" s="88">
        <v>1E-3</v>
      </c>
      <c r="F5852" s="88">
        <v>6.0000000000000001E-3</v>
      </c>
      <c r="G5852" t="s">
        <v>4909</v>
      </c>
      <c r="H5852" t="s">
        <v>4909</v>
      </c>
      <c r="I5852" t="s">
        <v>4909</v>
      </c>
      <c r="J5852" t="s">
        <v>4909</v>
      </c>
      <c r="K5852" t="s">
        <v>4909</v>
      </c>
    </row>
    <row r="5853" spans="1:11" x14ac:dyDescent="0.2">
      <c r="A5853" t="s">
        <v>1826</v>
      </c>
      <c r="B5853" t="s">
        <v>4909</v>
      </c>
      <c r="C5853" t="s">
        <v>4909</v>
      </c>
      <c r="D5853" t="s">
        <v>4909</v>
      </c>
      <c r="E5853" t="s">
        <v>4909</v>
      </c>
      <c r="F5853" t="s">
        <v>4909</v>
      </c>
      <c r="G5853" t="s">
        <v>4909</v>
      </c>
      <c r="H5853" t="s">
        <v>4909</v>
      </c>
      <c r="I5853" t="s">
        <v>4909</v>
      </c>
      <c r="J5853" t="s">
        <v>4909</v>
      </c>
      <c r="K5853" t="s">
        <v>4909</v>
      </c>
    </row>
    <row r="5854" spans="1:11" x14ac:dyDescent="0.2">
      <c r="A5854" t="s">
        <v>1830</v>
      </c>
      <c r="B5854" t="s">
        <v>4909</v>
      </c>
      <c r="C5854" t="s">
        <v>4909</v>
      </c>
      <c r="D5854" t="s">
        <v>4909</v>
      </c>
      <c r="E5854" t="s">
        <v>4909</v>
      </c>
      <c r="F5854" t="s">
        <v>4909</v>
      </c>
      <c r="G5854" t="s">
        <v>4909</v>
      </c>
      <c r="H5854" t="s">
        <v>4909</v>
      </c>
      <c r="I5854" t="s">
        <v>4909</v>
      </c>
      <c r="J5854" t="s">
        <v>4909</v>
      </c>
      <c r="K5854" t="s">
        <v>4909</v>
      </c>
    </row>
    <row r="5855" spans="1:11" x14ac:dyDescent="0.2">
      <c r="A5855" t="s">
        <v>1836</v>
      </c>
      <c r="B5855" t="s">
        <v>4909</v>
      </c>
      <c r="C5855" t="s">
        <v>4909</v>
      </c>
      <c r="D5855" t="s">
        <v>4909</v>
      </c>
      <c r="E5855" t="s">
        <v>4909</v>
      </c>
      <c r="F5855" t="s">
        <v>4909</v>
      </c>
      <c r="G5855" t="s">
        <v>4909</v>
      </c>
      <c r="H5855" t="s">
        <v>4909</v>
      </c>
      <c r="I5855" t="s">
        <v>4909</v>
      </c>
      <c r="J5855" t="s">
        <v>4909</v>
      </c>
      <c r="K5855" t="s">
        <v>4909</v>
      </c>
    </row>
    <row r="5856" spans="1:11" x14ac:dyDescent="0.2">
      <c r="A5856" t="s">
        <v>1841</v>
      </c>
      <c r="B5856" t="s">
        <v>4909</v>
      </c>
      <c r="C5856" t="s">
        <v>4909</v>
      </c>
      <c r="D5856" t="s">
        <v>4909</v>
      </c>
      <c r="E5856" s="88">
        <v>2E-3</v>
      </c>
      <c r="F5856" s="88">
        <v>0.01</v>
      </c>
      <c r="G5856" t="s">
        <v>4909</v>
      </c>
      <c r="H5856" t="s">
        <v>4909</v>
      </c>
      <c r="I5856" t="s">
        <v>4909</v>
      </c>
      <c r="J5856" t="s">
        <v>4909</v>
      </c>
      <c r="K5856" t="s">
        <v>4909</v>
      </c>
    </row>
    <row r="5857" spans="1:11" x14ac:dyDescent="0.2">
      <c r="A5857" t="s">
        <v>1842</v>
      </c>
      <c r="B5857" t="s">
        <v>4909</v>
      </c>
      <c r="C5857" t="s">
        <v>4909</v>
      </c>
      <c r="D5857" s="88">
        <v>5.0000000000000001E-3</v>
      </c>
      <c r="E5857" s="88">
        <v>2.7E-2</v>
      </c>
      <c r="F5857" s="88">
        <v>0.14099999999999999</v>
      </c>
      <c r="G5857" t="s">
        <v>4909</v>
      </c>
      <c r="H5857" s="88">
        <v>2E-3</v>
      </c>
      <c r="I5857" s="88">
        <v>4.0000000000000001E-3</v>
      </c>
      <c r="J5857" t="s">
        <v>4909</v>
      </c>
      <c r="K5857" t="s">
        <v>4909</v>
      </c>
    </row>
    <row r="5858" spans="1:11" x14ac:dyDescent="0.2">
      <c r="A5858" t="s">
        <v>1843</v>
      </c>
      <c r="B5858" t="s">
        <v>4909</v>
      </c>
      <c r="C5858" t="s">
        <v>4909</v>
      </c>
      <c r="D5858" t="s">
        <v>4909</v>
      </c>
      <c r="E5858" t="s">
        <v>4909</v>
      </c>
      <c r="F5858" t="s">
        <v>4909</v>
      </c>
      <c r="G5858" t="s">
        <v>4909</v>
      </c>
      <c r="H5858" t="s">
        <v>4909</v>
      </c>
      <c r="I5858" t="s">
        <v>4909</v>
      </c>
      <c r="J5858" t="s">
        <v>4909</v>
      </c>
      <c r="K5858" t="s">
        <v>4909</v>
      </c>
    </row>
    <row r="5859" spans="1:11" x14ac:dyDescent="0.2">
      <c r="A5859" t="s">
        <v>1846</v>
      </c>
      <c r="B5859" t="s">
        <v>4909</v>
      </c>
      <c r="C5859" t="s">
        <v>4909</v>
      </c>
      <c r="D5859" s="88">
        <v>3.9E-2</v>
      </c>
      <c r="E5859" s="88">
        <v>0.17299999999999999</v>
      </c>
      <c r="F5859" s="88">
        <v>0.46200000000000002</v>
      </c>
      <c r="G5859" t="s">
        <v>4909</v>
      </c>
      <c r="H5859" s="88">
        <v>7.0000000000000001E-3</v>
      </c>
      <c r="I5859" s="88">
        <v>7.0000000000000001E-3</v>
      </c>
      <c r="J5859" t="s">
        <v>4909</v>
      </c>
      <c r="K5859" t="s">
        <v>4909</v>
      </c>
    </row>
    <row r="5860" spans="1:11" x14ac:dyDescent="0.2">
      <c r="A5860" t="s">
        <v>1851</v>
      </c>
      <c r="B5860" t="s">
        <v>4909</v>
      </c>
      <c r="C5860" s="88">
        <v>0</v>
      </c>
      <c r="D5860" s="88">
        <v>3.5999999999999997E-2</v>
      </c>
      <c r="E5860" s="88">
        <v>0.17</v>
      </c>
      <c r="F5860" s="88">
        <v>0.44400000000000001</v>
      </c>
      <c r="G5860" t="s">
        <v>4909</v>
      </c>
      <c r="H5860" s="88">
        <v>4.0000000000000001E-3</v>
      </c>
      <c r="I5860" s="88">
        <v>0.01</v>
      </c>
      <c r="J5860" t="s">
        <v>4909</v>
      </c>
      <c r="K5860" t="s">
        <v>4909</v>
      </c>
    </row>
    <row r="5861" spans="1:11" x14ac:dyDescent="0.2">
      <c r="A5861" t="s">
        <v>1857</v>
      </c>
      <c r="B5861" t="s">
        <v>4909</v>
      </c>
      <c r="C5861" s="88">
        <v>0</v>
      </c>
      <c r="D5861" s="88">
        <v>7.5999999999999998E-2</v>
      </c>
      <c r="E5861" s="88">
        <v>0.35</v>
      </c>
      <c r="F5861" s="88">
        <v>0.41399999999999998</v>
      </c>
      <c r="G5861" t="s">
        <v>4909</v>
      </c>
      <c r="H5861" s="88">
        <v>1E-3</v>
      </c>
      <c r="I5861" s="88">
        <v>2E-3</v>
      </c>
      <c r="J5861" t="s">
        <v>4909</v>
      </c>
      <c r="K5861" t="s">
        <v>4909</v>
      </c>
    </row>
    <row r="5862" spans="1:11" x14ac:dyDescent="0.2">
      <c r="A5862" t="s">
        <v>1862</v>
      </c>
      <c r="B5862" t="s">
        <v>4909</v>
      </c>
      <c r="C5862" s="88">
        <v>1E-3</v>
      </c>
      <c r="D5862" s="88">
        <v>7.4999999999999997E-2</v>
      </c>
      <c r="E5862" s="88">
        <v>0.34899999999999998</v>
      </c>
      <c r="F5862" s="88">
        <v>0.41599999999999998</v>
      </c>
      <c r="G5862" t="s">
        <v>4909</v>
      </c>
      <c r="H5862" s="88">
        <v>1E-3</v>
      </c>
      <c r="I5862" s="88">
        <v>2E-3</v>
      </c>
      <c r="J5862" t="s">
        <v>4909</v>
      </c>
      <c r="K5862" t="s">
        <v>4909</v>
      </c>
    </row>
    <row r="5863" spans="1:11" x14ac:dyDescent="0.2">
      <c r="A5863" t="s">
        <v>1867</v>
      </c>
      <c r="B5863" t="s">
        <v>4909</v>
      </c>
      <c r="C5863" s="88">
        <v>1E-3</v>
      </c>
      <c r="D5863" s="88">
        <v>0</v>
      </c>
      <c r="E5863" s="88">
        <v>2E-3</v>
      </c>
      <c r="F5863" t="s">
        <v>4909</v>
      </c>
      <c r="G5863" t="s">
        <v>4909</v>
      </c>
      <c r="H5863" t="s">
        <v>4909</v>
      </c>
      <c r="I5863" t="s">
        <v>4909</v>
      </c>
      <c r="J5863" t="s">
        <v>4909</v>
      </c>
      <c r="K5863" t="s">
        <v>4909</v>
      </c>
    </row>
    <row r="5864" spans="1:11" x14ac:dyDescent="0.2">
      <c r="A5864" t="s">
        <v>1870</v>
      </c>
      <c r="B5864" t="s">
        <v>4909</v>
      </c>
      <c r="C5864" t="s">
        <v>4909</v>
      </c>
      <c r="D5864" t="s">
        <v>4909</v>
      </c>
      <c r="E5864" t="s">
        <v>4909</v>
      </c>
      <c r="F5864" t="s">
        <v>4909</v>
      </c>
      <c r="G5864" t="s">
        <v>4909</v>
      </c>
      <c r="H5864" t="s">
        <v>4909</v>
      </c>
      <c r="I5864" t="s">
        <v>4909</v>
      </c>
      <c r="J5864" t="s">
        <v>4909</v>
      </c>
      <c r="K5864" t="s">
        <v>4909</v>
      </c>
    </row>
    <row r="5865" spans="1:11" x14ac:dyDescent="0.2">
      <c r="A5865" t="s">
        <v>1874</v>
      </c>
      <c r="B5865" t="s">
        <v>4909</v>
      </c>
      <c r="C5865" s="88">
        <v>1E-3</v>
      </c>
      <c r="D5865" s="88">
        <v>7.0000000000000001E-3</v>
      </c>
      <c r="E5865" s="88">
        <v>3.2000000000000001E-2</v>
      </c>
      <c r="F5865" s="88">
        <v>0.626</v>
      </c>
      <c r="G5865" t="s">
        <v>4909</v>
      </c>
      <c r="H5865" s="88">
        <v>1.0999999999999999E-2</v>
      </c>
      <c r="I5865" s="88">
        <v>2.3E-2</v>
      </c>
      <c r="J5865" t="s">
        <v>4909</v>
      </c>
      <c r="K5865" t="s">
        <v>4909</v>
      </c>
    </row>
    <row r="5866" spans="1:11" x14ac:dyDescent="0.2">
      <c r="A5866" t="s">
        <v>1876</v>
      </c>
      <c r="B5866" t="s">
        <v>4909</v>
      </c>
      <c r="C5866" s="88">
        <v>1E-3</v>
      </c>
      <c r="D5866" t="s">
        <v>4909</v>
      </c>
      <c r="E5866" t="s">
        <v>4909</v>
      </c>
      <c r="F5866" t="s">
        <v>4909</v>
      </c>
      <c r="G5866" t="s">
        <v>4909</v>
      </c>
      <c r="H5866" t="s">
        <v>4909</v>
      </c>
      <c r="I5866" t="s">
        <v>4909</v>
      </c>
      <c r="J5866" t="s">
        <v>4909</v>
      </c>
      <c r="K5866" t="s">
        <v>4909</v>
      </c>
    </row>
    <row r="5867" spans="1:11" x14ac:dyDescent="0.2">
      <c r="A5867" t="s">
        <v>1881</v>
      </c>
      <c r="B5867" t="s">
        <v>4909</v>
      </c>
      <c r="C5867" t="s">
        <v>4909</v>
      </c>
      <c r="D5867" t="s">
        <v>4909</v>
      </c>
      <c r="E5867" t="s">
        <v>4909</v>
      </c>
      <c r="F5867" s="88">
        <v>0.94899999999999995</v>
      </c>
      <c r="G5867" t="s">
        <v>4909</v>
      </c>
      <c r="H5867" s="88">
        <v>1.6E-2</v>
      </c>
      <c r="I5867" s="88">
        <v>3.4000000000000002E-2</v>
      </c>
      <c r="J5867" t="s">
        <v>4909</v>
      </c>
      <c r="K5867" t="s">
        <v>4909</v>
      </c>
    </row>
    <row r="5868" spans="1:11" x14ac:dyDescent="0.2">
      <c r="A5868" t="s">
        <v>1885</v>
      </c>
      <c r="B5868" t="s">
        <v>4909</v>
      </c>
      <c r="C5868" t="s">
        <v>4909</v>
      </c>
      <c r="D5868" s="88">
        <v>1E-3</v>
      </c>
      <c r="E5868" s="88">
        <v>4.0000000000000001E-3</v>
      </c>
      <c r="F5868" s="88">
        <v>2.1999999999999999E-2</v>
      </c>
      <c r="G5868" t="s">
        <v>4909</v>
      </c>
      <c r="H5868" s="88">
        <v>0</v>
      </c>
      <c r="I5868" s="88">
        <v>0</v>
      </c>
      <c r="J5868" t="s">
        <v>4909</v>
      </c>
      <c r="K5868" t="s">
        <v>4909</v>
      </c>
    </row>
    <row r="5869" spans="1:11" x14ac:dyDescent="0.2">
      <c r="A5869" t="s">
        <v>1887</v>
      </c>
      <c r="B5869" t="s">
        <v>4909</v>
      </c>
      <c r="C5869" t="s">
        <v>4909</v>
      </c>
      <c r="D5869" s="88">
        <v>0</v>
      </c>
      <c r="E5869" s="88">
        <v>4.0000000000000001E-3</v>
      </c>
      <c r="F5869" s="88">
        <v>2.1999999999999999E-2</v>
      </c>
      <c r="G5869" t="s">
        <v>4909</v>
      </c>
      <c r="H5869" t="s">
        <v>4909</v>
      </c>
      <c r="I5869" s="88">
        <v>0</v>
      </c>
      <c r="J5869" t="s">
        <v>4909</v>
      </c>
      <c r="K5869" t="s">
        <v>4909</v>
      </c>
    </row>
    <row r="5870" spans="1:11" x14ac:dyDescent="0.2">
      <c r="A5870" t="s">
        <v>1893</v>
      </c>
      <c r="B5870" t="s">
        <v>4909</v>
      </c>
      <c r="C5870" t="s">
        <v>4909</v>
      </c>
      <c r="D5870" s="88">
        <v>1E-3</v>
      </c>
      <c r="E5870" s="88">
        <v>5.0000000000000001E-3</v>
      </c>
      <c r="F5870" s="88">
        <v>2.5999999999999999E-2</v>
      </c>
      <c r="G5870" t="s">
        <v>4909</v>
      </c>
      <c r="H5870" s="88">
        <v>0</v>
      </c>
      <c r="I5870" s="88">
        <v>0</v>
      </c>
      <c r="J5870" t="s">
        <v>4909</v>
      </c>
      <c r="K5870" t="s">
        <v>4909</v>
      </c>
    </row>
    <row r="5871" spans="1:11" x14ac:dyDescent="0.2">
      <c r="A5871" t="s">
        <v>1899</v>
      </c>
      <c r="B5871" t="s">
        <v>4909</v>
      </c>
      <c r="C5871" t="s">
        <v>4909</v>
      </c>
      <c r="D5871" t="s">
        <v>4909</v>
      </c>
      <c r="E5871" t="s">
        <v>4909</v>
      </c>
      <c r="F5871" t="s">
        <v>4909</v>
      </c>
      <c r="G5871" t="s">
        <v>4909</v>
      </c>
      <c r="H5871" t="s">
        <v>4909</v>
      </c>
      <c r="I5871" t="s">
        <v>4909</v>
      </c>
      <c r="J5871" t="s">
        <v>4909</v>
      </c>
      <c r="K5871" t="s">
        <v>4909</v>
      </c>
    </row>
    <row r="5872" spans="1:11" x14ac:dyDescent="0.2">
      <c r="A5872" t="s">
        <v>1906</v>
      </c>
      <c r="B5872" t="s">
        <v>4909</v>
      </c>
      <c r="C5872" t="s">
        <v>4909</v>
      </c>
      <c r="D5872" t="s">
        <v>4909</v>
      </c>
      <c r="E5872" t="s">
        <v>4909</v>
      </c>
      <c r="F5872" t="s">
        <v>4909</v>
      </c>
      <c r="G5872" t="s">
        <v>4909</v>
      </c>
      <c r="H5872" t="s">
        <v>4909</v>
      </c>
      <c r="I5872" t="s">
        <v>4909</v>
      </c>
      <c r="J5872" t="s">
        <v>4909</v>
      </c>
      <c r="K5872" t="s">
        <v>4909</v>
      </c>
    </row>
    <row r="5873" spans="1:11" x14ac:dyDescent="0.2">
      <c r="A5873" t="s">
        <v>1911</v>
      </c>
      <c r="B5873" t="s">
        <v>4909</v>
      </c>
      <c r="C5873" t="s">
        <v>4909</v>
      </c>
      <c r="D5873" t="s">
        <v>4909</v>
      </c>
      <c r="E5873" t="s">
        <v>4909</v>
      </c>
      <c r="F5873" t="s">
        <v>4909</v>
      </c>
      <c r="G5873" t="s">
        <v>4909</v>
      </c>
      <c r="H5873" t="s">
        <v>4909</v>
      </c>
      <c r="I5873" t="s">
        <v>4909</v>
      </c>
      <c r="J5873" t="s">
        <v>4909</v>
      </c>
      <c r="K5873" t="s">
        <v>4909</v>
      </c>
    </row>
    <row r="5874" spans="1:11" x14ac:dyDescent="0.2">
      <c r="A5874" t="s">
        <v>1917</v>
      </c>
      <c r="B5874" t="s">
        <v>4909</v>
      </c>
      <c r="C5874" t="s">
        <v>4909</v>
      </c>
      <c r="D5874" t="s">
        <v>4909</v>
      </c>
      <c r="E5874" t="s">
        <v>4909</v>
      </c>
      <c r="F5874" t="s">
        <v>4909</v>
      </c>
      <c r="G5874" t="s">
        <v>4909</v>
      </c>
      <c r="H5874" t="s">
        <v>4909</v>
      </c>
      <c r="I5874" t="s">
        <v>4909</v>
      </c>
      <c r="J5874" t="s">
        <v>4909</v>
      </c>
      <c r="K5874" t="s">
        <v>4909</v>
      </c>
    </row>
    <row r="5875" spans="1:11" x14ac:dyDescent="0.2">
      <c r="A5875" t="s">
        <v>1922</v>
      </c>
      <c r="B5875" t="s">
        <v>4909</v>
      </c>
      <c r="C5875" t="s">
        <v>4909</v>
      </c>
      <c r="D5875" s="88">
        <v>1E-3</v>
      </c>
      <c r="E5875" s="88">
        <v>5.0000000000000001E-3</v>
      </c>
      <c r="F5875" s="88">
        <v>2.9000000000000001E-2</v>
      </c>
      <c r="G5875" t="s">
        <v>4909</v>
      </c>
      <c r="H5875" s="88">
        <v>0</v>
      </c>
      <c r="I5875" s="88">
        <v>0</v>
      </c>
      <c r="J5875" t="s">
        <v>4909</v>
      </c>
      <c r="K5875" t="s">
        <v>4909</v>
      </c>
    </row>
    <row r="5876" spans="1:11" x14ac:dyDescent="0.2">
      <c r="A5876" t="s">
        <v>1928</v>
      </c>
      <c r="B5876" t="s">
        <v>4909</v>
      </c>
      <c r="C5876" t="s">
        <v>4909</v>
      </c>
      <c r="D5876" t="s">
        <v>4909</v>
      </c>
      <c r="E5876" t="s">
        <v>4909</v>
      </c>
      <c r="F5876" t="s">
        <v>4909</v>
      </c>
      <c r="G5876" t="s">
        <v>4909</v>
      </c>
      <c r="H5876" t="s">
        <v>4909</v>
      </c>
      <c r="I5876" t="s">
        <v>4909</v>
      </c>
      <c r="J5876" t="s">
        <v>4909</v>
      </c>
      <c r="K5876" t="s">
        <v>4909</v>
      </c>
    </row>
    <row r="5877" spans="1:11" x14ac:dyDescent="0.2">
      <c r="A5877" t="s">
        <v>1932</v>
      </c>
      <c r="B5877" t="s">
        <v>4909</v>
      </c>
      <c r="C5877" t="s">
        <v>4909</v>
      </c>
      <c r="D5877" t="s">
        <v>4909</v>
      </c>
      <c r="E5877" t="s">
        <v>4909</v>
      </c>
      <c r="F5877" t="s">
        <v>4909</v>
      </c>
      <c r="G5877" t="s">
        <v>4909</v>
      </c>
      <c r="H5877" t="s">
        <v>4909</v>
      </c>
      <c r="I5877" t="s">
        <v>4909</v>
      </c>
      <c r="J5877" t="s">
        <v>4909</v>
      </c>
      <c r="K5877" t="s">
        <v>4909</v>
      </c>
    </row>
    <row r="5878" spans="1:11" x14ac:dyDescent="0.2">
      <c r="A5878" t="s">
        <v>1938</v>
      </c>
      <c r="B5878" t="s">
        <v>4909</v>
      </c>
      <c r="C5878" t="s">
        <v>4909</v>
      </c>
      <c r="D5878" t="s">
        <v>4909</v>
      </c>
      <c r="E5878" t="s">
        <v>4909</v>
      </c>
      <c r="F5878" t="s">
        <v>4909</v>
      </c>
      <c r="G5878" t="s">
        <v>4909</v>
      </c>
      <c r="H5878" t="s">
        <v>4909</v>
      </c>
      <c r="I5878" t="s">
        <v>4909</v>
      </c>
      <c r="J5878" t="s">
        <v>4909</v>
      </c>
      <c r="K5878" t="s">
        <v>4909</v>
      </c>
    </row>
    <row r="5879" spans="1:11" x14ac:dyDescent="0.2">
      <c r="A5879" t="s">
        <v>1944</v>
      </c>
      <c r="B5879" t="s">
        <v>4909</v>
      </c>
      <c r="C5879" t="s">
        <v>4909</v>
      </c>
      <c r="D5879" s="88">
        <v>0</v>
      </c>
      <c r="E5879" s="88">
        <v>4.0000000000000001E-3</v>
      </c>
      <c r="F5879" s="88">
        <v>0.02</v>
      </c>
      <c r="G5879" t="s">
        <v>4909</v>
      </c>
      <c r="H5879" t="s">
        <v>4909</v>
      </c>
      <c r="I5879" s="88">
        <v>0</v>
      </c>
      <c r="J5879" t="s">
        <v>4909</v>
      </c>
      <c r="K5879" t="s">
        <v>4909</v>
      </c>
    </row>
    <row r="5880" spans="1:11" x14ac:dyDescent="0.2">
      <c r="A5880" t="s">
        <v>1947</v>
      </c>
      <c r="B5880" t="s">
        <v>4909</v>
      </c>
      <c r="C5880" t="s">
        <v>4909</v>
      </c>
      <c r="D5880" t="s">
        <v>4909</v>
      </c>
      <c r="E5880" t="s">
        <v>4909</v>
      </c>
      <c r="F5880" s="88">
        <v>6.0000000000000001E-3</v>
      </c>
      <c r="G5880" t="s">
        <v>4909</v>
      </c>
      <c r="H5880" t="s">
        <v>4909</v>
      </c>
      <c r="I5880" t="s">
        <v>4909</v>
      </c>
      <c r="J5880" t="s">
        <v>4909</v>
      </c>
      <c r="K5880" t="s">
        <v>4909</v>
      </c>
    </row>
    <row r="5881" spans="1:11" x14ac:dyDescent="0.2">
      <c r="A5881" t="s">
        <v>1953</v>
      </c>
      <c r="B5881" t="s">
        <v>4909</v>
      </c>
      <c r="C5881" t="s">
        <v>4909</v>
      </c>
      <c r="D5881" s="88">
        <v>0</v>
      </c>
      <c r="E5881" s="88">
        <v>4.0000000000000001E-3</v>
      </c>
      <c r="F5881" s="88">
        <v>2.3E-2</v>
      </c>
      <c r="G5881" t="s">
        <v>4909</v>
      </c>
      <c r="H5881" t="s">
        <v>4909</v>
      </c>
      <c r="I5881" s="88">
        <v>0</v>
      </c>
      <c r="J5881" t="s">
        <v>4909</v>
      </c>
      <c r="K5881" t="s">
        <v>4909</v>
      </c>
    </row>
    <row r="5882" spans="1:11" x14ac:dyDescent="0.2">
      <c r="A5882" t="s">
        <v>1958</v>
      </c>
      <c r="B5882" t="s">
        <v>4909</v>
      </c>
      <c r="C5882" t="s">
        <v>4909</v>
      </c>
      <c r="D5882" t="s">
        <v>4909</v>
      </c>
      <c r="E5882" t="s">
        <v>4909</v>
      </c>
      <c r="F5882" t="s">
        <v>4909</v>
      </c>
      <c r="G5882" t="s">
        <v>4909</v>
      </c>
      <c r="H5882" t="s">
        <v>4909</v>
      </c>
      <c r="I5882" t="s">
        <v>4909</v>
      </c>
      <c r="J5882" t="s">
        <v>4909</v>
      </c>
      <c r="K5882" t="s">
        <v>4909</v>
      </c>
    </row>
    <row r="5883" spans="1:11" x14ac:dyDescent="0.2">
      <c r="A5883" t="s">
        <v>1964</v>
      </c>
      <c r="B5883" t="s">
        <v>4909</v>
      </c>
      <c r="C5883" t="s">
        <v>4909</v>
      </c>
      <c r="D5883" t="s">
        <v>4909</v>
      </c>
      <c r="E5883" t="s">
        <v>4909</v>
      </c>
      <c r="F5883" t="s">
        <v>4909</v>
      </c>
      <c r="G5883" t="s">
        <v>4909</v>
      </c>
      <c r="H5883" t="s">
        <v>4909</v>
      </c>
      <c r="I5883" t="s">
        <v>4909</v>
      </c>
      <c r="J5883" t="s">
        <v>4909</v>
      </c>
      <c r="K5883" t="s">
        <v>4909</v>
      </c>
    </row>
    <row r="5884" spans="1:11" x14ac:dyDescent="0.2">
      <c r="A5884" t="s">
        <v>1973</v>
      </c>
      <c r="B5884" t="s">
        <v>4909</v>
      </c>
      <c r="C5884" t="s">
        <v>4909</v>
      </c>
      <c r="D5884" t="s">
        <v>4909</v>
      </c>
      <c r="E5884" t="s">
        <v>4909</v>
      </c>
      <c r="F5884" t="s">
        <v>4909</v>
      </c>
      <c r="G5884" t="s">
        <v>4909</v>
      </c>
      <c r="H5884" t="s">
        <v>4909</v>
      </c>
      <c r="I5884" t="s">
        <v>4909</v>
      </c>
      <c r="J5884" t="s">
        <v>4909</v>
      </c>
      <c r="K5884" t="s">
        <v>4909</v>
      </c>
    </row>
    <row r="5885" spans="1:11" x14ac:dyDescent="0.2">
      <c r="A5885" t="s">
        <v>1978</v>
      </c>
      <c r="B5885" t="s">
        <v>4909</v>
      </c>
      <c r="C5885" t="s">
        <v>4909</v>
      </c>
      <c r="D5885" t="s">
        <v>4909</v>
      </c>
      <c r="E5885" t="s">
        <v>4909</v>
      </c>
      <c r="F5885" t="s">
        <v>4909</v>
      </c>
      <c r="G5885" t="s">
        <v>4909</v>
      </c>
      <c r="H5885" t="s">
        <v>4909</v>
      </c>
      <c r="I5885" t="s">
        <v>4909</v>
      </c>
      <c r="J5885" t="s">
        <v>4909</v>
      </c>
      <c r="K5885" t="s">
        <v>4909</v>
      </c>
    </row>
    <row r="5886" spans="1:11" x14ac:dyDescent="0.2">
      <c r="A5886" t="s">
        <v>1983</v>
      </c>
      <c r="B5886" t="s">
        <v>4909</v>
      </c>
      <c r="C5886" t="s">
        <v>4909</v>
      </c>
      <c r="D5886" t="s">
        <v>4909</v>
      </c>
      <c r="E5886" s="88">
        <v>1E-3</v>
      </c>
      <c r="F5886" s="88">
        <v>2E-3</v>
      </c>
      <c r="G5886" t="s">
        <v>4909</v>
      </c>
      <c r="H5886" t="s">
        <v>4909</v>
      </c>
      <c r="I5886" t="s">
        <v>4909</v>
      </c>
      <c r="J5886" t="s">
        <v>4909</v>
      </c>
      <c r="K5886" t="s">
        <v>4909</v>
      </c>
    </row>
    <row r="5887" spans="1:11" x14ac:dyDescent="0.2">
      <c r="A5887" t="s">
        <v>1984</v>
      </c>
      <c r="B5887" t="s">
        <v>4909</v>
      </c>
      <c r="C5887" t="s">
        <v>4909</v>
      </c>
      <c r="D5887" t="s">
        <v>4909</v>
      </c>
      <c r="E5887" t="s">
        <v>4909</v>
      </c>
      <c r="F5887" t="s">
        <v>4909</v>
      </c>
      <c r="G5887" t="s">
        <v>4909</v>
      </c>
      <c r="H5887" t="s">
        <v>4909</v>
      </c>
      <c r="I5887" t="s">
        <v>4909</v>
      </c>
      <c r="J5887" t="s">
        <v>4909</v>
      </c>
      <c r="K5887" t="s">
        <v>4909</v>
      </c>
    </row>
    <row r="5888" spans="1:11" x14ac:dyDescent="0.2">
      <c r="A5888" t="s">
        <v>1990</v>
      </c>
      <c r="B5888" t="s">
        <v>4909</v>
      </c>
      <c r="C5888" t="s">
        <v>4909</v>
      </c>
      <c r="D5888" t="s">
        <v>4909</v>
      </c>
      <c r="E5888" t="s">
        <v>4909</v>
      </c>
      <c r="F5888" t="s">
        <v>4909</v>
      </c>
      <c r="G5888" t="s">
        <v>4909</v>
      </c>
      <c r="H5888" t="s">
        <v>4909</v>
      </c>
      <c r="I5888" t="s">
        <v>4909</v>
      </c>
      <c r="J5888" t="s">
        <v>4909</v>
      </c>
      <c r="K5888" t="s">
        <v>4909</v>
      </c>
    </row>
    <row r="5889" spans="1:11" x14ac:dyDescent="0.2">
      <c r="A5889" t="s">
        <v>1996</v>
      </c>
      <c r="B5889" t="s">
        <v>4909</v>
      </c>
      <c r="C5889" t="s">
        <v>4909</v>
      </c>
      <c r="D5889" t="s">
        <v>4909</v>
      </c>
      <c r="E5889" t="s">
        <v>4909</v>
      </c>
      <c r="F5889" t="s">
        <v>4909</v>
      </c>
      <c r="G5889" t="s">
        <v>4909</v>
      </c>
      <c r="H5889" t="s">
        <v>4909</v>
      </c>
      <c r="I5889" t="s">
        <v>4909</v>
      </c>
      <c r="J5889" t="s">
        <v>4909</v>
      </c>
      <c r="K5889" t="s">
        <v>4909</v>
      </c>
    </row>
    <row r="5890" spans="1:11" x14ac:dyDescent="0.2">
      <c r="A5890" t="s">
        <v>1998</v>
      </c>
      <c r="B5890" t="s">
        <v>4909</v>
      </c>
      <c r="C5890" t="s">
        <v>4909</v>
      </c>
      <c r="D5890" t="s">
        <v>4909</v>
      </c>
      <c r="E5890" t="s">
        <v>4909</v>
      </c>
      <c r="F5890" t="s">
        <v>4909</v>
      </c>
      <c r="G5890" t="s">
        <v>4909</v>
      </c>
      <c r="H5890" t="s">
        <v>4909</v>
      </c>
      <c r="I5890" t="s">
        <v>4909</v>
      </c>
      <c r="J5890" t="s">
        <v>4909</v>
      </c>
      <c r="K5890" t="s">
        <v>4909</v>
      </c>
    </row>
    <row r="5891" spans="1:11" x14ac:dyDescent="0.2">
      <c r="A5891" t="s">
        <v>1999</v>
      </c>
      <c r="B5891" t="s">
        <v>4909</v>
      </c>
      <c r="C5891" t="s">
        <v>4909</v>
      </c>
      <c r="D5891" t="s">
        <v>4909</v>
      </c>
      <c r="E5891" t="s">
        <v>4909</v>
      </c>
      <c r="F5891" t="s">
        <v>4909</v>
      </c>
      <c r="G5891" t="s">
        <v>4909</v>
      </c>
      <c r="H5891" t="s">
        <v>4909</v>
      </c>
      <c r="I5891" t="s">
        <v>4909</v>
      </c>
      <c r="J5891" t="s">
        <v>4909</v>
      </c>
      <c r="K5891" t="s">
        <v>4909</v>
      </c>
    </row>
    <row r="5892" spans="1:11" x14ac:dyDescent="0.2">
      <c r="A5892" t="s">
        <v>2004</v>
      </c>
      <c r="B5892" t="s">
        <v>4909</v>
      </c>
      <c r="C5892" t="s">
        <v>4909</v>
      </c>
      <c r="D5892" t="s">
        <v>4909</v>
      </c>
      <c r="E5892" t="s">
        <v>4909</v>
      </c>
      <c r="F5892" t="s">
        <v>4909</v>
      </c>
      <c r="G5892" t="s">
        <v>4909</v>
      </c>
      <c r="H5892" t="s">
        <v>4909</v>
      </c>
      <c r="I5892" t="s">
        <v>4909</v>
      </c>
      <c r="J5892" t="s">
        <v>4909</v>
      </c>
      <c r="K5892" t="s">
        <v>4909</v>
      </c>
    </row>
    <row r="5893" spans="1:11" x14ac:dyDescent="0.2">
      <c r="A5893" t="s">
        <v>2009</v>
      </c>
      <c r="B5893" t="s">
        <v>4909</v>
      </c>
      <c r="C5893" t="s">
        <v>4909</v>
      </c>
      <c r="D5893" t="s">
        <v>4909</v>
      </c>
      <c r="E5893" t="s">
        <v>4909</v>
      </c>
      <c r="F5893" t="s">
        <v>4909</v>
      </c>
      <c r="G5893" t="s">
        <v>4909</v>
      </c>
      <c r="H5893" t="s">
        <v>4909</v>
      </c>
      <c r="I5893" t="s">
        <v>4909</v>
      </c>
      <c r="J5893" t="s">
        <v>4909</v>
      </c>
      <c r="K5893" t="s">
        <v>4909</v>
      </c>
    </row>
    <row r="5894" spans="1:11" x14ac:dyDescent="0.2">
      <c r="A5894" t="s">
        <v>2014</v>
      </c>
      <c r="B5894" t="s">
        <v>4909</v>
      </c>
      <c r="C5894" t="s">
        <v>4909</v>
      </c>
      <c r="D5894" t="s">
        <v>4909</v>
      </c>
      <c r="E5894" t="s">
        <v>4909</v>
      </c>
      <c r="F5894" t="s">
        <v>4909</v>
      </c>
      <c r="G5894" t="s">
        <v>4909</v>
      </c>
      <c r="H5894" t="s">
        <v>4909</v>
      </c>
      <c r="I5894" t="s">
        <v>4909</v>
      </c>
      <c r="J5894" t="s">
        <v>4909</v>
      </c>
      <c r="K5894" t="s">
        <v>4909</v>
      </c>
    </row>
    <row r="5895" spans="1:11" x14ac:dyDescent="0.2">
      <c r="A5895" t="s">
        <v>2019</v>
      </c>
      <c r="B5895" t="s">
        <v>4909</v>
      </c>
      <c r="C5895" t="s">
        <v>4909</v>
      </c>
      <c r="D5895" t="s">
        <v>4909</v>
      </c>
      <c r="E5895" t="s">
        <v>4909</v>
      </c>
      <c r="F5895" t="s">
        <v>4909</v>
      </c>
      <c r="G5895" t="s">
        <v>4909</v>
      </c>
      <c r="H5895" t="s">
        <v>4909</v>
      </c>
      <c r="I5895" t="s">
        <v>4909</v>
      </c>
      <c r="J5895" t="s">
        <v>4909</v>
      </c>
      <c r="K5895" t="s">
        <v>4909</v>
      </c>
    </row>
    <row r="5896" spans="1:11" x14ac:dyDescent="0.2">
      <c r="A5896" t="s">
        <v>2023</v>
      </c>
      <c r="B5896" t="s">
        <v>4909</v>
      </c>
      <c r="C5896" t="s">
        <v>4909</v>
      </c>
      <c r="D5896" t="s">
        <v>4909</v>
      </c>
      <c r="E5896" t="s">
        <v>4909</v>
      </c>
      <c r="F5896" t="s">
        <v>4909</v>
      </c>
      <c r="G5896" t="s">
        <v>4909</v>
      </c>
      <c r="H5896" t="s">
        <v>4909</v>
      </c>
      <c r="I5896" t="s">
        <v>4909</v>
      </c>
      <c r="J5896" t="s">
        <v>4909</v>
      </c>
      <c r="K5896" t="s">
        <v>4909</v>
      </c>
    </row>
    <row r="5897" spans="1:11" x14ac:dyDescent="0.2">
      <c r="A5897" t="s">
        <v>2026</v>
      </c>
      <c r="B5897" t="s">
        <v>4909</v>
      </c>
      <c r="C5897" t="s">
        <v>4909</v>
      </c>
      <c r="D5897" t="s">
        <v>4909</v>
      </c>
      <c r="E5897" t="s">
        <v>4909</v>
      </c>
      <c r="F5897" t="s">
        <v>4909</v>
      </c>
      <c r="G5897" t="s">
        <v>4909</v>
      </c>
      <c r="H5897" t="s">
        <v>4909</v>
      </c>
      <c r="I5897" t="s">
        <v>4909</v>
      </c>
      <c r="J5897" t="s">
        <v>4909</v>
      </c>
      <c r="K5897" t="s">
        <v>4909</v>
      </c>
    </row>
    <row r="5898" spans="1:11" x14ac:dyDescent="0.2">
      <c r="A5898" t="s">
        <v>2030</v>
      </c>
      <c r="B5898" t="s">
        <v>4909</v>
      </c>
      <c r="C5898" t="s">
        <v>4909</v>
      </c>
      <c r="D5898" t="s">
        <v>4909</v>
      </c>
      <c r="E5898" t="s">
        <v>4909</v>
      </c>
      <c r="F5898" t="s">
        <v>4909</v>
      </c>
      <c r="G5898" t="s">
        <v>4909</v>
      </c>
      <c r="H5898" t="s">
        <v>4909</v>
      </c>
      <c r="I5898" t="s">
        <v>4909</v>
      </c>
      <c r="J5898" t="s">
        <v>4909</v>
      </c>
      <c r="K5898" t="s">
        <v>4909</v>
      </c>
    </row>
    <row r="5899" spans="1:11" x14ac:dyDescent="0.2">
      <c r="A5899" t="s">
        <v>2035</v>
      </c>
      <c r="B5899" t="s">
        <v>4909</v>
      </c>
      <c r="C5899" t="s">
        <v>4909</v>
      </c>
      <c r="D5899" t="s">
        <v>4909</v>
      </c>
      <c r="E5899" t="s">
        <v>4909</v>
      </c>
      <c r="F5899" t="s">
        <v>4909</v>
      </c>
      <c r="G5899" t="s">
        <v>4909</v>
      </c>
      <c r="H5899" t="s">
        <v>4909</v>
      </c>
      <c r="I5899" t="s">
        <v>4909</v>
      </c>
      <c r="J5899" t="s">
        <v>4909</v>
      </c>
      <c r="K5899" t="s">
        <v>4909</v>
      </c>
    </row>
    <row r="5900" spans="1:11" x14ac:dyDescent="0.2">
      <c r="A5900" t="s">
        <v>2040</v>
      </c>
      <c r="B5900" t="s">
        <v>4909</v>
      </c>
      <c r="C5900" t="s">
        <v>4909</v>
      </c>
      <c r="D5900" t="s">
        <v>4909</v>
      </c>
      <c r="E5900" t="s">
        <v>4909</v>
      </c>
      <c r="F5900" t="s">
        <v>4909</v>
      </c>
      <c r="G5900" t="s">
        <v>4909</v>
      </c>
      <c r="H5900" t="s">
        <v>4909</v>
      </c>
      <c r="I5900" t="s">
        <v>4909</v>
      </c>
      <c r="J5900" t="s">
        <v>4909</v>
      </c>
      <c r="K5900" t="s">
        <v>4909</v>
      </c>
    </row>
    <row r="5901" spans="1:11" x14ac:dyDescent="0.2">
      <c r="A5901" t="s">
        <v>2045</v>
      </c>
      <c r="B5901" t="s">
        <v>4909</v>
      </c>
      <c r="C5901" t="s">
        <v>4909</v>
      </c>
      <c r="D5901" t="s">
        <v>4909</v>
      </c>
      <c r="E5901" t="s">
        <v>4909</v>
      </c>
      <c r="F5901" t="s">
        <v>4909</v>
      </c>
      <c r="G5901" t="s">
        <v>4909</v>
      </c>
      <c r="H5901" t="s">
        <v>4909</v>
      </c>
      <c r="I5901" t="s">
        <v>4909</v>
      </c>
      <c r="J5901" t="s">
        <v>4909</v>
      </c>
      <c r="K5901" t="s">
        <v>4909</v>
      </c>
    </row>
    <row r="5902" spans="1:11" x14ac:dyDescent="0.2">
      <c r="A5902" t="s">
        <v>2049</v>
      </c>
      <c r="B5902" t="s">
        <v>4909</v>
      </c>
      <c r="C5902" t="s">
        <v>4909</v>
      </c>
      <c r="D5902" t="s">
        <v>4909</v>
      </c>
      <c r="E5902" t="s">
        <v>4909</v>
      </c>
      <c r="F5902" t="s">
        <v>4909</v>
      </c>
      <c r="G5902" t="s">
        <v>4909</v>
      </c>
      <c r="H5902" t="s">
        <v>4909</v>
      </c>
      <c r="I5902" t="s">
        <v>4909</v>
      </c>
      <c r="J5902" t="s">
        <v>4909</v>
      </c>
      <c r="K5902" t="s">
        <v>4909</v>
      </c>
    </row>
    <row r="5903" spans="1:11" x14ac:dyDescent="0.2">
      <c r="A5903" t="s">
        <v>2051</v>
      </c>
      <c r="B5903" t="s">
        <v>4909</v>
      </c>
      <c r="C5903" t="s">
        <v>4909</v>
      </c>
      <c r="D5903" t="s">
        <v>4909</v>
      </c>
      <c r="E5903" s="88">
        <v>0</v>
      </c>
      <c r="F5903" s="88">
        <v>4.0000000000000001E-3</v>
      </c>
      <c r="G5903" t="s">
        <v>4909</v>
      </c>
      <c r="H5903" t="s">
        <v>4909</v>
      </c>
      <c r="I5903" t="s">
        <v>4909</v>
      </c>
      <c r="J5903" t="s">
        <v>4909</v>
      </c>
      <c r="K5903" t="s">
        <v>4909</v>
      </c>
    </row>
    <row r="5904" spans="1:11" x14ac:dyDescent="0.2">
      <c r="A5904" t="s">
        <v>2057</v>
      </c>
      <c r="B5904" t="s">
        <v>4909</v>
      </c>
      <c r="C5904" t="s">
        <v>4909</v>
      </c>
      <c r="D5904" s="88">
        <v>0</v>
      </c>
      <c r="E5904" s="88">
        <v>0</v>
      </c>
      <c r="F5904" s="88">
        <v>4.0000000000000001E-3</v>
      </c>
      <c r="G5904" t="s">
        <v>4909</v>
      </c>
      <c r="H5904" t="s">
        <v>4909</v>
      </c>
      <c r="I5904" s="88">
        <v>0</v>
      </c>
      <c r="J5904" t="s">
        <v>4909</v>
      </c>
      <c r="K5904" t="s">
        <v>4909</v>
      </c>
    </row>
    <row r="5905" spans="1:11" x14ac:dyDescent="0.2">
      <c r="A5905" t="s">
        <v>4344</v>
      </c>
      <c r="B5905" t="s">
        <v>4909</v>
      </c>
      <c r="C5905" t="s">
        <v>4909</v>
      </c>
      <c r="D5905" t="s">
        <v>4909</v>
      </c>
      <c r="E5905" s="88">
        <v>0</v>
      </c>
      <c r="F5905" s="88">
        <v>5.0000000000000001E-3</v>
      </c>
      <c r="G5905" t="s">
        <v>4909</v>
      </c>
      <c r="H5905" t="s">
        <v>4909</v>
      </c>
      <c r="I5905" t="s">
        <v>4909</v>
      </c>
      <c r="J5905" t="s">
        <v>4909</v>
      </c>
      <c r="K5905" t="s">
        <v>4909</v>
      </c>
    </row>
    <row r="5906" spans="1:11" x14ac:dyDescent="0.2">
      <c r="A5906" t="s">
        <v>4345</v>
      </c>
      <c r="B5906" t="s">
        <v>4909</v>
      </c>
      <c r="C5906" t="s">
        <v>4909</v>
      </c>
      <c r="D5906" s="88">
        <v>0</v>
      </c>
      <c r="E5906" s="88">
        <v>0</v>
      </c>
      <c r="F5906" s="88">
        <v>4.0000000000000001E-3</v>
      </c>
      <c r="G5906" t="s">
        <v>4909</v>
      </c>
      <c r="H5906" t="s">
        <v>4909</v>
      </c>
      <c r="I5906" s="88">
        <v>0</v>
      </c>
      <c r="J5906" t="s">
        <v>4909</v>
      </c>
      <c r="K5906" t="s">
        <v>4909</v>
      </c>
    </row>
    <row r="5907" spans="1:11" x14ac:dyDescent="0.2">
      <c r="A5907" t="s">
        <v>2074</v>
      </c>
      <c r="B5907" t="s">
        <v>4909</v>
      </c>
      <c r="C5907" t="s">
        <v>4909</v>
      </c>
      <c r="D5907" t="s">
        <v>4909</v>
      </c>
      <c r="E5907" t="s">
        <v>4909</v>
      </c>
      <c r="F5907" t="s">
        <v>4909</v>
      </c>
      <c r="G5907" t="s">
        <v>4909</v>
      </c>
      <c r="H5907" t="s">
        <v>4909</v>
      </c>
      <c r="I5907" t="s">
        <v>4909</v>
      </c>
      <c r="J5907" t="s">
        <v>4909</v>
      </c>
      <c r="K5907" t="s">
        <v>4909</v>
      </c>
    </row>
    <row r="5908" spans="1:11" x14ac:dyDescent="0.2">
      <c r="A5908" t="s">
        <v>2079</v>
      </c>
      <c r="B5908" t="s">
        <v>4909</v>
      </c>
      <c r="C5908" t="s">
        <v>4909</v>
      </c>
      <c r="D5908" t="s">
        <v>4909</v>
      </c>
      <c r="E5908" t="s">
        <v>4909</v>
      </c>
      <c r="F5908" t="s">
        <v>4909</v>
      </c>
      <c r="G5908" t="s">
        <v>4909</v>
      </c>
      <c r="H5908" t="s">
        <v>4909</v>
      </c>
      <c r="I5908" t="s">
        <v>4909</v>
      </c>
      <c r="J5908" t="s">
        <v>4909</v>
      </c>
      <c r="K5908" t="s">
        <v>4909</v>
      </c>
    </row>
    <row r="5909" spans="1:11" x14ac:dyDescent="0.2">
      <c r="A5909" t="s">
        <v>2085</v>
      </c>
      <c r="B5909" t="s">
        <v>4909</v>
      </c>
      <c r="C5909" t="s">
        <v>4909</v>
      </c>
      <c r="D5909" t="s">
        <v>4909</v>
      </c>
      <c r="E5909" t="s">
        <v>4909</v>
      </c>
      <c r="F5909" t="s">
        <v>4909</v>
      </c>
      <c r="G5909" t="s">
        <v>4909</v>
      </c>
      <c r="H5909" t="s">
        <v>4909</v>
      </c>
      <c r="I5909" t="s">
        <v>4909</v>
      </c>
      <c r="J5909" t="s">
        <v>4909</v>
      </c>
      <c r="K5909" t="s">
        <v>4909</v>
      </c>
    </row>
    <row r="5910" spans="1:11" x14ac:dyDescent="0.2">
      <c r="A5910" t="s">
        <v>2091</v>
      </c>
      <c r="B5910" t="s">
        <v>4909</v>
      </c>
      <c r="C5910" t="s">
        <v>4909</v>
      </c>
      <c r="D5910" t="s">
        <v>4909</v>
      </c>
      <c r="E5910" t="s">
        <v>4909</v>
      </c>
      <c r="F5910" t="s">
        <v>4909</v>
      </c>
      <c r="G5910" t="s">
        <v>4909</v>
      </c>
      <c r="H5910" t="s">
        <v>4909</v>
      </c>
      <c r="I5910" t="s">
        <v>4909</v>
      </c>
      <c r="J5910" t="s">
        <v>4909</v>
      </c>
      <c r="K5910" t="s">
        <v>4909</v>
      </c>
    </row>
    <row r="5911" spans="1:11" x14ac:dyDescent="0.2">
      <c r="A5911" t="s">
        <v>2097</v>
      </c>
      <c r="B5911" t="s">
        <v>4909</v>
      </c>
      <c r="C5911" t="s">
        <v>4909</v>
      </c>
      <c r="D5911" t="s">
        <v>4909</v>
      </c>
      <c r="E5911" t="s">
        <v>4909</v>
      </c>
      <c r="F5911" t="s">
        <v>4909</v>
      </c>
      <c r="G5911" t="s">
        <v>4909</v>
      </c>
      <c r="H5911" t="s">
        <v>4909</v>
      </c>
      <c r="I5911" t="s">
        <v>4909</v>
      </c>
      <c r="J5911" t="s">
        <v>4909</v>
      </c>
      <c r="K5911" t="s">
        <v>4909</v>
      </c>
    </row>
    <row r="5912" spans="1:11" x14ac:dyDescent="0.2">
      <c r="A5912" t="s">
        <v>2101</v>
      </c>
      <c r="B5912" t="s">
        <v>4909</v>
      </c>
      <c r="C5912" t="s">
        <v>4909</v>
      </c>
      <c r="D5912" t="s">
        <v>4909</v>
      </c>
      <c r="E5912" t="s">
        <v>4909</v>
      </c>
      <c r="F5912" t="s">
        <v>4909</v>
      </c>
      <c r="G5912" t="s">
        <v>4909</v>
      </c>
      <c r="H5912" t="s">
        <v>4909</v>
      </c>
      <c r="I5912" t="s">
        <v>4909</v>
      </c>
      <c r="J5912" t="s">
        <v>4909</v>
      </c>
      <c r="K5912" t="s">
        <v>4909</v>
      </c>
    </row>
    <row r="5913" spans="1:11" x14ac:dyDescent="0.2">
      <c r="A5913" t="s">
        <v>2104</v>
      </c>
      <c r="B5913" t="s">
        <v>4909</v>
      </c>
      <c r="C5913" t="s">
        <v>4909</v>
      </c>
      <c r="D5913" t="s">
        <v>4909</v>
      </c>
      <c r="E5913" t="s">
        <v>4909</v>
      </c>
      <c r="F5913" t="s">
        <v>4909</v>
      </c>
      <c r="G5913" t="s">
        <v>4909</v>
      </c>
      <c r="H5913" t="s">
        <v>4909</v>
      </c>
      <c r="I5913" t="s">
        <v>4909</v>
      </c>
      <c r="J5913" t="s">
        <v>4909</v>
      </c>
      <c r="K5913" t="s">
        <v>4909</v>
      </c>
    </row>
    <row r="5914" spans="1:11" x14ac:dyDescent="0.2">
      <c r="A5914" t="s">
        <v>2107</v>
      </c>
      <c r="B5914" t="s">
        <v>4909</v>
      </c>
      <c r="C5914" t="s">
        <v>4909</v>
      </c>
      <c r="D5914" t="s">
        <v>4909</v>
      </c>
      <c r="E5914" t="s">
        <v>4909</v>
      </c>
      <c r="F5914" t="s">
        <v>4909</v>
      </c>
      <c r="G5914" t="s">
        <v>4909</v>
      </c>
      <c r="H5914" t="s">
        <v>4909</v>
      </c>
      <c r="I5914" t="s">
        <v>4909</v>
      </c>
      <c r="J5914" t="s">
        <v>4909</v>
      </c>
      <c r="K5914" t="s">
        <v>4909</v>
      </c>
    </row>
    <row r="5915" spans="1:11" x14ac:dyDescent="0.2">
      <c r="A5915" t="s">
        <v>2110</v>
      </c>
      <c r="B5915" t="s">
        <v>4909</v>
      </c>
      <c r="C5915" t="s">
        <v>4909</v>
      </c>
      <c r="D5915" t="s">
        <v>4909</v>
      </c>
      <c r="E5915" t="s">
        <v>4909</v>
      </c>
      <c r="F5915" t="s">
        <v>4909</v>
      </c>
      <c r="G5915" t="s">
        <v>4909</v>
      </c>
      <c r="H5915" t="s">
        <v>4909</v>
      </c>
      <c r="I5915" t="s">
        <v>4909</v>
      </c>
      <c r="J5915" t="s">
        <v>4909</v>
      </c>
      <c r="K5915" t="s">
        <v>4909</v>
      </c>
    </row>
    <row r="5916" spans="1:11" x14ac:dyDescent="0.2">
      <c r="A5916" t="s">
        <v>2113</v>
      </c>
      <c r="B5916" t="s">
        <v>4909</v>
      </c>
      <c r="C5916" t="s">
        <v>4909</v>
      </c>
      <c r="D5916" t="s">
        <v>4909</v>
      </c>
      <c r="E5916" t="s">
        <v>4909</v>
      </c>
      <c r="F5916" t="s">
        <v>4909</v>
      </c>
      <c r="G5916" t="s">
        <v>4909</v>
      </c>
      <c r="H5916" t="s">
        <v>4909</v>
      </c>
      <c r="I5916" t="s">
        <v>4909</v>
      </c>
      <c r="J5916" t="s">
        <v>4909</v>
      </c>
      <c r="K5916" t="s">
        <v>4909</v>
      </c>
    </row>
    <row r="5917" spans="1:11" x14ac:dyDescent="0.2">
      <c r="A5917" t="s">
        <v>4346</v>
      </c>
      <c r="B5917" t="s">
        <v>4909</v>
      </c>
      <c r="C5917" t="s">
        <v>4909</v>
      </c>
      <c r="D5917" t="s">
        <v>4909</v>
      </c>
      <c r="E5917" t="s">
        <v>4909</v>
      </c>
      <c r="F5917" t="s">
        <v>4909</v>
      </c>
      <c r="G5917" t="s">
        <v>4909</v>
      </c>
      <c r="H5917" t="s">
        <v>4909</v>
      </c>
      <c r="I5917" t="s">
        <v>4909</v>
      </c>
      <c r="J5917" t="s">
        <v>4909</v>
      </c>
      <c r="K5917" t="s">
        <v>4909</v>
      </c>
    </row>
    <row r="5918" spans="1:11" x14ac:dyDescent="0.2">
      <c r="A5918" t="s">
        <v>4347</v>
      </c>
      <c r="B5918" t="s">
        <v>4909</v>
      </c>
      <c r="C5918" t="s">
        <v>4909</v>
      </c>
      <c r="D5918" t="s">
        <v>4909</v>
      </c>
      <c r="E5918" t="s">
        <v>4909</v>
      </c>
      <c r="F5918" t="s">
        <v>4909</v>
      </c>
      <c r="G5918" t="s">
        <v>4909</v>
      </c>
      <c r="H5918" t="s">
        <v>4909</v>
      </c>
      <c r="I5918" t="s">
        <v>4909</v>
      </c>
      <c r="J5918" t="s">
        <v>4909</v>
      </c>
      <c r="K5918" t="s">
        <v>4909</v>
      </c>
    </row>
    <row r="5919" spans="1:11" x14ac:dyDescent="0.2">
      <c r="A5919" t="s">
        <v>4348</v>
      </c>
      <c r="B5919" t="s">
        <v>4909</v>
      </c>
      <c r="C5919" t="s">
        <v>4909</v>
      </c>
      <c r="D5919" t="s">
        <v>4909</v>
      </c>
      <c r="E5919" t="s">
        <v>4909</v>
      </c>
      <c r="F5919" t="s">
        <v>4909</v>
      </c>
      <c r="G5919" t="s">
        <v>4909</v>
      </c>
      <c r="H5919" t="s">
        <v>4909</v>
      </c>
      <c r="I5919" t="s">
        <v>4909</v>
      </c>
      <c r="J5919" t="s">
        <v>4909</v>
      </c>
      <c r="K5919" t="s">
        <v>4909</v>
      </c>
    </row>
    <row r="5920" spans="1:11" x14ac:dyDescent="0.2">
      <c r="A5920" t="s">
        <v>4349</v>
      </c>
      <c r="B5920" t="s">
        <v>4909</v>
      </c>
      <c r="C5920" t="s">
        <v>4909</v>
      </c>
      <c r="D5920" t="s">
        <v>4909</v>
      </c>
      <c r="E5920" t="s">
        <v>4909</v>
      </c>
      <c r="F5920" t="s">
        <v>4909</v>
      </c>
      <c r="G5920" t="s">
        <v>4909</v>
      </c>
      <c r="H5920" t="s">
        <v>4909</v>
      </c>
      <c r="I5920" t="s">
        <v>4909</v>
      </c>
      <c r="J5920" t="s">
        <v>4909</v>
      </c>
      <c r="K5920" t="s">
        <v>4909</v>
      </c>
    </row>
    <row r="5921" spans="1:11" x14ac:dyDescent="0.2">
      <c r="A5921" t="s">
        <v>4350</v>
      </c>
      <c r="B5921" t="s">
        <v>4909</v>
      </c>
      <c r="C5921" t="s">
        <v>4909</v>
      </c>
      <c r="D5921" t="s">
        <v>4909</v>
      </c>
      <c r="E5921" s="88">
        <v>0</v>
      </c>
      <c r="F5921" s="88">
        <v>0</v>
      </c>
      <c r="G5921" t="s">
        <v>4909</v>
      </c>
      <c r="H5921" t="s">
        <v>4909</v>
      </c>
      <c r="I5921" t="s">
        <v>4909</v>
      </c>
      <c r="J5921" t="s">
        <v>4909</v>
      </c>
      <c r="K5921" t="s">
        <v>4909</v>
      </c>
    </row>
    <row r="5922" spans="1:11" x14ac:dyDescent="0.2">
      <c r="A5922" t="s">
        <v>4351</v>
      </c>
      <c r="B5922" t="s">
        <v>4909</v>
      </c>
      <c r="C5922" t="s">
        <v>4909</v>
      </c>
      <c r="D5922" t="s">
        <v>4909</v>
      </c>
      <c r="E5922" t="s">
        <v>4909</v>
      </c>
      <c r="F5922" t="s">
        <v>4909</v>
      </c>
      <c r="G5922" t="s">
        <v>4909</v>
      </c>
      <c r="H5922" t="s">
        <v>4909</v>
      </c>
      <c r="I5922" t="s">
        <v>4909</v>
      </c>
      <c r="J5922" t="s">
        <v>4909</v>
      </c>
      <c r="K5922" t="s">
        <v>4909</v>
      </c>
    </row>
    <row r="5923" spans="1:11" x14ac:dyDescent="0.2">
      <c r="A5923" t="s">
        <v>4352</v>
      </c>
      <c r="B5923" t="s">
        <v>4909</v>
      </c>
      <c r="C5923" t="s">
        <v>4909</v>
      </c>
      <c r="D5923" t="s">
        <v>4909</v>
      </c>
      <c r="E5923" t="s">
        <v>4909</v>
      </c>
      <c r="F5923" t="s">
        <v>4909</v>
      </c>
      <c r="G5923" t="s">
        <v>4909</v>
      </c>
      <c r="H5923" t="s">
        <v>4909</v>
      </c>
      <c r="I5923" t="s">
        <v>4909</v>
      </c>
      <c r="J5923" t="s">
        <v>4909</v>
      </c>
      <c r="K5923" t="s">
        <v>4909</v>
      </c>
    </row>
    <row r="5924" spans="1:11" x14ac:dyDescent="0.2">
      <c r="A5924" t="s">
        <v>4353</v>
      </c>
      <c r="B5924" t="s">
        <v>4909</v>
      </c>
      <c r="C5924" t="s">
        <v>4909</v>
      </c>
      <c r="D5924" s="88">
        <v>1E-3</v>
      </c>
      <c r="E5924" s="88">
        <v>1.2999999999999999E-2</v>
      </c>
      <c r="F5924" s="88">
        <v>6.3E-2</v>
      </c>
      <c r="G5924" t="s">
        <v>4909</v>
      </c>
      <c r="H5924" t="s">
        <v>4909</v>
      </c>
      <c r="I5924" s="88">
        <v>1E-3</v>
      </c>
      <c r="J5924" t="s">
        <v>4909</v>
      </c>
      <c r="K5924" t="s">
        <v>4909</v>
      </c>
    </row>
    <row r="5925" spans="1:11" x14ac:dyDescent="0.2">
      <c r="A5925" t="s">
        <v>4354</v>
      </c>
      <c r="B5925" t="s">
        <v>4909</v>
      </c>
      <c r="C5925" t="s">
        <v>4909</v>
      </c>
      <c r="D5925" s="88">
        <v>2E-3</v>
      </c>
      <c r="E5925" s="88">
        <v>1.4999999999999999E-2</v>
      </c>
      <c r="F5925" s="88">
        <v>6.3E-2</v>
      </c>
      <c r="G5925" t="s">
        <v>4909</v>
      </c>
      <c r="H5925" s="88">
        <v>0</v>
      </c>
      <c r="I5925" s="88">
        <v>2E-3</v>
      </c>
      <c r="J5925" t="s">
        <v>4909</v>
      </c>
      <c r="K5925" t="s">
        <v>4909</v>
      </c>
    </row>
    <row r="5926" spans="1:11" x14ac:dyDescent="0.2">
      <c r="A5926" t="s">
        <v>4355</v>
      </c>
      <c r="B5926" t="s">
        <v>4909</v>
      </c>
      <c r="C5926" t="s">
        <v>4909</v>
      </c>
      <c r="D5926" t="s">
        <v>4909</v>
      </c>
      <c r="E5926" t="s">
        <v>4909</v>
      </c>
      <c r="F5926" t="s">
        <v>4909</v>
      </c>
      <c r="G5926" t="s">
        <v>4909</v>
      </c>
      <c r="H5926" t="s">
        <v>4909</v>
      </c>
      <c r="I5926" t="s">
        <v>4909</v>
      </c>
      <c r="J5926" t="s">
        <v>4909</v>
      </c>
      <c r="K5926" t="s">
        <v>4909</v>
      </c>
    </row>
    <row r="5927" spans="1:11" x14ac:dyDescent="0.2">
      <c r="A5927" t="s">
        <v>4356</v>
      </c>
      <c r="B5927" t="s">
        <v>4909</v>
      </c>
      <c r="C5927" t="s">
        <v>4909</v>
      </c>
      <c r="D5927" t="s">
        <v>4909</v>
      </c>
      <c r="E5927" t="s">
        <v>4909</v>
      </c>
      <c r="F5927" t="s">
        <v>4909</v>
      </c>
      <c r="G5927" t="s">
        <v>4909</v>
      </c>
      <c r="H5927" t="s">
        <v>4909</v>
      </c>
      <c r="I5927" t="s">
        <v>4909</v>
      </c>
      <c r="J5927" t="s">
        <v>4909</v>
      </c>
      <c r="K5927" t="s">
        <v>4909</v>
      </c>
    </row>
    <row r="5928" spans="1:11" x14ac:dyDescent="0.2">
      <c r="A5928" t="s">
        <v>4357</v>
      </c>
      <c r="B5928" t="s">
        <v>4909</v>
      </c>
      <c r="C5928" t="s">
        <v>4909</v>
      </c>
      <c r="D5928" t="s">
        <v>4909</v>
      </c>
      <c r="E5928" t="s">
        <v>4909</v>
      </c>
      <c r="F5928" s="88">
        <v>0</v>
      </c>
      <c r="G5928" t="s">
        <v>4909</v>
      </c>
      <c r="H5928" t="s">
        <v>4909</v>
      </c>
      <c r="I5928" t="s">
        <v>4909</v>
      </c>
      <c r="J5928" t="s">
        <v>4909</v>
      </c>
      <c r="K5928" t="s">
        <v>4909</v>
      </c>
    </row>
    <row r="5929" spans="1:11" x14ac:dyDescent="0.2">
      <c r="A5929" t="s">
        <v>4358</v>
      </c>
      <c r="B5929" t="s">
        <v>4909</v>
      </c>
      <c r="C5929" t="s">
        <v>4909</v>
      </c>
      <c r="D5929" t="s">
        <v>4909</v>
      </c>
      <c r="E5929" s="88">
        <v>0</v>
      </c>
      <c r="F5929" s="88">
        <v>0</v>
      </c>
      <c r="G5929" t="s">
        <v>4909</v>
      </c>
      <c r="H5929" t="s">
        <v>4909</v>
      </c>
      <c r="I5929" t="s">
        <v>4909</v>
      </c>
      <c r="J5929" t="s">
        <v>4909</v>
      </c>
      <c r="K5929" t="s">
        <v>4909</v>
      </c>
    </row>
    <row r="5930" spans="1:11" x14ac:dyDescent="0.2">
      <c r="A5930" t="s">
        <v>4359</v>
      </c>
      <c r="B5930" t="s">
        <v>4909</v>
      </c>
      <c r="C5930" t="s">
        <v>4909</v>
      </c>
      <c r="D5930" t="s">
        <v>4909</v>
      </c>
      <c r="E5930" t="s">
        <v>4909</v>
      </c>
      <c r="F5930" t="s">
        <v>4909</v>
      </c>
      <c r="G5930" t="s">
        <v>4909</v>
      </c>
      <c r="H5930" t="s">
        <v>4909</v>
      </c>
      <c r="I5930" t="s">
        <v>4909</v>
      </c>
      <c r="J5930" t="s">
        <v>4909</v>
      </c>
      <c r="K5930" t="s">
        <v>4909</v>
      </c>
    </row>
    <row r="5931" spans="1:11" x14ac:dyDescent="0.2">
      <c r="A5931" t="s">
        <v>4360</v>
      </c>
      <c r="B5931" t="s">
        <v>4909</v>
      </c>
      <c r="C5931" t="s">
        <v>4909</v>
      </c>
      <c r="D5931" s="88">
        <v>0</v>
      </c>
      <c r="E5931" s="88">
        <v>1E-3</v>
      </c>
      <c r="F5931" s="88">
        <v>8.0000000000000002E-3</v>
      </c>
      <c r="G5931" t="s">
        <v>4909</v>
      </c>
      <c r="H5931" t="s">
        <v>4909</v>
      </c>
      <c r="I5931" t="s">
        <v>4909</v>
      </c>
      <c r="J5931" t="s">
        <v>4909</v>
      </c>
      <c r="K5931" t="s">
        <v>4909</v>
      </c>
    </row>
    <row r="5932" spans="1:11" x14ac:dyDescent="0.2">
      <c r="A5932" t="s">
        <v>4361</v>
      </c>
      <c r="B5932" t="s">
        <v>4909</v>
      </c>
      <c r="C5932" t="s">
        <v>4909</v>
      </c>
      <c r="D5932" s="88">
        <v>0</v>
      </c>
      <c r="E5932" s="88">
        <v>1E-3</v>
      </c>
      <c r="F5932" s="88">
        <v>6.0000000000000001E-3</v>
      </c>
      <c r="G5932" t="s">
        <v>4909</v>
      </c>
      <c r="H5932" t="s">
        <v>4909</v>
      </c>
      <c r="I5932" s="88">
        <v>0</v>
      </c>
      <c r="J5932" t="s">
        <v>4909</v>
      </c>
      <c r="K5932" t="s">
        <v>4909</v>
      </c>
    </row>
    <row r="5933" spans="1:11" x14ac:dyDescent="0.2">
      <c r="A5933" t="s">
        <v>4362</v>
      </c>
      <c r="B5933" t="s">
        <v>4909</v>
      </c>
      <c r="C5933" t="s">
        <v>4909</v>
      </c>
      <c r="D5933" t="s">
        <v>4909</v>
      </c>
      <c r="E5933" t="s">
        <v>4909</v>
      </c>
      <c r="F5933" t="s">
        <v>4909</v>
      </c>
      <c r="G5933" t="s">
        <v>4909</v>
      </c>
      <c r="H5933" t="s">
        <v>4909</v>
      </c>
      <c r="I5933" t="s">
        <v>4909</v>
      </c>
      <c r="J5933" t="s">
        <v>4909</v>
      </c>
      <c r="K5933" t="s">
        <v>4909</v>
      </c>
    </row>
    <row r="5934" spans="1:11" x14ac:dyDescent="0.2">
      <c r="A5934" t="s">
        <v>4363</v>
      </c>
      <c r="B5934" t="s">
        <v>4909</v>
      </c>
      <c r="C5934" t="s">
        <v>4909</v>
      </c>
      <c r="D5934" t="s">
        <v>4909</v>
      </c>
      <c r="E5934" t="s">
        <v>4909</v>
      </c>
      <c r="F5934" t="s">
        <v>4909</v>
      </c>
      <c r="G5934" t="s">
        <v>4909</v>
      </c>
      <c r="H5934" t="s">
        <v>4909</v>
      </c>
      <c r="I5934" t="s">
        <v>4909</v>
      </c>
      <c r="J5934" t="s">
        <v>4909</v>
      </c>
      <c r="K5934" t="s">
        <v>4909</v>
      </c>
    </row>
    <row r="5935" spans="1:11" x14ac:dyDescent="0.2">
      <c r="A5935" t="s">
        <v>4364</v>
      </c>
      <c r="B5935" t="s">
        <v>4909</v>
      </c>
      <c r="C5935" t="s">
        <v>4909</v>
      </c>
      <c r="D5935" t="s">
        <v>4909</v>
      </c>
      <c r="E5935" t="s">
        <v>4909</v>
      </c>
      <c r="F5935" t="s">
        <v>4909</v>
      </c>
      <c r="G5935" t="s">
        <v>4909</v>
      </c>
      <c r="H5935" t="s">
        <v>4909</v>
      </c>
      <c r="I5935" t="s">
        <v>4909</v>
      </c>
      <c r="J5935" t="s">
        <v>4909</v>
      </c>
      <c r="K5935" t="s">
        <v>4909</v>
      </c>
    </row>
    <row r="5936" spans="1:11" x14ac:dyDescent="0.2">
      <c r="A5936" t="s">
        <v>4365</v>
      </c>
      <c r="B5936" t="s">
        <v>4909</v>
      </c>
      <c r="C5936" t="s">
        <v>4909</v>
      </c>
      <c r="D5936" s="88">
        <v>0</v>
      </c>
      <c r="E5936" s="88">
        <v>4.0000000000000001E-3</v>
      </c>
      <c r="F5936" s="88">
        <v>2E-3</v>
      </c>
      <c r="G5936" t="s">
        <v>4909</v>
      </c>
      <c r="H5936" t="s">
        <v>4909</v>
      </c>
      <c r="I5936" s="88">
        <v>0</v>
      </c>
      <c r="J5936" t="s">
        <v>4909</v>
      </c>
      <c r="K5936" t="s">
        <v>4909</v>
      </c>
    </row>
    <row r="5937" spans="1:11" x14ac:dyDescent="0.2">
      <c r="A5937" t="s">
        <v>4366</v>
      </c>
      <c r="B5937" t="s">
        <v>4909</v>
      </c>
      <c r="C5937" t="s">
        <v>4909</v>
      </c>
      <c r="D5937" t="s">
        <v>4909</v>
      </c>
      <c r="E5937" t="s">
        <v>4909</v>
      </c>
      <c r="F5937" t="s">
        <v>4909</v>
      </c>
      <c r="G5937" t="s">
        <v>4909</v>
      </c>
      <c r="H5937" t="s">
        <v>4909</v>
      </c>
      <c r="I5937" t="s">
        <v>4909</v>
      </c>
      <c r="J5937" t="s">
        <v>4909</v>
      </c>
      <c r="K5937" t="s">
        <v>4909</v>
      </c>
    </row>
    <row r="5938" spans="1:11" x14ac:dyDescent="0.2">
      <c r="A5938" t="s">
        <v>4367</v>
      </c>
      <c r="B5938" t="s">
        <v>4909</v>
      </c>
      <c r="C5938" s="88">
        <v>0</v>
      </c>
      <c r="D5938" s="88">
        <v>0</v>
      </c>
      <c r="E5938" s="88">
        <v>1E-3</v>
      </c>
      <c r="F5938" s="88">
        <v>0</v>
      </c>
      <c r="G5938" t="s">
        <v>4909</v>
      </c>
      <c r="H5938" t="s">
        <v>4909</v>
      </c>
      <c r="I5938" s="88">
        <v>0</v>
      </c>
      <c r="J5938" t="s">
        <v>4909</v>
      </c>
      <c r="K5938" t="s">
        <v>4909</v>
      </c>
    </row>
    <row r="5939" spans="1:11" x14ac:dyDescent="0.2">
      <c r="A5939" t="s">
        <v>4368</v>
      </c>
      <c r="B5939" t="s">
        <v>4909</v>
      </c>
      <c r="C5939" s="88">
        <v>0</v>
      </c>
      <c r="D5939" s="88">
        <v>0</v>
      </c>
      <c r="E5939" s="88">
        <v>2.7E-2</v>
      </c>
      <c r="F5939" s="88">
        <v>1.4999999999999999E-2</v>
      </c>
      <c r="G5939" t="s">
        <v>4909</v>
      </c>
      <c r="H5939" s="88">
        <v>0</v>
      </c>
      <c r="I5939" s="88">
        <v>4.0000000000000001E-3</v>
      </c>
      <c r="J5939" t="s">
        <v>4909</v>
      </c>
      <c r="K5939" t="s">
        <v>4909</v>
      </c>
    </row>
    <row r="5940" spans="1:11" x14ac:dyDescent="0.2">
      <c r="A5940" t="s">
        <v>4369</v>
      </c>
      <c r="B5940" t="s">
        <v>4909</v>
      </c>
      <c r="C5940" s="88">
        <v>0</v>
      </c>
      <c r="D5940" s="88">
        <v>0</v>
      </c>
      <c r="E5940" s="88">
        <v>2.4E-2</v>
      </c>
      <c r="F5940" s="88">
        <v>1.2999999999999999E-2</v>
      </c>
      <c r="G5940" t="s">
        <v>4909</v>
      </c>
      <c r="H5940" s="88">
        <v>0</v>
      </c>
      <c r="I5940" s="88">
        <v>3.0000000000000001E-3</v>
      </c>
      <c r="J5940" t="s">
        <v>4909</v>
      </c>
      <c r="K5940" t="s">
        <v>4909</v>
      </c>
    </row>
    <row r="5941" spans="1:11" x14ac:dyDescent="0.2">
      <c r="A5941" t="s">
        <v>4370</v>
      </c>
      <c r="B5941" t="s">
        <v>4909</v>
      </c>
      <c r="C5941" t="s">
        <v>4909</v>
      </c>
      <c r="D5941" t="s">
        <v>4909</v>
      </c>
      <c r="E5941" s="88">
        <v>1E-3</v>
      </c>
      <c r="F5941" t="s">
        <v>4909</v>
      </c>
      <c r="G5941" t="s">
        <v>4909</v>
      </c>
      <c r="H5941" t="s">
        <v>4909</v>
      </c>
      <c r="I5941" t="s">
        <v>4909</v>
      </c>
      <c r="J5941" t="s">
        <v>4909</v>
      </c>
      <c r="K5941" t="s">
        <v>4909</v>
      </c>
    </row>
    <row r="5942" spans="1:11" x14ac:dyDescent="0.2">
      <c r="A5942" t="s">
        <v>4371</v>
      </c>
      <c r="B5942" t="s">
        <v>4909</v>
      </c>
      <c r="C5942" t="s">
        <v>4909</v>
      </c>
      <c r="D5942" t="s">
        <v>4909</v>
      </c>
      <c r="E5942" s="88">
        <v>2E-3</v>
      </c>
      <c r="F5942" s="88">
        <v>2E-3</v>
      </c>
      <c r="G5942" t="s">
        <v>4909</v>
      </c>
      <c r="H5942" t="s">
        <v>4909</v>
      </c>
      <c r="I5942" t="s">
        <v>4909</v>
      </c>
      <c r="J5942" t="s">
        <v>4909</v>
      </c>
      <c r="K5942" t="s">
        <v>4909</v>
      </c>
    </row>
    <row r="5943" spans="1:11" x14ac:dyDescent="0.2">
      <c r="A5943" t="s">
        <v>4372</v>
      </c>
      <c r="B5943" t="s">
        <v>4909</v>
      </c>
      <c r="C5943" t="s">
        <v>4909</v>
      </c>
      <c r="D5943" t="s">
        <v>4909</v>
      </c>
      <c r="E5943" t="s">
        <v>4909</v>
      </c>
      <c r="F5943" t="s">
        <v>4909</v>
      </c>
      <c r="G5943" t="s">
        <v>4909</v>
      </c>
      <c r="H5943" t="s">
        <v>4909</v>
      </c>
      <c r="I5943" t="s">
        <v>4909</v>
      </c>
      <c r="J5943" t="s">
        <v>4909</v>
      </c>
      <c r="K5943" t="s">
        <v>4909</v>
      </c>
    </row>
    <row r="5944" spans="1:11" x14ac:dyDescent="0.2">
      <c r="A5944" t="s">
        <v>4373</v>
      </c>
      <c r="B5944" t="s">
        <v>4909</v>
      </c>
      <c r="C5944" t="s">
        <v>4909</v>
      </c>
      <c r="D5944" t="s">
        <v>4909</v>
      </c>
      <c r="E5944" t="s">
        <v>4909</v>
      </c>
      <c r="F5944" t="s">
        <v>4909</v>
      </c>
      <c r="G5944" t="s">
        <v>4909</v>
      </c>
      <c r="H5944" t="s">
        <v>4909</v>
      </c>
      <c r="I5944" t="s">
        <v>4909</v>
      </c>
      <c r="J5944" t="s">
        <v>4909</v>
      </c>
      <c r="K5944" t="s">
        <v>4909</v>
      </c>
    </row>
    <row r="5945" spans="1:11" x14ac:dyDescent="0.2">
      <c r="A5945" t="s">
        <v>4374</v>
      </c>
      <c r="B5945" t="s">
        <v>4909</v>
      </c>
      <c r="C5945" t="s">
        <v>4909</v>
      </c>
      <c r="D5945" t="s">
        <v>4909</v>
      </c>
      <c r="E5945" t="s">
        <v>4909</v>
      </c>
      <c r="F5945" t="s">
        <v>4909</v>
      </c>
      <c r="G5945" t="s">
        <v>4909</v>
      </c>
      <c r="H5945" t="s">
        <v>4909</v>
      </c>
      <c r="I5945" t="s">
        <v>4909</v>
      </c>
      <c r="J5945" t="s">
        <v>4909</v>
      </c>
      <c r="K5945" t="s">
        <v>4909</v>
      </c>
    </row>
    <row r="5946" spans="1:11" x14ac:dyDescent="0.2">
      <c r="A5946" t="s">
        <v>4375</v>
      </c>
      <c r="B5946" t="s">
        <v>4909</v>
      </c>
      <c r="C5946" t="s">
        <v>4909</v>
      </c>
      <c r="D5946" t="s">
        <v>4909</v>
      </c>
      <c r="E5946" t="s">
        <v>4909</v>
      </c>
      <c r="F5946" t="s">
        <v>4909</v>
      </c>
      <c r="G5946" t="s">
        <v>4909</v>
      </c>
      <c r="H5946" t="s">
        <v>4909</v>
      </c>
      <c r="I5946" t="s">
        <v>4909</v>
      </c>
      <c r="J5946" t="s">
        <v>4909</v>
      </c>
      <c r="K5946" t="s">
        <v>4909</v>
      </c>
    </row>
    <row r="5947" spans="1:11" x14ac:dyDescent="0.2">
      <c r="A5947" t="s">
        <v>4376</v>
      </c>
      <c r="B5947" t="s">
        <v>4909</v>
      </c>
      <c r="C5947" t="s">
        <v>4909</v>
      </c>
      <c r="D5947" t="s">
        <v>4909</v>
      </c>
      <c r="E5947" t="s">
        <v>4909</v>
      </c>
      <c r="F5947" t="s">
        <v>4909</v>
      </c>
      <c r="G5947" t="s">
        <v>4909</v>
      </c>
      <c r="H5947" t="s">
        <v>4909</v>
      </c>
      <c r="I5947" t="s">
        <v>4909</v>
      </c>
      <c r="J5947" t="s">
        <v>4909</v>
      </c>
      <c r="K5947" t="s">
        <v>4909</v>
      </c>
    </row>
    <row r="5948" spans="1:11" x14ac:dyDescent="0.2">
      <c r="A5948" t="s">
        <v>4377</v>
      </c>
      <c r="B5948" t="s">
        <v>4909</v>
      </c>
      <c r="C5948" t="s">
        <v>4909</v>
      </c>
      <c r="D5948" t="s">
        <v>4909</v>
      </c>
      <c r="E5948" t="s">
        <v>4909</v>
      </c>
      <c r="F5948" t="s">
        <v>4909</v>
      </c>
      <c r="G5948" t="s">
        <v>4909</v>
      </c>
      <c r="H5948" t="s">
        <v>4909</v>
      </c>
      <c r="I5948" t="s">
        <v>4909</v>
      </c>
      <c r="J5948" t="s">
        <v>4909</v>
      </c>
      <c r="K5948" t="s">
        <v>4909</v>
      </c>
    </row>
    <row r="5949" spans="1:11" x14ac:dyDescent="0.2">
      <c r="A5949" t="s">
        <v>2318</v>
      </c>
      <c r="B5949" t="s">
        <v>4399</v>
      </c>
      <c r="C5949" t="s">
        <v>4399</v>
      </c>
      <c r="D5949" t="s">
        <v>4399</v>
      </c>
      <c r="E5949" t="s">
        <v>4399</v>
      </c>
      <c r="F5949" t="s">
        <v>4399</v>
      </c>
      <c r="G5949" t="s">
        <v>4399</v>
      </c>
      <c r="H5949" t="s">
        <v>4399</v>
      </c>
      <c r="I5949" t="s">
        <v>4399</v>
      </c>
      <c r="J5949" t="s">
        <v>4399</v>
      </c>
      <c r="K5949" t="s">
        <v>4399</v>
      </c>
    </row>
    <row r="5950" spans="1:11" x14ac:dyDescent="0.2">
      <c r="A5950" t="s">
        <v>4248</v>
      </c>
    </row>
    <row r="5951" spans="1:11" x14ac:dyDescent="0.2">
      <c r="A5951" t="s">
        <v>4910</v>
      </c>
      <c r="B5951" t="s">
        <v>4904</v>
      </c>
      <c r="C5951" t="s">
        <v>4911</v>
      </c>
      <c r="D5951" t="s">
        <v>4912</v>
      </c>
      <c r="E5951" t="s">
        <v>4907</v>
      </c>
      <c r="F5951" t="s">
        <v>4913</v>
      </c>
      <c r="G5951">
        <v>5</v>
      </c>
    </row>
    <row r="5952" spans="1:11" x14ac:dyDescent="0.2">
      <c r="A5952" t="s">
        <v>2318</v>
      </c>
      <c r="B5952" t="s">
        <v>4399</v>
      </c>
      <c r="C5952" t="s">
        <v>4399</v>
      </c>
      <c r="D5952" t="s">
        <v>4399</v>
      </c>
      <c r="E5952" t="s">
        <v>4399</v>
      </c>
      <c r="F5952" t="s">
        <v>4399</v>
      </c>
      <c r="G5952" t="s">
        <v>4399</v>
      </c>
      <c r="H5952" t="s">
        <v>4399</v>
      </c>
      <c r="I5952" t="s">
        <v>4399</v>
      </c>
      <c r="J5952" t="s">
        <v>4399</v>
      </c>
      <c r="K5952" t="s">
        <v>4399</v>
      </c>
    </row>
    <row r="5953" spans="1:11" x14ac:dyDescent="0.2">
      <c r="A5953" t="s">
        <v>126</v>
      </c>
      <c r="B5953" t="s">
        <v>4540</v>
      </c>
      <c r="C5953" t="s">
        <v>4544</v>
      </c>
      <c r="D5953" t="s">
        <v>4548</v>
      </c>
      <c r="E5953" t="s">
        <v>4552</v>
      </c>
      <c r="F5953" t="s">
        <v>4556</v>
      </c>
      <c r="G5953" t="s">
        <v>4560</v>
      </c>
      <c r="H5953" t="s">
        <v>419</v>
      </c>
      <c r="I5953" t="s">
        <v>420</v>
      </c>
      <c r="J5953" t="s">
        <v>4570</v>
      </c>
      <c r="K5953" t="s">
        <v>4574</v>
      </c>
    </row>
    <row r="5954" spans="1:11" x14ac:dyDescent="0.2">
      <c r="A5954" t="s">
        <v>2318</v>
      </c>
      <c r="B5954" t="s">
        <v>4399</v>
      </c>
      <c r="C5954" t="s">
        <v>4399</v>
      </c>
      <c r="D5954" t="s">
        <v>4399</v>
      </c>
      <c r="E5954" t="s">
        <v>4399</v>
      </c>
      <c r="F5954" t="s">
        <v>4399</v>
      </c>
      <c r="G5954" t="s">
        <v>4399</v>
      </c>
      <c r="H5954" t="s">
        <v>4399</v>
      </c>
      <c r="I5954" t="s">
        <v>4399</v>
      </c>
      <c r="J5954" t="s">
        <v>4399</v>
      </c>
      <c r="K5954" t="s">
        <v>4399</v>
      </c>
    </row>
    <row r="5955" spans="1:11" x14ac:dyDescent="0.2">
      <c r="A5955" t="s">
        <v>4265</v>
      </c>
      <c r="B5955" t="s">
        <v>4909</v>
      </c>
      <c r="C5955" t="s">
        <v>4909</v>
      </c>
      <c r="D5955" t="s">
        <v>4909</v>
      </c>
      <c r="E5955" t="s">
        <v>4909</v>
      </c>
      <c r="F5955" t="s">
        <v>4909</v>
      </c>
      <c r="G5955" t="s">
        <v>4909</v>
      </c>
      <c r="H5955" t="s">
        <v>4909</v>
      </c>
      <c r="I5955" t="s">
        <v>4909</v>
      </c>
      <c r="J5955" t="s">
        <v>4909</v>
      </c>
      <c r="K5955" t="s">
        <v>4909</v>
      </c>
    </row>
    <row r="5956" spans="1:11" x14ac:dyDescent="0.2">
      <c r="A5956" t="s">
        <v>4266</v>
      </c>
      <c r="B5956" t="s">
        <v>4909</v>
      </c>
      <c r="C5956" t="s">
        <v>4909</v>
      </c>
      <c r="D5956" t="s">
        <v>4909</v>
      </c>
      <c r="E5956" t="s">
        <v>4909</v>
      </c>
      <c r="F5956" t="s">
        <v>4909</v>
      </c>
      <c r="G5956" t="s">
        <v>4909</v>
      </c>
      <c r="H5956" t="s">
        <v>4909</v>
      </c>
      <c r="I5956" t="s">
        <v>4909</v>
      </c>
      <c r="J5956" t="s">
        <v>4909</v>
      </c>
      <c r="K5956" t="s">
        <v>4909</v>
      </c>
    </row>
    <row r="5957" spans="1:11" x14ac:dyDescent="0.2">
      <c r="A5957" t="s">
        <v>4267</v>
      </c>
      <c r="B5957" t="s">
        <v>4909</v>
      </c>
      <c r="C5957" t="s">
        <v>4909</v>
      </c>
      <c r="D5957" t="s">
        <v>4909</v>
      </c>
      <c r="E5957" t="s">
        <v>4909</v>
      </c>
      <c r="F5957" t="s">
        <v>4909</v>
      </c>
      <c r="G5957" t="s">
        <v>4909</v>
      </c>
      <c r="H5957" t="s">
        <v>4909</v>
      </c>
      <c r="I5957" t="s">
        <v>4909</v>
      </c>
      <c r="J5957" t="s">
        <v>4909</v>
      </c>
      <c r="K5957" t="s">
        <v>4909</v>
      </c>
    </row>
    <row r="5958" spans="1:11" x14ac:dyDescent="0.2">
      <c r="A5958" t="s">
        <v>4268</v>
      </c>
      <c r="B5958" t="s">
        <v>4909</v>
      </c>
      <c r="C5958" t="s">
        <v>4909</v>
      </c>
      <c r="D5958" t="s">
        <v>4909</v>
      </c>
      <c r="E5958" t="s">
        <v>4909</v>
      </c>
      <c r="F5958" t="s">
        <v>4909</v>
      </c>
      <c r="G5958" t="s">
        <v>4909</v>
      </c>
      <c r="H5958" t="s">
        <v>4909</v>
      </c>
      <c r="I5958" t="s">
        <v>4909</v>
      </c>
      <c r="J5958" t="s">
        <v>4909</v>
      </c>
      <c r="K5958" t="s">
        <v>4909</v>
      </c>
    </row>
    <row r="5959" spans="1:11" x14ac:dyDescent="0.2">
      <c r="A5959" t="s">
        <v>4269</v>
      </c>
      <c r="B5959" t="s">
        <v>4909</v>
      </c>
      <c r="C5959" t="s">
        <v>4909</v>
      </c>
      <c r="D5959" t="s">
        <v>4909</v>
      </c>
      <c r="E5959" t="s">
        <v>4909</v>
      </c>
      <c r="F5959" t="s">
        <v>4909</v>
      </c>
      <c r="G5959" t="s">
        <v>4909</v>
      </c>
      <c r="H5959" t="s">
        <v>4909</v>
      </c>
      <c r="I5959" t="s">
        <v>4909</v>
      </c>
      <c r="J5959" t="s">
        <v>4909</v>
      </c>
      <c r="K5959" t="s">
        <v>4909</v>
      </c>
    </row>
    <row r="5960" spans="1:11" x14ac:dyDescent="0.2">
      <c r="A5960" t="s">
        <v>4270</v>
      </c>
      <c r="B5960" t="s">
        <v>4909</v>
      </c>
      <c r="C5960" t="s">
        <v>4909</v>
      </c>
      <c r="D5960" t="s">
        <v>4909</v>
      </c>
      <c r="E5960" t="s">
        <v>4909</v>
      </c>
      <c r="F5960" t="s">
        <v>4909</v>
      </c>
      <c r="G5960" t="s">
        <v>4909</v>
      </c>
      <c r="H5960" t="s">
        <v>4909</v>
      </c>
      <c r="I5960" t="s">
        <v>4909</v>
      </c>
      <c r="J5960" t="s">
        <v>4909</v>
      </c>
      <c r="K5960" t="s">
        <v>4909</v>
      </c>
    </row>
    <row r="5961" spans="1:11" x14ac:dyDescent="0.2">
      <c r="A5961" t="s">
        <v>4271</v>
      </c>
      <c r="B5961" t="s">
        <v>4909</v>
      </c>
      <c r="C5961" t="s">
        <v>4909</v>
      </c>
      <c r="D5961" t="s">
        <v>4909</v>
      </c>
      <c r="E5961" t="s">
        <v>4909</v>
      </c>
      <c r="F5961" t="s">
        <v>4909</v>
      </c>
      <c r="G5961" t="s">
        <v>4909</v>
      </c>
      <c r="H5961" t="s">
        <v>4909</v>
      </c>
      <c r="I5961" t="s">
        <v>4909</v>
      </c>
      <c r="J5961" t="s">
        <v>4909</v>
      </c>
      <c r="K5961" t="s">
        <v>4909</v>
      </c>
    </row>
    <row r="5962" spans="1:11" x14ac:dyDescent="0.2">
      <c r="A5962" t="s">
        <v>4272</v>
      </c>
      <c r="B5962" t="s">
        <v>4909</v>
      </c>
      <c r="C5962" t="s">
        <v>4909</v>
      </c>
      <c r="D5962" t="s">
        <v>4909</v>
      </c>
      <c r="E5962" t="s">
        <v>4909</v>
      </c>
      <c r="F5962" t="s">
        <v>4909</v>
      </c>
      <c r="G5962" t="s">
        <v>4909</v>
      </c>
      <c r="H5962" t="s">
        <v>4909</v>
      </c>
      <c r="I5962" t="s">
        <v>4909</v>
      </c>
      <c r="J5962" t="s">
        <v>4909</v>
      </c>
      <c r="K5962" t="s">
        <v>4909</v>
      </c>
    </row>
    <row r="5963" spans="1:11" x14ac:dyDescent="0.2">
      <c r="A5963" t="s">
        <v>4273</v>
      </c>
      <c r="B5963" t="s">
        <v>4909</v>
      </c>
      <c r="C5963" t="s">
        <v>4909</v>
      </c>
      <c r="D5963" t="s">
        <v>4909</v>
      </c>
      <c r="E5963" t="s">
        <v>4909</v>
      </c>
      <c r="F5963" t="s">
        <v>4909</v>
      </c>
      <c r="G5963" t="s">
        <v>4909</v>
      </c>
      <c r="H5963" t="s">
        <v>4909</v>
      </c>
      <c r="I5963" t="s">
        <v>4909</v>
      </c>
      <c r="J5963" t="s">
        <v>4909</v>
      </c>
      <c r="K5963" t="s">
        <v>4909</v>
      </c>
    </row>
    <row r="5964" spans="1:11" x14ac:dyDescent="0.2">
      <c r="A5964" t="s">
        <v>4274</v>
      </c>
      <c r="B5964" t="s">
        <v>4909</v>
      </c>
      <c r="C5964" t="s">
        <v>4909</v>
      </c>
      <c r="D5964" t="s">
        <v>4909</v>
      </c>
      <c r="E5964" t="s">
        <v>4909</v>
      </c>
      <c r="F5964" t="s">
        <v>4909</v>
      </c>
      <c r="G5964" t="s">
        <v>4909</v>
      </c>
      <c r="H5964" t="s">
        <v>4909</v>
      </c>
      <c r="I5964" t="s">
        <v>4909</v>
      </c>
      <c r="J5964" t="s">
        <v>4909</v>
      </c>
      <c r="K5964" t="s">
        <v>4909</v>
      </c>
    </row>
    <row r="5965" spans="1:11" x14ac:dyDescent="0.2">
      <c r="A5965" t="s">
        <v>4275</v>
      </c>
      <c r="B5965" t="s">
        <v>4909</v>
      </c>
      <c r="C5965" t="s">
        <v>4909</v>
      </c>
      <c r="D5965" t="s">
        <v>4909</v>
      </c>
      <c r="E5965" t="s">
        <v>4909</v>
      </c>
      <c r="F5965" t="s">
        <v>4909</v>
      </c>
      <c r="G5965" t="s">
        <v>4909</v>
      </c>
      <c r="H5965" t="s">
        <v>4909</v>
      </c>
      <c r="I5965" t="s">
        <v>4909</v>
      </c>
      <c r="J5965" t="s">
        <v>4909</v>
      </c>
      <c r="K5965" t="s">
        <v>4909</v>
      </c>
    </row>
    <row r="5966" spans="1:11" x14ac:dyDescent="0.2">
      <c r="A5966" t="s">
        <v>4276</v>
      </c>
      <c r="B5966" t="s">
        <v>4909</v>
      </c>
      <c r="C5966" t="s">
        <v>4909</v>
      </c>
      <c r="D5966" t="s">
        <v>4909</v>
      </c>
      <c r="E5966" t="s">
        <v>4909</v>
      </c>
      <c r="F5966" t="s">
        <v>4909</v>
      </c>
      <c r="G5966" t="s">
        <v>4909</v>
      </c>
      <c r="H5966" t="s">
        <v>4909</v>
      </c>
      <c r="I5966" t="s">
        <v>4909</v>
      </c>
      <c r="J5966" t="s">
        <v>4909</v>
      </c>
      <c r="K5966" t="s">
        <v>4909</v>
      </c>
    </row>
    <row r="5967" spans="1:11" x14ac:dyDescent="0.2">
      <c r="A5967" t="s">
        <v>4277</v>
      </c>
      <c r="B5967" t="s">
        <v>4909</v>
      </c>
      <c r="C5967" t="s">
        <v>4909</v>
      </c>
      <c r="D5967" t="s">
        <v>4909</v>
      </c>
      <c r="E5967" t="s">
        <v>4909</v>
      </c>
      <c r="F5967" t="s">
        <v>4909</v>
      </c>
      <c r="G5967" t="s">
        <v>4909</v>
      </c>
      <c r="H5967" t="s">
        <v>4909</v>
      </c>
      <c r="I5967" t="s">
        <v>4909</v>
      </c>
      <c r="J5967" t="s">
        <v>4909</v>
      </c>
      <c r="K5967" t="s">
        <v>4909</v>
      </c>
    </row>
    <row r="5968" spans="1:11" x14ac:dyDescent="0.2">
      <c r="A5968" t="s">
        <v>4278</v>
      </c>
      <c r="B5968" t="s">
        <v>4909</v>
      </c>
      <c r="C5968" t="s">
        <v>4909</v>
      </c>
      <c r="D5968" t="s">
        <v>4909</v>
      </c>
      <c r="E5968" t="s">
        <v>4909</v>
      </c>
      <c r="F5968" t="s">
        <v>4909</v>
      </c>
      <c r="G5968" t="s">
        <v>4909</v>
      </c>
      <c r="H5968" t="s">
        <v>4909</v>
      </c>
      <c r="I5968" t="s">
        <v>4909</v>
      </c>
      <c r="J5968" t="s">
        <v>4909</v>
      </c>
      <c r="K5968" t="s">
        <v>4909</v>
      </c>
    </row>
    <row r="5969" spans="1:11" x14ac:dyDescent="0.2">
      <c r="A5969" t="s">
        <v>4279</v>
      </c>
      <c r="B5969" t="s">
        <v>4909</v>
      </c>
      <c r="C5969" t="s">
        <v>4909</v>
      </c>
      <c r="D5969" t="s">
        <v>4909</v>
      </c>
      <c r="E5969" t="s">
        <v>4909</v>
      </c>
      <c r="F5969" t="s">
        <v>4909</v>
      </c>
      <c r="G5969" t="s">
        <v>4909</v>
      </c>
      <c r="H5969" t="s">
        <v>4909</v>
      </c>
      <c r="I5969" t="s">
        <v>4909</v>
      </c>
      <c r="J5969" t="s">
        <v>4909</v>
      </c>
      <c r="K5969" t="s">
        <v>4909</v>
      </c>
    </row>
    <row r="5970" spans="1:11" x14ac:dyDescent="0.2">
      <c r="A5970" t="s">
        <v>4280</v>
      </c>
      <c r="B5970" t="s">
        <v>4909</v>
      </c>
      <c r="C5970" t="s">
        <v>4909</v>
      </c>
      <c r="D5970" t="s">
        <v>4909</v>
      </c>
      <c r="E5970" t="s">
        <v>4909</v>
      </c>
      <c r="F5970" t="s">
        <v>4909</v>
      </c>
      <c r="G5970" t="s">
        <v>4909</v>
      </c>
      <c r="H5970" t="s">
        <v>4909</v>
      </c>
      <c r="I5970" t="s">
        <v>4909</v>
      </c>
      <c r="J5970" t="s">
        <v>4909</v>
      </c>
      <c r="K5970" t="s">
        <v>4909</v>
      </c>
    </row>
    <row r="5971" spans="1:11" x14ac:dyDescent="0.2">
      <c r="A5971" t="s">
        <v>4281</v>
      </c>
      <c r="B5971" t="s">
        <v>4909</v>
      </c>
      <c r="C5971" s="88">
        <v>0</v>
      </c>
      <c r="D5971" t="s">
        <v>4909</v>
      </c>
      <c r="E5971" t="s">
        <v>4909</v>
      </c>
      <c r="F5971" s="88">
        <v>0</v>
      </c>
      <c r="G5971" t="s">
        <v>4909</v>
      </c>
      <c r="H5971" s="88">
        <v>0</v>
      </c>
      <c r="I5971" s="88">
        <v>2E-3</v>
      </c>
      <c r="J5971" t="s">
        <v>4909</v>
      </c>
      <c r="K5971" s="88">
        <v>0</v>
      </c>
    </row>
    <row r="5972" spans="1:11" x14ac:dyDescent="0.2">
      <c r="A5972" t="s">
        <v>4282</v>
      </c>
      <c r="B5972" t="s">
        <v>4909</v>
      </c>
      <c r="C5972" s="88">
        <v>0</v>
      </c>
      <c r="D5972" t="s">
        <v>4909</v>
      </c>
      <c r="E5972" t="s">
        <v>4909</v>
      </c>
      <c r="F5972" s="88">
        <v>1E-3</v>
      </c>
      <c r="G5972" t="s">
        <v>4909</v>
      </c>
      <c r="H5972" s="88">
        <v>0</v>
      </c>
      <c r="I5972" s="88">
        <v>1E-3</v>
      </c>
      <c r="J5972" t="s">
        <v>4909</v>
      </c>
      <c r="K5972" s="88">
        <v>0</v>
      </c>
    </row>
    <row r="5973" spans="1:11" x14ac:dyDescent="0.2">
      <c r="A5973" t="s">
        <v>4283</v>
      </c>
      <c r="B5973" t="s">
        <v>4909</v>
      </c>
      <c r="C5973" s="88">
        <v>0</v>
      </c>
      <c r="D5973" t="s">
        <v>4909</v>
      </c>
      <c r="E5973" t="s">
        <v>4909</v>
      </c>
      <c r="F5973" s="88">
        <v>0</v>
      </c>
      <c r="G5973" t="s">
        <v>4909</v>
      </c>
      <c r="H5973" t="s">
        <v>4909</v>
      </c>
      <c r="I5973" s="88">
        <v>0</v>
      </c>
      <c r="J5973" t="s">
        <v>4909</v>
      </c>
      <c r="K5973" s="88">
        <v>0</v>
      </c>
    </row>
    <row r="5974" spans="1:11" x14ac:dyDescent="0.2">
      <c r="A5974" t="s">
        <v>4284</v>
      </c>
      <c r="B5974" t="s">
        <v>4909</v>
      </c>
      <c r="C5974" t="s">
        <v>4909</v>
      </c>
      <c r="D5974" t="s">
        <v>4909</v>
      </c>
      <c r="E5974" t="s">
        <v>4909</v>
      </c>
      <c r="F5974" s="88">
        <v>0</v>
      </c>
      <c r="G5974" t="s">
        <v>4909</v>
      </c>
      <c r="H5974" t="s">
        <v>4909</v>
      </c>
      <c r="I5974" s="88">
        <v>0</v>
      </c>
      <c r="J5974" t="s">
        <v>4909</v>
      </c>
      <c r="K5974" t="s">
        <v>4909</v>
      </c>
    </row>
    <row r="5975" spans="1:11" x14ac:dyDescent="0.2">
      <c r="A5975" t="s">
        <v>4285</v>
      </c>
      <c r="B5975" t="s">
        <v>4909</v>
      </c>
      <c r="C5975" s="88">
        <v>0</v>
      </c>
      <c r="D5975" t="s">
        <v>4909</v>
      </c>
      <c r="E5975" t="s">
        <v>4909</v>
      </c>
      <c r="F5975" s="88">
        <v>0</v>
      </c>
      <c r="G5975" t="s">
        <v>4909</v>
      </c>
      <c r="H5975" s="88">
        <v>0</v>
      </c>
      <c r="I5975" s="88">
        <v>3.0000000000000001E-3</v>
      </c>
      <c r="J5975" t="s">
        <v>4909</v>
      </c>
      <c r="K5975" s="88">
        <v>0</v>
      </c>
    </row>
    <row r="5976" spans="1:11" x14ac:dyDescent="0.2">
      <c r="A5976" t="s">
        <v>4286</v>
      </c>
      <c r="B5976" t="s">
        <v>4909</v>
      </c>
      <c r="C5976" t="s">
        <v>4909</v>
      </c>
      <c r="D5976" t="s">
        <v>4909</v>
      </c>
      <c r="E5976" t="s">
        <v>4909</v>
      </c>
      <c r="F5976" s="88">
        <v>6.0000000000000001E-3</v>
      </c>
      <c r="G5976" t="s">
        <v>4909</v>
      </c>
      <c r="H5976" s="88">
        <v>0</v>
      </c>
      <c r="I5976" s="88">
        <v>5.0000000000000001E-3</v>
      </c>
      <c r="J5976" t="s">
        <v>4909</v>
      </c>
      <c r="K5976" s="88">
        <v>0</v>
      </c>
    </row>
    <row r="5977" spans="1:11" x14ac:dyDescent="0.2">
      <c r="A5977" t="s">
        <v>4287</v>
      </c>
      <c r="B5977" t="s">
        <v>4909</v>
      </c>
      <c r="C5977" s="88">
        <v>0</v>
      </c>
      <c r="D5977" t="s">
        <v>4909</v>
      </c>
      <c r="E5977" t="s">
        <v>4909</v>
      </c>
      <c r="F5977" s="88">
        <v>0</v>
      </c>
      <c r="G5977" t="s">
        <v>4909</v>
      </c>
      <c r="H5977" t="s">
        <v>4909</v>
      </c>
      <c r="I5977" s="88">
        <v>0</v>
      </c>
      <c r="J5977" t="s">
        <v>4909</v>
      </c>
      <c r="K5977" s="88">
        <v>0</v>
      </c>
    </row>
    <row r="5978" spans="1:11" x14ac:dyDescent="0.2">
      <c r="A5978" t="s">
        <v>4288</v>
      </c>
      <c r="B5978" t="s">
        <v>4909</v>
      </c>
      <c r="C5978" t="s">
        <v>4909</v>
      </c>
      <c r="D5978" t="s">
        <v>4909</v>
      </c>
      <c r="E5978" t="s">
        <v>4909</v>
      </c>
      <c r="F5978" t="s">
        <v>4909</v>
      </c>
      <c r="G5978" t="s">
        <v>4909</v>
      </c>
      <c r="H5978" t="s">
        <v>4909</v>
      </c>
      <c r="I5978" t="s">
        <v>4909</v>
      </c>
      <c r="J5978" t="s">
        <v>4909</v>
      </c>
      <c r="K5978" t="s">
        <v>4909</v>
      </c>
    </row>
    <row r="5979" spans="1:11" x14ac:dyDescent="0.2">
      <c r="A5979" t="s">
        <v>4289</v>
      </c>
      <c r="B5979" t="s">
        <v>4909</v>
      </c>
      <c r="C5979" t="s">
        <v>4909</v>
      </c>
      <c r="D5979" t="s">
        <v>4909</v>
      </c>
      <c r="E5979" t="s">
        <v>4909</v>
      </c>
      <c r="F5979" t="s">
        <v>4909</v>
      </c>
      <c r="G5979" t="s">
        <v>4909</v>
      </c>
      <c r="H5979" t="s">
        <v>4909</v>
      </c>
      <c r="I5979" t="s">
        <v>4909</v>
      </c>
      <c r="J5979" t="s">
        <v>4909</v>
      </c>
      <c r="K5979" t="s">
        <v>4909</v>
      </c>
    </row>
    <row r="5980" spans="1:11" x14ac:dyDescent="0.2">
      <c r="A5980" t="s">
        <v>4290</v>
      </c>
      <c r="B5980" t="s">
        <v>4909</v>
      </c>
      <c r="C5980" t="s">
        <v>4909</v>
      </c>
      <c r="D5980" t="s">
        <v>4909</v>
      </c>
      <c r="E5980" t="s">
        <v>4909</v>
      </c>
      <c r="F5980" t="s">
        <v>4909</v>
      </c>
      <c r="G5980" t="s">
        <v>4909</v>
      </c>
      <c r="H5980" t="s">
        <v>4909</v>
      </c>
      <c r="I5980" t="s">
        <v>4909</v>
      </c>
      <c r="J5980" t="s">
        <v>4909</v>
      </c>
      <c r="K5980" t="s">
        <v>4909</v>
      </c>
    </row>
    <row r="5981" spans="1:11" x14ac:dyDescent="0.2">
      <c r="A5981" t="s">
        <v>4291</v>
      </c>
      <c r="B5981" t="s">
        <v>4909</v>
      </c>
      <c r="C5981" t="s">
        <v>4909</v>
      </c>
      <c r="D5981" t="s">
        <v>4909</v>
      </c>
      <c r="E5981" t="s">
        <v>4909</v>
      </c>
      <c r="F5981" t="s">
        <v>4909</v>
      </c>
      <c r="G5981" t="s">
        <v>4909</v>
      </c>
      <c r="H5981" t="s">
        <v>4909</v>
      </c>
      <c r="I5981" t="s">
        <v>4909</v>
      </c>
      <c r="J5981" t="s">
        <v>4909</v>
      </c>
      <c r="K5981" t="s">
        <v>4909</v>
      </c>
    </row>
    <row r="5982" spans="1:11" x14ac:dyDescent="0.2">
      <c r="A5982" t="s">
        <v>4292</v>
      </c>
      <c r="B5982" t="s">
        <v>4909</v>
      </c>
      <c r="C5982" t="s">
        <v>4909</v>
      </c>
      <c r="D5982" t="s">
        <v>4909</v>
      </c>
      <c r="E5982" t="s">
        <v>4909</v>
      </c>
      <c r="F5982" t="s">
        <v>4909</v>
      </c>
      <c r="G5982" t="s">
        <v>4909</v>
      </c>
      <c r="H5982" t="s">
        <v>4909</v>
      </c>
      <c r="I5982" t="s">
        <v>4909</v>
      </c>
      <c r="J5982" t="s">
        <v>4909</v>
      </c>
      <c r="K5982" t="s">
        <v>4909</v>
      </c>
    </row>
    <row r="5983" spans="1:11" x14ac:dyDescent="0.2">
      <c r="A5983" t="s">
        <v>4293</v>
      </c>
      <c r="B5983" t="s">
        <v>4909</v>
      </c>
      <c r="C5983" t="s">
        <v>4909</v>
      </c>
      <c r="D5983" t="s">
        <v>4909</v>
      </c>
      <c r="E5983" t="s">
        <v>4909</v>
      </c>
      <c r="F5983" t="s">
        <v>4909</v>
      </c>
      <c r="G5983" t="s">
        <v>4909</v>
      </c>
      <c r="H5983" t="s">
        <v>4909</v>
      </c>
      <c r="I5983" t="s">
        <v>4909</v>
      </c>
      <c r="J5983" t="s">
        <v>4909</v>
      </c>
      <c r="K5983" t="s">
        <v>4909</v>
      </c>
    </row>
    <row r="5984" spans="1:11" x14ac:dyDescent="0.2">
      <c r="A5984" t="s">
        <v>4294</v>
      </c>
      <c r="B5984" t="s">
        <v>4909</v>
      </c>
      <c r="C5984" t="s">
        <v>4909</v>
      </c>
      <c r="D5984" t="s">
        <v>4909</v>
      </c>
      <c r="E5984" t="s">
        <v>4909</v>
      </c>
      <c r="F5984" t="s">
        <v>4909</v>
      </c>
      <c r="G5984" t="s">
        <v>4909</v>
      </c>
      <c r="H5984" t="s">
        <v>4909</v>
      </c>
      <c r="I5984" t="s">
        <v>4909</v>
      </c>
      <c r="J5984" t="s">
        <v>4909</v>
      </c>
      <c r="K5984" t="s">
        <v>4909</v>
      </c>
    </row>
    <row r="5985" spans="1:11" x14ac:dyDescent="0.2">
      <c r="A5985" t="s">
        <v>4295</v>
      </c>
      <c r="B5985" t="s">
        <v>4909</v>
      </c>
      <c r="C5985" t="s">
        <v>4909</v>
      </c>
      <c r="D5985" t="s">
        <v>4909</v>
      </c>
      <c r="E5985" t="s">
        <v>4909</v>
      </c>
      <c r="F5985" t="s">
        <v>4909</v>
      </c>
      <c r="G5985" t="s">
        <v>4909</v>
      </c>
      <c r="H5985" t="s">
        <v>4909</v>
      </c>
      <c r="I5985" t="s">
        <v>4909</v>
      </c>
      <c r="J5985" t="s">
        <v>4909</v>
      </c>
      <c r="K5985" t="s">
        <v>4909</v>
      </c>
    </row>
    <row r="5986" spans="1:11" x14ac:dyDescent="0.2">
      <c r="A5986" t="s">
        <v>4296</v>
      </c>
      <c r="B5986" t="s">
        <v>4909</v>
      </c>
      <c r="C5986" t="s">
        <v>4909</v>
      </c>
      <c r="D5986" t="s">
        <v>4909</v>
      </c>
      <c r="E5986" t="s">
        <v>4909</v>
      </c>
      <c r="F5986" t="s">
        <v>4909</v>
      </c>
      <c r="G5986" t="s">
        <v>4909</v>
      </c>
      <c r="H5986" t="s">
        <v>4909</v>
      </c>
      <c r="I5986" t="s">
        <v>4909</v>
      </c>
      <c r="J5986" t="s">
        <v>4909</v>
      </c>
      <c r="K5986" t="s">
        <v>4909</v>
      </c>
    </row>
    <row r="5987" spans="1:11" x14ac:dyDescent="0.2">
      <c r="A5987" t="s">
        <v>4297</v>
      </c>
      <c r="B5987" t="s">
        <v>4909</v>
      </c>
      <c r="C5987" s="88">
        <v>0</v>
      </c>
      <c r="D5987" t="s">
        <v>4909</v>
      </c>
      <c r="E5987" t="s">
        <v>4909</v>
      </c>
      <c r="F5987" s="88">
        <v>0</v>
      </c>
      <c r="G5987" t="s">
        <v>4909</v>
      </c>
      <c r="H5987" s="88">
        <v>0</v>
      </c>
      <c r="I5987" s="88">
        <v>1E-3</v>
      </c>
      <c r="J5987" t="s">
        <v>4909</v>
      </c>
      <c r="K5987" s="88">
        <v>0</v>
      </c>
    </row>
    <row r="5988" spans="1:11" x14ac:dyDescent="0.2">
      <c r="A5988" t="s">
        <v>4298</v>
      </c>
      <c r="B5988" t="s">
        <v>4909</v>
      </c>
      <c r="C5988" s="88">
        <v>1E-3</v>
      </c>
      <c r="D5988" t="s">
        <v>4909</v>
      </c>
      <c r="E5988" t="s">
        <v>4909</v>
      </c>
      <c r="F5988" s="88">
        <v>1E-3</v>
      </c>
      <c r="G5988" t="s">
        <v>4909</v>
      </c>
      <c r="H5988" s="88">
        <v>0</v>
      </c>
      <c r="I5988" s="88">
        <v>4.0000000000000001E-3</v>
      </c>
      <c r="J5988" t="s">
        <v>4909</v>
      </c>
      <c r="K5988" s="88">
        <v>0</v>
      </c>
    </row>
    <row r="5989" spans="1:11" x14ac:dyDescent="0.2">
      <c r="A5989" t="s">
        <v>4299</v>
      </c>
      <c r="B5989" t="s">
        <v>4909</v>
      </c>
      <c r="C5989" s="88">
        <v>2E-3</v>
      </c>
      <c r="D5989" s="88">
        <v>0</v>
      </c>
      <c r="E5989" t="s">
        <v>4909</v>
      </c>
      <c r="F5989" s="88">
        <v>8.0000000000000002E-3</v>
      </c>
      <c r="G5989" t="s">
        <v>4909</v>
      </c>
      <c r="H5989" s="88">
        <v>1E-3</v>
      </c>
      <c r="I5989" s="88">
        <v>1.2E-2</v>
      </c>
      <c r="J5989" t="s">
        <v>4909</v>
      </c>
      <c r="K5989" s="88">
        <v>2E-3</v>
      </c>
    </row>
    <row r="5990" spans="1:11" x14ac:dyDescent="0.2">
      <c r="A5990" t="s">
        <v>4300</v>
      </c>
      <c r="B5990" t="s">
        <v>4909</v>
      </c>
      <c r="C5990" s="88">
        <v>1E-3</v>
      </c>
      <c r="D5990" t="s">
        <v>4909</v>
      </c>
      <c r="E5990" t="s">
        <v>4909</v>
      </c>
      <c r="F5990" s="88">
        <v>8.0000000000000002E-3</v>
      </c>
      <c r="G5990" t="s">
        <v>4909</v>
      </c>
      <c r="H5990" s="88">
        <v>1E-3</v>
      </c>
      <c r="I5990" s="88">
        <v>6.0000000000000001E-3</v>
      </c>
      <c r="J5990" t="s">
        <v>4909</v>
      </c>
      <c r="K5990" s="88">
        <v>1E-3</v>
      </c>
    </row>
    <row r="5991" spans="1:11" x14ac:dyDescent="0.2">
      <c r="A5991" t="s">
        <v>4301</v>
      </c>
      <c r="B5991" t="s">
        <v>4909</v>
      </c>
      <c r="C5991" s="88">
        <v>2E-3</v>
      </c>
      <c r="D5991" s="88">
        <v>0</v>
      </c>
      <c r="E5991" t="s">
        <v>4909</v>
      </c>
      <c r="F5991" s="88">
        <v>2E-3</v>
      </c>
      <c r="G5991" t="s">
        <v>4909</v>
      </c>
      <c r="H5991" s="88">
        <v>0</v>
      </c>
      <c r="I5991" s="88">
        <v>8.0000000000000002E-3</v>
      </c>
      <c r="J5991" t="s">
        <v>4909</v>
      </c>
      <c r="K5991" s="88">
        <v>1E-3</v>
      </c>
    </row>
    <row r="5992" spans="1:11" x14ac:dyDescent="0.2">
      <c r="A5992" t="s">
        <v>4302</v>
      </c>
      <c r="B5992" t="s">
        <v>4909</v>
      </c>
      <c r="C5992" s="88">
        <v>6.0000000000000001E-3</v>
      </c>
      <c r="D5992" s="88">
        <v>0</v>
      </c>
      <c r="E5992" t="s">
        <v>4909</v>
      </c>
      <c r="F5992" s="88">
        <v>1.2E-2</v>
      </c>
      <c r="G5992" t="s">
        <v>4909</v>
      </c>
      <c r="H5992" s="88">
        <v>2E-3</v>
      </c>
      <c r="I5992" s="88">
        <v>2.4E-2</v>
      </c>
      <c r="J5992" t="s">
        <v>4909</v>
      </c>
      <c r="K5992" s="88">
        <v>4.0000000000000001E-3</v>
      </c>
    </row>
    <row r="5993" spans="1:11" x14ac:dyDescent="0.2">
      <c r="A5993" t="s">
        <v>4303</v>
      </c>
      <c r="B5993" t="s">
        <v>4909</v>
      </c>
      <c r="C5993" s="88">
        <v>3.0000000000000001E-3</v>
      </c>
      <c r="D5993" t="s">
        <v>4909</v>
      </c>
      <c r="E5993" t="s">
        <v>4909</v>
      </c>
      <c r="F5993" s="88">
        <v>1.7000000000000001E-2</v>
      </c>
      <c r="G5993" t="s">
        <v>4909</v>
      </c>
      <c r="H5993" s="88">
        <v>3.0000000000000001E-3</v>
      </c>
      <c r="I5993" s="88">
        <v>1.2999999999999999E-2</v>
      </c>
      <c r="J5993" t="s">
        <v>4909</v>
      </c>
      <c r="K5993" s="88">
        <v>3.0000000000000001E-3</v>
      </c>
    </row>
    <row r="5994" spans="1:11" x14ac:dyDescent="0.2">
      <c r="A5994" t="s">
        <v>4304</v>
      </c>
      <c r="B5994" t="s">
        <v>4909</v>
      </c>
      <c r="C5994" s="88">
        <v>8.9999999999999993E-3</v>
      </c>
      <c r="D5994" t="s">
        <v>4909</v>
      </c>
      <c r="E5994" t="s">
        <v>4909</v>
      </c>
      <c r="F5994" s="88">
        <v>7.0000000000000001E-3</v>
      </c>
      <c r="G5994" t="s">
        <v>4909</v>
      </c>
      <c r="H5994" s="88">
        <v>1E-3</v>
      </c>
      <c r="I5994" s="88">
        <v>2.9000000000000001E-2</v>
      </c>
      <c r="J5994" t="s">
        <v>4909</v>
      </c>
      <c r="K5994" s="88">
        <v>6.0000000000000001E-3</v>
      </c>
    </row>
    <row r="5995" spans="1:11" x14ac:dyDescent="0.2">
      <c r="A5995" t="s">
        <v>4305</v>
      </c>
      <c r="B5995" t="s">
        <v>4909</v>
      </c>
      <c r="C5995" s="88">
        <v>1.4999999999999999E-2</v>
      </c>
      <c r="D5995" s="88">
        <v>0</v>
      </c>
      <c r="E5995" t="s">
        <v>4909</v>
      </c>
      <c r="F5995" s="88">
        <v>1.0999999999999999E-2</v>
      </c>
      <c r="G5995" t="s">
        <v>4909</v>
      </c>
      <c r="H5995" s="88">
        <v>1E-3</v>
      </c>
      <c r="I5995" s="88">
        <v>4.8000000000000001E-2</v>
      </c>
      <c r="J5995" t="s">
        <v>4909</v>
      </c>
      <c r="K5995" s="88">
        <v>8.9999999999999993E-3</v>
      </c>
    </row>
    <row r="5996" spans="1:11" x14ac:dyDescent="0.2">
      <c r="A5996" t="s">
        <v>4306</v>
      </c>
      <c r="B5996" t="s">
        <v>4909</v>
      </c>
      <c r="C5996" s="88">
        <v>1.0999999999999999E-2</v>
      </c>
      <c r="D5996" t="s">
        <v>4909</v>
      </c>
      <c r="E5996" t="s">
        <v>4909</v>
      </c>
      <c r="F5996" s="88">
        <v>1.2E-2</v>
      </c>
      <c r="G5996" t="s">
        <v>4909</v>
      </c>
      <c r="H5996" s="88">
        <v>1E-3</v>
      </c>
      <c r="I5996" s="88">
        <v>3.2000000000000001E-2</v>
      </c>
      <c r="J5996" t="s">
        <v>4909</v>
      </c>
      <c r="K5996" s="88">
        <v>7.0000000000000001E-3</v>
      </c>
    </row>
    <row r="5997" spans="1:11" x14ac:dyDescent="0.2">
      <c r="A5997" t="s">
        <v>4307</v>
      </c>
      <c r="B5997" t="s">
        <v>4909</v>
      </c>
      <c r="C5997" s="88">
        <v>5.0000000000000001E-3</v>
      </c>
      <c r="D5997" s="88">
        <v>0</v>
      </c>
      <c r="E5997" t="s">
        <v>4909</v>
      </c>
      <c r="F5997" s="88">
        <v>0.02</v>
      </c>
      <c r="G5997" t="s">
        <v>4909</v>
      </c>
      <c r="H5997" s="88">
        <v>3.0000000000000001E-3</v>
      </c>
      <c r="I5997" s="88">
        <v>1.7000000000000001E-2</v>
      </c>
      <c r="J5997" t="s">
        <v>4909</v>
      </c>
      <c r="K5997" s="88">
        <v>3.0000000000000001E-3</v>
      </c>
    </row>
    <row r="5998" spans="1:11" x14ac:dyDescent="0.2">
      <c r="A5998" t="s">
        <v>4308</v>
      </c>
      <c r="B5998" t="s">
        <v>4909</v>
      </c>
      <c r="C5998" s="88">
        <v>3.0000000000000001E-3</v>
      </c>
      <c r="D5998" t="s">
        <v>4909</v>
      </c>
      <c r="E5998" t="s">
        <v>4909</v>
      </c>
      <c r="F5998" s="88">
        <v>2.3E-2</v>
      </c>
      <c r="G5998" t="s">
        <v>4909</v>
      </c>
      <c r="H5998" s="88">
        <v>1E-3</v>
      </c>
      <c r="I5998" s="88">
        <v>1.9E-2</v>
      </c>
      <c r="J5998" t="s">
        <v>4909</v>
      </c>
      <c r="K5998" s="88">
        <v>1E-3</v>
      </c>
    </row>
    <row r="5999" spans="1:11" x14ac:dyDescent="0.2">
      <c r="A5999" t="s">
        <v>4309</v>
      </c>
      <c r="B5999" t="s">
        <v>4909</v>
      </c>
      <c r="C5999" t="s">
        <v>4909</v>
      </c>
      <c r="D5999" t="s">
        <v>4909</v>
      </c>
      <c r="E5999" t="s">
        <v>4909</v>
      </c>
      <c r="F5999" t="s">
        <v>4909</v>
      </c>
      <c r="G5999" t="s">
        <v>4909</v>
      </c>
      <c r="H5999" t="s">
        <v>4909</v>
      </c>
      <c r="I5999" t="s">
        <v>4909</v>
      </c>
      <c r="J5999" t="s">
        <v>4909</v>
      </c>
      <c r="K5999" t="s">
        <v>4909</v>
      </c>
    </row>
    <row r="6000" spans="1:11" x14ac:dyDescent="0.2">
      <c r="A6000" t="s">
        <v>4310</v>
      </c>
      <c r="B6000" t="s">
        <v>4909</v>
      </c>
      <c r="C6000" t="s">
        <v>4909</v>
      </c>
      <c r="D6000" t="s">
        <v>4909</v>
      </c>
      <c r="E6000" t="s">
        <v>4909</v>
      </c>
      <c r="F6000" t="s">
        <v>4909</v>
      </c>
      <c r="G6000" t="s">
        <v>4909</v>
      </c>
      <c r="H6000" t="s">
        <v>4909</v>
      </c>
      <c r="I6000" t="s">
        <v>4909</v>
      </c>
      <c r="J6000" t="s">
        <v>4909</v>
      </c>
      <c r="K6000" t="s">
        <v>4909</v>
      </c>
    </row>
    <row r="6001" spans="1:11" x14ac:dyDescent="0.2">
      <c r="A6001" t="s">
        <v>4311</v>
      </c>
      <c r="B6001" t="s">
        <v>4909</v>
      </c>
      <c r="C6001" t="s">
        <v>4909</v>
      </c>
      <c r="D6001" t="s">
        <v>4909</v>
      </c>
      <c r="E6001" t="s">
        <v>4909</v>
      </c>
      <c r="F6001" t="s">
        <v>4909</v>
      </c>
      <c r="G6001" t="s">
        <v>4909</v>
      </c>
      <c r="H6001" t="s">
        <v>4909</v>
      </c>
      <c r="I6001" t="s">
        <v>4909</v>
      </c>
      <c r="J6001" t="s">
        <v>4909</v>
      </c>
      <c r="K6001" t="s">
        <v>4909</v>
      </c>
    </row>
    <row r="6002" spans="1:11" x14ac:dyDescent="0.2">
      <c r="A6002" t="s">
        <v>4312</v>
      </c>
      <c r="B6002" t="s">
        <v>4909</v>
      </c>
      <c r="C6002" t="s">
        <v>4909</v>
      </c>
      <c r="D6002" t="s">
        <v>4909</v>
      </c>
      <c r="E6002" t="s">
        <v>4909</v>
      </c>
      <c r="F6002" t="s">
        <v>4909</v>
      </c>
      <c r="G6002" t="s">
        <v>4909</v>
      </c>
      <c r="H6002" t="s">
        <v>4909</v>
      </c>
      <c r="I6002" t="s">
        <v>4909</v>
      </c>
      <c r="J6002" t="s">
        <v>4909</v>
      </c>
      <c r="K6002" t="s">
        <v>4909</v>
      </c>
    </row>
    <row r="6003" spans="1:11" x14ac:dyDescent="0.2">
      <c r="A6003" t="s">
        <v>4313</v>
      </c>
      <c r="B6003" t="s">
        <v>4909</v>
      </c>
      <c r="C6003" t="s">
        <v>4909</v>
      </c>
      <c r="D6003" t="s">
        <v>4909</v>
      </c>
      <c r="E6003" t="s">
        <v>4909</v>
      </c>
      <c r="F6003" t="s">
        <v>4909</v>
      </c>
      <c r="G6003" t="s">
        <v>4909</v>
      </c>
      <c r="H6003" t="s">
        <v>4909</v>
      </c>
      <c r="I6003" t="s">
        <v>4909</v>
      </c>
      <c r="J6003" t="s">
        <v>4909</v>
      </c>
      <c r="K6003" t="s">
        <v>4909</v>
      </c>
    </row>
    <row r="6004" spans="1:11" x14ac:dyDescent="0.2">
      <c r="A6004" t="s">
        <v>4314</v>
      </c>
      <c r="B6004" t="s">
        <v>4909</v>
      </c>
      <c r="C6004" t="s">
        <v>4909</v>
      </c>
      <c r="D6004" t="s">
        <v>4909</v>
      </c>
      <c r="E6004" t="s">
        <v>4909</v>
      </c>
      <c r="F6004" s="88">
        <v>0</v>
      </c>
      <c r="G6004" t="s">
        <v>4909</v>
      </c>
      <c r="H6004" t="s">
        <v>4909</v>
      </c>
      <c r="I6004" s="88">
        <v>0</v>
      </c>
      <c r="J6004" t="s">
        <v>4909</v>
      </c>
      <c r="K6004" t="s">
        <v>4909</v>
      </c>
    </row>
    <row r="6005" spans="1:11" x14ac:dyDescent="0.2">
      <c r="A6005" t="s">
        <v>4315</v>
      </c>
      <c r="B6005" t="s">
        <v>4909</v>
      </c>
      <c r="C6005" t="s">
        <v>4909</v>
      </c>
      <c r="D6005" t="s">
        <v>4909</v>
      </c>
      <c r="E6005" t="s">
        <v>4909</v>
      </c>
      <c r="F6005" t="s">
        <v>4909</v>
      </c>
      <c r="G6005" t="s">
        <v>4909</v>
      </c>
      <c r="H6005" t="s">
        <v>4909</v>
      </c>
      <c r="I6005" t="s">
        <v>4909</v>
      </c>
      <c r="J6005" t="s">
        <v>4909</v>
      </c>
      <c r="K6005" t="s">
        <v>4909</v>
      </c>
    </row>
    <row r="6006" spans="1:11" x14ac:dyDescent="0.2">
      <c r="A6006" t="s">
        <v>4316</v>
      </c>
      <c r="B6006" t="s">
        <v>4909</v>
      </c>
      <c r="C6006" t="s">
        <v>4909</v>
      </c>
      <c r="D6006" t="s">
        <v>4909</v>
      </c>
      <c r="E6006" t="s">
        <v>4909</v>
      </c>
      <c r="F6006" t="s">
        <v>4909</v>
      </c>
      <c r="G6006" t="s">
        <v>4909</v>
      </c>
      <c r="H6006" t="s">
        <v>4909</v>
      </c>
      <c r="I6006" t="s">
        <v>4909</v>
      </c>
      <c r="J6006" t="s">
        <v>4909</v>
      </c>
      <c r="K6006" t="s">
        <v>4909</v>
      </c>
    </row>
    <row r="6007" spans="1:11" x14ac:dyDescent="0.2">
      <c r="A6007" t="s">
        <v>4317</v>
      </c>
      <c r="B6007" t="s">
        <v>4909</v>
      </c>
      <c r="C6007" t="s">
        <v>4909</v>
      </c>
      <c r="D6007" t="s">
        <v>4909</v>
      </c>
      <c r="E6007" t="s">
        <v>4909</v>
      </c>
      <c r="F6007" t="s">
        <v>4909</v>
      </c>
      <c r="G6007" t="s">
        <v>4909</v>
      </c>
      <c r="H6007" t="s">
        <v>4909</v>
      </c>
      <c r="I6007" t="s">
        <v>4909</v>
      </c>
      <c r="J6007" t="s">
        <v>4909</v>
      </c>
      <c r="K6007" t="s">
        <v>4909</v>
      </c>
    </row>
    <row r="6008" spans="1:11" x14ac:dyDescent="0.2">
      <c r="A6008" t="s">
        <v>4318</v>
      </c>
      <c r="B6008" t="s">
        <v>4909</v>
      </c>
      <c r="C6008" t="s">
        <v>4909</v>
      </c>
      <c r="D6008" t="s">
        <v>4909</v>
      </c>
      <c r="E6008" t="s">
        <v>4909</v>
      </c>
      <c r="F6008" t="s">
        <v>4909</v>
      </c>
      <c r="G6008" t="s">
        <v>4909</v>
      </c>
      <c r="H6008" t="s">
        <v>4909</v>
      </c>
      <c r="I6008" t="s">
        <v>4909</v>
      </c>
      <c r="J6008" t="s">
        <v>4909</v>
      </c>
      <c r="K6008" t="s">
        <v>4909</v>
      </c>
    </row>
    <row r="6009" spans="1:11" x14ac:dyDescent="0.2">
      <c r="A6009" t="s">
        <v>4319</v>
      </c>
      <c r="B6009" t="s">
        <v>4909</v>
      </c>
      <c r="C6009" t="s">
        <v>4909</v>
      </c>
      <c r="D6009" t="s">
        <v>4909</v>
      </c>
      <c r="E6009" t="s">
        <v>4909</v>
      </c>
      <c r="F6009" t="s">
        <v>4909</v>
      </c>
      <c r="G6009" t="s">
        <v>4909</v>
      </c>
      <c r="H6009" t="s">
        <v>4909</v>
      </c>
      <c r="I6009" t="s">
        <v>4909</v>
      </c>
      <c r="J6009" t="s">
        <v>4909</v>
      </c>
      <c r="K6009" t="s">
        <v>4909</v>
      </c>
    </row>
    <row r="6010" spans="1:11" x14ac:dyDescent="0.2">
      <c r="A6010" t="s">
        <v>4320</v>
      </c>
      <c r="B6010" t="s">
        <v>4909</v>
      </c>
      <c r="C6010" t="s">
        <v>4909</v>
      </c>
      <c r="D6010" t="s">
        <v>4909</v>
      </c>
      <c r="E6010" t="s">
        <v>4909</v>
      </c>
      <c r="F6010" t="s">
        <v>4909</v>
      </c>
      <c r="G6010" t="s">
        <v>4909</v>
      </c>
      <c r="H6010" t="s">
        <v>4909</v>
      </c>
      <c r="I6010" t="s">
        <v>4909</v>
      </c>
      <c r="J6010" t="s">
        <v>4909</v>
      </c>
      <c r="K6010" t="s">
        <v>4909</v>
      </c>
    </row>
    <row r="6011" spans="1:11" x14ac:dyDescent="0.2">
      <c r="A6011" t="s">
        <v>4321</v>
      </c>
      <c r="B6011" t="s">
        <v>4909</v>
      </c>
      <c r="C6011" t="s">
        <v>4909</v>
      </c>
      <c r="D6011" t="s">
        <v>4909</v>
      </c>
      <c r="E6011" t="s">
        <v>4909</v>
      </c>
      <c r="F6011" t="s">
        <v>4909</v>
      </c>
      <c r="G6011" t="s">
        <v>4909</v>
      </c>
      <c r="H6011" t="s">
        <v>4909</v>
      </c>
      <c r="I6011" t="s">
        <v>4909</v>
      </c>
      <c r="J6011" t="s">
        <v>4909</v>
      </c>
      <c r="K6011" t="s">
        <v>4909</v>
      </c>
    </row>
    <row r="6012" spans="1:11" x14ac:dyDescent="0.2">
      <c r="A6012" t="s">
        <v>4322</v>
      </c>
      <c r="B6012" t="s">
        <v>4909</v>
      </c>
      <c r="C6012" t="s">
        <v>4909</v>
      </c>
      <c r="D6012" t="s">
        <v>4909</v>
      </c>
      <c r="E6012" t="s">
        <v>4909</v>
      </c>
      <c r="F6012" t="s">
        <v>4909</v>
      </c>
      <c r="G6012" t="s">
        <v>4909</v>
      </c>
      <c r="H6012" t="s">
        <v>4909</v>
      </c>
      <c r="I6012" t="s">
        <v>4909</v>
      </c>
      <c r="J6012" t="s">
        <v>4909</v>
      </c>
      <c r="K6012" t="s">
        <v>4909</v>
      </c>
    </row>
    <row r="6013" spans="1:11" x14ac:dyDescent="0.2">
      <c r="A6013" t="s">
        <v>4323</v>
      </c>
      <c r="B6013" t="s">
        <v>4909</v>
      </c>
      <c r="C6013" t="s">
        <v>4909</v>
      </c>
      <c r="D6013" t="s">
        <v>4909</v>
      </c>
      <c r="E6013" t="s">
        <v>4909</v>
      </c>
      <c r="F6013" t="s">
        <v>4909</v>
      </c>
      <c r="G6013" t="s">
        <v>4909</v>
      </c>
      <c r="H6013" t="s">
        <v>4909</v>
      </c>
      <c r="I6013" t="s">
        <v>4909</v>
      </c>
      <c r="J6013" t="s">
        <v>4909</v>
      </c>
      <c r="K6013" t="s">
        <v>4909</v>
      </c>
    </row>
    <row r="6014" spans="1:11" x14ac:dyDescent="0.2">
      <c r="A6014" t="s">
        <v>4324</v>
      </c>
      <c r="B6014" t="s">
        <v>4909</v>
      </c>
      <c r="C6014" t="s">
        <v>4909</v>
      </c>
      <c r="D6014" t="s">
        <v>4909</v>
      </c>
      <c r="E6014" t="s">
        <v>4909</v>
      </c>
      <c r="F6014" t="s">
        <v>4909</v>
      </c>
      <c r="G6014" t="s">
        <v>4909</v>
      </c>
      <c r="H6014" t="s">
        <v>4909</v>
      </c>
      <c r="I6014" t="s">
        <v>4909</v>
      </c>
      <c r="J6014" t="s">
        <v>4909</v>
      </c>
      <c r="K6014" t="s">
        <v>4909</v>
      </c>
    </row>
    <row r="6015" spans="1:11" x14ac:dyDescent="0.2">
      <c r="A6015" t="s">
        <v>4325</v>
      </c>
      <c r="B6015" t="s">
        <v>4909</v>
      </c>
      <c r="C6015" t="s">
        <v>4909</v>
      </c>
      <c r="D6015" t="s">
        <v>4909</v>
      </c>
      <c r="E6015" t="s">
        <v>4909</v>
      </c>
      <c r="F6015" t="s">
        <v>4909</v>
      </c>
      <c r="G6015" t="s">
        <v>4909</v>
      </c>
      <c r="H6015" t="s">
        <v>4909</v>
      </c>
      <c r="I6015" t="s">
        <v>4909</v>
      </c>
      <c r="J6015" t="s">
        <v>4909</v>
      </c>
      <c r="K6015" t="s">
        <v>4909</v>
      </c>
    </row>
    <row r="6016" spans="1:11" x14ac:dyDescent="0.2">
      <c r="A6016" t="s">
        <v>4326</v>
      </c>
      <c r="B6016" t="s">
        <v>4909</v>
      </c>
      <c r="C6016" t="s">
        <v>4909</v>
      </c>
      <c r="D6016" t="s">
        <v>4909</v>
      </c>
      <c r="E6016" t="s">
        <v>4909</v>
      </c>
      <c r="F6016" t="s">
        <v>4909</v>
      </c>
      <c r="G6016" t="s">
        <v>4909</v>
      </c>
      <c r="H6016" t="s">
        <v>4909</v>
      </c>
      <c r="I6016" t="s">
        <v>4909</v>
      </c>
      <c r="J6016" t="s">
        <v>4909</v>
      </c>
      <c r="K6016" t="s">
        <v>4909</v>
      </c>
    </row>
    <row r="6017" spans="1:11" x14ac:dyDescent="0.2">
      <c r="A6017" t="s">
        <v>4327</v>
      </c>
      <c r="B6017" t="s">
        <v>4909</v>
      </c>
      <c r="C6017" t="s">
        <v>4909</v>
      </c>
      <c r="D6017" t="s">
        <v>4909</v>
      </c>
      <c r="E6017" t="s">
        <v>4909</v>
      </c>
      <c r="F6017" t="s">
        <v>4909</v>
      </c>
      <c r="G6017" t="s">
        <v>4909</v>
      </c>
      <c r="H6017" t="s">
        <v>4909</v>
      </c>
      <c r="I6017" t="s">
        <v>4909</v>
      </c>
      <c r="J6017" t="s">
        <v>4909</v>
      </c>
      <c r="K6017" t="s">
        <v>4909</v>
      </c>
    </row>
    <row r="6018" spans="1:11" x14ac:dyDescent="0.2">
      <c r="A6018" t="s">
        <v>4328</v>
      </c>
      <c r="B6018" t="s">
        <v>4909</v>
      </c>
      <c r="C6018" t="s">
        <v>4909</v>
      </c>
      <c r="D6018" t="s">
        <v>4909</v>
      </c>
      <c r="E6018" t="s">
        <v>4909</v>
      </c>
      <c r="F6018" t="s">
        <v>4909</v>
      </c>
      <c r="G6018" t="s">
        <v>4909</v>
      </c>
      <c r="H6018" t="s">
        <v>4909</v>
      </c>
      <c r="I6018" t="s">
        <v>4909</v>
      </c>
      <c r="J6018" t="s">
        <v>4909</v>
      </c>
      <c r="K6018" t="s">
        <v>4909</v>
      </c>
    </row>
    <row r="6019" spans="1:11" x14ac:dyDescent="0.2">
      <c r="A6019" t="s">
        <v>4329</v>
      </c>
      <c r="B6019" t="s">
        <v>4909</v>
      </c>
      <c r="C6019" t="s">
        <v>4909</v>
      </c>
      <c r="D6019" t="s">
        <v>4909</v>
      </c>
      <c r="E6019" t="s">
        <v>4909</v>
      </c>
      <c r="F6019" t="s">
        <v>4909</v>
      </c>
      <c r="G6019" t="s">
        <v>4909</v>
      </c>
      <c r="H6019" t="s">
        <v>4909</v>
      </c>
      <c r="I6019" t="s">
        <v>4909</v>
      </c>
      <c r="J6019" t="s">
        <v>4909</v>
      </c>
      <c r="K6019" t="s">
        <v>4909</v>
      </c>
    </row>
    <row r="6020" spans="1:11" x14ac:dyDescent="0.2">
      <c r="A6020" t="s">
        <v>4330</v>
      </c>
      <c r="B6020" t="s">
        <v>4909</v>
      </c>
      <c r="C6020" t="s">
        <v>4909</v>
      </c>
      <c r="D6020" t="s">
        <v>4909</v>
      </c>
      <c r="E6020" t="s">
        <v>4909</v>
      </c>
      <c r="F6020" t="s">
        <v>4909</v>
      </c>
      <c r="G6020" t="s">
        <v>4909</v>
      </c>
      <c r="H6020" t="s">
        <v>4909</v>
      </c>
      <c r="I6020" t="s">
        <v>4909</v>
      </c>
      <c r="J6020" t="s">
        <v>4909</v>
      </c>
      <c r="K6020" t="s">
        <v>4909</v>
      </c>
    </row>
    <row r="6021" spans="1:11" x14ac:dyDescent="0.2">
      <c r="A6021" t="s">
        <v>4331</v>
      </c>
      <c r="B6021" t="s">
        <v>4909</v>
      </c>
      <c r="C6021" t="s">
        <v>4909</v>
      </c>
      <c r="D6021" t="s">
        <v>4909</v>
      </c>
      <c r="E6021" t="s">
        <v>4909</v>
      </c>
      <c r="F6021" t="s">
        <v>4909</v>
      </c>
      <c r="G6021" t="s">
        <v>4909</v>
      </c>
      <c r="H6021" t="s">
        <v>4909</v>
      </c>
      <c r="I6021" t="s">
        <v>4909</v>
      </c>
      <c r="J6021" t="s">
        <v>4909</v>
      </c>
      <c r="K6021" t="s">
        <v>4909</v>
      </c>
    </row>
    <row r="6022" spans="1:11" x14ac:dyDescent="0.2">
      <c r="A6022" t="s">
        <v>4332</v>
      </c>
      <c r="B6022" t="s">
        <v>4909</v>
      </c>
      <c r="C6022" t="s">
        <v>4909</v>
      </c>
      <c r="D6022" t="s">
        <v>4909</v>
      </c>
      <c r="E6022" t="s">
        <v>4909</v>
      </c>
      <c r="F6022" t="s">
        <v>4909</v>
      </c>
      <c r="G6022" t="s">
        <v>4909</v>
      </c>
      <c r="H6022" t="s">
        <v>4909</v>
      </c>
      <c r="I6022" t="s">
        <v>4909</v>
      </c>
      <c r="J6022" t="s">
        <v>4909</v>
      </c>
      <c r="K6022" t="s">
        <v>4909</v>
      </c>
    </row>
    <row r="6023" spans="1:11" x14ac:dyDescent="0.2">
      <c r="A6023" t="s">
        <v>4333</v>
      </c>
      <c r="B6023" t="s">
        <v>4909</v>
      </c>
      <c r="C6023" t="s">
        <v>4909</v>
      </c>
      <c r="D6023" t="s">
        <v>4909</v>
      </c>
      <c r="E6023" t="s">
        <v>4909</v>
      </c>
      <c r="F6023" t="s">
        <v>4909</v>
      </c>
      <c r="G6023" t="s">
        <v>4909</v>
      </c>
      <c r="H6023" t="s">
        <v>4909</v>
      </c>
      <c r="I6023" t="s">
        <v>4909</v>
      </c>
      <c r="J6023" t="s">
        <v>4909</v>
      </c>
      <c r="K6023" t="s">
        <v>4909</v>
      </c>
    </row>
    <row r="6024" spans="1:11" x14ac:dyDescent="0.2">
      <c r="A6024" t="s">
        <v>4334</v>
      </c>
      <c r="B6024" t="s">
        <v>4909</v>
      </c>
      <c r="C6024" t="s">
        <v>4909</v>
      </c>
      <c r="D6024" t="s">
        <v>4909</v>
      </c>
      <c r="E6024" t="s">
        <v>4909</v>
      </c>
      <c r="F6024" t="s">
        <v>4909</v>
      </c>
      <c r="G6024" t="s">
        <v>4909</v>
      </c>
      <c r="H6024" t="s">
        <v>4909</v>
      </c>
      <c r="I6024" t="s">
        <v>4909</v>
      </c>
      <c r="J6024" t="s">
        <v>4909</v>
      </c>
      <c r="K6024" t="s">
        <v>4909</v>
      </c>
    </row>
    <row r="6025" spans="1:11" x14ac:dyDescent="0.2">
      <c r="A6025" t="s">
        <v>4335</v>
      </c>
      <c r="B6025" t="s">
        <v>4909</v>
      </c>
      <c r="C6025" t="s">
        <v>4909</v>
      </c>
      <c r="D6025" t="s">
        <v>4909</v>
      </c>
      <c r="E6025" t="s">
        <v>4909</v>
      </c>
      <c r="F6025" t="s">
        <v>4909</v>
      </c>
      <c r="G6025" t="s">
        <v>4909</v>
      </c>
      <c r="H6025" t="s">
        <v>4909</v>
      </c>
      <c r="I6025" t="s">
        <v>4909</v>
      </c>
      <c r="J6025" t="s">
        <v>4909</v>
      </c>
      <c r="K6025" t="s">
        <v>4909</v>
      </c>
    </row>
    <row r="6026" spans="1:11" x14ac:dyDescent="0.2">
      <c r="A6026" t="s">
        <v>4336</v>
      </c>
      <c r="B6026" t="s">
        <v>4909</v>
      </c>
      <c r="C6026" t="s">
        <v>4909</v>
      </c>
      <c r="D6026" t="s">
        <v>4909</v>
      </c>
      <c r="E6026" t="s">
        <v>4909</v>
      </c>
      <c r="F6026" t="s">
        <v>4909</v>
      </c>
      <c r="G6026" t="s">
        <v>4909</v>
      </c>
      <c r="H6026" t="s">
        <v>4909</v>
      </c>
      <c r="I6026" t="s">
        <v>4909</v>
      </c>
      <c r="J6026" t="s">
        <v>4909</v>
      </c>
      <c r="K6026" t="s">
        <v>4909</v>
      </c>
    </row>
    <row r="6027" spans="1:11" x14ac:dyDescent="0.2">
      <c r="A6027" t="s">
        <v>4337</v>
      </c>
      <c r="B6027" t="s">
        <v>4909</v>
      </c>
      <c r="C6027" t="s">
        <v>4909</v>
      </c>
      <c r="D6027" t="s">
        <v>4909</v>
      </c>
      <c r="E6027" t="s">
        <v>4909</v>
      </c>
      <c r="F6027" t="s">
        <v>4909</v>
      </c>
      <c r="G6027" t="s">
        <v>4909</v>
      </c>
      <c r="H6027" t="s">
        <v>4909</v>
      </c>
      <c r="I6027" t="s">
        <v>4909</v>
      </c>
      <c r="J6027" t="s">
        <v>4909</v>
      </c>
      <c r="K6027" t="s">
        <v>4909</v>
      </c>
    </row>
    <row r="6028" spans="1:11" x14ac:dyDescent="0.2">
      <c r="A6028" t="s">
        <v>4338</v>
      </c>
      <c r="B6028" t="s">
        <v>4909</v>
      </c>
      <c r="C6028" t="s">
        <v>4909</v>
      </c>
      <c r="D6028" t="s">
        <v>4909</v>
      </c>
      <c r="E6028" t="s">
        <v>4909</v>
      </c>
      <c r="F6028" s="88">
        <v>0</v>
      </c>
      <c r="G6028" t="s">
        <v>4909</v>
      </c>
      <c r="H6028" t="s">
        <v>4909</v>
      </c>
      <c r="I6028" t="s">
        <v>4909</v>
      </c>
      <c r="J6028" t="s">
        <v>4909</v>
      </c>
      <c r="K6028" t="s">
        <v>4909</v>
      </c>
    </row>
    <row r="6029" spans="1:11" x14ac:dyDescent="0.2">
      <c r="A6029" t="s">
        <v>4339</v>
      </c>
      <c r="B6029" t="s">
        <v>4909</v>
      </c>
      <c r="C6029" t="s">
        <v>4909</v>
      </c>
      <c r="D6029" t="s">
        <v>4909</v>
      </c>
      <c r="E6029" t="s">
        <v>4909</v>
      </c>
      <c r="F6029" t="s">
        <v>4909</v>
      </c>
      <c r="G6029" t="s">
        <v>4909</v>
      </c>
      <c r="H6029" t="s">
        <v>4909</v>
      </c>
      <c r="I6029" t="s">
        <v>4909</v>
      </c>
      <c r="J6029" t="s">
        <v>4909</v>
      </c>
      <c r="K6029" t="s">
        <v>4909</v>
      </c>
    </row>
    <row r="6030" spans="1:11" x14ac:dyDescent="0.2">
      <c r="A6030" t="s">
        <v>4340</v>
      </c>
      <c r="B6030" t="s">
        <v>4909</v>
      </c>
      <c r="C6030" t="s">
        <v>4909</v>
      </c>
      <c r="D6030" t="s">
        <v>4909</v>
      </c>
      <c r="E6030" t="s">
        <v>4909</v>
      </c>
      <c r="F6030" t="s">
        <v>4909</v>
      </c>
      <c r="G6030" t="s">
        <v>4909</v>
      </c>
      <c r="H6030" t="s">
        <v>4909</v>
      </c>
      <c r="I6030" t="s">
        <v>4909</v>
      </c>
      <c r="J6030" t="s">
        <v>4909</v>
      </c>
      <c r="K6030" t="s">
        <v>4909</v>
      </c>
    </row>
    <row r="6031" spans="1:11" x14ac:dyDescent="0.2">
      <c r="A6031" t="s">
        <v>4341</v>
      </c>
      <c r="B6031" t="s">
        <v>4909</v>
      </c>
      <c r="C6031" t="s">
        <v>4909</v>
      </c>
      <c r="D6031" t="s">
        <v>4909</v>
      </c>
      <c r="E6031" t="s">
        <v>4909</v>
      </c>
      <c r="F6031" t="s">
        <v>4909</v>
      </c>
      <c r="G6031" t="s">
        <v>4909</v>
      </c>
      <c r="H6031" t="s">
        <v>4909</v>
      </c>
      <c r="I6031" t="s">
        <v>4909</v>
      </c>
      <c r="J6031" t="s">
        <v>4909</v>
      </c>
      <c r="K6031" t="s">
        <v>4909</v>
      </c>
    </row>
    <row r="6032" spans="1:11" x14ac:dyDescent="0.2">
      <c r="A6032" t="s">
        <v>4342</v>
      </c>
      <c r="B6032" t="s">
        <v>4909</v>
      </c>
      <c r="C6032" t="s">
        <v>4909</v>
      </c>
      <c r="D6032" t="s">
        <v>4909</v>
      </c>
      <c r="E6032" t="s">
        <v>4909</v>
      </c>
      <c r="F6032" t="s">
        <v>4909</v>
      </c>
      <c r="G6032" t="s">
        <v>4909</v>
      </c>
      <c r="H6032" t="s">
        <v>4909</v>
      </c>
      <c r="I6032" t="s">
        <v>4909</v>
      </c>
      <c r="J6032" t="s">
        <v>4909</v>
      </c>
      <c r="K6032" t="s">
        <v>4909</v>
      </c>
    </row>
    <row r="6033" spans="1:11" x14ac:dyDescent="0.2">
      <c r="A6033" t="s">
        <v>4343</v>
      </c>
      <c r="B6033" t="s">
        <v>4909</v>
      </c>
      <c r="C6033" t="s">
        <v>4909</v>
      </c>
      <c r="D6033" t="s">
        <v>4909</v>
      </c>
      <c r="E6033" t="s">
        <v>4909</v>
      </c>
      <c r="F6033" t="s">
        <v>4909</v>
      </c>
      <c r="G6033" t="s">
        <v>4909</v>
      </c>
      <c r="H6033" t="s">
        <v>4909</v>
      </c>
      <c r="I6033" t="s">
        <v>4909</v>
      </c>
      <c r="J6033" t="s">
        <v>4909</v>
      </c>
      <c r="K6033" t="s">
        <v>4909</v>
      </c>
    </row>
    <row r="6034" spans="1:11" x14ac:dyDescent="0.2">
      <c r="A6034" t="s">
        <v>1728</v>
      </c>
      <c r="B6034" t="s">
        <v>4909</v>
      </c>
      <c r="C6034" t="s">
        <v>4909</v>
      </c>
      <c r="D6034" t="s">
        <v>4909</v>
      </c>
      <c r="E6034" t="s">
        <v>4909</v>
      </c>
      <c r="F6034" t="s">
        <v>4909</v>
      </c>
      <c r="G6034" t="s">
        <v>4909</v>
      </c>
      <c r="H6034" t="s">
        <v>4909</v>
      </c>
      <c r="I6034" t="s">
        <v>4909</v>
      </c>
      <c r="J6034" t="s">
        <v>4909</v>
      </c>
      <c r="K6034" t="s">
        <v>4909</v>
      </c>
    </row>
    <row r="6035" spans="1:11" x14ac:dyDescent="0.2">
      <c r="A6035" t="s">
        <v>1730</v>
      </c>
      <c r="B6035" t="s">
        <v>4909</v>
      </c>
      <c r="C6035" s="88">
        <v>5.0000000000000001E-3</v>
      </c>
      <c r="D6035" s="88">
        <v>1E-3</v>
      </c>
      <c r="E6035" t="s">
        <v>4909</v>
      </c>
      <c r="F6035" s="88">
        <v>0.05</v>
      </c>
      <c r="G6035" t="s">
        <v>4909</v>
      </c>
      <c r="H6035" s="88">
        <v>7.0000000000000001E-3</v>
      </c>
      <c r="I6035" s="88">
        <v>3.3000000000000002E-2</v>
      </c>
      <c r="J6035" t="s">
        <v>4909</v>
      </c>
      <c r="K6035" s="88">
        <v>6.0000000000000001E-3</v>
      </c>
    </row>
    <row r="6036" spans="1:11" x14ac:dyDescent="0.2">
      <c r="A6036" t="s">
        <v>1733</v>
      </c>
      <c r="B6036" t="s">
        <v>4909</v>
      </c>
      <c r="C6036" t="s">
        <v>4909</v>
      </c>
      <c r="D6036" t="s">
        <v>4909</v>
      </c>
      <c r="E6036" t="s">
        <v>4909</v>
      </c>
      <c r="F6036" t="s">
        <v>4909</v>
      </c>
      <c r="G6036" t="s">
        <v>4909</v>
      </c>
      <c r="H6036" t="s">
        <v>4909</v>
      </c>
      <c r="I6036" t="s">
        <v>4909</v>
      </c>
      <c r="J6036" t="s">
        <v>4909</v>
      </c>
      <c r="K6036" t="s">
        <v>4909</v>
      </c>
    </row>
    <row r="6037" spans="1:11" x14ac:dyDescent="0.2">
      <c r="A6037" t="s">
        <v>1738</v>
      </c>
      <c r="B6037" t="s">
        <v>4909</v>
      </c>
      <c r="C6037" t="s">
        <v>4909</v>
      </c>
      <c r="D6037" t="s">
        <v>4909</v>
      </c>
      <c r="E6037" t="s">
        <v>4909</v>
      </c>
      <c r="F6037" t="s">
        <v>4909</v>
      </c>
      <c r="G6037" t="s">
        <v>4909</v>
      </c>
      <c r="H6037" t="s">
        <v>4909</v>
      </c>
      <c r="I6037" t="s">
        <v>4909</v>
      </c>
      <c r="J6037" t="s">
        <v>4909</v>
      </c>
      <c r="K6037" t="s">
        <v>4909</v>
      </c>
    </row>
    <row r="6038" spans="1:11" x14ac:dyDescent="0.2">
      <c r="A6038" t="s">
        <v>1744</v>
      </c>
      <c r="B6038" t="s">
        <v>4909</v>
      </c>
      <c r="C6038" t="s">
        <v>4909</v>
      </c>
      <c r="D6038" t="s">
        <v>4909</v>
      </c>
      <c r="E6038" t="s">
        <v>4909</v>
      </c>
      <c r="F6038" t="s">
        <v>4909</v>
      </c>
      <c r="G6038" t="s">
        <v>4909</v>
      </c>
      <c r="H6038" t="s">
        <v>4909</v>
      </c>
      <c r="I6038" t="s">
        <v>4909</v>
      </c>
      <c r="J6038" t="s">
        <v>4909</v>
      </c>
      <c r="K6038" t="s">
        <v>4909</v>
      </c>
    </row>
    <row r="6039" spans="1:11" x14ac:dyDescent="0.2">
      <c r="A6039" t="s">
        <v>1747</v>
      </c>
      <c r="B6039" t="s">
        <v>4909</v>
      </c>
      <c r="C6039" t="s">
        <v>4909</v>
      </c>
      <c r="D6039" t="s">
        <v>4909</v>
      </c>
      <c r="E6039" t="s">
        <v>4909</v>
      </c>
      <c r="F6039" t="s">
        <v>4909</v>
      </c>
      <c r="G6039" t="s">
        <v>4909</v>
      </c>
      <c r="H6039" t="s">
        <v>4909</v>
      </c>
      <c r="I6039" t="s">
        <v>4909</v>
      </c>
      <c r="J6039" t="s">
        <v>4909</v>
      </c>
      <c r="K6039" t="s">
        <v>4909</v>
      </c>
    </row>
    <row r="6040" spans="1:11" x14ac:dyDescent="0.2">
      <c r="A6040" t="s">
        <v>1751</v>
      </c>
      <c r="B6040" t="s">
        <v>4909</v>
      </c>
      <c r="C6040" t="s">
        <v>4909</v>
      </c>
      <c r="D6040" t="s">
        <v>4909</v>
      </c>
      <c r="E6040" t="s">
        <v>4909</v>
      </c>
      <c r="F6040" t="s">
        <v>4909</v>
      </c>
      <c r="G6040" t="s">
        <v>4909</v>
      </c>
      <c r="H6040" t="s">
        <v>4909</v>
      </c>
      <c r="I6040" t="s">
        <v>4909</v>
      </c>
      <c r="J6040" t="s">
        <v>4909</v>
      </c>
      <c r="K6040" t="s">
        <v>4909</v>
      </c>
    </row>
    <row r="6041" spans="1:11" x14ac:dyDescent="0.2">
      <c r="A6041" t="s">
        <v>1755</v>
      </c>
      <c r="B6041" t="s">
        <v>4909</v>
      </c>
      <c r="C6041" s="88">
        <v>1E-3</v>
      </c>
      <c r="D6041" t="s">
        <v>4909</v>
      </c>
      <c r="E6041" t="s">
        <v>4909</v>
      </c>
      <c r="F6041" s="88">
        <v>6.0000000000000001E-3</v>
      </c>
      <c r="G6041" t="s">
        <v>4909</v>
      </c>
      <c r="H6041" s="88">
        <v>1E-3</v>
      </c>
      <c r="I6041" s="88">
        <v>4.0000000000000001E-3</v>
      </c>
      <c r="J6041" t="s">
        <v>4909</v>
      </c>
      <c r="K6041" s="88">
        <v>1E-3</v>
      </c>
    </row>
    <row r="6042" spans="1:11" x14ac:dyDescent="0.2">
      <c r="A6042" t="s">
        <v>1757</v>
      </c>
      <c r="B6042" t="s">
        <v>4909</v>
      </c>
      <c r="C6042" s="88">
        <v>0</v>
      </c>
      <c r="D6042" s="88">
        <v>0</v>
      </c>
      <c r="E6042" t="s">
        <v>4909</v>
      </c>
      <c r="F6042" s="88">
        <v>4.0000000000000001E-3</v>
      </c>
      <c r="G6042" t="s">
        <v>4909</v>
      </c>
      <c r="H6042" s="88">
        <v>0</v>
      </c>
      <c r="I6042" s="88">
        <v>3.0000000000000001E-3</v>
      </c>
      <c r="J6042" t="s">
        <v>4909</v>
      </c>
      <c r="K6042" s="88">
        <v>0</v>
      </c>
    </row>
    <row r="6043" spans="1:11" x14ac:dyDescent="0.2">
      <c r="A6043" t="s">
        <v>1761</v>
      </c>
      <c r="B6043" t="s">
        <v>4909</v>
      </c>
      <c r="C6043" t="s">
        <v>4909</v>
      </c>
      <c r="D6043" t="s">
        <v>4909</v>
      </c>
      <c r="E6043" t="s">
        <v>4909</v>
      </c>
      <c r="F6043" t="s">
        <v>4909</v>
      </c>
      <c r="G6043" t="s">
        <v>4909</v>
      </c>
      <c r="H6043" t="s">
        <v>4909</v>
      </c>
      <c r="I6043" t="s">
        <v>4909</v>
      </c>
      <c r="J6043" t="s">
        <v>4909</v>
      </c>
      <c r="K6043" t="s">
        <v>4909</v>
      </c>
    </row>
    <row r="6044" spans="1:11" x14ac:dyDescent="0.2">
      <c r="A6044" t="s">
        <v>1764</v>
      </c>
      <c r="B6044" t="s">
        <v>4909</v>
      </c>
      <c r="C6044" t="s">
        <v>4909</v>
      </c>
      <c r="D6044" t="s">
        <v>4909</v>
      </c>
      <c r="E6044" t="s">
        <v>4909</v>
      </c>
      <c r="F6044" t="s">
        <v>4909</v>
      </c>
      <c r="G6044" t="s">
        <v>4909</v>
      </c>
      <c r="H6044" t="s">
        <v>4909</v>
      </c>
      <c r="I6044" t="s">
        <v>4909</v>
      </c>
      <c r="J6044" t="s">
        <v>4909</v>
      </c>
      <c r="K6044" t="s">
        <v>4909</v>
      </c>
    </row>
    <row r="6045" spans="1:11" x14ac:dyDescent="0.2">
      <c r="A6045" t="s">
        <v>1770</v>
      </c>
      <c r="B6045" t="s">
        <v>4909</v>
      </c>
      <c r="C6045" s="88">
        <v>1.9E-2</v>
      </c>
      <c r="D6045" s="88">
        <v>0</v>
      </c>
      <c r="E6045" t="s">
        <v>4909</v>
      </c>
      <c r="F6045" s="88">
        <v>2.1999999999999999E-2</v>
      </c>
      <c r="G6045" t="s">
        <v>4909</v>
      </c>
      <c r="H6045" s="88">
        <v>3.0000000000000001E-3</v>
      </c>
      <c r="I6045" s="88">
        <v>0.06</v>
      </c>
      <c r="J6045" t="s">
        <v>4909</v>
      </c>
      <c r="K6045" s="88">
        <v>1.2E-2</v>
      </c>
    </row>
    <row r="6046" spans="1:11" x14ac:dyDescent="0.2">
      <c r="A6046" t="s">
        <v>1772</v>
      </c>
      <c r="B6046" t="s">
        <v>4909</v>
      </c>
      <c r="C6046" s="88">
        <v>2.1000000000000001E-2</v>
      </c>
      <c r="D6046" s="88">
        <v>0</v>
      </c>
      <c r="E6046" t="s">
        <v>4909</v>
      </c>
      <c r="F6046" s="88">
        <v>2.7E-2</v>
      </c>
      <c r="G6046" t="s">
        <v>4909</v>
      </c>
      <c r="H6046" s="88">
        <v>3.0000000000000001E-3</v>
      </c>
      <c r="I6046" s="88">
        <v>8.3000000000000004E-2</v>
      </c>
      <c r="J6046" t="s">
        <v>4909</v>
      </c>
      <c r="K6046" s="88">
        <v>1.7000000000000001E-2</v>
      </c>
    </row>
    <row r="6047" spans="1:11" x14ac:dyDescent="0.2">
      <c r="A6047" t="s">
        <v>1774</v>
      </c>
      <c r="B6047" t="s">
        <v>4909</v>
      </c>
      <c r="C6047" s="88">
        <v>5.0000000000000001E-3</v>
      </c>
      <c r="D6047" t="s">
        <v>4909</v>
      </c>
      <c r="E6047" t="s">
        <v>4909</v>
      </c>
      <c r="F6047" s="88">
        <v>5.0000000000000001E-3</v>
      </c>
      <c r="G6047" t="s">
        <v>4909</v>
      </c>
      <c r="H6047" t="s">
        <v>4909</v>
      </c>
      <c r="I6047" s="88">
        <v>1.7000000000000001E-2</v>
      </c>
      <c r="J6047" t="s">
        <v>4909</v>
      </c>
      <c r="K6047" s="88">
        <v>2E-3</v>
      </c>
    </row>
    <row r="6048" spans="1:11" x14ac:dyDescent="0.2">
      <c r="A6048" t="s">
        <v>1777</v>
      </c>
      <c r="B6048" t="s">
        <v>4909</v>
      </c>
      <c r="C6048" t="s">
        <v>4909</v>
      </c>
      <c r="D6048" t="s">
        <v>4909</v>
      </c>
      <c r="E6048" t="s">
        <v>4909</v>
      </c>
      <c r="F6048" t="s">
        <v>4909</v>
      </c>
      <c r="G6048" t="s">
        <v>4909</v>
      </c>
      <c r="H6048" t="s">
        <v>4909</v>
      </c>
      <c r="I6048" t="s">
        <v>4909</v>
      </c>
      <c r="J6048" t="s">
        <v>4909</v>
      </c>
      <c r="K6048" t="s">
        <v>4909</v>
      </c>
    </row>
    <row r="6049" spans="1:11" x14ac:dyDescent="0.2">
      <c r="A6049" t="s">
        <v>1782</v>
      </c>
      <c r="B6049" t="s">
        <v>4909</v>
      </c>
      <c r="C6049" t="s">
        <v>4909</v>
      </c>
      <c r="D6049" t="s">
        <v>4909</v>
      </c>
      <c r="E6049" t="s">
        <v>4909</v>
      </c>
      <c r="F6049" t="s">
        <v>4909</v>
      </c>
      <c r="G6049" t="s">
        <v>4909</v>
      </c>
      <c r="H6049" t="s">
        <v>4909</v>
      </c>
      <c r="I6049" t="s">
        <v>4909</v>
      </c>
      <c r="J6049" t="s">
        <v>4909</v>
      </c>
      <c r="K6049" t="s">
        <v>4909</v>
      </c>
    </row>
    <row r="6050" spans="1:11" x14ac:dyDescent="0.2">
      <c r="A6050" t="s">
        <v>1274</v>
      </c>
      <c r="B6050" t="s">
        <v>4909</v>
      </c>
      <c r="C6050" t="s">
        <v>4909</v>
      </c>
      <c r="D6050" t="s">
        <v>4909</v>
      </c>
      <c r="E6050" t="s">
        <v>4909</v>
      </c>
      <c r="F6050" s="88">
        <v>0</v>
      </c>
      <c r="G6050" t="s">
        <v>4909</v>
      </c>
      <c r="H6050" t="s">
        <v>4909</v>
      </c>
      <c r="I6050" s="88">
        <v>0</v>
      </c>
      <c r="J6050" t="s">
        <v>4909</v>
      </c>
      <c r="K6050" t="s">
        <v>4909</v>
      </c>
    </row>
    <row r="6051" spans="1:11" x14ac:dyDescent="0.2">
      <c r="A6051" t="s">
        <v>1277</v>
      </c>
      <c r="B6051" t="s">
        <v>4909</v>
      </c>
      <c r="C6051" s="88">
        <v>0</v>
      </c>
      <c r="D6051" t="s">
        <v>4909</v>
      </c>
      <c r="E6051" t="s">
        <v>4909</v>
      </c>
      <c r="F6051" s="88">
        <v>0</v>
      </c>
      <c r="G6051" t="s">
        <v>4909</v>
      </c>
      <c r="H6051" s="88">
        <v>0</v>
      </c>
      <c r="I6051" s="88">
        <v>0</v>
      </c>
      <c r="J6051" t="s">
        <v>4909</v>
      </c>
      <c r="K6051" t="s">
        <v>4909</v>
      </c>
    </row>
    <row r="6052" spans="1:11" x14ac:dyDescent="0.2">
      <c r="A6052" t="s">
        <v>1798</v>
      </c>
      <c r="B6052" t="s">
        <v>4909</v>
      </c>
      <c r="C6052" t="s">
        <v>4909</v>
      </c>
      <c r="D6052" t="s">
        <v>4909</v>
      </c>
      <c r="E6052" t="s">
        <v>4909</v>
      </c>
      <c r="F6052" t="s">
        <v>4909</v>
      </c>
      <c r="G6052" t="s">
        <v>4909</v>
      </c>
      <c r="H6052" t="s">
        <v>4909</v>
      </c>
      <c r="I6052" t="s">
        <v>4909</v>
      </c>
      <c r="J6052" t="s">
        <v>4909</v>
      </c>
      <c r="K6052" t="s">
        <v>4909</v>
      </c>
    </row>
    <row r="6053" spans="1:11" x14ac:dyDescent="0.2">
      <c r="A6053" t="s">
        <v>1803</v>
      </c>
      <c r="B6053" t="s">
        <v>4909</v>
      </c>
      <c r="C6053" t="s">
        <v>4909</v>
      </c>
      <c r="D6053" t="s">
        <v>4909</v>
      </c>
      <c r="E6053" t="s">
        <v>4909</v>
      </c>
      <c r="F6053" t="s">
        <v>4909</v>
      </c>
      <c r="G6053" t="s">
        <v>4909</v>
      </c>
      <c r="H6053" t="s">
        <v>4909</v>
      </c>
      <c r="I6053" t="s">
        <v>4909</v>
      </c>
      <c r="J6053" t="s">
        <v>4909</v>
      </c>
      <c r="K6053" t="s">
        <v>4909</v>
      </c>
    </row>
    <row r="6054" spans="1:11" x14ac:dyDescent="0.2">
      <c r="A6054" t="s">
        <v>1808</v>
      </c>
      <c r="B6054" t="s">
        <v>4909</v>
      </c>
      <c r="C6054" t="s">
        <v>4909</v>
      </c>
      <c r="D6054" t="s">
        <v>4909</v>
      </c>
      <c r="E6054" t="s">
        <v>4909</v>
      </c>
      <c r="F6054" t="s">
        <v>4909</v>
      </c>
      <c r="G6054" t="s">
        <v>4909</v>
      </c>
      <c r="H6054" t="s">
        <v>4909</v>
      </c>
      <c r="I6054" t="s">
        <v>4909</v>
      </c>
      <c r="J6054" t="s">
        <v>4909</v>
      </c>
      <c r="K6054" t="s">
        <v>4909</v>
      </c>
    </row>
    <row r="6055" spans="1:11" x14ac:dyDescent="0.2">
      <c r="A6055" t="s">
        <v>1813</v>
      </c>
      <c r="B6055" t="s">
        <v>4909</v>
      </c>
      <c r="C6055" t="s">
        <v>4909</v>
      </c>
      <c r="D6055" t="s">
        <v>4909</v>
      </c>
      <c r="E6055" t="s">
        <v>4909</v>
      </c>
      <c r="F6055" t="s">
        <v>4909</v>
      </c>
      <c r="G6055" t="s">
        <v>4909</v>
      </c>
      <c r="H6055" t="s">
        <v>4909</v>
      </c>
      <c r="I6055" t="s">
        <v>4909</v>
      </c>
      <c r="J6055" t="s">
        <v>4909</v>
      </c>
      <c r="K6055" t="s">
        <v>4909</v>
      </c>
    </row>
    <row r="6056" spans="1:11" x14ac:dyDescent="0.2">
      <c r="A6056" t="s">
        <v>1819</v>
      </c>
      <c r="B6056" t="s">
        <v>4909</v>
      </c>
      <c r="C6056" t="s">
        <v>4909</v>
      </c>
      <c r="D6056" t="s">
        <v>4909</v>
      </c>
      <c r="E6056" t="s">
        <v>4909</v>
      </c>
      <c r="F6056" s="88">
        <v>0</v>
      </c>
      <c r="G6056" t="s">
        <v>4909</v>
      </c>
      <c r="H6056" t="s">
        <v>4909</v>
      </c>
      <c r="I6056" s="88">
        <v>0</v>
      </c>
      <c r="J6056" t="s">
        <v>4909</v>
      </c>
      <c r="K6056" t="s">
        <v>4909</v>
      </c>
    </row>
    <row r="6057" spans="1:11" x14ac:dyDescent="0.2">
      <c r="A6057" t="s">
        <v>1826</v>
      </c>
      <c r="B6057" t="s">
        <v>4909</v>
      </c>
      <c r="C6057" t="s">
        <v>4909</v>
      </c>
      <c r="D6057" t="s">
        <v>4909</v>
      </c>
      <c r="E6057" t="s">
        <v>4909</v>
      </c>
      <c r="F6057" t="s">
        <v>4909</v>
      </c>
      <c r="G6057" t="s">
        <v>4909</v>
      </c>
      <c r="H6057" t="s">
        <v>4909</v>
      </c>
      <c r="I6057" t="s">
        <v>4909</v>
      </c>
      <c r="J6057" t="s">
        <v>4909</v>
      </c>
      <c r="K6057" t="s">
        <v>4909</v>
      </c>
    </row>
    <row r="6058" spans="1:11" x14ac:dyDescent="0.2">
      <c r="A6058" t="s">
        <v>1830</v>
      </c>
      <c r="B6058" t="s">
        <v>4909</v>
      </c>
      <c r="C6058" t="s">
        <v>4909</v>
      </c>
      <c r="D6058" t="s">
        <v>4909</v>
      </c>
      <c r="E6058" t="s">
        <v>4909</v>
      </c>
      <c r="F6058" t="s">
        <v>4909</v>
      </c>
      <c r="G6058" t="s">
        <v>4909</v>
      </c>
      <c r="H6058" t="s">
        <v>4909</v>
      </c>
      <c r="I6058" t="s">
        <v>4909</v>
      </c>
      <c r="J6058" t="s">
        <v>4909</v>
      </c>
      <c r="K6058" t="s">
        <v>4909</v>
      </c>
    </row>
    <row r="6059" spans="1:11" x14ac:dyDescent="0.2">
      <c r="A6059" t="s">
        <v>1836</v>
      </c>
      <c r="B6059" t="s">
        <v>4909</v>
      </c>
      <c r="C6059" t="s">
        <v>4909</v>
      </c>
      <c r="D6059" t="s">
        <v>4909</v>
      </c>
      <c r="E6059" t="s">
        <v>4909</v>
      </c>
      <c r="F6059" t="s">
        <v>4909</v>
      </c>
      <c r="G6059" t="s">
        <v>4909</v>
      </c>
      <c r="H6059" t="s">
        <v>4909</v>
      </c>
      <c r="I6059" t="s">
        <v>4909</v>
      </c>
      <c r="J6059" t="s">
        <v>4909</v>
      </c>
      <c r="K6059" t="s">
        <v>4909</v>
      </c>
    </row>
    <row r="6060" spans="1:11" x14ac:dyDescent="0.2">
      <c r="A6060" t="s">
        <v>1841</v>
      </c>
      <c r="B6060" t="s">
        <v>4909</v>
      </c>
      <c r="C6060" t="s">
        <v>4909</v>
      </c>
      <c r="D6060" t="s">
        <v>4909</v>
      </c>
      <c r="E6060" t="s">
        <v>4909</v>
      </c>
      <c r="F6060" t="s">
        <v>4909</v>
      </c>
      <c r="G6060" t="s">
        <v>4909</v>
      </c>
      <c r="H6060" t="s">
        <v>4909</v>
      </c>
      <c r="I6060" t="s">
        <v>4909</v>
      </c>
      <c r="J6060" t="s">
        <v>4909</v>
      </c>
      <c r="K6060" t="s">
        <v>4909</v>
      </c>
    </row>
    <row r="6061" spans="1:11" x14ac:dyDescent="0.2">
      <c r="A6061" t="s">
        <v>1842</v>
      </c>
      <c r="B6061" t="s">
        <v>4909</v>
      </c>
      <c r="C6061" s="88">
        <v>1.0999999999999999E-2</v>
      </c>
      <c r="D6061" s="88">
        <v>1E-3</v>
      </c>
      <c r="E6061" t="s">
        <v>4909</v>
      </c>
      <c r="F6061" s="88">
        <v>6.7000000000000004E-2</v>
      </c>
      <c r="G6061" t="s">
        <v>4909</v>
      </c>
      <c r="H6061" s="88">
        <v>0.01</v>
      </c>
      <c r="I6061" s="88">
        <v>4.9000000000000002E-2</v>
      </c>
      <c r="J6061" t="s">
        <v>4909</v>
      </c>
      <c r="K6061" s="88">
        <v>0.01</v>
      </c>
    </row>
    <row r="6062" spans="1:11" x14ac:dyDescent="0.2">
      <c r="A6062" t="s">
        <v>1843</v>
      </c>
      <c r="B6062" t="s">
        <v>4909</v>
      </c>
      <c r="C6062" t="s">
        <v>4909</v>
      </c>
      <c r="D6062" t="s">
        <v>4909</v>
      </c>
      <c r="E6062" t="s">
        <v>4909</v>
      </c>
      <c r="F6062" t="s">
        <v>4909</v>
      </c>
      <c r="G6062" t="s">
        <v>4909</v>
      </c>
      <c r="H6062" t="s">
        <v>4909</v>
      </c>
      <c r="I6062" t="s">
        <v>4909</v>
      </c>
      <c r="J6062" t="s">
        <v>4909</v>
      </c>
      <c r="K6062" t="s">
        <v>4909</v>
      </c>
    </row>
    <row r="6063" spans="1:11" x14ac:dyDescent="0.2">
      <c r="A6063" t="s">
        <v>1846</v>
      </c>
      <c r="B6063" t="s">
        <v>4909</v>
      </c>
      <c r="C6063" t="s">
        <v>4909</v>
      </c>
      <c r="D6063" t="s">
        <v>4909</v>
      </c>
      <c r="E6063" t="s">
        <v>4909</v>
      </c>
      <c r="F6063" t="s">
        <v>4909</v>
      </c>
      <c r="G6063" t="s">
        <v>4909</v>
      </c>
      <c r="H6063" t="s">
        <v>4909</v>
      </c>
      <c r="I6063" t="s">
        <v>4909</v>
      </c>
      <c r="J6063" t="s">
        <v>4909</v>
      </c>
      <c r="K6063" t="s">
        <v>4909</v>
      </c>
    </row>
    <row r="6064" spans="1:11" x14ac:dyDescent="0.2">
      <c r="A6064" t="s">
        <v>1851</v>
      </c>
      <c r="B6064" t="s">
        <v>4909</v>
      </c>
      <c r="C6064" s="88">
        <v>0</v>
      </c>
      <c r="D6064" s="88">
        <v>0</v>
      </c>
      <c r="E6064" t="s">
        <v>4909</v>
      </c>
      <c r="F6064" s="88">
        <v>2E-3</v>
      </c>
      <c r="G6064" t="s">
        <v>4909</v>
      </c>
      <c r="H6064" s="88">
        <v>0</v>
      </c>
      <c r="I6064" s="88">
        <v>1E-3</v>
      </c>
      <c r="J6064" t="s">
        <v>4909</v>
      </c>
      <c r="K6064" s="88">
        <v>0</v>
      </c>
    </row>
    <row r="6065" spans="1:11" x14ac:dyDescent="0.2">
      <c r="A6065" t="s">
        <v>1857</v>
      </c>
      <c r="B6065" t="s">
        <v>4909</v>
      </c>
      <c r="C6065" t="s">
        <v>4909</v>
      </c>
      <c r="D6065" t="s">
        <v>4909</v>
      </c>
      <c r="E6065" t="s">
        <v>4909</v>
      </c>
      <c r="F6065" t="s">
        <v>4909</v>
      </c>
      <c r="G6065" t="s">
        <v>4909</v>
      </c>
      <c r="H6065" t="s">
        <v>4909</v>
      </c>
      <c r="I6065" t="s">
        <v>4909</v>
      </c>
      <c r="J6065" t="s">
        <v>4909</v>
      </c>
      <c r="K6065" t="s">
        <v>4909</v>
      </c>
    </row>
    <row r="6066" spans="1:11" x14ac:dyDescent="0.2">
      <c r="A6066" t="s">
        <v>1862</v>
      </c>
      <c r="B6066" t="s">
        <v>4909</v>
      </c>
      <c r="C6066" t="s">
        <v>4909</v>
      </c>
      <c r="D6066" t="s">
        <v>4909</v>
      </c>
      <c r="E6066" t="s">
        <v>4909</v>
      </c>
      <c r="F6066" t="s">
        <v>4909</v>
      </c>
      <c r="G6066" t="s">
        <v>4909</v>
      </c>
      <c r="H6066" t="s">
        <v>4909</v>
      </c>
      <c r="I6066" t="s">
        <v>4909</v>
      </c>
      <c r="J6066" t="s">
        <v>4909</v>
      </c>
      <c r="K6066" t="s">
        <v>4909</v>
      </c>
    </row>
    <row r="6067" spans="1:11" x14ac:dyDescent="0.2">
      <c r="A6067" t="s">
        <v>1867</v>
      </c>
      <c r="B6067" t="s">
        <v>4909</v>
      </c>
      <c r="C6067" t="s">
        <v>4909</v>
      </c>
      <c r="D6067" t="s">
        <v>4909</v>
      </c>
      <c r="E6067" t="s">
        <v>4909</v>
      </c>
      <c r="F6067" t="s">
        <v>4909</v>
      </c>
      <c r="G6067" t="s">
        <v>4909</v>
      </c>
      <c r="H6067" t="s">
        <v>4909</v>
      </c>
      <c r="I6067" t="s">
        <v>4909</v>
      </c>
      <c r="J6067" t="s">
        <v>4909</v>
      </c>
      <c r="K6067" t="s">
        <v>4909</v>
      </c>
    </row>
    <row r="6068" spans="1:11" x14ac:dyDescent="0.2">
      <c r="A6068" t="s">
        <v>1870</v>
      </c>
      <c r="B6068" t="s">
        <v>4909</v>
      </c>
      <c r="C6068" t="s">
        <v>4909</v>
      </c>
      <c r="D6068" t="s">
        <v>4909</v>
      </c>
      <c r="E6068" t="s">
        <v>4909</v>
      </c>
      <c r="F6068" t="s">
        <v>4909</v>
      </c>
      <c r="G6068" t="s">
        <v>4909</v>
      </c>
      <c r="H6068" t="s">
        <v>4909</v>
      </c>
      <c r="I6068" t="s">
        <v>4909</v>
      </c>
      <c r="J6068" t="s">
        <v>4909</v>
      </c>
      <c r="K6068" t="s">
        <v>4909</v>
      </c>
    </row>
    <row r="6069" spans="1:11" x14ac:dyDescent="0.2">
      <c r="A6069" t="s">
        <v>1874</v>
      </c>
      <c r="B6069" t="s">
        <v>4909</v>
      </c>
      <c r="C6069" s="88">
        <v>1E-3</v>
      </c>
      <c r="D6069" t="s">
        <v>4909</v>
      </c>
      <c r="E6069" t="s">
        <v>4909</v>
      </c>
      <c r="F6069" s="88">
        <v>4.0000000000000001E-3</v>
      </c>
      <c r="G6069" t="s">
        <v>4909</v>
      </c>
      <c r="H6069" s="88">
        <v>0</v>
      </c>
      <c r="I6069" s="88">
        <v>4.0000000000000001E-3</v>
      </c>
      <c r="J6069" t="s">
        <v>4909</v>
      </c>
      <c r="K6069" s="88">
        <v>0</v>
      </c>
    </row>
    <row r="6070" spans="1:11" x14ac:dyDescent="0.2">
      <c r="A6070" t="s">
        <v>1876</v>
      </c>
      <c r="B6070" t="s">
        <v>4909</v>
      </c>
      <c r="C6070" t="s">
        <v>4909</v>
      </c>
      <c r="D6070" t="s">
        <v>4909</v>
      </c>
      <c r="E6070" t="s">
        <v>4909</v>
      </c>
      <c r="F6070" t="s">
        <v>4909</v>
      </c>
      <c r="G6070" t="s">
        <v>4909</v>
      </c>
      <c r="H6070" t="s">
        <v>4909</v>
      </c>
      <c r="I6070" t="s">
        <v>4909</v>
      </c>
      <c r="J6070" t="s">
        <v>4909</v>
      </c>
      <c r="K6070" t="s">
        <v>4909</v>
      </c>
    </row>
    <row r="6071" spans="1:11" x14ac:dyDescent="0.2">
      <c r="A6071" t="s">
        <v>1881</v>
      </c>
      <c r="B6071" t="s">
        <v>4909</v>
      </c>
      <c r="C6071" t="s">
        <v>4909</v>
      </c>
      <c r="D6071" t="s">
        <v>4909</v>
      </c>
      <c r="E6071" t="s">
        <v>4909</v>
      </c>
      <c r="F6071" t="s">
        <v>4909</v>
      </c>
      <c r="G6071" t="s">
        <v>4909</v>
      </c>
      <c r="H6071" t="s">
        <v>4909</v>
      </c>
      <c r="I6071" t="s">
        <v>4909</v>
      </c>
      <c r="J6071" t="s">
        <v>4909</v>
      </c>
      <c r="K6071" t="s">
        <v>4909</v>
      </c>
    </row>
    <row r="6072" spans="1:11" x14ac:dyDescent="0.2">
      <c r="A6072" t="s">
        <v>1885</v>
      </c>
      <c r="B6072" t="s">
        <v>4909</v>
      </c>
      <c r="C6072" s="88">
        <v>8.0000000000000002E-3</v>
      </c>
      <c r="D6072" s="88">
        <v>0</v>
      </c>
      <c r="E6072" t="s">
        <v>4909</v>
      </c>
      <c r="F6072" s="88">
        <v>4.7E-2</v>
      </c>
      <c r="G6072" t="s">
        <v>4909</v>
      </c>
      <c r="H6072" s="88">
        <v>7.0000000000000001E-3</v>
      </c>
      <c r="I6072" s="88">
        <v>3.3000000000000002E-2</v>
      </c>
      <c r="J6072" t="s">
        <v>4909</v>
      </c>
      <c r="K6072" s="88">
        <v>7.0000000000000001E-3</v>
      </c>
    </row>
    <row r="6073" spans="1:11" x14ac:dyDescent="0.2">
      <c r="A6073" t="s">
        <v>1887</v>
      </c>
      <c r="B6073" t="s">
        <v>4909</v>
      </c>
      <c r="C6073" s="88">
        <v>6.0000000000000001E-3</v>
      </c>
      <c r="D6073" s="88">
        <v>0</v>
      </c>
      <c r="E6073" t="s">
        <v>4909</v>
      </c>
      <c r="F6073" s="88">
        <v>4.5999999999999999E-2</v>
      </c>
      <c r="G6073" t="s">
        <v>4909</v>
      </c>
      <c r="H6073" s="88">
        <v>7.0000000000000001E-3</v>
      </c>
      <c r="I6073" s="88">
        <v>0.03</v>
      </c>
      <c r="J6073" t="s">
        <v>4909</v>
      </c>
      <c r="K6073" s="88">
        <v>6.0000000000000001E-3</v>
      </c>
    </row>
    <row r="6074" spans="1:11" x14ac:dyDescent="0.2">
      <c r="A6074" t="s">
        <v>1893</v>
      </c>
      <c r="B6074" t="s">
        <v>4909</v>
      </c>
      <c r="C6074" s="88">
        <v>8.0000000000000002E-3</v>
      </c>
      <c r="D6074" s="88">
        <v>1E-3</v>
      </c>
      <c r="E6074" t="s">
        <v>4909</v>
      </c>
      <c r="F6074" s="88">
        <v>5.0999999999999997E-2</v>
      </c>
      <c r="G6074" t="s">
        <v>4909</v>
      </c>
      <c r="H6074" s="88">
        <v>7.0000000000000001E-3</v>
      </c>
      <c r="I6074" s="88">
        <v>3.5999999999999997E-2</v>
      </c>
      <c r="J6074" t="s">
        <v>4909</v>
      </c>
      <c r="K6074" s="88">
        <v>7.0000000000000001E-3</v>
      </c>
    </row>
    <row r="6075" spans="1:11" x14ac:dyDescent="0.2">
      <c r="A6075" t="s">
        <v>1899</v>
      </c>
      <c r="B6075" t="s">
        <v>4909</v>
      </c>
      <c r="C6075" t="s">
        <v>4909</v>
      </c>
      <c r="D6075" t="s">
        <v>4909</v>
      </c>
      <c r="E6075" t="s">
        <v>4909</v>
      </c>
      <c r="F6075" t="s">
        <v>4909</v>
      </c>
      <c r="G6075" t="s">
        <v>4909</v>
      </c>
      <c r="H6075" t="s">
        <v>4909</v>
      </c>
      <c r="I6075" t="s">
        <v>4909</v>
      </c>
      <c r="J6075" t="s">
        <v>4909</v>
      </c>
      <c r="K6075" t="s">
        <v>4909</v>
      </c>
    </row>
    <row r="6076" spans="1:11" x14ac:dyDescent="0.2">
      <c r="A6076" t="s">
        <v>1906</v>
      </c>
      <c r="B6076" t="s">
        <v>4909</v>
      </c>
      <c r="C6076" t="s">
        <v>4909</v>
      </c>
      <c r="D6076" t="s">
        <v>4909</v>
      </c>
      <c r="E6076" t="s">
        <v>4909</v>
      </c>
      <c r="F6076" t="s">
        <v>4909</v>
      </c>
      <c r="G6076" t="s">
        <v>4909</v>
      </c>
      <c r="H6076" t="s">
        <v>4909</v>
      </c>
      <c r="I6076" t="s">
        <v>4909</v>
      </c>
      <c r="J6076" t="s">
        <v>4909</v>
      </c>
      <c r="K6076" t="s">
        <v>4909</v>
      </c>
    </row>
    <row r="6077" spans="1:11" x14ac:dyDescent="0.2">
      <c r="A6077" t="s">
        <v>1911</v>
      </c>
      <c r="B6077" t="s">
        <v>4909</v>
      </c>
      <c r="C6077" t="s">
        <v>4909</v>
      </c>
      <c r="D6077" t="s">
        <v>4909</v>
      </c>
      <c r="E6077" t="s">
        <v>4909</v>
      </c>
      <c r="F6077" t="s">
        <v>4909</v>
      </c>
      <c r="G6077" t="s">
        <v>4909</v>
      </c>
      <c r="H6077" t="s">
        <v>4909</v>
      </c>
      <c r="I6077" t="s">
        <v>4909</v>
      </c>
      <c r="J6077" t="s">
        <v>4909</v>
      </c>
      <c r="K6077" t="s">
        <v>4909</v>
      </c>
    </row>
    <row r="6078" spans="1:11" x14ac:dyDescent="0.2">
      <c r="A6078" t="s">
        <v>1917</v>
      </c>
      <c r="B6078" t="s">
        <v>4909</v>
      </c>
      <c r="C6078" s="88">
        <v>0</v>
      </c>
      <c r="D6078" s="88">
        <v>0</v>
      </c>
      <c r="E6078" t="s">
        <v>4909</v>
      </c>
      <c r="F6078" s="88">
        <v>2.5999999999999999E-2</v>
      </c>
      <c r="G6078" t="s">
        <v>4909</v>
      </c>
      <c r="H6078" s="88">
        <v>3.0000000000000001E-3</v>
      </c>
      <c r="I6078" s="88">
        <v>1.4999999999999999E-2</v>
      </c>
      <c r="J6078" t="s">
        <v>4909</v>
      </c>
      <c r="K6078" s="88">
        <v>3.0000000000000001E-3</v>
      </c>
    </row>
    <row r="6079" spans="1:11" x14ac:dyDescent="0.2">
      <c r="A6079" t="s">
        <v>1922</v>
      </c>
      <c r="B6079" t="s">
        <v>4909</v>
      </c>
      <c r="C6079" s="88">
        <v>2E-3</v>
      </c>
      <c r="D6079" t="s">
        <v>4909</v>
      </c>
      <c r="E6079" t="s">
        <v>4909</v>
      </c>
      <c r="F6079" s="88">
        <v>8.9999999999999993E-3</v>
      </c>
      <c r="G6079" t="s">
        <v>4909</v>
      </c>
      <c r="H6079" s="88">
        <v>1E-3</v>
      </c>
      <c r="I6079" s="88">
        <v>6.0000000000000001E-3</v>
      </c>
      <c r="J6079" t="s">
        <v>4909</v>
      </c>
      <c r="K6079" s="88">
        <v>1E-3</v>
      </c>
    </row>
    <row r="6080" spans="1:11" x14ac:dyDescent="0.2">
      <c r="A6080" t="s">
        <v>1928</v>
      </c>
      <c r="B6080" t="s">
        <v>4909</v>
      </c>
      <c r="C6080" t="s">
        <v>4909</v>
      </c>
      <c r="D6080" t="s">
        <v>4909</v>
      </c>
      <c r="E6080" t="s">
        <v>4909</v>
      </c>
      <c r="F6080" t="s">
        <v>4909</v>
      </c>
      <c r="G6080" t="s">
        <v>4909</v>
      </c>
      <c r="H6080" t="s">
        <v>4909</v>
      </c>
      <c r="I6080" t="s">
        <v>4909</v>
      </c>
      <c r="J6080" t="s">
        <v>4909</v>
      </c>
      <c r="K6080" t="s">
        <v>4909</v>
      </c>
    </row>
    <row r="6081" spans="1:11" x14ac:dyDescent="0.2">
      <c r="A6081" t="s">
        <v>1932</v>
      </c>
      <c r="B6081" t="s">
        <v>4909</v>
      </c>
      <c r="C6081" t="s">
        <v>4909</v>
      </c>
      <c r="D6081" t="s">
        <v>4909</v>
      </c>
      <c r="E6081" t="s">
        <v>4909</v>
      </c>
      <c r="F6081" t="s">
        <v>4909</v>
      </c>
      <c r="G6081" t="s">
        <v>4909</v>
      </c>
      <c r="H6081" t="s">
        <v>4909</v>
      </c>
      <c r="I6081" t="s">
        <v>4909</v>
      </c>
      <c r="J6081" t="s">
        <v>4909</v>
      </c>
      <c r="K6081" t="s">
        <v>4909</v>
      </c>
    </row>
    <row r="6082" spans="1:11" x14ac:dyDescent="0.2">
      <c r="A6082" t="s">
        <v>1938</v>
      </c>
      <c r="B6082" t="s">
        <v>4909</v>
      </c>
      <c r="C6082" t="s">
        <v>4909</v>
      </c>
      <c r="D6082" t="s">
        <v>4909</v>
      </c>
      <c r="E6082" t="s">
        <v>4909</v>
      </c>
      <c r="F6082" t="s">
        <v>4909</v>
      </c>
      <c r="G6082" t="s">
        <v>4909</v>
      </c>
      <c r="H6082" t="s">
        <v>4909</v>
      </c>
      <c r="I6082" t="s">
        <v>4909</v>
      </c>
      <c r="J6082" t="s">
        <v>4909</v>
      </c>
      <c r="K6082" t="s">
        <v>4909</v>
      </c>
    </row>
    <row r="6083" spans="1:11" x14ac:dyDescent="0.2">
      <c r="A6083" t="s">
        <v>1944</v>
      </c>
      <c r="B6083" t="s">
        <v>4909</v>
      </c>
      <c r="C6083" s="88">
        <v>2E-3</v>
      </c>
      <c r="D6083" s="88">
        <v>0</v>
      </c>
      <c r="E6083" t="s">
        <v>4909</v>
      </c>
      <c r="F6083" s="88">
        <v>1.0999999999999999E-2</v>
      </c>
      <c r="G6083" t="s">
        <v>4909</v>
      </c>
      <c r="H6083" s="88">
        <v>1E-3</v>
      </c>
      <c r="I6083" s="88">
        <v>8.9999999999999993E-3</v>
      </c>
      <c r="J6083" t="s">
        <v>4909</v>
      </c>
      <c r="K6083" s="88">
        <v>1E-3</v>
      </c>
    </row>
    <row r="6084" spans="1:11" x14ac:dyDescent="0.2">
      <c r="A6084" t="s">
        <v>1947</v>
      </c>
      <c r="B6084" t="s">
        <v>4909</v>
      </c>
      <c r="C6084" t="s">
        <v>4909</v>
      </c>
      <c r="D6084" t="s">
        <v>4909</v>
      </c>
      <c r="E6084" t="s">
        <v>4909</v>
      </c>
      <c r="F6084" s="88">
        <v>1.7000000000000001E-2</v>
      </c>
      <c r="G6084" t="s">
        <v>4909</v>
      </c>
      <c r="H6084" t="s">
        <v>4909</v>
      </c>
      <c r="I6084" s="88">
        <v>6.0000000000000001E-3</v>
      </c>
      <c r="J6084" t="s">
        <v>4909</v>
      </c>
      <c r="K6084" s="88">
        <v>3.0000000000000001E-3</v>
      </c>
    </row>
    <row r="6085" spans="1:11" x14ac:dyDescent="0.2">
      <c r="A6085" t="s">
        <v>1953</v>
      </c>
      <c r="B6085" t="s">
        <v>4909</v>
      </c>
      <c r="C6085" s="88">
        <v>2E-3</v>
      </c>
      <c r="D6085" t="s">
        <v>4909</v>
      </c>
      <c r="E6085" t="s">
        <v>4909</v>
      </c>
      <c r="F6085" s="88">
        <v>1.6E-2</v>
      </c>
      <c r="G6085" t="s">
        <v>4909</v>
      </c>
      <c r="H6085" s="88">
        <v>2E-3</v>
      </c>
      <c r="I6085" s="88">
        <v>0.01</v>
      </c>
      <c r="J6085" t="s">
        <v>4909</v>
      </c>
      <c r="K6085" s="88">
        <v>2E-3</v>
      </c>
    </row>
    <row r="6086" spans="1:11" x14ac:dyDescent="0.2">
      <c r="A6086" t="s">
        <v>1958</v>
      </c>
      <c r="B6086" t="s">
        <v>4909</v>
      </c>
      <c r="C6086" t="s">
        <v>4909</v>
      </c>
      <c r="D6086" t="s">
        <v>4909</v>
      </c>
      <c r="E6086" t="s">
        <v>4909</v>
      </c>
      <c r="F6086" t="s">
        <v>4909</v>
      </c>
      <c r="G6086" t="s">
        <v>4909</v>
      </c>
      <c r="H6086" t="s">
        <v>4909</v>
      </c>
      <c r="I6086" t="s">
        <v>4909</v>
      </c>
      <c r="J6086" t="s">
        <v>4909</v>
      </c>
      <c r="K6086" t="s">
        <v>4909</v>
      </c>
    </row>
    <row r="6087" spans="1:11" x14ac:dyDescent="0.2">
      <c r="A6087" t="s">
        <v>1964</v>
      </c>
      <c r="B6087" t="s">
        <v>4909</v>
      </c>
      <c r="C6087" t="s">
        <v>4909</v>
      </c>
      <c r="D6087" t="s">
        <v>4909</v>
      </c>
      <c r="E6087" t="s">
        <v>4909</v>
      </c>
      <c r="F6087" t="s">
        <v>4909</v>
      </c>
      <c r="G6087" t="s">
        <v>4909</v>
      </c>
      <c r="H6087" t="s">
        <v>4909</v>
      </c>
      <c r="I6087" t="s">
        <v>4909</v>
      </c>
      <c r="J6087" t="s">
        <v>4909</v>
      </c>
      <c r="K6087" t="s">
        <v>4909</v>
      </c>
    </row>
    <row r="6088" spans="1:11" x14ac:dyDescent="0.2">
      <c r="A6088" t="s">
        <v>1973</v>
      </c>
      <c r="B6088" t="s">
        <v>4909</v>
      </c>
      <c r="C6088" t="s">
        <v>4909</v>
      </c>
      <c r="D6088" t="s">
        <v>4909</v>
      </c>
      <c r="E6088" t="s">
        <v>4909</v>
      </c>
      <c r="F6088" t="s">
        <v>4909</v>
      </c>
      <c r="G6088" t="s">
        <v>4909</v>
      </c>
      <c r="H6088" t="s">
        <v>4909</v>
      </c>
      <c r="I6088" t="s">
        <v>4909</v>
      </c>
      <c r="J6088" t="s">
        <v>4909</v>
      </c>
      <c r="K6088" t="s">
        <v>4909</v>
      </c>
    </row>
    <row r="6089" spans="1:11" x14ac:dyDescent="0.2">
      <c r="A6089" t="s">
        <v>1978</v>
      </c>
      <c r="B6089" t="s">
        <v>4909</v>
      </c>
      <c r="C6089" t="s">
        <v>4909</v>
      </c>
      <c r="D6089" t="s">
        <v>4909</v>
      </c>
      <c r="E6089" t="s">
        <v>4909</v>
      </c>
      <c r="F6089" t="s">
        <v>4909</v>
      </c>
      <c r="G6089" t="s">
        <v>4909</v>
      </c>
      <c r="H6089" t="s">
        <v>4909</v>
      </c>
      <c r="I6089" t="s">
        <v>4909</v>
      </c>
      <c r="J6089" t="s">
        <v>4909</v>
      </c>
      <c r="K6089" t="s">
        <v>4909</v>
      </c>
    </row>
    <row r="6090" spans="1:11" x14ac:dyDescent="0.2">
      <c r="A6090" t="s">
        <v>1983</v>
      </c>
      <c r="B6090" t="s">
        <v>4909</v>
      </c>
      <c r="C6090" t="s">
        <v>4909</v>
      </c>
      <c r="D6090" t="s">
        <v>4909</v>
      </c>
      <c r="E6090" t="s">
        <v>4909</v>
      </c>
      <c r="F6090" s="88">
        <v>6.0000000000000001E-3</v>
      </c>
      <c r="G6090" t="s">
        <v>4909</v>
      </c>
      <c r="H6090" s="88">
        <v>0</v>
      </c>
      <c r="I6090" s="88">
        <v>7.0000000000000001E-3</v>
      </c>
      <c r="J6090" t="s">
        <v>4909</v>
      </c>
      <c r="K6090" s="88">
        <v>1E-3</v>
      </c>
    </row>
    <row r="6091" spans="1:11" x14ac:dyDescent="0.2">
      <c r="A6091" t="s">
        <v>1984</v>
      </c>
      <c r="B6091" t="s">
        <v>4909</v>
      </c>
      <c r="C6091" t="s">
        <v>4909</v>
      </c>
      <c r="D6091" t="s">
        <v>4909</v>
      </c>
      <c r="E6091" t="s">
        <v>4909</v>
      </c>
      <c r="F6091" t="s">
        <v>4909</v>
      </c>
      <c r="G6091" t="s">
        <v>4909</v>
      </c>
      <c r="H6091" t="s">
        <v>4909</v>
      </c>
      <c r="I6091" t="s">
        <v>4909</v>
      </c>
      <c r="J6091" t="s">
        <v>4909</v>
      </c>
      <c r="K6091" t="s">
        <v>4909</v>
      </c>
    </row>
    <row r="6092" spans="1:11" x14ac:dyDescent="0.2">
      <c r="A6092" t="s">
        <v>1990</v>
      </c>
      <c r="B6092" t="s">
        <v>4909</v>
      </c>
      <c r="C6092" s="88">
        <v>-1.9E-2</v>
      </c>
      <c r="D6092" t="s">
        <v>4909</v>
      </c>
      <c r="E6092" t="s">
        <v>4909</v>
      </c>
      <c r="F6092" s="88">
        <v>8.0000000000000002E-3</v>
      </c>
      <c r="G6092" t="s">
        <v>4909</v>
      </c>
      <c r="H6092" s="88">
        <v>0</v>
      </c>
      <c r="I6092" s="88">
        <v>3.0000000000000001E-3</v>
      </c>
      <c r="J6092" t="s">
        <v>4909</v>
      </c>
      <c r="K6092" s="88">
        <v>0</v>
      </c>
    </row>
    <row r="6093" spans="1:11" x14ac:dyDescent="0.2">
      <c r="A6093" t="s">
        <v>1996</v>
      </c>
      <c r="B6093" t="s">
        <v>4909</v>
      </c>
      <c r="C6093" t="s">
        <v>4909</v>
      </c>
      <c r="D6093" t="s">
        <v>4909</v>
      </c>
      <c r="E6093" t="s">
        <v>4909</v>
      </c>
      <c r="F6093" t="s">
        <v>4909</v>
      </c>
      <c r="G6093" t="s">
        <v>4909</v>
      </c>
      <c r="H6093" t="s">
        <v>4909</v>
      </c>
      <c r="I6093" t="s">
        <v>4909</v>
      </c>
      <c r="J6093" t="s">
        <v>4909</v>
      </c>
      <c r="K6093" t="s">
        <v>4909</v>
      </c>
    </row>
    <row r="6094" spans="1:11" x14ac:dyDescent="0.2">
      <c r="A6094" t="s">
        <v>1998</v>
      </c>
      <c r="B6094" t="s">
        <v>4909</v>
      </c>
      <c r="C6094" t="s">
        <v>4909</v>
      </c>
      <c r="D6094" t="s">
        <v>4909</v>
      </c>
      <c r="E6094" t="s">
        <v>4909</v>
      </c>
      <c r="F6094" t="s">
        <v>4909</v>
      </c>
      <c r="G6094" t="s">
        <v>4909</v>
      </c>
      <c r="H6094" t="s">
        <v>4909</v>
      </c>
      <c r="I6094" t="s">
        <v>4909</v>
      </c>
      <c r="J6094" t="s">
        <v>4909</v>
      </c>
      <c r="K6094" t="s">
        <v>4909</v>
      </c>
    </row>
    <row r="6095" spans="1:11" x14ac:dyDescent="0.2">
      <c r="A6095" t="s">
        <v>1999</v>
      </c>
      <c r="B6095" t="s">
        <v>4909</v>
      </c>
      <c r="C6095" t="s">
        <v>4909</v>
      </c>
      <c r="D6095" t="s">
        <v>4909</v>
      </c>
      <c r="E6095" t="s">
        <v>4909</v>
      </c>
      <c r="F6095" t="s">
        <v>4909</v>
      </c>
      <c r="G6095" t="s">
        <v>4909</v>
      </c>
      <c r="H6095" t="s">
        <v>4909</v>
      </c>
      <c r="I6095" t="s">
        <v>4909</v>
      </c>
      <c r="J6095" t="s">
        <v>4909</v>
      </c>
      <c r="K6095" t="s">
        <v>4909</v>
      </c>
    </row>
    <row r="6096" spans="1:11" x14ac:dyDescent="0.2">
      <c r="A6096" t="s">
        <v>2004</v>
      </c>
      <c r="B6096" t="s">
        <v>4909</v>
      </c>
      <c r="C6096" t="s">
        <v>4909</v>
      </c>
      <c r="D6096" t="s">
        <v>4909</v>
      </c>
      <c r="E6096" t="s">
        <v>4909</v>
      </c>
      <c r="F6096" t="s">
        <v>4909</v>
      </c>
      <c r="G6096" t="s">
        <v>4909</v>
      </c>
      <c r="H6096" t="s">
        <v>4909</v>
      </c>
      <c r="I6096" t="s">
        <v>4909</v>
      </c>
      <c r="J6096" t="s">
        <v>4909</v>
      </c>
      <c r="K6096" t="s">
        <v>4909</v>
      </c>
    </row>
    <row r="6097" spans="1:11" x14ac:dyDescent="0.2">
      <c r="A6097" t="s">
        <v>2009</v>
      </c>
      <c r="B6097" t="s">
        <v>4909</v>
      </c>
      <c r="C6097" t="s">
        <v>4909</v>
      </c>
      <c r="D6097" t="s">
        <v>4909</v>
      </c>
      <c r="E6097" t="s">
        <v>4909</v>
      </c>
      <c r="F6097" t="s">
        <v>4909</v>
      </c>
      <c r="G6097" t="s">
        <v>4909</v>
      </c>
      <c r="H6097" t="s">
        <v>4909</v>
      </c>
      <c r="I6097" t="s">
        <v>4909</v>
      </c>
      <c r="J6097" t="s">
        <v>4909</v>
      </c>
      <c r="K6097" t="s">
        <v>4909</v>
      </c>
    </row>
    <row r="6098" spans="1:11" x14ac:dyDescent="0.2">
      <c r="A6098" t="s">
        <v>2014</v>
      </c>
      <c r="B6098" t="s">
        <v>4909</v>
      </c>
      <c r="C6098" t="s">
        <v>4909</v>
      </c>
      <c r="D6098" t="s">
        <v>4909</v>
      </c>
      <c r="E6098" t="s">
        <v>4909</v>
      </c>
      <c r="F6098" t="s">
        <v>4909</v>
      </c>
      <c r="G6098" t="s">
        <v>4909</v>
      </c>
      <c r="H6098" t="s">
        <v>4909</v>
      </c>
      <c r="I6098" t="s">
        <v>4909</v>
      </c>
      <c r="J6098" t="s">
        <v>4909</v>
      </c>
      <c r="K6098" t="s">
        <v>4909</v>
      </c>
    </row>
    <row r="6099" spans="1:11" x14ac:dyDescent="0.2">
      <c r="A6099" t="s">
        <v>2019</v>
      </c>
      <c r="B6099" t="s">
        <v>4909</v>
      </c>
      <c r="C6099" t="s">
        <v>4909</v>
      </c>
      <c r="D6099" t="s">
        <v>4909</v>
      </c>
      <c r="E6099" t="s">
        <v>4909</v>
      </c>
      <c r="F6099" t="s">
        <v>4909</v>
      </c>
      <c r="G6099" t="s">
        <v>4909</v>
      </c>
      <c r="H6099" t="s">
        <v>4909</v>
      </c>
      <c r="I6099" t="s">
        <v>4909</v>
      </c>
      <c r="J6099" t="s">
        <v>4909</v>
      </c>
      <c r="K6099" t="s">
        <v>4909</v>
      </c>
    </row>
    <row r="6100" spans="1:11" x14ac:dyDescent="0.2">
      <c r="A6100" t="s">
        <v>2023</v>
      </c>
      <c r="B6100" t="s">
        <v>4909</v>
      </c>
      <c r="C6100" t="s">
        <v>4909</v>
      </c>
      <c r="D6100" t="s">
        <v>4909</v>
      </c>
      <c r="E6100" t="s">
        <v>4909</v>
      </c>
      <c r="F6100" t="s">
        <v>4909</v>
      </c>
      <c r="G6100" t="s">
        <v>4909</v>
      </c>
      <c r="H6100" t="s">
        <v>4909</v>
      </c>
      <c r="I6100" t="s">
        <v>4909</v>
      </c>
      <c r="J6100" t="s">
        <v>4909</v>
      </c>
      <c r="K6100" t="s">
        <v>4909</v>
      </c>
    </row>
    <row r="6101" spans="1:11" x14ac:dyDescent="0.2">
      <c r="A6101" t="s">
        <v>2026</v>
      </c>
      <c r="B6101" t="s">
        <v>4909</v>
      </c>
      <c r="C6101" t="s">
        <v>4909</v>
      </c>
      <c r="D6101" t="s">
        <v>4909</v>
      </c>
      <c r="E6101" t="s">
        <v>4909</v>
      </c>
      <c r="F6101" t="s">
        <v>4909</v>
      </c>
      <c r="G6101" t="s">
        <v>4909</v>
      </c>
      <c r="H6101" t="s">
        <v>4909</v>
      </c>
      <c r="I6101" t="s">
        <v>4909</v>
      </c>
      <c r="J6101" t="s">
        <v>4909</v>
      </c>
      <c r="K6101" t="s">
        <v>4909</v>
      </c>
    </row>
    <row r="6102" spans="1:11" x14ac:dyDescent="0.2">
      <c r="A6102" t="s">
        <v>2030</v>
      </c>
      <c r="B6102" t="s">
        <v>4909</v>
      </c>
      <c r="C6102" t="s">
        <v>4909</v>
      </c>
      <c r="D6102" t="s">
        <v>4909</v>
      </c>
      <c r="E6102" t="s">
        <v>4909</v>
      </c>
      <c r="F6102" t="s">
        <v>4909</v>
      </c>
      <c r="G6102" t="s">
        <v>4909</v>
      </c>
      <c r="H6102" t="s">
        <v>4909</v>
      </c>
      <c r="I6102" t="s">
        <v>4909</v>
      </c>
      <c r="J6102" t="s">
        <v>4909</v>
      </c>
      <c r="K6102" t="s">
        <v>4909</v>
      </c>
    </row>
    <row r="6103" spans="1:11" x14ac:dyDescent="0.2">
      <c r="A6103" t="s">
        <v>2035</v>
      </c>
      <c r="B6103" t="s">
        <v>4909</v>
      </c>
      <c r="C6103" t="s">
        <v>4909</v>
      </c>
      <c r="D6103" t="s">
        <v>4909</v>
      </c>
      <c r="E6103" t="s">
        <v>4909</v>
      </c>
      <c r="F6103" t="s">
        <v>4909</v>
      </c>
      <c r="G6103" t="s">
        <v>4909</v>
      </c>
      <c r="H6103" t="s">
        <v>4909</v>
      </c>
      <c r="I6103" t="s">
        <v>4909</v>
      </c>
      <c r="J6103" t="s">
        <v>4909</v>
      </c>
      <c r="K6103" t="s">
        <v>4909</v>
      </c>
    </row>
    <row r="6104" spans="1:11" x14ac:dyDescent="0.2">
      <c r="A6104" t="s">
        <v>2040</v>
      </c>
      <c r="B6104" t="s">
        <v>4909</v>
      </c>
      <c r="C6104" t="s">
        <v>4909</v>
      </c>
      <c r="D6104" t="s">
        <v>4909</v>
      </c>
      <c r="E6104" t="s">
        <v>4909</v>
      </c>
      <c r="F6104" t="s">
        <v>4909</v>
      </c>
      <c r="G6104" t="s">
        <v>4909</v>
      </c>
      <c r="H6104" t="s">
        <v>4909</v>
      </c>
      <c r="I6104" t="s">
        <v>4909</v>
      </c>
      <c r="J6104" t="s">
        <v>4909</v>
      </c>
      <c r="K6104" t="s">
        <v>4909</v>
      </c>
    </row>
    <row r="6105" spans="1:11" x14ac:dyDescent="0.2">
      <c r="A6105" t="s">
        <v>2045</v>
      </c>
      <c r="B6105" t="s">
        <v>4909</v>
      </c>
      <c r="C6105" t="s">
        <v>4909</v>
      </c>
      <c r="D6105" t="s">
        <v>4909</v>
      </c>
      <c r="E6105" t="s">
        <v>4909</v>
      </c>
      <c r="F6105" t="s">
        <v>4909</v>
      </c>
      <c r="G6105" t="s">
        <v>4909</v>
      </c>
      <c r="H6105" t="s">
        <v>4909</v>
      </c>
      <c r="I6105" t="s">
        <v>4909</v>
      </c>
      <c r="J6105" t="s">
        <v>4909</v>
      </c>
      <c r="K6105" t="s">
        <v>4909</v>
      </c>
    </row>
    <row r="6106" spans="1:11" x14ac:dyDescent="0.2">
      <c r="A6106" t="s">
        <v>2049</v>
      </c>
      <c r="B6106" t="s">
        <v>4909</v>
      </c>
      <c r="C6106" s="88">
        <v>0.03</v>
      </c>
      <c r="D6106" s="88">
        <v>7.0000000000000001E-3</v>
      </c>
      <c r="E6106" t="s">
        <v>4909</v>
      </c>
      <c r="F6106" s="88">
        <v>0.23799999999999999</v>
      </c>
      <c r="G6106" t="s">
        <v>4909</v>
      </c>
      <c r="H6106" s="88">
        <v>3.5000000000000003E-2</v>
      </c>
      <c r="I6106" s="88">
        <v>0.16200000000000001</v>
      </c>
      <c r="J6106" t="s">
        <v>4909</v>
      </c>
      <c r="K6106" s="88">
        <v>3.3000000000000002E-2</v>
      </c>
    </row>
    <row r="6107" spans="1:11" x14ac:dyDescent="0.2">
      <c r="A6107" t="s">
        <v>2051</v>
      </c>
      <c r="B6107" t="s">
        <v>4909</v>
      </c>
      <c r="C6107" s="88">
        <v>-1.4E-2</v>
      </c>
      <c r="D6107" s="88">
        <v>5.0000000000000001E-3</v>
      </c>
      <c r="E6107" t="s">
        <v>4909</v>
      </c>
      <c r="F6107" s="88">
        <v>0.34200000000000003</v>
      </c>
      <c r="G6107" t="s">
        <v>4909</v>
      </c>
      <c r="H6107" s="88">
        <v>1.7000000000000001E-2</v>
      </c>
      <c r="I6107" s="88">
        <v>6.7000000000000004E-2</v>
      </c>
      <c r="J6107" t="s">
        <v>4909</v>
      </c>
      <c r="K6107" s="88">
        <v>3.2000000000000001E-2</v>
      </c>
    </row>
    <row r="6108" spans="1:11" x14ac:dyDescent="0.2">
      <c r="A6108" t="s">
        <v>2057</v>
      </c>
      <c r="B6108" t="s">
        <v>4909</v>
      </c>
      <c r="C6108" s="88">
        <v>5.0000000000000001E-3</v>
      </c>
      <c r="D6108" s="88">
        <v>5.0000000000000001E-3</v>
      </c>
      <c r="E6108" t="s">
        <v>4909</v>
      </c>
      <c r="F6108" s="88">
        <v>0.33500000000000002</v>
      </c>
      <c r="G6108" t="s">
        <v>4909</v>
      </c>
      <c r="H6108" s="88">
        <v>1.6E-2</v>
      </c>
      <c r="I6108" s="88">
        <v>7.0000000000000007E-2</v>
      </c>
      <c r="J6108" t="s">
        <v>4909</v>
      </c>
      <c r="K6108" s="88">
        <v>3.3000000000000002E-2</v>
      </c>
    </row>
    <row r="6109" spans="1:11" x14ac:dyDescent="0.2">
      <c r="A6109" t="s">
        <v>4344</v>
      </c>
      <c r="B6109" s="88">
        <v>0</v>
      </c>
      <c r="C6109" s="88">
        <v>0.48099999999999998</v>
      </c>
      <c r="D6109" s="88">
        <v>2.1999999999999999E-2</v>
      </c>
      <c r="E6109" t="s">
        <v>4909</v>
      </c>
      <c r="F6109" s="88">
        <v>0.14899999999999999</v>
      </c>
      <c r="G6109" t="s">
        <v>4909</v>
      </c>
      <c r="H6109" s="88">
        <v>1.6E-2</v>
      </c>
      <c r="I6109" s="88">
        <v>7.3999999999999996E-2</v>
      </c>
      <c r="J6109" t="s">
        <v>4909</v>
      </c>
      <c r="K6109" s="88">
        <v>4.5999999999999999E-2</v>
      </c>
    </row>
    <row r="6110" spans="1:11" x14ac:dyDescent="0.2">
      <c r="A6110" t="s">
        <v>4345</v>
      </c>
      <c r="B6110" s="88">
        <v>0</v>
      </c>
      <c r="C6110" s="88">
        <v>0.48199999999999998</v>
      </c>
      <c r="D6110" s="88">
        <v>2.1999999999999999E-2</v>
      </c>
      <c r="E6110" t="s">
        <v>4909</v>
      </c>
      <c r="F6110" s="88">
        <v>0.14899999999999999</v>
      </c>
      <c r="G6110" t="s">
        <v>4909</v>
      </c>
      <c r="H6110" s="88">
        <v>1.6E-2</v>
      </c>
      <c r="I6110" s="88">
        <v>7.3999999999999996E-2</v>
      </c>
      <c r="J6110" s="88">
        <v>0</v>
      </c>
      <c r="K6110" s="88">
        <v>4.5999999999999999E-2</v>
      </c>
    </row>
    <row r="6111" spans="1:11" x14ac:dyDescent="0.2">
      <c r="A6111" t="s">
        <v>2074</v>
      </c>
      <c r="B6111" t="s">
        <v>4909</v>
      </c>
      <c r="C6111" t="s">
        <v>4909</v>
      </c>
      <c r="D6111" t="s">
        <v>4909</v>
      </c>
      <c r="E6111" t="s">
        <v>4909</v>
      </c>
      <c r="F6111" t="s">
        <v>4909</v>
      </c>
      <c r="G6111" t="s">
        <v>4909</v>
      </c>
      <c r="H6111" s="88">
        <v>0.152</v>
      </c>
      <c r="I6111" s="88">
        <v>0.70099999999999996</v>
      </c>
      <c r="J6111" t="s">
        <v>4909</v>
      </c>
      <c r="K6111" s="88">
        <v>9.0999999999999998E-2</v>
      </c>
    </row>
    <row r="6112" spans="1:11" x14ac:dyDescent="0.2">
      <c r="A6112" t="s">
        <v>2079</v>
      </c>
      <c r="B6112" t="s">
        <v>4909</v>
      </c>
      <c r="C6112" t="s">
        <v>4909</v>
      </c>
      <c r="D6112" t="s">
        <v>4909</v>
      </c>
      <c r="E6112" t="s">
        <v>4909</v>
      </c>
      <c r="F6112" t="s">
        <v>4909</v>
      </c>
      <c r="G6112" t="s">
        <v>4909</v>
      </c>
      <c r="H6112" s="88">
        <v>0.151</v>
      </c>
      <c r="I6112" s="88">
        <v>0.69899999999999995</v>
      </c>
      <c r="J6112" s="88">
        <v>0</v>
      </c>
      <c r="K6112" s="88">
        <v>9.1999999999999998E-2</v>
      </c>
    </row>
    <row r="6113" spans="1:11" x14ac:dyDescent="0.2">
      <c r="A6113" t="s">
        <v>2085</v>
      </c>
      <c r="B6113" t="s">
        <v>4909</v>
      </c>
      <c r="C6113" t="s">
        <v>4909</v>
      </c>
      <c r="D6113" t="s">
        <v>4909</v>
      </c>
      <c r="E6113" t="s">
        <v>4909</v>
      </c>
      <c r="F6113" t="s">
        <v>4909</v>
      </c>
      <c r="G6113" t="s">
        <v>4909</v>
      </c>
      <c r="H6113" t="s">
        <v>4909</v>
      </c>
      <c r="I6113" t="s">
        <v>4909</v>
      </c>
      <c r="J6113" t="s">
        <v>4909</v>
      </c>
      <c r="K6113" t="s">
        <v>4909</v>
      </c>
    </row>
    <row r="6114" spans="1:11" x14ac:dyDescent="0.2">
      <c r="A6114" t="s">
        <v>2091</v>
      </c>
      <c r="B6114" t="s">
        <v>4909</v>
      </c>
      <c r="C6114" t="s">
        <v>4909</v>
      </c>
      <c r="D6114" t="s">
        <v>4909</v>
      </c>
      <c r="E6114" t="s">
        <v>4909</v>
      </c>
      <c r="F6114" t="s">
        <v>4909</v>
      </c>
      <c r="G6114" t="s">
        <v>4909</v>
      </c>
      <c r="H6114" t="s">
        <v>4909</v>
      </c>
      <c r="I6114" t="s">
        <v>4909</v>
      </c>
      <c r="J6114" t="s">
        <v>4909</v>
      </c>
      <c r="K6114" t="s">
        <v>4909</v>
      </c>
    </row>
    <row r="6115" spans="1:11" x14ac:dyDescent="0.2">
      <c r="A6115" t="s">
        <v>2097</v>
      </c>
      <c r="B6115" t="s">
        <v>4909</v>
      </c>
      <c r="C6115" t="s">
        <v>4909</v>
      </c>
      <c r="D6115" t="s">
        <v>4909</v>
      </c>
      <c r="E6115" t="s">
        <v>4909</v>
      </c>
      <c r="F6115" t="s">
        <v>4909</v>
      </c>
      <c r="G6115" t="s">
        <v>4909</v>
      </c>
      <c r="H6115" t="s">
        <v>4909</v>
      </c>
      <c r="I6115" t="s">
        <v>4909</v>
      </c>
      <c r="J6115" t="s">
        <v>4909</v>
      </c>
      <c r="K6115" t="s">
        <v>4909</v>
      </c>
    </row>
    <row r="6116" spans="1:11" x14ac:dyDescent="0.2">
      <c r="A6116" t="s">
        <v>2101</v>
      </c>
      <c r="B6116" t="s">
        <v>4909</v>
      </c>
      <c r="C6116" t="s">
        <v>4909</v>
      </c>
      <c r="D6116" t="s">
        <v>4909</v>
      </c>
      <c r="E6116" t="s">
        <v>4909</v>
      </c>
      <c r="F6116" t="s">
        <v>4909</v>
      </c>
      <c r="G6116" t="s">
        <v>4909</v>
      </c>
      <c r="H6116" s="88">
        <v>0.184</v>
      </c>
      <c r="I6116" s="88">
        <v>0.74299999999999999</v>
      </c>
      <c r="J6116" t="s">
        <v>4909</v>
      </c>
      <c r="K6116" s="88">
        <v>6.0999999999999999E-2</v>
      </c>
    </row>
    <row r="6117" spans="1:11" x14ac:dyDescent="0.2">
      <c r="A6117" t="s">
        <v>2104</v>
      </c>
      <c r="B6117" t="s">
        <v>4909</v>
      </c>
      <c r="C6117" t="s">
        <v>4909</v>
      </c>
      <c r="D6117" t="s">
        <v>4909</v>
      </c>
      <c r="E6117" t="s">
        <v>4909</v>
      </c>
      <c r="F6117" t="s">
        <v>4909</v>
      </c>
      <c r="G6117" t="s">
        <v>4909</v>
      </c>
      <c r="H6117" t="s">
        <v>4909</v>
      </c>
      <c r="I6117" t="s">
        <v>4909</v>
      </c>
      <c r="J6117" t="s">
        <v>4909</v>
      </c>
      <c r="K6117" t="s">
        <v>4909</v>
      </c>
    </row>
    <row r="6118" spans="1:11" x14ac:dyDescent="0.2">
      <c r="A6118" t="s">
        <v>2107</v>
      </c>
      <c r="B6118" t="s">
        <v>4909</v>
      </c>
      <c r="C6118" t="s">
        <v>4909</v>
      </c>
      <c r="D6118" t="s">
        <v>4909</v>
      </c>
      <c r="E6118" t="s">
        <v>4909</v>
      </c>
      <c r="F6118" t="s">
        <v>4909</v>
      </c>
      <c r="G6118" t="s">
        <v>4909</v>
      </c>
      <c r="H6118" s="88">
        <v>0.17299999999999999</v>
      </c>
      <c r="I6118" s="88">
        <v>0.69499999999999995</v>
      </c>
      <c r="J6118" s="88">
        <v>0</v>
      </c>
      <c r="K6118" s="88">
        <v>0.122</v>
      </c>
    </row>
    <row r="6119" spans="1:11" x14ac:dyDescent="0.2">
      <c r="A6119" t="s">
        <v>2110</v>
      </c>
      <c r="B6119" t="s">
        <v>4909</v>
      </c>
      <c r="C6119" t="s">
        <v>4909</v>
      </c>
      <c r="D6119" t="s">
        <v>4909</v>
      </c>
      <c r="E6119" t="s">
        <v>4909</v>
      </c>
      <c r="F6119" t="s">
        <v>4909</v>
      </c>
      <c r="G6119" t="s">
        <v>4909</v>
      </c>
      <c r="H6119" t="s">
        <v>4909</v>
      </c>
      <c r="I6119" t="s">
        <v>4909</v>
      </c>
      <c r="J6119" t="s">
        <v>4909</v>
      </c>
      <c r="K6119" t="s">
        <v>4909</v>
      </c>
    </row>
    <row r="6120" spans="1:11" x14ac:dyDescent="0.2">
      <c r="A6120" t="s">
        <v>2113</v>
      </c>
      <c r="B6120" t="s">
        <v>4909</v>
      </c>
      <c r="C6120" t="s">
        <v>4909</v>
      </c>
      <c r="D6120" t="s">
        <v>4909</v>
      </c>
      <c r="E6120" t="s">
        <v>4909</v>
      </c>
      <c r="F6120" t="s">
        <v>4909</v>
      </c>
      <c r="G6120" t="s">
        <v>4909</v>
      </c>
      <c r="H6120" t="s">
        <v>4909</v>
      </c>
      <c r="I6120" t="s">
        <v>4909</v>
      </c>
      <c r="J6120" t="s">
        <v>4909</v>
      </c>
      <c r="K6120" t="s">
        <v>4909</v>
      </c>
    </row>
    <row r="6121" spans="1:11" x14ac:dyDescent="0.2">
      <c r="A6121" t="s">
        <v>4346</v>
      </c>
      <c r="B6121" t="s">
        <v>4909</v>
      </c>
      <c r="C6121" t="s">
        <v>4909</v>
      </c>
      <c r="D6121" t="s">
        <v>4909</v>
      </c>
      <c r="E6121" t="s">
        <v>4909</v>
      </c>
      <c r="F6121" t="s">
        <v>4909</v>
      </c>
      <c r="G6121" t="s">
        <v>4909</v>
      </c>
      <c r="H6121" t="s">
        <v>4909</v>
      </c>
      <c r="I6121" t="s">
        <v>4909</v>
      </c>
      <c r="J6121" t="s">
        <v>4909</v>
      </c>
      <c r="K6121" t="s">
        <v>4909</v>
      </c>
    </row>
    <row r="6122" spans="1:11" x14ac:dyDescent="0.2">
      <c r="A6122" t="s">
        <v>4347</v>
      </c>
      <c r="B6122" t="s">
        <v>4909</v>
      </c>
      <c r="C6122" t="s">
        <v>4909</v>
      </c>
      <c r="D6122" t="s">
        <v>4909</v>
      </c>
      <c r="E6122" t="s">
        <v>4909</v>
      </c>
      <c r="F6122" t="s">
        <v>4909</v>
      </c>
      <c r="G6122" t="s">
        <v>4909</v>
      </c>
      <c r="H6122" t="s">
        <v>4909</v>
      </c>
      <c r="I6122" t="s">
        <v>4909</v>
      </c>
      <c r="J6122" t="s">
        <v>4909</v>
      </c>
      <c r="K6122" t="s">
        <v>4909</v>
      </c>
    </row>
    <row r="6123" spans="1:11" x14ac:dyDescent="0.2">
      <c r="A6123" t="s">
        <v>4348</v>
      </c>
      <c r="B6123" t="s">
        <v>4909</v>
      </c>
      <c r="C6123" t="s">
        <v>4909</v>
      </c>
      <c r="D6123" t="s">
        <v>4909</v>
      </c>
      <c r="E6123" t="s">
        <v>4909</v>
      </c>
      <c r="F6123" t="s">
        <v>4909</v>
      </c>
      <c r="G6123" t="s">
        <v>4909</v>
      </c>
      <c r="H6123" t="s">
        <v>4909</v>
      </c>
      <c r="I6123" t="s">
        <v>4909</v>
      </c>
      <c r="J6123" t="s">
        <v>4909</v>
      </c>
      <c r="K6123" t="s">
        <v>4909</v>
      </c>
    </row>
    <row r="6124" spans="1:11" x14ac:dyDescent="0.2">
      <c r="A6124" t="s">
        <v>4349</v>
      </c>
      <c r="B6124" t="s">
        <v>4909</v>
      </c>
      <c r="C6124" t="s">
        <v>4909</v>
      </c>
      <c r="D6124" t="s">
        <v>4909</v>
      </c>
      <c r="E6124" t="s">
        <v>4909</v>
      </c>
      <c r="F6124" t="s">
        <v>4909</v>
      </c>
      <c r="G6124" t="s">
        <v>4909</v>
      </c>
      <c r="H6124" t="s">
        <v>4909</v>
      </c>
      <c r="I6124" t="s">
        <v>4909</v>
      </c>
      <c r="J6124" t="s">
        <v>4909</v>
      </c>
      <c r="K6124" t="s">
        <v>4909</v>
      </c>
    </row>
    <row r="6125" spans="1:11" x14ac:dyDescent="0.2">
      <c r="A6125" t="s">
        <v>4350</v>
      </c>
      <c r="B6125" t="s">
        <v>4909</v>
      </c>
      <c r="C6125" s="88">
        <v>0</v>
      </c>
      <c r="D6125" t="s">
        <v>4909</v>
      </c>
      <c r="E6125" t="s">
        <v>4909</v>
      </c>
      <c r="F6125" s="88">
        <v>0</v>
      </c>
      <c r="G6125" t="s">
        <v>4909</v>
      </c>
      <c r="H6125" s="88">
        <v>0</v>
      </c>
      <c r="I6125" s="88">
        <v>0</v>
      </c>
      <c r="J6125" t="s">
        <v>4909</v>
      </c>
      <c r="K6125" s="88">
        <v>0</v>
      </c>
    </row>
    <row r="6126" spans="1:11" x14ac:dyDescent="0.2">
      <c r="A6126" t="s">
        <v>4351</v>
      </c>
      <c r="B6126" t="s">
        <v>4909</v>
      </c>
      <c r="C6126" t="s">
        <v>4909</v>
      </c>
      <c r="D6126" t="s">
        <v>4909</v>
      </c>
      <c r="E6126" t="s">
        <v>4909</v>
      </c>
      <c r="F6126" t="s">
        <v>4909</v>
      </c>
      <c r="G6126" t="s">
        <v>4909</v>
      </c>
      <c r="H6126" t="s">
        <v>4909</v>
      </c>
      <c r="I6126" t="s">
        <v>4909</v>
      </c>
      <c r="J6126" t="s">
        <v>4909</v>
      </c>
      <c r="K6126" t="s">
        <v>4909</v>
      </c>
    </row>
    <row r="6127" spans="1:11" x14ac:dyDescent="0.2">
      <c r="A6127" t="s">
        <v>4352</v>
      </c>
      <c r="B6127" t="s">
        <v>4909</v>
      </c>
      <c r="C6127" t="s">
        <v>4909</v>
      </c>
      <c r="D6127" t="s">
        <v>4909</v>
      </c>
      <c r="E6127" t="s">
        <v>4909</v>
      </c>
      <c r="F6127" t="s">
        <v>4909</v>
      </c>
      <c r="G6127" t="s">
        <v>4909</v>
      </c>
      <c r="H6127" t="s">
        <v>4909</v>
      </c>
      <c r="I6127" t="s">
        <v>4909</v>
      </c>
      <c r="J6127" t="s">
        <v>4909</v>
      </c>
      <c r="K6127" t="s">
        <v>4909</v>
      </c>
    </row>
    <row r="6128" spans="1:11" x14ac:dyDescent="0.2">
      <c r="A6128" t="s">
        <v>4353</v>
      </c>
      <c r="B6128" t="s">
        <v>4909</v>
      </c>
      <c r="C6128" s="88">
        <v>4.0000000000000001E-3</v>
      </c>
      <c r="D6128" t="s">
        <v>4909</v>
      </c>
      <c r="E6128" t="s">
        <v>4909</v>
      </c>
      <c r="F6128" s="88">
        <v>1.4E-2</v>
      </c>
      <c r="G6128" t="s">
        <v>4909</v>
      </c>
      <c r="H6128" s="88">
        <v>1E-3</v>
      </c>
      <c r="I6128" s="88">
        <v>1.4E-2</v>
      </c>
      <c r="J6128" t="s">
        <v>4909</v>
      </c>
      <c r="K6128" s="88">
        <v>1E-3</v>
      </c>
    </row>
    <row r="6129" spans="1:11" x14ac:dyDescent="0.2">
      <c r="A6129" t="s">
        <v>4354</v>
      </c>
      <c r="B6129" t="s">
        <v>4909</v>
      </c>
      <c r="C6129" s="88">
        <v>7.0000000000000001E-3</v>
      </c>
      <c r="D6129" s="88">
        <v>0</v>
      </c>
      <c r="E6129" t="s">
        <v>4909</v>
      </c>
      <c r="F6129" s="88">
        <v>2.1999999999999999E-2</v>
      </c>
      <c r="G6129" t="s">
        <v>4909</v>
      </c>
      <c r="H6129" s="88">
        <v>3.0000000000000001E-3</v>
      </c>
      <c r="I6129" s="88">
        <v>2.5000000000000001E-2</v>
      </c>
      <c r="J6129" t="s">
        <v>4909</v>
      </c>
      <c r="K6129" s="88">
        <v>3.0000000000000001E-3</v>
      </c>
    </row>
    <row r="6130" spans="1:11" x14ac:dyDescent="0.2">
      <c r="A6130" t="s">
        <v>4355</v>
      </c>
      <c r="B6130" t="s">
        <v>4909</v>
      </c>
      <c r="C6130" t="s">
        <v>4909</v>
      </c>
      <c r="D6130" t="s">
        <v>4909</v>
      </c>
      <c r="E6130" t="s">
        <v>4909</v>
      </c>
      <c r="F6130" t="s">
        <v>4909</v>
      </c>
      <c r="G6130" t="s">
        <v>4909</v>
      </c>
      <c r="H6130" t="s">
        <v>4909</v>
      </c>
      <c r="I6130" t="s">
        <v>4909</v>
      </c>
      <c r="J6130" t="s">
        <v>4909</v>
      </c>
      <c r="K6130" t="s">
        <v>4909</v>
      </c>
    </row>
    <row r="6131" spans="1:11" x14ac:dyDescent="0.2">
      <c r="A6131" t="s">
        <v>4356</v>
      </c>
      <c r="B6131" t="s">
        <v>4909</v>
      </c>
      <c r="C6131" t="s">
        <v>4909</v>
      </c>
      <c r="D6131" t="s">
        <v>4909</v>
      </c>
      <c r="E6131" t="s">
        <v>4909</v>
      </c>
      <c r="F6131" t="s">
        <v>4909</v>
      </c>
      <c r="G6131" t="s">
        <v>4909</v>
      </c>
      <c r="H6131" t="s">
        <v>4909</v>
      </c>
      <c r="I6131" t="s">
        <v>4909</v>
      </c>
      <c r="J6131" t="s">
        <v>4909</v>
      </c>
      <c r="K6131" t="s">
        <v>4909</v>
      </c>
    </row>
    <row r="6132" spans="1:11" x14ac:dyDescent="0.2">
      <c r="A6132" t="s">
        <v>4357</v>
      </c>
      <c r="B6132" t="s">
        <v>4909</v>
      </c>
      <c r="C6132" t="s">
        <v>4909</v>
      </c>
      <c r="D6132" t="s">
        <v>4909</v>
      </c>
      <c r="E6132" t="s">
        <v>4909</v>
      </c>
      <c r="F6132" t="s">
        <v>4909</v>
      </c>
      <c r="G6132" t="s">
        <v>4909</v>
      </c>
      <c r="H6132" t="s">
        <v>4909</v>
      </c>
      <c r="I6132" t="s">
        <v>4909</v>
      </c>
      <c r="J6132" t="s">
        <v>4909</v>
      </c>
      <c r="K6132" t="s">
        <v>4909</v>
      </c>
    </row>
    <row r="6133" spans="1:11" x14ac:dyDescent="0.2">
      <c r="A6133" t="s">
        <v>4358</v>
      </c>
      <c r="B6133" t="s">
        <v>4909</v>
      </c>
      <c r="C6133" t="s">
        <v>4909</v>
      </c>
      <c r="D6133" t="s">
        <v>4909</v>
      </c>
      <c r="E6133" t="s">
        <v>4909</v>
      </c>
      <c r="F6133" s="88">
        <v>0</v>
      </c>
      <c r="G6133" t="s">
        <v>4909</v>
      </c>
      <c r="H6133" t="s">
        <v>4909</v>
      </c>
      <c r="I6133" s="88">
        <v>0</v>
      </c>
      <c r="J6133" t="s">
        <v>4909</v>
      </c>
      <c r="K6133" t="s">
        <v>4909</v>
      </c>
    </row>
    <row r="6134" spans="1:11" x14ac:dyDescent="0.2">
      <c r="A6134" t="s">
        <v>4359</v>
      </c>
      <c r="B6134" t="s">
        <v>4909</v>
      </c>
      <c r="C6134" t="s">
        <v>4909</v>
      </c>
      <c r="D6134" t="s">
        <v>4909</v>
      </c>
      <c r="E6134" t="s">
        <v>4909</v>
      </c>
      <c r="F6134" t="s">
        <v>4909</v>
      </c>
      <c r="G6134" t="s">
        <v>4909</v>
      </c>
      <c r="H6134" t="s">
        <v>4909</v>
      </c>
      <c r="I6134" t="s">
        <v>4909</v>
      </c>
      <c r="J6134" t="s">
        <v>4909</v>
      </c>
      <c r="K6134" t="s">
        <v>4909</v>
      </c>
    </row>
    <row r="6135" spans="1:11" x14ac:dyDescent="0.2">
      <c r="A6135" t="s">
        <v>4360</v>
      </c>
      <c r="B6135" t="s">
        <v>4909</v>
      </c>
      <c r="C6135" s="88">
        <v>0</v>
      </c>
      <c r="D6135" t="s">
        <v>4909</v>
      </c>
      <c r="E6135" t="s">
        <v>4909</v>
      </c>
      <c r="F6135" s="88">
        <v>2E-3</v>
      </c>
      <c r="G6135" t="s">
        <v>4909</v>
      </c>
      <c r="H6135" s="88">
        <v>0</v>
      </c>
      <c r="I6135" s="88">
        <v>1E-3</v>
      </c>
      <c r="J6135" t="s">
        <v>4909</v>
      </c>
      <c r="K6135" s="88">
        <v>0</v>
      </c>
    </row>
    <row r="6136" spans="1:11" x14ac:dyDescent="0.2">
      <c r="A6136" t="s">
        <v>4361</v>
      </c>
      <c r="B6136" t="s">
        <v>4909</v>
      </c>
      <c r="C6136" s="88">
        <v>0</v>
      </c>
      <c r="D6136" t="s">
        <v>4909</v>
      </c>
      <c r="E6136" t="s">
        <v>4909</v>
      </c>
      <c r="F6136" s="88">
        <v>2E-3</v>
      </c>
      <c r="G6136" t="s">
        <v>4909</v>
      </c>
      <c r="H6136" s="88">
        <v>0</v>
      </c>
      <c r="I6136" s="88">
        <v>2E-3</v>
      </c>
      <c r="J6136" t="s">
        <v>4909</v>
      </c>
      <c r="K6136" s="88">
        <v>0</v>
      </c>
    </row>
    <row r="6137" spans="1:11" x14ac:dyDescent="0.2">
      <c r="A6137" t="s">
        <v>4362</v>
      </c>
      <c r="B6137" t="s">
        <v>4909</v>
      </c>
      <c r="C6137" t="s">
        <v>4909</v>
      </c>
      <c r="D6137" t="s">
        <v>4909</v>
      </c>
      <c r="E6137" t="s">
        <v>4909</v>
      </c>
      <c r="F6137" t="s">
        <v>4909</v>
      </c>
      <c r="G6137" t="s">
        <v>4909</v>
      </c>
      <c r="H6137" t="s">
        <v>4909</v>
      </c>
      <c r="I6137" t="s">
        <v>4909</v>
      </c>
      <c r="J6137" t="s">
        <v>4909</v>
      </c>
      <c r="K6137" t="s">
        <v>4909</v>
      </c>
    </row>
    <row r="6138" spans="1:11" x14ac:dyDescent="0.2">
      <c r="A6138" t="s">
        <v>4363</v>
      </c>
      <c r="B6138" t="s">
        <v>4909</v>
      </c>
      <c r="C6138" t="s">
        <v>4909</v>
      </c>
      <c r="D6138" t="s">
        <v>4909</v>
      </c>
      <c r="E6138" t="s">
        <v>4909</v>
      </c>
      <c r="F6138" t="s">
        <v>4909</v>
      </c>
      <c r="G6138" t="s">
        <v>4909</v>
      </c>
      <c r="H6138" t="s">
        <v>4909</v>
      </c>
      <c r="I6138" t="s">
        <v>4909</v>
      </c>
      <c r="J6138" t="s">
        <v>4909</v>
      </c>
      <c r="K6138" t="s">
        <v>4909</v>
      </c>
    </row>
    <row r="6139" spans="1:11" x14ac:dyDescent="0.2">
      <c r="A6139" t="s">
        <v>4364</v>
      </c>
      <c r="B6139" t="s">
        <v>4909</v>
      </c>
      <c r="C6139" t="s">
        <v>4909</v>
      </c>
      <c r="D6139" t="s">
        <v>4909</v>
      </c>
      <c r="E6139" t="s">
        <v>4909</v>
      </c>
      <c r="F6139" t="s">
        <v>4909</v>
      </c>
      <c r="G6139" t="s">
        <v>4909</v>
      </c>
      <c r="H6139" t="s">
        <v>4909</v>
      </c>
      <c r="I6139" t="s">
        <v>4909</v>
      </c>
      <c r="J6139" t="s">
        <v>4909</v>
      </c>
      <c r="K6139" t="s">
        <v>4909</v>
      </c>
    </row>
    <row r="6140" spans="1:11" x14ac:dyDescent="0.2">
      <c r="A6140" t="s">
        <v>4365</v>
      </c>
      <c r="B6140" t="s">
        <v>4909</v>
      </c>
      <c r="C6140" s="88">
        <v>4.0000000000000001E-3</v>
      </c>
      <c r="D6140" t="s">
        <v>4909</v>
      </c>
      <c r="E6140" t="s">
        <v>4909</v>
      </c>
      <c r="F6140" s="88">
        <v>1E-3</v>
      </c>
      <c r="G6140" t="s">
        <v>4909</v>
      </c>
      <c r="H6140" s="88">
        <v>0</v>
      </c>
      <c r="I6140" s="88">
        <v>1.2999999999999999E-2</v>
      </c>
      <c r="J6140" t="s">
        <v>4909</v>
      </c>
      <c r="K6140" s="88">
        <v>2E-3</v>
      </c>
    </row>
    <row r="6141" spans="1:11" x14ac:dyDescent="0.2">
      <c r="A6141" t="s">
        <v>4366</v>
      </c>
      <c r="B6141" t="s">
        <v>4909</v>
      </c>
      <c r="C6141" t="s">
        <v>4909</v>
      </c>
      <c r="D6141" t="s">
        <v>4909</v>
      </c>
      <c r="E6141" t="s">
        <v>4909</v>
      </c>
      <c r="F6141" t="s">
        <v>4909</v>
      </c>
      <c r="G6141" t="s">
        <v>4909</v>
      </c>
      <c r="H6141" t="s">
        <v>4909</v>
      </c>
      <c r="I6141" t="s">
        <v>4909</v>
      </c>
      <c r="J6141" t="s">
        <v>4909</v>
      </c>
      <c r="K6141" t="s">
        <v>4909</v>
      </c>
    </row>
    <row r="6142" spans="1:11" x14ac:dyDescent="0.2">
      <c r="A6142" t="s">
        <v>4367</v>
      </c>
      <c r="B6142" t="s">
        <v>4909</v>
      </c>
      <c r="C6142" t="s">
        <v>4909</v>
      </c>
      <c r="D6142" t="s">
        <v>4909</v>
      </c>
      <c r="E6142" t="s">
        <v>4909</v>
      </c>
      <c r="F6142" t="s">
        <v>4909</v>
      </c>
      <c r="G6142" t="s">
        <v>4909</v>
      </c>
      <c r="H6142" t="s">
        <v>4909</v>
      </c>
      <c r="I6142" t="s">
        <v>4909</v>
      </c>
      <c r="J6142" t="s">
        <v>4909</v>
      </c>
      <c r="K6142" t="s">
        <v>4909</v>
      </c>
    </row>
    <row r="6143" spans="1:11" x14ac:dyDescent="0.2">
      <c r="A6143" t="s">
        <v>4368</v>
      </c>
      <c r="B6143" t="s">
        <v>4909</v>
      </c>
      <c r="C6143" s="88">
        <v>1.6E-2</v>
      </c>
      <c r="D6143" t="s">
        <v>4909</v>
      </c>
      <c r="E6143" t="s">
        <v>4909</v>
      </c>
      <c r="F6143" s="88">
        <v>7.0000000000000001E-3</v>
      </c>
      <c r="G6143" t="s">
        <v>4909</v>
      </c>
      <c r="H6143" s="88">
        <v>1E-3</v>
      </c>
      <c r="I6143" s="88">
        <v>5.1999999999999998E-2</v>
      </c>
      <c r="J6143" t="s">
        <v>4909</v>
      </c>
      <c r="K6143" s="88">
        <v>1.0999999999999999E-2</v>
      </c>
    </row>
    <row r="6144" spans="1:11" x14ac:dyDescent="0.2">
      <c r="A6144" t="s">
        <v>4369</v>
      </c>
      <c r="B6144" t="s">
        <v>4909</v>
      </c>
      <c r="C6144" s="88">
        <v>0.01</v>
      </c>
      <c r="D6144" s="88">
        <v>0</v>
      </c>
      <c r="E6144" t="s">
        <v>4909</v>
      </c>
      <c r="F6144" s="88">
        <v>4.0000000000000001E-3</v>
      </c>
      <c r="G6144" t="s">
        <v>4909</v>
      </c>
      <c r="H6144" s="88">
        <v>0</v>
      </c>
      <c r="I6144" s="88">
        <v>3.1E-2</v>
      </c>
      <c r="J6144" t="s">
        <v>4909</v>
      </c>
      <c r="K6144" s="88">
        <v>6.0000000000000001E-3</v>
      </c>
    </row>
    <row r="6145" spans="1:11" x14ac:dyDescent="0.2">
      <c r="A6145" t="s">
        <v>4370</v>
      </c>
      <c r="B6145" t="s">
        <v>4909</v>
      </c>
      <c r="C6145" t="s">
        <v>4909</v>
      </c>
      <c r="D6145" t="s">
        <v>4909</v>
      </c>
      <c r="E6145" t="s">
        <v>4909</v>
      </c>
      <c r="F6145" t="s">
        <v>4909</v>
      </c>
      <c r="G6145" t="s">
        <v>4909</v>
      </c>
      <c r="H6145" t="s">
        <v>4909</v>
      </c>
      <c r="I6145" s="88">
        <v>0</v>
      </c>
      <c r="J6145" t="s">
        <v>4909</v>
      </c>
      <c r="K6145" t="s">
        <v>4909</v>
      </c>
    </row>
    <row r="6146" spans="1:11" x14ac:dyDescent="0.2">
      <c r="A6146" t="s">
        <v>4371</v>
      </c>
      <c r="B6146" t="s">
        <v>4909</v>
      </c>
      <c r="C6146" t="s">
        <v>4909</v>
      </c>
      <c r="D6146" t="s">
        <v>4909</v>
      </c>
      <c r="E6146" t="s">
        <v>4909</v>
      </c>
      <c r="F6146" t="s">
        <v>4909</v>
      </c>
      <c r="G6146" t="s">
        <v>4909</v>
      </c>
      <c r="H6146" t="s">
        <v>4909</v>
      </c>
      <c r="I6146" s="88">
        <v>2E-3</v>
      </c>
      <c r="J6146" t="s">
        <v>4909</v>
      </c>
      <c r="K6146" t="s">
        <v>4909</v>
      </c>
    </row>
    <row r="6147" spans="1:11" x14ac:dyDescent="0.2">
      <c r="A6147" t="s">
        <v>4372</v>
      </c>
      <c r="B6147" t="s">
        <v>4909</v>
      </c>
      <c r="C6147" t="s">
        <v>4909</v>
      </c>
      <c r="D6147" t="s">
        <v>4909</v>
      </c>
      <c r="E6147" t="s">
        <v>4909</v>
      </c>
      <c r="F6147" t="s">
        <v>4909</v>
      </c>
      <c r="G6147" t="s">
        <v>4909</v>
      </c>
      <c r="H6147" t="s">
        <v>4909</v>
      </c>
      <c r="I6147" t="s">
        <v>4909</v>
      </c>
      <c r="J6147" t="s">
        <v>4909</v>
      </c>
      <c r="K6147" t="s">
        <v>4909</v>
      </c>
    </row>
    <row r="6148" spans="1:11" x14ac:dyDescent="0.2">
      <c r="A6148" t="s">
        <v>4373</v>
      </c>
      <c r="B6148" t="s">
        <v>4909</v>
      </c>
      <c r="C6148" s="88">
        <v>0</v>
      </c>
      <c r="D6148" t="s">
        <v>4909</v>
      </c>
      <c r="E6148" t="s">
        <v>4909</v>
      </c>
      <c r="F6148" s="88">
        <v>0</v>
      </c>
      <c r="G6148" t="s">
        <v>4909</v>
      </c>
      <c r="H6148" t="s">
        <v>4909</v>
      </c>
      <c r="I6148" s="88">
        <v>0</v>
      </c>
      <c r="J6148" t="s">
        <v>4909</v>
      </c>
      <c r="K6148" t="s">
        <v>4909</v>
      </c>
    </row>
    <row r="6149" spans="1:11" x14ac:dyDescent="0.2">
      <c r="A6149" t="s">
        <v>4374</v>
      </c>
      <c r="B6149" t="s">
        <v>4909</v>
      </c>
      <c r="C6149" t="s">
        <v>4909</v>
      </c>
      <c r="D6149" t="s">
        <v>4909</v>
      </c>
      <c r="E6149" t="s">
        <v>4909</v>
      </c>
      <c r="F6149" t="s">
        <v>4909</v>
      </c>
      <c r="G6149" t="s">
        <v>4909</v>
      </c>
      <c r="H6149" t="s">
        <v>4909</v>
      </c>
      <c r="I6149" t="s">
        <v>4909</v>
      </c>
      <c r="J6149" t="s">
        <v>4909</v>
      </c>
      <c r="K6149" t="s">
        <v>4909</v>
      </c>
    </row>
    <row r="6150" spans="1:11" x14ac:dyDescent="0.2">
      <c r="A6150" t="s">
        <v>4375</v>
      </c>
      <c r="B6150" t="s">
        <v>4909</v>
      </c>
      <c r="C6150" t="s">
        <v>4909</v>
      </c>
      <c r="D6150" t="s">
        <v>4909</v>
      </c>
      <c r="E6150" t="s">
        <v>4909</v>
      </c>
      <c r="F6150" t="s">
        <v>4909</v>
      </c>
      <c r="G6150" t="s">
        <v>4909</v>
      </c>
      <c r="H6150" t="s">
        <v>4909</v>
      </c>
      <c r="I6150" t="s">
        <v>4909</v>
      </c>
      <c r="J6150" t="s">
        <v>4909</v>
      </c>
      <c r="K6150" t="s">
        <v>4909</v>
      </c>
    </row>
    <row r="6151" spans="1:11" x14ac:dyDescent="0.2">
      <c r="A6151" t="s">
        <v>4376</v>
      </c>
      <c r="B6151" t="s">
        <v>4909</v>
      </c>
      <c r="C6151" t="s">
        <v>4909</v>
      </c>
      <c r="D6151" t="s">
        <v>4909</v>
      </c>
      <c r="E6151" t="s">
        <v>4909</v>
      </c>
      <c r="F6151" t="s">
        <v>4909</v>
      </c>
      <c r="G6151" t="s">
        <v>4909</v>
      </c>
      <c r="H6151" t="s">
        <v>4909</v>
      </c>
      <c r="I6151" t="s">
        <v>4909</v>
      </c>
      <c r="J6151" t="s">
        <v>4909</v>
      </c>
      <c r="K6151" t="s">
        <v>4909</v>
      </c>
    </row>
    <row r="6152" spans="1:11" x14ac:dyDescent="0.2">
      <c r="A6152" t="s">
        <v>4377</v>
      </c>
      <c r="B6152" t="s">
        <v>4909</v>
      </c>
      <c r="C6152" s="88">
        <v>0</v>
      </c>
      <c r="D6152" t="s">
        <v>4909</v>
      </c>
      <c r="E6152" t="s">
        <v>4909</v>
      </c>
      <c r="F6152" s="88">
        <v>0</v>
      </c>
      <c r="G6152" t="s">
        <v>4909</v>
      </c>
      <c r="H6152" s="88">
        <v>0</v>
      </c>
      <c r="I6152" s="88">
        <v>0</v>
      </c>
      <c r="J6152" t="s">
        <v>4909</v>
      </c>
      <c r="K6152" s="88">
        <v>0</v>
      </c>
    </row>
    <row r="6153" spans="1:11" x14ac:dyDescent="0.2">
      <c r="A6153" t="s">
        <v>2318</v>
      </c>
      <c r="B6153" t="s">
        <v>4399</v>
      </c>
      <c r="C6153" t="s">
        <v>4399</v>
      </c>
      <c r="D6153" t="s">
        <v>4399</v>
      </c>
      <c r="E6153" t="s">
        <v>4399</v>
      </c>
      <c r="F6153" t="s">
        <v>4399</v>
      </c>
      <c r="G6153" t="s">
        <v>4399</v>
      </c>
      <c r="H6153" t="s">
        <v>4399</v>
      </c>
      <c r="I6153" t="s">
        <v>4399</v>
      </c>
      <c r="J6153" t="s">
        <v>4399</v>
      </c>
      <c r="K6153" t="s">
        <v>4399</v>
      </c>
    </row>
    <row r="6154" spans="1:11" x14ac:dyDescent="0.2">
      <c r="A6154" t="s">
        <v>4248</v>
      </c>
    </row>
    <row r="6155" spans="1:11" x14ac:dyDescent="0.2">
      <c r="A6155" t="s">
        <v>4910</v>
      </c>
      <c r="B6155" t="s">
        <v>4904</v>
      </c>
      <c r="C6155" t="s">
        <v>4911</v>
      </c>
      <c r="D6155" t="s">
        <v>4912</v>
      </c>
      <c r="E6155" t="s">
        <v>4907</v>
      </c>
      <c r="F6155" t="s">
        <v>4913</v>
      </c>
      <c r="G6155">
        <v>6</v>
      </c>
    </row>
    <row r="6156" spans="1:11" x14ac:dyDescent="0.2">
      <c r="A6156" t="s">
        <v>2318</v>
      </c>
      <c r="B6156" t="s">
        <v>4399</v>
      </c>
      <c r="C6156" t="s">
        <v>4399</v>
      </c>
      <c r="D6156" t="s">
        <v>4399</v>
      </c>
      <c r="E6156" t="s">
        <v>4399</v>
      </c>
      <c r="F6156" t="s">
        <v>4399</v>
      </c>
      <c r="G6156" t="s">
        <v>4399</v>
      </c>
      <c r="H6156" t="s">
        <v>4399</v>
      </c>
      <c r="I6156" t="s">
        <v>4399</v>
      </c>
      <c r="J6156" t="s">
        <v>4399</v>
      </c>
      <c r="K6156" t="s">
        <v>4399</v>
      </c>
    </row>
    <row r="6157" spans="1:11" x14ac:dyDescent="0.2">
      <c r="A6157" t="s">
        <v>126</v>
      </c>
      <c r="B6157" t="s">
        <v>4578</v>
      </c>
      <c r="C6157" t="s">
        <v>4582</v>
      </c>
      <c r="D6157" t="s">
        <v>4586</v>
      </c>
      <c r="E6157" t="s">
        <v>4590</v>
      </c>
      <c r="F6157" t="s">
        <v>4594</v>
      </c>
      <c r="G6157" t="s">
        <v>4598</v>
      </c>
      <c r="H6157" t="s">
        <v>412</v>
      </c>
      <c r="I6157" t="s">
        <v>413</v>
      </c>
      <c r="J6157" t="s">
        <v>4608</v>
      </c>
      <c r="K6157" t="s">
        <v>4612</v>
      </c>
    </row>
    <row r="6158" spans="1:11" x14ac:dyDescent="0.2">
      <c r="A6158" t="s">
        <v>2318</v>
      </c>
      <c r="B6158" t="s">
        <v>4399</v>
      </c>
      <c r="C6158" t="s">
        <v>4399</v>
      </c>
      <c r="D6158" t="s">
        <v>4399</v>
      </c>
      <c r="E6158" t="s">
        <v>4399</v>
      </c>
      <c r="F6158" t="s">
        <v>4399</v>
      </c>
      <c r="G6158" t="s">
        <v>4399</v>
      </c>
      <c r="H6158" t="s">
        <v>4399</v>
      </c>
      <c r="I6158" t="s">
        <v>4399</v>
      </c>
      <c r="J6158" t="s">
        <v>4399</v>
      </c>
      <c r="K6158" t="s">
        <v>4399</v>
      </c>
    </row>
    <row r="6159" spans="1:11" x14ac:dyDescent="0.2">
      <c r="A6159" t="s">
        <v>4265</v>
      </c>
      <c r="B6159" t="s">
        <v>4909</v>
      </c>
      <c r="C6159" t="s">
        <v>4909</v>
      </c>
      <c r="D6159" t="s">
        <v>4909</v>
      </c>
      <c r="E6159" t="s">
        <v>4909</v>
      </c>
      <c r="F6159" t="s">
        <v>4909</v>
      </c>
      <c r="G6159" t="s">
        <v>4909</v>
      </c>
      <c r="H6159" t="s">
        <v>4909</v>
      </c>
      <c r="I6159" t="s">
        <v>4909</v>
      </c>
      <c r="J6159" t="s">
        <v>4909</v>
      </c>
      <c r="K6159" t="s">
        <v>4909</v>
      </c>
    </row>
    <row r="6160" spans="1:11" x14ac:dyDescent="0.2">
      <c r="A6160" t="s">
        <v>4266</v>
      </c>
      <c r="B6160" t="s">
        <v>4909</v>
      </c>
      <c r="C6160" t="s">
        <v>4909</v>
      </c>
      <c r="D6160" t="s">
        <v>4909</v>
      </c>
      <c r="E6160" t="s">
        <v>4909</v>
      </c>
      <c r="F6160" t="s">
        <v>4909</v>
      </c>
      <c r="G6160" t="s">
        <v>4909</v>
      </c>
      <c r="H6160" t="s">
        <v>4909</v>
      </c>
      <c r="I6160" t="s">
        <v>4909</v>
      </c>
      <c r="J6160" t="s">
        <v>4909</v>
      </c>
      <c r="K6160" t="s">
        <v>4909</v>
      </c>
    </row>
    <row r="6161" spans="1:11" x14ac:dyDescent="0.2">
      <c r="A6161" t="s">
        <v>4267</v>
      </c>
      <c r="B6161" t="s">
        <v>4909</v>
      </c>
      <c r="C6161" t="s">
        <v>4909</v>
      </c>
      <c r="D6161" t="s">
        <v>4909</v>
      </c>
      <c r="E6161" t="s">
        <v>4909</v>
      </c>
      <c r="F6161" t="s">
        <v>4909</v>
      </c>
      <c r="G6161" t="s">
        <v>4909</v>
      </c>
      <c r="H6161" t="s">
        <v>4909</v>
      </c>
      <c r="I6161" t="s">
        <v>4909</v>
      </c>
      <c r="J6161" t="s">
        <v>4909</v>
      </c>
      <c r="K6161" t="s">
        <v>4909</v>
      </c>
    </row>
    <row r="6162" spans="1:11" x14ac:dyDescent="0.2">
      <c r="A6162" t="s">
        <v>4268</v>
      </c>
      <c r="B6162" t="s">
        <v>4909</v>
      </c>
      <c r="C6162" t="s">
        <v>4909</v>
      </c>
      <c r="D6162" t="s">
        <v>4909</v>
      </c>
      <c r="E6162" t="s">
        <v>4909</v>
      </c>
      <c r="F6162" t="s">
        <v>4909</v>
      </c>
      <c r="G6162" t="s">
        <v>4909</v>
      </c>
      <c r="H6162" t="s">
        <v>4909</v>
      </c>
      <c r="I6162" t="s">
        <v>4909</v>
      </c>
      <c r="J6162" t="s">
        <v>4909</v>
      </c>
      <c r="K6162" t="s">
        <v>4909</v>
      </c>
    </row>
    <row r="6163" spans="1:11" x14ac:dyDescent="0.2">
      <c r="A6163" t="s">
        <v>4269</v>
      </c>
      <c r="B6163" t="s">
        <v>4909</v>
      </c>
      <c r="C6163" t="s">
        <v>4909</v>
      </c>
      <c r="D6163" t="s">
        <v>4909</v>
      </c>
      <c r="E6163" t="s">
        <v>4909</v>
      </c>
      <c r="F6163" t="s">
        <v>4909</v>
      </c>
      <c r="G6163" t="s">
        <v>4909</v>
      </c>
      <c r="H6163" t="s">
        <v>4909</v>
      </c>
      <c r="I6163" t="s">
        <v>4909</v>
      </c>
      <c r="J6163" t="s">
        <v>4909</v>
      </c>
      <c r="K6163" t="s">
        <v>4909</v>
      </c>
    </row>
    <row r="6164" spans="1:11" x14ac:dyDescent="0.2">
      <c r="A6164" t="s">
        <v>4270</v>
      </c>
      <c r="B6164" t="s">
        <v>4909</v>
      </c>
      <c r="C6164" t="s">
        <v>4909</v>
      </c>
      <c r="D6164" t="s">
        <v>4909</v>
      </c>
      <c r="E6164" t="s">
        <v>4909</v>
      </c>
      <c r="F6164" t="s">
        <v>4909</v>
      </c>
      <c r="G6164" t="s">
        <v>4909</v>
      </c>
      <c r="H6164" t="s">
        <v>4909</v>
      </c>
      <c r="I6164" t="s">
        <v>4909</v>
      </c>
      <c r="J6164" t="s">
        <v>4909</v>
      </c>
      <c r="K6164" t="s">
        <v>4909</v>
      </c>
    </row>
    <row r="6165" spans="1:11" x14ac:dyDescent="0.2">
      <c r="A6165" t="s">
        <v>4271</v>
      </c>
      <c r="B6165" t="s">
        <v>4909</v>
      </c>
      <c r="C6165" t="s">
        <v>4909</v>
      </c>
      <c r="D6165" t="s">
        <v>4909</v>
      </c>
      <c r="E6165" t="s">
        <v>4909</v>
      </c>
      <c r="F6165" t="s">
        <v>4909</v>
      </c>
      <c r="G6165" t="s">
        <v>4909</v>
      </c>
      <c r="H6165" t="s">
        <v>4909</v>
      </c>
      <c r="I6165" t="s">
        <v>4909</v>
      </c>
      <c r="J6165" t="s">
        <v>4909</v>
      </c>
      <c r="K6165" t="s">
        <v>4909</v>
      </c>
    </row>
    <row r="6166" spans="1:11" x14ac:dyDescent="0.2">
      <c r="A6166" t="s">
        <v>4272</v>
      </c>
      <c r="B6166" t="s">
        <v>4909</v>
      </c>
      <c r="C6166" t="s">
        <v>4909</v>
      </c>
      <c r="D6166" t="s">
        <v>4909</v>
      </c>
      <c r="E6166" t="s">
        <v>4909</v>
      </c>
      <c r="F6166" t="s">
        <v>4909</v>
      </c>
      <c r="G6166" t="s">
        <v>4909</v>
      </c>
      <c r="H6166" t="s">
        <v>4909</v>
      </c>
      <c r="I6166" t="s">
        <v>4909</v>
      </c>
      <c r="J6166" t="s">
        <v>4909</v>
      </c>
      <c r="K6166" t="s">
        <v>4909</v>
      </c>
    </row>
    <row r="6167" spans="1:11" x14ac:dyDescent="0.2">
      <c r="A6167" t="s">
        <v>4273</v>
      </c>
      <c r="B6167" t="s">
        <v>4909</v>
      </c>
      <c r="C6167" t="s">
        <v>4909</v>
      </c>
      <c r="D6167" t="s">
        <v>4909</v>
      </c>
      <c r="E6167" t="s">
        <v>4909</v>
      </c>
      <c r="F6167" t="s">
        <v>4909</v>
      </c>
      <c r="G6167" t="s">
        <v>4909</v>
      </c>
      <c r="H6167" t="s">
        <v>4909</v>
      </c>
      <c r="I6167" t="s">
        <v>4909</v>
      </c>
      <c r="J6167" t="s">
        <v>4909</v>
      </c>
      <c r="K6167" t="s">
        <v>4909</v>
      </c>
    </row>
    <row r="6168" spans="1:11" x14ac:dyDescent="0.2">
      <c r="A6168" t="s">
        <v>4274</v>
      </c>
      <c r="B6168" t="s">
        <v>4909</v>
      </c>
      <c r="C6168" t="s">
        <v>4909</v>
      </c>
      <c r="D6168" t="s">
        <v>4909</v>
      </c>
      <c r="E6168" t="s">
        <v>4909</v>
      </c>
      <c r="F6168" t="s">
        <v>4909</v>
      </c>
      <c r="G6168" t="s">
        <v>4909</v>
      </c>
      <c r="H6168" t="s">
        <v>4909</v>
      </c>
      <c r="I6168" t="s">
        <v>4909</v>
      </c>
      <c r="J6168" t="s">
        <v>4909</v>
      </c>
      <c r="K6168" t="s">
        <v>4909</v>
      </c>
    </row>
    <row r="6169" spans="1:11" x14ac:dyDescent="0.2">
      <c r="A6169" t="s">
        <v>4275</v>
      </c>
      <c r="B6169" t="s">
        <v>4909</v>
      </c>
      <c r="C6169" t="s">
        <v>4909</v>
      </c>
      <c r="D6169" t="s">
        <v>4909</v>
      </c>
      <c r="E6169" t="s">
        <v>4909</v>
      </c>
      <c r="F6169" t="s">
        <v>4909</v>
      </c>
      <c r="G6169" t="s">
        <v>4909</v>
      </c>
      <c r="H6169" t="s">
        <v>4909</v>
      </c>
      <c r="I6169" t="s">
        <v>4909</v>
      </c>
      <c r="J6169" t="s">
        <v>4909</v>
      </c>
      <c r="K6169" t="s">
        <v>4909</v>
      </c>
    </row>
    <row r="6170" spans="1:11" x14ac:dyDescent="0.2">
      <c r="A6170" t="s">
        <v>4276</v>
      </c>
      <c r="B6170" t="s">
        <v>4909</v>
      </c>
      <c r="C6170" t="s">
        <v>4909</v>
      </c>
      <c r="D6170" t="s">
        <v>4909</v>
      </c>
      <c r="E6170" t="s">
        <v>4909</v>
      </c>
      <c r="F6170" t="s">
        <v>4909</v>
      </c>
      <c r="G6170" t="s">
        <v>4909</v>
      </c>
      <c r="H6170" t="s">
        <v>4909</v>
      </c>
      <c r="I6170" t="s">
        <v>4909</v>
      </c>
      <c r="J6170" t="s">
        <v>4909</v>
      </c>
      <c r="K6170" t="s">
        <v>4909</v>
      </c>
    </row>
    <row r="6171" spans="1:11" x14ac:dyDescent="0.2">
      <c r="A6171" t="s">
        <v>4277</v>
      </c>
      <c r="B6171" t="s">
        <v>4909</v>
      </c>
      <c r="C6171" t="s">
        <v>4909</v>
      </c>
      <c r="D6171" t="s">
        <v>4909</v>
      </c>
      <c r="E6171" t="s">
        <v>4909</v>
      </c>
      <c r="F6171" t="s">
        <v>4909</v>
      </c>
      <c r="G6171" t="s">
        <v>4909</v>
      </c>
      <c r="H6171" t="s">
        <v>4909</v>
      </c>
      <c r="I6171" t="s">
        <v>4909</v>
      </c>
      <c r="J6171" t="s">
        <v>4909</v>
      </c>
      <c r="K6171" t="s">
        <v>4909</v>
      </c>
    </row>
    <row r="6172" spans="1:11" x14ac:dyDescent="0.2">
      <c r="A6172" t="s">
        <v>4278</v>
      </c>
      <c r="B6172" t="s">
        <v>4909</v>
      </c>
      <c r="C6172" t="s">
        <v>4909</v>
      </c>
      <c r="D6172" t="s">
        <v>4909</v>
      </c>
      <c r="E6172" t="s">
        <v>4909</v>
      </c>
      <c r="F6172" t="s">
        <v>4909</v>
      </c>
      <c r="G6172" t="s">
        <v>4909</v>
      </c>
      <c r="H6172" t="s">
        <v>4909</v>
      </c>
      <c r="I6172" t="s">
        <v>4909</v>
      </c>
      <c r="J6172" t="s">
        <v>4909</v>
      </c>
      <c r="K6172" t="s">
        <v>4909</v>
      </c>
    </row>
    <row r="6173" spans="1:11" x14ac:dyDescent="0.2">
      <c r="A6173" t="s">
        <v>4279</v>
      </c>
      <c r="B6173" t="s">
        <v>4909</v>
      </c>
      <c r="C6173" t="s">
        <v>4909</v>
      </c>
      <c r="D6173" t="s">
        <v>4909</v>
      </c>
      <c r="E6173" t="s">
        <v>4909</v>
      </c>
      <c r="F6173" t="s">
        <v>4909</v>
      </c>
      <c r="G6173" t="s">
        <v>4909</v>
      </c>
      <c r="H6173" t="s">
        <v>4909</v>
      </c>
      <c r="I6173" t="s">
        <v>4909</v>
      </c>
      <c r="J6173" t="s">
        <v>4909</v>
      </c>
      <c r="K6173" t="s">
        <v>4909</v>
      </c>
    </row>
    <row r="6174" spans="1:11" x14ac:dyDescent="0.2">
      <c r="A6174" t="s">
        <v>4280</v>
      </c>
      <c r="B6174" t="s">
        <v>4909</v>
      </c>
      <c r="C6174" t="s">
        <v>4909</v>
      </c>
      <c r="D6174" t="s">
        <v>4909</v>
      </c>
      <c r="E6174" t="s">
        <v>4909</v>
      </c>
      <c r="F6174" t="s">
        <v>4909</v>
      </c>
      <c r="G6174" t="s">
        <v>4909</v>
      </c>
      <c r="H6174" t="s">
        <v>4909</v>
      </c>
      <c r="I6174" t="s">
        <v>4909</v>
      </c>
      <c r="J6174" t="s">
        <v>4909</v>
      </c>
      <c r="K6174" t="s">
        <v>4909</v>
      </c>
    </row>
    <row r="6175" spans="1:11" x14ac:dyDescent="0.2">
      <c r="A6175" t="s">
        <v>4281</v>
      </c>
      <c r="B6175" t="s">
        <v>4909</v>
      </c>
      <c r="C6175" t="s">
        <v>4909</v>
      </c>
      <c r="D6175" t="s">
        <v>4909</v>
      </c>
      <c r="E6175" t="s">
        <v>4909</v>
      </c>
      <c r="F6175" s="88">
        <v>0</v>
      </c>
      <c r="G6175" t="s">
        <v>4909</v>
      </c>
      <c r="H6175" t="s">
        <v>4909</v>
      </c>
      <c r="I6175" s="88">
        <v>1E-3</v>
      </c>
      <c r="J6175" s="88">
        <v>0</v>
      </c>
      <c r="K6175" t="s">
        <v>4909</v>
      </c>
    </row>
    <row r="6176" spans="1:11" x14ac:dyDescent="0.2">
      <c r="A6176" t="s">
        <v>4282</v>
      </c>
      <c r="B6176" t="s">
        <v>4909</v>
      </c>
      <c r="C6176" t="s">
        <v>4909</v>
      </c>
      <c r="D6176" t="s">
        <v>4909</v>
      </c>
      <c r="E6176" t="s">
        <v>4909</v>
      </c>
      <c r="F6176" s="88">
        <v>2E-3</v>
      </c>
      <c r="G6176" t="s">
        <v>4909</v>
      </c>
      <c r="H6176" t="s">
        <v>4909</v>
      </c>
      <c r="I6176" s="88">
        <v>1E-3</v>
      </c>
      <c r="J6176" s="88">
        <v>0</v>
      </c>
      <c r="K6176" t="s">
        <v>4909</v>
      </c>
    </row>
    <row r="6177" spans="1:11" x14ac:dyDescent="0.2">
      <c r="A6177" t="s">
        <v>4283</v>
      </c>
      <c r="B6177" t="s">
        <v>4909</v>
      </c>
      <c r="C6177" t="s">
        <v>4909</v>
      </c>
      <c r="D6177" t="s">
        <v>4909</v>
      </c>
      <c r="E6177" t="s">
        <v>4909</v>
      </c>
      <c r="F6177" s="88">
        <v>0</v>
      </c>
      <c r="G6177" t="s">
        <v>4909</v>
      </c>
      <c r="H6177" t="s">
        <v>4909</v>
      </c>
      <c r="I6177" s="88">
        <v>0</v>
      </c>
      <c r="J6177" t="s">
        <v>4909</v>
      </c>
      <c r="K6177" t="s">
        <v>4909</v>
      </c>
    </row>
    <row r="6178" spans="1:11" x14ac:dyDescent="0.2">
      <c r="A6178" t="s">
        <v>4284</v>
      </c>
      <c r="B6178" t="s">
        <v>4909</v>
      </c>
      <c r="C6178" t="s">
        <v>4909</v>
      </c>
      <c r="D6178" t="s">
        <v>4909</v>
      </c>
      <c r="E6178" t="s">
        <v>4909</v>
      </c>
      <c r="F6178" s="88">
        <v>0</v>
      </c>
      <c r="G6178" t="s">
        <v>4909</v>
      </c>
      <c r="H6178" t="s">
        <v>4909</v>
      </c>
      <c r="I6178" t="s">
        <v>4909</v>
      </c>
      <c r="J6178" t="s">
        <v>4909</v>
      </c>
      <c r="K6178" t="s">
        <v>4909</v>
      </c>
    </row>
    <row r="6179" spans="1:11" x14ac:dyDescent="0.2">
      <c r="A6179" t="s">
        <v>4285</v>
      </c>
      <c r="B6179" t="s">
        <v>4909</v>
      </c>
      <c r="C6179" t="s">
        <v>4909</v>
      </c>
      <c r="D6179" t="s">
        <v>4909</v>
      </c>
      <c r="E6179" t="s">
        <v>4909</v>
      </c>
      <c r="F6179" s="88">
        <v>0</v>
      </c>
      <c r="G6179" t="s">
        <v>4909</v>
      </c>
      <c r="H6179" t="s">
        <v>4909</v>
      </c>
      <c r="I6179" s="88">
        <v>2E-3</v>
      </c>
      <c r="J6179" s="88">
        <v>0</v>
      </c>
      <c r="K6179" t="s">
        <v>4909</v>
      </c>
    </row>
    <row r="6180" spans="1:11" x14ac:dyDescent="0.2">
      <c r="A6180" t="s">
        <v>4286</v>
      </c>
      <c r="B6180" t="s">
        <v>4909</v>
      </c>
      <c r="C6180" t="s">
        <v>4909</v>
      </c>
      <c r="D6180" t="s">
        <v>4909</v>
      </c>
      <c r="E6180" t="s">
        <v>4909</v>
      </c>
      <c r="F6180" s="88">
        <v>6.0000000000000001E-3</v>
      </c>
      <c r="G6180" t="s">
        <v>4909</v>
      </c>
      <c r="H6180" t="s">
        <v>4909</v>
      </c>
      <c r="I6180" s="88">
        <v>2E-3</v>
      </c>
      <c r="J6180" s="88">
        <v>0</v>
      </c>
      <c r="K6180" t="s">
        <v>4909</v>
      </c>
    </row>
    <row r="6181" spans="1:11" x14ac:dyDescent="0.2">
      <c r="A6181" t="s">
        <v>4287</v>
      </c>
      <c r="B6181" t="s">
        <v>4909</v>
      </c>
      <c r="C6181" t="s">
        <v>4909</v>
      </c>
      <c r="D6181" t="s">
        <v>4909</v>
      </c>
      <c r="E6181" t="s">
        <v>4909</v>
      </c>
      <c r="F6181" s="88">
        <v>0</v>
      </c>
      <c r="G6181" t="s">
        <v>4909</v>
      </c>
      <c r="H6181" t="s">
        <v>4909</v>
      </c>
      <c r="I6181" s="88">
        <v>0</v>
      </c>
      <c r="J6181" t="s">
        <v>4909</v>
      </c>
      <c r="K6181" t="s">
        <v>4909</v>
      </c>
    </row>
    <row r="6182" spans="1:11" x14ac:dyDescent="0.2">
      <c r="A6182" t="s">
        <v>4288</v>
      </c>
      <c r="B6182" t="s">
        <v>4909</v>
      </c>
      <c r="C6182" t="s">
        <v>4909</v>
      </c>
      <c r="D6182" t="s">
        <v>4909</v>
      </c>
      <c r="E6182" t="s">
        <v>4909</v>
      </c>
      <c r="F6182" t="s">
        <v>4909</v>
      </c>
      <c r="G6182" t="s">
        <v>4909</v>
      </c>
      <c r="H6182" t="s">
        <v>4909</v>
      </c>
      <c r="I6182" t="s">
        <v>4909</v>
      </c>
      <c r="J6182" t="s">
        <v>4909</v>
      </c>
      <c r="K6182" t="s">
        <v>4909</v>
      </c>
    </row>
    <row r="6183" spans="1:11" x14ac:dyDescent="0.2">
      <c r="A6183" t="s">
        <v>4289</v>
      </c>
      <c r="B6183" t="s">
        <v>4909</v>
      </c>
      <c r="C6183" t="s">
        <v>4909</v>
      </c>
      <c r="D6183" t="s">
        <v>4909</v>
      </c>
      <c r="E6183" t="s">
        <v>4909</v>
      </c>
      <c r="F6183" t="s">
        <v>4909</v>
      </c>
      <c r="G6183" t="s">
        <v>4909</v>
      </c>
      <c r="H6183" t="s">
        <v>4909</v>
      </c>
      <c r="I6183" t="s">
        <v>4909</v>
      </c>
      <c r="J6183" t="s">
        <v>4909</v>
      </c>
      <c r="K6183" t="s">
        <v>4909</v>
      </c>
    </row>
    <row r="6184" spans="1:11" x14ac:dyDescent="0.2">
      <c r="A6184" t="s">
        <v>4290</v>
      </c>
      <c r="B6184" t="s">
        <v>4909</v>
      </c>
      <c r="C6184" t="s">
        <v>4909</v>
      </c>
      <c r="D6184" t="s">
        <v>4909</v>
      </c>
      <c r="E6184" t="s">
        <v>4909</v>
      </c>
      <c r="F6184" t="s">
        <v>4909</v>
      </c>
      <c r="G6184" t="s">
        <v>4909</v>
      </c>
      <c r="H6184" t="s">
        <v>4909</v>
      </c>
      <c r="I6184" t="s">
        <v>4909</v>
      </c>
      <c r="J6184" t="s">
        <v>4909</v>
      </c>
      <c r="K6184" t="s">
        <v>4909</v>
      </c>
    </row>
    <row r="6185" spans="1:11" x14ac:dyDescent="0.2">
      <c r="A6185" t="s">
        <v>4291</v>
      </c>
      <c r="B6185" t="s">
        <v>4909</v>
      </c>
      <c r="C6185" t="s">
        <v>4909</v>
      </c>
      <c r="D6185" t="s">
        <v>4909</v>
      </c>
      <c r="E6185" t="s">
        <v>4909</v>
      </c>
      <c r="F6185" t="s">
        <v>4909</v>
      </c>
      <c r="G6185" t="s">
        <v>4909</v>
      </c>
      <c r="H6185" t="s">
        <v>4909</v>
      </c>
      <c r="I6185" t="s">
        <v>4909</v>
      </c>
      <c r="J6185" t="s">
        <v>4909</v>
      </c>
      <c r="K6185" t="s">
        <v>4909</v>
      </c>
    </row>
    <row r="6186" spans="1:11" x14ac:dyDescent="0.2">
      <c r="A6186" t="s">
        <v>4292</v>
      </c>
      <c r="B6186" t="s">
        <v>4909</v>
      </c>
      <c r="C6186" t="s">
        <v>4909</v>
      </c>
      <c r="D6186" t="s">
        <v>4909</v>
      </c>
      <c r="E6186" t="s">
        <v>4909</v>
      </c>
      <c r="F6186" t="s">
        <v>4909</v>
      </c>
      <c r="G6186" t="s">
        <v>4909</v>
      </c>
      <c r="H6186" t="s">
        <v>4909</v>
      </c>
      <c r="I6186" t="s">
        <v>4909</v>
      </c>
      <c r="J6186" t="s">
        <v>4909</v>
      </c>
      <c r="K6186" t="s">
        <v>4909</v>
      </c>
    </row>
    <row r="6187" spans="1:11" x14ac:dyDescent="0.2">
      <c r="A6187" t="s">
        <v>4293</v>
      </c>
      <c r="B6187" t="s">
        <v>4909</v>
      </c>
      <c r="C6187" t="s">
        <v>4909</v>
      </c>
      <c r="D6187" t="s">
        <v>4909</v>
      </c>
      <c r="E6187" t="s">
        <v>4909</v>
      </c>
      <c r="F6187" t="s">
        <v>4909</v>
      </c>
      <c r="G6187" t="s">
        <v>4909</v>
      </c>
      <c r="H6187" t="s">
        <v>4909</v>
      </c>
      <c r="I6187" t="s">
        <v>4909</v>
      </c>
      <c r="J6187" t="s">
        <v>4909</v>
      </c>
      <c r="K6187" t="s">
        <v>4909</v>
      </c>
    </row>
    <row r="6188" spans="1:11" x14ac:dyDescent="0.2">
      <c r="A6188" t="s">
        <v>4294</v>
      </c>
      <c r="B6188" t="s">
        <v>4909</v>
      </c>
      <c r="C6188" t="s">
        <v>4909</v>
      </c>
      <c r="D6188" t="s">
        <v>4909</v>
      </c>
      <c r="E6188" t="s">
        <v>4909</v>
      </c>
      <c r="F6188" t="s">
        <v>4909</v>
      </c>
      <c r="G6188" t="s">
        <v>4909</v>
      </c>
      <c r="H6188" t="s">
        <v>4909</v>
      </c>
      <c r="I6188" t="s">
        <v>4909</v>
      </c>
      <c r="J6188" t="s">
        <v>4909</v>
      </c>
      <c r="K6188" t="s">
        <v>4909</v>
      </c>
    </row>
    <row r="6189" spans="1:11" x14ac:dyDescent="0.2">
      <c r="A6189" t="s">
        <v>4295</v>
      </c>
      <c r="B6189" t="s">
        <v>4909</v>
      </c>
      <c r="C6189" t="s">
        <v>4909</v>
      </c>
      <c r="D6189" t="s">
        <v>4909</v>
      </c>
      <c r="E6189" t="s">
        <v>4909</v>
      </c>
      <c r="F6189" t="s">
        <v>4909</v>
      </c>
      <c r="G6189" t="s">
        <v>4909</v>
      </c>
      <c r="H6189" t="s">
        <v>4909</v>
      </c>
      <c r="I6189" t="s">
        <v>4909</v>
      </c>
      <c r="J6189" t="s">
        <v>4909</v>
      </c>
      <c r="K6189" t="s">
        <v>4909</v>
      </c>
    </row>
    <row r="6190" spans="1:11" x14ac:dyDescent="0.2">
      <c r="A6190" t="s">
        <v>4296</v>
      </c>
      <c r="B6190" t="s">
        <v>4909</v>
      </c>
      <c r="C6190" t="s">
        <v>4909</v>
      </c>
      <c r="D6190" t="s">
        <v>4909</v>
      </c>
      <c r="E6190" t="s">
        <v>4909</v>
      </c>
      <c r="F6190" t="s">
        <v>4909</v>
      </c>
      <c r="G6190" t="s">
        <v>4909</v>
      </c>
      <c r="H6190" t="s">
        <v>4909</v>
      </c>
      <c r="I6190" t="s">
        <v>4909</v>
      </c>
      <c r="J6190" t="s">
        <v>4909</v>
      </c>
      <c r="K6190" t="s">
        <v>4909</v>
      </c>
    </row>
    <row r="6191" spans="1:11" x14ac:dyDescent="0.2">
      <c r="A6191" t="s">
        <v>4297</v>
      </c>
      <c r="B6191" t="s">
        <v>4909</v>
      </c>
      <c r="C6191" t="s">
        <v>4909</v>
      </c>
      <c r="D6191" t="s">
        <v>4909</v>
      </c>
      <c r="E6191" t="s">
        <v>4909</v>
      </c>
      <c r="F6191" s="88">
        <v>0</v>
      </c>
      <c r="G6191" t="s">
        <v>4909</v>
      </c>
      <c r="H6191" s="88">
        <v>0</v>
      </c>
      <c r="I6191" s="88">
        <v>1E-3</v>
      </c>
      <c r="J6191" s="88">
        <v>0</v>
      </c>
      <c r="K6191" t="s">
        <v>4909</v>
      </c>
    </row>
    <row r="6192" spans="1:11" x14ac:dyDescent="0.2">
      <c r="A6192" t="s">
        <v>4298</v>
      </c>
      <c r="B6192" t="s">
        <v>4909</v>
      </c>
      <c r="C6192" t="s">
        <v>4909</v>
      </c>
      <c r="D6192" t="s">
        <v>4909</v>
      </c>
      <c r="E6192" t="s">
        <v>4909</v>
      </c>
      <c r="F6192" s="88">
        <v>2E-3</v>
      </c>
      <c r="G6192" t="s">
        <v>4909</v>
      </c>
      <c r="H6192" s="88">
        <v>0</v>
      </c>
      <c r="I6192" s="88">
        <v>2E-3</v>
      </c>
      <c r="J6192" s="88">
        <v>0</v>
      </c>
      <c r="K6192" t="s">
        <v>4909</v>
      </c>
    </row>
    <row r="6193" spans="1:11" x14ac:dyDescent="0.2">
      <c r="A6193" t="s">
        <v>4299</v>
      </c>
      <c r="B6193" s="88">
        <v>0</v>
      </c>
      <c r="C6193" t="s">
        <v>4909</v>
      </c>
      <c r="D6193" t="s">
        <v>4909</v>
      </c>
      <c r="E6193" t="s">
        <v>4909</v>
      </c>
      <c r="F6193" s="88">
        <v>8.0000000000000002E-3</v>
      </c>
      <c r="G6193" t="s">
        <v>4909</v>
      </c>
      <c r="H6193" s="88">
        <v>0</v>
      </c>
      <c r="I6193" s="88">
        <v>7.0000000000000001E-3</v>
      </c>
      <c r="J6193" s="88">
        <v>1E-3</v>
      </c>
      <c r="K6193" t="s">
        <v>4909</v>
      </c>
    </row>
    <row r="6194" spans="1:11" x14ac:dyDescent="0.2">
      <c r="A6194" t="s">
        <v>4300</v>
      </c>
      <c r="B6194" t="s">
        <v>4909</v>
      </c>
      <c r="C6194" t="s">
        <v>4909</v>
      </c>
      <c r="D6194" t="s">
        <v>4909</v>
      </c>
      <c r="E6194" t="s">
        <v>4909</v>
      </c>
      <c r="F6194" s="88">
        <v>8.9999999999999993E-3</v>
      </c>
      <c r="G6194" t="s">
        <v>4909</v>
      </c>
      <c r="H6194" s="88">
        <v>0</v>
      </c>
      <c r="I6194" s="88">
        <v>4.0000000000000001E-3</v>
      </c>
      <c r="J6194" s="88">
        <v>1E-3</v>
      </c>
      <c r="K6194" t="s">
        <v>4909</v>
      </c>
    </row>
    <row r="6195" spans="1:11" x14ac:dyDescent="0.2">
      <c r="A6195" t="s">
        <v>4301</v>
      </c>
      <c r="B6195" s="88">
        <v>0</v>
      </c>
      <c r="C6195" t="s">
        <v>4909</v>
      </c>
      <c r="D6195" t="s">
        <v>4909</v>
      </c>
      <c r="E6195" t="s">
        <v>4909</v>
      </c>
      <c r="F6195" s="88">
        <v>2E-3</v>
      </c>
      <c r="G6195" t="s">
        <v>4909</v>
      </c>
      <c r="H6195" s="88">
        <v>0</v>
      </c>
      <c r="I6195" s="88">
        <v>4.0000000000000001E-3</v>
      </c>
      <c r="J6195" s="88">
        <v>0</v>
      </c>
      <c r="K6195" t="s">
        <v>4909</v>
      </c>
    </row>
    <row r="6196" spans="1:11" x14ac:dyDescent="0.2">
      <c r="A6196" t="s">
        <v>4302</v>
      </c>
      <c r="B6196" s="88">
        <v>0</v>
      </c>
      <c r="C6196" t="s">
        <v>4909</v>
      </c>
      <c r="D6196" t="s">
        <v>4909</v>
      </c>
      <c r="E6196" t="s">
        <v>4909</v>
      </c>
      <c r="F6196" s="88">
        <v>1.2999999999999999E-2</v>
      </c>
      <c r="G6196" t="s">
        <v>4909</v>
      </c>
      <c r="H6196" s="88">
        <v>1E-3</v>
      </c>
      <c r="I6196" s="88">
        <v>1.4E-2</v>
      </c>
      <c r="J6196" s="88">
        <v>2E-3</v>
      </c>
      <c r="K6196" t="s">
        <v>4909</v>
      </c>
    </row>
    <row r="6197" spans="1:11" x14ac:dyDescent="0.2">
      <c r="A6197" t="s">
        <v>4303</v>
      </c>
      <c r="B6197" t="s">
        <v>4909</v>
      </c>
      <c r="C6197" t="s">
        <v>4909</v>
      </c>
      <c r="D6197" t="s">
        <v>4909</v>
      </c>
      <c r="E6197" t="s">
        <v>4909</v>
      </c>
      <c r="F6197" s="88">
        <v>1.7999999999999999E-2</v>
      </c>
      <c r="G6197" t="s">
        <v>4909</v>
      </c>
      <c r="H6197" s="88">
        <v>1E-3</v>
      </c>
      <c r="I6197" s="88">
        <v>8.9999999999999993E-3</v>
      </c>
      <c r="J6197" s="88">
        <v>3.0000000000000001E-3</v>
      </c>
      <c r="K6197" t="s">
        <v>4909</v>
      </c>
    </row>
    <row r="6198" spans="1:11" x14ac:dyDescent="0.2">
      <c r="A6198" t="s">
        <v>4304</v>
      </c>
      <c r="B6198" t="s">
        <v>4909</v>
      </c>
      <c r="C6198" t="s">
        <v>4909</v>
      </c>
      <c r="D6198" t="s">
        <v>4909</v>
      </c>
      <c r="E6198" t="s">
        <v>4909</v>
      </c>
      <c r="F6198" s="88">
        <v>8.0000000000000002E-3</v>
      </c>
      <c r="G6198" t="s">
        <v>4909</v>
      </c>
      <c r="H6198" s="88">
        <v>0</v>
      </c>
      <c r="I6198" s="88">
        <v>1.7000000000000001E-2</v>
      </c>
      <c r="J6198" s="88">
        <v>1E-3</v>
      </c>
      <c r="K6198" t="s">
        <v>4909</v>
      </c>
    </row>
    <row r="6199" spans="1:11" x14ac:dyDescent="0.2">
      <c r="A6199" t="s">
        <v>4305</v>
      </c>
      <c r="B6199" s="88">
        <v>0</v>
      </c>
      <c r="C6199" t="s">
        <v>4909</v>
      </c>
      <c r="D6199" t="s">
        <v>4909</v>
      </c>
      <c r="E6199" t="s">
        <v>4909</v>
      </c>
      <c r="F6199" s="88">
        <v>1.2E-2</v>
      </c>
      <c r="G6199" t="s">
        <v>4909</v>
      </c>
      <c r="H6199" s="88">
        <v>1E-3</v>
      </c>
      <c r="I6199" s="88">
        <v>2.9000000000000001E-2</v>
      </c>
      <c r="J6199" s="88">
        <v>1E-3</v>
      </c>
      <c r="K6199" t="s">
        <v>4909</v>
      </c>
    </row>
    <row r="6200" spans="1:11" x14ac:dyDescent="0.2">
      <c r="A6200" t="s">
        <v>4306</v>
      </c>
      <c r="B6200" t="s">
        <v>4909</v>
      </c>
      <c r="C6200" t="s">
        <v>4909</v>
      </c>
      <c r="D6200" t="s">
        <v>4909</v>
      </c>
      <c r="E6200" t="s">
        <v>4909</v>
      </c>
      <c r="F6200" s="88">
        <v>1.2999999999999999E-2</v>
      </c>
      <c r="G6200" t="s">
        <v>4909</v>
      </c>
      <c r="H6200" s="88">
        <v>1E-3</v>
      </c>
      <c r="I6200" s="88">
        <v>1.9E-2</v>
      </c>
      <c r="J6200" s="88">
        <v>1E-3</v>
      </c>
      <c r="K6200" t="s">
        <v>4909</v>
      </c>
    </row>
    <row r="6201" spans="1:11" x14ac:dyDescent="0.2">
      <c r="A6201" t="s">
        <v>4307</v>
      </c>
      <c r="B6201" s="88">
        <v>0</v>
      </c>
      <c r="C6201" t="s">
        <v>4909</v>
      </c>
      <c r="D6201" t="s">
        <v>4909</v>
      </c>
      <c r="E6201" t="s">
        <v>4909</v>
      </c>
      <c r="F6201" s="88">
        <v>2.1999999999999999E-2</v>
      </c>
      <c r="G6201" t="s">
        <v>4909</v>
      </c>
      <c r="H6201" s="88">
        <v>2E-3</v>
      </c>
      <c r="I6201" s="88">
        <v>0.01</v>
      </c>
      <c r="J6201" s="88">
        <v>3.0000000000000001E-3</v>
      </c>
      <c r="K6201" t="s">
        <v>4909</v>
      </c>
    </row>
    <row r="6202" spans="1:11" x14ac:dyDescent="0.2">
      <c r="A6202" t="s">
        <v>4308</v>
      </c>
      <c r="B6202" t="s">
        <v>4909</v>
      </c>
      <c r="C6202" t="s">
        <v>4909</v>
      </c>
      <c r="D6202" t="s">
        <v>4909</v>
      </c>
      <c r="E6202" t="s">
        <v>4909</v>
      </c>
      <c r="F6202" s="88">
        <v>2.7E-2</v>
      </c>
      <c r="G6202" t="s">
        <v>4909</v>
      </c>
      <c r="H6202" s="88">
        <v>1E-3</v>
      </c>
      <c r="I6202" s="88">
        <v>1.2999999999999999E-2</v>
      </c>
      <c r="J6202" s="88">
        <v>1E-3</v>
      </c>
      <c r="K6202" t="s">
        <v>4909</v>
      </c>
    </row>
    <row r="6203" spans="1:11" x14ac:dyDescent="0.2">
      <c r="A6203" t="s">
        <v>4309</v>
      </c>
      <c r="B6203" t="s">
        <v>4909</v>
      </c>
      <c r="C6203" t="s">
        <v>4909</v>
      </c>
      <c r="D6203" t="s">
        <v>4909</v>
      </c>
      <c r="E6203" t="s">
        <v>4909</v>
      </c>
      <c r="F6203" t="s">
        <v>4909</v>
      </c>
      <c r="G6203" t="s">
        <v>4909</v>
      </c>
      <c r="H6203" t="s">
        <v>4909</v>
      </c>
      <c r="I6203" t="s">
        <v>4909</v>
      </c>
      <c r="J6203" t="s">
        <v>4909</v>
      </c>
      <c r="K6203" t="s">
        <v>4909</v>
      </c>
    </row>
    <row r="6204" spans="1:11" x14ac:dyDescent="0.2">
      <c r="A6204" t="s">
        <v>4310</v>
      </c>
      <c r="B6204" t="s">
        <v>4909</v>
      </c>
      <c r="C6204" t="s">
        <v>4909</v>
      </c>
      <c r="D6204" t="s">
        <v>4909</v>
      </c>
      <c r="E6204" t="s">
        <v>4909</v>
      </c>
      <c r="F6204" t="s">
        <v>4909</v>
      </c>
      <c r="G6204" t="s">
        <v>4909</v>
      </c>
      <c r="H6204" t="s">
        <v>4909</v>
      </c>
      <c r="I6204" t="s">
        <v>4909</v>
      </c>
      <c r="J6204" t="s">
        <v>4909</v>
      </c>
      <c r="K6204" t="s">
        <v>4909</v>
      </c>
    </row>
    <row r="6205" spans="1:11" x14ac:dyDescent="0.2">
      <c r="A6205" t="s">
        <v>4311</v>
      </c>
      <c r="B6205" t="s">
        <v>4909</v>
      </c>
      <c r="C6205" t="s">
        <v>4909</v>
      </c>
      <c r="D6205" t="s">
        <v>4909</v>
      </c>
      <c r="E6205" t="s">
        <v>4909</v>
      </c>
      <c r="F6205" t="s">
        <v>4909</v>
      </c>
      <c r="G6205" t="s">
        <v>4909</v>
      </c>
      <c r="H6205" t="s">
        <v>4909</v>
      </c>
      <c r="I6205" t="s">
        <v>4909</v>
      </c>
      <c r="J6205" t="s">
        <v>4909</v>
      </c>
      <c r="K6205" t="s">
        <v>4909</v>
      </c>
    </row>
    <row r="6206" spans="1:11" x14ac:dyDescent="0.2">
      <c r="A6206" t="s">
        <v>4312</v>
      </c>
      <c r="B6206" t="s">
        <v>4909</v>
      </c>
      <c r="C6206" t="s">
        <v>4909</v>
      </c>
      <c r="D6206" t="s">
        <v>4909</v>
      </c>
      <c r="E6206" t="s">
        <v>4909</v>
      </c>
      <c r="F6206" t="s">
        <v>4909</v>
      </c>
      <c r="G6206" t="s">
        <v>4909</v>
      </c>
      <c r="H6206" t="s">
        <v>4909</v>
      </c>
      <c r="I6206" t="s">
        <v>4909</v>
      </c>
      <c r="J6206" t="s">
        <v>4909</v>
      </c>
      <c r="K6206" t="s">
        <v>4909</v>
      </c>
    </row>
    <row r="6207" spans="1:11" x14ac:dyDescent="0.2">
      <c r="A6207" t="s">
        <v>4313</v>
      </c>
      <c r="B6207" t="s">
        <v>4909</v>
      </c>
      <c r="C6207" t="s">
        <v>4909</v>
      </c>
      <c r="D6207" t="s">
        <v>4909</v>
      </c>
      <c r="E6207" t="s">
        <v>4909</v>
      </c>
      <c r="F6207" t="s">
        <v>4909</v>
      </c>
      <c r="G6207" t="s">
        <v>4909</v>
      </c>
      <c r="H6207" t="s">
        <v>4909</v>
      </c>
      <c r="I6207" t="s">
        <v>4909</v>
      </c>
      <c r="J6207" t="s">
        <v>4909</v>
      </c>
      <c r="K6207" t="s">
        <v>4909</v>
      </c>
    </row>
    <row r="6208" spans="1:11" x14ac:dyDescent="0.2">
      <c r="A6208" t="s">
        <v>4314</v>
      </c>
      <c r="B6208" t="s">
        <v>4909</v>
      </c>
      <c r="C6208" t="s">
        <v>4909</v>
      </c>
      <c r="D6208" t="s">
        <v>4909</v>
      </c>
      <c r="E6208" t="s">
        <v>4909</v>
      </c>
      <c r="F6208" s="88">
        <v>0</v>
      </c>
      <c r="G6208" t="s">
        <v>4909</v>
      </c>
      <c r="H6208" t="s">
        <v>4909</v>
      </c>
      <c r="I6208" s="88">
        <v>0</v>
      </c>
      <c r="J6208" t="s">
        <v>4909</v>
      </c>
      <c r="K6208" t="s">
        <v>4909</v>
      </c>
    </row>
    <row r="6209" spans="1:11" x14ac:dyDescent="0.2">
      <c r="A6209" t="s">
        <v>4315</v>
      </c>
      <c r="B6209" t="s">
        <v>4909</v>
      </c>
      <c r="C6209" t="s">
        <v>4909</v>
      </c>
      <c r="D6209" t="s">
        <v>4909</v>
      </c>
      <c r="E6209" t="s">
        <v>4909</v>
      </c>
      <c r="F6209" t="s">
        <v>4909</v>
      </c>
      <c r="G6209" t="s">
        <v>4909</v>
      </c>
      <c r="H6209" t="s">
        <v>4909</v>
      </c>
      <c r="I6209" t="s">
        <v>4909</v>
      </c>
      <c r="J6209" t="s">
        <v>4909</v>
      </c>
      <c r="K6209" t="s">
        <v>4909</v>
      </c>
    </row>
    <row r="6210" spans="1:11" x14ac:dyDescent="0.2">
      <c r="A6210" t="s">
        <v>4316</v>
      </c>
      <c r="B6210" t="s">
        <v>4909</v>
      </c>
      <c r="C6210" t="s">
        <v>4909</v>
      </c>
      <c r="D6210" t="s">
        <v>4909</v>
      </c>
      <c r="E6210" t="s">
        <v>4909</v>
      </c>
      <c r="F6210" t="s">
        <v>4909</v>
      </c>
      <c r="G6210" t="s">
        <v>4909</v>
      </c>
      <c r="H6210" t="s">
        <v>4909</v>
      </c>
      <c r="I6210" t="s">
        <v>4909</v>
      </c>
      <c r="J6210" t="s">
        <v>4909</v>
      </c>
      <c r="K6210" t="s">
        <v>4909</v>
      </c>
    </row>
    <row r="6211" spans="1:11" x14ac:dyDescent="0.2">
      <c r="A6211" t="s">
        <v>4317</v>
      </c>
      <c r="B6211" t="s">
        <v>4909</v>
      </c>
      <c r="C6211" t="s">
        <v>4909</v>
      </c>
      <c r="D6211" t="s">
        <v>4909</v>
      </c>
      <c r="E6211" t="s">
        <v>4909</v>
      </c>
      <c r="F6211" t="s">
        <v>4909</v>
      </c>
      <c r="G6211" t="s">
        <v>4909</v>
      </c>
      <c r="H6211" t="s">
        <v>4909</v>
      </c>
      <c r="I6211" t="s">
        <v>4909</v>
      </c>
      <c r="J6211" t="s">
        <v>4909</v>
      </c>
      <c r="K6211" t="s">
        <v>4909</v>
      </c>
    </row>
    <row r="6212" spans="1:11" x14ac:dyDescent="0.2">
      <c r="A6212" t="s">
        <v>4318</v>
      </c>
      <c r="B6212" t="s">
        <v>4909</v>
      </c>
      <c r="C6212" t="s">
        <v>4909</v>
      </c>
      <c r="D6212" t="s">
        <v>4909</v>
      </c>
      <c r="E6212" t="s">
        <v>4909</v>
      </c>
      <c r="F6212" t="s">
        <v>4909</v>
      </c>
      <c r="G6212" t="s">
        <v>4909</v>
      </c>
      <c r="H6212" t="s">
        <v>4909</v>
      </c>
      <c r="I6212" t="s">
        <v>4909</v>
      </c>
      <c r="J6212" t="s">
        <v>4909</v>
      </c>
      <c r="K6212" t="s">
        <v>4909</v>
      </c>
    </row>
    <row r="6213" spans="1:11" x14ac:dyDescent="0.2">
      <c r="A6213" t="s">
        <v>4319</v>
      </c>
      <c r="B6213" t="s">
        <v>4909</v>
      </c>
      <c r="C6213" t="s">
        <v>4909</v>
      </c>
      <c r="D6213" t="s">
        <v>4909</v>
      </c>
      <c r="E6213" t="s">
        <v>4909</v>
      </c>
      <c r="F6213" t="s">
        <v>4909</v>
      </c>
      <c r="G6213" t="s">
        <v>4909</v>
      </c>
      <c r="H6213" t="s">
        <v>4909</v>
      </c>
      <c r="I6213" t="s">
        <v>4909</v>
      </c>
      <c r="J6213" t="s">
        <v>4909</v>
      </c>
      <c r="K6213" t="s">
        <v>4909</v>
      </c>
    </row>
    <row r="6214" spans="1:11" x14ac:dyDescent="0.2">
      <c r="A6214" t="s">
        <v>4320</v>
      </c>
      <c r="B6214" t="s">
        <v>4909</v>
      </c>
      <c r="C6214" t="s">
        <v>4909</v>
      </c>
      <c r="D6214" t="s">
        <v>4909</v>
      </c>
      <c r="E6214" t="s">
        <v>4909</v>
      </c>
      <c r="F6214" t="s">
        <v>4909</v>
      </c>
      <c r="G6214" t="s">
        <v>4909</v>
      </c>
      <c r="H6214" t="s">
        <v>4909</v>
      </c>
      <c r="I6214" t="s">
        <v>4909</v>
      </c>
      <c r="J6214" t="s">
        <v>4909</v>
      </c>
      <c r="K6214" t="s">
        <v>4909</v>
      </c>
    </row>
    <row r="6215" spans="1:11" x14ac:dyDescent="0.2">
      <c r="A6215" t="s">
        <v>4321</v>
      </c>
      <c r="B6215" t="s">
        <v>4909</v>
      </c>
      <c r="C6215" t="s">
        <v>4909</v>
      </c>
      <c r="D6215" t="s">
        <v>4909</v>
      </c>
      <c r="E6215" t="s">
        <v>4909</v>
      </c>
      <c r="F6215" t="s">
        <v>4909</v>
      </c>
      <c r="G6215" t="s">
        <v>4909</v>
      </c>
      <c r="H6215" t="s">
        <v>4909</v>
      </c>
      <c r="I6215" t="s">
        <v>4909</v>
      </c>
      <c r="J6215" t="s">
        <v>4909</v>
      </c>
      <c r="K6215" t="s">
        <v>4909</v>
      </c>
    </row>
    <row r="6216" spans="1:11" x14ac:dyDescent="0.2">
      <c r="A6216" t="s">
        <v>4322</v>
      </c>
      <c r="B6216" t="s">
        <v>4909</v>
      </c>
      <c r="C6216" t="s">
        <v>4909</v>
      </c>
      <c r="D6216" t="s">
        <v>4909</v>
      </c>
      <c r="E6216" t="s">
        <v>4909</v>
      </c>
      <c r="F6216" t="s">
        <v>4909</v>
      </c>
      <c r="G6216" t="s">
        <v>4909</v>
      </c>
      <c r="H6216" t="s">
        <v>4909</v>
      </c>
      <c r="I6216" t="s">
        <v>4909</v>
      </c>
      <c r="J6216" t="s">
        <v>4909</v>
      </c>
      <c r="K6216" t="s">
        <v>4909</v>
      </c>
    </row>
    <row r="6217" spans="1:11" x14ac:dyDescent="0.2">
      <c r="A6217" t="s">
        <v>4323</v>
      </c>
      <c r="B6217" t="s">
        <v>4909</v>
      </c>
      <c r="C6217" t="s">
        <v>4909</v>
      </c>
      <c r="D6217" t="s">
        <v>4909</v>
      </c>
      <c r="E6217" t="s">
        <v>4909</v>
      </c>
      <c r="F6217" t="s">
        <v>4909</v>
      </c>
      <c r="G6217" t="s">
        <v>4909</v>
      </c>
      <c r="H6217" t="s">
        <v>4909</v>
      </c>
      <c r="I6217" t="s">
        <v>4909</v>
      </c>
      <c r="J6217" t="s">
        <v>4909</v>
      </c>
      <c r="K6217" t="s">
        <v>4909</v>
      </c>
    </row>
    <row r="6218" spans="1:11" x14ac:dyDescent="0.2">
      <c r="A6218" t="s">
        <v>4324</v>
      </c>
      <c r="B6218" t="s">
        <v>4909</v>
      </c>
      <c r="C6218" t="s">
        <v>4909</v>
      </c>
      <c r="D6218" t="s">
        <v>4909</v>
      </c>
      <c r="E6218" t="s">
        <v>4909</v>
      </c>
      <c r="F6218" t="s">
        <v>4909</v>
      </c>
      <c r="G6218" t="s">
        <v>4909</v>
      </c>
      <c r="H6218" t="s">
        <v>4909</v>
      </c>
      <c r="I6218" t="s">
        <v>4909</v>
      </c>
      <c r="J6218" t="s">
        <v>4909</v>
      </c>
      <c r="K6218" t="s">
        <v>4909</v>
      </c>
    </row>
    <row r="6219" spans="1:11" x14ac:dyDescent="0.2">
      <c r="A6219" t="s">
        <v>4325</v>
      </c>
      <c r="B6219" t="s">
        <v>4909</v>
      </c>
      <c r="C6219" t="s">
        <v>4909</v>
      </c>
      <c r="D6219" t="s">
        <v>4909</v>
      </c>
      <c r="E6219" t="s">
        <v>4909</v>
      </c>
      <c r="F6219" t="s">
        <v>4909</v>
      </c>
      <c r="G6219" t="s">
        <v>4909</v>
      </c>
      <c r="H6219" t="s">
        <v>4909</v>
      </c>
      <c r="I6219" t="s">
        <v>4909</v>
      </c>
      <c r="J6219" t="s">
        <v>4909</v>
      </c>
      <c r="K6219" t="s">
        <v>4909</v>
      </c>
    </row>
    <row r="6220" spans="1:11" x14ac:dyDescent="0.2">
      <c r="A6220" t="s">
        <v>4326</v>
      </c>
      <c r="B6220" t="s">
        <v>4909</v>
      </c>
      <c r="C6220" t="s">
        <v>4909</v>
      </c>
      <c r="D6220" t="s">
        <v>4909</v>
      </c>
      <c r="E6220" t="s">
        <v>4909</v>
      </c>
      <c r="F6220" t="s">
        <v>4909</v>
      </c>
      <c r="G6220" t="s">
        <v>4909</v>
      </c>
      <c r="H6220" t="s">
        <v>4909</v>
      </c>
      <c r="I6220" t="s">
        <v>4909</v>
      </c>
      <c r="J6220" t="s">
        <v>4909</v>
      </c>
      <c r="K6220" t="s">
        <v>4909</v>
      </c>
    </row>
    <row r="6221" spans="1:11" x14ac:dyDescent="0.2">
      <c r="A6221" t="s">
        <v>4327</v>
      </c>
      <c r="B6221" t="s">
        <v>4909</v>
      </c>
      <c r="C6221" t="s">
        <v>4909</v>
      </c>
      <c r="D6221" t="s">
        <v>4909</v>
      </c>
      <c r="E6221" t="s">
        <v>4909</v>
      </c>
      <c r="F6221" t="s">
        <v>4909</v>
      </c>
      <c r="G6221" t="s">
        <v>4909</v>
      </c>
      <c r="H6221" t="s">
        <v>4909</v>
      </c>
      <c r="I6221" t="s">
        <v>4909</v>
      </c>
      <c r="J6221" t="s">
        <v>4909</v>
      </c>
      <c r="K6221" t="s">
        <v>4909</v>
      </c>
    </row>
    <row r="6222" spans="1:11" x14ac:dyDescent="0.2">
      <c r="A6222" t="s">
        <v>4328</v>
      </c>
      <c r="B6222" t="s">
        <v>4909</v>
      </c>
      <c r="C6222" t="s">
        <v>4909</v>
      </c>
      <c r="D6222" t="s">
        <v>4909</v>
      </c>
      <c r="E6222" t="s">
        <v>4909</v>
      </c>
      <c r="F6222" t="s">
        <v>4909</v>
      </c>
      <c r="G6222" t="s">
        <v>4909</v>
      </c>
      <c r="H6222" t="s">
        <v>4909</v>
      </c>
      <c r="I6222" t="s">
        <v>4909</v>
      </c>
      <c r="J6222" t="s">
        <v>4909</v>
      </c>
      <c r="K6222" t="s">
        <v>4909</v>
      </c>
    </row>
    <row r="6223" spans="1:11" x14ac:dyDescent="0.2">
      <c r="A6223" t="s">
        <v>4329</v>
      </c>
      <c r="B6223" t="s">
        <v>4909</v>
      </c>
      <c r="C6223" t="s">
        <v>4909</v>
      </c>
      <c r="D6223" t="s">
        <v>4909</v>
      </c>
      <c r="E6223" t="s">
        <v>4909</v>
      </c>
      <c r="F6223" t="s">
        <v>4909</v>
      </c>
      <c r="G6223" t="s">
        <v>4909</v>
      </c>
      <c r="H6223" t="s">
        <v>4909</v>
      </c>
      <c r="I6223" t="s">
        <v>4909</v>
      </c>
      <c r="J6223" t="s">
        <v>4909</v>
      </c>
      <c r="K6223" t="s">
        <v>4909</v>
      </c>
    </row>
    <row r="6224" spans="1:11" x14ac:dyDescent="0.2">
      <c r="A6224" t="s">
        <v>4330</v>
      </c>
      <c r="B6224" t="s">
        <v>4909</v>
      </c>
      <c r="C6224" t="s">
        <v>4909</v>
      </c>
      <c r="D6224" t="s">
        <v>4909</v>
      </c>
      <c r="E6224" t="s">
        <v>4909</v>
      </c>
      <c r="F6224" t="s">
        <v>4909</v>
      </c>
      <c r="G6224" t="s">
        <v>4909</v>
      </c>
      <c r="H6224" t="s">
        <v>4909</v>
      </c>
      <c r="I6224" t="s">
        <v>4909</v>
      </c>
      <c r="J6224" t="s">
        <v>4909</v>
      </c>
      <c r="K6224" t="s">
        <v>4909</v>
      </c>
    </row>
    <row r="6225" spans="1:11" x14ac:dyDescent="0.2">
      <c r="A6225" t="s">
        <v>4331</v>
      </c>
      <c r="B6225" t="s">
        <v>4909</v>
      </c>
      <c r="C6225" t="s">
        <v>4909</v>
      </c>
      <c r="D6225" t="s">
        <v>4909</v>
      </c>
      <c r="E6225" t="s">
        <v>4909</v>
      </c>
      <c r="F6225" t="s">
        <v>4909</v>
      </c>
      <c r="G6225" t="s">
        <v>4909</v>
      </c>
      <c r="H6225" t="s">
        <v>4909</v>
      </c>
      <c r="I6225" t="s">
        <v>4909</v>
      </c>
      <c r="J6225" t="s">
        <v>4909</v>
      </c>
      <c r="K6225" t="s">
        <v>4909</v>
      </c>
    </row>
    <row r="6226" spans="1:11" x14ac:dyDescent="0.2">
      <c r="A6226" t="s">
        <v>4332</v>
      </c>
      <c r="B6226" t="s">
        <v>4909</v>
      </c>
      <c r="C6226" t="s">
        <v>4909</v>
      </c>
      <c r="D6226" t="s">
        <v>4909</v>
      </c>
      <c r="E6226" t="s">
        <v>4909</v>
      </c>
      <c r="F6226" t="s">
        <v>4909</v>
      </c>
      <c r="G6226" t="s">
        <v>4909</v>
      </c>
      <c r="H6226" t="s">
        <v>4909</v>
      </c>
      <c r="I6226" t="s">
        <v>4909</v>
      </c>
      <c r="J6226" t="s">
        <v>4909</v>
      </c>
      <c r="K6226" t="s">
        <v>4909</v>
      </c>
    </row>
    <row r="6227" spans="1:11" x14ac:dyDescent="0.2">
      <c r="A6227" t="s">
        <v>4333</v>
      </c>
      <c r="B6227" t="s">
        <v>4909</v>
      </c>
      <c r="C6227" t="s">
        <v>4909</v>
      </c>
      <c r="D6227" t="s">
        <v>4909</v>
      </c>
      <c r="E6227" t="s">
        <v>4909</v>
      </c>
      <c r="F6227" t="s">
        <v>4909</v>
      </c>
      <c r="G6227" t="s">
        <v>4909</v>
      </c>
      <c r="H6227" t="s">
        <v>4909</v>
      </c>
      <c r="I6227" t="s">
        <v>4909</v>
      </c>
      <c r="J6227" t="s">
        <v>4909</v>
      </c>
      <c r="K6227" t="s">
        <v>4909</v>
      </c>
    </row>
    <row r="6228" spans="1:11" x14ac:dyDescent="0.2">
      <c r="A6228" t="s">
        <v>4334</v>
      </c>
      <c r="B6228" t="s">
        <v>4909</v>
      </c>
      <c r="C6228" t="s">
        <v>4909</v>
      </c>
      <c r="D6228" t="s">
        <v>4909</v>
      </c>
      <c r="E6228" t="s">
        <v>4909</v>
      </c>
      <c r="F6228" t="s">
        <v>4909</v>
      </c>
      <c r="G6228" t="s">
        <v>4909</v>
      </c>
      <c r="H6228" t="s">
        <v>4909</v>
      </c>
      <c r="I6228" t="s">
        <v>4909</v>
      </c>
      <c r="J6228" t="s">
        <v>4909</v>
      </c>
      <c r="K6228" t="s">
        <v>4909</v>
      </c>
    </row>
    <row r="6229" spans="1:11" x14ac:dyDescent="0.2">
      <c r="A6229" t="s">
        <v>4335</v>
      </c>
      <c r="B6229" t="s">
        <v>4909</v>
      </c>
      <c r="C6229" t="s">
        <v>4909</v>
      </c>
      <c r="D6229" t="s">
        <v>4909</v>
      </c>
      <c r="E6229" t="s">
        <v>4909</v>
      </c>
      <c r="F6229" t="s">
        <v>4909</v>
      </c>
      <c r="G6229" t="s">
        <v>4909</v>
      </c>
      <c r="H6229" t="s">
        <v>4909</v>
      </c>
      <c r="I6229" t="s">
        <v>4909</v>
      </c>
      <c r="J6229" t="s">
        <v>4909</v>
      </c>
      <c r="K6229" t="s">
        <v>4909</v>
      </c>
    </row>
    <row r="6230" spans="1:11" x14ac:dyDescent="0.2">
      <c r="A6230" t="s">
        <v>4336</v>
      </c>
      <c r="B6230" t="s">
        <v>4909</v>
      </c>
      <c r="C6230" t="s">
        <v>4909</v>
      </c>
      <c r="D6230" t="s">
        <v>4909</v>
      </c>
      <c r="E6230" t="s">
        <v>4909</v>
      </c>
      <c r="F6230" t="s">
        <v>4909</v>
      </c>
      <c r="G6230" t="s">
        <v>4909</v>
      </c>
      <c r="H6230" t="s">
        <v>4909</v>
      </c>
      <c r="I6230" t="s">
        <v>4909</v>
      </c>
      <c r="J6230" t="s">
        <v>4909</v>
      </c>
      <c r="K6230" t="s">
        <v>4909</v>
      </c>
    </row>
    <row r="6231" spans="1:11" x14ac:dyDescent="0.2">
      <c r="A6231" t="s">
        <v>4337</v>
      </c>
      <c r="B6231" t="s">
        <v>4909</v>
      </c>
      <c r="C6231" t="s">
        <v>4909</v>
      </c>
      <c r="D6231" t="s">
        <v>4909</v>
      </c>
      <c r="E6231" t="s">
        <v>4909</v>
      </c>
      <c r="F6231" t="s">
        <v>4909</v>
      </c>
      <c r="G6231" t="s">
        <v>4909</v>
      </c>
      <c r="H6231" t="s">
        <v>4909</v>
      </c>
      <c r="I6231" t="s">
        <v>4909</v>
      </c>
      <c r="J6231" t="s">
        <v>4909</v>
      </c>
      <c r="K6231" t="s">
        <v>4909</v>
      </c>
    </row>
    <row r="6232" spans="1:11" x14ac:dyDescent="0.2">
      <c r="A6232" t="s">
        <v>4338</v>
      </c>
      <c r="B6232" t="s">
        <v>4909</v>
      </c>
      <c r="C6232" t="s">
        <v>4909</v>
      </c>
      <c r="D6232" t="s">
        <v>4909</v>
      </c>
      <c r="E6232" t="s">
        <v>4909</v>
      </c>
      <c r="F6232" s="88">
        <v>0</v>
      </c>
      <c r="G6232" t="s">
        <v>4909</v>
      </c>
      <c r="H6232" t="s">
        <v>4909</v>
      </c>
      <c r="I6232" t="s">
        <v>4909</v>
      </c>
      <c r="J6232" t="s">
        <v>4909</v>
      </c>
      <c r="K6232" t="s">
        <v>4909</v>
      </c>
    </row>
    <row r="6233" spans="1:11" x14ac:dyDescent="0.2">
      <c r="A6233" t="s">
        <v>4339</v>
      </c>
      <c r="B6233" t="s">
        <v>4909</v>
      </c>
      <c r="C6233" t="s">
        <v>4909</v>
      </c>
      <c r="D6233" t="s">
        <v>4909</v>
      </c>
      <c r="E6233" t="s">
        <v>4909</v>
      </c>
      <c r="F6233" t="s">
        <v>4909</v>
      </c>
      <c r="G6233" t="s">
        <v>4909</v>
      </c>
      <c r="H6233" t="s">
        <v>4909</v>
      </c>
      <c r="I6233" t="s">
        <v>4909</v>
      </c>
      <c r="J6233" t="s">
        <v>4909</v>
      </c>
      <c r="K6233" t="s">
        <v>4909</v>
      </c>
    </row>
    <row r="6234" spans="1:11" x14ac:dyDescent="0.2">
      <c r="A6234" t="s">
        <v>4340</v>
      </c>
      <c r="B6234" t="s">
        <v>4909</v>
      </c>
      <c r="C6234" t="s">
        <v>4909</v>
      </c>
      <c r="D6234" t="s">
        <v>4909</v>
      </c>
      <c r="E6234" t="s">
        <v>4909</v>
      </c>
      <c r="F6234" t="s">
        <v>4909</v>
      </c>
      <c r="G6234" t="s">
        <v>4909</v>
      </c>
      <c r="H6234" t="s">
        <v>4909</v>
      </c>
      <c r="I6234" t="s">
        <v>4909</v>
      </c>
      <c r="J6234" t="s">
        <v>4909</v>
      </c>
      <c r="K6234" t="s">
        <v>4909</v>
      </c>
    </row>
    <row r="6235" spans="1:11" x14ac:dyDescent="0.2">
      <c r="A6235" t="s">
        <v>4341</v>
      </c>
      <c r="B6235" t="s">
        <v>4909</v>
      </c>
      <c r="C6235" t="s">
        <v>4909</v>
      </c>
      <c r="D6235" t="s">
        <v>4909</v>
      </c>
      <c r="E6235" t="s">
        <v>4909</v>
      </c>
      <c r="F6235" t="s">
        <v>4909</v>
      </c>
      <c r="G6235" t="s">
        <v>4909</v>
      </c>
      <c r="H6235" t="s">
        <v>4909</v>
      </c>
      <c r="I6235" t="s">
        <v>4909</v>
      </c>
      <c r="J6235" t="s">
        <v>4909</v>
      </c>
      <c r="K6235" t="s">
        <v>4909</v>
      </c>
    </row>
    <row r="6236" spans="1:11" x14ac:dyDescent="0.2">
      <c r="A6236" t="s">
        <v>4342</v>
      </c>
      <c r="B6236" t="s">
        <v>4909</v>
      </c>
      <c r="C6236" t="s">
        <v>4909</v>
      </c>
      <c r="D6236" t="s">
        <v>4909</v>
      </c>
      <c r="E6236" t="s">
        <v>4909</v>
      </c>
      <c r="F6236" t="s">
        <v>4909</v>
      </c>
      <c r="G6236" t="s">
        <v>4909</v>
      </c>
      <c r="H6236" t="s">
        <v>4909</v>
      </c>
      <c r="I6236" t="s">
        <v>4909</v>
      </c>
      <c r="J6236" t="s">
        <v>4909</v>
      </c>
      <c r="K6236" t="s">
        <v>4909</v>
      </c>
    </row>
    <row r="6237" spans="1:11" x14ac:dyDescent="0.2">
      <c r="A6237" t="s">
        <v>4343</v>
      </c>
      <c r="B6237" t="s">
        <v>4909</v>
      </c>
      <c r="C6237" t="s">
        <v>4909</v>
      </c>
      <c r="D6237" t="s">
        <v>4909</v>
      </c>
      <c r="E6237" t="s">
        <v>4909</v>
      </c>
      <c r="F6237" t="s">
        <v>4909</v>
      </c>
      <c r="G6237" t="s">
        <v>4909</v>
      </c>
      <c r="H6237" t="s">
        <v>4909</v>
      </c>
      <c r="I6237" t="s">
        <v>4909</v>
      </c>
      <c r="J6237" t="s">
        <v>4909</v>
      </c>
      <c r="K6237" t="s">
        <v>4909</v>
      </c>
    </row>
    <row r="6238" spans="1:11" x14ac:dyDescent="0.2">
      <c r="A6238" t="s">
        <v>1728</v>
      </c>
      <c r="B6238" t="s">
        <v>4909</v>
      </c>
      <c r="C6238" t="s">
        <v>4909</v>
      </c>
      <c r="D6238" t="s">
        <v>4909</v>
      </c>
      <c r="E6238" t="s">
        <v>4909</v>
      </c>
      <c r="F6238" t="s">
        <v>4909</v>
      </c>
      <c r="G6238" t="s">
        <v>4909</v>
      </c>
      <c r="H6238" t="s">
        <v>4909</v>
      </c>
      <c r="I6238" t="s">
        <v>4909</v>
      </c>
      <c r="J6238" t="s">
        <v>4909</v>
      </c>
      <c r="K6238" t="s">
        <v>4909</v>
      </c>
    </row>
    <row r="6239" spans="1:11" x14ac:dyDescent="0.2">
      <c r="A6239" t="s">
        <v>1730</v>
      </c>
      <c r="B6239" s="88">
        <v>1E-3</v>
      </c>
      <c r="C6239" t="s">
        <v>4909</v>
      </c>
      <c r="D6239" t="s">
        <v>4909</v>
      </c>
      <c r="E6239" t="s">
        <v>4909</v>
      </c>
      <c r="F6239" s="88">
        <v>5.5E-2</v>
      </c>
      <c r="G6239" t="s">
        <v>4909</v>
      </c>
      <c r="H6239" s="88">
        <v>4.0000000000000001E-3</v>
      </c>
      <c r="I6239" s="88">
        <v>2.1999999999999999E-2</v>
      </c>
      <c r="J6239" s="88">
        <v>7.0000000000000001E-3</v>
      </c>
      <c r="K6239" t="s">
        <v>4909</v>
      </c>
    </row>
    <row r="6240" spans="1:11" x14ac:dyDescent="0.2">
      <c r="A6240" t="s">
        <v>1733</v>
      </c>
      <c r="B6240" t="s">
        <v>4909</v>
      </c>
      <c r="C6240" t="s">
        <v>4909</v>
      </c>
      <c r="D6240" t="s">
        <v>4909</v>
      </c>
      <c r="E6240" t="s">
        <v>4909</v>
      </c>
      <c r="F6240" t="s">
        <v>4909</v>
      </c>
      <c r="G6240" t="s">
        <v>4909</v>
      </c>
      <c r="H6240" t="s">
        <v>4909</v>
      </c>
      <c r="I6240" t="s">
        <v>4909</v>
      </c>
      <c r="J6240" t="s">
        <v>4909</v>
      </c>
      <c r="K6240" t="s">
        <v>4909</v>
      </c>
    </row>
    <row r="6241" spans="1:11" x14ac:dyDescent="0.2">
      <c r="A6241" t="s">
        <v>1738</v>
      </c>
      <c r="B6241" t="s">
        <v>4909</v>
      </c>
      <c r="C6241" t="s">
        <v>4909</v>
      </c>
      <c r="D6241" t="s">
        <v>4909</v>
      </c>
      <c r="E6241" t="s">
        <v>4909</v>
      </c>
      <c r="F6241" t="s">
        <v>4909</v>
      </c>
      <c r="G6241" t="s">
        <v>4909</v>
      </c>
      <c r="H6241" t="s">
        <v>4909</v>
      </c>
      <c r="I6241" t="s">
        <v>4909</v>
      </c>
      <c r="J6241" t="s">
        <v>4909</v>
      </c>
      <c r="K6241" t="s">
        <v>4909</v>
      </c>
    </row>
    <row r="6242" spans="1:11" x14ac:dyDescent="0.2">
      <c r="A6242" t="s">
        <v>1744</v>
      </c>
      <c r="B6242" t="s">
        <v>4909</v>
      </c>
      <c r="C6242" t="s">
        <v>4909</v>
      </c>
      <c r="D6242" t="s">
        <v>4909</v>
      </c>
      <c r="E6242" t="s">
        <v>4909</v>
      </c>
      <c r="F6242" t="s">
        <v>4909</v>
      </c>
      <c r="G6242" t="s">
        <v>4909</v>
      </c>
      <c r="H6242" t="s">
        <v>4909</v>
      </c>
      <c r="I6242" t="s">
        <v>4909</v>
      </c>
      <c r="J6242" t="s">
        <v>4909</v>
      </c>
      <c r="K6242" t="s">
        <v>4909</v>
      </c>
    </row>
    <row r="6243" spans="1:11" x14ac:dyDescent="0.2">
      <c r="A6243" t="s">
        <v>1747</v>
      </c>
      <c r="B6243" t="s">
        <v>4909</v>
      </c>
      <c r="C6243" t="s">
        <v>4909</v>
      </c>
      <c r="D6243" t="s">
        <v>4909</v>
      </c>
      <c r="E6243" t="s">
        <v>4909</v>
      </c>
      <c r="F6243" t="s">
        <v>4909</v>
      </c>
      <c r="G6243" t="s">
        <v>4909</v>
      </c>
      <c r="H6243" t="s">
        <v>4909</v>
      </c>
      <c r="I6243" t="s">
        <v>4909</v>
      </c>
      <c r="J6243" t="s">
        <v>4909</v>
      </c>
      <c r="K6243" t="s">
        <v>4909</v>
      </c>
    </row>
    <row r="6244" spans="1:11" x14ac:dyDescent="0.2">
      <c r="A6244" t="s">
        <v>1751</v>
      </c>
      <c r="B6244" t="s">
        <v>4909</v>
      </c>
      <c r="C6244" t="s">
        <v>4909</v>
      </c>
      <c r="D6244" t="s">
        <v>4909</v>
      </c>
      <c r="E6244" t="s">
        <v>4909</v>
      </c>
      <c r="F6244" t="s">
        <v>4909</v>
      </c>
      <c r="G6244" t="s">
        <v>4909</v>
      </c>
      <c r="H6244" t="s">
        <v>4909</v>
      </c>
      <c r="I6244" t="s">
        <v>4909</v>
      </c>
      <c r="J6244" t="s">
        <v>4909</v>
      </c>
      <c r="K6244" t="s">
        <v>4909</v>
      </c>
    </row>
    <row r="6245" spans="1:11" x14ac:dyDescent="0.2">
      <c r="A6245" t="s">
        <v>1755</v>
      </c>
      <c r="B6245" t="s">
        <v>4909</v>
      </c>
      <c r="C6245" t="s">
        <v>4909</v>
      </c>
      <c r="D6245" t="s">
        <v>4909</v>
      </c>
      <c r="E6245" t="s">
        <v>4909</v>
      </c>
      <c r="F6245" s="88">
        <v>6.0000000000000001E-3</v>
      </c>
      <c r="G6245" t="s">
        <v>4909</v>
      </c>
      <c r="H6245" s="88">
        <v>0</v>
      </c>
      <c r="I6245" s="88">
        <v>3.0000000000000001E-3</v>
      </c>
      <c r="J6245" s="88">
        <v>1E-3</v>
      </c>
      <c r="K6245" t="s">
        <v>4909</v>
      </c>
    </row>
    <row r="6246" spans="1:11" x14ac:dyDescent="0.2">
      <c r="A6246" t="s">
        <v>1757</v>
      </c>
      <c r="B6246" s="88">
        <v>0</v>
      </c>
      <c r="C6246" t="s">
        <v>4909</v>
      </c>
      <c r="D6246" t="s">
        <v>4909</v>
      </c>
      <c r="E6246" t="s">
        <v>4909</v>
      </c>
      <c r="F6246" s="88">
        <v>5.0000000000000001E-3</v>
      </c>
      <c r="G6246" t="s">
        <v>4909</v>
      </c>
      <c r="H6246" s="88">
        <v>0</v>
      </c>
      <c r="I6246" s="88">
        <v>2E-3</v>
      </c>
      <c r="J6246" s="88">
        <v>0</v>
      </c>
      <c r="K6246" t="s">
        <v>4909</v>
      </c>
    </row>
    <row r="6247" spans="1:11" x14ac:dyDescent="0.2">
      <c r="A6247" t="s">
        <v>1761</v>
      </c>
      <c r="B6247" t="s">
        <v>4909</v>
      </c>
      <c r="C6247" t="s">
        <v>4909</v>
      </c>
      <c r="D6247" t="s">
        <v>4909</v>
      </c>
      <c r="E6247" t="s">
        <v>4909</v>
      </c>
      <c r="F6247" t="s">
        <v>4909</v>
      </c>
      <c r="G6247" t="s">
        <v>4909</v>
      </c>
      <c r="H6247" t="s">
        <v>4909</v>
      </c>
      <c r="I6247" t="s">
        <v>4909</v>
      </c>
      <c r="J6247" t="s">
        <v>4909</v>
      </c>
      <c r="K6247" t="s">
        <v>4909</v>
      </c>
    </row>
    <row r="6248" spans="1:11" x14ac:dyDescent="0.2">
      <c r="A6248" t="s">
        <v>1764</v>
      </c>
      <c r="B6248" t="s">
        <v>4909</v>
      </c>
      <c r="C6248" t="s">
        <v>4909</v>
      </c>
      <c r="D6248" t="s">
        <v>4909</v>
      </c>
      <c r="E6248" t="s">
        <v>4909</v>
      </c>
      <c r="F6248" t="s">
        <v>4909</v>
      </c>
      <c r="G6248" t="s">
        <v>4909</v>
      </c>
      <c r="H6248" t="s">
        <v>4909</v>
      </c>
      <c r="I6248" t="s">
        <v>4909</v>
      </c>
      <c r="J6248" t="s">
        <v>4909</v>
      </c>
      <c r="K6248" t="s">
        <v>4909</v>
      </c>
    </row>
    <row r="6249" spans="1:11" x14ac:dyDescent="0.2">
      <c r="A6249" t="s">
        <v>1770</v>
      </c>
      <c r="B6249" s="88">
        <v>0</v>
      </c>
      <c r="C6249" t="s">
        <v>4909</v>
      </c>
      <c r="D6249" t="s">
        <v>4909</v>
      </c>
      <c r="E6249" t="s">
        <v>4909</v>
      </c>
      <c r="F6249" s="88">
        <v>2.5000000000000001E-2</v>
      </c>
      <c r="G6249" t="s">
        <v>4909</v>
      </c>
      <c r="H6249" s="88">
        <v>2E-3</v>
      </c>
      <c r="I6249" s="88">
        <v>3.5999999999999997E-2</v>
      </c>
      <c r="J6249" s="88">
        <v>3.0000000000000001E-3</v>
      </c>
      <c r="K6249" t="s">
        <v>4909</v>
      </c>
    </row>
    <row r="6250" spans="1:11" x14ac:dyDescent="0.2">
      <c r="A6250" t="s">
        <v>1772</v>
      </c>
      <c r="B6250" s="88">
        <v>0</v>
      </c>
      <c r="C6250" t="s">
        <v>4909</v>
      </c>
      <c r="D6250" t="s">
        <v>4909</v>
      </c>
      <c r="E6250" t="s">
        <v>4909</v>
      </c>
      <c r="F6250" s="88">
        <v>0.03</v>
      </c>
      <c r="G6250" t="s">
        <v>4909</v>
      </c>
      <c r="H6250" s="88">
        <v>2E-3</v>
      </c>
      <c r="I6250" s="88">
        <v>5.1999999999999998E-2</v>
      </c>
      <c r="J6250" s="88">
        <v>4.0000000000000001E-3</v>
      </c>
      <c r="K6250" t="s">
        <v>4909</v>
      </c>
    </row>
    <row r="6251" spans="1:11" x14ac:dyDescent="0.2">
      <c r="A6251" t="s">
        <v>1774</v>
      </c>
      <c r="B6251" t="s">
        <v>4909</v>
      </c>
      <c r="C6251" t="s">
        <v>4909</v>
      </c>
      <c r="D6251" t="s">
        <v>4909</v>
      </c>
      <c r="E6251" t="s">
        <v>4909</v>
      </c>
      <c r="F6251" s="88">
        <v>7.0000000000000001E-3</v>
      </c>
      <c r="G6251" t="s">
        <v>4909</v>
      </c>
      <c r="H6251" t="s">
        <v>4909</v>
      </c>
      <c r="I6251" s="88">
        <v>0.01</v>
      </c>
      <c r="J6251" t="s">
        <v>4909</v>
      </c>
      <c r="K6251" t="s">
        <v>4909</v>
      </c>
    </row>
    <row r="6252" spans="1:11" x14ac:dyDescent="0.2">
      <c r="A6252" t="s">
        <v>1777</v>
      </c>
      <c r="B6252" t="s">
        <v>4909</v>
      </c>
      <c r="C6252" t="s">
        <v>4909</v>
      </c>
      <c r="D6252" t="s">
        <v>4909</v>
      </c>
      <c r="E6252" t="s">
        <v>4909</v>
      </c>
      <c r="F6252" t="s">
        <v>4909</v>
      </c>
      <c r="G6252" t="s">
        <v>4909</v>
      </c>
      <c r="H6252" t="s">
        <v>4909</v>
      </c>
      <c r="I6252" t="s">
        <v>4909</v>
      </c>
      <c r="J6252" t="s">
        <v>4909</v>
      </c>
      <c r="K6252" t="s">
        <v>4909</v>
      </c>
    </row>
    <row r="6253" spans="1:11" x14ac:dyDescent="0.2">
      <c r="A6253" t="s">
        <v>1782</v>
      </c>
      <c r="B6253" t="s">
        <v>4909</v>
      </c>
      <c r="C6253" t="s">
        <v>4909</v>
      </c>
      <c r="D6253" t="s">
        <v>4909</v>
      </c>
      <c r="E6253" t="s">
        <v>4909</v>
      </c>
      <c r="F6253" t="s">
        <v>4909</v>
      </c>
      <c r="G6253" t="s">
        <v>4909</v>
      </c>
      <c r="H6253" t="s">
        <v>4909</v>
      </c>
      <c r="I6253" t="s">
        <v>4909</v>
      </c>
      <c r="J6253" t="s">
        <v>4909</v>
      </c>
      <c r="K6253" t="s">
        <v>4909</v>
      </c>
    </row>
    <row r="6254" spans="1:11" x14ac:dyDescent="0.2">
      <c r="A6254" t="s">
        <v>1274</v>
      </c>
      <c r="B6254" t="s">
        <v>4909</v>
      </c>
      <c r="C6254" t="s">
        <v>4909</v>
      </c>
      <c r="D6254" t="s">
        <v>4909</v>
      </c>
      <c r="E6254" t="s">
        <v>4909</v>
      </c>
      <c r="F6254" s="88">
        <v>0</v>
      </c>
      <c r="G6254" t="s">
        <v>4909</v>
      </c>
      <c r="H6254" t="s">
        <v>4909</v>
      </c>
      <c r="I6254" t="s">
        <v>4909</v>
      </c>
      <c r="J6254" t="s">
        <v>4909</v>
      </c>
      <c r="K6254" t="s">
        <v>4909</v>
      </c>
    </row>
    <row r="6255" spans="1:11" x14ac:dyDescent="0.2">
      <c r="A6255" t="s">
        <v>1277</v>
      </c>
      <c r="B6255" t="s">
        <v>4909</v>
      </c>
      <c r="C6255" t="s">
        <v>4909</v>
      </c>
      <c r="D6255" t="s">
        <v>4909</v>
      </c>
      <c r="E6255" t="s">
        <v>4909</v>
      </c>
      <c r="F6255" s="88">
        <v>0</v>
      </c>
      <c r="G6255" t="s">
        <v>4909</v>
      </c>
      <c r="H6255" t="s">
        <v>4909</v>
      </c>
      <c r="I6255" s="88">
        <v>0</v>
      </c>
      <c r="J6255" s="88">
        <v>0</v>
      </c>
      <c r="K6255" t="s">
        <v>4909</v>
      </c>
    </row>
    <row r="6256" spans="1:11" x14ac:dyDescent="0.2">
      <c r="A6256" t="s">
        <v>1798</v>
      </c>
      <c r="B6256" t="s">
        <v>4909</v>
      </c>
      <c r="C6256" t="s">
        <v>4909</v>
      </c>
      <c r="D6256" t="s">
        <v>4909</v>
      </c>
      <c r="E6256" t="s">
        <v>4909</v>
      </c>
      <c r="F6256" t="s">
        <v>4909</v>
      </c>
      <c r="G6256" t="s">
        <v>4909</v>
      </c>
      <c r="H6256" t="s">
        <v>4909</v>
      </c>
      <c r="I6256" t="s">
        <v>4909</v>
      </c>
      <c r="J6256" t="s">
        <v>4909</v>
      </c>
      <c r="K6256" t="s">
        <v>4909</v>
      </c>
    </row>
    <row r="6257" spans="1:11" x14ac:dyDescent="0.2">
      <c r="A6257" t="s">
        <v>1803</v>
      </c>
      <c r="B6257" t="s">
        <v>4909</v>
      </c>
      <c r="C6257" t="s">
        <v>4909</v>
      </c>
      <c r="D6257" t="s">
        <v>4909</v>
      </c>
      <c r="E6257" t="s">
        <v>4909</v>
      </c>
      <c r="F6257" t="s">
        <v>4909</v>
      </c>
      <c r="G6257" t="s">
        <v>4909</v>
      </c>
      <c r="H6257" t="s">
        <v>4909</v>
      </c>
      <c r="I6257" t="s">
        <v>4909</v>
      </c>
      <c r="J6257" t="s">
        <v>4909</v>
      </c>
      <c r="K6257" t="s">
        <v>4909</v>
      </c>
    </row>
    <row r="6258" spans="1:11" x14ac:dyDescent="0.2">
      <c r="A6258" t="s">
        <v>1808</v>
      </c>
      <c r="B6258" t="s">
        <v>4909</v>
      </c>
      <c r="C6258" t="s">
        <v>4909</v>
      </c>
      <c r="D6258" t="s">
        <v>4909</v>
      </c>
      <c r="E6258" t="s">
        <v>4909</v>
      </c>
      <c r="F6258" t="s">
        <v>4909</v>
      </c>
      <c r="G6258" t="s">
        <v>4909</v>
      </c>
      <c r="H6258" t="s">
        <v>4909</v>
      </c>
      <c r="I6258" t="s">
        <v>4909</v>
      </c>
      <c r="J6258" t="s">
        <v>4909</v>
      </c>
      <c r="K6258" t="s">
        <v>4909</v>
      </c>
    </row>
    <row r="6259" spans="1:11" x14ac:dyDescent="0.2">
      <c r="A6259" t="s">
        <v>1813</v>
      </c>
      <c r="B6259" t="s">
        <v>4909</v>
      </c>
      <c r="C6259" t="s">
        <v>4909</v>
      </c>
      <c r="D6259" t="s">
        <v>4909</v>
      </c>
      <c r="E6259" t="s">
        <v>4909</v>
      </c>
      <c r="F6259" t="s">
        <v>4909</v>
      </c>
      <c r="G6259" t="s">
        <v>4909</v>
      </c>
      <c r="H6259" t="s">
        <v>4909</v>
      </c>
      <c r="I6259" t="s">
        <v>4909</v>
      </c>
      <c r="J6259" t="s">
        <v>4909</v>
      </c>
      <c r="K6259" t="s">
        <v>4909</v>
      </c>
    </row>
    <row r="6260" spans="1:11" x14ac:dyDescent="0.2">
      <c r="A6260" t="s">
        <v>1819</v>
      </c>
      <c r="B6260" t="s">
        <v>4909</v>
      </c>
      <c r="C6260" t="s">
        <v>4909</v>
      </c>
      <c r="D6260" t="s">
        <v>4909</v>
      </c>
      <c r="E6260" t="s">
        <v>4909</v>
      </c>
      <c r="F6260" s="88">
        <v>0</v>
      </c>
      <c r="G6260" t="s">
        <v>4909</v>
      </c>
      <c r="H6260" t="s">
        <v>4909</v>
      </c>
      <c r="I6260" s="88">
        <v>0</v>
      </c>
      <c r="J6260" t="s">
        <v>4909</v>
      </c>
      <c r="K6260" t="s">
        <v>4909</v>
      </c>
    </row>
    <row r="6261" spans="1:11" x14ac:dyDescent="0.2">
      <c r="A6261" t="s">
        <v>1826</v>
      </c>
      <c r="B6261" t="s">
        <v>4909</v>
      </c>
      <c r="C6261" t="s">
        <v>4909</v>
      </c>
      <c r="D6261" t="s">
        <v>4909</v>
      </c>
      <c r="E6261" t="s">
        <v>4909</v>
      </c>
      <c r="F6261" t="s">
        <v>4909</v>
      </c>
      <c r="G6261" t="s">
        <v>4909</v>
      </c>
      <c r="H6261" t="s">
        <v>4909</v>
      </c>
      <c r="I6261" t="s">
        <v>4909</v>
      </c>
      <c r="J6261" t="s">
        <v>4909</v>
      </c>
      <c r="K6261" t="s">
        <v>4909</v>
      </c>
    </row>
    <row r="6262" spans="1:11" x14ac:dyDescent="0.2">
      <c r="A6262" t="s">
        <v>1830</v>
      </c>
      <c r="B6262" t="s">
        <v>4909</v>
      </c>
      <c r="C6262" t="s">
        <v>4909</v>
      </c>
      <c r="D6262" t="s">
        <v>4909</v>
      </c>
      <c r="E6262" t="s">
        <v>4909</v>
      </c>
      <c r="F6262" t="s">
        <v>4909</v>
      </c>
      <c r="G6262" t="s">
        <v>4909</v>
      </c>
      <c r="H6262" t="s">
        <v>4909</v>
      </c>
      <c r="I6262" t="s">
        <v>4909</v>
      </c>
      <c r="J6262" t="s">
        <v>4909</v>
      </c>
      <c r="K6262" t="s">
        <v>4909</v>
      </c>
    </row>
    <row r="6263" spans="1:11" x14ac:dyDescent="0.2">
      <c r="A6263" t="s">
        <v>1836</v>
      </c>
      <c r="B6263" t="s">
        <v>4909</v>
      </c>
      <c r="C6263" t="s">
        <v>4909</v>
      </c>
      <c r="D6263" t="s">
        <v>4909</v>
      </c>
      <c r="E6263" t="s">
        <v>4909</v>
      </c>
      <c r="F6263" t="s">
        <v>4909</v>
      </c>
      <c r="G6263" t="s">
        <v>4909</v>
      </c>
      <c r="H6263" t="s">
        <v>4909</v>
      </c>
      <c r="I6263" t="s">
        <v>4909</v>
      </c>
      <c r="J6263" t="s">
        <v>4909</v>
      </c>
      <c r="K6263" t="s">
        <v>4909</v>
      </c>
    </row>
    <row r="6264" spans="1:11" x14ac:dyDescent="0.2">
      <c r="A6264" t="s">
        <v>1841</v>
      </c>
      <c r="B6264" t="s">
        <v>4909</v>
      </c>
      <c r="C6264" t="s">
        <v>4909</v>
      </c>
      <c r="D6264" t="s">
        <v>4909</v>
      </c>
      <c r="E6264" t="s">
        <v>4909</v>
      </c>
      <c r="F6264" t="s">
        <v>4909</v>
      </c>
      <c r="G6264" t="s">
        <v>4909</v>
      </c>
      <c r="H6264" t="s">
        <v>4909</v>
      </c>
      <c r="I6264" t="s">
        <v>4909</v>
      </c>
      <c r="J6264" t="s">
        <v>4909</v>
      </c>
      <c r="K6264" t="s">
        <v>4909</v>
      </c>
    </row>
    <row r="6265" spans="1:11" x14ac:dyDescent="0.2">
      <c r="A6265" t="s">
        <v>1842</v>
      </c>
      <c r="B6265" s="88">
        <v>2E-3</v>
      </c>
      <c r="C6265" t="s">
        <v>4909</v>
      </c>
      <c r="D6265" t="s">
        <v>4909</v>
      </c>
      <c r="E6265" t="s">
        <v>4909</v>
      </c>
      <c r="F6265" s="88">
        <v>7.3999999999999996E-2</v>
      </c>
      <c r="G6265" t="s">
        <v>4909</v>
      </c>
      <c r="H6265" s="88">
        <v>6.0000000000000001E-3</v>
      </c>
      <c r="I6265" s="88">
        <v>3.1E-2</v>
      </c>
      <c r="J6265" s="88">
        <v>1.0999999999999999E-2</v>
      </c>
      <c r="K6265" t="s">
        <v>4909</v>
      </c>
    </row>
    <row r="6266" spans="1:11" x14ac:dyDescent="0.2">
      <c r="A6266" t="s">
        <v>1843</v>
      </c>
      <c r="B6266" t="s">
        <v>4909</v>
      </c>
      <c r="C6266" t="s">
        <v>4909</v>
      </c>
      <c r="D6266" t="s">
        <v>4909</v>
      </c>
      <c r="E6266" t="s">
        <v>4909</v>
      </c>
      <c r="F6266" t="s">
        <v>4909</v>
      </c>
      <c r="G6266" t="s">
        <v>4909</v>
      </c>
      <c r="H6266" t="s">
        <v>4909</v>
      </c>
      <c r="I6266" t="s">
        <v>4909</v>
      </c>
      <c r="J6266" t="s">
        <v>4909</v>
      </c>
      <c r="K6266" t="s">
        <v>4909</v>
      </c>
    </row>
    <row r="6267" spans="1:11" x14ac:dyDescent="0.2">
      <c r="A6267" t="s">
        <v>1846</v>
      </c>
      <c r="B6267" t="s">
        <v>4909</v>
      </c>
      <c r="C6267" t="s">
        <v>4909</v>
      </c>
      <c r="D6267" t="s">
        <v>4909</v>
      </c>
      <c r="E6267" t="s">
        <v>4909</v>
      </c>
      <c r="F6267" t="s">
        <v>4909</v>
      </c>
      <c r="G6267" t="s">
        <v>4909</v>
      </c>
      <c r="H6267" t="s">
        <v>4909</v>
      </c>
      <c r="I6267" t="s">
        <v>4909</v>
      </c>
      <c r="J6267" t="s">
        <v>4909</v>
      </c>
      <c r="K6267" t="s">
        <v>4909</v>
      </c>
    </row>
    <row r="6268" spans="1:11" x14ac:dyDescent="0.2">
      <c r="A6268" t="s">
        <v>1851</v>
      </c>
      <c r="B6268" s="88">
        <v>0</v>
      </c>
      <c r="C6268" t="s">
        <v>4909</v>
      </c>
      <c r="D6268" t="s">
        <v>4909</v>
      </c>
      <c r="E6268" t="s">
        <v>4909</v>
      </c>
      <c r="F6268" s="88">
        <v>2E-3</v>
      </c>
      <c r="G6268" t="s">
        <v>4909</v>
      </c>
      <c r="H6268" s="88">
        <v>0</v>
      </c>
      <c r="I6268" s="88">
        <v>0</v>
      </c>
      <c r="J6268" s="88">
        <v>0</v>
      </c>
      <c r="K6268" t="s">
        <v>4909</v>
      </c>
    </row>
    <row r="6269" spans="1:11" x14ac:dyDescent="0.2">
      <c r="A6269" t="s">
        <v>1857</v>
      </c>
      <c r="B6269" t="s">
        <v>4909</v>
      </c>
      <c r="C6269" t="s">
        <v>4909</v>
      </c>
      <c r="D6269" t="s">
        <v>4909</v>
      </c>
      <c r="E6269" t="s">
        <v>4909</v>
      </c>
      <c r="F6269" t="s">
        <v>4909</v>
      </c>
      <c r="G6269" t="s">
        <v>4909</v>
      </c>
      <c r="H6269" t="s">
        <v>4909</v>
      </c>
      <c r="I6269" t="s">
        <v>4909</v>
      </c>
      <c r="J6269" t="s">
        <v>4909</v>
      </c>
      <c r="K6269" t="s">
        <v>4909</v>
      </c>
    </row>
    <row r="6270" spans="1:11" x14ac:dyDescent="0.2">
      <c r="A6270" t="s">
        <v>1862</v>
      </c>
      <c r="B6270" t="s">
        <v>4909</v>
      </c>
      <c r="C6270" t="s">
        <v>4909</v>
      </c>
      <c r="D6270" t="s">
        <v>4909</v>
      </c>
      <c r="E6270" t="s">
        <v>4909</v>
      </c>
      <c r="F6270" t="s">
        <v>4909</v>
      </c>
      <c r="G6270" t="s">
        <v>4909</v>
      </c>
      <c r="H6270" t="s">
        <v>4909</v>
      </c>
      <c r="I6270" t="s">
        <v>4909</v>
      </c>
      <c r="J6270" t="s">
        <v>4909</v>
      </c>
      <c r="K6270" t="s">
        <v>4909</v>
      </c>
    </row>
    <row r="6271" spans="1:11" x14ac:dyDescent="0.2">
      <c r="A6271" t="s">
        <v>1867</v>
      </c>
      <c r="B6271" t="s">
        <v>4909</v>
      </c>
      <c r="C6271" t="s">
        <v>4909</v>
      </c>
      <c r="D6271" t="s">
        <v>4909</v>
      </c>
      <c r="E6271" t="s">
        <v>4909</v>
      </c>
      <c r="F6271" t="s">
        <v>4909</v>
      </c>
      <c r="G6271" t="s">
        <v>4909</v>
      </c>
      <c r="H6271" t="s">
        <v>4909</v>
      </c>
      <c r="I6271" t="s">
        <v>4909</v>
      </c>
      <c r="J6271" t="s">
        <v>4909</v>
      </c>
      <c r="K6271" t="s">
        <v>4909</v>
      </c>
    </row>
    <row r="6272" spans="1:11" x14ac:dyDescent="0.2">
      <c r="A6272" t="s">
        <v>1870</v>
      </c>
      <c r="B6272" t="s">
        <v>4909</v>
      </c>
      <c r="C6272" t="s">
        <v>4909</v>
      </c>
      <c r="D6272" t="s">
        <v>4909</v>
      </c>
      <c r="E6272" t="s">
        <v>4909</v>
      </c>
      <c r="F6272" t="s">
        <v>4909</v>
      </c>
      <c r="G6272" t="s">
        <v>4909</v>
      </c>
      <c r="H6272" t="s">
        <v>4909</v>
      </c>
      <c r="I6272" t="s">
        <v>4909</v>
      </c>
      <c r="J6272" t="s">
        <v>4909</v>
      </c>
      <c r="K6272" t="s">
        <v>4909</v>
      </c>
    </row>
    <row r="6273" spans="1:11" x14ac:dyDescent="0.2">
      <c r="A6273" t="s">
        <v>1874</v>
      </c>
      <c r="B6273" s="88">
        <v>0</v>
      </c>
      <c r="C6273" t="s">
        <v>4909</v>
      </c>
      <c r="D6273" t="s">
        <v>4909</v>
      </c>
      <c r="E6273" t="s">
        <v>4909</v>
      </c>
      <c r="F6273" s="88">
        <v>5.0000000000000001E-3</v>
      </c>
      <c r="G6273" t="s">
        <v>4909</v>
      </c>
      <c r="H6273" s="88">
        <v>0</v>
      </c>
      <c r="I6273" s="88">
        <v>2E-3</v>
      </c>
      <c r="J6273" s="88">
        <v>0</v>
      </c>
      <c r="K6273" t="s">
        <v>4909</v>
      </c>
    </row>
    <row r="6274" spans="1:11" x14ac:dyDescent="0.2">
      <c r="A6274" t="s">
        <v>1876</v>
      </c>
      <c r="B6274" t="s">
        <v>4909</v>
      </c>
      <c r="C6274" t="s">
        <v>4909</v>
      </c>
      <c r="D6274" t="s">
        <v>4909</v>
      </c>
      <c r="E6274" t="s">
        <v>4909</v>
      </c>
      <c r="F6274" t="s">
        <v>4909</v>
      </c>
      <c r="G6274" t="s">
        <v>4909</v>
      </c>
      <c r="H6274" t="s">
        <v>4909</v>
      </c>
      <c r="I6274" t="s">
        <v>4909</v>
      </c>
      <c r="J6274" t="s">
        <v>4909</v>
      </c>
      <c r="K6274" t="s">
        <v>4909</v>
      </c>
    </row>
    <row r="6275" spans="1:11" x14ac:dyDescent="0.2">
      <c r="A6275" t="s">
        <v>1881</v>
      </c>
      <c r="B6275" t="s">
        <v>4909</v>
      </c>
      <c r="C6275" t="s">
        <v>4909</v>
      </c>
      <c r="D6275" t="s">
        <v>4909</v>
      </c>
      <c r="E6275" t="s">
        <v>4909</v>
      </c>
      <c r="F6275" t="s">
        <v>4909</v>
      </c>
      <c r="G6275" t="s">
        <v>4909</v>
      </c>
      <c r="H6275" t="s">
        <v>4909</v>
      </c>
      <c r="I6275" t="s">
        <v>4909</v>
      </c>
      <c r="J6275" t="s">
        <v>4909</v>
      </c>
      <c r="K6275" t="s">
        <v>4909</v>
      </c>
    </row>
    <row r="6276" spans="1:11" x14ac:dyDescent="0.2">
      <c r="A6276" t="s">
        <v>1885</v>
      </c>
      <c r="B6276" s="88">
        <v>1E-3</v>
      </c>
      <c r="C6276" t="s">
        <v>4909</v>
      </c>
      <c r="D6276" t="s">
        <v>4909</v>
      </c>
      <c r="E6276" t="s">
        <v>4909</v>
      </c>
      <c r="F6276" s="88">
        <v>5.1999999999999998E-2</v>
      </c>
      <c r="G6276" t="s">
        <v>4909</v>
      </c>
      <c r="H6276" s="88">
        <v>4.0000000000000001E-3</v>
      </c>
      <c r="I6276" s="88">
        <v>2.1999999999999999E-2</v>
      </c>
      <c r="J6276" s="88">
        <v>7.0000000000000001E-3</v>
      </c>
      <c r="K6276" t="s">
        <v>4909</v>
      </c>
    </row>
    <row r="6277" spans="1:11" x14ac:dyDescent="0.2">
      <c r="A6277" t="s">
        <v>1887</v>
      </c>
      <c r="B6277" s="88">
        <v>0</v>
      </c>
      <c r="C6277" t="s">
        <v>4909</v>
      </c>
      <c r="D6277" t="s">
        <v>4909</v>
      </c>
      <c r="E6277" t="s">
        <v>4909</v>
      </c>
      <c r="F6277" s="88">
        <v>0.05</v>
      </c>
      <c r="G6277" t="s">
        <v>4909</v>
      </c>
      <c r="H6277" s="88">
        <v>4.0000000000000001E-3</v>
      </c>
      <c r="I6277" s="88">
        <v>0.02</v>
      </c>
      <c r="J6277" s="88">
        <v>7.0000000000000001E-3</v>
      </c>
      <c r="K6277" t="s">
        <v>4909</v>
      </c>
    </row>
    <row r="6278" spans="1:11" x14ac:dyDescent="0.2">
      <c r="A6278" t="s">
        <v>1893</v>
      </c>
      <c r="B6278" s="88">
        <v>1E-3</v>
      </c>
      <c r="C6278" t="s">
        <v>4909</v>
      </c>
      <c r="D6278" t="s">
        <v>4909</v>
      </c>
      <c r="E6278" t="s">
        <v>4909</v>
      </c>
      <c r="F6278" s="88">
        <v>5.6000000000000001E-2</v>
      </c>
      <c r="G6278" t="s">
        <v>4909</v>
      </c>
      <c r="H6278" s="88">
        <v>5.0000000000000001E-3</v>
      </c>
      <c r="I6278" s="88">
        <v>2.3E-2</v>
      </c>
      <c r="J6278" s="88">
        <v>8.0000000000000002E-3</v>
      </c>
      <c r="K6278" t="s">
        <v>4909</v>
      </c>
    </row>
    <row r="6279" spans="1:11" x14ac:dyDescent="0.2">
      <c r="A6279" t="s">
        <v>1899</v>
      </c>
      <c r="B6279" t="s">
        <v>4909</v>
      </c>
      <c r="C6279" t="s">
        <v>4909</v>
      </c>
      <c r="D6279" t="s">
        <v>4909</v>
      </c>
      <c r="E6279" t="s">
        <v>4909</v>
      </c>
      <c r="F6279" t="s">
        <v>4909</v>
      </c>
      <c r="G6279" t="s">
        <v>4909</v>
      </c>
      <c r="H6279" t="s">
        <v>4909</v>
      </c>
      <c r="I6279" t="s">
        <v>4909</v>
      </c>
      <c r="J6279" t="s">
        <v>4909</v>
      </c>
      <c r="K6279" t="s">
        <v>4909</v>
      </c>
    </row>
    <row r="6280" spans="1:11" x14ac:dyDescent="0.2">
      <c r="A6280" t="s">
        <v>1906</v>
      </c>
      <c r="B6280" t="s">
        <v>4909</v>
      </c>
      <c r="C6280" t="s">
        <v>4909</v>
      </c>
      <c r="D6280" t="s">
        <v>4909</v>
      </c>
      <c r="E6280" t="s">
        <v>4909</v>
      </c>
      <c r="F6280" t="s">
        <v>4909</v>
      </c>
      <c r="G6280" t="s">
        <v>4909</v>
      </c>
      <c r="H6280" t="s">
        <v>4909</v>
      </c>
      <c r="I6280" t="s">
        <v>4909</v>
      </c>
      <c r="J6280" t="s">
        <v>4909</v>
      </c>
      <c r="K6280" t="s">
        <v>4909</v>
      </c>
    </row>
    <row r="6281" spans="1:11" x14ac:dyDescent="0.2">
      <c r="A6281" t="s">
        <v>1911</v>
      </c>
      <c r="B6281" t="s">
        <v>4909</v>
      </c>
      <c r="C6281" t="s">
        <v>4909</v>
      </c>
      <c r="D6281" t="s">
        <v>4909</v>
      </c>
      <c r="E6281" t="s">
        <v>4909</v>
      </c>
      <c r="F6281" t="s">
        <v>4909</v>
      </c>
      <c r="G6281" t="s">
        <v>4909</v>
      </c>
      <c r="H6281" t="s">
        <v>4909</v>
      </c>
      <c r="I6281" t="s">
        <v>4909</v>
      </c>
      <c r="J6281" t="s">
        <v>4909</v>
      </c>
      <c r="K6281" t="s">
        <v>4909</v>
      </c>
    </row>
    <row r="6282" spans="1:11" x14ac:dyDescent="0.2">
      <c r="A6282" t="s">
        <v>1917</v>
      </c>
      <c r="B6282" s="88">
        <v>0</v>
      </c>
      <c r="C6282" t="s">
        <v>4909</v>
      </c>
      <c r="D6282" t="s">
        <v>4909</v>
      </c>
      <c r="E6282" t="s">
        <v>4909</v>
      </c>
      <c r="F6282" s="88">
        <v>2.8000000000000001E-2</v>
      </c>
      <c r="G6282" t="s">
        <v>4909</v>
      </c>
      <c r="H6282" s="88">
        <v>2E-3</v>
      </c>
      <c r="I6282" s="88">
        <v>1.0999999999999999E-2</v>
      </c>
      <c r="J6282" s="88">
        <v>4.0000000000000001E-3</v>
      </c>
      <c r="K6282" t="s">
        <v>4909</v>
      </c>
    </row>
    <row r="6283" spans="1:11" x14ac:dyDescent="0.2">
      <c r="A6283" t="s">
        <v>1922</v>
      </c>
      <c r="B6283" s="88">
        <v>0</v>
      </c>
      <c r="C6283" t="s">
        <v>4909</v>
      </c>
      <c r="D6283" t="s">
        <v>4909</v>
      </c>
      <c r="E6283" t="s">
        <v>4909</v>
      </c>
      <c r="F6283" s="88">
        <v>8.9999999999999993E-3</v>
      </c>
      <c r="G6283" t="s">
        <v>4909</v>
      </c>
      <c r="H6283" s="88">
        <v>0</v>
      </c>
      <c r="I6283" s="88">
        <v>4.0000000000000001E-3</v>
      </c>
      <c r="J6283" s="88">
        <v>1E-3</v>
      </c>
      <c r="K6283" t="s">
        <v>4909</v>
      </c>
    </row>
    <row r="6284" spans="1:11" x14ac:dyDescent="0.2">
      <c r="A6284" t="s">
        <v>1928</v>
      </c>
      <c r="B6284" t="s">
        <v>4909</v>
      </c>
      <c r="C6284" t="s">
        <v>4909</v>
      </c>
      <c r="D6284" t="s">
        <v>4909</v>
      </c>
      <c r="E6284" t="s">
        <v>4909</v>
      </c>
      <c r="F6284" t="s">
        <v>4909</v>
      </c>
      <c r="G6284" t="s">
        <v>4909</v>
      </c>
      <c r="H6284" t="s">
        <v>4909</v>
      </c>
      <c r="I6284" t="s">
        <v>4909</v>
      </c>
      <c r="J6284" t="s">
        <v>4909</v>
      </c>
      <c r="K6284" t="s">
        <v>4909</v>
      </c>
    </row>
    <row r="6285" spans="1:11" x14ac:dyDescent="0.2">
      <c r="A6285" t="s">
        <v>1932</v>
      </c>
      <c r="B6285" t="s">
        <v>4909</v>
      </c>
      <c r="C6285" t="s">
        <v>4909</v>
      </c>
      <c r="D6285" t="s">
        <v>4909</v>
      </c>
      <c r="E6285" t="s">
        <v>4909</v>
      </c>
      <c r="F6285" t="s">
        <v>4909</v>
      </c>
      <c r="G6285" t="s">
        <v>4909</v>
      </c>
      <c r="H6285" t="s">
        <v>4909</v>
      </c>
      <c r="I6285" t="s">
        <v>4909</v>
      </c>
      <c r="J6285" t="s">
        <v>4909</v>
      </c>
      <c r="K6285" t="s">
        <v>4909</v>
      </c>
    </row>
    <row r="6286" spans="1:11" x14ac:dyDescent="0.2">
      <c r="A6286" t="s">
        <v>1938</v>
      </c>
      <c r="B6286" t="s">
        <v>4909</v>
      </c>
      <c r="C6286" t="s">
        <v>4909</v>
      </c>
      <c r="D6286" t="s">
        <v>4909</v>
      </c>
      <c r="E6286" t="s">
        <v>4909</v>
      </c>
      <c r="F6286" t="s">
        <v>4909</v>
      </c>
      <c r="G6286" t="s">
        <v>4909</v>
      </c>
      <c r="H6286" t="s">
        <v>4909</v>
      </c>
      <c r="I6286" t="s">
        <v>4909</v>
      </c>
      <c r="J6286" t="s">
        <v>4909</v>
      </c>
      <c r="K6286" t="s">
        <v>4909</v>
      </c>
    </row>
    <row r="6287" spans="1:11" x14ac:dyDescent="0.2">
      <c r="A6287" t="s">
        <v>1944</v>
      </c>
      <c r="B6287" s="88">
        <v>0</v>
      </c>
      <c r="C6287" t="s">
        <v>4909</v>
      </c>
      <c r="D6287" t="s">
        <v>4909</v>
      </c>
      <c r="E6287" t="s">
        <v>4909</v>
      </c>
      <c r="F6287" s="88">
        <v>1.2999999999999999E-2</v>
      </c>
      <c r="G6287" t="s">
        <v>4909</v>
      </c>
      <c r="H6287" s="88">
        <v>1E-3</v>
      </c>
      <c r="I6287" s="88">
        <v>5.0000000000000001E-3</v>
      </c>
      <c r="J6287" s="88">
        <v>1E-3</v>
      </c>
      <c r="K6287" t="s">
        <v>4909</v>
      </c>
    </row>
    <row r="6288" spans="1:11" x14ac:dyDescent="0.2">
      <c r="A6288" t="s">
        <v>1947</v>
      </c>
      <c r="B6288" t="s">
        <v>4909</v>
      </c>
      <c r="C6288" t="s">
        <v>4909</v>
      </c>
      <c r="D6288" t="s">
        <v>4909</v>
      </c>
      <c r="E6288" t="s">
        <v>4909</v>
      </c>
      <c r="F6288" s="88">
        <v>1.7000000000000001E-2</v>
      </c>
      <c r="G6288" t="s">
        <v>4909</v>
      </c>
      <c r="H6288" t="s">
        <v>4909</v>
      </c>
      <c r="I6288" s="88">
        <v>6.0000000000000001E-3</v>
      </c>
      <c r="J6288" s="88">
        <v>3.0000000000000001E-3</v>
      </c>
      <c r="K6288" t="s">
        <v>4909</v>
      </c>
    </row>
    <row r="6289" spans="1:11" x14ac:dyDescent="0.2">
      <c r="A6289" t="s">
        <v>1953</v>
      </c>
      <c r="B6289" t="s">
        <v>4909</v>
      </c>
      <c r="C6289" t="s">
        <v>4909</v>
      </c>
      <c r="D6289" t="s">
        <v>4909</v>
      </c>
      <c r="E6289" t="s">
        <v>4909</v>
      </c>
      <c r="F6289" s="88">
        <v>1.7999999999999999E-2</v>
      </c>
      <c r="G6289" t="s">
        <v>4909</v>
      </c>
      <c r="H6289" s="88">
        <v>1E-3</v>
      </c>
      <c r="I6289" s="88">
        <v>7.0000000000000001E-3</v>
      </c>
      <c r="J6289" s="88">
        <v>2E-3</v>
      </c>
      <c r="K6289" t="s">
        <v>4909</v>
      </c>
    </row>
    <row r="6290" spans="1:11" x14ac:dyDescent="0.2">
      <c r="A6290" t="s">
        <v>1958</v>
      </c>
      <c r="B6290" t="s">
        <v>4909</v>
      </c>
      <c r="C6290" t="s">
        <v>4909</v>
      </c>
      <c r="D6290" t="s">
        <v>4909</v>
      </c>
      <c r="E6290" t="s">
        <v>4909</v>
      </c>
      <c r="F6290" t="s">
        <v>4909</v>
      </c>
      <c r="G6290" t="s">
        <v>4909</v>
      </c>
      <c r="H6290" t="s">
        <v>4909</v>
      </c>
      <c r="I6290" t="s">
        <v>4909</v>
      </c>
      <c r="J6290" t="s">
        <v>4909</v>
      </c>
      <c r="K6290" t="s">
        <v>4909</v>
      </c>
    </row>
    <row r="6291" spans="1:11" x14ac:dyDescent="0.2">
      <c r="A6291" t="s">
        <v>1964</v>
      </c>
      <c r="B6291" t="s">
        <v>4909</v>
      </c>
      <c r="C6291" t="s">
        <v>4909</v>
      </c>
      <c r="D6291" t="s">
        <v>4909</v>
      </c>
      <c r="E6291" t="s">
        <v>4909</v>
      </c>
      <c r="F6291" t="s">
        <v>4909</v>
      </c>
      <c r="G6291" t="s">
        <v>4909</v>
      </c>
      <c r="H6291" t="s">
        <v>4909</v>
      </c>
      <c r="I6291" t="s">
        <v>4909</v>
      </c>
      <c r="J6291" t="s">
        <v>4909</v>
      </c>
      <c r="K6291" t="s">
        <v>4909</v>
      </c>
    </row>
    <row r="6292" spans="1:11" x14ac:dyDescent="0.2">
      <c r="A6292" t="s">
        <v>1973</v>
      </c>
      <c r="B6292" t="s">
        <v>4909</v>
      </c>
      <c r="C6292" t="s">
        <v>4909</v>
      </c>
      <c r="D6292" t="s">
        <v>4909</v>
      </c>
      <c r="E6292" t="s">
        <v>4909</v>
      </c>
      <c r="F6292" t="s">
        <v>4909</v>
      </c>
      <c r="G6292" t="s">
        <v>4909</v>
      </c>
      <c r="H6292" t="s">
        <v>4909</v>
      </c>
      <c r="I6292" t="s">
        <v>4909</v>
      </c>
      <c r="J6292" t="s">
        <v>4909</v>
      </c>
      <c r="K6292" t="s">
        <v>4909</v>
      </c>
    </row>
    <row r="6293" spans="1:11" x14ac:dyDescent="0.2">
      <c r="A6293" t="s">
        <v>1978</v>
      </c>
      <c r="B6293" t="s">
        <v>4909</v>
      </c>
      <c r="C6293" t="s">
        <v>4909</v>
      </c>
      <c r="D6293" t="s">
        <v>4909</v>
      </c>
      <c r="E6293" t="s">
        <v>4909</v>
      </c>
      <c r="F6293" t="s">
        <v>4909</v>
      </c>
      <c r="G6293" t="s">
        <v>4909</v>
      </c>
      <c r="H6293" t="s">
        <v>4909</v>
      </c>
      <c r="I6293" t="s">
        <v>4909</v>
      </c>
      <c r="J6293" t="s">
        <v>4909</v>
      </c>
      <c r="K6293" t="s">
        <v>4909</v>
      </c>
    </row>
    <row r="6294" spans="1:11" x14ac:dyDescent="0.2">
      <c r="A6294" t="s">
        <v>1983</v>
      </c>
      <c r="B6294" t="s">
        <v>4909</v>
      </c>
      <c r="C6294" t="s">
        <v>4909</v>
      </c>
      <c r="D6294" t="s">
        <v>4909</v>
      </c>
      <c r="E6294" t="s">
        <v>4909</v>
      </c>
      <c r="F6294" s="88">
        <v>6.0000000000000001E-3</v>
      </c>
      <c r="G6294" t="s">
        <v>4909</v>
      </c>
      <c r="H6294" s="88">
        <v>0</v>
      </c>
      <c r="I6294" s="88">
        <v>6.0000000000000001E-3</v>
      </c>
      <c r="J6294" s="88">
        <v>0</v>
      </c>
      <c r="K6294" t="s">
        <v>4909</v>
      </c>
    </row>
    <row r="6295" spans="1:11" x14ac:dyDescent="0.2">
      <c r="A6295" t="s">
        <v>1984</v>
      </c>
      <c r="B6295" t="s">
        <v>4909</v>
      </c>
      <c r="C6295" t="s">
        <v>4909</v>
      </c>
      <c r="D6295" t="s">
        <v>4909</v>
      </c>
      <c r="E6295" t="s">
        <v>4909</v>
      </c>
      <c r="F6295" t="s">
        <v>4909</v>
      </c>
      <c r="G6295" t="s">
        <v>4909</v>
      </c>
      <c r="H6295" t="s">
        <v>4909</v>
      </c>
      <c r="I6295" t="s">
        <v>4909</v>
      </c>
      <c r="J6295" t="s">
        <v>4909</v>
      </c>
      <c r="K6295" t="s">
        <v>4909</v>
      </c>
    </row>
    <row r="6296" spans="1:11" x14ac:dyDescent="0.2">
      <c r="A6296" t="s">
        <v>1990</v>
      </c>
      <c r="B6296" t="s">
        <v>4909</v>
      </c>
      <c r="C6296" t="s">
        <v>4909</v>
      </c>
      <c r="D6296" t="s">
        <v>4909</v>
      </c>
      <c r="E6296" t="s">
        <v>4909</v>
      </c>
      <c r="F6296" s="88">
        <v>8.9999999999999993E-3</v>
      </c>
      <c r="G6296" t="s">
        <v>4909</v>
      </c>
      <c r="H6296" s="88">
        <v>0</v>
      </c>
      <c r="I6296" s="88">
        <v>3.0000000000000001E-3</v>
      </c>
      <c r="J6296" s="88">
        <v>1E-3</v>
      </c>
      <c r="K6296" t="s">
        <v>4909</v>
      </c>
    </row>
    <row r="6297" spans="1:11" x14ac:dyDescent="0.2">
      <c r="A6297" t="s">
        <v>1996</v>
      </c>
      <c r="B6297" t="s">
        <v>4909</v>
      </c>
      <c r="C6297" t="s">
        <v>4909</v>
      </c>
      <c r="D6297" t="s">
        <v>4909</v>
      </c>
      <c r="E6297" t="s">
        <v>4909</v>
      </c>
      <c r="F6297" t="s">
        <v>4909</v>
      </c>
      <c r="G6297" t="s">
        <v>4909</v>
      </c>
      <c r="H6297" t="s">
        <v>4909</v>
      </c>
      <c r="I6297" t="s">
        <v>4909</v>
      </c>
      <c r="J6297" t="s">
        <v>4909</v>
      </c>
      <c r="K6297" t="s">
        <v>4909</v>
      </c>
    </row>
    <row r="6298" spans="1:11" x14ac:dyDescent="0.2">
      <c r="A6298" t="s">
        <v>1998</v>
      </c>
      <c r="B6298" t="s">
        <v>4909</v>
      </c>
      <c r="C6298" t="s">
        <v>4909</v>
      </c>
      <c r="D6298" t="s">
        <v>4909</v>
      </c>
      <c r="E6298" t="s">
        <v>4909</v>
      </c>
      <c r="F6298" t="s">
        <v>4909</v>
      </c>
      <c r="G6298" t="s">
        <v>4909</v>
      </c>
      <c r="H6298" t="s">
        <v>4909</v>
      </c>
      <c r="I6298" t="s">
        <v>4909</v>
      </c>
      <c r="J6298" t="s">
        <v>4909</v>
      </c>
      <c r="K6298" t="s">
        <v>4909</v>
      </c>
    </row>
    <row r="6299" spans="1:11" x14ac:dyDescent="0.2">
      <c r="A6299" t="s">
        <v>1999</v>
      </c>
      <c r="B6299" t="s">
        <v>4909</v>
      </c>
      <c r="C6299" t="s">
        <v>4909</v>
      </c>
      <c r="D6299" t="s">
        <v>4909</v>
      </c>
      <c r="E6299" t="s">
        <v>4909</v>
      </c>
      <c r="F6299" t="s">
        <v>4909</v>
      </c>
      <c r="G6299" t="s">
        <v>4909</v>
      </c>
      <c r="H6299" t="s">
        <v>4909</v>
      </c>
      <c r="I6299" t="s">
        <v>4909</v>
      </c>
      <c r="J6299" t="s">
        <v>4909</v>
      </c>
      <c r="K6299" t="s">
        <v>4909</v>
      </c>
    </row>
    <row r="6300" spans="1:11" x14ac:dyDescent="0.2">
      <c r="A6300" t="s">
        <v>2004</v>
      </c>
      <c r="B6300" t="s">
        <v>4909</v>
      </c>
      <c r="C6300" t="s">
        <v>4909</v>
      </c>
      <c r="D6300" t="s">
        <v>4909</v>
      </c>
      <c r="E6300" t="s">
        <v>4909</v>
      </c>
      <c r="F6300" t="s">
        <v>4909</v>
      </c>
      <c r="G6300" t="s">
        <v>4909</v>
      </c>
      <c r="H6300" t="s">
        <v>4909</v>
      </c>
      <c r="I6300" t="s">
        <v>4909</v>
      </c>
      <c r="J6300" t="s">
        <v>4909</v>
      </c>
      <c r="K6300" t="s">
        <v>4909</v>
      </c>
    </row>
    <row r="6301" spans="1:11" x14ac:dyDescent="0.2">
      <c r="A6301" t="s">
        <v>2009</v>
      </c>
      <c r="B6301" t="s">
        <v>4909</v>
      </c>
      <c r="C6301" t="s">
        <v>4909</v>
      </c>
      <c r="D6301" t="s">
        <v>4909</v>
      </c>
      <c r="E6301" t="s">
        <v>4909</v>
      </c>
      <c r="F6301" t="s">
        <v>4909</v>
      </c>
      <c r="G6301" t="s">
        <v>4909</v>
      </c>
      <c r="H6301" t="s">
        <v>4909</v>
      </c>
      <c r="I6301" t="s">
        <v>4909</v>
      </c>
      <c r="J6301" t="s">
        <v>4909</v>
      </c>
      <c r="K6301" t="s">
        <v>4909</v>
      </c>
    </row>
    <row r="6302" spans="1:11" x14ac:dyDescent="0.2">
      <c r="A6302" t="s">
        <v>2014</v>
      </c>
      <c r="B6302" t="s">
        <v>4909</v>
      </c>
      <c r="C6302" t="s">
        <v>4909</v>
      </c>
      <c r="D6302" t="s">
        <v>4909</v>
      </c>
      <c r="E6302" t="s">
        <v>4909</v>
      </c>
      <c r="F6302" t="s">
        <v>4909</v>
      </c>
      <c r="G6302" t="s">
        <v>4909</v>
      </c>
      <c r="H6302" t="s">
        <v>4909</v>
      </c>
      <c r="I6302" t="s">
        <v>4909</v>
      </c>
      <c r="J6302" t="s">
        <v>4909</v>
      </c>
      <c r="K6302" t="s">
        <v>4909</v>
      </c>
    </row>
    <row r="6303" spans="1:11" x14ac:dyDescent="0.2">
      <c r="A6303" t="s">
        <v>2019</v>
      </c>
      <c r="B6303" t="s">
        <v>4909</v>
      </c>
      <c r="C6303" t="s">
        <v>4909</v>
      </c>
      <c r="D6303" t="s">
        <v>4909</v>
      </c>
      <c r="E6303" t="s">
        <v>4909</v>
      </c>
      <c r="F6303" t="s">
        <v>4909</v>
      </c>
      <c r="G6303" t="s">
        <v>4909</v>
      </c>
      <c r="H6303" t="s">
        <v>4909</v>
      </c>
      <c r="I6303" t="s">
        <v>4909</v>
      </c>
      <c r="J6303" t="s">
        <v>4909</v>
      </c>
      <c r="K6303" t="s">
        <v>4909</v>
      </c>
    </row>
    <row r="6304" spans="1:11" x14ac:dyDescent="0.2">
      <c r="A6304" t="s">
        <v>2023</v>
      </c>
      <c r="B6304" t="s">
        <v>4909</v>
      </c>
      <c r="C6304" t="s">
        <v>4909</v>
      </c>
      <c r="D6304" t="s">
        <v>4909</v>
      </c>
      <c r="E6304" t="s">
        <v>4909</v>
      </c>
      <c r="F6304" t="s">
        <v>4909</v>
      </c>
      <c r="G6304" t="s">
        <v>4909</v>
      </c>
      <c r="H6304" t="s">
        <v>4909</v>
      </c>
      <c r="I6304" t="s">
        <v>4909</v>
      </c>
      <c r="J6304" t="s">
        <v>4909</v>
      </c>
      <c r="K6304" t="s">
        <v>4909</v>
      </c>
    </row>
    <row r="6305" spans="1:11" x14ac:dyDescent="0.2">
      <c r="A6305" t="s">
        <v>2026</v>
      </c>
      <c r="B6305" t="s">
        <v>4909</v>
      </c>
      <c r="C6305" t="s">
        <v>4909</v>
      </c>
      <c r="D6305" t="s">
        <v>4909</v>
      </c>
      <c r="E6305" t="s">
        <v>4909</v>
      </c>
      <c r="F6305" t="s">
        <v>4909</v>
      </c>
      <c r="G6305" t="s">
        <v>4909</v>
      </c>
      <c r="H6305" t="s">
        <v>4909</v>
      </c>
      <c r="I6305" t="s">
        <v>4909</v>
      </c>
      <c r="J6305" t="s">
        <v>4909</v>
      </c>
      <c r="K6305" t="s">
        <v>4909</v>
      </c>
    </row>
    <row r="6306" spans="1:11" x14ac:dyDescent="0.2">
      <c r="A6306" t="s">
        <v>2030</v>
      </c>
      <c r="B6306" t="s">
        <v>4909</v>
      </c>
      <c r="C6306" t="s">
        <v>4909</v>
      </c>
      <c r="D6306" t="s">
        <v>4909</v>
      </c>
      <c r="E6306" t="s">
        <v>4909</v>
      </c>
      <c r="F6306" t="s">
        <v>4909</v>
      </c>
      <c r="G6306" t="s">
        <v>4909</v>
      </c>
      <c r="H6306" t="s">
        <v>4909</v>
      </c>
      <c r="I6306" t="s">
        <v>4909</v>
      </c>
      <c r="J6306" t="s">
        <v>4909</v>
      </c>
      <c r="K6306" t="s">
        <v>4909</v>
      </c>
    </row>
    <row r="6307" spans="1:11" x14ac:dyDescent="0.2">
      <c r="A6307" t="s">
        <v>2035</v>
      </c>
      <c r="B6307" t="s">
        <v>4909</v>
      </c>
      <c r="C6307" t="s">
        <v>4909</v>
      </c>
      <c r="D6307" t="s">
        <v>4909</v>
      </c>
      <c r="E6307" t="s">
        <v>4909</v>
      </c>
      <c r="F6307" t="s">
        <v>4909</v>
      </c>
      <c r="G6307" t="s">
        <v>4909</v>
      </c>
      <c r="H6307" t="s">
        <v>4909</v>
      </c>
      <c r="I6307" t="s">
        <v>4909</v>
      </c>
      <c r="J6307" t="s">
        <v>4909</v>
      </c>
      <c r="K6307" t="s">
        <v>4909</v>
      </c>
    </row>
    <row r="6308" spans="1:11" x14ac:dyDescent="0.2">
      <c r="A6308" t="s">
        <v>2040</v>
      </c>
      <c r="B6308" t="s">
        <v>4909</v>
      </c>
      <c r="C6308" t="s">
        <v>4909</v>
      </c>
      <c r="D6308" t="s">
        <v>4909</v>
      </c>
      <c r="E6308" t="s">
        <v>4909</v>
      </c>
      <c r="F6308" t="s">
        <v>4909</v>
      </c>
      <c r="G6308" t="s">
        <v>4909</v>
      </c>
      <c r="H6308" t="s">
        <v>4909</v>
      </c>
      <c r="I6308" t="s">
        <v>4909</v>
      </c>
      <c r="J6308" t="s">
        <v>4909</v>
      </c>
      <c r="K6308" t="s">
        <v>4909</v>
      </c>
    </row>
    <row r="6309" spans="1:11" x14ac:dyDescent="0.2">
      <c r="A6309" t="s">
        <v>2045</v>
      </c>
      <c r="B6309" t="s">
        <v>4909</v>
      </c>
      <c r="C6309" t="s">
        <v>4909</v>
      </c>
      <c r="D6309" t="s">
        <v>4909</v>
      </c>
      <c r="E6309" t="s">
        <v>4909</v>
      </c>
      <c r="F6309" t="s">
        <v>4909</v>
      </c>
      <c r="G6309" t="s">
        <v>4909</v>
      </c>
      <c r="H6309" t="s">
        <v>4909</v>
      </c>
      <c r="I6309" t="s">
        <v>4909</v>
      </c>
      <c r="J6309" t="s">
        <v>4909</v>
      </c>
      <c r="K6309" t="s">
        <v>4909</v>
      </c>
    </row>
    <row r="6310" spans="1:11" x14ac:dyDescent="0.2">
      <c r="A6310" t="s">
        <v>2049</v>
      </c>
      <c r="B6310" s="88">
        <v>6.0000000000000001E-3</v>
      </c>
      <c r="C6310" t="s">
        <v>4909</v>
      </c>
      <c r="D6310" t="s">
        <v>4909</v>
      </c>
      <c r="E6310" t="s">
        <v>4909</v>
      </c>
      <c r="F6310" s="88">
        <v>0.26200000000000001</v>
      </c>
      <c r="G6310" t="s">
        <v>4909</v>
      </c>
      <c r="H6310" s="88">
        <v>2.3E-2</v>
      </c>
      <c r="I6310" s="88">
        <v>0.107</v>
      </c>
      <c r="J6310" s="88">
        <v>3.7999999999999999E-2</v>
      </c>
      <c r="K6310" t="s">
        <v>4909</v>
      </c>
    </row>
    <row r="6311" spans="1:11" x14ac:dyDescent="0.2">
      <c r="A6311" t="s">
        <v>2051</v>
      </c>
      <c r="B6311" s="88">
        <v>1E-3</v>
      </c>
      <c r="C6311" t="s">
        <v>4909</v>
      </c>
      <c r="D6311" t="s">
        <v>4909</v>
      </c>
      <c r="E6311" t="s">
        <v>4909</v>
      </c>
      <c r="F6311" s="88">
        <v>0.33700000000000002</v>
      </c>
      <c r="G6311" t="s">
        <v>4909</v>
      </c>
      <c r="H6311" s="88">
        <v>1.7999999999999999E-2</v>
      </c>
      <c r="I6311" s="88">
        <v>7.9000000000000001E-2</v>
      </c>
      <c r="J6311" s="88">
        <v>3.4000000000000002E-2</v>
      </c>
      <c r="K6311" t="s">
        <v>4909</v>
      </c>
    </row>
    <row r="6312" spans="1:11" x14ac:dyDescent="0.2">
      <c r="A6312" t="s">
        <v>2057</v>
      </c>
      <c r="B6312" s="88">
        <v>1E-3</v>
      </c>
      <c r="C6312" t="s">
        <v>4909</v>
      </c>
      <c r="D6312" t="s">
        <v>4909</v>
      </c>
      <c r="E6312" t="s">
        <v>4909</v>
      </c>
      <c r="F6312" s="88">
        <v>0.32400000000000001</v>
      </c>
      <c r="G6312" t="s">
        <v>4909</v>
      </c>
      <c r="H6312" s="88">
        <v>1.7999999999999999E-2</v>
      </c>
      <c r="I6312" s="88">
        <v>7.8E-2</v>
      </c>
      <c r="J6312" s="88">
        <v>3.3000000000000002E-2</v>
      </c>
      <c r="K6312" t="s">
        <v>4909</v>
      </c>
    </row>
    <row r="6313" spans="1:11" x14ac:dyDescent="0.2">
      <c r="A6313" t="s">
        <v>4344</v>
      </c>
      <c r="B6313" t="s">
        <v>4909</v>
      </c>
      <c r="C6313" t="s">
        <v>4909</v>
      </c>
      <c r="D6313" t="s">
        <v>4909</v>
      </c>
      <c r="E6313" t="s">
        <v>4909</v>
      </c>
      <c r="F6313" s="88">
        <v>0.104</v>
      </c>
      <c r="G6313" t="s">
        <v>4909</v>
      </c>
      <c r="H6313" s="88">
        <v>5.0000000000000001E-3</v>
      </c>
      <c r="I6313" s="88">
        <v>2.3E-2</v>
      </c>
      <c r="J6313" s="88">
        <v>0.01</v>
      </c>
      <c r="K6313" t="s">
        <v>4909</v>
      </c>
    </row>
    <row r="6314" spans="1:11" x14ac:dyDescent="0.2">
      <c r="A6314" t="s">
        <v>4345</v>
      </c>
      <c r="B6314" t="s">
        <v>4909</v>
      </c>
      <c r="C6314" t="s">
        <v>4909</v>
      </c>
      <c r="D6314" t="s">
        <v>4909</v>
      </c>
      <c r="E6314" t="s">
        <v>4909</v>
      </c>
      <c r="F6314" s="88">
        <v>0.104</v>
      </c>
      <c r="G6314" t="s">
        <v>4909</v>
      </c>
      <c r="H6314" s="88">
        <v>5.0000000000000001E-3</v>
      </c>
      <c r="I6314" s="88">
        <v>2.3E-2</v>
      </c>
      <c r="J6314" s="88">
        <v>8.9999999999999993E-3</v>
      </c>
      <c r="K6314" t="s">
        <v>4909</v>
      </c>
    </row>
    <row r="6315" spans="1:11" x14ac:dyDescent="0.2">
      <c r="A6315" t="s">
        <v>2074</v>
      </c>
      <c r="B6315" s="88">
        <v>5.5E-2</v>
      </c>
      <c r="C6315" t="s">
        <v>4909</v>
      </c>
      <c r="D6315" t="s">
        <v>4909</v>
      </c>
      <c r="E6315" t="s">
        <v>4909</v>
      </c>
      <c r="F6315" t="s">
        <v>4909</v>
      </c>
      <c r="G6315" t="s">
        <v>4909</v>
      </c>
      <c r="H6315" t="s">
        <v>4909</v>
      </c>
      <c r="I6315" t="s">
        <v>4909</v>
      </c>
      <c r="J6315" t="s">
        <v>4909</v>
      </c>
      <c r="K6315" t="s">
        <v>4909</v>
      </c>
    </row>
    <row r="6316" spans="1:11" x14ac:dyDescent="0.2">
      <c r="A6316" t="s">
        <v>2079</v>
      </c>
      <c r="B6316" s="88">
        <v>5.6000000000000001E-2</v>
      </c>
      <c r="C6316" t="s">
        <v>4909</v>
      </c>
      <c r="D6316" t="s">
        <v>4909</v>
      </c>
      <c r="E6316" t="s">
        <v>4909</v>
      </c>
      <c r="F6316" t="s">
        <v>4909</v>
      </c>
      <c r="G6316" t="s">
        <v>4909</v>
      </c>
      <c r="H6316" t="s">
        <v>4909</v>
      </c>
      <c r="I6316" t="s">
        <v>4909</v>
      </c>
      <c r="J6316" t="s">
        <v>4909</v>
      </c>
      <c r="K6316" t="s">
        <v>4909</v>
      </c>
    </row>
    <row r="6317" spans="1:11" x14ac:dyDescent="0.2">
      <c r="A6317" t="s">
        <v>2085</v>
      </c>
      <c r="B6317" t="s">
        <v>4909</v>
      </c>
      <c r="C6317" t="s">
        <v>4909</v>
      </c>
      <c r="D6317" t="s">
        <v>4909</v>
      </c>
      <c r="E6317" t="s">
        <v>4909</v>
      </c>
      <c r="F6317" s="88">
        <v>0.83299999999999996</v>
      </c>
      <c r="G6317" t="s">
        <v>4909</v>
      </c>
      <c r="H6317" t="s">
        <v>4909</v>
      </c>
      <c r="I6317" s="88">
        <v>0.16600000000000001</v>
      </c>
      <c r="J6317" t="s">
        <v>4909</v>
      </c>
      <c r="K6317" t="s">
        <v>4909</v>
      </c>
    </row>
    <row r="6318" spans="1:11" x14ac:dyDescent="0.2">
      <c r="A6318" t="s">
        <v>2091</v>
      </c>
      <c r="B6318" t="s">
        <v>4909</v>
      </c>
      <c r="C6318" t="s">
        <v>4909</v>
      </c>
      <c r="D6318" t="s">
        <v>4909</v>
      </c>
      <c r="E6318" t="s">
        <v>4909</v>
      </c>
      <c r="F6318" s="88">
        <v>0.77500000000000002</v>
      </c>
      <c r="G6318" t="s">
        <v>4909</v>
      </c>
      <c r="H6318" s="88">
        <v>3.2000000000000001E-2</v>
      </c>
      <c r="I6318" s="88">
        <v>0.13800000000000001</v>
      </c>
      <c r="J6318" s="88">
        <v>5.1999999999999998E-2</v>
      </c>
      <c r="K6318" t="s">
        <v>4909</v>
      </c>
    </row>
    <row r="6319" spans="1:11" x14ac:dyDescent="0.2">
      <c r="A6319" t="s">
        <v>2097</v>
      </c>
      <c r="B6319" t="s">
        <v>4909</v>
      </c>
      <c r="C6319" t="s">
        <v>4909</v>
      </c>
      <c r="D6319" t="s">
        <v>4909</v>
      </c>
      <c r="E6319" t="s">
        <v>4909</v>
      </c>
      <c r="F6319" t="s">
        <v>4909</v>
      </c>
      <c r="G6319" t="s">
        <v>4909</v>
      </c>
      <c r="H6319" s="88">
        <v>0.14099999999999999</v>
      </c>
      <c r="I6319" s="88">
        <v>0.6</v>
      </c>
      <c r="J6319" s="88">
        <v>0.25800000000000001</v>
      </c>
      <c r="K6319" t="s">
        <v>4909</v>
      </c>
    </row>
    <row r="6320" spans="1:11" x14ac:dyDescent="0.2">
      <c r="A6320" t="s">
        <v>2101</v>
      </c>
      <c r="B6320" s="88">
        <v>0.01</v>
      </c>
      <c r="C6320" t="s">
        <v>4909</v>
      </c>
      <c r="D6320" t="s">
        <v>4909</v>
      </c>
      <c r="E6320" t="s">
        <v>4909</v>
      </c>
      <c r="F6320" t="s">
        <v>4909</v>
      </c>
      <c r="G6320" t="s">
        <v>4909</v>
      </c>
      <c r="H6320" t="s">
        <v>4909</v>
      </c>
      <c r="I6320" t="s">
        <v>4909</v>
      </c>
      <c r="J6320" t="s">
        <v>4909</v>
      </c>
      <c r="K6320" t="s">
        <v>4909</v>
      </c>
    </row>
    <row r="6321" spans="1:11" x14ac:dyDescent="0.2">
      <c r="A6321" t="s">
        <v>2104</v>
      </c>
      <c r="B6321" t="s">
        <v>4909</v>
      </c>
      <c r="C6321" t="s">
        <v>4909</v>
      </c>
      <c r="D6321" t="s">
        <v>4909</v>
      </c>
      <c r="E6321" t="s">
        <v>4909</v>
      </c>
      <c r="F6321" t="s">
        <v>4909</v>
      </c>
      <c r="G6321" t="s">
        <v>4909</v>
      </c>
      <c r="H6321" t="s">
        <v>4909</v>
      </c>
      <c r="I6321" t="s">
        <v>4909</v>
      </c>
      <c r="J6321" t="s">
        <v>4909</v>
      </c>
      <c r="K6321" t="s">
        <v>4909</v>
      </c>
    </row>
    <row r="6322" spans="1:11" x14ac:dyDescent="0.2">
      <c r="A6322" t="s">
        <v>2107</v>
      </c>
      <c r="B6322" s="88">
        <v>8.0000000000000002E-3</v>
      </c>
      <c r="C6322" t="s">
        <v>4909</v>
      </c>
      <c r="D6322" t="s">
        <v>4909</v>
      </c>
      <c r="E6322" t="s">
        <v>4909</v>
      </c>
      <c r="F6322" t="s">
        <v>4909</v>
      </c>
      <c r="G6322" t="s">
        <v>4909</v>
      </c>
      <c r="H6322" t="s">
        <v>4909</v>
      </c>
      <c r="I6322" t="s">
        <v>4909</v>
      </c>
      <c r="J6322" t="s">
        <v>4909</v>
      </c>
      <c r="K6322" t="s">
        <v>4909</v>
      </c>
    </row>
    <row r="6323" spans="1:11" x14ac:dyDescent="0.2">
      <c r="A6323" t="s">
        <v>2110</v>
      </c>
      <c r="B6323" t="s">
        <v>4909</v>
      </c>
      <c r="C6323" t="s">
        <v>4909</v>
      </c>
      <c r="D6323" t="s">
        <v>4909</v>
      </c>
      <c r="E6323" t="s">
        <v>4909</v>
      </c>
      <c r="F6323" s="88">
        <v>1</v>
      </c>
      <c r="G6323" t="s">
        <v>4909</v>
      </c>
      <c r="H6323" t="s">
        <v>4909</v>
      </c>
      <c r="I6323" t="s">
        <v>4909</v>
      </c>
      <c r="J6323" t="s">
        <v>4909</v>
      </c>
      <c r="K6323" t="s">
        <v>4909</v>
      </c>
    </row>
    <row r="6324" spans="1:11" x14ac:dyDescent="0.2">
      <c r="A6324" t="s">
        <v>2113</v>
      </c>
      <c r="B6324" t="s">
        <v>4909</v>
      </c>
      <c r="C6324" t="s">
        <v>4909</v>
      </c>
      <c r="D6324" t="s">
        <v>4909</v>
      </c>
      <c r="E6324" t="s">
        <v>4909</v>
      </c>
      <c r="F6324" t="s">
        <v>4909</v>
      </c>
      <c r="G6324" t="s">
        <v>4909</v>
      </c>
      <c r="H6324" s="88">
        <v>0.15</v>
      </c>
      <c r="I6324" s="88">
        <v>0.63700000000000001</v>
      </c>
      <c r="J6324" s="88">
        <v>0.21199999999999999</v>
      </c>
      <c r="K6324" t="s">
        <v>4909</v>
      </c>
    </row>
    <row r="6325" spans="1:11" x14ac:dyDescent="0.2">
      <c r="A6325" t="s">
        <v>4346</v>
      </c>
      <c r="B6325" t="s">
        <v>4909</v>
      </c>
      <c r="C6325" t="s">
        <v>4909</v>
      </c>
      <c r="D6325" t="s">
        <v>4909</v>
      </c>
      <c r="E6325" t="s">
        <v>4909</v>
      </c>
      <c r="F6325" t="s">
        <v>4909</v>
      </c>
      <c r="G6325" t="s">
        <v>4909</v>
      </c>
      <c r="H6325" t="s">
        <v>4909</v>
      </c>
      <c r="I6325" t="s">
        <v>4909</v>
      </c>
      <c r="J6325" t="s">
        <v>4909</v>
      </c>
      <c r="K6325" t="s">
        <v>4909</v>
      </c>
    </row>
    <row r="6326" spans="1:11" x14ac:dyDescent="0.2">
      <c r="A6326" t="s">
        <v>4347</v>
      </c>
      <c r="B6326" t="s">
        <v>4909</v>
      </c>
      <c r="C6326" t="s">
        <v>4909</v>
      </c>
      <c r="D6326" t="s">
        <v>4909</v>
      </c>
      <c r="E6326" t="s">
        <v>4909</v>
      </c>
      <c r="F6326" t="s">
        <v>4909</v>
      </c>
      <c r="G6326" t="s">
        <v>4909</v>
      </c>
      <c r="H6326" t="s">
        <v>4909</v>
      </c>
      <c r="I6326" t="s">
        <v>4909</v>
      </c>
      <c r="J6326" t="s">
        <v>4909</v>
      </c>
      <c r="K6326" t="s">
        <v>4909</v>
      </c>
    </row>
    <row r="6327" spans="1:11" x14ac:dyDescent="0.2">
      <c r="A6327" t="s">
        <v>4348</v>
      </c>
      <c r="B6327" t="s">
        <v>4909</v>
      </c>
      <c r="C6327" t="s">
        <v>4909</v>
      </c>
      <c r="D6327" t="s">
        <v>4909</v>
      </c>
      <c r="E6327" t="s">
        <v>4909</v>
      </c>
      <c r="F6327" t="s">
        <v>4909</v>
      </c>
      <c r="G6327" t="s">
        <v>4909</v>
      </c>
      <c r="H6327" t="s">
        <v>4909</v>
      </c>
      <c r="I6327" t="s">
        <v>4909</v>
      </c>
      <c r="J6327" t="s">
        <v>4909</v>
      </c>
      <c r="K6327" t="s">
        <v>4909</v>
      </c>
    </row>
    <row r="6328" spans="1:11" x14ac:dyDescent="0.2">
      <c r="A6328" t="s">
        <v>4349</v>
      </c>
      <c r="B6328" t="s">
        <v>4909</v>
      </c>
      <c r="C6328" t="s">
        <v>4909</v>
      </c>
      <c r="D6328" t="s">
        <v>4909</v>
      </c>
      <c r="E6328" t="s">
        <v>4909</v>
      </c>
      <c r="F6328" t="s">
        <v>4909</v>
      </c>
      <c r="G6328" t="s">
        <v>4909</v>
      </c>
      <c r="H6328" t="s">
        <v>4909</v>
      </c>
      <c r="I6328" t="s">
        <v>4909</v>
      </c>
      <c r="J6328" t="s">
        <v>4909</v>
      </c>
      <c r="K6328" t="s">
        <v>4909</v>
      </c>
    </row>
    <row r="6329" spans="1:11" x14ac:dyDescent="0.2">
      <c r="A6329" t="s">
        <v>4350</v>
      </c>
      <c r="B6329" t="s">
        <v>4909</v>
      </c>
      <c r="C6329" t="s">
        <v>4909</v>
      </c>
      <c r="D6329" t="s">
        <v>4909</v>
      </c>
      <c r="E6329" t="s">
        <v>4909</v>
      </c>
      <c r="F6329" s="88">
        <v>0</v>
      </c>
      <c r="G6329" t="s">
        <v>4909</v>
      </c>
      <c r="H6329" s="88">
        <v>0</v>
      </c>
      <c r="I6329" s="88">
        <v>0</v>
      </c>
      <c r="J6329" s="88">
        <v>0</v>
      </c>
      <c r="K6329" t="s">
        <v>4909</v>
      </c>
    </row>
    <row r="6330" spans="1:11" x14ac:dyDescent="0.2">
      <c r="A6330" t="s">
        <v>4351</v>
      </c>
      <c r="B6330" t="s">
        <v>4909</v>
      </c>
      <c r="C6330" t="s">
        <v>4909</v>
      </c>
      <c r="D6330" t="s">
        <v>4909</v>
      </c>
      <c r="E6330" t="s">
        <v>4909</v>
      </c>
      <c r="F6330" t="s">
        <v>4909</v>
      </c>
      <c r="G6330" t="s">
        <v>4909</v>
      </c>
      <c r="H6330" t="s">
        <v>4909</v>
      </c>
      <c r="I6330" t="s">
        <v>4909</v>
      </c>
      <c r="J6330" t="s">
        <v>4909</v>
      </c>
      <c r="K6330" t="s">
        <v>4909</v>
      </c>
    </row>
    <row r="6331" spans="1:11" x14ac:dyDescent="0.2">
      <c r="A6331" t="s">
        <v>4352</v>
      </c>
      <c r="B6331" t="s">
        <v>4909</v>
      </c>
      <c r="C6331" t="s">
        <v>4909</v>
      </c>
      <c r="D6331" t="s">
        <v>4909</v>
      </c>
      <c r="E6331" t="s">
        <v>4909</v>
      </c>
      <c r="F6331" t="s">
        <v>4909</v>
      </c>
      <c r="G6331" t="s">
        <v>4909</v>
      </c>
      <c r="H6331" t="s">
        <v>4909</v>
      </c>
      <c r="I6331" t="s">
        <v>4909</v>
      </c>
      <c r="J6331" t="s">
        <v>4909</v>
      </c>
      <c r="K6331" t="s">
        <v>4909</v>
      </c>
    </row>
    <row r="6332" spans="1:11" x14ac:dyDescent="0.2">
      <c r="A6332" t="s">
        <v>4353</v>
      </c>
      <c r="B6332" t="s">
        <v>4909</v>
      </c>
      <c r="C6332" t="s">
        <v>4909</v>
      </c>
      <c r="D6332" t="s">
        <v>4909</v>
      </c>
      <c r="E6332" t="s">
        <v>4909</v>
      </c>
      <c r="F6332" s="88">
        <v>1.4999999999999999E-2</v>
      </c>
      <c r="G6332" t="s">
        <v>4909</v>
      </c>
      <c r="H6332" s="88">
        <v>1E-3</v>
      </c>
      <c r="I6332" s="88">
        <v>0.01</v>
      </c>
      <c r="J6332" s="88">
        <v>1E-3</v>
      </c>
      <c r="K6332" t="s">
        <v>4909</v>
      </c>
    </row>
    <row r="6333" spans="1:11" x14ac:dyDescent="0.2">
      <c r="A6333" t="s">
        <v>4354</v>
      </c>
      <c r="B6333" s="88">
        <v>0</v>
      </c>
      <c r="C6333" t="s">
        <v>4909</v>
      </c>
      <c r="D6333" t="s">
        <v>4909</v>
      </c>
      <c r="E6333" t="s">
        <v>4909</v>
      </c>
      <c r="F6333" s="88">
        <v>2.5000000000000001E-2</v>
      </c>
      <c r="G6333" t="s">
        <v>4909</v>
      </c>
      <c r="H6333" s="88">
        <v>2E-3</v>
      </c>
      <c r="I6333" s="88">
        <v>1.4999999999999999E-2</v>
      </c>
      <c r="J6333" s="88">
        <v>3.0000000000000001E-3</v>
      </c>
      <c r="K6333" t="s">
        <v>4909</v>
      </c>
    </row>
    <row r="6334" spans="1:11" x14ac:dyDescent="0.2">
      <c r="A6334" t="s">
        <v>4355</v>
      </c>
      <c r="B6334" t="s">
        <v>4909</v>
      </c>
      <c r="C6334" t="s">
        <v>4909</v>
      </c>
      <c r="D6334" t="s">
        <v>4909</v>
      </c>
      <c r="E6334" t="s">
        <v>4909</v>
      </c>
      <c r="F6334" t="s">
        <v>4909</v>
      </c>
      <c r="G6334" t="s">
        <v>4909</v>
      </c>
      <c r="H6334" t="s">
        <v>4909</v>
      </c>
      <c r="I6334" t="s">
        <v>4909</v>
      </c>
      <c r="J6334" t="s">
        <v>4909</v>
      </c>
      <c r="K6334" t="s">
        <v>4909</v>
      </c>
    </row>
    <row r="6335" spans="1:11" x14ac:dyDescent="0.2">
      <c r="A6335" t="s">
        <v>4356</v>
      </c>
      <c r="B6335" t="s">
        <v>4909</v>
      </c>
      <c r="C6335" t="s">
        <v>4909</v>
      </c>
      <c r="D6335" t="s">
        <v>4909</v>
      </c>
      <c r="E6335" t="s">
        <v>4909</v>
      </c>
      <c r="F6335" t="s">
        <v>4909</v>
      </c>
      <c r="G6335" t="s">
        <v>4909</v>
      </c>
      <c r="H6335" t="s">
        <v>4909</v>
      </c>
      <c r="I6335" t="s">
        <v>4909</v>
      </c>
      <c r="J6335" t="s">
        <v>4909</v>
      </c>
      <c r="K6335" t="s">
        <v>4909</v>
      </c>
    </row>
    <row r="6336" spans="1:11" x14ac:dyDescent="0.2">
      <c r="A6336" t="s">
        <v>4357</v>
      </c>
      <c r="B6336" t="s">
        <v>4909</v>
      </c>
      <c r="C6336" t="s">
        <v>4909</v>
      </c>
      <c r="D6336" t="s">
        <v>4909</v>
      </c>
      <c r="E6336" t="s">
        <v>4909</v>
      </c>
      <c r="F6336" t="s">
        <v>4909</v>
      </c>
      <c r="G6336" t="s">
        <v>4909</v>
      </c>
      <c r="H6336" t="s">
        <v>4909</v>
      </c>
      <c r="I6336" t="s">
        <v>4909</v>
      </c>
      <c r="J6336" t="s">
        <v>4909</v>
      </c>
      <c r="K6336" t="s">
        <v>4909</v>
      </c>
    </row>
    <row r="6337" spans="1:11" x14ac:dyDescent="0.2">
      <c r="A6337" t="s">
        <v>4358</v>
      </c>
      <c r="B6337" t="s">
        <v>4909</v>
      </c>
      <c r="C6337" t="s">
        <v>4909</v>
      </c>
      <c r="D6337" t="s">
        <v>4909</v>
      </c>
      <c r="E6337" t="s">
        <v>4909</v>
      </c>
      <c r="F6337" s="88">
        <v>0</v>
      </c>
      <c r="G6337" t="s">
        <v>4909</v>
      </c>
      <c r="H6337" t="s">
        <v>4909</v>
      </c>
      <c r="I6337" s="88">
        <v>0</v>
      </c>
      <c r="J6337" t="s">
        <v>4909</v>
      </c>
      <c r="K6337" t="s">
        <v>4909</v>
      </c>
    </row>
    <row r="6338" spans="1:11" x14ac:dyDescent="0.2">
      <c r="A6338" t="s">
        <v>4359</v>
      </c>
      <c r="B6338" t="s">
        <v>4909</v>
      </c>
      <c r="C6338" t="s">
        <v>4909</v>
      </c>
      <c r="D6338" t="s">
        <v>4909</v>
      </c>
      <c r="E6338" t="s">
        <v>4909</v>
      </c>
      <c r="F6338" t="s">
        <v>4909</v>
      </c>
      <c r="G6338" t="s">
        <v>4909</v>
      </c>
      <c r="H6338" t="s">
        <v>4909</v>
      </c>
      <c r="I6338" t="s">
        <v>4909</v>
      </c>
      <c r="J6338" t="s">
        <v>4909</v>
      </c>
      <c r="K6338" t="s">
        <v>4909</v>
      </c>
    </row>
    <row r="6339" spans="1:11" x14ac:dyDescent="0.2">
      <c r="A6339" t="s">
        <v>4360</v>
      </c>
      <c r="B6339" t="s">
        <v>4909</v>
      </c>
      <c r="C6339" t="s">
        <v>4909</v>
      </c>
      <c r="D6339" t="s">
        <v>4909</v>
      </c>
      <c r="E6339" t="s">
        <v>4909</v>
      </c>
      <c r="F6339" s="88">
        <v>3.0000000000000001E-3</v>
      </c>
      <c r="G6339" t="s">
        <v>4909</v>
      </c>
      <c r="H6339" t="s">
        <v>4909</v>
      </c>
      <c r="I6339" s="88">
        <v>1E-3</v>
      </c>
      <c r="J6339" s="88">
        <v>0</v>
      </c>
      <c r="K6339" t="s">
        <v>4909</v>
      </c>
    </row>
    <row r="6340" spans="1:11" x14ac:dyDescent="0.2">
      <c r="A6340" t="s">
        <v>4361</v>
      </c>
      <c r="B6340" t="s">
        <v>4909</v>
      </c>
      <c r="C6340" t="s">
        <v>4909</v>
      </c>
      <c r="D6340" t="s">
        <v>4909</v>
      </c>
      <c r="E6340" t="s">
        <v>4909</v>
      </c>
      <c r="F6340" s="88">
        <v>3.0000000000000001E-3</v>
      </c>
      <c r="G6340" t="s">
        <v>4909</v>
      </c>
      <c r="H6340" s="88">
        <v>0</v>
      </c>
      <c r="I6340" s="88">
        <v>1E-3</v>
      </c>
      <c r="J6340" s="88">
        <v>0</v>
      </c>
      <c r="K6340" t="s">
        <v>4909</v>
      </c>
    </row>
    <row r="6341" spans="1:11" x14ac:dyDescent="0.2">
      <c r="A6341" t="s">
        <v>4362</v>
      </c>
      <c r="B6341" t="s">
        <v>4909</v>
      </c>
      <c r="C6341" t="s">
        <v>4909</v>
      </c>
      <c r="D6341" t="s">
        <v>4909</v>
      </c>
      <c r="E6341" t="s">
        <v>4909</v>
      </c>
      <c r="F6341" t="s">
        <v>4909</v>
      </c>
      <c r="G6341" t="s">
        <v>4909</v>
      </c>
      <c r="H6341" t="s">
        <v>4909</v>
      </c>
      <c r="I6341" t="s">
        <v>4909</v>
      </c>
      <c r="J6341" t="s">
        <v>4909</v>
      </c>
      <c r="K6341" t="s">
        <v>4909</v>
      </c>
    </row>
    <row r="6342" spans="1:11" x14ac:dyDescent="0.2">
      <c r="A6342" t="s">
        <v>4363</v>
      </c>
      <c r="B6342" t="s">
        <v>4909</v>
      </c>
      <c r="C6342" t="s">
        <v>4909</v>
      </c>
      <c r="D6342" t="s">
        <v>4909</v>
      </c>
      <c r="E6342" t="s">
        <v>4909</v>
      </c>
      <c r="F6342" t="s">
        <v>4909</v>
      </c>
      <c r="G6342" t="s">
        <v>4909</v>
      </c>
      <c r="H6342" t="s">
        <v>4909</v>
      </c>
      <c r="I6342" t="s">
        <v>4909</v>
      </c>
      <c r="J6342" t="s">
        <v>4909</v>
      </c>
      <c r="K6342" t="s">
        <v>4909</v>
      </c>
    </row>
    <row r="6343" spans="1:11" x14ac:dyDescent="0.2">
      <c r="A6343" t="s">
        <v>4364</v>
      </c>
      <c r="B6343" t="s">
        <v>4909</v>
      </c>
      <c r="C6343" t="s">
        <v>4909</v>
      </c>
      <c r="D6343" t="s">
        <v>4909</v>
      </c>
      <c r="E6343" t="s">
        <v>4909</v>
      </c>
      <c r="F6343" t="s">
        <v>4909</v>
      </c>
      <c r="G6343" t="s">
        <v>4909</v>
      </c>
      <c r="H6343" t="s">
        <v>4909</v>
      </c>
      <c r="I6343" t="s">
        <v>4909</v>
      </c>
      <c r="J6343" t="s">
        <v>4909</v>
      </c>
      <c r="K6343" t="s">
        <v>4909</v>
      </c>
    </row>
    <row r="6344" spans="1:11" x14ac:dyDescent="0.2">
      <c r="A6344" t="s">
        <v>4365</v>
      </c>
      <c r="B6344" t="s">
        <v>4909</v>
      </c>
      <c r="C6344" t="s">
        <v>4909</v>
      </c>
      <c r="D6344" t="s">
        <v>4909</v>
      </c>
      <c r="E6344" t="s">
        <v>4909</v>
      </c>
      <c r="F6344" s="88">
        <v>1E-3</v>
      </c>
      <c r="G6344" t="s">
        <v>4909</v>
      </c>
      <c r="H6344" s="88">
        <v>0</v>
      </c>
      <c r="I6344" s="88">
        <v>8.0000000000000002E-3</v>
      </c>
      <c r="J6344" s="88">
        <v>0</v>
      </c>
      <c r="K6344" t="s">
        <v>4909</v>
      </c>
    </row>
    <row r="6345" spans="1:11" x14ac:dyDescent="0.2">
      <c r="A6345" t="s">
        <v>4366</v>
      </c>
      <c r="B6345" t="s">
        <v>4909</v>
      </c>
      <c r="C6345" t="s">
        <v>4909</v>
      </c>
      <c r="D6345" t="s">
        <v>4909</v>
      </c>
      <c r="E6345" t="s">
        <v>4909</v>
      </c>
      <c r="F6345" t="s">
        <v>4909</v>
      </c>
      <c r="G6345" t="s">
        <v>4909</v>
      </c>
      <c r="H6345" t="s">
        <v>4909</v>
      </c>
      <c r="I6345" t="s">
        <v>4909</v>
      </c>
      <c r="J6345" t="s">
        <v>4909</v>
      </c>
      <c r="K6345" t="s">
        <v>4909</v>
      </c>
    </row>
    <row r="6346" spans="1:11" x14ac:dyDescent="0.2">
      <c r="A6346" t="s">
        <v>4367</v>
      </c>
      <c r="B6346" t="s">
        <v>4909</v>
      </c>
      <c r="C6346" t="s">
        <v>4909</v>
      </c>
      <c r="D6346" t="s">
        <v>4909</v>
      </c>
      <c r="E6346" t="s">
        <v>4909</v>
      </c>
      <c r="F6346" t="s">
        <v>4909</v>
      </c>
      <c r="G6346" t="s">
        <v>4909</v>
      </c>
      <c r="H6346" t="s">
        <v>4909</v>
      </c>
      <c r="I6346" t="s">
        <v>4909</v>
      </c>
      <c r="J6346" t="s">
        <v>4909</v>
      </c>
      <c r="K6346" t="s">
        <v>4909</v>
      </c>
    </row>
    <row r="6347" spans="1:11" x14ac:dyDescent="0.2">
      <c r="A6347" t="s">
        <v>4368</v>
      </c>
      <c r="B6347" s="88">
        <v>0</v>
      </c>
      <c r="C6347" t="s">
        <v>4909</v>
      </c>
      <c r="D6347" t="s">
        <v>4909</v>
      </c>
      <c r="E6347" t="s">
        <v>4909</v>
      </c>
      <c r="F6347" s="88">
        <v>8.0000000000000002E-3</v>
      </c>
      <c r="G6347" t="s">
        <v>4909</v>
      </c>
      <c r="H6347" s="88">
        <v>0</v>
      </c>
      <c r="I6347" s="88">
        <v>3.2000000000000001E-2</v>
      </c>
      <c r="J6347" s="88">
        <v>1E-3</v>
      </c>
      <c r="K6347" t="s">
        <v>4909</v>
      </c>
    </row>
    <row r="6348" spans="1:11" x14ac:dyDescent="0.2">
      <c r="A6348" t="s">
        <v>4369</v>
      </c>
      <c r="B6348" s="88">
        <v>0</v>
      </c>
      <c r="C6348" t="s">
        <v>4909</v>
      </c>
      <c r="D6348" t="s">
        <v>4909</v>
      </c>
      <c r="E6348" t="s">
        <v>4909</v>
      </c>
      <c r="F6348" s="88">
        <v>4.0000000000000001E-3</v>
      </c>
      <c r="G6348" t="s">
        <v>4909</v>
      </c>
      <c r="H6348" s="88">
        <v>0</v>
      </c>
      <c r="I6348" s="88">
        <v>1.7999999999999999E-2</v>
      </c>
      <c r="J6348" s="88">
        <v>0</v>
      </c>
      <c r="K6348" t="s">
        <v>4909</v>
      </c>
    </row>
    <row r="6349" spans="1:11" x14ac:dyDescent="0.2">
      <c r="A6349" t="s">
        <v>4370</v>
      </c>
      <c r="B6349" t="s">
        <v>4909</v>
      </c>
      <c r="C6349" t="s">
        <v>4909</v>
      </c>
      <c r="D6349" t="s">
        <v>4909</v>
      </c>
      <c r="E6349" t="s">
        <v>4909</v>
      </c>
      <c r="F6349" t="s">
        <v>4909</v>
      </c>
      <c r="G6349" t="s">
        <v>4909</v>
      </c>
      <c r="H6349" t="s">
        <v>4909</v>
      </c>
      <c r="I6349" t="s">
        <v>4909</v>
      </c>
      <c r="J6349" t="s">
        <v>4909</v>
      </c>
      <c r="K6349" t="s">
        <v>4909</v>
      </c>
    </row>
    <row r="6350" spans="1:11" x14ac:dyDescent="0.2">
      <c r="A6350" t="s">
        <v>4371</v>
      </c>
      <c r="B6350" t="s">
        <v>4909</v>
      </c>
      <c r="C6350" t="s">
        <v>4909</v>
      </c>
      <c r="D6350" t="s">
        <v>4909</v>
      </c>
      <c r="E6350" t="s">
        <v>4909</v>
      </c>
      <c r="F6350" t="s">
        <v>4909</v>
      </c>
      <c r="G6350" t="s">
        <v>4909</v>
      </c>
      <c r="H6350" t="s">
        <v>4909</v>
      </c>
      <c r="I6350" s="88">
        <v>2E-3</v>
      </c>
      <c r="J6350" t="s">
        <v>4909</v>
      </c>
      <c r="K6350" t="s">
        <v>4909</v>
      </c>
    </row>
    <row r="6351" spans="1:11" x14ac:dyDescent="0.2">
      <c r="A6351" t="s">
        <v>4372</v>
      </c>
      <c r="B6351" t="s">
        <v>4909</v>
      </c>
      <c r="C6351" t="s">
        <v>4909</v>
      </c>
      <c r="D6351" t="s">
        <v>4909</v>
      </c>
      <c r="E6351" t="s">
        <v>4909</v>
      </c>
      <c r="F6351" t="s">
        <v>4909</v>
      </c>
      <c r="G6351" t="s">
        <v>4909</v>
      </c>
      <c r="H6351" t="s">
        <v>4909</v>
      </c>
      <c r="I6351" t="s">
        <v>4909</v>
      </c>
      <c r="J6351" t="s">
        <v>4909</v>
      </c>
      <c r="K6351" t="s">
        <v>4909</v>
      </c>
    </row>
    <row r="6352" spans="1:11" x14ac:dyDescent="0.2">
      <c r="A6352" t="s">
        <v>4373</v>
      </c>
      <c r="B6352" t="s">
        <v>4909</v>
      </c>
      <c r="C6352" t="s">
        <v>4909</v>
      </c>
      <c r="D6352" t="s">
        <v>4909</v>
      </c>
      <c r="E6352" t="s">
        <v>4909</v>
      </c>
      <c r="F6352" s="88">
        <v>0</v>
      </c>
      <c r="G6352" t="s">
        <v>4909</v>
      </c>
      <c r="H6352" t="s">
        <v>4909</v>
      </c>
      <c r="I6352" s="88">
        <v>0</v>
      </c>
      <c r="J6352" t="s">
        <v>4909</v>
      </c>
      <c r="K6352" t="s">
        <v>4909</v>
      </c>
    </row>
    <row r="6353" spans="1:11" x14ac:dyDescent="0.2">
      <c r="A6353" t="s">
        <v>4374</v>
      </c>
      <c r="B6353" t="s">
        <v>4909</v>
      </c>
      <c r="C6353" t="s">
        <v>4909</v>
      </c>
      <c r="D6353" t="s">
        <v>4909</v>
      </c>
      <c r="E6353" t="s">
        <v>4909</v>
      </c>
      <c r="F6353" t="s">
        <v>4909</v>
      </c>
      <c r="G6353" t="s">
        <v>4909</v>
      </c>
      <c r="H6353" t="s">
        <v>4909</v>
      </c>
      <c r="I6353" t="s">
        <v>4909</v>
      </c>
      <c r="J6353" t="s">
        <v>4909</v>
      </c>
      <c r="K6353" t="s">
        <v>4909</v>
      </c>
    </row>
    <row r="6354" spans="1:11" x14ac:dyDescent="0.2">
      <c r="A6354" t="s">
        <v>4375</v>
      </c>
      <c r="B6354" t="s">
        <v>4909</v>
      </c>
      <c r="C6354" t="s">
        <v>4909</v>
      </c>
      <c r="D6354" t="s">
        <v>4909</v>
      </c>
      <c r="E6354" t="s">
        <v>4909</v>
      </c>
      <c r="F6354" t="s">
        <v>4909</v>
      </c>
      <c r="G6354" t="s">
        <v>4909</v>
      </c>
      <c r="H6354" t="s">
        <v>4909</v>
      </c>
      <c r="I6354" t="s">
        <v>4909</v>
      </c>
      <c r="J6354" t="s">
        <v>4909</v>
      </c>
      <c r="K6354" t="s">
        <v>4909</v>
      </c>
    </row>
    <row r="6355" spans="1:11" x14ac:dyDescent="0.2">
      <c r="A6355" t="s">
        <v>4376</v>
      </c>
      <c r="B6355" t="s">
        <v>4909</v>
      </c>
      <c r="C6355" t="s">
        <v>4909</v>
      </c>
      <c r="D6355" t="s">
        <v>4909</v>
      </c>
      <c r="E6355" t="s">
        <v>4909</v>
      </c>
      <c r="F6355" t="s">
        <v>4909</v>
      </c>
      <c r="G6355" t="s">
        <v>4909</v>
      </c>
      <c r="H6355" t="s">
        <v>4909</v>
      </c>
      <c r="I6355" t="s">
        <v>4909</v>
      </c>
      <c r="J6355" t="s">
        <v>4909</v>
      </c>
      <c r="K6355" t="s">
        <v>4909</v>
      </c>
    </row>
    <row r="6356" spans="1:11" x14ac:dyDescent="0.2">
      <c r="A6356" t="s">
        <v>4377</v>
      </c>
      <c r="B6356" t="s">
        <v>4909</v>
      </c>
      <c r="C6356" t="s">
        <v>4909</v>
      </c>
      <c r="D6356" t="s">
        <v>4909</v>
      </c>
      <c r="E6356" t="s">
        <v>4909</v>
      </c>
      <c r="F6356" s="88">
        <v>0</v>
      </c>
      <c r="G6356" t="s">
        <v>4909</v>
      </c>
      <c r="H6356" s="88">
        <v>0</v>
      </c>
      <c r="I6356" s="88">
        <v>0</v>
      </c>
      <c r="J6356" s="88">
        <v>0</v>
      </c>
      <c r="K6356" t="s">
        <v>4909</v>
      </c>
    </row>
    <row r="6357" spans="1:11" x14ac:dyDescent="0.2">
      <c r="A6357" t="s">
        <v>2318</v>
      </c>
      <c r="B6357" t="s">
        <v>4399</v>
      </c>
      <c r="C6357" t="s">
        <v>4399</v>
      </c>
      <c r="D6357" t="s">
        <v>4399</v>
      </c>
      <c r="E6357" t="s">
        <v>4399</v>
      </c>
      <c r="F6357" t="s">
        <v>4399</v>
      </c>
      <c r="G6357" t="s">
        <v>4399</v>
      </c>
      <c r="H6357" t="s">
        <v>4399</v>
      </c>
      <c r="I6357" t="s">
        <v>4399</v>
      </c>
      <c r="J6357" t="s">
        <v>4399</v>
      </c>
      <c r="K6357" t="s">
        <v>4399</v>
      </c>
    </row>
    <row r="6358" spans="1:11" x14ac:dyDescent="0.2">
      <c r="A6358" t="s">
        <v>4248</v>
      </c>
    </row>
    <row r="6359" spans="1:11" x14ac:dyDescent="0.2">
      <c r="A6359" t="s">
        <v>4910</v>
      </c>
      <c r="B6359" t="s">
        <v>4904</v>
      </c>
      <c r="C6359" t="s">
        <v>4911</v>
      </c>
      <c r="D6359" t="s">
        <v>4912</v>
      </c>
      <c r="E6359" t="s">
        <v>4907</v>
      </c>
      <c r="F6359" t="s">
        <v>4913</v>
      </c>
      <c r="G6359">
        <v>7</v>
      </c>
    </row>
    <row r="6360" spans="1:11" x14ac:dyDescent="0.2">
      <c r="A6360" t="s">
        <v>2318</v>
      </c>
      <c r="B6360" t="s">
        <v>4399</v>
      </c>
      <c r="C6360" t="s">
        <v>4399</v>
      </c>
      <c r="D6360" t="s">
        <v>4399</v>
      </c>
      <c r="E6360" t="s">
        <v>4399</v>
      </c>
      <c r="F6360" t="s">
        <v>4399</v>
      </c>
      <c r="G6360" t="s">
        <v>4399</v>
      </c>
      <c r="H6360" t="s">
        <v>4399</v>
      </c>
      <c r="I6360" t="s">
        <v>4399</v>
      </c>
      <c r="J6360" t="s">
        <v>4399</v>
      </c>
      <c r="K6360" t="s">
        <v>4399</v>
      </c>
    </row>
    <row r="6361" spans="1:11" x14ac:dyDescent="0.2">
      <c r="A6361" t="s">
        <v>126</v>
      </c>
      <c r="B6361" t="s">
        <v>4616</v>
      </c>
      <c r="C6361" t="s">
        <v>4620</v>
      </c>
      <c r="D6361" t="s">
        <v>4624</v>
      </c>
      <c r="E6361" t="s">
        <v>4628</v>
      </c>
      <c r="F6361" t="s">
        <v>4632</v>
      </c>
      <c r="G6361" t="s">
        <v>4636</v>
      </c>
      <c r="H6361" t="s">
        <v>405</v>
      </c>
      <c r="I6361" t="s">
        <v>406</v>
      </c>
      <c r="J6361" t="s">
        <v>4646</v>
      </c>
      <c r="K6361" t="s">
        <v>4650</v>
      </c>
    </row>
    <row r="6362" spans="1:11" x14ac:dyDescent="0.2">
      <c r="A6362" t="s">
        <v>2318</v>
      </c>
      <c r="B6362" t="s">
        <v>4399</v>
      </c>
      <c r="C6362" t="s">
        <v>4399</v>
      </c>
      <c r="D6362" t="s">
        <v>4399</v>
      </c>
      <c r="E6362" t="s">
        <v>4399</v>
      </c>
      <c r="F6362" t="s">
        <v>4399</v>
      </c>
      <c r="G6362" t="s">
        <v>4399</v>
      </c>
      <c r="H6362" t="s">
        <v>4399</v>
      </c>
      <c r="I6362" t="s">
        <v>4399</v>
      </c>
      <c r="J6362" t="s">
        <v>4399</v>
      </c>
      <c r="K6362" t="s">
        <v>4399</v>
      </c>
    </row>
    <row r="6363" spans="1:11" x14ac:dyDescent="0.2">
      <c r="A6363" t="s">
        <v>4265</v>
      </c>
      <c r="B6363" t="s">
        <v>4909</v>
      </c>
      <c r="C6363" t="s">
        <v>4909</v>
      </c>
      <c r="D6363" t="s">
        <v>4909</v>
      </c>
      <c r="E6363" t="s">
        <v>4909</v>
      </c>
      <c r="F6363" t="s">
        <v>4909</v>
      </c>
      <c r="G6363" t="s">
        <v>4909</v>
      </c>
      <c r="H6363" t="s">
        <v>4909</v>
      </c>
      <c r="I6363" t="s">
        <v>4909</v>
      </c>
      <c r="J6363" t="s">
        <v>4909</v>
      </c>
      <c r="K6363" t="s">
        <v>4909</v>
      </c>
    </row>
    <row r="6364" spans="1:11" x14ac:dyDescent="0.2">
      <c r="A6364" t="s">
        <v>4266</v>
      </c>
      <c r="B6364" t="s">
        <v>4909</v>
      </c>
      <c r="C6364" t="s">
        <v>4909</v>
      </c>
      <c r="D6364" t="s">
        <v>4909</v>
      </c>
      <c r="E6364" t="s">
        <v>4909</v>
      </c>
      <c r="F6364" t="s">
        <v>4909</v>
      </c>
      <c r="G6364" t="s">
        <v>4909</v>
      </c>
      <c r="H6364" t="s">
        <v>4909</v>
      </c>
      <c r="I6364" t="s">
        <v>4909</v>
      </c>
      <c r="J6364" t="s">
        <v>4909</v>
      </c>
      <c r="K6364" t="s">
        <v>4909</v>
      </c>
    </row>
    <row r="6365" spans="1:11" x14ac:dyDescent="0.2">
      <c r="A6365" t="s">
        <v>4267</v>
      </c>
      <c r="B6365" t="s">
        <v>4909</v>
      </c>
      <c r="C6365" t="s">
        <v>4909</v>
      </c>
      <c r="D6365" t="s">
        <v>4909</v>
      </c>
      <c r="E6365" t="s">
        <v>4909</v>
      </c>
      <c r="F6365" t="s">
        <v>4909</v>
      </c>
      <c r="G6365" t="s">
        <v>4909</v>
      </c>
      <c r="H6365" t="s">
        <v>4909</v>
      </c>
      <c r="I6365" t="s">
        <v>4909</v>
      </c>
      <c r="J6365" t="s">
        <v>4909</v>
      </c>
      <c r="K6365" t="s">
        <v>4909</v>
      </c>
    </row>
    <row r="6366" spans="1:11" x14ac:dyDescent="0.2">
      <c r="A6366" t="s">
        <v>4268</v>
      </c>
      <c r="B6366" t="s">
        <v>4909</v>
      </c>
      <c r="C6366" t="s">
        <v>4909</v>
      </c>
      <c r="D6366" t="s">
        <v>4909</v>
      </c>
      <c r="E6366" t="s">
        <v>4909</v>
      </c>
      <c r="F6366" t="s">
        <v>4909</v>
      </c>
      <c r="G6366" t="s">
        <v>4909</v>
      </c>
      <c r="H6366" t="s">
        <v>4909</v>
      </c>
      <c r="I6366" t="s">
        <v>4909</v>
      </c>
      <c r="J6366" t="s">
        <v>4909</v>
      </c>
      <c r="K6366" t="s">
        <v>4909</v>
      </c>
    </row>
    <row r="6367" spans="1:11" x14ac:dyDescent="0.2">
      <c r="A6367" t="s">
        <v>4269</v>
      </c>
      <c r="B6367" t="s">
        <v>4909</v>
      </c>
      <c r="C6367" t="s">
        <v>4909</v>
      </c>
      <c r="D6367" t="s">
        <v>4909</v>
      </c>
      <c r="E6367" t="s">
        <v>4909</v>
      </c>
      <c r="F6367" t="s">
        <v>4909</v>
      </c>
      <c r="G6367" t="s">
        <v>4909</v>
      </c>
      <c r="H6367" t="s">
        <v>4909</v>
      </c>
      <c r="I6367" t="s">
        <v>4909</v>
      </c>
      <c r="J6367" t="s">
        <v>4909</v>
      </c>
      <c r="K6367" t="s">
        <v>4909</v>
      </c>
    </row>
    <row r="6368" spans="1:11" x14ac:dyDescent="0.2">
      <c r="A6368" t="s">
        <v>4270</v>
      </c>
      <c r="B6368" t="s">
        <v>4909</v>
      </c>
      <c r="C6368" t="s">
        <v>4909</v>
      </c>
      <c r="D6368" t="s">
        <v>4909</v>
      </c>
      <c r="E6368" t="s">
        <v>4909</v>
      </c>
      <c r="F6368" t="s">
        <v>4909</v>
      </c>
      <c r="G6368" t="s">
        <v>4909</v>
      </c>
      <c r="H6368" t="s">
        <v>4909</v>
      </c>
      <c r="I6368" t="s">
        <v>4909</v>
      </c>
      <c r="J6368" t="s">
        <v>4909</v>
      </c>
      <c r="K6368" t="s">
        <v>4909</v>
      </c>
    </row>
    <row r="6369" spans="1:11" x14ac:dyDescent="0.2">
      <c r="A6369" t="s">
        <v>4271</v>
      </c>
      <c r="B6369" t="s">
        <v>4909</v>
      </c>
      <c r="C6369" t="s">
        <v>4909</v>
      </c>
      <c r="D6369" t="s">
        <v>4909</v>
      </c>
      <c r="E6369" t="s">
        <v>4909</v>
      </c>
      <c r="F6369" t="s">
        <v>4909</v>
      </c>
      <c r="G6369" t="s">
        <v>4909</v>
      </c>
      <c r="H6369" t="s">
        <v>4909</v>
      </c>
      <c r="I6369" t="s">
        <v>4909</v>
      </c>
      <c r="J6369" t="s">
        <v>4909</v>
      </c>
      <c r="K6369" t="s">
        <v>4909</v>
      </c>
    </row>
    <row r="6370" spans="1:11" x14ac:dyDescent="0.2">
      <c r="A6370" t="s">
        <v>4272</v>
      </c>
      <c r="B6370" t="s">
        <v>4909</v>
      </c>
      <c r="C6370" t="s">
        <v>4909</v>
      </c>
      <c r="D6370" t="s">
        <v>4909</v>
      </c>
      <c r="E6370" t="s">
        <v>4909</v>
      </c>
      <c r="F6370" t="s">
        <v>4909</v>
      </c>
      <c r="G6370" t="s">
        <v>4909</v>
      </c>
      <c r="H6370" t="s">
        <v>4909</v>
      </c>
      <c r="I6370" t="s">
        <v>4909</v>
      </c>
      <c r="J6370" t="s">
        <v>4909</v>
      </c>
      <c r="K6370" t="s">
        <v>4909</v>
      </c>
    </row>
    <row r="6371" spans="1:11" x14ac:dyDescent="0.2">
      <c r="A6371" t="s">
        <v>4273</v>
      </c>
      <c r="B6371" t="s">
        <v>4909</v>
      </c>
      <c r="C6371" t="s">
        <v>4909</v>
      </c>
      <c r="D6371" t="s">
        <v>4909</v>
      </c>
      <c r="E6371" t="s">
        <v>4909</v>
      </c>
      <c r="F6371" t="s">
        <v>4909</v>
      </c>
      <c r="G6371" t="s">
        <v>4909</v>
      </c>
      <c r="H6371" t="s">
        <v>4909</v>
      </c>
      <c r="I6371" t="s">
        <v>4909</v>
      </c>
      <c r="J6371" t="s">
        <v>4909</v>
      </c>
      <c r="K6371" t="s">
        <v>4909</v>
      </c>
    </row>
    <row r="6372" spans="1:11" x14ac:dyDescent="0.2">
      <c r="A6372" t="s">
        <v>4274</v>
      </c>
      <c r="B6372" t="s">
        <v>4909</v>
      </c>
      <c r="C6372" t="s">
        <v>4909</v>
      </c>
      <c r="D6372" t="s">
        <v>4909</v>
      </c>
      <c r="E6372" t="s">
        <v>4909</v>
      </c>
      <c r="F6372" t="s">
        <v>4909</v>
      </c>
      <c r="G6372" t="s">
        <v>4909</v>
      </c>
      <c r="H6372" t="s">
        <v>4909</v>
      </c>
      <c r="I6372" t="s">
        <v>4909</v>
      </c>
      <c r="J6372" t="s">
        <v>4909</v>
      </c>
      <c r="K6372" t="s">
        <v>4909</v>
      </c>
    </row>
    <row r="6373" spans="1:11" x14ac:dyDescent="0.2">
      <c r="A6373" t="s">
        <v>4275</v>
      </c>
      <c r="B6373" t="s">
        <v>4909</v>
      </c>
      <c r="C6373" t="s">
        <v>4909</v>
      </c>
      <c r="D6373" t="s">
        <v>4909</v>
      </c>
      <c r="E6373" t="s">
        <v>4909</v>
      </c>
      <c r="F6373" t="s">
        <v>4909</v>
      </c>
      <c r="G6373" t="s">
        <v>4909</v>
      </c>
      <c r="H6373" t="s">
        <v>4909</v>
      </c>
      <c r="I6373" t="s">
        <v>4909</v>
      </c>
      <c r="J6373" t="s">
        <v>4909</v>
      </c>
      <c r="K6373" t="s">
        <v>4909</v>
      </c>
    </row>
    <row r="6374" spans="1:11" x14ac:dyDescent="0.2">
      <c r="A6374" t="s">
        <v>4276</v>
      </c>
      <c r="B6374" t="s">
        <v>4909</v>
      </c>
      <c r="C6374" t="s">
        <v>4909</v>
      </c>
      <c r="D6374" t="s">
        <v>4909</v>
      </c>
      <c r="E6374" t="s">
        <v>4909</v>
      </c>
      <c r="F6374" t="s">
        <v>4909</v>
      </c>
      <c r="G6374" t="s">
        <v>4909</v>
      </c>
      <c r="H6374" t="s">
        <v>4909</v>
      </c>
      <c r="I6374" t="s">
        <v>4909</v>
      </c>
      <c r="J6374" t="s">
        <v>4909</v>
      </c>
      <c r="K6374" t="s">
        <v>4909</v>
      </c>
    </row>
    <row r="6375" spans="1:11" x14ac:dyDescent="0.2">
      <c r="A6375" t="s">
        <v>4277</v>
      </c>
      <c r="B6375" t="s">
        <v>4909</v>
      </c>
      <c r="C6375" t="s">
        <v>4909</v>
      </c>
      <c r="D6375" t="s">
        <v>4909</v>
      </c>
      <c r="E6375" t="s">
        <v>4909</v>
      </c>
      <c r="F6375" t="s">
        <v>4909</v>
      </c>
      <c r="G6375" t="s">
        <v>4909</v>
      </c>
      <c r="H6375" t="s">
        <v>4909</v>
      </c>
      <c r="I6375" t="s">
        <v>4909</v>
      </c>
      <c r="J6375" t="s">
        <v>4909</v>
      </c>
      <c r="K6375" t="s">
        <v>4909</v>
      </c>
    </row>
    <row r="6376" spans="1:11" x14ac:dyDescent="0.2">
      <c r="A6376" t="s">
        <v>4278</v>
      </c>
      <c r="B6376" t="s">
        <v>4909</v>
      </c>
      <c r="C6376" t="s">
        <v>4909</v>
      </c>
      <c r="D6376" t="s">
        <v>4909</v>
      </c>
      <c r="E6376" t="s">
        <v>4909</v>
      </c>
      <c r="F6376" t="s">
        <v>4909</v>
      </c>
      <c r="G6376" t="s">
        <v>4909</v>
      </c>
      <c r="H6376" t="s">
        <v>4909</v>
      </c>
      <c r="I6376" t="s">
        <v>4909</v>
      </c>
      <c r="J6376" t="s">
        <v>4909</v>
      </c>
      <c r="K6376" t="s">
        <v>4909</v>
      </c>
    </row>
    <row r="6377" spans="1:11" x14ac:dyDescent="0.2">
      <c r="A6377" t="s">
        <v>4279</v>
      </c>
      <c r="B6377" t="s">
        <v>4909</v>
      </c>
      <c r="C6377" t="s">
        <v>4909</v>
      </c>
      <c r="D6377" t="s">
        <v>4909</v>
      </c>
      <c r="E6377" t="s">
        <v>4909</v>
      </c>
      <c r="F6377" t="s">
        <v>4909</v>
      </c>
      <c r="G6377" t="s">
        <v>4909</v>
      </c>
      <c r="H6377" t="s">
        <v>4909</v>
      </c>
      <c r="I6377" t="s">
        <v>4909</v>
      </c>
      <c r="J6377" t="s">
        <v>4909</v>
      </c>
      <c r="K6377" t="s">
        <v>4909</v>
      </c>
    </row>
    <row r="6378" spans="1:11" x14ac:dyDescent="0.2">
      <c r="A6378" t="s">
        <v>4280</v>
      </c>
      <c r="B6378" t="s">
        <v>4909</v>
      </c>
      <c r="C6378" t="s">
        <v>4909</v>
      </c>
      <c r="D6378" t="s">
        <v>4909</v>
      </c>
      <c r="E6378" t="s">
        <v>4909</v>
      </c>
      <c r="F6378" t="s">
        <v>4909</v>
      </c>
      <c r="G6378" t="s">
        <v>4909</v>
      </c>
      <c r="H6378" t="s">
        <v>4909</v>
      </c>
      <c r="I6378" t="s">
        <v>4909</v>
      </c>
      <c r="J6378" t="s">
        <v>4909</v>
      </c>
      <c r="K6378" t="s">
        <v>4909</v>
      </c>
    </row>
    <row r="6379" spans="1:11" x14ac:dyDescent="0.2">
      <c r="A6379" t="s">
        <v>4281</v>
      </c>
      <c r="B6379" t="s">
        <v>4909</v>
      </c>
      <c r="C6379" t="s">
        <v>4909</v>
      </c>
      <c r="D6379" t="s">
        <v>4909</v>
      </c>
      <c r="E6379" t="s">
        <v>4909</v>
      </c>
      <c r="F6379" t="s">
        <v>4909</v>
      </c>
      <c r="G6379" s="88">
        <v>2E-3</v>
      </c>
      <c r="H6379" t="s">
        <v>4909</v>
      </c>
      <c r="I6379" t="s">
        <v>4909</v>
      </c>
      <c r="J6379" s="88">
        <v>0</v>
      </c>
      <c r="K6379" t="s">
        <v>4909</v>
      </c>
    </row>
    <row r="6380" spans="1:11" x14ac:dyDescent="0.2">
      <c r="A6380" t="s">
        <v>4282</v>
      </c>
      <c r="B6380" s="88">
        <v>0</v>
      </c>
      <c r="C6380" t="s">
        <v>4909</v>
      </c>
      <c r="D6380" t="s">
        <v>4909</v>
      </c>
      <c r="E6380" t="s">
        <v>4909</v>
      </c>
      <c r="F6380" t="s">
        <v>4909</v>
      </c>
      <c r="G6380" s="88">
        <v>3.0000000000000001E-3</v>
      </c>
      <c r="H6380" t="s">
        <v>4909</v>
      </c>
      <c r="I6380" t="s">
        <v>4909</v>
      </c>
      <c r="J6380" s="88">
        <v>2E-3</v>
      </c>
      <c r="K6380" t="s">
        <v>4909</v>
      </c>
    </row>
    <row r="6381" spans="1:11" x14ac:dyDescent="0.2">
      <c r="A6381" t="s">
        <v>4283</v>
      </c>
      <c r="B6381" t="s">
        <v>4909</v>
      </c>
      <c r="C6381" t="s">
        <v>4909</v>
      </c>
      <c r="D6381" t="s">
        <v>4909</v>
      </c>
      <c r="E6381" t="s">
        <v>4909</v>
      </c>
      <c r="F6381" t="s">
        <v>4909</v>
      </c>
      <c r="G6381" s="88">
        <v>1E-3</v>
      </c>
      <c r="H6381" t="s">
        <v>4909</v>
      </c>
      <c r="I6381" t="s">
        <v>4909</v>
      </c>
      <c r="J6381" s="88">
        <v>0</v>
      </c>
      <c r="K6381" t="s">
        <v>4909</v>
      </c>
    </row>
    <row r="6382" spans="1:11" x14ac:dyDescent="0.2">
      <c r="A6382" t="s">
        <v>4284</v>
      </c>
      <c r="B6382" t="s">
        <v>4909</v>
      </c>
      <c r="C6382" t="s">
        <v>4909</v>
      </c>
      <c r="D6382" t="s">
        <v>4909</v>
      </c>
      <c r="E6382" t="s">
        <v>4909</v>
      </c>
      <c r="F6382" t="s">
        <v>4909</v>
      </c>
      <c r="G6382" s="88">
        <v>0</v>
      </c>
      <c r="H6382" t="s">
        <v>4909</v>
      </c>
      <c r="I6382" t="s">
        <v>4909</v>
      </c>
      <c r="J6382" s="88">
        <v>0</v>
      </c>
      <c r="K6382" t="s">
        <v>4909</v>
      </c>
    </row>
    <row r="6383" spans="1:11" x14ac:dyDescent="0.2">
      <c r="A6383" t="s">
        <v>4285</v>
      </c>
      <c r="B6383" t="s">
        <v>4909</v>
      </c>
      <c r="C6383" t="s">
        <v>4909</v>
      </c>
      <c r="D6383" t="s">
        <v>4909</v>
      </c>
      <c r="E6383" t="s">
        <v>4909</v>
      </c>
      <c r="F6383" t="s">
        <v>4909</v>
      </c>
      <c r="G6383" s="88">
        <v>3.0000000000000001E-3</v>
      </c>
      <c r="H6383" t="s">
        <v>4909</v>
      </c>
      <c r="I6383" t="s">
        <v>4909</v>
      </c>
      <c r="J6383" s="88">
        <v>0</v>
      </c>
      <c r="K6383" t="s">
        <v>4909</v>
      </c>
    </row>
    <row r="6384" spans="1:11" x14ac:dyDescent="0.2">
      <c r="A6384" t="s">
        <v>4286</v>
      </c>
      <c r="B6384" s="88">
        <v>0</v>
      </c>
      <c r="C6384" t="s">
        <v>4909</v>
      </c>
      <c r="D6384" t="s">
        <v>4909</v>
      </c>
      <c r="E6384" t="s">
        <v>4909</v>
      </c>
      <c r="F6384" t="s">
        <v>4909</v>
      </c>
      <c r="G6384" s="88">
        <v>6.0000000000000001E-3</v>
      </c>
      <c r="H6384" t="s">
        <v>4909</v>
      </c>
      <c r="I6384" t="s">
        <v>4909</v>
      </c>
      <c r="J6384" s="88">
        <v>4.0000000000000001E-3</v>
      </c>
      <c r="K6384" t="s">
        <v>4909</v>
      </c>
    </row>
    <row r="6385" spans="1:11" x14ac:dyDescent="0.2">
      <c r="A6385" t="s">
        <v>4287</v>
      </c>
      <c r="B6385" t="s">
        <v>4909</v>
      </c>
      <c r="C6385" t="s">
        <v>4909</v>
      </c>
      <c r="D6385" t="s">
        <v>4909</v>
      </c>
      <c r="E6385" t="s">
        <v>4909</v>
      </c>
      <c r="F6385" t="s">
        <v>4909</v>
      </c>
      <c r="G6385" s="88">
        <v>0</v>
      </c>
      <c r="H6385" t="s">
        <v>4909</v>
      </c>
      <c r="I6385" t="s">
        <v>4909</v>
      </c>
      <c r="J6385" t="s">
        <v>4909</v>
      </c>
      <c r="K6385" t="s">
        <v>4909</v>
      </c>
    </row>
    <row r="6386" spans="1:11" x14ac:dyDescent="0.2">
      <c r="A6386" t="s">
        <v>4288</v>
      </c>
      <c r="B6386" t="s">
        <v>4909</v>
      </c>
      <c r="C6386" t="s">
        <v>4909</v>
      </c>
      <c r="D6386" t="s">
        <v>4909</v>
      </c>
      <c r="E6386" t="s">
        <v>4909</v>
      </c>
      <c r="F6386" t="s">
        <v>4909</v>
      </c>
      <c r="G6386" t="s">
        <v>4909</v>
      </c>
      <c r="H6386" t="s">
        <v>4909</v>
      </c>
      <c r="I6386" t="s">
        <v>4909</v>
      </c>
      <c r="J6386" t="s">
        <v>4909</v>
      </c>
      <c r="K6386" t="s">
        <v>4909</v>
      </c>
    </row>
    <row r="6387" spans="1:11" x14ac:dyDescent="0.2">
      <c r="A6387" t="s">
        <v>4289</v>
      </c>
      <c r="B6387" t="s">
        <v>4909</v>
      </c>
      <c r="C6387" t="s">
        <v>4909</v>
      </c>
      <c r="D6387" t="s">
        <v>4909</v>
      </c>
      <c r="E6387" t="s">
        <v>4909</v>
      </c>
      <c r="F6387" t="s">
        <v>4909</v>
      </c>
      <c r="G6387" t="s">
        <v>4909</v>
      </c>
      <c r="H6387" t="s">
        <v>4909</v>
      </c>
      <c r="I6387" t="s">
        <v>4909</v>
      </c>
      <c r="J6387" t="s">
        <v>4909</v>
      </c>
      <c r="K6387" t="s">
        <v>4909</v>
      </c>
    </row>
    <row r="6388" spans="1:11" x14ac:dyDescent="0.2">
      <c r="A6388" t="s">
        <v>4290</v>
      </c>
      <c r="B6388" t="s">
        <v>4909</v>
      </c>
      <c r="C6388" t="s">
        <v>4909</v>
      </c>
      <c r="D6388" t="s">
        <v>4909</v>
      </c>
      <c r="E6388" t="s">
        <v>4909</v>
      </c>
      <c r="F6388" t="s">
        <v>4909</v>
      </c>
      <c r="G6388" t="s">
        <v>4909</v>
      </c>
      <c r="H6388" t="s">
        <v>4909</v>
      </c>
      <c r="I6388" t="s">
        <v>4909</v>
      </c>
      <c r="J6388" t="s">
        <v>4909</v>
      </c>
      <c r="K6388" t="s">
        <v>4909</v>
      </c>
    </row>
    <row r="6389" spans="1:11" x14ac:dyDescent="0.2">
      <c r="A6389" t="s">
        <v>4291</v>
      </c>
      <c r="B6389" t="s">
        <v>4909</v>
      </c>
      <c r="C6389" t="s">
        <v>4909</v>
      </c>
      <c r="D6389" t="s">
        <v>4909</v>
      </c>
      <c r="E6389" t="s">
        <v>4909</v>
      </c>
      <c r="F6389" t="s">
        <v>4909</v>
      </c>
      <c r="G6389" t="s">
        <v>4909</v>
      </c>
      <c r="H6389" t="s">
        <v>4909</v>
      </c>
      <c r="I6389" t="s">
        <v>4909</v>
      </c>
      <c r="J6389" t="s">
        <v>4909</v>
      </c>
      <c r="K6389" t="s">
        <v>4909</v>
      </c>
    </row>
    <row r="6390" spans="1:11" x14ac:dyDescent="0.2">
      <c r="A6390" t="s">
        <v>4292</v>
      </c>
      <c r="B6390" t="s">
        <v>4909</v>
      </c>
      <c r="C6390" t="s">
        <v>4909</v>
      </c>
      <c r="D6390" t="s">
        <v>4909</v>
      </c>
      <c r="E6390" t="s">
        <v>4909</v>
      </c>
      <c r="F6390" t="s">
        <v>4909</v>
      </c>
      <c r="G6390" t="s">
        <v>4909</v>
      </c>
      <c r="H6390" t="s">
        <v>4909</v>
      </c>
      <c r="I6390" t="s">
        <v>4909</v>
      </c>
      <c r="J6390" t="s">
        <v>4909</v>
      </c>
      <c r="K6390" t="s">
        <v>4909</v>
      </c>
    </row>
    <row r="6391" spans="1:11" x14ac:dyDescent="0.2">
      <c r="A6391" t="s">
        <v>4293</v>
      </c>
      <c r="B6391" t="s">
        <v>4909</v>
      </c>
      <c r="C6391" t="s">
        <v>4909</v>
      </c>
      <c r="D6391" t="s">
        <v>4909</v>
      </c>
      <c r="E6391" t="s">
        <v>4909</v>
      </c>
      <c r="F6391" t="s">
        <v>4909</v>
      </c>
      <c r="G6391" t="s">
        <v>4909</v>
      </c>
      <c r="H6391" t="s">
        <v>4909</v>
      </c>
      <c r="I6391" t="s">
        <v>4909</v>
      </c>
      <c r="J6391" t="s">
        <v>4909</v>
      </c>
      <c r="K6391" t="s">
        <v>4909</v>
      </c>
    </row>
    <row r="6392" spans="1:11" x14ac:dyDescent="0.2">
      <c r="A6392" t="s">
        <v>4294</v>
      </c>
      <c r="B6392" t="s">
        <v>4909</v>
      </c>
      <c r="C6392" t="s">
        <v>4909</v>
      </c>
      <c r="D6392" t="s">
        <v>4909</v>
      </c>
      <c r="E6392" t="s">
        <v>4909</v>
      </c>
      <c r="F6392" t="s">
        <v>4909</v>
      </c>
      <c r="G6392" t="s">
        <v>4909</v>
      </c>
      <c r="H6392" t="s">
        <v>4909</v>
      </c>
      <c r="I6392" t="s">
        <v>4909</v>
      </c>
      <c r="J6392" t="s">
        <v>4909</v>
      </c>
      <c r="K6392" t="s">
        <v>4909</v>
      </c>
    </row>
    <row r="6393" spans="1:11" x14ac:dyDescent="0.2">
      <c r="A6393" t="s">
        <v>4295</v>
      </c>
      <c r="B6393" t="s">
        <v>4909</v>
      </c>
      <c r="C6393" t="s">
        <v>4909</v>
      </c>
      <c r="D6393" t="s">
        <v>4909</v>
      </c>
      <c r="E6393" t="s">
        <v>4909</v>
      </c>
      <c r="F6393" t="s">
        <v>4909</v>
      </c>
      <c r="G6393" t="s">
        <v>4909</v>
      </c>
      <c r="H6393" t="s">
        <v>4909</v>
      </c>
      <c r="I6393" t="s">
        <v>4909</v>
      </c>
      <c r="J6393" t="s">
        <v>4909</v>
      </c>
      <c r="K6393" t="s">
        <v>4909</v>
      </c>
    </row>
    <row r="6394" spans="1:11" x14ac:dyDescent="0.2">
      <c r="A6394" t="s">
        <v>4296</v>
      </c>
      <c r="B6394" t="s">
        <v>4909</v>
      </c>
      <c r="C6394" t="s">
        <v>4909</v>
      </c>
      <c r="D6394" t="s">
        <v>4909</v>
      </c>
      <c r="E6394" t="s">
        <v>4909</v>
      </c>
      <c r="F6394" t="s">
        <v>4909</v>
      </c>
      <c r="G6394" t="s">
        <v>4909</v>
      </c>
      <c r="H6394" t="s">
        <v>4909</v>
      </c>
      <c r="I6394" t="s">
        <v>4909</v>
      </c>
      <c r="J6394" t="s">
        <v>4909</v>
      </c>
      <c r="K6394" t="s">
        <v>4909</v>
      </c>
    </row>
    <row r="6395" spans="1:11" x14ac:dyDescent="0.2">
      <c r="A6395" t="s">
        <v>4297</v>
      </c>
      <c r="B6395" s="88">
        <v>0</v>
      </c>
      <c r="C6395" t="s">
        <v>4909</v>
      </c>
      <c r="D6395" t="s">
        <v>4909</v>
      </c>
      <c r="E6395" t="s">
        <v>4909</v>
      </c>
      <c r="F6395" t="s">
        <v>4909</v>
      </c>
      <c r="G6395" s="88">
        <v>2E-3</v>
      </c>
      <c r="H6395" t="s">
        <v>4909</v>
      </c>
      <c r="I6395" s="88">
        <v>0</v>
      </c>
      <c r="J6395" s="88">
        <v>0</v>
      </c>
      <c r="K6395" t="s">
        <v>4909</v>
      </c>
    </row>
    <row r="6396" spans="1:11" x14ac:dyDescent="0.2">
      <c r="A6396" t="s">
        <v>4298</v>
      </c>
      <c r="B6396" s="88">
        <v>0</v>
      </c>
      <c r="C6396" t="s">
        <v>4909</v>
      </c>
      <c r="D6396" t="s">
        <v>4909</v>
      </c>
      <c r="E6396" t="s">
        <v>4909</v>
      </c>
      <c r="F6396" t="s">
        <v>4909</v>
      </c>
      <c r="G6396" s="88">
        <v>8.0000000000000002E-3</v>
      </c>
      <c r="H6396" t="s">
        <v>4909</v>
      </c>
      <c r="I6396" s="88">
        <v>0</v>
      </c>
      <c r="J6396" s="88">
        <v>2E-3</v>
      </c>
      <c r="K6396" t="s">
        <v>4909</v>
      </c>
    </row>
    <row r="6397" spans="1:11" x14ac:dyDescent="0.2">
      <c r="A6397" t="s">
        <v>4299</v>
      </c>
      <c r="B6397" s="88">
        <v>1E-3</v>
      </c>
      <c r="C6397" t="s">
        <v>4909</v>
      </c>
      <c r="D6397" t="s">
        <v>4909</v>
      </c>
      <c r="E6397" t="s">
        <v>4909</v>
      </c>
      <c r="F6397" t="s">
        <v>4909</v>
      </c>
      <c r="G6397" s="88">
        <v>1.7000000000000001E-2</v>
      </c>
      <c r="H6397" t="s">
        <v>4909</v>
      </c>
      <c r="I6397" s="88">
        <v>0</v>
      </c>
      <c r="J6397" s="88">
        <v>5.0000000000000001E-3</v>
      </c>
      <c r="K6397" t="s">
        <v>4909</v>
      </c>
    </row>
    <row r="6398" spans="1:11" x14ac:dyDescent="0.2">
      <c r="A6398" t="s">
        <v>4300</v>
      </c>
      <c r="B6398" s="88">
        <v>1E-3</v>
      </c>
      <c r="C6398" t="s">
        <v>4909</v>
      </c>
      <c r="D6398" t="s">
        <v>4909</v>
      </c>
      <c r="E6398" t="s">
        <v>4909</v>
      </c>
      <c r="F6398" t="s">
        <v>4909</v>
      </c>
      <c r="G6398" s="88">
        <v>8.9999999999999993E-3</v>
      </c>
      <c r="H6398" t="s">
        <v>4909</v>
      </c>
      <c r="I6398" t="s">
        <v>4909</v>
      </c>
      <c r="J6398" s="88">
        <v>7.0000000000000001E-3</v>
      </c>
      <c r="K6398" t="s">
        <v>4909</v>
      </c>
    </row>
    <row r="6399" spans="1:11" x14ac:dyDescent="0.2">
      <c r="A6399" t="s">
        <v>4301</v>
      </c>
      <c r="B6399" s="88">
        <v>0</v>
      </c>
      <c r="C6399" t="s">
        <v>4909</v>
      </c>
      <c r="D6399" s="88">
        <v>0</v>
      </c>
      <c r="E6399" t="s">
        <v>4909</v>
      </c>
      <c r="F6399" s="88">
        <v>0</v>
      </c>
      <c r="G6399" s="88">
        <v>0.01</v>
      </c>
      <c r="H6399" t="s">
        <v>4909</v>
      </c>
      <c r="I6399" s="88">
        <v>0</v>
      </c>
      <c r="J6399" s="88">
        <v>1E-3</v>
      </c>
      <c r="K6399" t="s">
        <v>4909</v>
      </c>
    </row>
    <row r="6400" spans="1:11" x14ac:dyDescent="0.2">
      <c r="A6400" t="s">
        <v>4302</v>
      </c>
      <c r="B6400" s="88">
        <v>2E-3</v>
      </c>
      <c r="C6400" t="s">
        <v>4909</v>
      </c>
      <c r="D6400" t="s">
        <v>4909</v>
      </c>
      <c r="E6400" t="s">
        <v>4909</v>
      </c>
      <c r="F6400" t="s">
        <v>4909</v>
      </c>
      <c r="G6400" s="88">
        <v>3.9E-2</v>
      </c>
      <c r="H6400" t="s">
        <v>4909</v>
      </c>
      <c r="I6400" s="88">
        <v>1E-3</v>
      </c>
      <c r="J6400" s="88">
        <v>1.0999999999999999E-2</v>
      </c>
      <c r="K6400" t="s">
        <v>4909</v>
      </c>
    </row>
    <row r="6401" spans="1:11" x14ac:dyDescent="0.2">
      <c r="A6401" t="s">
        <v>4303</v>
      </c>
      <c r="B6401" s="88">
        <v>3.0000000000000001E-3</v>
      </c>
      <c r="C6401" t="s">
        <v>4909</v>
      </c>
      <c r="D6401" t="s">
        <v>4909</v>
      </c>
      <c r="E6401" t="s">
        <v>4909</v>
      </c>
      <c r="F6401" t="s">
        <v>4909</v>
      </c>
      <c r="G6401" s="88">
        <v>2.5000000000000001E-2</v>
      </c>
      <c r="H6401" t="s">
        <v>4909</v>
      </c>
      <c r="I6401" t="s">
        <v>4909</v>
      </c>
      <c r="J6401" s="88">
        <v>0.02</v>
      </c>
      <c r="K6401" t="s">
        <v>4909</v>
      </c>
    </row>
    <row r="6402" spans="1:11" x14ac:dyDescent="0.2">
      <c r="A6402" t="s">
        <v>4304</v>
      </c>
      <c r="B6402" s="88">
        <v>0</v>
      </c>
      <c r="C6402" t="s">
        <v>4909</v>
      </c>
      <c r="D6402" t="s">
        <v>4909</v>
      </c>
      <c r="E6402" t="s">
        <v>4909</v>
      </c>
      <c r="F6402" t="s">
        <v>4909</v>
      </c>
      <c r="G6402" s="88">
        <v>2.8000000000000001E-2</v>
      </c>
      <c r="H6402" t="s">
        <v>4909</v>
      </c>
      <c r="I6402" s="88">
        <v>0</v>
      </c>
      <c r="J6402" s="88">
        <v>4.0000000000000001E-3</v>
      </c>
      <c r="K6402" t="s">
        <v>4909</v>
      </c>
    </row>
    <row r="6403" spans="1:11" x14ac:dyDescent="0.2">
      <c r="A6403" t="s">
        <v>4305</v>
      </c>
      <c r="B6403" s="88">
        <v>2E-3</v>
      </c>
      <c r="C6403" t="s">
        <v>4909</v>
      </c>
      <c r="D6403" s="88">
        <v>0</v>
      </c>
      <c r="E6403" t="s">
        <v>4909</v>
      </c>
      <c r="F6403" s="88">
        <v>0</v>
      </c>
      <c r="G6403" s="88">
        <v>6.4000000000000001E-2</v>
      </c>
      <c r="H6403" t="s">
        <v>4909</v>
      </c>
      <c r="I6403" s="88">
        <v>1E-3</v>
      </c>
      <c r="J6403" s="88">
        <v>0.01</v>
      </c>
      <c r="K6403" t="s">
        <v>4909</v>
      </c>
    </row>
    <row r="6404" spans="1:11" x14ac:dyDescent="0.2">
      <c r="A6404" t="s">
        <v>4306</v>
      </c>
      <c r="B6404" s="88">
        <v>2E-3</v>
      </c>
      <c r="C6404" t="s">
        <v>4909</v>
      </c>
      <c r="D6404" t="s">
        <v>4909</v>
      </c>
      <c r="E6404" t="s">
        <v>4909</v>
      </c>
      <c r="F6404" t="s">
        <v>4909</v>
      </c>
      <c r="G6404" s="88">
        <v>0.05</v>
      </c>
      <c r="H6404" t="s">
        <v>4909</v>
      </c>
      <c r="I6404" s="88">
        <v>1E-3</v>
      </c>
      <c r="J6404" s="88">
        <v>1.2E-2</v>
      </c>
      <c r="K6404" t="s">
        <v>4909</v>
      </c>
    </row>
    <row r="6405" spans="1:11" x14ac:dyDescent="0.2">
      <c r="A6405" t="s">
        <v>4307</v>
      </c>
      <c r="B6405" s="88">
        <v>4.0000000000000001E-3</v>
      </c>
      <c r="C6405" t="s">
        <v>4909</v>
      </c>
      <c r="D6405" s="88">
        <v>0</v>
      </c>
      <c r="E6405" t="s">
        <v>4909</v>
      </c>
      <c r="F6405" s="88">
        <v>0</v>
      </c>
      <c r="G6405" s="88">
        <v>2.5999999999999999E-2</v>
      </c>
      <c r="H6405" t="s">
        <v>4909</v>
      </c>
      <c r="I6405" s="88">
        <v>0</v>
      </c>
      <c r="J6405" s="88">
        <v>1.9E-2</v>
      </c>
      <c r="K6405" t="s">
        <v>4909</v>
      </c>
    </row>
    <row r="6406" spans="1:11" x14ac:dyDescent="0.2">
      <c r="A6406" t="s">
        <v>4308</v>
      </c>
      <c r="B6406" s="88">
        <v>1E-3</v>
      </c>
      <c r="C6406" t="s">
        <v>4909</v>
      </c>
      <c r="D6406" t="s">
        <v>4909</v>
      </c>
      <c r="E6406" t="s">
        <v>4909</v>
      </c>
      <c r="F6406" t="s">
        <v>4909</v>
      </c>
      <c r="G6406" s="88">
        <v>2.3E-2</v>
      </c>
      <c r="H6406" t="s">
        <v>4909</v>
      </c>
      <c r="I6406" t="s">
        <v>4909</v>
      </c>
      <c r="J6406" s="88">
        <v>1.7000000000000001E-2</v>
      </c>
      <c r="K6406" t="s">
        <v>4909</v>
      </c>
    </row>
    <row r="6407" spans="1:11" x14ac:dyDescent="0.2">
      <c r="A6407" t="s">
        <v>4309</v>
      </c>
      <c r="B6407" t="s">
        <v>4909</v>
      </c>
      <c r="C6407" t="s">
        <v>4909</v>
      </c>
      <c r="D6407" t="s">
        <v>4909</v>
      </c>
      <c r="E6407" t="s">
        <v>4909</v>
      </c>
      <c r="F6407" t="s">
        <v>4909</v>
      </c>
      <c r="G6407" t="s">
        <v>4909</v>
      </c>
      <c r="H6407" t="s">
        <v>4909</v>
      </c>
      <c r="I6407" t="s">
        <v>4909</v>
      </c>
      <c r="J6407" t="s">
        <v>4909</v>
      </c>
      <c r="K6407" t="s">
        <v>4909</v>
      </c>
    </row>
    <row r="6408" spans="1:11" x14ac:dyDescent="0.2">
      <c r="A6408" t="s">
        <v>4310</v>
      </c>
      <c r="B6408" t="s">
        <v>4909</v>
      </c>
      <c r="C6408" t="s">
        <v>4909</v>
      </c>
      <c r="D6408" t="s">
        <v>4909</v>
      </c>
      <c r="E6408" t="s">
        <v>4909</v>
      </c>
      <c r="F6408" t="s">
        <v>4909</v>
      </c>
      <c r="G6408" t="s">
        <v>4909</v>
      </c>
      <c r="H6408" t="s">
        <v>4909</v>
      </c>
      <c r="I6408" t="s">
        <v>4909</v>
      </c>
      <c r="J6408" t="s">
        <v>4909</v>
      </c>
      <c r="K6408" t="s">
        <v>4909</v>
      </c>
    </row>
    <row r="6409" spans="1:11" x14ac:dyDescent="0.2">
      <c r="A6409" t="s">
        <v>4311</v>
      </c>
      <c r="B6409" t="s">
        <v>4909</v>
      </c>
      <c r="C6409" t="s">
        <v>4909</v>
      </c>
      <c r="D6409" t="s">
        <v>4909</v>
      </c>
      <c r="E6409" t="s">
        <v>4909</v>
      </c>
      <c r="F6409" t="s">
        <v>4909</v>
      </c>
      <c r="G6409" s="88">
        <v>0</v>
      </c>
      <c r="H6409" t="s">
        <v>4909</v>
      </c>
      <c r="I6409" t="s">
        <v>4909</v>
      </c>
      <c r="J6409" s="88">
        <v>0</v>
      </c>
      <c r="K6409" t="s">
        <v>4909</v>
      </c>
    </row>
    <row r="6410" spans="1:11" x14ac:dyDescent="0.2">
      <c r="A6410" t="s">
        <v>4312</v>
      </c>
      <c r="B6410" t="s">
        <v>4909</v>
      </c>
      <c r="C6410" t="s">
        <v>4909</v>
      </c>
      <c r="D6410" t="s">
        <v>4909</v>
      </c>
      <c r="E6410" t="s">
        <v>4909</v>
      </c>
      <c r="F6410" t="s">
        <v>4909</v>
      </c>
      <c r="G6410" t="s">
        <v>4909</v>
      </c>
      <c r="H6410" t="s">
        <v>4909</v>
      </c>
      <c r="I6410" t="s">
        <v>4909</v>
      </c>
      <c r="J6410" t="s">
        <v>4909</v>
      </c>
      <c r="K6410" t="s">
        <v>4909</v>
      </c>
    </row>
    <row r="6411" spans="1:11" x14ac:dyDescent="0.2">
      <c r="A6411" t="s">
        <v>4313</v>
      </c>
      <c r="B6411" t="s">
        <v>4909</v>
      </c>
      <c r="C6411" t="s">
        <v>4909</v>
      </c>
      <c r="D6411" t="s">
        <v>4909</v>
      </c>
      <c r="E6411" t="s">
        <v>4909</v>
      </c>
      <c r="F6411" t="s">
        <v>4909</v>
      </c>
      <c r="G6411" t="s">
        <v>4909</v>
      </c>
      <c r="H6411" t="s">
        <v>4909</v>
      </c>
      <c r="I6411" t="s">
        <v>4909</v>
      </c>
      <c r="J6411" t="s">
        <v>4909</v>
      </c>
      <c r="K6411" t="s">
        <v>4909</v>
      </c>
    </row>
    <row r="6412" spans="1:11" x14ac:dyDescent="0.2">
      <c r="A6412" t="s">
        <v>4314</v>
      </c>
      <c r="B6412" t="s">
        <v>4909</v>
      </c>
      <c r="C6412" t="s">
        <v>4909</v>
      </c>
      <c r="D6412" t="s">
        <v>4909</v>
      </c>
      <c r="E6412" t="s">
        <v>4909</v>
      </c>
      <c r="F6412" t="s">
        <v>4909</v>
      </c>
      <c r="G6412" t="s">
        <v>4909</v>
      </c>
      <c r="H6412" t="s">
        <v>4909</v>
      </c>
      <c r="I6412" t="s">
        <v>4909</v>
      </c>
      <c r="J6412" t="s">
        <v>4909</v>
      </c>
      <c r="K6412" t="s">
        <v>4909</v>
      </c>
    </row>
    <row r="6413" spans="1:11" x14ac:dyDescent="0.2">
      <c r="A6413" t="s">
        <v>4315</v>
      </c>
      <c r="B6413" t="s">
        <v>4909</v>
      </c>
      <c r="C6413" t="s">
        <v>4909</v>
      </c>
      <c r="D6413" t="s">
        <v>4909</v>
      </c>
      <c r="E6413" t="s">
        <v>4909</v>
      </c>
      <c r="F6413" t="s">
        <v>4909</v>
      </c>
      <c r="G6413" t="s">
        <v>4909</v>
      </c>
      <c r="H6413" t="s">
        <v>4909</v>
      </c>
      <c r="I6413" t="s">
        <v>4909</v>
      </c>
      <c r="J6413" t="s">
        <v>4909</v>
      </c>
      <c r="K6413" t="s">
        <v>4909</v>
      </c>
    </row>
    <row r="6414" spans="1:11" x14ac:dyDescent="0.2">
      <c r="A6414" t="s">
        <v>4316</v>
      </c>
      <c r="B6414" t="s">
        <v>4909</v>
      </c>
      <c r="C6414" t="s">
        <v>4909</v>
      </c>
      <c r="D6414" t="s">
        <v>4909</v>
      </c>
      <c r="E6414" t="s">
        <v>4909</v>
      </c>
      <c r="F6414" t="s">
        <v>4909</v>
      </c>
      <c r="G6414" t="s">
        <v>4909</v>
      </c>
      <c r="H6414" t="s">
        <v>4909</v>
      </c>
      <c r="I6414" t="s">
        <v>4909</v>
      </c>
      <c r="J6414" t="s">
        <v>4909</v>
      </c>
      <c r="K6414" t="s">
        <v>4909</v>
      </c>
    </row>
    <row r="6415" spans="1:11" x14ac:dyDescent="0.2">
      <c r="A6415" t="s">
        <v>4317</v>
      </c>
      <c r="B6415" t="s">
        <v>4909</v>
      </c>
      <c r="C6415" t="s">
        <v>4909</v>
      </c>
      <c r="D6415" t="s">
        <v>4909</v>
      </c>
      <c r="E6415" t="s">
        <v>4909</v>
      </c>
      <c r="F6415" t="s">
        <v>4909</v>
      </c>
      <c r="G6415" t="s">
        <v>4909</v>
      </c>
      <c r="H6415" t="s">
        <v>4909</v>
      </c>
      <c r="I6415" t="s">
        <v>4909</v>
      </c>
      <c r="J6415" t="s">
        <v>4909</v>
      </c>
      <c r="K6415" t="s">
        <v>4909</v>
      </c>
    </row>
    <row r="6416" spans="1:11" x14ac:dyDescent="0.2">
      <c r="A6416" t="s">
        <v>4318</v>
      </c>
      <c r="B6416" t="s">
        <v>4909</v>
      </c>
      <c r="C6416" t="s">
        <v>4909</v>
      </c>
      <c r="D6416" t="s">
        <v>4909</v>
      </c>
      <c r="E6416" t="s">
        <v>4909</v>
      </c>
      <c r="F6416" t="s">
        <v>4909</v>
      </c>
      <c r="G6416" t="s">
        <v>4909</v>
      </c>
      <c r="H6416" t="s">
        <v>4909</v>
      </c>
      <c r="I6416" t="s">
        <v>4909</v>
      </c>
      <c r="J6416" t="s">
        <v>4909</v>
      </c>
      <c r="K6416" t="s">
        <v>4909</v>
      </c>
    </row>
    <row r="6417" spans="1:11" x14ac:dyDescent="0.2">
      <c r="A6417" t="s">
        <v>4319</v>
      </c>
      <c r="B6417" t="s">
        <v>4909</v>
      </c>
      <c r="C6417" t="s">
        <v>4909</v>
      </c>
      <c r="D6417" t="s">
        <v>4909</v>
      </c>
      <c r="E6417" t="s">
        <v>4909</v>
      </c>
      <c r="F6417" t="s">
        <v>4909</v>
      </c>
      <c r="G6417" t="s">
        <v>4909</v>
      </c>
      <c r="H6417" t="s">
        <v>4909</v>
      </c>
      <c r="I6417" t="s">
        <v>4909</v>
      </c>
      <c r="J6417" t="s">
        <v>4909</v>
      </c>
      <c r="K6417" t="s">
        <v>4909</v>
      </c>
    </row>
    <row r="6418" spans="1:11" x14ac:dyDescent="0.2">
      <c r="A6418" t="s">
        <v>4320</v>
      </c>
      <c r="B6418" t="s">
        <v>4909</v>
      </c>
      <c r="C6418" t="s">
        <v>4909</v>
      </c>
      <c r="D6418" t="s">
        <v>4909</v>
      </c>
      <c r="E6418" t="s">
        <v>4909</v>
      </c>
      <c r="F6418" t="s">
        <v>4909</v>
      </c>
      <c r="G6418" t="s">
        <v>4909</v>
      </c>
      <c r="H6418" t="s">
        <v>4909</v>
      </c>
      <c r="I6418" t="s">
        <v>4909</v>
      </c>
      <c r="J6418" t="s">
        <v>4909</v>
      </c>
      <c r="K6418" t="s">
        <v>4909</v>
      </c>
    </row>
    <row r="6419" spans="1:11" x14ac:dyDescent="0.2">
      <c r="A6419" t="s">
        <v>4321</v>
      </c>
      <c r="B6419" t="s">
        <v>4909</v>
      </c>
      <c r="C6419" t="s">
        <v>4909</v>
      </c>
      <c r="D6419" t="s">
        <v>4909</v>
      </c>
      <c r="E6419" t="s">
        <v>4909</v>
      </c>
      <c r="F6419" t="s">
        <v>4909</v>
      </c>
      <c r="G6419" t="s">
        <v>4909</v>
      </c>
      <c r="H6419" t="s">
        <v>4909</v>
      </c>
      <c r="I6419" t="s">
        <v>4909</v>
      </c>
      <c r="J6419" t="s">
        <v>4909</v>
      </c>
      <c r="K6419" t="s">
        <v>4909</v>
      </c>
    </row>
    <row r="6420" spans="1:11" x14ac:dyDescent="0.2">
      <c r="A6420" t="s">
        <v>4322</v>
      </c>
      <c r="B6420" t="s">
        <v>4909</v>
      </c>
      <c r="C6420" t="s">
        <v>4909</v>
      </c>
      <c r="D6420" t="s">
        <v>4909</v>
      </c>
      <c r="E6420" t="s">
        <v>4909</v>
      </c>
      <c r="F6420" t="s">
        <v>4909</v>
      </c>
      <c r="G6420" t="s">
        <v>4909</v>
      </c>
      <c r="H6420" t="s">
        <v>4909</v>
      </c>
      <c r="I6420" t="s">
        <v>4909</v>
      </c>
      <c r="J6420" t="s">
        <v>4909</v>
      </c>
      <c r="K6420" t="s">
        <v>4909</v>
      </c>
    </row>
    <row r="6421" spans="1:11" x14ac:dyDescent="0.2">
      <c r="A6421" t="s">
        <v>4323</v>
      </c>
      <c r="B6421" t="s">
        <v>4909</v>
      </c>
      <c r="C6421" t="s">
        <v>4909</v>
      </c>
      <c r="D6421" t="s">
        <v>4909</v>
      </c>
      <c r="E6421" t="s">
        <v>4909</v>
      </c>
      <c r="F6421" t="s">
        <v>4909</v>
      </c>
      <c r="G6421" t="s">
        <v>4909</v>
      </c>
      <c r="H6421" t="s">
        <v>4909</v>
      </c>
      <c r="I6421" t="s">
        <v>4909</v>
      </c>
      <c r="J6421" t="s">
        <v>4909</v>
      </c>
      <c r="K6421" t="s">
        <v>4909</v>
      </c>
    </row>
    <row r="6422" spans="1:11" x14ac:dyDescent="0.2">
      <c r="A6422" t="s">
        <v>4324</v>
      </c>
      <c r="B6422" t="s">
        <v>4909</v>
      </c>
      <c r="C6422" t="s">
        <v>4909</v>
      </c>
      <c r="D6422" t="s">
        <v>4909</v>
      </c>
      <c r="E6422" t="s">
        <v>4909</v>
      </c>
      <c r="F6422" t="s">
        <v>4909</v>
      </c>
      <c r="G6422" t="s">
        <v>4909</v>
      </c>
      <c r="H6422" t="s">
        <v>4909</v>
      </c>
      <c r="I6422" t="s">
        <v>4909</v>
      </c>
      <c r="J6422" t="s">
        <v>4909</v>
      </c>
      <c r="K6422" t="s">
        <v>4909</v>
      </c>
    </row>
    <row r="6423" spans="1:11" x14ac:dyDescent="0.2">
      <c r="A6423" t="s">
        <v>4325</v>
      </c>
      <c r="B6423" t="s">
        <v>4909</v>
      </c>
      <c r="C6423" t="s">
        <v>4909</v>
      </c>
      <c r="D6423" t="s">
        <v>4909</v>
      </c>
      <c r="E6423" t="s">
        <v>4909</v>
      </c>
      <c r="F6423" t="s">
        <v>4909</v>
      </c>
      <c r="G6423" t="s">
        <v>4909</v>
      </c>
      <c r="H6423" t="s">
        <v>4909</v>
      </c>
      <c r="I6423" t="s">
        <v>4909</v>
      </c>
      <c r="J6423" t="s">
        <v>4909</v>
      </c>
      <c r="K6423" t="s">
        <v>4909</v>
      </c>
    </row>
    <row r="6424" spans="1:11" x14ac:dyDescent="0.2">
      <c r="A6424" t="s">
        <v>4326</v>
      </c>
      <c r="B6424" t="s">
        <v>4909</v>
      </c>
      <c r="C6424" t="s">
        <v>4909</v>
      </c>
      <c r="D6424" t="s">
        <v>4909</v>
      </c>
      <c r="E6424" t="s">
        <v>4909</v>
      </c>
      <c r="F6424" t="s">
        <v>4909</v>
      </c>
      <c r="G6424" t="s">
        <v>4909</v>
      </c>
      <c r="H6424" t="s">
        <v>4909</v>
      </c>
      <c r="I6424" t="s">
        <v>4909</v>
      </c>
      <c r="J6424" t="s">
        <v>4909</v>
      </c>
      <c r="K6424" t="s">
        <v>4909</v>
      </c>
    </row>
    <row r="6425" spans="1:11" x14ac:dyDescent="0.2">
      <c r="A6425" t="s">
        <v>4327</v>
      </c>
      <c r="B6425" t="s">
        <v>4909</v>
      </c>
      <c r="C6425" t="s">
        <v>4909</v>
      </c>
      <c r="D6425" t="s">
        <v>4909</v>
      </c>
      <c r="E6425" t="s">
        <v>4909</v>
      </c>
      <c r="F6425" t="s">
        <v>4909</v>
      </c>
      <c r="G6425" t="s">
        <v>4909</v>
      </c>
      <c r="H6425" t="s">
        <v>4909</v>
      </c>
      <c r="I6425" t="s">
        <v>4909</v>
      </c>
      <c r="J6425" t="s">
        <v>4909</v>
      </c>
      <c r="K6425" t="s">
        <v>4909</v>
      </c>
    </row>
    <row r="6426" spans="1:11" x14ac:dyDescent="0.2">
      <c r="A6426" t="s">
        <v>4328</v>
      </c>
      <c r="B6426" t="s">
        <v>4909</v>
      </c>
      <c r="C6426" t="s">
        <v>4909</v>
      </c>
      <c r="D6426" t="s">
        <v>4909</v>
      </c>
      <c r="E6426" t="s">
        <v>4909</v>
      </c>
      <c r="F6426" t="s">
        <v>4909</v>
      </c>
      <c r="G6426" t="s">
        <v>4909</v>
      </c>
      <c r="H6426" t="s">
        <v>4909</v>
      </c>
      <c r="I6426" t="s">
        <v>4909</v>
      </c>
      <c r="J6426" t="s">
        <v>4909</v>
      </c>
      <c r="K6426" t="s">
        <v>4909</v>
      </c>
    </row>
    <row r="6427" spans="1:11" x14ac:dyDescent="0.2">
      <c r="A6427" t="s">
        <v>4329</v>
      </c>
      <c r="B6427" t="s">
        <v>4909</v>
      </c>
      <c r="C6427" t="s">
        <v>4909</v>
      </c>
      <c r="D6427" t="s">
        <v>4909</v>
      </c>
      <c r="E6427" t="s">
        <v>4909</v>
      </c>
      <c r="F6427" t="s">
        <v>4909</v>
      </c>
      <c r="G6427" t="s">
        <v>4909</v>
      </c>
      <c r="H6427" t="s">
        <v>4909</v>
      </c>
      <c r="I6427" t="s">
        <v>4909</v>
      </c>
      <c r="J6427" t="s">
        <v>4909</v>
      </c>
      <c r="K6427" t="s">
        <v>4909</v>
      </c>
    </row>
    <row r="6428" spans="1:11" x14ac:dyDescent="0.2">
      <c r="A6428" t="s">
        <v>4330</v>
      </c>
      <c r="B6428" t="s">
        <v>4909</v>
      </c>
      <c r="C6428" t="s">
        <v>4909</v>
      </c>
      <c r="D6428" t="s">
        <v>4909</v>
      </c>
      <c r="E6428" t="s">
        <v>4909</v>
      </c>
      <c r="F6428" t="s">
        <v>4909</v>
      </c>
      <c r="G6428" t="s">
        <v>4909</v>
      </c>
      <c r="H6428" t="s">
        <v>4909</v>
      </c>
      <c r="I6428" t="s">
        <v>4909</v>
      </c>
      <c r="J6428" t="s">
        <v>4909</v>
      </c>
      <c r="K6428" t="s">
        <v>4909</v>
      </c>
    </row>
    <row r="6429" spans="1:11" x14ac:dyDescent="0.2">
      <c r="A6429" t="s">
        <v>4331</v>
      </c>
      <c r="B6429" t="s">
        <v>4909</v>
      </c>
      <c r="C6429" t="s">
        <v>4909</v>
      </c>
      <c r="D6429" t="s">
        <v>4909</v>
      </c>
      <c r="E6429" t="s">
        <v>4909</v>
      </c>
      <c r="F6429" t="s">
        <v>4909</v>
      </c>
      <c r="G6429" t="s">
        <v>4909</v>
      </c>
      <c r="H6429" t="s">
        <v>4909</v>
      </c>
      <c r="I6429" t="s">
        <v>4909</v>
      </c>
      <c r="J6429" t="s">
        <v>4909</v>
      </c>
      <c r="K6429" t="s">
        <v>4909</v>
      </c>
    </row>
    <row r="6430" spans="1:11" x14ac:dyDescent="0.2">
      <c r="A6430" t="s">
        <v>4332</v>
      </c>
      <c r="B6430" t="s">
        <v>4909</v>
      </c>
      <c r="C6430" t="s">
        <v>4909</v>
      </c>
      <c r="D6430" t="s">
        <v>4909</v>
      </c>
      <c r="E6430" t="s">
        <v>4909</v>
      </c>
      <c r="F6430" t="s">
        <v>4909</v>
      </c>
      <c r="G6430" t="s">
        <v>4909</v>
      </c>
      <c r="H6430" t="s">
        <v>4909</v>
      </c>
      <c r="I6430" t="s">
        <v>4909</v>
      </c>
      <c r="J6430" t="s">
        <v>4909</v>
      </c>
      <c r="K6430" t="s">
        <v>4909</v>
      </c>
    </row>
    <row r="6431" spans="1:11" x14ac:dyDescent="0.2">
      <c r="A6431" t="s">
        <v>4333</v>
      </c>
      <c r="B6431" t="s">
        <v>4909</v>
      </c>
      <c r="C6431" t="s">
        <v>4909</v>
      </c>
      <c r="D6431" t="s">
        <v>4909</v>
      </c>
      <c r="E6431" t="s">
        <v>4909</v>
      </c>
      <c r="F6431" t="s">
        <v>4909</v>
      </c>
      <c r="G6431" t="s">
        <v>4909</v>
      </c>
      <c r="H6431" t="s">
        <v>4909</v>
      </c>
      <c r="I6431" t="s">
        <v>4909</v>
      </c>
      <c r="J6431" t="s">
        <v>4909</v>
      </c>
      <c r="K6431" t="s">
        <v>4909</v>
      </c>
    </row>
    <row r="6432" spans="1:11" x14ac:dyDescent="0.2">
      <c r="A6432" t="s">
        <v>4334</v>
      </c>
      <c r="B6432" t="s">
        <v>4909</v>
      </c>
      <c r="C6432" t="s">
        <v>4909</v>
      </c>
      <c r="D6432" t="s">
        <v>4909</v>
      </c>
      <c r="E6432" t="s">
        <v>4909</v>
      </c>
      <c r="F6432" t="s">
        <v>4909</v>
      </c>
      <c r="G6432" t="s">
        <v>4909</v>
      </c>
      <c r="H6432" t="s">
        <v>4909</v>
      </c>
      <c r="I6432" t="s">
        <v>4909</v>
      </c>
      <c r="J6432" t="s">
        <v>4909</v>
      </c>
      <c r="K6432" t="s">
        <v>4909</v>
      </c>
    </row>
    <row r="6433" spans="1:11" x14ac:dyDescent="0.2">
      <c r="A6433" t="s">
        <v>4335</v>
      </c>
      <c r="B6433" t="s">
        <v>4909</v>
      </c>
      <c r="C6433" t="s">
        <v>4909</v>
      </c>
      <c r="D6433" t="s">
        <v>4909</v>
      </c>
      <c r="E6433" t="s">
        <v>4909</v>
      </c>
      <c r="F6433" t="s">
        <v>4909</v>
      </c>
      <c r="G6433" t="s">
        <v>4909</v>
      </c>
      <c r="H6433" t="s">
        <v>4909</v>
      </c>
      <c r="I6433" t="s">
        <v>4909</v>
      </c>
      <c r="J6433" t="s">
        <v>4909</v>
      </c>
      <c r="K6433" t="s">
        <v>4909</v>
      </c>
    </row>
    <row r="6434" spans="1:11" x14ac:dyDescent="0.2">
      <c r="A6434" t="s">
        <v>4336</v>
      </c>
      <c r="B6434" t="s">
        <v>4909</v>
      </c>
      <c r="C6434" t="s">
        <v>4909</v>
      </c>
      <c r="D6434" t="s">
        <v>4909</v>
      </c>
      <c r="E6434" t="s">
        <v>4909</v>
      </c>
      <c r="F6434" t="s">
        <v>4909</v>
      </c>
      <c r="G6434" t="s">
        <v>4909</v>
      </c>
      <c r="H6434" t="s">
        <v>4909</v>
      </c>
      <c r="I6434" t="s">
        <v>4909</v>
      </c>
      <c r="J6434" t="s">
        <v>4909</v>
      </c>
      <c r="K6434" t="s">
        <v>4909</v>
      </c>
    </row>
    <row r="6435" spans="1:11" x14ac:dyDescent="0.2">
      <c r="A6435" t="s">
        <v>4337</v>
      </c>
      <c r="B6435" t="s">
        <v>4909</v>
      </c>
      <c r="C6435" t="s">
        <v>4909</v>
      </c>
      <c r="D6435" t="s">
        <v>4909</v>
      </c>
      <c r="E6435" t="s">
        <v>4909</v>
      </c>
      <c r="F6435" t="s">
        <v>4909</v>
      </c>
      <c r="G6435" t="s">
        <v>4909</v>
      </c>
      <c r="H6435" t="s">
        <v>4909</v>
      </c>
      <c r="I6435" t="s">
        <v>4909</v>
      </c>
      <c r="J6435" t="s">
        <v>4909</v>
      </c>
      <c r="K6435" t="s">
        <v>4909</v>
      </c>
    </row>
    <row r="6436" spans="1:11" x14ac:dyDescent="0.2">
      <c r="A6436" t="s">
        <v>4338</v>
      </c>
      <c r="B6436" t="s">
        <v>4909</v>
      </c>
      <c r="C6436" t="s">
        <v>4909</v>
      </c>
      <c r="D6436" t="s">
        <v>4909</v>
      </c>
      <c r="E6436" t="s">
        <v>4909</v>
      </c>
      <c r="F6436" t="s">
        <v>4909</v>
      </c>
      <c r="G6436" t="s">
        <v>4909</v>
      </c>
      <c r="H6436" t="s">
        <v>4909</v>
      </c>
      <c r="I6436" t="s">
        <v>4909</v>
      </c>
      <c r="J6436" t="s">
        <v>4909</v>
      </c>
      <c r="K6436" t="s">
        <v>4909</v>
      </c>
    </row>
    <row r="6437" spans="1:11" x14ac:dyDescent="0.2">
      <c r="A6437" t="s">
        <v>4339</v>
      </c>
      <c r="B6437" t="s">
        <v>4909</v>
      </c>
      <c r="C6437" t="s">
        <v>4909</v>
      </c>
      <c r="D6437" t="s">
        <v>4909</v>
      </c>
      <c r="E6437" t="s">
        <v>4909</v>
      </c>
      <c r="F6437" t="s">
        <v>4909</v>
      </c>
      <c r="G6437" t="s">
        <v>4909</v>
      </c>
      <c r="H6437" t="s">
        <v>4909</v>
      </c>
      <c r="I6437" t="s">
        <v>4909</v>
      </c>
      <c r="J6437" t="s">
        <v>4909</v>
      </c>
      <c r="K6437" t="s">
        <v>4909</v>
      </c>
    </row>
    <row r="6438" spans="1:11" x14ac:dyDescent="0.2">
      <c r="A6438" t="s">
        <v>4340</v>
      </c>
      <c r="B6438" t="s">
        <v>4909</v>
      </c>
      <c r="C6438" t="s">
        <v>4909</v>
      </c>
      <c r="D6438" t="s">
        <v>4909</v>
      </c>
      <c r="E6438" t="s">
        <v>4909</v>
      </c>
      <c r="F6438" t="s">
        <v>4909</v>
      </c>
      <c r="G6438" t="s">
        <v>4909</v>
      </c>
      <c r="H6438" t="s">
        <v>4909</v>
      </c>
      <c r="I6438" t="s">
        <v>4909</v>
      </c>
      <c r="J6438" t="s">
        <v>4909</v>
      </c>
      <c r="K6438" t="s">
        <v>4909</v>
      </c>
    </row>
    <row r="6439" spans="1:11" x14ac:dyDescent="0.2">
      <c r="A6439" t="s">
        <v>4341</v>
      </c>
      <c r="B6439" t="s">
        <v>4909</v>
      </c>
      <c r="C6439" t="s">
        <v>4909</v>
      </c>
      <c r="D6439" t="s">
        <v>4909</v>
      </c>
      <c r="E6439" t="s">
        <v>4909</v>
      </c>
      <c r="F6439" t="s">
        <v>4909</v>
      </c>
      <c r="G6439" t="s">
        <v>4909</v>
      </c>
      <c r="H6439" t="s">
        <v>4909</v>
      </c>
      <c r="I6439" t="s">
        <v>4909</v>
      </c>
      <c r="J6439" t="s">
        <v>4909</v>
      </c>
      <c r="K6439" t="s">
        <v>4909</v>
      </c>
    </row>
    <row r="6440" spans="1:11" x14ac:dyDescent="0.2">
      <c r="A6440" t="s">
        <v>4342</v>
      </c>
      <c r="B6440" t="s">
        <v>4909</v>
      </c>
      <c r="C6440" t="s">
        <v>4909</v>
      </c>
      <c r="D6440" t="s">
        <v>4909</v>
      </c>
      <c r="E6440" t="s">
        <v>4909</v>
      </c>
      <c r="F6440" t="s">
        <v>4909</v>
      </c>
      <c r="G6440" t="s">
        <v>4909</v>
      </c>
      <c r="H6440" t="s">
        <v>4909</v>
      </c>
      <c r="I6440" t="s">
        <v>4909</v>
      </c>
      <c r="J6440" t="s">
        <v>4909</v>
      </c>
      <c r="K6440" t="s">
        <v>4909</v>
      </c>
    </row>
    <row r="6441" spans="1:11" x14ac:dyDescent="0.2">
      <c r="A6441" t="s">
        <v>4343</v>
      </c>
      <c r="B6441" t="s">
        <v>4909</v>
      </c>
      <c r="C6441" t="s">
        <v>4909</v>
      </c>
      <c r="D6441" t="s">
        <v>4909</v>
      </c>
      <c r="E6441" t="s">
        <v>4909</v>
      </c>
      <c r="F6441" t="s">
        <v>4909</v>
      </c>
      <c r="G6441" t="s">
        <v>4909</v>
      </c>
      <c r="H6441" t="s">
        <v>4909</v>
      </c>
      <c r="I6441" t="s">
        <v>4909</v>
      </c>
      <c r="J6441" t="s">
        <v>4909</v>
      </c>
      <c r="K6441" t="s">
        <v>4909</v>
      </c>
    </row>
    <row r="6442" spans="1:11" x14ac:dyDescent="0.2">
      <c r="A6442" t="s">
        <v>1728</v>
      </c>
      <c r="B6442" t="s">
        <v>4909</v>
      </c>
      <c r="C6442" t="s">
        <v>4909</v>
      </c>
      <c r="D6442" t="s">
        <v>4909</v>
      </c>
      <c r="E6442" t="s">
        <v>4909</v>
      </c>
      <c r="F6442" t="s">
        <v>4909</v>
      </c>
      <c r="G6442" t="s">
        <v>4909</v>
      </c>
      <c r="H6442" t="s">
        <v>4909</v>
      </c>
      <c r="I6442" t="s">
        <v>4909</v>
      </c>
      <c r="J6442" t="s">
        <v>4909</v>
      </c>
      <c r="K6442" t="s">
        <v>4909</v>
      </c>
    </row>
    <row r="6443" spans="1:11" x14ac:dyDescent="0.2">
      <c r="A6443" t="s">
        <v>1730</v>
      </c>
      <c r="B6443" s="88">
        <v>5.0000000000000001E-3</v>
      </c>
      <c r="C6443" t="s">
        <v>4909</v>
      </c>
      <c r="D6443" s="88">
        <v>0</v>
      </c>
      <c r="E6443" t="s">
        <v>4909</v>
      </c>
      <c r="F6443" s="88">
        <v>0</v>
      </c>
      <c r="G6443" s="88">
        <v>2.8000000000000001E-2</v>
      </c>
      <c r="H6443" t="s">
        <v>4909</v>
      </c>
      <c r="I6443" s="88">
        <v>1E-3</v>
      </c>
      <c r="J6443" s="88">
        <v>2.5000000000000001E-2</v>
      </c>
      <c r="K6443" t="s">
        <v>4909</v>
      </c>
    </row>
    <row r="6444" spans="1:11" x14ac:dyDescent="0.2">
      <c r="A6444" t="s">
        <v>1733</v>
      </c>
      <c r="B6444" t="s">
        <v>4909</v>
      </c>
      <c r="C6444" t="s">
        <v>4909</v>
      </c>
      <c r="D6444" t="s">
        <v>4909</v>
      </c>
      <c r="E6444" t="s">
        <v>4909</v>
      </c>
      <c r="F6444" t="s">
        <v>4909</v>
      </c>
      <c r="G6444" t="s">
        <v>4909</v>
      </c>
      <c r="H6444" t="s">
        <v>4909</v>
      </c>
      <c r="I6444" t="s">
        <v>4909</v>
      </c>
      <c r="J6444" t="s">
        <v>4909</v>
      </c>
      <c r="K6444" t="s">
        <v>4909</v>
      </c>
    </row>
    <row r="6445" spans="1:11" x14ac:dyDescent="0.2">
      <c r="A6445" t="s">
        <v>1738</v>
      </c>
      <c r="B6445" t="s">
        <v>4909</v>
      </c>
      <c r="C6445" t="s">
        <v>4909</v>
      </c>
      <c r="D6445" t="s">
        <v>4909</v>
      </c>
      <c r="E6445" t="s">
        <v>4909</v>
      </c>
      <c r="F6445" t="s">
        <v>4909</v>
      </c>
      <c r="G6445" t="s">
        <v>4909</v>
      </c>
      <c r="H6445" t="s">
        <v>4909</v>
      </c>
      <c r="I6445" t="s">
        <v>4909</v>
      </c>
      <c r="J6445" t="s">
        <v>4909</v>
      </c>
      <c r="K6445" t="s">
        <v>4909</v>
      </c>
    </row>
    <row r="6446" spans="1:11" x14ac:dyDescent="0.2">
      <c r="A6446" t="s">
        <v>1744</v>
      </c>
      <c r="B6446" t="s">
        <v>4909</v>
      </c>
      <c r="C6446" t="s">
        <v>4909</v>
      </c>
      <c r="D6446" t="s">
        <v>4909</v>
      </c>
      <c r="E6446" t="s">
        <v>4909</v>
      </c>
      <c r="F6446" t="s">
        <v>4909</v>
      </c>
      <c r="G6446" t="s">
        <v>4909</v>
      </c>
      <c r="H6446" t="s">
        <v>4909</v>
      </c>
      <c r="I6446" t="s">
        <v>4909</v>
      </c>
      <c r="J6446" t="s">
        <v>4909</v>
      </c>
      <c r="K6446" t="s">
        <v>4909</v>
      </c>
    </row>
    <row r="6447" spans="1:11" x14ac:dyDescent="0.2">
      <c r="A6447" t="s">
        <v>1747</v>
      </c>
      <c r="B6447" t="s">
        <v>4909</v>
      </c>
      <c r="C6447" t="s">
        <v>4909</v>
      </c>
      <c r="D6447" t="s">
        <v>4909</v>
      </c>
      <c r="E6447" t="s">
        <v>4909</v>
      </c>
      <c r="F6447" t="s">
        <v>4909</v>
      </c>
      <c r="G6447" t="s">
        <v>4909</v>
      </c>
      <c r="H6447" t="s">
        <v>4909</v>
      </c>
      <c r="I6447" t="s">
        <v>4909</v>
      </c>
      <c r="J6447" t="s">
        <v>4909</v>
      </c>
      <c r="K6447" t="s">
        <v>4909</v>
      </c>
    </row>
    <row r="6448" spans="1:11" x14ac:dyDescent="0.2">
      <c r="A6448" t="s">
        <v>1751</v>
      </c>
      <c r="B6448" t="s">
        <v>4909</v>
      </c>
      <c r="C6448" t="s">
        <v>4909</v>
      </c>
      <c r="D6448" t="s">
        <v>4909</v>
      </c>
      <c r="E6448" t="s">
        <v>4909</v>
      </c>
      <c r="F6448" t="s">
        <v>4909</v>
      </c>
      <c r="G6448" t="s">
        <v>4909</v>
      </c>
      <c r="H6448" t="s">
        <v>4909</v>
      </c>
      <c r="I6448" t="s">
        <v>4909</v>
      </c>
      <c r="J6448" t="s">
        <v>4909</v>
      </c>
      <c r="K6448" t="s">
        <v>4909</v>
      </c>
    </row>
    <row r="6449" spans="1:11" x14ac:dyDescent="0.2">
      <c r="A6449" t="s">
        <v>1755</v>
      </c>
      <c r="B6449" s="88">
        <v>2E-3</v>
      </c>
      <c r="C6449" t="s">
        <v>4909</v>
      </c>
      <c r="D6449" t="s">
        <v>4909</v>
      </c>
      <c r="E6449" t="s">
        <v>4909</v>
      </c>
      <c r="F6449" t="s">
        <v>4909</v>
      </c>
      <c r="G6449" s="88">
        <v>1.2E-2</v>
      </c>
      <c r="H6449" t="s">
        <v>4909</v>
      </c>
      <c r="I6449" s="88">
        <v>0</v>
      </c>
      <c r="J6449" s="88">
        <v>8.9999999999999993E-3</v>
      </c>
      <c r="K6449" t="s">
        <v>4909</v>
      </c>
    </row>
    <row r="6450" spans="1:11" x14ac:dyDescent="0.2">
      <c r="A6450" t="s">
        <v>1757</v>
      </c>
      <c r="B6450" s="88">
        <v>1E-3</v>
      </c>
      <c r="C6450" t="s">
        <v>4909</v>
      </c>
      <c r="D6450" s="88">
        <v>0</v>
      </c>
      <c r="E6450" t="s">
        <v>4909</v>
      </c>
      <c r="F6450" s="88">
        <v>0</v>
      </c>
      <c r="G6450" s="88">
        <v>0.01</v>
      </c>
      <c r="H6450" t="s">
        <v>4909</v>
      </c>
      <c r="I6450" s="88">
        <v>0</v>
      </c>
      <c r="J6450" s="88">
        <v>8.0000000000000002E-3</v>
      </c>
      <c r="K6450" t="s">
        <v>4909</v>
      </c>
    </row>
    <row r="6451" spans="1:11" x14ac:dyDescent="0.2">
      <c r="A6451" t="s">
        <v>1761</v>
      </c>
      <c r="B6451" t="s">
        <v>4909</v>
      </c>
      <c r="C6451" t="s">
        <v>4909</v>
      </c>
      <c r="D6451" t="s">
        <v>4909</v>
      </c>
      <c r="E6451" t="s">
        <v>4909</v>
      </c>
      <c r="F6451" t="s">
        <v>4909</v>
      </c>
      <c r="G6451" t="s">
        <v>4909</v>
      </c>
      <c r="H6451" t="s">
        <v>4909</v>
      </c>
      <c r="I6451" t="s">
        <v>4909</v>
      </c>
      <c r="J6451" t="s">
        <v>4909</v>
      </c>
      <c r="K6451" t="s">
        <v>4909</v>
      </c>
    </row>
    <row r="6452" spans="1:11" x14ac:dyDescent="0.2">
      <c r="A6452" t="s">
        <v>1764</v>
      </c>
      <c r="B6452" t="s">
        <v>4909</v>
      </c>
      <c r="C6452" t="s">
        <v>4909</v>
      </c>
      <c r="D6452" t="s">
        <v>4909</v>
      </c>
      <c r="E6452" t="s">
        <v>4909</v>
      </c>
      <c r="F6452" t="s">
        <v>4909</v>
      </c>
      <c r="G6452" t="s">
        <v>4909</v>
      </c>
      <c r="H6452" t="s">
        <v>4909</v>
      </c>
      <c r="I6452" t="s">
        <v>4909</v>
      </c>
      <c r="J6452" t="s">
        <v>4909</v>
      </c>
      <c r="K6452" t="s">
        <v>4909</v>
      </c>
    </row>
    <row r="6453" spans="1:11" x14ac:dyDescent="0.2">
      <c r="A6453" t="s">
        <v>1770</v>
      </c>
      <c r="B6453" s="88">
        <v>4.0000000000000001E-3</v>
      </c>
      <c r="C6453" t="s">
        <v>4909</v>
      </c>
      <c r="D6453" s="88">
        <v>0</v>
      </c>
      <c r="E6453" t="s">
        <v>4909</v>
      </c>
      <c r="F6453" s="88">
        <v>0</v>
      </c>
      <c r="G6453" s="88">
        <v>8.1000000000000003E-2</v>
      </c>
      <c r="H6453" t="s">
        <v>4909</v>
      </c>
      <c r="I6453" s="88">
        <v>2E-3</v>
      </c>
      <c r="J6453" s="88">
        <v>1.9E-2</v>
      </c>
      <c r="K6453" t="s">
        <v>4909</v>
      </c>
    </row>
    <row r="6454" spans="1:11" x14ac:dyDescent="0.2">
      <c r="A6454" t="s">
        <v>1772</v>
      </c>
      <c r="B6454" s="88">
        <v>3.0000000000000001E-3</v>
      </c>
      <c r="C6454" t="s">
        <v>4909</v>
      </c>
      <c r="D6454" t="s">
        <v>4909</v>
      </c>
      <c r="E6454" t="s">
        <v>4909</v>
      </c>
      <c r="F6454" t="s">
        <v>4909</v>
      </c>
      <c r="G6454" s="88">
        <v>9.4E-2</v>
      </c>
      <c r="H6454" t="s">
        <v>4909</v>
      </c>
      <c r="I6454" s="88">
        <v>2E-3</v>
      </c>
      <c r="J6454" s="88">
        <v>1.4E-2</v>
      </c>
      <c r="K6454" t="s">
        <v>4909</v>
      </c>
    </row>
    <row r="6455" spans="1:11" x14ac:dyDescent="0.2">
      <c r="A6455" t="s">
        <v>1774</v>
      </c>
      <c r="B6455" t="s">
        <v>4909</v>
      </c>
      <c r="C6455" t="s">
        <v>4909</v>
      </c>
      <c r="D6455" t="s">
        <v>4909</v>
      </c>
      <c r="E6455" t="s">
        <v>4909</v>
      </c>
      <c r="F6455" t="s">
        <v>4909</v>
      </c>
      <c r="G6455" s="88">
        <v>2.3E-2</v>
      </c>
      <c r="H6455" t="s">
        <v>4909</v>
      </c>
      <c r="I6455" t="s">
        <v>4909</v>
      </c>
      <c r="J6455" s="88">
        <v>5.0000000000000001E-3</v>
      </c>
      <c r="K6455" t="s">
        <v>4909</v>
      </c>
    </row>
    <row r="6456" spans="1:11" x14ac:dyDescent="0.2">
      <c r="A6456" t="s">
        <v>1777</v>
      </c>
      <c r="B6456" t="s">
        <v>4909</v>
      </c>
      <c r="C6456" t="s">
        <v>4909</v>
      </c>
      <c r="D6456" t="s">
        <v>4909</v>
      </c>
      <c r="E6456" t="s">
        <v>4909</v>
      </c>
      <c r="F6456" t="s">
        <v>4909</v>
      </c>
      <c r="G6456" t="s">
        <v>4909</v>
      </c>
      <c r="H6456" t="s">
        <v>4909</v>
      </c>
      <c r="I6456" t="s">
        <v>4909</v>
      </c>
      <c r="J6456" t="s">
        <v>4909</v>
      </c>
      <c r="K6456" t="s">
        <v>4909</v>
      </c>
    </row>
    <row r="6457" spans="1:11" x14ac:dyDescent="0.2">
      <c r="A6457" t="s">
        <v>1782</v>
      </c>
      <c r="B6457" t="s">
        <v>4909</v>
      </c>
      <c r="C6457" t="s">
        <v>4909</v>
      </c>
      <c r="D6457" t="s">
        <v>4909</v>
      </c>
      <c r="E6457" t="s">
        <v>4909</v>
      </c>
      <c r="F6457" t="s">
        <v>4909</v>
      </c>
      <c r="G6457" t="s">
        <v>4909</v>
      </c>
      <c r="H6457" t="s">
        <v>4909</v>
      </c>
      <c r="I6457" t="s">
        <v>4909</v>
      </c>
      <c r="J6457" t="s">
        <v>4909</v>
      </c>
      <c r="K6457" t="s">
        <v>4909</v>
      </c>
    </row>
    <row r="6458" spans="1:11" x14ac:dyDescent="0.2">
      <c r="A6458" t="s">
        <v>1274</v>
      </c>
      <c r="B6458" s="88">
        <v>0</v>
      </c>
      <c r="C6458" t="s">
        <v>4909</v>
      </c>
      <c r="D6458" t="s">
        <v>4909</v>
      </c>
      <c r="E6458" t="s">
        <v>4909</v>
      </c>
      <c r="F6458" t="s">
        <v>4909</v>
      </c>
      <c r="G6458" s="88">
        <v>1E-3</v>
      </c>
      <c r="H6458" t="s">
        <v>4909</v>
      </c>
      <c r="I6458" t="s">
        <v>4909</v>
      </c>
      <c r="J6458" s="88">
        <v>1E-3</v>
      </c>
      <c r="K6458" t="s">
        <v>4909</v>
      </c>
    </row>
    <row r="6459" spans="1:11" x14ac:dyDescent="0.2">
      <c r="A6459" t="s">
        <v>1277</v>
      </c>
      <c r="B6459" s="88">
        <v>0</v>
      </c>
      <c r="C6459" t="s">
        <v>4909</v>
      </c>
      <c r="D6459" s="88">
        <v>0</v>
      </c>
      <c r="E6459" t="s">
        <v>4909</v>
      </c>
      <c r="F6459" s="88">
        <v>0</v>
      </c>
      <c r="G6459" s="88">
        <v>1E-3</v>
      </c>
      <c r="H6459" t="s">
        <v>4909</v>
      </c>
      <c r="I6459" s="88">
        <v>0</v>
      </c>
      <c r="J6459" s="88">
        <v>1E-3</v>
      </c>
      <c r="K6459" t="s">
        <v>4909</v>
      </c>
    </row>
    <row r="6460" spans="1:11" x14ac:dyDescent="0.2">
      <c r="A6460" t="s">
        <v>1798</v>
      </c>
      <c r="B6460" t="s">
        <v>4909</v>
      </c>
      <c r="C6460" t="s">
        <v>4909</v>
      </c>
      <c r="D6460" t="s">
        <v>4909</v>
      </c>
      <c r="E6460" t="s">
        <v>4909</v>
      </c>
      <c r="F6460" t="s">
        <v>4909</v>
      </c>
      <c r="G6460" t="s">
        <v>4909</v>
      </c>
      <c r="H6460" t="s">
        <v>4909</v>
      </c>
      <c r="I6460" t="s">
        <v>4909</v>
      </c>
      <c r="J6460" t="s">
        <v>4909</v>
      </c>
      <c r="K6460" t="s">
        <v>4909</v>
      </c>
    </row>
    <row r="6461" spans="1:11" x14ac:dyDescent="0.2">
      <c r="A6461" t="s">
        <v>1803</v>
      </c>
      <c r="B6461" t="s">
        <v>4909</v>
      </c>
      <c r="C6461" t="s">
        <v>4909</v>
      </c>
      <c r="D6461" t="s">
        <v>4909</v>
      </c>
      <c r="E6461" t="s">
        <v>4909</v>
      </c>
      <c r="F6461" t="s">
        <v>4909</v>
      </c>
      <c r="G6461" t="s">
        <v>4909</v>
      </c>
      <c r="H6461" t="s">
        <v>4909</v>
      </c>
      <c r="I6461" t="s">
        <v>4909</v>
      </c>
      <c r="J6461" t="s">
        <v>4909</v>
      </c>
      <c r="K6461" t="s">
        <v>4909</v>
      </c>
    </row>
    <row r="6462" spans="1:11" x14ac:dyDescent="0.2">
      <c r="A6462" t="s">
        <v>1808</v>
      </c>
      <c r="B6462" t="s">
        <v>4909</v>
      </c>
      <c r="C6462" t="s">
        <v>4909</v>
      </c>
      <c r="D6462" t="s">
        <v>4909</v>
      </c>
      <c r="E6462" t="s">
        <v>4909</v>
      </c>
      <c r="F6462" t="s">
        <v>4909</v>
      </c>
      <c r="G6462" t="s">
        <v>4909</v>
      </c>
      <c r="H6462" t="s">
        <v>4909</v>
      </c>
      <c r="I6462" t="s">
        <v>4909</v>
      </c>
      <c r="J6462" t="s">
        <v>4909</v>
      </c>
      <c r="K6462" t="s">
        <v>4909</v>
      </c>
    </row>
    <row r="6463" spans="1:11" x14ac:dyDescent="0.2">
      <c r="A6463" t="s">
        <v>1813</v>
      </c>
      <c r="B6463" t="s">
        <v>4909</v>
      </c>
      <c r="C6463" t="s">
        <v>4909</v>
      </c>
      <c r="D6463" t="s">
        <v>4909</v>
      </c>
      <c r="E6463" t="s">
        <v>4909</v>
      </c>
      <c r="F6463" t="s">
        <v>4909</v>
      </c>
      <c r="G6463" t="s">
        <v>4909</v>
      </c>
      <c r="H6463" t="s">
        <v>4909</v>
      </c>
      <c r="I6463" t="s">
        <v>4909</v>
      </c>
      <c r="J6463" t="s">
        <v>4909</v>
      </c>
      <c r="K6463" t="s">
        <v>4909</v>
      </c>
    </row>
    <row r="6464" spans="1:11" x14ac:dyDescent="0.2">
      <c r="A6464" t="s">
        <v>1819</v>
      </c>
      <c r="B6464" t="s">
        <v>4909</v>
      </c>
      <c r="C6464" t="s">
        <v>4909</v>
      </c>
      <c r="D6464" t="s">
        <v>4909</v>
      </c>
      <c r="E6464" t="s">
        <v>4909</v>
      </c>
      <c r="F6464" t="s">
        <v>4909</v>
      </c>
      <c r="G6464" t="s">
        <v>4909</v>
      </c>
      <c r="H6464" t="s">
        <v>4909</v>
      </c>
      <c r="I6464" t="s">
        <v>4909</v>
      </c>
      <c r="J6464" t="s">
        <v>4909</v>
      </c>
      <c r="K6464" t="s">
        <v>4909</v>
      </c>
    </row>
    <row r="6465" spans="1:11" x14ac:dyDescent="0.2">
      <c r="A6465" t="s">
        <v>1826</v>
      </c>
      <c r="B6465" t="s">
        <v>4909</v>
      </c>
      <c r="C6465" t="s">
        <v>4909</v>
      </c>
      <c r="D6465" t="s">
        <v>4909</v>
      </c>
      <c r="E6465" t="s">
        <v>4909</v>
      </c>
      <c r="F6465" t="s">
        <v>4909</v>
      </c>
      <c r="G6465" t="s">
        <v>4909</v>
      </c>
      <c r="H6465" t="s">
        <v>4909</v>
      </c>
      <c r="I6465" t="s">
        <v>4909</v>
      </c>
      <c r="J6465" t="s">
        <v>4909</v>
      </c>
      <c r="K6465" t="s">
        <v>4909</v>
      </c>
    </row>
    <row r="6466" spans="1:11" x14ac:dyDescent="0.2">
      <c r="A6466" t="s">
        <v>1830</v>
      </c>
      <c r="B6466" t="s">
        <v>4909</v>
      </c>
      <c r="C6466" t="s">
        <v>4909</v>
      </c>
      <c r="D6466" t="s">
        <v>4909</v>
      </c>
      <c r="E6466" t="s">
        <v>4909</v>
      </c>
      <c r="F6466" t="s">
        <v>4909</v>
      </c>
      <c r="G6466" t="s">
        <v>4909</v>
      </c>
      <c r="H6466" t="s">
        <v>4909</v>
      </c>
      <c r="I6466" t="s">
        <v>4909</v>
      </c>
      <c r="J6466" t="s">
        <v>4909</v>
      </c>
      <c r="K6466" t="s">
        <v>4909</v>
      </c>
    </row>
    <row r="6467" spans="1:11" x14ac:dyDescent="0.2">
      <c r="A6467" t="s">
        <v>1836</v>
      </c>
      <c r="B6467" t="s">
        <v>4909</v>
      </c>
      <c r="C6467" t="s">
        <v>4909</v>
      </c>
      <c r="D6467" t="s">
        <v>4909</v>
      </c>
      <c r="E6467" t="s">
        <v>4909</v>
      </c>
      <c r="F6467" t="s">
        <v>4909</v>
      </c>
      <c r="G6467" t="s">
        <v>4909</v>
      </c>
      <c r="H6467" t="s">
        <v>4909</v>
      </c>
      <c r="I6467" t="s">
        <v>4909</v>
      </c>
      <c r="J6467" t="s">
        <v>4909</v>
      </c>
      <c r="K6467" t="s">
        <v>4909</v>
      </c>
    </row>
    <row r="6468" spans="1:11" x14ac:dyDescent="0.2">
      <c r="A6468" t="s">
        <v>1841</v>
      </c>
      <c r="B6468" t="s">
        <v>4909</v>
      </c>
      <c r="C6468" t="s">
        <v>4909</v>
      </c>
      <c r="D6468" t="s">
        <v>4909</v>
      </c>
      <c r="E6468" t="s">
        <v>4909</v>
      </c>
      <c r="F6468" t="s">
        <v>4909</v>
      </c>
      <c r="G6468" t="s">
        <v>4909</v>
      </c>
      <c r="H6468" t="s">
        <v>4909</v>
      </c>
      <c r="I6468" t="s">
        <v>4909</v>
      </c>
      <c r="J6468" t="s">
        <v>4909</v>
      </c>
      <c r="K6468" t="s">
        <v>4909</v>
      </c>
    </row>
    <row r="6469" spans="1:11" x14ac:dyDescent="0.2">
      <c r="A6469" t="s">
        <v>1842</v>
      </c>
      <c r="B6469" s="88">
        <v>0.01</v>
      </c>
      <c r="C6469" t="s">
        <v>4909</v>
      </c>
      <c r="D6469" s="88">
        <v>1E-3</v>
      </c>
      <c r="E6469" t="s">
        <v>4909</v>
      </c>
      <c r="F6469" s="88">
        <v>1E-3</v>
      </c>
      <c r="G6469" s="88">
        <v>5.8999999999999997E-2</v>
      </c>
      <c r="H6469" t="s">
        <v>4909</v>
      </c>
      <c r="I6469" s="88">
        <v>1E-3</v>
      </c>
      <c r="J6469" s="88">
        <v>4.8000000000000001E-2</v>
      </c>
      <c r="K6469" t="s">
        <v>4909</v>
      </c>
    </row>
    <row r="6470" spans="1:11" x14ac:dyDescent="0.2">
      <c r="A6470" t="s">
        <v>1843</v>
      </c>
      <c r="B6470" t="s">
        <v>4909</v>
      </c>
      <c r="C6470" t="s">
        <v>4909</v>
      </c>
      <c r="D6470" t="s">
        <v>4909</v>
      </c>
      <c r="E6470" t="s">
        <v>4909</v>
      </c>
      <c r="F6470" t="s">
        <v>4909</v>
      </c>
      <c r="G6470" t="s">
        <v>4909</v>
      </c>
      <c r="H6470" t="s">
        <v>4909</v>
      </c>
      <c r="I6470" t="s">
        <v>4909</v>
      </c>
      <c r="J6470" t="s">
        <v>4909</v>
      </c>
      <c r="K6470" t="s">
        <v>4909</v>
      </c>
    </row>
    <row r="6471" spans="1:11" x14ac:dyDescent="0.2">
      <c r="A6471" t="s">
        <v>1846</v>
      </c>
      <c r="B6471" t="s">
        <v>4909</v>
      </c>
      <c r="C6471" t="s">
        <v>4909</v>
      </c>
      <c r="D6471" t="s">
        <v>4909</v>
      </c>
      <c r="E6471" t="s">
        <v>4909</v>
      </c>
      <c r="F6471" t="s">
        <v>4909</v>
      </c>
      <c r="G6471" s="88">
        <v>3.0000000000000001E-3</v>
      </c>
      <c r="H6471" t="s">
        <v>4909</v>
      </c>
      <c r="I6471" t="s">
        <v>4909</v>
      </c>
      <c r="J6471" s="88">
        <v>3.0000000000000001E-3</v>
      </c>
      <c r="K6471" t="s">
        <v>4909</v>
      </c>
    </row>
    <row r="6472" spans="1:11" x14ac:dyDescent="0.2">
      <c r="A6472" t="s">
        <v>1851</v>
      </c>
      <c r="B6472" s="88">
        <v>1E-3</v>
      </c>
      <c r="C6472" t="s">
        <v>4909</v>
      </c>
      <c r="D6472" s="88">
        <v>0</v>
      </c>
      <c r="E6472" t="s">
        <v>4909</v>
      </c>
      <c r="F6472" s="88">
        <v>0</v>
      </c>
      <c r="G6472" s="88">
        <v>7.0000000000000001E-3</v>
      </c>
      <c r="H6472" t="s">
        <v>4909</v>
      </c>
      <c r="I6472" s="88">
        <v>0</v>
      </c>
      <c r="J6472" s="88">
        <v>6.0000000000000001E-3</v>
      </c>
      <c r="K6472" t="s">
        <v>4909</v>
      </c>
    </row>
    <row r="6473" spans="1:11" x14ac:dyDescent="0.2">
      <c r="A6473" t="s">
        <v>1857</v>
      </c>
      <c r="B6473" t="s">
        <v>4909</v>
      </c>
      <c r="C6473" t="s">
        <v>4909</v>
      </c>
      <c r="D6473" t="s">
        <v>4909</v>
      </c>
      <c r="E6473" t="s">
        <v>4909</v>
      </c>
      <c r="F6473" t="s">
        <v>4909</v>
      </c>
      <c r="G6473" t="s">
        <v>4909</v>
      </c>
      <c r="H6473" t="s">
        <v>4909</v>
      </c>
      <c r="I6473" t="s">
        <v>4909</v>
      </c>
      <c r="J6473" t="s">
        <v>4909</v>
      </c>
      <c r="K6473" t="s">
        <v>4909</v>
      </c>
    </row>
    <row r="6474" spans="1:11" x14ac:dyDescent="0.2">
      <c r="A6474" t="s">
        <v>1862</v>
      </c>
      <c r="B6474" t="s">
        <v>4909</v>
      </c>
      <c r="C6474" t="s">
        <v>4909</v>
      </c>
      <c r="D6474" t="s">
        <v>4909</v>
      </c>
      <c r="E6474" t="s">
        <v>4909</v>
      </c>
      <c r="F6474" t="s">
        <v>4909</v>
      </c>
      <c r="G6474" t="s">
        <v>4909</v>
      </c>
      <c r="H6474" t="s">
        <v>4909</v>
      </c>
      <c r="I6474" t="s">
        <v>4909</v>
      </c>
      <c r="J6474" t="s">
        <v>4909</v>
      </c>
      <c r="K6474" t="s">
        <v>4909</v>
      </c>
    </row>
    <row r="6475" spans="1:11" x14ac:dyDescent="0.2">
      <c r="A6475" t="s">
        <v>1867</v>
      </c>
      <c r="B6475" t="s">
        <v>4909</v>
      </c>
      <c r="C6475" t="s">
        <v>4909</v>
      </c>
      <c r="D6475" t="s">
        <v>4909</v>
      </c>
      <c r="E6475" t="s">
        <v>4909</v>
      </c>
      <c r="F6475" t="s">
        <v>4909</v>
      </c>
      <c r="G6475" t="s">
        <v>4909</v>
      </c>
      <c r="H6475" t="s">
        <v>4909</v>
      </c>
      <c r="I6475" t="s">
        <v>4909</v>
      </c>
      <c r="J6475" t="s">
        <v>4909</v>
      </c>
      <c r="K6475" t="s">
        <v>4909</v>
      </c>
    </row>
    <row r="6476" spans="1:11" x14ac:dyDescent="0.2">
      <c r="A6476" t="s">
        <v>1870</v>
      </c>
      <c r="B6476" t="s">
        <v>4909</v>
      </c>
      <c r="C6476" t="s">
        <v>4909</v>
      </c>
      <c r="D6476" t="s">
        <v>4909</v>
      </c>
      <c r="E6476" t="s">
        <v>4909</v>
      </c>
      <c r="F6476" t="s">
        <v>4909</v>
      </c>
      <c r="G6476" t="s">
        <v>4909</v>
      </c>
      <c r="H6476" t="s">
        <v>4909</v>
      </c>
      <c r="I6476" t="s">
        <v>4909</v>
      </c>
      <c r="J6476" t="s">
        <v>4909</v>
      </c>
      <c r="K6476" t="s">
        <v>4909</v>
      </c>
    </row>
    <row r="6477" spans="1:11" x14ac:dyDescent="0.2">
      <c r="A6477" t="s">
        <v>1874</v>
      </c>
      <c r="B6477" s="88">
        <v>1E-3</v>
      </c>
      <c r="C6477" t="s">
        <v>4909</v>
      </c>
      <c r="D6477" s="88">
        <v>0</v>
      </c>
      <c r="E6477" t="s">
        <v>4909</v>
      </c>
      <c r="F6477" s="88">
        <v>0</v>
      </c>
      <c r="G6477" s="88">
        <v>1.0999999999999999E-2</v>
      </c>
      <c r="H6477" t="s">
        <v>4909</v>
      </c>
      <c r="I6477" s="88">
        <v>0</v>
      </c>
      <c r="J6477" s="88">
        <v>8.9999999999999993E-3</v>
      </c>
      <c r="K6477" t="s">
        <v>4909</v>
      </c>
    </row>
    <row r="6478" spans="1:11" x14ac:dyDescent="0.2">
      <c r="A6478" t="s">
        <v>1876</v>
      </c>
      <c r="B6478" t="s">
        <v>4909</v>
      </c>
      <c r="C6478" t="s">
        <v>4909</v>
      </c>
      <c r="D6478" t="s">
        <v>4909</v>
      </c>
      <c r="E6478" t="s">
        <v>4909</v>
      </c>
      <c r="F6478" t="s">
        <v>4909</v>
      </c>
      <c r="G6478" t="s">
        <v>4909</v>
      </c>
      <c r="H6478" t="s">
        <v>4909</v>
      </c>
      <c r="I6478" t="s">
        <v>4909</v>
      </c>
      <c r="J6478" t="s">
        <v>4909</v>
      </c>
      <c r="K6478" t="s">
        <v>4909</v>
      </c>
    </row>
    <row r="6479" spans="1:11" x14ac:dyDescent="0.2">
      <c r="A6479" t="s">
        <v>1881</v>
      </c>
      <c r="B6479" t="s">
        <v>4909</v>
      </c>
      <c r="C6479" t="s">
        <v>4909</v>
      </c>
      <c r="D6479" t="s">
        <v>4909</v>
      </c>
      <c r="E6479" t="s">
        <v>4909</v>
      </c>
      <c r="F6479" t="s">
        <v>4909</v>
      </c>
      <c r="G6479" t="s">
        <v>4909</v>
      </c>
      <c r="H6479" t="s">
        <v>4909</v>
      </c>
      <c r="I6479" t="s">
        <v>4909</v>
      </c>
      <c r="J6479" t="s">
        <v>4909</v>
      </c>
      <c r="K6479" t="s">
        <v>4909</v>
      </c>
    </row>
    <row r="6480" spans="1:11" x14ac:dyDescent="0.2">
      <c r="A6480" t="s">
        <v>1885</v>
      </c>
      <c r="B6480" s="88">
        <v>2.1999999999999999E-2</v>
      </c>
      <c r="C6480" t="s">
        <v>4909</v>
      </c>
      <c r="D6480" s="88">
        <v>1E-3</v>
      </c>
      <c r="E6480" t="s">
        <v>4909</v>
      </c>
      <c r="F6480" s="88">
        <v>2E-3</v>
      </c>
      <c r="G6480" s="88">
        <v>0.13600000000000001</v>
      </c>
      <c r="H6480" t="s">
        <v>4909</v>
      </c>
      <c r="I6480" s="88">
        <v>2E-3</v>
      </c>
      <c r="J6480" s="88">
        <v>0.10299999999999999</v>
      </c>
      <c r="K6480" t="s">
        <v>4909</v>
      </c>
    </row>
    <row r="6481" spans="1:11" x14ac:dyDescent="0.2">
      <c r="A6481" t="s">
        <v>1887</v>
      </c>
      <c r="B6481" s="88">
        <v>1.9E-2</v>
      </c>
      <c r="C6481" t="s">
        <v>4909</v>
      </c>
      <c r="D6481" s="88">
        <v>2E-3</v>
      </c>
      <c r="E6481" t="s">
        <v>4909</v>
      </c>
      <c r="F6481" s="88">
        <v>3.0000000000000001E-3</v>
      </c>
      <c r="G6481" s="88">
        <v>0.13700000000000001</v>
      </c>
      <c r="H6481" t="s">
        <v>4909</v>
      </c>
      <c r="I6481" s="88">
        <v>3.0000000000000001E-3</v>
      </c>
      <c r="J6481" s="88">
        <v>9.8000000000000004E-2</v>
      </c>
      <c r="K6481" t="s">
        <v>4909</v>
      </c>
    </row>
    <row r="6482" spans="1:11" x14ac:dyDescent="0.2">
      <c r="A6482" t="s">
        <v>1893</v>
      </c>
      <c r="B6482" s="88">
        <v>1.7999999999999999E-2</v>
      </c>
      <c r="C6482" t="s">
        <v>4909</v>
      </c>
      <c r="D6482" s="88">
        <v>1E-3</v>
      </c>
      <c r="E6482" t="s">
        <v>4909</v>
      </c>
      <c r="F6482" s="88">
        <v>2E-3</v>
      </c>
      <c r="G6482" s="88">
        <v>0.13800000000000001</v>
      </c>
      <c r="H6482" t="s">
        <v>4909</v>
      </c>
      <c r="I6482" s="88">
        <v>3.0000000000000001E-3</v>
      </c>
      <c r="J6482" s="88">
        <v>8.7999999999999995E-2</v>
      </c>
      <c r="K6482" t="s">
        <v>4909</v>
      </c>
    </row>
    <row r="6483" spans="1:11" x14ac:dyDescent="0.2">
      <c r="A6483" t="s">
        <v>1899</v>
      </c>
      <c r="B6483" t="s">
        <v>4909</v>
      </c>
      <c r="C6483" t="s">
        <v>4909</v>
      </c>
      <c r="D6483" t="s">
        <v>4909</v>
      </c>
      <c r="E6483" t="s">
        <v>4909</v>
      </c>
      <c r="F6483" t="s">
        <v>4909</v>
      </c>
      <c r="G6483" t="s">
        <v>4909</v>
      </c>
      <c r="H6483" t="s">
        <v>4909</v>
      </c>
      <c r="I6483" t="s">
        <v>4909</v>
      </c>
      <c r="J6483" t="s">
        <v>4909</v>
      </c>
      <c r="K6483" t="s">
        <v>4909</v>
      </c>
    </row>
    <row r="6484" spans="1:11" x14ac:dyDescent="0.2">
      <c r="A6484" t="s">
        <v>1906</v>
      </c>
      <c r="B6484" t="s">
        <v>4909</v>
      </c>
      <c r="C6484" t="s">
        <v>4909</v>
      </c>
      <c r="D6484" t="s">
        <v>4909</v>
      </c>
      <c r="E6484" t="s">
        <v>4909</v>
      </c>
      <c r="F6484" t="s">
        <v>4909</v>
      </c>
      <c r="G6484" t="s">
        <v>4909</v>
      </c>
      <c r="H6484" t="s">
        <v>4909</v>
      </c>
      <c r="I6484" t="s">
        <v>4909</v>
      </c>
      <c r="J6484" t="s">
        <v>4909</v>
      </c>
      <c r="K6484" t="s">
        <v>4909</v>
      </c>
    </row>
    <row r="6485" spans="1:11" x14ac:dyDescent="0.2">
      <c r="A6485" t="s">
        <v>1911</v>
      </c>
      <c r="B6485" t="s">
        <v>4909</v>
      </c>
      <c r="C6485" t="s">
        <v>4909</v>
      </c>
      <c r="D6485" t="s">
        <v>4909</v>
      </c>
      <c r="E6485" t="s">
        <v>4909</v>
      </c>
      <c r="F6485" t="s">
        <v>4909</v>
      </c>
      <c r="G6485" t="s">
        <v>4909</v>
      </c>
      <c r="H6485" t="s">
        <v>4909</v>
      </c>
      <c r="I6485" t="s">
        <v>4909</v>
      </c>
      <c r="J6485" t="s">
        <v>4909</v>
      </c>
      <c r="K6485" t="s">
        <v>4909</v>
      </c>
    </row>
    <row r="6486" spans="1:11" x14ac:dyDescent="0.2">
      <c r="A6486" t="s">
        <v>1917</v>
      </c>
      <c r="B6486" t="s">
        <v>4909</v>
      </c>
      <c r="C6486" t="s">
        <v>4909</v>
      </c>
      <c r="D6486" s="88">
        <v>0</v>
      </c>
      <c r="E6486" t="s">
        <v>4909</v>
      </c>
      <c r="F6486" s="88">
        <v>0</v>
      </c>
      <c r="G6486" s="88">
        <v>1.6E-2</v>
      </c>
      <c r="H6486" t="s">
        <v>4909</v>
      </c>
      <c r="I6486" s="88">
        <v>0</v>
      </c>
      <c r="J6486" s="88">
        <v>6.0000000000000001E-3</v>
      </c>
      <c r="K6486" t="s">
        <v>4909</v>
      </c>
    </row>
    <row r="6487" spans="1:11" x14ac:dyDescent="0.2">
      <c r="A6487" t="s">
        <v>1922</v>
      </c>
      <c r="B6487" t="s">
        <v>4909</v>
      </c>
      <c r="C6487" t="s">
        <v>4909</v>
      </c>
      <c r="D6487" t="s">
        <v>4909</v>
      </c>
      <c r="E6487" t="s">
        <v>4909</v>
      </c>
      <c r="F6487" t="s">
        <v>4909</v>
      </c>
      <c r="G6487" s="88">
        <v>0</v>
      </c>
      <c r="H6487" t="s">
        <v>4909</v>
      </c>
      <c r="I6487" t="s">
        <v>4909</v>
      </c>
      <c r="J6487" t="s">
        <v>4909</v>
      </c>
      <c r="K6487" t="s">
        <v>4909</v>
      </c>
    </row>
    <row r="6488" spans="1:11" x14ac:dyDescent="0.2">
      <c r="A6488" t="s">
        <v>1928</v>
      </c>
      <c r="B6488" t="s">
        <v>4909</v>
      </c>
      <c r="C6488" t="s">
        <v>4909</v>
      </c>
      <c r="D6488" s="88">
        <v>0</v>
      </c>
      <c r="E6488" t="s">
        <v>4909</v>
      </c>
      <c r="F6488" t="s">
        <v>4909</v>
      </c>
      <c r="G6488" s="88">
        <v>0</v>
      </c>
      <c r="H6488" t="s">
        <v>4909</v>
      </c>
      <c r="I6488" t="s">
        <v>4909</v>
      </c>
      <c r="J6488" t="s">
        <v>4909</v>
      </c>
      <c r="K6488" t="s">
        <v>4909</v>
      </c>
    </row>
    <row r="6489" spans="1:11" x14ac:dyDescent="0.2">
      <c r="A6489" t="s">
        <v>1932</v>
      </c>
      <c r="B6489" t="s">
        <v>4909</v>
      </c>
      <c r="C6489" t="s">
        <v>4909</v>
      </c>
      <c r="D6489" t="s">
        <v>4909</v>
      </c>
      <c r="E6489" t="s">
        <v>4909</v>
      </c>
      <c r="F6489" t="s">
        <v>4909</v>
      </c>
      <c r="G6489" t="s">
        <v>4909</v>
      </c>
      <c r="H6489" t="s">
        <v>4909</v>
      </c>
      <c r="I6489" t="s">
        <v>4909</v>
      </c>
      <c r="J6489" t="s">
        <v>4909</v>
      </c>
      <c r="K6489" t="s">
        <v>4909</v>
      </c>
    </row>
    <row r="6490" spans="1:11" x14ac:dyDescent="0.2">
      <c r="A6490" t="s">
        <v>1938</v>
      </c>
      <c r="B6490" t="s">
        <v>4909</v>
      </c>
      <c r="C6490" t="s">
        <v>4909</v>
      </c>
      <c r="D6490" t="s">
        <v>4909</v>
      </c>
      <c r="E6490" t="s">
        <v>4909</v>
      </c>
      <c r="F6490" t="s">
        <v>4909</v>
      </c>
      <c r="G6490" t="s">
        <v>4909</v>
      </c>
      <c r="H6490" t="s">
        <v>4909</v>
      </c>
      <c r="I6490" t="s">
        <v>4909</v>
      </c>
      <c r="J6490" t="s">
        <v>4909</v>
      </c>
      <c r="K6490" t="s">
        <v>4909</v>
      </c>
    </row>
    <row r="6491" spans="1:11" x14ac:dyDescent="0.2">
      <c r="A6491" t="s">
        <v>1944</v>
      </c>
      <c r="B6491" s="88">
        <v>3.7999999999999999E-2</v>
      </c>
      <c r="C6491" t="s">
        <v>4909</v>
      </c>
      <c r="D6491" s="88">
        <v>2E-3</v>
      </c>
      <c r="E6491" t="s">
        <v>4909</v>
      </c>
      <c r="F6491" s="88">
        <v>3.0000000000000001E-3</v>
      </c>
      <c r="G6491" s="88">
        <v>0.17499999999999999</v>
      </c>
      <c r="H6491" t="s">
        <v>4909</v>
      </c>
      <c r="I6491" s="88">
        <v>6.0000000000000001E-3</v>
      </c>
      <c r="J6491" s="88">
        <v>0.17599999999999999</v>
      </c>
      <c r="K6491" t="s">
        <v>4909</v>
      </c>
    </row>
    <row r="6492" spans="1:11" x14ac:dyDescent="0.2">
      <c r="A6492" t="s">
        <v>1947</v>
      </c>
      <c r="B6492" s="88">
        <v>4.3999999999999997E-2</v>
      </c>
      <c r="C6492" t="s">
        <v>4909</v>
      </c>
      <c r="D6492" s="88">
        <v>3.0000000000000001E-3</v>
      </c>
      <c r="E6492" t="s">
        <v>4909</v>
      </c>
      <c r="F6492" s="88">
        <v>3.0000000000000001E-3</v>
      </c>
      <c r="G6492" s="88">
        <v>0.185</v>
      </c>
      <c r="H6492" t="s">
        <v>4909</v>
      </c>
      <c r="I6492" s="88">
        <v>6.0000000000000001E-3</v>
      </c>
      <c r="J6492" s="88">
        <v>0.185</v>
      </c>
      <c r="K6492" t="s">
        <v>4909</v>
      </c>
    </row>
    <row r="6493" spans="1:11" x14ac:dyDescent="0.2">
      <c r="A6493" t="s">
        <v>1953</v>
      </c>
      <c r="B6493" s="88">
        <v>0.04</v>
      </c>
      <c r="C6493" t="s">
        <v>4909</v>
      </c>
      <c r="D6493" s="88">
        <v>3.0000000000000001E-3</v>
      </c>
      <c r="E6493" t="s">
        <v>4909</v>
      </c>
      <c r="F6493" s="88">
        <v>5.0000000000000001E-3</v>
      </c>
      <c r="G6493" s="88">
        <v>0.23300000000000001</v>
      </c>
      <c r="H6493" t="s">
        <v>4909</v>
      </c>
      <c r="I6493" s="88">
        <v>5.0000000000000001E-3</v>
      </c>
      <c r="J6493" s="88">
        <v>0.17499999999999999</v>
      </c>
      <c r="K6493" t="s">
        <v>4909</v>
      </c>
    </row>
    <row r="6494" spans="1:11" x14ac:dyDescent="0.2">
      <c r="A6494" t="s">
        <v>1958</v>
      </c>
      <c r="B6494" t="s">
        <v>4909</v>
      </c>
      <c r="C6494" t="s">
        <v>4909</v>
      </c>
      <c r="D6494" t="s">
        <v>4909</v>
      </c>
      <c r="E6494" t="s">
        <v>4909</v>
      </c>
      <c r="F6494" t="s">
        <v>4909</v>
      </c>
      <c r="G6494" t="s">
        <v>4909</v>
      </c>
      <c r="H6494" t="s">
        <v>4909</v>
      </c>
      <c r="I6494" t="s">
        <v>4909</v>
      </c>
      <c r="J6494" t="s">
        <v>4909</v>
      </c>
      <c r="K6494" t="s">
        <v>4909</v>
      </c>
    </row>
    <row r="6495" spans="1:11" x14ac:dyDescent="0.2">
      <c r="A6495" t="s">
        <v>1964</v>
      </c>
      <c r="B6495" t="s">
        <v>4909</v>
      </c>
      <c r="C6495" t="s">
        <v>4909</v>
      </c>
      <c r="D6495" t="s">
        <v>4909</v>
      </c>
      <c r="E6495" t="s">
        <v>4909</v>
      </c>
      <c r="F6495" t="s">
        <v>4909</v>
      </c>
      <c r="G6495" t="s">
        <v>4909</v>
      </c>
      <c r="H6495" t="s">
        <v>4909</v>
      </c>
      <c r="I6495" t="s">
        <v>4909</v>
      </c>
      <c r="J6495" t="s">
        <v>4909</v>
      </c>
      <c r="K6495" t="s">
        <v>4909</v>
      </c>
    </row>
    <row r="6496" spans="1:11" x14ac:dyDescent="0.2">
      <c r="A6496" t="s">
        <v>1973</v>
      </c>
      <c r="B6496" t="s">
        <v>4909</v>
      </c>
      <c r="C6496" t="s">
        <v>4909</v>
      </c>
      <c r="D6496" t="s">
        <v>4909</v>
      </c>
      <c r="E6496" t="s">
        <v>4909</v>
      </c>
      <c r="F6496" t="s">
        <v>4909</v>
      </c>
      <c r="G6496" s="88">
        <v>1E-3</v>
      </c>
      <c r="H6496" t="s">
        <v>4909</v>
      </c>
      <c r="I6496" s="88">
        <v>0</v>
      </c>
      <c r="J6496" s="88">
        <v>1E-3</v>
      </c>
      <c r="K6496" t="s">
        <v>4909</v>
      </c>
    </row>
    <row r="6497" spans="1:11" x14ac:dyDescent="0.2">
      <c r="A6497" t="s">
        <v>1978</v>
      </c>
      <c r="B6497" t="s">
        <v>4909</v>
      </c>
      <c r="C6497" t="s">
        <v>4909</v>
      </c>
      <c r="D6497" t="s">
        <v>4909</v>
      </c>
      <c r="E6497" t="s">
        <v>4909</v>
      </c>
      <c r="F6497" t="s">
        <v>4909</v>
      </c>
      <c r="G6497" t="s">
        <v>4909</v>
      </c>
      <c r="H6497" t="s">
        <v>4909</v>
      </c>
      <c r="I6497" t="s">
        <v>4909</v>
      </c>
      <c r="J6497" t="s">
        <v>4909</v>
      </c>
      <c r="K6497" t="s">
        <v>4909</v>
      </c>
    </row>
    <row r="6498" spans="1:11" x14ac:dyDescent="0.2">
      <c r="A6498" t="s">
        <v>1983</v>
      </c>
      <c r="B6498" s="88">
        <v>4.5999999999999999E-2</v>
      </c>
      <c r="C6498" t="s">
        <v>4909</v>
      </c>
      <c r="D6498" s="88">
        <v>4.0000000000000001E-3</v>
      </c>
      <c r="E6498" t="s">
        <v>4909</v>
      </c>
      <c r="F6498" s="88">
        <v>2E-3</v>
      </c>
      <c r="G6498" s="88">
        <v>0.38</v>
      </c>
      <c r="H6498" t="s">
        <v>4909</v>
      </c>
      <c r="I6498" s="88">
        <v>2.1000000000000001E-2</v>
      </c>
      <c r="J6498" s="88">
        <v>0.224</v>
      </c>
      <c r="K6498" t="s">
        <v>4909</v>
      </c>
    </row>
    <row r="6499" spans="1:11" x14ac:dyDescent="0.2">
      <c r="A6499" t="s">
        <v>1984</v>
      </c>
      <c r="B6499" t="s">
        <v>4909</v>
      </c>
      <c r="C6499" t="s">
        <v>4909</v>
      </c>
      <c r="D6499" t="s">
        <v>4909</v>
      </c>
      <c r="E6499" t="s">
        <v>4909</v>
      </c>
      <c r="F6499" t="s">
        <v>4909</v>
      </c>
      <c r="G6499" t="s">
        <v>4909</v>
      </c>
      <c r="H6499" t="s">
        <v>4909</v>
      </c>
      <c r="I6499" t="s">
        <v>4909</v>
      </c>
      <c r="J6499" t="s">
        <v>4909</v>
      </c>
      <c r="K6499" t="s">
        <v>4909</v>
      </c>
    </row>
    <row r="6500" spans="1:11" x14ac:dyDescent="0.2">
      <c r="A6500" t="s">
        <v>1990</v>
      </c>
      <c r="B6500" s="88">
        <v>7.1999999999999995E-2</v>
      </c>
      <c r="C6500" t="s">
        <v>4909</v>
      </c>
      <c r="D6500" s="88">
        <v>8.0000000000000002E-3</v>
      </c>
      <c r="E6500" t="s">
        <v>4909</v>
      </c>
      <c r="F6500" s="88">
        <v>8.0000000000000002E-3</v>
      </c>
      <c r="G6500" s="88">
        <v>0.38700000000000001</v>
      </c>
      <c r="H6500" t="s">
        <v>4909</v>
      </c>
      <c r="I6500" s="88">
        <v>1.0999999999999999E-2</v>
      </c>
      <c r="J6500" s="88">
        <v>0.32700000000000001</v>
      </c>
      <c r="K6500" t="s">
        <v>4909</v>
      </c>
    </row>
    <row r="6501" spans="1:11" x14ac:dyDescent="0.2">
      <c r="A6501" t="s">
        <v>1996</v>
      </c>
      <c r="B6501" t="s">
        <v>4909</v>
      </c>
      <c r="C6501" t="s">
        <v>4909</v>
      </c>
      <c r="D6501" t="s">
        <v>4909</v>
      </c>
      <c r="E6501" t="s">
        <v>4909</v>
      </c>
      <c r="F6501" t="s">
        <v>4909</v>
      </c>
      <c r="G6501" t="s">
        <v>4909</v>
      </c>
      <c r="H6501" t="s">
        <v>4909</v>
      </c>
      <c r="I6501" t="s">
        <v>4909</v>
      </c>
      <c r="J6501" t="s">
        <v>4909</v>
      </c>
      <c r="K6501" t="s">
        <v>4909</v>
      </c>
    </row>
    <row r="6502" spans="1:11" x14ac:dyDescent="0.2">
      <c r="A6502" t="s">
        <v>1998</v>
      </c>
      <c r="B6502" t="s">
        <v>4909</v>
      </c>
      <c r="C6502" t="s">
        <v>4909</v>
      </c>
      <c r="D6502" t="s">
        <v>4909</v>
      </c>
      <c r="E6502" t="s">
        <v>4909</v>
      </c>
      <c r="F6502" t="s">
        <v>4909</v>
      </c>
      <c r="G6502" t="s">
        <v>4909</v>
      </c>
      <c r="H6502" t="s">
        <v>4909</v>
      </c>
      <c r="I6502" t="s">
        <v>4909</v>
      </c>
      <c r="J6502" t="s">
        <v>4909</v>
      </c>
      <c r="K6502" t="s">
        <v>4909</v>
      </c>
    </row>
    <row r="6503" spans="1:11" x14ac:dyDescent="0.2">
      <c r="A6503" t="s">
        <v>1999</v>
      </c>
      <c r="B6503" t="s">
        <v>4909</v>
      </c>
      <c r="C6503" t="s">
        <v>4909</v>
      </c>
      <c r="D6503" t="s">
        <v>4909</v>
      </c>
      <c r="E6503" t="s">
        <v>4909</v>
      </c>
      <c r="F6503" t="s">
        <v>4909</v>
      </c>
      <c r="G6503" t="s">
        <v>4909</v>
      </c>
      <c r="H6503" t="s">
        <v>4909</v>
      </c>
      <c r="I6503" t="s">
        <v>4909</v>
      </c>
      <c r="J6503" t="s">
        <v>4909</v>
      </c>
      <c r="K6503" t="s">
        <v>4909</v>
      </c>
    </row>
    <row r="6504" spans="1:11" x14ac:dyDescent="0.2">
      <c r="A6504" t="s">
        <v>2004</v>
      </c>
      <c r="B6504" t="s">
        <v>4909</v>
      </c>
      <c r="C6504" t="s">
        <v>4909</v>
      </c>
      <c r="D6504" t="s">
        <v>4909</v>
      </c>
      <c r="E6504" t="s">
        <v>4909</v>
      </c>
      <c r="F6504" t="s">
        <v>4909</v>
      </c>
      <c r="G6504" t="s">
        <v>4909</v>
      </c>
      <c r="H6504" t="s">
        <v>4909</v>
      </c>
      <c r="I6504" t="s">
        <v>4909</v>
      </c>
      <c r="J6504" t="s">
        <v>4909</v>
      </c>
      <c r="K6504" t="s">
        <v>4909</v>
      </c>
    </row>
    <row r="6505" spans="1:11" x14ac:dyDescent="0.2">
      <c r="A6505" t="s">
        <v>2009</v>
      </c>
      <c r="B6505" t="s">
        <v>4909</v>
      </c>
      <c r="C6505" t="s">
        <v>4909</v>
      </c>
      <c r="D6505" t="s">
        <v>4909</v>
      </c>
      <c r="E6505" t="s">
        <v>4909</v>
      </c>
      <c r="F6505" t="s">
        <v>4909</v>
      </c>
      <c r="G6505" t="s">
        <v>4909</v>
      </c>
      <c r="H6505" t="s">
        <v>4909</v>
      </c>
      <c r="I6505" t="s">
        <v>4909</v>
      </c>
      <c r="J6505" t="s">
        <v>4909</v>
      </c>
      <c r="K6505" t="s">
        <v>4909</v>
      </c>
    </row>
    <row r="6506" spans="1:11" x14ac:dyDescent="0.2">
      <c r="A6506" t="s">
        <v>2014</v>
      </c>
      <c r="B6506" s="88">
        <v>5.2999999999999999E-2</v>
      </c>
      <c r="C6506" t="s">
        <v>4909</v>
      </c>
      <c r="D6506" s="88">
        <v>5.0000000000000001E-3</v>
      </c>
      <c r="E6506" t="s">
        <v>4909</v>
      </c>
      <c r="F6506" s="88">
        <v>1.9E-2</v>
      </c>
      <c r="G6506" s="88">
        <v>0.92100000000000004</v>
      </c>
      <c r="H6506" t="s">
        <v>4909</v>
      </c>
      <c r="I6506" t="s">
        <v>4909</v>
      </c>
      <c r="J6506" t="s">
        <v>4909</v>
      </c>
      <c r="K6506" t="s">
        <v>4909</v>
      </c>
    </row>
    <row r="6507" spans="1:11" x14ac:dyDescent="0.2">
      <c r="A6507" t="s">
        <v>2019</v>
      </c>
      <c r="B6507" t="s">
        <v>4909</v>
      </c>
      <c r="C6507" t="s">
        <v>4909</v>
      </c>
      <c r="D6507" t="s">
        <v>4909</v>
      </c>
      <c r="E6507" t="s">
        <v>4909</v>
      </c>
      <c r="F6507" t="s">
        <v>4909</v>
      </c>
      <c r="G6507" t="s">
        <v>4909</v>
      </c>
      <c r="H6507" t="s">
        <v>4909</v>
      </c>
      <c r="I6507" t="s">
        <v>4909</v>
      </c>
      <c r="J6507" t="s">
        <v>4909</v>
      </c>
      <c r="K6507" t="s">
        <v>4909</v>
      </c>
    </row>
    <row r="6508" spans="1:11" x14ac:dyDescent="0.2">
      <c r="A6508" t="s">
        <v>2023</v>
      </c>
      <c r="B6508" s="88">
        <v>0.94399999999999995</v>
      </c>
      <c r="C6508" t="s">
        <v>4909</v>
      </c>
      <c r="D6508" s="88">
        <v>2E-3</v>
      </c>
      <c r="E6508" t="s">
        <v>4909</v>
      </c>
      <c r="F6508" s="88">
        <v>2E-3</v>
      </c>
      <c r="G6508" s="88">
        <v>5.0999999999999997E-2</v>
      </c>
      <c r="H6508" t="s">
        <v>4909</v>
      </c>
      <c r="I6508" t="s">
        <v>4909</v>
      </c>
      <c r="J6508" t="s">
        <v>4909</v>
      </c>
      <c r="K6508" t="s">
        <v>4909</v>
      </c>
    </row>
    <row r="6509" spans="1:11" x14ac:dyDescent="0.2">
      <c r="A6509" t="s">
        <v>2026</v>
      </c>
      <c r="B6509" t="s">
        <v>4909</v>
      </c>
      <c r="C6509" t="s">
        <v>4909</v>
      </c>
      <c r="D6509" t="s">
        <v>4909</v>
      </c>
      <c r="E6509" t="s">
        <v>4909</v>
      </c>
      <c r="F6509" s="88">
        <v>0</v>
      </c>
      <c r="G6509" s="88">
        <v>2E-3</v>
      </c>
      <c r="H6509" s="88">
        <v>0</v>
      </c>
      <c r="I6509" s="88">
        <v>2.3E-2</v>
      </c>
      <c r="J6509" s="88">
        <v>0.97299999999999998</v>
      </c>
      <c r="K6509" t="s">
        <v>4909</v>
      </c>
    </row>
    <row r="6510" spans="1:11" x14ac:dyDescent="0.2">
      <c r="A6510" t="s">
        <v>2030</v>
      </c>
      <c r="B6510" t="s">
        <v>4909</v>
      </c>
      <c r="C6510" t="s">
        <v>4909</v>
      </c>
      <c r="D6510" t="s">
        <v>4909</v>
      </c>
      <c r="E6510" t="s">
        <v>4909</v>
      </c>
      <c r="F6510" t="s">
        <v>4909</v>
      </c>
      <c r="G6510" t="s">
        <v>4909</v>
      </c>
      <c r="H6510" t="s">
        <v>4909</v>
      </c>
      <c r="I6510" t="s">
        <v>4909</v>
      </c>
      <c r="J6510" t="s">
        <v>4909</v>
      </c>
      <c r="K6510" t="s">
        <v>4909</v>
      </c>
    </row>
    <row r="6511" spans="1:11" x14ac:dyDescent="0.2">
      <c r="A6511" t="s">
        <v>2035</v>
      </c>
      <c r="B6511" s="88">
        <v>1</v>
      </c>
      <c r="C6511" t="s">
        <v>4909</v>
      </c>
      <c r="D6511" t="s">
        <v>4909</v>
      </c>
      <c r="E6511" t="s">
        <v>4909</v>
      </c>
      <c r="F6511" t="s">
        <v>4909</v>
      </c>
      <c r="G6511" t="s">
        <v>4909</v>
      </c>
      <c r="H6511" t="s">
        <v>4909</v>
      </c>
      <c r="I6511" t="s">
        <v>4909</v>
      </c>
      <c r="J6511" t="s">
        <v>4909</v>
      </c>
      <c r="K6511" t="s">
        <v>4909</v>
      </c>
    </row>
    <row r="6512" spans="1:11" x14ac:dyDescent="0.2">
      <c r="A6512" t="s">
        <v>2040</v>
      </c>
      <c r="B6512" t="s">
        <v>4909</v>
      </c>
      <c r="C6512" t="s">
        <v>4909</v>
      </c>
      <c r="D6512" t="s">
        <v>4909</v>
      </c>
      <c r="E6512" t="s">
        <v>4909</v>
      </c>
      <c r="F6512" t="s">
        <v>4909</v>
      </c>
      <c r="G6512" t="s">
        <v>4909</v>
      </c>
      <c r="H6512" s="88">
        <v>0</v>
      </c>
      <c r="I6512" s="88">
        <v>4.7E-2</v>
      </c>
      <c r="J6512" s="88">
        <v>0.95199999999999996</v>
      </c>
      <c r="K6512" t="s">
        <v>4909</v>
      </c>
    </row>
    <row r="6513" spans="1:11" x14ac:dyDescent="0.2">
      <c r="A6513" t="s">
        <v>2045</v>
      </c>
      <c r="B6513" t="s">
        <v>4909</v>
      </c>
      <c r="C6513" t="s">
        <v>4909</v>
      </c>
      <c r="D6513" s="88">
        <v>1</v>
      </c>
      <c r="E6513" t="s">
        <v>4909</v>
      </c>
      <c r="F6513" t="s">
        <v>4909</v>
      </c>
      <c r="G6513" t="s">
        <v>4909</v>
      </c>
      <c r="H6513" t="s">
        <v>4909</v>
      </c>
      <c r="I6513" t="s">
        <v>4909</v>
      </c>
      <c r="J6513" t="s">
        <v>4909</v>
      </c>
      <c r="K6513" t="s">
        <v>4909</v>
      </c>
    </row>
    <row r="6514" spans="1:11" x14ac:dyDescent="0.2">
      <c r="A6514" t="s">
        <v>2049</v>
      </c>
      <c r="B6514" t="s">
        <v>4909</v>
      </c>
      <c r="C6514" t="s">
        <v>4909</v>
      </c>
      <c r="D6514" t="s">
        <v>4909</v>
      </c>
      <c r="E6514" t="s">
        <v>4909</v>
      </c>
      <c r="F6514" t="s">
        <v>4909</v>
      </c>
      <c r="G6514" t="s">
        <v>4909</v>
      </c>
      <c r="H6514" t="s">
        <v>4909</v>
      </c>
      <c r="I6514" t="s">
        <v>4909</v>
      </c>
      <c r="J6514" t="s">
        <v>4909</v>
      </c>
      <c r="K6514" t="s">
        <v>4909</v>
      </c>
    </row>
    <row r="6515" spans="1:11" x14ac:dyDescent="0.2">
      <c r="A6515" t="s">
        <v>2051</v>
      </c>
      <c r="B6515" s="88">
        <v>1E-3</v>
      </c>
      <c r="C6515" t="s">
        <v>4909</v>
      </c>
      <c r="D6515" t="s">
        <v>4909</v>
      </c>
      <c r="E6515" t="s">
        <v>4909</v>
      </c>
      <c r="F6515" t="s">
        <v>4909</v>
      </c>
      <c r="G6515" s="88">
        <v>4.0000000000000001E-3</v>
      </c>
      <c r="H6515" t="s">
        <v>4909</v>
      </c>
      <c r="I6515" s="88">
        <v>0</v>
      </c>
      <c r="J6515" s="88">
        <v>7.0000000000000001E-3</v>
      </c>
      <c r="K6515" t="s">
        <v>4909</v>
      </c>
    </row>
    <row r="6516" spans="1:11" x14ac:dyDescent="0.2">
      <c r="A6516" t="s">
        <v>2057</v>
      </c>
      <c r="B6516" s="88">
        <v>1E-3</v>
      </c>
      <c r="C6516" t="s">
        <v>4909</v>
      </c>
      <c r="D6516" s="88">
        <v>0</v>
      </c>
      <c r="E6516" t="s">
        <v>4909</v>
      </c>
      <c r="F6516" t="s">
        <v>4909</v>
      </c>
      <c r="G6516" s="88">
        <v>7.0000000000000001E-3</v>
      </c>
      <c r="H6516" t="s">
        <v>4909</v>
      </c>
      <c r="I6516" s="88">
        <v>0</v>
      </c>
      <c r="J6516" s="88">
        <v>8.0000000000000002E-3</v>
      </c>
      <c r="K6516" t="s">
        <v>4909</v>
      </c>
    </row>
    <row r="6517" spans="1:11" x14ac:dyDescent="0.2">
      <c r="A6517" t="s">
        <v>4344</v>
      </c>
      <c r="B6517" s="88">
        <v>1E-3</v>
      </c>
      <c r="C6517" t="s">
        <v>4909</v>
      </c>
      <c r="D6517" s="88">
        <v>0</v>
      </c>
      <c r="E6517" t="s">
        <v>4909</v>
      </c>
      <c r="F6517" s="88">
        <v>0</v>
      </c>
      <c r="G6517" s="88">
        <v>8.0000000000000002E-3</v>
      </c>
      <c r="H6517" t="s">
        <v>4909</v>
      </c>
      <c r="I6517" s="88">
        <v>0</v>
      </c>
      <c r="J6517" s="88">
        <v>7.0000000000000001E-3</v>
      </c>
      <c r="K6517" t="s">
        <v>4909</v>
      </c>
    </row>
    <row r="6518" spans="1:11" x14ac:dyDescent="0.2">
      <c r="A6518" t="s">
        <v>4345</v>
      </c>
      <c r="B6518" s="88">
        <v>1E-3</v>
      </c>
      <c r="C6518" t="s">
        <v>4909</v>
      </c>
      <c r="D6518" s="88">
        <v>0</v>
      </c>
      <c r="E6518" t="s">
        <v>4909</v>
      </c>
      <c r="F6518" s="88">
        <v>0</v>
      </c>
      <c r="G6518" s="88">
        <v>8.0000000000000002E-3</v>
      </c>
      <c r="H6518" t="s">
        <v>4909</v>
      </c>
      <c r="I6518" s="88">
        <v>0</v>
      </c>
      <c r="J6518" s="88">
        <v>7.0000000000000001E-3</v>
      </c>
      <c r="K6518" t="s">
        <v>4909</v>
      </c>
    </row>
    <row r="6519" spans="1:11" x14ac:dyDescent="0.2">
      <c r="A6519" t="s">
        <v>2074</v>
      </c>
      <c r="B6519" t="s">
        <v>4909</v>
      </c>
      <c r="C6519" t="s">
        <v>4909</v>
      </c>
      <c r="D6519" t="s">
        <v>4909</v>
      </c>
      <c r="E6519" t="s">
        <v>4909</v>
      </c>
      <c r="F6519" t="s">
        <v>4909</v>
      </c>
      <c r="G6519" t="s">
        <v>4909</v>
      </c>
      <c r="H6519" t="s">
        <v>4909</v>
      </c>
      <c r="I6519" t="s">
        <v>4909</v>
      </c>
      <c r="J6519" t="s">
        <v>4909</v>
      </c>
      <c r="K6519" t="s">
        <v>4909</v>
      </c>
    </row>
    <row r="6520" spans="1:11" x14ac:dyDescent="0.2">
      <c r="A6520" t="s">
        <v>2079</v>
      </c>
      <c r="B6520" t="s">
        <v>4909</v>
      </c>
      <c r="C6520" t="s">
        <v>4909</v>
      </c>
      <c r="D6520" t="s">
        <v>4909</v>
      </c>
      <c r="E6520" t="s">
        <v>4909</v>
      </c>
      <c r="F6520" t="s">
        <v>4909</v>
      </c>
      <c r="G6520" t="s">
        <v>4909</v>
      </c>
      <c r="H6520" t="s">
        <v>4909</v>
      </c>
      <c r="I6520" t="s">
        <v>4909</v>
      </c>
      <c r="J6520" t="s">
        <v>4909</v>
      </c>
      <c r="K6520" t="s">
        <v>4909</v>
      </c>
    </row>
    <row r="6521" spans="1:11" x14ac:dyDescent="0.2">
      <c r="A6521" t="s">
        <v>2085</v>
      </c>
      <c r="B6521" t="s">
        <v>4909</v>
      </c>
      <c r="C6521" t="s">
        <v>4909</v>
      </c>
      <c r="D6521" t="s">
        <v>4909</v>
      </c>
      <c r="E6521" t="s">
        <v>4909</v>
      </c>
      <c r="F6521" t="s">
        <v>4909</v>
      </c>
      <c r="G6521" t="s">
        <v>4909</v>
      </c>
      <c r="H6521" t="s">
        <v>4909</v>
      </c>
      <c r="I6521" t="s">
        <v>4909</v>
      </c>
      <c r="J6521" t="s">
        <v>4909</v>
      </c>
      <c r="K6521" t="s">
        <v>4909</v>
      </c>
    </row>
    <row r="6522" spans="1:11" x14ac:dyDescent="0.2">
      <c r="A6522" t="s">
        <v>2091</v>
      </c>
      <c r="B6522" t="s">
        <v>4909</v>
      </c>
      <c r="C6522" t="s">
        <v>4909</v>
      </c>
      <c r="D6522" t="s">
        <v>4909</v>
      </c>
      <c r="E6522" t="s">
        <v>4909</v>
      </c>
      <c r="F6522" t="s">
        <v>4909</v>
      </c>
      <c r="G6522" t="s">
        <v>4909</v>
      </c>
      <c r="H6522" t="s">
        <v>4909</v>
      </c>
      <c r="I6522" t="s">
        <v>4909</v>
      </c>
      <c r="J6522" t="s">
        <v>4909</v>
      </c>
      <c r="K6522" t="s">
        <v>4909</v>
      </c>
    </row>
    <row r="6523" spans="1:11" x14ac:dyDescent="0.2">
      <c r="A6523" t="s">
        <v>2097</v>
      </c>
      <c r="B6523" t="s">
        <v>4909</v>
      </c>
      <c r="C6523" t="s">
        <v>4909</v>
      </c>
      <c r="D6523" t="s">
        <v>4909</v>
      </c>
      <c r="E6523" t="s">
        <v>4909</v>
      </c>
      <c r="F6523" t="s">
        <v>4909</v>
      </c>
      <c r="G6523" t="s">
        <v>4909</v>
      </c>
      <c r="H6523" t="s">
        <v>4909</v>
      </c>
      <c r="I6523" t="s">
        <v>4909</v>
      </c>
      <c r="J6523" t="s">
        <v>4909</v>
      </c>
      <c r="K6523" t="s">
        <v>4909</v>
      </c>
    </row>
    <row r="6524" spans="1:11" x14ac:dyDescent="0.2">
      <c r="A6524" t="s">
        <v>2101</v>
      </c>
      <c r="B6524" t="s">
        <v>4909</v>
      </c>
      <c r="C6524" t="s">
        <v>4909</v>
      </c>
      <c r="D6524" t="s">
        <v>4909</v>
      </c>
      <c r="E6524" t="s">
        <v>4909</v>
      </c>
      <c r="F6524" t="s">
        <v>4909</v>
      </c>
      <c r="G6524" t="s">
        <v>4909</v>
      </c>
      <c r="H6524" t="s">
        <v>4909</v>
      </c>
      <c r="I6524" t="s">
        <v>4909</v>
      </c>
      <c r="J6524" t="s">
        <v>4909</v>
      </c>
      <c r="K6524" t="s">
        <v>4909</v>
      </c>
    </row>
    <row r="6525" spans="1:11" x14ac:dyDescent="0.2">
      <c r="A6525" t="s">
        <v>2104</v>
      </c>
      <c r="B6525" t="s">
        <v>4909</v>
      </c>
      <c r="C6525" t="s">
        <v>4909</v>
      </c>
      <c r="D6525" t="s">
        <v>4909</v>
      </c>
      <c r="E6525" t="s">
        <v>4909</v>
      </c>
      <c r="F6525" t="s">
        <v>4909</v>
      </c>
      <c r="G6525" t="s">
        <v>4909</v>
      </c>
      <c r="H6525" t="s">
        <v>4909</v>
      </c>
      <c r="I6525" t="s">
        <v>4909</v>
      </c>
      <c r="J6525" t="s">
        <v>4909</v>
      </c>
      <c r="K6525" t="s">
        <v>4909</v>
      </c>
    </row>
    <row r="6526" spans="1:11" x14ac:dyDescent="0.2">
      <c r="A6526" t="s">
        <v>2107</v>
      </c>
      <c r="B6526" t="s">
        <v>4909</v>
      </c>
      <c r="C6526" t="s">
        <v>4909</v>
      </c>
      <c r="D6526" t="s">
        <v>4909</v>
      </c>
      <c r="E6526" t="s">
        <v>4909</v>
      </c>
      <c r="F6526" t="s">
        <v>4909</v>
      </c>
      <c r="G6526" t="s">
        <v>4909</v>
      </c>
      <c r="H6526" t="s">
        <v>4909</v>
      </c>
      <c r="I6526" t="s">
        <v>4909</v>
      </c>
      <c r="J6526" t="s">
        <v>4909</v>
      </c>
      <c r="K6526" t="s">
        <v>4909</v>
      </c>
    </row>
    <row r="6527" spans="1:11" x14ac:dyDescent="0.2">
      <c r="A6527" t="s">
        <v>2110</v>
      </c>
      <c r="B6527" t="s">
        <v>4909</v>
      </c>
      <c r="C6527" t="s">
        <v>4909</v>
      </c>
      <c r="D6527" t="s">
        <v>4909</v>
      </c>
      <c r="E6527" t="s">
        <v>4909</v>
      </c>
      <c r="F6527" t="s">
        <v>4909</v>
      </c>
      <c r="G6527" t="s">
        <v>4909</v>
      </c>
      <c r="H6527" t="s">
        <v>4909</v>
      </c>
      <c r="I6527" t="s">
        <v>4909</v>
      </c>
      <c r="J6527" t="s">
        <v>4909</v>
      </c>
      <c r="K6527" t="s">
        <v>4909</v>
      </c>
    </row>
    <row r="6528" spans="1:11" x14ac:dyDescent="0.2">
      <c r="A6528" t="s">
        <v>2113</v>
      </c>
      <c r="B6528" t="s">
        <v>4909</v>
      </c>
      <c r="C6528" t="s">
        <v>4909</v>
      </c>
      <c r="D6528" t="s">
        <v>4909</v>
      </c>
      <c r="E6528" t="s">
        <v>4909</v>
      </c>
      <c r="F6528" t="s">
        <v>4909</v>
      </c>
      <c r="G6528" t="s">
        <v>4909</v>
      </c>
      <c r="H6528" t="s">
        <v>4909</v>
      </c>
      <c r="I6528" t="s">
        <v>4909</v>
      </c>
      <c r="J6528" t="s">
        <v>4909</v>
      </c>
      <c r="K6528" t="s">
        <v>4909</v>
      </c>
    </row>
    <row r="6529" spans="1:11" x14ac:dyDescent="0.2">
      <c r="A6529" t="s">
        <v>4346</v>
      </c>
      <c r="B6529" t="s">
        <v>4909</v>
      </c>
      <c r="C6529" t="s">
        <v>4909</v>
      </c>
      <c r="D6529" t="s">
        <v>4909</v>
      </c>
      <c r="E6529" t="s">
        <v>4909</v>
      </c>
      <c r="F6529" t="s">
        <v>4909</v>
      </c>
      <c r="G6529" t="s">
        <v>4909</v>
      </c>
      <c r="H6529" t="s">
        <v>4909</v>
      </c>
      <c r="I6529" t="s">
        <v>4909</v>
      </c>
      <c r="J6529" t="s">
        <v>4909</v>
      </c>
      <c r="K6529" t="s">
        <v>4909</v>
      </c>
    </row>
    <row r="6530" spans="1:11" x14ac:dyDescent="0.2">
      <c r="A6530" t="s">
        <v>4347</v>
      </c>
      <c r="B6530" t="s">
        <v>4909</v>
      </c>
      <c r="C6530" t="s">
        <v>4909</v>
      </c>
      <c r="D6530" t="s">
        <v>4909</v>
      </c>
      <c r="E6530" t="s">
        <v>4909</v>
      </c>
      <c r="F6530" t="s">
        <v>4909</v>
      </c>
      <c r="G6530" t="s">
        <v>4909</v>
      </c>
      <c r="H6530" t="s">
        <v>4909</v>
      </c>
      <c r="I6530" t="s">
        <v>4909</v>
      </c>
      <c r="J6530" t="s">
        <v>4909</v>
      </c>
      <c r="K6530" t="s">
        <v>4909</v>
      </c>
    </row>
    <row r="6531" spans="1:11" x14ac:dyDescent="0.2">
      <c r="A6531" t="s">
        <v>4348</v>
      </c>
      <c r="B6531" t="s">
        <v>4909</v>
      </c>
      <c r="C6531" t="s">
        <v>4909</v>
      </c>
      <c r="D6531" t="s">
        <v>4909</v>
      </c>
      <c r="E6531" t="s">
        <v>4909</v>
      </c>
      <c r="F6531" t="s">
        <v>4909</v>
      </c>
      <c r="G6531" t="s">
        <v>4909</v>
      </c>
      <c r="H6531" t="s">
        <v>4909</v>
      </c>
      <c r="I6531" t="s">
        <v>4909</v>
      </c>
      <c r="J6531" t="s">
        <v>4909</v>
      </c>
      <c r="K6531" t="s">
        <v>4909</v>
      </c>
    </row>
    <row r="6532" spans="1:11" x14ac:dyDescent="0.2">
      <c r="A6532" t="s">
        <v>4349</v>
      </c>
      <c r="B6532" t="s">
        <v>4909</v>
      </c>
      <c r="C6532" t="s">
        <v>4909</v>
      </c>
      <c r="D6532" t="s">
        <v>4909</v>
      </c>
      <c r="E6532" t="s">
        <v>4909</v>
      </c>
      <c r="F6532" t="s">
        <v>4909</v>
      </c>
      <c r="G6532" t="s">
        <v>4909</v>
      </c>
      <c r="H6532" t="s">
        <v>4909</v>
      </c>
      <c r="I6532" t="s">
        <v>4909</v>
      </c>
      <c r="J6532" t="s">
        <v>4909</v>
      </c>
      <c r="K6532" t="s">
        <v>4909</v>
      </c>
    </row>
    <row r="6533" spans="1:11" x14ac:dyDescent="0.2">
      <c r="A6533" t="s">
        <v>4350</v>
      </c>
      <c r="B6533" s="88">
        <v>0</v>
      </c>
      <c r="C6533" t="s">
        <v>4909</v>
      </c>
      <c r="D6533" t="s">
        <v>4909</v>
      </c>
      <c r="E6533" t="s">
        <v>4909</v>
      </c>
      <c r="F6533" t="s">
        <v>4909</v>
      </c>
      <c r="G6533" s="88">
        <v>0</v>
      </c>
      <c r="H6533" t="s">
        <v>4909</v>
      </c>
      <c r="I6533" t="s">
        <v>4909</v>
      </c>
      <c r="J6533" s="88">
        <v>0</v>
      </c>
      <c r="K6533" t="s">
        <v>4909</v>
      </c>
    </row>
    <row r="6534" spans="1:11" x14ac:dyDescent="0.2">
      <c r="A6534" t="s">
        <v>4351</v>
      </c>
      <c r="B6534" t="s">
        <v>4909</v>
      </c>
      <c r="C6534" t="s">
        <v>4909</v>
      </c>
      <c r="D6534" t="s">
        <v>4909</v>
      </c>
      <c r="E6534" t="s">
        <v>4909</v>
      </c>
      <c r="F6534" t="s">
        <v>4909</v>
      </c>
      <c r="G6534" t="s">
        <v>4909</v>
      </c>
      <c r="H6534" t="s">
        <v>4909</v>
      </c>
      <c r="I6534" t="s">
        <v>4909</v>
      </c>
      <c r="J6534" t="s">
        <v>4909</v>
      </c>
      <c r="K6534" t="s">
        <v>4909</v>
      </c>
    </row>
    <row r="6535" spans="1:11" x14ac:dyDescent="0.2">
      <c r="A6535" t="s">
        <v>4352</v>
      </c>
      <c r="B6535" t="s">
        <v>4909</v>
      </c>
      <c r="C6535" t="s">
        <v>4909</v>
      </c>
      <c r="D6535" t="s">
        <v>4909</v>
      </c>
      <c r="E6535" t="s">
        <v>4909</v>
      </c>
      <c r="F6535" t="s">
        <v>4909</v>
      </c>
      <c r="G6535" t="s">
        <v>4909</v>
      </c>
      <c r="H6535" t="s">
        <v>4909</v>
      </c>
      <c r="I6535" t="s">
        <v>4909</v>
      </c>
      <c r="J6535" t="s">
        <v>4909</v>
      </c>
      <c r="K6535" t="s">
        <v>4909</v>
      </c>
    </row>
    <row r="6536" spans="1:11" x14ac:dyDescent="0.2">
      <c r="A6536" t="s">
        <v>4353</v>
      </c>
      <c r="B6536" s="88">
        <v>1E-3</v>
      </c>
      <c r="C6536" t="s">
        <v>4909</v>
      </c>
      <c r="D6536" t="s">
        <v>4909</v>
      </c>
      <c r="E6536" t="s">
        <v>4909</v>
      </c>
      <c r="F6536" t="s">
        <v>4909</v>
      </c>
      <c r="G6536" s="88">
        <v>1.7000000000000001E-2</v>
      </c>
      <c r="H6536" t="s">
        <v>4909</v>
      </c>
      <c r="I6536" t="s">
        <v>4909</v>
      </c>
      <c r="J6536" s="88">
        <v>1.0999999999999999E-2</v>
      </c>
      <c r="K6536" t="s">
        <v>4909</v>
      </c>
    </row>
    <row r="6537" spans="1:11" x14ac:dyDescent="0.2">
      <c r="A6537" t="s">
        <v>4354</v>
      </c>
      <c r="B6537" s="88">
        <v>4.0000000000000001E-3</v>
      </c>
      <c r="C6537" t="s">
        <v>4909</v>
      </c>
      <c r="D6537" t="s">
        <v>4909</v>
      </c>
      <c r="E6537" t="s">
        <v>4909</v>
      </c>
      <c r="F6537" t="s">
        <v>4909</v>
      </c>
      <c r="G6537" s="88">
        <v>2.9000000000000001E-2</v>
      </c>
      <c r="H6537" t="s">
        <v>4909</v>
      </c>
      <c r="I6537" s="88">
        <v>0</v>
      </c>
      <c r="J6537" s="88">
        <v>1.7000000000000001E-2</v>
      </c>
      <c r="K6537" t="s">
        <v>4909</v>
      </c>
    </row>
    <row r="6538" spans="1:11" x14ac:dyDescent="0.2">
      <c r="A6538" t="s">
        <v>4355</v>
      </c>
      <c r="B6538" t="s">
        <v>4909</v>
      </c>
      <c r="C6538" t="s">
        <v>4909</v>
      </c>
      <c r="D6538" t="s">
        <v>4909</v>
      </c>
      <c r="E6538" t="s">
        <v>4909</v>
      </c>
      <c r="F6538" t="s">
        <v>4909</v>
      </c>
      <c r="G6538" t="s">
        <v>4909</v>
      </c>
      <c r="H6538" t="s">
        <v>4909</v>
      </c>
      <c r="I6538" t="s">
        <v>4909</v>
      </c>
      <c r="J6538" t="s">
        <v>4909</v>
      </c>
      <c r="K6538" t="s">
        <v>4909</v>
      </c>
    </row>
    <row r="6539" spans="1:11" x14ac:dyDescent="0.2">
      <c r="A6539" t="s">
        <v>4356</v>
      </c>
      <c r="B6539" t="s">
        <v>4909</v>
      </c>
      <c r="C6539" t="s">
        <v>4909</v>
      </c>
      <c r="D6539" t="s">
        <v>4909</v>
      </c>
      <c r="E6539" t="s">
        <v>4909</v>
      </c>
      <c r="F6539" t="s">
        <v>4909</v>
      </c>
      <c r="G6539" t="s">
        <v>4909</v>
      </c>
      <c r="H6539" t="s">
        <v>4909</v>
      </c>
      <c r="I6539" t="s">
        <v>4909</v>
      </c>
      <c r="J6539" t="s">
        <v>4909</v>
      </c>
      <c r="K6539" t="s">
        <v>4909</v>
      </c>
    </row>
    <row r="6540" spans="1:11" x14ac:dyDescent="0.2">
      <c r="A6540" t="s">
        <v>4357</v>
      </c>
      <c r="B6540" t="s">
        <v>4909</v>
      </c>
      <c r="C6540" t="s">
        <v>4909</v>
      </c>
      <c r="D6540" t="s">
        <v>4909</v>
      </c>
      <c r="E6540" t="s">
        <v>4909</v>
      </c>
      <c r="F6540" t="s">
        <v>4909</v>
      </c>
      <c r="G6540" t="s">
        <v>4909</v>
      </c>
      <c r="H6540" t="s">
        <v>4909</v>
      </c>
      <c r="I6540" t="s">
        <v>4909</v>
      </c>
      <c r="J6540" t="s">
        <v>4909</v>
      </c>
      <c r="K6540" t="s">
        <v>4909</v>
      </c>
    </row>
    <row r="6541" spans="1:11" x14ac:dyDescent="0.2">
      <c r="A6541" t="s">
        <v>4358</v>
      </c>
      <c r="B6541" t="s">
        <v>4909</v>
      </c>
      <c r="C6541" t="s">
        <v>4909</v>
      </c>
      <c r="D6541" t="s">
        <v>4909</v>
      </c>
      <c r="E6541" t="s">
        <v>4909</v>
      </c>
      <c r="F6541" t="s">
        <v>4909</v>
      </c>
      <c r="G6541" t="s">
        <v>4909</v>
      </c>
      <c r="H6541" t="s">
        <v>4909</v>
      </c>
      <c r="I6541" t="s">
        <v>4909</v>
      </c>
      <c r="J6541" t="s">
        <v>4909</v>
      </c>
      <c r="K6541" t="s">
        <v>4909</v>
      </c>
    </row>
    <row r="6542" spans="1:11" x14ac:dyDescent="0.2">
      <c r="A6542" t="s">
        <v>4359</v>
      </c>
      <c r="B6542" t="s">
        <v>4909</v>
      </c>
      <c r="C6542" t="s">
        <v>4909</v>
      </c>
      <c r="D6542" t="s">
        <v>4909</v>
      </c>
      <c r="E6542" t="s">
        <v>4909</v>
      </c>
      <c r="F6542" t="s">
        <v>4909</v>
      </c>
      <c r="G6542" t="s">
        <v>4909</v>
      </c>
      <c r="H6542" t="s">
        <v>4909</v>
      </c>
      <c r="I6542" t="s">
        <v>4909</v>
      </c>
      <c r="J6542" t="s">
        <v>4909</v>
      </c>
      <c r="K6542" t="s">
        <v>4909</v>
      </c>
    </row>
    <row r="6543" spans="1:11" x14ac:dyDescent="0.2">
      <c r="A6543" t="s">
        <v>4360</v>
      </c>
      <c r="B6543" s="88">
        <v>1E-3</v>
      </c>
      <c r="C6543" t="s">
        <v>4909</v>
      </c>
      <c r="D6543" t="s">
        <v>4909</v>
      </c>
      <c r="E6543" t="s">
        <v>4909</v>
      </c>
      <c r="F6543" t="s">
        <v>4909</v>
      </c>
      <c r="G6543" s="88">
        <v>5.0000000000000001E-3</v>
      </c>
      <c r="H6543" t="s">
        <v>4909</v>
      </c>
      <c r="I6543" t="s">
        <v>4909</v>
      </c>
      <c r="J6543" s="88">
        <v>5.0000000000000001E-3</v>
      </c>
      <c r="K6543" t="s">
        <v>4909</v>
      </c>
    </row>
    <row r="6544" spans="1:11" x14ac:dyDescent="0.2">
      <c r="A6544" t="s">
        <v>4361</v>
      </c>
      <c r="B6544" s="88">
        <v>0</v>
      </c>
      <c r="C6544" t="s">
        <v>4909</v>
      </c>
      <c r="D6544" t="s">
        <v>4909</v>
      </c>
      <c r="E6544" t="s">
        <v>4909</v>
      </c>
      <c r="F6544" t="s">
        <v>4909</v>
      </c>
      <c r="G6544" s="88">
        <v>1E-3</v>
      </c>
      <c r="H6544" t="s">
        <v>4909</v>
      </c>
      <c r="I6544" t="s">
        <v>4909</v>
      </c>
      <c r="J6544" s="88">
        <v>0</v>
      </c>
      <c r="K6544" t="s">
        <v>4909</v>
      </c>
    </row>
    <row r="6545" spans="1:11" x14ac:dyDescent="0.2">
      <c r="A6545" t="s">
        <v>4362</v>
      </c>
      <c r="B6545" t="s">
        <v>4909</v>
      </c>
      <c r="C6545" t="s">
        <v>4909</v>
      </c>
      <c r="D6545" t="s">
        <v>4909</v>
      </c>
      <c r="E6545" t="s">
        <v>4909</v>
      </c>
      <c r="F6545" t="s">
        <v>4909</v>
      </c>
      <c r="G6545" t="s">
        <v>4909</v>
      </c>
      <c r="H6545" t="s">
        <v>4909</v>
      </c>
      <c r="I6545" t="s">
        <v>4909</v>
      </c>
      <c r="J6545" t="s">
        <v>4909</v>
      </c>
      <c r="K6545" t="s">
        <v>4909</v>
      </c>
    </row>
    <row r="6546" spans="1:11" x14ac:dyDescent="0.2">
      <c r="A6546" t="s">
        <v>4363</v>
      </c>
      <c r="B6546" t="s">
        <v>4909</v>
      </c>
      <c r="C6546" t="s">
        <v>4909</v>
      </c>
      <c r="D6546" t="s">
        <v>4909</v>
      </c>
      <c r="E6546" t="s">
        <v>4909</v>
      </c>
      <c r="F6546" t="s">
        <v>4909</v>
      </c>
      <c r="G6546" t="s">
        <v>4909</v>
      </c>
      <c r="H6546" t="s">
        <v>4909</v>
      </c>
      <c r="I6546" t="s">
        <v>4909</v>
      </c>
      <c r="J6546" t="s">
        <v>4909</v>
      </c>
      <c r="K6546" t="s">
        <v>4909</v>
      </c>
    </row>
    <row r="6547" spans="1:11" x14ac:dyDescent="0.2">
      <c r="A6547" t="s">
        <v>4364</v>
      </c>
      <c r="B6547" t="s">
        <v>4909</v>
      </c>
      <c r="C6547" t="s">
        <v>4909</v>
      </c>
      <c r="D6547" t="s">
        <v>4909</v>
      </c>
      <c r="E6547" t="s">
        <v>4909</v>
      </c>
      <c r="F6547" t="s">
        <v>4909</v>
      </c>
      <c r="G6547" t="s">
        <v>4909</v>
      </c>
      <c r="H6547" t="s">
        <v>4909</v>
      </c>
      <c r="I6547" t="s">
        <v>4909</v>
      </c>
      <c r="J6547" t="s">
        <v>4909</v>
      </c>
      <c r="K6547" t="s">
        <v>4909</v>
      </c>
    </row>
    <row r="6548" spans="1:11" x14ac:dyDescent="0.2">
      <c r="A6548" t="s">
        <v>4365</v>
      </c>
      <c r="B6548" t="s">
        <v>4909</v>
      </c>
      <c r="C6548" t="s">
        <v>4909</v>
      </c>
      <c r="D6548" t="s">
        <v>4909</v>
      </c>
      <c r="E6548" t="s">
        <v>4909</v>
      </c>
      <c r="F6548" t="s">
        <v>4909</v>
      </c>
      <c r="G6548" s="88">
        <v>4.0000000000000001E-3</v>
      </c>
      <c r="H6548" t="s">
        <v>4909</v>
      </c>
      <c r="I6548" s="88">
        <v>0</v>
      </c>
      <c r="J6548" s="88">
        <v>0</v>
      </c>
      <c r="K6548" t="s">
        <v>4909</v>
      </c>
    </row>
    <row r="6549" spans="1:11" x14ac:dyDescent="0.2">
      <c r="A6549" t="s">
        <v>4366</v>
      </c>
      <c r="B6549" t="s">
        <v>4909</v>
      </c>
      <c r="C6549" t="s">
        <v>4909</v>
      </c>
      <c r="D6549" t="s">
        <v>4909</v>
      </c>
      <c r="E6549" t="s">
        <v>4909</v>
      </c>
      <c r="F6549" t="s">
        <v>4909</v>
      </c>
      <c r="G6549" t="s">
        <v>4909</v>
      </c>
      <c r="H6549" t="s">
        <v>4909</v>
      </c>
      <c r="I6549" t="s">
        <v>4909</v>
      </c>
      <c r="J6549" t="s">
        <v>4909</v>
      </c>
      <c r="K6549" t="s">
        <v>4909</v>
      </c>
    </row>
    <row r="6550" spans="1:11" x14ac:dyDescent="0.2">
      <c r="A6550" t="s">
        <v>4367</v>
      </c>
      <c r="B6550" t="s">
        <v>4909</v>
      </c>
      <c r="C6550" t="s">
        <v>4909</v>
      </c>
      <c r="D6550" t="s">
        <v>4909</v>
      </c>
      <c r="E6550" t="s">
        <v>4909</v>
      </c>
      <c r="F6550" t="s">
        <v>4909</v>
      </c>
      <c r="G6550" t="s">
        <v>4909</v>
      </c>
      <c r="H6550" t="s">
        <v>4909</v>
      </c>
      <c r="I6550" t="s">
        <v>4909</v>
      </c>
      <c r="J6550" t="s">
        <v>4909</v>
      </c>
      <c r="K6550" t="s">
        <v>4909</v>
      </c>
    </row>
    <row r="6551" spans="1:11" x14ac:dyDescent="0.2">
      <c r="A6551" t="s">
        <v>4368</v>
      </c>
      <c r="B6551" s="88">
        <v>1E-3</v>
      </c>
      <c r="C6551" t="s">
        <v>4909</v>
      </c>
      <c r="D6551" s="88">
        <v>0</v>
      </c>
      <c r="E6551" t="s">
        <v>4909</v>
      </c>
      <c r="F6551" s="88">
        <v>0</v>
      </c>
      <c r="G6551" s="88">
        <v>7.3999999999999996E-2</v>
      </c>
      <c r="H6551" t="s">
        <v>4909</v>
      </c>
      <c r="I6551" s="88">
        <v>2E-3</v>
      </c>
      <c r="J6551" s="88">
        <v>6.0000000000000001E-3</v>
      </c>
      <c r="K6551" t="s">
        <v>4909</v>
      </c>
    </row>
    <row r="6552" spans="1:11" x14ac:dyDescent="0.2">
      <c r="A6552" t="s">
        <v>4369</v>
      </c>
      <c r="B6552" s="88">
        <v>0</v>
      </c>
      <c r="C6552" t="s">
        <v>4909</v>
      </c>
      <c r="D6552" s="88">
        <v>0</v>
      </c>
      <c r="E6552" t="s">
        <v>4909</v>
      </c>
      <c r="F6552" s="88">
        <v>0</v>
      </c>
      <c r="G6552" s="88">
        <v>2.8000000000000001E-2</v>
      </c>
      <c r="H6552" t="s">
        <v>4909</v>
      </c>
      <c r="I6552" s="88">
        <v>0</v>
      </c>
      <c r="J6552" s="88">
        <v>2E-3</v>
      </c>
      <c r="K6552" t="s">
        <v>4909</v>
      </c>
    </row>
    <row r="6553" spans="1:11" x14ac:dyDescent="0.2">
      <c r="A6553" t="s">
        <v>4370</v>
      </c>
      <c r="B6553" t="s">
        <v>4909</v>
      </c>
      <c r="C6553" t="s">
        <v>4909</v>
      </c>
      <c r="D6553" t="s">
        <v>4909</v>
      </c>
      <c r="E6553" t="s">
        <v>4909</v>
      </c>
      <c r="F6553" t="s">
        <v>4909</v>
      </c>
      <c r="G6553" s="88">
        <v>0</v>
      </c>
      <c r="H6553" t="s">
        <v>4909</v>
      </c>
      <c r="I6553" t="s">
        <v>4909</v>
      </c>
      <c r="J6553" t="s">
        <v>4909</v>
      </c>
      <c r="K6553" t="s">
        <v>4909</v>
      </c>
    </row>
    <row r="6554" spans="1:11" x14ac:dyDescent="0.2">
      <c r="A6554" t="s">
        <v>4371</v>
      </c>
      <c r="B6554" t="s">
        <v>4909</v>
      </c>
      <c r="C6554" t="s">
        <v>4909</v>
      </c>
      <c r="D6554" t="s">
        <v>4909</v>
      </c>
      <c r="E6554" t="s">
        <v>4909</v>
      </c>
      <c r="F6554" t="s">
        <v>4909</v>
      </c>
      <c r="G6554" t="s">
        <v>4909</v>
      </c>
      <c r="H6554" t="s">
        <v>4909</v>
      </c>
      <c r="I6554" t="s">
        <v>4909</v>
      </c>
      <c r="J6554" t="s">
        <v>4909</v>
      </c>
      <c r="K6554" t="s">
        <v>4909</v>
      </c>
    </row>
    <row r="6555" spans="1:11" x14ac:dyDescent="0.2">
      <c r="A6555" t="s">
        <v>4372</v>
      </c>
      <c r="B6555" t="s">
        <v>4909</v>
      </c>
      <c r="C6555" t="s">
        <v>4909</v>
      </c>
      <c r="D6555" t="s">
        <v>4909</v>
      </c>
      <c r="E6555" t="s">
        <v>4909</v>
      </c>
      <c r="F6555" t="s">
        <v>4909</v>
      </c>
      <c r="G6555" t="s">
        <v>4909</v>
      </c>
      <c r="H6555" t="s">
        <v>4909</v>
      </c>
      <c r="I6555" t="s">
        <v>4909</v>
      </c>
      <c r="J6555" t="s">
        <v>4909</v>
      </c>
      <c r="K6555" t="s">
        <v>4909</v>
      </c>
    </row>
    <row r="6556" spans="1:11" x14ac:dyDescent="0.2">
      <c r="A6556" t="s">
        <v>4373</v>
      </c>
      <c r="B6556" t="s">
        <v>4909</v>
      </c>
      <c r="C6556" t="s">
        <v>4909</v>
      </c>
      <c r="D6556" t="s">
        <v>4909</v>
      </c>
      <c r="E6556" t="s">
        <v>4909</v>
      </c>
      <c r="F6556" t="s">
        <v>4909</v>
      </c>
      <c r="G6556" t="s">
        <v>4909</v>
      </c>
      <c r="H6556" t="s">
        <v>4909</v>
      </c>
      <c r="I6556" t="s">
        <v>4909</v>
      </c>
      <c r="J6556" t="s">
        <v>4909</v>
      </c>
      <c r="K6556" t="s">
        <v>4909</v>
      </c>
    </row>
    <row r="6557" spans="1:11" x14ac:dyDescent="0.2">
      <c r="A6557" t="s">
        <v>4374</v>
      </c>
      <c r="B6557" t="s">
        <v>4909</v>
      </c>
      <c r="C6557" t="s">
        <v>4909</v>
      </c>
      <c r="D6557" t="s">
        <v>4909</v>
      </c>
      <c r="E6557" t="s">
        <v>4909</v>
      </c>
      <c r="F6557" t="s">
        <v>4909</v>
      </c>
      <c r="G6557" t="s">
        <v>4909</v>
      </c>
      <c r="H6557" t="s">
        <v>4909</v>
      </c>
      <c r="I6557" t="s">
        <v>4909</v>
      </c>
      <c r="J6557" t="s">
        <v>4909</v>
      </c>
      <c r="K6557" t="s">
        <v>4909</v>
      </c>
    </row>
    <row r="6558" spans="1:11" x14ac:dyDescent="0.2">
      <c r="A6558" t="s">
        <v>4375</v>
      </c>
      <c r="B6558" t="s">
        <v>4909</v>
      </c>
      <c r="C6558" t="s">
        <v>4909</v>
      </c>
      <c r="D6558" t="s">
        <v>4909</v>
      </c>
      <c r="E6558" t="s">
        <v>4909</v>
      </c>
      <c r="F6558" t="s">
        <v>4909</v>
      </c>
      <c r="G6558" s="88">
        <v>0</v>
      </c>
      <c r="H6558" t="s">
        <v>4909</v>
      </c>
      <c r="I6558" t="s">
        <v>4909</v>
      </c>
      <c r="J6558" s="88">
        <v>0</v>
      </c>
      <c r="K6558" t="s">
        <v>4909</v>
      </c>
    </row>
    <row r="6559" spans="1:11" x14ac:dyDescent="0.2">
      <c r="A6559" t="s">
        <v>4376</v>
      </c>
      <c r="B6559" t="s">
        <v>4909</v>
      </c>
      <c r="C6559" t="s">
        <v>4909</v>
      </c>
      <c r="D6559" t="s">
        <v>4909</v>
      </c>
      <c r="E6559" t="s">
        <v>4909</v>
      </c>
      <c r="F6559" t="s">
        <v>4909</v>
      </c>
      <c r="G6559" t="s">
        <v>4909</v>
      </c>
      <c r="H6559" t="s">
        <v>4909</v>
      </c>
      <c r="I6559" t="s">
        <v>4909</v>
      </c>
      <c r="J6559" t="s">
        <v>4909</v>
      </c>
      <c r="K6559" t="s">
        <v>4909</v>
      </c>
    </row>
    <row r="6560" spans="1:11" x14ac:dyDescent="0.2">
      <c r="A6560" t="s">
        <v>4377</v>
      </c>
      <c r="B6560" t="s">
        <v>4909</v>
      </c>
      <c r="C6560" t="s">
        <v>4909</v>
      </c>
      <c r="D6560" t="s">
        <v>4909</v>
      </c>
      <c r="E6560" t="s">
        <v>4909</v>
      </c>
      <c r="F6560" t="s">
        <v>4909</v>
      </c>
      <c r="G6560" s="88">
        <v>0</v>
      </c>
      <c r="H6560" t="s">
        <v>4909</v>
      </c>
      <c r="I6560" t="s">
        <v>4909</v>
      </c>
      <c r="J6560" s="88">
        <v>0</v>
      </c>
      <c r="K6560" t="s">
        <v>4909</v>
      </c>
    </row>
    <row r="6561" spans="1:11" x14ac:dyDescent="0.2">
      <c r="A6561" t="s">
        <v>2318</v>
      </c>
      <c r="B6561" t="s">
        <v>4399</v>
      </c>
      <c r="C6561" t="s">
        <v>4399</v>
      </c>
      <c r="D6561" t="s">
        <v>4399</v>
      </c>
      <c r="E6561" t="s">
        <v>4399</v>
      </c>
      <c r="F6561" t="s">
        <v>4399</v>
      </c>
      <c r="G6561" t="s">
        <v>4399</v>
      </c>
      <c r="H6561" t="s">
        <v>4399</v>
      </c>
      <c r="I6561" t="s">
        <v>4399</v>
      </c>
      <c r="J6561" t="s">
        <v>4399</v>
      </c>
      <c r="K6561" t="s">
        <v>4399</v>
      </c>
    </row>
    <row r="6562" spans="1:11" x14ac:dyDescent="0.2">
      <c r="A6562" t="s">
        <v>4248</v>
      </c>
    </row>
    <row r="6563" spans="1:11" x14ac:dyDescent="0.2">
      <c r="A6563" t="s">
        <v>4910</v>
      </c>
      <c r="B6563" t="s">
        <v>4904</v>
      </c>
      <c r="C6563" t="s">
        <v>4911</v>
      </c>
      <c r="D6563" t="s">
        <v>4912</v>
      </c>
      <c r="E6563" t="s">
        <v>4907</v>
      </c>
      <c r="F6563" t="s">
        <v>4913</v>
      </c>
      <c r="G6563">
        <v>8</v>
      </c>
    </row>
    <row r="6564" spans="1:11" x14ac:dyDescent="0.2">
      <c r="A6564" t="s">
        <v>2318</v>
      </c>
      <c r="B6564" t="s">
        <v>4399</v>
      </c>
      <c r="C6564" t="s">
        <v>4399</v>
      </c>
      <c r="D6564" t="s">
        <v>4399</v>
      </c>
      <c r="E6564" t="s">
        <v>4399</v>
      </c>
      <c r="F6564" t="s">
        <v>4399</v>
      </c>
      <c r="G6564" t="s">
        <v>4399</v>
      </c>
      <c r="H6564" t="s">
        <v>4399</v>
      </c>
      <c r="I6564" t="s">
        <v>4399</v>
      </c>
      <c r="J6564" t="s">
        <v>4399</v>
      </c>
      <c r="K6564" t="s">
        <v>4399</v>
      </c>
    </row>
    <row r="6565" spans="1:11" x14ac:dyDescent="0.2">
      <c r="A6565" t="s">
        <v>126</v>
      </c>
      <c r="B6565" t="s">
        <v>4654</v>
      </c>
      <c r="C6565" t="s">
        <v>4658</v>
      </c>
      <c r="D6565" t="s">
        <v>400</v>
      </c>
      <c r="E6565" t="s">
        <v>401</v>
      </c>
      <c r="F6565" t="s">
        <v>4668</v>
      </c>
      <c r="G6565" t="s">
        <v>4672</v>
      </c>
      <c r="H6565" t="s">
        <v>4676</v>
      </c>
      <c r="I6565" t="s">
        <v>4680</v>
      </c>
      <c r="J6565" t="s">
        <v>4684</v>
      </c>
      <c r="K6565" t="s">
        <v>4688</v>
      </c>
    </row>
    <row r="6566" spans="1:11" x14ac:dyDescent="0.2">
      <c r="A6566" t="s">
        <v>2318</v>
      </c>
      <c r="B6566" t="s">
        <v>4399</v>
      </c>
      <c r="C6566" t="s">
        <v>4399</v>
      </c>
      <c r="D6566" t="s">
        <v>4399</v>
      </c>
      <c r="E6566" t="s">
        <v>4399</v>
      </c>
      <c r="F6566" t="s">
        <v>4399</v>
      </c>
      <c r="G6566" t="s">
        <v>4399</v>
      </c>
      <c r="H6566" t="s">
        <v>4399</v>
      </c>
      <c r="I6566" t="s">
        <v>4399</v>
      </c>
      <c r="J6566" t="s">
        <v>4399</v>
      </c>
      <c r="K6566" t="s">
        <v>4399</v>
      </c>
    </row>
    <row r="6567" spans="1:11" x14ac:dyDescent="0.2">
      <c r="A6567" t="s">
        <v>4265</v>
      </c>
      <c r="B6567" t="s">
        <v>4909</v>
      </c>
      <c r="C6567" t="s">
        <v>4909</v>
      </c>
      <c r="D6567" t="s">
        <v>4909</v>
      </c>
      <c r="E6567" t="s">
        <v>4909</v>
      </c>
      <c r="F6567" t="s">
        <v>4909</v>
      </c>
      <c r="G6567" t="s">
        <v>4909</v>
      </c>
      <c r="H6567" t="s">
        <v>4909</v>
      </c>
      <c r="I6567" t="s">
        <v>4909</v>
      </c>
      <c r="J6567" t="s">
        <v>4909</v>
      </c>
      <c r="K6567" t="s">
        <v>4909</v>
      </c>
    </row>
    <row r="6568" spans="1:11" x14ac:dyDescent="0.2">
      <c r="A6568" t="s">
        <v>4266</v>
      </c>
      <c r="B6568" t="s">
        <v>4909</v>
      </c>
      <c r="C6568" t="s">
        <v>4909</v>
      </c>
      <c r="D6568" t="s">
        <v>4909</v>
      </c>
      <c r="E6568" t="s">
        <v>4909</v>
      </c>
      <c r="F6568" t="s">
        <v>4909</v>
      </c>
      <c r="G6568" t="s">
        <v>4909</v>
      </c>
      <c r="H6568" t="s">
        <v>4909</v>
      </c>
      <c r="I6568" t="s">
        <v>4909</v>
      </c>
      <c r="J6568" t="s">
        <v>4909</v>
      </c>
      <c r="K6568" t="s">
        <v>4909</v>
      </c>
    </row>
    <row r="6569" spans="1:11" x14ac:dyDescent="0.2">
      <c r="A6569" t="s">
        <v>4267</v>
      </c>
      <c r="B6569" t="s">
        <v>4909</v>
      </c>
      <c r="C6569" t="s">
        <v>4909</v>
      </c>
      <c r="D6569" t="s">
        <v>4909</v>
      </c>
      <c r="E6569" t="s">
        <v>4909</v>
      </c>
      <c r="F6569" t="s">
        <v>4909</v>
      </c>
      <c r="G6569" t="s">
        <v>4909</v>
      </c>
      <c r="H6569" t="s">
        <v>4909</v>
      </c>
      <c r="I6569" t="s">
        <v>4909</v>
      </c>
      <c r="J6569" t="s">
        <v>4909</v>
      </c>
      <c r="K6569" t="s">
        <v>4909</v>
      </c>
    </row>
    <row r="6570" spans="1:11" x14ac:dyDescent="0.2">
      <c r="A6570" t="s">
        <v>4268</v>
      </c>
      <c r="B6570" t="s">
        <v>4909</v>
      </c>
      <c r="C6570" t="s">
        <v>4909</v>
      </c>
      <c r="D6570" t="s">
        <v>4909</v>
      </c>
      <c r="E6570" t="s">
        <v>4909</v>
      </c>
      <c r="F6570" t="s">
        <v>4909</v>
      </c>
      <c r="G6570" t="s">
        <v>4909</v>
      </c>
      <c r="H6570" t="s">
        <v>4909</v>
      </c>
      <c r="I6570" t="s">
        <v>4909</v>
      </c>
      <c r="J6570" t="s">
        <v>4909</v>
      </c>
      <c r="K6570" t="s">
        <v>4909</v>
      </c>
    </row>
    <row r="6571" spans="1:11" x14ac:dyDescent="0.2">
      <c r="A6571" t="s">
        <v>4269</v>
      </c>
      <c r="B6571" t="s">
        <v>4909</v>
      </c>
      <c r="C6571" t="s">
        <v>4909</v>
      </c>
      <c r="D6571" t="s">
        <v>4909</v>
      </c>
      <c r="E6571" t="s">
        <v>4909</v>
      </c>
      <c r="F6571" t="s">
        <v>4909</v>
      </c>
      <c r="G6571" t="s">
        <v>4909</v>
      </c>
      <c r="H6571" t="s">
        <v>4909</v>
      </c>
      <c r="I6571" t="s">
        <v>4909</v>
      </c>
      <c r="J6571" t="s">
        <v>4909</v>
      </c>
      <c r="K6571" t="s">
        <v>4909</v>
      </c>
    </row>
    <row r="6572" spans="1:11" x14ac:dyDescent="0.2">
      <c r="A6572" t="s">
        <v>4270</v>
      </c>
      <c r="B6572" t="s">
        <v>4909</v>
      </c>
      <c r="C6572" t="s">
        <v>4909</v>
      </c>
      <c r="D6572" t="s">
        <v>4909</v>
      </c>
      <c r="E6572" t="s">
        <v>4909</v>
      </c>
      <c r="F6572" t="s">
        <v>4909</v>
      </c>
      <c r="G6572" t="s">
        <v>4909</v>
      </c>
      <c r="H6572" t="s">
        <v>4909</v>
      </c>
      <c r="I6572" t="s">
        <v>4909</v>
      </c>
      <c r="J6572" t="s">
        <v>4909</v>
      </c>
      <c r="K6572" t="s">
        <v>4909</v>
      </c>
    </row>
    <row r="6573" spans="1:11" x14ac:dyDescent="0.2">
      <c r="A6573" t="s">
        <v>4271</v>
      </c>
      <c r="B6573" t="s">
        <v>4909</v>
      </c>
      <c r="C6573" t="s">
        <v>4909</v>
      </c>
      <c r="D6573" t="s">
        <v>4909</v>
      </c>
      <c r="E6573" t="s">
        <v>4909</v>
      </c>
      <c r="F6573" t="s">
        <v>4909</v>
      </c>
      <c r="G6573" t="s">
        <v>4909</v>
      </c>
      <c r="H6573" t="s">
        <v>4909</v>
      </c>
      <c r="I6573" t="s">
        <v>4909</v>
      </c>
      <c r="J6573" t="s">
        <v>4909</v>
      </c>
      <c r="K6573" t="s">
        <v>4909</v>
      </c>
    </row>
    <row r="6574" spans="1:11" x14ac:dyDescent="0.2">
      <c r="A6574" t="s">
        <v>4272</v>
      </c>
      <c r="B6574" t="s">
        <v>4909</v>
      </c>
      <c r="C6574" t="s">
        <v>4909</v>
      </c>
      <c r="D6574" t="s">
        <v>4909</v>
      </c>
      <c r="E6574" t="s">
        <v>4909</v>
      </c>
      <c r="F6574" t="s">
        <v>4909</v>
      </c>
      <c r="G6574" t="s">
        <v>4909</v>
      </c>
      <c r="H6574" t="s">
        <v>4909</v>
      </c>
      <c r="I6574" t="s">
        <v>4909</v>
      </c>
      <c r="J6574" t="s">
        <v>4909</v>
      </c>
      <c r="K6574" t="s">
        <v>4909</v>
      </c>
    </row>
    <row r="6575" spans="1:11" x14ac:dyDescent="0.2">
      <c r="A6575" t="s">
        <v>4273</v>
      </c>
      <c r="B6575" t="s">
        <v>4909</v>
      </c>
      <c r="C6575" t="s">
        <v>4909</v>
      </c>
      <c r="D6575" t="s">
        <v>4909</v>
      </c>
      <c r="E6575" t="s">
        <v>4909</v>
      </c>
      <c r="F6575" t="s">
        <v>4909</v>
      </c>
      <c r="G6575" t="s">
        <v>4909</v>
      </c>
      <c r="H6575" t="s">
        <v>4909</v>
      </c>
      <c r="I6575" t="s">
        <v>4909</v>
      </c>
      <c r="J6575" t="s">
        <v>4909</v>
      </c>
      <c r="K6575" t="s">
        <v>4909</v>
      </c>
    </row>
    <row r="6576" spans="1:11" x14ac:dyDescent="0.2">
      <c r="A6576" t="s">
        <v>4274</v>
      </c>
      <c r="B6576" t="s">
        <v>4909</v>
      </c>
      <c r="C6576" t="s">
        <v>4909</v>
      </c>
      <c r="D6576" t="s">
        <v>4909</v>
      </c>
      <c r="E6576" t="s">
        <v>4909</v>
      </c>
      <c r="F6576" t="s">
        <v>4909</v>
      </c>
      <c r="G6576" t="s">
        <v>4909</v>
      </c>
      <c r="H6576" t="s">
        <v>4909</v>
      </c>
      <c r="I6576" t="s">
        <v>4909</v>
      </c>
      <c r="J6576" t="s">
        <v>4909</v>
      </c>
      <c r="K6576" t="s">
        <v>4909</v>
      </c>
    </row>
    <row r="6577" spans="1:11" x14ac:dyDescent="0.2">
      <c r="A6577" t="s">
        <v>4275</v>
      </c>
      <c r="B6577" t="s">
        <v>4909</v>
      </c>
      <c r="C6577" t="s">
        <v>4909</v>
      </c>
      <c r="D6577" t="s">
        <v>4909</v>
      </c>
      <c r="E6577" t="s">
        <v>4909</v>
      </c>
      <c r="F6577" t="s">
        <v>4909</v>
      </c>
      <c r="G6577" t="s">
        <v>4909</v>
      </c>
      <c r="H6577" t="s">
        <v>4909</v>
      </c>
      <c r="I6577" t="s">
        <v>4909</v>
      </c>
      <c r="J6577" t="s">
        <v>4909</v>
      </c>
      <c r="K6577" t="s">
        <v>4909</v>
      </c>
    </row>
    <row r="6578" spans="1:11" x14ac:dyDescent="0.2">
      <c r="A6578" t="s">
        <v>4276</v>
      </c>
      <c r="B6578" t="s">
        <v>4909</v>
      </c>
      <c r="C6578" t="s">
        <v>4909</v>
      </c>
      <c r="D6578" t="s">
        <v>4909</v>
      </c>
      <c r="E6578" t="s">
        <v>4909</v>
      </c>
      <c r="F6578" t="s">
        <v>4909</v>
      </c>
      <c r="G6578" t="s">
        <v>4909</v>
      </c>
      <c r="H6578" t="s">
        <v>4909</v>
      </c>
      <c r="I6578" t="s">
        <v>4909</v>
      </c>
      <c r="J6578" t="s">
        <v>4909</v>
      </c>
      <c r="K6578" t="s">
        <v>4909</v>
      </c>
    </row>
    <row r="6579" spans="1:11" x14ac:dyDescent="0.2">
      <c r="A6579" t="s">
        <v>4277</v>
      </c>
      <c r="B6579" t="s">
        <v>4909</v>
      </c>
      <c r="C6579" t="s">
        <v>4909</v>
      </c>
      <c r="D6579" t="s">
        <v>4909</v>
      </c>
      <c r="E6579" t="s">
        <v>4909</v>
      </c>
      <c r="F6579" t="s">
        <v>4909</v>
      </c>
      <c r="G6579" t="s">
        <v>4909</v>
      </c>
      <c r="H6579" t="s">
        <v>4909</v>
      </c>
      <c r="I6579" t="s">
        <v>4909</v>
      </c>
      <c r="J6579" t="s">
        <v>4909</v>
      </c>
      <c r="K6579" t="s">
        <v>4909</v>
      </c>
    </row>
    <row r="6580" spans="1:11" x14ac:dyDescent="0.2">
      <c r="A6580" t="s">
        <v>4278</v>
      </c>
      <c r="B6580" t="s">
        <v>4909</v>
      </c>
      <c r="C6580" t="s">
        <v>4909</v>
      </c>
      <c r="D6580" t="s">
        <v>4909</v>
      </c>
      <c r="E6580" t="s">
        <v>4909</v>
      </c>
      <c r="F6580" t="s">
        <v>4909</v>
      </c>
      <c r="G6580" t="s">
        <v>4909</v>
      </c>
      <c r="H6580" t="s">
        <v>4909</v>
      </c>
      <c r="I6580" t="s">
        <v>4909</v>
      </c>
      <c r="J6580" t="s">
        <v>4909</v>
      </c>
      <c r="K6580" t="s">
        <v>4909</v>
      </c>
    </row>
    <row r="6581" spans="1:11" x14ac:dyDescent="0.2">
      <c r="A6581" t="s">
        <v>4279</v>
      </c>
      <c r="B6581" t="s">
        <v>4909</v>
      </c>
      <c r="C6581" t="s">
        <v>4909</v>
      </c>
      <c r="D6581" t="s">
        <v>4909</v>
      </c>
      <c r="E6581" t="s">
        <v>4909</v>
      </c>
      <c r="F6581" t="s">
        <v>4909</v>
      </c>
      <c r="G6581" t="s">
        <v>4909</v>
      </c>
      <c r="H6581" t="s">
        <v>4909</v>
      </c>
      <c r="I6581" t="s">
        <v>4909</v>
      </c>
      <c r="J6581" t="s">
        <v>4909</v>
      </c>
      <c r="K6581" t="s">
        <v>4909</v>
      </c>
    </row>
    <row r="6582" spans="1:11" x14ac:dyDescent="0.2">
      <c r="A6582" t="s">
        <v>4280</v>
      </c>
      <c r="B6582" t="s">
        <v>4909</v>
      </c>
      <c r="C6582" t="s">
        <v>4909</v>
      </c>
      <c r="D6582" t="s">
        <v>4909</v>
      </c>
      <c r="E6582" t="s">
        <v>4909</v>
      </c>
      <c r="F6582" t="s">
        <v>4909</v>
      </c>
      <c r="G6582" t="s">
        <v>4909</v>
      </c>
      <c r="H6582" t="s">
        <v>4909</v>
      </c>
      <c r="I6582" t="s">
        <v>4909</v>
      </c>
      <c r="J6582" t="s">
        <v>4909</v>
      </c>
      <c r="K6582" t="s">
        <v>4909</v>
      </c>
    </row>
    <row r="6583" spans="1:11" x14ac:dyDescent="0.2">
      <c r="A6583" t="s">
        <v>4281</v>
      </c>
      <c r="B6583" t="s">
        <v>4909</v>
      </c>
      <c r="C6583" t="s">
        <v>4909</v>
      </c>
      <c r="D6583" t="s">
        <v>4909</v>
      </c>
      <c r="E6583" s="88">
        <v>0</v>
      </c>
      <c r="F6583" t="s">
        <v>4909</v>
      </c>
      <c r="G6583" t="s">
        <v>4909</v>
      </c>
      <c r="H6583" t="s">
        <v>4909</v>
      </c>
      <c r="I6583" t="s">
        <v>4909</v>
      </c>
      <c r="J6583" t="s">
        <v>4909</v>
      </c>
      <c r="K6583" t="s">
        <v>4909</v>
      </c>
    </row>
    <row r="6584" spans="1:11" x14ac:dyDescent="0.2">
      <c r="A6584" t="s">
        <v>4282</v>
      </c>
      <c r="B6584" t="s">
        <v>4909</v>
      </c>
      <c r="C6584" t="s">
        <v>4909</v>
      </c>
      <c r="D6584" t="s">
        <v>4909</v>
      </c>
      <c r="E6584" s="88">
        <v>0</v>
      </c>
      <c r="F6584" t="s">
        <v>4909</v>
      </c>
      <c r="G6584" t="s">
        <v>4909</v>
      </c>
      <c r="H6584" t="s">
        <v>4909</v>
      </c>
      <c r="I6584" t="s">
        <v>4909</v>
      </c>
      <c r="J6584" t="s">
        <v>4909</v>
      </c>
      <c r="K6584" t="s">
        <v>4909</v>
      </c>
    </row>
    <row r="6585" spans="1:11" x14ac:dyDescent="0.2">
      <c r="A6585" t="s">
        <v>4283</v>
      </c>
      <c r="B6585" t="s">
        <v>4909</v>
      </c>
      <c r="C6585" t="s">
        <v>4909</v>
      </c>
      <c r="D6585" t="s">
        <v>4909</v>
      </c>
      <c r="E6585" s="88">
        <v>0</v>
      </c>
      <c r="F6585" t="s">
        <v>4909</v>
      </c>
      <c r="G6585" t="s">
        <v>4909</v>
      </c>
      <c r="H6585" t="s">
        <v>4909</v>
      </c>
      <c r="I6585" t="s">
        <v>4909</v>
      </c>
      <c r="J6585" t="s">
        <v>4909</v>
      </c>
      <c r="K6585" t="s">
        <v>4909</v>
      </c>
    </row>
    <row r="6586" spans="1:11" x14ac:dyDescent="0.2">
      <c r="A6586" t="s">
        <v>4284</v>
      </c>
      <c r="B6586" t="s">
        <v>4909</v>
      </c>
      <c r="C6586" t="s">
        <v>4909</v>
      </c>
      <c r="D6586" t="s">
        <v>4909</v>
      </c>
      <c r="E6586" t="s">
        <v>4909</v>
      </c>
      <c r="F6586" t="s">
        <v>4909</v>
      </c>
      <c r="G6586" t="s">
        <v>4909</v>
      </c>
      <c r="H6586" t="s">
        <v>4909</v>
      </c>
      <c r="I6586" t="s">
        <v>4909</v>
      </c>
      <c r="J6586" t="s">
        <v>4909</v>
      </c>
      <c r="K6586" t="s">
        <v>4909</v>
      </c>
    </row>
    <row r="6587" spans="1:11" x14ac:dyDescent="0.2">
      <c r="A6587" t="s">
        <v>4285</v>
      </c>
      <c r="B6587" t="s">
        <v>4909</v>
      </c>
      <c r="C6587" t="s">
        <v>4909</v>
      </c>
      <c r="D6587" t="s">
        <v>4909</v>
      </c>
      <c r="E6587" s="88">
        <v>0</v>
      </c>
      <c r="F6587" t="s">
        <v>4909</v>
      </c>
      <c r="G6587" t="s">
        <v>4909</v>
      </c>
      <c r="H6587" t="s">
        <v>4909</v>
      </c>
      <c r="I6587" t="s">
        <v>4909</v>
      </c>
      <c r="J6587" t="s">
        <v>4909</v>
      </c>
      <c r="K6587" t="s">
        <v>4909</v>
      </c>
    </row>
    <row r="6588" spans="1:11" x14ac:dyDescent="0.2">
      <c r="A6588" t="s">
        <v>4286</v>
      </c>
      <c r="B6588" t="s">
        <v>4909</v>
      </c>
      <c r="C6588" t="s">
        <v>4909</v>
      </c>
      <c r="D6588" t="s">
        <v>4909</v>
      </c>
      <c r="E6588" s="88">
        <v>0</v>
      </c>
      <c r="F6588" t="s">
        <v>4909</v>
      </c>
      <c r="G6588" t="s">
        <v>4909</v>
      </c>
      <c r="H6588" t="s">
        <v>4909</v>
      </c>
      <c r="I6588" t="s">
        <v>4909</v>
      </c>
      <c r="J6588" t="s">
        <v>4909</v>
      </c>
      <c r="K6588" t="s">
        <v>4909</v>
      </c>
    </row>
    <row r="6589" spans="1:11" x14ac:dyDescent="0.2">
      <c r="A6589" t="s">
        <v>4287</v>
      </c>
      <c r="B6589" t="s">
        <v>4909</v>
      </c>
      <c r="C6589" t="s">
        <v>4909</v>
      </c>
      <c r="D6589" t="s">
        <v>4909</v>
      </c>
      <c r="E6589" t="s">
        <v>4909</v>
      </c>
      <c r="F6589" t="s">
        <v>4909</v>
      </c>
      <c r="G6589" t="s">
        <v>4909</v>
      </c>
      <c r="H6589" t="s">
        <v>4909</v>
      </c>
      <c r="I6589" t="s">
        <v>4909</v>
      </c>
      <c r="J6589" t="s">
        <v>4909</v>
      </c>
      <c r="K6589" t="s">
        <v>4909</v>
      </c>
    </row>
    <row r="6590" spans="1:11" x14ac:dyDescent="0.2">
      <c r="A6590" t="s">
        <v>4288</v>
      </c>
      <c r="B6590" t="s">
        <v>4909</v>
      </c>
      <c r="C6590" t="s">
        <v>4909</v>
      </c>
      <c r="D6590" t="s">
        <v>4909</v>
      </c>
      <c r="E6590" t="s">
        <v>4909</v>
      </c>
      <c r="F6590" t="s">
        <v>4909</v>
      </c>
      <c r="G6590" t="s">
        <v>4909</v>
      </c>
      <c r="H6590" t="s">
        <v>4909</v>
      </c>
      <c r="I6590" t="s">
        <v>4909</v>
      </c>
      <c r="J6590" t="s">
        <v>4909</v>
      </c>
      <c r="K6590" t="s">
        <v>4909</v>
      </c>
    </row>
    <row r="6591" spans="1:11" x14ac:dyDescent="0.2">
      <c r="A6591" t="s">
        <v>4289</v>
      </c>
      <c r="B6591" t="s">
        <v>4909</v>
      </c>
      <c r="C6591" t="s">
        <v>4909</v>
      </c>
      <c r="D6591" t="s">
        <v>4909</v>
      </c>
      <c r="E6591" t="s">
        <v>4909</v>
      </c>
      <c r="F6591" t="s">
        <v>4909</v>
      </c>
      <c r="G6591" t="s">
        <v>4909</v>
      </c>
      <c r="H6591" t="s">
        <v>4909</v>
      </c>
      <c r="I6591" t="s">
        <v>4909</v>
      </c>
      <c r="J6591" t="s">
        <v>4909</v>
      </c>
      <c r="K6591" t="s">
        <v>4909</v>
      </c>
    </row>
    <row r="6592" spans="1:11" x14ac:dyDescent="0.2">
      <c r="A6592" t="s">
        <v>4290</v>
      </c>
      <c r="B6592" t="s">
        <v>4909</v>
      </c>
      <c r="C6592" t="s">
        <v>4909</v>
      </c>
      <c r="D6592" t="s">
        <v>4909</v>
      </c>
      <c r="E6592" t="s">
        <v>4909</v>
      </c>
      <c r="F6592" t="s">
        <v>4909</v>
      </c>
      <c r="G6592" t="s">
        <v>4909</v>
      </c>
      <c r="H6592" t="s">
        <v>4909</v>
      </c>
      <c r="I6592" t="s">
        <v>4909</v>
      </c>
      <c r="J6592" t="s">
        <v>4909</v>
      </c>
      <c r="K6592" t="s">
        <v>4909</v>
      </c>
    </row>
    <row r="6593" spans="1:11" x14ac:dyDescent="0.2">
      <c r="A6593" t="s">
        <v>4291</v>
      </c>
      <c r="B6593" t="s">
        <v>4909</v>
      </c>
      <c r="C6593" t="s">
        <v>4909</v>
      </c>
      <c r="D6593" t="s">
        <v>4909</v>
      </c>
      <c r="E6593" t="s">
        <v>4909</v>
      </c>
      <c r="F6593" t="s">
        <v>4909</v>
      </c>
      <c r="G6593" t="s">
        <v>4909</v>
      </c>
      <c r="H6593" t="s">
        <v>4909</v>
      </c>
      <c r="I6593" t="s">
        <v>4909</v>
      </c>
      <c r="J6593" t="s">
        <v>4909</v>
      </c>
      <c r="K6593" t="s">
        <v>4909</v>
      </c>
    </row>
    <row r="6594" spans="1:11" x14ac:dyDescent="0.2">
      <c r="A6594" t="s">
        <v>4292</v>
      </c>
      <c r="B6594" t="s">
        <v>4909</v>
      </c>
      <c r="C6594" t="s">
        <v>4909</v>
      </c>
      <c r="D6594" t="s">
        <v>4909</v>
      </c>
      <c r="E6594" t="s">
        <v>4909</v>
      </c>
      <c r="F6594" t="s">
        <v>4909</v>
      </c>
      <c r="G6594" t="s">
        <v>4909</v>
      </c>
      <c r="H6594" t="s">
        <v>4909</v>
      </c>
      <c r="I6594" t="s">
        <v>4909</v>
      </c>
      <c r="J6594" t="s">
        <v>4909</v>
      </c>
      <c r="K6594" t="s">
        <v>4909</v>
      </c>
    </row>
    <row r="6595" spans="1:11" x14ac:dyDescent="0.2">
      <c r="A6595" t="s">
        <v>4293</v>
      </c>
      <c r="B6595" t="s">
        <v>4909</v>
      </c>
      <c r="C6595" t="s">
        <v>4909</v>
      </c>
      <c r="D6595" t="s">
        <v>4909</v>
      </c>
      <c r="E6595" t="s">
        <v>4909</v>
      </c>
      <c r="F6595" t="s">
        <v>4909</v>
      </c>
      <c r="G6595" t="s">
        <v>4909</v>
      </c>
      <c r="H6595" t="s">
        <v>4909</v>
      </c>
      <c r="I6595" t="s">
        <v>4909</v>
      </c>
      <c r="J6595" t="s">
        <v>4909</v>
      </c>
      <c r="K6595" t="s">
        <v>4909</v>
      </c>
    </row>
    <row r="6596" spans="1:11" x14ac:dyDescent="0.2">
      <c r="A6596" t="s">
        <v>4294</v>
      </c>
      <c r="B6596" t="s">
        <v>4909</v>
      </c>
      <c r="C6596" t="s">
        <v>4909</v>
      </c>
      <c r="D6596" t="s">
        <v>4909</v>
      </c>
      <c r="E6596" t="s">
        <v>4909</v>
      </c>
      <c r="F6596" t="s">
        <v>4909</v>
      </c>
      <c r="G6596" t="s">
        <v>4909</v>
      </c>
      <c r="H6596" t="s">
        <v>4909</v>
      </c>
      <c r="I6596" t="s">
        <v>4909</v>
      </c>
      <c r="J6596" t="s">
        <v>4909</v>
      </c>
      <c r="K6596" t="s">
        <v>4909</v>
      </c>
    </row>
    <row r="6597" spans="1:11" x14ac:dyDescent="0.2">
      <c r="A6597" t="s">
        <v>4295</v>
      </c>
      <c r="B6597" t="s">
        <v>4909</v>
      </c>
      <c r="C6597" t="s">
        <v>4909</v>
      </c>
      <c r="D6597" t="s">
        <v>4909</v>
      </c>
      <c r="E6597" t="s">
        <v>4909</v>
      </c>
      <c r="F6597" t="s">
        <v>4909</v>
      </c>
      <c r="G6597" t="s">
        <v>4909</v>
      </c>
      <c r="H6597" t="s">
        <v>4909</v>
      </c>
      <c r="I6597" t="s">
        <v>4909</v>
      </c>
      <c r="J6597" t="s">
        <v>4909</v>
      </c>
      <c r="K6597" t="s">
        <v>4909</v>
      </c>
    </row>
    <row r="6598" spans="1:11" x14ac:dyDescent="0.2">
      <c r="A6598" t="s">
        <v>4296</v>
      </c>
      <c r="B6598" t="s">
        <v>4909</v>
      </c>
      <c r="C6598" t="s">
        <v>4909</v>
      </c>
      <c r="D6598" t="s">
        <v>4909</v>
      </c>
      <c r="E6598" t="s">
        <v>4909</v>
      </c>
      <c r="F6598" t="s">
        <v>4909</v>
      </c>
      <c r="G6598" t="s">
        <v>4909</v>
      </c>
      <c r="H6598" t="s">
        <v>4909</v>
      </c>
      <c r="I6598" t="s">
        <v>4909</v>
      </c>
      <c r="J6598" t="s">
        <v>4909</v>
      </c>
      <c r="K6598" t="s">
        <v>4909</v>
      </c>
    </row>
    <row r="6599" spans="1:11" x14ac:dyDescent="0.2">
      <c r="A6599" t="s">
        <v>4297</v>
      </c>
      <c r="B6599" t="s">
        <v>4909</v>
      </c>
      <c r="C6599" t="s">
        <v>4909</v>
      </c>
      <c r="D6599" t="s">
        <v>4909</v>
      </c>
      <c r="E6599" s="88">
        <v>0</v>
      </c>
      <c r="F6599" t="s">
        <v>4909</v>
      </c>
      <c r="G6599" t="s">
        <v>4909</v>
      </c>
      <c r="H6599" t="s">
        <v>4909</v>
      </c>
      <c r="I6599" t="s">
        <v>4909</v>
      </c>
      <c r="J6599" t="s">
        <v>4909</v>
      </c>
      <c r="K6599" t="s">
        <v>4909</v>
      </c>
    </row>
    <row r="6600" spans="1:11" x14ac:dyDescent="0.2">
      <c r="A6600" t="s">
        <v>4298</v>
      </c>
      <c r="B6600" t="s">
        <v>4909</v>
      </c>
      <c r="C6600" t="s">
        <v>4909</v>
      </c>
      <c r="D6600" t="s">
        <v>4909</v>
      </c>
      <c r="E6600" s="88">
        <v>1E-3</v>
      </c>
      <c r="F6600" t="s">
        <v>4909</v>
      </c>
      <c r="G6600" t="s">
        <v>4909</v>
      </c>
      <c r="H6600" t="s">
        <v>4909</v>
      </c>
      <c r="I6600" t="s">
        <v>4909</v>
      </c>
      <c r="J6600" t="s">
        <v>4909</v>
      </c>
      <c r="K6600" t="s">
        <v>4909</v>
      </c>
    </row>
    <row r="6601" spans="1:11" x14ac:dyDescent="0.2">
      <c r="A6601" t="s">
        <v>4299</v>
      </c>
      <c r="B6601" t="s">
        <v>4909</v>
      </c>
      <c r="C6601" t="s">
        <v>4909</v>
      </c>
      <c r="D6601" t="s">
        <v>4909</v>
      </c>
      <c r="E6601" s="88">
        <v>3.0000000000000001E-3</v>
      </c>
      <c r="F6601" t="s">
        <v>4909</v>
      </c>
      <c r="G6601" t="s">
        <v>4909</v>
      </c>
      <c r="H6601" t="s">
        <v>4909</v>
      </c>
      <c r="I6601" t="s">
        <v>4909</v>
      </c>
      <c r="J6601" t="s">
        <v>4909</v>
      </c>
      <c r="K6601" t="s">
        <v>4909</v>
      </c>
    </row>
    <row r="6602" spans="1:11" x14ac:dyDescent="0.2">
      <c r="A6602" t="s">
        <v>4300</v>
      </c>
      <c r="B6602" t="s">
        <v>4909</v>
      </c>
      <c r="C6602" t="s">
        <v>4909</v>
      </c>
      <c r="D6602" t="s">
        <v>4909</v>
      </c>
      <c r="E6602" s="88">
        <v>1E-3</v>
      </c>
      <c r="F6602" t="s">
        <v>4909</v>
      </c>
      <c r="G6602" t="s">
        <v>4909</v>
      </c>
      <c r="H6602" t="s">
        <v>4909</v>
      </c>
      <c r="I6602" t="s">
        <v>4909</v>
      </c>
      <c r="J6602" t="s">
        <v>4909</v>
      </c>
      <c r="K6602" t="s">
        <v>4909</v>
      </c>
    </row>
    <row r="6603" spans="1:11" x14ac:dyDescent="0.2">
      <c r="A6603" t="s">
        <v>4301</v>
      </c>
      <c r="B6603" t="s">
        <v>4909</v>
      </c>
      <c r="C6603" t="s">
        <v>4909</v>
      </c>
      <c r="D6603" t="s">
        <v>4909</v>
      </c>
      <c r="E6603" s="88">
        <v>2E-3</v>
      </c>
      <c r="F6603" s="88">
        <v>0</v>
      </c>
      <c r="G6603" t="s">
        <v>4909</v>
      </c>
      <c r="H6603" t="s">
        <v>4909</v>
      </c>
      <c r="I6603" t="s">
        <v>4909</v>
      </c>
      <c r="J6603" t="s">
        <v>4909</v>
      </c>
      <c r="K6603" t="s">
        <v>4909</v>
      </c>
    </row>
    <row r="6604" spans="1:11" x14ac:dyDescent="0.2">
      <c r="A6604" t="s">
        <v>4302</v>
      </c>
      <c r="B6604" t="s">
        <v>4909</v>
      </c>
      <c r="C6604" t="s">
        <v>4909</v>
      </c>
      <c r="D6604" t="s">
        <v>4909</v>
      </c>
      <c r="E6604" s="88">
        <v>7.0000000000000001E-3</v>
      </c>
      <c r="F6604" t="s">
        <v>4909</v>
      </c>
      <c r="G6604" t="s">
        <v>4909</v>
      </c>
      <c r="H6604" t="s">
        <v>4909</v>
      </c>
      <c r="I6604" t="s">
        <v>4909</v>
      </c>
      <c r="J6604" t="s">
        <v>4909</v>
      </c>
      <c r="K6604" t="s">
        <v>4909</v>
      </c>
    </row>
    <row r="6605" spans="1:11" x14ac:dyDescent="0.2">
      <c r="A6605" t="s">
        <v>4303</v>
      </c>
      <c r="B6605" t="s">
        <v>4909</v>
      </c>
      <c r="C6605" t="s">
        <v>4909</v>
      </c>
      <c r="D6605" t="s">
        <v>4909</v>
      </c>
      <c r="E6605" s="88">
        <v>4.0000000000000001E-3</v>
      </c>
      <c r="F6605" t="s">
        <v>4909</v>
      </c>
      <c r="G6605" t="s">
        <v>4909</v>
      </c>
      <c r="H6605" t="s">
        <v>4909</v>
      </c>
      <c r="I6605" t="s">
        <v>4909</v>
      </c>
      <c r="J6605" t="s">
        <v>4909</v>
      </c>
      <c r="K6605" t="s">
        <v>4909</v>
      </c>
    </row>
    <row r="6606" spans="1:11" x14ac:dyDescent="0.2">
      <c r="A6606" t="s">
        <v>4304</v>
      </c>
      <c r="B6606" t="s">
        <v>4909</v>
      </c>
      <c r="C6606" t="s">
        <v>4909</v>
      </c>
      <c r="D6606" t="s">
        <v>4909</v>
      </c>
      <c r="E6606" s="88">
        <v>5.0000000000000001E-3</v>
      </c>
      <c r="F6606" t="s">
        <v>4909</v>
      </c>
      <c r="G6606" t="s">
        <v>4909</v>
      </c>
      <c r="H6606" t="s">
        <v>4909</v>
      </c>
      <c r="I6606" t="s">
        <v>4909</v>
      </c>
      <c r="J6606" t="s">
        <v>4909</v>
      </c>
      <c r="K6606" t="s">
        <v>4909</v>
      </c>
    </row>
    <row r="6607" spans="1:11" x14ac:dyDescent="0.2">
      <c r="A6607" t="s">
        <v>4305</v>
      </c>
      <c r="B6607" t="s">
        <v>4909</v>
      </c>
      <c r="C6607" t="s">
        <v>4909</v>
      </c>
      <c r="D6607" t="s">
        <v>4909</v>
      </c>
      <c r="E6607" s="88">
        <v>1.2E-2</v>
      </c>
      <c r="F6607" s="88">
        <v>0</v>
      </c>
      <c r="G6607" t="s">
        <v>4909</v>
      </c>
      <c r="H6607" t="s">
        <v>4909</v>
      </c>
      <c r="I6607" t="s">
        <v>4909</v>
      </c>
      <c r="J6607" t="s">
        <v>4909</v>
      </c>
      <c r="K6607" t="s">
        <v>4909</v>
      </c>
    </row>
    <row r="6608" spans="1:11" x14ac:dyDescent="0.2">
      <c r="A6608" t="s">
        <v>4306</v>
      </c>
      <c r="B6608" t="s">
        <v>4909</v>
      </c>
      <c r="C6608" t="s">
        <v>4909</v>
      </c>
      <c r="D6608" t="s">
        <v>4909</v>
      </c>
      <c r="E6608" s="88">
        <v>8.9999999999999993E-3</v>
      </c>
      <c r="F6608" t="s">
        <v>4909</v>
      </c>
      <c r="G6608" t="s">
        <v>4909</v>
      </c>
      <c r="H6608" t="s">
        <v>4909</v>
      </c>
      <c r="I6608" t="s">
        <v>4909</v>
      </c>
      <c r="J6608" t="s">
        <v>4909</v>
      </c>
      <c r="K6608" t="s">
        <v>4909</v>
      </c>
    </row>
    <row r="6609" spans="1:11" x14ac:dyDescent="0.2">
      <c r="A6609" t="s">
        <v>4307</v>
      </c>
      <c r="B6609" t="s">
        <v>4909</v>
      </c>
      <c r="C6609" t="s">
        <v>4909</v>
      </c>
      <c r="D6609" s="88">
        <v>0</v>
      </c>
      <c r="E6609" s="88">
        <v>4.0000000000000001E-3</v>
      </c>
      <c r="F6609" s="88">
        <v>0</v>
      </c>
      <c r="G6609" t="s">
        <v>4909</v>
      </c>
      <c r="H6609" t="s">
        <v>4909</v>
      </c>
      <c r="I6609" t="s">
        <v>4909</v>
      </c>
      <c r="J6609" t="s">
        <v>4909</v>
      </c>
      <c r="K6609" t="s">
        <v>4909</v>
      </c>
    </row>
    <row r="6610" spans="1:11" x14ac:dyDescent="0.2">
      <c r="A6610" t="s">
        <v>4308</v>
      </c>
      <c r="B6610" t="s">
        <v>4909</v>
      </c>
      <c r="C6610" t="s">
        <v>4909</v>
      </c>
      <c r="D6610" t="s">
        <v>4909</v>
      </c>
      <c r="E6610" s="88">
        <v>5.0000000000000001E-3</v>
      </c>
      <c r="F6610" t="s">
        <v>4909</v>
      </c>
      <c r="G6610" t="s">
        <v>4909</v>
      </c>
      <c r="H6610" t="s">
        <v>4909</v>
      </c>
      <c r="I6610" t="s">
        <v>4909</v>
      </c>
      <c r="J6610" t="s">
        <v>4909</v>
      </c>
      <c r="K6610" t="s">
        <v>4909</v>
      </c>
    </row>
    <row r="6611" spans="1:11" x14ac:dyDescent="0.2">
      <c r="A6611" t="s">
        <v>4309</v>
      </c>
      <c r="B6611" t="s">
        <v>4909</v>
      </c>
      <c r="C6611" t="s">
        <v>4909</v>
      </c>
      <c r="D6611" t="s">
        <v>4909</v>
      </c>
      <c r="E6611" t="s">
        <v>4909</v>
      </c>
      <c r="F6611" t="s">
        <v>4909</v>
      </c>
      <c r="G6611" t="s">
        <v>4909</v>
      </c>
      <c r="H6611" t="s">
        <v>4909</v>
      </c>
      <c r="I6611" t="s">
        <v>4909</v>
      </c>
      <c r="J6611" t="s">
        <v>4909</v>
      </c>
      <c r="K6611" t="s">
        <v>4909</v>
      </c>
    </row>
    <row r="6612" spans="1:11" x14ac:dyDescent="0.2">
      <c r="A6612" t="s">
        <v>4310</v>
      </c>
      <c r="B6612" t="s">
        <v>4909</v>
      </c>
      <c r="C6612" t="s">
        <v>4909</v>
      </c>
      <c r="D6612" t="s">
        <v>4909</v>
      </c>
      <c r="E6612" t="s">
        <v>4909</v>
      </c>
      <c r="F6612" t="s">
        <v>4909</v>
      </c>
      <c r="G6612" t="s">
        <v>4909</v>
      </c>
      <c r="H6612" t="s">
        <v>4909</v>
      </c>
      <c r="I6612" t="s">
        <v>4909</v>
      </c>
      <c r="J6612" t="s">
        <v>4909</v>
      </c>
      <c r="K6612" t="s">
        <v>4909</v>
      </c>
    </row>
    <row r="6613" spans="1:11" x14ac:dyDescent="0.2">
      <c r="A6613" t="s">
        <v>4311</v>
      </c>
      <c r="B6613" t="s">
        <v>4909</v>
      </c>
      <c r="C6613" t="s">
        <v>4909</v>
      </c>
      <c r="D6613" t="s">
        <v>4909</v>
      </c>
      <c r="E6613" t="s">
        <v>4909</v>
      </c>
      <c r="F6613" t="s">
        <v>4909</v>
      </c>
      <c r="G6613" t="s">
        <v>4909</v>
      </c>
      <c r="H6613" t="s">
        <v>4909</v>
      </c>
      <c r="I6613" t="s">
        <v>4909</v>
      </c>
      <c r="J6613" t="s">
        <v>4909</v>
      </c>
      <c r="K6613" t="s">
        <v>4909</v>
      </c>
    </row>
    <row r="6614" spans="1:11" x14ac:dyDescent="0.2">
      <c r="A6614" t="s">
        <v>4312</v>
      </c>
      <c r="B6614" t="s">
        <v>4909</v>
      </c>
      <c r="C6614" t="s">
        <v>4909</v>
      </c>
      <c r="D6614" t="s">
        <v>4909</v>
      </c>
      <c r="E6614" t="s">
        <v>4909</v>
      </c>
      <c r="F6614" t="s">
        <v>4909</v>
      </c>
      <c r="G6614" t="s">
        <v>4909</v>
      </c>
      <c r="H6614" t="s">
        <v>4909</v>
      </c>
      <c r="I6614" t="s">
        <v>4909</v>
      </c>
      <c r="J6614" t="s">
        <v>4909</v>
      </c>
      <c r="K6614" t="s">
        <v>4909</v>
      </c>
    </row>
    <row r="6615" spans="1:11" x14ac:dyDescent="0.2">
      <c r="A6615" t="s">
        <v>4313</v>
      </c>
      <c r="B6615" t="s">
        <v>4909</v>
      </c>
      <c r="C6615" t="s">
        <v>4909</v>
      </c>
      <c r="D6615" t="s">
        <v>4909</v>
      </c>
      <c r="E6615" t="s">
        <v>4909</v>
      </c>
      <c r="F6615" t="s">
        <v>4909</v>
      </c>
      <c r="G6615" t="s">
        <v>4909</v>
      </c>
      <c r="H6615" t="s">
        <v>4909</v>
      </c>
      <c r="I6615" t="s">
        <v>4909</v>
      </c>
      <c r="J6615" t="s">
        <v>4909</v>
      </c>
      <c r="K6615" t="s">
        <v>4909</v>
      </c>
    </row>
    <row r="6616" spans="1:11" x14ac:dyDescent="0.2">
      <c r="A6616" t="s">
        <v>4314</v>
      </c>
      <c r="B6616" t="s">
        <v>4909</v>
      </c>
      <c r="C6616" t="s">
        <v>4909</v>
      </c>
      <c r="D6616" t="s">
        <v>4909</v>
      </c>
      <c r="E6616" t="s">
        <v>4909</v>
      </c>
      <c r="F6616" t="s">
        <v>4909</v>
      </c>
      <c r="G6616" t="s">
        <v>4909</v>
      </c>
      <c r="H6616" t="s">
        <v>4909</v>
      </c>
      <c r="I6616" t="s">
        <v>4909</v>
      </c>
      <c r="J6616" t="s">
        <v>4909</v>
      </c>
      <c r="K6616" t="s">
        <v>4909</v>
      </c>
    </row>
    <row r="6617" spans="1:11" x14ac:dyDescent="0.2">
      <c r="A6617" t="s">
        <v>4315</v>
      </c>
      <c r="B6617" t="s">
        <v>4909</v>
      </c>
      <c r="C6617" t="s">
        <v>4909</v>
      </c>
      <c r="D6617" t="s">
        <v>4909</v>
      </c>
      <c r="E6617" t="s">
        <v>4909</v>
      </c>
      <c r="F6617" t="s">
        <v>4909</v>
      </c>
      <c r="G6617" t="s">
        <v>4909</v>
      </c>
      <c r="H6617" t="s">
        <v>4909</v>
      </c>
      <c r="I6617" t="s">
        <v>4909</v>
      </c>
      <c r="J6617" t="s">
        <v>4909</v>
      </c>
      <c r="K6617" t="s">
        <v>4909</v>
      </c>
    </row>
    <row r="6618" spans="1:11" x14ac:dyDescent="0.2">
      <c r="A6618" t="s">
        <v>4316</v>
      </c>
      <c r="B6618" t="s">
        <v>4909</v>
      </c>
      <c r="C6618" t="s">
        <v>4909</v>
      </c>
      <c r="D6618" t="s">
        <v>4909</v>
      </c>
      <c r="E6618" t="s">
        <v>4909</v>
      </c>
      <c r="F6618" t="s">
        <v>4909</v>
      </c>
      <c r="G6618" t="s">
        <v>4909</v>
      </c>
      <c r="H6618" t="s">
        <v>4909</v>
      </c>
      <c r="I6618" t="s">
        <v>4909</v>
      </c>
      <c r="J6618" t="s">
        <v>4909</v>
      </c>
      <c r="K6618" t="s">
        <v>4909</v>
      </c>
    </row>
    <row r="6619" spans="1:11" x14ac:dyDescent="0.2">
      <c r="A6619" t="s">
        <v>4317</v>
      </c>
      <c r="B6619" t="s">
        <v>4909</v>
      </c>
      <c r="C6619" t="s">
        <v>4909</v>
      </c>
      <c r="D6619" t="s">
        <v>4909</v>
      </c>
      <c r="E6619" t="s">
        <v>4909</v>
      </c>
      <c r="F6619" t="s">
        <v>4909</v>
      </c>
      <c r="G6619" t="s">
        <v>4909</v>
      </c>
      <c r="H6619" t="s">
        <v>4909</v>
      </c>
      <c r="I6619" t="s">
        <v>4909</v>
      </c>
      <c r="J6619" t="s">
        <v>4909</v>
      </c>
      <c r="K6619" t="s">
        <v>4909</v>
      </c>
    </row>
    <row r="6620" spans="1:11" x14ac:dyDescent="0.2">
      <c r="A6620" t="s">
        <v>4318</v>
      </c>
      <c r="B6620" t="s">
        <v>4909</v>
      </c>
      <c r="C6620" t="s">
        <v>4909</v>
      </c>
      <c r="D6620" t="s">
        <v>4909</v>
      </c>
      <c r="E6620" t="s">
        <v>4909</v>
      </c>
      <c r="F6620" t="s">
        <v>4909</v>
      </c>
      <c r="G6620" t="s">
        <v>4909</v>
      </c>
      <c r="H6620" t="s">
        <v>4909</v>
      </c>
      <c r="I6620" t="s">
        <v>4909</v>
      </c>
      <c r="J6620" t="s">
        <v>4909</v>
      </c>
      <c r="K6620" t="s">
        <v>4909</v>
      </c>
    </row>
    <row r="6621" spans="1:11" x14ac:dyDescent="0.2">
      <c r="A6621" t="s">
        <v>4319</v>
      </c>
      <c r="B6621" t="s">
        <v>4909</v>
      </c>
      <c r="C6621" t="s">
        <v>4909</v>
      </c>
      <c r="D6621" t="s">
        <v>4909</v>
      </c>
      <c r="E6621" t="s">
        <v>4909</v>
      </c>
      <c r="F6621" t="s">
        <v>4909</v>
      </c>
      <c r="G6621" t="s">
        <v>4909</v>
      </c>
      <c r="H6621" t="s">
        <v>4909</v>
      </c>
      <c r="I6621" t="s">
        <v>4909</v>
      </c>
      <c r="J6621" t="s">
        <v>4909</v>
      </c>
      <c r="K6621" t="s">
        <v>4909</v>
      </c>
    </row>
    <row r="6622" spans="1:11" x14ac:dyDescent="0.2">
      <c r="A6622" t="s">
        <v>4320</v>
      </c>
      <c r="B6622" t="s">
        <v>4909</v>
      </c>
      <c r="C6622" t="s">
        <v>4909</v>
      </c>
      <c r="D6622" t="s">
        <v>4909</v>
      </c>
      <c r="E6622" t="s">
        <v>4909</v>
      </c>
      <c r="F6622" t="s">
        <v>4909</v>
      </c>
      <c r="G6622" t="s">
        <v>4909</v>
      </c>
      <c r="H6622" t="s">
        <v>4909</v>
      </c>
      <c r="I6622" t="s">
        <v>4909</v>
      </c>
      <c r="J6622" t="s">
        <v>4909</v>
      </c>
      <c r="K6622" t="s">
        <v>4909</v>
      </c>
    </row>
    <row r="6623" spans="1:11" x14ac:dyDescent="0.2">
      <c r="A6623" t="s">
        <v>4321</v>
      </c>
      <c r="B6623" t="s">
        <v>4909</v>
      </c>
      <c r="C6623" t="s">
        <v>4909</v>
      </c>
      <c r="D6623" t="s">
        <v>4909</v>
      </c>
      <c r="E6623" t="s">
        <v>4909</v>
      </c>
      <c r="F6623" t="s">
        <v>4909</v>
      </c>
      <c r="G6623" t="s">
        <v>4909</v>
      </c>
      <c r="H6623" t="s">
        <v>4909</v>
      </c>
      <c r="I6623" t="s">
        <v>4909</v>
      </c>
      <c r="J6623" t="s">
        <v>4909</v>
      </c>
      <c r="K6623" t="s">
        <v>4909</v>
      </c>
    </row>
    <row r="6624" spans="1:11" x14ac:dyDescent="0.2">
      <c r="A6624" t="s">
        <v>4322</v>
      </c>
      <c r="B6624" t="s">
        <v>4909</v>
      </c>
      <c r="C6624" t="s">
        <v>4909</v>
      </c>
      <c r="D6624" t="s">
        <v>4909</v>
      </c>
      <c r="E6624" t="s">
        <v>4909</v>
      </c>
      <c r="F6624" t="s">
        <v>4909</v>
      </c>
      <c r="G6624" t="s">
        <v>4909</v>
      </c>
      <c r="H6624" t="s">
        <v>4909</v>
      </c>
      <c r="I6624" t="s">
        <v>4909</v>
      </c>
      <c r="J6624" t="s">
        <v>4909</v>
      </c>
      <c r="K6624" t="s">
        <v>4909</v>
      </c>
    </row>
    <row r="6625" spans="1:11" x14ac:dyDescent="0.2">
      <c r="A6625" t="s">
        <v>4323</v>
      </c>
      <c r="B6625" t="s">
        <v>4909</v>
      </c>
      <c r="C6625" t="s">
        <v>4909</v>
      </c>
      <c r="D6625" t="s">
        <v>4909</v>
      </c>
      <c r="E6625" t="s">
        <v>4909</v>
      </c>
      <c r="F6625" t="s">
        <v>4909</v>
      </c>
      <c r="G6625" t="s">
        <v>4909</v>
      </c>
      <c r="H6625" t="s">
        <v>4909</v>
      </c>
      <c r="I6625" t="s">
        <v>4909</v>
      </c>
      <c r="J6625" t="s">
        <v>4909</v>
      </c>
      <c r="K6625" t="s">
        <v>4909</v>
      </c>
    </row>
    <row r="6626" spans="1:11" x14ac:dyDescent="0.2">
      <c r="A6626" t="s">
        <v>4324</v>
      </c>
      <c r="B6626" t="s">
        <v>4909</v>
      </c>
      <c r="C6626" t="s">
        <v>4909</v>
      </c>
      <c r="D6626" t="s">
        <v>4909</v>
      </c>
      <c r="E6626" t="s">
        <v>4909</v>
      </c>
      <c r="F6626" t="s">
        <v>4909</v>
      </c>
      <c r="G6626" t="s">
        <v>4909</v>
      </c>
      <c r="H6626" t="s">
        <v>4909</v>
      </c>
      <c r="I6626" t="s">
        <v>4909</v>
      </c>
      <c r="J6626" t="s">
        <v>4909</v>
      </c>
      <c r="K6626" t="s">
        <v>4909</v>
      </c>
    </row>
    <row r="6627" spans="1:11" x14ac:dyDescent="0.2">
      <c r="A6627" t="s">
        <v>4325</v>
      </c>
      <c r="B6627" t="s">
        <v>4909</v>
      </c>
      <c r="C6627" t="s">
        <v>4909</v>
      </c>
      <c r="D6627" t="s">
        <v>4909</v>
      </c>
      <c r="E6627" t="s">
        <v>4909</v>
      </c>
      <c r="F6627" t="s">
        <v>4909</v>
      </c>
      <c r="G6627" t="s">
        <v>4909</v>
      </c>
      <c r="H6627" t="s">
        <v>4909</v>
      </c>
      <c r="I6627" t="s">
        <v>4909</v>
      </c>
      <c r="J6627" t="s">
        <v>4909</v>
      </c>
      <c r="K6627" t="s">
        <v>4909</v>
      </c>
    </row>
    <row r="6628" spans="1:11" x14ac:dyDescent="0.2">
      <c r="A6628" t="s">
        <v>4326</v>
      </c>
      <c r="B6628" t="s">
        <v>4909</v>
      </c>
      <c r="C6628" t="s">
        <v>4909</v>
      </c>
      <c r="D6628" t="s">
        <v>4909</v>
      </c>
      <c r="E6628" t="s">
        <v>4909</v>
      </c>
      <c r="F6628" t="s">
        <v>4909</v>
      </c>
      <c r="G6628" t="s">
        <v>4909</v>
      </c>
      <c r="H6628" t="s">
        <v>4909</v>
      </c>
      <c r="I6628" t="s">
        <v>4909</v>
      </c>
      <c r="J6628" t="s">
        <v>4909</v>
      </c>
      <c r="K6628" t="s">
        <v>4909</v>
      </c>
    </row>
    <row r="6629" spans="1:11" x14ac:dyDescent="0.2">
      <c r="A6629" t="s">
        <v>4327</v>
      </c>
      <c r="B6629" t="s">
        <v>4909</v>
      </c>
      <c r="C6629" t="s">
        <v>4909</v>
      </c>
      <c r="D6629" t="s">
        <v>4909</v>
      </c>
      <c r="E6629" t="s">
        <v>4909</v>
      </c>
      <c r="F6629" t="s">
        <v>4909</v>
      </c>
      <c r="G6629" t="s">
        <v>4909</v>
      </c>
      <c r="H6629" t="s">
        <v>4909</v>
      </c>
      <c r="I6629" t="s">
        <v>4909</v>
      </c>
      <c r="J6629" t="s">
        <v>4909</v>
      </c>
      <c r="K6629" t="s">
        <v>4909</v>
      </c>
    </row>
    <row r="6630" spans="1:11" x14ac:dyDescent="0.2">
      <c r="A6630" t="s">
        <v>4328</v>
      </c>
      <c r="B6630" t="s">
        <v>4909</v>
      </c>
      <c r="C6630" t="s">
        <v>4909</v>
      </c>
      <c r="D6630" t="s">
        <v>4909</v>
      </c>
      <c r="E6630" t="s">
        <v>4909</v>
      </c>
      <c r="F6630" t="s">
        <v>4909</v>
      </c>
      <c r="G6630" t="s">
        <v>4909</v>
      </c>
      <c r="H6630" t="s">
        <v>4909</v>
      </c>
      <c r="I6630" t="s">
        <v>4909</v>
      </c>
      <c r="J6630" t="s">
        <v>4909</v>
      </c>
      <c r="K6630" t="s">
        <v>4909</v>
      </c>
    </row>
    <row r="6631" spans="1:11" x14ac:dyDescent="0.2">
      <c r="A6631" t="s">
        <v>4329</v>
      </c>
      <c r="B6631" t="s">
        <v>4909</v>
      </c>
      <c r="C6631" t="s">
        <v>4909</v>
      </c>
      <c r="D6631" t="s">
        <v>4909</v>
      </c>
      <c r="E6631" t="s">
        <v>4909</v>
      </c>
      <c r="F6631" t="s">
        <v>4909</v>
      </c>
      <c r="G6631" t="s">
        <v>4909</v>
      </c>
      <c r="H6631" t="s">
        <v>4909</v>
      </c>
      <c r="I6631" t="s">
        <v>4909</v>
      </c>
      <c r="J6631" t="s">
        <v>4909</v>
      </c>
      <c r="K6631" t="s">
        <v>4909</v>
      </c>
    </row>
    <row r="6632" spans="1:11" x14ac:dyDescent="0.2">
      <c r="A6632" t="s">
        <v>4330</v>
      </c>
      <c r="B6632" t="s">
        <v>4909</v>
      </c>
      <c r="C6632" t="s">
        <v>4909</v>
      </c>
      <c r="D6632" t="s">
        <v>4909</v>
      </c>
      <c r="E6632" t="s">
        <v>4909</v>
      </c>
      <c r="F6632" t="s">
        <v>4909</v>
      </c>
      <c r="G6632" t="s">
        <v>4909</v>
      </c>
      <c r="H6632" t="s">
        <v>4909</v>
      </c>
      <c r="I6632" t="s">
        <v>4909</v>
      </c>
      <c r="J6632" t="s">
        <v>4909</v>
      </c>
      <c r="K6632" t="s">
        <v>4909</v>
      </c>
    </row>
    <row r="6633" spans="1:11" x14ac:dyDescent="0.2">
      <c r="A6633" t="s">
        <v>4331</v>
      </c>
      <c r="B6633" t="s">
        <v>4909</v>
      </c>
      <c r="C6633" t="s">
        <v>4909</v>
      </c>
      <c r="D6633" t="s">
        <v>4909</v>
      </c>
      <c r="E6633" t="s">
        <v>4909</v>
      </c>
      <c r="F6633" t="s">
        <v>4909</v>
      </c>
      <c r="G6633" t="s">
        <v>4909</v>
      </c>
      <c r="H6633" t="s">
        <v>4909</v>
      </c>
      <c r="I6633" t="s">
        <v>4909</v>
      </c>
      <c r="J6633" t="s">
        <v>4909</v>
      </c>
      <c r="K6633" t="s">
        <v>4909</v>
      </c>
    </row>
    <row r="6634" spans="1:11" x14ac:dyDescent="0.2">
      <c r="A6634" t="s">
        <v>4332</v>
      </c>
      <c r="B6634" t="s">
        <v>4909</v>
      </c>
      <c r="C6634" t="s">
        <v>4909</v>
      </c>
      <c r="D6634" t="s">
        <v>4909</v>
      </c>
      <c r="E6634" t="s">
        <v>4909</v>
      </c>
      <c r="F6634" t="s">
        <v>4909</v>
      </c>
      <c r="G6634" t="s">
        <v>4909</v>
      </c>
      <c r="H6634" t="s">
        <v>4909</v>
      </c>
      <c r="I6634" t="s">
        <v>4909</v>
      </c>
      <c r="J6634" t="s">
        <v>4909</v>
      </c>
      <c r="K6634" t="s">
        <v>4909</v>
      </c>
    </row>
    <row r="6635" spans="1:11" x14ac:dyDescent="0.2">
      <c r="A6635" t="s">
        <v>4333</v>
      </c>
      <c r="B6635" t="s">
        <v>4909</v>
      </c>
      <c r="C6635" t="s">
        <v>4909</v>
      </c>
      <c r="D6635" t="s">
        <v>4909</v>
      </c>
      <c r="E6635" t="s">
        <v>4909</v>
      </c>
      <c r="F6635" t="s">
        <v>4909</v>
      </c>
      <c r="G6635" t="s">
        <v>4909</v>
      </c>
      <c r="H6635" t="s">
        <v>4909</v>
      </c>
      <c r="I6635" t="s">
        <v>4909</v>
      </c>
      <c r="J6635" t="s">
        <v>4909</v>
      </c>
      <c r="K6635" t="s">
        <v>4909</v>
      </c>
    </row>
    <row r="6636" spans="1:11" x14ac:dyDescent="0.2">
      <c r="A6636" t="s">
        <v>4334</v>
      </c>
      <c r="B6636" t="s">
        <v>4909</v>
      </c>
      <c r="C6636" t="s">
        <v>4909</v>
      </c>
      <c r="D6636" t="s">
        <v>4909</v>
      </c>
      <c r="E6636" t="s">
        <v>4909</v>
      </c>
      <c r="F6636" t="s">
        <v>4909</v>
      </c>
      <c r="G6636" t="s">
        <v>4909</v>
      </c>
      <c r="H6636" t="s">
        <v>4909</v>
      </c>
      <c r="I6636" t="s">
        <v>4909</v>
      </c>
      <c r="J6636" t="s">
        <v>4909</v>
      </c>
      <c r="K6636" t="s">
        <v>4909</v>
      </c>
    </row>
    <row r="6637" spans="1:11" x14ac:dyDescent="0.2">
      <c r="A6637" t="s">
        <v>4335</v>
      </c>
      <c r="B6637" t="s">
        <v>4909</v>
      </c>
      <c r="C6637" t="s">
        <v>4909</v>
      </c>
      <c r="D6637" t="s">
        <v>4909</v>
      </c>
      <c r="E6637" t="s">
        <v>4909</v>
      </c>
      <c r="F6637" t="s">
        <v>4909</v>
      </c>
      <c r="G6637" t="s">
        <v>4909</v>
      </c>
      <c r="H6637" t="s">
        <v>4909</v>
      </c>
      <c r="I6637" t="s">
        <v>4909</v>
      </c>
      <c r="J6637" t="s">
        <v>4909</v>
      </c>
      <c r="K6637" t="s">
        <v>4909</v>
      </c>
    </row>
    <row r="6638" spans="1:11" x14ac:dyDescent="0.2">
      <c r="A6638" t="s">
        <v>4336</v>
      </c>
      <c r="B6638" t="s">
        <v>4909</v>
      </c>
      <c r="C6638" t="s">
        <v>4909</v>
      </c>
      <c r="D6638" t="s">
        <v>4909</v>
      </c>
      <c r="E6638" t="s">
        <v>4909</v>
      </c>
      <c r="F6638" t="s">
        <v>4909</v>
      </c>
      <c r="G6638" t="s">
        <v>4909</v>
      </c>
      <c r="H6638" t="s">
        <v>4909</v>
      </c>
      <c r="I6638" t="s">
        <v>4909</v>
      </c>
      <c r="J6638" t="s">
        <v>4909</v>
      </c>
      <c r="K6638" t="s">
        <v>4909</v>
      </c>
    </row>
    <row r="6639" spans="1:11" x14ac:dyDescent="0.2">
      <c r="A6639" t="s">
        <v>4337</v>
      </c>
      <c r="B6639" t="s">
        <v>4909</v>
      </c>
      <c r="C6639" t="s">
        <v>4909</v>
      </c>
      <c r="D6639" t="s">
        <v>4909</v>
      </c>
      <c r="E6639" t="s">
        <v>4909</v>
      </c>
      <c r="F6639" t="s">
        <v>4909</v>
      </c>
      <c r="G6639" t="s">
        <v>4909</v>
      </c>
      <c r="H6639" t="s">
        <v>4909</v>
      </c>
      <c r="I6639" t="s">
        <v>4909</v>
      </c>
      <c r="J6639" t="s">
        <v>4909</v>
      </c>
      <c r="K6639" t="s">
        <v>4909</v>
      </c>
    </row>
    <row r="6640" spans="1:11" x14ac:dyDescent="0.2">
      <c r="A6640" t="s">
        <v>4338</v>
      </c>
      <c r="B6640" t="s">
        <v>4909</v>
      </c>
      <c r="C6640" t="s">
        <v>4909</v>
      </c>
      <c r="D6640" t="s">
        <v>4909</v>
      </c>
      <c r="E6640" t="s">
        <v>4909</v>
      </c>
      <c r="F6640" t="s">
        <v>4909</v>
      </c>
      <c r="G6640" t="s">
        <v>4909</v>
      </c>
      <c r="H6640" t="s">
        <v>4909</v>
      </c>
      <c r="I6640" t="s">
        <v>4909</v>
      </c>
      <c r="J6640" t="s">
        <v>4909</v>
      </c>
      <c r="K6640" t="s">
        <v>4909</v>
      </c>
    </row>
    <row r="6641" spans="1:11" x14ac:dyDescent="0.2">
      <c r="A6641" t="s">
        <v>4339</v>
      </c>
      <c r="B6641" t="s">
        <v>4909</v>
      </c>
      <c r="C6641" t="s">
        <v>4909</v>
      </c>
      <c r="D6641" t="s">
        <v>4909</v>
      </c>
      <c r="E6641" t="s">
        <v>4909</v>
      </c>
      <c r="F6641" t="s">
        <v>4909</v>
      </c>
      <c r="G6641" t="s">
        <v>4909</v>
      </c>
      <c r="H6641" t="s">
        <v>4909</v>
      </c>
      <c r="I6641" t="s">
        <v>4909</v>
      </c>
      <c r="J6641" t="s">
        <v>4909</v>
      </c>
      <c r="K6641" t="s">
        <v>4909</v>
      </c>
    </row>
    <row r="6642" spans="1:11" x14ac:dyDescent="0.2">
      <c r="A6642" t="s">
        <v>4340</v>
      </c>
      <c r="B6642" t="s">
        <v>4909</v>
      </c>
      <c r="C6642" t="s">
        <v>4909</v>
      </c>
      <c r="D6642" t="s">
        <v>4909</v>
      </c>
      <c r="E6642" t="s">
        <v>4909</v>
      </c>
      <c r="F6642" t="s">
        <v>4909</v>
      </c>
      <c r="G6642" t="s">
        <v>4909</v>
      </c>
      <c r="H6642" t="s">
        <v>4909</v>
      </c>
      <c r="I6642" t="s">
        <v>4909</v>
      </c>
      <c r="J6642" t="s">
        <v>4909</v>
      </c>
      <c r="K6642" t="s">
        <v>4909</v>
      </c>
    </row>
    <row r="6643" spans="1:11" x14ac:dyDescent="0.2">
      <c r="A6643" t="s">
        <v>4341</v>
      </c>
      <c r="B6643" t="s">
        <v>4909</v>
      </c>
      <c r="C6643" t="s">
        <v>4909</v>
      </c>
      <c r="D6643" t="s">
        <v>4909</v>
      </c>
      <c r="E6643" t="s">
        <v>4909</v>
      </c>
      <c r="F6643" t="s">
        <v>4909</v>
      </c>
      <c r="G6643" t="s">
        <v>4909</v>
      </c>
      <c r="H6643" t="s">
        <v>4909</v>
      </c>
      <c r="I6643" t="s">
        <v>4909</v>
      </c>
      <c r="J6643" t="s">
        <v>4909</v>
      </c>
      <c r="K6643" t="s">
        <v>4909</v>
      </c>
    </row>
    <row r="6644" spans="1:11" x14ac:dyDescent="0.2">
      <c r="A6644" t="s">
        <v>4342</v>
      </c>
      <c r="B6644" t="s">
        <v>4909</v>
      </c>
      <c r="C6644" t="s">
        <v>4909</v>
      </c>
      <c r="D6644" t="s">
        <v>4909</v>
      </c>
      <c r="E6644" t="s">
        <v>4909</v>
      </c>
      <c r="F6644" t="s">
        <v>4909</v>
      </c>
      <c r="G6644" t="s">
        <v>4909</v>
      </c>
      <c r="H6644" t="s">
        <v>4909</v>
      </c>
      <c r="I6644" t="s">
        <v>4909</v>
      </c>
      <c r="J6644" t="s">
        <v>4909</v>
      </c>
      <c r="K6644" t="s">
        <v>4909</v>
      </c>
    </row>
    <row r="6645" spans="1:11" x14ac:dyDescent="0.2">
      <c r="A6645" t="s">
        <v>4343</v>
      </c>
      <c r="B6645" t="s">
        <v>4909</v>
      </c>
      <c r="C6645" t="s">
        <v>4909</v>
      </c>
      <c r="D6645" t="s">
        <v>4909</v>
      </c>
      <c r="E6645" t="s">
        <v>4909</v>
      </c>
      <c r="F6645" t="s">
        <v>4909</v>
      </c>
      <c r="G6645" t="s">
        <v>4909</v>
      </c>
      <c r="H6645" t="s">
        <v>4909</v>
      </c>
      <c r="I6645" t="s">
        <v>4909</v>
      </c>
      <c r="J6645" t="s">
        <v>4909</v>
      </c>
      <c r="K6645" t="s">
        <v>4909</v>
      </c>
    </row>
    <row r="6646" spans="1:11" x14ac:dyDescent="0.2">
      <c r="A6646" t="s">
        <v>1728</v>
      </c>
      <c r="B6646" t="s">
        <v>4909</v>
      </c>
      <c r="C6646" t="s">
        <v>4909</v>
      </c>
      <c r="D6646" t="s">
        <v>4909</v>
      </c>
      <c r="E6646" t="s">
        <v>4909</v>
      </c>
      <c r="F6646" t="s">
        <v>4909</v>
      </c>
      <c r="G6646" t="s">
        <v>4909</v>
      </c>
      <c r="H6646" t="s">
        <v>4909</v>
      </c>
      <c r="I6646" t="s">
        <v>4909</v>
      </c>
      <c r="J6646" t="s">
        <v>4909</v>
      </c>
      <c r="K6646" t="s">
        <v>4909</v>
      </c>
    </row>
    <row r="6647" spans="1:11" x14ac:dyDescent="0.2">
      <c r="A6647" t="s">
        <v>1730</v>
      </c>
      <c r="B6647" t="s">
        <v>4909</v>
      </c>
      <c r="C6647" t="s">
        <v>4909</v>
      </c>
      <c r="D6647" t="s">
        <v>4909</v>
      </c>
      <c r="E6647" s="88">
        <v>5.0000000000000001E-3</v>
      </c>
      <c r="F6647" s="88">
        <v>0</v>
      </c>
      <c r="G6647" t="s">
        <v>4909</v>
      </c>
      <c r="H6647" t="s">
        <v>4909</v>
      </c>
      <c r="I6647" t="s">
        <v>4909</v>
      </c>
      <c r="J6647" t="s">
        <v>4909</v>
      </c>
      <c r="K6647" t="s">
        <v>4909</v>
      </c>
    </row>
    <row r="6648" spans="1:11" x14ac:dyDescent="0.2">
      <c r="A6648" t="s">
        <v>1733</v>
      </c>
      <c r="B6648" t="s">
        <v>4909</v>
      </c>
      <c r="C6648" t="s">
        <v>4909</v>
      </c>
      <c r="D6648" t="s">
        <v>4909</v>
      </c>
      <c r="E6648" t="s">
        <v>4909</v>
      </c>
      <c r="F6648" t="s">
        <v>4909</v>
      </c>
      <c r="G6648" t="s">
        <v>4909</v>
      </c>
      <c r="H6648" t="s">
        <v>4909</v>
      </c>
      <c r="I6648" t="s">
        <v>4909</v>
      </c>
      <c r="J6648" t="s">
        <v>4909</v>
      </c>
      <c r="K6648" t="s">
        <v>4909</v>
      </c>
    </row>
    <row r="6649" spans="1:11" x14ac:dyDescent="0.2">
      <c r="A6649" t="s">
        <v>1738</v>
      </c>
      <c r="B6649" t="s">
        <v>4909</v>
      </c>
      <c r="C6649" t="s">
        <v>4909</v>
      </c>
      <c r="D6649" t="s">
        <v>4909</v>
      </c>
      <c r="E6649" t="s">
        <v>4909</v>
      </c>
      <c r="F6649" t="s">
        <v>4909</v>
      </c>
      <c r="G6649" t="s">
        <v>4909</v>
      </c>
      <c r="H6649" t="s">
        <v>4909</v>
      </c>
      <c r="I6649" t="s">
        <v>4909</v>
      </c>
      <c r="J6649" t="s">
        <v>4909</v>
      </c>
      <c r="K6649" t="s">
        <v>4909</v>
      </c>
    </row>
    <row r="6650" spans="1:11" x14ac:dyDescent="0.2">
      <c r="A6650" t="s">
        <v>1744</v>
      </c>
      <c r="B6650" t="s">
        <v>4909</v>
      </c>
      <c r="C6650" t="s">
        <v>4909</v>
      </c>
      <c r="D6650" t="s">
        <v>4909</v>
      </c>
      <c r="E6650" t="s">
        <v>4909</v>
      </c>
      <c r="F6650" t="s">
        <v>4909</v>
      </c>
      <c r="G6650" t="s">
        <v>4909</v>
      </c>
      <c r="H6650" t="s">
        <v>4909</v>
      </c>
      <c r="I6650" t="s">
        <v>4909</v>
      </c>
      <c r="J6650" t="s">
        <v>4909</v>
      </c>
      <c r="K6650" t="s">
        <v>4909</v>
      </c>
    </row>
    <row r="6651" spans="1:11" x14ac:dyDescent="0.2">
      <c r="A6651" t="s">
        <v>1747</v>
      </c>
      <c r="B6651" t="s">
        <v>4909</v>
      </c>
      <c r="C6651" t="s">
        <v>4909</v>
      </c>
      <c r="D6651" t="s">
        <v>4909</v>
      </c>
      <c r="E6651" t="s">
        <v>4909</v>
      </c>
      <c r="F6651" t="s">
        <v>4909</v>
      </c>
      <c r="G6651" t="s">
        <v>4909</v>
      </c>
      <c r="H6651" t="s">
        <v>4909</v>
      </c>
      <c r="I6651" t="s">
        <v>4909</v>
      </c>
      <c r="J6651" t="s">
        <v>4909</v>
      </c>
      <c r="K6651" t="s">
        <v>4909</v>
      </c>
    </row>
    <row r="6652" spans="1:11" x14ac:dyDescent="0.2">
      <c r="A6652" t="s">
        <v>1751</v>
      </c>
      <c r="B6652" t="s">
        <v>4909</v>
      </c>
      <c r="C6652" t="s">
        <v>4909</v>
      </c>
      <c r="D6652" t="s">
        <v>4909</v>
      </c>
      <c r="E6652" t="s">
        <v>4909</v>
      </c>
      <c r="F6652" t="s">
        <v>4909</v>
      </c>
      <c r="G6652" t="s">
        <v>4909</v>
      </c>
      <c r="H6652" t="s">
        <v>4909</v>
      </c>
      <c r="I6652" t="s">
        <v>4909</v>
      </c>
      <c r="J6652" t="s">
        <v>4909</v>
      </c>
      <c r="K6652" t="s">
        <v>4909</v>
      </c>
    </row>
    <row r="6653" spans="1:11" x14ac:dyDescent="0.2">
      <c r="A6653" t="s">
        <v>1755</v>
      </c>
      <c r="B6653" t="s">
        <v>4909</v>
      </c>
      <c r="C6653" t="s">
        <v>4909</v>
      </c>
      <c r="D6653" t="s">
        <v>4909</v>
      </c>
      <c r="E6653" s="88">
        <v>2E-3</v>
      </c>
      <c r="F6653" t="s">
        <v>4909</v>
      </c>
      <c r="G6653" t="s">
        <v>4909</v>
      </c>
      <c r="H6653" t="s">
        <v>4909</v>
      </c>
      <c r="I6653" t="s">
        <v>4909</v>
      </c>
      <c r="J6653" t="s">
        <v>4909</v>
      </c>
      <c r="K6653" t="s">
        <v>4909</v>
      </c>
    </row>
    <row r="6654" spans="1:11" x14ac:dyDescent="0.2">
      <c r="A6654" t="s">
        <v>1757</v>
      </c>
      <c r="B6654" t="s">
        <v>4909</v>
      </c>
      <c r="C6654" t="s">
        <v>4909</v>
      </c>
      <c r="D6654" t="s">
        <v>4909</v>
      </c>
      <c r="E6654" s="88">
        <v>1E-3</v>
      </c>
      <c r="F6654" s="88">
        <v>0</v>
      </c>
      <c r="G6654" t="s">
        <v>4909</v>
      </c>
      <c r="H6654" t="s">
        <v>4909</v>
      </c>
      <c r="I6654" t="s">
        <v>4909</v>
      </c>
      <c r="J6654" t="s">
        <v>4909</v>
      </c>
      <c r="K6654" t="s">
        <v>4909</v>
      </c>
    </row>
    <row r="6655" spans="1:11" x14ac:dyDescent="0.2">
      <c r="A6655" t="s">
        <v>1761</v>
      </c>
      <c r="B6655" t="s">
        <v>4909</v>
      </c>
      <c r="C6655" t="s">
        <v>4909</v>
      </c>
      <c r="D6655" t="s">
        <v>4909</v>
      </c>
      <c r="E6655" t="s">
        <v>4909</v>
      </c>
      <c r="F6655" t="s">
        <v>4909</v>
      </c>
      <c r="G6655" t="s">
        <v>4909</v>
      </c>
      <c r="H6655" t="s">
        <v>4909</v>
      </c>
      <c r="I6655" t="s">
        <v>4909</v>
      </c>
      <c r="J6655" t="s">
        <v>4909</v>
      </c>
      <c r="K6655" t="s">
        <v>4909</v>
      </c>
    </row>
    <row r="6656" spans="1:11" x14ac:dyDescent="0.2">
      <c r="A6656" t="s">
        <v>1764</v>
      </c>
      <c r="B6656" t="s">
        <v>4909</v>
      </c>
      <c r="C6656" t="s">
        <v>4909</v>
      </c>
      <c r="D6656" t="s">
        <v>4909</v>
      </c>
      <c r="E6656" t="s">
        <v>4909</v>
      </c>
      <c r="F6656" t="s">
        <v>4909</v>
      </c>
      <c r="G6656" t="s">
        <v>4909</v>
      </c>
      <c r="H6656" t="s">
        <v>4909</v>
      </c>
      <c r="I6656" t="s">
        <v>4909</v>
      </c>
      <c r="J6656" t="s">
        <v>4909</v>
      </c>
      <c r="K6656" t="s">
        <v>4909</v>
      </c>
    </row>
    <row r="6657" spans="1:11" x14ac:dyDescent="0.2">
      <c r="A6657" t="s">
        <v>1770</v>
      </c>
      <c r="B6657" t="s">
        <v>4909</v>
      </c>
      <c r="C6657" t="s">
        <v>4909</v>
      </c>
      <c r="D6657" s="88">
        <v>0</v>
      </c>
      <c r="E6657" s="88">
        <v>1.4999999999999999E-2</v>
      </c>
      <c r="F6657" s="88">
        <v>0</v>
      </c>
      <c r="G6657" t="s">
        <v>4909</v>
      </c>
      <c r="H6657" t="s">
        <v>4909</v>
      </c>
      <c r="I6657" t="s">
        <v>4909</v>
      </c>
      <c r="J6657" t="s">
        <v>4909</v>
      </c>
      <c r="K6657" t="s">
        <v>4909</v>
      </c>
    </row>
    <row r="6658" spans="1:11" x14ac:dyDescent="0.2">
      <c r="A6658" t="s">
        <v>1772</v>
      </c>
      <c r="B6658" t="s">
        <v>4909</v>
      </c>
      <c r="C6658" t="s">
        <v>4909</v>
      </c>
      <c r="D6658" t="s">
        <v>4909</v>
      </c>
      <c r="E6658" s="88">
        <v>1.7999999999999999E-2</v>
      </c>
      <c r="F6658" t="s">
        <v>4909</v>
      </c>
      <c r="G6658" t="s">
        <v>4909</v>
      </c>
      <c r="H6658" t="s">
        <v>4909</v>
      </c>
      <c r="I6658" t="s">
        <v>4909</v>
      </c>
      <c r="J6658" t="s">
        <v>4909</v>
      </c>
      <c r="K6658" t="s">
        <v>4909</v>
      </c>
    </row>
    <row r="6659" spans="1:11" x14ac:dyDescent="0.2">
      <c r="A6659" t="s">
        <v>1774</v>
      </c>
      <c r="B6659" t="s">
        <v>4909</v>
      </c>
      <c r="C6659" t="s">
        <v>4909</v>
      </c>
      <c r="D6659" t="s">
        <v>4909</v>
      </c>
      <c r="E6659" s="88">
        <v>4.0000000000000001E-3</v>
      </c>
      <c r="F6659" t="s">
        <v>4909</v>
      </c>
      <c r="G6659" t="s">
        <v>4909</v>
      </c>
      <c r="H6659" t="s">
        <v>4909</v>
      </c>
      <c r="I6659" t="s">
        <v>4909</v>
      </c>
      <c r="J6659" t="s">
        <v>4909</v>
      </c>
      <c r="K6659" t="s">
        <v>4909</v>
      </c>
    </row>
    <row r="6660" spans="1:11" x14ac:dyDescent="0.2">
      <c r="A6660" t="s">
        <v>1777</v>
      </c>
      <c r="B6660" t="s">
        <v>4909</v>
      </c>
      <c r="C6660" t="s">
        <v>4909</v>
      </c>
      <c r="D6660" t="s">
        <v>4909</v>
      </c>
      <c r="E6660" t="s">
        <v>4909</v>
      </c>
      <c r="F6660" t="s">
        <v>4909</v>
      </c>
      <c r="G6660" t="s">
        <v>4909</v>
      </c>
      <c r="H6660" t="s">
        <v>4909</v>
      </c>
      <c r="I6660" t="s">
        <v>4909</v>
      </c>
      <c r="J6660" t="s">
        <v>4909</v>
      </c>
      <c r="K6660" t="s">
        <v>4909</v>
      </c>
    </row>
    <row r="6661" spans="1:11" x14ac:dyDescent="0.2">
      <c r="A6661" t="s">
        <v>1782</v>
      </c>
      <c r="B6661" t="s">
        <v>4909</v>
      </c>
      <c r="C6661" t="s">
        <v>4909</v>
      </c>
      <c r="D6661" t="s">
        <v>4909</v>
      </c>
      <c r="E6661" t="s">
        <v>4909</v>
      </c>
      <c r="F6661" t="s">
        <v>4909</v>
      </c>
      <c r="G6661" t="s">
        <v>4909</v>
      </c>
      <c r="H6661" t="s">
        <v>4909</v>
      </c>
      <c r="I6661" t="s">
        <v>4909</v>
      </c>
      <c r="J6661" t="s">
        <v>4909</v>
      </c>
      <c r="K6661" t="s">
        <v>4909</v>
      </c>
    </row>
    <row r="6662" spans="1:11" x14ac:dyDescent="0.2">
      <c r="A6662" t="s">
        <v>1274</v>
      </c>
      <c r="B6662" t="s">
        <v>4909</v>
      </c>
      <c r="C6662" t="s">
        <v>4909</v>
      </c>
      <c r="D6662" t="s">
        <v>4909</v>
      </c>
      <c r="E6662" s="88">
        <v>0</v>
      </c>
      <c r="F6662" t="s">
        <v>4909</v>
      </c>
      <c r="G6662" t="s">
        <v>4909</v>
      </c>
      <c r="H6662" t="s">
        <v>4909</v>
      </c>
      <c r="I6662" t="s">
        <v>4909</v>
      </c>
      <c r="J6662" t="s">
        <v>4909</v>
      </c>
      <c r="K6662" t="s">
        <v>4909</v>
      </c>
    </row>
    <row r="6663" spans="1:11" x14ac:dyDescent="0.2">
      <c r="A6663" t="s">
        <v>1277</v>
      </c>
      <c r="B6663" t="s">
        <v>4909</v>
      </c>
      <c r="C6663" t="s">
        <v>4909</v>
      </c>
      <c r="D6663" t="s">
        <v>4909</v>
      </c>
      <c r="E6663" s="88">
        <v>0</v>
      </c>
      <c r="F6663" s="88">
        <v>0</v>
      </c>
      <c r="G6663" t="s">
        <v>4909</v>
      </c>
      <c r="H6663" t="s">
        <v>4909</v>
      </c>
      <c r="I6663" t="s">
        <v>4909</v>
      </c>
      <c r="J6663" t="s">
        <v>4909</v>
      </c>
      <c r="K6663" t="s">
        <v>4909</v>
      </c>
    </row>
    <row r="6664" spans="1:11" x14ac:dyDescent="0.2">
      <c r="A6664" t="s">
        <v>1798</v>
      </c>
      <c r="B6664" t="s">
        <v>4909</v>
      </c>
      <c r="C6664" t="s">
        <v>4909</v>
      </c>
      <c r="D6664" t="s">
        <v>4909</v>
      </c>
      <c r="E6664" t="s">
        <v>4909</v>
      </c>
      <c r="F6664" t="s">
        <v>4909</v>
      </c>
      <c r="G6664" t="s">
        <v>4909</v>
      </c>
      <c r="H6664" t="s">
        <v>4909</v>
      </c>
      <c r="I6664" t="s">
        <v>4909</v>
      </c>
      <c r="J6664" t="s">
        <v>4909</v>
      </c>
      <c r="K6664" t="s">
        <v>4909</v>
      </c>
    </row>
    <row r="6665" spans="1:11" x14ac:dyDescent="0.2">
      <c r="A6665" t="s">
        <v>1803</v>
      </c>
      <c r="B6665" t="s">
        <v>4909</v>
      </c>
      <c r="C6665" t="s">
        <v>4909</v>
      </c>
      <c r="D6665" t="s">
        <v>4909</v>
      </c>
      <c r="E6665" t="s">
        <v>4909</v>
      </c>
      <c r="F6665" t="s">
        <v>4909</v>
      </c>
      <c r="G6665" t="s">
        <v>4909</v>
      </c>
      <c r="H6665" t="s">
        <v>4909</v>
      </c>
      <c r="I6665" t="s">
        <v>4909</v>
      </c>
      <c r="J6665" t="s">
        <v>4909</v>
      </c>
      <c r="K6665" t="s">
        <v>4909</v>
      </c>
    </row>
    <row r="6666" spans="1:11" x14ac:dyDescent="0.2">
      <c r="A6666" t="s">
        <v>1808</v>
      </c>
      <c r="B6666" t="s">
        <v>4909</v>
      </c>
      <c r="C6666" t="s">
        <v>4909</v>
      </c>
      <c r="D6666" t="s">
        <v>4909</v>
      </c>
      <c r="E6666" t="s">
        <v>4909</v>
      </c>
      <c r="F6666" t="s">
        <v>4909</v>
      </c>
      <c r="G6666" t="s">
        <v>4909</v>
      </c>
      <c r="H6666" t="s">
        <v>4909</v>
      </c>
      <c r="I6666" t="s">
        <v>4909</v>
      </c>
      <c r="J6666" t="s">
        <v>4909</v>
      </c>
      <c r="K6666" t="s">
        <v>4909</v>
      </c>
    </row>
    <row r="6667" spans="1:11" x14ac:dyDescent="0.2">
      <c r="A6667" t="s">
        <v>1813</v>
      </c>
      <c r="B6667" t="s">
        <v>4909</v>
      </c>
      <c r="C6667" t="s">
        <v>4909</v>
      </c>
      <c r="D6667" t="s">
        <v>4909</v>
      </c>
      <c r="E6667" t="s">
        <v>4909</v>
      </c>
      <c r="F6667" t="s">
        <v>4909</v>
      </c>
      <c r="G6667" t="s">
        <v>4909</v>
      </c>
      <c r="H6667" t="s">
        <v>4909</v>
      </c>
      <c r="I6667" t="s">
        <v>4909</v>
      </c>
      <c r="J6667" t="s">
        <v>4909</v>
      </c>
      <c r="K6667" t="s">
        <v>4909</v>
      </c>
    </row>
    <row r="6668" spans="1:11" x14ac:dyDescent="0.2">
      <c r="A6668" t="s">
        <v>1819</v>
      </c>
      <c r="B6668" t="s">
        <v>4909</v>
      </c>
      <c r="C6668" t="s">
        <v>4909</v>
      </c>
      <c r="D6668" t="s">
        <v>4909</v>
      </c>
      <c r="E6668" t="s">
        <v>4909</v>
      </c>
      <c r="F6668" t="s">
        <v>4909</v>
      </c>
      <c r="G6668" t="s">
        <v>4909</v>
      </c>
      <c r="H6668" t="s">
        <v>4909</v>
      </c>
      <c r="I6668" t="s">
        <v>4909</v>
      </c>
      <c r="J6668" t="s">
        <v>4909</v>
      </c>
      <c r="K6668" t="s">
        <v>4909</v>
      </c>
    </row>
    <row r="6669" spans="1:11" x14ac:dyDescent="0.2">
      <c r="A6669" t="s">
        <v>1826</v>
      </c>
      <c r="B6669" t="s">
        <v>4909</v>
      </c>
      <c r="C6669" t="s">
        <v>4909</v>
      </c>
      <c r="D6669" t="s">
        <v>4909</v>
      </c>
      <c r="E6669" t="s">
        <v>4909</v>
      </c>
      <c r="F6669" t="s">
        <v>4909</v>
      </c>
      <c r="G6669" t="s">
        <v>4909</v>
      </c>
      <c r="H6669" t="s">
        <v>4909</v>
      </c>
      <c r="I6669" t="s">
        <v>4909</v>
      </c>
      <c r="J6669" t="s">
        <v>4909</v>
      </c>
      <c r="K6669" t="s">
        <v>4909</v>
      </c>
    </row>
    <row r="6670" spans="1:11" x14ac:dyDescent="0.2">
      <c r="A6670" t="s">
        <v>1830</v>
      </c>
      <c r="B6670" t="s">
        <v>4909</v>
      </c>
      <c r="C6670" t="s">
        <v>4909</v>
      </c>
      <c r="D6670" t="s">
        <v>4909</v>
      </c>
      <c r="E6670" t="s">
        <v>4909</v>
      </c>
      <c r="F6670" t="s">
        <v>4909</v>
      </c>
      <c r="G6670" t="s">
        <v>4909</v>
      </c>
      <c r="H6670" t="s">
        <v>4909</v>
      </c>
      <c r="I6670" t="s">
        <v>4909</v>
      </c>
      <c r="J6670" t="s">
        <v>4909</v>
      </c>
      <c r="K6670" t="s">
        <v>4909</v>
      </c>
    </row>
    <row r="6671" spans="1:11" x14ac:dyDescent="0.2">
      <c r="A6671" t="s">
        <v>1836</v>
      </c>
      <c r="B6671" t="s">
        <v>4909</v>
      </c>
      <c r="C6671" t="s">
        <v>4909</v>
      </c>
      <c r="D6671" t="s">
        <v>4909</v>
      </c>
      <c r="E6671" t="s">
        <v>4909</v>
      </c>
      <c r="F6671" t="s">
        <v>4909</v>
      </c>
      <c r="G6671" t="s">
        <v>4909</v>
      </c>
      <c r="H6671" t="s">
        <v>4909</v>
      </c>
      <c r="I6671" t="s">
        <v>4909</v>
      </c>
      <c r="J6671" t="s">
        <v>4909</v>
      </c>
      <c r="K6671" t="s">
        <v>4909</v>
      </c>
    </row>
    <row r="6672" spans="1:11" x14ac:dyDescent="0.2">
      <c r="A6672" t="s">
        <v>1841</v>
      </c>
      <c r="B6672" t="s">
        <v>4909</v>
      </c>
      <c r="C6672" t="s">
        <v>4909</v>
      </c>
      <c r="D6672" t="s">
        <v>4909</v>
      </c>
      <c r="E6672" t="s">
        <v>4909</v>
      </c>
      <c r="F6672" t="s">
        <v>4909</v>
      </c>
      <c r="G6672" t="s">
        <v>4909</v>
      </c>
      <c r="H6672" t="s">
        <v>4909</v>
      </c>
      <c r="I6672" t="s">
        <v>4909</v>
      </c>
      <c r="J6672" t="s">
        <v>4909</v>
      </c>
      <c r="K6672" t="s">
        <v>4909</v>
      </c>
    </row>
    <row r="6673" spans="1:11" x14ac:dyDescent="0.2">
      <c r="A6673" t="s">
        <v>1842</v>
      </c>
      <c r="B6673" t="s">
        <v>4909</v>
      </c>
      <c r="C6673" t="s">
        <v>4909</v>
      </c>
      <c r="D6673" s="88">
        <v>0</v>
      </c>
      <c r="E6673" s="88">
        <v>1.0999999999999999E-2</v>
      </c>
      <c r="F6673" s="88">
        <v>1E-3</v>
      </c>
      <c r="G6673" t="s">
        <v>4909</v>
      </c>
      <c r="H6673" t="s">
        <v>4909</v>
      </c>
      <c r="I6673" t="s">
        <v>4909</v>
      </c>
      <c r="J6673" t="s">
        <v>4909</v>
      </c>
      <c r="K6673" t="s">
        <v>4909</v>
      </c>
    </row>
    <row r="6674" spans="1:11" x14ac:dyDescent="0.2">
      <c r="A6674" t="s">
        <v>1843</v>
      </c>
      <c r="B6674" t="s">
        <v>4909</v>
      </c>
      <c r="C6674" t="s">
        <v>4909</v>
      </c>
      <c r="D6674" t="s">
        <v>4909</v>
      </c>
      <c r="E6674" t="s">
        <v>4909</v>
      </c>
      <c r="F6674" t="s">
        <v>4909</v>
      </c>
      <c r="G6674" t="s">
        <v>4909</v>
      </c>
      <c r="H6674" t="s">
        <v>4909</v>
      </c>
      <c r="I6674" t="s">
        <v>4909</v>
      </c>
      <c r="J6674" t="s">
        <v>4909</v>
      </c>
      <c r="K6674" t="s">
        <v>4909</v>
      </c>
    </row>
    <row r="6675" spans="1:11" x14ac:dyDescent="0.2">
      <c r="A6675" t="s">
        <v>1846</v>
      </c>
      <c r="B6675" t="s">
        <v>4909</v>
      </c>
      <c r="C6675" t="s">
        <v>4909</v>
      </c>
      <c r="D6675" t="s">
        <v>4909</v>
      </c>
      <c r="E6675" t="s">
        <v>4909</v>
      </c>
      <c r="F6675" t="s">
        <v>4909</v>
      </c>
      <c r="G6675" t="s">
        <v>4909</v>
      </c>
      <c r="H6675" t="s">
        <v>4909</v>
      </c>
      <c r="I6675" t="s">
        <v>4909</v>
      </c>
      <c r="J6675" t="s">
        <v>4909</v>
      </c>
      <c r="K6675" t="s">
        <v>4909</v>
      </c>
    </row>
    <row r="6676" spans="1:11" x14ac:dyDescent="0.2">
      <c r="A6676" t="s">
        <v>1851</v>
      </c>
      <c r="B6676" t="s">
        <v>4909</v>
      </c>
      <c r="C6676" t="s">
        <v>4909</v>
      </c>
      <c r="D6676" s="88">
        <v>0</v>
      </c>
      <c r="E6676" s="88">
        <v>1E-3</v>
      </c>
      <c r="F6676" s="88">
        <v>0</v>
      </c>
      <c r="G6676" t="s">
        <v>4909</v>
      </c>
      <c r="H6676" t="s">
        <v>4909</v>
      </c>
      <c r="I6676" t="s">
        <v>4909</v>
      </c>
      <c r="J6676" t="s">
        <v>4909</v>
      </c>
      <c r="K6676" t="s">
        <v>4909</v>
      </c>
    </row>
    <row r="6677" spans="1:11" x14ac:dyDescent="0.2">
      <c r="A6677" t="s">
        <v>1857</v>
      </c>
      <c r="B6677" t="s">
        <v>4909</v>
      </c>
      <c r="C6677" t="s">
        <v>4909</v>
      </c>
      <c r="D6677" t="s">
        <v>4909</v>
      </c>
      <c r="E6677" t="s">
        <v>4909</v>
      </c>
      <c r="F6677" t="s">
        <v>4909</v>
      </c>
      <c r="G6677" t="s">
        <v>4909</v>
      </c>
      <c r="H6677" t="s">
        <v>4909</v>
      </c>
      <c r="I6677" t="s">
        <v>4909</v>
      </c>
      <c r="J6677" t="s">
        <v>4909</v>
      </c>
      <c r="K6677" t="s">
        <v>4909</v>
      </c>
    </row>
    <row r="6678" spans="1:11" x14ac:dyDescent="0.2">
      <c r="A6678" t="s">
        <v>1862</v>
      </c>
      <c r="B6678" t="s">
        <v>4909</v>
      </c>
      <c r="C6678" t="s">
        <v>4909</v>
      </c>
      <c r="D6678" t="s">
        <v>4909</v>
      </c>
      <c r="E6678" t="s">
        <v>4909</v>
      </c>
      <c r="F6678" t="s">
        <v>4909</v>
      </c>
      <c r="G6678" t="s">
        <v>4909</v>
      </c>
      <c r="H6678" t="s">
        <v>4909</v>
      </c>
      <c r="I6678" t="s">
        <v>4909</v>
      </c>
      <c r="J6678" t="s">
        <v>4909</v>
      </c>
      <c r="K6678" t="s">
        <v>4909</v>
      </c>
    </row>
    <row r="6679" spans="1:11" x14ac:dyDescent="0.2">
      <c r="A6679" t="s">
        <v>1867</v>
      </c>
      <c r="B6679" t="s">
        <v>4909</v>
      </c>
      <c r="C6679" t="s">
        <v>4909</v>
      </c>
      <c r="D6679" t="s">
        <v>4909</v>
      </c>
      <c r="E6679" t="s">
        <v>4909</v>
      </c>
      <c r="F6679" t="s">
        <v>4909</v>
      </c>
      <c r="G6679" t="s">
        <v>4909</v>
      </c>
      <c r="H6679" t="s">
        <v>4909</v>
      </c>
      <c r="I6679" t="s">
        <v>4909</v>
      </c>
      <c r="J6679" t="s">
        <v>4909</v>
      </c>
      <c r="K6679" t="s">
        <v>4909</v>
      </c>
    </row>
    <row r="6680" spans="1:11" x14ac:dyDescent="0.2">
      <c r="A6680" t="s">
        <v>1870</v>
      </c>
      <c r="B6680" t="s">
        <v>4909</v>
      </c>
      <c r="C6680" t="s">
        <v>4909</v>
      </c>
      <c r="D6680" t="s">
        <v>4909</v>
      </c>
      <c r="E6680" t="s">
        <v>4909</v>
      </c>
      <c r="F6680" t="s">
        <v>4909</v>
      </c>
      <c r="G6680" t="s">
        <v>4909</v>
      </c>
      <c r="H6680" t="s">
        <v>4909</v>
      </c>
      <c r="I6680" t="s">
        <v>4909</v>
      </c>
      <c r="J6680" t="s">
        <v>4909</v>
      </c>
      <c r="K6680" t="s">
        <v>4909</v>
      </c>
    </row>
    <row r="6681" spans="1:11" x14ac:dyDescent="0.2">
      <c r="A6681" t="s">
        <v>1874</v>
      </c>
      <c r="B6681" t="s">
        <v>4909</v>
      </c>
      <c r="C6681" t="s">
        <v>4909</v>
      </c>
      <c r="D6681" t="s">
        <v>4909</v>
      </c>
      <c r="E6681" s="88">
        <v>2E-3</v>
      </c>
      <c r="F6681" s="88">
        <v>0</v>
      </c>
      <c r="G6681" t="s">
        <v>4909</v>
      </c>
      <c r="H6681" t="s">
        <v>4909</v>
      </c>
      <c r="I6681" t="s">
        <v>4909</v>
      </c>
      <c r="J6681" t="s">
        <v>4909</v>
      </c>
      <c r="K6681" t="s">
        <v>4909</v>
      </c>
    </row>
    <row r="6682" spans="1:11" x14ac:dyDescent="0.2">
      <c r="A6682" t="s">
        <v>1876</v>
      </c>
      <c r="B6682" t="s">
        <v>4909</v>
      </c>
      <c r="C6682" t="s">
        <v>4909</v>
      </c>
      <c r="D6682" t="s">
        <v>4909</v>
      </c>
      <c r="E6682" t="s">
        <v>4909</v>
      </c>
      <c r="F6682" t="s">
        <v>4909</v>
      </c>
      <c r="G6682" t="s">
        <v>4909</v>
      </c>
      <c r="H6682" t="s">
        <v>4909</v>
      </c>
      <c r="I6682" t="s">
        <v>4909</v>
      </c>
      <c r="J6682" t="s">
        <v>4909</v>
      </c>
      <c r="K6682" t="s">
        <v>4909</v>
      </c>
    </row>
    <row r="6683" spans="1:11" x14ac:dyDescent="0.2">
      <c r="A6683" t="s">
        <v>1881</v>
      </c>
      <c r="B6683" t="s">
        <v>4909</v>
      </c>
      <c r="C6683" t="s">
        <v>4909</v>
      </c>
      <c r="D6683" t="s">
        <v>4909</v>
      </c>
      <c r="E6683" t="s">
        <v>4909</v>
      </c>
      <c r="F6683" t="s">
        <v>4909</v>
      </c>
      <c r="G6683" t="s">
        <v>4909</v>
      </c>
      <c r="H6683" t="s">
        <v>4909</v>
      </c>
      <c r="I6683" t="s">
        <v>4909</v>
      </c>
      <c r="J6683" t="s">
        <v>4909</v>
      </c>
      <c r="K6683" t="s">
        <v>4909</v>
      </c>
    </row>
    <row r="6684" spans="1:11" x14ac:dyDescent="0.2">
      <c r="A6684" t="s">
        <v>1885</v>
      </c>
      <c r="B6684" t="s">
        <v>4909</v>
      </c>
      <c r="C6684" t="s">
        <v>4909</v>
      </c>
      <c r="D6684" s="88">
        <v>0</v>
      </c>
      <c r="E6684" s="88">
        <v>2.4E-2</v>
      </c>
      <c r="F6684" s="88">
        <v>2E-3</v>
      </c>
      <c r="G6684" t="s">
        <v>4909</v>
      </c>
      <c r="H6684" t="s">
        <v>4909</v>
      </c>
      <c r="I6684" t="s">
        <v>4909</v>
      </c>
      <c r="J6684" t="s">
        <v>4909</v>
      </c>
      <c r="K6684" t="s">
        <v>4909</v>
      </c>
    </row>
    <row r="6685" spans="1:11" x14ac:dyDescent="0.2">
      <c r="A6685" t="s">
        <v>1887</v>
      </c>
      <c r="B6685" t="s">
        <v>4909</v>
      </c>
      <c r="C6685" t="s">
        <v>4909</v>
      </c>
      <c r="D6685" t="s">
        <v>4909</v>
      </c>
      <c r="E6685" s="88">
        <v>0.02</v>
      </c>
      <c r="F6685" s="88">
        <v>2E-3</v>
      </c>
      <c r="G6685" t="s">
        <v>4909</v>
      </c>
      <c r="H6685" t="s">
        <v>4909</v>
      </c>
      <c r="I6685" t="s">
        <v>4909</v>
      </c>
      <c r="J6685" t="s">
        <v>4909</v>
      </c>
      <c r="K6685" t="s">
        <v>4909</v>
      </c>
    </row>
    <row r="6686" spans="1:11" x14ac:dyDescent="0.2">
      <c r="A6686" t="s">
        <v>1893</v>
      </c>
      <c r="B6686" t="s">
        <v>4909</v>
      </c>
      <c r="C6686" t="s">
        <v>4909</v>
      </c>
      <c r="D6686" s="88">
        <v>0</v>
      </c>
      <c r="E6686" s="88">
        <v>1.9E-2</v>
      </c>
      <c r="F6686" s="88">
        <v>2E-3</v>
      </c>
      <c r="G6686" t="s">
        <v>4909</v>
      </c>
      <c r="H6686" t="s">
        <v>4909</v>
      </c>
      <c r="I6686" t="s">
        <v>4909</v>
      </c>
      <c r="J6686" t="s">
        <v>4909</v>
      </c>
      <c r="K6686" t="s">
        <v>4909</v>
      </c>
    </row>
    <row r="6687" spans="1:11" x14ac:dyDescent="0.2">
      <c r="A6687" t="s">
        <v>1899</v>
      </c>
      <c r="B6687" t="s">
        <v>4909</v>
      </c>
      <c r="C6687" t="s">
        <v>4909</v>
      </c>
      <c r="D6687" t="s">
        <v>4909</v>
      </c>
      <c r="E6687" t="s">
        <v>4909</v>
      </c>
      <c r="F6687" t="s">
        <v>4909</v>
      </c>
      <c r="G6687" t="s">
        <v>4909</v>
      </c>
      <c r="H6687" t="s">
        <v>4909</v>
      </c>
      <c r="I6687" t="s">
        <v>4909</v>
      </c>
      <c r="J6687" t="s">
        <v>4909</v>
      </c>
      <c r="K6687" t="s">
        <v>4909</v>
      </c>
    </row>
    <row r="6688" spans="1:11" x14ac:dyDescent="0.2">
      <c r="A6688" t="s">
        <v>1906</v>
      </c>
      <c r="B6688" t="s">
        <v>4909</v>
      </c>
      <c r="C6688" t="s">
        <v>4909</v>
      </c>
      <c r="D6688" t="s">
        <v>4909</v>
      </c>
      <c r="E6688" t="s">
        <v>4909</v>
      </c>
      <c r="F6688" t="s">
        <v>4909</v>
      </c>
      <c r="G6688" t="s">
        <v>4909</v>
      </c>
      <c r="H6688" t="s">
        <v>4909</v>
      </c>
      <c r="I6688" t="s">
        <v>4909</v>
      </c>
      <c r="J6688" t="s">
        <v>4909</v>
      </c>
      <c r="K6688" t="s">
        <v>4909</v>
      </c>
    </row>
    <row r="6689" spans="1:11" x14ac:dyDescent="0.2">
      <c r="A6689" t="s">
        <v>1911</v>
      </c>
      <c r="B6689" t="s">
        <v>4909</v>
      </c>
      <c r="C6689" t="s">
        <v>4909</v>
      </c>
      <c r="D6689" t="s">
        <v>4909</v>
      </c>
      <c r="E6689" t="s">
        <v>4909</v>
      </c>
      <c r="F6689" t="s">
        <v>4909</v>
      </c>
      <c r="G6689" t="s">
        <v>4909</v>
      </c>
      <c r="H6689" t="s">
        <v>4909</v>
      </c>
      <c r="I6689" t="s">
        <v>4909</v>
      </c>
      <c r="J6689" t="s">
        <v>4909</v>
      </c>
      <c r="K6689" t="s">
        <v>4909</v>
      </c>
    </row>
    <row r="6690" spans="1:11" x14ac:dyDescent="0.2">
      <c r="A6690" t="s">
        <v>1917</v>
      </c>
      <c r="B6690" t="s">
        <v>4909</v>
      </c>
      <c r="C6690" t="s">
        <v>4909</v>
      </c>
      <c r="D6690" t="s">
        <v>4909</v>
      </c>
      <c r="E6690" s="88">
        <v>0</v>
      </c>
      <c r="F6690" t="s">
        <v>4909</v>
      </c>
      <c r="G6690" t="s">
        <v>4909</v>
      </c>
      <c r="H6690" t="s">
        <v>4909</v>
      </c>
      <c r="I6690" t="s">
        <v>4909</v>
      </c>
      <c r="J6690" t="s">
        <v>4909</v>
      </c>
      <c r="K6690" t="s">
        <v>4909</v>
      </c>
    </row>
    <row r="6691" spans="1:11" x14ac:dyDescent="0.2">
      <c r="A6691" t="s">
        <v>1922</v>
      </c>
      <c r="B6691" t="s">
        <v>4909</v>
      </c>
      <c r="C6691" t="s">
        <v>4909</v>
      </c>
      <c r="D6691" t="s">
        <v>4909</v>
      </c>
      <c r="E6691" s="88">
        <v>0</v>
      </c>
      <c r="F6691" t="s">
        <v>4909</v>
      </c>
      <c r="G6691" t="s">
        <v>4909</v>
      </c>
      <c r="H6691" t="s">
        <v>4909</v>
      </c>
      <c r="I6691" t="s">
        <v>4909</v>
      </c>
      <c r="J6691" t="s">
        <v>4909</v>
      </c>
      <c r="K6691" t="s">
        <v>4909</v>
      </c>
    </row>
    <row r="6692" spans="1:11" x14ac:dyDescent="0.2">
      <c r="A6692" t="s">
        <v>1928</v>
      </c>
      <c r="B6692" t="s">
        <v>4909</v>
      </c>
      <c r="C6692" t="s">
        <v>4909</v>
      </c>
      <c r="D6692" t="s">
        <v>4909</v>
      </c>
      <c r="E6692" t="s">
        <v>4909</v>
      </c>
      <c r="F6692" t="s">
        <v>4909</v>
      </c>
      <c r="G6692" t="s">
        <v>4909</v>
      </c>
      <c r="H6692" t="s">
        <v>4909</v>
      </c>
      <c r="I6692" t="s">
        <v>4909</v>
      </c>
      <c r="J6692" t="s">
        <v>4909</v>
      </c>
      <c r="K6692" t="s">
        <v>4909</v>
      </c>
    </row>
    <row r="6693" spans="1:11" x14ac:dyDescent="0.2">
      <c r="A6693" t="s">
        <v>1932</v>
      </c>
      <c r="B6693" t="s">
        <v>4909</v>
      </c>
      <c r="C6693" t="s">
        <v>4909</v>
      </c>
      <c r="D6693" t="s">
        <v>4909</v>
      </c>
      <c r="E6693" t="s">
        <v>4909</v>
      </c>
      <c r="F6693" t="s">
        <v>4909</v>
      </c>
      <c r="G6693" t="s">
        <v>4909</v>
      </c>
      <c r="H6693" t="s">
        <v>4909</v>
      </c>
      <c r="I6693" t="s">
        <v>4909</v>
      </c>
      <c r="J6693" t="s">
        <v>4909</v>
      </c>
      <c r="K6693" t="s">
        <v>4909</v>
      </c>
    </row>
    <row r="6694" spans="1:11" x14ac:dyDescent="0.2">
      <c r="A6694" t="s">
        <v>1938</v>
      </c>
      <c r="B6694" t="s">
        <v>4909</v>
      </c>
      <c r="C6694" t="s">
        <v>4909</v>
      </c>
      <c r="D6694" t="s">
        <v>4909</v>
      </c>
      <c r="E6694" t="s">
        <v>4909</v>
      </c>
      <c r="F6694" t="s">
        <v>4909</v>
      </c>
      <c r="G6694" t="s">
        <v>4909</v>
      </c>
      <c r="H6694" t="s">
        <v>4909</v>
      </c>
      <c r="I6694" t="s">
        <v>4909</v>
      </c>
      <c r="J6694" t="s">
        <v>4909</v>
      </c>
      <c r="K6694" t="s">
        <v>4909</v>
      </c>
    </row>
    <row r="6695" spans="1:11" x14ac:dyDescent="0.2">
      <c r="A6695" t="s">
        <v>1944</v>
      </c>
      <c r="B6695" t="s">
        <v>4909</v>
      </c>
      <c r="C6695" t="s">
        <v>4909</v>
      </c>
      <c r="D6695" s="88">
        <v>1E-3</v>
      </c>
      <c r="E6695" s="88">
        <v>4.2000000000000003E-2</v>
      </c>
      <c r="F6695" s="88">
        <v>4.0000000000000001E-3</v>
      </c>
      <c r="G6695" t="s">
        <v>4909</v>
      </c>
      <c r="H6695" t="s">
        <v>4909</v>
      </c>
      <c r="I6695" t="s">
        <v>4909</v>
      </c>
      <c r="J6695" t="s">
        <v>4909</v>
      </c>
      <c r="K6695" t="s">
        <v>4909</v>
      </c>
    </row>
    <row r="6696" spans="1:11" x14ac:dyDescent="0.2">
      <c r="A6696" t="s">
        <v>1947</v>
      </c>
      <c r="B6696" t="s">
        <v>4909</v>
      </c>
      <c r="C6696" t="s">
        <v>4909</v>
      </c>
      <c r="D6696" t="s">
        <v>4909</v>
      </c>
      <c r="E6696" s="88">
        <v>4.1000000000000002E-2</v>
      </c>
      <c r="F6696" s="88">
        <v>6.0000000000000001E-3</v>
      </c>
      <c r="G6696" t="s">
        <v>4909</v>
      </c>
      <c r="H6696" t="s">
        <v>4909</v>
      </c>
      <c r="I6696" t="s">
        <v>4909</v>
      </c>
      <c r="J6696" t="s">
        <v>4909</v>
      </c>
      <c r="K6696" t="s">
        <v>4909</v>
      </c>
    </row>
    <row r="6697" spans="1:11" x14ac:dyDescent="0.2">
      <c r="A6697" t="s">
        <v>1953</v>
      </c>
      <c r="B6697" t="s">
        <v>4909</v>
      </c>
      <c r="C6697" t="s">
        <v>4909</v>
      </c>
      <c r="D6697" s="88">
        <v>1E-3</v>
      </c>
      <c r="E6697" s="88">
        <v>0.04</v>
      </c>
      <c r="F6697" s="88">
        <v>5.0000000000000001E-3</v>
      </c>
      <c r="G6697" t="s">
        <v>4909</v>
      </c>
      <c r="H6697" t="s">
        <v>4909</v>
      </c>
      <c r="I6697" t="s">
        <v>4909</v>
      </c>
      <c r="J6697" t="s">
        <v>4909</v>
      </c>
      <c r="K6697" t="s">
        <v>4909</v>
      </c>
    </row>
    <row r="6698" spans="1:11" x14ac:dyDescent="0.2">
      <c r="A6698" t="s">
        <v>1958</v>
      </c>
      <c r="B6698" t="s">
        <v>4909</v>
      </c>
      <c r="C6698" t="s">
        <v>4909</v>
      </c>
      <c r="D6698" t="s">
        <v>4909</v>
      </c>
      <c r="E6698" t="s">
        <v>4909</v>
      </c>
      <c r="F6698" t="s">
        <v>4909</v>
      </c>
      <c r="G6698" t="s">
        <v>4909</v>
      </c>
      <c r="H6698" t="s">
        <v>4909</v>
      </c>
      <c r="I6698" t="s">
        <v>4909</v>
      </c>
      <c r="J6698" t="s">
        <v>4909</v>
      </c>
      <c r="K6698" t="s">
        <v>4909</v>
      </c>
    </row>
    <row r="6699" spans="1:11" x14ac:dyDescent="0.2">
      <c r="A6699" t="s">
        <v>1964</v>
      </c>
      <c r="B6699" t="s">
        <v>4909</v>
      </c>
      <c r="C6699" t="s">
        <v>4909</v>
      </c>
      <c r="D6699" t="s">
        <v>4909</v>
      </c>
      <c r="E6699" t="s">
        <v>4909</v>
      </c>
      <c r="F6699" t="s">
        <v>4909</v>
      </c>
      <c r="G6699" t="s">
        <v>4909</v>
      </c>
      <c r="H6699" t="s">
        <v>4909</v>
      </c>
      <c r="I6699" t="s">
        <v>4909</v>
      </c>
      <c r="J6699" t="s">
        <v>4909</v>
      </c>
      <c r="K6699" t="s">
        <v>4909</v>
      </c>
    </row>
    <row r="6700" spans="1:11" x14ac:dyDescent="0.2">
      <c r="A6700" t="s">
        <v>1973</v>
      </c>
      <c r="B6700" t="s">
        <v>4909</v>
      </c>
      <c r="C6700" t="s">
        <v>4909</v>
      </c>
      <c r="D6700" t="s">
        <v>4909</v>
      </c>
      <c r="E6700" t="s">
        <v>4909</v>
      </c>
      <c r="F6700" t="s">
        <v>4909</v>
      </c>
      <c r="G6700" t="s">
        <v>4909</v>
      </c>
      <c r="H6700" t="s">
        <v>4909</v>
      </c>
      <c r="I6700" t="s">
        <v>4909</v>
      </c>
      <c r="J6700" t="s">
        <v>4909</v>
      </c>
      <c r="K6700" t="s">
        <v>4909</v>
      </c>
    </row>
    <row r="6701" spans="1:11" x14ac:dyDescent="0.2">
      <c r="A6701" t="s">
        <v>1978</v>
      </c>
      <c r="B6701" t="s">
        <v>4909</v>
      </c>
      <c r="C6701" t="s">
        <v>4909</v>
      </c>
      <c r="D6701" t="s">
        <v>4909</v>
      </c>
      <c r="E6701" t="s">
        <v>4909</v>
      </c>
      <c r="F6701" t="s">
        <v>4909</v>
      </c>
      <c r="G6701" t="s">
        <v>4909</v>
      </c>
      <c r="H6701" t="s">
        <v>4909</v>
      </c>
      <c r="I6701" t="s">
        <v>4909</v>
      </c>
      <c r="J6701" t="s">
        <v>4909</v>
      </c>
      <c r="K6701" t="s">
        <v>4909</v>
      </c>
    </row>
    <row r="6702" spans="1:11" x14ac:dyDescent="0.2">
      <c r="A6702" t="s">
        <v>1983</v>
      </c>
      <c r="B6702" t="s">
        <v>4909</v>
      </c>
      <c r="C6702" t="s">
        <v>4909</v>
      </c>
      <c r="D6702" s="88">
        <v>0</v>
      </c>
      <c r="E6702" s="88">
        <v>0.09</v>
      </c>
      <c r="F6702" s="88">
        <v>4.0000000000000001E-3</v>
      </c>
      <c r="G6702" t="s">
        <v>4909</v>
      </c>
      <c r="H6702" t="s">
        <v>4909</v>
      </c>
      <c r="I6702" t="s">
        <v>4909</v>
      </c>
      <c r="J6702" t="s">
        <v>4909</v>
      </c>
      <c r="K6702" t="s">
        <v>4909</v>
      </c>
    </row>
    <row r="6703" spans="1:11" x14ac:dyDescent="0.2">
      <c r="A6703" t="s">
        <v>1984</v>
      </c>
      <c r="B6703" t="s">
        <v>4909</v>
      </c>
      <c r="C6703" t="s">
        <v>4909</v>
      </c>
      <c r="D6703" t="s">
        <v>4909</v>
      </c>
      <c r="E6703" t="s">
        <v>4909</v>
      </c>
      <c r="F6703" t="s">
        <v>4909</v>
      </c>
      <c r="G6703" t="s">
        <v>4909</v>
      </c>
      <c r="H6703" t="s">
        <v>4909</v>
      </c>
      <c r="I6703" t="s">
        <v>4909</v>
      </c>
      <c r="J6703" t="s">
        <v>4909</v>
      </c>
      <c r="K6703" t="s">
        <v>4909</v>
      </c>
    </row>
    <row r="6704" spans="1:11" x14ac:dyDescent="0.2">
      <c r="A6704" t="s">
        <v>1990</v>
      </c>
      <c r="B6704" t="s">
        <v>4909</v>
      </c>
      <c r="C6704" t="s">
        <v>4909</v>
      </c>
      <c r="D6704" s="88">
        <v>3.0000000000000001E-3</v>
      </c>
      <c r="E6704" s="88">
        <v>7.8E-2</v>
      </c>
      <c r="F6704" s="88">
        <v>8.9999999999999993E-3</v>
      </c>
      <c r="G6704" t="s">
        <v>4909</v>
      </c>
      <c r="H6704" t="s">
        <v>4909</v>
      </c>
      <c r="I6704" t="s">
        <v>4909</v>
      </c>
      <c r="J6704" t="s">
        <v>4909</v>
      </c>
      <c r="K6704" t="s">
        <v>4909</v>
      </c>
    </row>
    <row r="6705" spans="1:11" x14ac:dyDescent="0.2">
      <c r="A6705" t="s">
        <v>1996</v>
      </c>
      <c r="B6705" t="s">
        <v>4909</v>
      </c>
      <c r="C6705" t="s">
        <v>4909</v>
      </c>
      <c r="D6705" t="s">
        <v>4909</v>
      </c>
      <c r="E6705" t="s">
        <v>4909</v>
      </c>
      <c r="F6705" t="s">
        <v>4909</v>
      </c>
      <c r="G6705" t="s">
        <v>4909</v>
      </c>
      <c r="H6705" t="s">
        <v>4909</v>
      </c>
      <c r="I6705" t="s">
        <v>4909</v>
      </c>
      <c r="J6705" t="s">
        <v>4909</v>
      </c>
      <c r="K6705" t="s">
        <v>4909</v>
      </c>
    </row>
    <row r="6706" spans="1:11" x14ac:dyDescent="0.2">
      <c r="A6706" t="s">
        <v>1998</v>
      </c>
      <c r="B6706" t="s">
        <v>4909</v>
      </c>
      <c r="C6706" t="s">
        <v>4909</v>
      </c>
      <c r="D6706" t="s">
        <v>4909</v>
      </c>
      <c r="E6706" t="s">
        <v>4909</v>
      </c>
      <c r="F6706" t="s">
        <v>4909</v>
      </c>
      <c r="G6706" t="s">
        <v>4909</v>
      </c>
      <c r="H6706" t="s">
        <v>4909</v>
      </c>
      <c r="I6706" t="s">
        <v>4909</v>
      </c>
      <c r="J6706" t="s">
        <v>4909</v>
      </c>
      <c r="K6706" t="s">
        <v>4909</v>
      </c>
    </row>
    <row r="6707" spans="1:11" x14ac:dyDescent="0.2">
      <c r="A6707" t="s">
        <v>1999</v>
      </c>
      <c r="B6707" t="s">
        <v>4909</v>
      </c>
      <c r="C6707" t="s">
        <v>4909</v>
      </c>
      <c r="D6707" t="s">
        <v>4909</v>
      </c>
      <c r="E6707" t="s">
        <v>4909</v>
      </c>
      <c r="F6707" t="s">
        <v>4909</v>
      </c>
      <c r="G6707" t="s">
        <v>4909</v>
      </c>
      <c r="H6707" t="s">
        <v>4909</v>
      </c>
      <c r="I6707" t="s">
        <v>4909</v>
      </c>
      <c r="J6707" t="s">
        <v>4909</v>
      </c>
      <c r="K6707" t="s">
        <v>4909</v>
      </c>
    </row>
    <row r="6708" spans="1:11" x14ac:dyDescent="0.2">
      <c r="A6708" t="s">
        <v>2004</v>
      </c>
      <c r="B6708" t="s">
        <v>4909</v>
      </c>
      <c r="C6708" t="s">
        <v>4909</v>
      </c>
      <c r="D6708" s="88">
        <v>0.03</v>
      </c>
      <c r="E6708" s="88">
        <v>0.92700000000000005</v>
      </c>
      <c r="F6708" t="s">
        <v>4909</v>
      </c>
      <c r="G6708" t="s">
        <v>4909</v>
      </c>
      <c r="H6708" t="s">
        <v>4909</v>
      </c>
      <c r="I6708" t="s">
        <v>4909</v>
      </c>
      <c r="J6708" t="s">
        <v>4909</v>
      </c>
      <c r="K6708" t="s">
        <v>4909</v>
      </c>
    </row>
    <row r="6709" spans="1:11" x14ac:dyDescent="0.2">
      <c r="A6709" t="s">
        <v>2009</v>
      </c>
      <c r="B6709" t="s">
        <v>4909</v>
      </c>
      <c r="C6709" t="s">
        <v>4909</v>
      </c>
      <c r="D6709" t="s">
        <v>4909</v>
      </c>
      <c r="E6709" t="s">
        <v>4909</v>
      </c>
      <c r="F6709" t="s">
        <v>4909</v>
      </c>
      <c r="G6709" t="s">
        <v>4909</v>
      </c>
      <c r="H6709" t="s">
        <v>4909</v>
      </c>
      <c r="I6709" t="s">
        <v>4909</v>
      </c>
      <c r="J6709" t="s">
        <v>4909</v>
      </c>
      <c r="K6709" t="s">
        <v>4909</v>
      </c>
    </row>
    <row r="6710" spans="1:11" x14ac:dyDescent="0.2">
      <c r="A6710" t="s">
        <v>2014</v>
      </c>
      <c r="B6710" t="s">
        <v>4909</v>
      </c>
      <c r="C6710" t="s">
        <v>4909</v>
      </c>
      <c r="D6710" t="s">
        <v>4909</v>
      </c>
      <c r="E6710" t="s">
        <v>4909</v>
      </c>
      <c r="F6710" t="s">
        <v>4909</v>
      </c>
      <c r="G6710" t="s">
        <v>4909</v>
      </c>
      <c r="H6710" t="s">
        <v>4909</v>
      </c>
      <c r="I6710" t="s">
        <v>4909</v>
      </c>
      <c r="J6710" t="s">
        <v>4909</v>
      </c>
      <c r="K6710" t="s">
        <v>4909</v>
      </c>
    </row>
    <row r="6711" spans="1:11" x14ac:dyDescent="0.2">
      <c r="A6711" t="s">
        <v>2019</v>
      </c>
      <c r="B6711" t="s">
        <v>4909</v>
      </c>
      <c r="C6711" t="s">
        <v>4909</v>
      </c>
      <c r="D6711" t="s">
        <v>4909</v>
      </c>
      <c r="E6711" t="s">
        <v>4909</v>
      </c>
      <c r="F6711" t="s">
        <v>4909</v>
      </c>
      <c r="G6711" t="s">
        <v>4909</v>
      </c>
      <c r="H6711" t="s">
        <v>4909</v>
      </c>
      <c r="I6711" t="s">
        <v>4909</v>
      </c>
      <c r="J6711" t="s">
        <v>4909</v>
      </c>
      <c r="K6711" t="s">
        <v>4909</v>
      </c>
    </row>
    <row r="6712" spans="1:11" x14ac:dyDescent="0.2">
      <c r="A6712" t="s">
        <v>2023</v>
      </c>
      <c r="B6712" t="s">
        <v>4909</v>
      </c>
      <c r="C6712" t="s">
        <v>4909</v>
      </c>
      <c r="D6712" t="s">
        <v>4909</v>
      </c>
      <c r="E6712" t="s">
        <v>4909</v>
      </c>
      <c r="F6712" t="s">
        <v>4909</v>
      </c>
      <c r="G6712" t="s">
        <v>4909</v>
      </c>
      <c r="H6712" t="s">
        <v>4909</v>
      </c>
      <c r="I6712" t="s">
        <v>4909</v>
      </c>
      <c r="J6712" t="s">
        <v>4909</v>
      </c>
      <c r="K6712" t="s">
        <v>4909</v>
      </c>
    </row>
    <row r="6713" spans="1:11" x14ac:dyDescent="0.2">
      <c r="A6713" t="s">
        <v>2026</v>
      </c>
      <c r="B6713" t="s">
        <v>4909</v>
      </c>
      <c r="C6713" t="s">
        <v>4909</v>
      </c>
      <c r="D6713" t="s">
        <v>4909</v>
      </c>
      <c r="E6713" t="s">
        <v>4909</v>
      </c>
      <c r="F6713" t="s">
        <v>4909</v>
      </c>
      <c r="G6713" t="s">
        <v>4909</v>
      </c>
      <c r="H6713" t="s">
        <v>4909</v>
      </c>
      <c r="I6713" t="s">
        <v>4909</v>
      </c>
      <c r="J6713" t="s">
        <v>4909</v>
      </c>
      <c r="K6713" t="s">
        <v>4909</v>
      </c>
    </row>
    <row r="6714" spans="1:11" x14ac:dyDescent="0.2">
      <c r="A6714" t="s">
        <v>2030</v>
      </c>
      <c r="B6714" t="s">
        <v>4909</v>
      </c>
      <c r="C6714" t="s">
        <v>4909</v>
      </c>
      <c r="D6714" t="s">
        <v>4909</v>
      </c>
      <c r="E6714" t="s">
        <v>4909</v>
      </c>
      <c r="F6714" t="s">
        <v>4909</v>
      </c>
      <c r="G6714" t="s">
        <v>4909</v>
      </c>
      <c r="H6714" t="s">
        <v>4909</v>
      </c>
      <c r="I6714" t="s">
        <v>4909</v>
      </c>
      <c r="J6714" t="s">
        <v>4909</v>
      </c>
      <c r="K6714" t="s">
        <v>4909</v>
      </c>
    </row>
    <row r="6715" spans="1:11" x14ac:dyDescent="0.2">
      <c r="A6715" t="s">
        <v>2035</v>
      </c>
      <c r="B6715" t="s">
        <v>4909</v>
      </c>
      <c r="C6715" t="s">
        <v>4909</v>
      </c>
      <c r="D6715" t="s">
        <v>4909</v>
      </c>
      <c r="E6715" t="s">
        <v>4909</v>
      </c>
      <c r="F6715" t="s">
        <v>4909</v>
      </c>
      <c r="G6715" t="s">
        <v>4909</v>
      </c>
      <c r="H6715" t="s">
        <v>4909</v>
      </c>
      <c r="I6715" t="s">
        <v>4909</v>
      </c>
      <c r="J6715" t="s">
        <v>4909</v>
      </c>
      <c r="K6715" t="s">
        <v>4909</v>
      </c>
    </row>
    <row r="6716" spans="1:11" x14ac:dyDescent="0.2">
      <c r="A6716" t="s">
        <v>2040</v>
      </c>
      <c r="B6716" t="s">
        <v>4909</v>
      </c>
      <c r="C6716" t="s">
        <v>4909</v>
      </c>
      <c r="D6716" t="s">
        <v>4909</v>
      </c>
      <c r="E6716" t="s">
        <v>4909</v>
      </c>
      <c r="F6716" t="s">
        <v>4909</v>
      </c>
      <c r="G6716" t="s">
        <v>4909</v>
      </c>
      <c r="H6716" t="s">
        <v>4909</v>
      </c>
      <c r="I6716" t="s">
        <v>4909</v>
      </c>
      <c r="J6716" t="s">
        <v>4909</v>
      </c>
      <c r="K6716" t="s">
        <v>4909</v>
      </c>
    </row>
    <row r="6717" spans="1:11" x14ac:dyDescent="0.2">
      <c r="A6717" t="s">
        <v>2045</v>
      </c>
      <c r="B6717" t="s">
        <v>4909</v>
      </c>
      <c r="C6717" t="s">
        <v>4909</v>
      </c>
      <c r="D6717" t="s">
        <v>4909</v>
      </c>
      <c r="E6717" t="s">
        <v>4909</v>
      </c>
      <c r="F6717" t="s">
        <v>4909</v>
      </c>
      <c r="G6717" t="s">
        <v>4909</v>
      </c>
      <c r="H6717" t="s">
        <v>4909</v>
      </c>
      <c r="I6717" t="s">
        <v>4909</v>
      </c>
      <c r="J6717" t="s">
        <v>4909</v>
      </c>
      <c r="K6717" t="s">
        <v>4909</v>
      </c>
    </row>
    <row r="6718" spans="1:11" x14ac:dyDescent="0.2">
      <c r="A6718" t="s">
        <v>2049</v>
      </c>
      <c r="B6718" t="s">
        <v>4909</v>
      </c>
      <c r="C6718" t="s">
        <v>4909</v>
      </c>
      <c r="D6718" t="s">
        <v>4909</v>
      </c>
      <c r="E6718" t="s">
        <v>4909</v>
      </c>
      <c r="F6718" t="s">
        <v>4909</v>
      </c>
      <c r="G6718" t="s">
        <v>4909</v>
      </c>
      <c r="H6718" t="s">
        <v>4909</v>
      </c>
      <c r="I6718" t="s">
        <v>4909</v>
      </c>
      <c r="J6718" t="s">
        <v>4909</v>
      </c>
      <c r="K6718" t="s">
        <v>4909</v>
      </c>
    </row>
    <row r="6719" spans="1:11" x14ac:dyDescent="0.2">
      <c r="A6719" t="s">
        <v>2051</v>
      </c>
      <c r="B6719" t="s">
        <v>4909</v>
      </c>
      <c r="C6719" t="s">
        <v>4909</v>
      </c>
      <c r="D6719" t="s">
        <v>4909</v>
      </c>
      <c r="E6719" s="88">
        <v>1E-3</v>
      </c>
      <c r="F6719" t="s">
        <v>4909</v>
      </c>
      <c r="G6719" t="s">
        <v>4909</v>
      </c>
      <c r="H6719" t="s">
        <v>4909</v>
      </c>
      <c r="I6719" t="s">
        <v>4909</v>
      </c>
      <c r="J6719" t="s">
        <v>4909</v>
      </c>
      <c r="K6719" t="s">
        <v>4909</v>
      </c>
    </row>
    <row r="6720" spans="1:11" x14ac:dyDescent="0.2">
      <c r="A6720" t="s">
        <v>2057</v>
      </c>
      <c r="B6720" t="s">
        <v>4909</v>
      </c>
      <c r="C6720" t="s">
        <v>4909</v>
      </c>
      <c r="D6720" t="s">
        <v>4909</v>
      </c>
      <c r="E6720" s="88">
        <v>1E-3</v>
      </c>
      <c r="F6720" s="88">
        <v>0</v>
      </c>
      <c r="G6720" t="s">
        <v>4909</v>
      </c>
      <c r="H6720" t="s">
        <v>4909</v>
      </c>
      <c r="I6720" t="s">
        <v>4909</v>
      </c>
      <c r="J6720" t="s">
        <v>4909</v>
      </c>
      <c r="K6720" t="s">
        <v>4909</v>
      </c>
    </row>
    <row r="6721" spans="1:11" x14ac:dyDescent="0.2">
      <c r="A6721" t="s">
        <v>4344</v>
      </c>
      <c r="B6721" t="s">
        <v>4909</v>
      </c>
      <c r="C6721" t="s">
        <v>4909</v>
      </c>
      <c r="D6721" t="s">
        <v>4909</v>
      </c>
      <c r="E6721" s="88">
        <v>1E-3</v>
      </c>
      <c r="F6721" s="88">
        <v>0</v>
      </c>
      <c r="G6721" t="s">
        <v>4909</v>
      </c>
      <c r="H6721" t="s">
        <v>4909</v>
      </c>
      <c r="I6721" t="s">
        <v>4909</v>
      </c>
      <c r="J6721" t="s">
        <v>4909</v>
      </c>
      <c r="K6721" t="s">
        <v>4909</v>
      </c>
    </row>
    <row r="6722" spans="1:11" x14ac:dyDescent="0.2">
      <c r="A6722" t="s">
        <v>4345</v>
      </c>
      <c r="B6722" t="s">
        <v>4909</v>
      </c>
      <c r="C6722" t="s">
        <v>4909</v>
      </c>
      <c r="D6722" t="s">
        <v>4909</v>
      </c>
      <c r="E6722" s="88">
        <v>1E-3</v>
      </c>
      <c r="F6722" s="88">
        <v>0</v>
      </c>
      <c r="G6722" t="s">
        <v>4909</v>
      </c>
      <c r="H6722" t="s">
        <v>4909</v>
      </c>
      <c r="I6722" t="s">
        <v>4909</v>
      </c>
      <c r="J6722" t="s">
        <v>4909</v>
      </c>
      <c r="K6722" t="s">
        <v>4909</v>
      </c>
    </row>
    <row r="6723" spans="1:11" x14ac:dyDescent="0.2">
      <c r="A6723" t="s">
        <v>2074</v>
      </c>
      <c r="B6723" t="s">
        <v>4909</v>
      </c>
      <c r="C6723" t="s">
        <v>4909</v>
      </c>
      <c r="D6723" t="s">
        <v>4909</v>
      </c>
      <c r="E6723" t="s">
        <v>4909</v>
      </c>
      <c r="F6723" t="s">
        <v>4909</v>
      </c>
      <c r="G6723" t="s">
        <v>4909</v>
      </c>
      <c r="H6723" t="s">
        <v>4909</v>
      </c>
      <c r="I6723" t="s">
        <v>4909</v>
      </c>
      <c r="J6723" t="s">
        <v>4909</v>
      </c>
      <c r="K6723" t="s">
        <v>4909</v>
      </c>
    </row>
    <row r="6724" spans="1:11" x14ac:dyDescent="0.2">
      <c r="A6724" t="s">
        <v>2079</v>
      </c>
      <c r="B6724" t="s">
        <v>4909</v>
      </c>
      <c r="C6724" t="s">
        <v>4909</v>
      </c>
      <c r="D6724" t="s">
        <v>4909</v>
      </c>
      <c r="E6724" t="s">
        <v>4909</v>
      </c>
      <c r="F6724" t="s">
        <v>4909</v>
      </c>
      <c r="G6724" t="s">
        <v>4909</v>
      </c>
      <c r="H6724" t="s">
        <v>4909</v>
      </c>
      <c r="I6724" t="s">
        <v>4909</v>
      </c>
      <c r="J6724" t="s">
        <v>4909</v>
      </c>
      <c r="K6724" t="s">
        <v>4909</v>
      </c>
    </row>
    <row r="6725" spans="1:11" x14ac:dyDescent="0.2">
      <c r="A6725" t="s">
        <v>2085</v>
      </c>
      <c r="B6725" t="s">
        <v>4909</v>
      </c>
      <c r="C6725" t="s">
        <v>4909</v>
      </c>
      <c r="D6725" t="s">
        <v>4909</v>
      </c>
      <c r="E6725" t="s">
        <v>4909</v>
      </c>
      <c r="F6725" t="s">
        <v>4909</v>
      </c>
      <c r="G6725" t="s">
        <v>4909</v>
      </c>
      <c r="H6725" t="s">
        <v>4909</v>
      </c>
      <c r="I6725" t="s">
        <v>4909</v>
      </c>
      <c r="J6725" t="s">
        <v>4909</v>
      </c>
      <c r="K6725" t="s">
        <v>4909</v>
      </c>
    </row>
    <row r="6726" spans="1:11" x14ac:dyDescent="0.2">
      <c r="A6726" t="s">
        <v>2091</v>
      </c>
      <c r="B6726" t="s">
        <v>4909</v>
      </c>
      <c r="C6726" t="s">
        <v>4909</v>
      </c>
      <c r="D6726" t="s">
        <v>4909</v>
      </c>
      <c r="E6726" t="s">
        <v>4909</v>
      </c>
      <c r="F6726" t="s">
        <v>4909</v>
      </c>
      <c r="G6726" t="s">
        <v>4909</v>
      </c>
      <c r="H6726" t="s">
        <v>4909</v>
      </c>
      <c r="I6726" t="s">
        <v>4909</v>
      </c>
      <c r="J6726" t="s">
        <v>4909</v>
      </c>
      <c r="K6726" t="s">
        <v>4909</v>
      </c>
    </row>
    <row r="6727" spans="1:11" x14ac:dyDescent="0.2">
      <c r="A6727" t="s">
        <v>2097</v>
      </c>
      <c r="B6727" t="s">
        <v>4909</v>
      </c>
      <c r="C6727" t="s">
        <v>4909</v>
      </c>
      <c r="D6727" t="s">
        <v>4909</v>
      </c>
      <c r="E6727" t="s">
        <v>4909</v>
      </c>
      <c r="F6727" t="s">
        <v>4909</v>
      </c>
      <c r="G6727" t="s">
        <v>4909</v>
      </c>
      <c r="H6727" t="s">
        <v>4909</v>
      </c>
      <c r="I6727" t="s">
        <v>4909</v>
      </c>
      <c r="J6727" t="s">
        <v>4909</v>
      </c>
      <c r="K6727" t="s">
        <v>4909</v>
      </c>
    </row>
    <row r="6728" spans="1:11" x14ac:dyDescent="0.2">
      <c r="A6728" t="s">
        <v>2101</v>
      </c>
      <c r="B6728" t="s">
        <v>4909</v>
      </c>
      <c r="C6728" t="s">
        <v>4909</v>
      </c>
      <c r="D6728" t="s">
        <v>4909</v>
      </c>
      <c r="E6728" t="s">
        <v>4909</v>
      </c>
      <c r="F6728" t="s">
        <v>4909</v>
      </c>
      <c r="G6728" t="s">
        <v>4909</v>
      </c>
      <c r="H6728" t="s">
        <v>4909</v>
      </c>
      <c r="I6728" t="s">
        <v>4909</v>
      </c>
      <c r="J6728" t="s">
        <v>4909</v>
      </c>
      <c r="K6728" t="s">
        <v>4909</v>
      </c>
    </row>
    <row r="6729" spans="1:11" x14ac:dyDescent="0.2">
      <c r="A6729" t="s">
        <v>2104</v>
      </c>
      <c r="B6729" t="s">
        <v>4909</v>
      </c>
      <c r="C6729" t="s">
        <v>4909</v>
      </c>
      <c r="D6729" t="s">
        <v>4909</v>
      </c>
      <c r="E6729" t="s">
        <v>4909</v>
      </c>
      <c r="F6729" t="s">
        <v>4909</v>
      </c>
      <c r="G6729" t="s">
        <v>4909</v>
      </c>
      <c r="H6729" t="s">
        <v>4909</v>
      </c>
      <c r="I6729" t="s">
        <v>4909</v>
      </c>
      <c r="J6729" t="s">
        <v>4909</v>
      </c>
      <c r="K6729" t="s">
        <v>4909</v>
      </c>
    </row>
    <row r="6730" spans="1:11" x14ac:dyDescent="0.2">
      <c r="A6730" t="s">
        <v>2107</v>
      </c>
      <c r="B6730" t="s">
        <v>4909</v>
      </c>
      <c r="C6730" t="s">
        <v>4909</v>
      </c>
      <c r="D6730" t="s">
        <v>4909</v>
      </c>
      <c r="E6730" t="s">
        <v>4909</v>
      </c>
      <c r="F6730" t="s">
        <v>4909</v>
      </c>
      <c r="G6730" t="s">
        <v>4909</v>
      </c>
      <c r="H6730" t="s">
        <v>4909</v>
      </c>
      <c r="I6730" t="s">
        <v>4909</v>
      </c>
      <c r="J6730" t="s">
        <v>4909</v>
      </c>
      <c r="K6730" t="s">
        <v>4909</v>
      </c>
    </row>
    <row r="6731" spans="1:11" x14ac:dyDescent="0.2">
      <c r="A6731" t="s">
        <v>2110</v>
      </c>
      <c r="B6731" t="s">
        <v>4909</v>
      </c>
      <c r="C6731" t="s">
        <v>4909</v>
      </c>
      <c r="D6731" t="s">
        <v>4909</v>
      </c>
      <c r="E6731" t="s">
        <v>4909</v>
      </c>
      <c r="F6731" t="s">
        <v>4909</v>
      </c>
      <c r="G6731" t="s">
        <v>4909</v>
      </c>
      <c r="H6731" t="s">
        <v>4909</v>
      </c>
      <c r="I6731" t="s">
        <v>4909</v>
      </c>
      <c r="J6731" t="s">
        <v>4909</v>
      </c>
      <c r="K6731" t="s">
        <v>4909</v>
      </c>
    </row>
    <row r="6732" spans="1:11" x14ac:dyDescent="0.2">
      <c r="A6732" t="s">
        <v>2113</v>
      </c>
      <c r="B6732" t="s">
        <v>4909</v>
      </c>
      <c r="C6732" t="s">
        <v>4909</v>
      </c>
      <c r="D6732" t="s">
        <v>4909</v>
      </c>
      <c r="E6732" t="s">
        <v>4909</v>
      </c>
      <c r="F6732" t="s">
        <v>4909</v>
      </c>
      <c r="G6732" t="s">
        <v>4909</v>
      </c>
      <c r="H6732" t="s">
        <v>4909</v>
      </c>
      <c r="I6732" t="s">
        <v>4909</v>
      </c>
      <c r="J6732" t="s">
        <v>4909</v>
      </c>
      <c r="K6732" t="s">
        <v>4909</v>
      </c>
    </row>
    <row r="6733" spans="1:11" x14ac:dyDescent="0.2">
      <c r="A6733" t="s">
        <v>4346</v>
      </c>
      <c r="B6733" t="s">
        <v>4909</v>
      </c>
      <c r="C6733" t="s">
        <v>4909</v>
      </c>
      <c r="D6733" t="s">
        <v>4909</v>
      </c>
      <c r="E6733" t="s">
        <v>4909</v>
      </c>
      <c r="F6733" t="s">
        <v>4909</v>
      </c>
      <c r="G6733" t="s">
        <v>4909</v>
      </c>
      <c r="H6733" t="s">
        <v>4909</v>
      </c>
      <c r="I6733" t="s">
        <v>4909</v>
      </c>
      <c r="J6733" t="s">
        <v>4909</v>
      </c>
      <c r="K6733" t="s">
        <v>4909</v>
      </c>
    </row>
    <row r="6734" spans="1:11" x14ac:dyDescent="0.2">
      <c r="A6734" t="s">
        <v>4347</v>
      </c>
      <c r="B6734" t="s">
        <v>4909</v>
      </c>
      <c r="C6734" t="s">
        <v>4909</v>
      </c>
      <c r="D6734" t="s">
        <v>4909</v>
      </c>
      <c r="E6734" t="s">
        <v>4909</v>
      </c>
      <c r="F6734" t="s">
        <v>4909</v>
      </c>
      <c r="G6734" t="s">
        <v>4909</v>
      </c>
      <c r="H6734" t="s">
        <v>4909</v>
      </c>
      <c r="I6734" t="s">
        <v>4909</v>
      </c>
      <c r="J6734" t="s">
        <v>4909</v>
      </c>
      <c r="K6734" t="s">
        <v>4909</v>
      </c>
    </row>
    <row r="6735" spans="1:11" x14ac:dyDescent="0.2">
      <c r="A6735" t="s">
        <v>4348</v>
      </c>
      <c r="B6735" t="s">
        <v>4909</v>
      </c>
      <c r="C6735" t="s">
        <v>4909</v>
      </c>
      <c r="D6735" t="s">
        <v>4909</v>
      </c>
      <c r="E6735" t="s">
        <v>4909</v>
      </c>
      <c r="F6735" t="s">
        <v>4909</v>
      </c>
      <c r="G6735" t="s">
        <v>4909</v>
      </c>
      <c r="H6735" t="s">
        <v>4909</v>
      </c>
      <c r="I6735" t="s">
        <v>4909</v>
      </c>
      <c r="J6735" t="s">
        <v>4909</v>
      </c>
      <c r="K6735" t="s">
        <v>4909</v>
      </c>
    </row>
    <row r="6736" spans="1:11" x14ac:dyDescent="0.2">
      <c r="A6736" t="s">
        <v>4349</v>
      </c>
      <c r="B6736" t="s">
        <v>4909</v>
      </c>
      <c r="C6736" t="s">
        <v>4909</v>
      </c>
      <c r="D6736" t="s">
        <v>4909</v>
      </c>
      <c r="E6736" t="s">
        <v>4909</v>
      </c>
      <c r="F6736" t="s">
        <v>4909</v>
      </c>
      <c r="G6736" t="s">
        <v>4909</v>
      </c>
      <c r="H6736" t="s">
        <v>4909</v>
      </c>
      <c r="I6736" t="s">
        <v>4909</v>
      </c>
      <c r="J6736" t="s">
        <v>4909</v>
      </c>
      <c r="K6736" t="s">
        <v>4909</v>
      </c>
    </row>
    <row r="6737" spans="1:11" x14ac:dyDescent="0.2">
      <c r="A6737" t="s">
        <v>4350</v>
      </c>
      <c r="B6737" t="s">
        <v>4909</v>
      </c>
      <c r="C6737" t="s">
        <v>4909</v>
      </c>
      <c r="D6737" t="s">
        <v>4909</v>
      </c>
      <c r="E6737" s="88">
        <v>0</v>
      </c>
      <c r="F6737" t="s">
        <v>4909</v>
      </c>
      <c r="G6737" t="s">
        <v>4909</v>
      </c>
      <c r="H6737" t="s">
        <v>4909</v>
      </c>
      <c r="I6737" t="s">
        <v>4909</v>
      </c>
      <c r="J6737" t="s">
        <v>4909</v>
      </c>
      <c r="K6737" t="s">
        <v>4909</v>
      </c>
    </row>
    <row r="6738" spans="1:11" x14ac:dyDescent="0.2">
      <c r="A6738" t="s">
        <v>4351</v>
      </c>
      <c r="B6738" t="s">
        <v>4909</v>
      </c>
      <c r="C6738" t="s">
        <v>4909</v>
      </c>
      <c r="D6738" t="s">
        <v>4909</v>
      </c>
      <c r="E6738" t="s">
        <v>4909</v>
      </c>
      <c r="F6738" t="s">
        <v>4909</v>
      </c>
      <c r="G6738" t="s">
        <v>4909</v>
      </c>
      <c r="H6738" t="s">
        <v>4909</v>
      </c>
      <c r="I6738" t="s">
        <v>4909</v>
      </c>
      <c r="J6738" t="s">
        <v>4909</v>
      </c>
      <c r="K6738" t="s">
        <v>4909</v>
      </c>
    </row>
    <row r="6739" spans="1:11" x14ac:dyDescent="0.2">
      <c r="A6739" t="s">
        <v>4352</v>
      </c>
      <c r="B6739" t="s">
        <v>4909</v>
      </c>
      <c r="C6739" t="s">
        <v>4909</v>
      </c>
      <c r="D6739" t="s">
        <v>4909</v>
      </c>
      <c r="E6739" t="s">
        <v>4909</v>
      </c>
      <c r="F6739" t="s">
        <v>4909</v>
      </c>
      <c r="G6739" t="s">
        <v>4909</v>
      </c>
      <c r="H6739" t="s">
        <v>4909</v>
      </c>
      <c r="I6739" t="s">
        <v>4909</v>
      </c>
      <c r="J6739" t="s">
        <v>4909</v>
      </c>
      <c r="K6739" t="s">
        <v>4909</v>
      </c>
    </row>
    <row r="6740" spans="1:11" x14ac:dyDescent="0.2">
      <c r="A6740" t="s">
        <v>4353</v>
      </c>
      <c r="B6740" t="s">
        <v>4909</v>
      </c>
      <c r="C6740" t="s">
        <v>4909</v>
      </c>
      <c r="D6740" t="s">
        <v>4909</v>
      </c>
      <c r="E6740" s="88">
        <v>2E-3</v>
      </c>
      <c r="F6740" t="s">
        <v>4909</v>
      </c>
      <c r="G6740" t="s">
        <v>4909</v>
      </c>
      <c r="H6740" t="s">
        <v>4909</v>
      </c>
      <c r="I6740" t="s">
        <v>4909</v>
      </c>
      <c r="J6740" t="s">
        <v>4909</v>
      </c>
      <c r="K6740" t="s">
        <v>4909</v>
      </c>
    </row>
    <row r="6741" spans="1:11" x14ac:dyDescent="0.2">
      <c r="A6741" t="s">
        <v>4354</v>
      </c>
      <c r="B6741" t="s">
        <v>4909</v>
      </c>
      <c r="C6741" t="s">
        <v>4909</v>
      </c>
      <c r="D6741" t="s">
        <v>4909</v>
      </c>
      <c r="E6741" s="88">
        <v>5.0000000000000001E-3</v>
      </c>
      <c r="F6741" t="s">
        <v>4909</v>
      </c>
      <c r="G6741" t="s">
        <v>4909</v>
      </c>
      <c r="H6741" t="s">
        <v>4909</v>
      </c>
      <c r="I6741" t="s">
        <v>4909</v>
      </c>
      <c r="J6741" t="s">
        <v>4909</v>
      </c>
      <c r="K6741" t="s">
        <v>4909</v>
      </c>
    </row>
    <row r="6742" spans="1:11" x14ac:dyDescent="0.2">
      <c r="A6742" t="s">
        <v>4355</v>
      </c>
      <c r="B6742" t="s">
        <v>4909</v>
      </c>
      <c r="C6742" t="s">
        <v>4909</v>
      </c>
      <c r="D6742" t="s">
        <v>4909</v>
      </c>
      <c r="E6742" t="s">
        <v>4909</v>
      </c>
      <c r="F6742" t="s">
        <v>4909</v>
      </c>
      <c r="G6742" t="s">
        <v>4909</v>
      </c>
      <c r="H6742" t="s">
        <v>4909</v>
      </c>
      <c r="I6742" t="s">
        <v>4909</v>
      </c>
      <c r="J6742" t="s">
        <v>4909</v>
      </c>
      <c r="K6742" t="s">
        <v>4909</v>
      </c>
    </row>
    <row r="6743" spans="1:11" x14ac:dyDescent="0.2">
      <c r="A6743" t="s">
        <v>4356</v>
      </c>
      <c r="B6743" t="s">
        <v>4909</v>
      </c>
      <c r="C6743" t="s">
        <v>4909</v>
      </c>
      <c r="D6743" t="s">
        <v>4909</v>
      </c>
      <c r="E6743" t="s">
        <v>4909</v>
      </c>
      <c r="F6743" t="s">
        <v>4909</v>
      </c>
      <c r="G6743" t="s">
        <v>4909</v>
      </c>
      <c r="H6743" t="s">
        <v>4909</v>
      </c>
      <c r="I6743" t="s">
        <v>4909</v>
      </c>
      <c r="J6743" t="s">
        <v>4909</v>
      </c>
      <c r="K6743" t="s">
        <v>4909</v>
      </c>
    </row>
    <row r="6744" spans="1:11" x14ac:dyDescent="0.2">
      <c r="A6744" t="s">
        <v>4357</v>
      </c>
      <c r="B6744" t="s">
        <v>4909</v>
      </c>
      <c r="C6744" t="s">
        <v>4909</v>
      </c>
      <c r="D6744" t="s">
        <v>4909</v>
      </c>
      <c r="E6744" t="s">
        <v>4909</v>
      </c>
      <c r="F6744" t="s">
        <v>4909</v>
      </c>
      <c r="G6744" t="s">
        <v>4909</v>
      </c>
      <c r="H6744" t="s">
        <v>4909</v>
      </c>
      <c r="I6744" t="s">
        <v>4909</v>
      </c>
      <c r="J6744" t="s">
        <v>4909</v>
      </c>
      <c r="K6744" t="s">
        <v>4909</v>
      </c>
    </row>
    <row r="6745" spans="1:11" x14ac:dyDescent="0.2">
      <c r="A6745" t="s">
        <v>4358</v>
      </c>
      <c r="B6745" t="s">
        <v>4909</v>
      </c>
      <c r="C6745" t="s">
        <v>4909</v>
      </c>
      <c r="D6745" t="s">
        <v>4909</v>
      </c>
      <c r="E6745" t="s">
        <v>4909</v>
      </c>
      <c r="F6745" t="s">
        <v>4909</v>
      </c>
      <c r="G6745" t="s">
        <v>4909</v>
      </c>
      <c r="H6745" t="s">
        <v>4909</v>
      </c>
      <c r="I6745" t="s">
        <v>4909</v>
      </c>
      <c r="J6745" t="s">
        <v>4909</v>
      </c>
      <c r="K6745" t="s">
        <v>4909</v>
      </c>
    </row>
    <row r="6746" spans="1:11" x14ac:dyDescent="0.2">
      <c r="A6746" t="s">
        <v>4359</v>
      </c>
      <c r="B6746" t="s">
        <v>4909</v>
      </c>
      <c r="C6746" t="s">
        <v>4909</v>
      </c>
      <c r="D6746" t="s">
        <v>4909</v>
      </c>
      <c r="E6746" t="s">
        <v>4909</v>
      </c>
      <c r="F6746" t="s">
        <v>4909</v>
      </c>
      <c r="G6746" t="s">
        <v>4909</v>
      </c>
      <c r="H6746" t="s">
        <v>4909</v>
      </c>
      <c r="I6746" t="s">
        <v>4909</v>
      </c>
      <c r="J6746" t="s">
        <v>4909</v>
      </c>
      <c r="K6746" t="s">
        <v>4909</v>
      </c>
    </row>
    <row r="6747" spans="1:11" x14ac:dyDescent="0.2">
      <c r="A6747" t="s">
        <v>4360</v>
      </c>
      <c r="B6747" t="s">
        <v>4909</v>
      </c>
      <c r="C6747" t="s">
        <v>4909</v>
      </c>
      <c r="D6747" t="s">
        <v>4909</v>
      </c>
      <c r="E6747" s="88">
        <v>1E-3</v>
      </c>
      <c r="F6747" t="s">
        <v>4909</v>
      </c>
      <c r="G6747" t="s">
        <v>4909</v>
      </c>
      <c r="H6747" t="s">
        <v>4909</v>
      </c>
      <c r="I6747" t="s">
        <v>4909</v>
      </c>
      <c r="J6747" t="s">
        <v>4909</v>
      </c>
      <c r="K6747" t="s">
        <v>4909</v>
      </c>
    </row>
    <row r="6748" spans="1:11" x14ac:dyDescent="0.2">
      <c r="A6748" t="s">
        <v>4361</v>
      </c>
      <c r="B6748" t="s">
        <v>4909</v>
      </c>
      <c r="C6748" t="s">
        <v>4909</v>
      </c>
      <c r="D6748" t="s">
        <v>4909</v>
      </c>
      <c r="E6748" s="88">
        <v>0</v>
      </c>
      <c r="F6748" t="s">
        <v>4909</v>
      </c>
      <c r="G6748" t="s">
        <v>4909</v>
      </c>
      <c r="H6748" t="s">
        <v>4909</v>
      </c>
      <c r="I6748" t="s">
        <v>4909</v>
      </c>
      <c r="J6748" t="s">
        <v>4909</v>
      </c>
      <c r="K6748" t="s">
        <v>4909</v>
      </c>
    </row>
    <row r="6749" spans="1:11" x14ac:dyDescent="0.2">
      <c r="A6749" t="s">
        <v>4362</v>
      </c>
      <c r="B6749" t="s">
        <v>4909</v>
      </c>
      <c r="C6749" t="s">
        <v>4909</v>
      </c>
      <c r="D6749" t="s">
        <v>4909</v>
      </c>
      <c r="E6749" t="s">
        <v>4909</v>
      </c>
      <c r="F6749" t="s">
        <v>4909</v>
      </c>
      <c r="G6749" t="s">
        <v>4909</v>
      </c>
      <c r="H6749" t="s">
        <v>4909</v>
      </c>
      <c r="I6749" t="s">
        <v>4909</v>
      </c>
      <c r="J6749" t="s">
        <v>4909</v>
      </c>
      <c r="K6749" t="s">
        <v>4909</v>
      </c>
    </row>
    <row r="6750" spans="1:11" x14ac:dyDescent="0.2">
      <c r="A6750" t="s">
        <v>4363</v>
      </c>
      <c r="B6750" t="s">
        <v>4909</v>
      </c>
      <c r="C6750" t="s">
        <v>4909</v>
      </c>
      <c r="D6750" t="s">
        <v>4909</v>
      </c>
      <c r="E6750" t="s">
        <v>4909</v>
      </c>
      <c r="F6750" t="s">
        <v>4909</v>
      </c>
      <c r="G6750" t="s">
        <v>4909</v>
      </c>
      <c r="H6750" t="s">
        <v>4909</v>
      </c>
      <c r="I6750" t="s">
        <v>4909</v>
      </c>
      <c r="J6750" t="s">
        <v>4909</v>
      </c>
      <c r="K6750" t="s">
        <v>4909</v>
      </c>
    </row>
    <row r="6751" spans="1:11" x14ac:dyDescent="0.2">
      <c r="A6751" t="s">
        <v>4364</v>
      </c>
      <c r="B6751" t="s">
        <v>4909</v>
      </c>
      <c r="C6751" t="s">
        <v>4909</v>
      </c>
      <c r="D6751" t="s">
        <v>4909</v>
      </c>
      <c r="E6751" t="s">
        <v>4909</v>
      </c>
      <c r="F6751" t="s">
        <v>4909</v>
      </c>
      <c r="G6751" t="s">
        <v>4909</v>
      </c>
      <c r="H6751" t="s">
        <v>4909</v>
      </c>
      <c r="I6751" t="s">
        <v>4909</v>
      </c>
      <c r="J6751" t="s">
        <v>4909</v>
      </c>
      <c r="K6751" t="s">
        <v>4909</v>
      </c>
    </row>
    <row r="6752" spans="1:11" x14ac:dyDescent="0.2">
      <c r="A6752" t="s">
        <v>4365</v>
      </c>
      <c r="B6752" t="s">
        <v>4909</v>
      </c>
      <c r="C6752" t="s">
        <v>4909</v>
      </c>
      <c r="D6752" t="s">
        <v>4909</v>
      </c>
      <c r="E6752" s="88">
        <v>0</v>
      </c>
      <c r="F6752" t="s">
        <v>4909</v>
      </c>
      <c r="G6752" t="s">
        <v>4909</v>
      </c>
      <c r="H6752" t="s">
        <v>4909</v>
      </c>
      <c r="I6752" t="s">
        <v>4909</v>
      </c>
      <c r="J6752" t="s">
        <v>4909</v>
      </c>
      <c r="K6752" t="s">
        <v>4909</v>
      </c>
    </row>
    <row r="6753" spans="1:11" x14ac:dyDescent="0.2">
      <c r="A6753" t="s">
        <v>4366</v>
      </c>
      <c r="B6753" t="s">
        <v>4909</v>
      </c>
      <c r="C6753" t="s">
        <v>4909</v>
      </c>
      <c r="D6753" t="s">
        <v>4909</v>
      </c>
      <c r="E6753" t="s">
        <v>4909</v>
      </c>
      <c r="F6753" t="s">
        <v>4909</v>
      </c>
      <c r="G6753" t="s">
        <v>4909</v>
      </c>
      <c r="H6753" t="s">
        <v>4909</v>
      </c>
      <c r="I6753" t="s">
        <v>4909</v>
      </c>
      <c r="J6753" t="s">
        <v>4909</v>
      </c>
      <c r="K6753" t="s">
        <v>4909</v>
      </c>
    </row>
    <row r="6754" spans="1:11" x14ac:dyDescent="0.2">
      <c r="A6754" t="s">
        <v>4367</v>
      </c>
      <c r="B6754" t="s">
        <v>4909</v>
      </c>
      <c r="C6754" t="s">
        <v>4909</v>
      </c>
      <c r="D6754" t="s">
        <v>4909</v>
      </c>
      <c r="E6754" t="s">
        <v>4909</v>
      </c>
      <c r="F6754" t="s">
        <v>4909</v>
      </c>
      <c r="G6754" t="s">
        <v>4909</v>
      </c>
      <c r="H6754" t="s">
        <v>4909</v>
      </c>
      <c r="I6754" t="s">
        <v>4909</v>
      </c>
      <c r="J6754" t="s">
        <v>4909</v>
      </c>
      <c r="K6754" t="s">
        <v>4909</v>
      </c>
    </row>
    <row r="6755" spans="1:11" x14ac:dyDescent="0.2">
      <c r="A6755" t="s">
        <v>4368</v>
      </c>
      <c r="B6755" t="s">
        <v>4909</v>
      </c>
      <c r="C6755" t="s">
        <v>4909</v>
      </c>
      <c r="D6755" t="s">
        <v>4909</v>
      </c>
      <c r="E6755" s="88">
        <v>1.4E-2</v>
      </c>
      <c r="F6755" s="88">
        <v>0</v>
      </c>
      <c r="G6755" t="s">
        <v>4909</v>
      </c>
      <c r="H6755" t="s">
        <v>4909</v>
      </c>
      <c r="I6755" t="s">
        <v>4909</v>
      </c>
      <c r="J6755" t="s">
        <v>4909</v>
      </c>
      <c r="K6755" t="s">
        <v>4909</v>
      </c>
    </row>
    <row r="6756" spans="1:11" x14ac:dyDescent="0.2">
      <c r="A6756" t="s">
        <v>4369</v>
      </c>
      <c r="B6756" t="s">
        <v>4909</v>
      </c>
      <c r="C6756" t="s">
        <v>4909</v>
      </c>
      <c r="D6756" s="88">
        <v>0</v>
      </c>
      <c r="E6756" s="88">
        <v>5.0000000000000001E-3</v>
      </c>
      <c r="F6756" s="88">
        <v>0</v>
      </c>
      <c r="G6756" t="s">
        <v>4909</v>
      </c>
      <c r="H6756" t="s">
        <v>4909</v>
      </c>
      <c r="I6756" t="s">
        <v>4909</v>
      </c>
      <c r="J6756" t="s">
        <v>4909</v>
      </c>
      <c r="K6756" t="s">
        <v>4909</v>
      </c>
    </row>
    <row r="6757" spans="1:11" x14ac:dyDescent="0.2">
      <c r="A6757" t="s">
        <v>4370</v>
      </c>
      <c r="B6757" t="s">
        <v>4909</v>
      </c>
      <c r="C6757" t="s">
        <v>4909</v>
      </c>
      <c r="D6757" t="s">
        <v>4909</v>
      </c>
      <c r="E6757" t="s">
        <v>4909</v>
      </c>
      <c r="F6757" t="s">
        <v>4909</v>
      </c>
      <c r="G6757" t="s">
        <v>4909</v>
      </c>
      <c r="H6757" t="s">
        <v>4909</v>
      </c>
      <c r="I6757" t="s">
        <v>4909</v>
      </c>
      <c r="J6757" t="s">
        <v>4909</v>
      </c>
      <c r="K6757" t="s">
        <v>4909</v>
      </c>
    </row>
    <row r="6758" spans="1:11" x14ac:dyDescent="0.2">
      <c r="A6758" t="s">
        <v>4371</v>
      </c>
      <c r="B6758" t="s">
        <v>4909</v>
      </c>
      <c r="C6758" t="s">
        <v>4909</v>
      </c>
      <c r="D6758" t="s">
        <v>4909</v>
      </c>
      <c r="E6758" t="s">
        <v>4909</v>
      </c>
      <c r="F6758" t="s">
        <v>4909</v>
      </c>
      <c r="G6758" t="s">
        <v>4909</v>
      </c>
      <c r="H6758" t="s">
        <v>4909</v>
      </c>
      <c r="I6758" t="s">
        <v>4909</v>
      </c>
      <c r="J6758" t="s">
        <v>4909</v>
      </c>
      <c r="K6758" t="s">
        <v>4909</v>
      </c>
    </row>
    <row r="6759" spans="1:11" x14ac:dyDescent="0.2">
      <c r="A6759" t="s">
        <v>4372</v>
      </c>
      <c r="B6759" t="s">
        <v>4909</v>
      </c>
      <c r="C6759" t="s">
        <v>4909</v>
      </c>
      <c r="D6759" t="s">
        <v>4909</v>
      </c>
      <c r="E6759" t="s">
        <v>4909</v>
      </c>
      <c r="F6759" t="s">
        <v>4909</v>
      </c>
      <c r="G6759" t="s">
        <v>4909</v>
      </c>
      <c r="H6759" t="s">
        <v>4909</v>
      </c>
      <c r="I6759" t="s">
        <v>4909</v>
      </c>
      <c r="J6759" t="s">
        <v>4909</v>
      </c>
      <c r="K6759" t="s">
        <v>4909</v>
      </c>
    </row>
    <row r="6760" spans="1:11" x14ac:dyDescent="0.2">
      <c r="A6760" t="s">
        <v>4373</v>
      </c>
      <c r="B6760" t="s">
        <v>4909</v>
      </c>
      <c r="C6760" t="s">
        <v>4909</v>
      </c>
      <c r="D6760" t="s">
        <v>4909</v>
      </c>
      <c r="E6760" t="s">
        <v>4909</v>
      </c>
      <c r="F6760" t="s">
        <v>4909</v>
      </c>
      <c r="G6760" t="s">
        <v>4909</v>
      </c>
      <c r="H6760" t="s">
        <v>4909</v>
      </c>
      <c r="I6760" t="s">
        <v>4909</v>
      </c>
      <c r="J6760" t="s">
        <v>4909</v>
      </c>
      <c r="K6760" t="s">
        <v>4909</v>
      </c>
    </row>
    <row r="6761" spans="1:11" x14ac:dyDescent="0.2">
      <c r="A6761" t="s">
        <v>4374</v>
      </c>
      <c r="B6761" t="s">
        <v>4909</v>
      </c>
      <c r="C6761" t="s">
        <v>4909</v>
      </c>
      <c r="D6761" t="s">
        <v>4909</v>
      </c>
      <c r="E6761" t="s">
        <v>4909</v>
      </c>
      <c r="F6761" t="s">
        <v>4909</v>
      </c>
      <c r="G6761" t="s">
        <v>4909</v>
      </c>
      <c r="H6761" t="s">
        <v>4909</v>
      </c>
      <c r="I6761" t="s">
        <v>4909</v>
      </c>
      <c r="J6761" t="s">
        <v>4909</v>
      </c>
      <c r="K6761" t="s">
        <v>4909</v>
      </c>
    </row>
    <row r="6762" spans="1:11" x14ac:dyDescent="0.2">
      <c r="A6762" t="s">
        <v>4375</v>
      </c>
      <c r="B6762" t="s">
        <v>4909</v>
      </c>
      <c r="C6762" t="s">
        <v>4909</v>
      </c>
      <c r="D6762" t="s">
        <v>4909</v>
      </c>
      <c r="E6762" t="s">
        <v>4909</v>
      </c>
      <c r="F6762" t="s">
        <v>4909</v>
      </c>
      <c r="G6762" t="s">
        <v>4909</v>
      </c>
      <c r="H6762" t="s">
        <v>4909</v>
      </c>
      <c r="I6762" t="s">
        <v>4909</v>
      </c>
      <c r="J6762" t="s">
        <v>4909</v>
      </c>
      <c r="K6762" t="s">
        <v>4909</v>
      </c>
    </row>
    <row r="6763" spans="1:11" x14ac:dyDescent="0.2">
      <c r="A6763" t="s">
        <v>4376</v>
      </c>
      <c r="B6763" t="s">
        <v>4909</v>
      </c>
      <c r="C6763" t="s">
        <v>4909</v>
      </c>
      <c r="D6763" t="s">
        <v>4909</v>
      </c>
      <c r="E6763" t="s">
        <v>4909</v>
      </c>
      <c r="F6763" t="s">
        <v>4909</v>
      </c>
      <c r="G6763" t="s">
        <v>4909</v>
      </c>
      <c r="H6763" t="s">
        <v>4909</v>
      </c>
      <c r="I6763" t="s">
        <v>4909</v>
      </c>
      <c r="J6763" t="s">
        <v>4909</v>
      </c>
      <c r="K6763" t="s">
        <v>4909</v>
      </c>
    </row>
    <row r="6764" spans="1:11" x14ac:dyDescent="0.2">
      <c r="A6764" t="s">
        <v>4377</v>
      </c>
      <c r="B6764" t="s">
        <v>4909</v>
      </c>
      <c r="C6764" t="s">
        <v>4909</v>
      </c>
      <c r="D6764" t="s">
        <v>4909</v>
      </c>
      <c r="E6764" t="s">
        <v>4909</v>
      </c>
      <c r="F6764" t="s">
        <v>4909</v>
      </c>
      <c r="G6764" t="s">
        <v>4909</v>
      </c>
      <c r="H6764" t="s">
        <v>4909</v>
      </c>
      <c r="I6764" t="s">
        <v>4909</v>
      </c>
      <c r="J6764" t="s">
        <v>4909</v>
      </c>
      <c r="K6764" t="s">
        <v>4909</v>
      </c>
    </row>
    <row r="6765" spans="1:11" x14ac:dyDescent="0.2">
      <c r="A6765" t="s">
        <v>2318</v>
      </c>
      <c r="B6765" t="s">
        <v>4399</v>
      </c>
      <c r="C6765" t="s">
        <v>4399</v>
      </c>
      <c r="D6765" t="s">
        <v>4399</v>
      </c>
      <c r="E6765" t="s">
        <v>4399</v>
      </c>
      <c r="F6765" t="s">
        <v>4399</v>
      </c>
      <c r="G6765" t="s">
        <v>4399</v>
      </c>
      <c r="H6765" t="s">
        <v>4399</v>
      </c>
      <c r="I6765" t="s">
        <v>4399</v>
      </c>
      <c r="J6765" t="s">
        <v>4399</v>
      </c>
      <c r="K6765" t="s">
        <v>4399</v>
      </c>
    </row>
    <row r="6766" spans="1:11" x14ac:dyDescent="0.2">
      <c r="A6766" t="s">
        <v>4248</v>
      </c>
    </row>
    <row r="6767" spans="1:11" x14ac:dyDescent="0.2">
      <c r="A6767" t="s">
        <v>4910</v>
      </c>
      <c r="B6767" t="s">
        <v>4904</v>
      </c>
      <c r="C6767" t="s">
        <v>4911</v>
      </c>
      <c r="D6767" t="s">
        <v>4912</v>
      </c>
      <c r="E6767" t="s">
        <v>4907</v>
      </c>
      <c r="F6767" t="s">
        <v>4913</v>
      </c>
      <c r="G6767">
        <v>9</v>
      </c>
    </row>
    <row r="6768" spans="1:11" x14ac:dyDescent="0.2">
      <c r="A6768" t="s">
        <v>2318</v>
      </c>
      <c r="B6768" t="s">
        <v>4399</v>
      </c>
      <c r="C6768" t="s">
        <v>4399</v>
      </c>
      <c r="D6768" t="s">
        <v>4399</v>
      </c>
      <c r="E6768" t="s">
        <v>4399</v>
      </c>
      <c r="F6768" t="s">
        <v>4399</v>
      </c>
      <c r="G6768" t="s">
        <v>4399</v>
      </c>
      <c r="H6768" t="s">
        <v>4399</v>
      </c>
      <c r="I6768" t="s">
        <v>4399</v>
      </c>
      <c r="J6768" t="s">
        <v>4399</v>
      </c>
      <c r="K6768" t="s">
        <v>4399</v>
      </c>
    </row>
    <row r="6769" spans="1:11" x14ac:dyDescent="0.2">
      <c r="A6769" t="s">
        <v>126</v>
      </c>
      <c r="B6769" t="s">
        <v>4692</v>
      </c>
      <c r="C6769" t="s">
        <v>4696</v>
      </c>
      <c r="D6769" t="s">
        <v>394</v>
      </c>
      <c r="E6769" t="s">
        <v>395</v>
      </c>
      <c r="F6769" t="s">
        <v>4706</v>
      </c>
      <c r="G6769" t="s">
        <v>4710</v>
      </c>
      <c r="H6769" t="s">
        <v>4714</v>
      </c>
      <c r="I6769" t="s">
        <v>4718</v>
      </c>
      <c r="J6769" t="s">
        <v>4722</v>
      </c>
      <c r="K6769" t="s">
        <v>4726</v>
      </c>
    </row>
    <row r="6770" spans="1:11" x14ac:dyDescent="0.2">
      <c r="A6770" t="s">
        <v>2318</v>
      </c>
      <c r="B6770" t="s">
        <v>4399</v>
      </c>
      <c r="C6770" t="s">
        <v>4399</v>
      </c>
      <c r="D6770" t="s">
        <v>4399</v>
      </c>
      <c r="E6770" t="s">
        <v>4399</v>
      </c>
      <c r="F6770" t="s">
        <v>4399</v>
      </c>
      <c r="G6770" t="s">
        <v>4399</v>
      </c>
      <c r="H6770" t="s">
        <v>4399</v>
      </c>
      <c r="I6770" t="s">
        <v>4399</v>
      </c>
      <c r="J6770" t="s">
        <v>4399</v>
      </c>
      <c r="K6770" t="s">
        <v>4399</v>
      </c>
    </row>
    <row r="6771" spans="1:11" x14ac:dyDescent="0.2">
      <c r="A6771" t="s">
        <v>4265</v>
      </c>
      <c r="B6771" t="s">
        <v>4909</v>
      </c>
      <c r="C6771" t="s">
        <v>4909</v>
      </c>
      <c r="D6771" t="s">
        <v>4909</v>
      </c>
      <c r="E6771" t="s">
        <v>4909</v>
      </c>
      <c r="F6771" t="s">
        <v>4909</v>
      </c>
      <c r="G6771" t="s">
        <v>4909</v>
      </c>
      <c r="H6771" t="s">
        <v>4909</v>
      </c>
      <c r="I6771" t="s">
        <v>4909</v>
      </c>
      <c r="J6771" t="s">
        <v>4909</v>
      </c>
      <c r="K6771" t="s">
        <v>4909</v>
      </c>
    </row>
    <row r="6772" spans="1:11" x14ac:dyDescent="0.2">
      <c r="A6772" t="s">
        <v>4266</v>
      </c>
      <c r="B6772" t="s">
        <v>4909</v>
      </c>
      <c r="C6772" t="s">
        <v>4909</v>
      </c>
      <c r="D6772" t="s">
        <v>4909</v>
      </c>
      <c r="E6772" t="s">
        <v>4909</v>
      </c>
      <c r="F6772" t="s">
        <v>4909</v>
      </c>
      <c r="G6772" t="s">
        <v>4909</v>
      </c>
      <c r="H6772" t="s">
        <v>4909</v>
      </c>
      <c r="I6772" t="s">
        <v>4909</v>
      </c>
      <c r="J6772" t="s">
        <v>4909</v>
      </c>
      <c r="K6772" t="s">
        <v>4909</v>
      </c>
    </row>
    <row r="6773" spans="1:11" x14ac:dyDescent="0.2">
      <c r="A6773" t="s">
        <v>4267</v>
      </c>
      <c r="B6773" t="s">
        <v>4909</v>
      </c>
      <c r="C6773" t="s">
        <v>4909</v>
      </c>
      <c r="D6773" t="s">
        <v>4909</v>
      </c>
      <c r="E6773" t="s">
        <v>4909</v>
      </c>
      <c r="F6773" t="s">
        <v>4909</v>
      </c>
      <c r="G6773" t="s">
        <v>4909</v>
      </c>
      <c r="H6773" t="s">
        <v>4909</v>
      </c>
      <c r="I6773" t="s">
        <v>4909</v>
      </c>
      <c r="J6773" t="s">
        <v>4909</v>
      </c>
      <c r="K6773" t="s">
        <v>4909</v>
      </c>
    </row>
    <row r="6774" spans="1:11" x14ac:dyDescent="0.2">
      <c r="A6774" t="s">
        <v>4268</v>
      </c>
      <c r="B6774" t="s">
        <v>4909</v>
      </c>
      <c r="C6774" t="s">
        <v>4909</v>
      </c>
      <c r="D6774" t="s">
        <v>4909</v>
      </c>
      <c r="E6774" t="s">
        <v>4909</v>
      </c>
      <c r="F6774" t="s">
        <v>4909</v>
      </c>
      <c r="G6774" t="s">
        <v>4909</v>
      </c>
      <c r="H6774" t="s">
        <v>4909</v>
      </c>
      <c r="I6774" t="s">
        <v>4909</v>
      </c>
      <c r="J6774" t="s">
        <v>4909</v>
      </c>
      <c r="K6774" t="s">
        <v>4909</v>
      </c>
    </row>
    <row r="6775" spans="1:11" x14ac:dyDescent="0.2">
      <c r="A6775" t="s">
        <v>4269</v>
      </c>
      <c r="B6775" t="s">
        <v>4909</v>
      </c>
      <c r="C6775" t="s">
        <v>4909</v>
      </c>
      <c r="D6775" t="s">
        <v>4909</v>
      </c>
      <c r="E6775" t="s">
        <v>4909</v>
      </c>
      <c r="F6775" t="s">
        <v>4909</v>
      </c>
      <c r="G6775" t="s">
        <v>4909</v>
      </c>
      <c r="H6775" t="s">
        <v>4909</v>
      </c>
      <c r="I6775" t="s">
        <v>4909</v>
      </c>
      <c r="J6775" t="s">
        <v>4909</v>
      </c>
      <c r="K6775" t="s">
        <v>4909</v>
      </c>
    </row>
    <row r="6776" spans="1:11" x14ac:dyDescent="0.2">
      <c r="A6776" t="s">
        <v>4270</v>
      </c>
      <c r="B6776" t="s">
        <v>4909</v>
      </c>
      <c r="C6776" t="s">
        <v>4909</v>
      </c>
      <c r="D6776" t="s">
        <v>4909</v>
      </c>
      <c r="E6776" t="s">
        <v>4909</v>
      </c>
      <c r="F6776" t="s">
        <v>4909</v>
      </c>
      <c r="G6776" t="s">
        <v>4909</v>
      </c>
      <c r="H6776" t="s">
        <v>4909</v>
      </c>
      <c r="I6776" t="s">
        <v>4909</v>
      </c>
      <c r="J6776" t="s">
        <v>4909</v>
      </c>
      <c r="K6776" t="s">
        <v>4909</v>
      </c>
    </row>
    <row r="6777" spans="1:11" x14ac:dyDescent="0.2">
      <c r="A6777" t="s">
        <v>4271</v>
      </c>
      <c r="B6777" t="s">
        <v>4909</v>
      </c>
      <c r="C6777" t="s">
        <v>4909</v>
      </c>
      <c r="D6777" t="s">
        <v>4909</v>
      </c>
      <c r="E6777" t="s">
        <v>4909</v>
      </c>
      <c r="F6777" t="s">
        <v>4909</v>
      </c>
      <c r="G6777" t="s">
        <v>4909</v>
      </c>
      <c r="H6777" t="s">
        <v>4909</v>
      </c>
      <c r="I6777" t="s">
        <v>4909</v>
      </c>
      <c r="J6777" t="s">
        <v>4909</v>
      </c>
      <c r="K6777" t="s">
        <v>4909</v>
      </c>
    </row>
    <row r="6778" spans="1:11" x14ac:dyDescent="0.2">
      <c r="A6778" t="s">
        <v>4272</v>
      </c>
      <c r="B6778" t="s">
        <v>4909</v>
      </c>
      <c r="C6778" t="s">
        <v>4909</v>
      </c>
      <c r="D6778" t="s">
        <v>4909</v>
      </c>
      <c r="E6778" t="s">
        <v>4909</v>
      </c>
      <c r="F6778" t="s">
        <v>4909</v>
      </c>
      <c r="G6778" t="s">
        <v>4909</v>
      </c>
      <c r="H6778" t="s">
        <v>4909</v>
      </c>
      <c r="I6778" t="s">
        <v>4909</v>
      </c>
      <c r="J6778" t="s">
        <v>4909</v>
      </c>
      <c r="K6778" t="s">
        <v>4909</v>
      </c>
    </row>
    <row r="6779" spans="1:11" x14ac:dyDescent="0.2">
      <c r="A6779" t="s">
        <v>4273</v>
      </c>
      <c r="B6779" t="s">
        <v>4909</v>
      </c>
      <c r="C6779" t="s">
        <v>4909</v>
      </c>
      <c r="D6779" t="s">
        <v>4909</v>
      </c>
      <c r="E6779" t="s">
        <v>4909</v>
      </c>
      <c r="F6779" t="s">
        <v>4909</v>
      </c>
      <c r="G6779" t="s">
        <v>4909</v>
      </c>
      <c r="H6779" t="s">
        <v>4909</v>
      </c>
      <c r="I6779" t="s">
        <v>4909</v>
      </c>
      <c r="J6779" t="s">
        <v>4909</v>
      </c>
      <c r="K6779" t="s">
        <v>4909</v>
      </c>
    </row>
    <row r="6780" spans="1:11" x14ac:dyDescent="0.2">
      <c r="A6780" t="s">
        <v>4274</v>
      </c>
      <c r="B6780" t="s">
        <v>4909</v>
      </c>
      <c r="C6780" t="s">
        <v>4909</v>
      </c>
      <c r="D6780" t="s">
        <v>4909</v>
      </c>
      <c r="E6780" t="s">
        <v>4909</v>
      </c>
      <c r="F6780" t="s">
        <v>4909</v>
      </c>
      <c r="G6780" t="s">
        <v>4909</v>
      </c>
      <c r="H6780" t="s">
        <v>4909</v>
      </c>
      <c r="I6780" t="s">
        <v>4909</v>
      </c>
      <c r="J6780" t="s">
        <v>4909</v>
      </c>
      <c r="K6780" t="s">
        <v>4909</v>
      </c>
    </row>
    <row r="6781" spans="1:11" x14ac:dyDescent="0.2">
      <c r="A6781" t="s">
        <v>4275</v>
      </c>
      <c r="B6781" t="s">
        <v>4909</v>
      </c>
      <c r="C6781" t="s">
        <v>4909</v>
      </c>
      <c r="D6781" t="s">
        <v>4909</v>
      </c>
      <c r="E6781" t="s">
        <v>4909</v>
      </c>
      <c r="F6781" t="s">
        <v>4909</v>
      </c>
      <c r="G6781" t="s">
        <v>4909</v>
      </c>
      <c r="H6781" t="s">
        <v>4909</v>
      </c>
      <c r="I6781" t="s">
        <v>4909</v>
      </c>
      <c r="J6781" t="s">
        <v>4909</v>
      </c>
      <c r="K6781" t="s">
        <v>4909</v>
      </c>
    </row>
    <row r="6782" spans="1:11" x14ac:dyDescent="0.2">
      <c r="A6782" t="s">
        <v>4276</v>
      </c>
      <c r="B6782" t="s">
        <v>4909</v>
      </c>
      <c r="C6782" t="s">
        <v>4909</v>
      </c>
      <c r="D6782" t="s">
        <v>4909</v>
      </c>
      <c r="E6782" t="s">
        <v>4909</v>
      </c>
      <c r="F6782" t="s">
        <v>4909</v>
      </c>
      <c r="G6782" t="s">
        <v>4909</v>
      </c>
      <c r="H6782" t="s">
        <v>4909</v>
      </c>
      <c r="I6782" t="s">
        <v>4909</v>
      </c>
      <c r="J6782" t="s">
        <v>4909</v>
      </c>
      <c r="K6782" t="s">
        <v>4909</v>
      </c>
    </row>
    <row r="6783" spans="1:11" x14ac:dyDescent="0.2">
      <c r="A6783" t="s">
        <v>4277</v>
      </c>
      <c r="B6783" t="s">
        <v>4909</v>
      </c>
      <c r="C6783" t="s">
        <v>4909</v>
      </c>
      <c r="D6783" t="s">
        <v>4909</v>
      </c>
      <c r="E6783" t="s">
        <v>4909</v>
      </c>
      <c r="F6783" t="s">
        <v>4909</v>
      </c>
      <c r="G6783" t="s">
        <v>4909</v>
      </c>
      <c r="H6783" t="s">
        <v>4909</v>
      </c>
      <c r="I6783" t="s">
        <v>4909</v>
      </c>
      <c r="J6783" t="s">
        <v>4909</v>
      </c>
      <c r="K6783" t="s">
        <v>4909</v>
      </c>
    </row>
    <row r="6784" spans="1:11" x14ac:dyDescent="0.2">
      <c r="A6784" t="s">
        <v>4278</v>
      </c>
      <c r="B6784" t="s">
        <v>4909</v>
      </c>
      <c r="C6784" t="s">
        <v>4909</v>
      </c>
      <c r="D6784" t="s">
        <v>4909</v>
      </c>
      <c r="E6784" t="s">
        <v>4909</v>
      </c>
      <c r="F6784" t="s">
        <v>4909</v>
      </c>
      <c r="G6784" t="s">
        <v>4909</v>
      </c>
      <c r="H6784" t="s">
        <v>4909</v>
      </c>
      <c r="I6784" t="s">
        <v>4909</v>
      </c>
      <c r="J6784" t="s">
        <v>4909</v>
      </c>
      <c r="K6784" t="s">
        <v>4909</v>
      </c>
    </row>
    <row r="6785" spans="1:11" x14ac:dyDescent="0.2">
      <c r="A6785" t="s">
        <v>4279</v>
      </c>
      <c r="B6785" t="s">
        <v>4909</v>
      </c>
      <c r="C6785" t="s">
        <v>4909</v>
      </c>
      <c r="D6785" t="s">
        <v>4909</v>
      </c>
      <c r="E6785" t="s">
        <v>4909</v>
      </c>
      <c r="F6785" t="s">
        <v>4909</v>
      </c>
      <c r="G6785" t="s">
        <v>4909</v>
      </c>
      <c r="H6785" t="s">
        <v>4909</v>
      </c>
      <c r="I6785" t="s">
        <v>4909</v>
      </c>
      <c r="J6785" t="s">
        <v>4909</v>
      </c>
      <c r="K6785" t="s">
        <v>4909</v>
      </c>
    </row>
    <row r="6786" spans="1:11" x14ac:dyDescent="0.2">
      <c r="A6786" t="s">
        <v>4280</v>
      </c>
      <c r="B6786" t="s">
        <v>4909</v>
      </c>
      <c r="C6786" t="s">
        <v>4909</v>
      </c>
      <c r="D6786" t="s">
        <v>4909</v>
      </c>
      <c r="E6786" t="s">
        <v>4909</v>
      </c>
      <c r="F6786" t="s">
        <v>4909</v>
      </c>
      <c r="G6786" t="s">
        <v>4909</v>
      </c>
      <c r="H6786" t="s">
        <v>4909</v>
      </c>
      <c r="I6786" t="s">
        <v>4909</v>
      </c>
      <c r="J6786" t="s">
        <v>4909</v>
      </c>
      <c r="K6786" t="s">
        <v>4909</v>
      </c>
    </row>
    <row r="6787" spans="1:11" x14ac:dyDescent="0.2">
      <c r="A6787" t="s">
        <v>4281</v>
      </c>
      <c r="B6787" t="s">
        <v>4909</v>
      </c>
      <c r="C6787" t="s">
        <v>4909</v>
      </c>
      <c r="D6787" t="s">
        <v>4909</v>
      </c>
      <c r="E6787" s="88">
        <v>0</v>
      </c>
      <c r="F6787" s="88">
        <v>0</v>
      </c>
      <c r="G6787" t="s">
        <v>4909</v>
      </c>
      <c r="H6787" t="s">
        <v>4909</v>
      </c>
      <c r="I6787" t="s">
        <v>4909</v>
      </c>
      <c r="J6787" t="s">
        <v>4909</v>
      </c>
      <c r="K6787" t="s">
        <v>4909</v>
      </c>
    </row>
    <row r="6788" spans="1:11" x14ac:dyDescent="0.2">
      <c r="A6788" t="s">
        <v>4282</v>
      </c>
      <c r="B6788" t="s">
        <v>4909</v>
      </c>
      <c r="C6788" t="s">
        <v>4909</v>
      </c>
      <c r="D6788" t="s">
        <v>4909</v>
      </c>
      <c r="E6788" s="88">
        <v>0</v>
      </c>
      <c r="F6788" s="88">
        <v>2E-3</v>
      </c>
      <c r="G6788" t="s">
        <v>4909</v>
      </c>
      <c r="H6788" t="s">
        <v>4909</v>
      </c>
      <c r="I6788" t="s">
        <v>4909</v>
      </c>
      <c r="J6788" t="s">
        <v>4909</v>
      </c>
      <c r="K6788" t="s">
        <v>4909</v>
      </c>
    </row>
    <row r="6789" spans="1:11" x14ac:dyDescent="0.2">
      <c r="A6789" t="s">
        <v>4283</v>
      </c>
      <c r="B6789" t="s">
        <v>4909</v>
      </c>
      <c r="C6789" t="s">
        <v>4909</v>
      </c>
      <c r="D6789" t="s">
        <v>4909</v>
      </c>
      <c r="E6789" s="88">
        <v>0</v>
      </c>
      <c r="F6789" s="88">
        <v>0</v>
      </c>
      <c r="G6789" t="s">
        <v>4909</v>
      </c>
      <c r="H6789" t="s">
        <v>4909</v>
      </c>
      <c r="I6789" t="s">
        <v>4909</v>
      </c>
      <c r="J6789" t="s">
        <v>4909</v>
      </c>
      <c r="K6789" t="s">
        <v>4909</v>
      </c>
    </row>
    <row r="6790" spans="1:11" x14ac:dyDescent="0.2">
      <c r="A6790" t="s">
        <v>4284</v>
      </c>
      <c r="B6790" t="s">
        <v>4909</v>
      </c>
      <c r="C6790" t="s">
        <v>4909</v>
      </c>
      <c r="D6790" t="s">
        <v>4909</v>
      </c>
      <c r="E6790" t="s">
        <v>4909</v>
      </c>
      <c r="F6790" s="88">
        <v>0</v>
      </c>
      <c r="G6790" t="s">
        <v>4909</v>
      </c>
      <c r="H6790" t="s">
        <v>4909</v>
      </c>
      <c r="I6790" t="s">
        <v>4909</v>
      </c>
      <c r="J6790" t="s">
        <v>4909</v>
      </c>
      <c r="K6790" t="s">
        <v>4909</v>
      </c>
    </row>
    <row r="6791" spans="1:11" x14ac:dyDescent="0.2">
      <c r="A6791" t="s">
        <v>4285</v>
      </c>
      <c r="B6791" t="s">
        <v>4909</v>
      </c>
      <c r="C6791" t="s">
        <v>4909</v>
      </c>
      <c r="D6791" t="s">
        <v>4909</v>
      </c>
      <c r="E6791" s="88">
        <v>0</v>
      </c>
      <c r="F6791" s="88">
        <v>0</v>
      </c>
      <c r="G6791" t="s">
        <v>4909</v>
      </c>
      <c r="H6791" t="s">
        <v>4909</v>
      </c>
      <c r="I6791" t="s">
        <v>4909</v>
      </c>
      <c r="J6791" t="s">
        <v>4909</v>
      </c>
      <c r="K6791" t="s">
        <v>4909</v>
      </c>
    </row>
    <row r="6792" spans="1:11" x14ac:dyDescent="0.2">
      <c r="A6792" t="s">
        <v>4286</v>
      </c>
      <c r="B6792" t="s">
        <v>4909</v>
      </c>
      <c r="C6792" t="s">
        <v>4909</v>
      </c>
      <c r="D6792" t="s">
        <v>4909</v>
      </c>
      <c r="E6792" s="88">
        <v>0</v>
      </c>
      <c r="F6792" s="88">
        <v>5.0000000000000001E-3</v>
      </c>
      <c r="G6792" t="s">
        <v>4909</v>
      </c>
      <c r="H6792" t="s">
        <v>4909</v>
      </c>
      <c r="I6792" t="s">
        <v>4909</v>
      </c>
      <c r="J6792" t="s">
        <v>4909</v>
      </c>
      <c r="K6792" t="s">
        <v>4909</v>
      </c>
    </row>
    <row r="6793" spans="1:11" x14ac:dyDescent="0.2">
      <c r="A6793" t="s">
        <v>4287</v>
      </c>
      <c r="B6793" t="s">
        <v>4909</v>
      </c>
      <c r="C6793" t="s">
        <v>4909</v>
      </c>
      <c r="D6793" t="s">
        <v>4909</v>
      </c>
      <c r="E6793" t="s">
        <v>4909</v>
      </c>
      <c r="F6793" t="s">
        <v>4909</v>
      </c>
      <c r="G6793" t="s">
        <v>4909</v>
      </c>
      <c r="H6793" t="s">
        <v>4909</v>
      </c>
      <c r="I6793" t="s">
        <v>4909</v>
      </c>
      <c r="J6793" t="s">
        <v>4909</v>
      </c>
      <c r="K6793" t="s">
        <v>4909</v>
      </c>
    </row>
    <row r="6794" spans="1:11" x14ac:dyDescent="0.2">
      <c r="A6794" t="s">
        <v>4288</v>
      </c>
      <c r="B6794" t="s">
        <v>4909</v>
      </c>
      <c r="C6794" t="s">
        <v>4909</v>
      </c>
      <c r="D6794" t="s">
        <v>4909</v>
      </c>
      <c r="E6794" t="s">
        <v>4909</v>
      </c>
      <c r="F6794" t="s">
        <v>4909</v>
      </c>
      <c r="G6794" t="s">
        <v>4909</v>
      </c>
      <c r="H6794" t="s">
        <v>4909</v>
      </c>
      <c r="I6794" t="s">
        <v>4909</v>
      </c>
      <c r="J6794" t="s">
        <v>4909</v>
      </c>
      <c r="K6794" t="s">
        <v>4909</v>
      </c>
    </row>
    <row r="6795" spans="1:11" x14ac:dyDescent="0.2">
      <c r="A6795" t="s">
        <v>4289</v>
      </c>
      <c r="B6795" t="s">
        <v>4909</v>
      </c>
      <c r="C6795" t="s">
        <v>4909</v>
      </c>
      <c r="D6795" t="s">
        <v>4909</v>
      </c>
      <c r="E6795" t="s">
        <v>4909</v>
      </c>
      <c r="F6795" t="s">
        <v>4909</v>
      </c>
      <c r="G6795" t="s">
        <v>4909</v>
      </c>
      <c r="H6795" t="s">
        <v>4909</v>
      </c>
      <c r="I6795" t="s">
        <v>4909</v>
      </c>
      <c r="J6795" t="s">
        <v>4909</v>
      </c>
      <c r="K6795" t="s">
        <v>4909</v>
      </c>
    </row>
    <row r="6796" spans="1:11" x14ac:dyDescent="0.2">
      <c r="A6796" t="s">
        <v>4290</v>
      </c>
      <c r="B6796" t="s">
        <v>4909</v>
      </c>
      <c r="C6796" t="s">
        <v>4909</v>
      </c>
      <c r="D6796" t="s">
        <v>4909</v>
      </c>
      <c r="E6796" t="s">
        <v>4909</v>
      </c>
      <c r="F6796" t="s">
        <v>4909</v>
      </c>
      <c r="G6796" t="s">
        <v>4909</v>
      </c>
      <c r="H6796" t="s">
        <v>4909</v>
      </c>
      <c r="I6796" t="s">
        <v>4909</v>
      </c>
      <c r="J6796" t="s">
        <v>4909</v>
      </c>
      <c r="K6796" t="s">
        <v>4909</v>
      </c>
    </row>
    <row r="6797" spans="1:11" x14ac:dyDescent="0.2">
      <c r="A6797" t="s">
        <v>4291</v>
      </c>
      <c r="B6797" t="s">
        <v>4909</v>
      </c>
      <c r="C6797" t="s">
        <v>4909</v>
      </c>
      <c r="D6797" t="s">
        <v>4909</v>
      </c>
      <c r="E6797" t="s">
        <v>4909</v>
      </c>
      <c r="F6797" t="s">
        <v>4909</v>
      </c>
      <c r="G6797" t="s">
        <v>4909</v>
      </c>
      <c r="H6797" t="s">
        <v>4909</v>
      </c>
      <c r="I6797" t="s">
        <v>4909</v>
      </c>
      <c r="J6797" t="s">
        <v>4909</v>
      </c>
      <c r="K6797" t="s">
        <v>4909</v>
      </c>
    </row>
    <row r="6798" spans="1:11" x14ac:dyDescent="0.2">
      <c r="A6798" t="s">
        <v>4292</v>
      </c>
      <c r="B6798" t="s">
        <v>4909</v>
      </c>
      <c r="C6798" t="s">
        <v>4909</v>
      </c>
      <c r="D6798" t="s">
        <v>4909</v>
      </c>
      <c r="E6798" t="s">
        <v>4909</v>
      </c>
      <c r="F6798" t="s">
        <v>4909</v>
      </c>
      <c r="G6798" t="s">
        <v>4909</v>
      </c>
      <c r="H6798" t="s">
        <v>4909</v>
      </c>
      <c r="I6798" t="s">
        <v>4909</v>
      </c>
      <c r="J6798" t="s">
        <v>4909</v>
      </c>
      <c r="K6798" t="s">
        <v>4909</v>
      </c>
    </row>
    <row r="6799" spans="1:11" x14ac:dyDescent="0.2">
      <c r="A6799" t="s">
        <v>4293</v>
      </c>
      <c r="B6799" t="s">
        <v>4909</v>
      </c>
      <c r="C6799" t="s">
        <v>4909</v>
      </c>
      <c r="D6799" t="s">
        <v>4909</v>
      </c>
      <c r="E6799" t="s">
        <v>4909</v>
      </c>
      <c r="F6799" t="s">
        <v>4909</v>
      </c>
      <c r="G6799" t="s">
        <v>4909</v>
      </c>
      <c r="H6799" t="s">
        <v>4909</v>
      </c>
      <c r="I6799" t="s">
        <v>4909</v>
      </c>
      <c r="J6799" t="s">
        <v>4909</v>
      </c>
      <c r="K6799" t="s">
        <v>4909</v>
      </c>
    </row>
    <row r="6800" spans="1:11" x14ac:dyDescent="0.2">
      <c r="A6800" t="s">
        <v>4294</v>
      </c>
      <c r="B6800" t="s">
        <v>4909</v>
      </c>
      <c r="C6800" t="s">
        <v>4909</v>
      </c>
      <c r="D6800" t="s">
        <v>4909</v>
      </c>
      <c r="E6800" t="s">
        <v>4909</v>
      </c>
      <c r="F6800" t="s">
        <v>4909</v>
      </c>
      <c r="G6800" t="s">
        <v>4909</v>
      </c>
      <c r="H6800" t="s">
        <v>4909</v>
      </c>
      <c r="I6800" t="s">
        <v>4909</v>
      </c>
      <c r="J6800" t="s">
        <v>4909</v>
      </c>
      <c r="K6800" t="s">
        <v>4909</v>
      </c>
    </row>
    <row r="6801" spans="1:11" x14ac:dyDescent="0.2">
      <c r="A6801" t="s">
        <v>4295</v>
      </c>
      <c r="B6801" t="s">
        <v>4909</v>
      </c>
      <c r="C6801" t="s">
        <v>4909</v>
      </c>
      <c r="D6801" t="s">
        <v>4909</v>
      </c>
      <c r="E6801" t="s">
        <v>4909</v>
      </c>
      <c r="F6801" t="s">
        <v>4909</v>
      </c>
      <c r="G6801" t="s">
        <v>4909</v>
      </c>
      <c r="H6801" t="s">
        <v>4909</v>
      </c>
      <c r="I6801" t="s">
        <v>4909</v>
      </c>
      <c r="J6801" t="s">
        <v>4909</v>
      </c>
      <c r="K6801" t="s">
        <v>4909</v>
      </c>
    </row>
    <row r="6802" spans="1:11" x14ac:dyDescent="0.2">
      <c r="A6802" t="s">
        <v>4296</v>
      </c>
      <c r="B6802" t="s">
        <v>4909</v>
      </c>
      <c r="C6802" t="s">
        <v>4909</v>
      </c>
      <c r="D6802" t="s">
        <v>4909</v>
      </c>
      <c r="E6802" t="s">
        <v>4909</v>
      </c>
      <c r="F6802" t="s">
        <v>4909</v>
      </c>
      <c r="G6802" t="s">
        <v>4909</v>
      </c>
      <c r="H6802" t="s">
        <v>4909</v>
      </c>
      <c r="I6802" t="s">
        <v>4909</v>
      </c>
      <c r="J6802" t="s">
        <v>4909</v>
      </c>
      <c r="K6802" t="s">
        <v>4909</v>
      </c>
    </row>
    <row r="6803" spans="1:11" x14ac:dyDescent="0.2">
      <c r="A6803" t="s">
        <v>4297</v>
      </c>
      <c r="B6803" t="s">
        <v>4909</v>
      </c>
      <c r="C6803" t="s">
        <v>4909</v>
      </c>
      <c r="D6803" s="88">
        <v>0</v>
      </c>
      <c r="E6803" s="88">
        <v>0</v>
      </c>
      <c r="F6803" s="88">
        <v>0</v>
      </c>
      <c r="G6803" t="s">
        <v>4909</v>
      </c>
      <c r="H6803" t="s">
        <v>4909</v>
      </c>
      <c r="I6803" t="s">
        <v>4909</v>
      </c>
      <c r="J6803" t="s">
        <v>4909</v>
      </c>
      <c r="K6803" t="s">
        <v>4909</v>
      </c>
    </row>
    <row r="6804" spans="1:11" x14ac:dyDescent="0.2">
      <c r="A6804" t="s">
        <v>4298</v>
      </c>
      <c r="B6804" t="s">
        <v>4909</v>
      </c>
      <c r="C6804" t="s">
        <v>4909</v>
      </c>
      <c r="D6804" t="s">
        <v>4909</v>
      </c>
      <c r="E6804" s="88">
        <v>2E-3</v>
      </c>
      <c r="F6804" s="88">
        <v>2E-3</v>
      </c>
      <c r="G6804" t="s">
        <v>4909</v>
      </c>
      <c r="H6804" t="s">
        <v>4909</v>
      </c>
      <c r="I6804" t="s">
        <v>4909</v>
      </c>
      <c r="J6804" t="s">
        <v>4909</v>
      </c>
      <c r="K6804" t="s">
        <v>4909</v>
      </c>
    </row>
    <row r="6805" spans="1:11" x14ac:dyDescent="0.2">
      <c r="A6805" t="s">
        <v>4299</v>
      </c>
      <c r="B6805" t="s">
        <v>4909</v>
      </c>
      <c r="C6805" t="s">
        <v>4909</v>
      </c>
      <c r="D6805" t="s">
        <v>4909</v>
      </c>
      <c r="E6805" s="88">
        <v>4.0000000000000001E-3</v>
      </c>
      <c r="F6805" s="88">
        <v>5.0000000000000001E-3</v>
      </c>
      <c r="G6805" t="s">
        <v>4909</v>
      </c>
      <c r="H6805" t="s">
        <v>4909</v>
      </c>
      <c r="I6805" t="s">
        <v>4909</v>
      </c>
      <c r="J6805" t="s">
        <v>4909</v>
      </c>
      <c r="K6805" t="s">
        <v>4909</v>
      </c>
    </row>
    <row r="6806" spans="1:11" x14ac:dyDescent="0.2">
      <c r="A6806" t="s">
        <v>4300</v>
      </c>
      <c r="B6806" t="s">
        <v>4909</v>
      </c>
      <c r="C6806" t="s">
        <v>4909</v>
      </c>
      <c r="D6806" t="s">
        <v>4909</v>
      </c>
      <c r="E6806" s="88">
        <v>3.0000000000000001E-3</v>
      </c>
      <c r="F6806" s="88">
        <v>7.0000000000000001E-3</v>
      </c>
      <c r="G6806" t="s">
        <v>4909</v>
      </c>
      <c r="H6806" t="s">
        <v>4909</v>
      </c>
      <c r="I6806" t="s">
        <v>4909</v>
      </c>
      <c r="J6806" t="s">
        <v>4909</v>
      </c>
      <c r="K6806" t="s">
        <v>4909</v>
      </c>
    </row>
    <row r="6807" spans="1:11" x14ac:dyDescent="0.2">
      <c r="A6807" t="s">
        <v>4301</v>
      </c>
      <c r="B6807" t="s">
        <v>4909</v>
      </c>
      <c r="C6807" t="s">
        <v>4909</v>
      </c>
      <c r="D6807" s="88">
        <v>0</v>
      </c>
      <c r="E6807" s="88">
        <v>3.0000000000000001E-3</v>
      </c>
      <c r="F6807" s="88">
        <v>1E-3</v>
      </c>
      <c r="G6807" t="s">
        <v>4909</v>
      </c>
      <c r="H6807" t="s">
        <v>4909</v>
      </c>
      <c r="I6807" t="s">
        <v>4909</v>
      </c>
      <c r="J6807" t="s">
        <v>4909</v>
      </c>
      <c r="K6807" t="s">
        <v>4909</v>
      </c>
    </row>
    <row r="6808" spans="1:11" x14ac:dyDescent="0.2">
      <c r="A6808" t="s">
        <v>4302</v>
      </c>
      <c r="B6808" t="s">
        <v>4909</v>
      </c>
      <c r="C6808" t="s">
        <v>4909</v>
      </c>
      <c r="D6808" s="88">
        <v>0</v>
      </c>
      <c r="E6808" s="88">
        <v>1.2E-2</v>
      </c>
      <c r="F6808" s="88">
        <v>1.0999999999999999E-2</v>
      </c>
      <c r="G6808" t="s">
        <v>4909</v>
      </c>
      <c r="H6808" t="s">
        <v>4909</v>
      </c>
      <c r="I6808" t="s">
        <v>4909</v>
      </c>
      <c r="J6808" t="s">
        <v>4909</v>
      </c>
      <c r="K6808" t="s">
        <v>4909</v>
      </c>
    </row>
    <row r="6809" spans="1:11" x14ac:dyDescent="0.2">
      <c r="A6809" t="s">
        <v>4303</v>
      </c>
      <c r="B6809" t="s">
        <v>4909</v>
      </c>
      <c r="C6809" t="s">
        <v>4909</v>
      </c>
      <c r="D6809" s="88">
        <v>1E-3</v>
      </c>
      <c r="E6809" s="88">
        <v>8.0000000000000002E-3</v>
      </c>
      <c r="F6809" s="88">
        <v>0.02</v>
      </c>
      <c r="G6809" t="s">
        <v>4909</v>
      </c>
      <c r="H6809" t="s">
        <v>4909</v>
      </c>
      <c r="I6809" t="s">
        <v>4909</v>
      </c>
      <c r="J6809" t="s">
        <v>4909</v>
      </c>
      <c r="K6809" t="s">
        <v>4909</v>
      </c>
    </row>
    <row r="6810" spans="1:11" x14ac:dyDescent="0.2">
      <c r="A6810" t="s">
        <v>4304</v>
      </c>
      <c r="B6810" t="s">
        <v>4909</v>
      </c>
      <c r="C6810" t="s">
        <v>4909</v>
      </c>
      <c r="D6810" t="s">
        <v>4909</v>
      </c>
      <c r="E6810" s="88">
        <v>8.0000000000000002E-3</v>
      </c>
      <c r="F6810" s="88">
        <v>4.0000000000000001E-3</v>
      </c>
      <c r="G6810" t="s">
        <v>4909</v>
      </c>
      <c r="H6810" t="s">
        <v>4909</v>
      </c>
      <c r="I6810" t="s">
        <v>4909</v>
      </c>
      <c r="J6810" t="s">
        <v>4909</v>
      </c>
      <c r="K6810" t="s">
        <v>4909</v>
      </c>
    </row>
    <row r="6811" spans="1:11" x14ac:dyDescent="0.2">
      <c r="A6811" t="s">
        <v>4305</v>
      </c>
      <c r="B6811" s="88">
        <v>0</v>
      </c>
      <c r="C6811" t="s">
        <v>4909</v>
      </c>
      <c r="D6811" s="88">
        <v>0</v>
      </c>
      <c r="E6811" s="88">
        <v>1.9E-2</v>
      </c>
      <c r="F6811" s="88">
        <v>0.01</v>
      </c>
      <c r="G6811" t="s">
        <v>4909</v>
      </c>
      <c r="H6811" t="s">
        <v>4909</v>
      </c>
      <c r="I6811" t="s">
        <v>4909</v>
      </c>
      <c r="J6811" t="s">
        <v>4909</v>
      </c>
      <c r="K6811" t="s">
        <v>4909</v>
      </c>
    </row>
    <row r="6812" spans="1:11" x14ac:dyDescent="0.2">
      <c r="A6812" t="s">
        <v>4306</v>
      </c>
      <c r="B6812" t="s">
        <v>4909</v>
      </c>
      <c r="C6812" t="s">
        <v>4909</v>
      </c>
      <c r="D6812" t="s">
        <v>4909</v>
      </c>
      <c r="E6812" s="88">
        <v>1.4999999999999999E-2</v>
      </c>
      <c r="F6812" s="88">
        <v>1.2999999999999999E-2</v>
      </c>
      <c r="G6812" t="s">
        <v>4909</v>
      </c>
      <c r="H6812" t="s">
        <v>4909</v>
      </c>
      <c r="I6812" t="s">
        <v>4909</v>
      </c>
      <c r="J6812" t="s">
        <v>4909</v>
      </c>
      <c r="K6812" t="s">
        <v>4909</v>
      </c>
    </row>
    <row r="6813" spans="1:11" x14ac:dyDescent="0.2">
      <c r="A6813" t="s">
        <v>4307</v>
      </c>
      <c r="B6813" s="88">
        <v>0</v>
      </c>
      <c r="C6813" t="s">
        <v>4909</v>
      </c>
      <c r="D6813" s="88">
        <v>0</v>
      </c>
      <c r="E6813" s="88">
        <v>7.0000000000000001E-3</v>
      </c>
      <c r="F6813" s="88">
        <v>0.02</v>
      </c>
      <c r="G6813" t="s">
        <v>4909</v>
      </c>
      <c r="H6813" t="s">
        <v>4909</v>
      </c>
      <c r="I6813" t="s">
        <v>4909</v>
      </c>
      <c r="J6813" s="88">
        <v>0</v>
      </c>
      <c r="K6813" t="s">
        <v>4909</v>
      </c>
    </row>
    <row r="6814" spans="1:11" x14ac:dyDescent="0.2">
      <c r="A6814" t="s">
        <v>4308</v>
      </c>
      <c r="B6814" t="s">
        <v>4909</v>
      </c>
      <c r="C6814" t="s">
        <v>4909</v>
      </c>
      <c r="D6814" t="s">
        <v>4909</v>
      </c>
      <c r="E6814" s="88">
        <v>7.0000000000000001E-3</v>
      </c>
      <c r="F6814" s="88">
        <v>1.7000000000000001E-2</v>
      </c>
      <c r="G6814" t="s">
        <v>4909</v>
      </c>
      <c r="H6814" t="s">
        <v>4909</v>
      </c>
      <c r="I6814" t="s">
        <v>4909</v>
      </c>
      <c r="J6814" t="s">
        <v>4909</v>
      </c>
      <c r="K6814" t="s">
        <v>4909</v>
      </c>
    </row>
    <row r="6815" spans="1:11" x14ac:dyDescent="0.2">
      <c r="A6815" t="s">
        <v>4309</v>
      </c>
      <c r="B6815" t="s">
        <v>4909</v>
      </c>
      <c r="C6815" t="s">
        <v>4909</v>
      </c>
      <c r="D6815" t="s">
        <v>4909</v>
      </c>
      <c r="E6815" t="s">
        <v>4909</v>
      </c>
      <c r="F6815" t="s">
        <v>4909</v>
      </c>
      <c r="G6815" t="s">
        <v>4909</v>
      </c>
      <c r="H6815" t="s">
        <v>4909</v>
      </c>
      <c r="I6815" t="s">
        <v>4909</v>
      </c>
      <c r="J6815" t="s">
        <v>4909</v>
      </c>
      <c r="K6815" t="s">
        <v>4909</v>
      </c>
    </row>
    <row r="6816" spans="1:11" x14ac:dyDescent="0.2">
      <c r="A6816" t="s">
        <v>4310</v>
      </c>
      <c r="B6816" t="s">
        <v>4909</v>
      </c>
      <c r="C6816" t="s">
        <v>4909</v>
      </c>
      <c r="D6816" t="s">
        <v>4909</v>
      </c>
      <c r="E6816" t="s">
        <v>4909</v>
      </c>
      <c r="F6816" t="s">
        <v>4909</v>
      </c>
      <c r="G6816" t="s">
        <v>4909</v>
      </c>
      <c r="H6816" t="s">
        <v>4909</v>
      </c>
      <c r="I6816" t="s">
        <v>4909</v>
      </c>
      <c r="J6816" t="s">
        <v>4909</v>
      </c>
      <c r="K6816" t="s">
        <v>4909</v>
      </c>
    </row>
    <row r="6817" spans="1:11" x14ac:dyDescent="0.2">
      <c r="A6817" t="s">
        <v>4311</v>
      </c>
      <c r="B6817" t="s">
        <v>4909</v>
      </c>
      <c r="C6817" t="s">
        <v>4909</v>
      </c>
      <c r="D6817" t="s">
        <v>4909</v>
      </c>
      <c r="E6817" s="88">
        <v>0</v>
      </c>
      <c r="F6817" s="88">
        <v>0</v>
      </c>
      <c r="G6817" t="s">
        <v>4909</v>
      </c>
      <c r="H6817" t="s">
        <v>4909</v>
      </c>
      <c r="I6817" t="s">
        <v>4909</v>
      </c>
      <c r="J6817" t="s">
        <v>4909</v>
      </c>
      <c r="K6817" t="s">
        <v>4909</v>
      </c>
    </row>
    <row r="6818" spans="1:11" x14ac:dyDescent="0.2">
      <c r="A6818" t="s">
        <v>4312</v>
      </c>
      <c r="B6818" t="s">
        <v>4909</v>
      </c>
      <c r="C6818" t="s">
        <v>4909</v>
      </c>
      <c r="D6818" t="s">
        <v>4909</v>
      </c>
      <c r="E6818" t="s">
        <v>4909</v>
      </c>
      <c r="F6818" t="s">
        <v>4909</v>
      </c>
      <c r="G6818" t="s">
        <v>4909</v>
      </c>
      <c r="H6818" t="s">
        <v>4909</v>
      </c>
      <c r="I6818" t="s">
        <v>4909</v>
      </c>
      <c r="J6818" t="s">
        <v>4909</v>
      </c>
      <c r="K6818" t="s">
        <v>4909</v>
      </c>
    </row>
    <row r="6819" spans="1:11" x14ac:dyDescent="0.2">
      <c r="A6819" t="s">
        <v>4313</v>
      </c>
      <c r="B6819" t="s">
        <v>4909</v>
      </c>
      <c r="C6819" t="s">
        <v>4909</v>
      </c>
      <c r="D6819" t="s">
        <v>4909</v>
      </c>
      <c r="E6819" t="s">
        <v>4909</v>
      </c>
      <c r="F6819" t="s">
        <v>4909</v>
      </c>
      <c r="G6819" t="s">
        <v>4909</v>
      </c>
      <c r="H6819" t="s">
        <v>4909</v>
      </c>
      <c r="I6819" t="s">
        <v>4909</v>
      </c>
      <c r="J6819" t="s">
        <v>4909</v>
      </c>
      <c r="K6819" t="s">
        <v>4909</v>
      </c>
    </row>
    <row r="6820" spans="1:11" x14ac:dyDescent="0.2">
      <c r="A6820" t="s">
        <v>4314</v>
      </c>
      <c r="B6820" t="s">
        <v>4909</v>
      </c>
      <c r="C6820" t="s">
        <v>4909</v>
      </c>
      <c r="D6820" t="s">
        <v>4909</v>
      </c>
      <c r="E6820" t="s">
        <v>4909</v>
      </c>
      <c r="F6820" t="s">
        <v>4909</v>
      </c>
      <c r="G6820" t="s">
        <v>4909</v>
      </c>
      <c r="H6820" t="s">
        <v>4909</v>
      </c>
      <c r="I6820" t="s">
        <v>4909</v>
      </c>
      <c r="J6820" t="s">
        <v>4909</v>
      </c>
      <c r="K6820" t="s">
        <v>4909</v>
      </c>
    </row>
    <row r="6821" spans="1:11" x14ac:dyDescent="0.2">
      <c r="A6821" t="s">
        <v>4315</v>
      </c>
      <c r="B6821" t="s">
        <v>4909</v>
      </c>
      <c r="C6821" t="s">
        <v>4909</v>
      </c>
      <c r="D6821" t="s">
        <v>4909</v>
      </c>
      <c r="E6821" t="s">
        <v>4909</v>
      </c>
      <c r="F6821" t="s">
        <v>4909</v>
      </c>
      <c r="G6821" t="s">
        <v>4909</v>
      </c>
      <c r="H6821" t="s">
        <v>4909</v>
      </c>
      <c r="I6821" t="s">
        <v>4909</v>
      </c>
      <c r="J6821" t="s">
        <v>4909</v>
      </c>
      <c r="K6821" t="s">
        <v>4909</v>
      </c>
    </row>
    <row r="6822" spans="1:11" x14ac:dyDescent="0.2">
      <c r="A6822" t="s">
        <v>4316</v>
      </c>
      <c r="B6822" t="s">
        <v>4909</v>
      </c>
      <c r="C6822" t="s">
        <v>4909</v>
      </c>
      <c r="D6822" t="s">
        <v>4909</v>
      </c>
      <c r="E6822" t="s">
        <v>4909</v>
      </c>
      <c r="F6822" t="s">
        <v>4909</v>
      </c>
      <c r="G6822" t="s">
        <v>4909</v>
      </c>
      <c r="H6822" t="s">
        <v>4909</v>
      </c>
      <c r="I6822" t="s">
        <v>4909</v>
      </c>
      <c r="J6822" t="s">
        <v>4909</v>
      </c>
      <c r="K6822" t="s">
        <v>4909</v>
      </c>
    </row>
    <row r="6823" spans="1:11" x14ac:dyDescent="0.2">
      <c r="A6823" t="s">
        <v>4317</v>
      </c>
      <c r="B6823" t="s">
        <v>4909</v>
      </c>
      <c r="C6823" t="s">
        <v>4909</v>
      </c>
      <c r="D6823" t="s">
        <v>4909</v>
      </c>
      <c r="E6823" t="s">
        <v>4909</v>
      </c>
      <c r="F6823" t="s">
        <v>4909</v>
      </c>
      <c r="G6823" t="s">
        <v>4909</v>
      </c>
      <c r="H6823" t="s">
        <v>4909</v>
      </c>
      <c r="I6823" t="s">
        <v>4909</v>
      </c>
      <c r="J6823" t="s">
        <v>4909</v>
      </c>
      <c r="K6823" t="s">
        <v>4909</v>
      </c>
    </row>
    <row r="6824" spans="1:11" x14ac:dyDescent="0.2">
      <c r="A6824" t="s">
        <v>4318</v>
      </c>
      <c r="B6824" t="s">
        <v>4909</v>
      </c>
      <c r="C6824" t="s">
        <v>4909</v>
      </c>
      <c r="D6824" t="s">
        <v>4909</v>
      </c>
      <c r="E6824" t="s">
        <v>4909</v>
      </c>
      <c r="F6824" t="s">
        <v>4909</v>
      </c>
      <c r="G6824" t="s">
        <v>4909</v>
      </c>
      <c r="H6824" t="s">
        <v>4909</v>
      </c>
      <c r="I6824" t="s">
        <v>4909</v>
      </c>
      <c r="J6824" t="s">
        <v>4909</v>
      </c>
      <c r="K6824" t="s">
        <v>4909</v>
      </c>
    </row>
    <row r="6825" spans="1:11" x14ac:dyDescent="0.2">
      <c r="A6825" t="s">
        <v>4319</v>
      </c>
      <c r="B6825" t="s">
        <v>4909</v>
      </c>
      <c r="C6825" t="s">
        <v>4909</v>
      </c>
      <c r="D6825" t="s">
        <v>4909</v>
      </c>
      <c r="E6825" t="s">
        <v>4909</v>
      </c>
      <c r="F6825" t="s">
        <v>4909</v>
      </c>
      <c r="G6825" t="s">
        <v>4909</v>
      </c>
      <c r="H6825" t="s">
        <v>4909</v>
      </c>
      <c r="I6825" t="s">
        <v>4909</v>
      </c>
      <c r="J6825" t="s">
        <v>4909</v>
      </c>
      <c r="K6825" t="s">
        <v>4909</v>
      </c>
    </row>
    <row r="6826" spans="1:11" x14ac:dyDescent="0.2">
      <c r="A6826" t="s">
        <v>4320</v>
      </c>
      <c r="B6826" t="s">
        <v>4909</v>
      </c>
      <c r="C6826" t="s">
        <v>4909</v>
      </c>
      <c r="D6826" t="s">
        <v>4909</v>
      </c>
      <c r="E6826" t="s">
        <v>4909</v>
      </c>
      <c r="F6826" t="s">
        <v>4909</v>
      </c>
      <c r="G6826" t="s">
        <v>4909</v>
      </c>
      <c r="H6826" t="s">
        <v>4909</v>
      </c>
      <c r="I6826" t="s">
        <v>4909</v>
      </c>
      <c r="J6826" t="s">
        <v>4909</v>
      </c>
      <c r="K6826" t="s">
        <v>4909</v>
      </c>
    </row>
    <row r="6827" spans="1:11" x14ac:dyDescent="0.2">
      <c r="A6827" t="s">
        <v>4321</v>
      </c>
      <c r="B6827" t="s">
        <v>4909</v>
      </c>
      <c r="C6827" t="s">
        <v>4909</v>
      </c>
      <c r="D6827" t="s">
        <v>4909</v>
      </c>
      <c r="E6827" t="s">
        <v>4909</v>
      </c>
      <c r="F6827" t="s">
        <v>4909</v>
      </c>
      <c r="G6827" t="s">
        <v>4909</v>
      </c>
      <c r="H6827" t="s">
        <v>4909</v>
      </c>
      <c r="I6827" t="s">
        <v>4909</v>
      </c>
      <c r="J6827" t="s">
        <v>4909</v>
      </c>
      <c r="K6827" t="s">
        <v>4909</v>
      </c>
    </row>
    <row r="6828" spans="1:11" x14ac:dyDescent="0.2">
      <c r="A6828" t="s">
        <v>4322</v>
      </c>
      <c r="B6828" t="s">
        <v>4909</v>
      </c>
      <c r="C6828" t="s">
        <v>4909</v>
      </c>
      <c r="D6828" t="s">
        <v>4909</v>
      </c>
      <c r="E6828" t="s">
        <v>4909</v>
      </c>
      <c r="F6828" t="s">
        <v>4909</v>
      </c>
      <c r="G6828" t="s">
        <v>4909</v>
      </c>
      <c r="H6828" t="s">
        <v>4909</v>
      </c>
      <c r="I6828" t="s">
        <v>4909</v>
      </c>
      <c r="J6828" t="s">
        <v>4909</v>
      </c>
      <c r="K6828" t="s">
        <v>4909</v>
      </c>
    </row>
    <row r="6829" spans="1:11" x14ac:dyDescent="0.2">
      <c r="A6829" t="s">
        <v>4323</v>
      </c>
      <c r="B6829" t="s">
        <v>4909</v>
      </c>
      <c r="C6829" t="s">
        <v>4909</v>
      </c>
      <c r="D6829" t="s">
        <v>4909</v>
      </c>
      <c r="E6829" t="s">
        <v>4909</v>
      </c>
      <c r="F6829" t="s">
        <v>4909</v>
      </c>
      <c r="G6829" t="s">
        <v>4909</v>
      </c>
      <c r="H6829" t="s">
        <v>4909</v>
      </c>
      <c r="I6829" t="s">
        <v>4909</v>
      </c>
      <c r="J6829" t="s">
        <v>4909</v>
      </c>
      <c r="K6829" t="s">
        <v>4909</v>
      </c>
    </row>
    <row r="6830" spans="1:11" x14ac:dyDescent="0.2">
      <c r="A6830" t="s">
        <v>4324</v>
      </c>
      <c r="B6830" t="s">
        <v>4909</v>
      </c>
      <c r="C6830" t="s">
        <v>4909</v>
      </c>
      <c r="D6830" t="s">
        <v>4909</v>
      </c>
      <c r="E6830" t="s">
        <v>4909</v>
      </c>
      <c r="F6830" t="s">
        <v>4909</v>
      </c>
      <c r="G6830" t="s">
        <v>4909</v>
      </c>
      <c r="H6830" t="s">
        <v>4909</v>
      </c>
      <c r="I6830" t="s">
        <v>4909</v>
      </c>
      <c r="J6830" t="s">
        <v>4909</v>
      </c>
      <c r="K6830" t="s">
        <v>4909</v>
      </c>
    </row>
    <row r="6831" spans="1:11" x14ac:dyDescent="0.2">
      <c r="A6831" t="s">
        <v>4325</v>
      </c>
      <c r="B6831" t="s">
        <v>4909</v>
      </c>
      <c r="C6831" t="s">
        <v>4909</v>
      </c>
      <c r="D6831" t="s">
        <v>4909</v>
      </c>
      <c r="E6831" t="s">
        <v>4909</v>
      </c>
      <c r="F6831" t="s">
        <v>4909</v>
      </c>
      <c r="G6831" t="s">
        <v>4909</v>
      </c>
      <c r="H6831" t="s">
        <v>4909</v>
      </c>
      <c r="I6831" t="s">
        <v>4909</v>
      </c>
      <c r="J6831" t="s">
        <v>4909</v>
      </c>
      <c r="K6831" t="s">
        <v>4909</v>
      </c>
    </row>
    <row r="6832" spans="1:11" x14ac:dyDescent="0.2">
      <c r="A6832" t="s">
        <v>4326</v>
      </c>
      <c r="B6832" t="s">
        <v>4909</v>
      </c>
      <c r="C6832" t="s">
        <v>4909</v>
      </c>
      <c r="D6832" t="s">
        <v>4909</v>
      </c>
      <c r="E6832" t="s">
        <v>4909</v>
      </c>
      <c r="F6832" t="s">
        <v>4909</v>
      </c>
      <c r="G6832" t="s">
        <v>4909</v>
      </c>
      <c r="H6832" t="s">
        <v>4909</v>
      </c>
      <c r="I6832" t="s">
        <v>4909</v>
      </c>
      <c r="J6832" t="s">
        <v>4909</v>
      </c>
      <c r="K6832" t="s">
        <v>4909</v>
      </c>
    </row>
    <row r="6833" spans="1:11" x14ac:dyDescent="0.2">
      <c r="A6833" t="s">
        <v>4327</v>
      </c>
      <c r="B6833" t="s">
        <v>4909</v>
      </c>
      <c r="C6833" t="s">
        <v>4909</v>
      </c>
      <c r="D6833" t="s">
        <v>4909</v>
      </c>
      <c r="E6833" t="s">
        <v>4909</v>
      </c>
      <c r="F6833" t="s">
        <v>4909</v>
      </c>
      <c r="G6833" t="s">
        <v>4909</v>
      </c>
      <c r="H6833" t="s">
        <v>4909</v>
      </c>
      <c r="I6833" t="s">
        <v>4909</v>
      </c>
      <c r="J6833" t="s">
        <v>4909</v>
      </c>
      <c r="K6833" t="s">
        <v>4909</v>
      </c>
    </row>
    <row r="6834" spans="1:11" x14ac:dyDescent="0.2">
      <c r="A6834" t="s">
        <v>4328</v>
      </c>
      <c r="B6834" t="s">
        <v>4909</v>
      </c>
      <c r="C6834" t="s">
        <v>4909</v>
      </c>
      <c r="D6834" t="s">
        <v>4909</v>
      </c>
      <c r="E6834" t="s">
        <v>4909</v>
      </c>
      <c r="F6834" t="s">
        <v>4909</v>
      </c>
      <c r="G6834" t="s">
        <v>4909</v>
      </c>
      <c r="H6834" t="s">
        <v>4909</v>
      </c>
      <c r="I6834" t="s">
        <v>4909</v>
      </c>
      <c r="J6834" t="s">
        <v>4909</v>
      </c>
      <c r="K6834" t="s">
        <v>4909</v>
      </c>
    </row>
    <row r="6835" spans="1:11" x14ac:dyDescent="0.2">
      <c r="A6835" t="s">
        <v>4329</v>
      </c>
      <c r="B6835" t="s">
        <v>4909</v>
      </c>
      <c r="C6835" t="s">
        <v>4909</v>
      </c>
      <c r="D6835" t="s">
        <v>4909</v>
      </c>
      <c r="E6835" t="s">
        <v>4909</v>
      </c>
      <c r="F6835" t="s">
        <v>4909</v>
      </c>
      <c r="G6835" t="s">
        <v>4909</v>
      </c>
      <c r="H6835" t="s">
        <v>4909</v>
      </c>
      <c r="I6835" t="s">
        <v>4909</v>
      </c>
      <c r="J6835" t="s">
        <v>4909</v>
      </c>
      <c r="K6835" t="s">
        <v>4909</v>
      </c>
    </row>
    <row r="6836" spans="1:11" x14ac:dyDescent="0.2">
      <c r="A6836" t="s">
        <v>4330</v>
      </c>
      <c r="B6836" t="s">
        <v>4909</v>
      </c>
      <c r="C6836" t="s">
        <v>4909</v>
      </c>
      <c r="D6836" t="s">
        <v>4909</v>
      </c>
      <c r="E6836" t="s">
        <v>4909</v>
      </c>
      <c r="F6836" t="s">
        <v>4909</v>
      </c>
      <c r="G6836" t="s">
        <v>4909</v>
      </c>
      <c r="H6836" t="s">
        <v>4909</v>
      </c>
      <c r="I6836" t="s">
        <v>4909</v>
      </c>
      <c r="J6836" t="s">
        <v>4909</v>
      </c>
      <c r="K6836" t="s">
        <v>4909</v>
      </c>
    </row>
    <row r="6837" spans="1:11" x14ac:dyDescent="0.2">
      <c r="A6837" t="s">
        <v>4331</v>
      </c>
      <c r="B6837" t="s">
        <v>4909</v>
      </c>
      <c r="C6837" t="s">
        <v>4909</v>
      </c>
      <c r="D6837" t="s">
        <v>4909</v>
      </c>
      <c r="E6837" t="s">
        <v>4909</v>
      </c>
      <c r="F6837" t="s">
        <v>4909</v>
      </c>
      <c r="G6837" t="s">
        <v>4909</v>
      </c>
      <c r="H6837" t="s">
        <v>4909</v>
      </c>
      <c r="I6837" t="s">
        <v>4909</v>
      </c>
      <c r="J6837" t="s">
        <v>4909</v>
      </c>
      <c r="K6837" t="s">
        <v>4909</v>
      </c>
    </row>
    <row r="6838" spans="1:11" x14ac:dyDescent="0.2">
      <c r="A6838" t="s">
        <v>4332</v>
      </c>
      <c r="B6838" t="s">
        <v>4909</v>
      </c>
      <c r="C6838" t="s">
        <v>4909</v>
      </c>
      <c r="D6838" t="s">
        <v>4909</v>
      </c>
      <c r="E6838" t="s">
        <v>4909</v>
      </c>
      <c r="F6838" t="s">
        <v>4909</v>
      </c>
      <c r="G6838" t="s">
        <v>4909</v>
      </c>
      <c r="H6838" t="s">
        <v>4909</v>
      </c>
      <c r="I6838" t="s">
        <v>4909</v>
      </c>
      <c r="J6838" t="s">
        <v>4909</v>
      </c>
      <c r="K6838" t="s">
        <v>4909</v>
      </c>
    </row>
    <row r="6839" spans="1:11" x14ac:dyDescent="0.2">
      <c r="A6839" t="s">
        <v>4333</v>
      </c>
      <c r="B6839" t="s">
        <v>4909</v>
      </c>
      <c r="C6839" t="s">
        <v>4909</v>
      </c>
      <c r="D6839" t="s">
        <v>4909</v>
      </c>
      <c r="E6839" t="s">
        <v>4909</v>
      </c>
      <c r="F6839" t="s">
        <v>4909</v>
      </c>
      <c r="G6839" t="s">
        <v>4909</v>
      </c>
      <c r="H6839" t="s">
        <v>4909</v>
      </c>
      <c r="I6839" t="s">
        <v>4909</v>
      </c>
      <c r="J6839" t="s">
        <v>4909</v>
      </c>
      <c r="K6839" t="s">
        <v>4909</v>
      </c>
    </row>
    <row r="6840" spans="1:11" x14ac:dyDescent="0.2">
      <c r="A6840" t="s">
        <v>4334</v>
      </c>
      <c r="B6840" t="s">
        <v>4909</v>
      </c>
      <c r="C6840" t="s">
        <v>4909</v>
      </c>
      <c r="D6840" t="s">
        <v>4909</v>
      </c>
      <c r="E6840" t="s">
        <v>4909</v>
      </c>
      <c r="F6840" t="s">
        <v>4909</v>
      </c>
      <c r="G6840" t="s">
        <v>4909</v>
      </c>
      <c r="H6840" t="s">
        <v>4909</v>
      </c>
      <c r="I6840" t="s">
        <v>4909</v>
      </c>
      <c r="J6840" t="s">
        <v>4909</v>
      </c>
      <c r="K6840" t="s">
        <v>4909</v>
      </c>
    </row>
    <row r="6841" spans="1:11" x14ac:dyDescent="0.2">
      <c r="A6841" t="s">
        <v>4335</v>
      </c>
      <c r="B6841" t="s">
        <v>4909</v>
      </c>
      <c r="C6841" t="s">
        <v>4909</v>
      </c>
      <c r="D6841" t="s">
        <v>4909</v>
      </c>
      <c r="E6841" t="s">
        <v>4909</v>
      </c>
      <c r="F6841" t="s">
        <v>4909</v>
      </c>
      <c r="G6841" t="s">
        <v>4909</v>
      </c>
      <c r="H6841" t="s">
        <v>4909</v>
      </c>
      <c r="I6841" t="s">
        <v>4909</v>
      </c>
      <c r="J6841" t="s">
        <v>4909</v>
      </c>
      <c r="K6841" t="s">
        <v>4909</v>
      </c>
    </row>
    <row r="6842" spans="1:11" x14ac:dyDescent="0.2">
      <c r="A6842" t="s">
        <v>4336</v>
      </c>
      <c r="B6842" t="s">
        <v>4909</v>
      </c>
      <c r="C6842" t="s">
        <v>4909</v>
      </c>
      <c r="D6842" t="s">
        <v>4909</v>
      </c>
      <c r="E6842" t="s">
        <v>4909</v>
      </c>
      <c r="F6842" t="s">
        <v>4909</v>
      </c>
      <c r="G6842" t="s">
        <v>4909</v>
      </c>
      <c r="H6842" t="s">
        <v>4909</v>
      </c>
      <c r="I6842" t="s">
        <v>4909</v>
      </c>
      <c r="J6842" t="s">
        <v>4909</v>
      </c>
      <c r="K6842" t="s">
        <v>4909</v>
      </c>
    </row>
    <row r="6843" spans="1:11" x14ac:dyDescent="0.2">
      <c r="A6843" t="s">
        <v>4337</v>
      </c>
      <c r="B6843" t="s">
        <v>4909</v>
      </c>
      <c r="C6843" t="s">
        <v>4909</v>
      </c>
      <c r="D6843" t="s">
        <v>4909</v>
      </c>
      <c r="E6843" t="s">
        <v>4909</v>
      </c>
      <c r="F6843" t="s">
        <v>4909</v>
      </c>
      <c r="G6843" t="s">
        <v>4909</v>
      </c>
      <c r="H6843" t="s">
        <v>4909</v>
      </c>
      <c r="I6843" t="s">
        <v>4909</v>
      </c>
      <c r="J6843" t="s">
        <v>4909</v>
      </c>
      <c r="K6843" t="s">
        <v>4909</v>
      </c>
    </row>
    <row r="6844" spans="1:11" x14ac:dyDescent="0.2">
      <c r="A6844" t="s">
        <v>4338</v>
      </c>
      <c r="B6844" t="s">
        <v>4909</v>
      </c>
      <c r="C6844" t="s">
        <v>4909</v>
      </c>
      <c r="D6844" t="s">
        <v>4909</v>
      </c>
      <c r="E6844" t="s">
        <v>4909</v>
      </c>
      <c r="F6844" t="s">
        <v>4909</v>
      </c>
      <c r="G6844" t="s">
        <v>4909</v>
      </c>
      <c r="H6844" t="s">
        <v>4909</v>
      </c>
      <c r="I6844" t="s">
        <v>4909</v>
      </c>
      <c r="J6844" t="s">
        <v>4909</v>
      </c>
      <c r="K6844" t="s">
        <v>4909</v>
      </c>
    </row>
    <row r="6845" spans="1:11" x14ac:dyDescent="0.2">
      <c r="A6845" t="s">
        <v>4339</v>
      </c>
      <c r="B6845" t="s">
        <v>4909</v>
      </c>
      <c r="C6845" t="s">
        <v>4909</v>
      </c>
      <c r="D6845" t="s">
        <v>4909</v>
      </c>
      <c r="E6845" t="s">
        <v>4909</v>
      </c>
      <c r="F6845" t="s">
        <v>4909</v>
      </c>
      <c r="G6845" t="s">
        <v>4909</v>
      </c>
      <c r="H6845" t="s">
        <v>4909</v>
      </c>
      <c r="I6845" t="s">
        <v>4909</v>
      </c>
      <c r="J6845" t="s">
        <v>4909</v>
      </c>
      <c r="K6845" t="s">
        <v>4909</v>
      </c>
    </row>
    <row r="6846" spans="1:11" x14ac:dyDescent="0.2">
      <c r="A6846" t="s">
        <v>4340</v>
      </c>
      <c r="B6846" t="s">
        <v>4909</v>
      </c>
      <c r="C6846" t="s">
        <v>4909</v>
      </c>
      <c r="D6846" t="s">
        <v>4909</v>
      </c>
      <c r="E6846" t="s">
        <v>4909</v>
      </c>
      <c r="F6846" t="s">
        <v>4909</v>
      </c>
      <c r="G6846" t="s">
        <v>4909</v>
      </c>
      <c r="H6846" t="s">
        <v>4909</v>
      </c>
      <c r="I6846" t="s">
        <v>4909</v>
      </c>
      <c r="J6846" t="s">
        <v>4909</v>
      </c>
      <c r="K6846" t="s">
        <v>4909</v>
      </c>
    </row>
    <row r="6847" spans="1:11" x14ac:dyDescent="0.2">
      <c r="A6847" t="s">
        <v>4341</v>
      </c>
      <c r="B6847" t="s">
        <v>4909</v>
      </c>
      <c r="C6847" t="s">
        <v>4909</v>
      </c>
      <c r="D6847" t="s">
        <v>4909</v>
      </c>
      <c r="E6847" t="s">
        <v>4909</v>
      </c>
      <c r="F6847" t="s">
        <v>4909</v>
      </c>
      <c r="G6847" t="s">
        <v>4909</v>
      </c>
      <c r="H6847" t="s">
        <v>4909</v>
      </c>
      <c r="I6847" t="s">
        <v>4909</v>
      </c>
      <c r="J6847" t="s">
        <v>4909</v>
      </c>
      <c r="K6847" t="s">
        <v>4909</v>
      </c>
    </row>
    <row r="6848" spans="1:11" x14ac:dyDescent="0.2">
      <c r="A6848" t="s">
        <v>4342</v>
      </c>
      <c r="B6848" t="s">
        <v>4909</v>
      </c>
      <c r="C6848" t="s">
        <v>4909</v>
      </c>
      <c r="D6848" t="s">
        <v>4909</v>
      </c>
      <c r="E6848" t="s">
        <v>4909</v>
      </c>
      <c r="F6848" t="s">
        <v>4909</v>
      </c>
      <c r="G6848" t="s">
        <v>4909</v>
      </c>
      <c r="H6848" t="s">
        <v>4909</v>
      </c>
      <c r="I6848" t="s">
        <v>4909</v>
      </c>
      <c r="J6848" t="s">
        <v>4909</v>
      </c>
      <c r="K6848" t="s">
        <v>4909</v>
      </c>
    </row>
    <row r="6849" spans="1:11" x14ac:dyDescent="0.2">
      <c r="A6849" t="s">
        <v>4343</v>
      </c>
      <c r="B6849" t="s">
        <v>4909</v>
      </c>
      <c r="C6849" t="s">
        <v>4909</v>
      </c>
      <c r="D6849" t="s">
        <v>4909</v>
      </c>
      <c r="E6849" t="s">
        <v>4909</v>
      </c>
      <c r="F6849" t="s">
        <v>4909</v>
      </c>
      <c r="G6849" t="s">
        <v>4909</v>
      </c>
      <c r="H6849" t="s">
        <v>4909</v>
      </c>
      <c r="I6849" t="s">
        <v>4909</v>
      </c>
      <c r="J6849" t="s">
        <v>4909</v>
      </c>
      <c r="K6849" t="s">
        <v>4909</v>
      </c>
    </row>
    <row r="6850" spans="1:11" x14ac:dyDescent="0.2">
      <c r="A6850" t="s">
        <v>1728</v>
      </c>
      <c r="B6850" t="s">
        <v>4909</v>
      </c>
      <c r="C6850" t="s">
        <v>4909</v>
      </c>
      <c r="D6850" t="s">
        <v>4909</v>
      </c>
      <c r="E6850" t="s">
        <v>4909</v>
      </c>
      <c r="F6850" t="s">
        <v>4909</v>
      </c>
      <c r="G6850" t="s">
        <v>4909</v>
      </c>
      <c r="H6850" t="s">
        <v>4909</v>
      </c>
      <c r="I6850" t="s">
        <v>4909</v>
      </c>
      <c r="J6850" t="s">
        <v>4909</v>
      </c>
      <c r="K6850" t="s">
        <v>4909</v>
      </c>
    </row>
    <row r="6851" spans="1:11" x14ac:dyDescent="0.2">
      <c r="A6851" t="s">
        <v>1730</v>
      </c>
      <c r="B6851" t="s">
        <v>4909</v>
      </c>
      <c r="C6851" t="s">
        <v>4909</v>
      </c>
      <c r="D6851" s="88">
        <v>1E-3</v>
      </c>
      <c r="E6851" s="88">
        <v>0.01</v>
      </c>
      <c r="F6851" s="88">
        <v>2.7E-2</v>
      </c>
      <c r="G6851" t="s">
        <v>4909</v>
      </c>
      <c r="H6851" t="s">
        <v>4909</v>
      </c>
      <c r="I6851" t="s">
        <v>4909</v>
      </c>
      <c r="J6851" t="s">
        <v>4909</v>
      </c>
      <c r="K6851" t="s">
        <v>4909</v>
      </c>
    </row>
    <row r="6852" spans="1:11" x14ac:dyDescent="0.2">
      <c r="A6852" t="s">
        <v>1733</v>
      </c>
      <c r="B6852" t="s">
        <v>4909</v>
      </c>
      <c r="C6852" t="s">
        <v>4909</v>
      </c>
      <c r="D6852" t="s">
        <v>4909</v>
      </c>
      <c r="E6852" t="s">
        <v>4909</v>
      </c>
      <c r="F6852" t="s">
        <v>4909</v>
      </c>
      <c r="G6852" t="s">
        <v>4909</v>
      </c>
      <c r="H6852" t="s">
        <v>4909</v>
      </c>
      <c r="I6852" t="s">
        <v>4909</v>
      </c>
      <c r="J6852" t="s">
        <v>4909</v>
      </c>
      <c r="K6852" t="s">
        <v>4909</v>
      </c>
    </row>
    <row r="6853" spans="1:11" x14ac:dyDescent="0.2">
      <c r="A6853" t="s">
        <v>1738</v>
      </c>
      <c r="B6853" t="s">
        <v>4909</v>
      </c>
      <c r="C6853" t="s">
        <v>4909</v>
      </c>
      <c r="D6853" t="s">
        <v>4909</v>
      </c>
      <c r="E6853" t="s">
        <v>4909</v>
      </c>
      <c r="F6853" t="s">
        <v>4909</v>
      </c>
      <c r="G6853" t="s">
        <v>4909</v>
      </c>
      <c r="H6853" t="s">
        <v>4909</v>
      </c>
      <c r="I6853" t="s">
        <v>4909</v>
      </c>
      <c r="J6853" t="s">
        <v>4909</v>
      </c>
      <c r="K6853" t="s">
        <v>4909</v>
      </c>
    </row>
    <row r="6854" spans="1:11" x14ac:dyDescent="0.2">
      <c r="A6854" t="s">
        <v>1744</v>
      </c>
      <c r="B6854" t="s">
        <v>4909</v>
      </c>
      <c r="C6854" t="s">
        <v>4909</v>
      </c>
      <c r="D6854" t="s">
        <v>4909</v>
      </c>
      <c r="E6854" t="s">
        <v>4909</v>
      </c>
      <c r="F6854" t="s">
        <v>4909</v>
      </c>
      <c r="G6854" t="s">
        <v>4909</v>
      </c>
      <c r="H6854" t="s">
        <v>4909</v>
      </c>
      <c r="I6854" t="s">
        <v>4909</v>
      </c>
      <c r="J6854" t="s">
        <v>4909</v>
      </c>
      <c r="K6854" t="s">
        <v>4909</v>
      </c>
    </row>
    <row r="6855" spans="1:11" x14ac:dyDescent="0.2">
      <c r="A6855" t="s">
        <v>1747</v>
      </c>
      <c r="B6855" t="s">
        <v>4909</v>
      </c>
      <c r="C6855" t="s">
        <v>4909</v>
      </c>
      <c r="D6855" t="s">
        <v>4909</v>
      </c>
      <c r="E6855" t="s">
        <v>4909</v>
      </c>
      <c r="F6855" t="s">
        <v>4909</v>
      </c>
      <c r="G6855" t="s">
        <v>4909</v>
      </c>
      <c r="H6855" t="s">
        <v>4909</v>
      </c>
      <c r="I6855" t="s">
        <v>4909</v>
      </c>
      <c r="J6855" t="s">
        <v>4909</v>
      </c>
      <c r="K6855" t="s">
        <v>4909</v>
      </c>
    </row>
    <row r="6856" spans="1:11" x14ac:dyDescent="0.2">
      <c r="A6856" t="s">
        <v>1751</v>
      </c>
      <c r="B6856" t="s">
        <v>4909</v>
      </c>
      <c r="C6856" t="s">
        <v>4909</v>
      </c>
      <c r="D6856" t="s">
        <v>4909</v>
      </c>
      <c r="E6856" t="s">
        <v>4909</v>
      </c>
      <c r="F6856" t="s">
        <v>4909</v>
      </c>
      <c r="G6856" t="s">
        <v>4909</v>
      </c>
      <c r="H6856" t="s">
        <v>4909</v>
      </c>
      <c r="I6856" t="s">
        <v>4909</v>
      </c>
      <c r="J6856" t="s">
        <v>4909</v>
      </c>
      <c r="K6856" t="s">
        <v>4909</v>
      </c>
    </row>
    <row r="6857" spans="1:11" x14ac:dyDescent="0.2">
      <c r="A6857" t="s">
        <v>1755</v>
      </c>
      <c r="B6857" t="s">
        <v>4909</v>
      </c>
      <c r="C6857" t="s">
        <v>4909</v>
      </c>
      <c r="D6857" s="88">
        <v>0</v>
      </c>
      <c r="E6857" s="88">
        <v>4.0000000000000001E-3</v>
      </c>
      <c r="F6857" s="88">
        <v>0.01</v>
      </c>
      <c r="G6857" t="s">
        <v>4909</v>
      </c>
      <c r="H6857" t="s">
        <v>4909</v>
      </c>
      <c r="I6857" t="s">
        <v>4909</v>
      </c>
      <c r="J6857" t="s">
        <v>4909</v>
      </c>
      <c r="K6857" t="s">
        <v>4909</v>
      </c>
    </row>
    <row r="6858" spans="1:11" x14ac:dyDescent="0.2">
      <c r="A6858" t="s">
        <v>1757</v>
      </c>
      <c r="B6858" t="s">
        <v>4909</v>
      </c>
      <c r="C6858" t="s">
        <v>4909</v>
      </c>
      <c r="D6858" s="88">
        <v>0</v>
      </c>
      <c r="E6858" s="88">
        <v>3.0000000000000001E-3</v>
      </c>
      <c r="F6858" s="88">
        <v>8.9999999999999993E-3</v>
      </c>
      <c r="G6858" t="s">
        <v>4909</v>
      </c>
      <c r="H6858" t="s">
        <v>4909</v>
      </c>
      <c r="I6858" t="s">
        <v>4909</v>
      </c>
      <c r="J6858" t="s">
        <v>4909</v>
      </c>
      <c r="K6858" t="s">
        <v>4909</v>
      </c>
    </row>
    <row r="6859" spans="1:11" x14ac:dyDescent="0.2">
      <c r="A6859" t="s">
        <v>1761</v>
      </c>
      <c r="B6859" t="s">
        <v>4909</v>
      </c>
      <c r="C6859" t="s">
        <v>4909</v>
      </c>
      <c r="D6859" t="s">
        <v>4909</v>
      </c>
      <c r="E6859" t="s">
        <v>4909</v>
      </c>
      <c r="F6859" t="s">
        <v>4909</v>
      </c>
      <c r="G6859" t="s">
        <v>4909</v>
      </c>
      <c r="H6859" t="s">
        <v>4909</v>
      </c>
      <c r="I6859" t="s">
        <v>4909</v>
      </c>
      <c r="J6859" t="s">
        <v>4909</v>
      </c>
      <c r="K6859" t="s">
        <v>4909</v>
      </c>
    </row>
    <row r="6860" spans="1:11" x14ac:dyDescent="0.2">
      <c r="A6860" t="s">
        <v>1764</v>
      </c>
      <c r="B6860" t="s">
        <v>4909</v>
      </c>
      <c r="C6860" t="s">
        <v>4909</v>
      </c>
      <c r="D6860" t="s">
        <v>4909</v>
      </c>
      <c r="E6860" t="s">
        <v>4909</v>
      </c>
      <c r="F6860" t="s">
        <v>4909</v>
      </c>
      <c r="G6860" t="s">
        <v>4909</v>
      </c>
      <c r="H6860" t="s">
        <v>4909</v>
      </c>
      <c r="I6860" t="s">
        <v>4909</v>
      </c>
      <c r="J6860" t="s">
        <v>4909</v>
      </c>
      <c r="K6860" t="s">
        <v>4909</v>
      </c>
    </row>
    <row r="6861" spans="1:11" x14ac:dyDescent="0.2">
      <c r="A6861" t="s">
        <v>1770</v>
      </c>
      <c r="B6861" s="88">
        <v>0</v>
      </c>
      <c r="C6861" t="s">
        <v>4909</v>
      </c>
      <c r="D6861" s="88">
        <v>0</v>
      </c>
      <c r="E6861" s="88">
        <v>2.4E-2</v>
      </c>
      <c r="F6861" s="88">
        <v>0.02</v>
      </c>
      <c r="G6861" t="s">
        <v>4909</v>
      </c>
      <c r="H6861" t="s">
        <v>4909</v>
      </c>
      <c r="I6861" t="s">
        <v>4909</v>
      </c>
      <c r="J6861" s="88">
        <v>0</v>
      </c>
      <c r="K6861" t="s">
        <v>4909</v>
      </c>
    </row>
    <row r="6862" spans="1:11" x14ac:dyDescent="0.2">
      <c r="A6862" t="s">
        <v>1772</v>
      </c>
      <c r="B6862" t="s">
        <v>4909</v>
      </c>
      <c r="C6862" t="s">
        <v>4909</v>
      </c>
      <c r="D6862" s="88">
        <v>0</v>
      </c>
      <c r="E6862" s="88">
        <v>2.8000000000000001E-2</v>
      </c>
      <c r="F6862" s="88">
        <v>1.4999999999999999E-2</v>
      </c>
      <c r="G6862" t="s">
        <v>4909</v>
      </c>
      <c r="H6862" t="s">
        <v>4909</v>
      </c>
      <c r="I6862" t="s">
        <v>4909</v>
      </c>
      <c r="J6862" t="s">
        <v>4909</v>
      </c>
      <c r="K6862" t="s">
        <v>4909</v>
      </c>
    </row>
    <row r="6863" spans="1:11" x14ac:dyDescent="0.2">
      <c r="A6863" t="s">
        <v>1774</v>
      </c>
      <c r="B6863" t="s">
        <v>4909</v>
      </c>
      <c r="C6863" t="s">
        <v>4909</v>
      </c>
      <c r="D6863" t="s">
        <v>4909</v>
      </c>
      <c r="E6863" s="88">
        <v>5.0000000000000001E-3</v>
      </c>
      <c r="F6863" s="88">
        <v>5.0000000000000001E-3</v>
      </c>
      <c r="G6863" t="s">
        <v>4909</v>
      </c>
      <c r="H6863" t="s">
        <v>4909</v>
      </c>
      <c r="I6863" t="s">
        <v>4909</v>
      </c>
      <c r="J6863" t="s">
        <v>4909</v>
      </c>
      <c r="K6863" t="s">
        <v>4909</v>
      </c>
    </row>
    <row r="6864" spans="1:11" x14ac:dyDescent="0.2">
      <c r="A6864" t="s">
        <v>1777</v>
      </c>
      <c r="B6864" t="s">
        <v>4909</v>
      </c>
      <c r="C6864" t="s">
        <v>4909</v>
      </c>
      <c r="D6864" t="s">
        <v>4909</v>
      </c>
      <c r="E6864" t="s">
        <v>4909</v>
      </c>
      <c r="F6864" t="s">
        <v>4909</v>
      </c>
      <c r="G6864" t="s">
        <v>4909</v>
      </c>
      <c r="H6864" t="s">
        <v>4909</v>
      </c>
      <c r="I6864" t="s">
        <v>4909</v>
      </c>
      <c r="J6864" t="s">
        <v>4909</v>
      </c>
      <c r="K6864" t="s">
        <v>4909</v>
      </c>
    </row>
    <row r="6865" spans="1:11" x14ac:dyDescent="0.2">
      <c r="A6865" t="s">
        <v>1782</v>
      </c>
      <c r="B6865" t="s">
        <v>4909</v>
      </c>
      <c r="C6865" t="s">
        <v>4909</v>
      </c>
      <c r="D6865" t="s">
        <v>4909</v>
      </c>
      <c r="E6865" t="s">
        <v>4909</v>
      </c>
      <c r="F6865" t="s">
        <v>4909</v>
      </c>
      <c r="G6865" t="s">
        <v>4909</v>
      </c>
      <c r="H6865" t="s">
        <v>4909</v>
      </c>
      <c r="I6865" t="s">
        <v>4909</v>
      </c>
      <c r="J6865" t="s">
        <v>4909</v>
      </c>
      <c r="K6865" t="s">
        <v>4909</v>
      </c>
    </row>
    <row r="6866" spans="1:11" x14ac:dyDescent="0.2">
      <c r="A6866" t="s">
        <v>1274</v>
      </c>
      <c r="B6866" t="s">
        <v>4909</v>
      </c>
      <c r="C6866" t="s">
        <v>4909</v>
      </c>
      <c r="D6866" t="s">
        <v>4909</v>
      </c>
      <c r="E6866" s="88">
        <v>0</v>
      </c>
      <c r="F6866" s="88">
        <v>1E-3</v>
      </c>
      <c r="G6866" t="s">
        <v>4909</v>
      </c>
      <c r="H6866" t="s">
        <v>4909</v>
      </c>
      <c r="I6866" t="s">
        <v>4909</v>
      </c>
      <c r="J6866" t="s">
        <v>4909</v>
      </c>
      <c r="K6866" t="s">
        <v>4909</v>
      </c>
    </row>
    <row r="6867" spans="1:11" x14ac:dyDescent="0.2">
      <c r="A6867" t="s">
        <v>1277</v>
      </c>
      <c r="B6867" t="s">
        <v>4909</v>
      </c>
      <c r="C6867" t="s">
        <v>4909</v>
      </c>
      <c r="D6867" s="88">
        <v>0</v>
      </c>
      <c r="E6867" s="88">
        <v>0</v>
      </c>
      <c r="F6867" s="88">
        <v>1E-3</v>
      </c>
      <c r="G6867" t="s">
        <v>4909</v>
      </c>
      <c r="H6867" t="s">
        <v>4909</v>
      </c>
      <c r="I6867" t="s">
        <v>4909</v>
      </c>
      <c r="J6867" t="s">
        <v>4909</v>
      </c>
      <c r="K6867" t="s">
        <v>4909</v>
      </c>
    </row>
    <row r="6868" spans="1:11" x14ac:dyDescent="0.2">
      <c r="A6868" t="s">
        <v>1798</v>
      </c>
      <c r="B6868" t="s">
        <v>4909</v>
      </c>
      <c r="C6868" t="s">
        <v>4909</v>
      </c>
      <c r="D6868" t="s">
        <v>4909</v>
      </c>
      <c r="E6868" t="s">
        <v>4909</v>
      </c>
      <c r="F6868" t="s">
        <v>4909</v>
      </c>
      <c r="G6868" t="s">
        <v>4909</v>
      </c>
      <c r="H6868" t="s">
        <v>4909</v>
      </c>
      <c r="I6868" t="s">
        <v>4909</v>
      </c>
      <c r="J6868" t="s">
        <v>4909</v>
      </c>
      <c r="K6868" t="s">
        <v>4909</v>
      </c>
    </row>
    <row r="6869" spans="1:11" x14ac:dyDescent="0.2">
      <c r="A6869" t="s">
        <v>1803</v>
      </c>
      <c r="B6869" t="s">
        <v>4909</v>
      </c>
      <c r="C6869" t="s">
        <v>4909</v>
      </c>
      <c r="D6869" t="s">
        <v>4909</v>
      </c>
      <c r="E6869" t="s">
        <v>4909</v>
      </c>
      <c r="F6869" t="s">
        <v>4909</v>
      </c>
      <c r="G6869" t="s">
        <v>4909</v>
      </c>
      <c r="H6869" t="s">
        <v>4909</v>
      </c>
      <c r="I6869" t="s">
        <v>4909</v>
      </c>
      <c r="J6869" t="s">
        <v>4909</v>
      </c>
      <c r="K6869" t="s">
        <v>4909</v>
      </c>
    </row>
    <row r="6870" spans="1:11" x14ac:dyDescent="0.2">
      <c r="A6870" t="s">
        <v>1808</v>
      </c>
      <c r="B6870" t="s">
        <v>4909</v>
      </c>
      <c r="C6870" t="s">
        <v>4909</v>
      </c>
      <c r="D6870" t="s">
        <v>4909</v>
      </c>
      <c r="E6870" t="s">
        <v>4909</v>
      </c>
      <c r="F6870" t="s">
        <v>4909</v>
      </c>
      <c r="G6870" t="s">
        <v>4909</v>
      </c>
      <c r="H6870" t="s">
        <v>4909</v>
      </c>
      <c r="I6870" t="s">
        <v>4909</v>
      </c>
      <c r="J6870" t="s">
        <v>4909</v>
      </c>
      <c r="K6870" t="s">
        <v>4909</v>
      </c>
    </row>
    <row r="6871" spans="1:11" x14ac:dyDescent="0.2">
      <c r="A6871" t="s">
        <v>1813</v>
      </c>
      <c r="B6871" t="s">
        <v>4909</v>
      </c>
      <c r="C6871" t="s">
        <v>4909</v>
      </c>
      <c r="D6871" t="s">
        <v>4909</v>
      </c>
      <c r="E6871" t="s">
        <v>4909</v>
      </c>
      <c r="F6871" t="s">
        <v>4909</v>
      </c>
      <c r="G6871" t="s">
        <v>4909</v>
      </c>
      <c r="H6871" t="s">
        <v>4909</v>
      </c>
      <c r="I6871" t="s">
        <v>4909</v>
      </c>
      <c r="J6871" t="s">
        <v>4909</v>
      </c>
      <c r="K6871" t="s">
        <v>4909</v>
      </c>
    </row>
    <row r="6872" spans="1:11" x14ac:dyDescent="0.2">
      <c r="A6872" t="s">
        <v>1819</v>
      </c>
      <c r="B6872" t="s">
        <v>4909</v>
      </c>
      <c r="C6872" t="s">
        <v>4909</v>
      </c>
      <c r="D6872" t="s">
        <v>4909</v>
      </c>
      <c r="E6872" t="s">
        <v>4909</v>
      </c>
      <c r="F6872" t="s">
        <v>4909</v>
      </c>
      <c r="G6872" t="s">
        <v>4909</v>
      </c>
      <c r="H6872" t="s">
        <v>4909</v>
      </c>
      <c r="I6872" t="s">
        <v>4909</v>
      </c>
      <c r="J6872" t="s">
        <v>4909</v>
      </c>
      <c r="K6872" t="s">
        <v>4909</v>
      </c>
    </row>
    <row r="6873" spans="1:11" x14ac:dyDescent="0.2">
      <c r="A6873" t="s">
        <v>1826</v>
      </c>
      <c r="B6873" t="s">
        <v>4909</v>
      </c>
      <c r="C6873" t="s">
        <v>4909</v>
      </c>
      <c r="D6873" t="s">
        <v>4909</v>
      </c>
      <c r="E6873" t="s">
        <v>4909</v>
      </c>
      <c r="F6873" t="s">
        <v>4909</v>
      </c>
      <c r="G6873" t="s">
        <v>4909</v>
      </c>
      <c r="H6873" t="s">
        <v>4909</v>
      </c>
      <c r="I6873" t="s">
        <v>4909</v>
      </c>
      <c r="J6873" t="s">
        <v>4909</v>
      </c>
      <c r="K6873" t="s">
        <v>4909</v>
      </c>
    </row>
    <row r="6874" spans="1:11" x14ac:dyDescent="0.2">
      <c r="A6874" t="s">
        <v>1830</v>
      </c>
      <c r="B6874" t="s">
        <v>4909</v>
      </c>
      <c r="C6874" t="s">
        <v>4909</v>
      </c>
      <c r="D6874" t="s">
        <v>4909</v>
      </c>
      <c r="E6874" t="s">
        <v>4909</v>
      </c>
      <c r="F6874" t="s">
        <v>4909</v>
      </c>
      <c r="G6874" t="s">
        <v>4909</v>
      </c>
      <c r="H6874" t="s">
        <v>4909</v>
      </c>
      <c r="I6874" t="s">
        <v>4909</v>
      </c>
      <c r="J6874" t="s">
        <v>4909</v>
      </c>
      <c r="K6874" t="s">
        <v>4909</v>
      </c>
    </row>
    <row r="6875" spans="1:11" x14ac:dyDescent="0.2">
      <c r="A6875" t="s">
        <v>1836</v>
      </c>
      <c r="B6875" t="s">
        <v>4909</v>
      </c>
      <c r="C6875" t="s">
        <v>4909</v>
      </c>
      <c r="D6875" t="s">
        <v>4909</v>
      </c>
      <c r="E6875" t="s">
        <v>4909</v>
      </c>
      <c r="F6875" t="s">
        <v>4909</v>
      </c>
      <c r="G6875" t="s">
        <v>4909</v>
      </c>
      <c r="H6875" t="s">
        <v>4909</v>
      </c>
      <c r="I6875" t="s">
        <v>4909</v>
      </c>
      <c r="J6875" t="s">
        <v>4909</v>
      </c>
      <c r="K6875" t="s">
        <v>4909</v>
      </c>
    </row>
    <row r="6876" spans="1:11" x14ac:dyDescent="0.2">
      <c r="A6876" t="s">
        <v>1841</v>
      </c>
      <c r="B6876" t="s">
        <v>4909</v>
      </c>
      <c r="C6876" t="s">
        <v>4909</v>
      </c>
      <c r="D6876" t="s">
        <v>4909</v>
      </c>
      <c r="E6876" t="s">
        <v>4909</v>
      </c>
      <c r="F6876" t="s">
        <v>4909</v>
      </c>
      <c r="G6876" t="s">
        <v>4909</v>
      </c>
      <c r="H6876" t="s">
        <v>4909</v>
      </c>
      <c r="I6876" t="s">
        <v>4909</v>
      </c>
      <c r="J6876" t="s">
        <v>4909</v>
      </c>
      <c r="K6876" t="s">
        <v>4909</v>
      </c>
    </row>
    <row r="6877" spans="1:11" x14ac:dyDescent="0.2">
      <c r="A6877" t="s">
        <v>1842</v>
      </c>
      <c r="B6877" s="88">
        <v>0</v>
      </c>
      <c r="C6877" t="s">
        <v>4909</v>
      </c>
      <c r="D6877" s="88">
        <v>2E-3</v>
      </c>
      <c r="E6877" s="88">
        <v>1.7999999999999999E-2</v>
      </c>
      <c r="F6877" s="88">
        <v>0.05</v>
      </c>
      <c r="G6877" t="s">
        <v>4909</v>
      </c>
      <c r="H6877" t="s">
        <v>4909</v>
      </c>
      <c r="I6877" t="s">
        <v>4909</v>
      </c>
      <c r="J6877" s="88">
        <v>0</v>
      </c>
      <c r="K6877" t="s">
        <v>4909</v>
      </c>
    </row>
    <row r="6878" spans="1:11" x14ac:dyDescent="0.2">
      <c r="A6878" t="s">
        <v>1843</v>
      </c>
      <c r="B6878" t="s">
        <v>4909</v>
      </c>
      <c r="C6878" t="s">
        <v>4909</v>
      </c>
      <c r="D6878" t="s">
        <v>4909</v>
      </c>
      <c r="E6878" t="s">
        <v>4909</v>
      </c>
      <c r="F6878" t="s">
        <v>4909</v>
      </c>
      <c r="G6878" t="s">
        <v>4909</v>
      </c>
      <c r="H6878" t="s">
        <v>4909</v>
      </c>
      <c r="I6878" t="s">
        <v>4909</v>
      </c>
      <c r="J6878" t="s">
        <v>4909</v>
      </c>
      <c r="K6878" t="s">
        <v>4909</v>
      </c>
    </row>
    <row r="6879" spans="1:11" x14ac:dyDescent="0.2">
      <c r="A6879" t="s">
        <v>1846</v>
      </c>
      <c r="B6879" t="s">
        <v>4909</v>
      </c>
      <c r="C6879" t="s">
        <v>4909</v>
      </c>
      <c r="D6879" t="s">
        <v>4909</v>
      </c>
      <c r="E6879" t="s">
        <v>4909</v>
      </c>
      <c r="F6879" s="88">
        <v>7.0000000000000001E-3</v>
      </c>
      <c r="G6879" t="s">
        <v>4909</v>
      </c>
      <c r="H6879" t="s">
        <v>4909</v>
      </c>
      <c r="I6879" t="s">
        <v>4909</v>
      </c>
      <c r="J6879" t="s">
        <v>4909</v>
      </c>
      <c r="K6879" t="s">
        <v>4909</v>
      </c>
    </row>
    <row r="6880" spans="1:11" x14ac:dyDescent="0.2">
      <c r="A6880" t="s">
        <v>1851</v>
      </c>
      <c r="B6880" s="88">
        <v>0</v>
      </c>
      <c r="C6880" t="s">
        <v>4909</v>
      </c>
      <c r="D6880" s="88">
        <v>0</v>
      </c>
      <c r="E6880" s="88">
        <v>2E-3</v>
      </c>
      <c r="F6880" s="88">
        <v>6.0000000000000001E-3</v>
      </c>
      <c r="G6880" t="s">
        <v>4909</v>
      </c>
      <c r="H6880" t="s">
        <v>4909</v>
      </c>
      <c r="I6880" t="s">
        <v>4909</v>
      </c>
      <c r="J6880" s="88">
        <v>0</v>
      </c>
      <c r="K6880" t="s">
        <v>4909</v>
      </c>
    </row>
    <row r="6881" spans="1:11" x14ac:dyDescent="0.2">
      <c r="A6881" t="s">
        <v>1857</v>
      </c>
      <c r="B6881" t="s">
        <v>4909</v>
      </c>
      <c r="C6881" t="s">
        <v>4909</v>
      </c>
      <c r="D6881" t="s">
        <v>4909</v>
      </c>
      <c r="E6881" t="s">
        <v>4909</v>
      </c>
      <c r="F6881" t="s">
        <v>4909</v>
      </c>
      <c r="G6881" t="s">
        <v>4909</v>
      </c>
      <c r="H6881" t="s">
        <v>4909</v>
      </c>
      <c r="I6881" t="s">
        <v>4909</v>
      </c>
      <c r="J6881" t="s">
        <v>4909</v>
      </c>
      <c r="K6881" t="s">
        <v>4909</v>
      </c>
    </row>
    <row r="6882" spans="1:11" x14ac:dyDescent="0.2">
      <c r="A6882" t="s">
        <v>1862</v>
      </c>
      <c r="B6882" t="s">
        <v>4909</v>
      </c>
      <c r="C6882" t="s">
        <v>4909</v>
      </c>
      <c r="D6882" t="s">
        <v>4909</v>
      </c>
      <c r="E6882" t="s">
        <v>4909</v>
      </c>
      <c r="F6882" t="s">
        <v>4909</v>
      </c>
      <c r="G6882" t="s">
        <v>4909</v>
      </c>
      <c r="H6882" t="s">
        <v>4909</v>
      </c>
      <c r="I6882" t="s">
        <v>4909</v>
      </c>
      <c r="J6882" t="s">
        <v>4909</v>
      </c>
      <c r="K6882" t="s">
        <v>4909</v>
      </c>
    </row>
    <row r="6883" spans="1:11" x14ac:dyDescent="0.2">
      <c r="A6883" t="s">
        <v>1867</v>
      </c>
      <c r="B6883" t="s">
        <v>4909</v>
      </c>
      <c r="C6883" t="s">
        <v>4909</v>
      </c>
      <c r="D6883" t="s">
        <v>4909</v>
      </c>
      <c r="E6883" t="s">
        <v>4909</v>
      </c>
      <c r="F6883" t="s">
        <v>4909</v>
      </c>
      <c r="G6883" t="s">
        <v>4909</v>
      </c>
      <c r="H6883" t="s">
        <v>4909</v>
      </c>
      <c r="I6883" t="s">
        <v>4909</v>
      </c>
      <c r="J6883" t="s">
        <v>4909</v>
      </c>
      <c r="K6883" t="s">
        <v>4909</v>
      </c>
    </row>
    <row r="6884" spans="1:11" x14ac:dyDescent="0.2">
      <c r="A6884" t="s">
        <v>1870</v>
      </c>
      <c r="B6884" t="s">
        <v>4909</v>
      </c>
      <c r="C6884" t="s">
        <v>4909</v>
      </c>
      <c r="D6884" t="s">
        <v>4909</v>
      </c>
      <c r="E6884" t="s">
        <v>4909</v>
      </c>
      <c r="F6884" t="s">
        <v>4909</v>
      </c>
      <c r="G6884" t="s">
        <v>4909</v>
      </c>
      <c r="H6884" t="s">
        <v>4909</v>
      </c>
      <c r="I6884" t="s">
        <v>4909</v>
      </c>
      <c r="J6884" t="s">
        <v>4909</v>
      </c>
      <c r="K6884" t="s">
        <v>4909</v>
      </c>
    </row>
    <row r="6885" spans="1:11" x14ac:dyDescent="0.2">
      <c r="A6885" t="s">
        <v>1874</v>
      </c>
      <c r="B6885" t="s">
        <v>4909</v>
      </c>
      <c r="C6885" t="s">
        <v>4909</v>
      </c>
      <c r="D6885" s="88">
        <v>0</v>
      </c>
      <c r="E6885" s="88">
        <v>3.0000000000000001E-3</v>
      </c>
      <c r="F6885" s="88">
        <v>8.9999999999999993E-3</v>
      </c>
      <c r="G6885" t="s">
        <v>4909</v>
      </c>
      <c r="H6885" t="s">
        <v>4909</v>
      </c>
      <c r="I6885" t="s">
        <v>4909</v>
      </c>
      <c r="J6885" t="s">
        <v>4909</v>
      </c>
      <c r="K6885" t="s">
        <v>4909</v>
      </c>
    </row>
    <row r="6886" spans="1:11" x14ac:dyDescent="0.2">
      <c r="A6886" t="s">
        <v>1876</v>
      </c>
      <c r="B6886" t="s">
        <v>4909</v>
      </c>
      <c r="C6886" t="s">
        <v>4909</v>
      </c>
      <c r="D6886" t="s">
        <v>4909</v>
      </c>
      <c r="E6886" t="s">
        <v>4909</v>
      </c>
      <c r="F6886" t="s">
        <v>4909</v>
      </c>
      <c r="G6886" t="s">
        <v>4909</v>
      </c>
      <c r="H6886" t="s">
        <v>4909</v>
      </c>
      <c r="I6886" t="s">
        <v>4909</v>
      </c>
      <c r="J6886" t="s">
        <v>4909</v>
      </c>
      <c r="K6886" t="s">
        <v>4909</v>
      </c>
    </row>
    <row r="6887" spans="1:11" x14ac:dyDescent="0.2">
      <c r="A6887" t="s">
        <v>1881</v>
      </c>
      <c r="B6887" t="s">
        <v>4909</v>
      </c>
      <c r="C6887" t="s">
        <v>4909</v>
      </c>
      <c r="D6887" t="s">
        <v>4909</v>
      </c>
      <c r="E6887" t="s">
        <v>4909</v>
      </c>
      <c r="F6887" t="s">
        <v>4909</v>
      </c>
      <c r="G6887" t="s">
        <v>4909</v>
      </c>
      <c r="H6887" t="s">
        <v>4909</v>
      </c>
      <c r="I6887" t="s">
        <v>4909</v>
      </c>
      <c r="J6887" t="s">
        <v>4909</v>
      </c>
      <c r="K6887" t="s">
        <v>4909</v>
      </c>
    </row>
    <row r="6888" spans="1:11" x14ac:dyDescent="0.2">
      <c r="A6888" t="s">
        <v>1885</v>
      </c>
      <c r="B6888" s="88">
        <v>1E-3</v>
      </c>
      <c r="C6888" t="s">
        <v>4909</v>
      </c>
      <c r="D6888" s="88">
        <v>3.0000000000000001E-3</v>
      </c>
      <c r="E6888" s="88">
        <v>2.8000000000000001E-2</v>
      </c>
      <c r="F6888" s="88">
        <v>8.5999999999999993E-2</v>
      </c>
      <c r="G6888" t="s">
        <v>4909</v>
      </c>
      <c r="H6888" t="s">
        <v>4909</v>
      </c>
      <c r="I6888" t="s">
        <v>4909</v>
      </c>
      <c r="J6888" s="88">
        <v>0</v>
      </c>
      <c r="K6888" t="s">
        <v>4909</v>
      </c>
    </row>
    <row r="6889" spans="1:11" x14ac:dyDescent="0.2">
      <c r="A6889" t="s">
        <v>1887</v>
      </c>
      <c r="B6889" s="88">
        <v>0</v>
      </c>
      <c r="C6889" t="s">
        <v>4909</v>
      </c>
      <c r="D6889" s="88">
        <v>3.0000000000000001E-3</v>
      </c>
      <c r="E6889" s="88">
        <v>3.4000000000000002E-2</v>
      </c>
      <c r="F6889" s="88">
        <v>0.106</v>
      </c>
      <c r="G6889" t="s">
        <v>4909</v>
      </c>
      <c r="H6889" t="s">
        <v>4909</v>
      </c>
      <c r="I6889" t="s">
        <v>4909</v>
      </c>
      <c r="J6889" t="s">
        <v>4909</v>
      </c>
      <c r="K6889" t="s">
        <v>4909</v>
      </c>
    </row>
    <row r="6890" spans="1:11" x14ac:dyDescent="0.2">
      <c r="A6890" t="s">
        <v>1893</v>
      </c>
      <c r="B6890" s="88">
        <v>0</v>
      </c>
      <c r="C6890" t="s">
        <v>4909</v>
      </c>
      <c r="D6890" s="88">
        <v>3.0000000000000001E-3</v>
      </c>
      <c r="E6890" s="88">
        <v>2.9000000000000001E-2</v>
      </c>
      <c r="F6890" s="88">
        <v>9.7000000000000003E-2</v>
      </c>
      <c r="G6890" t="s">
        <v>4909</v>
      </c>
      <c r="H6890" t="s">
        <v>4909</v>
      </c>
      <c r="I6890" t="s">
        <v>4909</v>
      </c>
      <c r="J6890" s="88">
        <v>0</v>
      </c>
      <c r="K6890" t="s">
        <v>4909</v>
      </c>
    </row>
    <row r="6891" spans="1:11" x14ac:dyDescent="0.2">
      <c r="A6891" t="s">
        <v>1899</v>
      </c>
      <c r="B6891" t="s">
        <v>4909</v>
      </c>
      <c r="C6891" t="s">
        <v>4909</v>
      </c>
      <c r="D6891" t="s">
        <v>4909</v>
      </c>
      <c r="E6891" t="s">
        <v>4909</v>
      </c>
      <c r="F6891" t="s">
        <v>4909</v>
      </c>
      <c r="G6891" t="s">
        <v>4909</v>
      </c>
      <c r="H6891" t="s">
        <v>4909</v>
      </c>
      <c r="I6891" t="s">
        <v>4909</v>
      </c>
      <c r="J6891" t="s">
        <v>4909</v>
      </c>
      <c r="K6891" t="s">
        <v>4909</v>
      </c>
    </row>
    <row r="6892" spans="1:11" x14ac:dyDescent="0.2">
      <c r="A6892" t="s">
        <v>1906</v>
      </c>
      <c r="B6892" t="s">
        <v>4909</v>
      </c>
      <c r="C6892" t="s">
        <v>4909</v>
      </c>
      <c r="D6892" t="s">
        <v>4909</v>
      </c>
      <c r="E6892" t="s">
        <v>4909</v>
      </c>
      <c r="F6892" t="s">
        <v>4909</v>
      </c>
      <c r="G6892" t="s">
        <v>4909</v>
      </c>
      <c r="H6892" t="s">
        <v>4909</v>
      </c>
      <c r="I6892" t="s">
        <v>4909</v>
      </c>
      <c r="J6892" t="s">
        <v>4909</v>
      </c>
      <c r="K6892" t="s">
        <v>4909</v>
      </c>
    </row>
    <row r="6893" spans="1:11" x14ac:dyDescent="0.2">
      <c r="A6893" t="s">
        <v>1911</v>
      </c>
      <c r="B6893" t="s">
        <v>4909</v>
      </c>
      <c r="C6893" t="s">
        <v>4909</v>
      </c>
      <c r="D6893" t="s">
        <v>4909</v>
      </c>
      <c r="E6893" t="s">
        <v>4909</v>
      </c>
      <c r="F6893" t="s">
        <v>4909</v>
      </c>
      <c r="G6893" t="s">
        <v>4909</v>
      </c>
      <c r="H6893" t="s">
        <v>4909</v>
      </c>
      <c r="I6893" t="s">
        <v>4909</v>
      </c>
      <c r="J6893" t="s">
        <v>4909</v>
      </c>
      <c r="K6893" t="s">
        <v>4909</v>
      </c>
    </row>
    <row r="6894" spans="1:11" x14ac:dyDescent="0.2">
      <c r="A6894" t="s">
        <v>1917</v>
      </c>
      <c r="B6894" t="s">
        <v>4909</v>
      </c>
      <c r="C6894" t="s">
        <v>4909</v>
      </c>
      <c r="D6894" s="88">
        <v>0</v>
      </c>
      <c r="E6894" s="88">
        <v>4.0000000000000001E-3</v>
      </c>
      <c r="F6894" s="88">
        <v>1.2E-2</v>
      </c>
      <c r="G6894" t="s">
        <v>4909</v>
      </c>
      <c r="H6894" t="s">
        <v>4909</v>
      </c>
      <c r="I6894" t="s">
        <v>4909</v>
      </c>
      <c r="J6894" t="s">
        <v>4909</v>
      </c>
      <c r="K6894" t="s">
        <v>4909</v>
      </c>
    </row>
    <row r="6895" spans="1:11" x14ac:dyDescent="0.2">
      <c r="A6895" t="s">
        <v>1922</v>
      </c>
      <c r="B6895" t="s">
        <v>4909</v>
      </c>
      <c r="C6895" t="s">
        <v>4909</v>
      </c>
      <c r="D6895" t="s">
        <v>4909</v>
      </c>
      <c r="E6895" s="88">
        <v>0</v>
      </c>
      <c r="F6895" t="s">
        <v>4909</v>
      </c>
      <c r="G6895" t="s">
        <v>4909</v>
      </c>
      <c r="H6895" t="s">
        <v>4909</v>
      </c>
      <c r="I6895" t="s">
        <v>4909</v>
      </c>
      <c r="J6895" t="s">
        <v>4909</v>
      </c>
      <c r="K6895" t="s">
        <v>4909</v>
      </c>
    </row>
    <row r="6896" spans="1:11" x14ac:dyDescent="0.2">
      <c r="A6896" t="s">
        <v>1928</v>
      </c>
      <c r="B6896" t="s">
        <v>4909</v>
      </c>
      <c r="C6896" t="s">
        <v>4909</v>
      </c>
      <c r="D6896" s="88">
        <v>0</v>
      </c>
      <c r="E6896" s="88">
        <v>0</v>
      </c>
      <c r="F6896" s="88">
        <v>0</v>
      </c>
      <c r="G6896" t="s">
        <v>4909</v>
      </c>
      <c r="H6896" t="s">
        <v>4909</v>
      </c>
      <c r="I6896" t="s">
        <v>4909</v>
      </c>
      <c r="J6896" t="s">
        <v>4909</v>
      </c>
      <c r="K6896" t="s">
        <v>4909</v>
      </c>
    </row>
    <row r="6897" spans="1:11" x14ac:dyDescent="0.2">
      <c r="A6897" t="s">
        <v>1932</v>
      </c>
      <c r="B6897" t="s">
        <v>4909</v>
      </c>
      <c r="C6897" t="s">
        <v>4909</v>
      </c>
      <c r="D6897" t="s">
        <v>4909</v>
      </c>
      <c r="E6897" t="s">
        <v>4909</v>
      </c>
      <c r="F6897" t="s">
        <v>4909</v>
      </c>
      <c r="G6897" t="s">
        <v>4909</v>
      </c>
      <c r="H6897" t="s">
        <v>4909</v>
      </c>
      <c r="I6897" t="s">
        <v>4909</v>
      </c>
      <c r="J6897" t="s">
        <v>4909</v>
      </c>
      <c r="K6897" t="s">
        <v>4909</v>
      </c>
    </row>
    <row r="6898" spans="1:11" x14ac:dyDescent="0.2">
      <c r="A6898" t="s">
        <v>1938</v>
      </c>
      <c r="B6898" t="s">
        <v>4909</v>
      </c>
      <c r="C6898" t="s">
        <v>4909</v>
      </c>
      <c r="D6898" t="s">
        <v>4909</v>
      </c>
      <c r="E6898" t="s">
        <v>4909</v>
      </c>
      <c r="F6898" t="s">
        <v>4909</v>
      </c>
      <c r="G6898" t="s">
        <v>4909</v>
      </c>
      <c r="H6898" t="s">
        <v>4909</v>
      </c>
      <c r="I6898" t="s">
        <v>4909</v>
      </c>
      <c r="J6898" t="s">
        <v>4909</v>
      </c>
      <c r="K6898" t="s">
        <v>4909</v>
      </c>
    </row>
    <row r="6899" spans="1:11" x14ac:dyDescent="0.2">
      <c r="A6899" t="s">
        <v>1944</v>
      </c>
      <c r="B6899" s="88">
        <v>2E-3</v>
      </c>
      <c r="C6899" t="s">
        <v>4909</v>
      </c>
      <c r="D6899" s="88">
        <v>5.0000000000000001E-3</v>
      </c>
      <c r="E6899" s="88">
        <v>4.9000000000000002E-2</v>
      </c>
      <c r="F6899" s="88">
        <v>0.17399999999999999</v>
      </c>
      <c r="G6899" t="s">
        <v>4909</v>
      </c>
      <c r="H6899" t="s">
        <v>4909</v>
      </c>
      <c r="I6899" t="s">
        <v>4909</v>
      </c>
      <c r="J6899" s="88">
        <v>1E-3</v>
      </c>
      <c r="K6899" t="s">
        <v>4909</v>
      </c>
    </row>
    <row r="6900" spans="1:11" x14ac:dyDescent="0.2">
      <c r="A6900" t="s">
        <v>1947</v>
      </c>
      <c r="B6900" s="88">
        <v>3.0000000000000001E-3</v>
      </c>
      <c r="C6900" t="s">
        <v>4909</v>
      </c>
      <c r="D6900" s="88">
        <v>0.01</v>
      </c>
      <c r="E6900" s="88">
        <v>7.4999999999999997E-2</v>
      </c>
      <c r="F6900" s="88">
        <v>0.24</v>
      </c>
      <c r="G6900" t="s">
        <v>4909</v>
      </c>
      <c r="H6900" t="s">
        <v>4909</v>
      </c>
      <c r="I6900" t="s">
        <v>4909</v>
      </c>
      <c r="J6900" s="88">
        <v>3.0000000000000001E-3</v>
      </c>
      <c r="K6900" t="s">
        <v>4909</v>
      </c>
    </row>
    <row r="6901" spans="1:11" x14ac:dyDescent="0.2">
      <c r="A6901" t="s">
        <v>1953</v>
      </c>
      <c r="B6901" s="88">
        <v>2E-3</v>
      </c>
      <c r="C6901" t="s">
        <v>4909</v>
      </c>
      <c r="D6901" s="88">
        <v>7.0000000000000001E-3</v>
      </c>
      <c r="E6901" s="88">
        <v>6.0999999999999999E-2</v>
      </c>
      <c r="F6901" s="88">
        <v>0.19900000000000001</v>
      </c>
      <c r="G6901" t="s">
        <v>4909</v>
      </c>
      <c r="H6901" t="s">
        <v>4909</v>
      </c>
      <c r="I6901" t="s">
        <v>4909</v>
      </c>
      <c r="J6901" s="88">
        <v>1E-3</v>
      </c>
      <c r="K6901" t="s">
        <v>4909</v>
      </c>
    </row>
    <row r="6902" spans="1:11" x14ac:dyDescent="0.2">
      <c r="A6902" t="s">
        <v>1958</v>
      </c>
      <c r="B6902" t="s">
        <v>4909</v>
      </c>
      <c r="C6902" t="s">
        <v>4909</v>
      </c>
      <c r="D6902" t="s">
        <v>4909</v>
      </c>
      <c r="E6902" t="s">
        <v>4909</v>
      </c>
      <c r="F6902" t="s">
        <v>4909</v>
      </c>
      <c r="G6902" t="s">
        <v>4909</v>
      </c>
      <c r="H6902" t="s">
        <v>4909</v>
      </c>
      <c r="I6902" t="s">
        <v>4909</v>
      </c>
      <c r="J6902" t="s">
        <v>4909</v>
      </c>
      <c r="K6902" t="s">
        <v>4909</v>
      </c>
    </row>
    <row r="6903" spans="1:11" x14ac:dyDescent="0.2">
      <c r="A6903" t="s">
        <v>1964</v>
      </c>
      <c r="B6903" t="s">
        <v>4909</v>
      </c>
      <c r="C6903" t="s">
        <v>4909</v>
      </c>
      <c r="D6903" s="88">
        <v>2.9000000000000001E-2</v>
      </c>
      <c r="E6903" s="88">
        <v>0.223</v>
      </c>
      <c r="F6903" s="88">
        <v>0.747</v>
      </c>
      <c r="G6903" t="s">
        <v>4909</v>
      </c>
      <c r="H6903" t="s">
        <v>4909</v>
      </c>
      <c r="I6903" t="s">
        <v>4909</v>
      </c>
      <c r="J6903" t="s">
        <v>4909</v>
      </c>
      <c r="K6903" t="s">
        <v>4909</v>
      </c>
    </row>
    <row r="6904" spans="1:11" x14ac:dyDescent="0.2">
      <c r="A6904" t="s">
        <v>1973</v>
      </c>
      <c r="B6904" t="s">
        <v>4909</v>
      </c>
      <c r="C6904" t="s">
        <v>4909</v>
      </c>
      <c r="D6904" s="88">
        <v>2.9000000000000001E-2</v>
      </c>
      <c r="E6904" s="88">
        <v>0.224</v>
      </c>
      <c r="F6904" s="88">
        <v>0.74</v>
      </c>
      <c r="G6904" t="s">
        <v>4909</v>
      </c>
      <c r="H6904" t="s">
        <v>4909</v>
      </c>
      <c r="I6904" t="s">
        <v>4909</v>
      </c>
      <c r="J6904" t="s">
        <v>4909</v>
      </c>
      <c r="K6904" t="s">
        <v>4909</v>
      </c>
    </row>
    <row r="6905" spans="1:11" x14ac:dyDescent="0.2">
      <c r="A6905" t="s">
        <v>1978</v>
      </c>
      <c r="B6905" t="s">
        <v>4909</v>
      </c>
      <c r="C6905" t="s">
        <v>4909</v>
      </c>
      <c r="D6905" s="88">
        <v>0.04</v>
      </c>
      <c r="E6905" s="88">
        <v>0.30499999999999999</v>
      </c>
      <c r="F6905" s="88">
        <v>0.65300000000000002</v>
      </c>
      <c r="G6905" t="s">
        <v>4909</v>
      </c>
      <c r="H6905" t="s">
        <v>4909</v>
      </c>
      <c r="I6905" t="s">
        <v>4909</v>
      </c>
      <c r="J6905" t="s">
        <v>4909</v>
      </c>
      <c r="K6905" t="s">
        <v>4909</v>
      </c>
    </row>
    <row r="6906" spans="1:11" x14ac:dyDescent="0.2">
      <c r="A6906" t="s">
        <v>1983</v>
      </c>
      <c r="B6906" s="88">
        <v>1E-3</v>
      </c>
      <c r="C6906" t="s">
        <v>4909</v>
      </c>
      <c r="D6906" t="s">
        <v>4909</v>
      </c>
      <c r="E6906" s="88">
        <v>2.3E-2</v>
      </c>
      <c r="F6906" s="88">
        <v>2.5000000000000001E-2</v>
      </c>
      <c r="G6906" t="s">
        <v>4909</v>
      </c>
      <c r="H6906" t="s">
        <v>4909</v>
      </c>
      <c r="I6906" t="s">
        <v>4909</v>
      </c>
      <c r="J6906" t="s">
        <v>4909</v>
      </c>
      <c r="K6906" t="s">
        <v>4909</v>
      </c>
    </row>
    <row r="6907" spans="1:11" x14ac:dyDescent="0.2">
      <c r="A6907" t="s">
        <v>1984</v>
      </c>
      <c r="B6907" t="s">
        <v>4909</v>
      </c>
      <c r="C6907" t="s">
        <v>4909</v>
      </c>
      <c r="D6907" t="s">
        <v>4909</v>
      </c>
      <c r="E6907" t="s">
        <v>4909</v>
      </c>
      <c r="F6907" t="s">
        <v>4909</v>
      </c>
      <c r="G6907" t="s">
        <v>4909</v>
      </c>
      <c r="H6907" t="s">
        <v>4909</v>
      </c>
      <c r="I6907" t="s">
        <v>4909</v>
      </c>
      <c r="J6907" t="s">
        <v>4909</v>
      </c>
      <c r="K6907" t="s">
        <v>4909</v>
      </c>
    </row>
    <row r="6908" spans="1:11" x14ac:dyDescent="0.2">
      <c r="A6908" t="s">
        <v>1990</v>
      </c>
      <c r="B6908" s="88">
        <v>3.0000000000000001E-3</v>
      </c>
      <c r="C6908" t="s">
        <v>4909</v>
      </c>
      <c r="D6908" s="88">
        <v>1E-3</v>
      </c>
      <c r="E6908" s="88">
        <v>1.4E-2</v>
      </c>
      <c r="F6908" s="88">
        <v>3.7999999999999999E-2</v>
      </c>
      <c r="G6908" t="s">
        <v>4909</v>
      </c>
      <c r="H6908" t="s">
        <v>4909</v>
      </c>
      <c r="I6908" t="s">
        <v>4909</v>
      </c>
      <c r="J6908" t="s">
        <v>4909</v>
      </c>
      <c r="K6908" t="s">
        <v>4909</v>
      </c>
    </row>
    <row r="6909" spans="1:11" x14ac:dyDescent="0.2">
      <c r="A6909" t="s">
        <v>1996</v>
      </c>
      <c r="B6909" t="s">
        <v>4909</v>
      </c>
      <c r="C6909" t="s">
        <v>4909</v>
      </c>
      <c r="D6909" t="s">
        <v>4909</v>
      </c>
      <c r="E6909" t="s">
        <v>4909</v>
      </c>
      <c r="F6909" t="s">
        <v>4909</v>
      </c>
      <c r="G6909" t="s">
        <v>4909</v>
      </c>
      <c r="H6909" t="s">
        <v>4909</v>
      </c>
      <c r="I6909" t="s">
        <v>4909</v>
      </c>
      <c r="J6909" t="s">
        <v>4909</v>
      </c>
      <c r="K6909" t="s">
        <v>4909</v>
      </c>
    </row>
    <row r="6910" spans="1:11" x14ac:dyDescent="0.2">
      <c r="A6910" t="s">
        <v>1998</v>
      </c>
      <c r="B6910" t="s">
        <v>4909</v>
      </c>
      <c r="C6910" t="s">
        <v>4909</v>
      </c>
      <c r="D6910" t="s">
        <v>4909</v>
      </c>
      <c r="E6910" t="s">
        <v>4909</v>
      </c>
      <c r="F6910" t="s">
        <v>4909</v>
      </c>
      <c r="G6910" t="s">
        <v>4909</v>
      </c>
      <c r="H6910" t="s">
        <v>4909</v>
      </c>
      <c r="I6910" t="s">
        <v>4909</v>
      </c>
      <c r="J6910" t="s">
        <v>4909</v>
      </c>
      <c r="K6910" t="s">
        <v>4909</v>
      </c>
    </row>
    <row r="6911" spans="1:11" x14ac:dyDescent="0.2">
      <c r="A6911" t="s">
        <v>1999</v>
      </c>
      <c r="B6911" t="s">
        <v>4909</v>
      </c>
      <c r="C6911" t="s">
        <v>4909</v>
      </c>
      <c r="D6911" t="s">
        <v>4909</v>
      </c>
      <c r="E6911" t="s">
        <v>4909</v>
      </c>
      <c r="F6911" t="s">
        <v>4909</v>
      </c>
      <c r="G6911" t="s">
        <v>4909</v>
      </c>
      <c r="H6911" t="s">
        <v>4909</v>
      </c>
      <c r="I6911" t="s">
        <v>4909</v>
      </c>
      <c r="J6911" t="s">
        <v>4909</v>
      </c>
      <c r="K6911" t="s">
        <v>4909</v>
      </c>
    </row>
    <row r="6912" spans="1:11" x14ac:dyDescent="0.2">
      <c r="A6912" t="s">
        <v>2004</v>
      </c>
      <c r="B6912" s="88">
        <v>4.2000000000000003E-2</v>
      </c>
      <c r="C6912" t="s">
        <v>4909</v>
      </c>
      <c r="D6912" t="s">
        <v>4909</v>
      </c>
      <c r="E6912" t="s">
        <v>4909</v>
      </c>
      <c r="F6912" t="s">
        <v>4909</v>
      </c>
      <c r="G6912" t="s">
        <v>4909</v>
      </c>
      <c r="H6912" t="s">
        <v>4909</v>
      </c>
      <c r="I6912" t="s">
        <v>4909</v>
      </c>
      <c r="J6912" t="s">
        <v>4909</v>
      </c>
      <c r="K6912" t="s">
        <v>4909</v>
      </c>
    </row>
    <row r="6913" spans="1:11" x14ac:dyDescent="0.2">
      <c r="A6913" t="s">
        <v>2009</v>
      </c>
      <c r="B6913" t="s">
        <v>4909</v>
      </c>
      <c r="C6913" t="s">
        <v>4909</v>
      </c>
      <c r="D6913" t="s">
        <v>4909</v>
      </c>
      <c r="E6913" t="s">
        <v>4909</v>
      </c>
      <c r="F6913" t="s">
        <v>4909</v>
      </c>
      <c r="G6913" t="s">
        <v>4909</v>
      </c>
      <c r="H6913" t="s">
        <v>4909</v>
      </c>
      <c r="I6913" t="s">
        <v>4909</v>
      </c>
      <c r="J6913" t="s">
        <v>4909</v>
      </c>
      <c r="K6913" t="s">
        <v>4909</v>
      </c>
    </row>
    <row r="6914" spans="1:11" x14ac:dyDescent="0.2">
      <c r="A6914" t="s">
        <v>2014</v>
      </c>
      <c r="B6914" t="s">
        <v>4909</v>
      </c>
      <c r="C6914" t="s">
        <v>4909</v>
      </c>
      <c r="D6914" t="s">
        <v>4909</v>
      </c>
      <c r="E6914" t="s">
        <v>4909</v>
      </c>
      <c r="F6914" t="s">
        <v>4909</v>
      </c>
      <c r="G6914" t="s">
        <v>4909</v>
      </c>
      <c r="H6914" t="s">
        <v>4909</v>
      </c>
      <c r="I6914" t="s">
        <v>4909</v>
      </c>
      <c r="J6914" t="s">
        <v>4909</v>
      </c>
      <c r="K6914" t="s">
        <v>4909</v>
      </c>
    </row>
    <row r="6915" spans="1:11" x14ac:dyDescent="0.2">
      <c r="A6915" t="s">
        <v>2019</v>
      </c>
      <c r="B6915" t="s">
        <v>4909</v>
      </c>
      <c r="C6915" t="s">
        <v>4909</v>
      </c>
      <c r="D6915" t="s">
        <v>4909</v>
      </c>
      <c r="E6915" t="s">
        <v>4909</v>
      </c>
      <c r="F6915" t="s">
        <v>4909</v>
      </c>
      <c r="G6915" t="s">
        <v>4909</v>
      </c>
      <c r="H6915" t="s">
        <v>4909</v>
      </c>
      <c r="I6915" t="s">
        <v>4909</v>
      </c>
      <c r="J6915" t="s">
        <v>4909</v>
      </c>
      <c r="K6915" t="s">
        <v>4909</v>
      </c>
    </row>
    <row r="6916" spans="1:11" x14ac:dyDescent="0.2">
      <c r="A6916" t="s">
        <v>2023</v>
      </c>
      <c r="B6916" t="s">
        <v>4909</v>
      </c>
      <c r="C6916" t="s">
        <v>4909</v>
      </c>
      <c r="D6916" t="s">
        <v>4909</v>
      </c>
      <c r="E6916" t="s">
        <v>4909</v>
      </c>
      <c r="F6916" t="s">
        <v>4909</v>
      </c>
      <c r="G6916" t="s">
        <v>4909</v>
      </c>
      <c r="H6916" t="s">
        <v>4909</v>
      </c>
      <c r="I6916" t="s">
        <v>4909</v>
      </c>
      <c r="J6916" t="s">
        <v>4909</v>
      </c>
      <c r="K6916" t="s">
        <v>4909</v>
      </c>
    </row>
    <row r="6917" spans="1:11" x14ac:dyDescent="0.2">
      <c r="A6917" t="s">
        <v>2026</v>
      </c>
      <c r="B6917" t="s">
        <v>4909</v>
      </c>
      <c r="C6917" t="s">
        <v>4909</v>
      </c>
      <c r="D6917" t="s">
        <v>4909</v>
      </c>
      <c r="E6917" t="s">
        <v>4909</v>
      </c>
      <c r="F6917" t="s">
        <v>4909</v>
      </c>
      <c r="G6917" t="s">
        <v>4909</v>
      </c>
      <c r="H6917" t="s">
        <v>4909</v>
      </c>
      <c r="I6917" t="s">
        <v>4909</v>
      </c>
      <c r="J6917" t="s">
        <v>4909</v>
      </c>
      <c r="K6917" t="s">
        <v>4909</v>
      </c>
    </row>
    <row r="6918" spans="1:11" x14ac:dyDescent="0.2">
      <c r="A6918" t="s">
        <v>2030</v>
      </c>
      <c r="B6918" t="s">
        <v>4909</v>
      </c>
      <c r="C6918" t="s">
        <v>4909</v>
      </c>
      <c r="D6918" t="s">
        <v>4909</v>
      </c>
      <c r="E6918" t="s">
        <v>4909</v>
      </c>
      <c r="F6918" t="s">
        <v>4909</v>
      </c>
      <c r="G6918" t="s">
        <v>4909</v>
      </c>
      <c r="H6918" t="s">
        <v>4909</v>
      </c>
      <c r="I6918" t="s">
        <v>4909</v>
      </c>
      <c r="J6918" t="s">
        <v>4909</v>
      </c>
      <c r="K6918" t="s">
        <v>4909</v>
      </c>
    </row>
    <row r="6919" spans="1:11" x14ac:dyDescent="0.2">
      <c r="A6919" t="s">
        <v>2035</v>
      </c>
      <c r="B6919" t="s">
        <v>4909</v>
      </c>
      <c r="C6919" t="s">
        <v>4909</v>
      </c>
      <c r="D6919" t="s">
        <v>4909</v>
      </c>
      <c r="E6919" t="s">
        <v>4909</v>
      </c>
      <c r="F6919" t="s">
        <v>4909</v>
      </c>
      <c r="G6919" t="s">
        <v>4909</v>
      </c>
      <c r="H6919" t="s">
        <v>4909</v>
      </c>
      <c r="I6919" t="s">
        <v>4909</v>
      </c>
      <c r="J6919" t="s">
        <v>4909</v>
      </c>
      <c r="K6919" t="s">
        <v>4909</v>
      </c>
    </row>
    <row r="6920" spans="1:11" x14ac:dyDescent="0.2">
      <c r="A6920" t="s">
        <v>2040</v>
      </c>
      <c r="B6920" t="s">
        <v>4909</v>
      </c>
      <c r="C6920" t="s">
        <v>4909</v>
      </c>
      <c r="D6920" t="s">
        <v>4909</v>
      </c>
      <c r="E6920" t="s">
        <v>4909</v>
      </c>
      <c r="F6920" t="s">
        <v>4909</v>
      </c>
      <c r="G6920" t="s">
        <v>4909</v>
      </c>
      <c r="H6920" t="s">
        <v>4909</v>
      </c>
      <c r="I6920" t="s">
        <v>4909</v>
      </c>
      <c r="J6920" t="s">
        <v>4909</v>
      </c>
      <c r="K6920" t="s">
        <v>4909</v>
      </c>
    </row>
    <row r="6921" spans="1:11" x14ac:dyDescent="0.2">
      <c r="A6921" t="s">
        <v>2045</v>
      </c>
      <c r="B6921" t="s">
        <v>4909</v>
      </c>
      <c r="C6921" t="s">
        <v>4909</v>
      </c>
      <c r="D6921" t="s">
        <v>4909</v>
      </c>
      <c r="E6921" t="s">
        <v>4909</v>
      </c>
      <c r="F6921" t="s">
        <v>4909</v>
      </c>
      <c r="G6921" t="s">
        <v>4909</v>
      </c>
      <c r="H6921" t="s">
        <v>4909</v>
      </c>
      <c r="I6921" t="s">
        <v>4909</v>
      </c>
      <c r="J6921" t="s">
        <v>4909</v>
      </c>
      <c r="K6921" t="s">
        <v>4909</v>
      </c>
    </row>
    <row r="6922" spans="1:11" x14ac:dyDescent="0.2">
      <c r="A6922" t="s">
        <v>2049</v>
      </c>
      <c r="B6922" t="s">
        <v>4909</v>
      </c>
      <c r="C6922" t="s">
        <v>4909</v>
      </c>
      <c r="D6922" t="s">
        <v>4909</v>
      </c>
      <c r="E6922" t="s">
        <v>4909</v>
      </c>
      <c r="F6922" t="s">
        <v>4909</v>
      </c>
      <c r="G6922" t="s">
        <v>4909</v>
      </c>
      <c r="H6922" t="s">
        <v>4909</v>
      </c>
      <c r="I6922" t="s">
        <v>4909</v>
      </c>
      <c r="J6922" t="s">
        <v>4909</v>
      </c>
      <c r="K6922" t="s">
        <v>4909</v>
      </c>
    </row>
    <row r="6923" spans="1:11" x14ac:dyDescent="0.2">
      <c r="A6923" t="s">
        <v>2051</v>
      </c>
      <c r="B6923" t="s">
        <v>4909</v>
      </c>
      <c r="C6923" t="s">
        <v>4909</v>
      </c>
      <c r="D6923" s="88">
        <v>0</v>
      </c>
      <c r="E6923" s="88">
        <v>2E-3</v>
      </c>
      <c r="F6923" s="88">
        <v>8.0000000000000002E-3</v>
      </c>
      <c r="G6923" t="s">
        <v>4909</v>
      </c>
      <c r="H6923" t="s">
        <v>4909</v>
      </c>
      <c r="I6923" t="s">
        <v>4909</v>
      </c>
      <c r="J6923" t="s">
        <v>4909</v>
      </c>
      <c r="K6923" t="s">
        <v>4909</v>
      </c>
    </row>
    <row r="6924" spans="1:11" x14ac:dyDescent="0.2">
      <c r="A6924" t="s">
        <v>2057</v>
      </c>
      <c r="B6924" t="s">
        <v>4909</v>
      </c>
      <c r="C6924" t="s">
        <v>4909</v>
      </c>
      <c r="D6924" s="88">
        <v>0</v>
      </c>
      <c r="E6924" s="88">
        <v>3.0000000000000001E-3</v>
      </c>
      <c r="F6924" s="88">
        <v>8.9999999999999993E-3</v>
      </c>
      <c r="G6924" t="s">
        <v>4909</v>
      </c>
      <c r="H6924" t="s">
        <v>4909</v>
      </c>
      <c r="I6924" t="s">
        <v>4909</v>
      </c>
      <c r="J6924" t="s">
        <v>4909</v>
      </c>
      <c r="K6924" t="s">
        <v>4909</v>
      </c>
    </row>
    <row r="6925" spans="1:11" x14ac:dyDescent="0.2">
      <c r="A6925" t="s">
        <v>4344</v>
      </c>
      <c r="B6925" t="s">
        <v>4909</v>
      </c>
      <c r="C6925" t="s">
        <v>4909</v>
      </c>
      <c r="D6925" s="88">
        <v>0</v>
      </c>
      <c r="E6925" s="88">
        <v>2E-3</v>
      </c>
      <c r="F6925" s="88">
        <v>8.0000000000000002E-3</v>
      </c>
      <c r="G6925" t="s">
        <v>4909</v>
      </c>
      <c r="H6925" t="s">
        <v>4909</v>
      </c>
      <c r="I6925" t="s">
        <v>4909</v>
      </c>
      <c r="J6925" t="s">
        <v>4909</v>
      </c>
      <c r="K6925" t="s">
        <v>4909</v>
      </c>
    </row>
    <row r="6926" spans="1:11" x14ac:dyDescent="0.2">
      <c r="A6926" t="s">
        <v>4345</v>
      </c>
      <c r="B6926" s="88">
        <v>0</v>
      </c>
      <c r="C6926" t="s">
        <v>4909</v>
      </c>
      <c r="D6926" s="88">
        <v>0</v>
      </c>
      <c r="E6926" s="88">
        <v>2E-3</v>
      </c>
      <c r="F6926" s="88">
        <v>8.0000000000000002E-3</v>
      </c>
      <c r="G6926" t="s">
        <v>4909</v>
      </c>
      <c r="H6926" t="s">
        <v>4909</v>
      </c>
      <c r="I6926" t="s">
        <v>4909</v>
      </c>
      <c r="J6926" t="s">
        <v>4909</v>
      </c>
      <c r="K6926" t="s">
        <v>4909</v>
      </c>
    </row>
    <row r="6927" spans="1:11" x14ac:dyDescent="0.2">
      <c r="A6927" t="s">
        <v>2074</v>
      </c>
      <c r="B6927" t="s">
        <v>4909</v>
      </c>
      <c r="C6927" t="s">
        <v>4909</v>
      </c>
      <c r="D6927" t="s">
        <v>4909</v>
      </c>
      <c r="E6927" t="s">
        <v>4909</v>
      </c>
      <c r="F6927" t="s">
        <v>4909</v>
      </c>
      <c r="G6927" t="s">
        <v>4909</v>
      </c>
      <c r="H6927" t="s">
        <v>4909</v>
      </c>
      <c r="I6927" t="s">
        <v>4909</v>
      </c>
      <c r="J6927" t="s">
        <v>4909</v>
      </c>
      <c r="K6927" t="s">
        <v>4909</v>
      </c>
    </row>
    <row r="6928" spans="1:11" x14ac:dyDescent="0.2">
      <c r="A6928" t="s">
        <v>2079</v>
      </c>
      <c r="B6928" t="s">
        <v>4909</v>
      </c>
      <c r="C6928" t="s">
        <v>4909</v>
      </c>
      <c r="D6928" t="s">
        <v>4909</v>
      </c>
      <c r="E6928" t="s">
        <v>4909</v>
      </c>
      <c r="F6928" t="s">
        <v>4909</v>
      </c>
      <c r="G6928" t="s">
        <v>4909</v>
      </c>
      <c r="H6928" t="s">
        <v>4909</v>
      </c>
      <c r="I6928" t="s">
        <v>4909</v>
      </c>
      <c r="J6928" t="s">
        <v>4909</v>
      </c>
      <c r="K6928" t="s">
        <v>4909</v>
      </c>
    </row>
    <row r="6929" spans="1:11" x14ac:dyDescent="0.2">
      <c r="A6929" t="s">
        <v>2085</v>
      </c>
      <c r="B6929" t="s">
        <v>4909</v>
      </c>
      <c r="C6929" t="s">
        <v>4909</v>
      </c>
      <c r="D6929" t="s">
        <v>4909</v>
      </c>
      <c r="E6929" t="s">
        <v>4909</v>
      </c>
      <c r="F6929" t="s">
        <v>4909</v>
      </c>
      <c r="G6929" t="s">
        <v>4909</v>
      </c>
      <c r="H6929" t="s">
        <v>4909</v>
      </c>
      <c r="I6929" t="s">
        <v>4909</v>
      </c>
      <c r="J6929" t="s">
        <v>4909</v>
      </c>
      <c r="K6929" t="s">
        <v>4909</v>
      </c>
    </row>
    <row r="6930" spans="1:11" x14ac:dyDescent="0.2">
      <c r="A6930" t="s">
        <v>2091</v>
      </c>
      <c r="B6930" t="s">
        <v>4909</v>
      </c>
      <c r="C6930" t="s">
        <v>4909</v>
      </c>
      <c r="D6930" t="s">
        <v>4909</v>
      </c>
      <c r="E6930" t="s">
        <v>4909</v>
      </c>
      <c r="F6930" t="s">
        <v>4909</v>
      </c>
      <c r="G6930" t="s">
        <v>4909</v>
      </c>
      <c r="H6930" t="s">
        <v>4909</v>
      </c>
      <c r="I6930" t="s">
        <v>4909</v>
      </c>
      <c r="J6930" t="s">
        <v>4909</v>
      </c>
      <c r="K6930" t="s">
        <v>4909</v>
      </c>
    </row>
    <row r="6931" spans="1:11" x14ac:dyDescent="0.2">
      <c r="A6931" t="s">
        <v>2097</v>
      </c>
      <c r="B6931" t="s">
        <v>4909</v>
      </c>
      <c r="C6931" t="s">
        <v>4909</v>
      </c>
      <c r="D6931" t="s">
        <v>4909</v>
      </c>
      <c r="E6931" t="s">
        <v>4909</v>
      </c>
      <c r="F6931" t="s">
        <v>4909</v>
      </c>
      <c r="G6931" t="s">
        <v>4909</v>
      </c>
      <c r="H6931" t="s">
        <v>4909</v>
      </c>
      <c r="I6931" t="s">
        <v>4909</v>
      </c>
      <c r="J6931" t="s">
        <v>4909</v>
      </c>
      <c r="K6931" t="s">
        <v>4909</v>
      </c>
    </row>
    <row r="6932" spans="1:11" x14ac:dyDescent="0.2">
      <c r="A6932" t="s">
        <v>2101</v>
      </c>
      <c r="B6932" t="s">
        <v>4909</v>
      </c>
      <c r="C6932" t="s">
        <v>4909</v>
      </c>
      <c r="D6932" t="s">
        <v>4909</v>
      </c>
      <c r="E6932" t="s">
        <v>4909</v>
      </c>
      <c r="F6932" t="s">
        <v>4909</v>
      </c>
      <c r="G6932" t="s">
        <v>4909</v>
      </c>
      <c r="H6932" t="s">
        <v>4909</v>
      </c>
      <c r="I6932" t="s">
        <v>4909</v>
      </c>
      <c r="J6932" t="s">
        <v>4909</v>
      </c>
      <c r="K6932" t="s">
        <v>4909</v>
      </c>
    </row>
    <row r="6933" spans="1:11" x14ac:dyDescent="0.2">
      <c r="A6933" t="s">
        <v>2104</v>
      </c>
      <c r="B6933" t="s">
        <v>4909</v>
      </c>
      <c r="C6933" t="s">
        <v>4909</v>
      </c>
      <c r="D6933" t="s">
        <v>4909</v>
      </c>
      <c r="E6933" t="s">
        <v>4909</v>
      </c>
      <c r="F6933" t="s">
        <v>4909</v>
      </c>
      <c r="G6933" t="s">
        <v>4909</v>
      </c>
      <c r="H6933" t="s">
        <v>4909</v>
      </c>
      <c r="I6933" t="s">
        <v>4909</v>
      </c>
      <c r="J6933" t="s">
        <v>4909</v>
      </c>
      <c r="K6933" t="s">
        <v>4909</v>
      </c>
    </row>
    <row r="6934" spans="1:11" x14ac:dyDescent="0.2">
      <c r="A6934" t="s">
        <v>2107</v>
      </c>
      <c r="B6934" t="s">
        <v>4909</v>
      </c>
      <c r="C6934" t="s">
        <v>4909</v>
      </c>
      <c r="D6934" t="s">
        <v>4909</v>
      </c>
      <c r="E6934" t="s">
        <v>4909</v>
      </c>
      <c r="F6934" t="s">
        <v>4909</v>
      </c>
      <c r="G6934" t="s">
        <v>4909</v>
      </c>
      <c r="H6934" t="s">
        <v>4909</v>
      </c>
      <c r="I6934" t="s">
        <v>4909</v>
      </c>
      <c r="J6934" t="s">
        <v>4909</v>
      </c>
      <c r="K6934" t="s">
        <v>4909</v>
      </c>
    </row>
    <row r="6935" spans="1:11" x14ac:dyDescent="0.2">
      <c r="A6935" t="s">
        <v>2110</v>
      </c>
      <c r="B6935" t="s">
        <v>4909</v>
      </c>
      <c r="C6935" t="s">
        <v>4909</v>
      </c>
      <c r="D6935" t="s">
        <v>4909</v>
      </c>
      <c r="E6935" t="s">
        <v>4909</v>
      </c>
      <c r="F6935" t="s">
        <v>4909</v>
      </c>
      <c r="G6935" t="s">
        <v>4909</v>
      </c>
      <c r="H6935" t="s">
        <v>4909</v>
      </c>
      <c r="I6935" t="s">
        <v>4909</v>
      </c>
      <c r="J6935" t="s">
        <v>4909</v>
      </c>
      <c r="K6935" t="s">
        <v>4909</v>
      </c>
    </row>
    <row r="6936" spans="1:11" x14ac:dyDescent="0.2">
      <c r="A6936" t="s">
        <v>2113</v>
      </c>
      <c r="B6936" t="s">
        <v>4909</v>
      </c>
      <c r="C6936" t="s">
        <v>4909</v>
      </c>
      <c r="D6936" t="s">
        <v>4909</v>
      </c>
      <c r="E6936" t="s">
        <v>4909</v>
      </c>
      <c r="F6936" t="s">
        <v>4909</v>
      </c>
      <c r="G6936" t="s">
        <v>4909</v>
      </c>
      <c r="H6936" t="s">
        <v>4909</v>
      </c>
      <c r="I6936" t="s">
        <v>4909</v>
      </c>
      <c r="J6936" t="s">
        <v>4909</v>
      </c>
      <c r="K6936" t="s">
        <v>4909</v>
      </c>
    </row>
    <row r="6937" spans="1:11" x14ac:dyDescent="0.2">
      <c r="A6937" t="s">
        <v>4346</v>
      </c>
      <c r="B6937" t="s">
        <v>4909</v>
      </c>
      <c r="C6937" t="s">
        <v>4909</v>
      </c>
      <c r="D6937" t="s">
        <v>4909</v>
      </c>
      <c r="E6937" t="s">
        <v>4909</v>
      </c>
      <c r="F6937" t="s">
        <v>4909</v>
      </c>
      <c r="G6937" t="s">
        <v>4909</v>
      </c>
      <c r="H6937" t="s">
        <v>4909</v>
      </c>
      <c r="I6937" t="s">
        <v>4909</v>
      </c>
      <c r="J6937" t="s">
        <v>4909</v>
      </c>
      <c r="K6937" t="s">
        <v>4909</v>
      </c>
    </row>
    <row r="6938" spans="1:11" x14ac:dyDescent="0.2">
      <c r="A6938" t="s">
        <v>4347</v>
      </c>
      <c r="B6938" t="s">
        <v>4909</v>
      </c>
      <c r="C6938" t="s">
        <v>4909</v>
      </c>
      <c r="D6938" t="s">
        <v>4909</v>
      </c>
      <c r="E6938" t="s">
        <v>4909</v>
      </c>
      <c r="F6938" t="s">
        <v>4909</v>
      </c>
      <c r="G6938" t="s">
        <v>4909</v>
      </c>
      <c r="H6938" t="s">
        <v>4909</v>
      </c>
      <c r="I6938" t="s">
        <v>4909</v>
      </c>
      <c r="J6938" t="s">
        <v>4909</v>
      </c>
      <c r="K6938" t="s">
        <v>4909</v>
      </c>
    </row>
    <row r="6939" spans="1:11" x14ac:dyDescent="0.2">
      <c r="A6939" t="s">
        <v>4348</v>
      </c>
      <c r="B6939" t="s">
        <v>4909</v>
      </c>
      <c r="C6939" t="s">
        <v>4909</v>
      </c>
      <c r="D6939" t="s">
        <v>4909</v>
      </c>
      <c r="E6939" t="s">
        <v>4909</v>
      </c>
      <c r="F6939" t="s">
        <v>4909</v>
      </c>
      <c r="G6939" t="s">
        <v>4909</v>
      </c>
      <c r="H6939" t="s">
        <v>4909</v>
      </c>
      <c r="I6939" t="s">
        <v>4909</v>
      </c>
      <c r="J6939" t="s">
        <v>4909</v>
      </c>
      <c r="K6939" t="s">
        <v>4909</v>
      </c>
    </row>
    <row r="6940" spans="1:11" x14ac:dyDescent="0.2">
      <c r="A6940" t="s">
        <v>4349</v>
      </c>
      <c r="B6940" t="s">
        <v>4909</v>
      </c>
      <c r="C6940" t="s">
        <v>4909</v>
      </c>
      <c r="D6940" t="s">
        <v>4909</v>
      </c>
      <c r="E6940" t="s">
        <v>4909</v>
      </c>
      <c r="F6940" t="s">
        <v>4909</v>
      </c>
      <c r="G6940" t="s">
        <v>4909</v>
      </c>
      <c r="H6940" t="s">
        <v>4909</v>
      </c>
      <c r="I6940" t="s">
        <v>4909</v>
      </c>
      <c r="J6940" t="s">
        <v>4909</v>
      </c>
      <c r="K6940" t="s">
        <v>4909</v>
      </c>
    </row>
    <row r="6941" spans="1:11" x14ac:dyDescent="0.2">
      <c r="A6941" t="s">
        <v>4350</v>
      </c>
      <c r="B6941" t="s">
        <v>4909</v>
      </c>
      <c r="C6941" t="s">
        <v>4909</v>
      </c>
      <c r="D6941" t="s">
        <v>4909</v>
      </c>
      <c r="E6941" s="88">
        <v>0</v>
      </c>
      <c r="F6941" s="88">
        <v>0</v>
      </c>
      <c r="G6941" t="s">
        <v>4909</v>
      </c>
      <c r="H6941" t="s">
        <v>4909</v>
      </c>
      <c r="I6941" t="s">
        <v>4909</v>
      </c>
      <c r="J6941" t="s">
        <v>4909</v>
      </c>
      <c r="K6941" t="s">
        <v>4909</v>
      </c>
    </row>
    <row r="6942" spans="1:11" x14ac:dyDescent="0.2">
      <c r="A6942" t="s">
        <v>4351</v>
      </c>
      <c r="B6942" t="s">
        <v>4909</v>
      </c>
      <c r="C6942" t="s">
        <v>4909</v>
      </c>
      <c r="D6942" t="s">
        <v>4909</v>
      </c>
      <c r="E6942" t="s">
        <v>4909</v>
      </c>
      <c r="F6942" t="s">
        <v>4909</v>
      </c>
      <c r="G6942" t="s">
        <v>4909</v>
      </c>
      <c r="H6942" t="s">
        <v>4909</v>
      </c>
      <c r="I6942" t="s">
        <v>4909</v>
      </c>
      <c r="J6942" t="s">
        <v>4909</v>
      </c>
      <c r="K6942" t="s">
        <v>4909</v>
      </c>
    </row>
    <row r="6943" spans="1:11" x14ac:dyDescent="0.2">
      <c r="A6943" t="s">
        <v>4352</v>
      </c>
      <c r="B6943" t="s">
        <v>4909</v>
      </c>
      <c r="C6943" t="s">
        <v>4909</v>
      </c>
      <c r="D6943" t="s">
        <v>4909</v>
      </c>
      <c r="E6943" t="s">
        <v>4909</v>
      </c>
      <c r="F6943" t="s">
        <v>4909</v>
      </c>
      <c r="G6943" t="s">
        <v>4909</v>
      </c>
      <c r="H6943" t="s">
        <v>4909</v>
      </c>
      <c r="I6943" t="s">
        <v>4909</v>
      </c>
      <c r="J6943" t="s">
        <v>4909</v>
      </c>
      <c r="K6943" t="s">
        <v>4909</v>
      </c>
    </row>
    <row r="6944" spans="1:11" x14ac:dyDescent="0.2">
      <c r="A6944" t="s">
        <v>4353</v>
      </c>
      <c r="B6944" t="s">
        <v>4909</v>
      </c>
      <c r="C6944" t="s">
        <v>4909</v>
      </c>
      <c r="D6944" t="s">
        <v>4909</v>
      </c>
      <c r="E6944" s="88">
        <v>5.0000000000000001E-3</v>
      </c>
      <c r="F6944" s="88">
        <v>1.0999999999999999E-2</v>
      </c>
      <c r="G6944" t="s">
        <v>4909</v>
      </c>
      <c r="H6944" t="s">
        <v>4909</v>
      </c>
      <c r="I6944" t="s">
        <v>4909</v>
      </c>
      <c r="J6944" t="s">
        <v>4909</v>
      </c>
      <c r="K6944" t="s">
        <v>4909</v>
      </c>
    </row>
    <row r="6945" spans="1:11" x14ac:dyDescent="0.2">
      <c r="A6945" t="s">
        <v>4354</v>
      </c>
      <c r="B6945" t="s">
        <v>4909</v>
      </c>
      <c r="C6945" t="s">
        <v>4909</v>
      </c>
      <c r="D6945" s="88">
        <v>0</v>
      </c>
      <c r="E6945" s="88">
        <v>8.9999999999999993E-3</v>
      </c>
      <c r="F6945" s="88">
        <v>1.7999999999999999E-2</v>
      </c>
      <c r="G6945" t="s">
        <v>4909</v>
      </c>
      <c r="H6945" t="s">
        <v>4909</v>
      </c>
      <c r="I6945" t="s">
        <v>4909</v>
      </c>
      <c r="J6945" t="s">
        <v>4909</v>
      </c>
      <c r="K6945" t="s">
        <v>4909</v>
      </c>
    </row>
    <row r="6946" spans="1:11" x14ac:dyDescent="0.2">
      <c r="A6946" t="s">
        <v>4355</v>
      </c>
      <c r="B6946" t="s">
        <v>4909</v>
      </c>
      <c r="C6946" t="s">
        <v>4909</v>
      </c>
      <c r="D6946" t="s">
        <v>4909</v>
      </c>
      <c r="E6946" t="s">
        <v>4909</v>
      </c>
      <c r="F6946" t="s">
        <v>4909</v>
      </c>
      <c r="G6946" t="s">
        <v>4909</v>
      </c>
      <c r="H6946" t="s">
        <v>4909</v>
      </c>
      <c r="I6946" t="s">
        <v>4909</v>
      </c>
      <c r="J6946" t="s">
        <v>4909</v>
      </c>
      <c r="K6946" t="s">
        <v>4909</v>
      </c>
    </row>
    <row r="6947" spans="1:11" x14ac:dyDescent="0.2">
      <c r="A6947" t="s">
        <v>4356</v>
      </c>
      <c r="B6947" t="s">
        <v>4909</v>
      </c>
      <c r="C6947" t="s">
        <v>4909</v>
      </c>
      <c r="D6947" t="s">
        <v>4909</v>
      </c>
      <c r="E6947" t="s">
        <v>4909</v>
      </c>
      <c r="F6947" t="s">
        <v>4909</v>
      </c>
      <c r="G6947" t="s">
        <v>4909</v>
      </c>
      <c r="H6947" t="s">
        <v>4909</v>
      </c>
      <c r="I6947" t="s">
        <v>4909</v>
      </c>
      <c r="J6947" t="s">
        <v>4909</v>
      </c>
      <c r="K6947" t="s">
        <v>4909</v>
      </c>
    </row>
    <row r="6948" spans="1:11" x14ac:dyDescent="0.2">
      <c r="A6948" t="s">
        <v>4357</v>
      </c>
      <c r="B6948" t="s">
        <v>4909</v>
      </c>
      <c r="C6948" t="s">
        <v>4909</v>
      </c>
      <c r="D6948" t="s">
        <v>4909</v>
      </c>
      <c r="E6948" t="s">
        <v>4909</v>
      </c>
      <c r="F6948" t="s">
        <v>4909</v>
      </c>
      <c r="G6948" t="s">
        <v>4909</v>
      </c>
      <c r="H6948" t="s">
        <v>4909</v>
      </c>
      <c r="I6948" t="s">
        <v>4909</v>
      </c>
      <c r="J6948" t="s">
        <v>4909</v>
      </c>
      <c r="K6948" t="s">
        <v>4909</v>
      </c>
    </row>
    <row r="6949" spans="1:11" x14ac:dyDescent="0.2">
      <c r="A6949" t="s">
        <v>4358</v>
      </c>
      <c r="B6949" t="s">
        <v>4909</v>
      </c>
      <c r="C6949" t="s">
        <v>4909</v>
      </c>
      <c r="D6949" t="s">
        <v>4909</v>
      </c>
      <c r="E6949" t="s">
        <v>4909</v>
      </c>
      <c r="F6949" t="s">
        <v>4909</v>
      </c>
      <c r="G6949" t="s">
        <v>4909</v>
      </c>
      <c r="H6949" t="s">
        <v>4909</v>
      </c>
      <c r="I6949" t="s">
        <v>4909</v>
      </c>
      <c r="J6949" t="s">
        <v>4909</v>
      </c>
      <c r="K6949" t="s">
        <v>4909</v>
      </c>
    </row>
    <row r="6950" spans="1:11" x14ac:dyDescent="0.2">
      <c r="A6950" t="s">
        <v>4359</v>
      </c>
      <c r="B6950" t="s">
        <v>4909</v>
      </c>
      <c r="C6950" t="s">
        <v>4909</v>
      </c>
      <c r="D6950" t="s">
        <v>4909</v>
      </c>
      <c r="E6950" t="s">
        <v>4909</v>
      </c>
      <c r="F6950" t="s">
        <v>4909</v>
      </c>
      <c r="G6950" t="s">
        <v>4909</v>
      </c>
      <c r="H6950" t="s">
        <v>4909</v>
      </c>
      <c r="I6950" t="s">
        <v>4909</v>
      </c>
      <c r="J6950" t="s">
        <v>4909</v>
      </c>
      <c r="K6950" t="s">
        <v>4909</v>
      </c>
    </row>
    <row r="6951" spans="1:11" x14ac:dyDescent="0.2">
      <c r="A6951" t="s">
        <v>4360</v>
      </c>
      <c r="B6951" t="s">
        <v>4909</v>
      </c>
      <c r="C6951" t="s">
        <v>4909</v>
      </c>
      <c r="D6951" t="s">
        <v>4909</v>
      </c>
      <c r="E6951" s="88">
        <v>1E-3</v>
      </c>
      <c r="F6951" s="88">
        <v>5.0000000000000001E-3</v>
      </c>
      <c r="G6951" t="s">
        <v>4909</v>
      </c>
      <c r="H6951" t="s">
        <v>4909</v>
      </c>
      <c r="I6951" t="s">
        <v>4909</v>
      </c>
      <c r="J6951" t="s">
        <v>4909</v>
      </c>
      <c r="K6951" t="s">
        <v>4909</v>
      </c>
    </row>
    <row r="6952" spans="1:11" x14ac:dyDescent="0.2">
      <c r="A6952" t="s">
        <v>4361</v>
      </c>
      <c r="B6952" t="s">
        <v>4909</v>
      </c>
      <c r="C6952" t="s">
        <v>4909</v>
      </c>
      <c r="D6952" t="s">
        <v>4909</v>
      </c>
      <c r="E6952" s="88">
        <v>0</v>
      </c>
      <c r="F6952" s="88">
        <v>0</v>
      </c>
      <c r="G6952" t="s">
        <v>4909</v>
      </c>
      <c r="H6952" t="s">
        <v>4909</v>
      </c>
      <c r="I6952" t="s">
        <v>4909</v>
      </c>
      <c r="J6952" t="s">
        <v>4909</v>
      </c>
      <c r="K6952" t="s">
        <v>4909</v>
      </c>
    </row>
    <row r="6953" spans="1:11" x14ac:dyDescent="0.2">
      <c r="A6953" t="s">
        <v>4362</v>
      </c>
      <c r="B6953" t="s">
        <v>4909</v>
      </c>
      <c r="C6953" t="s">
        <v>4909</v>
      </c>
      <c r="D6953" t="s">
        <v>4909</v>
      </c>
      <c r="E6953" t="s">
        <v>4909</v>
      </c>
      <c r="F6953" t="s">
        <v>4909</v>
      </c>
      <c r="G6953" t="s">
        <v>4909</v>
      </c>
      <c r="H6953" t="s">
        <v>4909</v>
      </c>
      <c r="I6953" t="s">
        <v>4909</v>
      </c>
      <c r="J6953" t="s">
        <v>4909</v>
      </c>
      <c r="K6953" t="s">
        <v>4909</v>
      </c>
    </row>
    <row r="6954" spans="1:11" x14ac:dyDescent="0.2">
      <c r="A6954" t="s">
        <v>4363</v>
      </c>
      <c r="B6954" t="s">
        <v>4909</v>
      </c>
      <c r="C6954" t="s">
        <v>4909</v>
      </c>
      <c r="D6954" t="s">
        <v>4909</v>
      </c>
      <c r="E6954" t="s">
        <v>4909</v>
      </c>
      <c r="F6954" t="s">
        <v>4909</v>
      </c>
      <c r="G6954" t="s">
        <v>4909</v>
      </c>
      <c r="H6954" t="s">
        <v>4909</v>
      </c>
      <c r="I6954" t="s">
        <v>4909</v>
      </c>
      <c r="J6954" t="s">
        <v>4909</v>
      </c>
      <c r="K6954" t="s">
        <v>4909</v>
      </c>
    </row>
    <row r="6955" spans="1:11" x14ac:dyDescent="0.2">
      <c r="A6955" t="s">
        <v>4364</v>
      </c>
      <c r="B6955" t="s">
        <v>4909</v>
      </c>
      <c r="C6955" t="s">
        <v>4909</v>
      </c>
      <c r="D6955" t="s">
        <v>4909</v>
      </c>
      <c r="E6955" t="s">
        <v>4909</v>
      </c>
      <c r="F6955" t="s">
        <v>4909</v>
      </c>
      <c r="G6955" t="s">
        <v>4909</v>
      </c>
      <c r="H6955" t="s">
        <v>4909</v>
      </c>
      <c r="I6955" t="s">
        <v>4909</v>
      </c>
      <c r="J6955" t="s">
        <v>4909</v>
      </c>
      <c r="K6955" t="s">
        <v>4909</v>
      </c>
    </row>
    <row r="6956" spans="1:11" x14ac:dyDescent="0.2">
      <c r="A6956" t="s">
        <v>4365</v>
      </c>
      <c r="B6956" t="s">
        <v>4909</v>
      </c>
      <c r="C6956" t="s">
        <v>4909</v>
      </c>
      <c r="D6956" t="s">
        <v>4909</v>
      </c>
      <c r="E6956" s="88">
        <v>1E-3</v>
      </c>
      <c r="F6956" s="88">
        <v>0</v>
      </c>
      <c r="G6956" t="s">
        <v>4909</v>
      </c>
      <c r="H6956" t="s">
        <v>4909</v>
      </c>
      <c r="I6956" t="s">
        <v>4909</v>
      </c>
      <c r="J6956" t="s">
        <v>4909</v>
      </c>
      <c r="K6956" t="s">
        <v>4909</v>
      </c>
    </row>
    <row r="6957" spans="1:11" x14ac:dyDescent="0.2">
      <c r="A6957" t="s">
        <v>4366</v>
      </c>
      <c r="B6957" t="s">
        <v>4909</v>
      </c>
      <c r="C6957" t="s">
        <v>4909</v>
      </c>
      <c r="D6957" t="s">
        <v>4909</v>
      </c>
      <c r="E6957" t="s">
        <v>4909</v>
      </c>
      <c r="F6957" t="s">
        <v>4909</v>
      </c>
      <c r="G6957" t="s">
        <v>4909</v>
      </c>
      <c r="H6957" t="s">
        <v>4909</v>
      </c>
      <c r="I6957" t="s">
        <v>4909</v>
      </c>
      <c r="J6957" t="s">
        <v>4909</v>
      </c>
      <c r="K6957" t="s">
        <v>4909</v>
      </c>
    </row>
    <row r="6958" spans="1:11" x14ac:dyDescent="0.2">
      <c r="A6958" t="s">
        <v>4367</v>
      </c>
      <c r="B6958" t="s">
        <v>4909</v>
      </c>
      <c r="C6958" t="s">
        <v>4909</v>
      </c>
      <c r="D6958" t="s">
        <v>4909</v>
      </c>
      <c r="E6958" t="s">
        <v>4909</v>
      </c>
      <c r="F6958" t="s">
        <v>4909</v>
      </c>
      <c r="G6958" t="s">
        <v>4909</v>
      </c>
      <c r="H6958" t="s">
        <v>4909</v>
      </c>
      <c r="I6958" t="s">
        <v>4909</v>
      </c>
      <c r="J6958" t="s">
        <v>4909</v>
      </c>
      <c r="K6958" t="s">
        <v>4909</v>
      </c>
    </row>
    <row r="6959" spans="1:11" x14ac:dyDescent="0.2">
      <c r="A6959" t="s">
        <v>4368</v>
      </c>
      <c r="B6959" t="s">
        <v>4909</v>
      </c>
      <c r="C6959" t="s">
        <v>4909</v>
      </c>
      <c r="D6959" s="88">
        <v>0</v>
      </c>
      <c r="E6959" s="88">
        <v>2.1999999999999999E-2</v>
      </c>
      <c r="F6959" s="88">
        <v>6.0000000000000001E-3</v>
      </c>
      <c r="G6959" t="s">
        <v>4909</v>
      </c>
      <c r="H6959" t="s">
        <v>4909</v>
      </c>
      <c r="I6959" t="s">
        <v>4909</v>
      </c>
      <c r="J6959" t="s">
        <v>4909</v>
      </c>
      <c r="K6959" t="s">
        <v>4909</v>
      </c>
    </row>
    <row r="6960" spans="1:11" x14ac:dyDescent="0.2">
      <c r="A6960" t="s">
        <v>4369</v>
      </c>
      <c r="B6960" s="88">
        <v>0</v>
      </c>
      <c r="C6960" t="s">
        <v>4909</v>
      </c>
      <c r="D6960" s="88">
        <v>0</v>
      </c>
      <c r="E6960" s="88">
        <v>8.0000000000000002E-3</v>
      </c>
      <c r="F6960" s="88">
        <v>2E-3</v>
      </c>
      <c r="G6960" t="s">
        <v>4909</v>
      </c>
      <c r="H6960" t="s">
        <v>4909</v>
      </c>
      <c r="I6960" t="s">
        <v>4909</v>
      </c>
      <c r="J6960" s="88">
        <v>0</v>
      </c>
      <c r="K6960" t="s">
        <v>4909</v>
      </c>
    </row>
    <row r="6961" spans="1:11" x14ac:dyDescent="0.2">
      <c r="A6961" t="s">
        <v>4370</v>
      </c>
      <c r="B6961" t="s">
        <v>4909</v>
      </c>
      <c r="C6961" t="s">
        <v>4909</v>
      </c>
      <c r="D6961" t="s">
        <v>4909</v>
      </c>
      <c r="E6961" t="s">
        <v>4909</v>
      </c>
      <c r="F6961" t="s">
        <v>4909</v>
      </c>
      <c r="G6961" t="s">
        <v>4909</v>
      </c>
      <c r="H6961" t="s">
        <v>4909</v>
      </c>
      <c r="I6961" t="s">
        <v>4909</v>
      </c>
      <c r="J6961" t="s">
        <v>4909</v>
      </c>
      <c r="K6961" t="s">
        <v>4909</v>
      </c>
    </row>
    <row r="6962" spans="1:11" x14ac:dyDescent="0.2">
      <c r="A6962" t="s">
        <v>4371</v>
      </c>
      <c r="B6962" t="s">
        <v>4909</v>
      </c>
      <c r="C6962" t="s">
        <v>4909</v>
      </c>
      <c r="D6962" t="s">
        <v>4909</v>
      </c>
      <c r="E6962" t="s">
        <v>4909</v>
      </c>
      <c r="F6962" t="s">
        <v>4909</v>
      </c>
      <c r="G6962" t="s">
        <v>4909</v>
      </c>
      <c r="H6962" t="s">
        <v>4909</v>
      </c>
      <c r="I6962" t="s">
        <v>4909</v>
      </c>
      <c r="J6962" t="s">
        <v>4909</v>
      </c>
      <c r="K6962" t="s">
        <v>4909</v>
      </c>
    </row>
    <row r="6963" spans="1:11" x14ac:dyDescent="0.2">
      <c r="A6963" t="s">
        <v>4372</v>
      </c>
      <c r="B6963" t="s">
        <v>4909</v>
      </c>
      <c r="C6963" t="s">
        <v>4909</v>
      </c>
      <c r="D6963" t="s">
        <v>4909</v>
      </c>
      <c r="E6963" t="s">
        <v>4909</v>
      </c>
      <c r="F6963" t="s">
        <v>4909</v>
      </c>
      <c r="G6963" t="s">
        <v>4909</v>
      </c>
      <c r="H6963" t="s">
        <v>4909</v>
      </c>
      <c r="I6963" t="s">
        <v>4909</v>
      </c>
      <c r="J6963" t="s">
        <v>4909</v>
      </c>
      <c r="K6963" t="s">
        <v>4909</v>
      </c>
    </row>
    <row r="6964" spans="1:11" x14ac:dyDescent="0.2">
      <c r="A6964" t="s">
        <v>4373</v>
      </c>
      <c r="B6964" t="s">
        <v>4909</v>
      </c>
      <c r="C6964" t="s">
        <v>4909</v>
      </c>
      <c r="D6964" t="s">
        <v>4909</v>
      </c>
      <c r="E6964" t="s">
        <v>4909</v>
      </c>
      <c r="F6964" t="s">
        <v>4909</v>
      </c>
      <c r="G6964" t="s">
        <v>4909</v>
      </c>
      <c r="H6964" t="s">
        <v>4909</v>
      </c>
      <c r="I6964" t="s">
        <v>4909</v>
      </c>
      <c r="J6964" t="s">
        <v>4909</v>
      </c>
      <c r="K6964" t="s">
        <v>4909</v>
      </c>
    </row>
    <row r="6965" spans="1:11" x14ac:dyDescent="0.2">
      <c r="A6965" t="s">
        <v>4374</v>
      </c>
      <c r="B6965" t="s">
        <v>4909</v>
      </c>
      <c r="C6965" t="s">
        <v>4909</v>
      </c>
      <c r="D6965" t="s">
        <v>4909</v>
      </c>
      <c r="E6965" t="s">
        <v>4909</v>
      </c>
      <c r="F6965" t="s">
        <v>4909</v>
      </c>
      <c r="G6965" t="s">
        <v>4909</v>
      </c>
      <c r="H6965" t="s">
        <v>4909</v>
      </c>
      <c r="I6965" t="s">
        <v>4909</v>
      </c>
      <c r="J6965" t="s">
        <v>4909</v>
      </c>
      <c r="K6965" t="s">
        <v>4909</v>
      </c>
    </row>
    <row r="6966" spans="1:11" x14ac:dyDescent="0.2">
      <c r="A6966" t="s">
        <v>4375</v>
      </c>
      <c r="B6966" t="s">
        <v>4909</v>
      </c>
      <c r="C6966" t="s">
        <v>4909</v>
      </c>
      <c r="D6966" t="s">
        <v>4909</v>
      </c>
      <c r="E6966" t="s">
        <v>4909</v>
      </c>
      <c r="F6966" s="88">
        <v>0</v>
      </c>
      <c r="G6966" t="s">
        <v>4909</v>
      </c>
      <c r="H6966" t="s">
        <v>4909</v>
      </c>
      <c r="I6966" t="s">
        <v>4909</v>
      </c>
      <c r="J6966" t="s">
        <v>4909</v>
      </c>
      <c r="K6966" t="s">
        <v>4909</v>
      </c>
    </row>
    <row r="6967" spans="1:11" x14ac:dyDescent="0.2">
      <c r="A6967" t="s">
        <v>4376</v>
      </c>
      <c r="B6967" t="s">
        <v>4909</v>
      </c>
      <c r="C6967" t="s">
        <v>4909</v>
      </c>
      <c r="D6967" t="s">
        <v>4909</v>
      </c>
      <c r="E6967" t="s">
        <v>4909</v>
      </c>
      <c r="F6967" t="s">
        <v>4909</v>
      </c>
      <c r="G6967" t="s">
        <v>4909</v>
      </c>
      <c r="H6967" t="s">
        <v>4909</v>
      </c>
      <c r="I6967" t="s">
        <v>4909</v>
      </c>
      <c r="J6967" t="s">
        <v>4909</v>
      </c>
      <c r="K6967" t="s">
        <v>4909</v>
      </c>
    </row>
    <row r="6968" spans="1:11" x14ac:dyDescent="0.2">
      <c r="A6968" t="s">
        <v>4377</v>
      </c>
      <c r="B6968" t="s">
        <v>4909</v>
      </c>
      <c r="C6968" t="s">
        <v>4909</v>
      </c>
      <c r="D6968" t="s">
        <v>4909</v>
      </c>
      <c r="E6968" s="88">
        <v>0</v>
      </c>
      <c r="F6968" s="88">
        <v>0</v>
      </c>
      <c r="G6968" t="s">
        <v>4909</v>
      </c>
      <c r="H6968" t="s">
        <v>4909</v>
      </c>
      <c r="I6968" t="s">
        <v>4909</v>
      </c>
      <c r="J6968" t="s">
        <v>4909</v>
      </c>
      <c r="K6968" t="s">
        <v>4909</v>
      </c>
    </row>
    <row r="6969" spans="1:11" x14ac:dyDescent="0.2">
      <c r="A6969" t="s">
        <v>2318</v>
      </c>
      <c r="B6969" t="s">
        <v>4399</v>
      </c>
      <c r="C6969" t="s">
        <v>4399</v>
      </c>
      <c r="D6969" t="s">
        <v>4399</v>
      </c>
      <c r="E6969" t="s">
        <v>4399</v>
      </c>
      <c r="F6969" t="s">
        <v>4399</v>
      </c>
      <c r="G6969" t="s">
        <v>4399</v>
      </c>
      <c r="H6969" t="s">
        <v>4399</v>
      </c>
      <c r="I6969" t="s">
        <v>4399</v>
      </c>
      <c r="J6969" t="s">
        <v>4399</v>
      </c>
      <c r="K6969" t="s">
        <v>4399</v>
      </c>
    </row>
    <row r="6970" spans="1:11" x14ac:dyDescent="0.2">
      <c r="A6970" t="s">
        <v>4248</v>
      </c>
    </row>
    <row r="6971" spans="1:11" x14ac:dyDescent="0.2">
      <c r="A6971" t="s">
        <v>4910</v>
      </c>
      <c r="B6971" t="s">
        <v>4904</v>
      </c>
      <c r="C6971" t="s">
        <v>4911</v>
      </c>
      <c r="D6971" t="s">
        <v>4912</v>
      </c>
      <c r="E6971" t="s">
        <v>4907</v>
      </c>
      <c r="F6971" t="s">
        <v>4913</v>
      </c>
      <c r="G6971">
        <v>10</v>
      </c>
    </row>
    <row r="6972" spans="1:11" x14ac:dyDescent="0.2">
      <c r="A6972" t="s">
        <v>2318</v>
      </c>
      <c r="B6972" t="s">
        <v>4399</v>
      </c>
      <c r="C6972" t="s">
        <v>4399</v>
      </c>
      <c r="D6972" t="s">
        <v>4399</v>
      </c>
      <c r="E6972" t="s">
        <v>4399</v>
      </c>
      <c r="F6972" t="s">
        <v>4399</v>
      </c>
      <c r="G6972" t="s">
        <v>4399</v>
      </c>
      <c r="H6972" t="s">
        <v>4399</v>
      </c>
      <c r="I6972" t="s">
        <v>4399</v>
      </c>
      <c r="J6972" t="s">
        <v>4399</v>
      </c>
      <c r="K6972" t="s">
        <v>4399</v>
      </c>
    </row>
    <row r="6973" spans="1:11" x14ac:dyDescent="0.2">
      <c r="A6973" t="s">
        <v>126</v>
      </c>
      <c r="B6973" t="s">
        <v>4730</v>
      </c>
      <c r="C6973" t="s">
        <v>4734</v>
      </c>
      <c r="D6973" t="s">
        <v>4738</v>
      </c>
      <c r="E6973" t="s">
        <v>4742</v>
      </c>
      <c r="F6973" t="s">
        <v>388</v>
      </c>
      <c r="G6973" t="s">
        <v>389</v>
      </c>
      <c r="H6973" t="s">
        <v>4752</v>
      </c>
      <c r="I6973" t="s">
        <v>4756</v>
      </c>
      <c r="J6973" t="s">
        <v>381</v>
      </c>
      <c r="K6973" t="s">
        <v>382</v>
      </c>
    </row>
    <row r="6974" spans="1:11" x14ac:dyDescent="0.2">
      <c r="A6974" t="s">
        <v>2318</v>
      </c>
      <c r="B6974" t="s">
        <v>4399</v>
      </c>
      <c r="C6974" t="s">
        <v>4399</v>
      </c>
      <c r="D6974" t="s">
        <v>4399</v>
      </c>
      <c r="E6974" t="s">
        <v>4399</v>
      </c>
      <c r="F6974" t="s">
        <v>4399</v>
      </c>
      <c r="G6974" t="s">
        <v>4399</v>
      </c>
      <c r="H6974" t="s">
        <v>4399</v>
      </c>
      <c r="I6974" t="s">
        <v>4399</v>
      </c>
      <c r="J6974" t="s">
        <v>4399</v>
      </c>
      <c r="K6974" t="s">
        <v>4399</v>
      </c>
    </row>
    <row r="6975" spans="1:11" x14ac:dyDescent="0.2">
      <c r="A6975" t="s">
        <v>4265</v>
      </c>
      <c r="B6975" t="s">
        <v>4909</v>
      </c>
      <c r="C6975" t="s">
        <v>4909</v>
      </c>
      <c r="D6975" t="s">
        <v>4909</v>
      </c>
      <c r="E6975" t="s">
        <v>4909</v>
      </c>
      <c r="F6975" t="s">
        <v>4909</v>
      </c>
      <c r="G6975" t="s">
        <v>4909</v>
      </c>
      <c r="H6975" t="s">
        <v>4909</v>
      </c>
      <c r="I6975" t="s">
        <v>4909</v>
      </c>
      <c r="J6975" t="s">
        <v>4909</v>
      </c>
      <c r="K6975" t="s">
        <v>4909</v>
      </c>
    </row>
    <row r="6976" spans="1:11" x14ac:dyDescent="0.2">
      <c r="A6976" t="s">
        <v>4266</v>
      </c>
      <c r="B6976" t="s">
        <v>4909</v>
      </c>
      <c r="C6976" t="s">
        <v>4909</v>
      </c>
      <c r="D6976" t="s">
        <v>4909</v>
      </c>
      <c r="E6976" t="s">
        <v>4909</v>
      </c>
      <c r="F6976" t="s">
        <v>4909</v>
      </c>
      <c r="G6976" t="s">
        <v>4909</v>
      </c>
      <c r="H6976" t="s">
        <v>4909</v>
      </c>
      <c r="I6976" t="s">
        <v>4909</v>
      </c>
      <c r="J6976" t="s">
        <v>4909</v>
      </c>
      <c r="K6976" t="s">
        <v>4909</v>
      </c>
    </row>
    <row r="6977" spans="1:11" x14ac:dyDescent="0.2">
      <c r="A6977" t="s">
        <v>4267</v>
      </c>
      <c r="B6977" t="s">
        <v>4909</v>
      </c>
      <c r="C6977" t="s">
        <v>4909</v>
      </c>
      <c r="D6977" t="s">
        <v>4909</v>
      </c>
      <c r="E6977" t="s">
        <v>4909</v>
      </c>
      <c r="F6977" t="s">
        <v>4909</v>
      </c>
      <c r="G6977" t="s">
        <v>4909</v>
      </c>
      <c r="H6977" t="s">
        <v>4909</v>
      </c>
      <c r="I6977" t="s">
        <v>4909</v>
      </c>
      <c r="J6977" t="s">
        <v>4909</v>
      </c>
      <c r="K6977" t="s">
        <v>4909</v>
      </c>
    </row>
    <row r="6978" spans="1:11" x14ac:dyDescent="0.2">
      <c r="A6978" t="s">
        <v>4268</v>
      </c>
      <c r="B6978" t="s">
        <v>4909</v>
      </c>
      <c r="C6978" t="s">
        <v>4909</v>
      </c>
      <c r="D6978" t="s">
        <v>4909</v>
      </c>
      <c r="E6978" t="s">
        <v>4909</v>
      </c>
      <c r="F6978" t="s">
        <v>4909</v>
      </c>
      <c r="G6978" t="s">
        <v>4909</v>
      </c>
      <c r="H6978" t="s">
        <v>4909</v>
      </c>
      <c r="I6978" t="s">
        <v>4909</v>
      </c>
      <c r="J6978" t="s">
        <v>4909</v>
      </c>
      <c r="K6978" t="s">
        <v>4909</v>
      </c>
    </row>
    <row r="6979" spans="1:11" x14ac:dyDescent="0.2">
      <c r="A6979" t="s">
        <v>4269</v>
      </c>
      <c r="B6979" t="s">
        <v>4909</v>
      </c>
      <c r="C6979" t="s">
        <v>4909</v>
      </c>
      <c r="D6979" t="s">
        <v>4909</v>
      </c>
      <c r="E6979" t="s">
        <v>4909</v>
      </c>
      <c r="F6979" t="s">
        <v>4909</v>
      </c>
      <c r="G6979" t="s">
        <v>4909</v>
      </c>
      <c r="H6979" t="s">
        <v>4909</v>
      </c>
      <c r="I6979" t="s">
        <v>4909</v>
      </c>
      <c r="J6979" t="s">
        <v>4909</v>
      </c>
      <c r="K6979" t="s">
        <v>4909</v>
      </c>
    </row>
    <row r="6980" spans="1:11" x14ac:dyDescent="0.2">
      <c r="A6980" t="s">
        <v>4270</v>
      </c>
      <c r="B6980" t="s">
        <v>4909</v>
      </c>
      <c r="C6980" t="s">
        <v>4909</v>
      </c>
      <c r="D6980" t="s">
        <v>4909</v>
      </c>
      <c r="E6980" t="s">
        <v>4909</v>
      </c>
      <c r="F6980" t="s">
        <v>4909</v>
      </c>
      <c r="G6980" t="s">
        <v>4909</v>
      </c>
      <c r="H6980" t="s">
        <v>4909</v>
      </c>
      <c r="I6980" t="s">
        <v>4909</v>
      </c>
      <c r="J6980" t="s">
        <v>4909</v>
      </c>
      <c r="K6980" t="s">
        <v>4909</v>
      </c>
    </row>
    <row r="6981" spans="1:11" x14ac:dyDescent="0.2">
      <c r="A6981" t="s">
        <v>4271</v>
      </c>
      <c r="B6981" t="s">
        <v>4909</v>
      </c>
      <c r="C6981" t="s">
        <v>4909</v>
      </c>
      <c r="D6981" t="s">
        <v>4909</v>
      </c>
      <c r="E6981" t="s">
        <v>4909</v>
      </c>
      <c r="F6981" t="s">
        <v>4909</v>
      </c>
      <c r="G6981" t="s">
        <v>4909</v>
      </c>
      <c r="H6981" t="s">
        <v>4909</v>
      </c>
      <c r="I6981" t="s">
        <v>4909</v>
      </c>
      <c r="J6981" t="s">
        <v>4909</v>
      </c>
      <c r="K6981" t="s">
        <v>4909</v>
      </c>
    </row>
    <row r="6982" spans="1:11" x14ac:dyDescent="0.2">
      <c r="A6982" t="s">
        <v>4272</v>
      </c>
      <c r="B6982" t="s">
        <v>4909</v>
      </c>
      <c r="C6982" t="s">
        <v>4909</v>
      </c>
      <c r="D6982" t="s">
        <v>4909</v>
      </c>
      <c r="E6982" t="s">
        <v>4909</v>
      </c>
      <c r="F6982" t="s">
        <v>4909</v>
      </c>
      <c r="G6982" t="s">
        <v>4909</v>
      </c>
      <c r="H6982" t="s">
        <v>4909</v>
      </c>
      <c r="I6982" t="s">
        <v>4909</v>
      </c>
      <c r="J6982" t="s">
        <v>4909</v>
      </c>
      <c r="K6982" t="s">
        <v>4909</v>
      </c>
    </row>
    <row r="6983" spans="1:11" x14ac:dyDescent="0.2">
      <c r="A6983" t="s">
        <v>4273</v>
      </c>
      <c r="B6983" t="s">
        <v>4909</v>
      </c>
      <c r="C6983" t="s">
        <v>4909</v>
      </c>
      <c r="D6983" t="s">
        <v>4909</v>
      </c>
      <c r="E6983" t="s">
        <v>4909</v>
      </c>
      <c r="F6983" t="s">
        <v>4909</v>
      </c>
      <c r="G6983" t="s">
        <v>4909</v>
      </c>
      <c r="H6983" t="s">
        <v>4909</v>
      </c>
      <c r="I6983" t="s">
        <v>4909</v>
      </c>
      <c r="J6983" t="s">
        <v>4909</v>
      </c>
      <c r="K6983" t="s">
        <v>4909</v>
      </c>
    </row>
    <row r="6984" spans="1:11" x14ac:dyDescent="0.2">
      <c r="A6984" t="s">
        <v>4274</v>
      </c>
      <c r="B6984" t="s">
        <v>4909</v>
      </c>
      <c r="C6984" t="s">
        <v>4909</v>
      </c>
      <c r="D6984" t="s">
        <v>4909</v>
      </c>
      <c r="E6984" t="s">
        <v>4909</v>
      </c>
      <c r="F6984" t="s">
        <v>4909</v>
      </c>
      <c r="G6984" t="s">
        <v>4909</v>
      </c>
      <c r="H6984" t="s">
        <v>4909</v>
      </c>
      <c r="I6984" t="s">
        <v>4909</v>
      </c>
      <c r="J6984" t="s">
        <v>4909</v>
      </c>
      <c r="K6984" t="s">
        <v>4909</v>
      </c>
    </row>
    <row r="6985" spans="1:11" x14ac:dyDescent="0.2">
      <c r="A6985" t="s">
        <v>4275</v>
      </c>
      <c r="B6985" t="s">
        <v>4909</v>
      </c>
      <c r="C6985" t="s">
        <v>4909</v>
      </c>
      <c r="D6985" t="s">
        <v>4909</v>
      </c>
      <c r="E6985" t="s">
        <v>4909</v>
      </c>
      <c r="F6985" t="s">
        <v>4909</v>
      </c>
      <c r="G6985" t="s">
        <v>4909</v>
      </c>
      <c r="H6985" t="s">
        <v>4909</v>
      </c>
      <c r="I6985" t="s">
        <v>4909</v>
      </c>
      <c r="J6985" t="s">
        <v>4909</v>
      </c>
      <c r="K6985" t="s">
        <v>4909</v>
      </c>
    </row>
    <row r="6986" spans="1:11" x14ac:dyDescent="0.2">
      <c r="A6986" t="s">
        <v>4276</v>
      </c>
      <c r="B6986" t="s">
        <v>4909</v>
      </c>
      <c r="C6986" t="s">
        <v>4909</v>
      </c>
      <c r="D6986" t="s">
        <v>4909</v>
      </c>
      <c r="E6986" t="s">
        <v>4909</v>
      </c>
      <c r="F6986" t="s">
        <v>4909</v>
      </c>
      <c r="G6986" t="s">
        <v>4909</v>
      </c>
      <c r="H6986" t="s">
        <v>4909</v>
      </c>
      <c r="I6986" t="s">
        <v>4909</v>
      </c>
      <c r="J6986" t="s">
        <v>4909</v>
      </c>
      <c r="K6986" t="s">
        <v>4909</v>
      </c>
    </row>
    <row r="6987" spans="1:11" x14ac:dyDescent="0.2">
      <c r="A6987" t="s">
        <v>4277</v>
      </c>
      <c r="B6987" t="s">
        <v>4909</v>
      </c>
      <c r="C6987" t="s">
        <v>4909</v>
      </c>
      <c r="D6987" t="s">
        <v>4909</v>
      </c>
      <c r="E6987" t="s">
        <v>4909</v>
      </c>
      <c r="F6987" t="s">
        <v>4909</v>
      </c>
      <c r="G6987" t="s">
        <v>4909</v>
      </c>
      <c r="H6987" t="s">
        <v>4909</v>
      </c>
      <c r="I6987" t="s">
        <v>4909</v>
      </c>
      <c r="J6987" t="s">
        <v>4909</v>
      </c>
      <c r="K6987" t="s">
        <v>4909</v>
      </c>
    </row>
    <row r="6988" spans="1:11" x14ac:dyDescent="0.2">
      <c r="A6988" t="s">
        <v>4278</v>
      </c>
      <c r="B6988" t="s">
        <v>4909</v>
      </c>
      <c r="C6988" t="s">
        <v>4909</v>
      </c>
      <c r="D6988" t="s">
        <v>4909</v>
      </c>
      <c r="E6988" t="s">
        <v>4909</v>
      </c>
      <c r="F6988" t="s">
        <v>4909</v>
      </c>
      <c r="G6988" t="s">
        <v>4909</v>
      </c>
      <c r="H6988" t="s">
        <v>4909</v>
      </c>
      <c r="I6988" t="s">
        <v>4909</v>
      </c>
      <c r="J6988" t="s">
        <v>4909</v>
      </c>
      <c r="K6988" t="s">
        <v>4909</v>
      </c>
    </row>
    <row r="6989" spans="1:11" x14ac:dyDescent="0.2">
      <c r="A6989" t="s">
        <v>4279</v>
      </c>
      <c r="B6989" t="s">
        <v>4909</v>
      </c>
      <c r="C6989" t="s">
        <v>4909</v>
      </c>
      <c r="D6989" t="s">
        <v>4909</v>
      </c>
      <c r="E6989" t="s">
        <v>4909</v>
      </c>
      <c r="F6989" t="s">
        <v>4909</v>
      </c>
      <c r="G6989" t="s">
        <v>4909</v>
      </c>
      <c r="H6989" t="s">
        <v>4909</v>
      </c>
      <c r="I6989" t="s">
        <v>4909</v>
      </c>
      <c r="J6989" t="s">
        <v>4909</v>
      </c>
      <c r="K6989" t="s">
        <v>4909</v>
      </c>
    </row>
    <row r="6990" spans="1:11" x14ac:dyDescent="0.2">
      <c r="A6990" t="s">
        <v>4280</v>
      </c>
      <c r="B6990" t="s">
        <v>4909</v>
      </c>
      <c r="C6990" t="s">
        <v>4909</v>
      </c>
      <c r="D6990" t="s">
        <v>4909</v>
      </c>
      <c r="E6990" t="s">
        <v>4909</v>
      </c>
      <c r="F6990" t="s">
        <v>4909</v>
      </c>
      <c r="G6990" t="s">
        <v>4909</v>
      </c>
      <c r="H6990" t="s">
        <v>4909</v>
      </c>
      <c r="I6990" t="s">
        <v>4909</v>
      </c>
      <c r="J6990" t="s">
        <v>4909</v>
      </c>
      <c r="K6990" t="s">
        <v>4909</v>
      </c>
    </row>
    <row r="6991" spans="1:11" x14ac:dyDescent="0.2">
      <c r="A6991" t="s">
        <v>4281</v>
      </c>
      <c r="B6991" t="s">
        <v>4909</v>
      </c>
      <c r="C6991" s="88">
        <v>0</v>
      </c>
      <c r="D6991" t="s">
        <v>4909</v>
      </c>
      <c r="E6991" t="s">
        <v>4909</v>
      </c>
      <c r="F6991" t="s">
        <v>4909</v>
      </c>
      <c r="G6991" s="88">
        <v>2E-3</v>
      </c>
      <c r="H6991" t="s">
        <v>4909</v>
      </c>
      <c r="I6991" t="s">
        <v>4909</v>
      </c>
      <c r="J6991" t="s">
        <v>4909</v>
      </c>
      <c r="K6991" s="88">
        <v>0</v>
      </c>
    </row>
    <row r="6992" spans="1:11" x14ac:dyDescent="0.2">
      <c r="A6992" t="s">
        <v>4282</v>
      </c>
      <c r="B6992" t="s">
        <v>4909</v>
      </c>
      <c r="C6992" s="88">
        <v>0</v>
      </c>
      <c r="D6992" t="s">
        <v>4909</v>
      </c>
      <c r="E6992" t="s">
        <v>4909</v>
      </c>
      <c r="F6992" t="s">
        <v>4909</v>
      </c>
      <c r="G6992" s="88">
        <v>3.0000000000000001E-3</v>
      </c>
      <c r="H6992" s="88">
        <v>0</v>
      </c>
      <c r="I6992" t="s">
        <v>4909</v>
      </c>
      <c r="J6992" t="s">
        <v>4909</v>
      </c>
      <c r="K6992" s="88">
        <v>1E-3</v>
      </c>
    </row>
    <row r="6993" spans="1:11" x14ac:dyDescent="0.2">
      <c r="A6993" t="s">
        <v>4283</v>
      </c>
      <c r="B6993" t="s">
        <v>4909</v>
      </c>
      <c r="C6993" s="88">
        <v>0</v>
      </c>
      <c r="D6993" t="s">
        <v>4909</v>
      </c>
      <c r="E6993" t="s">
        <v>4909</v>
      </c>
      <c r="F6993" t="s">
        <v>4909</v>
      </c>
      <c r="G6993" s="88">
        <v>1E-3</v>
      </c>
      <c r="H6993" t="s">
        <v>4909</v>
      </c>
      <c r="I6993" t="s">
        <v>4909</v>
      </c>
      <c r="J6993" t="s">
        <v>4909</v>
      </c>
      <c r="K6993" s="88">
        <v>0</v>
      </c>
    </row>
    <row r="6994" spans="1:11" x14ac:dyDescent="0.2">
      <c r="A6994" t="s">
        <v>4284</v>
      </c>
      <c r="B6994" t="s">
        <v>4909</v>
      </c>
      <c r="C6994" t="s">
        <v>4909</v>
      </c>
      <c r="D6994" t="s">
        <v>4909</v>
      </c>
      <c r="E6994" t="s">
        <v>4909</v>
      </c>
      <c r="F6994" t="s">
        <v>4909</v>
      </c>
      <c r="G6994" s="88">
        <v>0</v>
      </c>
      <c r="H6994" t="s">
        <v>4909</v>
      </c>
      <c r="I6994" t="s">
        <v>4909</v>
      </c>
      <c r="J6994" t="s">
        <v>4909</v>
      </c>
      <c r="K6994" t="s">
        <v>4909</v>
      </c>
    </row>
    <row r="6995" spans="1:11" x14ac:dyDescent="0.2">
      <c r="A6995" t="s">
        <v>4285</v>
      </c>
      <c r="B6995" t="s">
        <v>4909</v>
      </c>
      <c r="C6995" s="88">
        <v>0</v>
      </c>
      <c r="D6995" t="s">
        <v>4909</v>
      </c>
      <c r="E6995" t="s">
        <v>4909</v>
      </c>
      <c r="F6995" t="s">
        <v>4909</v>
      </c>
      <c r="G6995" s="88">
        <v>3.0000000000000001E-3</v>
      </c>
      <c r="H6995" t="s">
        <v>4909</v>
      </c>
      <c r="I6995" t="s">
        <v>4909</v>
      </c>
      <c r="J6995" t="s">
        <v>4909</v>
      </c>
      <c r="K6995" s="88">
        <v>1E-3</v>
      </c>
    </row>
    <row r="6996" spans="1:11" x14ac:dyDescent="0.2">
      <c r="A6996" t="s">
        <v>4286</v>
      </c>
      <c r="B6996" t="s">
        <v>4909</v>
      </c>
      <c r="C6996" s="88">
        <v>0</v>
      </c>
      <c r="D6996" t="s">
        <v>4909</v>
      </c>
      <c r="E6996" t="s">
        <v>4909</v>
      </c>
      <c r="F6996" t="s">
        <v>4909</v>
      </c>
      <c r="G6996" s="88">
        <v>6.0000000000000001E-3</v>
      </c>
      <c r="H6996" s="88">
        <v>0</v>
      </c>
      <c r="I6996" t="s">
        <v>4909</v>
      </c>
      <c r="J6996" t="s">
        <v>4909</v>
      </c>
      <c r="K6996" s="88">
        <v>2E-3</v>
      </c>
    </row>
    <row r="6997" spans="1:11" x14ac:dyDescent="0.2">
      <c r="A6997" t="s">
        <v>4287</v>
      </c>
      <c r="B6997" t="s">
        <v>4909</v>
      </c>
      <c r="C6997" t="s">
        <v>4909</v>
      </c>
      <c r="D6997" t="s">
        <v>4909</v>
      </c>
      <c r="E6997" t="s">
        <v>4909</v>
      </c>
      <c r="F6997" t="s">
        <v>4909</v>
      </c>
      <c r="G6997" s="88">
        <v>0</v>
      </c>
      <c r="H6997" t="s">
        <v>4909</v>
      </c>
      <c r="I6997" t="s">
        <v>4909</v>
      </c>
      <c r="J6997" t="s">
        <v>4909</v>
      </c>
      <c r="K6997" t="s">
        <v>4909</v>
      </c>
    </row>
    <row r="6998" spans="1:11" x14ac:dyDescent="0.2">
      <c r="A6998" t="s">
        <v>4288</v>
      </c>
      <c r="B6998" t="s">
        <v>4909</v>
      </c>
      <c r="C6998" t="s">
        <v>4909</v>
      </c>
      <c r="D6998" t="s">
        <v>4909</v>
      </c>
      <c r="E6998" t="s">
        <v>4909</v>
      </c>
      <c r="F6998" t="s">
        <v>4909</v>
      </c>
      <c r="G6998" t="s">
        <v>4909</v>
      </c>
      <c r="H6998" t="s">
        <v>4909</v>
      </c>
      <c r="I6998" t="s">
        <v>4909</v>
      </c>
      <c r="J6998" t="s">
        <v>4909</v>
      </c>
      <c r="K6998" t="s">
        <v>4909</v>
      </c>
    </row>
    <row r="6999" spans="1:11" x14ac:dyDescent="0.2">
      <c r="A6999" t="s">
        <v>4289</v>
      </c>
      <c r="B6999" t="s">
        <v>4909</v>
      </c>
      <c r="C6999" t="s">
        <v>4909</v>
      </c>
      <c r="D6999" t="s">
        <v>4909</v>
      </c>
      <c r="E6999" t="s">
        <v>4909</v>
      </c>
      <c r="F6999" t="s">
        <v>4909</v>
      </c>
      <c r="G6999" t="s">
        <v>4909</v>
      </c>
      <c r="H6999" t="s">
        <v>4909</v>
      </c>
      <c r="I6999" t="s">
        <v>4909</v>
      </c>
      <c r="J6999" t="s">
        <v>4909</v>
      </c>
      <c r="K6999" t="s">
        <v>4909</v>
      </c>
    </row>
    <row r="7000" spans="1:11" x14ac:dyDescent="0.2">
      <c r="A7000" t="s">
        <v>4290</v>
      </c>
      <c r="B7000" t="s">
        <v>4909</v>
      </c>
      <c r="C7000" t="s">
        <v>4909</v>
      </c>
      <c r="D7000" t="s">
        <v>4909</v>
      </c>
      <c r="E7000" t="s">
        <v>4909</v>
      </c>
      <c r="F7000" t="s">
        <v>4909</v>
      </c>
      <c r="G7000" t="s">
        <v>4909</v>
      </c>
      <c r="H7000" t="s">
        <v>4909</v>
      </c>
      <c r="I7000" t="s">
        <v>4909</v>
      </c>
      <c r="J7000" t="s">
        <v>4909</v>
      </c>
      <c r="K7000" t="s">
        <v>4909</v>
      </c>
    </row>
    <row r="7001" spans="1:11" x14ac:dyDescent="0.2">
      <c r="A7001" t="s">
        <v>4291</v>
      </c>
      <c r="B7001" t="s">
        <v>4909</v>
      </c>
      <c r="C7001" t="s">
        <v>4909</v>
      </c>
      <c r="D7001" t="s">
        <v>4909</v>
      </c>
      <c r="E7001" t="s">
        <v>4909</v>
      </c>
      <c r="F7001" t="s">
        <v>4909</v>
      </c>
      <c r="G7001" t="s">
        <v>4909</v>
      </c>
      <c r="H7001" t="s">
        <v>4909</v>
      </c>
      <c r="I7001" t="s">
        <v>4909</v>
      </c>
      <c r="J7001" t="s">
        <v>4909</v>
      </c>
      <c r="K7001" t="s">
        <v>4909</v>
      </c>
    </row>
    <row r="7002" spans="1:11" x14ac:dyDescent="0.2">
      <c r="A7002" t="s">
        <v>4292</v>
      </c>
      <c r="B7002" t="s">
        <v>4909</v>
      </c>
      <c r="C7002" t="s">
        <v>4909</v>
      </c>
      <c r="D7002" t="s">
        <v>4909</v>
      </c>
      <c r="E7002" t="s">
        <v>4909</v>
      </c>
      <c r="F7002" t="s">
        <v>4909</v>
      </c>
      <c r="G7002" t="s">
        <v>4909</v>
      </c>
      <c r="H7002" t="s">
        <v>4909</v>
      </c>
      <c r="I7002" t="s">
        <v>4909</v>
      </c>
      <c r="J7002" t="s">
        <v>4909</v>
      </c>
      <c r="K7002" t="s">
        <v>4909</v>
      </c>
    </row>
    <row r="7003" spans="1:11" x14ac:dyDescent="0.2">
      <c r="A7003" t="s">
        <v>4293</v>
      </c>
      <c r="B7003" t="s">
        <v>4909</v>
      </c>
      <c r="C7003" t="s">
        <v>4909</v>
      </c>
      <c r="D7003" t="s">
        <v>4909</v>
      </c>
      <c r="E7003" t="s">
        <v>4909</v>
      </c>
      <c r="F7003" t="s">
        <v>4909</v>
      </c>
      <c r="G7003" t="s">
        <v>4909</v>
      </c>
      <c r="H7003" t="s">
        <v>4909</v>
      </c>
      <c r="I7003" t="s">
        <v>4909</v>
      </c>
      <c r="J7003" t="s">
        <v>4909</v>
      </c>
      <c r="K7003" t="s">
        <v>4909</v>
      </c>
    </row>
    <row r="7004" spans="1:11" x14ac:dyDescent="0.2">
      <c r="A7004" t="s">
        <v>4294</v>
      </c>
      <c r="B7004" t="s">
        <v>4909</v>
      </c>
      <c r="C7004" t="s">
        <v>4909</v>
      </c>
      <c r="D7004" t="s">
        <v>4909</v>
      </c>
      <c r="E7004" t="s">
        <v>4909</v>
      </c>
      <c r="F7004" t="s">
        <v>4909</v>
      </c>
      <c r="G7004" t="s">
        <v>4909</v>
      </c>
      <c r="H7004" t="s">
        <v>4909</v>
      </c>
      <c r="I7004" t="s">
        <v>4909</v>
      </c>
      <c r="J7004" t="s">
        <v>4909</v>
      </c>
      <c r="K7004" t="s">
        <v>4909</v>
      </c>
    </row>
    <row r="7005" spans="1:11" x14ac:dyDescent="0.2">
      <c r="A7005" t="s">
        <v>4295</v>
      </c>
      <c r="B7005" t="s">
        <v>4909</v>
      </c>
      <c r="C7005" t="s">
        <v>4909</v>
      </c>
      <c r="D7005" t="s">
        <v>4909</v>
      </c>
      <c r="E7005" t="s">
        <v>4909</v>
      </c>
      <c r="F7005" t="s">
        <v>4909</v>
      </c>
      <c r="G7005" t="s">
        <v>4909</v>
      </c>
      <c r="H7005" t="s">
        <v>4909</v>
      </c>
      <c r="I7005" t="s">
        <v>4909</v>
      </c>
      <c r="J7005" t="s">
        <v>4909</v>
      </c>
      <c r="K7005" t="s">
        <v>4909</v>
      </c>
    </row>
    <row r="7006" spans="1:11" x14ac:dyDescent="0.2">
      <c r="A7006" t="s">
        <v>4296</v>
      </c>
      <c r="B7006" t="s">
        <v>4909</v>
      </c>
      <c r="C7006" t="s">
        <v>4909</v>
      </c>
      <c r="D7006" t="s">
        <v>4909</v>
      </c>
      <c r="E7006" t="s">
        <v>4909</v>
      </c>
      <c r="F7006" t="s">
        <v>4909</v>
      </c>
      <c r="G7006" t="s">
        <v>4909</v>
      </c>
      <c r="H7006" t="s">
        <v>4909</v>
      </c>
      <c r="I7006" t="s">
        <v>4909</v>
      </c>
      <c r="J7006" t="s">
        <v>4909</v>
      </c>
      <c r="K7006" t="s">
        <v>4909</v>
      </c>
    </row>
    <row r="7007" spans="1:11" x14ac:dyDescent="0.2">
      <c r="A7007" t="s">
        <v>4297</v>
      </c>
      <c r="B7007" t="s">
        <v>4909</v>
      </c>
      <c r="C7007" s="88">
        <v>0</v>
      </c>
      <c r="D7007" s="88">
        <v>0</v>
      </c>
      <c r="E7007" t="s">
        <v>4909</v>
      </c>
      <c r="F7007" s="88">
        <v>0</v>
      </c>
      <c r="G7007" s="88">
        <v>2E-3</v>
      </c>
      <c r="H7007" s="88">
        <v>0</v>
      </c>
      <c r="I7007" t="s">
        <v>4909</v>
      </c>
      <c r="J7007" t="s">
        <v>4909</v>
      </c>
      <c r="K7007" s="88">
        <v>1E-3</v>
      </c>
    </row>
    <row r="7008" spans="1:11" x14ac:dyDescent="0.2">
      <c r="A7008" t="s">
        <v>4298</v>
      </c>
      <c r="B7008" t="s">
        <v>4909</v>
      </c>
      <c r="C7008" s="88">
        <v>2E-3</v>
      </c>
      <c r="D7008" s="88">
        <v>0</v>
      </c>
      <c r="E7008" t="s">
        <v>4909</v>
      </c>
      <c r="F7008" s="88">
        <v>0</v>
      </c>
      <c r="G7008" s="88">
        <v>8.0000000000000002E-3</v>
      </c>
      <c r="H7008" s="88">
        <v>0</v>
      </c>
      <c r="I7008" t="s">
        <v>4909</v>
      </c>
      <c r="J7008" t="s">
        <v>4909</v>
      </c>
      <c r="K7008" s="88">
        <v>3.0000000000000001E-3</v>
      </c>
    </row>
    <row r="7009" spans="1:11" x14ac:dyDescent="0.2">
      <c r="A7009" t="s">
        <v>4299</v>
      </c>
      <c r="B7009" t="s">
        <v>4909</v>
      </c>
      <c r="C7009" s="88">
        <v>4.0000000000000001E-3</v>
      </c>
      <c r="D7009" s="88">
        <v>0</v>
      </c>
      <c r="E7009" t="s">
        <v>4909</v>
      </c>
      <c r="F7009" s="88">
        <v>0</v>
      </c>
      <c r="G7009" s="88">
        <v>1.7999999999999999E-2</v>
      </c>
      <c r="H7009" s="88">
        <v>1E-3</v>
      </c>
      <c r="I7009" t="s">
        <v>4909</v>
      </c>
      <c r="J7009" t="s">
        <v>4909</v>
      </c>
      <c r="K7009" s="88">
        <v>7.0000000000000001E-3</v>
      </c>
    </row>
    <row r="7010" spans="1:11" x14ac:dyDescent="0.2">
      <c r="A7010" t="s">
        <v>4300</v>
      </c>
      <c r="B7010" t="s">
        <v>4909</v>
      </c>
      <c r="C7010" s="88">
        <v>2E-3</v>
      </c>
      <c r="D7010" s="88">
        <v>0</v>
      </c>
      <c r="E7010" t="s">
        <v>4909</v>
      </c>
      <c r="F7010" t="s">
        <v>4909</v>
      </c>
      <c r="G7010" s="88">
        <v>0.01</v>
      </c>
      <c r="H7010" s="88">
        <v>1E-3</v>
      </c>
      <c r="I7010" t="s">
        <v>4909</v>
      </c>
      <c r="J7010" t="s">
        <v>4909</v>
      </c>
      <c r="K7010" s="88">
        <v>4.0000000000000001E-3</v>
      </c>
    </row>
    <row r="7011" spans="1:11" x14ac:dyDescent="0.2">
      <c r="A7011" t="s">
        <v>4301</v>
      </c>
      <c r="B7011" t="s">
        <v>4909</v>
      </c>
      <c r="C7011" s="88">
        <v>3.0000000000000001E-3</v>
      </c>
      <c r="D7011" s="88">
        <v>0</v>
      </c>
      <c r="E7011" t="s">
        <v>4909</v>
      </c>
      <c r="F7011" s="88">
        <v>0</v>
      </c>
      <c r="G7011" s="88">
        <v>1.0999999999999999E-2</v>
      </c>
      <c r="H7011" s="88">
        <v>0</v>
      </c>
      <c r="I7011" t="s">
        <v>4909</v>
      </c>
      <c r="J7011" s="88">
        <v>0</v>
      </c>
      <c r="K7011" s="88">
        <v>4.0000000000000001E-3</v>
      </c>
    </row>
    <row r="7012" spans="1:11" x14ac:dyDescent="0.2">
      <c r="A7012" t="s">
        <v>4302</v>
      </c>
      <c r="B7012" t="s">
        <v>4909</v>
      </c>
      <c r="C7012" s="88">
        <v>1.0999999999999999E-2</v>
      </c>
      <c r="D7012" s="88">
        <v>0</v>
      </c>
      <c r="E7012" t="s">
        <v>4909</v>
      </c>
      <c r="F7012" s="88">
        <v>0</v>
      </c>
      <c r="G7012" s="88">
        <v>4.2000000000000003E-2</v>
      </c>
      <c r="H7012" s="88">
        <v>2E-3</v>
      </c>
      <c r="I7012" t="s">
        <v>4909</v>
      </c>
      <c r="J7012" s="88">
        <v>0</v>
      </c>
      <c r="K7012" s="88">
        <v>1.7000000000000001E-2</v>
      </c>
    </row>
    <row r="7013" spans="1:11" x14ac:dyDescent="0.2">
      <c r="A7013" t="s">
        <v>4303</v>
      </c>
      <c r="B7013" t="s">
        <v>4909</v>
      </c>
      <c r="C7013" s="88">
        <v>8.0000000000000002E-3</v>
      </c>
      <c r="D7013" s="88">
        <v>1E-3</v>
      </c>
      <c r="E7013" t="s">
        <v>4909</v>
      </c>
      <c r="F7013" s="88">
        <v>1E-3</v>
      </c>
      <c r="G7013" s="88">
        <v>2.7E-2</v>
      </c>
      <c r="H7013" s="88">
        <v>3.0000000000000001E-3</v>
      </c>
      <c r="I7013" t="s">
        <v>4909</v>
      </c>
      <c r="J7013" t="s">
        <v>4909</v>
      </c>
      <c r="K7013" s="88">
        <v>0.01</v>
      </c>
    </row>
    <row r="7014" spans="1:11" x14ac:dyDescent="0.2">
      <c r="A7014" t="s">
        <v>4304</v>
      </c>
      <c r="B7014" t="s">
        <v>4909</v>
      </c>
      <c r="C7014" s="88">
        <v>8.0000000000000002E-3</v>
      </c>
      <c r="D7014" t="s">
        <v>4909</v>
      </c>
      <c r="E7014" t="s">
        <v>4909</v>
      </c>
      <c r="F7014" t="s">
        <v>4909</v>
      </c>
      <c r="G7014" s="88">
        <v>2.9000000000000001E-2</v>
      </c>
      <c r="H7014" s="88">
        <v>0</v>
      </c>
      <c r="I7014" t="s">
        <v>4909</v>
      </c>
      <c r="J7014" t="s">
        <v>4909</v>
      </c>
      <c r="K7014" s="88">
        <v>1.2E-2</v>
      </c>
    </row>
    <row r="7015" spans="1:11" x14ac:dyDescent="0.2">
      <c r="A7015" t="s">
        <v>4305</v>
      </c>
      <c r="B7015" t="s">
        <v>4909</v>
      </c>
      <c r="C7015" s="88">
        <v>1.7999999999999999E-2</v>
      </c>
      <c r="D7015" s="88">
        <v>0</v>
      </c>
      <c r="E7015" t="s">
        <v>4909</v>
      </c>
      <c r="F7015" s="88">
        <v>0</v>
      </c>
      <c r="G7015" s="88">
        <v>6.8000000000000005E-2</v>
      </c>
      <c r="H7015" s="88">
        <v>1E-3</v>
      </c>
      <c r="I7015" t="s">
        <v>4909</v>
      </c>
      <c r="J7015" s="88">
        <v>0</v>
      </c>
      <c r="K7015" s="88">
        <v>2.9000000000000001E-2</v>
      </c>
    </row>
    <row r="7016" spans="1:11" x14ac:dyDescent="0.2">
      <c r="A7016" t="s">
        <v>4306</v>
      </c>
      <c r="B7016" t="s">
        <v>4909</v>
      </c>
      <c r="C7016" s="88">
        <v>1.2999999999999999E-2</v>
      </c>
      <c r="D7016" s="88">
        <v>0</v>
      </c>
      <c r="E7016" t="s">
        <v>4909</v>
      </c>
      <c r="F7016" s="88">
        <v>0</v>
      </c>
      <c r="G7016" s="88">
        <v>5.5E-2</v>
      </c>
      <c r="H7016" s="88">
        <v>2E-3</v>
      </c>
      <c r="I7016" t="s">
        <v>4909</v>
      </c>
      <c r="J7016" t="s">
        <v>4909</v>
      </c>
      <c r="K7016" s="88">
        <v>2.3E-2</v>
      </c>
    </row>
    <row r="7017" spans="1:11" x14ac:dyDescent="0.2">
      <c r="A7017" t="s">
        <v>4307</v>
      </c>
      <c r="B7017" s="88">
        <v>0</v>
      </c>
      <c r="C7017" s="88">
        <v>7.0000000000000001E-3</v>
      </c>
      <c r="D7017" s="88">
        <v>1E-3</v>
      </c>
      <c r="E7017" t="s">
        <v>4909</v>
      </c>
      <c r="F7017" s="88">
        <v>1E-3</v>
      </c>
      <c r="G7017" s="88">
        <v>2.7E-2</v>
      </c>
      <c r="H7017" s="88">
        <v>3.0000000000000001E-3</v>
      </c>
      <c r="I7017" t="s">
        <v>4909</v>
      </c>
      <c r="J7017" s="88">
        <v>0</v>
      </c>
      <c r="K7017" s="88">
        <v>1.0999999999999999E-2</v>
      </c>
    </row>
    <row r="7018" spans="1:11" x14ac:dyDescent="0.2">
      <c r="A7018" t="s">
        <v>4308</v>
      </c>
      <c r="B7018" t="s">
        <v>4909</v>
      </c>
      <c r="C7018" s="88">
        <v>7.0000000000000001E-3</v>
      </c>
      <c r="D7018" t="s">
        <v>4909</v>
      </c>
      <c r="E7018" t="s">
        <v>4909</v>
      </c>
      <c r="F7018" t="s">
        <v>4909</v>
      </c>
      <c r="G7018" s="88">
        <v>2.5000000000000001E-2</v>
      </c>
      <c r="H7018" s="88">
        <v>1E-3</v>
      </c>
      <c r="I7018" t="s">
        <v>4909</v>
      </c>
      <c r="J7018" t="s">
        <v>4909</v>
      </c>
      <c r="K7018" s="88">
        <v>8.9999999999999993E-3</v>
      </c>
    </row>
    <row r="7019" spans="1:11" x14ac:dyDescent="0.2">
      <c r="A7019" t="s">
        <v>4309</v>
      </c>
      <c r="B7019" t="s">
        <v>4909</v>
      </c>
      <c r="C7019" t="s">
        <v>4909</v>
      </c>
      <c r="D7019" t="s">
        <v>4909</v>
      </c>
      <c r="E7019" t="s">
        <v>4909</v>
      </c>
      <c r="F7019" t="s">
        <v>4909</v>
      </c>
      <c r="G7019" t="s">
        <v>4909</v>
      </c>
      <c r="H7019" t="s">
        <v>4909</v>
      </c>
      <c r="I7019" t="s">
        <v>4909</v>
      </c>
      <c r="J7019" t="s">
        <v>4909</v>
      </c>
      <c r="K7019" t="s">
        <v>4909</v>
      </c>
    </row>
    <row r="7020" spans="1:11" x14ac:dyDescent="0.2">
      <c r="A7020" t="s">
        <v>4310</v>
      </c>
      <c r="B7020" t="s">
        <v>4909</v>
      </c>
      <c r="C7020" t="s">
        <v>4909</v>
      </c>
      <c r="D7020" t="s">
        <v>4909</v>
      </c>
      <c r="E7020" t="s">
        <v>4909</v>
      </c>
      <c r="F7020" t="s">
        <v>4909</v>
      </c>
      <c r="G7020" t="s">
        <v>4909</v>
      </c>
      <c r="H7020" t="s">
        <v>4909</v>
      </c>
      <c r="I7020" t="s">
        <v>4909</v>
      </c>
      <c r="J7020" t="s">
        <v>4909</v>
      </c>
      <c r="K7020" t="s">
        <v>4909</v>
      </c>
    </row>
    <row r="7021" spans="1:11" x14ac:dyDescent="0.2">
      <c r="A7021" t="s">
        <v>4311</v>
      </c>
      <c r="B7021" t="s">
        <v>4909</v>
      </c>
      <c r="C7021" s="88">
        <v>0</v>
      </c>
      <c r="D7021" t="s">
        <v>4909</v>
      </c>
      <c r="E7021" t="s">
        <v>4909</v>
      </c>
      <c r="F7021" t="s">
        <v>4909</v>
      </c>
      <c r="G7021" s="88">
        <v>0</v>
      </c>
      <c r="H7021" t="s">
        <v>4909</v>
      </c>
      <c r="I7021" t="s">
        <v>4909</v>
      </c>
      <c r="J7021" t="s">
        <v>4909</v>
      </c>
      <c r="K7021" s="88">
        <v>0</v>
      </c>
    </row>
    <row r="7022" spans="1:11" x14ac:dyDescent="0.2">
      <c r="A7022" t="s">
        <v>4312</v>
      </c>
      <c r="B7022" t="s">
        <v>4909</v>
      </c>
      <c r="C7022" t="s">
        <v>4909</v>
      </c>
      <c r="D7022" t="s">
        <v>4909</v>
      </c>
      <c r="E7022" t="s">
        <v>4909</v>
      </c>
      <c r="F7022" t="s">
        <v>4909</v>
      </c>
      <c r="G7022" t="s">
        <v>4909</v>
      </c>
      <c r="H7022" t="s">
        <v>4909</v>
      </c>
      <c r="I7022" t="s">
        <v>4909</v>
      </c>
      <c r="J7022" t="s">
        <v>4909</v>
      </c>
      <c r="K7022" t="s">
        <v>4909</v>
      </c>
    </row>
    <row r="7023" spans="1:11" x14ac:dyDescent="0.2">
      <c r="A7023" t="s">
        <v>4313</v>
      </c>
      <c r="B7023" t="s">
        <v>4909</v>
      </c>
      <c r="C7023" t="s">
        <v>4909</v>
      </c>
      <c r="D7023" t="s">
        <v>4909</v>
      </c>
      <c r="E7023" t="s">
        <v>4909</v>
      </c>
      <c r="F7023" t="s">
        <v>4909</v>
      </c>
      <c r="G7023" t="s">
        <v>4909</v>
      </c>
      <c r="H7023" t="s">
        <v>4909</v>
      </c>
      <c r="I7023" t="s">
        <v>4909</v>
      </c>
      <c r="J7023" t="s">
        <v>4909</v>
      </c>
      <c r="K7023" t="s">
        <v>4909</v>
      </c>
    </row>
    <row r="7024" spans="1:11" x14ac:dyDescent="0.2">
      <c r="A7024" t="s">
        <v>4314</v>
      </c>
      <c r="B7024" t="s">
        <v>4909</v>
      </c>
      <c r="C7024" t="s">
        <v>4909</v>
      </c>
      <c r="D7024" t="s">
        <v>4909</v>
      </c>
      <c r="E7024" t="s">
        <v>4909</v>
      </c>
      <c r="F7024" t="s">
        <v>4909</v>
      </c>
      <c r="G7024" t="s">
        <v>4909</v>
      </c>
      <c r="H7024" t="s">
        <v>4909</v>
      </c>
      <c r="I7024" t="s">
        <v>4909</v>
      </c>
      <c r="J7024" t="s">
        <v>4909</v>
      </c>
      <c r="K7024" t="s">
        <v>4909</v>
      </c>
    </row>
    <row r="7025" spans="1:11" x14ac:dyDescent="0.2">
      <c r="A7025" t="s">
        <v>4315</v>
      </c>
      <c r="B7025" t="s">
        <v>4909</v>
      </c>
      <c r="C7025" t="s">
        <v>4909</v>
      </c>
      <c r="D7025" t="s">
        <v>4909</v>
      </c>
      <c r="E7025" t="s">
        <v>4909</v>
      </c>
      <c r="F7025" t="s">
        <v>4909</v>
      </c>
      <c r="G7025" t="s">
        <v>4909</v>
      </c>
      <c r="H7025" t="s">
        <v>4909</v>
      </c>
      <c r="I7025" t="s">
        <v>4909</v>
      </c>
      <c r="J7025" t="s">
        <v>4909</v>
      </c>
      <c r="K7025" t="s">
        <v>4909</v>
      </c>
    </row>
    <row r="7026" spans="1:11" x14ac:dyDescent="0.2">
      <c r="A7026" t="s">
        <v>4316</v>
      </c>
      <c r="B7026" t="s">
        <v>4909</v>
      </c>
      <c r="C7026" t="s">
        <v>4909</v>
      </c>
      <c r="D7026" t="s">
        <v>4909</v>
      </c>
      <c r="E7026" t="s">
        <v>4909</v>
      </c>
      <c r="F7026" t="s">
        <v>4909</v>
      </c>
      <c r="G7026" t="s">
        <v>4909</v>
      </c>
      <c r="H7026" t="s">
        <v>4909</v>
      </c>
      <c r="I7026" t="s">
        <v>4909</v>
      </c>
      <c r="J7026" t="s">
        <v>4909</v>
      </c>
      <c r="K7026" t="s">
        <v>4909</v>
      </c>
    </row>
    <row r="7027" spans="1:11" x14ac:dyDescent="0.2">
      <c r="A7027" t="s">
        <v>4317</v>
      </c>
      <c r="B7027" t="s">
        <v>4909</v>
      </c>
      <c r="C7027" t="s">
        <v>4909</v>
      </c>
      <c r="D7027" t="s">
        <v>4909</v>
      </c>
      <c r="E7027" t="s">
        <v>4909</v>
      </c>
      <c r="F7027" t="s">
        <v>4909</v>
      </c>
      <c r="G7027" t="s">
        <v>4909</v>
      </c>
      <c r="H7027" t="s">
        <v>4909</v>
      </c>
      <c r="I7027" t="s">
        <v>4909</v>
      </c>
      <c r="J7027" t="s">
        <v>4909</v>
      </c>
      <c r="K7027" t="s">
        <v>4909</v>
      </c>
    </row>
    <row r="7028" spans="1:11" x14ac:dyDescent="0.2">
      <c r="A7028" t="s">
        <v>4318</v>
      </c>
      <c r="B7028" t="s">
        <v>4909</v>
      </c>
      <c r="C7028" t="s">
        <v>4909</v>
      </c>
      <c r="D7028" t="s">
        <v>4909</v>
      </c>
      <c r="E7028" t="s">
        <v>4909</v>
      </c>
      <c r="F7028" t="s">
        <v>4909</v>
      </c>
      <c r="G7028" t="s">
        <v>4909</v>
      </c>
      <c r="H7028" t="s">
        <v>4909</v>
      </c>
      <c r="I7028" t="s">
        <v>4909</v>
      </c>
      <c r="J7028" t="s">
        <v>4909</v>
      </c>
      <c r="K7028" t="s">
        <v>4909</v>
      </c>
    </row>
    <row r="7029" spans="1:11" x14ac:dyDescent="0.2">
      <c r="A7029" t="s">
        <v>4319</v>
      </c>
      <c r="B7029" t="s">
        <v>4909</v>
      </c>
      <c r="C7029" t="s">
        <v>4909</v>
      </c>
      <c r="D7029" t="s">
        <v>4909</v>
      </c>
      <c r="E7029" t="s">
        <v>4909</v>
      </c>
      <c r="F7029" t="s">
        <v>4909</v>
      </c>
      <c r="G7029" t="s">
        <v>4909</v>
      </c>
      <c r="H7029" t="s">
        <v>4909</v>
      </c>
      <c r="I7029" t="s">
        <v>4909</v>
      </c>
      <c r="J7029" t="s">
        <v>4909</v>
      </c>
      <c r="K7029" t="s">
        <v>4909</v>
      </c>
    </row>
    <row r="7030" spans="1:11" x14ac:dyDescent="0.2">
      <c r="A7030" t="s">
        <v>4320</v>
      </c>
      <c r="B7030" t="s">
        <v>4909</v>
      </c>
      <c r="C7030" t="s">
        <v>4909</v>
      </c>
      <c r="D7030" t="s">
        <v>4909</v>
      </c>
      <c r="E7030" t="s">
        <v>4909</v>
      </c>
      <c r="F7030" t="s">
        <v>4909</v>
      </c>
      <c r="G7030" t="s">
        <v>4909</v>
      </c>
      <c r="H7030" t="s">
        <v>4909</v>
      </c>
      <c r="I7030" t="s">
        <v>4909</v>
      </c>
      <c r="J7030" t="s">
        <v>4909</v>
      </c>
      <c r="K7030" t="s">
        <v>4909</v>
      </c>
    </row>
    <row r="7031" spans="1:11" x14ac:dyDescent="0.2">
      <c r="A7031" t="s">
        <v>4321</v>
      </c>
      <c r="B7031" t="s">
        <v>4909</v>
      </c>
      <c r="C7031" t="s">
        <v>4909</v>
      </c>
      <c r="D7031" t="s">
        <v>4909</v>
      </c>
      <c r="E7031" t="s">
        <v>4909</v>
      </c>
      <c r="F7031" t="s">
        <v>4909</v>
      </c>
      <c r="G7031" t="s">
        <v>4909</v>
      </c>
      <c r="H7031" t="s">
        <v>4909</v>
      </c>
      <c r="I7031" t="s">
        <v>4909</v>
      </c>
      <c r="J7031" t="s">
        <v>4909</v>
      </c>
      <c r="K7031" t="s">
        <v>4909</v>
      </c>
    </row>
    <row r="7032" spans="1:11" x14ac:dyDescent="0.2">
      <c r="A7032" t="s">
        <v>4322</v>
      </c>
      <c r="B7032" t="s">
        <v>4909</v>
      </c>
      <c r="C7032" t="s">
        <v>4909</v>
      </c>
      <c r="D7032" t="s">
        <v>4909</v>
      </c>
      <c r="E7032" t="s">
        <v>4909</v>
      </c>
      <c r="F7032" t="s">
        <v>4909</v>
      </c>
      <c r="G7032" t="s">
        <v>4909</v>
      </c>
      <c r="H7032" t="s">
        <v>4909</v>
      </c>
      <c r="I7032" t="s">
        <v>4909</v>
      </c>
      <c r="J7032" t="s">
        <v>4909</v>
      </c>
      <c r="K7032" t="s">
        <v>4909</v>
      </c>
    </row>
    <row r="7033" spans="1:11" x14ac:dyDescent="0.2">
      <c r="A7033" t="s">
        <v>4323</v>
      </c>
      <c r="B7033" t="s">
        <v>4909</v>
      </c>
      <c r="C7033" t="s">
        <v>4909</v>
      </c>
      <c r="D7033" t="s">
        <v>4909</v>
      </c>
      <c r="E7033" t="s">
        <v>4909</v>
      </c>
      <c r="F7033" t="s">
        <v>4909</v>
      </c>
      <c r="G7033" t="s">
        <v>4909</v>
      </c>
      <c r="H7033" t="s">
        <v>4909</v>
      </c>
      <c r="I7033" t="s">
        <v>4909</v>
      </c>
      <c r="J7033" t="s">
        <v>4909</v>
      </c>
      <c r="K7033" t="s">
        <v>4909</v>
      </c>
    </row>
    <row r="7034" spans="1:11" x14ac:dyDescent="0.2">
      <c r="A7034" t="s">
        <v>4324</v>
      </c>
      <c r="B7034" t="s">
        <v>4909</v>
      </c>
      <c r="C7034" t="s">
        <v>4909</v>
      </c>
      <c r="D7034" t="s">
        <v>4909</v>
      </c>
      <c r="E7034" t="s">
        <v>4909</v>
      </c>
      <c r="F7034" t="s">
        <v>4909</v>
      </c>
      <c r="G7034" t="s">
        <v>4909</v>
      </c>
      <c r="H7034" t="s">
        <v>4909</v>
      </c>
      <c r="I7034" t="s">
        <v>4909</v>
      </c>
      <c r="J7034" t="s">
        <v>4909</v>
      </c>
      <c r="K7034" t="s">
        <v>4909</v>
      </c>
    </row>
    <row r="7035" spans="1:11" x14ac:dyDescent="0.2">
      <c r="A7035" t="s">
        <v>4325</v>
      </c>
      <c r="B7035" t="s">
        <v>4909</v>
      </c>
      <c r="C7035" t="s">
        <v>4909</v>
      </c>
      <c r="D7035" t="s">
        <v>4909</v>
      </c>
      <c r="E7035" t="s">
        <v>4909</v>
      </c>
      <c r="F7035" t="s">
        <v>4909</v>
      </c>
      <c r="G7035" t="s">
        <v>4909</v>
      </c>
      <c r="H7035" t="s">
        <v>4909</v>
      </c>
      <c r="I7035" t="s">
        <v>4909</v>
      </c>
      <c r="J7035" t="s">
        <v>4909</v>
      </c>
      <c r="K7035" t="s">
        <v>4909</v>
      </c>
    </row>
    <row r="7036" spans="1:11" x14ac:dyDescent="0.2">
      <c r="A7036" t="s">
        <v>4326</v>
      </c>
      <c r="B7036" t="s">
        <v>4909</v>
      </c>
      <c r="C7036" t="s">
        <v>4909</v>
      </c>
      <c r="D7036" t="s">
        <v>4909</v>
      </c>
      <c r="E7036" t="s">
        <v>4909</v>
      </c>
      <c r="F7036" t="s">
        <v>4909</v>
      </c>
      <c r="G7036" t="s">
        <v>4909</v>
      </c>
      <c r="H7036" t="s">
        <v>4909</v>
      </c>
      <c r="I7036" t="s">
        <v>4909</v>
      </c>
      <c r="J7036" t="s">
        <v>4909</v>
      </c>
      <c r="K7036" t="s">
        <v>4909</v>
      </c>
    </row>
    <row r="7037" spans="1:11" x14ac:dyDescent="0.2">
      <c r="A7037" t="s">
        <v>4327</v>
      </c>
      <c r="B7037" t="s">
        <v>4909</v>
      </c>
      <c r="C7037" t="s">
        <v>4909</v>
      </c>
      <c r="D7037" t="s">
        <v>4909</v>
      </c>
      <c r="E7037" t="s">
        <v>4909</v>
      </c>
      <c r="F7037" t="s">
        <v>4909</v>
      </c>
      <c r="G7037" t="s">
        <v>4909</v>
      </c>
      <c r="H7037" t="s">
        <v>4909</v>
      </c>
      <c r="I7037" t="s">
        <v>4909</v>
      </c>
      <c r="J7037" t="s">
        <v>4909</v>
      </c>
      <c r="K7037" t="s">
        <v>4909</v>
      </c>
    </row>
    <row r="7038" spans="1:11" x14ac:dyDescent="0.2">
      <c r="A7038" t="s">
        <v>4328</v>
      </c>
      <c r="B7038" t="s">
        <v>4909</v>
      </c>
      <c r="C7038" t="s">
        <v>4909</v>
      </c>
      <c r="D7038" t="s">
        <v>4909</v>
      </c>
      <c r="E7038" t="s">
        <v>4909</v>
      </c>
      <c r="F7038" t="s">
        <v>4909</v>
      </c>
      <c r="G7038" t="s">
        <v>4909</v>
      </c>
      <c r="H7038" t="s">
        <v>4909</v>
      </c>
      <c r="I7038" t="s">
        <v>4909</v>
      </c>
      <c r="J7038" t="s">
        <v>4909</v>
      </c>
      <c r="K7038" t="s">
        <v>4909</v>
      </c>
    </row>
    <row r="7039" spans="1:11" x14ac:dyDescent="0.2">
      <c r="A7039" t="s">
        <v>4329</v>
      </c>
      <c r="B7039" t="s">
        <v>4909</v>
      </c>
      <c r="C7039" t="s">
        <v>4909</v>
      </c>
      <c r="D7039" t="s">
        <v>4909</v>
      </c>
      <c r="E7039" t="s">
        <v>4909</v>
      </c>
      <c r="F7039" t="s">
        <v>4909</v>
      </c>
      <c r="G7039" t="s">
        <v>4909</v>
      </c>
      <c r="H7039" t="s">
        <v>4909</v>
      </c>
      <c r="I7039" t="s">
        <v>4909</v>
      </c>
      <c r="J7039" t="s">
        <v>4909</v>
      </c>
      <c r="K7039" t="s">
        <v>4909</v>
      </c>
    </row>
    <row r="7040" spans="1:11" x14ac:dyDescent="0.2">
      <c r="A7040" t="s">
        <v>4330</v>
      </c>
      <c r="B7040" t="s">
        <v>4909</v>
      </c>
      <c r="C7040" t="s">
        <v>4909</v>
      </c>
      <c r="D7040" t="s">
        <v>4909</v>
      </c>
      <c r="E7040" t="s">
        <v>4909</v>
      </c>
      <c r="F7040" t="s">
        <v>4909</v>
      </c>
      <c r="G7040" t="s">
        <v>4909</v>
      </c>
      <c r="H7040" t="s">
        <v>4909</v>
      </c>
      <c r="I7040" t="s">
        <v>4909</v>
      </c>
      <c r="J7040" t="s">
        <v>4909</v>
      </c>
      <c r="K7040" t="s">
        <v>4909</v>
      </c>
    </row>
    <row r="7041" spans="1:11" x14ac:dyDescent="0.2">
      <c r="A7041" t="s">
        <v>4331</v>
      </c>
      <c r="B7041" t="s">
        <v>4909</v>
      </c>
      <c r="C7041" t="s">
        <v>4909</v>
      </c>
      <c r="D7041" t="s">
        <v>4909</v>
      </c>
      <c r="E7041" t="s">
        <v>4909</v>
      </c>
      <c r="F7041" t="s">
        <v>4909</v>
      </c>
      <c r="G7041" t="s">
        <v>4909</v>
      </c>
      <c r="H7041" t="s">
        <v>4909</v>
      </c>
      <c r="I7041" t="s">
        <v>4909</v>
      </c>
      <c r="J7041" t="s">
        <v>4909</v>
      </c>
      <c r="K7041" t="s">
        <v>4909</v>
      </c>
    </row>
    <row r="7042" spans="1:11" x14ac:dyDescent="0.2">
      <c r="A7042" t="s">
        <v>4332</v>
      </c>
      <c r="B7042" t="s">
        <v>4909</v>
      </c>
      <c r="C7042" t="s">
        <v>4909</v>
      </c>
      <c r="D7042" t="s">
        <v>4909</v>
      </c>
      <c r="E7042" t="s">
        <v>4909</v>
      </c>
      <c r="F7042" t="s">
        <v>4909</v>
      </c>
      <c r="G7042" t="s">
        <v>4909</v>
      </c>
      <c r="H7042" t="s">
        <v>4909</v>
      </c>
      <c r="I7042" t="s">
        <v>4909</v>
      </c>
      <c r="J7042" t="s">
        <v>4909</v>
      </c>
      <c r="K7042" t="s">
        <v>4909</v>
      </c>
    </row>
    <row r="7043" spans="1:11" x14ac:dyDescent="0.2">
      <c r="A7043" t="s">
        <v>4333</v>
      </c>
      <c r="B7043" t="s">
        <v>4909</v>
      </c>
      <c r="C7043" t="s">
        <v>4909</v>
      </c>
      <c r="D7043" t="s">
        <v>4909</v>
      </c>
      <c r="E7043" t="s">
        <v>4909</v>
      </c>
      <c r="F7043" t="s">
        <v>4909</v>
      </c>
      <c r="G7043" t="s">
        <v>4909</v>
      </c>
      <c r="H7043" t="s">
        <v>4909</v>
      </c>
      <c r="I7043" t="s">
        <v>4909</v>
      </c>
      <c r="J7043" t="s">
        <v>4909</v>
      </c>
      <c r="K7043" t="s">
        <v>4909</v>
      </c>
    </row>
    <row r="7044" spans="1:11" x14ac:dyDescent="0.2">
      <c r="A7044" t="s">
        <v>4334</v>
      </c>
      <c r="B7044" t="s">
        <v>4909</v>
      </c>
      <c r="C7044" t="s">
        <v>4909</v>
      </c>
      <c r="D7044" t="s">
        <v>4909</v>
      </c>
      <c r="E7044" t="s">
        <v>4909</v>
      </c>
      <c r="F7044" t="s">
        <v>4909</v>
      </c>
      <c r="G7044" t="s">
        <v>4909</v>
      </c>
      <c r="H7044" t="s">
        <v>4909</v>
      </c>
      <c r="I7044" t="s">
        <v>4909</v>
      </c>
      <c r="J7044" t="s">
        <v>4909</v>
      </c>
      <c r="K7044" t="s">
        <v>4909</v>
      </c>
    </row>
    <row r="7045" spans="1:11" x14ac:dyDescent="0.2">
      <c r="A7045" t="s">
        <v>4335</v>
      </c>
      <c r="B7045" t="s">
        <v>4909</v>
      </c>
      <c r="C7045" t="s">
        <v>4909</v>
      </c>
      <c r="D7045" t="s">
        <v>4909</v>
      </c>
      <c r="E7045" t="s">
        <v>4909</v>
      </c>
      <c r="F7045" t="s">
        <v>4909</v>
      </c>
      <c r="G7045" t="s">
        <v>4909</v>
      </c>
      <c r="H7045" t="s">
        <v>4909</v>
      </c>
      <c r="I7045" t="s">
        <v>4909</v>
      </c>
      <c r="J7045" t="s">
        <v>4909</v>
      </c>
      <c r="K7045" t="s">
        <v>4909</v>
      </c>
    </row>
    <row r="7046" spans="1:11" x14ac:dyDescent="0.2">
      <c r="A7046" t="s">
        <v>4336</v>
      </c>
      <c r="B7046" t="s">
        <v>4909</v>
      </c>
      <c r="C7046" t="s">
        <v>4909</v>
      </c>
      <c r="D7046" t="s">
        <v>4909</v>
      </c>
      <c r="E7046" t="s">
        <v>4909</v>
      </c>
      <c r="F7046" t="s">
        <v>4909</v>
      </c>
      <c r="G7046" t="s">
        <v>4909</v>
      </c>
      <c r="H7046" t="s">
        <v>4909</v>
      </c>
      <c r="I7046" t="s">
        <v>4909</v>
      </c>
      <c r="J7046" t="s">
        <v>4909</v>
      </c>
      <c r="K7046" t="s">
        <v>4909</v>
      </c>
    </row>
    <row r="7047" spans="1:11" x14ac:dyDescent="0.2">
      <c r="A7047" t="s">
        <v>4337</v>
      </c>
      <c r="B7047" t="s">
        <v>4909</v>
      </c>
      <c r="C7047" t="s">
        <v>4909</v>
      </c>
      <c r="D7047" t="s">
        <v>4909</v>
      </c>
      <c r="E7047" t="s">
        <v>4909</v>
      </c>
      <c r="F7047" t="s">
        <v>4909</v>
      </c>
      <c r="G7047" t="s">
        <v>4909</v>
      </c>
      <c r="H7047" t="s">
        <v>4909</v>
      </c>
      <c r="I7047" t="s">
        <v>4909</v>
      </c>
      <c r="J7047" t="s">
        <v>4909</v>
      </c>
      <c r="K7047" t="s">
        <v>4909</v>
      </c>
    </row>
    <row r="7048" spans="1:11" x14ac:dyDescent="0.2">
      <c r="A7048" t="s">
        <v>4338</v>
      </c>
      <c r="B7048" t="s">
        <v>4909</v>
      </c>
      <c r="C7048" t="s">
        <v>4909</v>
      </c>
      <c r="D7048" t="s">
        <v>4909</v>
      </c>
      <c r="E7048" t="s">
        <v>4909</v>
      </c>
      <c r="F7048" t="s">
        <v>4909</v>
      </c>
      <c r="G7048" t="s">
        <v>4909</v>
      </c>
      <c r="H7048" t="s">
        <v>4909</v>
      </c>
      <c r="I7048" t="s">
        <v>4909</v>
      </c>
      <c r="J7048" t="s">
        <v>4909</v>
      </c>
      <c r="K7048" t="s">
        <v>4909</v>
      </c>
    </row>
    <row r="7049" spans="1:11" x14ac:dyDescent="0.2">
      <c r="A7049" t="s">
        <v>4339</v>
      </c>
      <c r="B7049" t="s">
        <v>4909</v>
      </c>
      <c r="C7049" t="s">
        <v>4909</v>
      </c>
      <c r="D7049" t="s">
        <v>4909</v>
      </c>
      <c r="E7049" t="s">
        <v>4909</v>
      </c>
      <c r="F7049" t="s">
        <v>4909</v>
      </c>
      <c r="G7049" t="s">
        <v>4909</v>
      </c>
      <c r="H7049" t="s">
        <v>4909</v>
      </c>
      <c r="I7049" t="s">
        <v>4909</v>
      </c>
      <c r="J7049" t="s">
        <v>4909</v>
      </c>
      <c r="K7049" t="s">
        <v>4909</v>
      </c>
    </row>
    <row r="7050" spans="1:11" x14ac:dyDescent="0.2">
      <c r="A7050" t="s">
        <v>4340</v>
      </c>
      <c r="B7050" t="s">
        <v>4909</v>
      </c>
      <c r="C7050" t="s">
        <v>4909</v>
      </c>
      <c r="D7050" t="s">
        <v>4909</v>
      </c>
      <c r="E7050" t="s">
        <v>4909</v>
      </c>
      <c r="F7050" t="s">
        <v>4909</v>
      </c>
      <c r="G7050" t="s">
        <v>4909</v>
      </c>
      <c r="H7050" t="s">
        <v>4909</v>
      </c>
      <c r="I7050" t="s">
        <v>4909</v>
      </c>
      <c r="J7050" t="s">
        <v>4909</v>
      </c>
      <c r="K7050" t="s">
        <v>4909</v>
      </c>
    </row>
    <row r="7051" spans="1:11" x14ac:dyDescent="0.2">
      <c r="A7051" t="s">
        <v>4341</v>
      </c>
      <c r="B7051" t="s">
        <v>4909</v>
      </c>
      <c r="C7051" t="s">
        <v>4909</v>
      </c>
      <c r="D7051" t="s">
        <v>4909</v>
      </c>
      <c r="E7051" t="s">
        <v>4909</v>
      </c>
      <c r="F7051" t="s">
        <v>4909</v>
      </c>
      <c r="G7051" t="s">
        <v>4909</v>
      </c>
      <c r="H7051" t="s">
        <v>4909</v>
      </c>
      <c r="I7051" t="s">
        <v>4909</v>
      </c>
      <c r="J7051" t="s">
        <v>4909</v>
      </c>
      <c r="K7051" t="s">
        <v>4909</v>
      </c>
    </row>
    <row r="7052" spans="1:11" x14ac:dyDescent="0.2">
      <c r="A7052" t="s">
        <v>4342</v>
      </c>
      <c r="B7052" t="s">
        <v>4909</v>
      </c>
      <c r="C7052" t="s">
        <v>4909</v>
      </c>
      <c r="D7052" t="s">
        <v>4909</v>
      </c>
      <c r="E7052" t="s">
        <v>4909</v>
      </c>
      <c r="F7052" t="s">
        <v>4909</v>
      </c>
      <c r="G7052" t="s">
        <v>4909</v>
      </c>
      <c r="H7052" t="s">
        <v>4909</v>
      </c>
      <c r="I7052" t="s">
        <v>4909</v>
      </c>
      <c r="J7052" t="s">
        <v>4909</v>
      </c>
      <c r="K7052" t="s">
        <v>4909</v>
      </c>
    </row>
    <row r="7053" spans="1:11" x14ac:dyDescent="0.2">
      <c r="A7053" t="s">
        <v>4343</v>
      </c>
      <c r="B7053" t="s">
        <v>4909</v>
      </c>
      <c r="C7053" t="s">
        <v>4909</v>
      </c>
      <c r="D7053" t="s">
        <v>4909</v>
      </c>
      <c r="E7053" t="s">
        <v>4909</v>
      </c>
      <c r="F7053" t="s">
        <v>4909</v>
      </c>
      <c r="G7053" t="s">
        <v>4909</v>
      </c>
      <c r="H7053" t="s">
        <v>4909</v>
      </c>
      <c r="I7053" t="s">
        <v>4909</v>
      </c>
      <c r="J7053" t="s">
        <v>4909</v>
      </c>
      <c r="K7053" t="s">
        <v>4909</v>
      </c>
    </row>
    <row r="7054" spans="1:11" x14ac:dyDescent="0.2">
      <c r="A7054" t="s">
        <v>1728</v>
      </c>
      <c r="B7054" t="s">
        <v>4909</v>
      </c>
      <c r="C7054" t="s">
        <v>4909</v>
      </c>
      <c r="D7054" t="s">
        <v>4909</v>
      </c>
      <c r="E7054" t="s">
        <v>4909</v>
      </c>
      <c r="F7054" t="s">
        <v>4909</v>
      </c>
      <c r="G7054" t="s">
        <v>4909</v>
      </c>
      <c r="H7054" t="s">
        <v>4909</v>
      </c>
      <c r="I7054" t="s">
        <v>4909</v>
      </c>
      <c r="J7054" t="s">
        <v>4909</v>
      </c>
      <c r="K7054" t="s">
        <v>4909</v>
      </c>
    </row>
    <row r="7055" spans="1:11" x14ac:dyDescent="0.2">
      <c r="A7055" t="s">
        <v>1730</v>
      </c>
      <c r="B7055" t="s">
        <v>4909</v>
      </c>
      <c r="C7055" s="88">
        <v>8.9999999999999993E-3</v>
      </c>
      <c r="D7055" s="88">
        <v>1E-3</v>
      </c>
      <c r="E7055" t="s">
        <v>4909</v>
      </c>
      <c r="F7055" s="88">
        <v>1E-3</v>
      </c>
      <c r="G7055" s="88">
        <v>3.5999999999999997E-2</v>
      </c>
      <c r="H7055" s="88">
        <v>5.0000000000000001E-3</v>
      </c>
      <c r="I7055" t="s">
        <v>4909</v>
      </c>
      <c r="J7055" s="88">
        <v>0</v>
      </c>
      <c r="K7055" s="88">
        <v>1.4E-2</v>
      </c>
    </row>
    <row r="7056" spans="1:11" x14ac:dyDescent="0.2">
      <c r="A7056" t="s">
        <v>1733</v>
      </c>
      <c r="B7056" t="s">
        <v>4909</v>
      </c>
      <c r="C7056" t="s">
        <v>4909</v>
      </c>
      <c r="D7056" t="s">
        <v>4909</v>
      </c>
      <c r="E7056" t="s">
        <v>4909</v>
      </c>
      <c r="F7056" t="s">
        <v>4909</v>
      </c>
      <c r="G7056" t="s">
        <v>4909</v>
      </c>
      <c r="H7056" t="s">
        <v>4909</v>
      </c>
      <c r="I7056" t="s">
        <v>4909</v>
      </c>
      <c r="J7056" t="s">
        <v>4909</v>
      </c>
      <c r="K7056" t="s">
        <v>4909</v>
      </c>
    </row>
    <row r="7057" spans="1:11" x14ac:dyDescent="0.2">
      <c r="A7057" t="s">
        <v>1738</v>
      </c>
      <c r="B7057" t="s">
        <v>4909</v>
      </c>
      <c r="C7057" t="s">
        <v>4909</v>
      </c>
      <c r="D7057" t="s">
        <v>4909</v>
      </c>
      <c r="E7057" t="s">
        <v>4909</v>
      </c>
      <c r="F7057" t="s">
        <v>4909</v>
      </c>
      <c r="G7057" t="s">
        <v>4909</v>
      </c>
      <c r="H7057" t="s">
        <v>4909</v>
      </c>
      <c r="I7057" t="s">
        <v>4909</v>
      </c>
      <c r="J7057" t="s">
        <v>4909</v>
      </c>
      <c r="K7057" t="s">
        <v>4909</v>
      </c>
    </row>
    <row r="7058" spans="1:11" x14ac:dyDescent="0.2">
      <c r="A7058" t="s">
        <v>1744</v>
      </c>
      <c r="B7058" t="s">
        <v>4909</v>
      </c>
      <c r="C7058" t="s">
        <v>4909</v>
      </c>
      <c r="D7058" t="s">
        <v>4909</v>
      </c>
      <c r="E7058" t="s">
        <v>4909</v>
      </c>
      <c r="F7058" t="s">
        <v>4909</v>
      </c>
      <c r="G7058" t="s">
        <v>4909</v>
      </c>
      <c r="H7058" t="s">
        <v>4909</v>
      </c>
      <c r="I7058" t="s">
        <v>4909</v>
      </c>
      <c r="J7058" t="s">
        <v>4909</v>
      </c>
      <c r="K7058" t="s">
        <v>4909</v>
      </c>
    </row>
    <row r="7059" spans="1:11" x14ac:dyDescent="0.2">
      <c r="A7059" t="s">
        <v>1747</v>
      </c>
      <c r="B7059" t="s">
        <v>4909</v>
      </c>
      <c r="C7059" t="s">
        <v>4909</v>
      </c>
      <c r="D7059" t="s">
        <v>4909</v>
      </c>
      <c r="E7059" t="s">
        <v>4909</v>
      </c>
      <c r="F7059" t="s">
        <v>4909</v>
      </c>
      <c r="G7059" t="s">
        <v>4909</v>
      </c>
      <c r="H7059" t="s">
        <v>4909</v>
      </c>
      <c r="I7059" t="s">
        <v>4909</v>
      </c>
      <c r="J7059" t="s">
        <v>4909</v>
      </c>
      <c r="K7059" t="s">
        <v>4909</v>
      </c>
    </row>
    <row r="7060" spans="1:11" x14ac:dyDescent="0.2">
      <c r="A7060" t="s">
        <v>1751</v>
      </c>
      <c r="B7060" t="s">
        <v>4909</v>
      </c>
      <c r="C7060" t="s">
        <v>4909</v>
      </c>
      <c r="D7060" t="s">
        <v>4909</v>
      </c>
      <c r="E7060" t="s">
        <v>4909</v>
      </c>
      <c r="F7060" t="s">
        <v>4909</v>
      </c>
      <c r="G7060" t="s">
        <v>4909</v>
      </c>
      <c r="H7060" t="s">
        <v>4909</v>
      </c>
      <c r="I7060" t="s">
        <v>4909</v>
      </c>
      <c r="J7060" t="s">
        <v>4909</v>
      </c>
      <c r="K7060" t="s">
        <v>4909</v>
      </c>
    </row>
    <row r="7061" spans="1:11" x14ac:dyDescent="0.2">
      <c r="A7061" t="s">
        <v>1755</v>
      </c>
      <c r="B7061" t="s">
        <v>4909</v>
      </c>
      <c r="C7061" s="88">
        <v>3.0000000000000001E-3</v>
      </c>
      <c r="D7061" s="88">
        <v>0</v>
      </c>
      <c r="E7061" t="s">
        <v>4909</v>
      </c>
      <c r="F7061" s="88">
        <v>0</v>
      </c>
      <c r="G7061" s="88">
        <v>1.2999999999999999E-2</v>
      </c>
      <c r="H7061" s="88">
        <v>2E-3</v>
      </c>
      <c r="I7061" t="s">
        <v>4909</v>
      </c>
      <c r="J7061" t="s">
        <v>4909</v>
      </c>
      <c r="K7061" s="88">
        <v>5.0000000000000001E-3</v>
      </c>
    </row>
    <row r="7062" spans="1:11" x14ac:dyDescent="0.2">
      <c r="A7062" t="s">
        <v>1757</v>
      </c>
      <c r="B7062" t="s">
        <v>4909</v>
      </c>
      <c r="C7062" s="88">
        <v>3.0000000000000001E-3</v>
      </c>
      <c r="D7062" s="88">
        <v>0</v>
      </c>
      <c r="E7062" t="s">
        <v>4909</v>
      </c>
      <c r="F7062" s="88">
        <v>0</v>
      </c>
      <c r="G7062" s="88">
        <v>1.0999999999999999E-2</v>
      </c>
      <c r="H7062" s="88">
        <v>1E-3</v>
      </c>
      <c r="I7062" t="s">
        <v>4909</v>
      </c>
      <c r="J7062" s="88">
        <v>0</v>
      </c>
      <c r="K7062" s="88">
        <v>4.0000000000000001E-3</v>
      </c>
    </row>
    <row r="7063" spans="1:11" x14ac:dyDescent="0.2">
      <c r="A7063" t="s">
        <v>1761</v>
      </c>
      <c r="B7063" t="s">
        <v>4909</v>
      </c>
      <c r="C7063" t="s">
        <v>4909</v>
      </c>
      <c r="D7063" t="s">
        <v>4909</v>
      </c>
      <c r="E7063" t="s">
        <v>4909</v>
      </c>
      <c r="F7063" t="s">
        <v>4909</v>
      </c>
      <c r="G7063" t="s">
        <v>4909</v>
      </c>
      <c r="H7063" t="s">
        <v>4909</v>
      </c>
      <c r="I7063" t="s">
        <v>4909</v>
      </c>
      <c r="J7063" t="s">
        <v>4909</v>
      </c>
      <c r="K7063" t="s">
        <v>4909</v>
      </c>
    </row>
    <row r="7064" spans="1:11" x14ac:dyDescent="0.2">
      <c r="A7064" t="s">
        <v>1764</v>
      </c>
      <c r="B7064" t="s">
        <v>4909</v>
      </c>
      <c r="C7064" t="s">
        <v>4909</v>
      </c>
      <c r="D7064" t="s">
        <v>4909</v>
      </c>
      <c r="E7064" t="s">
        <v>4909</v>
      </c>
      <c r="F7064" t="s">
        <v>4909</v>
      </c>
      <c r="G7064" t="s">
        <v>4909</v>
      </c>
      <c r="H7064" t="s">
        <v>4909</v>
      </c>
      <c r="I7064" t="s">
        <v>4909</v>
      </c>
      <c r="J7064" t="s">
        <v>4909</v>
      </c>
      <c r="K7064" t="s">
        <v>4909</v>
      </c>
    </row>
    <row r="7065" spans="1:11" x14ac:dyDescent="0.2">
      <c r="A7065" t="s">
        <v>1770</v>
      </c>
      <c r="B7065" s="88">
        <v>0</v>
      </c>
      <c r="C7065" s="88">
        <v>2.1999999999999999E-2</v>
      </c>
      <c r="D7065" s="88">
        <v>1E-3</v>
      </c>
      <c r="E7065" t="s">
        <v>4909</v>
      </c>
      <c r="F7065" s="88">
        <v>1E-3</v>
      </c>
      <c r="G7065" s="88">
        <v>8.5999999999999993E-2</v>
      </c>
      <c r="H7065" s="88">
        <v>3.0000000000000001E-3</v>
      </c>
      <c r="I7065" t="s">
        <v>4909</v>
      </c>
      <c r="J7065" s="88">
        <v>0</v>
      </c>
      <c r="K7065" s="88">
        <v>3.5999999999999997E-2</v>
      </c>
    </row>
    <row r="7066" spans="1:11" x14ac:dyDescent="0.2">
      <c r="A7066" t="s">
        <v>1772</v>
      </c>
      <c r="B7066" t="s">
        <v>4909</v>
      </c>
      <c r="C7066" s="88">
        <v>2.7E-2</v>
      </c>
      <c r="D7066" s="88">
        <v>1E-3</v>
      </c>
      <c r="E7066" t="s">
        <v>4909</v>
      </c>
      <c r="F7066" s="88">
        <v>1E-3</v>
      </c>
      <c r="G7066" s="88">
        <v>0.10199999999999999</v>
      </c>
      <c r="H7066" s="88">
        <v>3.0000000000000001E-3</v>
      </c>
      <c r="I7066" t="s">
        <v>4909</v>
      </c>
      <c r="J7066" t="s">
        <v>4909</v>
      </c>
      <c r="K7066" s="88">
        <v>4.2999999999999997E-2</v>
      </c>
    </row>
    <row r="7067" spans="1:11" x14ac:dyDescent="0.2">
      <c r="A7067" t="s">
        <v>1774</v>
      </c>
      <c r="B7067" t="s">
        <v>4909</v>
      </c>
      <c r="C7067" s="88">
        <v>5.0000000000000001E-3</v>
      </c>
      <c r="D7067" t="s">
        <v>4909</v>
      </c>
      <c r="E7067" t="s">
        <v>4909</v>
      </c>
      <c r="F7067" t="s">
        <v>4909</v>
      </c>
      <c r="G7067" s="88">
        <v>2.5000000000000001E-2</v>
      </c>
      <c r="H7067" t="s">
        <v>4909</v>
      </c>
      <c r="I7067" t="s">
        <v>4909</v>
      </c>
      <c r="J7067" t="s">
        <v>4909</v>
      </c>
      <c r="K7067" s="88">
        <v>0.01</v>
      </c>
    </row>
    <row r="7068" spans="1:11" x14ac:dyDescent="0.2">
      <c r="A7068" t="s">
        <v>1777</v>
      </c>
      <c r="B7068" t="s">
        <v>4909</v>
      </c>
      <c r="C7068" t="s">
        <v>4909</v>
      </c>
      <c r="D7068" t="s">
        <v>4909</v>
      </c>
      <c r="E7068" t="s">
        <v>4909</v>
      </c>
      <c r="F7068" t="s">
        <v>4909</v>
      </c>
      <c r="G7068" t="s">
        <v>4909</v>
      </c>
      <c r="H7068" t="s">
        <v>4909</v>
      </c>
      <c r="I7068" t="s">
        <v>4909</v>
      </c>
      <c r="J7068" t="s">
        <v>4909</v>
      </c>
      <c r="K7068" t="s">
        <v>4909</v>
      </c>
    </row>
    <row r="7069" spans="1:11" x14ac:dyDescent="0.2">
      <c r="A7069" t="s">
        <v>1782</v>
      </c>
      <c r="B7069" t="s">
        <v>4909</v>
      </c>
      <c r="C7069" t="s">
        <v>4909</v>
      </c>
      <c r="D7069" t="s">
        <v>4909</v>
      </c>
      <c r="E7069" t="s">
        <v>4909</v>
      </c>
      <c r="F7069" t="s">
        <v>4909</v>
      </c>
      <c r="G7069" t="s">
        <v>4909</v>
      </c>
      <c r="H7069" t="s">
        <v>4909</v>
      </c>
      <c r="I7069" t="s">
        <v>4909</v>
      </c>
      <c r="J7069" t="s">
        <v>4909</v>
      </c>
      <c r="K7069" t="s">
        <v>4909</v>
      </c>
    </row>
    <row r="7070" spans="1:11" x14ac:dyDescent="0.2">
      <c r="A7070" t="s">
        <v>1274</v>
      </c>
      <c r="B7070" t="s">
        <v>4909</v>
      </c>
      <c r="C7070" s="88">
        <v>0</v>
      </c>
      <c r="D7070" s="88">
        <v>0</v>
      </c>
      <c r="E7070" t="s">
        <v>4909</v>
      </c>
      <c r="F7070" t="s">
        <v>4909</v>
      </c>
      <c r="G7070" s="88">
        <v>1E-3</v>
      </c>
      <c r="H7070" s="88">
        <v>0</v>
      </c>
      <c r="I7070" t="s">
        <v>4909</v>
      </c>
      <c r="J7070" t="s">
        <v>4909</v>
      </c>
      <c r="K7070" s="88">
        <v>0</v>
      </c>
    </row>
    <row r="7071" spans="1:11" x14ac:dyDescent="0.2">
      <c r="A7071" t="s">
        <v>1277</v>
      </c>
      <c r="B7071" t="s">
        <v>4909</v>
      </c>
      <c r="C7071" s="88">
        <v>0</v>
      </c>
      <c r="D7071" s="88">
        <v>0</v>
      </c>
      <c r="E7071" t="s">
        <v>4909</v>
      </c>
      <c r="F7071" s="88">
        <v>0</v>
      </c>
      <c r="G7071" s="88">
        <v>2E-3</v>
      </c>
      <c r="H7071" s="88">
        <v>0</v>
      </c>
      <c r="I7071" t="s">
        <v>4909</v>
      </c>
      <c r="J7071" s="88">
        <v>0</v>
      </c>
      <c r="K7071" s="88">
        <v>0</v>
      </c>
    </row>
    <row r="7072" spans="1:11" x14ac:dyDescent="0.2">
      <c r="A7072" t="s">
        <v>1798</v>
      </c>
      <c r="B7072" t="s">
        <v>4909</v>
      </c>
      <c r="C7072" t="s">
        <v>4909</v>
      </c>
      <c r="D7072" t="s">
        <v>4909</v>
      </c>
      <c r="E7072" t="s">
        <v>4909</v>
      </c>
      <c r="F7072" t="s">
        <v>4909</v>
      </c>
      <c r="G7072" t="s">
        <v>4909</v>
      </c>
      <c r="H7072" t="s">
        <v>4909</v>
      </c>
      <c r="I7072" t="s">
        <v>4909</v>
      </c>
      <c r="J7072" t="s">
        <v>4909</v>
      </c>
      <c r="K7072" t="s">
        <v>4909</v>
      </c>
    </row>
    <row r="7073" spans="1:11" x14ac:dyDescent="0.2">
      <c r="A7073" t="s">
        <v>1803</v>
      </c>
      <c r="B7073" t="s">
        <v>4909</v>
      </c>
      <c r="C7073" t="s">
        <v>4909</v>
      </c>
      <c r="D7073" t="s">
        <v>4909</v>
      </c>
      <c r="E7073" t="s">
        <v>4909</v>
      </c>
      <c r="F7073" t="s">
        <v>4909</v>
      </c>
      <c r="G7073" t="s">
        <v>4909</v>
      </c>
      <c r="H7073" t="s">
        <v>4909</v>
      </c>
      <c r="I7073" t="s">
        <v>4909</v>
      </c>
      <c r="J7073" t="s">
        <v>4909</v>
      </c>
      <c r="K7073" t="s">
        <v>4909</v>
      </c>
    </row>
    <row r="7074" spans="1:11" x14ac:dyDescent="0.2">
      <c r="A7074" t="s">
        <v>1808</v>
      </c>
      <c r="B7074" t="s">
        <v>4909</v>
      </c>
      <c r="C7074" t="s">
        <v>4909</v>
      </c>
      <c r="D7074" t="s">
        <v>4909</v>
      </c>
      <c r="E7074" t="s">
        <v>4909</v>
      </c>
      <c r="F7074" t="s">
        <v>4909</v>
      </c>
      <c r="G7074" t="s">
        <v>4909</v>
      </c>
      <c r="H7074" t="s">
        <v>4909</v>
      </c>
      <c r="I7074" t="s">
        <v>4909</v>
      </c>
      <c r="J7074" t="s">
        <v>4909</v>
      </c>
      <c r="K7074" t="s">
        <v>4909</v>
      </c>
    </row>
    <row r="7075" spans="1:11" x14ac:dyDescent="0.2">
      <c r="A7075" t="s">
        <v>1813</v>
      </c>
      <c r="B7075" t="s">
        <v>4909</v>
      </c>
      <c r="C7075" t="s">
        <v>4909</v>
      </c>
      <c r="D7075" t="s">
        <v>4909</v>
      </c>
      <c r="E7075" t="s">
        <v>4909</v>
      </c>
      <c r="F7075" t="s">
        <v>4909</v>
      </c>
      <c r="G7075" t="s">
        <v>4909</v>
      </c>
      <c r="H7075" t="s">
        <v>4909</v>
      </c>
      <c r="I7075" t="s">
        <v>4909</v>
      </c>
      <c r="J7075" t="s">
        <v>4909</v>
      </c>
      <c r="K7075" t="s">
        <v>4909</v>
      </c>
    </row>
    <row r="7076" spans="1:11" x14ac:dyDescent="0.2">
      <c r="A7076" t="s">
        <v>1819</v>
      </c>
      <c r="B7076" t="s">
        <v>4909</v>
      </c>
      <c r="C7076" t="s">
        <v>4909</v>
      </c>
      <c r="D7076" t="s">
        <v>4909</v>
      </c>
      <c r="E7076" t="s">
        <v>4909</v>
      </c>
      <c r="F7076" t="s">
        <v>4909</v>
      </c>
      <c r="G7076" t="s">
        <v>4909</v>
      </c>
      <c r="H7076" t="s">
        <v>4909</v>
      </c>
      <c r="I7076" t="s">
        <v>4909</v>
      </c>
      <c r="J7076" t="s">
        <v>4909</v>
      </c>
      <c r="K7076" t="s">
        <v>4909</v>
      </c>
    </row>
    <row r="7077" spans="1:11" x14ac:dyDescent="0.2">
      <c r="A7077" t="s">
        <v>1826</v>
      </c>
      <c r="B7077" t="s">
        <v>4909</v>
      </c>
      <c r="C7077" t="s">
        <v>4909</v>
      </c>
      <c r="D7077" t="s">
        <v>4909</v>
      </c>
      <c r="E7077" t="s">
        <v>4909</v>
      </c>
      <c r="F7077" t="s">
        <v>4909</v>
      </c>
      <c r="G7077" t="s">
        <v>4909</v>
      </c>
      <c r="H7077" t="s">
        <v>4909</v>
      </c>
      <c r="I7077" t="s">
        <v>4909</v>
      </c>
      <c r="J7077" t="s">
        <v>4909</v>
      </c>
      <c r="K7077" t="s">
        <v>4909</v>
      </c>
    </row>
    <row r="7078" spans="1:11" x14ac:dyDescent="0.2">
      <c r="A7078" t="s">
        <v>1830</v>
      </c>
      <c r="B7078" t="s">
        <v>4909</v>
      </c>
      <c r="C7078" t="s">
        <v>4909</v>
      </c>
      <c r="D7078" t="s">
        <v>4909</v>
      </c>
      <c r="E7078" t="s">
        <v>4909</v>
      </c>
      <c r="F7078" t="s">
        <v>4909</v>
      </c>
      <c r="G7078" t="s">
        <v>4909</v>
      </c>
      <c r="H7078" t="s">
        <v>4909</v>
      </c>
      <c r="I7078" t="s">
        <v>4909</v>
      </c>
      <c r="J7078" t="s">
        <v>4909</v>
      </c>
      <c r="K7078" t="s">
        <v>4909</v>
      </c>
    </row>
    <row r="7079" spans="1:11" x14ac:dyDescent="0.2">
      <c r="A7079" t="s">
        <v>1836</v>
      </c>
      <c r="B7079" t="s">
        <v>4909</v>
      </c>
      <c r="C7079" t="s">
        <v>4909</v>
      </c>
      <c r="D7079" t="s">
        <v>4909</v>
      </c>
      <c r="E7079" t="s">
        <v>4909</v>
      </c>
      <c r="F7079" t="s">
        <v>4909</v>
      </c>
      <c r="G7079" t="s">
        <v>4909</v>
      </c>
      <c r="H7079" t="s">
        <v>4909</v>
      </c>
      <c r="I7079" t="s">
        <v>4909</v>
      </c>
      <c r="J7079" t="s">
        <v>4909</v>
      </c>
      <c r="K7079" t="s">
        <v>4909</v>
      </c>
    </row>
    <row r="7080" spans="1:11" x14ac:dyDescent="0.2">
      <c r="A7080" t="s">
        <v>1841</v>
      </c>
      <c r="B7080" t="s">
        <v>4909</v>
      </c>
      <c r="C7080" t="s">
        <v>4909</v>
      </c>
      <c r="D7080" t="s">
        <v>4909</v>
      </c>
      <c r="E7080" t="s">
        <v>4909</v>
      </c>
      <c r="F7080" t="s">
        <v>4909</v>
      </c>
      <c r="G7080" t="s">
        <v>4909</v>
      </c>
      <c r="H7080" t="s">
        <v>4909</v>
      </c>
      <c r="I7080" t="s">
        <v>4909</v>
      </c>
      <c r="J7080" t="s">
        <v>4909</v>
      </c>
      <c r="K7080" t="s">
        <v>4909</v>
      </c>
    </row>
    <row r="7081" spans="1:11" x14ac:dyDescent="0.2">
      <c r="A7081" t="s">
        <v>1842</v>
      </c>
      <c r="B7081" s="88">
        <v>0</v>
      </c>
      <c r="C7081" s="88">
        <v>1.7000000000000001E-2</v>
      </c>
      <c r="D7081" s="88">
        <v>3.0000000000000001E-3</v>
      </c>
      <c r="E7081" t="s">
        <v>4909</v>
      </c>
      <c r="F7081" s="88">
        <v>3.0000000000000001E-3</v>
      </c>
      <c r="G7081" s="88">
        <v>6.5000000000000002E-2</v>
      </c>
      <c r="H7081" s="88">
        <v>8.9999999999999993E-3</v>
      </c>
      <c r="I7081" t="s">
        <v>4909</v>
      </c>
      <c r="J7081" s="88">
        <v>1E-3</v>
      </c>
      <c r="K7081" s="88">
        <v>2.7E-2</v>
      </c>
    </row>
    <row r="7082" spans="1:11" x14ac:dyDescent="0.2">
      <c r="A7082" t="s">
        <v>1843</v>
      </c>
      <c r="B7082" t="s">
        <v>4909</v>
      </c>
      <c r="C7082" t="s">
        <v>4909</v>
      </c>
      <c r="D7082" t="s">
        <v>4909</v>
      </c>
      <c r="E7082" t="s">
        <v>4909</v>
      </c>
      <c r="F7082" t="s">
        <v>4909</v>
      </c>
      <c r="G7082" t="s">
        <v>4909</v>
      </c>
      <c r="H7082" t="s">
        <v>4909</v>
      </c>
      <c r="I7082" t="s">
        <v>4909</v>
      </c>
      <c r="J7082" t="s">
        <v>4909</v>
      </c>
      <c r="K7082" t="s">
        <v>4909</v>
      </c>
    </row>
    <row r="7083" spans="1:11" x14ac:dyDescent="0.2">
      <c r="A7083" t="s">
        <v>1846</v>
      </c>
      <c r="B7083" t="s">
        <v>4909</v>
      </c>
      <c r="C7083" t="s">
        <v>4909</v>
      </c>
      <c r="D7083" t="s">
        <v>4909</v>
      </c>
      <c r="E7083" t="s">
        <v>4909</v>
      </c>
      <c r="F7083" t="s">
        <v>4909</v>
      </c>
      <c r="G7083" s="88">
        <v>7.0000000000000001E-3</v>
      </c>
      <c r="H7083" t="s">
        <v>4909</v>
      </c>
      <c r="I7083" t="s">
        <v>4909</v>
      </c>
      <c r="J7083" t="s">
        <v>4909</v>
      </c>
      <c r="K7083" s="88">
        <v>3.0000000000000001E-3</v>
      </c>
    </row>
    <row r="7084" spans="1:11" x14ac:dyDescent="0.2">
      <c r="A7084" t="s">
        <v>1851</v>
      </c>
      <c r="B7084" t="s">
        <v>4909</v>
      </c>
      <c r="C7084" s="88">
        <v>2E-3</v>
      </c>
      <c r="D7084" s="88">
        <v>0</v>
      </c>
      <c r="E7084" t="s">
        <v>4909</v>
      </c>
      <c r="F7084" s="88">
        <v>0</v>
      </c>
      <c r="G7084" s="88">
        <v>8.0000000000000002E-3</v>
      </c>
      <c r="H7084" s="88">
        <v>1E-3</v>
      </c>
      <c r="I7084" t="s">
        <v>4909</v>
      </c>
      <c r="J7084" s="88">
        <v>0</v>
      </c>
      <c r="K7084" s="88">
        <v>3.0000000000000001E-3</v>
      </c>
    </row>
    <row r="7085" spans="1:11" x14ac:dyDescent="0.2">
      <c r="A7085" t="s">
        <v>1857</v>
      </c>
      <c r="B7085" t="s">
        <v>4909</v>
      </c>
      <c r="C7085" t="s">
        <v>4909</v>
      </c>
      <c r="D7085" t="s">
        <v>4909</v>
      </c>
      <c r="E7085" t="s">
        <v>4909</v>
      </c>
      <c r="F7085" t="s">
        <v>4909</v>
      </c>
      <c r="G7085" t="s">
        <v>4909</v>
      </c>
      <c r="H7085" t="s">
        <v>4909</v>
      </c>
      <c r="I7085" t="s">
        <v>4909</v>
      </c>
      <c r="J7085" t="s">
        <v>4909</v>
      </c>
      <c r="K7085" t="s">
        <v>4909</v>
      </c>
    </row>
    <row r="7086" spans="1:11" x14ac:dyDescent="0.2">
      <c r="A7086" t="s">
        <v>1862</v>
      </c>
      <c r="B7086" t="s">
        <v>4909</v>
      </c>
      <c r="C7086" t="s">
        <v>4909</v>
      </c>
      <c r="D7086" t="s">
        <v>4909</v>
      </c>
      <c r="E7086" t="s">
        <v>4909</v>
      </c>
      <c r="F7086" t="s">
        <v>4909</v>
      </c>
      <c r="G7086" t="s">
        <v>4909</v>
      </c>
      <c r="H7086" t="s">
        <v>4909</v>
      </c>
      <c r="I7086" t="s">
        <v>4909</v>
      </c>
      <c r="J7086" t="s">
        <v>4909</v>
      </c>
      <c r="K7086" t="s">
        <v>4909</v>
      </c>
    </row>
    <row r="7087" spans="1:11" x14ac:dyDescent="0.2">
      <c r="A7087" t="s">
        <v>1867</v>
      </c>
      <c r="B7087" t="s">
        <v>4909</v>
      </c>
      <c r="C7087" t="s">
        <v>4909</v>
      </c>
      <c r="D7087" t="s">
        <v>4909</v>
      </c>
      <c r="E7087" t="s">
        <v>4909</v>
      </c>
      <c r="F7087" t="s">
        <v>4909</v>
      </c>
      <c r="G7087" t="s">
        <v>4909</v>
      </c>
      <c r="H7087" t="s">
        <v>4909</v>
      </c>
      <c r="I7087" t="s">
        <v>4909</v>
      </c>
      <c r="J7087" t="s">
        <v>4909</v>
      </c>
      <c r="K7087" t="s">
        <v>4909</v>
      </c>
    </row>
    <row r="7088" spans="1:11" x14ac:dyDescent="0.2">
      <c r="A7088" t="s">
        <v>1870</v>
      </c>
      <c r="B7088" t="s">
        <v>4909</v>
      </c>
      <c r="C7088" t="s">
        <v>4909</v>
      </c>
      <c r="D7088" t="s">
        <v>4909</v>
      </c>
      <c r="E7088" t="s">
        <v>4909</v>
      </c>
      <c r="F7088" t="s">
        <v>4909</v>
      </c>
      <c r="G7088" t="s">
        <v>4909</v>
      </c>
      <c r="H7088" t="s">
        <v>4909</v>
      </c>
      <c r="I7088" t="s">
        <v>4909</v>
      </c>
      <c r="J7088" t="s">
        <v>4909</v>
      </c>
      <c r="K7088" t="s">
        <v>4909</v>
      </c>
    </row>
    <row r="7089" spans="1:11" x14ac:dyDescent="0.2">
      <c r="A7089" t="s">
        <v>1874</v>
      </c>
      <c r="B7089" t="s">
        <v>4909</v>
      </c>
      <c r="C7089" s="88">
        <v>3.0000000000000001E-3</v>
      </c>
      <c r="D7089" s="88">
        <v>0</v>
      </c>
      <c r="E7089" t="s">
        <v>4909</v>
      </c>
      <c r="F7089" s="88">
        <v>0</v>
      </c>
      <c r="G7089" s="88">
        <v>1.2E-2</v>
      </c>
      <c r="H7089" s="88">
        <v>1E-3</v>
      </c>
      <c r="I7089" t="s">
        <v>4909</v>
      </c>
      <c r="J7089" s="88">
        <v>0</v>
      </c>
      <c r="K7089" s="88">
        <v>5.0000000000000001E-3</v>
      </c>
    </row>
    <row r="7090" spans="1:11" x14ac:dyDescent="0.2">
      <c r="A7090" t="s">
        <v>1876</v>
      </c>
      <c r="B7090" t="s">
        <v>4909</v>
      </c>
      <c r="C7090" t="s">
        <v>4909</v>
      </c>
      <c r="D7090" t="s">
        <v>4909</v>
      </c>
      <c r="E7090" t="s">
        <v>4909</v>
      </c>
      <c r="F7090" t="s">
        <v>4909</v>
      </c>
      <c r="G7090" t="s">
        <v>4909</v>
      </c>
      <c r="H7090" t="s">
        <v>4909</v>
      </c>
      <c r="I7090" t="s">
        <v>4909</v>
      </c>
      <c r="J7090" t="s">
        <v>4909</v>
      </c>
      <c r="K7090" t="s">
        <v>4909</v>
      </c>
    </row>
    <row r="7091" spans="1:11" x14ac:dyDescent="0.2">
      <c r="A7091" t="s">
        <v>1881</v>
      </c>
      <c r="B7091" t="s">
        <v>4909</v>
      </c>
      <c r="C7091" t="s">
        <v>4909</v>
      </c>
      <c r="D7091" t="s">
        <v>4909</v>
      </c>
      <c r="E7091" t="s">
        <v>4909</v>
      </c>
      <c r="F7091" t="s">
        <v>4909</v>
      </c>
      <c r="G7091" t="s">
        <v>4909</v>
      </c>
      <c r="H7091" t="s">
        <v>4909</v>
      </c>
      <c r="I7091" t="s">
        <v>4909</v>
      </c>
      <c r="J7091" t="s">
        <v>4909</v>
      </c>
      <c r="K7091" t="s">
        <v>4909</v>
      </c>
    </row>
    <row r="7092" spans="1:11" x14ac:dyDescent="0.2">
      <c r="A7092" t="s">
        <v>1885</v>
      </c>
      <c r="B7092" s="88">
        <v>0</v>
      </c>
      <c r="C7092" s="88">
        <v>3.7999999999999999E-2</v>
      </c>
      <c r="D7092" s="88">
        <v>7.0000000000000001E-3</v>
      </c>
      <c r="E7092" t="s">
        <v>4909</v>
      </c>
      <c r="F7092" s="88">
        <v>7.0000000000000001E-3</v>
      </c>
      <c r="G7092" s="88">
        <v>0.14000000000000001</v>
      </c>
      <c r="H7092" s="88">
        <v>1.9E-2</v>
      </c>
      <c r="I7092" t="s">
        <v>4909</v>
      </c>
      <c r="J7092" s="88">
        <v>2E-3</v>
      </c>
      <c r="K7092" s="88">
        <v>5.8000000000000003E-2</v>
      </c>
    </row>
    <row r="7093" spans="1:11" x14ac:dyDescent="0.2">
      <c r="A7093" t="s">
        <v>1887</v>
      </c>
      <c r="B7093" t="s">
        <v>4909</v>
      </c>
      <c r="C7093" s="88">
        <v>7.6999999999999999E-2</v>
      </c>
      <c r="D7093" s="88">
        <v>6.0000000000000001E-3</v>
      </c>
      <c r="E7093" t="s">
        <v>4909</v>
      </c>
      <c r="F7093" s="88">
        <v>7.0000000000000001E-3</v>
      </c>
      <c r="G7093" s="88">
        <v>0.13900000000000001</v>
      </c>
      <c r="H7093" s="88">
        <v>1.9E-2</v>
      </c>
      <c r="I7093" t="s">
        <v>4909</v>
      </c>
      <c r="J7093" s="88">
        <v>2E-3</v>
      </c>
      <c r="K7093" s="88">
        <v>0.05</v>
      </c>
    </row>
    <row r="7094" spans="1:11" x14ac:dyDescent="0.2">
      <c r="A7094" t="s">
        <v>1893</v>
      </c>
      <c r="B7094" s="88">
        <v>0</v>
      </c>
      <c r="C7094" s="88">
        <v>7.4999999999999997E-2</v>
      </c>
      <c r="D7094" s="88">
        <v>6.0000000000000001E-3</v>
      </c>
      <c r="E7094" t="s">
        <v>4909</v>
      </c>
      <c r="F7094" s="88">
        <v>6.0000000000000001E-3</v>
      </c>
      <c r="G7094" s="88">
        <v>0.127</v>
      </c>
      <c r="H7094" s="88">
        <v>1.7999999999999999E-2</v>
      </c>
      <c r="I7094" t="s">
        <v>4909</v>
      </c>
      <c r="J7094" s="88">
        <v>2E-3</v>
      </c>
      <c r="K7094" s="88">
        <v>4.5999999999999999E-2</v>
      </c>
    </row>
    <row r="7095" spans="1:11" x14ac:dyDescent="0.2">
      <c r="A7095" t="s">
        <v>1899</v>
      </c>
      <c r="B7095" t="s">
        <v>4909</v>
      </c>
      <c r="C7095" t="s">
        <v>4909</v>
      </c>
      <c r="D7095" t="s">
        <v>4909</v>
      </c>
      <c r="E7095" t="s">
        <v>4909</v>
      </c>
      <c r="F7095" t="s">
        <v>4909</v>
      </c>
      <c r="G7095" t="s">
        <v>4909</v>
      </c>
      <c r="H7095" t="s">
        <v>4909</v>
      </c>
      <c r="I7095" t="s">
        <v>4909</v>
      </c>
      <c r="J7095" t="s">
        <v>4909</v>
      </c>
      <c r="K7095" t="s">
        <v>4909</v>
      </c>
    </row>
    <row r="7096" spans="1:11" x14ac:dyDescent="0.2">
      <c r="A7096" t="s">
        <v>1906</v>
      </c>
      <c r="B7096" t="s">
        <v>4909</v>
      </c>
      <c r="C7096" t="s">
        <v>4909</v>
      </c>
      <c r="D7096" t="s">
        <v>4909</v>
      </c>
      <c r="E7096" t="s">
        <v>4909</v>
      </c>
      <c r="F7096" s="88">
        <v>4.1000000000000002E-2</v>
      </c>
      <c r="G7096" s="88">
        <v>0.79100000000000004</v>
      </c>
      <c r="H7096" s="88">
        <v>0.16300000000000001</v>
      </c>
      <c r="I7096" t="s">
        <v>4909</v>
      </c>
      <c r="J7096" t="s">
        <v>4909</v>
      </c>
      <c r="K7096" t="s">
        <v>4909</v>
      </c>
    </row>
    <row r="7097" spans="1:11" x14ac:dyDescent="0.2">
      <c r="A7097" t="s">
        <v>1911</v>
      </c>
      <c r="B7097" t="s">
        <v>4909</v>
      </c>
      <c r="C7097" t="s">
        <v>4909</v>
      </c>
      <c r="D7097" t="s">
        <v>4909</v>
      </c>
      <c r="E7097" t="s">
        <v>4909</v>
      </c>
      <c r="F7097" t="s">
        <v>4909</v>
      </c>
      <c r="G7097" t="s">
        <v>4909</v>
      </c>
      <c r="H7097" t="s">
        <v>4909</v>
      </c>
      <c r="I7097" t="s">
        <v>4909</v>
      </c>
      <c r="J7097" t="s">
        <v>4909</v>
      </c>
      <c r="K7097" t="s">
        <v>4909</v>
      </c>
    </row>
    <row r="7098" spans="1:11" x14ac:dyDescent="0.2">
      <c r="A7098" t="s">
        <v>1917</v>
      </c>
      <c r="B7098" s="88">
        <v>3.0000000000000001E-3</v>
      </c>
      <c r="C7098" s="88">
        <v>0.63900000000000001</v>
      </c>
      <c r="D7098" s="88">
        <v>0.215</v>
      </c>
      <c r="E7098" t="s">
        <v>4909</v>
      </c>
      <c r="F7098" t="s">
        <v>4909</v>
      </c>
      <c r="G7098" t="s">
        <v>4909</v>
      </c>
      <c r="H7098" t="s">
        <v>4909</v>
      </c>
      <c r="I7098" t="s">
        <v>4909</v>
      </c>
      <c r="J7098" t="s">
        <v>4909</v>
      </c>
      <c r="K7098" t="s">
        <v>4909</v>
      </c>
    </row>
    <row r="7099" spans="1:11" x14ac:dyDescent="0.2">
      <c r="A7099" t="s">
        <v>1922</v>
      </c>
      <c r="B7099" t="s">
        <v>4909</v>
      </c>
      <c r="C7099" s="88">
        <v>2E-3</v>
      </c>
      <c r="D7099" t="s">
        <v>4909</v>
      </c>
      <c r="E7099" t="s">
        <v>4909</v>
      </c>
      <c r="F7099" s="88">
        <v>0</v>
      </c>
      <c r="G7099" s="88">
        <v>1.2E-2</v>
      </c>
      <c r="H7099" s="88">
        <v>0</v>
      </c>
      <c r="I7099" t="s">
        <v>4909</v>
      </c>
      <c r="J7099" s="88">
        <v>3.5000000000000003E-2</v>
      </c>
      <c r="K7099" s="88">
        <v>0.68799999999999994</v>
      </c>
    </row>
    <row r="7100" spans="1:11" x14ac:dyDescent="0.2">
      <c r="A7100" t="s">
        <v>1928</v>
      </c>
      <c r="B7100" t="s">
        <v>4909</v>
      </c>
      <c r="C7100" s="88">
        <v>2E-3</v>
      </c>
      <c r="D7100" t="s">
        <v>4909</v>
      </c>
      <c r="E7100" t="s">
        <v>4909</v>
      </c>
      <c r="F7100" s="88">
        <v>4.3999999999999997E-2</v>
      </c>
      <c r="G7100" s="88">
        <v>0.80400000000000005</v>
      </c>
      <c r="H7100" s="88">
        <v>0.14299999999999999</v>
      </c>
      <c r="I7100" t="s">
        <v>4909</v>
      </c>
      <c r="J7100" t="s">
        <v>4909</v>
      </c>
      <c r="K7100" t="s">
        <v>4909</v>
      </c>
    </row>
    <row r="7101" spans="1:11" x14ac:dyDescent="0.2">
      <c r="A7101" t="s">
        <v>1932</v>
      </c>
      <c r="B7101" t="s">
        <v>4909</v>
      </c>
      <c r="C7101" t="s">
        <v>4909</v>
      </c>
      <c r="D7101" t="s">
        <v>4909</v>
      </c>
      <c r="E7101" t="s">
        <v>4909</v>
      </c>
      <c r="F7101" s="88">
        <v>4.8000000000000001E-2</v>
      </c>
      <c r="G7101" s="88">
        <v>0.85699999999999998</v>
      </c>
      <c r="H7101" s="88">
        <v>9.4E-2</v>
      </c>
      <c r="I7101" t="s">
        <v>4909</v>
      </c>
      <c r="J7101" t="s">
        <v>4909</v>
      </c>
      <c r="K7101" t="s">
        <v>4909</v>
      </c>
    </row>
    <row r="7102" spans="1:11" x14ac:dyDescent="0.2">
      <c r="A7102" t="s">
        <v>1938</v>
      </c>
      <c r="B7102" t="s">
        <v>4909</v>
      </c>
      <c r="C7102" t="s">
        <v>4909</v>
      </c>
      <c r="D7102" t="s">
        <v>4909</v>
      </c>
      <c r="E7102" t="s">
        <v>4909</v>
      </c>
      <c r="F7102" t="s">
        <v>4909</v>
      </c>
      <c r="G7102" t="s">
        <v>4909</v>
      </c>
      <c r="H7102" t="s">
        <v>4909</v>
      </c>
      <c r="I7102" t="s">
        <v>4909</v>
      </c>
      <c r="J7102" s="88">
        <v>0.04</v>
      </c>
      <c r="K7102" s="88">
        <v>0.76300000000000001</v>
      </c>
    </row>
    <row r="7103" spans="1:11" x14ac:dyDescent="0.2">
      <c r="A7103" t="s">
        <v>1944</v>
      </c>
      <c r="B7103" t="s">
        <v>4909</v>
      </c>
      <c r="C7103" s="88">
        <v>2.1999999999999999E-2</v>
      </c>
      <c r="D7103" s="88">
        <v>4.0000000000000001E-3</v>
      </c>
      <c r="E7103" t="s">
        <v>4909</v>
      </c>
      <c r="F7103" s="88">
        <v>4.0000000000000001E-3</v>
      </c>
      <c r="G7103" s="88">
        <v>8.5999999999999993E-2</v>
      </c>
      <c r="H7103" s="88">
        <v>0.01</v>
      </c>
      <c r="I7103" t="s">
        <v>4909</v>
      </c>
      <c r="J7103" s="88">
        <v>1E-3</v>
      </c>
      <c r="K7103" s="88">
        <v>3.2000000000000001E-2</v>
      </c>
    </row>
    <row r="7104" spans="1:11" x14ac:dyDescent="0.2">
      <c r="A7104" t="s">
        <v>1947</v>
      </c>
      <c r="B7104" t="s">
        <v>4909</v>
      </c>
      <c r="C7104" s="88">
        <v>5.3999999999999999E-2</v>
      </c>
      <c r="D7104" t="s">
        <v>4909</v>
      </c>
      <c r="E7104" t="s">
        <v>4909</v>
      </c>
      <c r="F7104" s="88">
        <v>3.0000000000000001E-3</v>
      </c>
      <c r="G7104" s="88">
        <v>5.3999999999999999E-2</v>
      </c>
      <c r="H7104" s="88">
        <v>3.0000000000000001E-3</v>
      </c>
      <c r="I7104" t="s">
        <v>4909</v>
      </c>
      <c r="J7104" t="s">
        <v>4909</v>
      </c>
      <c r="K7104" t="s">
        <v>4909</v>
      </c>
    </row>
    <row r="7105" spans="1:11" x14ac:dyDescent="0.2">
      <c r="A7105" t="s">
        <v>1953</v>
      </c>
      <c r="B7105" t="s">
        <v>4909</v>
      </c>
      <c r="C7105" s="88">
        <v>4.1000000000000002E-2</v>
      </c>
      <c r="D7105" t="s">
        <v>4909</v>
      </c>
      <c r="E7105" t="s">
        <v>4909</v>
      </c>
      <c r="F7105" s="88">
        <v>2E-3</v>
      </c>
      <c r="G7105" s="88">
        <v>4.7E-2</v>
      </c>
      <c r="H7105" s="88">
        <v>1E-3</v>
      </c>
      <c r="I7105" t="s">
        <v>4909</v>
      </c>
      <c r="J7105" t="s">
        <v>4909</v>
      </c>
      <c r="K7105" t="s">
        <v>4909</v>
      </c>
    </row>
    <row r="7106" spans="1:11" x14ac:dyDescent="0.2">
      <c r="A7106" t="s">
        <v>1958</v>
      </c>
      <c r="B7106" t="s">
        <v>4909</v>
      </c>
      <c r="C7106" t="s">
        <v>4909</v>
      </c>
      <c r="D7106" t="s">
        <v>4909</v>
      </c>
      <c r="E7106" t="s">
        <v>4909</v>
      </c>
      <c r="F7106" t="s">
        <v>4909</v>
      </c>
      <c r="G7106" t="s">
        <v>4909</v>
      </c>
      <c r="H7106" t="s">
        <v>4909</v>
      </c>
      <c r="I7106" t="s">
        <v>4909</v>
      </c>
      <c r="J7106" t="s">
        <v>4909</v>
      </c>
      <c r="K7106" t="s">
        <v>4909</v>
      </c>
    </row>
    <row r="7107" spans="1:11" x14ac:dyDescent="0.2">
      <c r="A7107" t="s">
        <v>1964</v>
      </c>
      <c r="B7107" t="s">
        <v>4909</v>
      </c>
      <c r="C7107" t="s">
        <v>4909</v>
      </c>
      <c r="D7107" t="s">
        <v>4909</v>
      </c>
      <c r="E7107" t="s">
        <v>4909</v>
      </c>
      <c r="F7107" t="s">
        <v>4909</v>
      </c>
      <c r="G7107" t="s">
        <v>4909</v>
      </c>
      <c r="H7107" t="s">
        <v>4909</v>
      </c>
      <c r="I7107" t="s">
        <v>4909</v>
      </c>
      <c r="J7107" t="s">
        <v>4909</v>
      </c>
      <c r="K7107" t="s">
        <v>4909</v>
      </c>
    </row>
    <row r="7108" spans="1:11" x14ac:dyDescent="0.2">
      <c r="A7108" t="s">
        <v>1973</v>
      </c>
      <c r="B7108" t="s">
        <v>4909</v>
      </c>
      <c r="C7108" s="88">
        <v>0</v>
      </c>
      <c r="D7108" t="s">
        <v>4909</v>
      </c>
      <c r="E7108" t="s">
        <v>4909</v>
      </c>
      <c r="F7108" s="88">
        <v>0</v>
      </c>
      <c r="G7108" s="88">
        <v>1E-3</v>
      </c>
      <c r="H7108" s="88">
        <v>0</v>
      </c>
      <c r="I7108" t="s">
        <v>4909</v>
      </c>
      <c r="J7108" t="s">
        <v>4909</v>
      </c>
      <c r="K7108" t="s">
        <v>4909</v>
      </c>
    </row>
    <row r="7109" spans="1:11" x14ac:dyDescent="0.2">
      <c r="A7109" t="s">
        <v>1978</v>
      </c>
      <c r="B7109" t="s">
        <v>4909</v>
      </c>
      <c r="C7109" t="s">
        <v>4909</v>
      </c>
      <c r="D7109" t="s">
        <v>4909</v>
      </c>
      <c r="E7109" t="s">
        <v>4909</v>
      </c>
      <c r="F7109" t="s">
        <v>4909</v>
      </c>
      <c r="G7109" t="s">
        <v>4909</v>
      </c>
      <c r="H7109" t="s">
        <v>4909</v>
      </c>
      <c r="I7109" t="s">
        <v>4909</v>
      </c>
      <c r="J7109" t="s">
        <v>4909</v>
      </c>
      <c r="K7109" t="s">
        <v>4909</v>
      </c>
    </row>
    <row r="7110" spans="1:11" x14ac:dyDescent="0.2">
      <c r="A7110" t="s">
        <v>1983</v>
      </c>
      <c r="B7110" t="s">
        <v>4909</v>
      </c>
      <c r="C7110" s="88">
        <v>1.9E-2</v>
      </c>
      <c r="D7110" s="88">
        <v>2E-3</v>
      </c>
      <c r="E7110" t="s">
        <v>4909</v>
      </c>
      <c r="F7110" t="s">
        <v>4909</v>
      </c>
      <c r="G7110" s="88">
        <v>6.3E-2</v>
      </c>
      <c r="H7110" s="88">
        <v>2E-3</v>
      </c>
      <c r="I7110" t="s">
        <v>4909</v>
      </c>
      <c r="J7110" t="s">
        <v>4909</v>
      </c>
      <c r="K7110" s="88">
        <v>2.5999999999999999E-2</v>
      </c>
    </row>
    <row r="7111" spans="1:11" x14ac:dyDescent="0.2">
      <c r="A7111" t="s">
        <v>1984</v>
      </c>
      <c r="B7111" t="s">
        <v>4909</v>
      </c>
      <c r="C7111" t="s">
        <v>4909</v>
      </c>
      <c r="D7111" t="s">
        <v>4909</v>
      </c>
      <c r="E7111" t="s">
        <v>4909</v>
      </c>
      <c r="F7111" t="s">
        <v>4909</v>
      </c>
      <c r="G7111" t="s">
        <v>4909</v>
      </c>
      <c r="H7111" t="s">
        <v>4909</v>
      </c>
      <c r="I7111" t="s">
        <v>4909</v>
      </c>
      <c r="J7111" t="s">
        <v>4909</v>
      </c>
      <c r="K7111" t="s">
        <v>4909</v>
      </c>
    </row>
    <row r="7112" spans="1:11" x14ac:dyDescent="0.2">
      <c r="A7112" t="s">
        <v>1990</v>
      </c>
      <c r="B7112" t="s">
        <v>4909</v>
      </c>
      <c r="C7112" s="88">
        <v>3.0000000000000001E-3</v>
      </c>
      <c r="D7112" t="s">
        <v>4909</v>
      </c>
      <c r="E7112" t="s">
        <v>4909</v>
      </c>
      <c r="F7112" t="s">
        <v>4909</v>
      </c>
      <c r="G7112" t="s">
        <v>4909</v>
      </c>
      <c r="H7112" t="s">
        <v>4909</v>
      </c>
      <c r="I7112" t="s">
        <v>4909</v>
      </c>
      <c r="J7112" t="s">
        <v>4909</v>
      </c>
      <c r="K7112" t="s">
        <v>4909</v>
      </c>
    </row>
    <row r="7113" spans="1:11" x14ac:dyDescent="0.2">
      <c r="A7113" t="s">
        <v>1996</v>
      </c>
      <c r="B7113" t="s">
        <v>4909</v>
      </c>
      <c r="C7113" t="s">
        <v>4909</v>
      </c>
      <c r="D7113" t="s">
        <v>4909</v>
      </c>
      <c r="E7113" t="s">
        <v>4909</v>
      </c>
      <c r="F7113" t="s">
        <v>4909</v>
      </c>
      <c r="G7113" t="s">
        <v>4909</v>
      </c>
      <c r="H7113" t="s">
        <v>4909</v>
      </c>
      <c r="I7113" t="s">
        <v>4909</v>
      </c>
      <c r="J7113" t="s">
        <v>4909</v>
      </c>
      <c r="K7113" t="s">
        <v>4909</v>
      </c>
    </row>
    <row r="7114" spans="1:11" x14ac:dyDescent="0.2">
      <c r="A7114" t="s">
        <v>1998</v>
      </c>
      <c r="B7114" t="s">
        <v>4909</v>
      </c>
      <c r="C7114" t="s">
        <v>4909</v>
      </c>
      <c r="D7114" t="s">
        <v>4909</v>
      </c>
      <c r="E7114" t="s">
        <v>4909</v>
      </c>
      <c r="F7114" t="s">
        <v>4909</v>
      </c>
      <c r="G7114" t="s">
        <v>4909</v>
      </c>
      <c r="H7114" t="s">
        <v>4909</v>
      </c>
      <c r="I7114" t="s">
        <v>4909</v>
      </c>
      <c r="J7114" t="s">
        <v>4909</v>
      </c>
      <c r="K7114" t="s">
        <v>4909</v>
      </c>
    </row>
    <row r="7115" spans="1:11" x14ac:dyDescent="0.2">
      <c r="A7115" t="s">
        <v>1999</v>
      </c>
      <c r="B7115" t="s">
        <v>4909</v>
      </c>
      <c r="C7115" t="s">
        <v>4909</v>
      </c>
      <c r="D7115" t="s">
        <v>4909</v>
      </c>
      <c r="E7115" t="s">
        <v>4909</v>
      </c>
      <c r="F7115" t="s">
        <v>4909</v>
      </c>
      <c r="G7115" t="s">
        <v>4909</v>
      </c>
      <c r="H7115" t="s">
        <v>4909</v>
      </c>
      <c r="I7115" t="s">
        <v>4909</v>
      </c>
      <c r="J7115" t="s">
        <v>4909</v>
      </c>
      <c r="K7115" t="s">
        <v>4909</v>
      </c>
    </row>
    <row r="7116" spans="1:11" x14ac:dyDescent="0.2">
      <c r="A7116" t="s">
        <v>2004</v>
      </c>
      <c r="B7116" t="s">
        <v>4909</v>
      </c>
      <c r="C7116" t="s">
        <v>4909</v>
      </c>
      <c r="D7116" t="s">
        <v>4909</v>
      </c>
      <c r="E7116" t="s">
        <v>4909</v>
      </c>
      <c r="F7116" t="s">
        <v>4909</v>
      </c>
      <c r="G7116" t="s">
        <v>4909</v>
      </c>
      <c r="H7116" t="s">
        <v>4909</v>
      </c>
      <c r="I7116" t="s">
        <v>4909</v>
      </c>
      <c r="J7116" t="s">
        <v>4909</v>
      </c>
      <c r="K7116" t="s">
        <v>4909</v>
      </c>
    </row>
    <row r="7117" spans="1:11" x14ac:dyDescent="0.2">
      <c r="A7117" t="s">
        <v>2009</v>
      </c>
      <c r="B7117" t="s">
        <v>4909</v>
      </c>
      <c r="C7117" t="s">
        <v>4909</v>
      </c>
      <c r="D7117" t="s">
        <v>4909</v>
      </c>
      <c r="E7117" t="s">
        <v>4909</v>
      </c>
      <c r="F7117" t="s">
        <v>4909</v>
      </c>
      <c r="G7117" t="s">
        <v>4909</v>
      </c>
      <c r="H7117" t="s">
        <v>4909</v>
      </c>
      <c r="I7117" t="s">
        <v>4909</v>
      </c>
      <c r="J7117" t="s">
        <v>4909</v>
      </c>
      <c r="K7117" t="s">
        <v>4909</v>
      </c>
    </row>
    <row r="7118" spans="1:11" x14ac:dyDescent="0.2">
      <c r="A7118" t="s">
        <v>2014</v>
      </c>
      <c r="B7118" t="s">
        <v>4909</v>
      </c>
      <c r="C7118" t="s">
        <v>4909</v>
      </c>
      <c r="D7118" t="s">
        <v>4909</v>
      </c>
      <c r="E7118" t="s">
        <v>4909</v>
      </c>
      <c r="F7118" t="s">
        <v>4909</v>
      </c>
      <c r="G7118" t="s">
        <v>4909</v>
      </c>
      <c r="H7118" t="s">
        <v>4909</v>
      </c>
      <c r="I7118" t="s">
        <v>4909</v>
      </c>
      <c r="J7118" t="s">
        <v>4909</v>
      </c>
      <c r="K7118" t="s">
        <v>4909</v>
      </c>
    </row>
    <row r="7119" spans="1:11" x14ac:dyDescent="0.2">
      <c r="A7119" t="s">
        <v>2019</v>
      </c>
      <c r="B7119" t="s">
        <v>4909</v>
      </c>
      <c r="C7119" t="s">
        <v>4909</v>
      </c>
      <c r="D7119" t="s">
        <v>4909</v>
      </c>
      <c r="E7119" t="s">
        <v>4909</v>
      </c>
      <c r="F7119" t="s">
        <v>4909</v>
      </c>
      <c r="G7119" t="s">
        <v>4909</v>
      </c>
      <c r="H7119" t="s">
        <v>4909</v>
      </c>
      <c r="I7119" t="s">
        <v>4909</v>
      </c>
      <c r="J7119" t="s">
        <v>4909</v>
      </c>
      <c r="K7119" t="s">
        <v>4909</v>
      </c>
    </row>
    <row r="7120" spans="1:11" x14ac:dyDescent="0.2">
      <c r="A7120" t="s">
        <v>2023</v>
      </c>
      <c r="B7120" t="s">
        <v>4909</v>
      </c>
      <c r="C7120" t="s">
        <v>4909</v>
      </c>
      <c r="D7120" t="s">
        <v>4909</v>
      </c>
      <c r="E7120" t="s">
        <v>4909</v>
      </c>
      <c r="F7120" t="s">
        <v>4909</v>
      </c>
      <c r="G7120" t="s">
        <v>4909</v>
      </c>
      <c r="H7120" t="s">
        <v>4909</v>
      </c>
      <c r="I7120" t="s">
        <v>4909</v>
      </c>
      <c r="J7120" t="s">
        <v>4909</v>
      </c>
      <c r="K7120" t="s">
        <v>4909</v>
      </c>
    </row>
    <row r="7121" spans="1:11" x14ac:dyDescent="0.2">
      <c r="A7121" t="s">
        <v>2026</v>
      </c>
      <c r="B7121" t="s">
        <v>4909</v>
      </c>
      <c r="C7121" t="s">
        <v>4909</v>
      </c>
      <c r="D7121" t="s">
        <v>4909</v>
      </c>
      <c r="E7121" t="s">
        <v>4909</v>
      </c>
      <c r="F7121" t="s">
        <v>4909</v>
      </c>
      <c r="G7121" t="s">
        <v>4909</v>
      </c>
      <c r="H7121" t="s">
        <v>4909</v>
      </c>
      <c r="I7121" t="s">
        <v>4909</v>
      </c>
      <c r="J7121" t="s">
        <v>4909</v>
      </c>
      <c r="K7121" t="s">
        <v>4909</v>
      </c>
    </row>
    <row r="7122" spans="1:11" x14ac:dyDescent="0.2">
      <c r="A7122" t="s">
        <v>2030</v>
      </c>
      <c r="B7122" t="s">
        <v>4909</v>
      </c>
      <c r="C7122" t="s">
        <v>4909</v>
      </c>
      <c r="D7122" t="s">
        <v>4909</v>
      </c>
      <c r="E7122" t="s">
        <v>4909</v>
      </c>
      <c r="F7122" t="s">
        <v>4909</v>
      </c>
      <c r="G7122" t="s">
        <v>4909</v>
      </c>
      <c r="H7122" t="s">
        <v>4909</v>
      </c>
      <c r="I7122" t="s">
        <v>4909</v>
      </c>
      <c r="J7122" t="s">
        <v>4909</v>
      </c>
      <c r="K7122" t="s">
        <v>4909</v>
      </c>
    </row>
    <row r="7123" spans="1:11" x14ac:dyDescent="0.2">
      <c r="A7123" t="s">
        <v>2035</v>
      </c>
      <c r="B7123" t="s">
        <v>4909</v>
      </c>
      <c r="C7123" t="s">
        <v>4909</v>
      </c>
      <c r="D7123" t="s">
        <v>4909</v>
      </c>
      <c r="E7123" t="s">
        <v>4909</v>
      </c>
      <c r="F7123" t="s">
        <v>4909</v>
      </c>
      <c r="G7123" t="s">
        <v>4909</v>
      </c>
      <c r="H7123" t="s">
        <v>4909</v>
      </c>
      <c r="I7123" t="s">
        <v>4909</v>
      </c>
      <c r="J7123" t="s">
        <v>4909</v>
      </c>
      <c r="K7123" t="s">
        <v>4909</v>
      </c>
    </row>
    <row r="7124" spans="1:11" x14ac:dyDescent="0.2">
      <c r="A7124" t="s">
        <v>2040</v>
      </c>
      <c r="B7124" t="s">
        <v>4909</v>
      </c>
      <c r="C7124" t="s">
        <v>4909</v>
      </c>
      <c r="D7124" t="s">
        <v>4909</v>
      </c>
      <c r="E7124" t="s">
        <v>4909</v>
      </c>
      <c r="F7124" t="s">
        <v>4909</v>
      </c>
      <c r="G7124" t="s">
        <v>4909</v>
      </c>
      <c r="H7124" t="s">
        <v>4909</v>
      </c>
      <c r="I7124" t="s">
        <v>4909</v>
      </c>
      <c r="J7124" t="s">
        <v>4909</v>
      </c>
      <c r="K7124" t="s">
        <v>4909</v>
      </c>
    </row>
    <row r="7125" spans="1:11" x14ac:dyDescent="0.2">
      <c r="A7125" t="s">
        <v>2045</v>
      </c>
      <c r="B7125" t="s">
        <v>4909</v>
      </c>
      <c r="C7125" t="s">
        <v>4909</v>
      </c>
      <c r="D7125" t="s">
        <v>4909</v>
      </c>
      <c r="E7125" t="s">
        <v>4909</v>
      </c>
      <c r="F7125" t="s">
        <v>4909</v>
      </c>
      <c r="G7125" t="s">
        <v>4909</v>
      </c>
      <c r="H7125" t="s">
        <v>4909</v>
      </c>
      <c r="I7125" t="s">
        <v>4909</v>
      </c>
      <c r="J7125" t="s">
        <v>4909</v>
      </c>
      <c r="K7125" t="s">
        <v>4909</v>
      </c>
    </row>
    <row r="7126" spans="1:11" x14ac:dyDescent="0.2">
      <c r="A7126" t="s">
        <v>2049</v>
      </c>
      <c r="B7126" t="s">
        <v>4909</v>
      </c>
      <c r="C7126" t="s">
        <v>4909</v>
      </c>
      <c r="D7126" t="s">
        <v>4909</v>
      </c>
      <c r="E7126" t="s">
        <v>4909</v>
      </c>
      <c r="F7126" t="s">
        <v>4909</v>
      </c>
      <c r="G7126" t="s">
        <v>4909</v>
      </c>
      <c r="H7126" t="s">
        <v>4909</v>
      </c>
      <c r="I7126" t="s">
        <v>4909</v>
      </c>
      <c r="J7126" t="s">
        <v>4909</v>
      </c>
      <c r="K7126" t="s">
        <v>4909</v>
      </c>
    </row>
    <row r="7127" spans="1:11" x14ac:dyDescent="0.2">
      <c r="A7127" t="s">
        <v>2051</v>
      </c>
      <c r="B7127" t="s">
        <v>4909</v>
      </c>
      <c r="C7127" s="88">
        <v>2E-3</v>
      </c>
      <c r="D7127" s="88">
        <v>0</v>
      </c>
      <c r="E7127" t="s">
        <v>4909</v>
      </c>
      <c r="F7127" s="88">
        <v>0</v>
      </c>
      <c r="G7127" s="88">
        <v>1.0999999999999999E-2</v>
      </c>
      <c r="H7127" s="88">
        <v>1E-3</v>
      </c>
      <c r="I7127" t="s">
        <v>4909</v>
      </c>
      <c r="J7127" t="s">
        <v>4909</v>
      </c>
      <c r="K7127" s="88">
        <v>3.0000000000000001E-3</v>
      </c>
    </row>
    <row r="7128" spans="1:11" x14ac:dyDescent="0.2">
      <c r="A7128" t="s">
        <v>2057</v>
      </c>
      <c r="B7128" t="s">
        <v>4909</v>
      </c>
      <c r="C7128" s="88">
        <v>3.0000000000000001E-3</v>
      </c>
      <c r="D7128" s="88">
        <v>0</v>
      </c>
      <c r="E7128" t="s">
        <v>4909</v>
      </c>
      <c r="F7128" s="88">
        <v>0</v>
      </c>
      <c r="G7128" s="88">
        <v>1.2E-2</v>
      </c>
      <c r="H7128" s="88">
        <v>1E-3</v>
      </c>
      <c r="I7128" t="s">
        <v>4909</v>
      </c>
      <c r="J7128" s="88">
        <v>0</v>
      </c>
      <c r="K7128" s="88">
        <v>4.0000000000000001E-3</v>
      </c>
    </row>
    <row r="7129" spans="1:11" x14ac:dyDescent="0.2">
      <c r="A7129" t="s">
        <v>4344</v>
      </c>
      <c r="B7129" t="s">
        <v>4909</v>
      </c>
      <c r="C7129" s="88">
        <v>2E-3</v>
      </c>
      <c r="D7129" s="88">
        <v>0</v>
      </c>
      <c r="E7129" t="s">
        <v>4909</v>
      </c>
      <c r="F7129" s="88">
        <v>0</v>
      </c>
      <c r="G7129" s="88">
        <v>0.01</v>
      </c>
      <c r="H7129" s="88">
        <v>1E-3</v>
      </c>
      <c r="I7129" t="s">
        <v>4909</v>
      </c>
      <c r="J7129" s="88">
        <v>0</v>
      </c>
      <c r="K7129" s="88">
        <v>3.0000000000000001E-3</v>
      </c>
    </row>
    <row r="7130" spans="1:11" x14ac:dyDescent="0.2">
      <c r="A7130" t="s">
        <v>4345</v>
      </c>
      <c r="B7130" t="s">
        <v>4909</v>
      </c>
      <c r="C7130" s="88">
        <v>2E-3</v>
      </c>
      <c r="D7130" s="88">
        <v>0</v>
      </c>
      <c r="E7130" t="s">
        <v>4909</v>
      </c>
      <c r="F7130" s="88">
        <v>0</v>
      </c>
      <c r="G7130" s="88">
        <v>0.01</v>
      </c>
      <c r="H7130" s="88">
        <v>1E-3</v>
      </c>
      <c r="I7130" t="s">
        <v>4909</v>
      </c>
      <c r="J7130" s="88">
        <v>0</v>
      </c>
      <c r="K7130" s="88">
        <v>4.0000000000000001E-3</v>
      </c>
    </row>
    <row r="7131" spans="1:11" x14ac:dyDescent="0.2">
      <c r="A7131" t="s">
        <v>2074</v>
      </c>
      <c r="B7131" t="s">
        <v>4909</v>
      </c>
      <c r="C7131" t="s">
        <v>4909</v>
      </c>
      <c r="D7131" t="s">
        <v>4909</v>
      </c>
      <c r="E7131" t="s">
        <v>4909</v>
      </c>
      <c r="F7131" t="s">
        <v>4909</v>
      </c>
      <c r="G7131" t="s">
        <v>4909</v>
      </c>
      <c r="H7131" t="s">
        <v>4909</v>
      </c>
      <c r="I7131" t="s">
        <v>4909</v>
      </c>
      <c r="J7131" t="s">
        <v>4909</v>
      </c>
      <c r="K7131" t="s">
        <v>4909</v>
      </c>
    </row>
    <row r="7132" spans="1:11" x14ac:dyDescent="0.2">
      <c r="A7132" t="s">
        <v>2079</v>
      </c>
      <c r="B7132" t="s">
        <v>4909</v>
      </c>
      <c r="C7132" t="s">
        <v>4909</v>
      </c>
      <c r="D7132" t="s">
        <v>4909</v>
      </c>
      <c r="E7132" t="s">
        <v>4909</v>
      </c>
      <c r="F7132" t="s">
        <v>4909</v>
      </c>
      <c r="G7132" t="s">
        <v>4909</v>
      </c>
      <c r="H7132" t="s">
        <v>4909</v>
      </c>
      <c r="I7132" t="s">
        <v>4909</v>
      </c>
      <c r="J7132" t="s">
        <v>4909</v>
      </c>
      <c r="K7132" t="s">
        <v>4909</v>
      </c>
    </row>
    <row r="7133" spans="1:11" x14ac:dyDescent="0.2">
      <c r="A7133" t="s">
        <v>2085</v>
      </c>
      <c r="B7133" t="s">
        <v>4909</v>
      </c>
      <c r="C7133" t="s">
        <v>4909</v>
      </c>
      <c r="D7133" t="s">
        <v>4909</v>
      </c>
      <c r="E7133" t="s">
        <v>4909</v>
      </c>
      <c r="F7133" t="s">
        <v>4909</v>
      </c>
      <c r="G7133" t="s">
        <v>4909</v>
      </c>
      <c r="H7133" t="s">
        <v>4909</v>
      </c>
      <c r="I7133" t="s">
        <v>4909</v>
      </c>
      <c r="J7133" t="s">
        <v>4909</v>
      </c>
      <c r="K7133" t="s">
        <v>4909</v>
      </c>
    </row>
    <row r="7134" spans="1:11" x14ac:dyDescent="0.2">
      <c r="A7134" t="s">
        <v>2091</v>
      </c>
      <c r="B7134" t="s">
        <v>4909</v>
      </c>
      <c r="C7134" t="s">
        <v>4909</v>
      </c>
      <c r="D7134" t="s">
        <v>4909</v>
      </c>
      <c r="E7134" t="s">
        <v>4909</v>
      </c>
      <c r="F7134" t="s">
        <v>4909</v>
      </c>
      <c r="G7134" t="s">
        <v>4909</v>
      </c>
      <c r="H7134" t="s">
        <v>4909</v>
      </c>
      <c r="I7134" t="s">
        <v>4909</v>
      </c>
      <c r="J7134" t="s">
        <v>4909</v>
      </c>
      <c r="K7134" t="s">
        <v>4909</v>
      </c>
    </row>
    <row r="7135" spans="1:11" x14ac:dyDescent="0.2">
      <c r="A7135" t="s">
        <v>2097</v>
      </c>
      <c r="B7135" t="s">
        <v>4909</v>
      </c>
      <c r="C7135" t="s">
        <v>4909</v>
      </c>
      <c r="D7135" t="s">
        <v>4909</v>
      </c>
      <c r="E7135" t="s">
        <v>4909</v>
      </c>
      <c r="F7135" t="s">
        <v>4909</v>
      </c>
      <c r="G7135" t="s">
        <v>4909</v>
      </c>
      <c r="H7135" t="s">
        <v>4909</v>
      </c>
      <c r="I7135" t="s">
        <v>4909</v>
      </c>
      <c r="J7135" t="s">
        <v>4909</v>
      </c>
      <c r="K7135" t="s">
        <v>4909</v>
      </c>
    </row>
    <row r="7136" spans="1:11" x14ac:dyDescent="0.2">
      <c r="A7136" t="s">
        <v>2101</v>
      </c>
      <c r="B7136" t="s">
        <v>4909</v>
      </c>
      <c r="C7136" t="s">
        <v>4909</v>
      </c>
      <c r="D7136" t="s">
        <v>4909</v>
      </c>
      <c r="E7136" t="s">
        <v>4909</v>
      </c>
      <c r="F7136" t="s">
        <v>4909</v>
      </c>
      <c r="G7136" t="s">
        <v>4909</v>
      </c>
      <c r="H7136" t="s">
        <v>4909</v>
      </c>
      <c r="I7136" t="s">
        <v>4909</v>
      </c>
      <c r="J7136" t="s">
        <v>4909</v>
      </c>
      <c r="K7136" t="s">
        <v>4909</v>
      </c>
    </row>
    <row r="7137" spans="1:11" x14ac:dyDescent="0.2">
      <c r="A7137" t="s">
        <v>2104</v>
      </c>
      <c r="B7137" t="s">
        <v>4909</v>
      </c>
      <c r="C7137" t="s">
        <v>4909</v>
      </c>
      <c r="D7137" t="s">
        <v>4909</v>
      </c>
      <c r="E7137" t="s">
        <v>4909</v>
      </c>
      <c r="F7137" t="s">
        <v>4909</v>
      </c>
      <c r="G7137" t="s">
        <v>4909</v>
      </c>
      <c r="H7137" t="s">
        <v>4909</v>
      </c>
      <c r="I7137" t="s">
        <v>4909</v>
      </c>
      <c r="J7137" t="s">
        <v>4909</v>
      </c>
      <c r="K7137" t="s">
        <v>4909</v>
      </c>
    </row>
    <row r="7138" spans="1:11" x14ac:dyDescent="0.2">
      <c r="A7138" t="s">
        <v>2107</v>
      </c>
      <c r="B7138" t="s">
        <v>4909</v>
      </c>
      <c r="C7138" t="s">
        <v>4909</v>
      </c>
      <c r="D7138" t="s">
        <v>4909</v>
      </c>
      <c r="E7138" t="s">
        <v>4909</v>
      </c>
      <c r="F7138" t="s">
        <v>4909</v>
      </c>
      <c r="G7138" t="s">
        <v>4909</v>
      </c>
      <c r="H7138" t="s">
        <v>4909</v>
      </c>
      <c r="I7138" t="s">
        <v>4909</v>
      </c>
      <c r="J7138" t="s">
        <v>4909</v>
      </c>
      <c r="K7138" t="s">
        <v>4909</v>
      </c>
    </row>
    <row r="7139" spans="1:11" x14ac:dyDescent="0.2">
      <c r="A7139" t="s">
        <v>2110</v>
      </c>
      <c r="B7139" t="s">
        <v>4909</v>
      </c>
      <c r="C7139" t="s">
        <v>4909</v>
      </c>
      <c r="D7139" t="s">
        <v>4909</v>
      </c>
      <c r="E7139" t="s">
        <v>4909</v>
      </c>
      <c r="F7139" t="s">
        <v>4909</v>
      </c>
      <c r="G7139" t="s">
        <v>4909</v>
      </c>
      <c r="H7139" t="s">
        <v>4909</v>
      </c>
      <c r="I7139" t="s">
        <v>4909</v>
      </c>
      <c r="J7139" t="s">
        <v>4909</v>
      </c>
      <c r="K7139" t="s">
        <v>4909</v>
      </c>
    </row>
    <row r="7140" spans="1:11" x14ac:dyDescent="0.2">
      <c r="A7140" t="s">
        <v>2113</v>
      </c>
      <c r="B7140" t="s">
        <v>4909</v>
      </c>
      <c r="C7140" t="s">
        <v>4909</v>
      </c>
      <c r="D7140" t="s">
        <v>4909</v>
      </c>
      <c r="E7140" t="s">
        <v>4909</v>
      </c>
      <c r="F7140" t="s">
        <v>4909</v>
      </c>
      <c r="G7140" t="s">
        <v>4909</v>
      </c>
      <c r="H7140" t="s">
        <v>4909</v>
      </c>
      <c r="I7140" t="s">
        <v>4909</v>
      </c>
      <c r="J7140" t="s">
        <v>4909</v>
      </c>
      <c r="K7140" t="s">
        <v>4909</v>
      </c>
    </row>
    <row r="7141" spans="1:11" x14ac:dyDescent="0.2">
      <c r="A7141" t="s">
        <v>4346</v>
      </c>
      <c r="B7141" t="s">
        <v>4909</v>
      </c>
      <c r="C7141" t="s">
        <v>4909</v>
      </c>
      <c r="D7141" t="s">
        <v>4909</v>
      </c>
      <c r="E7141" t="s">
        <v>4909</v>
      </c>
      <c r="F7141" t="s">
        <v>4909</v>
      </c>
      <c r="G7141" t="s">
        <v>4909</v>
      </c>
      <c r="H7141" t="s">
        <v>4909</v>
      </c>
      <c r="I7141" t="s">
        <v>4909</v>
      </c>
      <c r="J7141" t="s">
        <v>4909</v>
      </c>
      <c r="K7141" t="s">
        <v>4909</v>
      </c>
    </row>
    <row r="7142" spans="1:11" x14ac:dyDescent="0.2">
      <c r="A7142" t="s">
        <v>4347</v>
      </c>
      <c r="B7142" t="s">
        <v>4909</v>
      </c>
      <c r="C7142" t="s">
        <v>4909</v>
      </c>
      <c r="D7142" t="s">
        <v>4909</v>
      </c>
      <c r="E7142" t="s">
        <v>4909</v>
      </c>
      <c r="F7142" t="s">
        <v>4909</v>
      </c>
      <c r="G7142" t="s">
        <v>4909</v>
      </c>
      <c r="H7142" t="s">
        <v>4909</v>
      </c>
      <c r="I7142" t="s">
        <v>4909</v>
      </c>
      <c r="J7142" t="s">
        <v>4909</v>
      </c>
      <c r="K7142" t="s">
        <v>4909</v>
      </c>
    </row>
    <row r="7143" spans="1:11" x14ac:dyDescent="0.2">
      <c r="A7143" t="s">
        <v>4348</v>
      </c>
      <c r="B7143" t="s">
        <v>4909</v>
      </c>
      <c r="C7143" t="s">
        <v>4909</v>
      </c>
      <c r="D7143" t="s">
        <v>4909</v>
      </c>
      <c r="E7143" t="s">
        <v>4909</v>
      </c>
      <c r="F7143" t="s">
        <v>4909</v>
      </c>
      <c r="G7143" t="s">
        <v>4909</v>
      </c>
      <c r="H7143" t="s">
        <v>4909</v>
      </c>
      <c r="I7143" t="s">
        <v>4909</v>
      </c>
      <c r="J7143" t="s">
        <v>4909</v>
      </c>
      <c r="K7143" t="s">
        <v>4909</v>
      </c>
    </row>
    <row r="7144" spans="1:11" x14ac:dyDescent="0.2">
      <c r="A7144" t="s">
        <v>4349</v>
      </c>
      <c r="B7144" t="s">
        <v>4909</v>
      </c>
      <c r="C7144" t="s">
        <v>4909</v>
      </c>
      <c r="D7144" t="s">
        <v>4909</v>
      </c>
      <c r="E7144" t="s">
        <v>4909</v>
      </c>
      <c r="F7144" t="s">
        <v>4909</v>
      </c>
      <c r="G7144" t="s">
        <v>4909</v>
      </c>
      <c r="H7144" t="s">
        <v>4909</v>
      </c>
      <c r="I7144" t="s">
        <v>4909</v>
      </c>
      <c r="J7144" t="s">
        <v>4909</v>
      </c>
      <c r="K7144" t="s">
        <v>4909</v>
      </c>
    </row>
    <row r="7145" spans="1:11" x14ac:dyDescent="0.2">
      <c r="A7145" t="s">
        <v>4350</v>
      </c>
      <c r="B7145" t="s">
        <v>4909</v>
      </c>
      <c r="C7145" s="88">
        <v>0</v>
      </c>
      <c r="D7145" t="s">
        <v>4909</v>
      </c>
      <c r="E7145" t="s">
        <v>4909</v>
      </c>
      <c r="F7145" t="s">
        <v>4909</v>
      </c>
      <c r="G7145" s="88">
        <v>0</v>
      </c>
      <c r="H7145" t="s">
        <v>4909</v>
      </c>
      <c r="I7145" t="s">
        <v>4909</v>
      </c>
      <c r="J7145" t="s">
        <v>4909</v>
      </c>
      <c r="K7145" s="88">
        <v>0</v>
      </c>
    </row>
    <row r="7146" spans="1:11" x14ac:dyDescent="0.2">
      <c r="A7146" t="s">
        <v>4351</v>
      </c>
      <c r="B7146" t="s">
        <v>4909</v>
      </c>
      <c r="C7146" t="s">
        <v>4909</v>
      </c>
      <c r="D7146" t="s">
        <v>4909</v>
      </c>
      <c r="E7146" t="s">
        <v>4909</v>
      </c>
      <c r="F7146" t="s">
        <v>4909</v>
      </c>
      <c r="G7146" t="s">
        <v>4909</v>
      </c>
      <c r="H7146" t="s">
        <v>4909</v>
      </c>
      <c r="I7146" t="s">
        <v>4909</v>
      </c>
      <c r="J7146" t="s">
        <v>4909</v>
      </c>
      <c r="K7146" t="s">
        <v>4909</v>
      </c>
    </row>
    <row r="7147" spans="1:11" x14ac:dyDescent="0.2">
      <c r="A7147" t="s">
        <v>4352</v>
      </c>
      <c r="B7147" t="s">
        <v>4909</v>
      </c>
      <c r="C7147" t="s">
        <v>4909</v>
      </c>
      <c r="D7147" t="s">
        <v>4909</v>
      </c>
      <c r="E7147" t="s">
        <v>4909</v>
      </c>
      <c r="F7147" t="s">
        <v>4909</v>
      </c>
      <c r="G7147" t="s">
        <v>4909</v>
      </c>
      <c r="H7147" t="s">
        <v>4909</v>
      </c>
      <c r="I7147" t="s">
        <v>4909</v>
      </c>
      <c r="J7147" t="s">
        <v>4909</v>
      </c>
      <c r="K7147" t="s">
        <v>4909</v>
      </c>
    </row>
    <row r="7148" spans="1:11" x14ac:dyDescent="0.2">
      <c r="A7148" t="s">
        <v>4353</v>
      </c>
      <c r="B7148" t="s">
        <v>4909</v>
      </c>
      <c r="C7148" s="88">
        <v>4.0000000000000001E-3</v>
      </c>
      <c r="D7148" t="s">
        <v>4909</v>
      </c>
      <c r="E7148" t="s">
        <v>4909</v>
      </c>
      <c r="F7148" t="s">
        <v>4909</v>
      </c>
      <c r="G7148" s="88">
        <v>1.7999999999999999E-2</v>
      </c>
      <c r="H7148" s="88">
        <v>1E-3</v>
      </c>
      <c r="I7148" t="s">
        <v>4909</v>
      </c>
      <c r="J7148" t="s">
        <v>4909</v>
      </c>
      <c r="K7148" s="88">
        <v>7.0000000000000001E-3</v>
      </c>
    </row>
    <row r="7149" spans="1:11" x14ac:dyDescent="0.2">
      <c r="A7149" t="s">
        <v>4354</v>
      </c>
      <c r="B7149" t="s">
        <v>4909</v>
      </c>
      <c r="C7149" s="88">
        <v>7.0000000000000001E-3</v>
      </c>
      <c r="D7149" s="88">
        <v>1E-3</v>
      </c>
      <c r="E7149" t="s">
        <v>4909</v>
      </c>
      <c r="F7149" s="88">
        <v>0</v>
      </c>
      <c r="G7149" s="88">
        <v>0.03</v>
      </c>
      <c r="H7149" s="88">
        <v>3.0000000000000001E-3</v>
      </c>
      <c r="I7149" t="s">
        <v>4909</v>
      </c>
      <c r="J7149" t="s">
        <v>4909</v>
      </c>
      <c r="K7149" s="88">
        <v>1.2E-2</v>
      </c>
    </row>
    <row r="7150" spans="1:11" x14ac:dyDescent="0.2">
      <c r="A7150" t="s">
        <v>4355</v>
      </c>
      <c r="B7150" t="s">
        <v>4909</v>
      </c>
      <c r="C7150" t="s">
        <v>4909</v>
      </c>
      <c r="D7150" t="s">
        <v>4909</v>
      </c>
      <c r="E7150" t="s">
        <v>4909</v>
      </c>
      <c r="F7150" t="s">
        <v>4909</v>
      </c>
      <c r="G7150" t="s">
        <v>4909</v>
      </c>
      <c r="H7150" t="s">
        <v>4909</v>
      </c>
      <c r="I7150" t="s">
        <v>4909</v>
      </c>
      <c r="J7150" t="s">
        <v>4909</v>
      </c>
      <c r="K7150" t="s">
        <v>4909</v>
      </c>
    </row>
    <row r="7151" spans="1:11" x14ac:dyDescent="0.2">
      <c r="A7151" t="s">
        <v>4356</v>
      </c>
      <c r="B7151" t="s">
        <v>4909</v>
      </c>
      <c r="C7151" t="s">
        <v>4909</v>
      </c>
      <c r="D7151" t="s">
        <v>4909</v>
      </c>
      <c r="E7151" t="s">
        <v>4909</v>
      </c>
      <c r="F7151" t="s">
        <v>4909</v>
      </c>
      <c r="G7151" t="s">
        <v>4909</v>
      </c>
      <c r="H7151" t="s">
        <v>4909</v>
      </c>
      <c r="I7151" t="s">
        <v>4909</v>
      </c>
      <c r="J7151" t="s">
        <v>4909</v>
      </c>
      <c r="K7151" t="s">
        <v>4909</v>
      </c>
    </row>
    <row r="7152" spans="1:11" x14ac:dyDescent="0.2">
      <c r="A7152" t="s">
        <v>4357</v>
      </c>
      <c r="B7152" t="s">
        <v>4909</v>
      </c>
      <c r="C7152" t="s">
        <v>4909</v>
      </c>
      <c r="D7152" t="s">
        <v>4909</v>
      </c>
      <c r="E7152" t="s">
        <v>4909</v>
      </c>
      <c r="F7152" t="s">
        <v>4909</v>
      </c>
      <c r="G7152" t="s">
        <v>4909</v>
      </c>
      <c r="H7152" t="s">
        <v>4909</v>
      </c>
      <c r="I7152" t="s">
        <v>4909</v>
      </c>
      <c r="J7152" t="s">
        <v>4909</v>
      </c>
      <c r="K7152" t="s">
        <v>4909</v>
      </c>
    </row>
    <row r="7153" spans="1:11" x14ac:dyDescent="0.2">
      <c r="A7153" t="s">
        <v>4358</v>
      </c>
      <c r="B7153" t="s">
        <v>4909</v>
      </c>
      <c r="C7153" t="s">
        <v>4909</v>
      </c>
      <c r="D7153" t="s">
        <v>4909</v>
      </c>
      <c r="E7153" t="s">
        <v>4909</v>
      </c>
      <c r="F7153" t="s">
        <v>4909</v>
      </c>
      <c r="G7153" t="s">
        <v>4909</v>
      </c>
      <c r="H7153" t="s">
        <v>4909</v>
      </c>
      <c r="I7153" t="s">
        <v>4909</v>
      </c>
      <c r="J7153" t="s">
        <v>4909</v>
      </c>
      <c r="K7153" t="s">
        <v>4909</v>
      </c>
    </row>
    <row r="7154" spans="1:11" x14ac:dyDescent="0.2">
      <c r="A7154" t="s">
        <v>4359</v>
      </c>
      <c r="B7154" t="s">
        <v>4909</v>
      </c>
      <c r="C7154" t="s">
        <v>4909</v>
      </c>
      <c r="D7154" t="s">
        <v>4909</v>
      </c>
      <c r="E7154" t="s">
        <v>4909</v>
      </c>
      <c r="F7154" t="s">
        <v>4909</v>
      </c>
      <c r="G7154" t="s">
        <v>4909</v>
      </c>
      <c r="H7154" t="s">
        <v>4909</v>
      </c>
      <c r="I7154" t="s">
        <v>4909</v>
      </c>
      <c r="J7154" t="s">
        <v>4909</v>
      </c>
      <c r="K7154" t="s">
        <v>4909</v>
      </c>
    </row>
    <row r="7155" spans="1:11" x14ac:dyDescent="0.2">
      <c r="A7155" t="s">
        <v>4360</v>
      </c>
      <c r="B7155" t="s">
        <v>4909</v>
      </c>
      <c r="C7155" s="88">
        <v>1E-3</v>
      </c>
      <c r="D7155" t="s">
        <v>4909</v>
      </c>
      <c r="E7155" t="s">
        <v>4909</v>
      </c>
      <c r="F7155" t="s">
        <v>4909</v>
      </c>
      <c r="G7155" s="88">
        <v>6.0000000000000001E-3</v>
      </c>
      <c r="H7155" s="88">
        <v>0</v>
      </c>
      <c r="I7155" t="s">
        <v>4909</v>
      </c>
      <c r="J7155" t="s">
        <v>4909</v>
      </c>
      <c r="K7155" s="88">
        <v>2E-3</v>
      </c>
    </row>
    <row r="7156" spans="1:11" x14ac:dyDescent="0.2">
      <c r="A7156" t="s">
        <v>4361</v>
      </c>
      <c r="B7156" t="s">
        <v>4909</v>
      </c>
      <c r="C7156" s="88">
        <v>0</v>
      </c>
      <c r="D7156" t="s">
        <v>4909</v>
      </c>
      <c r="E7156" t="s">
        <v>4909</v>
      </c>
      <c r="F7156" t="s">
        <v>4909</v>
      </c>
      <c r="G7156" s="88">
        <v>1E-3</v>
      </c>
      <c r="H7156" s="88">
        <v>0</v>
      </c>
      <c r="I7156" t="s">
        <v>4909</v>
      </c>
      <c r="J7156" t="s">
        <v>4909</v>
      </c>
      <c r="K7156" s="88">
        <v>0</v>
      </c>
    </row>
    <row r="7157" spans="1:11" x14ac:dyDescent="0.2">
      <c r="A7157" t="s">
        <v>4362</v>
      </c>
      <c r="B7157" t="s">
        <v>4909</v>
      </c>
      <c r="C7157" t="s">
        <v>4909</v>
      </c>
      <c r="D7157" t="s">
        <v>4909</v>
      </c>
      <c r="E7157" t="s">
        <v>4909</v>
      </c>
      <c r="F7157" t="s">
        <v>4909</v>
      </c>
      <c r="G7157" t="s">
        <v>4909</v>
      </c>
      <c r="H7157" t="s">
        <v>4909</v>
      </c>
      <c r="I7157" t="s">
        <v>4909</v>
      </c>
      <c r="J7157" t="s">
        <v>4909</v>
      </c>
      <c r="K7157" t="s">
        <v>4909</v>
      </c>
    </row>
    <row r="7158" spans="1:11" x14ac:dyDescent="0.2">
      <c r="A7158" t="s">
        <v>4363</v>
      </c>
      <c r="B7158" t="s">
        <v>4909</v>
      </c>
      <c r="C7158" t="s">
        <v>4909</v>
      </c>
      <c r="D7158" t="s">
        <v>4909</v>
      </c>
      <c r="E7158" t="s">
        <v>4909</v>
      </c>
      <c r="F7158" t="s">
        <v>4909</v>
      </c>
      <c r="G7158" t="s">
        <v>4909</v>
      </c>
      <c r="H7158" t="s">
        <v>4909</v>
      </c>
      <c r="I7158" t="s">
        <v>4909</v>
      </c>
      <c r="J7158" t="s">
        <v>4909</v>
      </c>
      <c r="K7158" t="s">
        <v>4909</v>
      </c>
    </row>
    <row r="7159" spans="1:11" x14ac:dyDescent="0.2">
      <c r="A7159" t="s">
        <v>4364</v>
      </c>
      <c r="B7159" t="s">
        <v>4909</v>
      </c>
      <c r="C7159" t="s">
        <v>4909</v>
      </c>
      <c r="D7159" t="s">
        <v>4909</v>
      </c>
      <c r="E7159" t="s">
        <v>4909</v>
      </c>
      <c r="F7159" t="s">
        <v>4909</v>
      </c>
      <c r="G7159" t="s">
        <v>4909</v>
      </c>
      <c r="H7159" t="s">
        <v>4909</v>
      </c>
      <c r="I7159" t="s">
        <v>4909</v>
      </c>
      <c r="J7159" t="s">
        <v>4909</v>
      </c>
      <c r="K7159" t="s">
        <v>4909</v>
      </c>
    </row>
    <row r="7160" spans="1:11" x14ac:dyDescent="0.2">
      <c r="A7160" t="s">
        <v>4365</v>
      </c>
      <c r="B7160" t="s">
        <v>4909</v>
      </c>
      <c r="C7160" s="88">
        <v>1E-3</v>
      </c>
      <c r="D7160" t="s">
        <v>4909</v>
      </c>
      <c r="E7160" t="s">
        <v>4909</v>
      </c>
      <c r="F7160" t="s">
        <v>4909</v>
      </c>
      <c r="G7160" s="88">
        <v>4.0000000000000001E-3</v>
      </c>
      <c r="H7160" t="s">
        <v>4909</v>
      </c>
      <c r="I7160" t="s">
        <v>4909</v>
      </c>
      <c r="J7160" t="s">
        <v>4909</v>
      </c>
      <c r="K7160" s="88">
        <v>2E-3</v>
      </c>
    </row>
    <row r="7161" spans="1:11" x14ac:dyDescent="0.2">
      <c r="A7161" t="s">
        <v>4366</v>
      </c>
      <c r="B7161" t="s">
        <v>4909</v>
      </c>
      <c r="C7161" t="s">
        <v>4909</v>
      </c>
      <c r="D7161" t="s">
        <v>4909</v>
      </c>
      <c r="E7161" t="s">
        <v>4909</v>
      </c>
      <c r="F7161" t="s">
        <v>4909</v>
      </c>
      <c r="G7161" t="s">
        <v>4909</v>
      </c>
      <c r="H7161" t="s">
        <v>4909</v>
      </c>
      <c r="I7161" t="s">
        <v>4909</v>
      </c>
      <c r="J7161" t="s">
        <v>4909</v>
      </c>
      <c r="K7161" t="s">
        <v>4909</v>
      </c>
    </row>
    <row r="7162" spans="1:11" x14ac:dyDescent="0.2">
      <c r="A7162" t="s">
        <v>4367</v>
      </c>
      <c r="B7162" t="s">
        <v>4909</v>
      </c>
      <c r="C7162" t="s">
        <v>4909</v>
      </c>
      <c r="D7162" t="s">
        <v>4909</v>
      </c>
      <c r="E7162" t="s">
        <v>4909</v>
      </c>
      <c r="F7162" t="s">
        <v>4909</v>
      </c>
      <c r="G7162" t="s">
        <v>4909</v>
      </c>
      <c r="H7162" t="s">
        <v>4909</v>
      </c>
      <c r="I7162" t="s">
        <v>4909</v>
      </c>
      <c r="J7162" t="s">
        <v>4909</v>
      </c>
      <c r="K7162" t="s">
        <v>4909</v>
      </c>
    </row>
    <row r="7163" spans="1:11" x14ac:dyDescent="0.2">
      <c r="A7163" t="s">
        <v>4368</v>
      </c>
      <c r="B7163" t="s">
        <v>4909</v>
      </c>
      <c r="C7163" s="88">
        <v>2.1000000000000001E-2</v>
      </c>
      <c r="D7163" s="88">
        <v>0</v>
      </c>
      <c r="E7163" t="s">
        <v>4909</v>
      </c>
      <c r="F7163" s="88">
        <v>0</v>
      </c>
      <c r="G7163" s="88">
        <v>0.08</v>
      </c>
      <c r="H7163" s="88">
        <v>1E-3</v>
      </c>
      <c r="I7163" t="s">
        <v>4909</v>
      </c>
      <c r="J7163" s="88">
        <v>0</v>
      </c>
      <c r="K7163" s="88">
        <v>3.3000000000000002E-2</v>
      </c>
    </row>
    <row r="7164" spans="1:11" x14ac:dyDescent="0.2">
      <c r="A7164" t="s">
        <v>4369</v>
      </c>
      <c r="B7164" t="s">
        <v>4909</v>
      </c>
      <c r="C7164" s="88">
        <v>7.0000000000000001E-3</v>
      </c>
      <c r="D7164" s="88">
        <v>0</v>
      </c>
      <c r="E7164" t="s">
        <v>4909</v>
      </c>
      <c r="F7164" s="88">
        <v>0</v>
      </c>
      <c r="G7164" s="88">
        <v>0.03</v>
      </c>
      <c r="H7164" s="88">
        <v>0</v>
      </c>
      <c r="I7164" t="s">
        <v>4909</v>
      </c>
      <c r="J7164" s="88">
        <v>0</v>
      </c>
      <c r="K7164" s="88">
        <v>1.2E-2</v>
      </c>
    </row>
    <row r="7165" spans="1:11" x14ac:dyDescent="0.2">
      <c r="A7165" t="s">
        <v>4370</v>
      </c>
      <c r="B7165" t="s">
        <v>4909</v>
      </c>
      <c r="C7165" t="s">
        <v>4909</v>
      </c>
      <c r="D7165" t="s">
        <v>4909</v>
      </c>
      <c r="E7165" t="s">
        <v>4909</v>
      </c>
      <c r="F7165" t="s">
        <v>4909</v>
      </c>
      <c r="G7165" s="88">
        <v>0</v>
      </c>
      <c r="H7165" t="s">
        <v>4909</v>
      </c>
      <c r="I7165" t="s">
        <v>4909</v>
      </c>
      <c r="J7165" t="s">
        <v>4909</v>
      </c>
      <c r="K7165" t="s">
        <v>4909</v>
      </c>
    </row>
    <row r="7166" spans="1:11" x14ac:dyDescent="0.2">
      <c r="A7166" t="s">
        <v>4371</v>
      </c>
      <c r="B7166" t="s">
        <v>4909</v>
      </c>
      <c r="C7166" t="s">
        <v>4909</v>
      </c>
      <c r="D7166" t="s">
        <v>4909</v>
      </c>
      <c r="E7166" t="s">
        <v>4909</v>
      </c>
      <c r="F7166" t="s">
        <v>4909</v>
      </c>
      <c r="G7166" t="s">
        <v>4909</v>
      </c>
      <c r="H7166" t="s">
        <v>4909</v>
      </c>
      <c r="I7166" t="s">
        <v>4909</v>
      </c>
      <c r="J7166" t="s">
        <v>4909</v>
      </c>
      <c r="K7166" t="s">
        <v>4909</v>
      </c>
    </row>
    <row r="7167" spans="1:11" x14ac:dyDescent="0.2">
      <c r="A7167" t="s">
        <v>4372</v>
      </c>
      <c r="B7167" t="s">
        <v>4909</v>
      </c>
      <c r="C7167" t="s">
        <v>4909</v>
      </c>
      <c r="D7167" t="s">
        <v>4909</v>
      </c>
      <c r="E7167" t="s">
        <v>4909</v>
      </c>
      <c r="F7167" t="s">
        <v>4909</v>
      </c>
      <c r="G7167" t="s">
        <v>4909</v>
      </c>
      <c r="H7167" t="s">
        <v>4909</v>
      </c>
      <c r="I7167" t="s">
        <v>4909</v>
      </c>
      <c r="J7167" t="s">
        <v>4909</v>
      </c>
      <c r="K7167" t="s">
        <v>4909</v>
      </c>
    </row>
    <row r="7168" spans="1:11" x14ac:dyDescent="0.2">
      <c r="A7168" t="s">
        <v>4373</v>
      </c>
      <c r="B7168" t="s">
        <v>4909</v>
      </c>
      <c r="C7168" t="s">
        <v>4909</v>
      </c>
      <c r="D7168" t="s">
        <v>4909</v>
      </c>
      <c r="E7168" t="s">
        <v>4909</v>
      </c>
      <c r="F7168" t="s">
        <v>4909</v>
      </c>
      <c r="G7168" t="s">
        <v>4909</v>
      </c>
      <c r="H7168" t="s">
        <v>4909</v>
      </c>
      <c r="I7168" t="s">
        <v>4909</v>
      </c>
      <c r="J7168" t="s">
        <v>4909</v>
      </c>
      <c r="K7168" t="s">
        <v>4909</v>
      </c>
    </row>
    <row r="7169" spans="1:11" x14ac:dyDescent="0.2">
      <c r="A7169" t="s">
        <v>4374</v>
      </c>
      <c r="B7169" t="s">
        <v>4909</v>
      </c>
      <c r="C7169" t="s">
        <v>4909</v>
      </c>
      <c r="D7169" t="s">
        <v>4909</v>
      </c>
      <c r="E7169" t="s">
        <v>4909</v>
      </c>
      <c r="F7169" t="s">
        <v>4909</v>
      </c>
      <c r="G7169" t="s">
        <v>4909</v>
      </c>
      <c r="H7169" t="s">
        <v>4909</v>
      </c>
      <c r="I7169" t="s">
        <v>4909</v>
      </c>
      <c r="J7169" t="s">
        <v>4909</v>
      </c>
      <c r="K7169" t="s">
        <v>4909</v>
      </c>
    </row>
    <row r="7170" spans="1:11" x14ac:dyDescent="0.2">
      <c r="A7170" t="s">
        <v>4375</v>
      </c>
      <c r="B7170" t="s">
        <v>4909</v>
      </c>
      <c r="C7170" t="s">
        <v>4909</v>
      </c>
      <c r="D7170" t="s">
        <v>4909</v>
      </c>
      <c r="E7170" t="s">
        <v>4909</v>
      </c>
      <c r="F7170" t="s">
        <v>4909</v>
      </c>
      <c r="G7170" s="88">
        <v>0</v>
      </c>
      <c r="H7170" t="s">
        <v>4909</v>
      </c>
      <c r="I7170" t="s">
        <v>4909</v>
      </c>
      <c r="J7170" t="s">
        <v>4909</v>
      </c>
      <c r="K7170" t="s">
        <v>4909</v>
      </c>
    </row>
    <row r="7171" spans="1:11" x14ac:dyDescent="0.2">
      <c r="A7171" t="s">
        <v>4376</v>
      </c>
      <c r="B7171" t="s">
        <v>4909</v>
      </c>
      <c r="C7171" t="s">
        <v>4909</v>
      </c>
      <c r="D7171" t="s">
        <v>4909</v>
      </c>
      <c r="E7171" t="s">
        <v>4909</v>
      </c>
      <c r="F7171" t="s">
        <v>4909</v>
      </c>
      <c r="G7171" t="s">
        <v>4909</v>
      </c>
      <c r="H7171" t="s">
        <v>4909</v>
      </c>
      <c r="I7171" t="s">
        <v>4909</v>
      </c>
      <c r="J7171" t="s">
        <v>4909</v>
      </c>
      <c r="K7171" t="s">
        <v>4909</v>
      </c>
    </row>
    <row r="7172" spans="1:11" x14ac:dyDescent="0.2">
      <c r="A7172" t="s">
        <v>4377</v>
      </c>
      <c r="B7172" t="s">
        <v>4909</v>
      </c>
      <c r="C7172" s="88">
        <v>0</v>
      </c>
      <c r="D7172" t="s">
        <v>4909</v>
      </c>
      <c r="E7172" t="s">
        <v>4909</v>
      </c>
      <c r="F7172" t="s">
        <v>4909</v>
      </c>
      <c r="G7172" s="88">
        <v>0</v>
      </c>
      <c r="H7172" t="s">
        <v>4909</v>
      </c>
      <c r="I7172" t="s">
        <v>4909</v>
      </c>
      <c r="J7172" t="s">
        <v>4909</v>
      </c>
      <c r="K7172" s="88">
        <v>0</v>
      </c>
    </row>
    <row r="7173" spans="1:11" x14ac:dyDescent="0.2">
      <c r="A7173" t="s">
        <v>2318</v>
      </c>
      <c r="B7173" t="s">
        <v>4399</v>
      </c>
      <c r="C7173" t="s">
        <v>4399</v>
      </c>
      <c r="D7173" t="s">
        <v>4399</v>
      </c>
      <c r="E7173" t="s">
        <v>4399</v>
      </c>
      <c r="F7173" t="s">
        <v>4399</v>
      </c>
      <c r="G7173" t="s">
        <v>4399</v>
      </c>
      <c r="H7173" t="s">
        <v>4399</v>
      </c>
      <c r="I7173" t="s">
        <v>4399</v>
      </c>
      <c r="J7173" t="s">
        <v>4399</v>
      </c>
      <c r="K7173" t="s">
        <v>4399</v>
      </c>
    </row>
    <row r="7174" spans="1:11" x14ac:dyDescent="0.2">
      <c r="A7174" t="s">
        <v>4248</v>
      </c>
    </row>
    <row r="7175" spans="1:11" x14ac:dyDescent="0.2">
      <c r="A7175" t="s">
        <v>4910</v>
      </c>
      <c r="B7175" t="s">
        <v>4904</v>
      </c>
      <c r="C7175" t="s">
        <v>4911</v>
      </c>
      <c r="D7175" t="s">
        <v>4912</v>
      </c>
      <c r="E7175" t="s">
        <v>4907</v>
      </c>
      <c r="F7175" t="s">
        <v>4913</v>
      </c>
      <c r="G7175">
        <v>11</v>
      </c>
    </row>
    <row r="7176" spans="1:11" x14ac:dyDescent="0.2">
      <c r="A7176" t="s">
        <v>2318</v>
      </c>
      <c r="B7176" t="s">
        <v>4399</v>
      </c>
      <c r="C7176" t="s">
        <v>4399</v>
      </c>
      <c r="D7176" t="s">
        <v>4399</v>
      </c>
      <c r="E7176" t="s">
        <v>4399</v>
      </c>
      <c r="F7176" t="s">
        <v>4399</v>
      </c>
      <c r="G7176" t="s">
        <v>4399</v>
      </c>
      <c r="H7176" t="s">
        <v>4399</v>
      </c>
      <c r="I7176" t="s">
        <v>4399</v>
      </c>
      <c r="J7176" t="s">
        <v>4399</v>
      </c>
      <c r="K7176" t="s">
        <v>4399</v>
      </c>
    </row>
    <row r="7177" spans="1:11" x14ac:dyDescent="0.2">
      <c r="A7177" t="s">
        <v>126</v>
      </c>
      <c r="B7177" t="s">
        <v>4766</v>
      </c>
      <c r="C7177" t="s">
        <v>4770</v>
      </c>
      <c r="D7177" t="s">
        <v>4774</v>
      </c>
      <c r="E7177" t="s">
        <v>4778</v>
      </c>
      <c r="F7177" t="s">
        <v>4782</v>
      </c>
      <c r="G7177" t="s">
        <v>4786</v>
      </c>
      <c r="H7177" t="s">
        <v>4790</v>
      </c>
      <c r="I7177" t="s">
        <v>4794</v>
      </c>
      <c r="J7177" t="s">
        <v>427</v>
      </c>
      <c r="K7177" t="s">
        <v>428</v>
      </c>
    </row>
    <row r="7178" spans="1:11" x14ac:dyDescent="0.2">
      <c r="A7178" t="s">
        <v>2318</v>
      </c>
      <c r="B7178" t="s">
        <v>4399</v>
      </c>
      <c r="C7178" t="s">
        <v>4399</v>
      </c>
      <c r="D7178" t="s">
        <v>4399</v>
      </c>
      <c r="E7178" t="s">
        <v>4399</v>
      </c>
      <c r="F7178" t="s">
        <v>4399</v>
      </c>
      <c r="G7178" t="s">
        <v>4399</v>
      </c>
      <c r="H7178" t="s">
        <v>4399</v>
      </c>
      <c r="I7178" t="s">
        <v>4399</v>
      </c>
      <c r="J7178" t="s">
        <v>4399</v>
      </c>
      <c r="K7178" t="s">
        <v>4399</v>
      </c>
    </row>
    <row r="7179" spans="1:11" x14ac:dyDescent="0.2">
      <c r="A7179" t="s">
        <v>4265</v>
      </c>
      <c r="B7179" t="s">
        <v>4909</v>
      </c>
      <c r="C7179" t="s">
        <v>4909</v>
      </c>
      <c r="D7179" t="s">
        <v>4909</v>
      </c>
      <c r="E7179" t="s">
        <v>4909</v>
      </c>
      <c r="F7179" t="s">
        <v>4909</v>
      </c>
      <c r="G7179" t="s">
        <v>4909</v>
      </c>
      <c r="H7179" t="s">
        <v>4909</v>
      </c>
      <c r="I7179" t="s">
        <v>4909</v>
      </c>
      <c r="J7179" t="s">
        <v>4909</v>
      </c>
      <c r="K7179" t="s">
        <v>4909</v>
      </c>
    </row>
    <row r="7180" spans="1:11" x14ac:dyDescent="0.2">
      <c r="A7180" t="s">
        <v>4266</v>
      </c>
      <c r="B7180" t="s">
        <v>4909</v>
      </c>
      <c r="C7180" t="s">
        <v>4909</v>
      </c>
      <c r="D7180" t="s">
        <v>4909</v>
      </c>
      <c r="E7180" t="s">
        <v>4909</v>
      </c>
      <c r="F7180" t="s">
        <v>4909</v>
      </c>
      <c r="G7180" t="s">
        <v>4909</v>
      </c>
      <c r="H7180" t="s">
        <v>4909</v>
      </c>
      <c r="I7180" t="s">
        <v>4909</v>
      </c>
      <c r="J7180" t="s">
        <v>4909</v>
      </c>
      <c r="K7180" t="s">
        <v>4909</v>
      </c>
    </row>
    <row r="7181" spans="1:11" x14ac:dyDescent="0.2">
      <c r="A7181" t="s">
        <v>4267</v>
      </c>
      <c r="B7181" t="s">
        <v>4909</v>
      </c>
      <c r="C7181" t="s">
        <v>4909</v>
      </c>
      <c r="D7181" t="s">
        <v>4909</v>
      </c>
      <c r="E7181" t="s">
        <v>4909</v>
      </c>
      <c r="F7181" t="s">
        <v>4909</v>
      </c>
      <c r="G7181" t="s">
        <v>4909</v>
      </c>
      <c r="H7181" t="s">
        <v>4909</v>
      </c>
      <c r="I7181" t="s">
        <v>4909</v>
      </c>
      <c r="J7181" t="s">
        <v>4909</v>
      </c>
      <c r="K7181" t="s">
        <v>4909</v>
      </c>
    </row>
    <row r="7182" spans="1:11" x14ac:dyDescent="0.2">
      <c r="A7182" t="s">
        <v>4268</v>
      </c>
      <c r="B7182" t="s">
        <v>4909</v>
      </c>
      <c r="C7182" t="s">
        <v>4909</v>
      </c>
      <c r="D7182" t="s">
        <v>4909</v>
      </c>
      <c r="E7182" t="s">
        <v>4909</v>
      </c>
      <c r="F7182" t="s">
        <v>4909</v>
      </c>
      <c r="G7182" t="s">
        <v>4909</v>
      </c>
      <c r="H7182" t="s">
        <v>4909</v>
      </c>
      <c r="I7182" t="s">
        <v>4909</v>
      </c>
      <c r="J7182" t="s">
        <v>4909</v>
      </c>
      <c r="K7182" t="s">
        <v>4909</v>
      </c>
    </row>
    <row r="7183" spans="1:11" x14ac:dyDescent="0.2">
      <c r="A7183" t="s">
        <v>4269</v>
      </c>
      <c r="B7183" t="s">
        <v>4909</v>
      </c>
      <c r="C7183" t="s">
        <v>4909</v>
      </c>
      <c r="D7183" t="s">
        <v>4909</v>
      </c>
      <c r="E7183" t="s">
        <v>4909</v>
      </c>
      <c r="F7183" t="s">
        <v>4909</v>
      </c>
      <c r="G7183" t="s">
        <v>4909</v>
      </c>
      <c r="H7183" t="s">
        <v>4909</v>
      </c>
      <c r="I7183" t="s">
        <v>4909</v>
      </c>
      <c r="J7183" t="s">
        <v>4909</v>
      </c>
      <c r="K7183" t="s">
        <v>4909</v>
      </c>
    </row>
    <row r="7184" spans="1:11" x14ac:dyDescent="0.2">
      <c r="A7184" t="s">
        <v>4270</v>
      </c>
      <c r="B7184" t="s">
        <v>4909</v>
      </c>
      <c r="C7184" t="s">
        <v>4909</v>
      </c>
      <c r="D7184" t="s">
        <v>4909</v>
      </c>
      <c r="E7184" t="s">
        <v>4909</v>
      </c>
      <c r="F7184" t="s">
        <v>4909</v>
      </c>
      <c r="G7184" t="s">
        <v>4909</v>
      </c>
      <c r="H7184" t="s">
        <v>4909</v>
      </c>
      <c r="I7184" t="s">
        <v>4909</v>
      </c>
      <c r="J7184" t="s">
        <v>4909</v>
      </c>
      <c r="K7184" t="s">
        <v>4909</v>
      </c>
    </row>
    <row r="7185" spans="1:11" x14ac:dyDescent="0.2">
      <c r="A7185" t="s">
        <v>4271</v>
      </c>
      <c r="B7185" t="s">
        <v>4909</v>
      </c>
      <c r="C7185" t="s">
        <v>4909</v>
      </c>
      <c r="D7185" t="s">
        <v>4909</v>
      </c>
      <c r="E7185" t="s">
        <v>4909</v>
      </c>
      <c r="F7185" t="s">
        <v>4909</v>
      </c>
      <c r="G7185" t="s">
        <v>4909</v>
      </c>
      <c r="H7185" t="s">
        <v>4909</v>
      </c>
      <c r="I7185" t="s">
        <v>4909</v>
      </c>
      <c r="J7185" t="s">
        <v>4909</v>
      </c>
      <c r="K7185" t="s">
        <v>4909</v>
      </c>
    </row>
    <row r="7186" spans="1:11" x14ac:dyDescent="0.2">
      <c r="A7186" t="s">
        <v>4272</v>
      </c>
      <c r="B7186" t="s">
        <v>4909</v>
      </c>
      <c r="C7186" t="s">
        <v>4909</v>
      </c>
      <c r="D7186" t="s">
        <v>4909</v>
      </c>
      <c r="E7186" t="s">
        <v>4909</v>
      </c>
      <c r="F7186" t="s">
        <v>4909</v>
      </c>
      <c r="G7186" t="s">
        <v>4909</v>
      </c>
      <c r="H7186" t="s">
        <v>4909</v>
      </c>
      <c r="I7186" t="s">
        <v>4909</v>
      </c>
      <c r="J7186" t="s">
        <v>4909</v>
      </c>
      <c r="K7186" t="s">
        <v>4909</v>
      </c>
    </row>
    <row r="7187" spans="1:11" x14ac:dyDescent="0.2">
      <c r="A7187" t="s">
        <v>4273</v>
      </c>
      <c r="B7187" t="s">
        <v>4909</v>
      </c>
      <c r="C7187" t="s">
        <v>4909</v>
      </c>
      <c r="D7187" t="s">
        <v>4909</v>
      </c>
      <c r="E7187" t="s">
        <v>4909</v>
      </c>
      <c r="F7187" t="s">
        <v>4909</v>
      </c>
      <c r="G7187" t="s">
        <v>4909</v>
      </c>
      <c r="H7187" t="s">
        <v>4909</v>
      </c>
      <c r="I7187" t="s">
        <v>4909</v>
      </c>
      <c r="J7187" t="s">
        <v>4909</v>
      </c>
      <c r="K7187" t="s">
        <v>4909</v>
      </c>
    </row>
    <row r="7188" spans="1:11" x14ac:dyDescent="0.2">
      <c r="A7188" t="s">
        <v>4274</v>
      </c>
      <c r="B7188" t="s">
        <v>4909</v>
      </c>
      <c r="C7188" t="s">
        <v>4909</v>
      </c>
      <c r="D7188" t="s">
        <v>4909</v>
      </c>
      <c r="E7188" t="s">
        <v>4909</v>
      </c>
      <c r="F7188" t="s">
        <v>4909</v>
      </c>
      <c r="G7188" t="s">
        <v>4909</v>
      </c>
      <c r="H7188" t="s">
        <v>4909</v>
      </c>
      <c r="I7188" t="s">
        <v>4909</v>
      </c>
      <c r="J7188" t="s">
        <v>4909</v>
      </c>
      <c r="K7188" t="s">
        <v>4909</v>
      </c>
    </row>
    <row r="7189" spans="1:11" x14ac:dyDescent="0.2">
      <c r="A7189" t="s">
        <v>4275</v>
      </c>
      <c r="B7189" t="s">
        <v>4909</v>
      </c>
      <c r="C7189" t="s">
        <v>4909</v>
      </c>
      <c r="D7189" t="s">
        <v>4909</v>
      </c>
      <c r="E7189" t="s">
        <v>4909</v>
      </c>
      <c r="F7189" t="s">
        <v>4909</v>
      </c>
      <c r="G7189" t="s">
        <v>4909</v>
      </c>
      <c r="H7189" t="s">
        <v>4909</v>
      </c>
      <c r="I7189" t="s">
        <v>4909</v>
      </c>
      <c r="J7189" t="s">
        <v>4909</v>
      </c>
      <c r="K7189" t="s">
        <v>4909</v>
      </c>
    </row>
    <row r="7190" spans="1:11" x14ac:dyDescent="0.2">
      <c r="A7190" t="s">
        <v>4276</v>
      </c>
      <c r="B7190" t="s">
        <v>4909</v>
      </c>
      <c r="C7190" t="s">
        <v>4909</v>
      </c>
      <c r="D7190" t="s">
        <v>4909</v>
      </c>
      <c r="E7190" t="s">
        <v>4909</v>
      </c>
      <c r="F7190" t="s">
        <v>4909</v>
      </c>
      <c r="G7190" t="s">
        <v>4909</v>
      </c>
      <c r="H7190" t="s">
        <v>4909</v>
      </c>
      <c r="I7190" t="s">
        <v>4909</v>
      </c>
      <c r="J7190" t="s">
        <v>4909</v>
      </c>
      <c r="K7190" t="s">
        <v>4909</v>
      </c>
    </row>
    <row r="7191" spans="1:11" x14ac:dyDescent="0.2">
      <c r="A7191" t="s">
        <v>4277</v>
      </c>
      <c r="B7191" t="s">
        <v>4909</v>
      </c>
      <c r="C7191" t="s">
        <v>4909</v>
      </c>
      <c r="D7191" t="s">
        <v>4909</v>
      </c>
      <c r="E7191" t="s">
        <v>4909</v>
      </c>
      <c r="F7191" t="s">
        <v>4909</v>
      </c>
      <c r="G7191" t="s">
        <v>4909</v>
      </c>
      <c r="H7191" t="s">
        <v>4909</v>
      </c>
      <c r="I7191" t="s">
        <v>4909</v>
      </c>
      <c r="J7191" t="s">
        <v>4909</v>
      </c>
      <c r="K7191" t="s">
        <v>4909</v>
      </c>
    </row>
    <row r="7192" spans="1:11" x14ac:dyDescent="0.2">
      <c r="A7192" t="s">
        <v>4278</v>
      </c>
      <c r="B7192" t="s">
        <v>4909</v>
      </c>
      <c r="C7192" t="s">
        <v>4909</v>
      </c>
      <c r="D7192" t="s">
        <v>4909</v>
      </c>
      <c r="E7192" t="s">
        <v>4909</v>
      </c>
      <c r="F7192" t="s">
        <v>4909</v>
      </c>
      <c r="G7192" t="s">
        <v>4909</v>
      </c>
      <c r="H7192" t="s">
        <v>4909</v>
      </c>
      <c r="I7192" t="s">
        <v>4909</v>
      </c>
      <c r="J7192" t="s">
        <v>4909</v>
      </c>
      <c r="K7192" t="s">
        <v>4909</v>
      </c>
    </row>
    <row r="7193" spans="1:11" x14ac:dyDescent="0.2">
      <c r="A7193" t="s">
        <v>4279</v>
      </c>
      <c r="B7193" t="s">
        <v>4909</v>
      </c>
      <c r="C7193" t="s">
        <v>4909</v>
      </c>
      <c r="D7193" t="s">
        <v>4909</v>
      </c>
      <c r="E7193" t="s">
        <v>4909</v>
      </c>
      <c r="F7193" t="s">
        <v>4909</v>
      </c>
      <c r="G7193" t="s">
        <v>4909</v>
      </c>
      <c r="H7193" t="s">
        <v>4909</v>
      </c>
      <c r="I7193" t="s">
        <v>4909</v>
      </c>
      <c r="J7193" t="s">
        <v>4909</v>
      </c>
      <c r="K7193" t="s">
        <v>4909</v>
      </c>
    </row>
    <row r="7194" spans="1:11" x14ac:dyDescent="0.2">
      <c r="A7194" t="s">
        <v>4280</v>
      </c>
      <c r="B7194" t="s">
        <v>4909</v>
      </c>
      <c r="C7194" t="s">
        <v>4909</v>
      </c>
      <c r="D7194" t="s">
        <v>4909</v>
      </c>
      <c r="E7194" t="s">
        <v>4909</v>
      </c>
      <c r="F7194" t="s">
        <v>4909</v>
      </c>
      <c r="G7194" t="s">
        <v>4909</v>
      </c>
      <c r="H7194" t="s">
        <v>4909</v>
      </c>
      <c r="I7194" t="s">
        <v>4909</v>
      </c>
      <c r="J7194" t="s">
        <v>4909</v>
      </c>
      <c r="K7194" t="s">
        <v>4909</v>
      </c>
    </row>
    <row r="7195" spans="1:11" x14ac:dyDescent="0.2">
      <c r="A7195" t="s">
        <v>4281</v>
      </c>
      <c r="B7195" t="s">
        <v>4909</v>
      </c>
      <c r="C7195" t="s">
        <v>4909</v>
      </c>
      <c r="D7195" t="s">
        <v>4909</v>
      </c>
      <c r="E7195" t="s">
        <v>4909</v>
      </c>
      <c r="F7195" t="s">
        <v>4909</v>
      </c>
      <c r="G7195" t="s">
        <v>4909</v>
      </c>
      <c r="H7195" s="88">
        <v>0</v>
      </c>
      <c r="I7195" t="s">
        <v>4909</v>
      </c>
      <c r="J7195" t="s">
        <v>4909</v>
      </c>
      <c r="K7195" s="88">
        <v>1E-3</v>
      </c>
    </row>
    <row r="7196" spans="1:11" x14ac:dyDescent="0.2">
      <c r="A7196" t="s">
        <v>4282</v>
      </c>
      <c r="B7196" s="88">
        <v>0</v>
      </c>
      <c r="C7196" t="s">
        <v>4909</v>
      </c>
      <c r="D7196" t="s">
        <v>4909</v>
      </c>
      <c r="E7196" t="s">
        <v>4909</v>
      </c>
      <c r="F7196" t="s">
        <v>4909</v>
      </c>
      <c r="G7196" t="s">
        <v>4909</v>
      </c>
      <c r="H7196" s="88">
        <v>0</v>
      </c>
      <c r="I7196" t="s">
        <v>4909</v>
      </c>
      <c r="J7196" t="s">
        <v>4909</v>
      </c>
      <c r="K7196" s="88">
        <v>1E-3</v>
      </c>
    </row>
    <row r="7197" spans="1:11" x14ac:dyDescent="0.2">
      <c r="A7197" t="s">
        <v>4283</v>
      </c>
      <c r="B7197" t="s">
        <v>4909</v>
      </c>
      <c r="C7197" t="s">
        <v>4909</v>
      </c>
      <c r="D7197" t="s">
        <v>4909</v>
      </c>
      <c r="E7197" t="s">
        <v>4909</v>
      </c>
      <c r="F7197" t="s">
        <v>4909</v>
      </c>
      <c r="G7197" t="s">
        <v>4909</v>
      </c>
      <c r="H7197" t="s">
        <v>4909</v>
      </c>
      <c r="I7197" t="s">
        <v>4909</v>
      </c>
      <c r="J7197" t="s">
        <v>4909</v>
      </c>
      <c r="K7197" s="88">
        <v>0</v>
      </c>
    </row>
    <row r="7198" spans="1:11" x14ac:dyDescent="0.2">
      <c r="A7198" t="s">
        <v>4284</v>
      </c>
      <c r="B7198" t="s">
        <v>4909</v>
      </c>
      <c r="C7198" t="s">
        <v>4909</v>
      </c>
      <c r="D7198" t="s">
        <v>4909</v>
      </c>
      <c r="E7198" t="s">
        <v>4909</v>
      </c>
      <c r="F7198" t="s">
        <v>4909</v>
      </c>
      <c r="G7198" t="s">
        <v>4909</v>
      </c>
      <c r="H7198" t="s">
        <v>4909</v>
      </c>
      <c r="I7198" t="s">
        <v>4909</v>
      </c>
      <c r="J7198" t="s">
        <v>4909</v>
      </c>
      <c r="K7198" t="s">
        <v>4909</v>
      </c>
    </row>
    <row r="7199" spans="1:11" x14ac:dyDescent="0.2">
      <c r="A7199" t="s">
        <v>4285</v>
      </c>
      <c r="B7199" t="s">
        <v>4909</v>
      </c>
      <c r="C7199" t="s">
        <v>4909</v>
      </c>
      <c r="D7199" t="s">
        <v>4909</v>
      </c>
      <c r="E7199" t="s">
        <v>4909</v>
      </c>
      <c r="F7199" t="s">
        <v>4909</v>
      </c>
      <c r="G7199" t="s">
        <v>4909</v>
      </c>
      <c r="H7199" t="s">
        <v>4909</v>
      </c>
      <c r="I7199" t="s">
        <v>4909</v>
      </c>
      <c r="J7199" t="s">
        <v>4909</v>
      </c>
      <c r="K7199" s="88">
        <v>0</v>
      </c>
    </row>
    <row r="7200" spans="1:11" x14ac:dyDescent="0.2">
      <c r="A7200" t="s">
        <v>4286</v>
      </c>
      <c r="B7200" t="s">
        <v>4909</v>
      </c>
      <c r="C7200" t="s">
        <v>4909</v>
      </c>
      <c r="D7200" t="s">
        <v>4909</v>
      </c>
      <c r="E7200" t="s">
        <v>4909</v>
      </c>
      <c r="F7200" t="s">
        <v>4909</v>
      </c>
      <c r="G7200" t="s">
        <v>4909</v>
      </c>
      <c r="H7200" t="s">
        <v>4909</v>
      </c>
      <c r="I7200" t="s">
        <v>4909</v>
      </c>
      <c r="J7200" t="s">
        <v>4909</v>
      </c>
      <c r="K7200" s="88">
        <v>2E-3</v>
      </c>
    </row>
    <row r="7201" spans="1:11" x14ac:dyDescent="0.2">
      <c r="A7201" t="s">
        <v>4287</v>
      </c>
      <c r="B7201" t="s">
        <v>4909</v>
      </c>
      <c r="C7201" t="s">
        <v>4909</v>
      </c>
      <c r="D7201" t="s">
        <v>4909</v>
      </c>
      <c r="E7201" t="s">
        <v>4909</v>
      </c>
      <c r="F7201" t="s">
        <v>4909</v>
      </c>
      <c r="G7201" t="s">
        <v>4909</v>
      </c>
      <c r="H7201" t="s">
        <v>4909</v>
      </c>
      <c r="I7201" t="s">
        <v>4909</v>
      </c>
      <c r="J7201" t="s">
        <v>4909</v>
      </c>
      <c r="K7201" t="s">
        <v>4909</v>
      </c>
    </row>
    <row r="7202" spans="1:11" x14ac:dyDescent="0.2">
      <c r="A7202" t="s">
        <v>4288</v>
      </c>
      <c r="B7202" t="s">
        <v>4909</v>
      </c>
      <c r="C7202" t="s">
        <v>4909</v>
      </c>
      <c r="D7202" t="s">
        <v>4909</v>
      </c>
      <c r="E7202" t="s">
        <v>4909</v>
      </c>
      <c r="F7202" t="s">
        <v>4909</v>
      </c>
      <c r="G7202" t="s">
        <v>4909</v>
      </c>
      <c r="H7202" t="s">
        <v>4909</v>
      </c>
      <c r="I7202" t="s">
        <v>4909</v>
      </c>
      <c r="J7202" t="s">
        <v>4909</v>
      </c>
      <c r="K7202" t="s">
        <v>4909</v>
      </c>
    </row>
    <row r="7203" spans="1:11" x14ac:dyDescent="0.2">
      <c r="A7203" t="s">
        <v>4289</v>
      </c>
      <c r="B7203" t="s">
        <v>4909</v>
      </c>
      <c r="C7203" t="s">
        <v>4909</v>
      </c>
      <c r="D7203" t="s">
        <v>4909</v>
      </c>
      <c r="E7203" t="s">
        <v>4909</v>
      </c>
      <c r="F7203" t="s">
        <v>4909</v>
      </c>
      <c r="G7203" t="s">
        <v>4909</v>
      </c>
      <c r="H7203" t="s">
        <v>4909</v>
      </c>
      <c r="I7203" t="s">
        <v>4909</v>
      </c>
      <c r="J7203" t="s">
        <v>4909</v>
      </c>
      <c r="K7203" t="s">
        <v>4909</v>
      </c>
    </row>
    <row r="7204" spans="1:11" x14ac:dyDescent="0.2">
      <c r="A7204" t="s">
        <v>4290</v>
      </c>
      <c r="B7204" t="s">
        <v>4909</v>
      </c>
      <c r="C7204" t="s">
        <v>4909</v>
      </c>
      <c r="D7204" t="s">
        <v>4909</v>
      </c>
      <c r="E7204" t="s">
        <v>4909</v>
      </c>
      <c r="F7204" t="s">
        <v>4909</v>
      </c>
      <c r="G7204" t="s">
        <v>4909</v>
      </c>
      <c r="H7204" t="s">
        <v>4909</v>
      </c>
      <c r="I7204" t="s">
        <v>4909</v>
      </c>
      <c r="J7204" t="s">
        <v>4909</v>
      </c>
      <c r="K7204" t="s">
        <v>4909</v>
      </c>
    </row>
    <row r="7205" spans="1:11" x14ac:dyDescent="0.2">
      <c r="A7205" t="s">
        <v>4291</v>
      </c>
      <c r="B7205" t="s">
        <v>4909</v>
      </c>
      <c r="C7205" t="s">
        <v>4909</v>
      </c>
      <c r="D7205" t="s">
        <v>4909</v>
      </c>
      <c r="E7205" t="s">
        <v>4909</v>
      </c>
      <c r="F7205" t="s">
        <v>4909</v>
      </c>
      <c r="G7205" t="s">
        <v>4909</v>
      </c>
      <c r="H7205" t="s">
        <v>4909</v>
      </c>
      <c r="I7205" t="s">
        <v>4909</v>
      </c>
      <c r="J7205" t="s">
        <v>4909</v>
      </c>
      <c r="K7205" t="s">
        <v>4909</v>
      </c>
    </row>
    <row r="7206" spans="1:11" x14ac:dyDescent="0.2">
      <c r="A7206" t="s">
        <v>4292</v>
      </c>
      <c r="B7206" t="s">
        <v>4909</v>
      </c>
      <c r="C7206" t="s">
        <v>4909</v>
      </c>
      <c r="D7206" t="s">
        <v>4909</v>
      </c>
      <c r="E7206" t="s">
        <v>4909</v>
      </c>
      <c r="F7206" t="s">
        <v>4909</v>
      </c>
      <c r="G7206" t="s">
        <v>4909</v>
      </c>
      <c r="H7206" t="s">
        <v>4909</v>
      </c>
      <c r="I7206" t="s">
        <v>4909</v>
      </c>
      <c r="J7206" t="s">
        <v>4909</v>
      </c>
      <c r="K7206" t="s">
        <v>4909</v>
      </c>
    </row>
    <row r="7207" spans="1:11" x14ac:dyDescent="0.2">
      <c r="A7207" t="s">
        <v>4293</v>
      </c>
      <c r="B7207" t="s">
        <v>4909</v>
      </c>
      <c r="C7207" t="s">
        <v>4909</v>
      </c>
      <c r="D7207" t="s">
        <v>4909</v>
      </c>
      <c r="E7207" t="s">
        <v>4909</v>
      </c>
      <c r="F7207" t="s">
        <v>4909</v>
      </c>
      <c r="G7207" t="s">
        <v>4909</v>
      </c>
      <c r="H7207" t="s">
        <v>4909</v>
      </c>
      <c r="I7207" t="s">
        <v>4909</v>
      </c>
      <c r="J7207" t="s">
        <v>4909</v>
      </c>
      <c r="K7207" t="s">
        <v>4909</v>
      </c>
    </row>
    <row r="7208" spans="1:11" x14ac:dyDescent="0.2">
      <c r="A7208" t="s">
        <v>4294</v>
      </c>
      <c r="B7208" t="s">
        <v>4909</v>
      </c>
      <c r="C7208" t="s">
        <v>4909</v>
      </c>
      <c r="D7208" t="s">
        <v>4909</v>
      </c>
      <c r="E7208" t="s">
        <v>4909</v>
      </c>
      <c r="F7208" t="s">
        <v>4909</v>
      </c>
      <c r="G7208" t="s">
        <v>4909</v>
      </c>
      <c r="H7208" t="s">
        <v>4909</v>
      </c>
      <c r="I7208" t="s">
        <v>4909</v>
      </c>
      <c r="J7208" t="s">
        <v>4909</v>
      </c>
      <c r="K7208" t="s">
        <v>4909</v>
      </c>
    </row>
    <row r="7209" spans="1:11" x14ac:dyDescent="0.2">
      <c r="A7209" t="s">
        <v>4295</v>
      </c>
      <c r="B7209" t="s">
        <v>4909</v>
      </c>
      <c r="C7209" t="s">
        <v>4909</v>
      </c>
      <c r="D7209" t="s">
        <v>4909</v>
      </c>
      <c r="E7209" t="s">
        <v>4909</v>
      </c>
      <c r="F7209" t="s">
        <v>4909</v>
      </c>
      <c r="G7209" t="s">
        <v>4909</v>
      </c>
      <c r="H7209" t="s">
        <v>4909</v>
      </c>
      <c r="I7209" t="s">
        <v>4909</v>
      </c>
      <c r="J7209" t="s">
        <v>4909</v>
      </c>
      <c r="K7209" t="s">
        <v>4909</v>
      </c>
    </row>
    <row r="7210" spans="1:11" x14ac:dyDescent="0.2">
      <c r="A7210" t="s">
        <v>4296</v>
      </c>
      <c r="B7210" t="s">
        <v>4909</v>
      </c>
      <c r="C7210" t="s">
        <v>4909</v>
      </c>
      <c r="D7210" t="s">
        <v>4909</v>
      </c>
      <c r="E7210" t="s">
        <v>4909</v>
      </c>
      <c r="F7210" t="s">
        <v>4909</v>
      </c>
      <c r="G7210" t="s">
        <v>4909</v>
      </c>
      <c r="H7210" t="s">
        <v>4909</v>
      </c>
      <c r="I7210" t="s">
        <v>4909</v>
      </c>
      <c r="J7210" t="s">
        <v>4909</v>
      </c>
      <c r="K7210" t="s">
        <v>4909</v>
      </c>
    </row>
    <row r="7211" spans="1:11" x14ac:dyDescent="0.2">
      <c r="A7211" t="s">
        <v>4297</v>
      </c>
      <c r="B7211" s="88">
        <v>0</v>
      </c>
      <c r="C7211" t="s">
        <v>4909</v>
      </c>
      <c r="D7211" t="s">
        <v>4909</v>
      </c>
      <c r="E7211" t="s">
        <v>4909</v>
      </c>
      <c r="F7211" t="s">
        <v>4909</v>
      </c>
      <c r="G7211" t="s">
        <v>4909</v>
      </c>
      <c r="H7211" s="88">
        <v>0</v>
      </c>
      <c r="I7211" t="s">
        <v>4909</v>
      </c>
      <c r="J7211" t="s">
        <v>4909</v>
      </c>
      <c r="K7211" s="88">
        <v>0</v>
      </c>
    </row>
    <row r="7212" spans="1:11" x14ac:dyDescent="0.2">
      <c r="A7212" t="s">
        <v>4298</v>
      </c>
      <c r="B7212" s="88">
        <v>0</v>
      </c>
      <c r="C7212" t="s">
        <v>4909</v>
      </c>
      <c r="D7212" t="s">
        <v>4909</v>
      </c>
      <c r="E7212" t="s">
        <v>4909</v>
      </c>
      <c r="F7212" t="s">
        <v>4909</v>
      </c>
      <c r="G7212" t="s">
        <v>4909</v>
      </c>
      <c r="H7212" s="88">
        <v>0</v>
      </c>
      <c r="I7212" t="s">
        <v>4909</v>
      </c>
      <c r="J7212" t="s">
        <v>4909</v>
      </c>
      <c r="K7212" s="88">
        <v>2E-3</v>
      </c>
    </row>
    <row r="7213" spans="1:11" x14ac:dyDescent="0.2">
      <c r="A7213" t="s">
        <v>4299</v>
      </c>
      <c r="B7213" s="88">
        <v>0</v>
      </c>
      <c r="C7213" t="s">
        <v>4909</v>
      </c>
      <c r="D7213" t="s">
        <v>4909</v>
      </c>
      <c r="E7213" t="s">
        <v>4909</v>
      </c>
      <c r="F7213" t="s">
        <v>4909</v>
      </c>
      <c r="G7213" t="s">
        <v>4909</v>
      </c>
      <c r="H7213" s="88">
        <v>0</v>
      </c>
      <c r="I7213" t="s">
        <v>4909</v>
      </c>
      <c r="J7213" t="s">
        <v>4909</v>
      </c>
      <c r="K7213" s="88">
        <v>5.0000000000000001E-3</v>
      </c>
    </row>
    <row r="7214" spans="1:11" x14ac:dyDescent="0.2">
      <c r="A7214" t="s">
        <v>4300</v>
      </c>
      <c r="B7214" s="88">
        <v>0</v>
      </c>
      <c r="C7214" t="s">
        <v>4909</v>
      </c>
      <c r="D7214" t="s">
        <v>4909</v>
      </c>
      <c r="E7214" t="s">
        <v>4909</v>
      </c>
      <c r="F7214" t="s">
        <v>4909</v>
      </c>
      <c r="G7214" t="s">
        <v>4909</v>
      </c>
      <c r="H7214" s="88">
        <v>0</v>
      </c>
      <c r="I7214" t="s">
        <v>4909</v>
      </c>
      <c r="J7214" t="s">
        <v>4909</v>
      </c>
      <c r="K7214" s="88">
        <v>1E-3</v>
      </c>
    </row>
    <row r="7215" spans="1:11" x14ac:dyDescent="0.2">
      <c r="A7215" t="s">
        <v>4301</v>
      </c>
      <c r="B7215" s="88">
        <v>0</v>
      </c>
      <c r="C7215" t="s">
        <v>4909</v>
      </c>
      <c r="D7215" t="s">
        <v>4909</v>
      </c>
      <c r="E7215" s="88">
        <v>0</v>
      </c>
      <c r="F7215" t="s">
        <v>4909</v>
      </c>
      <c r="G7215" t="s">
        <v>4909</v>
      </c>
      <c r="H7215" s="88">
        <v>0</v>
      </c>
      <c r="I7215" t="s">
        <v>4909</v>
      </c>
      <c r="J7215" t="s">
        <v>4909</v>
      </c>
      <c r="K7215" s="88">
        <v>2E-3</v>
      </c>
    </row>
    <row r="7216" spans="1:11" x14ac:dyDescent="0.2">
      <c r="A7216" t="s">
        <v>4302</v>
      </c>
      <c r="B7216" s="88">
        <v>1E-3</v>
      </c>
      <c r="C7216" t="s">
        <v>4909</v>
      </c>
      <c r="D7216" t="s">
        <v>4909</v>
      </c>
      <c r="E7216" t="s">
        <v>4909</v>
      </c>
      <c r="F7216" t="s">
        <v>4909</v>
      </c>
      <c r="G7216" t="s">
        <v>4909</v>
      </c>
      <c r="H7216" s="88">
        <v>0</v>
      </c>
      <c r="I7216" t="s">
        <v>4909</v>
      </c>
      <c r="J7216" t="s">
        <v>4909</v>
      </c>
      <c r="K7216" s="88">
        <v>4.0000000000000001E-3</v>
      </c>
    </row>
    <row r="7217" spans="1:11" x14ac:dyDescent="0.2">
      <c r="A7217" t="s">
        <v>4303</v>
      </c>
      <c r="B7217" s="88">
        <v>2E-3</v>
      </c>
      <c r="C7217" t="s">
        <v>4909</v>
      </c>
      <c r="D7217" t="s">
        <v>4909</v>
      </c>
      <c r="E7217" t="s">
        <v>4909</v>
      </c>
      <c r="F7217" t="s">
        <v>4909</v>
      </c>
      <c r="G7217" t="s">
        <v>4909</v>
      </c>
      <c r="H7217" t="s">
        <v>4909</v>
      </c>
      <c r="I7217" t="s">
        <v>4909</v>
      </c>
      <c r="J7217" t="s">
        <v>4909</v>
      </c>
      <c r="K7217" s="88">
        <v>3.0000000000000001E-3</v>
      </c>
    </row>
    <row r="7218" spans="1:11" x14ac:dyDescent="0.2">
      <c r="A7218" t="s">
        <v>4304</v>
      </c>
      <c r="B7218" s="88">
        <v>0</v>
      </c>
      <c r="C7218" t="s">
        <v>4909</v>
      </c>
      <c r="D7218" t="s">
        <v>4909</v>
      </c>
      <c r="E7218" t="s">
        <v>4909</v>
      </c>
      <c r="F7218" t="s">
        <v>4909</v>
      </c>
      <c r="G7218" t="s">
        <v>4909</v>
      </c>
      <c r="H7218" t="s">
        <v>4909</v>
      </c>
      <c r="I7218" t="s">
        <v>4909</v>
      </c>
      <c r="J7218" t="s">
        <v>4909</v>
      </c>
      <c r="K7218" s="88">
        <v>5.0000000000000001E-3</v>
      </c>
    </row>
    <row r="7219" spans="1:11" x14ac:dyDescent="0.2">
      <c r="A7219" t="s">
        <v>4305</v>
      </c>
      <c r="B7219" s="88">
        <v>1E-3</v>
      </c>
      <c r="C7219" t="s">
        <v>4909</v>
      </c>
      <c r="D7219" t="s">
        <v>4909</v>
      </c>
      <c r="E7219" s="88">
        <v>0</v>
      </c>
      <c r="F7219" t="s">
        <v>4909</v>
      </c>
      <c r="G7219" t="s">
        <v>4909</v>
      </c>
      <c r="H7219" s="88">
        <v>0</v>
      </c>
      <c r="I7219" t="s">
        <v>4909</v>
      </c>
      <c r="J7219" t="s">
        <v>4909</v>
      </c>
      <c r="K7219" s="88">
        <v>4.0000000000000001E-3</v>
      </c>
    </row>
    <row r="7220" spans="1:11" x14ac:dyDescent="0.2">
      <c r="A7220" t="s">
        <v>4306</v>
      </c>
      <c r="B7220" s="88">
        <v>1E-3</v>
      </c>
      <c r="C7220" t="s">
        <v>4909</v>
      </c>
      <c r="D7220" t="s">
        <v>4909</v>
      </c>
      <c r="E7220" t="s">
        <v>4909</v>
      </c>
      <c r="F7220" t="s">
        <v>4909</v>
      </c>
      <c r="G7220" t="s">
        <v>4909</v>
      </c>
      <c r="H7220" t="s">
        <v>4909</v>
      </c>
      <c r="I7220" t="s">
        <v>4909</v>
      </c>
      <c r="J7220" t="s">
        <v>4909</v>
      </c>
      <c r="K7220" s="88">
        <v>0.01</v>
      </c>
    </row>
    <row r="7221" spans="1:11" x14ac:dyDescent="0.2">
      <c r="A7221" t="s">
        <v>4307</v>
      </c>
      <c r="B7221" s="88">
        <v>2E-3</v>
      </c>
      <c r="C7221" t="s">
        <v>4909</v>
      </c>
      <c r="D7221" t="s">
        <v>4909</v>
      </c>
      <c r="E7221" s="88">
        <v>0</v>
      </c>
      <c r="F7221" s="88">
        <v>0</v>
      </c>
      <c r="G7221" t="s">
        <v>4909</v>
      </c>
      <c r="H7221" s="88">
        <v>0</v>
      </c>
      <c r="I7221" t="s">
        <v>4909</v>
      </c>
      <c r="J7221" s="88">
        <v>0</v>
      </c>
      <c r="K7221" s="88">
        <v>5.0000000000000001E-3</v>
      </c>
    </row>
    <row r="7222" spans="1:11" x14ac:dyDescent="0.2">
      <c r="A7222" t="s">
        <v>4308</v>
      </c>
      <c r="B7222" t="s">
        <v>4909</v>
      </c>
      <c r="C7222" t="s">
        <v>4909</v>
      </c>
      <c r="D7222" t="s">
        <v>4909</v>
      </c>
      <c r="E7222" t="s">
        <v>4909</v>
      </c>
      <c r="F7222" t="s">
        <v>4909</v>
      </c>
      <c r="G7222" t="s">
        <v>4909</v>
      </c>
      <c r="H7222" t="s">
        <v>4909</v>
      </c>
      <c r="I7222" t="s">
        <v>4909</v>
      </c>
      <c r="J7222" t="s">
        <v>4909</v>
      </c>
      <c r="K7222" s="88">
        <v>1E-3</v>
      </c>
    </row>
    <row r="7223" spans="1:11" x14ac:dyDescent="0.2">
      <c r="A7223" t="s">
        <v>4309</v>
      </c>
      <c r="B7223" t="s">
        <v>4909</v>
      </c>
      <c r="C7223" t="s">
        <v>4909</v>
      </c>
      <c r="D7223" t="s">
        <v>4909</v>
      </c>
      <c r="E7223" t="s">
        <v>4909</v>
      </c>
      <c r="F7223" t="s">
        <v>4909</v>
      </c>
      <c r="G7223" t="s">
        <v>4909</v>
      </c>
      <c r="H7223" t="s">
        <v>4909</v>
      </c>
      <c r="I7223" t="s">
        <v>4909</v>
      </c>
      <c r="J7223" t="s">
        <v>4909</v>
      </c>
      <c r="K7223" t="s">
        <v>4909</v>
      </c>
    </row>
    <row r="7224" spans="1:11" x14ac:dyDescent="0.2">
      <c r="A7224" t="s">
        <v>4310</v>
      </c>
      <c r="B7224" t="s">
        <v>4909</v>
      </c>
      <c r="C7224" t="s">
        <v>4909</v>
      </c>
      <c r="D7224" t="s">
        <v>4909</v>
      </c>
      <c r="E7224" t="s">
        <v>4909</v>
      </c>
      <c r="F7224" t="s">
        <v>4909</v>
      </c>
      <c r="G7224" t="s">
        <v>4909</v>
      </c>
      <c r="H7224" t="s">
        <v>4909</v>
      </c>
      <c r="I7224" t="s">
        <v>4909</v>
      </c>
      <c r="J7224" t="s">
        <v>4909</v>
      </c>
      <c r="K7224" t="s">
        <v>4909</v>
      </c>
    </row>
    <row r="7225" spans="1:11" x14ac:dyDescent="0.2">
      <c r="A7225" t="s">
        <v>4311</v>
      </c>
      <c r="B7225" t="s">
        <v>4909</v>
      </c>
      <c r="C7225" t="s">
        <v>4909</v>
      </c>
      <c r="D7225" t="s">
        <v>4909</v>
      </c>
      <c r="E7225" t="s">
        <v>4909</v>
      </c>
      <c r="F7225" t="s">
        <v>4909</v>
      </c>
      <c r="G7225" t="s">
        <v>4909</v>
      </c>
      <c r="H7225" t="s">
        <v>4909</v>
      </c>
      <c r="I7225" t="s">
        <v>4909</v>
      </c>
      <c r="J7225" t="s">
        <v>4909</v>
      </c>
      <c r="K7225" t="s">
        <v>4909</v>
      </c>
    </row>
    <row r="7226" spans="1:11" x14ac:dyDescent="0.2">
      <c r="A7226" t="s">
        <v>4312</v>
      </c>
      <c r="B7226" t="s">
        <v>4909</v>
      </c>
      <c r="C7226" t="s">
        <v>4909</v>
      </c>
      <c r="D7226" t="s">
        <v>4909</v>
      </c>
      <c r="E7226" t="s">
        <v>4909</v>
      </c>
      <c r="F7226" t="s">
        <v>4909</v>
      </c>
      <c r="G7226" t="s">
        <v>4909</v>
      </c>
      <c r="H7226" t="s">
        <v>4909</v>
      </c>
      <c r="I7226" t="s">
        <v>4909</v>
      </c>
      <c r="J7226" t="s">
        <v>4909</v>
      </c>
      <c r="K7226" t="s">
        <v>4909</v>
      </c>
    </row>
    <row r="7227" spans="1:11" x14ac:dyDescent="0.2">
      <c r="A7227" t="s">
        <v>4313</v>
      </c>
      <c r="B7227" t="s">
        <v>4909</v>
      </c>
      <c r="C7227" t="s">
        <v>4909</v>
      </c>
      <c r="D7227" t="s">
        <v>4909</v>
      </c>
      <c r="E7227" t="s">
        <v>4909</v>
      </c>
      <c r="F7227" t="s">
        <v>4909</v>
      </c>
      <c r="G7227" t="s">
        <v>4909</v>
      </c>
      <c r="H7227" t="s">
        <v>4909</v>
      </c>
      <c r="I7227" t="s">
        <v>4909</v>
      </c>
      <c r="J7227" t="s">
        <v>4909</v>
      </c>
      <c r="K7227" t="s">
        <v>4909</v>
      </c>
    </row>
    <row r="7228" spans="1:11" x14ac:dyDescent="0.2">
      <c r="A7228" t="s">
        <v>4314</v>
      </c>
      <c r="B7228" t="s">
        <v>4909</v>
      </c>
      <c r="C7228" t="s">
        <v>4909</v>
      </c>
      <c r="D7228" t="s">
        <v>4909</v>
      </c>
      <c r="E7228" t="s">
        <v>4909</v>
      </c>
      <c r="F7228" t="s">
        <v>4909</v>
      </c>
      <c r="G7228" t="s">
        <v>4909</v>
      </c>
      <c r="H7228" t="s">
        <v>4909</v>
      </c>
      <c r="I7228" t="s">
        <v>4909</v>
      </c>
      <c r="J7228" t="s">
        <v>4909</v>
      </c>
      <c r="K7228" t="s">
        <v>4909</v>
      </c>
    </row>
    <row r="7229" spans="1:11" x14ac:dyDescent="0.2">
      <c r="A7229" t="s">
        <v>4315</v>
      </c>
      <c r="B7229" t="s">
        <v>4909</v>
      </c>
      <c r="C7229" t="s">
        <v>4909</v>
      </c>
      <c r="D7229" t="s">
        <v>4909</v>
      </c>
      <c r="E7229" t="s">
        <v>4909</v>
      </c>
      <c r="F7229" t="s">
        <v>4909</v>
      </c>
      <c r="G7229" t="s">
        <v>4909</v>
      </c>
      <c r="H7229" t="s">
        <v>4909</v>
      </c>
      <c r="I7229" t="s">
        <v>4909</v>
      </c>
      <c r="J7229" t="s">
        <v>4909</v>
      </c>
      <c r="K7229" t="s">
        <v>4909</v>
      </c>
    </row>
    <row r="7230" spans="1:11" x14ac:dyDescent="0.2">
      <c r="A7230" t="s">
        <v>4316</v>
      </c>
      <c r="B7230" t="s">
        <v>4909</v>
      </c>
      <c r="C7230" t="s">
        <v>4909</v>
      </c>
      <c r="D7230" t="s">
        <v>4909</v>
      </c>
      <c r="E7230" t="s">
        <v>4909</v>
      </c>
      <c r="F7230" t="s">
        <v>4909</v>
      </c>
      <c r="G7230" t="s">
        <v>4909</v>
      </c>
      <c r="H7230" t="s">
        <v>4909</v>
      </c>
      <c r="I7230" t="s">
        <v>4909</v>
      </c>
      <c r="J7230" t="s">
        <v>4909</v>
      </c>
      <c r="K7230" t="s">
        <v>4909</v>
      </c>
    </row>
    <row r="7231" spans="1:11" x14ac:dyDescent="0.2">
      <c r="A7231" t="s">
        <v>4317</v>
      </c>
      <c r="B7231" t="s">
        <v>4909</v>
      </c>
      <c r="C7231" t="s">
        <v>4909</v>
      </c>
      <c r="D7231" t="s">
        <v>4909</v>
      </c>
      <c r="E7231" t="s">
        <v>4909</v>
      </c>
      <c r="F7231" t="s">
        <v>4909</v>
      </c>
      <c r="G7231" t="s">
        <v>4909</v>
      </c>
      <c r="H7231" t="s">
        <v>4909</v>
      </c>
      <c r="I7231" t="s">
        <v>4909</v>
      </c>
      <c r="J7231" t="s">
        <v>4909</v>
      </c>
      <c r="K7231" t="s">
        <v>4909</v>
      </c>
    </row>
    <row r="7232" spans="1:11" x14ac:dyDescent="0.2">
      <c r="A7232" t="s">
        <v>4318</v>
      </c>
      <c r="B7232" t="s">
        <v>4909</v>
      </c>
      <c r="C7232" t="s">
        <v>4909</v>
      </c>
      <c r="D7232" t="s">
        <v>4909</v>
      </c>
      <c r="E7232" t="s">
        <v>4909</v>
      </c>
      <c r="F7232" t="s">
        <v>4909</v>
      </c>
      <c r="G7232" t="s">
        <v>4909</v>
      </c>
      <c r="H7232" t="s">
        <v>4909</v>
      </c>
      <c r="I7232" t="s">
        <v>4909</v>
      </c>
      <c r="J7232" t="s">
        <v>4909</v>
      </c>
      <c r="K7232" t="s">
        <v>4909</v>
      </c>
    </row>
    <row r="7233" spans="1:11" x14ac:dyDescent="0.2">
      <c r="A7233" t="s">
        <v>4319</v>
      </c>
      <c r="B7233" t="s">
        <v>4909</v>
      </c>
      <c r="C7233" t="s">
        <v>4909</v>
      </c>
      <c r="D7233" t="s">
        <v>4909</v>
      </c>
      <c r="E7233" t="s">
        <v>4909</v>
      </c>
      <c r="F7233" t="s">
        <v>4909</v>
      </c>
      <c r="G7233" t="s">
        <v>4909</v>
      </c>
      <c r="H7233" t="s">
        <v>4909</v>
      </c>
      <c r="I7233" t="s">
        <v>4909</v>
      </c>
      <c r="J7233" t="s">
        <v>4909</v>
      </c>
      <c r="K7233" t="s">
        <v>4909</v>
      </c>
    </row>
    <row r="7234" spans="1:11" x14ac:dyDescent="0.2">
      <c r="A7234" t="s">
        <v>4320</v>
      </c>
      <c r="B7234" t="s">
        <v>4909</v>
      </c>
      <c r="C7234" t="s">
        <v>4909</v>
      </c>
      <c r="D7234" t="s">
        <v>4909</v>
      </c>
      <c r="E7234" t="s">
        <v>4909</v>
      </c>
      <c r="F7234" t="s">
        <v>4909</v>
      </c>
      <c r="G7234" t="s">
        <v>4909</v>
      </c>
      <c r="H7234" t="s">
        <v>4909</v>
      </c>
      <c r="I7234" t="s">
        <v>4909</v>
      </c>
      <c r="J7234" t="s">
        <v>4909</v>
      </c>
      <c r="K7234" t="s">
        <v>4909</v>
      </c>
    </row>
    <row r="7235" spans="1:11" x14ac:dyDescent="0.2">
      <c r="A7235" t="s">
        <v>4321</v>
      </c>
      <c r="B7235" t="s">
        <v>4909</v>
      </c>
      <c r="C7235" t="s">
        <v>4909</v>
      </c>
      <c r="D7235" t="s">
        <v>4909</v>
      </c>
      <c r="E7235" t="s">
        <v>4909</v>
      </c>
      <c r="F7235" t="s">
        <v>4909</v>
      </c>
      <c r="G7235" t="s">
        <v>4909</v>
      </c>
      <c r="H7235" t="s">
        <v>4909</v>
      </c>
      <c r="I7235" t="s">
        <v>4909</v>
      </c>
      <c r="J7235" t="s">
        <v>4909</v>
      </c>
      <c r="K7235" t="s">
        <v>4909</v>
      </c>
    </row>
    <row r="7236" spans="1:11" x14ac:dyDescent="0.2">
      <c r="A7236" t="s">
        <v>4322</v>
      </c>
      <c r="B7236" t="s">
        <v>4909</v>
      </c>
      <c r="C7236" t="s">
        <v>4909</v>
      </c>
      <c r="D7236" t="s">
        <v>4909</v>
      </c>
      <c r="E7236" t="s">
        <v>4909</v>
      </c>
      <c r="F7236" t="s">
        <v>4909</v>
      </c>
      <c r="G7236" t="s">
        <v>4909</v>
      </c>
      <c r="H7236" t="s">
        <v>4909</v>
      </c>
      <c r="I7236" t="s">
        <v>4909</v>
      </c>
      <c r="J7236" t="s">
        <v>4909</v>
      </c>
      <c r="K7236" t="s">
        <v>4909</v>
      </c>
    </row>
    <row r="7237" spans="1:11" x14ac:dyDescent="0.2">
      <c r="A7237" t="s">
        <v>4323</v>
      </c>
      <c r="B7237" t="s">
        <v>4909</v>
      </c>
      <c r="C7237" t="s">
        <v>4909</v>
      </c>
      <c r="D7237" t="s">
        <v>4909</v>
      </c>
      <c r="E7237" t="s">
        <v>4909</v>
      </c>
      <c r="F7237" t="s">
        <v>4909</v>
      </c>
      <c r="G7237" t="s">
        <v>4909</v>
      </c>
      <c r="H7237" t="s">
        <v>4909</v>
      </c>
      <c r="I7237" t="s">
        <v>4909</v>
      </c>
      <c r="J7237" t="s">
        <v>4909</v>
      </c>
      <c r="K7237" t="s">
        <v>4909</v>
      </c>
    </row>
    <row r="7238" spans="1:11" x14ac:dyDescent="0.2">
      <c r="A7238" t="s">
        <v>4324</v>
      </c>
      <c r="B7238" t="s">
        <v>4909</v>
      </c>
      <c r="C7238" t="s">
        <v>4909</v>
      </c>
      <c r="D7238" t="s">
        <v>4909</v>
      </c>
      <c r="E7238" t="s">
        <v>4909</v>
      </c>
      <c r="F7238" t="s">
        <v>4909</v>
      </c>
      <c r="G7238" t="s">
        <v>4909</v>
      </c>
      <c r="H7238" t="s">
        <v>4909</v>
      </c>
      <c r="I7238" t="s">
        <v>4909</v>
      </c>
      <c r="J7238" t="s">
        <v>4909</v>
      </c>
      <c r="K7238" t="s">
        <v>4909</v>
      </c>
    </row>
    <row r="7239" spans="1:11" x14ac:dyDescent="0.2">
      <c r="A7239" t="s">
        <v>4325</v>
      </c>
      <c r="B7239" t="s">
        <v>4909</v>
      </c>
      <c r="C7239" t="s">
        <v>4909</v>
      </c>
      <c r="D7239" t="s">
        <v>4909</v>
      </c>
      <c r="E7239" t="s">
        <v>4909</v>
      </c>
      <c r="F7239" t="s">
        <v>4909</v>
      </c>
      <c r="G7239" t="s">
        <v>4909</v>
      </c>
      <c r="H7239" t="s">
        <v>4909</v>
      </c>
      <c r="I7239" t="s">
        <v>4909</v>
      </c>
      <c r="J7239" t="s">
        <v>4909</v>
      </c>
      <c r="K7239" t="s">
        <v>4909</v>
      </c>
    </row>
    <row r="7240" spans="1:11" x14ac:dyDescent="0.2">
      <c r="A7240" t="s">
        <v>4326</v>
      </c>
      <c r="B7240" t="s">
        <v>4909</v>
      </c>
      <c r="C7240" t="s">
        <v>4909</v>
      </c>
      <c r="D7240" t="s">
        <v>4909</v>
      </c>
      <c r="E7240" t="s">
        <v>4909</v>
      </c>
      <c r="F7240" t="s">
        <v>4909</v>
      </c>
      <c r="G7240" t="s">
        <v>4909</v>
      </c>
      <c r="H7240" t="s">
        <v>4909</v>
      </c>
      <c r="I7240" t="s">
        <v>4909</v>
      </c>
      <c r="J7240" t="s">
        <v>4909</v>
      </c>
      <c r="K7240" t="s">
        <v>4909</v>
      </c>
    </row>
    <row r="7241" spans="1:11" x14ac:dyDescent="0.2">
      <c r="A7241" t="s">
        <v>4327</v>
      </c>
      <c r="B7241" t="s">
        <v>4909</v>
      </c>
      <c r="C7241" t="s">
        <v>4909</v>
      </c>
      <c r="D7241" t="s">
        <v>4909</v>
      </c>
      <c r="E7241" t="s">
        <v>4909</v>
      </c>
      <c r="F7241" t="s">
        <v>4909</v>
      </c>
      <c r="G7241" t="s">
        <v>4909</v>
      </c>
      <c r="H7241" t="s">
        <v>4909</v>
      </c>
      <c r="I7241" t="s">
        <v>4909</v>
      </c>
      <c r="J7241" t="s">
        <v>4909</v>
      </c>
      <c r="K7241" t="s">
        <v>4909</v>
      </c>
    </row>
    <row r="7242" spans="1:11" x14ac:dyDescent="0.2">
      <c r="A7242" t="s">
        <v>4328</v>
      </c>
      <c r="B7242" t="s">
        <v>4909</v>
      </c>
      <c r="C7242" t="s">
        <v>4909</v>
      </c>
      <c r="D7242" t="s">
        <v>4909</v>
      </c>
      <c r="E7242" t="s">
        <v>4909</v>
      </c>
      <c r="F7242" t="s">
        <v>4909</v>
      </c>
      <c r="G7242" t="s">
        <v>4909</v>
      </c>
      <c r="H7242" t="s">
        <v>4909</v>
      </c>
      <c r="I7242" t="s">
        <v>4909</v>
      </c>
      <c r="J7242" t="s">
        <v>4909</v>
      </c>
      <c r="K7242" t="s">
        <v>4909</v>
      </c>
    </row>
    <row r="7243" spans="1:11" x14ac:dyDescent="0.2">
      <c r="A7243" t="s">
        <v>4329</v>
      </c>
      <c r="B7243" t="s">
        <v>4909</v>
      </c>
      <c r="C7243" t="s">
        <v>4909</v>
      </c>
      <c r="D7243" t="s">
        <v>4909</v>
      </c>
      <c r="E7243" t="s">
        <v>4909</v>
      </c>
      <c r="F7243" t="s">
        <v>4909</v>
      </c>
      <c r="G7243" t="s">
        <v>4909</v>
      </c>
      <c r="H7243" t="s">
        <v>4909</v>
      </c>
      <c r="I7243" t="s">
        <v>4909</v>
      </c>
      <c r="J7243" t="s">
        <v>4909</v>
      </c>
      <c r="K7243" t="s">
        <v>4909</v>
      </c>
    </row>
    <row r="7244" spans="1:11" x14ac:dyDescent="0.2">
      <c r="A7244" t="s">
        <v>4330</v>
      </c>
      <c r="B7244" t="s">
        <v>4909</v>
      </c>
      <c r="C7244" t="s">
        <v>4909</v>
      </c>
      <c r="D7244" t="s">
        <v>4909</v>
      </c>
      <c r="E7244" t="s">
        <v>4909</v>
      </c>
      <c r="F7244" t="s">
        <v>4909</v>
      </c>
      <c r="G7244" t="s">
        <v>4909</v>
      </c>
      <c r="H7244" t="s">
        <v>4909</v>
      </c>
      <c r="I7244" t="s">
        <v>4909</v>
      </c>
      <c r="J7244" t="s">
        <v>4909</v>
      </c>
      <c r="K7244" t="s">
        <v>4909</v>
      </c>
    </row>
    <row r="7245" spans="1:11" x14ac:dyDescent="0.2">
      <c r="A7245" t="s">
        <v>4331</v>
      </c>
      <c r="B7245" t="s">
        <v>4909</v>
      </c>
      <c r="C7245" t="s">
        <v>4909</v>
      </c>
      <c r="D7245" t="s">
        <v>4909</v>
      </c>
      <c r="E7245" t="s">
        <v>4909</v>
      </c>
      <c r="F7245" t="s">
        <v>4909</v>
      </c>
      <c r="G7245" t="s">
        <v>4909</v>
      </c>
      <c r="H7245" t="s">
        <v>4909</v>
      </c>
      <c r="I7245" t="s">
        <v>4909</v>
      </c>
      <c r="J7245" t="s">
        <v>4909</v>
      </c>
      <c r="K7245" t="s">
        <v>4909</v>
      </c>
    </row>
    <row r="7246" spans="1:11" x14ac:dyDescent="0.2">
      <c r="A7246" t="s">
        <v>4332</v>
      </c>
      <c r="B7246" t="s">
        <v>4909</v>
      </c>
      <c r="C7246" t="s">
        <v>4909</v>
      </c>
      <c r="D7246" t="s">
        <v>4909</v>
      </c>
      <c r="E7246" t="s">
        <v>4909</v>
      </c>
      <c r="F7246" t="s">
        <v>4909</v>
      </c>
      <c r="G7246" t="s">
        <v>4909</v>
      </c>
      <c r="H7246" t="s">
        <v>4909</v>
      </c>
      <c r="I7246" t="s">
        <v>4909</v>
      </c>
      <c r="J7246" t="s">
        <v>4909</v>
      </c>
      <c r="K7246" t="s">
        <v>4909</v>
      </c>
    </row>
    <row r="7247" spans="1:11" x14ac:dyDescent="0.2">
      <c r="A7247" t="s">
        <v>4333</v>
      </c>
      <c r="B7247" t="s">
        <v>4909</v>
      </c>
      <c r="C7247" t="s">
        <v>4909</v>
      </c>
      <c r="D7247" t="s">
        <v>4909</v>
      </c>
      <c r="E7247" t="s">
        <v>4909</v>
      </c>
      <c r="F7247" t="s">
        <v>4909</v>
      </c>
      <c r="G7247" t="s">
        <v>4909</v>
      </c>
      <c r="H7247" t="s">
        <v>4909</v>
      </c>
      <c r="I7247" t="s">
        <v>4909</v>
      </c>
      <c r="J7247" t="s">
        <v>4909</v>
      </c>
      <c r="K7247" t="s">
        <v>4909</v>
      </c>
    </row>
    <row r="7248" spans="1:11" x14ac:dyDescent="0.2">
      <c r="A7248" t="s">
        <v>4334</v>
      </c>
      <c r="B7248" t="s">
        <v>4909</v>
      </c>
      <c r="C7248" t="s">
        <v>4909</v>
      </c>
      <c r="D7248" t="s">
        <v>4909</v>
      </c>
      <c r="E7248" t="s">
        <v>4909</v>
      </c>
      <c r="F7248" t="s">
        <v>4909</v>
      </c>
      <c r="G7248" t="s">
        <v>4909</v>
      </c>
      <c r="H7248" t="s">
        <v>4909</v>
      </c>
      <c r="I7248" t="s">
        <v>4909</v>
      </c>
      <c r="J7248" t="s">
        <v>4909</v>
      </c>
      <c r="K7248" t="s">
        <v>4909</v>
      </c>
    </row>
    <row r="7249" spans="1:11" x14ac:dyDescent="0.2">
      <c r="A7249" t="s">
        <v>4335</v>
      </c>
      <c r="B7249" t="s">
        <v>4909</v>
      </c>
      <c r="C7249" t="s">
        <v>4909</v>
      </c>
      <c r="D7249" t="s">
        <v>4909</v>
      </c>
      <c r="E7249" t="s">
        <v>4909</v>
      </c>
      <c r="F7249" t="s">
        <v>4909</v>
      </c>
      <c r="G7249" t="s">
        <v>4909</v>
      </c>
      <c r="H7249" t="s">
        <v>4909</v>
      </c>
      <c r="I7249" t="s">
        <v>4909</v>
      </c>
      <c r="J7249" t="s">
        <v>4909</v>
      </c>
      <c r="K7249" t="s">
        <v>4909</v>
      </c>
    </row>
    <row r="7250" spans="1:11" x14ac:dyDescent="0.2">
      <c r="A7250" t="s">
        <v>4336</v>
      </c>
      <c r="B7250" t="s">
        <v>4909</v>
      </c>
      <c r="C7250" t="s">
        <v>4909</v>
      </c>
      <c r="D7250" t="s">
        <v>4909</v>
      </c>
      <c r="E7250" t="s">
        <v>4909</v>
      </c>
      <c r="F7250" t="s">
        <v>4909</v>
      </c>
      <c r="G7250" t="s">
        <v>4909</v>
      </c>
      <c r="H7250" t="s">
        <v>4909</v>
      </c>
      <c r="I7250" t="s">
        <v>4909</v>
      </c>
      <c r="J7250" t="s">
        <v>4909</v>
      </c>
      <c r="K7250" t="s">
        <v>4909</v>
      </c>
    </row>
    <row r="7251" spans="1:11" x14ac:dyDescent="0.2">
      <c r="A7251" t="s">
        <v>4337</v>
      </c>
      <c r="B7251" t="s">
        <v>4909</v>
      </c>
      <c r="C7251" t="s">
        <v>4909</v>
      </c>
      <c r="D7251" t="s">
        <v>4909</v>
      </c>
      <c r="E7251" t="s">
        <v>4909</v>
      </c>
      <c r="F7251" t="s">
        <v>4909</v>
      </c>
      <c r="G7251" t="s">
        <v>4909</v>
      </c>
      <c r="H7251" t="s">
        <v>4909</v>
      </c>
      <c r="I7251" t="s">
        <v>4909</v>
      </c>
      <c r="J7251" t="s">
        <v>4909</v>
      </c>
      <c r="K7251" t="s">
        <v>4909</v>
      </c>
    </row>
    <row r="7252" spans="1:11" x14ac:dyDescent="0.2">
      <c r="A7252" t="s">
        <v>4338</v>
      </c>
      <c r="B7252" t="s">
        <v>4909</v>
      </c>
      <c r="C7252" t="s">
        <v>4909</v>
      </c>
      <c r="D7252" t="s">
        <v>4909</v>
      </c>
      <c r="E7252" t="s">
        <v>4909</v>
      </c>
      <c r="F7252" t="s">
        <v>4909</v>
      </c>
      <c r="G7252" t="s">
        <v>4909</v>
      </c>
      <c r="H7252" t="s">
        <v>4909</v>
      </c>
      <c r="I7252" t="s">
        <v>4909</v>
      </c>
      <c r="J7252" t="s">
        <v>4909</v>
      </c>
      <c r="K7252" t="s">
        <v>4909</v>
      </c>
    </row>
    <row r="7253" spans="1:11" x14ac:dyDescent="0.2">
      <c r="A7253" t="s">
        <v>4339</v>
      </c>
      <c r="B7253" t="s">
        <v>4909</v>
      </c>
      <c r="C7253" t="s">
        <v>4909</v>
      </c>
      <c r="D7253" t="s">
        <v>4909</v>
      </c>
      <c r="E7253" t="s">
        <v>4909</v>
      </c>
      <c r="F7253" t="s">
        <v>4909</v>
      </c>
      <c r="G7253" t="s">
        <v>4909</v>
      </c>
      <c r="H7253" t="s">
        <v>4909</v>
      </c>
      <c r="I7253" t="s">
        <v>4909</v>
      </c>
      <c r="J7253" t="s">
        <v>4909</v>
      </c>
      <c r="K7253" t="s">
        <v>4909</v>
      </c>
    </row>
    <row r="7254" spans="1:11" x14ac:dyDescent="0.2">
      <c r="A7254" t="s">
        <v>4340</v>
      </c>
      <c r="B7254" t="s">
        <v>4909</v>
      </c>
      <c r="C7254" t="s">
        <v>4909</v>
      </c>
      <c r="D7254" t="s">
        <v>4909</v>
      </c>
      <c r="E7254" t="s">
        <v>4909</v>
      </c>
      <c r="F7254" t="s">
        <v>4909</v>
      </c>
      <c r="G7254" t="s">
        <v>4909</v>
      </c>
      <c r="H7254" t="s">
        <v>4909</v>
      </c>
      <c r="I7254" t="s">
        <v>4909</v>
      </c>
      <c r="J7254" t="s">
        <v>4909</v>
      </c>
      <c r="K7254" t="s">
        <v>4909</v>
      </c>
    </row>
    <row r="7255" spans="1:11" x14ac:dyDescent="0.2">
      <c r="A7255" t="s">
        <v>4341</v>
      </c>
      <c r="B7255" t="s">
        <v>4909</v>
      </c>
      <c r="C7255" t="s">
        <v>4909</v>
      </c>
      <c r="D7255" t="s">
        <v>4909</v>
      </c>
      <c r="E7255" t="s">
        <v>4909</v>
      </c>
      <c r="F7255" t="s">
        <v>4909</v>
      </c>
      <c r="G7255" t="s">
        <v>4909</v>
      </c>
      <c r="H7255" t="s">
        <v>4909</v>
      </c>
      <c r="I7255" t="s">
        <v>4909</v>
      </c>
      <c r="J7255" t="s">
        <v>4909</v>
      </c>
      <c r="K7255" t="s">
        <v>4909</v>
      </c>
    </row>
    <row r="7256" spans="1:11" x14ac:dyDescent="0.2">
      <c r="A7256" t="s">
        <v>4342</v>
      </c>
      <c r="B7256" t="s">
        <v>4909</v>
      </c>
      <c r="C7256" t="s">
        <v>4909</v>
      </c>
      <c r="D7256" t="s">
        <v>4909</v>
      </c>
      <c r="E7256" t="s">
        <v>4909</v>
      </c>
      <c r="F7256" t="s">
        <v>4909</v>
      </c>
      <c r="G7256" t="s">
        <v>4909</v>
      </c>
      <c r="H7256" t="s">
        <v>4909</v>
      </c>
      <c r="I7256" t="s">
        <v>4909</v>
      </c>
      <c r="J7256" t="s">
        <v>4909</v>
      </c>
      <c r="K7256" t="s">
        <v>4909</v>
      </c>
    </row>
    <row r="7257" spans="1:11" x14ac:dyDescent="0.2">
      <c r="A7257" t="s">
        <v>4343</v>
      </c>
      <c r="B7257" t="s">
        <v>4909</v>
      </c>
      <c r="C7257" t="s">
        <v>4909</v>
      </c>
      <c r="D7257" t="s">
        <v>4909</v>
      </c>
      <c r="E7257" t="s">
        <v>4909</v>
      </c>
      <c r="F7257" t="s">
        <v>4909</v>
      </c>
      <c r="G7257" t="s">
        <v>4909</v>
      </c>
      <c r="H7257" t="s">
        <v>4909</v>
      </c>
      <c r="I7257" t="s">
        <v>4909</v>
      </c>
      <c r="J7257" t="s">
        <v>4909</v>
      </c>
      <c r="K7257" t="s">
        <v>4909</v>
      </c>
    </row>
    <row r="7258" spans="1:11" x14ac:dyDescent="0.2">
      <c r="A7258" t="s">
        <v>1728</v>
      </c>
      <c r="B7258" t="s">
        <v>4909</v>
      </c>
      <c r="C7258" t="s">
        <v>4909</v>
      </c>
      <c r="D7258" t="s">
        <v>4909</v>
      </c>
      <c r="E7258" t="s">
        <v>4909</v>
      </c>
      <c r="F7258" t="s">
        <v>4909</v>
      </c>
      <c r="G7258" t="s">
        <v>4909</v>
      </c>
      <c r="H7258" t="s">
        <v>4909</v>
      </c>
      <c r="I7258" t="s">
        <v>4909</v>
      </c>
      <c r="J7258" t="s">
        <v>4909</v>
      </c>
      <c r="K7258" t="s">
        <v>4909</v>
      </c>
    </row>
    <row r="7259" spans="1:11" x14ac:dyDescent="0.2">
      <c r="A7259" t="s">
        <v>1730</v>
      </c>
      <c r="B7259" s="88">
        <v>3.0000000000000001E-3</v>
      </c>
      <c r="C7259" t="s">
        <v>4909</v>
      </c>
      <c r="D7259" t="s">
        <v>4909</v>
      </c>
      <c r="E7259" t="s">
        <v>4909</v>
      </c>
      <c r="F7259" t="s">
        <v>4909</v>
      </c>
      <c r="G7259" t="s">
        <v>4909</v>
      </c>
      <c r="H7259" s="88">
        <v>6.0000000000000001E-3</v>
      </c>
      <c r="I7259" t="s">
        <v>4909</v>
      </c>
      <c r="J7259" s="88">
        <v>0</v>
      </c>
      <c r="K7259" s="88">
        <v>3.4000000000000002E-2</v>
      </c>
    </row>
    <row r="7260" spans="1:11" x14ac:dyDescent="0.2">
      <c r="A7260" t="s">
        <v>1733</v>
      </c>
      <c r="B7260" t="s">
        <v>4909</v>
      </c>
      <c r="C7260" t="s">
        <v>4909</v>
      </c>
      <c r="D7260" t="s">
        <v>4909</v>
      </c>
      <c r="E7260" t="s">
        <v>4909</v>
      </c>
      <c r="F7260" t="s">
        <v>4909</v>
      </c>
      <c r="G7260" t="s">
        <v>4909</v>
      </c>
      <c r="H7260" s="88">
        <v>0.161</v>
      </c>
      <c r="I7260" t="s">
        <v>4909</v>
      </c>
      <c r="J7260" s="88">
        <v>7.0000000000000001E-3</v>
      </c>
      <c r="K7260" s="88">
        <v>0.83099999999999996</v>
      </c>
    </row>
    <row r="7261" spans="1:11" x14ac:dyDescent="0.2">
      <c r="A7261" t="s">
        <v>1738</v>
      </c>
      <c r="B7261" t="s">
        <v>4909</v>
      </c>
      <c r="C7261" t="s">
        <v>4909</v>
      </c>
      <c r="D7261" t="s">
        <v>4909</v>
      </c>
      <c r="E7261" t="s">
        <v>4909</v>
      </c>
      <c r="F7261" t="s">
        <v>4909</v>
      </c>
      <c r="G7261" t="s">
        <v>4909</v>
      </c>
      <c r="H7261" s="88">
        <v>0.161</v>
      </c>
      <c r="I7261" t="s">
        <v>4909</v>
      </c>
      <c r="J7261" s="88">
        <v>7.0000000000000001E-3</v>
      </c>
      <c r="K7261" s="88">
        <v>0.83099999999999996</v>
      </c>
    </row>
    <row r="7262" spans="1:11" x14ac:dyDescent="0.2">
      <c r="A7262" t="s">
        <v>1744</v>
      </c>
      <c r="B7262" t="s">
        <v>4909</v>
      </c>
      <c r="C7262" t="s">
        <v>4909</v>
      </c>
      <c r="D7262" t="s">
        <v>4909</v>
      </c>
      <c r="E7262" t="s">
        <v>4909</v>
      </c>
      <c r="F7262" t="s">
        <v>4909</v>
      </c>
      <c r="G7262" t="s">
        <v>4909</v>
      </c>
      <c r="H7262" t="s">
        <v>4909</v>
      </c>
      <c r="I7262" t="s">
        <v>4909</v>
      </c>
      <c r="J7262" t="s">
        <v>4909</v>
      </c>
      <c r="K7262" s="88">
        <v>0.04</v>
      </c>
    </row>
    <row r="7263" spans="1:11" x14ac:dyDescent="0.2">
      <c r="A7263" t="s">
        <v>1747</v>
      </c>
      <c r="B7263" t="s">
        <v>4909</v>
      </c>
      <c r="C7263" t="s">
        <v>4909</v>
      </c>
      <c r="D7263" t="s">
        <v>4909</v>
      </c>
      <c r="E7263" t="s">
        <v>4909</v>
      </c>
      <c r="F7263" t="s">
        <v>4909</v>
      </c>
      <c r="G7263" t="s">
        <v>4909</v>
      </c>
      <c r="H7263" t="s">
        <v>4909</v>
      </c>
      <c r="I7263" t="s">
        <v>4909</v>
      </c>
      <c r="J7263" t="s">
        <v>4909</v>
      </c>
      <c r="K7263" t="s">
        <v>4909</v>
      </c>
    </row>
    <row r="7264" spans="1:11" x14ac:dyDescent="0.2">
      <c r="A7264" t="s">
        <v>1751</v>
      </c>
      <c r="B7264" t="s">
        <v>4909</v>
      </c>
      <c r="C7264" t="s">
        <v>4909</v>
      </c>
      <c r="D7264" t="s">
        <v>4909</v>
      </c>
      <c r="E7264" t="s">
        <v>4909</v>
      </c>
      <c r="F7264" t="s">
        <v>4909</v>
      </c>
      <c r="G7264" t="s">
        <v>4909</v>
      </c>
      <c r="H7264" t="s">
        <v>4909</v>
      </c>
      <c r="I7264" t="s">
        <v>4909</v>
      </c>
      <c r="J7264" t="s">
        <v>4909</v>
      </c>
      <c r="K7264" t="s">
        <v>4909</v>
      </c>
    </row>
    <row r="7265" spans="1:11" x14ac:dyDescent="0.2">
      <c r="A7265" t="s">
        <v>1755</v>
      </c>
      <c r="B7265" s="88">
        <v>1E-3</v>
      </c>
      <c r="C7265" t="s">
        <v>4909</v>
      </c>
      <c r="D7265" t="s">
        <v>4909</v>
      </c>
      <c r="E7265" t="s">
        <v>4909</v>
      </c>
      <c r="F7265" t="s">
        <v>4909</v>
      </c>
      <c r="G7265" t="s">
        <v>4909</v>
      </c>
      <c r="H7265" t="s">
        <v>4909</v>
      </c>
      <c r="I7265" t="s">
        <v>4909</v>
      </c>
      <c r="J7265" t="s">
        <v>4909</v>
      </c>
      <c r="K7265" s="88">
        <v>1E-3</v>
      </c>
    </row>
    <row r="7266" spans="1:11" x14ac:dyDescent="0.2">
      <c r="A7266" t="s">
        <v>1757</v>
      </c>
      <c r="B7266" s="88">
        <v>0</v>
      </c>
      <c r="C7266" t="s">
        <v>4909</v>
      </c>
      <c r="D7266" t="s">
        <v>4909</v>
      </c>
      <c r="E7266" t="s">
        <v>4909</v>
      </c>
      <c r="F7266" t="s">
        <v>4909</v>
      </c>
      <c r="G7266" t="s">
        <v>4909</v>
      </c>
      <c r="H7266" s="88">
        <v>0</v>
      </c>
      <c r="I7266" t="s">
        <v>4909</v>
      </c>
      <c r="J7266" t="s">
        <v>4909</v>
      </c>
      <c r="K7266" s="88">
        <v>1E-3</v>
      </c>
    </row>
    <row r="7267" spans="1:11" x14ac:dyDescent="0.2">
      <c r="A7267" t="s">
        <v>1761</v>
      </c>
      <c r="B7267" t="s">
        <v>4909</v>
      </c>
      <c r="C7267" t="s">
        <v>4909</v>
      </c>
      <c r="D7267" t="s">
        <v>4909</v>
      </c>
      <c r="E7267" t="s">
        <v>4909</v>
      </c>
      <c r="F7267" t="s">
        <v>4909</v>
      </c>
      <c r="G7267" t="s">
        <v>4909</v>
      </c>
      <c r="H7267" t="s">
        <v>4909</v>
      </c>
      <c r="I7267" t="s">
        <v>4909</v>
      </c>
      <c r="J7267" t="s">
        <v>4909</v>
      </c>
      <c r="K7267" t="s">
        <v>4909</v>
      </c>
    </row>
    <row r="7268" spans="1:11" x14ac:dyDescent="0.2">
      <c r="A7268" t="s">
        <v>1764</v>
      </c>
      <c r="B7268" t="s">
        <v>4909</v>
      </c>
      <c r="C7268" t="s">
        <v>4909</v>
      </c>
      <c r="D7268" t="s">
        <v>4909</v>
      </c>
      <c r="E7268" t="s">
        <v>4909</v>
      </c>
      <c r="F7268" t="s">
        <v>4909</v>
      </c>
      <c r="G7268" t="s">
        <v>4909</v>
      </c>
      <c r="H7268" t="s">
        <v>4909</v>
      </c>
      <c r="I7268" t="s">
        <v>4909</v>
      </c>
      <c r="J7268" t="s">
        <v>4909</v>
      </c>
      <c r="K7268" t="s">
        <v>4909</v>
      </c>
    </row>
    <row r="7269" spans="1:11" x14ac:dyDescent="0.2">
      <c r="A7269" t="s">
        <v>1770</v>
      </c>
      <c r="B7269" s="88">
        <v>2E-3</v>
      </c>
      <c r="C7269" t="s">
        <v>4909</v>
      </c>
      <c r="D7269" t="s">
        <v>4909</v>
      </c>
      <c r="E7269" s="88">
        <v>0</v>
      </c>
      <c r="F7269" s="88">
        <v>0</v>
      </c>
      <c r="G7269" t="s">
        <v>4909</v>
      </c>
      <c r="H7269" s="88">
        <v>1E-3</v>
      </c>
      <c r="I7269" t="s">
        <v>4909</v>
      </c>
      <c r="J7269" s="88">
        <v>0</v>
      </c>
      <c r="K7269" s="88">
        <v>2.1999999999999999E-2</v>
      </c>
    </row>
    <row r="7270" spans="1:11" x14ac:dyDescent="0.2">
      <c r="A7270" t="s">
        <v>1772</v>
      </c>
      <c r="B7270" s="88">
        <v>1E-3</v>
      </c>
      <c r="C7270" t="s">
        <v>4909</v>
      </c>
      <c r="D7270" t="s">
        <v>4909</v>
      </c>
      <c r="E7270" s="88">
        <v>0</v>
      </c>
      <c r="F7270" t="s">
        <v>4909</v>
      </c>
      <c r="G7270" t="s">
        <v>4909</v>
      </c>
      <c r="H7270" s="88">
        <v>1E-3</v>
      </c>
      <c r="I7270" t="s">
        <v>4909</v>
      </c>
      <c r="J7270" t="s">
        <v>4909</v>
      </c>
      <c r="K7270" s="88">
        <v>3.2000000000000001E-2</v>
      </c>
    </row>
    <row r="7271" spans="1:11" x14ac:dyDescent="0.2">
      <c r="A7271" t="s">
        <v>1774</v>
      </c>
      <c r="B7271" t="s">
        <v>4909</v>
      </c>
      <c r="C7271" t="s">
        <v>4909</v>
      </c>
      <c r="D7271" t="s">
        <v>4909</v>
      </c>
      <c r="E7271" t="s">
        <v>4909</v>
      </c>
      <c r="F7271" t="s">
        <v>4909</v>
      </c>
      <c r="G7271" t="s">
        <v>4909</v>
      </c>
      <c r="H7271" t="s">
        <v>4909</v>
      </c>
      <c r="I7271" t="s">
        <v>4909</v>
      </c>
      <c r="J7271" t="s">
        <v>4909</v>
      </c>
      <c r="K7271" t="s">
        <v>4909</v>
      </c>
    </row>
    <row r="7272" spans="1:11" x14ac:dyDescent="0.2">
      <c r="A7272" t="s">
        <v>1777</v>
      </c>
      <c r="B7272" t="s">
        <v>4909</v>
      </c>
      <c r="C7272" t="s">
        <v>4909</v>
      </c>
      <c r="D7272" t="s">
        <v>4909</v>
      </c>
      <c r="E7272" t="s">
        <v>4909</v>
      </c>
      <c r="F7272" t="s">
        <v>4909</v>
      </c>
      <c r="G7272" t="s">
        <v>4909</v>
      </c>
      <c r="H7272" s="88">
        <v>0.16600000000000001</v>
      </c>
      <c r="I7272" t="s">
        <v>4909</v>
      </c>
      <c r="J7272" s="88">
        <v>7.0000000000000001E-3</v>
      </c>
      <c r="K7272" s="88">
        <v>0.82499999999999996</v>
      </c>
    </row>
    <row r="7273" spans="1:11" x14ac:dyDescent="0.2">
      <c r="A7273" t="s">
        <v>1782</v>
      </c>
      <c r="B7273" t="s">
        <v>4909</v>
      </c>
      <c r="C7273" t="s">
        <v>4909</v>
      </c>
      <c r="D7273" t="s">
        <v>4909</v>
      </c>
      <c r="E7273" t="s">
        <v>4909</v>
      </c>
      <c r="F7273" t="s">
        <v>4909</v>
      </c>
      <c r="G7273" t="s">
        <v>4909</v>
      </c>
      <c r="H7273" t="s">
        <v>4909</v>
      </c>
      <c r="I7273" t="s">
        <v>4909</v>
      </c>
      <c r="J7273" t="s">
        <v>4909</v>
      </c>
      <c r="K7273" t="s">
        <v>4909</v>
      </c>
    </row>
    <row r="7274" spans="1:11" x14ac:dyDescent="0.2">
      <c r="A7274" t="s">
        <v>1274</v>
      </c>
      <c r="B7274" s="88">
        <v>0</v>
      </c>
      <c r="C7274" t="s">
        <v>4909</v>
      </c>
      <c r="D7274" t="s">
        <v>4909</v>
      </c>
      <c r="E7274" t="s">
        <v>4909</v>
      </c>
      <c r="F7274" t="s">
        <v>4909</v>
      </c>
      <c r="G7274" t="s">
        <v>4909</v>
      </c>
      <c r="H7274" t="s">
        <v>4909</v>
      </c>
      <c r="I7274" t="s">
        <v>4909</v>
      </c>
      <c r="J7274" t="s">
        <v>4909</v>
      </c>
      <c r="K7274" t="s">
        <v>4909</v>
      </c>
    </row>
    <row r="7275" spans="1:11" x14ac:dyDescent="0.2">
      <c r="A7275" t="s">
        <v>1277</v>
      </c>
      <c r="B7275" s="88">
        <v>0</v>
      </c>
      <c r="C7275" t="s">
        <v>4909</v>
      </c>
      <c r="D7275" t="s">
        <v>4909</v>
      </c>
      <c r="E7275" t="s">
        <v>4909</v>
      </c>
      <c r="F7275" t="s">
        <v>4909</v>
      </c>
      <c r="G7275" t="s">
        <v>4909</v>
      </c>
      <c r="H7275" t="s">
        <v>4909</v>
      </c>
      <c r="I7275" t="s">
        <v>4909</v>
      </c>
      <c r="J7275" t="s">
        <v>4909</v>
      </c>
      <c r="K7275" t="s">
        <v>4909</v>
      </c>
    </row>
    <row r="7276" spans="1:11" x14ac:dyDescent="0.2">
      <c r="A7276" t="s">
        <v>1798</v>
      </c>
      <c r="B7276" t="s">
        <v>4909</v>
      </c>
      <c r="C7276" t="s">
        <v>4909</v>
      </c>
      <c r="D7276" t="s">
        <v>4909</v>
      </c>
      <c r="E7276" t="s">
        <v>4909</v>
      </c>
      <c r="F7276" t="s">
        <v>4909</v>
      </c>
      <c r="G7276" t="s">
        <v>4909</v>
      </c>
      <c r="H7276" t="s">
        <v>4909</v>
      </c>
      <c r="I7276" t="s">
        <v>4909</v>
      </c>
      <c r="J7276" t="s">
        <v>4909</v>
      </c>
      <c r="K7276" t="s">
        <v>4909</v>
      </c>
    </row>
    <row r="7277" spans="1:11" x14ac:dyDescent="0.2">
      <c r="A7277" t="s">
        <v>1803</v>
      </c>
      <c r="B7277" t="s">
        <v>4909</v>
      </c>
      <c r="C7277" t="s">
        <v>4909</v>
      </c>
      <c r="D7277" t="s">
        <v>4909</v>
      </c>
      <c r="E7277" t="s">
        <v>4909</v>
      </c>
      <c r="F7277" t="s">
        <v>4909</v>
      </c>
      <c r="G7277" t="s">
        <v>4909</v>
      </c>
      <c r="H7277" t="s">
        <v>4909</v>
      </c>
      <c r="I7277" t="s">
        <v>4909</v>
      </c>
      <c r="J7277" t="s">
        <v>4909</v>
      </c>
      <c r="K7277" t="s">
        <v>4909</v>
      </c>
    </row>
    <row r="7278" spans="1:11" x14ac:dyDescent="0.2">
      <c r="A7278" t="s">
        <v>1808</v>
      </c>
      <c r="B7278" t="s">
        <v>4909</v>
      </c>
      <c r="C7278" t="s">
        <v>4909</v>
      </c>
      <c r="D7278" t="s">
        <v>4909</v>
      </c>
      <c r="E7278" t="s">
        <v>4909</v>
      </c>
      <c r="F7278" t="s">
        <v>4909</v>
      </c>
      <c r="G7278" t="s">
        <v>4909</v>
      </c>
      <c r="H7278" t="s">
        <v>4909</v>
      </c>
      <c r="I7278" t="s">
        <v>4909</v>
      </c>
      <c r="J7278" t="s">
        <v>4909</v>
      </c>
      <c r="K7278" t="s">
        <v>4909</v>
      </c>
    </row>
    <row r="7279" spans="1:11" x14ac:dyDescent="0.2">
      <c r="A7279" t="s">
        <v>1813</v>
      </c>
      <c r="B7279" t="s">
        <v>4909</v>
      </c>
      <c r="C7279" t="s">
        <v>4909</v>
      </c>
      <c r="D7279" t="s">
        <v>4909</v>
      </c>
      <c r="E7279" t="s">
        <v>4909</v>
      </c>
      <c r="F7279" t="s">
        <v>4909</v>
      </c>
      <c r="G7279" t="s">
        <v>4909</v>
      </c>
      <c r="H7279" t="s">
        <v>4909</v>
      </c>
      <c r="I7279" t="s">
        <v>4909</v>
      </c>
      <c r="J7279" t="s">
        <v>4909</v>
      </c>
      <c r="K7279" t="s">
        <v>4909</v>
      </c>
    </row>
    <row r="7280" spans="1:11" x14ac:dyDescent="0.2">
      <c r="A7280" t="s">
        <v>1819</v>
      </c>
      <c r="B7280" t="s">
        <v>4909</v>
      </c>
      <c r="C7280" t="s">
        <v>4909</v>
      </c>
      <c r="D7280" t="s">
        <v>4909</v>
      </c>
      <c r="E7280" t="s">
        <v>4909</v>
      </c>
      <c r="F7280" t="s">
        <v>4909</v>
      </c>
      <c r="G7280" t="s">
        <v>4909</v>
      </c>
      <c r="H7280" t="s">
        <v>4909</v>
      </c>
      <c r="I7280" t="s">
        <v>4909</v>
      </c>
      <c r="J7280" t="s">
        <v>4909</v>
      </c>
      <c r="K7280" t="s">
        <v>4909</v>
      </c>
    </row>
    <row r="7281" spans="1:11" x14ac:dyDescent="0.2">
      <c r="A7281" t="s">
        <v>1826</v>
      </c>
      <c r="B7281" t="s">
        <v>4909</v>
      </c>
      <c r="C7281" t="s">
        <v>4909</v>
      </c>
      <c r="D7281" t="s">
        <v>4909</v>
      </c>
      <c r="E7281" t="s">
        <v>4909</v>
      </c>
      <c r="F7281" t="s">
        <v>4909</v>
      </c>
      <c r="G7281" t="s">
        <v>4909</v>
      </c>
      <c r="H7281" t="s">
        <v>4909</v>
      </c>
      <c r="I7281" t="s">
        <v>4909</v>
      </c>
      <c r="J7281" t="s">
        <v>4909</v>
      </c>
      <c r="K7281" t="s">
        <v>4909</v>
      </c>
    </row>
    <row r="7282" spans="1:11" x14ac:dyDescent="0.2">
      <c r="A7282" t="s">
        <v>1830</v>
      </c>
      <c r="B7282" t="s">
        <v>4909</v>
      </c>
      <c r="C7282" t="s">
        <v>4909</v>
      </c>
      <c r="D7282" t="s">
        <v>4909</v>
      </c>
      <c r="E7282" t="s">
        <v>4909</v>
      </c>
      <c r="F7282" t="s">
        <v>4909</v>
      </c>
      <c r="G7282" t="s">
        <v>4909</v>
      </c>
      <c r="H7282" t="s">
        <v>4909</v>
      </c>
      <c r="I7282" t="s">
        <v>4909</v>
      </c>
      <c r="J7282" t="s">
        <v>4909</v>
      </c>
      <c r="K7282" t="s">
        <v>4909</v>
      </c>
    </row>
    <row r="7283" spans="1:11" x14ac:dyDescent="0.2">
      <c r="A7283" t="s">
        <v>1836</v>
      </c>
      <c r="B7283" t="s">
        <v>4909</v>
      </c>
      <c r="C7283" t="s">
        <v>4909</v>
      </c>
      <c r="D7283" t="s">
        <v>4909</v>
      </c>
      <c r="E7283" t="s">
        <v>4909</v>
      </c>
      <c r="F7283" t="s">
        <v>4909</v>
      </c>
      <c r="G7283" t="s">
        <v>4909</v>
      </c>
      <c r="H7283" t="s">
        <v>4909</v>
      </c>
      <c r="I7283" t="s">
        <v>4909</v>
      </c>
      <c r="J7283" t="s">
        <v>4909</v>
      </c>
      <c r="K7283" t="s">
        <v>4909</v>
      </c>
    </row>
    <row r="7284" spans="1:11" x14ac:dyDescent="0.2">
      <c r="A7284" t="s">
        <v>1841</v>
      </c>
      <c r="B7284" t="s">
        <v>4909</v>
      </c>
      <c r="C7284" t="s">
        <v>4909</v>
      </c>
      <c r="D7284" t="s">
        <v>4909</v>
      </c>
      <c r="E7284" t="s">
        <v>4909</v>
      </c>
      <c r="F7284" t="s">
        <v>4909</v>
      </c>
      <c r="G7284" t="s">
        <v>4909</v>
      </c>
      <c r="H7284" t="s">
        <v>4909</v>
      </c>
      <c r="I7284" t="s">
        <v>4909</v>
      </c>
      <c r="J7284" t="s">
        <v>4909</v>
      </c>
      <c r="K7284" t="s">
        <v>4909</v>
      </c>
    </row>
    <row r="7285" spans="1:11" x14ac:dyDescent="0.2">
      <c r="A7285" t="s">
        <v>1842</v>
      </c>
      <c r="B7285" s="88">
        <v>6.0000000000000001E-3</v>
      </c>
      <c r="C7285" t="s">
        <v>4909</v>
      </c>
      <c r="D7285" t="s">
        <v>4909</v>
      </c>
      <c r="E7285" s="88">
        <v>0</v>
      </c>
      <c r="F7285" s="88">
        <v>0</v>
      </c>
      <c r="G7285" t="s">
        <v>4909</v>
      </c>
      <c r="H7285" s="88">
        <v>0</v>
      </c>
      <c r="I7285" t="s">
        <v>4909</v>
      </c>
      <c r="J7285" t="s">
        <v>4909</v>
      </c>
      <c r="K7285" s="88">
        <v>0</v>
      </c>
    </row>
    <row r="7286" spans="1:11" x14ac:dyDescent="0.2">
      <c r="A7286" t="s">
        <v>1843</v>
      </c>
      <c r="B7286" t="s">
        <v>4909</v>
      </c>
      <c r="C7286" t="s">
        <v>4909</v>
      </c>
      <c r="D7286" t="s">
        <v>4909</v>
      </c>
      <c r="E7286" t="s">
        <v>4909</v>
      </c>
      <c r="F7286" t="s">
        <v>4909</v>
      </c>
      <c r="G7286" t="s">
        <v>4909</v>
      </c>
      <c r="H7286" t="s">
        <v>4909</v>
      </c>
      <c r="I7286" t="s">
        <v>4909</v>
      </c>
      <c r="J7286" t="s">
        <v>4909</v>
      </c>
      <c r="K7286" t="s">
        <v>4909</v>
      </c>
    </row>
    <row r="7287" spans="1:11" x14ac:dyDescent="0.2">
      <c r="A7287" t="s">
        <v>1846</v>
      </c>
      <c r="B7287" t="s">
        <v>4909</v>
      </c>
      <c r="C7287" t="s">
        <v>4909</v>
      </c>
      <c r="D7287" t="s">
        <v>4909</v>
      </c>
      <c r="E7287" t="s">
        <v>4909</v>
      </c>
      <c r="F7287" t="s">
        <v>4909</v>
      </c>
      <c r="G7287" t="s">
        <v>4909</v>
      </c>
      <c r="H7287" t="s">
        <v>4909</v>
      </c>
      <c r="I7287" t="s">
        <v>4909</v>
      </c>
      <c r="J7287" t="s">
        <v>4909</v>
      </c>
      <c r="K7287" t="s">
        <v>4909</v>
      </c>
    </row>
    <row r="7288" spans="1:11" x14ac:dyDescent="0.2">
      <c r="A7288" t="s">
        <v>1851</v>
      </c>
      <c r="B7288" s="88">
        <v>0</v>
      </c>
      <c r="C7288" t="s">
        <v>4909</v>
      </c>
      <c r="D7288" t="s">
        <v>4909</v>
      </c>
      <c r="E7288" s="88">
        <v>0</v>
      </c>
      <c r="F7288" s="88">
        <v>0</v>
      </c>
      <c r="G7288" t="s">
        <v>4909</v>
      </c>
      <c r="H7288" t="s">
        <v>4909</v>
      </c>
      <c r="I7288" t="s">
        <v>4909</v>
      </c>
      <c r="J7288" t="s">
        <v>4909</v>
      </c>
      <c r="K7288" s="88">
        <v>0</v>
      </c>
    </row>
    <row r="7289" spans="1:11" x14ac:dyDescent="0.2">
      <c r="A7289" t="s">
        <v>1857</v>
      </c>
      <c r="B7289" t="s">
        <v>4909</v>
      </c>
      <c r="C7289" t="s">
        <v>4909</v>
      </c>
      <c r="D7289" t="s">
        <v>4909</v>
      </c>
      <c r="E7289" t="s">
        <v>4909</v>
      </c>
      <c r="F7289" t="s">
        <v>4909</v>
      </c>
      <c r="G7289" t="s">
        <v>4909</v>
      </c>
      <c r="H7289" t="s">
        <v>4909</v>
      </c>
      <c r="I7289" t="s">
        <v>4909</v>
      </c>
      <c r="J7289" t="s">
        <v>4909</v>
      </c>
      <c r="K7289" t="s">
        <v>4909</v>
      </c>
    </row>
    <row r="7290" spans="1:11" x14ac:dyDescent="0.2">
      <c r="A7290" t="s">
        <v>1862</v>
      </c>
      <c r="B7290" t="s">
        <v>4909</v>
      </c>
      <c r="C7290" t="s">
        <v>4909</v>
      </c>
      <c r="D7290" t="s">
        <v>4909</v>
      </c>
      <c r="E7290" t="s">
        <v>4909</v>
      </c>
      <c r="F7290" t="s">
        <v>4909</v>
      </c>
      <c r="G7290" t="s">
        <v>4909</v>
      </c>
      <c r="H7290" t="s">
        <v>4909</v>
      </c>
      <c r="I7290" t="s">
        <v>4909</v>
      </c>
      <c r="J7290" t="s">
        <v>4909</v>
      </c>
      <c r="K7290" t="s">
        <v>4909</v>
      </c>
    </row>
    <row r="7291" spans="1:11" x14ac:dyDescent="0.2">
      <c r="A7291" t="s">
        <v>1867</v>
      </c>
      <c r="B7291" t="s">
        <v>4909</v>
      </c>
      <c r="C7291" t="s">
        <v>4909</v>
      </c>
      <c r="D7291" t="s">
        <v>4909</v>
      </c>
      <c r="E7291" t="s">
        <v>4909</v>
      </c>
      <c r="F7291" t="s">
        <v>4909</v>
      </c>
      <c r="G7291" t="s">
        <v>4909</v>
      </c>
      <c r="H7291" t="s">
        <v>4909</v>
      </c>
      <c r="I7291" t="s">
        <v>4909</v>
      </c>
      <c r="J7291" t="s">
        <v>4909</v>
      </c>
      <c r="K7291" t="s">
        <v>4909</v>
      </c>
    </row>
    <row r="7292" spans="1:11" x14ac:dyDescent="0.2">
      <c r="A7292" t="s">
        <v>1870</v>
      </c>
      <c r="B7292" t="s">
        <v>4909</v>
      </c>
      <c r="C7292" t="s">
        <v>4909</v>
      </c>
      <c r="D7292" t="s">
        <v>4909</v>
      </c>
      <c r="E7292" t="s">
        <v>4909</v>
      </c>
      <c r="F7292" t="s">
        <v>4909</v>
      </c>
      <c r="G7292" t="s">
        <v>4909</v>
      </c>
      <c r="H7292" t="s">
        <v>4909</v>
      </c>
      <c r="I7292" t="s">
        <v>4909</v>
      </c>
      <c r="J7292" t="s">
        <v>4909</v>
      </c>
      <c r="K7292" t="s">
        <v>4909</v>
      </c>
    </row>
    <row r="7293" spans="1:11" x14ac:dyDescent="0.2">
      <c r="A7293" t="s">
        <v>1874</v>
      </c>
      <c r="B7293" s="88">
        <v>0</v>
      </c>
      <c r="C7293" t="s">
        <v>4909</v>
      </c>
      <c r="D7293" t="s">
        <v>4909</v>
      </c>
      <c r="E7293" t="s">
        <v>4909</v>
      </c>
      <c r="F7293" t="s">
        <v>4909</v>
      </c>
      <c r="G7293" t="s">
        <v>4909</v>
      </c>
      <c r="H7293" t="s">
        <v>4909</v>
      </c>
      <c r="I7293" t="s">
        <v>4909</v>
      </c>
      <c r="J7293" t="s">
        <v>4909</v>
      </c>
      <c r="K7293" t="s">
        <v>4909</v>
      </c>
    </row>
    <row r="7294" spans="1:11" x14ac:dyDescent="0.2">
      <c r="A7294" t="s">
        <v>1876</v>
      </c>
      <c r="B7294" t="s">
        <v>4909</v>
      </c>
      <c r="C7294" t="s">
        <v>4909</v>
      </c>
      <c r="D7294" t="s">
        <v>4909</v>
      </c>
      <c r="E7294" t="s">
        <v>4909</v>
      </c>
      <c r="F7294" t="s">
        <v>4909</v>
      </c>
      <c r="G7294" t="s">
        <v>4909</v>
      </c>
      <c r="H7294" t="s">
        <v>4909</v>
      </c>
      <c r="I7294" t="s">
        <v>4909</v>
      </c>
      <c r="J7294" t="s">
        <v>4909</v>
      </c>
      <c r="K7294" t="s">
        <v>4909</v>
      </c>
    </row>
    <row r="7295" spans="1:11" x14ac:dyDescent="0.2">
      <c r="A7295" t="s">
        <v>1881</v>
      </c>
      <c r="B7295" t="s">
        <v>4909</v>
      </c>
      <c r="C7295" t="s">
        <v>4909</v>
      </c>
      <c r="D7295" t="s">
        <v>4909</v>
      </c>
      <c r="E7295" t="s">
        <v>4909</v>
      </c>
      <c r="F7295" t="s">
        <v>4909</v>
      </c>
      <c r="G7295" t="s">
        <v>4909</v>
      </c>
      <c r="H7295" t="s">
        <v>4909</v>
      </c>
      <c r="I7295" t="s">
        <v>4909</v>
      </c>
      <c r="J7295" t="s">
        <v>4909</v>
      </c>
      <c r="K7295" t="s">
        <v>4909</v>
      </c>
    </row>
    <row r="7296" spans="1:11" x14ac:dyDescent="0.2">
      <c r="A7296" t="s">
        <v>1885</v>
      </c>
      <c r="B7296" s="88">
        <v>1.2999999999999999E-2</v>
      </c>
      <c r="C7296" t="s">
        <v>4909</v>
      </c>
      <c r="D7296" t="s">
        <v>4909</v>
      </c>
      <c r="E7296" s="88">
        <v>0</v>
      </c>
      <c r="F7296" s="88">
        <v>0</v>
      </c>
      <c r="G7296" t="s">
        <v>4909</v>
      </c>
      <c r="H7296" t="s">
        <v>4909</v>
      </c>
      <c r="I7296" t="s">
        <v>4909</v>
      </c>
      <c r="J7296" t="s">
        <v>4909</v>
      </c>
      <c r="K7296" s="88">
        <v>0</v>
      </c>
    </row>
    <row r="7297" spans="1:11" x14ac:dyDescent="0.2">
      <c r="A7297" t="s">
        <v>1887</v>
      </c>
      <c r="B7297" s="88">
        <v>1.0999999999999999E-2</v>
      </c>
      <c r="C7297" t="s">
        <v>4909</v>
      </c>
      <c r="D7297" t="s">
        <v>4909</v>
      </c>
      <c r="E7297" s="88">
        <v>0</v>
      </c>
      <c r="F7297" t="s">
        <v>4909</v>
      </c>
      <c r="G7297" t="s">
        <v>4909</v>
      </c>
      <c r="H7297" t="s">
        <v>4909</v>
      </c>
      <c r="I7297" t="s">
        <v>4909</v>
      </c>
      <c r="J7297" t="s">
        <v>4909</v>
      </c>
      <c r="K7297" t="s">
        <v>4909</v>
      </c>
    </row>
    <row r="7298" spans="1:11" x14ac:dyDescent="0.2">
      <c r="A7298" t="s">
        <v>1893</v>
      </c>
      <c r="B7298" s="88">
        <v>1.0999999999999999E-2</v>
      </c>
      <c r="C7298" t="s">
        <v>4909</v>
      </c>
      <c r="D7298" t="s">
        <v>4909</v>
      </c>
      <c r="E7298" s="88">
        <v>0</v>
      </c>
      <c r="F7298" s="88">
        <v>0</v>
      </c>
      <c r="G7298" t="s">
        <v>4909</v>
      </c>
      <c r="H7298" s="88">
        <v>0</v>
      </c>
      <c r="I7298" t="s">
        <v>4909</v>
      </c>
      <c r="J7298" t="s">
        <v>4909</v>
      </c>
      <c r="K7298" s="88">
        <v>0</v>
      </c>
    </row>
    <row r="7299" spans="1:11" x14ac:dyDescent="0.2">
      <c r="A7299" t="s">
        <v>1899</v>
      </c>
      <c r="B7299" t="s">
        <v>4909</v>
      </c>
      <c r="C7299" t="s">
        <v>4909</v>
      </c>
      <c r="D7299" t="s">
        <v>4909</v>
      </c>
      <c r="E7299" t="s">
        <v>4909</v>
      </c>
      <c r="F7299" t="s">
        <v>4909</v>
      </c>
      <c r="G7299" t="s">
        <v>4909</v>
      </c>
      <c r="H7299" t="s">
        <v>4909</v>
      </c>
      <c r="I7299" t="s">
        <v>4909</v>
      </c>
      <c r="J7299" t="s">
        <v>4909</v>
      </c>
      <c r="K7299" t="s">
        <v>4909</v>
      </c>
    </row>
    <row r="7300" spans="1:11" x14ac:dyDescent="0.2">
      <c r="A7300" t="s">
        <v>1906</v>
      </c>
      <c r="B7300" t="s">
        <v>4909</v>
      </c>
      <c r="C7300" t="s">
        <v>4909</v>
      </c>
      <c r="D7300" t="s">
        <v>4909</v>
      </c>
      <c r="E7300" s="88">
        <v>2E-3</v>
      </c>
      <c r="F7300" t="s">
        <v>4909</v>
      </c>
      <c r="G7300" t="s">
        <v>4909</v>
      </c>
      <c r="H7300" t="s">
        <v>4909</v>
      </c>
      <c r="I7300" t="s">
        <v>4909</v>
      </c>
      <c r="J7300" t="s">
        <v>4909</v>
      </c>
      <c r="K7300" t="s">
        <v>4909</v>
      </c>
    </row>
    <row r="7301" spans="1:11" x14ac:dyDescent="0.2">
      <c r="A7301" t="s">
        <v>1911</v>
      </c>
      <c r="B7301" t="s">
        <v>4909</v>
      </c>
      <c r="C7301" t="s">
        <v>4909</v>
      </c>
      <c r="D7301" t="s">
        <v>4909</v>
      </c>
      <c r="E7301" t="s">
        <v>4909</v>
      </c>
      <c r="F7301" t="s">
        <v>4909</v>
      </c>
      <c r="G7301" t="s">
        <v>4909</v>
      </c>
      <c r="H7301" t="s">
        <v>4909</v>
      </c>
      <c r="I7301" t="s">
        <v>4909</v>
      </c>
      <c r="J7301" t="s">
        <v>4909</v>
      </c>
      <c r="K7301" t="s">
        <v>4909</v>
      </c>
    </row>
    <row r="7302" spans="1:11" x14ac:dyDescent="0.2">
      <c r="A7302" t="s">
        <v>1917</v>
      </c>
      <c r="B7302" t="s">
        <v>4909</v>
      </c>
      <c r="C7302" t="s">
        <v>4909</v>
      </c>
      <c r="D7302" t="s">
        <v>4909</v>
      </c>
      <c r="E7302" t="s">
        <v>4909</v>
      </c>
      <c r="F7302" t="s">
        <v>4909</v>
      </c>
      <c r="G7302" t="s">
        <v>4909</v>
      </c>
      <c r="H7302" s="88">
        <v>0</v>
      </c>
      <c r="I7302" t="s">
        <v>4909</v>
      </c>
      <c r="J7302" t="s">
        <v>4909</v>
      </c>
      <c r="K7302" s="88">
        <v>0</v>
      </c>
    </row>
    <row r="7303" spans="1:11" x14ac:dyDescent="0.2">
      <c r="A7303" t="s">
        <v>1922</v>
      </c>
      <c r="B7303" s="88">
        <v>0.17199999999999999</v>
      </c>
      <c r="C7303" t="s">
        <v>4909</v>
      </c>
      <c r="D7303" t="s">
        <v>4909</v>
      </c>
      <c r="E7303" s="88">
        <v>0</v>
      </c>
      <c r="F7303" t="s">
        <v>4909</v>
      </c>
      <c r="G7303" t="s">
        <v>4909</v>
      </c>
      <c r="H7303" t="s">
        <v>4909</v>
      </c>
      <c r="I7303" t="s">
        <v>4909</v>
      </c>
      <c r="J7303" t="s">
        <v>4909</v>
      </c>
      <c r="K7303" t="s">
        <v>4909</v>
      </c>
    </row>
    <row r="7304" spans="1:11" x14ac:dyDescent="0.2">
      <c r="A7304" t="s">
        <v>1928</v>
      </c>
      <c r="B7304" t="s">
        <v>4909</v>
      </c>
      <c r="C7304" t="s">
        <v>4909</v>
      </c>
      <c r="D7304" t="s">
        <v>4909</v>
      </c>
      <c r="E7304" s="88">
        <v>2E-3</v>
      </c>
      <c r="F7304" t="s">
        <v>4909</v>
      </c>
      <c r="G7304" t="s">
        <v>4909</v>
      </c>
      <c r="H7304" t="s">
        <v>4909</v>
      </c>
      <c r="I7304" t="s">
        <v>4909</v>
      </c>
      <c r="J7304" t="s">
        <v>4909</v>
      </c>
      <c r="K7304" t="s">
        <v>4909</v>
      </c>
    </row>
    <row r="7305" spans="1:11" x14ac:dyDescent="0.2">
      <c r="A7305" t="s">
        <v>1932</v>
      </c>
      <c r="B7305" t="s">
        <v>4909</v>
      </c>
      <c r="C7305" t="s">
        <v>4909</v>
      </c>
      <c r="D7305" t="s">
        <v>4909</v>
      </c>
      <c r="E7305" t="s">
        <v>4909</v>
      </c>
      <c r="F7305" t="s">
        <v>4909</v>
      </c>
      <c r="G7305" t="s">
        <v>4909</v>
      </c>
      <c r="H7305" t="s">
        <v>4909</v>
      </c>
      <c r="I7305" t="s">
        <v>4909</v>
      </c>
      <c r="J7305" t="s">
        <v>4909</v>
      </c>
      <c r="K7305" t="s">
        <v>4909</v>
      </c>
    </row>
    <row r="7306" spans="1:11" x14ac:dyDescent="0.2">
      <c r="A7306" t="s">
        <v>1938</v>
      </c>
      <c r="B7306" s="88">
        <v>0.19600000000000001</v>
      </c>
      <c r="C7306" t="s">
        <v>4909</v>
      </c>
      <c r="D7306" t="s">
        <v>4909</v>
      </c>
      <c r="E7306" t="s">
        <v>4909</v>
      </c>
      <c r="F7306" t="s">
        <v>4909</v>
      </c>
      <c r="G7306" t="s">
        <v>4909</v>
      </c>
      <c r="H7306" t="s">
        <v>4909</v>
      </c>
      <c r="I7306" t="s">
        <v>4909</v>
      </c>
      <c r="J7306" t="s">
        <v>4909</v>
      </c>
      <c r="K7306" t="s">
        <v>4909</v>
      </c>
    </row>
    <row r="7307" spans="1:11" x14ac:dyDescent="0.2">
      <c r="A7307" t="s">
        <v>1944</v>
      </c>
      <c r="B7307" s="88">
        <v>7.0000000000000001E-3</v>
      </c>
      <c r="C7307" t="s">
        <v>4909</v>
      </c>
      <c r="D7307" t="s">
        <v>4909</v>
      </c>
      <c r="E7307" s="88">
        <v>0</v>
      </c>
      <c r="F7307" s="88">
        <v>0</v>
      </c>
      <c r="G7307" t="s">
        <v>4909</v>
      </c>
      <c r="H7307" t="s">
        <v>4909</v>
      </c>
      <c r="I7307" t="s">
        <v>4909</v>
      </c>
      <c r="J7307" t="s">
        <v>4909</v>
      </c>
      <c r="K7307" t="s">
        <v>4909</v>
      </c>
    </row>
    <row r="7308" spans="1:11" x14ac:dyDescent="0.2">
      <c r="A7308" t="s">
        <v>1947</v>
      </c>
      <c r="B7308" t="s">
        <v>4909</v>
      </c>
      <c r="C7308" t="s">
        <v>4909</v>
      </c>
      <c r="D7308" t="s">
        <v>4909</v>
      </c>
      <c r="E7308" t="s">
        <v>4909</v>
      </c>
      <c r="F7308" t="s">
        <v>4909</v>
      </c>
      <c r="G7308" t="s">
        <v>4909</v>
      </c>
      <c r="H7308" t="s">
        <v>4909</v>
      </c>
      <c r="I7308" t="s">
        <v>4909</v>
      </c>
      <c r="J7308" t="s">
        <v>4909</v>
      </c>
      <c r="K7308" t="s">
        <v>4909</v>
      </c>
    </row>
    <row r="7309" spans="1:11" x14ac:dyDescent="0.2">
      <c r="A7309" t="s">
        <v>1953</v>
      </c>
      <c r="B7309" t="s">
        <v>4909</v>
      </c>
      <c r="C7309" t="s">
        <v>4909</v>
      </c>
      <c r="D7309" t="s">
        <v>4909</v>
      </c>
      <c r="E7309" t="s">
        <v>4909</v>
      </c>
      <c r="F7309" t="s">
        <v>4909</v>
      </c>
      <c r="G7309" t="s">
        <v>4909</v>
      </c>
      <c r="H7309" t="s">
        <v>4909</v>
      </c>
      <c r="I7309" t="s">
        <v>4909</v>
      </c>
      <c r="J7309" t="s">
        <v>4909</v>
      </c>
      <c r="K7309" t="s">
        <v>4909</v>
      </c>
    </row>
    <row r="7310" spans="1:11" x14ac:dyDescent="0.2">
      <c r="A7310" t="s">
        <v>1958</v>
      </c>
      <c r="B7310" t="s">
        <v>4909</v>
      </c>
      <c r="C7310" t="s">
        <v>4909</v>
      </c>
      <c r="D7310" t="s">
        <v>4909</v>
      </c>
      <c r="E7310" t="s">
        <v>4909</v>
      </c>
      <c r="F7310" t="s">
        <v>4909</v>
      </c>
      <c r="G7310" t="s">
        <v>4909</v>
      </c>
      <c r="H7310" t="s">
        <v>4909</v>
      </c>
      <c r="I7310" t="s">
        <v>4909</v>
      </c>
      <c r="J7310" t="s">
        <v>4909</v>
      </c>
      <c r="K7310" t="s">
        <v>4909</v>
      </c>
    </row>
    <row r="7311" spans="1:11" x14ac:dyDescent="0.2">
      <c r="A7311" t="s">
        <v>1964</v>
      </c>
      <c r="B7311" t="s">
        <v>4909</v>
      </c>
      <c r="C7311" t="s">
        <v>4909</v>
      </c>
      <c r="D7311" t="s">
        <v>4909</v>
      </c>
      <c r="E7311" t="s">
        <v>4909</v>
      </c>
      <c r="F7311" t="s">
        <v>4909</v>
      </c>
      <c r="G7311" t="s">
        <v>4909</v>
      </c>
      <c r="H7311" t="s">
        <v>4909</v>
      </c>
      <c r="I7311" t="s">
        <v>4909</v>
      </c>
      <c r="J7311" t="s">
        <v>4909</v>
      </c>
      <c r="K7311" t="s">
        <v>4909</v>
      </c>
    </row>
    <row r="7312" spans="1:11" x14ac:dyDescent="0.2">
      <c r="A7312" t="s">
        <v>1973</v>
      </c>
      <c r="B7312" t="s">
        <v>4909</v>
      </c>
      <c r="C7312" t="s">
        <v>4909</v>
      </c>
      <c r="D7312" t="s">
        <v>4909</v>
      </c>
      <c r="E7312" t="s">
        <v>4909</v>
      </c>
      <c r="F7312" t="s">
        <v>4909</v>
      </c>
      <c r="G7312" t="s">
        <v>4909</v>
      </c>
      <c r="H7312" t="s">
        <v>4909</v>
      </c>
      <c r="I7312" t="s">
        <v>4909</v>
      </c>
      <c r="J7312" t="s">
        <v>4909</v>
      </c>
      <c r="K7312" t="s">
        <v>4909</v>
      </c>
    </row>
    <row r="7313" spans="1:11" x14ac:dyDescent="0.2">
      <c r="A7313" t="s">
        <v>1978</v>
      </c>
      <c r="B7313" t="s">
        <v>4909</v>
      </c>
      <c r="C7313" t="s">
        <v>4909</v>
      </c>
      <c r="D7313" t="s">
        <v>4909</v>
      </c>
      <c r="E7313" t="s">
        <v>4909</v>
      </c>
      <c r="F7313" t="s">
        <v>4909</v>
      </c>
      <c r="G7313" t="s">
        <v>4909</v>
      </c>
      <c r="H7313" t="s">
        <v>4909</v>
      </c>
      <c r="I7313" t="s">
        <v>4909</v>
      </c>
      <c r="J7313" t="s">
        <v>4909</v>
      </c>
      <c r="K7313" t="s">
        <v>4909</v>
      </c>
    </row>
    <row r="7314" spans="1:11" x14ac:dyDescent="0.2">
      <c r="A7314" t="s">
        <v>1983</v>
      </c>
      <c r="B7314" s="88">
        <v>2E-3</v>
      </c>
      <c r="C7314" t="s">
        <v>4909</v>
      </c>
      <c r="D7314" t="s">
        <v>4909</v>
      </c>
      <c r="E7314" t="s">
        <v>4909</v>
      </c>
      <c r="F7314" t="s">
        <v>4909</v>
      </c>
      <c r="G7314" t="s">
        <v>4909</v>
      </c>
      <c r="H7314" t="s">
        <v>4909</v>
      </c>
      <c r="I7314" t="s">
        <v>4909</v>
      </c>
      <c r="J7314" t="s">
        <v>4909</v>
      </c>
      <c r="K7314" t="s">
        <v>4909</v>
      </c>
    </row>
    <row r="7315" spans="1:11" x14ac:dyDescent="0.2">
      <c r="A7315" t="s">
        <v>1984</v>
      </c>
      <c r="B7315" t="s">
        <v>4909</v>
      </c>
      <c r="C7315" t="s">
        <v>4909</v>
      </c>
      <c r="D7315" t="s">
        <v>4909</v>
      </c>
      <c r="E7315" t="s">
        <v>4909</v>
      </c>
      <c r="F7315" t="s">
        <v>4909</v>
      </c>
      <c r="G7315" t="s">
        <v>4909</v>
      </c>
      <c r="H7315" t="s">
        <v>4909</v>
      </c>
      <c r="I7315" t="s">
        <v>4909</v>
      </c>
      <c r="J7315" t="s">
        <v>4909</v>
      </c>
      <c r="K7315" t="s">
        <v>4909</v>
      </c>
    </row>
    <row r="7316" spans="1:11" x14ac:dyDescent="0.2">
      <c r="A7316" t="s">
        <v>1990</v>
      </c>
      <c r="B7316" t="s">
        <v>4909</v>
      </c>
      <c r="C7316" t="s">
        <v>4909</v>
      </c>
      <c r="D7316" t="s">
        <v>4909</v>
      </c>
      <c r="E7316" t="s">
        <v>4909</v>
      </c>
      <c r="F7316" t="s">
        <v>4909</v>
      </c>
      <c r="G7316" t="s">
        <v>4909</v>
      </c>
      <c r="H7316" t="s">
        <v>4909</v>
      </c>
      <c r="I7316" t="s">
        <v>4909</v>
      </c>
      <c r="J7316" t="s">
        <v>4909</v>
      </c>
      <c r="K7316" t="s">
        <v>4909</v>
      </c>
    </row>
    <row r="7317" spans="1:11" x14ac:dyDescent="0.2">
      <c r="A7317" t="s">
        <v>1996</v>
      </c>
      <c r="B7317" t="s">
        <v>4909</v>
      </c>
      <c r="C7317" t="s">
        <v>4909</v>
      </c>
      <c r="D7317" t="s">
        <v>4909</v>
      </c>
      <c r="E7317" t="s">
        <v>4909</v>
      </c>
      <c r="F7317" t="s">
        <v>4909</v>
      </c>
      <c r="G7317" t="s">
        <v>4909</v>
      </c>
      <c r="H7317" t="s">
        <v>4909</v>
      </c>
      <c r="I7317" t="s">
        <v>4909</v>
      </c>
      <c r="J7317" t="s">
        <v>4909</v>
      </c>
      <c r="K7317" t="s">
        <v>4909</v>
      </c>
    </row>
    <row r="7318" spans="1:11" x14ac:dyDescent="0.2">
      <c r="A7318" t="s">
        <v>1998</v>
      </c>
      <c r="B7318" t="s">
        <v>4909</v>
      </c>
      <c r="C7318" t="s">
        <v>4909</v>
      </c>
      <c r="D7318" t="s">
        <v>4909</v>
      </c>
      <c r="E7318" t="s">
        <v>4909</v>
      </c>
      <c r="F7318" t="s">
        <v>4909</v>
      </c>
      <c r="G7318" t="s">
        <v>4909</v>
      </c>
      <c r="H7318" t="s">
        <v>4909</v>
      </c>
      <c r="I7318" t="s">
        <v>4909</v>
      </c>
      <c r="J7318" t="s">
        <v>4909</v>
      </c>
      <c r="K7318" t="s">
        <v>4909</v>
      </c>
    </row>
    <row r="7319" spans="1:11" x14ac:dyDescent="0.2">
      <c r="A7319" t="s">
        <v>1999</v>
      </c>
      <c r="B7319" t="s">
        <v>4909</v>
      </c>
      <c r="C7319" t="s">
        <v>4909</v>
      </c>
      <c r="D7319" t="s">
        <v>4909</v>
      </c>
      <c r="E7319" t="s">
        <v>4909</v>
      </c>
      <c r="F7319" t="s">
        <v>4909</v>
      </c>
      <c r="G7319" t="s">
        <v>4909</v>
      </c>
      <c r="H7319" t="s">
        <v>4909</v>
      </c>
      <c r="I7319" t="s">
        <v>4909</v>
      </c>
      <c r="J7319" t="s">
        <v>4909</v>
      </c>
      <c r="K7319" t="s">
        <v>4909</v>
      </c>
    </row>
    <row r="7320" spans="1:11" x14ac:dyDescent="0.2">
      <c r="A7320" t="s">
        <v>2004</v>
      </c>
      <c r="B7320" t="s">
        <v>4909</v>
      </c>
      <c r="C7320" t="s">
        <v>4909</v>
      </c>
      <c r="D7320" t="s">
        <v>4909</v>
      </c>
      <c r="E7320" t="s">
        <v>4909</v>
      </c>
      <c r="F7320" t="s">
        <v>4909</v>
      </c>
      <c r="G7320" t="s">
        <v>4909</v>
      </c>
      <c r="H7320" t="s">
        <v>4909</v>
      </c>
      <c r="I7320" t="s">
        <v>4909</v>
      </c>
      <c r="J7320" t="s">
        <v>4909</v>
      </c>
      <c r="K7320" t="s">
        <v>4909</v>
      </c>
    </row>
    <row r="7321" spans="1:11" x14ac:dyDescent="0.2">
      <c r="A7321" t="s">
        <v>2009</v>
      </c>
      <c r="B7321" t="s">
        <v>4909</v>
      </c>
      <c r="C7321" t="s">
        <v>4909</v>
      </c>
      <c r="D7321" t="s">
        <v>4909</v>
      </c>
      <c r="E7321" t="s">
        <v>4909</v>
      </c>
      <c r="F7321" t="s">
        <v>4909</v>
      </c>
      <c r="G7321" t="s">
        <v>4909</v>
      </c>
      <c r="H7321" t="s">
        <v>4909</v>
      </c>
      <c r="I7321" t="s">
        <v>4909</v>
      </c>
      <c r="J7321" t="s">
        <v>4909</v>
      </c>
      <c r="K7321" t="s">
        <v>4909</v>
      </c>
    </row>
    <row r="7322" spans="1:11" x14ac:dyDescent="0.2">
      <c r="A7322" t="s">
        <v>2014</v>
      </c>
      <c r="B7322" t="s">
        <v>4909</v>
      </c>
      <c r="C7322" t="s">
        <v>4909</v>
      </c>
      <c r="D7322" t="s">
        <v>4909</v>
      </c>
      <c r="E7322" t="s">
        <v>4909</v>
      </c>
      <c r="F7322" t="s">
        <v>4909</v>
      </c>
      <c r="G7322" t="s">
        <v>4909</v>
      </c>
      <c r="H7322" t="s">
        <v>4909</v>
      </c>
      <c r="I7322" t="s">
        <v>4909</v>
      </c>
      <c r="J7322" t="s">
        <v>4909</v>
      </c>
      <c r="K7322" t="s">
        <v>4909</v>
      </c>
    </row>
    <row r="7323" spans="1:11" x14ac:dyDescent="0.2">
      <c r="A7323" t="s">
        <v>2019</v>
      </c>
      <c r="B7323" t="s">
        <v>4909</v>
      </c>
      <c r="C7323" t="s">
        <v>4909</v>
      </c>
      <c r="D7323" t="s">
        <v>4909</v>
      </c>
      <c r="E7323" t="s">
        <v>4909</v>
      </c>
      <c r="F7323" t="s">
        <v>4909</v>
      </c>
      <c r="G7323" t="s">
        <v>4909</v>
      </c>
      <c r="H7323" t="s">
        <v>4909</v>
      </c>
      <c r="I7323" t="s">
        <v>4909</v>
      </c>
      <c r="J7323" t="s">
        <v>4909</v>
      </c>
      <c r="K7323" t="s">
        <v>4909</v>
      </c>
    </row>
    <row r="7324" spans="1:11" x14ac:dyDescent="0.2">
      <c r="A7324" t="s">
        <v>2023</v>
      </c>
      <c r="B7324" t="s">
        <v>4909</v>
      </c>
      <c r="C7324" t="s">
        <v>4909</v>
      </c>
      <c r="D7324" t="s">
        <v>4909</v>
      </c>
      <c r="E7324" t="s">
        <v>4909</v>
      </c>
      <c r="F7324" t="s">
        <v>4909</v>
      </c>
      <c r="G7324" t="s">
        <v>4909</v>
      </c>
      <c r="H7324" t="s">
        <v>4909</v>
      </c>
      <c r="I7324" t="s">
        <v>4909</v>
      </c>
      <c r="J7324" t="s">
        <v>4909</v>
      </c>
      <c r="K7324" t="s">
        <v>4909</v>
      </c>
    </row>
    <row r="7325" spans="1:11" x14ac:dyDescent="0.2">
      <c r="A7325" t="s">
        <v>2026</v>
      </c>
      <c r="B7325" t="s">
        <v>4909</v>
      </c>
      <c r="C7325" t="s">
        <v>4909</v>
      </c>
      <c r="D7325" t="s">
        <v>4909</v>
      </c>
      <c r="E7325" t="s">
        <v>4909</v>
      </c>
      <c r="F7325" t="s">
        <v>4909</v>
      </c>
      <c r="G7325" t="s">
        <v>4909</v>
      </c>
      <c r="H7325" t="s">
        <v>4909</v>
      </c>
      <c r="I7325" t="s">
        <v>4909</v>
      </c>
      <c r="J7325" t="s">
        <v>4909</v>
      </c>
      <c r="K7325" t="s">
        <v>4909</v>
      </c>
    </row>
    <row r="7326" spans="1:11" x14ac:dyDescent="0.2">
      <c r="A7326" t="s">
        <v>2030</v>
      </c>
      <c r="B7326" t="s">
        <v>4909</v>
      </c>
      <c r="C7326" t="s">
        <v>4909</v>
      </c>
      <c r="D7326" t="s">
        <v>4909</v>
      </c>
      <c r="E7326" t="s">
        <v>4909</v>
      </c>
      <c r="F7326" t="s">
        <v>4909</v>
      </c>
      <c r="G7326" t="s">
        <v>4909</v>
      </c>
      <c r="H7326" t="s">
        <v>4909</v>
      </c>
      <c r="I7326" t="s">
        <v>4909</v>
      </c>
      <c r="J7326" t="s">
        <v>4909</v>
      </c>
      <c r="K7326" t="s">
        <v>4909</v>
      </c>
    </row>
    <row r="7327" spans="1:11" x14ac:dyDescent="0.2">
      <c r="A7327" t="s">
        <v>2035</v>
      </c>
      <c r="B7327" t="s">
        <v>4909</v>
      </c>
      <c r="C7327" t="s">
        <v>4909</v>
      </c>
      <c r="D7327" t="s">
        <v>4909</v>
      </c>
      <c r="E7327" t="s">
        <v>4909</v>
      </c>
      <c r="F7327" t="s">
        <v>4909</v>
      </c>
      <c r="G7327" t="s">
        <v>4909</v>
      </c>
      <c r="H7327" t="s">
        <v>4909</v>
      </c>
      <c r="I7327" t="s">
        <v>4909</v>
      </c>
      <c r="J7327" t="s">
        <v>4909</v>
      </c>
      <c r="K7327" t="s">
        <v>4909</v>
      </c>
    </row>
    <row r="7328" spans="1:11" x14ac:dyDescent="0.2">
      <c r="A7328" t="s">
        <v>2040</v>
      </c>
      <c r="B7328" t="s">
        <v>4909</v>
      </c>
      <c r="C7328" t="s">
        <v>4909</v>
      </c>
      <c r="D7328" t="s">
        <v>4909</v>
      </c>
      <c r="E7328" t="s">
        <v>4909</v>
      </c>
      <c r="F7328" t="s">
        <v>4909</v>
      </c>
      <c r="G7328" t="s">
        <v>4909</v>
      </c>
      <c r="H7328" t="s">
        <v>4909</v>
      </c>
      <c r="I7328" t="s">
        <v>4909</v>
      </c>
      <c r="J7328" t="s">
        <v>4909</v>
      </c>
      <c r="K7328" t="s">
        <v>4909</v>
      </c>
    </row>
    <row r="7329" spans="1:11" x14ac:dyDescent="0.2">
      <c r="A7329" t="s">
        <v>2045</v>
      </c>
      <c r="B7329" t="s">
        <v>4909</v>
      </c>
      <c r="C7329" t="s">
        <v>4909</v>
      </c>
      <c r="D7329" t="s">
        <v>4909</v>
      </c>
      <c r="E7329" t="s">
        <v>4909</v>
      </c>
      <c r="F7329" t="s">
        <v>4909</v>
      </c>
      <c r="G7329" t="s">
        <v>4909</v>
      </c>
      <c r="H7329" t="s">
        <v>4909</v>
      </c>
      <c r="I7329" t="s">
        <v>4909</v>
      </c>
      <c r="J7329" t="s">
        <v>4909</v>
      </c>
      <c r="K7329" t="s">
        <v>4909</v>
      </c>
    </row>
    <row r="7330" spans="1:11" x14ac:dyDescent="0.2">
      <c r="A7330" t="s">
        <v>2049</v>
      </c>
      <c r="B7330" t="s">
        <v>4909</v>
      </c>
      <c r="C7330" t="s">
        <v>4909</v>
      </c>
      <c r="D7330" t="s">
        <v>4909</v>
      </c>
      <c r="E7330" t="s">
        <v>4909</v>
      </c>
      <c r="F7330" t="s">
        <v>4909</v>
      </c>
      <c r="G7330" t="s">
        <v>4909</v>
      </c>
      <c r="H7330" t="s">
        <v>4909</v>
      </c>
      <c r="I7330" t="s">
        <v>4909</v>
      </c>
      <c r="J7330" t="s">
        <v>4909</v>
      </c>
      <c r="K7330" t="s">
        <v>4909</v>
      </c>
    </row>
    <row r="7331" spans="1:11" x14ac:dyDescent="0.2">
      <c r="A7331" t="s">
        <v>2051</v>
      </c>
      <c r="B7331" s="88">
        <v>0</v>
      </c>
      <c r="C7331" t="s">
        <v>4909</v>
      </c>
      <c r="D7331" t="s">
        <v>4909</v>
      </c>
      <c r="E7331" t="s">
        <v>4909</v>
      </c>
      <c r="F7331" t="s">
        <v>4909</v>
      </c>
      <c r="G7331" t="s">
        <v>4909</v>
      </c>
      <c r="H7331" s="88">
        <v>0</v>
      </c>
      <c r="I7331" t="s">
        <v>4909</v>
      </c>
      <c r="J7331" t="s">
        <v>4909</v>
      </c>
      <c r="K7331" s="88">
        <v>1E-3</v>
      </c>
    </row>
    <row r="7332" spans="1:11" x14ac:dyDescent="0.2">
      <c r="A7332" t="s">
        <v>2057</v>
      </c>
      <c r="B7332" s="88">
        <v>0</v>
      </c>
      <c r="C7332" t="s">
        <v>4909</v>
      </c>
      <c r="D7332" t="s">
        <v>4909</v>
      </c>
      <c r="E7332" t="s">
        <v>4909</v>
      </c>
      <c r="F7332" t="s">
        <v>4909</v>
      </c>
      <c r="G7332" t="s">
        <v>4909</v>
      </c>
      <c r="H7332" s="88">
        <v>0</v>
      </c>
      <c r="I7332" t="s">
        <v>4909</v>
      </c>
      <c r="J7332" t="s">
        <v>4909</v>
      </c>
      <c r="K7332" s="88">
        <v>0</v>
      </c>
    </row>
    <row r="7333" spans="1:11" x14ac:dyDescent="0.2">
      <c r="A7333" t="s">
        <v>4344</v>
      </c>
      <c r="B7333" s="88">
        <v>0</v>
      </c>
      <c r="C7333" t="s">
        <v>4909</v>
      </c>
      <c r="D7333" t="s">
        <v>4909</v>
      </c>
      <c r="E7333" t="s">
        <v>4909</v>
      </c>
      <c r="F7333" t="s">
        <v>4909</v>
      </c>
      <c r="G7333" t="s">
        <v>4909</v>
      </c>
      <c r="H7333" t="s">
        <v>4909</v>
      </c>
      <c r="I7333" t="s">
        <v>4909</v>
      </c>
      <c r="J7333" t="s">
        <v>4909</v>
      </c>
      <c r="K7333" s="88">
        <v>0</v>
      </c>
    </row>
    <row r="7334" spans="1:11" x14ac:dyDescent="0.2">
      <c r="A7334" t="s">
        <v>4345</v>
      </c>
      <c r="B7334" s="88">
        <v>1E-3</v>
      </c>
      <c r="C7334" t="s">
        <v>4909</v>
      </c>
      <c r="D7334" t="s">
        <v>4909</v>
      </c>
      <c r="E7334" t="s">
        <v>4909</v>
      </c>
      <c r="F7334" t="s">
        <v>4909</v>
      </c>
      <c r="G7334" t="s">
        <v>4909</v>
      </c>
      <c r="H7334" s="88">
        <v>0</v>
      </c>
      <c r="I7334" t="s">
        <v>4909</v>
      </c>
      <c r="J7334" t="s">
        <v>4909</v>
      </c>
      <c r="K7334" s="88">
        <v>0</v>
      </c>
    </row>
    <row r="7335" spans="1:11" x14ac:dyDescent="0.2">
      <c r="A7335" t="s">
        <v>2074</v>
      </c>
      <c r="B7335" t="s">
        <v>4909</v>
      </c>
      <c r="C7335" t="s">
        <v>4909</v>
      </c>
      <c r="D7335" t="s">
        <v>4909</v>
      </c>
      <c r="E7335" t="s">
        <v>4909</v>
      </c>
      <c r="F7335" t="s">
        <v>4909</v>
      </c>
      <c r="G7335" t="s">
        <v>4909</v>
      </c>
      <c r="H7335" t="s">
        <v>4909</v>
      </c>
      <c r="I7335" t="s">
        <v>4909</v>
      </c>
      <c r="J7335" t="s">
        <v>4909</v>
      </c>
      <c r="K7335" t="s">
        <v>4909</v>
      </c>
    </row>
    <row r="7336" spans="1:11" x14ac:dyDescent="0.2">
      <c r="A7336" t="s">
        <v>2079</v>
      </c>
      <c r="B7336" t="s">
        <v>4909</v>
      </c>
      <c r="C7336" t="s">
        <v>4909</v>
      </c>
      <c r="D7336" t="s">
        <v>4909</v>
      </c>
      <c r="E7336" t="s">
        <v>4909</v>
      </c>
      <c r="F7336" t="s">
        <v>4909</v>
      </c>
      <c r="G7336" t="s">
        <v>4909</v>
      </c>
      <c r="H7336" t="s">
        <v>4909</v>
      </c>
      <c r="I7336" t="s">
        <v>4909</v>
      </c>
      <c r="J7336" t="s">
        <v>4909</v>
      </c>
      <c r="K7336" t="s">
        <v>4909</v>
      </c>
    </row>
    <row r="7337" spans="1:11" x14ac:dyDescent="0.2">
      <c r="A7337" t="s">
        <v>2085</v>
      </c>
      <c r="B7337" t="s">
        <v>4909</v>
      </c>
      <c r="C7337" t="s">
        <v>4909</v>
      </c>
      <c r="D7337" t="s">
        <v>4909</v>
      </c>
      <c r="E7337" t="s">
        <v>4909</v>
      </c>
      <c r="F7337" t="s">
        <v>4909</v>
      </c>
      <c r="G7337" t="s">
        <v>4909</v>
      </c>
      <c r="H7337" t="s">
        <v>4909</v>
      </c>
      <c r="I7337" t="s">
        <v>4909</v>
      </c>
      <c r="J7337" t="s">
        <v>4909</v>
      </c>
      <c r="K7337" t="s">
        <v>4909</v>
      </c>
    </row>
    <row r="7338" spans="1:11" x14ac:dyDescent="0.2">
      <c r="A7338" t="s">
        <v>2091</v>
      </c>
      <c r="B7338" t="s">
        <v>4909</v>
      </c>
      <c r="C7338" t="s">
        <v>4909</v>
      </c>
      <c r="D7338" t="s">
        <v>4909</v>
      </c>
      <c r="E7338" t="s">
        <v>4909</v>
      </c>
      <c r="F7338" t="s">
        <v>4909</v>
      </c>
      <c r="G7338" t="s">
        <v>4909</v>
      </c>
      <c r="H7338" t="s">
        <v>4909</v>
      </c>
      <c r="I7338" t="s">
        <v>4909</v>
      </c>
      <c r="J7338" t="s">
        <v>4909</v>
      </c>
      <c r="K7338" t="s">
        <v>4909</v>
      </c>
    </row>
    <row r="7339" spans="1:11" x14ac:dyDescent="0.2">
      <c r="A7339" t="s">
        <v>2097</v>
      </c>
      <c r="B7339" t="s">
        <v>4909</v>
      </c>
      <c r="C7339" t="s">
        <v>4909</v>
      </c>
      <c r="D7339" t="s">
        <v>4909</v>
      </c>
      <c r="E7339" t="s">
        <v>4909</v>
      </c>
      <c r="F7339" t="s">
        <v>4909</v>
      </c>
      <c r="G7339" t="s">
        <v>4909</v>
      </c>
      <c r="H7339" t="s">
        <v>4909</v>
      </c>
      <c r="I7339" t="s">
        <v>4909</v>
      </c>
      <c r="J7339" t="s">
        <v>4909</v>
      </c>
      <c r="K7339" t="s">
        <v>4909</v>
      </c>
    </row>
    <row r="7340" spans="1:11" x14ac:dyDescent="0.2">
      <c r="A7340" t="s">
        <v>2101</v>
      </c>
      <c r="B7340" t="s">
        <v>4909</v>
      </c>
      <c r="C7340" t="s">
        <v>4909</v>
      </c>
      <c r="D7340" t="s">
        <v>4909</v>
      </c>
      <c r="E7340" t="s">
        <v>4909</v>
      </c>
      <c r="F7340" t="s">
        <v>4909</v>
      </c>
      <c r="G7340" t="s">
        <v>4909</v>
      </c>
      <c r="H7340" t="s">
        <v>4909</v>
      </c>
      <c r="I7340" t="s">
        <v>4909</v>
      </c>
      <c r="J7340" t="s">
        <v>4909</v>
      </c>
      <c r="K7340" t="s">
        <v>4909</v>
      </c>
    </row>
    <row r="7341" spans="1:11" x14ac:dyDescent="0.2">
      <c r="A7341" t="s">
        <v>2104</v>
      </c>
      <c r="B7341" t="s">
        <v>4909</v>
      </c>
      <c r="C7341" t="s">
        <v>4909</v>
      </c>
      <c r="D7341" t="s">
        <v>4909</v>
      </c>
      <c r="E7341" t="s">
        <v>4909</v>
      </c>
      <c r="F7341" t="s">
        <v>4909</v>
      </c>
      <c r="G7341" t="s">
        <v>4909</v>
      </c>
      <c r="H7341" t="s">
        <v>4909</v>
      </c>
      <c r="I7341" t="s">
        <v>4909</v>
      </c>
      <c r="J7341" t="s">
        <v>4909</v>
      </c>
      <c r="K7341" t="s">
        <v>4909</v>
      </c>
    </row>
    <row r="7342" spans="1:11" x14ac:dyDescent="0.2">
      <c r="A7342" t="s">
        <v>2107</v>
      </c>
      <c r="B7342" t="s">
        <v>4909</v>
      </c>
      <c r="C7342" t="s">
        <v>4909</v>
      </c>
      <c r="D7342" t="s">
        <v>4909</v>
      </c>
      <c r="E7342" t="s">
        <v>4909</v>
      </c>
      <c r="F7342" t="s">
        <v>4909</v>
      </c>
      <c r="G7342" t="s">
        <v>4909</v>
      </c>
      <c r="H7342" t="s">
        <v>4909</v>
      </c>
      <c r="I7342" t="s">
        <v>4909</v>
      </c>
      <c r="J7342" t="s">
        <v>4909</v>
      </c>
      <c r="K7342" t="s">
        <v>4909</v>
      </c>
    </row>
    <row r="7343" spans="1:11" x14ac:dyDescent="0.2">
      <c r="A7343" t="s">
        <v>2110</v>
      </c>
      <c r="B7343" t="s">
        <v>4909</v>
      </c>
      <c r="C7343" t="s">
        <v>4909</v>
      </c>
      <c r="D7343" t="s">
        <v>4909</v>
      </c>
      <c r="E7343" t="s">
        <v>4909</v>
      </c>
      <c r="F7343" t="s">
        <v>4909</v>
      </c>
      <c r="G7343" t="s">
        <v>4909</v>
      </c>
      <c r="H7343" t="s">
        <v>4909</v>
      </c>
      <c r="I7343" t="s">
        <v>4909</v>
      </c>
      <c r="J7343" t="s">
        <v>4909</v>
      </c>
      <c r="K7343" t="s">
        <v>4909</v>
      </c>
    </row>
    <row r="7344" spans="1:11" x14ac:dyDescent="0.2">
      <c r="A7344" t="s">
        <v>2113</v>
      </c>
      <c r="B7344" t="s">
        <v>4909</v>
      </c>
      <c r="C7344" t="s">
        <v>4909</v>
      </c>
      <c r="D7344" t="s">
        <v>4909</v>
      </c>
      <c r="E7344" t="s">
        <v>4909</v>
      </c>
      <c r="F7344" t="s">
        <v>4909</v>
      </c>
      <c r="G7344" t="s">
        <v>4909</v>
      </c>
      <c r="H7344" t="s">
        <v>4909</v>
      </c>
      <c r="I7344" t="s">
        <v>4909</v>
      </c>
      <c r="J7344" t="s">
        <v>4909</v>
      </c>
      <c r="K7344" t="s">
        <v>4909</v>
      </c>
    </row>
    <row r="7345" spans="1:11" x14ac:dyDescent="0.2">
      <c r="A7345" t="s">
        <v>4346</v>
      </c>
      <c r="B7345" t="s">
        <v>4909</v>
      </c>
      <c r="C7345" t="s">
        <v>4909</v>
      </c>
      <c r="D7345" t="s">
        <v>4909</v>
      </c>
      <c r="E7345" t="s">
        <v>4909</v>
      </c>
      <c r="F7345" t="s">
        <v>4909</v>
      </c>
      <c r="G7345" t="s">
        <v>4909</v>
      </c>
      <c r="H7345" t="s">
        <v>4909</v>
      </c>
      <c r="I7345" t="s">
        <v>4909</v>
      </c>
      <c r="J7345" t="s">
        <v>4909</v>
      </c>
      <c r="K7345" t="s">
        <v>4909</v>
      </c>
    </row>
    <row r="7346" spans="1:11" x14ac:dyDescent="0.2">
      <c r="A7346" t="s">
        <v>4347</v>
      </c>
      <c r="B7346" t="s">
        <v>4909</v>
      </c>
      <c r="C7346" t="s">
        <v>4909</v>
      </c>
      <c r="D7346" t="s">
        <v>4909</v>
      </c>
      <c r="E7346" t="s">
        <v>4909</v>
      </c>
      <c r="F7346" t="s">
        <v>4909</v>
      </c>
      <c r="G7346" t="s">
        <v>4909</v>
      </c>
      <c r="H7346" t="s">
        <v>4909</v>
      </c>
      <c r="I7346" t="s">
        <v>4909</v>
      </c>
      <c r="J7346" t="s">
        <v>4909</v>
      </c>
      <c r="K7346" t="s">
        <v>4909</v>
      </c>
    </row>
    <row r="7347" spans="1:11" x14ac:dyDescent="0.2">
      <c r="A7347" t="s">
        <v>4348</v>
      </c>
      <c r="B7347" t="s">
        <v>4909</v>
      </c>
      <c r="C7347" t="s">
        <v>4909</v>
      </c>
      <c r="D7347" t="s">
        <v>4909</v>
      </c>
      <c r="E7347" t="s">
        <v>4909</v>
      </c>
      <c r="F7347" t="s">
        <v>4909</v>
      </c>
      <c r="G7347" t="s">
        <v>4909</v>
      </c>
      <c r="H7347" t="s">
        <v>4909</v>
      </c>
      <c r="I7347" t="s">
        <v>4909</v>
      </c>
      <c r="J7347" t="s">
        <v>4909</v>
      </c>
      <c r="K7347" t="s">
        <v>4909</v>
      </c>
    </row>
    <row r="7348" spans="1:11" x14ac:dyDescent="0.2">
      <c r="A7348" t="s">
        <v>4349</v>
      </c>
      <c r="B7348" t="s">
        <v>4909</v>
      </c>
      <c r="C7348" t="s">
        <v>4909</v>
      </c>
      <c r="D7348" t="s">
        <v>4909</v>
      </c>
      <c r="E7348" t="s">
        <v>4909</v>
      </c>
      <c r="F7348" t="s">
        <v>4909</v>
      </c>
      <c r="G7348" t="s">
        <v>4909</v>
      </c>
      <c r="H7348" t="s">
        <v>4909</v>
      </c>
      <c r="I7348" t="s">
        <v>4909</v>
      </c>
      <c r="J7348" t="s">
        <v>4909</v>
      </c>
      <c r="K7348" t="s">
        <v>4909</v>
      </c>
    </row>
    <row r="7349" spans="1:11" x14ac:dyDescent="0.2">
      <c r="A7349" t="s">
        <v>4350</v>
      </c>
      <c r="B7349" t="s">
        <v>4909</v>
      </c>
      <c r="C7349" t="s">
        <v>4909</v>
      </c>
      <c r="D7349" t="s">
        <v>4909</v>
      </c>
      <c r="E7349" t="s">
        <v>4909</v>
      </c>
      <c r="F7349" t="s">
        <v>4909</v>
      </c>
      <c r="G7349" t="s">
        <v>4909</v>
      </c>
      <c r="H7349" s="88">
        <v>0</v>
      </c>
      <c r="I7349" t="s">
        <v>4909</v>
      </c>
      <c r="J7349" t="s">
        <v>4909</v>
      </c>
      <c r="K7349" s="88">
        <v>0</v>
      </c>
    </row>
    <row r="7350" spans="1:11" x14ac:dyDescent="0.2">
      <c r="A7350" t="s">
        <v>4351</v>
      </c>
      <c r="B7350" t="s">
        <v>4909</v>
      </c>
      <c r="C7350" t="s">
        <v>4909</v>
      </c>
      <c r="D7350" t="s">
        <v>4909</v>
      </c>
      <c r="E7350" t="s">
        <v>4909</v>
      </c>
      <c r="F7350" t="s">
        <v>4909</v>
      </c>
      <c r="G7350" t="s">
        <v>4909</v>
      </c>
      <c r="H7350" t="s">
        <v>4909</v>
      </c>
      <c r="I7350" t="s">
        <v>4909</v>
      </c>
      <c r="J7350" t="s">
        <v>4909</v>
      </c>
      <c r="K7350" t="s">
        <v>4909</v>
      </c>
    </row>
    <row r="7351" spans="1:11" x14ac:dyDescent="0.2">
      <c r="A7351" t="s">
        <v>4352</v>
      </c>
      <c r="B7351" t="s">
        <v>4909</v>
      </c>
      <c r="C7351" t="s">
        <v>4909</v>
      </c>
      <c r="D7351" t="s">
        <v>4909</v>
      </c>
      <c r="E7351" t="s">
        <v>4909</v>
      </c>
      <c r="F7351" t="s">
        <v>4909</v>
      </c>
      <c r="G7351" t="s">
        <v>4909</v>
      </c>
      <c r="H7351" t="s">
        <v>4909</v>
      </c>
      <c r="I7351" t="s">
        <v>4909</v>
      </c>
      <c r="J7351" t="s">
        <v>4909</v>
      </c>
      <c r="K7351" t="s">
        <v>4909</v>
      </c>
    </row>
    <row r="7352" spans="1:11" x14ac:dyDescent="0.2">
      <c r="A7352" t="s">
        <v>4353</v>
      </c>
      <c r="B7352" s="88">
        <v>1E-3</v>
      </c>
      <c r="C7352" t="s">
        <v>4909</v>
      </c>
      <c r="D7352" t="s">
        <v>4909</v>
      </c>
      <c r="E7352" t="s">
        <v>4909</v>
      </c>
      <c r="F7352" t="s">
        <v>4909</v>
      </c>
      <c r="G7352" t="s">
        <v>4909</v>
      </c>
      <c r="H7352" s="88">
        <v>1E-3</v>
      </c>
      <c r="I7352" t="s">
        <v>4909</v>
      </c>
      <c r="J7352" t="s">
        <v>4909</v>
      </c>
      <c r="K7352" s="88">
        <v>0.01</v>
      </c>
    </row>
    <row r="7353" spans="1:11" x14ac:dyDescent="0.2">
      <c r="A7353" t="s">
        <v>4354</v>
      </c>
      <c r="B7353" s="88">
        <v>1E-3</v>
      </c>
      <c r="C7353" t="s">
        <v>4909</v>
      </c>
      <c r="D7353" t="s">
        <v>4909</v>
      </c>
      <c r="E7353" t="s">
        <v>4909</v>
      </c>
      <c r="F7353" t="s">
        <v>4909</v>
      </c>
      <c r="G7353" t="s">
        <v>4909</v>
      </c>
      <c r="H7353" s="88">
        <v>1E-3</v>
      </c>
      <c r="I7353" t="s">
        <v>4909</v>
      </c>
      <c r="J7353" t="s">
        <v>4909</v>
      </c>
      <c r="K7353" s="88">
        <v>8.9999999999999993E-3</v>
      </c>
    </row>
    <row r="7354" spans="1:11" x14ac:dyDescent="0.2">
      <c r="A7354" t="s">
        <v>4355</v>
      </c>
      <c r="B7354" t="s">
        <v>4909</v>
      </c>
      <c r="C7354" t="s">
        <v>4909</v>
      </c>
      <c r="D7354" t="s">
        <v>4909</v>
      </c>
      <c r="E7354" t="s">
        <v>4909</v>
      </c>
      <c r="F7354" t="s">
        <v>4909</v>
      </c>
      <c r="G7354" t="s">
        <v>4909</v>
      </c>
      <c r="H7354" t="s">
        <v>4909</v>
      </c>
      <c r="I7354" t="s">
        <v>4909</v>
      </c>
      <c r="J7354" t="s">
        <v>4909</v>
      </c>
      <c r="K7354" t="s">
        <v>4909</v>
      </c>
    </row>
    <row r="7355" spans="1:11" x14ac:dyDescent="0.2">
      <c r="A7355" t="s">
        <v>4356</v>
      </c>
      <c r="B7355" t="s">
        <v>4909</v>
      </c>
      <c r="C7355" t="s">
        <v>4909</v>
      </c>
      <c r="D7355" t="s">
        <v>4909</v>
      </c>
      <c r="E7355" t="s">
        <v>4909</v>
      </c>
      <c r="F7355" t="s">
        <v>4909</v>
      </c>
      <c r="G7355" t="s">
        <v>4909</v>
      </c>
      <c r="H7355" t="s">
        <v>4909</v>
      </c>
      <c r="I7355" t="s">
        <v>4909</v>
      </c>
      <c r="J7355" t="s">
        <v>4909</v>
      </c>
      <c r="K7355" t="s">
        <v>4909</v>
      </c>
    </row>
    <row r="7356" spans="1:11" x14ac:dyDescent="0.2">
      <c r="A7356" t="s">
        <v>4357</v>
      </c>
      <c r="B7356" t="s">
        <v>4909</v>
      </c>
      <c r="C7356" t="s">
        <v>4909</v>
      </c>
      <c r="D7356" t="s">
        <v>4909</v>
      </c>
      <c r="E7356" t="s">
        <v>4909</v>
      </c>
      <c r="F7356" t="s">
        <v>4909</v>
      </c>
      <c r="G7356" t="s">
        <v>4909</v>
      </c>
      <c r="H7356" t="s">
        <v>4909</v>
      </c>
      <c r="I7356" t="s">
        <v>4909</v>
      </c>
      <c r="J7356" t="s">
        <v>4909</v>
      </c>
      <c r="K7356" t="s">
        <v>4909</v>
      </c>
    </row>
    <row r="7357" spans="1:11" x14ac:dyDescent="0.2">
      <c r="A7357" t="s">
        <v>4358</v>
      </c>
      <c r="B7357" t="s">
        <v>4909</v>
      </c>
      <c r="C7357" t="s">
        <v>4909</v>
      </c>
      <c r="D7357" t="s">
        <v>4909</v>
      </c>
      <c r="E7357" t="s">
        <v>4909</v>
      </c>
      <c r="F7357" t="s">
        <v>4909</v>
      </c>
      <c r="G7357" t="s">
        <v>4909</v>
      </c>
      <c r="H7357" t="s">
        <v>4909</v>
      </c>
      <c r="I7357" t="s">
        <v>4909</v>
      </c>
      <c r="J7357" t="s">
        <v>4909</v>
      </c>
      <c r="K7357" t="s">
        <v>4909</v>
      </c>
    </row>
    <row r="7358" spans="1:11" x14ac:dyDescent="0.2">
      <c r="A7358" t="s">
        <v>4359</v>
      </c>
      <c r="B7358" t="s">
        <v>4909</v>
      </c>
      <c r="C7358" t="s">
        <v>4909</v>
      </c>
      <c r="D7358" t="s">
        <v>4909</v>
      </c>
      <c r="E7358" t="s">
        <v>4909</v>
      </c>
      <c r="F7358" t="s">
        <v>4909</v>
      </c>
      <c r="G7358" t="s">
        <v>4909</v>
      </c>
      <c r="H7358" t="s">
        <v>4909</v>
      </c>
      <c r="I7358" t="s">
        <v>4909</v>
      </c>
      <c r="J7358" t="s">
        <v>4909</v>
      </c>
      <c r="K7358" t="s">
        <v>4909</v>
      </c>
    </row>
    <row r="7359" spans="1:11" x14ac:dyDescent="0.2">
      <c r="A7359" t="s">
        <v>4360</v>
      </c>
      <c r="B7359" s="88">
        <v>0</v>
      </c>
      <c r="C7359" t="s">
        <v>4909</v>
      </c>
      <c r="D7359" t="s">
        <v>4909</v>
      </c>
      <c r="E7359" t="s">
        <v>4909</v>
      </c>
      <c r="F7359" t="s">
        <v>4909</v>
      </c>
      <c r="G7359" t="s">
        <v>4909</v>
      </c>
      <c r="H7359" t="s">
        <v>4909</v>
      </c>
      <c r="I7359" t="s">
        <v>4909</v>
      </c>
      <c r="J7359" t="s">
        <v>4909</v>
      </c>
      <c r="K7359" s="88">
        <v>0</v>
      </c>
    </row>
    <row r="7360" spans="1:11" x14ac:dyDescent="0.2">
      <c r="A7360" t="s">
        <v>4361</v>
      </c>
      <c r="B7360" t="s">
        <v>4909</v>
      </c>
      <c r="C7360" t="s">
        <v>4909</v>
      </c>
      <c r="D7360" t="s">
        <v>4909</v>
      </c>
      <c r="E7360" t="s">
        <v>4909</v>
      </c>
      <c r="F7360" t="s">
        <v>4909</v>
      </c>
      <c r="G7360" t="s">
        <v>4909</v>
      </c>
      <c r="H7360" s="88">
        <v>0</v>
      </c>
      <c r="I7360" t="s">
        <v>4909</v>
      </c>
      <c r="J7360" t="s">
        <v>4909</v>
      </c>
      <c r="K7360" s="88">
        <v>1E-3</v>
      </c>
    </row>
    <row r="7361" spans="1:11" x14ac:dyDescent="0.2">
      <c r="A7361" t="s">
        <v>4362</v>
      </c>
      <c r="B7361" t="s">
        <v>4909</v>
      </c>
      <c r="C7361" t="s">
        <v>4909</v>
      </c>
      <c r="D7361" t="s">
        <v>4909</v>
      </c>
      <c r="E7361" t="s">
        <v>4909</v>
      </c>
      <c r="F7361" t="s">
        <v>4909</v>
      </c>
      <c r="G7361" t="s">
        <v>4909</v>
      </c>
      <c r="H7361" t="s">
        <v>4909</v>
      </c>
      <c r="I7361" t="s">
        <v>4909</v>
      </c>
      <c r="J7361" t="s">
        <v>4909</v>
      </c>
      <c r="K7361" t="s">
        <v>4909</v>
      </c>
    </row>
    <row r="7362" spans="1:11" x14ac:dyDescent="0.2">
      <c r="A7362" t="s">
        <v>4363</v>
      </c>
      <c r="B7362" t="s">
        <v>4909</v>
      </c>
      <c r="C7362" t="s">
        <v>4909</v>
      </c>
      <c r="D7362" t="s">
        <v>4909</v>
      </c>
      <c r="E7362" t="s">
        <v>4909</v>
      </c>
      <c r="F7362" t="s">
        <v>4909</v>
      </c>
      <c r="G7362" t="s">
        <v>4909</v>
      </c>
      <c r="H7362" t="s">
        <v>4909</v>
      </c>
      <c r="I7362" t="s">
        <v>4909</v>
      </c>
      <c r="J7362" t="s">
        <v>4909</v>
      </c>
      <c r="K7362" t="s">
        <v>4909</v>
      </c>
    </row>
    <row r="7363" spans="1:11" x14ac:dyDescent="0.2">
      <c r="A7363" t="s">
        <v>4364</v>
      </c>
      <c r="B7363" t="s">
        <v>4909</v>
      </c>
      <c r="C7363" t="s">
        <v>4909</v>
      </c>
      <c r="D7363" t="s">
        <v>4909</v>
      </c>
      <c r="E7363" t="s">
        <v>4909</v>
      </c>
      <c r="F7363" t="s">
        <v>4909</v>
      </c>
      <c r="G7363" t="s">
        <v>4909</v>
      </c>
      <c r="H7363" t="s">
        <v>4909</v>
      </c>
      <c r="I7363" t="s">
        <v>4909</v>
      </c>
      <c r="J7363" t="s">
        <v>4909</v>
      </c>
      <c r="K7363" t="s">
        <v>4909</v>
      </c>
    </row>
    <row r="7364" spans="1:11" x14ac:dyDescent="0.2">
      <c r="A7364" t="s">
        <v>4365</v>
      </c>
      <c r="B7364" t="s">
        <v>4909</v>
      </c>
      <c r="C7364" t="s">
        <v>4909</v>
      </c>
      <c r="D7364" t="s">
        <v>4909</v>
      </c>
      <c r="E7364" t="s">
        <v>4909</v>
      </c>
      <c r="F7364" t="s">
        <v>4909</v>
      </c>
      <c r="G7364" t="s">
        <v>4909</v>
      </c>
      <c r="H7364" s="88">
        <v>0</v>
      </c>
      <c r="I7364" t="s">
        <v>4909</v>
      </c>
      <c r="J7364" t="s">
        <v>4909</v>
      </c>
      <c r="K7364" s="88">
        <v>4.0000000000000001E-3</v>
      </c>
    </row>
    <row r="7365" spans="1:11" x14ac:dyDescent="0.2">
      <c r="A7365" t="s">
        <v>4366</v>
      </c>
      <c r="B7365" t="s">
        <v>4909</v>
      </c>
      <c r="C7365" t="s">
        <v>4909</v>
      </c>
      <c r="D7365" t="s">
        <v>4909</v>
      </c>
      <c r="E7365" t="s">
        <v>4909</v>
      </c>
      <c r="F7365" t="s">
        <v>4909</v>
      </c>
      <c r="G7365" t="s">
        <v>4909</v>
      </c>
      <c r="H7365" t="s">
        <v>4909</v>
      </c>
      <c r="I7365" t="s">
        <v>4909</v>
      </c>
      <c r="J7365" t="s">
        <v>4909</v>
      </c>
      <c r="K7365" t="s">
        <v>4909</v>
      </c>
    </row>
    <row r="7366" spans="1:11" x14ac:dyDescent="0.2">
      <c r="A7366" t="s">
        <v>4367</v>
      </c>
      <c r="B7366" t="s">
        <v>4909</v>
      </c>
      <c r="C7366" t="s">
        <v>4909</v>
      </c>
      <c r="D7366" t="s">
        <v>4909</v>
      </c>
      <c r="E7366" t="s">
        <v>4909</v>
      </c>
      <c r="F7366" t="s">
        <v>4909</v>
      </c>
      <c r="G7366" t="s">
        <v>4909</v>
      </c>
      <c r="H7366" t="s">
        <v>4909</v>
      </c>
      <c r="I7366" t="s">
        <v>4909</v>
      </c>
      <c r="J7366" t="s">
        <v>4909</v>
      </c>
      <c r="K7366" t="s">
        <v>4909</v>
      </c>
    </row>
    <row r="7367" spans="1:11" x14ac:dyDescent="0.2">
      <c r="A7367" t="s">
        <v>4368</v>
      </c>
      <c r="B7367" s="88">
        <v>0</v>
      </c>
      <c r="C7367" t="s">
        <v>4909</v>
      </c>
      <c r="D7367" t="s">
        <v>4909</v>
      </c>
      <c r="E7367" s="88">
        <v>0</v>
      </c>
      <c r="F7367" t="s">
        <v>4909</v>
      </c>
      <c r="G7367" t="s">
        <v>4909</v>
      </c>
      <c r="H7367" s="88">
        <v>0</v>
      </c>
      <c r="I7367" t="s">
        <v>4909</v>
      </c>
      <c r="J7367" t="s">
        <v>4909</v>
      </c>
      <c r="K7367" s="88">
        <v>1.0999999999999999E-2</v>
      </c>
    </row>
    <row r="7368" spans="1:11" x14ac:dyDescent="0.2">
      <c r="A7368" t="s">
        <v>4369</v>
      </c>
      <c r="B7368" s="88">
        <v>0</v>
      </c>
      <c r="C7368" t="s">
        <v>4909</v>
      </c>
      <c r="D7368" t="s">
        <v>4909</v>
      </c>
      <c r="E7368" s="88">
        <v>0</v>
      </c>
      <c r="F7368" s="88">
        <v>0</v>
      </c>
      <c r="G7368" t="s">
        <v>4909</v>
      </c>
      <c r="H7368" s="88">
        <v>0</v>
      </c>
      <c r="I7368" t="s">
        <v>4909</v>
      </c>
      <c r="J7368" t="s">
        <v>4909</v>
      </c>
      <c r="K7368" s="88">
        <v>5.0000000000000001E-3</v>
      </c>
    </row>
    <row r="7369" spans="1:11" x14ac:dyDescent="0.2">
      <c r="A7369" t="s">
        <v>4370</v>
      </c>
      <c r="B7369" t="s">
        <v>4909</v>
      </c>
      <c r="C7369" t="s">
        <v>4909</v>
      </c>
      <c r="D7369" t="s">
        <v>4909</v>
      </c>
      <c r="E7369" t="s">
        <v>4909</v>
      </c>
      <c r="F7369" t="s">
        <v>4909</v>
      </c>
      <c r="G7369" t="s">
        <v>4909</v>
      </c>
      <c r="H7369" t="s">
        <v>4909</v>
      </c>
      <c r="I7369" t="s">
        <v>4909</v>
      </c>
      <c r="J7369" t="s">
        <v>4909</v>
      </c>
      <c r="K7369" s="88">
        <v>0</v>
      </c>
    </row>
    <row r="7370" spans="1:11" x14ac:dyDescent="0.2">
      <c r="A7370" t="s">
        <v>4371</v>
      </c>
      <c r="B7370" t="s">
        <v>4909</v>
      </c>
      <c r="C7370" t="s">
        <v>4909</v>
      </c>
      <c r="D7370" t="s">
        <v>4909</v>
      </c>
      <c r="E7370" t="s">
        <v>4909</v>
      </c>
      <c r="F7370" t="s">
        <v>4909</v>
      </c>
      <c r="G7370" t="s">
        <v>4909</v>
      </c>
      <c r="H7370" t="s">
        <v>4909</v>
      </c>
      <c r="I7370" t="s">
        <v>4909</v>
      </c>
      <c r="J7370" t="s">
        <v>4909</v>
      </c>
      <c r="K7370" t="s">
        <v>4909</v>
      </c>
    </row>
    <row r="7371" spans="1:11" x14ac:dyDescent="0.2">
      <c r="A7371" t="s">
        <v>4372</v>
      </c>
      <c r="B7371" t="s">
        <v>4909</v>
      </c>
      <c r="C7371" t="s">
        <v>4909</v>
      </c>
      <c r="D7371" t="s">
        <v>4909</v>
      </c>
      <c r="E7371" t="s">
        <v>4909</v>
      </c>
      <c r="F7371" t="s">
        <v>4909</v>
      </c>
      <c r="G7371" t="s">
        <v>4909</v>
      </c>
      <c r="H7371" t="s">
        <v>4909</v>
      </c>
      <c r="I7371" t="s">
        <v>4909</v>
      </c>
      <c r="J7371" t="s">
        <v>4909</v>
      </c>
      <c r="K7371" t="s">
        <v>4909</v>
      </c>
    </row>
    <row r="7372" spans="1:11" x14ac:dyDescent="0.2">
      <c r="A7372" t="s">
        <v>4373</v>
      </c>
      <c r="B7372" t="s">
        <v>4909</v>
      </c>
      <c r="C7372" t="s">
        <v>4909</v>
      </c>
      <c r="D7372" t="s">
        <v>4909</v>
      </c>
      <c r="E7372" t="s">
        <v>4909</v>
      </c>
      <c r="F7372" t="s">
        <v>4909</v>
      </c>
      <c r="G7372" t="s">
        <v>4909</v>
      </c>
      <c r="H7372" s="88">
        <v>0</v>
      </c>
      <c r="I7372" t="s">
        <v>4909</v>
      </c>
      <c r="J7372" t="s">
        <v>4909</v>
      </c>
      <c r="K7372" s="88">
        <v>0</v>
      </c>
    </row>
    <row r="7373" spans="1:11" x14ac:dyDescent="0.2">
      <c r="A7373" t="s">
        <v>4374</v>
      </c>
      <c r="B7373" t="s">
        <v>4909</v>
      </c>
      <c r="C7373" t="s">
        <v>4909</v>
      </c>
      <c r="D7373" t="s">
        <v>4909</v>
      </c>
      <c r="E7373" t="s">
        <v>4909</v>
      </c>
      <c r="F7373" t="s">
        <v>4909</v>
      </c>
      <c r="G7373" t="s">
        <v>4909</v>
      </c>
      <c r="H7373" t="s">
        <v>4909</v>
      </c>
      <c r="I7373" t="s">
        <v>4909</v>
      </c>
      <c r="J7373" t="s">
        <v>4909</v>
      </c>
      <c r="K7373" t="s">
        <v>4909</v>
      </c>
    </row>
    <row r="7374" spans="1:11" x14ac:dyDescent="0.2">
      <c r="A7374" t="s">
        <v>4375</v>
      </c>
      <c r="B7374" t="s">
        <v>4909</v>
      </c>
      <c r="C7374" t="s">
        <v>4909</v>
      </c>
      <c r="D7374" t="s">
        <v>4909</v>
      </c>
      <c r="E7374" t="s">
        <v>4909</v>
      </c>
      <c r="F7374" t="s">
        <v>4909</v>
      </c>
      <c r="G7374" t="s">
        <v>4909</v>
      </c>
      <c r="H7374" s="88">
        <v>0</v>
      </c>
      <c r="I7374" t="s">
        <v>4909</v>
      </c>
      <c r="J7374" t="s">
        <v>4909</v>
      </c>
      <c r="K7374" s="88">
        <v>0</v>
      </c>
    </row>
    <row r="7375" spans="1:11" x14ac:dyDescent="0.2">
      <c r="A7375" t="s">
        <v>4376</v>
      </c>
      <c r="B7375" t="s">
        <v>4909</v>
      </c>
      <c r="C7375" t="s">
        <v>4909</v>
      </c>
      <c r="D7375" t="s">
        <v>4909</v>
      </c>
      <c r="E7375" t="s">
        <v>4909</v>
      </c>
      <c r="F7375" t="s">
        <v>4909</v>
      </c>
      <c r="G7375" t="s">
        <v>4909</v>
      </c>
      <c r="H7375" t="s">
        <v>4909</v>
      </c>
      <c r="I7375" t="s">
        <v>4909</v>
      </c>
      <c r="J7375" t="s">
        <v>4909</v>
      </c>
      <c r="K7375" t="s">
        <v>4909</v>
      </c>
    </row>
    <row r="7376" spans="1:11" x14ac:dyDescent="0.2">
      <c r="A7376" t="s">
        <v>4377</v>
      </c>
      <c r="B7376" t="s">
        <v>4909</v>
      </c>
      <c r="C7376" t="s">
        <v>4909</v>
      </c>
      <c r="D7376" t="s">
        <v>4909</v>
      </c>
      <c r="E7376" t="s">
        <v>4909</v>
      </c>
      <c r="F7376" t="s">
        <v>4909</v>
      </c>
      <c r="G7376" t="s">
        <v>4909</v>
      </c>
      <c r="H7376" s="88">
        <v>0</v>
      </c>
      <c r="I7376" t="s">
        <v>4909</v>
      </c>
      <c r="J7376" t="s">
        <v>4909</v>
      </c>
      <c r="K7376" s="88">
        <v>0</v>
      </c>
    </row>
    <row r="7377" spans="1:11" x14ac:dyDescent="0.2">
      <c r="A7377" t="s">
        <v>2318</v>
      </c>
      <c r="B7377" t="s">
        <v>4399</v>
      </c>
      <c r="C7377" t="s">
        <v>4399</v>
      </c>
      <c r="D7377" t="s">
        <v>4399</v>
      </c>
      <c r="E7377" t="s">
        <v>4399</v>
      </c>
      <c r="F7377" t="s">
        <v>4399</v>
      </c>
      <c r="G7377" t="s">
        <v>4399</v>
      </c>
      <c r="H7377" t="s">
        <v>4399</v>
      </c>
      <c r="I7377" t="s">
        <v>4399</v>
      </c>
      <c r="J7377" t="s">
        <v>4399</v>
      </c>
      <c r="K7377" t="s">
        <v>4399</v>
      </c>
    </row>
    <row r="7378" spans="1:11" x14ac:dyDescent="0.2">
      <c r="A7378" t="s">
        <v>4248</v>
      </c>
    </row>
    <row r="7379" spans="1:11" x14ac:dyDescent="0.2">
      <c r="A7379" t="s">
        <v>4910</v>
      </c>
      <c r="B7379" t="s">
        <v>4904</v>
      </c>
      <c r="C7379" t="s">
        <v>4911</v>
      </c>
      <c r="D7379" t="s">
        <v>4912</v>
      </c>
      <c r="E7379" t="s">
        <v>4907</v>
      </c>
      <c r="F7379" t="s">
        <v>4913</v>
      </c>
      <c r="G7379">
        <v>12</v>
      </c>
    </row>
    <row r="7380" spans="1:11" x14ac:dyDescent="0.2">
      <c r="A7380" t="s">
        <v>2318</v>
      </c>
      <c r="B7380" t="s">
        <v>4399</v>
      </c>
      <c r="C7380" t="s">
        <v>4399</v>
      </c>
      <c r="D7380" t="s">
        <v>4399</v>
      </c>
      <c r="E7380" t="s">
        <v>4399</v>
      </c>
      <c r="F7380" t="s">
        <v>4399</v>
      </c>
      <c r="G7380" t="s">
        <v>4399</v>
      </c>
      <c r="H7380" t="s">
        <v>4399</v>
      </c>
      <c r="I7380" t="s">
        <v>4399</v>
      </c>
      <c r="J7380" t="s">
        <v>4399</v>
      </c>
      <c r="K7380" t="s">
        <v>4399</v>
      </c>
    </row>
    <row r="7381" spans="1:11" x14ac:dyDescent="0.2">
      <c r="A7381" t="s">
        <v>126</v>
      </c>
      <c r="B7381" t="s">
        <v>4804</v>
      </c>
      <c r="C7381" t="s">
        <v>4808</v>
      </c>
      <c r="D7381" t="s">
        <v>437</v>
      </c>
      <c r="E7381" t="s">
        <v>438</v>
      </c>
      <c r="F7381" t="s">
        <v>4818</v>
      </c>
      <c r="G7381" t="s">
        <v>4822</v>
      </c>
      <c r="H7381" t="s">
        <v>4826</v>
      </c>
      <c r="I7381" t="s">
        <v>4830</v>
      </c>
      <c r="J7381" t="s">
        <v>4834</v>
      </c>
      <c r="K7381" t="s">
        <v>4838</v>
      </c>
    </row>
    <row r="7382" spans="1:11" x14ac:dyDescent="0.2">
      <c r="A7382" t="s">
        <v>2318</v>
      </c>
      <c r="B7382" t="s">
        <v>4399</v>
      </c>
      <c r="C7382" t="s">
        <v>4399</v>
      </c>
      <c r="D7382" t="s">
        <v>4399</v>
      </c>
      <c r="E7382" t="s">
        <v>4399</v>
      </c>
      <c r="F7382" t="s">
        <v>4399</v>
      </c>
      <c r="G7382" t="s">
        <v>4399</v>
      </c>
      <c r="H7382" t="s">
        <v>4399</v>
      </c>
      <c r="I7382" t="s">
        <v>4399</v>
      </c>
      <c r="J7382" t="s">
        <v>4399</v>
      </c>
      <c r="K7382" t="s">
        <v>4399</v>
      </c>
    </row>
    <row r="7383" spans="1:11" x14ac:dyDescent="0.2">
      <c r="A7383" t="s">
        <v>4265</v>
      </c>
      <c r="B7383" t="s">
        <v>4909</v>
      </c>
      <c r="C7383" t="s">
        <v>4909</v>
      </c>
      <c r="D7383" t="s">
        <v>4909</v>
      </c>
      <c r="E7383" t="s">
        <v>4909</v>
      </c>
      <c r="F7383" t="s">
        <v>4909</v>
      </c>
      <c r="G7383" t="s">
        <v>4909</v>
      </c>
      <c r="H7383" t="s">
        <v>4909</v>
      </c>
      <c r="I7383" t="s">
        <v>4909</v>
      </c>
      <c r="J7383" t="s">
        <v>4909</v>
      </c>
      <c r="K7383" t="s">
        <v>4909</v>
      </c>
    </row>
    <row r="7384" spans="1:11" x14ac:dyDescent="0.2">
      <c r="A7384" t="s">
        <v>4266</v>
      </c>
      <c r="B7384" t="s">
        <v>4909</v>
      </c>
      <c r="C7384" t="s">
        <v>4909</v>
      </c>
      <c r="D7384" t="s">
        <v>4909</v>
      </c>
      <c r="E7384" t="s">
        <v>4909</v>
      </c>
      <c r="F7384" t="s">
        <v>4909</v>
      </c>
      <c r="G7384" t="s">
        <v>4909</v>
      </c>
      <c r="H7384" t="s">
        <v>4909</v>
      </c>
      <c r="I7384" t="s">
        <v>4909</v>
      </c>
      <c r="J7384" t="s">
        <v>4909</v>
      </c>
      <c r="K7384" t="s">
        <v>4909</v>
      </c>
    </row>
    <row r="7385" spans="1:11" x14ac:dyDescent="0.2">
      <c r="A7385" t="s">
        <v>4267</v>
      </c>
      <c r="B7385" t="s">
        <v>4909</v>
      </c>
      <c r="C7385" t="s">
        <v>4909</v>
      </c>
      <c r="D7385" t="s">
        <v>4909</v>
      </c>
      <c r="E7385" t="s">
        <v>4909</v>
      </c>
      <c r="F7385" t="s">
        <v>4909</v>
      </c>
      <c r="G7385" t="s">
        <v>4909</v>
      </c>
      <c r="H7385" t="s">
        <v>4909</v>
      </c>
      <c r="I7385" t="s">
        <v>4909</v>
      </c>
      <c r="J7385" t="s">
        <v>4909</v>
      </c>
      <c r="K7385" t="s">
        <v>4909</v>
      </c>
    </row>
    <row r="7386" spans="1:11" x14ac:dyDescent="0.2">
      <c r="A7386" t="s">
        <v>4268</v>
      </c>
      <c r="B7386" t="s">
        <v>4909</v>
      </c>
      <c r="C7386" t="s">
        <v>4909</v>
      </c>
      <c r="D7386" t="s">
        <v>4909</v>
      </c>
      <c r="E7386" t="s">
        <v>4909</v>
      </c>
      <c r="F7386" t="s">
        <v>4909</v>
      </c>
      <c r="G7386" t="s">
        <v>4909</v>
      </c>
      <c r="H7386" t="s">
        <v>4909</v>
      </c>
      <c r="I7386" t="s">
        <v>4909</v>
      </c>
      <c r="J7386" t="s">
        <v>4909</v>
      </c>
      <c r="K7386" t="s">
        <v>4909</v>
      </c>
    </row>
    <row r="7387" spans="1:11" x14ac:dyDescent="0.2">
      <c r="A7387" t="s">
        <v>4269</v>
      </c>
      <c r="B7387" t="s">
        <v>4909</v>
      </c>
      <c r="C7387" t="s">
        <v>4909</v>
      </c>
      <c r="D7387" t="s">
        <v>4909</v>
      </c>
      <c r="E7387" t="s">
        <v>4909</v>
      </c>
      <c r="F7387" t="s">
        <v>4909</v>
      </c>
      <c r="G7387" t="s">
        <v>4909</v>
      </c>
      <c r="H7387" t="s">
        <v>4909</v>
      </c>
      <c r="I7387" t="s">
        <v>4909</v>
      </c>
      <c r="J7387" t="s">
        <v>4909</v>
      </c>
      <c r="K7387" t="s">
        <v>4909</v>
      </c>
    </row>
    <row r="7388" spans="1:11" x14ac:dyDescent="0.2">
      <c r="A7388" t="s">
        <v>4270</v>
      </c>
      <c r="B7388" t="s">
        <v>4909</v>
      </c>
      <c r="C7388" t="s">
        <v>4909</v>
      </c>
      <c r="D7388" t="s">
        <v>4909</v>
      </c>
      <c r="E7388" t="s">
        <v>4909</v>
      </c>
      <c r="F7388" t="s">
        <v>4909</v>
      </c>
      <c r="G7388" t="s">
        <v>4909</v>
      </c>
      <c r="H7388" t="s">
        <v>4909</v>
      </c>
      <c r="I7388" t="s">
        <v>4909</v>
      </c>
      <c r="J7388" t="s">
        <v>4909</v>
      </c>
      <c r="K7388" t="s">
        <v>4909</v>
      </c>
    </row>
    <row r="7389" spans="1:11" x14ac:dyDescent="0.2">
      <c r="A7389" t="s">
        <v>4271</v>
      </c>
      <c r="B7389" t="s">
        <v>4909</v>
      </c>
      <c r="C7389" t="s">
        <v>4909</v>
      </c>
      <c r="D7389" t="s">
        <v>4909</v>
      </c>
      <c r="E7389" t="s">
        <v>4909</v>
      </c>
      <c r="F7389" t="s">
        <v>4909</v>
      </c>
      <c r="G7389" t="s">
        <v>4909</v>
      </c>
      <c r="H7389" t="s">
        <v>4909</v>
      </c>
      <c r="I7389" t="s">
        <v>4909</v>
      </c>
      <c r="J7389" t="s">
        <v>4909</v>
      </c>
      <c r="K7389" t="s">
        <v>4909</v>
      </c>
    </row>
    <row r="7390" spans="1:11" x14ac:dyDescent="0.2">
      <c r="A7390" t="s">
        <v>4272</v>
      </c>
      <c r="B7390" t="s">
        <v>4909</v>
      </c>
      <c r="C7390" t="s">
        <v>4909</v>
      </c>
      <c r="D7390" t="s">
        <v>4909</v>
      </c>
      <c r="E7390" t="s">
        <v>4909</v>
      </c>
      <c r="F7390" t="s">
        <v>4909</v>
      </c>
      <c r="G7390" t="s">
        <v>4909</v>
      </c>
      <c r="H7390" t="s">
        <v>4909</v>
      </c>
      <c r="I7390" t="s">
        <v>4909</v>
      </c>
      <c r="J7390" t="s">
        <v>4909</v>
      </c>
      <c r="K7390" t="s">
        <v>4909</v>
      </c>
    </row>
    <row r="7391" spans="1:11" x14ac:dyDescent="0.2">
      <c r="A7391" t="s">
        <v>4273</v>
      </c>
      <c r="B7391" t="s">
        <v>4909</v>
      </c>
      <c r="C7391" t="s">
        <v>4909</v>
      </c>
      <c r="D7391" t="s">
        <v>4909</v>
      </c>
      <c r="E7391" t="s">
        <v>4909</v>
      </c>
      <c r="F7391" t="s">
        <v>4909</v>
      </c>
      <c r="G7391" t="s">
        <v>4909</v>
      </c>
      <c r="H7391" t="s">
        <v>4909</v>
      </c>
      <c r="I7391" t="s">
        <v>4909</v>
      </c>
      <c r="J7391" t="s">
        <v>4909</v>
      </c>
      <c r="K7391" t="s">
        <v>4909</v>
      </c>
    </row>
    <row r="7392" spans="1:11" x14ac:dyDescent="0.2">
      <c r="A7392" t="s">
        <v>4274</v>
      </c>
      <c r="B7392" t="s">
        <v>4909</v>
      </c>
      <c r="C7392" t="s">
        <v>4909</v>
      </c>
      <c r="D7392" t="s">
        <v>4909</v>
      </c>
      <c r="E7392" t="s">
        <v>4909</v>
      </c>
      <c r="F7392" t="s">
        <v>4909</v>
      </c>
      <c r="G7392" t="s">
        <v>4909</v>
      </c>
      <c r="H7392" t="s">
        <v>4909</v>
      </c>
      <c r="I7392" t="s">
        <v>4909</v>
      </c>
      <c r="J7392" t="s">
        <v>4909</v>
      </c>
      <c r="K7392" t="s">
        <v>4909</v>
      </c>
    </row>
    <row r="7393" spans="1:11" x14ac:dyDescent="0.2">
      <c r="A7393" t="s">
        <v>4275</v>
      </c>
      <c r="B7393" t="s">
        <v>4909</v>
      </c>
      <c r="C7393" t="s">
        <v>4909</v>
      </c>
      <c r="D7393" t="s">
        <v>4909</v>
      </c>
      <c r="E7393" t="s">
        <v>4909</v>
      </c>
      <c r="F7393" t="s">
        <v>4909</v>
      </c>
      <c r="G7393" t="s">
        <v>4909</v>
      </c>
      <c r="H7393" t="s">
        <v>4909</v>
      </c>
      <c r="I7393" t="s">
        <v>4909</v>
      </c>
      <c r="J7393" t="s">
        <v>4909</v>
      </c>
      <c r="K7393" t="s">
        <v>4909</v>
      </c>
    </row>
    <row r="7394" spans="1:11" x14ac:dyDescent="0.2">
      <c r="A7394" t="s">
        <v>4276</v>
      </c>
      <c r="B7394" t="s">
        <v>4909</v>
      </c>
      <c r="C7394" t="s">
        <v>4909</v>
      </c>
      <c r="D7394" t="s">
        <v>4909</v>
      </c>
      <c r="E7394" t="s">
        <v>4909</v>
      </c>
      <c r="F7394" t="s">
        <v>4909</v>
      </c>
      <c r="G7394" t="s">
        <v>4909</v>
      </c>
      <c r="H7394" t="s">
        <v>4909</v>
      </c>
      <c r="I7394" t="s">
        <v>4909</v>
      </c>
      <c r="J7394" t="s">
        <v>4909</v>
      </c>
      <c r="K7394" t="s">
        <v>4909</v>
      </c>
    </row>
    <row r="7395" spans="1:11" x14ac:dyDescent="0.2">
      <c r="A7395" t="s">
        <v>4277</v>
      </c>
      <c r="B7395" t="s">
        <v>4909</v>
      </c>
      <c r="C7395" t="s">
        <v>4909</v>
      </c>
      <c r="D7395" t="s">
        <v>4909</v>
      </c>
      <c r="E7395" t="s">
        <v>4909</v>
      </c>
      <c r="F7395" t="s">
        <v>4909</v>
      </c>
      <c r="G7395" t="s">
        <v>4909</v>
      </c>
      <c r="H7395" t="s">
        <v>4909</v>
      </c>
      <c r="I7395" t="s">
        <v>4909</v>
      </c>
      <c r="J7395" t="s">
        <v>4909</v>
      </c>
      <c r="K7395" t="s">
        <v>4909</v>
      </c>
    </row>
    <row r="7396" spans="1:11" x14ac:dyDescent="0.2">
      <c r="A7396" t="s">
        <v>4278</v>
      </c>
      <c r="B7396" t="s">
        <v>4909</v>
      </c>
      <c r="C7396" t="s">
        <v>4909</v>
      </c>
      <c r="D7396" t="s">
        <v>4909</v>
      </c>
      <c r="E7396" t="s">
        <v>4909</v>
      </c>
      <c r="F7396" t="s">
        <v>4909</v>
      </c>
      <c r="G7396" t="s">
        <v>4909</v>
      </c>
      <c r="H7396" t="s">
        <v>4909</v>
      </c>
      <c r="I7396" t="s">
        <v>4909</v>
      </c>
      <c r="J7396" t="s">
        <v>4909</v>
      </c>
      <c r="K7396" t="s">
        <v>4909</v>
      </c>
    </row>
    <row r="7397" spans="1:11" x14ac:dyDescent="0.2">
      <c r="A7397" t="s">
        <v>4279</v>
      </c>
      <c r="B7397" t="s">
        <v>4909</v>
      </c>
      <c r="C7397" t="s">
        <v>4909</v>
      </c>
      <c r="D7397" t="s">
        <v>4909</v>
      </c>
      <c r="E7397" t="s">
        <v>4909</v>
      </c>
      <c r="F7397" t="s">
        <v>4909</v>
      </c>
      <c r="G7397" t="s">
        <v>4909</v>
      </c>
      <c r="H7397" t="s">
        <v>4909</v>
      </c>
      <c r="I7397" t="s">
        <v>4909</v>
      </c>
      <c r="J7397" t="s">
        <v>4909</v>
      </c>
      <c r="K7397" t="s">
        <v>4909</v>
      </c>
    </row>
    <row r="7398" spans="1:11" x14ac:dyDescent="0.2">
      <c r="A7398" t="s">
        <v>4280</v>
      </c>
      <c r="B7398" t="s">
        <v>4909</v>
      </c>
      <c r="C7398" t="s">
        <v>4909</v>
      </c>
      <c r="D7398" t="s">
        <v>4909</v>
      </c>
      <c r="E7398" t="s">
        <v>4909</v>
      </c>
      <c r="F7398" t="s">
        <v>4909</v>
      </c>
      <c r="G7398" t="s">
        <v>4909</v>
      </c>
      <c r="H7398" t="s">
        <v>4909</v>
      </c>
      <c r="I7398" t="s">
        <v>4909</v>
      </c>
      <c r="J7398" t="s">
        <v>4909</v>
      </c>
      <c r="K7398" t="s">
        <v>4909</v>
      </c>
    </row>
    <row r="7399" spans="1:11" x14ac:dyDescent="0.2">
      <c r="A7399" t="s">
        <v>4281</v>
      </c>
      <c r="B7399" t="s">
        <v>4909</v>
      </c>
      <c r="C7399" t="s">
        <v>4909</v>
      </c>
      <c r="D7399" t="s">
        <v>4909</v>
      </c>
      <c r="E7399" s="88">
        <v>0</v>
      </c>
      <c r="F7399" s="88">
        <v>0</v>
      </c>
      <c r="G7399" t="s">
        <v>4909</v>
      </c>
      <c r="H7399" s="88">
        <v>0</v>
      </c>
      <c r="I7399" t="s">
        <v>4909</v>
      </c>
      <c r="J7399" t="s">
        <v>4909</v>
      </c>
      <c r="K7399" t="s">
        <v>4909</v>
      </c>
    </row>
    <row r="7400" spans="1:11" x14ac:dyDescent="0.2">
      <c r="A7400" t="s">
        <v>4282</v>
      </c>
      <c r="B7400" t="s">
        <v>4909</v>
      </c>
      <c r="C7400" t="s">
        <v>4909</v>
      </c>
      <c r="D7400" t="s">
        <v>4909</v>
      </c>
      <c r="E7400" t="s">
        <v>4909</v>
      </c>
      <c r="F7400" s="88">
        <v>0</v>
      </c>
      <c r="G7400" t="s">
        <v>4909</v>
      </c>
      <c r="H7400" s="88">
        <v>0</v>
      </c>
      <c r="I7400" t="s">
        <v>4909</v>
      </c>
      <c r="J7400" t="s">
        <v>4909</v>
      </c>
      <c r="K7400" t="s">
        <v>4909</v>
      </c>
    </row>
    <row r="7401" spans="1:11" x14ac:dyDescent="0.2">
      <c r="A7401" t="s">
        <v>4283</v>
      </c>
      <c r="B7401" t="s">
        <v>4909</v>
      </c>
      <c r="C7401" t="s">
        <v>4909</v>
      </c>
      <c r="D7401" t="s">
        <v>4909</v>
      </c>
      <c r="E7401" t="s">
        <v>4909</v>
      </c>
      <c r="F7401" t="s">
        <v>4909</v>
      </c>
      <c r="G7401" t="s">
        <v>4909</v>
      </c>
      <c r="H7401" t="s">
        <v>4909</v>
      </c>
      <c r="I7401" t="s">
        <v>4909</v>
      </c>
      <c r="J7401" t="s">
        <v>4909</v>
      </c>
      <c r="K7401" t="s">
        <v>4909</v>
      </c>
    </row>
    <row r="7402" spans="1:11" x14ac:dyDescent="0.2">
      <c r="A7402" t="s">
        <v>4284</v>
      </c>
      <c r="B7402" t="s">
        <v>4909</v>
      </c>
      <c r="C7402" t="s">
        <v>4909</v>
      </c>
      <c r="D7402" t="s">
        <v>4909</v>
      </c>
      <c r="E7402" t="s">
        <v>4909</v>
      </c>
      <c r="F7402" t="s">
        <v>4909</v>
      </c>
      <c r="G7402" t="s">
        <v>4909</v>
      </c>
      <c r="H7402" t="s">
        <v>4909</v>
      </c>
      <c r="I7402" t="s">
        <v>4909</v>
      </c>
      <c r="J7402" t="s">
        <v>4909</v>
      </c>
      <c r="K7402" t="s">
        <v>4909</v>
      </c>
    </row>
    <row r="7403" spans="1:11" x14ac:dyDescent="0.2">
      <c r="A7403" t="s">
        <v>4285</v>
      </c>
      <c r="B7403" t="s">
        <v>4909</v>
      </c>
      <c r="C7403" t="s">
        <v>4909</v>
      </c>
      <c r="D7403" t="s">
        <v>4909</v>
      </c>
      <c r="E7403" s="88">
        <v>0</v>
      </c>
      <c r="F7403" t="s">
        <v>4909</v>
      </c>
      <c r="G7403" t="s">
        <v>4909</v>
      </c>
      <c r="H7403" s="88">
        <v>0</v>
      </c>
      <c r="I7403" t="s">
        <v>4909</v>
      </c>
      <c r="J7403" t="s">
        <v>4909</v>
      </c>
      <c r="K7403" t="s">
        <v>4909</v>
      </c>
    </row>
    <row r="7404" spans="1:11" x14ac:dyDescent="0.2">
      <c r="A7404" t="s">
        <v>4286</v>
      </c>
      <c r="B7404" t="s">
        <v>4909</v>
      </c>
      <c r="C7404" t="s">
        <v>4909</v>
      </c>
      <c r="D7404" t="s">
        <v>4909</v>
      </c>
      <c r="E7404" t="s">
        <v>4909</v>
      </c>
      <c r="F7404" t="s">
        <v>4909</v>
      </c>
      <c r="G7404" t="s">
        <v>4909</v>
      </c>
      <c r="H7404" s="88">
        <v>2E-3</v>
      </c>
      <c r="I7404" t="s">
        <v>4909</v>
      </c>
      <c r="J7404" t="s">
        <v>4909</v>
      </c>
      <c r="K7404" t="s">
        <v>4909</v>
      </c>
    </row>
    <row r="7405" spans="1:11" x14ac:dyDescent="0.2">
      <c r="A7405" t="s">
        <v>4287</v>
      </c>
      <c r="B7405" t="s">
        <v>4909</v>
      </c>
      <c r="C7405" t="s">
        <v>4909</v>
      </c>
      <c r="D7405" t="s">
        <v>4909</v>
      </c>
      <c r="E7405" t="s">
        <v>4909</v>
      </c>
      <c r="F7405" t="s">
        <v>4909</v>
      </c>
      <c r="G7405" t="s">
        <v>4909</v>
      </c>
      <c r="H7405" t="s">
        <v>4909</v>
      </c>
      <c r="I7405" t="s">
        <v>4909</v>
      </c>
      <c r="J7405" t="s">
        <v>4909</v>
      </c>
      <c r="K7405" t="s">
        <v>4909</v>
      </c>
    </row>
    <row r="7406" spans="1:11" x14ac:dyDescent="0.2">
      <c r="A7406" t="s">
        <v>4288</v>
      </c>
      <c r="B7406" t="s">
        <v>4909</v>
      </c>
      <c r="C7406" t="s">
        <v>4909</v>
      </c>
      <c r="D7406" t="s">
        <v>4909</v>
      </c>
      <c r="E7406" t="s">
        <v>4909</v>
      </c>
      <c r="F7406" t="s">
        <v>4909</v>
      </c>
      <c r="G7406" t="s">
        <v>4909</v>
      </c>
      <c r="H7406" t="s">
        <v>4909</v>
      </c>
      <c r="I7406" t="s">
        <v>4909</v>
      </c>
      <c r="J7406" t="s">
        <v>4909</v>
      </c>
      <c r="K7406" t="s">
        <v>4909</v>
      </c>
    </row>
    <row r="7407" spans="1:11" x14ac:dyDescent="0.2">
      <c r="A7407" t="s">
        <v>4289</v>
      </c>
      <c r="B7407" t="s">
        <v>4909</v>
      </c>
      <c r="C7407" t="s">
        <v>4909</v>
      </c>
      <c r="D7407" t="s">
        <v>4909</v>
      </c>
      <c r="E7407" t="s">
        <v>4909</v>
      </c>
      <c r="F7407" t="s">
        <v>4909</v>
      </c>
      <c r="G7407" t="s">
        <v>4909</v>
      </c>
      <c r="H7407" t="s">
        <v>4909</v>
      </c>
      <c r="I7407" t="s">
        <v>4909</v>
      </c>
      <c r="J7407" t="s">
        <v>4909</v>
      </c>
      <c r="K7407" t="s">
        <v>4909</v>
      </c>
    </row>
    <row r="7408" spans="1:11" x14ac:dyDescent="0.2">
      <c r="A7408" t="s">
        <v>4290</v>
      </c>
      <c r="B7408" t="s">
        <v>4909</v>
      </c>
      <c r="C7408" t="s">
        <v>4909</v>
      </c>
      <c r="D7408" t="s">
        <v>4909</v>
      </c>
      <c r="E7408" t="s">
        <v>4909</v>
      </c>
      <c r="F7408" t="s">
        <v>4909</v>
      </c>
      <c r="G7408" t="s">
        <v>4909</v>
      </c>
      <c r="H7408" t="s">
        <v>4909</v>
      </c>
      <c r="I7408" t="s">
        <v>4909</v>
      </c>
      <c r="J7408" t="s">
        <v>4909</v>
      </c>
      <c r="K7408" t="s">
        <v>4909</v>
      </c>
    </row>
    <row r="7409" spans="1:11" x14ac:dyDescent="0.2">
      <c r="A7409" t="s">
        <v>4291</v>
      </c>
      <c r="B7409" t="s">
        <v>4909</v>
      </c>
      <c r="C7409" t="s">
        <v>4909</v>
      </c>
      <c r="D7409" t="s">
        <v>4909</v>
      </c>
      <c r="E7409" t="s">
        <v>4909</v>
      </c>
      <c r="F7409" t="s">
        <v>4909</v>
      </c>
      <c r="G7409" t="s">
        <v>4909</v>
      </c>
      <c r="H7409" t="s">
        <v>4909</v>
      </c>
      <c r="I7409" t="s">
        <v>4909</v>
      </c>
      <c r="J7409" t="s">
        <v>4909</v>
      </c>
      <c r="K7409" t="s">
        <v>4909</v>
      </c>
    </row>
    <row r="7410" spans="1:11" x14ac:dyDescent="0.2">
      <c r="A7410" t="s">
        <v>4292</v>
      </c>
      <c r="B7410" t="s">
        <v>4909</v>
      </c>
      <c r="C7410" t="s">
        <v>4909</v>
      </c>
      <c r="D7410" t="s">
        <v>4909</v>
      </c>
      <c r="E7410" t="s">
        <v>4909</v>
      </c>
      <c r="F7410" t="s">
        <v>4909</v>
      </c>
      <c r="G7410" t="s">
        <v>4909</v>
      </c>
      <c r="H7410" t="s">
        <v>4909</v>
      </c>
      <c r="I7410" t="s">
        <v>4909</v>
      </c>
      <c r="J7410" t="s">
        <v>4909</v>
      </c>
      <c r="K7410" t="s">
        <v>4909</v>
      </c>
    </row>
    <row r="7411" spans="1:11" x14ac:dyDescent="0.2">
      <c r="A7411" t="s">
        <v>4293</v>
      </c>
      <c r="B7411" t="s">
        <v>4909</v>
      </c>
      <c r="C7411" t="s">
        <v>4909</v>
      </c>
      <c r="D7411" t="s">
        <v>4909</v>
      </c>
      <c r="E7411" t="s">
        <v>4909</v>
      </c>
      <c r="F7411" t="s">
        <v>4909</v>
      </c>
      <c r="G7411" t="s">
        <v>4909</v>
      </c>
      <c r="H7411" t="s">
        <v>4909</v>
      </c>
      <c r="I7411" t="s">
        <v>4909</v>
      </c>
      <c r="J7411" t="s">
        <v>4909</v>
      </c>
      <c r="K7411" t="s">
        <v>4909</v>
      </c>
    </row>
    <row r="7412" spans="1:11" x14ac:dyDescent="0.2">
      <c r="A7412" t="s">
        <v>4294</v>
      </c>
      <c r="B7412" t="s">
        <v>4909</v>
      </c>
      <c r="C7412" t="s">
        <v>4909</v>
      </c>
      <c r="D7412" t="s">
        <v>4909</v>
      </c>
      <c r="E7412" t="s">
        <v>4909</v>
      </c>
      <c r="F7412" t="s">
        <v>4909</v>
      </c>
      <c r="G7412" t="s">
        <v>4909</v>
      </c>
      <c r="H7412" t="s">
        <v>4909</v>
      </c>
      <c r="I7412" t="s">
        <v>4909</v>
      </c>
      <c r="J7412" t="s">
        <v>4909</v>
      </c>
      <c r="K7412" t="s">
        <v>4909</v>
      </c>
    </row>
    <row r="7413" spans="1:11" x14ac:dyDescent="0.2">
      <c r="A7413" t="s">
        <v>4295</v>
      </c>
      <c r="B7413" t="s">
        <v>4909</v>
      </c>
      <c r="C7413" t="s">
        <v>4909</v>
      </c>
      <c r="D7413" t="s">
        <v>4909</v>
      </c>
      <c r="E7413" t="s">
        <v>4909</v>
      </c>
      <c r="F7413" t="s">
        <v>4909</v>
      </c>
      <c r="G7413" t="s">
        <v>4909</v>
      </c>
      <c r="H7413" t="s">
        <v>4909</v>
      </c>
      <c r="I7413" t="s">
        <v>4909</v>
      </c>
      <c r="J7413" t="s">
        <v>4909</v>
      </c>
      <c r="K7413" t="s">
        <v>4909</v>
      </c>
    </row>
    <row r="7414" spans="1:11" x14ac:dyDescent="0.2">
      <c r="A7414" t="s">
        <v>4296</v>
      </c>
      <c r="B7414" t="s">
        <v>4909</v>
      </c>
      <c r="C7414" t="s">
        <v>4909</v>
      </c>
      <c r="D7414" t="s">
        <v>4909</v>
      </c>
      <c r="E7414" t="s">
        <v>4909</v>
      </c>
      <c r="F7414" t="s">
        <v>4909</v>
      </c>
      <c r="G7414" t="s">
        <v>4909</v>
      </c>
      <c r="H7414" t="s">
        <v>4909</v>
      </c>
      <c r="I7414" t="s">
        <v>4909</v>
      </c>
      <c r="J7414" t="s">
        <v>4909</v>
      </c>
      <c r="K7414" t="s">
        <v>4909</v>
      </c>
    </row>
    <row r="7415" spans="1:11" x14ac:dyDescent="0.2">
      <c r="A7415" t="s">
        <v>4297</v>
      </c>
      <c r="B7415" t="s">
        <v>4909</v>
      </c>
      <c r="C7415" t="s">
        <v>4909</v>
      </c>
      <c r="D7415" t="s">
        <v>4909</v>
      </c>
      <c r="E7415" s="88">
        <v>0</v>
      </c>
      <c r="F7415" s="88">
        <v>0</v>
      </c>
      <c r="G7415" t="s">
        <v>4909</v>
      </c>
      <c r="H7415" s="88">
        <v>0</v>
      </c>
      <c r="I7415" t="s">
        <v>4909</v>
      </c>
      <c r="J7415" t="s">
        <v>4909</v>
      </c>
      <c r="K7415" t="s">
        <v>4909</v>
      </c>
    </row>
    <row r="7416" spans="1:11" x14ac:dyDescent="0.2">
      <c r="A7416" t="s">
        <v>4298</v>
      </c>
      <c r="B7416" t="s">
        <v>4909</v>
      </c>
      <c r="C7416" t="s">
        <v>4909</v>
      </c>
      <c r="D7416" t="s">
        <v>4909</v>
      </c>
      <c r="E7416" s="88">
        <v>0</v>
      </c>
      <c r="F7416" s="88">
        <v>0</v>
      </c>
      <c r="G7416" t="s">
        <v>4909</v>
      </c>
      <c r="H7416" s="88">
        <v>0</v>
      </c>
      <c r="I7416" t="s">
        <v>4909</v>
      </c>
      <c r="J7416" t="s">
        <v>4909</v>
      </c>
      <c r="K7416" t="s">
        <v>4909</v>
      </c>
    </row>
    <row r="7417" spans="1:11" x14ac:dyDescent="0.2">
      <c r="A7417" t="s">
        <v>4299</v>
      </c>
      <c r="B7417" t="s">
        <v>4909</v>
      </c>
      <c r="C7417" t="s">
        <v>4909</v>
      </c>
      <c r="D7417" t="s">
        <v>4909</v>
      </c>
      <c r="E7417" s="88">
        <v>0</v>
      </c>
      <c r="F7417" s="88">
        <v>0</v>
      </c>
      <c r="G7417" t="s">
        <v>4909</v>
      </c>
      <c r="H7417" s="88">
        <v>1E-3</v>
      </c>
      <c r="I7417" t="s">
        <v>4909</v>
      </c>
      <c r="J7417" t="s">
        <v>4909</v>
      </c>
      <c r="K7417" t="s">
        <v>4909</v>
      </c>
    </row>
    <row r="7418" spans="1:11" x14ac:dyDescent="0.2">
      <c r="A7418" t="s">
        <v>4300</v>
      </c>
      <c r="B7418" t="s">
        <v>4909</v>
      </c>
      <c r="C7418" t="s">
        <v>4909</v>
      </c>
      <c r="D7418" t="s">
        <v>4909</v>
      </c>
      <c r="E7418" t="s">
        <v>4909</v>
      </c>
      <c r="F7418" s="88">
        <v>0</v>
      </c>
      <c r="G7418" t="s">
        <v>4909</v>
      </c>
      <c r="H7418" s="88">
        <v>1E-3</v>
      </c>
      <c r="I7418" t="s">
        <v>4909</v>
      </c>
      <c r="J7418" t="s">
        <v>4909</v>
      </c>
      <c r="K7418" t="s">
        <v>4909</v>
      </c>
    </row>
    <row r="7419" spans="1:11" x14ac:dyDescent="0.2">
      <c r="A7419" t="s">
        <v>4301</v>
      </c>
      <c r="B7419" s="88">
        <v>0</v>
      </c>
      <c r="C7419" t="s">
        <v>4909</v>
      </c>
      <c r="D7419" t="s">
        <v>4909</v>
      </c>
      <c r="E7419" s="88">
        <v>0</v>
      </c>
      <c r="F7419" s="88">
        <v>0</v>
      </c>
      <c r="G7419" t="s">
        <v>4909</v>
      </c>
      <c r="H7419" s="88">
        <v>0</v>
      </c>
      <c r="I7419" t="s">
        <v>4909</v>
      </c>
      <c r="J7419" t="s">
        <v>4909</v>
      </c>
      <c r="K7419" t="s">
        <v>4909</v>
      </c>
    </row>
    <row r="7420" spans="1:11" x14ac:dyDescent="0.2">
      <c r="A7420" t="s">
        <v>4302</v>
      </c>
      <c r="B7420" t="s">
        <v>4909</v>
      </c>
      <c r="C7420" t="s">
        <v>4909</v>
      </c>
      <c r="D7420" t="s">
        <v>4909</v>
      </c>
      <c r="E7420" s="88">
        <v>0</v>
      </c>
      <c r="F7420" s="88">
        <v>0</v>
      </c>
      <c r="G7420" t="s">
        <v>4909</v>
      </c>
      <c r="H7420" s="88">
        <v>1E-3</v>
      </c>
      <c r="I7420" t="s">
        <v>4909</v>
      </c>
      <c r="J7420" t="s">
        <v>4909</v>
      </c>
      <c r="K7420" t="s">
        <v>4909</v>
      </c>
    </row>
    <row r="7421" spans="1:11" x14ac:dyDescent="0.2">
      <c r="A7421" t="s">
        <v>4303</v>
      </c>
      <c r="B7421" t="s">
        <v>4909</v>
      </c>
      <c r="C7421" t="s">
        <v>4909</v>
      </c>
      <c r="D7421" t="s">
        <v>4909</v>
      </c>
      <c r="E7421" t="s">
        <v>4909</v>
      </c>
      <c r="F7421" s="88">
        <v>1E-3</v>
      </c>
      <c r="G7421" t="s">
        <v>4909</v>
      </c>
      <c r="H7421" s="88">
        <v>3.0000000000000001E-3</v>
      </c>
      <c r="I7421" t="s">
        <v>4909</v>
      </c>
      <c r="J7421" t="s">
        <v>4909</v>
      </c>
      <c r="K7421" t="s">
        <v>4909</v>
      </c>
    </row>
    <row r="7422" spans="1:11" x14ac:dyDescent="0.2">
      <c r="A7422" t="s">
        <v>4304</v>
      </c>
      <c r="B7422" t="s">
        <v>4909</v>
      </c>
      <c r="C7422" t="s">
        <v>4909</v>
      </c>
      <c r="D7422" t="s">
        <v>4909</v>
      </c>
      <c r="E7422" s="88">
        <v>0</v>
      </c>
      <c r="F7422" s="88">
        <v>0</v>
      </c>
      <c r="G7422" t="s">
        <v>4909</v>
      </c>
      <c r="H7422" s="88">
        <v>0</v>
      </c>
      <c r="I7422" t="s">
        <v>4909</v>
      </c>
      <c r="J7422" t="s">
        <v>4909</v>
      </c>
      <c r="K7422" t="s">
        <v>4909</v>
      </c>
    </row>
    <row r="7423" spans="1:11" x14ac:dyDescent="0.2">
      <c r="A7423" t="s">
        <v>4305</v>
      </c>
      <c r="B7423" t="s">
        <v>4909</v>
      </c>
      <c r="C7423" t="s">
        <v>4909</v>
      </c>
      <c r="D7423" t="s">
        <v>4909</v>
      </c>
      <c r="E7423" s="88">
        <v>0</v>
      </c>
      <c r="F7423" s="88">
        <v>0</v>
      </c>
      <c r="G7423" t="s">
        <v>4909</v>
      </c>
      <c r="H7423" s="88">
        <v>0</v>
      </c>
      <c r="I7423" t="s">
        <v>4909</v>
      </c>
      <c r="J7423" t="s">
        <v>4909</v>
      </c>
      <c r="K7423" t="s">
        <v>4909</v>
      </c>
    </row>
    <row r="7424" spans="1:11" x14ac:dyDescent="0.2">
      <c r="A7424" t="s">
        <v>4306</v>
      </c>
      <c r="B7424" t="s">
        <v>4909</v>
      </c>
      <c r="C7424" t="s">
        <v>4909</v>
      </c>
      <c r="D7424" t="s">
        <v>4909</v>
      </c>
      <c r="E7424" s="88">
        <v>0</v>
      </c>
      <c r="F7424" s="88">
        <v>0</v>
      </c>
      <c r="G7424" t="s">
        <v>4909</v>
      </c>
      <c r="H7424" s="88">
        <v>2E-3</v>
      </c>
      <c r="I7424" t="s">
        <v>4909</v>
      </c>
      <c r="J7424" t="s">
        <v>4909</v>
      </c>
      <c r="K7424" t="s">
        <v>4909</v>
      </c>
    </row>
    <row r="7425" spans="1:11" x14ac:dyDescent="0.2">
      <c r="A7425" t="s">
        <v>4307</v>
      </c>
      <c r="B7425" s="88">
        <v>0</v>
      </c>
      <c r="C7425" t="s">
        <v>4909</v>
      </c>
      <c r="D7425" s="88">
        <v>0</v>
      </c>
      <c r="E7425" s="88">
        <v>0</v>
      </c>
      <c r="F7425" s="88">
        <v>1E-3</v>
      </c>
      <c r="G7425" t="s">
        <v>4909</v>
      </c>
      <c r="H7425" s="88">
        <v>5.0000000000000001E-3</v>
      </c>
      <c r="I7425" t="s">
        <v>4909</v>
      </c>
      <c r="J7425" t="s">
        <v>4909</v>
      </c>
      <c r="K7425" t="s">
        <v>4909</v>
      </c>
    </row>
    <row r="7426" spans="1:11" x14ac:dyDescent="0.2">
      <c r="A7426" t="s">
        <v>4308</v>
      </c>
      <c r="B7426" t="s">
        <v>4909</v>
      </c>
      <c r="C7426" t="s">
        <v>4909</v>
      </c>
      <c r="D7426" t="s">
        <v>4909</v>
      </c>
      <c r="E7426" t="s">
        <v>4909</v>
      </c>
      <c r="F7426" t="s">
        <v>4909</v>
      </c>
      <c r="G7426" t="s">
        <v>4909</v>
      </c>
      <c r="H7426" s="88">
        <v>3.0000000000000001E-3</v>
      </c>
      <c r="I7426" t="s">
        <v>4909</v>
      </c>
      <c r="J7426" t="s">
        <v>4909</v>
      </c>
      <c r="K7426" t="s">
        <v>4909</v>
      </c>
    </row>
    <row r="7427" spans="1:11" x14ac:dyDescent="0.2">
      <c r="A7427" t="s">
        <v>4309</v>
      </c>
      <c r="B7427" t="s">
        <v>4909</v>
      </c>
      <c r="C7427" t="s">
        <v>4909</v>
      </c>
      <c r="D7427" t="s">
        <v>4909</v>
      </c>
      <c r="E7427" t="s">
        <v>4909</v>
      </c>
      <c r="F7427" t="s">
        <v>4909</v>
      </c>
      <c r="G7427" t="s">
        <v>4909</v>
      </c>
      <c r="H7427" t="s">
        <v>4909</v>
      </c>
      <c r="I7427" t="s">
        <v>4909</v>
      </c>
      <c r="J7427" t="s">
        <v>4909</v>
      </c>
      <c r="K7427" t="s">
        <v>4909</v>
      </c>
    </row>
    <row r="7428" spans="1:11" x14ac:dyDescent="0.2">
      <c r="A7428" t="s">
        <v>4310</v>
      </c>
      <c r="B7428" t="s">
        <v>4909</v>
      </c>
      <c r="C7428" t="s">
        <v>4909</v>
      </c>
      <c r="D7428" t="s">
        <v>4909</v>
      </c>
      <c r="E7428" t="s">
        <v>4909</v>
      </c>
      <c r="F7428" t="s">
        <v>4909</v>
      </c>
      <c r="G7428" t="s">
        <v>4909</v>
      </c>
      <c r="H7428" t="s">
        <v>4909</v>
      </c>
      <c r="I7428" t="s">
        <v>4909</v>
      </c>
      <c r="J7428" t="s">
        <v>4909</v>
      </c>
      <c r="K7428" t="s">
        <v>4909</v>
      </c>
    </row>
    <row r="7429" spans="1:11" x14ac:dyDescent="0.2">
      <c r="A7429" t="s">
        <v>4311</v>
      </c>
      <c r="B7429" t="s">
        <v>4909</v>
      </c>
      <c r="C7429" t="s">
        <v>4909</v>
      </c>
      <c r="D7429" t="s">
        <v>4909</v>
      </c>
      <c r="E7429" t="s">
        <v>4909</v>
      </c>
      <c r="F7429" t="s">
        <v>4909</v>
      </c>
      <c r="G7429" t="s">
        <v>4909</v>
      </c>
      <c r="H7429" t="s">
        <v>4909</v>
      </c>
      <c r="I7429" t="s">
        <v>4909</v>
      </c>
      <c r="J7429" t="s">
        <v>4909</v>
      </c>
      <c r="K7429" t="s">
        <v>4909</v>
      </c>
    </row>
    <row r="7430" spans="1:11" x14ac:dyDescent="0.2">
      <c r="A7430" t="s">
        <v>4312</v>
      </c>
      <c r="B7430" t="s">
        <v>4909</v>
      </c>
      <c r="C7430" t="s">
        <v>4909</v>
      </c>
      <c r="D7430" t="s">
        <v>4909</v>
      </c>
      <c r="E7430" t="s">
        <v>4909</v>
      </c>
      <c r="F7430" t="s">
        <v>4909</v>
      </c>
      <c r="G7430" t="s">
        <v>4909</v>
      </c>
      <c r="H7430" t="s">
        <v>4909</v>
      </c>
      <c r="I7430" t="s">
        <v>4909</v>
      </c>
      <c r="J7430" t="s">
        <v>4909</v>
      </c>
      <c r="K7430" t="s">
        <v>4909</v>
      </c>
    </row>
    <row r="7431" spans="1:11" x14ac:dyDescent="0.2">
      <c r="A7431" t="s">
        <v>4313</v>
      </c>
      <c r="B7431" t="s">
        <v>4909</v>
      </c>
      <c r="C7431" t="s">
        <v>4909</v>
      </c>
      <c r="D7431" t="s">
        <v>4909</v>
      </c>
      <c r="E7431" t="s">
        <v>4909</v>
      </c>
      <c r="F7431" t="s">
        <v>4909</v>
      </c>
      <c r="G7431" t="s">
        <v>4909</v>
      </c>
      <c r="H7431" t="s">
        <v>4909</v>
      </c>
      <c r="I7431" t="s">
        <v>4909</v>
      </c>
      <c r="J7431" t="s">
        <v>4909</v>
      </c>
      <c r="K7431" t="s">
        <v>4909</v>
      </c>
    </row>
    <row r="7432" spans="1:11" x14ac:dyDescent="0.2">
      <c r="A7432" t="s">
        <v>4314</v>
      </c>
      <c r="B7432" t="s">
        <v>4909</v>
      </c>
      <c r="C7432" t="s">
        <v>4909</v>
      </c>
      <c r="D7432" t="s">
        <v>4909</v>
      </c>
      <c r="E7432" t="s">
        <v>4909</v>
      </c>
      <c r="F7432" t="s">
        <v>4909</v>
      </c>
      <c r="G7432" t="s">
        <v>4909</v>
      </c>
      <c r="H7432" t="s">
        <v>4909</v>
      </c>
      <c r="I7432" t="s">
        <v>4909</v>
      </c>
      <c r="J7432" t="s">
        <v>4909</v>
      </c>
      <c r="K7432" t="s">
        <v>4909</v>
      </c>
    </row>
    <row r="7433" spans="1:11" x14ac:dyDescent="0.2">
      <c r="A7433" t="s">
        <v>4315</v>
      </c>
      <c r="B7433" t="s">
        <v>4909</v>
      </c>
      <c r="C7433" t="s">
        <v>4909</v>
      </c>
      <c r="D7433" t="s">
        <v>4909</v>
      </c>
      <c r="E7433" t="s">
        <v>4909</v>
      </c>
      <c r="F7433" t="s">
        <v>4909</v>
      </c>
      <c r="G7433" t="s">
        <v>4909</v>
      </c>
      <c r="H7433" t="s">
        <v>4909</v>
      </c>
      <c r="I7433" t="s">
        <v>4909</v>
      </c>
      <c r="J7433" t="s">
        <v>4909</v>
      </c>
      <c r="K7433" t="s">
        <v>4909</v>
      </c>
    </row>
    <row r="7434" spans="1:11" x14ac:dyDescent="0.2">
      <c r="A7434" t="s">
        <v>4316</v>
      </c>
      <c r="B7434" t="s">
        <v>4909</v>
      </c>
      <c r="C7434" t="s">
        <v>4909</v>
      </c>
      <c r="D7434" t="s">
        <v>4909</v>
      </c>
      <c r="E7434" t="s">
        <v>4909</v>
      </c>
      <c r="F7434" t="s">
        <v>4909</v>
      </c>
      <c r="G7434" t="s">
        <v>4909</v>
      </c>
      <c r="H7434" t="s">
        <v>4909</v>
      </c>
      <c r="I7434" t="s">
        <v>4909</v>
      </c>
      <c r="J7434" t="s">
        <v>4909</v>
      </c>
      <c r="K7434" t="s">
        <v>4909</v>
      </c>
    </row>
    <row r="7435" spans="1:11" x14ac:dyDescent="0.2">
      <c r="A7435" t="s">
        <v>4317</v>
      </c>
      <c r="B7435" t="s">
        <v>4909</v>
      </c>
      <c r="C7435" t="s">
        <v>4909</v>
      </c>
      <c r="D7435" t="s">
        <v>4909</v>
      </c>
      <c r="E7435" t="s">
        <v>4909</v>
      </c>
      <c r="F7435" t="s">
        <v>4909</v>
      </c>
      <c r="G7435" t="s">
        <v>4909</v>
      </c>
      <c r="H7435" t="s">
        <v>4909</v>
      </c>
      <c r="I7435" t="s">
        <v>4909</v>
      </c>
      <c r="J7435" t="s">
        <v>4909</v>
      </c>
      <c r="K7435" t="s">
        <v>4909</v>
      </c>
    </row>
    <row r="7436" spans="1:11" x14ac:dyDescent="0.2">
      <c r="A7436" t="s">
        <v>4318</v>
      </c>
      <c r="B7436" t="s">
        <v>4909</v>
      </c>
      <c r="C7436" t="s">
        <v>4909</v>
      </c>
      <c r="D7436" t="s">
        <v>4909</v>
      </c>
      <c r="E7436" t="s">
        <v>4909</v>
      </c>
      <c r="F7436" t="s">
        <v>4909</v>
      </c>
      <c r="G7436" t="s">
        <v>4909</v>
      </c>
      <c r="H7436" t="s">
        <v>4909</v>
      </c>
      <c r="I7436" t="s">
        <v>4909</v>
      </c>
      <c r="J7436" t="s">
        <v>4909</v>
      </c>
      <c r="K7436" t="s">
        <v>4909</v>
      </c>
    </row>
    <row r="7437" spans="1:11" x14ac:dyDescent="0.2">
      <c r="A7437" t="s">
        <v>4319</v>
      </c>
      <c r="B7437" t="s">
        <v>4909</v>
      </c>
      <c r="C7437" t="s">
        <v>4909</v>
      </c>
      <c r="D7437" t="s">
        <v>4909</v>
      </c>
      <c r="E7437" t="s">
        <v>4909</v>
      </c>
      <c r="F7437" t="s">
        <v>4909</v>
      </c>
      <c r="G7437" t="s">
        <v>4909</v>
      </c>
      <c r="H7437" t="s">
        <v>4909</v>
      </c>
      <c r="I7437" t="s">
        <v>4909</v>
      </c>
      <c r="J7437" t="s">
        <v>4909</v>
      </c>
      <c r="K7437" t="s">
        <v>4909</v>
      </c>
    </row>
    <row r="7438" spans="1:11" x14ac:dyDescent="0.2">
      <c r="A7438" t="s">
        <v>4320</v>
      </c>
      <c r="B7438" t="s">
        <v>4909</v>
      </c>
      <c r="C7438" t="s">
        <v>4909</v>
      </c>
      <c r="D7438" t="s">
        <v>4909</v>
      </c>
      <c r="E7438" t="s">
        <v>4909</v>
      </c>
      <c r="F7438" t="s">
        <v>4909</v>
      </c>
      <c r="G7438" t="s">
        <v>4909</v>
      </c>
      <c r="H7438" t="s">
        <v>4909</v>
      </c>
      <c r="I7438" t="s">
        <v>4909</v>
      </c>
      <c r="J7438" t="s">
        <v>4909</v>
      </c>
      <c r="K7438" t="s">
        <v>4909</v>
      </c>
    </row>
    <row r="7439" spans="1:11" x14ac:dyDescent="0.2">
      <c r="A7439" t="s">
        <v>4321</v>
      </c>
      <c r="B7439" t="s">
        <v>4909</v>
      </c>
      <c r="C7439" t="s">
        <v>4909</v>
      </c>
      <c r="D7439" t="s">
        <v>4909</v>
      </c>
      <c r="E7439" t="s">
        <v>4909</v>
      </c>
      <c r="F7439" t="s">
        <v>4909</v>
      </c>
      <c r="G7439" t="s">
        <v>4909</v>
      </c>
      <c r="H7439" t="s">
        <v>4909</v>
      </c>
      <c r="I7439" t="s">
        <v>4909</v>
      </c>
      <c r="J7439" t="s">
        <v>4909</v>
      </c>
      <c r="K7439" t="s">
        <v>4909</v>
      </c>
    </row>
    <row r="7440" spans="1:11" x14ac:dyDescent="0.2">
      <c r="A7440" t="s">
        <v>4322</v>
      </c>
      <c r="B7440" t="s">
        <v>4909</v>
      </c>
      <c r="C7440" t="s">
        <v>4909</v>
      </c>
      <c r="D7440" t="s">
        <v>4909</v>
      </c>
      <c r="E7440" t="s">
        <v>4909</v>
      </c>
      <c r="F7440" t="s">
        <v>4909</v>
      </c>
      <c r="G7440" t="s">
        <v>4909</v>
      </c>
      <c r="H7440" t="s">
        <v>4909</v>
      </c>
      <c r="I7440" t="s">
        <v>4909</v>
      </c>
      <c r="J7440" t="s">
        <v>4909</v>
      </c>
      <c r="K7440" t="s">
        <v>4909</v>
      </c>
    </row>
    <row r="7441" spans="1:11" x14ac:dyDescent="0.2">
      <c r="A7441" t="s">
        <v>4323</v>
      </c>
      <c r="B7441" t="s">
        <v>4909</v>
      </c>
      <c r="C7441" t="s">
        <v>4909</v>
      </c>
      <c r="D7441" t="s">
        <v>4909</v>
      </c>
      <c r="E7441" t="s">
        <v>4909</v>
      </c>
      <c r="F7441" t="s">
        <v>4909</v>
      </c>
      <c r="G7441" t="s">
        <v>4909</v>
      </c>
      <c r="H7441" t="s">
        <v>4909</v>
      </c>
      <c r="I7441" t="s">
        <v>4909</v>
      </c>
      <c r="J7441" t="s">
        <v>4909</v>
      </c>
      <c r="K7441" t="s">
        <v>4909</v>
      </c>
    </row>
    <row r="7442" spans="1:11" x14ac:dyDescent="0.2">
      <c r="A7442" t="s">
        <v>4324</v>
      </c>
      <c r="B7442" t="s">
        <v>4909</v>
      </c>
      <c r="C7442" t="s">
        <v>4909</v>
      </c>
      <c r="D7442" t="s">
        <v>4909</v>
      </c>
      <c r="E7442" t="s">
        <v>4909</v>
      </c>
      <c r="F7442" t="s">
        <v>4909</v>
      </c>
      <c r="G7442" t="s">
        <v>4909</v>
      </c>
      <c r="H7442" t="s">
        <v>4909</v>
      </c>
      <c r="I7442" t="s">
        <v>4909</v>
      </c>
      <c r="J7442" t="s">
        <v>4909</v>
      </c>
      <c r="K7442" t="s">
        <v>4909</v>
      </c>
    </row>
    <row r="7443" spans="1:11" x14ac:dyDescent="0.2">
      <c r="A7443" t="s">
        <v>4325</v>
      </c>
      <c r="B7443" t="s">
        <v>4909</v>
      </c>
      <c r="C7443" t="s">
        <v>4909</v>
      </c>
      <c r="D7443" t="s">
        <v>4909</v>
      </c>
      <c r="E7443" t="s">
        <v>4909</v>
      </c>
      <c r="F7443" t="s">
        <v>4909</v>
      </c>
      <c r="G7443" t="s">
        <v>4909</v>
      </c>
      <c r="H7443" t="s">
        <v>4909</v>
      </c>
      <c r="I7443" t="s">
        <v>4909</v>
      </c>
      <c r="J7443" t="s">
        <v>4909</v>
      </c>
      <c r="K7443" t="s">
        <v>4909</v>
      </c>
    </row>
    <row r="7444" spans="1:11" x14ac:dyDescent="0.2">
      <c r="A7444" t="s">
        <v>4326</v>
      </c>
      <c r="B7444" t="s">
        <v>4909</v>
      </c>
      <c r="C7444" t="s">
        <v>4909</v>
      </c>
      <c r="D7444" t="s">
        <v>4909</v>
      </c>
      <c r="E7444" t="s">
        <v>4909</v>
      </c>
      <c r="F7444" t="s">
        <v>4909</v>
      </c>
      <c r="G7444" t="s">
        <v>4909</v>
      </c>
      <c r="H7444" t="s">
        <v>4909</v>
      </c>
      <c r="I7444" t="s">
        <v>4909</v>
      </c>
      <c r="J7444" t="s">
        <v>4909</v>
      </c>
      <c r="K7444" t="s">
        <v>4909</v>
      </c>
    </row>
    <row r="7445" spans="1:11" x14ac:dyDescent="0.2">
      <c r="A7445" t="s">
        <v>4327</v>
      </c>
      <c r="B7445" t="s">
        <v>4909</v>
      </c>
      <c r="C7445" t="s">
        <v>4909</v>
      </c>
      <c r="D7445" t="s">
        <v>4909</v>
      </c>
      <c r="E7445" t="s">
        <v>4909</v>
      </c>
      <c r="F7445" t="s">
        <v>4909</v>
      </c>
      <c r="G7445" t="s">
        <v>4909</v>
      </c>
      <c r="H7445" t="s">
        <v>4909</v>
      </c>
      <c r="I7445" t="s">
        <v>4909</v>
      </c>
      <c r="J7445" t="s">
        <v>4909</v>
      </c>
      <c r="K7445" t="s">
        <v>4909</v>
      </c>
    </row>
    <row r="7446" spans="1:11" x14ac:dyDescent="0.2">
      <c r="A7446" t="s">
        <v>4328</v>
      </c>
      <c r="B7446" t="s">
        <v>4909</v>
      </c>
      <c r="C7446" t="s">
        <v>4909</v>
      </c>
      <c r="D7446" t="s">
        <v>4909</v>
      </c>
      <c r="E7446" t="s">
        <v>4909</v>
      </c>
      <c r="F7446" t="s">
        <v>4909</v>
      </c>
      <c r="G7446" t="s">
        <v>4909</v>
      </c>
      <c r="H7446" t="s">
        <v>4909</v>
      </c>
      <c r="I7446" t="s">
        <v>4909</v>
      </c>
      <c r="J7446" t="s">
        <v>4909</v>
      </c>
      <c r="K7446" t="s">
        <v>4909</v>
      </c>
    </row>
    <row r="7447" spans="1:11" x14ac:dyDescent="0.2">
      <c r="A7447" t="s">
        <v>4329</v>
      </c>
      <c r="B7447" t="s">
        <v>4909</v>
      </c>
      <c r="C7447" t="s">
        <v>4909</v>
      </c>
      <c r="D7447" t="s">
        <v>4909</v>
      </c>
      <c r="E7447" t="s">
        <v>4909</v>
      </c>
      <c r="F7447" t="s">
        <v>4909</v>
      </c>
      <c r="G7447" t="s">
        <v>4909</v>
      </c>
      <c r="H7447" t="s">
        <v>4909</v>
      </c>
      <c r="I7447" t="s">
        <v>4909</v>
      </c>
      <c r="J7447" t="s">
        <v>4909</v>
      </c>
      <c r="K7447" t="s">
        <v>4909</v>
      </c>
    </row>
    <row r="7448" spans="1:11" x14ac:dyDescent="0.2">
      <c r="A7448" t="s">
        <v>4330</v>
      </c>
      <c r="B7448" t="s">
        <v>4909</v>
      </c>
      <c r="C7448" t="s">
        <v>4909</v>
      </c>
      <c r="D7448" t="s">
        <v>4909</v>
      </c>
      <c r="E7448" t="s">
        <v>4909</v>
      </c>
      <c r="F7448" t="s">
        <v>4909</v>
      </c>
      <c r="G7448" t="s">
        <v>4909</v>
      </c>
      <c r="H7448" t="s">
        <v>4909</v>
      </c>
      <c r="I7448" t="s">
        <v>4909</v>
      </c>
      <c r="J7448" t="s">
        <v>4909</v>
      </c>
      <c r="K7448" t="s">
        <v>4909</v>
      </c>
    </row>
    <row r="7449" spans="1:11" x14ac:dyDescent="0.2">
      <c r="A7449" t="s">
        <v>4331</v>
      </c>
      <c r="B7449" t="s">
        <v>4909</v>
      </c>
      <c r="C7449" t="s">
        <v>4909</v>
      </c>
      <c r="D7449" t="s">
        <v>4909</v>
      </c>
      <c r="E7449" t="s">
        <v>4909</v>
      </c>
      <c r="F7449" t="s">
        <v>4909</v>
      </c>
      <c r="G7449" t="s">
        <v>4909</v>
      </c>
      <c r="H7449" t="s">
        <v>4909</v>
      </c>
      <c r="I7449" t="s">
        <v>4909</v>
      </c>
      <c r="J7449" t="s">
        <v>4909</v>
      </c>
      <c r="K7449" t="s">
        <v>4909</v>
      </c>
    </row>
    <row r="7450" spans="1:11" x14ac:dyDescent="0.2">
      <c r="A7450" t="s">
        <v>4332</v>
      </c>
      <c r="B7450" t="s">
        <v>4909</v>
      </c>
      <c r="C7450" t="s">
        <v>4909</v>
      </c>
      <c r="D7450" t="s">
        <v>4909</v>
      </c>
      <c r="E7450" t="s">
        <v>4909</v>
      </c>
      <c r="F7450" t="s">
        <v>4909</v>
      </c>
      <c r="G7450" t="s">
        <v>4909</v>
      </c>
      <c r="H7450" t="s">
        <v>4909</v>
      </c>
      <c r="I7450" t="s">
        <v>4909</v>
      </c>
      <c r="J7450" t="s">
        <v>4909</v>
      </c>
      <c r="K7450" t="s">
        <v>4909</v>
      </c>
    </row>
    <row r="7451" spans="1:11" x14ac:dyDescent="0.2">
      <c r="A7451" t="s">
        <v>4333</v>
      </c>
      <c r="B7451" t="s">
        <v>4909</v>
      </c>
      <c r="C7451" t="s">
        <v>4909</v>
      </c>
      <c r="D7451" t="s">
        <v>4909</v>
      </c>
      <c r="E7451" t="s">
        <v>4909</v>
      </c>
      <c r="F7451" t="s">
        <v>4909</v>
      </c>
      <c r="G7451" t="s">
        <v>4909</v>
      </c>
      <c r="H7451" t="s">
        <v>4909</v>
      </c>
      <c r="I7451" t="s">
        <v>4909</v>
      </c>
      <c r="J7451" t="s">
        <v>4909</v>
      </c>
      <c r="K7451" t="s">
        <v>4909</v>
      </c>
    </row>
    <row r="7452" spans="1:11" x14ac:dyDescent="0.2">
      <c r="A7452" t="s">
        <v>4334</v>
      </c>
      <c r="B7452" t="s">
        <v>4909</v>
      </c>
      <c r="C7452" t="s">
        <v>4909</v>
      </c>
      <c r="D7452" t="s">
        <v>4909</v>
      </c>
      <c r="E7452" t="s">
        <v>4909</v>
      </c>
      <c r="F7452" t="s">
        <v>4909</v>
      </c>
      <c r="G7452" t="s">
        <v>4909</v>
      </c>
      <c r="H7452" t="s">
        <v>4909</v>
      </c>
      <c r="I7452" t="s">
        <v>4909</v>
      </c>
      <c r="J7452" t="s">
        <v>4909</v>
      </c>
      <c r="K7452" t="s">
        <v>4909</v>
      </c>
    </row>
    <row r="7453" spans="1:11" x14ac:dyDescent="0.2">
      <c r="A7453" t="s">
        <v>4335</v>
      </c>
      <c r="B7453" t="s">
        <v>4909</v>
      </c>
      <c r="C7453" t="s">
        <v>4909</v>
      </c>
      <c r="D7453" t="s">
        <v>4909</v>
      </c>
      <c r="E7453" t="s">
        <v>4909</v>
      </c>
      <c r="F7453" t="s">
        <v>4909</v>
      </c>
      <c r="G7453" t="s">
        <v>4909</v>
      </c>
      <c r="H7453" t="s">
        <v>4909</v>
      </c>
      <c r="I7453" t="s">
        <v>4909</v>
      </c>
      <c r="J7453" t="s">
        <v>4909</v>
      </c>
      <c r="K7453" t="s">
        <v>4909</v>
      </c>
    </row>
    <row r="7454" spans="1:11" x14ac:dyDescent="0.2">
      <c r="A7454" t="s">
        <v>4336</v>
      </c>
      <c r="B7454" t="s">
        <v>4909</v>
      </c>
      <c r="C7454" t="s">
        <v>4909</v>
      </c>
      <c r="D7454" t="s">
        <v>4909</v>
      </c>
      <c r="E7454" t="s">
        <v>4909</v>
      </c>
      <c r="F7454" t="s">
        <v>4909</v>
      </c>
      <c r="G7454" t="s">
        <v>4909</v>
      </c>
      <c r="H7454" t="s">
        <v>4909</v>
      </c>
      <c r="I7454" t="s">
        <v>4909</v>
      </c>
      <c r="J7454" t="s">
        <v>4909</v>
      </c>
      <c r="K7454" t="s">
        <v>4909</v>
      </c>
    </row>
    <row r="7455" spans="1:11" x14ac:dyDescent="0.2">
      <c r="A7455" t="s">
        <v>4337</v>
      </c>
      <c r="B7455" t="s">
        <v>4909</v>
      </c>
      <c r="C7455" t="s">
        <v>4909</v>
      </c>
      <c r="D7455" t="s">
        <v>4909</v>
      </c>
      <c r="E7455" t="s">
        <v>4909</v>
      </c>
      <c r="F7455" t="s">
        <v>4909</v>
      </c>
      <c r="G7455" t="s">
        <v>4909</v>
      </c>
      <c r="H7455" t="s">
        <v>4909</v>
      </c>
      <c r="I7455" t="s">
        <v>4909</v>
      </c>
      <c r="J7455" t="s">
        <v>4909</v>
      </c>
      <c r="K7455" t="s">
        <v>4909</v>
      </c>
    </row>
    <row r="7456" spans="1:11" x14ac:dyDescent="0.2">
      <c r="A7456" t="s">
        <v>4338</v>
      </c>
      <c r="B7456" t="s">
        <v>4909</v>
      </c>
      <c r="C7456" t="s">
        <v>4909</v>
      </c>
      <c r="D7456" t="s">
        <v>4909</v>
      </c>
      <c r="E7456" t="s">
        <v>4909</v>
      </c>
      <c r="F7456" t="s">
        <v>4909</v>
      </c>
      <c r="G7456" t="s">
        <v>4909</v>
      </c>
      <c r="H7456" t="s">
        <v>4909</v>
      </c>
      <c r="I7456" t="s">
        <v>4909</v>
      </c>
      <c r="J7456" t="s">
        <v>4909</v>
      </c>
      <c r="K7456" t="s">
        <v>4909</v>
      </c>
    </row>
    <row r="7457" spans="1:11" x14ac:dyDescent="0.2">
      <c r="A7457" t="s">
        <v>4339</v>
      </c>
      <c r="B7457" t="s">
        <v>4909</v>
      </c>
      <c r="C7457" t="s">
        <v>4909</v>
      </c>
      <c r="D7457" t="s">
        <v>4909</v>
      </c>
      <c r="E7457" t="s">
        <v>4909</v>
      </c>
      <c r="F7457" t="s">
        <v>4909</v>
      </c>
      <c r="G7457" t="s">
        <v>4909</v>
      </c>
      <c r="H7457" t="s">
        <v>4909</v>
      </c>
      <c r="I7457" t="s">
        <v>4909</v>
      </c>
      <c r="J7457" t="s">
        <v>4909</v>
      </c>
      <c r="K7457" t="s">
        <v>4909</v>
      </c>
    </row>
    <row r="7458" spans="1:11" x14ac:dyDescent="0.2">
      <c r="A7458" t="s">
        <v>4340</v>
      </c>
      <c r="B7458" t="s">
        <v>4909</v>
      </c>
      <c r="C7458" t="s">
        <v>4909</v>
      </c>
      <c r="D7458" t="s">
        <v>4909</v>
      </c>
      <c r="E7458" t="s">
        <v>4909</v>
      </c>
      <c r="F7458" t="s">
        <v>4909</v>
      </c>
      <c r="G7458" t="s">
        <v>4909</v>
      </c>
      <c r="H7458" t="s">
        <v>4909</v>
      </c>
      <c r="I7458" t="s">
        <v>4909</v>
      </c>
      <c r="J7458" t="s">
        <v>4909</v>
      </c>
      <c r="K7458" t="s">
        <v>4909</v>
      </c>
    </row>
    <row r="7459" spans="1:11" x14ac:dyDescent="0.2">
      <c r="A7459" t="s">
        <v>4341</v>
      </c>
      <c r="B7459" t="s">
        <v>4909</v>
      </c>
      <c r="C7459" t="s">
        <v>4909</v>
      </c>
      <c r="D7459" t="s">
        <v>4909</v>
      </c>
      <c r="E7459" t="s">
        <v>4909</v>
      </c>
      <c r="F7459" t="s">
        <v>4909</v>
      </c>
      <c r="G7459" t="s">
        <v>4909</v>
      </c>
      <c r="H7459" t="s">
        <v>4909</v>
      </c>
      <c r="I7459" t="s">
        <v>4909</v>
      </c>
      <c r="J7459" t="s">
        <v>4909</v>
      </c>
      <c r="K7459" t="s">
        <v>4909</v>
      </c>
    </row>
    <row r="7460" spans="1:11" x14ac:dyDescent="0.2">
      <c r="A7460" t="s">
        <v>4342</v>
      </c>
      <c r="B7460" t="s">
        <v>4909</v>
      </c>
      <c r="C7460" t="s">
        <v>4909</v>
      </c>
      <c r="D7460" t="s">
        <v>4909</v>
      </c>
      <c r="E7460" t="s">
        <v>4909</v>
      </c>
      <c r="F7460" t="s">
        <v>4909</v>
      </c>
      <c r="G7460" t="s">
        <v>4909</v>
      </c>
      <c r="H7460" t="s">
        <v>4909</v>
      </c>
      <c r="I7460" t="s">
        <v>4909</v>
      </c>
      <c r="J7460" t="s">
        <v>4909</v>
      </c>
      <c r="K7460" t="s">
        <v>4909</v>
      </c>
    </row>
    <row r="7461" spans="1:11" x14ac:dyDescent="0.2">
      <c r="A7461" t="s">
        <v>4343</v>
      </c>
      <c r="B7461" t="s">
        <v>4909</v>
      </c>
      <c r="C7461" t="s">
        <v>4909</v>
      </c>
      <c r="D7461" t="s">
        <v>4909</v>
      </c>
      <c r="E7461" t="s">
        <v>4909</v>
      </c>
      <c r="F7461" t="s">
        <v>4909</v>
      </c>
      <c r="G7461" t="s">
        <v>4909</v>
      </c>
      <c r="H7461" t="s">
        <v>4909</v>
      </c>
      <c r="I7461" t="s">
        <v>4909</v>
      </c>
      <c r="J7461" t="s">
        <v>4909</v>
      </c>
      <c r="K7461" t="s">
        <v>4909</v>
      </c>
    </row>
    <row r="7462" spans="1:11" x14ac:dyDescent="0.2">
      <c r="A7462" t="s">
        <v>1728</v>
      </c>
      <c r="B7462" t="s">
        <v>4909</v>
      </c>
      <c r="C7462" t="s">
        <v>4909</v>
      </c>
      <c r="D7462" t="s">
        <v>4909</v>
      </c>
      <c r="E7462" t="s">
        <v>4909</v>
      </c>
      <c r="F7462" t="s">
        <v>4909</v>
      </c>
      <c r="G7462" t="s">
        <v>4909</v>
      </c>
      <c r="H7462" t="s">
        <v>4909</v>
      </c>
      <c r="I7462" t="s">
        <v>4909</v>
      </c>
      <c r="J7462" t="s">
        <v>4909</v>
      </c>
      <c r="K7462" t="s">
        <v>4909</v>
      </c>
    </row>
    <row r="7463" spans="1:11" x14ac:dyDescent="0.2">
      <c r="A7463" t="s">
        <v>1730</v>
      </c>
      <c r="B7463" s="88">
        <v>2E-3</v>
      </c>
      <c r="C7463" t="s">
        <v>4909</v>
      </c>
      <c r="D7463" s="88">
        <v>1E-3</v>
      </c>
      <c r="E7463" s="88">
        <v>3.0000000000000001E-3</v>
      </c>
      <c r="F7463" s="88">
        <v>8.9999999999999993E-3</v>
      </c>
      <c r="G7463" t="s">
        <v>4909</v>
      </c>
      <c r="H7463" s="88">
        <v>3.9E-2</v>
      </c>
      <c r="I7463" t="s">
        <v>4909</v>
      </c>
      <c r="J7463" t="s">
        <v>4909</v>
      </c>
      <c r="K7463" t="s">
        <v>4909</v>
      </c>
    </row>
    <row r="7464" spans="1:11" x14ac:dyDescent="0.2">
      <c r="A7464" t="s">
        <v>1733</v>
      </c>
      <c r="B7464" t="s">
        <v>4909</v>
      </c>
      <c r="C7464" t="s">
        <v>4909</v>
      </c>
      <c r="D7464" t="s">
        <v>4909</v>
      </c>
      <c r="E7464" t="s">
        <v>4909</v>
      </c>
      <c r="F7464" t="s">
        <v>4909</v>
      </c>
      <c r="G7464" t="s">
        <v>4909</v>
      </c>
      <c r="H7464" t="s">
        <v>4909</v>
      </c>
      <c r="I7464" t="s">
        <v>4909</v>
      </c>
      <c r="J7464" t="s">
        <v>4909</v>
      </c>
      <c r="K7464" t="s">
        <v>4909</v>
      </c>
    </row>
    <row r="7465" spans="1:11" x14ac:dyDescent="0.2">
      <c r="A7465" t="s">
        <v>1738</v>
      </c>
      <c r="B7465" t="s">
        <v>4909</v>
      </c>
      <c r="C7465" t="s">
        <v>4909</v>
      </c>
      <c r="D7465" t="s">
        <v>4909</v>
      </c>
      <c r="E7465" t="s">
        <v>4909</v>
      </c>
      <c r="F7465" t="s">
        <v>4909</v>
      </c>
      <c r="G7465" t="s">
        <v>4909</v>
      </c>
      <c r="H7465" t="s">
        <v>4909</v>
      </c>
      <c r="I7465" t="s">
        <v>4909</v>
      </c>
      <c r="J7465" t="s">
        <v>4909</v>
      </c>
      <c r="K7465" t="s">
        <v>4909</v>
      </c>
    </row>
    <row r="7466" spans="1:11" x14ac:dyDescent="0.2">
      <c r="A7466" t="s">
        <v>1744</v>
      </c>
      <c r="B7466" s="88">
        <v>0.32300000000000001</v>
      </c>
      <c r="C7466" t="s">
        <v>4909</v>
      </c>
      <c r="D7466" s="88">
        <v>0.255</v>
      </c>
      <c r="E7466" s="88">
        <v>0.38</v>
      </c>
      <c r="F7466" t="s">
        <v>4909</v>
      </c>
      <c r="G7466" t="s">
        <v>4909</v>
      </c>
      <c r="H7466" t="s">
        <v>4909</v>
      </c>
      <c r="I7466" t="s">
        <v>4909</v>
      </c>
      <c r="J7466" t="s">
        <v>4909</v>
      </c>
      <c r="K7466" t="s">
        <v>4909</v>
      </c>
    </row>
    <row r="7467" spans="1:11" x14ac:dyDescent="0.2">
      <c r="A7467" t="s">
        <v>1747</v>
      </c>
      <c r="B7467" t="s">
        <v>4909</v>
      </c>
      <c r="C7467" t="s">
        <v>4909</v>
      </c>
      <c r="D7467" t="s">
        <v>4909</v>
      </c>
      <c r="E7467" t="s">
        <v>4909</v>
      </c>
      <c r="F7467" t="s">
        <v>4909</v>
      </c>
      <c r="G7467" t="s">
        <v>4909</v>
      </c>
      <c r="H7467" s="88">
        <v>1</v>
      </c>
      <c r="I7467" t="s">
        <v>4909</v>
      </c>
      <c r="J7467" t="s">
        <v>4909</v>
      </c>
      <c r="K7467" t="s">
        <v>4909</v>
      </c>
    </row>
    <row r="7468" spans="1:11" x14ac:dyDescent="0.2">
      <c r="A7468" t="s">
        <v>1751</v>
      </c>
      <c r="B7468" t="s">
        <v>4909</v>
      </c>
      <c r="C7468" t="s">
        <v>4909</v>
      </c>
      <c r="D7468" t="s">
        <v>4909</v>
      </c>
      <c r="E7468" t="s">
        <v>4909</v>
      </c>
      <c r="F7468" t="s">
        <v>4909</v>
      </c>
      <c r="G7468" t="s">
        <v>4909</v>
      </c>
      <c r="H7468" t="s">
        <v>4909</v>
      </c>
      <c r="I7468" t="s">
        <v>4909</v>
      </c>
      <c r="J7468" t="s">
        <v>4909</v>
      </c>
      <c r="K7468" t="s">
        <v>4909</v>
      </c>
    </row>
    <row r="7469" spans="1:11" x14ac:dyDescent="0.2">
      <c r="A7469" t="s">
        <v>1755</v>
      </c>
      <c r="B7469" t="s">
        <v>4909</v>
      </c>
      <c r="C7469" t="s">
        <v>4909</v>
      </c>
      <c r="D7469" t="s">
        <v>4909</v>
      </c>
      <c r="E7469" t="s">
        <v>4909</v>
      </c>
      <c r="F7469" t="s">
        <v>4909</v>
      </c>
      <c r="G7469" t="s">
        <v>4909</v>
      </c>
      <c r="H7469" s="88">
        <v>1E-3</v>
      </c>
      <c r="I7469" t="s">
        <v>4909</v>
      </c>
      <c r="J7469" t="s">
        <v>4909</v>
      </c>
      <c r="K7469" t="s">
        <v>4909</v>
      </c>
    </row>
    <row r="7470" spans="1:11" x14ac:dyDescent="0.2">
      <c r="A7470" t="s">
        <v>1757</v>
      </c>
      <c r="B7470" t="s">
        <v>4909</v>
      </c>
      <c r="C7470" t="s">
        <v>4909</v>
      </c>
      <c r="D7470" t="s">
        <v>4909</v>
      </c>
      <c r="E7470" s="88">
        <v>0</v>
      </c>
      <c r="F7470" s="88">
        <v>0</v>
      </c>
      <c r="G7470" t="s">
        <v>4909</v>
      </c>
      <c r="H7470" s="88">
        <v>1E-3</v>
      </c>
      <c r="I7470" t="s">
        <v>4909</v>
      </c>
      <c r="J7470" t="s">
        <v>4909</v>
      </c>
      <c r="K7470" t="s">
        <v>4909</v>
      </c>
    </row>
    <row r="7471" spans="1:11" x14ac:dyDescent="0.2">
      <c r="A7471" t="s">
        <v>1761</v>
      </c>
      <c r="B7471" t="s">
        <v>4909</v>
      </c>
      <c r="C7471" t="s">
        <v>4909</v>
      </c>
      <c r="D7471" t="s">
        <v>4909</v>
      </c>
      <c r="E7471" t="s">
        <v>4909</v>
      </c>
      <c r="F7471" t="s">
        <v>4909</v>
      </c>
      <c r="G7471" t="s">
        <v>4909</v>
      </c>
      <c r="H7471" t="s">
        <v>4909</v>
      </c>
      <c r="I7471" t="s">
        <v>4909</v>
      </c>
      <c r="J7471" t="s">
        <v>4909</v>
      </c>
      <c r="K7471" t="s">
        <v>4909</v>
      </c>
    </row>
    <row r="7472" spans="1:11" x14ac:dyDescent="0.2">
      <c r="A7472" t="s">
        <v>1764</v>
      </c>
      <c r="B7472" t="s">
        <v>4909</v>
      </c>
      <c r="C7472" t="s">
        <v>4909</v>
      </c>
      <c r="D7472" t="s">
        <v>4909</v>
      </c>
      <c r="E7472" t="s">
        <v>4909</v>
      </c>
      <c r="F7472" t="s">
        <v>4909</v>
      </c>
      <c r="G7472" t="s">
        <v>4909</v>
      </c>
      <c r="H7472" t="s">
        <v>4909</v>
      </c>
      <c r="I7472" t="s">
        <v>4909</v>
      </c>
      <c r="J7472" t="s">
        <v>4909</v>
      </c>
      <c r="K7472" t="s">
        <v>4909</v>
      </c>
    </row>
    <row r="7473" spans="1:11" x14ac:dyDescent="0.2">
      <c r="A7473" t="s">
        <v>1770</v>
      </c>
      <c r="B7473" s="88">
        <v>0</v>
      </c>
      <c r="C7473" t="s">
        <v>4909</v>
      </c>
      <c r="D7473" s="88">
        <v>0</v>
      </c>
      <c r="E7473" s="88">
        <v>1E-3</v>
      </c>
      <c r="F7473" s="88">
        <v>1E-3</v>
      </c>
      <c r="G7473" t="s">
        <v>4909</v>
      </c>
      <c r="H7473" s="88">
        <v>7.0000000000000001E-3</v>
      </c>
      <c r="I7473" t="s">
        <v>4909</v>
      </c>
      <c r="J7473" t="s">
        <v>4909</v>
      </c>
      <c r="K7473" t="s">
        <v>4909</v>
      </c>
    </row>
    <row r="7474" spans="1:11" x14ac:dyDescent="0.2">
      <c r="A7474" t="s">
        <v>1772</v>
      </c>
      <c r="B7474" t="s">
        <v>4909</v>
      </c>
      <c r="C7474" t="s">
        <v>4909</v>
      </c>
      <c r="D7474" t="s">
        <v>4909</v>
      </c>
      <c r="E7474" s="88">
        <v>2E-3</v>
      </c>
      <c r="F7474" s="88">
        <v>1E-3</v>
      </c>
      <c r="G7474" t="s">
        <v>4909</v>
      </c>
      <c r="H7474" s="88">
        <v>5.0000000000000001E-3</v>
      </c>
      <c r="I7474" t="s">
        <v>4909</v>
      </c>
      <c r="J7474" t="s">
        <v>4909</v>
      </c>
      <c r="K7474" t="s">
        <v>4909</v>
      </c>
    </row>
    <row r="7475" spans="1:11" x14ac:dyDescent="0.2">
      <c r="A7475" t="s">
        <v>1774</v>
      </c>
      <c r="B7475" t="s">
        <v>4909</v>
      </c>
      <c r="C7475" t="s">
        <v>4909</v>
      </c>
      <c r="D7475" t="s">
        <v>4909</v>
      </c>
      <c r="E7475" t="s">
        <v>4909</v>
      </c>
      <c r="F7475" t="s">
        <v>4909</v>
      </c>
      <c r="G7475" t="s">
        <v>4909</v>
      </c>
      <c r="H7475" t="s">
        <v>4909</v>
      </c>
      <c r="I7475" t="s">
        <v>4909</v>
      </c>
      <c r="J7475" t="s">
        <v>4909</v>
      </c>
      <c r="K7475" t="s">
        <v>4909</v>
      </c>
    </row>
    <row r="7476" spans="1:11" x14ac:dyDescent="0.2">
      <c r="A7476" t="s">
        <v>1777</v>
      </c>
      <c r="B7476" t="s">
        <v>4909</v>
      </c>
      <c r="C7476" t="s">
        <v>4909</v>
      </c>
      <c r="D7476" t="s">
        <v>4909</v>
      </c>
      <c r="E7476" t="s">
        <v>4909</v>
      </c>
      <c r="F7476" t="s">
        <v>4909</v>
      </c>
      <c r="G7476" t="s">
        <v>4909</v>
      </c>
      <c r="H7476" t="s">
        <v>4909</v>
      </c>
      <c r="I7476" t="s">
        <v>4909</v>
      </c>
      <c r="J7476" t="s">
        <v>4909</v>
      </c>
      <c r="K7476" t="s">
        <v>4909</v>
      </c>
    </row>
    <row r="7477" spans="1:11" x14ac:dyDescent="0.2">
      <c r="A7477" t="s">
        <v>1782</v>
      </c>
      <c r="B7477" s="88">
        <v>0.33900000000000002</v>
      </c>
      <c r="C7477" t="s">
        <v>4909</v>
      </c>
      <c r="D7477" s="88">
        <v>0.26600000000000001</v>
      </c>
      <c r="E7477" s="88">
        <v>0.39300000000000002</v>
      </c>
      <c r="F7477" t="s">
        <v>4909</v>
      </c>
      <c r="G7477" t="s">
        <v>4909</v>
      </c>
      <c r="H7477" t="s">
        <v>4909</v>
      </c>
      <c r="I7477" t="s">
        <v>4909</v>
      </c>
      <c r="J7477" t="s">
        <v>4909</v>
      </c>
      <c r="K7477" t="s">
        <v>4909</v>
      </c>
    </row>
    <row r="7478" spans="1:11" x14ac:dyDescent="0.2">
      <c r="A7478" t="s">
        <v>1274</v>
      </c>
      <c r="B7478" t="s">
        <v>4909</v>
      </c>
      <c r="C7478" t="s">
        <v>4909</v>
      </c>
      <c r="D7478" t="s">
        <v>4909</v>
      </c>
      <c r="E7478" t="s">
        <v>4909</v>
      </c>
      <c r="F7478" t="s">
        <v>4909</v>
      </c>
      <c r="G7478" t="s">
        <v>4909</v>
      </c>
      <c r="H7478" t="s">
        <v>4909</v>
      </c>
      <c r="I7478" t="s">
        <v>4909</v>
      </c>
      <c r="J7478" t="s">
        <v>4909</v>
      </c>
      <c r="K7478" t="s">
        <v>4909</v>
      </c>
    </row>
    <row r="7479" spans="1:11" x14ac:dyDescent="0.2">
      <c r="A7479" t="s">
        <v>1277</v>
      </c>
      <c r="B7479" t="s">
        <v>4909</v>
      </c>
      <c r="C7479" t="s">
        <v>4909</v>
      </c>
      <c r="D7479" t="s">
        <v>4909</v>
      </c>
      <c r="E7479" t="s">
        <v>4909</v>
      </c>
      <c r="F7479" t="s">
        <v>4909</v>
      </c>
      <c r="G7479" t="s">
        <v>4909</v>
      </c>
      <c r="H7479" t="s">
        <v>4909</v>
      </c>
      <c r="I7479" t="s">
        <v>4909</v>
      </c>
      <c r="J7479" t="s">
        <v>4909</v>
      </c>
      <c r="K7479" t="s">
        <v>4909</v>
      </c>
    </row>
    <row r="7480" spans="1:11" x14ac:dyDescent="0.2">
      <c r="A7480" t="s">
        <v>1798</v>
      </c>
      <c r="B7480" t="s">
        <v>4909</v>
      </c>
      <c r="C7480" t="s">
        <v>4909</v>
      </c>
      <c r="D7480" t="s">
        <v>4909</v>
      </c>
      <c r="E7480" t="s">
        <v>4909</v>
      </c>
      <c r="F7480" t="s">
        <v>4909</v>
      </c>
      <c r="G7480" t="s">
        <v>4909</v>
      </c>
      <c r="H7480" t="s">
        <v>4909</v>
      </c>
      <c r="I7480" t="s">
        <v>4909</v>
      </c>
      <c r="J7480" t="s">
        <v>4909</v>
      </c>
      <c r="K7480" t="s">
        <v>4909</v>
      </c>
    </row>
    <row r="7481" spans="1:11" x14ac:dyDescent="0.2">
      <c r="A7481" t="s">
        <v>1803</v>
      </c>
      <c r="B7481" t="s">
        <v>4909</v>
      </c>
      <c r="C7481" t="s">
        <v>4909</v>
      </c>
      <c r="D7481" t="s">
        <v>4909</v>
      </c>
      <c r="E7481" t="s">
        <v>4909</v>
      </c>
      <c r="F7481" t="s">
        <v>4909</v>
      </c>
      <c r="G7481" t="s">
        <v>4909</v>
      </c>
      <c r="H7481" t="s">
        <v>4909</v>
      </c>
      <c r="I7481" t="s">
        <v>4909</v>
      </c>
      <c r="J7481" t="s">
        <v>4909</v>
      </c>
      <c r="K7481" t="s">
        <v>4909</v>
      </c>
    </row>
    <row r="7482" spans="1:11" x14ac:dyDescent="0.2">
      <c r="A7482" t="s">
        <v>1808</v>
      </c>
      <c r="B7482" t="s">
        <v>4909</v>
      </c>
      <c r="C7482" t="s">
        <v>4909</v>
      </c>
      <c r="D7482" t="s">
        <v>4909</v>
      </c>
      <c r="E7482" t="s">
        <v>4909</v>
      </c>
      <c r="F7482" t="s">
        <v>4909</v>
      </c>
      <c r="G7482" t="s">
        <v>4909</v>
      </c>
      <c r="H7482" t="s">
        <v>4909</v>
      </c>
      <c r="I7482" t="s">
        <v>4909</v>
      </c>
      <c r="J7482" t="s">
        <v>4909</v>
      </c>
      <c r="K7482" t="s">
        <v>4909</v>
      </c>
    </row>
    <row r="7483" spans="1:11" x14ac:dyDescent="0.2">
      <c r="A7483" t="s">
        <v>1813</v>
      </c>
      <c r="B7483" t="s">
        <v>4909</v>
      </c>
      <c r="C7483" t="s">
        <v>4909</v>
      </c>
      <c r="D7483" t="s">
        <v>4909</v>
      </c>
      <c r="E7483" t="s">
        <v>4909</v>
      </c>
      <c r="F7483" t="s">
        <v>4909</v>
      </c>
      <c r="G7483" t="s">
        <v>4909</v>
      </c>
      <c r="H7483" t="s">
        <v>4909</v>
      </c>
      <c r="I7483" t="s">
        <v>4909</v>
      </c>
      <c r="J7483" t="s">
        <v>4909</v>
      </c>
      <c r="K7483" t="s">
        <v>4909</v>
      </c>
    </row>
    <row r="7484" spans="1:11" x14ac:dyDescent="0.2">
      <c r="A7484" t="s">
        <v>1819</v>
      </c>
      <c r="B7484" t="s">
        <v>4909</v>
      </c>
      <c r="C7484" t="s">
        <v>4909</v>
      </c>
      <c r="D7484" t="s">
        <v>4909</v>
      </c>
      <c r="E7484" t="s">
        <v>4909</v>
      </c>
      <c r="F7484" t="s">
        <v>4909</v>
      </c>
      <c r="G7484" t="s">
        <v>4909</v>
      </c>
      <c r="H7484" t="s">
        <v>4909</v>
      </c>
      <c r="I7484" t="s">
        <v>4909</v>
      </c>
      <c r="J7484" t="s">
        <v>4909</v>
      </c>
      <c r="K7484" t="s">
        <v>4909</v>
      </c>
    </row>
    <row r="7485" spans="1:11" x14ac:dyDescent="0.2">
      <c r="A7485" t="s">
        <v>1826</v>
      </c>
      <c r="B7485" t="s">
        <v>4909</v>
      </c>
      <c r="C7485" t="s">
        <v>4909</v>
      </c>
      <c r="D7485" t="s">
        <v>4909</v>
      </c>
      <c r="E7485" t="s">
        <v>4909</v>
      </c>
      <c r="F7485" t="s">
        <v>4909</v>
      </c>
      <c r="G7485" t="s">
        <v>4909</v>
      </c>
      <c r="H7485" t="s">
        <v>4909</v>
      </c>
      <c r="I7485" t="s">
        <v>4909</v>
      </c>
      <c r="J7485" t="s">
        <v>4909</v>
      </c>
      <c r="K7485" t="s">
        <v>4909</v>
      </c>
    </row>
    <row r="7486" spans="1:11" x14ac:dyDescent="0.2">
      <c r="A7486" t="s">
        <v>1830</v>
      </c>
      <c r="B7486" t="s">
        <v>4909</v>
      </c>
      <c r="C7486" t="s">
        <v>4909</v>
      </c>
      <c r="D7486" t="s">
        <v>4909</v>
      </c>
      <c r="E7486" t="s">
        <v>4909</v>
      </c>
      <c r="F7486" t="s">
        <v>4909</v>
      </c>
      <c r="G7486" t="s">
        <v>4909</v>
      </c>
      <c r="H7486" t="s">
        <v>4909</v>
      </c>
      <c r="I7486" t="s">
        <v>4909</v>
      </c>
      <c r="J7486" t="s">
        <v>4909</v>
      </c>
      <c r="K7486" t="s">
        <v>4909</v>
      </c>
    </row>
    <row r="7487" spans="1:11" x14ac:dyDescent="0.2">
      <c r="A7487" t="s">
        <v>1836</v>
      </c>
      <c r="B7487" t="s">
        <v>4909</v>
      </c>
      <c r="C7487" t="s">
        <v>4909</v>
      </c>
      <c r="D7487" t="s">
        <v>4909</v>
      </c>
      <c r="E7487" t="s">
        <v>4909</v>
      </c>
      <c r="F7487" t="s">
        <v>4909</v>
      </c>
      <c r="G7487" t="s">
        <v>4909</v>
      </c>
      <c r="H7487" t="s">
        <v>4909</v>
      </c>
      <c r="I7487" t="s">
        <v>4909</v>
      </c>
      <c r="J7487" t="s">
        <v>4909</v>
      </c>
      <c r="K7487" t="s">
        <v>4909</v>
      </c>
    </row>
    <row r="7488" spans="1:11" x14ac:dyDescent="0.2">
      <c r="A7488" t="s">
        <v>1841</v>
      </c>
      <c r="B7488" t="s">
        <v>4909</v>
      </c>
      <c r="C7488" t="s">
        <v>4909</v>
      </c>
      <c r="D7488" t="s">
        <v>4909</v>
      </c>
      <c r="E7488" t="s">
        <v>4909</v>
      </c>
      <c r="F7488" t="s">
        <v>4909</v>
      </c>
      <c r="G7488" t="s">
        <v>4909</v>
      </c>
      <c r="H7488" t="s">
        <v>4909</v>
      </c>
      <c r="I7488" t="s">
        <v>4909</v>
      </c>
      <c r="J7488" t="s">
        <v>4909</v>
      </c>
      <c r="K7488" t="s">
        <v>4909</v>
      </c>
    </row>
    <row r="7489" spans="1:11" x14ac:dyDescent="0.2">
      <c r="A7489" t="s">
        <v>1842</v>
      </c>
      <c r="B7489" t="s">
        <v>4909</v>
      </c>
      <c r="C7489" t="s">
        <v>4909</v>
      </c>
      <c r="D7489" t="s">
        <v>4909</v>
      </c>
      <c r="E7489" s="88">
        <v>0</v>
      </c>
      <c r="F7489" s="88">
        <v>0</v>
      </c>
      <c r="G7489" t="s">
        <v>4909</v>
      </c>
      <c r="H7489" s="88">
        <v>0</v>
      </c>
      <c r="I7489" t="s">
        <v>4909</v>
      </c>
      <c r="J7489" t="s">
        <v>4909</v>
      </c>
      <c r="K7489" t="s">
        <v>4909</v>
      </c>
    </row>
    <row r="7490" spans="1:11" x14ac:dyDescent="0.2">
      <c r="A7490" t="s">
        <v>1843</v>
      </c>
      <c r="B7490" t="s">
        <v>4909</v>
      </c>
      <c r="C7490" t="s">
        <v>4909</v>
      </c>
      <c r="D7490" t="s">
        <v>4909</v>
      </c>
      <c r="E7490" t="s">
        <v>4909</v>
      </c>
      <c r="F7490" t="s">
        <v>4909</v>
      </c>
      <c r="G7490" t="s">
        <v>4909</v>
      </c>
      <c r="H7490" t="s">
        <v>4909</v>
      </c>
      <c r="I7490" t="s">
        <v>4909</v>
      </c>
      <c r="J7490" t="s">
        <v>4909</v>
      </c>
      <c r="K7490" t="s">
        <v>4909</v>
      </c>
    </row>
    <row r="7491" spans="1:11" x14ac:dyDescent="0.2">
      <c r="A7491" t="s">
        <v>1846</v>
      </c>
      <c r="B7491" t="s">
        <v>4909</v>
      </c>
      <c r="C7491" t="s">
        <v>4909</v>
      </c>
      <c r="D7491" t="s">
        <v>4909</v>
      </c>
      <c r="E7491" t="s">
        <v>4909</v>
      </c>
      <c r="F7491" t="s">
        <v>4909</v>
      </c>
      <c r="G7491" t="s">
        <v>4909</v>
      </c>
      <c r="H7491" t="s">
        <v>4909</v>
      </c>
      <c r="I7491" t="s">
        <v>4909</v>
      </c>
      <c r="J7491" t="s">
        <v>4909</v>
      </c>
      <c r="K7491" t="s">
        <v>4909</v>
      </c>
    </row>
    <row r="7492" spans="1:11" x14ac:dyDescent="0.2">
      <c r="A7492" t="s">
        <v>1851</v>
      </c>
      <c r="B7492" t="s">
        <v>4909</v>
      </c>
      <c r="C7492" t="s">
        <v>4909</v>
      </c>
      <c r="D7492" t="s">
        <v>4909</v>
      </c>
      <c r="E7492" t="s">
        <v>4909</v>
      </c>
      <c r="F7492" t="s">
        <v>4909</v>
      </c>
      <c r="G7492" t="s">
        <v>4909</v>
      </c>
      <c r="H7492" s="88">
        <v>0</v>
      </c>
      <c r="I7492" t="s">
        <v>4909</v>
      </c>
      <c r="J7492" t="s">
        <v>4909</v>
      </c>
      <c r="K7492" t="s">
        <v>4909</v>
      </c>
    </row>
    <row r="7493" spans="1:11" x14ac:dyDescent="0.2">
      <c r="A7493" t="s">
        <v>1857</v>
      </c>
      <c r="B7493" t="s">
        <v>4909</v>
      </c>
      <c r="C7493" t="s">
        <v>4909</v>
      </c>
      <c r="D7493" t="s">
        <v>4909</v>
      </c>
      <c r="E7493" t="s">
        <v>4909</v>
      </c>
      <c r="F7493" t="s">
        <v>4909</v>
      </c>
      <c r="G7493" t="s">
        <v>4909</v>
      </c>
      <c r="H7493" t="s">
        <v>4909</v>
      </c>
      <c r="I7493" t="s">
        <v>4909</v>
      </c>
      <c r="J7493" t="s">
        <v>4909</v>
      </c>
      <c r="K7493" t="s">
        <v>4909</v>
      </c>
    </row>
    <row r="7494" spans="1:11" x14ac:dyDescent="0.2">
      <c r="A7494" t="s">
        <v>1862</v>
      </c>
      <c r="B7494" t="s">
        <v>4909</v>
      </c>
      <c r="C7494" t="s">
        <v>4909</v>
      </c>
      <c r="D7494" t="s">
        <v>4909</v>
      </c>
      <c r="E7494" t="s">
        <v>4909</v>
      </c>
      <c r="F7494" t="s">
        <v>4909</v>
      </c>
      <c r="G7494" t="s">
        <v>4909</v>
      </c>
      <c r="H7494" t="s">
        <v>4909</v>
      </c>
      <c r="I7494" t="s">
        <v>4909</v>
      </c>
      <c r="J7494" t="s">
        <v>4909</v>
      </c>
      <c r="K7494" t="s">
        <v>4909</v>
      </c>
    </row>
    <row r="7495" spans="1:11" x14ac:dyDescent="0.2">
      <c r="A7495" t="s">
        <v>1867</v>
      </c>
      <c r="B7495" t="s">
        <v>4909</v>
      </c>
      <c r="C7495" t="s">
        <v>4909</v>
      </c>
      <c r="D7495" t="s">
        <v>4909</v>
      </c>
      <c r="E7495" t="s">
        <v>4909</v>
      </c>
      <c r="F7495" t="s">
        <v>4909</v>
      </c>
      <c r="G7495" t="s">
        <v>4909</v>
      </c>
      <c r="H7495" t="s">
        <v>4909</v>
      </c>
      <c r="I7495" t="s">
        <v>4909</v>
      </c>
      <c r="J7495" t="s">
        <v>4909</v>
      </c>
      <c r="K7495" t="s">
        <v>4909</v>
      </c>
    </row>
    <row r="7496" spans="1:11" x14ac:dyDescent="0.2">
      <c r="A7496" t="s">
        <v>1870</v>
      </c>
      <c r="B7496" t="s">
        <v>4909</v>
      </c>
      <c r="C7496" t="s">
        <v>4909</v>
      </c>
      <c r="D7496" t="s">
        <v>4909</v>
      </c>
      <c r="E7496" t="s">
        <v>4909</v>
      </c>
      <c r="F7496" t="s">
        <v>4909</v>
      </c>
      <c r="G7496" t="s">
        <v>4909</v>
      </c>
      <c r="H7496" t="s">
        <v>4909</v>
      </c>
      <c r="I7496" t="s">
        <v>4909</v>
      </c>
      <c r="J7496" t="s">
        <v>4909</v>
      </c>
      <c r="K7496" t="s">
        <v>4909</v>
      </c>
    </row>
    <row r="7497" spans="1:11" x14ac:dyDescent="0.2">
      <c r="A7497" t="s">
        <v>1874</v>
      </c>
      <c r="B7497" t="s">
        <v>4909</v>
      </c>
      <c r="C7497" t="s">
        <v>4909</v>
      </c>
      <c r="D7497" t="s">
        <v>4909</v>
      </c>
      <c r="E7497" t="s">
        <v>4909</v>
      </c>
      <c r="F7497" t="s">
        <v>4909</v>
      </c>
      <c r="G7497" t="s">
        <v>4909</v>
      </c>
      <c r="H7497" t="s">
        <v>4909</v>
      </c>
      <c r="I7497" t="s">
        <v>4909</v>
      </c>
      <c r="J7497" t="s">
        <v>4909</v>
      </c>
      <c r="K7497" t="s">
        <v>4909</v>
      </c>
    </row>
    <row r="7498" spans="1:11" x14ac:dyDescent="0.2">
      <c r="A7498" t="s">
        <v>1876</v>
      </c>
      <c r="B7498" t="s">
        <v>4909</v>
      </c>
      <c r="C7498" t="s">
        <v>4909</v>
      </c>
      <c r="D7498" t="s">
        <v>4909</v>
      </c>
      <c r="E7498" t="s">
        <v>4909</v>
      </c>
      <c r="F7498" t="s">
        <v>4909</v>
      </c>
      <c r="G7498" t="s">
        <v>4909</v>
      </c>
      <c r="H7498" t="s">
        <v>4909</v>
      </c>
      <c r="I7498" t="s">
        <v>4909</v>
      </c>
      <c r="J7498" t="s">
        <v>4909</v>
      </c>
      <c r="K7498" t="s">
        <v>4909</v>
      </c>
    </row>
    <row r="7499" spans="1:11" x14ac:dyDescent="0.2">
      <c r="A7499" t="s">
        <v>1881</v>
      </c>
      <c r="B7499" t="s">
        <v>4909</v>
      </c>
      <c r="C7499" t="s">
        <v>4909</v>
      </c>
      <c r="D7499" t="s">
        <v>4909</v>
      </c>
      <c r="E7499" t="s">
        <v>4909</v>
      </c>
      <c r="F7499" t="s">
        <v>4909</v>
      </c>
      <c r="G7499" t="s">
        <v>4909</v>
      </c>
      <c r="H7499" t="s">
        <v>4909</v>
      </c>
      <c r="I7499" t="s">
        <v>4909</v>
      </c>
      <c r="J7499" t="s">
        <v>4909</v>
      </c>
      <c r="K7499" t="s">
        <v>4909</v>
      </c>
    </row>
    <row r="7500" spans="1:11" x14ac:dyDescent="0.2">
      <c r="A7500" t="s">
        <v>1885</v>
      </c>
      <c r="B7500" t="s">
        <v>4909</v>
      </c>
      <c r="C7500" t="s">
        <v>4909</v>
      </c>
      <c r="D7500" t="s">
        <v>4909</v>
      </c>
      <c r="E7500" t="s">
        <v>4909</v>
      </c>
      <c r="F7500" t="s">
        <v>4909</v>
      </c>
      <c r="G7500" t="s">
        <v>4909</v>
      </c>
      <c r="H7500" s="88">
        <v>0</v>
      </c>
      <c r="I7500" t="s">
        <v>4909</v>
      </c>
      <c r="J7500" t="s">
        <v>4909</v>
      </c>
      <c r="K7500" t="s">
        <v>4909</v>
      </c>
    </row>
    <row r="7501" spans="1:11" x14ac:dyDescent="0.2">
      <c r="A7501" t="s">
        <v>1887</v>
      </c>
      <c r="B7501" t="s">
        <v>4909</v>
      </c>
      <c r="C7501" t="s">
        <v>4909</v>
      </c>
      <c r="D7501" t="s">
        <v>4909</v>
      </c>
      <c r="E7501" t="s">
        <v>4909</v>
      </c>
      <c r="F7501" t="s">
        <v>4909</v>
      </c>
      <c r="G7501" t="s">
        <v>4909</v>
      </c>
      <c r="H7501" t="s">
        <v>4909</v>
      </c>
      <c r="I7501" t="s">
        <v>4909</v>
      </c>
      <c r="J7501" t="s">
        <v>4909</v>
      </c>
      <c r="K7501" t="s">
        <v>4909</v>
      </c>
    </row>
    <row r="7502" spans="1:11" x14ac:dyDescent="0.2">
      <c r="A7502" t="s">
        <v>1893</v>
      </c>
      <c r="B7502" t="s">
        <v>4909</v>
      </c>
      <c r="C7502" t="s">
        <v>4909</v>
      </c>
      <c r="D7502" t="s">
        <v>4909</v>
      </c>
      <c r="E7502" t="s">
        <v>4909</v>
      </c>
      <c r="F7502" s="88">
        <v>0</v>
      </c>
      <c r="G7502" t="s">
        <v>4909</v>
      </c>
      <c r="H7502" s="88">
        <v>0</v>
      </c>
      <c r="I7502" t="s">
        <v>4909</v>
      </c>
      <c r="J7502" t="s">
        <v>4909</v>
      </c>
      <c r="K7502" t="s">
        <v>4909</v>
      </c>
    </row>
    <row r="7503" spans="1:11" x14ac:dyDescent="0.2">
      <c r="A7503" t="s">
        <v>1899</v>
      </c>
      <c r="B7503" t="s">
        <v>4909</v>
      </c>
      <c r="C7503" t="s">
        <v>4909</v>
      </c>
      <c r="D7503" t="s">
        <v>4909</v>
      </c>
      <c r="E7503" t="s">
        <v>4909</v>
      </c>
      <c r="F7503" t="s">
        <v>4909</v>
      </c>
      <c r="G7503" t="s">
        <v>4909</v>
      </c>
      <c r="H7503" t="s">
        <v>4909</v>
      </c>
      <c r="I7503" t="s">
        <v>4909</v>
      </c>
      <c r="J7503" t="s">
        <v>4909</v>
      </c>
      <c r="K7503" t="s">
        <v>4909</v>
      </c>
    </row>
    <row r="7504" spans="1:11" x14ac:dyDescent="0.2">
      <c r="A7504" t="s">
        <v>1906</v>
      </c>
      <c r="B7504" t="s">
        <v>4909</v>
      </c>
      <c r="C7504" t="s">
        <v>4909</v>
      </c>
      <c r="D7504" t="s">
        <v>4909</v>
      </c>
      <c r="E7504" t="s">
        <v>4909</v>
      </c>
      <c r="F7504" t="s">
        <v>4909</v>
      </c>
      <c r="G7504" t="s">
        <v>4909</v>
      </c>
      <c r="H7504" t="s">
        <v>4909</v>
      </c>
      <c r="I7504" t="s">
        <v>4909</v>
      </c>
      <c r="J7504" t="s">
        <v>4909</v>
      </c>
      <c r="K7504" t="s">
        <v>4909</v>
      </c>
    </row>
    <row r="7505" spans="1:11" x14ac:dyDescent="0.2">
      <c r="A7505" t="s">
        <v>1911</v>
      </c>
      <c r="B7505" t="s">
        <v>4909</v>
      </c>
      <c r="C7505" t="s">
        <v>4909</v>
      </c>
      <c r="D7505" t="s">
        <v>4909</v>
      </c>
      <c r="E7505" t="s">
        <v>4909</v>
      </c>
      <c r="F7505" t="s">
        <v>4909</v>
      </c>
      <c r="G7505" t="s">
        <v>4909</v>
      </c>
      <c r="H7505" t="s">
        <v>4909</v>
      </c>
      <c r="I7505" t="s">
        <v>4909</v>
      </c>
      <c r="J7505" t="s">
        <v>4909</v>
      </c>
      <c r="K7505" t="s">
        <v>4909</v>
      </c>
    </row>
    <row r="7506" spans="1:11" x14ac:dyDescent="0.2">
      <c r="A7506" t="s">
        <v>1917</v>
      </c>
      <c r="B7506" t="s">
        <v>4909</v>
      </c>
      <c r="C7506" t="s">
        <v>4909</v>
      </c>
      <c r="D7506" t="s">
        <v>4909</v>
      </c>
      <c r="E7506" t="s">
        <v>4909</v>
      </c>
      <c r="F7506" s="88">
        <v>0</v>
      </c>
      <c r="G7506" t="s">
        <v>4909</v>
      </c>
      <c r="H7506" s="88">
        <v>0</v>
      </c>
      <c r="I7506" t="s">
        <v>4909</v>
      </c>
      <c r="J7506" t="s">
        <v>4909</v>
      </c>
      <c r="K7506" t="s">
        <v>4909</v>
      </c>
    </row>
    <row r="7507" spans="1:11" x14ac:dyDescent="0.2">
      <c r="A7507" t="s">
        <v>1922</v>
      </c>
      <c r="B7507" t="s">
        <v>4909</v>
      </c>
      <c r="C7507" t="s">
        <v>4909</v>
      </c>
      <c r="D7507" t="s">
        <v>4909</v>
      </c>
      <c r="E7507" t="s">
        <v>4909</v>
      </c>
      <c r="F7507" t="s">
        <v>4909</v>
      </c>
      <c r="G7507" t="s">
        <v>4909</v>
      </c>
      <c r="H7507" t="s">
        <v>4909</v>
      </c>
      <c r="I7507" t="s">
        <v>4909</v>
      </c>
      <c r="J7507" t="s">
        <v>4909</v>
      </c>
      <c r="K7507" t="s">
        <v>4909</v>
      </c>
    </row>
    <row r="7508" spans="1:11" x14ac:dyDescent="0.2">
      <c r="A7508" t="s">
        <v>1928</v>
      </c>
      <c r="B7508" t="s">
        <v>4909</v>
      </c>
      <c r="C7508" t="s">
        <v>4909</v>
      </c>
      <c r="D7508" t="s">
        <v>4909</v>
      </c>
      <c r="E7508" t="s">
        <v>4909</v>
      </c>
      <c r="F7508" t="s">
        <v>4909</v>
      </c>
      <c r="G7508" t="s">
        <v>4909</v>
      </c>
      <c r="H7508" t="s">
        <v>4909</v>
      </c>
      <c r="I7508" t="s">
        <v>4909</v>
      </c>
      <c r="J7508" t="s">
        <v>4909</v>
      </c>
      <c r="K7508" t="s">
        <v>4909</v>
      </c>
    </row>
    <row r="7509" spans="1:11" x14ac:dyDescent="0.2">
      <c r="A7509" t="s">
        <v>1932</v>
      </c>
      <c r="B7509" t="s">
        <v>4909</v>
      </c>
      <c r="C7509" t="s">
        <v>4909</v>
      </c>
      <c r="D7509" t="s">
        <v>4909</v>
      </c>
      <c r="E7509" t="s">
        <v>4909</v>
      </c>
      <c r="F7509" t="s">
        <v>4909</v>
      </c>
      <c r="G7509" t="s">
        <v>4909</v>
      </c>
      <c r="H7509" t="s">
        <v>4909</v>
      </c>
      <c r="I7509" t="s">
        <v>4909</v>
      </c>
      <c r="J7509" t="s">
        <v>4909</v>
      </c>
      <c r="K7509" t="s">
        <v>4909</v>
      </c>
    </row>
    <row r="7510" spans="1:11" x14ac:dyDescent="0.2">
      <c r="A7510" t="s">
        <v>1938</v>
      </c>
      <c r="B7510" t="s">
        <v>4909</v>
      </c>
      <c r="C7510" t="s">
        <v>4909</v>
      </c>
      <c r="D7510" t="s">
        <v>4909</v>
      </c>
      <c r="E7510" t="s">
        <v>4909</v>
      </c>
      <c r="F7510" t="s">
        <v>4909</v>
      </c>
      <c r="G7510" t="s">
        <v>4909</v>
      </c>
      <c r="H7510" t="s">
        <v>4909</v>
      </c>
      <c r="I7510" t="s">
        <v>4909</v>
      </c>
      <c r="J7510" t="s">
        <v>4909</v>
      </c>
      <c r="K7510" t="s">
        <v>4909</v>
      </c>
    </row>
    <row r="7511" spans="1:11" x14ac:dyDescent="0.2">
      <c r="A7511" t="s">
        <v>1944</v>
      </c>
      <c r="B7511" t="s">
        <v>4909</v>
      </c>
      <c r="C7511" t="s">
        <v>4909</v>
      </c>
      <c r="D7511" t="s">
        <v>4909</v>
      </c>
      <c r="E7511" t="s">
        <v>4909</v>
      </c>
      <c r="F7511" t="s">
        <v>4909</v>
      </c>
      <c r="G7511" t="s">
        <v>4909</v>
      </c>
      <c r="H7511" t="s">
        <v>4909</v>
      </c>
      <c r="I7511" t="s">
        <v>4909</v>
      </c>
      <c r="J7511" t="s">
        <v>4909</v>
      </c>
      <c r="K7511" t="s">
        <v>4909</v>
      </c>
    </row>
    <row r="7512" spans="1:11" x14ac:dyDescent="0.2">
      <c r="A7512" t="s">
        <v>1947</v>
      </c>
      <c r="B7512" t="s">
        <v>4909</v>
      </c>
      <c r="C7512" t="s">
        <v>4909</v>
      </c>
      <c r="D7512" t="s">
        <v>4909</v>
      </c>
      <c r="E7512" t="s">
        <v>4909</v>
      </c>
      <c r="F7512" t="s">
        <v>4909</v>
      </c>
      <c r="G7512" t="s">
        <v>4909</v>
      </c>
      <c r="H7512" t="s">
        <v>4909</v>
      </c>
      <c r="I7512" t="s">
        <v>4909</v>
      </c>
      <c r="J7512" t="s">
        <v>4909</v>
      </c>
      <c r="K7512" t="s">
        <v>4909</v>
      </c>
    </row>
    <row r="7513" spans="1:11" x14ac:dyDescent="0.2">
      <c r="A7513" t="s">
        <v>1953</v>
      </c>
      <c r="B7513" t="s">
        <v>4909</v>
      </c>
      <c r="C7513" t="s">
        <v>4909</v>
      </c>
      <c r="D7513" t="s">
        <v>4909</v>
      </c>
      <c r="E7513" t="s">
        <v>4909</v>
      </c>
      <c r="F7513" t="s">
        <v>4909</v>
      </c>
      <c r="G7513" t="s">
        <v>4909</v>
      </c>
      <c r="H7513" t="s">
        <v>4909</v>
      </c>
      <c r="I7513" t="s">
        <v>4909</v>
      </c>
      <c r="J7513" t="s">
        <v>4909</v>
      </c>
      <c r="K7513" t="s">
        <v>4909</v>
      </c>
    </row>
    <row r="7514" spans="1:11" x14ac:dyDescent="0.2">
      <c r="A7514" t="s">
        <v>1958</v>
      </c>
      <c r="B7514" t="s">
        <v>4909</v>
      </c>
      <c r="C7514" t="s">
        <v>4909</v>
      </c>
      <c r="D7514" t="s">
        <v>4909</v>
      </c>
      <c r="E7514" t="s">
        <v>4909</v>
      </c>
      <c r="F7514" t="s">
        <v>4909</v>
      </c>
      <c r="G7514" t="s">
        <v>4909</v>
      </c>
      <c r="H7514" t="s">
        <v>4909</v>
      </c>
      <c r="I7514" t="s">
        <v>4909</v>
      </c>
      <c r="J7514" t="s">
        <v>4909</v>
      </c>
      <c r="K7514" t="s">
        <v>4909</v>
      </c>
    </row>
    <row r="7515" spans="1:11" x14ac:dyDescent="0.2">
      <c r="A7515" t="s">
        <v>1964</v>
      </c>
      <c r="B7515" t="s">
        <v>4909</v>
      </c>
      <c r="C7515" t="s">
        <v>4909</v>
      </c>
      <c r="D7515" t="s">
        <v>4909</v>
      </c>
      <c r="E7515" t="s">
        <v>4909</v>
      </c>
      <c r="F7515" t="s">
        <v>4909</v>
      </c>
      <c r="G7515" t="s">
        <v>4909</v>
      </c>
      <c r="H7515" t="s">
        <v>4909</v>
      </c>
      <c r="I7515" t="s">
        <v>4909</v>
      </c>
      <c r="J7515" t="s">
        <v>4909</v>
      </c>
      <c r="K7515" t="s">
        <v>4909</v>
      </c>
    </row>
    <row r="7516" spans="1:11" x14ac:dyDescent="0.2">
      <c r="A7516" t="s">
        <v>1973</v>
      </c>
      <c r="B7516" t="s">
        <v>4909</v>
      </c>
      <c r="C7516" t="s">
        <v>4909</v>
      </c>
      <c r="D7516" t="s">
        <v>4909</v>
      </c>
      <c r="E7516" t="s">
        <v>4909</v>
      </c>
      <c r="F7516" t="s">
        <v>4909</v>
      </c>
      <c r="G7516" t="s">
        <v>4909</v>
      </c>
      <c r="H7516" t="s">
        <v>4909</v>
      </c>
      <c r="I7516" t="s">
        <v>4909</v>
      </c>
      <c r="J7516" t="s">
        <v>4909</v>
      </c>
      <c r="K7516" t="s">
        <v>4909</v>
      </c>
    </row>
    <row r="7517" spans="1:11" x14ac:dyDescent="0.2">
      <c r="A7517" t="s">
        <v>1978</v>
      </c>
      <c r="B7517" t="s">
        <v>4909</v>
      </c>
      <c r="C7517" t="s">
        <v>4909</v>
      </c>
      <c r="D7517" t="s">
        <v>4909</v>
      </c>
      <c r="E7517" t="s">
        <v>4909</v>
      </c>
      <c r="F7517" t="s">
        <v>4909</v>
      </c>
      <c r="G7517" t="s">
        <v>4909</v>
      </c>
      <c r="H7517" t="s">
        <v>4909</v>
      </c>
      <c r="I7517" t="s">
        <v>4909</v>
      </c>
      <c r="J7517" t="s">
        <v>4909</v>
      </c>
      <c r="K7517" t="s">
        <v>4909</v>
      </c>
    </row>
    <row r="7518" spans="1:11" x14ac:dyDescent="0.2">
      <c r="A7518" t="s">
        <v>1983</v>
      </c>
      <c r="B7518" t="s">
        <v>4909</v>
      </c>
      <c r="C7518" t="s">
        <v>4909</v>
      </c>
      <c r="D7518" t="s">
        <v>4909</v>
      </c>
      <c r="E7518" t="s">
        <v>4909</v>
      </c>
      <c r="F7518" t="s">
        <v>4909</v>
      </c>
      <c r="G7518" t="s">
        <v>4909</v>
      </c>
      <c r="H7518" t="s">
        <v>4909</v>
      </c>
      <c r="I7518" t="s">
        <v>4909</v>
      </c>
      <c r="J7518" t="s">
        <v>4909</v>
      </c>
      <c r="K7518" t="s">
        <v>4909</v>
      </c>
    </row>
    <row r="7519" spans="1:11" x14ac:dyDescent="0.2">
      <c r="A7519" t="s">
        <v>1984</v>
      </c>
      <c r="B7519" t="s">
        <v>4909</v>
      </c>
      <c r="C7519" t="s">
        <v>4909</v>
      </c>
      <c r="D7519" t="s">
        <v>4909</v>
      </c>
      <c r="E7519" t="s">
        <v>4909</v>
      </c>
      <c r="F7519" t="s">
        <v>4909</v>
      </c>
      <c r="G7519" t="s">
        <v>4909</v>
      </c>
      <c r="H7519" t="s">
        <v>4909</v>
      </c>
      <c r="I7519" t="s">
        <v>4909</v>
      </c>
      <c r="J7519" t="s">
        <v>4909</v>
      </c>
      <c r="K7519" t="s">
        <v>4909</v>
      </c>
    </row>
    <row r="7520" spans="1:11" x14ac:dyDescent="0.2">
      <c r="A7520" t="s">
        <v>1990</v>
      </c>
      <c r="B7520" t="s">
        <v>4909</v>
      </c>
      <c r="C7520" t="s">
        <v>4909</v>
      </c>
      <c r="D7520" t="s">
        <v>4909</v>
      </c>
      <c r="E7520" t="s">
        <v>4909</v>
      </c>
      <c r="F7520" t="s">
        <v>4909</v>
      </c>
      <c r="G7520" t="s">
        <v>4909</v>
      </c>
      <c r="H7520" t="s">
        <v>4909</v>
      </c>
      <c r="I7520" t="s">
        <v>4909</v>
      </c>
      <c r="J7520" t="s">
        <v>4909</v>
      </c>
      <c r="K7520" t="s">
        <v>4909</v>
      </c>
    </row>
    <row r="7521" spans="1:11" x14ac:dyDescent="0.2">
      <c r="A7521" t="s">
        <v>1996</v>
      </c>
      <c r="B7521" t="s">
        <v>4909</v>
      </c>
      <c r="C7521" t="s">
        <v>4909</v>
      </c>
      <c r="D7521" t="s">
        <v>4909</v>
      </c>
      <c r="E7521" t="s">
        <v>4909</v>
      </c>
      <c r="F7521" t="s">
        <v>4909</v>
      </c>
      <c r="G7521" t="s">
        <v>4909</v>
      </c>
      <c r="H7521" t="s">
        <v>4909</v>
      </c>
      <c r="I7521" t="s">
        <v>4909</v>
      </c>
      <c r="J7521" t="s">
        <v>4909</v>
      </c>
      <c r="K7521" t="s">
        <v>4909</v>
      </c>
    </row>
    <row r="7522" spans="1:11" x14ac:dyDescent="0.2">
      <c r="A7522" t="s">
        <v>1998</v>
      </c>
      <c r="B7522" t="s">
        <v>4909</v>
      </c>
      <c r="C7522" t="s">
        <v>4909</v>
      </c>
      <c r="D7522" t="s">
        <v>4909</v>
      </c>
      <c r="E7522" t="s">
        <v>4909</v>
      </c>
      <c r="F7522" t="s">
        <v>4909</v>
      </c>
      <c r="G7522" t="s">
        <v>4909</v>
      </c>
      <c r="H7522" t="s">
        <v>4909</v>
      </c>
      <c r="I7522" t="s">
        <v>4909</v>
      </c>
      <c r="J7522" t="s">
        <v>4909</v>
      </c>
      <c r="K7522" t="s">
        <v>4909</v>
      </c>
    </row>
    <row r="7523" spans="1:11" x14ac:dyDescent="0.2">
      <c r="A7523" t="s">
        <v>1999</v>
      </c>
      <c r="B7523" t="s">
        <v>4909</v>
      </c>
      <c r="C7523" t="s">
        <v>4909</v>
      </c>
      <c r="D7523" t="s">
        <v>4909</v>
      </c>
      <c r="E7523" t="s">
        <v>4909</v>
      </c>
      <c r="F7523" t="s">
        <v>4909</v>
      </c>
      <c r="G7523" t="s">
        <v>4909</v>
      </c>
      <c r="H7523" t="s">
        <v>4909</v>
      </c>
      <c r="I7523" t="s">
        <v>4909</v>
      </c>
      <c r="J7523" t="s">
        <v>4909</v>
      </c>
      <c r="K7523" t="s">
        <v>4909</v>
      </c>
    </row>
    <row r="7524" spans="1:11" x14ac:dyDescent="0.2">
      <c r="A7524" t="s">
        <v>2004</v>
      </c>
      <c r="B7524" t="s">
        <v>4909</v>
      </c>
      <c r="C7524" t="s">
        <v>4909</v>
      </c>
      <c r="D7524" t="s">
        <v>4909</v>
      </c>
      <c r="E7524" t="s">
        <v>4909</v>
      </c>
      <c r="F7524" t="s">
        <v>4909</v>
      </c>
      <c r="G7524" t="s">
        <v>4909</v>
      </c>
      <c r="H7524" t="s">
        <v>4909</v>
      </c>
      <c r="I7524" t="s">
        <v>4909</v>
      </c>
      <c r="J7524" t="s">
        <v>4909</v>
      </c>
      <c r="K7524" t="s">
        <v>4909</v>
      </c>
    </row>
    <row r="7525" spans="1:11" x14ac:dyDescent="0.2">
      <c r="A7525" t="s">
        <v>2009</v>
      </c>
      <c r="B7525" t="s">
        <v>4909</v>
      </c>
      <c r="C7525" t="s">
        <v>4909</v>
      </c>
      <c r="D7525" t="s">
        <v>4909</v>
      </c>
      <c r="E7525" t="s">
        <v>4909</v>
      </c>
      <c r="F7525" t="s">
        <v>4909</v>
      </c>
      <c r="G7525" t="s">
        <v>4909</v>
      </c>
      <c r="H7525" t="s">
        <v>4909</v>
      </c>
      <c r="I7525" t="s">
        <v>4909</v>
      </c>
      <c r="J7525" t="s">
        <v>4909</v>
      </c>
      <c r="K7525" t="s">
        <v>4909</v>
      </c>
    </row>
    <row r="7526" spans="1:11" x14ac:dyDescent="0.2">
      <c r="A7526" t="s">
        <v>2014</v>
      </c>
      <c r="B7526" t="s">
        <v>4909</v>
      </c>
      <c r="C7526" t="s">
        <v>4909</v>
      </c>
      <c r="D7526" t="s">
        <v>4909</v>
      </c>
      <c r="E7526" t="s">
        <v>4909</v>
      </c>
      <c r="F7526" t="s">
        <v>4909</v>
      </c>
      <c r="G7526" t="s">
        <v>4909</v>
      </c>
      <c r="H7526" t="s">
        <v>4909</v>
      </c>
      <c r="I7526" t="s">
        <v>4909</v>
      </c>
      <c r="J7526" t="s">
        <v>4909</v>
      </c>
      <c r="K7526" t="s">
        <v>4909</v>
      </c>
    </row>
    <row r="7527" spans="1:11" x14ac:dyDescent="0.2">
      <c r="A7527" t="s">
        <v>2019</v>
      </c>
      <c r="B7527" t="s">
        <v>4909</v>
      </c>
      <c r="C7527" t="s">
        <v>4909</v>
      </c>
      <c r="D7527" t="s">
        <v>4909</v>
      </c>
      <c r="E7527" t="s">
        <v>4909</v>
      </c>
      <c r="F7527" t="s">
        <v>4909</v>
      </c>
      <c r="G7527" t="s">
        <v>4909</v>
      </c>
      <c r="H7527" t="s">
        <v>4909</v>
      </c>
      <c r="I7527" t="s">
        <v>4909</v>
      </c>
      <c r="J7527" t="s">
        <v>4909</v>
      </c>
      <c r="K7527" t="s">
        <v>4909</v>
      </c>
    </row>
    <row r="7528" spans="1:11" x14ac:dyDescent="0.2">
      <c r="A7528" t="s">
        <v>2023</v>
      </c>
      <c r="B7528" t="s">
        <v>4909</v>
      </c>
      <c r="C7528" t="s">
        <v>4909</v>
      </c>
      <c r="D7528" t="s">
        <v>4909</v>
      </c>
      <c r="E7528" t="s">
        <v>4909</v>
      </c>
      <c r="F7528" t="s">
        <v>4909</v>
      </c>
      <c r="G7528" t="s">
        <v>4909</v>
      </c>
      <c r="H7528" t="s">
        <v>4909</v>
      </c>
      <c r="I7528" t="s">
        <v>4909</v>
      </c>
      <c r="J7528" t="s">
        <v>4909</v>
      </c>
      <c r="K7528" t="s">
        <v>4909</v>
      </c>
    </row>
    <row r="7529" spans="1:11" x14ac:dyDescent="0.2">
      <c r="A7529" t="s">
        <v>2026</v>
      </c>
      <c r="B7529" t="s">
        <v>4909</v>
      </c>
      <c r="C7529" t="s">
        <v>4909</v>
      </c>
      <c r="D7529" t="s">
        <v>4909</v>
      </c>
      <c r="E7529" t="s">
        <v>4909</v>
      </c>
      <c r="F7529" t="s">
        <v>4909</v>
      </c>
      <c r="G7529" t="s">
        <v>4909</v>
      </c>
      <c r="H7529" t="s">
        <v>4909</v>
      </c>
      <c r="I7529" t="s">
        <v>4909</v>
      </c>
      <c r="J7529" t="s">
        <v>4909</v>
      </c>
      <c r="K7529" t="s">
        <v>4909</v>
      </c>
    </row>
    <row r="7530" spans="1:11" x14ac:dyDescent="0.2">
      <c r="A7530" t="s">
        <v>2030</v>
      </c>
      <c r="B7530" t="s">
        <v>4909</v>
      </c>
      <c r="C7530" t="s">
        <v>4909</v>
      </c>
      <c r="D7530" t="s">
        <v>4909</v>
      </c>
      <c r="E7530" t="s">
        <v>4909</v>
      </c>
      <c r="F7530" t="s">
        <v>4909</v>
      </c>
      <c r="G7530" t="s">
        <v>4909</v>
      </c>
      <c r="H7530" t="s">
        <v>4909</v>
      </c>
      <c r="I7530" t="s">
        <v>4909</v>
      </c>
      <c r="J7530" t="s">
        <v>4909</v>
      </c>
      <c r="K7530" t="s">
        <v>4909</v>
      </c>
    </row>
    <row r="7531" spans="1:11" x14ac:dyDescent="0.2">
      <c r="A7531" t="s">
        <v>2035</v>
      </c>
      <c r="B7531" t="s">
        <v>4909</v>
      </c>
      <c r="C7531" t="s">
        <v>4909</v>
      </c>
      <c r="D7531" t="s">
        <v>4909</v>
      </c>
      <c r="E7531" t="s">
        <v>4909</v>
      </c>
      <c r="F7531" t="s">
        <v>4909</v>
      </c>
      <c r="G7531" t="s">
        <v>4909</v>
      </c>
      <c r="H7531" t="s">
        <v>4909</v>
      </c>
      <c r="I7531" t="s">
        <v>4909</v>
      </c>
      <c r="J7531" t="s">
        <v>4909</v>
      </c>
      <c r="K7531" t="s">
        <v>4909</v>
      </c>
    </row>
    <row r="7532" spans="1:11" x14ac:dyDescent="0.2">
      <c r="A7532" t="s">
        <v>2040</v>
      </c>
      <c r="B7532" t="s">
        <v>4909</v>
      </c>
      <c r="C7532" t="s">
        <v>4909</v>
      </c>
      <c r="D7532" t="s">
        <v>4909</v>
      </c>
      <c r="E7532" t="s">
        <v>4909</v>
      </c>
      <c r="F7532" t="s">
        <v>4909</v>
      </c>
      <c r="G7532" t="s">
        <v>4909</v>
      </c>
      <c r="H7532" t="s">
        <v>4909</v>
      </c>
      <c r="I7532" t="s">
        <v>4909</v>
      </c>
      <c r="J7532" t="s">
        <v>4909</v>
      </c>
      <c r="K7532" t="s">
        <v>4909</v>
      </c>
    </row>
    <row r="7533" spans="1:11" x14ac:dyDescent="0.2">
      <c r="A7533" t="s">
        <v>2045</v>
      </c>
      <c r="B7533" t="s">
        <v>4909</v>
      </c>
      <c r="C7533" t="s">
        <v>4909</v>
      </c>
      <c r="D7533" t="s">
        <v>4909</v>
      </c>
      <c r="E7533" t="s">
        <v>4909</v>
      </c>
      <c r="F7533" t="s">
        <v>4909</v>
      </c>
      <c r="G7533" t="s">
        <v>4909</v>
      </c>
      <c r="H7533" t="s">
        <v>4909</v>
      </c>
      <c r="I7533" t="s">
        <v>4909</v>
      </c>
      <c r="J7533" t="s">
        <v>4909</v>
      </c>
      <c r="K7533" t="s">
        <v>4909</v>
      </c>
    </row>
    <row r="7534" spans="1:11" x14ac:dyDescent="0.2">
      <c r="A7534" t="s">
        <v>2049</v>
      </c>
      <c r="B7534" t="s">
        <v>4909</v>
      </c>
      <c r="C7534" t="s">
        <v>4909</v>
      </c>
      <c r="D7534" t="s">
        <v>4909</v>
      </c>
      <c r="E7534" t="s">
        <v>4909</v>
      </c>
      <c r="F7534" t="s">
        <v>4909</v>
      </c>
      <c r="G7534" t="s">
        <v>4909</v>
      </c>
      <c r="H7534" t="s">
        <v>4909</v>
      </c>
      <c r="I7534" t="s">
        <v>4909</v>
      </c>
      <c r="J7534" t="s">
        <v>4909</v>
      </c>
      <c r="K7534" t="s">
        <v>4909</v>
      </c>
    </row>
    <row r="7535" spans="1:11" x14ac:dyDescent="0.2">
      <c r="A7535" t="s">
        <v>2051</v>
      </c>
      <c r="B7535" t="s">
        <v>4909</v>
      </c>
      <c r="C7535" t="s">
        <v>4909</v>
      </c>
      <c r="D7535" t="s">
        <v>4909</v>
      </c>
      <c r="E7535" t="s">
        <v>4909</v>
      </c>
      <c r="F7535" s="88">
        <v>0</v>
      </c>
      <c r="G7535" t="s">
        <v>4909</v>
      </c>
      <c r="H7535" s="88">
        <v>1E-3</v>
      </c>
      <c r="I7535" t="s">
        <v>4909</v>
      </c>
      <c r="J7535" t="s">
        <v>4909</v>
      </c>
      <c r="K7535" t="s">
        <v>4909</v>
      </c>
    </row>
    <row r="7536" spans="1:11" x14ac:dyDescent="0.2">
      <c r="A7536" t="s">
        <v>2057</v>
      </c>
      <c r="B7536" t="s">
        <v>4909</v>
      </c>
      <c r="C7536" t="s">
        <v>4909</v>
      </c>
      <c r="D7536" t="s">
        <v>4909</v>
      </c>
      <c r="E7536" t="s">
        <v>4909</v>
      </c>
      <c r="F7536" s="88">
        <v>0</v>
      </c>
      <c r="G7536" t="s">
        <v>4909</v>
      </c>
      <c r="H7536" s="88">
        <v>0</v>
      </c>
      <c r="I7536" t="s">
        <v>4909</v>
      </c>
      <c r="J7536" t="s">
        <v>4909</v>
      </c>
      <c r="K7536" t="s">
        <v>4909</v>
      </c>
    </row>
    <row r="7537" spans="1:11" x14ac:dyDescent="0.2">
      <c r="A7537" t="s">
        <v>4344</v>
      </c>
      <c r="B7537" t="s">
        <v>4909</v>
      </c>
      <c r="C7537" t="s">
        <v>4909</v>
      </c>
      <c r="D7537" t="s">
        <v>4909</v>
      </c>
      <c r="E7537" t="s">
        <v>4909</v>
      </c>
      <c r="F7537" s="88">
        <v>0</v>
      </c>
      <c r="G7537" t="s">
        <v>4909</v>
      </c>
      <c r="H7537" s="88">
        <v>0</v>
      </c>
      <c r="I7537" t="s">
        <v>4909</v>
      </c>
      <c r="J7537" t="s">
        <v>4909</v>
      </c>
      <c r="K7537" t="s">
        <v>4909</v>
      </c>
    </row>
    <row r="7538" spans="1:11" x14ac:dyDescent="0.2">
      <c r="A7538" t="s">
        <v>4345</v>
      </c>
      <c r="B7538" t="s">
        <v>4909</v>
      </c>
      <c r="C7538" t="s">
        <v>4909</v>
      </c>
      <c r="D7538" t="s">
        <v>4909</v>
      </c>
      <c r="E7538" t="s">
        <v>4909</v>
      </c>
      <c r="F7538" s="88">
        <v>0</v>
      </c>
      <c r="G7538" t="s">
        <v>4909</v>
      </c>
      <c r="H7538" s="88">
        <v>0</v>
      </c>
      <c r="I7538" t="s">
        <v>4909</v>
      </c>
      <c r="J7538" t="s">
        <v>4909</v>
      </c>
      <c r="K7538" t="s">
        <v>4909</v>
      </c>
    </row>
    <row r="7539" spans="1:11" x14ac:dyDescent="0.2">
      <c r="A7539" t="s">
        <v>2074</v>
      </c>
      <c r="B7539" t="s">
        <v>4909</v>
      </c>
      <c r="C7539" t="s">
        <v>4909</v>
      </c>
      <c r="D7539" t="s">
        <v>4909</v>
      </c>
      <c r="E7539" t="s">
        <v>4909</v>
      </c>
      <c r="F7539" t="s">
        <v>4909</v>
      </c>
      <c r="G7539" t="s">
        <v>4909</v>
      </c>
      <c r="H7539" t="s">
        <v>4909</v>
      </c>
      <c r="I7539" t="s">
        <v>4909</v>
      </c>
      <c r="J7539" t="s">
        <v>4909</v>
      </c>
      <c r="K7539" t="s">
        <v>4909</v>
      </c>
    </row>
    <row r="7540" spans="1:11" x14ac:dyDescent="0.2">
      <c r="A7540" t="s">
        <v>2079</v>
      </c>
      <c r="B7540" t="s">
        <v>4909</v>
      </c>
      <c r="C7540" t="s">
        <v>4909</v>
      </c>
      <c r="D7540" t="s">
        <v>4909</v>
      </c>
      <c r="E7540" t="s">
        <v>4909</v>
      </c>
      <c r="F7540" t="s">
        <v>4909</v>
      </c>
      <c r="G7540" t="s">
        <v>4909</v>
      </c>
      <c r="H7540" t="s">
        <v>4909</v>
      </c>
      <c r="I7540" t="s">
        <v>4909</v>
      </c>
      <c r="J7540" t="s">
        <v>4909</v>
      </c>
      <c r="K7540" t="s">
        <v>4909</v>
      </c>
    </row>
    <row r="7541" spans="1:11" x14ac:dyDescent="0.2">
      <c r="A7541" t="s">
        <v>2085</v>
      </c>
      <c r="B7541" t="s">
        <v>4909</v>
      </c>
      <c r="C7541" t="s">
        <v>4909</v>
      </c>
      <c r="D7541" t="s">
        <v>4909</v>
      </c>
      <c r="E7541" t="s">
        <v>4909</v>
      </c>
      <c r="F7541" t="s">
        <v>4909</v>
      </c>
      <c r="G7541" t="s">
        <v>4909</v>
      </c>
      <c r="H7541" t="s">
        <v>4909</v>
      </c>
      <c r="I7541" t="s">
        <v>4909</v>
      </c>
      <c r="J7541" t="s">
        <v>4909</v>
      </c>
      <c r="K7541" t="s">
        <v>4909</v>
      </c>
    </row>
    <row r="7542" spans="1:11" x14ac:dyDescent="0.2">
      <c r="A7542" t="s">
        <v>2091</v>
      </c>
      <c r="B7542" t="s">
        <v>4909</v>
      </c>
      <c r="C7542" t="s">
        <v>4909</v>
      </c>
      <c r="D7542" t="s">
        <v>4909</v>
      </c>
      <c r="E7542" t="s">
        <v>4909</v>
      </c>
      <c r="F7542" t="s">
        <v>4909</v>
      </c>
      <c r="G7542" t="s">
        <v>4909</v>
      </c>
      <c r="H7542" t="s">
        <v>4909</v>
      </c>
      <c r="I7542" t="s">
        <v>4909</v>
      </c>
      <c r="J7542" t="s">
        <v>4909</v>
      </c>
      <c r="K7542" t="s">
        <v>4909</v>
      </c>
    </row>
    <row r="7543" spans="1:11" x14ac:dyDescent="0.2">
      <c r="A7543" t="s">
        <v>2097</v>
      </c>
      <c r="B7543" t="s">
        <v>4909</v>
      </c>
      <c r="C7543" t="s">
        <v>4909</v>
      </c>
      <c r="D7543" t="s">
        <v>4909</v>
      </c>
      <c r="E7543" t="s">
        <v>4909</v>
      </c>
      <c r="F7543" t="s">
        <v>4909</v>
      </c>
      <c r="G7543" t="s">
        <v>4909</v>
      </c>
      <c r="H7543" t="s">
        <v>4909</v>
      </c>
      <c r="I7543" t="s">
        <v>4909</v>
      </c>
      <c r="J7543" t="s">
        <v>4909</v>
      </c>
      <c r="K7543" t="s">
        <v>4909</v>
      </c>
    </row>
    <row r="7544" spans="1:11" x14ac:dyDescent="0.2">
      <c r="A7544" t="s">
        <v>2101</v>
      </c>
      <c r="B7544" t="s">
        <v>4909</v>
      </c>
      <c r="C7544" t="s">
        <v>4909</v>
      </c>
      <c r="D7544" t="s">
        <v>4909</v>
      </c>
      <c r="E7544" t="s">
        <v>4909</v>
      </c>
      <c r="F7544" t="s">
        <v>4909</v>
      </c>
      <c r="G7544" t="s">
        <v>4909</v>
      </c>
      <c r="H7544" t="s">
        <v>4909</v>
      </c>
      <c r="I7544" t="s">
        <v>4909</v>
      </c>
      <c r="J7544" t="s">
        <v>4909</v>
      </c>
      <c r="K7544" t="s">
        <v>4909</v>
      </c>
    </row>
    <row r="7545" spans="1:11" x14ac:dyDescent="0.2">
      <c r="A7545" t="s">
        <v>2104</v>
      </c>
      <c r="B7545" t="s">
        <v>4909</v>
      </c>
      <c r="C7545" t="s">
        <v>4909</v>
      </c>
      <c r="D7545" t="s">
        <v>4909</v>
      </c>
      <c r="E7545" t="s">
        <v>4909</v>
      </c>
      <c r="F7545" t="s">
        <v>4909</v>
      </c>
      <c r="G7545" t="s">
        <v>4909</v>
      </c>
      <c r="H7545" t="s">
        <v>4909</v>
      </c>
      <c r="I7545" t="s">
        <v>4909</v>
      </c>
      <c r="J7545" t="s">
        <v>4909</v>
      </c>
      <c r="K7545" t="s">
        <v>4909</v>
      </c>
    </row>
    <row r="7546" spans="1:11" x14ac:dyDescent="0.2">
      <c r="A7546" t="s">
        <v>2107</v>
      </c>
      <c r="B7546" t="s">
        <v>4909</v>
      </c>
      <c r="C7546" t="s">
        <v>4909</v>
      </c>
      <c r="D7546" t="s">
        <v>4909</v>
      </c>
      <c r="E7546" t="s">
        <v>4909</v>
      </c>
      <c r="F7546" t="s">
        <v>4909</v>
      </c>
      <c r="G7546" t="s">
        <v>4909</v>
      </c>
      <c r="H7546" t="s">
        <v>4909</v>
      </c>
      <c r="I7546" t="s">
        <v>4909</v>
      </c>
      <c r="J7546" t="s">
        <v>4909</v>
      </c>
      <c r="K7546" t="s">
        <v>4909</v>
      </c>
    </row>
    <row r="7547" spans="1:11" x14ac:dyDescent="0.2">
      <c r="A7547" t="s">
        <v>2110</v>
      </c>
      <c r="B7547" t="s">
        <v>4909</v>
      </c>
      <c r="C7547" t="s">
        <v>4909</v>
      </c>
      <c r="D7547" t="s">
        <v>4909</v>
      </c>
      <c r="E7547" t="s">
        <v>4909</v>
      </c>
      <c r="F7547" t="s">
        <v>4909</v>
      </c>
      <c r="G7547" t="s">
        <v>4909</v>
      </c>
      <c r="H7547" t="s">
        <v>4909</v>
      </c>
      <c r="I7547" t="s">
        <v>4909</v>
      </c>
      <c r="J7547" t="s">
        <v>4909</v>
      </c>
      <c r="K7547" t="s">
        <v>4909</v>
      </c>
    </row>
    <row r="7548" spans="1:11" x14ac:dyDescent="0.2">
      <c r="A7548" t="s">
        <v>2113</v>
      </c>
      <c r="B7548" t="s">
        <v>4909</v>
      </c>
      <c r="C7548" t="s">
        <v>4909</v>
      </c>
      <c r="D7548" t="s">
        <v>4909</v>
      </c>
      <c r="E7548" t="s">
        <v>4909</v>
      </c>
      <c r="F7548" t="s">
        <v>4909</v>
      </c>
      <c r="G7548" t="s">
        <v>4909</v>
      </c>
      <c r="H7548" t="s">
        <v>4909</v>
      </c>
      <c r="I7548" t="s">
        <v>4909</v>
      </c>
      <c r="J7548" t="s">
        <v>4909</v>
      </c>
      <c r="K7548" t="s">
        <v>4909</v>
      </c>
    </row>
    <row r="7549" spans="1:11" x14ac:dyDescent="0.2">
      <c r="A7549" t="s">
        <v>4346</v>
      </c>
      <c r="B7549" t="s">
        <v>4909</v>
      </c>
      <c r="C7549" t="s">
        <v>4909</v>
      </c>
      <c r="D7549" t="s">
        <v>4909</v>
      </c>
      <c r="E7549" t="s">
        <v>4909</v>
      </c>
      <c r="F7549" t="s">
        <v>4909</v>
      </c>
      <c r="G7549" t="s">
        <v>4909</v>
      </c>
      <c r="H7549" t="s">
        <v>4909</v>
      </c>
      <c r="I7549" t="s">
        <v>4909</v>
      </c>
      <c r="J7549" t="s">
        <v>4909</v>
      </c>
      <c r="K7549" t="s">
        <v>4909</v>
      </c>
    </row>
    <row r="7550" spans="1:11" x14ac:dyDescent="0.2">
      <c r="A7550" t="s">
        <v>4347</v>
      </c>
      <c r="B7550" t="s">
        <v>4909</v>
      </c>
      <c r="C7550" t="s">
        <v>4909</v>
      </c>
      <c r="D7550" t="s">
        <v>4909</v>
      </c>
      <c r="E7550" t="s">
        <v>4909</v>
      </c>
      <c r="F7550" t="s">
        <v>4909</v>
      </c>
      <c r="G7550" t="s">
        <v>4909</v>
      </c>
      <c r="H7550" t="s">
        <v>4909</v>
      </c>
      <c r="I7550" t="s">
        <v>4909</v>
      </c>
      <c r="J7550" t="s">
        <v>4909</v>
      </c>
      <c r="K7550" t="s">
        <v>4909</v>
      </c>
    </row>
    <row r="7551" spans="1:11" x14ac:dyDescent="0.2">
      <c r="A7551" t="s">
        <v>4348</v>
      </c>
      <c r="B7551" t="s">
        <v>4909</v>
      </c>
      <c r="C7551" t="s">
        <v>4909</v>
      </c>
      <c r="D7551" t="s">
        <v>4909</v>
      </c>
      <c r="E7551" t="s">
        <v>4909</v>
      </c>
      <c r="F7551" t="s">
        <v>4909</v>
      </c>
      <c r="G7551" t="s">
        <v>4909</v>
      </c>
      <c r="H7551" t="s">
        <v>4909</v>
      </c>
      <c r="I7551" t="s">
        <v>4909</v>
      </c>
      <c r="J7551" t="s">
        <v>4909</v>
      </c>
      <c r="K7551" t="s">
        <v>4909</v>
      </c>
    </row>
    <row r="7552" spans="1:11" x14ac:dyDescent="0.2">
      <c r="A7552" t="s">
        <v>4349</v>
      </c>
      <c r="B7552" t="s">
        <v>4909</v>
      </c>
      <c r="C7552" t="s">
        <v>4909</v>
      </c>
      <c r="D7552" t="s">
        <v>4909</v>
      </c>
      <c r="E7552" t="s">
        <v>4909</v>
      </c>
      <c r="F7552" t="s">
        <v>4909</v>
      </c>
      <c r="G7552" t="s">
        <v>4909</v>
      </c>
      <c r="H7552" t="s">
        <v>4909</v>
      </c>
      <c r="I7552" t="s">
        <v>4909</v>
      </c>
      <c r="J7552" t="s">
        <v>4909</v>
      </c>
      <c r="K7552" t="s">
        <v>4909</v>
      </c>
    </row>
    <row r="7553" spans="1:11" x14ac:dyDescent="0.2">
      <c r="A7553" t="s">
        <v>4350</v>
      </c>
      <c r="B7553" t="s">
        <v>4909</v>
      </c>
      <c r="C7553" t="s">
        <v>4909</v>
      </c>
      <c r="D7553" t="s">
        <v>4909</v>
      </c>
      <c r="E7553" s="88">
        <v>0</v>
      </c>
      <c r="F7553" s="88">
        <v>0</v>
      </c>
      <c r="G7553" t="s">
        <v>4909</v>
      </c>
      <c r="H7553" s="88">
        <v>0</v>
      </c>
      <c r="I7553" t="s">
        <v>4909</v>
      </c>
      <c r="J7553" t="s">
        <v>4909</v>
      </c>
      <c r="K7553" t="s">
        <v>4909</v>
      </c>
    </row>
    <row r="7554" spans="1:11" x14ac:dyDescent="0.2">
      <c r="A7554" t="s">
        <v>4351</v>
      </c>
      <c r="B7554" t="s">
        <v>4909</v>
      </c>
      <c r="C7554" t="s">
        <v>4909</v>
      </c>
      <c r="D7554" t="s">
        <v>4909</v>
      </c>
      <c r="E7554" t="s">
        <v>4909</v>
      </c>
      <c r="F7554" t="s">
        <v>4909</v>
      </c>
      <c r="G7554" t="s">
        <v>4909</v>
      </c>
      <c r="H7554" t="s">
        <v>4909</v>
      </c>
      <c r="I7554" t="s">
        <v>4909</v>
      </c>
      <c r="J7554" t="s">
        <v>4909</v>
      </c>
      <c r="K7554" t="s">
        <v>4909</v>
      </c>
    </row>
    <row r="7555" spans="1:11" x14ac:dyDescent="0.2">
      <c r="A7555" t="s">
        <v>4352</v>
      </c>
      <c r="B7555" t="s">
        <v>4909</v>
      </c>
      <c r="C7555" t="s">
        <v>4909</v>
      </c>
      <c r="D7555" t="s">
        <v>4909</v>
      </c>
      <c r="E7555" t="s">
        <v>4909</v>
      </c>
      <c r="F7555" t="s">
        <v>4909</v>
      </c>
      <c r="G7555" t="s">
        <v>4909</v>
      </c>
      <c r="H7555" t="s">
        <v>4909</v>
      </c>
      <c r="I7555" t="s">
        <v>4909</v>
      </c>
      <c r="J7555" t="s">
        <v>4909</v>
      </c>
      <c r="K7555" t="s">
        <v>4909</v>
      </c>
    </row>
    <row r="7556" spans="1:11" x14ac:dyDescent="0.2">
      <c r="A7556" t="s">
        <v>4353</v>
      </c>
      <c r="B7556" t="s">
        <v>4909</v>
      </c>
      <c r="C7556" t="s">
        <v>4909</v>
      </c>
      <c r="D7556" t="s">
        <v>4909</v>
      </c>
      <c r="E7556" t="s">
        <v>4909</v>
      </c>
      <c r="F7556" s="88">
        <v>1E-3</v>
      </c>
      <c r="G7556" t="s">
        <v>4909</v>
      </c>
      <c r="H7556" s="88">
        <v>5.0000000000000001E-3</v>
      </c>
      <c r="I7556" t="s">
        <v>4909</v>
      </c>
      <c r="J7556" t="s">
        <v>4909</v>
      </c>
      <c r="K7556" t="s">
        <v>4909</v>
      </c>
    </row>
    <row r="7557" spans="1:11" x14ac:dyDescent="0.2">
      <c r="A7557" t="s">
        <v>4354</v>
      </c>
      <c r="B7557" t="s">
        <v>4909</v>
      </c>
      <c r="C7557" t="s">
        <v>4909</v>
      </c>
      <c r="D7557" t="s">
        <v>4909</v>
      </c>
      <c r="E7557" t="s">
        <v>4909</v>
      </c>
      <c r="F7557" s="88">
        <v>1E-3</v>
      </c>
      <c r="G7557" t="s">
        <v>4909</v>
      </c>
      <c r="H7557" s="88">
        <v>5.0000000000000001E-3</v>
      </c>
      <c r="I7557" t="s">
        <v>4909</v>
      </c>
      <c r="J7557" t="s">
        <v>4909</v>
      </c>
      <c r="K7557" t="s">
        <v>4909</v>
      </c>
    </row>
    <row r="7558" spans="1:11" x14ac:dyDescent="0.2">
      <c r="A7558" t="s">
        <v>4355</v>
      </c>
      <c r="B7558" t="s">
        <v>4909</v>
      </c>
      <c r="C7558" t="s">
        <v>4909</v>
      </c>
      <c r="D7558" t="s">
        <v>4909</v>
      </c>
      <c r="E7558" t="s">
        <v>4909</v>
      </c>
      <c r="F7558" t="s">
        <v>4909</v>
      </c>
      <c r="G7558" t="s">
        <v>4909</v>
      </c>
      <c r="H7558" t="s">
        <v>4909</v>
      </c>
      <c r="I7558" t="s">
        <v>4909</v>
      </c>
      <c r="J7558" t="s">
        <v>4909</v>
      </c>
      <c r="K7558" t="s">
        <v>4909</v>
      </c>
    </row>
    <row r="7559" spans="1:11" x14ac:dyDescent="0.2">
      <c r="A7559" t="s">
        <v>4356</v>
      </c>
      <c r="B7559" t="s">
        <v>4909</v>
      </c>
      <c r="C7559" t="s">
        <v>4909</v>
      </c>
      <c r="D7559" t="s">
        <v>4909</v>
      </c>
      <c r="E7559" t="s">
        <v>4909</v>
      </c>
      <c r="F7559" t="s">
        <v>4909</v>
      </c>
      <c r="G7559" t="s">
        <v>4909</v>
      </c>
      <c r="H7559" t="s">
        <v>4909</v>
      </c>
      <c r="I7559" t="s">
        <v>4909</v>
      </c>
      <c r="J7559" t="s">
        <v>4909</v>
      </c>
      <c r="K7559" t="s">
        <v>4909</v>
      </c>
    </row>
    <row r="7560" spans="1:11" x14ac:dyDescent="0.2">
      <c r="A7560" t="s">
        <v>4357</v>
      </c>
      <c r="B7560" t="s">
        <v>4909</v>
      </c>
      <c r="C7560" t="s">
        <v>4909</v>
      </c>
      <c r="D7560" t="s">
        <v>4909</v>
      </c>
      <c r="E7560" t="s">
        <v>4909</v>
      </c>
      <c r="F7560" t="s">
        <v>4909</v>
      </c>
      <c r="G7560" t="s">
        <v>4909</v>
      </c>
      <c r="H7560" t="s">
        <v>4909</v>
      </c>
      <c r="I7560" t="s">
        <v>4909</v>
      </c>
      <c r="J7560" t="s">
        <v>4909</v>
      </c>
      <c r="K7560" t="s">
        <v>4909</v>
      </c>
    </row>
    <row r="7561" spans="1:11" x14ac:dyDescent="0.2">
      <c r="A7561" t="s">
        <v>4358</v>
      </c>
      <c r="B7561" t="s">
        <v>4909</v>
      </c>
      <c r="C7561" t="s">
        <v>4909</v>
      </c>
      <c r="D7561" t="s">
        <v>4909</v>
      </c>
      <c r="E7561" t="s">
        <v>4909</v>
      </c>
      <c r="F7561" t="s">
        <v>4909</v>
      </c>
      <c r="G7561" t="s">
        <v>4909</v>
      </c>
      <c r="H7561" t="s">
        <v>4909</v>
      </c>
      <c r="I7561" t="s">
        <v>4909</v>
      </c>
      <c r="J7561" t="s">
        <v>4909</v>
      </c>
      <c r="K7561" t="s">
        <v>4909</v>
      </c>
    </row>
    <row r="7562" spans="1:11" x14ac:dyDescent="0.2">
      <c r="A7562" t="s">
        <v>4359</v>
      </c>
      <c r="B7562" t="s">
        <v>4909</v>
      </c>
      <c r="C7562" t="s">
        <v>4909</v>
      </c>
      <c r="D7562" t="s">
        <v>4909</v>
      </c>
      <c r="E7562" t="s">
        <v>4909</v>
      </c>
      <c r="F7562" t="s">
        <v>4909</v>
      </c>
      <c r="G7562" t="s">
        <v>4909</v>
      </c>
      <c r="H7562" t="s">
        <v>4909</v>
      </c>
      <c r="I7562" t="s">
        <v>4909</v>
      </c>
      <c r="J7562" t="s">
        <v>4909</v>
      </c>
      <c r="K7562" t="s">
        <v>4909</v>
      </c>
    </row>
    <row r="7563" spans="1:11" x14ac:dyDescent="0.2">
      <c r="A7563" t="s">
        <v>4360</v>
      </c>
      <c r="B7563" t="s">
        <v>4909</v>
      </c>
      <c r="C7563" t="s">
        <v>4909</v>
      </c>
      <c r="D7563" t="s">
        <v>4909</v>
      </c>
      <c r="E7563" t="s">
        <v>4909</v>
      </c>
      <c r="F7563" t="s">
        <v>4909</v>
      </c>
      <c r="G7563" t="s">
        <v>4909</v>
      </c>
      <c r="H7563" s="88">
        <v>0</v>
      </c>
      <c r="I7563" t="s">
        <v>4909</v>
      </c>
      <c r="J7563" t="s">
        <v>4909</v>
      </c>
      <c r="K7563" t="s">
        <v>4909</v>
      </c>
    </row>
    <row r="7564" spans="1:11" x14ac:dyDescent="0.2">
      <c r="A7564" t="s">
        <v>4361</v>
      </c>
      <c r="B7564" t="s">
        <v>4909</v>
      </c>
      <c r="C7564" t="s">
        <v>4909</v>
      </c>
      <c r="D7564" t="s">
        <v>4909</v>
      </c>
      <c r="E7564" t="s">
        <v>4909</v>
      </c>
      <c r="F7564" s="88">
        <v>0</v>
      </c>
      <c r="G7564" t="s">
        <v>4909</v>
      </c>
      <c r="H7564" s="88">
        <v>1E-3</v>
      </c>
      <c r="I7564" t="s">
        <v>4909</v>
      </c>
      <c r="J7564" t="s">
        <v>4909</v>
      </c>
      <c r="K7564" t="s">
        <v>4909</v>
      </c>
    </row>
    <row r="7565" spans="1:11" x14ac:dyDescent="0.2">
      <c r="A7565" t="s">
        <v>4362</v>
      </c>
      <c r="B7565" t="s">
        <v>4909</v>
      </c>
      <c r="C7565" t="s">
        <v>4909</v>
      </c>
      <c r="D7565" t="s">
        <v>4909</v>
      </c>
      <c r="E7565" t="s">
        <v>4909</v>
      </c>
      <c r="F7565" t="s">
        <v>4909</v>
      </c>
      <c r="G7565" t="s">
        <v>4909</v>
      </c>
      <c r="H7565" t="s">
        <v>4909</v>
      </c>
      <c r="I7565" t="s">
        <v>4909</v>
      </c>
      <c r="J7565" t="s">
        <v>4909</v>
      </c>
      <c r="K7565" t="s">
        <v>4909</v>
      </c>
    </row>
    <row r="7566" spans="1:11" x14ac:dyDescent="0.2">
      <c r="A7566" t="s">
        <v>4363</v>
      </c>
      <c r="B7566" t="s">
        <v>4909</v>
      </c>
      <c r="C7566" t="s">
        <v>4909</v>
      </c>
      <c r="D7566" t="s">
        <v>4909</v>
      </c>
      <c r="E7566" t="s">
        <v>4909</v>
      </c>
      <c r="F7566" t="s">
        <v>4909</v>
      </c>
      <c r="G7566" t="s">
        <v>4909</v>
      </c>
      <c r="H7566" t="s">
        <v>4909</v>
      </c>
      <c r="I7566" t="s">
        <v>4909</v>
      </c>
      <c r="J7566" t="s">
        <v>4909</v>
      </c>
      <c r="K7566" t="s">
        <v>4909</v>
      </c>
    </row>
    <row r="7567" spans="1:11" x14ac:dyDescent="0.2">
      <c r="A7567" t="s">
        <v>4364</v>
      </c>
      <c r="B7567" t="s">
        <v>4909</v>
      </c>
      <c r="C7567" t="s">
        <v>4909</v>
      </c>
      <c r="D7567" t="s">
        <v>4909</v>
      </c>
      <c r="E7567" t="s">
        <v>4909</v>
      </c>
      <c r="F7567" t="s">
        <v>4909</v>
      </c>
      <c r="G7567" t="s">
        <v>4909</v>
      </c>
      <c r="H7567" t="s">
        <v>4909</v>
      </c>
      <c r="I7567" t="s">
        <v>4909</v>
      </c>
      <c r="J7567" t="s">
        <v>4909</v>
      </c>
      <c r="K7567" t="s">
        <v>4909</v>
      </c>
    </row>
    <row r="7568" spans="1:11" x14ac:dyDescent="0.2">
      <c r="A7568" t="s">
        <v>4365</v>
      </c>
      <c r="B7568" t="s">
        <v>4909</v>
      </c>
      <c r="C7568" t="s">
        <v>4909</v>
      </c>
      <c r="D7568" t="s">
        <v>4909</v>
      </c>
      <c r="E7568" s="88">
        <v>0</v>
      </c>
      <c r="F7568" s="88">
        <v>0</v>
      </c>
      <c r="G7568" t="s">
        <v>4909</v>
      </c>
      <c r="H7568" s="88">
        <v>0</v>
      </c>
      <c r="I7568" t="s">
        <v>4909</v>
      </c>
      <c r="J7568" t="s">
        <v>4909</v>
      </c>
      <c r="K7568" t="s">
        <v>4909</v>
      </c>
    </row>
    <row r="7569" spans="1:11" x14ac:dyDescent="0.2">
      <c r="A7569" t="s">
        <v>4366</v>
      </c>
      <c r="B7569" t="s">
        <v>4909</v>
      </c>
      <c r="C7569" t="s">
        <v>4909</v>
      </c>
      <c r="D7569" t="s">
        <v>4909</v>
      </c>
      <c r="E7569" t="s">
        <v>4909</v>
      </c>
      <c r="F7569" t="s">
        <v>4909</v>
      </c>
      <c r="G7569" t="s">
        <v>4909</v>
      </c>
      <c r="H7569" t="s">
        <v>4909</v>
      </c>
      <c r="I7569" t="s">
        <v>4909</v>
      </c>
      <c r="J7569" t="s">
        <v>4909</v>
      </c>
      <c r="K7569" t="s">
        <v>4909</v>
      </c>
    </row>
    <row r="7570" spans="1:11" x14ac:dyDescent="0.2">
      <c r="A7570" t="s">
        <v>4367</v>
      </c>
      <c r="B7570" t="s">
        <v>4909</v>
      </c>
      <c r="C7570" t="s">
        <v>4909</v>
      </c>
      <c r="D7570" t="s">
        <v>4909</v>
      </c>
      <c r="E7570" t="s">
        <v>4909</v>
      </c>
      <c r="F7570" t="s">
        <v>4909</v>
      </c>
      <c r="G7570" t="s">
        <v>4909</v>
      </c>
      <c r="H7570" t="s">
        <v>4909</v>
      </c>
      <c r="I7570" t="s">
        <v>4909</v>
      </c>
      <c r="J7570" t="s">
        <v>4909</v>
      </c>
      <c r="K7570" t="s">
        <v>4909</v>
      </c>
    </row>
    <row r="7571" spans="1:11" x14ac:dyDescent="0.2">
      <c r="A7571" t="s">
        <v>4368</v>
      </c>
      <c r="B7571" t="s">
        <v>4909</v>
      </c>
      <c r="C7571" t="s">
        <v>4909</v>
      </c>
      <c r="D7571" t="s">
        <v>4909</v>
      </c>
      <c r="E7571" s="88">
        <v>0</v>
      </c>
      <c r="F7571" s="88">
        <v>0</v>
      </c>
      <c r="G7571" t="s">
        <v>4909</v>
      </c>
      <c r="H7571" s="88">
        <v>1E-3</v>
      </c>
      <c r="I7571" t="s">
        <v>4909</v>
      </c>
      <c r="J7571" t="s">
        <v>4909</v>
      </c>
      <c r="K7571" t="s">
        <v>4909</v>
      </c>
    </row>
    <row r="7572" spans="1:11" x14ac:dyDescent="0.2">
      <c r="A7572" t="s">
        <v>4369</v>
      </c>
      <c r="B7572" s="88">
        <v>0</v>
      </c>
      <c r="C7572" t="s">
        <v>4909</v>
      </c>
      <c r="D7572" s="88">
        <v>0</v>
      </c>
      <c r="E7572" s="88">
        <v>0</v>
      </c>
      <c r="F7572" s="88">
        <v>0</v>
      </c>
      <c r="G7572" t="s">
        <v>4909</v>
      </c>
      <c r="H7572" s="88">
        <v>0</v>
      </c>
      <c r="I7572" t="s">
        <v>4909</v>
      </c>
      <c r="J7572" t="s">
        <v>4909</v>
      </c>
      <c r="K7572" t="s">
        <v>4909</v>
      </c>
    </row>
    <row r="7573" spans="1:11" x14ac:dyDescent="0.2">
      <c r="A7573" t="s">
        <v>4370</v>
      </c>
      <c r="B7573" t="s">
        <v>4909</v>
      </c>
      <c r="C7573" t="s">
        <v>4909</v>
      </c>
      <c r="D7573" t="s">
        <v>4909</v>
      </c>
      <c r="E7573" t="s">
        <v>4909</v>
      </c>
      <c r="F7573" t="s">
        <v>4909</v>
      </c>
      <c r="G7573" t="s">
        <v>4909</v>
      </c>
      <c r="H7573" t="s">
        <v>4909</v>
      </c>
      <c r="I7573" t="s">
        <v>4909</v>
      </c>
      <c r="J7573" t="s">
        <v>4909</v>
      </c>
      <c r="K7573" t="s">
        <v>4909</v>
      </c>
    </row>
    <row r="7574" spans="1:11" x14ac:dyDescent="0.2">
      <c r="A7574" t="s">
        <v>4371</v>
      </c>
      <c r="B7574" t="s">
        <v>4909</v>
      </c>
      <c r="C7574" t="s">
        <v>4909</v>
      </c>
      <c r="D7574" t="s">
        <v>4909</v>
      </c>
      <c r="E7574" t="s">
        <v>4909</v>
      </c>
      <c r="F7574" t="s">
        <v>4909</v>
      </c>
      <c r="G7574" t="s">
        <v>4909</v>
      </c>
      <c r="H7574" t="s">
        <v>4909</v>
      </c>
      <c r="I7574" t="s">
        <v>4909</v>
      </c>
      <c r="J7574" t="s">
        <v>4909</v>
      </c>
      <c r="K7574" t="s">
        <v>4909</v>
      </c>
    </row>
    <row r="7575" spans="1:11" x14ac:dyDescent="0.2">
      <c r="A7575" t="s">
        <v>4372</v>
      </c>
      <c r="B7575" t="s">
        <v>4909</v>
      </c>
      <c r="C7575" t="s">
        <v>4909</v>
      </c>
      <c r="D7575" t="s">
        <v>4909</v>
      </c>
      <c r="E7575" t="s">
        <v>4909</v>
      </c>
      <c r="F7575" t="s">
        <v>4909</v>
      </c>
      <c r="G7575" t="s">
        <v>4909</v>
      </c>
      <c r="H7575" t="s">
        <v>4909</v>
      </c>
      <c r="I7575" t="s">
        <v>4909</v>
      </c>
      <c r="J7575" t="s">
        <v>4909</v>
      </c>
      <c r="K7575" t="s">
        <v>4909</v>
      </c>
    </row>
    <row r="7576" spans="1:11" x14ac:dyDescent="0.2">
      <c r="A7576" t="s">
        <v>4373</v>
      </c>
      <c r="B7576" t="s">
        <v>4909</v>
      </c>
      <c r="C7576" t="s">
        <v>4909</v>
      </c>
      <c r="D7576" t="s">
        <v>4909</v>
      </c>
      <c r="E7576" t="s">
        <v>4909</v>
      </c>
      <c r="F7576" s="88">
        <v>0</v>
      </c>
      <c r="G7576" t="s">
        <v>4909</v>
      </c>
      <c r="H7576" s="88">
        <v>0</v>
      </c>
      <c r="I7576" t="s">
        <v>4909</v>
      </c>
      <c r="J7576" t="s">
        <v>4909</v>
      </c>
      <c r="K7576" t="s">
        <v>4909</v>
      </c>
    </row>
    <row r="7577" spans="1:11" x14ac:dyDescent="0.2">
      <c r="A7577" t="s">
        <v>4374</v>
      </c>
      <c r="B7577" t="s">
        <v>4909</v>
      </c>
      <c r="C7577" t="s">
        <v>4909</v>
      </c>
      <c r="D7577" t="s">
        <v>4909</v>
      </c>
      <c r="E7577" t="s">
        <v>4909</v>
      </c>
      <c r="F7577" t="s">
        <v>4909</v>
      </c>
      <c r="G7577" t="s">
        <v>4909</v>
      </c>
      <c r="H7577" t="s">
        <v>4909</v>
      </c>
      <c r="I7577" t="s">
        <v>4909</v>
      </c>
      <c r="J7577" t="s">
        <v>4909</v>
      </c>
      <c r="K7577" t="s">
        <v>4909</v>
      </c>
    </row>
    <row r="7578" spans="1:11" x14ac:dyDescent="0.2">
      <c r="A7578" t="s">
        <v>4375</v>
      </c>
      <c r="B7578" s="88">
        <v>0</v>
      </c>
      <c r="C7578" t="s">
        <v>4909</v>
      </c>
      <c r="D7578" s="88">
        <v>0</v>
      </c>
      <c r="E7578" s="88">
        <v>0</v>
      </c>
      <c r="F7578" s="88">
        <v>0</v>
      </c>
      <c r="G7578" t="s">
        <v>4909</v>
      </c>
      <c r="H7578" s="88">
        <v>0</v>
      </c>
      <c r="I7578" t="s">
        <v>4909</v>
      </c>
      <c r="J7578" t="s">
        <v>4909</v>
      </c>
      <c r="K7578" t="s">
        <v>4909</v>
      </c>
    </row>
    <row r="7579" spans="1:11" x14ac:dyDescent="0.2">
      <c r="A7579" t="s">
        <v>4376</v>
      </c>
      <c r="B7579" t="s">
        <v>4909</v>
      </c>
      <c r="C7579" t="s">
        <v>4909</v>
      </c>
      <c r="D7579" t="s">
        <v>4909</v>
      </c>
      <c r="E7579" t="s">
        <v>4909</v>
      </c>
      <c r="F7579" t="s">
        <v>4909</v>
      </c>
      <c r="G7579" t="s">
        <v>4909</v>
      </c>
      <c r="H7579" t="s">
        <v>4909</v>
      </c>
      <c r="I7579" t="s">
        <v>4909</v>
      </c>
      <c r="J7579" t="s">
        <v>4909</v>
      </c>
      <c r="K7579" t="s">
        <v>4909</v>
      </c>
    </row>
    <row r="7580" spans="1:11" x14ac:dyDescent="0.2">
      <c r="A7580" t="s">
        <v>4377</v>
      </c>
      <c r="B7580" s="88">
        <v>0</v>
      </c>
      <c r="C7580" t="s">
        <v>4909</v>
      </c>
      <c r="D7580" s="88">
        <v>0</v>
      </c>
      <c r="E7580" s="88">
        <v>0</v>
      </c>
      <c r="F7580" s="88">
        <v>0</v>
      </c>
      <c r="G7580" t="s">
        <v>4909</v>
      </c>
      <c r="H7580" s="88">
        <v>0</v>
      </c>
      <c r="I7580" t="s">
        <v>4909</v>
      </c>
      <c r="J7580" t="s">
        <v>4909</v>
      </c>
      <c r="K7580" t="s">
        <v>4909</v>
      </c>
    </row>
    <row r="7581" spans="1:11" x14ac:dyDescent="0.2">
      <c r="A7581" t="s">
        <v>2318</v>
      </c>
      <c r="B7581" t="s">
        <v>4399</v>
      </c>
      <c r="C7581" t="s">
        <v>4399</v>
      </c>
      <c r="D7581" t="s">
        <v>4399</v>
      </c>
      <c r="E7581" t="s">
        <v>4399</v>
      </c>
      <c r="F7581" t="s">
        <v>4399</v>
      </c>
      <c r="G7581" t="s">
        <v>4399</v>
      </c>
      <c r="H7581" t="s">
        <v>4399</v>
      </c>
      <c r="I7581" t="s">
        <v>4399</v>
      </c>
      <c r="J7581" t="s">
        <v>4399</v>
      </c>
      <c r="K7581" t="s">
        <v>4399</v>
      </c>
    </row>
    <row r="7582" spans="1:11" x14ac:dyDescent="0.2">
      <c r="A7582" t="s">
        <v>4248</v>
      </c>
    </row>
    <row r="7583" spans="1:11" x14ac:dyDescent="0.2">
      <c r="A7583" t="s">
        <v>4910</v>
      </c>
      <c r="B7583" t="s">
        <v>4904</v>
      </c>
      <c r="C7583" t="s">
        <v>4911</v>
      </c>
      <c r="D7583" t="s">
        <v>4912</v>
      </c>
      <c r="E7583" t="s">
        <v>4907</v>
      </c>
      <c r="F7583" t="s">
        <v>4913</v>
      </c>
      <c r="G7583">
        <v>13</v>
      </c>
    </row>
    <row r="7584" spans="1:11" x14ac:dyDescent="0.2">
      <c r="A7584" t="s">
        <v>2318</v>
      </c>
      <c r="B7584" t="s">
        <v>4399</v>
      </c>
      <c r="C7584" t="s">
        <v>4399</v>
      </c>
      <c r="D7584" t="s">
        <v>4399</v>
      </c>
      <c r="E7584" t="s">
        <v>4399</v>
      </c>
      <c r="F7584" t="s">
        <v>4399</v>
      </c>
      <c r="G7584" t="s">
        <v>4399</v>
      </c>
      <c r="H7584" t="s">
        <v>4399</v>
      </c>
      <c r="I7584" t="s">
        <v>4399</v>
      </c>
      <c r="J7584" t="s">
        <v>4399</v>
      </c>
      <c r="K7584" t="s">
        <v>4399</v>
      </c>
    </row>
    <row r="7585" spans="1:11" x14ac:dyDescent="0.2">
      <c r="A7585" t="s">
        <v>126</v>
      </c>
      <c r="B7585" t="s">
        <v>4389</v>
      </c>
      <c r="C7585" t="s">
        <v>4393</v>
      </c>
      <c r="D7585" t="s">
        <v>4397</v>
      </c>
      <c r="E7585" t="s">
        <v>4402</v>
      </c>
      <c r="F7585" t="s">
        <v>4407</v>
      </c>
      <c r="G7585" t="s">
        <v>4410</v>
      </c>
      <c r="H7585" t="s">
        <v>4413</v>
      </c>
      <c r="I7585" t="s">
        <v>4416</v>
      </c>
      <c r="J7585" t="s">
        <v>4419</v>
      </c>
      <c r="K7585" t="s">
        <v>4422</v>
      </c>
    </row>
    <row r="7586" spans="1:11" x14ac:dyDescent="0.2">
      <c r="A7586" t="s">
        <v>2318</v>
      </c>
      <c r="B7586" t="s">
        <v>4399</v>
      </c>
      <c r="C7586" t="s">
        <v>4399</v>
      </c>
      <c r="D7586" t="s">
        <v>4399</v>
      </c>
      <c r="E7586" t="s">
        <v>4399</v>
      </c>
      <c r="F7586" t="s">
        <v>4399</v>
      </c>
      <c r="G7586" t="s">
        <v>4399</v>
      </c>
      <c r="H7586" t="s">
        <v>4399</v>
      </c>
      <c r="I7586" t="s">
        <v>4399</v>
      </c>
      <c r="J7586" t="s">
        <v>4399</v>
      </c>
      <c r="K7586" t="s">
        <v>4399</v>
      </c>
    </row>
    <row r="7587" spans="1:11" x14ac:dyDescent="0.2">
      <c r="A7587" t="s">
        <v>4265</v>
      </c>
      <c r="B7587" t="s">
        <v>4909</v>
      </c>
      <c r="C7587" t="s">
        <v>4909</v>
      </c>
      <c r="D7587" t="s">
        <v>4909</v>
      </c>
      <c r="E7587" t="s">
        <v>4909</v>
      </c>
      <c r="F7587" t="s">
        <v>4909</v>
      </c>
      <c r="G7587" t="s">
        <v>4909</v>
      </c>
      <c r="H7587" t="s">
        <v>4909</v>
      </c>
      <c r="I7587" t="s">
        <v>4909</v>
      </c>
      <c r="J7587" t="s">
        <v>4909</v>
      </c>
      <c r="K7587" t="s">
        <v>4909</v>
      </c>
    </row>
    <row r="7588" spans="1:11" x14ac:dyDescent="0.2">
      <c r="A7588" t="s">
        <v>4266</v>
      </c>
      <c r="B7588" t="s">
        <v>4909</v>
      </c>
      <c r="C7588" t="s">
        <v>4909</v>
      </c>
      <c r="D7588" t="s">
        <v>4909</v>
      </c>
      <c r="E7588" t="s">
        <v>4909</v>
      </c>
      <c r="F7588" t="s">
        <v>4909</v>
      </c>
      <c r="G7588" t="s">
        <v>4909</v>
      </c>
      <c r="H7588" t="s">
        <v>4909</v>
      </c>
      <c r="I7588" t="s">
        <v>4909</v>
      </c>
      <c r="J7588" t="s">
        <v>4909</v>
      </c>
      <c r="K7588" t="s">
        <v>4909</v>
      </c>
    </row>
    <row r="7589" spans="1:11" x14ac:dyDescent="0.2">
      <c r="A7589" t="s">
        <v>4267</v>
      </c>
      <c r="B7589" t="s">
        <v>4909</v>
      </c>
      <c r="C7589" t="s">
        <v>4909</v>
      </c>
      <c r="D7589" t="s">
        <v>4909</v>
      </c>
      <c r="E7589" t="s">
        <v>4909</v>
      </c>
      <c r="F7589" t="s">
        <v>4909</v>
      </c>
      <c r="G7589" t="s">
        <v>4909</v>
      </c>
      <c r="H7589" t="s">
        <v>4909</v>
      </c>
      <c r="I7589" t="s">
        <v>4909</v>
      </c>
      <c r="J7589" t="s">
        <v>4909</v>
      </c>
      <c r="K7589" t="s">
        <v>4909</v>
      </c>
    </row>
    <row r="7590" spans="1:11" x14ac:dyDescent="0.2">
      <c r="A7590" t="s">
        <v>4268</v>
      </c>
      <c r="B7590" t="s">
        <v>4909</v>
      </c>
      <c r="C7590" t="s">
        <v>4909</v>
      </c>
      <c r="D7590" t="s">
        <v>4909</v>
      </c>
      <c r="E7590" t="s">
        <v>4909</v>
      </c>
      <c r="F7590" t="s">
        <v>4909</v>
      </c>
      <c r="G7590" t="s">
        <v>4909</v>
      </c>
      <c r="H7590" t="s">
        <v>4909</v>
      </c>
      <c r="I7590" t="s">
        <v>4909</v>
      </c>
      <c r="J7590" t="s">
        <v>4909</v>
      </c>
      <c r="K7590" t="s">
        <v>4909</v>
      </c>
    </row>
    <row r="7591" spans="1:11" x14ac:dyDescent="0.2">
      <c r="A7591" t="s">
        <v>4269</v>
      </c>
      <c r="B7591" t="s">
        <v>4909</v>
      </c>
      <c r="C7591" t="s">
        <v>4909</v>
      </c>
      <c r="D7591" t="s">
        <v>4909</v>
      </c>
      <c r="E7591" t="s">
        <v>4909</v>
      </c>
      <c r="F7591" t="s">
        <v>4909</v>
      </c>
      <c r="G7591" t="s">
        <v>4909</v>
      </c>
      <c r="H7591" t="s">
        <v>4909</v>
      </c>
      <c r="I7591" t="s">
        <v>4909</v>
      </c>
      <c r="J7591" t="s">
        <v>4909</v>
      </c>
      <c r="K7591" t="s">
        <v>4909</v>
      </c>
    </row>
    <row r="7592" spans="1:11" x14ac:dyDescent="0.2">
      <c r="A7592" t="s">
        <v>4270</v>
      </c>
      <c r="B7592" t="s">
        <v>4909</v>
      </c>
      <c r="C7592" t="s">
        <v>4909</v>
      </c>
      <c r="D7592" t="s">
        <v>4909</v>
      </c>
      <c r="E7592" t="s">
        <v>4909</v>
      </c>
      <c r="F7592" t="s">
        <v>4909</v>
      </c>
      <c r="G7592" t="s">
        <v>4909</v>
      </c>
      <c r="H7592" t="s">
        <v>4909</v>
      </c>
      <c r="I7592" t="s">
        <v>4909</v>
      </c>
      <c r="J7592" t="s">
        <v>4909</v>
      </c>
      <c r="K7592" t="s">
        <v>4909</v>
      </c>
    </row>
    <row r="7593" spans="1:11" x14ac:dyDescent="0.2">
      <c r="A7593" t="s">
        <v>4271</v>
      </c>
      <c r="B7593" t="s">
        <v>4909</v>
      </c>
      <c r="C7593" t="s">
        <v>4909</v>
      </c>
      <c r="D7593" t="s">
        <v>4909</v>
      </c>
      <c r="E7593" t="s">
        <v>4909</v>
      </c>
      <c r="F7593" t="s">
        <v>4909</v>
      </c>
      <c r="G7593" t="s">
        <v>4909</v>
      </c>
      <c r="H7593" t="s">
        <v>4909</v>
      </c>
      <c r="I7593" t="s">
        <v>4909</v>
      </c>
      <c r="J7593" t="s">
        <v>4909</v>
      </c>
      <c r="K7593" t="s">
        <v>4909</v>
      </c>
    </row>
    <row r="7594" spans="1:11" x14ac:dyDescent="0.2">
      <c r="A7594" t="s">
        <v>4272</v>
      </c>
      <c r="B7594" t="s">
        <v>4909</v>
      </c>
      <c r="C7594" t="s">
        <v>4909</v>
      </c>
      <c r="D7594" t="s">
        <v>4909</v>
      </c>
      <c r="E7594" t="s">
        <v>4909</v>
      </c>
      <c r="F7594" t="s">
        <v>4909</v>
      </c>
      <c r="G7594" t="s">
        <v>4909</v>
      </c>
      <c r="H7594" t="s">
        <v>4909</v>
      </c>
      <c r="I7594" t="s">
        <v>4909</v>
      </c>
      <c r="J7594" t="s">
        <v>4909</v>
      </c>
      <c r="K7594" t="s">
        <v>4909</v>
      </c>
    </row>
    <row r="7595" spans="1:11" x14ac:dyDescent="0.2">
      <c r="A7595" t="s">
        <v>4273</v>
      </c>
      <c r="B7595" t="s">
        <v>4909</v>
      </c>
      <c r="C7595" t="s">
        <v>4909</v>
      </c>
      <c r="D7595" t="s">
        <v>4909</v>
      </c>
      <c r="E7595" t="s">
        <v>4909</v>
      </c>
      <c r="F7595" t="s">
        <v>4909</v>
      </c>
      <c r="G7595" t="s">
        <v>4909</v>
      </c>
      <c r="H7595" t="s">
        <v>4909</v>
      </c>
      <c r="I7595" t="s">
        <v>4909</v>
      </c>
      <c r="J7595" t="s">
        <v>4909</v>
      </c>
      <c r="K7595" t="s">
        <v>4909</v>
      </c>
    </row>
    <row r="7596" spans="1:11" x14ac:dyDescent="0.2">
      <c r="A7596" t="s">
        <v>4274</v>
      </c>
      <c r="B7596" t="s">
        <v>4909</v>
      </c>
      <c r="C7596" t="s">
        <v>4909</v>
      </c>
      <c r="D7596" t="s">
        <v>4909</v>
      </c>
      <c r="E7596" t="s">
        <v>4909</v>
      </c>
      <c r="F7596" t="s">
        <v>4909</v>
      </c>
      <c r="G7596" t="s">
        <v>4909</v>
      </c>
      <c r="H7596" t="s">
        <v>4909</v>
      </c>
      <c r="I7596" t="s">
        <v>4909</v>
      </c>
      <c r="J7596" t="s">
        <v>4909</v>
      </c>
      <c r="K7596" t="s">
        <v>4909</v>
      </c>
    </row>
    <row r="7597" spans="1:11" x14ac:dyDescent="0.2">
      <c r="A7597" t="s">
        <v>4275</v>
      </c>
      <c r="B7597" t="s">
        <v>4909</v>
      </c>
      <c r="C7597" t="s">
        <v>4909</v>
      </c>
      <c r="D7597" t="s">
        <v>4909</v>
      </c>
      <c r="E7597" t="s">
        <v>4909</v>
      </c>
      <c r="F7597" t="s">
        <v>4909</v>
      </c>
      <c r="G7597" t="s">
        <v>4909</v>
      </c>
      <c r="H7597" t="s">
        <v>4909</v>
      </c>
      <c r="I7597" t="s">
        <v>4909</v>
      </c>
      <c r="J7597" t="s">
        <v>4909</v>
      </c>
      <c r="K7597" t="s">
        <v>4909</v>
      </c>
    </row>
    <row r="7598" spans="1:11" x14ac:dyDescent="0.2">
      <c r="A7598" t="s">
        <v>4276</v>
      </c>
      <c r="B7598" t="s">
        <v>4909</v>
      </c>
      <c r="C7598" t="s">
        <v>4909</v>
      </c>
      <c r="D7598" t="s">
        <v>4909</v>
      </c>
      <c r="E7598" t="s">
        <v>4909</v>
      </c>
      <c r="F7598" t="s">
        <v>4909</v>
      </c>
      <c r="G7598" t="s">
        <v>4909</v>
      </c>
      <c r="H7598" t="s">
        <v>4909</v>
      </c>
      <c r="I7598" t="s">
        <v>4909</v>
      </c>
      <c r="J7598" t="s">
        <v>4909</v>
      </c>
      <c r="K7598" t="s">
        <v>4909</v>
      </c>
    </row>
    <row r="7599" spans="1:11" x14ac:dyDescent="0.2">
      <c r="A7599" t="s">
        <v>4277</v>
      </c>
      <c r="B7599" t="s">
        <v>4909</v>
      </c>
      <c r="C7599" t="s">
        <v>4909</v>
      </c>
      <c r="D7599" t="s">
        <v>4909</v>
      </c>
      <c r="E7599" t="s">
        <v>4909</v>
      </c>
      <c r="F7599" t="s">
        <v>4909</v>
      </c>
      <c r="G7599" t="s">
        <v>4909</v>
      </c>
      <c r="H7599" t="s">
        <v>4909</v>
      </c>
      <c r="I7599" t="s">
        <v>4909</v>
      </c>
      <c r="J7599" t="s">
        <v>4909</v>
      </c>
      <c r="K7599" t="s">
        <v>4909</v>
      </c>
    </row>
    <row r="7600" spans="1:11" x14ac:dyDescent="0.2">
      <c r="A7600" t="s">
        <v>4278</v>
      </c>
      <c r="B7600" t="s">
        <v>4909</v>
      </c>
      <c r="C7600" t="s">
        <v>4909</v>
      </c>
      <c r="D7600" t="s">
        <v>4909</v>
      </c>
      <c r="E7600" t="s">
        <v>4909</v>
      </c>
      <c r="F7600" t="s">
        <v>4909</v>
      </c>
      <c r="G7600" t="s">
        <v>4909</v>
      </c>
      <c r="H7600" t="s">
        <v>4909</v>
      </c>
      <c r="I7600" t="s">
        <v>4909</v>
      </c>
      <c r="J7600" t="s">
        <v>4909</v>
      </c>
      <c r="K7600" t="s">
        <v>4909</v>
      </c>
    </row>
    <row r="7601" spans="1:11" x14ac:dyDescent="0.2">
      <c r="A7601" t="s">
        <v>4279</v>
      </c>
      <c r="B7601" t="s">
        <v>4909</v>
      </c>
      <c r="C7601" t="s">
        <v>4909</v>
      </c>
      <c r="D7601" t="s">
        <v>4909</v>
      </c>
      <c r="E7601" t="s">
        <v>4909</v>
      </c>
      <c r="F7601" t="s">
        <v>4909</v>
      </c>
      <c r="G7601" t="s">
        <v>4909</v>
      </c>
      <c r="H7601" t="s">
        <v>4909</v>
      </c>
      <c r="I7601" t="s">
        <v>4909</v>
      </c>
      <c r="J7601" t="s">
        <v>4909</v>
      </c>
      <c r="K7601" t="s">
        <v>4909</v>
      </c>
    </row>
    <row r="7602" spans="1:11" x14ac:dyDescent="0.2">
      <c r="A7602" t="s">
        <v>4280</v>
      </c>
      <c r="B7602" t="s">
        <v>4909</v>
      </c>
      <c r="C7602" t="s">
        <v>4909</v>
      </c>
      <c r="D7602" t="s">
        <v>4909</v>
      </c>
      <c r="E7602" t="s">
        <v>4909</v>
      </c>
      <c r="F7602" t="s">
        <v>4909</v>
      </c>
      <c r="G7602" t="s">
        <v>4909</v>
      </c>
      <c r="H7602" t="s">
        <v>4909</v>
      </c>
      <c r="I7602" t="s">
        <v>4909</v>
      </c>
      <c r="J7602" t="s">
        <v>4909</v>
      </c>
      <c r="K7602" t="s">
        <v>4909</v>
      </c>
    </row>
    <row r="7603" spans="1:11" x14ac:dyDescent="0.2">
      <c r="A7603" t="s">
        <v>4281</v>
      </c>
      <c r="B7603" t="s">
        <v>4909</v>
      </c>
      <c r="C7603" t="s">
        <v>4909</v>
      </c>
      <c r="D7603" t="s">
        <v>4909</v>
      </c>
      <c r="E7603" t="s">
        <v>4909</v>
      </c>
      <c r="F7603" s="88">
        <v>0</v>
      </c>
      <c r="G7603" s="88">
        <v>1E-3</v>
      </c>
      <c r="H7603" s="88">
        <v>0</v>
      </c>
      <c r="I7603" t="s">
        <v>4909</v>
      </c>
      <c r="J7603" t="s">
        <v>4909</v>
      </c>
      <c r="K7603" s="88">
        <v>1E-3</v>
      </c>
    </row>
    <row r="7604" spans="1:11" x14ac:dyDescent="0.2">
      <c r="A7604" t="s">
        <v>4282</v>
      </c>
      <c r="B7604" t="s">
        <v>4909</v>
      </c>
      <c r="C7604" t="s">
        <v>4909</v>
      </c>
      <c r="D7604" t="s">
        <v>4909</v>
      </c>
      <c r="E7604" t="s">
        <v>4909</v>
      </c>
      <c r="F7604" s="88">
        <v>0</v>
      </c>
      <c r="G7604" s="88">
        <v>2E-3</v>
      </c>
      <c r="H7604" s="88">
        <v>0</v>
      </c>
      <c r="I7604" t="s">
        <v>4909</v>
      </c>
      <c r="J7604" t="s">
        <v>4909</v>
      </c>
      <c r="K7604" s="88">
        <v>1E-3</v>
      </c>
    </row>
    <row r="7605" spans="1:11" x14ac:dyDescent="0.2">
      <c r="A7605" t="s">
        <v>4283</v>
      </c>
      <c r="B7605" t="s">
        <v>4909</v>
      </c>
      <c r="C7605" t="s">
        <v>4909</v>
      </c>
      <c r="D7605" t="s">
        <v>4909</v>
      </c>
      <c r="E7605" t="s">
        <v>4909</v>
      </c>
      <c r="F7605" t="s">
        <v>4909</v>
      </c>
      <c r="G7605" s="88">
        <v>0</v>
      </c>
      <c r="H7605" t="s">
        <v>4909</v>
      </c>
      <c r="I7605" t="s">
        <v>4909</v>
      </c>
      <c r="J7605" t="s">
        <v>4909</v>
      </c>
      <c r="K7605" s="88">
        <v>0</v>
      </c>
    </row>
    <row r="7606" spans="1:11" x14ac:dyDescent="0.2">
      <c r="A7606" t="s">
        <v>4284</v>
      </c>
      <c r="B7606" t="s">
        <v>4909</v>
      </c>
      <c r="C7606" t="s">
        <v>4909</v>
      </c>
      <c r="D7606" t="s">
        <v>4909</v>
      </c>
      <c r="E7606" t="s">
        <v>4909</v>
      </c>
      <c r="F7606" t="s">
        <v>4909</v>
      </c>
      <c r="G7606" s="88">
        <v>0</v>
      </c>
      <c r="H7606" t="s">
        <v>4909</v>
      </c>
      <c r="I7606" t="s">
        <v>4909</v>
      </c>
      <c r="J7606" t="s">
        <v>4909</v>
      </c>
      <c r="K7606" s="88">
        <v>0</v>
      </c>
    </row>
    <row r="7607" spans="1:11" x14ac:dyDescent="0.2">
      <c r="A7607" t="s">
        <v>4285</v>
      </c>
      <c r="B7607" t="s">
        <v>4909</v>
      </c>
      <c r="C7607" t="s">
        <v>4909</v>
      </c>
      <c r="D7607" t="s">
        <v>4909</v>
      </c>
      <c r="E7607" t="s">
        <v>4909</v>
      </c>
      <c r="F7607" t="s">
        <v>4909</v>
      </c>
      <c r="G7607" s="88">
        <v>1E-3</v>
      </c>
      <c r="H7607" s="88">
        <v>0</v>
      </c>
      <c r="I7607" t="s">
        <v>4909</v>
      </c>
      <c r="J7607" t="s">
        <v>4909</v>
      </c>
      <c r="K7607" s="88">
        <v>1E-3</v>
      </c>
    </row>
    <row r="7608" spans="1:11" x14ac:dyDescent="0.2">
      <c r="A7608" t="s">
        <v>4286</v>
      </c>
      <c r="B7608" t="s">
        <v>4909</v>
      </c>
      <c r="C7608" t="s">
        <v>4909</v>
      </c>
      <c r="D7608" t="s">
        <v>4909</v>
      </c>
      <c r="E7608" t="s">
        <v>4909</v>
      </c>
      <c r="F7608" t="s">
        <v>4909</v>
      </c>
      <c r="G7608" s="88">
        <v>1E-3</v>
      </c>
      <c r="H7608" s="88">
        <v>0</v>
      </c>
      <c r="I7608" t="s">
        <v>4909</v>
      </c>
      <c r="J7608" t="s">
        <v>4909</v>
      </c>
      <c r="K7608" s="88">
        <v>1E-3</v>
      </c>
    </row>
    <row r="7609" spans="1:11" x14ac:dyDescent="0.2">
      <c r="A7609" t="s">
        <v>4287</v>
      </c>
      <c r="B7609" t="s">
        <v>4909</v>
      </c>
      <c r="C7609" t="s">
        <v>4909</v>
      </c>
      <c r="D7609" t="s">
        <v>4909</v>
      </c>
      <c r="E7609" t="s">
        <v>4909</v>
      </c>
      <c r="F7609" t="s">
        <v>4909</v>
      </c>
      <c r="G7609" s="88">
        <v>0</v>
      </c>
      <c r="H7609" t="s">
        <v>4909</v>
      </c>
      <c r="I7609" t="s">
        <v>4909</v>
      </c>
      <c r="J7609" t="s">
        <v>4909</v>
      </c>
      <c r="K7609" s="88">
        <v>0</v>
      </c>
    </row>
    <row r="7610" spans="1:11" x14ac:dyDescent="0.2">
      <c r="A7610" t="s">
        <v>4288</v>
      </c>
      <c r="B7610" t="s">
        <v>4909</v>
      </c>
      <c r="C7610" t="s">
        <v>4909</v>
      </c>
      <c r="D7610" t="s">
        <v>4909</v>
      </c>
      <c r="E7610" t="s">
        <v>4909</v>
      </c>
      <c r="F7610" t="s">
        <v>4909</v>
      </c>
      <c r="G7610" t="s">
        <v>4909</v>
      </c>
      <c r="H7610" t="s">
        <v>4909</v>
      </c>
      <c r="I7610" t="s">
        <v>4909</v>
      </c>
      <c r="J7610" t="s">
        <v>4909</v>
      </c>
      <c r="K7610" t="s">
        <v>4909</v>
      </c>
    </row>
    <row r="7611" spans="1:11" x14ac:dyDescent="0.2">
      <c r="A7611" t="s">
        <v>4289</v>
      </c>
      <c r="B7611" t="s">
        <v>4909</v>
      </c>
      <c r="C7611" t="s">
        <v>4909</v>
      </c>
      <c r="D7611" t="s">
        <v>4909</v>
      </c>
      <c r="E7611" t="s">
        <v>4909</v>
      </c>
      <c r="F7611" t="s">
        <v>4909</v>
      </c>
      <c r="G7611" t="s">
        <v>4909</v>
      </c>
      <c r="H7611" t="s">
        <v>4909</v>
      </c>
      <c r="I7611" t="s">
        <v>4909</v>
      </c>
      <c r="J7611" t="s">
        <v>4909</v>
      </c>
      <c r="K7611" t="s">
        <v>4909</v>
      </c>
    </row>
    <row r="7612" spans="1:11" x14ac:dyDescent="0.2">
      <c r="A7612" t="s">
        <v>4290</v>
      </c>
      <c r="B7612" t="s">
        <v>4909</v>
      </c>
      <c r="C7612" t="s">
        <v>4909</v>
      </c>
      <c r="D7612" t="s">
        <v>4909</v>
      </c>
      <c r="E7612" t="s">
        <v>4909</v>
      </c>
      <c r="F7612" t="s">
        <v>4909</v>
      </c>
      <c r="G7612" t="s">
        <v>4909</v>
      </c>
      <c r="H7612" t="s">
        <v>4909</v>
      </c>
      <c r="I7612" t="s">
        <v>4909</v>
      </c>
      <c r="J7612" t="s">
        <v>4909</v>
      </c>
      <c r="K7612" t="s">
        <v>4909</v>
      </c>
    </row>
    <row r="7613" spans="1:11" x14ac:dyDescent="0.2">
      <c r="A7613" t="s">
        <v>4291</v>
      </c>
      <c r="B7613" t="s">
        <v>4909</v>
      </c>
      <c r="C7613" t="s">
        <v>4909</v>
      </c>
      <c r="D7613" t="s">
        <v>4909</v>
      </c>
      <c r="E7613" t="s">
        <v>4909</v>
      </c>
      <c r="F7613" t="s">
        <v>4909</v>
      </c>
      <c r="G7613" t="s">
        <v>4909</v>
      </c>
      <c r="H7613" t="s">
        <v>4909</v>
      </c>
      <c r="I7613" t="s">
        <v>4909</v>
      </c>
      <c r="J7613" t="s">
        <v>4909</v>
      </c>
      <c r="K7613" t="s">
        <v>4909</v>
      </c>
    </row>
    <row r="7614" spans="1:11" x14ac:dyDescent="0.2">
      <c r="A7614" t="s">
        <v>4292</v>
      </c>
      <c r="B7614" t="s">
        <v>4909</v>
      </c>
      <c r="C7614" t="s">
        <v>4909</v>
      </c>
      <c r="D7614" t="s">
        <v>4909</v>
      </c>
      <c r="E7614" t="s">
        <v>4909</v>
      </c>
      <c r="F7614" t="s">
        <v>4909</v>
      </c>
      <c r="G7614" t="s">
        <v>4909</v>
      </c>
      <c r="H7614" t="s">
        <v>4909</v>
      </c>
      <c r="I7614" t="s">
        <v>4909</v>
      </c>
      <c r="J7614" t="s">
        <v>4909</v>
      </c>
      <c r="K7614" t="s">
        <v>4909</v>
      </c>
    </row>
    <row r="7615" spans="1:11" x14ac:dyDescent="0.2">
      <c r="A7615" t="s">
        <v>4293</v>
      </c>
      <c r="B7615" t="s">
        <v>4909</v>
      </c>
      <c r="C7615" t="s">
        <v>4909</v>
      </c>
      <c r="D7615" t="s">
        <v>4909</v>
      </c>
      <c r="E7615" t="s">
        <v>4909</v>
      </c>
      <c r="F7615" t="s">
        <v>4909</v>
      </c>
      <c r="G7615" t="s">
        <v>4909</v>
      </c>
      <c r="H7615" t="s">
        <v>4909</v>
      </c>
      <c r="I7615" t="s">
        <v>4909</v>
      </c>
      <c r="J7615" t="s">
        <v>4909</v>
      </c>
      <c r="K7615" t="s">
        <v>4909</v>
      </c>
    </row>
    <row r="7616" spans="1:11" x14ac:dyDescent="0.2">
      <c r="A7616" t="s">
        <v>4294</v>
      </c>
      <c r="B7616" t="s">
        <v>4909</v>
      </c>
      <c r="C7616" t="s">
        <v>4909</v>
      </c>
      <c r="D7616" t="s">
        <v>4909</v>
      </c>
      <c r="E7616" t="s">
        <v>4909</v>
      </c>
      <c r="F7616" t="s">
        <v>4909</v>
      </c>
      <c r="G7616" t="s">
        <v>4909</v>
      </c>
      <c r="H7616" t="s">
        <v>4909</v>
      </c>
      <c r="I7616" t="s">
        <v>4909</v>
      </c>
      <c r="J7616" t="s">
        <v>4909</v>
      </c>
      <c r="K7616" t="s">
        <v>4909</v>
      </c>
    </row>
    <row r="7617" spans="1:11" x14ac:dyDescent="0.2">
      <c r="A7617" t="s">
        <v>4295</v>
      </c>
      <c r="B7617" t="s">
        <v>4909</v>
      </c>
      <c r="C7617" t="s">
        <v>4909</v>
      </c>
      <c r="D7617" t="s">
        <v>4909</v>
      </c>
      <c r="E7617" t="s">
        <v>4909</v>
      </c>
      <c r="F7617" t="s">
        <v>4909</v>
      </c>
      <c r="G7617" t="s">
        <v>4909</v>
      </c>
      <c r="H7617" t="s">
        <v>4909</v>
      </c>
      <c r="I7617" t="s">
        <v>4909</v>
      </c>
      <c r="J7617" t="s">
        <v>4909</v>
      </c>
      <c r="K7617" t="s">
        <v>4909</v>
      </c>
    </row>
    <row r="7618" spans="1:11" x14ac:dyDescent="0.2">
      <c r="A7618" t="s">
        <v>4296</v>
      </c>
      <c r="B7618" t="s">
        <v>4909</v>
      </c>
      <c r="C7618" t="s">
        <v>4909</v>
      </c>
      <c r="D7618" t="s">
        <v>4909</v>
      </c>
      <c r="E7618" t="s">
        <v>4909</v>
      </c>
      <c r="F7618" t="s">
        <v>4909</v>
      </c>
      <c r="G7618" t="s">
        <v>4909</v>
      </c>
      <c r="H7618" t="s">
        <v>4909</v>
      </c>
      <c r="I7618" t="s">
        <v>4909</v>
      </c>
      <c r="J7618" t="s">
        <v>4909</v>
      </c>
      <c r="K7618" t="s">
        <v>4909</v>
      </c>
    </row>
    <row r="7619" spans="1:11" x14ac:dyDescent="0.2">
      <c r="A7619" t="s">
        <v>4297</v>
      </c>
      <c r="B7619" t="s">
        <v>4909</v>
      </c>
      <c r="C7619" t="s">
        <v>4909</v>
      </c>
      <c r="D7619" t="s">
        <v>4909</v>
      </c>
      <c r="E7619" t="s">
        <v>4909</v>
      </c>
      <c r="F7619" s="88">
        <v>0</v>
      </c>
      <c r="G7619" s="88">
        <v>1E-3</v>
      </c>
      <c r="H7619" s="88">
        <v>0</v>
      </c>
      <c r="I7619" t="s">
        <v>4909</v>
      </c>
      <c r="J7619" t="s">
        <v>4909</v>
      </c>
      <c r="K7619" s="88">
        <v>1E-3</v>
      </c>
    </row>
    <row r="7620" spans="1:11" x14ac:dyDescent="0.2">
      <c r="A7620" t="s">
        <v>4298</v>
      </c>
      <c r="B7620" t="s">
        <v>4909</v>
      </c>
      <c r="C7620" t="s">
        <v>4909</v>
      </c>
      <c r="D7620" t="s">
        <v>4909</v>
      </c>
      <c r="E7620" t="s">
        <v>4909</v>
      </c>
      <c r="F7620" t="s">
        <v>4909</v>
      </c>
      <c r="G7620" s="88">
        <v>0</v>
      </c>
      <c r="H7620" s="88">
        <v>0</v>
      </c>
      <c r="I7620" t="s">
        <v>4909</v>
      </c>
      <c r="J7620" t="s">
        <v>4909</v>
      </c>
      <c r="K7620" s="88">
        <v>2E-3</v>
      </c>
    </row>
    <row r="7621" spans="1:11" x14ac:dyDescent="0.2">
      <c r="A7621" t="s">
        <v>4299</v>
      </c>
      <c r="B7621" t="s">
        <v>4909</v>
      </c>
      <c r="C7621" t="s">
        <v>4909</v>
      </c>
      <c r="D7621" t="s">
        <v>4909</v>
      </c>
      <c r="E7621" t="s">
        <v>4909</v>
      </c>
      <c r="F7621" t="s">
        <v>4909</v>
      </c>
      <c r="G7621" s="88">
        <v>1E-3</v>
      </c>
      <c r="H7621" s="88">
        <v>1E-3</v>
      </c>
      <c r="I7621" t="s">
        <v>4909</v>
      </c>
      <c r="J7621" t="s">
        <v>4909</v>
      </c>
      <c r="K7621" s="88">
        <v>4.0000000000000001E-3</v>
      </c>
    </row>
    <row r="7622" spans="1:11" x14ac:dyDescent="0.2">
      <c r="A7622" t="s">
        <v>4300</v>
      </c>
      <c r="B7622" t="s">
        <v>4909</v>
      </c>
      <c r="C7622" t="s">
        <v>4909</v>
      </c>
      <c r="D7622" t="s">
        <v>4909</v>
      </c>
      <c r="E7622" t="s">
        <v>4909</v>
      </c>
      <c r="F7622" t="s">
        <v>4909</v>
      </c>
      <c r="G7622" s="88">
        <v>0</v>
      </c>
      <c r="H7622" s="88">
        <v>2E-3</v>
      </c>
      <c r="I7622" t="s">
        <v>4909</v>
      </c>
      <c r="J7622" t="s">
        <v>4909</v>
      </c>
      <c r="K7622" s="88">
        <v>3.0000000000000001E-3</v>
      </c>
    </row>
    <row r="7623" spans="1:11" x14ac:dyDescent="0.2">
      <c r="A7623" t="s">
        <v>4301</v>
      </c>
      <c r="B7623" t="s">
        <v>4909</v>
      </c>
      <c r="C7623" t="s">
        <v>4909</v>
      </c>
      <c r="D7623" t="s">
        <v>4909</v>
      </c>
      <c r="E7623" t="s">
        <v>4909</v>
      </c>
      <c r="F7623" s="88">
        <v>0</v>
      </c>
      <c r="G7623" s="88">
        <v>6.0000000000000001E-3</v>
      </c>
      <c r="H7623" s="88">
        <v>0</v>
      </c>
      <c r="I7623" t="s">
        <v>4909</v>
      </c>
      <c r="J7623" t="s">
        <v>4909</v>
      </c>
      <c r="K7623" s="88">
        <v>2E-3</v>
      </c>
    </row>
    <row r="7624" spans="1:11" x14ac:dyDescent="0.2">
      <c r="A7624" t="s">
        <v>4302</v>
      </c>
      <c r="B7624" t="s">
        <v>4909</v>
      </c>
      <c r="C7624" t="s">
        <v>4909</v>
      </c>
      <c r="D7624" t="s">
        <v>4909</v>
      </c>
      <c r="E7624" t="s">
        <v>4909</v>
      </c>
      <c r="F7624" s="88">
        <v>0</v>
      </c>
      <c r="G7624" s="88">
        <v>8.0000000000000002E-3</v>
      </c>
      <c r="H7624" s="88">
        <v>2E-3</v>
      </c>
      <c r="I7624" t="s">
        <v>4909</v>
      </c>
      <c r="J7624" t="s">
        <v>4909</v>
      </c>
      <c r="K7624" s="88">
        <v>0.01</v>
      </c>
    </row>
    <row r="7625" spans="1:11" x14ac:dyDescent="0.2">
      <c r="A7625" t="s">
        <v>4303</v>
      </c>
      <c r="B7625" t="s">
        <v>4909</v>
      </c>
      <c r="C7625" t="s">
        <v>4909</v>
      </c>
      <c r="D7625" t="s">
        <v>4909</v>
      </c>
      <c r="E7625" t="s">
        <v>4909</v>
      </c>
      <c r="F7625" s="88">
        <v>1E-3</v>
      </c>
      <c r="G7625" s="88">
        <v>5.0000000000000001E-3</v>
      </c>
      <c r="H7625" s="88">
        <v>3.0000000000000001E-3</v>
      </c>
      <c r="I7625" t="s">
        <v>4909</v>
      </c>
      <c r="J7625" t="s">
        <v>4909</v>
      </c>
      <c r="K7625" s="88">
        <v>5.0000000000000001E-3</v>
      </c>
    </row>
    <row r="7626" spans="1:11" x14ac:dyDescent="0.2">
      <c r="A7626" t="s">
        <v>4304</v>
      </c>
      <c r="B7626" t="s">
        <v>4909</v>
      </c>
      <c r="C7626" t="s">
        <v>4909</v>
      </c>
      <c r="D7626" t="s">
        <v>4909</v>
      </c>
      <c r="E7626" t="s">
        <v>4909</v>
      </c>
      <c r="F7626" s="88">
        <v>0</v>
      </c>
      <c r="G7626" s="88">
        <v>8.9999999999999993E-3</v>
      </c>
      <c r="H7626" s="88">
        <v>0</v>
      </c>
      <c r="I7626" t="s">
        <v>4909</v>
      </c>
      <c r="J7626" t="s">
        <v>4909</v>
      </c>
      <c r="K7626" s="88">
        <v>4.0000000000000001E-3</v>
      </c>
    </row>
    <row r="7627" spans="1:11" x14ac:dyDescent="0.2">
      <c r="A7627" t="s">
        <v>4305</v>
      </c>
      <c r="B7627" t="s">
        <v>4909</v>
      </c>
      <c r="C7627" t="s">
        <v>4909</v>
      </c>
      <c r="D7627" t="s">
        <v>4909</v>
      </c>
      <c r="E7627" t="s">
        <v>4909</v>
      </c>
      <c r="F7627" s="88">
        <v>0</v>
      </c>
      <c r="G7627" s="88">
        <v>1.0999999999999999E-2</v>
      </c>
      <c r="H7627" s="88">
        <v>0</v>
      </c>
      <c r="I7627" t="s">
        <v>4909</v>
      </c>
      <c r="J7627" t="s">
        <v>4909</v>
      </c>
      <c r="K7627" s="88">
        <v>2E-3</v>
      </c>
    </row>
    <row r="7628" spans="1:11" x14ac:dyDescent="0.2">
      <c r="A7628" t="s">
        <v>4306</v>
      </c>
      <c r="B7628" t="s">
        <v>4909</v>
      </c>
      <c r="C7628" t="s">
        <v>4909</v>
      </c>
      <c r="D7628" t="s">
        <v>4909</v>
      </c>
      <c r="E7628" t="s">
        <v>4909</v>
      </c>
      <c r="F7628" t="s">
        <v>4909</v>
      </c>
      <c r="G7628" s="88">
        <v>1.2E-2</v>
      </c>
      <c r="H7628" s="88">
        <v>0</v>
      </c>
      <c r="I7628" t="s">
        <v>4909</v>
      </c>
      <c r="J7628" t="s">
        <v>4909</v>
      </c>
      <c r="K7628" s="88">
        <v>4.0000000000000001E-3</v>
      </c>
    </row>
    <row r="7629" spans="1:11" x14ac:dyDescent="0.2">
      <c r="A7629" t="s">
        <v>4307</v>
      </c>
      <c r="B7629" t="s">
        <v>4909</v>
      </c>
      <c r="C7629" t="s">
        <v>4909</v>
      </c>
      <c r="D7629" t="s">
        <v>4909</v>
      </c>
      <c r="E7629" t="s">
        <v>4909</v>
      </c>
      <c r="F7629" s="88">
        <v>1E-3</v>
      </c>
      <c r="G7629" s="88">
        <v>7.0000000000000001E-3</v>
      </c>
      <c r="H7629" s="88">
        <v>1E-3</v>
      </c>
      <c r="I7629" t="s">
        <v>4909</v>
      </c>
      <c r="J7629" t="s">
        <v>4909</v>
      </c>
      <c r="K7629" s="88">
        <v>2E-3</v>
      </c>
    </row>
    <row r="7630" spans="1:11" x14ac:dyDescent="0.2">
      <c r="A7630" t="s">
        <v>4308</v>
      </c>
      <c r="B7630" t="s">
        <v>4909</v>
      </c>
      <c r="C7630" t="s">
        <v>4909</v>
      </c>
      <c r="D7630" t="s">
        <v>4909</v>
      </c>
      <c r="E7630" t="s">
        <v>4909</v>
      </c>
      <c r="F7630" t="s">
        <v>4909</v>
      </c>
      <c r="G7630" t="s">
        <v>4909</v>
      </c>
      <c r="H7630" t="s">
        <v>4909</v>
      </c>
      <c r="I7630" t="s">
        <v>4909</v>
      </c>
      <c r="J7630" t="s">
        <v>4909</v>
      </c>
      <c r="K7630" t="s">
        <v>4909</v>
      </c>
    </row>
    <row r="7631" spans="1:11" x14ac:dyDescent="0.2">
      <c r="A7631" t="s">
        <v>4309</v>
      </c>
      <c r="B7631" t="s">
        <v>4909</v>
      </c>
      <c r="C7631" t="s">
        <v>4909</v>
      </c>
      <c r="D7631" t="s">
        <v>4909</v>
      </c>
      <c r="E7631" t="s">
        <v>4909</v>
      </c>
      <c r="F7631" t="s">
        <v>4909</v>
      </c>
      <c r="G7631" t="s">
        <v>4909</v>
      </c>
      <c r="H7631" t="s">
        <v>4909</v>
      </c>
      <c r="I7631" t="s">
        <v>4909</v>
      </c>
      <c r="J7631" t="s">
        <v>4909</v>
      </c>
      <c r="K7631" t="s">
        <v>4909</v>
      </c>
    </row>
    <row r="7632" spans="1:11" x14ac:dyDescent="0.2">
      <c r="A7632" t="s">
        <v>4310</v>
      </c>
      <c r="B7632" t="s">
        <v>4909</v>
      </c>
      <c r="C7632" t="s">
        <v>4909</v>
      </c>
      <c r="D7632" t="s">
        <v>4909</v>
      </c>
      <c r="E7632" t="s">
        <v>4909</v>
      </c>
      <c r="F7632" t="s">
        <v>4909</v>
      </c>
      <c r="G7632" t="s">
        <v>4909</v>
      </c>
      <c r="H7632" t="s">
        <v>4909</v>
      </c>
      <c r="I7632" t="s">
        <v>4909</v>
      </c>
      <c r="J7632" t="s">
        <v>4909</v>
      </c>
      <c r="K7632" t="s">
        <v>4909</v>
      </c>
    </row>
    <row r="7633" spans="1:11" x14ac:dyDescent="0.2">
      <c r="A7633" t="s">
        <v>4311</v>
      </c>
      <c r="B7633" t="s">
        <v>4909</v>
      </c>
      <c r="C7633" t="s">
        <v>4909</v>
      </c>
      <c r="D7633" t="s">
        <v>4909</v>
      </c>
      <c r="E7633" t="s">
        <v>4909</v>
      </c>
      <c r="F7633" t="s">
        <v>4909</v>
      </c>
      <c r="G7633" t="s">
        <v>4909</v>
      </c>
      <c r="H7633" t="s">
        <v>4909</v>
      </c>
      <c r="I7633" t="s">
        <v>4909</v>
      </c>
      <c r="J7633" t="s">
        <v>4909</v>
      </c>
      <c r="K7633" t="s">
        <v>4909</v>
      </c>
    </row>
    <row r="7634" spans="1:11" x14ac:dyDescent="0.2">
      <c r="A7634" t="s">
        <v>4312</v>
      </c>
      <c r="B7634" t="s">
        <v>4909</v>
      </c>
      <c r="C7634" t="s">
        <v>4909</v>
      </c>
      <c r="D7634" t="s">
        <v>4909</v>
      </c>
      <c r="E7634" t="s">
        <v>4909</v>
      </c>
      <c r="F7634" s="88">
        <v>0</v>
      </c>
      <c r="G7634" s="88">
        <v>1E-3</v>
      </c>
      <c r="H7634" t="s">
        <v>4909</v>
      </c>
      <c r="I7634" t="s">
        <v>4909</v>
      </c>
      <c r="J7634" t="s">
        <v>4909</v>
      </c>
      <c r="K7634" t="s">
        <v>4909</v>
      </c>
    </row>
    <row r="7635" spans="1:11" x14ac:dyDescent="0.2">
      <c r="A7635" t="s">
        <v>4313</v>
      </c>
      <c r="B7635" t="s">
        <v>4909</v>
      </c>
      <c r="C7635" t="s">
        <v>4909</v>
      </c>
      <c r="D7635" t="s">
        <v>4909</v>
      </c>
      <c r="E7635" t="s">
        <v>4909</v>
      </c>
      <c r="F7635" t="s">
        <v>4909</v>
      </c>
      <c r="G7635" t="s">
        <v>4909</v>
      </c>
      <c r="H7635" t="s">
        <v>4909</v>
      </c>
      <c r="I7635" t="s">
        <v>4909</v>
      </c>
      <c r="J7635" t="s">
        <v>4909</v>
      </c>
      <c r="K7635" t="s">
        <v>4909</v>
      </c>
    </row>
    <row r="7636" spans="1:11" x14ac:dyDescent="0.2">
      <c r="A7636" t="s">
        <v>4314</v>
      </c>
      <c r="B7636" t="s">
        <v>4909</v>
      </c>
      <c r="C7636" t="s">
        <v>4909</v>
      </c>
      <c r="D7636" t="s">
        <v>4909</v>
      </c>
      <c r="E7636" t="s">
        <v>4909</v>
      </c>
      <c r="F7636" t="s">
        <v>4909</v>
      </c>
      <c r="G7636" t="s">
        <v>4909</v>
      </c>
      <c r="H7636" t="s">
        <v>4909</v>
      </c>
      <c r="I7636" t="s">
        <v>4909</v>
      </c>
      <c r="J7636" t="s">
        <v>4909</v>
      </c>
      <c r="K7636" t="s">
        <v>4909</v>
      </c>
    </row>
    <row r="7637" spans="1:11" x14ac:dyDescent="0.2">
      <c r="A7637" t="s">
        <v>4315</v>
      </c>
      <c r="B7637" t="s">
        <v>4909</v>
      </c>
      <c r="C7637" t="s">
        <v>4909</v>
      </c>
      <c r="D7637" t="s">
        <v>4909</v>
      </c>
      <c r="E7637" t="s">
        <v>4909</v>
      </c>
      <c r="F7637" t="s">
        <v>4909</v>
      </c>
      <c r="G7637" t="s">
        <v>4909</v>
      </c>
      <c r="H7637" t="s">
        <v>4909</v>
      </c>
      <c r="I7637" t="s">
        <v>4909</v>
      </c>
      <c r="J7637" t="s">
        <v>4909</v>
      </c>
      <c r="K7637" t="s">
        <v>4909</v>
      </c>
    </row>
    <row r="7638" spans="1:11" x14ac:dyDescent="0.2">
      <c r="A7638" t="s">
        <v>4316</v>
      </c>
      <c r="B7638" t="s">
        <v>4909</v>
      </c>
      <c r="C7638" t="s">
        <v>4909</v>
      </c>
      <c r="D7638" t="s">
        <v>4909</v>
      </c>
      <c r="E7638" t="s">
        <v>4909</v>
      </c>
      <c r="F7638" t="s">
        <v>4909</v>
      </c>
      <c r="G7638" t="s">
        <v>4909</v>
      </c>
      <c r="H7638" t="s">
        <v>4909</v>
      </c>
      <c r="I7638" t="s">
        <v>4909</v>
      </c>
      <c r="J7638" t="s">
        <v>4909</v>
      </c>
      <c r="K7638" t="s">
        <v>4909</v>
      </c>
    </row>
    <row r="7639" spans="1:11" x14ac:dyDescent="0.2">
      <c r="A7639" t="s">
        <v>4317</v>
      </c>
      <c r="B7639" t="s">
        <v>4909</v>
      </c>
      <c r="C7639" t="s">
        <v>4909</v>
      </c>
      <c r="D7639" t="s">
        <v>4909</v>
      </c>
      <c r="E7639" t="s">
        <v>4909</v>
      </c>
      <c r="F7639" t="s">
        <v>4909</v>
      </c>
      <c r="G7639" t="s">
        <v>4909</v>
      </c>
      <c r="H7639" t="s">
        <v>4909</v>
      </c>
      <c r="I7639" t="s">
        <v>4909</v>
      </c>
      <c r="J7639" t="s">
        <v>4909</v>
      </c>
      <c r="K7639" t="s">
        <v>4909</v>
      </c>
    </row>
    <row r="7640" spans="1:11" x14ac:dyDescent="0.2">
      <c r="A7640" t="s">
        <v>4318</v>
      </c>
      <c r="B7640" t="s">
        <v>4909</v>
      </c>
      <c r="C7640" t="s">
        <v>4909</v>
      </c>
      <c r="D7640" t="s">
        <v>4909</v>
      </c>
      <c r="E7640" t="s">
        <v>4909</v>
      </c>
      <c r="F7640" t="s">
        <v>4909</v>
      </c>
      <c r="G7640" t="s">
        <v>4909</v>
      </c>
      <c r="H7640" t="s">
        <v>4909</v>
      </c>
      <c r="I7640" t="s">
        <v>4909</v>
      </c>
      <c r="J7640" t="s">
        <v>4909</v>
      </c>
      <c r="K7640" t="s">
        <v>4909</v>
      </c>
    </row>
    <row r="7641" spans="1:11" x14ac:dyDescent="0.2">
      <c r="A7641" t="s">
        <v>4319</v>
      </c>
      <c r="B7641" t="s">
        <v>4909</v>
      </c>
      <c r="C7641" t="s">
        <v>4909</v>
      </c>
      <c r="D7641" t="s">
        <v>4909</v>
      </c>
      <c r="E7641" t="s">
        <v>4909</v>
      </c>
      <c r="F7641" t="s">
        <v>4909</v>
      </c>
      <c r="G7641" t="s">
        <v>4909</v>
      </c>
      <c r="H7641" t="s">
        <v>4909</v>
      </c>
      <c r="I7641" t="s">
        <v>4909</v>
      </c>
      <c r="J7641" t="s">
        <v>4909</v>
      </c>
      <c r="K7641" t="s">
        <v>4909</v>
      </c>
    </row>
    <row r="7642" spans="1:11" x14ac:dyDescent="0.2">
      <c r="A7642" t="s">
        <v>4320</v>
      </c>
      <c r="B7642" t="s">
        <v>4909</v>
      </c>
      <c r="C7642" t="s">
        <v>4909</v>
      </c>
      <c r="D7642" t="s">
        <v>4909</v>
      </c>
      <c r="E7642" t="s">
        <v>4909</v>
      </c>
      <c r="F7642" t="s">
        <v>4909</v>
      </c>
      <c r="G7642" t="s">
        <v>4909</v>
      </c>
      <c r="H7642" t="s">
        <v>4909</v>
      </c>
      <c r="I7642" t="s">
        <v>4909</v>
      </c>
      <c r="J7642" t="s">
        <v>4909</v>
      </c>
      <c r="K7642" t="s">
        <v>4909</v>
      </c>
    </row>
    <row r="7643" spans="1:11" x14ac:dyDescent="0.2">
      <c r="A7643" t="s">
        <v>4321</v>
      </c>
      <c r="B7643" t="s">
        <v>4909</v>
      </c>
      <c r="C7643" t="s">
        <v>4909</v>
      </c>
      <c r="D7643" t="s">
        <v>4909</v>
      </c>
      <c r="E7643" t="s">
        <v>4909</v>
      </c>
      <c r="F7643" t="s">
        <v>4909</v>
      </c>
      <c r="G7643" t="s">
        <v>4909</v>
      </c>
      <c r="H7643" t="s">
        <v>4909</v>
      </c>
      <c r="I7643" t="s">
        <v>4909</v>
      </c>
      <c r="J7643" t="s">
        <v>4909</v>
      </c>
      <c r="K7643" t="s">
        <v>4909</v>
      </c>
    </row>
    <row r="7644" spans="1:11" x14ac:dyDescent="0.2">
      <c r="A7644" t="s">
        <v>4322</v>
      </c>
      <c r="B7644" t="s">
        <v>4909</v>
      </c>
      <c r="C7644" t="s">
        <v>4909</v>
      </c>
      <c r="D7644" t="s">
        <v>4909</v>
      </c>
      <c r="E7644" t="s">
        <v>4909</v>
      </c>
      <c r="F7644" t="s">
        <v>4909</v>
      </c>
      <c r="G7644" t="s">
        <v>4909</v>
      </c>
      <c r="H7644" t="s">
        <v>4909</v>
      </c>
      <c r="I7644" t="s">
        <v>4909</v>
      </c>
      <c r="J7644" t="s">
        <v>4909</v>
      </c>
      <c r="K7644" t="s">
        <v>4909</v>
      </c>
    </row>
    <row r="7645" spans="1:11" x14ac:dyDescent="0.2">
      <c r="A7645" t="s">
        <v>4323</v>
      </c>
      <c r="B7645" t="s">
        <v>4909</v>
      </c>
      <c r="C7645" t="s">
        <v>4909</v>
      </c>
      <c r="D7645" t="s">
        <v>4909</v>
      </c>
      <c r="E7645" t="s">
        <v>4909</v>
      </c>
      <c r="F7645" t="s">
        <v>4909</v>
      </c>
      <c r="G7645" t="s">
        <v>4909</v>
      </c>
      <c r="H7645" t="s">
        <v>4909</v>
      </c>
      <c r="I7645" t="s">
        <v>4909</v>
      </c>
      <c r="J7645" t="s">
        <v>4909</v>
      </c>
      <c r="K7645" t="s">
        <v>4909</v>
      </c>
    </row>
    <row r="7646" spans="1:11" x14ac:dyDescent="0.2">
      <c r="A7646" t="s">
        <v>4324</v>
      </c>
      <c r="B7646" t="s">
        <v>4909</v>
      </c>
      <c r="C7646" t="s">
        <v>4909</v>
      </c>
      <c r="D7646" t="s">
        <v>4909</v>
      </c>
      <c r="E7646" t="s">
        <v>4909</v>
      </c>
      <c r="F7646" t="s">
        <v>4909</v>
      </c>
      <c r="G7646" t="s">
        <v>4909</v>
      </c>
      <c r="H7646" t="s">
        <v>4909</v>
      </c>
      <c r="I7646" t="s">
        <v>4909</v>
      </c>
      <c r="J7646" t="s">
        <v>4909</v>
      </c>
      <c r="K7646" t="s">
        <v>4909</v>
      </c>
    </row>
    <row r="7647" spans="1:11" x14ac:dyDescent="0.2">
      <c r="A7647" t="s">
        <v>4325</v>
      </c>
      <c r="B7647" t="s">
        <v>4909</v>
      </c>
      <c r="C7647" t="s">
        <v>4909</v>
      </c>
      <c r="D7647" t="s">
        <v>4909</v>
      </c>
      <c r="E7647" t="s">
        <v>4909</v>
      </c>
      <c r="F7647" t="s">
        <v>4909</v>
      </c>
      <c r="G7647" t="s">
        <v>4909</v>
      </c>
      <c r="H7647" t="s">
        <v>4909</v>
      </c>
      <c r="I7647" t="s">
        <v>4909</v>
      </c>
      <c r="J7647" t="s">
        <v>4909</v>
      </c>
      <c r="K7647" t="s">
        <v>4909</v>
      </c>
    </row>
    <row r="7648" spans="1:11" x14ac:dyDescent="0.2">
      <c r="A7648" t="s">
        <v>4326</v>
      </c>
      <c r="B7648" t="s">
        <v>4909</v>
      </c>
      <c r="C7648" t="s">
        <v>4909</v>
      </c>
      <c r="D7648" t="s">
        <v>4909</v>
      </c>
      <c r="E7648" t="s">
        <v>4909</v>
      </c>
      <c r="F7648" t="s">
        <v>4909</v>
      </c>
      <c r="G7648" t="s">
        <v>4909</v>
      </c>
      <c r="H7648" t="s">
        <v>4909</v>
      </c>
      <c r="I7648" t="s">
        <v>4909</v>
      </c>
      <c r="J7648" t="s">
        <v>4909</v>
      </c>
      <c r="K7648" t="s">
        <v>4909</v>
      </c>
    </row>
    <row r="7649" spans="1:11" x14ac:dyDescent="0.2">
      <c r="A7649" t="s">
        <v>4327</v>
      </c>
      <c r="B7649" t="s">
        <v>4909</v>
      </c>
      <c r="C7649" t="s">
        <v>4909</v>
      </c>
      <c r="D7649" t="s">
        <v>4909</v>
      </c>
      <c r="E7649" t="s">
        <v>4909</v>
      </c>
      <c r="F7649" s="88">
        <v>0</v>
      </c>
      <c r="G7649" s="88">
        <v>0</v>
      </c>
      <c r="H7649" s="88">
        <v>0</v>
      </c>
      <c r="I7649" t="s">
        <v>4909</v>
      </c>
      <c r="J7649" t="s">
        <v>4909</v>
      </c>
      <c r="K7649" s="88">
        <v>0</v>
      </c>
    </row>
    <row r="7650" spans="1:11" x14ac:dyDescent="0.2">
      <c r="A7650" t="s">
        <v>4328</v>
      </c>
      <c r="B7650" t="s">
        <v>4909</v>
      </c>
      <c r="C7650" t="s">
        <v>4909</v>
      </c>
      <c r="D7650" t="s">
        <v>4909</v>
      </c>
      <c r="E7650" t="s">
        <v>4909</v>
      </c>
      <c r="F7650" t="s">
        <v>4909</v>
      </c>
      <c r="G7650" t="s">
        <v>4909</v>
      </c>
      <c r="H7650" t="s">
        <v>4909</v>
      </c>
      <c r="I7650" t="s">
        <v>4909</v>
      </c>
      <c r="J7650" t="s">
        <v>4909</v>
      </c>
      <c r="K7650" t="s">
        <v>4909</v>
      </c>
    </row>
    <row r="7651" spans="1:11" x14ac:dyDescent="0.2">
      <c r="A7651" t="s">
        <v>4329</v>
      </c>
      <c r="B7651" t="s">
        <v>4909</v>
      </c>
      <c r="C7651" t="s">
        <v>4909</v>
      </c>
      <c r="D7651" t="s">
        <v>4909</v>
      </c>
      <c r="E7651" t="s">
        <v>4909</v>
      </c>
      <c r="F7651" t="s">
        <v>4909</v>
      </c>
      <c r="G7651" t="s">
        <v>4909</v>
      </c>
      <c r="H7651" t="s">
        <v>4909</v>
      </c>
      <c r="I7651" t="s">
        <v>4909</v>
      </c>
      <c r="J7651" t="s">
        <v>4909</v>
      </c>
      <c r="K7651" t="s">
        <v>4909</v>
      </c>
    </row>
    <row r="7652" spans="1:11" x14ac:dyDescent="0.2">
      <c r="A7652" t="s">
        <v>4330</v>
      </c>
      <c r="B7652" t="s">
        <v>4909</v>
      </c>
      <c r="C7652" t="s">
        <v>4909</v>
      </c>
      <c r="D7652" t="s">
        <v>4909</v>
      </c>
      <c r="E7652" t="s">
        <v>4909</v>
      </c>
      <c r="F7652" t="s">
        <v>4909</v>
      </c>
      <c r="G7652" t="s">
        <v>4909</v>
      </c>
      <c r="H7652" t="s">
        <v>4909</v>
      </c>
      <c r="I7652" t="s">
        <v>4909</v>
      </c>
      <c r="J7652" t="s">
        <v>4909</v>
      </c>
      <c r="K7652" t="s">
        <v>4909</v>
      </c>
    </row>
    <row r="7653" spans="1:11" x14ac:dyDescent="0.2">
      <c r="A7653" t="s">
        <v>4331</v>
      </c>
      <c r="B7653" t="s">
        <v>4909</v>
      </c>
      <c r="C7653" t="s">
        <v>4909</v>
      </c>
      <c r="D7653" t="s">
        <v>4909</v>
      </c>
      <c r="E7653" t="s">
        <v>4909</v>
      </c>
      <c r="F7653" t="s">
        <v>4909</v>
      </c>
      <c r="G7653" t="s">
        <v>4909</v>
      </c>
      <c r="H7653" t="s">
        <v>4909</v>
      </c>
      <c r="I7653" t="s">
        <v>4909</v>
      </c>
      <c r="J7653" t="s">
        <v>4909</v>
      </c>
      <c r="K7653" t="s">
        <v>4909</v>
      </c>
    </row>
    <row r="7654" spans="1:11" x14ac:dyDescent="0.2">
      <c r="A7654" t="s">
        <v>4332</v>
      </c>
      <c r="B7654" t="s">
        <v>4909</v>
      </c>
      <c r="C7654" t="s">
        <v>4909</v>
      </c>
      <c r="D7654" t="s">
        <v>4909</v>
      </c>
      <c r="E7654" t="s">
        <v>4909</v>
      </c>
      <c r="F7654" t="s">
        <v>4909</v>
      </c>
      <c r="G7654" s="88">
        <v>0</v>
      </c>
      <c r="H7654" t="s">
        <v>4909</v>
      </c>
      <c r="I7654" t="s">
        <v>4909</v>
      </c>
      <c r="J7654" t="s">
        <v>4909</v>
      </c>
      <c r="K7654" t="s">
        <v>4909</v>
      </c>
    </row>
    <row r="7655" spans="1:11" x14ac:dyDescent="0.2">
      <c r="A7655" t="s">
        <v>4333</v>
      </c>
      <c r="B7655" t="s">
        <v>4909</v>
      </c>
      <c r="C7655" t="s">
        <v>4909</v>
      </c>
      <c r="D7655" t="s">
        <v>4909</v>
      </c>
      <c r="E7655" t="s">
        <v>4909</v>
      </c>
      <c r="F7655" t="s">
        <v>4909</v>
      </c>
      <c r="G7655" t="s">
        <v>4909</v>
      </c>
      <c r="H7655" t="s">
        <v>4909</v>
      </c>
      <c r="I7655" t="s">
        <v>4909</v>
      </c>
      <c r="J7655" t="s">
        <v>4909</v>
      </c>
      <c r="K7655" t="s">
        <v>4909</v>
      </c>
    </row>
    <row r="7656" spans="1:11" x14ac:dyDescent="0.2">
      <c r="A7656" t="s">
        <v>4334</v>
      </c>
      <c r="B7656" t="s">
        <v>4909</v>
      </c>
      <c r="C7656" t="s">
        <v>4909</v>
      </c>
      <c r="D7656" t="s">
        <v>4909</v>
      </c>
      <c r="E7656" t="s">
        <v>4909</v>
      </c>
      <c r="F7656" t="s">
        <v>4909</v>
      </c>
      <c r="G7656" t="s">
        <v>4909</v>
      </c>
      <c r="H7656" s="88">
        <v>2.5999999999999999E-2</v>
      </c>
      <c r="I7656" t="s">
        <v>4909</v>
      </c>
      <c r="J7656" t="s">
        <v>4909</v>
      </c>
      <c r="K7656" s="88">
        <v>4.9000000000000002E-2</v>
      </c>
    </row>
    <row r="7657" spans="1:11" x14ac:dyDescent="0.2">
      <c r="A7657" t="s">
        <v>4335</v>
      </c>
      <c r="B7657" t="s">
        <v>4909</v>
      </c>
      <c r="C7657" t="s">
        <v>4909</v>
      </c>
      <c r="D7657" t="s">
        <v>4909</v>
      </c>
      <c r="E7657" t="s">
        <v>4909</v>
      </c>
      <c r="F7657" t="s">
        <v>4909</v>
      </c>
      <c r="G7657" t="s">
        <v>4909</v>
      </c>
      <c r="H7657" s="88">
        <v>5.1999999999999998E-2</v>
      </c>
      <c r="I7657" t="s">
        <v>4909</v>
      </c>
      <c r="J7657" s="88">
        <v>0</v>
      </c>
      <c r="K7657" s="88">
        <v>6.0999999999999999E-2</v>
      </c>
    </row>
    <row r="7658" spans="1:11" x14ac:dyDescent="0.2">
      <c r="A7658" t="s">
        <v>4336</v>
      </c>
      <c r="B7658" t="s">
        <v>4909</v>
      </c>
      <c r="C7658" t="s">
        <v>4909</v>
      </c>
      <c r="D7658" t="s">
        <v>4909</v>
      </c>
      <c r="E7658" t="s">
        <v>4909</v>
      </c>
      <c r="F7658" t="s">
        <v>4909</v>
      </c>
      <c r="G7658" t="s">
        <v>4909</v>
      </c>
      <c r="H7658" t="s">
        <v>4909</v>
      </c>
      <c r="I7658" t="s">
        <v>4909</v>
      </c>
      <c r="J7658" t="s">
        <v>4909</v>
      </c>
      <c r="K7658" t="s">
        <v>4909</v>
      </c>
    </row>
    <row r="7659" spans="1:11" x14ac:dyDescent="0.2">
      <c r="A7659" t="s">
        <v>4337</v>
      </c>
      <c r="B7659" t="s">
        <v>4909</v>
      </c>
      <c r="C7659" t="s">
        <v>4909</v>
      </c>
      <c r="D7659" t="s">
        <v>4909</v>
      </c>
      <c r="E7659" t="s">
        <v>4909</v>
      </c>
      <c r="F7659" t="s">
        <v>4909</v>
      </c>
      <c r="G7659" t="s">
        <v>4909</v>
      </c>
      <c r="H7659" t="s">
        <v>4909</v>
      </c>
      <c r="I7659" t="s">
        <v>4909</v>
      </c>
      <c r="J7659" t="s">
        <v>4909</v>
      </c>
      <c r="K7659" t="s">
        <v>4909</v>
      </c>
    </row>
    <row r="7660" spans="1:11" x14ac:dyDescent="0.2">
      <c r="A7660" t="s">
        <v>4338</v>
      </c>
      <c r="B7660" t="s">
        <v>4909</v>
      </c>
      <c r="C7660" t="s">
        <v>4909</v>
      </c>
      <c r="D7660" t="s">
        <v>4909</v>
      </c>
      <c r="E7660" t="s">
        <v>4909</v>
      </c>
      <c r="F7660" s="88">
        <v>0</v>
      </c>
      <c r="G7660" s="88">
        <v>2E-3</v>
      </c>
      <c r="H7660" s="88">
        <v>3.0000000000000001E-3</v>
      </c>
      <c r="I7660" t="s">
        <v>4909</v>
      </c>
      <c r="J7660" t="s">
        <v>4909</v>
      </c>
      <c r="K7660" s="88">
        <v>6.0000000000000001E-3</v>
      </c>
    </row>
    <row r="7661" spans="1:11" x14ac:dyDescent="0.2">
      <c r="A7661" t="s">
        <v>4339</v>
      </c>
      <c r="B7661" t="s">
        <v>4909</v>
      </c>
      <c r="C7661" t="s">
        <v>4909</v>
      </c>
      <c r="D7661" t="s">
        <v>4909</v>
      </c>
      <c r="E7661" t="s">
        <v>4909</v>
      </c>
      <c r="F7661" t="s">
        <v>4909</v>
      </c>
      <c r="G7661" t="s">
        <v>4909</v>
      </c>
      <c r="H7661" t="s">
        <v>4909</v>
      </c>
      <c r="I7661" t="s">
        <v>4909</v>
      </c>
      <c r="J7661" t="s">
        <v>4909</v>
      </c>
      <c r="K7661" t="s">
        <v>4909</v>
      </c>
    </row>
    <row r="7662" spans="1:11" x14ac:dyDescent="0.2">
      <c r="A7662" t="s">
        <v>4340</v>
      </c>
      <c r="B7662" t="s">
        <v>4909</v>
      </c>
      <c r="C7662" t="s">
        <v>4909</v>
      </c>
      <c r="D7662" t="s">
        <v>4909</v>
      </c>
      <c r="E7662" t="s">
        <v>4909</v>
      </c>
      <c r="F7662" t="s">
        <v>4909</v>
      </c>
      <c r="G7662" t="s">
        <v>4909</v>
      </c>
      <c r="H7662" t="s">
        <v>4909</v>
      </c>
      <c r="I7662" t="s">
        <v>4909</v>
      </c>
      <c r="J7662" t="s">
        <v>4909</v>
      </c>
      <c r="K7662" t="s">
        <v>4909</v>
      </c>
    </row>
    <row r="7663" spans="1:11" x14ac:dyDescent="0.2">
      <c r="A7663" t="s">
        <v>4341</v>
      </c>
      <c r="B7663" t="s">
        <v>4909</v>
      </c>
      <c r="C7663" t="s">
        <v>4909</v>
      </c>
      <c r="D7663" t="s">
        <v>4909</v>
      </c>
      <c r="E7663" t="s">
        <v>4909</v>
      </c>
      <c r="F7663" s="88">
        <v>0.19600000000000001</v>
      </c>
      <c r="G7663" s="88">
        <v>0.80300000000000005</v>
      </c>
      <c r="H7663" t="s">
        <v>4909</v>
      </c>
      <c r="I7663" t="s">
        <v>4909</v>
      </c>
      <c r="J7663" t="s">
        <v>4909</v>
      </c>
      <c r="K7663" t="s">
        <v>4909</v>
      </c>
    </row>
    <row r="7664" spans="1:11" x14ac:dyDescent="0.2">
      <c r="A7664" t="s">
        <v>4342</v>
      </c>
      <c r="B7664" t="s">
        <v>4909</v>
      </c>
      <c r="C7664" t="s">
        <v>4909</v>
      </c>
      <c r="D7664" t="s">
        <v>4909</v>
      </c>
      <c r="E7664" t="s">
        <v>4909</v>
      </c>
      <c r="F7664" t="s">
        <v>4909</v>
      </c>
      <c r="G7664" t="s">
        <v>4909</v>
      </c>
      <c r="H7664" t="s">
        <v>4909</v>
      </c>
      <c r="I7664" t="s">
        <v>4909</v>
      </c>
      <c r="J7664" t="s">
        <v>4909</v>
      </c>
      <c r="K7664" t="s">
        <v>4909</v>
      </c>
    </row>
    <row r="7665" spans="1:11" x14ac:dyDescent="0.2">
      <c r="A7665" t="s">
        <v>4343</v>
      </c>
      <c r="B7665" t="s">
        <v>4909</v>
      </c>
      <c r="C7665" t="s">
        <v>4909</v>
      </c>
      <c r="D7665" t="s">
        <v>4909</v>
      </c>
      <c r="E7665" t="s">
        <v>4909</v>
      </c>
      <c r="F7665" t="s">
        <v>4909</v>
      </c>
      <c r="G7665" t="s">
        <v>4909</v>
      </c>
      <c r="H7665" t="s">
        <v>4909</v>
      </c>
      <c r="I7665" t="s">
        <v>4909</v>
      </c>
      <c r="J7665" t="s">
        <v>4909</v>
      </c>
      <c r="K7665" t="s">
        <v>4909</v>
      </c>
    </row>
    <row r="7666" spans="1:11" x14ac:dyDescent="0.2">
      <c r="A7666" t="s">
        <v>1728</v>
      </c>
      <c r="B7666" t="s">
        <v>4909</v>
      </c>
      <c r="C7666" t="s">
        <v>4909</v>
      </c>
      <c r="D7666" t="s">
        <v>4909</v>
      </c>
      <c r="E7666" t="s">
        <v>4909</v>
      </c>
      <c r="F7666" t="s">
        <v>4909</v>
      </c>
      <c r="G7666" t="s">
        <v>4909</v>
      </c>
      <c r="H7666" t="s">
        <v>4909</v>
      </c>
      <c r="I7666" t="s">
        <v>4909</v>
      </c>
      <c r="J7666" t="s">
        <v>4909</v>
      </c>
      <c r="K7666" t="s">
        <v>4909</v>
      </c>
    </row>
    <row r="7667" spans="1:11" x14ac:dyDescent="0.2">
      <c r="A7667" t="s">
        <v>1730</v>
      </c>
      <c r="B7667" t="s">
        <v>4909</v>
      </c>
      <c r="C7667" t="s">
        <v>4909</v>
      </c>
      <c r="D7667" t="s">
        <v>4909</v>
      </c>
      <c r="E7667" t="s">
        <v>4909</v>
      </c>
      <c r="F7667" s="88">
        <v>2E-3</v>
      </c>
      <c r="G7667" s="88">
        <v>1.2E-2</v>
      </c>
      <c r="H7667" s="88">
        <v>0</v>
      </c>
      <c r="I7667" t="s">
        <v>4909</v>
      </c>
      <c r="J7667" t="s">
        <v>4909</v>
      </c>
      <c r="K7667" s="88">
        <v>1E-3</v>
      </c>
    </row>
    <row r="7668" spans="1:11" x14ac:dyDescent="0.2">
      <c r="A7668" t="s">
        <v>1733</v>
      </c>
      <c r="B7668" t="s">
        <v>4909</v>
      </c>
      <c r="C7668" t="s">
        <v>4909</v>
      </c>
      <c r="D7668" t="s">
        <v>4909</v>
      </c>
      <c r="E7668" t="s">
        <v>4909</v>
      </c>
      <c r="F7668" t="s">
        <v>4909</v>
      </c>
      <c r="G7668" t="s">
        <v>4909</v>
      </c>
      <c r="H7668" t="s">
        <v>4909</v>
      </c>
      <c r="I7668" t="s">
        <v>4909</v>
      </c>
      <c r="J7668" t="s">
        <v>4909</v>
      </c>
      <c r="K7668" t="s">
        <v>4909</v>
      </c>
    </row>
    <row r="7669" spans="1:11" x14ac:dyDescent="0.2">
      <c r="A7669" t="s">
        <v>1738</v>
      </c>
      <c r="B7669" t="s">
        <v>4909</v>
      </c>
      <c r="C7669" t="s">
        <v>4909</v>
      </c>
      <c r="D7669" t="s">
        <v>4909</v>
      </c>
      <c r="E7669" t="s">
        <v>4909</v>
      </c>
      <c r="F7669" t="s">
        <v>4909</v>
      </c>
      <c r="G7669" t="s">
        <v>4909</v>
      </c>
      <c r="H7669" t="s">
        <v>4909</v>
      </c>
      <c r="I7669" t="s">
        <v>4909</v>
      </c>
      <c r="J7669" t="s">
        <v>4909</v>
      </c>
      <c r="K7669" t="s">
        <v>4909</v>
      </c>
    </row>
    <row r="7670" spans="1:11" x14ac:dyDescent="0.2">
      <c r="A7670" t="s">
        <v>1744</v>
      </c>
      <c r="B7670" t="s">
        <v>4909</v>
      </c>
      <c r="C7670" t="s">
        <v>4909</v>
      </c>
      <c r="D7670" t="s">
        <v>4909</v>
      </c>
      <c r="E7670" t="s">
        <v>4909</v>
      </c>
      <c r="F7670" t="s">
        <v>4909</v>
      </c>
      <c r="G7670" t="s">
        <v>4909</v>
      </c>
      <c r="H7670" t="s">
        <v>4909</v>
      </c>
      <c r="I7670" t="s">
        <v>4909</v>
      </c>
      <c r="J7670" t="s">
        <v>4909</v>
      </c>
      <c r="K7670" t="s">
        <v>4909</v>
      </c>
    </row>
    <row r="7671" spans="1:11" x14ac:dyDescent="0.2">
      <c r="A7671" t="s">
        <v>1747</v>
      </c>
      <c r="B7671" t="s">
        <v>4909</v>
      </c>
      <c r="C7671" t="s">
        <v>4909</v>
      </c>
      <c r="D7671" t="s">
        <v>4909</v>
      </c>
      <c r="E7671" t="s">
        <v>4909</v>
      </c>
      <c r="F7671" t="s">
        <v>4909</v>
      </c>
      <c r="G7671" t="s">
        <v>4909</v>
      </c>
      <c r="H7671" t="s">
        <v>4909</v>
      </c>
      <c r="I7671" t="s">
        <v>4909</v>
      </c>
      <c r="J7671" t="s">
        <v>4909</v>
      </c>
      <c r="K7671" t="s">
        <v>4909</v>
      </c>
    </row>
    <row r="7672" spans="1:11" x14ac:dyDescent="0.2">
      <c r="A7672" t="s">
        <v>1751</v>
      </c>
      <c r="B7672" t="s">
        <v>4909</v>
      </c>
      <c r="C7672" t="s">
        <v>4909</v>
      </c>
      <c r="D7672" t="s">
        <v>4909</v>
      </c>
      <c r="E7672" t="s">
        <v>4909</v>
      </c>
      <c r="F7672" t="s">
        <v>4909</v>
      </c>
      <c r="G7672" t="s">
        <v>4909</v>
      </c>
      <c r="H7672" t="s">
        <v>4909</v>
      </c>
      <c r="I7672" t="s">
        <v>4909</v>
      </c>
      <c r="J7672" t="s">
        <v>4909</v>
      </c>
      <c r="K7672" t="s">
        <v>4909</v>
      </c>
    </row>
    <row r="7673" spans="1:11" x14ac:dyDescent="0.2">
      <c r="A7673" t="s">
        <v>1755</v>
      </c>
      <c r="B7673" t="s">
        <v>4909</v>
      </c>
      <c r="C7673" t="s">
        <v>4909</v>
      </c>
      <c r="D7673" t="s">
        <v>4909</v>
      </c>
      <c r="E7673" t="s">
        <v>4909</v>
      </c>
      <c r="F7673" t="s">
        <v>4909</v>
      </c>
      <c r="G7673" t="s">
        <v>4909</v>
      </c>
      <c r="H7673" t="s">
        <v>4909</v>
      </c>
      <c r="I7673" t="s">
        <v>4909</v>
      </c>
      <c r="J7673" t="s">
        <v>4909</v>
      </c>
      <c r="K7673" t="s">
        <v>4909</v>
      </c>
    </row>
    <row r="7674" spans="1:11" x14ac:dyDescent="0.2">
      <c r="A7674" t="s">
        <v>1757</v>
      </c>
      <c r="B7674" t="s">
        <v>4909</v>
      </c>
      <c r="C7674" t="s">
        <v>4909</v>
      </c>
      <c r="D7674" t="s">
        <v>4909</v>
      </c>
      <c r="E7674" t="s">
        <v>4909</v>
      </c>
      <c r="F7674" t="s">
        <v>4909</v>
      </c>
      <c r="G7674" s="88">
        <v>0</v>
      </c>
      <c r="H7674" t="s">
        <v>4909</v>
      </c>
      <c r="I7674" t="s">
        <v>4909</v>
      </c>
      <c r="J7674" t="s">
        <v>4909</v>
      </c>
      <c r="K7674" t="s">
        <v>4909</v>
      </c>
    </row>
    <row r="7675" spans="1:11" x14ac:dyDescent="0.2">
      <c r="A7675" t="s">
        <v>1761</v>
      </c>
      <c r="B7675" t="s">
        <v>4909</v>
      </c>
      <c r="C7675" t="s">
        <v>4909</v>
      </c>
      <c r="D7675" t="s">
        <v>4909</v>
      </c>
      <c r="E7675" t="s">
        <v>4909</v>
      </c>
      <c r="F7675" t="s">
        <v>4909</v>
      </c>
      <c r="G7675" t="s">
        <v>4909</v>
      </c>
      <c r="H7675" t="s">
        <v>4909</v>
      </c>
      <c r="I7675" t="s">
        <v>4909</v>
      </c>
      <c r="J7675" t="s">
        <v>4909</v>
      </c>
      <c r="K7675" t="s">
        <v>4909</v>
      </c>
    </row>
    <row r="7676" spans="1:11" x14ac:dyDescent="0.2">
      <c r="A7676" t="s">
        <v>1764</v>
      </c>
      <c r="B7676" t="s">
        <v>4909</v>
      </c>
      <c r="C7676" t="s">
        <v>4909</v>
      </c>
      <c r="D7676" t="s">
        <v>4909</v>
      </c>
      <c r="E7676" t="s">
        <v>4909</v>
      </c>
      <c r="F7676" t="s">
        <v>4909</v>
      </c>
      <c r="G7676" t="s">
        <v>4909</v>
      </c>
      <c r="H7676" t="s">
        <v>4909</v>
      </c>
      <c r="I7676" t="s">
        <v>4909</v>
      </c>
      <c r="J7676" t="s">
        <v>4909</v>
      </c>
      <c r="K7676" t="s">
        <v>4909</v>
      </c>
    </row>
    <row r="7677" spans="1:11" x14ac:dyDescent="0.2">
      <c r="A7677" t="s">
        <v>1770</v>
      </c>
      <c r="B7677" t="s">
        <v>4909</v>
      </c>
      <c r="C7677" t="s">
        <v>4909</v>
      </c>
      <c r="D7677" t="s">
        <v>4909</v>
      </c>
      <c r="E7677" t="s">
        <v>4909</v>
      </c>
      <c r="F7677" s="88">
        <v>1E-3</v>
      </c>
      <c r="G7677" s="88">
        <v>1.2999999999999999E-2</v>
      </c>
      <c r="H7677" s="88">
        <v>0</v>
      </c>
      <c r="I7677" t="s">
        <v>4909</v>
      </c>
      <c r="J7677" t="s">
        <v>4909</v>
      </c>
      <c r="K7677" s="88">
        <v>1E-3</v>
      </c>
    </row>
    <row r="7678" spans="1:11" x14ac:dyDescent="0.2">
      <c r="A7678" t="s">
        <v>1772</v>
      </c>
      <c r="B7678" t="s">
        <v>4909</v>
      </c>
      <c r="C7678" t="s">
        <v>4909</v>
      </c>
      <c r="D7678" t="s">
        <v>4909</v>
      </c>
      <c r="E7678" t="s">
        <v>4909</v>
      </c>
      <c r="F7678" t="s">
        <v>4909</v>
      </c>
      <c r="G7678" s="88">
        <v>3.0000000000000001E-3</v>
      </c>
      <c r="H7678" t="s">
        <v>4909</v>
      </c>
      <c r="I7678" t="s">
        <v>4909</v>
      </c>
      <c r="J7678" t="s">
        <v>4909</v>
      </c>
      <c r="K7678" t="s">
        <v>4909</v>
      </c>
    </row>
    <row r="7679" spans="1:11" x14ac:dyDescent="0.2">
      <c r="A7679" t="s">
        <v>1774</v>
      </c>
      <c r="B7679" t="s">
        <v>4909</v>
      </c>
      <c r="C7679" t="s">
        <v>4909</v>
      </c>
      <c r="D7679" t="s">
        <v>4909</v>
      </c>
      <c r="E7679" t="s">
        <v>4909</v>
      </c>
      <c r="F7679" t="s">
        <v>4909</v>
      </c>
      <c r="G7679" t="s">
        <v>4909</v>
      </c>
      <c r="H7679" t="s">
        <v>4909</v>
      </c>
      <c r="I7679" t="s">
        <v>4909</v>
      </c>
      <c r="J7679" t="s">
        <v>4909</v>
      </c>
      <c r="K7679" s="88">
        <v>2E-3</v>
      </c>
    </row>
    <row r="7680" spans="1:11" x14ac:dyDescent="0.2">
      <c r="A7680" t="s">
        <v>1777</v>
      </c>
      <c r="B7680" t="s">
        <v>4909</v>
      </c>
      <c r="C7680" t="s">
        <v>4909</v>
      </c>
      <c r="D7680" t="s">
        <v>4909</v>
      </c>
      <c r="E7680" t="s">
        <v>4909</v>
      </c>
      <c r="F7680" t="s">
        <v>4909</v>
      </c>
      <c r="G7680" t="s">
        <v>4909</v>
      </c>
      <c r="H7680" t="s">
        <v>4909</v>
      </c>
      <c r="I7680" t="s">
        <v>4909</v>
      </c>
      <c r="J7680" t="s">
        <v>4909</v>
      </c>
      <c r="K7680" t="s">
        <v>4909</v>
      </c>
    </row>
    <row r="7681" spans="1:11" x14ac:dyDescent="0.2">
      <c r="A7681" t="s">
        <v>1782</v>
      </c>
      <c r="B7681" t="s">
        <v>4909</v>
      </c>
      <c r="C7681" t="s">
        <v>4909</v>
      </c>
      <c r="D7681" t="s">
        <v>4909</v>
      </c>
      <c r="E7681" t="s">
        <v>4909</v>
      </c>
      <c r="F7681" t="s">
        <v>4909</v>
      </c>
      <c r="G7681" t="s">
        <v>4909</v>
      </c>
      <c r="H7681" t="s">
        <v>4909</v>
      </c>
      <c r="I7681" t="s">
        <v>4909</v>
      </c>
      <c r="J7681" t="s">
        <v>4909</v>
      </c>
      <c r="K7681" t="s">
        <v>4909</v>
      </c>
    </row>
    <row r="7682" spans="1:11" x14ac:dyDescent="0.2">
      <c r="A7682" t="s">
        <v>1274</v>
      </c>
      <c r="B7682" t="s">
        <v>4909</v>
      </c>
      <c r="C7682" t="s">
        <v>4909</v>
      </c>
      <c r="D7682" t="s">
        <v>4909</v>
      </c>
      <c r="E7682" t="s">
        <v>4909</v>
      </c>
      <c r="F7682" t="s">
        <v>4909</v>
      </c>
      <c r="G7682" t="s">
        <v>4909</v>
      </c>
      <c r="H7682" t="s">
        <v>4909</v>
      </c>
      <c r="I7682" t="s">
        <v>4909</v>
      </c>
      <c r="J7682" t="s">
        <v>4909</v>
      </c>
      <c r="K7682" t="s">
        <v>4909</v>
      </c>
    </row>
    <row r="7683" spans="1:11" x14ac:dyDescent="0.2">
      <c r="A7683" t="s">
        <v>1277</v>
      </c>
      <c r="B7683" t="s">
        <v>4909</v>
      </c>
      <c r="C7683" t="s">
        <v>4909</v>
      </c>
      <c r="D7683" t="s">
        <v>4909</v>
      </c>
      <c r="E7683" t="s">
        <v>4909</v>
      </c>
      <c r="F7683" t="s">
        <v>4909</v>
      </c>
      <c r="G7683" t="s">
        <v>4909</v>
      </c>
      <c r="H7683" t="s">
        <v>4909</v>
      </c>
      <c r="I7683" t="s">
        <v>4909</v>
      </c>
      <c r="J7683" t="s">
        <v>4909</v>
      </c>
      <c r="K7683" t="s">
        <v>4909</v>
      </c>
    </row>
    <row r="7684" spans="1:11" x14ac:dyDescent="0.2">
      <c r="A7684" t="s">
        <v>1798</v>
      </c>
      <c r="B7684" t="s">
        <v>4909</v>
      </c>
      <c r="C7684" t="s">
        <v>4909</v>
      </c>
      <c r="D7684" t="s">
        <v>4909</v>
      </c>
      <c r="E7684" t="s">
        <v>4909</v>
      </c>
      <c r="F7684" t="s">
        <v>4909</v>
      </c>
      <c r="G7684" t="s">
        <v>4909</v>
      </c>
      <c r="H7684" t="s">
        <v>4909</v>
      </c>
      <c r="I7684" t="s">
        <v>4909</v>
      </c>
      <c r="J7684" t="s">
        <v>4909</v>
      </c>
      <c r="K7684" t="s">
        <v>4909</v>
      </c>
    </row>
    <row r="7685" spans="1:11" x14ac:dyDescent="0.2">
      <c r="A7685" t="s">
        <v>1803</v>
      </c>
      <c r="B7685" t="s">
        <v>4909</v>
      </c>
      <c r="C7685" t="s">
        <v>4909</v>
      </c>
      <c r="D7685" t="s">
        <v>4909</v>
      </c>
      <c r="E7685" t="s">
        <v>4909</v>
      </c>
      <c r="F7685" t="s">
        <v>4909</v>
      </c>
      <c r="G7685" t="s">
        <v>4909</v>
      </c>
      <c r="H7685" t="s">
        <v>4909</v>
      </c>
      <c r="I7685" t="s">
        <v>4909</v>
      </c>
      <c r="J7685" t="s">
        <v>4909</v>
      </c>
      <c r="K7685" t="s">
        <v>4909</v>
      </c>
    </row>
    <row r="7686" spans="1:11" x14ac:dyDescent="0.2">
      <c r="A7686" t="s">
        <v>1808</v>
      </c>
      <c r="B7686" t="s">
        <v>4909</v>
      </c>
      <c r="C7686" t="s">
        <v>4909</v>
      </c>
      <c r="D7686" t="s">
        <v>4909</v>
      </c>
      <c r="E7686" t="s">
        <v>4909</v>
      </c>
      <c r="F7686" t="s">
        <v>4909</v>
      </c>
      <c r="G7686" t="s">
        <v>4909</v>
      </c>
      <c r="H7686" t="s">
        <v>4909</v>
      </c>
      <c r="I7686" t="s">
        <v>4909</v>
      </c>
      <c r="J7686" t="s">
        <v>4909</v>
      </c>
      <c r="K7686" t="s">
        <v>4909</v>
      </c>
    </row>
    <row r="7687" spans="1:11" x14ac:dyDescent="0.2">
      <c r="A7687" t="s">
        <v>1813</v>
      </c>
      <c r="B7687" t="s">
        <v>4909</v>
      </c>
      <c r="C7687" t="s">
        <v>4909</v>
      </c>
      <c r="D7687" t="s">
        <v>4909</v>
      </c>
      <c r="E7687" t="s">
        <v>4909</v>
      </c>
      <c r="F7687" t="s">
        <v>4909</v>
      </c>
      <c r="G7687" t="s">
        <v>4909</v>
      </c>
      <c r="H7687" t="s">
        <v>4909</v>
      </c>
      <c r="I7687" t="s">
        <v>4909</v>
      </c>
      <c r="J7687" t="s">
        <v>4909</v>
      </c>
      <c r="K7687" t="s">
        <v>4909</v>
      </c>
    </row>
    <row r="7688" spans="1:11" x14ac:dyDescent="0.2">
      <c r="A7688" t="s">
        <v>1819</v>
      </c>
      <c r="B7688" t="s">
        <v>4909</v>
      </c>
      <c r="C7688" t="s">
        <v>4909</v>
      </c>
      <c r="D7688" t="s">
        <v>4909</v>
      </c>
      <c r="E7688" t="s">
        <v>4909</v>
      </c>
      <c r="F7688" t="s">
        <v>4909</v>
      </c>
      <c r="G7688" t="s">
        <v>4909</v>
      </c>
      <c r="H7688" t="s">
        <v>4909</v>
      </c>
      <c r="I7688" t="s">
        <v>4909</v>
      </c>
      <c r="J7688" t="s">
        <v>4909</v>
      </c>
      <c r="K7688" t="s">
        <v>4909</v>
      </c>
    </row>
    <row r="7689" spans="1:11" x14ac:dyDescent="0.2">
      <c r="A7689" t="s">
        <v>1826</v>
      </c>
      <c r="B7689" t="s">
        <v>4909</v>
      </c>
      <c r="C7689" t="s">
        <v>4909</v>
      </c>
      <c r="D7689" t="s">
        <v>4909</v>
      </c>
      <c r="E7689" t="s">
        <v>4909</v>
      </c>
      <c r="F7689" t="s">
        <v>4909</v>
      </c>
      <c r="G7689" t="s">
        <v>4909</v>
      </c>
      <c r="H7689" t="s">
        <v>4909</v>
      </c>
      <c r="I7689" t="s">
        <v>4909</v>
      </c>
      <c r="J7689" t="s">
        <v>4909</v>
      </c>
      <c r="K7689" t="s">
        <v>4909</v>
      </c>
    </row>
    <row r="7690" spans="1:11" x14ac:dyDescent="0.2">
      <c r="A7690" t="s">
        <v>1830</v>
      </c>
      <c r="B7690" t="s">
        <v>4909</v>
      </c>
      <c r="C7690" t="s">
        <v>4909</v>
      </c>
      <c r="D7690" t="s">
        <v>4909</v>
      </c>
      <c r="E7690" t="s">
        <v>4909</v>
      </c>
      <c r="F7690" t="s">
        <v>4909</v>
      </c>
      <c r="G7690" t="s">
        <v>4909</v>
      </c>
      <c r="H7690" t="s">
        <v>4909</v>
      </c>
      <c r="I7690" t="s">
        <v>4909</v>
      </c>
      <c r="J7690" t="s">
        <v>4909</v>
      </c>
      <c r="K7690" t="s">
        <v>4909</v>
      </c>
    </row>
    <row r="7691" spans="1:11" x14ac:dyDescent="0.2">
      <c r="A7691" t="s">
        <v>1836</v>
      </c>
      <c r="B7691" t="s">
        <v>4909</v>
      </c>
      <c r="C7691" t="s">
        <v>4909</v>
      </c>
      <c r="D7691" t="s">
        <v>4909</v>
      </c>
      <c r="E7691" t="s">
        <v>4909</v>
      </c>
      <c r="F7691" t="s">
        <v>4909</v>
      </c>
      <c r="G7691" t="s">
        <v>4909</v>
      </c>
      <c r="H7691" t="s">
        <v>4909</v>
      </c>
      <c r="I7691" t="s">
        <v>4909</v>
      </c>
      <c r="J7691" t="s">
        <v>4909</v>
      </c>
      <c r="K7691" t="s">
        <v>4909</v>
      </c>
    </row>
    <row r="7692" spans="1:11" x14ac:dyDescent="0.2">
      <c r="A7692" t="s">
        <v>1841</v>
      </c>
      <c r="B7692" t="s">
        <v>4909</v>
      </c>
      <c r="C7692" t="s">
        <v>4909</v>
      </c>
      <c r="D7692" t="s">
        <v>4909</v>
      </c>
      <c r="E7692" t="s">
        <v>4909</v>
      </c>
      <c r="F7692" t="s">
        <v>4909</v>
      </c>
      <c r="G7692" t="s">
        <v>4909</v>
      </c>
      <c r="H7692" t="s">
        <v>4909</v>
      </c>
      <c r="I7692" t="s">
        <v>4909</v>
      </c>
      <c r="J7692" t="s">
        <v>4909</v>
      </c>
      <c r="K7692" t="s">
        <v>4909</v>
      </c>
    </row>
    <row r="7693" spans="1:11" x14ac:dyDescent="0.2">
      <c r="A7693" t="s">
        <v>1842</v>
      </c>
      <c r="B7693" t="s">
        <v>4909</v>
      </c>
      <c r="C7693" t="s">
        <v>4909</v>
      </c>
      <c r="D7693" t="s">
        <v>4909</v>
      </c>
      <c r="E7693" t="s">
        <v>4909</v>
      </c>
      <c r="F7693" t="s">
        <v>4909</v>
      </c>
      <c r="G7693" t="s">
        <v>4909</v>
      </c>
      <c r="H7693" t="s">
        <v>4909</v>
      </c>
      <c r="I7693" t="s">
        <v>4909</v>
      </c>
      <c r="J7693" t="s">
        <v>4909</v>
      </c>
      <c r="K7693" t="s">
        <v>4909</v>
      </c>
    </row>
    <row r="7694" spans="1:11" x14ac:dyDescent="0.2">
      <c r="A7694" t="s">
        <v>1843</v>
      </c>
      <c r="B7694" t="s">
        <v>4909</v>
      </c>
      <c r="C7694" t="s">
        <v>4909</v>
      </c>
      <c r="D7694" t="s">
        <v>4909</v>
      </c>
      <c r="E7694" t="s">
        <v>4909</v>
      </c>
      <c r="F7694" t="s">
        <v>4909</v>
      </c>
      <c r="G7694" t="s">
        <v>4909</v>
      </c>
      <c r="H7694" t="s">
        <v>4909</v>
      </c>
      <c r="I7694" t="s">
        <v>4909</v>
      </c>
      <c r="J7694" t="s">
        <v>4909</v>
      </c>
      <c r="K7694" t="s">
        <v>4909</v>
      </c>
    </row>
    <row r="7695" spans="1:11" x14ac:dyDescent="0.2">
      <c r="A7695" t="s">
        <v>1846</v>
      </c>
      <c r="B7695" t="s">
        <v>4909</v>
      </c>
      <c r="C7695" t="s">
        <v>4909</v>
      </c>
      <c r="D7695" t="s">
        <v>4909</v>
      </c>
      <c r="E7695" t="s">
        <v>4909</v>
      </c>
      <c r="F7695" t="s">
        <v>4909</v>
      </c>
      <c r="G7695" t="s">
        <v>4909</v>
      </c>
      <c r="H7695" t="s">
        <v>4909</v>
      </c>
      <c r="I7695" t="s">
        <v>4909</v>
      </c>
      <c r="J7695" t="s">
        <v>4909</v>
      </c>
      <c r="K7695" t="s">
        <v>4909</v>
      </c>
    </row>
    <row r="7696" spans="1:11" x14ac:dyDescent="0.2">
      <c r="A7696" t="s">
        <v>1851</v>
      </c>
      <c r="B7696" t="s">
        <v>4909</v>
      </c>
      <c r="C7696" t="s">
        <v>4909</v>
      </c>
      <c r="D7696" t="s">
        <v>4909</v>
      </c>
      <c r="E7696" t="s">
        <v>4909</v>
      </c>
      <c r="F7696" t="s">
        <v>4909</v>
      </c>
      <c r="G7696" t="s">
        <v>4909</v>
      </c>
      <c r="H7696" t="s">
        <v>4909</v>
      </c>
      <c r="I7696" t="s">
        <v>4909</v>
      </c>
      <c r="J7696" t="s">
        <v>4909</v>
      </c>
      <c r="K7696" t="s">
        <v>4909</v>
      </c>
    </row>
    <row r="7697" spans="1:11" x14ac:dyDescent="0.2">
      <c r="A7697" t="s">
        <v>1857</v>
      </c>
      <c r="B7697" t="s">
        <v>4909</v>
      </c>
      <c r="C7697" t="s">
        <v>4909</v>
      </c>
      <c r="D7697" t="s">
        <v>4909</v>
      </c>
      <c r="E7697" t="s">
        <v>4909</v>
      </c>
      <c r="F7697" t="s">
        <v>4909</v>
      </c>
      <c r="G7697" t="s">
        <v>4909</v>
      </c>
      <c r="H7697" t="s">
        <v>4909</v>
      </c>
      <c r="I7697" t="s">
        <v>4909</v>
      </c>
      <c r="J7697" t="s">
        <v>4909</v>
      </c>
      <c r="K7697" t="s">
        <v>4909</v>
      </c>
    </row>
    <row r="7698" spans="1:11" x14ac:dyDescent="0.2">
      <c r="A7698" t="s">
        <v>1862</v>
      </c>
      <c r="B7698" t="s">
        <v>4909</v>
      </c>
      <c r="C7698" t="s">
        <v>4909</v>
      </c>
      <c r="D7698" t="s">
        <v>4909</v>
      </c>
      <c r="E7698" t="s">
        <v>4909</v>
      </c>
      <c r="F7698" t="s">
        <v>4909</v>
      </c>
      <c r="G7698" t="s">
        <v>4909</v>
      </c>
      <c r="H7698" t="s">
        <v>4909</v>
      </c>
      <c r="I7698" t="s">
        <v>4909</v>
      </c>
      <c r="J7698" t="s">
        <v>4909</v>
      </c>
      <c r="K7698" t="s">
        <v>4909</v>
      </c>
    </row>
    <row r="7699" spans="1:11" x14ac:dyDescent="0.2">
      <c r="A7699" t="s">
        <v>1867</v>
      </c>
      <c r="B7699" t="s">
        <v>4909</v>
      </c>
      <c r="C7699" t="s">
        <v>4909</v>
      </c>
      <c r="D7699" t="s">
        <v>4909</v>
      </c>
      <c r="E7699" t="s">
        <v>4909</v>
      </c>
      <c r="F7699" t="s">
        <v>4909</v>
      </c>
      <c r="G7699" t="s">
        <v>4909</v>
      </c>
      <c r="H7699" t="s">
        <v>4909</v>
      </c>
      <c r="I7699" t="s">
        <v>4909</v>
      </c>
      <c r="J7699" t="s">
        <v>4909</v>
      </c>
      <c r="K7699" t="s">
        <v>4909</v>
      </c>
    </row>
    <row r="7700" spans="1:11" x14ac:dyDescent="0.2">
      <c r="A7700" t="s">
        <v>1870</v>
      </c>
      <c r="B7700" t="s">
        <v>4909</v>
      </c>
      <c r="C7700" t="s">
        <v>4909</v>
      </c>
      <c r="D7700" t="s">
        <v>4909</v>
      </c>
      <c r="E7700" t="s">
        <v>4909</v>
      </c>
      <c r="F7700" t="s">
        <v>4909</v>
      </c>
      <c r="G7700" t="s">
        <v>4909</v>
      </c>
      <c r="H7700" t="s">
        <v>4909</v>
      </c>
      <c r="I7700" t="s">
        <v>4909</v>
      </c>
      <c r="J7700" t="s">
        <v>4909</v>
      </c>
      <c r="K7700" t="s">
        <v>4909</v>
      </c>
    </row>
    <row r="7701" spans="1:11" x14ac:dyDescent="0.2">
      <c r="A7701" t="s">
        <v>1874</v>
      </c>
      <c r="B7701" t="s">
        <v>4909</v>
      </c>
      <c r="C7701" t="s">
        <v>4909</v>
      </c>
      <c r="D7701" t="s">
        <v>4909</v>
      </c>
      <c r="E7701" t="s">
        <v>4909</v>
      </c>
      <c r="F7701" t="s">
        <v>4909</v>
      </c>
      <c r="G7701" t="s">
        <v>4909</v>
      </c>
      <c r="H7701" t="s">
        <v>4909</v>
      </c>
      <c r="I7701" t="s">
        <v>4909</v>
      </c>
      <c r="J7701" t="s">
        <v>4909</v>
      </c>
      <c r="K7701" t="s">
        <v>4909</v>
      </c>
    </row>
    <row r="7702" spans="1:11" x14ac:dyDescent="0.2">
      <c r="A7702" t="s">
        <v>1876</v>
      </c>
      <c r="B7702" t="s">
        <v>4909</v>
      </c>
      <c r="C7702" t="s">
        <v>4909</v>
      </c>
      <c r="D7702" t="s">
        <v>4909</v>
      </c>
      <c r="E7702" t="s">
        <v>4909</v>
      </c>
      <c r="F7702" t="s">
        <v>4909</v>
      </c>
      <c r="G7702" t="s">
        <v>4909</v>
      </c>
      <c r="H7702" t="s">
        <v>4909</v>
      </c>
      <c r="I7702" t="s">
        <v>4909</v>
      </c>
      <c r="J7702" t="s">
        <v>4909</v>
      </c>
      <c r="K7702" t="s">
        <v>4909</v>
      </c>
    </row>
    <row r="7703" spans="1:11" x14ac:dyDescent="0.2">
      <c r="A7703" t="s">
        <v>1881</v>
      </c>
      <c r="B7703" t="s">
        <v>4909</v>
      </c>
      <c r="C7703" t="s">
        <v>4909</v>
      </c>
      <c r="D7703" t="s">
        <v>4909</v>
      </c>
      <c r="E7703" t="s">
        <v>4909</v>
      </c>
      <c r="F7703" t="s">
        <v>4909</v>
      </c>
      <c r="G7703" t="s">
        <v>4909</v>
      </c>
      <c r="H7703" t="s">
        <v>4909</v>
      </c>
      <c r="I7703" t="s">
        <v>4909</v>
      </c>
      <c r="J7703" t="s">
        <v>4909</v>
      </c>
      <c r="K7703" t="s">
        <v>4909</v>
      </c>
    </row>
    <row r="7704" spans="1:11" x14ac:dyDescent="0.2">
      <c r="A7704" t="s">
        <v>1885</v>
      </c>
      <c r="B7704" t="s">
        <v>4909</v>
      </c>
      <c r="C7704" t="s">
        <v>4909</v>
      </c>
      <c r="D7704" t="s">
        <v>4909</v>
      </c>
      <c r="E7704" t="s">
        <v>4909</v>
      </c>
      <c r="F7704" t="s">
        <v>4909</v>
      </c>
      <c r="G7704" s="88">
        <v>0</v>
      </c>
      <c r="H7704" t="s">
        <v>4909</v>
      </c>
      <c r="I7704" t="s">
        <v>4909</v>
      </c>
      <c r="J7704" t="s">
        <v>4909</v>
      </c>
      <c r="K7704" t="s">
        <v>4909</v>
      </c>
    </row>
    <row r="7705" spans="1:11" x14ac:dyDescent="0.2">
      <c r="A7705" t="s">
        <v>1887</v>
      </c>
      <c r="B7705" t="s">
        <v>4909</v>
      </c>
      <c r="C7705" t="s">
        <v>4909</v>
      </c>
      <c r="D7705" t="s">
        <v>4909</v>
      </c>
      <c r="E7705" t="s">
        <v>4909</v>
      </c>
      <c r="F7705" t="s">
        <v>4909</v>
      </c>
      <c r="G7705" t="s">
        <v>4909</v>
      </c>
      <c r="H7705" t="s">
        <v>4909</v>
      </c>
      <c r="I7705" t="s">
        <v>4909</v>
      </c>
      <c r="J7705" t="s">
        <v>4909</v>
      </c>
      <c r="K7705" t="s">
        <v>4909</v>
      </c>
    </row>
    <row r="7706" spans="1:11" x14ac:dyDescent="0.2">
      <c r="A7706" t="s">
        <v>1893</v>
      </c>
      <c r="B7706" t="s">
        <v>4909</v>
      </c>
      <c r="C7706" t="s">
        <v>4909</v>
      </c>
      <c r="D7706" t="s">
        <v>4909</v>
      </c>
      <c r="E7706" t="s">
        <v>4909</v>
      </c>
      <c r="F7706" t="s">
        <v>4909</v>
      </c>
      <c r="G7706" t="s">
        <v>4909</v>
      </c>
      <c r="H7706" t="s">
        <v>4909</v>
      </c>
      <c r="I7706" t="s">
        <v>4909</v>
      </c>
      <c r="J7706" t="s">
        <v>4909</v>
      </c>
      <c r="K7706" t="s">
        <v>4909</v>
      </c>
    </row>
    <row r="7707" spans="1:11" x14ac:dyDescent="0.2">
      <c r="A7707" t="s">
        <v>1899</v>
      </c>
      <c r="B7707" t="s">
        <v>4909</v>
      </c>
      <c r="C7707" t="s">
        <v>4909</v>
      </c>
      <c r="D7707" t="s">
        <v>4909</v>
      </c>
      <c r="E7707" t="s">
        <v>4909</v>
      </c>
      <c r="F7707" t="s">
        <v>4909</v>
      </c>
      <c r="G7707" t="s">
        <v>4909</v>
      </c>
      <c r="H7707" t="s">
        <v>4909</v>
      </c>
      <c r="I7707" t="s">
        <v>4909</v>
      </c>
      <c r="J7707" t="s">
        <v>4909</v>
      </c>
      <c r="K7707" t="s">
        <v>4909</v>
      </c>
    </row>
    <row r="7708" spans="1:11" x14ac:dyDescent="0.2">
      <c r="A7708" t="s">
        <v>1906</v>
      </c>
      <c r="B7708" t="s">
        <v>4909</v>
      </c>
      <c r="C7708" t="s">
        <v>4909</v>
      </c>
      <c r="D7708" t="s">
        <v>4909</v>
      </c>
      <c r="E7708" t="s">
        <v>4909</v>
      </c>
      <c r="F7708" t="s">
        <v>4909</v>
      </c>
      <c r="G7708" t="s">
        <v>4909</v>
      </c>
      <c r="H7708" t="s">
        <v>4909</v>
      </c>
      <c r="I7708" t="s">
        <v>4909</v>
      </c>
      <c r="J7708" t="s">
        <v>4909</v>
      </c>
      <c r="K7708" t="s">
        <v>4909</v>
      </c>
    </row>
    <row r="7709" spans="1:11" x14ac:dyDescent="0.2">
      <c r="A7709" t="s">
        <v>1911</v>
      </c>
      <c r="B7709" t="s">
        <v>4909</v>
      </c>
      <c r="C7709" t="s">
        <v>4909</v>
      </c>
      <c r="D7709" t="s">
        <v>4909</v>
      </c>
      <c r="E7709" t="s">
        <v>4909</v>
      </c>
      <c r="F7709" t="s">
        <v>4909</v>
      </c>
      <c r="G7709" t="s">
        <v>4909</v>
      </c>
      <c r="H7709" t="s">
        <v>4909</v>
      </c>
      <c r="I7709" t="s">
        <v>4909</v>
      </c>
      <c r="J7709" t="s">
        <v>4909</v>
      </c>
      <c r="K7709" t="s">
        <v>4909</v>
      </c>
    </row>
    <row r="7710" spans="1:11" x14ac:dyDescent="0.2">
      <c r="A7710" t="s">
        <v>1917</v>
      </c>
      <c r="B7710" t="s">
        <v>4909</v>
      </c>
      <c r="C7710" t="s">
        <v>4909</v>
      </c>
      <c r="D7710" t="s">
        <v>4909</v>
      </c>
      <c r="E7710" t="s">
        <v>4909</v>
      </c>
      <c r="F7710" t="s">
        <v>4909</v>
      </c>
      <c r="G7710" t="s">
        <v>4909</v>
      </c>
      <c r="H7710" t="s">
        <v>4909</v>
      </c>
      <c r="I7710" t="s">
        <v>4909</v>
      </c>
      <c r="J7710" t="s">
        <v>4909</v>
      </c>
      <c r="K7710" t="s">
        <v>4909</v>
      </c>
    </row>
    <row r="7711" spans="1:11" x14ac:dyDescent="0.2">
      <c r="A7711" t="s">
        <v>1922</v>
      </c>
      <c r="B7711" t="s">
        <v>4909</v>
      </c>
      <c r="C7711" t="s">
        <v>4909</v>
      </c>
      <c r="D7711" t="s">
        <v>4909</v>
      </c>
      <c r="E7711" t="s">
        <v>4909</v>
      </c>
      <c r="F7711" t="s">
        <v>4909</v>
      </c>
      <c r="G7711" t="s">
        <v>4909</v>
      </c>
      <c r="H7711" t="s">
        <v>4909</v>
      </c>
      <c r="I7711" t="s">
        <v>4909</v>
      </c>
      <c r="J7711" t="s">
        <v>4909</v>
      </c>
      <c r="K7711" t="s">
        <v>4909</v>
      </c>
    </row>
    <row r="7712" spans="1:11" x14ac:dyDescent="0.2">
      <c r="A7712" t="s">
        <v>1928</v>
      </c>
      <c r="B7712" t="s">
        <v>4909</v>
      </c>
      <c r="C7712" t="s">
        <v>4909</v>
      </c>
      <c r="D7712" t="s">
        <v>4909</v>
      </c>
      <c r="E7712" t="s">
        <v>4909</v>
      </c>
      <c r="F7712" t="s">
        <v>4909</v>
      </c>
      <c r="G7712" t="s">
        <v>4909</v>
      </c>
      <c r="H7712" t="s">
        <v>4909</v>
      </c>
      <c r="I7712" t="s">
        <v>4909</v>
      </c>
      <c r="J7712" t="s">
        <v>4909</v>
      </c>
      <c r="K7712" t="s">
        <v>4909</v>
      </c>
    </row>
    <row r="7713" spans="1:11" x14ac:dyDescent="0.2">
      <c r="A7713" t="s">
        <v>1932</v>
      </c>
      <c r="B7713" t="s">
        <v>4909</v>
      </c>
      <c r="C7713" t="s">
        <v>4909</v>
      </c>
      <c r="D7713" t="s">
        <v>4909</v>
      </c>
      <c r="E7713" t="s">
        <v>4909</v>
      </c>
      <c r="F7713" t="s">
        <v>4909</v>
      </c>
      <c r="G7713" t="s">
        <v>4909</v>
      </c>
      <c r="H7713" t="s">
        <v>4909</v>
      </c>
      <c r="I7713" t="s">
        <v>4909</v>
      </c>
      <c r="J7713" t="s">
        <v>4909</v>
      </c>
      <c r="K7713" t="s">
        <v>4909</v>
      </c>
    </row>
    <row r="7714" spans="1:11" x14ac:dyDescent="0.2">
      <c r="A7714" t="s">
        <v>1938</v>
      </c>
      <c r="B7714" t="s">
        <v>4909</v>
      </c>
      <c r="C7714" t="s">
        <v>4909</v>
      </c>
      <c r="D7714" t="s">
        <v>4909</v>
      </c>
      <c r="E7714" t="s">
        <v>4909</v>
      </c>
      <c r="F7714" t="s">
        <v>4909</v>
      </c>
      <c r="G7714" t="s">
        <v>4909</v>
      </c>
      <c r="H7714" t="s">
        <v>4909</v>
      </c>
      <c r="I7714" t="s">
        <v>4909</v>
      </c>
      <c r="J7714" t="s">
        <v>4909</v>
      </c>
      <c r="K7714" t="s">
        <v>4909</v>
      </c>
    </row>
    <row r="7715" spans="1:11" x14ac:dyDescent="0.2">
      <c r="A7715" t="s">
        <v>1944</v>
      </c>
      <c r="B7715" t="s">
        <v>4909</v>
      </c>
      <c r="C7715" t="s">
        <v>4909</v>
      </c>
      <c r="D7715" t="s">
        <v>4909</v>
      </c>
      <c r="E7715" t="s">
        <v>4909</v>
      </c>
      <c r="F7715" t="s">
        <v>4909</v>
      </c>
      <c r="G7715" t="s">
        <v>4909</v>
      </c>
      <c r="H7715" t="s">
        <v>4909</v>
      </c>
      <c r="I7715" t="s">
        <v>4909</v>
      </c>
      <c r="J7715" t="s">
        <v>4909</v>
      </c>
      <c r="K7715" t="s">
        <v>4909</v>
      </c>
    </row>
    <row r="7716" spans="1:11" x14ac:dyDescent="0.2">
      <c r="A7716" t="s">
        <v>1947</v>
      </c>
      <c r="B7716" t="s">
        <v>4909</v>
      </c>
      <c r="C7716" t="s">
        <v>4909</v>
      </c>
      <c r="D7716" t="s">
        <v>4909</v>
      </c>
      <c r="E7716" t="s">
        <v>4909</v>
      </c>
      <c r="F7716" t="s">
        <v>4909</v>
      </c>
      <c r="G7716" t="s">
        <v>4909</v>
      </c>
      <c r="H7716" t="s">
        <v>4909</v>
      </c>
      <c r="I7716" t="s">
        <v>4909</v>
      </c>
      <c r="J7716" t="s">
        <v>4909</v>
      </c>
      <c r="K7716" t="s">
        <v>4909</v>
      </c>
    </row>
    <row r="7717" spans="1:11" x14ac:dyDescent="0.2">
      <c r="A7717" t="s">
        <v>1953</v>
      </c>
      <c r="B7717" t="s">
        <v>4909</v>
      </c>
      <c r="C7717" t="s">
        <v>4909</v>
      </c>
      <c r="D7717" t="s">
        <v>4909</v>
      </c>
      <c r="E7717" t="s">
        <v>4909</v>
      </c>
      <c r="F7717" t="s">
        <v>4909</v>
      </c>
      <c r="G7717" t="s">
        <v>4909</v>
      </c>
      <c r="H7717" t="s">
        <v>4909</v>
      </c>
      <c r="I7717" t="s">
        <v>4909</v>
      </c>
      <c r="J7717" t="s">
        <v>4909</v>
      </c>
      <c r="K7717" t="s">
        <v>4909</v>
      </c>
    </row>
    <row r="7718" spans="1:11" x14ac:dyDescent="0.2">
      <c r="A7718" t="s">
        <v>1958</v>
      </c>
      <c r="B7718" t="s">
        <v>4909</v>
      </c>
      <c r="C7718" t="s">
        <v>4909</v>
      </c>
      <c r="D7718" t="s">
        <v>4909</v>
      </c>
      <c r="E7718" t="s">
        <v>4909</v>
      </c>
      <c r="F7718" t="s">
        <v>4909</v>
      </c>
      <c r="G7718" t="s">
        <v>4909</v>
      </c>
      <c r="H7718" t="s">
        <v>4909</v>
      </c>
      <c r="I7718" t="s">
        <v>4909</v>
      </c>
      <c r="J7718" t="s">
        <v>4909</v>
      </c>
      <c r="K7718" t="s">
        <v>4909</v>
      </c>
    </row>
    <row r="7719" spans="1:11" x14ac:dyDescent="0.2">
      <c r="A7719" t="s">
        <v>1964</v>
      </c>
      <c r="B7719" t="s">
        <v>4909</v>
      </c>
      <c r="C7719" t="s">
        <v>4909</v>
      </c>
      <c r="D7719" t="s">
        <v>4909</v>
      </c>
      <c r="E7719" t="s">
        <v>4909</v>
      </c>
      <c r="F7719" t="s">
        <v>4909</v>
      </c>
      <c r="G7719" t="s">
        <v>4909</v>
      </c>
      <c r="H7719" t="s">
        <v>4909</v>
      </c>
      <c r="I7719" t="s">
        <v>4909</v>
      </c>
      <c r="J7719" t="s">
        <v>4909</v>
      </c>
      <c r="K7719" t="s">
        <v>4909</v>
      </c>
    </row>
    <row r="7720" spans="1:11" x14ac:dyDescent="0.2">
      <c r="A7720" t="s">
        <v>1973</v>
      </c>
      <c r="B7720" t="s">
        <v>4909</v>
      </c>
      <c r="C7720" t="s">
        <v>4909</v>
      </c>
      <c r="D7720" t="s">
        <v>4909</v>
      </c>
      <c r="E7720" t="s">
        <v>4909</v>
      </c>
      <c r="F7720" t="s">
        <v>4909</v>
      </c>
      <c r="G7720" t="s">
        <v>4909</v>
      </c>
      <c r="H7720" t="s">
        <v>4909</v>
      </c>
      <c r="I7720" t="s">
        <v>4909</v>
      </c>
      <c r="J7720" t="s">
        <v>4909</v>
      </c>
      <c r="K7720" t="s">
        <v>4909</v>
      </c>
    </row>
    <row r="7721" spans="1:11" x14ac:dyDescent="0.2">
      <c r="A7721" t="s">
        <v>1978</v>
      </c>
      <c r="B7721" t="s">
        <v>4909</v>
      </c>
      <c r="C7721" t="s">
        <v>4909</v>
      </c>
      <c r="D7721" t="s">
        <v>4909</v>
      </c>
      <c r="E7721" t="s">
        <v>4909</v>
      </c>
      <c r="F7721" t="s">
        <v>4909</v>
      </c>
      <c r="G7721" t="s">
        <v>4909</v>
      </c>
      <c r="H7721" t="s">
        <v>4909</v>
      </c>
      <c r="I7721" t="s">
        <v>4909</v>
      </c>
      <c r="J7721" t="s">
        <v>4909</v>
      </c>
      <c r="K7721" t="s">
        <v>4909</v>
      </c>
    </row>
    <row r="7722" spans="1:11" x14ac:dyDescent="0.2">
      <c r="A7722" t="s">
        <v>1983</v>
      </c>
      <c r="B7722" t="s">
        <v>4909</v>
      </c>
      <c r="C7722" t="s">
        <v>4909</v>
      </c>
      <c r="D7722" t="s">
        <v>4909</v>
      </c>
      <c r="E7722" t="s">
        <v>4909</v>
      </c>
      <c r="F7722" t="s">
        <v>4909</v>
      </c>
      <c r="G7722" t="s">
        <v>4909</v>
      </c>
      <c r="H7722" t="s">
        <v>4909</v>
      </c>
      <c r="I7722" t="s">
        <v>4909</v>
      </c>
      <c r="J7722" t="s">
        <v>4909</v>
      </c>
      <c r="K7722" t="s">
        <v>4909</v>
      </c>
    </row>
    <row r="7723" spans="1:11" x14ac:dyDescent="0.2">
      <c r="A7723" t="s">
        <v>1984</v>
      </c>
      <c r="B7723" t="s">
        <v>4909</v>
      </c>
      <c r="C7723" t="s">
        <v>4909</v>
      </c>
      <c r="D7723" t="s">
        <v>4909</v>
      </c>
      <c r="E7723" t="s">
        <v>4909</v>
      </c>
      <c r="F7723" t="s">
        <v>4909</v>
      </c>
      <c r="G7723" t="s">
        <v>4909</v>
      </c>
      <c r="H7723" t="s">
        <v>4909</v>
      </c>
      <c r="I7723" t="s">
        <v>4909</v>
      </c>
      <c r="J7723" t="s">
        <v>4909</v>
      </c>
      <c r="K7723" t="s">
        <v>4909</v>
      </c>
    </row>
    <row r="7724" spans="1:11" x14ac:dyDescent="0.2">
      <c r="A7724" t="s">
        <v>1990</v>
      </c>
      <c r="B7724" t="s">
        <v>4909</v>
      </c>
      <c r="C7724" t="s">
        <v>4909</v>
      </c>
      <c r="D7724" t="s">
        <v>4909</v>
      </c>
      <c r="E7724" t="s">
        <v>4909</v>
      </c>
      <c r="F7724" t="s">
        <v>4909</v>
      </c>
      <c r="G7724" t="s">
        <v>4909</v>
      </c>
      <c r="H7724" t="s">
        <v>4909</v>
      </c>
      <c r="I7724" t="s">
        <v>4909</v>
      </c>
      <c r="J7724" t="s">
        <v>4909</v>
      </c>
      <c r="K7724" t="s">
        <v>4909</v>
      </c>
    </row>
    <row r="7725" spans="1:11" x14ac:dyDescent="0.2">
      <c r="A7725" t="s">
        <v>1996</v>
      </c>
      <c r="B7725" t="s">
        <v>4909</v>
      </c>
      <c r="C7725" t="s">
        <v>4909</v>
      </c>
      <c r="D7725" t="s">
        <v>4909</v>
      </c>
      <c r="E7725" t="s">
        <v>4909</v>
      </c>
      <c r="F7725" t="s">
        <v>4909</v>
      </c>
      <c r="G7725" t="s">
        <v>4909</v>
      </c>
      <c r="H7725" t="s">
        <v>4909</v>
      </c>
      <c r="I7725" t="s">
        <v>4909</v>
      </c>
      <c r="J7725" t="s">
        <v>4909</v>
      </c>
      <c r="K7725" t="s">
        <v>4909</v>
      </c>
    </row>
    <row r="7726" spans="1:11" x14ac:dyDescent="0.2">
      <c r="A7726" t="s">
        <v>1998</v>
      </c>
      <c r="B7726" t="s">
        <v>4909</v>
      </c>
      <c r="C7726" t="s">
        <v>4909</v>
      </c>
      <c r="D7726" t="s">
        <v>4909</v>
      </c>
      <c r="E7726" t="s">
        <v>4909</v>
      </c>
      <c r="F7726" t="s">
        <v>4909</v>
      </c>
      <c r="G7726" t="s">
        <v>4909</v>
      </c>
      <c r="H7726" t="s">
        <v>4909</v>
      </c>
      <c r="I7726" t="s">
        <v>4909</v>
      </c>
      <c r="J7726" t="s">
        <v>4909</v>
      </c>
      <c r="K7726" t="s">
        <v>4909</v>
      </c>
    </row>
    <row r="7727" spans="1:11" x14ac:dyDescent="0.2">
      <c r="A7727" t="s">
        <v>1999</v>
      </c>
      <c r="B7727" t="s">
        <v>4909</v>
      </c>
      <c r="C7727" t="s">
        <v>4909</v>
      </c>
      <c r="D7727" t="s">
        <v>4909</v>
      </c>
      <c r="E7727" t="s">
        <v>4909</v>
      </c>
      <c r="F7727" t="s">
        <v>4909</v>
      </c>
      <c r="G7727" t="s">
        <v>4909</v>
      </c>
      <c r="H7727" t="s">
        <v>4909</v>
      </c>
      <c r="I7727" t="s">
        <v>4909</v>
      </c>
      <c r="J7727" t="s">
        <v>4909</v>
      </c>
      <c r="K7727" t="s">
        <v>4909</v>
      </c>
    </row>
    <row r="7728" spans="1:11" x14ac:dyDescent="0.2">
      <c r="A7728" t="s">
        <v>2004</v>
      </c>
      <c r="B7728" t="s">
        <v>4909</v>
      </c>
      <c r="C7728" t="s">
        <v>4909</v>
      </c>
      <c r="D7728" t="s">
        <v>4909</v>
      </c>
      <c r="E7728" t="s">
        <v>4909</v>
      </c>
      <c r="F7728" t="s">
        <v>4909</v>
      </c>
      <c r="G7728" t="s">
        <v>4909</v>
      </c>
      <c r="H7728" t="s">
        <v>4909</v>
      </c>
      <c r="I7728" t="s">
        <v>4909</v>
      </c>
      <c r="J7728" t="s">
        <v>4909</v>
      </c>
      <c r="K7728" t="s">
        <v>4909</v>
      </c>
    </row>
    <row r="7729" spans="1:11" x14ac:dyDescent="0.2">
      <c r="A7729" t="s">
        <v>2009</v>
      </c>
      <c r="B7729" t="s">
        <v>4909</v>
      </c>
      <c r="C7729" t="s">
        <v>4909</v>
      </c>
      <c r="D7729" t="s">
        <v>4909</v>
      </c>
      <c r="E7729" t="s">
        <v>4909</v>
      </c>
      <c r="F7729" t="s">
        <v>4909</v>
      </c>
      <c r="G7729" t="s">
        <v>4909</v>
      </c>
      <c r="H7729" t="s">
        <v>4909</v>
      </c>
      <c r="I7729" t="s">
        <v>4909</v>
      </c>
      <c r="J7729" t="s">
        <v>4909</v>
      </c>
      <c r="K7729" t="s">
        <v>4909</v>
      </c>
    </row>
    <row r="7730" spans="1:11" x14ac:dyDescent="0.2">
      <c r="A7730" t="s">
        <v>2014</v>
      </c>
      <c r="B7730" t="s">
        <v>4909</v>
      </c>
      <c r="C7730" t="s">
        <v>4909</v>
      </c>
      <c r="D7730" t="s">
        <v>4909</v>
      </c>
      <c r="E7730" t="s">
        <v>4909</v>
      </c>
      <c r="F7730" t="s">
        <v>4909</v>
      </c>
      <c r="G7730" t="s">
        <v>4909</v>
      </c>
      <c r="H7730" t="s">
        <v>4909</v>
      </c>
      <c r="I7730" t="s">
        <v>4909</v>
      </c>
      <c r="J7730" t="s">
        <v>4909</v>
      </c>
      <c r="K7730" t="s">
        <v>4909</v>
      </c>
    </row>
    <row r="7731" spans="1:11" x14ac:dyDescent="0.2">
      <c r="A7731" t="s">
        <v>2019</v>
      </c>
      <c r="B7731" t="s">
        <v>4909</v>
      </c>
      <c r="C7731" t="s">
        <v>4909</v>
      </c>
      <c r="D7731" t="s">
        <v>4909</v>
      </c>
      <c r="E7731" t="s">
        <v>4909</v>
      </c>
      <c r="F7731" t="s">
        <v>4909</v>
      </c>
      <c r="G7731" t="s">
        <v>4909</v>
      </c>
      <c r="H7731" t="s">
        <v>4909</v>
      </c>
      <c r="I7731" t="s">
        <v>4909</v>
      </c>
      <c r="J7731" t="s">
        <v>4909</v>
      </c>
      <c r="K7731" t="s">
        <v>4909</v>
      </c>
    </row>
    <row r="7732" spans="1:11" x14ac:dyDescent="0.2">
      <c r="A7732" t="s">
        <v>2023</v>
      </c>
      <c r="B7732" t="s">
        <v>4909</v>
      </c>
      <c r="C7732" t="s">
        <v>4909</v>
      </c>
      <c r="D7732" t="s">
        <v>4909</v>
      </c>
      <c r="E7732" t="s">
        <v>4909</v>
      </c>
      <c r="F7732" t="s">
        <v>4909</v>
      </c>
      <c r="G7732" t="s">
        <v>4909</v>
      </c>
      <c r="H7732" t="s">
        <v>4909</v>
      </c>
      <c r="I7732" t="s">
        <v>4909</v>
      </c>
      <c r="J7732" t="s">
        <v>4909</v>
      </c>
      <c r="K7732" t="s">
        <v>4909</v>
      </c>
    </row>
    <row r="7733" spans="1:11" x14ac:dyDescent="0.2">
      <c r="A7733" t="s">
        <v>2026</v>
      </c>
      <c r="B7733" t="s">
        <v>4909</v>
      </c>
      <c r="C7733" t="s">
        <v>4909</v>
      </c>
      <c r="D7733" t="s">
        <v>4909</v>
      </c>
      <c r="E7733" t="s">
        <v>4909</v>
      </c>
      <c r="F7733" t="s">
        <v>4909</v>
      </c>
      <c r="G7733" t="s">
        <v>4909</v>
      </c>
      <c r="H7733" t="s">
        <v>4909</v>
      </c>
      <c r="I7733" t="s">
        <v>4909</v>
      </c>
      <c r="J7733" t="s">
        <v>4909</v>
      </c>
      <c r="K7733" t="s">
        <v>4909</v>
      </c>
    </row>
    <row r="7734" spans="1:11" x14ac:dyDescent="0.2">
      <c r="A7734" t="s">
        <v>2030</v>
      </c>
      <c r="B7734" t="s">
        <v>4909</v>
      </c>
      <c r="C7734" t="s">
        <v>4909</v>
      </c>
      <c r="D7734" t="s">
        <v>4909</v>
      </c>
      <c r="E7734" t="s">
        <v>4909</v>
      </c>
      <c r="F7734" t="s">
        <v>4909</v>
      </c>
      <c r="G7734" t="s">
        <v>4909</v>
      </c>
      <c r="H7734" t="s">
        <v>4909</v>
      </c>
      <c r="I7734" t="s">
        <v>4909</v>
      </c>
      <c r="J7734" t="s">
        <v>4909</v>
      </c>
      <c r="K7734" t="s">
        <v>4909</v>
      </c>
    </row>
    <row r="7735" spans="1:11" x14ac:dyDescent="0.2">
      <c r="A7735" t="s">
        <v>2035</v>
      </c>
      <c r="B7735" t="s">
        <v>4909</v>
      </c>
      <c r="C7735" t="s">
        <v>4909</v>
      </c>
      <c r="D7735" t="s">
        <v>4909</v>
      </c>
      <c r="E7735" t="s">
        <v>4909</v>
      </c>
      <c r="F7735" t="s">
        <v>4909</v>
      </c>
      <c r="G7735" t="s">
        <v>4909</v>
      </c>
      <c r="H7735" t="s">
        <v>4909</v>
      </c>
      <c r="I7735" t="s">
        <v>4909</v>
      </c>
      <c r="J7735" t="s">
        <v>4909</v>
      </c>
      <c r="K7735" t="s">
        <v>4909</v>
      </c>
    </row>
    <row r="7736" spans="1:11" x14ac:dyDescent="0.2">
      <c r="A7736" t="s">
        <v>2040</v>
      </c>
      <c r="B7736" t="s">
        <v>4909</v>
      </c>
      <c r="C7736" t="s">
        <v>4909</v>
      </c>
      <c r="D7736" t="s">
        <v>4909</v>
      </c>
      <c r="E7736" t="s">
        <v>4909</v>
      </c>
      <c r="F7736" t="s">
        <v>4909</v>
      </c>
      <c r="G7736" t="s">
        <v>4909</v>
      </c>
      <c r="H7736" t="s">
        <v>4909</v>
      </c>
      <c r="I7736" t="s">
        <v>4909</v>
      </c>
      <c r="J7736" t="s">
        <v>4909</v>
      </c>
      <c r="K7736" t="s">
        <v>4909</v>
      </c>
    </row>
    <row r="7737" spans="1:11" x14ac:dyDescent="0.2">
      <c r="A7737" t="s">
        <v>2045</v>
      </c>
      <c r="B7737" t="s">
        <v>4909</v>
      </c>
      <c r="C7737" t="s">
        <v>4909</v>
      </c>
      <c r="D7737" t="s">
        <v>4909</v>
      </c>
      <c r="E7737" t="s">
        <v>4909</v>
      </c>
      <c r="F7737" t="s">
        <v>4909</v>
      </c>
      <c r="G7737" t="s">
        <v>4909</v>
      </c>
      <c r="H7737" t="s">
        <v>4909</v>
      </c>
      <c r="I7737" t="s">
        <v>4909</v>
      </c>
      <c r="J7737" t="s">
        <v>4909</v>
      </c>
      <c r="K7737" t="s">
        <v>4909</v>
      </c>
    </row>
    <row r="7738" spans="1:11" x14ac:dyDescent="0.2">
      <c r="A7738" t="s">
        <v>2049</v>
      </c>
      <c r="B7738" t="s">
        <v>4909</v>
      </c>
      <c r="C7738" t="s">
        <v>4909</v>
      </c>
      <c r="D7738" t="s">
        <v>4909</v>
      </c>
      <c r="E7738" t="s">
        <v>4909</v>
      </c>
      <c r="F7738" t="s">
        <v>4909</v>
      </c>
      <c r="G7738" t="s">
        <v>4909</v>
      </c>
      <c r="H7738" t="s">
        <v>4909</v>
      </c>
      <c r="I7738" t="s">
        <v>4909</v>
      </c>
      <c r="J7738" t="s">
        <v>4909</v>
      </c>
      <c r="K7738" t="s">
        <v>4909</v>
      </c>
    </row>
    <row r="7739" spans="1:11" x14ac:dyDescent="0.2">
      <c r="A7739" t="s">
        <v>2051</v>
      </c>
      <c r="B7739" t="s">
        <v>4909</v>
      </c>
      <c r="C7739" t="s">
        <v>4909</v>
      </c>
      <c r="D7739" t="s">
        <v>4909</v>
      </c>
      <c r="E7739" t="s">
        <v>4909</v>
      </c>
      <c r="F7739" t="s">
        <v>4909</v>
      </c>
      <c r="G7739" t="s">
        <v>4909</v>
      </c>
      <c r="H7739" t="s">
        <v>4909</v>
      </c>
      <c r="I7739" t="s">
        <v>4909</v>
      </c>
      <c r="J7739" t="s">
        <v>4909</v>
      </c>
      <c r="K7739" t="s">
        <v>4909</v>
      </c>
    </row>
    <row r="7740" spans="1:11" x14ac:dyDescent="0.2">
      <c r="A7740" t="s">
        <v>2057</v>
      </c>
      <c r="B7740" t="s">
        <v>4909</v>
      </c>
      <c r="C7740" t="s">
        <v>4909</v>
      </c>
      <c r="D7740" t="s">
        <v>4909</v>
      </c>
      <c r="E7740" t="s">
        <v>4909</v>
      </c>
      <c r="F7740" t="s">
        <v>4909</v>
      </c>
      <c r="G7740" t="s">
        <v>4909</v>
      </c>
      <c r="H7740" t="s">
        <v>4909</v>
      </c>
      <c r="I7740" t="s">
        <v>4909</v>
      </c>
      <c r="J7740" t="s">
        <v>4909</v>
      </c>
      <c r="K7740" t="s">
        <v>4909</v>
      </c>
    </row>
    <row r="7741" spans="1:11" x14ac:dyDescent="0.2">
      <c r="A7741" t="s">
        <v>4344</v>
      </c>
      <c r="B7741" t="s">
        <v>4909</v>
      </c>
      <c r="C7741" t="s">
        <v>4909</v>
      </c>
      <c r="D7741" t="s">
        <v>4909</v>
      </c>
      <c r="E7741" t="s">
        <v>4909</v>
      </c>
      <c r="F7741" t="s">
        <v>4909</v>
      </c>
      <c r="G7741" t="s">
        <v>4909</v>
      </c>
      <c r="H7741" t="s">
        <v>4909</v>
      </c>
      <c r="I7741" t="s">
        <v>4909</v>
      </c>
      <c r="J7741" t="s">
        <v>4909</v>
      </c>
      <c r="K7741" t="s">
        <v>4909</v>
      </c>
    </row>
    <row r="7742" spans="1:11" x14ac:dyDescent="0.2">
      <c r="A7742" t="s">
        <v>4345</v>
      </c>
      <c r="B7742" t="s">
        <v>4909</v>
      </c>
      <c r="C7742" t="s">
        <v>4909</v>
      </c>
      <c r="D7742" t="s">
        <v>4909</v>
      </c>
      <c r="E7742" t="s">
        <v>4909</v>
      </c>
      <c r="F7742" t="s">
        <v>4909</v>
      </c>
      <c r="G7742" t="s">
        <v>4909</v>
      </c>
      <c r="H7742" t="s">
        <v>4909</v>
      </c>
      <c r="I7742" t="s">
        <v>4909</v>
      </c>
      <c r="J7742" t="s">
        <v>4909</v>
      </c>
      <c r="K7742" t="s">
        <v>4909</v>
      </c>
    </row>
    <row r="7743" spans="1:11" x14ac:dyDescent="0.2">
      <c r="A7743" t="s">
        <v>2074</v>
      </c>
      <c r="B7743" t="s">
        <v>4909</v>
      </c>
      <c r="C7743" t="s">
        <v>4909</v>
      </c>
      <c r="D7743" t="s">
        <v>4909</v>
      </c>
      <c r="E7743" t="s">
        <v>4909</v>
      </c>
      <c r="F7743" t="s">
        <v>4909</v>
      </c>
      <c r="G7743" t="s">
        <v>4909</v>
      </c>
      <c r="H7743" t="s">
        <v>4909</v>
      </c>
      <c r="I7743" t="s">
        <v>4909</v>
      </c>
      <c r="J7743" t="s">
        <v>4909</v>
      </c>
      <c r="K7743" t="s">
        <v>4909</v>
      </c>
    </row>
    <row r="7744" spans="1:11" x14ac:dyDescent="0.2">
      <c r="A7744" t="s">
        <v>2079</v>
      </c>
      <c r="B7744" t="s">
        <v>4909</v>
      </c>
      <c r="C7744" t="s">
        <v>4909</v>
      </c>
      <c r="D7744" t="s">
        <v>4909</v>
      </c>
      <c r="E7744" t="s">
        <v>4909</v>
      </c>
      <c r="F7744" t="s">
        <v>4909</v>
      </c>
      <c r="G7744" t="s">
        <v>4909</v>
      </c>
      <c r="H7744" t="s">
        <v>4909</v>
      </c>
      <c r="I7744" t="s">
        <v>4909</v>
      </c>
      <c r="J7744" t="s">
        <v>4909</v>
      </c>
      <c r="K7744" t="s">
        <v>4909</v>
      </c>
    </row>
    <row r="7745" spans="1:11" x14ac:dyDescent="0.2">
      <c r="A7745" t="s">
        <v>2085</v>
      </c>
      <c r="B7745" t="s">
        <v>4909</v>
      </c>
      <c r="C7745" t="s">
        <v>4909</v>
      </c>
      <c r="D7745" t="s">
        <v>4909</v>
      </c>
      <c r="E7745" t="s">
        <v>4909</v>
      </c>
      <c r="F7745" t="s">
        <v>4909</v>
      </c>
      <c r="G7745" t="s">
        <v>4909</v>
      </c>
      <c r="H7745" t="s">
        <v>4909</v>
      </c>
      <c r="I7745" t="s">
        <v>4909</v>
      </c>
      <c r="J7745" t="s">
        <v>4909</v>
      </c>
      <c r="K7745" t="s">
        <v>4909</v>
      </c>
    </row>
    <row r="7746" spans="1:11" x14ac:dyDescent="0.2">
      <c r="A7746" t="s">
        <v>2091</v>
      </c>
      <c r="B7746" t="s">
        <v>4909</v>
      </c>
      <c r="C7746" t="s">
        <v>4909</v>
      </c>
      <c r="D7746" t="s">
        <v>4909</v>
      </c>
      <c r="E7746" t="s">
        <v>4909</v>
      </c>
      <c r="F7746" t="s">
        <v>4909</v>
      </c>
      <c r="G7746" t="s">
        <v>4909</v>
      </c>
      <c r="H7746" t="s">
        <v>4909</v>
      </c>
      <c r="I7746" t="s">
        <v>4909</v>
      </c>
      <c r="J7746" t="s">
        <v>4909</v>
      </c>
      <c r="K7746" t="s">
        <v>4909</v>
      </c>
    </row>
    <row r="7747" spans="1:11" x14ac:dyDescent="0.2">
      <c r="A7747" t="s">
        <v>2097</v>
      </c>
      <c r="B7747" t="s">
        <v>4909</v>
      </c>
      <c r="C7747" t="s">
        <v>4909</v>
      </c>
      <c r="D7747" t="s">
        <v>4909</v>
      </c>
      <c r="E7747" t="s">
        <v>4909</v>
      </c>
      <c r="F7747" t="s">
        <v>4909</v>
      </c>
      <c r="G7747" t="s">
        <v>4909</v>
      </c>
      <c r="H7747" t="s">
        <v>4909</v>
      </c>
      <c r="I7747" t="s">
        <v>4909</v>
      </c>
      <c r="J7747" t="s">
        <v>4909</v>
      </c>
      <c r="K7747" t="s">
        <v>4909</v>
      </c>
    </row>
    <row r="7748" spans="1:11" x14ac:dyDescent="0.2">
      <c r="A7748" t="s">
        <v>2101</v>
      </c>
      <c r="B7748" t="s">
        <v>4909</v>
      </c>
      <c r="C7748" t="s">
        <v>4909</v>
      </c>
      <c r="D7748" t="s">
        <v>4909</v>
      </c>
      <c r="E7748" t="s">
        <v>4909</v>
      </c>
      <c r="F7748" t="s">
        <v>4909</v>
      </c>
      <c r="G7748" t="s">
        <v>4909</v>
      </c>
      <c r="H7748" t="s">
        <v>4909</v>
      </c>
      <c r="I7748" t="s">
        <v>4909</v>
      </c>
      <c r="J7748" t="s">
        <v>4909</v>
      </c>
      <c r="K7748" t="s">
        <v>4909</v>
      </c>
    </row>
    <row r="7749" spans="1:11" x14ac:dyDescent="0.2">
      <c r="A7749" t="s">
        <v>2104</v>
      </c>
      <c r="B7749" t="s">
        <v>4909</v>
      </c>
      <c r="C7749" t="s">
        <v>4909</v>
      </c>
      <c r="D7749" t="s">
        <v>4909</v>
      </c>
      <c r="E7749" t="s">
        <v>4909</v>
      </c>
      <c r="F7749" t="s">
        <v>4909</v>
      </c>
      <c r="G7749" t="s">
        <v>4909</v>
      </c>
      <c r="H7749" t="s">
        <v>4909</v>
      </c>
      <c r="I7749" t="s">
        <v>4909</v>
      </c>
      <c r="J7749" t="s">
        <v>4909</v>
      </c>
      <c r="K7749" t="s">
        <v>4909</v>
      </c>
    </row>
    <row r="7750" spans="1:11" x14ac:dyDescent="0.2">
      <c r="A7750" t="s">
        <v>2107</v>
      </c>
      <c r="B7750" t="s">
        <v>4909</v>
      </c>
      <c r="C7750" t="s">
        <v>4909</v>
      </c>
      <c r="D7750" t="s">
        <v>4909</v>
      </c>
      <c r="E7750" t="s">
        <v>4909</v>
      </c>
      <c r="F7750" t="s">
        <v>4909</v>
      </c>
      <c r="G7750" t="s">
        <v>4909</v>
      </c>
      <c r="H7750" t="s">
        <v>4909</v>
      </c>
      <c r="I7750" t="s">
        <v>4909</v>
      </c>
      <c r="J7750" t="s">
        <v>4909</v>
      </c>
      <c r="K7750" t="s">
        <v>4909</v>
      </c>
    </row>
    <row r="7751" spans="1:11" x14ac:dyDescent="0.2">
      <c r="A7751" t="s">
        <v>2110</v>
      </c>
      <c r="B7751" t="s">
        <v>4909</v>
      </c>
      <c r="C7751" t="s">
        <v>4909</v>
      </c>
      <c r="D7751" t="s">
        <v>4909</v>
      </c>
      <c r="E7751" t="s">
        <v>4909</v>
      </c>
      <c r="F7751" t="s">
        <v>4909</v>
      </c>
      <c r="G7751" t="s">
        <v>4909</v>
      </c>
      <c r="H7751" t="s">
        <v>4909</v>
      </c>
      <c r="I7751" t="s">
        <v>4909</v>
      </c>
      <c r="J7751" t="s">
        <v>4909</v>
      </c>
      <c r="K7751" t="s">
        <v>4909</v>
      </c>
    </row>
    <row r="7752" spans="1:11" x14ac:dyDescent="0.2">
      <c r="A7752" t="s">
        <v>2113</v>
      </c>
      <c r="B7752" t="s">
        <v>4909</v>
      </c>
      <c r="C7752" t="s">
        <v>4909</v>
      </c>
      <c r="D7752" t="s">
        <v>4909</v>
      </c>
      <c r="E7752" t="s">
        <v>4909</v>
      </c>
      <c r="F7752" t="s">
        <v>4909</v>
      </c>
      <c r="G7752" t="s">
        <v>4909</v>
      </c>
      <c r="H7752" t="s">
        <v>4909</v>
      </c>
      <c r="I7752" t="s">
        <v>4909</v>
      </c>
      <c r="J7752" t="s">
        <v>4909</v>
      </c>
      <c r="K7752" t="s">
        <v>4909</v>
      </c>
    </row>
    <row r="7753" spans="1:11" x14ac:dyDescent="0.2">
      <c r="A7753" t="s">
        <v>4346</v>
      </c>
      <c r="B7753" t="s">
        <v>4909</v>
      </c>
      <c r="C7753" t="s">
        <v>4909</v>
      </c>
      <c r="D7753" t="s">
        <v>4909</v>
      </c>
      <c r="E7753" t="s">
        <v>4909</v>
      </c>
      <c r="F7753" t="s">
        <v>4909</v>
      </c>
      <c r="G7753" t="s">
        <v>4909</v>
      </c>
      <c r="H7753" t="s">
        <v>4909</v>
      </c>
      <c r="I7753" t="s">
        <v>4909</v>
      </c>
      <c r="J7753" t="s">
        <v>4909</v>
      </c>
      <c r="K7753" t="s">
        <v>4909</v>
      </c>
    </row>
    <row r="7754" spans="1:11" x14ac:dyDescent="0.2">
      <c r="A7754" t="s">
        <v>4347</v>
      </c>
      <c r="B7754" t="s">
        <v>4909</v>
      </c>
      <c r="C7754" t="s">
        <v>4909</v>
      </c>
      <c r="D7754" t="s">
        <v>4909</v>
      </c>
      <c r="E7754" t="s">
        <v>4909</v>
      </c>
      <c r="F7754" t="s">
        <v>4909</v>
      </c>
      <c r="G7754" t="s">
        <v>4909</v>
      </c>
      <c r="H7754" t="s">
        <v>4909</v>
      </c>
      <c r="I7754" t="s">
        <v>4909</v>
      </c>
      <c r="J7754" t="s">
        <v>4909</v>
      </c>
      <c r="K7754" t="s">
        <v>4909</v>
      </c>
    </row>
    <row r="7755" spans="1:11" x14ac:dyDescent="0.2">
      <c r="A7755" t="s">
        <v>4348</v>
      </c>
      <c r="B7755" t="s">
        <v>4909</v>
      </c>
      <c r="C7755" t="s">
        <v>4909</v>
      </c>
      <c r="D7755" t="s">
        <v>4909</v>
      </c>
      <c r="E7755" t="s">
        <v>4909</v>
      </c>
      <c r="F7755" t="s">
        <v>4909</v>
      </c>
      <c r="G7755" t="s">
        <v>4909</v>
      </c>
      <c r="H7755" t="s">
        <v>4909</v>
      </c>
      <c r="I7755" t="s">
        <v>4909</v>
      </c>
      <c r="J7755" t="s">
        <v>4909</v>
      </c>
      <c r="K7755" t="s">
        <v>4909</v>
      </c>
    </row>
    <row r="7756" spans="1:11" x14ac:dyDescent="0.2">
      <c r="A7756" t="s">
        <v>4349</v>
      </c>
      <c r="B7756" t="s">
        <v>4909</v>
      </c>
      <c r="C7756" t="s">
        <v>4909</v>
      </c>
      <c r="D7756" t="s">
        <v>4909</v>
      </c>
      <c r="E7756" t="s">
        <v>4909</v>
      </c>
      <c r="F7756" t="s">
        <v>4909</v>
      </c>
      <c r="G7756" t="s">
        <v>4909</v>
      </c>
      <c r="H7756" t="s">
        <v>4909</v>
      </c>
      <c r="I7756" t="s">
        <v>4909</v>
      </c>
      <c r="J7756" t="s">
        <v>4909</v>
      </c>
      <c r="K7756" t="s">
        <v>4909</v>
      </c>
    </row>
    <row r="7757" spans="1:11" x14ac:dyDescent="0.2">
      <c r="A7757" t="s">
        <v>4350</v>
      </c>
      <c r="B7757" t="s">
        <v>4909</v>
      </c>
      <c r="C7757" t="s">
        <v>4909</v>
      </c>
      <c r="D7757" t="s">
        <v>4909</v>
      </c>
      <c r="E7757" t="s">
        <v>4909</v>
      </c>
      <c r="F7757" s="88">
        <v>0</v>
      </c>
      <c r="G7757" s="88">
        <v>0</v>
      </c>
      <c r="H7757" s="88">
        <v>0</v>
      </c>
      <c r="I7757" t="s">
        <v>4909</v>
      </c>
      <c r="J7757" t="s">
        <v>4909</v>
      </c>
      <c r="K7757" s="88">
        <v>0</v>
      </c>
    </row>
    <row r="7758" spans="1:11" x14ac:dyDescent="0.2">
      <c r="A7758" t="s">
        <v>4351</v>
      </c>
      <c r="B7758" t="s">
        <v>4909</v>
      </c>
      <c r="C7758" t="s">
        <v>4909</v>
      </c>
      <c r="D7758" t="s">
        <v>4909</v>
      </c>
      <c r="E7758" t="s">
        <v>4909</v>
      </c>
      <c r="F7758" t="s">
        <v>4909</v>
      </c>
      <c r="G7758" t="s">
        <v>4909</v>
      </c>
      <c r="H7758" t="s">
        <v>4909</v>
      </c>
      <c r="I7758" t="s">
        <v>4909</v>
      </c>
      <c r="J7758" t="s">
        <v>4909</v>
      </c>
      <c r="K7758" t="s">
        <v>4909</v>
      </c>
    </row>
    <row r="7759" spans="1:11" x14ac:dyDescent="0.2">
      <c r="A7759" t="s">
        <v>4352</v>
      </c>
      <c r="B7759" t="s">
        <v>4909</v>
      </c>
      <c r="C7759" t="s">
        <v>4909</v>
      </c>
      <c r="D7759" t="s">
        <v>4909</v>
      </c>
      <c r="E7759" t="s">
        <v>4909</v>
      </c>
      <c r="F7759" t="s">
        <v>4909</v>
      </c>
      <c r="G7759" t="s">
        <v>4909</v>
      </c>
      <c r="H7759" t="s">
        <v>4909</v>
      </c>
      <c r="I7759" t="s">
        <v>4909</v>
      </c>
      <c r="J7759" t="s">
        <v>4909</v>
      </c>
      <c r="K7759" t="s">
        <v>4909</v>
      </c>
    </row>
    <row r="7760" spans="1:11" x14ac:dyDescent="0.2">
      <c r="A7760" t="s">
        <v>4353</v>
      </c>
      <c r="B7760" t="s">
        <v>4909</v>
      </c>
      <c r="C7760" t="s">
        <v>4909</v>
      </c>
      <c r="D7760" t="s">
        <v>4909</v>
      </c>
      <c r="E7760" t="s">
        <v>4909</v>
      </c>
      <c r="F7760" t="s">
        <v>4909</v>
      </c>
      <c r="G7760" s="88">
        <v>2E-3</v>
      </c>
      <c r="H7760" t="s">
        <v>4909</v>
      </c>
      <c r="I7760" t="s">
        <v>4909</v>
      </c>
      <c r="J7760" t="s">
        <v>4909</v>
      </c>
      <c r="K7760" s="88">
        <v>1E-3</v>
      </c>
    </row>
    <row r="7761" spans="1:11" x14ac:dyDescent="0.2">
      <c r="A7761" t="s">
        <v>4354</v>
      </c>
      <c r="B7761" t="s">
        <v>4909</v>
      </c>
      <c r="C7761" t="s">
        <v>4909</v>
      </c>
      <c r="D7761" t="s">
        <v>4909</v>
      </c>
      <c r="E7761" t="s">
        <v>4909</v>
      </c>
      <c r="F7761" s="88">
        <v>0</v>
      </c>
      <c r="G7761" s="88">
        <v>4.0000000000000001E-3</v>
      </c>
      <c r="H7761" s="88">
        <v>1E-3</v>
      </c>
      <c r="I7761" t="s">
        <v>4909</v>
      </c>
      <c r="J7761" t="s">
        <v>4909</v>
      </c>
      <c r="K7761" s="88">
        <v>3.0000000000000001E-3</v>
      </c>
    </row>
    <row r="7762" spans="1:11" x14ac:dyDescent="0.2">
      <c r="A7762" t="s">
        <v>4355</v>
      </c>
      <c r="B7762" t="s">
        <v>4909</v>
      </c>
      <c r="C7762" t="s">
        <v>4909</v>
      </c>
      <c r="D7762" t="s">
        <v>4909</v>
      </c>
      <c r="E7762" t="s">
        <v>4909</v>
      </c>
      <c r="F7762" t="s">
        <v>4909</v>
      </c>
      <c r="G7762" t="s">
        <v>4909</v>
      </c>
      <c r="H7762" t="s">
        <v>4909</v>
      </c>
      <c r="I7762" t="s">
        <v>4909</v>
      </c>
      <c r="J7762" t="s">
        <v>4909</v>
      </c>
      <c r="K7762" t="s">
        <v>4909</v>
      </c>
    </row>
    <row r="7763" spans="1:11" x14ac:dyDescent="0.2">
      <c r="A7763" t="s">
        <v>4356</v>
      </c>
      <c r="B7763" t="s">
        <v>4909</v>
      </c>
      <c r="C7763" t="s">
        <v>4909</v>
      </c>
      <c r="D7763" t="s">
        <v>4909</v>
      </c>
      <c r="E7763" t="s">
        <v>4909</v>
      </c>
      <c r="F7763" t="s">
        <v>4909</v>
      </c>
      <c r="G7763" t="s">
        <v>4909</v>
      </c>
      <c r="H7763" t="s">
        <v>4909</v>
      </c>
      <c r="I7763" t="s">
        <v>4909</v>
      </c>
      <c r="J7763" t="s">
        <v>4909</v>
      </c>
      <c r="K7763" t="s">
        <v>4909</v>
      </c>
    </row>
    <row r="7764" spans="1:11" x14ac:dyDescent="0.2">
      <c r="A7764" t="s">
        <v>4357</v>
      </c>
      <c r="B7764" t="s">
        <v>4909</v>
      </c>
      <c r="C7764" t="s">
        <v>4909</v>
      </c>
      <c r="D7764" t="s">
        <v>4909</v>
      </c>
      <c r="E7764" t="s">
        <v>4909</v>
      </c>
      <c r="F7764" t="s">
        <v>4909</v>
      </c>
      <c r="G7764" s="88">
        <v>0</v>
      </c>
      <c r="H7764" t="s">
        <v>4909</v>
      </c>
      <c r="I7764" t="s">
        <v>4909</v>
      </c>
      <c r="J7764" t="s">
        <v>4909</v>
      </c>
      <c r="K7764" t="s">
        <v>4909</v>
      </c>
    </row>
    <row r="7765" spans="1:11" x14ac:dyDescent="0.2">
      <c r="A7765" t="s">
        <v>4358</v>
      </c>
      <c r="B7765" t="s">
        <v>4909</v>
      </c>
      <c r="C7765" t="s">
        <v>4909</v>
      </c>
      <c r="D7765" t="s">
        <v>4909</v>
      </c>
      <c r="E7765" t="s">
        <v>4909</v>
      </c>
      <c r="F7765" t="s">
        <v>4909</v>
      </c>
      <c r="G7765" t="s">
        <v>4909</v>
      </c>
      <c r="H7765" t="s">
        <v>4909</v>
      </c>
      <c r="I7765" t="s">
        <v>4909</v>
      </c>
      <c r="J7765" t="s">
        <v>4909</v>
      </c>
      <c r="K7765" t="s">
        <v>4909</v>
      </c>
    </row>
    <row r="7766" spans="1:11" x14ac:dyDescent="0.2">
      <c r="A7766" t="s">
        <v>4359</v>
      </c>
      <c r="B7766" t="s">
        <v>4909</v>
      </c>
      <c r="C7766" t="s">
        <v>4909</v>
      </c>
      <c r="D7766" t="s">
        <v>4909</v>
      </c>
      <c r="E7766" t="s">
        <v>4909</v>
      </c>
      <c r="F7766" t="s">
        <v>4909</v>
      </c>
      <c r="G7766" t="s">
        <v>4909</v>
      </c>
      <c r="H7766" t="s">
        <v>4909</v>
      </c>
      <c r="I7766" t="s">
        <v>4909</v>
      </c>
      <c r="J7766" t="s">
        <v>4909</v>
      </c>
      <c r="K7766" t="s">
        <v>4909</v>
      </c>
    </row>
    <row r="7767" spans="1:11" x14ac:dyDescent="0.2">
      <c r="A7767" t="s">
        <v>4360</v>
      </c>
      <c r="B7767" t="s">
        <v>4909</v>
      </c>
      <c r="C7767" t="s">
        <v>4909</v>
      </c>
      <c r="D7767" t="s">
        <v>4909</v>
      </c>
      <c r="E7767" t="s">
        <v>4909</v>
      </c>
      <c r="F7767" s="88">
        <v>0</v>
      </c>
      <c r="G7767" s="88">
        <v>3.0000000000000001E-3</v>
      </c>
      <c r="H7767" t="s">
        <v>4909</v>
      </c>
      <c r="I7767" t="s">
        <v>4909</v>
      </c>
      <c r="J7767" t="s">
        <v>4909</v>
      </c>
      <c r="K7767" s="88">
        <v>0</v>
      </c>
    </row>
    <row r="7768" spans="1:11" x14ac:dyDescent="0.2">
      <c r="A7768" t="s">
        <v>4361</v>
      </c>
      <c r="B7768" t="s">
        <v>4909</v>
      </c>
      <c r="C7768" t="s">
        <v>4909</v>
      </c>
      <c r="D7768" t="s">
        <v>4909</v>
      </c>
      <c r="E7768" t="s">
        <v>4909</v>
      </c>
      <c r="F7768" s="88">
        <v>0</v>
      </c>
      <c r="G7768" s="88">
        <v>1E-3</v>
      </c>
      <c r="H7768" t="s">
        <v>4909</v>
      </c>
      <c r="I7768" t="s">
        <v>4909</v>
      </c>
      <c r="J7768" t="s">
        <v>4909</v>
      </c>
      <c r="K7768" t="s">
        <v>4909</v>
      </c>
    </row>
    <row r="7769" spans="1:11" x14ac:dyDescent="0.2">
      <c r="A7769" t="s">
        <v>4362</v>
      </c>
      <c r="B7769" t="s">
        <v>4909</v>
      </c>
      <c r="C7769" t="s">
        <v>4909</v>
      </c>
      <c r="D7769" t="s">
        <v>4909</v>
      </c>
      <c r="E7769" t="s">
        <v>4909</v>
      </c>
      <c r="F7769" t="s">
        <v>4909</v>
      </c>
      <c r="G7769" t="s">
        <v>4909</v>
      </c>
      <c r="H7769" t="s">
        <v>4909</v>
      </c>
      <c r="I7769" t="s">
        <v>4909</v>
      </c>
      <c r="J7769" t="s">
        <v>4909</v>
      </c>
      <c r="K7769" t="s">
        <v>4909</v>
      </c>
    </row>
    <row r="7770" spans="1:11" x14ac:dyDescent="0.2">
      <c r="A7770" t="s">
        <v>4363</v>
      </c>
      <c r="B7770" t="s">
        <v>4909</v>
      </c>
      <c r="C7770" t="s">
        <v>4909</v>
      </c>
      <c r="D7770" t="s">
        <v>4909</v>
      </c>
      <c r="E7770" t="s">
        <v>4909</v>
      </c>
      <c r="F7770" t="s">
        <v>4909</v>
      </c>
      <c r="G7770" t="s">
        <v>4909</v>
      </c>
      <c r="H7770" t="s">
        <v>4909</v>
      </c>
      <c r="I7770" t="s">
        <v>4909</v>
      </c>
      <c r="J7770" t="s">
        <v>4909</v>
      </c>
      <c r="K7770" t="s">
        <v>4909</v>
      </c>
    </row>
    <row r="7771" spans="1:11" x14ac:dyDescent="0.2">
      <c r="A7771" t="s">
        <v>4364</v>
      </c>
      <c r="B7771" t="s">
        <v>4909</v>
      </c>
      <c r="C7771" t="s">
        <v>4909</v>
      </c>
      <c r="D7771" t="s">
        <v>4909</v>
      </c>
      <c r="E7771" t="s">
        <v>4909</v>
      </c>
      <c r="F7771" t="s">
        <v>4909</v>
      </c>
      <c r="G7771" t="s">
        <v>4909</v>
      </c>
      <c r="H7771" t="s">
        <v>4909</v>
      </c>
      <c r="I7771" t="s">
        <v>4909</v>
      </c>
      <c r="J7771" t="s">
        <v>4909</v>
      </c>
      <c r="K7771" t="s">
        <v>4909</v>
      </c>
    </row>
    <row r="7772" spans="1:11" x14ac:dyDescent="0.2">
      <c r="A7772" t="s">
        <v>4365</v>
      </c>
      <c r="B7772" t="s">
        <v>4909</v>
      </c>
      <c r="C7772" t="s">
        <v>4909</v>
      </c>
      <c r="D7772" t="s">
        <v>4909</v>
      </c>
      <c r="E7772" t="s">
        <v>4909</v>
      </c>
      <c r="F7772" t="s">
        <v>4909</v>
      </c>
      <c r="G7772" s="88">
        <v>1E-3</v>
      </c>
      <c r="H7772" t="s">
        <v>4909</v>
      </c>
      <c r="I7772" t="s">
        <v>4909</v>
      </c>
      <c r="J7772" t="s">
        <v>4909</v>
      </c>
      <c r="K7772" t="s">
        <v>4909</v>
      </c>
    </row>
    <row r="7773" spans="1:11" x14ac:dyDescent="0.2">
      <c r="A7773" t="s">
        <v>4366</v>
      </c>
      <c r="B7773" t="s">
        <v>4909</v>
      </c>
      <c r="C7773" t="s">
        <v>4909</v>
      </c>
      <c r="D7773" t="s">
        <v>4909</v>
      </c>
      <c r="E7773" t="s">
        <v>4909</v>
      </c>
      <c r="F7773" t="s">
        <v>4909</v>
      </c>
      <c r="G7773" t="s">
        <v>4909</v>
      </c>
      <c r="H7773" t="s">
        <v>4909</v>
      </c>
      <c r="I7773" t="s">
        <v>4909</v>
      </c>
      <c r="J7773" t="s">
        <v>4909</v>
      </c>
      <c r="K7773" t="s">
        <v>4909</v>
      </c>
    </row>
    <row r="7774" spans="1:11" x14ac:dyDescent="0.2">
      <c r="A7774" t="s">
        <v>4367</v>
      </c>
      <c r="B7774" t="s">
        <v>4909</v>
      </c>
      <c r="C7774" t="s">
        <v>4909</v>
      </c>
      <c r="D7774" t="s">
        <v>4909</v>
      </c>
      <c r="E7774" t="s">
        <v>4909</v>
      </c>
      <c r="F7774" s="88">
        <v>0</v>
      </c>
      <c r="G7774" s="88">
        <v>1E-3</v>
      </c>
      <c r="H7774" t="s">
        <v>4909</v>
      </c>
      <c r="I7774" t="s">
        <v>4909</v>
      </c>
      <c r="J7774" t="s">
        <v>4909</v>
      </c>
      <c r="K7774" t="s">
        <v>4909</v>
      </c>
    </row>
    <row r="7775" spans="1:11" x14ac:dyDescent="0.2">
      <c r="A7775" t="s">
        <v>4368</v>
      </c>
      <c r="B7775" t="s">
        <v>4909</v>
      </c>
      <c r="C7775" t="s">
        <v>4909</v>
      </c>
      <c r="D7775" t="s">
        <v>4909</v>
      </c>
      <c r="E7775" t="s">
        <v>4909</v>
      </c>
      <c r="F7775" s="88">
        <v>0</v>
      </c>
      <c r="G7775" s="88">
        <v>4.0000000000000001E-3</v>
      </c>
      <c r="H7775" s="88">
        <v>0</v>
      </c>
      <c r="I7775" t="s">
        <v>4909</v>
      </c>
      <c r="J7775" t="s">
        <v>4909</v>
      </c>
      <c r="K7775" s="88">
        <v>1E-3</v>
      </c>
    </row>
    <row r="7776" spans="1:11" x14ac:dyDescent="0.2">
      <c r="A7776" t="s">
        <v>4369</v>
      </c>
      <c r="B7776" t="s">
        <v>4909</v>
      </c>
      <c r="C7776" t="s">
        <v>4909</v>
      </c>
      <c r="D7776" t="s">
        <v>4909</v>
      </c>
      <c r="E7776" t="s">
        <v>4909</v>
      </c>
      <c r="F7776" s="88">
        <v>0</v>
      </c>
      <c r="G7776" s="88">
        <v>8.0000000000000002E-3</v>
      </c>
      <c r="H7776" s="88">
        <v>0</v>
      </c>
      <c r="I7776" t="s">
        <v>4909</v>
      </c>
      <c r="J7776" t="s">
        <v>4909</v>
      </c>
      <c r="K7776" s="88">
        <v>0</v>
      </c>
    </row>
    <row r="7777" spans="1:11" x14ac:dyDescent="0.2">
      <c r="A7777" t="s">
        <v>4370</v>
      </c>
      <c r="B7777" t="s">
        <v>4909</v>
      </c>
      <c r="C7777" t="s">
        <v>4909</v>
      </c>
      <c r="D7777" t="s">
        <v>4909</v>
      </c>
      <c r="E7777" t="s">
        <v>4909</v>
      </c>
      <c r="F7777" t="s">
        <v>4909</v>
      </c>
      <c r="G7777" s="88">
        <v>0</v>
      </c>
      <c r="H7777" t="s">
        <v>4909</v>
      </c>
      <c r="I7777" t="s">
        <v>4909</v>
      </c>
      <c r="J7777" t="s">
        <v>4909</v>
      </c>
      <c r="K7777" t="s">
        <v>4909</v>
      </c>
    </row>
    <row r="7778" spans="1:11" x14ac:dyDescent="0.2">
      <c r="A7778" t="s">
        <v>4371</v>
      </c>
      <c r="B7778" t="s">
        <v>4909</v>
      </c>
      <c r="C7778" t="s">
        <v>4909</v>
      </c>
      <c r="D7778" t="s">
        <v>4909</v>
      </c>
      <c r="E7778" t="s">
        <v>4909</v>
      </c>
      <c r="F7778" t="s">
        <v>4909</v>
      </c>
      <c r="G7778" t="s">
        <v>4909</v>
      </c>
      <c r="H7778" t="s">
        <v>4909</v>
      </c>
      <c r="I7778" t="s">
        <v>4909</v>
      </c>
      <c r="J7778" t="s">
        <v>4909</v>
      </c>
      <c r="K7778" t="s">
        <v>4909</v>
      </c>
    </row>
    <row r="7779" spans="1:11" x14ac:dyDescent="0.2">
      <c r="A7779" t="s">
        <v>4372</v>
      </c>
      <c r="B7779" t="s">
        <v>4909</v>
      </c>
      <c r="C7779" t="s">
        <v>4909</v>
      </c>
      <c r="D7779" t="s">
        <v>4909</v>
      </c>
      <c r="E7779" t="s">
        <v>4909</v>
      </c>
      <c r="F7779" t="s">
        <v>4909</v>
      </c>
      <c r="G7779" t="s">
        <v>4909</v>
      </c>
      <c r="H7779" t="s">
        <v>4909</v>
      </c>
      <c r="I7779" t="s">
        <v>4909</v>
      </c>
      <c r="J7779" t="s">
        <v>4909</v>
      </c>
      <c r="K7779" t="s">
        <v>4909</v>
      </c>
    </row>
    <row r="7780" spans="1:11" x14ac:dyDescent="0.2">
      <c r="A7780" t="s">
        <v>4373</v>
      </c>
      <c r="B7780" t="s">
        <v>4909</v>
      </c>
      <c r="C7780" t="s">
        <v>4909</v>
      </c>
      <c r="D7780" t="s">
        <v>4909</v>
      </c>
      <c r="E7780" t="s">
        <v>4909</v>
      </c>
      <c r="F7780" s="88">
        <v>0</v>
      </c>
      <c r="G7780" s="88">
        <v>0</v>
      </c>
      <c r="H7780" s="88">
        <v>0</v>
      </c>
      <c r="I7780" t="s">
        <v>4909</v>
      </c>
      <c r="J7780" t="s">
        <v>4909</v>
      </c>
      <c r="K7780" s="88">
        <v>0</v>
      </c>
    </row>
    <row r="7781" spans="1:11" x14ac:dyDescent="0.2">
      <c r="A7781" t="s">
        <v>4374</v>
      </c>
      <c r="B7781" t="s">
        <v>4909</v>
      </c>
      <c r="C7781" t="s">
        <v>4909</v>
      </c>
      <c r="D7781" t="s">
        <v>4909</v>
      </c>
      <c r="E7781" t="s">
        <v>4909</v>
      </c>
      <c r="F7781" t="s">
        <v>4909</v>
      </c>
      <c r="G7781" s="88">
        <v>0</v>
      </c>
      <c r="H7781" s="88">
        <v>0</v>
      </c>
      <c r="I7781" t="s">
        <v>4909</v>
      </c>
      <c r="J7781" t="s">
        <v>4909</v>
      </c>
      <c r="K7781" s="88">
        <v>0</v>
      </c>
    </row>
    <row r="7782" spans="1:11" x14ac:dyDescent="0.2">
      <c r="A7782" t="s">
        <v>4375</v>
      </c>
      <c r="B7782" t="s">
        <v>4909</v>
      </c>
      <c r="C7782" t="s">
        <v>4909</v>
      </c>
      <c r="D7782" t="s">
        <v>4909</v>
      </c>
      <c r="E7782" t="s">
        <v>4909</v>
      </c>
      <c r="F7782" s="88">
        <v>0</v>
      </c>
      <c r="G7782" s="88">
        <v>0</v>
      </c>
      <c r="H7782" t="s">
        <v>4909</v>
      </c>
      <c r="I7782" t="s">
        <v>4909</v>
      </c>
      <c r="J7782" t="s">
        <v>4909</v>
      </c>
      <c r="K7782" t="s">
        <v>4909</v>
      </c>
    </row>
    <row r="7783" spans="1:11" x14ac:dyDescent="0.2">
      <c r="A7783" t="s">
        <v>4376</v>
      </c>
      <c r="B7783" t="s">
        <v>4909</v>
      </c>
      <c r="C7783" t="s">
        <v>4909</v>
      </c>
      <c r="D7783" t="s">
        <v>4909</v>
      </c>
      <c r="E7783" t="s">
        <v>4909</v>
      </c>
      <c r="F7783" t="s">
        <v>4909</v>
      </c>
      <c r="G7783" t="s">
        <v>4909</v>
      </c>
      <c r="H7783" t="s">
        <v>4909</v>
      </c>
      <c r="I7783" t="s">
        <v>4909</v>
      </c>
      <c r="J7783" t="s">
        <v>4909</v>
      </c>
      <c r="K7783" t="s">
        <v>4909</v>
      </c>
    </row>
    <row r="7784" spans="1:11" x14ac:dyDescent="0.2">
      <c r="A7784" t="s">
        <v>4377</v>
      </c>
      <c r="B7784" t="s">
        <v>4909</v>
      </c>
      <c r="C7784" t="s">
        <v>4909</v>
      </c>
      <c r="D7784" t="s">
        <v>4909</v>
      </c>
      <c r="E7784" t="s">
        <v>4909</v>
      </c>
      <c r="F7784" t="s">
        <v>4909</v>
      </c>
      <c r="G7784" s="88">
        <v>0</v>
      </c>
      <c r="H7784" t="s">
        <v>4909</v>
      </c>
      <c r="I7784" t="s">
        <v>4909</v>
      </c>
      <c r="J7784" t="s">
        <v>4909</v>
      </c>
      <c r="K7784" t="s">
        <v>4909</v>
      </c>
    </row>
    <row r="7785" spans="1:11" x14ac:dyDescent="0.2">
      <c r="A7785" t="s">
        <v>2318</v>
      </c>
      <c r="B7785" t="s">
        <v>4399</v>
      </c>
      <c r="C7785" t="s">
        <v>4399</v>
      </c>
      <c r="D7785" t="s">
        <v>4399</v>
      </c>
      <c r="E7785" t="s">
        <v>4399</v>
      </c>
      <c r="F7785" t="s">
        <v>4399</v>
      </c>
      <c r="G7785" t="s">
        <v>4399</v>
      </c>
      <c r="H7785" t="s">
        <v>4399</v>
      </c>
      <c r="I7785" t="s">
        <v>4399</v>
      </c>
      <c r="J7785" t="s">
        <v>4399</v>
      </c>
      <c r="K7785" t="s">
        <v>4399</v>
      </c>
    </row>
    <row r="7786" spans="1:11" x14ac:dyDescent="0.2">
      <c r="A7786" t="s">
        <v>4248</v>
      </c>
    </row>
    <row r="7787" spans="1:11" x14ac:dyDescent="0.2">
      <c r="A7787" t="s">
        <v>4910</v>
      </c>
      <c r="B7787" t="s">
        <v>4904</v>
      </c>
      <c r="C7787" t="s">
        <v>4911</v>
      </c>
      <c r="D7787" t="s">
        <v>4912</v>
      </c>
      <c r="E7787" t="s">
        <v>4907</v>
      </c>
      <c r="F7787" t="s">
        <v>4913</v>
      </c>
      <c r="G7787">
        <v>14</v>
      </c>
    </row>
    <row r="7788" spans="1:11" x14ac:dyDescent="0.2">
      <c r="A7788" t="s">
        <v>2318</v>
      </c>
      <c r="B7788" t="s">
        <v>4399</v>
      </c>
      <c r="C7788" t="s">
        <v>4399</v>
      </c>
      <c r="D7788" t="s">
        <v>4399</v>
      </c>
      <c r="E7788" t="s">
        <v>4399</v>
      </c>
      <c r="F7788" t="s">
        <v>4399</v>
      </c>
      <c r="G7788" t="s">
        <v>4399</v>
      </c>
      <c r="H7788" t="s">
        <v>4399</v>
      </c>
      <c r="I7788" t="s">
        <v>4399</v>
      </c>
      <c r="J7788" t="s">
        <v>4399</v>
      </c>
      <c r="K7788" t="s">
        <v>4399</v>
      </c>
    </row>
    <row r="7789" spans="1:11" x14ac:dyDescent="0.2">
      <c r="A7789" t="s">
        <v>126</v>
      </c>
      <c r="B7789" t="s">
        <v>4426</v>
      </c>
      <c r="C7789" t="s">
        <v>4430</v>
      </c>
      <c r="D7789" t="s">
        <v>4434</v>
      </c>
      <c r="E7789" t="s">
        <v>4438</v>
      </c>
      <c r="F7789" t="s">
        <v>4442</v>
      </c>
      <c r="G7789" t="s">
        <v>4446</v>
      </c>
      <c r="H7789" t="s">
        <v>4450</v>
      </c>
      <c r="I7789" t="s">
        <v>4454</v>
      </c>
      <c r="J7789" t="s">
        <v>4457</v>
      </c>
      <c r="K7789" t="s">
        <v>4460</v>
      </c>
    </row>
    <row r="7790" spans="1:11" x14ac:dyDescent="0.2">
      <c r="A7790" t="s">
        <v>2318</v>
      </c>
      <c r="B7790" t="s">
        <v>4399</v>
      </c>
      <c r="C7790" t="s">
        <v>4399</v>
      </c>
      <c r="D7790" t="s">
        <v>4399</v>
      </c>
      <c r="E7790" t="s">
        <v>4399</v>
      </c>
      <c r="F7790" t="s">
        <v>4399</v>
      </c>
      <c r="G7790" t="s">
        <v>4399</v>
      </c>
      <c r="H7790" t="s">
        <v>4399</v>
      </c>
      <c r="I7790" t="s">
        <v>4399</v>
      </c>
      <c r="J7790" t="s">
        <v>4399</v>
      </c>
      <c r="K7790" t="s">
        <v>4399</v>
      </c>
    </row>
    <row r="7791" spans="1:11" x14ac:dyDescent="0.2">
      <c r="A7791" t="s">
        <v>4265</v>
      </c>
      <c r="B7791" t="s">
        <v>4909</v>
      </c>
      <c r="C7791" t="s">
        <v>4909</v>
      </c>
      <c r="D7791" t="s">
        <v>4909</v>
      </c>
      <c r="E7791" t="s">
        <v>4909</v>
      </c>
      <c r="F7791" t="s">
        <v>4909</v>
      </c>
      <c r="G7791" t="s">
        <v>4909</v>
      </c>
      <c r="H7791" t="s">
        <v>4909</v>
      </c>
      <c r="I7791" t="s">
        <v>4909</v>
      </c>
      <c r="J7791" t="s">
        <v>4909</v>
      </c>
      <c r="K7791" t="s">
        <v>4909</v>
      </c>
    </row>
    <row r="7792" spans="1:11" x14ac:dyDescent="0.2">
      <c r="A7792" t="s">
        <v>4266</v>
      </c>
      <c r="B7792" t="s">
        <v>4909</v>
      </c>
      <c r="C7792" t="s">
        <v>4909</v>
      </c>
      <c r="D7792" t="s">
        <v>4909</v>
      </c>
      <c r="E7792" t="s">
        <v>4909</v>
      </c>
      <c r="F7792" t="s">
        <v>4909</v>
      </c>
      <c r="G7792" t="s">
        <v>4909</v>
      </c>
      <c r="H7792" t="s">
        <v>4909</v>
      </c>
      <c r="I7792" t="s">
        <v>4909</v>
      </c>
      <c r="J7792" t="s">
        <v>4909</v>
      </c>
      <c r="K7792" t="s">
        <v>4909</v>
      </c>
    </row>
    <row r="7793" spans="1:11" x14ac:dyDescent="0.2">
      <c r="A7793" t="s">
        <v>4267</v>
      </c>
      <c r="B7793" s="88">
        <v>1E-3</v>
      </c>
      <c r="C7793" t="s">
        <v>4909</v>
      </c>
      <c r="D7793" t="s">
        <v>4909</v>
      </c>
      <c r="E7793" s="88">
        <v>1E-3</v>
      </c>
      <c r="F7793" t="s">
        <v>4909</v>
      </c>
      <c r="G7793" t="s">
        <v>4909</v>
      </c>
      <c r="H7793" t="s">
        <v>4909</v>
      </c>
      <c r="I7793" t="s">
        <v>4909</v>
      </c>
      <c r="J7793" s="88">
        <v>1E-3</v>
      </c>
      <c r="K7793" t="s">
        <v>4909</v>
      </c>
    </row>
    <row r="7794" spans="1:11" x14ac:dyDescent="0.2">
      <c r="A7794" t="s">
        <v>4268</v>
      </c>
      <c r="B7794" t="s">
        <v>4909</v>
      </c>
      <c r="C7794" t="s">
        <v>4909</v>
      </c>
      <c r="D7794" t="s">
        <v>4909</v>
      </c>
      <c r="E7794" t="s">
        <v>4909</v>
      </c>
      <c r="F7794" t="s">
        <v>4909</v>
      </c>
      <c r="G7794" t="s">
        <v>4909</v>
      </c>
      <c r="H7794" t="s">
        <v>4909</v>
      </c>
      <c r="I7794" t="s">
        <v>4909</v>
      </c>
      <c r="J7794" t="s">
        <v>4909</v>
      </c>
      <c r="K7794" t="s">
        <v>4909</v>
      </c>
    </row>
    <row r="7795" spans="1:11" x14ac:dyDescent="0.2">
      <c r="A7795" t="s">
        <v>4269</v>
      </c>
      <c r="B7795" t="s">
        <v>4909</v>
      </c>
      <c r="C7795" t="s">
        <v>4909</v>
      </c>
      <c r="D7795" t="s">
        <v>4909</v>
      </c>
      <c r="E7795" t="s">
        <v>4909</v>
      </c>
      <c r="F7795" t="s">
        <v>4909</v>
      </c>
      <c r="G7795" t="s">
        <v>4909</v>
      </c>
      <c r="H7795" t="s">
        <v>4909</v>
      </c>
      <c r="I7795" t="s">
        <v>4909</v>
      </c>
      <c r="J7795" t="s">
        <v>4909</v>
      </c>
      <c r="K7795" t="s">
        <v>4909</v>
      </c>
    </row>
    <row r="7796" spans="1:11" x14ac:dyDescent="0.2">
      <c r="A7796" t="s">
        <v>4270</v>
      </c>
      <c r="B7796" t="s">
        <v>4909</v>
      </c>
      <c r="C7796" t="s">
        <v>4909</v>
      </c>
      <c r="D7796" t="s">
        <v>4909</v>
      </c>
      <c r="E7796" t="s">
        <v>4909</v>
      </c>
      <c r="F7796" t="s">
        <v>4909</v>
      </c>
      <c r="G7796" t="s">
        <v>4909</v>
      </c>
      <c r="H7796" t="s">
        <v>4909</v>
      </c>
      <c r="I7796" t="s">
        <v>4909</v>
      </c>
      <c r="J7796" t="s">
        <v>4909</v>
      </c>
      <c r="K7796" t="s">
        <v>4909</v>
      </c>
    </row>
    <row r="7797" spans="1:11" x14ac:dyDescent="0.2">
      <c r="A7797" t="s">
        <v>4271</v>
      </c>
      <c r="B7797" t="s">
        <v>4909</v>
      </c>
      <c r="C7797" t="s">
        <v>4909</v>
      </c>
      <c r="D7797" t="s">
        <v>4909</v>
      </c>
      <c r="E7797" t="s">
        <v>4909</v>
      </c>
      <c r="F7797" t="s">
        <v>4909</v>
      </c>
      <c r="G7797" t="s">
        <v>4909</v>
      </c>
      <c r="H7797" t="s">
        <v>4909</v>
      </c>
      <c r="I7797" t="s">
        <v>4909</v>
      </c>
      <c r="J7797" t="s">
        <v>4909</v>
      </c>
      <c r="K7797" t="s">
        <v>4909</v>
      </c>
    </row>
    <row r="7798" spans="1:11" x14ac:dyDescent="0.2">
      <c r="A7798" t="s">
        <v>4272</v>
      </c>
      <c r="B7798" t="s">
        <v>4909</v>
      </c>
      <c r="C7798" t="s">
        <v>4909</v>
      </c>
      <c r="D7798" t="s">
        <v>4909</v>
      </c>
      <c r="E7798" t="s">
        <v>4909</v>
      </c>
      <c r="F7798" t="s">
        <v>4909</v>
      </c>
      <c r="G7798" t="s">
        <v>4909</v>
      </c>
      <c r="H7798" t="s">
        <v>4909</v>
      </c>
      <c r="I7798" t="s">
        <v>4909</v>
      </c>
      <c r="J7798" t="s">
        <v>4909</v>
      </c>
      <c r="K7798" t="s">
        <v>4909</v>
      </c>
    </row>
    <row r="7799" spans="1:11" x14ac:dyDescent="0.2">
      <c r="A7799" t="s">
        <v>4273</v>
      </c>
      <c r="B7799" t="s">
        <v>4909</v>
      </c>
      <c r="C7799" t="s">
        <v>4909</v>
      </c>
      <c r="D7799" t="s">
        <v>4909</v>
      </c>
      <c r="E7799" t="s">
        <v>4909</v>
      </c>
      <c r="F7799" t="s">
        <v>4909</v>
      </c>
      <c r="G7799" t="s">
        <v>4909</v>
      </c>
      <c r="H7799" t="s">
        <v>4909</v>
      </c>
      <c r="I7799" t="s">
        <v>4909</v>
      </c>
      <c r="J7799" t="s">
        <v>4909</v>
      </c>
      <c r="K7799" t="s">
        <v>4909</v>
      </c>
    </row>
    <row r="7800" spans="1:11" x14ac:dyDescent="0.2">
      <c r="A7800" t="s">
        <v>4274</v>
      </c>
      <c r="B7800" t="s">
        <v>4909</v>
      </c>
      <c r="C7800" t="s">
        <v>4909</v>
      </c>
      <c r="D7800" t="s">
        <v>4909</v>
      </c>
      <c r="E7800" t="s">
        <v>4909</v>
      </c>
      <c r="F7800" t="s">
        <v>4909</v>
      </c>
      <c r="G7800" t="s">
        <v>4909</v>
      </c>
      <c r="H7800" t="s">
        <v>4909</v>
      </c>
      <c r="I7800" t="s">
        <v>4909</v>
      </c>
      <c r="J7800" t="s">
        <v>4909</v>
      </c>
      <c r="K7800" t="s">
        <v>4909</v>
      </c>
    </row>
    <row r="7801" spans="1:11" x14ac:dyDescent="0.2">
      <c r="A7801" t="s">
        <v>4275</v>
      </c>
      <c r="B7801" t="s">
        <v>4909</v>
      </c>
      <c r="C7801" t="s">
        <v>4909</v>
      </c>
      <c r="D7801" t="s">
        <v>4909</v>
      </c>
      <c r="E7801" t="s">
        <v>4909</v>
      </c>
      <c r="F7801" t="s">
        <v>4909</v>
      </c>
      <c r="G7801" t="s">
        <v>4909</v>
      </c>
      <c r="H7801" t="s">
        <v>4909</v>
      </c>
      <c r="I7801" t="s">
        <v>4909</v>
      </c>
      <c r="J7801" t="s">
        <v>4909</v>
      </c>
      <c r="K7801" t="s">
        <v>4909</v>
      </c>
    </row>
    <row r="7802" spans="1:11" x14ac:dyDescent="0.2">
      <c r="A7802" t="s">
        <v>4276</v>
      </c>
      <c r="B7802" t="s">
        <v>4909</v>
      </c>
      <c r="C7802" t="s">
        <v>4909</v>
      </c>
      <c r="D7802" t="s">
        <v>4909</v>
      </c>
      <c r="E7802" t="s">
        <v>4909</v>
      </c>
      <c r="F7802" t="s">
        <v>4909</v>
      </c>
      <c r="G7802" t="s">
        <v>4909</v>
      </c>
      <c r="H7802" t="s">
        <v>4909</v>
      </c>
      <c r="I7802" t="s">
        <v>4909</v>
      </c>
      <c r="J7802" t="s">
        <v>4909</v>
      </c>
      <c r="K7802" t="s">
        <v>4909</v>
      </c>
    </row>
    <row r="7803" spans="1:11" x14ac:dyDescent="0.2">
      <c r="A7803" t="s">
        <v>4277</v>
      </c>
      <c r="B7803" t="s">
        <v>4909</v>
      </c>
      <c r="C7803" t="s">
        <v>4909</v>
      </c>
      <c r="D7803" t="s">
        <v>4909</v>
      </c>
      <c r="E7803" t="s">
        <v>4909</v>
      </c>
      <c r="F7803" t="s">
        <v>4909</v>
      </c>
      <c r="G7803" t="s">
        <v>4909</v>
      </c>
      <c r="H7803" t="s">
        <v>4909</v>
      </c>
      <c r="I7803" t="s">
        <v>4909</v>
      </c>
      <c r="J7803" t="s">
        <v>4909</v>
      </c>
      <c r="K7803" t="s">
        <v>4909</v>
      </c>
    </row>
    <row r="7804" spans="1:11" x14ac:dyDescent="0.2">
      <c r="A7804" t="s">
        <v>4278</v>
      </c>
      <c r="B7804" t="s">
        <v>4909</v>
      </c>
      <c r="C7804" t="s">
        <v>4909</v>
      </c>
      <c r="D7804" t="s">
        <v>4909</v>
      </c>
      <c r="E7804" t="s">
        <v>4909</v>
      </c>
      <c r="F7804" t="s">
        <v>4909</v>
      </c>
      <c r="G7804" t="s">
        <v>4909</v>
      </c>
      <c r="H7804" t="s">
        <v>4909</v>
      </c>
      <c r="I7804" t="s">
        <v>4909</v>
      </c>
      <c r="J7804" t="s">
        <v>4909</v>
      </c>
      <c r="K7804" t="s">
        <v>4909</v>
      </c>
    </row>
    <row r="7805" spans="1:11" x14ac:dyDescent="0.2">
      <c r="A7805" t="s">
        <v>4279</v>
      </c>
      <c r="B7805" t="s">
        <v>4909</v>
      </c>
      <c r="C7805" t="s">
        <v>4909</v>
      </c>
      <c r="D7805" t="s">
        <v>4909</v>
      </c>
      <c r="E7805" t="s">
        <v>4909</v>
      </c>
      <c r="F7805" t="s">
        <v>4909</v>
      </c>
      <c r="G7805" t="s">
        <v>4909</v>
      </c>
      <c r="H7805" t="s">
        <v>4909</v>
      </c>
      <c r="I7805" t="s">
        <v>4909</v>
      </c>
      <c r="J7805" t="s">
        <v>4909</v>
      </c>
      <c r="K7805" t="s">
        <v>4909</v>
      </c>
    </row>
    <row r="7806" spans="1:11" x14ac:dyDescent="0.2">
      <c r="A7806" t="s">
        <v>4280</v>
      </c>
      <c r="B7806" t="s">
        <v>4909</v>
      </c>
      <c r="C7806" t="s">
        <v>4909</v>
      </c>
      <c r="D7806" t="s">
        <v>4909</v>
      </c>
      <c r="E7806" t="s">
        <v>4909</v>
      </c>
      <c r="F7806" t="s">
        <v>4909</v>
      </c>
      <c r="G7806" t="s">
        <v>4909</v>
      </c>
      <c r="H7806" t="s">
        <v>4909</v>
      </c>
      <c r="I7806" t="s">
        <v>4909</v>
      </c>
      <c r="J7806" t="s">
        <v>4909</v>
      </c>
      <c r="K7806" t="s">
        <v>4909</v>
      </c>
    </row>
    <row r="7807" spans="1:11" x14ac:dyDescent="0.2">
      <c r="A7807" t="s">
        <v>4281</v>
      </c>
      <c r="B7807" s="88">
        <v>1E-3</v>
      </c>
      <c r="C7807" t="s">
        <v>4909</v>
      </c>
      <c r="D7807" s="88">
        <v>0</v>
      </c>
      <c r="E7807" s="88">
        <v>5.0000000000000001E-3</v>
      </c>
      <c r="F7807" s="88">
        <v>1E-3</v>
      </c>
      <c r="G7807" t="s">
        <v>4909</v>
      </c>
      <c r="H7807" t="s">
        <v>4909</v>
      </c>
      <c r="I7807" t="s">
        <v>4909</v>
      </c>
      <c r="J7807" s="88">
        <v>1E-3</v>
      </c>
      <c r="K7807" t="s">
        <v>4909</v>
      </c>
    </row>
    <row r="7808" spans="1:11" x14ac:dyDescent="0.2">
      <c r="A7808" t="s">
        <v>4282</v>
      </c>
      <c r="B7808" s="88">
        <v>8.9999999999999993E-3</v>
      </c>
      <c r="C7808" t="s">
        <v>4909</v>
      </c>
      <c r="D7808" s="88">
        <v>1E-3</v>
      </c>
      <c r="E7808" s="88">
        <v>8.9999999999999993E-3</v>
      </c>
      <c r="F7808" s="88">
        <v>6.0000000000000001E-3</v>
      </c>
      <c r="G7808" t="s">
        <v>4909</v>
      </c>
      <c r="H7808" t="s">
        <v>4909</v>
      </c>
      <c r="I7808" t="s">
        <v>4909</v>
      </c>
      <c r="J7808" s="88">
        <v>8.0000000000000002E-3</v>
      </c>
      <c r="K7808" t="s">
        <v>4909</v>
      </c>
    </row>
    <row r="7809" spans="1:11" x14ac:dyDescent="0.2">
      <c r="A7809" t="s">
        <v>4283</v>
      </c>
      <c r="B7809" s="88">
        <v>0</v>
      </c>
      <c r="C7809" t="s">
        <v>4909</v>
      </c>
      <c r="D7809" t="s">
        <v>4909</v>
      </c>
      <c r="E7809" s="88">
        <v>1E-3</v>
      </c>
      <c r="F7809" s="88">
        <v>0</v>
      </c>
      <c r="G7809" t="s">
        <v>4909</v>
      </c>
      <c r="H7809" t="s">
        <v>4909</v>
      </c>
      <c r="I7809" t="s">
        <v>4909</v>
      </c>
      <c r="J7809" s="88">
        <v>1E-3</v>
      </c>
      <c r="K7809" t="s">
        <v>4909</v>
      </c>
    </row>
    <row r="7810" spans="1:11" x14ac:dyDescent="0.2">
      <c r="A7810" t="s">
        <v>4284</v>
      </c>
      <c r="B7810" s="88">
        <v>2E-3</v>
      </c>
      <c r="C7810" t="s">
        <v>4909</v>
      </c>
      <c r="D7810" t="s">
        <v>4909</v>
      </c>
      <c r="E7810" s="88">
        <v>2E-3</v>
      </c>
      <c r="F7810" s="88">
        <v>1E-3</v>
      </c>
      <c r="G7810" t="s">
        <v>4909</v>
      </c>
      <c r="H7810" t="s">
        <v>4909</v>
      </c>
      <c r="I7810" t="s">
        <v>4909</v>
      </c>
      <c r="J7810" s="88">
        <v>1E-3</v>
      </c>
      <c r="K7810" t="s">
        <v>4909</v>
      </c>
    </row>
    <row r="7811" spans="1:11" x14ac:dyDescent="0.2">
      <c r="A7811" t="s">
        <v>4285</v>
      </c>
      <c r="B7811" s="88">
        <v>1E-3</v>
      </c>
      <c r="C7811" t="s">
        <v>4909</v>
      </c>
      <c r="D7811" s="88">
        <v>0</v>
      </c>
      <c r="E7811" s="88">
        <v>8.0000000000000002E-3</v>
      </c>
      <c r="F7811" s="88">
        <v>1E-3</v>
      </c>
      <c r="G7811" t="s">
        <v>4909</v>
      </c>
      <c r="H7811" t="s">
        <v>4909</v>
      </c>
      <c r="I7811" t="s">
        <v>4909</v>
      </c>
      <c r="J7811" s="88">
        <v>3.0000000000000001E-3</v>
      </c>
      <c r="K7811" t="s">
        <v>4909</v>
      </c>
    </row>
    <row r="7812" spans="1:11" x14ac:dyDescent="0.2">
      <c r="A7812" t="s">
        <v>4286</v>
      </c>
      <c r="B7812" s="88">
        <v>1.0999999999999999E-2</v>
      </c>
      <c r="C7812" t="s">
        <v>4909</v>
      </c>
      <c r="D7812" s="88">
        <v>1E-3</v>
      </c>
      <c r="E7812" s="88">
        <v>0.01</v>
      </c>
      <c r="F7812" s="88">
        <v>7.0000000000000001E-3</v>
      </c>
      <c r="G7812" t="s">
        <v>4909</v>
      </c>
      <c r="H7812" t="s">
        <v>4909</v>
      </c>
      <c r="I7812" t="s">
        <v>4909</v>
      </c>
      <c r="J7812" s="88">
        <v>1.2E-2</v>
      </c>
      <c r="K7812" t="s">
        <v>4909</v>
      </c>
    </row>
    <row r="7813" spans="1:11" x14ac:dyDescent="0.2">
      <c r="A7813" t="s">
        <v>4287</v>
      </c>
      <c r="B7813" s="88">
        <v>0</v>
      </c>
      <c r="C7813" t="s">
        <v>4909</v>
      </c>
      <c r="D7813" t="s">
        <v>4909</v>
      </c>
      <c r="E7813" s="88">
        <v>0</v>
      </c>
      <c r="F7813" s="88">
        <v>0</v>
      </c>
      <c r="G7813" t="s">
        <v>4909</v>
      </c>
      <c r="H7813" t="s">
        <v>4909</v>
      </c>
      <c r="I7813" t="s">
        <v>4909</v>
      </c>
      <c r="J7813" s="88">
        <v>0</v>
      </c>
      <c r="K7813" t="s">
        <v>4909</v>
      </c>
    </row>
    <row r="7814" spans="1:11" x14ac:dyDescent="0.2">
      <c r="A7814" t="s">
        <v>4288</v>
      </c>
      <c r="B7814" t="s">
        <v>4909</v>
      </c>
      <c r="C7814" t="s">
        <v>4909</v>
      </c>
      <c r="D7814" t="s">
        <v>4909</v>
      </c>
      <c r="E7814" t="s">
        <v>4909</v>
      </c>
      <c r="F7814" t="s">
        <v>4909</v>
      </c>
      <c r="G7814" t="s">
        <v>4909</v>
      </c>
      <c r="H7814" t="s">
        <v>4909</v>
      </c>
      <c r="I7814" t="s">
        <v>4909</v>
      </c>
      <c r="J7814" t="s">
        <v>4909</v>
      </c>
      <c r="K7814" t="s">
        <v>4909</v>
      </c>
    </row>
    <row r="7815" spans="1:11" x14ac:dyDescent="0.2">
      <c r="A7815" t="s">
        <v>4289</v>
      </c>
      <c r="B7815" t="s">
        <v>4909</v>
      </c>
      <c r="C7815" t="s">
        <v>4909</v>
      </c>
      <c r="D7815" t="s">
        <v>4909</v>
      </c>
      <c r="E7815" t="s">
        <v>4909</v>
      </c>
      <c r="F7815" t="s">
        <v>4909</v>
      </c>
      <c r="G7815" t="s">
        <v>4909</v>
      </c>
      <c r="H7815" t="s">
        <v>4909</v>
      </c>
      <c r="I7815" t="s">
        <v>4909</v>
      </c>
      <c r="J7815" t="s">
        <v>4909</v>
      </c>
      <c r="K7815" t="s">
        <v>4909</v>
      </c>
    </row>
    <row r="7816" spans="1:11" x14ac:dyDescent="0.2">
      <c r="A7816" t="s">
        <v>4290</v>
      </c>
      <c r="B7816" t="s">
        <v>4909</v>
      </c>
      <c r="C7816" t="s">
        <v>4909</v>
      </c>
      <c r="D7816" t="s">
        <v>4909</v>
      </c>
      <c r="E7816" t="s">
        <v>4909</v>
      </c>
      <c r="F7816" t="s">
        <v>4909</v>
      </c>
      <c r="G7816" t="s">
        <v>4909</v>
      </c>
      <c r="H7816" t="s">
        <v>4909</v>
      </c>
      <c r="I7816" t="s">
        <v>4909</v>
      </c>
      <c r="J7816" t="s">
        <v>4909</v>
      </c>
      <c r="K7816" t="s">
        <v>4909</v>
      </c>
    </row>
    <row r="7817" spans="1:11" x14ac:dyDescent="0.2">
      <c r="A7817" t="s">
        <v>4291</v>
      </c>
      <c r="B7817" t="s">
        <v>4909</v>
      </c>
      <c r="C7817" t="s">
        <v>4909</v>
      </c>
      <c r="D7817" t="s">
        <v>4909</v>
      </c>
      <c r="E7817" t="s">
        <v>4909</v>
      </c>
      <c r="F7817" t="s">
        <v>4909</v>
      </c>
      <c r="G7817" t="s">
        <v>4909</v>
      </c>
      <c r="H7817" t="s">
        <v>4909</v>
      </c>
      <c r="I7817" t="s">
        <v>4909</v>
      </c>
      <c r="J7817" t="s">
        <v>4909</v>
      </c>
      <c r="K7817" t="s">
        <v>4909</v>
      </c>
    </row>
    <row r="7818" spans="1:11" x14ac:dyDescent="0.2">
      <c r="A7818" t="s">
        <v>4292</v>
      </c>
      <c r="B7818" t="s">
        <v>4909</v>
      </c>
      <c r="C7818" t="s">
        <v>4909</v>
      </c>
      <c r="D7818" t="s">
        <v>4909</v>
      </c>
      <c r="E7818" t="s">
        <v>4909</v>
      </c>
      <c r="F7818" t="s">
        <v>4909</v>
      </c>
      <c r="G7818" t="s">
        <v>4909</v>
      </c>
      <c r="H7818" t="s">
        <v>4909</v>
      </c>
      <c r="I7818" t="s">
        <v>4909</v>
      </c>
      <c r="J7818" t="s">
        <v>4909</v>
      </c>
      <c r="K7818" t="s">
        <v>4909</v>
      </c>
    </row>
    <row r="7819" spans="1:11" x14ac:dyDescent="0.2">
      <c r="A7819" t="s">
        <v>4293</v>
      </c>
      <c r="B7819" t="s">
        <v>4909</v>
      </c>
      <c r="C7819" t="s">
        <v>4909</v>
      </c>
      <c r="D7819" t="s">
        <v>4909</v>
      </c>
      <c r="E7819" t="s">
        <v>4909</v>
      </c>
      <c r="F7819" t="s">
        <v>4909</v>
      </c>
      <c r="G7819" t="s">
        <v>4909</v>
      </c>
      <c r="H7819" t="s">
        <v>4909</v>
      </c>
      <c r="I7819" t="s">
        <v>4909</v>
      </c>
      <c r="J7819" t="s">
        <v>4909</v>
      </c>
      <c r="K7819" t="s">
        <v>4909</v>
      </c>
    </row>
    <row r="7820" spans="1:11" x14ac:dyDescent="0.2">
      <c r="A7820" t="s">
        <v>4294</v>
      </c>
      <c r="B7820" t="s">
        <v>4909</v>
      </c>
      <c r="C7820" t="s">
        <v>4909</v>
      </c>
      <c r="D7820" t="s">
        <v>4909</v>
      </c>
      <c r="E7820" t="s">
        <v>4909</v>
      </c>
      <c r="F7820" t="s">
        <v>4909</v>
      </c>
      <c r="G7820" t="s">
        <v>4909</v>
      </c>
      <c r="H7820" t="s">
        <v>4909</v>
      </c>
      <c r="I7820" t="s">
        <v>4909</v>
      </c>
      <c r="J7820" t="s">
        <v>4909</v>
      </c>
      <c r="K7820" t="s">
        <v>4909</v>
      </c>
    </row>
    <row r="7821" spans="1:11" x14ac:dyDescent="0.2">
      <c r="A7821" t="s">
        <v>4295</v>
      </c>
      <c r="B7821" t="s">
        <v>4909</v>
      </c>
      <c r="C7821" t="s">
        <v>4909</v>
      </c>
      <c r="D7821" t="s">
        <v>4909</v>
      </c>
      <c r="E7821" t="s">
        <v>4909</v>
      </c>
      <c r="F7821" t="s">
        <v>4909</v>
      </c>
      <c r="G7821" t="s">
        <v>4909</v>
      </c>
      <c r="H7821" t="s">
        <v>4909</v>
      </c>
      <c r="I7821" t="s">
        <v>4909</v>
      </c>
      <c r="J7821" t="s">
        <v>4909</v>
      </c>
      <c r="K7821" t="s">
        <v>4909</v>
      </c>
    </row>
    <row r="7822" spans="1:11" x14ac:dyDescent="0.2">
      <c r="A7822" t="s">
        <v>4296</v>
      </c>
      <c r="B7822" t="s">
        <v>4909</v>
      </c>
      <c r="C7822" t="s">
        <v>4909</v>
      </c>
      <c r="D7822" t="s">
        <v>4909</v>
      </c>
      <c r="E7822" t="s">
        <v>4909</v>
      </c>
      <c r="F7822" t="s">
        <v>4909</v>
      </c>
      <c r="G7822" t="s">
        <v>4909</v>
      </c>
      <c r="H7822" t="s">
        <v>4909</v>
      </c>
      <c r="I7822" t="s">
        <v>4909</v>
      </c>
      <c r="J7822" t="s">
        <v>4909</v>
      </c>
      <c r="K7822" t="s">
        <v>4909</v>
      </c>
    </row>
    <row r="7823" spans="1:11" x14ac:dyDescent="0.2">
      <c r="A7823" t="s">
        <v>4297</v>
      </c>
      <c r="B7823" s="88">
        <v>1E-3</v>
      </c>
      <c r="C7823" t="s">
        <v>4909</v>
      </c>
      <c r="D7823" s="88">
        <v>0</v>
      </c>
      <c r="E7823" s="88">
        <v>5.0000000000000001E-3</v>
      </c>
      <c r="F7823" s="88">
        <v>0</v>
      </c>
      <c r="G7823" t="s">
        <v>4909</v>
      </c>
      <c r="H7823" t="s">
        <v>4909</v>
      </c>
      <c r="I7823" t="s">
        <v>4909</v>
      </c>
      <c r="J7823" s="88">
        <v>2E-3</v>
      </c>
      <c r="K7823" t="s">
        <v>4909</v>
      </c>
    </row>
    <row r="7824" spans="1:11" x14ac:dyDescent="0.2">
      <c r="A7824" t="s">
        <v>4298</v>
      </c>
      <c r="B7824" s="88">
        <v>5.0000000000000001E-3</v>
      </c>
      <c r="C7824" t="s">
        <v>4909</v>
      </c>
      <c r="D7824" s="88">
        <v>0</v>
      </c>
      <c r="E7824" s="88">
        <v>1.4E-2</v>
      </c>
      <c r="F7824" s="88">
        <v>4.0000000000000001E-3</v>
      </c>
      <c r="G7824" t="s">
        <v>4909</v>
      </c>
      <c r="H7824" t="s">
        <v>4909</v>
      </c>
      <c r="I7824" t="s">
        <v>4909</v>
      </c>
      <c r="J7824" s="88">
        <v>6.0000000000000001E-3</v>
      </c>
      <c r="K7824" t="s">
        <v>4909</v>
      </c>
    </row>
    <row r="7825" spans="1:11" x14ac:dyDescent="0.2">
      <c r="A7825" t="s">
        <v>4299</v>
      </c>
      <c r="B7825" s="88">
        <v>1.0999999999999999E-2</v>
      </c>
      <c r="C7825" t="s">
        <v>4909</v>
      </c>
      <c r="D7825" s="88">
        <v>1E-3</v>
      </c>
      <c r="E7825" s="88">
        <v>2.4E-2</v>
      </c>
      <c r="F7825" s="88">
        <v>8.0000000000000002E-3</v>
      </c>
      <c r="G7825" t="s">
        <v>4909</v>
      </c>
      <c r="H7825" t="s">
        <v>4909</v>
      </c>
      <c r="I7825" t="s">
        <v>4909</v>
      </c>
      <c r="J7825" s="88">
        <v>0.02</v>
      </c>
      <c r="K7825" t="s">
        <v>4909</v>
      </c>
    </row>
    <row r="7826" spans="1:11" x14ac:dyDescent="0.2">
      <c r="A7826" t="s">
        <v>4300</v>
      </c>
      <c r="B7826" s="88">
        <v>2.1999999999999999E-2</v>
      </c>
      <c r="C7826" t="s">
        <v>4909</v>
      </c>
      <c r="D7826" s="88">
        <v>3.0000000000000001E-3</v>
      </c>
      <c r="E7826" s="88">
        <v>2.1000000000000001E-2</v>
      </c>
      <c r="F7826" s="88">
        <v>0.02</v>
      </c>
      <c r="G7826" t="s">
        <v>4909</v>
      </c>
      <c r="H7826" t="s">
        <v>4909</v>
      </c>
      <c r="I7826" t="s">
        <v>4909</v>
      </c>
      <c r="J7826" s="88">
        <v>2.1999999999999999E-2</v>
      </c>
      <c r="K7826" t="s">
        <v>4909</v>
      </c>
    </row>
    <row r="7827" spans="1:11" x14ac:dyDescent="0.2">
      <c r="A7827" t="s">
        <v>4301</v>
      </c>
      <c r="B7827" s="88">
        <v>2E-3</v>
      </c>
      <c r="C7827" t="s">
        <v>4909</v>
      </c>
      <c r="D7827" s="88">
        <v>0</v>
      </c>
      <c r="E7827" s="88">
        <v>1.2999999999999999E-2</v>
      </c>
      <c r="F7827" s="88">
        <v>3.0000000000000001E-3</v>
      </c>
      <c r="G7827" t="s">
        <v>4909</v>
      </c>
      <c r="H7827" t="s">
        <v>4909</v>
      </c>
      <c r="I7827" t="s">
        <v>4909</v>
      </c>
      <c r="J7827" s="88">
        <v>6.0000000000000001E-3</v>
      </c>
      <c r="K7827" t="s">
        <v>4909</v>
      </c>
    </row>
    <row r="7828" spans="1:11" x14ac:dyDescent="0.2">
      <c r="A7828" t="s">
        <v>4302</v>
      </c>
      <c r="B7828" s="88">
        <v>2.5000000000000001E-2</v>
      </c>
      <c r="C7828" t="s">
        <v>4909</v>
      </c>
      <c r="D7828" s="88">
        <v>3.0000000000000001E-3</v>
      </c>
      <c r="E7828" s="88">
        <v>5.2999999999999999E-2</v>
      </c>
      <c r="F7828" s="88">
        <v>1.2E-2</v>
      </c>
      <c r="G7828" t="s">
        <v>4909</v>
      </c>
      <c r="H7828" t="s">
        <v>4909</v>
      </c>
      <c r="I7828" t="s">
        <v>4909</v>
      </c>
      <c r="J7828" s="88">
        <v>1.2E-2</v>
      </c>
      <c r="K7828" t="s">
        <v>4909</v>
      </c>
    </row>
    <row r="7829" spans="1:11" x14ac:dyDescent="0.2">
      <c r="A7829" t="s">
        <v>4303</v>
      </c>
      <c r="B7829" s="88">
        <v>3.3000000000000002E-2</v>
      </c>
      <c r="C7829" t="s">
        <v>4909</v>
      </c>
      <c r="D7829" s="88">
        <v>3.0000000000000001E-3</v>
      </c>
      <c r="E7829" s="88">
        <v>3.2000000000000001E-2</v>
      </c>
      <c r="F7829" s="88">
        <v>2.7E-2</v>
      </c>
      <c r="G7829" t="s">
        <v>4909</v>
      </c>
      <c r="H7829" t="s">
        <v>4909</v>
      </c>
      <c r="I7829" t="s">
        <v>4909</v>
      </c>
      <c r="J7829" s="88">
        <v>1.9E-2</v>
      </c>
      <c r="K7829" t="s">
        <v>4909</v>
      </c>
    </row>
    <row r="7830" spans="1:11" x14ac:dyDescent="0.2">
      <c r="A7830" t="s">
        <v>4304</v>
      </c>
      <c r="B7830" s="88">
        <v>5.0000000000000001E-3</v>
      </c>
      <c r="C7830" t="s">
        <v>4909</v>
      </c>
      <c r="D7830" s="88">
        <v>0</v>
      </c>
      <c r="E7830" s="88">
        <v>2.4E-2</v>
      </c>
      <c r="F7830" s="88">
        <v>7.0000000000000001E-3</v>
      </c>
      <c r="G7830" t="s">
        <v>4909</v>
      </c>
      <c r="H7830" t="s">
        <v>4909</v>
      </c>
      <c r="I7830" t="s">
        <v>4909</v>
      </c>
      <c r="J7830" s="88">
        <v>8.0000000000000002E-3</v>
      </c>
      <c r="K7830" t="s">
        <v>4909</v>
      </c>
    </row>
    <row r="7831" spans="1:11" x14ac:dyDescent="0.2">
      <c r="A7831" t="s">
        <v>4305</v>
      </c>
      <c r="B7831" s="88">
        <v>3.0000000000000001E-3</v>
      </c>
      <c r="C7831" t="s">
        <v>4909</v>
      </c>
      <c r="D7831" s="88">
        <v>0</v>
      </c>
      <c r="E7831" s="88">
        <v>1.2999999999999999E-2</v>
      </c>
      <c r="F7831" s="88">
        <v>2E-3</v>
      </c>
      <c r="G7831" t="s">
        <v>4909</v>
      </c>
      <c r="H7831" t="s">
        <v>4909</v>
      </c>
      <c r="I7831" t="s">
        <v>4909</v>
      </c>
      <c r="J7831" s="88">
        <v>3.0000000000000001E-3</v>
      </c>
      <c r="K7831" t="s">
        <v>4909</v>
      </c>
    </row>
    <row r="7832" spans="1:11" x14ac:dyDescent="0.2">
      <c r="A7832" t="s">
        <v>4306</v>
      </c>
      <c r="B7832" s="88">
        <v>6.0000000000000001E-3</v>
      </c>
      <c r="C7832" t="s">
        <v>4909</v>
      </c>
      <c r="D7832" s="88">
        <v>0</v>
      </c>
      <c r="E7832" s="88">
        <v>2.1000000000000001E-2</v>
      </c>
      <c r="F7832" s="88">
        <v>8.0000000000000002E-3</v>
      </c>
      <c r="G7832" t="s">
        <v>4909</v>
      </c>
      <c r="H7832" t="s">
        <v>4909</v>
      </c>
      <c r="I7832" t="s">
        <v>4909</v>
      </c>
      <c r="J7832" s="88">
        <v>4.0000000000000001E-3</v>
      </c>
      <c r="K7832" t="s">
        <v>4909</v>
      </c>
    </row>
    <row r="7833" spans="1:11" x14ac:dyDescent="0.2">
      <c r="A7833" t="s">
        <v>4307</v>
      </c>
      <c r="B7833" s="88">
        <v>1.0999999999999999E-2</v>
      </c>
      <c r="C7833" t="s">
        <v>4909</v>
      </c>
      <c r="D7833" s="88">
        <v>1E-3</v>
      </c>
      <c r="E7833" s="88">
        <v>0.01</v>
      </c>
      <c r="F7833" s="88">
        <v>1.2999999999999999E-2</v>
      </c>
      <c r="G7833" t="s">
        <v>4909</v>
      </c>
      <c r="H7833" t="s">
        <v>4909</v>
      </c>
      <c r="I7833" t="s">
        <v>4909</v>
      </c>
      <c r="J7833" s="88">
        <v>1.0999999999999999E-2</v>
      </c>
      <c r="K7833" t="s">
        <v>4909</v>
      </c>
    </row>
    <row r="7834" spans="1:11" x14ac:dyDescent="0.2">
      <c r="A7834" t="s">
        <v>4308</v>
      </c>
      <c r="B7834" t="s">
        <v>4909</v>
      </c>
      <c r="C7834" t="s">
        <v>4909</v>
      </c>
      <c r="D7834" t="s">
        <v>4909</v>
      </c>
      <c r="E7834" t="s">
        <v>4909</v>
      </c>
      <c r="F7834" s="88">
        <v>3.0000000000000001E-3</v>
      </c>
      <c r="G7834" t="s">
        <v>4909</v>
      </c>
      <c r="H7834" t="s">
        <v>4909</v>
      </c>
      <c r="I7834" t="s">
        <v>4909</v>
      </c>
      <c r="J7834" t="s">
        <v>4909</v>
      </c>
      <c r="K7834" t="s">
        <v>4909</v>
      </c>
    </row>
    <row r="7835" spans="1:11" x14ac:dyDescent="0.2">
      <c r="A7835" t="s">
        <v>4309</v>
      </c>
      <c r="B7835" t="s">
        <v>4909</v>
      </c>
      <c r="C7835" t="s">
        <v>4909</v>
      </c>
      <c r="D7835" t="s">
        <v>4909</v>
      </c>
      <c r="E7835" t="s">
        <v>4909</v>
      </c>
      <c r="F7835" t="s">
        <v>4909</v>
      </c>
      <c r="G7835" t="s">
        <v>4909</v>
      </c>
      <c r="H7835" t="s">
        <v>4909</v>
      </c>
      <c r="I7835" t="s">
        <v>4909</v>
      </c>
      <c r="J7835" t="s">
        <v>4909</v>
      </c>
      <c r="K7835" t="s">
        <v>4909</v>
      </c>
    </row>
    <row r="7836" spans="1:11" x14ac:dyDescent="0.2">
      <c r="A7836" t="s">
        <v>4310</v>
      </c>
      <c r="B7836" t="s">
        <v>4909</v>
      </c>
      <c r="C7836" t="s">
        <v>4909</v>
      </c>
      <c r="D7836" t="s">
        <v>4909</v>
      </c>
      <c r="E7836" t="s">
        <v>4909</v>
      </c>
      <c r="F7836" t="s">
        <v>4909</v>
      </c>
      <c r="G7836" t="s">
        <v>4909</v>
      </c>
      <c r="H7836" t="s">
        <v>4909</v>
      </c>
      <c r="I7836" t="s">
        <v>4909</v>
      </c>
      <c r="J7836" t="s">
        <v>4909</v>
      </c>
      <c r="K7836" t="s">
        <v>4909</v>
      </c>
    </row>
    <row r="7837" spans="1:11" x14ac:dyDescent="0.2">
      <c r="A7837" t="s">
        <v>4311</v>
      </c>
      <c r="B7837" t="s">
        <v>4909</v>
      </c>
      <c r="C7837" t="s">
        <v>4909</v>
      </c>
      <c r="D7837" t="s">
        <v>4909</v>
      </c>
      <c r="E7837" t="s">
        <v>4909</v>
      </c>
      <c r="F7837" t="s">
        <v>4909</v>
      </c>
      <c r="G7837" t="s">
        <v>4909</v>
      </c>
      <c r="H7837" t="s">
        <v>4909</v>
      </c>
      <c r="I7837" t="s">
        <v>4909</v>
      </c>
      <c r="J7837" s="88">
        <v>0</v>
      </c>
      <c r="K7837" t="s">
        <v>4909</v>
      </c>
    </row>
    <row r="7838" spans="1:11" x14ac:dyDescent="0.2">
      <c r="A7838" t="s">
        <v>4312</v>
      </c>
      <c r="B7838" t="s">
        <v>4909</v>
      </c>
      <c r="C7838" t="s">
        <v>4909</v>
      </c>
      <c r="D7838" t="s">
        <v>4909</v>
      </c>
      <c r="E7838" t="s">
        <v>4909</v>
      </c>
      <c r="F7838" t="s">
        <v>4909</v>
      </c>
      <c r="G7838" t="s">
        <v>4909</v>
      </c>
      <c r="H7838" t="s">
        <v>4909</v>
      </c>
      <c r="I7838" t="s">
        <v>4909</v>
      </c>
      <c r="J7838" s="88">
        <v>2E-3</v>
      </c>
      <c r="K7838" t="s">
        <v>4909</v>
      </c>
    </row>
    <row r="7839" spans="1:11" x14ac:dyDescent="0.2">
      <c r="A7839" t="s">
        <v>4313</v>
      </c>
      <c r="B7839" t="s">
        <v>4909</v>
      </c>
      <c r="C7839" t="s">
        <v>4909</v>
      </c>
      <c r="D7839" t="s">
        <v>4909</v>
      </c>
      <c r="E7839" t="s">
        <v>4909</v>
      </c>
      <c r="F7839" t="s">
        <v>4909</v>
      </c>
      <c r="G7839" t="s">
        <v>4909</v>
      </c>
      <c r="H7839" t="s">
        <v>4909</v>
      </c>
      <c r="I7839" t="s">
        <v>4909</v>
      </c>
      <c r="J7839" t="s">
        <v>4909</v>
      </c>
      <c r="K7839" t="s">
        <v>4909</v>
      </c>
    </row>
    <row r="7840" spans="1:11" x14ac:dyDescent="0.2">
      <c r="A7840" t="s">
        <v>4314</v>
      </c>
      <c r="B7840" t="s">
        <v>4909</v>
      </c>
      <c r="C7840" t="s">
        <v>4909</v>
      </c>
      <c r="D7840" t="s">
        <v>4909</v>
      </c>
      <c r="E7840" t="s">
        <v>4909</v>
      </c>
      <c r="F7840" s="88">
        <v>0</v>
      </c>
      <c r="G7840" t="s">
        <v>4909</v>
      </c>
      <c r="H7840" t="s">
        <v>4909</v>
      </c>
      <c r="I7840" t="s">
        <v>4909</v>
      </c>
      <c r="J7840" s="88">
        <v>4.0000000000000001E-3</v>
      </c>
      <c r="K7840" t="s">
        <v>4909</v>
      </c>
    </row>
    <row r="7841" spans="1:11" x14ac:dyDescent="0.2">
      <c r="A7841" t="s">
        <v>4315</v>
      </c>
      <c r="B7841" t="s">
        <v>4909</v>
      </c>
      <c r="C7841" t="s">
        <v>4909</v>
      </c>
      <c r="D7841" t="s">
        <v>4909</v>
      </c>
      <c r="E7841" t="s">
        <v>4909</v>
      </c>
      <c r="F7841" t="s">
        <v>4909</v>
      </c>
      <c r="G7841" t="s">
        <v>4909</v>
      </c>
      <c r="H7841" t="s">
        <v>4909</v>
      </c>
      <c r="I7841" t="s">
        <v>4909</v>
      </c>
      <c r="J7841" t="s">
        <v>4909</v>
      </c>
      <c r="K7841" t="s">
        <v>4909</v>
      </c>
    </row>
    <row r="7842" spans="1:11" x14ac:dyDescent="0.2">
      <c r="A7842" t="s">
        <v>4316</v>
      </c>
      <c r="B7842" t="s">
        <v>4909</v>
      </c>
      <c r="C7842" t="s">
        <v>4909</v>
      </c>
      <c r="D7842" t="s">
        <v>4909</v>
      </c>
      <c r="E7842" t="s">
        <v>4909</v>
      </c>
      <c r="F7842" t="s">
        <v>4909</v>
      </c>
      <c r="G7842" t="s">
        <v>4909</v>
      </c>
      <c r="H7842" t="s">
        <v>4909</v>
      </c>
      <c r="I7842" t="s">
        <v>4909</v>
      </c>
      <c r="J7842" t="s">
        <v>4909</v>
      </c>
      <c r="K7842" t="s">
        <v>4909</v>
      </c>
    </row>
    <row r="7843" spans="1:11" x14ac:dyDescent="0.2">
      <c r="A7843" t="s">
        <v>4317</v>
      </c>
      <c r="B7843" t="s">
        <v>4909</v>
      </c>
      <c r="C7843" t="s">
        <v>4909</v>
      </c>
      <c r="D7843" t="s">
        <v>4909</v>
      </c>
      <c r="E7843" t="s">
        <v>4909</v>
      </c>
      <c r="F7843" t="s">
        <v>4909</v>
      </c>
      <c r="G7843" t="s">
        <v>4909</v>
      </c>
      <c r="H7843" t="s">
        <v>4909</v>
      </c>
      <c r="I7843" t="s">
        <v>4909</v>
      </c>
      <c r="J7843" t="s">
        <v>4909</v>
      </c>
      <c r="K7843" t="s">
        <v>4909</v>
      </c>
    </row>
    <row r="7844" spans="1:11" x14ac:dyDescent="0.2">
      <c r="A7844" t="s">
        <v>4318</v>
      </c>
      <c r="B7844" t="s">
        <v>4909</v>
      </c>
      <c r="C7844" t="s">
        <v>4909</v>
      </c>
      <c r="D7844" t="s">
        <v>4909</v>
      </c>
      <c r="E7844" t="s">
        <v>4909</v>
      </c>
      <c r="F7844" t="s">
        <v>4909</v>
      </c>
      <c r="G7844" t="s">
        <v>4909</v>
      </c>
      <c r="H7844" t="s">
        <v>4909</v>
      </c>
      <c r="I7844" t="s">
        <v>4909</v>
      </c>
      <c r="J7844" t="s">
        <v>4909</v>
      </c>
      <c r="K7844" t="s">
        <v>4909</v>
      </c>
    </row>
    <row r="7845" spans="1:11" x14ac:dyDescent="0.2">
      <c r="A7845" t="s">
        <v>4319</v>
      </c>
      <c r="B7845" t="s">
        <v>4909</v>
      </c>
      <c r="C7845" t="s">
        <v>4909</v>
      </c>
      <c r="D7845" t="s">
        <v>4909</v>
      </c>
      <c r="E7845" t="s">
        <v>4909</v>
      </c>
      <c r="F7845" t="s">
        <v>4909</v>
      </c>
      <c r="G7845" t="s">
        <v>4909</v>
      </c>
      <c r="H7845" t="s">
        <v>4909</v>
      </c>
      <c r="I7845" t="s">
        <v>4909</v>
      </c>
      <c r="J7845" t="s">
        <v>4909</v>
      </c>
      <c r="K7845" t="s">
        <v>4909</v>
      </c>
    </row>
    <row r="7846" spans="1:11" x14ac:dyDescent="0.2">
      <c r="A7846" t="s">
        <v>4320</v>
      </c>
      <c r="B7846" t="s">
        <v>4909</v>
      </c>
      <c r="C7846" t="s">
        <v>4909</v>
      </c>
      <c r="D7846" t="s">
        <v>4909</v>
      </c>
      <c r="E7846" t="s">
        <v>4909</v>
      </c>
      <c r="F7846" t="s">
        <v>4909</v>
      </c>
      <c r="G7846" t="s">
        <v>4909</v>
      </c>
      <c r="H7846" t="s">
        <v>4909</v>
      </c>
      <c r="I7846" t="s">
        <v>4909</v>
      </c>
      <c r="J7846" t="s">
        <v>4909</v>
      </c>
      <c r="K7846" t="s">
        <v>4909</v>
      </c>
    </row>
    <row r="7847" spans="1:11" x14ac:dyDescent="0.2">
      <c r="A7847" t="s">
        <v>4321</v>
      </c>
      <c r="B7847" t="s">
        <v>4909</v>
      </c>
      <c r="C7847" t="s">
        <v>4909</v>
      </c>
      <c r="D7847" t="s">
        <v>4909</v>
      </c>
      <c r="E7847" t="s">
        <v>4909</v>
      </c>
      <c r="F7847" t="s">
        <v>4909</v>
      </c>
      <c r="G7847" t="s">
        <v>4909</v>
      </c>
      <c r="H7847" t="s">
        <v>4909</v>
      </c>
      <c r="I7847" t="s">
        <v>4909</v>
      </c>
      <c r="J7847" t="s">
        <v>4909</v>
      </c>
      <c r="K7847" t="s">
        <v>4909</v>
      </c>
    </row>
    <row r="7848" spans="1:11" x14ac:dyDescent="0.2">
      <c r="A7848" t="s">
        <v>4322</v>
      </c>
      <c r="B7848" t="s">
        <v>4909</v>
      </c>
      <c r="C7848" t="s">
        <v>4909</v>
      </c>
      <c r="D7848" t="s">
        <v>4909</v>
      </c>
      <c r="E7848" t="s">
        <v>4909</v>
      </c>
      <c r="F7848" t="s">
        <v>4909</v>
      </c>
      <c r="G7848" t="s">
        <v>4909</v>
      </c>
      <c r="H7848" t="s">
        <v>4909</v>
      </c>
      <c r="I7848" t="s">
        <v>4909</v>
      </c>
      <c r="J7848" t="s">
        <v>4909</v>
      </c>
      <c r="K7848" t="s">
        <v>4909</v>
      </c>
    </row>
    <row r="7849" spans="1:11" x14ac:dyDescent="0.2">
      <c r="A7849" t="s">
        <v>4323</v>
      </c>
      <c r="B7849" t="s">
        <v>4909</v>
      </c>
      <c r="C7849" t="s">
        <v>4909</v>
      </c>
      <c r="D7849" t="s">
        <v>4909</v>
      </c>
      <c r="E7849" t="s">
        <v>4909</v>
      </c>
      <c r="F7849" t="s">
        <v>4909</v>
      </c>
      <c r="G7849" t="s">
        <v>4909</v>
      </c>
      <c r="H7849" t="s">
        <v>4909</v>
      </c>
      <c r="I7849" t="s">
        <v>4909</v>
      </c>
      <c r="J7849" t="s">
        <v>4909</v>
      </c>
      <c r="K7849" t="s">
        <v>4909</v>
      </c>
    </row>
    <row r="7850" spans="1:11" x14ac:dyDescent="0.2">
      <c r="A7850" t="s">
        <v>4324</v>
      </c>
      <c r="B7850" t="s">
        <v>4909</v>
      </c>
      <c r="C7850" t="s">
        <v>4909</v>
      </c>
      <c r="D7850" t="s">
        <v>4909</v>
      </c>
      <c r="E7850" t="s">
        <v>4909</v>
      </c>
      <c r="F7850" t="s">
        <v>4909</v>
      </c>
      <c r="G7850" t="s">
        <v>4909</v>
      </c>
      <c r="H7850" t="s">
        <v>4909</v>
      </c>
      <c r="I7850" t="s">
        <v>4909</v>
      </c>
      <c r="J7850" t="s">
        <v>4909</v>
      </c>
      <c r="K7850" t="s">
        <v>4909</v>
      </c>
    </row>
    <row r="7851" spans="1:11" x14ac:dyDescent="0.2">
      <c r="A7851" t="s">
        <v>4325</v>
      </c>
      <c r="B7851" t="s">
        <v>4909</v>
      </c>
      <c r="C7851" t="s">
        <v>4909</v>
      </c>
      <c r="D7851" t="s">
        <v>4909</v>
      </c>
      <c r="E7851" t="s">
        <v>4909</v>
      </c>
      <c r="F7851" t="s">
        <v>4909</v>
      </c>
      <c r="G7851" t="s">
        <v>4909</v>
      </c>
      <c r="H7851" t="s">
        <v>4909</v>
      </c>
      <c r="I7851" t="s">
        <v>4909</v>
      </c>
      <c r="J7851" t="s">
        <v>4909</v>
      </c>
      <c r="K7851" t="s">
        <v>4909</v>
      </c>
    </row>
    <row r="7852" spans="1:11" x14ac:dyDescent="0.2">
      <c r="A7852" t="s">
        <v>4326</v>
      </c>
      <c r="B7852" t="s">
        <v>4909</v>
      </c>
      <c r="C7852" t="s">
        <v>4909</v>
      </c>
      <c r="D7852" t="s">
        <v>4909</v>
      </c>
      <c r="E7852" t="s">
        <v>4909</v>
      </c>
      <c r="F7852" t="s">
        <v>4909</v>
      </c>
      <c r="G7852" t="s">
        <v>4909</v>
      </c>
      <c r="H7852" t="s">
        <v>4909</v>
      </c>
      <c r="I7852" t="s">
        <v>4909</v>
      </c>
      <c r="J7852" t="s">
        <v>4909</v>
      </c>
      <c r="K7852" t="s">
        <v>4909</v>
      </c>
    </row>
    <row r="7853" spans="1:11" x14ac:dyDescent="0.2">
      <c r="A7853" t="s">
        <v>4327</v>
      </c>
      <c r="B7853" s="88">
        <v>0</v>
      </c>
      <c r="C7853" t="s">
        <v>4909</v>
      </c>
      <c r="D7853" s="88">
        <v>0</v>
      </c>
      <c r="E7853" s="88">
        <v>0</v>
      </c>
      <c r="F7853" s="88">
        <v>0</v>
      </c>
      <c r="G7853" t="s">
        <v>4909</v>
      </c>
      <c r="H7853" t="s">
        <v>4909</v>
      </c>
      <c r="I7853" t="s">
        <v>4909</v>
      </c>
      <c r="J7853" s="88">
        <v>2.3E-2</v>
      </c>
      <c r="K7853" t="s">
        <v>4909</v>
      </c>
    </row>
    <row r="7854" spans="1:11" x14ac:dyDescent="0.2">
      <c r="A7854" t="s">
        <v>4328</v>
      </c>
      <c r="B7854" t="s">
        <v>4909</v>
      </c>
      <c r="C7854" t="s">
        <v>4909</v>
      </c>
      <c r="D7854" t="s">
        <v>4909</v>
      </c>
      <c r="E7854" t="s">
        <v>4909</v>
      </c>
      <c r="F7854" t="s">
        <v>4909</v>
      </c>
      <c r="G7854" t="s">
        <v>4909</v>
      </c>
      <c r="H7854" t="s">
        <v>4909</v>
      </c>
      <c r="I7854" t="s">
        <v>4909</v>
      </c>
      <c r="J7854" t="s">
        <v>4909</v>
      </c>
      <c r="K7854" t="s">
        <v>4909</v>
      </c>
    </row>
    <row r="7855" spans="1:11" x14ac:dyDescent="0.2">
      <c r="A7855" t="s">
        <v>4329</v>
      </c>
      <c r="B7855" t="s">
        <v>4909</v>
      </c>
      <c r="C7855" t="s">
        <v>4909</v>
      </c>
      <c r="D7855" t="s">
        <v>4909</v>
      </c>
      <c r="E7855" t="s">
        <v>4909</v>
      </c>
      <c r="F7855" t="s">
        <v>4909</v>
      </c>
      <c r="G7855" t="s">
        <v>4909</v>
      </c>
      <c r="H7855" t="s">
        <v>4909</v>
      </c>
      <c r="I7855" t="s">
        <v>4909</v>
      </c>
      <c r="J7855" s="88">
        <v>0.9</v>
      </c>
      <c r="K7855" t="s">
        <v>4909</v>
      </c>
    </row>
    <row r="7856" spans="1:11" x14ac:dyDescent="0.2">
      <c r="A7856" t="s">
        <v>4330</v>
      </c>
      <c r="B7856" t="s">
        <v>4909</v>
      </c>
      <c r="C7856" t="s">
        <v>4909</v>
      </c>
      <c r="D7856" t="s">
        <v>4909</v>
      </c>
      <c r="E7856" t="s">
        <v>4909</v>
      </c>
      <c r="F7856" t="s">
        <v>4909</v>
      </c>
      <c r="G7856" t="s">
        <v>4909</v>
      </c>
      <c r="H7856" t="s">
        <v>4909</v>
      </c>
      <c r="I7856" t="s">
        <v>4909</v>
      </c>
      <c r="J7856" t="s">
        <v>4909</v>
      </c>
      <c r="K7856" t="s">
        <v>4909</v>
      </c>
    </row>
    <row r="7857" spans="1:11" x14ac:dyDescent="0.2">
      <c r="A7857" t="s">
        <v>4331</v>
      </c>
      <c r="B7857" t="s">
        <v>4909</v>
      </c>
      <c r="C7857" t="s">
        <v>4909</v>
      </c>
      <c r="D7857" t="s">
        <v>4909</v>
      </c>
      <c r="E7857" t="s">
        <v>4909</v>
      </c>
      <c r="F7857" t="s">
        <v>4909</v>
      </c>
      <c r="G7857" t="s">
        <v>4909</v>
      </c>
      <c r="H7857" t="s">
        <v>4909</v>
      </c>
      <c r="I7857" t="s">
        <v>4909</v>
      </c>
      <c r="J7857" t="s">
        <v>4909</v>
      </c>
      <c r="K7857" t="s">
        <v>4909</v>
      </c>
    </row>
    <row r="7858" spans="1:11" x14ac:dyDescent="0.2">
      <c r="A7858" t="s">
        <v>4332</v>
      </c>
      <c r="B7858" s="88">
        <v>0</v>
      </c>
      <c r="C7858" t="s">
        <v>4909</v>
      </c>
      <c r="D7858" t="s">
        <v>4909</v>
      </c>
      <c r="E7858" s="88">
        <v>0</v>
      </c>
      <c r="F7858" s="88">
        <v>5.0000000000000001E-3</v>
      </c>
      <c r="G7858" t="s">
        <v>4909</v>
      </c>
      <c r="H7858" t="s">
        <v>4909</v>
      </c>
      <c r="I7858" t="s">
        <v>4909</v>
      </c>
      <c r="J7858" s="88">
        <v>0.255</v>
      </c>
      <c r="K7858" t="s">
        <v>4909</v>
      </c>
    </row>
    <row r="7859" spans="1:11" x14ac:dyDescent="0.2">
      <c r="A7859" t="s">
        <v>4333</v>
      </c>
      <c r="B7859" t="s">
        <v>4909</v>
      </c>
      <c r="C7859" t="s">
        <v>4909</v>
      </c>
      <c r="D7859" t="s">
        <v>4909</v>
      </c>
      <c r="E7859" t="s">
        <v>4909</v>
      </c>
      <c r="F7859" t="s">
        <v>4909</v>
      </c>
      <c r="G7859" t="s">
        <v>4909</v>
      </c>
      <c r="H7859" t="s">
        <v>4909</v>
      </c>
      <c r="I7859" t="s">
        <v>4909</v>
      </c>
      <c r="J7859" t="s">
        <v>4909</v>
      </c>
      <c r="K7859" t="s">
        <v>4909</v>
      </c>
    </row>
    <row r="7860" spans="1:11" x14ac:dyDescent="0.2">
      <c r="A7860" t="s">
        <v>4334</v>
      </c>
      <c r="B7860" s="88">
        <v>0.45400000000000001</v>
      </c>
      <c r="C7860" t="s">
        <v>4909</v>
      </c>
      <c r="D7860" s="88">
        <v>6.4000000000000001E-2</v>
      </c>
      <c r="E7860" s="88">
        <v>0.40400000000000003</v>
      </c>
      <c r="F7860" t="s">
        <v>4909</v>
      </c>
      <c r="G7860" t="s">
        <v>4909</v>
      </c>
      <c r="H7860" t="s">
        <v>4909</v>
      </c>
      <c r="I7860" t="s">
        <v>4909</v>
      </c>
      <c r="J7860" t="s">
        <v>4909</v>
      </c>
      <c r="K7860" t="s">
        <v>4909</v>
      </c>
    </row>
    <row r="7861" spans="1:11" x14ac:dyDescent="0.2">
      <c r="A7861" t="s">
        <v>4335</v>
      </c>
      <c r="B7861" s="88">
        <v>0.37</v>
      </c>
      <c r="C7861" t="s">
        <v>4909</v>
      </c>
      <c r="D7861" s="88">
        <v>7.0999999999999994E-2</v>
      </c>
      <c r="E7861" s="88">
        <v>0.44400000000000001</v>
      </c>
      <c r="F7861" t="s">
        <v>4909</v>
      </c>
      <c r="G7861" t="s">
        <v>4909</v>
      </c>
      <c r="H7861" t="s">
        <v>4909</v>
      </c>
      <c r="I7861" t="s">
        <v>4909</v>
      </c>
      <c r="J7861" t="s">
        <v>4909</v>
      </c>
      <c r="K7861" t="s">
        <v>4909</v>
      </c>
    </row>
    <row r="7862" spans="1:11" x14ac:dyDescent="0.2">
      <c r="A7862" t="s">
        <v>4336</v>
      </c>
      <c r="B7862" t="s">
        <v>4909</v>
      </c>
      <c r="C7862" t="s">
        <v>4909</v>
      </c>
      <c r="D7862" t="s">
        <v>4909</v>
      </c>
      <c r="E7862" t="s">
        <v>4909</v>
      </c>
      <c r="F7862" t="s">
        <v>4909</v>
      </c>
      <c r="G7862" t="s">
        <v>4909</v>
      </c>
      <c r="H7862" t="s">
        <v>4909</v>
      </c>
      <c r="I7862" t="s">
        <v>4909</v>
      </c>
      <c r="J7862" t="s">
        <v>4909</v>
      </c>
      <c r="K7862" t="s">
        <v>4909</v>
      </c>
    </row>
    <row r="7863" spans="1:11" x14ac:dyDescent="0.2">
      <c r="A7863" t="s">
        <v>4337</v>
      </c>
      <c r="B7863" t="s">
        <v>4909</v>
      </c>
      <c r="C7863" t="s">
        <v>4909</v>
      </c>
      <c r="D7863" t="s">
        <v>4909</v>
      </c>
      <c r="E7863" t="s">
        <v>4909</v>
      </c>
      <c r="F7863" s="88">
        <v>1</v>
      </c>
      <c r="G7863" t="s">
        <v>4909</v>
      </c>
      <c r="H7863" t="s">
        <v>4909</v>
      </c>
      <c r="I7863" t="s">
        <v>4909</v>
      </c>
      <c r="J7863" t="s">
        <v>4909</v>
      </c>
      <c r="K7863" t="s">
        <v>4909</v>
      </c>
    </row>
    <row r="7864" spans="1:11" x14ac:dyDescent="0.2">
      <c r="A7864" t="s">
        <v>4338</v>
      </c>
      <c r="B7864" s="88">
        <v>3.5000000000000003E-2</v>
      </c>
      <c r="C7864" t="s">
        <v>4909</v>
      </c>
      <c r="D7864" s="88">
        <v>5.0000000000000001E-3</v>
      </c>
      <c r="E7864" s="88">
        <v>3.4000000000000002E-2</v>
      </c>
      <c r="F7864" s="88">
        <v>0.82</v>
      </c>
      <c r="G7864" t="s">
        <v>4909</v>
      </c>
      <c r="H7864" t="s">
        <v>4909</v>
      </c>
      <c r="I7864" t="s">
        <v>4909</v>
      </c>
      <c r="J7864" s="88">
        <v>4.5999999999999999E-2</v>
      </c>
      <c r="K7864" t="s">
        <v>4909</v>
      </c>
    </row>
    <row r="7865" spans="1:11" x14ac:dyDescent="0.2">
      <c r="A7865" t="s">
        <v>4339</v>
      </c>
      <c r="B7865" t="s">
        <v>4909</v>
      </c>
      <c r="C7865" t="s">
        <v>4909</v>
      </c>
      <c r="D7865" t="s">
        <v>4909</v>
      </c>
      <c r="E7865" t="s">
        <v>4909</v>
      </c>
      <c r="F7865" t="s">
        <v>4909</v>
      </c>
      <c r="G7865" t="s">
        <v>4909</v>
      </c>
      <c r="H7865" t="s">
        <v>4909</v>
      </c>
      <c r="I7865" t="s">
        <v>4909</v>
      </c>
      <c r="J7865" t="s">
        <v>4909</v>
      </c>
      <c r="K7865" t="s">
        <v>4909</v>
      </c>
    </row>
    <row r="7866" spans="1:11" x14ac:dyDescent="0.2">
      <c r="A7866" t="s">
        <v>4340</v>
      </c>
      <c r="B7866" t="s">
        <v>4909</v>
      </c>
      <c r="C7866" t="s">
        <v>4909</v>
      </c>
      <c r="D7866" t="s">
        <v>4909</v>
      </c>
      <c r="E7866" t="s">
        <v>4909</v>
      </c>
      <c r="F7866" t="s">
        <v>4909</v>
      </c>
      <c r="G7866" t="s">
        <v>4909</v>
      </c>
      <c r="H7866" t="s">
        <v>4909</v>
      </c>
      <c r="I7866" t="s">
        <v>4909</v>
      </c>
      <c r="J7866" t="s">
        <v>4909</v>
      </c>
      <c r="K7866" t="s">
        <v>4909</v>
      </c>
    </row>
    <row r="7867" spans="1:11" x14ac:dyDescent="0.2">
      <c r="A7867" t="s">
        <v>4341</v>
      </c>
      <c r="B7867" t="s">
        <v>4909</v>
      </c>
      <c r="C7867" t="s">
        <v>4909</v>
      </c>
      <c r="D7867" t="s">
        <v>4909</v>
      </c>
      <c r="E7867" t="s">
        <v>4909</v>
      </c>
      <c r="F7867" t="s">
        <v>4909</v>
      </c>
      <c r="G7867" t="s">
        <v>4909</v>
      </c>
      <c r="H7867" t="s">
        <v>4909</v>
      </c>
      <c r="I7867" t="s">
        <v>4909</v>
      </c>
      <c r="J7867" t="s">
        <v>4909</v>
      </c>
      <c r="K7867" t="s">
        <v>4909</v>
      </c>
    </row>
    <row r="7868" spans="1:11" x14ac:dyDescent="0.2">
      <c r="A7868" t="s">
        <v>4342</v>
      </c>
      <c r="B7868" t="s">
        <v>4909</v>
      </c>
      <c r="C7868" t="s">
        <v>4909</v>
      </c>
      <c r="D7868" t="s">
        <v>4909</v>
      </c>
      <c r="E7868" t="s">
        <v>4909</v>
      </c>
      <c r="F7868" t="s">
        <v>4909</v>
      </c>
      <c r="G7868" t="s">
        <v>4909</v>
      </c>
      <c r="H7868" t="s">
        <v>4909</v>
      </c>
      <c r="I7868" t="s">
        <v>4909</v>
      </c>
      <c r="J7868" t="s">
        <v>4909</v>
      </c>
      <c r="K7868" t="s">
        <v>4909</v>
      </c>
    </row>
    <row r="7869" spans="1:11" x14ac:dyDescent="0.2">
      <c r="A7869" t="s">
        <v>4343</v>
      </c>
      <c r="B7869" t="s">
        <v>4909</v>
      </c>
      <c r="C7869" t="s">
        <v>4909</v>
      </c>
      <c r="D7869" t="s">
        <v>4909</v>
      </c>
      <c r="E7869" t="s">
        <v>4909</v>
      </c>
      <c r="F7869" t="s">
        <v>4909</v>
      </c>
      <c r="G7869" t="s">
        <v>4909</v>
      </c>
      <c r="H7869" t="s">
        <v>4909</v>
      </c>
      <c r="I7869" t="s">
        <v>4909</v>
      </c>
      <c r="J7869" t="s">
        <v>4909</v>
      </c>
      <c r="K7869" t="s">
        <v>4909</v>
      </c>
    </row>
    <row r="7870" spans="1:11" x14ac:dyDescent="0.2">
      <c r="A7870" t="s">
        <v>1728</v>
      </c>
      <c r="B7870" t="s">
        <v>4909</v>
      </c>
      <c r="C7870" t="s">
        <v>4909</v>
      </c>
      <c r="D7870" t="s">
        <v>4909</v>
      </c>
      <c r="E7870" t="s">
        <v>4909</v>
      </c>
      <c r="F7870" t="s">
        <v>4909</v>
      </c>
      <c r="G7870" t="s">
        <v>4909</v>
      </c>
      <c r="H7870" t="s">
        <v>4909</v>
      </c>
      <c r="I7870" t="s">
        <v>4909</v>
      </c>
      <c r="J7870" t="s">
        <v>4909</v>
      </c>
      <c r="K7870" t="s">
        <v>4909</v>
      </c>
    </row>
    <row r="7871" spans="1:11" x14ac:dyDescent="0.2">
      <c r="A7871" t="s">
        <v>1730</v>
      </c>
      <c r="B7871" s="88">
        <v>7.0000000000000001E-3</v>
      </c>
      <c r="C7871" t="s">
        <v>4909</v>
      </c>
      <c r="D7871" s="88">
        <v>1E-3</v>
      </c>
      <c r="E7871" s="88">
        <v>6.0000000000000001E-3</v>
      </c>
      <c r="F7871" s="88">
        <v>7.0000000000000001E-3</v>
      </c>
      <c r="G7871" t="s">
        <v>4909</v>
      </c>
      <c r="H7871" t="s">
        <v>4909</v>
      </c>
      <c r="I7871" t="s">
        <v>4909</v>
      </c>
      <c r="J7871" s="88">
        <v>3.0000000000000001E-3</v>
      </c>
      <c r="K7871" t="s">
        <v>4909</v>
      </c>
    </row>
    <row r="7872" spans="1:11" x14ac:dyDescent="0.2">
      <c r="A7872" t="s">
        <v>1733</v>
      </c>
      <c r="B7872" t="s">
        <v>4909</v>
      </c>
      <c r="C7872" t="s">
        <v>4909</v>
      </c>
      <c r="D7872" t="s">
        <v>4909</v>
      </c>
      <c r="E7872" t="s">
        <v>4909</v>
      </c>
      <c r="F7872" t="s">
        <v>4909</v>
      </c>
      <c r="G7872" t="s">
        <v>4909</v>
      </c>
      <c r="H7872" t="s">
        <v>4909</v>
      </c>
      <c r="I7872" t="s">
        <v>4909</v>
      </c>
      <c r="J7872" t="s">
        <v>4909</v>
      </c>
      <c r="K7872" t="s">
        <v>4909</v>
      </c>
    </row>
    <row r="7873" spans="1:11" x14ac:dyDescent="0.2">
      <c r="A7873" t="s">
        <v>1738</v>
      </c>
      <c r="B7873" t="s">
        <v>4909</v>
      </c>
      <c r="C7873" t="s">
        <v>4909</v>
      </c>
      <c r="D7873" t="s">
        <v>4909</v>
      </c>
      <c r="E7873" t="s">
        <v>4909</v>
      </c>
      <c r="F7873" t="s">
        <v>4909</v>
      </c>
      <c r="G7873" t="s">
        <v>4909</v>
      </c>
      <c r="H7873" t="s">
        <v>4909</v>
      </c>
      <c r="I7873" t="s">
        <v>4909</v>
      </c>
      <c r="J7873" t="s">
        <v>4909</v>
      </c>
      <c r="K7873" t="s">
        <v>4909</v>
      </c>
    </row>
    <row r="7874" spans="1:11" x14ac:dyDescent="0.2">
      <c r="A7874" t="s">
        <v>1744</v>
      </c>
      <c r="B7874" t="s">
        <v>4909</v>
      </c>
      <c r="C7874" t="s">
        <v>4909</v>
      </c>
      <c r="D7874" t="s">
        <v>4909</v>
      </c>
      <c r="E7874" t="s">
        <v>4909</v>
      </c>
      <c r="F7874" t="s">
        <v>4909</v>
      </c>
      <c r="G7874" t="s">
        <v>4909</v>
      </c>
      <c r="H7874" t="s">
        <v>4909</v>
      </c>
      <c r="I7874" t="s">
        <v>4909</v>
      </c>
      <c r="J7874" t="s">
        <v>4909</v>
      </c>
      <c r="K7874" t="s">
        <v>4909</v>
      </c>
    </row>
    <row r="7875" spans="1:11" x14ac:dyDescent="0.2">
      <c r="A7875" t="s">
        <v>1747</v>
      </c>
      <c r="B7875" t="s">
        <v>4909</v>
      </c>
      <c r="C7875" t="s">
        <v>4909</v>
      </c>
      <c r="D7875" t="s">
        <v>4909</v>
      </c>
      <c r="E7875" t="s">
        <v>4909</v>
      </c>
      <c r="F7875" t="s">
        <v>4909</v>
      </c>
      <c r="G7875" t="s">
        <v>4909</v>
      </c>
      <c r="H7875" t="s">
        <v>4909</v>
      </c>
      <c r="I7875" t="s">
        <v>4909</v>
      </c>
      <c r="J7875" t="s">
        <v>4909</v>
      </c>
      <c r="K7875" t="s">
        <v>4909</v>
      </c>
    </row>
    <row r="7876" spans="1:11" x14ac:dyDescent="0.2">
      <c r="A7876" t="s">
        <v>1751</v>
      </c>
      <c r="B7876" t="s">
        <v>4909</v>
      </c>
      <c r="C7876" t="s">
        <v>4909</v>
      </c>
      <c r="D7876" t="s">
        <v>4909</v>
      </c>
      <c r="E7876" t="s">
        <v>4909</v>
      </c>
      <c r="F7876" t="s">
        <v>4909</v>
      </c>
      <c r="G7876" t="s">
        <v>4909</v>
      </c>
      <c r="H7876" t="s">
        <v>4909</v>
      </c>
      <c r="I7876" t="s">
        <v>4909</v>
      </c>
      <c r="J7876" t="s">
        <v>4909</v>
      </c>
      <c r="K7876" t="s">
        <v>4909</v>
      </c>
    </row>
    <row r="7877" spans="1:11" x14ac:dyDescent="0.2">
      <c r="A7877" t="s">
        <v>1755</v>
      </c>
      <c r="B7877" s="88">
        <v>0</v>
      </c>
      <c r="C7877" t="s">
        <v>4909</v>
      </c>
      <c r="D7877" t="s">
        <v>4909</v>
      </c>
      <c r="E7877" t="s">
        <v>4909</v>
      </c>
      <c r="F7877" t="s">
        <v>4909</v>
      </c>
      <c r="G7877" t="s">
        <v>4909</v>
      </c>
      <c r="H7877" t="s">
        <v>4909</v>
      </c>
      <c r="I7877" t="s">
        <v>4909</v>
      </c>
      <c r="J7877" s="88">
        <v>0</v>
      </c>
      <c r="K7877" t="s">
        <v>4909</v>
      </c>
    </row>
    <row r="7878" spans="1:11" x14ac:dyDescent="0.2">
      <c r="A7878" t="s">
        <v>1757</v>
      </c>
      <c r="B7878" s="88">
        <v>0</v>
      </c>
      <c r="C7878" t="s">
        <v>4909</v>
      </c>
      <c r="D7878" t="s">
        <v>4909</v>
      </c>
      <c r="E7878" s="88">
        <v>0</v>
      </c>
      <c r="F7878" t="s">
        <v>4909</v>
      </c>
      <c r="G7878" t="s">
        <v>4909</v>
      </c>
      <c r="H7878" t="s">
        <v>4909</v>
      </c>
      <c r="I7878" t="s">
        <v>4909</v>
      </c>
      <c r="J7878" s="88">
        <v>0</v>
      </c>
      <c r="K7878" t="s">
        <v>4909</v>
      </c>
    </row>
    <row r="7879" spans="1:11" x14ac:dyDescent="0.2">
      <c r="A7879" t="s">
        <v>1761</v>
      </c>
      <c r="B7879" t="s">
        <v>4909</v>
      </c>
      <c r="C7879" t="s">
        <v>4909</v>
      </c>
      <c r="D7879" t="s">
        <v>4909</v>
      </c>
      <c r="E7879" t="s">
        <v>4909</v>
      </c>
      <c r="F7879" t="s">
        <v>4909</v>
      </c>
      <c r="G7879" t="s">
        <v>4909</v>
      </c>
      <c r="H7879" t="s">
        <v>4909</v>
      </c>
      <c r="I7879" t="s">
        <v>4909</v>
      </c>
      <c r="J7879" t="s">
        <v>4909</v>
      </c>
      <c r="K7879" t="s">
        <v>4909</v>
      </c>
    </row>
    <row r="7880" spans="1:11" x14ac:dyDescent="0.2">
      <c r="A7880" t="s">
        <v>1764</v>
      </c>
      <c r="B7880" t="s">
        <v>4909</v>
      </c>
      <c r="C7880" t="s">
        <v>4909</v>
      </c>
      <c r="D7880" t="s">
        <v>4909</v>
      </c>
      <c r="E7880" t="s">
        <v>4909</v>
      </c>
      <c r="F7880" t="s">
        <v>4909</v>
      </c>
      <c r="G7880" t="s">
        <v>4909</v>
      </c>
      <c r="H7880" t="s">
        <v>4909</v>
      </c>
      <c r="I7880" t="s">
        <v>4909</v>
      </c>
      <c r="J7880" t="s">
        <v>4909</v>
      </c>
      <c r="K7880" t="s">
        <v>4909</v>
      </c>
    </row>
    <row r="7881" spans="1:11" x14ac:dyDescent="0.2">
      <c r="A7881" t="s">
        <v>1770</v>
      </c>
      <c r="B7881" s="88">
        <v>1E-3</v>
      </c>
      <c r="C7881" t="s">
        <v>4909</v>
      </c>
      <c r="D7881" s="88">
        <v>0</v>
      </c>
      <c r="E7881" s="88">
        <v>6.0000000000000001E-3</v>
      </c>
      <c r="F7881" s="88">
        <v>1E-3</v>
      </c>
      <c r="G7881" t="s">
        <v>4909</v>
      </c>
      <c r="H7881" t="s">
        <v>4909</v>
      </c>
      <c r="I7881" t="s">
        <v>4909</v>
      </c>
      <c r="J7881" s="88">
        <v>1E-3</v>
      </c>
      <c r="K7881" t="s">
        <v>4909</v>
      </c>
    </row>
    <row r="7882" spans="1:11" x14ac:dyDescent="0.2">
      <c r="A7882" t="s">
        <v>1772</v>
      </c>
      <c r="B7882" t="s">
        <v>4909</v>
      </c>
      <c r="C7882" t="s">
        <v>4909</v>
      </c>
      <c r="D7882" t="s">
        <v>4909</v>
      </c>
      <c r="E7882" s="88">
        <v>1E-3</v>
      </c>
      <c r="F7882" s="88">
        <v>1E-3</v>
      </c>
      <c r="G7882" t="s">
        <v>4909</v>
      </c>
      <c r="H7882" t="s">
        <v>4909</v>
      </c>
      <c r="I7882" t="s">
        <v>4909</v>
      </c>
      <c r="J7882" t="s">
        <v>4909</v>
      </c>
      <c r="K7882" t="s">
        <v>4909</v>
      </c>
    </row>
    <row r="7883" spans="1:11" x14ac:dyDescent="0.2">
      <c r="A7883" t="s">
        <v>1774</v>
      </c>
      <c r="B7883" s="88">
        <v>2E-3</v>
      </c>
      <c r="C7883" t="s">
        <v>4909</v>
      </c>
      <c r="D7883" t="s">
        <v>4909</v>
      </c>
      <c r="E7883" s="88">
        <v>1.4E-2</v>
      </c>
      <c r="F7883" t="s">
        <v>4909</v>
      </c>
      <c r="G7883" t="s">
        <v>4909</v>
      </c>
      <c r="H7883" t="s">
        <v>4909</v>
      </c>
      <c r="I7883" t="s">
        <v>4909</v>
      </c>
      <c r="J7883" t="s">
        <v>4909</v>
      </c>
      <c r="K7883" t="s">
        <v>4909</v>
      </c>
    </row>
    <row r="7884" spans="1:11" x14ac:dyDescent="0.2">
      <c r="A7884" t="s">
        <v>1777</v>
      </c>
      <c r="B7884" t="s">
        <v>4909</v>
      </c>
      <c r="C7884" t="s">
        <v>4909</v>
      </c>
      <c r="D7884" t="s">
        <v>4909</v>
      </c>
      <c r="E7884" t="s">
        <v>4909</v>
      </c>
      <c r="F7884" t="s">
        <v>4909</v>
      </c>
      <c r="G7884" t="s">
        <v>4909</v>
      </c>
      <c r="H7884" t="s">
        <v>4909</v>
      </c>
      <c r="I7884" t="s">
        <v>4909</v>
      </c>
      <c r="J7884" t="s">
        <v>4909</v>
      </c>
      <c r="K7884" t="s">
        <v>4909</v>
      </c>
    </row>
    <row r="7885" spans="1:11" x14ac:dyDescent="0.2">
      <c r="A7885" t="s">
        <v>1782</v>
      </c>
      <c r="B7885" t="s">
        <v>4909</v>
      </c>
      <c r="C7885" t="s">
        <v>4909</v>
      </c>
      <c r="D7885" t="s">
        <v>4909</v>
      </c>
      <c r="E7885" t="s">
        <v>4909</v>
      </c>
      <c r="F7885" t="s">
        <v>4909</v>
      </c>
      <c r="G7885" t="s">
        <v>4909</v>
      </c>
      <c r="H7885" t="s">
        <v>4909</v>
      </c>
      <c r="I7885" t="s">
        <v>4909</v>
      </c>
      <c r="J7885" t="s">
        <v>4909</v>
      </c>
      <c r="K7885" t="s">
        <v>4909</v>
      </c>
    </row>
    <row r="7886" spans="1:11" x14ac:dyDescent="0.2">
      <c r="A7886" t="s">
        <v>1274</v>
      </c>
      <c r="B7886" t="s">
        <v>4909</v>
      </c>
      <c r="C7886" t="s">
        <v>4909</v>
      </c>
      <c r="D7886" t="s">
        <v>4909</v>
      </c>
      <c r="E7886" t="s">
        <v>4909</v>
      </c>
      <c r="F7886" t="s">
        <v>4909</v>
      </c>
      <c r="G7886" t="s">
        <v>4909</v>
      </c>
      <c r="H7886" t="s">
        <v>4909</v>
      </c>
      <c r="I7886" t="s">
        <v>4909</v>
      </c>
      <c r="J7886" s="88">
        <v>0</v>
      </c>
      <c r="K7886" t="s">
        <v>4909</v>
      </c>
    </row>
    <row r="7887" spans="1:11" x14ac:dyDescent="0.2">
      <c r="A7887" t="s">
        <v>1277</v>
      </c>
      <c r="B7887" t="s">
        <v>4909</v>
      </c>
      <c r="C7887" t="s">
        <v>4909</v>
      </c>
      <c r="D7887" t="s">
        <v>4909</v>
      </c>
      <c r="E7887" t="s">
        <v>4909</v>
      </c>
      <c r="F7887" t="s">
        <v>4909</v>
      </c>
      <c r="G7887" t="s">
        <v>4909</v>
      </c>
      <c r="H7887" t="s">
        <v>4909</v>
      </c>
      <c r="I7887" t="s">
        <v>4909</v>
      </c>
      <c r="J7887" s="88">
        <v>0</v>
      </c>
      <c r="K7887" t="s">
        <v>4909</v>
      </c>
    </row>
    <row r="7888" spans="1:11" x14ac:dyDescent="0.2">
      <c r="A7888" t="s">
        <v>1798</v>
      </c>
      <c r="B7888" t="s">
        <v>4909</v>
      </c>
      <c r="C7888" t="s">
        <v>4909</v>
      </c>
      <c r="D7888" t="s">
        <v>4909</v>
      </c>
      <c r="E7888" t="s">
        <v>4909</v>
      </c>
      <c r="F7888" t="s">
        <v>4909</v>
      </c>
      <c r="G7888" t="s">
        <v>4909</v>
      </c>
      <c r="H7888" t="s">
        <v>4909</v>
      </c>
      <c r="I7888" t="s">
        <v>4909</v>
      </c>
      <c r="J7888" t="s">
        <v>4909</v>
      </c>
      <c r="K7888" t="s">
        <v>4909</v>
      </c>
    </row>
    <row r="7889" spans="1:11" x14ac:dyDescent="0.2">
      <c r="A7889" t="s">
        <v>1803</v>
      </c>
      <c r="B7889" t="s">
        <v>4909</v>
      </c>
      <c r="C7889" t="s">
        <v>4909</v>
      </c>
      <c r="D7889" t="s">
        <v>4909</v>
      </c>
      <c r="E7889" t="s">
        <v>4909</v>
      </c>
      <c r="F7889" t="s">
        <v>4909</v>
      </c>
      <c r="G7889" t="s">
        <v>4909</v>
      </c>
      <c r="H7889" t="s">
        <v>4909</v>
      </c>
      <c r="I7889" t="s">
        <v>4909</v>
      </c>
      <c r="J7889" t="s">
        <v>4909</v>
      </c>
      <c r="K7889" t="s">
        <v>4909</v>
      </c>
    </row>
    <row r="7890" spans="1:11" x14ac:dyDescent="0.2">
      <c r="A7890" t="s">
        <v>1808</v>
      </c>
      <c r="B7890" t="s">
        <v>4909</v>
      </c>
      <c r="C7890" t="s">
        <v>4909</v>
      </c>
      <c r="D7890" t="s">
        <v>4909</v>
      </c>
      <c r="E7890" t="s">
        <v>4909</v>
      </c>
      <c r="F7890" t="s">
        <v>4909</v>
      </c>
      <c r="G7890" t="s">
        <v>4909</v>
      </c>
      <c r="H7890" t="s">
        <v>4909</v>
      </c>
      <c r="I7890" t="s">
        <v>4909</v>
      </c>
      <c r="J7890" t="s">
        <v>4909</v>
      </c>
      <c r="K7890" t="s">
        <v>4909</v>
      </c>
    </row>
    <row r="7891" spans="1:11" x14ac:dyDescent="0.2">
      <c r="A7891" t="s">
        <v>1813</v>
      </c>
      <c r="B7891" t="s">
        <v>4909</v>
      </c>
      <c r="C7891" t="s">
        <v>4909</v>
      </c>
      <c r="D7891" t="s">
        <v>4909</v>
      </c>
      <c r="E7891" t="s">
        <v>4909</v>
      </c>
      <c r="F7891" t="s">
        <v>4909</v>
      </c>
      <c r="G7891" t="s">
        <v>4909</v>
      </c>
      <c r="H7891" t="s">
        <v>4909</v>
      </c>
      <c r="I7891" t="s">
        <v>4909</v>
      </c>
      <c r="J7891" t="s">
        <v>4909</v>
      </c>
      <c r="K7891" t="s">
        <v>4909</v>
      </c>
    </row>
    <row r="7892" spans="1:11" x14ac:dyDescent="0.2">
      <c r="A7892" t="s">
        <v>1819</v>
      </c>
      <c r="B7892" t="s">
        <v>4909</v>
      </c>
      <c r="C7892" t="s">
        <v>4909</v>
      </c>
      <c r="D7892" t="s">
        <v>4909</v>
      </c>
      <c r="E7892" t="s">
        <v>4909</v>
      </c>
      <c r="F7892" t="s">
        <v>4909</v>
      </c>
      <c r="G7892" t="s">
        <v>4909</v>
      </c>
      <c r="H7892" t="s">
        <v>4909</v>
      </c>
      <c r="I7892" t="s">
        <v>4909</v>
      </c>
      <c r="J7892" t="s">
        <v>4909</v>
      </c>
      <c r="K7892" t="s">
        <v>4909</v>
      </c>
    </row>
    <row r="7893" spans="1:11" x14ac:dyDescent="0.2">
      <c r="A7893" t="s">
        <v>1826</v>
      </c>
      <c r="B7893" t="s">
        <v>4909</v>
      </c>
      <c r="C7893" t="s">
        <v>4909</v>
      </c>
      <c r="D7893" t="s">
        <v>4909</v>
      </c>
      <c r="E7893" t="s">
        <v>4909</v>
      </c>
      <c r="F7893" t="s">
        <v>4909</v>
      </c>
      <c r="G7893" t="s">
        <v>4909</v>
      </c>
      <c r="H7893" t="s">
        <v>4909</v>
      </c>
      <c r="I7893" t="s">
        <v>4909</v>
      </c>
      <c r="J7893" t="s">
        <v>4909</v>
      </c>
      <c r="K7893" t="s">
        <v>4909</v>
      </c>
    </row>
    <row r="7894" spans="1:11" x14ac:dyDescent="0.2">
      <c r="A7894" t="s">
        <v>1830</v>
      </c>
      <c r="B7894" t="s">
        <v>4909</v>
      </c>
      <c r="C7894" t="s">
        <v>4909</v>
      </c>
      <c r="D7894" t="s">
        <v>4909</v>
      </c>
      <c r="E7894" t="s">
        <v>4909</v>
      </c>
      <c r="F7894" t="s">
        <v>4909</v>
      </c>
      <c r="G7894" t="s">
        <v>4909</v>
      </c>
      <c r="H7894" t="s">
        <v>4909</v>
      </c>
      <c r="I7894" t="s">
        <v>4909</v>
      </c>
      <c r="J7894" t="s">
        <v>4909</v>
      </c>
      <c r="K7894" t="s">
        <v>4909</v>
      </c>
    </row>
    <row r="7895" spans="1:11" x14ac:dyDescent="0.2">
      <c r="A7895" t="s">
        <v>1836</v>
      </c>
      <c r="B7895" t="s">
        <v>4909</v>
      </c>
      <c r="C7895" t="s">
        <v>4909</v>
      </c>
      <c r="D7895" t="s">
        <v>4909</v>
      </c>
      <c r="E7895" t="s">
        <v>4909</v>
      </c>
      <c r="F7895" t="s">
        <v>4909</v>
      </c>
      <c r="G7895" t="s">
        <v>4909</v>
      </c>
      <c r="H7895" t="s">
        <v>4909</v>
      </c>
      <c r="I7895" t="s">
        <v>4909</v>
      </c>
      <c r="J7895" t="s">
        <v>4909</v>
      </c>
      <c r="K7895" t="s">
        <v>4909</v>
      </c>
    </row>
    <row r="7896" spans="1:11" x14ac:dyDescent="0.2">
      <c r="A7896" t="s">
        <v>1841</v>
      </c>
      <c r="B7896" t="s">
        <v>4909</v>
      </c>
      <c r="C7896" t="s">
        <v>4909</v>
      </c>
      <c r="D7896" t="s">
        <v>4909</v>
      </c>
      <c r="E7896" t="s">
        <v>4909</v>
      </c>
      <c r="F7896" t="s">
        <v>4909</v>
      </c>
      <c r="G7896" t="s">
        <v>4909</v>
      </c>
      <c r="H7896" t="s">
        <v>4909</v>
      </c>
      <c r="I7896" t="s">
        <v>4909</v>
      </c>
      <c r="J7896" t="s">
        <v>4909</v>
      </c>
      <c r="K7896" t="s">
        <v>4909</v>
      </c>
    </row>
    <row r="7897" spans="1:11" x14ac:dyDescent="0.2">
      <c r="A7897" t="s">
        <v>1842</v>
      </c>
      <c r="B7897" t="s">
        <v>4909</v>
      </c>
      <c r="C7897" t="s">
        <v>4909</v>
      </c>
      <c r="D7897" t="s">
        <v>4909</v>
      </c>
      <c r="E7897" t="s">
        <v>4909</v>
      </c>
      <c r="F7897" t="s">
        <v>4909</v>
      </c>
      <c r="G7897" t="s">
        <v>4909</v>
      </c>
      <c r="H7897" t="s">
        <v>4909</v>
      </c>
      <c r="I7897" t="s">
        <v>4909</v>
      </c>
      <c r="J7897" t="s">
        <v>4909</v>
      </c>
      <c r="K7897" t="s">
        <v>4909</v>
      </c>
    </row>
    <row r="7898" spans="1:11" x14ac:dyDescent="0.2">
      <c r="A7898" t="s">
        <v>1843</v>
      </c>
      <c r="B7898" t="s">
        <v>4909</v>
      </c>
      <c r="C7898" t="s">
        <v>4909</v>
      </c>
      <c r="D7898" t="s">
        <v>4909</v>
      </c>
      <c r="E7898" t="s">
        <v>4909</v>
      </c>
      <c r="F7898" t="s">
        <v>4909</v>
      </c>
      <c r="G7898" t="s">
        <v>4909</v>
      </c>
      <c r="H7898" t="s">
        <v>4909</v>
      </c>
      <c r="I7898" t="s">
        <v>4909</v>
      </c>
      <c r="J7898" t="s">
        <v>4909</v>
      </c>
      <c r="K7898" t="s">
        <v>4909</v>
      </c>
    </row>
    <row r="7899" spans="1:11" x14ac:dyDescent="0.2">
      <c r="A7899" t="s">
        <v>1846</v>
      </c>
      <c r="B7899" t="s">
        <v>4909</v>
      </c>
      <c r="C7899" t="s">
        <v>4909</v>
      </c>
      <c r="D7899" t="s">
        <v>4909</v>
      </c>
      <c r="E7899" t="s">
        <v>4909</v>
      </c>
      <c r="F7899" t="s">
        <v>4909</v>
      </c>
      <c r="G7899" t="s">
        <v>4909</v>
      </c>
      <c r="H7899" t="s">
        <v>4909</v>
      </c>
      <c r="I7899" t="s">
        <v>4909</v>
      </c>
      <c r="J7899" t="s">
        <v>4909</v>
      </c>
      <c r="K7899" t="s">
        <v>4909</v>
      </c>
    </row>
    <row r="7900" spans="1:11" x14ac:dyDescent="0.2">
      <c r="A7900" t="s">
        <v>1851</v>
      </c>
      <c r="B7900" t="s">
        <v>4909</v>
      </c>
      <c r="C7900" t="s">
        <v>4909</v>
      </c>
      <c r="D7900" t="s">
        <v>4909</v>
      </c>
      <c r="E7900" t="s">
        <v>4909</v>
      </c>
      <c r="F7900" t="s">
        <v>4909</v>
      </c>
      <c r="G7900" t="s">
        <v>4909</v>
      </c>
      <c r="H7900" t="s">
        <v>4909</v>
      </c>
      <c r="I7900" t="s">
        <v>4909</v>
      </c>
      <c r="J7900" s="88">
        <v>0</v>
      </c>
      <c r="K7900" t="s">
        <v>4909</v>
      </c>
    </row>
    <row r="7901" spans="1:11" x14ac:dyDescent="0.2">
      <c r="A7901" t="s">
        <v>1857</v>
      </c>
      <c r="B7901" t="s">
        <v>4909</v>
      </c>
      <c r="C7901" t="s">
        <v>4909</v>
      </c>
      <c r="D7901" t="s">
        <v>4909</v>
      </c>
      <c r="E7901" t="s">
        <v>4909</v>
      </c>
      <c r="F7901" t="s">
        <v>4909</v>
      </c>
      <c r="G7901" t="s">
        <v>4909</v>
      </c>
      <c r="H7901" t="s">
        <v>4909</v>
      </c>
      <c r="I7901" t="s">
        <v>4909</v>
      </c>
      <c r="J7901" t="s">
        <v>4909</v>
      </c>
      <c r="K7901" t="s">
        <v>4909</v>
      </c>
    </row>
    <row r="7902" spans="1:11" x14ac:dyDescent="0.2">
      <c r="A7902" t="s">
        <v>1862</v>
      </c>
      <c r="B7902" t="s">
        <v>4909</v>
      </c>
      <c r="C7902" t="s">
        <v>4909</v>
      </c>
      <c r="D7902" t="s">
        <v>4909</v>
      </c>
      <c r="E7902" t="s">
        <v>4909</v>
      </c>
      <c r="F7902" t="s">
        <v>4909</v>
      </c>
      <c r="G7902" t="s">
        <v>4909</v>
      </c>
      <c r="H7902" t="s">
        <v>4909</v>
      </c>
      <c r="I7902" t="s">
        <v>4909</v>
      </c>
      <c r="J7902" t="s">
        <v>4909</v>
      </c>
      <c r="K7902" t="s">
        <v>4909</v>
      </c>
    </row>
    <row r="7903" spans="1:11" x14ac:dyDescent="0.2">
      <c r="A7903" t="s">
        <v>1867</v>
      </c>
      <c r="B7903" t="s">
        <v>4909</v>
      </c>
      <c r="C7903" t="s">
        <v>4909</v>
      </c>
      <c r="D7903" t="s">
        <v>4909</v>
      </c>
      <c r="E7903" t="s">
        <v>4909</v>
      </c>
      <c r="F7903" t="s">
        <v>4909</v>
      </c>
      <c r="G7903" t="s">
        <v>4909</v>
      </c>
      <c r="H7903" t="s">
        <v>4909</v>
      </c>
      <c r="I7903" t="s">
        <v>4909</v>
      </c>
      <c r="J7903" t="s">
        <v>4909</v>
      </c>
      <c r="K7903" t="s">
        <v>4909</v>
      </c>
    </row>
    <row r="7904" spans="1:11" x14ac:dyDescent="0.2">
      <c r="A7904" t="s">
        <v>1870</v>
      </c>
      <c r="B7904" t="s">
        <v>4909</v>
      </c>
      <c r="C7904" t="s">
        <v>4909</v>
      </c>
      <c r="D7904" t="s">
        <v>4909</v>
      </c>
      <c r="E7904" t="s">
        <v>4909</v>
      </c>
      <c r="F7904" t="s">
        <v>4909</v>
      </c>
      <c r="G7904" t="s">
        <v>4909</v>
      </c>
      <c r="H7904" t="s">
        <v>4909</v>
      </c>
      <c r="I7904" t="s">
        <v>4909</v>
      </c>
      <c r="J7904" t="s">
        <v>4909</v>
      </c>
      <c r="K7904" t="s">
        <v>4909</v>
      </c>
    </row>
    <row r="7905" spans="1:11" x14ac:dyDescent="0.2">
      <c r="A7905" t="s">
        <v>1874</v>
      </c>
      <c r="B7905" t="s">
        <v>4909</v>
      </c>
      <c r="C7905" t="s">
        <v>4909</v>
      </c>
      <c r="D7905" t="s">
        <v>4909</v>
      </c>
      <c r="E7905" t="s">
        <v>4909</v>
      </c>
      <c r="F7905" t="s">
        <v>4909</v>
      </c>
      <c r="G7905" t="s">
        <v>4909</v>
      </c>
      <c r="H7905" t="s">
        <v>4909</v>
      </c>
      <c r="I7905" t="s">
        <v>4909</v>
      </c>
      <c r="J7905" t="s">
        <v>4909</v>
      </c>
      <c r="K7905" t="s">
        <v>4909</v>
      </c>
    </row>
    <row r="7906" spans="1:11" x14ac:dyDescent="0.2">
      <c r="A7906" t="s">
        <v>1876</v>
      </c>
      <c r="B7906" t="s">
        <v>4909</v>
      </c>
      <c r="C7906" t="s">
        <v>4909</v>
      </c>
      <c r="D7906" t="s">
        <v>4909</v>
      </c>
      <c r="E7906" t="s">
        <v>4909</v>
      </c>
      <c r="F7906" t="s">
        <v>4909</v>
      </c>
      <c r="G7906" t="s">
        <v>4909</v>
      </c>
      <c r="H7906" t="s">
        <v>4909</v>
      </c>
      <c r="I7906" t="s">
        <v>4909</v>
      </c>
      <c r="J7906" t="s">
        <v>4909</v>
      </c>
      <c r="K7906" t="s">
        <v>4909</v>
      </c>
    </row>
    <row r="7907" spans="1:11" x14ac:dyDescent="0.2">
      <c r="A7907" t="s">
        <v>1881</v>
      </c>
      <c r="B7907" t="s">
        <v>4909</v>
      </c>
      <c r="C7907" t="s">
        <v>4909</v>
      </c>
      <c r="D7907" t="s">
        <v>4909</v>
      </c>
      <c r="E7907" t="s">
        <v>4909</v>
      </c>
      <c r="F7907" t="s">
        <v>4909</v>
      </c>
      <c r="G7907" t="s">
        <v>4909</v>
      </c>
      <c r="H7907" t="s">
        <v>4909</v>
      </c>
      <c r="I7907" t="s">
        <v>4909</v>
      </c>
      <c r="J7907" t="s">
        <v>4909</v>
      </c>
      <c r="K7907" t="s">
        <v>4909</v>
      </c>
    </row>
    <row r="7908" spans="1:11" x14ac:dyDescent="0.2">
      <c r="A7908" t="s">
        <v>1885</v>
      </c>
      <c r="B7908" t="s">
        <v>4909</v>
      </c>
      <c r="C7908" t="s">
        <v>4909</v>
      </c>
      <c r="D7908" t="s">
        <v>4909</v>
      </c>
      <c r="E7908" t="s">
        <v>4909</v>
      </c>
      <c r="F7908" t="s">
        <v>4909</v>
      </c>
      <c r="G7908" t="s">
        <v>4909</v>
      </c>
      <c r="H7908" t="s">
        <v>4909</v>
      </c>
      <c r="I7908" t="s">
        <v>4909</v>
      </c>
      <c r="J7908" s="88">
        <v>0</v>
      </c>
      <c r="K7908" t="s">
        <v>4909</v>
      </c>
    </row>
    <row r="7909" spans="1:11" x14ac:dyDescent="0.2">
      <c r="A7909" t="s">
        <v>1887</v>
      </c>
      <c r="B7909" t="s">
        <v>4909</v>
      </c>
      <c r="C7909" t="s">
        <v>4909</v>
      </c>
      <c r="D7909" t="s">
        <v>4909</v>
      </c>
      <c r="E7909" t="s">
        <v>4909</v>
      </c>
      <c r="F7909" t="s">
        <v>4909</v>
      </c>
      <c r="G7909" t="s">
        <v>4909</v>
      </c>
      <c r="H7909" t="s">
        <v>4909</v>
      </c>
      <c r="I7909" t="s">
        <v>4909</v>
      </c>
      <c r="J7909" t="s">
        <v>4909</v>
      </c>
      <c r="K7909" t="s">
        <v>4909</v>
      </c>
    </row>
    <row r="7910" spans="1:11" x14ac:dyDescent="0.2">
      <c r="A7910" t="s">
        <v>1893</v>
      </c>
      <c r="B7910" t="s">
        <v>4909</v>
      </c>
      <c r="C7910" t="s">
        <v>4909</v>
      </c>
      <c r="D7910" t="s">
        <v>4909</v>
      </c>
      <c r="E7910" t="s">
        <v>4909</v>
      </c>
      <c r="F7910" t="s">
        <v>4909</v>
      </c>
      <c r="G7910" t="s">
        <v>4909</v>
      </c>
      <c r="H7910" t="s">
        <v>4909</v>
      </c>
      <c r="I7910" t="s">
        <v>4909</v>
      </c>
      <c r="J7910" s="88">
        <v>0</v>
      </c>
      <c r="K7910" t="s">
        <v>4909</v>
      </c>
    </row>
    <row r="7911" spans="1:11" x14ac:dyDescent="0.2">
      <c r="A7911" t="s">
        <v>1899</v>
      </c>
      <c r="B7911" t="s">
        <v>4909</v>
      </c>
      <c r="C7911" t="s">
        <v>4909</v>
      </c>
      <c r="D7911" t="s">
        <v>4909</v>
      </c>
      <c r="E7911" t="s">
        <v>4909</v>
      </c>
      <c r="F7911" t="s">
        <v>4909</v>
      </c>
      <c r="G7911" t="s">
        <v>4909</v>
      </c>
      <c r="H7911" t="s">
        <v>4909</v>
      </c>
      <c r="I7911" t="s">
        <v>4909</v>
      </c>
      <c r="J7911" t="s">
        <v>4909</v>
      </c>
      <c r="K7911" t="s">
        <v>4909</v>
      </c>
    </row>
    <row r="7912" spans="1:11" x14ac:dyDescent="0.2">
      <c r="A7912" t="s">
        <v>1906</v>
      </c>
      <c r="B7912" t="s">
        <v>4909</v>
      </c>
      <c r="C7912" t="s">
        <v>4909</v>
      </c>
      <c r="D7912" t="s">
        <v>4909</v>
      </c>
      <c r="E7912" t="s">
        <v>4909</v>
      </c>
      <c r="F7912" t="s">
        <v>4909</v>
      </c>
      <c r="G7912" t="s">
        <v>4909</v>
      </c>
      <c r="H7912" t="s">
        <v>4909</v>
      </c>
      <c r="I7912" t="s">
        <v>4909</v>
      </c>
      <c r="J7912" t="s">
        <v>4909</v>
      </c>
      <c r="K7912" t="s">
        <v>4909</v>
      </c>
    </row>
    <row r="7913" spans="1:11" x14ac:dyDescent="0.2">
      <c r="A7913" t="s">
        <v>1911</v>
      </c>
      <c r="B7913" t="s">
        <v>4909</v>
      </c>
      <c r="C7913" t="s">
        <v>4909</v>
      </c>
      <c r="D7913" t="s">
        <v>4909</v>
      </c>
      <c r="E7913" t="s">
        <v>4909</v>
      </c>
      <c r="F7913" t="s">
        <v>4909</v>
      </c>
      <c r="G7913" t="s">
        <v>4909</v>
      </c>
      <c r="H7913" t="s">
        <v>4909</v>
      </c>
      <c r="I7913" t="s">
        <v>4909</v>
      </c>
      <c r="J7913" t="s">
        <v>4909</v>
      </c>
      <c r="K7913" t="s">
        <v>4909</v>
      </c>
    </row>
    <row r="7914" spans="1:11" x14ac:dyDescent="0.2">
      <c r="A7914" t="s">
        <v>1917</v>
      </c>
      <c r="B7914" t="s">
        <v>4909</v>
      </c>
      <c r="C7914" t="s">
        <v>4909</v>
      </c>
      <c r="D7914" t="s">
        <v>4909</v>
      </c>
      <c r="E7914" t="s">
        <v>4909</v>
      </c>
      <c r="F7914" t="s">
        <v>4909</v>
      </c>
      <c r="G7914" t="s">
        <v>4909</v>
      </c>
      <c r="H7914" t="s">
        <v>4909</v>
      </c>
      <c r="I7914" t="s">
        <v>4909</v>
      </c>
      <c r="J7914" t="s">
        <v>4909</v>
      </c>
      <c r="K7914" t="s">
        <v>4909</v>
      </c>
    </row>
    <row r="7915" spans="1:11" x14ac:dyDescent="0.2">
      <c r="A7915" t="s">
        <v>1922</v>
      </c>
      <c r="B7915" t="s">
        <v>4909</v>
      </c>
      <c r="C7915" t="s">
        <v>4909</v>
      </c>
      <c r="D7915" t="s">
        <v>4909</v>
      </c>
      <c r="E7915" t="s">
        <v>4909</v>
      </c>
      <c r="F7915" t="s">
        <v>4909</v>
      </c>
      <c r="G7915" t="s">
        <v>4909</v>
      </c>
      <c r="H7915" t="s">
        <v>4909</v>
      </c>
      <c r="I7915" t="s">
        <v>4909</v>
      </c>
      <c r="J7915" t="s">
        <v>4909</v>
      </c>
      <c r="K7915" t="s">
        <v>4909</v>
      </c>
    </row>
    <row r="7916" spans="1:11" x14ac:dyDescent="0.2">
      <c r="A7916" t="s">
        <v>1928</v>
      </c>
      <c r="B7916" t="s">
        <v>4909</v>
      </c>
      <c r="C7916" t="s">
        <v>4909</v>
      </c>
      <c r="D7916" t="s">
        <v>4909</v>
      </c>
      <c r="E7916" t="s">
        <v>4909</v>
      </c>
      <c r="F7916" t="s">
        <v>4909</v>
      </c>
      <c r="G7916" t="s">
        <v>4909</v>
      </c>
      <c r="H7916" t="s">
        <v>4909</v>
      </c>
      <c r="I7916" t="s">
        <v>4909</v>
      </c>
      <c r="J7916" t="s">
        <v>4909</v>
      </c>
      <c r="K7916" t="s">
        <v>4909</v>
      </c>
    </row>
    <row r="7917" spans="1:11" x14ac:dyDescent="0.2">
      <c r="A7917" t="s">
        <v>1932</v>
      </c>
      <c r="B7917" t="s">
        <v>4909</v>
      </c>
      <c r="C7917" t="s">
        <v>4909</v>
      </c>
      <c r="D7917" t="s">
        <v>4909</v>
      </c>
      <c r="E7917" t="s">
        <v>4909</v>
      </c>
      <c r="F7917" t="s">
        <v>4909</v>
      </c>
      <c r="G7917" t="s">
        <v>4909</v>
      </c>
      <c r="H7917" t="s">
        <v>4909</v>
      </c>
      <c r="I7917" t="s">
        <v>4909</v>
      </c>
      <c r="J7917" t="s">
        <v>4909</v>
      </c>
      <c r="K7917" t="s">
        <v>4909</v>
      </c>
    </row>
    <row r="7918" spans="1:11" x14ac:dyDescent="0.2">
      <c r="A7918" t="s">
        <v>1938</v>
      </c>
      <c r="B7918" t="s">
        <v>4909</v>
      </c>
      <c r="C7918" t="s">
        <v>4909</v>
      </c>
      <c r="D7918" t="s">
        <v>4909</v>
      </c>
      <c r="E7918" t="s">
        <v>4909</v>
      </c>
      <c r="F7918" t="s">
        <v>4909</v>
      </c>
      <c r="G7918" t="s">
        <v>4909</v>
      </c>
      <c r="H7918" t="s">
        <v>4909</v>
      </c>
      <c r="I7918" t="s">
        <v>4909</v>
      </c>
      <c r="J7918" t="s">
        <v>4909</v>
      </c>
      <c r="K7918" t="s">
        <v>4909</v>
      </c>
    </row>
    <row r="7919" spans="1:11" x14ac:dyDescent="0.2">
      <c r="A7919" t="s">
        <v>1944</v>
      </c>
      <c r="B7919" t="s">
        <v>4909</v>
      </c>
      <c r="C7919" t="s">
        <v>4909</v>
      </c>
      <c r="D7919" t="s">
        <v>4909</v>
      </c>
      <c r="E7919" t="s">
        <v>4909</v>
      </c>
      <c r="F7919" s="88">
        <v>1E-3</v>
      </c>
      <c r="G7919" t="s">
        <v>4909</v>
      </c>
      <c r="H7919" t="s">
        <v>4909</v>
      </c>
      <c r="I7919" t="s">
        <v>4909</v>
      </c>
      <c r="J7919" t="s">
        <v>4909</v>
      </c>
      <c r="K7919" t="s">
        <v>4909</v>
      </c>
    </row>
    <row r="7920" spans="1:11" x14ac:dyDescent="0.2">
      <c r="A7920" t="s">
        <v>1947</v>
      </c>
      <c r="B7920" t="s">
        <v>4909</v>
      </c>
      <c r="C7920" t="s">
        <v>4909</v>
      </c>
      <c r="D7920" t="s">
        <v>4909</v>
      </c>
      <c r="E7920" t="s">
        <v>4909</v>
      </c>
      <c r="F7920" t="s">
        <v>4909</v>
      </c>
      <c r="G7920" t="s">
        <v>4909</v>
      </c>
      <c r="H7920" t="s">
        <v>4909</v>
      </c>
      <c r="I7920" t="s">
        <v>4909</v>
      </c>
      <c r="J7920" t="s">
        <v>4909</v>
      </c>
      <c r="K7920" t="s">
        <v>4909</v>
      </c>
    </row>
    <row r="7921" spans="1:11" x14ac:dyDescent="0.2">
      <c r="A7921" t="s">
        <v>1953</v>
      </c>
      <c r="B7921" t="s">
        <v>4909</v>
      </c>
      <c r="C7921" t="s">
        <v>4909</v>
      </c>
      <c r="D7921" t="s">
        <v>4909</v>
      </c>
      <c r="E7921" t="s">
        <v>4909</v>
      </c>
      <c r="F7921" t="s">
        <v>4909</v>
      </c>
      <c r="G7921" t="s">
        <v>4909</v>
      </c>
      <c r="H7921" t="s">
        <v>4909</v>
      </c>
      <c r="I7921" t="s">
        <v>4909</v>
      </c>
      <c r="J7921" t="s">
        <v>4909</v>
      </c>
      <c r="K7921" t="s">
        <v>4909</v>
      </c>
    </row>
    <row r="7922" spans="1:11" x14ac:dyDescent="0.2">
      <c r="A7922" t="s">
        <v>1958</v>
      </c>
      <c r="B7922" t="s">
        <v>4909</v>
      </c>
      <c r="C7922" t="s">
        <v>4909</v>
      </c>
      <c r="D7922" t="s">
        <v>4909</v>
      </c>
      <c r="E7922" t="s">
        <v>4909</v>
      </c>
      <c r="F7922" t="s">
        <v>4909</v>
      </c>
      <c r="G7922" t="s">
        <v>4909</v>
      </c>
      <c r="H7922" t="s">
        <v>4909</v>
      </c>
      <c r="I7922" t="s">
        <v>4909</v>
      </c>
      <c r="J7922" t="s">
        <v>4909</v>
      </c>
      <c r="K7922" t="s">
        <v>4909</v>
      </c>
    </row>
    <row r="7923" spans="1:11" x14ac:dyDescent="0.2">
      <c r="A7923" t="s">
        <v>1964</v>
      </c>
      <c r="B7923" t="s">
        <v>4909</v>
      </c>
      <c r="C7923" t="s">
        <v>4909</v>
      </c>
      <c r="D7923" t="s">
        <v>4909</v>
      </c>
      <c r="E7923" t="s">
        <v>4909</v>
      </c>
      <c r="F7923" t="s">
        <v>4909</v>
      </c>
      <c r="G7923" t="s">
        <v>4909</v>
      </c>
      <c r="H7923" t="s">
        <v>4909</v>
      </c>
      <c r="I7923" t="s">
        <v>4909</v>
      </c>
      <c r="J7923" t="s">
        <v>4909</v>
      </c>
      <c r="K7923" t="s">
        <v>4909</v>
      </c>
    </row>
    <row r="7924" spans="1:11" x14ac:dyDescent="0.2">
      <c r="A7924" t="s">
        <v>1973</v>
      </c>
      <c r="B7924" t="s">
        <v>4909</v>
      </c>
      <c r="C7924" t="s">
        <v>4909</v>
      </c>
      <c r="D7924" t="s">
        <v>4909</v>
      </c>
      <c r="E7924" t="s">
        <v>4909</v>
      </c>
      <c r="F7924" t="s">
        <v>4909</v>
      </c>
      <c r="G7924" t="s">
        <v>4909</v>
      </c>
      <c r="H7924" t="s">
        <v>4909</v>
      </c>
      <c r="I7924" t="s">
        <v>4909</v>
      </c>
      <c r="J7924" t="s">
        <v>4909</v>
      </c>
      <c r="K7924" t="s">
        <v>4909</v>
      </c>
    </row>
    <row r="7925" spans="1:11" x14ac:dyDescent="0.2">
      <c r="A7925" t="s">
        <v>1978</v>
      </c>
      <c r="B7925" t="s">
        <v>4909</v>
      </c>
      <c r="C7925" t="s">
        <v>4909</v>
      </c>
      <c r="D7925" t="s">
        <v>4909</v>
      </c>
      <c r="E7925" t="s">
        <v>4909</v>
      </c>
      <c r="F7925" t="s">
        <v>4909</v>
      </c>
      <c r="G7925" t="s">
        <v>4909</v>
      </c>
      <c r="H7925" t="s">
        <v>4909</v>
      </c>
      <c r="I7925" t="s">
        <v>4909</v>
      </c>
      <c r="J7925" t="s">
        <v>4909</v>
      </c>
      <c r="K7925" t="s">
        <v>4909</v>
      </c>
    </row>
    <row r="7926" spans="1:11" x14ac:dyDescent="0.2">
      <c r="A7926" t="s">
        <v>1983</v>
      </c>
      <c r="B7926" t="s">
        <v>4909</v>
      </c>
      <c r="C7926" t="s">
        <v>4909</v>
      </c>
      <c r="D7926" t="s">
        <v>4909</v>
      </c>
      <c r="E7926" t="s">
        <v>4909</v>
      </c>
      <c r="F7926" t="s">
        <v>4909</v>
      </c>
      <c r="G7926" t="s">
        <v>4909</v>
      </c>
      <c r="H7926" t="s">
        <v>4909</v>
      </c>
      <c r="I7926" t="s">
        <v>4909</v>
      </c>
      <c r="J7926" t="s">
        <v>4909</v>
      </c>
      <c r="K7926" t="s">
        <v>4909</v>
      </c>
    </row>
    <row r="7927" spans="1:11" x14ac:dyDescent="0.2">
      <c r="A7927" t="s">
        <v>1984</v>
      </c>
      <c r="B7927" t="s">
        <v>4909</v>
      </c>
      <c r="C7927" t="s">
        <v>4909</v>
      </c>
      <c r="D7927" t="s">
        <v>4909</v>
      </c>
      <c r="E7927" t="s">
        <v>4909</v>
      </c>
      <c r="F7927" t="s">
        <v>4909</v>
      </c>
      <c r="G7927" t="s">
        <v>4909</v>
      </c>
      <c r="H7927" t="s">
        <v>4909</v>
      </c>
      <c r="I7927" t="s">
        <v>4909</v>
      </c>
      <c r="J7927" t="s">
        <v>4909</v>
      </c>
      <c r="K7927" t="s">
        <v>4909</v>
      </c>
    </row>
    <row r="7928" spans="1:11" x14ac:dyDescent="0.2">
      <c r="A7928" t="s">
        <v>1990</v>
      </c>
      <c r="B7928" t="s">
        <v>4909</v>
      </c>
      <c r="C7928" t="s">
        <v>4909</v>
      </c>
      <c r="D7928" t="s">
        <v>4909</v>
      </c>
      <c r="E7928" t="s">
        <v>4909</v>
      </c>
      <c r="F7928" t="s">
        <v>4909</v>
      </c>
      <c r="G7928" t="s">
        <v>4909</v>
      </c>
      <c r="H7928" t="s">
        <v>4909</v>
      </c>
      <c r="I7928" t="s">
        <v>4909</v>
      </c>
      <c r="J7928" t="s">
        <v>4909</v>
      </c>
      <c r="K7928" t="s">
        <v>4909</v>
      </c>
    </row>
    <row r="7929" spans="1:11" x14ac:dyDescent="0.2">
      <c r="A7929" t="s">
        <v>1996</v>
      </c>
      <c r="B7929" t="s">
        <v>4909</v>
      </c>
      <c r="C7929" t="s">
        <v>4909</v>
      </c>
      <c r="D7929" t="s">
        <v>4909</v>
      </c>
      <c r="E7929" t="s">
        <v>4909</v>
      </c>
      <c r="F7929" t="s">
        <v>4909</v>
      </c>
      <c r="G7929" t="s">
        <v>4909</v>
      </c>
      <c r="H7929" t="s">
        <v>4909</v>
      </c>
      <c r="I7929" t="s">
        <v>4909</v>
      </c>
      <c r="J7929" t="s">
        <v>4909</v>
      </c>
      <c r="K7929" t="s">
        <v>4909</v>
      </c>
    </row>
    <row r="7930" spans="1:11" x14ac:dyDescent="0.2">
      <c r="A7930" t="s">
        <v>1998</v>
      </c>
      <c r="B7930" t="s">
        <v>4909</v>
      </c>
      <c r="C7930" t="s">
        <v>4909</v>
      </c>
      <c r="D7930" t="s">
        <v>4909</v>
      </c>
      <c r="E7930" t="s">
        <v>4909</v>
      </c>
      <c r="F7930" t="s">
        <v>4909</v>
      </c>
      <c r="G7930" t="s">
        <v>4909</v>
      </c>
      <c r="H7930" t="s">
        <v>4909</v>
      </c>
      <c r="I7930" t="s">
        <v>4909</v>
      </c>
      <c r="J7930" t="s">
        <v>4909</v>
      </c>
      <c r="K7930" t="s">
        <v>4909</v>
      </c>
    </row>
    <row r="7931" spans="1:11" x14ac:dyDescent="0.2">
      <c r="A7931" t="s">
        <v>1999</v>
      </c>
      <c r="B7931" t="s">
        <v>4909</v>
      </c>
      <c r="C7931" t="s">
        <v>4909</v>
      </c>
      <c r="D7931" t="s">
        <v>4909</v>
      </c>
      <c r="E7931" t="s">
        <v>4909</v>
      </c>
      <c r="F7931" t="s">
        <v>4909</v>
      </c>
      <c r="G7931" t="s">
        <v>4909</v>
      </c>
      <c r="H7931" t="s">
        <v>4909</v>
      </c>
      <c r="I7931" t="s">
        <v>4909</v>
      </c>
      <c r="J7931" t="s">
        <v>4909</v>
      </c>
      <c r="K7931" t="s">
        <v>4909</v>
      </c>
    </row>
    <row r="7932" spans="1:11" x14ac:dyDescent="0.2">
      <c r="A7932" t="s">
        <v>2004</v>
      </c>
      <c r="B7932" t="s">
        <v>4909</v>
      </c>
      <c r="C7932" t="s">
        <v>4909</v>
      </c>
      <c r="D7932" t="s">
        <v>4909</v>
      </c>
      <c r="E7932" t="s">
        <v>4909</v>
      </c>
      <c r="F7932" t="s">
        <v>4909</v>
      </c>
      <c r="G7932" t="s">
        <v>4909</v>
      </c>
      <c r="H7932" t="s">
        <v>4909</v>
      </c>
      <c r="I7932" t="s">
        <v>4909</v>
      </c>
      <c r="J7932" t="s">
        <v>4909</v>
      </c>
      <c r="K7932" t="s">
        <v>4909</v>
      </c>
    </row>
    <row r="7933" spans="1:11" x14ac:dyDescent="0.2">
      <c r="A7933" t="s">
        <v>2009</v>
      </c>
      <c r="B7933" t="s">
        <v>4909</v>
      </c>
      <c r="C7933" t="s">
        <v>4909</v>
      </c>
      <c r="D7933" t="s">
        <v>4909</v>
      </c>
      <c r="E7933" t="s">
        <v>4909</v>
      </c>
      <c r="F7933" t="s">
        <v>4909</v>
      </c>
      <c r="G7933" t="s">
        <v>4909</v>
      </c>
      <c r="H7933" t="s">
        <v>4909</v>
      </c>
      <c r="I7933" t="s">
        <v>4909</v>
      </c>
      <c r="J7933" t="s">
        <v>4909</v>
      </c>
      <c r="K7933" t="s">
        <v>4909</v>
      </c>
    </row>
    <row r="7934" spans="1:11" x14ac:dyDescent="0.2">
      <c r="A7934" t="s">
        <v>2014</v>
      </c>
      <c r="B7934" t="s">
        <v>4909</v>
      </c>
      <c r="C7934" t="s">
        <v>4909</v>
      </c>
      <c r="D7934" t="s">
        <v>4909</v>
      </c>
      <c r="E7934" t="s">
        <v>4909</v>
      </c>
      <c r="F7934" t="s">
        <v>4909</v>
      </c>
      <c r="G7934" t="s">
        <v>4909</v>
      </c>
      <c r="H7934" t="s">
        <v>4909</v>
      </c>
      <c r="I7934" t="s">
        <v>4909</v>
      </c>
      <c r="J7934" t="s">
        <v>4909</v>
      </c>
      <c r="K7934" t="s">
        <v>4909</v>
      </c>
    </row>
    <row r="7935" spans="1:11" x14ac:dyDescent="0.2">
      <c r="A7935" t="s">
        <v>2019</v>
      </c>
      <c r="B7935" t="s">
        <v>4909</v>
      </c>
      <c r="C7935" t="s">
        <v>4909</v>
      </c>
      <c r="D7935" t="s">
        <v>4909</v>
      </c>
      <c r="E7935" t="s">
        <v>4909</v>
      </c>
      <c r="F7935" t="s">
        <v>4909</v>
      </c>
      <c r="G7935" t="s">
        <v>4909</v>
      </c>
      <c r="H7935" t="s">
        <v>4909</v>
      </c>
      <c r="I7935" t="s">
        <v>4909</v>
      </c>
      <c r="J7935" t="s">
        <v>4909</v>
      </c>
      <c r="K7935" t="s">
        <v>4909</v>
      </c>
    </row>
    <row r="7936" spans="1:11" x14ac:dyDescent="0.2">
      <c r="A7936" t="s">
        <v>2023</v>
      </c>
      <c r="B7936" t="s">
        <v>4909</v>
      </c>
      <c r="C7936" t="s">
        <v>4909</v>
      </c>
      <c r="D7936" t="s">
        <v>4909</v>
      </c>
      <c r="E7936" t="s">
        <v>4909</v>
      </c>
      <c r="F7936" t="s">
        <v>4909</v>
      </c>
      <c r="G7936" t="s">
        <v>4909</v>
      </c>
      <c r="H7936" t="s">
        <v>4909</v>
      </c>
      <c r="I7936" t="s">
        <v>4909</v>
      </c>
      <c r="J7936" t="s">
        <v>4909</v>
      </c>
      <c r="K7936" t="s">
        <v>4909</v>
      </c>
    </row>
    <row r="7937" spans="1:11" x14ac:dyDescent="0.2">
      <c r="A7937" t="s">
        <v>2026</v>
      </c>
      <c r="B7937" t="s">
        <v>4909</v>
      </c>
      <c r="C7937" t="s">
        <v>4909</v>
      </c>
      <c r="D7937" t="s">
        <v>4909</v>
      </c>
      <c r="E7937" t="s">
        <v>4909</v>
      </c>
      <c r="F7937" t="s">
        <v>4909</v>
      </c>
      <c r="G7937" t="s">
        <v>4909</v>
      </c>
      <c r="H7937" t="s">
        <v>4909</v>
      </c>
      <c r="I7937" t="s">
        <v>4909</v>
      </c>
      <c r="J7937" t="s">
        <v>4909</v>
      </c>
      <c r="K7937" t="s">
        <v>4909</v>
      </c>
    </row>
    <row r="7938" spans="1:11" x14ac:dyDescent="0.2">
      <c r="A7938" t="s">
        <v>2030</v>
      </c>
      <c r="B7938" t="s">
        <v>4909</v>
      </c>
      <c r="C7938" t="s">
        <v>4909</v>
      </c>
      <c r="D7938" t="s">
        <v>4909</v>
      </c>
      <c r="E7938" t="s">
        <v>4909</v>
      </c>
      <c r="F7938" t="s">
        <v>4909</v>
      </c>
      <c r="G7938" t="s">
        <v>4909</v>
      </c>
      <c r="H7938" t="s">
        <v>4909</v>
      </c>
      <c r="I7938" t="s">
        <v>4909</v>
      </c>
      <c r="J7938" t="s">
        <v>4909</v>
      </c>
      <c r="K7938" t="s">
        <v>4909</v>
      </c>
    </row>
    <row r="7939" spans="1:11" x14ac:dyDescent="0.2">
      <c r="A7939" t="s">
        <v>2035</v>
      </c>
      <c r="B7939" t="s">
        <v>4909</v>
      </c>
      <c r="C7939" t="s">
        <v>4909</v>
      </c>
      <c r="D7939" t="s">
        <v>4909</v>
      </c>
      <c r="E7939" t="s">
        <v>4909</v>
      </c>
      <c r="F7939" t="s">
        <v>4909</v>
      </c>
      <c r="G7939" t="s">
        <v>4909</v>
      </c>
      <c r="H7939" t="s">
        <v>4909</v>
      </c>
      <c r="I7939" t="s">
        <v>4909</v>
      </c>
      <c r="J7939" t="s">
        <v>4909</v>
      </c>
      <c r="K7939" t="s">
        <v>4909</v>
      </c>
    </row>
    <row r="7940" spans="1:11" x14ac:dyDescent="0.2">
      <c r="A7940" t="s">
        <v>2040</v>
      </c>
      <c r="B7940" t="s">
        <v>4909</v>
      </c>
      <c r="C7940" t="s">
        <v>4909</v>
      </c>
      <c r="D7940" t="s">
        <v>4909</v>
      </c>
      <c r="E7940" t="s">
        <v>4909</v>
      </c>
      <c r="F7940" t="s">
        <v>4909</v>
      </c>
      <c r="G7940" t="s">
        <v>4909</v>
      </c>
      <c r="H7940" t="s">
        <v>4909</v>
      </c>
      <c r="I7940" t="s">
        <v>4909</v>
      </c>
      <c r="J7940" t="s">
        <v>4909</v>
      </c>
      <c r="K7940" t="s">
        <v>4909</v>
      </c>
    </row>
    <row r="7941" spans="1:11" x14ac:dyDescent="0.2">
      <c r="A7941" t="s">
        <v>2045</v>
      </c>
      <c r="B7941" t="s">
        <v>4909</v>
      </c>
      <c r="C7941" t="s">
        <v>4909</v>
      </c>
      <c r="D7941" t="s">
        <v>4909</v>
      </c>
      <c r="E7941" t="s">
        <v>4909</v>
      </c>
      <c r="F7941" t="s">
        <v>4909</v>
      </c>
      <c r="G7941" t="s">
        <v>4909</v>
      </c>
      <c r="H7941" t="s">
        <v>4909</v>
      </c>
      <c r="I7941" t="s">
        <v>4909</v>
      </c>
      <c r="J7941" t="s">
        <v>4909</v>
      </c>
      <c r="K7941" t="s">
        <v>4909</v>
      </c>
    </row>
    <row r="7942" spans="1:11" x14ac:dyDescent="0.2">
      <c r="A7942" t="s">
        <v>2049</v>
      </c>
      <c r="B7942" t="s">
        <v>4909</v>
      </c>
      <c r="C7942" t="s">
        <v>4909</v>
      </c>
      <c r="D7942" t="s">
        <v>4909</v>
      </c>
      <c r="E7942" t="s">
        <v>4909</v>
      </c>
      <c r="F7942" t="s">
        <v>4909</v>
      </c>
      <c r="G7942" t="s">
        <v>4909</v>
      </c>
      <c r="H7942" t="s">
        <v>4909</v>
      </c>
      <c r="I7942" t="s">
        <v>4909</v>
      </c>
      <c r="J7942" t="s">
        <v>4909</v>
      </c>
      <c r="K7942" t="s">
        <v>4909</v>
      </c>
    </row>
    <row r="7943" spans="1:11" x14ac:dyDescent="0.2">
      <c r="A7943" t="s">
        <v>2051</v>
      </c>
      <c r="B7943" t="s">
        <v>4909</v>
      </c>
      <c r="C7943" t="s">
        <v>4909</v>
      </c>
      <c r="D7943" t="s">
        <v>4909</v>
      </c>
      <c r="E7943" t="s">
        <v>4909</v>
      </c>
      <c r="F7943" t="s">
        <v>4909</v>
      </c>
      <c r="G7943" t="s">
        <v>4909</v>
      </c>
      <c r="H7943" t="s">
        <v>4909</v>
      </c>
      <c r="I7943" t="s">
        <v>4909</v>
      </c>
      <c r="J7943" s="88">
        <v>1E-3</v>
      </c>
      <c r="K7943" t="s">
        <v>4909</v>
      </c>
    </row>
    <row r="7944" spans="1:11" x14ac:dyDescent="0.2">
      <c r="A7944" t="s">
        <v>2057</v>
      </c>
      <c r="B7944" t="s">
        <v>4909</v>
      </c>
      <c r="C7944" t="s">
        <v>4909</v>
      </c>
      <c r="D7944" t="s">
        <v>4909</v>
      </c>
      <c r="E7944" t="s">
        <v>4909</v>
      </c>
      <c r="F7944" t="s">
        <v>4909</v>
      </c>
      <c r="G7944" t="s">
        <v>4909</v>
      </c>
      <c r="H7944" t="s">
        <v>4909</v>
      </c>
      <c r="I7944" t="s">
        <v>4909</v>
      </c>
      <c r="J7944" s="88">
        <v>1E-3</v>
      </c>
      <c r="K7944" t="s">
        <v>4909</v>
      </c>
    </row>
    <row r="7945" spans="1:11" x14ac:dyDescent="0.2">
      <c r="A7945" t="s">
        <v>4344</v>
      </c>
      <c r="B7945" t="s">
        <v>4909</v>
      </c>
      <c r="C7945" t="s">
        <v>4909</v>
      </c>
      <c r="D7945" t="s">
        <v>4909</v>
      </c>
      <c r="E7945" t="s">
        <v>4909</v>
      </c>
      <c r="F7945" t="s">
        <v>4909</v>
      </c>
      <c r="G7945" t="s">
        <v>4909</v>
      </c>
      <c r="H7945" t="s">
        <v>4909</v>
      </c>
      <c r="I7945" t="s">
        <v>4909</v>
      </c>
      <c r="J7945" t="s">
        <v>4909</v>
      </c>
      <c r="K7945" t="s">
        <v>4909</v>
      </c>
    </row>
    <row r="7946" spans="1:11" x14ac:dyDescent="0.2">
      <c r="A7946" t="s">
        <v>4345</v>
      </c>
      <c r="B7946" t="s">
        <v>4909</v>
      </c>
      <c r="C7946" t="s">
        <v>4909</v>
      </c>
      <c r="D7946" t="s">
        <v>4909</v>
      </c>
      <c r="E7946" t="s">
        <v>4909</v>
      </c>
      <c r="F7946" t="s">
        <v>4909</v>
      </c>
      <c r="G7946" t="s">
        <v>4909</v>
      </c>
      <c r="H7946" t="s">
        <v>4909</v>
      </c>
      <c r="I7946" t="s">
        <v>4909</v>
      </c>
      <c r="J7946" t="s">
        <v>4909</v>
      </c>
      <c r="K7946" t="s">
        <v>4909</v>
      </c>
    </row>
    <row r="7947" spans="1:11" x14ac:dyDescent="0.2">
      <c r="A7947" t="s">
        <v>2074</v>
      </c>
      <c r="B7947" t="s">
        <v>4909</v>
      </c>
      <c r="C7947" t="s">
        <v>4909</v>
      </c>
      <c r="D7947" t="s">
        <v>4909</v>
      </c>
      <c r="E7947" t="s">
        <v>4909</v>
      </c>
      <c r="F7947" t="s">
        <v>4909</v>
      </c>
      <c r="G7947" t="s">
        <v>4909</v>
      </c>
      <c r="H7947" t="s">
        <v>4909</v>
      </c>
      <c r="I7947" t="s">
        <v>4909</v>
      </c>
      <c r="J7947" t="s">
        <v>4909</v>
      </c>
      <c r="K7947" t="s">
        <v>4909</v>
      </c>
    </row>
    <row r="7948" spans="1:11" x14ac:dyDescent="0.2">
      <c r="A7948" t="s">
        <v>2079</v>
      </c>
      <c r="B7948" t="s">
        <v>4909</v>
      </c>
      <c r="C7948" t="s">
        <v>4909</v>
      </c>
      <c r="D7948" t="s">
        <v>4909</v>
      </c>
      <c r="E7948" t="s">
        <v>4909</v>
      </c>
      <c r="F7948" t="s">
        <v>4909</v>
      </c>
      <c r="G7948" t="s">
        <v>4909</v>
      </c>
      <c r="H7948" t="s">
        <v>4909</v>
      </c>
      <c r="I7948" t="s">
        <v>4909</v>
      </c>
      <c r="J7948" t="s">
        <v>4909</v>
      </c>
      <c r="K7948" t="s">
        <v>4909</v>
      </c>
    </row>
    <row r="7949" spans="1:11" x14ac:dyDescent="0.2">
      <c r="A7949" t="s">
        <v>2085</v>
      </c>
      <c r="B7949" t="s">
        <v>4909</v>
      </c>
      <c r="C7949" t="s">
        <v>4909</v>
      </c>
      <c r="D7949" t="s">
        <v>4909</v>
      </c>
      <c r="E7949" t="s">
        <v>4909</v>
      </c>
      <c r="F7949" t="s">
        <v>4909</v>
      </c>
      <c r="G7949" t="s">
        <v>4909</v>
      </c>
      <c r="H7949" t="s">
        <v>4909</v>
      </c>
      <c r="I7949" t="s">
        <v>4909</v>
      </c>
      <c r="J7949" t="s">
        <v>4909</v>
      </c>
      <c r="K7949" t="s">
        <v>4909</v>
      </c>
    </row>
    <row r="7950" spans="1:11" x14ac:dyDescent="0.2">
      <c r="A7950" t="s">
        <v>2091</v>
      </c>
      <c r="B7950" t="s">
        <v>4909</v>
      </c>
      <c r="C7950" t="s">
        <v>4909</v>
      </c>
      <c r="D7950" t="s">
        <v>4909</v>
      </c>
      <c r="E7950" t="s">
        <v>4909</v>
      </c>
      <c r="F7950" t="s">
        <v>4909</v>
      </c>
      <c r="G7950" t="s">
        <v>4909</v>
      </c>
      <c r="H7950" t="s">
        <v>4909</v>
      </c>
      <c r="I7950" t="s">
        <v>4909</v>
      </c>
      <c r="J7950" t="s">
        <v>4909</v>
      </c>
      <c r="K7950" t="s">
        <v>4909</v>
      </c>
    </row>
    <row r="7951" spans="1:11" x14ac:dyDescent="0.2">
      <c r="A7951" t="s">
        <v>2097</v>
      </c>
      <c r="B7951" t="s">
        <v>4909</v>
      </c>
      <c r="C7951" t="s">
        <v>4909</v>
      </c>
      <c r="D7951" t="s">
        <v>4909</v>
      </c>
      <c r="E7951" t="s">
        <v>4909</v>
      </c>
      <c r="F7951" t="s">
        <v>4909</v>
      </c>
      <c r="G7951" t="s">
        <v>4909</v>
      </c>
      <c r="H7951" t="s">
        <v>4909</v>
      </c>
      <c r="I7951" t="s">
        <v>4909</v>
      </c>
      <c r="J7951" t="s">
        <v>4909</v>
      </c>
      <c r="K7951" t="s">
        <v>4909</v>
      </c>
    </row>
    <row r="7952" spans="1:11" x14ac:dyDescent="0.2">
      <c r="A7952" t="s">
        <v>2101</v>
      </c>
      <c r="B7952" t="s">
        <v>4909</v>
      </c>
      <c r="C7952" t="s">
        <v>4909</v>
      </c>
      <c r="D7952" t="s">
        <v>4909</v>
      </c>
      <c r="E7952" t="s">
        <v>4909</v>
      </c>
      <c r="F7952" t="s">
        <v>4909</v>
      </c>
      <c r="G7952" t="s">
        <v>4909</v>
      </c>
      <c r="H7952" t="s">
        <v>4909</v>
      </c>
      <c r="I7952" t="s">
        <v>4909</v>
      </c>
      <c r="J7952" t="s">
        <v>4909</v>
      </c>
      <c r="K7952" t="s">
        <v>4909</v>
      </c>
    </row>
    <row r="7953" spans="1:11" x14ac:dyDescent="0.2">
      <c r="A7953" t="s">
        <v>2104</v>
      </c>
      <c r="B7953" t="s">
        <v>4909</v>
      </c>
      <c r="C7953" t="s">
        <v>4909</v>
      </c>
      <c r="D7953" t="s">
        <v>4909</v>
      </c>
      <c r="E7953" t="s">
        <v>4909</v>
      </c>
      <c r="F7953" t="s">
        <v>4909</v>
      </c>
      <c r="G7953" t="s">
        <v>4909</v>
      </c>
      <c r="H7953" t="s">
        <v>4909</v>
      </c>
      <c r="I7953" t="s">
        <v>4909</v>
      </c>
      <c r="J7953" t="s">
        <v>4909</v>
      </c>
      <c r="K7953" t="s">
        <v>4909</v>
      </c>
    </row>
    <row r="7954" spans="1:11" x14ac:dyDescent="0.2">
      <c r="A7954" t="s">
        <v>2107</v>
      </c>
      <c r="B7954" t="s">
        <v>4909</v>
      </c>
      <c r="C7954" t="s">
        <v>4909</v>
      </c>
      <c r="D7954" t="s">
        <v>4909</v>
      </c>
      <c r="E7954" t="s">
        <v>4909</v>
      </c>
      <c r="F7954" t="s">
        <v>4909</v>
      </c>
      <c r="G7954" t="s">
        <v>4909</v>
      </c>
      <c r="H7954" t="s">
        <v>4909</v>
      </c>
      <c r="I7954" t="s">
        <v>4909</v>
      </c>
      <c r="J7954" t="s">
        <v>4909</v>
      </c>
      <c r="K7954" t="s">
        <v>4909</v>
      </c>
    </row>
    <row r="7955" spans="1:11" x14ac:dyDescent="0.2">
      <c r="A7955" t="s">
        <v>2110</v>
      </c>
      <c r="B7955" t="s">
        <v>4909</v>
      </c>
      <c r="C7955" t="s">
        <v>4909</v>
      </c>
      <c r="D7955" t="s">
        <v>4909</v>
      </c>
      <c r="E7955" t="s">
        <v>4909</v>
      </c>
      <c r="F7955" t="s">
        <v>4909</v>
      </c>
      <c r="G7955" t="s">
        <v>4909</v>
      </c>
      <c r="H7955" t="s">
        <v>4909</v>
      </c>
      <c r="I7955" t="s">
        <v>4909</v>
      </c>
      <c r="J7955" t="s">
        <v>4909</v>
      </c>
      <c r="K7955" t="s">
        <v>4909</v>
      </c>
    </row>
    <row r="7956" spans="1:11" x14ac:dyDescent="0.2">
      <c r="A7956" t="s">
        <v>2113</v>
      </c>
      <c r="B7956" t="s">
        <v>4909</v>
      </c>
      <c r="C7956" t="s">
        <v>4909</v>
      </c>
      <c r="D7956" t="s">
        <v>4909</v>
      </c>
      <c r="E7956" t="s">
        <v>4909</v>
      </c>
      <c r="F7956" t="s">
        <v>4909</v>
      </c>
      <c r="G7956" t="s">
        <v>4909</v>
      </c>
      <c r="H7956" t="s">
        <v>4909</v>
      </c>
      <c r="I7956" t="s">
        <v>4909</v>
      </c>
      <c r="J7956" t="s">
        <v>4909</v>
      </c>
      <c r="K7956" t="s">
        <v>4909</v>
      </c>
    </row>
    <row r="7957" spans="1:11" x14ac:dyDescent="0.2">
      <c r="A7957" t="s">
        <v>4346</v>
      </c>
      <c r="B7957" t="s">
        <v>4909</v>
      </c>
      <c r="C7957" t="s">
        <v>4909</v>
      </c>
      <c r="D7957" t="s">
        <v>4909</v>
      </c>
      <c r="E7957" t="s">
        <v>4909</v>
      </c>
      <c r="F7957" t="s">
        <v>4909</v>
      </c>
      <c r="G7957" t="s">
        <v>4909</v>
      </c>
      <c r="H7957" t="s">
        <v>4909</v>
      </c>
      <c r="I7957" t="s">
        <v>4909</v>
      </c>
      <c r="J7957" t="s">
        <v>4909</v>
      </c>
      <c r="K7957" t="s">
        <v>4909</v>
      </c>
    </row>
    <row r="7958" spans="1:11" x14ac:dyDescent="0.2">
      <c r="A7958" t="s">
        <v>4347</v>
      </c>
      <c r="B7958" t="s">
        <v>4909</v>
      </c>
      <c r="C7958" t="s">
        <v>4909</v>
      </c>
      <c r="D7958" t="s">
        <v>4909</v>
      </c>
      <c r="E7958" t="s">
        <v>4909</v>
      </c>
      <c r="F7958" t="s">
        <v>4909</v>
      </c>
      <c r="G7958" t="s">
        <v>4909</v>
      </c>
      <c r="H7958" t="s">
        <v>4909</v>
      </c>
      <c r="I7958" t="s">
        <v>4909</v>
      </c>
      <c r="J7958" t="s">
        <v>4909</v>
      </c>
      <c r="K7958" t="s">
        <v>4909</v>
      </c>
    </row>
    <row r="7959" spans="1:11" x14ac:dyDescent="0.2">
      <c r="A7959" t="s">
        <v>4348</v>
      </c>
      <c r="B7959" t="s">
        <v>4909</v>
      </c>
      <c r="C7959" t="s">
        <v>4909</v>
      </c>
      <c r="D7959" t="s">
        <v>4909</v>
      </c>
      <c r="E7959" t="s">
        <v>4909</v>
      </c>
      <c r="F7959" t="s">
        <v>4909</v>
      </c>
      <c r="G7959" t="s">
        <v>4909</v>
      </c>
      <c r="H7959" t="s">
        <v>4909</v>
      </c>
      <c r="I7959" t="s">
        <v>4909</v>
      </c>
      <c r="J7959" t="s">
        <v>4909</v>
      </c>
      <c r="K7959" t="s">
        <v>4909</v>
      </c>
    </row>
    <row r="7960" spans="1:11" x14ac:dyDescent="0.2">
      <c r="A7960" t="s">
        <v>4349</v>
      </c>
      <c r="B7960" t="s">
        <v>4909</v>
      </c>
      <c r="C7960" t="s">
        <v>4909</v>
      </c>
      <c r="D7960" t="s">
        <v>4909</v>
      </c>
      <c r="E7960" t="s">
        <v>4909</v>
      </c>
      <c r="F7960" t="s">
        <v>4909</v>
      </c>
      <c r="G7960" t="s">
        <v>4909</v>
      </c>
      <c r="H7960" t="s">
        <v>4909</v>
      </c>
      <c r="I7960" t="s">
        <v>4909</v>
      </c>
      <c r="J7960" t="s">
        <v>4909</v>
      </c>
      <c r="K7960" t="s">
        <v>4909</v>
      </c>
    </row>
    <row r="7961" spans="1:11" x14ac:dyDescent="0.2">
      <c r="A7961" t="s">
        <v>4350</v>
      </c>
      <c r="B7961" s="88">
        <v>0</v>
      </c>
      <c r="C7961" t="s">
        <v>4909</v>
      </c>
      <c r="D7961" s="88">
        <v>0</v>
      </c>
      <c r="E7961" s="88">
        <v>0</v>
      </c>
      <c r="F7961" s="88">
        <v>0</v>
      </c>
      <c r="G7961" t="s">
        <v>4909</v>
      </c>
      <c r="H7961" t="s">
        <v>4909</v>
      </c>
      <c r="I7961" t="s">
        <v>4909</v>
      </c>
      <c r="J7961" s="88">
        <v>0</v>
      </c>
      <c r="K7961" t="s">
        <v>4909</v>
      </c>
    </row>
    <row r="7962" spans="1:11" x14ac:dyDescent="0.2">
      <c r="A7962" t="s">
        <v>4351</v>
      </c>
      <c r="B7962" t="s">
        <v>4909</v>
      </c>
      <c r="C7962" t="s">
        <v>4909</v>
      </c>
      <c r="D7962" t="s">
        <v>4909</v>
      </c>
      <c r="E7962" t="s">
        <v>4909</v>
      </c>
      <c r="F7962" t="s">
        <v>4909</v>
      </c>
      <c r="G7962" t="s">
        <v>4909</v>
      </c>
      <c r="H7962" t="s">
        <v>4909</v>
      </c>
      <c r="I7962" t="s">
        <v>4909</v>
      </c>
      <c r="J7962" t="s">
        <v>4909</v>
      </c>
      <c r="K7962" t="s">
        <v>4909</v>
      </c>
    </row>
    <row r="7963" spans="1:11" x14ac:dyDescent="0.2">
      <c r="A7963" t="s">
        <v>4352</v>
      </c>
      <c r="B7963" t="s">
        <v>4909</v>
      </c>
      <c r="C7963" t="s">
        <v>4909</v>
      </c>
      <c r="D7963" t="s">
        <v>4909</v>
      </c>
      <c r="E7963" t="s">
        <v>4909</v>
      </c>
      <c r="F7963" t="s">
        <v>4909</v>
      </c>
      <c r="G7963" t="s">
        <v>4909</v>
      </c>
      <c r="H7963" t="s">
        <v>4909</v>
      </c>
      <c r="I7963" t="s">
        <v>4909</v>
      </c>
      <c r="J7963" t="s">
        <v>4909</v>
      </c>
      <c r="K7963" t="s">
        <v>4909</v>
      </c>
    </row>
    <row r="7964" spans="1:11" x14ac:dyDescent="0.2">
      <c r="A7964" t="s">
        <v>4353</v>
      </c>
      <c r="B7964" s="88">
        <v>7.0000000000000001E-3</v>
      </c>
      <c r="C7964" t="s">
        <v>4909</v>
      </c>
      <c r="D7964" t="s">
        <v>4909</v>
      </c>
      <c r="E7964" s="88">
        <v>7.0000000000000001E-3</v>
      </c>
      <c r="F7964" s="88">
        <v>5.0000000000000001E-3</v>
      </c>
      <c r="G7964" t="s">
        <v>4909</v>
      </c>
      <c r="H7964" t="s">
        <v>4909</v>
      </c>
      <c r="I7964" t="s">
        <v>4909</v>
      </c>
      <c r="J7964" s="88">
        <v>5.0000000000000001E-3</v>
      </c>
      <c r="K7964" t="s">
        <v>4909</v>
      </c>
    </row>
    <row r="7965" spans="1:11" x14ac:dyDescent="0.2">
      <c r="A7965" t="s">
        <v>4354</v>
      </c>
      <c r="B7965" s="88">
        <v>1.2999999999999999E-2</v>
      </c>
      <c r="C7965" t="s">
        <v>4909</v>
      </c>
      <c r="D7965" s="88">
        <v>1E-3</v>
      </c>
      <c r="E7965" s="88">
        <v>1.6E-2</v>
      </c>
      <c r="F7965" s="88">
        <v>7.0000000000000001E-3</v>
      </c>
      <c r="G7965" t="s">
        <v>4909</v>
      </c>
      <c r="H7965" t="s">
        <v>4909</v>
      </c>
      <c r="I7965" t="s">
        <v>4909</v>
      </c>
      <c r="J7965" s="88">
        <v>8.0000000000000002E-3</v>
      </c>
      <c r="K7965" t="s">
        <v>4909</v>
      </c>
    </row>
    <row r="7966" spans="1:11" x14ac:dyDescent="0.2">
      <c r="A7966" t="s">
        <v>4355</v>
      </c>
      <c r="B7966" t="s">
        <v>4909</v>
      </c>
      <c r="C7966" t="s">
        <v>4909</v>
      </c>
      <c r="D7966" t="s">
        <v>4909</v>
      </c>
      <c r="E7966" t="s">
        <v>4909</v>
      </c>
      <c r="F7966" t="s">
        <v>4909</v>
      </c>
      <c r="G7966" t="s">
        <v>4909</v>
      </c>
      <c r="H7966" t="s">
        <v>4909</v>
      </c>
      <c r="I7966" t="s">
        <v>4909</v>
      </c>
      <c r="J7966" t="s">
        <v>4909</v>
      </c>
      <c r="K7966" t="s">
        <v>4909</v>
      </c>
    </row>
    <row r="7967" spans="1:11" x14ac:dyDescent="0.2">
      <c r="A7967" t="s">
        <v>4356</v>
      </c>
      <c r="B7967" t="s">
        <v>4909</v>
      </c>
      <c r="C7967" t="s">
        <v>4909</v>
      </c>
      <c r="D7967" t="s">
        <v>4909</v>
      </c>
      <c r="E7967" t="s">
        <v>4909</v>
      </c>
      <c r="F7967" t="s">
        <v>4909</v>
      </c>
      <c r="G7967" t="s">
        <v>4909</v>
      </c>
      <c r="H7967" t="s">
        <v>4909</v>
      </c>
      <c r="I7967" t="s">
        <v>4909</v>
      </c>
      <c r="J7967" t="s">
        <v>4909</v>
      </c>
      <c r="K7967" t="s">
        <v>4909</v>
      </c>
    </row>
    <row r="7968" spans="1:11" x14ac:dyDescent="0.2">
      <c r="A7968" t="s">
        <v>4357</v>
      </c>
      <c r="B7968" t="s">
        <v>4909</v>
      </c>
      <c r="C7968" t="s">
        <v>4909</v>
      </c>
      <c r="D7968" t="s">
        <v>4909</v>
      </c>
      <c r="E7968" t="s">
        <v>4909</v>
      </c>
      <c r="F7968" s="88">
        <v>0</v>
      </c>
      <c r="G7968" t="s">
        <v>4909</v>
      </c>
      <c r="H7968" t="s">
        <v>4909</v>
      </c>
      <c r="I7968" t="s">
        <v>4909</v>
      </c>
      <c r="J7968" s="88">
        <v>0</v>
      </c>
      <c r="K7968" t="s">
        <v>4909</v>
      </c>
    </row>
    <row r="7969" spans="1:11" x14ac:dyDescent="0.2">
      <c r="A7969" t="s">
        <v>4358</v>
      </c>
      <c r="B7969" t="s">
        <v>4909</v>
      </c>
      <c r="C7969" t="s">
        <v>4909</v>
      </c>
      <c r="D7969" t="s">
        <v>4909</v>
      </c>
      <c r="E7969" t="s">
        <v>4909</v>
      </c>
      <c r="F7969" t="s">
        <v>4909</v>
      </c>
      <c r="G7969" t="s">
        <v>4909</v>
      </c>
      <c r="H7969" t="s">
        <v>4909</v>
      </c>
      <c r="I7969" t="s">
        <v>4909</v>
      </c>
      <c r="J7969" s="88">
        <v>0</v>
      </c>
      <c r="K7969" t="s">
        <v>4909</v>
      </c>
    </row>
    <row r="7970" spans="1:11" x14ac:dyDescent="0.2">
      <c r="A7970" t="s">
        <v>4359</v>
      </c>
      <c r="B7970" t="s">
        <v>4909</v>
      </c>
      <c r="C7970" t="s">
        <v>4909</v>
      </c>
      <c r="D7970" t="s">
        <v>4909</v>
      </c>
      <c r="E7970" t="s">
        <v>4909</v>
      </c>
      <c r="F7970" t="s">
        <v>4909</v>
      </c>
      <c r="G7970" t="s">
        <v>4909</v>
      </c>
      <c r="H7970" t="s">
        <v>4909</v>
      </c>
      <c r="I7970" t="s">
        <v>4909</v>
      </c>
      <c r="J7970" t="s">
        <v>4909</v>
      </c>
      <c r="K7970" t="s">
        <v>4909</v>
      </c>
    </row>
    <row r="7971" spans="1:11" x14ac:dyDescent="0.2">
      <c r="A7971" t="s">
        <v>4360</v>
      </c>
      <c r="B7971" s="88">
        <v>1E-3</v>
      </c>
      <c r="C7971" t="s">
        <v>4909</v>
      </c>
      <c r="D7971" s="88">
        <v>0</v>
      </c>
      <c r="E7971" s="88">
        <v>2E-3</v>
      </c>
      <c r="F7971" t="s">
        <v>4909</v>
      </c>
      <c r="G7971" t="s">
        <v>4909</v>
      </c>
      <c r="H7971" t="s">
        <v>4909</v>
      </c>
      <c r="I7971" t="s">
        <v>4909</v>
      </c>
      <c r="J7971" t="s">
        <v>4909</v>
      </c>
      <c r="K7971" t="s">
        <v>4909</v>
      </c>
    </row>
    <row r="7972" spans="1:11" x14ac:dyDescent="0.2">
      <c r="A7972" t="s">
        <v>4361</v>
      </c>
      <c r="B7972" s="88">
        <v>0</v>
      </c>
      <c r="C7972" t="s">
        <v>4909</v>
      </c>
      <c r="D7972" t="s">
        <v>4909</v>
      </c>
      <c r="E7972" s="88">
        <v>0</v>
      </c>
      <c r="F7972" s="88">
        <v>0</v>
      </c>
      <c r="G7972" t="s">
        <v>4909</v>
      </c>
      <c r="H7972" t="s">
        <v>4909</v>
      </c>
      <c r="I7972" t="s">
        <v>4909</v>
      </c>
      <c r="J7972" s="88">
        <v>0</v>
      </c>
      <c r="K7972" t="s">
        <v>4909</v>
      </c>
    </row>
    <row r="7973" spans="1:11" x14ac:dyDescent="0.2">
      <c r="A7973" t="s">
        <v>4362</v>
      </c>
      <c r="B7973" t="s">
        <v>4909</v>
      </c>
      <c r="C7973" t="s">
        <v>4909</v>
      </c>
      <c r="D7973" t="s">
        <v>4909</v>
      </c>
      <c r="E7973" t="s">
        <v>4909</v>
      </c>
      <c r="F7973" t="s">
        <v>4909</v>
      </c>
      <c r="G7973" t="s">
        <v>4909</v>
      </c>
      <c r="H7973" t="s">
        <v>4909</v>
      </c>
      <c r="I7973" t="s">
        <v>4909</v>
      </c>
      <c r="J7973" t="s">
        <v>4909</v>
      </c>
      <c r="K7973" t="s">
        <v>4909</v>
      </c>
    </row>
    <row r="7974" spans="1:11" x14ac:dyDescent="0.2">
      <c r="A7974" t="s">
        <v>4363</v>
      </c>
      <c r="B7974" t="s">
        <v>4909</v>
      </c>
      <c r="C7974" t="s">
        <v>4909</v>
      </c>
      <c r="D7974" t="s">
        <v>4909</v>
      </c>
      <c r="E7974" t="s">
        <v>4909</v>
      </c>
      <c r="F7974" t="s">
        <v>4909</v>
      </c>
      <c r="G7974" t="s">
        <v>4909</v>
      </c>
      <c r="H7974" t="s">
        <v>4909</v>
      </c>
      <c r="I7974" t="s">
        <v>4909</v>
      </c>
      <c r="J7974" t="s">
        <v>4909</v>
      </c>
      <c r="K7974" t="s">
        <v>4909</v>
      </c>
    </row>
    <row r="7975" spans="1:11" x14ac:dyDescent="0.2">
      <c r="A7975" t="s">
        <v>4364</v>
      </c>
      <c r="B7975" t="s">
        <v>4909</v>
      </c>
      <c r="C7975" t="s">
        <v>4909</v>
      </c>
      <c r="D7975" t="s">
        <v>4909</v>
      </c>
      <c r="E7975" t="s">
        <v>4909</v>
      </c>
      <c r="F7975" t="s">
        <v>4909</v>
      </c>
      <c r="G7975" t="s">
        <v>4909</v>
      </c>
      <c r="H7975" t="s">
        <v>4909</v>
      </c>
      <c r="I7975" t="s">
        <v>4909</v>
      </c>
      <c r="J7975" t="s">
        <v>4909</v>
      </c>
      <c r="K7975" t="s">
        <v>4909</v>
      </c>
    </row>
    <row r="7976" spans="1:11" x14ac:dyDescent="0.2">
      <c r="A7976" t="s">
        <v>4365</v>
      </c>
      <c r="B7976" t="s">
        <v>4909</v>
      </c>
      <c r="C7976" t="s">
        <v>4909</v>
      </c>
      <c r="D7976" t="s">
        <v>4909</v>
      </c>
      <c r="E7976" t="s">
        <v>4909</v>
      </c>
      <c r="F7976" s="88">
        <v>2E-3</v>
      </c>
      <c r="G7976" t="s">
        <v>4909</v>
      </c>
      <c r="H7976" t="s">
        <v>4909</v>
      </c>
      <c r="I7976" t="s">
        <v>4909</v>
      </c>
      <c r="J7976" s="88">
        <v>0</v>
      </c>
      <c r="K7976" t="s">
        <v>4909</v>
      </c>
    </row>
    <row r="7977" spans="1:11" x14ac:dyDescent="0.2">
      <c r="A7977" t="s">
        <v>4366</v>
      </c>
      <c r="B7977" t="s">
        <v>4909</v>
      </c>
      <c r="C7977" t="s">
        <v>4909</v>
      </c>
      <c r="D7977" t="s">
        <v>4909</v>
      </c>
      <c r="E7977" t="s">
        <v>4909</v>
      </c>
      <c r="F7977" t="s">
        <v>4909</v>
      </c>
      <c r="G7977" t="s">
        <v>4909</v>
      </c>
      <c r="H7977" t="s">
        <v>4909</v>
      </c>
      <c r="I7977" t="s">
        <v>4909</v>
      </c>
      <c r="J7977" t="s">
        <v>4909</v>
      </c>
      <c r="K7977" t="s">
        <v>4909</v>
      </c>
    </row>
    <row r="7978" spans="1:11" x14ac:dyDescent="0.2">
      <c r="A7978" t="s">
        <v>4367</v>
      </c>
      <c r="B7978" t="s">
        <v>4909</v>
      </c>
      <c r="C7978" t="s">
        <v>4909</v>
      </c>
      <c r="D7978" t="s">
        <v>4909</v>
      </c>
      <c r="E7978" t="s">
        <v>4909</v>
      </c>
      <c r="F7978" t="s">
        <v>4909</v>
      </c>
      <c r="G7978" t="s">
        <v>4909</v>
      </c>
      <c r="H7978" t="s">
        <v>4909</v>
      </c>
      <c r="I7978" t="s">
        <v>4909</v>
      </c>
      <c r="J7978" t="s">
        <v>4909</v>
      </c>
      <c r="K7978" t="s">
        <v>4909</v>
      </c>
    </row>
    <row r="7979" spans="1:11" x14ac:dyDescent="0.2">
      <c r="A7979" t="s">
        <v>4368</v>
      </c>
      <c r="B7979" s="88">
        <v>1E-3</v>
      </c>
      <c r="C7979" t="s">
        <v>4909</v>
      </c>
      <c r="D7979" s="88">
        <v>0</v>
      </c>
      <c r="E7979" s="88">
        <v>8.9999999999999993E-3</v>
      </c>
      <c r="F7979" s="88">
        <v>0</v>
      </c>
      <c r="G7979" t="s">
        <v>4909</v>
      </c>
      <c r="H7979" t="s">
        <v>4909</v>
      </c>
      <c r="I7979" t="s">
        <v>4909</v>
      </c>
      <c r="J7979" s="88">
        <v>0</v>
      </c>
      <c r="K7979" t="s">
        <v>4909</v>
      </c>
    </row>
    <row r="7980" spans="1:11" x14ac:dyDescent="0.2">
      <c r="A7980" t="s">
        <v>4369</v>
      </c>
      <c r="B7980" s="88">
        <v>0</v>
      </c>
      <c r="C7980" t="s">
        <v>4909</v>
      </c>
      <c r="D7980" s="88">
        <v>0</v>
      </c>
      <c r="E7980" s="88">
        <v>3.0000000000000001E-3</v>
      </c>
      <c r="F7980" s="88">
        <v>1E-3</v>
      </c>
      <c r="G7980" t="s">
        <v>4909</v>
      </c>
      <c r="H7980" t="s">
        <v>4909</v>
      </c>
      <c r="I7980" t="s">
        <v>4909</v>
      </c>
      <c r="J7980" s="88">
        <v>1E-3</v>
      </c>
      <c r="K7980" t="s">
        <v>4909</v>
      </c>
    </row>
    <row r="7981" spans="1:11" x14ac:dyDescent="0.2">
      <c r="A7981" t="s">
        <v>4370</v>
      </c>
      <c r="B7981" t="s">
        <v>4909</v>
      </c>
      <c r="C7981" t="s">
        <v>4909</v>
      </c>
      <c r="D7981" t="s">
        <v>4909</v>
      </c>
      <c r="E7981" t="s">
        <v>4909</v>
      </c>
      <c r="F7981" t="s">
        <v>4909</v>
      </c>
      <c r="G7981" t="s">
        <v>4909</v>
      </c>
      <c r="H7981" t="s">
        <v>4909</v>
      </c>
      <c r="I7981" t="s">
        <v>4909</v>
      </c>
      <c r="J7981" t="s">
        <v>4909</v>
      </c>
      <c r="K7981" t="s">
        <v>4909</v>
      </c>
    </row>
    <row r="7982" spans="1:11" x14ac:dyDescent="0.2">
      <c r="A7982" t="s">
        <v>4371</v>
      </c>
      <c r="B7982" t="s">
        <v>4909</v>
      </c>
      <c r="C7982" t="s">
        <v>4909</v>
      </c>
      <c r="D7982" t="s">
        <v>4909</v>
      </c>
      <c r="E7982" t="s">
        <v>4909</v>
      </c>
      <c r="F7982" t="s">
        <v>4909</v>
      </c>
      <c r="G7982" t="s">
        <v>4909</v>
      </c>
      <c r="H7982" t="s">
        <v>4909</v>
      </c>
      <c r="I7982" t="s">
        <v>4909</v>
      </c>
      <c r="J7982" t="s">
        <v>4909</v>
      </c>
      <c r="K7982" t="s">
        <v>4909</v>
      </c>
    </row>
    <row r="7983" spans="1:11" x14ac:dyDescent="0.2">
      <c r="A7983" t="s">
        <v>4372</v>
      </c>
      <c r="B7983" t="s">
        <v>4909</v>
      </c>
      <c r="C7983" t="s">
        <v>4909</v>
      </c>
      <c r="D7983" t="s">
        <v>4909</v>
      </c>
      <c r="E7983" t="s">
        <v>4909</v>
      </c>
      <c r="F7983" t="s">
        <v>4909</v>
      </c>
      <c r="G7983" t="s">
        <v>4909</v>
      </c>
      <c r="H7983" t="s">
        <v>4909</v>
      </c>
      <c r="I7983" t="s">
        <v>4909</v>
      </c>
      <c r="J7983" t="s">
        <v>4909</v>
      </c>
      <c r="K7983" t="s">
        <v>4909</v>
      </c>
    </row>
    <row r="7984" spans="1:11" x14ac:dyDescent="0.2">
      <c r="A7984" t="s">
        <v>4373</v>
      </c>
      <c r="B7984" s="88">
        <v>0</v>
      </c>
      <c r="C7984" t="s">
        <v>4909</v>
      </c>
      <c r="D7984" s="88">
        <v>0</v>
      </c>
      <c r="E7984" s="88">
        <v>0</v>
      </c>
      <c r="F7984" t="s">
        <v>4909</v>
      </c>
      <c r="G7984" t="s">
        <v>4909</v>
      </c>
      <c r="H7984" t="s">
        <v>4909</v>
      </c>
      <c r="I7984" t="s">
        <v>4909</v>
      </c>
      <c r="J7984" s="88">
        <v>0</v>
      </c>
      <c r="K7984" t="s">
        <v>4909</v>
      </c>
    </row>
    <row r="7985" spans="1:11" x14ac:dyDescent="0.2">
      <c r="A7985" t="s">
        <v>4374</v>
      </c>
      <c r="B7985" s="88">
        <v>0</v>
      </c>
      <c r="C7985" t="s">
        <v>4909</v>
      </c>
      <c r="D7985" s="88">
        <v>0</v>
      </c>
      <c r="E7985" s="88">
        <v>0</v>
      </c>
      <c r="F7985" t="s">
        <v>4909</v>
      </c>
      <c r="G7985" t="s">
        <v>4909</v>
      </c>
      <c r="H7985" t="s">
        <v>4909</v>
      </c>
      <c r="I7985" t="s">
        <v>4909</v>
      </c>
      <c r="J7985" s="88">
        <v>0</v>
      </c>
      <c r="K7985" t="s">
        <v>4909</v>
      </c>
    </row>
    <row r="7986" spans="1:11" x14ac:dyDescent="0.2">
      <c r="A7986" t="s">
        <v>4375</v>
      </c>
      <c r="B7986" s="88">
        <v>0</v>
      </c>
      <c r="C7986" t="s">
        <v>4909</v>
      </c>
      <c r="D7986" t="s">
        <v>4909</v>
      </c>
      <c r="E7986" s="88">
        <v>0</v>
      </c>
      <c r="F7986" s="88">
        <v>0</v>
      </c>
      <c r="G7986" t="s">
        <v>4909</v>
      </c>
      <c r="H7986" t="s">
        <v>4909</v>
      </c>
      <c r="I7986" t="s">
        <v>4909</v>
      </c>
      <c r="J7986" s="88">
        <v>0</v>
      </c>
      <c r="K7986" t="s">
        <v>4909</v>
      </c>
    </row>
    <row r="7987" spans="1:11" x14ac:dyDescent="0.2">
      <c r="A7987" t="s">
        <v>4376</v>
      </c>
      <c r="B7987" t="s">
        <v>4909</v>
      </c>
      <c r="C7987" t="s">
        <v>4909</v>
      </c>
      <c r="D7987" t="s">
        <v>4909</v>
      </c>
      <c r="E7987" t="s">
        <v>4909</v>
      </c>
      <c r="F7987" t="s">
        <v>4909</v>
      </c>
      <c r="G7987" t="s">
        <v>4909</v>
      </c>
      <c r="H7987" t="s">
        <v>4909</v>
      </c>
      <c r="I7987" t="s">
        <v>4909</v>
      </c>
      <c r="J7987" t="s">
        <v>4909</v>
      </c>
      <c r="K7987" t="s">
        <v>4909</v>
      </c>
    </row>
    <row r="7988" spans="1:11" x14ac:dyDescent="0.2">
      <c r="A7988" t="s">
        <v>4377</v>
      </c>
      <c r="B7988" t="s">
        <v>4909</v>
      </c>
      <c r="C7988" t="s">
        <v>4909</v>
      </c>
      <c r="D7988" t="s">
        <v>4909</v>
      </c>
      <c r="E7988" t="s">
        <v>4909</v>
      </c>
      <c r="F7988" s="88">
        <v>0</v>
      </c>
      <c r="G7988" t="s">
        <v>4909</v>
      </c>
      <c r="H7988" t="s">
        <v>4909</v>
      </c>
      <c r="I7988" t="s">
        <v>4909</v>
      </c>
      <c r="J7988" s="88">
        <v>0</v>
      </c>
      <c r="K7988" t="s">
        <v>4909</v>
      </c>
    </row>
    <row r="7989" spans="1:11" x14ac:dyDescent="0.2">
      <c r="A7989" t="s">
        <v>2318</v>
      </c>
      <c r="B7989" t="s">
        <v>4399</v>
      </c>
      <c r="C7989" t="s">
        <v>4399</v>
      </c>
      <c r="D7989" t="s">
        <v>4399</v>
      </c>
      <c r="E7989" t="s">
        <v>4399</v>
      </c>
      <c r="F7989" t="s">
        <v>4399</v>
      </c>
      <c r="G7989" t="s">
        <v>4399</v>
      </c>
      <c r="H7989" t="s">
        <v>4399</v>
      </c>
      <c r="I7989" t="s">
        <v>4399</v>
      </c>
      <c r="J7989" t="s">
        <v>4399</v>
      </c>
      <c r="K7989" t="s">
        <v>4399</v>
      </c>
    </row>
    <row r="7990" spans="1:11" x14ac:dyDescent="0.2">
      <c r="A7990" t="s">
        <v>4248</v>
      </c>
    </row>
    <row r="7991" spans="1:11" x14ac:dyDescent="0.2">
      <c r="A7991" t="s">
        <v>4910</v>
      </c>
      <c r="B7991" t="s">
        <v>4904</v>
      </c>
      <c r="C7991" t="s">
        <v>4911</v>
      </c>
      <c r="D7991" t="s">
        <v>4912</v>
      </c>
      <c r="E7991" t="s">
        <v>4907</v>
      </c>
      <c r="F7991" t="s">
        <v>4913</v>
      </c>
      <c r="G7991">
        <v>15</v>
      </c>
    </row>
    <row r="7992" spans="1:11" x14ac:dyDescent="0.2">
      <c r="A7992" t="s">
        <v>2318</v>
      </c>
      <c r="B7992" t="s">
        <v>4399</v>
      </c>
      <c r="C7992" t="s">
        <v>4399</v>
      </c>
      <c r="D7992" t="s">
        <v>4399</v>
      </c>
      <c r="E7992" t="s">
        <v>4399</v>
      </c>
      <c r="F7992" t="s">
        <v>4399</v>
      </c>
      <c r="G7992" t="s">
        <v>4399</v>
      </c>
      <c r="H7992" t="s">
        <v>4399</v>
      </c>
      <c r="I7992" t="s">
        <v>4399</v>
      </c>
      <c r="J7992" t="s">
        <v>4399</v>
      </c>
      <c r="K7992" t="s">
        <v>4399</v>
      </c>
    </row>
    <row r="7993" spans="1:11" x14ac:dyDescent="0.2">
      <c r="A7993" t="s">
        <v>126</v>
      </c>
      <c r="B7993" t="s">
        <v>4464</v>
      </c>
      <c r="C7993" t="s">
        <v>4468</v>
      </c>
      <c r="D7993" t="s">
        <v>4472</v>
      </c>
      <c r="E7993" t="s">
        <v>4476</v>
      </c>
      <c r="F7993" t="s">
        <v>4480</v>
      </c>
      <c r="G7993" t="s">
        <v>4484</v>
      </c>
      <c r="H7993" t="s">
        <v>4488</v>
      </c>
      <c r="I7993" t="s">
        <v>4492</v>
      </c>
      <c r="J7993" t="s">
        <v>4496</v>
      </c>
      <c r="K7993" t="s">
        <v>4500</v>
      </c>
    </row>
    <row r="7994" spans="1:11" x14ac:dyDescent="0.2">
      <c r="A7994" t="s">
        <v>2318</v>
      </c>
      <c r="B7994" t="s">
        <v>4399</v>
      </c>
      <c r="C7994" t="s">
        <v>4399</v>
      </c>
      <c r="D7994" t="s">
        <v>4399</v>
      </c>
      <c r="E7994" t="s">
        <v>4399</v>
      </c>
      <c r="F7994" t="s">
        <v>4399</v>
      </c>
      <c r="G7994" t="s">
        <v>4399</v>
      </c>
      <c r="H7994" t="s">
        <v>4399</v>
      </c>
      <c r="I7994" t="s">
        <v>4399</v>
      </c>
      <c r="J7994" t="s">
        <v>4399</v>
      </c>
      <c r="K7994" t="s">
        <v>4399</v>
      </c>
    </row>
    <row r="7995" spans="1:11" x14ac:dyDescent="0.2">
      <c r="A7995" t="s">
        <v>4265</v>
      </c>
      <c r="B7995" t="s">
        <v>4909</v>
      </c>
      <c r="C7995" t="s">
        <v>4909</v>
      </c>
      <c r="D7995" t="s">
        <v>4909</v>
      </c>
      <c r="E7995" t="s">
        <v>4909</v>
      </c>
      <c r="F7995" t="s">
        <v>4909</v>
      </c>
      <c r="G7995" t="s">
        <v>4909</v>
      </c>
      <c r="H7995" t="s">
        <v>4909</v>
      </c>
      <c r="I7995" t="s">
        <v>4909</v>
      </c>
      <c r="J7995" t="s">
        <v>4909</v>
      </c>
      <c r="K7995" t="s">
        <v>4909</v>
      </c>
    </row>
    <row r="7996" spans="1:11" x14ac:dyDescent="0.2">
      <c r="A7996" t="s">
        <v>4266</v>
      </c>
      <c r="B7996" t="s">
        <v>4909</v>
      </c>
      <c r="C7996" t="s">
        <v>4909</v>
      </c>
      <c r="D7996" t="s">
        <v>4909</v>
      </c>
      <c r="E7996" t="s">
        <v>4909</v>
      </c>
      <c r="F7996" t="s">
        <v>4909</v>
      </c>
      <c r="G7996" t="s">
        <v>4909</v>
      </c>
      <c r="H7996" t="s">
        <v>4909</v>
      </c>
      <c r="I7996" t="s">
        <v>4909</v>
      </c>
      <c r="J7996" t="s">
        <v>4909</v>
      </c>
      <c r="K7996" t="s">
        <v>4909</v>
      </c>
    </row>
    <row r="7997" spans="1:11" x14ac:dyDescent="0.2">
      <c r="A7997" t="s">
        <v>4267</v>
      </c>
      <c r="B7997" t="s">
        <v>4909</v>
      </c>
      <c r="C7997" s="88">
        <v>1E-3</v>
      </c>
      <c r="D7997" t="s">
        <v>4909</v>
      </c>
      <c r="E7997" t="s">
        <v>4909</v>
      </c>
      <c r="F7997" t="s">
        <v>4909</v>
      </c>
      <c r="G7997" t="s">
        <v>4909</v>
      </c>
      <c r="H7997" t="s">
        <v>4909</v>
      </c>
      <c r="I7997" t="s">
        <v>4909</v>
      </c>
      <c r="J7997" t="s">
        <v>4909</v>
      </c>
      <c r="K7997" t="s">
        <v>4909</v>
      </c>
    </row>
    <row r="7998" spans="1:11" x14ac:dyDescent="0.2">
      <c r="A7998" t="s">
        <v>4268</v>
      </c>
      <c r="B7998" t="s">
        <v>4909</v>
      </c>
      <c r="C7998" t="s">
        <v>4909</v>
      </c>
      <c r="D7998" t="s">
        <v>4909</v>
      </c>
      <c r="E7998" t="s">
        <v>4909</v>
      </c>
      <c r="F7998" t="s">
        <v>4909</v>
      </c>
      <c r="G7998" t="s">
        <v>4909</v>
      </c>
      <c r="H7998" t="s">
        <v>4909</v>
      </c>
      <c r="I7998" t="s">
        <v>4909</v>
      </c>
      <c r="J7998" t="s">
        <v>4909</v>
      </c>
      <c r="K7998" t="s">
        <v>4909</v>
      </c>
    </row>
    <row r="7999" spans="1:11" x14ac:dyDescent="0.2">
      <c r="A7999" t="s">
        <v>4269</v>
      </c>
      <c r="B7999" t="s">
        <v>4909</v>
      </c>
      <c r="C7999" t="s">
        <v>4909</v>
      </c>
      <c r="D7999" t="s">
        <v>4909</v>
      </c>
      <c r="E7999" t="s">
        <v>4909</v>
      </c>
      <c r="F7999" s="88">
        <v>0</v>
      </c>
      <c r="G7999" t="s">
        <v>4909</v>
      </c>
      <c r="H7999" t="s">
        <v>4909</v>
      </c>
      <c r="I7999" s="88">
        <v>0</v>
      </c>
      <c r="J7999" t="s">
        <v>4909</v>
      </c>
      <c r="K7999" t="s">
        <v>4909</v>
      </c>
    </row>
    <row r="8000" spans="1:11" x14ac:dyDescent="0.2">
      <c r="A8000" t="s">
        <v>4270</v>
      </c>
      <c r="B8000" t="s">
        <v>4909</v>
      </c>
      <c r="C8000" t="s">
        <v>4909</v>
      </c>
      <c r="D8000" t="s">
        <v>4909</v>
      </c>
      <c r="E8000" t="s">
        <v>4909</v>
      </c>
      <c r="F8000" t="s">
        <v>4909</v>
      </c>
      <c r="G8000" t="s">
        <v>4909</v>
      </c>
      <c r="H8000" t="s">
        <v>4909</v>
      </c>
      <c r="I8000" t="s">
        <v>4909</v>
      </c>
      <c r="J8000" t="s">
        <v>4909</v>
      </c>
      <c r="K8000" t="s">
        <v>4909</v>
      </c>
    </row>
    <row r="8001" spans="1:11" x14ac:dyDescent="0.2">
      <c r="A8001" t="s">
        <v>4271</v>
      </c>
      <c r="B8001" t="s">
        <v>4909</v>
      </c>
      <c r="C8001" t="s">
        <v>4909</v>
      </c>
      <c r="D8001" t="s">
        <v>4909</v>
      </c>
      <c r="E8001" t="s">
        <v>4909</v>
      </c>
      <c r="F8001" t="s">
        <v>4909</v>
      </c>
      <c r="G8001" t="s">
        <v>4909</v>
      </c>
      <c r="H8001" t="s">
        <v>4909</v>
      </c>
      <c r="I8001" t="s">
        <v>4909</v>
      </c>
      <c r="J8001" t="s">
        <v>4909</v>
      </c>
      <c r="K8001" t="s">
        <v>4909</v>
      </c>
    </row>
    <row r="8002" spans="1:11" x14ac:dyDescent="0.2">
      <c r="A8002" t="s">
        <v>4272</v>
      </c>
      <c r="B8002" t="s">
        <v>4909</v>
      </c>
      <c r="C8002" t="s">
        <v>4909</v>
      </c>
      <c r="D8002" t="s">
        <v>4909</v>
      </c>
      <c r="E8002" t="s">
        <v>4909</v>
      </c>
      <c r="F8002" t="s">
        <v>4909</v>
      </c>
      <c r="G8002" t="s">
        <v>4909</v>
      </c>
      <c r="H8002" t="s">
        <v>4909</v>
      </c>
      <c r="I8002" t="s">
        <v>4909</v>
      </c>
      <c r="J8002" t="s">
        <v>4909</v>
      </c>
      <c r="K8002" t="s">
        <v>4909</v>
      </c>
    </row>
    <row r="8003" spans="1:11" x14ac:dyDescent="0.2">
      <c r="A8003" t="s">
        <v>4273</v>
      </c>
      <c r="B8003" t="s">
        <v>4909</v>
      </c>
      <c r="C8003" t="s">
        <v>4909</v>
      </c>
      <c r="D8003" t="s">
        <v>4909</v>
      </c>
      <c r="E8003" t="s">
        <v>4909</v>
      </c>
      <c r="F8003" t="s">
        <v>4909</v>
      </c>
      <c r="G8003" t="s">
        <v>4909</v>
      </c>
      <c r="H8003" t="s">
        <v>4909</v>
      </c>
      <c r="I8003" t="s">
        <v>4909</v>
      </c>
      <c r="J8003" t="s">
        <v>4909</v>
      </c>
      <c r="K8003" t="s">
        <v>4909</v>
      </c>
    </row>
    <row r="8004" spans="1:11" x14ac:dyDescent="0.2">
      <c r="A8004" t="s">
        <v>4274</v>
      </c>
      <c r="B8004" t="s">
        <v>4909</v>
      </c>
      <c r="C8004" t="s">
        <v>4909</v>
      </c>
      <c r="D8004" t="s">
        <v>4909</v>
      </c>
      <c r="E8004" t="s">
        <v>4909</v>
      </c>
      <c r="F8004" t="s">
        <v>4909</v>
      </c>
      <c r="G8004" t="s">
        <v>4909</v>
      </c>
      <c r="H8004" t="s">
        <v>4909</v>
      </c>
      <c r="I8004" t="s">
        <v>4909</v>
      </c>
      <c r="J8004" t="s">
        <v>4909</v>
      </c>
      <c r="K8004" t="s">
        <v>4909</v>
      </c>
    </row>
    <row r="8005" spans="1:11" x14ac:dyDescent="0.2">
      <c r="A8005" t="s">
        <v>4275</v>
      </c>
      <c r="B8005" t="s">
        <v>4909</v>
      </c>
      <c r="C8005" t="s">
        <v>4909</v>
      </c>
      <c r="D8005" t="s">
        <v>4909</v>
      </c>
      <c r="E8005" t="s">
        <v>4909</v>
      </c>
      <c r="F8005" t="s">
        <v>4909</v>
      </c>
      <c r="G8005" t="s">
        <v>4909</v>
      </c>
      <c r="H8005" t="s">
        <v>4909</v>
      </c>
      <c r="I8005" t="s">
        <v>4909</v>
      </c>
      <c r="J8005" t="s">
        <v>4909</v>
      </c>
      <c r="K8005" t="s">
        <v>4909</v>
      </c>
    </row>
    <row r="8006" spans="1:11" x14ac:dyDescent="0.2">
      <c r="A8006" t="s">
        <v>4276</v>
      </c>
      <c r="B8006" t="s">
        <v>4909</v>
      </c>
      <c r="C8006" t="s">
        <v>4909</v>
      </c>
      <c r="D8006" t="s">
        <v>4909</v>
      </c>
      <c r="E8006" t="s">
        <v>4909</v>
      </c>
      <c r="F8006" t="s">
        <v>4909</v>
      </c>
      <c r="G8006" t="s">
        <v>4909</v>
      </c>
      <c r="H8006" t="s">
        <v>4909</v>
      </c>
      <c r="I8006" t="s">
        <v>4909</v>
      </c>
      <c r="J8006" t="s">
        <v>4909</v>
      </c>
      <c r="K8006" t="s">
        <v>4909</v>
      </c>
    </row>
    <row r="8007" spans="1:11" x14ac:dyDescent="0.2">
      <c r="A8007" t="s">
        <v>4277</v>
      </c>
      <c r="B8007" t="s">
        <v>4909</v>
      </c>
      <c r="C8007" t="s">
        <v>4909</v>
      </c>
      <c r="D8007" t="s">
        <v>4909</v>
      </c>
      <c r="E8007" t="s">
        <v>4909</v>
      </c>
      <c r="F8007" t="s">
        <v>4909</v>
      </c>
      <c r="G8007" t="s">
        <v>4909</v>
      </c>
      <c r="H8007" t="s">
        <v>4909</v>
      </c>
      <c r="I8007" t="s">
        <v>4909</v>
      </c>
      <c r="J8007" t="s">
        <v>4909</v>
      </c>
      <c r="K8007" t="s">
        <v>4909</v>
      </c>
    </row>
    <row r="8008" spans="1:11" x14ac:dyDescent="0.2">
      <c r="A8008" t="s">
        <v>4278</v>
      </c>
      <c r="B8008" t="s">
        <v>4909</v>
      </c>
      <c r="C8008" t="s">
        <v>4909</v>
      </c>
      <c r="D8008" t="s">
        <v>4909</v>
      </c>
      <c r="E8008" t="s">
        <v>4909</v>
      </c>
      <c r="F8008" t="s">
        <v>4909</v>
      </c>
      <c r="G8008" t="s">
        <v>4909</v>
      </c>
      <c r="H8008" t="s">
        <v>4909</v>
      </c>
      <c r="I8008" t="s">
        <v>4909</v>
      </c>
      <c r="J8008" t="s">
        <v>4909</v>
      </c>
      <c r="K8008" t="s">
        <v>4909</v>
      </c>
    </row>
    <row r="8009" spans="1:11" x14ac:dyDescent="0.2">
      <c r="A8009" t="s">
        <v>4279</v>
      </c>
      <c r="B8009" t="s">
        <v>4909</v>
      </c>
      <c r="C8009" t="s">
        <v>4909</v>
      </c>
      <c r="D8009" t="s">
        <v>4909</v>
      </c>
      <c r="E8009" t="s">
        <v>4909</v>
      </c>
      <c r="F8009" t="s">
        <v>4909</v>
      </c>
      <c r="G8009" t="s">
        <v>4909</v>
      </c>
      <c r="H8009" t="s">
        <v>4909</v>
      </c>
      <c r="I8009" t="s">
        <v>4909</v>
      </c>
      <c r="J8009" s="88">
        <v>0</v>
      </c>
      <c r="K8009" t="s">
        <v>4909</v>
      </c>
    </row>
    <row r="8010" spans="1:11" x14ac:dyDescent="0.2">
      <c r="A8010" t="s">
        <v>4280</v>
      </c>
      <c r="B8010" t="s">
        <v>4909</v>
      </c>
      <c r="C8010" t="s">
        <v>4909</v>
      </c>
      <c r="D8010" t="s">
        <v>4909</v>
      </c>
      <c r="E8010" t="s">
        <v>4909</v>
      </c>
      <c r="F8010" t="s">
        <v>4909</v>
      </c>
      <c r="G8010" t="s">
        <v>4909</v>
      </c>
      <c r="H8010" t="s">
        <v>4909</v>
      </c>
      <c r="I8010" t="s">
        <v>4909</v>
      </c>
      <c r="J8010" t="s">
        <v>4909</v>
      </c>
      <c r="K8010" t="s">
        <v>4909</v>
      </c>
    </row>
    <row r="8011" spans="1:11" x14ac:dyDescent="0.2">
      <c r="A8011" t="s">
        <v>4281</v>
      </c>
      <c r="B8011" s="88">
        <v>0</v>
      </c>
      <c r="C8011" s="88">
        <v>7.0000000000000001E-3</v>
      </c>
      <c r="D8011" t="s">
        <v>4909</v>
      </c>
      <c r="E8011" t="s">
        <v>4909</v>
      </c>
      <c r="F8011" s="88">
        <v>2E-3</v>
      </c>
      <c r="G8011" t="s">
        <v>4909</v>
      </c>
      <c r="H8011" s="88">
        <v>0</v>
      </c>
      <c r="I8011" s="88">
        <v>1.0999999999999999E-2</v>
      </c>
      <c r="J8011" s="88">
        <v>5.0000000000000001E-3</v>
      </c>
      <c r="K8011" t="s">
        <v>4909</v>
      </c>
    </row>
    <row r="8012" spans="1:11" x14ac:dyDescent="0.2">
      <c r="A8012" t="s">
        <v>4282</v>
      </c>
      <c r="B8012" s="88">
        <v>1E-3</v>
      </c>
      <c r="C8012" s="88">
        <v>8.9999999999999993E-3</v>
      </c>
      <c r="D8012" t="s">
        <v>4909</v>
      </c>
      <c r="E8012" t="s">
        <v>4909</v>
      </c>
      <c r="F8012" s="88">
        <v>0.01</v>
      </c>
      <c r="G8012" t="s">
        <v>4909</v>
      </c>
      <c r="H8012" s="88">
        <v>2E-3</v>
      </c>
      <c r="I8012" s="88">
        <v>1.4E-2</v>
      </c>
      <c r="J8012" s="88">
        <v>1.2E-2</v>
      </c>
      <c r="K8012" t="s">
        <v>4909</v>
      </c>
    </row>
    <row r="8013" spans="1:11" x14ac:dyDescent="0.2">
      <c r="A8013" t="s">
        <v>4283</v>
      </c>
      <c r="B8013" s="88">
        <v>0</v>
      </c>
      <c r="C8013" s="88">
        <v>6.0000000000000001E-3</v>
      </c>
      <c r="D8013" t="s">
        <v>4909</v>
      </c>
      <c r="E8013" t="s">
        <v>4909</v>
      </c>
      <c r="F8013" s="88">
        <v>0</v>
      </c>
      <c r="G8013" t="s">
        <v>4909</v>
      </c>
      <c r="H8013" s="88">
        <v>0</v>
      </c>
      <c r="I8013" s="88">
        <v>5.0000000000000001E-3</v>
      </c>
      <c r="J8013" s="88">
        <v>3.0000000000000001E-3</v>
      </c>
      <c r="K8013" t="s">
        <v>4909</v>
      </c>
    </row>
    <row r="8014" spans="1:11" x14ac:dyDescent="0.2">
      <c r="A8014" t="s">
        <v>4284</v>
      </c>
      <c r="B8014" t="s">
        <v>4909</v>
      </c>
      <c r="C8014" s="88">
        <v>2E-3</v>
      </c>
      <c r="D8014" t="s">
        <v>4909</v>
      </c>
      <c r="E8014" t="s">
        <v>4909</v>
      </c>
      <c r="F8014" s="88">
        <v>2E-3</v>
      </c>
      <c r="G8014" t="s">
        <v>4909</v>
      </c>
      <c r="H8014" s="88">
        <v>0</v>
      </c>
      <c r="I8014" s="88">
        <v>3.0000000000000001E-3</v>
      </c>
      <c r="J8014" s="88">
        <v>5.0000000000000001E-3</v>
      </c>
      <c r="K8014" t="s">
        <v>4909</v>
      </c>
    </row>
    <row r="8015" spans="1:11" x14ac:dyDescent="0.2">
      <c r="A8015" t="s">
        <v>4285</v>
      </c>
      <c r="B8015" s="88">
        <v>0</v>
      </c>
      <c r="C8015" s="88">
        <v>1.6E-2</v>
      </c>
      <c r="D8015" t="s">
        <v>4909</v>
      </c>
      <c r="E8015" t="s">
        <v>4909</v>
      </c>
      <c r="F8015" s="88">
        <v>4.0000000000000001E-3</v>
      </c>
      <c r="G8015" t="s">
        <v>4909</v>
      </c>
      <c r="H8015" s="88">
        <v>0</v>
      </c>
      <c r="I8015" s="88">
        <v>2.1000000000000001E-2</v>
      </c>
      <c r="J8015" s="88">
        <v>1.2E-2</v>
      </c>
      <c r="K8015" t="s">
        <v>4909</v>
      </c>
    </row>
    <row r="8016" spans="1:11" x14ac:dyDescent="0.2">
      <c r="A8016" t="s">
        <v>4286</v>
      </c>
      <c r="B8016" s="88">
        <v>0</v>
      </c>
      <c r="C8016" s="88">
        <v>1.4E-2</v>
      </c>
      <c r="D8016" t="s">
        <v>4909</v>
      </c>
      <c r="E8016" t="s">
        <v>4909</v>
      </c>
      <c r="F8016" s="88">
        <v>8.9999999999999993E-3</v>
      </c>
      <c r="G8016" t="s">
        <v>4909</v>
      </c>
      <c r="H8016" s="88">
        <v>2E-3</v>
      </c>
      <c r="I8016" s="88">
        <v>1.0999999999999999E-2</v>
      </c>
      <c r="J8016" s="88">
        <v>0.02</v>
      </c>
      <c r="K8016" t="s">
        <v>4909</v>
      </c>
    </row>
    <row r="8017" spans="1:11" x14ac:dyDescent="0.2">
      <c r="A8017" t="s">
        <v>4287</v>
      </c>
      <c r="B8017" t="s">
        <v>4909</v>
      </c>
      <c r="C8017" s="88">
        <v>0</v>
      </c>
      <c r="D8017" t="s">
        <v>4909</v>
      </c>
      <c r="E8017" t="s">
        <v>4909</v>
      </c>
      <c r="F8017" t="s">
        <v>4909</v>
      </c>
      <c r="G8017" t="s">
        <v>4909</v>
      </c>
      <c r="H8017" t="s">
        <v>4909</v>
      </c>
      <c r="I8017" s="88">
        <v>0</v>
      </c>
      <c r="J8017" s="88">
        <v>1E-3</v>
      </c>
      <c r="K8017" t="s">
        <v>4909</v>
      </c>
    </row>
    <row r="8018" spans="1:11" x14ac:dyDescent="0.2">
      <c r="A8018" t="s">
        <v>4288</v>
      </c>
      <c r="B8018" t="s">
        <v>4909</v>
      </c>
      <c r="C8018" t="s">
        <v>4909</v>
      </c>
      <c r="D8018" t="s">
        <v>4909</v>
      </c>
      <c r="E8018" t="s">
        <v>4909</v>
      </c>
      <c r="F8018" t="s">
        <v>4909</v>
      </c>
      <c r="G8018" t="s">
        <v>4909</v>
      </c>
      <c r="H8018" t="s">
        <v>4909</v>
      </c>
      <c r="I8018" t="s">
        <v>4909</v>
      </c>
      <c r="J8018" t="s">
        <v>4909</v>
      </c>
      <c r="K8018" t="s">
        <v>4909</v>
      </c>
    </row>
    <row r="8019" spans="1:11" x14ac:dyDescent="0.2">
      <c r="A8019" t="s">
        <v>4289</v>
      </c>
      <c r="B8019" t="s">
        <v>4909</v>
      </c>
      <c r="C8019" t="s">
        <v>4909</v>
      </c>
      <c r="D8019" t="s">
        <v>4909</v>
      </c>
      <c r="E8019" t="s">
        <v>4909</v>
      </c>
      <c r="F8019" t="s">
        <v>4909</v>
      </c>
      <c r="G8019" t="s">
        <v>4909</v>
      </c>
      <c r="H8019" t="s">
        <v>4909</v>
      </c>
      <c r="I8019" t="s">
        <v>4909</v>
      </c>
      <c r="J8019" t="s">
        <v>4909</v>
      </c>
      <c r="K8019" t="s">
        <v>4909</v>
      </c>
    </row>
    <row r="8020" spans="1:11" x14ac:dyDescent="0.2">
      <c r="A8020" t="s">
        <v>4290</v>
      </c>
      <c r="B8020" t="s">
        <v>4909</v>
      </c>
      <c r="C8020" t="s">
        <v>4909</v>
      </c>
      <c r="D8020" t="s">
        <v>4909</v>
      </c>
      <c r="E8020" t="s">
        <v>4909</v>
      </c>
      <c r="F8020" t="s">
        <v>4909</v>
      </c>
      <c r="G8020" t="s">
        <v>4909</v>
      </c>
      <c r="H8020" t="s">
        <v>4909</v>
      </c>
      <c r="I8020" t="s">
        <v>4909</v>
      </c>
      <c r="J8020" t="s">
        <v>4909</v>
      </c>
      <c r="K8020" t="s">
        <v>4909</v>
      </c>
    </row>
    <row r="8021" spans="1:11" x14ac:dyDescent="0.2">
      <c r="A8021" t="s">
        <v>4291</v>
      </c>
      <c r="B8021" t="s">
        <v>4909</v>
      </c>
      <c r="C8021" t="s">
        <v>4909</v>
      </c>
      <c r="D8021" t="s">
        <v>4909</v>
      </c>
      <c r="E8021" t="s">
        <v>4909</v>
      </c>
      <c r="F8021" t="s">
        <v>4909</v>
      </c>
      <c r="G8021" t="s">
        <v>4909</v>
      </c>
      <c r="H8021" t="s">
        <v>4909</v>
      </c>
      <c r="I8021" t="s">
        <v>4909</v>
      </c>
      <c r="J8021" t="s">
        <v>4909</v>
      </c>
      <c r="K8021" t="s">
        <v>4909</v>
      </c>
    </row>
    <row r="8022" spans="1:11" x14ac:dyDescent="0.2">
      <c r="A8022" t="s">
        <v>4292</v>
      </c>
      <c r="B8022" t="s">
        <v>4909</v>
      </c>
      <c r="C8022" t="s">
        <v>4909</v>
      </c>
      <c r="D8022" t="s">
        <v>4909</v>
      </c>
      <c r="E8022" t="s">
        <v>4909</v>
      </c>
      <c r="F8022" t="s">
        <v>4909</v>
      </c>
      <c r="G8022" t="s">
        <v>4909</v>
      </c>
      <c r="H8022" t="s">
        <v>4909</v>
      </c>
      <c r="I8022" t="s">
        <v>4909</v>
      </c>
      <c r="J8022" t="s">
        <v>4909</v>
      </c>
      <c r="K8022" t="s">
        <v>4909</v>
      </c>
    </row>
    <row r="8023" spans="1:11" x14ac:dyDescent="0.2">
      <c r="A8023" t="s">
        <v>4293</v>
      </c>
      <c r="B8023" t="s">
        <v>4909</v>
      </c>
      <c r="C8023" t="s">
        <v>4909</v>
      </c>
      <c r="D8023" t="s">
        <v>4909</v>
      </c>
      <c r="E8023" t="s">
        <v>4909</v>
      </c>
      <c r="F8023" t="s">
        <v>4909</v>
      </c>
      <c r="G8023" t="s">
        <v>4909</v>
      </c>
      <c r="H8023" t="s">
        <v>4909</v>
      </c>
      <c r="I8023" t="s">
        <v>4909</v>
      </c>
      <c r="J8023" t="s">
        <v>4909</v>
      </c>
      <c r="K8023" t="s">
        <v>4909</v>
      </c>
    </row>
    <row r="8024" spans="1:11" x14ac:dyDescent="0.2">
      <c r="A8024" t="s">
        <v>4294</v>
      </c>
      <c r="B8024" t="s">
        <v>4909</v>
      </c>
      <c r="C8024" t="s">
        <v>4909</v>
      </c>
      <c r="D8024" t="s">
        <v>4909</v>
      </c>
      <c r="E8024" t="s">
        <v>4909</v>
      </c>
      <c r="F8024" t="s">
        <v>4909</v>
      </c>
      <c r="G8024" t="s">
        <v>4909</v>
      </c>
      <c r="H8024" t="s">
        <v>4909</v>
      </c>
      <c r="I8024" t="s">
        <v>4909</v>
      </c>
      <c r="J8024" t="s">
        <v>4909</v>
      </c>
      <c r="K8024" t="s">
        <v>4909</v>
      </c>
    </row>
    <row r="8025" spans="1:11" x14ac:dyDescent="0.2">
      <c r="A8025" t="s">
        <v>4295</v>
      </c>
      <c r="B8025" t="s">
        <v>4909</v>
      </c>
      <c r="C8025" t="s">
        <v>4909</v>
      </c>
      <c r="D8025" t="s">
        <v>4909</v>
      </c>
      <c r="E8025" t="s">
        <v>4909</v>
      </c>
      <c r="F8025" t="s">
        <v>4909</v>
      </c>
      <c r="G8025" t="s">
        <v>4909</v>
      </c>
      <c r="H8025" t="s">
        <v>4909</v>
      </c>
      <c r="I8025" t="s">
        <v>4909</v>
      </c>
      <c r="J8025" t="s">
        <v>4909</v>
      </c>
      <c r="K8025" t="s">
        <v>4909</v>
      </c>
    </row>
    <row r="8026" spans="1:11" x14ac:dyDescent="0.2">
      <c r="A8026" t="s">
        <v>4296</v>
      </c>
      <c r="B8026" t="s">
        <v>4909</v>
      </c>
      <c r="C8026" t="s">
        <v>4909</v>
      </c>
      <c r="D8026" t="s">
        <v>4909</v>
      </c>
      <c r="E8026" t="s">
        <v>4909</v>
      </c>
      <c r="F8026" t="s">
        <v>4909</v>
      </c>
      <c r="G8026" t="s">
        <v>4909</v>
      </c>
      <c r="H8026" t="s">
        <v>4909</v>
      </c>
      <c r="I8026" t="s">
        <v>4909</v>
      </c>
      <c r="J8026" t="s">
        <v>4909</v>
      </c>
      <c r="K8026" t="s">
        <v>4909</v>
      </c>
    </row>
    <row r="8027" spans="1:11" x14ac:dyDescent="0.2">
      <c r="A8027" t="s">
        <v>4297</v>
      </c>
      <c r="B8027" s="88">
        <v>0</v>
      </c>
      <c r="C8027" s="88">
        <v>8.9999999999999993E-3</v>
      </c>
      <c r="D8027" t="s">
        <v>4909</v>
      </c>
      <c r="E8027" t="s">
        <v>4909</v>
      </c>
      <c r="F8027" s="88">
        <v>2E-3</v>
      </c>
      <c r="G8027" t="s">
        <v>4909</v>
      </c>
      <c r="H8027" s="88">
        <v>0</v>
      </c>
      <c r="I8027" s="88">
        <v>1.2E-2</v>
      </c>
      <c r="J8027" s="88">
        <v>4.0000000000000001E-3</v>
      </c>
      <c r="K8027" t="s">
        <v>4909</v>
      </c>
    </row>
    <row r="8028" spans="1:11" x14ac:dyDescent="0.2">
      <c r="A8028" t="s">
        <v>4298</v>
      </c>
      <c r="B8028" s="88">
        <v>0</v>
      </c>
      <c r="C8028" s="88">
        <v>1.7999999999999999E-2</v>
      </c>
      <c r="D8028" t="s">
        <v>4909</v>
      </c>
      <c r="E8028" t="s">
        <v>4909</v>
      </c>
      <c r="F8028" s="88">
        <v>1E-3</v>
      </c>
      <c r="G8028" t="s">
        <v>4909</v>
      </c>
      <c r="H8028" s="88">
        <v>0</v>
      </c>
      <c r="I8028" s="88">
        <v>5.0000000000000001E-3</v>
      </c>
      <c r="J8028" s="88">
        <v>1.6E-2</v>
      </c>
      <c r="K8028" t="s">
        <v>4909</v>
      </c>
    </row>
    <row r="8029" spans="1:11" x14ac:dyDescent="0.2">
      <c r="A8029" t="s">
        <v>4299</v>
      </c>
      <c r="B8029" s="88">
        <v>2E-3</v>
      </c>
      <c r="C8029" s="88">
        <v>4.1000000000000002E-2</v>
      </c>
      <c r="D8029" t="s">
        <v>4909</v>
      </c>
      <c r="E8029" t="s">
        <v>4909</v>
      </c>
      <c r="F8029" s="88">
        <v>3.1E-2</v>
      </c>
      <c r="G8029" t="s">
        <v>4909</v>
      </c>
      <c r="H8029" s="88">
        <v>6.0000000000000001E-3</v>
      </c>
      <c r="I8029" s="88">
        <v>5.6000000000000001E-2</v>
      </c>
      <c r="J8029" s="88">
        <v>2.3E-2</v>
      </c>
      <c r="K8029" t="s">
        <v>4909</v>
      </c>
    </row>
    <row r="8030" spans="1:11" x14ac:dyDescent="0.2">
      <c r="A8030" t="s">
        <v>4300</v>
      </c>
      <c r="B8030" s="88">
        <v>2E-3</v>
      </c>
      <c r="C8030" s="88">
        <v>2.1999999999999999E-2</v>
      </c>
      <c r="D8030" t="s">
        <v>4909</v>
      </c>
      <c r="E8030" t="s">
        <v>4909</v>
      </c>
      <c r="F8030" s="88">
        <v>3.9E-2</v>
      </c>
      <c r="G8030" t="s">
        <v>4909</v>
      </c>
      <c r="H8030" s="88">
        <v>8.0000000000000002E-3</v>
      </c>
      <c r="I8030" s="88">
        <v>0.05</v>
      </c>
      <c r="J8030" s="88">
        <v>5.7000000000000002E-2</v>
      </c>
      <c r="K8030" t="s">
        <v>4909</v>
      </c>
    </row>
    <row r="8031" spans="1:11" x14ac:dyDescent="0.2">
      <c r="A8031" t="s">
        <v>4301</v>
      </c>
      <c r="B8031" s="88">
        <v>0</v>
      </c>
      <c r="C8031" s="88">
        <v>0.03</v>
      </c>
      <c r="D8031" t="s">
        <v>4909</v>
      </c>
      <c r="E8031" t="s">
        <v>4909</v>
      </c>
      <c r="F8031" s="88">
        <v>7.0000000000000001E-3</v>
      </c>
      <c r="G8031" t="s">
        <v>4909</v>
      </c>
      <c r="H8031" s="88">
        <v>1E-3</v>
      </c>
      <c r="I8031" s="88">
        <v>4.2999999999999997E-2</v>
      </c>
      <c r="J8031" s="88">
        <v>2.4E-2</v>
      </c>
      <c r="K8031" t="s">
        <v>4909</v>
      </c>
    </row>
    <row r="8032" spans="1:11" x14ac:dyDescent="0.2">
      <c r="A8032" t="s">
        <v>4302</v>
      </c>
      <c r="B8032" s="88">
        <v>1E-3</v>
      </c>
      <c r="C8032" s="88">
        <v>0.03</v>
      </c>
      <c r="D8032" t="s">
        <v>4909</v>
      </c>
      <c r="E8032" t="s">
        <v>4909</v>
      </c>
      <c r="F8032" s="88">
        <v>0.01</v>
      </c>
      <c r="G8032" t="s">
        <v>4909</v>
      </c>
      <c r="H8032" s="88">
        <v>2E-3</v>
      </c>
      <c r="I8032" s="88">
        <v>4.1000000000000002E-2</v>
      </c>
      <c r="J8032" s="88">
        <v>1.6E-2</v>
      </c>
      <c r="K8032" t="s">
        <v>4909</v>
      </c>
    </row>
    <row r="8033" spans="1:11" x14ac:dyDescent="0.2">
      <c r="A8033" t="s">
        <v>4303</v>
      </c>
      <c r="B8033" s="88">
        <v>2E-3</v>
      </c>
      <c r="C8033" s="88">
        <v>0.02</v>
      </c>
      <c r="D8033" t="s">
        <v>4909</v>
      </c>
      <c r="E8033" t="s">
        <v>4909</v>
      </c>
      <c r="F8033" s="88">
        <v>2.5000000000000001E-2</v>
      </c>
      <c r="G8033" t="s">
        <v>4909</v>
      </c>
      <c r="H8033" s="88">
        <v>4.0000000000000001E-3</v>
      </c>
      <c r="I8033" s="88">
        <v>3.1E-2</v>
      </c>
      <c r="J8033" s="88">
        <v>0.03</v>
      </c>
      <c r="K8033" t="s">
        <v>4909</v>
      </c>
    </row>
    <row r="8034" spans="1:11" x14ac:dyDescent="0.2">
      <c r="A8034" t="s">
        <v>4304</v>
      </c>
      <c r="B8034" s="88">
        <v>0</v>
      </c>
      <c r="C8034" s="88">
        <v>0.04</v>
      </c>
      <c r="D8034" t="s">
        <v>4909</v>
      </c>
      <c r="E8034" t="s">
        <v>4909</v>
      </c>
      <c r="F8034" s="88">
        <v>1.7000000000000001E-2</v>
      </c>
      <c r="G8034" t="s">
        <v>4909</v>
      </c>
      <c r="H8034" s="88">
        <v>3.0000000000000001E-3</v>
      </c>
      <c r="I8034" s="88">
        <v>0.109</v>
      </c>
      <c r="J8034" s="88">
        <v>8.0000000000000002E-3</v>
      </c>
      <c r="K8034" t="s">
        <v>4909</v>
      </c>
    </row>
    <row r="8035" spans="1:11" x14ac:dyDescent="0.2">
      <c r="A8035" t="s">
        <v>4305</v>
      </c>
      <c r="B8035" s="88">
        <v>0</v>
      </c>
      <c r="C8035" s="88">
        <v>1.6E-2</v>
      </c>
      <c r="D8035" t="s">
        <v>4909</v>
      </c>
      <c r="E8035" t="s">
        <v>4909</v>
      </c>
      <c r="F8035" s="88">
        <v>2E-3</v>
      </c>
      <c r="G8035" t="s">
        <v>4909</v>
      </c>
      <c r="H8035" s="88">
        <v>0</v>
      </c>
      <c r="I8035" s="88">
        <v>1.4999999999999999E-2</v>
      </c>
      <c r="J8035" s="88">
        <v>4.0000000000000001E-3</v>
      </c>
      <c r="K8035" t="s">
        <v>4909</v>
      </c>
    </row>
    <row r="8036" spans="1:11" x14ac:dyDescent="0.2">
      <c r="A8036" t="s">
        <v>4306</v>
      </c>
      <c r="B8036" t="s">
        <v>4909</v>
      </c>
      <c r="C8036" s="88">
        <v>1.7999999999999999E-2</v>
      </c>
      <c r="D8036" t="s">
        <v>4909</v>
      </c>
      <c r="E8036" t="s">
        <v>4909</v>
      </c>
      <c r="F8036" s="88">
        <v>8.0000000000000002E-3</v>
      </c>
      <c r="G8036" t="s">
        <v>4909</v>
      </c>
      <c r="H8036" s="88">
        <v>1E-3</v>
      </c>
      <c r="I8036" s="88">
        <v>3.2000000000000001E-2</v>
      </c>
      <c r="J8036" s="88">
        <v>1.7000000000000001E-2</v>
      </c>
      <c r="K8036" t="s">
        <v>4909</v>
      </c>
    </row>
    <row r="8037" spans="1:11" x14ac:dyDescent="0.2">
      <c r="A8037" t="s">
        <v>4307</v>
      </c>
      <c r="B8037" s="88">
        <v>1E-3</v>
      </c>
      <c r="C8037" s="88">
        <v>0.01</v>
      </c>
      <c r="D8037" t="s">
        <v>4909</v>
      </c>
      <c r="E8037" t="s">
        <v>4909</v>
      </c>
      <c r="F8037" s="88">
        <v>1.2999999999999999E-2</v>
      </c>
      <c r="G8037" t="s">
        <v>4909</v>
      </c>
      <c r="H8037" s="88">
        <v>2E-3</v>
      </c>
      <c r="I8037" s="88">
        <v>1.7000000000000001E-2</v>
      </c>
      <c r="J8037" s="88">
        <v>4.8000000000000001E-2</v>
      </c>
      <c r="K8037" t="s">
        <v>4909</v>
      </c>
    </row>
    <row r="8038" spans="1:11" x14ac:dyDescent="0.2">
      <c r="A8038" t="s">
        <v>4308</v>
      </c>
      <c r="B8038" t="s">
        <v>4909</v>
      </c>
      <c r="C8038" t="s">
        <v>4909</v>
      </c>
      <c r="D8038" t="s">
        <v>4909</v>
      </c>
      <c r="E8038" t="s">
        <v>4909</v>
      </c>
      <c r="F8038" t="s">
        <v>4909</v>
      </c>
      <c r="G8038" t="s">
        <v>4909</v>
      </c>
      <c r="H8038" t="s">
        <v>4909</v>
      </c>
      <c r="I8038" t="s">
        <v>4909</v>
      </c>
      <c r="J8038" s="88">
        <v>1E-3</v>
      </c>
      <c r="K8038" t="s">
        <v>4909</v>
      </c>
    </row>
    <row r="8039" spans="1:11" x14ac:dyDescent="0.2">
      <c r="A8039" t="s">
        <v>4309</v>
      </c>
      <c r="B8039" t="s">
        <v>4909</v>
      </c>
      <c r="C8039" t="s">
        <v>4909</v>
      </c>
      <c r="D8039" t="s">
        <v>4909</v>
      </c>
      <c r="E8039" t="s">
        <v>4909</v>
      </c>
      <c r="F8039" t="s">
        <v>4909</v>
      </c>
      <c r="G8039" t="s">
        <v>4909</v>
      </c>
      <c r="H8039" t="s">
        <v>4909</v>
      </c>
      <c r="I8039" t="s">
        <v>4909</v>
      </c>
      <c r="J8039" t="s">
        <v>4909</v>
      </c>
      <c r="K8039" t="s">
        <v>4909</v>
      </c>
    </row>
    <row r="8040" spans="1:11" x14ac:dyDescent="0.2">
      <c r="A8040" t="s">
        <v>4310</v>
      </c>
      <c r="B8040" t="s">
        <v>4909</v>
      </c>
      <c r="C8040" t="s">
        <v>4909</v>
      </c>
      <c r="D8040" t="s">
        <v>4909</v>
      </c>
      <c r="E8040" t="s">
        <v>4909</v>
      </c>
      <c r="F8040" t="s">
        <v>4909</v>
      </c>
      <c r="G8040" t="s">
        <v>4909</v>
      </c>
      <c r="H8040" t="s">
        <v>4909</v>
      </c>
      <c r="I8040" t="s">
        <v>4909</v>
      </c>
      <c r="J8040" t="s">
        <v>4909</v>
      </c>
      <c r="K8040" t="s">
        <v>4909</v>
      </c>
    </row>
    <row r="8041" spans="1:11" x14ac:dyDescent="0.2">
      <c r="A8041" t="s">
        <v>4311</v>
      </c>
      <c r="B8041" t="s">
        <v>4909</v>
      </c>
      <c r="C8041" s="88">
        <v>0</v>
      </c>
      <c r="D8041" t="s">
        <v>4909</v>
      </c>
      <c r="E8041" t="s">
        <v>4909</v>
      </c>
      <c r="F8041" t="s">
        <v>4909</v>
      </c>
      <c r="G8041" t="s">
        <v>4909</v>
      </c>
      <c r="H8041" t="s">
        <v>4909</v>
      </c>
      <c r="I8041" t="s">
        <v>4909</v>
      </c>
      <c r="J8041" s="88">
        <v>1.4999999999999999E-2</v>
      </c>
      <c r="K8041" t="s">
        <v>4909</v>
      </c>
    </row>
    <row r="8042" spans="1:11" x14ac:dyDescent="0.2">
      <c r="A8042" t="s">
        <v>4312</v>
      </c>
      <c r="B8042" s="88">
        <v>0</v>
      </c>
      <c r="C8042" s="88">
        <v>2E-3</v>
      </c>
      <c r="D8042" t="s">
        <v>4909</v>
      </c>
      <c r="E8042" t="s">
        <v>4909</v>
      </c>
      <c r="F8042" s="88">
        <v>2E-3</v>
      </c>
      <c r="G8042" t="s">
        <v>4909</v>
      </c>
      <c r="H8042" s="88">
        <v>0</v>
      </c>
      <c r="I8042" s="88">
        <v>3.0000000000000001E-3</v>
      </c>
      <c r="J8042" s="88">
        <v>0.55300000000000005</v>
      </c>
      <c r="K8042" t="s">
        <v>4909</v>
      </c>
    </row>
    <row r="8043" spans="1:11" x14ac:dyDescent="0.2">
      <c r="A8043" t="s">
        <v>4313</v>
      </c>
      <c r="B8043" t="s">
        <v>4909</v>
      </c>
      <c r="C8043" t="s">
        <v>4909</v>
      </c>
      <c r="D8043" t="s">
        <v>4909</v>
      </c>
      <c r="E8043" t="s">
        <v>4909</v>
      </c>
      <c r="F8043" t="s">
        <v>4909</v>
      </c>
      <c r="G8043" t="s">
        <v>4909</v>
      </c>
      <c r="H8043" t="s">
        <v>4909</v>
      </c>
      <c r="I8043" t="s">
        <v>4909</v>
      </c>
      <c r="J8043" t="s">
        <v>4909</v>
      </c>
      <c r="K8043" t="s">
        <v>4909</v>
      </c>
    </row>
    <row r="8044" spans="1:11" x14ac:dyDescent="0.2">
      <c r="A8044" t="s">
        <v>4314</v>
      </c>
      <c r="B8044" s="88">
        <v>0</v>
      </c>
      <c r="C8044" s="88">
        <v>2E-3</v>
      </c>
      <c r="D8044" t="s">
        <v>4909</v>
      </c>
      <c r="E8044" t="s">
        <v>4909</v>
      </c>
      <c r="F8044" s="88">
        <v>0</v>
      </c>
      <c r="G8044" t="s">
        <v>4909</v>
      </c>
      <c r="H8044" s="88">
        <v>0</v>
      </c>
      <c r="I8044" s="88">
        <v>0</v>
      </c>
      <c r="J8044" s="88">
        <v>0.626</v>
      </c>
      <c r="K8044" t="s">
        <v>4909</v>
      </c>
    </row>
    <row r="8045" spans="1:11" x14ac:dyDescent="0.2">
      <c r="A8045" t="s">
        <v>4315</v>
      </c>
      <c r="B8045" t="s">
        <v>4909</v>
      </c>
      <c r="C8045" t="s">
        <v>4909</v>
      </c>
      <c r="D8045" t="s">
        <v>4909</v>
      </c>
      <c r="E8045" t="s">
        <v>4909</v>
      </c>
      <c r="F8045" t="s">
        <v>4909</v>
      </c>
      <c r="G8045" t="s">
        <v>4909</v>
      </c>
      <c r="H8045" t="s">
        <v>4909</v>
      </c>
      <c r="I8045" t="s">
        <v>4909</v>
      </c>
      <c r="J8045" t="s">
        <v>4909</v>
      </c>
      <c r="K8045" t="s">
        <v>4909</v>
      </c>
    </row>
    <row r="8046" spans="1:11" x14ac:dyDescent="0.2">
      <c r="A8046" t="s">
        <v>4316</v>
      </c>
      <c r="B8046" t="s">
        <v>4909</v>
      </c>
      <c r="C8046" t="s">
        <v>4909</v>
      </c>
      <c r="D8046" t="s">
        <v>4909</v>
      </c>
      <c r="E8046" t="s">
        <v>4909</v>
      </c>
      <c r="F8046" t="s">
        <v>4909</v>
      </c>
      <c r="G8046" t="s">
        <v>4909</v>
      </c>
      <c r="H8046" t="s">
        <v>4909</v>
      </c>
      <c r="I8046" t="s">
        <v>4909</v>
      </c>
      <c r="J8046" s="88">
        <v>0.82299999999999995</v>
      </c>
      <c r="K8046" t="s">
        <v>4909</v>
      </c>
    </row>
    <row r="8047" spans="1:11" x14ac:dyDescent="0.2">
      <c r="A8047" t="s">
        <v>4317</v>
      </c>
      <c r="B8047" t="s">
        <v>4909</v>
      </c>
      <c r="C8047" t="s">
        <v>4909</v>
      </c>
      <c r="D8047" t="s">
        <v>4909</v>
      </c>
      <c r="E8047" t="s">
        <v>4909</v>
      </c>
      <c r="F8047" t="s">
        <v>4909</v>
      </c>
      <c r="G8047" t="s">
        <v>4909</v>
      </c>
      <c r="H8047" t="s">
        <v>4909</v>
      </c>
      <c r="I8047" t="s">
        <v>4909</v>
      </c>
      <c r="J8047" t="s">
        <v>4909</v>
      </c>
      <c r="K8047" t="s">
        <v>4909</v>
      </c>
    </row>
    <row r="8048" spans="1:11" x14ac:dyDescent="0.2">
      <c r="A8048" t="s">
        <v>4318</v>
      </c>
      <c r="B8048" t="s">
        <v>4909</v>
      </c>
      <c r="C8048" t="s">
        <v>4909</v>
      </c>
      <c r="D8048" t="s">
        <v>4909</v>
      </c>
      <c r="E8048" t="s">
        <v>4909</v>
      </c>
      <c r="F8048" t="s">
        <v>4909</v>
      </c>
      <c r="G8048" t="s">
        <v>4909</v>
      </c>
      <c r="H8048" t="s">
        <v>4909</v>
      </c>
      <c r="I8048" t="s">
        <v>4909</v>
      </c>
      <c r="J8048" s="88">
        <v>0.75700000000000001</v>
      </c>
      <c r="K8048" t="s">
        <v>4909</v>
      </c>
    </row>
    <row r="8049" spans="1:11" x14ac:dyDescent="0.2">
      <c r="A8049" t="s">
        <v>4319</v>
      </c>
      <c r="B8049" t="s">
        <v>4909</v>
      </c>
      <c r="C8049" t="s">
        <v>4909</v>
      </c>
      <c r="D8049" t="s">
        <v>4909</v>
      </c>
      <c r="E8049" t="s">
        <v>4909</v>
      </c>
      <c r="F8049" t="s">
        <v>4909</v>
      </c>
      <c r="G8049" t="s">
        <v>4909</v>
      </c>
      <c r="H8049" t="s">
        <v>4909</v>
      </c>
      <c r="I8049" t="s">
        <v>4909</v>
      </c>
      <c r="J8049" t="s">
        <v>4909</v>
      </c>
      <c r="K8049" t="s">
        <v>4909</v>
      </c>
    </row>
    <row r="8050" spans="1:11" x14ac:dyDescent="0.2">
      <c r="A8050" t="s">
        <v>4320</v>
      </c>
      <c r="B8050" t="s">
        <v>4909</v>
      </c>
      <c r="C8050" t="s">
        <v>4909</v>
      </c>
      <c r="D8050" t="s">
        <v>4909</v>
      </c>
      <c r="E8050" t="s">
        <v>4909</v>
      </c>
      <c r="F8050" t="s">
        <v>4909</v>
      </c>
      <c r="G8050" t="s">
        <v>4909</v>
      </c>
      <c r="H8050" t="s">
        <v>4909</v>
      </c>
      <c r="I8050" t="s">
        <v>4909</v>
      </c>
      <c r="J8050" s="88">
        <v>0.754</v>
      </c>
      <c r="K8050" t="s">
        <v>4909</v>
      </c>
    </row>
    <row r="8051" spans="1:11" x14ac:dyDescent="0.2">
      <c r="A8051" t="s">
        <v>4321</v>
      </c>
      <c r="B8051" t="s">
        <v>4909</v>
      </c>
      <c r="C8051" t="s">
        <v>4909</v>
      </c>
      <c r="D8051" t="s">
        <v>4909</v>
      </c>
      <c r="E8051" t="s">
        <v>4909</v>
      </c>
      <c r="F8051" t="s">
        <v>4909</v>
      </c>
      <c r="G8051" t="s">
        <v>4909</v>
      </c>
      <c r="H8051" t="s">
        <v>4909</v>
      </c>
      <c r="I8051" t="s">
        <v>4909</v>
      </c>
      <c r="J8051" t="s">
        <v>4909</v>
      </c>
      <c r="K8051" t="s">
        <v>4909</v>
      </c>
    </row>
    <row r="8052" spans="1:11" x14ac:dyDescent="0.2">
      <c r="A8052" t="s">
        <v>4322</v>
      </c>
      <c r="B8052" t="s">
        <v>4909</v>
      </c>
      <c r="C8052" t="s">
        <v>4909</v>
      </c>
      <c r="D8052" t="s">
        <v>4909</v>
      </c>
      <c r="E8052" t="s">
        <v>4909</v>
      </c>
      <c r="F8052" t="s">
        <v>4909</v>
      </c>
      <c r="G8052" t="s">
        <v>4909</v>
      </c>
      <c r="H8052" t="s">
        <v>4909</v>
      </c>
      <c r="I8052" t="s">
        <v>4909</v>
      </c>
      <c r="J8052" t="s">
        <v>4909</v>
      </c>
      <c r="K8052" t="s">
        <v>4909</v>
      </c>
    </row>
    <row r="8053" spans="1:11" x14ac:dyDescent="0.2">
      <c r="A8053" t="s">
        <v>4323</v>
      </c>
      <c r="B8053" t="s">
        <v>4909</v>
      </c>
      <c r="C8053" t="s">
        <v>4909</v>
      </c>
      <c r="D8053" t="s">
        <v>4909</v>
      </c>
      <c r="E8053" t="s">
        <v>4909</v>
      </c>
      <c r="F8053" t="s">
        <v>4909</v>
      </c>
      <c r="G8053" t="s">
        <v>4909</v>
      </c>
      <c r="H8053" t="s">
        <v>4909</v>
      </c>
      <c r="I8053" t="s">
        <v>4909</v>
      </c>
      <c r="J8053" t="s">
        <v>4909</v>
      </c>
      <c r="K8053" t="s">
        <v>4909</v>
      </c>
    </row>
    <row r="8054" spans="1:11" x14ac:dyDescent="0.2">
      <c r="A8054" t="s">
        <v>4324</v>
      </c>
      <c r="B8054" t="s">
        <v>4909</v>
      </c>
      <c r="C8054" t="s">
        <v>4909</v>
      </c>
      <c r="D8054" t="s">
        <v>4909</v>
      </c>
      <c r="E8054" t="s">
        <v>4909</v>
      </c>
      <c r="F8054" t="s">
        <v>4909</v>
      </c>
      <c r="G8054" t="s">
        <v>4909</v>
      </c>
      <c r="H8054" t="s">
        <v>4909</v>
      </c>
      <c r="I8054" t="s">
        <v>4909</v>
      </c>
      <c r="J8054" t="s">
        <v>4909</v>
      </c>
      <c r="K8054" t="s">
        <v>4909</v>
      </c>
    </row>
    <row r="8055" spans="1:11" x14ac:dyDescent="0.2">
      <c r="A8055" t="s">
        <v>4325</v>
      </c>
      <c r="B8055" t="s">
        <v>4909</v>
      </c>
      <c r="C8055" t="s">
        <v>4909</v>
      </c>
      <c r="D8055" t="s">
        <v>4909</v>
      </c>
      <c r="E8055" t="s">
        <v>4909</v>
      </c>
      <c r="F8055" t="s">
        <v>4909</v>
      </c>
      <c r="G8055" t="s">
        <v>4909</v>
      </c>
      <c r="H8055" t="s">
        <v>4909</v>
      </c>
      <c r="I8055" t="s">
        <v>4909</v>
      </c>
      <c r="J8055" t="s">
        <v>4909</v>
      </c>
      <c r="K8055" t="s">
        <v>4909</v>
      </c>
    </row>
    <row r="8056" spans="1:11" x14ac:dyDescent="0.2">
      <c r="A8056" t="s">
        <v>4326</v>
      </c>
      <c r="B8056" t="s">
        <v>4909</v>
      </c>
      <c r="C8056" t="s">
        <v>4909</v>
      </c>
      <c r="D8056" t="s">
        <v>4909</v>
      </c>
      <c r="E8056" t="s">
        <v>4909</v>
      </c>
      <c r="F8056" t="s">
        <v>4909</v>
      </c>
      <c r="G8056" t="s">
        <v>4909</v>
      </c>
      <c r="H8056" t="s">
        <v>4909</v>
      </c>
      <c r="I8056" t="s">
        <v>4909</v>
      </c>
      <c r="J8056" t="s">
        <v>4909</v>
      </c>
      <c r="K8056" t="s">
        <v>4909</v>
      </c>
    </row>
    <row r="8057" spans="1:11" x14ac:dyDescent="0.2">
      <c r="A8057" t="s">
        <v>4327</v>
      </c>
      <c r="B8057" s="88">
        <v>3.0000000000000001E-3</v>
      </c>
      <c r="C8057" s="88">
        <v>1.7999999999999999E-2</v>
      </c>
      <c r="D8057" t="s">
        <v>4909</v>
      </c>
      <c r="E8057" t="s">
        <v>4909</v>
      </c>
      <c r="F8057" s="88">
        <v>0.34699999999999998</v>
      </c>
      <c r="G8057" t="s">
        <v>4909</v>
      </c>
      <c r="H8057" s="88">
        <v>8.5999999999999993E-2</v>
      </c>
      <c r="I8057" s="88">
        <v>0.51200000000000001</v>
      </c>
      <c r="J8057" s="88">
        <v>3.0000000000000001E-3</v>
      </c>
      <c r="K8057" t="s">
        <v>4909</v>
      </c>
    </row>
    <row r="8058" spans="1:11" x14ac:dyDescent="0.2">
      <c r="A8058" t="s">
        <v>4328</v>
      </c>
      <c r="B8058" t="s">
        <v>4909</v>
      </c>
      <c r="C8058" t="s">
        <v>4909</v>
      </c>
      <c r="D8058" t="s">
        <v>4909</v>
      </c>
      <c r="E8058" t="s">
        <v>4909</v>
      </c>
      <c r="F8058" t="s">
        <v>4909</v>
      </c>
      <c r="G8058" t="s">
        <v>4909</v>
      </c>
      <c r="H8058" t="s">
        <v>4909</v>
      </c>
      <c r="I8058" t="s">
        <v>4909</v>
      </c>
      <c r="J8058" t="s">
        <v>4909</v>
      </c>
      <c r="K8058" t="s">
        <v>4909</v>
      </c>
    </row>
    <row r="8059" spans="1:11" x14ac:dyDescent="0.2">
      <c r="A8059" t="s">
        <v>4329</v>
      </c>
      <c r="B8059" s="88">
        <v>1.4E-2</v>
      </c>
      <c r="C8059" s="88">
        <v>8.5000000000000006E-2</v>
      </c>
      <c r="D8059" t="s">
        <v>4909</v>
      </c>
      <c r="E8059" t="s">
        <v>4909</v>
      </c>
      <c r="F8059" t="s">
        <v>4909</v>
      </c>
      <c r="G8059" t="s">
        <v>4909</v>
      </c>
      <c r="H8059" t="s">
        <v>4909</v>
      </c>
      <c r="I8059" t="s">
        <v>4909</v>
      </c>
      <c r="J8059" t="s">
        <v>4909</v>
      </c>
      <c r="K8059" t="s">
        <v>4909</v>
      </c>
    </row>
    <row r="8060" spans="1:11" x14ac:dyDescent="0.2">
      <c r="A8060" t="s">
        <v>4330</v>
      </c>
      <c r="B8060" t="s">
        <v>4909</v>
      </c>
      <c r="C8060" t="s">
        <v>4909</v>
      </c>
      <c r="D8060" t="s">
        <v>4909</v>
      </c>
      <c r="E8060" t="s">
        <v>4909</v>
      </c>
      <c r="F8060" t="s">
        <v>4909</v>
      </c>
      <c r="G8060" t="s">
        <v>4909</v>
      </c>
      <c r="H8060" t="s">
        <v>4909</v>
      </c>
      <c r="I8060" t="s">
        <v>4909</v>
      </c>
      <c r="J8060" t="s">
        <v>4909</v>
      </c>
      <c r="K8060" t="s">
        <v>4909</v>
      </c>
    </row>
    <row r="8061" spans="1:11" x14ac:dyDescent="0.2">
      <c r="A8061" t="s">
        <v>4331</v>
      </c>
      <c r="B8061" t="s">
        <v>4909</v>
      </c>
      <c r="C8061" t="s">
        <v>4909</v>
      </c>
      <c r="D8061" t="s">
        <v>4909</v>
      </c>
      <c r="E8061" t="s">
        <v>4909</v>
      </c>
      <c r="F8061" t="s">
        <v>4909</v>
      </c>
      <c r="G8061" t="s">
        <v>4909</v>
      </c>
      <c r="H8061" t="s">
        <v>4909</v>
      </c>
      <c r="I8061" t="s">
        <v>4909</v>
      </c>
      <c r="J8061" t="s">
        <v>4909</v>
      </c>
      <c r="K8061" t="s">
        <v>4909</v>
      </c>
    </row>
    <row r="8062" spans="1:11" x14ac:dyDescent="0.2">
      <c r="A8062" t="s">
        <v>4332</v>
      </c>
      <c r="B8062" s="88">
        <v>8.8999999999999996E-2</v>
      </c>
      <c r="C8062" s="88">
        <v>0.54900000000000004</v>
      </c>
      <c r="D8062" t="s">
        <v>4909</v>
      </c>
      <c r="E8062" t="s">
        <v>4909</v>
      </c>
      <c r="F8062" s="88">
        <v>0.04</v>
      </c>
      <c r="G8062" t="s">
        <v>4909</v>
      </c>
      <c r="H8062" s="88">
        <v>8.0000000000000002E-3</v>
      </c>
      <c r="I8062" s="88">
        <v>4.8000000000000001E-2</v>
      </c>
      <c r="J8062" s="88">
        <v>1E-3</v>
      </c>
      <c r="K8062" t="s">
        <v>4909</v>
      </c>
    </row>
    <row r="8063" spans="1:11" x14ac:dyDescent="0.2">
      <c r="A8063" t="s">
        <v>4333</v>
      </c>
      <c r="B8063" t="s">
        <v>4909</v>
      </c>
      <c r="C8063" t="s">
        <v>4909</v>
      </c>
      <c r="D8063" t="s">
        <v>4909</v>
      </c>
      <c r="E8063" t="s">
        <v>4909</v>
      </c>
      <c r="F8063" t="s">
        <v>4909</v>
      </c>
      <c r="G8063" t="s">
        <v>4909</v>
      </c>
      <c r="H8063" t="s">
        <v>4909</v>
      </c>
      <c r="I8063" t="s">
        <v>4909</v>
      </c>
      <c r="J8063" t="s">
        <v>4909</v>
      </c>
      <c r="K8063" t="s">
        <v>4909</v>
      </c>
    </row>
    <row r="8064" spans="1:11" x14ac:dyDescent="0.2">
      <c r="A8064" t="s">
        <v>4334</v>
      </c>
      <c r="B8064" t="s">
        <v>4909</v>
      </c>
      <c r="C8064" t="s">
        <v>4909</v>
      </c>
      <c r="D8064" t="s">
        <v>4909</v>
      </c>
      <c r="E8064" t="s">
        <v>4909</v>
      </c>
      <c r="F8064" t="s">
        <v>4909</v>
      </c>
      <c r="G8064" t="s">
        <v>4909</v>
      </c>
      <c r="H8064" t="s">
        <v>4909</v>
      </c>
      <c r="I8064" t="s">
        <v>4909</v>
      </c>
      <c r="J8064" t="s">
        <v>4909</v>
      </c>
      <c r="K8064" t="s">
        <v>4909</v>
      </c>
    </row>
    <row r="8065" spans="1:11" x14ac:dyDescent="0.2">
      <c r="A8065" t="s">
        <v>4335</v>
      </c>
      <c r="B8065" t="s">
        <v>4909</v>
      </c>
      <c r="C8065" t="s">
        <v>4909</v>
      </c>
      <c r="D8065" t="s">
        <v>4909</v>
      </c>
      <c r="E8065" t="s">
        <v>4909</v>
      </c>
      <c r="F8065" t="s">
        <v>4909</v>
      </c>
      <c r="G8065" t="s">
        <v>4909</v>
      </c>
      <c r="H8065" t="s">
        <v>4909</v>
      </c>
      <c r="I8065" t="s">
        <v>4909</v>
      </c>
      <c r="J8065" t="s">
        <v>4909</v>
      </c>
      <c r="K8065" t="s">
        <v>4909</v>
      </c>
    </row>
    <row r="8066" spans="1:11" x14ac:dyDescent="0.2">
      <c r="A8066" t="s">
        <v>4336</v>
      </c>
      <c r="B8066" t="s">
        <v>4909</v>
      </c>
      <c r="C8066" t="s">
        <v>4909</v>
      </c>
      <c r="D8066" t="s">
        <v>4909</v>
      </c>
      <c r="E8066" t="s">
        <v>4909</v>
      </c>
      <c r="F8066" t="s">
        <v>4909</v>
      </c>
      <c r="G8066" t="s">
        <v>4909</v>
      </c>
      <c r="H8066" t="s">
        <v>4909</v>
      </c>
      <c r="I8066" t="s">
        <v>4909</v>
      </c>
      <c r="J8066" t="s">
        <v>4909</v>
      </c>
      <c r="K8066" t="s">
        <v>4909</v>
      </c>
    </row>
    <row r="8067" spans="1:11" x14ac:dyDescent="0.2">
      <c r="A8067" t="s">
        <v>4337</v>
      </c>
      <c r="B8067" t="s">
        <v>4909</v>
      </c>
      <c r="C8067" t="s">
        <v>4909</v>
      </c>
      <c r="D8067" t="s">
        <v>4909</v>
      </c>
      <c r="E8067" t="s">
        <v>4909</v>
      </c>
      <c r="F8067" t="s">
        <v>4909</v>
      </c>
      <c r="G8067" t="s">
        <v>4909</v>
      </c>
      <c r="H8067" t="s">
        <v>4909</v>
      </c>
      <c r="I8067" t="s">
        <v>4909</v>
      </c>
      <c r="J8067" t="s">
        <v>4909</v>
      </c>
      <c r="K8067" t="s">
        <v>4909</v>
      </c>
    </row>
    <row r="8068" spans="1:11" x14ac:dyDescent="0.2">
      <c r="A8068" t="s">
        <v>4338</v>
      </c>
      <c r="B8068" s="88">
        <v>5.0000000000000001E-3</v>
      </c>
      <c r="C8068" s="88">
        <v>3.2000000000000001E-2</v>
      </c>
      <c r="D8068" t="s">
        <v>4909</v>
      </c>
      <c r="E8068" t="s">
        <v>4909</v>
      </c>
      <c r="F8068" s="88">
        <v>2E-3</v>
      </c>
      <c r="G8068" t="s">
        <v>4909</v>
      </c>
      <c r="H8068" s="88">
        <v>0</v>
      </c>
      <c r="I8068" s="88">
        <v>2E-3</v>
      </c>
      <c r="J8068" s="88">
        <v>0</v>
      </c>
      <c r="K8068" t="s">
        <v>4909</v>
      </c>
    </row>
    <row r="8069" spans="1:11" x14ac:dyDescent="0.2">
      <c r="A8069" t="s">
        <v>4339</v>
      </c>
      <c r="B8069" t="s">
        <v>4909</v>
      </c>
      <c r="C8069" t="s">
        <v>4909</v>
      </c>
      <c r="D8069" t="s">
        <v>4909</v>
      </c>
      <c r="E8069" t="s">
        <v>4909</v>
      </c>
      <c r="F8069" t="s">
        <v>4909</v>
      </c>
      <c r="G8069" t="s">
        <v>4909</v>
      </c>
      <c r="H8069" t="s">
        <v>4909</v>
      </c>
      <c r="I8069" t="s">
        <v>4909</v>
      </c>
      <c r="J8069" t="s">
        <v>4909</v>
      </c>
      <c r="K8069" t="s">
        <v>4909</v>
      </c>
    </row>
    <row r="8070" spans="1:11" x14ac:dyDescent="0.2">
      <c r="A8070" t="s">
        <v>4340</v>
      </c>
      <c r="B8070" t="s">
        <v>4909</v>
      </c>
      <c r="C8070" t="s">
        <v>4909</v>
      </c>
      <c r="D8070" t="s">
        <v>4909</v>
      </c>
      <c r="E8070" t="s">
        <v>4909</v>
      </c>
      <c r="F8070" t="s">
        <v>4909</v>
      </c>
      <c r="G8070" t="s">
        <v>4909</v>
      </c>
      <c r="H8070" t="s">
        <v>4909</v>
      </c>
      <c r="I8070" t="s">
        <v>4909</v>
      </c>
      <c r="J8070" t="s">
        <v>4909</v>
      </c>
      <c r="K8070" t="s">
        <v>4909</v>
      </c>
    </row>
    <row r="8071" spans="1:11" x14ac:dyDescent="0.2">
      <c r="A8071" t="s">
        <v>4341</v>
      </c>
      <c r="B8071" t="s">
        <v>4909</v>
      </c>
      <c r="C8071" t="s">
        <v>4909</v>
      </c>
      <c r="D8071" t="s">
        <v>4909</v>
      </c>
      <c r="E8071" t="s">
        <v>4909</v>
      </c>
      <c r="F8071" t="s">
        <v>4909</v>
      </c>
      <c r="G8071" t="s">
        <v>4909</v>
      </c>
      <c r="H8071" t="s">
        <v>4909</v>
      </c>
      <c r="I8071" t="s">
        <v>4909</v>
      </c>
      <c r="J8071" t="s">
        <v>4909</v>
      </c>
      <c r="K8071" t="s">
        <v>4909</v>
      </c>
    </row>
    <row r="8072" spans="1:11" x14ac:dyDescent="0.2">
      <c r="A8072" t="s">
        <v>4342</v>
      </c>
      <c r="B8072" t="s">
        <v>4909</v>
      </c>
      <c r="C8072" t="s">
        <v>4909</v>
      </c>
      <c r="D8072" t="s">
        <v>4909</v>
      </c>
      <c r="E8072" t="s">
        <v>4909</v>
      </c>
      <c r="F8072" t="s">
        <v>4909</v>
      </c>
      <c r="G8072" t="s">
        <v>4909</v>
      </c>
      <c r="H8072" t="s">
        <v>4909</v>
      </c>
      <c r="I8072" t="s">
        <v>4909</v>
      </c>
      <c r="J8072" t="s">
        <v>4909</v>
      </c>
      <c r="K8072" t="s">
        <v>4909</v>
      </c>
    </row>
    <row r="8073" spans="1:11" x14ac:dyDescent="0.2">
      <c r="A8073" t="s">
        <v>4343</v>
      </c>
      <c r="B8073" t="s">
        <v>4909</v>
      </c>
      <c r="C8073" t="s">
        <v>4909</v>
      </c>
      <c r="D8073" t="s">
        <v>4909</v>
      </c>
      <c r="E8073" t="s">
        <v>4909</v>
      </c>
      <c r="F8073" t="s">
        <v>4909</v>
      </c>
      <c r="G8073" t="s">
        <v>4909</v>
      </c>
      <c r="H8073" t="s">
        <v>4909</v>
      </c>
      <c r="I8073" t="s">
        <v>4909</v>
      </c>
      <c r="J8073" t="s">
        <v>4909</v>
      </c>
      <c r="K8073" t="s">
        <v>4909</v>
      </c>
    </row>
    <row r="8074" spans="1:11" x14ac:dyDescent="0.2">
      <c r="A8074" t="s">
        <v>1728</v>
      </c>
      <c r="B8074" t="s">
        <v>4909</v>
      </c>
      <c r="C8074" t="s">
        <v>4909</v>
      </c>
      <c r="D8074" t="s">
        <v>4909</v>
      </c>
      <c r="E8074" t="s">
        <v>4909</v>
      </c>
      <c r="F8074" t="s">
        <v>4909</v>
      </c>
      <c r="G8074" t="s">
        <v>4909</v>
      </c>
      <c r="H8074" t="s">
        <v>4909</v>
      </c>
      <c r="I8074" t="s">
        <v>4909</v>
      </c>
      <c r="J8074" t="s">
        <v>4909</v>
      </c>
      <c r="K8074" t="s">
        <v>4909</v>
      </c>
    </row>
    <row r="8075" spans="1:11" x14ac:dyDescent="0.2">
      <c r="A8075" t="s">
        <v>1730</v>
      </c>
      <c r="B8075" s="88">
        <v>0</v>
      </c>
      <c r="C8075" s="88">
        <v>2E-3</v>
      </c>
      <c r="D8075" t="s">
        <v>4909</v>
      </c>
      <c r="E8075" t="s">
        <v>4909</v>
      </c>
      <c r="F8075" s="88">
        <v>0</v>
      </c>
      <c r="G8075" t="s">
        <v>4909</v>
      </c>
      <c r="H8075" t="s">
        <v>4909</v>
      </c>
      <c r="I8075" s="88">
        <v>0</v>
      </c>
      <c r="J8075" s="88">
        <v>1.0999999999999999E-2</v>
      </c>
      <c r="K8075" t="s">
        <v>4909</v>
      </c>
    </row>
    <row r="8076" spans="1:11" x14ac:dyDescent="0.2">
      <c r="A8076" t="s">
        <v>1733</v>
      </c>
      <c r="B8076" t="s">
        <v>4909</v>
      </c>
      <c r="C8076" t="s">
        <v>4909</v>
      </c>
      <c r="D8076" t="s">
        <v>4909</v>
      </c>
      <c r="E8076" t="s">
        <v>4909</v>
      </c>
      <c r="F8076" t="s">
        <v>4909</v>
      </c>
      <c r="G8076" t="s">
        <v>4909</v>
      </c>
      <c r="H8076" t="s">
        <v>4909</v>
      </c>
      <c r="I8076" t="s">
        <v>4909</v>
      </c>
      <c r="J8076" t="s">
        <v>4909</v>
      </c>
      <c r="K8076" t="s">
        <v>4909</v>
      </c>
    </row>
    <row r="8077" spans="1:11" x14ac:dyDescent="0.2">
      <c r="A8077" t="s">
        <v>1738</v>
      </c>
      <c r="B8077" t="s">
        <v>4909</v>
      </c>
      <c r="C8077" t="s">
        <v>4909</v>
      </c>
      <c r="D8077" t="s">
        <v>4909</v>
      </c>
      <c r="E8077" t="s">
        <v>4909</v>
      </c>
      <c r="F8077" t="s">
        <v>4909</v>
      </c>
      <c r="G8077" t="s">
        <v>4909</v>
      </c>
      <c r="H8077" t="s">
        <v>4909</v>
      </c>
      <c r="I8077" t="s">
        <v>4909</v>
      </c>
      <c r="J8077" t="s">
        <v>4909</v>
      </c>
      <c r="K8077" t="s">
        <v>4909</v>
      </c>
    </row>
    <row r="8078" spans="1:11" x14ac:dyDescent="0.2">
      <c r="A8078" t="s">
        <v>1744</v>
      </c>
      <c r="B8078" t="s">
        <v>4909</v>
      </c>
      <c r="C8078" t="s">
        <v>4909</v>
      </c>
      <c r="D8078" t="s">
        <v>4909</v>
      </c>
      <c r="E8078" t="s">
        <v>4909</v>
      </c>
      <c r="F8078" t="s">
        <v>4909</v>
      </c>
      <c r="G8078" t="s">
        <v>4909</v>
      </c>
      <c r="H8078" t="s">
        <v>4909</v>
      </c>
      <c r="I8078" t="s">
        <v>4909</v>
      </c>
      <c r="J8078" t="s">
        <v>4909</v>
      </c>
      <c r="K8078" t="s">
        <v>4909</v>
      </c>
    </row>
    <row r="8079" spans="1:11" x14ac:dyDescent="0.2">
      <c r="A8079" t="s">
        <v>1747</v>
      </c>
      <c r="B8079" t="s">
        <v>4909</v>
      </c>
      <c r="C8079" t="s">
        <v>4909</v>
      </c>
      <c r="D8079" t="s">
        <v>4909</v>
      </c>
      <c r="E8079" t="s">
        <v>4909</v>
      </c>
      <c r="F8079" t="s">
        <v>4909</v>
      </c>
      <c r="G8079" t="s">
        <v>4909</v>
      </c>
      <c r="H8079" t="s">
        <v>4909</v>
      </c>
      <c r="I8079" t="s">
        <v>4909</v>
      </c>
      <c r="J8079" t="s">
        <v>4909</v>
      </c>
      <c r="K8079" t="s">
        <v>4909</v>
      </c>
    </row>
    <row r="8080" spans="1:11" x14ac:dyDescent="0.2">
      <c r="A8080" t="s">
        <v>1751</v>
      </c>
      <c r="B8080" t="s">
        <v>4909</v>
      </c>
      <c r="C8080" t="s">
        <v>4909</v>
      </c>
      <c r="D8080" t="s">
        <v>4909</v>
      </c>
      <c r="E8080" t="s">
        <v>4909</v>
      </c>
      <c r="F8080" t="s">
        <v>4909</v>
      </c>
      <c r="G8080" t="s">
        <v>4909</v>
      </c>
      <c r="H8080" t="s">
        <v>4909</v>
      </c>
      <c r="I8080" t="s">
        <v>4909</v>
      </c>
      <c r="J8080" t="s">
        <v>4909</v>
      </c>
      <c r="K8080" t="s">
        <v>4909</v>
      </c>
    </row>
    <row r="8081" spans="1:11" x14ac:dyDescent="0.2">
      <c r="A8081" t="s">
        <v>1755</v>
      </c>
      <c r="B8081" t="s">
        <v>4909</v>
      </c>
      <c r="C8081" s="88">
        <v>0</v>
      </c>
      <c r="D8081" t="s">
        <v>4909</v>
      </c>
      <c r="E8081" t="s">
        <v>4909</v>
      </c>
      <c r="F8081" t="s">
        <v>4909</v>
      </c>
      <c r="G8081" t="s">
        <v>4909</v>
      </c>
      <c r="H8081" t="s">
        <v>4909</v>
      </c>
      <c r="I8081" t="s">
        <v>4909</v>
      </c>
      <c r="J8081" s="88">
        <v>1E-3</v>
      </c>
      <c r="K8081" t="s">
        <v>4909</v>
      </c>
    </row>
    <row r="8082" spans="1:11" x14ac:dyDescent="0.2">
      <c r="A8082" t="s">
        <v>1757</v>
      </c>
      <c r="B8082" t="s">
        <v>4909</v>
      </c>
      <c r="C8082" s="88">
        <v>0</v>
      </c>
      <c r="D8082" t="s">
        <v>4909</v>
      </c>
      <c r="E8082" t="s">
        <v>4909</v>
      </c>
      <c r="F8082" t="s">
        <v>4909</v>
      </c>
      <c r="G8082" t="s">
        <v>4909</v>
      </c>
      <c r="H8082" t="s">
        <v>4909</v>
      </c>
      <c r="I8082" s="88">
        <v>0</v>
      </c>
      <c r="J8082" s="88">
        <v>0</v>
      </c>
      <c r="K8082" t="s">
        <v>4909</v>
      </c>
    </row>
    <row r="8083" spans="1:11" x14ac:dyDescent="0.2">
      <c r="A8083" t="s">
        <v>1761</v>
      </c>
      <c r="B8083" t="s">
        <v>4909</v>
      </c>
      <c r="C8083" t="s">
        <v>4909</v>
      </c>
      <c r="D8083" t="s">
        <v>4909</v>
      </c>
      <c r="E8083" t="s">
        <v>4909</v>
      </c>
      <c r="F8083" t="s">
        <v>4909</v>
      </c>
      <c r="G8083" t="s">
        <v>4909</v>
      </c>
      <c r="H8083" t="s">
        <v>4909</v>
      </c>
      <c r="I8083" t="s">
        <v>4909</v>
      </c>
      <c r="J8083" t="s">
        <v>4909</v>
      </c>
      <c r="K8083" t="s">
        <v>4909</v>
      </c>
    </row>
    <row r="8084" spans="1:11" x14ac:dyDescent="0.2">
      <c r="A8084" t="s">
        <v>1764</v>
      </c>
      <c r="B8084" t="s">
        <v>4909</v>
      </c>
      <c r="C8084" t="s">
        <v>4909</v>
      </c>
      <c r="D8084" t="s">
        <v>4909</v>
      </c>
      <c r="E8084" t="s">
        <v>4909</v>
      </c>
      <c r="F8084" t="s">
        <v>4909</v>
      </c>
      <c r="G8084" t="s">
        <v>4909</v>
      </c>
      <c r="H8084" t="s">
        <v>4909</v>
      </c>
      <c r="I8084" t="s">
        <v>4909</v>
      </c>
      <c r="J8084" t="s">
        <v>4909</v>
      </c>
      <c r="K8084" t="s">
        <v>4909</v>
      </c>
    </row>
    <row r="8085" spans="1:11" x14ac:dyDescent="0.2">
      <c r="A8085" t="s">
        <v>1770</v>
      </c>
      <c r="B8085" s="88">
        <v>0</v>
      </c>
      <c r="C8085" s="88">
        <v>4.0000000000000001E-3</v>
      </c>
      <c r="D8085" t="s">
        <v>4909</v>
      </c>
      <c r="E8085" t="s">
        <v>4909</v>
      </c>
      <c r="F8085" s="88">
        <v>1E-3</v>
      </c>
      <c r="G8085" t="s">
        <v>4909</v>
      </c>
      <c r="H8085" s="88">
        <v>0</v>
      </c>
      <c r="I8085" s="88">
        <v>6.0000000000000001E-3</v>
      </c>
      <c r="J8085" s="88">
        <v>3.0000000000000001E-3</v>
      </c>
      <c r="K8085" t="s">
        <v>4909</v>
      </c>
    </row>
    <row r="8086" spans="1:11" x14ac:dyDescent="0.2">
      <c r="A8086" t="s">
        <v>1772</v>
      </c>
      <c r="B8086" t="s">
        <v>4909</v>
      </c>
      <c r="C8086" s="88">
        <v>0</v>
      </c>
      <c r="D8086" t="s">
        <v>4909</v>
      </c>
      <c r="E8086" t="s">
        <v>4909</v>
      </c>
      <c r="F8086" t="s">
        <v>4909</v>
      </c>
      <c r="G8086" t="s">
        <v>4909</v>
      </c>
      <c r="H8086" t="s">
        <v>4909</v>
      </c>
      <c r="I8086" s="88">
        <v>0</v>
      </c>
      <c r="J8086" t="s">
        <v>4909</v>
      </c>
      <c r="K8086" t="s">
        <v>4909</v>
      </c>
    </row>
    <row r="8087" spans="1:11" x14ac:dyDescent="0.2">
      <c r="A8087" t="s">
        <v>1774</v>
      </c>
      <c r="B8087" t="s">
        <v>4909</v>
      </c>
      <c r="C8087" t="s">
        <v>4909</v>
      </c>
      <c r="D8087" t="s">
        <v>4909</v>
      </c>
      <c r="E8087" t="s">
        <v>4909</v>
      </c>
      <c r="F8087" t="s">
        <v>4909</v>
      </c>
      <c r="G8087" t="s">
        <v>4909</v>
      </c>
      <c r="H8087" t="s">
        <v>4909</v>
      </c>
      <c r="I8087" t="s">
        <v>4909</v>
      </c>
      <c r="J8087" t="s">
        <v>4909</v>
      </c>
      <c r="K8087" t="s">
        <v>4909</v>
      </c>
    </row>
    <row r="8088" spans="1:11" x14ac:dyDescent="0.2">
      <c r="A8088" t="s">
        <v>1777</v>
      </c>
      <c r="B8088" t="s">
        <v>4909</v>
      </c>
      <c r="C8088" t="s">
        <v>4909</v>
      </c>
      <c r="D8088" t="s">
        <v>4909</v>
      </c>
      <c r="E8088" t="s">
        <v>4909</v>
      </c>
      <c r="F8088" t="s">
        <v>4909</v>
      </c>
      <c r="G8088" t="s">
        <v>4909</v>
      </c>
      <c r="H8088" t="s">
        <v>4909</v>
      </c>
      <c r="I8088" t="s">
        <v>4909</v>
      </c>
      <c r="J8088" t="s">
        <v>4909</v>
      </c>
      <c r="K8088" t="s">
        <v>4909</v>
      </c>
    </row>
    <row r="8089" spans="1:11" x14ac:dyDescent="0.2">
      <c r="A8089" t="s">
        <v>1782</v>
      </c>
      <c r="B8089" t="s">
        <v>4909</v>
      </c>
      <c r="C8089" t="s">
        <v>4909</v>
      </c>
      <c r="D8089" t="s">
        <v>4909</v>
      </c>
      <c r="E8089" t="s">
        <v>4909</v>
      </c>
      <c r="F8089" t="s">
        <v>4909</v>
      </c>
      <c r="G8089" t="s">
        <v>4909</v>
      </c>
      <c r="H8089" t="s">
        <v>4909</v>
      </c>
      <c r="I8089" t="s">
        <v>4909</v>
      </c>
      <c r="J8089" t="s">
        <v>4909</v>
      </c>
      <c r="K8089" t="s">
        <v>4909</v>
      </c>
    </row>
    <row r="8090" spans="1:11" x14ac:dyDescent="0.2">
      <c r="A8090" t="s">
        <v>1274</v>
      </c>
      <c r="B8090" t="s">
        <v>4909</v>
      </c>
      <c r="C8090" s="88">
        <v>0</v>
      </c>
      <c r="D8090" t="s">
        <v>4909</v>
      </c>
      <c r="E8090" t="s">
        <v>4909</v>
      </c>
      <c r="F8090" t="s">
        <v>4909</v>
      </c>
      <c r="G8090" t="s">
        <v>4909</v>
      </c>
      <c r="H8090" t="s">
        <v>4909</v>
      </c>
      <c r="I8090" t="s">
        <v>4909</v>
      </c>
      <c r="J8090" t="s">
        <v>4909</v>
      </c>
      <c r="K8090" t="s">
        <v>4909</v>
      </c>
    </row>
    <row r="8091" spans="1:11" x14ac:dyDescent="0.2">
      <c r="A8091" t="s">
        <v>1277</v>
      </c>
      <c r="B8091" s="88">
        <v>0</v>
      </c>
      <c r="C8091" s="88">
        <v>0</v>
      </c>
      <c r="D8091" t="s">
        <v>4909</v>
      </c>
      <c r="E8091" t="s">
        <v>4909</v>
      </c>
      <c r="F8091" t="s">
        <v>4909</v>
      </c>
      <c r="G8091" t="s">
        <v>4909</v>
      </c>
      <c r="H8091" t="s">
        <v>4909</v>
      </c>
      <c r="I8091" t="s">
        <v>4909</v>
      </c>
      <c r="J8091" t="s">
        <v>4909</v>
      </c>
      <c r="K8091" t="s">
        <v>4909</v>
      </c>
    </row>
    <row r="8092" spans="1:11" x14ac:dyDescent="0.2">
      <c r="A8092" t="s">
        <v>1798</v>
      </c>
      <c r="B8092" t="s">
        <v>4909</v>
      </c>
      <c r="C8092" t="s">
        <v>4909</v>
      </c>
      <c r="D8092" t="s">
        <v>4909</v>
      </c>
      <c r="E8092" t="s">
        <v>4909</v>
      </c>
      <c r="F8092" t="s">
        <v>4909</v>
      </c>
      <c r="G8092" t="s">
        <v>4909</v>
      </c>
      <c r="H8092" t="s">
        <v>4909</v>
      </c>
      <c r="I8092" t="s">
        <v>4909</v>
      </c>
      <c r="J8092" t="s">
        <v>4909</v>
      </c>
      <c r="K8092" t="s">
        <v>4909</v>
      </c>
    </row>
    <row r="8093" spans="1:11" x14ac:dyDescent="0.2">
      <c r="A8093" t="s">
        <v>1803</v>
      </c>
      <c r="B8093" t="s">
        <v>4909</v>
      </c>
      <c r="C8093" t="s">
        <v>4909</v>
      </c>
      <c r="D8093" t="s">
        <v>4909</v>
      </c>
      <c r="E8093" t="s">
        <v>4909</v>
      </c>
      <c r="F8093" t="s">
        <v>4909</v>
      </c>
      <c r="G8093" t="s">
        <v>4909</v>
      </c>
      <c r="H8093" t="s">
        <v>4909</v>
      </c>
      <c r="I8093" t="s">
        <v>4909</v>
      </c>
      <c r="J8093" t="s">
        <v>4909</v>
      </c>
      <c r="K8093" t="s">
        <v>4909</v>
      </c>
    </row>
    <row r="8094" spans="1:11" x14ac:dyDescent="0.2">
      <c r="A8094" t="s">
        <v>1808</v>
      </c>
      <c r="B8094" t="s">
        <v>4909</v>
      </c>
      <c r="C8094" t="s">
        <v>4909</v>
      </c>
      <c r="D8094" t="s">
        <v>4909</v>
      </c>
      <c r="E8094" t="s">
        <v>4909</v>
      </c>
      <c r="F8094" t="s">
        <v>4909</v>
      </c>
      <c r="G8094" t="s">
        <v>4909</v>
      </c>
      <c r="H8094" t="s">
        <v>4909</v>
      </c>
      <c r="I8094" t="s">
        <v>4909</v>
      </c>
      <c r="J8094" t="s">
        <v>4909</v>
      </c>
      <c r="K8094" t="s">
        <v>4909</v>
      </c>
    </row>
    <row r="8095" spans="1:11" x14ac:dyDescent="0.2">
      <c r="A8095" t="s">
        <v>1813</v>
      </c>
      <c r="B8095" t="s">
        <v>4909</v>
      </c>
      <c r="C8095" t="s">
        <v>4909</v>
      </c>
      <c r="D8095" t="s">
        <v>4909</v>
      </c>
      <c r="E8095" t="s">
        <v>4909</v>
      </c>
      <c r="F8095" t="s">
        <v>4909</v>
      </c>
      <c r="G8095" t="s">
        <v>4909</v>
      </c>
      <c r="H8095" t="s">
        <v>4909</v>
      </c>
      <c r="I8095" t="s">
        <v>4909</v>
      </c>
      <c r="J8095" t="s">
        <v>4909</v>
      </c>
      <c r="K8095" t="s">
        <v>4909</v>
      </c>
    </row>
    <row r="8096" spans="1:11" x14ac:dyDescent="0.2">
      <c r="A8096" t="s">
        <v>1819</v>
      </c>
      <c r="B8096" t="s">
        <v>4909</v>
      </c>
      <c r="C8096" t="s">
        <v>4909</v>
      </c>
      <c r="D8096" t="s">
        <v>4909</v>
      </c>
      <c r="E8096" t="s">
        <v>4909</v>
      </c>
      <c r="F8096" t="s">
        <v>4909</v>
      </c>
      <c r="G8096" t="s">
        <v>4909</v>
      </c>
      <c r="H8096" t="s">
        <v>4909</v>
      </c>
      <c r="I8096" t="s">
        <v>4909</v>
      </c>
      <c r="J8096" t="s">
        <v>4909</v>
      </c>
      <c r="K8096" t="s">
        <v>4909</v>
      </c>
    </row>
    <row r="8097" spans="1:11" x14ac:dyDescent="0.2">
      <c r="A8097" t="s">
        <v>1826</v>
      </c>
      <c r="B8097" t="s">
        <v>4909</v>
      </c>
      <c r="C8097" t="s">
        <v>4909</v>
      </c>
      <c r="D8097" t="s">
        <v>4909</v>
      </c>
      <c r="E8097" t="s">
        <v>4909</v>
      </c>
      <c r="F8097" t="s">
        <v>4909</v>
      </c>
      <c r="G8097" t="s">
        <v>4909</v>
      </c>
      <c r="H8097" t="s">
        <v>4909</v>
      </c>
      <c r="I8097" t="s">
        <v>4909</v>
      </c>
      <c r="J8097" t="s">
        <v>4909</v>
      </c>
      <c r="K8097" t="s">
        <v>4909</v>
      </c>
    </row>
    <row r="8098" spans="1:11" x14ac:dyDescent="0.2">
      <c r="A8098" t="s">
        <v>1830</v>
      </c>
      <c r="B8098" t="s">
        <v>4909</v>
      </c>
      <c r="C8098" t="s">
        <v>4909</v>
      </c>
      <c r="D8098" t="s">
        <v>4909</v>
      </c>
      <c r="E8098" t="s">
        <v>4909</v>
      </c>
      <c r="F8098" t="s">
        <v>4909</v>
      </c>
      <c r="G8098" t="s">
        <v>4909</v>
      </c>
      <c r="H8098" t="s">
        <v>4909</v>
      </c>
      <c r="I8098" t="s">
        <v>4909</v>
      </c>
      <c r="J8098" t="s">
        <v>4909</v>
      </c>
      <c r="K8098" t="s">
        <v>4909</v>
      </c>
    </row>
    <row r="8099" spans="1:11" x14ac:dyDescent="0.2">
      <c r="A8099" t="s">
        <v>1836</v>
      </c>
      <c r="B8099" t="s">
        <v>4909</v>
      </c>
      <c r="C8099" t="s">
        <v>4909</v>
      </c>
      <c r="D8099" t="s">
        <v>4909</v>
      </c>
      <c r="E8099" t="s">
        <v>4909</v>
      </c>
      <c r="F8099" t="s">
        <v>4909</v>
      </c>
      <c r="G8099" t="s">
        <v>4909</v>
      </c>
      <c r="H8099" t="s">
        <v>4909</v>
      </c>
      <c r="I8099" t="s">
        <v>4909</v>
      </c>
      <c r="J8099" t="s">
        <v>4909</v>
      </c>
      <c r="K8099" t="s">
        <v>4909</v>
      </c>
    </row>
    <row r="8100" spans="1:11" x14ac:dyDescent="0.2">
      <c r="A8100" t="s">
        <v>1841</v>
      </c>
      <c r="B8100" t="s">
        <v>4909</v>
      </c>
      <c r="C8100" t="s">
        <v>4909</v>
      </c>
      <c r="D8100" t="s">
        <v>4909</v>
      </c>
      <c r="E8100" t="s">
        <v>4909</v>
      </c>
      <c r="F8100" t="s">
        <v>4909</v>
      </c>
      <c r="G8100" t="s">
        <v>4909</v>
      </c>
      <c r="H8100" t="s">
        <v>4909</v>
      </c>
      <c r="I8100" t="s">
        <v>4909</v>
      </c>
      <c r="J8100" t="s">
        <v>4909</v>
      </c>
      <c r="K8100" t="s">
        <v>4909</v>
      </c>
    </row>
    <row r="8101" spans="1:11" x14ac:dyDescent="0.2">
      <c r="A8101" t="s">
        <v>1842</v>
      </c>
      <c r="B8101" t="s">
        <v>4909</v>
      </c>
      <c r="C8101" t="s">
        <v>4909</v>
      </c>
      <c r="D8101" t="s">
        <v>4909</v>
      </c>
      <c r="E8101" t="s">
        <v>4909</v>
      </c>
      <c r="F8101" t="s">
        <v>4909</v>
      </c>
      <c r="G8101" t="s">
        <v>4909</v>
      </c>
      <c r="H8101" t="s">
        <v>4909</v>
      </c>
      <c r="I8101" t="s">
        <v>4909</v>
      </c>
      <c r="J8101" t="s">
        <v>4909</v>
      </c>
      <c r="K8101" t="s">
        <v>4909</v>
      </c>
    </row>
    <row r="8102" spans="1:11" x14ac:dyDescent="0.2">
      <c r="A8102" t="s">
        <v>1843</v>
      </c>
      <c r="B8102" t="s">
        <v>4909</v>
      </c>
      <c r="C8102" t="s">
        <v>4909</v>
      </c>
      <c r="D8102" t="s">
        <v>4909</v>
      </c>
      <c r="E8102" t="s">
        <v>4909</v>
      </c>
      <c r="F8102" t="s">
        <v>4909</v>
      </c>
      <c r="G8102" t="s">
        <v>4909</v>
      </c>
      <c r="H8102" t="s">
        <v>4909</v>
      </c>
      <c r="I8102" t="s">
        <v>4909</v>
      </c>
      <c r="J8102" t="s">
        <v>4909</v>
      </c>
      <c r="K8102" t="s">
        <v>4909</v>
      </c>
    </row>
    <row r="8103" spans="1:11" x14ac:dyDescent="0.2">
      <c r="A8103" t="s">
        <v>1846</v>
      </c>
      <c r="B8103" t="s">
        <v>4909</v>
      </c>
      <c r="C8103" t="s">
        <v>4909</v>
      </c>
      <c r="D8103" t="s">
        <v>4909</v>
      </c>
      <c r="E8103" t="s">
        <v>4909</v>
      </c>
      <c r="F8103" t="s">
        <v>4909</v>
      </c>
      <c r="G8103" t="s">
        <v>4909</v>
      </c>
      <c r="H8103" t="s">
        <v>4909</v>
      </c>
      <c r="I8103" t="s">
        <v>4909</v>
      </c>
      <c r="J8103" t="s">
        <v>4909</v>
      </c>
      <c r="K8103" t="s">
        <v>4909</v>
      </c>
    </row>
    <row r="8104" spans="1:11" x14ac:dyDescent="0.2">
      <c r="A8104" t="s">
        <v>1851</v>
      </c>
      <c r="B8104" s="88">
        <v>0</v>
      </c>
      <c r="C8104" s="88">
        <v>0</v>
      </c>
      <c r="D8104" t="s">
        <v>4909</v>
      </c>
      <c r="E8104" t="s">
        <v>4909</v>
      </c>
      <c r="F8104" t="s">
        <v>4909</v>
      </c>
      <c r="G8104" t="s">
        <v>4909</v>
      </c>
      <c r="H8104" t="s">
        <v>4909</v>
      </c>
      <c r="I8104" t="s">
        <v>4909</v>
      </c>
      <c r="J8104" t="s">
        <v>4909</v>
      </c>
      <c r="K8104" t="s">
        <v>4909</v>
      </c>
    </row>
    <row r="8105" spans="1:11" x14ac:dyDescent="0.2">
      <c r="A8105" t="s">
        <v>1857</v>
      </c>
      <c r="B8105" t="s">
        <v>4909</v>
      </c>
      <c r="C8105" t="s">
        <v>4909</v>
      </c>
      <c r="D8105" t="s">
        <v>4909</v>
      </c>
      <c r="E8105" t="s">
        <v>4909</v>
      </c>
      <c r="F8105" t="s">
        <v>4909</v>
      </c>
      <c r="G8105" t="s">
        <v>4909</v>
      </c>
      <c r="H8105" t="s">
        <v>4909</v>
      </c>
      <c r="I8105" t="s">
        <v>4909</v>
      </c>
      <c r="J8105" t="s">
        <v>4909</v>
      </c>
      <c r="K8105" t="s">
        <v>4909</v>
      </c>
    </row>
    <row r="8106" spans="1:11" x14ac:dyDescent="0.2">
      <c r="A8106" t="s">
        <v>1862</v>
      </c>
      <c r="B8106" t="s">
        <v>4909</v>
      </c>
      <c r="C8106" t="s">
        <v>4909</v>
      </c>
      <c r="D8106" t="s">
        <v>4909</v>
      </c>
      <c r="E8106" t="s">
        <v>4909</v>
      </c>
      <c r="F8106" t="s">
        <v>4909</v>
      </c>
      <c r="G8106" t="s">
        <v>4909</v>
      </c>
      <c r="H8106" t="s">
        <v>4909</v>
      </c>
      <c r="I8106" t="s">
        <v>4909</v>
      </c>
      <c r="J8106" t="s">
        <v>4909</v>
      </c>
      <c r="K8106" t="s">
        <v>4909</v>
      </c>
    </row>
    <row r="8107" spans="1:11" x14ac:dyDescent="0.2">
      <c r="A8107" t="s">
        <v>1867</v>
      </c>
      <c r="B8107" t="s">
        <v>4909</v>
      </c>
      <c r="C8107" t="s">
        <v>4909</v>
      </c>
      <c r="D8107" t="s">
        <v>4909</v>
      </c>
      <c r="E8107" t="s">
        <v>4909</v>
      </c>
      <c r="F8107" t="s">
        <v>4909</v>
      </c>
      <c r="G8107" t="s">
        <v>4909</v>
      </c>
      <c r="H8107" t="s">
        <v>4909</v>
      </c>
      <c r="I8107" t="s">
        <v>4909</v>
      </c>
      <c r="J8107" t="s">
        <v>4909</v>
      </c>
      <c r="K8107" t="s">
        <v>4909</v>
      </c>
    </row>
    <row r="8108" spans="1:11" x14ac:dyDescent="0.2">
      <c r="A8108" t="s">
        <v>1870</v>
      </c>
      <c r="B8108" t="s">
        <v>4909</v>
      </c>
      <c r="C8108" t="s">
        <v>4909</v>
      </c>
      <c r="D8108" t="s">
        <v>4909</v>
      </c>
      <c r="E8108" t="s">
        <v>4909</v>
      </c>
      <c r="F8108" t="s">
        <v>4909</v>
      </c>
      <c r="G8108" t="s">
        <v>4909</v>
      </c>
      <c r="H8108" t="s">
        <v>4909</v>
      </c>
      <c r="I8108" t="s">
        <v>4909</v>
      </c>
      <c r="J8108" t="s">
        <v>4909</v>
      </c>
      <c r="K8108" t="s">
        <v>4909</v>
      </c>
    </row>
    <row r="8109" spans="1:11" x14ac:dyDescent="0.2">
      <c r="A8109" t="s">
        <v>1874</v>
      </c>
      <c r="B8109" t="s">
        <v>4909</v>
      </c>
      <c r="C8109" t="s">
        <v>4909</v>
      </c>
      <c r="D8109" t="s">
        <v>4909</v>
      </c>
      <c r="E8109" t="s">
        <v>4909</v>
      </c>
      <c r="F8109" t="s">
        <v>4909</v>
      </c>
      <c r="G8109" t="s">
        <v>4909</v>
      </c>
      <c r="H8109" t="s">
        <v>4909</v>
      </c>
      <c r="I8109" t="s">
        <v>4909</v>
      </c>
      <c r="J8109" t="s">
        <v>4909</v>
      </c>
      <c r="K8109" t="s">
        <v>4909</v>
      </c>
    </row>
    <row r="8110" spans="1:11" x14ac:dyDescent="0.2">
      <c r="A8110" t="s">
        <v>1876</v>
      </c>
      <c r="B8110" t="s">
        <v>4909</v>
      </c>
      <c r="C8110" t="s">
        <v>4909</v>
      </c>
      <c r="D8110" t="s">
        <v>4909</v>
      </c>
      <c r="E8110" t="s">
        <v>4909</v>
      </c>
      <c r="F8110" t="s">
        <v>4909</v>
      </c>
      <c r="G8110" t="s">
        <v>4909</v>
      </c>
      <c r="H8110" t="s">
        <v>4909</v>
      </c>
      <c r="I8110" t="s">
        <v>4909</v>
      </c>
      <c r="J8110" t="s">
        <v>4909</v>
      </c>
      <c r="K8110" t="s">
        <v>4909</v>
      </c>
    </row>
    <row r="8111" spans="1:11" x14ac:dyDescent="0.2">
      <c r="A8111" t="s">
        <v>1881</v>
      </c>
      <c r="B8111" t="s">
        <v>4909</v>
      </c>
      <c r="C8111" t="s">
        <v>4909</v>
      </c>
      <c r="D8111" t="s">
        <v>4909</v>
      </c>
      <c r="E8111" t="s">
        <v>4909</v>
      </c>
      <c r="F8111" t="s">
        <v>4909</v>
      </c>
      <c r="G8111" t="s">
        <v>4909</v>
      </c>
      <c r="H8111" t="s">
        <v>4909</v>
      </c>
      <c r="I8111" t="s">
        <v>4909</v>
      </c>
      <c r="J8111" t="s">
        <v>4909</v>
      </c>
      <c r="K8111" t="s">
        <v>4909</v>
      </c>
    </row>
    <row r="8112" spans="1:11" x14ac:dyDescent="0.2">
      <c r="A8112" t="s">
        <v>1885</v>
      </c>
      <c r="B8112" t="s">
        <v>4909</v>
      </c>
      <c r="C8112" s="88">
        <v>0</v>
      </c>
      <c r="D8112" t="s">
        <v>4909</v>
      </c>
      <c r="E8112" t="s">
        <v>4909</v>
      </c>
      <c r="F8112" t="s">
        <v>4909</v>
      </c>
      <c r="G8112" t="s">
        <v>4909</v>
      </c>
      <c r="H8112" t="s">
        <v>4909</v>
      </c>
      <c r="I8112" t="s">
        <v>4909</v>
      </c>
      <c r="J8112" t="s">
        <v>4909</v>
      </c>
      <c r="K8112" t="s">
        <v>4909</v>
      </c>
    </row>
    <row r="8113" spans="1:11" x14ac:dyDescent="0.2">
      <c r="A8113" t="s">
        <v>1887</v>
      </c>
      <c r="B8113" t="s">
        <v>4909</v>
      </c>
      <c r="C8113" t="s">
        <v>4909</v>
      </c>
      <c r="D8113" t="s">
        <v>4909</v>
      </c>
      <c r="E8113" t="s">
        <v>4909</v>
      </c>
      <c r="F8113" t="s">
        <v>4909</v>
      </c>
      <c r="G8113" t="s">
        <v>4909</v>
      </c>
      <c r="H8113" t="s">
        <v>4909</v>
      </c>
      <c r="I8113" t="s">
        <v>4909</v>
      </c>
      <c r="J8113" t="s">
        <v>4909</v>
      </c>
      <c r="K8113" t="s">
        <v>4909</v>
      </c>
    </row>
    <row r="8114" spans="1:11" x14ac:dyDescent="0.2">
      <c r="A8114" t="s">
        <v>1893</v>
      </c>
      <c r="B8114" t="s">
        <v>4909</v>
      </c>
      <c r="C8114" s="88">
        <v>0</v>
      </c>
      <c r="D8114" t="s">
        <v>4909</v>
      </c>
      <c r="E8114" t="s">
        <v>4909</v>
      </c>
      <c r="F8114" t="s">
        <v>4909</v>
      </c>
      <c r="G8114" t="s">
        <v>4909</v>
      </c>
      <c r="H8114" t="s">
        <v>4909</v>
      </c>
      <c r="I8114" t="s">
        <v>4909</v>
      </c>
      <c r="J8114" s="88">
        <v>0</v>
      </c>
      <c r="K8114" t="s">
        <v>4909</v>
      </c>
    </row>
    <row r="8115" spans="1:11" x14ac:dyDescent="0.2">
      <c r="A8115" t="s">
        <v>1899</v>
      </c>
      <c r="B8115" t="s">
        <v>4909</v>
      </c>
      <c r="C8115" t="s">
        <v>4909</v>
      </c>
      <c r="D8115" t="s">
        <v>4909</v>
      </c>
      <c r="E8115" t="s">
        <v>4909</v>
      </c>
      <c r="F8115" t="s">
        <v>4909</v>
      </c>
      <c r="G8115" t="s">
        <v>4909</v>
      </c>
      <c r="H8115" t="s">
        <v>4909</v>
      </c>
      <c r="I8115" t="s">
        <v>4909</v>
      </c>
      <c r="J8115" t="s">
        <v>4909</v>
      </c>
      <c r="K8115" t="s">
        <v>4909</v>
      </c>
    </row>
    <row r="8116" spans="1:11" x14ac:dyDescent="0.2">
      <c r="A8116" t="s">
        <v>1906</v>
      </c>
      <c r="B8116" t="s">
        <v>4909</v>
      </c>
      <c r="C8116" t="s">
        <v>4909</v>
      </c>
      <c r="D8116" t="s">
        <v>4909</v>
      </c>
      <c r="E8116" t="s">
        <v>4909</v>
      </c>
      <c r="F8116" t="s">
        <v>4909</v>
      </c>
      <c r="G8116" t="s">
        <v>4909</v>
      </c>
      <c r="H8116" t="s">
        <v>4909</v>
      </c>
      <c r="I8116" t="s">
        <v>4909</v>
      </c>
      <c r="J8116" t="s">
        <v>4909</v>
      </c>
      <c r="K8116" t="s">
        <v>4909</v>
      </c>
    </row>
    <row r="8117" spans="1:11" x14ac:dyDescent="0.2">
      <c r="A8117" t="s">
        <v>1911</v>
      </c>
      <c r="B8117" t="s">
        <v>4909</v>
      </c>
      <c r="C8117" t="s">
        <v>4909</v>
      </c>
      <c r="D8117" t="s">
        <v>4909</v>
      </c>
      <c r="E8117" t="s">
        <v>4909</v>
      </c>
      <c r="F8117" t="s">
        <v>4909</v>
      </c>
      <c r="G8117" t="s">
        <v>4909</v>
      </c>
      <c r="H8117" t="s">
        <v>4909</v>
      </c>
      <c r="I8117" t="s">
        <v>4909</v>
      </c>
      <c r="J8117" t="s">
        <v>4909</v>
      </c>
      <c r="K8117" t="s">
        <v>4909</v>
      </c>
    </row>
    <row r="8118" spans="1:11" x14ac:dyDescent="0.2">
      <c r="A8118" t="s">
        <v>1917</v>
      </c>
      <c r="B8118" t="s">
        <v>4909</v>
      </c>
      <c r="C8118" t="s">
        <v>4909</v>
      </c>
      <c r="D8118" t="s">
        <v>4909</v>
      </c>
      <c r="E8118" t="s">
        <v>4909</v>
      </c>
      <c r="F8118" t="s">
        <v>4909</v>
      </c>
      <c r="G8118" t="s">
        <v>4909</v>
      </c>
      <c r="H8118" t="s">
        <v>4909</v>
      </c>
      <c r="I8118" t="s">
        <v>4909</v>
      </c>
      <c r="J8118" t="s">
        <v>4909</v>
      </c>
      <c r="K8118" t="s">
        <v>4909</v>
      </c>
    </row>
    <row r="8119" spans="1:11" x14ac:dyDescent="0.2">
      <c r="A8119" t="s">
        <v>1922</v>
      </c>
      <c r="B8119" t="s">
        <v>4909</v>
      </c>
      <c r="C8119" t="s">
        <v>4909</v>
      </c>
      <c r="D8119" t="s">
        <v>4909</v>
      </c>
      <c r="E8119" t="s">
        <v>4909</v>
      </c>
      <c r="F8119" t="s">
        <v>4909</v>
      </c>
      <c r="G8119" t="s">
        <v>4909</v>
      </c>
      <c r="H8119" t="s">
        <v>4909</v>
      </c>
      <c r="I8119" t="s">
        <v>4909</v>
      </c>
      <c r="J8119" t="s">
        <v>4909</v>
      </c>
      <c r="K8119" t="s">
        <v>4909</v>
      </c>
    </row>
    <row r="8120" spans="1:11" x14ac:dyDescent="0.2">
      <c r="A8120" t="s">
        <v>1928</v>
      </c>
      <c r="B8120" t="s">
        <v>4909</v>
      </c>
      <c r="C8120" t="s">
        <v>4909</v>
      </c>
      <c r="D8120" t="s">
        <v>4909</v>
      </c>
      <c r="E8120" t="s">
        <v>4909</v>
      </c>
      <c r="F8120" t="s">
        <v>4909</v>
      </c>
      <c r="G8120" t="s">
        <v>4909</v>
      </c>
      <c r="H8120" t="s">
        <v>4909</v>
      </c>
      <c r="I8120" t="s">
        <v>4909</v>
      </c>
      <c r="J8120" t="s">
        <v>4909</v>
      </c>
      <c r="K8120" t="s">
        <v>4909</v>
      </c>
    </row>
    <row r="8121" spans="1:11" x14ac:dyDescent="0.2">
      <c r="A8121" t="s">
        <v>1932</v>
      </c>
      <c r="B8121" t="s">
        <v>4909</v>
      </c>
      <c r="C8121" t="s">
        <v>4909</v>
      </c>
      <c r="D8121" t="s">
        <v>4909</v>
      </c>
      <c r="E8121" t="s">
        <v>4909</v>
      </c>
      <c r="F8121" t="s">
        <v>4909</v>
      </c>
      <c r="G8121" t="s">
        <v>4909</v>
      </c>
      <c r="H8121" t="s">
        <v>4909</v>
      </c>
      <c r="I8121" t="s">
        <v>4909</v>
      </c>
      <c r="J8121" t="s">
        <v>4909</v>
      </c>
      <c r="K8121" t="s">
        <v>4909</v>
      </c>
    </row>
    <row r="8122" spans="1:11" x14ac:dyDescent="0.2">
      <c r="A8122" t="s">
        <v>1938</v>
      </c>
      <c r="B8122" t="s">
        <v>4909</v>
      </c>
      <c r="C8122" t="s">
        <v>4909</v>
      </c>
      <c r="D8122" t="s">
        <v>4909</v>
      </c>
      <c r="E8122" t="s">
        <v>4909</v>
      </c>
      <c r="F8122" t="s">
        <v>4909</v>
      </c>
      <c r="G8122" t="s">
        <v>4909</v>
      </c>
      <c r="H8122" t="s">
        <v>4909</v>
      </c>
      <c r="I8122" t="s">
        <v>4909</v>
      </c>
      <c r="J8122" t="s">
        <v>4909</v>
      </c>
      <c r="K8122" t="s">
        <v>4909</v>
      </c>
    </row>
    <row r="8123" spans="1:11" x14ac:dyDescent="0.2">
      <c r="A8123" t="s">
        <v>1944</v>
      </c>
      <c r="B8123" t="s">
        <v>4909</v>
      </c>
      <c r="C8123" t="s">
        <v>4909</v>
      </c>
      <c r="D8123" t="s">
        <v>4909</v>
      </c>
      <c r="E8123" t="s">
        <v>4909</v>
      </c>
      <c r="F8123" t="s">
        <v>4909</v>
      </c>
      <c r="G8123" t="s">
        <v>4909</v>
      </c>
      <c r="H8123" t="s">
        <v>4909</v>
      </c>
      <c r="I8123" t="s">
        <v>4909</v>
      </c>
      <c r="J8123" t="s">
        <v>4909</v>
      </c>
      <c r="K8123" t="s">
        <v>4909</v>
      </c>
    </row>
    <row r="8124" spans="1:11" x14ac:dyDescent="0.2">
      <c r="A8124" t="s">
        <v>1947</v>
      </c>
      <c r="B8124" t="s">
        <v>4909</v>
      </c>
      <c r="C8124" t="s">
        <v>4909</v>
      </c>
      <c r="D8124" t="s">
        <v>4909</v>
      </c>
      <c r="E8124" t="s">
        <v>4909</v>
      </c>
      <c r="F8124" t="s">
        <v>4909</v>
      </c>
      <c r="G8124" t="s">
        <v>4909</v>
      </c>
      <c r="H8124" t="s">
        <v>4909</v>
      </c>
      <c r="I8124" t="s">
        <v>4909</v>
      </c>
      <c r="J8124" t="s">
        <v>4909</v>
      </c>
      <c r="K8124" t="s">
        <v>4909</v>
      </c>
    </row>
    <row r="8125" spans="1:11" x14ac:dyDescent="0.2">
      <c r="A8125" t="s">
        <v>1953</v>
      </c>
      <c r="B8125" t="s">
        <v>4909</v>
      </c>
      <c r="C8125" t="s">
        <v>4909</v>
      </c>
      <c r="D8125" t="s">
        <v>4909</v>
      </c>
      <c r="E8125" t="s">
        <v>4909</v>
      </c>
      <c r="F8125" t="s">
        <v>4909</v>
      </c>
      <c r="G8125" t="s">
        <v>4909</v>
      </c>
      <c r="H8125" t="s">
        <v>4909</v>
      </c>
      <c r="I8125" t="s">
        <v>4909</v>
      </c>
      <c r="J8125" t="s">
        <v>4909</v>
      </c>
      <c r="K8125" t="s">
        <v>4909</v>
      </c>
    </row>
    <row r="8126" spans="1:11" x14ac:dyDescent="0.2">
      <c r="A8126" t="s">
        <v>1958</v>
      </c>
      <c r="B8126" t="s">
        <v>4909</v>
      </c>
      <c r="C8126" t="s">
        <v>4909</v>
      </c>
      <c r="D8126" t="s">
        <v>4909</v>
      </c>
      <c r="E8126" t="s">
        <v>4909</v>
      </c>
      <c r="F8126" t="s">
        <v>4909</v>
      </c>
      <c r="G8126" t="s">
        <v>4909</v>
      </c>
      <c r="H8126" t="s">
        <v>4909</v>
      </c>
      <c r="I8126" t="s">
        <v>4909</v>
      </c>
      <c r="J8126" t="s">
        <v>4909</v>
      </c>
      <c r="K8126" t="s">
        <v>4909</v>
      </c>
    </row>
    <row r="8127" spans="1:11" x14ac:dyDescent="0.2">
      <c r="A8127" t="s">
        <v>1964</v>
      </c>
      <c r="B8127" t="s">
        <v>4909</v>
      </c>
      <c r="C8127" t="s">
        <v>4909</v>
      </c>
      <c r="D8127" t="s">
        <v>4909</v>
      </c>
      <c r="E8127" t="s">
        <v>4909</v>
      </c>
      <c r="F8127" t="s">
        <v>4909</v>
      </c>
      <c r="G8127" t="s">
        <v>4909</v>
      </c>
      <c r="H8127" t="s">
        <v>4909</v>
      </c>
      <c r="I8127" t="s">
        <v>4909</v>
      </c>
      <c r="J8127" t="s">
        <v>4909</v>
      </c>
      <c r="K8127" t="s">
        <v>4909</v>
      </c>
    </row>
    <row r="8128" spans="1:11" x14ac:dyDescent="0.2">
      <c r="A8128" t="s">
        <v>1973</v>
      </c>
      <c r="B8128" t="s">
        <v>4909</v>
      </c>
      <c r="C8128" t="s">
        <v>4909</v>
      </c>
      <c r="D8128" t="s">
        <v>4909</v>
      </c>
      <c r="E8128" t="s">
        <v>4909</v>
      </c>
      <c r="F8128" t="s">
        <v>4909</v>
      </c>
      <c r="G8128" t="s">
        <v>4909</v>
      </c>
      <c r="H8128" t="s">
        <v>4909</v>
      </c>
      <c r="I8128" t="s">
        <v>4909</v>
      </c>
      <c r="J8128" t="s">
        <v>4909</v>
      </c>
      <c r="K8128" t="s">
        <v>4909</v>
      </c>
    </row>
    <row r="8129" spans="1:11" x14ac:dyDescent="0.2">
      <c r="A8129" t="s">
        <v>1978</v>
      </c>
      <c r="B8129" t="s">
        <v>4909</v>
      </c>
      <c r="C8129" t="s">
        <v>4909</v>
      </c>
      <c r="D8129" t="s">
        <v>4909</v>
      </c>
      <c r="E8129" t="s">
        <v>4909</v>
      </c>
      <c r="F8129" t="s">
        <v>4909</v>
      </c>
      <c r="G8129" t="s">
        <v>4909</v>
      </c>
      <c r="H8129" t="s">
        <v>4909</v>
      </c>
      <c r="I8129" t="s">
        <v>4909</v>
      </c>
      <c r="J8129" t="s">
        <v>4909</v>
      </c>
      <c r="K8129" t="s">
        <v>4909</v>
      </c>
    </row>
    <row r="8130" spans="1:11" x14ac:dyDescent="0.2">
      <c r="A8130" t="s">
        <v>1983</v>
      </c>
      <c r="B8130" t="s">
        <v>4909</v>
      </c>
      <c r="C8130" t="s">
        <v>4909</v>
      </c>
      <c r="D8130" t="s">
        <v>4909</v>
      </c>
      <c r="E8130" t="s">
        <v>4909</v>
      </c>
      <c r="F8130" t="s">
        <v>4909</v>
      </c>
      <c r="G8130" t="s">
        <v>4909</v>
      </c>
      <c r="H8130" t="s">
        <v>4909</v>
      </c>
      <c r="I8130" t="s">
        <v>4909</v>
      </c>
      <c r="J8130" t="s">
        <v>4909</v>
      </c>
      <c r="K8130" t="s">
        <v>4909</v>
      </c>
    </row>
    <row r="8131" spans="1:11" x14ac:dyDescent="0.2">
      <c r="A8131" t="s">
        <v>1984</v>
      </c>
      <c r="B8131" t="s">
        <v>4909</v>
      </c>
      <c r="C8131" t="s">
        <v>4909</v>
      </c>
      <c r="D8131" t="s">
        <v>4909</v>
      </c>
      <c r="E8131" t="s">
        <v>4909</v>
      </c>
      <c r="F8131" t="s">
        <v>4909</v>
      </c>
      <c r="G8131" t="s">
        <v>4909</v>
      </c>
      <c r="H8131" t="s">
        <v>4909</v>
      </c>
      <c r="I8131" t="s">
        <v>4909</v>
      </c>
      <c r="J8131" t="s">
        <v>4909</v>
      </c>
      <c r="K8131" t="s">
        <v>4909</v>
      </c>
    </row>
    <row r="8132" spans="1:11" x14ac:dyDescent="0.2">
      <c r="A8132" t="s">
        <v>1990</v>
      </c>
      <c r="B8132" t="s">
        <v>4909</v>
      </c>
      <c r="C8132" t="s">
        <v>4909</v>
      </c>
      <c r="D8132" t="s">
        <v>4909</v>
      </c>
      <c r="E8132" t="s">
        <v>4909</v>
      </c>
      <c r="F8132" t="s">
        <v>4909</v>
      </c>
      <c r="G8132" t="s">
        <v>4909</v>
      </c>
      <c r="H8132" t="s">
        <v>4909</v>
      </c>
      <c r="I8132" t="s">
        <v>4909</v>
      </c>
      <c r="J8132" t="s">
        <v>4909</v>
      </c>
      <c r="K8132" t="s">
        <v>4909</v>
      </c>
    </row>
    <row r="8133" spans="1:11" x14ac:dyDescent="0.2">
      <c r="A8133" t="s">
        <v>1996</v>
      </c>
      <c r="B8133" t="s">
        <v>4909</v>
      </c>
      <c r="C8133" t="s">
        <v>4909</v>
      </c>
      <c r="D8133" t="s">
        <v>4909</v>
      </c>
      <c r="E8133" t="s">
        <v>4909</v>
      </c>
      <c r="F8133" t="s">
        <v>4909</v>
      </c>
      <c r="G8133" t="s">
        <v>4909</v>
      </c>
      <c r="H8133" t="s">
        <v>4909</v>
      </c>
      <c r="I8133" t="s">
        <v>4909</v>
      </c>
      <c r="J8133" t="s">
        <v>4909</v>
      </c>
      <c r="K8133" t="s">
        <v>4909</v>
      </c>
    </row>
    <row r="8134" spans="1:11" x14ac:dyDescent="0.2">
      <c r="A8134" t="s">
        <v>1998</v>
      </c>
      <c r="B8134" t="s">
        <v>4909</v>
      </c>
      <c r="C8134" t="s">
        <v>4909</v>
      </c>
      <c r="D8134" t="s">
        <v>4909</v>
      </c>
      <c r="E8134" t="s">
        <v>4909</v>
      </c>
      <c r="F8134" t="s">
        <v>4909</v>
      </c>
      <c r="G8134" t="s">
        <v>4909</v>
      </c>
      <c r="H8134" t="s">
        <v>4909</v>
      </c>
      <c r="I8134" t="s">
        <v>4909</v>
      </c>
      <c r="J8134" t="s">
        <v>4909</v>
      </c>
      <c r="K8134" t="s">
        <v>4909</v>
      </c>
    </row>
    <row r="8135" spans="1:11" x14ac:dyDescent="0.2">
      <c r="A8135" t="s">
        <v>1999</v>
      </c>
      <c r="B8135" t="s">
        <v>4909</v>
      </c>
      <c r="C8135" t="s">
        <v>4909</v>
      </c>
      <c r="D8135" t="s">
        <v>4909</v>
      </c>
      <c r="E8135" t="s">
        <v>4909</v>
      </c>
      <c r="F8135" t="s">
        <v>4909</v>
      </c>
      <c r="G8135" t="s">
        <v>4909</v>
      </c>
      <c r="H8135" t="s">
        <v>4909</v>
      </c>
      <c r="I8135" t="s">
        <v>4909</v>
      </c>
      <c r="J8135" t="s">
        <v>4909</v>
      </c>
      <c r="K8135" t="s">
        <v>4909</v>
      </c>
    </row>
    <row r="8136" spans="1:11" x14ac:dyDescent="0.2">
      <c r="A8136" t="s">
        <v>2004</v>
      </c>
      <c r="B8136" t="s">
        <v>4909</v>
      </c>
      <c r="C8136" t="s">
        <v>4909</v>
      </c>
      <c r="D8136" t="s">
        <v>4909</v>
      </c>
      <c r="E8136" t="s">
        <v>4909</v>
      </c>
      <c r="F8136" t="s">
        <v>4909</v>
      </c>
      <c r="G8136" t="s">
        <v>4909</v>
      </c>
      <c r="H8136" t="s">
        <v>4909</v>
      </c>
      <c r="I8136" t="s">
        <v>4909</v>
      </c>
      <c r="J8136" t="s">
        <v>4909</v>
      </c>
      <c r="K8136" t="s">
        <v>4909</v>
      </c>
    </row>
    <row r="8137" spans="1:11" x14ac:dyDescent="0.2">
      <c r="A8137" t="s">
        <v>2009</v>
      </c>
      <c r="B8137" t="s">
        <v>4909</v>
      </c>
      <c r="C8137" t="s">
        <v>4909</v>
      </c>
      <c r="D8137" t="s">
        <v>4909</v>
      </c>
      <c r="E8137" t="s">
        <v>4909</v>
      </c>
      <c r="F8137" t="s">
        <v>4909</v>
      </c>
      <c r="G8137" t="s">
        <v>4909</v>
      </c>
      <c r="H8137" t="s">
        <v>4909</v>
      </c>
      <c r="I8137" t="s">
        <v>4909</v>
      </c>
      <c r="J8137" t="s">
        <v>4909</v>
      </c>
      <c r="K8137" t="s">
        <v>4909</v>
      </c>
    </row>
    <row r="8138" spans="1:11" x14ac:dyDescent="0.2">
      <c r="A8138" t="s">
        <v>2014</v>
      </c>
      <c r="B8138" t="s">
        <v>4909</v>
      </c>
      <c r="C8138" t="s">
        <v>4909</v>
      </c>
      <c r="D8138" t="s">
        <v>4909</v>
      </c>
      <c r="E8138" t="s">
        <v>4909</v>
      </c>
      <c r="F8138" t="s">
        <v>4909</v>
      </c>
      <c r="G8138" t="s">
        <v>4909</v>
      </c>
      <c r="H8138" t="s">
        <v>4909</v>
      </c>
      <c r="I8138" t="s">
        <v>4909</v>
      </c>
      <c r="J8138" t="s">
        <v>4909</v>
      </c>
      <c r="K8138" t="s">
        <v>4909</v>
      </c>
    </row>
    <row r="8139" spans="1:11" x14ac:dyDescent="0.2">
      <c r="A8139" t="s">
        <v>2019</v>
      </c>
      <c r="B8139" t="s">
        <v>4909</v>
      </c>
      <c r="C8139" t="s">
        <v>4909</v>
      </c>
      <c r="D8139" t="s">
        <v>4909</v>
      </c>
      <c r="E8139" t="s">
        <v>4909</v>
      </c>
      <c r="F8139" t="s">
        <v>4909</v>
      </c>
      <c r="G8139" t="s">
        <v>4909</v>
      </c>
      <c r="H8139" t="s">
        <v>4909</v>
      </c>
      <c r="I8139" t="s">
        <v>4909</v>
      </c>
      <c r="J8139" t="s">
        <v>4909</v>
      </c>
      <c r="K8139" t="s">
        <v>4909</v>
      </c>
    </row>
    <row r="8140" spans="1:11" x14ac:dyDescent="0.2">
      <c r="A8140" t="s">
        <v>2023</v>
      </c>
      <c r="B8140" t="s">
        <v>4909</v>
      </c>
      <c r="C8140" t="s">
        <v>4909</v>
      </c>
      <c r="D8140" t="s">
        <v>4909</v>
      </c>
      <c r="E8140" t="s">
        <v>4909</v>
      </c>
      <c r="F8140" t="s">
        <v>4909</v>
      </c>
      <c r="G8140" t="s">
        <v>4909</v>
      </c>
      <c r="H8140" t="s">
        <v>4909</v>
      </c>
      <c r="I8140" t="s">
        <v>4909</v>
      </c>
      <c r="J8140" t="s">
        <v>4909</v>
      </c>
      <c r="K8140" t="s">
        <v>4909</v>
      </c>
    </row>
    <row r="8141" spans="1:11" x14ac:dyDescent="0.2">
      <c r="A8141" t="s">
        <v>2026</v>
      </c>
      <c r="B8141" t="s">
        <v>4909</v>
      </c>
      <c r="C8141" t="s">
        <v>4909</v>
      </c>
      <c r="D8141" t="s">
        <v>4909</v>
      </c>
      <c r="E8141" t="s">
        <v>4909</v>
      </c>
      <c r="F8141" t="s">
        <v>4909</v>
      </c>
      <c r="G8141" t="s">
        <v>4909</v>
      </c>
      <c r="H8141" t="s">
        <v>4909</v>
      </c>
      <c r="I8141" t="s">
        <v>4909</v>
      </c>
      <c r="J8141" t="s">
        <v>4909</v>
      </c>
      <c r="K8141" t="s">
        <v>4909</v>
      </c>
    </row>
    <row r="8142" spans="1:11" x14ac:dyDescent="0.2">
      <c r="A8142" t="s">
        <v>2030</v>
      </c>
      <c r="B8142" t="s">
        <v>4909</v>
      </c>
      <c r="C8142" t="s">
        <v>4909</v>
      </c>
      <c r="D8142" t="s">
        <v>4909</v>
      </c>
      <c r="E8142" t="s">
        <v>4909</v>
      </c>
      <c r="F8142" t="s">
        <v>4909</v>
      </c>
      <c r="G8142" t="s">
        <v>4909</v>
      </c>
      <c r="H8142" t="s">
        <v>4909</v>
      </c>
      <c r="I8142" t="s">
        <v>4909</v>
      </c>
      <c r="J8142" t="s">
        <v>4909</v>
      </c>
      <c r="K8142" t="s">
        <v>4909</v>
      </c>
    </row>
    <row r="8143" spans="1:11" x14ac:dyDescent="0.2">
      <c r="A8143" t="s">
        <v>2035</v>
      </c>
      <c r="B8143" t="s">
        <v>4909</v>
      </c>
      <c r="C8143" t="s">
        <v>4909</v>
      </c>
      <c r="D8143" t="s">
        <v>4909</v>
      </c>
      <c r="E8143" t="s">
        <v>4909</v>
      </c>
      <c r="F8143" t="s">
        <v>4909</v>
      </c>
      <c r="G8143" t="s">
        <v>4909</v>
      </c>
      <c r="H8143" t="s">
        <v>4909</v>
      </c>
      <c r="I8143" t="s">
        <v>4909</v>
      </c>
      <c r="J8143" t="s">
        <v>4909</v>
      </c>
      <c r="K8143" t="s">
        <v>4909</v>
      </c>
    </row>
    <row r="8144" spans="1:11" x14ac:dyDescent="0.2">
      <c r="A8144" t="s">
        <v>2040</v>
      </c>
      <c r="B8144" t="s">
        <v>4909</v>
      </c>
      <c r="C8144" t="s">
        <v>4909</v>
      </c>
      <c r="D8144" t="s">
        <v>4909</v>
      </c>
      <c r="E8144" t="s">
        <v>4909</v>
      </c>
      <c r="F8144" t="s">
        <v>4909</v>
      </c>
      <c r="G8144" t="s">
        <v>4909</v>
      </c>
      <c r="H8144" t="s">
        <v>4909</v>
      </c>
      <c r="I8144" t="s">
        <v>4909</v>
      </c>
      <c r="J8144" t="s">
        <v>4909</v>
      </c>
      <c r="K8144" t="s">
        <v>4909</v>
      </c>
    </row>
    <row r="8145" spans="1:11" x14ac:dyDescent="0.2">
      <c r="A8145" t="s">
        <v>2045</v>
      </c>
      <c r="B8145" t="s">
        <v>4909</v>
      </c>
      <c r="C8145" t="s">
        <v>4909</v>
      </c>
      <c r="D8145" t="s">
        <v>4909</v>
      </c>
      <c r="E8145" t="s">
        <v>4909</v>
      </c>
      <c r="F8145" t="s">
        <v>4909</v>
      </c>
      <c r="G8145" t="s">
        <v>4909</v>
      </c>
      <c r="H8145" t="s">
        <v>4909</v>
      </c>
      <c r="I8145" t="s">
        <v>4909</v>
      </c>
      <c r="J8145" t="s">
        <v>4909</v>
      </c>
      <c r="K8145" t="s">
        <v>4909</v>
      </c>
    </row>
    <row r="8146" spans="1:11" x14ac:dyDescent="0.2">
      <c r="A8146" t="s">
        <v>2049</v>
      </c>
      <c r="B8146" t="s">
        <v>4909</v>
      </c>
      <c r="C8146" t="s">
        <v>4909</v>
      </c>
      <c r="D8146" t="s">
        <v>4909</v>
      </c>
      <c r="E8146" t="s">
        <v>4909</v>
      </c>
      <c r="F8146" t="s">
        <v>4909</v>
      </c>
      <c r="G8146" t="s">
        <v>4909</v>
      </c>
      <c r="H8146" t="s">
        <v>4909</v>
      </c>
      <c r="I8146" t="s">
        <v>4909</v>
      </c>
      <c r="J8146" t="s">
        <v>4909</v>
      </c>
      <c r="K8146" t="s">
        <v>4909</v>
      </c>
    </row>
    <row r="8147" spans="1:11" x14ac:dyDescent="0.2">
      <c r="A8147" t="s">
        <v>2051</v>
      </c>
      <c r="B8147" t="s">
        <v>4909</v>
      </c>
      <c r="C8147" s="88">
        <v>0</v>
      </c>
      <c r="D8147" t="s">
        <v>4909</v>
      </c>
      <c r="E8147" t="s">
        <v>4909</v>
      </c>
      <c r="F8147" t="s">
        <v>4909</v>
      </c>
      <c r="G8147" t="s">
        <v>4909</v>
      </c>
      <c r="H8147" t="s">
        <v>4909</v>
      </c>
      <c r="I8147" t="s">
        <v>4909</v>
      </c>
      <c r="J8147" t="s">
        <v>4909</v>
      </c>
      <c r="K8147" t="s">
        <v>4909</v>
      </c>
    </row>
    <row r="8148" spans="1:11" x14ac:dyDescent="0.2">
      <c r="A8148" t="s">
        <v>2057</v>
      </c>
      <c r="B8148" s="88">
        <v>0</v>
      </c>
      <c r="C8148" s="88">
        <v>0</v>
      </c>
      <c r="D8148" t="s">
        <v>4909</v>
      </c>
      <c r="E8148" t="s">
        <v>4909</v>
      </c>
      <c r="F8148" t="s">
        <v>4909</v>
      </c>
      <c r="G8148" t="s">
        <v>4909</v>
      </c>
      <c r="H8148" t="s">
        <v>4909</v>
      </c>
      <c r="I8148" t="s">
        <v>4909</v>
      </c>
      <c r="J8148" t="s">
        <v>4909</v>
      </c>
      <c r="K8148" t="s">
        <v>4909</v>
      </c>
    </row>
    <row r="8149" spans="1:11" x14ac:dyDescent="0.2">
      <c r="A8149" t="s">
        <v>4344</v>
      </c>
      <c r="B8149" t="s">
        <v>4909</v>
      </c>
      <c r="C8149" t="s">
        <v>4909</v>
      </c>
      <c r="D8149" t="s">
        <v>4909</v>
      </c>
      <c r="E8149" t="s">
        <v>4909</v>
      </c>
      <c r="F8149" t="s">
        <v>4909</v>
      </c>
      <c r="G8149" t="s">
        <v>4909</v>
      </c>
      <c r="H8149" t="s">
        <v>4909</v>
      </c>
      <c r="I8149" t="s">
        <v>4909</v>
      </c>
      <c r="J8149" t="s">
        <v>4909</v>
      </c>
      <c r="K8149" t="s">
        <v>4909</v>
      </c>
    </row>
    <row r="8150" spans="1:11" x14ac:dyDescent="0.2">
      <c r="A8150" t="s">
        <v>4345</v>
      </c>
      <c r="B8150" t="s">
        <v>4909</v>
      </c>
      <c r="C8150" t="s">
        <v>4909</v>
      </c>
      <c r="D8150" t="s">
        <v>4909</v>
      </c>
      <c r="E8150" t="s">
        <v>4909</v>
      </c>
      <c r="F8150" t="s">
        <v>4909</v>
      </c>
      <c r="G8150" t="s">
        <v>4909</v>
      </c>
      <c r="H8150" t="s">
        <v>4909</v>
      </c>
      <c r="I8150" t="s">
        <v>4909</v>
      </c>
      <c r="J8150" t="s">
        <v>4909</v>
      </c>
      <c r="K8150" t="s">
        <v>4909</v>
      </c>
    </row>
    <row r="8151" spans="1:11" x14ac:dyDescent="0.2">
      <c r="A8151" t="s">
        <v>2074</v>
      </c>
      <c r="B8151" t="s">
        <v>4909</v>
      </c>
      <c r="C8151" t="s">
        <v>4909</v>
      </c>
      <c r="D8151" t="s">
        <v>4909</v>
      </c>
      <c r="E8151" t="s">
        <v>4909</v>
      </c>
      <c r="F8151" t="s">
        <v>4909</v>
      </c>
      <c r="G8151" t="s">
        <v>4909</v>
      </c>
      <c r="H8151" t="s">
        <v>4909</v>
      </c>
      <c r="I8151" t="s">
        <v>4909</v>
      </c>
      <c r="J8151" t="s">
        <v>4909</v>
      </c>
      <c r="K8151" t="s">
        <v>4909</v>
      </c>
    </row>
    <row r="8152" spans="1:11" x14ac:dyDescent="0.2">
      <c r="A8152" t="s">
        <v>2079</v>
      </c>
      <c r="B8152" t="s">
        <v>4909</v>
      </c>
      <c r="C8152" t="s">
        <v>4909</v>
      </c>
      <c r="D8152" t="s">
        <v>4909</v>
      </c>
      <c r="E8152" t="s">
        <v>4909</v>
      </c>
      <c r="F8152" t="s">
        <v>4909</v>
      </c>
      <c r="G8152" t="s">
        <v>4909</v>
      </c>
      <c r="H8152" t="s">
        <v>4909</v>
      </c>
      <c r="I8152" t="s">
        <v>4909</v>
      </c>
      <c r="J8152" t="s">
        <v>4909</v>
      </c>
      <c r="K8152" t="s">
        <v>4909</v>
      </c>
    </row>
    <row r="8153" spans="1:11" x14ac:dyDescent="0.2">
      <c r="A8153" t="s">
        <v>2085</v>
      </c>
      <c r="B8153" t="s">
        <v>4909</v>
      </c>
      <c r="C8153" t="s">
        <v>4909</v>
      </c>
      <c r="D8153" t="s">
        <v>4909</v>
      </c>
      <c r="E8153" t="s">
        <v>4909</v>
      </c>
      <c r="F8153" t="s">
        <v>4909</v>
      </c>
      <c r="G8153" t="s">
        <v>4909</v>
      </c>
      <c r="H8153" t="s">
        <v>4909</v>
      </c>
      <c r="I8153" t="s">
        <v>4909</v>
      </c>
      <c r="J8153" t="s">
        <v>4909</v>
      </c>
      <c r="K8153" t="s">
        <v>4909</v>
      </c>
    </row>
    <row r="8154" spans="1:11" x14ac:dyDescent="0.2">
      <c r="A8154" t="s">
        <v>2091</v>
      </c>
      <c r="B8154" t="s">
        <v>4909</v>
      </c>
      <c r="C8154" t="s">
        <v>4909</v>
      </c>
      <c r="D8154" t="s">
        <v>4909</v>
      </c>
      <c r="E8154" t="s">
        <v>4909</v>
      </c>
      <c r="F8154" t="s">
        <v>4909</v>
      </c>
      <c r="G8154" t="s">
        <v>4909</v>
      </c>
      <c r="H8154" t="s">
        <v>4909</v>
      </c>
      <c r="I8154" t="s">
        <v>4909</v>
      </c>
      <c r="J8154" t="s">
        <v>4909</v>
      </c>
      <c r="K8154" t="s">
        <v>4909</v>
      </c>
    </row>
    <row r="8155" spans="1:11" x14ac:dyDescent="0.2">
      <c r="A8155" t="s">
        <v>2097</v>
      </c>
      <c r="B8155" t="s">
        <v>4909</v>
      </c>
      <c r="C8155" t="s">
        <v>4909</v>
      </c>
      <c r="D8155" t="s">
        <v>4909</v>
      </c>
      <c r="E8155" t="s">
        <v>4909</v>
      </c>
      <c r="F8155" t="s">
        <v>4909</v>
      </c>
      <c r="G8155" t="s">
        <v>4909</v>
      </c>
      <c r="H8155" t="s">
        <v>4909</v>
      </c>
      <c r="I8155" t="s">
        <v>4909</v>
      </c>
      <c r="J8155" t="s">
        <v>4909</v>
      </c>
      <c r="K8155" t="s">
        <v>4909</v>
      </c>
    </row>
    <row r="8156" spans="1:11" x14ac:dyDescent="0.2">
      <c r="A8156" t="s">
        <v>2101</v>
      </c>
      <c r="B8156" t="s">
        <v>4909</v>
      </c>
      <c r="C8156" t="s">
        <v>4909</v>
      </c>
      <c r="D8156" t="s">
        <v>4909</v>
      </c>
      <c r="E8156" t="s">
        <v>4909</v>
      </c>
      <c r="F8156" t="s">
        <v>4909</v>
      </c>
      <c r="G8156" t="s">
        <v>4909</v>
      </c>
      <c r="H8156" t="s">
        <v>4909</v>
      </c>
      <c r="I8156" t="s">
        <v>4909</v>
      </c>
      <c r="J8156" t="s">
        <v>4909</v>
      </c>
      <c r="K8156" t="s">
        <v>4909</v>
      </c>
    </row>
    <row r="8157" spans="1:11" x14ac:dyDescent="0.2">
      <c r="A8157" t="s">
        <v>2104</v>
      </c>
      <c r="B8157" t="s">
        <v>4909</v>
      </c>
      <c r="C8157" t="s">
        <v>4909</v>
      </c>
      <c r="D8157" t="s">
        <v>4909</v>
      </c>
      <c r="E8157" t="s">
        <v>4909</v>
      </c>
      <c r="F8157" t="s">
        <v>4909</v>
      </c>
      <c r="G8157" t="s">
        <v>4909</v>
      </c>
      <c r="H8157" t="s">
        <v>4909</v>
      </c>
      <c r="I8157" t="s">
        <v>4909</v>
      </c>
      <c r="J8157" t="s">
        <v>4909</v>
      </c>
      <c r="K8157" t="s">
        <v>4909</v>
      </c>
    </row>
    <row r="8158" spans="1:11" x14ac:dyDescent="0.2">
      <c r="A8158" t="s">
        <v>2107</v>
      </c>
      <c r="B8158" t="s">
        <v>4909</v>
      </c>
      <c r="C8158" t="s">
        <v>4909</v>
      </c>
      <c r="D8158" t="s">
        <v>4909</v>
      </c>
      <c r="E8158" t="s">
        <v>4909</v>
      </c>
      <c r="F8158" t="s">
        <v>4909</v>
      </c>
      <c r="G8158" t="s">
        <v>4909</v>
      </c>
      <c r="H8158" t="s">
        <v>4909</v>
      </c>
      <c r="I8158" t="s">
        <v>4909</v>
      </c>
      <c r="J8158" t="s">
        <v>4909</v>
      </c>
      <c r="K8158" t="s">
        <v>4909</v>
      </c>
    </row>
    <row r="8159" spans="1:11" x14ac:dyDescent="0.2">
      <c r="A8159" t="s">
        <v>2110</v>
      </c>
      <c r="B8159" t="s">
        <v>4909</v>
      </c>
      <c r="C8159" t="s">
        <v>4909</v>
      </c>
      <c r="D8159" t="s">
        <v>4909</v>
      </c>
      <c r="E8159" t="s">
        <v>4909</v>
      </c>
      <c r="F8159" t="s">
        <v>4909</v>
      </c>
      <c r="G8159" t="s">
        <v>4909</v>
      </c>
      <c r="H8159" t="s">
        <v>4909</v>
      </c>
      <c r="I8159" t="s">
        <v>4909</v>
      </c>
      <c r="J8159" t="s">
        <v>4909</v>
      </c>
      <c r="K8159" t="s">
        <v>4909</v>
      </c>
    </row>
    <row r="8160" spans="1:11" x14ac:dyDescent="0.2">
      <c r="A8160" t="s">
        <v>2113</v>
      </c>
      <c r="B8160" t="s">
        <v>4909</v>
      </c>
      <c r="C8160" t="s">
        <v>4909</v>
      </c>
      <c r="D8160" t="s">
        <v>4909</v>
      </c>
      <c r="E8160" t="s">
        <v>4909</v>
      </c>
      <c r="F8160" t="s">
        <v>4909</v>
      </c>
      <c r="G8160" t="s">
        <v>4909</v>
      </c>
      <c r="H8160" t="s">
        <v>4909</v>
      </c>
      <c r="I8160" t="s">
        <v>4909</v>
      </c>
      <c r="J8160" t="s">
        <v>4909</v>
      </c>
      <c r="K8160" t="s">
        <v>4909</v>
      </c>
    </row>
    <row r="8161" spans="1:11" x14ac:dyDescent="0.2">
      <c r="A8161" t="s">
        <v>4346</v>
      </c>
      <c r="B8161" t="s">
        <v>4909</v>
      </c>
      <c r="C8161" t="s">
        <v>4909</v>
      </c>
      <c r="D8161" t="s">
        <v>4909</v>
      </c>
      <c r="E8161" t="s">
        <v>4909</v>
      </c>
      <c r="F8161" t="s">
        <v>4909</v>
      </c>
      <c r="G8161" t="s">
        <v>4909</v>
      </c>
      <c r="H8161" t="s">
        <v>4909</v>
      </c>
      <c r="I8161" t="s">
        <v>4909</v>
      </c>
      <c r="J8161" t="s">
        <v>4909</v>
      </c>
      <c r="K8161" t="s">
        <v>4909</v>
      </c>
    </row>
    <row r="8162" spans="1:11" x14ac:dyDescent="0.2">
      <c r="A8162" t="s">
        <v>4347</v>
      </c>
      <c r="B8162" t="s">
        <v>4909</v>
      </c>
      <c r="C8162" t="s">
        <v>4909</v>
      </c>
      <c r="D8162" t="s">
        <v>4909</v>
      </c>
      <c r="E8162" t="s">
        <v>4909</v>
      </c>
      <c r="F8162" t="s">
        <v>4909</v>
      </c>
      <c r="G8162" t="s">
        <v>4909</v>
      </c>
      <c r="H8162" t="s">
        <v>4909</v>
      </c>
      <c r="I8162" t="s">
        <v>4909</v>
      </c>
      <c r="J8162" t="s">
        <v>4909</v>
      </c>
      <c r="K8162" t="s">
        <v>4909</v>
      </c>
    </row>
    <row r="8163" spans="1:11" x14ac:dyDescent="0.2">
      <c r="A8163" t="s">
        <v>4348</v>
      </c>
      <c r="B8163" t="s">
        <v>4909</v>
      </c>
      <c r="C8163" t="s">
        <v>4909</v>
      </c>
      <c r="D8163" t="s">
        <v>4909</v>
      </c>
      <c r="E8163" t="s">
        <v>4909</v>
      </c>
      <c r="F8163" t="s">
        <v>4909</v>
      </c>
      <c r="G8163" t="s">
        <v>4909</v>
      </c>
      <c r="H8163" t="s">
        <v>4909</v>
      </c>
      <c r="I8163" t="s">
        <v>4909</v>
      </c>
      <c r="J8163" t="s">
        <v>4909</v>
      </c>
      <c r="K8163" t="s">
        <v>4909</v>
      </c>
    </row>
    <row r="8164" spans="1:11" x14ac:dyDescent="0.2">
      <c r="A8164" t="s">
        <v>4349</v>
      </c>
      <c r="B8164" t="s">
        <v>4909</v>
      </c>
      <c r="C8164" t="s">
        <v>4909</v>
      </c>
      <c r="D8164" t="s">
        <v>4909</v>
      </c>
      <c r="E8164" t="s">
        <v>4909</v>
      </c>
      <c r="F8164" t="s">
        <v>4909</v>
      </c>
      <c r="G8164" t="s">
        <v>4909</v>
      </c>
      <c r="H8164" t="s">
        <v>4909</v>
      </c>
      <c r="I8164" t="s">
        <v>4909</v>
      </c>
      <c r="J8164" t="s">
        <v>4909</v>
      </c>
      <c r="K8164" t="s">
        <v>4909</v>
      </c>
    </row>
    <row r="8165" spans="1:11" x14ac:dyDescent="0.2">
      <c r="A8165" t="s">
        <v>4350</v>
      </c>
      <c r="B8165" s="88">
        <v>0</v>
      </c>
      <c r="C8165" s="88">
        <v>0</v>
      </c>
      <c r="D8165" t="s">
        <v>4909</v>
      </c>
      <c r="E8165" t="s">
        <v>4909</v>
      </c>
      <c r="F8165" s="88">
        <v>0</v>
      </c>
      <c r="G8165" t="s">
        <v>4909</v>
      </c>
      <c r="H8165" s="88">
        <v>0</v>
      </c>
      <c r="I8165" s="88">
        <v>0</v>
      </c>
      <c r="J8165" s="88">
        <v>1E-3</v>
      </c>
      <c r="K8165" t="s">
        <v>4909</v>
      </c>
    </row>
    <row r="8166" spans="1:11" x14ac:dyDescent="0.2">
      <c r="A8166" t="s">
        <v>4351</v>
      </c>
      <c r="B8166" t="s">
        <v>4909</v>
      </c>
      <c r="C8166" t="s">
        <v>4909</v>
      </c>
      <c r="D8166" t="s">
        <v>4909</v>
      </c>
      <c r="E8166" t="s">
        <v>4909</v>
      </c>
      <c r="F8166" t="s">
        <v>4909</v>
      </c>
      <c r="G8166" t="s">
        <v>4909</v>
      </c>
      <c r="H8166" t="s">
        <v>4909</v>
      </c>
      <c r="I8166" t="s">
        <v>4909</v>
      </c>
      <c r="J8166" t="s">
        <v>4909</v>
      </c>
      <c r="K8166" t="s">
        <v>4909</v>
      </c>
    </row>
    <row r="8167" spans="1:11" x14ac:dyDescent="0.2">
      <c r="A8167" t="s">
        <v>4352</v>
      </c>
      <c r="B8167" t="s">
        <v>4909</v>
      </c>
      <c r="C8167" t="s">
        <v>4909</v>
      </c>
      <c r="D8167" t="s">
        <v>4909</v>
      </c>
      <c r="E8167" t="s">
        <v>4909</v>
      </c>
      <c r="F8167" t="s">
        <v>4909</v>
      </c>
      <c r="G8167" t="s">
        <v>4909</v>
      </c>
      <c r="H8167" t="s">
        <v>4909</v>
      </c>
      <c r="I8167" t="s">
        <v>4909</v>
      </c>
      <c r="J8167" t="s">
        <v>4909</v>
      </c>
      <c r="K8167" t="s">
        <v>4909</v>
      </c>
    </row>
    <row r="8168" spans="1:11" x14ac:dyDescent="0.2">
      <c r="A8168" t="s">
        <v>4353</v>
      </c>
      <c r="B8168" t="s">
        <v>4909</v>
      </c>
      <c r="C8168" s="88">
        <v>5.0000000000000001E-3</v>
      </c>
      <c r="D8168" t="s">
        <v>4909</v>
      </c>
      <c r="E8168" t="s">
        <v>4909</v>
      </c>
      <c r="F8168" s="88">
        <v>4.0000000000000001E-3</v>
      </c>
      <c r="G8168" t="s">
        <v>4909</v>
      </c>
      <c r="H8168" t="s">
        <v>4909</v>
      </c>
      <c r="I8168" s="88">
        <v>7.0000000000000001E-3</v>
      </c>
      <c r="J8168" s="88">
        <v>3.1E-2</v>
      </c>
      <c r="K8168" t="s">
        <v>4909</v>
      </c>
    </row>
    <row r="8169" spans="1:11" x14ac:dyDescent="0.2">
      <c r="A8169" t="s">
        <v>4354</v>
      </c>
      <c r="B8169" s="88">
        <v>0</v>
      </c>
      <c r="C8169" s="88">
        <v>0.01</v>
      </c>
      <c r="D8169" t="s">
        <v>4909</v>
      </c>
      <c r="E8169" t="s">
        <v>4909</v>
      </c>
      <c r="F8169" s="88">
        <v>7.0000000000000001E-3</v>
      </c>
      <c r="G8169" t="s">
        <v>4909</v>
      </c>
      <c r="H8169" s="88">
        <v>0</v>
      </c>
      <c r="I8169" s="88">
        <v>1.0999999999999999E-2</v>
      </c>
      <c r="J8169" s="88">
        <v>2.4E-2</v>
      </c>
      <c r="K8169" t="s">
        <v>4909</v>
      </c>
    </row>
    <row r="8170" spans="1:11" x14ac:dyDescent="0.2">
      <c r="A8170" t="s">
        <v>4355</v>
      </c>
      <c r="B8170" t="s">
        <v>4909</v>
      </c>
      <c r="C8170" t="s">
        <v>4909</v>
      </c>
      <c r="D8170" t="s">
        <v>4909</v>
      </c>
      <c r="E8170" t="s">
        <v>4909</v>
      </c>
      <c r="F8170" t="s">
        <v>4909</v>
      </c>
      <c r="G8170" t="s">
        <v>4909</v>
      </c>
      <c r="H8170" t="s">
        <v>4909</v>
      </c>
      <c r="I8170" t="s">
        <v>4909</v>
      </c>
      <c r="J8170" t="s">
        <v>4909</v>
      </c>
      <c r="K8170" t="s">
        <v>4909</v>
      </c>
    </row>
    <row r="8171" spans="1:11" x14ac:dyDescent="0.2">
      <c r="A8171" t="s">
        <v>4356</v>
      </c>
      <c r="B8171" t="s">
        <v>4909</v>
      </c>
      <c r="C8171" t="s">
        <v>4909</v>
      </c>
      <c r="D8171" t="s">
        <v>4909</v>
      </c>
      <c r="E8171" t="s">
        <v>4909</v>
      </c>
      <c r="F8171" t="s">
        <v>4909</v>
      </c>
      <c r="G8171" t="s">
        <v>4909</v>
      </c>
      <c r="H8171" t="s">
        <v>4909</v>
      </c>
      <c r="I8171" t="s">
        <v>4909</v>
      </c>
      <c r="J8171" t="s">
        <v>4909</v>
      </c>
      <c r="K8171" t="s">
        <v>4909</v>
      </c>
    </row>
    <row r="8172" spans="1:11" x14ac:dyDescent="0.2">
      <c r="A8172" t="s">
        <v>4357</v>
      </c>
      <c r="B8172" t="s">
        <v>4909</v>
      </c>
      <c r="C8172" s="88">
        <v>0</v>
      </c>
      <c r="D8172" t="s">
        <v>4909</v>
      </c>
      <c r="E8172" t="s">
        <v>4909</v>
      </c>
      <c r="F8172" t="s">
        <v>4909</v>
      </c>
      <c r="G8172" t="s">
        <v>4909</v>
      </c>
      <c r="H8172" t="s">
        <v>4909</v>
      </c>
      <c r="I8172" t="s">
        <v>4909</v>
      </c>
      <c r="J8172" s="88">
        <v>0</v>
      </c>
      <c r="K8172" t="s">
        <v>4909</v>
      </c>
    </row>
    <row r="8173" spans="1:11" x14ac:dyDescent="0.2">
      <c r="A8173" t="s">
        <v>4358</v>
      </c>
      <c r="B8173" t="s">
        <v>4909</v>
      </c>
      <c r="C8173" s="88">
        <v>0</v>
      </c>
      <c r="D8173" t="s">
        <v>4909</v>
      </c>
      <c r="E8173" t="s">
        <v>4909</v>
      </c>
      <c r="F8173" t="s">
        <v>4909</v>
      </c>
      <c r="G8173" t="s">
        <v>4909</v>
      </c>
      <c r="H8173" t="s">
        <v>4909</v>
      </c>
      <c r="I8173" t="s">
        <v>4909</v>
      </c>
      <c r="J8173" s="88">
        <v>0</v>
      </c>
      <c r="K8173" t="s">
        <v>4909</v>
      </c>
    </row>
    <row r="8174" spans="1:11" x14ac:dyDescent="0.2">
      <c r="A8174" t="s">
        <v>4359</v>
      </c>
      <c r="B8174" t="s">
        <v>4909</v>
      </c>
      <c r="C8174" t="s">
        <v>4909</v>
      </c>
      <c r="D8174" t="s">
        <v>4909</v>
      </c>
      <c r="E8174" t="s">
        <v>4909</v>
      </c>
      <c r="F8174" t="s">
        <v>4909</v>
      </c>
      <c r="G8174" t="s">
        <v>4909</v>
      </c>
      <c r="H8174" t="s">
        <v>4909</v>
      </c>
      <c r="I8174" t="s">
        <v>4909</v>
      </c>
      <c r="J8174" t="s">
        <v>4909</v>
      </c>
      <c r="K8174" t="s">
        <v>4909</v>
      </c>
    </row>
    <row r="8175" spans="1:11" x14ac:dyDescent="0.2">
      <c r="A8175" t="s">
        <v>4360</v>
      </c>
      <c r="B8175" t="s">
        <v>4909</v>
      </c>
      <c r="C8175" t="s">
        <v>4909</v>
      </c>
      <c r="D8175" t="s">
        <v>4909</v>
      </c>
      <c r="E8175" t="s">
        <v>4909</v>
      </c>
      <c r="F8175" t="s">
        <v>4909</v>
      </c>
      <c r="G8175" t="s">
        <v>4909</v>
      </c>
      <c r="H8175" t="s">
        <v>4909</v>
      </c>
      <c r="I8175" t="s">
        <v>4909</v>
      </c>
      <c r="J8175" s="88">
        <v>0</v>
      </c>
      <c r="K8175" t="s">
        <v>4909</v>
      </c>
    </row>
    <row r="8176" spans="1:11" x14ac:dyDescent="0.2">
      <c r="A8176" t="s">
        <v>4361</v>
      </c>
      <c r="B8176" s="88">
        <v>0</v>
      </c>
      <c r="C8176" s="88">
        <v>0</v>
      </c>
      <c r="D8176" t="s">
        <v>4909</v>
      </c>
      <c r="E8176" t="s">
        <v>4909</v>
      </c>
      <c r="F8176" s="88">
        <v>0</v>
      </c>
      <c r="G8176" t="s">
        <v>4909</v>
      </c>
      <c r="H8176" t="s">
        <v>4909</v>
      </c>
      <c r="I8176" s="88">
        <v>0</v>
      </c>
      <c r="J8176" s="88">
        <v>6.0000000000000001E-3</v>
      </c>
      <c r="K8176" t="s">
        <v>4909</v>
      </c>
    </row>
    <row r="8177" spans="1:11" x14ac:dyDescent="0.2">
      <c r="A8177" t="s">
        <v>4362</v>
      </c>
      <c r="B8177" t="s">
        <v>4909</v>
      </c>
      <c r="C8177" t="s">
        <v>4909</v>
      </c>
      <c r="D8177" t="s">
        <v>4909</v>
      </c>
      <c r="E8177" t="s">
        <v>4909</v>
      </c>
      <c r="F8177" t="s">
        <v>4909</v>
      </c>
      <c r="G8177" t="s">
        <v>4909</v>
      </c>
      <c r="H8177" t="s">
        <v>4909</v>
      </c>
      <c r="I8177" t="s">
        <v>4909</v>
      </c>
      <c r="J8177" t="s">
        <v>4909</v>
      </c>
      <c r="K8177" t="s">
        <v>4909</v>
      </c>
    </row>
    <row r="8178" spans="1:11" x14ac:dyDescent="0.2">
      <c r="A8178" t="s">
        <v>4363</v>
      </c>
      <c r="B8178" t="s">
        <v>4909</v>
      </c>
      <c r="C8178" t="s">
        <v>4909</v>
      </c>
      <c r="D8178" t="s">
        <v>4909</v>
      </c>
      <c r="E8178" t="s">
        <v>4909</v>
      </c>
      <c r="F8178" t="s">
        <v>4909</v>
      </c>
      <c r="G8178" t="s">
        <v>4909</v>
      </c>
      <c r="H8178" t="s">
        <v>4909</v>
      </c>
      <c r="I8178" t="s">
        <v>4909</v>
      </c>
      <c r="J8178" t="s">
        <v>4909</v>
      </c>
      <c r="K8178" t="s">
        <v>4909</v>
      </c>
    </row>
    <row r="8179" spans="1:11" x14ac:dyDescent="0.2">
      <c r="A8179" t="s">
        <v>4364</v>
      </c>
      <c r="B8179" t="s">
        <v>4909</v>
      </c>
      <c r="C8179" t="s">
        <v>4909</v>
      </c>
      <c r="D8179" t="s">
        <v>4909</v>
      </c>
      <c r="E8179" t="s">
        <v>4909</v>
      </c>
      <c r="F8179" t="s">
        <v>4909</v>
      </c>
      <c r="G8179" t="s">
        <v>4909</v>
      </c>
      <c r="H8179" t="s">
        <v>4909</v>
      </c>
      <c r="I8179" t="s">
        <v>4909</v>
      </c>
      <c r="J8179" t="s">
        <v>4909</v>
      </c>
      <c r="K8179" t="s">
        <v>4909</v>
      </c>
    </row>
    <row r="8180" spans="1:11" x14ac:dyDescent="0.2">
      <c r="A8180" t="s">
        <v>4365</v>
      </c>
      <c r="B8180" t="s">
        <v>4909</v>
      </c>
      <c r="C8180" s="88">
        <v>5.0000000000000001E-3</v>
      </c>
      <c r="D8180" t="s">
        <v>4909</v>
      </c>
      <c r="E8180" t="s">
        <v>4909</v>
      </c>
      <c r="F8180" s="88">
        <v>1E-3</v>
      </c>
      <c r="G8180" t="s">
        <v>4909</v>
      </c>
      <c r="H8180" s="88">
        <v>0</v>
      </c>
      <c r="I8180" s="88">
        <v>1.9E-2</v>
      </c>
      <c r="J8180" s="88">
        <v>2E-3</v>
      </c>
      <c r="K8180" t="s">
        <v>4909</v>
      </c>
    </row>
    <row r="8181" spans="1:11" x14ac:dyDescent="0.2">
      <c r="A8181" t="s">
        <v>4366</v>
      </c>
      <c r="B8181" t="s">
        <v>4909</v>
      </c>
      <c r="C8181" t="s">
        <v>4909</v>
      </c>
      <c r="D8181" t="s">
        <v>4909</v>
      </c>
      <c r="E8181" t="s">
        <v>4909</v>
      </c>
      <c r="F8181" t="s">
        <v>4909</v>
      </c>
      <c r="G8181" t="s">
        <v>4909</v>
      </c>
      <c r="H8181" t="s">
        <v>4909</v>
      </c>
      <c r="I8181" t="s">
        <v>4909</v>
      </c>
      <c r="J8181" s="88">
        <v>0</v>
      </c>
      <c r="K8181" t="s">
        <v>4909</v>
      </c>
    </row>
    <row r="8182" spans="1:11" x14ac:dyDescent="0.2">
      <c r="A8182" t="s">
        <v>4367</v>
      </c>
      <c r="B8182" t="s">
        <v>4909</v>
      </c>
      <c r="C8182" t="s">
        <v>4909</v>
      </c>
      <c r="D8182" t="s">
        <v>4909</v>
      </c>
      <c r="E8182" t="s">
        <v>4909</v>
      </c>
      <c r="F8182" t="s">
        <v>4909</v>
      </c>
      <c r="G8182" t="s">
        <v>4909</v>
      </c>
      <c r="H8182" t="s">
        <v>4909</v>
      </c>
      <c r="I8182" t="s">
        <v>4909</v>
      </c>
      <c r="J8182" s="88">
        <v>0</v>
      </c>
      <c r="K8182" t="s">
        <v>4909</v>
      </c>
    </row>
    <row r="8183" spans="1:11" x14ac:dyDescent="0.2">
      <c r="A8183" t="s">
        <v>4368</v>
      </c>
      <c r="B8183" t="s">
        <v>4909</v>
      </c>
      <c r="C8183" s="88">
        <v>2E-3</v>
      </c>
      <c r="D8183" t="s">
        <v>4909</v>
      </c>
      <c r="E8183" t="s">
        <v>4909</v>
      </c>
      <c r="F8183" s="88">
        <v>0</v>
      </c>
      <c r="G8183" t="s">
        <v>4909</v>
      </c>
      <c r="H8183" s="88">
        <v>0</v>
      </c>
      <c r="I8183" s="88">
        <v>5.0000000000000001E-3</v>
      </c>
      <c r="J8183" s="88">
        <v>1E-3</v>
      </c>
      <c r="K8183" t="s">
        <v>4909</v>
      </c>
    </row>
    <row r="8184" spans="1:11" x14ac:dyDescent="0.2">
      <c r="A8184" t="s">
        <v>4369</v>
      </c>
      <c r="B8184" s="88">
        <v>0</v>
      </c>
      <c r="C8184" s="88">
        <v>1.6E-2</v>
      </c>
      <c r="D8184" t="s">
        <v>4909</v>
      </c>
      <c r="E8184" t="s">
        <v>4909</v>
      </c>
      <c r="F8184" s="88">
        <v>0</v>
      </c>
      <c r="G8184" t="s">
        <v>4909</v>
      </c>
      <c r="H8184" s="88">
        <v>0</v>
      </c>
      <c r="I8184" s="88">
        <v>3.0000000000000001E-3</v>
      </c>
      <c r="J8184" s="88">
        <v>4.0000000000000001E-3</v>
      </c>
      <c r="K8184" t="s">
        <v>4909</v>
      </c>
    </row>
    <row r="8185" spans="1:11" x14ac:dyDescent="0.2">
      <c r="A8185" t="s">
        <v>4370</v>
      </c>
      <c r="B8185" t="s">
        <v>4909</v>
      </c>
      <c r="C8185" t="s">
        <v>4909</v>
      </c>
      <c r="D8185" t="s">
        <v>4909</v>
      </c>
      <c r="E8185" t="s">
        <v>4909</v>
      </c>
      <c r="F8185" t="s">
        <v>4909</v>
      </c>
      <c r="G8185" t="s">
        <v>4909</v>
      </c>
      <c r="H8185" t="s">
        <v>4909</v>
      </c>
      <c r="I8185" t="s">
        <v>4909</v>
      </c>
      <c r="J8185" t="s">
        <v>4909</v>
      </c>
      <c r="K8185" t="s">
        <v>4909</v>
      </c>
    </row>
    <row r="8186" spans="1:11" x14ac:dyDescent="0.2">
      <c r="A8186" t="s">
        <v>4371</v>
      </c>
      <c r="B8186" t="s">
        <v>4909</v>
      </c>
      <c r="C8186" t="s">
        <v>4909</v>
      </c>
      <c r="D8186" t="s">
        <v>4909</v>
      </c>
      <c r="E8186" t="s">
        <v>4909</v>
      </c>
      <c r="F8186" t="s">
        <v>4909</v>
      </c>
      <c r="G8186" t="s">
        <v>4909</v>
      </c>
      <c r="H8186" t="s">
        <v>4909</v>
      </c>
      <c r="I8186" t="s">
        <v>4909</v>
      </c>
      <c r="J8186" t="s">
        <v>4909</v>
      </c>
      <c r="K8186" t="s">
        <v>4909</v>
      </c>
    </row>
    <row r="8187" spans="1:11" x14ac:dyDescent="0.2">
      <c r="A8187" t="s">
        <v>4372</v>
      </c>
      <c r="B8187" t="s">
        <v>4909</v>
      </c>
      <c r="C8187" t="s">
        <v>4909</v>
      </c>
      <c r="D8187" t="s">
        <v>4909</v>
      </c>
      <c r="E8187" t="s">
        <v>4909</v>
      </c>
      <c r="F8187" t="s">
        <v>4909</v>
      </c>
      <c r="G8187" t="s">
        <v>4909</v>
      </c>
      <c r="H8187" t="s">
        <v>4909</v>
      </c>
      <c r="I8187" t="s">
        <v>4909</v>
      </c>
      <c r="J8187" t="s">
        <v>4909</v>
      </c>
      <c r="K8187" t="s">
        <v>4909</v>
      </c>
    </row>
    <row r="8188" spans="1:11" x14ac:dyDescent="0.2">
      <c r="A8188" t="s">
        <v>4373</v>
      </c>
      <c r="B8188" s="88">
        <v>0</v>
      </c>
      <c r="C8188" s="88">
        <v>0</v>
      </c>
      <c r="D8188" t="s">
        <v>4909</v>
      </c>
      <c r="E8188" t="s">
        <v>4909</v>
      </c>
      <c r="F8188" s="88">
        <v>0</v>
      </c>
      <c r="G8188" t="s">
        <v>4909</v>
      </c>
      <c r="H8188" t="s">
        <v>4909</v>
      </c>
      <c r="I8188" s="88">
        <v>0</v>
      </c>
      <c r="J8188" s="88">
        <v>0</v>
      </c>
      <c r="K8188" t="s">
        <v>4909</v>
      </c>
    </row>
    <row r="8189" spans="1:11" x14ac:dyDescent="0.2">
      <c r="A8189" t="s">
        <v>4374</v>
      </c>
      <c r="B8189" t="s">
        <v>4909</v>
      </c>
      <c r="C8189" s="88">
        <v>0</v>
      </c>
      <c r="D8189" t="s">
        <v>4909</v>
      </c>
      <c r="E8189" t="s">
        <v>4909</v>
      </c>
      <c r="F8189" t="s">
        <v>4909</v>
      </c>
      <c r="G8189" t="s">
        <v>4909</v>
      </c>
      <c r="H8189" t="s">
        <v>4909</v>
      </c>
      <c r="I8189" t="s">
        <v>4909</v>
      </c>
      <c r="J8189" s="88">
        <v>0</v>
      </c>
      <c r="K8189" t="s">
        <v>4909</v>
      </c>
    </row>
    <row r="8190" spans="1:11" x14ac:dyDescent="0.2">
      <c r="A8190" t="s">
        <v>4375</v>
      </c>
      <c r="B8190" s="88">
        <v>0</v>
      </c>
      <c r="C8190" s="88">
        <v>0</v>
      </c>
      <c r="D8190" t="s">
        <v>4909</v>
      </c>
      <c r="E8190" t="s">
        <v>4909</v>
      </c>
      <c r="F8190" s="88">
        <v>0</v>
      </c>
      <c r="G8190" t="s">
        <v>4909</v>
      </c>
      <c r="H8190" s="88">
        <v>0</v>
      </c>
      <c r="I8190" s="88">
        <v>0</v>
      </c>
      <c r="J8190" s="88">
        <v>0</v>
      </c>
      <c r="K8190" t="s">
        <v>4909</v>
      </c>
    </row>
    <row r="8191" spans="1:11" x14ac:dyDescent="0.2">
      <c r="A8191" t="s">
        <v>4376</v>
      </c>
      <c r="B8191" t="s">
        <v>4909</v>
      </c>
      <c r="C8191" t="s">
        <v>4909</v>
      </c>
      <c r="D8191" t="s">
        <v>4909</v>
      </c>
      <c r="E8191" t="s">
        <v>4909</v>
      </c>
      <c r="F8191" t="s">
        <v>4909</v>
      </c>
      <c r="G8191" t="s">
        <v>4909</v>
      </c>
      <c r="H8191" t="s">
        <v>4909</v>
      </c>
      <c r="I8191" t="s">
        <v>4909</v>
      </c>
      <c r="J8191" s="88">
        <v>0</v>
      </c>
      <c r="K8191" t="s">
        <v>4909</v>
      </c>
    </row>
    <row r="8192" spans="1:11" x14ac:dyDescent="0.2">
      <c r="A8192" t="s">
        <v>4377</v>
      </c>
      <c r="B8192" t="s">
        <v>4909</v>
      </c>
      <c r="C8192" s="88">
        <v>0</v>
      </c>
      <c r="D8192" t="s">
        <v>4909</v>
      </c>
      <c r="E8192" t="s">
        <v>4909</v>
      </c>
      <c r="F8192" s="88">
        <v>0</v>
      </c>
      <c r="G8192" t="s">
        <v>4909</v>
      </c>
      <c r="H8192" s="88">
        <v>0</v>
      </c>
      <c r="I8192" s="88">
        <v>0</v>
      </c>
      <c r="J8192" s="88">
        <v>0</v>
      </c>
      <c r="K8192" t="s">
        <v>4909</v>
      </c>
    </row>
    <row r="8193" spans="1:11" x14ac:dyDescent="0.2">
      <c r="A8193" t="s">
        <v>2318</v>
      </c>
      <c r="B8193" t="s">
        <v>4399</v>
      </c>
      <c r="C8193" t="s">
        <v>4399</v>
      </c>
      <c r="D8193" t="s">
        <v>4399</v>
      </c>
      <c r="E8193" t="s">
        <v>4399</v>
      </c>
      <c r="F8193" t="s">
        <v>4399</v>
      </c>
      <c r="G8193" t="s">
        <v>4399</v>
      </c>
      <c r="H8193" t="s">
        <v>4399</v>
      </c>
      <c r="I8193" t="s">
        <v>4399</v>
      </c>
      <c r="J8193" t="s">
        <v>4399</v>
      </c>
      <c r="K8193" t="s">
        <v>4399</v>
      </c>
    </row>
    <row r="8194" spans="1:11" x14ac:dyDescent="0.2">
      <c r="A8194" t="s">
        <v>4248</v>
      </c>
    </row>
    <row r="8195" spans="1:11" x14ac:dyDescent="0.2">
      <c r="A8195" t="s">
        <v>4910</v>
      </c>
      <c r="B8195" t="s">
        <v>4904</v>
      </c>
      <c r="C8195" t="s">
        <v>4911</v>
      </c>
      <c r="D8195" t="s">
        <v>4912</v>
      </c>
      <c r="E8195" t="s">
        <v>4907</v>
      </c>
      <c r="F8195" t="s">
        <v>4913</v>
      </c>
      <c r="G8195">
        <v>16</v>
      </c>
    </row>
    <row r="8196" spans="1:11" x14ac:dyDescent="0.2">
      <c r="A8196" t="s">
        <v>2318</v>
      </c>
      <c r="B8196" t="s">
        <v>4399</v>
      </c>
      <c r="C8196" t="s">
        <v>4399</v>
      </c>
      <c r="D8196" t="s">
        <v>4399</v>
      </c>
      <c r="E8196" t="s">
        <v>4399</v>
      </c>
      <c r="F8196" t="s">
        <v>4399</v>
      </c>
      <c r="G8196" t="s">
        <v>4399</v>
      </c>
      <c r="H8196" t="s">
        <v>4399</v>
      </c>
      <c r="I8196" t="s">
        <v>4399</v>
      </c>
      <c r="J8196" t="s">
        <v>4399</v>
      </c>
      <c r="K8196" t="s">
        <v>4399</v>
      </c>
    </row>
    <row r="8197" spans="1:11" x14ac:dyDescent="0.2">
      <c r="A8197" t="s">
        <v>126</v>
      </c>
      <c r="B8197" t="s">
        <v>4504</v>
      </c>
      <c r="C8197" t="s">
        <v>4508</v>
      </c>
      <c r="D8197" t="s">
        <v>4512</v>
      </c>
      <c r="E8197" t="s">
        <v>4516</v>
      </c>
      <c r="F8197" t="s">
        <v>4520</v>
      </c>
      <c r="G8197" t="s">
        <v>4524</v>
      </c>
      <c r="H8197" t="s">
        <v>4527</v>
      </c>
      <c r="I8197" t="s">
        <v>4530</v>
      </c>
      <c r="J8197" t="s">
        <v>4534</v>
      </c>
      <c r="K8197" t="s">
        <v>4538</v>
      </c>
    </row>
    <row r="8198" spans="1:11" x14ac:dyDescent="0.2">
      <c r="A8198" t="s">
        <v>2318</v>
      </c>
      <c r="B8198" t="s">
        <v>4399</v>
      </c>
      <c r="C8198" t="s">
        <v>4399</v>
      </c>
      <c r="D8198" t="s">
        <v>4399</v>
      </c>
      <c r="E8198" t="s">
        <v>4399</v>
      </c>
      <c r="F8198" t="s">
        <v>4399</v>
      </c>
      <c r="G8198" t="s">
        <v>4399</v>
      </c>
      <c r="H8198" t="s">
        <v>4399</v>
      </c>
      <c r="I8198" t="s">
        <v>4399</v>
      </c>
      <c r="J8198" t="s">
        <v>4399</v>
      </c>
      <c r="K8198" t="s">
        <v>4399</v>
      </c>
    </row>
    <row r="8199" spans="1:11" x14ac:dyDescent="0.2">
      <c r="A8199" t="s">
        <v>4265</v>
      </c>
      <c r="B8199" t="s">
        <v>4909</v>
      </c>
      <c r="C8199" t="s">
        <v>4909</v>
      </c>
      <c r="D8199" t="s">
        <v>4909</v>
      </c>
      <c r="E8199" t="s">
        <v>4909</v>
      </c>
      <c r="F8199" t="s">
        <v>4909</v>
      </c>
      <c r="G8199" t="s">
        <v>4909</v>
      </c>
      <c r="H8199" t="s">
        <v>4909</v>
      </c>
      <c r="I8199" t="s">
        <v>4909</v>
      </c>
      <c r="J8199" t="s">
        <v>4909</v>
      </c>
      <c r="K8199" t="s">
        <v>4909</v>
      </c>
    </row>
    <row r="8200" spans="1:11" x14ac:dyDescent="0.2">
      <c r="A8200" t="s">
        <v>4266</v>
      </c>
      <c r="B8200" t="s">
        <v>4909</v>
      </c>
      <c r="C8200" t="s">
        <v>4909</v>
      </c>
      <c r="D8200" t="s">
        <v>4909</v>
      </c>
      <c r="E8200" t="s">
        <v>4909</v>
      </c>
      <c r="F8200" t="s">
        <v>4909</v>
      </c>
      <c r="G8200" t="s">
        <v>4909</v>
      </c>
      <c r="H8200" t="s">
        <v>4909</v>
      </c>
      <c r="I8200" t="s">
        <v>4909</v>
      </c>
      <c r="J8200" t="s">
        <v>4909</v>
      </c>
      <c r="K8200" t="s">
        <v>4909</v>
      </c>
    </row>
    <row r="8201" spans="1:11" x14ac:dyDescent="0.2">
      <c r="A8201" t="s">
        <v>4267</v>
      </c>
      <c r="B8201" t="s">
        <v>4909</v>
      </c>
      <c r="C8201" t="s">
        <v>4909</v>
      </c>
      <c r="D8201" t="s">
        <v>4909</v>
      </c>
      <c r="E8201" t="s">
        <v>4909</v>
      </c>
      <c r="F8201" t="s">
        <v>4909</v>
      </c>
      <c r="G8201" t="s">
        <v>4909</v>
      </c>
      <c r="H8201" t="s">
        <v>4909</v>
      </c>
      <c r="I8201" t="s">
        <v>4909</v>
      </c>
      <c r="J8201" t="s">
        <v>4909</v>
      </c>
      <c r="K8201" t="s">
        <v>4909</v>
      </c>
    </row>
    <row r="8202" spans="1:11" x14ac:dyDescent="0.2">
      <c r="A8202" t="s">
        <v>4268</v>
      </c>
      <c r="B8202" t="s">
        <v>4909</v>
      </c>
      <c r="C8202" t="s">
        <v>4909</v>
      </c>
      <c r="D8202" t="s">
        <v>4909</v>
      </c>
      <c r="E8202" t="s">
        <v>4909</v>
      </c>
      <c r="F8202" t="s">
        <v>4909</v>
      </c>
      <c r="G8202" t="s">
        <v>4909</v>
      </c>
      <c r="H8202" t="s">
        <v>4909</v>
      </c>
      <c r="I8202" t="s">
        <v>4909</v>
      </c>
      <c r="J8202" t="s">
        <v>4909</v>
      </c>
      <c r="K8202" t="s">
        <v>4909</v>
      </c>
    </row>
    <row r="8203" spans="1:11" x14ac:dyDescent="0.2">
      <c r="A8203" t="s">
        <v>4269</v>
      </c>
      <c r="B8203" t="s">
        <v>4909</v>
      </c>
      <c r="C8203" t="s">
        <v>4909</v>
      </c>
      <c r="D8203" t="s">
        <v>4909</v>
      </c>
      <c r="E8203" t="s">
        <v>4909</v>
      </c>
      <c r="F8203" t="s">
        <v>4909</v>
      </c>
      <c r="G8203" t="s">
        <v>4909</v>
      </c>
      <c r="H8203" t="s">
        <v>4909</v>
      </c>
      <c r="I8203" t="s">
        <v>4909</v>
      </c>
      <c r="J8203" t="s">
        <v>4909</v>
      </c>
      <c r="K8203" t="s">
        <v>4909</v>
      </c>
    </row>
    <row r="8204" spans="1:11" x14ac:dyDescent="0.2">
      <c r="A8204" t="s">
        <v>4270</v>
      </c>
      <c r="B8204" t="s">
        <v>4909</v>
      </c>
      <c r="C8204" t="s">
        <v>4909</v>
      </c>
      <c r="D8204" t="s">
        <v>4909</v>
      </c>
      <c r="E8204" t="s">
        <v>4909</v>
      </c>
      <c r="F8204" t="s">
        <v>4909</v>
      </c>
      <c r="G8204" t="s">
        <v>4909</v>
      </c>
      <c r="H8204" t="s">
        <v>4909</v>
      </c>
      <c r="I8204" t="s">
        <v>4909</v>
      </c>
      <c r="J8204" t="s">
        <v>4909</v>
      </c>
      <c r="K8204" t="s">
        <v>4909</v>
      </c>
    </row>
    <row r="8205" spans="1:11" x14ac:dyDescent="0.2">
      <c r="A8205" t="s">
        <v>4271</v>
      </c>
      <c r="B8205" t="s">
        <v>4909</v>
      </c>
      <c r="C8205" t="s">
        <v>4909</v>
      </c>
      <c r="D8205" t="s">
        <v>4909</v>
      </c>
      <c r="E8205" t="s">
        <v>4909</v>
      </c>
      <c r="F8205" t="s">
        <v>4909</v>
      </c>
      <c r="G8205" t="s">
        <v>4909</v>
      </c>
      <c r="H8205" t="s">
        <v>4909</v>
      </c>
      <c r="I8205" t="s">
        <v>4909</v>
      </c>
      <c r="J8205" t="s">
        <v>4909</v>
      </c>
      <c r="K8205" t="s">
        <v>4909</v>
      </c>
    </row>
    <row r="8206" spans="1:11" x14ac:dyDescent="0.2">
      <c r="A8206" t="s">
        <v>4272</v>
      </c>
      <c r="B8206" t="s">
        <v>4909</v>
      </c>
      <c r="C8206" t="s">
        <v>4909</v>
      </c>
      <c r="D8206" t="s">
        <v>4909</v>
      </c>
      <c r="E8206" t="s">
        <v>4909</v>
      </c>
      <c r="F8206" t="s">
        <v>4909</v>
      </c>
      <c r="G8206" t="s">
        <v>4909</v>
      </c>
      <c r="H8206" t="s">
        <v>4909</v>
      </c>
      <c r="I8206" t="s">
        <v>4909</v>
      </c>
      <c r="J8206" t="s">
        <v>4909</v>
      </c>
      <c r="K8206" t="s">
        <v>4909</v>
      </c>
    </row>
    <row r="8207" spans="1:11" x14ac:dyDescent="0.2">
      <c r="A8207" t="s">
        <v>4273</v>
      </c>
      <c r="B8207" t="s">
        <v>4909</v>
      </c>
      <c r="C8207" t="s">
        <v>4909</v>
      </c>
      <c r="D8207" t="s">
        <v>4909</v>
      </c>
      <c r="E8207" t="s">
        <v>4909</v>
      </c>
      <c r="F8207" t="s">
        <v>4909</v>
      </c>
      <c r="G8207" t="s">
        <v>4909</v>
      </c>
      <c r="H8207" t="s">
        <v>4909</v>
      </c>
      <c r="I8207" t="s">
        <v>4909</v>
      </c>
      <c r="J8207" t="s">
        <v>4909</v>
      </c>
      <c r="K8207" t="s">
        <v>4909</v>
      </c>
    </row>
    <row r="8208" spans="1:11" x14ac:dyDescent="0.2">
      <c r="A8208" t="s">
        <v>4274</v>
      </c>
      <c r="B8208" t="s">
        <v>4909</v>
      </c>
      <c r="C8208" t="s">
        <v>4909</v>
      </c>
      <c r="D8208" t="s">
        <v>4909</v>
      </c>
      <c r="E8208" t="s">
        <v>4909</v>
      </c>
      <c r="F8208" t="s">
        <v>4909</v>
      </c>
      <c r="G8208" t="s">
        <v>4909</v>
      </c>
      <c r="H8208" t="s">
        <v>4909</v>
      </c>
      <c r="I8208" t="s">
        <v>4909</v>
      </c>
      <c r="J8208" t="s">
        <v>4909</v>
      </c>
      <c r="K8208" t="s">
        <v>4909</v>
      </c>
    </row>
    <row r="8209" spans="1:11" x14ac:dyDescent="0.2">
      <c r="A8209" t="s">
        <v>4275</v>
      </c>
      <c r="B8209" t="s">
        <v>4909</v>
      </c>
      <c r="C8209" t="s">
        <v>4909</v>
      </c>
      <c r="D8209" t="s">
        <v>4909</v>
      </c>
      <c r="E8209" t="s">
        <v>4909</v>
      </c>
      <c r="F8209" t="s">
        <v>4909</v>
      </c>
      <c r="G8209" t="s">
        <v>4909</v>
      </c>
      <c r="H8209" t="s">
        <v>4909</v>
      </c>
      <c r="I8209" t="s">
        <v>4909</v>
      </c>
      <c r="J8209" t="s">
        <v>4909</v>
      </c>
      <c r="K8209" t="s">
        <v>4909</v>
      </c>
    </row>
    <row r="8210" spans="1:11" x14ac:dyDescent="0.2">
      <c r="A8210" t="s">
        <v>4276</v>
      </c>
      <c r="B8210" t="s">
        <v>4909</v>
      </c>
      <c r="C8210" t="s">
        <v>4909</v>
      </c>
      <c r="D8210" t="s">
        <v>4909</v>
      </c>
      <c r="E8210" t="s">
        <v>4909</v>
      </c>
      <c r="F8210" t="s">
        <v>4909</v>
      </c>
      <c r="G8210" t="s">
        <v>4909</v>
      </c>
      <c r="H8210" t="s">
        <v>4909</v>
      </c>
      <c r="I8210" t="s">
        <v>4909</v>
      </c>
      <c r="J8210" t="s">
        <v>4909</v>
      </c>
      <c r="K8210" t="s">
        <v>4909</v>
      </c>
    </row>
    <row r="8211" spans="1:11" x14ac:dyDescent="0.2">
      <c r="A8211" t="s">
        <v>4277</v>
      </c>
      <c r="B8211" t="s">
        <v>4909</v>
      </c>
      <c r="C8211" t="s">
        <v>4909</v>
      </c>
      <c r="D8211" t="s">
        <v>4909</v>
      </c>
      <c r="E8211" t="s">
        <v>4909</v>
      </c>
      <c r="F8211" t="s">
        <v>4909</v>
      </c>
      <c r="G8211" t="s">
        <v>4909</v>
      </c>
      <c r="H8211" t="s">
        <v>4909</v>
      </c>
      <c r="I8211" t="s">
        <v>4909</v>
      </c>
      <c r="J8211" t="s">
        <v>4909</v>
      </c>
      <c r="K8211" t="s">
        <v>4909</v>
      </c>
    </row>
    <row r="8212" spans="1:11" x14ac:dyDescent="0.2">
      <c r="A8212" t="s">
        <v>4278</v>
      </c>
      <c r="B8212" t="s">
        <v>4909</v>
      </c>
      <c r="C8212" t="s">
        <v>4909</v>
      </c>
      <c r="D8212" t="s">
        <v>4909</v>
      </c>
      <c r="E8212" t="s">
        <v>4909</v>
      </c>
      <c r="F8212" t="s">
        <v>4909</v>
      </c>
      <c r="G8212" t="s">
        <v>4909</v>
      </c>
      <c r="H8212" t="s">
        <v>4909</v>
      </c>
      <c r="I8212" t="s">
        <v>4909</v>
      </c>
      <c r="J8212" t="s">
        <v>4909</v>
      </c>
      <c r="K8212" t="s">
        <v>4909</v>
      </c>
    </row>
    <row r="8213" spans="1:11" x14ac:dyDescent="0.2">
      <c r="A8213" t="s">
        <v>4279</v>
      </c>
      <c r="B8213" t="s">
        <v>4909</v>
      </c>
      <c r="C8213" t="s">
        <v>4909</v>
      </c>
      <c r="D8213" t="s">
        <v>4909</v>
      </c>
      <c r="E8213" t="s">
        <v>4909</v>
      </c>
      <c r="F8213" t="s">
        <v>4909</v>
      </c>
      <c r="G8213" t="s">
        <v>4909</v>
      </c>
      <c r="H8213" t="s">
        <v>4909</v>
      </c>
      <c r="I8213" t="s">
        <v>4909</v>
      </c>
      <c r="J8213" t="s">
        <v>4909</v>
      </c>
      <c r="K8213" t="s">
        <v>4909</v>
      </c>
    </row>
    <row r="8214" spans="1:11" x14ac:dyDescent="0.2">
      <c r="A8214" t="s">
        <v>4280</v>
      </c>
      <c r="B8214" t="s">
        <v>4909</v>
      </c>
      <c r="C8214" t="s">
        <v>4909</v>
      </c>
      <c r="D8214" t="s">
        <v>4909</v>
      </c>
      <c r="E8214" t="s">
        <v>4909</v>
      </c>
      <c r="F8214" t="s">
        <v>4909</v>
      </c>
      <c r="G8214" t="s">
        <v>4909</v>
      </c>
      <c r="H8214" t="s">
        <v>4909</v>
      </c>
      <c r="I8214" t="s">
        <v>4909</v>
      </c>
      <c r="J8214" t="s">
        <v>4909</v>
      </c>
      <c r="K8214" t="s">
        <v>4909</v>
      </c>
    </row>
    <row r="8215" spans="1:11" x14ac:dyDescent="0.2">
      <c r="A8215" t="s">
        <v>4281</v>
      </c>
      <c r="B8215" s="88">
        <v>0</v>
      </c>
      <c r="C8215" s="88">
        <v>3.0000000000000001E-3</v>
      </c>
      <c r="D8215" s="88">
        <v>0</v>
      </c>
      <c r="E8215" t="s">
        <v>4909</v>
      </c>
      <c r="F8215" s="88">
        <v>0</v>
      </c>
      <c r="G8215" s="88">
        <v>4.0000000000000001E-3</v>
      </c>
      <c r="H8215" s="88">
        <v>0</v>
      </c>
      <c r="I8215" t="s">
        <v>4909</v>
      </c>
      <c r="J8215" t="s">
        <v>4909</v>
      </c>
      <c r="K8215" s="88">
        <v>0</v>
      </c>
    </row>
    <row r="8216" spans="1:11" x14ac:dyDescent="0.2">
      <c r="A8216" t="s">
        <v>4282</v>
      </c>
      <c r="B8216" s="88">
        <v>0</v>
      </c>
      <c r="C8216" s="88">
        <v>2E-3</v>
      </c>
      <c r="D8216" s="88">
        <v>0</v>
      </c>
      <c r="E8216" t="s">
        <v>4909</v>
      </c>
      <c r="F8216" s="88">
        <v>0</v>
      </c>
      <c r="G8216" s="88">
        <v>2E-3</v>
      </c>
      <c r="H8216" s="88">
        <v>0</v>
      </c>
      <c r="I8216" t="s">
        <v>4909</v>
      </c>
      <c r="J8216" t="s">
        <v>4909</v>
      </c>
      <c r="K8216" s="88">
        <v>0</v>
      </c>
    </row>
    <row r="8217" spans="1:11" x14ac:dyDescent="0.2">
      <c r="A8217" t="s">
        <v>4283</v>
      </c>
      <c r="B8217" s="88">
        <v>0</v>
      </c>
      <c r="C8217" s="88">
        <v>1E-3</v>
      </c>
      <c r="D8217" s="88">
        <v>0</v>
      </c>
      <c r="E8217" t="s">
        <v>4909</v>
      </c>
      <c r="F8217" t="s">
        <v>4909</v>
      </c>
      <c r="G8217" s="88">
        <v>2E-3</v>
      </c>
      <c r="H8217" t="s">
        <v>4909</v>
      </c>
      <c r="I8217" t="s">
        <v>4909</v>
      </c>
      <c r="J8217" t="s">
        <v>4909</v>
      </c>
      <c r="K8217" s="88">
        <v>0</v>
      </c>
    </row>
    <row r="8218" spans="1:11" x14ac:dyDescent="0.2">
      <c r="A8218" t="s">
        <v>4284</v>
      </c>
      <c r="B8218" t="s">
        <v>4909</v>
      </c>
      <c r="C8218" s="88">
        <v>0</v>
      </c>
      <c r="D8218" t="s">
        <v>4909</v>
      </c>
      <c r="E8218" t="s">
        <v>4909</v>
      </c>
      <c r="F8218" t="s">
        <v>4909</v>
      </c>
      <c r="G8218" s="88">
        <v>0</v>
      </c>
      <c r="H8218" t="s">
        <v>4909</v>
      </c>
      <c r="I8218" t="s">
        <v>4909</v>
      </c>
      <c r="J8218" t="s">
        <v>4909</v>
      </c>
      <c r="K8218" t="s">
        <v>4909</v>
      </c>
    </row>
    <row r="8219" spans="1:11" x14ac:dyDescent="0.2">
      <c r="A8219" t="s">
        <v>4285</v>
      </c>
      <c r="B8219" s="88">
        <v>0</v>
      </c>
      <c r="C8219" s="88">
        <v>6.0000000000000001E-3</v>
      </c>
      <c r="D8219" s="88">
        <v>0</v>
      </c>
      <c r="E8219" t="s">
        <v>4909</v>
      </c>
      <c r="F8219" s="88">
        <v>0</v>
      </c>
      <c r="G8219" s="88">
        <v>7.0000000000000001E-3</v>
      </c>
      <c r="H8219" s="88">
        <v>0</v>
      </c>
      <c r="I8219" t="s">
        <v>4909</v>
      </c>
      <c r="J8219" t="s">
        <v>4909</v>
      </c>
      <c r="K8219" s="88">
        <v>0</v>
      </c>
    </row>
    <row r="8220" spans="1:11" x14ac:dyDescent="0.2">
      <c r="A8220" t="s">
        <v>4286</v>
      </c>
      <c r="B8220" s="88">
        <v>1E-3</v>
      </c>
      <c r="C8220" s="88">
        <v>3.0000000000000001E-3</v>
      </c>
      <c r="D8220" s="88">
        <v>1E-3</v>
      </c>
      <c r="E8220" t="s">
        <v>4909</v>
      </c>
      <c r="F8220" t="s">
        <v>4909</v>
      </c>
      <c r="G8220" s="88">
        <v>4.0000000000000001E-3</v>
      </c>
      <c r="H8220" t="s">
        <v>4909</v>
      </c>
      <c r="I8220" t="s">
        <v>4909</v>
      </c>
      <c r="J8220" t="s">
        <v>4909</v>
      </c>
      <c r="K8220" t="s">
        <v>4909</v>
      </c>
    </row>
    <row r="8221" spans="1:11" x14ac:dyDescent="0.2">
      <c r="A8221" t="s">
        <v>4287</v>
      </c>
      <c r="B8221" s="88">
        <v>0</v>
      </c>
      <c r="C8221" s="88">
        <v>1E-3</v>
      </c>
      <c r="D8221" s="88">
        <v>0</v>
      </c>
      <c r="E8221" t="s">
        <v>4909</v>
      </c>
      <c r="F8221" s="88">
        <v>0</v>
      </c>
      <c r="G8221" s="88">
        <v>1E-3</v>
      </c>
      <c r="H8221" s="88">
        <v>0</v>
      </c>
      <c r="I8221" t="s">
        <v>4909</v>
      </c>
      <c r="J8221" t="s">
        <v>4909</v>
      </c>
      <c r="K8221" s="88">
        <v>0</v>
      </c>
    </row>
    <row r="8222" spans="1:11" x14ac:dyDescent="0.2">
      <c r="A8222" t="s">
        <v>4288</v>
      </c>
      <c r="B8222" t="s">
        <v>4909</v>
      </c>
      <c r="C8222" t="s">
        <v>4909</v>
      </c>
      <c r="D8222" t="s">
        <v>4909</v>
      </c>
      <c r="E8222" t="s">
        <v>4909</v>
      </c>
      <c r="F8222" t="s">
        <v>4909</v>
      </c>
      <c r="G8222" t="s">
        <v>4909</v>
      </c>
      <c r="H8222" t="s">
        <v>4909</v>
      </c>
      <c r="I8222" t="s">
        <v>4909</v>
      </c>
      <c r="J8222" t="s">
        <v>4909</v>
      </c>
      <c r="K8222" t="s">
        <v>4909</v>
      </c>
    </row>
    <row r="8223" spans="1:11" x14ac:dyDescent="0.2">
      <c r="A8223" t="s">
        <v>4289</v>
      </c>
      <c r="B8223" t="s">
        <v>4909</v>
      </c>
      <c r="C8223" t="s">
        <v>4909</v>
      </c>
      <c r="D8223" t="s">
        <v>4909</v>
      </c>
      <c r="E8223" t="s">
        <v>4909</v>
      </c>
      <c r="F8223" t="s">
        <v>4909</v>
      </c>
      <c r="G8223" t="s">
        <v>4909</v>
      </c>
      <c r="H8223" t="s">
        <v>4909</v>
      </c>
      <c r="I8223" t="s">
        <v>4909</v>
      </c>
      <c r="J8223" t="s">
        <v>4909</v>
      </c>
      <c r="K8223" t="s">
        <v>4909</v>
      </c>
    </row>
    <row r="8224" spans="1:11" x14ac:dyDescent="0.2">
      <c r="A8224" t="s">
        <v>4290</v>
      </c>
      <c r="B8224" t="s">
        <v>4909</v>
      </c>
      <c r="C8224" t="s">
        <v>4909</v>
      </c>
      <c r="D8224" t="s">
        <v>4909</v>
      </c>
      <c r="E8224" t="s">
        <v>4909</v>
      </c>
      <c r="F8224" t="s">
        <v>4909</v>
      </c>
      <c r="G8224" t="s">
        <v>4909</v>
      </c>
      <c r="H8224" t="s">
        <v>4909</v>
      </c>
      <c r="I8224" t="s">
        <v>4909</v>
      </c>
      <c r="J8224" t="s">
        <v>4909</v>
      </c>
      <c r="K8224" t="s">
        <v>4909</v>
      </c>
    </row>
    <row r="8225" spans="1:11" x14ac:dyDescent="0.2">
      <c r="A8225" t="s">
        <v>4291</v>
      </c>
      <c r="B8225" t="s">
        <v>4909</v>
      </c>
      <c r="C8225" t="s">
        <v>4909</v>
      </c>
      <c r="D8225" t="s">
        <v>4909</v>
      </c>
      <c r="E8225" t="s">
        <v>4909</v>
      </c>
      <c r="F8225" t="s">
        <v>4909</v>
      </c>
      <c r="G8225" t="s">
        <v>4909</v>
      </c>
      <c r="H8225" t="s">
        <v>4909</v>
      </c>
      <c r="I8225" t="s">
        <v>4909</v>
      </c>
      <c r="J8225" t="s">
        <v>4909</v>
      </c>
      <c r="K8225" t="s">
        <v>4909</v>
      </c>
    </row>
    <row r="8226" spans="1:11" x14ac:dyDescent="0.2">
      <c r="A8226" t="s">
        <v>4292</v>
      </c>
      <c r="B8226" t="s">
        <v>4909</v>
      </c>
      <c r="C8226" t="s">
        <v>4909</v>
      </c>
      <c r="D8226" t="s">
        <v>4909</v>
      </c>
      <c r="E8226" t="s">
        <v>4909</v>
      </c>
      <c r="F8226" t="s">
        <v>4909</v>
      </c>
      <c r="G8226" t="s">
        <v>4909</v>
      </c>
      <c r="H8226" t="s">
        <v>4909</v>
      </c>
      <c r="I8226" t="s">
        <v>4909</v>
      </c>
      <c r="J8226" t="s">
        <v>4909</v>
      </c>
      <c r="K8226" t="s">
        <v>4909</v>
      </c>
    </row>
    <row r="8227" spans="1:11" x14ac:dyDescent="0.2">
      <c r="A8227" t="s">
        <v>4293</v>
      </c>
      <c r="B8227" t="s">
        <v>4909</v>
      </c>
      <c r="C8227" t="s">
        <v>4909</v>
      </c>
      <c r="D8227" t="s">
        <v>4909</v>
      </c>
      <c r="E8227" t="s">
        <v>4909</v>
      </c>
      <c r="F8227" t="s">
        <v>4909</v>
      </c>
      <c r="G8227" t="s">
        <v>4909</v>
      </c>
      <c r="H8227" t="s">
        <v>4909</v>
      </c>
      <c r="I8227" t="s">
        <v>4909</v>
      </c>
      <c r="J8227" t="s">
        <v>4909</v>
      </c>
      <c r="K8227" t="s">
        <v>4909</v>
      </c>
    </row>
    <row r="8228" spans="1:11" x14ac:dyDescent="0.2">
      <c r="A8228" t="s">
        <v>4294</v>
      </c>
      <c r="B8228" t="s">
        <v>4909</v>
      </c>
      <c r="C8228" t="s">
        <v>4909</v>
      </c>
      <c r="D8228" t="s">
        <v>4909</v>
      </c>
      <c r="E8228" t="s">
        <v>4909</v>
      </c>
      <c r="F8228" t="s">
        <v>4909</v>
      </c>
      <c r="G8228" t="s">
        <v>4909</v>
      </c>
      <c r="H8228" t="s">
        <v>4909</v>
      </c>
      <c r="I8228" t="s">
        <v>4909</v>
      </c>
      <c r="J8228" t="s">
        <v>4909</v>
      </c>
      <c r="K8228" t="s">
        <v>4909</v>
      </c>
    </row>
    <row r="8229" spans="1:11" x14ac:dyDescent="0.2">
      <c r="A8229" t="s">
        <v>4295</v>
      </c>
      <c r="B8229" t="s">
        <v>4909</v>
      </c>
      <c r="C8229" t="s">
        <v>4909</v>
      </c>
      <c r="D8229" t="s">
        <v>4909</v>
      </c>
      <c r="E8229" t="s">
        <v>4909</v>
      </c>
      <c r="F8229" t="s">
        <v>4909</v>
      </c>
      <c r="G8229" t="s">
        <v>4909</v>
      </c>
      <c r="H8229" t="s">
        <v>4909</v>
      </c>
      <c r="I8229" t="s">
        <v>4909</v>
      </c>
      <c r="J8229" t="s">
        <v>4909</v>
      </c>
      <c r="K8229" t="s">
        <v>4909</v>
      </c>
    </row>
    <row r="8230" spans="1:11" x14ac:dyDescent="0.2">
      <c r="A8230" t="s">
        <v>4296</v>
      </c>
      <c r="B8230" t="s">
        <v>4909</v>
      </c>
      <c r="C8230" t="s">
        <v>4909</v>
      </c>
      <c r="D8230" t="s">
        <v>4909</v>
      </c>
      <c r="E8230" t="s">
        <v>4909</v>
      </c>
      <c r="F8230" t="s">
        <v>4909</v>
      </c>
      <c r="G8230" t="s">
        <v>4909</v>
      </c>
      <c r="H8230" t="s">
        <v>4909</v>
      </c>
      <c r="I8230" t="s">
        <v>4909</v>
      </c>
      <c r="J8230" t="s">
        <v>4909</v>
      </c>
      <c r="K8230" t="s">
        <v>4909</v>
      </c>
    </row>
    <row r="8231" spans="1:11" x14ac:dyDescent="0.2">
      <c r="A8231" t="s">
        <v>4297</v>
      </c>
      <c r="B8231" s="88">
        <v>0</v>
      </c>
      <c r="C8231" s="88">
        <v>4.0000000000000001E-3</v>
      </c>
      <c r="D8231" s="88">
        <v>0</v>
      </c>
      <c r="E8231" t="s">
        <v>4909</v>
      </c>
      <c r="F8231" s="88">
        <v>0</v>
      </c>
      <c r="G8231" s="88">
        <v>4.0000000000000001E-3</v>
      </c>
      <c r="H8231" s="88">
        <v>0</v>
      </c>
      <c r="I8231" t="s">
        <v>4909</v>
      </c>
      <c r="J8231" t="s">
        <v>4909</v>
      </c>
      <c r="K8231" s="88">
        <v>0</v>
      </c>
    </row>
    <row r="8232" spans="1:11" x14ac:dyDescent="0.2">
      <c r="A8232" t="s">
        <v>4298</v>
      </c>
      <c r="B8232" s="88">
        <v>1E-3</v>
      </c>
      <c r="C8232" s="88">
        <v>7.0000000000000001E-3</v>
      </c>
      <c r="D8232" s="88">
        <v>1E-3</v>
      </c>
      <c r="E8232" t="s">
        <v>4909</v>
      </c>
      <c r="F8232" s="88">
        <v>0</v>
      </c>
      <c r="G8232" s="88">
        <v>8.0000000000000002E-3</v>
      </c>
      <c r="H8232" s="88">
        <v>0</v>
      </c>
      <c r="I8232" t="s">
        <v>4909</v>
      </c>
      <c r="J8232" t="s">
        <v>4909</v>
      </c>
      <c r="K8232" s="88">
        <v>1E-3</v>
      </c>
    </row>
    <row r="8233" spans="1:11" x14ac:dyDescent="0.2">
      <c r="A8233" t="s">
        <v>4299</v>
      </c>
      <c r="B8233" s="88">
        <v>1E-3</v>
      </c>
      <c r="C8233" s="88">
        <v>0.01</v>
      </c>
      <c r="D8233" s="88">
        <v>1E-3</v>
      </c>
      <c r="E8233" t="s">
        <v>4909</v>
      </c>
      <c r="F8233" s="88">
        <v>1E-3</v>
      </c>
      <c r="G8233" s="88">
        <v>1.2E-2</v>
      </c>
      <c r="H8233" s="88">
        <v>1E-3</v>
      </c>
      <c r="I8233" t="s">
        <v>4909</v>
      </c>
      <c r="J8233" t="s">
        <v>4909</v>
      </c>
      <c r="K8233" s="88">
        <v>1E-3</v>
      </c>
    </row>
    <row r="8234" spans="1:11" x14ac:dyDescent="0.2">
      <c r="A8234" t="s">
        <v>4300</v>
      </c>
      <c r="B8234" s="88">
        <v>4.0000000000000001E-3</v>
      </c>
      <c r="C8234" s="88">
        <v>8.9999999999999993E-3</v>
      </c>
      <c r="D8234" s="88">
        <v>4.0000000000000001E-3</v>
      </c>
      <c r="E8234" t="s">
        <v>4909</v>
      </c>
      <c r="F8234" s="88">
        <v>2E-3</v>
      </c>
      <c r="G8234" s="88">
        <v>1.2E-2</v>
      </c>
      <c r="H8234" s="88">
        <v>2E-3</v>
      </c>
      <c r="I8234" t="s">
        <v>4909</v>
      </c>
      <c r="J8234" t="s">
        <v>4909</v>
      </c>
      <c r="K8234" s="88">
        <v>1E-3</v>
      </c>
    </row>
    <row r="8235" spans="1:11" x14ac:dyDescent="0.2">
      <c r="A8235" t="s">
        <v>4301</v>
      </c>
      <c r="B8235" s="88">
        <v>1E-3</v>
      </c>
      <c r="C8235" s="88">
        <v>0.02</v>
      </c>
      <c r="D8235" s="88">
        <v>2E-3</v>
      </c>
      <c r="E8235" t="s">
        <v>4909</v>
      </c>
      <c r="F8235" s="88">
        <v>1E-3</v>
      </c>
      <c r="G8235" s="88">
        <v>2.4E-2</v>
      </c>
      <c r="H8235" s="88">
        <v>1E-3</v>
      </c>
      <c r="I8235" t="s">
        <v>4909</v>
      </c>
      <c r="J8235" t="s">
        <v>4909</v>
      </c>
      <c r="K8235" s="88">
        <v>1E-3</v>
      </c>
    </row>
    <row r="8236" spans="1:11" x14ac:dyDescent="0.2">
      <c r="A8236" t="s">
        <v>4302</v>
      </c>
      <c r="B8236" s="88">
        <v>1E-3</v>
      </c>
      <c r="C8236" s="88">
        <v>7.0000000000000001E-3</v>
      </c>
      <c r="D8236" s="88">
        <v>1E-3</v>
      </c>
      <c r="E8236" t="s">
        <v>4909</v>
      </c>
      <c r="F8236" s="88">
        <v>0</v>
      </c>
      <c r="G8236" s="88">
        <v>8.0000000000000002E-3</v>
      </c>
      <c r="H8236" s="88">
        <v>0</v>
      </c>
      <c r="I8236" t="s">
        <v>4909</v>
      </c>
      <c r="J8236" t="s">
        <v>4909</v>
      </c>
      <c r="K8236" s="88">
        <v>0</v>
      </c>
    </row>
    <row r="8237" spans="1:11" x14ac:dyDescent="0.2">
      <c r="A8237" t="s">
        <v>4303</v>
      </c>
      <c r="B8237" s="88">
        <v>1E-3</v>
      </c>
      <c r="C8237" s="88">
        <v>4.0000000000000001E-3</v>
      </c>
      <c r="D8237" s="88">
        <v>1E-3</v>
      </c>
      <c r="E8237" t="s">
        <v>4909</v>
      </c>
      <c r="F8237" s="88">
        <v>1E-3</v>
      </c>
      <c r="G8237" s="88">
        <v>6.0000000000000001E-3</v>
      </c>
      <c r="H8237" s="88">
        <v>1E-3</v>
      </c>
      <c r="I8237" t="s">
        <v>4909</v>
      </c>
      <c r="J8237" t="s">
        <v>4909</v>
      </c>
      <c r="K8237" t="s">
        <v>4909</v>
      </c>
    </row>
    <row r="8238" spans="1:11" x14ac:dyDescent="0.2">
      <c r="A8238" t="s">
        <v>4304</v>
      </c>
      <c r="B8238" s="88">
        <v>0</v>
      </c>
      <c r="C8238" s="88">
        <v>8.0000000000000002E-3</v>
      </c>
      <c r="D8238" s="88">
        <v>0</v>
      </c>
      <c r="E8238" t="s">
        <v>4909</v>
      </c>
      <c r="F8238" s="88">
        <v>0</v>
      </c>
      <c r="G8238" s="88">
        <v>8.9999999999999993E-3</v>
      </c>
      <c r="H8238" s="88">
        <v>0</v>
      </c>
      <c r="I8238" t="s">
        <v>4909</v>
      </c>
      <c r="J8238" t="s">
        <v>4909</v>
      </c>
      <c r="K8238" s="88">
        <v>0</v>
      </c>
    </row>
    <row r="8239" spans="1:11" x14ac:dyDescent="0.2">
      <c r="A8239" t="s">
        <v>4305</v>
      </c>
      <c r="B8239" s="88">
        <v>0</v>
      </c>
      <c r="C8239" s="88">
        <v>3.0000000000000001E-3</v>
      </c>
      <c r="D8239" s="88">
        <v>0</v>
      </c>
      <c r="E8239" t="s">
        <v>4909</v>
      </c>
      <c r="F8239" s="88">
        <v>0</v>
      </c>
      <c r="G8239" s="88">
        <v>4.0000000000000001E-3</v>
      </c>
      <c r="H8239" s="88">
        <v>0</v>
      </c>
      <c r="I8239" t="s">
        <v>4909</v>
      </c>
      <c r="J8239" t="s">
        <v>4909</v>
      </c>
      <c r="K8239" s="88">
        <v>0</v>
      </c>
    </row>
    <row r="8240" spans="1:11" x14ac:dyDescent="0.2">
      <c r="A8240" t="s">
        <v>4306</v>
      </c>
      <c r="B8240" s="88">
        <v>1E-3</v>
      </c>
      <c r="C8240" s="88">
        <v>8.9999999999999993E-3</v>
      </c>
      <c r="D8240" s="88">
        <v>1E-3</v>
      </c>
      <c r="E8240" t="s">
        <v>4909</v>
      </c>
      <c r="F8240" t="s">
        <v>4909</v>
      </c>
      <c r="G8240" s="88">
        <v>1.0999999999999999E-2</v>
      </c>
      <c r="H8240" s="88">
        <v>0</v>
      </c>
      <c r="I8240" t="s">
        <v>4909</v>
      </c>
      <c r="J8240" t="s">
        <v>4909</v>
      </c>
      <c r="K8240" s="88">
        <v>1E-3</v>
      </c>
    </row>
    <row r="8241" spans="1:11" x14ac:dyDescent="0.2">
      <c r="A8241" t="s">
        <v>4307</v>
      </c>
      <c r="B8241" s="88">
        <v>3.0000000000000001E-3</v>
      </c>
      <c r="C8241" s="88">
        <v>8.0000000000000002E-3</v>
      </c>
      <c r="D8241" s="88">
        <v>4.0000000000000001E-3</v>
      </c>
      <c r="E8241" t="s">
        <v>4909</v>
      </c>
      <c r="F8241" s="88">
        <v>2E-3</v>
      </c>
      <c r="G8241" s="88">
        <v>8.9999999999999993E-3</v>
      </c>
      <c r="H8241" s="88">
        <v>2E-3</v>
      </c>
      <c r="I8241" t="s">
        <v>4909</v>
      </c>
      <c r="J8241" t="s">
        <v>4909</v>
      </c>
      <c r="K8241" s="88">
        <v>1E-3</v>
      </c>
    </row>
    <row r="8242" spans="1:11" x14ac:dyDescent="0.2">
      <c r="A8242" t="s">
        <v>4308</v>
      </c>
      <c r="B8242" t="s">
        <v>4909</v>
      </c>
      <c r="C8242" t="s">
        <v>4909</v>
      </c>
      <c r="D8242" t="s">
        <v>4909</v>
      </c>
      <c r="E8242" t="s">
        <v>4909</v>
      </c>
      <c r="F8242" t="s">
        <v>4909</v>
      </c>
      <c r="G8242" t="s">
        <v>4909</v>
      </c>
      <c r="H8242" t="s">
        <v>4909</v>
      </c>
      <c r="I8242" t="s">
        <v>4909</v>
      </c>
      <c r="J8242" t="s">
        <v>4909</v>
      </c>
      <c r="K8242" t="s">
        <v>4909</v>
      </c>
    </row>
    <row r="8243" spans="1:11" x14ac:dyDescent="0.2">
      <c r="A8243" t="s">
        <v>4309</v>
      </c>
      <c r="B8243" t="s">
        <v>4909</v>
      </c>
      <c r="C8243" t="s">
        <v>4909</v>
      </c>
      <c r="D8243" t="s">
        <v>4909</v>
      </c>
      <c r="E8243" t="s">
        <v>4909</v>
      </c>
      <c r="F8243" t="s">
        <v>4909</v>
      </c>
      <c r="G8243" t="s">
        <v>4909</v>
      </c>
      <c r="H8243" t="s">
        <v>4909</v>
      </c>
      <c r="I8243" t="s">
        <v>4909</v>
      </c>
      <c r="J8243" t="s">
        <v>4909</v>
      </c>
      <c r="K8243" t="s">
        <v>4909</v>
      </c>
    </row>
    <row r="8244" spans="1:11" x14ac:dyDescent="0.2">
      <c r="A8244" t="s">
        <v>4310</v>
      </c>
      <c r="B8244" t="s">
        <v>4909</v>
      </c>
      <c r="C8244" t="s">
        <v>4909</v>
      </c>
      <c r="D8244" t="s">
        <v>4909</v>
      </c>
      <c r="E8244" t="s">
        <v>4909</v>
      </c>
      <c r="F8244" t="s">
        <v>4909</v>
      </c>
      <c r="G8244" t="s">
        <v>4909</v>
      </c>
      <c r="H8244" t="s">
        <v>4909</v>
      </c>
      <c r="I8244" t="s">
        <v>4909</v>
      </c>
      <c r="J8244" t="s">
        <v>4909</v>
      </c>
      <c r="K8244" t="s">
        <v>4909</v>
      </c>
    </row>
    <row r="8245" spans="1:11" x14ac:dyDescent="0.2">
      <c r="A8245" t="s">
        <v>4311</v>
      </c>
      <c r="B8245" s="88">
        <v>1E-3</v>
      </c>
      <c r="C8245" s="88">
        <v>2E-3</v>
      </c>
      <c r="D8245" s="88">
        <v>1E-3</v>
      </c>
      <c r="E8245" t="s">
        <v>4909</v>
      </c>
      <c r="F8245" s="88">
        <v>0</v>
      </c>
      <c r="G8245" s="88">
        <v>3.0000000000000001E-3</v>
      </c>
      <c r="H8245" s="88">
        <v>0</v>
      </c>
      <c r="I8245" t="s">
        <v>4909</v>
      </c>
      <c r="J8245" t="s">
        <v>4909</v>
      </c>
      <c r="K8245" s="88">
        <v>0</v>
      </c>
    </row>
    <row r="8246" spans="1:11" x14ac:dyDescent="0.2">
      <c r="A8246" t="s">
        <v>4312</v>
      </c>
      <c r="B8246" s="88">
        <v>4.2999999999999997E-2</v>
      </c>
      <c r="C8246" s="88">
        <v>9.0999999999999998E-2</v>
      </c>
      <c r="D8246" s="88">
        <v>4.4999999999999998E-2</v>
      </c>
      <c r="E8246" t="s">
        <v>4909</v>
      </c>
      <c r="F8246" s="88">
        <v>2.5999999999999999E-2</v>
      </c>
      <c r="G8246" s="88">
        <v>0.109</v>
      </c>
      <c r="H8246" s="88">
        <v>2.5999999999999999E-2</v>
      </c>
      <c r="I8246" t="s">
        <v>4909</v>
      </c>
      <c r="J8246" t="s">
        <v>4909</v>
      </c>
      <c r="K8246" s="88">
        <v>0.06</v>
      </c>
    </row>
    <row r="8247" spans="1:11" x14ac:dyDescent="0.2">
      <c r="A8247" t="s">
        <v>4313</v>
      </c>
      <c r="B8247" t="s">
        <v>4909</v>
      </c>
      <c r="C8247" t="s">
        <v>4909</v>
      </c>
      <c r="D8247" t="s">
        <v>4909</v>
      </c>
      <c r="E8247" t="s">
        <v>4909</v>
      </c>
      <c r="F8247" t="s">
        <v>4909</v>
      </c>
      <c r="G8247" t="s">
        <v>4909</v>
      </c>
      <c r="H8247" t="s">
        <v>4909</v>
      </c>
      <c r="I8247" t="s">
        <v>4909</v>
      </c>
      <c r="J8247" t="s">
        <v>4909</v>
      </c>
      <c r="K8247" s="88">
        <v>1</v>
      </c>
    </row>
    <row r="8248" spans="1:11" x14ac:dyDescent="0.2">
      <c r="A8248" t="s">
        <v>4314</v>
      </c>
      <c r="B8248" s="88">
        <v>4.2000000000000003E-2</v>
      </c>
      <c r="C8248" s="88">
        <v>8.6999999999999994E-2</v>
      </c>
      <c r="D8248" s="88">
        <v>5.0999999999999997E-2</v>
      </c>
      <c r="E8248" t="s">
        <v>4909</v>
      </c>
      <c r="F8248" s="88">
        <v>2.5000000000000001E-2</v>
      </c>
      <c r="G8248" s="88">
        <v>0.105</v>
      </c>
      <c r="H8248" s="88">
        <v>2.9000000000000001E-2</v>
      </c>
      <c r="I8248" t="s">
        <v>4909</v>
      </c>
      <c r="J8248" t="s">
        <v>4909</v>
      </c>
      <c r="K8248" s="88">
        <v>1.2999999999999999E-2</v>
      </c>
    </row>
    <row r="8249" spans="1:11" x14ac:dyDescent="0.2">
      <c r="A8249" t="s">
        <v>4315</v>
      </c>
      <c r="B8249" t="s">
        <v>4909</v>
      </c>
      <c r="C8249" t="s">
        <v>4909</v>
      </c>
      <c r="D8249" s="88">
        <v>0.439</v>
      </c>
      <c r="E8249" t="s">
        <v>4909</v>
      </c>
      <c r="F8249" s="88">
        <v>0.11</v>
      </c>
      <c r="G8249" s="88">
        <v>0.45</v>
      </c>
      <c r="H8249" t="s">
        <v>4909</v>
      </c>
      <c r="I8249" t="s">
        <v>4909</v>
      </c>
      <c r="J8249" t="s">
        <v>4909</v>
      </c>
      <c r="K8249" t="s">
        <v>4909</v>
      </c>
    </row>
    <row r="8250" spans="1:11" x14ac:dyDescent="0.2">
      <c r="A8250" t="s">
        <v>4316</v>
      </c>
      <c r="B8250" s="88">
        <v>5.5E-2</v>
      </c>
      <c r="C8250" s="88">
        <v>0.112</v>
      </c>
      <c r="D8250" t="s">
        <v>4909</v>
      </c>
      <c r="E8250" t="s">
        <v>4909</v>
      </c>
      <c r="F8250" s="88">
        <v>0</v>
      </c>
      <c r="G8250" s="88">
        <v>1E-3</v>
      </c>
      <c r="H8250" t="s">
        <v>4909</v>
      </c>
      <c r="I8250" t="s">
        <v>4909</v>
      </c>
      <c r="J8250" t="s">
        <v>4909</v>
      </c>
      <c r="K8250" s="88">
        <v>7.0000000000000001E-3</v>
      </c>
    </row>
    <row r="8251" spans="1:11" x14ac:dyDescent="0.2">
      <c r="A8251" t="s">
        <v>4317</v>
      </c>
      <c r="B8251" t="s">
        <v>4909</v>
      </c>
      <c r="C8251" t="s">
        <v>4909</v>
      </c>
      <c r="D8251" t="s">
        <v>4909</v>
      </c>
      <c r="E8251" t="s">
        <v>4909</v>
      </c>
      <c r="F8251" t="s">
        <v>4909</v>
      </c>
      <c r="G8251" t="s">
        <v>4909</v>
      </c>
      <c r="H8251" t="s">
        <v>4909</v>
      </c>
      <c r="I8251" t="s">
        <v>4909</v>
      </c>
      <c r="J8251" t="s">
        <v>4909</v>
      </c>
      <c r="K8251" t="s">
        <v>4909</v>
      </c>
    </row>
    <row r="8252" spans="1:11" x14ac:dyDescent="0.2">
      <c r="A8252" t="s">
        <v>4318</v>
      </c>
      <c r="B8252" s="88">
        <v>7.9000000000000001E-2</v>
      </c>
      <c r="C8252" s="88">
        <v>0.16200000000000001</v>
      </c>
      <c r="D8252" t="s">
        <v>4909</v>
      </c>
      <c r="E8252" t="s">
        <v>4909</v>
      </c>
      <c r="F8252" t="s">
        <v>4909</v>
      </c>
      <c r="G8252" t="s">
        <v>4909</v>
      </c>
      <c r="H8252" t="s">
        <v>4909</v>
      </c>
      <c r="I8252" t="s">
        <v>4909</v>
      </c>
      <c r="J8252" t="s">
        <v>4909</v>
      </c>
      <c r="K8252" t="s">
        <v>4909</v>
      </c>
    </row>
    <row r="8253" spans="1:11" x14ac:dyDescent="0.2">
      <c r="A8253" t="s">
        <v>4319</v>
      </c>
      <c r="B8253" s="88">
        <v>0</v>
      </c>
      <c r="C8253" s="88">
        <v>0</v>
      </c>
      <c r="D8253" s="88">
        <v>0.29199999999999998</v>
      </c>
      <c r="E8253" t="s">
        <v>4909</v>
      </c>
      <c r="F8253" s="88">
        <v>0.13800000000000001</v>
      </c>
      <c r="G8253" s="88">
        <v>0.56799999999999995</v>
      </c>
      <c r="H8253" t="s">
        <v>4909</v>
      </c>
      <c r="I8253" t="s">
        <v>4909</v>
      </c>
      <c r="J8253" t="s">
        <v>4909</v>
      </c>
      <c r="K8253" s="88">
        <v>1E-3</v>
      </c>
    </row>
    <row r="8254" spans="1:11" x14ac:dyDescent="0.2">
      <c r="A8254" t="s">
        <v>4320</v>
      </c>
      <c r="B8254" s="88">
        <v>8.1000000000000003E-2</v>
      </c>
      <c r="C8254" s="88">
        <v>0.16300000000000001</v>
      </c>
      <c r="D8254" t="s">
        <v>4909</v>
      </c>
      <c r="E8254" t="s">
        <v>4909</v>
      </c>
      <c r="F8254" t="s">
        <v>4909</v>
      </c>
      <c r="G8254" t="s">
        <v>4909</v>
      </c>
      <c r="H8254" t="s">
        <v>4909</v>
      </c>
      <c r="I8254" t="s">
        <v>4909</v>
      </c>
      <c r="J8254" t="s">
        <v>4909</v>
      </c>
      <c r="K8254" t="s">
        <v>4909</v>
      </c>
    </row>
    <row r="8255" spans="1:11" x14ac:dyDescent="0.2">
      <c r="A8255" t="s">
        <v>4321</v>
      </c>
      <c r="B8255" t="s">
        <v>4909</v>
      </c>
      <c r="C8255" t="s">
        <v>4909</v>
      </c>
      <c r="D8255" t="s">
        <v>4909</v>
      </c>
      <c r="E8255" t="s">
        <v>4909</v>
      </c>
      <c r="F8255" t="s">
        <v>4909</v>
      </c>
      <c r="G8255" t="s">
        <v>4909</v>
      </c>
      <c r="H8255" t="s">
        <v>4909</v>
      </c>
      <c r="I8255" t="s">
        <v>4909</v>
      </c>
      <c r="J8255" t="s">
        <v>4909</v>
      </c>
      <c r="K8255" t="s">
        <v>4909</v>
      </c>
    </row>
    <row r="8256" spans="1:11" x14ac:dyDescent="0.2">
      <c r="A8256" t="s">
        <v>4322</v>
      </c>
      <c r="B8256" t="s">
        <v>4909</v>
      </c>
      <c r="C8256" t="s">
        <v>4909</v>
      </c>
      <c r="D8256" t="s">
        <v>4909</v>
      </c>
      <c r="E8256" t="s">
        <v>4909</v>
      </c>
      <c r="F8256" t="s">
        <v>4909</v>
      </c>
      <c r="G8256" t="s">
        <v>4909</v>
      </c>
      <c r="H8256" t="s">
        <v>4909</v>
      </c>
      <c r="I8256" t="s">
        <v>4909</v>
      </c>
      <c r="J8256" t="s">
        <v>4909</v>
      </c>
      <c r="K8256" t="s">
        <v>4909</v>
      </c>
    </row>
    <row r="8257" spans="1:11" x14ac:dyDescent="0.2">
      <c r="A8257" t="s">
        <v>4323</v>
      </c>
      <c r="B8257" t="s">
        <v>4909</v>
      </c>
      <c r="C8257" t="s">
        <v>4909</v>
      </c>
      <c r="D8257" t="s">
        <v>4909</v>
      </c>
      <c r="E8257" t="s">
        <v>4909</v>
      </c>
      <c r="F8257" t="s">
        <v>4909</v>
      </c>
      <c r="G8257" t="s">
        <v>4909</v>
      </c>
      <c r="H8257" t="s">
        <v>4909</v>
      </c>
      <c r="I8257" t="s">
        <v>4909</v>
      </c>
      <c r="J8257" t="s">
        <v>4909</v>
      </c>
      <c r="K8257" t="s">
        <v>4909</v>
      </c>
    </row>
    <row r="8258" spans="1:11" x14ac:dyDescent="0.2">
      <c r="A8258" t="s">
        <v>4324</v>
      </c>
      <c r="B8258" t="s">
        <v>4909</v>
      </c>
      <c r="C8258" t="s">
        <v>4909</v>
      </c>
      <c r="D8258" t="s">
        <v>4909</v>
      </c>
      <c r="E8258" t="s">
        <v>4909</v>
      </c>
      <c r="F8258" t="s">
        <v>4909</v>
      </c>
      <c r="G8258" t="s">
        <v>4909</v>
      </c>
      <c r="H8258" t="s">
        <v>4909</v>
      </c>
      <c r="I8258" t="s">
        <v>4909</v>
      </c>
      <c r="J8258" t="s">
        <v>4909</v>
      </c>
      <c r="K8258" t="s">
        <v>4909</v>
      </c>
    </row>
    <row r="8259" spans="1:11" x14ac:dyDescent="0.2">
      <c r="A8259" t="s">
        <v>4325</v>
      </c>
      <c r="B8259" t="s">
        <v>4909</v>
      </c>
      <c r="C8259" t="s">
        <v>4909</v>
      </c>
      <c r="D8259" t="s">
        <v>4909</v>
      </c>
      <c r="E8259" t="s">
        <v>4909</v>
      </c>
      <c r="F8259" t="s">
        <v>4909</v>
      </c>
      <c r="G8259" t="s">
        <v>4909</v>
      </c>
      <c r="H8259" t="s">
        <v>4909</v>
      </c>
      <c r="I8259" t="s">
        <v>4909</v>
      </c>
      <c r="J8259" t="s">
        <v>4909</v>
      </c>
      <c r="K8259" t="s">
        <v>4909</v>
      </c>
    </row>
    <row r="8260" spans="1:11" x14ac:dyDescent="0.2">
      <c r="A8260" t="s">
        <v>4326</v>
      </c>
      <c r="B8260" t="s">
        <v>4909</v>
      </c>
      <c r="C8260" t="s">
        <v>4909</v>
      </c>
      <c r="D8260" t="s">
        <v>4909</v>
      </c>
      <c r="E8260" t="s">
        <v>4909</v>
      </c>
      <c r="F8260" t="s">
        <v>4909</v>
      </c>
      <c r="G8260" t="s">
        <v>4909</v>
      </c>
      <c r="H8260" t="s">
        <v>4909</v>
      </c>
      <c r="I8260" t="s">
        <v>4909</v>
      </c>
      <c r="J8260" t="s">
        <v>4909</v>
      </c>
      <c r="K8260" t="s">
        <v>4909</v>
      </c>
    </row>
    <row r="8261" spans="1:11" x14ac:dyDescent="0.2">
      <c r="A8261" t="s">
        <v>4327</v>
      </c>
      <c r="B8261" s="88">
        <v>0</v>
      </c>
      <c r="C8261" s="88">
        <v>0</v>
      </c>
      <c r="D8261" s="88">
        <v>0</v>
      </c>
      <c r="E8261" t="s">
        <v>4909</v>
      </c>
      <c r="F8261" s="88">
        <v>0</v>
      </c>
      <c r="G8261" s="88">
        <v>0</v>
      </c>
      <c r="H8261" s="88">
        <v>0</v>
      </c>
      <c r="I8261" t="s">
        <v>4909</v>
      </c>
      <c r="J8261" t="s">
        <v>4909</v>
      </c>
      <c r="K8261" s="88">
        <v>0</v>
      </c>
    </row>
    <row r="8262" spans="1:11" x14ac:dyDescent="0.2">
      <c r="A8262" t="s">
        <v>4328</v>
      </c>
      <c r="B8262" t="s">
        <v>4909</v>
      </c>
      <c r="C8262" t="s">
        <v>4909</v>
      </c>
      <c r="D8262" t="s">
        <v>4909</v>
      </c>
      <c r="E8262" t="s">
        <v>4909</v>
      </c>
      <c r="F8262" t="s">
        <v>4909</v>
      </c>
      <c r="G8262" t="s">
        <v>4909</v>
      </c>
      <c r="H8262" t="s">
        <v>4909</v>
      </c>
      <c r="I8262" t="s">
        <v>4909</v>
      </c>
      <c r="J8262" t="s">
        <v>4909</v>
      </c>
      <c r="K8262" t="s">
        <v>4909</v>
      </c>
    </row>
    <row r="8263" spans="1:11" x14ac:dyDescent="0.2">
      <c r="A8263" t="s">
        <v>4329</v>
      </c>
      <c r="B8263" t="s">
        <v>4909</v>
      </c>
      <c r="C8263" t="s">
        <v>4909</v>
      </c>
      <c r="D8263" t="s">
        <v>4909</v>
      </c>
      <c r="E8263" t="s">
        <v>4909</v>
      </c>
      <c r="F8263" t="s">
        <v>4909</v>
      </c>
      <c r="G8263" t="s">
        <v>4909</v>
      </c>
      <c r="H8263" t="s">
        <v>4909</v>
      </c>
      <c r="I8263" t="s">
        <v>4909</v>
      </c>
      <c r="J8263" t="s">
        <v>4909</v>
      </c>
      <c r="K8263" t="s">
        <v>4909</v>
      </c>
    </row>
    <row r="8264" spans="1:11" x14ac:dyDescent="0.2">
      <c r="A8264" t="s">
        <v>4330</v>
      </c>
      <c r="B8264" t="s">
        <v>4909</v>
      </c>
      <c r="C8264" t="s">
        <v>4909</v>
      </c>
      <c r="D8264" t="s">
        <v>4909</v>
      </c>
      <c r="E8264" t="s">
        <v>4909</v>
      </c>
      <c r="F8264" t="s">
        <v>4909</v>
      </c>
      <c r="G8264" t="s">
        <v>4909</v>
      </c>
      <c r="H8264" t="s">
        <v>4909</v>
      </c>
      <c r="I8264" t="s">
        <v>4909</v>
      </c>
      <c r="J8264" t="s">
        <v>4909</v>
      </c>
      <c r="K8264" t="s">
        <v>4909</v>
      </c>
    </row>
    <row r="8265" spans="1:11" x14ac:dyDescent="0.2">
      <c r="A8265" t="s">
        <v>4331</v>
      </c>
      <c r="B8265" t="s">
        <v>4909</v>
      </c>
      <c r="C8265" t="s">
        <v>4909</v>
      </c>
      <c r="D8265" t="s">
        <v>4909</v>
      </c>
      <c r="E8265" t="s">
        <v>4909</v>
      </c>
      <c r="F8265" t="s">
        <v>4909</v>
      </c>
      <c r="G8265" t="s">
        <v>4909</v>
      </c>
      <c r="H8265" t="s">
        <v>4909</v>
      </c>
      <c r="I8265" t="s">
        <v>4909</v>
      </c>
      <c r="J8265" t="s">
        <v>4909</v>
      </c>
      <c r="K8265" t="s">
        <v>4909</v>
      </c>
    </row>
    <row r="8266" spans="1:11" x14ac:dyDescent="0.2">
      <c r="A8266" t="s">
        <v>4332</v>
      </c>
      <c r="B8266" s="88">
        <v>0</v>
      </c>
      <c r="C8266" s="88">
        <v>0</v>
      </c>
      <c r="D8266" s="88">
        <v>0</v>
      </c>
      <c r="E8266" t="s">
        <v>4909</v>
      </c>
      <c r="F8266" t="s">
        <v>4909</v>
      </c>
      <c r="G8266" s="88">
        <v>0</v>
      </c>
      <c r="H8266" t="s">
        <v>4909</v>
      </c>
      <c r="I8266" t="s">
        <v>4909</v>
      </c>
      <c r="J8266" t="s">
        <v>4909</v>
      </c>
      <c r="K8266" t="s">
        <v>4909</v>
      </c>
    </row>
    <row r="8267" spans="1:11" x14ac:dyDescent="0.2">
      <c r="A8267" t="s">
        <v>4333</v>
      </c>
      <c r="B8267" t="s">
        <v>4909</v>
      </c>
      <c r="C8267" t="s">
        <v>4909</v>
      </c>
      <c r="D8267" t="s">
        <v>4909</v>
      </c>
      <c r="E8267" t="s">
        <v>4909</v>
      </c>
      <c r="F8267" t="s">
        <v>4909</v>
      </c>
      <c r="G8267" t="s">
        <v>4909</v>
      </c>
      <c r="H8267" t="s">
        <v>4909</v>
      </c>
      <c r="I8267" t="s">
        <v>4909</v>
      </c>
      <c r="J8267" t="s">
        <v>4909</v>
      </c>
      <c r="K8267" t="s">
        <v>4909</v>
      </c>
    </row>
    <row r="8268" spans="1:11" x14ac:dyDescent="0.2">
      <c r="A8268" t="s">
        <v>4334</v>
      </c>
      <c r="B8268" t="s">
        <v>4909</v>
      </c>
      <c r="C8268" t="s">
        <v>4909</v>
      </c>
      <c r="D8268" t="s">
        <v>4909</v>
      </c>
      <c r="E8268" t="s">
        <v>4909</v>
      </c>
      <c r="F8268" t="s">
        <v>4909</v>
      </c>
      <c r="G8268" t="s">
        <v>4909</v>
      </c>
      <c r="H8268" t="s">
        <v>4909</v>
      </c>
      <c r="I8268" t="s">
        <v>4909</v>
      </c>
      <c r="J8268" t="s">
        <v>4909</v>
      </c>
      <c r="K8268" t="s">
        <v>4909</v>
      </c>
    </row>
    <row r="8269" spans="1:11" x14ac:dyDescent="0.2">
      <c r="A8269" t="s">
        <v>4335</v>
      </c>
      <c r="B8269" t="s">
        <v>4909</v>
      </c>
      <c r="C8269" t="s">
        <v>4909</v>
      </c>
      <c r="D8269" t="s">
        <v>4909</v>
      </c>
      <c r="E8269" t="s">
        <v>4909</v>
      </c>
      <c r="F8269" t="s">
        <v>4909</v>
      </c>
      <c r="G8269" t="s">
        <v>4909</v>
      </c>
      <c r="H8269" t="s">
        <v>4909</v>
      </c>
      <c r="I8269" t="s">
        <v>4909</v>
      </c>
      <c r="J8269" t="s">
        <v>4909</v>
      </c>
      <c r="K8269" t="s">
        <v>4909</v>
      </c>
    </row>
    <row r="8270" spans="1:11" x14ac:dyDescent="0.2">
      <c r="A8270" t="s">
        <v>4336</v>
      </c>
      <c r="B8270" t="s">
        <v>4909</v>
      </c>
      <c r="C8270" t="s">
        <v>4909</v>
      </c>
      <c r="D8270" t="s">
        <v>4909</v>
      </c>
      <c r="E8270" t="s">
        <v>4909</v>
      </c>
      <c r="F8270" t="s">
        <v>4909</v>
      </c>
      <c r="G8270" t="s">
        <v>4909</v>
      </c>
      <c r="H8270" t="s">
        <v>4909</v>
      </c>
      <c r="I8270" t="s">
        <v>4909</v>
      </c>
      <c r="J8270" t="s">
        <v>4909</v>
      </c>
      <c r="K8270" t="s">
        <v>4909</v>
      </c>
    </row>
    <row r="8271" spans="1:11" x14ac:dyDescent="0.2">
      <c r="A8271" t="s">
        <v>4337</v>
      </c>
      <c r="B8271" t="s">
        <v>4909</v>
      </c>
      <c r="C8271" t="s">
        <v>4909</v>
      </c>
      <c r="D8271" t="s">
        <v>4909</v>
      </c>
      <c r="E8271" t="s">
        <v>4909</v>
      </c>
      <c r="F8271" t="s">
        <v>4909</v>
      </c>
      <c r="G8271" t="s">
        <v>4909</v>
      </c>
      <c r="H8271" t="s">
        <v>4909</v>
      </c>
      <c r="I8271" t="s">
        <v>4909</v>
      </c>
      <c r="J8271" t="s">
        <v>4909</v>
      </c>
      <c r="K8271" t="s">
        <v>4909</v>
      </c>
    </row>
    <row r="8272" spans="1:11" x14ac:dyDescent="0.2">
      <c r="A8272" t="s">
        <v>4338</v>
      </c>
      <c r="B8272" t="s">
        <v>4909</v>
      </c>
      <c r="C8272" t="s">
        <v>4909</v>
      </c>
      <c r="D8272" t="s">
        <v>4909</v>
      </c>
      <c r="E8272" t="s">
        <v>4909</v>
      </c>
      <c r="F8272" t="s">
        <v>4909</v>
      </c>
      <c r="G8272" t="s">
        <v>4909</v>
      </c>
      <c r="H8272" t="s">
        <v>4909</v>
      </c>
      <c r="I8272" t="s">
        <v>4909</v>
      </c>
      <c r="J8272" t="s">
        <v>4909</v>
      </c>
      <c r="K8272" t="s">
        <v>4909</v>
      </c>
    </row>
    <row r="8273" spans="1:11" x14ac:dyDescent="0.2">
      <c r="A8273" t="s">
        <v>4339</v>
      </c>
      <c r="B8273" t="s">
        <v>4909</v>
      </c>
      <c r="C8273" t="s">
        <v>4909</v>
      </c>
      <c r="D8273" t="s">
        <v>4909</v>
      </c>
      <c r="E8273" t="s">
        <v>4909</v>
      </c>
      <c r="F8273" t="s">
        <v>4909</v>
      </c>
      <c r="G8273" t="s">
        <v>4909</v>
      </c>
      <c r="H8273" t="s">
        <v>4909</v>
      </c>
      <c r="I8273" t="s">
        <v>4909</v>
      </c>
      <c r="J8273" t="s">
        <v>4909</v>
      </c>
      <c r="K8273" t="s">
        <v>4909</v>
      </c>
    </row>
    <row r="8274" spans="1:11" x14ac:dyDescent="0.2">
      <c r="A8274" t="s">
        <v>4340</v>
      </c>
      <c r="B8274" t="s">
        <v>4909</v>
      </c>
      <c r="C8274" t="s">
        <v>4909</v>
      </c>
      <c r="D8274" t="s">
        <v>4909</v>
      </c>
      <c r="E8274" t="s">
        <v>4909</v>
      </c>
      <c r="F8274" t="s">
        <v>4909</v>
      </c>
      <c r="G8274" t="s">
        <v>4909</v>
      </c>
      <c r="H8274" t="s">
        <v>4909</v>
      </c>
      <c r="I8274" t="s">
        <v>4909</v>
      </c>
      <c r="J8274" t="s">
        <v>4909</v>
      </c>
      <c r="K8274" t="s">
        <v>4909</v>
      </c>
    </row>
    <row r="8275" spans="1:11" x14ac:dyDescent="0.2">
      <c r="A8275" t="s">
        <v>4341</v>
      </c>
      <c r="B8275" t="s">
        <v>4909</v>
      </c>
      <c r="C8275" t="s">
        <v>4909</v>
      </c>
      <c r="D8275" t="s">
        <v>4909</v>
      </c>
      <c r="E8275" t="s">
        <v>4909</v>
      </c>
      <c r="F8275" t="s">
        <v>4909</v>
      </c>
      <c r="G8275" t="s">
        <v>4909</v>
      </c>
      <c r="H8275" t="s">
        <v>4909</v>
      </c>
      <c r="I8275" t="s">
        <v>4909</v>
      </c>
      <c r="J8275" t="s">
        <v>4909</v>
      </c>
      <c r="K8275" t="s">
        <v>4909</v>
      </c>
    </row>
    <row r="8276" spans="1:11" x14ac:dyDescent="0.2">
      <c r="A8276" t="s">
        <v>4342</v>
      </c>
      <c r="B8276" t="s">
        <v>4909</v>
      </c>
      <c r="C8276" t="s">
        <v>4909</v>
      </c>
      <c r="D8276" t="s">
        <v>4909</v>
      </c>
      <c r="E8276" t="s">
        <v>4909</v>
      </c>
      <c r="F8276" t="s">
        <v>4909</v>
      </c>
      <c r="G8276" t="s">
        <v>4909</v>
      </c>
      <c r="H8276" t="s">
        <v>4909</v>
      </c>
      <c r="I8276" t="s">
        <v>4909</v>
      </c>
      <c r="J8276" t="s">
        <v>4909</v>
      </c>
      <c r="K8276" t="s">
        <v>4909</v>
      </c>
    </row>
    <row r="8277" spans="1:11" x14ac:dyDescent="0.2">
      <c r="A8277" t="s">
        <v>4343</v>
      </c>
      <c r="B8277" t="s">
        <v>4909</v>
      </c>
      <c r="C8277" t="s">
        <v>4909</v>
      </c>
      <c r="D8277" t="s">
        <v>4909</v>
      </c>
      <c r="E8277" t="s">
        <v>4909</v>
      </c>
      <c r="F8277" t="s">
        <v>4909</v>
      </c>
      <c r="G8277" t="s">
        <v>4909</v>
      </c>
      <c r="H8277" t="s">
        <v>4909</v>
      </c>
      <c r="I8277" t="s">
        <v>4909</v>
      </c>
      <c r="J8277" t="s">
        <v>4909</v>
      </c>
      <c r="K8277" t="s">
        <v>4909</v>
      </c>
    </row>
    <row r="8278" spans="1:11" x14ac:dyDescent="0.2">
      <c r="A8278" t="s">
        <v>1728</v>
      </c>
      <c r="B8278" t="s">
        <v>4909</v>
      </c>
      <c r="C8278" t="s">
        <v>4909</v>
      </c>
      <c r="D8278" t="s">
        <v>4909</v>
      </c>
      <c r="E8278" t="s">
        <v>4909</v>
      </c>
      <c r="F8278" t="s">
        <v>4909</v>
      </c>
      <c r="G8278" t="s">
        <v>4909</v>
      </c>
      <c r="H8278" t="s">
        <v>4909</v>
      </c>
      <c r="I8278" t="s">
        <v>4909</v>
      </c>
      <c r="J8278" t="s">
        <v>4909</v>
      </c>
      <c r="K8278" t="s">
        <v>4909</v>
      </c>
    </row>
    <row r="8279" spans="1:11" x14ac:dyDescent="0.2">
      <c r="A8279" t="s">
        <v>1730</v>
      </c>
      <c r="B8279" s="88">
        <v>1E-3</v>
      </c>
      <c r="C8279" s="88">
        <v>1E-3</v>
      </c>
      <c r="D8279" s="88">
        <v>1E-3</v>
      </c>
      <c r="E8279" t="s">
        <v>4909</v>
      </c>
      <c r="F8279" s="88">
        <v>0</v>
      </c>
      <c r="G8279" s="88">
        <v>2E-3</v>
      </c>
      <c r="H8279" s="88">
        <v>0</v>
      </c>
      <c r="I8279" t="s">
        <v>4909</v>
      </c>
      <c r="J8279" t="s">
        <v>4909</v>
      </c>
      <c r="K8279" s="88">
        <v>0</v>
      </c>
    </row>
    <row r="8280" spans="1:11" x14ac:dyDescent="0.2">
      <c r="A8280" t="s">
        <v>1733</v>
      </c>
      <c r="B8280" t="s">
        <v>4909</v>
      </c>
      <c r="C8280" t="s">
        <v>4909</v>
      </c>
      <c r="D8280" t="s">
        <v>4909</v>
      </c>
      <c r="E8280" t="s">
        <v>4909</v>
      </c>
      <c r="F8280" t="s">
        <v>4909</v>
      </c>
      <c r="G8280" t="s">
        <v>4909</v>
      </c>
      <c r="H8280" t="s">
        <v>4909</v>
      </c>
      <c r="I8280" t="s">
        <v>4909</v>
      </c>
      <c r="J8280" t="s">
        <v>4909</v>
      </c>
      <c r="K8280" t="s">
        <v>4909</v>
      </c>
    </row>
    <row r="8281" spans="1:11" x14ac:dyDescent="0.2">
      <c r="A8281" t="s">
        <v>1738</v>
      </c>
      <c r="B8281" t="s">
        <v>4909</v>
      </c>
      <c r="C8281" t="s">
        <v>4909</v>
      </c>
      <c r="D8281" t="s">
        <v>4909</v>
      </c>
      <c r="E8281" t="s">
        <v>4909</v>
      </c>
      <c r="F8281" t="s">
        <v>4909</v>
      </c>
      <c r="G8281" t="s">
        <v>4909</v>
      </c>
      <c r="H8281" t="s">
        <v>4909</v>
      </c>
      <c r="I8281" t="s">
        <v>4909</v>
      </c>
      <c r="J8281" t="s">
        <v>4909</v>
      </c>
      <c r="K8281" t="s">
        <v>4909</v>
      </c>
    </row>
    <row r="8282" spans="1:11" x14ac:dyDescent="0.2">
      <c r="A8282" t="s">
        <v>1744</v>
      </c>
      <c r="B8282" t="s">
        <v>4909</v>
      </c>
      <c r="C8282" t="s">
        <v>4909</v>
      </c>
      <c r="D8282" t="s">
        <v>4909</v>
      </c>
      <c r="E8282" t="s">
        <v>4909</v>
      </c>
      <c r="F8282" t="s">
        <v>4909</v>
      </c>
      <c r="G8282" t="s">
        <v>4909</v>
      </c>
      <c r="H8282" t="s">
        <v>4909</v>
      </c>
      <c r="I8282" t="s">
        <v>4909</v>
      </c>
      <c r="J8282" t="s">
        <v>4909</v>
      </c>
      <c r="K8282" t="s">
        <v>4909</v>
      </c>
    </row>
    <row r="8283" spans="1:11" x14ac:dyDescent="0.2">
      <c r="A8283" t="s">
        <v>1747</v>
      </c>
      <c r="B8283" t="s">
        <v>4909</v>
      </c>
      <c r="C8283" t="s">
        <v>4909</v>
      </c>
      <c r="D8283" t="s">
        <v>4909</v>
      </c>
      <c r="E8283" t="s">
        <v>4909</v>
      </c>
      <c r="F8283" t="s">
        <v>4909</v>
      </c>
      <c r="G8283" t="s">
        <v>4909</v>
      </c>
      <c r="H8283" t="s">
        <v>4909</v>
      </c>
      <c r="I8283" t="s">
        <v>4909</v>
      </c>
      <c r="J8283" t="s">
        <v>4909</v>
      </c>
      <c r="K8283" t="s">
        <v>4909</v>
      </c>
    </row>
    <row r="8284" spans="1:11" x14ac:dyDescent="0.2">
      <c r="A8284" t="s">
        <v>1751</v>
      </c>
      <c r="B8284" t="s">
        <v>4909</v>
      </c>
      <c r="C8284" t="s">
        <v>4909</v>
      </c>
      <c r="D8284" t="s">
        <v>4909</v>
      </c>
      <c r="E8284" t="s">
        <v>4909</v>
      </c>
      <c r="F8284" t="s">
        <v>4909</v>
      </c>
      <c r="G8284" t="s">
        <v>4909</v>
      </c>
      <c r="H8284" t="s">
        <v>4909</v>
      </c>
      <c r="I8284" t="s">
        <v>4909</v>
      </c>
      <c r="J8284" t="s">
        <v>4909</v>
      </c>
      <c r="K8284" t="s">
        <v>4909</v>
      </c>
    </row>
    <row r="8285" spans="1:11" x14ac:dyDescent="0.2">
      <c r="A8285" t="s">
        <v>1755</v>
      </c>
      <c r="B8285" t="s">
        <v>4909</v>
      </c>
      <c r="C8285" t="s">
        <v>4909</v>
      </c>
      <c r="D8285" t="s">
        <v>4909</v>
      </c>
      <c r="E8285" t="s">
        <v>4909</v>
      </c>
      <c r="F8285" t="s">
        <v>4909</v>
      </c>
      <c r="G8285" t="s">
        <v>4909</v>
      </c>
      <c r="H8285" t="s">
        <v>4909</v>
      </c>
      <c r="I8285" t="s">
        <v>4909</v>
      </c>
      <c r="J8285" t="s">
        <v>4909</v>
      </c>
      <c r="K8285" t="s">
        <v>4909</v>
      </c>
    </row>
    <row r="8286" spans="1:11" x14ac:dyDescent="0.2">
      <c r="A8286" t="s">
        <v>1757</v>
      </c>
      <c r="B8286" t="s">
        <v>4909</v>
      </c>
      <c r="C8286" s="88">
        <v>0</v>
      </c>
      <c r="D8286" t="s">
        <v>4909</v>
      </c>
      <c r="E8286" t="s">
        <v>4909</v>
      </c>
      <c r="F8286" t="s">
        <v>4909</v>
      </c>
      <c r="G8286" s="88">
        <v>0</v>
      </c>
      <c r="H8286" t="s">
        <v>4909</v>
      </c>
      <c r="I8286" t="s">
        <v>4909</v>
      </c>
      <c r="J8286" t="s">
        <v>4909</v>
      </c>
      <c r="K8286" t="s">
        <v>4909</v>
      </c>
    </row>
    <row r="8287" spans="1:11" x14ac:dyDescent="0.2">
      <c r="A8287" t="s">
        <v>1761</v>
      </c>
      <c r="B8287" t="s">
        <v>4909</v>
      </c>
      <c r="C8287" t="s">
        <v>4909</v>
      </c>
      <c r="D8287" t="s">
        <v>4909</v>
      </c>
      <c r="E8287" t="s">
        <v>4909</v>
      </c>
      <c r="F8287" t="s">
        <v>4909</v>
      </c>
      <c r="G8287" t="s">
        <v>4909</v>
      </c>
      <c r="H8287" t="s">
        <v>4909</v>
      </c>
      <c r="I8287" t="s">
        <v>4909</v>
      </c>
      <c r="J8287" t="s">
        <v>4909</v>
      </c>
      <c r="K8287" t="s">
        <v>4909</v>
      </c>
    </row>
    <row r="8288" spans="1:11" x14ac:dyDescent="0.2">
      <c r="A8288" t="s">
        <v>1764</v>
      </c>
      <c r="B8288" t="s">
        <v>4909</v>
      </c>
      <c r="C8288" t="s">
        <v>4909</v>
      </c>
      <c r="D8288" t="s">
        <v>4909</v>
      </c>
      <c r="E8288" t="s">
        <v>4909</v>
      </c>
      <c r="F8288" t="s">
        <v>4909</v>
      </c>
      <c r="G8288" t="s">
        <v>4909</v>
      </c>
      <c r="H8288" t="s">
        <v>4909</v>
      </c>
      <c r="I8288" t="s">
        <v>4909</v>
      </c>
      <c r="J8288" t="s">
        <v>4909</v>
      </c>
      <c r="K8288" t="s">
        <v>4909</v>
      </c>
    </row>
    <row r="8289" spans="1:11" x14ac:dyDescent="0.2">
      <c r="A8289" t="s">
        <v>1770</v>
      </c>
      <c r="B8289" s="88">
        <v>0</v>
      </c>
      <c r="C8289" s="88">
        <v>1E-3</v>
      </c>
      <c r="D8289" s="88">
        <v>0</v>
      </c>
      <c r="E8289" t="s">
        <v>4909</v>
      </c>
      <c r="F8289" s="88">
        <v>0</v>
      </c>
      <c r="G8289" s="88">
        <v>2E-3</v>
      </c>
      <c r="H8289" s="88">
        <v>0</v>
      </c>
      <c r="I8289" t="s">
        <v>4909</v>
      </c>
      <c r="J8289" t="s">
        <v>4909</v>
      </c>
      <c r="K8289" s="88">
        <v>0</v>
      </c>
    </row>
    <row r="8290" spans="1:11" x14ac:dyDescent="0.2">
      <c r="A8290" t="s">
        <v>1772</v>
      </c>
      <c r="B8290" t="s">
        <v>4909</v>
      </c>
      <c r="C8290" t="s">
        <v>4909</v>
      </c>
      <c r="D8290" t="s">
        <v>4909</v>
      </c>
      <c r="E8290" t="s">
        <v>4909</v>
      </c>
      <c r="F8290" t="s">
        <v>4909</v>
      </c>
      <c r="G8290" t="s">
        <v>4909</v>
      </c>
      <c r="H8290" t="s">
        <v>4909</v>
      </c>
      <c r="I8290" t="s">
        <v>4909</v>
      </c>
      <c r="J8290" t="s">
        <v>4909</v>
      </c>
      <c r="K8290" t="s">
        <v>4909</v>
      </c>
    </row>
    <row r="8291" spans="1:11" x14ac:dyDescent="0.2">
      <c r="A8291" t="s">
        <v>1774</v>
      </c>
      <c r="B8291" t="s">
        <v>4909</v>
      </c>
      <c r="C8291" t="s">
        <v>4909</v>
      </c>
      <c r="D8291" t="s">
        <v>4909</v>
      </c>
      <c r="E8291" t="s">
        <v>4909</v>
      </c>
      <c r="F8291" t="s">
        <v>4909</v>
      </c>
      <c r="G8291" t="s">
        <v>4909</v>
      </c>
      <c r="H8291" t="s">
        <v>4909</v>
      </c>
      <c r="I8291" t="s">
        <v>4909</v>
      </c>
      <c r="J8291" t="s">
        <v>4909</v>
      </c>
      <c r="K8291" t="s">
        <v>4909</v>
      </c>
    </row>
    <row r="8292" spans="1:11" x14ac:dyDescent="0.2">
      <c r="A8292" t="s">
        <v>1777</v>
      </c>
      <c r="B8292" t="s">
        <v>4909</v>
      </c>
      <c r="C8292" t="s">
        <v>4909</v>
      </c>
      <c r="D8292" t="s">
        <v>4909</v>
      </c>
      <c r="E8292" t="s">
        <v>4909</v>
      </c>
      <c r="F8292" t="s">
        <v>4909</v>
      </c>
      <c r="G8292" t="s">
        <v>4909</v>
      </c>
      <c r="H8292" t="s">
        <v>4909</v>
      </c>
      <c r="I8292" t="s">
        <v>4909</v>
      </c>
      <c r="J8292" t="s">
        <v>4909</v>
      </c>
      <c r="K8292" t="s">
        <v>4909</v>
      </c>
    </row>
    <row r="8293" spans="1:11" x14ac:dyDescent="0.2">
      <c r="A8293" t="s">
        <v>1782</v>
      </c>
      <c r="B8293" t="s">
        <v>4909</v>
      </c>
      <c r="C8293" t="s">
        <v>4909</v>
      </c>
      <c r="D8293" t="s">
        <v>4909</v>
      </c>
      <c r="E8293" t="s">
        <v>4909</v>
      </c>
      <c r="F8293" t="s">
        <v>4909</v>
      </c>
      <c r="G8293" t="s">
        <v>4909</v>
      </c>
      <c r="H8293" t="s">
        <v>4909</v>
      </c>
      <c r="I8293" t="s">
        <v>4909</v>
      </c>
      <c r="J8293" t="s">
        <v>4909</v>
      </c>
      <c r="K8293" t="s">
        <v>4909</v>
      </c>
    </row>
    <row r="8294" spans="1:11" x14ac:dyDescent="0.2">
      <c r="A8294" t="s">
        <v>1274</v>
      </c>
      <c r="B8294" t="s">
        <v>4909</v>
      </c>
      <c r="C8294" t="s">
        <v>4909</v>
      </c>
      <c r="D8294" t="s">
        <v>4909</v>
      </c>
      <c r="E8294" t="s">
        <v>4909</v>
      </c>
      <c r="F8294" t="s">
        <v>4909</v>
      </c>
      <c r="G8294" t="s">
        <v>4909</v>
      </c>
      <c r="H8294" t="s">
        <v>4909</v>
      </c>
      <c r="I8294" t="s">
        <v>4909</v>
      </c>
      <c r="J8294" t="s">
        <v>4909</v>
      </c>
      <c r="K8294" t="s">
        <v>4909</v>
      </c>
    </row>
    <row r="8295" spans="1:11" x14ac:dyDescent="0.2">
      <c r="A8295" t="s">
        <v>1277</v>
      </c>
      <c r="B8295" t="s">
        <v>4909</v>
      </c>
      <c r="C8295" t="s">
        <v>4909</v>
      </c>
      <c r="D8295" t="s">
        <v>4909</v>
      </c>
      <c r="E8295" t="s">
        <v>4909</v>
      </c>
      <c r="F8295" t="s">
        <v>4909</v>
      </c>
      <c r="G8295" t="s">
        <v>4909</v>
      </c>
      <c r="H8295" t="s">
        <v>4909</v>
      </c>
      <c r="I8295" t="s">
        <v>4909</v>
      </c>
      <c r="J8295" t="s">
        <v>4909</v>
      </c>
      <c r="K8295" t="s">
        <v>4909</v>
      </c>
    </row>
    <row r="8296" spans="1:11" x14ac:dyDescent="0.2">
      <c r="A8296" t="s">
        <v>1798</v>
      </c>
      <c r="B8296" t="s">
        <v>4909</v>
      </c>
      <c r="C8296" t="s">
        <v>4909</v>
      </c>
      <c r="D8296" t="s">
        <v>4909</v>
      </c>
      <c r="E8296" t="s">
        <v>4909</v>
      </c>
      <c r="F8296" t="s">
        <v>4909</v>
      </c>
      <c r="G8296" t="s">
        <v>4909</v>
      </c>
      <c r="H8296" t="s">
        <v>4909</v>
      </c>
      <c r="I8296" t="s">
        <v>4909</v>
      </c>
      <c r="J8296" t="s">
        <v>4909</v>
      </c>
      <c r="K8296" t="s">
        <v>4909</v>
      </c>
    </row>
    <row r="8297" spans="1:11" x14ac:dyDescent="0.2">
      <c r="A8297" t="s">
        <v>1803</v>
      </c>
      <c r="B8297" t="s">
        <v>4909</v>
      </c>
      <c r="C8297" t="s">
        <v>4909</v>
      </c>
      <c r="D8297" t="s">
        <v>4909</v>
      </c>
      <c r="E8297" t="s">
        <v>4909</v>
      </c>
      <c r="F8297" t="s">
        <v>4909</v>
      </c>
      <c r="G8297" t="s">
        <v>4909</v>
      </c>
      <c r="H8297" t="s">
        <v>4909</v>
      </c>
      <c r="I8297" t="s">
        <v>4909</v>
      </c>
      <c r="J8297" t="s">
        <v>4909</v>
      </c>
      <c r="K8297" t="s">
        <v>4909</v>
      </c>
    </row>
    <row r="8298" spans="1:11" x14ac:dyDescent="0.2">
      <c r="A8298" t="s">
        <v>1808</v>
      </c>
      <c r="B8298" t="s">
        <v>4909</v>
      </c>
      <c r="C8298" t="s">
        <v>4909</v>
      </c>
      <c r="D8298" t="s">
        <v>4909</v>
      </c>
      <c r="E8298" t="s">
        <v>4909</v>
      </c>
      <c r="F8298" t="s">
        <v>4909</v>
      </c>
      <c r="G8298" t="s">
        <v>4909</v>
      </c>
      <c r="H8298" t="s">
        <v>4909</v>
      </c>
      <c r="I8298" t="s">
        <v>4909</v>
      </c>
      <c r="J8298" t="s">
        <v>4909</v>
      </c>
      <c r="K8298" t="s">
        <v>4909</v>
      </c>
    </row>
    <row r="8299" spans="1:11" x14ac:dyDescent="0.2">
      <c r="A8299" t="s">
        <v>1813</v>
      </c>
      <c r="B8299" t="s">
        <v>4909</v>
      </c>
      <c r="C8299" t="s">
        <v>4909</v>
      </c>
      <c r="D8299" t="s">
        <v>4909</v>
      </c>
      <c r="E8299" t="s">
        <v>4909</v>
      </c>
      <c r="F8299" t="s">
        <v>4909</v>
      </c>
      <c r="G8299" t="s">
        <v>4909</v>
      </c>
      <c r="H8299" t="s">
        <v>4909</v>
      </c>
      <c r="I8299" t="s">
        <v>4909</v>
      </c>
      <c r="J8299" t="s">
        <v>4909</v>
      </c>
      <c r="K8299" t="s">
        <v>4909</v>
      </c>
    </row>
    <row r="8300" spans="1:11" x14ac:dyDescent="0.2">
      <c r="A8300" t="s">
        <v>1819</v>
      </c>
      <c r="B8300" t="s">
        <v>4909</v>
      </c>
      <c r="C8300" t="s">
        <v>4909</v>
      </c>
      <c r="D8300" t="s">
        <v>4909</v>
      </c>
      <c r="E8300" t="s">
        <v>4909</v>
      </c>
      <c r="F8300" t="s">
        <v>4909</v>
      </c>
      <c r="G8300" t="s">
        <v>4909</v>
      </c>
      <c r="H8300" t="s">
        <v>4909</v>
      </c>
      <c r="I8300" t="s">
        <v>4909</v>
      </c>
      <c r="J8300" t="s">
        <v>4909</v>
      </c>
      <c r="K8300" t="s">
        <v>4909</v>
      </c>
    </row>
    <row r="8301" spans="1:11" x14ac:dyDescent="0.2">
      <c r="A8301" t="s">
        <v>1826</v>
      </c>
      <c r="B8301" t="s">
        <v>4909</v>
      </c>
      <c r="C8301" t="s">
        <v>4909</v>
      </c>
      <c r="D8301" t="s">
        <v>4909</v>
      </c>
      <c r="E8301" t="s">
        <v>4909</v>
      </c>
      <c r="F8301" t="s">
        <v>4909</v>
      </c>
      <c r="G8301" t="s">
        <v>4909</v>
      </c>
      <c r="H8301" t="s">
        <v>4909</v>
      </c>
      <c r="I8301" t="s">
        <v>4909</v>
      </c>
      <c r="J8301" t="s">
        <v>4909</v>
      </c>
      <c r="K8301" t="s">
        <v>4909</v>
      </c>
    </row>
    <row r="8302" spans="1:11" x14ac:dyDescent="0.2">
      <c r="A8302" t="s">
        <v>1830</v>
      </c>
      <c r="B8302" t="s">
        <v>4909</v>
      </c>
      <c r="C8302" t="s">
        <v>4909</v>
      </c>
      <c r="D8302" t="s">
        <v>4909</v>
      </c>
      <c r="E8302" t="s">
        <v>4909</v>
      </c>
      <c r="F8302" t="s">
        <v>4909</v>
      </c>
      <c r="G8302" t="s">
        <v>4909</v>
      </c>
      <c r="H8302" t="s">
        <v>4909</v>
      </c>
      <c r="I8302" t="s">
        <v>4909</v>
      </c>
      <c r="J8302" t="s">
        <v>4909</v>
      </c>
      <c r="K8302" t="s">
        <v>4909</v>
      </c>
    </row>
    <row r="8303" spans="1:11" x14ac:dyDescent="0.2">
      <c r="A8303" t="s">
        <v>1836</v>
      </c>
      <c r="B8303" t="s">
        <v>4909</v>
      </c>
      <c r="C8303" t="s">
        <v>4909</v>
      </c>
      <c r="D8303" t="s">
        <v>4909</v>
      </c>
      <c r="E8303" t="s">
        <v>4909</v>
      </c>
      <c r="F8303" t="s">
        <v>4909</v>
      </c>
      <c r="G8303" t="s">
        <v>4909</v>
      </c>
      <c r="H8303" t="s">
        <v>4909</v>
      </c>
      <c r="I8303" t="s">
        <v>4909</v>
      </c>
      <c r="J8303" t="s">
        <v>4909</v>
      </c>
      <c r="K8303" t="s">
        <v>4909</v>
      </c>
    </row>
    <row r="8304" spans="1:11" x14ac:dyDescent="0.2">
      <c r="A8304" t="s">
        <v>1841</v>
      </c>
      <c r="B8304" t="s">
        <v>4909</v>
      </c>
      <c r="C8304" t="s">
        <v>4909</v>
      </c>
      <c r="D8304" t="s">
        <v>4909</v>
      </c>
      <c r="E8304" t="s">
        <v>4909</v>
      </c>
      <c r="F8304" t="s">
        <v>4909</v>
      </c>
      <c r="G8304" t="s">
        <v>4909</v>
      </c>
      <c r="H8304" t="s">
        <v>4909</v>
      </c>
      <c r="I8304" t="s">
        <v>4909</v>
      </c>
      <c r="J8304" t="s">
        <v>4909</v>
      </c>
      <c r="K8304" t="s">
        <v>4909</v>
      </c>
    </row>
    <row r="8305" spans="1:11" x14ac:dyDescent="0.2">
      <c r="A8305" t="s">
        <v>1842</v>
      </c>
      <c r="B8305" t="s">
        <v>4909</v>
      </c>
      <c r="C8305" t="s">
        <v>4909</v>
      </c>
      <c r="D8305" t="s">
        <v>4909</v>
      </c>
      <c r="E8305" t="s">
        <v>4909</v>
      </c>
      <c r="F8305" t="s">
        <v>4909</v>
      </c>
      <c r="G8305" t="s">
        <v>4909</v>
      </c>
      <c r="H8305" t="s">
        <v>4909</v>
      </c>
      <c r="I8305" t="s">
        <v>4909</v>
      </c>
      <c r="J8305" t="s">
        <v>4909</v>
      </c>
      <c r="K8305" t="s">
        <v>4909</v>
      </c>
    </row>
    <row r="8306" spans="1:11" x14ac:dyDescent="0.2">
      <c r="A8306" t="s">
        <v>1843</v>
      </c>
      <c r="B8306" t="s">
        <v>4909</v>
      </c>
      <c r="C8306" t="s">
        <v>4909</v>
      </c>
      <c r="D8306" t="s">
        <v>4909</v>
      </c>
      <c r="E8306" t="s">
        <v>4909</v>
      </c>
      <c r="F8306" t="s">
        <v>4909</v>
      </c>
      <c r="G8306" t="s">
        <v>4909</v>
      </c>
      <c r="H8306" t="s">
        <v>4909</v>
      </c>
      <c r="I8306" t="s">
        <v>4909</v>
      </c>
      <c r="J8306" t="s">
        <v>4909</v>
      </c>
      <c r="K8306" t="s">
        <v>4909</v>
      </c>
    </row>
    <row r="8307" spans="1:11" x14ac:dyDescent="0.2">
      <c r="A8307" t="s">
        <v>1846</v>
      </c>
      <c r="B8307" t="s">
        <v>4909</v>
      </c>
      <c r="C8307" t="s">
        <v>4909</v>
      </c>
      <c r="D8307" t="s">
        <v>4909</v>
      </c>
      <c r="E8307" t="s">
        <v>4909</v>
      </c>
      <c r="F8307" t="s">
        <v>4909</v>
      </c>
      <c r="G8307" t="s">
        <v>4909</v>
      </c>
      <c r="H8307" t="s">
        <v>4909</v>
      </c>
      <c r="I8307" t="s">
        <v>4909</v>
      </c>
      <c r="J8307" t="s">
        <v>4909</v>
      </c>
      <c r="K8307" t="s">
        <v>4909</v>
      </c>
    </row>
    <row r="8308" spans="1:11" x14ac:dyDescent="0.2">
      <c r="A8308" t="s">
        <v>1851</v>
      </c>
      <c r="B8308" t="s">
        <v>4909</v>
      </c>
      <c r="C8308" t="s">
        <v>4909</v>
      </c>
      <c r="D8308" t="s">
        <v>4909</v>
      </c>
      <c r="E8308" t="s">
        <v>4909</v>
      </c>
      <c r="F8308" t="s">
        <v>4909</v>
      </c>
      <c r="G8308" t="s">
        <v>4909</v>
      </c>
      <c r="H8308" t="s">
        <v>4909</v>
      </c>
      <c r="I8308" t="s">
        <v>4909</v>
      </c>
      <c r="J8308" t="s">
        <v>4909</v>
      </c>
      <c r="K8308" t="s">
        <v>4909</v>
      </c>
    </row>
    <row r="8309" spans="1:11" x14ac:dyDescent="0.2">
      <c r="A8309" t="s">
        <v>1857</v>
      </c>
      <c r="B8309" t="s">
        <v>4909</v>
      </c>
      <c r="C8309" t="s">
        <v>4909</v>
      </c>
      <c r="D8309" t="s">
        <v>4909</v>
      </c>
      <c r="E8309" t="s">
        <v>4909</v>
      </c>
      <c r="F8309" t="s">
        <v>4909</v>
      </c>
      <c r="G8309" t="s">
        <v>4909</v>
      </c>
      <c r="H8309" t="s">
        <v>4909</v>
      </c>
      <c r="I8309" t="s">
        <v>4909</v>
      </c>
      <c r="J8309" t="s">
        <v>4909</v>
      </c>
      <c r="K8309" t="s">
        <v>4909</v>
      </c>
    </row>
    <row r="8310" spans="1:11" x14ac:dyDescent="0.2">
      <c r="A8310" t="s">
        <v>1862</v>
      </c>
      <c r="B8310" t="s">
        <v>4909</v>
      </c>
      <c r="C8310" t="s">
        <v>4909</v>
      </c>
      <c r="D8310" t="s">
        <v>4909</v>
      </c>
      <c r="E8310" t="s">
        <v>4909</v>
      </c>
      <c r="F8310" t="s">
        <v>4909</v>
      </c>
      <c r="G8310" t="s">
        <v>4909</v>
      </c>
      <c r="H8310" t="s">
        <v>4909</v>
      </c>
      <c r="I8310" t="s">
        <v>4909</v>
      </c>
      <c r="J8310" t="s">
        <v>4909</v>
      </c>
      <c r="K8310" t="s">
        <v>4909</v>
      </c>
    </row>
    <row r="8311" spans="1:11" x14ac:dyDescent="0.2">
      <c r="A8311" t="s">
        <v>1867</v>
      </c>
      <c r="B8311" t="s">
        <v>4909</v>
      </c>
      <c r="C8311" t="s">
        <v>4909</v>
      </c>
      <c r="D8311" t="s">
        <v>4909</v>
      </c>
      <c r="E8311" t="s">
        <v>4909</v>
      </c>
      <c r="F8311" t="s">
        <v>4909</v>
      </c>
      <c r="G8311" t="s">
        <v>4909</v>
      </c>
      <c r="H8311" t="s">
        <v>4909</v>
      </c>
      <c r="I8311" t="s">
        <v>4909</v>
      </c>
      <c r="J8311" t="s">
        <v>4909</v>
      </c>
      <c r="K8311" t="s">
        <v>4909</v>
      </c>
    </row>
    <row r="8312" spans="1:11" x14ac:dyDescent="0.2">
      <c r="A8312" t="s">
        <v>1870</v>
      </c>
      <c r="B8312" t="s">
        <v>4909</v>
      </c>
      <c r="C8312" t="s">
        <v>4909</v>
      </c>
      <c r="D8312" t="s">
        <v>4909</v>
      </c>
      <c r="E8312" t="s">
        <v>4909</v>
      </c>
      <c r="F8312" t="s">
        <v>4909</v>
      </c>
      <c r="G8312" t="s">
        <v>4909</v>
      </c>
      <c r="H8312" t="s">
        <v>4909</v>
      </c>
      <c r="I8312" t="s">
        <v>4909</v>
      </c>
      <c r="J8312" t="s">
        <v>4909</v>
      </c>
      <c r="K8312" t="s">
        <v>4909</v>
      </c>
    </row>
    <row r="8313" spans="1:11" x14ac:dyDescent="0.2">
      <c r="A8313" t="s">
        <v>1874</v>
      </c>
      <c r="B8313" t="s">
        <v>4909</v>
      </c>
      <c r="C8313" t="s">
        <v>4909</v>
      </c>
      <c r="D8313" t="s">
        <v>4909</v>
      </c>
      <c r="E8313" t="s">
        <v>4909</v>
      </c>
      <c r="F8313" t="s">
        <v>4909</v>
      </c>
      <c r="G8313" t="s">
        <v>4909</v>
      </c>
      <c r="H8313" t="s">
        <v>4909</v>
      </c>
      <c r="I8313" t="s">
        <v>4909</v>
      </c>
      <c r="J8313" t="s">
        <v>4909</v>
      </c>
      <c r="K8313" t="s">
        <v>4909</v>
      </c>
    </row>
    <row r="8314" spans="1:11" x14ac:dyDescent="0.2">
      <c r="A8314" t="s">
        <v>1876</v>
      </c>
      <c r="B8314" t="s">
        <v>4909</v>
      </c>
      <c r="C8314" t="s">
        <v>4909</v>
      </c>
      <c r="D8314" t="s">
        <v>4909</v>
      </c>
      <c r="E8314" t="s">
        <v>4909</v>
      </c>
      <c r="F8314" t="s">
        <v>4909</v>
      </c>
      <c r="G8314" t="s">
        <v>4909</v>
      </c>
      <c r="H8314" t="s">
        <v>4909</v>
      </c>
      <c r="I8314" t="s">
        <v>4909</v>
      </c>
      <c r="J8314" t="s">
        <v>4909</v>
      </c>
      <c r="K8314" t="s">
        <v>4909</v>
      </c>
    </row>
    <row r="8315" spans="1:11" x14ac:dyDescent="0.2">
      <c r="A8315" t="s">
        <v>1881</v>
      </c>
      <c r="B8315" t="s">
        <v>4909</v>
      </c>
      <c r="C8315" t="s">
        <v>4909</v>
      </c>
      <c r="D8315" t="s">
        <v>4909</v>
      </c>
      <c r="E8315" t="s">
        <v>4909</v>
      </c>
      <c r="F8315" t="s">
        <v>4909</v>
      </c>
      <c r="G8315" t="s">
        <v>4909</v>
      </c>
      <c r="H8315" t="s">
        <v>4909</v>
      </c>
      <c r="I8315" t="s">
        <v>4909</v>
      </c>
      <c r="J8315" t="s">
        <v>4909</v>
      </c>
      <c r="K8315" t="s">
        <v>4909</v>
      </c>
    </row>
    <row r="8316" spans="1:11" x14ac:dyDescent="0.2">
      <c r="A8316" t="s">
        <v>1885</v>
      </c>
      <c r="B8316" t="s">
        <v>4909</v>
      </c>
      <c r="C8316" t="s">
        <v>4909</v>
      </c>
      <c r="D8316" t="s">
        <v>4909</v>
      </c>
      <c r="E8316" t="s">
        <v>4909</v>
      </c>
      <c r="F8316" t="s">
        <v>4909</v>
      </c>
      <c r="G8316" t="s">
        <v>4909</v>
      </c>
      <c r="H8316" t="s">
        <v>4909</v>
      </c>
      <c r="I8316" t="s">
        <v>4909</v>
      </c>
      <c r="J8316" t="s">
        <v>4909</v>
      </c>
      <c r="K8316" t="s">
        <v>4909</v>
      </c>
    </row>
    <row r="8317" spans="1:11" x14ac:dyDescent="0.2">
      <c r="A8317" t="s">
        <v>1887</v>
      </c>
      <c r="B8317" t="s">
        <v>4909</v>
      </c>
      <c r="C8317" t="s">
        <v>4909</v>
      </c>
      <c r="D8317" t="s">
        <v>4909</v>
      </c>
      <c r="E8317" t="s">
        <v>4909</v>
      </c>
      <c r="F8317" t="s">
        <v>4909</v>
      </c>
      <c r="G8317" t="s">
        <v>4909</v>
      </c>
      <c r="H8317" t="s">
        <v>4909</v>
      </c>
      <c r="I8317" t="s">
        <v>4909</v>
      </c>
      <c r="J8317" t="s">
        <v>4909</v>
      </c>
      <c r="K8317" t="s">
        <v>4909</v>
      </c>
    </row>
    <row r="8318" spans="1:11" x14ac:dyDescent="0.2">
      <c r="A8318" t="s">
        <v>1893</v>
      </c>
      <c r="B8318" t="s">
        <v>4909</v>
      </c>
      <c r="C8318" s="88">
        <v>0</v>
      </c>
      <c r="D8318" t="s">
        <v>4909</v>
      </c>
      <c r="E8318" t="s">
        <v>4909</v>
      </c>
      <c r="F8318" t="s">
        <v>4909</v>
      </c>
      <c r="G8318" s="88">
        <v>0</v>
      </c>
      <c r="H8318" t="s">
        <v>4909</v>
      </c>
      <c r="I8318" t="s">
        <v>4909</v>
      </c>
      <c r="J8318" t="s">
        <v>4909</v>
      </c>
      <c r="K8318" t="s">
        <v>4909</v>
      </c>
    </row>
    <row r="8319" spans="1:11" x14ac:dyDescent="0.2">
      <c r="A8319" t="s">
        <v>1899</v>
      </c>
      <c r="B8319" t="s">
        <v>4909</v>
      </c>
      <c r="C8319" t="s">
        <v>4909</v>
      </c>
      <c r="D8319" t="s">
        <v>4909</v>
      </c>
      <c r="E8319" t="s">
        <v>4909</v>
      </c>
      <c r="F8319" t="s">
        <v>4909</v>
      </c>
      <c r="G8319" t="s">
        <v>4909</v>
      </c>
      <c r="H8319" t="s">
        <v>4909</v>
      </c>
      <c r="I8319" t="s">
        <v>4909</v>
      </c>
      <c r="J8319" t="s">
        <v>4909</v>
      </c>
      <c r="K8319" t="s">
        <v>4909</v>
      </c>
    </row>
    <row r="8320" spans="1:11" x14ac:dyDescent="0.2">
      <c r="A8320" t="s">
        <v>1906</v>
      </c>
      <c r="B8320" t="s">
        <v>4909</v>
      </c>
      <c r="C8320" t="s">
        <v>4909</v>
      </c>
      <c r="D8320" t="s">
        <v>4909</v>
      </c>
      <c r="E8320" t="s">
        <v>4909</v>
      </c>
      <c r="F8320" t="s">
        <v>4909</v>
      </c>
      <c r="G8320" t="s">
        <v>4909</v>
      </c>
      <c r="H8320" t="s">
        <v>4909</v>
      </c>
      <c r="I8320" t="s">
        <v>4909</v>
      </c>
      <c r="J8320" t="s">
        <v>4909</v>
      </c>
      <c r="K8320" t="s">
        <v>4909</v>
      </c>
    </row>
    <row r="8321" spans="1:11" x14ac:dyDescent="0.2">
      <c r="A8321" t="s">
        <v>1911</v>
      </c>
      <c r="B8321" t="s">
        <v>4909</v>
      </c>
      <c r="C8321" t="s">
        <v>4909</v>
      </c>
      <c r="D8321" t="s">
        <v>4909</v>
      </c>
      <c r="E8321" t="s">
        <v>4909</v>
      </c>
      <c r="F8321" t="s">
        <v>4909</v>
      </c>
      <c r="G8321" t="s">
        <v>4909</v>
      </c>
      <c r="H8321" t="s">
        <v>4909</v>
      </c>
      <c r="I8321" t="s">
        <v>4909</v>
      </c>
      <c r="J8321" t="s">
        <v>4909</v>
      </c>
      <c r="K8321" t="s">
        <v>4909</v>
      </c>
    </row>
    <row r="8322" spans="1:11" x14ac:dyDescent="0.2">
      <c r="A8322" t="s">
        <v>1917</v>
      </c>
      <c r="B8322" t="s">
        <v>4909</v>
      </c>
      <c r="C8322" t="s">
        <v>4909</v>
      </c>
      <c r="D8322" t="s">
        <v>4909</v>
      </c>
      <c r="E8322" t="s">
        <v>4909</v>
      </c>
      <c r="F8322" t="s">
        <v>4909</v>
      </c>
      <c r="G8322" t="s">
        <v>4909</v>
      </c>
      <c r="H8322" t="s">
        <v>4909</v>
      </c>
      <c r="I8322" t="s">
        <v>4909</v>
      </c>
      <c r="J8322" t="s">
        <v>4909</v>
      </c>
      <c r="K8322" t="s">
        <v>4909</v>
      </c>
    </row>
    <row r="8323" spans="1:11" x14ac:dyDescent="0.2">
      <c r="A8323" t="s">
        <v>1922</v>
      </c>
      <c r="B8323" t="s">
        <v>4909</v>
      </c>
      <c r="C8323" t="s">
        <v>4909</v>
      </c>
      <c r="D8323" t="s">
        <v>4909</v>
      </c>
      <c r="E8323" t="s">
        <v>4909</v>
      </c>
      <c r="F8323" t="s">
        <v>4909</v>
      </c>
      <c r="G8323" t="s">
        <v>4909</v>
      </c>
      <c r="H8323" t="s">
        <v>4909</v>
      </c>
      <c r="I8323" t="s">
        <v>4909</v>
      </c>
      <c r="J8323" t="s">
        <v>4909</v>
      </c>
      <c r="K8323" t="s">
        <v>4909</v>
      </c>
    </row>
    <row r="8324" spans="1:11" x14ac:dyDescent="0.2">
      <c r="A8324" t="s">
        <v>1928</v>
      </c>
      <c r="B8324" t="s">
        <v>4909</v>
      </c>
      <c r="C8324" t="s">
        <v>4909</v>
      </c>
      <c r="D8324" t="s">
        <v>4909</v>
      </c>
      <c r="E8324" t="s">
        <v>4909</v>
      </c>
      <c r="F8324" t="s">
        <v>4909</v>
      </c>
      <c r="G8324" t="s">
        <v>4909</v>
      </c>
      <c r="H8324" t="s">
        <v>4909</v>
      </c>
      <c r="I8324" t="s">
        <v>4909</v>
      </c>
      <c r="J8324" t="s">
        <v>4909</v>
      </c>
      <c r="K8324" t="s">
        <v>4909</v>
      </c>
    </row>
    <row r="8325" spans="1:11" x14ac:dyDescent="0.2">
      <c r="A8325" t="s">
        <v>1932</v>
      </c>
      <c r="B8325" t="s">
        <v>4909</v>
      </c>
      <c r="C8325" t="s">
        <v>4909</v>
      </c>
      <c r="D8325" t="s">
        <v>4909</v>
      </c>
      <c r="E8325" t="s">
        <v>4909</v>
      </c>
      <c r="F8325" t="s">
        <v>4909</v>
      </c>
      <c r="G8325" t="s">
        <v>4909</v>
      </c>
      <c r="H8325" t="s">
        <v>4909</v>
      </c>
      <c r="I8325" t="s">
        <v>4909</v>
      </c>
      <c r="J8325" t="s">
        <v>4909</v>
      </c>
      <c r="K8325" t="s">
        <v>4909</v>
      </c>
    </row>
    <row r="8326" spans="1:11" x14ac:dyDescent="0.2">
      <c r="A8326" t="s">
        <v>1938</v>
      </c>
      <c r="B8326" t="s">
        <v>4909</v>
      </c>
      <c r="C8326" t="s">
        <v>4909</v>
      </c>
      <c r="D8326" t="s">
        <v>4909</v>
      </c>
      <c r="E8326" t="s">
        <v>4909</v>
      </c>
      <c r="F8326" t="s">
        <v>4909</v>
      </c>
      <c r="G8326" t="s">
        <v>4909</v>
      </c>
      <c r="H8326" t="s">
        <v>4909</v>
      </c>
      <c r="I8326" t="s">
        <v>4909</v>
      </c>
      <c r="J8326" t="s">
        <v>4909</v>
      </c>
      <c r="K8326" t="s">
        <v>4909</v>
      </c>
    </row>
    <row r="8327" spans="1:11" x14ac:dyDescent="0.2">
      <c r="A8327" t="s">
        <v>1944</v>
      </c>
      <c r="B8327" t="s">
        <v>4909</v>
      </c>
      <c r="C8327" t="s">
        <v>4909</v>
      </c>
      <c r="D8327" t="s">
        <v>4909</v>
      </c>
      <c r="E8327" t="s">
        <v>4909</v>
      </c>
      <c r="F8327" t="s">
        <v>4909</v>
      </c>
      <c r="G8327" t="s">
        <v>4909</v>
      </c>
      <c r="H8327" t="s">
        <v>4909</v>
      </c>
      <c r="I8327" t="s">
        <v>4909</v>
      </c>
      <c r="J8327" t="s">
        <v>4909</v>
      </c>
      <c r="K8327" t="s">
        <v>4909</v>
      </c>
    </row>
    <row r="8328" spans="1:11" x14ac:dyDescent="0.2">
      <c r="A8328" t="s">
        <v>1947</v>
      </c>
      <c r="B8328" t="s">
        <v>4909</v>
      </c>
      <c r="C8328" t="s">
        <v>4909</v>
      </c>
      <c r="D8328" t="s">
        <v>4909</v>
      </c>
      <c r="E8328" t="s">
        <v>4909</v>
      </c>
      <c r="F8328" t="s">
        <v>4909</v>
      </c>
      <c r="G8328" t="s">
        <v>4909</v>
      </c>
      <c r="H8328" t="s">
        <v>4909</v>
      </c>
      <c r="I8328" t="s">
        <v>4909</v>
      </c>
      <c r="J8328" t="s">
        <v>4909</v>
      </c>
      <c r="K8328" t="s">
        <v>4909</v>
      </c>
    </row>
    <row r="8329" spans="1:11" x14ac:dyDescent="0.2">
      <c r="A8329" t="s">
        <v>1953</v>
      </c>
      <c r="B8329" t="s">
        <v>4909</v>
      </c>
      <c r="C8329" t="s">
        <v>4909</v>
      </c>
      <c r="D8329" t="s">
        <v>4909</v>
      </c>
      <c r="E8329" t="s">
        <v>4909</v>
      </c>
      <c r="F8329" t="s">
        <v>4909</v>
      </c>
      <c r="G8329" t="s">
        <v>4909</v>
      </c>
      <c r="H8329" t="s">
        <v>4909</v>
      </c>
      <c r="I8329" t="s">
        <v>4909</v>
      </c>
      <c r="J8329" t="s">
        <v>4909</v>
      </c>
      <c r="K8329" t="s">
        <v>4909</v>
      </c>
    </row>
    <row r="8330" spans="1:11" x14ac:dyDescent="0.2">
      <c r="A8330" t="s">
        <v>1958</v>
      </c>
      <c r="B8330" t="s">
        <v>4909</v>
      </c>
      <c r="C8330" t="s">
        <v>4909</v>
      </c>
      <c r="D8330" t="s">
        <v>4909</v>
      </c>
      <c r="E8330" t="s">
        <v>4909</v>
      </c>
      <c r="F8330" t="s">
        <v>4909</v>
      </c>
      <c r="G8330" t="s">
        <v>4909</v>
      </c>
      <c r="H8330" t="s">
        <v>4909</v>
      </c>
      <c r="I8330" t="s">
        <v>4909</v>
      </c>
      <c r="J8330" t="s">
        <v>4909</v>
      </c>
      <c r="K8330" t="s">
        <v>4909</v>
      </c>
    </row>
    <row r="8331" spans="1:11" x14ac:dyDescent="0.2">
      <c r="A8331" t="s">
        <v>1964</v>
      </c>
      <c r="B8331" t="s">
        <v>4909</v>
      </c>
      <c r="C8331" t="s">
        <v>4909</v>
      </c>
      <c r="D8331" t="s">
        <v>4909</v>
      </c>
      <c r="E8331" t="s">
        <v>4909</v>
      </c>
      <c r="F8331" t="s">
        <v>4909</v>
      </c>
      <c r="G8331" t="s">
        <v>4909</v>
      </c>
      <c r="H8331" t="s">
        <v>4909</v>
      </c>
      <c r="I8331" t="s">
        <v>4909</v>
      </c>
      <c r="J8331" t="s">
        <v>4909</v>
      </c>
      <c r="K8331" t="s">
        <v>4909</v>
      </c>
    </row>
    <row r="8332" spans="1:11" x14ac:dyDescent="0.2">
      <c r="A8332" t="s">
        <v>1973</v>
      </c>
      <c r="B8332" t="s">
        <v>4909</v>
      </c>
      <c r="C8332" t="s">
        <v>4909</v>
      </c>
      <c r="D8332" t="s">
        <v>4909</v>
      </c>
      <c r="E8332" t="s">
        <v>4909</v>
      </c>
      <c r="F8332" t="s">
        <v>4909</v>
      </c>
      <c r="G8332" t="s">
        <v>4909</v>
      </c>
      <c r="H8332" t="s">
        <v>4909</v>
      </c>
      <c r="I8332" t="s">
        <v>4909</v>
      </c>
      <c r="J8332" t="s">
        <v>4909</v>
      </c>
      <c r="K8332" t="s">
        <v>4909</v>
      </c>
    </row>
    <row r="8333" spans="1:11" x14ac:dyDescent="0.2">
      <c r="A8333" t="s">
        <v>1978</v>
      </c>
      <c r="B8333" t="s">
        <v>4909</v>
      </c>
      <c r="C8333" t="s">
        <v>4909</v>
      </c>
      <c r="D8333" t="s">
        <v>4909</v>
      </c>
      <c r="E8333" t="s">
        <v>4909</v>
      </c>
      <c r="F8333" t="s">
        <v>4909</v>
      </c>
      <c r="G8333" t="s">
        <v>4909</v>
      </c>
      <c r="H8333" t="s">
        <v>4909</v>
      </c>
      <c r="I8333" t="s">
        <v>4909</v>
      </c>
      <c r="J8333" t="s">
        <v>4909</v>
      </c>
      <c r="K8333" t="s">
        <v>4909</v>
      </c>
    </row>
    <row r="8334" spans="1:11" x14ac:dyDescent="0.2">
      <c r="A8334" t="s">
        <v>1983</v>
      </c>
      <c r="B8334" t="s">
        <v>4909</v>
      </c>
      <c r="C8334" t="s">
        <v>4909</v>
      </c>
      <c r="D8334" t="s">
        <v>4909</v>
      </c>
      <c r="E8334" t="s">
        <v>4909</v>
      </c>
      <c r="F8334" t="s">
        <v>4909</v>
      </c>
      <c r="G8334" t="s">
        <v>4909</v>
      </c>
      <c r="H8334" t="s">
        <v>4909</v>
      </c>
      <c r="I8334" t="s">
        <v>4909</v>
      </c>
      <c r="J8334" t="s">
        <v>4909</v>
      </c>
      <c r="K8334" t="s">
        <v>4909</v>
      </c>
    </row>
    <row r="8335" spans="1:11" x14ac:dyDescent="0.2">
      <c r="A8335" t="s">
        <v>1984</v>
      </c>
      <c r="B8335" t="s">
        <v>4909</v>
      </c>
      <c r="C8335" t="s">
        <v>4909</v>
      </c>
      <c r="D8335" t="s">
        <v>4909</v>
      </c>
      <c r="E8335" t="s">
        <v>4909</v>
      </c>
      <c r="F8335" t="s">
        <v>4909</v>
      </c>
      <c r="G8335" t="s">
        <v>4909</v>
      </c>
      <c r="H8335" t="s">
        <v>4909</v>
      </c>
      <c r="I8335" t="s">
        <v>4909</v>
      </c>
      <c r="J8335" t="s">
        <v>4909</v>
      </c>
      <c r="K8335" t="s">
        <v>4909</v>
      </c>
    </row>
    <row r="8336" spans="1:11" x14ac:dyDescent="0.2">
      <c r="A8336" t="s">
        <v>1990</v>
      </c>
      <c r="B8336" t="s">
        <v>4909</v>
      </c>
      <c r="C8336" t="s">
        <v>4909</v>
      </c>
      <c r="D8336" t="s">
        <v>4909</v>
      </c>
      <c r="E8336" t="s">
        <v>4909</v>
      </c>
      <c r="F8336" t="s">
        <v>4909</v>
      </c>
      <c r="G8336" t="s">
        <v>4909</v>
      </c>
      <c r="H8336" t="s">
        <v>4909</v>
      </c>
      <c r="I8336" t="s">
        <v>4909</v>
      </c>
      <c r="J8336" t="s">
        <v>4909</v>
      </c>
      <c r="K8336" t="s">
        <v>4909</v>
      </c>
    </row>
    <row r="8337" spans="1:11" x14ac:dyDescent="0.2">
      <c r="A8337" t="s">
        <v>1996</v>
      </c>
      <c r="B8337" t="s">
        <v>4909</v>
      </c>
      <c r="C8337" t="s">
        <v>4909</v>
      </c>
      <c r="D8337" t="s">
        <v>4909</v>
      </c>
      <c r="E8337" t="s">
        <v>4909</v>
      </c>
      <c r="F8337" t="s">
        <v>4909</v>
      </c>
      <c r="G8337" t="s">
        <v>4909</v>
      </c>
      <c r="H8337" t="s">
        <v>4909</v>
      </c>
      <c r="I8337" t="s">
        <v>4909</v>
      </c>
      <c r="J8337" t="s">
        <v>4909</v>
      </c>
      <c r="K8337" t="s">
        <v>4909</v>
      </c>
    </row>
    <row r="8338" spans="1:11" x14ac:dyDescent="0.2">
      <c r="A8338" t="s">
        <v>1998</v>
      </c>
      <c r="B8338" t="s">
        <v>4909</v>
      </c>
      <c r="C8338" t="s">
        <v>4909</v>
      </c>
      <c r="D8338" t="s">
        <v>4909</v>
      </c>
      <c r="E8338" t="s">
        <v>4909</v>
      </c>
      <c r="F8338" t="s">
        <v>4909</v>
      </c>
      <c r="G8338" t="s">
        <v>4909</v>
      </c>
      <c r="H8338" t="s">
        <v>4909</v>
      </c>
      <c r="I8338" t="s">
        <v>4909</v>
      </c>
      <c r="J8338" t="s">
        <v>4909</v>
      </c>
      <c r="K8338" t="s">
        <v>4909</v>
      </c>
    </row>
    <row r="8339" spans="1:11" x14ac:dyDescent="0.2">
      <c r="A8339" t="s">
        <v>1999</v>
      </c>
      <c r="B8339" t="s">
        <v>4909</v>
      </c>
      <c r="C8339" t="s">
        <v>4909</v>
      </c>
      <c r="D8339" t="s">
        <v>4909</v>
      </c>
      <c r="E8339" t="s">
        <v>4909</v>
      </c>
      <c r="F8339" t="s">
        <v>4909</v>
      </c>
      <c r="G8339" t="s">
        <v>4909</v>
      </c>
      <c r="H8339" t="s">
        <v>4909</v>
      </c>
      <c r="I8339" t="s">
        <v>4909</v>
      </c>
      <c r="J8339" t="s">
        <v>4909</v>
      </c>
      <c r="K8339" t="s">
        <v>4909</v>
      </c>
    </row>
    <row r="8340" spans="1:11" x14ac:dyDescent="0.2">
      <c r="A8340" t="s">
        <v>2004</v>
      </c>
      <c r="B8340" t="s">
        <v>4909</v>
      </c>
      <c r="C8340" t="s">
        <v>4909</v>
      </c>
      <c r="D8340" t="s">
        <v>4909</v>
      </c>
      <c r="E8340" t="s">
        <v>4909</v>
      </c>
      <c r="F8340" t="s">
        <v>4909</v>
      </c>
      <c r="G8340" t="s">
        <v>4909</v>
      </c>
      <c r="H8340" t="s">
        <v>4909</v>
      </c>
      <c r="I8340" t="s">
        <v>4909</v>
      </c>
      <c r="J8340" t="s">
        <v>4909</v>
      </c>
      <c r="K8340" t="s">
        <v>4909</v>
      </c>
    </row>
    <row r="8341" spans="1:11" x14ac:dyDescent="0.2">
      <c r="A8341" t="s">
        <v>2009</v>
      </c>
      <c r="B8341" t="s">
        <v>4909</v>
      </c>
      <c r="C8341" t="s">
        <v>4909</v>
      </c>
      <c r="D8341" t="s">
        <v>4909</v>
      </c>
      <c r="E8341" t="s">
        <v>4909</v>
      </c>
      <c r="F8341" t="s">
        <v>4909</v>
      </c>
      <c r="G8341" t="s">
        <v>4909</v>
      </c>
      <c r="H8341" t="s">
        <v>4909</v>
      </c>
      <c r="I8341" t="s">
        <v>4909</v>
      </c>
      <c r="J8341" t="s">
        <v>4909</v>
      </c>
      <c r="K8341" t="s">
        <v>4909</v>
      </c>
    </row>
    <row r="8342" spans="1:11" x14ac:dyDescent="0.2">
      <c r="A8342" t="s">
        <v>2014</v>
      </c>
      <c r="B8342" t="s">
        <v>4909</v>
      </c>
      <c r="C8342" t="s">
        <v>4909</v>
      </c>
      <c r="D8342" t="s">
        <v>4909</v>
      </c>
      <c r="E8342" t="s">
        <v>4909</v>
      </c>
      <c r="F8342" t="s">
        <v>4909</v>
      </c>
      <c r="G8342" t="s">
        <v>4909</v>
      </c>
      <c r="H8342" t="s">
        <v>4909</v>
      </c>
      <c r="I8342" t="s">
        <v>4909</v>
      </c>
      <c r="J8342" t="s">
        <v>4909</v>
      </c>
      <c r="K8342" t="s">
        <v>4909</v>
      </c>
    </row>
    <row r="8343" spans="1:11" x14ac:dyDescent="0.2">
      <c r="A8343" t="s">
        <v>2019</v>
      </c>
      <c r="B8343" t="s">
        <v>4909</v>
      </c>
      <c r="C8343" t="s">
        <v>4909</v>
      </c>
      <c r="D8343" t="s">
        <v>4909</v>
      </c>
      <c r="E8343" t="s">
        <v>4909</v>
      </c>
      <c r="F8343" t="s">
        <v>4909</v>
      </c>
      <c r="G8343" t="s">
        <v>4909</v>
      </c>
      <c r="H8343" t="s">
        <v>4909</v>
      </c>
      <c r="I8343" t="s">
        <v>4909</v>
      </c>
      <c r="J8343" t="s">
        <v>4909</v>
      </c>
      <c r="K8343" t="s">
        <v>4909</v>
      </c>
    </row>
    <row r="8344" spans="1:11" x14ac:dyDescent="0.2">
      <c r="A8344" t="s">
        <v>2023</v>
      </c>
      <c r="B8344" t="s">
        <v>4909</v>
      </c>
      <c r="C8344" t="s">
        <v>4909</v>
      </c>
      <c r="D8344" t="s">
        <v>4909</v>
      </c>
      <c r="E8344" t="s">
        <v>4909</v>
      </c>
      <c r="F8344" t="s">
        <v>4909</v>
      </c>
      <c r="G8344" t="s">
        <v>4909</v>
      </c>
      <c r="H8344" t="s">
        <v>4909</v>
      </c>
      <c r="I8344" t="s">
        <v>4909</v>
      </c>
      <c r="J8344" t="s">
        <v>4909</v>
      </c>
      <c r="K8344" t="s">
        <v>4909</v>
      </c>
    </row>
    <row r="8345" spans="1:11" x14ac:dyDescent="0.2">
      <c r="A8345" t="s">
        <v>2026</v>
      </c>
      <c r="B8345" t="s">
        <v>4909</v>
      </c>
      <c r="C8345" t="s">
        <v>4909</v>
      </c>
      <c r="D8345" t="s">
        <v>4909</v>
      </c>
      <c r="E8345" t="s">
        <v>4909</v>
      </c>
      <c r="F8345" t="s">
        <v>4909</v>
      </c>
      <c r="G8345" t="s">
        <v>4909</v>
      </c>
      <c r="H8345" t="s">
        <v>4909</v>
      </c>
      <c r="I8345" t="s">
        <v>4909</v>
      </c>
      <c r="J8345" t="s">
        <v>4909</v>
      </c>
      <c r="K8345" t="s">
        <v>4909</v>
      </c>
    </row>
    <row r="8346" spans="1:11" x14ac:dyDescent="0.2">
      <c r="A8346" t="s">
        <v>2030</v>
      </c>
      <c r="B8346" t="s">
        <v>4909</v>
      </c>
      <c r="C8346" t="s">
        <v>4909</v>
      </c>
      <c r="D8346" t="s">
        <v>4909</v>
      </c>
      <c r="E8346" t="s">
        <v>4909</v>
      </c>
      <c r="F8346" t="s">
        <v>4909</v>
      </c>
      <c r="G8346" t="s">
        <v>4909</v>
      </c>
      <c r="H8346" t="s">
        <v>4909</v>
      </c>
      <c r="I8346" t="s">
        <v>4909</v>
      </c>
      <c r="J8346" t="s">
        <v>4909</v>
      </c>
      <c r="K8346" t="s">
        <v>4909</v>
      </c>
    </row>
    <row r="8347" spans="1:11" x14ac:dyDescent="0.2">
      <c r="A8347" t="s">
        <v>2035</v>
      </c>
      <c r="B8347" t="s">
        <v>4909</v>
      </c>
      <c r="C8347" t="s">
        <v>4909</v>
      </c>
      <c r="D8347" t="s">
        <v>4909</v>
      </c>
      <c r="E8347" t="s">
        <v>4909</v>
      </c>
      <c r="F8347" t="s">
        <v>4909</v>
      </c>
      <c r="G8347" t="s">
        <v>4909</v>
      </c>
      <c r="H8347" t="s">
        <v>4909</v>
      </c>
      <c r="I8347" t="s">
        <v>4909</v>
      </c>
      <c r="J8347" t="s">
        <v>4909</v>
      </c>
      <c r="K8347" t="s">
        <v>4909</v>
      </c>
    </row>
    <row r="8348" spans="1:11" x14ac:dyDescent="0.2">
      <c r="A8348" t="s">
        <v>2040</v>
      </c>
      <c r="B8348" t="s">
        <v>4909</v>
      </c>
      <c r="C8348" t="s">
        <v>4909</v>
      </c>
      <c r="D8348" t="s">
        <v>4909</v>
      </c>
      <c r="E8348" t="s">
        <v>4909</v>
      </c>
      <c r="F8348" t="s">
        <v>4909</v>
      </c>
      <c r="G8348" t="s">
        <v>4909</v>
      </c>
      <c r="H8348" t="s">
        <v>4909</v>
      </c>
      <c r="I8348" t="s">
        <v>4909</v>
      </c>
      <c r="J8348" t="s">
        <v>4909</v>
      </c>
      <c r="K8348" t="s">
        <v>4909</v>
      </c>
    </row>
    <row r="8349" spans="1:11" x14ac:dyDescent="0.2">
      <c r="A8349" t="s">
        <v>2045</v>
      </c>
      <c r="B8349" t="s">
        <v>4909</v>
      </c>
      <c r="C8349" t="s">
        <v>4909</v>
      </c>
      <c r="D8349" t="s">
        <v>4909</v>
      </c>
      <c r="E8349" t="s">
        <v>4909</v>
      </c>
      <c r="F8349" t="s">
        <v>4909</v>
      </c>
      <c r="G8349" t="s">
        <v>4909</v>
      </c>
      <c r="H8349" t="s">
        <v>4909</v>
      </c>
      <c r="I8349" t="s">
        <v>4909</v>
      </c>
      <c r="J8349" t="s">
        <v>4909</v>
      </c>
      <c r="K8349" t="s">
        <v>4909</v>
      </c>
    </row>
    <row r="8350" spans="1:11" x14ac:dyDescent="0.2">
      <c r="A8350" t="s">
        <v>2049</v>
      </c>
      <c r="B8350" t="s">
        <v>4909</v>
      </c>
      <c r="C8350" t="s">
        <v>4909</v>
      </c>
      <c r="D8350" t="s">
        <v>4909</v>
      </c>
      <c r="E8350" t="s">
        <v>4909</v>
      </c>
      <c r="F8350" t="s">
        <v>4909</v>
      </c>
      <c r="G8350" t="s">
        <v>4909</v>
      </c>
      <c r="H8350" t="s">
        <v>4909</v>
      </c>
      <c r="I8350" t="s">
        <v>4909</v>
      </c>
      <c r="J8350" t="s">
        <v>4909</v>
      </c>
      <c r="K8350" t="s">
        <v>4909</v>
      </c>
    </row>
    <row r="8351" spans="1:11" x14ac:dyDescent="0.2">
      <c r="A8351" t="s">
        <v>2051</v>
      </c>
      <c r="B8351" t="s">
        <v>4909</v>
      </c>
      <c r="C8351" t="s">
        <v>4909</v>
      </c>
      <c r="D8351" t="s">
        <v>4909</v>
      </c>
      <c r="E8351" t="s">
        <v>4909</v>
      </c>
      <c r="F8351" t="s">
        <v>4909</v>
      </c>
      <c r="G8351" t="s">
        <v>4909</v>
      </c>
      <c r="H8351" t="s">
        <v>4909</v>
      </c>
      <c r="I8351" t="s">
        <v>4909</v>
      </c>
      <c r="J8351" t="s">
        <v>4909</v>
      </c>
      <c r="K8351" t="s">
        <v>4909</v>
      </c>
    </row>
    <row r="8352" spans="1:11" x14ac:dyDescent="0.2">
      <c r="A8352" t="s">
        <v>2057</v>
      </c>
      <c r="B8352" t="s">
        <v>4909</v>
      </c>
      <c r="C8352" t="s">
        <v>4909</v>
      </c>
      <c r="D8352" t="s">
        <v>4909</v>
      </c>
      <c r="E8352" t="s">
        <v>4909</v>
      </c>
      <c r="F8352" t="s">
        <v>4909</v>
      </c>
      <c r="G8352" t="s">
        <v>4909</v>
      </c>
      <c r="H8352" t="s">
        <v>4909</v>
      </c>
      <c r="I8352" t="s">
        <v>4909</v>
      </c>
      <c r="J8352" t="s">
        <v>4909</v>
      </c>
      <c r="K8352" t="s">
        <v>4909</v>
      </c>
    </row>
    <row r="8353" spans="1:11" x14ac:dyDescent="0.2">
      <c r="A8353" t="s">
        <v>4344</v>
      </c>
      <c r="B8353" t="s">
        <v>4909</v>
      </c>
      <c r="C8353" t="s">
        <v>4909</v>
      </c>
      <c r="D8353" t="s">
        <v>4909</v>
      </c>
      <c r="E8353" t="s">
        <v>4909</v>
      </c>
      <c r="F8353" t="s">
        <v>4909</v>
      </c>
      <c r="G8353" t="s">
        <v>4909</v>
      </c>
      <c r="H8353" t="s">
        <v>4909</v>
      </c>
      <c r="I8353" t="s">
        <v>4909</v>
      </c>
      <c r="J8353" t="s">
        <v>4909</v>
      </c>
      <c r="K8353" t="s">
        <v>4909</v>
      </c>
    </row>
    <row r="8354" spans="1:11" x14ac:dyDescent="0.2">
      <c r="A8354" t="s">
        <v>4345</v>
      </c>
      <c r="B8354" t="s">
        <v>4909</v>
      </c>
      <c r="C8354" t="s">
        <v>4909</v>
      </c>
      <c r="D8354" t="s">
        <v>4909</v>
      </c>
      <c r="E8354" t="s">
        <v>4909</v>
      </c>
      <c r="F8354" t="s">
        <v>4909</v>
      </c>
      <c r="G8354" t="s">
        <v>4909</v>
      </c>
      <c r="H8354" t="s">
        <v>4909</v>
      </c>
      <c r="I8354" t="s">
        <v>4909</v>
      </c>
      <c r="J8354" t="s">
        <v>4909</v>
      </c>
      <c r="K8354" t="s">
        <v>4909</v>
      </c>
    </row>
    <row r="8355" spans="1:11" x14ac:dyDescent="0.2">
      <c r="A8355" t="s">
        <v>2074</v>
      </c>
      <c r="B8355" t="s">
        <v>4909</v>
      </c>
      <c r="C8355" t="s">
        <v>4909</v>
      </c>
      <c r="D8355" t="s">
        <v>4909</v>
      </c>
      <c r="E8355" t="s">
        <v>4909</v>
      </c>
      <c r="F8355" t="s">
        <v>4909</v>
      </c>
      <c r="G8355" t="s">
        <v>4909</v>
      </c>
      <c r="H8355" t="s">
        <v>4909</v>
      </c>
      <c r="I8355" t="s">
        <v>4909</v>
      </c>
      <c r="J8355" t="s">
        <v>4909</v>
      </c>
      <c r="K8355" t="s">
        <v>4909</v>
      </c>
    </row>
    <row r="8356" spans="1:11" x14ac:dyDescent="0.2">
      <c r="A8356" t="s">
        <v>2079</v>
      </c>
      <c r="B8356" t="s">
        <v>4909</v>
      </c>
      <c r="C8356" t="s">
        <v>4909</v>
      </c>
      <c r="D8356" t="s">
        <v>4909</v>
      </c>
      <c r="E8356" t="s">
        <v>4909</v>
      </c>
      <c r="F8356" t="s">
        <v>4909</v>
      </c>
      <c r="G8356" t="s">
        <v>4909</v>
      </c>
      <c r="H8356" t="s">
        <v>4909</v>
      </c>
      <c r="I8356" t="s">
        <v>4909</v>
      </c>
      <c r="J8356" t="s">
        <v>4909</v>
      </c>
      <c r="K8356" t="s">
        <v>4909</v>
      </c>
    </row>
    <row r="8357" spans="1:11" x14ac:dyDescent="0.2">
      <c r="A8357" t="s">
        <v>2085</v>
      </c>
      <c r="B8357" t="s">
        <v>4909</v>
      </c>
      <c r="C8357" t="s">
        <v>4909</v>
      </c>
      <c r="D8357" t="s">
        <v>4909</v>
      </c>
      <c r="E8357" t="s">
        <v>4909</v>
      </c>
      <c r="F8357" t="s">
        <v>4909</v>
      </c>
      <c r="G8357" t="s">
        <v>4909</v>
      </c>
      <c r="H8357" t="s">
        <v>4909</v>
      </c>
      <c r="I8357" t="s">
        <v>4909</v>
      </c>
      <c r="J8357" t="s">
        <v>4909</v>
      </c>
      <c r="K8357" t="s">
        <v>4909</v>
      </c>
    </row>
    <row r="8358" spans="1:11" x14ac:dyDescent="0.2">
      <c r="A8358" t="s">
        <v>2091</v>
      </c>
      <c r="B8358" t="s">
        <v>4909</v>
      </c>
      <c r="C8358" t="s">
        <v>4909</v>
      </c>
      <c r="D8358" t="s">
        <v>4909</v>
      </c>
      <c r="E8358" t="s">
        <v>4909</v>
      </c>
      <c r="F8358" t="s">
        <v>4909</v>
      </c>
      <c r="G8358" t="s">
        <v>4909</v>
      </c>
      <c r="H8358" t="s">
        <v>4909</v>
      </c>
      <c r="I8358" t="s">
        <v>4909</v>
      </c>
      <c r="J8358" t="s">
        <v>4909</v>
      </c>
      <c r="K8358" t="s">
        <v>4909</v>
      </c>
    </row>
    <row r="8359" spans="1:11" x14ac:dyDescent="0.2">
      <c r="A8359" t="s">
        <v>2097</v>
      </c>
      <c r="B8359" t="s">
        <v>4909</v>
      </c>
      <c r="C8359" t="s">
        <v>4909</v>
      </c>
      <c r="D8359" t="s">
        <v>4909</v>
      </c>
      <c r="E8359" t="s">
        <v>4909</v>
      </c>
      <c r="F8359" t="s">
        <v>4909</v>
      </c>
      <c r="G8359" t="s">
        <v>4909</v>
      </c>
      <c r="H8359" t="s">
        <v>4909</v>
      </c>
      <c r="I8359" t="s">
        <v>4909</v>
      </c>
      <c r="J8359" t="s">
        <v>4909</v>
      </c>
      <c r="K8359" t="s">
        <v>4909</v>
      </c>
    </row>
    <row r="8360" spans="1:11" x14ac:dyDescent="0.2">
      <c r="A8360" t="s">
        <v>2101</v>
      </c>
      <c r="B8360" t="s">
        <v>4909</v>
      </c>
      <c r="C8360" t="s">
        <v>4909</v>
      </c>
      <c r="D8360" t="s">
        <v>4909</v>
      </c>
      <c r="E8360" t="s">
        <v>4909</v>
      </c>
      <c r="F8360" t="s">
        <v>4909</v>
      </c>
      <c r="G8360" t="s">
        <v>4909</v>
      </c>
      <c r="H8360" t="s">
        <v>4909</v>
      </c>
      <c r="I8360" t="s">
        <v>4909</v>
      </c>
      <c r="J8360" t="s">
        <v>4909</v>
      </c>
      <c r="K8360" t="s">
        <v>4909</v>
      </c>
    </row>
    <row r="8361" spans="1:11" x14ac:dyDescent="0.2">
      <c r="A8361" t="s">
        <v>2104</v>
      </c>
      <c r="B8361" t="s">
        <v>4909</v>
      </c>
      <c r="C8361" t="s">
        <v>4909</v>
      </c>
      <c r="D8361" t="s">
        <v>4909</v>
      </c>
      <c r="E8361" t="s">
        <v>4909</v>
      </c>
      <c r="F8361" t="s">
        <v>4909</v>
      </c>
      <c r="G8361" t="s">
        <v>4909</v>
      </c>
      <c r="H8361" t="s">
        <v>4909</v>
      </c>
      <c r="I8361" t="s">
        <v>4909</v>
      </c>
      <c r="J8361" t="s">
        <v>4909</v>
      </c>
      <c r="K8361" t="s">
        <v>4909</v>
      </c>
    </row>
    <row r="8362" spans="1:11" x14ac:dyDescent="0.2">
      <c r="A8362" t="s">
        <v>2107</v>
      </c>
      <c r="B8362" t="s">
        <v>4909</v>
      </c>
      <c r="C8362" t="s">
        <v>4909</v>
      </c>
      <c r="D8362" t="s">
        <v>4909</v>
      </c>
      <c r="E8362" t="s">
        <v>4909</v>
      </c>
      <c r="F8362" t="s">
        <v>4909</v>
      </c>
      <c r="G8362" t="s">
        <v>4909</v>
      </c>
      <c r="H8362" t="s">
        <v>4909</v>
      </c>
      <c r="I8362" t="s">
        <v>4909</v>
      </c>
      <c r="J8362" t="s">
        <v>4909</v>
      </c>
      <c r="K8362" t="s">
        <v>4909</v>
      </c>
    </row>
    <row r="8363" spans="1:11" x14ac:dyDescent="0.2">
      <c r="A8363" t="s">
        <v>2110</v>
      </c>
      <c r="B8363" t="s">
        <v>4909</v>
      </c>
      <c r="C8363" t="s">
        <v>4909</v>
      </c>
      <c r="D8363" t="s">
        <v>4909</v>
      </c>
      <c r="E8363" t="s">
        <v>4909</v>
      </c>
      <c r="F8363" t="s">
        <v>4909</v>
      </c>
      <c r="G8363" t="s">
        <v>4909</v>
      </c>
      <c r="H8363" t="s">
        <v>4909</v>
      </c>
      <c r="I8363" t="s">
        <v>4909</v>
      </c>
      <c r="J8363" t="s">
        <v>4909</v>
      </c>
      <c r="K8363" t="s">
        <v>4909</v>
      </c>
    </row>
    <row r="8364" spans="1:11" x14ac:dyDescent="0.2">
      <c r="A8364" t="s">
        <v>2113</v>
      </c>
      <c r="B8364" t="s">
        <v>4909</v>
      </c>
      <c r="C8364" t="s">
        <v>4909</v>
      </c>
      <c r="D8364" t="s">
        <v>4909</v>
      </c>
      <c r="E8364" t="s">
        <v>4909</v>
      </c>
      <c r="F8364" t="s">
        <v>4909</v>
      </c>
      <c r="G8364" t="s">
        <v>4909</v>
      </c>
      <c r="H8364" t="s">
        <v>4909</v>
      </c>
      <c r="I8364" t="s">
        <v>4909</v>
      </c>
      <c r="J8364" t="s">
        <v>4909</v>
      </c>
      <c r="K8364" t="s">
        <v>4909</v>
      </c>
    </row>
    <row r="8365" spans="1:11" x14ac:dyDescent="0.2">
      <c r="A8365" t="s">
        <v>4346</v>
      </c>
      <c r="B8365" t="s">
        <v>4909</v>
      </c>
      <c r="C8365" t="s">
        <v>4909</v>
      </c>
      <c r="D8365" t="s">
        <v>4909</v>
      </c>
      <c r="E8365" t="s">
        <v>4909</v>
      </c>
      <c r="F8365" t="s">
        <v>4909</v>
      </c>
      <c r="G8365" t="s">
        <v>4909</v>
      </c>
      <c r="H8365" t="s">
        <v>4909</v>
      </c>
      <c r="I8365" t="s">
        <v>4909</v>
      </c>
      <c r="J8365" t="s">
        <v>4909</v>
      </c>
      <c r="K8365" t="s">
        <v>4909</v>
      </c>
    </row>
    <row r="8366" spans="1:11" x14ac:dyDescent="0.2">
      <c r="A8366" t="s">
        <v>4347</v>
      </c>
      <c r="B8366" t="s">
        <v>4909</v>
      </c>
      <c r="C8366" t="s">
        <v>4909</v>
      </c>
      <c r="D8366" t="s">
        <v>4909</v>
      </c>
      <c r="E8366" t="s">
        <v>4909</v>
      </c>
      <c r="F8366" t="s">
        <v>4909</v>
      </c>
      <c r="G8366" t="s">
        <v>4909</v>
      </c>
      <c r="H8366" t="s">
        <v>4909</v>
      </c>
      <c r="I8366" t="s">
        <v>4909</v>
      </c>
      <c r="J8366" t="s">
        <v>4909</v>
      </c>
      <c r="K8366" t="s">
        <v>4909</v>
      </c>
    </row>
    <row r="8367" spans="1:11" x14ac:dyDescent="0.2">
      <c r="A8367" t="s">
        <v>4348</v>
      </c>
      <c r="B8367" t="s">
        <v>4909</v>
      </c>
      <c r="C8367" t="s">
        <v>4909</v>
      </c>
      <c r="D8367" t="s">
        <v>4909</v>
      </c>
      <c r="E8367" t="s">
        <v>4909</v>
      </c>
      <c r="F8367" t="s">
        <v>4909</v>
      </c>
      <c r="G8367" t="s">
        <v>4909</v>
      </c>
      <c r="H8367" t="s">
        <v>4909</v>
      </c>
      <c r="I8367" t="s">
        <v>4909</v>
      </c>
      <c r="J8367" t="s">
        <v>4909</v>
      </c>
      <c r="K8367" t="s">
        <v>4909</v>
      </c>
    </row>
    <row r="8368" spans="1:11" x14ac:dyDescent="0.2">
      <c r="A8368" t="s">
        <v>4349</v>
      </c>
      <c r="B8368" t="s">
        <v>4909</v>
      </c>
      <c r="C8368" t="s">
        <v>4909</v>
      </c>
      <c r="D8368" t="s">
        <v>4909</v>
      </c>
      <c r="E8368" t="s">
        <v>4909</v>
      </c>
      <c r="F8368" t="s">
        <v>4909</v>
      </c>
      <c r="G8368" t="s">
        <v>4909</v>
      </c>
      <c r="H8368" t="s">
        <v>4909</v>
      </c>
      <c r="I8368" t="s">
        <v>4909</v>
      </c>
      <c r="J8368" t="s">
        <v>4909</v>
      </c>
      <c r="K8368" t="s">
        <v>4909</v>
      </c>
    </row>
    <row r="8369" spans="1:11" x14ac:dyDescent="0.2">
      <c r="A8369" t="s">
        <v>4350</v>
      </c>
      <c r="B8369" s="88">
        <v>0</v>
      </c>
      <c r="C8369" s="88">
        <v>0</v>
      </c>
      <c r="D8369" s="88">
        <v>0</v>
      </c>
      <c r="E8369" t="s">
        <v>4909</v>
      </c>
      <c r="F8369" s="88">
        <v>0</v>
      </c>
      <c r="G8369" s="88">
        <v>0</v>
      </c>
      <c r="H8369" s="88">
        <v>0</v>
      </c>
      <c r="I8369" t="s">
        <v>4909</v>
      </c>
      <c r="J8369" t="s">
        <v>4909</v>
      </c>
      <c r="K8369" s="88">
        <v>0</v>
      </c>
    </row>
    <row r="8370" spans="1:11" x14ac:dyDescent="0.2">
      <c r="A8370" t="s">
        <v>4351</v>
      </c>
      <c r="B8370" t="s">
        <v>4909</v>
      </c>
      <c r="C8370" t="s">
        <v>4909</v>
      </c>
      <c r="D8370" t="s">
        <v>4909</v>
      </c>
      <c r="E8370" t="s">
        <v>4909</v>
      </c>
      <c r="F8370" t="s">
        <v>4909</v>
      </c>
      <c r="G8370" t="s">
        <v>4909</v>
      </c>
      <c r="H8370" t="s">
        <v>4909</v>
      </c>
      <c r="I8370" t="s">
        <v>4909</v>
      </c>
      <c r="J8370" t="s">
        <v>4909</v>
      </c>
      <c r="K8370" t="s">
        <v>4909</v>
      </c>
    </row>
    <row r="8371" spans="1:11" x14ac:dyDescent="0.2">
      <c r="A8371" t="s">
        <v>4352</v>
      </c>
      <c r="B8371" t="s">
        <v>4909</v>
      </c>
      <c r="C8371" t="s">
        <v>4909</v>
      </c>
      <c r="D8371" t="s">
        <v>4909</v>
      </c>
      <c r="E8371" t="s">
        <v>4909</v>
      </c>
      <c r="F8371" t="s">
        <v>4909</v>
      </c>
      <c r="G8371" t="s">
        <v>4909</v>
      </c>
      <c r="H8371" t="s">
        <v>4909</v>
      </c>
      <c r="I8371" t="s">
        <v>4909</v>
      </c>
      <c r="J8371" t="s">
        <v>4909</v>
      </c>
      <c r="K8371" t="s">
        <v>4909</v>
      </c>
    </row>
    <row r="8372" spans="1:11" x14ac:dyDescent="0.2">
      <c r="A8372" t="s">
        <v>4353</v>
      </c>
      <c r="B8372" s="88">
        <v>2E-3</v>
      </c>
      <c r="C8372" s="88">
        <v>4.0000000000000001E-3</v>
      </c>
      <c r="D8372" s="88">
        <v>2E-3</v>
      </c>
      <c r="E8372" t="s">
        <v>4909</v>
      </c>
      <c r="F8372" s="88">
        <v>1E-3</v>
      </c>
      <c r="G8372" s="88">
        <v>8.0000000000000002E-3</v>
      </c>
      <c r="H8372" s="88">
        <v>1E-3</v>
      </c>
      <c r="I8372" t="s">
        <v>4909</v>
      </c>
      <c r="J8372" t="s">
        <v>4909</v>
      </c>
      <c r="K8372" t="s">
        <v>4909</v>
      </c>
    </row>
    <row r="8373" spans="1:11" x14ac:dyDescent="0.2">
      <c r="A8373" t="s">
        <v>4354</v>
      </c>
      <c r="B8373" s="88">
        <v>1E-3</v>
      </c>
      <c r="C8373" s="88">
        <v>5.0000000000000001E-3</v>
      </c>
      <c r="D8373" s="88">
        <v>1E-3</v>
      </c>
      <c r="E8373" t="s">
        <v>4909</v>
      </c>
      <c r="F8373" s="88">
        <v>0</v>
      </c>
      <c r="G8373" s="88">
        <v>6.0000000000000001E-3</v>
      </c>
      <c r="H8373" s="88">
        <v>0</v>
      </c>
      <c r="I8373" t="s">
        <v>4909</v>
      </c>
      <c r="J8373" t="s">
        <v>4909</v>
      </c>
      <c r="K8373" t="s">
        <v>4909</v>
      </c>
    </row>
    <row r="8374" spans="1:11" x14ac:dyDescent="0.2">
      <c r="A8374" t="s">
        <v>4355</v>
      </c>
      <c r="B8374" t="s">
        <v>4909</v>
      </c>
      <c r="C8374" t="s">
        <v>4909</v>
      </c>
      <c r="D8374" t="s">
        <v>4909</v>
      </c>
      <c r="E8374" t="s">
        <v>4909</v>
      </c>
      <c r="F8374" t="s">
        <v>4909</v>
      </c>
      <c r="G8374" t="s">
        <v>4909</v>
      </c>
      <c r="H8374" t="s">
        <v>4909</v>
      </c>
      <c r="I8374" t="s">
        <v>4909</v>
      </c>
      <c r="J8374" t="s">
        <v>4909</v>
      </c>
      <c r="K8374" t="s">
        <v>4909</v>
      </c>
    </row>
    <row r="8375" spans="1:11" x14ac:dyDescent="0.2">
      <c r="A8375" t="s">
        <v>4356</v>
      </c>
      <c r="B8375" t="s">
        <v>4909</v>
      </c>
      <c r="C8375" t="s">
        <v>4909</v>
      </c>
      <c r="D8375" t="s">
        <v>4909</v>
      </c>
      <c r="E8375" t="s">
        <v>4909</v>
      </c>
      <c r="F8375" t="s">
        <v>4909</v>
      </c>
      <c r="G8375" t="s">
        <v>4909</v>
      </c>
      <c r="H8375" t="s">
        <v>4909</v>
      </c>
      <c r="I8375" t="s">
        <v>4909</v>
      </c>
      <c r="J8375" t="s">
        <v>4909</v>
      </c>
      <c r="K8375" t="s">
        <v>4909</v>
      </c>
    </row>
    <row r="8376" spans="1:11" x14ac:dyDescent="0.2">
      <c r="A8376" t="s">
        <v>4357</v>
      </c>
      <c r="B8376" t="s">
        <v>4909</v>
      </c>
      <c r="C8376" t="s">
        <v>4909</v>
      </c>
      <c r="D8376" t="s">
        <v>4909</v>
      </c>
      <c r="E8376" t="s">
        <v>4909</v>
      </c>
      <c r="F8376" t="s">
        <v>4909</v>
      </c>
      <c r="G8376" t="s">
        <v>4909</v>
      </c>
      <c r="H8376" t="s">
        <v>4909</v>
      </c>
      <c r="I8376" t="s">
        <v>4909</v>
      </c>
      <c r="J8376" t="s">
        <v>4909</v>
      </c>
      <c r="K8376" t="s">
        <v>4909</v>
      </c>
    </row>
    <row r="8377" spans="1:11" x14ac:dyDescent="0.2">
      <c r="A8377" t="s">
        <v>4358</v>
      </c>
      <c r="B8377" s="88">
        <v>0</v>
      </c>
      <c r="C8377" s="88">
        <v>0</v>
      </c>
      <c r="D8377" s="88">
        <v>0</v>
      </c>
      <c r="E8377" t="s">
        <v>4909</v>
      </c>
      <c r="F8377" s="88">
        <v>0</v>
      </c>
      <c r="G8377" s="88">
        <v>0</v>
      </c>
      <c r="H8377" s="88">
        <v>0</v>
      </c>
      <c r="I8377" t="s">
        <v>4909</v>
      </c>
      <c r="J8377" t="s">
        <v>4909</v>
      </c>
      <c r="K8377" t="s">
        <v>4909</v>
      </c>
    </row>
    <row r="8378" spans="1:11" x14ac:dyDescent="0.2">
      <c r="A8378" t="s">
        <v>4359</v>
      </c>
      <c r="B8378" t="s">
        <v>4909</v>
      </c>
      <c r="C8378" t="s">
        <v>4909</v>
      </c>
      <c r="D8378" t="s">
        <v>4909</v>
      </c>
      <c r="E8378" t="s">
        <v>4909</v>
      </c>
      <c r="F8378" t="s">
        <v>4909</v>
      </c>
      <c r="G8378" t="s">
        <v>4909</v>
      </c>
      <c r="H8378" t="s">
        <v>4909</v>
      </c>
      <c r="I8378" t="s">
        <v>4909</v>
      </c>
      <c r="J8378" t="s">
        <v>4909</v>
      </c>
      <c r="K8378" t="s">
        <v>4909</v>
      </c>
    </row>
    <row r="8379" spans="1:11" x14ac:dyDescent="0.2">
      <c r="A8379" t="s">
        <v>4360</v>
      </c>
      <c r="B8379" t="s">
        <v>4909</v>
      </c>
      <c r="C8379" t="s">
        <v>4909</v>
      </c>
      <c r="D8379" t="s">
        <v>4909</v>
      </c>
      <c r="E8379" t="s">
        <v>4909</v>
      </c>
      <c r="F8379" t="s">
        <v>4909</v>
      </c>
      <c r="G8379" t="s">
        <v>4909</v>
      </c>
      <c r="H8379" t="s">
        <v>4909</v>
      </c>
      <c r="I8379" t="s">
        <v>4909</v>
      </c>
      <c r="J8379" t="s">
        <v>4909</v>
      </c>
      <c r="K8379" t="s">
        <v>4909</v>
      </c>
    </row>
    <row r="8380" spans="1:11" x14ac:dyDescent="0.2">
      <c r="A8380" t="s">
        <v>4361</v>
      </c>
      <c r="B8380" s="88">
        <v>0</v>
      </c>
      <c r="C8380" s="88">
        <v>1E-3</v>
      </c>
      <c r="D8380" s="88">
        <v>0</v>
      </c>
      <c r="E8380" t="s">
        <v>4909</v>
      </c>
      <c r="F8380" s="88">
        <v>0</v>
      </c>
      <c r="G8380" s="88">
        <v>1E-3</v>
      </c>
      <c r="H8380" s="88">
        <v>0</v>
      </c>
      <c r="I8380" t="s">
        <v>4909</v>
      </c>
      <c r="J8380" t="s">
        <v>4909</v>
      </c>
      <c r="K8380" t="s">
        <v>4909</v>
      </c>
    </row>
    <row r="8381" spans="1:11" x14ac:dyDescent="0.2">
      <c r="A8381" t="s">
        <v>4362</v>
      </c>
      <c r="B8381" t="s">
        <v>4909</v>
      </c>
      <c r="C8381" t="s">
        <v>4909</v>
      </c>
      <c r="D8381" t="s">
        <v>4909</v>
      </c>
      <c r="E8381" t="s">
        <v>4909</v>
      </c>
      <c r="F8381" t="s">
        <v>4909</v>
      </c>
      <c r="G8381" t="s">
        <v>4909</v>
      </c>
      <c r="H8381" t="s">
        <v>4909</v>
      </c>
      <c r="I8381" t="s">
        <v>4909</v>
      </c>
      <c r="J8381" t="s">
        <v>4909</v>
      </c>
      <c r="K8381" t="s">
        <v>4909</v>
      </c>
    </row>
    <row r="8382" spans="1:11" x14ac:dyDescent="0.2">
      <c r="A8382" t="s">
        <v>4363</v>
      </c>
      <c r="B8382" t="s">
        <v>4909</v>
      </c>
      <c r="C8382" t="s">
        <v>4909</v>
      </c>
      <c r="D8382" t="s">
        <v>4909</v>
      </c>
      <c r="E8382" t="s">
        <v>4909</v>
      </c>
      <c r="F8382" t="s">
        <v>4909</v>
      </c>
      <c r="G8382" t="s">
        <v>4909</v>
      </c>
      <c r="H8382" t="s">
        <v>4909</v>
      </c>
      <c r="I8382" t="s">
        <v>4909</v>
      </c>
      <c r="J8382" t="s">
        <v>4909</v>
      </c>
      <c r="K8382" t="s">
        <v>4909</v>
      </c>
    </row>
    <row r="8383" spans="1:11" x14ac:dyDescent="0.2">
      <c r="A8383" t="s">
        <v>4364</v>
      </c>
      <c r="B8383" t="s">
        <v>4909</v>
      </c>
      <c r="C8383" t="s">
        <v>4909</v>
      </c>
      <c r="D8383" t="s">
        <v>4909</v>
      </c>
      <c r="E8383" t="s">
        <v>4909</v>
      </c>
      <c r="F8383" t="s">
        <v>4909</v>
      </c>
      <c r="G8383" t="s">
        <v>4909</v>
      </c>
      <c r="H8383" t="s">
        <v>4909</v>
      </c>
      <c r="I8383" t="s">
        <v>4909</v>
      </c>
      <c r="J8383" t="s">
        <v>4909</v>
      </c>
      <c r="K8383" t="s">
        <v>4909</v>
      </c>
    </row>
    <row r="8384" spans="1:11" x14ac:dyDescent="0.2">
      <c r="A8384" t="s">
        <v>4365</v>
      </c>
      <c r="B8384" s="88">
        <v>0</v>
      </c>
      <c r="C8384" s="88">
        <v>3.0000000000000001E-3</v>
      </c>
      <c r="D8384" s="88">
        <v>0</v>
      </c>
      <c r="E8384" t="s">
        <v>4909</v>
      </c>
      <c r="F8384" t="s">
        <v>4909</v>
      </c>
      <c r="G8384" s="88">
        <v>3.0000000000000001E-3</v>
      </c>
      <c r="H8384" t="s">
        <v>4909</v>
      </c>
      <c r="I8384" t="s">
        <v>4909</v>
      </c>
      <c r="J8384" t="s">
        <v>4909</v>
      </c>
      <c r="K8384" s="88">
        <v>0</v>
      </c>
    </row>
    <row r="8385" spans="1:11" x14ac:dyDescent="0.2">
      <c r="A8385" t="s">
        <v>4366</v>
      </c>
      <c r="B8385" s="88">
        <v>0</v>
      </c>
      <c r="C8385" s="88">
        <v>0</v>
      </c>
      <c r="D8385" s="88">
        <v>0</v>
      </c>
      <c r="E8385" t="s">
        <v>4909</v>
      </c>
      <c r="F8385" s="88">
        <v>0</v>
      </c>
      <c r="G8385" s="88">
        <v>0</v>
      </c>
      <c r="H8385" s="88">
        <v>0</v>
      </c>
      <c r="I8385" t="s">
        <v>4909</v>
      </c>
      <c r="J8385" t="s">
        <v>4909</v>
      </c>
      <c r="K8385" s="88">
        <v>0</v>
      </c>
    </row>
    <row r="8386" spans="1:11" x14ac:dyDescent="0.2">
      <c r="A8386" t="s">
        <v>4367</v>
      </c>
      <c r="B8386" s="88">
        <v>0</v>
      </c>
      <c r="C8386" s="88">
        <v>0</v>
      </c>
      <c r="D8386" s="88">
        <v>0</v>
      </c>
      <c r="E8386" t="s">
        <v>4909</v>
      </c>
      <c r="F8386" s="88">
        <v>0</v>
      </c>
      <c r="G8386" s="88">
        <v>0</v>
      </c>
      <c r="H8386" s="88">
        <v>0</v>
      </c>
      <c r="I8386" t="s">
        <v>4909</v>
      </c>
      <c r="J8386" t="s">
        <v>4909</v>
      </c>
      <c r="K8386" s="88">
        <v>0</v>
      </c>
    </row>
    <row r="8387" spans="1:11" x14ac:dyDescent="0.2">
      <c r="A8387" t="s">
        <v>4368</v>
      </c>
      <c r="B8387" t="s">
        <v>4909</v>
      </c>
      <c r="C8387" s="88">
        <v>1E-3</v>
      </c>
      <c r="D8387" t="s">
        <v>4909</v>
      </c>
      <c r="E8387" t="s">
        <v>4909</v>
      </c>
      <c r="F8387" t="s">
        <v>4909</v>
      </c>
      <c r="G8387" s="88">
        <v>1E-3</v>
      </c>
      <c r="H8387" t="s">
        <v>4909</v>
      </c>
      <c r="I8387" t="s">
        <v>4909</v>
      </c>
      <c r="J8387" t="s">
        <v>4909</v>
      </c>
      <c r="K8387" s="88">
        <v>0</v>
      </c>
    </row>
    <row r="8388" spans="1:11" x14ac:dyDescent="0.2">
      <c r="A8388" t="s">
        <v>4369</v>
      </c>
      <c r="B8388" s="88">
        <v>0</v>
      </c>
      <c r="C8388" s="88">
        <v>6.0000000000000001E-3</v>
      </c>
      <c r="D8388" s="88">
        <v>0</v>
      </c>
      <c r="E8388" t="s">
        <v>4909</v>
      </c>
      <c r="F8388" s="88">
        <v>0</v>
      </c>
      <c r="G8388" s="88">
        <v>7.0000000000000001E-3</v>
      </c>
      <c r="H8388" s="88">
        <v>0</v>
      </c>
      <c r="I8388" t="s">
        <v>4909</v>
      </c>
      <c r="J8388" t="s">
        <v>4909</v>
      </c>
      <c r="K8388" s="88">
        <v>1E-3</v>
      </c>
    </row>
    <row r="8389" spans="1:11" x14ac:dyDescent="0.2">
      <c r="A8389" t="s">
        <v>4370</v>
      </c>
      <c r="B8389" t="s">
        <v>4909</v>
      </c>
      <c r="C8389" s="88">
        <v>0</v>
      </c>
      <c r="D8389" t="s">
        <v>4909</v>
      </c>
      <c r="E8389" t="s">
        <v>4909</v>
      </c>
      <c r="F8389" t="s">
        <v>4909</v>
      </c>
      <c r="G8389" s="88">
        <v>0</v>
      </c>
      <c r="H8389" t="s">
        <v>4909</v>
      </c>
      <c r="I8389" t="s">
        <v>4909</v>
      </c>
      <c r="J8389" t="s">
        <v>4909</v>
      </c>
      <c r="K8389" t="s">
        <v>4909</v>
      </c>
    </row>
    <row r="8390" spans="1:11" x14ac:dyDescent="0.2">
      <c r="A8390" t="s">
        <v>4371</v>
      </c>
      <c r="B8390" t="s">
        <v>4909</v>
      </c>
      <c r="C8390" t="s">
        <v>4909</v>
      </c>
      <c r="D8390" t="s">
        <v>4909</v>
      </c>
      <c r="E8390" t="s">
        <v>4909</v>
      </c>
      <c r="F8390" t="s">
        <v>4909</v>
      </c>
      <c r="G8390" t="s">
        <v>4909</v>
      </c>
      <c r="H8390" t="s">
        <v>4909</v>
      </c>
      <c r="I8390" t="s">
        <v>4909</v>
      </c>
      <c r="J8390" t="s">
        <v>4909</v>
      </c>
      <c r="K8390" t="s">
        <v>4909</v>
      </c>
    </row>
    <row r="8391" spans="1:11" x14ac:dyDescent="0.2">
      <c r="A8391" t="s">
        <v>4372</v>
      </c>
      <c r="B8391" t="s">
        <v>4909</v>
      </c>
      <c r="C8391" t="s">
        <v>4909</v>
      </c>
      <c r="D8391" t="s">
        <v>4909</v>
      </c>
      <c r="E8391" t="s">
        <v>4909</v>
      </c>
      <c r="F8391" t="s">
        <v>4909</v>
      </c>
      <c r="G8391" t="s">
        <v>4909</v>
      </c>
      <c r="H8391" t="s">
        <v>4909</v>
      </c>
      <c r="I8391" t="s">
        <v>4909</v>
      </c>
      <c r="J8391" t="s">
        <v>4909</v>
      </c>
      <c r="K8391" t="s">
        <v>4909</v>
      </c>
    </row>
    <row r="8392" spans="1:11" x14ac:dyDescent="0.2">
      <c r="A8392" t="s">
        <v>4373</v>
      </c>
      <c r="B8392" s="88">
        <v>0</v>
      </c>
      <c r="C8392" s="88">
        <v>0</v>
      </c>
      <c r="D8392" s="88">
        <v>0</v>
      </c>
      <c r="E8392" t="s">
        <v>4909</v>
      </c>
      <c r="F8392" s="88">
        <v>0</v>
      </c>
      <c r="G8392" s="88">
        <v>0</v>
      </c>
      <c r="H8392" s="88">
        <v>0</v>
      </c>
      <c r="I8392" t="s">
        <v>4909</v>
      </c>
      <c r="J8392" t="s">
        <v>4909</v>
      </c>
      <c r="K8392" s="88">
        <v>0</v>
      </c>
    </row>
    <row r="8393" spans="1:11" x14ac:dyDescent="0.2">
      <c r="A8393" t="s">
        <v>4374</v>
      </c>
      <c r="B8393" s="88">
        <v>0</v>
      </c>
      <c r="C8393" s="88">
        <v>0</v>
      </c>
      <c r="D8393" s="88">
        <v>0</v>
      </c>
      <c r="E8393" t="s">
        <v>4909</v>
      </c>
      <c r="F8393" s="88">
        <v>0</v>
      </c>
      <c r="G8393" s="88">
        <v>0</v>
      </c>
      <c r="H8393" s="88">
        <v>0</v>
      </c>
      <c r="I8393" t="s">
        <v>4909</v>
      </c>
      <c r="J8393" t="s">
        <v>4909</v>
      </c>
      <c r="K8393" t="s">
        <v>4909</v>
      </c>
    </row>
    <row r="8394" spans="1:11" x14ac:dyDescent="0.2">
      <c r="A8394" t="s">
        <v>4375</v>
      </c>
      <c r="B8394" s="88">
        <v>0</v>
      </c>
      <c r="C8394" s="88">
        <v>0</v>
      </c>
      <c r="D8394" s="88">
        <v>0</v>
      </c>
      <c r="E8394" t="s">
        <v>4909</v>
      </c>
      <c r="F8394" s="88">
        <v>0</v>
      </c>
      <c r="G8394" s="88">
        <v>0</v>
      </c>
      <c r="H8394" s="88">
        <v>0</v>
      </c>
      <c r="I8394" t="s">
        <v>4909</v>
      </c>
      <c r="J8394" t="s">
        <v>4909</v>
      </c>
      <c r="K8394" s="88">
        <v>0</v>
      </c>
    </row>
    <row r="8395" spans="1:11" x14ac:dyDescent="0.2">
      <c r="A8395" t="s">
        <v>4376</v>
      </c>
      <c r="B8395" s="88">
        <v>0</v>
      </c>
      <c r="C8395" s="88">
        <v>0</v>
      </c>
      <c r="D8395" s="88">
        <v>0</v>
      </c>
      <c r="E8395" t="s">
        <v>4909</v>
      </c>
      <c r="F8395" t="s">
        <v>4909</v>
      </c>
      <c r="G8395" s="88">
        <v>0</v>
      </c>
      <c r="H8395" t="s">
        <v>4909</v>
      </c>
      <c r="I8395" t="s">
        <v>4909</v>
      </c>
      <c r="J8395" t="s">
        <v>4909</v>
      </c>
      <c r="K8395" t="s">
        <v>4909</v>
      </c>
    </row>
    <row r="8396" spans="1:11" x14ac:dyDescent="0.2">
      <c r="A8396" t="s">
        <v>4377</v>
      </c>
      <c r="B8396" s="88">
        <v>0</v>
      </c>
      <c r="C8396" s="88">
        <v>0</v>
      </c>
      <c r="D8396" s="88">
        <v>0</v>
      </c>
      <c r="E8396" t="s">
        <v>4909</v>
      </c>
      <c r="F8396" s="88">
        <v>0</v>
      </c>
      <c r="G8396" s="88">
        <v>0</v>
      </c>
      <c r="H8396" s="88">
        <v>0</v>
      </c>
      <c r="I8396" t="s">
        <v>4909</v>
      </c>
      <c r="J8396" t="s">
        <v>4909</v>
      </c>
      <c r="K8396" s="88">
        <v>0</v>
      </c>
    </row>
    <row r="8397" spans="1:11" x14ac:dyDescent="0.2">
      <c r="A8397" t="s">
        <v>2318</v>
      </c>
      <c r="B8397" t="s">
        <v>4399</v>
      </c>
      <c r="C8397" t="s">
        <v>4399</v>
      </c>
      <c r="D8397" t="s">
        <v>4399</v>
      </c>
      <c r="E8397" t="s">
        <v>4399</v>
      </c>
      <c r="F8397" t="s">
        <v>4399</v>
      </c>
      <c r="G8397" t="s">
        <v>4399</v>
      </c>
      <c r="H8397" t="s">
        <v>4399</v>
      </c>
      <c r="I8397" t="s">
        <v>4399</v>
      </c>
      <c r="J8397" t="s">
        <v>4399</v>
      </c>
      <c r="K8397" t="s">
        <v>4399</v>
      </c>
    </row>
    <row r="8398" spans="1:11" x14ac:dyDescent="0.2">
      <c r="A8398" t="s">
        <v>4248</v>
      </c>
    </row>
    <row r="8399" spans="1:11" x14ac:dyDescent="0.2">
      <c r="A8399" t="s">
        <v>4910</v>
      </c>
      <c r="B8399" t="s">
        <v>4904</v>
      </c>
      <c r="C8399" t="s">
        <v>4911</v>
      </c>
      <c r="D8399" t="s">
        <v>4912</v>
      </c>
      <c r="E8399" t="s">
        <v>4907</v>
      </c>
      <c r="F8399" t="s">
        <v>4913</v>
      </c>
      <c r="G8399">
        <v>17</v>
      </c>
    </row>
    <row r="8400" spans="1:11" x14ac:dyDescent="0.2">
      <c r="A8400" t="s">
        <v>2318</v>
      </c>
      <c r="B8400" t="s">
        <v>4399</v>
      </c>
      <c r="C8400" t="s">
        <v>4399</v>
      </c>
      <c r="D8400" t="s">
        <v>4399</v>
      </c>
      <c r="E8400" t="s">
        <v>4399</v>
      </c>
      <c r="F8400" t="s">
        <v>4399</v>
      </c>
      <c r="G8400" t="s">
        <v>4399</v>
      </c>
      <c r="H8400" t="s">
        <v>4399</v>
      </c>
      <c r="I8400" t="s">
        <v>4399</v>
      </c>
      <c r="J8400" t="s">
        <v>4399</v>
      </c>
      <c r="K8400" t="s">
        <v>4399</v>
      </c>
    </row>
    <row r="8401" spans="1:11" x14ac:dyDescent="0.2">
      <c r="A8401" t="s">
        <v>126</v>
      </c>
      <c r="B8401" t="s">
        <v>4542</v>
      </c>
      <c r="C8401" t="s">
        <v>4546</v>
      </c>
      <c r="D8401" t="s">
        <v>4550</v>
      </c>
      <c r="E8401" t="s">
        <v>4554</v>
      </c>
      <c r="F8401" t="s">
        <v>4558</v>
      </c>
      <c r="G8401" t="s">
        <v>4562</v>
      </c>
      <c r="H8401" t="s">
        <v>4565</v>
      </c>
      <c r="I8401" t="s">
        <v>4568</v>
      </c>
      <c r="J8401" t="s">
        <v>4572</v>
      </c>
      <c r="K8401" t="s">
        <v>4576</v>
      </c>
    </row>
    <row r="8402" spans="1:11" x14ac:dyDescent="0.2">
      <c r="A8402" t="s">
        <v>2318</v>
      </c>
      <c r="B8402" t="s">
        <v>4399</v>
      </c>
      <c r="C8402" t="s">
        <v>4399</v>
      </c>
      <c r="D8402" t="s">
        <v>4399</v>
      </c>
      <c r="E8402" t="s">
        <v>4399</v>
      </c>
      <c r="F8402" t="s">
        <v>4399</v>
      </c>
      <c r="G8402" t="s">
        <v>4399</v>
      </c>
      <c r="H8402" t="s">
        <v>4399</v>
      </c>
      <c r="I8402" t="s">
        <v>4399</v>
      </c>
      <c r="J8402" t="s">
        <v>4399</v>
      </c>
      <c r="K8402" t="s">
        <v>4399</v>
      </c>
    </row>
    <row r="8403" spans="1:11" x14ac:dyDescent="0.2">
      <c r="A8403" t="s">
        <v>4265</v>
      </c>
      <c r="B8403" t="s">
        <v>4909</v>
      </c>
      <c r="C8403" t="s">
        <v>4909</v>
      </c>
      <c r="D8403" t="s">
        <v>4909</v>
      </c>
      <c r="E8403" t="s">
        <v>4909</v>
      </c>
      <c r="F8403" t="s">
        <v>4909</v>
      </c>
      <c r="G8403" t="s">
        <v>4909</v>
      </c>
      <c r="H8403" t="s">
        <v>4909</v>
      </c>
      <c r="I8403" t="s">
        <v>4909</v>
      </c>
      <c r="J8403" t="s">
        <v>4909</v>
      </c>
      <c r="K8403" t="s">
        <v>4909</v>
      </c>
    </row>
    <row r="8404" spans="1:11" x14ac:dyDescent="0.2">
      <c r="A8404" t="s">
        <v>4266</v>
      </c>
      <c r="B8404" t="s">
        <v>4909</v>
      </c>
      <c r="C8404" t="s">
        <v>4909</v>
      </c>
      <c r="D8404" t="s">
        <v>4909</v>
      </c>
      <c r="E8404" t="s">
        <v>4909</v>
      </c>
      <c r="F8404" t="s">
        <v>4909</v>
      </c>
      <c r="G8404" t="s">
        <v>4909</v>
      </c>
      <c r="H8404" t="s">
        <v>4909</v>
      </c>
      <c r="I8404" t="s">
        <v>4909</v>
      </c>
      <c r="J8404" t="s">
        <v>4909</v>
      </c>
      <c r="K8404" t="s">
        <v>4909</v>
      </c>
    </row>
    <row r="8405" spans="1:11" x14ac:dyDescent="0.2">
      <c r="A8405" t="s">
        <v>4267</v>
      </c>
      <c r="B8405" s="88">
        <v>2E-3</v>
      </c>
      <c r="C8405" t="s">
        <v>4909</v>
      </c>
      <c r="D8405" t="s">
        <v>4909</v>
      </c>
      <c r="E8405" s="88">
        <v>3.0000000000000001E-3</v>
      </c>
      <c r="F8405" s="88">
        <v>1.7000000000000001E-2</v>
      </c>
      <c r="G8405" s="88">
        <v>4.8000000000000001E-2</v>
      </c>
      <c r="H8405" s="88">
        <v>7.0000000000000001E-3</v>
      </c>
      <c r="I8405" s="88">
        <v>2.1999999999999999E-2</v>
      </c>
      <c r="J8405" s="88">
        <v>1E-3</v>
      </c>
      <c r="K8405" t="s">
        <v>4909</v>
      </c>
    </row>
    <row r="8406" spans="1:11" x14ac:dyDescent="0.2">
      <c r="A8406" t="s">
        <v>4268</v>
      </c>
      <c r="B8406" t="s">
        <v>4909</v>
      </c>
      <c r="C8406" t="s">
        <v>4909</v>
      </c>
      <c r="D8406" t="s">
        <v>4909</v>
      </c>
      <c r="E8406" t="s">
        <v>4909</v>
      </c>
      <c r="F8406" s="88">
        <v>8.0000000000000002E-3</v>
      </c>
      <c r="G8406" s="88">
        <v>2.5000000000000001E-2</v>
      </c>
      <c r="H8406" s="88">
        <v>4.0000000000000001E-3</v>
      </c>
      <c r="I8406" s="88">
        <v>1.2999999999999999E-2</v>
      </c>
      <c r="J8406" t="s">
        <v>4909</v>
      </c>
      <c r="K8406" t="s">
        <v>4909</v>
      </c>
    </row>
    <row r="8407" spans="1:11" x14ac:dyDescent="0.2">
      <c r="A8407" t="s">
        <v>4269</v>
      </c>
      <c r="B8407" s="88">
        <v>1E-3</v>
      </c>
      <c r="C8407" t="s">
        <v>4909</v>
      </c>
      <c r="D8407" t="s">
        <v>4909</v>
      </c>
      <c r="E8407" s="88">
        <v>2E-3</v>
      </c>
      <c r="F8407" s="88">
        <v>2.3E-2</v>
      </c>
      <c r="G8407" s="88">
        <v>6.4000000000000001E-2</v>
      </c>
      <c r="H8407" s="88">
        <v>0.01</v>
      </c>
      <c r="I8407" s="88">
        <v>3.1E-2</v>
      </c>
      <c r="J8407" s="88">
        <v>2E-3</v>
      </c>
      <c r="K8407" t="s">
        <v>4909</v>
      </c>
    </row>
    <row r="8408" spans="1:11" x14ac:dyDescent="0.2">
      <c r="A8408" t="s">
        <v>4270</v>
      </c>
      <c r="B8408" t="s">
        <v>4909</v>
      </c>
      <c r="C8408" t="s">
        <v>4909</v>
      </c>
      <c r="D8408" t="s">
        <v>4909</v>
      </c>
      <c r="E8408" t="s">
        <v>4909</v>
      </c>
      <c r="F8408" s="88">
        <v>1.4999999999999999E-2</v>
      </c>
      <c r="G8408" s="88">
        <v>3.6999999999999998E-2</v>
      </c>
      <c r="H8408" s="88">
        <v>1.7999999999999999E-2</v>
      </c>
      <c r="I8408" s="88">
        <v>0.06</v>
      </c>
      <c r="J8408" t="s">
        <v>4909</v>
      </c>
      <c r="K8408" t="s">
        <v>4909</v>
      </c>
    </row>
    <row r="8409" spans="1:11" x14ac:dyDescent="0.2">
      <c r="A8409" t="s">
        <v>4271</v>
      </c>
      <c r="B8409" t="s">
        <v>4909</v>
      </c>
      <c r="C8409" t="s">
        <v>4909</v>
      </c>
      <c r="D8409" t="s">
        <v>4909</v>
      </c>
      <c r="E8409" t="s">
        <v>4909</v>
      </c>
      <c r="F8409" s="88">
        <v>1.6E-2</v>
      </c>
      <c r="G8409" s="88">
        <v>4.5999999999999999E-2</v>
      </c>
      <c r="H8409" s="88">
        <v>6.0000000000000001E-3</v>
      </c>
      <c r="I8409" s="88">
        <v>2.1000000000000001E-2</v>
      </c>
      <c r="J8409" s="88">
        <v>1E-3</v>
      </c>
      <c r="K8409" t="s">
        <v>4909</v>
      </c>
    </row>
    <row r="8410" spans="1:11" x14ac:dyDescent="0.2">
      <c r="A8410" t="s">
        <v>4272</v>
      </c>
      <c r="B8410" s="88">
        <v>0</v>
      </c>
      <c r="C8410" t="s">
        <v>4909</v>
      </c>
      <c r="D8410" t="s">
        <v>4909</v>
      </c>
      <c r="E8410" s="88">
        <v>1E-3</v>
      </c>
      <c r="F8410" s="88">
        <v>1.9E-2</v>
      </c>
      <c r="G8410" s="88">
        <v>5.6000000000000001E-2</v>
      </c>
      <c r="H8410" s="88">
        <v>1.0999999999999999E-2</v>
      </c>
      <c r="I8410" s="88">
        <v>0.03</v>
      </c>
      <c r="J8410" s="88">
        <v>2E-3</v>
      </c>
      <c r="K8410" t="s">
        <v>4909</v>
      </c>
    </row>
    <row r="8411" spans="1:11" x14ac:dyDescent="0.2">
      <c r="A8411" t="s">
        <v>4273</v>
      </c>
      <c r="B8411" t="s">
        <v>4909</v>
      </c>
      <c r="C8411" t="s">
        <v>4909</v>
      </c>
      <c r="D8411" t="s">
        <v>4909</v>
      </c>
      <c r="E8411" t="s">
        <v>4909</v>
      </c>
      <c r="F8411" t="s">
        <v>4909</v>
      </c>
      <c r="G8411" t="s">
        <v>4909</v>
      </c>
      <c r="H8411" t="s">
        <v>4909</v>
      </c>
      <c r="I8411" t="s">
        <v>4909</v>
      </c>
      <c r="J8411" t="s">
        <v>4909</v>
      </c>
      <c r="K8411" t="s">
        <v>4909</v>
      </c>
    </row>
    <row r="8412" spans="1:11" x14ac:dyDescent="0.2">
      <c r="A8412" t="s">
        <v>4274</v>
      </c>
      <c r="B8412" t="s">
        <v>4909</v>
      </c>
      <c r="C8412" t="s">
        <v>4909</v>
      </c>
      <c r="D8412" t="s">
        <v>4909</v>
      </c>
      <c r="E8412" t="s">
        <v>4909</v>
      </c>
      <c r="F8412" t="s">
        <v>4909</v>
      </c>
      <c r="G8412" t="s">
        <v>4909</v>
      </c>
      <c r="H8412" t="s">
        <v>4909</v>
      </c>
      <c r="I8412" t="s">
        <v>4909</v>
      </c>
      <c r="J8412" t="s">
        <v>4909</v>
      </c>
      <c r="K8412" t="s">
        <v>4909</v>
      </c>
    </row>
    <row r="8413" spans="1:11" x14ac:dyDescent="0.2">
      <c r="A8413" t="s">
        <v>4275</v>
      </c>
      <c r="B8413" t="s">
        <v>4909</v>
      </c>
      <c r="C8413" t="s">
        <v>4909</v>
      </c>
      <c r="D8413" t="s">
        <v>4909</v>
      </c>
      <c r="E8413" t="s">
        <v>4909</v>
      </c>
      <c r="F8413" t="s">
        <v>4909</v>
      </c>
      <c r="G8413" t="s">
        <v>4909</v>
      </c>
      <c r="H8413" t="s">
        <v>4909</v>
      </c>
      <c r="I8413" t="s">
        <v>4909</v>
      </c>
      <c r="J8413" t="s">
        <v>4909</v>
      </c>
      <c r="K8413" t="s">
        <v>4909</v>
      </c>
    </row>
    <row r="8414" spans="1:11" x14ac:dyDescent="0.2">
      <c r="A8414" t="s">
        <v>4276</v>
      </c>
      <c r="B8414" t="s">
        <v>4909</v>
      </c>
      <c r="C8414" t="s">
        <v>4909</v>
      </c>
      <c r="D8414" t="s">
        <v>4909</v>
      </c>
      <c r="E8414" t="s">
        <v>4909</v>
      </c>
      <c r="F8414" t="s">
        <v>4909</v>
      </c>
      <c r="G8414" t="s">
        <v>4909</v>
      </c>
      <c r="H8414" t="s">
        <v>4909</v>
      </c>
      <c r="I8414" t="s">
        <v>4909</v>
      </c>
      <c r="J8414" t="s">
        <v>4909</v>
      </c>
      <c r="K8414" t="s">
        <v>4909</v>
      </c>
    </row>
    <row r="8415" spans="1:11" x14ac:dyDescent="0.2">
      <c r="A8415" t="s">
        <v>4277</v>
      </c>
      <c r="B8415" t="s">
        <v>4909</v>
      </c>
      <c r="C8415" t="s">
        <v>4909</v>
      </c>
      <c r="D8415" t="s">
        <v>4909</v>
      </c>
      <c r="E8415" t="s">
        <v>4909</v>
      </c>
      <c r="F8415" t="s">
        <v>4909</v>
      </c>
      <c r="G8415" t="s">
        <v>4909</v>
      </c>
      <c r="H8415" t="s">
        <v>4909</v>
      </c>
      <c r="I8415" t="s">
        <v>4909</v>
      </c>
      <c r="J8415" t="s">
        <v>4909</v>
      </c>
      <c r="K8415" t="s">
        <v>4909</v>
      </c>
    </row>
    <row r="8416" spans="1:11" x14ac:dyDescent="0.2">
      <c r="A8416" t="s">
        <v>4278</v>
      </c>
      <c r="B8416" t="s">
        <v>4909</v>
      </c>
      <c r="C8416" t="s">
        <v>4909</v>
      </c>
      <c r="D8416" t="s">
        <v>4909</v>
      </c>
      <c r="E8416" t="s">
        <v>4909</v>
      </c>
      <c r="F8416" t="s">
        <v>4909</v>
      </c>
      <c r="G8416" t="s">
        <v>4909</v>
      </c>
      <c r="H8416" t="s">
        <v>4909</v>
      </c>
      <c r="I8416" t="s">
        <v>4909</v>
      </c>
      <c r="J8416" t="s">
        <v>4909</v>
      </c>
      <c r="K8416" t="s">
        <v>4909</v>
      </c>
    </row>
    <row r="8417" spans="1:11" x14ac:dyDescent="0.2">
      <c r="A8417" t="s">
        <v>4279</v>
      </c>
      <c r="B8417" s="88">
        <v>2E-3</v>
      </c>
      <c r="C8417" t="s">
        <v>4909</v>
      </c>
      <c r="D8417" t="s">
        <v>4909</v>
      </c>
      <c r="E8417" s="88">
        <v>2E-3</v>
      </c>
      <c r="F8417" s="88">
        <v>3.4000000000000002E-2</v>
      </c>
      <c r="G8417" s="88">
        <v>9.5000000000000001E-2</v>
      </c>
      <c r="H8417" s="88">
        <v>1.4999999999999999E-2</v>
      </c>
      <c r="I8417" s="88">
        <v>4.3999999999999997E-2</v>
      </c>
      <c r="J8417" s="88">
        <v>4.0000000000000001E-3</v>
      </c>
      <c r="K8417" t="s">
        <v>4909</v>
      </c>
    </row>
    <row r="8418" spans="1:11" x14ac:dyDescent="0.2">
      <c r="A8418" t="s">
        <v>4280</v>
      </c>
      <c r="B8418" t="s">
        <v>4909</v>
      </c>
      <c r="C8418" t="s">
        <v>4909</v>
      </c>
      <c r="D8418" t="s">
        <v>4909</v>
      </c>
      <c r="E8418" t="s">
        <v>4909</v>
      </c>
      <c r="F8418" s="88">
        <v>4.5999999999999999E-2</v>
      </c>
      <c r="G8418" s="88">
        <v>0.13</v>
      </c>
      <c r="H8418" s="88">
        <v>3.7999999999999999E-2</v>
      </c>
      <c r="I8418" s="88">
        <v>8.4000000000000005E-2</v>
      </c>
      <c r="J8418" t="s">
        <v>4909</v>
      </c>
      <c r="K8418" t="s">
        <v>4909</v>
      </c>
    </row>
    <row r="8419" spans="1:11" x14ac:dyDescent="0.2">
      <c r="A8419" t="s">
        <v>4281</v>
      </c>
      <c r="B8419" s="88">
        <v>1.7000000000000001E-2</v>
      </c>
      <c r="C8419" t="s">
        <v>4909</v>
      </c>
      <c r="D8419" s="88">
        <v>1E-3</v>
      </c>
      <c r="E8419" s="88">
        <v>7.6999999999999999E-2</v>
      </c>
      <c r="F8419" s="88">
        <v>2.5999999999999999E-2</v>
      </c>
      <c r="G8419" s="88">
        <v>0.28999999999999998</v>
      </c>
      <c r="H8419" s="88">
        <v>8.9999999999999993E-3</v>
      </c>
      <c r="I8419" s="88">
        <v>0.1</v>
      </c>
      <c r="J8419" s="88">
        <v>2E-3</v>
      </c>
      <c r="K8419" t="s">
        <v>4909</v>
      </c>
    </row>
    <row r="8420" spans="1:11" x14ac:dyDescent="0.2">
      <c r="A8420" t="s">
        <v>4282</v>
      </c>
      <c r="B8420" s="88">
        <v>4.2999999999999997E-2</v>
      </c>
      <c r="C8420" t="s">
        <v>4909</v>
      </c>
      <c r="D8420" s="88">
        <v>3.0000000000000001E-3</v>
      </c>
      <c r="E8420" s="88">
        <v>5.2999999999999999E-2</v>
      </c>
      <c r="F8420" s="88">
        <v>6.2E-2</v>
      </c>
      <c r="G8420" s="88">
        <v>0.17299999999999999</v>
      </c>
      <c r="H8420" s="88">
        <v>1.7999999999999999E-2</v>
      </c>
      <c r="I8420" s="88">
        <v>5.1999999999999998E-2</v>
      </c>
      <c r="J8420" s="88">
        <v>6.0000000000000001E-3</v>
      </c>
      <c r="K8420" t="s">
        <v>4909</v>
      </c>
    </row>
    <row r="8421" spans="1:11" x14ac:dyDescent="0.2">
      <c r="A8421" t="s">
        <v>4283</v>
      </c>
      <c r="B8421" s="88">
        <v>5.0000000000000001E-3</v>
      </c>
      <c r="C8421" t="s">
        <v>4909</v>
      </c>
      <c r="D8421" s="88">
        <v>0</v>
      </c>
      <c r="E8421" s="88">
        <v>2.9000000000000001E-2</v>
      </c>
      <c r="F8421" s="88">
        <v>2.5000000000000001E-2</v>
      </c>
      <c r="G8421" s="88">
        <v>0.26400000000000001</v>
      </c>
      <c r="H8421" s="88">
        <v>8.0000000000000002E-3</v>
      </c>
      <c r="I8421" s="88">
        <v>9.8000000000000004E-2</v>
      </c>
      <c r="J8421" s="88">
        <v>2E-3</v>
      </c>
      <c r="K8421" t="s">
        <v>4909</v>
      </c>
    </row>
    <row r="8422" spans="1:11" x14ac:dyDescent="0.2">
      <c r="A8422" t="s">
        <v>4284</v>
      </c>
      <c r="B8422" s="88">
        <v>1.6E-2</v>
      </c>
      <c r="C8422" t="s">
        <v>4909</v>
      </c>
      <c r="D8422" s="88">
        <v>0</v>
      </c>
      <c r="E8422" s="88">
        <v>0.02</v>
      </c>
      <c r="F8422" s="88">
        <v>6.0999999999999999E-2</v>
      </c>
      <c r="G8422" s="88">
        <v>0.17100000000000001</v>
      </c>
      <c r="H8422" s="88">
        <v>1.7000000000000001E-2</v>
      </c>
      <c r="I8422" s="88">
        <v>4.8000000000000001E-2</v>
      </c>
      <c r="J8422" s="88">
        <v>6.0000000000000001E-3</v>
      </c>
      <c r="K8422" t="s">
        <v>4909</v>
      </c>
    </row>
    <row r="8423" spans="1:11" x14ac:dyDescent="0.2">
      <c r="A8423" t="s">
        <v>4285</v>
      </c>
      <c r="B8423" s="88">
        <v>1.2999999999999999E-2</v>
      </c>
      <c r="C8423" t="s">
        <v>4909</v>
      </c>
      <c r="D8423" s="88">
        <v>0</v>
      </c>
      <c r="E8423" s="88">
        <v>7.4999999999999997E-2</v>
      </c>
      <c r="F8423" s="88">
        <v>2.4E-2</v>
      </c>
      <c r="G8423" s="88">
        <v>0.26600000000000001</v>
      </c>
      <c r="H8423" s="88">
        <v>8.0000000000000002E-3</v>
      </c>
      <c r="I8423" s="88">
        <v>8.4000000000000005E-2</v>
      </c>
      <c r="J8423" s="88">
        <v>2E-3</v>
      </c>
      <c r="K8423" t="s">
        <v>4909</v>
      </c>
    </row>
    <row r="8424" spans="1:11" x14ac:dyDescent="0.2">
      <c r="A8424" t="s">
        <v>4286</v>
      </c>
      <c r="B8424" s="88">
        <v>5.7000000000000002E-2</v>
      </c>
      <c r="C8424" t="s">
        <v>4909</v>
      </c>
      <c r="D8424" s="88">
        <v>4.0000000000000001E-3</v>
      </c>
      <c r="E8424" s="88">
        <v>7.1999999999999995E-2</v>
      </c>
      <c r="F8424" s="88">
        <v>5.6000000000000001E-2</v>
      </c>
      <c r="G8424" s="88">
        <v>0.155</v>
      </c>
      <c r="H8424" s="88">
        <v>1.9E-2</v>
      </c>
      <c r="I8424" s="88">
        <v>5.0999999999999997E-2</v>
      </c>
      <c r="J8424" s="88">
        <v>5.0000000000000001E-3</v>
      </c>
      <c r="K8424" t="s">
        <v>4909</v>
      </c>
    </row>
    <row r="8425" spans="1:11" x14ac:dyDescent="0.2">
      <c r="A8425" t="s">
        <v>4287</v>
      </c>
      <c r="B8425" s="88">
        <v>8.0000000000000002E-3</v>
      </c>
      <c r="C8425" t="s">
        <v>4909</v>
      </c>
      <c r="D8425" s="88">
        <v>0</v>
      </c>
      <c r="E8425" s="88">
        <v>3.9E-2</v>
      </c>
      <c r="F8425" s="88">
        <v>4.5999999999999999E-2</v>
      </c>
      <c r="G8425" s="88">
        <v>0.48</v>
      </c>
      <c r="H8425" s="88">
        <v>2.1000000000000001E-2</v>
      </c>
      <c r="I8425" s="88">
        <v>0.22</v>
      </c>
      <c r="J8425" s="88">
        <v>5.0000000000000001E-3</v>
      </c>
      <c r="K8425" t="s">
        <v>4909</v>
      </c>
    </row>
    <row r="8426" spans="1:11" x14ac:dyDescent="0.2">
      <c r="A8426" t="s">
        <v>4288</v>
      </c>
      <c r="B8426" t="s">
        <v>4909</v>
      </c>
      <c r="C8426" t="s">
        <v>4909</v>
      </c>
      <c r="D8426" t="s">
        <v>4909</v>
      </c>
      <c r="E8426" t="s">
        <v>4909</v>
      </c>
      <c r="F8426" s="88">
        <v>0.23599999999999999</v>
      </c>
      <c r="G8426" s="88">
        <v>0.52300000000000002</v>
      </c>
      <c r="H8426" s="88">
        <v>2.3E-2</v>
      </c>
      <c r="I8426" s="88">
        <v>4.7E-2</v>
      </c>
      <c r="J8426" s="88">
        <v>2.5000000000000001E-2</v>
      </c>
      <c r="K8426" t="s">
        <v>4909</v>
      </c>
    </row>
    <row r="8427" spans="1:11" x14ac:dyDescent="0.2">
      <c r="A8427" t="s">
        <v>4289</v>
      </c>
      <c r="B8427" t="s">
        <v>4909</v>
      </c>
      <c r="C8427" t="s">
        <v>4909</v>
      </c>
      <c r="D8427" t="s">
        <v>4909</v>
      </c>
      <c r="E8427" t="s">
        <v>4909</v>
      </c>
      <c r="F8427" s="88">
        <v>0.108</v>
      </c>
      <c r="G8427" s="88">
        <v>0.24</v>
      </c>
      <c r="H8427" s="88">
        <v>1.6E-2</v>
      </c>
      <c r="I8427" s="88">
        <v>3.3000000000000002E-2</v>
      </c>
      <c r="J8427" s="88">
        <v>1.0999999999999999E-2</v>
      </c>
      <c r="K8427" t="s">
        <v>4909</v>
      </c>
    </row>
    <row r="8428" spans="1:11" x14ac:dyDescent="0.2">
      <c r="A8428" t="s">
        <v>4290</v>
      </c>
      <c r="B8428" t="s">
        <v>4909</v>
      </c>
      <c r="C8428" t="s">
        <v>4909</v>
      </c>
      <c r="D8428" t="s">
        <v>4909</v>
      </c>
      <c r="E8428" t="s">
        <v>4909</v>
      </c>
      <c r="F8428" s="88">
        <v>5.0999999999999997E-2</v>
      </c>
      <c r="G8428" s="88">
        <v>0.114</v>
      </c>
      <c r="H8428" s="88">
        <v>0.25900000000000001</v>
      </c>
      <c r="I8428" s="88">
        <v>0.53</v>
      </c>
      <c r="J8428" t="s">
        <v>4909</v>
      </c>
      <c r="K8428" t="s">
        <v>4909</v>
      </c>
    </row>
    <row r="8429" spans="1:11" x14ac:dyDescent="0.2">
      <c r="A8429" t="s">
        <v>4291</v>
      </c>
      <c r="B8429" t="s">
        <v>4909</v>
      </c>
      <c r="C8429" t="s">
        <v>4909</v>
      </c>
      <c r="D8429" t="s">
        <v>4909</v>
      </c>
      <c r="E8429" t="s">
        <v>4909</v>
      </c>
      <c r="F8429" s="88">
        <v>0.311</v>
      </c>
      <c r="G8429" s="88">
        <v>0.68799999999999994</v>
      </c>
      <c r="H8429" t="s">
        <v>4909</v>
      </c>
      <c r="I8429" t="s">
        <v>4909</v>
      </c>
      <c r="J8429" t="s">
        <v>4909</v>
      </c>
      <c r="K8429" t="s">
        <v>4909</v>
      </c>
    </row>
    <row r="8430" spans="1:11" x14ac:dyDescent="0.2">
      <c r="A8430" t="s">
        <v>4292</v>
      </c>
      <c r="B8430" t="s">
        <v>4909</v>
      </c>
      <c r="C8430" t="s">
        <v>4909</v>
      </c>
      <c r="D8430" t="s">
        <v>4909</v>
      </c>
      <c r="E8430" t="s">
        <v>4909</v>
      </c>
      <c r="F8430" s="88">
        <v>0.253</v>
      </c>
      <c r="G8430" s="88">
        <v>0.56000000000000005</v>
      </c>
      <c r="H8430" t="s">
        <v>4909</v>
      </c>
      <c r="I8430" t="s">
        <v>4909</v>
      </c>
      <c r="J8430" t="s">
        <v>4909</v>
      </c>
      <c r="K8430" t="s">
        <v>4909</v>
      </c>
    </row>
    <row r="8431" spans="1:11" x14ac:dyDescent="0.2">
      <c r="A8431" t="s">
        <v>4293</v>
      </c>
      <c r="B8431" t="s">
        <v>4909</v>
      </c>
      <c r="C8431" t="s">
        <v>4909</v>
      </c>
      <c r="D8431" t="s">
        <v>4909</v>
      </c>
      <c r="E8431" t="s">
        <v>4909</v>
      </c>
      <c r="F8431" s="88">
        <v>0.28499999999999998</v>
      </c>
      <c r="G8431" s="88">
        <v>0.63100000000000001</v>
      </c>
      <c r="H8431" t="s">
        <v>4909</v>
      </c>
      <c r="I8431" t="s">
        <v>4909</v>
      </c>
      <c r="J8431" s="88">
        <v>8.3000000000000004E-2</v>
      </c>
      <c r="K8431" t="s">
        <v>4909</v>
      </c>
    </row>
    <row r="8432" spans="1:11" x14ac:dyDescent="0.2">
      <c r="A8432" t="s">
        <v>4294</v>
      </c>
      <c r="B8432" t="s">
        <v>4909</v>
      </c>
      <c r="C8432" t="s">
        <v>4909</v>
      </c>
      <c r="D8432" t="s">
        <v>4909</v>
      </c>
      <c r="E8432" t="s">
        <v>4909</v>
      </c>
      <c r="F8432" s="88">
        <v>0.159</v>
      </c>
      <c r="G8432" s="88">
        <v>0.35099999999999998</v>
      </c>
      <c r="H8432" t="s">
        <v>4909</v>
      </c>
      <c r="I8432" t="s">
        <v>4909</v>
      </c>
      <c r="J8432" t="s">
        <v>4909</v>
      </c>
      <c r="K8432" t="s">
        <v>4909</v>
      </c>
    </row>
    <row r="8433" spans="1:11" x14ac:dyDescent="0.2">
      <c r="A8433" t="s">
        <v>4295</v>
      </c>
      <c r="B8433" t="s">
        <v>4909</v>
      </c>
      <c r="C8433" t="s">
        <v>4909</v>
      </c>
      <c r="D8433" t="s">
        <v>4909</v>
      </c>
      <c r="E8433" t="s">
        <v>4909</v>
      </c>
      <c r="F8433" t="s">
        <v>4909</v>
      </c>
      <c r="G8433" t="s">
        <v>4909</v>
      </c>
      <c r="H8433" t="s">
        <v>4909</v>
      </c>
      <c r="I8433" t="s">
        <v>4909</v>
      </c>
      <c r="J8433" t="s">
        <v>4909</v>
      </c>
      <c r="K8433" t="s">
        <v>4909</v>
      </c>
    </row>
    <row r="8434" spans="1:11" x14ac:dyDescent="0.2">
      <c r="A8434" t="s">
        <v>4296</v>
      </c>
      <c r="B8434" t="s">
        <v>4909</v>
      </c>
      <c r="C8434" t="s">
        <v>4909</v>
      </c>
      <c r="D8434" t="s">
        <v>4909</v>
      </c>
      <c r="E8434" t="s">
        <v>4909</v>
      </c>
      <c r="F8434" t="s">
        <v>4909</v>
      </c>
      <c r="G8434" t="s">
        <v>4909</v>
      </c>
      <c r="H8434" t="s">
        <v>4909</v>
      </c>
      <c r="I8434" t="s">
        <v>4909</v>
      </c>
      <c r="J8434" t="s">
        <v>4909</v>
      </c>
      <c r="K8434" t="s">
        <v>4909</v>
      </c>
    </row>
    <row r="8435" spans="1:11" x14ac:dyDescent="0.2">
      <c r="A8435" t="s">
        <v>4297</v>
      </c>
      <c r="B8435" s="88">
        <v>8.9999999999999993E-3</v>
      </c>
      <c r="C8435" t="s">
        <v>4909</v>
      </c>
      <c r="D8435" s="88">
        <v>0</v>
      </c>
      <c r="E8435" s="88">
        <v>5.5E-2</v>
      </c>
      <c r="F8435" s="88">
        <v>2.1999999999999999E-2</v>
      </c>
      <c r="G8435" s="88">
        <v>0.28299999999999997</v>
      </c>
      <c r="H8435" s="88">
        <v>5.0000000000000001E-3</v>
      </c>
      <c r="I8435" s="88">
        <v>7.1999999999999995E-2</v>
      </c>
      <c r="J8435" s="88">
        <v>2E-3</v>
      </c>
      <c r="K8435" t="s">
        <v>4909</v>
      </c>
    </row>
    <row r="8436" spans="1:11" x14ac:dyDescent="0.2">
      <c r="A8436" t="s">
        <v>4298</v>
      </c>
      <c r="B8436" s="88">
        <v>2.5999999999999999E-2</v>
      </c>
      <c r="C8436" t="s">
        <v>4909</v>
      </c>
      <c r="D8436" s="88">
        <v>2E-3</v>
      </c>
      <c r="E8436" s="88">
        <v>8.5000000000000006E-2</v>
      </c>
      <c r="F8436" s="88">
        <v>2.4E-2</v>
      </c>
      <c r="G8436" s="88">
        <v>0.16900000000000001</v>
      </c>
      <c r="H8436" s="88">
        <v>6.0000000000000001E-3</v>
      </c>
      <c r="I8436" s="88">
        <v>4.2999999999999997E-2</v>
      </c>
      <c r="J8436" s="88">
        <v>2E-3</v>
      </c>
      <c r="K8436" t="s">
        <v>4909</v>
      </c>
    </row>
    <row r="8437" spans="1:11" x14ac:dyDescent="0.2">
      <c r="A8437" t="s">
        <v>4299</v>
      </c>
      <c r="B8437" s="88">
        <v>2.1999999999999999E-2</v>
      </c>
      <c r="C8437" t="s">
        <v>4909</v>
      </c>
      <c r="D8437" s="88">
        <v>1E-3</v>
      </c>
      <c r="E8437" s="88">
        <v>7.4999999999999997E-2</v>
      </c>
      <c r="F8437" s="88">
        <v>1.2999999999999999E-2</v>
      </c>
      <c r="G8437" s="88">
        <v>9.2999999999999999E-2</v>
      </c>
      <c r="H8437" s="88">
        <v>3.0000000000000001E-3</v>
      </c>
      <c r="I8437" s="88">
        <v>2.1999999999999999E-2</v>
      </c>
      <c r="J8437" s="88">
        <v>1E-3</v>
      </c>
      <c r="K8437" t="s">
        <v>4909</v>
      </c>
    </row>
    <row r="8438" spans="1:11" x14ac:dyDescent="0.2">
      <c r="A8438" t="s">
        <v>4300</v>
      </c>
      <c r="B8438" s="88">
        <v>6.7000000000000004E-2</v>
      </c>
      <c r="C8438" t="s">
        <v>4909</v>
      </c>
      <c r="D8438" s="88">
        <v>5.0000000000000001E-3</v>
      </c>
      <c r="E8438" s="88">
        <v>7.4999999999999997E-2</v>
      </c>
      <c r="F8438" s="88">
        <v>3.1E-2</v>
      </c>
      <c r="G8438" s="88">
        <v>7.9000000000000001E-2</v>
      </c>
      <c r="H8438" s="88">
        <v>8.0000000000000002E-3</v>
      </c>
      <c r="I8438" s="88">
        <v>2.1000000000000001E-2</v>
      </c>
      <c r="J8438" s="88">
        <v>3.0000000000000001E-3</v>
      </c>
      <c r="K8438" t="s">
        <v>4909</v>
      </c>
    </row>
    <row r="8439" spans="1:11" x14ac:dyDescent="0.2">
      <c r="A8439" t="s">
        <v>4301</v>
      </c>
      <c r="B8439" s="88">
        <v>1.4E-2</v>
      </c>
      <c r="C8439" t="s">
        <v>4909</v>
      </c>
      <c r="D8439" s="88">
        <v>1E-3</v>
      </c>
      <c r="E8439" s="88">
        <v>8.3000000000000004E-2</v>
      </c>
      <c r="F8439" s="88">
        <v>1.4E-2</v>
      </c>
      <c r="G8439" s="88">
        <v>0.18</v>
      </c>
      <c r="H8439" s="88">
        <v>4.0000000000000001E-3</v>
      </c>
      <c r="I8439" s="88">
        <v>5.1999999999999998E-2</v>
      </c>
      <c r="J8439" s="88">
        <v>1E-3</v>
      </c>
      <c r="K8439" t="s">
        <v>4909</v>
      </c>
    </row>
    <row r="8440" spans="1:11" x14ac:dyDescent="0.2">
      <c r="A8440" t="s">
        <v>4302</v>
      </c>
      <c r="B8440" s="88">
        <v>2.3E-2</v>
      </c>
      <c r="C8440" t="s">
        <v>4909</v>
      </c>
      <c r="D8440" s="88">
        <v>1E-3</v>
      </c>
      <c r="E8440" s="88">
        <v>0.06</v>
      </c>
      <c r="F8440" s="88">
        <v>1.6E-2</v>
      </c>
      <c r="G8440" s="88">
        <v>0.114</v>
      </c>
      <c r="H8440" s="88">
        <v>0</v>
      </c>
      <c r="I8440" s="88">
        <v>5.0000000000000001E-3</v>
      </c>
      <c r="J8440" s="88">
        <v>2E-3</v>
      </c>
      <c r="K8440" t="s">
        <v>4909</v>
      </c>
    </row>
    <row r="8441" spans="1:11" x14ac:dyDescent="0.2">
      <c r="A8441" t="s">
        <v>4303</v>
      </c>
      <c r="B8441" s="88">
        <v>0.03</v>
      </c>
      <c r="C8441" t="s">
        <v>4909</v>
      </c>
      <c r="D8441" s="88">
        <v>1E-3</v>
      </c>
      <c r="E8441" s="88">
        <v>3.5999999999999997E-2</v>
      </c>
      <c r="F8441" s="88">
        <v>0.03</v>
      </c>
      <c r="G8441" s="88">
        <v>7.6999999999999999E-2</v>
      </c>
      <c r="H8441" s="88">
        <v>1E-3</v>
      </c>
      <c r="I8441" s="88">
        <v>3.0000000000000001E-3</v>
      </c>
      <c r="J8441" s="88">
        <v>3.0000000000000001E-3</v>
      </c>
      <c r="K8441" t="s">
        <v>4909</v>
      </c>
    </row>
    <row r="8442" spans="1:11" x14ac:dyDescent="0.2">
      <c r="A8442" t="s">
        <v>4304</v>
      </c>
      <c r="B8442" s="88">
        <v>2E-3</v>
      </c>
      <c r="C8442" t="s">
        <v>4909</v>
      </c>
      <c r="D8442" t="s">
        <v>4909</v>
      </c>
      <c r="E8442" s="88">
        <v>1.4999999999999999E-2</v>
      </c>
      <c r="F8442" s="88">
        <v>8.9999999999999993E-3</v>
      </c>
      <c r="G8442" s="88">
        <v>0.124</v>
      </c>
      <c r="H8442" s="88">
        <v>0</v>
      </c>
      <c r="I8442" s="88">
        <v>1.2E-2</v>
      </c>
      <c r="J8442" s="88">
        <v>0</v>
      </c>
      <c r="K8442" t="s">
        <v>4909</v>
      </c>
    </row>
    <row r="8443" spans="1:11" x14ac:dyDescent="0.2">
      <c r="A8443" t="s">
        <v>4305</v>
      </c>
      <c r="B8443" s="88">
        <v>8.9999999999999993E-3</v>
      </c>
      <c r="C8443" t="s">
        <v>4909</v>
      </c>
      <c r="D8443" s="88">
        <v>0</v>
      </c>
      <c r="E8443" s="88">
        <v>5.7000000000000002E-2</v>
      </c>
      <c r="F8443" s="88">
        <v>2E-3</v>
      </c>
      <c r="G8443" s="88">
        <v>3.3000000000000002E-2</v>
      </c>
      <c r="H8443" s="88">
        <v>0</v>
      </c>
      <c r="I8443" s="88">
        <v>1E-3</v>
      </c>
      <c r="J8443" s="88">
        <v>0</v>
      </c>
      <c r="K8443" t="s">
        <v>4909</v>
      </c>
    </row>
    <row r="8444" spans="1:11" x14ac:dyDescent="0.2">
      <c r="A8444" t="s">
        <v>4306</v>
      </c>
      <c r="B8444" s="88">
        <v>1.2999999999999999E-2</v>
      </c>
      <c r="C8444" t="s">
        <v>4909</v>
      </c>
      <c r="D8444" s="88">
        <v>0</v>
      </c>
      <c r="E8444" s="88">
        <v>4.9000000000000002E-2</v>
      </c>
      <c r="F8444" s="88">
        <v>5.0000000000000001E-3</v>
      </c>
      <c r="G8444" s="88">
        <v>4.4999999999999998E-2</v>
      </c>
      <c r="H8444" s="88">
        <v>0</v>
      </c>
      <c r="I8444" s="88">
        <v>7.0000000000000001E-3</v>
      </c>
      <c r="J8444" t="s">
        <v>4909</v>
      </c>
      <c r="K8444" t="s">
        <v>4909</v>
      </c>
    </row>
    <row r="8445" spans="1:11" x14ac:dyDescent="0.2">
      <c r="A8445" t="s">
        <v>4307</v>
      </c>
      <c r="B8445" s="88">
        <v>2.5999999999999999E-2</v>
      </c>
      <c r="C8445" t="s">
        <v>4909</v>
      </c>
      <c r="D8445" s="88">
        <v>2E-3</v>
      </c>
      <c r="E8445" s="88">
        <v>0.03</v>
      </c>
      <c r="F8445" s="88">
        <v>1.2999999999999999E-2</v>
      </c>
      <c r="G8445" s="88">
        <v>3.4000000000000002E-2</v>
      </c>
      <c r="H8445" s="88">
        <v>2E-3</v>
      </c>
      <c r="I8445" s="88">
        <v>5.0000000000000001E-3</v>
      </c>
      <c r="J8445" s="88">
        <v>1E-3</v>
      </c>
      <c r="K8445" t="s">
        <v>4909</v>
      </c>
    </row>
    <row r="8446" spans="1:11" x14ac:dyDescent="0.2">
      <c r="A8446" t="s">
        <v>4308</v>
      </c>
      <c r="B8446" s="88">
        <v>1E-3</v>
      </c>
      <c r="C8446" t="s">
        <v>4909</v>
      </c>
      <c r="D8446" t="s">
        <v>4909</v>
      </c>
      <c r="E8446" s="88">
        <v>1E-3</v>
      </c>
      <c r="F8446" t="s">
        <v>4909</v>
      </c>
      <c r="G8446" s="88">
        <v>1E-3</v>
      </c>
      <c r="H8446" t="s">
        <v>4909</v>
      </c>
      <c r="I8446" t="s">
        <v>4909</v>
      </c>
      <c r="J8446" t="s">
        <v>4909</v>
      </c>
      <c r="K8446" t="s">
        <v>4909</v>
      </c>
    </row>
    <row r="8447" spans="1:11" x14ac:dyDescent="0.2">
      <c r="A8447" t="s">
        <v>4309</v>
      </c>
      <c r="B8447" s="88">
        <v>0.57299999999999995</v>
      </c>
      <c r="C8447" t="s">
        <v>4909</v>
      </c>
      <c r="D8447" s="88">
        <v>3.1E-2</v>
      </c>
      <c r="E8447" s="88">
        <v>0.39500000000000002</v>
      </c>
      <c r="F8447" t="s">
        <v>4909</v>
      </c>
      <c r="G8447" t="s">
        <v>4909</v>
      </c>
      <c r="H8447" t="s">
        <v>4909</v>
      </c>
      <c r="I8447" t="s">
        <v>4909</v>
      </c>
      <c r="J8447" t="s">
        <v>4909</v>
      </c>
      <c r="K8447" t="s">
        <v>4909</v>
      </c>
    </row>
    <row r="8448" spans="1:11" x14ac:dyDescent="0.2">
      <c r="A8448" t="s">
        <v>4310</v>
      </c>
      <c r="B8448" s="88">
        <v>0.49</v>
      </c>
      <c r="C8448" t="s">
        <v>4909</v>
      </c>
      <c r="D8448" s="88">
        <v>3.6999999999999998E-2</v>
      </c>
      <c r="E8448" s="88">
        <v>0.47099999999999997</v>
      </c>
      <c r="F8448" t="s">
        <v>4909</v>
      </c>
      <c r="G8448" t="s">
        <v>4909</v>
      </c>
      <c r="H8448" t="s">
        <v>4909</v>
      </c>
      <c r="I8448" t="s">
        <v>4909</v>
      </c>
      <c r="J8448" t="s">
        <v>4909</v>
      </c>
      <c r="K8448" t="s">
        <v>4909</v>
      </c>
    </row>
    <row r="8449" spans="1:11" x14ac:dyDescent="0.2">
      <c r="A8449" t="s">
        <v>4311</v>
      </c>
      <c r="B8449" s="88">
        <v>0.46600000000000003</v>
      </c>
      <c r="C8449" t="s">
        <v>4909</v>
      </c>
      <c r="D8449" s="88">
        <v>3.5999999999999997E-2</v>
      </c>
      <c r="E8449" s="88">
        <v>0.46500000000000002</v>
      </c>
      <c r="F8449" s="88">
        <v>0</v>
      </c>
      <c r="G8449" s="88">
        <v>1E-3</v>
      </c>
      <c r="H8449" s="88">
        <v>0</v>
      </c>
      <c r="I8449" s="88">
        <v>0</v>
      </c>
      <c r="J8449" s="88">
        <v>0</v>
      </c>
      <c r="K8449" t="s">
        <v>4909</v>
      </c>
    </row>
    <row r="8450" spans="1:11" x14ac:dyDescent="0.2">
      <c r="A8450" t="s">
        <v>4312</v>
      </c>
      <c r="B8450" s="88">
        <v>0</v>
      </c>
      <c r="C8450" t="s">
        <v>4909</v>
      </c>
      <c r="D8450" t="s">
        <v>4909</v>
      </c>
      <c r="E8450" s="88">
        <v>0</v>
      </c>
      <c r="F8450" s="88">
        <v>1E-3</v>
      </c>
      <c r="G8450" s="88">
        <v>4.0000000000000001E-3</v>
      </c>
      <c r="H8450" s="88">
        <v>0</v>
      </c>
      <c r="I8450" s="88">
        <v>1E-3</v>
      </c>
      <c r="J8450" t="s">
        <v>4909</v>
      </c>
      <c r="K8450" t="s">
        <v>4909</v>
      </c>
    </row>
    <row r="8451" spans="1:11" x14ac:dyDescent="0.2">
      <c r="A8451" t="s">
        <v>4313</v>
      </c>
      <c r="B8451" t="s">
        <v>4909</v>
      </c>
      <c r="C8451" t="s">
        <v>4909</v>
      </c>
      <c r="D8451" t="s">
        <v>4909</v>
      </c>
      <c r="E8451" t="s">
        <v>4909</v>
      </c>
      <c r="F8451" t="s">
        <v>4909</v>
      </c>
      <c r="G8451" t="s">
        <v>4909</v>
      </c>
      <c r="H8451" t="s">
        <v>4909</v>
      </c>
      <c r="I8451" t="s">
        <v>4909</v>
      </c>
      <c r="J8451" t="s">
        <v>4909</v>
      </c>
      <c r="K8451" t="s">
        <v>4909</v>
      </c>
    </row>
    <row r="8452" spans="1:11" x14ac:dyDescent="0.2">
      <c r="A8452" t="s">
        <v>4314</v>
      </c>
      <c r="B8452" s="88">
        <v>3.0000000000000001E-3</v>
      </c>
      <c r="C8452" t="s">
        <v>4909</v>
      </c>
      <c r="D8452" s="88">
        <v>0</v>
      </c>
      <c r="E8452" s="88">
        <v>3.0000000000000001E-3</v>
      </c>
      <c r="F8452" t="s">
        <v>4909</v>
      </c>
      <c r="G8452" t="s">
        <v>4909</v>
      </c>
      <c r="H8452" t="s">
        <v>4909</v>
      </c>
      <c r="I8452" t="s">
        <v>4909</v>
      </c>
      <c r="J8452" t="s">
        <v>4909</v>
      </c>
      <c r="K8452" t="s">
        <v>4909</v>
      </c>
    </row>
    <row r="8453" spans="1:11" x14ac:dyDescent="0.2">
      <c r="A8453" t="s">
        <v>4315</v>
      </c>
      <c r="B8453" t="s">
        <v>4909</v>
      </c>
      <c r="C8453" t="s">
        <v>4909</v>
      </c>
      <c r="D8453" t="s">
        <v>4909</v>
      </c>
      <c r="E8453" t="s">
        <v>4909</v>
      </c>
      <c r="F8453" t="s">
        <v>4909</v>
      </c>
      <c r="G8453" t="s">
        <v>4909</v>
      </c>
      <c r="H8453" t="s">
        <v>4909</v>
      </c>
      <c r="I8453" t="s">
        <v>4909</v>
      </c>
      <c r="J8453" t="s">
        <v>4909</v>
      </c>
      <c r="K8453" t="s">
        <v>4909</v>
      </c>
    </row>
    <row r="8454" spans="1:11" x14ac:dyDescent="0.2">
      <c r="A8454" t="s">
        <v>4316</v>
      </c>
      <c r="B8454" t="s">
        <v>4909</v>
      </c>
      <c r="C8454" t="s">
        <v>4909</v>
      </c>
      <c r="D8454" t="s">
        <v>4909</v>
      </c>
      <c r="E8454" t="s">
        <v>4909</v>
      </c>
      <c r="F8454" t="s">
        <v>4909</v>
      </c>
      <c r="G8454" t="s">
        <v>4909</v>
      </c>
      <c r="H8454" t="s">
        <v>4909</v>
      </c>
      <c r="I8454" t="s">
        <v>4909</v>
      </c>
      <c r="J8454" t="s">
        <v>4909</v>
      </c>
      <c r="K8454" t="s">
        <v>4909</v>
      </c>
    </row>
    <row r="8455" spans="1:11" x14ac:dyDescent="0.2">
      <c r="A8455" t="s">
        <v>4317</v>
      </c>
      <c r="B8455" t="s">
        <v>4909</v>
      </c>
      <c r="C8455" t="s">
        <v>4909</v>
      </c>
      <c r="D8455" t="s">
        <v>4909</v>
      </c>
      <c r="E8455" t="s">
        <v>4909</v>
      </c>
      <c r="F8455" t="s">
        <v>4909</v>
      </c>
      <c r="G8455" t="s">
        <v>4909</v>
      </c>
      <c r="H8455" t="s">
        <v>4909</v>
      </c>
      <c r="I8455" t="s">
        <v>4909</v>
      </c>
      <c r="J8455" t="s">
        <v>4909</v>
      </c>
      <c r="K8455" t="s">
        <v>4909</v>
      </c>
    </row>
    <row r="8456" spans="1:11" x14ac:dyDescent="0.2">
      <c r="A8456" t="s">
        <v>4318</v>
      </c>
      <c r="B8456" t="s">
        <v>4909</v>
      </c>
      <c r="C8456" t="s">
        <v>4909</v>
      </c>
      <c r="D8456" t="s">
        <v>4909</v>
      </c>
      <c r="E8456" t="s">
        <v>4909</v>
      </c>
      <c r="F8456" t="s">
        <v>4909</v>
      </c>
      <c r="G8456" t="s">
        <v>4909</v>
      </c>
      <c r="H8456" t="s">
        <v>4909</v>
      </c>
      <c r="I8456" t="s">
        <v>4909</v>
      </c>
      <c r="J8456" t="s">
        <v>4909</v>
      </c>
      <c r="K8456" t="s">
        <v>4909</v>
      </c>
    </row>
    <row r="8457" spans="1:11" x14ac:dyDescent="0.2">
      <c r="A8457" t="s">
        <v>4319</v>
      </c>
      <c r="B8457" t="s">
        <v>4909</v>
      </c>
      <c r="C8457" t="s">
        <v>4909</v>
      </c>
      <c r="D8457" t="s">
        <v>4909</v>
      </c>
      <c r="E8457" t="s">
        <v>4909</v>
      </c>
      <c r="F8457" t="s">
        <v>4909</v>
      </c>
      <c r="G8457" t="s">
        <v>4909</v>
      </c>
      <c r="H8457" t="s">
        <v>4909</v>
      </c>
      <c r="I8457" t="s">
        <v>4909</v>
      </c>
      <c r="J8457" t="s">
        <v>4909</v>
      </c>
      <c r="K8457" t="s">
        <v>4909</v>
      </c>
    </row>
    <row r="8458" spans="1:11" x14ac:dyDescent="0.2">
      <c r="A8458" t="s">
        <v>4320</v>
      </c>
      <c r="B8458" t="s">
        <v>4909</v>
      </c>
      <c r="C8458" t="s">
        <v>4909</v>
      </c>
      <c r="D8458" t="s">
        <v>4909</v>
      </c>
      <c r="E8458" t="s">
        <v>4909</v>
      </c>
      <c r="F8458" t="s">
        <v>4909</v>
      </c>
      <c r="G8458" t="s">
        <v>4909</v>
      </c>
      <c r="H8458" t="s">
        <v>4909</v>
      </c>
      <c r="I8458" t="s">
        <v>4909</v>
      </c>
      <c r="J8458" t="s">
        <v>4909</v>
      </c>
      <c r="K8458" t="s">
        <v>4909</v>
      </c>
    </row>
    <row r="8459" spans="1:11" x14ac:dyDescent="0.2">
      <c r="A8459" t="s">
        <v>4321</v>
      </c>
      <c r="B8459" t="s">
        <v>4909</v>
      </c>
      <c r="C8459" t="s">
        <v>4909</v>
      </c>
      <c r="D8459" t="s">
        <v>4909</v>
      </c>
      <c r="E8459" t="s">
        <v>4909</v>
      </c>
      <c r="F8459" t="s">
        <v>4909</v>
      </c>
      <c r="G8459" t="s">
        <v>4909</v>
      </c>
      <c r="H8459" t="s">
        <v>4909</v>
      </c>
      <c r="I8459" t="s">
        <v>4909</v>
      </c>
      <c r="J8459" t="s">
        <v>4909</v>
      </c>
      <c r="K8459" t="s">
        <v>4909</v>
      </c>
    </row>
    <row r="8460" spans="1:11" x14ac:dyDescent="0.2">
      <c r="A8460" t="s">
        <v>4322</v>
      </c>
      <c r="B8460" t="s">
        <v>4909</v>
      </c>
      <c r="C8460" t="s">
        <v>4909</v>
      </c>
      <c r="D8460" t="s">
        <v>4909</v>
      </c>
      <c r="E8460" t="s">
        <v>4909</v>
      </c>
      <c r="F8460" t="s">
        <v>4909</v>
      </c>
      <c r="G8460" t="s">
        <v>4909</v>
      </c>
      <c r="H8460" t="s">
        <v>4909</v>
      </c>
      <c r="I8460" t="s">
        <v>4909</v>
      </c>
      <c r="J8460" t="s">
        <v>4909</v>
      </c>
      <c r="K8460" t="s">
        <v>4909</v>
      </c>
    </row>
    <row r="8461" spans="1:11" x14ac:dyDescent="0.2">
      <c r="A8461" t="s">
        <v>4323</v>
      </c>
      <c r="B8461" t="s">
        <v>4909</v>
      </c>
      <c r="C8461" t="s">
        <v>4909</v>
      </c>
      <c r="D8461" t="s">
        <v>4909</v>
      </c>
      <c r="E8461" t="s">
        <v>4909</v>
      </c>
      <c r="F8461" t="s">
        <v>4909</v>
      </c>
      <c r="G8461" t="s">
        <v>4909</v>
      </c>
      <c r="H8461" t="s">
        <v>4909</v>
      </c>
      <c r="I8461" t="s">
        <v>4909</v>
      </c>
      <c r="J8461" t="s">
        <v>4909</v>
      </c>
      <c r="K8461" t="s">
        <v>4909</v>
      </c>
    </row>
    <row r="8462" spans="1:11" x14ac:dyDescent="0.2">
      <c r="A8462" t="s">
        <v>4324</v>
      </c>
      <c r="B8462" t="s">
        <v>4909</v>
      </c>
      <c r="C8462" t="s">
        <v>4909</v>
      </c>
      <c r="D8462" t="s">
        <v>4909</v>
      </c>
      <c r="E8462" t="s">
        <v>4909</v>
      </c>
      <c r="F8462" t="s">
        <v>4909</v>
      </c>
      <c r="G8462" t="s">
        <v>4909</v>
      </c>
      <c r="H8462" t="s">
        <v>4909</v>
      </c>
      <c r="I8462" t="s">
        <v>4909</v>
      </c>
      <c r="J8462" t="s">
        <v>4909</v>
      </c>
      <c r="K8462" t="s">
        <v>4909</v>
      </c>
    </row>
    <row r="8463" spans="1:11" x14ac:dyDescent="0.2">
      <c r="A8463" t="s">
        <v>4325</v>
      </c>
      <c r="B8463" t="s">
        <v>4909</v>
      </c>
      <c r="C8463" t="s">
        <v>4909</v>
      </c>
      <c r="D8463" t="s">
        <v>4909</v>
      </c>
      <c r="E8463" t="s">
        <v>4909</v>
      </c>
      <c r="F8463" t="s">
        <v>4909</v>
      </c>
      <c r="G8463" t="s">
        <v>4909</v>
      </c>
      <c r="H8463" t="s">
        <v>4909</v>
      </c>
      <c r="I8463" t="s">
        <v>4909</v>
      </c>
      <c r="J8463" t="s">
        <v>4909</v>
      </c>
      <c r="K8463" t="s">
        <v>4909</v>
      </c>
    </row>
    <row r="8464" spans="1:11" x14ac:dyDescent="0.2">
      <c r="A8464" t="s">
        <v>4326</v>
      </c>
      <c r="B8464" t="s">
        <v>4909</v>
      </c>
      <c r="C8464" t="s">
        <v>4909</v>
      </c>
      <c r="D8464" t="s">
        <v>4909</v>
      </c>
      <c r="E8464" t="s">
        <v>4909</v>
      </c>
      <c r="F8464" t="s">
        <v>4909</v>
      </c>
      <c r="G8464" t="s">
        <v>4909</v>
      </c>
      <c r="H8464" t="s">
        <v>4909</v>
      </c>
      <c r="I8464" t="s">
        <v>4909</v>
      </c>
      <c r="J8464" t="s">
        <v>4909</v>
      </c>
      <c r="K8464" t="s">
        <v>4909</v>
      </c>
    </row>
    <row r="8465" spans="1:11" x14ac:dyDescent="0.2">
      <c r="A8465" t="s">
        <v>4327</v>
      </c>
      <c r="B8465" t="s">
        <v>4909</v>
      </c>
      <c r="C8465" t="s">
        <v>4909</v>
      </c>
      <c r="D8465" t="s">
        <v>4909</v>
      </c>
      <c r="E8465" t="s">
        <v>4909</v>
      </c>
      <c r="F8465" t="s">
        <v>4909</v>
      </c>
      <c r="G8465" t="s">
        <v>4909</v>
      </c>
      <c r="H8465" t="s">
        <v>4909</v>
      </c>
      <c r="I8465" t="s">
        <v>4909</v>
      </c>
      <c r="J8465" t="s">
        <v>4909</v>
      </c>
      <c r="K8465" t="s">
        <v>4909</v>
      </c>
    </row>
    <row r="8466" spans="1:11" x14ac:dyDescent="0.2">
      <c r="A8466" t="s">
        <v>4328</v>
      </c>
      <c r="B8466" t="s">
        <v>4909</v>
      </c>
      <c r="C8466" t="s">
        <v>4909</v>
      </c>
      <c r="D8466" t="s">
        <v>4909</v>
      </c>
      <c r="E8466" t="s">
        <v>4909</v>
      </c>
      <c r="F8466" t="s">
        <v>4909</v>
      </c>
      <c r="G8466" t="s">
        <v>4909</v>
      </c>
      <c r="H8466" t="s">
        <v>4909</v>
      </c>
      <c r="I8466" t="s">
        <v>4909</v>
      </c>
      <c r="J8466" t="s">
        <v>4909</v>
      </c>
      <c r="K8466" t="s">
        <v>4909</v>
      </c>
    </row>
    <row r="8467" spans="1:11" x14ac:dyDescent="0.2">
      <c r="A8467" t="s">
        <v>4329</v>
      </c>
      <c r="B8467" t="s">
        <v>4909</v>
      </c>
      <c r="C8467" t="s">
        <v>4909</v>
      </c>
      <c r="D8467" t="s">
        <v>4909</v>
      </c>
      <c r="E8467" t="s">
        <v>4909</v>
      </c>
      <c r="F8467" t="s">
        <v>4909</v>
      </c>
      <c r="G8467" t="s">
        <v>4909</v>
      </c>
      <c r="H8467" t="s">
        <v>4909</v>
      </c>
      <c r="I8467" t="s">
        <v>4909</v>
      </c>
      <c r="J8467" t="s">
        <v>4909</v>
      </c>
      <c r="K8467" t="s">
        <v>4909</v>
      </c>
    </row>
    <row r="8468" spans="1:11" x14ac:dyDescent="0.2">
      <c r="A8468" t="s">
        <v>4330</v>
      </c>
      <c r="B8468" t="s">
        <v>4909</v>
      </c>
      <c r="C8468" t="s">
        <v>4909</v>
      </c>
      <c r="D8468" t="s">
        <v>4909</v>
      </c>
      <c r="E8468" t="s">
        <v>4909</v>
      </c>
      <c r="F8468" t="s">
        <v>4909</v>
      </c>
      <c r="G8468" t="s">
        <v>4909</v>
      </c>
      <c r="H8468" t="s">
        <v>4909</v>
      </c>
      <c r="I8468" t="s">
        <v>4909</v>
      </c>
      <c r="J8468" t="s">
        <v>4909</v>
      </c>
      <c r="K8468" t="s">
        <v>4909</v>
      </c>
    </row>
    <row r="8469" spans="1:11" x14ac:dyDescent="0.2">
      <c r="A8469" t="s">
        <v>4331</v>
      </c>
      <c r="B8469" t="s">
        <v>4909</v>
      </c>
      <c r="C8469" t="s">
        <v>4909</v>
      </c>
      <c r="D8469" t="s">
        <v>4909</v>
      </c>
      <c r="E8469" t="s">
        <v>4909</v>
      </c>
      <c r="F8469" t="s">
        <v>4909</v>
      </c>
      <c r="G8469" t="s">
        <v>4909</v>
      </c>
      <c r="H8469" t="s">
        <v>4909</v>
      </c>
      <c r="I8469" t="s">
        <v>4909</v>
      </c>
      <c r="J8469" t="s">
        <v>4909</v>
      </c>
      <c r="K8469" t="s">
        <v>4909</v>
      </c>
    </row>
    <row r="8470" spans="1:11" x14ac:dyDescent="0.2">
      <c r="A8470" t="s">
        <v>4332</v>
      </c>
      <c r="B8470" s="88">
        <v>0</v>
      </c>
      <c r="C8470" t="s">
        <v>4909</v>
      </c>
      <c r="D8470" t="s">
        <v>4909</v>
      </c>
      <c r="E8470" s="88">
        <v>0</v>
      </c>
      <c r="F8470" t="s">
        <v>4909</v>
      </c>
      <c r="G8470" t="s">
        <v>4909</v>
      </c>
      <c r="H8470" t="s">
        <v>4909</v>
      </c>
      <c r="I8470" t="s">
        <v>4909</v>
      </c>
      <c r="J8470" t="s">
        <v>4909</v>
      </c>
      <c r="K8470" t="s">
        <v>4909</v>
      </c>
    </row>
    <row r="8471" spans="1:11" x14ac:dyDescent="0.2">
      <c r="A8471" t="s">
        <v>4333</v>
      </c>
      <c r="B8471" t="s">
        <v>4909</v>
      </c>
      <c r="C8471" t="s">
        <v>4909</v>
      </c>
      <c r="D8471" t="s">
        <v>4909</v>
      </c>
      <c r="E8471" t="s">
        <v>4909</v>
      </c>
      <c r="F8471" t="s">
        <v>4909</v>
      </c>
      <c r="G8471" t="s">
        <v>4909</v>
      </c>
      <c r="H8471" t="s">
        <v>4909</v>
      </c>
      <c r="I8471" t="s">
        <v>4909</v>
      </c>
      <c r="J8471" t="s">
        <v>4909</v>
      </c>
      <c r="K8471" t="s">
        <v>4909</v>
      </c>
    </row>
    <row r="8472" spans="1:11" x14ac:dyDescent="0.2">
      <c r="A8472" t="s">
        <v>4334</v>
      </c>
      <c r="B8472" t="s">
        <v>4909</v>
      </c>
      <c r="C8472" t="s">
        <v>4909</v>
      </c>
      <c r="D8472" t="s">
        <v>4909</v>
      </c>
      <c r="E8472" t="s">
        <v>4909</v>
      </c>
      <c r="F8472" t="s">
        <v>4909</v>
      </c>
      <c r="G8472" t="s">
        <v>4909</v>
      </c>
      <c r="H8472" t="s">
        <v>4909</v>
      </c>
      <c r="I8472" t="s">
        <v>4909</v>
      </c>
      <c r="J8472" t="s">
        <v>4909</v>
      </c>
      <c r="K8472" t="s">
        <v>4909</v>
      </c>
    </row>
    <row r="8473" spans="1:11" x14ac:dyDescent="0.2">
      <c r="A8473" t="s">
        <v>4335</v>
      </c>
      <c r="B8473" t="s">
        <v>4909</v>
      </c>
      <c r="C8473" t="s">
        <v>4909</v>
      </c>
      <c r="D8473" t="s">
        <v>4909</v>
      </c>
      <c r="E8473" t="s">
        <v>4909</v>
      </c>
      <c r="F8473" t="s">
        <v>4909</v>
      </c>
      <c r="G8473" t="s">
        <v>4909</v>
      </c>
      <c r="H8473" t="s">
        <v>4909</v>
      </c>
      <c r="I8473" t="s">
        <v>4909</v>
      </c>
      <c r="J8473" t="s">
        <v>4909</v>
      </c>
      <c r="K8473" t="s">
        <v>4909</v>
      </c>
    </row>
    <row r="8474" spans="1:11" x14ac:dyDescent="0.2">
      <c r="A8474" t="s">
        <v>4336</v>
      </c>
      <c r="B8474" t="s">
        <v>4909</v>
      </c>
      <c r="C8474" t="s">
        <v>4909</v>
      </c>
      <c r="D8474" t="s">
        <v>4909</v>
      </c>
      <c r="E8474" t="s">
        <v>4909</v>
      </c>
      <c r="F8474" t="s">
        <v>4909</v>
      </c>
      <c r="G8474" t="s">
        <v>4909</v>
      </c>
      <c r="H8474" t="s">
        <v>4909</v>
      </c>
      <c r="I8474" t="s">
        <v>4909</v>
      </c>
      <c r="J8474" t="s">
        <v>4909</v>
      </c>
      <c r="K8474" t="s">
        <v>4909</v>
      </c>
    </row>
    <row r="8475" spans="1:11" x14ac:dyDescent="0.2">
      <c r="A8475" t="s">
        <v>4337</v>
      </c>
      <c r="B8475" t="s">
        <v>4909</v>
      </c>
      <c r="C8475" t="s">
        <v>4909</v>
      </c>
      <c r="D8475" t="s">
        <v>4909</v>
      </c>
      <c r="E8475" t="s">
        <v>4909</v>
      </c>
      <c r="F8475" t="s">
        <v>4909</v>
      </c>
      <c r="G8475" t="s">
        <v>4909</v>
      </c>
      <c r="H8475" t="s">
        <v>4909</v>
      </c>
      <c r="I8475" t="s">
        <v>4909</v>
      </c>
      <c r="J8475" t="s">
        <v>4909</v>
      </c>
      <c r="K8475" t="s">
        <v>4909</v>
      </c>
    </row>
    <row r="8476" spans="1:11" x14ac:dyDescent="0.2">
      <c r="A8476" t="s">
        <v>4338</v>
      </c>
      <c r="B8476" t="s">
        <v>4909</v>
      </c>
      <c r="C8476" t="s">
        <v>4909</v>
      </c>
      <c r="D8476" t="s">
        <v>4909</v>
      </c>
      <c r="E8476" t="s">
        <v>4909</v>
      </c>
      <c r="F8476" t="s">
        <v>4909</v>
      </c>
      <c r="G8476" t="s">
        <v>4909</v>
      </c>
      <c r="H8476" t="s">
        <v>4909</v>
      </c>
      <c r="I8476" t="s">
        <v>4909</v>
      </c>
      <c r="J8476" t="s">
        <v>4909</v>
      </c>
      <c r="K8476" t="s">
        <v>4909</v>
      </c>
    </row>
    <row r="8477" spans="1:11" x14ac:dyDescent="0.2">
      <c r="A8477" t="s">
        <v>4339</v>
      </c>
      <c r="B8477" t="s">
        <v>4909</v>
      </c>
      <c r="C8477" t="s">
        <v>4909</v>
      </c>
      <c r="D8477" t="s">
        <v>4909</v>
      </c>
      <c r="E8477" t="s">
        <v>4909</v>
      </c>
      <c r="F8477" t="s">
        <v>4909</v>
      </c>
      <c r="G8477" t="s">
        <v>4909</v>
      </c>
      <c r="H8477" t="s">
        <v>4909</v>
      </c>
      <c r="I8477" t="s">
        <v>4909</v>
      </c>
      <c r="J8477" t="s">
        <v>4909</v>
      </c>
      <c r="K8477" t="s">
        <v>4909</v>
      </c>
    </row>
    <row r="8478" spans="1:11" x14ac:dyDescent="0.2">
      <c r="A8478" t="s">
        <v>4340</v>
      </c>
      <c r="B8478" t="s">
        <v>4909</v>
      </c>
      <c r="C8478" t="s">
        <v>4909</v>
      </c>
      <c r="D8478" t="s">
        <v>4909</v>
      </c>
      <c r="E8478" t="s">
        <v>4909</v>
      </c>
      <c r="F8478" t="s">
        <v>4909</v>
      </c>
      <c r="G8478" t="s">
        <v>4909</v>
      </c>
      <c r="H8478" t="s">
        <v>4909</v>
      </c>
      <c r="I8478" t="s">
        <v>4909</v>
      </c>
      <c r="J8478" t="s">
        <v>4909</v>
      </c>
      <c r="K8478" t="s">
        <v>4909</v>
      </c>
    </row>
    <row r="8479" spans="1:11" x14ac:dyDescent="0.2">
      <c r="A8479" t="s">
        <v>4341</v>
      </c>
      <c r="B8479" t="s">
        <v>4909</v>
      </c>
      <c r="C8479" t="s">
        <v>4909</v>
      </c>
      <c r="D8479" t="s">
        <v>4909</v>
      </c>
      <c r="E8479" t="s">
        <v>4909</v>
      </c>
      <c r="F8479" t="s">
        <v>4909</v>
      </c>
      <c r="G8479" t="s">
        <v>4909</v>
      </c>
      <c r="H8479" t="s">
        <v>4909</v>
      </c>
      <c r="I8479" t="s">
        <v>4909</v>
      </c>
      <c r="J8479" t="s">
        <v>4909</v>
      </c>
      <c r="K8479" t="s">
        <v>4909</v>
      </c>
    </row>
    <row r="8480" spans="1:11" x14ac:dyDescent="0.2">
      <c r="A8480" t="s">
        <v>4342</v>
      </c>
      <c r="B8480" t="s">
        <v>4909</v>
      </c>
      <c r="C8480" t="s">
        <v>4909</v>
      </c>
      <c r="D8480" t="s">
        <v>4909</v>
      </c>
      <c r="E8480" t="s">
        <v>4909</v>
      </c>
      <c r="F8480" t="s">
        <v>4909</v>
      </c>
      <c r="G8480" t="s">
        <v>4909</v>
      </c>
      <c r="H8480" t="s">
        <v>4909</v>
      </c>
      <c r="I8480" t="s">
        <v>4909</v>
      </c>
      <c r="J8480" t="s">
        <v>4909</v>
      </c>
      <c r="K8480" t="s">
        <v>4909</v>
      </c>
    </row>
    <row r="8481" spans="1:11" x14ac:dyDescent="0.2">
      <c r="A8481" t="s">
        <v>4343</v>
      </c>
      <c r="B8481" t="s">
        <v>4909</v>
      </c>
      <c r="C8481" t="s">
        <v>4909</v>
      </c>
      <c r="D8481" t="s">
        <v>4909</v>
      </c>
      <c r="E8481" t="s">
        <v>4909</v>
      </c>
      <c r="F8481" t="s">
        <v>4909</v>
      </c>
      <c r="G8481" t="s">
        <v>4909</v>
      </c>
      <c r="H8481" t="s">
        <v>4909</v>
      </c>
      <c r="I8481" t="s">
        <v>4909</v>
      </c>
      <c r="J8481" t="s">
        <v>4909</v>
      </c>
      <c r="K8481" t="s">
        <v>4909</v>
      </c>
    </row>
    <row r="8482" spans="1:11" x14ac:dyDescent="0.2">
      <c r="A8482" t="s">
        <v>1728</v>
      </c>
      <c r="B8482" t="s">
        <v>4909</v>
      </c>
      <c r="C8482" t="s">
        <v>4909</v>
      </c>
      <c r="D8482" t="s">
        <v>4909</v>
      </c>
      <c r="E8482" t="s">
        <v>4909</v>
      </c>
      <c r="F8482" t="s">
        <v>4909</v>
      </c>
      <c r="G8482" t="s">
        <v>4909</v>
      </c>
      <c r="H8482" t="s">
        <v>4909</v>
      </c>
      <c r="I8482" t="s">
        <v>4909</v>
      </c>
      <c r="J8482" t="s">
        <v>4909</v>
      </c>
      <c r="K8482" t="s">
        <v>4909</v>
      </c>
    </row>
    <row r="8483" spans="1:11" x14ac:dyDescent="0.2">
      <c r="A8483" t="s">
        <v>1730</v>
      </c>
      <c r="B8483" s="88">
        <v>2E-3</v>
      </c>
      <c r="C8483" t="s">
        <v>4909</v>
      </c>
      <c r="D8483" t="s">
        <v>4909</v>
      </c>
      <c r="E8483" s="88">
        <v>3.0000000000000001E-3</v>
      </c>
      <c r="F8483" s="88">
        <v>0</v>
      </c>
      <c r="G8483" s="88">
        <v>1E-3</v>
      </c>
      <c r="H8483" t="s">
        <v>4909</v>
      </c>
      <c r="I8483" t="s">
        <v>4909</v>
      </c>
      <c r="J8483" t="s">
        <v>4909</v>
      </c>
      <c r="K8483" t="s">
        <v>4909</v>
      </c>
    </row>
    <row r="8484" spans="1:11" x14ac:dyDescent="0.2">
      <c r="A8484" t="s">
        <v>1733</v>
      </c>
      <c r="B8484" t="s">
        <v>4909</v>
      </c>
      <c r="C8484" t="s">
        <v>4909</v>
      </c>
      <c r="D8484" t="s">
        <v>4909</v>
      </c>
      <c r="E8484" t="s">
        <v>4909</v>
      </c>
      <c r="F8484" t="s">
        <v>4909</v>
      </c>
      <c r="G8484" t="s">
        <v>4909</v>
      </c>
      <c r="H8484" t="s">
        <v>4909</v>
      </c>
      <c r="I8484" t="s">
        <v>4909</v>
      </c>
      <c r="J8484" t="s">
        <v>4909</v>
      </c>
      <c r="K8484" t="s">
        <v>4909</v>
      </c>
    </row>
    <row r="8485" spans="1:11" x14ac:dyDescent="0.2">
      <c r="A8485" t="s">
        <v>1738</v>
      </c>
      <c r="B8485" t="s">
        <v>4909</v>
      </c>
      <c r="C8485" t="s">
        <v>4909</v>
      </c>
      <c r="D8485" t="s">
        <v>4909</v>
      </c>
      <c r="E8485" t="s">
        <v>4909</v>
      </c>
      <c r="F8485" t="s">
        <v>4909</v>
      </c>
      <c r="G8485" t="s">
        <v>4909</v>
      </c>
      <c r="H8485" t="s">
        <v>4909</v>
      </c>
      <c r="I8485" t="s">
        <v>4909</v>
      </c>
      <c r="J8485" t="s">
        <v>4909</v>
      </c>
      <c r="K8485" t="s">
        <v>4909</v>
      </c>
    </row>
    <row r="8486" spans="1:11" x14ac:dyDescent="0.2">
      <c r="A8486" t="s">
        <v>1744</v>
      </c>
      <c r="B8486" t="s">
        <v>4909</v>
      </c>
      <c r="C8486" t="s">
        <v>4909</v>
      </c>
      <c r="D8486" t="s">
        <v>4909</v>
      </c>
      <c r="E8486" t="s">
        <v>4909</v>
      </c>
      <c r="F8486" t="s">
        <v>4909</v>
      </c>
      <c r="G8486" t="s">
        <v>4909</v>
      </c>
      <c r="H8486" t="s">
        <v>4909</v>
      </c>
      <c r="I8486" t="s">
        <v>4909</v>
      </c>
      <c r="J8486" t="s">
        <v>4909</v>
      </c>
      <c r="K8486" t="s">
        <v>4909</v>
      </c>
    </row>
    <row r="8487" spans="1:11" x14ac:dyDescent="0.2">
      <c r="A8487" t="s">
        <v>1747</v>
      </c>
      <c r="B8487" t="s">
        <v>4909</v>
      </c>
      <c r="C8487" t="s">
        <v>4909</v>
      </c>
      <c r="D8487" t="s">
        <v>4909</v>
      </c>
      <c r="E8487" t="s">
        <v>4909</v>
      </c>
      <c r="F8487" t="s">
        <v>4909</v>
      </c>
      <c r="G8487" t="s">
        <v>4909</v>
      </c>
      <c r="H8487" t="s">
        <v>4909</v>
      </c>
      <c r="I8487" t="s">
        <v>4909</v>
      </c>
      <c r="J8487" t="s">
        <v>4909</v>
      </c>
      <c r="K8487" t="s">
        <v>4909</v>
      </c>
    </row>
    <row r="8488" spans="1:11" x14ac:dyDescent="0.2">
      <c r="A8488" t="s">
        <v>1751</v>
      </c>
      <c r="B8488" t="s">
        <v>4909</v>
      </c>
      <c r="C8488" t="s">
        <v>4909</v>
      </c>
      <c r="D8488" t="s">
        <v>4909</v>
      </c>
      <c r="E8488" t="s">
        <v>4909</v>
      </c>
      <c r="F8488" t="s">
        <v>4909</v>
      </c>
      <c r="G8488" t="s">
        <v>4909</v>
      </c>
      <c r="H8488" t="s">
        <v>4909</v>
      </c>
      <c r="I8488" t="s">
        <v>4909</v>
      </c>
      <c r="J8488" t="s">
        <v>4909</v>
      </c>
      <c r="K8488" t="s">
        <v>4909</v>
      </c>
    </row>
    <row r="8489" spans="1:11" x14ac:dyDescent="0.2">
      <c r="A8489" t="s">
        <v>1755</v>
      </c>
      <c r="B8489" s="88">
        <v>1E-3</v>
      </c>
      <c r="C8489" t="s">
        <v>4909</v>
      </c>
      <c r="D8489" t="s">
        <v>4909</v>
      </c>
      <c r="E8489" s="88">
        <v>1E-3</v>
      </c>
      <c r="F8489" t="s">
        <v>4909</v>
      </c>
      <c r="G8489" t="s">
        <v>4909</v>
      </c>
      <c r="H8489" t="s">
        <v>4909</v>
      </c>
      <c r="I8489" t="s">
        <v>4909</v>
      </c>
      <c r="J8489" t="s">
        <v>4909</v>
      </c>
      <c r="K8489" t="s">
        <v>4909</v>
      </c>
    </row>
    <row r="8490" spans="1:11" x14ac:dyDescent="0.2">
      <c r="A8490" t="s">
        <v>1757</v>
      </c>
      <c r="B8490" s="88">
        <v>0</v>
      </c>
      <c r="C8490" t="s">
        <v>4909</v>
      </c>
      <c r="D8490" t="s">
        <v>4909</v>
      </c>
      <c r="E8490" s="88">
        <v>0</v>
      </c>
      <c r="F8490" t="s">
        <v>4909</v>
      </c>
      <c r="G8490" t="s">
        <v>4909</v>
      </c>
      <c r="H8490" t="s">
        <v>4909</v>
      </c>
      <c r="I8490" t="s">
        <v>4909</v>
      </c>
      <c r="J8490" t="s">
        <v>4909</v>
      </c>
      <c r="K8490" t="s">
        <v>4909</v>
      </c>
    </row>
    <row r="8491" spans="1:11" x14ac:dyDescent="0.2">
      <c r="A8491" t="s">
        <v>1761</v>
      </c>
      <c r="B8491" t="s">
        <v>4909</v>
      </c>
      <c r="C8491" t="s">
        <v>4909</v>
      </c>
      <c r="D8491" t="s">
        <v>4909</v>
      </c>
      <c r="E8491" t="s">
        <v>4909</v>
      </c>
      <c r="F8491" t="s">
        <v>4909</v>
      </c>
      <c r="G8491" t="s">
        <v>4909</v>
      </c>
      <c r="H8491" t="s">
        <v>4909</v>
      </c>
      <c r="I8491" t="s">
        <v>4909</v>
      </c>
      <c r="J8491" t="s">
        <v>4909</v>
      </c>
      <c r="K8491" t="s">
        <v>4909</v>
      </c>
    </row>
    <row r="8492" spans="1:11" x14ac:dyDescent="0.2">
      <c r="A8492" t="s">
        <v>1764</v>
      </c>
      <c r="B8492" t="s">
        <v>4909</v>
      </c>
      <c r="C8492" t="s">
        <v>4909</v>
      </c>
      <c r="D8492" t="s">
        <v>4909</v>
      </c>
      <c r="E8492" t="s">
        <v>4909</v>
      </c>
      <c r="F8492" t="s">
        <v>4909</v>
      </c>
      <c r="G8492" t="s">
        <v>4909</v>
      </c>
      <c r="H8492" t="s">
        <v>4909</v>
      </c>
      <c r="I8492" t="s">
        <v>4909</v>
      </c>
      <c r="J8492" t="s">
        <v>4909</v>
      </c>
      <c r="K8492" t="s">
        <v>4909</v>
      </c>
    </row>
    <row r="8493" spans="1:11" x14ac:dyDescent="0.2">
      <c r="A8493" t="s">
        <v>1770</v>
      </c>
      <c r="B8493" s="88">
        <v>1E-3</v>
      </c>
      <c r="C8493" t="s">
        <v>4909</v>
      </c>
      <c r="D8493" s="88">
        <v>0</v>
      </c>
      <c r="E8493" s="88">
        <v>8.9999999999999993E-3</v>
      </c>
      <c r="F8493" s="88">
        <v>0</v>
      </c>
      <c r="G8493" s="88">
        <v>7.0000000000000001E-3</v>
      </c>
      <c r="H8493" s="88">
        <v>0</v>
      </c>
      <c r="I8493" s="88">
        <v>1E-3</v>
      </c>
      <c r="J8493" s="88">
        <v>0</v>
      </c>
      <c r="K8493" t="s">
        <v>4909</v>
      </c>
    </row>
    <row r="8494" spans="1:11" x14ac:dyDescent="0.2">
      <c r="A8494" t="s">
        <v>1772</v>
      </c>
      <c r="B8494" t="s">
        <v>4909</v>
      </c>
      <c r="C8494" t="s">
        <v>4909</v>
      </c>
      <c r="D8494" t="s">
        <v>4909</v>
      </c>
      <c r="E8494" s="88">
        <v>1E-3</v>
      </c>
      <c r="F8494" t="s">
        <v>4909</v>
      </c>
      <c r="G8494" s="88">
        <v>1E-3</v>
      </c>
      <c r="H8494" t="s">
        <v>4909</v>
      </c>
      <c r="I8494" s="88">
        <v>1E-3</v>
      </c>
      <c r="J8494" t="s">
        <v>4909</v>
      </c>
      <c r="K8494" t="s">
        <v>4909</v>
      </c>
    </row>
    <row r="8495" spans="1:11" x14ac:dyDescent="0.2">
      <c r="A8495" t="s">
        <v>1774</v>
      </c>
      <c r="B8495" t="s">
        <v>4909</v>
      </c>
      <c r="C8495" t="s">
        <v>4909</v>
      </c>
      <c r="D8495" t="s">
        <v>4909</v>
      </c>
      <c r="E8495" t="s">
        <v>4909</v>
      </c>
      <c r="F8495" t="s">
        <v>4909</v>
      </c>
      <c r="G8495" t="s">
        <v>4909</v>
      </c>
      <c r="H8495" t="s">
        <v>4909</v>
      </c>
      <c r="I8495" t="s">
        <v>4909</v>
      </c>
      <c r="J8495" t="s">
        <v>4909</v>
      </c>
      <c r="K8495" t="s">
        <v>4909</v>
      </c>
    </row>
    <row r="8496" spans="1:11" x14ac:dyDescent="0.2">
      <c r="A8496" t="s">
        <v>1777</v>
      </c>
      <c r="B8496" t="s">
        <v>4909</v>
      </c>
      <c r="C8496" t="s">
        <v>4909</v>
      </c>
      <c r="D8496" t="s">
        <v>4909</v>
      </c>
      <c r="E8496" t="s">
        <v>4909</v>
      </c>
      <c r="F8496" t="s">
        <v>4909</v>
      </c>
      <c r="G8496" t="s">
        <v>4909</v>
      </c>
      <c r="H8496" t="s">
        <v>4909</v>
      </c>
      <c r="I8496" t="s">
        <v>4909</v>
      </c>
      <c r="J8496" t="s">
        <v>4909</v>
      </c>
      <c r="K8496" t="s">
        <v>4909</v>
      </c>
    </row>
    <row r="8497" spans="1:11" x14ac:dyDescent="0.2">
      <c r="A8497" t="s">
        <v>1782</v>
      </c>
      <c r="B8497" t="s">
        <v>4909</v>
      </c>
      <c r="C8497" t="s">
        <v>4909</v>
      </c>
      <c r="D8497" t="s">
        <v>4909</v>
      </c>
      <c r="E8497" t="s">
        <v>4909</v>
      </c>
      <c r="F8497" t="s">
        <v>4909</v>
      </c>
      <c r="G8497" t="s">
        <v>4909</v>
      </c>
      <c r="H8497" t="s">
        <v>4909</v>
      </c>
      <c r="I8497" t="s">
        <v>4909</v>
      </c>
      <c r="J8497" t="s">
        <v>4909</v>
      </c>
      <c r="K8497" t="s">
        <v>4909</v>
      </c>
    </row>
    <row r="8498" spans="1:11" x14ac:dyDescent="0.2">
      <c r="A8498" t="s">
        <v>1274</v>
      </c>
      <c r="B8498" t="s">
        <v>4909</v>
      </c>
      <c r="C8498" t="s">
        <v>4909</v>
      </c>
      <c r="D8498" t="s">
        <v>4909</v>
      </c>
      <c r="E8498" t="s">
        <v>4909</v>
      </c>
      <c r="F8498" t="s">
        <v>4909</v>
      </c>
      <c r="G8498" t="s">
        <v>4909</v>
      </c>
      <c r="H8498" t="s">
        <v>4909</v>
      </c>
      <c r="I8498" t="s">
        <v>4909</v>
      </c>
      <c r="J8498" t="s">
        <v>4909</v>
      </c>
      <c r="K8498" t="s">
        <v>4909</v>
      </c>
    </row>
    <row r="8499" spans="1:11" x14ac:dyDescent="0.2">
      <c r="A8499" t="s">
        <v>1277</v>
      </c>
      <c r="B8499" t="s">
        <v>4909</v>
      </c>
      <c r="C8499" t="s">
        <v>4909</v>
      </c>
      <c r="D8499" t="s">
        <v>4909</v>
      </c>
      <c r="E8499" t="s">
        <v>4909</v>
      </c>
      <c r="F8499" t="s">
        <v>4909</v>
      </c>
      <c r="G8499" t="s">
        <v>4909</v>
      </c>
      <c r="H8499" t="s">
        <v>4909</v>
      </c>
      <c r="I8499" t="s">
        <v>4909</v>
      </c>
      <c r="J8499" t="s">
        <v>4909</v>
      </c>
      <c r="K8499" t="s">
        <v>4909</v>
      </c>
    </row>
    <row r="8500" spans="1:11" x14ac:dyDescent="0.2">
      <c r="A8500" t="s">
        <v>1798</v>
      </c>
      <c r="B8500" t="s">
        <v>4909</v>
      </c>
      <c r="C8500" t="s">
        <v>4909</v>
      </c>
      <c r="D8500" t="s">
        <v>4909</v>
      </c>
      <c r="E8500" t="s">
        <v>4909</v>
      </c>
      <c r="F8500" t="s">
        <v>4909</v>
      </c>
      <c r="G8500" t="s">
        <v>4909</v>
      </c>
      <c r="H8500" t="s">
        <v>4909</v>
      </c>
      <c r="I8500" t="s">
        <v>4909</v>
      </c>
      <c r="J8500" t="s">
        <v>4909</v>
      </c>
      <c r="K8500" t="s">
        <v>4909</v>
      </c>
    </row>
    <row r="8501" spans="1:11" x14ac:dyDescent="0.2">
      <c r="A8501" t="s">
        <v>1803</v>
      </c>
      <c r="B8501" t="s">
        <v>4909</v>
      </c>
      <c r="C8501" t="s">
        <v>4909</v>
      </c>
      <c r="D8501" t="s">
        <v>4909</v>
      </c>
      <c r="E8501" t="s">
        <v>4909</v>
      </c>
      <c r="F8501" t="s">
        <v>4909</v>
      </c>
      <c r="G8501" t="s">
        <v>4909</v>
      </c>
      <c r="H8501" t="s">
        <v>4909</v>
      </c>
      <c r="I8501" t="s">
        <v>4909</v>
      </c>
      <c r="J8501" t="s">
        <v>4909</v>
      </c>
      <c r="K8501" t="s">
        <v>4909</v>
      </c>
    </row>
    <row r="8502" spans="1:11" x14ac:dyDescent="0.2">
      <c r="A8502" t="s">
        <v>1808</v>
      </c>
      <c r="B8502" t="s">
        <v>4909</v>
      </c>
      <c r="C8502" t="s">
        <v>4909</v>
      </c>
      <c r="D8502" t="s">
        <v>4909</v>
      </c>
      <c r="E8502" t="s">
        <v>4909</v>
      </c>
      <c r="F8502" t="s">
        <v>4909</v>
      </c>
      <c r="G8502" t="s">
        <v>4909</v>
      </c>
      <c r="H8502" t="s">
        <v>4909</v>
      </c>
      <c r="I8502" t="s">
        <v>4909</v>
      </c>
      <c r="J8502" t="s">
        <v>4909</v>
      </c>
      <c r="K8502" t="s">
        <v>4909</v>
      </c>
    </row>
    <row r="8503" spans="1:11" x14ac:dyDescent="0.2">
      <c r="A8503" t="s">
        <v>1813</v>
      </c>
      <c r="B8503" t="s">
        <v>4909</v>
      </c>
      <c r="C8503" t="s">
        <v>4909</v>
      </c>
      <c r="D8503" t="s">
        <v>4909</v>
      </c>
      <c r="E8503" t="s">
        <v>4909</v>
      </c>
      <c r="F8503" t="s">
        <v>4909</v>
      </c>
      <c r="G8503" t="s">
        <v>4909</v>
      </c>
      <c r="H8503" t="s">
        <v>4909</v>
      </c>
      <c r="I8503" t="s">
        <v>4909</v>
      </c>
      <c r="J8503" t="s">
        <v>4909</v>
      </c>
      <c r="K8503" t="s">
        <v>4909</v>
      </c>
    </row>
    <row r="8504" spans="1:11" x14ac:dyDescent="0.2">
      <c r="A8504" t="s">
        <v>1819</v>
      </c>
      <c r="B8504" t="s">
        <v>4909</v>
      </c>
      <c r="C8504" t="s">
        <v>4909</v>
      </c>
      <c r="D8504" t="s">
        <v>4909</v>
      </c>
      <c r="E8504" t="s">
        <v>4909</v>
      </c>
      <c r="F8504" t="s">
        <v>4909</v>
      </c>
      <c r="G8504" t="s">
        <v>4909</v>
      </c>
      <c r="H8504" t="s">
        <v>4909</v>
      </c>
      <c r="I8504" t="s">
        <v>4909</v>
      </c>
      <c r="J8504" t="s">
        <v>4909</v>
      </c>
      <c r="K8504" t="s">
        <v>4909</v>
      </c>
    </row>
    <row r="8505" spans="1:11" x14ac:dyDescent="0.2">
      <c r="A8505" t="s">
        <v>1826</v>
      </c>
      <c r="B8505" t="s">
        <v>4909</v>
      </c>
      <c r="C8505" t="s">
        <v>4909</v>
      </c>
      <c r="D8505" t="s">
        <v>4909</v>
      </c>
      <c r="E8505" t="s">
        <v>4909</v>
      </c>
      <c r="F8505" t="s">
        <v>4909</v>
      </c>
      <c r="G8505" t="s">
        <v>4909</v>
      </c>
      <c r="H8505" t="s">
        <v>4909</v>
      </c>
      <c r="I8505" t="s">
        <v>4909</v>
      </c>
      <c r="J8505" t="s">
        <v>4909</v>
      </c>
      <c r="K8505" t="s">
        <v>4909</v>
      </c>
    </row>
    <row r="8506" spans="1:11" x14ac:dyDescent="0.2">
      <c r="A8506" t="s">
        <v>1830</v>
      </c>
      <c r="B8506" t="s">
        <v>4909</v>
      </c>
      <c r="C8506" t="s">
        <v>4909</v>
      </c>
      <c r="D8506" t="s">
        <v>4909</v>
      </c>
      <c r="E8506" t="s">
        <v>4909</v>
      </c>
      <c r="F8506" t="s">
        <v>4909</v>
      </c>
      <c r="G8506" t="s">
        <v>4909</v>
      </c>
      <c r="H8506" t="s">
        <v>4909</v>
      </c>
      <c r="I8506" t="s">
        <v>4909</v>
      </c>
      <c r="J8506" t="s">
        <v>4909</v>
      </c>
      <c r="K8506" t="s">
        <v>4909</v>
      </c>
    </row>
    <row r="8507" spans="1:11" x14ac:dyDescent="0.2">
      <c r="A8507" t="s">
        <v>1836</v>
      </c>
      <c r="B8507" t="s">
        <v>4909</v>
      </c>
      <c r="C8507" t="s">
        <v>4909</v>
      </c>
      <c r="D8507" t="s">
        <v>4909</v>
      </c>
      <c r="E8507" t="s">
        <v>4909</v>
      </c>
      <c r="F8507" t="s">
        <v>4909</v>
      </c>
      <c r="G8507" t="s">
        <v>4909</v>
      </c>
      <c r="H8507" t="s">
        <v>4909</v>
      </c>
      <c r="I8507" t="s">
        <v>4909</v>
      </c>
      <c r="J8507" t="s">
        <v>4909</v>
      </c>
      <c r="K8507" t="s">
        <v>4909</v>
      </c>
    </row>
    <row r="8508" spans="1:11" x14ac:dyDescent="0.2">
      <c r="A8508" t="s">
        <v>1841</v>
      </c>
      <c r="B8508" t="s">
        <v>4909</v>
      </c>
      <c r="C8508" t="s">
        <v>4909</v>
      </c>
      <c r="D8508" t="s">
        <v>4909</v>
      </c>
      <c r="E8508" t="s">
        <v>4909</v>
      </c>
      <c r="F8508" t="s">
        <v>4909</v>
      </c>
      <c r="G8508" t="s">
        <v>4909</v>
      </c>
      <c r="H8508" t="s">
        <v>4909</v>
      </c>
      <c r="I8508" t="s">
        <v>4909</v>
      </c>
      <c r="J8508" t="s">
        <v>4909</v>
      </c>
      <c r="K8508" t="s">
        <v>4909</v>
      </c>
    </row>
    <row r="8509" spans="1:11" x14ac:dyDescent="0.2">
      <c r="A8509" t="s">
        <v>1842</v>
      </c>
      <c r="B8509" t="s">
        <v>4909</v>
      </c>
      <c r="C8509" t="s">
        <v>4909</v>
      </c>
      <c r="D8509" t="s">
        <v>4909</v>
      </c>
      <c r="E8509" t="s">
        <v>4909</v>
      </c>
      <c r="F8509" t="s">
        <v>4909</v>
      </c>
      <c r="G8509" t="s">
        <v>4909</v>
      </c>
      <c r="H8509" t="s">
        <v>4909</v>
      </c>
      <c r="I8509" t="s">
        <v>4909</v>
      </c>
      <c r="J8509" t="s">
        <v>4909</v>
      </c>
      <c r="K8509" t="s">
        <v>4909</v>
      </c>
    </row>
    <row r="8510" spans="1:11" x14ac:dyDescent="0.2">
      <c r="A8510" t="s">
        <v>1843</v>
      </c>
      <c r="B8510" t="s">
        <v>4909</v>
      </c>
      <c r="C8510" t="s">
        <v>4909</v>
      </c>
      <c r="D8510" t="s">
        <v>4909</v>
      </c>
      <c r="E8510" t="s">
        <v>4909</v>
      </c>
      <c r="F8510" t="s">
        <v>4909</v>
      </c>
      <c r="G8510" t="s">
        <v>4909</v>
      </c>
      <c r="H8510" t="s">
        <v>4909</v>
      </c>
      <c r="I8510" t="s">
        <v>4909</v>
      </c>
      <c r="J8510" t="s">
        <v>4909</v>
      </c>
      <c r="K8510" t="s">
        <v>4909</v>
      </c>
    </row>
    <row r="8511" spans="1:11" x14ac:dyDescent="0.2">
      <c r="A8511" t="s">
        <v>1846</v>
      </c>
      <c r="B8511" t="s">
        <v>4909</v>
      </c>
      <c r="C8511" t="s">
        <v>4909</v>
      </c>
      <c r="D8511" t="s">
        <v>4909</v>
      </c>
      <c r="E8511" t="s">
        <v>4909</v>
      </c>
      <c r="F8511" t="s">
        <v>4909</v>
      </c>
      <c r="G8511" t="s">
        <v>4909</v>
      </c>
      <c r="H8511" t="s">
        <v>4909</v>
      </c>
      <c r="I8511" t="s">
        <v>4909</v>
      </c>
      <c r="J8511" t="s">
        <v>4909</v>
      </c>
      <c r="K8511" t="s">
        <v>4909</v>
      </c>
    </row>
    <row r="8512" spans="1:11" x14ac:dyDescent="0.2">
      <c r="A8512" t="s">
        <v>1851</v>
      </c>
      <c r="B8512" t="s">
        <v>4909</v>
      </c>
      <c r="C8512" t="s">
        <v>4909</v>
      </c>
      <c r="D8512" t="s">
        <v>4909</v>
      </c>
      <c r="E8512" t="s">
        <v>4909</v>
      </c>
      <c r="F8512" t="s">
        <v>4909</v>
      </c>
      <c r="G8512" t="s">
        <v>4909</v>
      </c>
      <c r="H8512" t="s">
        <v>4909</v>
      </c>
      <c r="I8512" t="s">
        <v>4909</v>
      </c>
      <c r="J8512" t="s">
        <v>4909</v>
      </c>
      <c r="K8512" t="s">
        <v>4909</v>
      </c>
    </row>
    <row r="8513" spans="1:11" x14ac:dyDescent="0.2">
      <c r="A8513" t="s">
        <v>1857</v>
      </c>
      <c r="B8513" t="s">
        <v>4909</v>
      </c>
      <c r="C8513" t="s">
        <v>4909</v>
      </c>
      <c r="D8513" t="s">
        <v>4909</v>
      </c>
      <c r="E8513" t="s">
        <v>4909</v>
      </c>
      <c r="F8513" t="s">
        <v>4909</v>
      </c>
      <c r="G8513" t="s">
        <v>4909</v>
      </c>
      <c r="H8513" t="s">
        <v>4909</v>
      </c>
      <c r="I8513" t="s">
        <v>4909</v>
      </c>
      <c r="J8513" t="s">
        <v>4909</v>
      </c>
      <c r="K8513" t="s">
        <v>4909</v>
      </c>
    </row>
    <row r="8514" spans="1:11" x14ac:dyDescent="0.2">
      <c r="A8514" t="s">
        <v>1862</v>
      </c>
      <c r="B8514" t="s">
        <v>4909</v>
      </c>
      <c r="C8514" t="s">
        <v>4909</v>
      </c>
      <c r="D8514" t="s">
        <v>4909</v>
      </c>
      <c r="E8514" t="s">
        <v>4909</v>
      </c>
      <c r="F8514" t="s">
        <v>4909</v>
      </c>
      <c r="G8514" t="s">
        <v>4909</v>
      </c>
      <c r="H8514" t="s">
        <v>4909</v>
      </c>
      <c r="I8514" t="s">
        <v>4909</v>
      </c>
      <c r="J8514" t="s">
        <v>4909</v>
      </c>
      <c r="K8514" t="s">
        <v>4909</v>
      </c>
    </row>
    <row r="8515" spans="1:11" x14ac:dyDescent="0.2">
      <c r="A8515" t="s">
        <v>1867</v>
      </c>
      <c r="B8515" t="s">
        <v>4909</v>
      </c>
      <c r="C8515" t="s">
        <v>4909</v>
      </c>
      <c r="D8515" t="s">
        <v>4909</v>
      </c>
      <c r="E8515" t="s">
        <v>4909</v>
      </c>
      <c r="F8515" t="s">
        <v>4909</v>
      </c>
      <c r="G8515" t="s">
        <v>4909</v>
      </c>
      <c r="H8515" t="s">
        <v>4909</v>
      </c>
      <c r="I8515" t="s">
        <v>4909</v>
      </c>
      <c r="J8515" t="s">
        <v>4909</v>
      </c>
      <c r="K8515" t="s">
        <v>4909</v>
      </c>
    </row>
    <row r="8516" spans="1:11" x14ac:dyDescent="0.2">
      <c r="A8516" t="s">
        <v>1870</v>
      </c>
      <c r="B8516" t="s">
        <v>4909</v>
      </c>
      <c r="C8516" t="s">
        <v>4909</v>
      </c>
      <c r="D8516" t="s">
        <v>4909</v>
      </c>
      <c r="E8516" t="s">
        <v>4909</v>
      </c>
      <c r="F8516" t="s">
        <v>4909</v>
      </c>
      <c r="G8516" t="s">
        <v>4909</v>
      </c>
      <c r="H8516" t="s">
        <v>4909</v>
      </c>
      <c r="I8516" t="s">
        <v>4909</v>
      </c>
      <c r="J8516" t="s">
        <v>4909</v>
      </c>
      <c r="K8516" t="s">
        <v>4909</v>
      </c>
    </row>
    <row r="8517" spans="1:11" x14ac:dyDescent="0.2">
      <c r="A8517" t="s">
        <v>1874</v>
      </c>
      <c r="B8517" t="s">
        <v>4909</v>
      </c>
      <c r="C8517" t="s">
        <v>4909</v>
      </c>
      <c r="D8517" t="s">
        <v>4909</v>
      </c>
      <c r="E8517" t="s">
        <v>4909</v>
      </c>
      <c r="F8517" t="s">
        <v>4909</v>
      </c>
      <c r="G8517" t="s">
        <v>4909</v>
      </c>
      <c r="H8517" t="s">
        <v>4909</v>
      </c>
      <c r="I8517" t="s">
        <v>4909</v>
      </c>
      <c r="J8517" t="s">
        <v>4909</v>
      </c>
      <c r="K8517" t="s">
        <v>4909</v>
      </c>
    </row>
    <row r="8518" spans="1:11" x14ac:dyDescent="0.2">
      <c r="A8518" t="s">
        <v>1876</v>
      </c>
      <c r="B8518" t="s">
        <v>4909</v>
      </c>
      <c r="C8518" t="s">
        <v>4909</v>
      </c>
      <c r="D8518" t="s">
        <v>4909</v>
      </c>
      <c r="E8518" t="s">
        <v>4909</v>
      </c>
      <c r="F8518" t="s">
        <v>4909</v>
      </c>
      <c r="G8518" t="s">
        <v>4909</v>
      </c>
      <c r="H8518" t="s">
        <v>4909</v>
      </c>
      <c r="I8518" t="s">
        <v>4909</v>
      </c>
      <c r="J8518" t="s">
        <v>4909</v>
      </c>
      <c r="K8518" t="s">
        <v>4909</v>
      </c>
    </row>
    <row r="8519" spans="1:11" x14ac:dyDescent="0.2">
      <c r="A8519" t="s">
        <v>1881</v>
      </c>
      <c r="B8519" t="s">
        <v>4909</v>
      </c>
      <c r="C8519" t="s">
        <v>4909</v>
      </c>
      <c r="D8519" t="s">
        <v>4909</v>
      </c>
      <c r="E8519" t="s">
        <v>4909</v>
      </c>
      <c r="F8519" t="s">
        <v>4909</v>
      </c>
      <c r="G8519" t="s">
        <v>4909</v>
      </c>
      <c r="H8519" t="s">
        <v>4909</v>
      </c>
      <c r="I8519" t="s">
        <v>4909</v>
      </c>
      <c r="J8519" t="s">
        <v>4909</v>
      </c>
      <c r="K8519" t="s">
        <v>4909</v>
      </c>
    </row>
    <row r="8520" spans="1:11" x14ac:dyDescent="0.2">
      <c r="A8520" t="s">
        <v>1885</v>
      </c>
      <c r="B8520" t="s">
        <v>4909</v>
      </c>
      <c r="C8520" t="s">
        <v>4909</v>
      </c>
      <c r="D8520" t="s">
        <v>4909</v>
      </c>
      <c r="E8520" t="s">
        <v>4909</v>
      </c>
      <c r="F8520" s="88">
        <v>0</v>
      </c>
      <c r="G8520" s="88">
        <v>0</v>
      </c>
      <c r="H8520" t="s">
        <v>4909</v>
      </c>
      <c r="I8520" t="s">
        <v>4909</v>
      </c>
      <c r="J8520" t="s">
        <v>4909</v>
      </c>
      <c r="K8520" t="s">
        <v>4909</v>
      </c>
    </row>
    <row r="8521" spans="1:11" x14ac:dyDescent="0.2">
      <c r="A8521" t="s">
        <v>1887</v>
      </c>
      <c r="B8521" t="s">
        <v>4909</v>
      </c>
      <c r="C8521" t="s">
        <v>4909</v>
      </c>
      <c r="D8521" t="s">
        <v>4909</v>
      </c>
      <c r="E8521" t="s">
        <v>4909</v>
      </c>
      <c r="F8521" t="s">
        <v>4909</v>
      </c>
      <c r="G8521" t="s">
        <v>4909</v>
      </c>
      <c r="H8521" t="s">
        <v>4909</v>
      </c>
      <c r="I8521" t="s">
        <v>4909</v>
      </c>
      <c r="J8521" t="s">
        <v>4909</v>
      </c>
      <c r="K8521" t="s">
        <v>4909</v>
      </c>
    </row>
    <row r="8522" spans="1:11" x14ac:dyDescent="0.2">
      <c r="A8522" t="s">
        <v>1893</v>
      </c>
      <c r="B8522" t="s">
        <v>4909</v>
      </c>
      <c r="C8522" t="s">
        <v>4909</v>
      </c>
      <c r="D8522" t="s">
        <v>4909</v>
      </c>
      <c r="E8522" t="s">
        <v>4909</v>
      </c>
      <c r="F8522" t="s">
        <v>4909</v>
      </c>
      <c r="G8522" s="88">
        <v>0</v>
      </c>
      <c r="H8522" t="s">
        <v>4909</v>
      </c>
      <c r="I8522" t="s">
        <v>4909</v>
      </c>
      <c r="J8522" t="s">
        <v>4909</v>
      </c>
      <c r="K8522" t="s">
        <v>4909</v>
      </c>
    </row>
    <row r="8523" spans="1:11" x14ac:dyDescent="0.2">
      <c r="A8523" t="s">
        <v>1899</v>
      </c>
      <c r="B8523" t="s">
        <v>4909</v>
      </c>
      <c r="C8523" t="s">
        <v>4909</v>
      </c>
      <c r="D8523" t="s">
        <v>4909</v>
      </c>
      <c r="E8523" t="s">
        <v>4909</v>
      </c>
      <c r="F8523" t="s">
        <v>4909</v>
      </c>
      <c r="G8523" t="s">
        <v>4909</v>
      </c>
      <c r="H8523" t="s">
        <v>4909</v>
      </c>
      <c r="I8523" t="s">
        <v>4909</v>
      </c>
      <c r="J8523" t="s">
        <v>4909</v>
      </c>
      <c r="K8523" t="s">
        <v>4909</v>
      </c>
    </row>
    <row r="8524" spans="1:11" x14ac:dyDescent="0.2">
      <c r="A8524" t="s">
        <v>1906</v>
      </c>
      <c r="B8524" t="s">
        <v>4909</v>
      </c>
      <c r="C8524" t="s">
        <v>4909</v>
      </c>
      <c r="D8524" t="s">
        <v>4909</v>
      </c>
      <c r="E8524" t="s">
        <v>4909</v>
      </c>
      <c r="F8524" t="s">
        <v>4909</v>
      </c>
      <c r="G8524" t="s">
        <v>4909</v>
      </c>
      <c r="H8524" t="s">
        <v>4909</v>
      </c>
      <c r="I8524" t="s">
        <v>4909</v>
      </c>
      <c r="J8524" t="s">
        <v>4909</v>
      </c>
      <c r="K8524" t="s">
        <v>4909</v>
      </c>
    </row>
    <row r="8525" spans="1:11" x14ac:dyDescent="0.2">
      <c r="A8525" t="s">
        <v>1911</v>
      </c>
      <c r="B8525" t="s">
        <v>4909</v>
      </c>
      <c r="C8525" t="s">
        <v>4909</v>
      </c>
      <c r="D8525" t="s">
        <v>4909</v>
      </c>
      <c r="E8525" t="s">
        <v>4909</v>
      </c>
      <c r="F8525" t="s">
        <v>4909</v>
      </c>
      <c r="G8525" t="s">
        <v>4909</v>
      </c>
      <c r="H8525" t="s">
        <v>4909</v>
      </c>
      <c r="I8525" t="s">
        <v>4909</v>
      </c>
      <c r="J8525" t="s">
        <v>4909</v>
      </c>
      <c r="K8525" t="s">
        <v>4909</v>
      </c>
    </row>
    <row r="8526" spans="1:11" x14ac:dyDescent="0.2">
      <c r="A8526" t="s">
        <v>1917</v>
      </c>
      <c r="B8526" t="s">
        <v>4909</v>
      </c>
      <c r="C8526" t="s">
        <v>4909</v>
      </c>
      <c r="D8526" t="s">
        <v>4909</v>
      </c>
      <c r="E8526" t="s">
        <v>4909</v>
      </c>
      <c r="F8526" t="s">
        <v>4909</v>
      </c>
      <c r="G8526" t="s">
        <v>4909</v>
      </c>
      <c r="H8526" t="s">
        <v>4909</v>
      </c>
      <c r="I8526" t="s">
        <v>4909</v>
      </c>
      <c r="J8526" t="s">
        <v>4909</v>
      </c>
      <c r="K8526" t="s">
        <v>4909</v>
      </c>
    </row>
    <row r="8527" spans="1:11" x14ac:dyDescent="0.2">
      <c r="A8527" t="s">
        <v>1922</v>
      </c>
      <c r="B8527" t="s">
        <v>4909</v>
      </c>
      <c r="C8527" t="s">
        <v>4909</v>
      </c>
      <c r="D8527" t="s">
        <v>4909</v>
      </c>
      <c r="E8527" t="s">
        <v>4909</v>
      </c>
      <c r="F8527" t="s">
        <v>4909</v>
      </c>
      <c r="G8527" t="s">
        <v>4909</v>
      </c>
      <c r="H8527" t="s">
        <v>4909</v>
      </c>
      <c r="I8527" t="s">
        <v>4909</v>
      </c>
      <c r="J8527" t="s">
        <v>4909</v>
      </c>
      <c r="K8527" t="s">
        <v>4909</v>
      </c>
    </row>
    <row r="8528" spans="1:11" x14ac:dyDescent="0.2">
      <c r="A8528" t="s">
        <v>1928</v>
      </c>
      <c r="B8528" t="s">
        <v>4909</v>
      </c>
      <c r="C8528" t="s">
        <v>4909</v>
      </c>
      <c r="D8528" t="s">
        <v>4909</v>
      </c>
      <c r="E8528" t="s">
        <v>4909</v>
      </c>
      <c r="F8528" t="s">
        <v>4909</v>
      </c>
      <c r="G8528" t="s">
        <v>4909</v>
      </c>
      <c r="H8528" t="s">
        <v>4909</v>
      </c>
      <c r="I8528" t="s">
        <v>4909</v>
      </c>
      <c r="J8528" t="s">
        <v>4909</v>
      </c>
      <c r="K8528" t="s">
        <v>4909</v>
      </c>
    </row>
    <row r="8529" spans="1:11" x14ac:dyDescent="0.2">
      <c r="A8529" t="s">
        <v>1932</v>
      </c>
      <c r="B8529" t="s">
        <v>4909</v>
      </c>
      <c r="C8529" t="s">
        <v>4909</v>
      </c>
      <c r="D8529" t="s">
        <v>4909</v>
      </c>
      <c r="E8529" t="s">
        <v>4909</v>
      </c>
      <c r="F8529" t="s">
        <v>4909</v>
      </c>
      <c r="G8529" t="s">
        <v>4909</v>
      </c>
      <c r="H8529" t="s">
        <v>4909</v>
      </c>
      <c r="I8529" t="s">
        <v>4909</v>
      </c>
      <c r="J8529" t="s">
        <v>4909</v>
      </c>
      <c r="K8529" t="s">
        <v>4909</v>
      </c>
    </row>
    <row r="8530" spans="1:11" x14ac:dyDescent="0.2">
      <c r="A8530" t="s">
        <v>1938</v>
      </c>
      <c r="B8530" t="s">
        <v>4909</v>
      </c>
      <c r="C8530" t="s">
        <v>4909</v>
      </c>
      <c r="D8530" t="s">
        <v>4909</v>
      </c>
      <c r="E8530" t="s">
        <v>4909</v>
      </c>
      <c r="F8530" t="s">
        <v>4909</v>
      </c>
      <c r="G8530" t="s">
        <v>4909</v>
      </c>
      <c r="H8530" t="s">
        <v>4909</v>
      </c>
      <c r="I8530" t="s">
        <v>4909</v>
      </c>
      <c r="J8530" t="s">
        <v>4909</v>
      </c>
      <c r="K8530" t="s">
        <v>4909</v>
      </c>
    </row>
    <row r="8531" spans="1:11" x14ac:dyDescent="0.2">
      <c r="A8531" t="s">
        <v>1944</v>
      </c>
      <c r="B8531" t="s">
        <v>4909</v>
      </c>
      <c r="C8531" t="s">
        <v>4909</v>
      </c>
      <c r="D8531" t="s">
        <v>4909</v>
      </c>
      <c r="E8531" t="s">
        <v>4909</v>
      </c>
      <c r="F8531" t="s">
        <v>4909</v>
      </c>
      <c r="G8531" t="s">
        <v>4909</v>
      </c>
      <c r="H8531" t="s">
        <v>4909</v>
      </c>
      <c r="I8531" t="s">
        <v>4909</v>
      </c>
      <c r="J8531" t="s">
        <v>4909</v>
      </c>
      <c r="K8531" t="s">
        <v>4909</v>
      </c>
    </row>
    <row r="8532" spans="1:11" x14ac:dyDescent="0.2">
      <c r="A8532" t="s">
        <v>1947</v>
      </c>
      <c r="B8532" t="s">
        <v>4909</v>
      </c>
      <c r="C8532" t="s">
        <v>4909</v>
      </c>
      <c r="D8532" t="s">
        <v>4909</v>
      </c>
      <c r="E8532" t="s">
        <v>4909</v>
      </c>
      <c r="F8532" t="s">
        <v>4909</v>
      </c>
      <c r="G8532" t="s">
        <v>4909</v>
      </c>
      <c r="H8532" t="s">
        <v>4909</v>
      </c>
      <c r="I8532" t="s">
        <v>4909</v>
      </c>
      <c r="J8532" t="s">
        <v>4909</v>
      </c>
      <c r="K8532" t="s">
        <v>4909</v>
      </c>
    </row>
    <row r="8533" spans="1:11" x14ac:dyDescent="0.2">
      <c r="A8533" t="s">
        <v>1953</v>
      </c>
      <c r="B8533" t="s">
        <v>4909</v>
      </c>
      <c r="C8533" t="s">
        <v>4909</v>
      </c>
      <c r="D8533" t="s">
        <v>4909</v>
      </c>
      <c r="E8533" t="s">
        <v>4909</v>
      </c>
      <c r="F8533" t="s">
        <v>4909</v>
      </c>
      <c r="G8533" t="s">
        <v>4909</v>
      </c>
      <c r="H8533" t="s">
        <v>4909</v>
      </c>
      <c r="I8533" t="s">
        <v>4909</v>
      </c>
      <c r="J8533" t="s">
        <v>4909</v>
      </c>
      <c r="K8533" t="s">
        <v>4909</v>
      </c>
    </row>
    <row r="8534" spans="1:11" x14ac:dyDescent="0.2">
      <c r="A8534" t="s">
        <v>1958</v>
      </c>
      <c r="B8534" t="s">
        <v>4909</v>
      </c>
      <c r="C8534" t="s">
        <v>4909</v>
      </c>
      <c r="D8534" t="s">
        <v>4909</v>
      </c>
      <c r="E8534" t="s">
        <v>4909</v>
      </c>
      <c r="F8534" t="s">
        <v>4909</v>
      </c>
      <c r="G8534" t="s">
        <v>4909</v>
      </c>
      <c r="H8534" t="s">
        <v>4909</v>
      </c>
      <c r="I8534" t="s">
        <v>4909</v>
      </c>
      <c r="J8534" t="s">
        <v>4909</v>
      </c>
      <c r="K8534" t="s">
        <v>4909</v>
      </c>
    </row>
    <row r="8535" spans="1:11" x14ac:dyDescent="0.2">
      <c r="A8535" t="s">
        <v>1964</v>
      </c>
      <c r="B8535" t="s">
        <v>4909</v>
      </c>
      <c r="C8535" t="s">
        <v>4909</v>
      </c>
      <c r="D8535" t="s">
        <v>4909</v>
      </c>
      <c r="E8535" t="s">
        <v>4909</v>
      </c>
      <c r="F8535" t="s">
        <v>4909</v>
      </c>
      <c r="G8535" t="s">
        <v>4909</v>
      </c>
      <c r="H8535" t="s">
        <v>4909</v>
      </c>
      <c r="I8535" t="s">
        <v>4909</v>
      </c>
      <c r="J8535" t="s">
        <v>4909</v>
      </c>
      <c r="K8535" t="s">
        <v>4909</v>
      </c>
    </row>
    <row r="8536" spans="1:11" x14ac:dyDescent="0.2">
      <c r="A8536" t="s">
        <v>1973</v>
      </c>
      <c r="B8536" t="s">
        <v>4909</v>
      </c>
      <c r="C8536" t="s">
        <v>4909</v>
      </c>
      <c r="D8536" t="s">
        <v>4909</v>
      </c>
      <c r="E8536" t="s">
        <v>4909</v>
      </c>
      <c r="F8536" t="s">
        <v>4909</v>
      </c>
      <c r="G8536" t="s">
        <v>4909</v>
      </c>
      <c r="H8536" t="s">
        <v>4909</v>
      </c>
      <c r="I8536" t="s">
        <v>4909</v>
      </c>
      <c r="J8536" t="s">
        <v>4909</v>
      </c>
      <c r="K8536" t="s">
        <v>4909</v>
      </c>
    </row>
    <row r="8537" spans="1:11" x14ac:dyDescent="0.2">
      <c r="A8537" t="s">
        <v>1978</v>
      </c>
      <c r="B8537" t="s">
        <v>4909</v>
      </c>
      <c r="C8537" t="s">
        <v>4909</v>
      </c>
      <c r="D8537" t="s">
        <v>4909</v>
      </c>
      <c r="E8537" t="s">
        <v>4909</v>
      </c>
      <c r="F8537" t="s">
        <v>4909</v>
      </c>
      <c r="G8537" t="s">
        <v>4909</v>
      </c>
      <c r="H8537" t="s">
        <v>4909</v>
      </c>
      <c r="I8537" t="s">
        <v>4909</v>
      </c>
      <c r="J8537" t="s">
        <v>4909</v>
      </c>
      <c r="K8537" t="s">
        <v>4909</v>
      </c>
    </row>
    <row r="8538" spans="1:11" x14ac:dyDescent="0.2">
      <c r="A8538" t="s">
        <v>1983</v>
      </c>
      <c r="B8538" t="s">
        <v>4909</v>
      </c>
      <c r="C8538" t="s">
        <v>4909</v>
      </c>
      <c r="D8538" t="s">
        <v>4909</v>
      </c>
      <c r="E8538" t="s">
        <v>4909</v>
      </c>
      <c r="F8538" t="s">
        <v>4909</v>
      </c>
      <c r="G8538" t="s">
        <v>4909</v>
      </c>
      <c r="H8538" t="s">
        <v>4909</v>
      </c>
      <c r="I8538" t="s">
        <v>4909</v>
      </c>
      <c r="J8538" t="s">
        <v>4909</v>
      </c>
      <c r="K8538" t="s">
        <v>4909</v>
      </c>
    </row>
    <row r="8539" spans="1:11" x14ac:dyDescent="0.2">
      <c r="A8539" t="s">
        <v>1984</v>
      </c>
      <c r="B8539" t="s">
        <v>4909</v>
      </c>
      <c r="C8539" t="s">
        <v>4909</v>
      </c>
      <c r="D8539" t="s">
        <v>4909</v>
      </c>
      <c r="E8539" t="s">
        <v>4909</v>
      </c>
      <c r="F8539" t="s">
        <v>4909</v>
      </c>
      <c r="G8539" t="s">
        <v>4909</v>
      </c>
      <c r="H8539" t="s">
        <v>4909</v>
      </c>
      <c r="I8539" t="s">
        <v>4909</v>
      </c>
      <c r="J8539" t="s">
        <v>4909</v>
      </c>
      <c r="K8539" t="s">
        <v>4909</v>
      </c>
    </row>
    <row r="8540" spans="1:11" x14ac:dyDescent="0.2">
      <c r="A8540" t="s">
        <v>1990</v>
      </c>
      <c r="B8540" t="s">
        <v>4909</v>
      </c>
      <c r="C8540" t="s">
        <v>4909</v>
      </c>
      <c r="D8540" t="s">
        <v>4909</v>
      </c>
      <c r="E8540" t="s">
        <v>4909</v>
      </c>
      <c r="F8540" t="s">
        <v>4909</v>
      </c>
      <c r="G8540" t="s">
        <v>4909</v>
      </c>
      <c r="H8540" t="s">
        <v>4909</v>
      </c>
      <c r="I8540" t="s">
        <v>4909</v>
      </c>
      <c r="J8540" t="s">
        <v>4909</v>
      </c>
      <c r="K8540" t="s">
        <v>4909</v>
      </c>
    </row>
    <row r="8541" spans="1:11" x14ac:dyDescent="0.2">
      <c r="A8541" t="s">
        <v>1996</v>
      </c>
      <c r="B8541" t="s">
        <v>4909</v>
      </c>
      <c r="C8541" t="s">
        <v>4909</v>
      </c>
      <c r="D8541" t="s">
        <v>4909</v>
      </c>
      <c r="E8541" t="s">
        <v>4909</v>
      </c>
      <c r="F8541" t="s">
        <v>4909</v>
      </c>
      <c r="G8541" t="s">
        <v>4909</v>
      </c>
      <c r="H8541" t="s">
        <v>4909</v>
      </c>
      <c r="I8541" t="s">
        <v>4909</v>
      </c>
      <c r="J8541" t="s">
        <v>4909</v>
      </c>
      <c r="K8541" t="s">
        <v>4909</v>
      </c>
    </row>
    <row r="8542" spans="1:11" x14ac:dyDescent="0.2">
      <c r="A8542" t="s">
        <v>1998</v>
      </c>
      <c r="B8542" t="s">
        <v>4909</v>
      </c>
      <c r="C8542" t="s">
        <v>4909</v>
      </c>
      <c r="D8542" t="s">
        <v>4909</v>
      </c>
      <c r="E8542" t="s">
        <v>4909</v>
      </c>
      <c r="F8542" t="s">
        <v>4909</v>
      </c>
      <c r="G8542" t="s">
        <v>4909</v>
      </c>
      <c r="H8542" t="s">
        <v>4909</v>
      </c>
      <c r="I8542" t="s">
        <v>4909</v>
      </c>
      <c r="J8542" t="s">
        <v>4909</v>
      </c>
      <c r="K8542" t="s">
        <v>4909</v>
      </c>
    </row>
    <row r="8543" spans="1:11" x14ac:dyDescent="0.2">
      <c r="A8543" t="s">
        <v>1999</v>
      </c>
      <c r="B8543" t="s">
        <v>4909</v>
      </c>
      <c r="C8543" t="s">
        <v>4909</v>
      </c>
      <c r="D8543" t="s">
        <v>4909</v>
      </c>
      <c r="E8543" t="s">
        <v>4909</v>
      </c>
      <c r="F8543" t="s">
        <v>4909</v>
      </c>
      <c r="G8543" t="s">
        <v>4909</v>
      </c>
      <c r="H8543" t="s">
        <v>4909</v>
      </c>
      <c r="I8543" t="s">
        <v>4909</v>
      </c>
      <c r="J8543" t="s">
        <v>4909</v>
      </c>
      <c r="K8543" t="s">
        <v>4909</v>
      </c>
    </row>
    <row r="8544" spans="1:11" x14ac:dyDescent="0.2">
      <c r="A8544" t="s">
        <v>2004</v>
      </c>
      <c r="B8544" t="s">
        <v>4909</v>
      </c>
      <c r="C8544" t="s">
        <v>4909</v>
      </c>
      <c r="D8544" t="s">
        <v>4909</v>
      </c>
      <c r="E8544" t="s">
        <v>4909</v>
      </c>
      <c r="F8544" t="s">
        <v>4909</v>
      </c>
      <c r="G8544" t="s">
        <v>4909</v>
      </c>
      <c r="H8544" t="s">
        <v>4909</v>
      </c>
      <c r="I8544" t="s">
        <v>4909</v>
      </c>
      <c r="J8544" t="s">
        <v>4909</v>
      </c>
      <c r="K8544" t="s">
        <v>4909</v>
      </c>
    </row>
    <row r="8545" spans="1:11" x14ac:dyDescent="0.2">
      <c r="A8545" t="s">
        <v>2009</v>
      </c>
      <c r="B8545" t="s">
        <v>4909</v>
      </c>
      <c r="C8545" t="s">
        <v>4909</v>
      </c>
      <c r="D8545" t="s">
        <v>4909</v>
      </c>
      <c r="E8545" t="s">
        <v>4909</v>
      </c>
      <c r="F8545" t="s">
        <v>4909</v>
      </c>
      <c r="G8545" t="s">
        <v>4909</v>
      </c>
      <c r="H8545" t="s">
        <v>4909</v>
      </c>
      <c r="I8545" t="s">
        <v>4909</v>
      </c>
      <c r="J8545" t="s">
        <v>4909</v>
      </c>
      <c r="K8545" t="s">
        <v>4909</v>
      </c>
    </row>
    <row r="8546" spans="1:11" x14ac:dyDescent="0.2">
      <c r="A8546" t="s">
        <v>2014</v>
      </c>
      <c r="B8546" t="s">
        <v>4909</v>
      </c>
      <c r="C8546" t="s">
        <v>4909</v>
      </c>
      <c r="D8546" t="s">
        <v>4909</v>
      </c>
      <c r="E8546" t="s">
        <v>4909</v>
      </c>
      <c r="F8546" t="s">
        <v>4909</v>
      </c>
      <c r="G8546" t="s">
        <v>4909</v>
      </c>
      <c r="H8546" t="s">
        <v>4909</v>
      </c>
      <c r="I8546" t="s">
        <v>4909</v>
      </c>
      <c r="J8546" t="s">
        <v>4909</v>
      </c>
      <c r="K8546" t="s">
        <v>4909</v>
      </c>
    </row>
    <row r="8547" spans="1:11" x14ac:dyDescent="0.2">
      <c r="A8547" t="s">
        <v>2019</v>
      </c>
      <c r="B8547" t="s">
        <v>4909</v>
      </c>
      <c r="C8547" t="s">
        <v>4909</v>
      </c>
      <c r="D8547" t="s">
        <v>4909</v>
      </c>
      <c r="E8547" t="s">
        <v>4909</v>
      </c>
      <c r="F8547" t="s">
        <v>4909</v>
      </c>
      <c r="G8547" t="s">
        <v>4909</v>
      </c>
      <c r="H8547" t="s">
        <v>4909</v>
      </c>
      <c r="I8547" t="s">
        <v>4909</v>
      </c>
      <c r="J8547" t="s">
        <v>4909</v>
      </c>
      <c r="K8547" t="s">
        <v>4909</v>
      </c>
    </row>
    <row r="8548" spans="1:11" x14ac:dyDescent="0.2">
      <c r="A8548" t="s">
        <v>2023</v>
      </c>
      <c r="B8548" t="s">
        <v>4909</v>
      </c>
      <c r="C8548" t="s">
        <v>4909</v>
      </c>
      <c r="D8548" t="s">
        <v>4909</v>
      </c>
      <c r="E8548" t="s">
        <v>4909</v>
      </c>
      <c r="F8548" t="s">
        <v>4909</v>
      </c>
      <c r="G8548" t="s">
        <v>4909</v>
      </c>
      <c r="H8548" t="s">
        <v>4909</v>
      </c>
      <c r="I8548" t="s">
        <v>4909</v>
      </c>
      <c r="J8548" t="s">
        <v>4909</v>
      </c>
      <c r="K8548" t="s">
        <v>4909</v>
      </c>
    </row>
    <row r="8549" spans="1:11" x14ac:dyDescent="0.2">
      <c r="A8549" t="s">
        <v>2026</v>
      </c>
      <c r="B8549" t="s">
        <v>4909</v>
      </c>
      <c r="C8549" t="s">
        <v>4909</v>
      </c>
      <c r="D8549" t="s">
        <v>4909</v>
      </c>
      <c r="E8549" t="s">
        <v>4909</v>
      </c>
      <c r="F8549" t="s">
        <v>4909</v>
      </c>
      <c r="G8549" t="s">
        <v>4909</v>
      </c>
      <c r="H8549" t="s">
        <v>4909</v>
      </c>
      <c r="I8549" t="s">
        <v>4909</v>
      </c>
      <c r="J8549" t="s">
        <v>4909</v>
      </c>
      <c r="K8549" t="s">
        <v>4909</v>
      </c>
    </row>
    <row r="8550" spans="1:11" x14ac:dyDescent="0.2">
      <c r="A8550" t="s">
        <v>2030</v>
      </c>
      <c r="B8550" t="s">
        <v>4909</v>
      </c>
      <c r="C8550" t="s">
        <v>4909</v>
      </c>
      <c r="D8550" t="s">
        <v>4909</v>
      </c>
      <c r="E8550" t="s">
        <v>4909</v>
      </c>
      <c r="F8550" t="s">
        <v>4909</v>
      </c>
      <c r="G8550" t="s">
        <v>4909</v>
      </c>
      <c r="H8550" t="s">
        <v>4909</v>
      </c>
      <c r="I8550" t="s">
        <v>4909</v>
      </c>
      <c r="J8550" t="s">
        <v>4909</v>
      </c>
      <c r="K8550" t="s">
        <v>4909</v>
      </c>
    </row>
    <row r="8551" spans="1:11" x14ac:dyDescent="0.2">
      <c r="A8551" t="s">
        <v>2035</v>
      </c>
      <c r="B8551" t="s">
        <v>4909</v>
      </c>
      <c r="C8551" t="s">
        <v>4909</v>
      </c>
      <c r="D8551" t="s">
        <v>4909</v>
      </c>
      <c r="E8551" t="s">
        <v>4909</v>
      </c>
      <c r="F8551" t="s">
        <v>4909</v>
      </c>
      <c r="G8551" t="s">
        <v>4909</v>
      </c>
      <c r="H8551" t="s">
        <v>4909</v>
      </c>
      <c r="I8551" t="s">
        <v>4909</v>
      </c>
      <c r="J8551" t="s">
        <v>4909</v>
      </c>
      <c r="K8551" t="s">
        <v>4909</v>
      </c>
    </row>
    <row r="8552" spans="1:11" x14ac:dyDescent="0.2">
      <c r="A8552" t="s">
        <v>2040</v>
      </c>
      <c r="B8552" t="s">
        <v>4909</v>
      </c>
      <c r="C8552" t="s">
        <v>4909</v>
      </c>
      <c r="D8552" t="s">
        <v>4909</v>
      </c>
      <c r="E8552" t="s">
        <v>4909</v>
      </c>
      <c r="F8552" t="s">
        <v>4909</v>
      </c>
      <c r="G8552" t="s">
        <v>4909</v>
      </c>
      <c r="H8552" t="s">
        <v>4909</v>
      </c>
      <c r="I8552" t="s">
        <v>4909</v>
      </c>
      <c r="J8552" t="s">
        <v>4909</v>
      </c>
      <c r="K8552" t="s">
        <v>4909</v>
      </c>
    </row>
    <row r="8553" spans="1:11" x14ac:dyDescent="0.2">
      <c r="A8553" t="s">
        <v>2045</v>
      </c>
      <c r="B8553" t="s">
        <v>4909</v>
      </c>
      <c r="C8553" t="s">
        <v>4909</v>
      </c>
      <c r="D8553" t="s">
        <v>4909</v>
      </c>
      <c r="E8553" t="s">
        <v>4909</v>
      </c>
      <c r="F8553" t="s">
        <v>4909</v>
      </c>
      <c r="G8553" t="s">
        <v>4909</v>
      </c>
      <c r="H8553" t="s">
        <v>4909</v>
      </c>
      <c r="I8553" t="s">
        <v>4909</v>
      </c>
      <c r="J8553" t="s">
        <v>4909</v>
      </c>
      <c r="K8553" t="s">
        <v>4909</v>
      </c>
    </row>
    <row r="8554" spans="1:11" x14ac:dyDescent="0.2">
      <c r="A8554" t="s">
        <v>2049</v>
      </c>
      <c r="B8554" t="s">
        <v>4909</v>
      </c>
      <c r="C8554" t="s">
        <v>4909</v>
      </c>
      <c r="D8554" t="s">
        <v>4909</v>
      </c>
      <c r="E8554" t="s">
        <v>4909</v>
      </c>
      <c r="F8554" t="s">
        <v>4909</v>
      </c>
      <c r="G8554" t="s">
        <v>4909</v>
      </c>
      <c r="H8554" t="s">
        <v>4909</v>
      </c>
      <c r="I8554" t="s">
        <v>4909</v>
      </c>
      <c r="J8554" t="s">
        <v>4909</v>
      </c>
      <c r="K8554" t="s">
        <v>4909</v>
      </c>
    </row>
    <row r="8555" spans="1:11" x14ac:dyDescent="0.2">
      <c r="A8555" t="s">
        <v>2051</v>
      </c>
      <c r="B8555" t="s">
        <v>4909</v>
      </c>
      <c r="C8555" t="s">
        <v>4909</v>
      </c>
      <c r="D8555" t="s">
        <v>4909</v>
      </c>
      <c r="E8555" t="s">
        <v>4909</v>
      </c>
      <c r="F8555" t="s">
        <v>4909</v>
      </c>
      <c r="G8555" t="s">
        <v>4909</v>
      </c>
      <c r="H8555" t="s">
        <v>4909</v>
      </c>
      <c r="I8555" t="s">
        <v>4909</v>
      </c>
      <c r="J8555" t="s">
        <v>4909</v>
      </c>
      <c r="K8555" t="s">
        <v>4909</v>
      </c>
    </row>
    <row r="8556" spans="1:11" x14ac:dyDescent="0.2">
      <c r="A8556" t="s">
        <v>2057</v>
      </c>
      <c r="B8556" t="s">
        <v>4909</v>
      </c>
      <c r="C8556" t="s">
        <v>4909</v>
      </c>
      <c r="D8556" t="s">
        <v>4909</v>
      </c>
      <c r="E8556" t="s">
        <v>4909</v>
      </c>
      <c r="F8556" t="s">
        <v>4909</v>
      </c>
      <c r="G8556" t="s">
        <v>4909</v>
      </c>
      <c r="H8556" t="s">
        <v>4909</v>
      </c>
      <c r="I8556" t="s">
        <v>4909</v>
      </c>
      <c r="J8556" t="s">
        <v>4909</v>
      </c>
      <c r="K8556" t="s">
        <v>4909</v>
      </c>
    </row>
    <row r="8557" spans="1:11" x14ac:dyDescent="0.2">
      <c r="A8557" t="s">
        <v>4344</v>
      </c>
      <c r="B8557" t="s">
        <v>4909</v>
      </c>
      <c r="C8557" t="s">
        <v>4909</v>
      </c>
      <c r="D8557" t="s">
        <v>4909</v>
      </c>
      <c r="E8557" t="s">
        <v>4909</v>
      </c>
      <c r="F8557" t="s">
        <v>4909</v>
      </c>
      <c r="G8557" t="s">
        <v>4909</v>
      </c>
      <c r="H8557" t="s">
        <v>4909</v>
      </c>
      <c r="I8557" t="s">
        <v>4909</v>
      </c>
      <c r="J8557" t="s">
        <v>4909</v>
      </c>
      <c r="K8557" t="s">
        <v>4909</v>
      </c>
    </row>
    <row r="8558" spans="1:11" x14ac:dyDescent="0.2">
      <c r="A8558" t="s">
        <v>4345</v>
      </c>
      <c r="B8558" t="s">
        <v>4909</v>
      </c>
      <c r="C8558" t="s">
        <v>4909</v>
      </c>
      <c r="D8558" t="s">
        <v>4909</v>
      </c>
      <c r="E8558" t="s">
        <v>4909</v>
      </c>
      <c r="F8558" t="s">
        <v>4909</v>
      </c>
      <c r="G8558" t="s">
        <v>4909</v>
      </c>
      <c r="H8558" t="s">
        <v>4909</v>
      </c>
      <c r="I8558" t="s">
        <v>4909</v>
      </c>
      <c r="J8558" t="s">
        <v>4909</v>
      </c>
      <c r="K8558" t="s">
        <v>4909</v>
      </c>
    </row>
    <row r="8559" spans="1:11" x14ac:dyDescent="0.2">
      <c r="A8559" t="s">
        <v>2074</v>
      </c>
      <c r="B8559" t="s">
        <v>4909</v>
      </c>
      <c r="C8559" t="s">
        <v>4909</v>
      </c>
      <c r="D8559" t="s">
        <v>4909</v>
      </c>
      <c r="E8559" t="s">
        <v>4909</v>
      </c>
      <c r="F8559" t="s">
        <v>4909</v>
      </c>
      <c r="G8559" t="s">
        <v>4909</v>
      </c>
      <c r="H8559" t="s">
        <v>4909</v>
      </c>
      <c r="I8559" t="s">
        <v>4909</v>
      </c>
      <c r="J8559" t="s">
        <v>4909</v>
      </c>
      <c r="K8559" t="s">
        <v>4909</v>
      </c>
    </row>
    <row r="8560" spans="1:11" x14ac:dyDescent="0.2">
      <c r="A8560" t="s">
        <v>2079</v>
      </c>
      <c r="B8560" t="s">
        <v>4909</v>
      </c>
      <c r="C8560" t="s">
        <v>4909</v>
      </c>
      <c r="D8560" t="s">
        <v>4909</v>
      </c>
      <c r="E8560" t="s">
        <v>4909</v>
      </c>
      <c r="F8560" t="s">
        <v>4909</v>
      </c>
      <c r="G8560" t="s">
        <v>4909</v>
      </c>
      <c r="H8560" t="s">
        <v>4909</v>
      </c>
      <c r="I8560" t="s">
        <v>4909</v>
      </c>
      <c r="J8560" t="s">
        <v>4909</v>
      </c>
      <c r="K8560" t="s">
        <v>4909</v>
      </c>
    </row>
    <row r="8561" spans="1:11" x14ac:dyDescent="0.2">
      <c r="A8561" t="s">
        <v>2085</v>
      </c>
      <c r="B8561" t="s">
        <v>4909</v>
      </c>
      <c r="C8561" t="s">
        <v>4909</v>
      </c>
      <c r="D8561" t="s">
        <v>4909</v>
      </c>
      <c r="E8561" t="s">
        <v>4909</v>
      </c>
      <c r="F8561" t="s">
        <v>4909</v>
      </c>
      <c r="G8561" t="s">
        <v>4909</v>
      </c>
      <c r="H8561" t="s">
        <v>4909</v>
      </c>
      <c r="I8561" t="s">
        <v>4909</v>
      </c>
      <c r="J8561" t="s">
        <v>4909</v>
      </c>
      <c r="K8561" t="s">
        <v>4909</v>
      </c>
    </row>
    <row r="8562" spans="1:11" x14ac:dyDescent="0.2">
      <c r="A8562" t="s">
        <v>2091</v>
      </c>
      <c r="B8562" t="s">
        <v>4909</v>
      </c>
      <c r="C8562" t="s">
        <v>4909</v>
      </c>
      <c r="D8562" t="s">
        <v>4909</v>
      </c>
      <c r="E8562" t="s">
        <v>4909</v>
      </c>
      <c r="F8562" t="s">
        <v>4909</v>
      </c>
      <c r="G8562" t="s">
        <v>4909</v>
      </c>
      <c r="H8562" t="s">
        <v>4909</v>
      </c>
      <c r="I8562" t="s">
        <v>4909</v>
      </c>
      <c r="J8562" t="s">
        <v>4909</v>
      </c>
      <c r="K8562" t="s">
        <v>4909</v>
      </c>
    </row>
    <row r="8563" spans="1:11" x14ac:dyDescent="0.2">
      <c r="A8563" t="s">
        <v>2097</v>
      </c>
      <c r="B8563" t="s">
        <v>4909</v>
      </c>
      <c r="C8563" t="s">
        <v>4909</v>
      </c>
      <c r="D8563" t="s">
        <v>4909</v>
      </c>
      <c r="E8563" t="s">
        <v>4909</v>
      </c>
      <c r="F8563" t="s">
        <v>4909</v>
      </c>
      <c r="G8563" t="s">
        <v>4909</v>
      </c>
      <c r="H8563" t="s">
        <v>4909</v>
      </c>
      <c r="I8563" t="s">
        <v>4909</v>
      </c>
      <c r="J8563" t="s">
        <v>4909</v>
      </c>
      <c r="K8563" t="s">
        <v>4909</v>
      </c>
    </row>
    <row r="8564" spans="1:11" x14ac:dyDescent="0.2">
      <c r="A8564" t="s">
        <v>2101</v>
      </c>
      <c r="B8564" t="s">
        <v>4909</v>
      </c>
      <c r="C8564" t="s">
        <v>4909</v>
      </c>
      <c r="D8564" t="s">
        <v>4909</v>
      </c>
      <c r="E8564" t="s">
        <v>4909</v>
      </c>
      <c r="F8564" t="s">
        <v>4909</v>
      </c>
      <c r="G8564" t="s">
        <v>4909</v>
      </c>
      <c r="H8564" t="s">
        <v>4909</v>
      </c>
      <c r="I8564" t="s">
        <v>4909</v>
      </c>
      <c r="J8564" t="s">
        <v>4909</v>
      </c>
      <c r="K8564" t="s">
        <v>4909</v>
      </c>
    </row>
    <row r="8565" spans="1:11" x14ac:dyDescent="0.2">
      <c r="A8565" t="s">
        <v>2104</v>
      </c>
      <c r="B8565" t="s">
        <v>4909</v>
      </c>
      <c r="C8565" t="s">
        <v>4909</v>
      </c>
      <c r="D8565" t="s">
        <v>4909</v>
      </c>
      <c r="E8565" t="s">
        <v>4909</v>
      </c>
      <c r="F8565" t="s">
        <v>4909</v>
      </c>
      <c r="G8565" t="s">
        <v>4909</v>
      </c>
      <c r="H8565" t="s">
        <v>4909</v>
      </c>
      <c r="I8565" t="s">
        <v>4909</v>
      </c>
      <c r="J8565" t="s">
        <v>4909</v>
      </c>
      <c r="K8565" t="s">
        <v>4909</v>
      </c>
    </row>
    <row r="8566" spans="1:11" x14ac:dyDescent="0.2">
      <c r="A8566" t="s">
        <v>2107</v>
      </c>
      <c r="B8566" t="s">
        <v>4909</v>
      </c>
      <c r="C8566" t="s">
        <v>4909</v>
      </c>
      <c r="D8566" t="s">
        <v>4909</v>
      </c>
      <c r="E8566" t="s">
        <v>4909</v>
      </c>
      <c r="F8566" t="s">
        <v>4909</v>
      </c>
      <c r="G8566" t="s">
        <v>4909</v>
      </c>
      <c r="H8566" t="s">
        <v>4909</v>
      </c>
      <c r="I8566" t="s">
        <v>4909</v>
      </c>
      <c r="J8566" t="s">
        <v>4909</v>
      </c>
      <c r="K8566" t="s">
        <v>4909</v>
      </c>
    </row>
    <row r="8567" spans="1:11" x14ac:dyDescent="0.2">
      <c r="A8567" t="s">
        <v>2110</v>
      </c>
      <c r="B8567" t="s">
        <v>4909</v>
      </c>
      <c r="C8567" t="s">
        <v>4909</v>
      </c>
      <c r="D8567" t="s">
        <v>4909</v>
      </c>
      <c r="E8567" t="s">
        <v>4909</v>
      </c>
      <c r="F8567" t="s">
        <v>4909</v>
      </c>
      <c r="G8567" t="s">
        <v>4909</v>
      </c>
      <c r="H8567" t="s">
        <v>4909</v>
      </c>
      <c r="I8567" t="s">
        <v>4909</v>
      </c>
      <c r="J8567" t="s">
        <v>4909</v>
      </c>
      <c r="K8567" t="s">
        <v>4909</v>
      </c>
    </row>
    <row r="8568" spans="1:11" x14ac:dyDescent="0.2">
      <c r="A8568" t="s">
        <v>2113</v>
      </c>
      <c r="B8568" t="s">
        <v>4909</v>
      </c>
      <c r="C8568" t="s">
        <v>4909</v>
      </c>
      <c r="D8568" t="s">
        <v>4909</v>
      </c>
      <c r="E8568" t="s">
        <v>4909</v>
      </c>
      <c r="F8568" t="s">
        <v>4909</v>
      </c>
      <c r="G8568" t="s">
        <v>4909</v>
      </c>
      <c r="H8568" t="s">
        <v>4909</v>
      </c>
      <c r="I8568" t="s">
        <v>4909</v>
      </c>
      <c r="J8568" t="s">
        <v>4909</v>
      </c>
      <c r="K8568" t="s">
        <v>4909</v>
      </c>
    </row>
    <row r="8569" spans="1:11" x14ac:dyDescent="0.2">
      <c r="A8569" t="s">
        <v>4346</v>
      </c>
      <c r="B8569" t="s">
        <v>4909</v>
      </c>
      <c r="C8569" t="s">
        <v>4909</v>
      </c>
      <c r="D8569" t="s">
        <v>4909</v>
      </c>
      <c r="E8569" t="s">
        <v>4909</v>
      </c>
      <c r="F8569" t="s">
        <v>4909</v>
      </c>
      <c r="G8569" t="s">
        <v>4909</v>
      </c>
      <c r="H8569" t="s">
        <v>4909</v>
      </c>
      <c r="I8569" t="s">
        <v>4909</v>
      </c>
      <c r="J8569" t="s">
        <v>4909</v>
      </c>
      <c r="K8569" t="s">
        <v>4909</v>
      </c>
    </row>
    <row r="8570" spans="1:11" x14ac:dyDescent="0.2">
      <c r="A8570" t="s">
        <v>4347</v>
      </c>
      <c r="B8570" t="s">
        <v>4909</v>
      </c>
      <c r="C8570" t="s">
        <v>4909</v>
      </c>
      <c r="D8570" t="s">
        <v>4909</v>
      </c>
      <c r="E8570" t="s">
        <v>4909</v>
      </c>
      <c r="F8570" t="s">
        <v>4909</v>
      </c>
      <c r="G8570" t="s">
        <v>4909</v>
      </c>
      <c r="H8570" t="s">
        <v>4909</v>
      </c>
      <c r="I8570" t="s">
        <v>4909</v>
      </c>
      <c r="J8570" t="s">
        <v>4909</v>
      </c>
      <c r="K8570" t="s">
        <v>4909</v>
      </c>
    </row>
    <row r="8571" spans="1:11" x14ac:dyDescent="0.2">
      <c r="A8571" t="s">
        <v>4348</v>
      </c>
      <c r="B8571" t="s">
        <v>4909</v>
      </c>
      <c r="C8571" t="s">
        <v>4909</v>
      </c>
      <c r="D8571" t="s">
        <v>4909</v>
      </c>
      <c r="E8571" t="s">
        <v>4909</v>
      </c>
      <c r="F8571" t="s">
        <v>4909</v>
      </c>
      <c r="G8571" t="s">
        <v>4909</v>
      </c>
      <c r="H8571" t="s">
        <v>4909</v>
      </c>
      <c r="I8571" t="s">
        <v>4909</v>
      </c>
      <c r="J8571" t="s">
        <v>4909</v>
      </c>
      <c r="K8571" t="s">
        <v>4909</v>
      </c>
    </row>
    <row r="8572" spans="1:11" x14ac:dyDescent="0.2">
      <c r="A8572" t="s">
        <v>4349</v>
      </c>
      <c r="B8572" t="s">
        <v>4909</v>
      </c>
      <c r="C8572" t="s">
        <v>4909</v>
      </c>
      <c r="D8572" t="s">
        <v>4909</v>
      </c>
      <c r="E8572" t="s">
        <v>4909</v>
      </c>
      <c r="F8572" t="s">
        <v>4909</v>
      </c>
      <c r="G8572" t="s">
        <v>4909</v>
      </c>
      <c r="H8572" t="s">
        <v>4909</v>
      </c>
      <c r="I8572" t="s">
        <v>4909</v>
      </c>
      <c r="J8572" t="s">
        <v>4909</v>
      </c>
      <c r="K8572" t="s">
        <v>4909</v>
      </c>
    </row>
    <row r="8573" spans="1:11" x14ac:dyDescent="0.2">
      <c r="A8573" t="s">
        <v>4350</v>
      </c>
      <c r="B8573" s="88">
        <v>0</v>
      </c>
      <c r="C8573" t="s">
        <v>4909</v>
      </c>
      <c r="D8573" s="88">
        <v>0</v>
      </c>
      <c r="E8573" s="88">
        <v>1E-3</v>
      </c>
      <c r="F8573" t="s">
        <v>4909</v>
      </c>
      <c r="G8573" s="88">
        <v>0</v>
      </c>
      <c r="H8573" t="s">
        <v>4909</v>
      </c>
      <c r="I8573" t="s">
        <v>4909</v>
      </c>
      <c r="J8573" t="s">
        <v>4909</v>
      </c>
      <c r="K8573" t="s">
        <v>4909</v>
      </c>
    </row>
    <row r="8574" spans="1:11" x14ac:dyDescent="0.2">
      <c r="A8574" t="s">
        <v>4351</v>
      </c>
      <c r="B8574" t="s">
        <v>4909</v>
      </c>
      <c r="C8574" t="s">
        <v>4909</v>
      </c>
      <c r="D8574" t="s">
        <v>4909</v>
      </c>
      <c r="E8574" t="s">
        <v>4909</v>
      </c>
      <c r="F8574" t="s">
        <v>4909</v>
      </c>
      <c r="G8574" t="s">
        <v>4909</v>
      </c>
      <c r="H8574" t="s">
        <v>4909</v>
      </c>
      <c r="I8574" t="s">
        <v>4909</v>
      </c>
      <c r="J8574" t="s">
        <v>4909</v>
      </c>
      <c r="K8574" t="s">
        <v>4909</v>
      </c>
    </row>
    <row r="8575" spans="1:11" x14ac:dyDescent="0.2">
      <c r="A8575" t="s">
        <v>4352</v>
      </c>
      <c r="B8575" t="s">
        <v>4909</v>
      </c>
      <c r="C8575" t="s">
        <v>4909</v>
      </c>
      <c r="D8575" t="s">
        <v>4909</v>
      </c>
      <c r="E8575" t="s">
        <v>4909</v>
      </c>
      <c r="F8575" t="s">
        <v>4909</v>
      </c>
      <c r="G8575" t="s">
        <v>4909</v>
      </c>
      <c r="H8575" t="s">
        <v>4909</v>
      </c>
      <c r="I8575" t="s">
        <v>4909</v>
      </c>
      <c r="J8575" t="s">
        <v>4909</v>
      </c>
      <c r="K8575" t="s">
        <v>4909</v>
      </c>
    </row>
    <row r="8576" spans="1:11" x14ac:dyDescent="0.2">
      <c r="A8576" t="s">
        <v>4353</v>
      </c>
      <c r="B8576" s="88">
        <v>2.5999999999999999E-2</v>
      </c>
      <c r="C8576" t="s">
        <v>4909</v>
      </c>
      <c r="D8576" s="88">
        <v>2E-3</v>
      </c>
      <c r="E8576" s="88">
        <v>3.3000000000000002E-2</v>
      </c>
      <c r="F8576" t="s">
        <v>4909</v>
      </c>
      <c r="G8576" s="88">
        <v>2E-3</v>
      </c>
      <c r="H8576" t="s">
        <v>4909</v>
      </c>
      <c r="I8576" t="s">
        <v>4909</v>
      </c>
      <c r="J8576" t="s">
        <v>4909</v>
      </c>
      <c r="K8576" t="s">
        <v>4909</v>
      </c>
    </row>
    <row r="8577" spans="1:11" x14ac:dyDescent="0.2">
      <c r="A8577" t="s">
        <v>4354</v>
      </c>
      <c r="B8577" s="88">
        <v>3.2000000000000001E-2</v>
      </c>
      <c r="C8577" t="s">
        <v>4909</v>
      </c>
      <c r="D8577" s="88">
        <v>2E-3</v>
      </c>
      <c r="E8577" s="88">
        <v>4.3999999999999997E-2</v>
      </c>
      <c r="F8577" s="88">
        <v>1E-3</v>
      </c>
      <c r="G8577" s="88">
        <v>5.0000000000000001E-3</v>
      </c>
      <c r="H8577" s="88">
        <v>0</v>
      </c>
      <c r="I8577" s="88">
        <v>3.0000000000000001E-3</v>
      </c>
      <c r="J8577" t="s">
        <v>4909</v>
      </c>
      <c r="K8577" t="s">
        <v>4909</v>
      </c>
    </row>
    <row r="8578" spans="1:11" x14ac:dyDescent="0.2">
      <c r="A8578" t="s">
        <v>4355</v>
      </c>
      <c r="B8578" t="s">
        <v>4909</v>
      </c>
      <c r="C8578" t="s">
        <v>4909</v>
      </c>
      <c r="D8578" t="s">
        <v>4909</v>
      </c>
      <c r="E8578" t="s">
        <v>4909</v>
      </c>
      <c r="F8578" t="s">
        <v>4909</v>
      </c>
      <c r="G8578" t="s">
        <v>4909</v>
      </c>
      <c r="H8578" t="s">
        <v>4909</v>
      </c>
      <c r="I8578" t="s">
        <v>4909</v>
      </c>
      <c r="J8578" t="s">
        <v>4909</v>
      </c>
      <c r="K8578" t="s">
        <v>4909</v>
      </c>
    </row>
    <row r="8579" spans="1:11" x14ac:dyDescent="0.2">
      <c r="A8579" t="s">
        <v>4356</v>
      </c>
      <c r="B8579" t="s">
        <v>4909</v>
      </c>
      <c r="C8579" t="s">
        <v>4909</v>
      </c>
      <c r="D8579" t="s">
        <v>4909</v>
      </c>
      <c r="E8579" t="s">
        <v>4909</v>
      </c>
      <c r="F8579" t="s">
        <v>4909</v>
      </c>
      <c r="G8579" t="s">
        <v>4909</v>
      </c>
      <c r="H8579" t="s">
        <v>4909</v>
      </c>
      <c r="I8579" t="s">
        <v>4909</v>
      </c>
      <c r="J8579" t="s">
        <v>4909</v>
      </c>
      <c r="K8579" t="s">
        <v>4909</v>
      </c>
    </row>
    <row r="8580" spans="1:11" x14ac:dyDescent="0.2">
      <c r="A8580" t="s">
        <v>4357</v>
      </c>
      <c r="B8580" s="88">
        <v>0</v>
      </c>
      <c r="C8580" t="s">
        <v>4909</v>
      </c>
      <c r="D8580" t="s">
        <v>4909</v>
      </c>
      <c r="E8580" s="88">
        <v>0</v>
      </c>
      <c r="F8580" t="s">
        <v>4909</v>
      </c>
      <c r="G8580" t="s">
        <v>4909</v>
      </c>
      <c r="H8580" t="s">
        <v>4909</v>
      </c>
      <c r="I8580" t="s">
        <v>4909</v>
      </c>
      <c r="J8580" t="s">
        <v>4909</v>
      </c>
      <c r="K8580" t="s">
        <v>4909</v>
      </c>
    </row>
    <row r="8581" spans="1:11" x14ac:dyDescent="0.2">
      <c r="A8581" t="s">
        <v>4358</v>
      </c>
      <c r="B8581" t="s">
        <v>4909</v>
      </c>
      <c r="C8581" t="s">
        <v>4909</v>
      </c>
      <c r="D8581" t="s">
        <v>4909</v>
      </c>
      <c r="E8581" t="s">
        <v>4909</v>
      </c>
      <c r="F8581" t="s">
        <v>4909</v>
      </c>
      <c r="G8581" t="s">
        <v>4909</v>
      </c>
      <c r="H8581" t="s">
        <v>4909</v>
      </c>
      <c r="I8581" t="s">
        <v>4909</v>
      </c>
      <c r="J8581" t="s">
        <v>4909</v>
      </c>
      <c r="K8581" t="s">
        <v>4909</v>
      </c>
    </row>
    <row r="8582" spans="1:11" x14ac:dyDescent="0.2">
      <c r="A8582" t="s">
        <v>4359</v>
      </c>
      <c r="B8582" t="s">
        <v>4909</v>
      </c>
      <c r="C8582" t="s">
        <v>4909</v>
      </c>
      <c r="D8582" t="s">
        <v>4909</v>
      </c>
      <c r="E8582" t="s">
        <v>4909</v>
      </c>
      <c r="F8582" t="s">
        <v>4909</v>
      </c>
      <c r="G8582" t="s">
        <v>4909</v>
      </c>
      <c r="H8582" t="s">
        <v>4909</v>
      </c>
      <c r="I8582" t="s">
        <v>4909</v>
      </c>
      <c r="J8582" t="s">
        <v>4909</v>
      </c>
      <c r="K8582" t="s">
        <v>4909</v>
      </c>
    </row>
    <row r="8583" spans="1:11" x14ac:dyDescent="0.2">
      <c r="A8583" t="s">
        <v>4360</v>
      </c>
      <c r="B8583" t="s">
        <v>4909</v>
      </c>
      <c r="C8583" t="s">
        <v>4909</v>
      </c>
      <c r="D8583" t="s">
        <v>4909</v>
      </c>
      <c r="E8583" t="s">
        <v>4909</v>
      </c>
      <c r="F8583" t="s">
        <v>4909</v>
      </c>
      <c r="G8583" t="s">
        <v>4909</v>
      </c>
      <c r="H8583" t="s">
        <v>4909</v>
      </c>
      <c r="I8583" t="s">
        <v>4909</v>
      </c>
      <c r="J8583" t="s">
        <v>4909</v>
      </c>
      <c r="K8583" t="s">
        <v>4909</v>
      </c>
    </row>
    <row r="8584" spans="1:11" x14ac:dyDescent="0.2">
      <c r="A8584" t="s">
        <v>4361</v>
      </c>
      <c r="B8584" s="88">
        <v>3.0000000000000001E-3</v>
      </c>
      <c r="C8584" t="s">
        <v>4909</v>
      </c>
      <c r="D8584" s="88">
        <v>0</v>
      </c>
      <c r="E8584" s="88">
        <v>3.0000000000000001E-3</v>
      </c>
      <c r="F8584" s="88">
        <v>0</v>
      </c>
      <c r="G8584" s="88">
        <v>0</v>
      </c>
      <c r="H8584" t="s">
        <v>4909</v>
      </c>
      <c r="I8584" s="88">
        <v>0</v>
      </c>
      <c r="J8584" t="s">
        <v>4909</v>
      </c>
      <c r="K8584" t="s">
        <v>4909</v>
      </c>
    </row>
    <row r="8585" spans="1:11" x14ac:dyDescent="0.2">
      <c r="A8585" t="s">
        <v>4362</v>
      </c>
      <c r="B8585" t="s">
        <v>4909</v>
      </c>
      <c r="C8585" t="s">
        <v>4909</v>
      </c>
      <c r="D8585" t="s">
        <v>4909</v>
      </c>
      <c r="E8585" t="s">
        <v>4909</v>
      </c>
      <c r="F8585" t="s">
        <v>4909</v>
      </c>
      <c r="G8585" t="s">
        <v>4909</v>
      </c>
      <c r="H8585" t="s">
        <v>4909</v>
      </c>
      <c r="I8585" t="s">
        <v>4909</v>
      </c>
      <c r="J8585" t="s">
        <v>4909</v>
      </c>
      <c r="K8585" t="s">
        <v>4909</v>
      </c>
    </row>
    <row r="8586" spans="1:11" x14ac:dyDescent="0.2">
      <c r="A8586" t="s">
        <v>4363</v>
      </c>
      <c r="B8586" t="s">
        <v>4909</v>
      </c>
      <c r="C8586" t="s">
        <v>4909</v>
      </c>
      <c r="D8586" t="s">
        <v>4909</v>
      </c>
      <c r="E8586" t="s">
        <v>4909</v>
      </c>
      <c r="F8586" t="s">
        <v>4909</v>
      </c>
      <c r="G8586" t="s">
        <v>4909</v>
      </c>
      <c r="H8586" t="s">
        <v>4909</v>
      </c>
      <c r="I8586" t="s">
        <v>4909</v>
      </c>
      <c r="J8586" t="s">
        <v>4909</v>
      </c>
      <c r="K8586" t="s">
        <v>4909</v>
      </c>
    </row>
    <row r="8587" spans="1:11" x14ac:dyDescent="0.2">
      <c r="A8587" t="s">
        <v>4364</v>
      </c>
      <c r="B8587" t="s">
        <v>4909</v>
      </c>
      <c r="C8587" t="s">
        <v>4909</v>
      </c>
      <c r="D8587" t="s">
        <v>4909</v>
      </c>
      <c r="E8587" t="s">
        <v>4909</v>
      </c>
      <c r="F8587" t="s">
        <v>4909</v>
      </c>
      <c r="G8587" t="s">
        <v>4909</v>
      </c>
      <c r="H8587" t="s">
        <v>4909</v>
      </c>
      <c r="I8587" t="s">
        <v>4909</v>
      </c>
      <c r="J8587" t="s">
        <v>4909</v>
      </c>
      <c r="K8587" t="s">
        <v>4909</v>
      </c>
    </row>
    <row r="8588" spans="1:11" x14ac:dyDescent="0.2">
      <c r="A8588" t="s">
        <v>4365</v>
      </c>
      <c r="B8588" s="88">
        <v>0</v>
      </c>
      <c r="C8588" t="s">
        <v>4909</v>
      </c>
      <c r="D8588" t="s">
        <v>4909</v>
      </c>
      <c r="E8588" s="88">
        <v>1E-3</v>
      </c>
      <c r="F8588" t="s">
        <v>4909</v>
      </c>
      <c r="G8588" t="s">
        <v>4909</v>
      </c>
      <c r="H8588" t="s">
        <v>4909</v>
      </c>
      <c r="I8588" t="s">
        <v>4909</v>
      </c>
      <c r="J8588" t="s">
        <v>4909</v>
      </c>
      <c r="K8588" t="s">
        <v>4909</v>
      </c>
    </row>
    <row r="8589" spans="1:11" x14ac:dyDescent="0.2">
      <c r="A8589" t="s">
        <v>4366</v>
      </c>
      <c r="B8589" t="s">
        <v>4909</v>
      </c>
      <c r="C8589" t="s">
        <v>4909</v>
      </c>
      <c r="D8589" t="s">
        <v>4909</v>
      </c>
      <c r="E8589" t="s">
        <v>4909</v>
      </c>
      <c r="F8589" t="s">
        <v>4909</v>
      </c>
      <c r="G8589" t="s">
        <v>4909</v>
      </c>
      <c r="H8589" t="s">
        <v>4909</v>
      </c>
      <c r="I8589" t="s">
        <v>4909</v>
      </c>
      <c r="J8589" t="s">
        <v>4909</v>
      </c>
      <c r="K8589" t="s">
        <v>4909</v>
      </c>
    </row>
    <row r="8590" spans="1:11" x14ac:dyDescent="0.2">
      <c r="A8590" t="s">
        <v>4367</v>
      </c>
      <c r="B8590" s="88">
        <v>4.0000000000000001E-3</v>
      </c>
      <c r="C8590" t="s">
        <v>4909</v>
      </c>
      <c r="D8590" s="88">
        <v>0</v>
      </c>
      <c r="E8590" s="88">
        <v>4.3999999999999997E-2</v>
      </c>
      <c r="F8590" t="s">
        <v>4909</v>
      </c>
      <c r="G8590" t="s">
        <v>4909</v>
      </c>
      <c r="H8590" t="s">
        <v>4909</v>
      </c>
      <c r="I8590" t="s">
        <v>4909</v>
      </c>
      <c r="J8590" t="s">
        <v>4909</v>
      </c>
      <c r="K8590" t="s">
        <v>4909</v>
      </c>
    </row>
    <row r="8591" spans="1:11" x14ac:dyDescent="0.2">
      <c r="A8591" t="s">
        <v>4368</v>
      </c>
      <c r="B8591" s="88">
        <v>0</v>
      </c>
      <c r="C8591" t="s">
        <v>4909</v>
      </c>
      <c r="D8591" t="s">
        <v>4909</v>
      </c>
      <c r="E8591" s="88">
        <v>4.0000000000000001E-3</v>
      </c>
      <c r="F8591" s="88">
        <v>0</v>
      </c>
      <c r="G8591" s="88">
        <v>3.0000000000000001E-3</v>
      </c>
      <c r="H8591" s="88">
        <v>0</v>
      </c>
      <c r="I8591" s="88">
        <v>2E-3</v>
      </c>
      <c r="J8591" t="s">
        <v>4909</v>
      </c>
      <c r="K8591" t="s">
        <v>4909</v>
      </c>
    </row>
    <row r="8592" spans="1:11" x14ac:dyDescent="0.2">
      <c r="A8592" t="s">
        <v>4369</v>
      </c>
      <c r="B8592" s="88">
        <v>3.0000000000000001E-3</v>
      </c>
      <c r="C8592" t="s">
        <v>4909</v>
      </c>
      <c r="D8592" s="88">
        <v>0</v>
      </c>
      <c r="E8592" s="88">
        <v>3.9E-2</v>
      </c>
      <c r="F8592" s="88">
        <v>0</v>
      </c>
      <c r="G8592" s="88">
        <v>8.0000000000000002E-3</v>
      </c>
      <c r="H8592" s="88">
        <v>0</v>
      </c>
      <c r="I8592" s="88">
        <v>1.2999999999999999E-2</v>
      </c>
      <c r="J8592" s="88">
        <v>0</v>
      </c>
      <c r="K8592" t="s">
        <v>4909</v>
      </c>
    </row>
    <row r="8593" spans="1:11" x14ac:dyDescent="0.2">
      <c r="A8593" t="s">
        <v>4370</v>
      </c>
      <c r="B8593" t="s">
        <v>4909</v>
      </c>
      <c r="C8593" t="s">
        <v>4909</v>
      </c>
      <c r="D8593" t="s">
        <v>4909</v>
      </c>
      <c r="E8593" s="88">
        <v>1E-3</v>
      </c>
      <c r="F8593" t="s">
        <v>4909</v>
      </c>
      <c r="G8593" t="s">
        <v>4909</v>
      </c>
      <c r="H8593" t="s">
        <v>4909</v>
      </c>
      <c r="I8593" t="s">
        <v>4909</v>
      </c>
      <c r="J8593" t="s">
        <v>4909</v>
      </c>
      <c r="K8593" t="s">
        <v>4909</v>
      </c>
    </row>
    <row r="8594" spans="1:11" x14ac:dyDescent="0.2">
      <c r="A8594" t="s">
        <v>4371</v>
      </c>
      <c r="B8594" t="s">
        <v>4909</v>
      </c>
      <c r="C8594" t="s">
        <v>4909</v>
      </c>
      <c r="D8594" t="s">
        <v>4909</v>
      </c>
      <c r="E8594" t="s">
        <v>4909</v>
      </c>
      <c r="F8594" t="s">
        <v>4909</v>
      </c>
      <c r="G8594" t="s">
        <v>4909</v>
      </c>
      <c r="H8594" t="s">
        <v>4909</v>
      </c>
      <c r="I8594" t="s">
        <v>4909</v>
      </c>
      <c r="J8594" t="s">
        <v>4909</v>
      </c>
      <c r="K8594" t="s">
        <v>4909</v>
      </c>
    </row>
    <row r="8595" spans="1:11" x14ac:dyDescent="0.2">
      <c r="A8595" t="s">
        <v>4372</v>
      </c>
      <c r="B8595" t="s">
        <v>4909</v>
      </c>
      <c r="C8595" t="s">
        <v>4909</v>
      </c>
      <c r="D8595" t="s">
        <v>4909</v>
      </c>
      <c r="E8595" t="s">
        <v>4909</v>
      </c>
      <c r="F8595" t="s">
        <v>4909</v>
      </c>
      <c r="G8595" t="s">
        <v>4909</v>
      </c>
      <c r="H8595" t="s">
        <v>4909</v>
      </c>
      <c r="I8595" t="s">
        <v>4909</v>
      </c>
      <c r="J8595" t="s">
        <v>4909</v>
      </c>
      <c r="K8595" t="s">
        <v>4909</v>
      </c>
    </row>
    <row r="8596" spans="1:11" x14ac:dyDescent="0.2">
      <c r="A8596" t="s">
        <v>4373</v>
      </c>
      <c r="B8596" s="88">
        <v>0</v>
      </c>
      <c r="C8596" t="s">
        <v>4909</v>
      </c>
      <c r="D8596" s="88">
        <v>0</v>
      </c>
      <c r="E8596" s="88">
        <v>0</v>
      </c>
      <c r="F8596" s="88">
        <v>0</v>
      </c>
      <c r="G8596" s="88">
        <v>0</v>
      </c>
      <c r="H8596" t="s">
        <v>4909</v>
      </c>
      <c r="I8596" t="s">
        <v>4909</v>
      </c>
      <c r="J8596" t="s">
        <v>4909</v>
      </c>
      <c r="K8596" t="s">
        <v>4909</v>
      </c>
    </row>
    <row r="8597" spans="1:11" x14ac:dyDescent="0.2">
      <c r="A8597" t="s">
        <v>4374</v>
      </c>
      <c r="B8597" s="88">
        <v>0</v>
      </c>
      <c r="C8597" t="s">
        <v>4909</v>
      </c>
      <c r="D8597" t="s">
        <v>4909</v>
      </c>
      <c r="E8597" s="88">
        <v>0</v>
      </c>
      <c r="F8597" t="s">
        <v>4909</v>
      </c>
      <c r="G8597" t="s">
        <v>4909</v>
      </c>
      <c r="H8597" t="s">
        <v>4909</v>
      </c>
      <c r="I8597" t="s">
        <v>4909</v>
      </c>
      <c r="J8597" t="s">
        <v>4909</v>
      </c>
      <c r="K8597" t="s">
        <v>4909</v>
      </c>
    </row>
    <row r="8598" spans="1:11" x14ac:dyDescent="0.2">
      <c r="A8598" t="s">
        <v>4375</v>
      </c>
      <c r="B8598" s="88">
        <v>0</v>
      </c>
      <c r="C8598" t="s">
        <v>4909</v>
      </c>
      <c r="D8598" t="s">
        <v>4909</v>
      </c>
      <c r="E8598" s="88">
        <v>0</v>
      </c>
      <c r="F8598" t="s">
        <v>4909</v>
      </c>
      <c r="G8598" t="s">
        <v>4909</v>
      </c>
      <c r="H8598" t="s">
        <v>4909</v>
      </c>
      <c r="I8598" t="s">
        <v>4909</v>
      </c>
      <c r="J8598" t="s">
        <v>4909</v>
      </c>
      <c r="K8598" t="s">
        <v>4909</v>
      </c>
    </row>
    <row r="8599" spans="1:11" x14ac:dyDescent="0.2">
      <c r="A8599" t="s">
        <v>4376</v>
      </c>
      <c r="B8599" s="88">
        <v>0</v>
      </c>
      <c r="C8599" t="s">
        <v>4909</v>
      </c>
      <c r="D8599" t="s">
        <v>4909</v>
      </c>
      <c r="E8599" s="88">
        <v>0</v>
      </c>
      <c r="F8599" t="s">
        <v>4909</v>
      </c>
      <c r="G8599" t="s">
        <v>4909</v>
      </c>
      <c r="H8599" t="s">
        <v>4909</v>
      </c>
      <c r="I8599" t="s">
        <v>4909</v>
      </c>
      <c r="J8599" t="s">
        <v>4909</v>
      </c>
      <c r="K8599" t="s">
        <v>4909</v>
      </c>
    </row>
    <row r="8600" spans="1:11" x14ac:dyDescent="0.2">
      <c r="A8600" t="s">
        <v>4377</v>
      </c>
      <c r="B8600" s="88">
        <v>0</v>
      </c>
      <c r="C8600" t="s">
        <v>4909</v>
      </c>
      <c r="D8600" s="88">
        <v>0</v>
      </c>
      <c r="E8600" s="88">
        <v>0</v>
      </c>
      <c r="F8600" t="s">
        <v>4909</v>
      </c>
      <c r="G8600" t="s">
        <v>4909</v>
      </c>
      <c r="H8600" t="s">
        <v>4909</v>
      </c>
      <c r="I8600" t="s">
        <v>4909</v>
      </c>
      <c r="J8600" t="s">
        <v>4909</v>
      </c>
      <c r="K8600" t="s">
        <v>4909</v>
      </c>
    </row>
    <row r="8601" spans="1:11" x14ac:dyDescent="0.2">
      <c r="A8601" t="s">
        <v>2318</v>
      </c>
      <c r="B8601" t="s">
        <v>4399</v>
      </c>
      <c r="C8601" t="s">
        <v>4399</v>
      </c>
      <c r="D8601" t="s">
        <v>4399</v>
      </c>
      <c r="E8601" t="s">
        <v>4399</v>
      </c>
      <c r="F8601" t="s">
        <v>4399</v>
      </c>
      <c r="G8601" t="s">
        <v>4399</v>
      </c>
      <c r="H8601" t="s">
        <v>4399</v>
      </c>
      <c r="I8601" t="s">
        <v>4399</v>
      </c>
      <c r="J8601" t="s">
        <v>4399</v>
      </c>
      <c r="K8601" t="s">
        <v>4399</v>
      </c>
    </row>
    <row r="8602" spans="1:11" x14ac:dyDescent="0.2">
      <c r="A8602" t="s">
        <v>4248</v>
      </c>
    </row>
    <row r="8603" spans="1:11" x14ac:dyDescent="0.2">
      <c r="A8603" t="s">
        <v>4910</v>
      </c>
      <c r="B8603" t="s">
        <v>4904</v>
      </c>
      <c r="C8603" t="s">
        <v>4911</v>
      </c>
      <c r="D8603" t="s">
        <v>4912</v>
      </c>
      <c r="E8603" t="s">
        <v>4907</v>
      </c>
      <c r="F8603" t="s">
        <v>4913</v>
      </c>
      <c r="G8603">
        <v>18</v>
      </c>
    </row>
    <row r="8604" spans="1:11" x14ac:dyDescent="0.2">
      <c r="A8604" t="s">
        <v>2318</v>
      </c>
      <c r="B8604" t="s">
        <v>4399</v>
      </c>
      <c r="C8604" t="s">
        <v>4399</v>
      </c>
      <c r="D8604" t="s">
        <v>4399</v>
      </c>
      <c r="E8604" t="s">
        <v>4399</v>
      </c>
      <c r="F8604" t="s">
        <v>4399</v>
      </c>
      <c r="G8604" t="s">
        <v>4399</v>
      </c>
      <c r="H8604" t="s">
        <v>4399</v>
      </c>
      <c r="I8604" t="s">
        <v>4399</v>
      </c>
      <c r="J8604" t="s">
        <v>4399</v>
      </c>
      <c r="K8604" t="s">
        <v>4399</v>
      </c>
    </row>
    <row r="8605" spans="1:11" x14ac:dyDescent="0.2">
      <c r="A8605" t="s">
        <v>126</v>
      </c>
      <c r="B8605" t="s">
        <v>4580</v>
      </c>
      <c r="C8605" t="s">
        <v>4584</v>
      </c>
      <c r="D8605" t="s">
        <v>4588</v>
      </c>
      <c r="E8605" t="s">
        <v>4592</v>
      </c>
      <c r="F8605" t="s">
        <v>4596</v>
      </c>
      <c r="G8605" t="s">
        <v>4600</v>
      </c>
      <c r="H8605" t="s">
        <v>4603</v>
      </c>
      <c r="I8605" t="s">
        <v>4606</v>
      </c>
      <c r="J8605" t="s">
        <v>4610</v>
      </c>
      <c r="K8605" t="s">
        <v>4614</v>
      </c>
    </row>
    <row r="8606" spans="1:11" x14ac:dyDescent="0.2">
      <c r="A8606" t="s">
        <v>2318</v>
      </c>
      <c r="B8606" t="s">
        <v>4399</v>
      </c>
      <c r="C8606" t="s">
        <v>4399</v>
      </c>
      <c r="D8606" t="s">
        <v>4399</v>
      </c>
      <c r="E8606" t="s">
        <v>4399</v>
      </c>
      <c r="F8606" t="s">
        <v>4399</v>
      </c>
      <c r="G8606" t="s">
        <v>4399</v>
      </c>
      <c r="H8606" t="s">
        <v>4399</v>
      </c>
      <c r="I8606" t="s">
        <v>4399</v>
      </c>
      <c r="J8606" t="s">
        <v>4399</v>
      </c>
      <c r="K8606" t="s">
        <v>4399</v>
      </c>
    </row>
    <row r="8607" spans="1:11" x14ac:dyDescent="0.2">
      <c r="A8607" t="s">
        <v>4265</v>
      </c>
      <c r="B8607" t="s">
        <v>4909</v>
      </c>
      <c r="C8607" t="s">
        <v>4909</v>
      </c>
      <c r="D8607" t="s">
        <v>4909</v>
      </c>
      <c r="E8607" t="s">
        <v>4909</v>
      </c>
      <c r="F8607" t="s">
        <v>4909</v>
      </c>
      <c r="G8607" t="s">
        <v>4909</v>
      </c>
      <c r="H8607" t="s">
        <v>4909</v>
      </c>
      <c r="I8607" t="s">
        <v>4909</v>
      </c>
      <c r="J8607" t="s">
        <v>4909</v>
      </c>
      <c r="K8607" t="s">
        <v>4909</v>
      </c>
    </row>
    <row r="8608" spans="1:11" x14ac:dyDescent="0.2">
      <c r="A8608" t="s">
        <v>4266</v>
      </c>
      <c r="B8608" t="s">
        <v>4909</v>
      </c>
      <c r="C8608" t="s">
        <v>4909</v>
      </c>
      <c r="D8608" t="s">
        <v>4909</v>
      </c>
      <c r="E8608" t="s">
        <v>4909</v>
      </c>
      <c r="F8608" t="s">
        <v>4909</v>
      </c>
      <c r="G8608" t="s">
        <v>4909</v>
      </c>
      <c r="H8608" t="s">
        <v>4909</v>
      </c>
      <c r="I8608" t="s">
        <v>4909</v>
      </c>
      <c r="J8608" t="s">
        <v>4909</v>
      </c>
      <c r="K8608" t="s">
        <v>4909</v>
      </c>
    </row>
    <row r="8609" spans="1:11" x14ac:dyDescent="0.2">
      <c r="A8609" t="s">
        <v>4267</v>
      </c>
      <c r="B8609" s="88">
        <v>1E-3</v>
      </c>
      <c r="C8609" t="s">
        <v>4909</v>
      </c>
      <c r="D8609" s="88">
        <v>2E-3</v>
      </c>
      <c r="E8609" t="s">
        <v>4909</v>
      </c>
      <c r="F8609" s="88">
        <v>3.0000000000000001E-3</v>
      </c>
      <c r="G8609" s="88">
        <v>2.1000000000000001E-2</v>
      </c>
      <c r="H8609" t="s">
        <v>4909</v>
      </c>
      <c r="I8609" s="88">
        <v>5.0000000000000001E-3</v>
      </c>
      <c r="J8609" s="88">
        <v>0.114</v>
      </c>
      <c r="K8609" t="s">
        <v>4909</v>
      </c>
    </row>
    <row r="8610" spans="1:11" x14ac:dyDescent="0.2">
      <c r="A8610" t="s">
        <v>4268</v>
      </c>
      <c r="B8610" s="88">
        <v>1E-3</v>
      </c>
      <c r="C8610" t="s">
        <v>4909</v>
      </c>
      <c r="D8610" t="s">
        <v>4909</v>
      </c>
      <c r="E8610" t="s">
        <v>4909</v>
      </c>
      <c r="F8610" s="88">
        <v>1E-3</v>
      </c>
      <c r="G8610" s="88">
        <v>5.0000000000000001E-3</v>
      </c>
      <c r="H8610" t="s">
        <v>4909</v>
      </c>
      <c r="I8610" s="88">
        <v>4.0000000000000001E-3</v>
      </c>
      <c r="J8610" s="88">
        <v>0.126</v>
      </c>
      <c r="K8610" t="s">
        <v>4909</v>
      </c>
    </row>
    <row r="8611" spans="1:11" x14ac:dyDescent="0.2">
      <c r="A8611" t="s">
        <v>4269</v>
      </c>
      <c r="B8611" s="88">
        <v>3.0000000000000001E-3</v>
      </c>
      <c r="C8611" t="s">
        <v>4909</v>
      </c>
      <c r="D8611" s="88">
        <v>2E-3</v>
      </c>
      <c r="E8611" t="s">
        <v>4909</v>
      </c>
      <c r="F8611" s="88">
        <v>3.0000000000000001E-3</v>
      </c>
      <c r="G8611" s="88">
        <v>2.1999999999999999E-2</v>
      </c>
      <c r="H8611" t="s">
        <v>4909</v>
      </c>
      <c r="I8611" s="88">
        <v>3.0000000000000001E-3</v>
      </c>
      <c r="J8611" s="88">
        <v>0.10100000000000001</v>
      </c>
      <c r="K8611" t="s">
        <v>4909</v>
      </c>
    </row>
    <row r="8612" spans="1:11" x14ac:dyDescent="0.2">
      <c r="A8612" t="s">
        <v>4270</v>
      </c>
      <c r="B8612" s="88">
        <v>3.0000000000000001E-3</v>
      </c>
      <c r="C8612" t="s">
        <v>4909</v>
      </c>
      <c r="D8612" t="s">
        <v>4909</v>
      </c>
      <c r="E8612" t="s">
        <v>4909</v>
      </c>
      <c r="F8612" t="s">
        <v>4909</v>
      </c>
      <c r="G8612" s="88">
        <v>3.0000000000000001E-3</v>
      </c>
      <c r="H8612" t="s">
        <v>4909</v>
      </c>
      <c r="I8612" s="88">
        <v>3.0000000000000001E-3</v>
      </c>
      <c r="J8612" s="88">
        <v>0.109</v>
      </c>
      <c r="K8612" t="s">
        <v>4909</v>
      </c>
    </row>
    <row r="8613" spans="1:11" x14ac:dyDescent="0.2">
      <c r="A8613" t="s">
        <v>4271</v>
      </c>
      <c r="B8613" s="88">
        <v>2E-3</v>
      </c>
      <c r="C8613" t="s">
        <v>4909</v>
      </c>
      <c r="D8613" s="88">
        <v>2E-3</v>
      </c>
      <c r="E8613" t="s">
        <v>4909</v>
      </c>
      <c r="F8613" s="88">
        <v>3.0000000000000001E-3</v>
      </c>
      <c r="G8613" s="88">
        <v>2.4E-2</v>
      </c>
      <c r="H8613" t="s">
        <v>4909</v>
      </c>
      <c r="I8613" s="88">
        <v>4.0000000000000001E-3</v>
      </c>
      <c r="J8613" s="88">
        <v>0.11799999999999999</v>
      </c>
      <c r="K8613" t="s">
        <v>4909</v>
      </c>
    </row>
    <row r="8614" spans="1:11" x14ac:dyDescent="0.2">
      <c r="A8614" t="s">
        <v>4272</v>
      </c>
      <c r="B8614" s="88">
        <v>3.0000000000000001E-3</v>
      </c>
      <c r="C8614" t="s">
        <v>4909</v>
      </c>
      <c r="D8614" s="88">
        <v>2E-3</v>
      </c>
      <c r="E8614" t="s">
        <v>4909</v>
      </c>
      <c r="F8614" s="88">
        <v>3.0000000000000001E-3</v>
      </c>
      <c r="G8614" s="88">
        <v>2.5000000000000001E-2</v>
      </c>
      <c r="H8614" t="s">
        <v>4909</v>
      </c>
      <c r="I8614" s="88">
        <v>4.0000000000000001E-3</v>
      </c>
      <c r="J8614" s="88">
        <v>0.122</v>
      </c>
      <c r="K8614" t="s">
        <v>4909</v>
      </c>
    </row>
    <row r="8615" spans="1:11" x14ac:dyDescent="0.2">
      <c r="A8615" t="s">
        <v>4273</v>
      </c>
      <c r="B8615" t="s">
        <v>4909</v>
      </c>
      <c r="C8615" t="s">
        <v>4909</v>
      </c>
      <c r="D8615" t="s">
        <v>4909</v>
      </c>
      <c r="E8615" t="s">
        <v>4909</v>
      </c>
      <c r="F8615" t="s">
        <v>4909</v>
      </c>
      <c r="G8615" t="s">
        <v>4909</v>
      </c>
      <c r="H8615" t="s">
        <v>4909</v>
      </c>
      <c r="I8615" t="s">
        <v>4909</v>
      </c>
      <c r="J8615" t="s">
        <v>4909</v>
      </c>
      <c r="K8615" t="s">
        <v>4909</v>
      </c>
    </row>
    <row r="8616" spans="1:11" x14ac:dyDescent="0.2">
      <c r="A8616" t="s">
        <v>4274</v>
      </c>
      <c r="B8616" t="s">
        <v>4909</v>
      </c>
      <c r="C8616" t="s">
        <v>4909</v>
      </c>
      <c r="D8616" t="s">
        <v>4909</v>
      </c>
      <c r="E8616" t="s">
        <v>4909</v>
      </c>
      <c r="F8616" t="s">
        <v>4909</v>
      </c>
      <c r="G8616" t="s">
        <v>4909</v>
      </c>
      <c r="H8616" t="s">
        <v>4909</v>
      </c>
      <c r="I8616" t="s">
        <v>4909</v>
      </c>
      <c r="J8616" t="s">
        <v>4909</v>
      </c>
      <c r="K8616" t="s">
        <v>4909</v>
      </c>
    </row>
    <row r="8617" spans="1:11" x14ac:dyDescent="0.2">
      <c r="A8617" t="s">
        <v>4275</v>
      </c>
      <c r="B8617" t="s">
        <v>4909</v>
      </c>
      <c r="C8617" t="s">
        <v>4909</v>
      </c>
      <c r="D8617" t="s">
        <v>4909</v>
      </c>
      <c r="E8617" t="s">
        <v>4909</v>
      </c>
      <c r="F8617" t="s">
        <v>4909</v>
      </c>
      <c r="G8617" t="s">
        <v>4909</v>
      </c>
      <c r="H8617" t="s">
        <v>4909</v>
      </c>
      <c r="I8617" t="s">
        <v>4909</v>
      </c>
      <c r="J8617" t="s">
        <v>4909</v>
      </c>
      <c r="K8617" t="s">
        <v>4909</v>
      </c>
    </row>
    <row r="8618" spans="1:11" x14ac:dyDescent="0.2">
      <c r="A8618" t="s">
        <v>4276</v>
      </c>
      <c r="B8618" t="s">
        <v>4909</v>
      </c>
      <c r="C8618" t="s">
        <v>4909</v>
      </c>
      <c r="D8618" t="s">
        <v>4909</v>
      </c>
      <c r="E8618" t="s">
        <v>4909</v>
      </c>
      <c r="F8618" t="s">
        <v>4909</v>
      </c>
      <c r="G8618" t="s">
        <v>4909</v>
      </c>
      <c r="H8618" t="s">
        <v>4909</v>
      </c>
      <c r="I8618" t="s">
        <v>4909</v>
      </c>
      <c r="J8618" t="s">
        <v>4909</v>
      </c>
      <c r="K8618" t="s">
        <v>4909</v>
      </c>
    </row>
    <row r="8619" spans="1:11" x14ac:dyDescent="0.2">
      <c r="A8619" t="s">
        <v>4277</v>
      </c>
      <c r="B8619" t="s">
        <v>4909</v>
      </c>
      <c r="C8619" t="s">
        <v>4909</v>
      </c>
      <c r="D8619" t="s">
        <v>4909</v>
      </c>
      <c r="E8619" t="s">
        <v>4909</v>
      </c>
      <c r="F8619" t="s">
        <v>4909</v>
      </c>
      <c r="G8619" t="s">
        <v>4909</v>
      </c>
      <c r="H8619" t="s">
        <v>4909</v>
      </c>
      <c r="I8619" s="88">
        <v>0.04</v>
      </c>
      <c r="J8619" s="88">
        <v>0.95899999999999996</v>
      </c>
      <c r="K8619" t="s">
        <v>4909</v>
      </c>
    </row>
    <row r="8620" spans="1:11" x14ac:dyDescent="0.2">
      <c r="A8620" t="s">
        <v>4278</v>
      </c>
      <c r="B8620" t="s">
        <v>4909</v>
      </c>
      <c r="C8620" t="s">
        <v>4909</v>
      </c>
      <c r="D8620" t="s">
        <v>4909</v>
      </c>
      <c r="E8620" t="s">
        <v>4909</v>
      </c>
      <c r="F8620" t="s">
        <v>4909</v>
      </c>
      <c r="G8620" t="s">
        <v>4909</v>
      </c>
      <c r="H8620" t="s">
        <v>4909</v>
      </c>
      <c r="I8620" t="s">
        <v>4909</v>
      </c>
      <c r="J8620" t="s">
        <v>4909</v>
      </c>
      <c r="K8620" t="s">
        <v>4909</v>
      </c>
    </row>
    <row r="8621" spans="1:11" x14ac:dyDescent="0.2">
      <c r="A8621" t="s">
        <v>4279</v>
      </c>
      <c r="B8621" s="88">
        <v>4.0000000000000001E-3</v>
      </c>
      <c r="C8621" t="s">
        <v>4909</v>
      </c>
      <c r="D8621" s="88">
        <v>3.0000000000000001E-3</v>
      </c>
      <c r="E8621" t="s">
        <v>4909</v>
      </c>
      <c r="F8621" s="88">
        <v>5.0000000000000001E-3</v>
      </c>
      <c r="G8621" s="88">
        <v>3.1E-2</v>
      </c>
      <c r="H8621" t="s">
        <v>4909</v>
      </c>
      <c r="I8621" s="88">
        <v>4.0000000000000001E-3</v>
      </c>
      <c r="J8621" s="88">
        <v>0.10299999999999999</v>
      </c>
      <c r="K8621" t="s">
        <v>4909</v>
      </c>
    </row>
    <row r="8622" spans="1:11" x14ac:dyDescent="0.2">
      <c r="A8622" t="s">
        <v>4280</v>
      </c>
      <c r="B8622" t="s">
        <v>4909</v>
      </c>
      <c r="C8622" t="s">
        <v>4909</v>
      </c>
      <c r="D8622" t="s">
        <v>4909</v>
      </c>
      <c r="E8622" t="s">
        <v>4909</v>
      </c>
      <c r="F8622" t="s">
        <v>4909</v>
      </c>
      <c r="G8622" s="88">
        <v>2.3E-2</v>
      </c>
      <c r="H8622" t="s">
        <v>4909</v>
      </c>
      <c r="I8622" t="s">
        <v>4909</v>
      </c>
      <c r="J8622" s="88">
        <v>9.1999999999999998E-2</v>
      </c>
      <c r="K8622" t="s">
        <v>4909</v>
      </c>
    </row>
    <row r="8623" spans="1:11" x14ac:dyDescent="0.2">
      <c r="A8623" t="s">
        <v>4281</v>
      </c>
      <c r="B8623" s="88">
        <v>4.0000000000000001E-3</v>
      </c>
      <c r="C8623" t="s">
        <v>4909</v>
      </c>
      <c r="D8623" s="88">
        <v>4.0000000000000001E-3</v>
      </c>
      <c r="E8623" t="s">
        <v>4909</v>
      </c>
      <c r="F8623" s="88">
        <v>7.0000000000000001E-3</v>
      </c>
      <c r="G8623" s="88">
        <v>0.14699999999999999</v>
      </c>
      <c r="H8623" t="s">
        <v>4909</v>
      </c>
      <c r="I8623" s="88">
        <v>3.0000000000000001E-3</v>
      </c>
      <c r="J8623" s="88">
        <v>3.4000000000000002E-2</v>
      </c>
      <c r="K8623" t="s">
        <v>4909</v>
      </c>
    </row>
    <row r="8624" spans="1:11" x14ac:dyDescent="0.2">
      <c r="A8624" t="s">
        <v>4282</v>
      </c>
      <c r="B8624" s="88">
        <v>8.9999999999999993E-3</v>
      </c>
      <c r="C8624" t="s">
        <v>4909</v>
      </c>
      <c r="D8624" s="88">
        <v>0.01</v>
      </c>
      <c r="E8624" t="s">
        <v>4909</v>
      </c>
      <c r="F8624" s="88">
        <v>1.7000000000000001E-2</v>
      </c>
      <c r="G8624" s="88">
        <v>9.6000000000000002E-2</v>
      </c>
      <c r="H8624" t="s">
        <v>4909</v>
      </c>
      <c r="I8624" s="88">
        <v>1E-3</v>
      </c>
      <c r="J8624" s="88">
        <v>4.4999999999999998E-2</v>
      </c>
      <c r="K8624" t="s">
        <v>4909</v>
      </c>
    </row>
    <row r="8625" spans="1:11" x14ac:dyDescent="0.2">
      <c r="A8625" t="s">
        <v>4283</v>
      </c>
      <c r="B8625" s="88">
        <v>3.0000000000000001E-3</v>
      </c>
      <c r="C8625" t="s">
        <v>4909</v>
      </c>
      <c r="D8625" s="88">
        <v>3.0000000000000001E-3</v>
      </c>
      <c r="E8625" t="s">
        <v>4909</v>
      </c>
      <c r="F8625" s="88">
        <v>5.0000000000000001E-3</v>
      </c>
      <c r="G8625" s="88">
        <v>0.108</v>
      </c>
      <c r="H8625" t="s">
        <v>4909</v>
      </c>
      <c r="I8625" s="88">
        <v>7.0000000000000001E-3</v>
      </c>
      <c r="J8625" s="88">
        <v>5.8999999999999997E-2</v>
      </c>
      <c r="K8625" t="s">
        <v>4909</v>
      </c>
    </row>
    <row r="8626" spans="1:11" x14ac:dyDescent="0.2">
      <c r="A8626" t="s">
        <v>4284</v>
      </c>
      <c r="B8626" s="88">
        <v>8.9999999999999993E-3</v>
      </c>
      <c r="C8626" t="s">
        <v>4909</v>
      </c>
      <c r="D8626" s="88">
        <v>7.0000000000000001E-3</v>
      </c>
      <c r="E8626" t="s">
        <v>4909</v>
      </c>
      <c r="F8626" s="88">
        <v>1.2E-2</v>
      </c>
      <c r="G8626" s="88">
        <v>7.0000000000000007E-2</v>
      </c>
      <c r="H8626" t="s">
        <v>4909</v>
      </c>
      <c r="I8626" s="88">
        <v>2E-3</v>
      </c>
      <c r="J8626" s="88">
        <v>7.8E-2</v>
      </c>
      <c r="K8626" t="s">
        <v>4909</v>
      </c>
    </row>
    <row r="8627" spans="1:11" x14ac:dyDescent="0.2">
      <c r="A8627" t="s">
        <v>4285</v>
      </c>
      <c r="B8627" s="88">
        <v>3.0000000000000001E-3</v>
      </c>
      <c r="C8627" t="s">
        <v>4909</v>
      </c>
      <c r="D8627" s="88">
        <v>5.0000000000000001E-3</v>
      </c>
      <c r="E8627" t="s">
        <v>4909</v>
      </c>
      <c r="F8627" s="88">
        <v>8.9999999999999993E-3</v>
      </c>
      <c r="G8627" s="88">
        <v>0.185</v>
      </c>
      <c r="H8627" t="s">
        <v>4909</v>
      </c>
      <c r="I8627" s="88">
        <v>3.0000000000000001E-3</v>
      </c>
      <c r="J8627" s="88">
        <v>2.8000000000000001E-2</v>
      </c>
      <c r="K8627" t="s">
        <v>4909</v>
      </c>
    </row>
    <row r="8628" spans="1:11" x14ac:dyDescent="0.2">
      <c r="A8628" t="s">
        <v>4286</v>
      </c>
      <c r="B8628" s="88">
        <v>8.9999999999999993E-3</v>
      </c>
      <c r="C8628" t="s">
        <v>4909</v>
      </c>
      <c r="D8628" s="88">
        <v>1.2999999999999999E-2</v>
      </c>
      <c r="E8628" t="s">
        <v>4909</v>
      </c>
      <c r="F8628" s="88">
        <v>2.3E-2</v>
      </c>
      <c r="G8628" s="88">
        <v>0.125</v>
      </c>
      <c r="H8628" t="s">
        <v>4909</v>
      </c>
      <c r="I8628" t="s">
        <v>4909</v>
      </c>
      <c r="J8628" s="88">
        <v>2.8000000000000001E-2</v>
      </c>
      <c r="K8628" t="s">
        <v>4909</v>
      </c>
    </row>
    <row r="8629" spans="1:11" x14ac:dyDescent="0.2">
      <c r="A8629" t="s">
        <v>4287</v>
      </c>
      <c r="B8629" s="88">
        <v>6.0000000000000001E-3</v>
      </c>
      <c r="C8629" t="s">
        <v>4909</v>
      </c>
      <c r="D8629" s="88">
        <v>4.0000000000000001E-3</v>
      </c>
      <c r="E8629" t="s">
        <v>4909</v>
      </c>
      <c r="F8629" s="88">
        <v>7.0000000000000001E-3</v>
      </c>
      <c r="G8629" s="88">
        <v>0.13400000000000001</v>
      </c>
      <c r="H8629" t="s">
        <v>4909</v>
      </c>
      <c r="I8629" s="88">
        <v>0</v>
      </c>
      <c r="J8629" s="88">
        <v>1E-3</v>
      </c>
      <c r="K8629" t="s">
        <v>4909</v>
      </c>
    </row>
    <row r="8630" spans="1:11" x14ac:dyDescent="0.2">
      <c r="A8630" t="s">
        <v>4288</v>
      </c>
      <c r="B8630" s="88">
        <v>3.5999999999999997E-2</v>
      </c>
      <c r="C8630" t="s">
        <v>4909</v>
      </c>
      <c r="D8630" s="88">
        <v>0.01</v>
      </c>
      <c r="E8630" t="s">
        <v>4909</v>
      </c>
      <c r="F8630" s="88">
        <v>1.7999999999999999E-2</v>
      </c>
      <c r="G8630" s="88">
        <v>7.8E-2</v>
      </c>
      <c r="H8630" t="s">
        <v>4909</v>
      </c>
      <c r="I8630" t="s">
        <v>4909</v>
      </c>
      <c r="J8630" t="s">
        <v>4909</v>
      </c>
      <c r="K8630" t="s">
        <v>4909</v>
      </c>
    </row>
    <row r="8631" spans="1:11" x14ac:dyDescent="0.2">
      <c r="A8631" t="s">
        <v>4289</v>
      </c>
      <c r="B8631" s="88">
        <v>1.6E-2</v>
      </c>
      <c r="C8631" t="s">
        <v>4909</v>
      </c>
      <c r="D8631" s="88">
        <v>5.8000000000000003E-2</v>
      </c>
      <c r="E8631" t="s">
        <v>4909</v>
      </c>
      <c r="F8631" s="88">
        <v>0.10100000000000001</v>
      </c>
      <c r="G8631" s="88">
        <v>0.41299999999999998</v>
      </c>
      <c r="H8631" t="s">
        <v>4909</v>
      </c>
      <c r="I8631" t="s">
        <v>4909</v>
      </c>
      <c r="J8631" t="s">
        <v>4909</v>
      </c>
      <c r="K8631" t="s">
        <v>4909</v>
      </c>
    </row>
    <row r="8632" spans="1:11" x14ac:dyDescent="0.2">
      <c r="A8632" t="s">
        <v>4290</v>
      </c>
      <c r="B8632" t="s">
        <v>4909</v>
      </c>
      <c r="C8632" t="s">
        <v>4909</v>
      </c>
      <c r="D8632" t="s">
        <v>4909</v>
      </c>
      <c r="E8632" t="s">
        <v>4909</v>
      </c>
      <c r="F8632" s="88">
        <v>8.0000000000000002E-3</v>
      </c>
      <c r="G8632" s="88">
        <v>3.4000000000000002E-2</v>
      </c>
      <c r="H8632" t="s">
        <v>4909</v>
      </c>
      <c r="I8632" t="s">
        <v>4909</v>
      </c>
      <c r="J8632" t="s">
        <v>4909</v>
      </c>
      <c r="K8632" t="s">
        <v>4909</v>
      </c>
    </row>
    <row r="8633" spans="1:11" x14ac:dyDescent="0.2">
      <c r="A8633" t="s">
        <v>4291</v>
      </c>
      <c r="B8633" t="s">
        <v>4909</v>
      </c>
      <c r="C8633" t="s">
        <v>4909</v>
      </c>
      <c r="D8633" t="s">
        <v>4909</v>
      </c>
      <c r="E8633" t="s">
        <v>4909</v>
      </c>
      <c r="F8633" t="s">
        <v>4909</v>
      </c>
      <c r="G8633" t="s">
        <v>4909</v>
      </c>
      <c r="H8633" t="s">
        <v>4909</v>
      </c>
      <c r="I8633" t="s">
        <v>4909</v>
      </c>
      <c r="J8633" t="s">
        <v>4909</v>
      </c>
      <c r="K8633" t="s">
        <v>4909</v>
      </c>
    </row>
    <row r="8634" spans="1:11" x14ac:dyDescent="0.2">
      <c r="A8634" t="s">
        <v>4292</v>
      </c>
      <c r="B8634" s="88">
        <v>8.6999999999999994E-2</v>
      </c>
      <c r="C8634" t="s">
        <v>4909</v>
      </c>
      <c r="D8634" s="88">
        <v>9.9000000000000005E-2</v>
      </c>
      <c r="E8634" t="s">
        <v>4909</v>
      </c>
      <c r="F8634" t="s">
        <v>4909</v>
      </c>
      <c r="G8634" t="s">
        <v>4909</v>
      </c>
      <c r="H8634" t="s">
        <v>4909</v>
      </c>
      <c r="I8634" t="s">
        <v>4909</v>
      </c>
      <c r="J8634" t="s">
        <v>4909</v>
      </c>
      <c r="K8634" t="s">
        <v>4909</v>
      </c>
    </row>
    <row r="8635" spans="1:11" x14ac:dyDescent="0.2">
      <c r="A8635" t="s">
        <v>4293</v>
      </c>
      <c r="B8635" t="s">
        <v>4909</v>
      </c>
      <c r="C8635" t="s">
        <v>4909</v>
      </c>
      <c r="D8635" t="s">
        <v>4909</v>
      </c>
      <c r="E8635" t="s">
        <v>4909</v>
      </c>
      <c r="F8635" t="s">
        <v>4909</v>
      </c>
      <c r="G8635" t="s">
        <v>4909</v>
      </c>
      <c r="H8635" t="s">
        <v>4909</v>
      </c>
      <c r="I8635" t="s">
        <v>4909</v>
      </c>
      <c r="J8635" t="s">
        <v>4909</v>
      </c>
      <c r="K8635" t="s">
        <v>4909</v>
      </c>
    </row>
    <row r="8636" spans="1:11" x14ac:dyDescent="0.2">
      <c r="A8636" t="s">
        <v>4294</v>
      </c>
      <c r="B8636" t="s">
        <v>4909</v>
      </c>
      <c r="C8636" t="s">
        <v>4909</v>
      </c>
      <c r="D8636" t="s">
        <v>4909</v>
      </c>
      <c r="E8636" t="s">
        <v>4909</v>
      </c>
      <c r="F8636" s="88">
        <v>9.6000000000000002E-2</v>
      </c>
      <c r="G8636" s="88">
        <v>0.39300000000000002</v>
      </c>
      <c r="H8636" t="s">
        <v>4909</v>
      </c>
      <c r="I8636" t="s">
        <v>4909</v>
      </c>
      <c r="J8636" t="s">
        <v>4909</v>
      </c>
      <c r="K8636" t="s">
        <v>4909</v>
      </c>
    </row>
    <row r="8637" spans="1:11" x14ac:dyDescent="0.2">
      <c r="A8637" t="s">
        <v>4295</v>
      </c>
      <c r="B8637" t="s">
        <v>4909</v>
      </c>
      <c r="C8637" t="s">
        <v>4909</v>
      </c>
      <c r="D8637" t="s">
        <v>4909</v>
      </c>
      <c r="E8637" t="s">
        <v>4909</v>
      </c>
      <c r="F8637" t="s">
        <v>4909</v>
      </c>
      <c r="G8637" t="s">
        <v>4909</v>
      </c>
      <c r="H8637" t="s">
        <v>4909</v>
      </c>
      <c r="I8637" t="s">
        <v>4909</v>
      </c>
      <c r="J8637" t="s">
        <v>4909</v>
      </c>
      <c r="K8637" t="s">
        <v>4909</v>
      </c>
    </row>
    <row r="8638" spans="1:11" x14ac:dyDescent="0.2">
      <c r="A8638" t="s">
        <v>4296</v>
      </c>
      <c r="B8638" t="s">
        <v>4909</v>
      </c>
      <c r="C8638" t="s">
        <v>4909</v>
      </c>
      <c r="D8638" t="s">
        <v>4909</v>
      </c>
      <c r="E8638" t="s">
        <v>4909</v>
      </c>
      <c r="F8638" t="s">
        <v>4909</v>
      </c>
      <c r="G8638" t="s">
        <v>4909</v>
      </c>
      <c r="H8638" t="s">
        <v>4909</v>
      </c>
      <c r="I8638" t="s">
        <v>4909</v>
      </c>
      <c r="J8638" t="s">
        <v>4909</v>
      </c>
      <c r="K8638" t="s">
        <v>4909</v>
      </c>
    </row>
    <row r="8639" spans="1:11" x14ac:dyDescent="0.2">
      <c r="A8639" t="s">
        <v>4297</v>
      </c>
      <c r="B8639" s="88">
        <v>3.0000000000000001E-3</v>
      </c>
      <c r="C8639" t="s">
        <v>4909</v>
      </c>
      <c r="D8639" s="88">
        <v>8.9999999999999993E-3</v>
      </c>
      <c r="E8639" t="s">
        <v>4909</v>
      </c>
      <c r="F8639" s="88">
        <v>1.6E-2</v>
      </c>
      <c r="G8639" s="88">
        <v>0.40799999999999997</v>
      </c>
      <c r="H8639" t="s">
        <v>4909</v>
      </c>
      <c r="I8639" s="88">
        <v>0</v>
      </c>
      <c r="J8639" s="88">
        <v>4.0000000000000001E-3</v>
      </c>
      <c r="K8639" t="s">
        <v>4909</v>
      </c>
    </row>
    <row r="8640" spans="1:11" x14ac:dyDescent="0.2">
      <c r="A8640" t="s">
        <v>4298</v>
      </c>
      <c r="B8640" s="88">
        <v>3.0000000000000001E-3</v>
      </c>
      <c r="C8640" t="s">
        <v>4909</v>
      </c>
      <c r="D8640" s="88">
        <v>1.4E-2</v>
      </c>
      <c r="E8640" t="s">
        <v>4909</v>
      </c>
      <c r="F8640" s="88">
        <v>2.5000000000000001E-2</v>
      </c>
      <c r="G8640" s="88">
        <v>0.33400000000000002</v>
      </c>
      <c r="H8640" t="s">
        <v>4909</v>
      </c>
      <c r="I8640" s="88">
        <v>1E-3</v>
      </c>
      <c r="J8640" s="88">
        <v>8.9999999999999993E-3</v>
      </c>
      <c r="K8640" t="s">
        <v>4909</v>
      </c>
    </row>
    <row r="8641" spans="1:11" x14ac:dyDescent="0.2">
      <c r="A8641" t="s">
        <v>4299</v>
      </c>
      <c r="B8641" s="88">
        <v>2E-3</v>
      </c>
      <c r="C8641" t="s">
        <v>4909</v>
      </c>
      <c r="D8641" s="88">
        <v>8.0000000000000002E-3</v>
      </c>
      <c r="E8641" t="s">
        <v>4909</v>
      </c>
      <c r="F8641" s="88">
        <v>1.4E-2</v>
      </c>
      <c r="G8641" s="88">
        <v>0.18099999999999999</v>
      </c>
      <c r="H8641" t="s">
        <v>4909</v>
      </c>
      <c r="I8641" s="88">
        <v>0</v>
      </c>
      <c r="J8641" s="88">
        <v>6.0000000000000001E-3</v>
      </c>
      <c r="K8641" t="s">
        <v>4909</v>
      </c>
    </row>
    <row r="8642" spans="1:11" x14ac:dyDescent="0.2">
      <c r="A8642" t="s">
        <v>4300</v>
      </c>
      <c r="B8642" s="88">
        <v>4.0000000000000001E-3</v>
      </c>
      <c r="C8642" t="s">
        <v>4909</v>
      </c>
      <c r="D8642" s="88">
        <v>1.4E-2</v>
      </c>
      <c r="E8642" t="s">
        <v>4909</v>
      </c>
      <c r="F8642" s="88">
        <v>2.4E-2</v>
      </c>
      <c r="G8642" s="88">
        <v>0.11799999999999999</v>
      </c>
      <c r="H8642" t="s">
        <v>4909</v>
      </c>
      <c r="I8642" t="s">
        <v>4909</v>
      </c>
      <c r="J8642" s="88">
        <v>7.0000000000000001E-3</v>
      </c>
      <c r="K8642" t="s">
        <v>4909</v>
      </c>
    </row>
    <row r="8643" spans="1:11" x14ac:dyDescent="0.2">
      <c r="A8643" t="s">
        <v>4301</v>
      </c>
      <c r="B8643" s="88">
        <v>2E-3</v>
      </c>
      <c r="C8643" t="s">
        <v>4909</v>
      </c>
      <c r="D8643" s="88">
        <v>7.0000000000000001E-3</v>
      </c>
      <c r="E8643" t="s">
        <v>4909</v>
      </c>
      <c r="F8643" s="88">
        <v>1.2E-2</v>
      </c>
      <c r="G8643" s="88">
        <v>0.28599999999999998</v>
      </c>
      <c r="H8643" t="s">
        <v>4909</v>
      </c>
      <c r="I8643" s="88">
        <v>0</v>
      </c>
      <c r="J8643" s="88">
        <v>3.0000000000000001E-3</v>
      </c>
      <c r="K8643" t="s">
        <v>4909</v>
      </c>
    </row>
    <row r="8644" spans="1:11" x14ac:dyDescent="0.2">
      <c r="A8644" t="s">
        <v>4302</v>
      </c>
      <c r="B8644" s="88">
        <v>2E-3</v>
      </c>
      <c r="C8644" t="s">
        <v>4909</v>
      </c>
      <c r="D8644" s="88">
        <v>2E-3</v>
      </c>
      <c r="E8644" t="s">
        <v>4909</v>
      </c>
      <c r="F8644" s="88">
        <v>3.0000000000000001E-3</v>
      </c>
      <c r="G8644" s="88">
        <v>5.0999999999999997E-2</v>
      </c>
      <c r="H8644" t="s">
        <v>4909</v>
      </c>
      <c r="I8644" s="88">
        <v>0</v>
      </c>
      <c r="J8644" s="88">
        <v>1E-3</v>
      </c>
      <c r="K8644" t="s">
        <v>4909</v>
      </c>
    </row>
    <row r="8645" spans="1:11" x14ac:dyDescent="0.2">
      <c r="A8645" t="s">
        <v>4303</v>
      </c>
      <c r="B8645" s="88">
        <v>4.0000000000000001E-3</v>
      </c>
      <c r="C8645" t="s">
        <v>4909</v>
      </c>
      <c r="D8645" s="88">
        <v>4.0000000000000001E-3</v>
      </c>
      <c r="E8645" t="s">
        <v>4909</v>
      </c>
      <c r="F8645" s="88">
        <v>6.0000000000000001E-3</v>
      </c>
      <c r="G8645" s="88">
        <v>3.5999999999999997E-2</v>
      </c>
      <c r="H8645" t="s">
        <v>4909</v>
      </c>
      <c r="I8645" t="s">
        <v>4909</v>
      </c>
      <c r="J8645" s="88">
        <v>4.0000000000000001E-3</v>
      </c>
      <c r="K8645" t="s">
        <v>4909</v>
      </c>
    </row>
    <row r="8646" spans="1:11" x14ac:dyDescent="0.2">
      <c r="A8646" t="s">
        <v>4304</v>
      </c>
      <c r="B8646" s="88">
        <v>1E-3</v>
      </c>
      <c r="C8646" t="s">
        <v>4909</v>
      </c>
      <c r="D8646" s="88">
        <v>4.0000000000000001E-3</v>
      </c>
      <c r="E8646" t="s">
        <v>4909</v>
      </c>
      <c r="F8646" s="88">
        <v>8.0000000000000002E-3</v>
      </c>
      <c r="G8646" s="88">
        <v>0.19600000000000001</v>
      </c>
      <c r="H8646" t="s">
        <v>4909</v>
      </c>
      <c r="I8646" t="s">
        <v>4909</v>
      </c>
      <c r="J8646" t="s">
        <v>4909</v>
      </c>
      <c r="K8646" t="s">
        <v>4909</v>
      </c>
    </row>
    <row r="8647" spans="1:11" x14ac:dyDescent="0.2">
      <c r="A8647" t="s">
        <v>4305</v>
      </c>
      <c r="B8647" s="88">
        <v>0</v>
      </c>
      <c r="C8647" t="s">
        <v>4909</v>
      </c>
      <c r="D8647" s="88">
        <v>1E-3</v>
      </c>
      <c r="E8647" t="s">
        <v>4909</v>
      </c>
      <c r="F8647" s="88">
        <v>3.0000000000000001E-3</v>
      </c>
      <c r="G8647" s="88">
        <v>8.7999999999999995E-2</v>
      </c>
      <c r="H8647" t="s">
        <v>4909</v>
      </c>
      <c r="I8647" s="88">
        <v>0</v>
      </c>
      <c r="J8647" s="88">
        <v>0</v>
      </c>
      <c r="K8647" t="s">
        <v>4909</v>
      </c>
    </row>
    <row r="8648" spans="1:11" x14ac:dyDescent="0.2">
      <c r="A8648" t="s">
        <v>4306</v>
      </c>
      <c r="B8648" s="88">
        <v>0</v>
      </c>
      <c r="C8648" t="s">
        <v>4909</v>
      </c>
      <c r="D8648" s="88">
        <v>3.0000000000000001E-3</v>
      </c>
      <c r="E8648" t="s">
        <v>4909</v>
      </c>
      <c r="F8648" s="88">
        <v>4.0000000000000001E-3</v>
      </c>
      <c r="G8648" s="88">
        <v>6.8000000000000005E-2</v>
      </c>
      <c r="H8648" t="s">
        <v>4909</v>
      </c>
      <c r="I8648" t="s">
        <v>4909</v>
      </c>
      <c r="J8648" s="88">
        <v>1E-3</v>
      </c>
      <c r="K8648" t="s">
        <v>4909</v>
      </c>
    </row>
    <row r="8649" spans="1:11" x14ac:dyDescent="0.2">
      <c r="A8649" t="s">
        <v>4307</v>
      </c>
      <c r="B8649" s="88">
        <v>2E-3</v>
      </c>
      <c r="C8649" t="s">
        <v>4909</v>
      </c>
      <c r="D8649" s="88">
        <v>6.0000000000000001E-3</v>
      </c>
      <c r="E8649" t="s">
        <v>4909</v>
      </c>
      <c r="F8649" s="88">
        <v>0.01</v>
      </c>
      <c r="G8649" s="88">
        <v>0.05</v>
      </c>
      <c r="H8649" t="s">
        <v>4909</v>
      </c>
      <c r="I8649" s="88">
        <v>0</v>
      </c>
      <c r="J8649" s="88">
        <v>4.0000000000000001E-3</v>
      </c>
      <c r="K8649" t="s">
        <v>4909</v>
      </c>
    </row>
    <row r="8650" spans="1:11" x14ac:dyDescent="0.2">
      <c r="A8650" t="s">
        <v>4308</v>
      </c>
      <c r="B8650" t="s">
        <v>4909</v>
      </c>
      <c r="C8650" t="s">
        <v>4909</v>
      </c>
      <c r="D8650" s="88">
        <v>5.0000000000000001E-3</v>
      </c>
      <c r="E8650" t="s">
        <v>4909</v>
      </c>
      <c r="F8650" s="88">
        <v>8.9999999999999993E-3</v>
      </c>
      <c r="G8650" s="88">
        <v>6.3E-2</v>
      </c>
      <c r="H8650" t="s">
        <v>4909</v>
      </c>
      <c r="I8650" t="s">
        <v>4909</v>
      </c>
      <c r="J8650" s="88">
        <v>5.0000000000000001E-3</v>
      </c>
      <c r="K8650" t="s">
        <v>4909</v>
      </c>
    </row>
    <row r="8651" spans="1:11" x14ac:dyDescent="0.2">
      <c r="A8651" t="s">
        <v>4309</v>
      </c>
      <c r="B8651" t="s">
        <v>4909</v>
      </c>
      <c r="C8651" t="s">
        <v>4909</v>
      </c>
      <c r="D8651" t="s">
        <v>4909</v>
      </c>
      <c r="E8651" t="s">
        <v>4909</v>
      </c>
      <c r="F8651" t="s">
        <v>4909</v>
      </c>
      <c r="G8651" t="s">
        <v>4909</v>
      </c>
      <c r="H8651" t="s">
        <v>4909</v>
      </c>
      <c r="I8651" t="s">
        <v>4909</v>
      </c>
      <c r="J8651" t="s">
        <v>4909</v>
      </c>
      <c r="K8651" t="s">
        <v>4909</v>
      </c>
    </row>
    <row r="8652" spans="1:11" x14ac:dyDescent="0.2">
      <c r="A8652" t="s">
        <v>4310</v>
      </c>
      <c r="B8652" t="s">
        <v>4909</v>
      </c>
      <c r="C8652" t="s">
        <v>4909</v>
      </c>
      <c r="D8652" t="s">
        <v>4909</v>
      </c>
      <c r="E8652" t="s">
        <v>4909</v>
      </c>
      <c r="F8652" t="s">
        <v>4909</v>
      </c>
      <c r="G8652" t="s">
        <v>4909</v>
      </c>
      <c r="H8652" t="s">
        <v>4909</v>
      </c>
      <c r="I8652" t="s">
        <v>4909</v>
      </c>
      <c r="J8652" t="s">
        <v>4909</v>
      </c>
      <c r="K8652" t="s">
        <v>4909</v>
      </c>
    </row>
    <row r="8653" spans="1:11" x14ac:dyDescent="0.2">
      <c r="A8653" t="s">
        <v>4311</v>
      </c>
      <c r="B8653" s="88">
        <v>0</v>
      </c>
      <c r="C8653" t="s">
        <v>4909</v>
      </c>
      <c r="D8653" s="88">
        <v>0</v>
      </c>
      <c r="E8653" t="s">
        <v>4909</v>
      </c>
      <c r="F8653" s="88">
        <v>0</v>
      </c>
      <c r="G8653" s="88">
        <v>2E-3</v>
      </c>
      <c r="H8653" t="s">
        <v>4909</v>
      </c>
      <c r="I8653" t="s">
        <v>4909</v>
      </c>
      <c r="J8653" s="88">
        <v>0</v>
      </c>
      <c r="K8653" t="s">
        <v>4909</v>
      </c>
    </row>
    <row r="8654" spans="1:11" x14ac:dyDescent="0.2">
      <c r="A8654" t="s">
        <v>4312</v>
      </c>
      <c r="B8654" t="s">
        <v>4909</v>
      </c>
      <c r="C8654" t="s">
        <v>4909</v>
      </c>
      <c r="D8654" s="88">
        <v>1E-3</v>
      </c>
      <c r="E8654" t="s">
        <v>4909</v>
      </c>
      <c r="F8654" s="88">
        <v>3.0000000000000001E-3</v>
      </c>
      <c r="G8654" s="88">
        <v>1.2999999999999999E-2</v>
      </c>
      <c r="H8654" t="s">
        <v>4909</v>
      </c>
      <c r="I8654" t="s">
        <v>4909</v>
      </c>
      <c r="J8654" t="s">
        <v>4909</v>
      </c>
      <c r="K8654" t="s">
        <v>4909</v>
      </c>
    </row>
    <row r="8655" spans="1:11" x14ac:dyDescent="0.2">
      <c r="A8655" t="s">
        <v>4313</v>
      </c>
      <c r="B8655" t="s">
        <v>4909</v>
      </c>
      <c r="C8655" t="s">
        <v>4909</v>
      </c>
      <c r="D8655" t="s">
        <v>4909</v>
      </c>
      <c r="E8655" t="s">
        <v>4909</v>
      </c>
      <c r="F8655" t="s">
        <v>4909</v>
      </c>
      <c r="G8655" t="s">
        <v>4909</v>
      </c>
      <c r="H8655" t="s">
        <v>4909</v>
      </c>
      <c r="I8655" t="s">
        <v>4909</v>
      </c>
      <c r="J8655" t="s">
        <v>4909</v>
      </c>
      <c r="K8655" t="s">
        <v>4909</v>
      </c>
    </row>
    <row r="8656" spans="1:11" x14ac:dyDescent="0.2">
      <c r="A8656" t="s">
        <v>4314</v>
      </c>
      <c r="B8656" t="s">
        <v>4909</v>
      </c>
      <c r="C8656" t="s">
        <v>4909</v>
      </c>
      <c r="D8656" t="s">
        <v>4909</v>
      </c>
      <c r="E8656" t="s">
        <v>4909</v>
      </c>
      <c r="F8656" t="s">
        <v>4909</v>
      </c>
      <c r="G8656" t="s">
        <v>4909</v>
      </c>
      <c r="H8656" t="s">
        <v>4909</v>
      </c>
      <c r="I8656" t="s">
        <v>4909</v>
      </c>
      <c r="J8656" s="88">
        <v>0</v>
      </c>
      <c r="K8656" t="s">
        <v>4909</v>
      </c>
    </row>
    <row r="8657" spans="1:11" x14ac:dyDescent="0.2">
      <c r="A8657" t="s">
        <v>4315</v>
      </c>
      <c r="B8657" t="s">
        <v>4909</v>
      </c>
      <c r="C8657" t="s">
        <v>4909</v>
      </c>
      <c r="D8657" t="s">
        <v>4909</v>
      </c>
      <c r="E8657" t="s">
        <v>4909</v>
      </c>
      <c r="F8657" t="s">
        <v>4909</v>
      </c>
      <c r="G8657" t="s">
        <v>4909</v>
      </c>
      <c r="H8657" t="s">
        <v>4909</v>
      </c>
      <c r="I8657" t="s">
        <v>4909</v>
      </c>
      <c r="J8657" t="s">
        <v>4909</v>
      </c>
      <c r="K8657" t="s">
        <v>4909</v>
      </c>
    </row>
    <row r="8658" spans="1:11" x14ac:dyDescent="0.2">
      <c r="A8658" t="s">
        <v>4316</v>
      </c>
      <c r="B8658" t="s">
        <v>4909</v>
      </c>
      <c r="C8658" t="s">
        <v>4909</v>
      </c>
      <c r="D8658" t="s">
        <v>4909</v>
      </c>
      <c r="E8658" t="s">
        <v>4909</v>
      </c>
      <c r="F8658" t="s">
        <v>4909</v>
      </c>
      <c r="G8658" t="s">
        <v>4909</v>
      </c>
      <c r="H8658" t="s">
        <v>4909</v>
      </c>
      <c r="I8658" t="s">
        <v>4909</v>
      </c>
      <c r="J8658" t="s">
        <v>4909</v>
      </c>
      <c r="K8658" t="s">
        <v>4909</v>
      </c>
    </row>
    <row r="8659" spans="1:11" x14ac:dyDescent="0.2">
      <c r="A8659" t="s">
        <v>4317</v>
      </c>
      <c r="B8659" t="s">
        <v>4909</v>
      </c>
      <c r="C8659" t="s">
        <v>4909</v>
      </c>
      <c r="D8659" t="s">
        <v>4909</v>
      </c>
      <c r="E8659" t="s">
        <v>4909</v>
      </c>
      <c r="F8659" t="s">
        <v>4909</v>
      </c>
      <c r="G8659" t="s">
        <v>4909</v>
      </c>
      <c r="H8659" t="s">
        <v>4909</v>
      </c>
      <c r="I8659" t="s">
        <v>4909</v>
      </c>
      <c r="J8659" t="s">
        <v>4909</v>
      </c>
      <c r="K8659" t="s">
        <v>4909</v>
      </c>
    </row>
    <row r="8660" spans="1:11" x14ac:dyDescent="0.2">
      <c r="A8660" t="s">
        <v>4318</v>
      </c>
      <c r="B8660" t="s">
        <v>4909</v>
      </c>
      <c r="C8660" t="s">
        <v>4909</v>
      </c>
      <c r="D8660" t="s">
        <v>4909</v>
      </c>
      <c r="E8660" t="s">
        <v>4909</v>
      </c>
      <c r="F8660" t="s">
        <v>4909</v>
      </c>
      <c r="G8660" t="s">
        <v>4909</v>
      </c>
      <c r="H8660" t="s">
        <v>4909</v>
      </c>
      <c r="I8660" t="s">
        <v>4909</v>
      </c>
      <c r="J8660" t="s">
        <v>4909</v>
      </c>
      <c r="K8660" t="s">
        <v>4909</v>
      </c>
    </row>
    <row r="8661" spans="1:11" x14ac:dyDescent="0.2">
      <c r="A8661" t="s">
        <v>4319</v>
      </c>
      <c r="B8661" t="s">
        <v>4909</v>
      </c>
      <c r="C8661" t="s">
        <v>4909</v>
      </c>
      <c r="D8661" t="s">
        <v>4909</v>
      </c>
      <c r="E8661" t="s">
        <v>4909</v>
      </c>
      <c r="F8661" t="s">
        <v>4909</v>
      </c>
      <c r="G8661" t="s">
        <v>4909</v>
      </c>
      <c r="H8661" t="s">
        <v>4909</v>
      </c>
      <c r="I8661" t="s">
        <v>4909</v>
      </c>
      <c r="J8661" t="s">
        <v>4909</v>
      </c>
      <c r="K8661" t="s">
        <v>4909</v>
      </c>
    </row>
    <row r="8662" spans="1:11" x14ac:dyDescent="0.2">
      <c r="A8662" t="s">
        <v>4320</v>
      </c>
      <c r="B8662" t="s">
        <v>4909</v>
      </c>
      <c r="C8662" t="s">
        <v>4909</v>
      </c>
      <c r="D8662" t="s">
        <v>4909</v>
      </c>
      <c r="E8662" t="s">
        <v>4909</v>
      </c>
      <c r="F8662" t="s">
        <v>4909</v>
      </c>
      <c r="G8662" t="s">
        <v>4909</v>
      </c>
      <c r="H8662" t="s">
        <v>4909</v>
      </c>
      <c r="I8662" t="s">
        <v>4909</v>
      </c>
      <c r="J8662" t="s">
        <v>4909</v>
      </c>
      <c r="K8662" t="s">
        <v>4909</v>
      </c>
    </row>
    <row r="8663" spans="1:11" x14ac:dyDescent="0.2">
      <c r="A8663" t="s">
        <v>4321</v>
      </c>
      <c r="B8663" t="s">
        <v>4909</v>
      </c>
      <c r="C8663" t="s">
        <v>4909</v>
      </c>
      <c r="D8663" t="s">
        <v>4909</v>
      </c>
      <c r="E8663" t="s">
        <v>4909</v>
      </c>
      <c r="F8663" t="s">
        <v>4909</v>
      </c>
      <c r="G8663" t="s">
        <v>4909</v>
      </c>
      <c r="H8663" t="s">
        <v>4909</v>
      </c>
      <c r="I8663" t="s">
        <v>4909</v>
      </c>
      <c r="J8663" t="s">
        <v>4909</v>
      </c>
      <c r="K8663" t="s">
        <v>4909</v>
      </c>
    </row>
    <row r="8664" spans="1:11" x14ac:dyDescent="0.2">
      <c r="A8664" t="s">
        <v>4322</v>
      </c>
      <c r="B8664" t="s">
        <v>4909</v>
      </c>
      <c r="C8664" t="s">
        <v>4909</v>
      </c>
      <c r="D8664" t="s">
        <v>4909</v>
      </c>
      <c r="E8664" t="s">
        <v>4909</v>
      </c>
      <c r="F8664" t="s">
        <v>4909</v>
      </c>
      <c r="G8664" t="s">
        <v>4909</v>
      </c>
      <c r="H8664" t="s">
        <v>4909</v>
      </c>
      <c r="I8664" t="s">
        <v>4909</v>
      </c>
      <c r="J8664" t="s">
        <v>4909</v>
      </c>
      <c r="K8664" t="s">
        <v>4909</v>
      </c>
    </row>
    <row r="8665" spans="1:11" x14ac:dyDescent="0.2">
      <c r="A8665" t="s">
        <v>4323</v>
      </c>
      <c r="B8665" t="s">
        <v>4909</v>
      </c>
      <c r="C8665" t="s">
        <v>4909</v>
      </c>
      <c r="D8665" t="s">
        <v>4909</v>
      </c>
      <c r="E8665" t="s">
        <v>4909</v>
      </c>
      <c r="F8665" t="s">
        <v>4909</v>
      </c>
      <c r="G8665" t="s">
        <v>4909</v>
      </c>
      <c r="H8665" t="s">
        <v>4909</v>
      </c>
      <c r="I8665" t="s">
        <v>4909</v>
      </c>
      <c r="J8665" t="s">
        <v>4909</v>
      </c>
      <c r="K8665" t="s">
        <v>4909</v>
      </c>
    </row>
    <row r="8666" spans="1:11" x14ac:dyDescent="0.2">
      <c r="A8666" t="s">
        <v>4324</v>
      </c>
      <c r="B8666" t="s">
        <v>4909</v>
      </c>
      <c r="C8666" t="s">
        <v>4909</v>
      </c>
      <c r="D8666" t="s">
        <v>4909</v>
      </c>
      <c r="E8666" t="s">
        <v>4909</v>
      </c>
      <c r="F8666" t="s">
        <v>4909</v>
      </c>
      <c r="G8666" t="s">
        <v>4909</v>
      </c>
      <c r="H8666" t="s">
        <v>4909</v>
      </c>
      <c r="I8666" t="s">
        <v>4909</v>
      </c>
      <c r="J8666" t="s">
        <v>4909</v>
      </c>
      <c r="K8666" t="s">
        <v>4909</v>
      </c>
    </row>
    <row r="8667" spans="1:11" x14ac:dyDescent="0.2">
      <c r="A8667" t="s">
        <v>4325</v>
      </c>
      <c r="B8667" t="s">
        <v>4909</v>
      </c>
      <c r="C8667" t="s">
        <v>4909</v>
      </c>
      <c r="D8667" t="s">
        <v>4909</v>
      </c>
      <c r="E8667" t="s">
        <v>4909</v>
      </c>
      <c r="F8667" t="s">
        <v>4909</v>
      </c>
      <c r="G8667" t="s">
        <v>4909</v>
      </c>
      <c r="H8667" t="s">
        <v>4909</v>
      </c>
      <c r="I8667" t="s">
        <v>4909</v>
      </c>
      <c r="J8667" t="s">
        <v>4909</v>
      </c>
      <c r="K8667" t="s">
        <v>4909</v>
      </c>
    </row>
    <row r="8668" spans="1:11" x14ac:dyDescent="0.2">
      <c r="A8668" t="s">
        <v>4326</v>
      </c>
      <c r="B8668" t="s">
        <v>4909</v>
      </c>
      <c r="C8668" t="s">
        <v>4909</v>
      </c>
      <c r="D8668" t="s">
        <v>4909</v>
      </c>
      <c r="E8668" t="s">
        <v>4909</v>
      </c>
      <c r="F8668" t="s">
        <v>4909</v>
      </c>
      <c r="G8668" t="s">
        <v>4909</v>
      </c>
      <c r="H8668" t="s">
        <v>4909</v>
      </c>
      <c r="I8668" t="s">
        <v>4909</v>
      </c>
      <c r="J8668" t="s">
        <v>4909</v>
      </c>
      <c r="K8668" t="s">
        <v>4909</v>
      </c>
    </row>
    <row r="8669" spans="1:11" x14ac:dyDescent="0.2">
      <c r="A8669" t="s">
        <v>4327</v>
      </c>
      <c r="B8669" t="s">
        <v>4909</v>
      </c>
      <c r="C8669" t="s">
        <v>4909</v>
      </c>
      <c r="D8669" t="s">
        <v>4909</v>
      </c>
      <c r="E8669" t="s">
        <v>4909</v>
      </c>
      <c r="F8669" t="s">
        <v>4909</v>
      </c>
      <c r="G8669" t="s">
        <v>4909</v>
      </c>
      <c r="H8669" t="s">
        <v>4909</v>
      </c>
      <c r="I8669" t="s">
        <v>4909</v>
      </c>
      <c r="J8669" t="s">
        <v>4909</v>
      </c>
      <c r="K8669" t="s">
        <v>4909</v>
      </c>
    </row>
    <row r="8670" spans="1:11" x14ac:dyDescent="0.2">
      <c r="A8670" t="s">
        <v>4328</v>
      </c>
      <c r="B8670" t="s">
        <v>4909</v>
      </c>
      <c r="C8670" t="s">
        <v>4909</v>
      </c>
      <c r="D8670" t="s">
        <v>4909</v>
      </c>
      <c r="E8670" t="s">
        <v>4909</v>
      </c>
      <c r="F8670" t="s">
        <v>4909</v>
      </c>
      <c r="G8670" t="s">
        <v>4909</v>
      </c>
      <c r="H8670" t="s">
        <v>4909</v>
      </c>
      <c r="I8670" t="s">
        <v>4909</v>
      </c>
      <c r="J8670" t="s">
        <v>4909</v>
      </c>
      <c r="K8670" t="s">
        <v>4909</v>
      </c>
    </row>
    <row r="8671" spans="1:11" x14ac:dyDescent="0.2">
      <c r="A8671" t="s">
        <v>4329</v>
      </c>
      <c r="B8671" t="s">
        <v>4909</v>
      </c>
      <c r="C8671" t="s">
        <v>4909</v>
      </c>
      <c r="D8671" t="s">
        <v>4909</v>
      </c>
      <c r="E8671" t="s">
        <v>4909</v>
      </c>
      <c r="F8671" t="s">
        <v>4909</v>
      </c>
      <c r="G8671" t="s">
        <v>4909</v>
      </c>
      <c r="H8671" t="s">
        <v>4909</v>
      </c>
      <c r="I8671" t="s">
        <v>4909</v>
      </c>
      <c r="J8671" t="s">
        <v>4909</v>
      </c>
      <c r="K8671" t="s">
        <v>4909</v>
      </c>
    </row>
    <row r="8672" spans="1:11" x14ac:dyDescent="0.2">
      <c r="A8672" t="s">
        <v>4330</v>
      </c>
      <c r="B8672" t="s">
        <v>4909</v>
      </c>
      <c r="C8672" t="s">
        <v>4909</v>
      </c>
      <c r="D8672" t="s">
        <v>4909</v>
      </c>
      <c r="E8672" t="s">
        <v>4909</v>
      </c>
      <c r="F8672" t="s">
        <v>4909</v>
      </c>
      <c r="G8672" t="s">
        <v>4909</v>
      </c>
      <c r="H8672" t="s">
        <v>4909</v>
      </c>
      <c r="I8672" t="s">
        <v>4909</v>
      </c>
      <c r="J8672" t="s">
        <v>4909</v>
      </c>
      <c r="K8672" t="s">
        <v>4909</v>
      </c>
    </row>
    <row r="8673" spans="1:11" x14ac:dyDescent="0.2">
      <c r="A8673" t="s">
        <v>4331</v>
      </c>
      <c r="B8673" t="s">
        <v>4909</v>
      </c>
      <c r="C8673" t="s">
        <v>4909</v>
      </c>
      <c r="D8673" t="s">
        <v>4909</v>
      </c>
      <c r="E8673" t="s">
        <v>4909</v>
      </c>
      <c r="F8673" t="s">
        <v>4909</v>
      </c>
      <c r="G8673" t="s">
        <v>4909</v>
      </c>
      <c r="H8673" t="s">
        <v>4909</v>
      </c>
      <c r="I8673" t="s">
        <v>4909</v>
      </c>
      <c r="J8673" t="s">
        <v>4909</v>
      </c>
      <c r="K8673" t="s">
        <v>4909</v>
      </c>
    </row>
    <row r="8674" spans="1:11" x14ac:dyDescent="0.2">
      <c r="A8674" t="s">
        <v>4332</v>
      </c>
      <c r="B8674" t="s">
        <v>4909</v>
      </c>
      <c r="C8674" t="s">
        <v>4909</v>
      </c>
      <c r="D8674" t="s">
        <v>4909</v>
      </c>
      <c r="E8674" t="s">
        <v>4909</v>
      </c>
      <c r="F8674" t="s">
        <v>4909</v>
      </c>
      <c r="G8674" t="s">
        <v>4909</v>
      </c>
      <c r="H8674" t="s">
        <v>4909</v>
      </c>
      <c r="I8674" t="s">
        <v>4909</v>
      </c>
      <c r="J8674" t="s">
        <v>4909</v>
      </c>
      <c r="K8674" t="s">
        <v>4909</v>
      </c>
    </row>
    <row r="8675" spans="1:11" x14ac:dyDescent="0.2">
      <c r="A8675" t="s">
        <v>4333</v>
      </c>
      <c r="B8675" t="s">
        <v>4909</v>
      </c>
      <c r="C8675" t="s">
        <v>4909</v>
      </c>
      <c r="D8675" t="s">
        <v>4909</v>
      </c>
      <c r="E8675" t="s">
        <v>4909</v>
      </c>
      <c r="F8675" t="s">
        <v>4909</v>
      </c>
      <c r="G8675" t="s">
        <v>4909</v>
      </c>
      <c r="H8675" t="s">
        <v>4909</v>
      </c>
      <c r="I8675" t="s">
        <v>4909</v>
      </c>
      <c r="J8675" t="s">
        <v>4909</v>
      </c>
      <c r="K8675" t="s">
        <v>4909</v>
      </c>
    </row>
    <row r="8676" spans="1:11" x14ac:dyDescent="0.2">
      <c r="A8676" t="s">
        <v>4334</v>
      </c>
      <c r="B8676" t="s">
        <v>4909</v>
      </c>
      <c r="C8676" t="s">
        <v>4909</v>
      </c>
      <c r="D8676" t="s">
        <v>4909</v>
      </c>
      <c r="E8676" t="s">
        <v>4909</v>
      </c>
      <c r="F8676" t="s">
        <v>4909</v>
      </c>
      <c r="G8676" t="s">
        <v>4909</v>
      </c>
      <c r="H8676" t="s">
        <v>4909</v>
      </c>
      <c r="I8676" t="s">
        <v>4909</v>
      </c>
      <c r="J8676" t="s">
        <v>4909</v>
      </c>
      <c r="K8676" t="s">
        <v>4909</v>
      </c>
    </row>
    <row r="8677" spans="1:11" x14ac:dyDescent="0.2">
      <c r="A8677" t="s">
        <v>4335</v>
      </c>
      <c r="B8677" t="s">
        <v>4909</v>
      </c>
      <c r="C8677" t="s">
        <v>4909</v>
      </c>
      <c r="D8677" t="s">
        <v>4909</v>
      </c>
      <c r="E8677" t="s">
        <v>4909</v>
      </c>
      <c r="F8677" t="s">
        <v>4909</v>
      </c>
      <c r="G8677" t="s">
        <v>4909</v>
      </c>
      <c r="H8677" t="s">
        <v>4909</v>
      </c>
      <c r="I8677" t="s">
        <v>4909</v>
      </c>
      <c r="J8677" t="s">
        <v>4909</v>
      </c>
      <c r="K8677" t="s">
        <v>4909</v>
      </c>
    </row>
    <row r="8678" spans="1:11" x14ac:dyDescent="0.2">
      <c r="A8678" t="s">
        <v>4336</v>
      </c>
      <c r="B8678" t="s">
        <v>4909</v>
      </c>
      <c r="C8678" t="s">
        <v>4909</v>
      </c>
      <c r="D8678" t="s">
        <v>4909</v>
      </c>
      <c r="E8678" t="s">
        <v>4909</v>
      </c>
      <c r="F8678" t="s">
        <v>4909</v>
      </c>
      <c r="G8678" t="s">
        <v>4909</v>
      </c>
      <c r="H8678" t="s">
        <v>4909</v>
      </c>
      <c r="I8678" t="s">
        <v>4909</v>
      </c>
      <c r="J8678" t="s">
        <v>4909</v>
      </c>
      <c r="K8678" t="s">
        <v>4909</v>
      </c>
    </row>
    <row r="8679" spans="1:11" x14ac:dyDescent="0.2">
      <c r="A8679" t="s">
        <v>4337</v>
      </c>
      <c r="B8679" t="s">
        <v>4909</v>
      </c>
      <c r="C8679" t="s">
        <v>4909</v>
      </c>
      <c r="D8679" t="s">
        <v>4909</v>
      </c>
      <c r="E8679" t="s">
        <v>4909</v>
      </c>
      <c r="F8679" t="s">
        <v>4909</v>
      </c>
      <c r="G8679" t="s">
        <v>4909</v>
      </c>
      <c r="H8679" t="s">
        <v>4909</v>
      </c>
      <c r="I8679" t="s">
        <v>4909</v>
      </c>
      <c r="J8679" t="s">
        <v>4909</v>
      </c>
      <c r="K8679" t="s">
        <v>4909</v>
      </c>
    </row>
    <row r="8680" spans="1:11" x14ac:dyDescent="0.2">
      <c r="A8680" t="s">
        <v>4338</v>
      </c>
      <c r="B8680" t="s">
        <v>4909</v>
      </c>
      <c r="C8680" t="s">
        <v>4909</v>
      </c>
      <c r="D8680" t="s">
        <v>4909</v>
      </c>
      <c r="E8680" t="s">
        <v>4909</v>
      </c>
      <c r="F8680" t="s">
        <v>4909</v>
      </c>
      <c r="G8680" t="s">
        <v>4909</v>
      </c>
      <c r="H8680" t="s">
        <v>4909</v>
      </c>
      <c r="I8680" t="s">
        <v>4909</v>
      </c>
      <c r="J8680" t="s">
        <v>4909</v>
      </c>
      <c r="K8680" t="s">
        <v>4909</v>
      </c>
    </row>
    <row r="8681" spans="1:11" x14ac:dyDescent="0.2">
      <c r="A8681" t="s">
        <v>4339</v>
      </c>
      <c r="B8681" t="s">
        <v>4909</v>
      </c>
      <c r="C8681" t="s">
        <v>4909</v>
      </c>
      <c r="D8681" t="s">
        <v>4909</v>
      </c>
      <c r="E8681" t="s">
        <v>4909</v>
      </c>
      <c r="F8681" t="s">
        <v>4909</v>
      </c>
      <c r="G8681" t="s">
        <v>4909</v>
      </c>
      <c r="H8681" t="s">
        <v>4909</v>
      </c>
      <c r="I8681" t="s">
        <v>4909</v>
      </c>
      <c r="J8681" t="s">
        <v>4909</v>
      </c>
      <c r="K8681" t="s">
        <v>4909</v>
      </c>
    </row>
    <row r="8682" spans="1:11" x14ac:dyDescent="0.2">
      <c r="A8682" t="s">
        <v>4340</v>
      </c>
      <c r="B8682" t="s">
        <v>4909</v>
      </c>
      <c r="C8682" t="s">
        <v>4909</v>
      </c>
      <c r="D8682" t="s">
        <v>4909</v>
      </c>
      <c r="E8682" t="s">
        <v>4909</v>
      </c>
      <c r="F8682" t="s">
        <v>4909</v>
      </c>
      <c r="G8682" t="s">
        <v>4909</v>
      </c>
      <c r="H8682" t="s">
        <v>4909</v>
      </c>
      <c r="I8682" t="s">
        <v>4909</v>
      </c>
      <c r="J8682" t="s">
        <v>4909</v>
      </c>
      <c r="K8682" t="s">
        <v>4909</v>
      </c>
    </row>
    <row r="8683" spans="1:11" x14ac:dyDescent="0.2">
      <c r="A8683" t="s">
        <v>4341</v>
      </c>
      <c r="B8683" t="s">
        <v>4909</v>
      </c>
      <c r="C8683" t="s">
        <v>4909</v>
      </c>
      <c r="D8683" t="s">
        <v>4909</v>
      </c>
      <c r="E8683" t="s">
        <v>4909</v>
      </c>
      <c r="F8683" t="s">
        <v>4909</v>
      </c>
      <c r="G8683" t="s">
        <v>4909</v>
      </c>
      <c r="H8683" t="s">
        <v>4909</v>
      </c>
      <c r="I8683" t="s">
        <v>4909</v>
      </c>
      <c r="J8683" t="s">
        <v>4909</v>
      </c>
      <c r="K8683" t="s">
        <v>4909</v>
      </c>
    </row>
    <row r="8684" spans="1:11" x14ac:dyDescent="0.2">
      <c r="A8684" t="s">
        <v>4342</v>
      </c>
      <c r="B8684" t="s">
        <v>4909</v>
      </c>
      <c r="C8684" t="s">
        <v>4909</v>
      </c>
      <c r="D8684" t="s">
        <v>4909</v>
      </c>
      <c r="E8684" t="s">
        <v>4909</v>
      </c>
      <c r="F8684" t="s">
        <v>4909</v>
      </c>
      <c r="G8684" t="s">
        <v>4909</v>
      </c>
      <c r="H8684" t="s">
        <v>4909</v>
      </c>
      <c r="I8684" t="s">
        <v>4909</v>
      </c>
      <c r="J8684" t="s">
        <v>4909</v>
      </c>
      <c r="K8684" t="s">
        <v>4909</v>
      </c>
    </row>
    <row r="8685" spans="1:11" x14ac:dyDescent="0.2">
      <c r="A8685" t="s">
        <v>4343</v>
      </c>
      <c r="B8685" t="s">
        <v>4909</v>
      </c>
      <c r="C8685" t="s">
        <v>4909</v>
      </c>
      <c r="D8685" t="s">
        <v>4909</v>
      </c>
      <c r="E8685" t="s">
        <v>4909</v>
      </c>
      <c r="F8685" t="s">
        <v>4909</v>
      </c>
      <c r="G8685" t="s">
        <v>4909</v>
      </c>
      <c r="H8685" t="s">
        <v>4909</v>
      </c>
      <c r="I8685" t="s">
        <v>4909</v>
      </c>
      <c r="J8685" t="s">
        <v>4909</v>
      </c>
      <c r="K8685" t="s">
        <v>4909</v>
      </c>
    </row>
    <row r="8686" spans="1:11" x14ac:dyDescent="0.2">
      <c r="A8686" t="s">
        <v>1728</v>
      </c>
      <c r="B8686" t="s">
        <v>4909</v>
      </c>
      <c r="C8686" t="s">
        <v>4909</v>
      </c>
      <c r="D8686" t="s">
        <v>4909</v>
      </c>
      <c r="E8686" t="s">
        <v>4909</v>
      </c>
      <c r="F8686" t="s">
        <v>4909</v>
      </c>
      <c r="G8686" t="s">
        <v>4909</v>
      </c>
      <c r="H8686" t="s">
        <v>4909</v>
      </c>
      <c r="I8686" t="s">
        <v>4909</v>
      </c>
      <c r="J8686" t="s">
        <v>4909</v>
      </c>
      <c r="K8686" t="s">
        <v>4909</v>
      </c>
    </row>
    <row r="8687" spans="1:11" x14ac:dyDescent="0.2">
      <c r="A8687" t="s">
        <v>1730</v>
      </c>
      <c r="B8687" t="s">
        <v>4909</v>
      </c>
      <c r="C8687" t="s">
        <v>4909</v>
      </c>
      <c r="D8687" s="88">
        <v>0</v>
      </c>
      <c r="E8687" t="s">
        <v>4909</v>
      </c>
      <c r="F8687" s="88">
        <v>0</v>
      </c>
      <c r="G8687" s="88">
        <v>2E-3</v>
      </c>
      <c r="H8687" t="s">
        <v>4909</v>
      </c>
      <c r="I8687" t="s">
        <v>4909</v>
      </c>
      <c r="J8687" s="88">
        <v>0</v>
      </c>
      <c r="K8687" t="s">
        <v>4909</v>
      </c>
    </row>
    <row r="8688" spans="1:11" x14ac:dyDescent="0.2">
      <c r="A8688" t="s">
        <v>1733</v>
      </c>
      <c r="B8688" t="s">
        <v>4909</v>
      </c>
      <c r="C8688" t="s">
        <v>4909</v>
      </c>
      <c r="D8688" t="s">
        <v>4909</v>
      </c>
      <c r="E8688" t="s">
        <v>4909</v>
      </c>
      <c r="F8688" t="s">
        <v>4909</v>
      </c>
      <c r="G8688" t="s">
        <v>4909</v>
      </c>
      <c r="H8688" t="s">
        <v>4909</v>
      </c>
      <c r="I8688" t="s">
        <v>4909</v>
      </c>
      <c r="J8688" t="s">
        <v>4909</v>
      </c>
      <c r="K8688" t="s">
        <v>4909</v>
      </c>
    </row>
    <row r="8689" spans="1:11" x14ac:dyDescent="0.2">
      <c r="A8689" t="s">
        <v>1738</v>
      </c>
      <c r="B8689" t="s">
        <v>4909</v>
      </c>
      <c r="C8689" t="s">
        <v>4909</v>
      </c>
      <c r="D8689" t="s">
        <v>4909</v>
      </c>
      <c r="E8689" t="s">
        <v>4909</v>
      </c>
      <c r="F8689" t="s">
        <v>4909</v>
      </c>
      <c r="G8689" t="s">
        <v>4909</v>
      </c>
      <c r="H8689" t="s">
        <v>4909</v>
      </c>
      <c r="I8689" t="s">
        <v>4909</v>
      </c>
      <c r="J8689" t="s">
        <v>4909</v>
      </c>
      <c r="K8689" t="s">
        <v>4909</v>
      </c>
    </row>
    <row r="8690" spans="1:11" x14ac:dyDescent="0.2">
      <c r="A8690" t="s">
        <v>1744</v>
      </c>
      <c r="B8690" t="s">
        <v>4909</v>
      </c>
      <c r="C8690" t="s">
        <v>4909</v>
      </c>
      <c r="D8690" t="s">
        <v>4909</v>
      </c>
      <c r="E8690" t="s">
        <v>4909</v>
      </c>
      <c r="F8690" t="s">
        <v>4909</v>
      </c>
      <c r="G8690" t="s">
        <v>4909</v>
      </c>
      <c r="H8690" t="s">
        <v>4909</v>
      </c>
      <c r="I8690" t="s">
        <v>4909</v>
      </c>
      <c r="J8690" t="s">
        <v>4909</v>
      </c>
      <c r="K8690" t="s">
        <v>4909</v>
      </c>
    </row>
    <row r="8691" spans="1:11" x14ac:dyDescent="0.2">
      <c r="A8691" t="s">
        <v>1747</v>
      </c>
      <c r="B8691" t="s">
        <v>4909</v>
      </c>
      <c r="C8691" t="s">
        <v>4909</v>
      </c>
      <c r="D8691" t="s">
        <v>4909</v>
      </c>
      <c r="E8691" t="s">
        <v>4909</v>
      </c>
      <c r="F8691" t="s">
        <v>4909</v>
      </c>
      <c r="G8691" t="s">
        <v>4909</v>
      </c>
      <c r="H8691" t="s">
        <v>4909</v>
      </c>
      <c r="I8691" t="s">
        <v>4909</v>
      </c>
      <c r="J8691" t="s">
        <v>4909</v>
      </c>
      <c r="K8691" t="s">
        <v>4909</v>
      </c>
    </row>
    <row r="8692" spans="1:11" x14ac:dyDescent="0.2">
      <c r="A8692" t="s">
        <v>1751</v>
      </c>
      <c r="B8692" t="s">
        <v>4909</v>
      </c>
      <c r="C8692" t="s">
        <v>4909</v>
      </c>
      <c r="D8692" t="s">
        <v>4909</v>
      </c>
      <c r="E8692" t="s">
        <v>4909</v>
      </c>
      <c r="F8692" t="s">
        <v>4909</v>
      </c>
      <c r="G8692" t="s">
        <v>4909</v>
      </c>
      <c r="H8692" t="s">
        <v>4909</v>
      </c>
      <c r="I8692" t="s">
        <v>4909</v>
      </c>
      <c r="J8692" t="s">
        <v>4909</v>
      </c>
      <c r="K8692" t="s">
        <v>4909</v>
      </c>
    </row>
    <row r="8693" spans="1:11" x14ac:dyDescent="0.2">
      <c r="A8693" t="s">
        <v>1755</v>
      </c>
      <c r="B8693" t="s">
        <v>4909</v>
      </c>
      <c r="C8693" t="s">
        <v>4909</v>
      </c>
      <c r="D8693" t="s">
        <v>4909</v>
      </c>
      <c r="E8693" t="s">
        <v>4909</v>
      </c>
      <c r="F8693" t="s">
        <v>4909</v>
      </c>
      <c r="G8693" t="s">
        <v>4909</v>
      </c>
      <c r="H8693" t="s">
        <v>4909</v>
      </c>
      <c r="I8693" t="s">
        <v>4909</v>
      </c>
      <c r="J8693" t="s">
        <v>4909</v>
      </c>
      <c r="K8693" t="s">
        <v>4909</v>
      </c>
    </row>
    <row r="8694" spans="1:11" x14ac:dyDescent="0.2">
      <c r="A8694" t="s">
        <v>1757</v>
      </c>
      <c r="B8694" t="s">
        <v>4909</v>
      </c>
      <c r="C8694" t="s">
        <v>4909</v>
      </c>
      <c r="D8694" t="s">
        <v>4909</v>
      </c>
      <c r="E8694" t="s">
        <v>4909</v>
      </c>
      <c r="F8694" t="s">
        <v>4909</v>
      </c>
      <c r="G8694" s="88">
        <v>0</v>
      </c>
      <c r="H8694" t="s">
        <v>4909</v>
      </c>
      <c r="I8694" t="s">
        <v>4909</v>
      </c>
      <c r="J8694" t="s">
        <v>4909</v>
      </c>
      <c r="K8694" t="s">
        <v>4909</v>
      </c>
    </row>
    <row r="8695" spans="1:11" x14ac:dyDescent="0.2">
      <c r="A8695" t="s">
        <v>1761</v>
      </c>
      <c r="B8695" t="s">
        <v>4909</v>
      </c>
      <c r="C8695" t="s">
        <v>4909</v>
      </c>
      <c r="D8695" t="s">
        <v>4909</v>
      </c>
      <c r="E8695" t="s">
        <v>4909</v>
      </c>
      <c r="F8695" t="s">
        <v>4909</v>
      </c>
      <c r="G8695" t="s">
        <v>4909</v>
      </c>
      <c r="H8695" t="s">
        <v>4909</v>
      </c>
      <c r="I8695" t="s">
        <v>4909</v>
      </c>
      <c r="J8695" t="s">
        <v>4909</v>
      </c>
      <c r="K8695" t="s">
        <v>4909</v>
      </c>
    </row>
    <row r="8696" spans="1:11" x14ac:dyDescent="0.2">
      <c r="A8696" t="s">
        <v>1764</v>
      </c>
      <c r="B8696" t="s">
        <v>4909</v>
      </c>
      <c r="C8696" t="s">
        <v>4909</v>
      </c>
      <c r="D8696" t="s">
        <v>4909</v>
      </c>
      <c r="E8696" t="s">
        <v>4909</v>
      </c>
      <c r="F8696" t="s">
        <v>4909</v>
      </c>
      <c r="G8696" t="s">
        <v>4909</v>
      </c>
      <c r="H8696" t="s">
        <v>4909</v>
      </c>
      <c r="I8696" t="s">
        <v>4909</v>
      </c>
      <c r="J8696" t="s">
        <v>4909</v>
      </c>
      <c r="K8696" t="s">
        <v>4909</v>
      </c>
    </row>
    <row r="8697" spans="1:11" x14ac:dyDescent="0.2">
      <c r="A8697" t="s">
        <v>1770</v>
      </c>
      <c r="B8697" s="88">
        <v>0</v>
      </c>
      <c r="C8697" t="s">
        <v>4909</v>
      </c>
      <c r="D8697" s="88">
        <v>0</v>
      </c>
      <c r="E8697" t="s">
        <v>4909</v>
      </c>
      <c r="F8697" s="88">
        <v>0</v>
      </c>
      <c r="G8697" s="88">
        <v>1.4E-2</v>
      </c>
      <c r="H8697" t="s">
        <v>4909</v>
      </c>
      <c r="I8697" s="88">
        <v>0</v>
      </c>
      <c r="J8697" s="88">
        <v>0</v>
      </c>
      <c r="K8697" t="s">
        <v>4909</v>
      </c>
    </row>
    <row r="8698" spans="1:11" x14ac:dyDescent="0.2">
      <c r="A8698" t="s">
        <v>1772</v>
      </c>
      <c r="B8698" t="s">
        <v>4909</v>
      </c>
      <c r="C8698" t="s">
        <v>4909</v>
      </c>
      <c r="D8698" t="s">
        <v>4909</v>
      </c>
      <c r="E8698" t="s">
        <v>4909</v>
      </c>
      <c r="F8698" t="s">
        <v>4909</v>
      </c>
      <c r="G8698" s="88">
        <v>1E-3</v>
      </c>
      <c r="H8698" t="s">
        <v>4909</v>
      </c>
      <c r="I8698" t="s">
        <v>4909</v>
      </c>
      <c r="J8698" t="s">
        <v>4909</v>
      </c>
      <c r="K8698" t="s">
        <v>4909</v>
      </c>
    </row>
    <row r="8699" spans="1:11" x14ac:dyDescent="0.2">
      <c r="A8699" t="s">
        <v>1774</v>
      </c>
      <c r="B8699" t="s">
        <v>4909</v>
      </c>
      <c r="C8699" t="s">
        <v>4909</v>
      </c>
      <c r="D8699" t="s">
        <v>4909</v>
      </c>
      <c r="E8699" t="s">
        <v>4909</v>
      </c>
      <c r="F8699" t="s">
        <v>4909</v>
      </c>
      <c r="G8699" t="s">
        <v>4909</v>
      </c>
      <c r="H8699" t="s">
        <v>4909</v>
      </c>
      <c r="I8699" t="s">
        <v>4909</v>
      </c>
      <c r="J8699" t="s">
        <v>4909</v>
      </c>
      <c r="K8699" t="s">
        <v>4909</v>
      </c>
    </row>
    <row r="8700" spans="1:11" x14ac:dyDescent="0.2">
      <c r="A8700" t="s">
        <v>1777</v>
      </c>
      <c r="B8700" t="s">
        <v>4909</v>
      </c>
      <c r="C8700" t="s">
        <v>4909</v>
      </c>
      <c r="D8700" t="s">
        <v>4909</v>
      </c>
      <c r="E8700" t="s">
        <v>4909</v>
      </c>
      <c r="F8700" t="s">
        <v>4909</v>
      </c>
      <c r="G8700" t="s">
        <v>4909</v>
      </c>
      <c r="H8700" t="s">
        <v>4909</v>
      </c>
      <c r="I8700" t="s">
        <v>4909</v>
      </c>
      <c r="J8700" t="s">
        <v>4909</v>
      </c>
      <c r="K8700" t="s">
        <v>4909</v>
      </c>
    </row>
    <row r="8701" spans="1:11" x14ac:dyDescent="0.2">
      <c r="A8701" t="s">
        <v>1782</v>
      </c>
      <c r="B8701" t="s">
        <v>4909</v>
      </c>
      <c r="C8701" t="s">
        <v>4909</v>
      </c>
      <c r="D8701" t="s">
        <v>4909</v>
      </c>
      <c r="E8701" t="s">
        <v>4909</v>
      </c>
      <c r="F8701" t="s">
        <v>4909</v>
      </c>
      <c r="G8701" t="s">
        <v>4909</v>
      </c>
      <c r="H8701" t="s">
        <v>4909</v>
      </c>
      <c r="I8701" t="s">
        <v>4909</v>
      </c>
      <c r="J8701" t="s">
        <v>4909</v>
      </c>
      <c r="K8701" t="s">
        <v>4909</v>
      </c>
    </row>
    <row r="8702" spans="1:11" x14ac:dyDescent="0.2">
      <c r="A8702" t="s">
        <v>1274</v>
      </c>
      <c r="B8702" t="s">
        <v>4909</v>
      </c>
      <c r="C8702" t="s">
        <v>4909</v>
      </c>
      <c r="D8702" t="s">
        <v>4909</v>
      </c>
      <c r="E8702" t="s">
        <v>4909</v>
      </c>
      <c r="F8702" t="s">
        <v>4909</v>
      </c>
      <c r="G8702" t="s">
        <v>4909</v>
      </c>
      <c r="H8702" t="s">
        <v>4909</v>
      </c>
      <c r="I8702" t="s">
        <v>4909</v>
      </c>
      <c r="J8702" t="s">
        <v>4909</v>
      </c>
      <c r="K8702" t="s">
        <v>4909</v>
      </c>
    </row>
    <row r="8703" spans="1:11" x14ac:dyDescent="0.2">
      <c r="A8703" t="s">
        <v>1277</v>
      </c>
      <c r="B8703" t="s">
        <v>4909</v>
      </c>
      <c r="C8703" t="s">
        <v>4909</v>
      </c>
      <c r="D8703" t="s">
        <v>4909</v>
      </c>
      <c r="E8703" t="s">
        <v>4909</v>
      </c>
      <c r="F8703" t="s">
        <v>4909</v>
      </c>
      <c r="G8703" t="s">
        <v>4909</v>
      </c>
      <c r="H8703" t="s">
        <v>4909</v>
      </c>
      <c r="I8703" t="s">
        <v>4909</v>
      </c>
      <c r="J8703" t="s">
        <v>4909</v>
      </c>
      <c r="K8703" t="s">
        <v>4909</v>
      </c>
    </row>
    <row r="8704" spans="1:11" x14ac:dyDescent="0.2">
      <c r="A8704" t="s">
        <v>1798</v>
      </c>
      <c r="B8704" t="s">
        <v>4909</v>
      </c>
      <c r="C8704" t="s">
        <v>4909</v>
      </c>
      <c r="D8704" t="s">
        <v>4909</v>
      </c>
      <c r="E8704" t="s">
        <v>4909</v>
      </c>
      <c r="F8704" t="s">
        <v>4909</v>
      </c>
      <c r="G8704" t="s">
        <v>4909</v>
      </c>
      <c r="H8704" t="s">
        <v>4909</v>
      </c>
      <c r="I8704" t="s">
        <v>4909</v>
      </c>
      <c r="J8704" t="s">
        <v>4909</v>
      </c>
      <c r="K8704" t="s">
        <v>4909</v>
      </c>
    </row>
    <row r="8705" spans="1:11" x14ac:dyDescent="0.2">
      <c r="A8705" t="s">
        <v>1803</v>
      </c>
      <c r="B8705" t="s">
        <v>4909</v>
      </c>
      <c r="C8705" t="s">
        <v>4909</v>
      </c>
      <c r="D8705" t="s">
        <v>4909</v>
      </c>
      <c r="E8705" t="s">
        <v>4909</v>
      </c>
      <c r="F8705" t="s">
        <v>4909</v>
      </c>
      <c r="G8705" t="s">
        <v>4909</v>
      </c>
      <c r="H8705" t="s">
        <v>4909</v>
      </c>
      <c r="I8705" t="s">
        <v>4909</v>
      </c>
      <c r="J8705" t="s">
        <v>4909</v>
      </c>
      <c r="K8705" t="s">
        <v>4909</v>
      </c>
    </row>
    <row r="8706" spans="1:11" x14ac:dyDescent="0.2">
      <c r="A8706" t="s">
        <v>1808</v>
      </c>
      <c r="B8706" t="s">
        <v>4909</v>
      </c>
      <c r="C8706" t="s">
        <v>4909</v>
      </c>
      <c r="D8706" t="s">
        <v>4909</v>
      </c>
      <c r="E8706" t="s">
        <v>4909</v>
      </c>
      <c r="F8706" t="s">
        <v>4909</v>
      </c>
      <c r="G8706" t="s">
        <v>4909</v>
      </c>
      <c r="H8706" t="s">
        <v>4909</v>
      </c>
      <c r="I8706" t="s">
        <v>4909</v>
      </c>
      <c r="J8706" t="s">
        <v>4909</v>
      </c>
      <c r="K8706" t="s">
        <v>4909</v>
      </c>
    </row>
    <row r="8707" spans="1:11" x14ac:dyDescent="0.2">
      <c r="A8707" t="s">
        <v>1813</v>
      </c>
      <c r="B8707" t="s">
        <v>4909</v>
      </c>
      <c r="C8707" t="s">
        <v>4909</v>
      </c>
      <c r="D8707" t="s">
        <v>4909</v>
      </c>
      <c r="E8707" t="s">
        <v>4909</v>
      </c>
      <c r="F8707" t="s">
        <v>4909</v>
      </c>
      <c r="G8707" t="s">
        <v>4909</v>
      </c>
      <c r="H8707" t="s">
        <v>4909</v>
      </c>
      <c r="I8707" t="s">
        <v>4909</v>
      </c>
      <c r="J8707" t="s">
        <v>4909</v>
      </c>
      <c r="K8707" t="s">
        <v>4909</v>
      </c>
    </row>
    <row r="8708" spans="1:11" x14ac:dyDescent="0.2">
      <c r="A8708" t="s">
        <v>1819</v>
      </c>
      <c r="B8708" t="s">
        <v>4909</v>
      </c>
      <c r="C8708" t="s">
        <v>4909</v>
      </c>
      <c r="D8708" t="s">
        <v>4909</v>
      </c>
      <c r="E8708" t="s">
        <v>4909</v>
      </c>
      <c r="F8708" t="s">
        <v>4909</v>
      </c>
      <c r="G8708" t="s">
        <v>4909</v>
      </c>
      <c r="H8708" t="s">
        <v>4909</v>
      </c>
      <c r="I8708" t="s">
        <v>4909</v>
      </c>
      <c r="J8708" t="s">
        <v>4909</v>
      </c>
      <c r="K8708" t="s">
        <v>4909</v>
      </c>
    </row>
    <row r="8709" spans="1:11" x14ac:dyDescent="0.2">
      <c r="A8709" t="s">
        <v>1826</v>
      </c>
      <c r="B8709" t="s">
        <v>4909</v>
      </c>
      <c r="C8709" t="s">
        <v>4909</v>
      </c>
      <c r="D8709" t="s">
        <v>4909</v>
      </c>
      <c r="E8709" t="s">
        <v>4909</v>
      </c>
      <c r="F8709" t="s">
        <v>4909</v>
      </c>
      <c r="G8709" t="s">
        <v>4909</v>
      </c>
      <c r="H8709" t="s">
        <v>4909</v>
      </c>
      <c r="I8709" t="s">
        <v>4909</v>
      </c>
      <c r="J8709" t="s">
        <v>4909</v>
      </c>
      <c r="K8709" t="s">
        <v>4909</v>
      </c>
    </row>
    <row r="8710" spans="1:11" x14ac:dyDescent="0.2">
      <c r="A8710" t="s">
        <v>1830</v>
      </c>
      <c r="B8710" t="s">
        <v>4909</v>
      </c>
      <c r="C8710" t="s">
        <v>4909</v>
      </c>
      <c r="D8710" t="s">
        <v>4909</v>
      </c>
      <c r="E8710" t="s">
        <v>4909</v>
      </c>
      <c r="F8710" t="s">
        <v>4909</v>
      </c>
      <c r="G8710" t="s">
        <v>4909</v>
      </c>
      <c r="H8710" t="s">
        <v>4909</v>
      </c>
      <c r="I8710" t="s">
        <v>4909</v>
      </c>
      <c r="J8710" t="s">
        <v>4909</v>
      </c>
      <c r="K8710" t="s">
        <v>4909</v>
      </c>
    </row>
    <row r="8711" spans="1:11" x14ac:dyDescent="0.2">
      <c r="A8711" t="s">
        <v>1836</v>
      </c>
      <c r="B8711" t="s">
        <v>4909</v>
      </c>
      <c r="C8711" t="s">
        <v>4909</v>
      </c>
      <c r="D8711" t="s">
        <v>4909</v>
      </c>
      <c r="E8711" t="s">
        <v>4909</v>
      </c>
      <c r="F8711" t="s">
        <v>4909</v>
      </c>
      <c r="G8711" t="s">
        <v>4909</v>
      </c>
      <c r="H8711" t="s">
        <v>4909</v>
      </c>
      <c r="I8711" t="s">
        <v>4909</v>
      </c>
      <c r="J8711" t="s">
        <v>4909</v>
      </c>
      <c r="K8711" t="s">
        <v>4909</v>
      </c>
    </row>
    <row r="8712" spans="1:11" x14ac:dyDescent="0.2">
      <c r="A8712" t="s">
        <v>1841</v>
      </c>
      <c r="B8712" t="s">
        <v>4909</v>
      </c>
      <c r="C8712" t="s">
        <v>4909</v>
      </c>
      <c r="D8712" t="s">
        <v>4909</v>
      </c>
      <c r="E8712" t="s">
        <v>4909</v>
      </c>
      <c r="F8712" t="s">
        <v>4909</v>
      </c>
      <c r="G8712" t="s">
        <v>4909</v>
      </c>
      <c r="H8712" t="s">
        <v>4909</v>
      </c>
      <c r="I8712" t="s">
        <v>4909</v>
      </c>
      <c r="J8712" t="s">
        <v>4909</v>
      </c>
      <c r="K8712" t="s">
        <v>4909</v>
      </c>
    </row>
    <row r="8713" spans="1:11" x14ac:dyDescent="0.2">
      <c r="A8713" t="s">
        <v>1842</v>
      </c>
      <c r="B8713" t="s">
        <v>4909</v>
      </c>
      <c r="C8713" t="s">
        <v>4909</v>
      </c>
      <c r="D8713" s="88">
        <v>0</v>
      </c>
      <c r="E8713" t="s">
        <v>4909</v>
      </c>
      <c r="F8713" s="88">
        <v>0</v>
      </c>
      <c r="G8713" s="88">
        <v>0</v>
      </c>
      <c r="H8713" t="s">
        <v>4909</v>
      </c>
      <c r="I8713" t="s">
        <v>4909</v>
      </c>
      <c r="J8713" t="s">
        <v>4909</v>
      </c>
      <c r="K8713" t="s">
        <v>4909</v>
      </c>
    </row>
    <row r="8714" spans="1:11" x14ac:dyDescent="0.2">
      <c r="A8714" t="s">
        <v>1843</v>
      </c>
      <c r="B8714" t="s">
        <v>4909</v>
      </c>
      <c r="C8714" t="s">
        <v>4909</v>
      </c>
      <c r="D8714" t="s">
        <v>4909</v>
      </c>
      <c r="E8714" t="s">
        <v>4909</v>
      </c>
      <c r="F8714" t="s">
        <v>4909</v>
      </c>
      <c r="G8714" t="s">
        <v>4909</v>
      </c>
      <c r="H8714" t="s">
        <v>4909</v>
      </c>
      <c r="I8714" t="s">
        <v>4909</v>
      </c>
      <c r="J8714" t="s">
        <v>4909</v>
      </c>
      <c r="K8714" t="s">
        <v>4909</v>
      </c>
    </row>
    <row r="8715" spans="1:11" x14ac:dyDescent="0.2">
      <c r="A8715" t="s">
        <v>1846</v>
      </c>
      <c r="B8715" t="s">
        <v>4909</v>
      </c>
      <c r="C8715" t="s">
        <v>4909</v>
      </c>
      <c r="D8715" t="s">
        <v>4909</v>
      </c>
      <c r="E8715" t="s">
        <v>4909</v>
      </c>
      <c r="F8715" t="s">
        <v>4909</v>
      </c>
      <c r="G8715" t="s">
        <v>4909</v>
      </c>
      <c r="H8715" t="s">
        <v>4909</v>
      </c>
      <c r="I8715" t="s">
        <v>4909</v>
      </c>
      <c r="J8715" t="s">
        <v>4909</v>
      </c>
      <c r="K8715" t="s">
        <v>4909</v>
      </c>
    </row>
    <row r="8716" spans="1:11" x14ac:dyDescent="0.2">
      <c r="A8716" t="s">
        <v>1851</v>
      </c>
      <c r="B8716" t="s">
        <v>4909</v>
      </c>
      <c r="C8716" t="s">
        <v>4909</v>
      </c>
      <c r="D8716" t="s">
        <v>4909</v>
      </c>
      <c r="E8716" t="s">
        <v>4909</v>
      </c>
      <c r="F8716" t="s">
        <v>4909</v>
      </c>
      <c r="G8716" t="s">
        <v>4909</v>
      </c>
      <c r="H8716" t="s">
        <v>4909</v>
      </c>
      <c r="I8716" t="s">
        <v>4909</v>
      </c>
      <c r="J8716" t="s">
        <v>4909</v>
      </c>
      <c r="K8716" t="s">
        <v>4909</v>
      </c>
    </row>
    <row r="8717" spans="1:11" x14ac:dyDescent="0.2">
      <c r="A8717" t="s">
        <v>1857</v>
      </c>
      <c r="B8717" t="s">
        <v>4909</v>
      </c>
      <c r="C8717" t="s">
        <v>4909</v>
      </c>
      <c r="D8717" t="s">
        <v>4909</v>
      </c>
      <c r="E8717" t="s">
        <v>4909</v>
      </c>
      <c r="F8717" t="s">
        <v>4909</v>
      </c>
      <c r="G8717" t="s">
        <v>4909</v>
      </c>
      <c r="H8717" t="s">
        <v>4909</v>
      </c>
      <c r="I8717" t="s">
        <v>4909</v>
      </c>
      <c r="J8717" t="s">
        <v>4909</v>
      </c>
      <c r="K8717" t="s">
        <v>4909</v>
      </c>
    </row>
    <row r="8718" spans="1:11" x14ac:dyDescent="0.2">
      <c r="A8718" t="s">
        <v>1862</v>
      </c>
      <c r="B8718" t="s">
        <v>4909</v>
      </c>
      <c r="C8718" t="s">
        <v>4909</v>
      </c>
      <c r="D8718" t="s">
        <v>4909</v>
      </c>
      <c r="E8718" t="s">
        <v>4909</v>
      </c>
      <c r="F8718" t="s">
        <v>4909</v>
      </c>
      <c r="G8718" t="s">
        <v>4909</v>
      </c>
      <c r="H8718" t="s">
        <v>4909</v>
      </c>
      <c r="I8718" t="s">
        <v>4909</v>
      </c>
      <c r="J8718" t="s">
        <v>4909</v>
      </c>
      <c r="K8718" t="s">
        <v>4909</v>
      </c>
    </row>
    <row r="8719" spans="1:11" x14ac:dyDescent="0.2">
      <c r="A8719" t="s">
        <v>1867</v>
      </c>
      <c r="B8719" t="s">
        <v>4909</v>
      </c>
      <c r="C8719" t="s">
        <v>4909</v>
      </c>
      <c r="D8719" t="s">
        <v>4909</v>
      </c>
      <c r="E8719" t="s">
        <v>4909</v>
      </c>
      <c r="F8719" t="s">
        <v>4909</v>
      </c>
      <c r="G8719" t="s">
        <v>4909</v>
      </c>
      <c r="H8719" t="s">
        <v>4909</v>
      </c>
      <c r="I8719" t="s">
        <v>4909</v>
      </c>
      <c r="J8719" t="s">
        <v>4909</v>
      </c>
      <c r="K8719" t="s">
        <v>4909</v>
      </c>
    </row>
    <row r="8720" spans="1:11" x14ac:dyDescent="0.2">
      <c r="A8720" t="s">
        <v>1870</v>
      </c>
      <c r="B8720" t="s">
        <v>4909</v>
      </c>
      <c r="C8720" t="s">
        <v>4909</v>
      </c>
      <c r="D8720" t="s">
        <v>4909</v>
      </c>
      <c r="E8720" t="s">
        <v>4909</v>
      </c>
      <c r="F8720" t="s">
        <v>4909</v>
      </c>
      <c r="G8720" t="s">
        <v>4909</v>
      </c>
      <c r="H8720" t="s">
        <v>4909</v>
      </c>
      <c r="I8720" t="s">
        <v>4909</v>
      </c>
      <c r="J8720" t="s">
        <v>4909</v>
      </c>
      <c r="K8720" t="s">
        <v>4909</v>
      </c>
    </row>
    <row r="8721" spans="1:11" x14ac:dyDescent="0.2">
      <c r="A8721" t="s">
        <v>1874</v>
      </c>
      <c r="B8721" t="s">
        <v>4909</v>
      </c>
      <c r="C8721" t="s">
        <v>4909</v>
      </c>
      <c r="D8721" t="s">
        <v>4909</v>
      </c>
      <c r="E8721" t="s">
        <v>4909</v>
      </c>
      <c r="F8721" t="s">
        <v>4909</v>
      </c>
      <c r="G8721" t="s">
        <v>4909</v>
      </c>
      <c r="H8721" t="s">
        <v>4909</v>
      </c>
      <c r="I8721" t="s">
        <v>4909</v>
      </c>
      <c r="J8721" t="s">
        <v>4909</v>
      </c>
      <c r="K8721" t="s">
        <v>4909</v>
      </c>
    </row>
    <row r="8722" spans="1:11" x14ac:dyDescent="0.2">
      <c r="A8722" t="s">
        <v>1876</v>
      </c>
      <c r="B8722" t="s">
        <v>4909</v>
      </c>
      <c r="C8722" t="s">
        <v>4909</v>
      </c>
      <c r="D8722" t="s">
        <v>4909</v>
      </c>
      <c r="E8722" t="s">
        <v>4909</v>
      </c>
      <c r="F8722" t="s">
        <v>4909</v>
      </c>
      <c r="G8722" t="s">
        <v>4909</v>
      </c>
      <c r="H8722" t="s">
        <v>4909</v>
      </c>
      <c r="I8722" t="s">
        <v>4909</v>
      </c>
      <c r="J8722" t="s">
        <v>4909</v>
      </c>
      <c r="K8722" t="s">
        <v>4909</v>
      </c>
    </row>
    <row r="8723" spans="1:11" x14ac:dyDescent="0.2">
      <c r="A8723" t="s">
        <v>1881</v>
      </c>
      <c r="B8723" t="s">
        <v>4909</v>
      </c>
      <c r="C8723" t="s">
        <v>4909</v>
      </c>
      <c r="D8723" t="s">
        <v>4909</v>
      </c>
      <c r="E8723" t="s">
        <v>4909</v>
      </c>
      <c r="F8723" t="s">
        <v>4909</v>
      </c>
      <c r="G8723" t="s">
        <v>4909</v>
      </c>
      <c r="H8723" t="s">
        <v>4909</v>
      </c>
      <c r="I8723" t="s">
        <v>4909</v>
      </c>
      <c r="J8723" t="s">
        <v>4909</v>
      </c>
      <c r="K8723" t="s">
        <v>4909</v>
      </c>
    </row>
    <row r="8724" spans="1:11" x14ac:dyDescent="0.2">
      <c r="A8724" t="s">
        <v>1885</v>
      </c>
      <c r="B8724" t="s">
        <v>4909</v>
      </c>
      <c r="C8724" t="s">
        <v>4909</v>
      </c>
      <c r="D8724" s="88">
        <v>0</v>
      </c>
      <c r="E8724" t="s">
        <v>4909</v>
      </c>
      <c r="F8724" s="88">
        <v>0</v>
      </c>
      <c r="G8724" s="88">
        <v>0</v>
      </c>
      <c r="H8724" t="s">
        <v>4909</v>
      </c>
      <c r="I8724" t="s">
        <v>4909</v>
      </c>
      <c r="J8724" t="s">
        <v>4909</v>
      </c>
      <c r="K8724" t="s">
        <v>4909</v>
      </c>
    </row>
    <row r="8725" spans="1:11" x14ac:dyDescent="0.2">
      <c r="A8725" t="s">
        <v>1887</v>
      </c>
      <c r="B8725" t="s">
        <v>4909</v>
      </c>
      <c r="C8725" t="s">
        <v>4909</v>
      </c>
      <c r="D8725" t="s">
        <v>4909</v>
      </c>
      <c r="E8725" t="s">
        <v>4909</v>
      </c>
      <c r="F8725" t="s">
        <v>4909</v>
      </c>
      <c r="G8725" t="s">
        <v>4909</v>
      </c>
      <c r="H8725" t="s">
        <v>4909</v>
      </c>
      <c r="I8725" t="s">
        <v>4909</v>
      </c>
      <c r="J8725" t="s">
        <v>4909</v>
      </c>
      <c r="K8725" t="s">
        <v>4909</v>
      </c>
    </row>
    <row r="8726" spans="1:11" x14ac:dyDescent="0.2">
      <c r="A8726" t="s">
        <v>1893</v>
      </c>
      <c r="B8726" t="s">
        <v>4909</v>
      </c>
      <c r="C8726" t="s">
        <v>4909</v>
      </c>
      <c r="D8726" t="s">
        <v>4909</v>
      </c>
      <c r="E8726" t="s">
        <v>4909</v>
      </c>
      <c r="F8726" t="s">
        <v>4909</v>
      </c>
      <c r="G8726" s="88">
        <v>0</v>
      </c>
      <c r="H8726" t="s">
        <v>4909</v>
      </c>
      <c r="I8726" t="s">
        <v>4909</v>
      </c>
      <c r="J8726" s="88">
        <v>0</v>
      </c>
      <c r="K8726" t="s">
        <v>4909</v>
      </c>
    </row>
    <row r="8727" spans="1:11" x14ac:dyDescent="0.2">
      <c r="A8727" t="s">
        <v>1899</v>
      </c>
      <c r="B8727" t="s">
        <v>4909</v>
      </c>
      <c r="C8727" t="s">
        <v>4909</v>
      </c>
      <c r="D8727" t="s">
        <v>4909</v>
      </c>
      <c r="E8727" t="s">
        <v>4909</v>
      </c>
      <c r="F8727" t="s">
        <v>4909</v>
      </c>
      <c r="G8727" t="s">
        <v>4909</v>
      </c>
      <c r="H8727" t="s">
        <v>4909</v>
      </c>
      <c r="I8727" t="s">
        <v>4909</v>
      </c>
      <c r="J8727" t="s">
        <v>4909</v>
      </c>
      <c r="K8727" t="s">
        <v>4909</v>
      </c>
    </row>
    <row r="8728" spans="1:11" x14ac:dyDescent="0.2">
      <c r="A8728" t="s">
        <v>1906</v>
      </c>
      <c r="B8728" t="s">
        <v>4909</v>
      </c>
      <c r="C8728" t="s">
        <v>4909</v>
      </c>
      <c r="D8728" t="s">
        <v>4909</v>
      </c>
      <c r="E8728" t="s">
        <v>4909</v>
      </c>
      <c r="F8728" t="s">
        <v>4909</v>
      </c>
      <c r="G8728" t="s">
        <v>4909</v>
      </c>
      <c r="H8728" t="s">
        <v>4909</v>
      </c>
      <c r="I8728" t="s">
        <v>4909</v>
      </c>
      <c r="J8728" t="s">
        <v>4909</v>
      </c>
      <c r="K8728" t="s">
        <v>4909</v>
      </c>
    </row>
    <row r="8729" spans="1:11" x14ac:dyDescent="0.2">
      <c r="A8729" t="s">
        <v>1911</v>
      </c>
      <c r="B8729" t="s">
        <v>4909</v>
      </c>
      <c r="C8729" t="s">
        <v>4909</v>
      </c>
      <c r="D8729" t="s">
        <v>4909</v>
      </c>
      <c r="E8729" t="s">
        <v>4909</v>
      </c>
      <c r="F8729" t="s">
        <v>4909</v>
      </c>
      <c r="G8729" t="s">
        <v>4909</v>
      </c>
      <c r="H8729" t="s">
        <v>4909</v>
      </c>
      <c r="I8729" t="s">
        <v>4909</v>
      </c>
      <c r="J8729" t="s">
        <v>4909</v>
      </c>
      <c r="K8729" t="s">
        <v>4909</v>
      </c>
    </row>
    <row r="8730" spans="1:11" x14ac:dyDescent="0.2">
      <c r="A8730" t="s">
        <v>1917</v>
      </c>
      <c r="B8730" t="s">
        <v>4909</v>
      </c>
      <c r="C8730" t="s">
        <v>4909</v>
      </c>
      <c r="D8730" t="s">
        <v>4909</v>
      </c>
      <c r="E8730" t="s">
        <v>4909</v>
      </c>
      <c r="F8730" t="s">
        <v>4909</v>
      </c>
      <c r="G8730" t="s">
        <v>4909</v>
      </c>
      <c r="H8730" t="s">
        <v>4909</v>
      </c>
      <c r="I8730" t="s">
        <v>4909</v>
      </c>
      <c r="J8730" t="s">
        <v>4909</v>
      </c>
      <c r="K8730" t="s">
        <v>4909</v>
      </c>
    </row>
    <row r="8731" spans="1:11" x14ac:dyDescent="0.2">
      <c r="A8731" t="s">
        <v>1922</v>
      </c>
      <c r="B8731" t="s">
        <v>4909</v>
      </c>
      <c r="C8731" t="s">
        <v>4909</v>
      </c>
      <c r="D8731" t="s">
        <v>4909</v>
      </c>
      <c r="E8731" t="s">
        <v>4909</v>
      </c>
      <c r="F8731" t="s">
        <v>4909</v>
      </c>
      <c r="G8731" t="s">
        <v>4909</v>
      </c>
      <c r="H8731" t="s">
        <v>4909</v>
      </c>
      <c r="I8731" t="s">
        <v>4909</v>
      </c>
      <c r="J8731" t="s">
        <v>4909</v>
      </c>
      <c r="K8731" t="s">
        <v>4909</v>
      </c>
    </row>
    <row r="8732" spans="1:11" x14ac:dyDescent="0.2">
      <c r="A8732" t="s">
        <v>1928</v>
      </c>
      <c r="B8732" t="s">
        <v>4909</v>
      </c>
      <c r="C8732" t="s">
        <v>4909</v>
      </c>
      <c r="D8732" t="s">
        <v>4909</v>
      </c>
      <c r="E8732" t="s">
        <v>4909</v>
      </c>
      <c r="F8732" t="s">
        <v>4909</v>
      </c>
      <c r="G8732" t="s">
        <v>4909</v>
      </c>
      <c r="H8732" t="s">
        <v>4909</v>
      </c>
      <c r="I8732" t="s">
        <v>4909</v>
      </c>
      <c r="J8732" t="s">
        <v>4909</v>
      </c>
      <c r="K8732" t="s">
        <v>4909</v>
      </c>
    </row>
    <row r="8733" spans="1:11" x14ac:dyDescent="0.2">
      <c r="A8733" t="s">
        <v>1932</v>
      </c>
      <c r="B8733" t="s">
        <v>4909</v>
      </c>
      <c r="C8733" t="s">
        <v>4909</v>
      </c>
      <c r="D8733" t="s">
        <v>4909</v>
      </c>
      <c r="E8733" t="s">
        <v>4909</v>
      </c>
      <c r="F8733" t="s">
        <v>4909</v>
      </c>
      <c r="G8733" t="s">
        <v>4909</v>
      </c>
      <c r="H8733" t="s">
        <v>4909</v>
      </c>
      <c r="I8733" t="s">
        <v>4909</v>
      </c>
      <c r="J8733" t="s">
        <v>4909</v>
      </c>
      <c r="K8733" t="s">
        <v>4909</v>
      </c>
    </row>
    <row r="8734" spans="1:11" x14ac:dyDescent="0.2">
      <c r="A8734" t="s">
        <v>1938</v>
      </c>
      <c r="B8734" t="s">
        <v>4909</v>
      </c>
      <c r="C8734" t="s">
        <v>4909</v>
      </c>
      <c r="D8734" t="s">
        <v>4909</v>
      </c>
      <c r="E8734" t="s">
        <v>4909</v>
      </c>
      <c r="F8734" t="s">
        <v>4909</v>
      </c>
      <c r="G8734" t="s">
        <v>4909</v>
      </c>
      <c r="H8734" t="s">
        <v>4909</v>
      </c>
      <c r="I8734" t="s">
        <v>4909</v>
      </c>
      <c r="J8734" t="s">
        <v>4909</v>
      </c>
      <c r="K8734" t="s">
        <v>4909</v>
      </c>
    </row>
    <row r="8735" spans="1:11" x14ac:dyDescent="0.2">
      <c r="A8735" t="s">
        <v>1944</v>
      </c>
      <c r="B8735" t="s">
        <v>4909</v>
      </c>
      <c r="C8735" t="s">
        <v>4909</v>
      </c>
      <c r="D8735" t="s">
        <v>4909</v>
      </c>
      <c r="E8735" t="s">
        <v>4909</v>
      </c>
      <c r="F8735" t="s">
        <v>4909</v>
      </c>
      <c r="G8735" t="s">
        <v>4909</v>
      </c>
      <c r="H8735" t="s">
        <v>4909</v>
      </c>
      <c r="I8735" t="s">
        <v>4909</v>
      </c>
      <c r="J8735" t="s">
        <v>4909</v>
      </c>
      <c r="K8735" t="s">
        <v>4909</v>
      </c>
    </row>
    <row r="8736" spans="1:11" x14ac:dyDescent="0.2">
      <c r="A8736" t="s">
        <v>1947</v>
      </c>
      <c r="B8736" t="s">
        <v>4909</v>
      </c>
      <c r="C8736" t="s">
        <v>4909</v>
      </c>
      <c r="D8736" t="s">
        <v>4909</v>
      </c>
      <c r="E8736" t="s">
        <v>4909</v>
      </c>
      <c r="F8736" t="s">
        <v>4909</v>
      </c>
      <c r="G8736" t="s">
        <v>4909</v>
      </c>
      <c r="H8736" t="s">
        <v>4909</v>
      </c>
      <c r="I8736" t="s">
        <v>4909</v>
      </c>
      <c r="J8736" t="s">
        <v>4909</v>
      </c>
      <c r="K8736" t="s">
        <v>4909</v>
      </c>
    </row>
    <row r="8737" spans="1:11" x14ac:dyDescent="0.2">
      <c r="A8737" t="s">
        <v>1953</v>
      </c>
      <c r="B8737" t="s">
        <v>4909</v>
      </c>
      <c r="C8737" t="s">
        <v>4909</v>
      </c>
      <c r="D8737" t="s">
        <v>4909</v>
      </c>
      <c r="E8737" t="s">
        <v>4909</v>
      </c>
      <c r="F8737" t="s">
        <v>4909</v>
      </c>
      <c r="G8737" t="s">
        <v>4909</v>
      </c>
      <c r="H8737" t="s">
        <v>4909</v>
      </c>
      <c r="I8737" t="s">
        <v>4909</v>
      </c>
      <c r="J8737" t="s">
        <v>4909</v>
      </c>
      <c r="K8737" t="s">
        <v>4909</v>
      </c>
    </row>
    <row r="8738" spans="1:11" x14ac:dyDescent="0.2">
      <c r="A8738" t="s">
        <v>1958</v>
      </c>
      <c r="B8738" t="s">
        <v>4909</v>
      </c>
      <c r="C8738" t="s">
        <v>4909</v>
      </c>
      <c r="D8738" t="s">
        <v>4909</v>
      </c>
      <c r="E8738" t="s">
        <v>4909</v>
      </c>
      <c r="F8738" t="s">
        <v>4909</v>
      </c>
      <c r="G8738" t="s">
        <v>4909</v>
      </c>
      <c r="H8738" t="s">
        <v>4909</v>
      </c>
      <c r="I8738" t="s">
        <v>4909</v>
      </c>
      <c r="J8738" t="s">
        <v>4909</v>
      </c>
      <c r="K8738" t="s">
        <v>4909</v>
      </c>
    </row>
    <row r="8739" spans="1:11" x14ac:dyDescent="0.2">
      <c r="A8739" t="s">
        <v>1964</v>
      </c>
      <c r="B8739" t="s">
        <v>4909</v>
      </c>
      <c r="C8739" t="s">
        <v>4909</v>
      </c>
      <c r="D8739" t="s">
        <v>4909</v>
      </c>
      <c r="E8739" t="s">
        <v>4909</v>
      </c>
      <c r="F8739" t="s">
        <v>4909</v>
      </c>
      <c r="G8739" t="s">
        <v>4909</v>
      </c>
      <c r="H8739" t="s">
        <v>4909</v>
      </c>
      <c r="I8739" t="s">
        <v>4909</v>
      </c>
      <c r="J8739" t="s">
        <v>4909</v>
      </c>
      <c r="K8739" t="s">
        <v>4909</v>
      </c>
    </row>
    <row r="8740" spans="1:11" x14ac:dyDescent="0.2">
      <c r="A8740" t="s">
        <v>1973</v>
      </c>
      <c r="B8740" t="s">
        <v>4909</v>
      </c>
      <c r="C8740" t="s">
        <v>4909</v>
      </c>
      <c r="D8740" t="s">
        <v>4909</v>
      </c>
      <c r="E8740" t="s">
        <v>4909</v>
      </c>
      <c r="F8740" t="s">
        <v>4909</v>
      </c>
      <c r="G8740" t="s">
        <v>4909</v>
      </c>
      <c r="H8740" t="s">
        <v>4909</v>
      </c>
      <c r="I8740" t="s">
        <v>4909</v>
      </c>
      <c r="J8740" t="s">
        <v>4909</v>
      </c>
      <c r="K8740" t="s">
        <v>4909</v>
      </c>
    </row>
    <row r="8741" spans="1:11" x14ac:dyDescent="0.2">
      <c r="A8741" t="s">
        <v>1978</v>
      </c>
      <c r="B8741" t="s">
        <v>4909</v>
      </c>
      <c r="C8741" t="s">
        <v>4909</v>
      </c>
      <c r="D8741" t="s">
        <v>4909</v>
      </c>
      <c r="E8741" t="s">
        <v>4909</v>
      </c>
      <c r="F8741" t="s">
        <v>4909</v>
      </c>
      <c r="G8741" t="s">
        <v>4909</v>
      </c>
      <c r="H8741" t="s">
        <v>4909</v>
      </c>
      <c r="I8741" t="s">
        <v>4909</v>
      </c>
      <c r="J8741" t="s">
        <v>4909</v>
      </c>
      <c r="K8741" t="s">
        <v>4909</v>
      </c>
    </row>
    <row r="8742" spans="1:11" x14ac:dyDescent="0.2">
      <c r="A8742" t="s">
        <v>1983</v>
      </c>
      <c r="B8742" t="s">
        <v>4909</v>
      </c>
      <c r="C8742" t="s">
        <v>4909</v>
      </c>
      <c r="D8742" t="s">
        <v>4909</v>
      </c>
      <c r="E8742" t="s">
        <v>4909</v>
      </c>
      <c r="F8742" t="s">
        <v>4909</v>
      </c>
      <c r="G8742" t="s">
        <v>4909</v>
      </c>
      <c r="H8742" t="s">
        <v>4909</v>
      </c>
      <c r="I8742" t="s">
        <v>4909</v>
      </c>
      <c r="J8742" t="s">
        <v>4909</v>
      </c>
      <c r="K8742" t="s">
        <v>4909</v>
      </c>
    </row>
    <row r="8743" spans="1:11" x14ac:dyDescent="0.2">
      <c r="A8743" t="s">
        <v>1984</v>
      </c>
      <c r="B8743" t="s">
        <v>4909</v>
      </c>
      <c r="C8743" t="s">
        <v>4909</v>
      </c>
      <c r="D8743" t="s">
        <v>4909</v>
      </c>
      <c r="E8743" t="s">
        <v>4909</v>
      </c>
      <c r="F8743" t="s">
        <v>4909</v>
      </c>
      <c r="G8743" t="s">
        <v>4909</v>
      </c>
      <c r="H8743" t="s">
        <v>4909</v>
      </c>
      <c r="I8743" t="s">
        <v>4909</v>
      </c>
      <c r="J8743" t="s">
        <v>4909</v>
      </c>
      <c r="K8743" t="s">
        <v>4909</v>
      </c>
    </row>
    <row r="8744" spans="1:11" x14ac:dyDescent="0.2">
      <c r="A8744" t="s">
        <v>1990</v>
      </c>
      <c r="B8744" t="s">
        <v>4909</v>
      </c>
      <c r="C8744" t="s">
        <v>4909</v>
      </c>
      <c r="D8744" t="s">
        <v>4909</v>
      </c>
      <c r="E8744" t="s">
        <v>4909</v>
      </c>
      <c r="F8744" t="s">
        <v>4909</v>
      </c>
      <c r="G8744" t="s">
        <v>4909</v>
      </c>
      <c r="H8744" t="s">
        <v>4909</v>
      </c>
      <c r="I8744" t="s">
        <v>4909</v>
      </c>
      <c r="J8744" t="s">
        <v>4909</v>
      </c>
      <c r="K8744" t="s">
        <v>4909</v>
      </c>
    </row>
    <row r="8745" spans="1:11" x14ac:dyDescent="0.2">
      <c r="A8745" t="s">
        <v>1996</v>
      </c>
      <c r="B8745" t="s">
        <v>4909</v>
      </c>
      <c r="C8745" t="s">
        <v>4909</v>
      </c>
      <c r="D8745" t="s">
        <v>4909</v>
      </c>
      <c r="E8745" t="s">
        <v>4909</v>
      </c>
      <c r="F8745" t="s">
        <v>4909</v>
      </c>
      <c r="G8745" t="s">
        <v>4909</v>
      </c>
      <c r="H8745" t="s">
        <v>4909</v>
      </c>
      <c r="I8745" t="s">
        <v>4909</v>
      </c>
      <c r="J8745" t="s">
        <v>4909</v>
      </c>
      <c r="K8745" t="s">
        <v>4909</v>
      </c>
    </row>
    <row r="8746" spans="1:11" x14ac:dyDescent="0.2">
      <c r="A8746" t="s">
        <v>1998</v>
      </c>
      <c r="B8746" t="s">
        <v>4909</v>
      </c>
      <c r="C8746" t="s">
        <v>4909</v>
      </c>
      <c r="D8746" t="s">
        <v>4909</v>
      </c>
      <c r="E8746" t="s">
        <v>4909</v>
      </c>
      <c r="F8746" t="s">
        <v>4909</v>
      </c>
      <c r="G8746" t="s">
        <v>4909</v>
      </c>
      <c r="H8746" t="s">
        <v>4909</v>
      </c>
      <c r="I8746" t="s">
        <v>4909</v>
      </c>
      <c r="J8746" t="s">
        <v>4909</v>
      </c>
      <c r="K8746" t="s">
        <v>4909</v>
      </c>
    </row>
    <row r="8747" spans="1:11" x14ac:dyDescent="0.2">
      <c r="A8747" t="s">
        <v>1999</v>
      </c>
      <c r="B8747" t="s">
        <v>4909</v>
      </c>
      <c r="C8747" t="s">
        <v>4909</v>
      </c>
      <c r="D8747" t="s">
        <v>4909</v>
      </c>
      <c r="E8747" t="s">
        <v>4909</v>
      </c>
      <c r="F8747" t="s">
        <v>4909</v>
      </c>
      <c r="G8747" t="s">
        <v>4909</v>
      </c>
      <c r="H8747" t="s">
        <v>4909</v>
      </c>
      <c r="I8747" t="s">
        <v>4909</v>
      </c>
      <c r="J8747" t="s">
        <v>4909</v>
      </c>
      <c r="K8747" t="s">
        <v>4909</v>
      </c>
    </row>
    <row r="8748" spans="1:11" x14ac:dyDescent="0.2">
      <c r="A8748" t="s">
        <v>2004</v>
      </c>
      <c r="B8748" t="s">
        <v>4909</v>
      </c>
      <c r="C8748" t="s">
        <v>4909</v>
      </c>
      <c r="D8748" t="s">
        <v>4909</v>
      </c>
      <c r="E8748" t="s">
        <v>4909</v>
      </c>
      <c r="F8748" t="s">
        <v>4909</v>
      </c>
      <c r="G8748" t="s">
        <v>4909</v>
      </c>
      <c r="H8748" t="s">
        <v>4909</v>
      </c>
      <c r="I8748" t="s">
        <v>4909</v>
      </c>
      <c r="J8748" t="s">
        <v>4909</v>
      </c>
      <c r="K8748" t="s">
        <v>4909</v>
      </c>
    </row>
    <row r="8749" spans="1:11" x14ac:dyDescent="0.2">
      <c r="A8749" t="s">
        <v>2009</v>
      </c>
      <c r="B8749" t="s">
        <v>4909</v>
      </c>
      <c r="C8749" t="s">
        <v>4909</v>
      </c>
      <c r="D8749" t="s">
        <v>4909</v>
      </c>
      <c r="E8749" t="s">
        <v>4909</v>
      </c>
      <c r="F8749" t="s">
        <v>4909</v>
      </c>
      <c r="G8749" t="s">
        <v>4909</v>
      </c>
      <c r="H8749" t="s">
        <v>4909</v>
      </c>
      <c r="I8749" t="s">
        <v>4909</v>
      </c>
      <c r="J8749" t="s">
        <v>4909</v>
      </c>
      <c r="K8749" t="s">
        <v>4909</v>
      </c>
    </row>
    <row r="8750" spans="1:11" x14ac:dyDescent="0.2">
      <c r="A8750" t="s">
        <v>2014</v>
      </c>
      <c r="B8750" t="s">
        <v>4909</v>
      </c>
      <c r="C8750" t="s">
        <v>4909</v>
      </c>
      <c r="D8750" t="s">
        <v>4909</v>
      </c>
      <c r="E8750" t="s">
        <v>4909</v>
      </c>
      <c r="F8750" t="s">
        <v>4909</v>
      </c>
      <c r="G8750" t="s">
        <v>4909</v>
      </c>
      <c r="H8750" t="s">
        <v>4909</v>
      </c>
      <c r="I8750" t="s">
        <v>4909</v>
      </c>
      <c r="J8750" t="s">
        <v>4909</v>
      </c>
      <c r="K8750" t="s">
        <v>4909</v>
      </c>
    </row>
    <row r="8751" spans="1:11" x14ac:dyDescent="0.2">
      <c r="A8751" t="s">
        <v>2019</v>
      </c>
      <c r="B8751" t="s">
        <v>4909</v>
      </c>
      <c r="C8751" t="s">
        <v>4909</v>
      </c>
      <c r="D8751" t="s">
        <v>4909</v>
      </c>
      <c r="E8751" t="s">
        <v>4909</v>
      </c>
      <c r="F8751" t="s">
        <v>4909</v>
      </c>
      <c r="G8751" t="s">
        <v>4909</v>
      </c>
      <c r="H8751" t="s">
        <v>4909</v>
      </c>
      <c r="I8751" t="s">
        <v>4909</v>
      </c>
      <c r="J8751" t="s">
        <v>4909</v>
      </c>
      <c r="K8751" t="s">
        <v>4909</v>
      </c>
    </row>
    <row r="8752" spans="1:11" x14ac:dyDescent="0.2">
      <c r="A8752" t="s">
        <v>2023</v>
      </c>
      <c r="B8752" t="s">
        <v>4909</v>
      </c>
      <c r="C8752" t="s">
        <v>4909</v>
      </c>
      <c r="D8752" t="s">
        <v>4909</v>
      </c>
      <c r="E8752" t="s">
        <v>4909</v>
      </c>
      <c r="F8752" t="s">
        <v>4909</v>
      </c>
      <c r="G8752" t="s">
        <v>4909</v>
      </c>
      <c r="H8752" t="s">
        <v>4909</v>
      </c>
      <c r="I8752" t="s">
        <v>4909</v>
      </c>
      <c r="J8752" t="s">
        <v>4909</v>
      </c>
      <c r="K8752" t="s">
        <v>4909</v>
      </c>
    </row>
    <row r="8753" spans="1:11" x14ac:dyDescent="0.2">
      <c r="A8753" t="s">
        <v>2026</v>
      </c>
      <c r="B8753" t="s">
        <v>4909</v>
      </c>
      <c r="C8753" t="s">
        <v>4909</v>
      </c>
      <c r="D8753" t="s">
        <v>4909</v>
      </c>
      <c r="E8753" t="s">
        <v>4909</v>
      </c>
      <c r="F8753" t="s">
        <v>4909</v>
      </c>
      <c r="G8753" t="s">
        <v>4909</v>
      </c>
      <c r="H8753" t="s">
        <v>4909</v>
      </c>
      <c r="I8753" t="s">
        <v>4909</v>
      </c>
      <c r="J8753" t="s">
        <v>4909</v>
      </c>
      <c r="K8753" t="s">
        <v>4909</v>
      </c>
    </row>
    <row r="8754" spans="1:11" x14ac:dyDescent="0.2">
      <c r="A8754" t="s">
        <v>2030</v>
      </c>
      <c r="B8754" t="s">
        <v>4909</v>
      </c>
      <c r="C8754" t="s">
        <v>4909</v>
      </c>
      <c r="D8754" t="s">
        <v>4909</v>
      </c>
      <c r="E8754" t="s">
        <v>4909</v>
      </c>
      <c r="F8754" t="s">
        <v>4909</v>
      </c>
      <c r="G8754" t="s">
        <v>4909</v>
      </c>
      <c r="H8754" t="s">
        <v>4909</v>
      </c>
      <c r="I8754" t="s">
        <v>4909</v>
      </c>
      <c r="J8754" t="s">
        <v>4909</v>
      </c>
      <c r="K8754" t="s">
        <v>4909</v>
      </c>
    </row>
    <row r="8755" spans="1:11" x14ac:dyDescent="0.2">
      <c r="A8755" t="s">
        <v>2035</v>
      </c>
      <c r="B8755" t="s">
        <v>4909</v>
      </c>
      <c r="C8755" t="s">
        <v>4909</v>
      </c>
      <c r="D8755" t="s">
        <v>4909</v>
      </c>
      <c r="E8755" t="s">
        <v>4909</v>
      </c>
      <c r="F8755" t="s">
        <v>4909</v>
      </c>
      <c r="G8755" t="s">
        <v>4909</v>
      </c>
      <c r="H8755" t="s">
        <v>4909</v>
      </c>
      <c r="I8755" t="s">
        <v>4909</v>
      </c>
      <c r="J8755" t="s">
        <v>4909</v>
      </c>
      <c r="K8755" t="s">
        <v>4909</v>
      </c>
    </row>
    <row r="8756" spans="1:11" x14ac:dyDescent="0.2">
      <c r="A8756" t="s">
        <v>2040</v>
      </c>
      <c r="B8756" t="s">
        <v>4909</v>
      </c>
      <c r="C8756" t="s">
        <v>4909</v>
      </c>
      <c r="D8756" t="s">
        <v>4909</v>
      </c>
      <c r="E8756" t="s">
        <v>4909</v>
      </c>
      <c r="F8756" t="s">
        <v>4909</v>
      </c>
      <c r="G8756" t="s">
        <v>4909</v>
      </c>
      <c r="H8756" t="s">
        <v>4909</v>
      </c>
      <c r="I8756" t="s">
        <v>4909</v>
      </c>
      <c r="J8756" t="s">
        <v>4909</v>
      </c>
      <c r="K8756" t="s">
        <v>4909</v>
      </c>
    </row>
    <row r="8757" spans="1:11" x14ac:dyDescent="0.2">
      <c r="A8757" t="s">
        <v>2045</v>
      </c>
      <c r="B8757" t="s">
        <v>4909</v>
      </c>
      <c r="C8757" t="s">
        <v>4909</v>
      </c>
      <c r="D8757" t="s">
        <v>4909</v>
      </c>
      <c r="E8757" t="s">
        <v>4909</v>
      </c>
      <c r="F8757" t="s">
        <v>4909</v>
      </c>
      <c r="G8757" t="s">
        <v>4909</v>
      </c>
      <c r="H8757" t="s">
        <v>4909</v>
      </c>
      <c r="I8757" t="s">
        <v>4909</v>
      </c>
      <c r="J8757" t="s">
        <v>4909</v>
      </c>
      <c r="K8757" t="s">
        <v>4909</v>
      </c>
    </row>
    <row r="8758" spans="1:11" x14ac:dyDescent="0.2">
      <c r="A8758" t="s">
        <v>2049</v>
      </c>
      <c r="B8758" t="s">
        <v>4909</v>
      </c>
      <c r="C8758" t="s">
        <v>4909</v>
      </c>
      <c r="D8758" t="s">
        <v>4909</v>
      </c>
      <c r="E8758" t="s">
        <v>4909</v>
      </c>
      <c r="F8758" t="s">
        <v>4909</v>
      </c>
      <c r="G8758" t="s">
        <v>4909</v>
      </c>
      <c r="H8758" t="s">
        <v>4909</v>
      </c>
      <c r="I8758" t="s">
        <v>4909</v>
      </c>
      <c r="J8758" t="s">
        <v>4909</v>
      </c>
      <c r="K8758" t="s">
        <v>4909</v>
      </c>
    </row>
    <row r="8759" spans="1:11" x14ac:dyDescent="0.2">
      <c r="A8759" t="s">
        <v>2051</v>
      </c>
      <c r="B8759" t="s">
        <v>4909</v>
      </c>
      <c r="C8759" t="s">
        <v>4909</v>
      </c>
      <c r="D8759" t="s">
        <v>4909</v>
      </c>
      <c r="E8759" t="s">
        <v>4909</v>
      </c>
      <c r="F8759" t="s">
        <v>4909</v>
      </c>
      <c r="G8759" t="s">
        <v>4909</v>
      </c>
      <c r="H8759" t="s">
        <v>4909</v>
      </c>
      <c r="I8759" t="s">
        <v>4909</v>
      </c>
      <c r="J8759" t="s">
        <v>4909</v>
      </c>
      <c r="K8759" t="s">
        <v>4909</v>
      </c>
    </row>
    <row r="8760" spans="1:11" x14ac:dyDescent="0.2">
      <c r="A8760" t="s">
        <v>2057</v>
      </c>
      <c r="B8760" t="s">
        <v>4909</v>
      </c>
      <c r="C8760" t="s">
        <v>4909</v>
      </c>
      <c r="D8760" t="s">
        <v>4909</v>
      </c>
      <c r="E8760" t="s">
        <v>4909</v>
      </c>
      <c r="F8760" t="s">
        <v>4909</v>
      </c>
      <c r="G8760" t="s">
        <v>4909</v>
      </c>
      <c r="H8760" t="s">
        <v>4909</v>
      </c>
      <c r="I8760" t="s">
        <v>4909</v>
      </c>
      <c r="J8760" t="s">
        <v>4909</v>
      </c>
      <c r="K8760" t="s">
        <v>4909</v>
      </c>
    </row>
    <row r="8761" spans="1:11" x14ac:dyDescent="0.2">
      <c r="A8761" t="s">
        <v>4344</v>
      </c>
      <c r="B8761" t="s">
        <v>4909</v>
      </c>
      <c r="C8761" t="s">
        <v>4909</v>
      </c>
      <c r="D8761" t="s">
        <v>4909</v>
      </c>
      <c r="E8761" t="s">
        <v>4909</v>
      </c>
      <c r="F8761" t="s">
        <v>4909</v>
      </c>
      <c r="G8761" t="s">
        <v>4909</v>
      </c>
      <c r="H8761" t="s">
        <v>4909</v>
      </c>
      <c r="I8761" t="s">
        <v>4909</v>
      </c>
      <c r="J8761" t="s">
        <v>4909</v>
      </c>
      <c r="K8761" t="s">
        <v>4909</v>
      </c>
    </row>
    <row r="8762" spans="1:11" x14ac:dyDescent="0.2">
      <c r="A8762" t="s">
        <v>4345</v>
      </c>
      <c r="B8762" t="s">
        <v>4909</v>
      </c>
      <c r="C8762" t="s">
        <v>4909</v>
      </c>
      <c r="D8762" t="s">
        <v>4909</v>
      </c>
      <c r="E8762" t="s">
        <v>4909</v>
      </c>
      <c r="F8762" t="s">
        <v>4909</v>
      </c>
      <c r="G8762" t="s">
        <v>4909</v>
      </c>
      <c r="H8762" t="s">
        <v>4909</v>
      </c>
      <c r="I8762" t="s">
        <v>4909</v>
      </c>
      <c r="J8762" t="s">
        <v>4909</v>
      </c>
      <c r="K8762" t="s">
        <v>4909</v>
      </c>
    </row>
    <row r="8763" spans="1:11" x14ac:dyDescent="0.2">
      <c r="A8763" t="s">
        <v>2074</v>
      </c>
      <c r="B8763" t="s">
        <v>4909</v>
      </c>
      <c r="C8763" t="s">
        <v>4909</v>
      </c>
      <c r="D8763" t="s">
        <v>4909</v>
      </c>
      <c r="E8763" t="s">
        <v>4909</v>
      </c>
      <c r="F8763" t="s">
        <v>4909</v>
      </c>
      <c r="G8763" t="s">
        <v>4909</v>
      </c>
      <c r="H8763" t="s">
        <v>4909</v>
      </c>
      <c r="I8763" t="s">
        <v>4909</v>
      </c>
      <c r="J8763" t="s">
        <v>4909</v>
      </c>
      <c r="K8763" t="s">
        <v>4909</v>
      </c>
    </row>
    <row r="8764" spans="1:11" x14ac:dyDescent="0.2">
      <c r="A8764" t="s">
        <v>2079</v>
      </c>
      <c r="B8764" t="s">
        <v>4909</v>
      </c>
      <c r="C8764" t="s">
        <v>4909</v>
      </c>
      <c r="D8764" t="s">
        <v>4909</v>
      </c>
      <c r="E8764" t="s">
        <v>4909</v>
      </c>
      <c r="F8764" t="s">
        <v>4909</v>
      </c>
      <c r="G8764" t="s">
        <v>4909</v>
      </c>
      <c r="H8764" t="s">
        <v>4909</v>
      </c>
      <c r="I8764" t="s">
        <v>4909</v>
      </c>
      <c r="J8764" t="s">
        <v>4909</v>
      </c>
      <c r="K8764" t="s">
        <v>4909</v>
      </c>
    </row>
    <row r="8765" spans="1:11" x14ac:dyDescent="0.2">
      <c r="A8765" t="s">
        <v>2085</v>
      </c>
      <c r="B8765" t="s">
        <v>4909</v>
      </c>
      <c r="C8765" t="s">
        <v>4909</v>
      </c>
      <c r="D8765" t="s">
        <v>4909</v>
      </c>
      <c r="E8765" t="s">
        <v>4909</v>
      </c>
      <c r="F8765" t="s">
        <v>4909</v>
      </c>
      <c r="G8765" t="s">
        <v>4909</v>
      </c>
      <c r="H8765" t="s">
        <v>4909</v>
      </c>
      <c r="I8765" t="s">
        <v>4909</v>
      </c>
      <c r="J8765" t="s">
        <v>4909</v>
      </c>
      <c r="K8765" t="s">
        <v>4909</v>
      </c>
    </row>
    <row r="8766" spans="1:11" x14ac:dyDescent="0.2">
      <c r="A8766" t="s">
        <v>2091</v>
      </c>
      <c r="B8766" t="s">
        <v>4909</v>
      </c>
      <c r="C8766" t="s">
        <v>4909</v>
      </c>
      <c r="D8766" t="s">
        <v>4909</v>
      </c>
      <c r="E8766" t="s">
        <v>4909</v>
      </c>
      <c r="F8766" t="s">
        <v>4909</v>
      </c>
      <c r="G8766" t="s">
        <v>4909</v>
      </c>
      <c r="H8766" t="s">
        <v>4909</v>
      </c>
      <c r="I8766" t="s">
        <v>4909</v>
      </c>
      <c r="J8766" t="s">
        <v>4909</v>
      </c>
      <c r="K8766" t="s">
        <v>4909</v>
      </c>
    </row>
    <row r="8767" spans="1:11" x14ac:dyDescent="0.2">
      <c r="A8767" t="s">
        <v>2097</v>
      </c>
      <c r="B8767" t="s">
        <v>4909</v>
      </c>
      <c r="C8767" t="s">
        <v>4909</v>
      </c>
      <c r="D8767" t="s">
        <v>4909</v>
      </c>
      <c r="E8767" t="s">
        <v>4909</v>
      </c>
      <c r="F8767" t="s">
        <v>4909</v>
      </c>
      <c r="G8767" t="s">
        <v>4909</v>
      </c>
      <c r="H8767" t="s">
        <v>4909</v>
      </c>
      <c r="I8767" t="s">
        <v>4909</v>
      </c>
      <c r="J8767" t="s">
        <v>4909</v>
      </c>
      <c r="K8767" t="s">
        <v>4909</v>
      </c>
    </row>
    <row r="8768" spans="1:11" x14ac:dyDescent="0.2">
      <c r="A8768" t="s">
        <v>2101</v>
      </c>
      <c r="B8768" t="s">
        <v>4909</v>
      </c>
      <c r="C8768" t="s">
        <v>4909</v>
      </c>
      <c r="D8768" t="s">
        <v>4909</v>
      </c>
      <c r="E8768" t="s">
        <v>4909</v>
      </c>
      <c r="F8768" t="s">
        <v>4909</v>
      </c>
      <c r="G8768" t="s">
        <v>4909</v>
      </c>
      <c r="H8768" t="s">
        <v>4909</v>
      </c>
      <c r="I8768" t="s">
        <v>4909</v>
      </c>
      <c r="J8768" t="s">
        <v>4909</v>
      </c>
      <c r="K8768" t="s">
        <v>4909</v>
      </c>
    </row>
    <row r="8769" spans="1:11" x14ac:dyDescent="0.2">
      <c r="A8769" t="s">
        <v>2104</v>
      </c>
      <c r="B8769" t="s">
        <v>4909</v>
      </c>
      <c r="C8769" t="s">
        <v>4909</v>
      </c>
      <c r="D8769" t="s">
        <v>4909</v>
      </c>
      <c r="E8769" t="s">
        <v>4909</v>
      </c>
      <c r="F8769" t="s">
        <v>4909</v>
      </c>
      <c r="G8769" t="s">
        <v>4909</v>
      </c>
      <c r="H8769" t="s">
        <v>4909</v>
      </c>
      <c r="I8769" t="s">
        <v>4909</v>
      </c>
      <c r="J8769" t="s">
        <v>4909</v>
      </c>
      <c r="K8769" t="s">
        <v>4909</v>
      </c>
    </row>
    <row r="8770" spans="1:11" x14ac:dyDescent="0.2">
      <c r="A8770" t="s">
        <v>2107</v>
      </c>
      <c r="B8770" t="s">
        <v>4909</v>
      </c>
      <c r="C8770" t="s">
        <v>4909</v>
      </c>
      <c r="D8770" t="s">
        <v>4909</v>
      </c>
      <c r="E8770" t="s">
        <v>4909</v>
      </c>
      <c r="F8770" t="s">
        <v>4909</v>
      </c>
      <c r="G8770" t="s">
        <v>4909</v>
      </c>
      <c r="H8770" t="s">
        <v>4909</v>
      </c>
      <c r="I8770" t="s">
        <v>4909</v>
      </c>
      <c r="J8770" t="s">
        <v>4909</v>
      </c>
      <c r="K8770" t="s">
        <v>4909</v>
      </c>
    </row>
    <row r="8771" spans="1:11" x14ac:dyDescent="0.2">
      <c r="A8771" t="s">
        <v>2110</v>
      </c>
      <c r="B8771" t="s">
        <v>4909</v>
      </c>
      <c r="C8771" t="s">
        <v>4909</v>
      </c>
      <c r="D8771" t="s">
        <v>4909</v>
      </c>
      <c r="E8771" t="s">
        <v>4909</v>
      </c>
      <c r="F8771" t="s">
        <v>4909</v>
      </c>
      <c r="G8771" t="s">
        <v>4909</v>
      </c>
      <c r="H8771" t="s">
        <v>4909</v>
      </c>
      <c r="I8771" t="s">
        <v>4909</v>
      </c>
      <c r="J8771" t="s">
        <v>4909</v>
      </c>
      <c r="K8771" t="s">
        <v>4909</v>
      </c>
    </row>
    <row r="8772" spans="1:11" x14ac:dyDescent="0.2">
      <c r="A8772" t="s">
        <v>2113</v>
      </c>
      <c r="B8772" t="s">
        <v>4909</v>
      </c>
      <c r="C8772" t="s">
        <v>4909</v>
      </c>
      <c r="D8772" t="s">
        <v>4909</v>
      </c>
      <c r="E8772" t="s">
        <v>4909</v>
      </c>
      <c r="F8772" t="s">
        <v>4909</v>
      </c>
      <c r="G8772" t="s">
        <v>4909</v>
      </c>
      <c r="H8772" t="s">
        <v>4909</v>
      </c>
      <c r="I8772" t="s">
        <v>4909</v>
      </c>
      <c r="J8772" t="s">
        <v>4909</v>
      </c>
      <c r="K8772" t="s">
        <v>4909</v>
      </c>
    </row>
    <row r="8773" spans="1:11" x14ac:dyDescent="0.2">
      <c r="A8773" t="s">
        <v>4346</v>
      </c>
      <c r="B8773" t="s">
        <v>4909</v>
      </c>
      <c r="C8773" t="s">
        <v>4909</v>
      </c>
      <c r="D8773" t="s">
        <v>4909</v>
      </c>
      <c r="E8773" t="s">
        <v>4909</v>
      </c>
      <c r="F8773" t="s">
        <v>4909</v>
      </c>
      <c r="G8773" t="s">
        <v>4909</v>
      </c>
      <c r="H8773" t="s">
        <v>4909</v>
      </c>
      <c r="I8773" t="s">
        <v>4909</v>
      </c>
      <c r="J8773" t="s">
        <v>4909</v>
      </c>
      <c r="K8773" t="s">
        <v>4909</v>
      </c>
    </row>
    <row r="8774" spans="1:11" x14ac:dyDescent="0.2">
      <c r="A8774" t="s">
        <v>4347</v>
      </c>
      <c r="B8774" t="s">
        <v>4909</v>
      </c>
      <c r="C8774" t="s">
        <v>4909</v>
      </c>
      <c r="D8774" t="s">
        <v>4909</v>
      </c>
      <c r="E8774" t="s">
        <v>4909</v>
      </c>
      <c r="F8774" t="s">
        <v>4909</v>
      </c>
      <c r="G8774" t="s">
        <v>4909</v>
      </c>
      <c r="H8774" t="s">
        <v>4909</v>
      </c>
      <c r="I8774" t="s">
        <v>4909</v>
      </c>
      <c r="J8774" t="s">
        <v>4909</v>
      </c>
      <c r="K8774" t="s">
        <v>4909</v>
      </c>
    </row>
    <row r="8775" spans="1:11" x14ac:dyDescent="0.2">
      <c r="A8775" t="s">
        <v>4348</v>
      </c>
      <c r="B8775" t="s">
        <v>4909</v>
      </c>
      <c r="C8775" t="s">
        <v>4909</v>
      </c>
      <c r="D8775" t="s">
        <v>4909</v>
      </c>
      <c r="E8775" t="s">
        <v>4909</v>
      </c>
      <c r="F8775" t="s">
        <v>4909</v>
      </c>
      <c r="G8775" t="s">
        <v>4909</v>
      </c>
      <c r="H8775" t="s">
        <v>4909</v>
      </c>
      <c r="I8775" t="s">
        <v>4909</v>
      </c>
      <c r="J8775" t="s">
        <v>4909</v>
      </c>
      <c r="K8775" t="s">
        <v>4909</v>
      </c>
    </row>
    <row r="8776" spans="1:11" x14ac:dyDescent="0.2">
      <c r="A8776" t="s">
        <v>4349</v>
      </c>
      <c r="B8776" t="s">
        <v>4909</v>
      </c>
      <c r="C8776" t="s">
        <v>4909</v>
      </c>
      <c r="D8776" t="s">
        <v>4909</v>
      </c>
      <c r="E8776" t="s">
        <v>4909</v>
      </c>
      <c r="F8776" t="s">
        <v>4909</v>
      </c>
      <c r="G8776" t="s">
        <v>4909</v>
      </c>
      <c r="H8776" t="s">
        <v>4909</v>
      </c>
      <c r="I8776" t="s">
        <v>4909</v>
      </c>
      <c r="J8776" t="s">
        <v>4909</v>
      </c>
      <c r="K8776" t="s">
        <v>4909</v>
      </c>
    </row>
    <row r="8777" spans="1:11" x14ac:dyDescent="0.2">
      <c r="A8777" t="s">
        <v>4350</v>
      </c>
      <c r="B8777" t="s">
        <v>4909</v>
      </c>
      <c r="C8777" t="s">
        <v>4909</v>
      </c>
      <c r="D8777" t="s">
        <v>4909</v>
      </c>
      <c r="E8777" t="s">
        <v>4909</v>
      </c>
      <c r="F8777" t="s">
        <v>4909</v>
      </c>
      <c r="G8777" s="88">
        <v>0</v>
      </c>
      <c r="H8777" t="s">
        <v>4909</v>
      </c>
      <c r="I8777" t="s">
        <v>4909</v>
      </c>
      <c r="J8777" s="88">
        <v>0</v>
      </c>
      <c r="K8777" t="s">
        <v>4909</v>
      </c>
    </row>
    <row r="8778" spans="1:11" x14ac:dyDescent="0.2">
      <c r="A8778" t="s">
        <v>4351</v>
      </c>
      <c r="B8778" t="s">
        <v>4909</v>
      </c>
      <c r="C8778" t="s">
        <v>4909</v>
      </c>
      <c r="D8778" t="s">
        <v>4909</v>
      </c>
      <c r="E8778" t="s">
        <v>4909</v>
      </c>
      <c r="F8778" t="s">
        <v>4909</v>
      </c>
      <c r="G8778" t="s">
        <v>4909</v>
      </c>
      <c r="H8778" t="s">
        <v>4909</v>
      </c>
      <c r="I8778" t="s">
        <v>4909</v>
      </c>
      <c r="J8778" t="s">
        <v>4909</v>
      </c>
      <c r="K8778" t="s">
        <v>4909</v>
      </c>
    </row>
    <row r="8779" spans="1:11" x14ac:dyDescent="0.2">
      <c r="A8779" t="s">
        <v>4352</v>
      </c>
      <c r="B8779" t="s">
        <v>4909</v>
      </c>
      <c r="C8779" t="s">
        <v>4909</v>
      </c>
      <c r="D8779" t="s">
        <v>4909</v>
      </c>
      <c r="E8779" t="s">
        <v>4909</v>
      </c>
      <c r="F8779" t="s">
        <v>4909</v>
      </c>
      <c r="G8779" t="s">
        <v>4909</v>
      </c>
      <c r="H8779" t="s">
        <v>4909</v>
      </c>
      <c r="I8779" t="s">
        <v>4909</v>
      </c>
      <c r="J8779" t="s">
        <v>4909</v>
      </c>
      <c r="K8779" t="s">
        <v>4909</v>
      </c>
    </row>
    <row r="8780" spans="1:11" x14ac:dyDescent="0.2">
      <c r="A8780" t="s">
        <v>4353</v>
      </c>
      <c r="B8780" t="s">
        <v>4909</v>
      </c>
      <c r="C8780" t="s">
        <v>4909</v>
      </c>
      <c r="D8780" t="s">
        <v>4909</v>
      </c>
      <c r="E8780" t="s">
        <v>4909</v>
      </c>
      <c r="F8780" t="s">
        <v>4909</v>
      </c>
      <c r="G8780" s="88">
        <v>5.0000000000000001E-3</v>
      </c>
      <c r="H8780" t="s">
        <v>4909</v>
      </c>
      <c r="I8780" t="s">
        <v>4909</v>
      </c>
      <c r="J8780" t="s">
        <v>4909</v>
      </c>
      <c r="K8780" t="s">
        <v>4909</v>
      </c>
    </row>
    <row r="8781" spans="1:11" x14ac:dyDescent="0.2">
      <c r="A8781" t="s">
        <v>4354</v>
      </c>
      <c r="B8781" t="s">
        <v>4909</v>
      </c>
      <c r="C8781" t="s">
        <v>4909</v>
      </c>
      <c r="D8781" s="88">
        <v>1E-3</v>
      </c>
      <c r="E8781" t="s">
        <v>4909</v>
      </c>
      <c r="F8781" s="88">
        <v>2E-3</v>
      </c>
      <c r="G8781" s="88">
        <v>1.4999999999999999E-2</v>
      </c>
      <c r="H8781" t="s">
        <v>4909</v>
      </c>
      <c r="I8781" t="s">
        <v>4909</v>
      </c>
      <c r="J8781" s="88">
        <v>0</v>
      </c>
      <c r="K8781" t="s">
        <v>4909</v>
      </c>
    </row>
    <row r="8782" spans="1:11" x14ac:dyDescent="0.2">
      <c r="A8782" t="s">
        <v>4355</v>
      </c>
      <c r="B8782" t="s">
        <v>4909</v>
      </c>
      <c r="C8782" t="s">
        <v>4909</v>
      </c>
      <c r="D8782" t="s">
        <v>4909</v>
      </c>
      <c r="E8782" t="s">
        <v>4909</v>
      </c>
      <c r="F8782" t="s">
        <v>4909</v>
      </c>
      <c r="G8782" t="s">
        <v>4909</v>
      </c>
      <c r="H8782" t="s">
        <v>4909</v>
      </c>
      <c r="I8782" t="s">
        <v>4909</v>
      </c>
      <c r="J8782" t="s">
        <v>4909</v>
      </c>
      <c r="K8782" t="s">
        <v>4909</v>
      </c>
    </row>
    <row r="8783" spans="1:11" x14ac:dyDescent="0.2">
      <c r="A8783" t="s">
        <v>4356</v>
      </c>
      <c r="B8783" t="s">
        <v>4909</v>
      </c>
      <c r="C8783" t="s">
        <v>4909</v>
      </c>
      <c r="D8783" t="s">
        <v>4909</v>
      </c>
      <c r="E8783" t="s">
        <v>4909</v>
      </c>
      <c r="F8783" t="s">
        <v>4909</v>
      </c>
      <c r="G8783" t="s">
        <v>4909</v>
      </c>
      <c r="H8783" t="s">
        <v>4909</v>
      </c>
      <c r="I8783" t="s">
        <v>4909</v>
      </c>
      <c r="J8783" t="s">
        <v>4909</v>
      </c>
      <c r="K8783" t="s">
        <v>4909</v>
      </c>
    </row>
    <row r="8784" spans="1:11" x14ac:dyDescent="0.2">
      <c r="A8784" t="s">
        <v>4357</v>
      </c>
      <c r="B8784" t="s">
        <v>4909</v>
      </c>
      <c r="C8784" t="s">
        <v>4909</v>
      </c>
      <c r="D8784" t="s">
        <v>4909</v>
      </c>
      <c r="E8784" t="s">
        <v>4909</v>
      </c>
      <c r="F8784" t="s">
        <v>4909</v>
      </c>
      <c r="G8784" t="s">
        <v>4909</v>
      </c>
      <c r="H8784" t="s">
        <v>4909</v>
      </c>
      <c r="I8784" t="s">
        <v>4909</v>
      </c>
      <c r="J8784" t="s">
        <v>4909</v>
      </c>
      <c r="K8784" t="s">
        <v>4909</v>
      </c>
    </row>
    <row r="8785" spans="1:11" x14ac:dyDescent="0.2">
      <c r="A8785" t="s">
        <v>4358</v>
      </c>
      <c r="B8785" t="s">
        <v>4909</v>
      </c>
      <c r="C8785" t="s">
        <v>4909</v>
      </c>
      <c r="D8785" t="s">
        <v>4909</v>
      </c>
      <c r="E8785" t="s">
        <v>4909</v>
      </c>
      <c r="F8785" t="s">
        <v>4909</v>
      </c>
      <c r="G8785" t="s">
        <v>4909</v>
      </c>
      <c r="H8785" t="s">
        <v>4909</v>
      </c>
      <c r="I8785" t="s">
        <v>4909</v>
      </c>
      <c r="J8785" t="s">
        <v>4909</v>
      </c>
      <c r="K8785" t="s">
        <v>4909</v>
      </c>
    </row>
    <row r="8786" spans="1:11" x14ac:dyDescent="0.2">
      <c r="A8786" t="s">
        <v>4359</v>
      </c>
      <c r="B8786" t="s">
        <v>4909</v>
      </c>
      <c r="C8786" t="s">
        <v>4909</v>
      </c>
      <c r="D8786" t="s">
        <v>4909</v>
      </c>
      <c r="E8786" t="s">
        <v>4909</v>
      </c>
      <c r="F8786" t="s">
        <v>4909</v>
      </c>
      <c r="G8786" t="s">
        <v>4909</v>
      </c>
      <c r="H8786" t="s">
        <v>4909</v>
      </c>
      <c r="I8786" t="s">
        <v>4909</v>
      </c>
      <c r="J8786" s="88">
        <v>1E-3</v>
      </c>
      <c r="K8786" t="s">
        <v>4909</v>
      </c>
    </row>
    <row r="8787" spans="1:11" x14ac:dyDescent="0.2">
      <c r="A8787" t="s">
        <v>4360</v>
      </c>
      <c r="B8787" t="s">
        <v>4909</v>
      </c>
      <c r="C8787" t="s">
        <v>4909</v>
      </c>
      <c r="D8787" t="s">
        <v>4909</v>
      </c>
      <c r="E8787" t="s">
        <v>4909</v>
      </c>
      <c r="F8787" t="s">
        <v>4909</v>
      </c>
      <c r="G8787" t="s">
        <v>4909</v>
      </c>
      <c r="H8787" t="s">
        <v>4909</v>
      </c>
      <c r="I8787" t="s">
        <v>4909</v>
      </c>
      <c r="J8787" t="s">
        <v>4909</v>
      </c>
      <c r="K8787" t="s">
        <v>4909</v>
      </c>
    </row>
    <row r="8788" spans="1:11" x14ac:dyDescent="0.2">
      <c r="A8788" t="s">
        <v>4361</v>
      </c>
      <c r="B8788" t="s">
        <v>4909</v>
      </c>
      <c r="C8788" t="s">
        <v>4909</v>
      </c>
      <c r="D8788" t="s">
        <v>4909</v>
      </c>
      <c r="E8788" t="s">
        <v>4909</v>
      </c>
      <c r="F8788" t="s">
        <v>4909</v>
      </c>
      <c r="G8788" s="88">
        <v>0</v>
      </c>
      <c r="H8788" t="s">
        <v>4909</v>
      </c>
      <c r="I8788" t="s">
        <v>4909</v>
      </c>
      <c r="J8788" t="s">
        <v>4909</v>
      </c>
      <c r="K8788" t="s">
        <v>4909</v>
      </c>
    </row>
    <row r="8789" spans="1:11" x14ac:dyDescent="0.2">
      <c r="A8789" t="s">
        <v>4362</v>
      </c>
      <c r="B8789" t="s">
        <v>4909</v>
      </c>
      <c r="C8789" t="s">
        <v>4909</v>
      </c>
      <c r="D8789" t="s">
        <v>4909</v>
      </c>
      <c r="E8789" t="s">
        <v>4909</v>
      </c>
      <c r="F8789" t="s">
        <v>4909</v>
      </c>
      <c r="G8789" t="s">
        <v>4909</v>
      </c>
      <c r="H8789" t="s">
        <v>4909</v>
      </c>
      <c r="I8789" t="s">
        <v>4909</v>
      </c>
      <c r="J8789" t="s">
        <v>4909</v>
      </c>
      <c r="K8789" t="s">
        <v>4909</v>
      </c>
    </row>
    <row r="8790" spans="1:11" x14ac:dyDescent="0.2">
      <c r="A8790" t="s">
        <v>4363</v>
      </c>
      <c r="B8790" t="s">
        <v>4909</v>
      </c>
      <c r="C8790" t="s">
        <v>4909</v>
      </c>
      <c r="D8790" t="s">
        <v>4909</v>
      </c>
      <c r="E8790" t="s">
        <v>4909</v>
      </c>
      <c r="F8790" t="s">
        <v>4909</v>
      </c>
      <c r="G8790" t="s">
        <v>4909</v>
      </c>
      <c r="H8790" t="s">
        <v>4909</v>
      </c>
      <c r="I8790" t="s">
        <v>4909</v>
      </c>
      <c r="J8790" t="s">
        <v>4909</v>
      </c>
      <c r="K8790" t="s">
        <v>4909</v>
      </c>
    </row>
    <row r="8791" spans="1:11" x14ac:dyDescent="0.2">
      <c r="A8791" t="s">
        <v>4364</v>
      </c>
      <c r="B8791" t="s">
        <v>4909</v>
      </c>
      <c r="C8791" t="s">
        <v>4909</v>
      </c>
      <c r="D8791" t="s">
        <v>4909</v>
      </c>
      <c r="E8791" t="s">
        <v>4909</v>
      </c>
      <c r="F8791" t="s">
        <v>4909</v>
      </c>
      <c r="G8791" t="s">
        <v>4909</v>
      </c>
      <c r="H8791" t="s">
        <v>4909</v>
      </c>
      <c r="I8791" t="s">
        <v>4909</v>
      </c>
      <c r="J8791" t="s">
        <v>4909</v>
      </c>
      <c r="K8791" t="s">
        <v>4909</v>
      </c>
    </row>
    <row r="8792" spans="1:11" x14ac:dyDescent="0.2">
      <c r="A8792" t="s">
        <v>4365</v>
      </c>
      <c r="B8792" t="s">
        <v>4909</v>
      </c>
      <c r="C8792" t="s">
        <v>4909</v>
      </c>
      <c r="D8792" s="88">
        <v>0</v>
      </c>
      <c r="E8792" t="s">
        <v>4909</v>
      </c>
      <c r="F8792" s="88">
        <v>0</v>
      </c>
      <c r="G8792" s="88">
        <v>2.3E-2</v>
      </c>
      <c r="H8792" t="s">
        <v>4909</v>
      </c>
      <c r="I8792" s="88">
        <v>0</v>
      </c>
      <c r="J8792" s="88">
        <v>0</v>
      </c>
      <c r="K8792" t="s">
        <v>4909</v>
      </c>
    </row>
    <row r="8793" spans="1:11" x14ac:dyDescent="0.2">
      <c r="A8793" t="s">
        <v>4366</v>
      </c>
      <c r="B8793" t="s">
        <v>4909</v>
      </c>
      <c r="C8793" t="s">
        <v>4909</v>
      </c>
      <c r="D8793" t="s">
        <v>4909</v>
      </c>
      <c r="E8793" t="s">
        <v>4909</v>
      </c>
      <c r="F8793" t="s">
        <v>4909</v>
      </c>
      <c r="G8793" t="s">
        <v>4909</v>
      </c>
      <c r="H8793" t="s">
        <v>4909</v>
      </c>
      <c r="I8793" t="s">
        <v>4909</v>
      </c>
      <c r="J8793" t="s">
        <v>4909</v>
      </c>
      <c r="K8793" t="s">
        <v>4909</v>
      </c>
    </row>
    <row r="8794" spans="1:11" x14ac:dyDescent="0.2">
      <c r="A8794" t="s">
        <v>4367</v>
      </c>
      <c r="B8794" t="s">
        <v>4909</v>
      </c>
      <c r="C8794" t="s">
        <v>4909</v>
      </c>
      <c r="D8794" t="s">
        <v>4909</v>
      </c>
      <c r="E8794" t="s">
        <v>4909</v>
      </c>
      <c r="F8794" t="s">
        <v>4909</v>
      </c>
      <c r="G8794" t="s">
        <v>4909</v>
      </c>
      <c r="H8794" t="s">
        <v>4909</v>
      </c>
      <c r="I8794" t="s">
        <v>4909</v>
      </c>
      <c r="J8794" t="s">
        <v>4909</v>
      </c>
      <c r="K8794" t="s">
        <v>4909</v>
      </c>
    </row>
    <row r="8795" spans="1:11" x14ac:dyDescent="0.2">
      <c r="A8795" t="s">
        <v>4368</v>
      </c>
      <c r="B8795" t="s">
        <v>4909</v>
      </c>
      <c r="C8795" t="s">
        <v>4909</v>
      </c>
      <c r="D8795" s="88">
        <v>0</v>
      </c>
      <c r="E8795" t="s">
        <v>4909</v>
      </c>
      <c r="F8795" s="88">
        <v>0</v>
      </c>
      <c r="G8795" s="88">
        <v>1.0999999999999999E-2</v>
      </c>
      <c r="H8795" t="s">
        <v>4909</v>
      </c>
      <c r="I8795" s="88">
        <v>0</v>
      </c>
      <c r="J8795" s="88">
        <v>0</v>
      </c>
      <c r="K8795" t="s">
        <v>4909</v>
      </c>
    </row>
    <row r="8796" spans="1:11" x14ac:dyDescent="0.2">
      <c r="A8796" t="s">
        <v>4369</v>
      </c>
      <c r="B8796" s="88">
        <v>0</v>
      </c>
      <c r="C8796" t="s">
        <v>4909</v>
      </c>
      <c r="D8796" s="88">
        <v>0</v>
      </c>
      <c r="E8796" t="s">
        <v>4909</v>
      </c>
      <c r="F8796" s="88">
        <v>0</v>
      </c>
      <c r="G8796" s="88">
        <v>0.01</v>
      </c>
      <c r="H8796" t="s">
        <v>4909</v>
      </c>
      <c r="I8796" s="88">
        <v>0</v>
      </c>
      <c r="J8796" s="88">
        <v>1E-3</v>
      </c>
      <c r="K8796" t="s">
        <v>4909</v>
      </c>
    </row>
    <row r="8797" spans="1:11" x14ac:dyDescent="0.2">
      <c r="A8797" t="s">
        <v>4370</v>
      </c>
      <c r="B8797" t="s">
        <v>4909</v>
      </c>
      <c r="C8797" t="s">
        <v>4909</v>
      </c>
      <c r="D8797" t="s">
        <v>4909</v>
      </c>
      <c r="E8797" t="s">
        <v>4909</v>
      </c>
      <c r="F8797" t="s">
        <v>4909</v>
      </c>
      <c r="G8797" t="s">
        <v>4909</v>
      </c>
      <c r="H8797" t="s">
        <v>4909</v>
      </c>
      <c r="I8797" t="s">
        <v>4909</v>
      </c>
      <c r="J8797" t="s">
        <v>4909</v>
      </c>
      <c r="K8797" t="s">
        <v>4909</v>
      </c>
    </row>
    <row r="8798" spans="1:11" x14ac:dyDescent="0.2">
      <c r="A8798" t="s">
        <v>4371</v>
      </c>
      <c r="B8798" t="s">
        <v>4909</v>
      </c>
      <c r="C8798" t="s">
        <v>4909</v>
      </c>
      <c r="D8798" t="s">
        <v>4909</v>
      </c>
      <c r="E8798" t="s">
        <v>4909</v>
      </c>
      <c r="F8798" t="s">
        <v>4909</v>
      </c>
      <c r="G8798" t="s">
        <v>4909</v>
      </c>
      <c r="H8798" t="s">
        <v>4909</v>
      </c>
      <c r="I8798" t="s">
        <v>4909</v>
      </c>
      <c r="J8798" t="s">
        <v>4909</v>
      </c>
      <c r="K8798" t="s">
        <v>4909</v>
      </c>
    </row>
    <row r="8799" spans="1:11" x14ac:dyDescent="0.2">
      <c r="A8799" t="s">
        <v>4372</v>
      </c>
      <c r="B8799" t="s">
        <v>4909</v>
      </c>
      <c r="C8799" t="s">
        <v>4909</v>
      </c>
      <c r="D8799" t="s">
        <v>4909</v>
      </c>
      <c r="E8799" t="s">
        <v>4909</v>
      </c>
      <c r="F8799" t="s">
        <v>4909</v>
      </c>
      <c r="G8799" t="s">
        <v>4909</v>
      </c>
      <c r="H8799" t="s">
        <v>4909</v>
      </c>
      <c r="I8799" t="s">
        <v>4909</v>
      </c>
      <c r="J8799" t="s">
        <v>4909</v>
      </c>
      <c r="K8799" t="s">
        <v>4909</v>
      </c>
    </row>
    <row r="8800" spans="1:11" x14ac:dyDescent="0.2">
      <c r="A8800" t="s">
        <v>4373</v>
      </c>
      <c r="B8800" t="s">
        <v>4909</v>
      </c>
      <c r="C8800" t="s">
        <v>4909</v>
      </c>
      <c r="D8800" t="s">
        <v>4909</v>
      </c>
      <c r="E8800" t="s">
        <v>4909</v>
      </c>
      <c r="F8800" t="s">
        <v>4909</v>
      </c>
      <c r="G8800" t="s">
        <v>4909</v>
      </c>
      <c r="H8800" t="s">
        <v>4909</v>
      </c>
      <c r="I8800" t="s">
        <v>4909</v>
      </c>
      <c r="J8800" t="s">
        <v>4909</v>
      </c>
      <c r="K8800" t="s">
        <v>4909</v>
      </c>
    </row>
    <row r="8801" spans="1:11" x14ac:dyDescent="0.2">
      <c r="A8801" t="s">
        <v>4374</v>
      </c>
      <c r="B8801" t="s">
        <v>4909</v>
      </c>
      <c r="C8801" t="s">
        <v>4909</v>
      </c>
      <c r="D8801" t="s">
        <v>4909</v>
      </c>
      <c r="E8801" t="s">
        <v>4909</v>
      </c>
      <c r="F8801" t="s">
        <v>4909</v>
      </c>
      <c r="G8801" t="s">
        <v>4909</v>
      </c>
      <c r="H8801" t="s">
        <v>4909</v>
      </c>
      <c r="I8801" t="s">
        <v>4909</v>
      </c>
      <c r="J8801" t="s">
        <v>4909</v>
      </c>
      <c r="K8801" t="s">
        <v>4909</v>
      </c>
    </row>
    <row r="8802" spans="1:11" x14ac:dyDescent="0.2">
      <c r="A8802" t="s">
        <v>4375</v>
      </c>
      <c r="B8802" t="s">
        <v>4909</v>
      </c>
      <c r="C8802" t="s">
        <v>4909</v>
      </c>
      <c r="D8802" t="s">
        <v>4909</v>
      </c>
      <c r="E8802" t="s">
        <v>4909</v>
      </c>
      <c r="F8802" t="s">
        <v>4909</v>
      </c>
      <c r="G8802" t="s">
        <v>4909</v>
      </c>
      <c r="H8802" t="s">
        <v>4909</v>
      </c>
      <c r="I8802" t="s">
        <v>4909</v>
      </c>
      <c r="J8802" t="s">
        <v>4909</v>
      </c>
      <c r="K8802" t="s">
        <v>4909</v>
      </c>
    </row>
    <row r="8803" spans="1:11" x14ac:dyDescent="0.2">
      <c r="A8803" t="s">
        <v>4376</v>
      </c>
      <c r="B8803" t="s">
        <v>4909</v>
      </c>
      <c r="C8803" t="s">
        <v>4909</v>
      </c>
      <c r="D8803" t="s">
        <v>4909</v>
      </c>
      <c r="E8803" t="s">
        <v>4909</v>
      </c>
      <c r="F8803" t="s">
        <v>4909</v>
      </c>
      <c r="G8803" t="s">
        <v>4909</v>
      </c>
      <c r="H8803" t="s">
        <v>4909</v>
      </c>
      <c r="I8803" t="s">
        <v>4909</v>
      </c>
      <c r="J8803" t="s">
        <v>4909</v>
      </c>
      <c r="K8803" t="s">
        <v>4909</v>
      </c>
    </row>
    <row r="8804" spans="1:11" x14ac:dyDescent="0.2">
      <c r="A8804" t="s">
        <v>4377</v>
      </c>
      <c r="B8804" t="s">
        <v>4909</v>
      </c>
      <c r="C8804" t="s">
        <v>4909</v>
      </c>
      <c r="D8804" t="s">
        <v>4909</v>
      </c>
      <c r="E8804" t="s">
        <v>4909</v>
      </c>
      <c r="F8804" t="s">
        <v>4909</v>
      </c>
      <c r="G8804" t="s">
        <v>4909</v>
      </c>
      <c r="H8804" t="s">
        <v>4909</v>
      </c>
      <c r="I8804" t="s">
        <v>4909</v>
      </c>
      <c r="J8804" t="s">
        <v>4909</v>
      </c>
      <c r="K8804" t="s">
        <v>4909</v>
      </c>
    </row>
    <row r="8805" spans="1:11" x14ac:dyDescent="0.2">
      <c r="A8805" t="s">
        <v>2318</v>
      </c>
      <c r="B8805" t="s">
        <v>4399</v>
      </c>
      <c r="C8805" t="s">
        <v>4399</v>
      </c>
      <c r="D8805" t="s">
        <v>4399</v>
      </c>
      <c r="E8805" t="s">
        <v>4399</v>
      </c>
      <c r="F8805" t="s">
        <v>4399</v>
      </c>
      <c r="G8805" t="s">
        <v>4399</v>
      </c>
      <c r="H8805" t="s">
        <v>4399</v>
      </c>
      <c r="I8805" t="s">
        <v>4399</v>
      </c>
      <c r="J8805" t="s">
        <v>4399</v>
      </c>
      <c r="K8805" t="s">
        <v>4399</v>
      </c>
    </row>
    <row r="8806" spans="1:11" x14ac:dyDescent="0.2">
      <c r="A8806" t="s">
        <v>4248</v>
      </c>
    </row>
    <row r="8807" spans="1:11" x14ac:dyDescent="0.2">
      <c r="A8807" t="s">
        <v>4910</v>
      </c>
      <c r="B8807" t="s">
        <v>4904</v>
      </c>
      <c r="C8807" t="s">
        <v>4911</v>
      </c>
      <c r="D8807" t="s">
        <v>4912</v>
      </c>
      <c r="E8807" t="s">
        <v>4907</v>
      </c>
      <c r="F8807" t="s">
        <v>4913</v>
      </c>
      <c r="G8807">
        <v>19</v>
      </c>
    </row>
    <row r="8808" spans="1:11" x14ac:dyDescent="0.2">
      <c r="A8808" t="s">
        <v>2318</v>
      </c>
      <c r="B8808" t="s">
        <v>4399</v>
      </c>
      <c r="C8808" t="s">
        <v>4399</v>
      </c>
      <c r="D8808" t="s">
        <v>4399</v>
      </c>
      <c r="E8808" t="s">
        <v>4399</v>
      </c>
      <c r="F8808" t="s">
        <v>4399</v>
      </c>
      <c r="G8808" t="s">
        <v>4399</v>
      </c>
      <c r="H8808" t="s">
        <v>4399</v>
      </c>
      <c r="I8808" t="s">
        <v>4399</v>
      </c>
      <c r="J8808" t="s">
        <v>4399</v>
      </c>
      <c r="K8808" t="s">
        <v>4399</v>
      </c>
    </row>
    <row r="8809" spans="1:11" x14ac:dyDescent="0.2">
      <c r="A8809" t="s">
        <v>126</v>
      </c>
      <c r="B8809" t="s">
        <v>4618</v>
      </c>
      <c r="C8809" t="s">
        <v>4622</v>
      </c>
      <c r="D8809" t="s">
        <v>4626</v>
      </c>
      <c r="E8809" t="s">
        <v>4630</v>
      </c>
      <c r="F8809" t="s">
        <v>4634</v>
      </c>
      <c r="G8809" t="s">
        <v>4638</v>
      </c>
      <c r="H8809" t="s">
        <v>4641</v>
      </c>
      <c r="I8809" t="s">
        <v>4644</v>
      </c>
      <c r="J8809" t="s">
        <v>4648</v>
      </c>
      <c r="K8809" t="s">
        <v>4652</v>
      </c>
    </row>
    <row r="8810" spans="1:11" x14ac:dyDescent="0.2">
      <c r="A8810" t="s">
        <v>2318</v>
      </c>
      <c r="B8810" t="s">
        <v>4399</v>
      </c>
      <c r="C8810" t="s">
        <v>4399</v>
      </c>
      <c r="D8810" t="s">
        <v>4399</v>
      </c>
      <c r="E8810" t="s">
        <v>4399</v>
      </c>
      <c r="F8810" t="s">
        <v>4399</v>
      </c>
      <c r="G8810" t="s">
        <v>4399</v>
      </c>
      <c r="H8810" t="s">
        <v>4399</v>
      </c>
      <c r="I8810" t="s">
        <v>4399</v>
      </c>
      <c r="J8810" t="s">
        <v>4399</v>
      </c>
      <c r="K8810" t="s">
        <v>4399</v>
      </c>
    </row>
    <row r="8811" spans="1:11" x14ac:dyDescent="0.2">
      <c r="A8811" t="s">
        <v>4265</v>
      </c>
      <c r="B8811" t="s">
        <v>4909</v>
      </c>
      <c r="C8811" t="s">
        <v>4909</v>
      </c>
      <c r="D8811" t="s">
        <v>4909</v>
      </c>
      <c r="E8811" t="s">
        <v>4909</v>
      </c>
      <c r="F8811" t="s">
        <v>4909</v>
      </c>
      <c r="G8811" t="s">
        <v>4909</v>
      </c>
      <c r="H8811" t="s">
        <v>4909</v>
      </c>
      <c r="I8811" t="s">
        <v>4909</v>
      </c>
      <c r="J8811" t="s">
        <v>4909</v>
      </c>
      <c r="K8811" t="s">
        <v>4909</v>
      </c>
    </row>
    <row r="8812" spans="1:11" x14ac:dyDescent="0.2">
      <c r="A8812" t="s">
        <v>4266</v>
      </c>
      <c r="B8812" t="s">
        <v>4909</v>
      </c>
      <c r="C8812" t="s">
        <v>4909</v>
      </c>
      <c r="D8812" t="s">
        <v>4909</v>
      </c>
      <c r="E8812" t="s">
        <v>4909</v>
      </c>
      <c r="F8812" t="s">
        <v>4909</v>
      </c>
      <c r="G8812" t="s">
        <v>4909</v>
      </c>
      <c r="H8812" t="s">
        <v>4909</v>
      </c>
      <c r="I8812" t="s">
        <v>4909</v>
      </c>
      <c r="J8812" t="s">
        <v>4909</v>
      </c>
      <c r="K8812" t="s">
        <v>4909</v>
      </c>
    </row>
    <row r="8813" spans="1:11" x14ac:dyDescent="0.2">
      <c r="A8813" t="s">
        <v>4267</v>
      </c>
      <c r="B8813" t="s">
        <v>4909</v>
      </c>
      <c r="C8813" s="88">
        <v>3.0000000000000001E-3</v>
      </c>
      <c r="D8813" s="88">
        <v>0.23300000000000001</v>
      </c>
      <c r="E8813" t="s">
        <v>4909</v>
      </c>
      <c r="F8813" t="s">
        <v>4909</v>
      </c>
      <c r="G8813" s="88">
        <v>1E-3</v>
      </c>
      <c r="H8813" s="88">
        <v>0.39500000000000002</v>
      </c>
      <c r="I8813" t="s">
        <v>4909</v>
      </c>
      <c r="J8813" t="s">
        <v>4909</v>
      </c>
      <c r="K8813" t="s">
        <v>4909</v>
      </c>
    </row>
    <row r="8814" spans="1:11" x14ac:dyDescent="0.2">
      <c r="A8814" t="s">
        <v>4268</v>
      </c>
      <c r="B8814" t="s">
        <v>4909</v>
      </c>
      <c r="C8814" s="88">
        <v>4.0000000000000001E-3</v>
      </c>
      <c r="D8814" s="88">
        <v>0.25800000000000001</v>
      </c>
      <c r="E8814" t="s">
        <v>4909</v>
      </c>
      <c r="F8814" t="s">
        <v>4909</v>
      </c>
      <c r="G8814" s="88">
        <v>2E-3</v>
      </c>
      <c r="H8814" s="88">
        <v>0.436</v>
      </c>
      <c r="I8814" t="s">
        <v>4909</v>
      </c>
      <c r="J8814" t="s">
        <v>4909</v>
      </c>
      <c r="K8814" t="s">
        <v>4909</v>
      </c>
    </row>
    <row r="8815" spans="1:11" x14ac:dyDescent="0.2">
      <c r="A8815" t="s">
        <v>4269</v>
      </c>
      <c r="B8815" t="s">
        <v>4909</v>
      </c>
      <c r="C8815" s="88">
        <v>3.0000000000000001E-3</v>
      </c>
      <c r="D8815" s="88">
        <v>0.20699999999999999</v>
      </c>
      <c r="E8815" t="s">
        <v>4909</v>
      </c>
      <c r="F8815" t="s">
        <v>4909</v>
      </c>
      <c r="G8815" s="88">
        <v>2E-3</v>
      </c>
      <c r="H8815" s="88">
        <v>0.35</v>
      </c>
      <c r="I8815" t="s">
        <v>4909</v>
      </c>
      <c r="J8815" t="s">
        <v>4909</v>
      </c>
      <c r="K8815" t="s">
        <v>4909</v>
      </c>
    </row>
    <row r="8816" spans="1:11" x14ac:dyDescent="0.2">
      <c r="A8816" t="s">
        <v>4270</v>
      </c>
      <c r="B8816" t="s">
        <v>4909</v>
      </c>
      <c r="C8816" s="88">
        <v>3.0000000000000001E-3</v>
      </c>
      <c r="D8816" s="88">
        <v>0.223</v>
      </c>
      <c r="E8816" t="s">
        <v>4909</v>
      </c>
      <c r="F8816" t="s">
        <v>4909</v>
      </c>
      <c r="G8816" t="s">
        <v>4909</v>
      </c>
      <c r="H8816" s="88">
        <v>0.38200000000000001</v>
      </c>
      <c r="I8816" t="s">
        <v>4909</v>
      </c>
      <c r="J8816" t="s">
        <v>4909</v>
      </c>
      <c r="K8816" t="s">
        <v>4909</v>
      </c>
    </row>
    <row r="8817" spans="1:11" x14ac:dyDescent="0.2">
      <c r="A8817" t="s">
        <v>4271</v>
      </c>
      <c r="B8817" t="s">
        <v>4909</v>
      </c>
      <c r="C8817" s="88">
        <v>4.0000000000000001E-3</v>
      </c>
      <c r="D8817" s="88">
        <v>0.24099999999999999</v>
      </c>
      <c r="E8817" t="s">
        <v>4909</v>
      </c>
      <c r="F8817" t="s">
        <v>4909</v>
      </c>
      <c r="G8817" s="88">
        <v>1E-3</v>
      </c>
      <c r="H8817" s="88">
        <v>0.40799999999999997</v>
      </c>
      <c r="I8817" t="s">
        <v>4909</v>
      </c>
      <c r="J8817" t="s">
        <v>4909</v>
      </c>
      <c r="K8817" t="s">
        <v>4909</v>
      </c>
    </row>
    <row r="8818" spans="1:11" x14ac:dyDescent="0.2">
      <c r="A8818" t="s">
        <v>4272</v>
      </c>
      <c r="B8818" t="s">
        <v>4909</v>
      </c>
      <c r="C8818" s="88">
        <v>3.0000000000000001E-3</v>
      </c>
      <c r="D8818" s="88">
        <v>0.25</v>
      </c>
      <c r="E8818" t="s">
        <v>4909</v>
      </c>
      <c r="F8818" t="s">
        <v>4909</v>
      </c>
      <c r="G8818" s="88">
        <v>2E-3</v>
      </c>
      <c r="H8818" s="88">
        <v>0.42399999999999999</v>
      </c>
      <c r="I8818" t="s">
        <v>4909</v>
      </c>
      <c r="J8818" t="s">
        <v>4909</v>
      </c>
      <c r="K8818" t="s">
        <v>4909</v>
      </c>
    </row>
    <row r="8819" spans="1:11" x14ac:dyDescent="0.2">
      <c r="A8819" t="s">
        <v>4273</v>
      </c>
      <c r="B8819" t="s">
        <v>4909</v>
      </c>
      <c r="C8819" t="s">
        <v>4909</v>
      </c>
      <c r="D8819" t="s">
        <v>4909</v>
      </c>
      <c r="E8819" t="s">
        <v>4909</v>
      </c>
      <c r="F8819" t="s">
        <v>4909</v>
      </c>
      <c r="G8819" t="s">
        <v>4909</v>
      </c>
      <c r="H8819" t="s">
        <v>4909</v>
      </c>
      <c r="I8819" t="s">
        <v>4909</v>
      </c>
      <c r="J8819" t="s">
        <v>4909</v>
      </c>
      <c r="K8819" t="s">
        <v>4909</v>
      </c>
    </row>
    <row r="8820" spans="1:11" x14ac:dyDescent="0.2">
      <c r="A8820" t="s">
        <v>4274</v>
      </c>
      <c r="B8820" t="s">
        <v>4909</v>
      </c>
      <c r="C8820" t="s">
        <v>4909</v>
      </c>
      <c r="D8820" t="s">
        <v>4909</v>
      </c>
      <c r="E8820" t="s">
        <v>4909</v>
      </c>
      <c r="F8820" t="s">
        <v>4909</v>
      </c>
      <c r="G8820" t="s">
        <v>4909</v>
      </c>
      <c r="H8820" t="s">
        <v>4909</v>
      </c>
      <c r="I8820" t="s">
        <v>4909</v>
      </c>
      <c r="J8820" t="s">
        <v>4909</v>
      </c>
      <c r="K8820" t="s">
        <v>4909</v>
      </c>
    </row>
    <row r="8821" spans="1:11" x14ac:dyDescent="0.2">
      <c r="A8821" t="s">
        <v>4275</v>
      </c>
      <c r="B8821" t="s">
        <v>4909</v>
      </c>
      <c r="C8821" t="s">
        <v>4909</v>
      </c>
      <c r="D8821" t="s">
        <v>4909</v>
      </c>
      <c r="E8821" t="s">
        <v>4909</v>
      </c>
      <c r="F8821" t="s">
        <v>4909</v>
      </c>
      <c r="G8821" s="88">
        <v>6.0000000000000001E-3</v>
      </c>
      <c r="H8821" s="88">
        <v>0.99299999999999999</v>
      </c>
      <c r="I8821" t="s">
        <v>4909</v>
      </c>
      <c r="J8821" t="s">
        <v>4909</v>
      </c>
      <c r="K8821" t="s">
        <v>4909</v>
      </c>
    </row>
    <row r="8822" spans="1:11" x14ac:dyDescent="0.2">
      <c r="A8822" t="s">
        <v>4276</v>
      </c>
      <c r="B8822" t="s">
        <v>4909</v>
      </c>
      <c r="C8822" s="88">
        <v>1.4999999999999999E-2</v>
      </c>
      <c r="D8822" s="88">
        <v>0.98399999999999999</v>
      </c>
      <c r="E8822" t="s">
        <v>4909</v>
      </c>
      <c r="F8822" t="s">
        <v>4909</v>
      </c>
      <c r="G8822" t="s">
        <v>4909</v>
      </c>
      <c r="H8822" t="s">
        <v>4909</v>
      </c>
      <c r="I8822" t="s">
        <v>4909</v>
      </c>
      <c r="J8822" t="s">
        <v>4909</v>
      </c>
      <c r="K8822" t="s">
        <v>4909</v>
      </c>
    </row>
    <row r="8823" spans="1:11" x14ac:dyDescent="0.2">
      <c r="A8823" t="s">
        <v>4277</v>
      </c>
      <c r="B8823" t="s">
        <v>4909</v>
      </c>
      <c r="C8823" t="s">
        <v>4909</v>
      </c>
      <c r="D8823" t="s">
        <v>4909</v>
      </c>
      <c r="E8823" t="s">
        <v>4909</v>
      </c>
      <c r="F8823" t="s">
        <v>4909</v>
      </c>
      <c r="G8823" t="s">
        <v>4909</v>
      </c>
      <c r="H8823" t="s">
        <v>4909</v>
      </c>
      <c r="I8823" t="s">
        <v>4909</v>
      </c>
      <c r="J8823" t="s">
        <v>4909</v>
      </c>
      <c r="K8823" t="s">
        <v>4909</v>
      </c>
    </row>
    <row r="8824" spans="1:11" x14ac:dyDescent="0.2">
      <c r="A8824" t="s">
        <v>4278</v>
      </c>
      <c r="B8824" t="s">
        <v>4909</v>
      </c>
      <c r="C8824" t="s">
        <v>4909</v>
      </c>
      <c r="D8824" t="s">
        <v>4909</v>
      </c>
      <c r="E8824" t="s">
        <v>4909</v>
      </c>
      <c r="F8824" t="s">
        <v>4909</v>
      </c>
      <c r="G8824" t="s">
        <v>4909</v>
      </c>
      <c r="H8824" t="s">
        <v>4909</v>
      </c>
      <c r="I8824" t="s">
        <v>4909</v>
      </c>
      <c r="J8824" t="s">
        <v>4909</v>
      </c>
      <c r="K8824" t="s">
        <v>4909</v>
      </c>
    </row>
    <row r="8825" spans="1:11" x14ac:dyDescent="0.2">
      <c r="A8825" t="s">
        <v>4279</v>
      </c>
      <c r="B8825" t="s">
        <v>4909</v>
      </c>
      <c r="C8825" s="88">
        <v>3.0000000000000001E-3</v>
      </c>
      <c r="D8825" s="88">
        <v>0.20899999999999999</v>
      </c>
      <c r="E8825" t="s">
        <v>4909</v>
      </c>
      <c r="F8825" t="s">
        <v>4909</v>
      </c>
      <c r="G8825" s="88">
        <v>1E-3</v>
      </c>
      <c r="H8825" s="88">
        <v>0.35499999999999998</v>
      </c>
      <c r="I8825" t="s">
        <v>4909</v>
      </c>
      <c r="J8825" t="s">
        <v>4909</v>
      </c>
      <c r="K8825" t="s">
        <v>4909</v>
      </c>
    </row>
    <row r="8826" spans="1:11" x14ac:dyDescent="0.2">
      <c r="A8826" t="s">
        <v>4280</v>
      </c>
      <c r="B8826" t="s">
        <v>4909</v>
      </c>
      <c r="C8826" t="s">
        <v>4909</v>
      </c>
      <c r="D8826" s="88">
        <v>0.2</v>
      </c>
      <c r="E8826" t="s">
        <v>4909</v>
      </c>
      <c r="F8826" t="s">
        <v>4909</v>
      </c>
      <c r="G8826" t="s">
        <v>4909</v>
      </c>
      <c r="H8826" s="88">
        <v>0.33800000000000002</v>
      </c>
      <c r="I8826" t="s">
        <v>4909</v>
      </c>
      <c r="J8826" t="s">
        <v>4909</v>
      </c>
      <c r="K8826" t="s">
        <v>4909</v>
      </c>
    </row>
    <row r="8827" spans="1:11" x14ac:dyDescent="0.2">
      <c r="A8827" t="s">
        <v>4281</v>
      </c>
      <c r="B8827" t="s">
        <v>4909</v>
      </c>
      <c r="C8827" s="88">
        <v>3.0000000000000001E-3</v>
      </c>
      <c r="D8827" s="88">
        <v>7.0000000000000007E-2</v>
      </c>
      <c r="E8827" t="s">
        <v>4909</v>
      </c>
      <c r="F8827" t="s">
        <v>4909</v>
      </c>
      <c r="G8827" s="88">
        <v>1E-3</v>
      </c>
      <c r="H8827" s="88">
        <v>0.11899999999999999</v>
      </c>
      <c r="I8827" t="s">
        <v>4909</v>
      </c>
      <c r="J8827" t="s">
        <v>4909</v>
      </c>
      <c r="K8827" t="s">
        <v>4909</v>
      </c>
    </row>
    <row r="8828" spans="1:11" x14ac:dyDescent="0.2">
      <c r="A8828" t="s">
        <v>4282</v>
      </c>
      <c r="B8828" t="s">
        <v>4909</v>
      </c>
      <c r="C8828" s="88">
        <v>1E-3</v>
      </c>
      <c r="D8828" s="88">
        <v>9.0999999999999998E-2</v>
      </c>
      <c r="E8828" t="s">
        <v>4909</v>
      </c>
      <c r="F8828" t="s">
        <v>4909</v>
      </c>
      <c r="G8828" s="88">
        <v>0</v>
      </c>
      <c r="H8828" s="88">
        <v>0.154</v>
      </c>
      <c r="I8828" t="s">
        <v>4909</v>
      </c>
      <c r="J8828" t="s">
        <v>4909</v>
      </c>
      <c r="K8828" t="s">
        <v>4909</v>
      </c>
    </row>
    <row r="8829" spans="1:11" x14ac:dyDescent="0.2">
      <c r="A8829" t="s">
        <v>4283</v>
      </c>
      <c r="B8829" t="s">
        <v>4909</v>
      </c>
      <c r="C8829" s="88">
        <v>6.0000000000000001E-3</v>
      </c>
      <c r="D8829" s="88">
        <v>0.121</v>
      </c>
      <c r="E8829" t="s">
        <v>4909</v>
      </c>
      <c r="F8829" t="s">
        <v>4909</v>
      </c>
      <c r="G8829" s="88">
        <v>3.0000000000000001E-3</v>
      </c>
      <c r="H8829" s="88">
        <v>0.20499999999999999</v>
      </c>
      <c r="I8829" t="s">
        <v>4909</v>
      </c>
      <c r="J8829" t="s">
        <v>4909</v>
      </c>
      <c r="K8829" t="s">
        <v>4909</v>
      </c>
    </row>
    <row r="8830" spans="1:11" x14ac:dyDescent="0.2">
      <c r="A8830" t="s">
        <v>4284</v>
      </c>
      <c r="B8830" t="s">
        <v>4909</v>
      </c>
      <c r="C8830" s="88">
        <v>2E-3</v>
      </c>
      <c r="D8830" s="88">
        <v>0.16</v>
      </c>
      <c r="E8830" t="s">
        <v>4909</v>
      </c>
      <c r="F8830" t="s">
        <v>4909</v>
      </c>
      <c r="G8830" s="88">
        <v>1E-3</v>
      </c>
      <c r="H8830" s="88">
        <v>0.27100000000000002</v>
      </c>
      <c r="I8830" t="s">
        <v>4909</v>
      </c>
      <c r="J8830" t="s">
        <v>4909</v>
      </c>
      <c r="K8830" t="s">
        <v>4909</v>
      </c>
    </row>
    <row r="8831" spans="1:11" x14ac:dyDescent="0.2">
      <c r="A8831" t="s">
        <v>4285</v>
      </c>
      <c r="B8831" t="s">
        <v>4909</v>
      </c>
      <c r="C8831" s="88">
        <v>2E-3</v>
      </c>
      <c r="D8831" s="88">
        <v>5.6000000000000001E-2</v>
      </c>
      <c r="E8831" t="s">
        <v>4909</v>
      </c>
      <c r="F8831" t="s">
        <v>4909</v>
      </c>
      <c r="G8831" s="88">
        <v>1E-3</v>
      </c>
      <c r="H8831" s="88">
        <v>9.6000000000000002E-2</v>
      </c>
      <c r="I8831" t="s">
        <v>4909</v>
      </c>
      <c r="J8831" t="s">
        <v>4909</v>
      </c>
      <c r="K8831" t="s">
        <v>4909</v>
      </c>
    </row>
    <row r="8832" spans="1:11" x14ac:dyDescent="0.2">
      <c r="A8832" t="s">
        <v>4286</v>
      </c>
      <c r="B8832" t="s">
        <v>4909</v>
      </c>
      <c r="C8832" t="s">
        <v>4909</v>
      </c>
      <c r="D8832" s="88">
        <v>5.8000000000000003E-2</v>
      </c>
      <c r="E8832" t="s">
        <v>4909</v>
      </c>
      <c r="F8832" t="s">
        <v>4909</v>
      </c>
      <c r="G8832" t="s">
        <v>4909</v>
      </c>
      <c r="H8832" s="88">
        <v>9.9000000000000005E-2</v>
      </c>
      <c r="I8832" t="s">
        <v>4909</v>
      </c>
      <c r="J8832" t="s">
        <v>4909</v>
      </c>
      <c r="K8832" t="s">
        <v>4909</v>
      </c>
    </row>
    <row r="8833" spans="1:11" x14ac:dyDescent="0.2">
      <c r="A8833" t="s">
        <v>4287</v>
      </c>
      <c r="B8833" t="s">
        <v>4909</v>
      </c>
      <c r="C8833" s="88">
        <v>0</v>
      </c>
      <c r="D8833" s="88">
        <v>3.0000000000000001E-3</v>
      </c>
      <c r="E8833" t="s">
        <v>4909</v>
      </c>
      <c r="F8833" t="s">
        <v>4909</v>
      </c>
      <c r="G8833" s="88">
        <v>0</v>
      </c>
      <c r="H8833" s="88">
        <v>6.0000000000000001E-3</v>
      </c>
      <c r="I8833" t="s">
        <v>4909</v>
      </c>
      <c r="J8833" t="s">
        <v>4909</v>
      </c>
      <c r="K8833" t="s">
        <v>4909</v>
      </c>
    </row>
    <row r="8834" spans="1:11" x14ac:dyDescent="0.2">
      <c r="A8834" t="s">
        <v>4288</v>
      </c>
      <c r="B8834" t="s">
        <v>4909</v>
      </c>
      <c r="C8834" t="s">
        <v>4909</v>
      </c>
      <c r="D8834" t="s">
        <v>4909</v>
      </c>
      <c r="E8834" t="s">
        <v>4909</v>
      </c>
      <c r="F8834" t="s">
        <v>4909</v>
      </c>
      <c r="G8834" t="s">
        <v>4909</v>
      </c>
      <c r="H8834" t="s">
        <v>4909</v>
      </c>
      <c r="I8834" t="s">
        <v>4909</v>
      </c>
      <c r="J8834" t="s">
        <v>4909</v>
      </c>
      <c r="K8834" t="s">
        <v>4909</v>
      </c>
    </row>
    <row r="8835" spans="1:11" x14ac:dyDescent="0.2">
      <c r="A8835" t="s">
        <v>4289</v>
      </c>
      <c r="B8835" t="s">
        <v>4909</v>
      </c>
      <c r="C8835" t="s">
        <v>4909</v>
      </c>
      <c r="D8835" t="s">
        <v>4909</v>
      </c>
      <c r="E8835" t="s">
        <v>4909</v>
      </c>
      <c r="F8835" t="s">
        <v>4909</v>
      </c>
      <c r="G8835" t="s">
        <v>4909</v>
      </c>
      <c r="H8835" t="s">
        <v>4909</v>
      </c>
      <c r="I8835" t="s">
        <v>4909</v>
      </c>
      <c r="J8835" t="s">
        <v>4909</v>
      </c>
      <c r="K8835" t="s">
        <v>4909</v>
      </c>
    </row>
    <row r="8836" spans="1:11" x14ac:dyDescent="0.2">
      <c r="A8836" t="s">
        <v>4290</v>
      </c>
      <c r="B8836" t="s">
        <v>4909</v>
      </c>
      <c r="C8836" t="s">
        <v>4909</v>
      </c>
      <c r="D8836" t="s">
        <v>4909</v>
      </c>
      <c r="E8836" t="s">
        <v>4909</v>
      </c>
      <c r="F8836" t="s">
        <v>4909</v>
      </c>
      <c r="G8836" t="s">
        <v>4909</v>
      </c>
      <c r="H8836" t="s">
        <v>4909</v>
      </c>
      <c r="I8836" t="s">
        <v>4909</v>
      </c>
      <c r="J8836" t="s">
        <v>4909</v>
      </c>
      <c r="K8836" t="s">
        <v>4909</v>
      </c>
    </row>
    <row r="8837" spans="1:11" x14ac:dyDescent="0.2">
      <c r="A8837" t="s">
        <v>4291</v>
      </c>
      <c r="B8837" t="s">
        <v>4909</v>
      </c>
      <c r="C8837" t="s">
        <v>4909</v>
      </c>
      <c r="D8837" t="s">
        <v>4909</v>
      </c>
      <c r="E8837" t="s">
        <v>4909</v>
      </c>
      <c r="F8837" t="s">
        <v>4909</v>
      </c>
      <c r="G8837" t="s">
        <v>4909</v>
      </c>
      <c r="H8837" t="s">
        <v>4909</v>
      </c>
      <c r="I8837" t="s">
        <v>4909</v>
      </c>
      <c r="J8837" t="s">
        <v>4909</v>
      </c>
      <c r="K8837" t="s">
        <v>4909</v>
      </c>
    </row>
    <row r="8838" spans="1:11" x14ac:dyDescent="0.2">
      <c r="A8838" t="s">
        <v>4292</v>
      </c>
      <c r="B8838" t="s">
        <v>4909</v>
      </c>
      <c r="C8838" t="s">
        <v>4909</v>
      </c>
      <c r="D8838" t="s">
        <v>4909</v>
      </c>
      <c r="E8838" t="s">
        <v>4909</v>
      </c>
      <c r="F8838" t="s">
        <v>4909</v>
      </c>
      <c r="G8838" t="s">
        <v>4909</v>
      </c>
      <c r="H8838" t="s">
        <v>4909</v>
      </c>
      <c r="I8838" t="s">
        <v>4909</v>
      </c>
      <c r="J8838" t="s">
        <v>4909</v>
      </c>
      <c r="K8838" t="s">
        <v>4909</v>
      </c>
    </row>
    <row r="8839" spans="1:11" x14ac:dyDescent="0.2">
      <c r="A8839" t="s">
        <v>4293</v>
      </c>
      <c r="B8839" t="s">
        <v>4909</v>
      </c>
      <c r="C8839" t="s">
        <v>4909</v>
      </c>
      <c r="D8839" t="s">
        <v>4909</v>
      </c>
      <c r="E8839" t="s">
        <v>4909</v>
      </c>
      <c r="F8839" t="s">
        <v>4909</v>
      </c>
      <c r="G8839" t="s">
        <v>4909</v>
      </c>
      <c r="H8839" t="s">
        <v>4909</v>
      </c>
      <c r="I8839" t="s">
        <v>4909</v>
      </c>
      <c r="J8839" t="s">
        <v>4909</v>
      </c>
      <c r="K8839" t="s">
        <v>4909</v>
      </c>
    </row>
    <row r="8840" spans="1:11" x14ac:dyDescent="0.2">
      <c r="A8840" t="s">
        <v>4294</v>
      </c>
      <c r="B8840" t="s">
        <v>4909</v>
      </c>
      <c r="C8840" t="s">
        <v>4909</v>
      </c>
      <c r="D8840" t="s">
        <v>4909</v>
      </c>
      <c r="E8840" t="s">
        <v>4909</v>
      </c>
      <c r="F8840" t="s">
        <v>4909</v>
      </c>
      <c r="G8840" t="s">
        <v>4909</v>
      </c>
      <c r="H8840" t="s">
        <v>4909</v>
      </c>
      <c r="I8840" t="s">
        <v>4909</v>
      </c>
      <c r="J8840" t="s">
        <v>4909</v>
      </c>
      <c r="K8840" t="s">
        <v>4909</v>
      </c>
    </row>
    <row r="8841" spans="1:11" x14ac:dyDescent="0.2">
      <c r="A8841" t="s">
        <v>4295</v>
      </c>
      <c r="B8841" t="s">
        <v>4909</v>
      </c>
      <c r="C8841" t="s">
        <v>4909</v>
      </c>
      <c r="D8841" t="s">
        <v>4909</v>
      </c>
      <c r="E8841" t="s">
        <v>4909</v>
      </c>
      <c r="F8841" t="s">
        <v>4909</v>
      </c>
      <c r="G8841" t="s">
        <v>4909</v>
      </c>
      <c r="H8841" t="s">
        <v>4909</v>
      </c>
      <c r="I8841" t="s">
        <v>4909</v>
      </c>
      <c r="J8841" t="s">
        <v>4909</v>
      </c>
      <c r="K8841" t="s">
        <v>4909</v>
      </c>
    </row>
    <row r="8842" spans="1:11" x14ac:dyDescent="0.2">
      <c r="A8842" t="s">
        <v>4296</v>
      </c>
      <c r="B8842" t="s">
        <v>4909</v>
      </c>
      <c r="C8842" t="s">
        <v>4909</v>
      </c>
      <c r="D8842" t="s">
        <v>4909</v>
      </c>
      <c r="E8842" t="s">
        <v>4909</v>
      </c>
      <c r="F8842" t="s">
        <v>4909</v>
      </c>
      <c r="G8842" t="s">
        <v>4909</v>
      </c>
      <c r="H8842" t="s">
        <v>4909</v>
      </c>
      <c r="I8842" t="s">
        <v>4909</v>
      </c>
      <c r="J8842" t="s">
        <v>4909</v>
      </c>
      <c r="K8842" t="s">
        <v>4909</v>
      </c>
    </row>
    <row r="8843" spans="1:11" x14ac:dyDescent="0.2">
      <c r="A8843" t="s">
        <v>4297</v>
      </c>
      <c r="B8843" t="s">
        <v>4909</v>
      </c>
      <c r="C8843" s="88">
        <v>0</v>
      </c>
      <c r="D8843" s="88">
        <v>8.9999999999999993E-3</v>
      </c>
      <c r="E8843" t="s">
        <v>4909</v>
      </c>
      <c r="F8843" t="s">
        <v>4909</v>
      </c>
      <c r="G8843" s="88">
        <v>0</v>
      </c>
      <c r="H8843" s="88">
        <v>1.4999999999999999E-2</v>
      </c>
      <c r="I8843" t="s">
        <v>4909</v>
      </c>
      <c r="J8843" t="s">
        <v>4909</v>
      </c>
      <c r="K8843" t="s">
        <v>4909</v>
      </c>
    </row>
    <row r="8844" spans="1:11" x14ac:dyDescent="0.2">
      <c r="A8844" t="s">
        <v>4298</v>
      </c>
      <c r="B8844" t="s">
        <v>4909</v>
      </c>
      <c r="C8844" s="88">
        <v>0</v>
      </c>
      <c r="D8844" s="88">
        <v>1.7999999999999999E-2</v>
      </c>
      <c r="E8844" t="s">
        <v>4909</v>
      </c>
      <c r="F8844" t="s">
        <v>4909</v>
      </c>
      <c r="G8844" s="88">
        <v>0</v>
      </c>
      <c r="H8844" s="88">
        <v>3.1E-2</v>
      </c>
      <c r="I8844" t="s">
        <v>4909</v>
      </c>
      <c r="J8844" t="s">
        <v>4909</v>
      </c>
      <c r="K8844" t="s">
        <v>4909</v>
      </c>
    </row>
    <row r="8845" spans="1:11" x14ac:dyDescent="0.2">
      <c r="A8845" t="s">
        <v>4299</v>
      </c>
      <c r="B8845" t="s">
        <v>4909</v>
      </c>
      <c r="C8845" s="88">
        <v>0</v>
      </c>
      <c r="D8845" s="88">
        <v>1.2E-2</v>
      </c>
      <c r="E8845" t="s">
        <v>4909</v>
      </c>
      <c r="F8845" t="s">
        <v>4909</v>
      </c>
      <c r="G8845" t="s">
        <v>4909</v>
      </c>
      <c r="H8845" s="88">
        <v>2.1000000000000001E-2</v>
      </c>
      <c r="I8845" t="s">
        <v>4909</v>
      </c>
      <c r="J8845" t="s">
        <v>4909</v>
      </c>
      <c r="K8845" t="s">
        <v>4909</v>
      </c>
    </row>
    <row r="8846" spans="1:11" x14ac:dyDescent="0.2">
      <c r="A8846" t="s">
        <v>4300</v>
      </c>
      <c r="B8846" t="s">
        <v>4909</v>
      </c>
      <c r="C8846" t="s">
        <v>4909</v>
      </c>
      <c r="D8846" s="88">
        <v>1.4E-2</v>
      </c>
      <c r="E8846" t="s">
        <v>4909</v>
      </c>
      <c r="F8846" t="s">
        <v>4909</v>
      </c>
      <c r="G8846" t="s">
        <v>4909</v>
      </c>
      <c r="H8846" s="88">
        <v>2.4E-2</v>
      </c>
      <c r="I8846" t="s">
        <v>4909</v>
      </c>
      <c r="J8846" t="s">
        <v>4909</v>
      </c>
      <c r="K8846" t="s">
        <v>4909</v>
      </c>
    </row>
    <row r="8847" spans="1:11" x14ac:dyDescent="0.2">
      <c r="A8847" t="s">
        <v>4301</v>
      </c>
      <c r="B8847" t="s">
        <v>4909</v>
      </c>
      <c r="C8847" s="88">
        <v>0</v>
      </c>
      <c r="D8847" s="88">
        <v>7.0000000000000001E-3</v>
      </c>
      <c r="E8847" t="s">
        <v>4909</v>
      </c>
      <c r="F8847" t="s">
        <v>4909</v>
      </c>
      <c r="G8847" s="88">
        <v>0</v>
      </c>
      <c r="H8847" s="88">
        <v>1.2E-2</v>
      </c>
      <c r="I8847" t="s">
        <v>4909</v>
      </c>
      <c r="J8847" t="s">
        <v>4909</v>
      </c>
      <c r="K8847" t="s">
        <v>4909</v>
      </c>
    </row>
    <row r="8848" spans="1:11" x14ac:dyDescent="0.2">
      <c r="A8848" t="s">
        <v>4302</v>
      </c>
      <c r="B8848" t="s">
        <v>4909</v>
      </c>
      <c r="C8848" s="88">
        <v>0</v>
      </c>
      <c r="D8848" s="88">
        <v>3.0000000000000001E-3</v>
      </c>
      <c r="E8848" t="s">
        <v>4909</v>
      </c>
      <c r="F8848" t="s">
        <v>4909</v>
      </c>
      <c r="G8848" t="s">
        <v>4909</v>
      </c>
      <c r="H8848" s="88">
        <v>6.0000000000000001E-3</v>
      </c>
      <c r="I8848" t="s">
        <v>4909</v>
      </c>
      <c r="J8848" t="s">
        <v>4909</v>
      </c>
      <c r="K8848" t="s">
        <v>4909</v>
      </c>
    </row>
    <row r="8849" spans="1:11" x14ac:dyDescent="0.2">
      <c r="A8849" t="s">
        <v>4303</v>
      </c>
      <c r="B8849" t="s">
        <v>4909</v>
      </c>
      <c r="C8849" t="s">
        <v>4909</v>
      </c>
      <c r="D8849" s="88">
        <v>0.01</v>
      </c>
      <c r="E8849" t="s">
        <v>4909</v>
      </c>
      <c r="F8849" t="s">
        <v>4909</v>
      </c>
      <c r="G8849" t="s">
        <v>4909</v>
      </c>
      <c r="H8849" s="88">
        <v>1.6E-2</v>
      </c>
      <c r="I8849" t="s">
        <v>4909</v>
      </c>
      <c r="J8849" t="s">
        <v>4909</v>
      </c>
      <c r="K8849" t="s">
        <v>4909</v>
      </c>
    </row>
    <row r="8850" spans="1:11" x14ac:dyDescent="0.2">
      <c r="A8850" t="s">
        <v>4304</v>
      </c>
      <c r="B8850" t="s">
        <v>4909</v>
      </c>
      <c r="C8850" t="s">
        <v>4909</v>
      </c>
      <c r="D8850" t="s">
        <v>4909</v>
      </c>
      <c r="E8850" t="s">
        <v>4909</v>
      </c>
      <c r="F8850" t="s">
        <v>4909</v>
      </c>
      <c r="G8850" t="s">
        <v>4909</v>
      </c>
      <c r="H8850" s="88">
        <v>0</v>
      </c>
      <c r="I8850" t="s">
        <v>4909</v>
      </c>
      <c r="J8850" t="s">
        <v>4909</v>
      </c>
      <c r="K8850" t="s">
        <v>4909</v>
      </c>
    </row>
    <row r="8851" spans="1:11" x14ac:dyDescent="0.2">
      <c r="A8851" t="s">
        <v>4305</v>
      </c>
      <c r="B8851" t="s">
        <v>4909</v>
      </c>
      <c r="C8851" s="88">
        <v>0</v>
      </c>
      <c r="D8851" s="88">
        <v>1E-3</v>
      </c>
      <c r="E8851" t="s">
        <v>4909</v>
      </c>
      <c r="F8851" t="s">
        <v>4909</v>
      </c>
      <c r="G8851" t="s">
        <v>4909</v>
      </c>
      <c r="H8851" s="88">
        <v>3.0000000000000001E-3</v>
      </c>
      <c r="I8851" t="s">
        <v>4909</v>
      </c>
      <c r="J8851" t="s">
        <v>4909</v>
      </c>
      <c r="K8851" t="s">
        <v>4909</v>
      </c>
    </row>
    <row r="8852" spans="1:11" x14ac:dyDescent="0.2">
      <c r="A8852" t="s">
        <v>4306</v>
      </c>
      <c r="B8852" t="s">
        <v>4909</v>
      </c>
      <c r="C8852" t="s">
        <v>4909</v>
      </c>
      <c r="D8852" s="88">
        <v>2E-3</v>
      </c>
      <c r="E8852" t="s">
        <v>4909</v>
      </c>
      <c r="F8852" t="s">
        <v>4909</v>
      </c>
      <c r="G8852" t="s">
        <v>4909</v>
      </c>
      <c r="H8852" s="88">
        <v>5.0000000000000001E-3</v>
      </c>
      <c r="I8852" t="s">
        <v>4909</v>
      </c>
      <c r="J8852" t="s">
        <v>4909</v>
      </c>
      <c r="K8852" t="s">
        <v>4909</v>
      </c>
    </row>
    <row r="8853" spans="1:11" x14ac:dyDescent="0.2">
      <c r="A8853" t="s">
        <v>4307</v>
      </c>
      <c r="B8853" t="s">
        <v>4909</v>
      </c>
      <c r="C8853" s="88">
        <v>0</v>
      </c>
      <c r="D8853" s="88">
        <v>8.0000000000000002E-3</v>
      </c>
      <c r="E8853" t="s">
        <v>4909</v>
      </c>
      <c r="F8853" t="s">
        <v>4909</v>
      </c>
      <c r="G8853" s="88">
        <v>0</v>
      </c>
      <c r="H8853" s="88">
        <v>1.4E-2</v>
      </c>
      <c r="I8853" t="s">
        <v>4909</v>
      </c>
      <c r="J8853" t="s">
        <v>4909</v>
      </c>
      <c r="K8853" t="s">
        <v>4909</v>
      </c>
    </row>
    <row r="8854" spans="1:11" x14ac:dyDescent="0.2">
      <c r="A8854" t="s">
        <v>4308</v>
      </c>
      <c r="B8854" t="s">
        <v>4909</v>
      </c>
      <c r="C8854" t="s">
        <v>4909</v>
      </c>
      <c r="D8854" s="88">
        <v>1.0999999999999999E-2</v>
      </c>
      <c r="E8854" t="s">
        <v>4909</v>
      </c>
      <c r="F8854" t="s">
        <v>4909</v>
      </c>
      <c r="G8854" t="s">
        <v>4909</v>
      </c>
      <c r="H8854" s="88">
        <v>1.9E-2</v>
      </c>
      <c r="I8854" t="s">
        <v>4909</v>
      </c>
      <c r="J8854" t="s">
        <v>4909</v>
      </c>
      <c r="K8854" t="s">
        <v>4909</v>
      </c>
    </row>
    <row r="8855" spans="1:11" x14ac:dyDescent="0.2">
      <c r="A8855" t="s">
        <v>4309</v>
      </c>
      <c r="B8855" t="s">
        <v>4909</v>
      </c>
      <c r="C8855" t="s">
        <v>4909</v>
      </c>
      <c r="D8855" t="s">
        <v>4909</v>
      </c>
      <c r="E8855" t="s">
        <v>4909</v>
      </c>
      <c r="F8855" t="s">
        <v>4909</v>
      </c>
      <c r="G8855" t="s">
        <v>4909</v>
      </c>
      <c r="H8855" t="s">
        <v>4909</v>
      </c>
      <c r="I8855" t="s">
        <v>4909</v>
      </c>
      <c r="J8855" t="s">
        <v>4909</v>
      </c>
      <c r="K8855" t="s">
        <v>4909</v>
      </c>
    </row>
    <row r="8856" spans="1:11" x14ac:dyDescent="0.2">
      <c r="A8856" t="s">
        <v>4310</v>
      </c>
      <c r="B8856" t="s">
        <v>4909</v>
      </c>
      <c r="C8856" t="s">
        <v>4909</v>
      </c>
      <c r="D8856" t="s">
        <v>4909</v>
      </c>
      <c r="E8856" t="s">
        <v>4909</v>
      </c>
      <c r="F8856" t="s">
        <v>4909</v>
      </c>
      <c r="G8856" t="s">
        <v>4909</v>
      </c>
      <c r="H8856" t="s">
        <v>4909</v>
      </c>
      <c r="I8856" t="s">
        <v>4909</v>
      </c>
      <c r="J8856" t="s">
        <v>4909</v>
      </c>
      <c r="K8856" t="s">
        <v>4909</v>
      </c>
    </row>
    <row r="8857" spans="1:11" x14ac:dyDescent="0.2">
      <c r="A8857" t="s">
        <v>4311</v>
      </c>
      <c r="B8857" t="s">
        <v>4909</v>
      </c>
      <c r="C8857" t="s">
        <v>4909</v>
      </c>
      <c r="D8857" s="88">
        <v>0</v>
      </c>
      <c r="E8857" t="s">
        <v>4909</v>
      </c>
      <c r="F8857" t="s">
        <v>4909</v>
      </c>
      <c r="G8857" t="s">
        <v>4909</v>
      </c>
      <c r="H8857" s="88">
        <v>0</v>
      </c>
      <c r="I8857" t="s">
        <v>4909</v>
      </c>
      <c r="J8857" t="s">
        <v>4909</v>
      </c>
      <c r="K8857" t="s">
        <v>4909</v>
      </c>
    </row>
    <row r="8858" spans="1:11" x14ac:dyDescent="0.2">
      <c r="A8858" t="s">
        <v>4312</v>
      </c>
      <c r="B8858" t="s">
        <v>4909</v>
      </c>
      <c r="C8858" t="s">
        <v>4909</v>
      </c>
      <c r="D8858" t="s">
        <v>4909</v>
      </c>
      <c r="E8858" t="s">
        <v>4909</v>
      </c>
      <c r="F8858" t="s">
        <v>4909</v>
      </c>
      <c r="G8858" t="s">
        <v>4909</v>
      </c>
      <c r="H8858" t="s">
        <v>4909</v>
      </c>
      <c r="I8858" t="s">
        <v>4909</v>
      </c>
      <c r="J8858" t="s">
        <v>4909</v>
      </c>
      <c r="K8858" t="s">
        <v>4909</v>
      </c>
    </row>
    <row r="8859" spans="1:11" x14ac:dyDescent="0.2">
      <c r="A8859" t="s">
        <v>4313</v>
      </c>
      <c r="B8859" t="s">
        <v>4909</v>
      </c>
      <c r="C8859" t="s">
        <v>4909</v>
      </c>
      <c r="D8859" t="s">
        <v>4909</v>
      </c>
      <c r="E8859" t="s">
        <v>4909</v>
      </c>
      <c r="F8859" t="s">
        <v>4909</v>
      </c>
      <c r="G8859" t="s">
        <v>4909</v>
      </c>
      <c r="H8859" t="s">
        <v>4909</v>
      </c>
      <c r="I8859" t="s">
        <v>4909</v>
      </c>
      <c r="J8859" t="s">
        <v>4909</v>
      </c>
      <c r="K8859" t="s">
        <v>4909</v>
      </c>
    </row>
    <row r="8860" spans="1:11" x14ac:dyDescent="0.2">
      <c r="A8860" t="s">
        <v>4314</v>
      </c>
      <c r="B8860" t="s">
        <v>4909</v>
      </c>
      <c r="C8860" t="s">
        <v>4909</v>
      </c>
      <c r="D8860" s="88">
        <v>0</v>
      </c>
      <c r="E8860" t="s">
        <v>4909</v>
      </c>
      <c r="F8860" t="s">
        <v>4909</v>
      </c>
      <c r="G8860" t="s">
        <v>4909</v>
      </c>
      <c r="H8860" s="88">
        <v>0</v>
      </c>
      <c r="I8860" t="s">
        <v>4909</v>
      </c>
      <c r="J8860" t="s">
        <v>4909</v>
      </c>
      <c r="K8860" t="s">
        <v>4909</v>
      </c>
    </row>
    <row r="8861" spans="1:11" x14ac:dyDescent="0.2">
      <c r="A8861" t="s">
        <v>4315</v>
      </c>
      <c r="B8861" t="s">
        <v>4909</v>
      </c>
      <c r="C8861" t="s">
        <v>4909</v>
      </c>
      <c r="D8861" t="s">
        <v>4909</v>
      </c>
      <c r="E8861" t="s">
        <v>4909</v>
      </c>
      <c r="F8861" t="s">
        <v>4909</v>
      </c>
      <c r="G8861" t="s">
        <v>4909</v>
      </c>
      <c r="H8861" t="s">
        <v>4909</v>
      </c>
      <c r="I8861" t="s">
        <v>4909</v>
      </c>
      <c r="J8861" t="s">
        <v>4909</v>
      </c>
      <c r="K8861" t="s">
        <v>4909</v>
      </c>
    </row>
    <row r="8862" spans="1:11" x14ac:dyDescent="0.2">
      <c r="A8862" t="s">
        <v>4316</v>
      </c>
      <c r="B8862" t="s">
        <v>4909</v>
      </c>
      <c r="C8862" t="s">
        <v>4909</v>
      </c>
      <c r="D8862" t="s">
        <v>4909</v>
      </c>
      <c r="E8862" t="s">
        <v>4909</v>
      </c>
      <c r="F8862" t="s">
        <v>4909</v>
      </c>
      <c r="G8862" t="s">
        <v>4909</v>
      </c>
      <c r="H8862" t="s">
        <v>4909</v>
      </c>
      <c r="I8862" t="s">
        <v>4909</v>
      </c>
      <c r="J8862" t="s">
        <v>4909</v>
      </c>
      <c r="K8862" t="s">
        <v>4909</v>
      </c>
    </row>
    <row r="8863" spans="1:11" x14ac:dyDescent="0.2">
      <c r="A8863" t="s">
        <v>4317</v>
      </c>
      <c r="B8863" t="s">
        <v>4909</v>
      </c>
      <c r="C8863" t="s">
        <v>4909</v>
      </c>
      <c r="D8863" t="s">
        <v>4909</v>
      </c>
      <c r="E8863" t="s">
        <v>4909</v>
      </c>
      <c r="F8863" t="s">
        <v>4909</v>
      </c>
      <c r="G8863" t="s">
        <v>4909</v>
      </c>
      <c r="H8863" t="s">
        <v>4909</v>
      </c>
      <c r="I8863" t="s">
        <v>4909</v>
      </c>
      <c r="J8863" t="s">
        <v>4909</v>
      </c>
      <c r="K8863" t="s">
        <v>4909</v>
      </c>
    </row>
    <row r="8864" spans="1:11" x14ac:dyDescent="0.2">
      <c r="A8864" t="s">
        <v>4318</v>
      </c>
      <c r="B8864" t="s">
        <v>4909</v>
      </c>
      <c r="C8864" t="s">
        <v>4909</v>
      </c>
      <c r="D8864" t="s">
        <v>4909</v>
      </c>
      <c r="E8864" t="s">
        <v>4909</v>
      </c>
      <c r="F8864" t="s">
        <v>4909</v>
      </c>
      <c r="G8864" t="s">
        <v>4909</v>
      </c>
      <c r="H8864" t="s">
        <v>4909</v>
      </c>
      <c r="I8864" t="s">
        <v>4909</v>
      </c>
      <c r="J8864" t="s">
        <v>4909</v>
      </c>
      <c r="K8864" t="s">
        <v>4909</v>
      </c>
    </row>
    <row r="8865" spans="1:11" x14ac:dyDescent="0.2">
      <c r="A8865" t="s">
        <v>4319</v>
      </c>
      <c r="B8865" t="s">
        <v>4909</v>
      </c>
      <c r="C8865" t="s">
        <v>4909</v>
      </c>
      <c r="D8865" t="s">
        <v>4909</v>
      </c>
      <c r="E8865" t="s">
        <v>4909</v>
      </c>
      <c r="F8865" t="s">
        <v>4909</v>
      </c>
      <c r="G8865" t="s">
        <v>4909</v>
      </c>
      <c r="H8865" t="s">
        <v>4909</v>
      </c>
      <c r="I8865" t="s">
        <v>4909</v>
      </c>
      <c r="J8865" t="s">
        <v>4909</v>
      </c>
      <c r="K8865" t="s">
        <v>4909</v>
      </c>
    </row>
    <row r="8866" spans="1:11" x14ac:dyDescent="0.2">
      <c r="A8866" t="s">
        <v>4320</v>
      </c>
      <c r="B8866" t="s">
        <v>4909</v>
      </c>
      <c r="C8866" t="s">
        <v>4909</v>
      </c>
      <c r="D8866" t="s">
        <v>4909</v>
      </c>
      <c r="E8866" t="s">
        <v>4909</v>
      </c>
      <c r="F8866" t="s">
        <v>4909</v>
      </c>
      <c r="G8866" t="s">
        <v>4909</v>
      </c>
      <c r="H8866" t="s">
        <v>4909</v>
      </c>
      <c r="I8866" t="s">
        <v>4909</v>
      </c>
      <c r="J8866" t="s">
        <v>4909</v>
      </c>
      <c r="K8866" t="s">
        <v>4909</v>
      </c>
    </row>
    <row r="8867" spans="1:11" x14ac:dyDescent="0.2">
      <c r="A8867" t="s">
        <v>4321</v>
      </c>
      <c r="B8867" t="s">
        <v>4909</v>
      </c>
      <c r="C8867" t="s">
        <v>4909</v>
      </c>
      <c r="D8867" t="s">
        <v>4909</v>
      </c>
      <c r="E8867" t="s">
        <v>4909</v>
      </c>
      <c r="F8867" t="s">
        <v>4909</v>
      </c>
      <c r="G8867" t="s">
        <v>4909</v>
      </c>
      <c r="H8867" t="s">
        <v>4909</v>
      </c>
      <c r="I8867" t="s">
        <v>4909</v>
      </c>
      <c r="J8867" t="s">
        <v>4909</v>
      </c>
      <c r="K8867" t="s">
        <v>4909</v>
      </c>
    </row>
    <row r="8868" spans="1:11" x14ac:dyDescent="0.2">
      <c r="A8868" t="s">
        <v>4322</v>
      </c>
      <c r="B8868" t="s">
        <v>4909</v>
      </c>
      <c r="C8868" t="s">
        <v>4909</v>
      </c>
      <c r="D8868" t="s">
        <v>4909</v>
      </c>
      <c r="E8868" t="s">
        <v>4909</v>
      </c>
      <c r="F8868" t="s">
        <v>4909</v>
      </c>
      <c r="G8868" t="s">
        <v>4909</v>
      </c>
      <c r="H8868" t="s">
        <v>4909</v>
      </c>
      <c r="I8868" t="s">
        <v>4909</v>
      </c>
      <c r="J8868" t="s">
        <v>4909</v>
      </c>
      <c r="K8868" t="s">
        <v>4909</v>
      </c>
    </row>
    <row r="8869" spans="1:11" x14ac:dyDescent="0.2">
      <c r="A8869" t="s">
        <v>4323</v>
      </c>
      <c r="B8869" t="s">
        <v>4909</v>
      </c>
      <c r="C8869" t="s">
        <v>4909</v>
      </c>
      <c r="D8869" t="s">
        <v>4909</v>
      </c>
      <c r="E8869" t="s">
        <v>4909</v>
      </c>
      <c r="F8869" t="s">
        <v>4909</v>
      </c>
      <c r="G8869" t="s">
        <v>4909</v>
      </c>
      <c r="H8869" t="s">
        <v>4909</v>
      </c>
      <c r="I8869" t="s">
        <v>4909</v>
      </c>
      <c r="J8869" t="s">
        <v>4909</v>
      </c>
      <c r="K8869" t="s">
        <v>4909</v>
      </c>
    </row>
    <row r="8870" spans="1:11" x14ac:dyDescent="0.2">
      <c r="A8870" t="s">
        <v>4324</v>
      </c>
      <c r="B8870" t="s">
        <v>4909</v>
      </c>
      <c r="C8870" t="s">
        <v>4909</v>
      </c>
      <c r="D8870" t="s">
        <v>4909</v>
      </c>
      <c r="E8870" t="s">
        <v>4909</v>
      </c>
      <c r="F8870" t="s">
        <v>4909</v>
      </c>
      <c r="G8870" t="s">
        <v>4909</v>
      </c>
      <c r="H8870" t="s">
        <v>4909</v>
      </c>
      <c r="I8870" t="s">
        <v>4909</v>
      </c>
      <c r="J8870" t="s">
        <v>4909</v>
      </c>
      <c r="K8870" t="s">
        <v>4909</v>
      </c>
    </row>
    <row r="8871" spans="1:11" x14ac:dyDescent="0.2">
      <c r="A8871" t="s">
        <v>4325</v>
      </c>
      <c r="B8871" t="s">
        <v>4909</v>
      </c>
      <c r="C8871" t="s">
        <v>4909</v>
      </c>
      <c r="D8871" t="s">
        <v>4909</v>
      </c>
      <c r="E8871" t="s">
        <v>4909</v>
      </c>
      <c r="F8871" t="s">
        <v>4909</v>
      </c>
      <c r="G8871" t="s">
        <v>4909</v>
      </c>
      <c r="H8871" t="s">
        <v>4909</v>
      </c>
      <c r="I8871" t="s">
        <v>4909</v>
      </c>
      <c r="J8871" t="s">
        <v>4909</v>
      </c>
      <c r="K8871" t="s">
        <v>4909</v>
      </c>
    </row>
    <row r="8872" spans="1:11" x14ac:dyDescent="0.2">
      <c r="A8872" t="s">
        <v>4326</v>
      </c>
      <c r="B8872" t="s">
        <v>4909</v>
      </c>
      <c r="C8872" t="s">
        <v>4909</v>
      </c>
      <c r="D8872" t="s">
        <v>4909</v>
      </c>
      <c r="E8872" t="s">
        <v>4909</v>
      </c>
      <c r="F8872" t="s">
        <v>4909</v>
      </c>
      <c r="G8872" t="s">
        <v>4909</v>
      </c>
      <c r="H8872" t="s">
        <v>4909</v>
      </c>
      <c r="I8872" t="s">
        <v>4909</v>
      </c>
      <c r="J8872" t="s">
        <v>4909</v>
      </c>
      <c r="K8872" t="s">
        <v>4909</v>
      </c>
    </row>
    <row r="8873" spans="1:11" x14ac:dyDescent="0.2">
      <c r="A8873" t="s">
        <v>4327</v>
      </c>
      <c r="B8873" t="s">
        <v>4909</v>
      </c>
      <c r="C8873" t="s">
        <v>4909</v>
      </c>
      <c r="D8873" t="s">
        <v>4909</v>
      </c>
      <c r="E8873" t="s">
        <v>4909</v>
      </c>
      <c r="F8873" t="s">
        <v>4909</v>
      </c>
      <c r="G8873" t="s">
        <v>4909</v>
      </c>
      <c r="H8873" t="s">
        <v>4909</v>
      </c>
      <c r="I8873" t="s">
        <v>4909</v>
      </c>
      <c r="J8873" t="s">
        <v>4909</v>
      </c>
      <c r="K8873" t="s">
        <v>4909</v>
      </c>
    </row>
    <row r="8874" spans="1:11" x14ac:dyDescent="0.2">
      <c r="A8874" t="s">
        <v>4328</v>
      </c>
      <c r="B8874" t="s">
        <v>4909</v>
      </c>
      <c r="C8874" t="s">
        <v>4909</v>
      </c>
      <c r="D8874" t="s">
        <v>4909</v>
      </c>
      <c r="E8874" t="s">
        <v>4909</v>
      </c>
      <c r="F8874" t="s">
        <v>4909</v>
      </c>
      <c r="G8874" t="s">
        <v>4909</v>
      </c>
      <c r="H8874" t="s">
        <v>4909</v>
      </c>
      <c r="I8874" t="s">
        <v>4909</v>
      </c>
      <c r="J8874" t="s">
        <v>4909</v>
      </c>
      <c r="K8874" t="s">
        <v>4909</v>
      </c>
    </row>
    <row r="8875" spans="1:11" x14ac:dyDescent="0.2">
      <c r="A8875" t="s">
        <v>4329</v>
      </c>
      <c r="B8875" t="s">
        <v>4909</v>
      </c>
      <c r="C8875" t="s">
        <v>4909</v>
      </c>
      <c r="D8875" t="s">
        <v>4909</v>
      </c>
      <c r="E8875" t="s">
        <v>4909</v>
      </c>
      <c r="F8875" t="s">
        <v>4909</v>
      </c>
      <c r="G8875" t="s">
        <v>4909</v>
      </c>
      <c r="H8875" t="s">
        <v>4909</v>
      </c>
      <c r="I8875" t="s">
        <v>4909</v>
      </c>
      <c r="J8875" t="s">
        <v>4909</v>
      </c>
      <c r="K8875" t="s">
        <v>4909</v>
      </c>
    </row>
    <row r="8876" spans="1:11" x14ac:dyDescent="0.2">
      <c r="A8876" t="s">
        <v>4330</v>
      </c>
      <c r="B8876" t="s">
        <v>4909</v>
      </c>
      <c r="C8876" t="s">
        <v>4909</v>
      </c>
      <c r="D8876" t="s">
        <v>4909</v>
      </c>
      <c r="E8876" t="s">
        <v>4909</v>
      </c>
      <c r="F8876" t="s">
        <v>4909</v>
      </c>
      <c r="G8876" t="s">
        <v>4909</v>
      </c>
      <c r="H8876" t="s">
        <v>4909</v>
      </c>
      <c r="I8876" t="s">
        <v>4909</v>
      </c>
      <c r="J8876" t="s">
        <v>4909</v>
      </c>
      <c r="K8876" t="s">
        <v>4909</v>
      </c>
    </row>
    <row r="8877" spans="1:11" x14ac:dyDescent="0.2">
      <c r="A8877" t="s">
        <v>4331</v>
      </c>
      <c r="B8877" t="s">
        <v>4909</v>
      </c>
      <c r="C8877" t="s">
        <v>4909</v>
      </c>
      <c r="D8877" t="s">
        <v>4909</v>
      </c>
      <c r="E8877" t="s">
        <v>4909</v>
      </c>
      <c r="F8877" t="s">
        <v>4909</v>
      </c>
      <c r="G8877" t="s">
        <v>4909</v>
      </c>
      <c r="H8877" t="s">
        <v>4909</v>
      </c>
      <c r="I8877" t="s">
        <v>4909</v>
      </c>
      <c r="J8877" t="s">
        <v>4909</v>
      </c>
      <c r="K8877" t="s">
        <v>4909</v>
      </c>
    </row>
    <row r="8878" spans="1:11" x14ac:dyDescent="0.2">
      <c r="A8878" t="s">
        <v>4332</v>
      </c>
      <c r="B8878" t="s">
        <v>4909</v>
      </c>
      <c r="C8878" t="s">
        <v>4909</v>
      </c>
      <c r="D8878" t="s">
        <v>4909</v>
      </c>
      <c r="E8878" t="s">
        <v>4909</v>
      </c>
      <c r="F8878" t="s">
        <v>4909</v>
      </c>
      <c r="G8878" t="s">
        <v>4909</v>
      </c>
      <c r="H8878" t="s">
        <v>4909</v>
      </c>
      <c r="I8878" t="s">
        <v>4909</v>
      </c>
      <c r="J8878" t="s">
        <v>4909</v>
      </c>
      <c r="K8878" t="s">
        <v>4909</v>
      </c>
    </row>
    <row r="8879" spans="1:11" x14ac:dyDescent="0.2">
      <c r="A8879" t="s">
        <v>4333</v>
      </c>
      <c r="B8879" t="s">
        <v>4909</v>
      </c>
      <c r="C8879" t="s">
        <v>4909</v>
      </c>
      <c r="D8879" t="s">
        <v>4909</v>
      </c>
      <c r="E8879" t="s">
        <v>4909</v>
      </c>
      <c r="F8879" t="s">
        <v>4909</v>
      </c>
      <c r="G8879" t="s">
        <v>4909</v>
      </c>
      <c r="H8879" t="s">
        <v>4909</v>
      </c>
      <c r="I8879" t="s">
        <v>4909</v>
      </c>
      <c r="J8879" t="s">
        <v>4909</v>
      </c>
      <c r="K8879" t="s">
        <v>4909</v>
      </c>
    </row>
    <row r="8880" spans="1:11" x14ac:dyDescent="0.2">
      <c r="A8880" t="s">
        <v>4334</v>
      </c>
      <c r="B8880" t="s">
        <v>4909</v>
      </c>
      <c r="C8880" t="s">
        <v>4909</v>
      </c>
      <c r="D8880" t="s">
        <v>4909</v>
      </c>
      <c r="E8880" t="s">
        <v>4909</v>
      </c>
      <c r="F8880" t="s">
        <v>4909</v>
      </c>
      <c r="G8880" t="s">
        <v>4909</v>
      </c>
      <c r="H8880" t="s">
        <v>4909</v>
      </c>
      <c r="I8880" t="s">
        <v>4909</v>
      </c>
      <c r="J8880" t="s">
        <v>4909</v>
      </c>
      <c r="K8880" t="s">
        <v>4909</v>
      </c>
    </row>
    <row r="8881" spans="1:11" x14ac:dyDescent="0.2">
      <c r="A8881" t="s">
        <v>4335</v>
      </c>
      <c r="B8881" t="s">
        <v>4909</v>
      </c>
      <c r="C8881" t="s">
        <v>4909</v>
      </c>
      <c r="D8881" t="s">
        <v>4909</v>
      </c>
      <c r="E8881" t="s">
        <v>4909</v>
      </c>
      <c r="F8881" t="s">
        <v>4909</v>
      </c>
      <c r="G8881" t="s">
        <v>4909</v>
      </c>
      <c r="H8881" t="s">
        <v>4909</v>
      </c>
      <c r="I8881" t="s">
        <v>4909</v>
      </c>
      <c r="J8881" t="s">
        <v>4909</v>
      </c>
      <c r="K8881" t="s">
        <v>4909</v>
      </c>
    </row>
    <row r="8882" spans="1:11" x14ac:dyDescent="0.2">
      <c r="A8882" t="s">
        <v>4336</v>
      </c>
      <c r="B8882" t="s">
        <v>4909</v>
      </c>
      <c r="C8882" t="s">
        <v>4909</v>
      </c>
      <c r="D8882" t="s">
        <v>4909</v>
      </c>
      <c r="E8882" t="s">
        <v>4909</v>
      </c>
      <c r="F8882" t="s">
        <v>4909</v>
      </c>
      <c r="G8882" t="s">
        <v>4909</v>
      </c>
      <c r="H8882" t="s">
        <v>4909</v>
      </c>
      <c r="I8882" t="s">
        <v>4909</v>
      </c>
      <c r="J8882" t="s">
        <v>4909</v>
      </c>
      <c r="K8882" t="s">
        <v>4909</v>
      </c>
    </row>
    <row r="8883" spans="1:11" x14ac:dyDescent="0.2">
      <c r="A8883" t="s">
        <v>4337</v>
      </c>
      <c r="B8883" t="s">
        <v>4909</v>
      </c>
      <c r="C8883" t="s">
        <v>4909</v>
      </c>
      <c r="D8883" t="s">
        <v>4909</v>
      </c>
      <c r="E8883" t="s">
        <v>4909</v>
      </c>
      <c r="F8883" t="s">
        <v>4909</v>
      </c>
      <c r="G8883" t="s">
        <v>4909</v>
      </c>
      <c r="H8883" t="s">
        <v>4909</v>
      </c>
      <c r="I8883" t="s">
        <v>4909</v>
      </c>
      <c r="J8883" t="s">
        <v>4909</v>
      </c>
      <c r="K8883" t="s">
        <v>4909</v>
      </c>
    </row>
    <row r="8884" spans="1:11" x14ac:dyDescent="0.2">
      <c r="A8884" t="s">
        <v>4338</v>
      </c>
      <c r="B8884" t="s">
        <v>4909</v>
      </c>
      <c r="C8884" t="s">
        <v>4909</v>
      </c>
      <c r="D8884" t="s">
        <v>4909</v>
      </c>
      <c r="E8884" t="s">
        <v>4909</v>
      </c>
      <c r="F8884" t="s">
        <v>4909</v>
      </c>
      <c r="G8884" t="s">
        <v>4909</v>
      </c>
      <c r="H8884" t="s">
        <v>4909</v>
      </c>
      <c r="I8884" t="s">
        <v>4909</v>
      </c>
      <c r="J8884" t="s">
        <v>4909</v>
      </c>
      <c r="K8884" t="s">
        <v>4909</v>
      </c>
    </row>
    <row r="8885" spans="1:11" x14ac:dyDescent="0.2">
      <c r="A8885" t="s">
        <v>4339</v>
      </c>
      <c r="B8885" t="s">
        <v>4909</v>
      </c>
      <c r="C8885" t="s">
        <v>4909</v>
      </c>
      <c r="D8885" t="s">
        <v>4909</v>
      </c>
      <c r="E8885" t="s">
        <v>4909</v>
      </c>
      <c r="F8885" t="s">
        <v>4909</v>
      </c>
      <c r="G8885" t="s">
        <v>4909</v>
      </c>
      <c r="H8885" t="s">
        <v>4909</v>
      </c>
      <c r="I8885" t="s">
        <v>4909</v>
      </c>
      <c r="J8885" t="s">
        <v>4909</v>
      </c>
      <c r="K8885" t="s">
        <v>4909</v>
      </c>
    </row>
    <row r="8886" spans="1:11" x14ac:dyDescent="0.2">
      <c r="A8886" t="s">
        <v>4340</v>
      </c>
      <c r="B8886" t="s">
        <v>4909</v>
      </c>
      <c r="C8886" t="s">
        <v>4909</v>
      </c>
      <c r="D8886" t="s">
        <v>4909</v>
      </c>
      <c r="E8886" t="s">
        <v>4909</v>
      </c>
      <c r="F8886" t="s">
        <v>4909</v>
      </c>
      <c r="G8886" t="s">
        <v>4909</v>
      </c>
      <c r="H8886" t="s">
        <v>4909</v>
      </c>
      <c r="I8886" t="s">
        <v>4909</v>
      </c>
      <c r="J8886" t="s">
        <v>4909</v>
      </c>
      <c r="K8886" t="s">
        <v>4909</v>
      </c>
    </row>
    <row r="8887" spans="1:11" x14ac:dyDescent="0.2">
      <c r="A8887" t="s">
        <v>4341</v>
      </c>
      <c r="B8887" t="s">
        <v>4909</v>
      </c>
      <c r="C8887" t="s">
        <v>4909</v>
      </c>
      <c r="D8887" t="s">
        <v>4909</v>
      </c>
      <c r="E8887" t="s">
        <v>4909</v>
      </c>
      <c r="F8887" t="s">
        <v>4909</v>
      </c>
      <c r="G8887" t="s">
        <v>4909</v>
      </c>
      <c r="H8887" t="s">
        <v>4909</v>
      </c>
      <c r="I8887" t="s">
        <v>4909</v>
      </c>
      <c r="J8887" t="s">
        <v>4909</v>
      </c>
      <c r="K8887" t="s">
        <v>4909</v>
      </c>
    </row>
    <row r="8888" spans="1:11" x14ac:dyDescent="0.2">
      <c r="A8888" t="s">
        <v>4342</v>
      </c>
      <c r="B8888" t="s">
        <v>4909</v>
      </c>
      <c r="C8888" t="s">
        <v>4909</v>
      </c>
      <c r="D8888" t="s">
        <v>4909</v>
      </c>
      <c r="E8888" t="s">
        <v>4909</v>
      </c>
      <c r="F8888" t="s">
        <v>4909</v>
      </c>
      <c r="G8888" t="s">
        <v>4909</v>
      </c>
      <c r="H8888" t="s">
        <v>4909</v>
      </c>
      <c r="I8888" t="s">
        <v>4909</v>
      </c>
      <c r="J8888" t="s">
        <v>4909</v>
      </c>
      <c r="K8888" t="s">
        <v>4909</v>
      </c>
    </row>
    <row r="8889" spans="1:11" x14ac:dyDescent="0.2">
      <c r="A8889" t="s">
        <v>4343</v>
      </c>
      <c r="B8889" t="s">
        <v>4909</v>
      </c>
      <c r="C8889" t="s">
        <v>4909</v>
      </c>
      <c r="D8889" t="s">
        <v>4909</v>
      </c>
      <c r="E8889" t="s">
        <v>4909</v>
      </c>
      <c r="F8889" t="s">
        <v>4909</v>
      </c>
      <c r="G8889" t="s">
        <v>4909</v>
      </c>
      <c r="H8889" t="s">
        <v>4909</v>
      </c>
      <c r="I8889" t="s">
        <v>4909</v>
      </c>
      <c r="J8889" t="s">
        <v>4909</v>
      </c>
      <c r="K8889" t="s">
        <v>4909</v>
      </c>
    </row>
    <row r="8890" spans="1:11" x14ac:dyDescent="0.2">
      <c r="A8890" t="s">
        <v>1728</v>
      </c>
      <c r="B8890" t="s">
        <v>4909</v>
      </c>
      <c r="C8890" t="s">
        <v>4909</v>
      </c>
      <c r="D8890" t="s">
        <v>4909</v>
      </c>
      <c r="E8890" t="s">
        <v>4909</v>
      </c>
      <c r="F8890" t="s">
        <v>4909</v>
      </c>
      <c r="G8890" t="s">
        <v>4909</v>
      </c>
      <c r="H8890" t="s">
        <v>4909</v>
      </c>
      <c r="I8890" t="s">
        <v>4909</v>
      </c>
      <c r="J8890" t="s">
        <v>4909</v>
      </c>
      <c r="K8890" t="s">
        <v>4909</v>
      </c>
    </row>
    <row r="8891" spans="1:11" x14ac:dyDescent="0.2">
      <c r="A8891" t="s">
        <v>1730</v>
      </c>
      <c r="B8891" t="s">
        <v>4909</v>
      </c>
      <c r="C8891" t="s">
        <v>4909</v>
      </c>
      <c r="D8891" s="88">
        <v>1E-3</v>
      </c>
      <c r="E8891" t="s">
        <v>4909</v>
      </c>
      <c r="F8891" t="s">
        <v>4909</v>
      </c>
      <c r="G8891" t="s">
        <v>4909</v>
      </c>
      <c r="H8891" s="88">
        <v>3.0000000000000001E-3</v>
      </c>
      <c r="I8891" t="s">
        <v>4909</v>
      </c>
      <c r="J8891" t="s">
        <v>4909</v>
      </c>
      <c r="K8891" t="s">
        <v>4909</v>
      </c>
    </row>
    <row r="8892" spans="1:11" x14ac:dyDescent="0.2">
      <c r="A8892" t="s">
        <v>1733</v>
      </c>
      <c r="B8892" t="s">
        <v>4909</v>
      </c>
      <c r="C8892" t="s">
        <v>4909</v>
      </c>
      <c r="D8892" t="s">
        <v>4909</v>
      </c>
      <c r="E8892" t="s">
        <v>4909</v>
      </c>
      <c r="F8892" t="s">
        <v>4909</v>
      </c>
      <c r="G8892" t="s">
        <v>4909</v>
      </c>
      <c r="H8892" t="s">
        <v>4909</v>
      </c>
      <c r="I8892" t="s">
        <v>4909</v>
      </c>
      <c r="J8892" t="s">
        <v>4909</v>
      </c>
      <c r="K8892" t="s">
        <v>4909</v>
      </c>
    </row>
    <row r="8893" spans="1:11" x14ac:dyDescent="0.2">
      <c r="A8893" t="s">
        <v>1738</v>
      </c>
      <c r="B8893" t="s">
        <v>4909</v>
      </c>
      <c r="C8893" t="s">
        <v>4909</v>
      </c>
      <c r="D8893" t="s">
        <v>4909</v>
      </c>
      <c r="E8893" t="s">
        <v>4909</v>
      </c>
      <c r="F8893" t="s">
        <v>4909</v>
      </c>
      <c r="G8893" t="s">
        <v>4909</v>
      </c>
      <c r="H8893" t="s">
        <v>4909</v>
      </c>
      <c r="I8893" t="s">
        <v>4909</v>
      </c>
      <c r="J8893" t="s">
        <v>4909</v>
      </c>
      <c r="K8893" t="s">
        <v>4909</v>
      </c>
    </row>
    <row r="8894" spans="1:11" x14ac:dyDescent="0.2">
      <c r="A8894" t="s">
        <v>1744</v>
      </c>
      <c r="B8894" t="s">
        <v>4909</v>
      </c>
      <c r="C8894" t="s">
        <v>4909</v>
      </c>
      <c r="D8894" t="s">
        <v>4909</v>
      </c>
      <c r="E8894" t="s">
        <v>4909</v>
      </c>
      <c r="F8894" t="s">
        <v>4909</v>
      </c>
      <c r="G8894" t="s">
        <v>4909</v>
      </c>
      <c r="H8894" t="s">
        <v>4909</v>
      </c>
      <c r="I8894" t="s">
        <v>4909</v>
      </c>
      <c r="J8894" t="s">
        <v>4909</v>
      </c>
      <c r="K8894" t="s">
        <v>4909</v>
      </c>
    </row>
    <row r="8895" spans="1:11" x14ac:dyDescent="0.2">
      <c r="A8895" t="s">
        <v>1747</v>
      </c>
      <c r="B8895" t="s">
        <v>4909</v>
      </c>
      <c r="C8895" t="s">
        <v>4909</v>
      </c>
      <c r="D8895" t="s">
        <v>4909</v>
      </c>
      <c r="E8895" t="s">
        <v>4909</v>
      </c>
      <c r="F8895" t="s">
        <v>4909</v>
      </c>
      <c r="G8895" t="s">
        <v>4909</v>
      </c>
      <c r="H8895" t="s">
        <v>4909</v>
      </c>
      <c r="I8895" t="s">
        <v>4909</v>
      </c>
      <c r="J8895" t="s">
        <v>4909</v>
      </c>
      <c r="K8895" t="s">
        <v>4909</v>
      </c>
    </row>
    <row r="8896" spans="1:11" x14ac:dyDescent="0.2">
      <c r="A8896" t="s">
        <v>1751</v>
      </c>
      <c r="B8896" t="s">
        <v>4909</v>
      </c>
      <c r="C8896" t="s">
        <v>4909</v>
      </c>
      <c r="D8896" t="s">
        <v>4909</v>
      </c>
      <c r="E8896" t="s">
        <v>4909</v>
      </c>
      <c r="F8896" t="s">
        <v>4909</v>
      </c>
      <c r="G8896" t="s">
        <v>4909</v>
      </c>
      <c r="H8896" t="s">
        <v>4909</v>
      </c>
      <c r="I8896" t="s">
        <v>4909</v>
      </c>
      <c r="J8896" t="s">
        <v>4909</v>
      </c>
      <c r="K8896" t="s">
        <v>4909</v>
      </c>
    </row>
    <row r="8897" spans="1:11" x14ac:dyDescent="0.2">
      <c r="A8897" t="s">
        <v>1755</v>
      </c>
      <c r="B8897" t="s">
        <v>4909</v>
      </c>
      <c r="C8897" t="s">
        <v>4909</v>
      </c>
      <c r="D8897" t="s">
        <v>4909</v>
      </c>
      <c r="E8897" t="s">
        <v>4909</v>
      </c>
      <c r="F8897" t="s">
        <v>4909</v>
      </c>
      <c r="G8897" t="s">
        <v>4909</v>
      </c>
      <c r="H8897" t="s">
        <v>4909</v>
      </c>
      <c r="I8897" t="s">
        <v>4909</v>
      </c>
      <c r="J8897" t="s">
        <v>4909</v>
      </c>
      <c r="K8897" t="s">
        <v>4909</v>
      </c>
    </row>
    <row r="8898" spans="1:11" x14ac:dyDescent="0.2">
      <c r="A8898" t="s">
        <v>1757</v>
      </c>
      <c r="B8898" t="s">
        <v>4909</v>
      </c>
      <c r="C8898" t="s">
        <v>4909</v>
      </c>
      <c r="D8898" t="s">
        <v>4909</v>
      </c>
      <c r="E8898" t="s">
        <v>4909</v>
      </c>
      <c r="F8898" t="s">
        <v>4909</v>
      </c>
      <c r="G8898" t="s">
        <v>4909</v>
      </c>
      <c r="H8898" t="s">
        <v>4909</v>
      </c>
      <c r="I8898" t="s">
        <v>4909</v>
      </c>
      <c r="J8898" t="s">
        <v>4909</v>
      </c>
      <c r="K8898" t="s">
        <v>4909</v>
      </c>
    </row>
    <row r="8899" spans="1:11" x14ac:dyDescent="0.2">
      <c r="A8899" t="s">
        <v>1761</v>
      </c>
      <c r="B8899" t="s">
        <v>4909</v>
      </c>
      <c r="C8899" t="s">
        <v>4909</v>
      </c>
      <c r="D8899" t="s">
        <v>4909</v>
      </c>
      <c r="E8899" t="s">
        <v>4909</v>
      </c>
      <c r="F8899" t="s">
        <v>4909</v>
      </c>
      <c r="G8899" t="s">
        <v>4909</v>
      </c>
      <c r="H8899" t="s">
        <v>4909</v>
      </c>
      <c r="I8899" t="s">
        <v>4909</v>
      </c>
      <c r="J8899" t="s">
        <v>4909</v>
      </c>
      <c r="K8899" t="s">
        <v>4909</v>
      </c>
    </row>
    <row r="8900" spans="1:11" x14ac:dyDescent="0.2">
      <c r="A8900" t="s">
        <v>1764</v>
      </c>
      <c r="B8900" t="s">
        <v>4909</v>
      </c>
      <c r="C8900" t="s">
        <v>4909</v>
      </c>
      <c r="D8900" t="s">
        <v>4909</v>
      </c>
      <c r="E8900" t="s">
        <v>4909</v>
      </c>
      <c r="F8900" t="s">
        <v>4909</v>
      </c>
      <c r="G8900" t="s">
        <v>4909</v>
      </c>
      <c r="H8900" t="s">
        <v>4909</v>
      </c>
      <c r="I8900" t="s">
        <v>4909</v>
      </c>
      <c r="J8900" t="s">
        <v>4909</v>
      </c>
      <c r="K8900" t="s">
        <v>4909</v>
      </c>
    </row>
    <row r="8901" spans="1:11" x14ac:dyDescent="0.2">
      <c r="A8901" t="s">
        <v>1770</v>
      </c>
      <c r="B8901" t="s">
        <v>4909</v>
      </c>
      <c r="C8901" s="88">
        <v>0</v>
      </c>
      <c r="D8901" s="88">
        <v>0</v>
      </c>
      <c r="E8901" t="s">
        <v>4909</v>
      </c>
      <c r="F8901" t="s">
        <v>4909</v>
      </c>
      <c r="G8901" s="88">
        <v>0</v>
      </c>
      <c r="H8901" s="88">
        <v>1E-3</v>
      </c>
      <c r="I8901" t="s">
        <v>4909</v>
      </c>
      <c r="J8901" t="s">
        <v>4909</v>
      </c>
      <c r="K8901" t="s">
        <v>4909</v>
      </c>
    </row>
    <row r="8902" spans="1:11" x14ac:dyDescent="0.2">
      <c r="A8902" t="s">
        <v>1772</v>
      </c>
      <c r="B8902" t="s">
        <v>4909</v>
      </c>
      <c r="C8902" t="s">
        <v>4909</v>
      </c>
      <c r="D8902" t="s">
        <v>4909</v>
      </c>
      <c r="E8902" t="s">
        <v>4909</v>
      </c>
      <c r="F8902" t="s">
        <v>4909</v>
      </c>
      <c r="G8902" t="s">
        <v>4909</v>
      </c>
      <c r="H8902" t="s">
        <v>4909</v>
      </c>
      <c r="I8902" t="s">
        <v>4909</v>
      </c>
      <c r="J8902" t="s">
        <v>4909</v>
      </c>
      <c r="K8902" t="s">
        <v>4909</v>
      </c>
    </row>
    <row r="8903" spans="1:11" x14ac:dyDescent="0.2">
      <c r="A8903" t="s">
        <v>1774</v>
      </c>
      <c r="B8903" t="s">
        <v>4909</v>
      </c>
      <c r="C8903" t="s">
        <v>4909</v>
      </c>
      <c r="D8903" t="s">
        <v>4909</v>
      </c>
      <c r="E8903" t="s">
        <v>4909</v>
      </c>
      <c r="F8903" t="s">
        <v>4909</v>
      </c>
      <c r="G8903" t="s">
        <v>4909</v>
      </c>
      <c r="H8903" t="s">
        <v>4909</v>
      </c>
      <c r="I8903" t="s">
        <v>4909</v>
      </c>
      <c r="J8903" t="s">
        <v>4909</v>
      </c>
      <c r="K8903" t="s">
        <v>4909</v>
      </c>
    </row>
    <row r="8904" spans="1:11" x14ac:dyDescent="0.2">
      <c r="A8904" t="s">
        <v>1777</v>
      </c>
      <c r="B8904" t="s">
        <v>4909</v>
      </c>
      <c r="C8904" t="s">
        <v>4909</v>
      </c>
      <c r="D8904" t="s">
        <v>4909</v>
      </c>
      <c r="E8904" t="s">
        <v>4909</v>
      </c>
      <c r="F8904" t="s">
        <v>4909</v>
      </c>
      <c r="G8904" t="s">
        <v>4909</v>
      </c>
      <c r="H8904" t="s">
        <v>4909</v>
      </c>
      <c r="I8904" t="s">
        <v>4909</v>
      </c>
      <c r="J8904" t="s">
        <v>4909</v>
      </c>
      <c r="K8904" t="s">
        <v>4909</v>
      </c>
    </row>
    <row r="8905" spans="1:11" x14ac:dyDescent="0.2">
      <c r="A8905" t="s">
        <v>1782</v>
      </c>
      <c r="B8905" t="s">
        <v>4909</v>
      </c>
      <c r="C8905" t="s">
        <v>4909</v>
      </c>
      <c r="D8905" t="s">
        <v>4909</v>
      </c>
      <c r="E8905" t="s">
        <v>4909</v>
      </c>
      <c r="F8905" t="s">
        <v>4909</v>
      </c>
      <c r="G8905" t="s">
        <v>4909</v>
      </c>
      <c r="H8905" t="s">
        <v>4909</v>
      </c>
      <c r="I8905" t="s">
        <v>4909</v>
      </c>
      <c r="J8905" t="s">
        <v>4909</v>
      </c>
      <c r="K8905" t="s">
        <v>4909</v>
      </c>
    </row>
    <row r="8906" spans="1:11" x14ac:dyDescent="0.2">
      <c r="A8906" t="s">
        <v>1274</v>
      </c>
      <c r="B8906" t="s">
        <v>4909</v>
      </c>
      <c r="C8906" t="s">
        <v>4909</v>
      </c>
      <c r="D8906" t="s">
        <v>4909</v>
      </c>
      <c r="E8906" t="s">
        <v>4909</v>
      </c>
      <c r="F8906" t="s">
        <v>4909</v>
      </c>
      <c r="G8906" t="s">
        <v>4909</v>
      </c>
      <c r="H8906" t="s">
        <v>4909</v>
      </c>
      <c r="I8906" t="s">
        <v>4909</v>
      </c>
      <c r="J8906" t="s">
        <v>4909</v>
      </c>
      <c r="K8906" t="s">
        <v>4909</v>
      </c>
    </row>
    <row r="8907" spans="1:11" x14ac:dyDescent="0.2">
      <c r="A8907" t="s">
        <v>1277</v>
      </c>
      <c r="B8907" t="s">
        <v>4909</v>
      </c>
      <c r="C8907" t="s">
        <v>4909</v>
      </c>
      <c r="D8907" t="s">
        <v>4909</v>
      </c>
      <c r="E8907" t="s">
        <v>4909</v>
      </c>
      <c r="F8907" t="s">
        <v>4909</v>
      </c>
      <c r="G8907" t="s">
        <v>4909</v>
      </c>
      <c r="H8907" t="s">
        <v>4909</v>
      </c>
      <c r="I8907" t="s">
        <v>4909</v>
      </c>
      <c r="J8907" t="s">
        <v>4909</v>
      </c>
      <c r="K8907" t="s">
        <v>4909</v>
      </c>
    </row>
    <row r="8908" spans="1:11" x14ac:dyDescent="0.2">
      <c r="A8908" t="s">
        <v>1798</v>
      </c>
      <c r="B8908" t="s">
        <v>4909</v>
      </c>
      <c r="C8908" t="s">
        <v>4909</v>
      </c>
      <c r="D8908" t="s">
        <v>4909</v>
      </c>
      <c r="E8908" t="s">
        <v>4909</v>
      </c>
      <c r="F8908" t="s">
        <v>4909</v>
      </c>
      <c r="G8908" t="s">
        <v>4909</v>
      </c>
      <c r="H8908" t="s">
        <v>4909</v>
      </c>
      <c r="I8908" t="s">
        <v>4909</v>
      </c>
      <c r="J8908" t="s">
        <v>4909</v>
      </c>
      <c r="K8908" t="s">
        <v>4909</v>
      </c>
    </row>
    <row r="8909" spans="1:11" x14ac:dyDescent="0.2">
      <c r="A8909" t="s">
        <v>1803</v>
      </c>
      <c r="B8909" t="s">
        <v>4909</v>
      </c>
      <c r="C8909" t="s">
        <v>4909</v>
      </c>
      <c r="D8909" t="s">
        <v>4909</v>
      </c>
      <c r="E8909" t="s">
        <v>4909</v>
      </c>
      <c r="F8909" t="s">
        <v>4909</v>
      </c>
      <c r="G8909" t="s">
        <v>4909</v>
      </c>
      <c r="H8909" t="s">
        <v>4909</v>
      </c>
      <c r="I8909" t="s">
        <v>4909</v>
      </c>
      <c r="J8909" t="s">
        <v>4909</v>
      </c>
      <c r="K8909" t="s">
        <v>4909</v>
      </c>
    </row>
    <row r="8910" spans="1:11" x14ac:dyDescent="0.2">
      <c r="A8910" t="s">
        <v>1808</v>
      </c>
      <c r="B8910" t="s">
        <v>4909</v>
      </c>
      <c r="C8910" t="s">
        <v>4909</v>
      </c>
      <c r="D8910" t="s">
        <v>4909</v>
      </c>
      <c r="E8910" t="s">
        <v>4909</v>
      </c>
      <c r="F8910" t="s">
        <v>4909</v>
      </c>
      <c r="G8910" t="s">
        <v>4909</v>
      </c>
      <c r="H8910" t="s">
        <v>4909</v>
      </c>
      <c r="I8910" t="s">
        <v>4909</v>
      </c>
      <c r="J8910" t="s">
        <v>4909</v>
      </c>
      <c r="K8910" t="s">
        <v>4909</v>
      </c>
    </row>
    <row r="8911" spans="1:11" x14ac:dyDescent="0.2">
      <c r="A8911" t="s">
        <v>1813</v>
      </c>
      <c r="B8911" t="s">
        <v>4909</v>
      </c>
      <c r="C8911" t="s">
        <v>4909</v>
      </c>
      <c r="D8911" t="s">
        <v>4909</v>
      </c>
      <c r="E8911" t="s">
        <v>4909</v>
      </c>
      <c r="F8911" t="s">
        <v>4909</v>
      </c>
      <c r="G8911" t="s">
        <v>4909</v>
      </c>
      <c r="H8911" t="s">
        <v>4909</v>
      </c>
      <c r="I8911" t="s">
        <v>4909</v>
      </c>
      <c r="J8911" t="s">
        <v>4909</v>
      </c>
      <c r="K8911" t="s">
        <v>4909</v>
      </c>
    </row>
    <row r="8912" spans="1:11" x14ac:dyDescent="0.2">
      <c r="A8912" t="s">
        <v>1819</v>
      </c>
      <c r="B8912" t="s">
        <v>4909</v>
      </c>
      <c r="C8912" t="s">
        <v>4909</v>
      </c>
      <c r="D8912" t="s">
        <v>4909</v>
      </c>
      <c r="E8912" t="s">
        <v>4909</v>
      </c>
      <c r="F8912" t="s">
        <v>4909</v>
      </c>
      <c r="G8912" t="s">
        <v>4909</v>
      </c>
      <c r="H8912" t="s">
        <v>4909</v>
      </c>
      <c r="I8912" t="s">
        <v>4909</v>
      </c>
      <c r="J8912" t="s">
        <v>4909</v>
      </c>
      <c r="K8912" t="s">
        <v>4909</v>
      </c>
    </row>
    <row r="8913" spans="1:11" x14ac:dyDescent="0.2">
      <c r="A8913" t="s">
        <v>1826</v>
      </c>
      <c r="B8913" t="s">
        <v>4909</v>
      </c>
      <c r="C8913" t="s">
        <v>4909</v>
      </c>
      <c r="D8913" t="s">
        <v>4909</v>
      </c>
      <c r="E8913" t="s">
        <v>4909</v>
      </c>
      <c r="F8913" t="s">
        <v>4909</v>
      </c>
      <c r="G8913" t="s">
        <v>4909</v>
      </c>
      <c r="H8913" t="s">
        <v>4909</v>
      </c>
      <c r="I8913" t="s">
        <v>4909</v>
      </c>
      <c r="J8913" t="s">
        <v>4909</v>
      </c>
      <c r="K8913" t="s">
        <v>4909</v>
      </c>
    </row>
    <row r="8914" spans="1:11" x14ac:dyDescent="0.2">
      <c r="A8914" t="s">
        <v>1830</v>
      </c>
      <c r="B8914" t="s">
        <v>4909</v>
      </c>
      <c r="C8914" t="s">
        <v>4909</v>
      </c>
      <c r="D8914" t="s">
        <v>4909</v>
      </c>
      <c r="E8914" t="s">
        <v>4909</v>
      </c>
      <c r="F8914" t="s">
        <v>4909</v>
      </c>
      <c r="G8914" t="s">
        <v>4909</v>
      </c>
      <c r="H8914" t="s">
        <v>4909</v>
      </c>
      <c r="I8914" t="s">
        <v>4909</v>
      </c>
      <c r="J8914" t="s">
        <v>4909</v>
      </c>
      <c r="K8914" t="s">
        <v>4909</v>
      </c>
    </row>
    <row r="8915" spans="1:11" x14ac:dyDescent="0.2">
      <c r="A8915" t="s">
        <v>1836</v>
      </c>
      <c r="B8915" t="s">
        <v>4909</v>
      </c>
      <c r="C8915" t="s">
        <v>4909</v>
      </c>
      <c r="D8915" t="s">
        <v>4909</v>
      </c>
      <c r="E8915" t="s">
        <v>4909</v>
      </c>
      <c r="F8915" t="s">
        <v>4909</v>
      </c>
      <c r="G8915" t="s">
        <v>4909</v>
      </c>
      <c r="H8915" t="s">
        <v>4909</v>
      </c>
      <c r="I8915" t="s">
        <v>4909</v>
      </c>
      <c r="J8915" t="s">
        <v>4909</v>
      </c>
      <c r="K8915" t="s">
        <v>4909</v>
      </c>
    </row>
    <row r="8916" spans="1:11" x14ac:dyDescent="0.2">
      <c r="A8916" t="s">
        <v>1841</v>
      </c>
      <c r="B8916" t="s">
        <v>4909</v>
      </c>
      <c r="C8916" t="s">
        <v>4909</v>
      </c>
      <c r="D8916" t="s">
        <v>4909</v>
      </c>
      <c r="E8916" t="s">
        <v>4909</v>
      </c>
      <c r="F8916" t="s">
        <v>4909</v>
      </c>
      <c r="G8916" t="s">
        <v>4909</v>
      </c>
      <c r="H8916" t="s">
        <v>4909</v>
      </c>
      <c r="I8916" t="s">
        <v>4909</v>
      </c>
      <c r="J8916" t="s">
        <v>4909</v>
      </c>
      <c r="K8916" t="s">
        <v>4909</v>
      </c>
    </row>
    <row r="8917" spans="1:11" x14ac:dyDescent="0.2">
      <c r="A8917" t="s">
        <v>1842</v>
      </c>
      <c r="B8917" t="s">
        <v>4909</v>
      </c>
      <c r="C8917" t="s">
        <v>4909</v>
      </c>
      <c r="D8917" t="s">
        <v>4909</v>
      </c>
      <c r="E8917" t="s">
        <v>4909</v>
      </c>
      <c r="F8917" t="s">
        <v>4909</v>
      </c>
      <c r="G8917" t="s">
        <v>4909</v>
      </c>
      <c r="H8917" t="s">
        <v>4909</v>
      </c>
      <c r="I8917" t="s">
        <v>4909</v>
      </c>
      <c r="J8917" t="s">
        <v>4909</v>
      </c>
      <c r="K8917" t="s">
        <v>4909</v>
      </c>
    </row>
    <row r="8918" spans="1:11" x14ac:dyDescent="0.2">
      <c r="A8918" t="s">
        <v>1843</v>
      </c>
      <c r="B8918" t="s">
        <v>4909</v>
      </c>
      <c r="C8918" t="s">
        <v>4909</v>
      </c>
      <c r="D8918" t="s">
        <v>4909</v>
      </c>
      <c r="E8918" t="s">
        <v>4909</v>
      </c>
      <c r="F8918" t="s">
        <v>4909</v>
      </c>
      <c r="G8918" t="s">
        <v>4909</v>
      </c>
      <c r="H8918" t="s">
        <v>4909</v>
      </c>
      <c r="I8918" t="s">
        <v>4909</v>
      </c>
      <c r="J8918" t="s">
        <v>4909</v>
      </c>
      <c r="K8918" t="s">
        <v>4909</v>
      </c>
    </row>
    <row r="8919" spans="1:11" x14ac:dyDescent="0.2">
      <c r="A8919" t="s">
        <v>1846</v>
      </c>
      <c r="B8919" t="s">
        <v>4909</v>
      </c>
      <c r="C8919" t="s">
        <v>4909</v>
      </c>
      <c r="D8919" t="s">
        <v>4909</v>
      </c>
      <c r="E8919" t="s">
        <v>4909</v>
      </c>
      <c r="F8919" t="s">
        <v>4909</v>
      </c>
      <c r="G8919" t="s">
        <v>4909</v>
      </c>
      <c r="H8919" t="s">
        <v>4909</v>
      </c>
      <c r="I8919" t="s">
        <v>4909</v>
      </c>
      <c r="J8919" t="s">
        <v>4909</v>
      </c>
      <c r="K8919" t="s">
        <v>4909</v>
      </c>
    </row>
    <row r="8920" spans="1:11" x14ac:dyDescent="0.2">
      <c r="A8920" t="s">
        <v>1851</v>
      </c>
      <c r="B8920" t="s">
        <v>4909</v>
      </c>
      <c r="C8920" t="s">
        <v>4909</v>
      </c>
      <c r="D8920" t="s">
        <v>4909</v>
      </c>
      <c r="E8920" t="s">
        <v>4909</v>
      </c>
      <c r="F8920" t="s">
        <v>4909</v>
      </c>
      <c r="G8920" t="s">
        <v>4909</v>
      </c>
      <c r="H8920" t="s">
        <v>4909</v>
      </c>
      <c r="I8920" t="s">
        <v>4909</v>
      </c>
      <c r="J8920" t="s">
        <v>4909</v>
      </c>
      <c r="K8920" t="s">
        <v>4909</v>
      </c>
    </row>
    <row r="8921" spans="1:11" x14ac:dyDescent="0.2">
      <c r="A8921" t="s">
        <v>1857</v>
      </c>
      <c r="B8921" t="s">
        <v>4909</v>
      </c>
      <c r="C8921" t="s">
        <v>4909</v>
      </c>
      <c r="D8921" t="s">
        <v>4909</v>
      </c>
      <c r="E8921" t="s">
        <v>4909</v>
      </c>
      <c r="F8921" t="s">
        <v>4909</v>
      </c>
      <c r="G8921" t="s">
        <v>4909</v>
      </c>
      <c r="H8921" t="s">
        <v>4909</v>
      </c>
      <c r="I8921" t="s">
        <v>4909</v>
      </c>
      <c r="J8921" t="s">
        <v>4909</v>
      </c>
      <c r="K8921" t="s">
        <v>4909</v>
      </c>
    </row>
    <row r="8922" spans="1:11" x14ac:dyDescent="0.2">
      <c r="A8922" t="s">
        <v>1862</v>
      </c>
      <c r="B8922" t="s">
        <v>4909</v>
      </c>
      <c r="C8922" t="s">
        <v>4909</v>
      </c>
      <c r="D8922" t="s">
        <v>4909</v>
      </c>
      <c r="E8922" t="s">
        <v>4909</v>
      </c>
      <c r="F8922" t="s">
        <v>4909</v>
      </c>
      <c r="G8922" t="s">
        <v>4909</v>
      </c>
      <c r="H8922" t="s">
        <v>4909</v>
      </c>
      <c r="I8922" t="s">
        <v>4909</v>
      </c>
      <c r="J8922" t="s">
        <v>4909</v>
      </c>
      <c r="K8922" t="s">
        <v>4909</v>
      </c>
    </row>
    <row r="8923" spans="1:11" x14ac:dyDescent="0.2">
      <c r="A8923" t="s">
        <v>1867</v>
      </c>
      <c r="B8923" t="s">
        <v>4909</v>
      </c>
      <c r="C8923" t="s">
        <v>4909</v>
      </c>
      <c r="D8923" t="s">
        <v>4909</v>
      </c>
      <c r="E8923" t="s">
        <v>4909</v>
      </c>
      <c r="F8923" t="s">
        <v>4909</v>
      </c>
      <c r="G8923" t="s">
        <v>4909</v>
      </c>
      <c r="H8923" t="s">
        <v>4909</v>
      </c>
      <c r="I8923" t="s">
        <v>4909</v>
      </c>
      <c r="J8923" t="s">
        <v>4909</v>
      </c>
      <c r="K8923" t="s">
        <v>4909</v>
      </c>
    </row>
    <row r="8924" spans="1:11" x14ac:dyDescent="0.2">
      <c r="A8924" t="s">
        <v>1870</v>
      </c>
      <c r="B8924" t="s">
        <v>4909</v>
      </c>
      <c r="C8924" t="s">
        <v>4909</v>
      </c>
      <c r="D8924" t="s">
        <v>4909</v>
      </c>
      <c r="E8924" t="s">
        <v>4909</v>
      </c>
      <c r="F8924" t="s">
        <v>4909</v>
      </c>
      <c r="G8924" t="s">
        <v>4909</v>
      </c>
      <c r="H8924" t="s">
        <v>4909</v>
      </c>
      <c r="I8924" t="s">
        <v>4909</v>
      </c>
      <c r="J8924" t="s">
        <v>4909</v>
      </c>
      <c r="K8924" t="s">
        <v>4909</v>
      </c>
    </row>
    <row r="8925" spans="1:11" x14ac:dyDescent="0.2">
      <c r="A8925" t="s">
        <v>1874</v>
      </c>
      <c r="B8925" t="s">
        <v>4909</v>
      </c>
      <c r="C8925" t="s">
        <v>4909</v>
      </c>
      <c r="D8925" t="s">
        <v>4909</v>
      </c>
      <c r="E8925" t="s">
        <v>4909</v>
      </c>
      <c r="F8925" t="s">
        <v>4909</v>
      </c>
      <c r="G8925" t="s">
        <v>4909</v>
      </c>
      <c r="H8925" t="s">
        <v>4909</v>
      </c>
      <c r="I8925" t="s">
        <v>4909</v>
      </c>
      <c r="J8925" t="s">
        <v>4909</v>
      </c>
      <c r="K8925" t="s">
        <v>4909</v>
      </c>
    </row>
    <row r="8926" spans="1:11" x14ac:dyDescent="0.2">
      <c r="A8926" t="s">
        <v>1876</v>
      </c>
      <c r="B8926" t="s">
        <v>4909</v>
      </c>
      <c r="C8926" t="s">
        <v>4909</v>
      </c>
      <c r="D8926" t="s">
        <v>4909</v>
      </c>
      <c r="E8926" t="s">
        <v>4909</v>
      </c>
      <c r="F8926" t="s">
        <v>4909</v>
      </c>
      <c r="G8926" t="s">
        <v>4909</v>
      </c>
      <c r="H8926" t="s">
        <v>4909</v>
      </c>
      <c r="I8926" t="s">
        <v>4909</v>
      </c>
      <c r="J8926" t="s">
        <v>4909</v>
      </c>
      <c r="K8926" t="s">
        <v>4909</v>
      </c>
    </row>
    <row r="8927" spans="1:11" x14ac:dyDescent="0.2">
      <c r="A8927" t="s">
        <v>1881</v>
      </c>
      <c r="B8927" t="s">
        <v>4909</v>
      </c>
      <c r="C8927" t="s">
        <v>4909</v>
      </c>
      <c r="D8927" t="s">
        <v>4909</v>
      </c>
      <c r="E8927" t="s">
        <v>4909</v>
      </c>
      <c r="F8927" t="s">
        <v>4909</v>
      </c>
      <c r="G8927" t="s">
        <v>4909</v>
      </c>
      <c r="H8927" t="s">
        <v>4909</v>
      </c>
      <c r="I8927" t="s">
        <v>4909</v>
      </c>
      <c r="J8927" t="s">
        <v>4909</v>
      </c>
      <c r="K8927" t="s">
        <v>4909</v>
      </c>
    </row>
    <row r="8928" spans="1:11" x14ac:dyDescent="0.2">
      <c r="A8928" t="s">
        <v>1885</v>
      </c>
      <c r="B8928" t="s">
        <v>4909</v>
      </c>
      <c r="C8928" t="s">
        <v>4909</v>
      </c>
      <c r="D8928" t="s">
        <v>4909</v>
      </c>
      <c r="E8928" t="s">
        <v>4909</v>
      </c>
      <c r="F8928" t="s">
        <v>4909</v>
      </c>
      <c r="G8928" t="s">
        <v>4909</v>
      </c>
      <c r="H8928" t="s">
        <v>4909</v>
      </c>
      <c r="I8928" t="s">
        <v>4909</v>
      </c>
      <c r="J8928" t="s">
        <v>4909</v>
      </c>
      <c r="K8928" t="s">
        <v>4909</v>
      </c>
    </row>
    <row r="8929" spans="1:11" x14ac:dyDescent="0.2">
      <c r="A8929" t="s">
        <v>1887</v>
      </c>
      <c r="B8929" t="s">
        <v>4909</v>
      </c>
      <c r="C8929" t="s">
        <v>4909</v>
      </c>
      <c r="D8929" t="s">
        <v>4909</v>
      </c>
      <c r="E8929" t="s">
        <v>4909</v>
      </c>
      <c r="F8929" t="s">
        <v>4909</v>
      </c>
      <c r="G8929" t="s">
        <v>4909</v>
      </c>
      <c r="H8929" t="s">
        <v>4909</v>
      </c>
      <c r="I8929" t="s">
        <v>4909</v>
      </c>
      <c r="J8929" t="s">
        <v>4909</v>
      </c>
      <c r="K8929" t="s">
        <v>4909</v>
      </c>
    </row>
    <row r="8930" spans="1:11" x14ac:dyDescent="0.2">
      <c r="A8930" t="s">
        <v>1893</v>
      </c>
      <c r="B8930" t="s">
        <v>4909</v>
      </c>
      <c r="C8930" t="s">
        <v>4909</v>
      </c>
      <c r="D8930" s="88">
        <v>0</v>
      </c>
      <c r="E8930" t="s">
        <v>4909</v>
      </c>
      <c r="F8930" t="s">
        <v>4909</v>
      </c>
      <c r="G8930" t="s">
        <v>4909</v>
      </c>
      <c r="H8930" s="88">
        <v>0</v>
      </c>
      <c r="I8930" t="s">
        <v>4909</v>
      </c>
      <c r="J8930" t="s">
        <v>4909</v>
      </c>
      <c r="K8930" t="s">
        <v>4909</v>
      </c>
    </row>
    <row r="8931" spans="1:11" x14ac:dyDescent="0.2">
      <c r="A8931" t="s">
        <v>1899</v>
      </c>
      <c r="B8931" t="s">
        <v>4909</v>
      </c>
      <c r="C8931" t="s">
        <v>4909</v>
      </c>
      <c r="D8931" t="s">
        <v>4909</v>
      </c>
      <c r="E8931" t="s">
        <v>4909</v>
      </c>
      <c r="F8931" t="s">
        <v>4909</v>
      </c>
      <c r="G8931" t="s">
        <v>4909</v>
      </c>
      <c r="H8931" t="s">
        <v>4909</v>
      </c>
      <c r="I8931" t="s">
        <v>4909</v>
      </c>
      <c r="J8931" t="s">
        <v>4909</v>
      </c>
      <c r="K8931" t="s">
        <v>4909</v>
      </c>
    </row>
    <row r="8932" spans="1:11" x14ac:dyDescent="0.2">
      <c r="A8932" t="s">
        <v>1906</v>
      </c>
      <c r="B8932" t="s">
        <v>4909</v>
      </c>
      <c r="C8932" t="s">
        <v>4909</v>
      </c>
      <c r="D8932" t="s">
        <v>4909</v>
      </c>
      <c r="E8932" t="s">
        <v>4909</v>
      </c>
      <c r="F8932" t="s">
        <v>4909</v>
      </c>
      <c r="G8932" t="s">
        <v>4909</v>
      </c>
      <c r="H8932" t="s">
        <v>4909</v>
      </c>
      <c r="I8932" t="s">
        <v>4909</v>
      </c>
      <c r="J8932" t="s">
        <v>4909</v>
      </c>
      <c r="K8932" t="s">
        <v>4909</v>
      </c>
    </row>
    <row r="8933" spans="1:11" x14ac:dyDescent="0.2">
      <c r="A8933" t="s">
        <v>1911</v>
      </c>
      <c r="B8933" t="s">
        <v>4909</v>
      </c>
      <c r="C8933" t="s">
        <v>4909</v>
      </c>
      <c r="D8933" t="s">
        <v>4909</v>
      </c>
      <c r="E8933" t="s">
        <v>4909</v>
      </c>
      <c r="F8933" t="s">
        <v>4909</v>
      </c>
      <c r="G8933" t="s">
        <v>4909</v>
      </c>
      <c r="H8933" t="s">
        <v>4909</v>
      </c>
      <c r="I8933" t="s">
        <v>4909</v>
      </c>
      <c r="J8933" t="s">
        <v>4909</v>
      </c>
      <c r="K8933" t="s">
        <v>4909</v>
      </c>
    </row>
    <row r="8934" spans="1:11" x14ac:dyDescent="0.2">
      <c r="A8934" t="s">
        <v>1917</v>
      </c>
      <c r="B8934" t="s">
        <v>4909</v>
      </c>
      <c r="C8934" t="s">
        <v>4909</v>
      </c>
      <c r="D8934" t="s">
        <v>4909</v>
      </c>
      <c r="E8934" t="s">
        <v>4909</v>
      </c>
      <c r="F8934" t="s">
        <v>4909</v>
      </c>
      <c r="G8934" t="s">
        <v>4909</v>
      </c>
      <c r="H8934" t="s">
        <v>4909</v>
      </c>
      <c r="I8934" t="s">
        <v>4909</v>
      </c>
      <c r="J8934" t="s">
        <v>4909</v>
      </c>
      <c r="K8934" t="s">
        <v>4909</v>
      </c>
    </row>
    <row r="8935" spans="1:11" x14ac:dyDescent="0.2">
      <c r="A8935" t="s">
        <v>1922</v>
      </c>
      <c r="B8935" t="s">
        <v>4909</v>
      </c>
      <c r="C8935" t="s">
        <v>4909</v>
      </c>
      <c r="D8935" t="s">
        <v>4909</v>
      </c>
      <c r="E8935" t="s">
        <v>4909</v>
      </c>
      <c r="F8935" t="s">
        <v>4909</v>
      </c>
      <c r="G8935" t="s">
        <v>4909</v>
      </c>
      <c r="H8935" t="s">
        <v>4909</v>
      </c>
      <c r="I8935" t="s">
        <v>4909</v>
      </c>
      <c r="J8935" t="s">
        <v>4909</v>
      </c>
      <c r="K8935" t="s">
        <v>4909</v>
      </c>
    </row>
    <row r="8936" spans="1:11" x14ac:dyDescent="0.2">
      <c r="A8936" t="s">
        <v>1928</v>
      </c>
      <c r="B8936" t="s">
        <v>4909</v>
      </c>
      <c r="C8936" t="s">
        <v>4909</v>
      </c>
      <c r="D8936" t="s">
        <v>4909</v>
      </c>
      <c r="E8936" t="s">
        <v>4909</v>
      </c>
      <c r="F8936" t="s">
        <v>4909</v>
      </c>
      <c r="G8936" t="s">
        <v>4909</v>
      </c>
      <c r="H8936" t="s">
        <v>4909</v>
      </c>
      <c r="I8936" t="s">
        <v>4909</v>
      </c>
      <c r="J8936" t="s">
        <v>4909</v>
      </c>
      <c r="K8936" t="s">
        <v>4909</v>
      </c>
    </row>
    <row r="8937" spans="1:11" x14ac:dyDescent="0.2">
      <c r="A8937" t="s">
        <v>1932</v>
      </c>
      <c r="B8937" t="s">
        <v>4909</v>
      </c>
      <c r="C8937" t="s">
        <v>4909</v>
      </c>
      <c r="D8937" t="s">
        <v>4909</v>
      </c>
      <c r="E8937" t="s">
        <v>4909</v>
      </c>
      <c r="F8937" t="s">
        <v>4909</v>
      </c>
      <c r="G8937" t="s">
        <v>4909</v>
      </c>
      <c r="H8937" t="s">
        <v>4909</v>
      </c>
      <c r="I8937" t="s">
        <v>4909</v>
      </c>
      <c r="J8937" t="s">
        <v>4909</v>
      </c>
      <c r="K8937" t="s">
        <v>4909</v>
      </c>
    </row>
    <row r="8938" spans="1:11" x14ac:dyDescent="0.2">
      <c r="A8938" t="s">
        <v>1938</v>
      </c>
      <c r="B8938" t="s">
        <v>4909</v>
      </c>
      <c r="C8938" t="s">
        <v>4909</v>
      </c>
      <c r="D8938" t="s">
        <v>4909</v>
      </c>
      <c r="E8938" t="s">
        <v>4909</v>
      </c>
      <c r="F8938" t="s">
        <v>4909</v>
      </c>
      <c r="G8938" t="s">
        <v>4909</v>
      </c>
      <c r="H8938" t="s">
        <v>4909</v>
      </c>
      <c r="I8938" t="s">
        <v>4909</v>
      </c>
      <c r="J8938" t="s">
        <v>4909</v>
      </c>
      <c r="K8938" t="s">
        <v>4909</v>
      </c>
    </row>
    <row r="8939" spans="1:11" x14ac:dyDescent="0.2">
      <c r="A8939" t="s">
        <v>1944</v>
      </c>
      <c r="B8939" t="s">
        <v>4909</v>
      </c>
      <c r="C8939" t="s">
        <v>4909</v>
      </c>
      <c r="D8939" t="s">
        <v>4909</v>
      </c>
      <c r="E8939" t="s">
        <v>4909</v>
      </c>
      <c r="F8939" t="s">
        <v>4909</v>
      </c>
      <c r="G8939" t="s">
        <v>4909</v>
      </c>
      <c r="H8939" t="s">
        <v>4909</v>
      </c>
      <c r="I8939" t="s">
        <v>4909</v>
      </c>
      <c r="J8939" t="s">
        <v>4909</v>
      </c>
      <c r="K8939" t="s">
        <v>4909</v>
      </c>
    </row>
    <row r="8940" spans="1:11" x14ac:dyDescent="0.2">
      <c r="A8940" t="s">
        <v>1947</v>
      </c>
      <c r="B8940" t="s">
        <v>4909</v>
      </c>
      <c r="C8940" t="s">
        <v>4909</v>
      </c>
      <c r="D8940" t="s">
        <v>4909</v>
      </c>
      <c r="E8940" t="s">
        <v>4909</v>
      </c>
      <c r="F8940" t="s">
        <v>4909</v>
      </c>
      <c r="G8940" t="s">
        <v>4909</v>
      </c>
      <c r="H8940" t="s">
        <v>4909</v>
      </c>
      <c r="I8940" t="s">
        <v>4909</v>
      </c>
      <c r="J8940" t="s">
        <v>4909</v>
      </c>
      <c r="K8940" t="s">
        <v>4909</v>
      </c>
    </row>
    <row r="8941" spans="1:11" x14ac:dyDescent="0.2">
      <c r="A8941" t="s">
        <v>1953</v>
      </c>
      <c r="B8941" t="s">
        <v>4909</v>
      </c>
      <c r="C8941" t="s">
        <v>4909</v>
      </c>
      <c r="D8941" t="s">
        <v>4909</v>
      </c>
      <c r="E8941" t="s">
        <v>4909</v>
      </c>
      <c r="F8941" t="s">
        <v>4909</v>
      </c>
      <c r="G8941" t="s">
        <v>4909</v>
      </c>
      <c r="H8941" t="s">
        <v>4909</v>
      </c>
      <c r="I8941" t="s">
        <v>4909</v>
      </c>
      <c r="J8941" t="s">
        <v>4909</v>
      </c>
      <c r="K8941" t="s">
        <v>4909</v>
      </c>
    </row>
    <row r="8942" spans="1:11" x14ac:dyDescent="0.2">
      <c r="A8942" t="s">
        <v>1958</v>
      </c>
      <c r="B8942" t="s">
        <v>4909</v>
      </c>
      <c r="C8942" t="s">
        <v>4909</v>
      </c>
      <c r="D8942" t="s">
        <v>4909</v>
      </c>
      <c r="E8942" t="s">
        <v>4909</v>
      </c>
      <c r="F8942" t="s">
        <v>4909</v>
      </c>
      <c r="G8942" t="s">
        <v>4909</v>
      </c>
      <c r="H8942" t="s">
        <v>4909</v>
      </c>
      <c r="I8942" t="s">
        <v>4909</v>
      </c>
      <c r="J8942" t="s">
        <v>4909</v>
      </c>
      <c r="K8942" t="s">
        <v>4909</v>
      </c>
    </row>
    <row r="8943" spans="1:11" x14ac:dyDescent="0.2">
      <c r="A8943" t="s">
        <v>1964</v>
      </c>
      <c r="B8943" t="s">
        <v>4909</v>
      </c>
      <c r="C8943" t="s">
        <v>4909</v>
      </c>
      <c r="D8943" t="s">
        <v>4909</v>
      </c>
      <c r="E8943" t="s">
        <v>4909</v>
      </c>
      <c r="F8943" t="s">
        <v>4909</v>
      </c>
      <c r="G8943" t="s">
        <v>4909</v>
      </c>
      <c r="H8943" t="s">
        <v>4909</v>
      </c>
      <c r="I8943" t="s">
        <v>4909</v>
      </c>
      <c r="J8943" t="s">
        <v>4909</v>
      </c>
      <c r="K8943" t="s">
        <v>4909</v>
      </c>
    </row>
    <row r="8944" spans="1:11" x14ac:dyDescent="0.2">
      <c r="A8944" t="s">
        <v>1973</v>
      </c>
      <c r="B8944" t="s">
        <v>4909</v>
      </c>
      <c r="C8944" t="s">
        <v>4909</v>
      </c>
      <c r="D8944" t="s">
        <v>4909</v>
      </c>
      <c r="E8944" t="s">
        <v>4909</v>
      </c>
      <c r="F8944" t="s">
        <v>4909</v>
      </c>
      <c r="G8944" t="s">
        <v>4909</v>
      </c>
      <c r="H8944" t="s">
        <v>4909</v>
      </c>
      <c r="I8944" t="s">
        <v>4909</v>
      </c>
      <c r="J8944" t="s">
        <v>4909</v>
      </c>
      <c r="K8944" t="s">
        <v>4909</v>
      </c>
    </row>
    <row r="8945" spans="1:11" x14ac:dyDescent="0.2">
      <c r="A8945" t="s">
        <v>1978</v>
      </c>
      <c r="B8945" t="s">
        <v>4909</v>
      </c>
      <c r="C8945" t="s">
        <v>4909</v>
      </c>
      <c r="D8945" t="s">
        <v>4909</v>
      </c>
      <c r="E8945" t="s">
        <v>4909</v>
      </c>
      <c r="F8945" t="s">
        <v>4909</v>
      </c>
      <c r="G8945" t="s">
        <v>4909</v>
      </c>
      <c r="H8945" t="s">
        <v>4909</v>
      </c>
      <c r="I8945" t="s">
        <v>4909</v>
      </c>
      <c r="J8945" t="s">
        <v>4909</v>
      </c>
      <c r="K8945" t="s">
        <v>4909</v>
      </c>
    </row>
    <row r="8946" spans="1:11" x14ac:dyDescent="0.2">
      <c r="A8946" t="s">
        <v>1983</v>
      </c>
      <c r="B8946" t="s">
        <v>4909</v>
      </c>
      <c r="C8946" t="s">
        <v>4909</v>
      </c>
      <c r="D8946" t="s">
        <v>4909</v>
      </c>
      <c r="E8946" t="s">
        <v>4909</v>
      </c>
      <c r="F8946" t="s">
        <v>4909</v>
      </c>
      <c r="G8946" t="s">
        <v>4909</v>
      </c>
      <c r="H8946" t="s">
        <v>4909</v>
      </c>
      <c r="I8946" t="s">
        <v>4909</v>
      </c>
      <c r="J8946" t="s">
        <v>4909</v>
      </c>
      <c r="K8946" t="s">
        <v>4909</v>
      </c>
    </row>
    <row r="8947" spans="1:11" x14ac:dyDescent="0.2">
      <c r="A8947" t="s">
        <v>1984</v>
      </c>
      <c r="B8947" t="s">
        <v>4909</v>
      </c>
      <c r="C8947" t="s">
        <v>4909</v>
      </c>
      <c r="D8947" t="s">
        <v>4909</v>
      </c>
      <c r="E8947" t="s">
        <v>4909</v>
      </c>
      <c r="F8947" t="s">
        <v>4909</v>
      </c>
      <c r="G8947" t="s">
        <v>4909</v>
      </c>
      <c r="H8947" t="s">
        <v>4909</v>
      </c>
      <c r="I8947" t="s">
        <v>4909</v>
      </c>
      <c r="J8947" t="s">
        <v>4909</v>
      </c>
      <c r="K8947" t="s">
        <v>4909</v>
      </c>
    </row>
    <row r="8948" spans="1:11" x14ac:dyDescent="0.2">
      <c r="A8948" t="s">
        <v>1990</v>
      </c>
      <c r="B8948" t="s">
        <v>4909</v>
      </c>
      <c r="C8948" t="s">
        <v>4909</v>
      </c>
      <c r="D8948" t="s">
        <v>4909</v>
      </c>
      <c r="E8948" t="s">
        <v>4909</v>
      </c>
      <c r="F8948" t="s">
        <v>4909</v>
      </c>
      <c r="G8948" t="s">
        <v>4909</v>
      </c>
      <c r="H8948" t="s">
        <v>4909</v>
      </c>
      <c r="I8948" t="s">
        <v>4909</v>
      </c>
      <c r="J8948" t="s">
        <v>4909</v>
      </c>
      <c r="K8948" t="s">
        <v>4909</v>
      </c>
    </row>
    <row r="8949" spans="1:11" x14ac:dyDescent="0.2">
      <c r="A8949" t="s">
        <v>1996</v>
      </c>
      <c r="B8949" t="s">
        <v>4909</v>
      </c>
      <c r="C8949" t="s">
        <v>4909</v>
      </c>
      <c r="D8949" t="s">
        <v>4909</v>
      </c>
      <c r="E8949" t="s">
        <v>4909</v>
      </c>
      <c r="F8949" t="s">
        <v>4909</v>
      </c>
      <c r="G8949" t="s">
        <v>4909</v>
      </c>
      <c r="H8949" t="s">
        <v>4909</v>
      </c>
      <c r="I8949" t="s">
        <v>4909</v>
      </c>
      <c r="J8949" t="s">
        <v>4909</v>
      </c>
      <c r="K8949" t="s">
        <v>4909</v>
      </c>
    </row>
    <row r="8950" spans="1:11" x14ac:dyDescent="0.2">
      <c r="A8950" t="s">
        <v>1998</v>
      </c>
      <c r="B8950" t="s">
        <v>4909</v>
      </c>
      <c r="C8950" t="s">
        <v>4909</v>
      </c>
      <c r="D8950" t="s">
        <v>4909</v>
      </c>
      <c r="E8950" t="s">
        <v>4909</v>
      </c>
      <c r="F8950" t="s">
        <v>4909</v>
      </c>
      <c r="G8950" t="s">
        <v>4909</v>
      </c>
      <c r="H8950" t="s">
        <v>4909</v>
      </c>
      <c r="I8950" t="s">
        <v>4909</v>
      </c>
      <c r="J8950" t="s">
        <v>4909</v>
      </c>
      <c r="K8950" t="s">
        <v>4909</v>
      </c>
    </row>
    <row r="8951" spans="1:11" x14ac:dyDescent="0.2">
      <c r="A8951" t="s">
        <v>1999</v>
      </c>
      <c r="B8951" t="s">
        <v>4909</v>
      </c>
      <c r="C8951" t="s">
        <v>4909</v>
      </c>
      <c r="D8951" t="s">
        <v>4909</v>
      </c>
      <c r="E8951" t="s">
        <v>4909</v>
      </c>
      <c r="F8951" t="s">
        <v>4909</v>
      </c>
      <c r="G8951" t="s">
        <v>4909</v>
      </c>
      <c r="H8951" t="s">
        <v>4909</v>
      </c>
      <c r="I8951" t="s">
        <v>4909</v>
      </c>
      <c r="J8951" t="s">
        <v>4909</v>
      </c>
      <c r="K8951" t="s">
        <v>4909</v>
      </c>
    </row>
    <row r="8952" spans="1:11" x14ac:dyDescent="0.2">
      <c r="A8952" t="s">
        <v>2004</v>
      </c>
      <c r="B8952" t="s">
        <v>4909</v>
      </c>
      <c r="C8952" t="s">
        <v>4909</v>
      </c>
      <c r="D8952" t="s">
        <v>4909</v>
      </c>
      <c r="E8952" t="s">
        <v>4909</v>
      </c>
      <c r="F8952" t="s">
        <v>4909</v>
      </c>
      <c r="G8952" t="s">
        <v>4909</v>
      </c>
      <c r="H8952" t="s">
        <v>4909</v>
      </c>
      <c r="I8952" t="s">
        <v>4909</v>
      </c>
      <c r="J8952" t="s">
        <v>4909</v>
      </c>
      <c r="K8952" t="s">
        <v>4909</v>
      </c>
    </row>
    <row r="8953" spans="1:11" x14ac:dyDescent="0.2">
      <c r="A8953" t="s">
        <v>2009</v>
      </c>
      <c r="B8953" t="s">
        <v>4909</v>
      </c>
      <c r="C8953" t="s">
        <v>4909</v>
      </c>
      <c r="D8953" t="s">
        <v>4909</v>
      </c>
      <c r="E8953" t="s">
        <v>4909</v>
      </c>
      <c r="F8953" t="s">
        <v>4909</v>
      </c>
      <c r="G8953" t="s">
        <v>4909</v>
      </c>
      <c r="H8953" t="s">
        <v>4909</v>
      </c>
      <c r="I8953" t="s">
        <v>4909</v>
      </c>
      <c r="J8953" t="s">
        <v>4909</v>
      </c>
      <c r="K8953" t="s">
        <v>4909</v>
      </c>
    </row>
    <row r="8954" spans="1:11" x14ac:dyDescent="0.2">
      <c r="A8954" t="s">
        <v>2014</v>
      </c>
      <c r="B8954" t="s">
        <v>4909</v>
      </c>
      <c r="C8954" t="s">
        <v>4909</v>
      </c>
      <c r="D8954" t="s">
        <v>4909</v>
      </c>
      <c r="E8954" t="s">
        <v>4909</v>
      </c>
      <c r="F8954" t="s">
        <v>4909</v>
      </c>
      <c r="G8954" t="s">
        <v>4909</v>
      </c>
      <c r="H8954" t="s">
        <v>4909</v>
      </c>
      <c r="I8954" t="s">
        <v>4909</v>
      </c>
      <c r="J8954" t="s">
        <v>4909</v>
      </c>
      <c r="K8954" t="s">
        <v>4909</v>
      </c>
    </row>
    <row r="8955" spans="1:11" x14ac:dyDescent="0.2">
      <c r="A8955" t="s">
        <v>2019</v>
      </c>
      <c r="B8955" t="s">
        <v>4909</v>
      </c>
      <c r="C8955" t="s">
        <v>4909</v>
      </c>
      <c r="D8955" t="s">
        <v>4909</v>
      </c>
      <c r="E8955" t="s">
        <v>4909</v>
      </c>
      <c r="F8955" t="s">
        <v>4909</v>
      </c>
      <c r="G8955" t="s">
        <v>4909</v>
      </c>
      <c r="H8955" t="s">
        <v>4909</v>
      </c>
      <c r="I8955" t="s">
        <v>4909</v>
      </c>
      <c r="J8955" t="s">
        <v>4909</v>
      </c>
      <c r="K8955" t="s">
        <v>4909</v>
      </c>
    </row>
    <row r="8956" spans="1:11" x14ac:dyDescent="0.2">
      <c r="A8956" t="s">
        <v>2023</v>
      </c>
      <c r="B8956" t="s">
        <v>4909</v>
      </c>
      <c r="C8956" t="s">
        <v>4909</v>
      </c>
      <c r="D8956" t="s">
        <v>4909</v>
      </c>
      <c r="E8956" t="s">
        <v>4909</v>
      </c>
      <c r="F8956" t="s">
        <v>4909</v>
      </c>
      <c r="G8956" t="s">
        <v>4909</v>
      </c>
      <c r="H8956" t="s">
        <v>4909</v>
      </c>
      <c r="I8956" t="s">
        <v>4909</v>
      </c>
      <c r="J8956" t="s">
        <v>4909</v>
      </c>
      <c r="K8956" t="s">
        <v>4909</v>
      </c>
    </row>
    <row r="8957" spans="1:11" x14ac:dyDescent="0.2">
      <c r="A8957" t="s">
        <v>2026</v>
      </c>
      <c r="B8957" t="s">
        <v>4909</v>
      </c>
      <c r="C8957" t="s">
        <v>4909</v>
      </c>
      <c r="D8957" t="s">
        <v>4909</v>
      </c>
      <c r="E8957" t="s">
        <v>4909</v>
      </c>
      <c r="F8957" t="s">
        <v>4909</v>
      </c>
      <c r="G8957" t="s">
        <v>4909</v>
      </c>
      <c r="H8957" t="s">
        <v>4909</v>
      </c>
      <c r="I8957" t="s">
        <v>4909</v>
      </c>
      <c r="J8957" t="s">
        <v>4909</v>
      </c>
      <c r="K8957" t="s">
        <v>4909</v>
      </c>
    </row>
    <row r="8958" spans="1:11" x14ac:dyDescent="0.2">
      <c r="A8958" t="s">
        <v>2030</v>
      </c>
      <c r="B8958" t="s">
        <v>4909</v>
      </c>
      <c r="C8958" t="s">
        <v>4909</v>
      </c>
      <c r="D8958" t="s">
        <v>4909</v>
      </c>
      <c r="E8958" t="s">
        <v>4909</v>
      </c>
      <c r="F8958" t="s">
        <v>4909</v>
      </c>
      <c r="G8958" t="s">
        <v>4909</v>
      </c>
      <c r="H8958" t="s">
        <v>4909</v>
      </c>
      <c r="I8958" t="s">
        <v>4909</v>
      </c>
      <c r="J8958" t="s">
        <v>4909</v>
      </c>
      <c r="K8958" t="s">
        <v>4909</v>
      </c>
    </row>
    <row r="8959" spans="1:11" x14ac:dyDescent="0.2">
      <c r="A8959" t="s">
        <v>2035</v>
      </c>
      <c r="B8959" t="s">
        <v>4909</v>
      </c>
      <c r="C8959" t="s">
        <v>4909</v>
      </c>
      <c r="D8959" t="s">
        <v>4909</v>
      </c>
      <c r="E8959" t="s">
        <v>4909</v>
      </c>
      <c r="F8959" t="s">
        <v>4909</v>
      </c>
      <c r="G8959" t="s">
        <v>4909</v>
      </c>
      <c r="H8959" t="s">
        <v>4909</v>
      </c>
      <c r="I8959" t="s">
        <v>4909</v>
      </c>
      <c r="J8959" t="s">
        <v>4909</v>
      </c>
      <c r="K8959" t="s">
        <v>4909</v>
      </c>
    </row>
    <row r="8960" spans="1:11" x14ac:dyDescent="0.2">
      <c r="A8960" t="s">
        <v>2040</v>
      </c>
      <c r="B8960" t="s">
        <v>4909</v>
      </c>
      <c r="C8960" t="s">
        <v>4909</v>
      </c>
      <c r="D8960" t="s">
        <v>4909</v>
      </c>
      <c r="E8960" t="s">
        <v>4909</v>
      </c>
      <c r="F8960" t="s">
        <v>4909</v>
      </c>
      <c r="G8960" t="s">
        <v>4909</v>
      </c>
      <c r="H8960" t="s">
        <v>4909</v>
      </c>
      <c r="I8960" t="s">
        <v>4909</v>
      </c>
      <c r="J8960" t="s">
        <v>4909</v>
      </c>
      <c r="K8960" t="s">
        <v>4909</v>
      </c>
    </row>
    <row r="8961" spans="1:11" x14ac:dyDescent="0.2">
      <c r="A8961" t="s">
        <v>2045</v>
      </c>
      <c r="B8961" t="s">
        <v>4909</v>
      </c>
      <c r="C8961" t="s">
        <v>4909</v>
      </c>
      <c r="D8961" t="s">
        <v>4909</v>
      </c>
      <c r="E8961" t="s">
        <v>4909</v>
      </c>
      <c r="F8961" t="s">
        <v>4909</v>
      </c>
      <c r="G8961" t="s">
        <v>4909</v>
      </c>
      <c r="H8961" t="s">
        <v>4909</v>
      </c>
      <c r="I8961" t="s">
        <v>4909</v>
      </c>
      <c r="J8961" t="s">
        <v>4909</v>
      </c>
      <c r="K8961" t="s">
        <v>4909</v>
      </c>
    </row>
    <row r="8962" spans="1:11" x14ac:dyDescent="0.2">
      <c r="A8962" t="s">
        <v>2049</v>
      </c>
      <c r="B8962" t="s">
        <v>4909</v>
      </c>
      <c r="C8962" t="s">
        <v>4909</v>
      </c>
      <c r="D8962" t="s">
        <v>4909</v>
      </c>
      <c r="E8962" t="s">
        <v>4909</v>
      </c>
      <c r="F8962" t="s">
        <v>4909</v>
      </c>
      <c r="G8962" t="s">
        <v>4909</v>
      </c>
      <c r="H8962" t="s">
        <v>4909</v>
      </c>
      <c r="I8962" t="s">
        <v>4909</v>
      </c>
      <c r="J8962" t="s">
        <v>4909</v>
      </c>
      <c r="K8962" t="s">
        <v>4909</v>
      </c>
    </row>
    <row r="8963" spans="1:11" x14ac:dyDescent="0.2">
      <c r="A8963" t="s">
        <v>2051</v>
      </c>
      <c r="B8963" t="s">
        <v>4909</v>
      </c>
      <c r="C8963" t="s">
        <v>4909</v>
      </c>
      <c r="D8963" t="s">
        <v>4909</v>
      </c>
      <c r="E8963" t="s">
        <v>4909</v>
      </c>
      <c r="F8963" t="s">
        <v>4909</v>
      </c>
      <c r="G8963" t="s">
        <v>4909</v>
      </c>
      <c r="H8963" t="s">
        <v>4909</v>
      </c>
      <c r="I8963" t="s">
        <v>4909</v>
      </c>
      <c r="J8963" t="s">
        <v>4909</v>
      </c>
      <c r="K8963" t="s">
        <v>4909</v>
      </c>
    </row>
    <row r="8964" spans="1:11" x14ac:dyDescent="0.2">
      <c r="A8964" t="s">
        <v>2057</v>
      </c>
      <c r="B8964" t="s">
        <v>4909</v>
      </c>
      <c r="C8964" t="s">
        <v>4909</v>
      </c>
      <c r="D8964" t="s">
        <v>4909</v>
      </c>
      <c r="E8964" t="s">
        <v>4909</v>
      </c>
      <c r="F8964" t="s">
        <v>4909</v>
      </c>
      <c r="G8964" t="s">
        <v>4909</v>
      </c>
      <c r="H8964" t="s">
        <v>4909</v>
      </c>
      <c r="I8964" t="s">
        <v>4909</v>
      </c>
      <c r="J8964" t="s">
        <v>4909</v>
      </c>
      <c r="K8964" t="s">
        <v>4909</v>
      </c>
    </row>
    <row r="8965" spans="1:11" x14ac:dyDescent="0.2">
      <c r="A8965" t="s">
        <v>4344</v>
      </c>
      <c r="B8965" t="s">
        <v>4909</v>
      </c>
      <c r="C8965" t="s">
        <v>4909</v>
      </c>
      <c r="D8965" t="s">
        <v>4909</v>
      </c>
      <c r="E8965" t="s">
        <v>4909</v>
      </c>
      <c r="F8965" t="s">
        <v>4909</v>
      </c>
      <c r="G8965" t="s">
        <v>4909</v>
      </c>
      <c r="H8965" t="s">
        <v>4909</v>
      </c>
      <c r="I8965" t="s">
        <v>4909</v>
      </c>
      <c r="J8965" t="s">
        <v>4909</v>
      </c>
      <c r="K8965" t="s">
        <v>4909</v>
      </c>
    </row>
    <row r="8966" spans="1:11" x14ac:dyDescent="0.2">
      <c r="A8966" t="s">
        <v>4345</v>
      </c>
      <c r="B8966" t="s">
        <v>4909</v>
      </c>
      <c r="C8966" t="s">
        <v>4909</v>
      </c>
      <c r="D8966" t="s">
        <v>4909</v>
      </c>
      <c r="E8966" t="s">
        <v>4909</v>
      </c>
      <c r="F8966" t="s">
        <v>4909</v>
      </c>
      <c r="G8966" t="s">
        <v>4909</v>
      </c>
      <c r="H8966" t="s">
        <v>4909</v>
      </c>
      <c r="I8966" t="s">
        <v>4909</v>
      </c>
      <c r="J8966" t="s">
        <v>4909</v>
      </c>
      <c r="K8966" t="s">
        <v>4909</v>
      </c>
    </row>
    <row r="8967" spans="1:11" x14ac:dyDescent="0.2">
      <c r="A8967" t="s">
        <v>2074</v>
      </c>
      <c r="B8967" t="s">
        <v>4909</v>
      </c>
      <c r="C8967" t="s">
        <v>4909</v>
      </c>
      <c r="D8967" t="s">
        <v>4909</v>
      </c>
      <c r="E8967" t="s">
        <v>4909</v>
      </c>
      <c r="F8967" t="s">
        <v>4909</v>
      </c>
      <c r="G8967" t="s">
        <v>4909</v>
      </c>
      <c r="H8967" t="s">
        <v>4909</v>
      </c>
      <c r="I8967" t="s">
        <v>4909</v>
      </c>
      <c r="J8967" t="s">
        <v>4909</v>
      </c>
      <c r="K8967" t="s">
        <v>4909</v>
      </c>
    </row>
    <row r="8968" spans="1:11" x14ac:dyDescent="0.2">
      <c r="A8968" t="s">
        <v>2079</v>
      </c>
      <c r="B8968" t="s">
        <v>4909</v>
      </c>
      <c r="C8968" t="s">
        <v>4909</v>
      </c>
      <c r="D8968" t="s">
        <v>4909</v>
      </c>
      <c r="E8968" t="s">
        <v>4909</v>
      </c>
      <c r="F8968" t="s">
        <v>4909</v>
      </c>
      <c r="G8968" t="s">
        <v>4909</v>
      </c>
      <c r="H8968" t="s">
        <v>4909</v>
      </c>
      <c r="I8968" t="s">
        <v>4909</v>
      </c>
      <c r="J8968" t="s">
        <v>4909</v>
      </c>
      <c r="K8968" t="s">
        <v>4909</v>
      </c>
    </row>
    <row r="8969" spans="1:11" x14ac:dyDescent="0.2">
      <c r="A8969" t="s">
        <v>2085</v>
      </c>
      <c r="B8969" t="s">
        <v>4909</v>
      </c>
      <c r="C8969" t="s">
        <v>4909</v>
      </c>
      <c r="D8969" t="s">
        <v>4909</v>
      </c>
      <c r="E8969" t="s">
        <v>4909</v>
      </c>
      <c r="F8969" t="s">
        <v>4909</v>
      </c>
      <c r="G8969" t="s">
        <v>4909</v>
      </c>
      <c r="H8969" t="s">
        <v>4909</v>
      </c>
      <c r="I8969" t="s">
        <v>4909</v>
      </c>
      <c r="J8969" t="s">
        <v>4909</v>
      </c>
      <c r="K8969" t="s">
        <v>4909</v>
      </c>
    </row>
    <row r="8970" spans="1:11" x14ac:dyDescent="0.2">
      <c r="A8970" t="s">
        <v>2091</v>
      </c>
      <c r="B8970" t="s">
        <v>4909</v>
      </c>
      <c r="C8970" t="s">
        <v>4909</v>
      </c>
      <c r="D8970" t="s">
        <v>4909</v>
      </c>
      <c r="E8970" t="s">
        <v>4909</v>
      </c>
      <c r="F8970" t="s">
        <v>4909</v>
      </c>
      <c r="G8970" t="s">
        <v>4909</v>
      </c>
      <c r="H8970" t="s">
        <v>4909</v>
      </c>
      <c r="I8970" t="s">
        <v>4909</v>
      </c>
      <c r="J8970" t="s">
        <v>4909</v>
      </c>
      <c r="K8970" t="s">
        <v>4909</v>
      </c>
    </row>
    <row r="8971" spans="1:11" x14ac:dyDescent="0.2">
      <c r="A8971" t="s">
        <v>2097</v>
      </c>
      <c r="B8971" t="s">
        <v>4909</v>
      </c>
      <c r="C8971" t="s">
        <v>4909</v>
      </c>
      <c r="D8971" t="s">
        <v>4909</v>
      </c>
      <c r="E8971" t="s">
        <v>4909</v>
      </c>
      <c r="F8971" t="s">
        <v>4909</v>
      </c>
      <c r="G8971" t="s">
        <v>4909</v>
      </c>
      <c r="H8971" t="s">
        <v>4909</v>
      </c>
      <c r="I8971" t="s">
        <v>4909</v>
      </c>
      <c r="J8971" t="s">
        <v>4909</v>
      </c>
      <c r="K8971" t="s">
        <v>4909</v>
      </c>
    </row>
    <row r="8972" spans="1:11" x14ac:dyDescent="0.2">
      <c r="A8972" t="s">
        <v>2101</v>
      </c>
      <c r="B8972" t="s">
        <v>4909</v>
      </c>
      <c r="C8972" t="s">
        <v>4909</v>
      </c>
      <c r="D8972" t="s">
        <v>4909</v>
      </c>
      <c r="E8972" t="s">
        <v>4909</v>
      </c>
      <c r="F8972" t="s">
        <v>4909</v>
      </c>
      <c r="G8972" t="s">
        <v>4909</v>
      </c>
      <c r="H8972" t="s">
        <v>4909</v>
      </c>
      <c r="I8972" t="s">
        <v>4909</v>
      </c>
      <c r="J8972" t="s">
        <v>4909</v>
      </c>
      <c r="K8972" t="s">
        <v>4909</v>
      </c>
    </row>
    <row r="8973" spans="1:11" x14ac:dyDescent="0.2">
      <c r="A8973" t="s">
        <v>2104</v>
      </c>
      <c r="B8973" t="s">
        <v>4909</v>
      </c>
      <c r="C8973" t="s">
        <v>4909</v>
      </c>
      <c r="D8973" t="s">
        <v>4909</v>
      </c>
      <c r="E8973" t="s">
        <v>4909</v>
      </c>
      <c r="F8973" t="s">
        <v>4909</v>
      </c>
      <c r="G8973" t="s">
        <v>4909</v>
      </c>
      <c r="H8973" t="s">
        <v>4909</v>
      </c>
      <c r="I8973" t="s">
        <v>4909</v>
      </c>
      <c r="J8973" t="s">
        <v>4909</v>
      </c>
      <c r="K8973" t="s">
        <v>4909</v>
      </c>
    </row>
    <row r="8974" spans="1:11" x14ac:dyDescent="0.2">
      <c r="A8974" t="s">
        <v>2107</v>
      </c>
      <c r="B8974" t="s">
        <v>4909</v>
      </c>
      <c r="C8974" t="s">
        <v>4909</v>
      </c>
      <c r="D8974" t="s">
        <v>4909</v>
      </c>
      <c r="E8974" t="s">
        <v>4909</v>
      </c>
      <c r="F8974" t="s">
        <v>4909</v>
      </c>
      <c r="G8974" t="s">
        <v>4909</v>
      </c>
      <c r="H8974" t="s">
        <v>4909</v>
      </c>
      <c r="I8974" t="s">
        <v>4909</v>
      </c>
      <c r="J8974" t="s">
        <v>4909</v>
      </c>
      <c r="K8974" t="s">
        <v>4909</v>
      </c>
    </row>
    <row r="8975" spans="1:11" x14ac:dyDescent="0.2">
      <c r="A8975" t="s">
        <v>2110</v>
      </c>
      <c r="B8975" t="s">
        <v>4909</v>
      </c>
      <c r="C8975" t="s">
        <v>4909</v>
      </c>
      <c r="D8975" t="s">
        <v>4909</v>
      </c>
      <c r="E8975" t="s">
        <v>4909</v>
      </c>
      <c r="F8975" t="s">
        <v>4909</v>
      </c>
      <c r="G8975" t="s">
        <v>4909</v>
      </c>
      <c r="H8975" t="s">
        <v>4909</v>
      </c>
      <c r="I8975" t="s">
        <v>4909</v>
      </c>
      <c r="J8975" t="s">
        <v>4909</v>
      </c>
      <c r="K8975" t="s">
        <v>4909</v>
      </c>
    </row>
    <row r="8976" spans="1:11" x14ac:dyDescent="0.2">
      <c r="A8976" t="s">
        <v>2113</v>
      </c>
      <c r="B8976" t="s">
        <v>4909</v>
      </c>
      <c r="C8976" t="s">
        <v>4909</v>
      </c>
      <c r="D8976" t="s">
        <v>4909</v>
      </c>
      <c r="E8976" t="s">
        <v>4909</v>
      </c>
      <c r="F8976" t="s">
        <v>4909</v>
      </c>
      <c r="G8976" t="s">
        <v>4909</v>
      </c>
      <c r="H8976" t="s">
        <v>4909</v>
      </c>
      <c r="I8976" t="s">
        <v>4909</v>
      </c>
      <c r="J8976" t="s">
        <v>4909</v>
      </c>
      <c r="K8976" t="s">
        <v>4909</v>
      </c>
    </row>
    <row r="8977" spans="1:11" x14ac:dyDescent="0.2">
      <c r="A8977" t="s">
        <v>4346</v>
      </c>
      <c r="B8977" t="s">
        <v>4909</v>
      </c>
      <c r="C8977" t="s">
        <v>4909</v>
      </c>
      <c r="D8977" t="s">
        <v>4909</v>
      </c>
      <c r="E8977" t="s">
        <v>4909</v>
      </c>
      <c r="F8977" t="s">
        <v>4909</v>
      </c>
      <c r="G8977" t="s">
        <v>4909</v>
      </c>
      <c r="H8977" t="s">
        <v>4909</v>
      </c>
      <c r="I8977" t="s">
        <v>4909</v>
      </c>
      <c r="J8977" t="s">
        <v>4909</v>
      </c>
      <c r="K8977" t="s">
        <v>4909</v>
      </c>
    </row>
    <row r="8978" spans="1:11" x14ac:dyDescent="0.2">
      <c r="A8978" t="s">
        <v>4347</v>
      </c>
      <c r="B8978" t="s">
        <v>4909</v>
      </c>
      <c r="C8978" t="s">
        <v>4909</v>
      </c>
      <c r="D8978" t="s">
        <v>4909</v>
      </c>
      <c r="E8978" t="s">
        <v>4909</v>
      </c>
      <c r="F8978" t="s">
        <v>4909</v>
      </c>
      <c r="G8978" t="s">
        <v>4909</v>
      </c>
      <c r="H8978" t="s">
        <v>4909</v>
      </c>
      <c r="I8978" t="s">
        <v>4909</v>
      </c>
      <c r="J8978" t="s">
        <v>4909</v>
      </c>
      <c r="K8978" t="s">
        <v>4909</v>
      </c>
    </row>
    <row r="8979" spans="1:11" x14ac:dyDescent="0.2">
      <c r="A8979" t="s">
        <v>4348</v>
      </c>
      <c r="B8979" t="s">
        <v>4909</v>
      </c>
      <c r="C8979" t="s">
        <v>4909</v>
      </c>
      <c r="D8979" t="s">
        <v>4909</v>
      </c>
      <c r="E8979" t="s">
        <v>4909</v>
      </c>
      <c r="F8979" t="s">
        <v>4909</v>
      </c>
      <c r="G8979" t="s">
        <v>4909</v>
      </c>
      <c r="H8979" t="s">
        <v>4909</v>
      </c>
      <c r="I8979" t="s">
        <v>4909</v>
      </c>
      <c r="J8979" t="s">
        <v>4909</v>
      </c>
      <c r="K8979" t="s">
        <v>4909</v>
      </c>
    </row>
    <row r="8980" spans="1:11" x14ac:dyDescent="0.2">
      <c r="A8980" t="s">
        <v>4349</v>
      </c>
      <c r="B8980" t="s">
        <v>4909</v>
      </c>
      <c r="C8980" t="s">
        <v>4909</v>
      </c>
      <c r="D8980" t="s">
        <v>4909</v>
      </c>
      <c r="E8980" t="s">
        <v>4909</v>
      </c>
      <c r="F8980" t="s">
        <v>4909</v>
      </c>
      <c r="G8980" t="s">
        <v>4909</v>
      </c>
      <c r="H8980" t="s">
        <v>4909</v>
      </c>
      <c r="I8980" t="s">
        <v>4909</v>
      </c>
      <c r="J8980" t="s">
        <v>4909</v>
      </c>
      <c r="K8980" t="s">
        <v>4909</v>
      </c>
    </row>
    <row r="8981" spans="1:11" x14ac:dyDescent="0.2">
      <c r="A8981" t="s">
        <v>4350</v>
      </c>
      <c r="B8981" t="s">
        <v>4909</v>
      </c>
      <c r="C8981" t="s">
        <v>4909</v>
      </c>
      <c r="D8981" s="88">
        <v>0</v>
      </c>
      <c r="E8981" t="s">
        <v>4909</v>
      </c>
      <c r="F8981" t="s">
        <v>4909</v>
      </c>
      <c r="G8981" t="s">
        <v>4909</v>
      </c>
      <c r="H8981" s="88">
        <v>0</v>
      </c>
      <c r="I8981" t="s">
        <v>4909</v>
      </c>
      <c r="J8981" t="s">
        <v>4909</v>
      </c>
      <c r="K8981" t="s">
        <v>4909</v>
      </c>
    </row>
    <row r="8982" spans="1:11" x14ac:dyDescent="0.2">
      <c r="A8982" t="s">
        <v>4351</v>
      </c>
      <c r="B8982" t="s">
        <v>4909</v>
      </c>
      <c r="C8982" t="s">
        <v>4909</v>
      </c>
      <c r="D8982" t="s">
        <v>4909</v>
      </c>
      <c r="E8982" t="s">
        <v>4909</v>
      </c>
      <c r="F8982" t="s">
        <v>4909</v>
      </c>
      <c r="G8982" t="s">
        <v>4909</v>
      </c>
      <c r="H8982" t="s">
        <v>4909</v>
      </c>
      <c r="I8982" t="s">
        <v>4909</v>
      </c>
      <c r="J8982" t="s">
        <v>4909</v>
      </c>
      <c r="K8982" t="s">
        <v>4909</v>
      </c>
    </row>
    <row r="8983" spans="1:11" x14ac:dyDescent="0.2">
      <c r="A8983" t="s">
        <v>4352</v>
      </c>
      <c r="B8983" t="s">
        <v>4909</v>
      </c>
      <c r="C8983" t="s">
        <v>4909</v>
      </c>
      <c r="D8983" t="s">
        <v>4909</v>
      </c>
      <c r="E8983" t="s">
        <v>4909</v>
      </c>
      <c r="F8983" t="s">
        <v>4909</v>
      </c>
      <c r="G8983" t="s">
        <v>4909</v>
      </c>
      <c r="H8983" t="s">
        <v>4909</v>
      </c>
      <c r="I8983" t="s">
        <v>4909</v>
      </c>
      <c r="J8983" t="s">
        <v>4909</v>
      </c>
      <c r="K8983" t="s">
        <v>4909</v>
      </c>
    </row>
    <row r="8984" spans="1:11" x14ac:dyDescent="0.2">
      <c r="A8984" t="s">
        <v>4353</v>
      </c>
      <c r="B8984" t="s">
        <v>4909</v>
      </c>
      <c r="C8984" t="s">
        <v>4909</v>
      </c>
      <c r="D8984" s="88">
        <v>2E-3</v>
      </c>
      <c r="E8984" t="s">
        <v>4909</v>
      </c>
      <c r="F8984" t="s">
        <v>4909</v>
      </c>
      <c r="G8984" t="s">
        <v>4909</v>
      </c>
      <c r="H8984" s="88">
        <v>4.0000000000000001E-3</v>
      </c>
      <c r="I8984" t="s">
        <v>4909</v>
      </c>
      <c r="J8984" t="s">
        <v>4909</v>
      </c>
      <c r="K8984" t="s">
        <v>4909</v>
      </c>
    </row>
    <row r="8985" spans="1:11" x14ac:dyDescent="0.2">
      <c r="A8985" t="s">
        <v>4354</v>
      </c>
      <c r="B8985" t="s">
        <v>4909</v>
      </c>
      <c r="C8985" t="s">
        <v>4909</v>
      </c>
      <c r="D8985" s="88">
        <v>2E-3</v>
      </c>
      <c r="E8985" t="s">
        <v>4909</v>
      </c>
      <c r="F8985" t="s">
        <v>4909</v>
      </c>
      <c r="G8985" t="s">
        <v>4909</v>
      </c>
      <c r="H8985" s="88">
        <v>3.0000000000000001E-3</v>
      </c>
      <c r="I8985" t="s">
        <v>4909</v>
      </c>
      <c r="J8985" t="s">
        <v>4909</v>
      </c>
      <c r="K8985" t="s">
        <v>4909</v>
      </c>
    </row>
    <row r="8986" spans="1:11" x14ac:dyDescent="0.2">
      <c r="A8986" t="s">
        <v>4355</v>
      </c>
      <c r="B8986" t="s">
        <v>4909</v>
      </c>
      <c r="C8986" t="s">
        <v>4909</v>
      </c>
      <c r="D8986" t="s">
        <v>4909</v>
      </c>
      <c r="E8986" t="s">
        <v>4909</v>
      </c>
      <c r="F8986" t="s">
        <v>4909</v>
      </c>
      <c r="G8986" t="s">
        <v>4909</v>
      </c>
      <c r="H8986" t="s">
        <v>4909</v>
      </c>
      <c r="I8986" t="s">
        <v>4909</v>
      </c>
      <c r="J8986" t="s">
        <v>4909</v>
      </c>
      <c r="K8986" t="s">
        <v>4909</v>
      </c>
    </row>
    <row r="8987" spans="1:11" x14ac:dyDescent="0.2">
      <c r="A8987" t="s">
        <v>4356</v>
      </c>
      <c r="B8987" t="s">
        <v>4909</v>
      </c>
      <c r="C8987" t="s">
        <v>4909</v>
      </c>
      <c r="D8987" t="s">
        <v>4909</v>
      </c>
      <c r="E8987" t="s">
        <v>4909</v>
      </c>
      <c r="F8987" t="s">
        <v>4909</v>
      </c>
      <c r="G8987" t="s">
        <v>4909</v>
      </c>
      <c r="H8987" t="s">
        <v>4909</v>
      </c>
      <c r="I8987" t="s">
        <v>4909</v>
      </c>
      <c r="J8987" t="s">
        <v>4909</v>
      </c>
      <c r="K8987" t="s">
        <v>4909</v>
      </c>
    </row>
    <row r="8988" spans="1:11" x14ac:dyDescent="0.2">
      <c r="A8988" t="s">
        <v>4357</v>
      </c>
      <c r="B8988" t="s">
        <v>4909</v>
      </c>
      <c r="C8988" t="s">
        <v>4909</v>
      </c>
      <c r="D8988" t="s">
        <v>4909</v>
      </c>
      <c r="E8988" t="s">
        <v>4909</v>
      </c>
      <c r="F8988" t="s">
        <v>4909</v>
      </c>
      <c r="G8988" t="s">
        <v>4909</v>
      </c>
      <c r="H8988" s="88">
        <v>0</v>
      </c>
      <c r="I8988" t="s">
        <v>4909</v>
      </c>
      <c r="J8988" t="s">
        <v>4909</v>
      </c>
      <c r="K8988" t="s">
        <v>4909</v>
      </c>
    </row>
    <row r="8989" spans="1:11" x14ac:dyDescent="0.2">
      <c r="A8989" t="s">
        <v>4358</v>
      </c>
      <c r="B8989" t="s">
        <v>4909</v>
      </c>
      <c r="C8989" t="s">
        <v>4909</v>
      </c>
      <c r="D8989" t="s">
        <v>4909</v>
      </c>
      <c r="E8989" t="s">
        <v>4909</v>
      </c>
      <c r="F8989" t="s">
        <v>4909</v>
      </c>
      <c r="G8989" t="s">
        <v>4909</v>
      </c>
      <c r="H8989" t="s">
        <v>4909</v>
      </c>
      <c r="I8989" t="s">
        <v>4909</v>
      </c>
      <c r="J8989" t="s">
        <v>4909</v>
      </c>
      <c r="K8989" t="s">
        <v>4909</v>
      </c>
    </row>
    <row r="8990" spans="1:11" x14ac:dyDescent="0.2">
      <c r="A8990" t="s">
        <v>4359</v>
      </c>
      <c r="B8990" t="s">
        <v>4909</v>
      </c>
      <c r="C8990" t="s">
        <v>4909</v>
      </c>
      <c r="D8990" s="88">
        <v>3.0000000000000001E-3</v>
      </c>
      <c r="E8990" t="s">
        <v>4909</v>
      </c>
      <c r="F8990" t="s">
        <v>4909</v>
      </c>
      <c r="G8990" t="s">
        <v>4909</v>
      </c>
      <c r="H8990" s="88">
        <v>5.0000000000000001E-3</v>
      </c>
      <c r="I8990" t="s">
        <v>4909</v>
      </c>
      <c r="J8990" t="s">
        <v>4909</v>
      </c>
      <c r="K8990" t="s">
        <v>4909</v>
      </c>
    </row>
    <row r="8991" spans="1:11" x14ac:dyDescent="0.2">
      <c r="A8991" t="s">
        <v>4360</v>
      </c>
      <c r="B8991" t="s">
        <v>4909</v>
      </c>
      <c r="C8991" t="s">
        <v>4909</v>
      </c>
      <c r="D8991" s="88">
        <v>0</v>
      </c>
      <c r="E8991" t="s">
        <v>4909</v>
      </c>
      <c r="F8991" t="s">
        <v>4909</v>
      </c>
      <c r="G8991" t="s">
        <v>4909</v>
      </c>
      <c r="H8991" s="88">
        <v>0</v>
      </c>
      <c r="I8991" t="s">
        <v>4909</v>
      </c>
      <c r="J8991" t="s">
        <v>4909</v>
      </c>
      <c r="K8991" t="s">
        <v>4909</v>
      </c>
    </row>
    <row r="8992" spans="1:11" x14ac:dyDescent="0.2">
      <c r="A8992" t="s">
        <v>4361</v>
      </c>
      <c r="B8992" t="s">
        <v>4909</v>
      </c>
      <c r="C8992" t="s">
        <v>4909</v>
      </c>
      <c r="D8992" s="88">
        <v>0</v>
      </c>
      <c r="E8992" t="s">
        <v>4909</v>
      </c>
      <c r="F8992" t="s">
        <v>4909</v>
      </c>
      <c r="G8992" t="s">
        <v>4909</v>
      </c>
      <c r="H8992" s="88">
        <v>0</v>
      </c>
      <c r="I8992" t="s">
        <v>4909</v>
      </c>
      <c r="J8992" t="s">
        <v>4909</v>
      </c>
      <c r="K8992" t="s">
        <v>4909</v>
      </c>
    </row>
    <row r="8993" spans="1:11" x14ac:dyDescent="0.2">
      <c r="A8993" t="s">
        <v>4362</v>
      </c>
      <c r="B8993" t="s">
        <v>4909</v>
      </c>
      <c r="C8993" t="s">
        <v>4909</v>
      </c>
      <c r="D8993" t="s">
        <v>4909</v>
      </c>
      <c r="E8993" t="s">
        <v>4909</v>
      </c>
      <c r="F8993" t="s">
        <v>4909</v>
      </c>
      <c r="G8993" t="s">
        <v>4909</v>
      </c>
      <c r="H8993" t="s">
        <v>4909</v>
      </c>
      <c r="I8993" t="s">
        <v>4909</v>
      </c>
      <c r="J8993" t="s">
        <v>4909</v>
      </c>
      <c r="K8993" t="s">
        <v>4909</v>
      </c>
    </row>
    <row r="8994" spans="1:11" x14ac:dyDescent="0.2">
      <c r="A8994" t="s">
        <v>4363</v>
      </c>
      <c r="B8994" t="s">
        <v>4909</v>
      </c>
      <c r="C8994" t="s">
        <v>4909</v>
      </c>
      <c r="D8994" t="s">
        <v>4909</v>
      </c>
      <c r="E8994" t="s">
        <v>4909</v>
      </c>
      <c r="F8994" t="s">
        <v>4909</v>
      </c>
      <c r="G8994" t="s">
        <v>4909</v>
      </c>
      <c r="H8994" t="s">
        <v>4909</v>
      </c>
      <c r="I8994" t="s">
        <v>4909</v>
      </c>
      <c r="J8994" t="s">
        <v>4909</v>
      </c>
      <c r="K8994" t="s">
        <v>4909</v>
      </c>
    </row>
    <row r="8995" spans="1:11" x14ac:dyDescent="0.2">
      <c r="A8995" t="s">
        <v>4364</v>
      </c>
      <c r="B8995" t="s">
        <v>4909</v>
      </c>
      <c r="C8995" t="s">
        <v>4909</v>
      </c>
      <c r="D8995" t="s">
        <v>4909</v>
      </c>
      <c r="E8995" t="s">
        <v>4909</v>
      </c>
      <c r="F8995" t="s">
        <v>4909</v>
      </c>
      <c r="G8995" t="s">
        <v>4909</v>
      </c>
      <c r="H8995" t="s">
        <v>4909</v>
      </c>
      <c r="I8995" t="s">
        <v>4909</v>
      </c>
      <c r="J8995" t="s">
        <v>4909</v>
      </c>
      <c r="K8995" t="s">
        <v>4909</v>
      </c>
    </row>
    <row r="8996" spans="1:11" x14ac:dyDescent="0.2">
      <c r="A8996" t="s">
        <v>4365</v>
      </c>
      <c r="B8996" t="s">
        <v>4909</v>
      </c>
      <c r="C8996" s="88">
        <v>0</v>
      </c>
      <c r="D8996" s="88">
        <v>1E-3</v>
      </c>
      <c r="E8996" t="s">
        <v>4909</v>
      </c>
      <c r="F8996" t="s">
        <v>4909</v>
      </c>
      <c r="G8996" s="88">
        <v>0</v>
      </c>
      <c r="H8996" s="88">
        <v>2E-3</v>
      </c>
      <c r="I8996" t="s">
        <v>4909</v>
      </c>
      <c r="J8996" t="s">
        <v>4909</v>
      </c>
      <c r="K8996" t="s">
        <v>4909</v>
      </c>
    </row>
    <row r="8997" spans="1:11" x14ac:dyDescent="0.2">
      <c r="A8997" t="s">
        <v>4366</v>
      </c>
      <c r="B8997" t="s">
        <v>4909</v>
      </c>
      <c r="C8997" t="s">
        <v>4909</v>
      </c>
      <c r="D8997" t="s">
        <v>4909</v>
      </c>
      <c r="E8997" t="s">
        <v>4909</v>
      </c>
      <c r="F8997" t="s">
        <v>4909</v>
      </c>
      <c r="G8997" t="s">
        <v>4909</v>
      </c>
      <c r="H8997" t="s">
        <v>4909</v>
      </c>
      <c r="I8997" t="s">
        <v>4909</v>
      </c>
      <c r="J8997" t="s">
        <v>4909</v>
      </c>
      <c r="K8997" t="s">
        <v>4909</v>
      </c>
    </row>
    <row r="8998" spans="1:11" x14ac:dyDescent="0.2">
      <c r="A8998" t="s">
        <v>4367</v>
      </c>
      <c r="B8998" t="s">
        <v>4909</v>
      </c>
      <c r="C8998" t="s">
        <v>4909</v>
      </c>
      <c r="D8998" t="s">
        <v>4909</v>
      </c>
      <c r="E8998" t="s">
        <v>4909</v>
      </c>
      <c r="F8998" t="s">
        <v>4909</v>
      </c>
      <c r="G8998" t="s">
        <v>4909</v>
      </c>
      <c r="H8998" t="s">
        <v>4909</v>
      </c>
      <c r="I8998" t="s">
        <v>4909</v>
      </c>
      <c r="J8998" t="s">
        <v>4909</v>
      </c>
      <c r="K8998" t="s">
        <v>4909</v>
      </c>
    </row>
    <row r="8999" spans="1:11" x14ac:dyDescent="0.2">
      <c r="A8999" t="s">
        <v>4368</v>
      </c>
      <c r="B8999" t="s">
        <v>4909</v>
      </c>
      <c r="C8999" s="88">
        <v>0</v>
      </c>
      <c r="D8999" s="88">
        <v>1E-3</v>
      </c>
      <c r="E8999" t="s">
        <v>4909</v>
      </c>
      <c r="F8999" t="s">
        <v>4909</v>
      </c>
      <c r="G8999" s="88">
        <v>0</v>
      </c>
      <c r="H8999" s="88">
        <v>2E-3</v>
      </c>
      <c r="I8999" t="s">
        <v>4909</v>
      </c>
      <c r="J8999" t="s">
        <v>4909</v>
      </c>
      <c r="K8999" t="s">
        <v>4909</v>
      </c>
    </row>
    <row r="9000" spans="1:11" x14ac:dyDescent="0.2">
      <c r="A9000" t="s">
        <v>4369</v>
      </c>
      <c r="B9000" t="s">
        <v>4909</v>
      </c>
      <c r="C9000" s="88">
        <v>0</v>
      </c>
      <c r="D9000" s="88">
        <v>2E-3</v>
      </c>
      <c r="E9000" t="s">
        <v>4909</v>
      </c>
      <c r="F9000" t="s">
        <v>4909</v>
      </c>
      <c r="G9000" s="88">
        <v>0</v>
      </c>
      <c r="H9000" s="88">
        <v>3.0000000000000001E-3</v>
      </c>
      <c r="I9000" t="s">
        <v>4909</v>
      </c>
      <c r="J9000" t="s">
        <v>4909</v>
      </c>
      <c r="K9000" t="s">
        <v>4909</v>
      </c>
    </row>
    <row r="9001" spans="1:11" x14ac:dyDescent="0.2">
      <c r="A9001" t="s">
        <v>4370</v>
      </c>
      <c r="B9001" t="s">
        <v>4909</v>
      </c>
      <c r="C9001" t="s">
        <v>4909</v>
      </c>
      <c r="D9001" t="s">
        <v>4909</v>
      </c>
      <c r="E9001" t="s">
        <v>4909</v>
      </c>
      <c r="F9001" t="s">
        <v>4909</v>
      </c>
      <c r="G9001" t="s">
        <v>4909</v>
      </c>
      <c r="H9001" t="s">
        <v>4909</v>
      </c>
      <c r="I9001" t="s">
        <v>4909</v>
      </c>
      <c r="J9001" t="s">
        <v>4909</v>
      </c>
      <c r="K9001" t="s">
        <v>4909</v>
      </c>
    </row>
    <row r="9002" spans="1:11" x14ac:dyDescent="0.2">
      <c r="A9002" t="s">
        <v>4371</v>
      </c>
      <c r="B9002" t="s">
        <v>4909</v>
      </c>
      <c r="C9002" t="s">
        <v>4909</v>
      </c>
      <c r="D9002" t="s">
        <v>4909</v>
      </c>
      <c r="E9002" t="s">
        <v>4909</v>
      </c>
      <c r="F9002" t="s">
        <v>4909</v>
      </c>
      <c r="G9002" t="s">
        <v>4909</v>
      </c>
      <c r="H9002" t="s">
        <v>4909</v>
      </c>
      <c r="I9002" t="s">
        <v>4909</v>
      </c>
      <c r="J9002" t="s">
        <v>4909</v>
      </c>
      <c r="K9002" t="s">
        <v>4909</v>
      </c>
    </row>
    <row r="9003" spans="1:11" x14ac:dyDescent="0.2">
      <c r="A9003" t="s">
        <v>4372</v>
      </c>
      <c r="B9003" t="s">
        <v>4909</v>
      </c>
      <c r="C9003" t="s">
        <v>4909</v>
      </c>
      <c r="D9003" t="s">
        <v>4909</v>
      </c>
      <c r="E9003" t="s">
        <v>4909</v>
      </c>
      <c r="F9003" t="s">
        <v>4909</v>
      </c>
      <c r="G9003" t="s">
        <v>4909</v>
      </c>
      <c r="H9003" t="s">
        <v>4909</v>
      </c>
      <c r="I9003" t="s">
        <v>4909</v>
      </c>
      <c r="J9003" t="s">
        <v>4909</v>
      </c>
      <c r="K9003" t="s">
        <v>4909</v>
      </c>
    </row>
    <row r="9004" spans="1:11" x14ac:dyDescent="0.2">
      <c r="A9004" t="s">
        <v>4373</v>
      </c>
      <c r="B9004" t="s">
        <v>4909</v>
      </c>
      <c r="C9004" t="s">
        <v>4909</v>
      </c>
      <c r="D9004" t="s">
        <v>4909</v>
      </c>
      <c r="E9004" t="s">
        <v>4909</v>
      </c>
      <c r="F9004" t="s">
        <v>4909</v>
      </c>
      <c r="G9004" t="s">
        <v>4909</v>
      </c>
      <c r="H9004" t="s">
        <v>4909</v>
      </c>
      <c r="I9004" t="s">
        <v>4909</v>
      </c>
      <c r="J9004" t="s">
        <v>4909</v>
      </c>
      <c r="K9004" t="s">
        <v>4909</v>
      </c>
    </row>
    <row r="9005" spans="1:11" x14ac:dyDescent="0.2">
      <c r="A9005" t="s">
        <v>4374</v>
      </c>
      <c r="B9005" t="s">
        <v>4909</v>
      </c>
      <c r="C9005" t="s">
        <v>4909</v>
      </c>
      <c r="D9005" t="s">
        <v>4909</v>
      </c>
      <c r="E9005" t="s">
        <v>4909</v>
      </c>
      <c r="F9005" t="s">
        <v>4909</v>
      </c>
      <c r="G9005" t="s">
        <v>4909</v>
      </c>
      <c r="H9005" t="s">
        <v>4909</v>
      </c>
      <c r="I9005" t="s">
        <v>4909</v>
      </c>
      <c r="J9005" t="s">
        <v>4909</v>
      </c>
      <c r="K9005" t="s">
        <v>4909</v>
      </c>
    </row>
    <row r="9006" spans="1:11" x14ac:dyDescent="0.2">
      <c r="A9006" t="s">
        <v>4375</v>
      </c>
      <c r="B9006" t="s">
        <v>4909</v>
      </c>
      <c r="C9006" t="s">
        <v>4909</v>
      </c>
      <c r="D9006" t="s">
        <v>4909</v>
      </c>
      <c r="E9006" t="s">
        <v>4909</v>
      </c>
      <c r="F9006" t="s">
        <v>4909</v>
      </c>
      <c r="G9006" t="s">
        <v>4909</v>
      </c>
      <c r="H9006" t="s">
        <v>4909</v>
      </c>
      <c r="I9006" t="s">
        <v>4909</v>
      </c>
      <c r="J9006" t="s">
        <v>4909</v>
      </c>
      <c r="K9006" t="s">
        <v>4909</v>
      </c>
    </row>
    <row r="9007" spans="1:11" x14ac:dyDescent="0.2">
      <c r="A9007" t="s">
        <v>4376</v>
      </c>
      <c r="B9007" t="s">
        <v>4909</v>
      </c>
      <c r="C9007" t="s">
        <v>4909</v>
      </c>
      <c r="D9007" t="s">
        <v>4909</v>
      </c>
      <c r="E9007" t="s">
        <v>4909</v>
      </c>
      <c r="F9007" t="s">
        <v>4909</v>
      </c>
      <c r="G9007" t="s">
        <v>4909</v>
      </c>
      <c r="H9007" t="s">
        <v>4909</v>
      </c>
      <c r="I9007" t="s">
        <v>4909</v>
      </c>
      <c r="J9007" t="s">
        <v>4909</v>
      </c>
      <c r="K9007" t="s">
        <v>4909</v>
      </c>
    </row>
    <row r="9008" spans="1:11" x14ac:dyDescent="0.2">
      <c r="A9008" t="s">
        <v>4377</v>
      </c>
      <c r="B9008" t="s">
        <v>4909</v>
      </c>
      <c r="C9008" t="s">
        <v>4909</v>
      </c>
      <c r="D9008" t="s">
        <v>4909</v>
      </c>
      <c r="E9008" t="s">
        <v>4909</v>
      </c>
      <c r="F9008" t="s">
        <v>4909</v>
      </c>
      <c r="G9008" t="s">
        <v>4909</v>
      </c>
      <c r="H9008" t="s">
        <v>4909</v>
      </c>
      <c r="I9008" t="s">
        <v>4909</v>
      </c>
      <c r="J9008" t="s">
        <v>4909</v>
      </c>
      <c r="K9008" t="s">
        <v>4909</v>
      </c>
    </row>
    <row r="9009" spans="1:11" x14ac:dyDescent="0.2">
      <c r="A9009" t="s">
        <v>2318</v>
      </c>
      <c r="B9009" t="s">
        <v>4399</v>
      </c>
      <c r="C9009" t="s">
        <v>4399</v>
      </c>
      <c r="D9009" t="s">
        <v>4399</v>
      </c>
      <c r="E9009" t="s">
        <v>4399</v>
      </c>
      <c r="F9009" t="s">
        <v>4399</v>
      </c>
      <c r="G9009" t="s">
        <v>4399</v>
      </c>
      <c r="H9009" t="s">
        <v>4399</v>
      </c>
      <c r="I9009" t="s">
        <v>4399</v>
      </c>
      <c r="J9009" t="s">
        <v>4399</v>
      </c>
      <c r="K9009" t="s">
        <v>4399</v>
      </c>
    </row>
    <row r="9010" spans="1:11" x14ac:dyDescent="0.2">
      <c r="A9010" t="s">
        <v>4248</v>
      </c>
    </row>
    <row r="9011" spans="1:11" x14ac:dyDescent="0.2">
      <c r="A9011" t="s">
        <v>4910</v>
      </c>
      <c r="B9011" t="s">
        <v>4904</v>
      </c>
      <c r="C9011" t="s">
        <v>4911</v>
      </c>
      <c r="D9011" t="s">
        <v>4912</v>
      </c>
      <c r="E9011" t="s">
        <v>4907</v>
      </c>
      <c r="F9011" t="s">
        <v>4913</v>
      </c>
      <c r="G9011">
        <v>20</v>
      </c>
    </row>
    <row r="9012" spans="1:11" x14ac:dyDescent="0.2">
      <c r="A9012" t="s">
        <v>2318</v>
      </c>
      <c r="B9012" t="s">
        <v>4399</v>
      </c>
      <c r="C9012" t="s">
        <v>4399</v>
      </c>
      <c r="D9012" t="s">
        <v>4399</v>
      </c>
      <c r="E9012" t="s">
        <v>4399</v>
      </c>
      <c r="F9012" t="s">
        <v>4399</v>
      </c>
      <c r="G9012" t="s">
        <v>4399</v>
      </c>
      <c r="H9012" t="s">
        <v>4399</v>
      </c>
      <c r="I9012" t="s">
        <v>4399</v>
      </c>
      <c r="J9012" t="s">
        <v>4399</v>
      </c>
      <c r="K9012" t="s">
        <v>4399</v>
      </c>
    </row>
    <row r="9013" spans="1:11" x14ac:dyDescent="0.2">
      <c r="A9013" t="s">
        <v>126</v>
      </c>
      <c r="B9013" t="s">
        <v>4656</v>
      </c>
      <c r="C9013" t="s">
        <v>4660</v>
      </c>
      <c r="D9013" t="s">
        <v>4663</v>
      </c>
      <c r="E9013" t="s">
        <v>4666</v>
      </c>
      <c r="F9013" t="s">
        <v>4670</v>
      </c>
      <c r="G9013" t="s">
        <v>4674</v>
      </c>
      <c r="H9013" t="s">
        <v>4678</v>
      </c>
      <c r="I9013" t="s">
        <v>4682</v>
      </c>
      <c r="J9013" t="s">
        <v>4686</v>
      </c>
      <c r="K9013" t="s">
        <v>4690</v>
      </c>
    </row>
    <row r="9014" spans="1:11" x14ac:dyDescent="0.2">
      <c r="A9014" t="s">
        <v>2318</v>
      </c>
      <c r="B9014" t="s">
        <v>4399</v>
      </c>
      <c r="C9014" t="s">
        <v>4399</v>
      </c>
      <c r="D9014" t="s">
        <v>4399</v>
      </c>
      <c r="E9014" t="s">
        <v>4399</v>
      </c>
      <c r="F9014" t="s">
        <v>4399</v>
      </c>
      <c r="G9014" t="s">
        <v>4399</v>
      </c>
      <c r="H9014" t="s">
        <v>4399</v>
      </c>
      <c r="I9014" t="s">
        <v>4399</v>
      </c>
      <c r="J9014" t="s">
        <v>4399</v>
      </c>
      <c r="K9014" t="s">
        <v>4399</v>
      </c>
    </row>
    <row r="9015" spans="1:11" x14ac:dyDescent="0.2">
      <c r="A9015" t="s">
        <v>4265</v>
      </c>
      <c r="B9015" t="s">
        <v>4909</v>
      </c>
      <c r="C9015" t="s">
        <v>4909</v>
      </c>
      <c r="D9015" t="s">
        <v>4909</v>
      </c>
      <c r="E9015" t="s">
        <v>4909</v>
      </c>
      <c r="F9015" t="s">
        <v>4909</v>
      </c>
      <c r="G9015" t="s">
        <v>4909</v>
      </c>
      <c r="H9015" s="88">
        <v>0.47599999999999998</v>
      </c>
      <c r="I9015" s="88">
        <v>0.19</v>
      </c>
      <c r="J9015" s="88">
        <v>0.33300000000000002</v>
      </c>
      <c r="K9015" t="s">
        <v>4909</v>
      </c>
    </row>
    <row r="9016" spans="1:11" x14ac:dyDescent="0.2">
      <c r="A9016" t="s">
        <v>4266</v>
      </c>
      <c r="B9016" t="s">
        <v>4909</v>
      </c>
      <c r="C9016" t="s">
        <v>4909</v>
      </c>
      <c r="D9016" t="s">
        <v>4909</v>
      </c>
      <c r="E9016" t="s">
        <v>4909</v>
      </c>
      <c r="F9016" t="s">
        <v>4909</v>
      </c>
      <c r="G9016" t="s">
        <v>4909</v>
      </c>
      <c r="H9016" t="s">
        <v>4909</v>
      </c>
      <c r="I9016" t="s">
        <v>4909</v>
      </c>
      <c r="J9016" t="s">
        <v>4909</v>
      </c>
      <c r="K9016" t="s">
        <v>4909</v>
      </c>
    </row>
    <row r="9017" spans="1:11" x14ac:dyDescent="0.2">
      <c r="A9017" t="s">
        <v>4267</v>
      </c>
      <c r="B9017" t="s">
        <v>4909</v>
      </c>
      <c r="C9017" t="s">
        <v>4909</v>
      </c>
      <c r="D9017" s="88">
        <v>1.4E-2</v>
      </c>
      <c r="E9017" s="88">
        <v>5.0000000000000001E-3</v>
      </c>
      <c r="F9017" s="88">
        <v>7.0000000000000001E-3</v>
      </c>
      <c r="G9017" t="s">
        <v>4909</v>
      </c>
      <c r="H9017" s="88">
        <v>3.7999999999999999E-2</v>
      </c>
      <c r="I9017" s="88">
        <v>1.4999999999999999E-2</v>
      </c>
      <c r="J9017" s="88">
        <v>1.2999999999999999E-2</v>
      </c>
      <c r="K9017" t="s">
        <v>4909</v>
      </c>
    </row>
    <row r="9018" spans="1:11" x14ac:dyDescent="0.2">
      <c r="A9018" t="s">
        <v>4268</v>
      </c>
      <c r="B9018" t="s">
        <v>4909</v>
      </c>
      <c r="C9018" t="s">
        <v>4909</v>
      </c>
      <c r="D9018" s="88">
        <v>1.4E-2</v>
      </c>
      <c r="E9018" s="88">
        <v>5.0000000000000001E-3</v>
      </c>
      <c r="F9018" s="88">
        <v>7.0000000000000001E-3</v>
      </c>
      <c r="G9018" t="s">
        <v>4909</v>
      </c>
      <c r="H9018" s="88">
        <v>3.6999999999999998E-2</v>
      </c>
      <c r="I9018" s="88">
        <v>1.6E-2</v>
      </c>
      <c r="J9018" s="88">
        <v>1.9E-2</v>
      </c>
      <c r="K9018" t="s">
        <v>4909</v>
      </c>
    </row>
    <row r="9019" spans="1:11" x14ac:dyDescent="0.2">
      <c r="A9019" t="s">
        <v>4269</v>
      </c>
      <c r="B9019" t="s">
        <v>4909</v>
      </c>
      <c r="C9019" t="s">
        <v>4909</v>
      </c>
      <c r="D9019" s="88">
        <v>2.1999999999999999E-2</v>
      </c>
      <c r="E9019" s="88">
        <v>8.0000000000000002E-3</v>
      </c>
      <c r="F9019" s="88">
        <v>1.0999999999999999E-2</v>
      </c>
      <c r="G9019" t="s">
        <v>4909</v>
      </c>
      <c r="H9019" s="88">
        <v>5.8000000000000003E-2</v>
      </c>
      <c r="I9019" s="88">
        <v>2.1999999999999999E-2</v>
      </c>
      <c r="J9019" s="88">
        <v>2.5999999999999999E-2</v>
      </c>
      <c r="K9019" t="s">
        <v>4909</v>
      </c>
    </row>
    <row r="9020" spans="1:11" x14ac:dyDescent="0.2">
      <c r="A9020" t="s">
        <v>4270</v>
      </c>
      <c r="B9020" t="s">
        <v>4909</v>
      </c>
      <c r="C9020" t="s">
        <v>4909</v>
      </c>
      <c r="D9020" s="88">
        <v>1.4999999999999999E-2</v>
      </c>
      <c r="E9020" s="88">
        <v>7.0000000000000001E-3</v>
      </c>
      <c r="F9020" s="88">
        <v>7.0000000000000001E-3</v>
      </c>
      <c r="G9020" t="s">
        <v>4909</v>
      </c>
      <c r="H9020" s="88">
        <v>4.9000000000000002E-2</v>
      </c>
      <c r="I9020" s="88">
        <v>1.7999999999999999E-2</v>
      </c>
      <c r="J9020" s="88">
        <v>2.1999999999999999E-2</v>
      </c>
      <c r="K9020" t="s">
        <v>4909</v>
      </c>
    </row>
    <row r="9021" spans="1:11" x14ac:dyDescent="0.2">
      <c r="A9021" t="s">
        <v>4271</v>
      </c>
      <c r="B9021" t="s">
        <v>4909</v>
      </c>
      <c r="C9021" t="s">
        <v>4909</v>
      </c>
      <c r="D9021" s="88">
        <v>1.2E-2</v>
      </c>
      <c r="E9021" s="88">
        <v>5.0000000000000001E-3</v>
      </c>
      <c r="F9021" s="88">
        <v>6.0000000000000001E-3</v>
      </c>
      <c r="G9021" t="s">
        <v>4909</v>
      </c>
      <c r="H9021" s="88">
        <v>3.5000000000000003E-2</v>
      </c>
      <c r="I9021" s="88">
        <v>1.2999999999999999E-2</v>
      </c>
      <c r="J9021" s="88">
        <v>1.4999999999999999E-2</v>
      </c>
      <c r="K9021" t="s">
        <v>4909</v>
      </c>
    </row>
    <row r="9022" spans="1:11" x14ac:dyDescent="0.2">
      <c r="A9022" t="s">
        <v>4272</v>
      </c>
      <c r="B9022" t="s">
        <v>4909</v>
      </c>
      <c r="C9022" t="s">
        <v>4909</v>
      </c>
      <c r="D9022" s="88">
        <v>4.0000000000000001E-3</v>
      </c>
      <c r="E9022" s="88">
        <v>1E-3</v>
      </c>
      <c r="F9022" s="88">
        <v>2E-3</v>
      </c>
      <c r="G9022" t="s">
        <v>4909</v>
      </c>
      <c r="H9022" s="88">
        <v>1.0999999999999999E-2</v>
      </c>
      <c r="I9022" s="88">
        <v>4.0000000000000001E-3</v>
      </c>
      <c r="J9022" s="88">
        <v>5.0000000000000001E-3</v>
      </c>
      <c r="K9022" t="s">
        <v>4909</v>
      </c>
    </row>
    <row r="9023" spans="1:11" x14ac:dyDescent="0.2">
      <c r="A9023" t="s">
        <v>4273</v>
      </c>
      <c r="B9023" t="s">
        <v>4909</v>
      </c>
      <c r="C9023" t="s">
        <v>4909</v>
      </c>
      <c r="D9023" s="88">
        <v>0.53500000000000003</v>
      </c>
      <c r="E9023" s="88">
        <v>0.214</v>
      </c>
      <c r="F9023" s="88">
        <v>0.25</v>
      </c>
      <c r="G9023" t="s">
        <v>4909</v>
      </c>
      <c r="H9023" t="s">
        <v>4909</v>
      </c>
      <c r="I9023" t="s">
        <v>4909</v>
      </c>
      <c r="J9023" t="s">
        <v>4909</v>
      </c>
      <c r="K9023" t="s">
        <v>4909</v>
      </c>
    </row>
    <row r="9024" spans="1:11" x14ac:dyDescent="0.2">
      <c r="A9024" t="s">
        <v>4274</v>
      </c>
      <c r="B9024" t="s">
        <v>4909</v>
      </c>
      <c r="C9024" t="s">
        <v>4909</v>
      </c>
      <c r="D9024" t="s">
        <v>4909</v>
      </c>
      <c r="E9024" t="s">
        <v>4909</v>
      </c>
      <c r="F9024" t="s">
        <v>4909</v>
      </c>
      <c r="G9024" t="s">
        <v>4909</v>
      </c>
      <c r="H9024" t="s">
        <v>4909</v>
      </c>
      <c r="I9024" t="s">
        <v>4909</v>
      </c>
      <c r="J9024" t="s">
        <v>4909</v>
      </c>
      <c r="K9024" t="s">
        <v>4909</v>
      </c>
    </row>
    <row r="9025" spans="1:11" x14ac:dyDescent="0.2">
      <c r="A9025" t="s">
        <v>4275</v>
      </c>
      <c r="B9025" t="s">
        <v>4909</v>
      </c>
      <c r="C9025" t="s">
        <v>4909</v>
      </c>
      <c r="D9025" t="s">
        <v>4909</v>
      </c>
      <c r="E9025" t="s">
        <v>4909</v>
      </c>
      <c r="F9025" t="s">
        <v>4909</v>
      </c>
      <c r="G9025" t="s">
        <v>4909</v>
      </c>
      <c r="H9025" t="s">
        <v>4909</v>
      </c>
      <c r="I9025" t="s">
        <v>4909</v>
      </c>
      <c r="J9025" t="s">
        <v>4909</v>
      </c>
      <c r="K9025" t="s">
        <v>4909</v>
      </c>
    </row>
    <row r="9026" spans="1:11" x14ac:dyDescent="0.2">
      <c r="A9026" t="s">
        <v>4276</v>
      </c>
      <c r="B9026" t="s">
        <v>4909</v>
      </c>
      <c r="C9026" t="s">
        <v>4909</v>
      </c>
      <c r="D9026" t="s">
        <v>4909</v>
      </c>
      <c r="E9026" t="s">
        <v>4909</v>
      </c>
      <c r="F9026" t="s">
        <v>4909</v>
      </c>
      <c r="G9026" t="s">
        <v>4909</v>
      </c>
      <c r="H9026" t="s">
        <v>4909</v>
      </c>
      <c r="I9026" t="s">
        <v>4909</v>
      </c>
      <c r="J9026" t="s">
        <v>4909</v>
      </c>
      <c r="K9026" t="s">
        <v>4909</v>
      </c>
    </row>
    <row r="9027" spans="1:11" x14ac:dyDescent="0.2">
      <c r="A9027" t="s">
        <v>4277</v>
      </c>
      <c r="B9027" t="s">
        <v>4909</v>
      </c>
      <c r="C9027" t="s">
        <v>4909</v>
      </c>
      <c r="D9027" t="s">
        <v>4909</v>
      </c>
      <c r="E9027" t="s">
        <v>4909</v>
      </c>
      <c r="F9027" t="s">
        <v>4909</v>
      </c>
      <c r="G9027" t="s">
        <v>4909</v>
      </c>
      <c r="H9027" t="s">
        <v>4909</v>
      </c>
      <c r="I9027" t="s">
        <v>4909</v>
      </c>
      <c r="J9027" t="s">
        <v>4909</v>
      </c>
      <c r="K9027" t="s">
        <v>4909</v>
      </c>
    </row>
    <row r="9028" spans="1:11" x14ac:dyDescent="0.2">
      <c r="A9028" t="s">
        <v>4278</v>
      </c>
      <c r="B9028" t="s">
        <v>4909</v>
      </c>
      <c r="C9028" t="s">
        <v>4909</v>
      </c>
      <c r="D9028" t="s">
        <v>4909</v>
      </c>
      <c r="E9028" t="s">
        <v>4909</v>
      </c>
      <c r="F9028" t="s">
        <v>4909</v>
      </c>
      <c r="G9028" t="s">
        <v>4909</v>
      </c>
      <c r="H9028" t="s">
        <v>4909</v>
      </c>
      <c r="I9028" t="s">
        <v>4909</v>
      </c>
      <c r="J9028" t="s">
        <v>4909</v>
      </c>
      <c r="K9028" t="s">
        <v>4909</v>
      </c>
    </row>
    <row r="9029" spans="1:11" x14ac:dyDescent="0.2">
      <c r="A9029" t="s">
        <v>4279</v>
      </c>
      <c r="B9029" t="s">
        <v>4909</v>
      </c>
      <c r="C9029" t="s">
        <v>4909</v>
      </c>
      <c r="D9029" s="88">
        <v>8.9999999999999993E-3</v>
      </c>
      <c r="E9029" s="88">
        <v>4.0000000000000001E-3</v>
      </c>
      <c r="F9029" s="88">
        <v>5.0000000000000001E-3</v>
      </c>
      <c r="G9029" t="s">
        <v>4909</v>
      </c>
      <c r="H9029" s="88">
        <v>2.7E-2</v>
      </c>
      <c r="I9029" s="88">
        <v>1.0999999999999999E-2</v>
      </c>
      <c r="J9029" s="88">
        <v>1.2E-2</v>
      </c>
      <c r="K9029" t="s">
        <v>4909</v>
      </c>
    </row>
    <row r="9030" spans="1:11" x14ac:dyDescent="0.2">
      <c r="A9030" t="s">
        <v>4280</v>
      </c>
      <c r="B9030" t="s">
        <v>4909</v>
      </c>
      <c r="C9030" t="s">
        <v>4909</v>
      </c>
      <c r="D9030" s="88">
        <v>7.0000000000000001E-3</v>
      </c>
      <c r="E9030" t="s">
        <v>4909</v>
      </c>
      <c r="F9030" t="s">
        <v>4909</v>
      </c>
      <c r="G9030" t="s">
        <v>4909</v>
      </c>
      <c r="H9030" s="88">
        <v>2.3E-2</v>
      </c>
      <c r="I9030" s="88">
        <v>7.0000000000000001E-3</v>
      </c>
      <c r="J9030" s="88">
        <v>7.0000000000000001E-3</v>
      </c>
      <c r="K9030" t="s">
        <v>4909</v>
      </c>
    </row>
    <row r="9031" spans="1:11" x14ac:dyDescent="0.2">
      <c r="A9031" t="s">
        <v>4281</v>
      </c>
      <c r="B9031" t="s">
        <v>4909</v>
      </c>
      <c r="C9031" t="s">
        <v>4909</v>
      </c>
      <c r="D9031" t="s">
        <v>4909</v>
      </c>
      <c r="E9031" t="s">
        <v>4909</v>
      </c>
      <c r="F9031" t="s">
        <v>4909</v>
      </c>
      <c r="G9031" t="s">
        <v>4909</v>
      </c>
      <c r="H9031" s="88">
        <v>0</v>
      </c>
      <c r="I9031" s="88">
        <v>0</v>
      </c>
      <c r="J9031" t="s">
        <v>4909</v>
      </c>
      <c r="K9031" t="s">
        <v>4909</v>
      </c>
    </row>
    <row r="9032" spans="1:11" x14ac:dyDescent="0.2">
      <c r="A9032" t="s">
        <v>4282</v>
      </c>
      <c r="B9032" t="s">
        <v>4909</v>
      </c>
      <c r="C9032" t="s">
        <v>4909</v>
      </c>
      <c r="D9032" t="s">
        <v>4909</v>
      </c>
      <c r="E9032" t="s">
        <v>4909</v>
      </c>
      <c r="F9032" t="s">
        <v>4909</v>
      </c>
      <c r="G9032" t="s">
        <v>4909</v>
      </c>
      <c r="H9032" s="88">
        <v>0</v>
      </c>
      <c r="I9032" t="s">
        <v>4909</v>
      </c>
      <c r="J9032" t="s">
        <v>4909</v>
      </c>
      <c r="K9032" t="s">
        <v>4909</v>
      </c>
    </row>
    <row r="9033" spans="1:11" x14ac:dyDescent="0.2">
      <c r="A9033" t="s">
        <v>4283</v>
      </c>
      <c r="B9033" t="s">
        <v>4909</v>
      </c>
      <c r="C9033" t="s">
        <v>4909</v>
      </c>
      <c r="D9033" s="88">
        <v>0</v>
      </c>
      <c r="E9033" s="88">
        <v>0</v>
      </c>
      <c r="F9033" s="88">
        <v>0</v>
      </c>
      <c r="G9033" t="s">
        <v>4909</v>
      </c>
      <c r="H9033" s="88">
        <v>1E-3</v>
      </c>
      <c r="I9033" s="88">
        <v>1E-3</v>
      </c>
      <c r="J9033" s="88">
        <v>0</v>
      </c>
      <c r="K9033" t="s">
        <v>4909</v>
      </c>
    </row>
    <row r="9034" spans="1:11" x14ac:dyDescent="0.2">
      <c r="A9034" t="s">
        <v>4284</v>
      </c>
      <c r="B9034" t="s">
        <v>4909</v>
      </c>
      <c r="C9034" t="s">
        <v>4909</v>
      </c>
      <c r="D9034" s="88">
        <v>0</v>
      </c>
      <c r="E9034" t="s">
        <v>4909</v>
      </c>
      <c r="F9034" t="s">
        <v>4909</v>
      </c>
      <c r="G9034" t="s">
        <v>4909</v>
      </c>
      <c r="H9034" s="88">
        <v>1E-3</v>
      </c>
      <c r="I9034" s="88">
        <v>0</v>
      </c>
      <c r="J9034" s="88">
        <v>0</v>
      </c>
      <c r="K9034" t="s">
        <v>4909</v>
      </c>
    </row>
    <row r="9035" spans="1:11" x14ac:dyDescent="0.2">
      <c r="A9035" t="s">
        <v>4285</v>
      </c>
      <c r="B9035" t="s">
        <v>4909</v>
      </c>
      <c r="C9035" t="s">
        <v>4909</v>
      </c>
      <c r="D9035" t="s">
        <v>4909</v>
      </c>
      <c r="E9035" t="s">
        <v>4909</v>
      </c>
      <c r="F9035" t="s">
        <v>4909</v>
      </c>
      <c r="G9035" t="s">
        <v>4909</v>
      </c>
      <c r="H9035" t="s">
        <v>4909</v>
      </c>
      <c r="I9035" s="88">
        <v>0</v>
      </c>
      <c r="J9035" t="s">
        <v>4909</v>
      </c>
      <c r="K9035" t="s">
        <v>4909</v>
      </c>
    </row>
    <row r="9036" spans="1:11" x14ac:dyDescent="0.2">
      <c r="A9036" t="s">
        <v>4286</v>
      </c>
      <c r="B9036" t="s">
        <v>4909</v>
      </c>
      <c r="C9036" t="s">
        <v>4909</v>
      </c>
      <c r="D9036" t="s">
        <v>4909</v>
      </c>
      <c r="E9036" t="s">
        <v>4909</v>
      </c>
      <c r="F9036" t="s">
        <v>4909</v>
      </c>
      <c r="G9036" t="s">
        <v>4909</v>
      </c>
      <c r="H9036" t="s">
        <v>4909</v>
      </c>
      <c r="I9036" t="s">
        <v>4909</v>
      </c>
      <c r="J9036" t="s">
        <v>4909</v>
      </c>
      <c r="K9036" t="s">
        <v>4909</v>
      </c>
    </row>
    <row r="9037" spans="1:11" x14ac:dyDescent="0.2">
      <c r="A9037" t="s">
        <v>4287</v>
      </c>
      <c r="B9037" t="s">
        <v>4909</v>
      </c>
      <c r="C9037" t="s">
        <v>4909</v>
      </c>
      <c r="D9037" t="s">
        <v>4909</v>
      </c>
      <c r="E9037" t="s">
        <v>4909</v>
      </c>
      <c r="F9037" t="s">
        <v>4909</v>
      </c>
      <c r="G9037" t="s">
        <v>4909</v>
      </c>
      <c r="H9037" t="s">
        <v>4909</v>
      </c>
      <c r="I9037" t="s">
        <v>4909</v>
      </c>
      <c r="J9037" t="s">
        <v>4909</v>
      </c>
      <c r="K9037" t="s">
        <v>4909</v>
      </c>
    </row>
    <row r="9038" spans="1:11" x14ac:dyDescent="0.2">
      <c r="A9038" t="s">
        <v>4288</v>
      </c>
      <c r="B9038" t="s">
        <v>4909</v>
      </c>
      <c r="C9038" t="s">
        <v>4909</v>
      </c>
      <c r="D9038" t="s">
        <v>4909</v>
      </c>
      <c r="E9038" t="s">
        <v>4909</v>
      </c>
      <c r="F9038" t="s">
        <v>4909</v>
      </c>
      <c r="G9038" t="s">
        <v>4909</v>
      </c>
      <c r="H9038" t="s">
        <v>4909</v>
      </c>
      <c r="I9038" t="s">
        <v>4909</v>
      </c>
      <c r="J9038" t="s">
        <v>4909</v>
      </c>
      <c r="K9038" t="s">
        <v>4909</v>
      </c>
    </row>
    <row r="9039" spans="1:11" x14ac:dyDescent="0.2">
      <c r="A9039" t="s">
        <v>4289</v>
      </c>
      <c r="B9039" t="s">
        <v>4909</v>
      </c>
      <c r="C9039" t="s">
        <v>4909</v>
      </c>
      <c r="D9039" t="s">
        <v>4909</v>
      </c>
      <c r="E9039" t="s">
        <v>4909</v>
      </c>
      <c r="F9039" t="s">
        <v>4909</v>
      </c>
      <c r="G9039" t="s">
        <v>4909</v>
      </c>
      <c r="H9039" t="s">
        <v>4909</v>
      </c>
      <c r="I9039" t="s">
        <v>4909</v>
      </c>
      <c r="J9039" t="s">
        <v>4909</v>
      </c>
      <c r="K9039" t="s">
        <v>4909</v>
      </c>
    </row>
    <row r="9040" spans="1:11" x14ac:dyDescent="0.2">
      <c r="A9040" t="s">
        <v>4290</v>
      </c>
      <c r="B9040" t="s">
        <v>4909</v>
      </c>
      <c r="C9040" t="s">
        <v>4909</v>
      </c>
      <c r="D9040" t="s">
        <v>4909</v>
      </c>
      <c r="E9040" t="s">
        <v>4909</v>
      </c>
      <c r="F9040" t="s">
        <v>4909</v>
      </c>
      <c r="G9040" t="s">
        <v>4909</v>
      </c>
      <c r="H9040" t="s">
        <v>4909</v>
      </c>
      <c r="I9040" t="s">
        <v>4909</v>
      </c>
      <c r="J9040" t="s">
        <v>4909</v>
      </c>
      <c r="K9040" t="s">
        <v>4909</v>
      </c>
    </row>
    <row r="9041" spans="1:11" x14ac:dyDescent="0.2">
      <c r="A9041" t="s">
        <v>4291</v>
      </c>
      <c r="B9041" t="s">
        <v>4909</v>
      </c>
      <c r="C9041" t="s">
        <v>4909</v>
      </c>
      <c r="D9041" t="s">
        <v>4909</v>
      </c>
      <c r="E9041" t="s">
        <v>4909</v>
      </c>
      <c r="F9041" t="s">
        <v>4909</v>
      </c>
      <c r="G9041" t="s">
        <v>4909</v>
      </c>
      <c r="H9041" t="s">
        <v>4909</v>
      </c>
      <c r="I9041" t="s">
        <v>4909</v>
      </c>
      <c r="J9041" t="s">
        <v>4909</v>
      </c>
      <c r="K9041" t="s">
        <v>4909</v>
      </c>
    </row>
    <row r="9042" spans="1:11" x14ac:dyDescent="0.2">
      <c r="A9042" t="s">
        <v>4292</v>
      </c>
      <c r="B9042" t="s">
        <v>4909</v>
      </c>
      <c r="C9042" t="s">
        <v>4909</v>
      </c>
      <c r="D9042" t="s">
        <v>4909</v>
      </c>
      <c r="E9042" t="s">
        <v>4909</v>
      </c>
      <c r="F9042" t="s">
        <v>4909</v>
      </c>
      <c r="G9042" t="s">
        <v>4909</v>
      </c>
      <c r="H9042" t="s">
        <v>4909</v>
      </c>
      <c r="I9042" t="s">
        <v>4909</v>
      </c>
      <c r="J9042" t="s">
        <v>4909</v>
      </c>
      <c r="K9042" t="s">
        <v>4909</v>
      </c>
    </row>
    <row r="9043" spans="1:11" x14ac:dyDescent="0.2">
      <c r="A9043" t="s">
        <v>4293</v>
      </c>
      <c r="B9043" t="s">
        <v>4909</v>
      </c>
      <c r="C9043" t="s">
        <v>4909</v>
      </c>
      <c r="D9043" t="s">
        <v>4909</v>
      </c>
      <c r="E9043" t="s">
        <v>4909</v>
      </c>
      <c r="F9043" t="s">
        <v>4909</v>
      </c>
      <c r="G9043" t="s">
        <v>4909</v>
      </c>
      <c r="H9043" t="s">
        <v>4909</v>
      </c>
      <c r="I9043" t="s">
        <v>4909</v>
      </c>
      <c r="J9043" t="s">
        <v>4909</v>
      </c>
      <c r="K9043" t="s">
        <v>4909</v>
      </c>
    </row>
    <row r="9044" spans="1:11" x14ac:dyDescent="0.2">
      <c r="A9044" t="s">
        <v>4294</v>
      </c>
      <c r="B9044" t="s">
        <v>4909</v>
      </c>
      <c r="C9044" t="s">
        <v>4909</v>
      </c>
      <c r="D9044" t="s">
        <v>4909</v>
      </c>
      <c r="E9044" t="s">
        <v>4909</v>
      </c>
      <c r="F9044" t="s">
        <v>4909</v>
      </c>
      <c r="G9044" t="s">
        <v>4909</v>
      </c>
      <c r="H9044" t="s">
        <v>4909</v>
      </c>
      <c r="I9044" t="s">
        <v>4909</v>
      </c>
      <c r="J9044" t="s">
        <v>4909</v>
      </c>
      <c r="K9044" t="s">
        <v>4909</v>
      </c>
    </row>
    <row r="9045" spans="1:11" x14ac:dyDescent="0.2">
      <c r="A9045" t="s">
        <v>4295</v>
      </c>
      <c r="B9045" t="s">
        <v>4909</v>
      </c>
      <c r="C9045" t="s">
        <v>4909</v>
      </c>
      <c r="D9045" t="s">
        <v>4909</v>
      </c>
      <c r="E9045" t="s">
        <v>4909</v>
      </c>
      <c r="F9045" t="s">
        <v>4909</v>
      </c>
      <c r="G9045" t="s">
        <v>4909</v>
      </c>
      <c r="H9045" t="s">
        <v>4909</v>
      </c>
      <c r="I9045" t="s">
        <v>4909</v>
      </c>
      <c r="J9045" t="s">
        <v>4909</v>
      </c>
      <c r="K9045" t="s">
        <v>4909</v>
      </c>
    </row>
    <row r="9046" spans="1:11" x14ac:dyDescent="0.2">
      <c r="A9046" t="s">
        <v>4296</v>
      </c>
      <c r="B9046" t="s">
        <v>4909</v>
      </c>
      <c r="C9046" t="s">
        <v>4909</v>
      </c>
      <c r="D9046" t="s">
        <v>4909</v>
      </c>
      <c r="E9046" t="s">
        <v>4909</v>
      </c>
      <c r="F9046" t="s">
        <v>4909</v>
      </c>
      <c r="G9046" t="s">
        <v>4909</v>
      </c>
      <c r="H9046" t="s">
        <v>4909</v>
      </c>
      <c r="I9046" t="s">
        <v>4909</v>
      </c>
      <c r="J9046" t="s">
        <v>4909</v>
      </c>
      <c r="K9046" t="s">
        <v>4909</v>
      </c>
    </row>
    <row r="9047" spans="1:11" x14ac:dyDescent="0.2">
      <c r="A9047" t="s">
        <v>4297</v>
      </c>
      <c r="B9047" t="s">
        <v>4909</v>
      </c>
      <c r="C9047" t="s">
        <v>4909</v>
      </c>
      <c r="D9047" t="s">
        <v>4909</v>
      </c>
      <c r="E9047" t="s">
        <v>4909</v>
      </c>
      <c r="F9047" t="s">
        <v>4909</v>
      </c>
      <c r="G9047" t="s">
        <v>4909</v>
      </c>
      <c r="H9047" s="88">
        <v>0</v>
      </c>
      <c r="I9047" s="88">
        <v>0</v>
      </c>
      <c r="J9047" t="s">
        <v>4909</v>
      </c>
      <c r="K9047" t="s">
        <v>4909</v>
      </c>
    </row>
    <row r="9048" spans="1:11" x14ac:dyDescent="0.2">
      <c r="A9048" t="s">
        <v>4298</v>
      </c>
      <c r="B9048" t="s">
        <v>4909</v>
      </c>
      <c r="C9048" t="s">
        <v>4909</v>
      </c>
      <c r="D9048" t="s">
        <v>4909</v>
      </c>
      <c r="E9048" t="s">
        <v>4909</v>
      </c>
      <c r="F9048" t="s">
        <v>4909</v>
      </c>
      <c r="G9048" t="s">
        <v>4909</v>
      </c>
      <c r="H9048" t="s">
        <v>4909</v>
      </c>
      <c r="I9048" t="s">
        <v>4909</v>
      </c>
      <c r="J9048" t="s">
        <v>4909</v>
      </c>
      <c r="K9048" t="s">
        <v>4909</v>
      </c>
    </row>
    <row r="9049" spans="1:11" x14ac:dyDescent="0.2">
      <c r="A9049" t="s">
        <v>4299</v>
      </c>
      <c r="B9049" t="s">
        <v>4909</v>
      </c>
      <c r="C9049" t="s">
        <v>4909</v>
      </c>
      <c r="D9049" t="s">
        <v>4909</v>
      </c>
      <c r="E9049" t="s">
        <v>4909</v>
      </c>
      <c r="F9049" t="s">
        <v>4909</v>
      </c>
      <c r="G9049" t="s">
        <v>4909</v>
      </c>
      <c r="H9049" t="s">
        <v>4909</v>
      </c>
      <c r="I9049" t="s">
        <v>4909</v>
      </c>
      <c r="J9049" t="s">
        <v>4909</v>
      </c>
      <c r="K9049" t="s">
        <v>4909</v>
      </c>
    </row>
    <row r="9050" spans="1:11" x14ac:dyDescent="0.2">
      <c r="A9050" t="s">
        <v>4300</v>
      </c>
      <c r="B9050" t="s">
        <v>4909</v>
      </c>
      <c r="C9050" t="s">
        <v>4909</v>
      </c>
      <c r="D9050" t="s">
        <v>4909</v>
      </c>
      <c r="E9050" t="s">
        <v>4909</v>
      </c>
      <c r="F9050" t="s">
        <v>4909</v>
      </c>
      <c r="G9050" t="s">
        <v>4909</v>
      </c>
      <c r="H9050" t="s">
        <v>4909</v>
      </c>
      <c r="I9050" t="s">
        <v>4909</v>
      </c>
      <c r="J9050" t="s">
        <v>4909</v>
      </c>
      <c r="K9050" t="s">
        <v>4909</v>
      </c>
    </row>
    <row r="9051" spans="1:11" x14ac:dyDescent="0.2">
      <c r="A9051" t="s">
        <v>4301</v>
      </c>
      <c r="B9051" t="s">
        <v>4909</v>
      </c>
      <c r="C9051" t="s">
        <v>4909</v>
      </c>
      <c r="D9051" t="s">
        <v>4909</v>
      </c>
      <c r="E9051" s="88">
        <v>0</v>
      </c>
      <c r="F9051" t="s">
        <v>4909</v>
      </c>
      <c r="G9051" t="s">
        <v>4909</v>
      </c>
      <c r="H9051" s="88">
        <v>0</v>
      </c>
      <c r="I9051" s="88">
        <v>0</v>
      </c>
      <c r="J9051" s="88">
        <v>0</v>
      </c>
      <c r="K9051" t="s">
        <v>4909</v>
      </c>
    </row>
    <row r="9052" spans="1:11" x14ac:dyDescent="0.2">
      <c r="A9052" t="s">
        <v>4302</v>
      </c>
      <c r="B9052" t="s">
        <v>4909</v>
      </c>
      <c r="C9052" t="s">
        <v>4909</v>
      </c>
      <c r="D9052" t="s">
        <v>4909</v>
      </c>
      <c r="E9052" t="s">
        <v>4909</v>
      </c>
      <c r="F9052" t="s">
        <v>4909</v>
      </c>
      <c r="G9052" t="s">
        <v>4909</v>
      </c>
      <c r="H9052" t="s">
        <v>4909</v>
      </c>
      <c r="I9052" t="s">
        <v>4909</v>
      </c>
      <c r="J9052" t="s">
        <v>4909</v>
      </c>
      <c r="K9052" t="s">
        <v>4909</v>
      </c>
    </row>
    <row r="9053" spans="1:11" x14ac:dyDescent="0.2">
      <c r="A9053" t="s">
        <v>4303</v>
      </c>
      <c r="B9053" t="s">
        <v>4909</v>
      </c>
      <c r="C9053" t="s">
        <v>4909</v>
      </c>
      <c r="D9053" t="s">
        <v>4909</v>
      </c>
      <c r="E9053" t="s">
        <v>4909</v>
      </c>
      <c r="F9053" t="s">
        <v>4909</v>
      </c>
      <c r="G9053" t="s">
        <v>4909</v>
      </c>
      <c r="H9053" t="s">
        <v>4909</v>
      </c>
      <c r="I9053" t="s">
        <v>4909</v>
      </c>
      <c r="J9053" t="s">
        <v>4909</v>
      </c>
      <c r="K9053" t="s">
        <v>4909</v>
      </c>
    </row>
    <row r="9054" spans="1:11" x14ac:dyDescent="0.2">
      <c r="A9054" t="s">
        <v>4304</v>
      </c>
      <c r="B9054" t="s">
        <v>4909</v>
      </c>
      <c r="C9054" t="s">
        <v>4909</v>
      </c>
      <c r="D9054" t="s">
        <v>4909</v>
      </c>
      <c r="E9054" t="s">
        <v>4909</v>
      </c>
      <c r="F9054" t="s">
        <v>4909</v>
      </c>
      <c r="G9054" t="s">
        <v>4909</v>
      </c>
      <c r="H9054" t="s">
        <v>4909</v>
      </c>
      <c r="I9054" t="s">
        <v>4909</v>
      </c>
      <c r="J9054" t="s">
        <v>4909</v>
      </c>
      <c r="K9054" t="s">
        <v>4909</v>
      </c>
    </row>
    <row r="9055" spans="1:11" x14ac:dyDescent="0.2">
      <c r="A9055" t="s">
        <v>4305</v>
      </c>
      <c r="B9055" t="s">
        <v>4909</v>
      </c>
      <c r="C9055" t="s">
        <v>4909</v>
      </c>
      <c r="D9055" t="s">
        <v>4909</v>
      </c>
      <c r="E9055" t="s">
        <v>4909</v>
      </c>
      <c r="F9055" t="s">
        <v>4909</v>
      </c>
      <c r="G9055" t="s">
        <v>4909</v>
      </c>
      <c r="H9055" t="s">
        <v>4909</v>
      </c>
      <c r="I9055" t="s">
        <v>4909</v>
      </c>
      <c r="J9055" t="s">
        <v>4909</v>
      </c>
      <c r="K9055" t="s">
        <v>4909</v>
      </c>
    </row>
    <row r="9056" spans="1:11" x14ac:dyDescent="0.2">
      <c r="A9056" t="s">
        <v>4306</v>
      </c>
      <c r="B9056" t="s">
        <v>4909</v>
      </c>
      <c r="C9056" t="s">
        <v>4909</v>
      </c>
      <c r="D9056" t="s">
        <v>4909</v>
      </c>
      <c r="E9056" t="s">
        <v>4909</v>
      </c>
      <c r="F9056" t="s">
        <v>4909</v>
      </c>
      <c r="G9056" t="s">
        <v>4909</v>
      </c>
      <c r="H9056" t="s">
        <v>4909</v>
      </c>
      <c r="I9056" t="s">
        <v>4909</v>
      </c>
      <c r="J9056" t="s">
        <v>4909</v>
      </c>
      <c r="K9056" t="s">
        <v>4909</v>
      </c>
    </row>
    <row r="9057" spans="1:11" x14ac:dyDescent="0.2">
      <c r="A9057" t="s">
        <v>4307</v>
      </c>
      <c r="B9057" t="s">
        <v>4909</v>
      </c>
      <c r="C9057" t="s">
        <v>4909</v>
      </c>
      <c r="D9057" t="s">
        <v>4909</v>
      </c>
      <c r="E9057" t="s">
        <v>4909</v>
      </c>
      <c r="F9057" t="s">
        <v>4909</v>
      </c>
      <c r="G9057" t="s">
        <v>4909</v>
      </c>
      <c r="H9057" t="s">
        <v>4909</v>
      </c>
      <c r="I9057" t="s">
        <v>4909</v>
      </c>
      <c r="J9057" t="s">
        <v>4909</v>
      </c>
      <c r="K9057" t="s">
        <v>4909</v>
      </c>
    </row>
    <row r="9058" spans="1:11" x14ac:dyDescent="0.2">
      <c r="A9058" t="s">
        <v>4308</v>
      </c>
      <c r="B9058" t="s">
        <v>4909</v>
      </c>
      <c r="C9058" t="s">
        <v>4909</v>
      </c>
      <c r="D9058" t="s">
        <v>4909</v>
      </c>
      <c r="E9058" t="s">
        <v>4909</v>
      </c>
      <c r="F9058" t="s">
        <v>4909</v>
      </c>
      <c r="G9058" t="s">
        <v>4909</v>
      </c>
      <c r="H9058" t="s">
        <v>4909</v>
      </c>
      <c r="I9058" t="s">
        <v>4909</v>
      </c>
      <c r="J9058" t="s">
        <v>4909</v>
      </c>
      <c r="K9058" t="s">
        <v>4909</v>
      </c>
    </row>
    <row r="9059" spans="1:11" x14ac:dyDescent="0.2">
      <c r="A9059" t="s">
        <v>4309</v>
      </c>
      <c r="B9059" t="s">
        <v>4909</v>
      </c>
      <c r="C9059" t="s">
        <v>4909</v>
      </c>
      <c r="D9059" t="s">
        <v>4909</v>
      </c>
      <c r="E9059" t="s">
        <v>4909</v>
      </c>
      <c r="F9059" t="s">
        <v>4909</v>
      </c>
      <c r="G9059" t="s">
        <v>4909</v>
      </c>
      <c r="H9059" t="s">
        <v>4909</v>
      </c>
      <c r="I9059" t="s">
        <v>4909</v>
      </c>
      <c r="J9059" t="s">
        <v>4909</v>
      </c>
      <c r="K9059" t="s">
        <v>4909</v>
      </c>
    </row>
    <row r="9060" spans="1:11" x14ac:dyDescent="0.2">
      <c r="A9060" t="s">
        <v>4310</v>
      </c>
      <c r="B9060" t="s">
        <v>4909</v>
      </c>
      <c r="C9060" t="s">
        <v>4909</v>
      </c>
      <c r="D9060" t="s">
        <v>4909</v>
      </c>
      <c r="E9060" t="s">
        <v>4909</v>
      </c>
      <c r="F9060" t="s">
        <v>4909</v>
      </c>
      <c r="G9060" t="s">
        <v>4909</v>
      </c>
      <c r="H9060" t="s">
        <v>4909</v>
      </c>
      <c r="I9060" t="s">
        <v>4909</v>
      </c>
      <c r="J9060" t="s">
        <v>4909</v>
      </c>
      <c r="K9060" t="s">
        <v>4909</v>
      </c>
    </row>
    <row r="9061" spans="1:11" x14ac:dyDescent="0.2">
      <c r="A9061" t="s">
        <v>4311</v>
      </c>
      <c r="B9061" t="s">
        <v>4909</v>
      </c>
      <c r="C9061" t="s">
        <v>4909</v>
      </c>
      <c r="D9061" t="s">
        <v>4909</v>
      </c>
      <c r="E9061" t="s">
        <v>4909</v>
      </c>
      <c r="F9061" t="s">
        <v>4909</v>
      </c>
      <c r="G9061" t="s">
        <v>4909</v>
      </c>
      <c r="H9061" t="s">
        <v>4909</v>
      </c>
      <c r="I9061" t="s">
        <v>4909</v>
      </c>
      <c r="J9061" t="s">
        <v>4909</v>
      </c>
      <c r="K9061" t="s">
        <v>4909</v>
      </c>
    </row>
    <row r="9062" spans="1:11" x14ac:dyDescent="0.2">
      <c r="A9062" t="s">
        <v>4312</v>
      </c>
      <c r="B9062" t="s">
        <v>4909</v>
      </c>
      <c r="C9062" t="s">
        <v>4909</v>
      </c>
      <c r="D9062" t="s">
        <v>4909</v>
      </c>
      <c r="E9062" t="s">
        <v>4909</v>
      </c>
      <c r="F9062" t="s">
        <v>4909</v>
      </c>
      <c r="G9062" t="s">
        <v>4909</v>
      </c>
      <c r="H9062" t="s">
        <v>4909</v>
      </c>
      <c r="I9062" t="s">
        <v>4909</v>
      </c>
      <c r="J9062" t="s">
        <v>4909</v>
      </c>
      <c r="K9062" t="s">
        <v>4909</v>
      </c>
    </row>
    <row r="9063" spans="1:11" x14ac:dyDescent="0.2">
      <c r="A9063" t="s">
        <v>4313</v>
      </c>
      <c r="B9063" t="s">
        <v>4909</v>
      </c>
      <c r="C9063" t="s">
        <v>4909</v>
      </c>
      <c r="D9063" t="s">
        <v>4909</v>
      </c>
      <c r="E9063" t="s">
        <v>4909</v>
      </c>
      <c r="F9063" t="s">
        <v>4909</v>
      </c>
      <c r="G9063" t="s">
        <v>4909</v>
      </c>
      <c r="H9063" t="s">
        <v>4909</v>
      </c>
      <c r="I9063" t="s">
        <v>4909</v>
      </c>
      <c r="J9063" t="s">
        <v>4909</v>
      </c>
      <c r="K9063" t="s">
        <v>4909</v>
      </c>
    </row>
    <row r="9064" spans="1:11" x14ac:dyDescent="0.2">
      <c r="A9064" t="s">
        <v>4314</v>
      </c>
      <c r="B9064" t="s">
        <v>4909</v>
      </c>
      <c r="C9064" t="s">
        <v>4909</v>
      </c>
      <c r="D9064" t="s">
        <v>4909</v>
      </c>
      <c r="E9064" t="s">
        <v>4909</v>
      </c>
      <c r="F9064" t="s">
        <v>4909</v>
      </c>
      <c r="G9064" t="s">
        <v>4909</v>
      </c>
      <c r="H9064" t="s">
        <v>4909</v>
      </c>
      <c r="I9064" t="s">
        <v>4909</v>
      </c>
      <c r="J9064" t="s">
        <v>4909</v>
      </c>
      <c r="K9064" t="s">
        <v>4909</v>
      </c>
    </row>
    <row r="9065" spans="1:11" x14ac:dyDescent="0.2">
      <c r="A9065" t="s">
        <v>4315</v>
      </c>
      <c r="B9065" t="s">
        <v>4909</v>
      </c>
      <c r="C9065" t="s">
        <v>4909</v>
      </c>
      <c r="D9065" t="s">
        <v>4909</v>
      </c>
      <c r="E9065" t="s">
        <v>4909</v>
      </c>
      <c r="F9065" t="s">
        <v>4909</v>
      </c>
      <c r="G9065" t="s">
        <v>4909</v>
      </c>
      <c r="H9065" t="s">
        <v>4909</v>
      </c>
      <c r="I9065" t="s">
        <v>4909</v>
      </c>
      <c r="J9065" t="s">
        <v>4909</v>
      </c>
      <c r="K9065" t="s">
        <v>4909</v>
      </c>
    </row>
    <row r="9066" spans="1:11" x14ac:dyDescent="0.2">
      <c r="A9066" t="s">
        <v>4316</v>
      </c>
      <c r="B9066" t="s">
        <v>4909</v>
      </c>
      <c r="C9066" t="s">
        <v>4909</v>
      </c>
      <c r="D9066" t="s">
        <v>4909</v>
      </c>
      <c r="E9066" t="s">
        <v>4909</v>
      </c>
      <c r="F9066" t="s">
        <v>4909</v>
      </c>
      <c r="G9066" t="s">
        <v>4909</v>
      </c>
      <c r="H9066" t="s">
        <v>4909</v>
      </c>
      <c r="I9066" t="s">
        <v>4909</v>
      </c>
      <c r="J9066" t="s">
        <v>4909</v>
      </c>
      <c r="K9066" t="s">
        <v>4909</v>
      </c>
    </row>
    <row r="9067" spans="1:11" x14ac:dyDescent="0.2">
      <c r="A9067" t="s">
        <v>4317</v>
      </c>
      <c r="B9067" t="s">
        <v>4909</v>
      </c>
      <c r="C9067" t="s">
        <v>4909</v>
      </c>
      <c r="D9067" t="s">
        <v>4909</v>
      </c>
      <c r="E9067" t="s">
        <v>4909</v>
      </c>
      <c r="F9067" t="s">
        <v>4909</v>
      </c>
      <c r="G9067" t="s">
        <v>4909</v>
      </c>
      <c r="H9067" t="s">
        <v>4909</v>
      </c>
      <c r="I9067" t="s">
        <v>4909</v>
      </c>
      <c r="J9067" t="s">
        <v>4909</v>
      </c>
      <c r="K9067" t="s">
        <v>4909</v>
      </c>
    </row>
    <row r="9068" spans="1:11" x14ac:dyDescent="0.2">
      <c r="A9068" t="s">
        <v>4318</v>
      </c>
      <c r="B9068" t="s">
        <v>4909</v>
      </c>
      <c r="C9068" t="s">
        <v>4909</v>
      </c>
      <c r="D9068" t="s">
        <v>4909</v>
      </c>
      <c r="E9068" t="s">
        <v>4909</v>
      </c>
      <c r="F9068" t="s">
        <v>4909</v>
      </c>
      <c r="G9068" t="s">
        <v>4909</v>
      </c>
      <c r="H9068" t="s">
        <v>4909</v>
      </c>
      <c r="I9068" t="s">
        <v>4909</v>
      </c>
      <c r="J9068" t="s">
        <v>4909</v>
      </c>
      <c r="K9068" t="s">
        <v>4909</v>
      </c>
    </row>
    <row r="9069" spans="1:11" x14ac:dyDescent="0.2">
      <c r="A9069" t="s">
        <v>4319</v>
      </c>
      <c r="B9069" t="s">
        <v>4909</v>
      </c>
      <c r="C9069" t="s">
        <v>4909</v>
      </c>
      <c r="D9069" t="s">
        <v>4909</v>
      </c>
      <c r="E9069" t="s">
        <v>4909</v>
      </c>
      <c r="F9069" t="s">
        <v>4909</v>
      </c>
      <c r="G9069" t="s">
        <v>4909</v>
      </c>
      <c r="H9069" t="s">
        <v>4909</v>
      </c>
      <c r="I9069" t="s">
        <v>4909</v>
      </c>
      <c r="J9069" t="s">
        <v>4909</v>
      </c>
      <c r="K9069" t="s">
        <v>4909</v>
      </c>
    </row>
    <row r="9070" spans="1:11" x14ac:dyDescent="0.2">
      <c r="A9070" t="s">
        <v>4320</v>
      </c>
      <c r="B9070" t="s">
        <v>4909</v>
      </c>
      <c r="C9070" t="s">
        <v>4909</v>
      </c>
      <c r="D9070" t="s">
        <v>4909</v>
      </c>
      <c r="E9070" t="s">
        <v>4909</v>
      </c>
      <c r="F9070" t="s">
        <v>4909</v>
      </c>
      <c r="G9070" t="s">
        <v>4909</v>
      </c>
      <c r="H9070" t="s">
        <v>4909</v>
      </c>
      <c r="I9070" t="s">
        <v>4909</v>
      </c>
      <c r="J9070" t="s">
        <v>4909</v>
      </c>
      <c r="K9070" t="s">
        <v>4909</v>
      </c>
    </row>
    <row r="9071" spans="1:11" x14ac:dyDescent="0.2">
      <c r="A9071" t="s">
        <v>4321</v>
      </c>
      <c r="B9071" t="s">
        <v>4909</v>
      </c>
      <c r="C9071" t="s">
        <v>4909</v>
      </c>
      <c r="D9071" t="s">
        <v>4909</v>
      </c>
      <c r="E9071" t="s">
        <v>4909</v>
      </c>
      <c r="F9071" t="s">
        <v>4909</v>
      </c>
      <c r="G9071" t="s">
        <v>4909</v>
      </c>
      <c r="H9071" t="s">
        <v>4909</v>
      </c>
      <c r="I9071" t="s">
        <v>4909</v>
      </c>
      <c r="J9071" t="s">
        <v>4909</v>
      </c>
      <c r="K9071" t="s">
        <v>4909</v>
      </c>
    </row>
    <row r="9072" spans="1:11" x14ac:dyDescent="0.2">
      <c r="A9072" t="s">
        <v>4322</v>
      </c>
      <c r="B9072" t="s">
        <v>4909</v>
      </c>
      <c r="C9072" t="s">
        <v>4909</v>
      </c>
      <c r="D9072" t="s">
        <v>4909</v>
      </c>
      <c r="E9072" t="s">
        <v>4909</v>
      </c>
      <c r="F9072" t="s">
        <v>4909</v>
      </c>
      <c r="G9072" t="s">
        <v>4909</v>
      </c>
      <c r="H9072" t="s">
        <v>4909</v>
      </c>
      <c r="I9072" t="s">
        <v>4909</v>
      </c>
      <c r="J9072" t="s">
        <v>4909</v>
      </c>
      <c r="K9072" t="s">
        <v>4909</v>
      </c>
    </row>
    <row r="9073" spans="1:11" x14ac:dyDescent="0.2">
      <c r="A9073" t="s">
        <v>4323</v>
      </c>
      <c r="B9073" t="s">
        <v>4909</v>
      </c>
      <c r="C9073" t="s">
        <v>4909</v>
      </c>
      <c r="D9073" t="s">
        <v>4909</v>
      </c>
      <c r="E9073" t="s">
        <v>4909</v>
      </c>
      <c r="F9073" t="s">
        <v>4909</v>
      </c>
      <c r="G9073" t="s">
        <v>4909</v>
      </c>
      <c r="H9073" t="s">
        <v>4909</v>
      </c>
      <c r="I9073" t="s">
        <v>4909</v>
      </c>
      <c r="J9073" t="s">
        <v>4909</v>
      </c>
      <c r="K9073" t="s">
        <v>4909</v>
      </c>
    </row>
    <row r="9074" spans="1:11" x14ac:dyDescent="0.2">
      <c r="A9074" t="s">
        <v>4324</v>
      </c>
      <c r="B9074" t="s">
        <v>4909</v>
      </c>
      <c r="C9074" t="s">
        <v>4909</v>
      </c>
      <c r="D9074" t="s">
        <v>4909</v>
      </c>
      <c r="E9074" t="s">
        <v>4909</v>
      </c>
      <c r="F9074" t="s">
        <v>4909</v>
      </c>
      <c r="G9074" t="s">
        <v>4909</v>
      </c>
      <c r="H9074" t="s">
        <v>4909</v>
      </c>
      <c r="I9074" t="s">
        <v>4909</v>
      </c>
      <c r="J9074" t="s">
        <v>4909</v>
      </c>
      <c r="K9074" t="s">
        <v>4909</v>
      </c>
    </row>
    <row r="9075" spans="1:11" x14ac:dyDescent="0.2">
      <c r="A9075" t="s">
        <v>4325</v>
      </c>
      <c r="B9075" t="s">
        <v>4909</v>
      </c>
      <c r="C9075" t="s">
        <v>4909</v>
      </c>
      <c r="D9075" t="s">
        <v>4909</v>
      </c>
      <c r="E9075" t="s">
        <v>4909</v>
      </c>
      <c r="F9075" t="s">
        <v>4909</v>
      </c>
      <c r="G9075" t="s">
        <v>4909</v>
      </c>
      <c r="H9075" t="s">
        <v>4909</v>
      </c>
      <c r="I9075" t="s">
        <v>4909</v>
      </c>
      <c r="J9075" t="s">
        <v>4909</v>
      </c>
      <c r="K9075" t="s">
        <v>4909</v>
      </c>
    </row>
    <row r="9076" spans="1:11" x14ac:dyDescent="0.2">
      <c r="A9076" t="s">
        <v>4326</v>
      </c>
      <c r="B9076" t="s">
        <v>4909</v>
      </c>
      <c r="C9076" t="s">
        <v>4909</v>
      </c>
      <c r="D9076" t="s">
        <v>4909</v>
      </c>
      <c r="E9076" t="s">
        <v>4909</v>
      </c>
      <c r="F9076" t="s">
        <v>4909</v>
      </c>
      <c r="G9076" t="s">
        <v>4909</v>
      </c>
      <c r="H9076" t="s">
        <v>4909</v>
      </c>
      <c r="I9076" t="s">
        <v>4909</v>
      </c>
      <c r="J9076" t="s">
        <v>4909</v>
      </c>
      <c r="K9076" t="s">
        <v>4909</v>
      </c>
    </row>
    <row r="9077" spans="1:11" x14ac:dyDescent="0.2">
      <c r="A9077" t="s">
        <v>4327</v>
      </c>
      <c r="B9077" t="s">
        <v>4909</v>
      </c>
      <c r="C9077" t="s">
        <v>4909</v>
      </c>
      <c r="D9077" t="s">
        <v>4909</v>
      </c>
      <c r="E9077" t="s">
        <v>4909</v>
      </c>
      <c r="F9077" t="s">
        <v>4909</v>
      </c>
      <c r="G9077" t="s">
        <v>4909</v>
      </c>
      <c r="H9077" t="s">
        <v>4909</v>
      </c>
      <c r="I9077" t="s">
        <v>4909</v>
      </c>
      <c r="J9077" t="s">
        <v>4909</v>
      </c>
      <c r="K9077" t="s">
        <v>4909</v>
      </c>
    </row>
    <row r="9078" spans="1:11" x14ac:dyDescent="0.2">
      <c r="A9078" t="s">
        <v>4328</v>
      </c>
      <c r="B9078" t="s">
        <v>4909</v>
      </c>
      <c r="C9078" t="s">
        <v>4909</v>
      </c>
      <c r="D9078" t="s">
        <v>4909</v>
      </c>
      <c r="E9078" t="s">
        <v>4909</v>
      </c>
      <c r="F9078" t="s">
        <v>4909</v>
      </c>
      <c r="G9078" t="s">
        <v>4909</v>
      </c>
      <c r="H9078" t="s">
        <v>4909</v>
      </c>
      <c r="I9078" t="s">
        <v>4909</v>
      </c>
      <c r="J9078" t="s">
        <v>4909</v>
      </c>
      <c r="K9078" t="s">
        <v>4909</v>
      </c>
    </row>
    <row r="9079" spans="1:11" x14ac:dyDescent="0.2">
      <c r="A9079" t="s">
        <v>4329</v>
      </c>
      <c r="B9079" t="s">
        <v>4909</v>
      </c>
      <c r="C9079" t="s">
        <v>4909</v>
      </c>
      <c r="D9079" t="s">
        <v>4909</v>
      </c>
      <c r="E9079" t="s">
        <v>4909</v>
      </c>
      <c r="F9079" t="s">
        <v>4909</v>
      </c>
      <c r="G9079" t="s">
        <v>4909</v>
      </c>
      <c r="H9079" t="s">
        <v>4909</v>
      </c>
      <c r="I9079" t="s">
        <v>4909</v>
      </c>
      <c r="J9079" t="s">
        <v>4909</v>
      </c>
      <c r="K9079" t="s">
        <v>4909</v>
      </c>
    </row>
    <row r="9080" spans="1:11" x14ac:dyDescent="0.2">
      <c r="A9080" t="s">
        <v>4330</v>
      </c>
      <c r="B9080" t="s">
        <v>4909</v>
      </c>
      <c r="C9080" t="s">
        <v>4909</v>
      </c>
      <c r="D9080" t="s">
        <v>4909</v>
      </c>
      <c r="E9080" t="s">
        <v>4909</v>
      </c>
      <c r="F9080" t="s">
        <v>4909</v>
      </c>
      <c r="G9080" t="s">
        <v>4909</v>
      </c>
      <c r="H9080" t="s">
        <v>4909</v>
      </c>
      <c r="I9080" t="s">
        <v>4909</v>
      </c>
      <c r="J9080" t="s">
        <v>4909</v>
      </c>
      <c r="K9080" t="s">
        <v>4909</v>
      </c>
    </row>
    <row r="9081" spans="1:11" x14ac:dyDescent="0.2">
      <c r="A9081" t="s">
        <v>4331</v>
      </c>
      <c r="B9081" t="s">
        <v>4909</v>
      </c>
      <c r="C9081" t="s">
        <v>4909</v>
      </c>
      <c r="D9081" t="s">
        <v>4909</v>
      </c>
      <c r="E9081" t="s">
        <v>4909</v>
      </c>
      <c r="F9081" t="s">
        <v>4909</v>
      </c>
      <c r="G9081" t="s">
        <v>4909</v>
      </c>
      <c r="H9081" t="s">
        <v>4909</v>
      </c>
      <c r="I9081" t="s">
        <v>4909</v>
      </c>
      <c r="J9081" t="s">
        <v>4909</v>
      </c>
      <c r="K9081" t="s">
        <v>4909</v>
      </c>
    </row>
    <row r="9082" spans="1:11" x14ac:dyDescent="0.2">
      <c r="A9082" t="s">
        <v>4332</v>
      </c>
      <c r="B9082" t="s">
        <v>4909</v>
      </c>
      <c r="C9082" t="s">
        <v>4909</v>
      </c>
      <c r="D9082" t="s">
        <v>4909</v>
      </c>
      <c r="E9082" t="s">
        <v>4909</v>
      </c>
      <c r="F9082" t="s">
        <v>4909</v>
      </c>
      <c r="G9082" t="s">
        <v>4909</v>
      </c>
      <c r="H9082" t="s">
        <v>4909</v>
      </c>
      <c r="I9082" t="s">
        <v>4909</v>
      </c>
      <c r="J9082" t="s">
        <v>4909</v>
      </c>
      <c r="K9082" t="s">
        <v>4909</v>
      </c>
    </row>
    <row r="9083" spans="1:11" x14ac:dyDescent="0.2">
      <c r="A9083" t="s">
        <v>4333</v>
      </c>
      <c r="B9083" t="s">
        <v>4909</v>
      </c>
      <c r="C9083" t="s">
        <v>4909</v>
      </c>
      <c r="D9083" t="s">
        <v>4909</v>
      </c>
      <c r="E9083" t="s">
        <v>4909</v>
      </c>
      <c r="F9083" t="s">
        <v>4909</v>
      </c>
      <c r="G9083" t="s">
        <v>4909</v>
      </c>
      <c r="H9083" t="s">
        <v>4909</v>
      </c>
      <c r="I9083" t="s">
        <v>4909</v>
      </c>
      <c r="J9083" t="s">
        <v>4909</v>
      </c>
      <c r="K9083" t="s">
        <v>4909</v>
      </c>
    </row>
    <row r="9084" spans="1:11" x14ac:dyDescent="0.2">
      <c r="A9084" t="s">
        <v>4334</v>
      </c>
      <c r="B9084" t="s">
        <v>4909</v>
      </c>
      <c r="C9084" t="s">
        <v>4909</v>
      </c>
      <c r="D9084" t="s">
        <v>4909</v>
      </c>
      <c r="E9084" t="s">
        <v>4909</v>
      </c>
      <c r="F9084" t="s">
        <v>4909</v>
      </c>
      <c r="G9084" t="s">
        <v>4909</v>
      </c>
      <c r="H9084" t="s">
        <v>4909</v>
      </c>
      <c r="I9084" t="s">
        <v>4909</v>
      </c>
      <c r="J9084" t="s">
        <v>4909</v>
      </c>
      <c r="K9084" t="s">
        <v>4909</v>
      </c>
    </row>
    <row r="9085" spans="1:11" x14ac:dyDescent="0.2">
      <c r="A9085" t="s">
        <v>4335</v>
      </c>
      <c r="B9085" t="s">
        <v>4909</v>
      </c>
      <c r="C9085" t="s">
        <v>4909</v>
      </c>
      <c r="D9085" t="s">
        <v>4909</v>
      </c>
      <c r="E9085" t="s">
        <v>4909</v>
      </c>
      <c r="F9085" t="s">
        <v>4909</v>
      </c>
      <c r="G9085" t="s">
        <v>4909</v>
      </c>
      <c r="H9085" t="s">
        <v>4909</v>
      </c>
      <c r="I9085" t="s">
        <v>4909</v>
      </c>
      <c r="J9085" t="s">
        <v>4909</v>
      </c>
      <c r="K9085" t="s">
        <v>4909</v>
      </c>
    </row>
    <row r="9086" spans="1:11" x14ac:dyDescent="0.2">
      <c r="A9086" t="s">
        <v>4336</v>
      </c>
      <c r="B9086" t="s">
        <v>4909</v>
      </c>
      <c r="C9086" t="s">
        <v>4909</v>
      </c>
      <c r="D9086" t="s">
        <v>4909</v>
      </c>
      <c r="E9086" t="s">
        <v>4909</v>
      </c>
      <c r="F9086" t="s">
        <v>4909</v>
      </c>
      <c r="G9086" t="s">
        <v>4909</v>
      </c>
      <c r="H9086" t="s">
        <v>4909</v>
      </c>
      <c r="I9086" t="s">
        <v>4909</v>
      </c>
      <c r="J9086" t="s">
        <v>4909</v>
      </c>
      <c r="K9086" t="s">
        <v>4909</v>
      </c>
    </row>
    <row r="9087" spans="1:11" x14ac:dyDescent="0.2">
      <c r="A9087" t="s">
        <v>4337</v>
      </c>
      <c r="B9087" t="s">
        <v>4909</v>
      </c>
      <c r="C9087" t="s">
        <v>4909</v>
      </c>
      <c r="D9087" t="s">
        <v>4909</v>
      </c>
      <c r="E9087" t="s">
        <v>4909</v>
      </c>
      <c r="F9087" t="s">
        <v>4909</v>
      </c>
      <c r="G9087" t="s">
        <v>4909</v>
      </c>
      <c r="H9087" t="s">
        <v>4909</v>
      </c>
      <c r="I9087" t="s">
        <v>4909</v>
      </c>
      <c r="J9087" t="s">
        <v>4909</v>
      </c>
      <c r="K9087" t="s">
        <v>4909</v>
      </c>
    </row>
    <row r="9088" spans="1:11" x14ac:dyDescent="0.2">
      <c r="A9088" t="s">
        <v>4338</v>
      </c>
      <c r="B9088" t="s">
        <v>4909</v>
      </c>
      <c r="C9088" t="s">
        <v>4909</v>
      </c>
      <c r="D9088" t="s">
        <v>4909</v>
      </c>
      <c r="E9088" t="s">
        <v>4909</v>
      </c>
      <c r="F9088" t="s">
        <v>4909</v>
      </c>
      <c r="G9088" t="s">
        <v>4909</v>
      </c>
      <c r="H9088" t="s">
        <v>4909</v>
      </c>
      <c r="I9088" t="s">
        <v>4909</v>
      </c>
      <c r="J9088" t="s">
        <v>4909</v>
      </c>
      <c r="K9088" t="s">
        <v>4909</v>
      </c>
    </row>
    <row r="9089" spans="1:11" x14ac:dyDescent="0.2">
      <c r="A9089" t="s">
        <v>4339</v>
      </c>
      <c r="B9089" t="s">
        <v>4909</v>
      </c>
      <c r="C9089" t="s">
        <v>4909</v>
      </c>
      <c r="D9089" t="s">
        <v>4909</v>
      </c>
      <c r="E9089" t="s">
        <v>4909</v>
      </c>
      <c r="F9089" t="s">
        <v>4909</v>
      </c>
      <c r="G9089" t="s">
        <v>4909</v>
      </c>
      <c r="H9089" t="s">
        <v>4909</v>
      </c>
      <c r="I9089" t="s">
        <v>4909</v>
      </c>
      <c r="J9089" t="s">
        <v>4909</v>
      </c>
      <c r="K9089" t="s">
        <v>4909</v>
      </c>
    </row>
    <row r="9090" spans="1:11" x14ac:dyDescent="0.2">
      <c r="A9090" t="s">
        <v>4340</v>
      </c>
      <c r="B9090" t="s">
        <v>4909</v>
      </c>
      <c r="C9090" t="s">
        <v>4909</v>
      </c>
      <c r="D9090" t="s">
        <v>4909</v>
      </c>
      <c r="E9090" t="s">
        <v>4909</v>
      </c>
      <c r="F9090" t="s">
        <v>4909</v>
      </c>
      <c r="G9090" t="s">
        <v>4909</v>
      </c>
      <c r="H9090" t="s">
        <v>4909</v>
      </c>
      <c r="I9090" t="s">
        <v>4909</v>
      </c>
      <c r="J9090" t="s">
        <v>4909</v>
      </c>
      <c r="K9090" t="s">
        <v>4909</v>
      </c>
    </row>
    <row r="9091" spans="1:11" x14ac:dyDescent="0.2">
      <c r="A9091" t="s">
        <v>4341</v>
      </c>
      <c r="B9091" t="s">
        <v>4909</v>
      </c>
      <c r="C9091" t="s">
        <v>4909</v>
      </c>
      <c r="D9091" t="s">
        <v>4909</v>
      </c>
      <c r="E9091" t="s">
        <v>4909</v>
      </c>
      <c r="F9091" t="s">
        <v>4909</v>
      </c>
      <c r="G9091" t="s">
        <v>4909</v>
      </c>
      <c r="H9091" t="s">
        <v>4909</v>
      </c>
      <c r="I9091" t="s">
        <v>4909</v>
      </c>
      <c r="J9091" t="s">
        <v>4909</v>
      </c>
      <c r="K9091" t="s">
        <v>4909</v>
      </c>
    </row>
    <row r="9092" spans="1:11" x14ac:dyDescent="0.2">
      <c r="A9092" t="s">
        <v>4342</v>
      </c>
      <c r="B9092" t="s">
        <v>4909</v>
      </c>
      <c r="C9092" t="s">
        <v>4909</v>
      </c>
      <c r="D9092" t="s">
        <v>4909</v>
      </c>
      <c r="E9092" t="s">
        <v>4909</v>
      </c>
      <c r="F9092" t="s">
        <v>4909</v>
      </c>
      <c r="G9092" t="s">
        <v>4909</v>
      </c>
      <c r="H9092" t="s">
        <v>4909</v>
      </c>
      <c r="I9092" t="s">
        <v>4909</v>
      </c>
      <c r="J9092" t="s">
        <v>4909</v>
      </c>
      <c r="K9092" t="s">
        <v>4909</v>
      </c>
    </row>
    <row r="9093" spans="1:11" x14ac:dyDescent="0.2">
      <c r="A9093" t="s">
        <v>4343</v>
      </c>
      <c r="B9093" t="s">
        <v>4909</v>
      </c>
      <c r="C9093" t="s">
        <v>4909</v>
      </c>
      <c r="D9093" t="s">
        <v>4909</v>
      </c>
      <c r="E9093" t="s">
        <v>4909</v>
      </c>
      <c r="F9093" t="s">
        <v>4909</v>
      </c>
      <c r="G9093" t="s">
        <v>4909</v>
      </c>
      <c r="H9093" t="s">
        <v>4909</v>
      </c>
      <c r="I9093" t="s">
        <v>4909</v>
      </c>
      <c r="J9093" t="s">
        <v>4909</v>
      </c>
      <c r="K9093" t="s">
        <v>4909</v>
      </c>
    </row>
    <row r="9094" spans="1:11" x14ac:dyDescent="0.2">
      <c r="A9094" t="s">
        <v>1728</v>
      </c>
      <c r="B9094" t="s">
        <v>4909</v>
      </c>
      <c r="C9094" t="s">
        <v>4909</v>
      </c>
      <c r="D9094" t="s">
        <v>4909</v>
      </c>
      <c r="E9094" t="s">
        <v>4909</v>
      </c>
      <c r="F9094" t="s">
        <v>4909</v>
      </c>
      <c r="G9094" t="s">
        <v>4909</v>
      </c>
      <c r="H9094" t="s">
        <v>4909</v>
      </c>
      <c r="I9094" t="s">
        <v>4909</v>
      </c>
      <c r="J9094" t="s">
        <v>4909</v>
      </c>
      <c r="K9094" t="s">
        <v>4909</v>
      </c>
    </row>
    <row r="9095" spans="1:11" x14ac:dyDescent="0.2">
      <c r="A9095" t="s">
        <v>1730</v>
      </c>
      <c r="B9095" t="s">
        <v>4909</v>
      </c>
      <c r="C9095" t="s">
        <v>4909</v>
      </c>
      <c r="D9095" t="s">
        <v>4909</v>
      </c>
      <c r="E9095" t="s">
        <v>4909</v>
      </c>
      <c r="F9095" t="s">
        <v>4909</v>
      </c>
      <c r="G9095" t="s">
        <v>4909</v>
      </c>
      <c r="H9095" t="s">
        <v>4909</v>
      </c>
      <c r="I9095" t="s">
        <v>4909</v>
      </c>
      <c r="J9095" t="s">
        <v>4909</v>
      </c>
      <c r="K9095" t="s">
        <v>4909</v>
      </c>
    </row>
    <row r="9096" spans="1:11" x14ac:dyDescent="0.2">
      <c r="A9096" t="s">
        <v>1733</v>
      </c>
      <c r="B9096" t="s">
        <v>4909</v>
      </c>
      <c r="C9096" t="s">
        <v>4909</v>
      </c>
      <c r="D9096" t="s">
        <v>4909</v>
      </c>
      <c r="E9096" t="s">
        <v>4909</v>
      </c>
      <c r="F9096" t="s">
        <v>4909</v>
      </c>
      <c r="G9096" t="s">
        <v>4909</v>
      </c>
      <c r="H9096" t="s">
        <v>4909</v>
      </c>
      <c r="I9096" t="s">
        <v>4909</v>
      </c>
      <c r="J9096" t="s">
        <v>4909</v>
      </c>
      <c r="K9096" t="s">
        <v>4909</v>
      </c>
    </row>
    <row r="9097" spans="1:11" x14ac:dyDescent="0.2">
      <c r="A9097" t="s">
        <v>1738</v>
      </c>
      <c r="B9097" t="s">
        <v>4909</v>
      </c>
      <c r="C9097" t="s">
        <v>4909</v>
      </c>
      <c r="D9097" t="s">
        <v>4909</v>
      </c>
      <c r="E9097" t="s">
        <v>4909</v>
      </c>
      <c r="F9097" t="s">
        <v>4909</v>
      </c>
      <c r="G9097" t="s">
        <v>4909</v>
      </c>
      <c r="H9097" t="s">
        <v>4909</v>
      </c>
      <c r="I9097" t="s">
        <v>4909</v>
      </c>
      <c r="J9097" t="s">
        <v>4909</v>
      </c>
      <c r="K9097" t="s">
        <v>4909</v>
      </c>
    </row>
    <row r="9098" spans="1:11" x14ac:dyDescent="0.2">
      <c r="A9098" t="s">
        <v>1744</v>
      </c>
      <c r="B9098" t="s">
        <v>4909</v>
      </c>
      <c r="C9098" t="s">
        <v>4909</v>
      </c>
      <c r="D9098" t="s">
        <v>4909</v>
      </c>
      <c r="E9098" t="s">
        <v>4909</v>
      </c>
      <c r="F9098" t="s">
        <v>4909</v>
      </c>
      <c r="G9098" t="s">
        <v>4909</v>
      </c>
      <c r="H9098" t="s">
        <v>4909</v>
      </c>
      <c r="I9098" t="s">
        <v>4909</v>
      </c>
      <c r="J9098" t="s">
        <v>4909</v>
      </c>
      <c r="K9098" t="s">
        <v>4909</v>
      </c>
    </row>
    <row r="9099" spans="1:11" x14ac:dyDescent="0.2">
      <c r="A9099" t="s">
        <v>1747</v>
      </c>
      <c r="B9099" t="s">
        <v>4909</v>
      </c>
      <c r="C9099" t="s">
        <v>4909</v>
      </c>
      <c r="D9099" t="s">
        <v>4909</v>
      </c>
      <c r="E9099" t="s">
        <v>4909</v>
      </c>
      <c r="F9099" t="s">
        <v>4909</v>
      </c>
      <c r="G9099" t="s">
        <v>4909</v>
      </c>
      <c r="H9099" t="s">
        <v>4909</v>
      </c>
      <c r="I9099" t="s">
        <v>4909</v>
      </c>
      <c r="J9099" t="s">
        <v>4909</v>
      </c>
      <c r="K9099" t="s">
        <v>4909</v>
      </c>
    </row>
    <row r="9100" spans="1:11" x14ac:dyDescent="0.2">
      <c r="A9100" t="s">
        <v>1751</v>
      </c>
      <c r="B9100" t="s">
        <v>4909</v>
      </c>
      <c r="C9100" t="s">
        <v>4909</v>
      </c>
      <c r="D9100" t="s">
        <v>4909</v>
      </c>
      <c r="E9100" t="s">
        <v>4909</v>
      </c>
      <c r="F9100" t="s">
        <v>4909</v>
      </c>
      <c r="G9100" t="s">
        <v>4909</v>
      </c>
      <c r="H9100" t="s">
        <v>4909</v>
      </c>
      <c r="I9100" t="s">
        <v>4909</v>
      </c>
      <c r="J9100" t="s">
        <v>4909</v>
      </c>
      <c r="K9100" t="s">
        <v>4909</v>
      </c>
    </row>
    <row r="9101" spans="1:11" x14ac:dyDescent="0.2">
      <c r="A9101" t="s">
        <v>1755</v>
      </c>
      <c r="B9101" t="s">
        <v>4909</v>
      </c>
      <c r="C9101" t="s">
        <v>4909</v>
      </c>
      <c r="D9101" t="s">
        <v>4909</v>
      </c>
      <c r="E9101" t="s">
        <v>4909</v>
      </c>
      <c r="F9101" t="s">
        <v>4909</v>
      </c>
      <c r="G9101" t="s">
        <v>4909</v>
      </c>
      <c r="H9101" t="s">
        <v>4909</v>
      </c>
      <c r="I9101" t="s">
        <v>4909</v>
      </c>
      <c r="J9101" t="s">
        <v>4909</v>
      </c>
      <c r="K9101" t="s">
        <v>4909</v>
      </c>
    </row>
    <row r="9102" spans="1:11" x14ac:dyDescent="0.2">
      <c r="A9102" t="s">
        <v>1757</v>
      </c>
      <c r="B9102" t="s">
        <v>4909</v>
      </c>
      <c r="C9102" t="s">
        <v>4909</v>
      </c>
      <c r="D9102" t="s">
        <v>4909</v>
      </c>
      <c r="E9102" t="s">
        <v>4909</v>
      </c>
      <c r="F9102" t="s">
        <v>4909</v>
      </c>
      <c r="G9102" t="s">
        <v>4909</v>
      </c>
      <c r="H9102" t="s">
        <v>4909</v>
      </c>
      <c r="I9102" t="s">
        <v>4909</v>
      </c>
      <c r="J9102" t="s">
        <v>4909</v>
      </c>
      <c r="K9102" t="s">
        <v>4909</v>
      </c>
    </row>
    <row r="9103" spans="1:11" x14ac:dyDescent="0.2">
      <c r="A9103" t="s">
        <v>1761</v>
      </c>
      <c r="B9103" t="s">
        <v>4909</v>
      </c>
      <c r="C9103" t="s">
        <v>4909</v>
      </c>
      <c r="D9103" t="s">
        <v>4909</v>
      </c>
      <c r="E9103" t="s">
        <v>4909</v>
      </c>
      <c r="F9103" t="s">
        <v>4909</v>
      </c>
      <c r="G9103" t="s">
        <v>4909</v>
      </c>
      <c r="H9103" t="s">
        <v>4909</v>
      </c>
      <c r="I9103" t="s">
        <v>4909</v>
      </c>
      <c r="J9103" t="s">
        <v>4909</v>
      </c>
      <c r="K9103" t="s">
        <v>4909</v>
      </c>
    </row>
    <row r="9104" spans="1:11" x14ac:dyDescent="0.2">
      <c r="A9104" t="s">
        <v>1764</v>
      </c>
      <c r="B9104" t="s">
        <v>4909</v>
      </c>
      <c r="C9104" t="s">
        <v>4909</v>
      </c>
      <c r="D9104" t="s">
        <v>4909</v>
      </c>
      <c r="E9104" t="s">
        <v>4909</v>
      </c>
      <c r="F9104" t="s">
        <v>4909</v>
      </c>
      <c r="G9104" t="s">
        <v>4909</v>
      </c>
      <c r="H9104" t="s">
        <v>4909</v>
      </c>
      <c r="I9104" t="s">
        <v>4909</v>
      </c>
      <c r="J9104" t="s">
        <v>4909</v>
      </c>
      <c r="K9104" t="s">
        <v>4909</v>
      </c>
    </row>
    <row r="9105" spans="1:11" x14ac:dyDescent="0.2">
      <c r="A9105" t="s">
        <v>1770</v>
      </c>
      <c r="B9105" t="s">
        <v>4909</v>
      </c>
      <c r="C9105" t="s">
        <v>4909</v>
      </c>
      <c r="D9105" t="s">
        <v>4909</v>
      </c>
      <c r="E9105" t="s">
        <v>4909</v>
      </c>
      <c r="F9105" t="s">
        <v>4909</v>
      </c>
      <c r="G9105" t="s">
        <v>4909</v>
      </c>
      <c r="H9105" t="s">
        <v>4909</v>
      </c>
      <c r="I9105" t="s">
        <v>4909</v>
      </c>
      <c r="J9105" t="s">
        <v>4909</v>
      </c>
      <c r="K9105" t="s">
        <v>4909</v>
      </c>
    </row>
    <row r="9106" spans="1:11" x14ac:dyDescent="0.2">
      <c r="A9106" t="s">
        <v>1772</v>
      </c>
      <c r="B9106" t="s">
        <v>4909</v>
      </c>
      <c r="C9106" t="s">
        <v>4909</v>
      </c>
      <c r="D9106" t="s">
        <v>4909</v>
      </c>
      <c r="E9106" t="s">
        <v>4909</v>
      </c>
      <c r="F9106" t="s">
        <v>4909</v>
      </c>
      <c r="G9106" t="s">
        <v>4909</v>
      </c>
      <c r="H9106" t="s">
        <v>4909</v>
      </c>
      <c r="I9106" t="s">
        <v>4909</v>
      </c>
      <c r="J9106" t="s">
        <v>4909</v>
      </c>
      <c r="K9106" t="s">
        <v>4909</v>
      </c>
    </row>
    <row r="9107" spans="1:11" x14ac:dyDescent="0.2">
      <c r="A9107" t="s">
        <v>1774</v>
      </c>
      <c r="B9107" t="s">
        <v>4909</v>
      </c>
      <c r="C9107" t="s">
        <v>4909</v>
      </c>
      <c r="D9107" t="s">
        <v>4909</v>
      </c>
      <c r="E9107" t="s">
        <v>4909</v>
      </c>
      <c r="F9107" t="s">
        <v>4909</v>
      </c>
      <c r="G9107" t="s">
        <v>4909</v>
      </c>
      <c r="H9107" t="s">
        <v>4909</v>
      </c>
      <c r="I9107" t="s">
        <v>4909</v>
      </c>
      <c r="J9107" t="s">
        <v>4909</v>
      </c>
      <c r="K9107" t="s">
        <v>4909</v>
      </c>
    </row>
    <row r="9108" spans="1:11" x14ac:dyDescent="0.2">
      <c r="A9108" t="s">
        <v>1777</v>
      </c>
      <c r="B9108" t="s">
        <v>4909</v>
      </c>
      <c r="C9108" t="s">
        <v>4909</v>
      </c>
      <c r="D9108" t="s">
        <v>4909</v>
      </c>
      <c r="E9108" t="s">
        <v>4909</v>
      </c>
      <c r="F9108" t="s">
        <v>4909</v>
      </c>
      <c r="G9108" t="s">
        <v>4909</v>
      </c>
      <c r="H9108" t="s">
        <v>4909</v>
      </c>
      <c r="I9108" t="s">
        <v>4909</v>
      </c>
      <c r="J9108" t="s">
        <v>4909</v>
      </c>
      <c r="K9108" t="s">
        <v>4909</v>
      </c>
    </row>
    <row r="9109" spans="1:11" x14ac:dyDescent="0.2">
      <c r="A9109" t="s">
        <v>1782</v>
      </c>
      <c r="B9109" t="s">
        <v>4909</v>
      </c>
      <c r="C9109" t="s">
        <v>4909</v>
      </c>
      <c r="D9109" t="s">
        <v>4909</v>
      </c>
      <c r="E9109" t="s">
        <v>4909</v>
      </c>
      <c r="F9109" t="s">
        <v>4909</v>
      </c>
      <c r="G9109" t="s">
        <v>4909</v>
      </c>
      <c r="H9109" t="s">
        <v>4909</v>
      </c>
      <c r="I9109" t="s">
        <v>4909</v>
      </c>
      <c r="J9109" t="s">
        <v>4909</v>
      </c>
      <c r="K9109" t="s">
        <v>4909</v>
      </c>
    </row>
    <row r="9110" spans="1:11" x14ac:dyDescent="0.2">
      <c r="A9110" t="s">
        <v>1274</v>
      </c>
      <c r="B9110" t="s">
        <v>4909</v>
      </c>
      <c r="C9110" t="s">
        <v>4909</v>
      </c>
      <c r="D9110" t="s">
        <v>4909</v>
      </c>
      <c r="E9110" t="s">
        <v>4909</v>
      </c>
      <c r="F9110" t="s">
        <v>4909</v>
      </c>
      <c r="G9110" t="s">
        <v>4909</v>
      </c>
      <c r="H9110" t="s">
        <v>4909</v>
      </c>
      <c r="I9110" t="s">
        <v>4909</v>
      </c>
      <c r="J9110" t="s">
        <v>4909</v>
      </c>
      <c r="K9110" t="s">
        <v>4909</v>
      </c>
    </row>
    <row r="9111" spans="1:11" x14ac:dyDescent="0.2">
      <c r="A9111" t="s">
        <v>1277</v>
      </c>
      <c r="B9111" t="s">
        <v>4909</v>
      </c>
      <c r="C9111" t="s">
        <v>4909</v>
      </c>
      <c r="D9111" t="s">
        <v>4909</v>
      </c>
      <c r="E9111" t="s">
        <v>4909</v>
      </c>
      <c r="F9111" t="s">
        <v>4909</v>
      </c>
      <c r="G9111" t="s">
        <v>4909</v>
      </c>
      <c r="H9111" t="s">
        <v>4909</v>
      </c>
      <c r="I9111" t="s">
        <v>4909</v>
      </c>
      <c r="J9111" t="s">
        <v>4909</v>
      </c>
      <c r="K9111" t="s">
        <v>4909</v>
      </c>
    </row>
    <row r="9112" spans="1:11" x14ac:dyDescent="0.2">
      <c r="A9112" t="s">
        <v>1798</v>
      </c>
      <c r="B9112" t="s">
        <v>4909</v>
      </c>
      <c r="C9112" t="s">
        <v>4909</v>
      </c>
      <c r="D9112" t="s">
        <v>4909</v>
      </c>
      <c r="E9112" t="s">
        <v>4909</v>
      </c>
      <c r="F9112" t="s">
        <v>4909</v>
      </c>
      <c r="G9112" t="s">
        <v>4909</v>
      </c>
      <c r="H9112" t="s">
        <v>4909</v>
      </c>
      <c r="I9112" t="s">
        <v>4909</v>
      </c>
      <c r="J9112" t="s">
        <v>4909</v>
      </c>
      <c r="K9112" t="s">
        <v>4909</v>
      </c>
    </row>
    <row r="9113" spans="1:11" x14ac:dyDescent="0.2">
      <c r="A9113" t="s">
        <v>1803</v>
      </c>
      <c r="B9113" t="s">
        <v>4909</v>
      </c>
      <c r="C9113" t="s">
        <v>4909</v>
      </c>
      <c r="D9113" t="s">
        <v>4909</v>
      </c>
      <c r="E9113" t="s">
        <v>4909</v>
      </c>
      <c r="F9113" t="s">
        <v>4909</v>
      </c>
      <c r="G9113" t="s">
        <v>4909</v>
      </c>
      <c r="H9113" t="s">
        <v>4909</v>
      </c>
      <c r="I9113" t="s">
        <v>4909</v>
      </c>
      <c r="J9113" t="s">
        <v>4909</v>
      </c>
      <c r="K9113" t="s">
        <v>4909</v>
      </c>
    </row>
    <row r="9114" spans="1:11" x14ac:dyDescent="0.2">
      <c r="A9114" t="s">
        <v>1808</v>
      </c>
      <c r="B9114" t="s">
        <v>4909</v>
      </c>
      <c r="C9114" t="s">
        <v>4909</v>
      </c>
      <c r="D9114" t="s">
        <v>4909</v>
      </c>
      <c r="E9114" t="s">
        <v>4909</v>
      </c>
      <c r="F9114" t="s">
        <v>4909</v>
      </c>
      <c r="G9114" t="s">
        <v>4909</v>
      </c>
      <c r="H9114" t="s">
        <v>4909</v>
      </c>
      <c r="I9114" t="s">
        <v>4909</v>
      </c>
      <c r="J9114" t="s">
        <v>4909</v>
      </c>
      <c r="K9114" t="s">
        <v>4909</v>
      </c>
    </row>
    <row r="9115" spans="1:11" x14ac:dyDescent="0.2">
      <c r="A9115" t="s">
        <v>1813</v>
      </c>
      <c r="B9115" t="s">
        <v>4909</v>
      </c>
      <c r="C9115" t="s">
        <v>4909</v>
      </c>
      <c r="D9115" t="s">
        <v>4909</v>
      </c>
      <c r="E9115" t="s">
        <v>4909</v>
      </c>
      <c r="F9115" t="s">
        <v>4909</v>
      </c>
      <c r="G9115" t="s">
        <v>4909</v>
      </c>
      <c r="H9115" t="s">
        <v>4909</v>
      </c>
      <c r="I9115" t="s">
        <v>4909</v>
      </c>
      <c r="J9115" t="s">
        <v>4909</v>
      </c>
      <c r="K9115" t="s">
        <v>4909</v>
      </c>
    </row>
    <row r="9116" spans="1:11" x14ac:dyDescent="0.2">
      <c r="A9116" t="s">
        <v>1819</v>
      </c>
      <c r="B9116" t="s">
        <v>4909</v>
      </c>
      <c r="C9116" t="s">
        <v>4909</v>
      </c>
      <c r="D9116" t="s">
        <v>4909</v>
      </c>
      <c r="E9116" t="s">
        <v>4909</v>
      </c>
      <c r="F9116" t="s">
        <v>4909</v>
      </c>
      <c r="G9116" t="s">
        <v>4909</v>
      </c>
      <c r="H9116" t="s">
        <v>4909</v>
      </c>
      <c r="I9116" t="s">
        <v>4909</v>
      </c>
      <c r="J9116" t="s">
        <v>4909</v>
      </c>
      <c r="K9116" t="s">
        <v>4909</v>
      </c>
    </row>
    <row r="9117" spans="1:11" x14ac:dyDescent="0.2">
      <c r="A9117" t="s">
        <v>1826</v>
      </c>
      <c r="B9117" t="s">
        <v>4909</v>
      </c>
      <c r="C9117" t="s">
        <v>4909</v>
      </c>
      <c r="D9117" t="s">
        <v>4909</v>
      </c>
      <c r="E9117" t="s">
        <v>4909</v>
      </c>
      <c r="F9117" t="s">
        <v>4909</v>
      </c>
      <c r="G9117" t="s">
        <v>4909</v>
      </c>
      <c r="H9117" t="s">
        <v>4909</v>
      </c>
      <c r="I9117" t="s">
        <v>4909</v>
      </c>
      <c r="J9117" t="s">
        <v>4909</v>
      </c>
      <c r="K9117" t="s">
        <v>4909</v>
      </c>
    </row>
    <row r="9118" spans="1:11" x14ac:dyDescent="0.2">
      <c r="A9118" t="s">
        <v>1830</v>
      </c>
      <c r="B9118" t="s">
        <v>4909</v>
      </c>
      <c r="C9118" t="s">
        <v>4909</v>
      </c>
      <c r="D9118" t="s">
        <v>4909</v>
      </c>
      <c r="E9118" t="s">
        <v>4909</v>
      </c>
      <c r="F9118" t="s">
        <v>4909</v>
      </c>
      <c r="G9118" t="s">
        <v>4909</v>
      </c>
      <c r="H9118" t="s">
        <v>4909</v>
      </c>
      <c r="I9118" t="s">
        <v>4909</v>
      </c>
      <c r="J9118" t="s">
        <v>4909</v>
      </c>
      <c r="K9118" t="s">
        <v>4909</v>
      </c>
    </row>
    <row r="9119" spans="1:11" x14ac:dyDescent="0.2">
      <c r="A9119" t="s">
        <v>1836</v>
      </c>
      <c r="B9119" t="s">
        <v>4909</v>
      </c>
      <c r="C9119" t="s">
        <v>4909</v>
      </c>
      <c r="D9119" t="s">
        <v>4909</v>
      </c>
      <c r="E9119" t="s">
        <v>4909</v>
      </c>
      <c r="F9119" t="s">
        <v>4909</v>
      </c>
      <c r="G9119" t="s">
        <v>4909</v>
      </c>
      <c r="H9119" t="s">
        <v>4909</v>
      </c>
      <c r="I9119" t="s">
        <v>4909</v>
      </c>
      <c r="J9119" t="s">
        <v>4909</v>
      </c>
      <c r="K9119" t="s">
        <v>4909</v>
      </c>
    </row>
    <row r="9120" spans="1:11" x14ac:dyDescent="0.2">
      <c r="A9120" t="s">
        <v>1841</v>
      </c>
      <c r="B9120" t="s">
        <v>4909</v>
      </c>
      <c r="C9120" t="s">
        <v>4909</v>
      </c>
      <c r="D9120" t="s">
        <v>4909</v>
      </c>
      <c r="E9120" t="s">
        <v>4909</v>
      </c>
      <c r="F9120" t="s">
        <v>4909</v>
      </c>
      <c r="G9120" t="s">
        <v>4909</v>
      </c>
      <c r="H9120" t="s">
        <v>4909</v>
      </c>
      <c r="I9120" t="s">
        <v>4909</v>
      </c>
      <c r="J9120" t="s">
        <v>4909</v>
      </c>
      <c r="K9120" t="s">
        <v>4909</v>
      </c>
    </row>
    <row r="9121" spans="1:11" x14ac:dyDescent="0.2">
      <c r="A9121" t="s">
        <v>1842</v>
      </c>
      <c r="B9121" t="s">
        <v>4909</v>
      </c>
      <c r="C9121" t="s">
        <v>4909</v>
      </c>
      <c r="D9121" t="s">
        <v>4909</v>
      </c>
      <c r="E9121" t="s">
        <v>4909</v>
      </c>
      <c r="F9121" t="s">
        <v>4909</v>
      </c>
      <c r="G9121" t="s">
        <v>4909</v>
      </c>
      <c r="H9121" t="s">
        <v>4909</v>
      </c>
      <c r="I9121" t="s">
        <v>4909</v>
      </c>
      <c r="J9121" t="s">
        <v>4909</v>
      </c>
      <c r="K9121" t="s">
        <v>4909</v>
      </c>
    </row>
    <row r="9122" spans="1:11" x14ac:dyDescent="0.2">
      <c r="A9122" t="s">
        <v>1843</v>
      </c>
      <c r="B9122" t="s">
        <v>4909</v>
      </c>
      <c r="C9122" t="s">
        <v>4909</v>
      </c>
      <c r="D9122" t="s">
        <v>4909</v>
      </c>
      <c r="E9122" t="s">
        <v>4909</v>
      </c>
      <c r="F9122" t="s">
        <v>4909</v>
      </c>
      <c r="G9122" t="s">
        <v>4909</v>
      </c>
      <c r="H9122" t="s">
        <v>4909</v>
      </c>
      <c r="I9122" t="s">
        <v>4909</v>
      </c>
      <c r="J9122" t="s">
        <v>4909</v>
      </c>
      <c r="K9122" t="s">
        <v>4909</v>
      </c>
    </row>
    <row r="9123" spans="1:11" x14ac:dyDescent="0.2">
      <c r="A9123" t="s">
        <v>1846</v>
      </c>
      <c r="B9123" t="s">
        <v>4909</v>
      </c>
      <c r="C9123" t="s">
        <v>4909</v>
      </c>
      <c r="D9123" t="s">
        <v>4909</v>
      </c>
      <c r="E9123" t="s">
        <v>4909</v>
      </c>
      <c r="F9123" t="s">
        <v>4909</v>
      </c>
      <c r="G9123" t="s">
        <v>4909</v>
      </c>
      <c r="H9123" t="s">
        <v>4909</v>
      </c>
      <c r="I9123" t="s">
        <v>4909</v>
      </c>
      <c r="J9123" t="s">
        <v>4909</v>
      </c>
      <c r="K9123" t="s">
        <v>4909</v>
      </c>
    </row>
    <row r="9124" spans="1:11" x14ac:dyDescent="0.2">
      <c r="A9124" t="s">
        <v>1851</v>
      </c>
      <c r="B9124" t="s">
        <v>4909</v>
      </c>
      <c r="C9124" t="s">
        <v>4909</v>
      </c>
      <c r="D9124" t="s">
        <v>4909</v>
      </c>
      <c r="E9124" t="s">
        <v>4909</v>
      </c>
      <c r="F9124" t="s">
        <v>4909</v>
      </c>
      <c r="G9124" t="s">
        <v>4909</v>
      </c>
      <c r="H9124" t="s">
        <v>4909</v>
      </c>
      <c r="I9124" t="s">
        <v>4909</v>
      </c>
      <c r="J9124" t="s">
        <v>4909</v>
      </c>
      <c r="K9124" t="s">
        <v>4909</v>
      </c>
    </row>
    <row r="9125" spans="1:11" x14ac:dyDescent="0.2">
      <c r="A9125" t="s">
        <v>1857</v>
      </c>
      <c r="B9125" t="s">
        <v>4909</v>
      </c>
      <c r="C9125" t="s">
        <v>4909</v>
      </c>
      <c r="D9125" t="s">
        <v>4909</v>
      </c>
      <c r="E9125" t="s">
        <v>4909</v>
      </c>
      <c r="F9125" t="s">
        <v>4909</v>
      </c>
      <c r="G9125" t="s">
        <v>4909</v>
      </c>
      <c r="H9125" t="s">
        <v>4909</v>
      </c>
      <c r="I9125" t="s">
        <v>4909</v>
      </c>
      <c r="J9125" t="s">
        <v>4909</v>
      </c>
      <c r="K9125" t="s">
        <v>4909</v>
      </c>
    </row>
    <row r="9126" spans="1:11" x14ac:dyDescent="0.2">
      <c r="A9126" t="s">
        <v>1862</v>
      </c>
      <c r="B9126" t="s">
        <v>4909</v>
      </c>
      <c r="C9126" t="s">
        <v>4909</v>
      </c>
      <c r="D9126" t="s">
        <v>4909</v>
      </c>
      <c r="E9126" t="s">
        <v>4909</v>
      </c>
      <c r="F9126" t="s">
        <v>4909</v>
      </c>
      <c r="G9126" t="s">
        <v>4909</v>
      </c>
      <c r="H9126" t="s">
        <v>4909</v>
      </c>
      <c r="I9126" t="s">
        <v>4909</v>
      </c>
      <c r="J9126" t="s">
        <v>4909</v>
      </c>
      <c r="K9126" t="s">
        <v>4909</v>
      </c>
    </row>
    <row r="9127" spans="1:11" x14ac:dyDescent="0.2">
      <c r="A9127" t="s">
        <v>1867</v>
      </c>
      <c r="B9127" t="s">
        <v>4909</v>
      </c>
      <c r="C9127" t="s">
        <v>4909</v>
      </c>
      <c r="D9127" t="s">
        <v>4909</v>
      </c>
      <c r="E9127" t="s">
        <v>4909</v>
      </c>
      <c r="F9127" t="s">
        <v>4909</v>
      </c>
      <c r="G9127" t="s">
        <v>4909</v>
      </c>
      <c r="H9127" t="s">
        <v>4909</v>
      </c>
      <c r="I9127" t="s">
        <v>4909</v>
      </c>
      <c r="J9127" t="s">
        <v>4909</v>
      </c>
      <c r="K9127" t="s">
        <v>4909</v>
      </c>
    </row>
    <row r="9128" spans="1:11" x14ac:dyDescent="0.2">
      <c r="A9128" t="s">
        <v>1870</v>
      </c>
      <c r="B9128" t="s">
        <v>4909</v>
      </c>
      <c r="C9128" t="s">
        <v>4909</v>
      </c>
      <c r="D9128" t="s">
        <v>4909</v>
      </c>
      <c r="E9128" t="s">
        <v>4909</v>
      </c>
      <c r="F9128" t="s">
        <v>4909</v>
      </c>
      <c r="G9128" t="s">
        <v>4909</v>
      </c>
      <c r="H9128" t="s">
        <v>4909</v>
      </c>
      <c r="I9128" t="s">
        <v>4909</v>
      </c>
      <c r="J9128" t="s">
        <v>4909</v>
      </c>
      <c r="K9128" t="s">
        <v>4909</v>
      </c>
    </row>
    <row r="9129" spans="1:11" x14ac:dyDescent="0.2">
      <c r="A9129" t="s">
        <v>1874</v>
      </c>
      <c r="B9129" t="s">
        <v>4909</v>
      </c>
      <c r="C9129" t="s">
        <v>4909</v>
      </c>
      <c r="D9129" t="s">
        <v>4909</v>
      </c>
      <c r="E9129" t="s">
        <v>4909</v>
      </c>
      <c r="F9129" t="s">
        <v>4909</v>
      </c>
      <c r="G9129" t="s">
        <v>4909</v>
      </c>
      <c r="H9129" t="s">
        <v>4909</v>
      </c>
      <c r="I9129" t="s">
        <v>4909</v>
      </c>
      <c r="J9129" t="s">
        <v>4909</v>
      </c>
      <c r="K9129" t="s">
        <v>4909</v>
      </c>
    </row>
    <row r="9130" spans="1:11" x14ac:dyDescent="0.2">
      <c r="A9130" t="s">
        <v>1876</v>
      </c>
      <c r="B9130" t="s">
        <v>4909</v>
      </c>
      <c r="C9130" t="s">
        <v>4909</v>
      </c>
      <c r="D9130" t="s">
        <v>4909</v>
      </c>
      <c r="E9130" t="s">
        <v>4909</v>
      </c>
      <c r="F9130" t="s">
        <v>4909</v>
      </c>
      <c r="G9130" t="s">
        <v>4909</v>
      </c>
      <c r="H9130" t="s">
        <v>4909</v>
      </c>
      <c r="I9130" t="s">
        <v>4909</v>
      </c>
      <c r="J9130" t="s">
        <v>4909</v>
      </c>
      <c r="K9130" t="s">
        <v>4909</v>
      </c>
    </row>
    <row r="9131" spans="1:11" x14ac:dyDescent="0.2">
      <c r="A9131" t="s">
        <v>1881</v>
      </c>
      <c r="B9131" t="s">
        <v>4909</v>
      </c>
      <c r="C9131" t="s">
        <v>4909</v>
      </c>
      <c r="D9131" t="s">
        <v>4909</v>
      </c>
      <c r="E9131" t="s">
        <v>4909</v>
      </c>
      <c r="F9131" t="s">
        <v>4909</v>
      </c>
      <c r="G9131" t="s">
        <v>4909</v>
      </c>
      <c r="H9131" t="s">
        <v>4909</v>
      </c>
      <c r="I9131" t="s">
        <v>4909</v>
      </c>
      <c r="J9131" t="s">
        <v>4909</v>
      </c>
      <c r="K9131" t="s">
        <v>4909</v>
      </c>
    </row>
    <row r="9132" spans="1:11" x14ac:dyDescent="0.2">
      <c r="A9132" t="s">
        <v>1885</v>
      </c>
      <c r="B9132" t="s">
        <v>4909</v>
      </c>
      <c r="C9132" t="s">
        <v>4909</v>
      </c>
      <c r="D9132" t="s">
        <v>4909</v>
      </c>
      <c r="E9132" t="s">
        <v>4909</v>
      </c>
      <c r="F9132" t="s">
        <v>4909</v>
      </c>
      <c r="G9132" t="s">
        <v>4909</v>
      </c>
      <c r="H9132" t="s">
        <v>4909</v>
      </c>
      <c r="I9132" t="s">
        <v>4909</v>
      </c>
      <c r="J9132" t="s">
        <v>4909</v>
      </c>
      <c r="K9132" t="s">
        <v>4909</v>
      </c>
    </row>
    <row r="9133" spans="1:11" x14ac:dyDescent="0.2">
      <c r="A9133" t="s">
        <v>1887</v>
      </c>
      <c r="B9133" t="s">
        <v>4909</v>
      </c>
      <c r="C9133" t="s">
        <v>4909</v>
      </c>
      <c r="D9133" t="s">
        <v>4909</v>
      </c>
      <c r="E9133" t="s">
        <v>4909</v>
      </c>
      <c r="F9133" t="s">
        <v>4909</v>
      </c>
      <c r="G9133" t="s">
        <v>4909</v>
      </c>
      <c r="H9133" t="s">
        <v>4909</v>
      </c>
      <c r="I9133" t="s">
        <v>4909</v>
      </c>
      <c r="J9133" t="s">
        <v>4909</v>
      </c>
      <c r="K9133" t="s">
        <v>4909</v>
      </c>
    </row>
    <row r="9134" spans="1:11" x14ac:dyDescent="0.2">
      <c r="A9134" t="s">
        <v>1893</v>
      </c>
      <c r="B9134" t="s">
        <v>4909</v>
      </c>
      <c r="C9134" t="s">
        <v>4909</v>
      </c>
      <c r="D9134" t="s">
        <v>4909</v>
      </c>
      <c r="E9134" t="s">
        <v>4909</v>
      </c>
      <c r="F9134" t="s">
        <v>4909</v>
      </c>
      <c r="G9134" t="s">
        <v>4909</v>
      </c>
      <c r="H9134" t="s">
        <v>4909</v>
      </c>
      <c r="I9134" t="s">
        <v>4909</v>
      </c>
      <c r="J9134" t="s">
        <v>4909</v>
      </c>
      <c r="K9134" t="s">
        <v>4909</v>
      </c>
    </row>
    <row r="9135" spans="1:11" x14ac:dyDescent="0.2">
      <c r="A9135" t="s">
        <v>1899</v>
      </c>
      <c r="B9135" t="s">
        <v>4909</v>
      </c>
      <c r="C9135" t="s">
        <v>4909</v>
      </c>
      <c r="D9135" t="s">
        <v>4909</v>
      </c>
      <c r="E9135" t="s">
        <v>4909</v>
      </c>
      <c r="F9135" t="s">
        <v>4909</v>
      </c>
      <c r="G9135" t="s">
        <v>4909</v>
      </c>
      <c r="H9135" t="s">
        <v>4909</v>
      </c>
      <c r="I9135" t="s">
        <v>4909</v>
      </c>
      <c r="J9135" t="s">
        <v>4909</v>
      </c>
      <c r="K9135" t="s">
        <v>4909</v>
      </c>
    </row>
    <row r="9136" spans="1:11" x14ac:dyDescent="0.2">
      <c r="A9136" t="s">
        <v>1906</v>
      </c>
      <c r="B9136" t="s">
        <v>4909</v>
      </c>
      <c r="C9136" t="s">
        <v>4909</v>
      </c>
      <c r="D9136" t="s">
        <v>4909</v>
      </c>
      <c r="E9136" t="s">
        <v>4909</v>
      </c>
      <c r="F9136" t="s">
        <v>4909</v>
      </c>
      <c r="G9136" t="s">
        <v>4909</v>
      </c>
      <c r="H9136" t="s">
        <v>4909</v>
      </c>
      <c r="I9136" t="s">
        <v>4909</v>
      </c>
      <c r="J9136" t="s">
        <v>4909</v>
      </c>
      <c r="K9136" t="s">
        <v>4909</v>
      </c>
    </row>
    <row r="9137" spans="1:11" x14ac:dyDescent="0.2">
      <c r="A9137" t="s">
        <v>1911</v>
      </c>
      <c r="B9137" t="s">
        <v>4909</v>
      </c>
      <c r="C9137" t="s">
        <v>4909</v>
      </c>
      <c r="D9137" t="s">
        <v>4909</v>
      </c>
      <c r="E9137" t="s">
        <v>4909</v>
      </c>
      <c r="F9137" t="s">
        <v>4909</v>
      </c>
      <c r="G9137" t="s">
        <v>4909</v>
      </c>
      <c r="H9137" t="s">
        <v>4909</v>
      </c>
      <c r="I9137" t="s">
        <v>4909</v>
      </c>
      <c r="J9137" t="s">
        <v>4909</v>
      </c>
      <c r="K9137" t="s">
        <v>4909</v>
      </c>
    </row>
    <row r="9138" spans="1:11" x14ac:dyDescent="0.2">
      <c r="A9138" t="s">
        <v>1917</v>
      </c>
      <c r="B9138" t="s">
        <v>4909</v>
      </c>
      <c r="C9138" t="s">
        <v>4909</v>
      </c>
      <c r="D9138" t="s">
        <v>4909</v>
      </c>
      <c r="E9138" t="s">
        <v>4909</v>
      </c>
      <c r="F9138" t="s">
        <v>4909</v>
      </c>
      <c r="G9138" t="s">
        <v>4909</v>
      </c>
      <c r="H9138" t="s">
        <v>4909</v>
      </c>
      <c r="I9138" t="s">
        <v>4909</v>
      </c>
      <c r="J9138" t="s">
        <v>4909</v>
      </c>
      <c r="K9138" t="s">
        <v>4909</v>
      </c>
    </row>
    <row r="9139" spans="1:11" x14ac:dyDescent="0.2">
      <c r="A9139" t="s">
        <v>1922</v>
      </c>
      <c r="B9139" t="s">
        <v>4909</v>
      </c>
      <c r="C9139" t="s">
        <v>4909</v>
      </c>
      <c r="D9139" t="s">
        <v>4909</v>
      </c>
      <c r="E9139" t="s">
        <v>4909</v>
      </c>
      <c r="F9139" t="s">
        <v>4909</v>
      </c>
      <c r="G9139" t="s">
        <v>4909</v>
      </c>
      <c r="H9139" t="s">
        <v>4909</v>
      </c>
      <c r="I9139" t="s">
        <v>4909</v>
      </c>
      <c r="J9139" t="s">
        <v>4909</v>
      </c>
      <c r="K9139" t="s">
        <v>4909</v>
      </c>
    </row>
    <row r="9140" spans="1:11" x14ac:dyDescent="0.2">
      <c r="A9140" t="s">
        <v>1928</v>
      </c>
      <c r="B9140" t="s">
        <v>4909</v>
      </c>
      <c r="C9140" t="s">
        <v>4909</v>
      </c>
      <c r="D9140" t="s">
        <v>4909</v>
      </c>
      <c r="E9140" t="s">
        <v>4909</v>
      </c>
      <c r="F9140" t="s">
        <v>4909</v>
      </c>
      <c r="G9140" t="s">
        <v>4909</v>
      </c>
      <c r="H9140" t="s">
        <v>4909</v>
      </c>
      <c r="I9140" t="s">
        <v>4909</v>
      </c>
      <c r="J9140" t="s">
        <v>4909</v>
      </c>
      <c r="K9140" t="s">
        <v>4909</v>
      </c>
    </row>
    <row r="9141" spans="1:11" x14ac:dyDescent="0.2">
      <c r="A9141" t="s">
        <v>1932</v>
      </c>
      <c r="B9141" t="s">
        <v>4909</v>
      </c>
      <c r="C9141" t="s">
        <v>4909</v>
      </c>
      <c r="D9141" t="s">
        <v>4909</v>
      </c>
      <c r="E9141" t="s">
        <v>4909</v>
      </c>
      <c r="F9141" t="s">
        <v>4909</v>
      </c>
      <c r="G9141" t="s">
        <v>4909</v>
      </c>
      <c r="H9141" t="s">
        <v>4909</v>
      </c>
      <c r="I9141" t="s">
        <v>4909</v>
      </c>
      <c r="J9141" t="s">
        <v>4909</v>
      </c>
      <c r="K9141" t="s">
        <v>4909</v>
      </c>
    </row>
    <row r="9142" spans="1:11" x14ac:dyDescent="0.2">
      <c r="A9142" t="s">
        <v>1938</v>
      </c>
      <c r="B9142" t="s">
        <v>4909</v>
      </c>
      <c r="C9142" t="s">
        <v>4909</v>
      </c>
      <c r="D9142" t="s">
        <v>4909</v>
      </c>
      <c r="E9142" t="s">
        <v>4909</v>
      </c>
      <c r="F9142" t="s">
        <v>4909</v>
      </c>
      <c r="G9142" t="s">
        <v>4909</v>
      </c>
      <c r="H9142" t="s">
        <v>4909</v>
      </c>
      <c r="I9142" t="s">
        <v>4909</v>
      </c>
      <c r="J9142" t="s">
        <v>4909</v>
      </c>
      <c r="K9142" t="s">
        <v>4909</v>
      </c>
    </row>
    <row r="9143" spans="1:11" x14ac:dyDescent="0.2">
      <c r="A9143" t="s">
        <v>1944</v>
      </c>
      <c r="B9143" t="s">
        <v>4909</v>
      </c>
      <c r="C9143" t="s">
        <v>4909</v>
      </c>
      <c r="D9143" t="s">
        <v>4909</v>
      </c>
      <c r="E9143" t="s">
        <v>4909</v>
      </c>
      <c r="F9143" t="s">
        <v>4909</v>
      </c>
      <c r="G9143" t="s">
        <v>4909</v>
      </c>
      <c r="H9143" t="s">
        <v>4909</v>
      </c>
      <c r="I9143" t="s">
        <v>4909</v>
      </c>
      <c r="J9143" t="s">
        <v>4909</v>
      </c>
      <c r="K9143" t="s">
        <v>4909</v>
      </c>
    </row>
    <row r="9144" spans="1:11" x14ac:dyDescent="0.2">
      <c r="A9144" t="s">
        <v>1947</v>
      </c>
      <c r="B9144" t="s">
        <v>4909</v>
      </c>
      <c r="C9144" t="s">
        <v>4909</v>
      </c>
      <c r="D9144" t="s">
        <v>4909</v>
      </c>
      <c r="E9144" t="s">
        <v>4909</v>
      </c>
      <c r="F9144" t="s">
        <v>4909</v>
      </c>
      <c r="G9144" t="s">
        <v>4909</v>
      </c>
      <c r="H9144" t="s">
        <v>4909</v>
      </c>
      <c r="I9144" t="s">
        <v>4909</v>
      </c>
      <c r="J9144" t="s">
        <v>4909</v>
      </c>
      <c r="K9144" t="s">
        <v>4909</v>
      </c>
    </row>
    <row r="9145" spans="1:11" x14ac:dyDescent="0.2">
      <c r="A9145" t="s">
        <v>1953</v>
      </c>
      <c r="B9145" t="s">
        <v>4909</v>
      </c>
      <c r="C9145" t="s">
        <v>4909</v>
      </c>
      <c r="D9145" t="s">
        <v>4909</v>
      </c>
      <c r="E9145" t="s">
        <v>4909</v>
      </c>
      <c r="F9145" t="s">
        <v>4909</v>
      </c>
      <c r="G9145" t="s">
        <v>4909</v>
      </c>
      <c r="H9145" t="s">
        <v>4909</v>
      </c>
      <c r="I9145" t="s">
        <v>4909</v>
      </c>
      <c r="J9145" t="s">
        <v>4909</v>
      </c>
      <c r="K9145" t="s">
        <v>4909</v>
      </c>
    </row>
    <row r="9146" spans="1:11" x14ac:dyDescent="0.2">
      <c r="A9146" t="s">
        <v>1958</v>
      </c>
      <c r="B9146" t="s">
        <v>4909</v>
      </c>
      <c r="C9146" t="s">
        <v>4909</v>
      </c>
      <c r="D9146" t="s">
        <v>4909</v>
      </c>
      <c r="E9146" t="s">
        <v>4909</v>
      </c>
      <c r="F9146" t="s">
        <v>4909</v>
      </c>
      <c r="G9146" t="s">
        <v>4909</v>
      </c>
      <c r="H9146" t="s">
        <v>4909</v>
      </c>
      <c r="I9146" t="s">
        <v>4909</v>
      </c>
      <c r="J9146" t="s">
        <v>4909</v>
      </c>
      <c r="K9146" t="s">
        <v>4909</v>
      </c>
    </row>
    <row r="9147" spans="1:11" x14ac:dyDescent="0.2">
      <c r="A9147" t="s">
        <v>1964</v>
      </c>
      <c r="B9147" t="s">
        <v>4909</v>
      </c>
      <c r="C9147" t="s">
        <v>4909</v>
      </c>
      <c r="D9147" t="s">
        <v>4909</v>
      </c>
      <c r="E9147" t="s">
        <v>4909</v>
      </c>
      <c r="F9147" t="s">
        <v>4909</v>
      </c>
      <c r="G9147" t="s">
        <v>4909</v>
      </c>
      <c r="H9147" t="s">
        <v>4909</v>
      </c>
      <c r="I9147" t="s">
        <v>4909</v>
      </c>
      <c r="J9147" t="s">
        <v>4909</v>
      </c>
      <c r="K9147" t="s">
        <v>4909</v>
      </c>
    </row>
    <row r="9148" spans="1:11" x14ac:dyDescent="0.2">
      <c r="A9148" t="s">
        <v>1973</v>
      </c>
      <c r="B9148" t="s">
        <v>4909</v>
      </c>
      <c r="C9148" t="s">
        <v>4909</v>
      </c>
      <c r="D9148" t="s">
        <v>4909</v>
      </c>
      <c r="E9148" t="s">
        <v>4909</v>
      </c>
      <c r="F9148" t="s">
        <v>4909</v>
      </c>
      <c r="G9148" t="s">
        <v>4909</v>
      </c>
      <c r="H9148" t="s">
        <v>4909</v>
      </c>
      <c r="I9148" t="s">
        <v>4909</v>
      </c>
      <c r="J9148" t="s">
        <v>4909</v>
      </c>
      <c r="K9148" t="s">
        <v>4909</v>
      </c>
    </row>
    <row r="9149" spans="1:11" x14ac:dyDescent="0.2">
      <c r="A9149" t="s">
        <v>1978</v>
      </c>
      <c r="B9149" t="s">
        <v>4909</v>
      </c>
      <c r="C9149" t="s">
        <v>4909</v>
      </c>
      <c r="D9149" t="s">
        <v>4909</v>
      </c>
      <c r="E9149" t="s">
        <v>4909</v>
      </c>
      <c r="F9149" t="s">
        <v>4909</v>
      </c>
      <c r="G9149" t="s">
        <v>4909</v>
      </c>
      <c r="H9149" t="s">
        <v>4909</v>
      </c>
      <c r="I9149" t="s">
        <v>4909</v>
      </c>
      <c r="J9149" t="s">
        <v>4909</v>
      </c>
      <c r="K9149" t="s">
        <v>4909</v>
      </c>
    </row>
    <row r="9150" spans="1:11" x14ac:dyDescent="0.2">
      <c r="A9150" t="s">
        <v>1983</v>
      </c>
      <c r="B9150" t="s">
        <v>4909</v>
      </c>
      <c r="C9150" t="s">
        <v>4909</v>
      </c>
      <c r="D9150" t="s">
        <v>4909</v>
      </c>
      <c r="E9150" t="s">
        <v>4909</v>
      </c>
      <c r="F9150" t="s">
        <v>4909</v>
      </c>
      <c r="G9150" t="s">
        <v>4909</v>
      </c>
      <c r="H9150" t="s">
        <v>4909</v>
      </c>
      <c r="I9150" t="s">
        <v>4909</v>
      </c>
      <c r="J9150" t="s">
        <v>4909</v>
      </c>
      <c r="K9150" t="s">
        <v>4909</v>
      </c>
    </row>
    <row r="9151" spans="1:11" x14ac:dyDescent="0.2">
      <c r="A9151" t="s">
        <v>1984</v>
      </c>
      <c r="B9151" t="s">
        <v>4909</v>
      </c>
      <c r="C9151" t="s">
        <v>4909</v>
      </c>
      <c r="D9151" t="s">
        <v>4909</v>
      </c>
      <c r="E9151" t="s">
        <v>4909</v>
      </c>
      <c r="F9151" t="s">
        <v>4909</v>
      </c>
      <c r="G9151" t="s">
        <v>4909</v>
      </c>
      <c r="H9151" t="s">
        <v>4909</v>
      </c>
      <c r="I9151" t="s">
        <v>4909</v>
      </c>
      <c r="J9151" t="s">
        <v>4909</v>
      </c>
      <c r="K9151" t="s">
        <v>4909</v>
      </c>
    </row>
    <row r="9152" spans="1:11" x14ac:dyDescent="0.2">
      <c r="A9152" t="s">
        <v>1990</v>
      </c>
      <c r="B9152" t="s">
        <v>4909</v>
      </c>
      <c r="C9152" t="s">
        <v>4909</v>
      </c>
      <c r="D9152" t="s">
        <v>4909</v>
      </c>
      <c r="E9152" t="s">
        <v>4909</v>
      </c>
      <c r="F9152" t="s">
        <v>4909</v>
      </c>
      <c r="G9152" t="s">
        <v>4909</v>
      </c>
      <c r="H9152" t="s">
        <v>4909</v>
      </c>
      <c r="I9152" t="s">
        <v>4909</v>
      </c>
      <c r="J9152" t="s">
        <v>4909</v>
      </c>
      <c r="K9152" t="s">
        <v>4909</v>
      </c>
    </row>
    <row r="9153" spans="1:11" x14ac:dyDescent="0.2">
      <c r="A9153" t="s">
        <v>1996</v>
      </c>
      <c r="B9153" t="s">
        <v>4909</v>
      </c>
      <c r="C9153" t="s">
        <v>4909</v>
      </c>
      <c r="D9153" t="s">
        <v>4909</v>
      </c>
      <c r="E9153" t="s">
        <v>4909</v>
      </c>
      <c r="F9153" t="s">
        <v>4909</v>
      </c>
      <c r="G9153" t="s">
        <v>4909</v>
      </c>
      <c r="H9153" t="s">
        <v>4909</v>
      </c>
      <c r="I9153" t="s">
        <v>4909</v>
      </c>
      <c r="J9153" t="s">
        <v>4909</v>
      </c>
      <c r="K9153" t="s">
        <v>4909</v>
      </c>
    </row>
    <row r="9154" spans="1:11" x14ac:dyDescent="0.2">
      <c r="A9154" t="s">
        <v>1998</v>
      </c>
      <c r="B9154" t="s">
        <v>4909</v>
      </c>
      <c r="C9154" t="s">
        <v>4909</v>
      </c>
      <c r="D9154" t="s">
        <v>4909</v>
      </c>
      <c r="E9154" t="s">
        <v>4909</v>
      </c>
      <c r="F9154" t="s">
        <v>4909</v>
      </c>
      <c r="G9154" t="s">
        <v>4909</v>
      </c>
      <c r="H9154" t="s">
        <v>4909</v>
      </c>
      <c r="I9154" t="s">
        <v>4909</v>
      </c>
      <c r="J9154" t="s">
        <v>4909</v>
      </c>
      <c r="K9154" t="s">
        <v>4909</v>
      </c>
    </row>
    <row r="9155" spans="1:11" x14ac:dyDescent="0.2">
      <c r="A9155" t="s">
        <v>1999</v>
      </c>
      <c r="B9155" t="s">
        <v>4909</v>
      </c>
      <c r="C9155" t="s">
        <v>4909</v>
      </c>
      <c r="D9155" t="s">
        <v>4909</v>
      </c>
      <c r="E9155" t="s">
        <v>4909</v>
      </c>
      <c r="F9155" t="s">
        <v>4909</v>
      </c>
      <c r="G9155" t="s">
        <v>4909</v>
      </c>
      <c r="H9155" t="s">
        <v>4909</v>
      </c>
      <c r="I9155" t="s">
        <v>4909</v>
      </c>
      <c r="J9155" t="s">
        <v>4909</v>
      </c>
      <c r="K9155" t="s">
        <v>4909</v>
      </c>
    </row>
    <row r="9156" spans="1:11" x14ac:dyDescent="0.2">
      <c r="A9156" t="s">
        <v>2004</v>
      </c>
      <c r="B9156" t="s">
        <v>4909</v>
      </c>
      <c r="C9156" t="s">
        <v>4909</v>
      </c>
      <c r="D9156" t="s">
        <v>4909</v>
      </c>
      <c r="E9156" t="s">
        <v>4909</v>
      </c>
      <c r="F9156" t="s">
        <v>4909</v>
      </c>
      <c r="G9156" t="s">
        <v>4909</v>
      </c>
      <c r="H9156" t="s">
        <v>4909</v>
      </c>
      <c r="I9156" t="s">
        <v>4909</v>
      </c>
      <c r="J9156" t="s">
        <v>4909</v>
      </c>
      <c r="K9156" t="s">
        <v>4909</v>
      </c>
    </row>
    <row r="9157" spans="1:11" x14ac:dyDescent="0.2">
      <c r="A9157" t="s">
        <v>2009</v>
      </c>
      <c r="B9157" t="s">
        <v>4909</v>
      </c>
      <c r="C9157" t="s">
        <v>4909</v>
      </c>
      <c r="D9157" t="s">
        <v>4909</v>
      </c>
      <c r="E9157" t="s">
        <v>4909</v>
      </c>
      <c r="F9157" t="s">
        <v>4909</v>
      </c>
      <c r="G9157" t="s">
        <v>4909</v>
      </c>
      <c r="H9157" t="s">
        <v>4909</v>
      </c>
      <c r="I9157" t="s">
        <v>4909</v>
      </c>
      <c r="J9157" t="s">
        <v>4909</v>
      </c>
      <c r="K9157" t="s">
        <v>4909</v>
      </c>
    </row>
    <row r="9158" spans="1:11" x14ac:dyDescent="0.2">
      <c r="A9158" t="s">
        <v>2014</v>
      </c>
      <c r="B9158" t="s">
        <v>4909</v>
      </c>
      <c r="C9158" t="s">
        <v>4909</v>
      </c>
      <c r="D9158" t="s">
        <v>4909</v>
      </c>
      <c r="E9158" t="s">
        <v>4909</v>
      </c>
      <c r="F9158" t="s">
        <v>4909</v>
      </c>
      <c r="G9158" t="s">
        <v>4909</v>
      </c>
      <c r="H9158" t="s">
        <v>4909</v>
      </c>
      <c r="I9158" t="s">
        <v>4909</v>
      </c>
      <c r="J9158" t="s">
        <v>4909</v>
      </c>
      <c r="K9158" t="s">
        <v>4909</v>
      </c>
    </row>
    <row r="9159" spans="1:11" x14ac:dyDescent="0.2">
      <c r="A9159" t="s">
        <v>2019</v>
      </c>
      <c r="B9159" t="s">
        <v>4909</v>
      </c>
      <c r="C9159" t="s">
        <v>4909</v>
      </c>
      <c r="D9159" t="s">
        <v>4909</v>
      </c>
      <c r="E9159" t="s">
        <v>4909</v>
      </c>
      <c r="F9159" t="s">
        <v>4909</v>
      </c>
      <c r="G9159" t="s">
        <v>4909</v>
      </c>
      <c r="H9159" t="s">
        <v>4909</v>
      </c>
      <c r="I9159" t="s">
        <v>4909</v>
      </c>
      <c r="J9159" t="s">
        <v>4909</v>
      </c>
      <c r="K9159" t="s">
        <v>4909</v>
      </c>
    </row>
    <row r="9160" spans="1:11" x14ac:dyDescent="0.2">
      <c r="A9160" t="s">
        <v>2023</v>
      </c>
      <c r="B9160" t="s">
        <v>4909</v>
      </c>
      <c r="C9160" t="s">
        <v>4909</v>
      </c>
      <c r="D9160" t="s">
        <v>4909</v>
      </c>
      <c r="E9160" t="s">
        <v>4909</v>
      </c>
      <c r="F9160" t="s">
        <v>4909</v>
      </c>
      <c r="G9160" t="s">
        <v>4909</v>
      </c>
      <c r="H9160" t="s">
        <v>4909</v>
      </c>
      <c r="I9160" t="s">
        <v>4909</v>
      </c>
      <c r="J9160" t="s">
        <v>4909</v>
      </c>
      <c r="K9160" t="s">
        <v>4909</v>
      </c>
    </row>
    <row r="9161" spans="1:11" x14ac:dyDescent="0.2">
      <c r="A9161" t="s">
        <v>2026</v>
      </c>
      <c r="B9161" t="s">
        <v>4909</v>
      </c>
      <c r="C9161" t="s">
        <v>4909</v>
      </c>
      <c r="D9161" t="s">
        <v>4909</v>
      </c>
      <c r="E9161" t="s">
        <v>4909</v>
      </c>
      <c r="F9161" t="s">
        <v>4909</v>
      </c>
      <c r="G9161" t="s">
        <v>4909</v>
      </c>
      <c r="H9161" t="s">
        <v>4909</v>
      </c>
      <c r="I9161" t="s">
        <v>4909</v>
      </c>
      <c r="J9161" t="s">
        <v>4909</v>
      </c>
      <c r="K9161" t="s">
        <v>4909</v>
      </c>
    </row>
    <row r="9162" spans="1:11" x14ac:dyDescent="0.2">
      <c r="A9162" t="s">
        <v>2030</v>
      </c>
      <c r="B9162" t="s">
        <v>4909</v>
      </c>
      <c r="C9162" t="s">
        <v>4909</v>
      </c>
      <c r="D9162" t="s">
        <v>4909</v>
      </c>
      <c r="E9162" t="s">
        <v>4909</v>
      </c>
      <c r="F9162" t="s">
        <v>4909</v>
      </c>
      <c r="G9162" t="s">
        <v>4909</v>
      </c>
      <c r="H9162" t="s">
        <v>4909</v>
      </c>
      <c r="I9162" t="s">
        <v>4909</v>
      </c>
      <c r="J9162" t="s">
        <v>4909</v>
      </c>
      <c r="K9162" t="s">
        <v>4909</v>
      </c>
    </row>
    <row r="9163" spans="1:11" x14ac:dyDescent="0.2">
      <c r="A9163" t="s">
        <v>2035</v>
      </c>
      <c r="B9163" t="s">
        <v>4909</v>
      </c>
      <c r="C9163" t="s">
        <v>4909</v>
      </c>
      <c r="D9163" t="s">
        <v>4909</v>
      </c>
      <c r="E9163" t="s">
        <v>4909</v>
      </c>
      <c r="F9163" t="s">
        <v>4909</v>
      </c>
      <c r="G9163" t="s">
        <v>4909</v>
      </c>
      <c r="H9163" t="s">
        <v>4909</v>
      </c>
      <c r="I9163" t="s">
        <v>4909</v>
      </c>
      <c r="J9163" t="s">
        <v>4909</v>
      </c>
      <c r="K9163" t="s">
        <v>4909</v>
      </c>
    </row>
    <row r="9164" spans="1:11" x14ac:dyDescent="0.2">
      <c r="A9164" t="s">
        <v>2040</v>
      </c>
      <c r="B9164" t="s">
        <v>4909</v>
      </c>
      <c r="C9164" t="s">
        <v>4909</v>
      </c>
      <c r="D9164" t="s">
        <v>4909</v>
      </c>
      <c r="E9164" t="s">
        <v>4909</v>
      </c>
      <c r="F9164" t="s">
        <v>4909</v>
      </c>
      <c r="G9164" t="s">
        <v>4909</v>
      </c>
      <c r="H9164" t="s">
        <v>4909</v>
      </c>
      <c r="I9164" t="s">
        <v>4909</v>
      </c>
      <c r="J9164" t="s">
        <v>4909</v>
      </c>
      <c r="K9164" t="s">
        <v>4909</v>
      </c>
    </row>
    <row r="9165" spans="1:11" x14ac:dyDescent="0.2">
      <c r="A9165" t="s">
        <v>2045</v>
      </c>
      <c r="B9165" t="s">
        <v>4909</v>
      </c>
      <c r="C9165" t="s">
        <v>4909</v>
      </c>
      <c r="D9165" t="s">
        <v>4909</v>
      </c>
      <c r="E9165" t="s">
        <v>4909</v>
      </c>
      <c r="F9165" t="s">
        <v>4909</v>
      </c>
      <c r="G9165" t="s">
        <v>4909</v>
      </c>
      <c r="H9165" t="s">
        <v>4909</v>
      </c>
      <c r="I9165" t="s">
        <v>4909</v>
      </c>
      <c r="J9165" t="s">
        <v>4909</v>
      </c>
      <c r="K9165" t="s">
        <v>4909</v>
      </c>
    </row>
    <row r="9166" spans="1:11" x14ac:dyDescent="0.2">
      <c r="A9166" t="s">
        <v>2049</v>
      </c>
      <c r="B9166" t="s">
        <v>4909</v>
      </c>
      <c r="C9166" t="s">
        <v>4909</v>
      </c>
      <c r="D9166" t="s">
        <v>4909</v>
      </c>
      <c r="E9166" t="s">
        <v>4909</v>
      </c>
      <c r="F9166" t="s">
        <v>4909</v>
      </c>
      <c r="G9166" t="s">
        <v>4909</v>
      </c>
      <c r="H9166" t="s">
        <v>4909</v>
      </c>
      <c r="I9166" t="s">
        <v>4909</v>
      </c>
      <c r="J9166" t="s">
        <v>4909</v>
      </c>
      <c r="K9166" t="s">
        <v>4909</v>
      </c>
    </row>
    <row r="9167" spans="1:11" x14ac:dyDescent="0.2">
      <c r="A9167" t="s">
        <v>2051</v>
      </c>
      <c r="B9167" t="s">
        <v>4909</v>
      </c>
      <c r="C9167" t="s">
        <v>4909</v>
      </c>
      <c r="D9167" t="s">
        <v>4909</v>
      </c>
      <c r="E9167" t="s">
        <v>4909</v>
      </c>
      <c r="F9167" t="s">
        <v>4909</v>
      </c>
      <c r="G9167" t="s">
        <v>4909</v>
      </c>
      <c r="H9167" t="s">
        <v>4909</v>
      </c>
      <c r="I9167" t="s">
        <v>4909</v>
      </c>
      <c r="J9167" t="s">
        <v>4909</v>
      </c>
      <c r="K9167" t="s">
        <v>4909</v>
      </c>
    </row>
    <row r="9168" spans="1:11" x14ac:dyDescent="0.2">
      <c r="A9168" t="s">
        <v>2057</v>
      </c>
      <c r="B9168" t="s">
        <v>4909</v>
      </c>
      <c r="C9168" t="s">
        <v>4909</v>
      </c>
      <c r="D9168" t="s">
        <v>4909</v>
      </c>
      <c r="E9168" t="s">
        <v>4909</v>
      </c>
      <c r="F9168" t="s">
        <v>4909</v>
      </c>
      <c r="G9168" t="s">
        <v>4909</v>
      </c>
      <c r="H9168" t="s">
        <v>4909</v>
      </c>
      <c r="I9168" t="s">
        <v>4909</v>
      </c>
      <c r="J9168" t="s">
        <v>4909</v>
      </c>
      <c r="K9168" t="s">
        <v>4909</v>
      </c>
    </row>
    <row r="9169" spans="1:11" x14ac:dyDescent="0.2">
      <c r="A9169" t="s">
        <v>4344</v>
      </c>
      <c r="B9169" t="s">
        <v>4909</v>
      </c>
      <c r="C9169" t="s">
        <v>4909</v>
      </c>
      <c r="D9169" t="s">
        <v>4909</v>
      </c>
      <c r="E9169" t="s">
        <v>4909</v>
      </c>
      <c r="F9169" t="s">
        <v>4909</v>
      </c>
      <c r="G9169" t="s">
        <v>4909</v>
      </c>
      <c r="H9169" t="s">
        <v>4909</v>
      </c>
      <c r="I9169" t="s">
        <v>4909</v>
      </c>
      <c r="J9169" t="s">
        <v>4909</v>
      </c>
      <c r="K9169" t="s">
        <v>4909</v>
      </c>
    </row>
    <row r="9170" spans="1:11" x14ac:dyDescent="0.2">
      <c r="A9170" t="s">
        <v>4345</v>
      </c>
      <c r="B9170" t="s">
        <v>4909</v>
      </c>
      <c r="C9170" t="s">
        <v>4909</v>
      </c>
      <c r="D9170" t="s">
        <v>4909</v>
      </c>
      <c r="E9170" t="s">
        <v>4909</v>
      </c>
      <c r="F9170" t="s">
        <v>4909</v>
      </c>
      <c r="G9170" t="s">
        <v>4909</v>
      </c>
      <c r="H9170" t="s">
        <v>4909</v>
      </c>
      <c r="I9170" t="s">
        <v>4909</v>
      </c>
      <c r="J9170" t="s">
        <v>4909</v>
      </c>
      <c r="K9170" t="s">
        <v>4909</v>
      </c>
    </row>
    <row r="9171" spans="1:11" x14ac:dyDescent="0.2">
      <c r="A9171" t="s">
        <v>2074</v>
      </c>
      <c r="B9171" t="s">
        <v>4909</v>
      </c>
      <c r="C9171" t="s">
        <v>4909</v>
      </c>
      <c r="D9171" t="s">
        <v>4909</v>
      </c>
      <c r="E9171" t="s">
        <v>4909</v>
      </c>
      <c r="F9171" t="s">
        <v>4909</v>
      </c>
      <c r="G9171" t="s">
        <v>4909</v>
      </c>
      <c r="H9171" t="s">
        <v>4909</v>
      </c>
      <c r="I9171" t="s">
        <v>4909</v>
      </c>
      <c r="J9171" t="s">
        <v>4909</v>
      </c>
      <c r="K9171" t="s">
        <v>4909</v>
      </c>
    </row>
    <row r="9172" spans="1:11" x14ac:dyDescent="0.2">
      <c r="A9172" t="s">
        <v>2079</v>
      </c>
      <c r="B9172" t="s">
        <v>4909</v>
      </c>
      <c r="C9172" t="s">
        <v>4909</v>
      </c>
      <c r="D9172" t="s">
        <v>4909</v>
      </c>
      <c r="E9172" t="s">
        <v>4909</v>
      </c>
      <c r="F9172" t="s">
        <v>4909</v>
      </c>
      <c r="G9172" t="s">
        <v>4909</v>
      </c>
      <c r="H9172" t="s">
        <v>4909</v>
      </c>
      <c r="I9172" t="s">
        <v>4909</v>
      </c>
      <c r="J9172" t="s">
        <v>4909</v>
      </c>
      <c r="K9172" t="s">
        <v>4909</v>
      </c>
    </row>
    <row r="9173" spans="1:11" x14ac:dyDescent="0.2">
      <c r="A9173" t="s">
        <v>2085</v>
      </c>
      <c r="B9173" t="s">
        <v>4909</v>
      </c>
      <c r="C9173" t="s">
        <v>4909</v>
      </c>
      <c r="D9173" t="s">
        <v>4909</v>
      </c>
      <c r="E9173" t="s">
        <v>4909</v>
      </c>
      <c r="F9173" t="s">
        <v>4909</v>
      </c>
      <c r="G9173" t="s">
        <v>4909</v>
      </c>
      <c r="H9173" t="s">
        <v>4909</v>
      </c>
      <c r="I9173" t="s">
        <v>4909</v>
      </c>
      <c r="J9173" t="s">
        <v>4909</v>
      </c>
      <c r="K9173" t="s">
        <v>4909</v>
      </c>
    </row>
    <row r="9174" spans="1:11" x14ac:dyDescent="0.2">
      <c r="A9174" t="s">
        <v>2091</v>
      </c>
      <c r="B9174" t="s">
        <v>4909</v>
      </c>
      <c r="C9174" t="s">
        <v>4909</v>
      </c>
      <c r="D9174" t="s">
        <v>4909</v>
      </c>
      <c r="E9174" t="s">
        <v>4909</v>
      </c>
      <c r="F9174" t="s">
        <v>4909</v>
      </c>
      <c r="G9174" t="s">
        <v>4909</v>
      </c>
      <c r="H9174" t="s">
        <v>4909</v>
      </c>
      <c r="I9174" t="s">
        <v>4909</v>
      </c>
      <c r="J9174" t="s">
        <v>4909</v>
      </c>
      <c r="K9174" t="s">
        <v>4909</v>
      </c>
    </row>
    <row r="9175" spans="1:11" x14ac:dyDescent="0.2">
      <c r="A9175" t="s">
        <v>2097</v>
      </c>
      <c r="B9175" t="s">
        <v>4909</v>
      </c>
      <c r="C9175" t="s">
        <v>4909</v>
      </c>
      <c r="D9175" t="s">
        <v>4909</v>
      </c>
      <c r="E9175" t="s">
        <v>4909</v>
      </c>
      <c r="F9175" t="s">
        <v>4909</v>
      </c>
      <c r="G9175" t="s">
        <v>4909</v>
      </c>
      <c r="H9175" t="s">
        <v>4909</v>
      </c>
      <c r="I9175" t="s">
        <v>4909</v>
      </c>
      <c r="J9175" t="s">
        <v>4909</v>
      </c>
      <c r="K9175" t="s">
        <v>4909</v>
      </c>
    </row>
    <row r="9176" spans="1:11" x14ac:dyDescent="0.2">
      <c r="A9176" t="s">
        <v>2101</v>
      </c>
      <c r="B9176" t="s">
        <v>4909</v>
      </c>
      <c r="C9176" t="s">
        <v>4909</v>
      </c>
      <c r="D9176" t="s">
        <v>4909</v>
      </c>
      <c r="E9176" t="s">
        <v>4909</v>
      </c>
      <c r="F9176" t="s">
        <v>4909</v>
      </c>
      <c r="G9176" t="s">
        <v>4909</v>
      </c>
      <c r="H9176" t="s">
        <v>4909</v>
      </c>
      <c r="I9176" t="s">
        <v>4909</v>
      </c>
      <c r="J9176" t="s">
        <v>4909</v>
      </c>
      <c r="K9176" t="s">
        <v>4909</v>
      </c>
    </row>
    <row r="9177" spans="1:11" x14ac:dyDescent="0.2">
      <c r="A9177" t="s">
        <v>2104</v>
      </c>
      <c r="B9177" t="s">
        <v>4909</v>
      </c>
      <c r="C9177" t="s">
        <v>4909</v>
      </c>
      <c r="D9177" t="s">
        <v>4909</v>
      </c>
      <c r="E9177" t="s">
        <v>4909</v>
      </c>
      <c r="F9177" t="s">
        <v>4909</v>
      </c>
      <c r="G9177" t="s">
        <v>4909</v>
      </c>
      <c r="H9177" t="s">
        <v>4909</v>
      </c>
      <c r="I9177" t="s">
        <v>4909</v>
      </c>
      <c r="J9177" t="s">
        <v>4909</v>
      </c>
      <c r="K9177" t="s">
        <v>4909</v>
      </c>
    </row>
    <row r="9178" spans="1:11" x14ac:dyDescent="0.2">
      <c r="A9178" t="s">
        <v>2107</v>
      </c>
      <c r="B9178" t="s">
        <v>4909</v>
      </c>
      <c r="C9178" t="s">
        <v>4909</v>
      </c>
      <c r="D9178" t="s">
        <v>4909</v>
      </c>
      <c r="E9178" t="s">
        <v>4909</v>
      </c>
      <c r="F9178" t="s">
        <v>4909</v>
      </c>
      <c r="G9178" t="s">
        <v>4909</v>
      </c>
      <c r="H9178" t="s">
        <v>4909</v>
      </c>
      <c r="I9178" t="s">
        <v>4909</v>
      </c>
      <c r="J9178" t="s">
        <v>4909</v>
      </c>
      <c r="K9178" t="s">
        <v>4909</v>
      </c>
    </row>
    <row r="9179" spans="1:11" x14ac:dyDescent="0.2">
      <c r="A9179" t="s">
        <v>2110</v>
      </c>
      <c r="B9179" t="s">
        <v>4909</v>
      </c>
      <c r="C9179" t="s">
        <v>4909</v>
      </c>
      <c r="D9179" t="s">
        <v>4909</v>
      </c>
      <c r="E9179" t="s">
        <v>4909</v>
      </c>
      <c r="F9179" t="s">
        <v>4909</v>
      </c>
      <c r="G9179" t="s">
        <v>4909</v>
      </c>
      <c r="H9179" t="s">
        <v>4909</v>
      </c>
      <c r="I9179" t="s">
        <v>4909</v>
      </c>
      <c r="J9179" t="s">
        <v>4909</v>
      </c>
      <c r="K9179" t="s">
        <v>4909</v>
      </c>
    </row>
    <row r="9180" spans="1:11" x14ac:dyDescent="0.2">
      <c r="A9180" t="s">
        <v>2113</v>
      </c>
      <c r="B9180" t="s">
        <v>4909</v>
      </c>
      <c r="C9180" t="s">
        <v>4909</v>
      </c>
      <c r="D9180" t="s">
        <v>4909</v>
      </c>
      <c r="E9180" t="s">
        <v>4909</v>
      </c>
      <c r="F9180" t="s">
        <v>4909</v>
      </c>
      <c r="G9180" t="s">
        <v>4909</v>
      </c>
      <c r="H9180" t="s">
        <v>4909</v>
      </c>
      <c r="I9180" t="s">
        <v>4909</v>
      </c>
      <c r="J9180" t="s">
        <v>4909</v>
      </c>
      <c r="K9180" t="s">
        <v>4909</v>
      </c>
    </row>
    <row r="9181" spans="1:11" x14ac:dyDescent="0.2">
      <c r="A9181" t="s">
        <v>4346</v>
      </c>
      <c r="B9181" t="s">
        <v>4909</v>
      </c>
      <c r="C9181" t="s">
        <v>4909</v>
      </c>
      <c r="D9181" t="s">
        <v>4909</v>
      </c>
      <c r="E9181" t="s">
        <v>4909</v>
      </c>
      <c r="F9181" t="s">
        <v>4909</v>
      </c>
      <c r="G9181" t="s">
        <v>4909</v>
      </c>
      <c r="H9181" t="s">
        <v>4909</v>
      </c>
      <c r="I9181" t="s">
        <v>4909</v>
      </c>
      <c r="J9181" t="s">
        <v>4909</v>
      </c>
      <c r="K9181" t="s">
        <v>4909</v>
      </c>
    </row>
    <row r="9182" spans="1:11" x14ac:dyDescent="0.2">
      <c r="A9182" t="s">
        <v>4347</v>
      </c>
      <c r="B9182" t="s">
        <v>4909</v>
      </c>
      <c r="C9182" t="s">
        <v>4909</v>
      </c>
      <c r="D9182" t="s">
        <v>4909</v>
      </c>
      <c r="E9182" t="s">
        <v>4909</v>
      </c>
      <c r="F9182" t="s">
        <v>4909</v>
      </c>
      <c r="G9182" t="s">
        <v>4909</v>
      </c>
      <c r="H9182" t="s">
        <v>4909</v>
      </c>
      <c r="I9182" t="s">
        <v>4909</v>
      </c>
      <c r="J9182" t="s">
        <v>4909</v>
      </c>
      <c r="K9182" t="s">
        <v>4909</v>
      </c>
    </row>
    <row r="9183" spans="1:11" x14ac:dyDescent="0.2">
      <c r="A9183" t="s">
        <v>4348</v>
      </c>
      <c r="B9183" t="s">
        <v>4909</v>
      </c>
      <c r="C9183" t="s">
        <v>4909</v>
      </c>
      <c r="D9183" t="s">
        <v>4909</v>
      </c>
      <c r="E9183" t="s">
        <v>4909</v>
      </c>
      <c r="F9183" t="s">
        <v>4909</v>
      </c>
      <c r="G9183" t="s">
        <v>4909</v>
      </c>
      <c r="H9183" t="s">
        <v>4909</v>
      </c>
      <c r="I9183" t="s">
        <v>4909</v>
      </c>
      <c r="J9183" t="s">
        <v>4909</v>
      </c>
      <c r="K9183" t="s">
        <v>4909</v>
      </c>
    </row>
    <row r="9184" spans="1:11" x14ac:dyDescent="0.2">
      <c r="A9184" t="s">
        <v>4349</v>
      </c>
      <c r="B9184" t="s">
        <v>4909</v>
      </c>
      <c r="C9184" t="s">
        <v>4909</v>
      </c>
      <c r="D9184" t="s">
        <v>4909</v>
      </c>
      <c r="E9184" t="s">
        <v>4909</v>
      </c>
      <c r="F9184" t="s">
        <v>4909</v>
      </c>
      <c r="G9184" t="s">
        <v>4909</v>
      </c>
      <c r="H9184" t="s">
        <v>4909</v>
      </c>
      <c r="I9184" t="s">
        <v>4909</v>
      </c>
      <c r="J9184" t="s">
        <v>4909</v>
      </c>
      <c r="K9184" t="s">
        <v>4909</v>
      </c>
    </row>
    <row r="9185" spans="1:11" x14ac:dyDescent="0.2">
      <c r="A9185" t="s">
        <v>4350</v>
      </c>
      <c r="B9185" t="s">
        <v>4909</v>
      </c>
      <c r="C9185" t="s">
        <v>4909</v>
      </c>
      <c r="D9185" t="s">
        <v>4909</v>
      </c>
      <c r="E9185" t="s">
        <v>4909</v>
      </c>
      <c r="F9185" t="s">
        <v>4909</v>
      </c>
      <c r="G9185" t="s">
        <v>4909</v>
      </c>
      <c r="H9185" t="s">
        <v>4909</v>
      </c>
      <c r="I9185" t="s">
        <v>4909</v>
      </c>
      <c r="J9185" t="s">
        <v>4909</v>
      </c>
      <c r="K9185" t="s">
        <v>4909</v>
      </c>
    </row>
    <row r="9186" spans="1:11" x14ac:dyDescent="0.2">
      <c r="A9186" t="s">
        <v>4351</v>
      </c>
      <c r="B9186" t="s">
        <v>4909</v>
      </c>
      <c r="C9186" t="s">
        <v>4909</v>
      </c>
      <c r="D9186" t="s">
        <v>4909</v>
      </c>
      <c r="E9186" t="s">
        <v>4909</v>
      </c>
      <c r="F9186" t="s">
        <v>4909</v>
      </c>
      <c r="G9186" t="s">
        <v>4909</v>
      </c>
      <c r="H9186" t="s">
        <v>4909</v>
      </c>
      <c r="I9186" t="s">
        <v>4909</v>
      </c>
      <c r="J9186" t="s">
        <v>4909</v>
      </c>
      <c r="K9186" t="s">
        <v>4909</v>
      </c>
    </row>
    <row r="9187" spans="1:11" x14ac:dyDescent="0.2">
      <c r="A9187" t="s">
        <v>4352</v>
      </c>
      <c r="B9187" t="s">
        <v>4909</v>
      </c>
      <c r="C9187" t="s">
        <v>4909</v>
      </c>
      <c r="D9187" t="s">
        <v>4909</v>
      </c>
      <c r="E9187" t="s">
        <v>4909</v>
      </c>
      <c r="F9187" t="s">
        <v>4909</v>
      </c>
      <c r="G9187" t="s">
        <v>4909</v>
      </c>
      <c r="H9187" t="s">
        <v>4909</v>
      </c>
      <c r="I9187" t="s">
        <v>4909</v>
      </c>
      <c r="J9187" t="s">
        <v>4909</v>
      </c>
      <c r="K9187" t="s">
        <v>4909</v>
      </c>
    </row>
    <row r="9188" spans="1:11" x14ac:dyDescent="0.2">
      <c r="A9188" t="s">
        <v>4353</v>
      </c>
      <c r="B9188" t="s">
        <v>4909</v>
      </c>
      <c r="C9188" t="s">
        <v>4909</v>
      </c>
      <c r="D9188" t="s">
        <v>4909</v>
      </c>
      <c r="E9188" t="s">
        <v>4909</v>
      </c>
      <c r="F9188" t="s">
        <v>4909</v>
      </c>
      <c r="G9188" t="s">
        <v>4909</v>
      </c>
      <c r="H9188" t="s">
        <v>4909</v>
      </c>
      <c r="I9188" t="s">
        <v>4909</v>
      </c>
      <c r="J9188" t="s">
        <v>4909</v>
      </c>
      <c r="K9188" t="s">
        <v>4909</v>
      </c>
    </row>
    <row r="9189" spans="1:11" x14ac:dyDescent="0.2">
      <c r="A9189" t="s">
        <v>4354</v>
      </c>
      <c r="B9189" t="s">
        <v>4909</v>
      </c>
      <c r="C9189" t="s">
        <v>4909</v>
      </c>
      <c r="D9189" t="s">
        <v>4909</v>
      </c>
      <c r="E9189" t="s">
        <v>4909</v>
      </c>
      <c r="F9189" t="s">
        <v>4909</v>
      </c>
      <c r="G9189" t="s">
        <v>4909</v>
      </c>
      <c r="H9189" t="s">
        <v>4909</v>
      </c>
      <c r="I9189" t="s">
        <v>4909</v>
      </c>
      <c r="J9189" t="s">
        <v>4909</v>
      </c>
      <c r="K9189" t="s">
        <v>4909</v>
      </c>
    </row>
    <row r="9190" spans="1:11" x14ac:dyDescent="0.2">
      <c r="A9190" t="s">
        <v>4355</v>
      </c>
      <c r="B9190" t="s">
        <v>4909</v>
      </c>
      <c r="C9190" t="s">
        <v>4909</v>
      </c>
      <c r="D9190" t="s">
        <v>4909</v>
      </c>
      <c r="E9190" t="s">
        <v>4909</v>
      </c>
      <c r="F9190" t="s">
        <v>4909</v>
      </c>
      <c r="G9190" t="s">
        <v>4909</v>
      </c>
      <c r="H9190" t="s">
        <v>4909</v>
      </c>
      <c r="I9190" t="s">
        <v>4909</v>
      </c>
      <c r="J9190" t="s">
        <v>4909</v>
      </c>
      <c r="K9190" t="s">
        <v>4909</v>
      </c>
    </row>
    <row r="9191" spans="1:11" x14ac:dyDescent="0.2">
      <c r="A9191" t="s">
        <v>4356</v>
      </c>
      <c r="B9191" t="s">
        <v>4909</v>
      </c>
      <c r="C9191" t="s">
        <v>4909</v>
      </c>
      <c r="D9191" t="s">
        <v>4909</v>
      </c>
      <c r="E9191" t="s">
        <v>4909</v>
      </c>
      <c r="F9191" t="s">
        <v>4909</v>
      </c>
      <c r="G9191" t="s">
        <v>4909</v>
      </c>
      <c r="H9191" t="s">
        <v>4909</v>
      </c>
      <c r="I9191" t="s">
        <v>4909</v>
      </c>
      <c r="J9191" t="s">
        <v>4909</v>
      </c>
      <c r="K9191" t="s">
        <v>4909</v>
      </c>
    </row>
    <row r="9192" spans="1:11" x14ac:dyDescent="0.2">
      <c r="A9192" t="s">
        <v>4357</v>
      </c>
      <c r="B9192" t="s">
        <v>4909</v>
      </c>
      <c r="C9192" t="s">
        <v>4909</v>
      </c>
      <c r="D9192" t="s">
        <v>4909</v>
      </c>
      <c r="E9192" t="s">
        <v>4909</v>
      </c>
      <c r="F9192" t="s">
        <v>4909</v>
      </c>
      <c r="G9192" t="s">
        <v>4909</v>
      </c>
      <c r="H9192" t="s">
        <v>4909</v>
      </c>
      <c r="I9192" t="s">
        <v>4909</v>
      </c>
      <c r="J9192" t="s">
        <v>4909</v>
      </c>
      <c r="K9192" t="s">
        <v>4909</v>
      </c>
    </row>
    <row r="9193" spans="1:11" x14ac:dyDescent="0.2">
      <c r="A9193" t="s">
        <v>4358</v>
      </c>
      <c r="B9193" t="s">
        <v>4909</v>
      </c>
      <c r="C9193" t="s">
        <v>4909</v>
      </c>
      <c r="D9193" t="s">
        <v>4909</v>
      </c>
      <c r="E9193" t="s">
        <v>4909</v>
      </c>
      <c r="F9193" t="s">
        <v>4909</v>
      </c>
      <c r="G9193" t="s">
        <v>4909</v>
      </c>
      <c r="H9193" t="s">
        <v>4909</v>
      </c>
      <c r="I9193" t="s">
        <v>4909</v>
      </c>
      <c r="J9193" t="s">
        <v>4909</v>
      </c>
      <c r="K9193" t="s">
        <v>4909</v>
      </c>
    </row>
    <row r="9194" spans="1:11" x14ac:dyDescent="0.2">
      <c r="A9194" t="s">
        <v>4359</v>
      </c>
      <c r="B9194" t="s">
        <v>4909</v>
      </c>
      <c r="C9194" t="s">
        <v>4909</v>
      </c>
      <c r="D9194" t="s">
        <v>4909</v>
      </c>
      <c r="E9194" t="s">
        <v>4909</v>
      </c>
      <c r="F9194" t="s">
        <v>4909</v>
      </c>
      <c r="G9194" t="s">
        <v>4909</v>
      </c>
      <c r="H9194" t="s">
        <v>4909</v>
      </c>
      <c r="I9194" t="s">
        <v>4909</v>
      </c>
      <c r="J9194" t="s">
        <v>4909</v>
      </c>
      <c r="K9194" t="s">
        <v>4909</v>
      </c>
    </row>
    <row r="9195" spans="1:11" x14ac:dyDescent="0.2">
      <c r="A9195" t="s">
        <v>4360</v>
      </c>
      <c r="B9195" t="s">
        <v>4909</v>
      </c>
      <c r="C9195" t="s">
        <v>4909</v>
      </c>
      <c r="D9195" t="s">
        <v>4909</v>
      </c>
      <c r="E9195" t="s">
        <v>4909</v>
      </c>
      <c r="F9195" t="s">
        <v>4909</v>
      </c>
      <c r="G9195" t="s">
        <v>4909</v>
      </c>
      <c r="H9195" t="s">
        <v>4909</v>
      </c>
      <c r="I9195" t="s">
        <v>4909</v>
      </c>
      <c r="J9195" t="s">
        <v>4909</v>
      </c>
      <c r="K9195" t="s">
        <v>4909</v>
      </c>
    </row>
    <row r="9196" spans="1:11" x14ac:dyDescent="0.2">
      <c r="A9196" t="s">
        <v>4361</v>
      </c>
      <c r="B9196" t="s">
        <v>4909</v>
      </c>
      <c r="C9196" t="s">
        <v>4909</v>
      </c>
      <c r="D9196" t="s">
        <v>4909</v>
      </c>
      <c r="E9196" t="s">
        <v>4909</v>
      </c>
      <c r="F9196" t="s">
        <v>4909</v>
      </c>
      <c r="G9196" t="s">
        <v>4909</v>
      </c>
      <c r="H9196" t="s">
        <v>4909</v>
      </c>
      <c r="I9196" t="s">
        <v>4909</v>
      </c>
      <c r="J9196" t="s">
        <v>4909</v>
      </c>
      <c r="K9196" t="s">
        <v>4909</v>
      </c>
    </row>
    <row r="9197" spans="1:11" x14ac:dyDescent="0.2">
      <c r="A9197" t="s">
        <v>4362</v>
      </c>
      <c r="B9197" t="s">
        <v>4909</v>
      </c>
      <c r="C9197" t="s">
        <v>4909</v>
      </c>
      <c r="D9197" t="s">
        <v>4909</v>
      </c>
      <c r="E9197" t="s">
        <v>4909</v>
      </c>
      <c r="F9197" t="s">
        <v>4909</v>
      </c>
      <c r="G9197" t="s">
        <v>4909</v>
      </c>
      <c r="H9197" t="s">
        <v>4909</v>
      </c>
      <c r="I9197" t="s">
        <v>4909</v>
      </c>
      <c r="J9197" t="s">
        <v>4909</v>
      </c>
      <c r="K9197" t="s">
        <v>4909</v>
      </c>
    </row>
    <row r="9198" spans="1:11" x14ac:dyDescent="0.2">
      <c r="A9198" t="s">
        <v>4363</v>
      </c>
      <c r="B9198" t="s">
        <v>4909</v>
      </c>
      <c r="C9198" t="s">
        <v>4909</v>
      </c>
      <c r="D9198" t="s">
        <v>4909</v>
      </c>
      <c r="E9198" t="s">
        <v>4909</v>
      </c>
      <c r="F9198" t="s">
        <v>4909</v>
      </c>
      <c r="G9198" t="s">
        <v>4909</v>
      </c>
      <c r="H9198" t="s">
        <v>4909</v>
      </c>
      <c r="I9198" t="s">
        <v>4909</v>
      </c>
      <c r="J9198" t="s">
        <v>4909</v>
      </c>
      <c r="K9198" t="s">
        <v>4909</v>
      </c>
    </row>
    <row r="9199" spans="1:11" x14ac:dyDescent="0.2">
      <c r="A9199" t="s">
        <v>4364</v>
      </c>
      <c r="B9199" t="s">
        <v>4909</v>
      </c>
      <c r="C9199" t="s">
        <v>4909</v>
      </c>
      <c r="D9199" t="s">
        <v>4909</v>
      </c>
      <c r="E9199" t="s">
        <v>4909</v>
      </c>
      <c r="F9199" t="s">
        <v>4909</v>
      </c>
      <c r="G9199" t="s">
        <v>4909</v>
      </c>
      <c r="H9199" t="s">
        <v>4909</v>
      </c>
      <c r="I9199" t="s">
        <v>4909</v>
      </c>
      <c r="J9199" t="s">
        <v>4909</v>
      </c>
      <c r="K9199" t="s">
        <v>4909</v>
      </c>
    </row>
    <row r="9200" spans="1:11" x14ac:dyDescent="0.2">
      <c r="A9200" t="s">
        <v>4365</v>
      </c>
      <c r="B9200" t="s">
        <v>4909</v>
      </c>
      <c r="C9200" t="s">
        <v>4909</v>
      </c>
      <c r="D9200" t="s">
        <v>4909</v>
      </c>
      <c r="E9200" t="s">
        <v>4909</v>
      </c>
      <c r="F9200" t="s">
        <v>4909</v>
      </c>
      <c r="G9200" t="s">
        <v>4909</v>
      </c>
      <c r="H9200" t="s">
        <v>4909</v>
      </c>
      <c r="I9200" t="s">
        <v>4909</v>
      </c>
      <c r="J9200" t="s">
        <v>4909</v>
      </c>
      <c r="K9200" t="s">
        <v>4909</v>
      </c>
    </row>
    <row r="9201" spans="1:11" x14ac:dyDescent="0.2">
      <c r="A9201" t="s">
        <v>4366</v>
      </c>
      <c r="B9201" t="s">
        <v>4909</v>
      </c>
      <c r="C9201" t="s">
        <v>4909</v>
      </c>
      <c r="D9201" t="s">
        <v>4909</v>
      </c>
      <c r="E9201" t="s">
        <v>4909</v>
      </c>
      <c r="F9201" t="s">
        <v>4909</v>
      </c>
      <c r="G9201" t="s">
        <v>4909</v>
      </c>
      <c r="H9201" t="s">
        <v>4909</v>
      </c>
      <c r="I9201" t="s">
        <v>4909</v>
      </c>
      <c r="J9201" t="s">
        <v>4909</v>
      </c>
      <c r="K9201" t="s">
        <v>4909</v>
      </c>
    </row>
    <row r="9202" spans="1:11" x14ac:dyDescent="0.2">
      <c r="A9202" t="s">
        <v>4367</v>
      </c>
      <c r="B9202" t="s">
        <v>4909</v>
      </c>
      <c r="C9202" t="s">
        <v>4909</v>
      </c>
      <c r="D9202" t="s">
        <v>4909</v>
      </c>
      <c r="E9202" t="s">
        <v>4909</v>
      </c>
      <c r="F9202" t="s">
        <v>4909</v>
      </c>
      <c r="G9202" t="s">
        <v>4909</v>
      </c>
      <c r="H9202" t="s">
        <v>4909</v>
      </c>
      <c r="I9202" t="s">
        <v>4909</v>
      </c>
      <c r="J9202" t="s">
        <v>4909</v>
      </c>
      <c r="K9202" t="s">
        <v>4909</v>
      </c>
    </row>
    <row r="9203" spans="1:11" x14ac:dyDescent="0.2">
      <c r="A9203" t="s">
        <v>4368</v>
      </c>
      <c r="B9203" t="s">
        <v>4909</v>
      </c>
      <c r="C9203" t="s">
        <v>4909</v>
      </c>
      <c r="D9203" t="s">
        <v>4909</v>
      </c>
      <c r="E9203" t="s">
        <v>4909</v>
      </c>
      <c r="F9203" t="s">
        <v>4909</v>
      </c>
      <c r="G9203" t="s">
        <v>4909</v>
      </c>
      <c r="H9203" t="s">
        <v>4909</v>
      </c>
      <c r="I9203" t="s">
        <v>4909</v>
      </c>
      <c r="J9203" t="s">
        <v>4909</v>
      </c>
      <c r="K9203" t="s">
        <v>4909</v>
      </c>
    </row>
    <row r="9204" spans="1:11" x14ac:dyDescent="0.2">
      <c r="A9204" t="s">
        <v>4369</v>
      </c>
      <c r="B9204" t="s">
        <v>4909</v>
      </c>
      <c r="C9204" t="s">
        <v>4909</v>
      </c>
      <c r="D9204" s="88">
        <v>0</v>
      </c>
      <c r="E9204" s="88">
        <v>0</v>
      </c>
      <c r="F9204" s="88">
        <v>0</v>
      </c>
      <c r="G9204" t="s">
        <v>4909</v>
      </c>
      <c r="H9204" s="88">
        <v>0</v>
      </c>
      <c r="I9204" s="88">
        <v>0</v>
      </c>
      <c r="J9204" s="88">
        <v>0</v>
      </c>
      <c r="K9204" t="s">
        <v>4909</v>
      </c>
    </row>
    <row r="9205" spans="1:11" x14ac:dyDescent="0.2">
      <c r="A9205" t="s">
        <v>4370</v>
      </c>
      <c r="B9205" t="s">
        <v>4909</v>
      </c>
      <c r="C9205" t="s">
        <v>4909</v>
      </c>
      <c r="D9205" t="s">
        <v>4909</v>
      </c>
      <c r="E9205" t="s">
        <v>4909</v>
      </c>
      <c r="F9205" t="s">
        <v>4909</v>
      </c>
      <c r="G9205" t="s">
        <v>4909</v>
      </c>
      <c r="H9205" t="s">
        <v>4909</v>
      </c>
      <c r="I9205" t="s">
        <v>4909</v>
      </c>
      <c r="J9205" t="s">
        <v>4909</v>
      </c>
      <c r="K9205" t="s">
        <v>4909</v>
      </c>
    </row>
    <row r="9206" spans="1:11" x14ac:dyDescent="0.2">
      <c r="A9206" t="s">
        <v>4371</v>
      </c>
      <c r="B9206" t="s">
        <v>4909</v>
      </c>
      <c r="C9206" t="s">
        <v>4909</v>
      </c>
      <c r="D9206" t="s">
        <v>4909</v>
      </c>
      <c r="E9206" t="s">
        <v>4909</v>
      </c>
      <c r="F9206" t="s">
        <v>4909</v>
      </c>
      <c r="G9206" t="s">
        <v>4909</v>
      </c>
      <c r="H9206" t="s">
        <v>4909</v>
      </c>
      <c r="I9206" t="s">
        <v>4909</v>
      </c>
      <c r="J9206" t="s">
        <v>4909</v>
      </c>
      <c r="K9206" t="s">
        <v>4909</v>
      </c>
    </row>
    <row r="9207" spans="1:11" x14ac:dyDescent="0.2">
      <c r="A9207" t="s">
        <v>4372</v>
      </c>
      <c r="B9207" t="s">
        <v>4909</v>
      </c>
      <c r="C9207" t="s">
        <v>4909</v>
      </c>
      <c r="D9207" t="s">
        <v>4909</v>
      </c>
      <c r="E9207" t="s">
        <v>4909</v>
      </c>
      <c r="F9207" t="s">
        <v>4909</v>
      </c>
      <c r="G9207" t="s">
        <v>4909</v>
      </c>
      <c r="H9207" t="s">
        <v>4909</v>
      </c>
      <c r="I9207" t="s">
        <v>4909</v>
      </c>
      <c r="J9207" t="s">
        <v>4909</v>
      </c>
      <c r="K9207" t="s">
        <v>4909</v>
      </c>
    </row>
    <row r="9208" spans="1:11" x14ac:dyDescent="0.2">
      <c r="A9208" t="s">
        <v>4373</v>
      </c>
      <c r="B9208" t="s">
        <v>4909</v>
      </c>
      <c r="C9208" t="s">
        <v>4909</v>
      </c>
      <c r="D9208" t="s">
        <v>4909</v>
      </c>
      <c r="E9208" t="s">
        <v>4909</v>
      </c>
      <c r="F9208" t="s">
        <v>4909</v>
      </c>
      <c r="G9208" t="s">
        <v>4909</v>
      </c>
      <c r="H9208" t="s">
        <v>4909</v>
      </c>
      <c r="I9208" t="s">
        <v>4909</v>
      </c>
      <c r="J9208" t="s">
        <v>4909</v>
      </c>
      <c r="K9208" t="s">
        <v>4909</v>
      </c>
    </row>
    <row r="9209" spans="1:11" x14ac:dyDescent="0.2">
      <c r="A9209" t="s">
        <v>4374</v>
      </c>
      <c r="B9209" t="s">
        <v>4909</v>
      </c>
      <c r="C9209" t="s">
        <v>4909</v>
      </c>
      <c r="D9209" t="s">
        <v>4909</v>
      </c>
      <c r="E9209" t="s">
        <v>4909</v>
      </c>
      <c r="F9209" t="s">
        <v>4909</v>
      </c>
      <c r="G9209" t="s">
        <v>4909</v>
      </c>
      <c r="H9209" t="s">
        <v>4909</v>
      </c>
      <c r="I9209" t="s">
        <v>4909</v>
      </c>
      <c r="J9209" t="s">
        <v>4909</v>
      </c>
      <c r="K9209" t="s">
        <v>4909</v>
      </c>
    </row>
    <row r="9210" spans="1:11" x14ac:dyDescent="0.2">
      <c r="A9210" t="s">
        <v>4375</v>
      </c>
      <c r="B9210" t="s">
        <v>4909</v>
      </c>
      <c r="C9210" t="s">
        <v>4909</v>
      </c>
      <c r="D9210" t="s">
        <v>4909</v>
      </c>
      <c r="E9210" t="s">
        <v>4909</v>
      </c>
      <c r="F9210" t="s">
        <v>4909</v>
      </c>
      <c r="G9210" t="s">
        <v>4909</v>
      </c>
      <c r="H9210" t="s">
        <v>4909</v>
      </c>
      <c r="I9210" t="s">
        <v>4909</v>
      </c>
      <c r="J9210" t="s">
        <v>4909</v>
      </c>
      <c r="K9210" t="s">
        <v>4909</v>
      </c>
    </row>
    <row r="9211" spans="1:11" x14ac:dyDescent="0.2">
      <c r="A9211" t="s">
        <v>4376</v>
      </c>
      <c r="B9211" t="s">
        <v>4909</v>
      </c>
      <c r="C9211" t="s">
        <v>4909</v>
      </c>
      <c r="D9211" t="s">
        <v>4909</v>
      </c>
      <c r="E9211" t="s">
        <v>4909</v>
      </c>
      <c r="F9211" t="s">
        <v>4909</v>
      </c>
      <c r="G9211" t="s">
        <v>4909</v>
      </c>
      <c r="H9211" t="s">
        <v>4909</v>
      </c>
      <c r="I9211" t="s">
        <v>4909</v>
      </c>
      <c r="J9211" t="s">
        <v>4909</v>
      </c>
      <c r="K9211" t="s">
        <v>4909</v>
      </c>
    </row>
    <row r="9212" spans="1:11" x14ac:dyDescent="0.2">
      <c r="A9212" t="s">
        <v>4377</v>
      </c>
      <c r="B9212" t="s">
        <v>4909</v>
      </c>
      <c r="C9212" t="s">
        <v>4909</v>
      </c>
      <c r="D9212" t="s">
        <v>4909</v>
      </c>
      <c r="E9212" t="s">
        <v>4909</v>
      </c>
      <c r="F9212" t="s">
        <v>4909</v>
      </c>
      <c r="G9212" t="s">
        <v>4909</v>
      </c>
      <c r="H9212" t="s">
        <v>4909</v>
      </c>
      <c r="I9212" t="s">
        <v>4909</v>
      </c>
      <c r="J9212" t="s">
        <v>4909</v>
      </c>
      <c r="K9212" t="s">
        <v>4909</v>
      </c>
    </row>
    <row r="9213" spans="1:11" x14ac:dyDescent="0.2">
      <c r="A9213" t="s">
        <v>2318</v>
      </c>
      <c r="B9213" t="s">
        <v>4399</v>
      </c>
      <c r="C9213" t="s">
        <v>4399</v>
      </c>
      <c r="D9213" t="s">
        <v>4399</v>
      </c>
      <c r="E9213" t="s">
        <v>4399</v>
      </c>
      <c r="F9213" t="s">
        <v>4399</v>
      </c>
      <c r="G9213" t="s">
        <v>4399</v>
      </c>
      <c r="H9213" t="s">
        <v>4399</v>
      </c>
      <c r="I9213" t="s">
        <v>4399</v>
      </c>
      <c r="J9213" t="s">
        <v>4399</v>
      </c>
      <c r="K9213" t="s">
        <v>4399</v>
      </c>
    </row>
    <row r="9214" spans="1:11" x14ac:dyDescent="0.2">
      <c r="A9214" t="s">
        <v>4248</v>
      </c>
    </row>
    <row r="9215" spans="1:11" x14ac:dyDescent="0.2">
      <c r="A9215" t="s">
        <v>4910</v>
      </c>
      <c r="B9215" t="s">
        <v>4904</v>
      </c>
      <c r="C9215" t="s">
        <v>4911</v>
      </c>
      <c r="D9215" t="s">
        <v>4912</v>
      </c>
      <c r="E9215" t="s">
        <v>4907</v>
      </c>
      <c r="F9215" t="s">
        <v>4913</v>
      </c>
      <c r="G9215">
        <v>21</v>
      </c>
    </row>
    <row r="9216" spans="1:11" x14ac:dyDescent="0.2">
      <c r="A9216" t="s">
        <v>2318</v>
      </c>
      <c r="B9216" t="s">
        <v>4399</v>
      </c>
      <c r="C9216" t="s">
        <v>4399</v>
      </c>
      <c r="D9216" t="s">
        <v>4399</v>
      </c>
      <c r="E9216" t="s">
        <v>4399</v>
      </c>
      <c r="F9216" t="s">
        <v>4399</v>
      </c>
      <c r="G9216" t="s">
        <v>4399</v>
      </c>
      <c r="H9216" t="s">
        <v>4399</v>
      </c>
      <c r="I9216" t="s">
        <v>4399</v>
      </c>
      <c r="J9216" t="s">
        <v>4399</v>
      </c>
      <c r="K9216" t="s">
        <v>4399</v>
      </c>
    </row>
    <row r="9217" spans="1:11" x14ac:dyDescent="0.2">
      <c r="A9217" t="s">
        <v>126</v>
      </c>
      <c r="B9217" t="s">
        <v>4694</v>
      </c>
      <c r="C9217" t="s">
        <v>4698</v>
      </c>
      <c r="D9217" t="s">
        <v>4701</v>
      </c>
      <c r="E9217" t="s">
        <v>4704</v>
      </c>
      <c r="F9217" t="s">
        <v>4708</v>
      </c>
      <c r="G9217" t="s">
        <v>4712</v>
      </c>
      <c r="H9217" t="s">
        <v>4716</v>
      </c>
      <c r="I9217" t="s">
        <v>4720</v>
      </c>
      <c r="J9217" t="s">
        <v>4724</v>
      </c>
      <c r="K9217" t="s">
        <v>4728</v>
      </c>
    </row>
    <row r="9218" spans="1:11" x14ac:dyDescent="0.2">
      <c r="A9218" t="s">
        <v>2318</v>
      </c>
      <c r="B9218" t="s">
        <v>4399</v>
      </c>
      <c r="C9218" t="s">
        <v>4399</v>
      </c>
      <c r="D9218" t="s">
        <v>4399</v>
      </c>
      <c r="E9218" t="s">
        <v>4399</v>
      </c>
      <c r="F9218" t="s">
        <v>4399</v>
      </c>
      <c r="G9218" t="s">
        <v>4399</v>
      </c>
      <c r="H9218" t="s">
        <v>4399</v>
      </c>
      <c r="I9218" t="s">
        <v>4399</v>
      </c>
      <c r="J9218" t="s">
        <v>4399</v>
      </c>
      <c r="K9218" t="s">
        <v>4399</v>
      </c>
    </row>
    <row r="9219" spans="1:11" x14ac:dyDescent="0.2">
      <c r="A9219" t="s">
        <v>4265</v>
      </c>
      <c r="B9219" t="s">
        <v>4909</v>
      </c>
      <c r="C9219" t="s">
        <v>4909</v>
      </c>
      <c r="D9219" t="s">
        <v>4909</v>
      </c>
      <c r="E9219" t="s">
        <v>4909</v>
      </c>
      <c r="F9219" t="s">
        <v>4909</v>
      </c>
      <c r="G9219" t="s">
        <v>4909</v>
      </c>
      <c r="H9219" t="s">
        <v>4909</v>
      </c>
      <c r="I9219" t="s">
        <v>4909</v>
      </c>
      <c r="J9219" t="s">
        <v>4909</v>
      </c>
      <c r="K9219" t="s">
        <v>4909</v>
      </c>
    </row>
    <row r="9220" spans="1:11" x14ac:dyDescent="0.2">
      <c r="A9220" t="s">
        <v>4266</v>
      </c>
      <c r="B9220" t="s">
        <v>4909</v>
      </c>
      <c r="C9220" t="s">
        <v>4909</v>
      </c>
      <c r="D9220" t="s">
        <v>4909</v>
      </c>
      <c r="E9220" t="s">
        <v>4909</v>
      </c>
      <c r="F9220" t="s">
        <v>4909</v>
      </c>
      <c r="G9220" t="s">
        <v>4909</v>
      </c>
      <c r="H9220" t="s">
        <v>4909</v>
      </c>
      <c r="I9220" t="s">
        <v>4909</v>
      </c>
      <c r="J9220" t="s">
        <v>4909</v>
      </c>
      <c r="K9220" t="s">
        <v>4909</v>
      </c>
    </row>
    <row r="9221" spans="1:11" x14ac:dyDescent="0.2">
      <c r="A9221" t="s">
        <v>4267</v>
      </c>
      <c r="B9221" s="88">
        <v>4.0000000000000001E-3</v>
      </c>
      <c r="C9221" s="88">
        <v>4.0000000000000001E-3</v>
      </c>
      <c r="D9221" s="88">
        <v>0</v>
      </c>
      <c r="E9221" t="s">
        <v>4909</v>
      </c>
      <c r="F9221" t="s">
        <v>4909</v>
      </c>
      <c r="G9221" t="s">
        <v>4909</v>
      </c>
      <c r="H9221" t="s">
        <v>4909</v>
      </c>
      <c r="I9221" t="s">
        <v>4909</v>
      </c>
      <c r="J9221" t="s">
        <v>4909</v>
      </c>
      <c r="K9221" t="s">
        <v>4909</v>
      </c>
    </row>
    <row r="9222" spans="1:11" x14ac:dyDescent="0.2">
      <c r="A9222" t="s">
        <v>4268</v>
      </c>
      <c r="B9222" s="88">
        <v>2E-3</v>
      </c>
      <c r="C9222" s="88">
        <v>2E-3</v>
      </c>
      <c r="D9222" t="s">
        <v>4909</v>
      </c>
      <c r="E9222" t="s">
        <v>4909</v>
      </c>
      <c r="F9222" t="s">
        <v>4909</v>
      </c>
      <c r="G9222" t="s">
        <v>4909</v>
      </c>
      <c r="H9222" t="s">
        <v>4909</v>
      </c>
      <c r="I9222" t="s">
        <v>4909</v>
      </c>
      <c r="J9222" t="s">
        <v>4909</v>
      </c>
      <c r="K9222" t="s">
        <v>4909</v>
      </c>
    </row>
    <row r="9223" spans="1:11" x14ac:dyDescent="0.2">
      <c r="A9223" t="s">
        <v>4269</v>
      </c>
      <c r="B9223" s="88">
        <v>5.0000000000000001E-3</v>
      </c>
      <c r="C9223" s="88">
        <v>5.0000000000000001E-3</v>
      </c>
      <c r="D9223" s="88">
        <v>1E-3</v>
      </c>
      <c r="E9223" t="s">
        <v>4909</v>
      </c>
      <c r="F9223" t="s">
        <v>4909</v>
      </c>
      <c r="G9223" t="s">
        <v>4909</v>
      </c>
      <c r="H9223" t="s">
        <v>4909</v>
      </c>
      <c r="I9223" t="s">
        <v>4909</v>
      </c>
      <c r="J9223" t="s">
        <v>4909</v>
      </c>
      <c r="K9223" t="s">
        <v>4909</v>
      </c>
    </row>
    <row r="9224" spans="1:11" x14ac:dyDescent="0.2">
      <c r="A9224" t="s">
        <v>4270</v>
      </c>
      <c r="B9224" s="88">
        <v>7.0000000000000001E-3</v>
      </c>
      <c r="C9224" s="88">
        <v>7.0000000000000001E-3</v>
      </c>
      <c r="D9224" t="s">
        <v>4909</v>
      </c>
      <c r="E9224" t="s">
        <v>4909</v>
      </c>
      <c r="F9224" t="s">
        <v>4909</v>
      </c>
      <c r="G9224" t="s">
        <v>4909</v>
      </c>
      <c r="H9224" t="s">
        <v>4909</v>
      </c>
      <c r="I9224" t="s">
        <v>4909</v>
      </c>
      <c r="J9224" t="s">
        <v>4909</v>
      </c>
      <c r="K9224" t="s">
        <v>4909</v>
      </c>
    </row>
    <row r="9225" spans="1:11" x14ac:dyDescent="0.2">
      <c r="A9225" t="s">
        <v>4271</v>
      </c>
      <c r="B9225" s="88">
        <v>3.0000000000000001E-3</v>
      </c>
      <c r="C9225" s="88">
        <v>3.0000000000000001E-3</v>
      </c>
      <c r="D9225" s="88">
        <v>0</v>
      </c>
      <c r="E9225" t="s">
        <v>4909</v>
      </c>
      <c r="F9225" t="s">
        <v>4909</v>
      </c>
      <c r="G9225" t="s">
        <v>4909</v>
      </c>
      <c r="H9225" t="s">
        <v>4909</v>
      </c>
      <c r="I9225" t="s">
        <v>4909</v>
      </c>
      <c r="J9225" t="s">
        <v>4909</v>
      </c>
      <c r="K9225" t="s">
        <v>4909</v>
      </c>
    </row>
    <row r="9226" spans="1:11" x14ac:dyDescent="0.2">
      <c r="A9226" t="s">
        <v>4272</v>
      </c>
      <c r="B9226" s="88">
        <v>1E-3</v>
      </c>
      <c r="C9226" s="88">
        <v>1E-3</v>
      </c>
      <c r="D9226" t="s">
        <v>4909</v>
      </c>
      <c r="E9226" t="s">
        <v>4909</v>
      </c>
      <c r="F9226" t="s">
        <v>4909</v>
      </c>
      <c r="G9226" t="s">
        <v>4909</v>
      </c>
      <c r="H9226" t="s">
        <v>4909</v>
      </c>
      <c r="I9226" t="s">
        <v>4909</v>
      </c>
      <c r="J9226" t="s">
        <v>4909</v>
      </c>
      <c r="K9226" t="s">
        <v>4909</v>
      </c>
    </row>
    <row r="9227" spans="1:11" x14ac:dyDescent="0.2">
      <c r="A9227" t="s">
        <v>4273</v>
      </c>
      <c r="B9227" t="s">
        <v>4909</v>
      </c>
      <c r="C9227" t="s">
        <v>4909</v>
      </c>
      <c r="D9227" t="s">
        <v>4909</v>
      </c>
      <c r="E9227" t="s">
        <v>4909</v>
      </c>
      <c r="F9227" t="s">
        <v>4909</v>
      </c>
      <c r="G9227" t="s">
        <v>4909</v>
      </c>
      <c r="H9227" t="s">
        <v>4909</v>
      </c>
      <c r="I9227" t="s">
        <v>4909</v>
      </c>
      <c r="J9227" t="s">
        <v>4909</v>
      </c>
      <c r="K9227" t="s">
        <v>4909</v>
      </c>
    </row>
    <row r="9228" spans="1:11" x14ac:dyDescent="0.2">
      <c r="A9228" t="s">
        <v>4274</v>
      </c>
      <c r="B9228" t="s">
        <v>4909</v>
      </c>
      <c r="C9228" t="s">
        <v>4909</v>
      </c>
      <c r="D9228" t="s">
        <v>4909</v>
      </c>
      <c r="E9228" t="s">
        <v>4909</v>
      </c>
      <c r="F9228" t="s">
        <v>4909</v>
      </c>
      <c r="G9228" t="s">
        <v>4909</v>
      </c>
      <c r="H9228" t="s">
        <v>4909</v>
      </c>
      <c r="I9228" t="s">
        <v>4909</v>
      </c>
      <c r="J9228" t="s">
        <v>4909</v>
      </c>
      <c r="K9228" t="s">
        <v>4909</v>
      </c>
    </row>
    <row r="9229" spans="1:11" x14ac:dyDescent="0.2">
      <c r="A9229" t="s">
        <v>4275</v>
      </c>
      <c r="B9229" t="s">
        <v>4909</v>
      </c>
      <c r="C9229" t="s">
        <v>4909</v>
      </c>
      <c r="D9229" t="s">
        <v>4909</v>
      </c>
      <c r="E9229" t="s">
        <v>4909</v>
      </c>
      <c r="F9229" t="s">
        <v>4909</v>
      </c>
      <c r="G9229" t="s">
        <v>4909</v>
      </c>
      <c r="H9229" t="s">
        <v>4909</v>
      </c>
      <c r="I9229" t="s">
        <v>4909</v>
      </c>
      <c r="J9229" t="s">
        <v>4909</v>
      </c>
      <c r="K9229" t="s">
        <v>4909</v>
      </c>
    </row>
    <row r="9230" spans="1:11" x14ac:dyDescent="0.2">
      <c r="A9230" t="s">
        <v>4276</v>
      </c>
      <c r="B9230" t="s">
        <v>4909</v>
      </c>
      <c r="C9230" t="s">
        <v>4909</v>
      </c>
      <c r="D9230" t="s">
        <v>4909</v>
      </c>
      <c r="E9230" t="s">
        <v>4909</v>
      </c>
      <c r="F9230" t="s">
        <v>4909</v>
      </c>
      <c r="G9230" t="s">
        <v>4909</v>
      </c>
      <c r="H9230" t="s">
        <v>4909</v>
      </c>
      <c r="I9230" t="s">
        <v>4909</v>
      </c>
      <c r="J9230" t="s">
        <v>4909</v>
      </c>
      <c r="K9230" t="s">
        <v>4909</v>
      </c>
    </row>
    <row r="9231" spans="1:11" x14ac:dyDescent="0.2">
      <c r="A9231" t="s">
        <v>4277</v>
      </c>
      <c r="B9231" t="s">
        <v>4909</v>
      </c>
      <c r="C9231" t="s">
        <v>4909</v>
      </c>
      <c r="D9231" t="s">
        <v>4909</v>
      </c>
      <c r="E9231" t="s">
        <v>4909</v>
      </c>
      <c r="F9231" t="s">
        <v>4909</v>
      </c>
      <c r="G9231" t="s">
        <v>4909</v>
      </c>
      <c r="H9231" t="s">
        <v>4909</v>
      </c>
      <c r="I9231" t="s">
        <v>4909</v>
      </c>
      <c r="J9231" t="s">
        <v>4909</v>
      </c>
      <c r="K9231" t="s">
        <v>4909</v>
      </c>
    </row>
    <row r="9232" spans="1:11" x14ac:dyDescent="0.2">
      <c r="A9232" t="s">
        <v>4278</v>
      </c>
      <c r="B9232" t="s">
        <v>4909</v>
      </c>
      <c r="C9232" t="s">
        <v>4909</v>
      </c>
      <c r="D9232" t="s">
        <v>4909</v>
      </c>
      <c r="E9232" t="s">
        <v>4909</v>
      </c>
      <c r="F9232" t="s">
        <v>4909</v>
      </c>
      <c r="G9232" t="s">
        <v>4909</v>
      </c>
      <c r="H9232" t="s">
        <v>4909</v>
      </c>
      <c r="I9232" t="s">
        <v>4909</v>
      </c>
      <c r="J9232" t="s">
        <v>4909</v>
      </c>
      <c r="K9232" t="s">
        <v>4909</v>
      </c>
    </row>
    <row r="9233" spans="1:11" x14ac:dyDescent="0.2">
      <c r="A9233" t="s">
        <v>4279</v>
      </c>
      <c r="B9233" s="88">
        <v>2E-3</v>
      </c>
      <c r="C9233" s="88">
        <v>2E-3</v>
      </c>
      <c r="D9233" t="s">
        <v>4909</v>
      </c>
      <c r="E9233" t="s">
        <v>4909</v>
      </c>
      <c r="F9233" t="s">
        <v>4909</v>
      </c>
      <c r="G9233" t="s">
        <v>4909</v>
      </c>
      <c r="H9233" t="s">
        <v>4909</v>
      </c>
      <c r="I9233" t="s">
        <v>4909</v>
      </c>
      <c r="J9233" t="s">
        <v>4909</v>
      </c>
      <c r="K9233" t="s">
        <v>4909</v>
      </c>
    </row>
    <row r="9234" spans="1:11" x14ac:dyDescent="0.2">
      <c r="A9234" t="s">
        <v>4280</v>
      </c>
      <c r="B9234" t="s">
        <v>4909</v>
      </c>
      <c r="C9234" t="s">
        <v>4909</v>
      </c>
      <c r="D9234" t="s">
        <v>4909</v>
      </c>
      <c r="E9234" t="s">
        <v>4909</v>
      </c>
      <c r="F9234" t="s">
        <v>4909</v>
      </c>
      <c r="G9234" t="s">
        <v>4909</v>
      </c>
      <c r="H9234" t="s">
        <v>4909</v>
      </c>
      <c r="I9234" t="s">
        <v>4909</v>
      </c>
      <c r="J9234" t="s">
        <v>4909</v>
      </c>
      <c r="K9234" t="s">
        <v>4909</v>
      </c>
    </row>
    <row r="9235" spans="1:11" x14ac:dyDescent="0.2">
      <c r="A9235" t="s">
        <v>4281</v>
      </c>
      <c r="B9235" t="s">
        <v>4909</v>
      </c>
      <c r="C9235" t="s">
        <v>4909</v>
      </c>
      <c r="D9235" t="s">
        <v>4909</v>
      </c>
      <c r="E9235" t="s">
        <v>4909</v>
      </c>
      <c r="F9235" t="s">
        <v>4909</v>
      </c>
      <c r="G9235" t="s">
        <v>4909</v>
      </c>
      <c r="H9235" t="s">
        <v>4909</v>
      </c>
      <c r="I9235" t="s">
        <v>4909</v>
      </c>
      <c r="J9235" t="s">
        <v>4909</v>
      </c>
      <c r="K9235" t="s">
        <v>4909</v>
      </c>
    </row>
    <row r="9236" spans="1:11" x14ac:dyDescent="0.2">
      <c r="A9236" t="s">
        <v>4282</v>
      </c>
      <c r="B9236" t="s">
        <v>4909</v>
      </c>
      <c r="C9236" t="s">
        <v>4909</v>
      </c>
      <c r="D9236" t="s">
        <v>4909</v>
      </c>
      <c r="E9236" t="s">
        <v>4909</v>
      </c>
      <c r="F9236" t="s">
        <v>4909</v>
      </c>
      <c r="G9236" t="s">
        <v>4909</v>
      </c>
      <c r="H9236" t="s">
        <v>4909</v>
      </c>
      <c r="I9236" t="s">
        <v>4909</v>
      </c>
      <c r="J9236" t="s">
        <v>4909</v>
      </c>
      <c r="K9236" t="s">
        <v>4909</v>
      </c>
    </row>
    <row r="9237" spans="1:11" x14ac:dyDescent="0.2">
      <c r="A9237" t="s">
        <v>4283</v>
      </c>
      <c r="B9237" t="s">
        <v>4909</v>
      </c>
      <c r="C9237" s="88">
        <v>0</v>
      </c>
      <c r="D9237" t="s">
        <v>4909</v>
      </c>
      <c r="E9237" t="s">
        <v>4909</v>
      </c>
      <c r="F9237" t="s">
        <v>4909</v>
      </c>
      <c r="G9237" t="s">
        <v>4909</v>
      </c>
      <c r="H9237" t="s">
        <v>4909</v>
      </c>
      <c r="I9237" t="s">
        <v>4909</v>
      </c>
      <c r="J9237" t="s">
        <v>4909</v>
      </c>
      <c r="K9237" t="s">
        <v>4909</v>
      </c>
    </row>
    <row r="9238" spans="1:11" x14ac:dyDescent="0.2">
      <c r="A9238" t="s">
        <v>4284</v>
      </c>
      <c r="B9238" t="s">
        <v>4909</v>
      </c>
      <c r="C9238" t="s">
        <v>4909</v>
      </c>
      <c r="D9238" t="s">
        <v>4909</v>
      </c>
      <c r="E9238" t="s">
        <v>4909</v>
      </c>
      <c r="F9238" t="s">
        <v>4909</v>
      </c>
      <c r="G9238" t="s">
        <v>4909</v>
      </c>
      <c r="H9238" t="s">
        <v>4909</v>
      </c>
      <c r="I9238" t="s">
        <v>4909</v>
      </c>
      <c r="J9238" t="s">
        <v>4909</v>
      </c>
      <c r="K9238" t="s">
        <v>4909</v>
      </c>
    </row>
    <row r="9239" spans="1:11" x14ac:dyDescent="0.2">
      <c r="A9239" t="s">
        <v>4285</v>
      </c>
      <c r="B9239" t="s">
        <v>4909</v>
      </c>
      <c r="C9239" t="s">
        <v>4909</v>
      </c>
      <c r="D9239" t="s">
        <v>4909</v>
      </c>
      <c r="E9239" t="s">
        <v>4909</v>
      </c>
      <c r="F9239" t="s">
        <v>4909</v>
      </c>
      <c r="G9239" s="88">
        <v>0</v>
      </c>
      <c r="H9239" t="s">
        <v>4909</v>
      </c>
      <c r="I9239" t="s">
        <v>4909</v>
      </c>
      <c r="J9239" t="s">
        <v>4909</v>
      </c>
      <c r="K9239" t="s">
        <v>4909</v>
      </c>
    </row>
    <row r="9240" spans="1:11" x14ac:dyDescent="0.2">
      <c r="A9240" t="s">
        <v>4286</v>
      </c>
      <c r="B9240" t="s">
        <v>4909</v>
      </c>
      <c r="C9240" t="s">
        <v>4909</v>
      </c>
      <c r="D9240" t="s">
        <v>4909</v>
      </c>
      <c r="E9240" t="s">
        <v>4909</v>
      </c>
      <c r="F9240" t="s">
        <v>4909</v>
      </c>
      <c r="G9240" t="s">
        <v>4909</v>
      </c>
      <c r="H9240" t="s">
        <v>4909</v>
      </c>
      <c r="I9240" t="s">
        <v>4909</v>
      </c>
      <c r="J9240" t="s">
        <v>4909</v>
      </c>
      <c r="K9240" t="s">
        <v>4909</v>
      </c>
    </row>
    <row r="9241" spans="1:11" x14ac:dyDescent="0.2">
      <c r="A9241" t="s">
        <v>4287</v>
      </c>
      <c r="B9241" t="s">
        <v>4909</v>
      </c>
      <c r="C9241" t="s">
        <v>4909</v>
      </c>
      <c r="D9241" t="s">
        <v>4909</v>
      </c>
      <c r="E9241" t="s">
        <v>4909</v>
      </c>
      <c r="F9241" t="s">
        <v>4909</v>
      </c>
      <c r="G9241" s="88">
        <v>0</v>
      </c>
      <c r="H9241" t="s">
        <v>4909</v>
      </c>
      <c r="I9241" t="s">
        <v>4909</v>
      </c>
      <c r="J9241" t="s">
        <v>4909</v>
      </c>
      <c r="K9241" t="s">
        <v>4909</v>
      </c>
    </row>
    <row r="9242" spans="1:11" x14ac:dyDescent="0.2">
      <c r="A9242" t="s">
        <v>4288</v>
      </c>
      <c r="B9242" t="s">
        <v>4909</v>
      </c>
      <c r="C9242" t="s">
        <v>4909</v>
      </c>
      <c r="D9242" t="s">
        <v>4909</v>
      </c>
      <c r="E9242" t="s">
        <v>4909</v>
      </c>
      <c r="F9242" t="s">
        <v>4909</v>
      </c>
      <c r="G9242" t="s">
        <v>4909</v>
      </c>
      <c r="H9242" t="s">
        <v>4909</v>
      </c>
      <c r="I9242" t="s">
        <v>4909</v>
      </c>
      <c r="J9242" t="s">
        <v>4909</v>
      </c>
      <c r="K9242" t="s">
        <v>4909</v>
      </c>
    </row>
    <row r="9243" spans="1:11" x14ac:dyDescent="0.2">
      <c r="A9243" t="s">
        <v>4289</v>
      </c>
      <c r="B9243" t="s">
        <v>4909</v>
      </c>
      <c r="C9243" t="s">
        <v>4909</v>
      </c>
      <c r="D9243" t="s">
        <v>4909</v>
      </c>
      <c r="E9243" t="s">
        <v>4909</v>
      </c>
      <c r="F9243" t="s">
        <v>4909</v>
      </c>
      <c r="G9243" t="s">
        <v>4909</v>
      </c>
      <c r="H9243" t="s">
        <v>4909</v>
      </c>
      <c r="I9243" t="s">
        <v>4909</v>
      </c>
      <c r="J9243" t="s">
        <v>4909</v>
      </c>
      <c r="K9243" t="s">
        <v>4909</v>
      </c>
    </row>
    <row r="9244" spans="1:11" x14ac:dyDescent="0.2">
      <c r="A9244" t="s">
        <v>4290</v>
      </c>
      <c r="B9244" t="s">
        <v>4909</v>
      </c>
      <c r="C9244" t="s">
        <v>4909</v>
      </c>
      <c r="D9244" t="s">
        <v>4909</v>
      </c>
      <c r="E9244" t="s">
        <v>4909</v>
      </c>
      <c r="F9244" t="s">
        <v>4909</v>
      </c>
      <c r="G9244" t="s">
        <v>4909</v>
      </c>
      <c r="H9244" t="s">
        <v>4909</v>
      </c>
      <c r="I9244" t="s">
        <v>4909</v>
      </c>
      <c r="J9244" t="s">
        <v>4909</v>
      </c>
      <c r="K9244" t="s">
        <v>4909</v>
      </c>
    </row>
    <row r="9245" spans="1:11" x14ac:dyDescent="0.2">
      <c r="A9245" t="s">
        <v>4291</v>
      </c>
      <c r="B9245" t="s">
        <v>4909</v>
      </c>
      <c r="C9245" t="s">
        <v>4909</v>
      </c>
      <c r="D9245" t="s">
        <v>4909</v>
      </c>
      <c r="E9245" t="s">
        <v>4909</v>
      </c>
      <c r="F9245" t="s">
        <v>4909</v>
      </c>
      <c r="G9245" t="s">
        <v>4909</v>
      </c>
      <c r="H9245" t="s">
        <v>4909</v>
      </c>
      <c r="I9245" t="s">
        <v>4909</v>
      </c>
      <c r="J9245" t="s">
        <v>4909</v>
      </c>
      <c r="K9245" t="s">
        <v>4909</v>
      </c>
    </row>
    <row r="9246" spans="1:11" x14ac:dyDescent="0.2">
      <c r="A9246" t="s">
        <v>4292</v>
      </c>
      <c r="B9246" t="s">
        <v>4909</v>
      </c>
      <c r="C9246" t="s">
        <v>4909</v>
      </c>
      <c r="D9246" t="s">
        <v>4909</v>
      </c>
      <c r="E9246" t="s">
        <v>4909</v>
      </c>
      <c r="F9246" t="s">
        <v>4909</v>
      </c>
      <c r="G9246" t="s">
        <v>4909</v>
      </c>
      <c r="H9246" t="s">
        <v>4909</v>
      </c>
      <c r="I9246" t="s">
        <v>4909</v>
      </c>
      <c r="J9246" t="s">
        <v>4909</v>
      </c>
      <c r="K9246" t="s">
        <v>4909</v>
      </c>
    </row>
    <row r="9247" spans="1:11" x14ac:dyDescent="0.2">
      <c r="A9247" t="s">
        <v>4293</v>
      </c>
      <c r="B9247" t="s">
        <v>4909</v>
      </c>
      <c r="C9247" t="s">
        <v>4909</v>
      </c>
      <c r="D9247" t="s">
        <v>4909</v>
      </c>
      <c r="E9247" t="s">
        <v>4909</v>
      </c>
      <c r="F9247" t="s">
        <v>4909</v>
      </c>
      <c r="G9247" t="s">
        <v>4909</v>
      </c>
      <c r="H9247" t="s">
        <v>4909</v>
      </c>
      <c r="I9247" t="s">
        <v>4909</v>
      </c>
      <c r="J9247" t="s">
        <v>4909</v>
      </c>
      <c r="K9247" t="s">
        <v>4909</v>
      </c>
    </row>
    <row r="9248" spans="1:11" x14ac:dyDescent="0.2">
      <c r="A9248" t="s">
        <v>4294</v>
      </c>
      <c r="B9248" t="s">
        <v>4909</v>
      </c>
      <c r="C9248" t="s">
        <v>4909</v>
      </c>
      <c r="D9248" t="s">
        <v>4909</v>
      </c>
      <c r="E9248" t="s">
        <v>4909</v>
      </c>
      <c r="F9248" t="s">
        <v>4909</v>
      </c>
      <c r="G9248" t="s">
        <v>4909</v>
      </c>
      <c r="H9248" t="s">
        <v>4909</v>
      </c>
      <c r="I9248" t="s">
        <v>4909</v>
      </c>
      <c r="J9248" t="s">
        <v>4909</v>
      </c>
      <c r="K9248" t="s">
        <v>4909</v>
      </c>
    </row>
    <row r="9249" spans="1:11" x14ac:dyDescent="0.2">
      <c r="A9249" t="s">
        <v>4295</v>
      </c>
      <c r="B9249" t="s">
        <v>4909</v>
      </c>
      <c r="C9249" t="s">
        <v>4909</v>
      </c>
      <c r="D9249" t="s">
        <v>4909</v>
      </c>
      <c r="E9249" t="s">
        <v>4909</v>
      </c>
      <c r="F9249" t="s">
        <v>4909</v>
      </c>
      <c r="G9249" t="s">
        <v>4909</v>
      </c>
      <c r="H9249" t="s">
        <v>4909</v>
      </c>
      <c r="I9249" t="s">
        <v>4909</v>
      </c>
      <c r="J9249" t="s">
        <v>4909</v>
      </c>
      <c r="K9249" t="s">
        <v>4909</v>
      </c>
    </row>
    <row r="9250" spans="1:11" x14ac:dyDescent="0.2">
      <c r="A9250" t="s">
        <v>4296</v>
      </c>
      <c r="B9250" t="s">
        <v>4909</v>
      </c>
      <c r="C9250" t="s">
        <v>4909</v>
      </c>
      <c r="D9250" t="s">
        <v>4909</v>
      </c>
      <c r="E9250" t="s">
        <v>4909</v>
      </c>
      <c r="F9250" t="s">
        <v>4909</v>
      </c>
      <c r="G9250" t="s">
        <v>4909</v>
      </c>
      <c r="H9250" t="s">
        <v>4909</v>
      </c>
      <c r="I9250" t="s">
        <v>4909</v>
      </c>
      <c r="J9250" t="s">
        <v>4909</v>
      </c>
      <c r="K9250" t="s">
        <v>4909</v>
      </c>
    </row>
    <row r="9251" spans="1:11" x14ac:dyDescent="0.2">
      <c r="A9251" t="s">
        <v>4297</v>
      </c>
      <c r="B9251" t="s">
        <v>4909</v>
      </c>
      <c r="C9251" t="s">
        <v>4909</v>
      </c>
      <c r="D9251" t="s">
        <v>4909</v>
      </c>
      <c r="E9251" t="s">
        <v>4909</v>
      </c>
      <c r="F9251" t="s">
        <v>4909</v>
      </c>
      <c r="G9251" s="88">
        <v>0</v>
      </c>
      <c r="H9251" s="88">
        <v>0</v>
      </c>
      <c r="I9251" t="s">
        <v>4909</v>
      </c>
      <c r="J9251" t="s">
        <v>4909</v>
      </c>
      <c r="K9251" s="88">
        <v>0</v>
      </c>
    </row>
    <row r="9252" spans="1:11" x14ac:dyDescent="0.2">
      <c r="A9252" t="s">
        <v>4298</v>
      </c>
      <c r="B9252" t="s">
        <v>4909</v>
      </c>
      <c r="C9252" t="s">
        <v>4909</v>
      </c>
      <c r="D9252" t="s">
        <v>4909</v>
      </c>
      <c r="E9252" t="s">
        <v>4909</v>
      </c>
      <c r="F9252" t="s">
        <v>4909</v>
      </c>
      <c r="G9252" s="88">
        <v>0</v>
      </c>
      <c r="H9252" s="88">
        <v>0</v>
      </c>
      <c r="I9252" t="s">
        <v>4909</v>
      </c>
      <c r="J9252" t="s">
        <v>4909</v>
      </c>
      <c r="K9252" t="s">
        <v>4909</v>
      </c>
    </row>
    <row r="9253" spans="1:11" x14ac:dyDescent="0.2">
      <c r="A9253" t="s">
        <v>4299</v>
      </c>
      <c r="B9253" t="s">
        <v>4909</v>
      </c>
      <c r="C9253" t="s">
        <v>4909</v>
      </c>
      <c r="D9253" t="s">
        <v>4909</v>
      </c>
      <c r="E9253" t="s">
        <v>4909</v>
      </c>
      <c r="F9253" t="s">
        <v>4909</v>
      </c>
      <c r="G9253" s="88">
        <v>0</v>
      </c>
      <c r="H9253" s="88">
        <v>0</v>
      </c>
      <c r="I9253" t="s">
        <v>4909</v>
      </c>
      <c r="J9253" t="s">
        <v>4909</v>
      </c>
      <c r="K9253" t="s">
        <v>4909</v>
      </c>
    </row>
    <row r="9254" spans="1:11" x14ac:dyDescent="0.2">
      <c r="A9254" t="s">
        <v>4300</v>
      </c>
      <c r="B9254" t="s">
        <v>4909</v>
      </c>
      <c r="C9254" t="s">
        <v>4909</v>
      </c>
      <c r="D9254" t="s">
        <v>4909</v>
      </c>
      <c r="E9254" t="s">
        <v>4909</v>
      </c>
      <c r="F9254" t="s">
        <v>4909</v>
      </c>
      <c r="G9254" s="88">
        <v>0</v>
      </c>
      <c r="H9254" s="88">
        <v>0</v>
      </c>
      <c r="I9254" t="s">
        <v>4909</v>
      </c>
      <c r="J9254" t="s">
        <v>4909</v>
      </c>
      <c r="K9254" t="s">
        <v>4909</v>
      </c>
    </row>
    <row r="9255" spans="1:11" x14ac:dyDescent="0.2">
      <c r="A9255" t="s">
        <v>4301</v>
      </c>
      <c r="B9255" t="s">
        <v>4909</v>
      </c>
      <c r="C9255" t="s">
        <v>4909</v>
      </c>
      <c r="D9255" t="s">
        <v>4909</v>
      </c>
      <c r="E9255" t="s">
        <v>4909</v>
      </c>
      <c r="F9255" s="88">
        <v>0</v>
      </c>
      <c r="G9255" s="88">
        <v>1E-3</v>
      </c>
      <c r="H9255" s="88">
        <v>0</v>
      </c>
      <c r="I9255" t="s">
        <v>4909</v>
      </c>
      <c r="J9255" t="s">
        <v>4909</v>
      </c>
      <c r="K9255" s="88">
        <v>0</v>
      </c>
    </row>
    <row r="9256" spans="1:11" x14ac:dyDescent="0.2">
      <c r="A9256" t="s">
        <v>4302</v>
      </c>
      <c r="B9256" t="s">
        <v>4909</v>
      </c>
      <c r="C9256" t="s">
        <v>4909</v>
      </c>
      <c r="D9256" t="s">
        <v>4909</v>
      </c>
      <c r="E9256" t="s">
        <v>4909</v>
      </c>
      <c r="F9256" t="s">
        <v>4909</v>
      </c>
      <c r="G9256" s="88">
        <v>2E-3</v>
      </c>
      <c r="H9256" s="88">
        <v>1E-3</v>
      </c>
      <c r="I9256" t="s">
        <v>4909</v>
      </c>
      <c r="J9256" t="s">
        <v>4909</v>
      </c>
      <c r="K9256" t="s">
        <v>4909</v>
      </c>
    </row>
    <row r="9257" spans="1:11" x14ac:dyDescent="0.2">
      <c r="A9257" t="s">
        <v>4303</v>
      </c>
      <c r="B9257" t="s">
        <v>4909</v>
      </c>
      <c r="C9257" t="s">
        <v>4909</v>
      </c>
      <c r="D9257" t="s">
        <v>4909</v>
      </c>
      <c r="E9257" t="s">
        <v>4909</v>
      </c>
      <c r="F9257" t="s">
        <v>4909</v>
      </c>
      <c r="G9257" s="88">
        <v>1E-3</v>
      </c>
      <c r="H9257" s="88">
        <v>1E-3</v>
      </c>
      <c r="I9257" t="s">
        <v>4909</v>
      </c>
      <c r="J9257" t="s">
        <v>4909</v>
      </c>
      <c r="K9257" t="s">
        <v>4909</v>
      </c>
    </row>
    <row r="9258" spans="1:11" x14ac:dyDescent="0.2">
      <c r="A9258" t="s">
        <v>4304</v>
      </c>
      <c r="B9258" t="s">
        <v>4909</v>
      </c>
      <c r="C9258" t="s">
        <v>4909</v>
      </c>
      <c r="D9258" t="s">
        <v>4909</v>
      </c>
      <c r="E9258" t="s">
        <v>4909</v>
      </c>
      <c r="F9258" t="s">
        <v>4909</v>
      </c>
      <c r="G9258" s="88">
        <v>3.0000000000000001E-3</v>
      </c>
      <c r="H9258" s="88">
        <v>0</v>
      </c>
      <c r="I9258" t="s">
        <v>4909</v>
      </c>
      <c r="J9258" t="s">
        <v>4909</v>
      </c>
      <c r="K9258" t="s">
        <v>4909</v>
      </c>
    </row>
    <row r="9259" spans="1:11" x14ac:dyDescent="0.2">
      <c r="A9259" t="s">
        <v>4305</v>
      </c>
      <c r="B9259" t="s">
        <v>4909</v>
      </c>
      <c r="C9259" t="s">
        <v>4909</v>
      </c>
      <c r="D9259" t="s">
        <v>4909</v>
      </c>
      <c r="E9259" t="s">
        <v>4909</v>
      </c>
      <c r="F9259" s="88">
        <v>0</v>
      </c>
      <c r="G9259" s="88">
        <v>8.0000000000000002E-3</v>
      </c>
      <c r="H9259" s="88">
        <v>1E-3</v>
      </c>
      <c r="I9259" t="s">
        <v>4909</v>
      </c>
      <c r="J9259" t="s">
        <v>4909</v>
      </c>
      <c r="K9259" s="88">
        <v>1E-3</v>
      </c>
    </row>
    <row r="9260" spans="1:11" x14ac:dyDescent="0.2">
      <c r="A9260" t="s">
        <v>4306</v>
      </c>
      <c r="B9260" t="s">
        <v>4909</v>
      </c>
      <c r="C9260" t="s">
        <v>4909</v>
      </c>
      <c r="D9260" t="s">
        <v>4909</v>
      </c>
      <c r="E9260" t="s">
        <v>4909</v>
      </c>
      <c r="F9260" t="s">
        <v>4909</v>
      </c>
      <c r="G9260" s="88">
        <v>7.0000000000000001E-3</v>
      </c>
      <c r="H9260" s="88">
        <v>1E-3</v>
      </c>
      <c r="I9260" t="s">
        <v>4909</v>
      </c>
      <c r="J9260" t="s">
        <v>4909</v>
      </c>
      <c r="K9260" s="88">
        <v>0</v>
      </c>
    </row>
    <row r="9261" spans="1:11" x14ac:dyDescent="0.2">
      <c r="A9261" t="s">
        <v>4307</v>
      </c>
      <c r="B9261" t="s">
        <v>4909</v>
      </c>
      <c r="C9261" t="s">
        <v>4909</v>
      </c>
      <c r="D9261" t="s">
        <v>4909</v>
      </c>
      <c r="E9261" t="s">
        <v>4909</v>
      </c>
      <c r="F9261" s="88">
        <v>0</v>
      </c>
      <c r="G9261" s="88">
        <v>3.0000000000000001E-3</v>
      </c>
      <c r="H9261" s="88">
        <v>4.0000000000000001E-3</v>
      </c>
      <c r="I9261" t="s">
        <v>4909</v>
      </c>
      <c r="J9261" s="88">
        <v>0</v>
      </c>
      <c r="K9261" s="88">
        <v>0</v>
      </c>
    </row>
    <row r="9262" spans="1:11" x14ac:dyDescent="0.2">
      <c r="A9262" t="s">
        <v>4308</v>
      </c>
      <c r="B9262" t="s">
        <v>4909</v>
      </c>
      <c r="C9262" t="s">
        <v>4909</v>
      </c>
      <c r="D9262" t="s">
        <v>4909</v>
      </c>
      <c r="E9262" t="s">
        <v>4909</v>
      </c>
      <c r="F9262" s="88">
        <v>1E-3</v>
      </c>
      <c r="G9262" s="88">
        <v>1.0999999999999999E-2</v>
      </c>
      <c r="H9262" s="88">
        <v>8.9999999999999993E-3</v>
      </c>
      <c r="I9262" t="s">
        <v>4909</v>
      </c>
      <c r="J9262" t="s">
        <v>4909</v>
      </c>
      <c r="K9262" t="s">
        <v>4909</v>
      </c>
    </row>
    <row r="9263" spans="1:11" x14ac:dyDescent="0.2">
      <c r="A9263" t="s">
        <v>4309</v>
      </c>
      <c r="B9263" t="s">
        <v>4909</v>
      </c>
      <c r="C9263" t="s">
        <v>4909</v>
      </c>
      <c r="D9263" t="s">
        <v>4909</v>
      </c>
      <c r="E9263" t="s">
        <v>4909</v>
      </c>
      <c r="F9263" t="s">
        <v>4909</v>
      </c>
      <c r="G9263" t="s">
        <v>4909</v>
      </c>
      <c r="H9263" t="s">
        <v>4909</v>
      </c>
      <c r="I9263" t="s">
        <v>4909</v>
      </c>
      <c r="J9263" t="s">
        <v>4909</v>
      </c>
      <c r="K9263" t="s">
        <v>4909</v>
      </c>
    </row>
    <row r="9264" spans="1:11" x14ac:dyDescent="0.2">
      <c r="A9264" t="s">
        <v>4310</v>
      </c>
      <c r="B9264" t="s">
        <v>4909</v>
      </c>
      <c r="C9264" t="s">
        <v>4909</v>
      </c>
      <c r="D9264" t="s">
        <v>4909</v>
      </c>
      <c r="E9264" t="s">
        <v>4909</v>
      </c>
      <c r="F9264" t="s">
        <v>4909</v>
      </c>
      <c r="G9264" t="s">
        <v>4909</v>
      </c>
      <c r="H9264" t="s">
        <v>4909</v>
      </c>
      <c r="I9264" t="s">
        <v>4909</v>
      </c>
      <c r="J9264" t="s">
        <v>4909</v>
      </c>
      <c r="K9264" t="s">
        <v>4909</v>
      </c>
    </row>
    <row r="9265" spans="1:11" x14ac:dyDescent="0.2">
      <c r="A9265" t="s">
        <v>4311</v>
      </c>
      <c r="B9265" t="s">
        <v>4909</v>
      </c>
      <c r="C9265" t="s">
        <v>4909</v>
      </c>
      <c r="D9265" t="s">
        <v>4909</v>
      </c>
      <c r="E9265" t="s">
        <v>4909</v>
      </c>
      <c r="F9265" t="s">
        <v>4909</v>
      </c>
      <c r="G9265" t="s">
        <v>4909</v>
      </c>
      <c r="H9265" t="s">
        <v>4909</v>
      </c>
      <c r="I9265" t="s">
        <v>4909</v>
      </c>
      <c r="J9265" t="s">
        <v>4909</v>
      </c>
      <c r="K9265" t="s">
        <v>4909</v>
      </c>
    </row>
    <row r="9266" spans="1:11" x14ac:dyDescent="0.2">
      <c r="A9266" t="s">
        <v>4312</v>
      </c>
      <c r="B9266" t="s">
        <v>4909</v>
      </c>
      <c r="C9266" t="s">
        <v>4909</v>
      </c>
      <c r="D9266" t="s">
        <v>4909</v>
      </c>
      <c r="E9266" t="s">
        <v>4909</v>
      </c>
      <c r="F9266" t="s">
        <v>4909</v>
      </c>
      <c r="G9266" t="s">
        <v>4909</v>
      </c>
      <c r="H9266" t="s">
        <v>4909</v>
      </c>
      <c r="I9266" t="s">
        <v>4909</v>
      </c>
      <c r="J9266" t="s">
        <v>4909</v>
      </c>
      <c r="K9266" t="s">
        <v>4909</v>
      </c>
    </row>
    <row r="9267" spans="1:11" x14ac:dyDescent="0.2">
      <c r="A9267" t="s">
        <v>4313</v>
      </c>
      <c r="B9267" t="s">
        <v>4909</v>
      </c>
      <c r="C9267" t="s">
        <v>4909</v>
      </c>
      <c r="D9267" t="s">
        <v>4909</v>
      </c>
      <c r="E9267" t="s">
        <v>4909</v>
      </c>
      <c r="F9267" t="s">
        <v>4909</v>
      </c>
      <c r="G9267" t="s">
        <v>4909</v>
      </c>
      <c r="H9267" t="s">
        <v>4909</v>
      </c>
      <c r="I9267" t="s">
        <v>4909</v>
      </c>
      <c r="J9267" t="s">
        <v>4909</v>
      </c>
      <c r="K9267" t="s">
        <v>4909</v>
      </c>
    </row>
    <row r="9268" spans="1:11" x14ac:dyDescent="0.2">
      <c r="A9268" t="s">
        <v>4314</v>
      </c>
      <c r="B9268" t="s">
        <v>4909</v>
      </c>
      <c r="C9268" t="s">
        <v>4909</v>
      </c>
      <c r="D9268" t="s">
        <v>4909</v>
      </c>
      <c r="E9268" t="s">
        <v>4909</v>
      </c>
      <c r="F9268" t="s">
        <v>4909</v>
      </c>
      <c r="G9268" t="s">
        <v>4909</v>
      </c>
      <c r="H9268" t="s">
        <v>4909</v>
      </c>
      <c r="I9268" t="s">
        <v>4909</v>
      </c>
      <c r="J9268" t="s">
        <v>4909</v>
      </c>
      <c r="K9268" t="s">
        <v>4909</v>
      </c>
    </row>
    <row r="9269" spans="1:11" x14ac:dyDescent="0.2">
      <c r="A9269" t="s">
        <v>4315</v>
      </c>
      <c r="B9269" t="s">
        <v>4909</v>
      </c>
      <c r="C9269" t="s">
        <v>4909</v>
      </c>
      <c r="D9269" t="s">
        <v>4909</v>
      </c>
      <c r="E9269" t="s">
        <v>4909</v>
      </c>
      <c r="F9269" t="s">
        <v>4909</v>
      </c>
      <c r="G9269" t="s">
        <v>4909</v>
      </c>
      <c r="H9269" t="s">
        <v>4909</v>
      </c>
      <c r="I9269" t="s">
        <v>4909</v>
      </c>
      <c r="J9269" t="s">
        <v>4909</v>
      </c>
      <c r="K9269" t="s">
        <v>4909</v>
      </c>
    </row>
    <row r="9270" spans="1:11" x14ac:dyDescent="0.2">
      <c r="A9270" t="s">
        <v>4316</v>
      </c>
      <c r="B9270" t="s">
        <v>4909</v>
      </c>
      <c r="C9270" t="s">
        <v>4909</v>
      </c>
      <c r="D9270" t="s">
        <v>4909</v>
      </c>
      <c r="E9270" t="s">
        <v>4909</v>
      </c>
      <c r="F9270" t="s">
        <v>4909</v>
      </c>
      <c r="G9270" t="s">
        <v>4909</v>
      </c>
      <c r="H9270" t="s">
        <v>4909</v>
      </c>
      <c r="I9270" t="s">
        <v>4909</v>
      </c>
      <c r="J9270" t="s">
        <v>4909</v>
      </c>
      <c r="K9270" t="s">
        <v>4909</v>
      </c>
    </row>
    <row r="9271" spans="1:11" x14ac:dyDescent="0.2">
      <c r="A9271" t="s">
        <v>4317</v>
      </c>
      <c r="B9271" t="s">
        <v>4909</v>
      </c>
      <c r="C9271" t="s">
        <v>4909</v>
      </c>
      <c r="D9271" t="s">
        <v>4909</v>
      </c>
      <c r="E9271" t="s">
        <v>4909</v>
      </c>
      <c r="F9271" t="s">
        <v>4909</v>
      </c>
      <c r="G9271" t="s">
        <v>4909</v>
      </c>
      <c r="H9271" t="s">
        <v>4909</v>
      </c>
      <c r="I9271" t="s">
        <v>4909</v>
      </c>
      <c r="J9271" t="s">
        <v>4909</v>
      </c>
      <c r="K9271" t="s">
        <v>4909</v>
      </c>
    </row>
    <row r="9272" spans="1:11" x14ac:dyDescent="0.2">
      <c r="A9272" t="s">
        <v>4318</v>
      </c>
      <c r="B9272" t="s">
        <v>4909</v>
      </c>
      <c r="C9272" t="s">
        <v>4909</v>
      </c>
      <c r="D9272" t="s">
        <v>4909</v>
      </c>
      <c r="E9272" t="s">
        <v>4909</v>
      </c>
      <c r="F9272" t="s">
        <v>4909</v>
      </c>
      <c r="G9272" t="s">
        <v>4909</v>
      </c>
      <c r="H9272" t="s">
        <v>4909</v>
      </c>
      <c r="I9272" t="s">
        <v>4909</v>
      </c>
      <c r="J9272" t="s">
        <v>4909</v>
      </c>
      <c r="K9272" t="s">
        <v>4909</v>
      </c>
    </row>
    <row r="9273" spans="1:11" x14ac:dyDescent="0.2">
      <c r="A9273" t="s">
        <v>4319</v>
      </c>
      <c r="B9273" t="s">
        <v>4909</v>
      </c>
      <c r="C9273" t="s">
        <v>4909</v>
      </c>
      <c r="D9273" t="s">
        <v>4909</v>
      </c>
      <c r="E9273" t="s">
        <v>4909</v>
      </c>
      <c r="F9273" t="s">
        <v>4909</v>
      </c>
      <c r="G9273" t="s">
        <v>4909</v>
      </c>
      <c r="H9273" t="s">
        <v>4909</v>
      </c>
      <c r="I9273" t="s">
        <v>4909</v>
      </c>
      <c r="J9273" t="s">
        <v>4909</v>
      </c>
      <c r="K9273" t="s">
        <v>4909</v>
      </c>
    </row>
    <row r="9274" spans="1:11" x14ac:dyDescent="0.2">
      <c r="A9274" t="s">
        <v>4320</v>
      </c>
      <c r="B9274" t="s">
        <v>4909</v>
      </c>
      <c r="C9274" t="s">
        <v>4909</v>
      </c>
      <c r="D9274" t="s">
        <v>4909</v>
      </c>
      <c r="E9274" t="s">
        <v>4909</v>
      </c>
      <c r="F9274" t="s">
        <v>4909</v>
      </c>
      <c r="G9274" t="s">
        <v>4909</v>
      </c>
      <c r="H9274" t="s">
        <v>4909</v>
      </c>
      <c r="I9274" t="s">
        <v>4909</v>
      </c>
      <c r="J9274" t="s">
        <v>4909</v>
      </c>
      <c r="K9274" t="s">
        <v>4909</v>
      </c>
    </row>
    <row r="9275" spans="1:11" x14ac:dyDescent="0.2">
      <c r="A9275" t="s">
        <v>4321</v>
      </c>
      <c r="B9275" t="s">
        <v>4909</v>
      </c>
      <c r="C9275" t="s">
        <v>4909</v>
      </c>
      <c r="D9275" t="s">
        <v>4909</v>
      </c>
      <c r="E9275" t="s">
        <v>4909</v>
      </c>
      <c r="F9275" t="s">
        <v>4909</v>
      </c>
      <c r="G9275" t="s">
        <v>4909</v>
      </c>
      <c r="H9275" t="s">
        <v>4909</v>
      </c>
      <c r="I9275" t="s">
        <v>4909</v>
      </c>
      <c r="J9275" t="s">
        <v>4909</v>
      </c>
      <c r="K9275" t="s">
        <v>4909</v>
      </c>
    </row>
    <row r="9276" spans="1:11" x14ac:dyDescent="0.2">
      <c r="A9276" t="s">
        <v>4322</v>
      </c>
      <c r="B9276" t="s">
        <v>4909</v>
      </c>
      <c r="C9276" t="s">
        <v>4909</v>
      </c>
      <c r="D9276" t="s">
        <v>4909</v>
      </c>
      <c r="E9276" t="s">
        <v>4909</v>
      </c>
      <c r="F9276" t="s">
        <v>4909</v>
      </c>
      <c r="G9276" t="s">
        <v>4909</v>
      </c>
      <c r="H9276" t="s">
        <v>4909</v>
      </c>
      <c r="I9276" t="s">
        <v>4909</v>
      </c>
      <c r="J9276" t="s">
        <v>4909</v>
      </c>
      <c r="K9276" t="s">
        <v>4909</v>
      </c>
    </row>
    <row r="9277" spans="1:11" x14ac:dyDescent="0.2">
      <c r="A9277" t="s">
        <v>4323</v>
      </c>
      <c r="B9277" t="s">
        <v>4909</v>
      </c>
      <c r="C9277" t="s">
        <v>4909</v>
      </c>
      <c r="D9277" t="s">
        <v>4909</v>
      </c>
      <c r="E9277" t="s">
        <v>4909</v>
      </c>
      <c r="F9277" t="s">
        <v>4909</v>
      </c>
      <c r="G9277" t="s">
        <v>4909</v>
      </c>
      <c r="H9277" t="s">
        <v>4909</v>
      </c>
      <c r="I9277" t="s">
        <v>4909</v>
      </c>
      <c r="J9277" t="s">
        <v>4909</v>
      </c>
      <c r="K9277" t="s">
        <v>4909</v>
      </c>
    </row>
    <row r="9278" spans="1:11" x14ac:dyDescent="0.2">
      <c r="A9278" t="s">
        <v>4324</v>
      </c>
      <c r="B9278" t="s">
        <v>4909</v>
      </c>
      <c r="C9278" t="s">
        <v>4909</v>
      </c>
      <c r="D9278" t="s">
        <v>4909</v>
      </c>
      <c r="E9278" t="s">
        <v>4909</v>
      </c>
      <c r="F9278" t="s">
        <v>4909</v>
      </c>
      <c r="G9278" t="s">
        <v>4909</v>
      </c>
      <c r="H9278" t="s">
        <v>4909</v>
      </c>
      <c r="I9278" t="s">
        <v>4909</v>
      </c>
      <c r="J9278" t="s">
        <v>4909</v>
      </c>
      <c r="K9278" t="s">
        <v>4909</v>
      </c>
    </row>
    <row r="9279" spans="1:11" x14ac:dyDescent="0.2">
      <c r="A9279" t="s">
        <v>4325</v>
      </c>
      <c r="B9279" t="s">
        <v>4909</v>
      </c>
      <c r="C9279" t="s">
        <v>4909</v>
      </c>
      <c r="D9279" t="s">
        <v>4909</v>
      </c>
      <c r="E9279" t="s">
        <v>4909</v>
      </c>
      <c r="F9279" t="s">
        <v>4909</v>
      </c>
      <c r="G9279" t="s">
        <v>4909</v>
      </c>
      <c r="H9279" t="s">
        <v>4909</v>
      </c>
      <c r="I9279" t="s">
        <v>4909</v>
      </c>
      <c r="J9279" t="s">
        <v>4909</v>
      </c>
      <c r="K9279" t="s">
        <v>4909</v>
      </c>
    </row>
    <row r="9280" spans="1:11" x14ac:dyDescent="0.2">
      <c r="A9280" t="s">
        <v>4326</v>
      </c>
      <c r="B9280" t="s">
        <v>4909</v>
      </c>
      <c r="C9280" t="s">
        <v>4909</v>
      </c>
      <c r="D9280" t="s">
        <v>4909</v>
      </c>
      <c r="E9280" t="s">
        <v>4909</v>
      </c>
      <c r="F9280" t="s">
        <v>4909</v>
      </c>
      <c r="G9280" t="s">
        <v>4909</v>
      </c>
      <c r="H9280" t="s">
        <v>4909</v>
      </c>
      <c r="I9280" t="s">
        <v>4909</v>
      </c>
      <c r="J9280" t="s">
        <v>4909</v>
      </c>
      <c r="K9280" t="s">
        <v>4909</v>
      </c>
    </row>
    <row r="9281" spans="1:11" x14ac:dyDescent="0.2">
      <c r="A9281" t="s">
        <v>4327</v>
      </c>
      <c r="B9281" t="s">
        <v>4909</v>
      </c>
      <c r="C9281" t="s">
        <v>4909</v>
      </c>
      <c r="D9281" t="s">
        <v>4909</v>
      </c>
      <c r="E9281" t="s">
        <v>4909</v>
      </c>
      <c r="F9281" t="s">
        <v>4909</v>
      </c>
      <c r="G9281" t="s">
        <v>4909</v>
      </c>
      <c r="H9281" t="s">
        <v>4909</v>
      </c>
      <c r="I9281" t="s">
        <v>4909</v>
      </c>
      <c r="J9281" t="s">
        <v>4909</v>
      </c>
      <c r="K9281" t="s">
        <v>4909</v>
      </c>
    </row>
    <row r="9282" spans="1:11" x14ac:dyDescent="0.2">
      <c r="A9282" t="s">
        <v>4328</v>
      </c>
      <c r="B9282" t="s">
        <v>4909</v>
      </c>
      <c r="C9282" t="s">
        <v>4909</v>
      </c>
      <c r="D9282" t="s">
        <v>4909</v>
      </c>
      <c r="E9282" t="s">
        <v>4909</v>
      </c>
      <c r="F9282" t="s">
        <v>4909</v>
      </c>
      <c r="G9282" t="s">
        <v>4909</v>
      </c>
      <c r="H9282" t="s">
        <v>4909</v>
      </c>
      <c r="I9282" t="s">
        <v>4909</v>
      </c>
      <c r="J9282" t="s">
        <v>4909</v>
      </c>
      <c r="K9282" t="s">
        <v>4909</v>
      </c>
    </row>
    <row r="9283" spans="1:11" x14ac:dyDescent="0.2">
      <c r="A9283" t="s">
        <v>4329</v>
      </c>
      <c r="B9283" t="s">
        <v>4909</v>
      </c>
      <c r="C9283" t="s">
        <v>4909</v>
      </c>
      <c r="D9283" t="s">
        <v>4909</v>
      </c>
      <c r="E9283" t="s">
        <v>4909</v>
      </c>
      <c r="F9283" t="s">
        <v>4909</v>
      </c>
      <c r="G9283" t="s">
        <v>4909</v>
      </c>
      <c r="H9283" t="s">
        <v>4909</v>
      </c>
      <c r="I9283" t="s">
        <v>4909</v>
      </c>
      <c r="J9283" t="s">
        <v>4909</v>
      </c>
      <c r="K9283" t="s">
        <v>4909</v>
      </c>
    </row>
    <row r="9284" spans="1:11" x14ac:dyDescent="0.2">
      <c r="A9284" t="s">
        <v>4330</v>
      </c>
      <c r="B9284" t="s">
        <v>4909</v>
      </c>
      <c r="C9284" t="s">
        <v>4909</v>
      </c>
      <c r="D9284" t="s">
        <v>4909</v>
      </c>
      <c r="E9284" t="s">
        <v>4909</v>
      </c>
      <c r="F9284" t="s">
        <v>4909</v>
      </c>
      <c r="G9284" t="s">
        <v>4909</v>
      </c>
      <c r="H9284" t="s">
        <v>4909</v>
      </c>
      <c r="I9284" t="s">
        <v>4909</v>
      </c>
      <c r="J9284" t="s">
        <v>4909</v>
      </c>
      <c r="K9284" t="s">
        <v>4909</v>
      </c>
    </row>
    <row r="9285" spans="1:11" x14ac:dyDescent="0.2">
      <c r="A9285" t="s">
        <v>4331</v>
      </c>
      <c r="B9285" t="s">
        <v>4909</v>
      </c>
      <c r="C9285" t="s">
        <v>4909</v>
      </c>
      <c r="D9285" t="s">
        <v>4909</v>
      </c>
      <c r="E9285" t="s">
        <v>4909</v>
      </c>
      <c r="F9285" t="s">
        <v>4909</v>
      </c>
      <c r="G9285" t="s">
        <v>4909</v>
      </c>
      <c r="H9285" t="s">
        <v>4909</v>
      </c>
      <c r="I9285" t="s">
        <v>4909</v>
      </c>
      <c r="J9285" t="s">
        <v>4909</v>
      </c>
      <c r="K9285" t="s">
        <v>4909</v>
      </c>
    </row>
    <row r="9286" spans="1:11" x14ac:dyDescent="0.2">
      <c r="A9286" t="s">
        <v>4332</v>
      </c>
      <c r="B9286" t="s">
        <v>4909</v>
      </c>
      <c r="C9286" t="s">
        <v>4909</v>
      </c>
      <c r="D9286" t="s">
        <v>4909</v>
      </c>
      <c r="E9286" t="s">
        <v>4909</v>
      </c>
      <c r="F9286" t="s">
        <v>4909</v>
      </c>
      <c r="G9286" t="s">
        <v>4909</v>
      </c>
      <c r="H9286" t="s">
        <v>4909</v>
      </c>
      <c r="I9286" t="s">
        <v>4909</v>
      </c>
      <c r="J9286" t="s">
        <v>4909</v>
      </c>
      <c r="K9286" t="s">
        <v>4909</v>
      </c>
    </row>
    <row r="9287" spans="1:11" x14ac:dyDescent="0.2">
      <c r="A9287" t="s">
        <v>4333</v>
      </c>
      <c r="B9287" t="s">
        <v>4909</v>
      </c>
      <c r="C9287" t="s">
        <v>4909</v>
      </c>
      <c r="D9287" t="s">
        <v>4909</v>
      </c>
      <c r="E9287" t="s">
        <v>4909</v>
      </c>
      <c r="F9287" t="s">
        <v>4909</v>
      </c>
      <c r="G9287" t="s">
        <v>4909</v>
      </c>
      <c r="H9287" t="s">
        <v>4909</v>
      </c>
      <c r="I9287" t="s">
        <v>4909</v>
      </c>
      <c r="J9287" t="s">
        <v>4909</v>
      </c>
      <c r="K9287" t="s">
        <v>4909</v>
      </c>
    </row>
    <row r="9288" spans="1:11" x14ac:dyDescent="0.2">
      <c r="A9288" t="s">
        <v>4334</v>
      </c>
      <c r="B9288" t="s">
        <v>4909</v>
      </c>
      <c r="C9288" t="s">
        <v>4909</v>
      </c>
      <c r="D9288" t="s">
        <v>4909</v>
      </c>
      <c r="E9288" t="s">
        <v>4909</v>
      </c>
      <c r="F9288" t="s">
        <v>4909</v>
      </c>
      <c r="G9288" t="s">
        <v>4909</v>
      </c>
      <c r="H9288" t="s">
        <v>4909</v>
      </c>
      <c r="I9288" t="s">
        <v>4909</v>
      </c>
      <c r="J9288" t="s">
        <v>4909</v>
      </c>
      <c r="K9288" t="s">
        <v>4909</v>
      </c>
    </row>
    <row r="9289" spans="1:11" x14ac:dyDescent="0.2">
      <c r="A9289" t="s">
        <v>4335</v>
      </c>
      <c r="B9289" t="s">
        <v>4909</v>
      </c>
      <c r="C9289" t="s">
        <v>4909</v>
      </c>
      <c r="D9289" t="s">
        <v>4909</v>
      </c>
      <c r="E9289" t="s">
        <v>4909</v>
      </c>
      <c r="F9289" t="s">
        <v>4909</v>
      </c>
      <c r="G9289" t="s">
        <v>4909</v>
      </c>
      <c r="H9289" t="s">
        <v>4909</v>
      </c>
      <c r="I9289" t="s">
        <v>4909</v>
      </c>
      <c r="J9289" t="s">
        <v>4909</v>
      </c>
      <c r="K9289" t="s">
        <v>4909</v>
      </c>
    </row>
    <row r="9290" spans="1:11" x14ac:dyDescent="0.2">
      <c r="A9290" t="s">
        <v>4336</v>
      </c>
      <c r="B9290" t="s">
        <v>4909</v>
      </c>
      <c r="C9290" t="s">
        <v>4909</v>
      </c>
      <c r="D9290" t="s">
        <v>4909</v>
      </c>
      <c r="E9290" t="s">
        <v>4909</v>
      </c>
      <c r="F9290" t="s">
        <v>4909</v>
      </c>
      <c r="G9290" t="s">
        <v>4909</v>
      </c>
      <c r="H9290" t="s">
        <v>4909</v>
      </c>
      <c r="I9290" t="s">
        <v>4909</v>
      </c>
      <c r="J9290" t="s">
        <v>4909</v>
      </c>
      <c r="K9290" t="s">
        <v>4909</v>
      </c>
    </row>
    <row r="9291" spans="1:11" x14ac:dyDescent="0.2">
      <c r="A9291" t="s">
        <v>4337</v>
      </c>
      <c r="B9291" t="s">
        <v>4909</v>
      </c>
      <c r="C9291" t="s">
        <v>4909</v>
      </c>
      <c r="D9291" t="s">
        <v>4909</v>
      </c>
      <c r="E9291" t="s">
        <v>4909</v>
      </c>
      <c r="F9291" t="s">
        <v>4909</v>
      </c>
      <c r="G9291" t="s">
        <v>4909</v>
      </c>
      <c r="H9291" t="s">
        <v>4909</v>
      </c>
      <c r="I9291" t="s">
        <v>4909</v>
      </c>
      <c r="J9291" t="s">
        <v>4909</v>
      </c>
      <c r="K9291" t="s">
        <v>4909</v>
      </c>
    </row>
    <row r="9292" spans="1:11" x14ac:dyDescent="0.2">
      <c r="A9292" t="s">
        <v>4338</v>
      </c>
      <c r="B9292" t="s">
        <v>4909</v>
      </c>
      <c r="C9292" t="s">
        <v>4909</v>
      </c>
      <c r="D9292" t="s">
        <v>4909</v>
      </c>
      <c r="E9292" t="s">
        <v>4909</v>
      </c>
      <c r="F9292" t="s">
        <v>4909</v>
      </c>
      <c r="G9292" t="s">
        <v>4909</v>
      </c>
      <c r="H9292" t="s">
        <v>4909</v>
      </c>
      <c r="I9292" t="s">
        <v>4909</v>
      </c>
      <c r="J9292" t="s">
        <v>4909</v>
      </c>
      <c r="K9292" t="s">
        <v>4909</v>
      </c>
    </row>
    <row r="9293" spans="1:11" x14ac:dyDescent="0.2">
      <c r="A9293" t="s">
        <v>4339</v>
      </c>
      <c r="B9293" t="s">
        <v>4909</v>
      </c>
      <c r="C9293" t="s">
        <v>4909</v>
      </c>
      <c r="D9293" t="s">
        <v>4909</v>
      </c>
      <c r="E9293" t="s">
        <v>4909</v>
      </c>
      <c r="F9293" t="s">
        <v>4909</v>
      </c>
      <c r="G9293" t="s">
        <v>4909</v>
      </c>
      <c r="H9293" t="s">
        <v>4909</v>
      </c>
      <c r="I9293" t="s">
        <v>4909</v>
      </c>
      <c r="J9293" t="s">
        <v>4909</v>
      </c>
      <c r="K9293" t="s">
        <v>4909</v>
      </c>
    </row>
    <row r="9294" spans="1:11" x14ac:dyDescent="0.2">
      <c r="A9294" t="s">
        <v>4340</v>
      </c>
      <c r="B9294" t="s">
        <v>4909</v>
      </c>
      <c r="C9294" t="s">
        <v>4909</v>
      </c>
      <c r="D9294" t="s">
        <v>4909</v>
      </c>
      <c r="E9294" t="s">
        <v>4909</v>
      </c>
      <c r="F9294" t="s">
        <v>4909</v>
      </c>
      <c r="G9294" t="s">
        <v>4909</v>
      </c>
      <c r="H9294" t="s">
        <v>4909</v>
      </c>
      <c r="I9294" t="s">
        <v>4909</v>
      </c>
      <c r="J9294" t="s">
        <v>4909</v>
      </c>
      <c r="K9294" t="s">
        <v>4909</v>
      </c>
    </row>
    <row r="9295" spans="1:11" x14ac:dyDescent="0.2">
      <c r="A9295" t="s">
        <v>4341</v>
      </c>
      <c r="B9295" t="s">
        <v>4909</v>
      </c>
      <c r="C9295" t="s">
        <v>4909</v>
      </c>
      <c r="D9295" t="s">
        <v>4909</v>
      </c>
      <c r="E9295" t="s">
        <v>4909</v>
      </c>
      <c r="F9295" t="s">
        <v>4909</v>
      </c>
      <c r="G9295" t="s">
        <v>4909</v>
      </c>
      <c r="H9295" t="s">
        <v>4909</v>
      </c>
      <c r="I9295" t="s">
        <v>4909</v>
      </c>
      <c r="J9295" t="s">
        <v>4909</v>
      </c>
      <c r="K9295" t="s">
        <v>4909</v>
      </c>
    </row>
    <row r="9296" spans="1:11" x14ac:dyDescent="0.2">
      <c r="A9296" t="s">
        <v>4342</v>
      </c>
      <c r="B9296" t="s">
        <v>4909</v>
      </c>
      <c r="C9296" t="s">
        <v>4909</v>
      </c>
      <c r="D9296" t="s">
        <v>4909</v>
      </c>
      <c r="E9296" t="s">
        <v>4909</v>
      </c>
      <c r="F9296" t="s">
        <v>4909</v>
      </c>
      <c r="G9296" t="s">
        <v>4909</v>
      </c>
      <c r="H9296" t="s">
        <v>4909</v>
      </c>
      <c r="I9296" t="s">
        <v>4909</v>
      </c>
      <c r="J9296" t="s">
        <v>4909</v>
      </c>
      <c r="K9296" t="s">
        <v>4909</v>
      </c>
    </row>
    <row r="9297" spans="1:11" x14ac:dyDescent="0.2">
      <c r="A9297" t="s">
        <v>4343</v>
      </c>
      <c r="B9297" t="s">
        <v>4909</v>
      </c>
      <c r="C9297" t="s">
        <v>4909</v>
      </c>
      <c r="D9297" t="s">
        <v>4909</v>
      </c>
      <c r="E9297" t="s">
        <v>4909</v>
      </c>
      <c r="F9297" t="s">
        <v>4909</v>
      </c>
      <c r="G9297" t="s">
        <v>4909</v>
      </c>
      <c r="H9297" t="s">
        <v>4909</v>
      </c>
      <c r="I9297" t="s">
        <v>4909</v>
      </c>
      <c r="J9297" t="s">
        <v>4909</v>
      </c>
      <c r="K9297" t="s">
        <v>4909</v>
      </c>
    </row>
    <row r="9298" spans="1:11" x14ac:dyDescent="0.2">
      <c r="A9298" t="s">
        <v>1728</v>
      </c>
      <c r="B9298" t="s">
        <v>4909</v>
      </c>
      <c r="C9298" t="s">
        <v>4909</v>
      </c>
      <c r="D9298" t="s">
        <v>4909</v>
      </c>
      <c r="E9298" t="s">
        <v>4909</v>
      </c>
      <c r="F9298" t="s">
        <v>4909</v>
      </c>
      <c r="G9298" t="s">
        <v>4909</v>
      </c>
      <c r="H9298" t="s">
        <v>4909</v>
      </c>
      <c r="I9298" t="s">
        <v>4909</v>
      </c>
      <c r="J9298" t="s">
        <v>4909</v>
      </c>
      <c r="K9298" t="s">
        <v>4909</v>
      </c>
    </row>
    <row r="9299" spans="1:11" x14ac:dyDescent="0.2">
      <c r="A9299" t="s">
        <v>1730</v>
      </c>
      <c r="B9299" t="s">
        <v>4909</v>
      </c>
      <c r="C9299" t="s">
        <v>4909</v>
      </c>
      <c r="D9299" t="s">
        <v>4909</v>
      </c>
      <c r="E9299" t="s">
        <v>4909</v>
      </c>
      <c r="F9299" s="88">
        <v>1E-3</v>
      </c>
      <c r="G9299" s="88">
        <v>7.0000000000000001E-3</v>
      </c>
      <c r="H9299" s="88">
        <v>8.9999999999999993E-3</v>
      </c>
      <c r="I9299" t="s">
        <v>4909</v>
      </c>
      <c r="J9299" t="s">
        <v>4909</v>
      </c>
      <c r="K9299" s="88">
        <v>1E-3</v>
      </c>
    </row>
    <row r="9300" spans="1:11" x14ac:dyDescent="0.2">
      <c r="A9300" t="s">
        <v>1733</v>
      </c>
      <c r="B9300" t="s">
        <v>4909</v>
      </c>
      <c r="C9300" t="s">
        <v>4909</v>
      </c>
      <c r="D9300" t="s">
        <v>4909</v>
      </c>
      <c r="E9300" t="s">
        <v>4909</v>
      </c>
      <c r="F9300" t="s">
        <v>4909</v>
      </c>
      <c r="G9300" t="s">
        <v>4909</v>
      </c>
      <c r="H9300" t="s">
        <v>4909</v>
      </c>
      <c r="I9300" t="s">
        <v>4909</v>
      </c>
      <c r="J9300" t="s">
        <v>4909</v>
      </c>
      <c r="K9300" t="s">
        <v>4909</v>
      </c>
    </row>
    <row r="9301" spans="1:11" x14ac:dyDescent="0.2">
      <c r="A9301" t="s">
        <v>1738</v>
      </c>
      <c r="B9301" t="s">
        <v>4909</v>
      </c>
      <c r="C9301" t="s">
        <v>4909</v>
      </c>
      <c r="D9301" t="s">
        <v>4909</v>
      </c>
      <c r="E9301" t="s">
        <v>4909</v>
      </c>
      <c r="F9301" t="s">
        <v>4909</v>
      </c>
      <c r="G9301" t="s">
        <v>4909</v>
      </c>
      <c r="H9301" t="s">
        <v>4909</v>
      </c>
      <c r="I9301" t="s">
        <v>4909</v>
      </c>
      <c r="J9301" t="s">
        <v>4909</v>
      </c>
      <c r="K9301" t="s">
        <v>4909</v>
      </c>
    </row>
    <row r="9302" spans="1:11" x14ac:dyDescent="0.2">
      <c r="A9302" t="s">
        <v>1744</v>
      </c>
      <c r="B9302" t="s">
        <v>4909</v>
      </c>
      <c r="C9302" t="s">
        <v>4909</v>
      </c>
      <c r="D9302" t="s">
        <v>4909</v>
      </c>
      <c r="E9302" t="s">
        <v>4909</v>
      </c>
      <c r="F9302" t="s">
        <v>4909</v>
      </c>
      <c r="G9302" t="s">
        <v>4909</v>
      </c>
      <c r="H9302" t="s">
        <v>4909</v>
      </c>
      <c r="I9302" t="s">
        <v>4909</v>
      </c>
      <c r="J9302" t="s">
        <v>4909</v>
      </c>
      <c r="K9302" t="s">
        <v>4909</v>
      </c>
    </row>
    <row r="9303" spans="1:11" x14ac:dyDescent="0.2">
      <c r="A9303" t="s">
        <v>1747</v>
      </c>
      <c r="B9303" t="s">
        <v>4909</v>
      </c>
      <c r="C9303" t="s">
        <v>4909</v>
      </c>
      <c r="D9303" t="s">
        <v>4909</v>
      </c>
      <c r="E9303" t="s">
        <v>4909</v>
      </c>
      <c r="F9303" t="s">
        <v>4909</v>
      </c>
      <c r="G9303" t="s">
        <v>4909</v>
      </c>
      <c r="H9303" t="s">
        <v>4909</v>
      </c>
      <c r="I9303" t="s">
        <v>4909</v>
      </c>
      <c r="J9303" t="s">
        <v>4909</v>
      </c>
      <c r="K9303" t="s">
        <v>4909</v>
      </c>
    </row>
    <row r="9304" spans="1:11" x14ac:dyDescent="0.2">
      <c r="A9304" t="s">
        <v>1751</v>
      </c>
      <c r="B9304" t="s">
        <v>4909</v>
      </c>
      <c r="C9304" t="s">
        <v>4909</v>
      </c>
      <c r="D9304" t="s">
        <v>4909</v>
      </c>
      <c r="E9304" t="s">
        <v>4909</v>
      </c>
      <c r="F9304" t="s">
        <v>4909</v>
      </c>
      <c r="G9304" t="s">
        <v>4909</v>
      </c>
      <c r="H9304" t="s">
        <v>4909</v>
      </c>
      <c r="I9304" t="s">
        <v>4909</v>
      </c>
      <c r="J9304" t="s">
        <v>4909</v>
      </c>
      <c r="K9304" t="s">
        <v>4909</v>
      </c>
    </row>
    <row r="9305" spans="1:11" x14ac:dyDescent="0.2">
      <c r="A9305" t="s">
        <v>1755</v>
      </c>
      <c r="B9305" t="s">
        <v>4909</v>
      </c>
      <c r="C9305" t="s">
        <v>4909</v>
      </c>
      <c r="D9305" t="s">
        <v>4909</v>
      </c>
      <c r="E9305" t="s">
        <v>4909</v>
      </c>
      <c r="F9305" s="88">
        <v>8.9999999999999993E-3</v>
      </c>
      <c r="G9305" s="88">
        <v>3.5999999999999997E-2</v>
      </c>
      <c r="H9305" s="88">
        <v>4.5999999999999999E-2</v>
      </c>
      <c r="I9305" t="s">
        <v>4909</v>
      </c>
      <c r="J9305" s="88">
        <v>0</v>
      </c>
      <c r="K9305" s="88">
        <v>5.0000000000000001E-3</v>
      </c>
    </row>
    <row r="9306" spans="1:11" x14ac:dyDescent="0.2">
      <c r="A9306" t="s">
        <v>1757</v>
      </c>
      <c r="B9306" t="s">
        <v>4909</v>
      </c>
      <c r="C9306" t="s">
        <v>4909</v>
      </c>
      <c r="D9306" t="s">
        <v>4909</v>
      </c>
      <c r="E9306" t="s">
        <v>4909</v>
      </c>
      <c r="F9306" s="88">
        <v>6.0000000000000001E-3</v>
      </c>
      <c r="G9306" s="88">
        <v>2.1000000000000001E-2</v>
      </c>
      <c r="H9306" s="88">
        <v>3.1E-2</v>
      </c>
      <c r="I9306" t="s">
        <v>4909</v>
      </c>
      <c r="J9306" s="88">
        <v>0</v>
      </c>
      <c r="K9306" s="88">
        <v>5.0000000000000001E-3</v>
      </c>
    </row>
    <row r="9307" spans="1:11" x14ac:dyDescent="0.2">
      <c r="A9307" t="s">
        <v>1761</v>
      </c>
      <c r="B9307" t="s">
        <v>4909</v>
      </c>
      <c r="C9307" t="s">
        <v>4909</v>
      </c>
      <c r="D9307" t="s">
        <v>4909</v>
      </c>
      <c r="E9307" t="s">
        <v>4909</v>
      </c>
      <c r="F9307" t="s">
        <v>4909</v>
      </c>
      <c r="G9307" t="s">
        <v>4909</v>
      </c>
      <c r="H9307" t="s">
        <v>4909</v>
      </c>
      <c r="I9307" t="s">
        <v>4909</v>
      </c>
      <c r="J9307" t="s">
        <v>4909</v>
      </c>
      <c r="K9307" t="s">
        <v>4909</v>
      </c>
    </row>
    <row r="9308" spans="1:11" x14ac:dyDescent="0.2">
      <c r="A9308" t="s">
        <v>1764</v>
      </c>
      <c r="B9308" t="s">
        <v>4909</v>
      </c>
      <c r="C9308" t="s">
        <v>4909</v>
      </c>
      <c r="D9308" t="s">
        <v>4909</v>
      </c>
      <c r="E9308" t="s">
        <v>4909</v>
      </c>
      <c r="F9308" t="s">
        <v>4909</v>
      </c>
      <c r="G9308" t="s">
        <v>4909</v>
      </c>
      <c r="H9308" t="s">
        <v>4909</v>
      </c>
      <c r="I9308" t="s">
        <v>4909</v>
      </c>
      <c r="J9308" t="s">
        <v>4909</v>
      </c>
      <c r="K9308" t="s">
        <v>4909</v>
      </c>
    </row>
    <row r="9309" spans="1:11" x14ac:dyDescent="0.2">
      <c r="A9309" t="s">
        <v>1770</v>
      </c>
      <c r="B9309" t="s">
        <v>4909</v>
      </c>
      <c r="C9309" t="s">
        <v>4909</v>
      </c>
      <c r="D9309" t="s">
        <v>4909</v>
      </c>
      <c r="E9309" t="s">
        <v>4909</v>
      </c>
      <c r="F9309" s="88">
        <v>0</v>
      </c>
      <c r="G9309" s="88">
        <v>4.0000000000000001E-3</v>
      </c>
      <c r="H9309" s="88">
        <v>1E-3</v>
      </c>
      <c r="I9309" t="s">
        <v>4909</v>
      </c>
      <c r="J9309" s="88">
        <v>0</v>
      </c>
      <c r="K9309" s="88">
        <v>1E-3</v>
      </c>
    </row>
    <row r="9310" spans="1:11" x14ac:dyDescent="0.2">
      <c r="A9310" t="s">
        <v>1772</v>
      </c>
      <c r="B9310" t="s">
        <v>4909</v>
      </c>
      <c r="C9310" t="s">
        <v>4909</v>
      </c>
      <c r="D9310" t="s">
        <v>4909</v>
      </c>
      <c r="E9310" t="s">
        <v>4909</v>
      </c>
      <c r="F9310" t="s">
        <v>4909</v>
      </c>
      <c r="G9310" s="88">
        <v>5.0000000000000001E-3</v>
      </c>
      <c r="H9310" s="88">
        <v>1E-3</v>
      </c>
      <c r="I9310" t="s">
        <v>4909</v>
      </c>
      <c r="J9310" t="s">
        <v>4909</v>
      </c>
      <c r="K9310" s="88">
        <v>0</v>
      </c>
    </row>
    <row r="9311" spans="1:11" x14ac:dyDescent="0.2">
      <c r="A9311" t="s">
        <v>1774</v>
      </c>
      <c r="B9311" t="s">
        <v>4909</v>
      </c>
      <c r="C9311" t="s">
        <v>4909</v>
      </c>
      <c r="D9311" t="s">
        <v>4909</v>
      </c>
      <c r="E9311" t="s">
        <v>4909</v>
      </c>
      <c r="F9311" s="88">
        <v>4.0000000000000001E-3</v>
      </c>
      <c r="G9311" s="88">
        <v>4.1000000000000002E-2</v>
      </c>
      <c r="H9311" s="88">
        <v>0.02</v>
      </c>
      <c r="I9311" t="s">
        <v>4909</v>
      </c>
      <c r="J9311" t="s">
        <v>4909</v>
      </c>
      <c r="K9311" s="88">
        <v>8.0000000000000002E-3</v>
      </c>
    </row>
    <row r="9312" spans="1:11" x14ac:dyDescent="0.2">
      <c r="A9312" t="s">
        <v>1777</v>
      </c>
      <c r="B9312" t="s">
        <v>4909</v>
      </c>
      <c r="C9312" t="s">
        <v>4909</v>
      </c>
      <c r="D9312" t="s">
        <v>4909</v>
      </c>
      <c r="E9312" t="s">
        <v>4909</v>
      </c>
      <c r="F9312" t="s">
        <v>4909</v>
      </c>
      <c r="G9312" t="s">
        <v>4909</v>
      </c>
      <c r="H9312" t="s">
        <v>4909</v>
      </c>
      <c r="I9312" t="s">
        <v>4909</v>
      </c>
      <c r="J9312" t="s">
        <v>4909</v>
      </c>
      <c r="K9312" t="s">
        <v>4909</v>
      </c>
    </row>
    <row r="9313" spans="1:11" x14ac:dyDescent="0.2">
      <c r="A9313" t="s">
        <v>1782</v>
      </c>
      <c r="B9313" t="s">
        <v>4909</v>
      </c>
      <c r="C9313" t="s">
        <v>4909</v>
      </c>
      <c r="D9313" t="s">
        <v>4909</v>
      </c>
      <c r="E9313" t="s">
        <v>4909</v>
      </c>
      <c r="F9313" t="s">
        <v>4909</v>
      </c>
      <c r="G9313" t="s">
        <v>4909</v>
      </c>
      <c r="H9313" t="s">
        <v>4909</v>
      </c>
      <c r="I9313" t="s">
        <v>4909</v>
      </c>
      <c r="J9313" t="s">
        <v>4909</v>
      </c>
      <c r="K9313" t="s">
        <v>4909</v>
      </c>
    </row>
    <row r="9314" spans="1:11" x14ac:dyDescent="0.2">
      <c r="A9314" t="s">
        <v>1274</v>
      </c>
      <c r="B9314" t="s">
        <v>4909</v>
      </c>
      <c r="C9314" t="s">
        <v>4909</v>
      </c>
      <c r="D9314" t="s">
        <v>4909</v>
      </c>
      <c r="E9314" t="s">
        <v>4909</v>
      </c>
      <c r="F9314" s="88">
        <v>0</v>
      </c>
      <c r="G9314" s="88">
        <v>0</v>
      </c>
      <c r="H9314" s="88">
        <v>1E-3</v>
      </c>
      <c r="I9314" t="s">
        <v>4909</v>
      </c>
      <c r="J9314" t="s">
        <v>4909</v>
      </c>
      <c r="K9314" t="s">
        <v>4909</v>
      </c>
    </row>
    <row r="9315" spans="1:11" x14ac:dyDescent="0.2">
      <c r="A9315" t="s">
        <v>1277</v>
      </c>
      <c r="B9315" t="s">
        <v>4909</v>
      </c>
      <c r="C9315" t="s">
        <v>4909</v>
      </c>
      <c r="D9315" t="s">
        <v>4909</v>
      </c>
      <c r="E9315" t="s">
        <v>4909</v>
      </c>
      <c r="F9315" s="88">
        <v>0</v>
      </c>
      <c r="G9315" s="88">
        <v>1E-3</v>
      </c>
      <c r="H9315" s="88">
        <v>1E-3</v>
      </c>
      <c r="I9315" t="s">
        <v>4909</v>
      </c>
      <c r="J9315" t="s">
        <v>4909</v>
      </c>
      <c r="K9315" s="88">
        <v>0</v>
      </c>
    </row>
    <row r="9316" spans="1:11" x14ac:dyDescent="0.2">
      <c r="A9316" t="s">
        <v>1798</v>
      </c>
      <c r="B9316" t="s">
        <v>4909</v>
      </c>
      <c r="C9316" t="s">
        <v>4909</v>
      </c>
      <c r="D9316" t="s">
        <v>4909</v>
      </c>
      <c r="E9316" t="s">
        <v>4909</v>
      </c>
      <c r="F9316" t="s">
        <v>4909</v>
      </c>
      <c r="G9316" t="s">
        <v>4909</v>
      </c>
      <c r="H9316" t="s">
        <v>4909</v>
      </c>
      <c r="I9316" t="s">
        <v>4909</v>
      </c>
      <c r="J9316" t="s">
        <v>4909</v>
      </c>
      <c r="K9316" t="s">
        <v>4909</v>
      </c>
    </row>
    <row r="9317" spans="1:11" x14ac:dyDescent="0.2">
      <c r="A9317" t="s">
        <v>1803</v>
      </c>
      <c r="B9317" t="s">
        <v>4909</v>
      </c>
      <c r="C9317" t="s">
        <v>4909</v>
      </c>
      <c r="D9317" t="s">
        <v>4909</v>
      </c>
      <c r="E9317" t="s">
        <v>4909</v>
      </c>
      <c r="F9317" t="s">
        <v>4909</v>
      </c>
      <c r="G9317" t="s">
        <v>4909</v>
      </c>
      <c r="H9317" t="s">
        <v>4909</v>
      </c>
      <c r="I9317" t="s">
        <v>4909</v>
      </c>
      <c r="J9317" t="s">
        <v>4909</v>
      </c>
      <c r="K9317" t="s">
        <v>4909</v>
      </c>
    </row>
    <row r="9318" spans="1:11" x14ac:dyDescent="0.2">
      <c r="A9318" t="s">
        <v>1808</v>
      </c>
      <c r="B9318" t="s">
        <v>4909</v>
      </c>
      <c r="C9318" t="s">
        <v>4909</v>
      </c>
      <c r="D9318" t="s">
        <v>4909</v>
      </c>
      <c r="E9318" t="s">
        <v>4909</v>
      </c>
      <c r="F9318" t="s">
        <v>4909</v>
      </c>
      <c r="G9318" t="s">
        <v>4909</v>
      </c>
      <c r="H9318" t="s">
        <v>4909</v>
      </c>
      <c r="I9318" t="s">
        <v>4909</v>
      </c>
      <c r="J9318" t="s">
        <v>4909</v>
      </c>
      <c r="K9318" t="s">
        <v>4909</v>
      </c>
    </row>
    <row r="9319" spans="1:11" x14ac:dyDescent="0.2">
      <c r="A9319" t="s">
        <v>1813</v>
      </c>
      <c r="B9319" t="s">
        <v>4909</v>
      </c>
      <c r="C9319" t="s">
        <v>4909</v>
      </c>
      <c r="D9319" t="s">
        <v>4909</v>
      </c>
      <c r="E9319" t="s">
        <v>4909</v>
      </c>
      <c r="F9319" t="s">
        <v>4909</v>
      </c>
      <c r="G9319" t="s">
        <v>4909</v>
      </c>
      <c r="H9319" t="s">
        <v>4909</v>
      </c>
      <c r="I9319" t="s">
        <v>4909</v>
      </c>
      <c r="J9319" t="s">
        <v>4909</v>
      </c>
      <c r="K9319" t="s">
        <v>4909</v>
      </c>
    </row>
    <row r="9320" spans="1:11" x14ac:dyDescent="0.2">
      <c r="A9320" t="s">
        <v>1819</v>
      </c>
      <c r="B9320" t="s">
        <v>4909</v>
      </c>
      <c r="C9320" t="s">
        <v>4909</v>
      </c>
      <c r="D9320" t="s">
        <v>4909</v>
      </c>
      <c r="E9320" t="s">
        <v>4909</v>
      </c>
      <c r="F9320" t="s">
        <v>4909</v>
      </c>
      <c r="G9320" t="s">
        <v>4909</v>
      </c>
      <c r="H9320" t="s">
        <v>4909</v>
      </c>
      <c r="I9320" t="s">
        <v>4909</v>
      </c>
      <c r="J9320" t="s">
        <v>4909</v>
      </c>
      <c r="K9320" t="s">
        <v>4909</v>
      </c>
    </row>
    <row r="9321" spans="1:11" x14ac:dyDescent="0.2">
      <c r="A9321" t="s">
        <v>1826</v>
      </c>
      <c r="B9321" t="s">
        <v>4909</v>
      </c>
      <c r="C9321" t="s">
        <v>4909</v>
      </c>
      <c r="D9321" t="s">
        <v>4909</v>
      </c>
      <c r="E9321" t="s">
        <v>4909</v>
      </c>
      <c r="F9321" t="s">
        <v>4909</v>
      </c>
      <c r="G9321" t="s">
        <v>4909</v>
      </c>
      <c r="H9321" t="s">
        <v>4909</v>
      </c>
      <c r="I9321" t="s">
        <v>4909</v>
      </c>
      <c r="J9321" t="s">
        <v>4909</v>
      </c>
      <c r="K9321" t="s">
        <v>4909</v>
      </c>
    </row>
    <row r="9322" spans="1:11" x14ac:dyDescent="0.2">
      <c r="A9322" t="s">
        <v>1830</v>
      </c>
      <c r="B9322" t="s">
        <v>4909</v>
      </c>
      <c r="C9322" t="s">
        <v>4909</v>
      </c>
      <c r="D9322" t="s">
        <v>4909</v>
      </c>
      <c r="E9322" t="s">
        <v>4909</v>
      </c>
      <c r="F9322" t="s">
        <v>4909</v>
      </c>
      <c r="G9322" t="s">
        <v>4909</v>
      </c>
      <c r="H9322" t="s">
        <v>4909</v>
      </c>
      <c r="I9322" t="s">
        <v>4909</v>
      </c>
      <c r="J9322" t="s">
        <v>4909</v>
      </c>
      <c r="K9322" t="s">
        <v>4909</v>
      </c>
    </row>
    <row r="9323" spans="1:11" x14ac:dyDescent="0.2">
      <c r="A9323" t="s">
        <v>1836</v>
      </c>
      <c r="B9323" t="s">
        <v>4909</v>
      </c>
      <c r="C9323" t="s">
        <v>4909</v>
      </c>
      <c r="D9323" t="s">
        <v>4909</v>
      </c>
      <c r="E9323" t="s">
        <v>4909</v>
      </c>
      <c r="F9323" t="s">
        <v>4909</v>
      </c>
      <c r="G9323" t="s">
        <v>4909</v>
      </c>
      <c r="H9323" t="s">
        <v>4909</v>
      </c>
      <c r="I9323" t="s">
        <v>4909</v>
      </c>
      <c r="J9323" t="s">
        <v>4909</v>
      </c>
      <c r="K9323" t="s">
        <v>4909</v>
      </c>
    </row>
    <row r="9324" spans="1:11" x14ac:dyDescent="0.2">
      <c r="A9324" t="s">
        <v>1841</v>
      </c>
      <c r="B9324" t="s">
        <v>4909</v>
      </c>
      <c r="C9324" t="s">
        <v>4909</v>
      </c>
      <c r="D9324" t="s">
        <v>4909</v>
      </c>
      <c r="E9324" t="s">
        <v>4909</v>
      </c>
      <c r="F9324" t="s">
        <v>4909</v>
      </c>
      <c r="G9324" t="s">
        <v>4909</v>
      </c>
      <c r="H9324" t="s">
        <v>4909</v>
      </c>
      <c r="I9324" t="s">
        <v>4909</v>
      </c>
      <c r="J9324" t="s">
        <v>4909</v>
      </c>
      <c r="K9324" t="s">
        <v>4909</v>
      </c>
    </row>
    <row r="9325" spans="1:11" x14ac:dyDescent="0.2">
      <c r="A9325" t="s">
        <v>1842</v>
      </c>
      <c r="B9325" t="s">
        <v>4909</v>
      </c>
      <c r="C9325" t="s">
        <v>4909</v>
      </c>
      <c r="D9325" t="s">
        <v>4909</v>
      </c>
      <c r="E9325" t="s">
        <v>4909</v>
      </c>
      <c r="F9325" t="s">
        <v>4909</v>
      </c>
      <c r="G9325" t="s">
        <v>4909</v>
      </c>
      <c r="H9325" t="s">
        <v>4909</v>
      </c>
      <c r="I9325" t="s">
        <v>4909</v>
      </c>
      <c r="J9325" t="s">
        <v>4909</v>
      </c>
      <c r="K9325" t="s">
        <v>4909</v>
      </c>
    </row>
    <row r="9326" spans="1:11" x14ac:dyDescent="0.2">
      <c r="A9326" t="s">
        <v>1843</v>
      </c>
      <c r="B9326" t="s">
        <v>4909</v>
      </c>
      <c r="C9326" t="s">
        <v>4909</v>
      </c>
      <c r="D9326" t="s">
        <v>4909</v>
      </c>
      <c r="E9326" t="s">
        <v>4909</v>
      </c>
      <c r="F9326" t="s">
        <v>4909</v>
      </c>
      <c r="G9326" t="s">
        <v>4909</v>
      </c>
      <c r="H9326" t="s">
        <v>4909</v>
      </c>
      <c r="I9326" t="s">
        <v>4909</v>
      </c>
      <c r="J9326" t="s">
        <v>4909</v>
      </c>
      <c r="K9326" t="s">
        <v>4909</v>
      </c>
    </row>
    <row r="9327" spans="1:11" x14ac:dyDescent="0.2">
      <c r="A9327" t="s">
        <v>1846</v>
      </c>
      <c r="B9327" t="s">
        <v>4909</v>
      </c>
      <c r="C9327" t="s">
        <v>4909</v>
      </c>
      <c r="D9327" t="s">
        <v>4909</v>
      </c>
      <c r="E9327" t="s">
        <v>4909</v>
      </c>
      <c r="F9327" t="s">
        <v>4909</v>
      </c>
      <c r="G9327" t="s">
        <v>4909</v>
      </c>
      <c r="H9327" t="s">
        <v>4909</v>
      </c>
      <c r="I9327" t="s">
        <v>4909</v>
      </c>
      <c r="J9327" t="s">
        <v>4909</v>
      </c>
      <c r="K9327" t="s">
        <v>4909</v>
      </c>
    </row>
    <row r="9328" spans="1:11" x14ac:dyDescent="0.2">
      <c r="A9328" t="s">
        <v>1851</v>
      </c>
      <c r="B9328" t="s">
        <v>4909</v>
      </c>
      <c r="C9328" t="s">
        <v>4909</v>
      </c>
      <c r="D9328" t="s">
        <v>4909</v>
      </c>
      <c r="E9328" t="s">
        <v>4909</v>
      </c>
      <c r="F9328" t="s">
        <v>4909</v>
      </c>
      <c r="G9328" t="s">
        <v>4909</v>
      </c>
      <c r="H9328" t="s">
        <v>4909</v>
      </c>
      <c r="I9328" t="s">
        <v>4909</v>
      </c>
      <c r="J9328" t="s">
        <v>4909</v>
      </c>
      <c r="K9328" t="s">
        <v>4909</v>
      </c>
    </row>
    <row r="9329" spans="1:11" x14ac:dyDescent="0.2">
      <c r="A9329" t="s">
        <v>1857</v>
      </c>
      <c r="B9329" t="s">
        <v>4909</v>
      </c>
      <c r="C9329" t="s">
        <v>4909</v>
      </c>
      <c r="D9329" t="s">
        <v>4909</v>
      </c>
      <c r="E9329" t="s">
        <v>4909</v>
      </c>
      <c r="F9329" t="s">
        <v>4909</v>
      </c>
      <c r="G9329" t="s">
        <v>4909</v>
      </c>
      <c r="H9329" t="s">
        <v>4909</v>
      </c>
      <c r="I9329" t="s">
        <v>4909</v>
      </c>
      <c r="J9329" t="s">
        <v>4909</v>
      </c>
      <c r="K9329" t="s">
        <v>4909</v>
      </c>
    </row>
    <row r="9330" spans="1:11" x14ac:dyDescent="0.2">
      <c r="A9330" t="s">
        <v>1862</v>
      </c>
      <c r="B9330" t="s">
        <v>4909</v>
      </c>
      <c r="C9330" t="s">
        <v>4909</v>
      </c>
      <c r="D9330" t="s">
        <v>4909</v>
      </c>
      <c r="E9330" t="s">
        <v>4909</v>
      </c>
      <c r="F9330" t="s">
        <v>4909</v>
      </c>
      <c r="G9330" t="s">
        <v>4909</v>
      </c>
      <c r="H9330" t="s">
        <v>4909</v>
      </c>
      <c r="I9330" t="s">
        <v>4909</v>
      </c>
      <c r="J9330" t="s">
        <v>4909</v>
      </c>
      <c r="K9330" t="s">
        <v>4909</v>
      </c>
    </row>
    <row r="9331" spans="1:11" x14ac:dyDescent="0.2">
      <c r="A9331" t="s">
        <v>1867</v>
      </c>
      <c r="B9331" t="s">
        <v>4909</v>
      </c>
      <c r="C9331" t="s">
        <v>4909</v>
      </c>
      <c r="D9331" t="s">
        <v>4909</v>
      </c>
      <c r="E9331" t="s">
        <v>4909</v>
      </c>
      <c r="F9331" t="s">
        <v>4909</v>
      </c>
      <c r="G9331" t="s">
        <v>4909</v>
      </c>
      <c r="H9331" t="s">
        <v>4909</v>
      </c>
      <c r="I9331" t="s">
        <v>4909</v>
      </c>
      <c r="J9331" t="s">
        <v>4909</v>
      </c>
      <c r="K9331" t="s">
        <v>4909</v>
      </c>
    </row>
    <row r="9332" spans="1:11" x14ac:dyDescent="0.2">
      <c r="A9332" t="s">
        <v>1870</v>
      </c>
      <c r="B9332" t="s">
        <v>4909</v>
      </c>
      <c r="C9332" t="s">
        <v>4909</v>
      </c>
      <c r="D9332" t="s">
        <v>4909</v>
      </c>
      <c r="E9332" t="s">
        <v>4909</v>
      </c>
      <c r="F9332" t="s">
        <v>4909</v>
      </c>
      <c r="G9332" t="s">
        <v>4909</v>
      </c>
      <c r="H9332" t="s">
        <v>4909</v>
      </c>
      <c r="I9332" t="s">
        <v>4909</v>
      </c>
      <c r="J9332" t="s">
        <v>4909</v>
      </c>
      <c r="K9332" t="s">
        <v>4909</v>
      </c>
    </row>
    <row r="9333" spans="1:11" x14ac:dyDescent="0.2">
      <c r="A9333" t="s">
        <v>1874</v>
      </c>
      <c r="B9333" t="s">
        <v>4909</v>
      </c>
      <c r="C9333" t="s">
        <v>4909</v>
      </c>
      <c r="D9333" t="s">
        <v>4909</v>
      </c>
      <c r="E9333" t="s">
        <v>4909</v>
      </c>
      <c r="F9333" t="s">
        <v>4909</v>
      </c>
      <c r="G9333" t="s">
        <v>4909</v>
      </c>
      <c r="H9333" t="s">
        <v>4909</v>
      </c>
      <c r="I9333" t="s">
        <v>4909</v>
      </c>
      <c r="J9333" t="s">
        <v>4909</v>
      </c>
      <c r="K9333" t="s">
        <v>4909</v>
      </c>
    </row>
    <row r="9334" spans="1:11" x14ac:dyDescent="0.2">
      <c r="A9334" t="s">
        <v>1876</v>
      </c>
      <c r="B9334" t="s">
        <v>4909</v>
      </c>
      <c r="C9334" t="s">
        <v>4909</v>
      </c>
      <c r="D9334" t="s">
        <v>4909</v>
      </c>
      <c r="E9334" t="s">
        <v>4909</v>
      </c>
      <c r="F9334" t="s">
        <v>4909</v>
      </c>
      <c r="G9334" t="s">
        <v>4909</v>
      </c>
      <c r="H9334" t="s">
        <v>4909</v>
      </c>
      <c r="I9334" t="s">
        <v>4909</v>
      </c>
      <c r="J9334" t="s">
        <v>4909</v>
      </c>
      <c r="K9334" t="s">
        <v>4909</v>
      </c>
    </row>
    <row r="9335" spans="1:11" x14ac:dyDescent="0.2">
      <c r="A9335" t="s">
        <v>1881</v>
      </c>
      <c r="B9335" t="s">
        <v>4909</v>
      </c>
      <c r="C9335" t="s">
        <v>4909</v>
      </c>
      <c r="D9335" t="s">
        <v>4909</v>
      </c>
      <c r="E9335" t="s">
        <v>4909</v>
      </c>
      <c r="F9335" t="s">
        <v>4909</v>
      </c>
      <c r="G9335" t="s">
        <v>4909</v>
      </c>
      <c r="H9335" t="s">
        <v>4909</v>
      </c>
      <c r="I9335" t="s">
        <v>4909</v>
      </c>
      <c r="J9335" t="s">
        <v>4909</v>
      </c>
      <c r="K9335" t="s">
        <v>4909</v>
      </c>
    </row>
    <row r="9336" spans="1:11" x14ac:dyDescent="0.2">
      <c r="A9336" t="s">
        <v>1885</v>
      </c>
      <c r="B9336" t="s">
        <v>4909</v>
      </c>
      <c r="C9336" t="s">
        <v>4909</v>
      </c>
      <c r="D9336" t="s">
        <v>4909</v>
      </c>
      <c r="E9336" t="s">
        <v>4909</v>
      </c>
      <c r="F9336" t="s">
        <v>4909</v>
      </c>
      <c r="G9336" s="88">
        <v>0</v>
      </c>
      <c r="H9336" s="88">
        <v>0</v>
      </c>
      <c r="I9336" t="s">
        <v>4909</v>
      </c>
      <c r="J9336" t="s">
        <v>4909</v>
      </c>
      <c r="K9336" t="s">
        <v>4909</v>
      </c>
    </row>
    <row r="9337" spans="1:11" x14ac:dyDescent="0.2">
      <c r="A9337" t="s">
        <v>1887</v>
      </c>
      <c r="B9337" t="s">
        <v>4909</v>
      </c>
      <c r="C9337" t="s">
        <v>4909</v>
      </c>
      <c r="D9337" t="s">
        <v>4909</v>
      </c>
      <c r="E9337" t="s">
        <v>4909</v>
      </c>
      <c r="F9337" t="s">
        <v>4909</v>
      </c>
      <c r="G9337" t="s">
        <v>4909</v>
      </c>
      <c r="H9337" t="s">
        <v>4909</v>
      </c>
      <c r="I9337" t="s">
        <v>4909</v>
      </c>
      <c r="J9337" t="s">
        <v>4909</v>
      </c>
      <c r="K9337" t="s">
        <v>4909</v>
      </c>
    </row>
    <row r="9338" spans="1:11" x14ac:dyDescent="0.2">
      <c r="A9338" t="s">
        <v>1893</v>
      </c>
      <c r="B9338" t="s">
        <v>4909</v>
      </c>
      <c r="C9338" t="s">
        <v>4909</v>
      </c>
      <c r="D9338" t="s">
        <v>4909</v>
      </c>
      <c r="E9338" t="s">
        <v>4909</v>
      </c>
      <c r="F9338" t="s">
        <v>4909</v>
      </c>
      <c r="G9338" s="88">
        <v>0</v>
      </c>
      <c r="H9338" s="88">
        <v>0</v>
      </c>
      <c r="I9338" t="s">
        <v>4909</v>
      </c>
      <c r="J9338" t="s">
        <v>4909</v>
      </c>
      <c r="K9338" t="s">
        <v>4909</v>
      </c>
    </row>
    <row r="9339" spans="1:11" x14ac:dyDescent="0.2">
      <c r="A9339" t="s">
        <v>1899</v>
      </c>
      <c r="B9339" t="s">
        <v>4909</v>
      </c>
      <c r="C9339" t="s">
        <v>4909</v>
      </c>
      <c r="D9339" t="s">
        <v>4909</v>
      </c>
      <c r="E9339" t="s">
        <v>4909</v>
      </c>
      <c r="F9339" t="s">
        <v>4909</v>
      </c>
      <c r="G9339" t="s">
        <v>4909</v>
      </c>
      <c r="H9339" t="s">
        <v>4909</v>
      </c>
      <c r="I9339" t="s">
        <v>4909</v>
      </c>
      <c r="J9339" t="s">
        <v>4909</v>
      </c>
      <c r="K9339" t="s">
        <v>4909</v>
      </c>
    </row>
    <row r="9340" spans="1:11" x14ac:dyDescent="0.2">
      <c r="A9340" t="s">
        <v>1906</v>
      </c>
      <c r="B9340" t="s">
        <v>4909</v>
      </c>
      <c r="C9340" t="s">
        <v>4909</v>
      </c>
      <c r="D9340" t="s">
        <v>4909</v>
      </c>
      <c r="E9340" t="s">
        <v>4909</v>
      </c>
      <c r="F9340" t="s">
        <v>4909</v>
      </c>
      <c r="G9340" t="s">
        <v>4909</v>
      </c>
      <c r="H9340" t="s">
        <v>4909</v>
      </c>
      <c r="I9340" t="s">
        <v>4909</v>
      </c>
      <c r="J9340" t="s">
        <v>4909</v>
      </c>
      <c r="K9340" t="s">
        <v>4909</v>
      </c>
    </row>
    <row r="9341" spans="1:11" x14ac:dyDescent="0.2">
      <c r="A9341" t="s">
        <v>1911</v>
      </c>
      <c r="B9341" t="s">
        <v>4909</v>
      </c>
      <c r="C9341" t="s">
        <v>4909</v>
      </c>
      <c r="D9341" t="s">
        <v>4909</v>
      </c>
      <c r="E9341" t="s">
        <v>4909</v>
      </c>
      <c r="F9341" t="s">
        <v>4909</v>
      </c>
      <c r="G9341" t="s">
        <v>4909</v>
      </c>
      <c r="H9341" t="s">
        <v>4909</v>
      </c>
      <c r="I9341" t="s">
        <v>4909</v>
      </c>
      <c r="J9341" t="s">
        <v>4909</v>
      </c>
      <c r="K9341" t="s">
        <v>4909</v>
      </c>
    </row>
    <row r="9342" spans="1:11" x14ac:dyDescent="0.2">
      <c r="A9342" t="s">
        <v>1917</v>
      </c>
      <c r="B9342" t="s">
        <v>4909</v>
      </c>
      <c r="C9342" t="s">
        <v>4909</v>
      </c>
      <c r="D9342" t="s">
        <v>4909</v>
      </c>
      <c r="E9342" t="s">
        <v>4909</v>
      </c>
      <c r="F9342" t="s">
        <v>4909</v>
      </c>
      <c r="G9342" t="s">
        <v>4909</v>
      </c>
      <c r="H9342" t="s">
        <v>4909</v>
      </c>
      <c r="I9342" t="s">
        <v>4909</v>
      </c>
      <c r="J9342" t="s">
        <v>4909</v>
      </c>
      <c r="K9342" t="s">
        <v>4909</v>
      </c>
    </row>
    <row r="9343" spans="1:11" x14ac:dyDescent="0.2">
      <c r="A9343" t="s">
        <v>1922</v>
      </c>
      <c r="B9343" t="s">
        <v>4909</v>
      </c>
      <c r="C9343" t="s">
        <v>4909</v>
      </c>
      <c r="D9343" t="s">
        <v>4909</v>
      </c>
      <c r="E9343" t="s">
        <v>4909</v>
      </c>
      <c r="F9343" t="s">
        <v>4909</v>
      </c>
      <c r="G9343" t="s">
        <v>4909</v>
      </c>
      <c r="H9343" t="s">
        <v>4909</v>
      </c>
      <c r="I9343" t="s">
        <v>4909</v>
      </c>
      <c r="J9343" t="s">
        <v>4909</v>
      </c>
      <c r="K9343" t="s">
        <v>4909</v>
      </c>
    </row>
    <row r="9344" spans="1:11" x14ac:dyDescent="0.2">
      <c r="A9344" t="s">
        <v>1928</v>
      </c>
      <c r="B9344" t="s">
        <v>4909</v>
      </c>
      <c r="C9344" t="s">
        <v>4909</v>
      </c>
      <c r="D9344" t="s">
        <v>4909</v>
      </c>
      <c r="E9344" t="s">
        <v>4909</v>
      </c>
      <c r="F9344" t="s">
        <v>4909</v>
      </c>
      <c r="G9344" t="s">
        <v>4909</v>
      </c>
      <c r="H9344" t="s">
        <v>4909</v>
      </c>
      <c r="I9344" t="s">
        <v>4909</v>
      </c>
      <c r="J9344" t="s">
        <v>4909</v>
      </c>
      <c r="K9344" t="s">
        <v>4909</v>
      </c>
    </row>
    <row r="9345" spans="1:11" x14ac:dyDescent="0.2">
      <c r="A9345" t="s">
        <v>1932</v>
      </c>
      <c r="B9345" t="s">
        <v>4909</v>
      </c>
      <c r="C9345" t="s">
        <v>4909</v>
      </c>
      <c r="D9345" t="s">
        <v>4909</v>
      </c>
      <c r="E9345" t="s">
        <v>4909</v>
      </c>
      <c r="F9345" t="s">
        <v>4909</v>
      </c>
      <c r="G9345" t="s">
        <v>4909</v>
      </c>
      <c r="H9345" t="s">
        <v>4909</v>
      </c>
      <c r="I9345" t="s">
        <v>4909</v>
      </c>
      <c r="J9345" t="s">
        <v>4909</v>
      </c>
      <c r="K9345" t="s">
        <v>4909</v>
      </c>
    </row>
    <row r="9346" spans="1:11" x14ac:dyDescent="0.2">
      <c r="A9346" t="s">
        <v>1938</v>
      </c>
      <c r="B9346" t="s">
        <v>4909</v>
      </c>
      <c r="C9346" t="s">
        <v>4909</v>
      </c>
      <c r="D9346" t="s">
        <v>4909</v>
      </c>
      <c r="E9346" t="s">
        <v>4909</v>
      </c>
      <c r="F9346" t="s">
        <v>4909</v>
      </c>
      <c r="G9346" t="s">
        <v>4909</v>
      </c>
      <c r="H9346" t="s">
        <v>4909</v>
      </c>
      <c r="I9346" t="s">
        <v>4909</v>
      </c>
      <c r="J9346" t="s">
        <v>4909</v>
      </c>
      <c r="K9346" t="s">
        <v>4909</v>
      </c>
    </row>
    <row r="9347" spans="1:11" x14ac:dyDescent="0.2">
      <c r="A9347" t="s">
        <v>1944</v>
      </c>
      <c r="B9347" t="s">
        <v>4909</v>
      </c>
      <c r="C9347" t="s">
        <v>4909</v>
      </c>
      <c r="D9347" t="s">
        <v>4909</v>
      </c>
      <c r="E9347" t="s">
        <v>4909</v>
      </c>
      <c r="F9347" t="s">
        <v>4909</v>
      </c>
      <c r="G9347" s="88">
        <v>0</v>
      </c>
      <c r="H9347" s="88">
        <v>0</v>
      </c>
      <c r="I9347" t="s">
        <v>4909</v>
      </c>
      <c r="J9347" t="s">
        <v>4909</v>
      </c>
      <c r="K9347" t="s">
        <v>4909</v>
      </c>
    </row>
    <row r="9348" spans="1:11" x14ac:dyDescent="0.2">
      <c r="A9348" t="s">
        <v>1947</v>
      </c>
      <c r="B9348" t="s">
        <v>4909</v>
      </c>
      <c r="C9348" t="s">
        <v>4909</v>
      </c>
      <c r="D9348" t="s">
        <v>4909</v>
      </c>
      <c r="E9348" t="s">
        <v>4909</v>
      </c>
      <c r="F9348" t="s">
        <v>4909</v>
      </c>
      <c r="G9348" t="s">
        <v>4909</v>
      </c>
      <c r="H9348" t="s">
        <v>4909</v>
      </c>
      <c r="I9348" t="s">
        <v>4909</v>
      </c>
      <c r="J9348" t="s">
        <v>4909</v>
      </c>
      <c r="K9348" t="s">
        <v>4909</v>
      </c>
    </row>
    <row r="9349" spans="1:11" x14ac:dyDescent="0.2">
      <c r="A9349" t="s">
        <v>1953</v>
      </c>
      <c r="B9349" t="s">
        <v>4909</v>
      </c>
      <c r="C9349" t="s">
        <v>4909</v>
      </c>
      <c r="D9349" t="s">
        <v>4909</v>
      </c>
      <c r="E9349" t="s">
        <v>4909</v>
      </c>
      <c r="F9349" t="s">
        <v>4909</v>
      </c>
      <c r="G9349" t="s">
        <v>4909</v>
      </c>
      <c r="H9349" t="s">
        <v>4909</v>
      </c>
      <c r="I9349" t="s">
        <v>4909</v>
      </c>
      <c r="J9349" t="s">
        <v>4909</v>
      </c>
      <c r="K9349" t="s">
        <v>4909</v>
      </c>
    </row>
    <row r="9350" spans="1:11" x14ac:dyDescent="0.2">
      <c r="A9350" t="s">
        <v>1958</v>
      </c>
      <c r="B9350" t="s">
        <v>4909</v>
      </c>
      <c r="C9350" t="s">
        <v>4909</v>
      </c>
      <c r="D9350" t="s">
        <v>4909</v>
      </c>
      <c r="E9350" t="s">
        <v>4909</v>
      </c>
      <c r="F9350" t="s">
        <v>4909</v>
      </c>
      <c r="G9350" t="s">
        <v>4909</v>
      </c>
      <c r="H9350" t="s">
        <v>4909</v>
      </c>
      <c r="I9350" t="s">
        <v>4909</v>
      </c>
      <c r="J9350" t="s">
        <v>4909</v>
      </c>
      <c r="K9350" t="s">
        <v>4909</v>
      </c>
    </row>
    <row r="9351" spans="1:11" x14ac:dyDescent="0.2">
      <c r="A9351" t="s">
        <v>1964</v>
      </c>
      <c r="B9351" t="s">
        <v>4909</v>
      </c>
      <c r="C9351" t="s">
        <v>4909</v>
      </c>
      <c r="D9351" t="s">
        <v>4909</v>
      </c>
      <c r="E9351" t="s">
        <v>4909</v>
      </c>
      <c r="F9351" t="s">
        <v>4909</v>
      </c>
      <c r="G9351" t="s">
        <v>4909</v>
      </c>
      <c r="H9351" t="s">
        <v>4909</v>
      </c>
      <c r="I9351" t="s">
        <v>4909</v>
      </c>
      <c r="J9351" t="s">
        <v>4909</v>
      </c>
      <c r="K9351" t="s">
        <v>4909</v>
      </c>
    </row>
    <row r="9352" spans="1:11" x14ac:dyDescent="0.2">
      <c r="A9352" t="s">
        <v>1973</v>
      </c>
      <c r="B9352" t="s">
        <v>4909</v>
      </c>
      <c r="C9352" t="s">
        <v>4909</v>
      </c>
      <c r="D9352" t="s">
        <v>4909</v>
      </c>
      <c r="E9352" t="s">
        <v>4909</v>
      </c>
      <c r="F9352" t="s">
        <v>4909</v>
      </c>
      <c r="G9352" t="s">
        <v>4909</v>
      </c>
      <c r="H9352" t="s">
        <v>4909</v>
      </c>
      <c r="I9352" t="s">
        <v>4909</v>
      </c>
      <c r="J9352" t="s">
        <v>4909</v>
      </c>
      <c r="K9352" t="s">
        <v>4909</v>
      </c>
    </row>
    <row r="9353" spans="1:11" x14ac:dyDescent="0.2">
      <c r="A9353" t="s">
        <v>1978</v>
      </c>
      <c r="B9353" t="s">
        <v>4909</v>
      </c>
      <c r="C9353" t="s">
        <v>4909</v>
      </c>
      <c r="D9353" t="s">
        <v>4909</v>
      </c>
      <c r="E9353" t="s">
        <v>4909</v>
      </c>
      <c r="F9353" t="s">
        <v>4909</v>
      </c>
      <c r="G9353" t="s">
        <v>4909</v>
      </c>
      <c r="H9353" t="s">
        <v>4909</v>
      </c>
      <c r="I9353" t="s">
        <v>4909</v>
      </c>
      <c r="J9353" t="s">
        <v>4909</v>
      </c>
      <c r="K9353" t="s">
        <v>4909</v>
      </c>
    </row>
    <row r="9354" spans="1:11" x14ac:dyDescent="0.2">
      <c r="A9354" t="s">
        <v>1983</v>
      </c>
      <c r="B9354" t="s">
        <v>4909</v>
      </c>
      <c r="C9354" t="s">
        <v>4909</v>
      </c>
      <c r="D9354" t="s">
        <v>4909</v>
      </c>
      <c r="E9354" t="s">
        <v>4909</v>
      </c>
      <c r="F9354" t="s">
        <v>4909</v>
      </c>
      <c r="G9354" t="s">
        <v>4909</v>
      </c>
      <c r="H9354" t="s">
        <v>4909</v>
      </c>
      <c r="I9354" t="s">
        <v>4909</v>
      </c>
      <c r="J9354" t="s">
        <v>4909</v>
      </c>
      <c r="K9354" t="s">
        <v>4909</v>
      </c>
    </row>
    <row r="9355" spans="1:11" x14ac:dyDescent="0.2">
      <c r="A9355" t="s">
        <v>1984</v>
      </c>
      <c r="B9355" t="s">
        <v>4909</v>
      </c>
      <c r="C9355" t="s">
        <v>4909</v>
      </c>
      <c r="D9355" t="s">
        <v>4909</v>
      </c>
      <c r="E9355" t="s">
        <v>4909</v>
      </c>
      <c r="F9355" t="s">
        <v>4909</v>
      </c>
      <c r="G9355" t="s">
        <v>4909</v>
      </c>
      <c r="H9355" t="s">
        <v>4909</v>
      </c>
      <c r="I9355" t="s">
        <v>4909</v>
      </c>
      <c r="J9355" t="s">
        <v>4909</v>
      </c>
      <c r="K9355" t="s">
        <v>4909</v>
      </c>
    </row>
    <row r="9356" spans="1:11" x14ac:dyDescent="0.2">
      <c r="A9356" t="s">
        <v>1990</v>
      </c>
      <c r="B9356" t="s">
        <v>4909</v>
      </c>
      <c r="C9356" t="s">
        <v>4909</v>
      </c>
      <c r="D9356" t="s">
        <v>4909</v>
      </c>
      <c r="E9356" t="s">
        <v>4909</v>
      </c>
      <c r="F9356" t="s">
        <v>4909</v>
      </c>
      <c r="G9356" t="s">
        <v>4909</v>
      </c>
      <c r="H9356" t="s">
        <v>4909</v>
      </c>
      <c r="I9356" t="s">
        <v>4909</v>
      </c>
      <c r="J9356" t="s">
        <v>4909</v>
      </c>
      <c r="K9356" t="s">
        <v>4909</v>
      </c>
    </row>
    <row r="9357" spans="1:11" x14ac:dyDescent="0.2">
      <c r="A9357" t="s">
        <v>1996</v>
      </c>
      <c r="B9357" t="s">
        <v>4909</v>
      </c>
      <c r="C9357" t="s">
        <v>4909</v>
      </c>
      <c r="D9357" t="s">
        <v>4909</v>
      </c>
      <c r="E9357" t="s">
        <v>4909</v>
      </c>
      <c r="F9357" t="s">
        <v>4909</v>
      </c>
      <c r="G9357" t="s">
        <v>4909</v>
      </c>
      <c r="H9357" t="s">
        <v>4909</v>
      </c>
      <c r="I9357" t="s">
        <v>4909</v>
      </c>
      <c r="J9357" t="s">
        <v>4909</v>
      </c>
      <c r="K9357" t="s">
        <v>4909</v>
      </c>
    </row>
    <row r="9358" spans="1:11" x14ac:dyDescent="0.2">
      <c r="A9358" t="s">
        <v>1998</v>
      </c>
      <c r="B9358" t="s">
        <v>4909</v>
      </c>
      <c r="C9358" t="s">
        <v>4909</v>
      </c>
      <c r="D9358" t="s">
        <v>4909</v>
      </c>
      <c r="E9358" t="s">
        <v>4909</v>
      </c>
      <c r="F9358" t="s">
        <v>4909</v>
      </c>
      <c r="G9358" t="s">
        <v>4909</v>
      </c>
      <c r="H9358" t="s">
        <v>4909</v>
      </c>
      <c r="I9358" t="s">
        <v>4909</v>
      </c>
      <c r="J9358" t="s">
        <v>4909</v>
      </c>
      <c r="K9358" t="s">
        <v>4909</v>
      </c>
    </row>
    <row r="9359" spans="1:11" x14ac:dyDescent="0.2">
      <c r="A9359" t="s">
        <v>1999</v>
      </c>
      <c r="B9359" t="s">
        <v>4909</v>
      </c>
      <c r="C9359" t="s">
        <v>4909</v>
      </c>
      <c r="D9359" t="s">
        <v>4909</v>
      </c>
      <c r="E9359" t="s">
        <v>4909</v>
      </c>
      <c r="F9359" t="s">
        <v>4909</v>
      </c>
      <c r="G9359" t="s">
        <v>4909</v>
      </c>
      <c r="H9359" t="s">
        <v>4909</v>
      </c>
      <c r="I9359" t="s">
        <v>4909</v>
      </c>
      <c r="J9359" t="s">
        <v>4909</v>
      </c>
      <c r="K9359" t="s">
        <v>4909</v>
      </c>
    </row>
    <row r="9360" spans="1:11" x14ac:dyDescent="0.2">
      <c r="A9360" t="s">
        <v>2004</v>
      </c>
      <c r="B9360" t="s">
        <v>4909</v>
      </c>
      <c r="C9360" t="s">
        <v>4909</v>
      </c>
      <c r="D9360" t="s">
        <v>4909</v>
      </c>
      <c r="E9360" t="s">
        <v>4909</v>
      </c>
      <c r="F9360" t="s">
        <v>4909</v>
      </c>
      <c r="G9360" t="s">
        <v>4909</v>
      </c>
      <c r="H9360" t="s">
        <v>4909</v>
      </c>
      <c r="I9360" t="s">
        <v>4909</v>
      </c>
      <c r="J9360" t="s">
        <v>4909</v>
      </c>
      <c r="K9360" t="s">
        <v>4909</v>
      </c>
    </row>
    <row r="9361" spans="1:11" x14ac:dyDescent="0.2">
      <c r="A9361" t="s">
        <v>2009</v>
      </c>
      <c r="B9361" t="s">
        <v>4909</v>
      </c>
      <c r="C9361" t="s">
        <v>4909</v>
      </c>
      <c r="D9361" t="s">
        <v>4909</v>
      </c>
      <c r="E9361" t="s">
        <v>4909</v>
      </c>
      <c r="F9361" t="s">
        <v>4909</v>
      </c>
      <c r="G9361" t="s">
        <v>4909</v>
      </c>
      <c r="H9361" t="s">
        <v>4909</v>
      </c>
      <c r="I9361" t="s">
        <v>4909</v>
      </c>
      <c r="J9361" t="s">
        <v>4909</v>
      </c>
      <c r="K9361" t="s">
        <v>4909</v>
      </c>
    </row>
    <row r="9362" spans="1:11" x14ac:dyDescent="0.2">
      <c r="A9362" t="s">
        <v>2014</v>
      </c>
      <c r="B9362" t="s">
        <v>4909</v>
      </c>
      <c r="C9362" t="s">
        <v>4909</v>
      </c>
      <c r="D9362" t="s">
        <v>4909</v>
      </c>
      <c r="E9362" t="s">
        <v>4909</v>
      </c>
      <c r="F9362" t="s">
        <v>4909</v>
      </c>
      <c r="G9362" t="s">
        <v>4909</v>
      </c>
      <c r="H9362" t="s">
        <v>4909</v>
      </c>
      <c r="I9362" t="s">
        <v>4909</v>
      </c>
      <c r="J9362" t="s">
        <v>4909</v>
      </c>
      <c r="K9362" t="s">
        <v>4909</v>
      </c>
    </row>
    <row r="9363" spans="1:11" x14ac:dyDescent="0.2">
      <c r="A9363" t="s">
        <v>2019</v>
      </c>
      <c r="B9363" t="s">
        <v>4909</v>
      </c>
      <c r="C9363" t="s">
        <v>4909</v>
      </c>
      <c r="D9363" t="s">
        <v>4909</v>
      </c>
      <c r="E9363" t="s">
        <v>4909</v>
      </c>
      <c r="F9363" t="s">
        <v>4909</v>
      </c>
      <c r="G9363" t="s">
        <v>4909</v>
      </c>
      <c r="H9363" t="s">
        <v>4909</v>
      </c>
      <c r="I9363" t="s">
        <v>4909</v>
      </c>
      <c r="J9363" t="s">
        <v>4909</v>
      </c>
      <c r="K9363" t="s">
        <v>4909</v>
      </c>
    </row>
    <row r="9364" spans="1:11" x14ac:dyDescent="0.2">
      <c r="A9364" t="s">
        <v>2023</v>
      </c>
      <c r="B9364" t="s">
        <v>4909</v>
      </c>
      <c r="C9364" t="s">
        <v>4909</v>
      </c>
      <c r="D9364" t="s">
        <v>4909</v>
      </c>
      <c r="E9364" t="s">
        <v>4909</v>
      </c>
      <c r="F9364" t="s">
        <v>4909</v>
      </c>
      <c r="G9364" t="s">
        <v>4909</v>
      </c>
      <c r="H9364" t="s">
        <v>4909</v>
      </c>
      <c r="I9364" t="s">
        <v>4909</v>
      </c>
      <c r="J9364" t="s">
        <v>4909</v>
      </c>
      <c r="K9364" t="s">
        <v>4909</v>
      </c>
    </row>
    <row r="9365" spans="1:11" x14ac:dyDescent="0.2">
      <c r="A9365" t="s">
        <v>2026</v>
      </c>
      <c r="B9365" t="s">
        <v>4909</v>
      </c>
      <c r="C9365" t="s">
        <v>4909</v>
      </c>
      <c r="D9365" t="s">
        <v>4909</v>
      </c>
      <c r="E9365" t="s">
        <v>4909</v>
      </c>
      <c r="F9365" t="s">
        <v>4909</v>
      </c>
      <c r="G9365" t="s">
        <v>4909</v>
      </c>
      <c r="H9365" t="s">
        <v>4909</v>
      </c>
      <c r="I9365" t="s">
        <v>4909</v>
      </c>
      <c r="J9365" t="s">
        <v>4909</v>
      </c>
      <c r="K9365" t="s">
        <v>4909</v>
      </c>
    </row>
    <row r="9366" spans="1:11" x14ac:dyDescent="0.2">
      <c r="A9366" t="s">
        <v>2030</v>
      </c>
      <c r="B9366" t="s">
        <v>4909</v>
      </c>
      <c r="C9366" t="s">
        <v>4909</v>
      </c>
      <c r="D9366" t="s">
        <v>4909</v>
      </c>
      <c r="E9366" t="s">
        <v>4909</v>
      </c>
      <c r="F9366" t="s">
        <v>4909</v>
      </c>
      <c r="G9366" t="s">
        <v>4909</v>
      </c>
      <c r="H9366" t="s">
        <v>4909</v>
      </c>
      <c r="I9366" t="s">
        <v>4909</v>
      </c>
      <c r="J9366" t="s">
        <v>4909</v>
      </c>
      <c r="K9366" t="s">
        <v>4909</v>
      </c>
    </row>
    <row r="9367" spans="1:11" x14ac:dyDescent="0.2">
      <c r="A9367" t="s">
        <v>2035</v>
      </c>
      <c r="B9367" t="s">
        <v>4909</v>
      </c>
      <c r="C9367" t="s">
        <v>4909</v>
      </c>
      <c r="D9367" t="s">
        <v>4909</v>
      </c>
      <c r="E9367" t="s">
        <v>4909</v>
      </c>
      <c r="F9367" t="s">
        <v>4909</v>
      </c>
      <c r="G9367" t="s">
        <v>4909</v>
      </c>
      <c r="H9367" t="s">
        <v>4909</v>
      </c>
      <c r="I9367" t="s">
        <v>4909</v>
      </c>
      <c r="J9367" t="s">
        <v>4909</v>
      </c>
      <c r="K9367" t="s">
        <v>4909</v>
      </c>
    </row>
    <row r="9368" spans="1:11" x14ac:dyDescent="0.2">
      <c r="A9368" t="s">
        <v>2040</v>
      </c>
      <c r="B9368" t="s">
        <v>4909</v>
      </c>
      <c r="C9368" t="s">
        <v>4909</v>
      </c>
      <c r="D9368" t="s">
        <v>4909</v>
      </c>
      <c r="E9368" t="s">
        <v>4909</v>
      </c>
      <c r="F9368" t="s">
        <v>4909</v>
      </c>
      <c r="G9368" t="s">
        <v>4909</v>
      </c>
      <c r="H9368" t="s">
        <v>4909</v>
      </c>
      <c r="I9368" t="s">
        <v>4909</v>
      </c>
      <c r="J9368" t="s">
        <v>4909</v>
      </c>
      <c r="K9368" t="s">
        <v>4909</v>
      </c>
    </row>
    <row r="9369" spans="1:11" x14ac:dyDescent="0.2">
      <c r="A9369" t="s">
        <v>2045</v>
      </c>
      <c r="B9369" t="s">
        <v>4909</v>
      </c>
      <c r="C9369" t="s">
        <v>4909</v>
      </c>
      <c r="D9369" t="s">
        <v>4909</v>
      </c>
      <c r="E9369" t="s">
        <v>4909</v>
      </c>
      <c r="F9369" t="s">
        <v>4909</v>
      </c>
      <c r="G9369" t="s">
        <v>4909</v>
      </c>
      <c r="H9369" t="s">
        <v>4909</v>
      </c>
      <c r="I9369" t="s">
        <v>4909</v>
      </c>
      <c r="J9369" t="s">
        <v>4909</v>
      </c>
      <c r="K9369" t="s">
        <v>4909</v>
      </c>
    </row>
    <row r="9370" spans="1:11" x14ac:dyDescent="0.2">
      <c r="A9370" t="s">
        <v>2049</v>
      </c>
      <c r="B9370" t="s">
        <v>4909</v>
      </c>
      <c r="C9370" t="s">
        <v>4909</v>
      </c>
      <c r="D9370" t="s">
        <v>4909</v>
      </c>
      <c r="E9370" t="s">
        <v>4909</v>
      </c>
      <c r="F9370" t="s">
        <v>4909</v>
      </c>
      <c r="G9370" t="s">
        <v>4909</v>
      </c>
      <c r="H9370" t="s">
        <v>4909</v>
      </c>
      <c r="I9370" t="s">
        <v>4909</v>
      </c>
      <c r="J9370" t="s">
        <v>4909</v>
      </c>
      <c r="K9370" t="s">
        <v>4909</v>
      </c>
    </row>
    <row r="9371" spans="1:11" x14ac:dyDescent="0.2">
      <c r="A9371" t="s">
        <v>2051</v>
      </c>
      <c r="B9371" t="s">
        <v>4909</v>
      </c>
      <c r="C9371" t="s">
        <v>4909</v>
      </c>
      <c r="D9371" t="s">
        <v>4909</v>
      </c>
      <c r="E9371" t="s">
        <v>4909</v>
      </c>
      <c r="F9371" t="s">
        <v>4909</v>
      </c>
      <c r="G9371" t="s">
        <v>4909</v>
      </c>
      <c r="H9371" t="s">
        <v>4909</v>
      </c>
      <c r="I9371" t="s">
        <v>4909</v>
      </c>
      <c r="J9371" t="s">
        <v>4909</v>
      </c>
      <c r="K9371" t="s">
        <v>4909</v>
      </c>
    </row>
    <row r="9372" spans="1:11" x14ac:dyDescent="0.2">
      <c r="A9372" t="s">
        <v>2057</v>
      </c>
      <c r="B9372" t="s">
        <v>4909</v>
      </c>
      <c r="C9372" t="s">
        <v>4909</v>
      </c>
      <c r="D9372" t="s">
        <v>4909</v>
      </c>
      <c r="E9372" t="s">
        <v>4909</v>
      </c>
      <c r="F9372" t="s">
        <v>4909</v>
      </c>
      <c r="G9372" t="s">
        <v>4909</v>
      </c>
      <c r="H9372" t="s">
        <v>4909</v>
      </c>
      <c r="I9372" t="s">
        <v>4909</v>
      </c>
      <c r="J9372" t="s">
        <v>4909</v>
      </c>
      <c r="K9372" t="s">
        <v>4909</v>
      </c>
    </row>
    <row r="9373" spans="1:11" x14ac:dyDescent="0.2">
      <c r="A9373" t="s">
        <v>4344</v>
      </c>
      <c r="B9373" t="s">
        <v>4909</v>
      </c>
      <c r="C9373" t="s">
        <v>4909</v>
      </c>
      <c r="D9373" t="s">
        <v>4909</v>
      </c>
      <c r="E9373" t="s">
        <v>4909</v>
      </c>
      <c r="F9373" t="s">
        <v>4909</v>
      </c>
      <c r="G9373" t="s">
        <v>4909</v>
      </c>
      <c r="H9373" t="s">
        <v>4909</v>
      </c>
      <c r="I9373" t="s">
        <v>4909</v>
      </c>
      <c r="J9373" t="s">
        <v>4909</v>
      </c>
      <c r="K9373" t="s">
        <v>4909</v>
      </c>
    </row>
    <row r="9374" spans="1:11" x14ac:dyDescent="0.2">
      <c r="A9374" t="s">
        <v>4345</v>
      </c>
      <c r="B9374" t="s">
        <v>4909</v>
      </c>
      <c r="C9374" t="s">
        <v>4909</v>
      </c>
      <c r="D9374" t="s">
        <v>4909</v>
      </c>
      <c r="E9374" t="s">
        <v>4909</v>
      </c>
      <c r="F9374" t="s">
        <v>4909</v>
      </c>
      <c r="G9374" t="s">
        <v>4909</v>
      </c>
      <c r="H9374" t="s">
        <v>4909</v>
      </c>
      <c r="I9374" t="s">
        <v>4909</v>
      </c>
      <c r="J9374" t="s">
        <v>4909</v>
      </c>
      <c r="K9374" t="s">
        <v>4909</v>
      </c>
    </row>
    <row r="9375" spans="1:11" x14ac:dyDescent="0.2">
      <c r="A9375" t="s">
        <v>2074</v>
      </c>
      <c r="B9375" t="s">
        <v>4909</v>
      </c>
      <c r="C9375" t="s">
        <v>4909</v>
      </c>
      <c r="D9375" t="s">
        <v>4909</v>
      </c>
      <c r="E9375" t="s">
        <v>4909</v>
      </c>
      <c r="F9375" t="s">
        <v>4909</v>
      </c>
      <c r="G9375" t="s">
        <v>4909</v>
      </c>
      <c r="H9375" t="s">
        <v>4909</v>
      </c>
      <c r="I9375" t="s">
        <v>4909</v>
      </c>
      <c r="J9375" t="s">
        <v>4909</v>
      </c>
      <c r="K9375" t="s">
        <v>4909</v>
      </c>
    </row>
    <row r="9376" spans="1:11" x14ac:dyDescent="0.2">
      <c r="A9376" t="s">
        <v>2079</v>
      </c>
      <c r="B9376" t="s">
        <v>4909</v>
      </c>
      <c r="C9376" t="s">
        <v>4909</v>
      </c>
      <c r="D9376" t="s">
        <v>4909</v>
      </c>
      <c r="E9376" t="s">
        <v>4909</v>
      </c>
      <c r="F9376" t="s">
        <v>4909</v>
      </c>
      <c r="G9376" t="s">
        <v>4909</v>
      </c>
      <c r="H9376" t="s">
        <v>4909</v>
      </c>
      <c r="I9376" t="s">
        <v>4909</v>
      </c>
      <c r="J9376" t="s">
        <v>4909</v>
      </c>
      <c r="K9376" t="s">
        <v>4909</v>
      </c>
    </row>
    <row r="9377" spans="1:11" x14ac:dyDescent="0.2">
      <c r="A9377" t="s">
        <v>2085</v>
      </c>
      <c r="B9377" t="s">
        <v>4909</v>
      </c>
      <c r="C9377" t="s">
        <v>4909</v>
      </c>
      <c r="D9377" t="s">
        <v>4909</v>
      </c>
      <c r="E9377" t="s">
        <v>4909</v>
      </c>
      <c r="F9377" t="s">
        <v>4909</v>
      </c>
      <c r="G9377" t="s">
        <v>4909</v>
      </c>
      <c r="H9377" t="s">
        <v>4909</v>
      </c>
      <c r="I9377" t="s">
        <v>4909</v>
      </c>
      <c r="J9377" t="s">
        <v>4909</v>
      </c>
      <c r="K9377" t="s">
        <v>4909</v>
      </c>
    </row>
    <row r="9378" spans="1:11" x14ac:dyDescent="0.2">
      <c r="A9378" t="s">
        <v>2091</v>
      </c>
      <c r="B9378" t="s">
        <v>4909</v>
      </c>
      <c r="C9378" t="s">
        <v>4909</v>
      </c>
      <c r="D9378" t="s">
        <v>4909</v>
      </c>
      <c r="E9378" t="s">
        <v>4909</v>
      </c>
      <c r="F9378" t="s">
        <v>4909</v>
      </c>
      <c r="G9378" t="s">
        <v>4909</v>
      </c>
      <c r="H9378" t="s">
        <v>4909</v>
      </c>
      <c r="I9378" t="s">
        <v>4909</v>
      </c>
      <c r="J9378" t="s">
        <v>4909</v>
      </c>
      <c r="K9378" t="s">
        <v>4909</v>
      </c>
    </row>
    <row r="9379" spans="1:11" x14ac:dyDescent="0.2">
      <c r="A9379" t="s">
        <v>2097</v>
      </c>
      <c r="B9379" t="s">
        <v>4909</v>
      </c>
      <c r="C9379" t="s">
        <v>4909</v>
      </c>
      <c r="D9379" t="s">
        <v>4909</v>
      </c>
      <c r="E9379" t="s">
        <v>4909</v>
      </c>
      <c r="F9379" t="s">
        <v>4909</v>
      </c>
      <c r="G9379" t="s">
        <v>4909</v>
      </c>
      <c r="H9379" t="s">
        <v>4909</v>
      </c>
      <c r="I9379" t="s">
        <v>4909</v>
      </c>
      <c r="J9379" t="s">
        <v>4909</v>
      </c>
      <c r="K9379" t="s">
        <v>4909</v>
      </c>
    </row>
    <row r="9380" spans="1:11" x14ac:dyDescent="0.2">
      <c r="A9380" t="s">
        <v>2101</v>
      </c>
      <c r="B9380" t="s">
        <v>4909</v>
      </c>
      <c r="C9380" t="s">
        <v>4909</v>
      </c>
      <c r="D9380" t="s">
        <v>4909</v>
      </c>
      <c r="E9380" t="s">
        <v>4909</v>
      </c>
      <c r="F9380" t="s">
        <v>4909</v>
      </c>
      <c r="G9380" t="s">
        <v>4909</v>
      </c>
      <c r="H9380" t="s">
        <v>4909</v>
      </c>
      <c r="I9380" t="s">
        <v>4909</v>
      </c>
      <c r="J9380" t="s">
        <v>4909</v>
      </c>
      <c r="K9380" t="s">
        <v>4909</v>
      </c>
    </row>
    <row r="9381" spans="1:11" x14ac:dyDescent="0.2">
      <c r="A9381" t="s">
        <v>2104</v>
      </c>
      <c r="B9381" t="s">
        <v>4909</v>
      </c>
      <c r="C9381" t="s">
        <v>4909</v>
      </c>
      <c r="D9381" t="s">
        <v>4909</v>
      </c>
      <c r="E9381" t="s">
        <v>4909</v>
      </c>
      <c r="F9381" t="s">
        <v>4909</v>
      </c>
      <c r="G9381" t="s">
        <v>4909</v>
      </c>
      <c r="H9381" t="s">
        <v>4909</v>
      </c>
      <c r="I9381" t="s">
        <v>4909</v>
      </c>
      <c r="J9381" t="s">
        <v>4909</v>
      </c>
      <c r="K9381" t="s">
        <v>4909</v>
      </c>
    </row>
    <row r="9382" spans="1:11" x14ac:dyDescent="0.2">
      <c r="A9382" t="s">
        <v>2107</v>
      </c>
      <c r="B9382" t="s">
        <v>4909</v>
      </c>
      <c r="C9382" t="s">
        <v>4909</v>
      </c>
      <c r="D9382" t="s">
        <v>4909</v>
      </c>
      <c r="E9382" t="s">
        <v>4909</v>
      </c>
      <c r="F9382" t="s">
        <v>4909</v>
      </c>
      <c r="G9382" t="s">
        <v>4909</v>
      </c>
      <c r="H9382" t="s">
        <v>4909</v>
      </c>
      <c r="I9382" t="s">
        <v>4909</v>
      </c>
      <c r="J9382" t="s">
        <v>4909</v>
      </c>
      <c r="K9382" t="s">
        <v>4909</v>
      </c>
    </row>
    <row r="9383" spans="1:11" x14ac:dyDescent="0.2">
      <c r="A9383" t="s">
        <v>2110</v>
      </c>
      <c r="B9383" t="s">
        <v>4909</v>
      </c>
      <c r="C9383" t="s">
        <v>4909</v>
      </c>
      <c r="D9383" t="s">
        <v>4909</v>
      </c>
      <c r="E9383" t="s">
        <v>4909</v>
      </c>
      <c r="F9383" t="s">
        <v>4909</v>
      </c>
      <c r="G9383" t="s">
        <v>4909</v>
      </c>
      <c r="H9383" t="s">
        <v>4909</v>
      </c>
      <c r="I9383" t="s">
        <v>4909</v>
      </c>
      <c r="J9383" t="s">
        <v>4909</v>
      </c>
      <c r="K9383" t="s">
        <v>4909</v>
      </c>
    </row>
    <row r="9384" spans="1:11" x14ac:dyDescent="0.2">
      <c r="A9384" t="s">
        <v>2113</v>
      </c>
      <c r="B9384" t="s">
        <v>4909</v>
      </c>
      <c r="C9384" t="s">
        <v>4909</v>
      </c>
      <c r="D9384" t="s">
        <v>4909</v>
      </c>
      <c r="E9384" t="s">
        <v>4909</v>
      </c>
      <c r="F9384" t="s">
        <v>4909</v>
      </c>
      <c r="G9384" t="s">
        <v>4909</v>
      </c>
      <c r="H9384" t="s">
        <v>4909</v>
      </c>
      <c r="I9384" t="s">
        <v>4909</v>
      </c>
      <c r="J9384" t="s">
        <v>4909</v>
      </c>
      <c r="K9384" t="s">
        <v>4909</v>
      </c>
    </row>
    <row r="9385" spans="1:11" x14ac:dyDescent="0.2">
      <c r="A9385" t="s">
        <v>4346</v>
      </c>
      <c r="B9385" t="s">
        <v>4909</v>
      </c>
      <c r="C9385" t="s">
        <v>4909</v>
      </c>
      <c r="D9385" t="s">
        <v>4909</v>
      </c>
      <c r="E9385" t="s">
        <v>4909</v>
      </c>
      <c r="F9385" t="s">
        <v>4909</v>
      </c>
      <c r="G9385" t="s">
        <v>4909</v>
      </c>
      <c r="H9385" t="s">
        <v>4909</v>
      </c>
      <c r="I9385" t="s">
        <v>4909</v>
      </c>
      <c r="J9385" t="s">
        <v>4909</v>
      </c>
      <c r="K9385" t="s">
        <v>4909</v>
      </c>
    </row>
    <row r="9386" spans="1:11" x14ac:dyDescent="0.2">
      <c r="A9386" t="s">
        <v>4347</v>
      </c>
      <c r="B9386" t="s">
        <v>4909</v>
      </c>
      <c r="C9386" t="s">
        <v>4909</v>
      </c>
      <c r="D9386" t="s">
        <v>4909</v>
      </c>
      <c r="E9386" t="s">
        <v>4909</v>
      </c>
      <c r="F9386" t="s">
        <v>4909</v>
      </c>
      <c r="G9386" t="s">
        <v>4909</v>
      </c>
      <c r="H9386" t="s">
        <v>4909</v>
      </c>
      <c r="I9386" t="s">
        <v>4909</v>
      </c>
      <c r="J9386" t="s">
        <v>4909</v>
      </c>
      <c r="K9386" t="s">
        <v>4909</v>
      </c>
    </row>
    <row r="9387" spans="1:11" x14ac:dyDescent="0.2">
      <c r="A9387" t="s">
        <v>4348</v>
      </c>
      <c r="B9387" t="s">
        <v>4909</v>
      </c>
      <c r="C9387" t="s">
        <v>4909</v>
      </c>
      <c r="D9387" t="s">
        <v>4909</v>
      </c>
      <c r="E9387" t="s">
        <v>4909</v>
      </c>
      <c r="F9387" t="s">
        <v>4909</v>
      </c>
      <c r="G9387" t="s">
        <v>4909</v>
      </c>
      <c r="H9387" t="s">
        <v>4909</v>
      </c>
      <c r="I9387" t="s">
        <v>4909</v>
      </c>
      <c r="J9387" t="s">
        <v>4909</v>
      </c>
      <c r="K9387" t="s">
        <v>4909</v>
      </c>
    </row>
    <row r="9388" spans="1:11" x14ac:dyDescent="0.2">
      <c r="A9388" t="s">
        <v>4349</v>
      </c>
      <c r="B9388" t="s">
        <v>4909</v>
      </c>
      <c r="C9388" t="s">
        <v>4909</v>
      </c>
      <c r="D9388" t="s">
        <v>4909</v>
      </c>
      <c r="E9388" t="s">
        <v>4909</v>
      </c>
      <c r="F9388" t="s">
        <v>4909</v>
      </c>
      <c r="G9388" t="s">
        <v>4909</v>
      </c>
      <c r="H9388" t="s">
        <v>4909</v>
      </c>
      <c r="I9388" t="s">
        <v>4909</v>
      </c>
      <c r="J9388" s="88">
        <v>0.01</v>
      </c>
      <c r="K9388" s="88">
        <v>7.0999999999999994E-2</v>
      </c>
    </row>
    <row r="9389" spans="1:11" x14ac:dyDescent="0.2">
      <c r="A9389" t="s">
        <v>4350</v>
      </c>
      <c r="B9389" t="s">
        <v>4909</v>
      </c>
      <c r="C9389" t="s">
        <v>4909</v>
      </c>
      <c r="D9389" t="s">
        <v>4909</v>
      </c>
      <c r="E9389" t="s">
        <v>4909</v>
      </c>
      <c r="F9389" s="88">
        <v>0</v>
      </c>
      <c r="G9389" s="88">
        <v>0</v>
      </c>
      <c r="H9389" s="88">
        <v>0</v>
      </c>
      <c r="I9389" t="s">
        <v>4909</v>
      </c>
      <c r="J9389" s="88">
        <v>0</v>
      </c>
      <c r="K9389" s="88">
        <v>0</v>
      </c>
    </row>
    <row r="9390" spans="1:11" x14ac:dyDescent="0.2">
      <c r="A9390" t="s">
        <v>4351</v>
      </c>
      <c r="B9390" t="s">
        <v>4909</v>
      </c>
      <c r="C9390" t="s">
        <v>4909</v>
      </c>
      <c r="D9390" t="s">
        <v>4909</v>
      </c>
      <c r="E9390" t="s">
        <v>4909</v>
      </c>
      <c r="F9390" t="s">
        <v>4909</v>
      </c>
      <c r="G9390" t="s">
        <v>4909</v>
      </c>
      <c r="H9390" t="s">
        <v>4909</v>
      </c>
      <c r="I9390" t="s">
        <v>4909</v>
      </c>
      <c r="J9390" t="s">
        <v>4909</v>
      </c>
      <c r="K9390" t="s">
        <v>4909</v>
      </c>
    </row>
    <row r="9391" spans="1:11" x14ac:dyDescent="0.2">
      <c r="A9391" t="s">
        <v>4352</v>
      </c>
      <c r="B9391" t="s">
        <v>4909</v>
      </c>
      <c r="C9391" t="s">
        <v>4909</v>
      </c>
      <c r="D9391" t="s">
        <v>4909</v>
      </c>
      <c r="E9391" t="s">
        <v>4909</v>
      </c>
      <c r="F9391" t="s">
        <v>4909</v>
      </c>
      <c r="G9391" t="s">
        <v>4909</v>
      </c>
      <c r="H9391" t="s">
        <v>4909</v>
      </c>
      <c r="I9391" t="s">
        <v>4909</v>
      </c>
      <c r="J9391" t="s">
        <v>4909</v>
      </c>
      <c r="K9391" t="s">
        <v>4909</v>
      </c>
    </row>
    <row r="9392" spans="1:11" x14ac:dyDescent="0.2">
      <c r="A9392" t="s">
        <v>4353</v>
      </c>
      <c r="B9392" t="s">
        <v>4909</v>
      </c>
      <c r="C9392" t="s">
        <v>4909</v>
      </c>
      <c r="D9392" t="s">
        <v>4909</v>
      </c>
      <c r="E9392" t="s">
        <v>4909</v>
      </c>
      <c r="F9392" t="s">
        <v>4909</v>
      </c>
      <c r="G9392" s="88">
        <v>4.0000000000000001E-3</v>
      </c>
      <c r="H9392" s="88">
        <v>4.0000000000000001E-3</v>
      </c>
      <c r="I9392" t="s">
        <v>4909</v>
      </c>
      <c r="J9392" t="s">
        <v>4909</v>
      </c>
      <c r="K9392" s="88">
        <v>2E-3</v>
      </c>
    </row>
    <row r="9393" spans="1:11" x14ac:dyDescent="0.2">
      <c r="A9393" t="s">
        <v>4354</v>
      </c>
      <c r="B9393" t="s">
        <v>4909</v>
      </c>
      <c r="C9393" t="s">
        <v>4909</v>
      </c>
      <c r="D9393" t="s">
        <v>4909</v>
      </c>
      <c r="E9393" t="s">
        <v>4909</v>
      </c>
      <c r="F9393" s="88">
        <v>0</v>
      </c>
      <c r="G9393" s="88">
        <v>3.0000000000000001E-3</v>
      </c>
      <c r="H9393" s="88">
        <v>3.0000000000000001E-3</v>
      </c>
      <c r="I9393" t="s">
        <v>4909</v>
      </c>
      <c r="J9393" t="s">
        <v>4909</v>
      </c>
      <c r="K9393" s="88">
        <v>1E-3</v>
      </c>
    </row>
    <row r="9394" spans="1:11" x14ac:dyDescent="0.2">
      <c r="A9394" t="s">
        <v>4355</v>
      </c>
      <c r="B9394" t="s">
        <v>4909</v>
      </c>
      <c r="C9394" t="s">
        <v>4909</v>
      </c>
      <c r="D9394" t="s">
        <v>4909</v>
      </c>
      <c r="E9394" t="s">
        <v>4909</v>
      </c>
      <c r="F9394" t="s">
        <v>4909</v>
      </c>
      <c r="G9394" t="s">
        <v>4909</v>
      </c>
      <c r="H9394" t="s">
        <v>4909</v>
      </c>
      <c r="I9394" t="s">
        <v>4909</v>
      </c>
      <c r="J9394" t="s">
        <v>4909</v>
      </c>
      <c r="K9394" t="s">
        <v>4909</v>
      </c>
    </row>
    <row r="9395" spans="1:11" x14ac:dyDescent="0.2">
      <c r="A9395" t="s">
        <v>4356</v>
      </c>
      <c r="B9395" t="s">
        <v>4909</v>
      </c>
      <c r="C9395" t="s">
        <v>4909</v>
      </c>
      <c r="D9395" t="s">
        <v>4909</v>
      </c>
      <c r="E9395" t="s">
        <v>4909</v>
      </c>
      <c r="F9395" t="s">
        <v>4909</v>
      </c>
      <c r="G9395" t="s">
        <v>4909</v>
      </c>
      <c r="H9395" t="s">
        <v>4909</v>
      </c>
      <c r="I9395" t="s">
        <v>4909</v>
      </c>
      <c r="J9395" t="s">
        <v>4909</v>
      </c>
      <c r="K9395" t="s">
        <v>4909</v>
      </c>
    </row>
    <row r="9396" spans="1:11" x14ac:dyDescent="0.2">
      <c r="A9396" t="s">
        <v>4357</v>
      </c>
      <c r="B9396" t="s">
        <v>4909</v>
      </c>
      <c r="C9396" t="s">
        <v>4909</v>
      </c>
      <c r="D9396" t="s">
        <v>4909</v>
      </c>
      <c r="E9396" t="s">
        <v>4909</v>
      </c>
      <c r="F9396" t="s">
        <v>4909</v>
      </c>
      <c r="G9396" t="s">
        <v>4909</v>
      </c>
      <c r="H9396" t="s">
        <v>4909</v>
      </c>
      <c r="I9396" t="s">
        <v>4909</v>
      </c>
      <c r="J9396" t="s">
        <v>4909</v>
      </c>
      <c r="K9396" t="s">
        <v>4909</v>
      </c>
    </row>
    <row r="9397" spans="1:11" x14ac:dyDescent="0.2">
      <c r="A9397" t="s">
        <v>4358</v>
      </c>
      <c r="B9397" t="s">
        <v>4909</v>
      </c>
      <c r="C9397" t="s">
        <v>4909</v>
      </c>
      <c r="D9397" t="s">
        <v>4909</v>
      </c>
      <c r="E9397" t="s">
        <v>4909</v>
      </c>
      <c r="F9397" s="88">
        <v>0</v>
      </c>
      <c r="G9397" s="88">
        <v>1E-3</v>
      </c>
      <c r="H9397" s="88">
        <v>1E-3</v>
      </c>
      <c r="I9397" t="s">
        <v>4909</v>
      </c>
      <c r="J9397" s="88">
        <v>0</v>
      </c>
      <c r="K9397" s="88">
        <v>0</v>
      </c>
    </row>
    <row r="9398" spans="1:11" x14ac:dyDescent="0.2">
      <c r="A9398" t="s">
        <v>4359</v>
      </c>
      <c r="B9398" t="s">
        <v>4909</v>
      </c>
      <c r="C9398" t="s">
        <v>4909</v>
      </c>
      <c r="D9398" t="s">
        <v>4909</v>
      </c>
      <c r="E9398" t="s">
        <v>4909</v>
      </c>
      <c r="F9398" t="s">
        <v>4909</v>
      </c>
      <c r="G9398" t="s">
        <v>4909</v>
      </c>
      <c r="H9398" t="s">
        <v>4909</v>
      </c>
      <c r="I9398" t="s">
        <v>4909</v>
      </c>
      <c r="J9398" t="s">
        <v>4909</v>
      </c>
      <c r="K9398" t="s">
        <v>4909</v>
      </c>
    </row>
    <row r="9399" spans="1:11" x14ac:dyDescent="0.2">
      <c r="A9399" t="s">
        <v>4360</v>
      </c>
      <c r="B9399" t="s">
        <v>4909</v>
      </c>
      <c r="C9399" t="s">
        <v>4909</v>
      </c>
      <c r="D9399" t="s">
        <v>4909</v>
      </c>
      <c r="E9399" t="s">
        <v>4909</v>
      </c>
      <c r="F9399" t="s">
        <v>4909</v>
      </c>
      <c r="G9399" t="s">
        <v>4909</v>
      </c>
      <c r="H9399" t="s">
        <v>4909</v>
      </c>
      <c r="I9399" t="s">
        <v>4909</v>
      </c>
      <c r="J9399" t="s">
        <v>4909</v>
      </c>
      <c r="K9399" t="s">
        <v>4909</v>
      </c>
    </row>
    <row r="9400" spans="1:11" x14ac:dyDescent="0.2">
      <c r="A9400" t="s">
        <v>4361</v>
      </c>
      <c r="B9400" t="s">
        <v>4909</v>
      </c>
      <c r="C9400" t="s">
        <v>4909</v>
      </c>
      <c r="D9400" t="s">
        <v>4909</v>
      </c>
      <c r="E9400" t="s">
        <v>4909</v>
      </c>
      <c r="F9400" s="88">
        <v>4.0000000000000001E-3</v>
      </c>
      <c r="G9400" s="88">
        <v>1.6E-2</v>
      </c>
      <c r="H9400" s="88">
        <v>2.1999999999999999E-2</v>
      </c>
      <c r="I9400" t="s">
        <v>4909</v>
      </c>
      <c r="J9400" s="88">
        <v>2E-3</v>
      </c>
      <c r="K9400" s="88">
        <v>3.1E-2</v>
      </c>
    </row>
    <row r="9401" spans="1:11" x14ac:dyDescent="0.2">
      <c r="A9401" t="s">
        <v>4362</v>
      </c>
      <c r="B9401" t="s">
        <v>4909</v>
      </c>
      <c r="C9401" t="s">
        <v>4909</v>
      </c>
      <c r="D9401" t="s">
        <v>4909</v>
      </c>
      <c r="E9401" t="s">
        <v>4909</v>
      </c>
      <c r="F9401" t="s">
        <v>4909</v>
      </c>
      <c r="G9401" t="s">
        <v>4909</v>
      </c>
      <c r="H9401" s="88">
        <v>1.0999999999999999E-2</v>
      </c>
      <c r="I9401" t="s">
        <v>4909</v>
      </c>
      <c r="J9401" s="88">
        <v>1.0999999999999999E-2</v>
      </c>
      <c r="K9401" s="88">
        <v>9.0999999999999998E-2</v>
      </c>
    </row>
    <row r="9402" spans="1:11" x14ac:dyDescent="0.2">
      <c r="A9402" t="s">
        <v>4363</v>
      </c>
      <c r="B9402" t="s">
        <v>4909</v>
      </c>
      <c r="C9402" t="s">
        <v>4909</v>
      </c>
      <c r="D9402" t="s">
        <v>4909</v>
      </c>
      <c r="E9402" t="s">
        <v>4909</v>
      </c>
      <c r="F9402" t="s">
        <v>4909</v>
      </c>
      <c r="G9402" s="88">
        <v>2E-3</v>
      </c>
      <c r="H9402" s="88">
        <v>5.0000000000000001E-3</v>
      </c>
      <c r="I9402" t="s">
        <v>4909</v>
      </c>
      <c r="J9402" t="s">
        <v>4909</v>
      </c>
      <c r="K9402" t="s">
        <v>4909</v>
      </c>
    </row>
    <row r="9403" spans="1:11" x14ac:dyDescent="0.2">
      <c r="A9403" t="s">
        <v>4364</v>
      </c>
      <c r="B9403" t="s">
        <v>4909</v>
      </c>
      <c r="C9403" t="s">
        <v>4909</v>
      </c>
      <c r="D9403" t="s">
        <v>4909</v>
      </c>
      <c r="E9403" t="s">
        <v>4909</v>
      </c>
      <c r="F9403" t="s">
        <v>4909</v>
      </c>
      <c r="G9403" t="s">
        <v>4909</v>
      </c>
      <c r="H9403" t="s">
        <v>4909</v>
      </c>
      <c r="I9403" t="s">
        <v>4909</v>
      </c>
      <c r="J9403" t="s">
        <v>4909</v>
      </c>
      <c r="K9403" t="s">
        <v>4909</v>
      </c>
    </row>
    <row r="9404" spans="1:11" x14ac:dyDescent="0.2">
      <c r="A9404" t="s">
        <v>4365</v>
      </c>
      <c r="B9404" t="s">
        <v>4909</v>
      </c>
      <c r="C9404" t="s">
        <v>4909</v>
      </c>
      <c r="D9404" t="s">
        <v>4909</v>
      </c>
      <c r="E9404" t="s">
        <v>4909</v>
      </c>
      <c r="F9404" s="88">
        <v>1E-3</v>
      </c>
      <c r="G9404" s="88">
        <v>5.3999999999999999E-2</v>
      </c>
      <c r="H9404" s="88">
        <v>5.0000000000000001E-3</v>
      </c>
      <c r="I9404" t="s">
        <v>4909</v>
      </c>
      <c r="J9404" s="88">
        <v>0</v>
      </c>
      <c r="K9404" s="88">
        <v>5.6000000000000001E-2</v>
      </c>
    </row>
    <row r="9405" spans="1:11" x14ac:dyDescent="0.2">
      <c r="A9405" t="s">
        <v>4366</v>
      </c>
      <c r="B9405" t="s">
        <v>4909</v>
      </c>
      <c r="C9405" t="s">
        <v>4909</v>
      </c>
      <c r="D9405" t="s">
        <v>4909</v>
      </c>
      <c r="E9405" t="s">
        <v>4909</v>
      </c>
      <c r="F9405" t="s">
        <v>4909</v>
      </c>
      <c r="G9405" t="s">
        <v>4909</v>
      </c>
      <c r="H9405" t="s">
        <v>4909</v>
      </c>
      <c r="I9405" t="s">
        <v>4909</v>
      </c>
      <c r="J9405" t="s">
        <v>4909</v>
      </c>
      <c r="K9405" t="s">
        <v>4909</v>
      </c>
    </row>
    <row r="9406" spans="1:11" x14ac:dyDescent="0.2">
      <c r="A9406" t="s">
        <v>4367</v>
      </c>
      <c r="B9406" t="s">
        <v>4909</v>
      </c>
      <c r="C9406" t="s">
        <v>4909</v>
      </c>
      <c r="D9406" t="s">
        <v>4909</v>
      </c>
      <c r="E9406" t="s">
        <v>4909</v>
      </c>
      <c r="F9406" s="88">
        <v>2E-3</v>
      </c>
      <c r="G9406" s="88">
        <v>0.1</v>
      </c>
      <c r="H9406" s="88">
        <v>1.2E-2</v>
      </c>
      <c r="I9406" t="s">
        <v>4909</v>
      </c>
      <c r="J9406" s="88">
        <v>0</v>
      </c>
      <c r="K9406" s="88">
        <v>2E-3</v>
      </c>
    </row>
    <row r="9407" spans="1:11" x14ac:dyDescent="0.2">
      <c r="A9407" t="s">
        <v>4368</v>
      </c>
      <c r="B9407" t="s">
        <v>4909</v>
      </c>
      <c r="C9407" t="s">
        <v>4909</v>
      </c>
      <c r="D9407" t="s">
        <v>4909</v>
      </c>
      <c r="E9407" t="s">
        <v>4909</v>
      </c>
      <c r="F9407" s="88">
        <v>0</v>
      </c>
      <c r="G9407" s="88">
        <v>3.3000000000000002E-2</v>
      </c>
      <c r="H9407" s="88">
        <v>4.0000000000000001E-3</v>
      </c>
      <c r="I9407" t="s">
        <v>4909</v>
      </c>
      <c r="J9407" t="s">
        <v>4909</v>
      </c>
      <c r="K9407" s="88">
        <v>7.0000000000000001E-3</v>
      </c>
    </row>
    <row r="9408" spans="1:11" x14ac:dyDescent="0.2">
      <c r="A9408" t="s">
        <v>4369</v>
      </c>
      <c r="B9408" s="88">
        <v>0</v>
      </c>
      <c r="C9408" s="88">
        <v>0</v>
      </c>
      <c r="D9408" t="s">
        <v>4909</v>
      </c>
      <c r="E9408" t="s">
        <v>4909</v>
      </c>
      <c r="F9408" s="88">
        <v>0</v>
      </c>
      <c r="G9408" s="88">
        <v>2.4E-2</v>
      </c>
      <c r="H9408" s="88">
        <v>2E-3</v>
      </c>
      <c r="I9408" t="s">
        <v>4909</v>
      </c>
      <c r="J9408" s="88">
        <v>0</v>
      </c>
      <c r="K9408" s="88">
        <v>5.0000000000000001E-3</v>
      </c>
    </row>
    <row r="9409" spans="1:11" x14ac:dyDescent="0.2">
      <c r="A9409" t="s">
        <v>4370</v>
      </c>
      <c r="B9409" t="s">
        <v>4909</v>
      </c>
      <c r="C9409" t="s">
        <v>4909</v>
      </c>
      <c r="D9409" t="s">
        <v>4909</v>
      </c>
      <c r="E9409" t="s">
        <v>4909</v>
      </c>
      <c r="F9409" s="88">
        <v>2E-3</v>
      </c>
      <c r="G9409" s="88">
        <v>0.109</v>
      </c>
      <c r="H9409" s="88">
        <v>1.4E-2</v>
      </c>
      <c r="I9409" t="s">
        <v>4909</v>
      </c>
      <c r="J9409" t="s">
        <v>4909</v>
      </c>
      <c r="K9409" s="88">
        <v>3.5999999999999997E-2</v>
      </c>
    </row>
    <row r="9410" spans="1:11" x14ac:dyDescent="0.2">
      <c r="A9410" t="s">
        <v>4371</v>
      </c>
      <c r="B9410" t="s">
        <v>4909</v>
      </c>
      <c r="C9410" t="s">
        <v>4909</v>
      </c>
      <c r="D9410" t="s">
        <v>4909</v>
      </c>
      <c r="E9410" t="s">
        <v>4909</v>
      </c>
      <c r="F9410" s="88">
        <v>4.0000000000000001E-3</v>
      </c>
      <c r="G9410" s="88">
        <v>0.28599999999999998</v>
      </c>
      <c r="H9410" s="88">
        <v>3.3000000000000002E-2</v>
      </c>
      <c r="I9410" t="s">
        <v>4909</v>
      </c>
      <c r="J9410" t="s">
        <v>4909</v>
      </c>
      <c r="K9410" s="88">
        <v>7.0000000000000001E-3</v>
      </c>
    </row>
    <row r="9411" spans="1:11" x14ac:dyDescent="0.2">
      <c r="A9411" t="s">
        <v>4372</v>
      </c>
      <c r="B9411" t="s">
        <v>4909</v>
      </c>
      <c r="C9411" t="s">
        <v>4909</v>
      </c>
      <c r="D9411" t="s">
        <v>4909</v>
      </c>
      <c r="E9411" t="s">
        <v>4909</v>
      </c>
      <c r="F9411" t="s">
        <v>4909</v>
      </c>
      <c r="G9411" t="s">
        <v>4909</v>
      </c>
      <c r="H9411" t="s">
        <v>4909</v>
      </c>
      <c r="I9411" t="s">
        <v>4909</v>
      </c>
      <c r="J9411" t="s">
        <v>4909</v>
      </c>
      <c r="K9411" t="s">
        <v>4909</v>
      </c>
    </row>
    <row r="9412" spans="1:11" x14ac:dyDescent="0.2">
      <c r="A9412" t="s">
        <v>4373</v>
      </c>
      <c r="B9412" t="s">
        <v>4909</v>
      </c>
      <c r="C9412" t="s">
        <v>4909</v>
      </c>
      <c r="D9412" t="s">
        <v>4909</v>
      </c>
      <c r="E9412" t="s">
        <v>4909</v>
      </c>
      <c r="F9412" s="88">
        <v>0</v>
      </c>
      <c r="G9412" s="88">
        <v>0</v>
      </c>
      <c r="H9412" s="88">
        <v>0</v>
      </c>
      <c r="I9412" t="s">
        <v>4909</v>
      </c>
      <c r="J9412" t="s">
        <v>4909</v>
      </c>
      <c r="K9412" s="88">
        <v>0</v>
      </c>
    </row>
    <row r="9413" spans="1:11" x14ac:dyDescent="0.2">
      <c r="A9413" t="s">
        <v>4374</v>
      </c>
      <c r="B9413" t="s">
        <v>4909</v>
      </c>
      <c r="C9413" t="s">
        <v>4909</v>
      </c>
      <c r="D9413" t="s">
        <v>4909</v>
      </c>
      <c r="E9413" t="s">
        <v>4909</v>
      </c>
      <c r="F9413" s="88">
        <v>0</v>
      </c>
      <c r="G9413" s="88">
        <v>0</v>
      </c>
      <c r="H9413" s="88">
        <v>0</v>
      </c>
      <c r="I9413" t="s">
        <v>4909</v>
      </c>
      <c r="J9413" t="s">
        <v>4909</v>
      </c>
      <c r="K9413" s="88">
        <v>0</v>
      </c>
    </row>
    <row r="9414" spans="1:11" x14ac:dyDescent="0.2">
      <c r="A9414" t="s">
        <v>4375</v>
      </c>
      <c r="B9414" t="s">
        <v>4909</v>
      </c>
      <c r="C9414" t="s">
        <v>4909</v>
      </c>
      <c r="D9414" t="s">
        <v>4909</v>
      </c>
      <c r="E9414" t="s">
        <v>4909</v>
      </c>
      <c r="F9414" s="88">
        <v>0</v>
      </c>
      <c r="G9414" s="88">
        <v>0</v>
      </c>
      <c r="H9414" s="88">
        <v>0</v>
      </c>
      <c r="I9414" t="s">
        <v>4909</v>
      </c>
      <c r="J9414" t="s">
        <v>4909</v>
      </c>
      <c r="K9414" s="88">
        <v>0</v>
      </c>
    </row>
    <row r="9415" spans="1:11" x14ac:dyDescent="0.2">
      <c r="A9415" t="s">
        <v>4376</v>
      </c>
      <c r="B9415" t="s">
        <v>4909</v>
      </c>
      <c r="C9415" t="s">
        <v>4909</v>
      </c>
      <c r="D9415" t="s">
        <v>4909</v>
      </c>
      <c r="E9415" t="s">
        <v>4909</v>
      </c>
      <c r="F9415" t="s">
        <v>4909</v>
      </c>
      <c r="G9415" s="88">
        <v>0</v>
      </c>
      <c r="H9415" s="88">
        <v>0</v>
      </c>
      <c r="I9415" t="s">
        <v>4909</v>
      </c>
      <c r="J9415" t="s">
        <v>4909</v>
      </c>
      <c r="K9415" t="s">
        <v>4909</v>
      </c>
    </row>
    <row r="9416" spans="1:11" x14ac:dyDescent="0.2">
      <c r="A9416" t="s">
        <v>4377</v>
      </c>
      <c r="B9416" t="s">
        <v>4909</v>
      </c>
      <c r="C9416" t="s">
        <v>4909</v>
      </c>
      <c r="D9416" t="s">
        <v>4909</v>
      </c>
      <c r="E9416" t="s">
        <v>4909</v>
      </c>
      <c r="F9416" s="88">
        <v>0</v>
      </c>
      <c r="G9416" s="88">
        <v>0</v>
      </c>
      <c r="H9416" s="88">
        <v>0</v>
      </c>
      <c r="I9416" t="s">
        <v>4909</v>
      </c>
      <c r="J9416" s="88">
        <v>0</v>
      </c>
      <c r="K9416" s="88">
        <v>0</v>
      </c>
    </row>
    <row r="9417" spans="1:11" x14ac:dyDescent="0.2">
      <c r="A9417" t="s">
        <v>2318</v>
      </c>
      <c r="B9417" t="s">
        <v>4399</v>
      </c>
      <c r="C9417" t="s">
        <v>4399</v>
      </c>
      <c r="D9417" t="s">
        <v>4399</v>
      </c>
      <c r="E9417" t="s">
        <v>4399</v>
      </c>
      <c r="F9417" t="s">
        <v>4399</v>
      </c>
      <c r="G9417" t="s">
        <v>4399</v>
      </c>
      <c r="H9417" t="s">
        <v>4399</v>
      </c>
      <c r="I9417" t="s">
        <v>4399</v>
      </c>
      <c r="J9417" t="s">
        <v>4399</v>
      </c>
      <c r="K9417" t="s">
        <v>4399</v>
      </c>
    </row>
    <row r="9418" spans="1:11" x14ac:dyDescent="0.2">
      <c r="A9418" t="s">
        <v>4248</v>
      </c>
    </row>
    <row r="9419" spans="1:11" x14ac:dyDescent="0.2">
      <c r="A9419" t="s">
        <v>4910</v>
      </c>
      <c r="B9419" t="s">
        <v>4904</v>
      </c>
      <c r="C9419" t="s">
        <v>4911</v>
      </c>
      <c r="D9419" t="s">
        <v>4912</v>
      </c>
      <c r="E9419" t="s">
        <v>4907</v>
      </c>
      <c r="F9419" t="s">
        <v>4913</v>
      </c>
      <c r="G9419">
        <v>22</v>
      </c>
    </row>
    <row r="9420" spans="1:11" x14ac:dyDescent="0.2">
      <c r="A9420" t="s">
        <v>2318</v>
      </c>
      <c r="B9420" t="s">
        <v>4399</v>
      </c>
      <c r="C9420" t="s">
        <v>4399</v>
      </c>
      <c r="D9420" t="s">
        <v>4399</v>
      </c>
      <c r="E9420" t="s">
        <v>4399</v>
      </c>
      <c r="F9420" t="s">
        <v>4399</v>
      </c>
      <c r="G9420" t="s">
        <v>4399</v>
      </c>
      <c r="H9420" t="s">
        <v>4399</v>
      </c>
      <c r="I9420" t="s">
        <v>4399</v>
      </c>
      <c r="J9420" t="s">
        <v>4399</v>
      </c>
      <c r="K9420" t="s">
        <v>4399</v>
      </c>
    </row>
    <row r="9421" spans="1:11" x14ac:dyDescent="0.2">
      <c r="A9421" t="s">
        <v>126</v>
      </c>
      <c r="B9421" t="s">
        <v>4732</v>
      </c>
      <c r="C9421" t="s">
        <v>4736</v>
      </c>
      <c r="D9421" t="s">
        <v>4740</v>
      </c>
      <c r="E9421" t="s">
        <v>4744</v>
      </c>
      <c r="F9421" t="s">
        <v>4747</v>
      </c>
      <c r="G9421" t="s">
        <v>4750</v>
      </c>
      <c r="H9421" t="s">
        <v>4754</v>
      </c>
      <c r="I9421" t="s">
        <v>4758</v>
      </c>
      <c r="J9421" t="s">
        <v>4761</v>
      </c>
      <c r="K9421" t="s">
        <v>4764</v>
      </c>
    </row>
    <row r="9422" spans="1:11" x14ac:dyDescent="0.2">
      <c r="A9422" t="s">
        <v>2318</v>
      </c>
      <c r="B9422" t="s">
        <v>4399</v>
      </c>
      <c r="C9422" t="s">
        <v>4399</v>
      </c>
      <c r="D9422" t="s">
        <v>4399</v>
      </c>
      <c r="E9422" t="s">
        <v>4399</v>
      </c>
      <c r="F9422" t="s">
        <v>4399</v>
      </c>
      <c r="G9422" t="s">
        <v>4399</v>
      </c>
      <c r="H9422" t="s">
        <v>4399</v>
      </c>
      <c r="I9422" t="s">
        <v>4399</v>
      </c>
      <c r="J9422" t="s">
        <v>4399</v>
      </c>
      <c r="K9422" t="s">
        <v>4399</v>
      </c>
    </row>
    <row r="9423" spans="1:11" x14ac:dyDescent="0.2">
      <c r="A9423" t="s">
        <v>4265</v>
      </c>
      <c r="B9423" t="s">
        <v>4909</v>
      </c>
      <c r="C9423" t="s">
        <v>4909</v>
      </c>
      <c r="D9423" t="s">
        <v>4909</v>
      </c>
      <c r="E9423" t="s">
        <v>4909</v>
      </c>
      <c r="F9423" t="s">
        <v>4909</v>
      </c>
      <c r="G9423" t="s">
        <v>4909</v>
      </c>
      <c r="H9423" t="s">
        <v>4909</v>
      </c>
      <c r="I9423" t="s">
        <v>4909</v>
      </c>
      <c r="J9423" t="s">
        <v>4909</v>
      </c>
      <c r="K9423" t="s">
        <v>4909</v>
      </c>
    </row>
    <row r="9424" spans="1:11" x14ac:dyDescent="0.2">
      <c r="A9424" t="s">
        <v>4266</v>
      </c>
      <c r="B9424" t="s">
        <v>4909</v>
      </c>
      <c r="C9424" t="s">
        <v>4909</v>
      </c>
      <c r="D9424" t="s">
        <v>4909</v>
      </c>
      <c r="E9424" t="s">
        <v>4909</v>
      </c>
      <c r="F9424" t="s">
        <v>4909</v>
      </c>
      <c r="G9424" t="s">
        <v>4909</v>
      </c>
      <c r="H9424" t="s">
        <v>4909</v>
      </c>
      <c r="I9424" t="s">
        <v>4909</v>
      </c>
      <c r="J9424" t="s">
        <v>4909</v>
      </c>
      <c r="K9424" t="s">
        <v>4909</v>
      </c>
    </row>
    <row r="9425" spans="1:11" x14ac:dyDescent="0.2">
      <c r="A9425" t="s">
        <v>4267</v>
      </c>
      <c r="B9425" t="s">
        <v>4909</v>
      </c>
      <c r="C9425" t="s">
        <v>4909</v>
      </c>
      <c r="D9425" t="s">
        <v>4909</v>
      </c>
      <c r="E9425" t="s">
        <v>4909</v>
      </c>
      <c r="F9425" t="s">
        <v>4909</v>
      </c>
      <c r="G9425" t="s">
        <v>4909</v>
      </c>
      <c r="H9425" t="s">
        <v>4909</v>
      </c>
      <c r="I9425" t="s">
        <v>4909</v>
      </c>
      <c r="J9425" t="s">
        <v>4909</v>
      </c>
      <c r="K9425" t="s">
        <v>4909</v>
      </c>
    </row>
    <row r="9426" spans="1:11" x14ac:dyDescent="0.2">
      <c r="A9426" t="s">
        <v>4268</v>
      </c>
      <c r="B9426" t="s">
        <v>4909</v>
      </c>
      <c r="C9426" t="s">
        <v>4909</v>
      </c>
      <c r="D9426" t="s">
        <v>4909</v>
      </c>
      <c r="E9426" t="s">
        <v>4909</v>
      </c>
      <c r="F9426" t="s">
        <v>4909</v>
      </c>
      <c r="G9426" t="s">
        <v>4909</v>
      </c>
      <c r="H9426" t="s">
        <v>4909</v>
      </c>
      <c r="I9426" t="s">
        <v>4909</v>
      </c>
      <c r="J9426" t="s">
        <v>4909</v>
      </c>
      <c r="K9426" t="s">
        <v>4909</v>
      </c>
    </row>
    <row r="9427" spans="1:11" x14ac:dyDescent="0.2">
      <c r="A9427" t="s">
        <v>4269</v>
      </c>
      <c r="B9427" t="s">
        <v>4909</v>
      </c>
      <c r="C9427" t="s">
        <v>4909</v>
      </c>
      <c r="D9427" t="s">
        <v>4909</v>
      </c>
      <c r="E9427" t="s">
        <v>4909</v>
      </c>
      <c r="F9427" t="s">
        <v>4909</v>
      </c>
      <c r="G9427" t="s">
        <v>4909</v>
      </c>
      <c r="H9427" t="s">
        <v>4909</v>
      </c>
      <c r="I9427" t="s">
        <v>4909</v>
      </c>
      <c r="J9427" t="s">
        <v>4909</v>
      </c>
      <c r="K9427" t="s">
        <v>4909</v>
      </c>
    </row>
    <row r="9428" spans="1:11" x14ac:dyDescent="0.2">
      <c r="A9428" t="s">
        <v>4270</v>
      </c>
      <c r="B9428" t="s">
        <v>4909</v>
      </c>
      <c r="C9428" t="s">
        <v>4909</v>
      </c>
      <c r="D9428" t="s">
        <v>4909</v>
      </c>
      <c r="E9428" t="s">
        <v>4909</v>
      </c>
      <c r="F9428" t="s">
        <v>4909</v>
      </c>
      <c r="G9428" t="s">
        <v>4909</v>
      </c>
      <c r="H9428" t="s">
        <v>4909</v>
      </c>
      <c r="I9428" t="s">
        <v>4909</v>
      </c>
      <c r="J9428" t="s">
        <v>4909</v>
      </c>
      <c r="K9428" t="s">
        <v>4909</v>
      </c>
    </row>
    <row r="9429" spans="1:11" x14ac:dyDescent="0.2">
      <c r="A9429" t="s">
        <v>4271</v>
      </c>
      <c r="B9429" t="s">
        <v>4909</v>
      </c>
      <c r="C9429" t="s">
        <v>4909</v>
      </c>
      <c r="D9429" t="s">
        <v>4909</v>
      </c>
      <c r="E9429" t="s">
        <v>4909</v>
      </c>
      <c r="F9429" t="s">
        <v>4909</v>
      </c>
      <c r="G9429" t="s">
        <v>4909</v>
      </c>
      <c r="H9429" t="s">
        <v>4909</v>
      </c>
      <c r="I9429" t="s">
        <v>4909</v>
      </c>
      <c r="J9429" t="s">
        <v>4909</v>
      </c>
      <c r="K9429" t="s">
        <v>4909</v>
      </c>
    </row>
    <row r="9430" spans="1:11" x14ac:dyDescent="0.2">
      <c r="A9430" t="s">
        <v>4272</v>
      </c>
      <c r="B9430" t="s">
        <v>4909</v>
      </c>
      <c r="C9430" t="s">
        <v>4909</v>
      </c>
      <c r="D9430" t="s">
        <v>4909</v>
      </c>
      <c r="E9430" t="s">
        <v>4909</v>
      </c>
      <c r="F9430" t="s">
        <v>4909</v>
      </c>
      <c r="G9430" t="s">
        <v>4909</v>
      </c>
      <c r="H9430" t="s">
        <v>4909</v>
      </c>
      <c r="I9430" t="s">
        <v>4909</v>
      </c>
      <c r="J9430" t="s">
        <v>4909</v>
      </c>
      <c r="K9430" t="s">
        <v>4909</v>
      </c>
    </row>
    <row r="9431" spans="1:11" x14ac:dyDescent="0.2">
      <c r="A9431" t="s">
        <v>4273</v>
      </c>
      <c r="B9431" t="s">
        <v>4909</v>
      </c>
      <c r="C9431" t="s">
        <v>4909</v>
      </c>
      <c r="D9431" t="s">
        <v>4909</v>
      </c>
      <c r="E9431" t="s">
        <v>4909</v>
      </c>
      <c r="F9431" t="s">
        <v>4909</v>
      </c>
      <c r="G9431" t="s">
        <v>4909</v>
      </c>
      <c r="H9431" t="s">
        <v>4909</v>
      </c>
      <c r="I9431" t="s">
        <v>4909</v>
      </c>
      <c r="J9431" t="s">
        <v>4909</v>
      </c>
      <c r="K9431" t="s">
        <v>4909</v>
      </c>
    </row>
    <row r="9432" spans="1:11" x14ac:dyDescent="0.2">
      <c r="A9432" t="s">
        <v>4274</v>
      </c>
      <c r="B9432" t="s">
        <v>4909</v>
      </c>
      <c r="C9432" t="s">
        <v>4909</v>
      </c>
      <c r="D9432" t="s">
        <v>4909</v>
      </c>
      <c r="E9432" t="s">
        <v>4909</v>
      </c>
      <c r="F9432" t="s">
        <v>4909</v>
      </c>
      <c r="G9432" t="s">
        <v>4909</v>
      </c>
      <c r="H9432" t="s">
        <v>4909</v>
      </c>
      <c r="I9432" t="s">
        <v>4909</v>
      </c>
      <c r="J9432" t="s">
        <v>4909</v>
      </c>
      <c r="K9432" t="s">
        <v>4909</v>
      </c>
    </row>
    <row r="9433" spans="1:11" x14ac:dyDescent="0.2">
      <c r="A9433" t="s">
        <v>4275</v>
      </c>
      <c r="B9433" t="s">
        <v>4909</v>
      </c>
      <c r="C9433" t="s">
        <v>4909</v>
      </c>
      <c r="D9433" t="s">
        <v>4909</v>
      </c>
      <c r="E9433" t="s">
        <v>4909</v>
      </c>
      <c r="F9433" t="s">
        <v>4909</v>
      </c>
      <c r="G9433" t="s">
        <v>4909</v>
      </c>
      <c r="H9433" t="s">
        <v>4909</v>
      </c>
      <c r="I9433" t="s">
        <v>4909</v>
      </c>
      <c r="J9433" t="s">
        <v>4909</v>
      </c>
      <c r="K9433" t="s">
        <v>4909</v>
      </c>
    </row>
    <row r="9434" spans="1:11" x14ac:dyDescent="0.2">
      <c r="A9434" t="s">
        <v>4276</v>
      </c>
      <c r="B9434" t="s">
        <v>4909</v>
      </c>
      <c r="C9434" t="s">
        <v>4909</v>
      </c>
      <c r="D9434" t="s">
        <v>4909</v>
      </c>
      <c r="E9434" t="s">
        <v>4909</v>
      </c>
      <c r="F9434" t="s">
        <v>4909</v>
      </c>
      <c r="G9434" t="s">
        <v>4909</v>
      </c>
      <c r="H9434" t="s">
        <v>4909</v>
      </c>
      <c r="I9434" t="s">
        <v>4909</v>
      </c>
      <c r="J9434" t="s">
        <v>4909</v>
      </c>
      <c r="K9434" t="s">
        <v>4909</v>
      </c>
    </row>
    <row r="9435" spans="1:11" x14ac:dyDescent="0.2">
      <c r="A9435" t="s">
        <v>4277</v>
      </c>
      <c r="B9435" t="s">
        <v>4909</v>
      </c>
      <c r="C9435" t="s">
        <v>4909</v>
      </c>
      <c r="D9435" t="s">
        <v>4909</v>
      </c>
      <c r="E9435" t="s">
        <v>4909</v>
      </c>
      <c r="F9435" t="s">
        <v>4909</v>
      </c>
      <c r="G9435" t="s">
        <v>4909</v>
      </c>
      <c r="H9435" t="s">
        <v>4909</v>
      </c>
      <c r="I9435" t="s">
        <v>4909</v>
      </c>
      <c r="J9435" t="s">
        <v>4909</v>
      </c>
      <c r="K9435" t="s">
        <v>4909</v>
      </c>
    </row>
    <row r="9436" spans="1:11" x14ac:dyDescent="0.2">
      <c r="A9436" t="s">
        <v>4278</v>
      </c>
      <c r="B9436" t="s">
        <v>4909</v>
      </c>
      <c r="C9436" t="s">
        <v>4909</v>
      </c>
      <c r="D9436" t="s">
        <v>4909</v>
      </c>
      <c r="E9436" t="s">
        <v>4909</v>
      </c>
      <c r="F9436" t="s">
        <v>4909</v>
      </c>
      <c r="G9436" t="s">
        <v>4909</v>
      </c>
      <c r="H9436" t="s">
        <v>4909</v>
      </c>
      <c r="I9436" t="s">
        <v>4909</v>
      </c>
      <c r="J9436" t="s">
        <v>4909</v>
      </c>
      <c r="K9436" t="s">
        <v>4909</v>
      </c>
    </row>
    <row r="9437" spans="1:11" x14ac:dyDescent="0.2">
      <c r="A9437" t="s">
        <v>4279</v>
      </c>
      <c r="B9437" t="s">
        <v>4909</v>
      </c>
      <c r="C9437" t="s">
        <v>4909</v>
      </c>
      <c r="D9437" t="s">
        <v>4909</v>
      </c>
      <c r="E9437" t="s">
        <v>4909</v>
      </c>
      <c r="F9437" t="s">
        <v>4909</v>
      </c>
      <c r="G9437" t="s">
        <v>4909</v>
      </c>
      <c r="H9437" t="s">
        <v>4909</v>
      </c>
      <c r="I9437" t="s">
        <v>4909</v>
      </c>
      <c r="J9437" t="s">
        <v>4909</v>
      </c>
      <c r="K9437" t="s">
        <v>4909</v>
      </c>
    </row>
    <row r="9438" spans="1:11" x14ac:dyDescent="0.2">
      <c r="A9438" t="s">
        <v>4280</v>
      </c>
      <c r="B9438" t="s">
        <v>4909</v>
      </c>
      <c r="C9438" t="s">
        <v>4909</v>
      </c>
      <c r="D9438" t="s">
        <v>4909</v>
      </c>
      <c r="E9438" t="s">
        <v>4909</v>
      </c>
      <c r="F9438" t="s">
        <v>4909</v>
      </c>
      <c r="G9438" t="s">
        <v>4909</v>
      </c>
      <c r="H9438" t="s">
        <v>4909</v>
      </c>
      <c r="I9438" t="s">
        <v>4909</v>
      </c>
      <c r="J9438" t="s">
        <v>4909</v>
      </c>
      <c r="K9438" t="s">
        <v>4909</v>
      </c>
    </row>
    <row r="9439" spans="1:11" x14ac:dyDescent="0.2">
      <c r="A9439" t="s">
        <v>4281</v>
      </c>
      <c r="B9439" t="s">
        <v>4909</v>
      </c>
      <c r="C9439" t="s">
        <v>4909</v>
      </c>
      <c r="D9439" t="s">
        <v>4909</v>
      </c>
      <c r="E9439" t="s">
        <v>4909</v>
      </c>
      <c r="F9439" t="s">
        <v>4909</v>
      </c>
      <c r="G9439" t="s">
        <v>4909</v>
      </c>
      <c r="H9439" t="s">
        <v>4909</v>
      </c>
      <c r="I9439" t="s">
        <v>4909</v>
      </c>
      <c r="J9439" s="88">
        <v>0</v>
      </c>
      <c r="K9439" t="s">
        <v>4909</v>
      </c>
    </row>
    <row r="9440" spans="1:11" x14ac:dyDescent="0.2">
      <c r="A9440" t="s">
        <v>4282</v>
      </c>
      <c r="B9440" s="88">
        <v>0</v>
      </c>
      <c r="C9440" t="s">
        <v>4909</v>
      </c>
      <c r="D9440" t="s">
        <v>4909</v>
      </c>
      <c r="E9440" s="88">
        <v>0</v>
      </c>
      <c r="F9440" s="88">
        <v>0</v>
      </c>
      <c r="G9440" t="s">
        <v>4909</v>
      </c>
      <c r="H9440" t="s">
        <v>4909</v>
      </c>
      <c r="I9440" t="s">
        <v>4909</v>
      </c>
      <c r="J9440" s="88">
        <v>1E-3</v>
      </c>
      <c r="K9440" t="s">
        <v>4909</v>
      </c>
    </row>
    <row r="9441" spans="1:11" x14ac:dyDescent="0.2">
      <c r="A9441" t="s">
        <v>4283</v>
      </c>
      <c r="B9441" t="s">
        <v>4909</v>
      </c>
      <c r="C9441" t="s">
        <v>4909</v>
      </c>
      <c r="D9441" t="s">
        <v>4909</v>
      </c>
      <c r="E9441" t="s">
        <v>4909</v>
      </c>
      <c r="F9441" t="s">
        <v>4909</v>
      </c>
      <c r="G9441" t="s">
        <v>4909</v>
      </c>
      <c r="H9441" t="s">
        <v>4909</v>
      </c>
      <c r="I9441" t="s">
        <v>4909</v>
      </c>
      <c r="J9441" s="88">
        <v>0</v>
      </c>
      <c r="K9441" t="s">
        <v>4909</v>
      </c>
    </row>
    <row r="9442" spans="1:11" x14ac:dyDescent="0.2">
      <c r="A9442" t="s">
        <v>4284</v>
      </c>
      <c r="B9442" t="s">
        <v>4909</v>
      </c>
      <c r="C9442" t="s">
        <v>4909</v>
      </c>
      <c r="D9442" t="s">
        <v>4909</v>
      </c>
      <c r="E9442" t="s">
        <v>4909</v>
      </c>
      <c r="F9442" t="s">
        <v>4909</v>
      </c>
      <c r="G9442" t="s">
        <v>4909</v>
      </c>
      <c r="H9442" t="s">
        <v>4909</v>
      </c>
      <c r="I9442" t="s">
        <v>4909</v>
      </c>
      <c r="J9442" t="s">
        <v>4909</v>
      </c>
      <c r="K9442" t="s">
        <v>4909</v>
      </c>
    </row>
    <row r="9443" spans="1:11" x14ac:dyDescent="0.2">
      <c r="A9443" t="s">
        <v>4285</v>
      </c>
      <c r="B9443" t="s">
        <v>4909</v>
      </c>
      <c r="C9443" t="s">
        <v>4909</v>
      </c>
      <c r="D9443" t="s">
        <v>4909</v>
      </c>
      <c r="E9443" t="s">
        <v>4909</v>
      </c>
      <c r="F9443" t="s">
        <v>4909</v>
      </c>
      <c r="G9443" t="s">
        <v>4909</v>
      </c>
      <c r="H9443" t="s">
        <v>4909</v>
      </c>
      <c r="I9443" t="s">
        <v>4909</v>
      </c>
      <c r="J9443" t="s">
        <v>4909</v>
      </c>
      <c r="K9443" t="s">
        <v>4909</v>
      </c>
    </row>
    <row r="9444" spans="1:11" x14ac:dyDescent="0.2">
      <c r="A9444" t="s">
        <v>4286</v>
      </c>
      <c r="B9444" t="s">
        <v>4909</v>
      </c>
      <c r="C9444" t="s">
        <v>4909</v>
      </c>
      <c r="D9444" t="s">
        <v>4909</v>
      </c>
      <c r="E9444" t="s">
        <v>4909</v>
      </c>
      <c r="F9444" t="s">
        <v>4909</v>
      </c>
      <c r="G9444" t="s">
        <v>4909</v>
      </c>
      <c r="H9444" t="s">
        <v>4909</v>
      </c>
      <c r="I9444" t="s">
        <v>4909</v>
      </c>
      <c r="J9444" s="88">
        <v>0</v>
      </c>
      <c r="K9444" t="s">
        <v>4909</v>
      </c>
    </row>
    <row r="9445" spans="1:11" x14ac:dyDescent="0.2">
      <c r="A9445" t="s">
        <v>4287</v>
      </c>
      <c r="B9445" t="s">
        <v>4909</v>
      </c>
      <c r="C9445" t="s">
        <v>4909</v>
      </c>
      <c r="D9445" t="s">
        <v>4909</v>
      </c>
      <c r="E9445" t="s">
        <v>4909</v>
      </c>
      <c r="F9445" t="s">
        <v>4909</v>
      </c>
      <c r="G9445" t="s">
        <v>4909</v>
      </c>
      <c r="H9445" t="s">
        <v>4909</v>
      </c>
      <c r="I9445" t="s">
        <v>4909</v>
      </c>
      <c r="J9445" t="s">
        <v>4909</v>
      </c>
      <c r="K9445" t="s">
        <v>4909</v>
      </c>
    </row>
    <row r="9446" spans="1:11" x14ac:dyDescent="0.2">
      <c r="A9446" t="s">
        <v>4288</v>
      </c>
      <c r="B9446" t="s">
        <v>4909</v>
      </c>
      <c r="C9446" t="s">
        <v>4909</v>
      </c>
      <c r="D9446" t="s">
        <v>4909</v>
      </c>
      <c r="E9446" t="s">
        <v>4909</v>
      </c>
      <c r="F9446" t="s">
        <v>4909</v>
      </c>
      <c r="G9446" t="s">
        <v>4909</v>
      </c>
      <c r="H9446" t="s">
        <v>4909</v>
      </c>
      <c r="I9446" t="s">
        <v>4909</v>
      </c>
      <c r="J9446" t="s">
        <v>4909</v>
      </c>
      <c r="K9446" t="s">
        <v>4909</v>
      </c>
    </row>
    <row r="9447" spans="1:11" x14ac:dyDescent="0.2">
      <c r="A9447" t="s">
        <v>4289</v>
      </c>
      <c r="B9447" t="s">
        <v>4909</v>
      </c>
      <c r="C9447" t="s">
        <v>4909</v>
      </c>
      <c r="D9447" t="s">
        <v>4909</v>
      </c>
      <c r="E9447" t="s">
        <v>4909</v>
      </c>
      <c r="F9447" t="s">
        <v>4909</v>
      </c>
      <c r="G9447" t="s">
        <v>4909</v>
      </c>
      <c r="H9447" t="s">
        <v>4909</v>
      </c>
      <c r="I9447" t="s">
        <v>4909</v>
      </c>
      <c r="J9447" t="s">
        <v>4909</v>
      </c>
      <c r="K9447" t="s">
        <v>4909</v>
      </c>
    </row>
    <row r="9448" spans="1:11" x14ac:dyDescent="0.2">
      <c r="A9448" t="s">
        <v>4290</v>
      </c>
      <c r="B9448" t="s">
        <v>4909</v>
      </c>
      <c r="C9448" t="s">
        <v>4909</v>
      </c>
      <c r="D9448" t="s">
        <v>4909</v>
      </c>
      <c r="E9448" t="s">
        <v>4909</v>
      </c>
      <c r="F9448" t="s">
        <v>4909</v>
      </c>
      <c r="G9448" t="s">
        <v>4909</v>
      </c>
      <c r="H9448" t="s">
        <v>4909</v>
      </c>
      <c r="I9448" t="s">
        <v>4909</v>
      </c>
      <c r="J9448" t="s">
        <v>4909</v>
      </c>
      <c r="K9448" t="s">
        <v>4909</v>
      </c>
    </row>
    <row r="9449" spans="1:11" x14ac:dyDescent="0.2">
      <c r="A9449" t="s">
        <v>4291</v>
      </c>
      <c r="B9449" t="s">
        <v>4909</v>
      </c>
      <c r="C9449" t="s">
        <v>4909</v>
      </c>
      <c r="D9449" t="s">
        <v>4909</v>
      </c>
      <c r="E9449" t="s">
        <v>4909</v>
      </c>
      <c r="F9449" t="s">
        <v>4909</v>
      </c>
      <c r="G9449" t="s">
        <v>4909</v>
      </c>
      <c r="H9449" t="s">
        <v>4909</v>
      </c>
      <c r="I9449" t="s">
        <v>4909</v>
      </c>
      <c r="J9449" t="s">
        <v>4909</v>
      </c>
      <c r="K9449" t="s">
        <v>4909</v>
      </c>
    </row>
    <row r="9450" spans="1:11" x14ac:dyDescent="0.2">
      <c r="A9450" t="s">
        <v>4292</v>
      </c>
      <c r="B9450" t="s">
        <v>4909</v>
      </c>
      <c r="C9450" t="s">
        <v>4909</v>
      </c>
      <c r="D9450" t="s">
        <v>4909</v>
      </c>
      <c r="E9450" t="s">
        <v>4909</v>
      </c>
      <c r="F9450" t="s">
        <v>4909</v>
      </c>
      <c r="G9450" t="s">
        <v>4909</v>
      </c>
      <c r="H9450" t="s">
        <v>4909</v>
      </c>
      <c r="I9450" t="s">
        <v>4909</v>
      </c>
      <c r="J9450" t="s">
        <v>4909</v>
      </c>
      <c r="K9450" t="s">
        <v>4909</v>
      </c>
    </row>
    <row r="9451" spans="1:11" x14ac:dyDescent="0.2">
      <c r="A9451" t="s">
        <v>4293</v>
      </c>
      <c r="B9451" t="s">
        <v>4909</v>
      </c>
      <c r="C9451" t="s">
        <v>4909</v>
      </c>
      <c r="D9451" t="s">
        <v>4909</v>
      </c>
      <c r="E9451" t="s">
        <v>4909</v>
      </c>
      <c r="F9451" t="s">
        <v>4909</v>
      </c>
      <c r="G9451" t="s">
        <v>4909</v>
      </c>
      <c r="H9451" t="s">
        <v>4909</v>
      </c>
      <c r="I9451" t="s">
        <v>4909</v>
      </c>
      <c r="J9451" t="s">
        <v>4909</v>
      </c>
      <c r="K9451" t="s">
        <v>4909</v>
      </c>
    </row>
    <row r="9452" spans="1:11" x14ac:dyDescent="0.2">
      <c r="A9452" t="s">
        <v>4294</v>
      </c>
      <c r="B9452" t="s">
        <v>4909</v>
      </c>
      <c r="C9452" t="s">
        <v>4909</v>
      </c>
      <c r="D9452" t="s">
        <v>4909</v>
      </c>
      <c r="E9452" t="s">
        <v>4909</v>
      </c>
      <c r="F9452" t="s">
        <v>4909</v>
      </c>
      <c r="G9452" t="s">
        <v>4909</v>
      </c>
      <c r="H9452" t="s">
        <v>4909</v>
      </c>
      <c r="I9452" t="s">
        <v>4909</v>
      </c>
      <c r="J9452" t="s">
        <v>4909</v>
      </c>
      <c r="K9452" t="s">
        <v>4909</v>
      </c>
    </row>
    <row r="9453" spans="1:11" x14ac:dyDescent="0.2">
      <c r="A9453" t="s">
        <v>4295</v>
      </c>
      <c r="B9453" t="s">
        <v>4909</v>
      </c>
      <c r="C9453" t="s">
        <v>4909</v>
      </c>
      <c r="D9453" t="s">
        <v>4909</v>
      </c>
      <c r="E9453" t="s">
        <v>4909</v>
      </c>
      <c r="F9453" t="s">
        <v>4909</v>
      </c>
      <c r="G9453" t="s">
        <v>4909</v>
      </c>
      <c r="H9453" t="s">
        <v>4909</v>
      </c>
      <c r="I9453" t="s">
        <v>4909</v>
      </c>
      <c r="J9453" t="s">
        <v>4909</v>
      </c>
      <c r="K9453" t="s">
        <v>4909</v>
      </c>
    </row>
    <row r="9454" spans="1:11" x14ac:dyDescent="0.2">
      <c r="A9454" t="s">
        <v>4296</v>
      </c>
      <c r="B9454" t="s">
        <v>4909</v>
      </c>
      <c r="C9454" t="s">
        <v>4909</v>
      </c>
      <c r="D9454" t="s">
        <v>4909</v>
      </c>
      <c r="E9454" t="s">
        <v>4909</v>
      </c>
      <c r="F9454" t="s">
        <v>4909</v>
      </c>
      <c r="G9454" t="s">
        <v>4909</v>
      </c>
      <c r="H9454" t="s">
        <v>4909</v>
      </c>
      <c r="I9454" t="s">
        <v>4909</v>
      </c>
      <c r="J9454" t="s">
        <v>4909</v>
      </c>
      <c r="K9454" t="s">
        <v>4909</v>
      </c>
    </row>
    <row r="9455" spans="1:11" x14ac:dyDescent="0.2">
      <c r="A9455" t="s">
        <v>4297</v>
      </c>
      <c r="B9455" s="88">
        <v>0</v>
      </c>
      <c r="C9455" t="s">
        <v>4909</v>
      </c>
      <c r="D9455" t="s">
        <v>4909</v>
      </c>
      <c r="E9455" s="88">
        <v>0</v>
      </c>
      <c r="F9455" s="88">
        <v>0</v>
      </c>
      <c r="G9455" t="s">
        <v>4909</v>
      </c>
      <c r="H9455" t="s">
        <v>4909</v>
      </c>
      <c r="I9455" s="88">
        <v>0</v>
      </c>
      <c r="J9455" s="88">
        <v>0</v>
      </c>
      <c r="K9455" t="s">
        <v>4909</v>
      </c>
    </row>
    <row r="9456" spans="1:11" x14ac:dyDescent="0.2">
      <c r="A9456" t="s">
        <v>4298</v>
      </c>
      <c r="B9456" s="88">
        <v>0</v>
      </c>
      <c r="C9456" t="s">
        <v>4909</v>
      </c>
      <c r="D9456" t="s">
        <v>4909</v>
      </c>
      <c r="E9456" t="s">
        <v>4909</v>
      </c>
      <c r="F9456" t="s">
        <v>4909</v>
      </c>
      <c r="G9456" t="s">
        <v>4909</v>
      </c>
      <c r="H9456" t="s">
        <v>4909</v>
      </c>
      <c r="I9456" t="s">
        <v>4909</v>
      </c>
      <c r="J9456" t="s">
        <v>4909</v>
      </c>
      <c r="K9456" t="s">
        <v>4909</v>
      </c>
    </row>
    <row r="9457" spans="1:11" x14ac:dyDescent="0.2">
      <c r="A9457" t="s">
        <v>4299</v>
      </c>
      <c r="B9457" t="s">
        <v>4909</v>
      </c>
      <c r="C9457" t="s">
        <v>4909</v>
      </c>
      <c r="D9457" t="s">
        <v>4909</v>
      </c>
      <c r="E9457" t="s">
        <v>4909</v>
      </c>
      <c r="F9457" t="s">
        <v>4909</v>
      </c>
      <c r="G9457" t="s">
        <v>4909</v>
      </c>
      <c r="H9457" t="s">
        <v>4909</v>
      </c>
      <c r="I9457" s="88">
        <v>0</v>
      </c>
      <c r="J9457" s="88">
        <v>1E-3</v>
      </c>
      <c r="K9457" t="s">
        <v>4909</v>
      </c>
    </row>
    <row r="9458" spans="1:11" x14ac:dyDescent="0.2">
      <c r="A9458" t="s">
        <v>4300</v>
      </c>
      <c r="B9458" t="s">
        <v>4909</v>
      </c>
      <c r="C9458" t="s">
        <v>4909</v>
      </c>
      <c r="D9458" t="s">
        <v>4909</v>
      </c>
      <c r="E9458" t="s">
        <v>4909</v>
      </c>
      <c r="F9458" t="s">
        <v>4909</v>
      </c>
      <c r="G9458" t="s">
        <v>4909</v>
      </c>
      <c r="H9458" t="s">
        <v>4909</v>
      </c>
      <c r="I9458" t="s">
        <v>4909</v>
      </c>
      <c r="J9458" s="88">
        <v>1E-3</v>
      </c>
      <c r="K9458" t="s">
        <v>4909</v>
      </c>
    </row>
    <row r="9459" spans="1:11" x14ac:dyDescent="0.2">
      <c r="A9459" t="s">
        <v>4301</v>
      </c>
      <c r="B9459" s="88">
        <v>0</v>
      </c>
      <c r="C9459" t="s">
        <v>4909</v>
      </c>
      <c r="D9459" t="s">
        <v>4909</v>
      </c>
      <c r="E9459" t="s">
        <v>4909</v>
      </c>
      <c r="F9459" t="s">
        <v>4909</v>
      </c>
      <c r="G9459" t="s">
        <v>4909</v>
      </c>
      <c r="H9459" t="s">
        <v>4909</v>
      </c>
      <c r="I9459" s="88">
        <v>0</v>
      </c>
      <c r="J9459" s="88">
        <v>1E-3</v>
      </c>
      <c r="K9459" t="s">
        <v>4909</v>
      </c>
    </row>
    <row r="9460" spans="1:11" x14ac:dyDescent="0.2">
      <c r="A9460" t="s">
        <v>4302</v>
      </c>
      <c r="B9460" s="88">
        <v>0</v>
      </c>
      <c r="C9460" t="s">
        <v>4909</v>
      </c>
      <c r="D9460" t="s">
        <v>4909</v>
      </c>
      <c r="E9460" t="s">
        <v>4909</v>
      </c>
      <c r="F9460" t="s">
        <v>4909</v>
      </c>
      <c r="G9460" t="s">
        <v>4909</v>
      </c>
      <c r="H9460" t="s">
        <v>4909</v>
      </c>
      <c r="I9460" s="88">
        <v>0</v>
      </c>
      <c r="J9460" s="88">
        <v>3.0000000000000001E-3</v>
      </c>
      <c r="K9460" t="s">
        <v>4909</v>
      </c>
    </row>
    <row r="9461" spans="1:11" x14ac:dyDescent="0.2">
      <c r="A9461" t="s">
        <v>4303</v>
      </c>
      <c r="B9461" s="88">
        <v>1E-3</v>
      </c>
      <c r="C9461" t="s">
        <v>4909</v>
      </c>
      <c r="D9461" t="s">
        <v>4909</v>
      </c>
      <c r="E9461" t="s">
        <v>4909</v>
      </c>
      <c r="F9461" t="s">
        <v>4909</v>
      </c>
      <c r="G9461" t="s">
        <v>4909</v>
      </c>
      <c r="H9461" t="s">
        <v>4909</v>
      </c>
      <c r="I9461" t="s">
        <v>4909</v>
      </c>
      <c r="J9461" s="88">
        <v>8.0000000000000002E-3</v>
      </c>
      <c r="K9461" t="s">
        <v>4909</v>
      </c>
    </row>
    <row r="9462" spans="1:11" x14ac:dyDescent="0.2">
      <c r="A9462" t="s">
        <v>4304</v>
      </c>
      <c r="B9462" t="s">
        <v>4909</v>
      </c>
      <c r="C9462" t="s">
        <v>4909</v>
      </c>
      <c r="D9462" t="s">
        <v>4909</v>
      </c>
      <c r="E9462" s="88">
        <v>0</v>
      </c>
      <c r="F9462" t="s">
        <v>4909</v>
      </c>
      <c r="G9462" t="s">
        <v>4909</v>
      </c>
      <c r="H9462" t="s">
        <v>4909</v>
      </c>
      <c r="I9462" s="88">
        <v>0</v>
      </c>
      <c r="J9462" s="88">
        <v>7.0000000000000001E-3</v>
      </c>
      <c r="K9462" t="s">
        <v>4909</v>
      </c>
    </row>
    <row r="9463" spans="1:11" x14ac:dyDescent="0.2">
      <c r="A9463" t="s">
        <v>4305</v>
      </c>
      <c r="B9463" s="88">
        <v>2E-3</v>
      </c>
      <c r="C9463" t="s">
        <v>4909</v>
      </c>
      <c r="D9463" t="s">
        <v>4909</v>
      </c>
      <c r="E9463" s="88">
        <v>0</v>
      </c>
      <c r="F9463" t="s">
        <v>4909</v>
      </c>
      <c r="G9463" t="s">
        <v>4909</v>
      </c>
      <c r="H9463" t="s">
        <v>4909</v>
      </c>
      <c r="I9463" s="88">
        <v>1E-3</v>
      </c>
      <c r="J9463" s="88">
        <v>6.0000000000000001E-3</v>
      </c>
      <c r="K9463" t="s">
        <v>4909</v>
      </c>
    </row>
    <row r="9464" spans="1:11" x14ac:dyDescent="0.2">
      <c r="A9464" t="s">
        <v>4306</v>
      </c>
      <c r="B9464" s="88">
        <v>1E-3</v>
      </c>
      <c r="C9464" t="s">
        <v>4909</v>
      </c>
      <c r="D9464" t="s">
        <v>4909</v>
      </c>
      <c r="E9464" t="s">
        <v>4909</v>
      </c>
      <c r="F9464" t="s">
        <v>4909</v>
      </c>
      <c r="G9464" t="s">
        <v>4909</v>
      </c>
      <c r="H9464" t="s">
        <v>4909</v>
      </c>
      <c r="I9464" s="88">
        <v>1E-3</v>
      </c>
      <c r="J9464" s="88">
        <v>8.9999999999999993E-3</v>
      </c>
      <c r="K9464" t="s">
        <v>4909</v>
      </c>
    </row>
    <row r="9465" spans="1:11" x14ac:dyDescent="0.2">
      <c r="A9465" t="s">
        <v>4307</v>
      </c>
      <c r="B9465" s="88">
        <v>2E-3</v>
      </c>
      <c r="C9465" t="s">
        <v>4909</v>
      </c>
      <c r="D9465" t="s">
        <v>4909</v>
      </c>
      <c r="E9465" s="88">
        <v>0</v>
      </c>
      <c r="F9465" s="88">
        <v>0</v>
      </c>
      <c r="G9465" t="s">
        <v>4909</v>
      </c>
      <c r="H9465" s="88">
        <v>0</v>
      </c>
      <c r="I9465" s="88">
        <v>0</v>
      </c>
      <c r="J9465" s="88">
        <v>1.4E-2</v>
      </c>
      <c r="K9465" t="s">
        <v>4909</v>
      </c>
    </row>
    <row r="9466" spans="1:11" x14ac:dyDescent="0.2">
      <c r="A9466" t="s">
        <v>4308</v>
      </c>
      <c r="B9466" t="s">
        <v>4909</v>
      </c>
      <c r="C9466" t="s">
        <v>4909</v>
      </c>
      <c r="D9466" t="s">
        <v>4909</v>
      </c>
      <c r="E9466" t="s">
        <v>4909</v>
      </c>
      <c r="F9466" t="s">
        <v>4909</v>
      </c>
      <c r="G9466" t="s">
        <v>4909</v>
      </c>
      <c r="H9466" t="s">
        <v>4909</v>
      </c>
      <c r="I9466" t="s">
        <v>4909</v>
      </c>
      <c r="J9466" t="s">
        <v>4909</v>
      </c>
      <c r="K9466" t="s">
        <v>4909</v>
      </c>
    </row>
    <row r="9467" spans="1:11" x14ac:dyDescent="0.2">
      <c r="A9467" t="s">
        <v>4309</v>
      </c>
      <c r="B9467" t="s">
        <v>4909</v>
      </c>
      <c r="C9467" t="s">
        <v>4909</v>
      </c>
      <c r="D9467" t="s">
        <v>4909</v>
      </c>
      <c r="E9467" t="s">
        <v>4909</v>
      </c>
      <c r="F9467" t="s">
        <v>4909</v>
      </c>
      <c r="G9467" t="s">
        <v>4909</v>
      </c>
      <c r="H9467" t="s">
        <v>4909</v>
      </c>
      <c r="I9467" t="s">
        <v>4909</v>
      </c>
      <c r="J9467" t="s">
        <v>4909</v>
      </c>
      <c r="K9467" t="s">
        <v>4909</v>
      </c>
    </row>
    <row r="9468" spans="1:11" x14ac:dyDescent="0.2">
      <c r="A9468" t="s">
        <v>4310</v>
      </c>
      <c r="B9468" t="s">
        <v>4909</v>
      </c>
      <c r="C9468" t="s">
        <v>4909</v>
      </c>
      <c r="D9468" t="s">
        <v>4909</v>
      </c>
      <c r="E9468" t="s">
        <v>4909</v>
      </c>
      <c r="F9468" t="s">
        <v>4909</v>
      </c>
      <c r="G9468" t="s">
        <v>4909</v>
      </c>
      <c r="H9468" t="s">
        <v>4909</v>
      </c>
      <c r="I9468" t="s">
        <v>4909</v>
      </c>
      <c r="J9468" t="s">
        <v>4909</v>
      </c>
      <c r="K9468" t="s">
        <v>4909</v>
      </c>
    </row>
    <row r="9469" spans="1:11" x14ac:dyDescent="0.2">
      <c r="A9469" t="s">
        <v>4311</v>
      </c>
      <c r="B9469" t="s">
        <v>4909</v>
      </c>
      <c r="C9469" t="s">
        <v>4909</v>
      </c>
      <c r="D9469" t="s">
        <v>4909</v>
      </c>
      <c r="E9469" t="s">
        <v>4909</v>
      </c>
      <c r="F9469" t="s">
        <v>4909</v>
      </c>
      <c r="G9469" t="s">
        <v>4909</v>
      </c>
      <c r="H9469" t="s">
        <v>4909</v>
      </c>
      <c r="I9469" t="s">
        <v>4909</v>
      </c>
      <c r="J9469" t="s">
        <v>4909</v>
      </c>
      <c r="K9469" t="s">
        <v>4909</v>
      </c>
    </row>
    <row r="9470" spans="1:11" x14ac:dyDescent="0.2">
      <c r="A9470" t="s">
        <v>4312</v>
      </c>
      <c r="B9470" t="s">
        <v>4909</v>
      </c>
      <c r="C9470" t="s">
        <v>4909</v>
      </c>
      <c r="D9470" t="s">
        <v>4909</v>
      </c>
      <c r="E9470" t="s">
        <v>4909</v>
      </c>
      <c r="F9470" t="s">
        <v>4909</v>
      </c>
      <c r="G9470" t="s">
        <v>4909</v>
      </c>
      <c r="H9470" t="s">
        <v>4909</v>
      </c>
      <c r="I9470" t="s">
        <v>4909</v>
      </c>
      <c r="J9470" t="s">
        <v>4909</v>
      </c>
      <c r="K9470" t="s">
        <v>4909</v>
      </c>
    </row>
    <row r="9471" spans="1:11" x14ac:dyDescent="0.2">
      <c r="A9471" t="s">
        <v>4313</v>
      </c>
      <c r="B9471" t="s">
        <v>4909</v>
      </c>
      <c r="C9471" t="s">
        <v>4909</v>
      </c>
      <c r="D9471" t="s">
        <v>4909</v>
      </c>
      <c r="E9471" t="s">
        <v>4909</v>
      </c>
      <c r="F9471" t="s">
        <v>4909</v>
      </c>
      <c r="G9471" t="s">
        <v>4909</v>
      </c>
      <c r="H9471" t="s">
        <v>4909</v>
      </c>
      <c r="I9471" t="s">
        <v>4909</v>
      </c>
      <c r="J9471" t="s">
        <v>4909</v>
      </c>
      <c r="K9471" t="s">
        <v>4909</v>
      </c>
    </row>
    <row r="9472" spans="1:11" x14ac:dyDescent="0.2">
      <c r="A9472" t="s">
        <v>4314</v>
      </c>
      <c r="B9472" t="s">
        <v>4909</v>
      </c>
      <c r="C9472" t="s">
        <v>4909</v>
      </c>
      <c r="D9472" t="s">
        <v>4909</v>
      </c>
      <c r="E9472" t="s">
        <v>4909</v>
      </c>
      <c r="F9472" t="s">
        <v>4909</v>
      </c>
      <c r="G9472" t="s">
        <v>4909</v>
      </c>
      <c r="H9472" t="s">
        <v>4909</v>
      </c>
      <c r="I9472" t="s">
        <v>4909</v>
      </c>
      <c r="J9472" t="s">
        <v>4909</v>
      </c>
      <c r="K9472" t="s">
        <v>4909</v>
      </c>
    </row>
    <row r="9473" spans="1:11" x14ac:dyDescent="0.2">
      <c r="A9473" t="s">
        <v>4315</v>
      </c>
      <c r="B9473" t="s">
        <v>4909</v>
      </c>
      <c r="C9473" t="s">
        <v>4909</v>
      </c>
      <c r="D9473" t="s">
        <v>4909</v>
      </c>
      <c r="E9473" t="s">
        <v>4909</v>
      </c>
      <c r="F9473" t="s">
        <v>4909</v>
      </c>
      <c r="G9473" t="s">
        <v>4909</v>
      </c>
      <c r="H9473" t="s">
        <v>4909</v>
      </c>
      <c r="I9473" t="s">
        <v>4909</v>
      </c>
      <c r="J9473" t="s">
        <v>4909</v>
      </c>
      <c r="K9473" t="s">
        <v>4909</v>
      </c>
    </row>
    <row r="9474" spans="1:11" x14ac:dyDescent="0.2">
      <c r="A9474" t="s">
        <v>4316</v>
      </c>
      <c r="B9474" t="s">
        <v>4909</v>
      </c>
      <c r="C9474" t="s">
        <v>4909</v>
      </c>
      <c r="D9474" t="s">
        <v>4909</v>
      </c>
      <c r="E9474" t="s">
        <v>4909</v>
      </c>
      <c r="F9474" t="s">
        <v>4909</v>
      </c>
      <c r="G9474" t="s">
        <v>4909</v>
      </c>
      <c r="H9474" t="s">
        <v>4909</v>
      </c>
      <c r="I9474" t="s">
        <v>4909</v>
      </c>
      <c r="J9474" t="s">
        <v>4909</v>
      </c>
      <c r="K9474" t="s">
        <v>4909</v>
      </c>
    </row>
    <row r="9475" spans="1:11" x14ac:dyDescent="0.2">
      <c r="A9475" t="s">
        <v>4317</v>
      </c>
      <c r="B9475" t="s">
        <v>4909</v>
      </c>
      <c r="C9475" t="s">
        <v>4909</v>
      </c>
      <c r="D9475" t="s">
        <v>4909</v>
      </c>
      <c r="E9475" t="s">
        <v>4909</v>
      </c>
      <c r="F9475" t="s">
        <v>4909</v>
      </c>
      <c r="G9475" t="s">
        <v>4909</v>
      </c>
      <c r="H9475" t="s">
        <v>4909</v>
      </c>
      <c r="I9475" t="s">
        <v>4909</v>
      </c>
      <c r="J9475" t="s">
        <v>4909</v>
      </c>
      <c r="K9475" t="s">
        <v>4909</v>
      </c>
    </row>
    <row r="9476" spans="1:11" x14ac:dyDescent="0.2">
      <c r="A9476" t="s">
        <v>4318</v>
      </c>
      <c r="B9476" t="s">
        <v>4909</v>
      </c>
      <c r="C9476" t="s">
        <v>4909</v>
      </c>
      <c r="D9476" t="s">
        <v>4909</v>
      </c>
      <c r="E9476" t="s">
        <v>4909</v>
      </c>
      <c r="F9476" t="s">
        <v>4909</v>
      </c>
      <c r="G9476" t="s">
        <v>4909</v>
      </c>
      <c r="H9476" t="s">
        <v>4909</v>
      </c>
      <c r="I9476" t="s">
        <v>4909</v>
      </c>
      <c r="J9476" t="s">
        <v>4909</v>
      </c>
      <c r="K9476" t="s">
        <v>4909</v>
      </c>
    </row>
    <row r="9477" spans="1:11" x14ac:dyDescent="0.2">
      <c r="A9477" t="s">
        <v>4319</v>
      </c>
      <c r="B9477" t="s">
        <v>4909</v>
      </c>
      <c r="C9477" t="s">
        <v>4909</v>
      </c>
      <c r="D9477" t="s">
        <v>4909</v>
      </c>
      <c r="E9477" t="s">
        <v>4909</v>
      </c>
      <c r="F9477" t="s">
        <v>4909</v>
      </c>
      <c r="G9477" t="s">
        <v>4909</v>
      </c>
      <c r="H9477" t="s">
        <v>4909</v>
      </c>
      <c r="I9477" t="s">
        <v>4909</v>
      </c>
      <c r="J9477" t="s">
        <v>4909</v>
      </c>
      <c r="K9477" t="s">
        <v>4909</v>
      </c>
    </row>
    <row r="9478" spans="1:11" x14ac:dyDescent="0.2">
      <c r="A9478" t="s">
        <v>4320</v>
      </c>
      <c r="B9478" t="s">
        <v>4909</v>
      </c>
      <c r="C9478" t="s">
        <v>4909</v>
      </c>
      <c r="D9478" t="s">
        <v>4909</v>
      </c>
      <c r="E9478" t="s">
        <v>4909</v>
      </c>
      <c r="F9478" t="s">
        <v>4909</v>
      </c>
      <c r="G9478" t="s">
        <v>4909</v>
      </c>
      <c r="H9478" t="s">
        <v>4909</v>
      </c>
      <c r="I9478" t="s">
        <v>4909</v>
      </c>
      <c r="J9478" t="s">
        <v>4909</v>
      </c>
      <c r="K9478" t="s">
        <v>4909</v>
      </c>
    </row>
    <row r="9479" spans="1:11" x14ac:dyDescent="0.2">
      <c r="A9479" t="s">
        <v>4321</v>
      </c>
      <c r="B9479" t="s">
        <v>4909</v>
      </c>
      <c r="C9479" t="s">
        <v>4909</v>
      </c>
      <c r="D9479" t="s">
        <v>4909</v>
      </c>
      <c r="E9479" t="s">
        <v>4909</v>
      </c>
      <c r="F9479" t="s">
        <v>4909</v>
      </c>
      <c r="G9479" t="s">
        <v>4909</v>
      </c>
      <c r="H9479" t="s">
        <v>4909</v>
      </c>
      <c r="I9479" t="s">
        <v>4909</v>
      </c>
      <c r="J9479" t="s">
        <v>4909</v>
      </c>
      <c r="K9479" t="s">
        <v>4909</v>
      </c>
    </row>
    <row r="9480" spans="1:11" x14ac:dyDescent="0.2">
      <c r="A9480" t="s">
        <v>4322</v>
      </c>
      <c r="B9480" t="s">
        <v>4909</v>
      </c>
      <c r="C9480" t="s">
        <v>4909</v>
      </c>
      <c r="D9480" t="s">
        <v>4909</v>
      </c>
      <c r="E9480" t="s">
        <v>4909</v>
      </c>
      <c r="F9480" t="s">
        <v>4909</v>
      </c>
      <c r="G9480" t="s">
        <v>4909</v>
      </c>
      <c r="H9480" t="s">
        <v>4909</v>
      </c>
      <c r="I9480" t="s">
        <v>4909</v>
      </c>
      <c r="J9480" t="s">
        <v>4909</v>
      </c>
      <c r="K9480" t="s">
        <v>4909</v>
      </c>
    </row>
    <row r="9481" spans="1:11" x14ac:dyDescent="0.2">
      <c r="A9481" t="s">
        <v>4323</v>
      </c>
      <c r="B9481" t="s">
        <v>4909</v>
      </c>
      <c r="C9481" t="s">
        <v>4909</v>
      </c>
      <c r="D9481" t="s">
        <v>4909</v>
      </c>
      <c r="E9481" t="s">
        <v>4909</v>
      </c>
      <c r="F9481" t="s">
        <v>4909</v>
      </c>
      <c r="G9481" t="s">
        <v>4909</v>
      </c>
      <c r="H9481" t="s">
        <v>4909</v>
      </c>
      <c r="I9481" t="s">
        <v>4909</v>
      </c>
      <c r="J9481" t="s">
        <v>4909</v>
      </c>
      <c r="K9481" t="s">
        <v>4909</v>
      </c>
    </row>
    <row r="9482" spans="1:11" x14ac:dyDescent="0.2">
      <c r="A9482" t="s">
        <v>4324</v>
      </c>
      <c r="B9482" t="s">
        <v>4909</v>
      </c>
      <c r="C9482" t="s">
        <v>4909</v>
      </c>
      <c r="D9482" t="s">
        <v>4909</v>
      </c>
      <c r="E9482" t="s">
        <v>4909</v>
      </c>
      <c r="F9482" t="s">
        <v>4909</v>
      </c>
      <c r="G9482" t="s">
        <v>4909</v>
      </c>
      <c r="H9482" t="s">
        <v>4909</v>
      </c>
      <c r="I9482" t="s">
        <v>4909</v>
      </c>
      <c r="J9482" t="s">
        <v>4909</v>
      </c>
      <c r="K9482" t="s">
        <v>4909</v>
      </c>
    </row>
    <row r="9483" spans="1:11" x14ac:dyDescent="0.2">
      <c r="A9483" t="s">
        <v>4325</v>
      </c>
      <c r="B9483" t="s">
        <v>4909</v>
      </c>
      <c r="C9483" t="s">
        <v>4909</v>
      </c>
      <c r="D9483" t="s">
        <v>4909</v>
      </c>
      <c r="E9483" t="s">
        <v>4909</v>
      </c>
      <c r="F9483" t="s">
        <v>4909</v>
      </c>
      <c r="G9483" t="s">
        <v>4909</v>
      </c>
      <c r="H9483" t="s">
        <v>4909</v>
      </c>
      <c r="I9483" t="s">
        <v>4909</v>
      </c>
      <c r="J9483" t="s">
        <v>4909</v>
      </c>
      <c r="K9483" t="s">
        <v>4909</v>
      </c>
    </row>
    <row r="9484" spans="1:11" x14ac:dyDescent="0.2">
      <c r="A9484" t="s">
        <v>4326</v>
      </c>
      <c r="B9484" t="s">
        <v>4909</v>
      </c>
      <c r="C9484" t="s">
        <v>4909</v>
      </c>
      <c r="D9484" t="s">
        <v>4909</v>
      </c>
      <c r="E9484" t="s">
        <v>4909</v>
      </c>
      <c r="F9484" t="s">
        <v>4909</v>
      </c>
      <c r="G9484" t="s">
        <v>4909</v>
      </c>
      <c r="H9484" t="s">
        <v>4909</v>
      </c>
      <c r="I9484" t="s">
        <v>4909</v>
      </c>
      <c r="J9484" t="s">
        <v>4909</v>
      </c>
      <c r="K9484" t="s">
        <v>4909</v>
      </c>
    </row>
    <row r="9485" spans="1:11" x14ac:dyDescent="0.2">
      <c r="A9485" t="s">
        <v>4327</v>
      </c>
      <c r="B9485" t="s">
        <v>4909</v>
      </c>
      <c r="C9485" t="s">
        <v>4909</v>
      </c>
      <c r="D9485" t="s">
        <v>4909</v>
      </c>
      <c r="E9485" t="s">
        <v>4909</v>
      </c>
      <c r="F9485" t="s">
        <v>4909</v>
      </c>
      <c r="G9485" t="s">
        <v>4909</v>
      </c>
      <c r="H9485" t="s">
        <v>4909</v>
      </c>
      <c r="I9485" t="s">
        <v>4909</v>
      </c>
      <c r="J9485" t="s">
        <v>4909</v>
      </c>
      <c r="K9485" t="s">
        <v>4909</v>
      </c>
    </row>
    <row r="9486" spans="1:11" x14ac:dyDescent="0.2">
      <c r="A9486" t="s">
        <v>4328</v>
      </c>
      <c r="B9486" t="s">
        <v>4909</v>
      </c>
      <c r="C9486" t="s">
        <v>4909</v>
      </c>
      <c r="D9486" t="s">
        <v>4909</v>
      </c>
      <c r="E9486" t="s">
        <v>4909</v>
      </c>
      <c r="F9486" t="s">
        <v>4909</v>
      </c>
      <c r="G9486" t="s">
        <v>4909</v>
      </c>
      <c r="H9486" t="s">
        <v>4909</v>
      </c>
      <c r="I9486" t="s">
        <v>4909</v>
      </c>
      <c r="J9486" t="s">
        <v>4909</v>
      </c>
      <c r="K9486" t="s">
        <v>4909</v>
      </c>
    </row>
    <row r="9487" spans="1:11" x14ac:dyDescent="0.2">
      <c r="A9487" t="s">
        <v>4329</v>
      </c>
      <c r="B9487" t="s">
        <v>4909</v>
      </c>
      <c r="C9487" t="s">
        <v>4909</v>
      </c>
      <c r="D9487" t="s">
        <v>4909</v>
      </c>
      <c r="E9487" t="s">
        <v>4909</v>
      </c>
      <c r="F9487" t="s">
        <v>4909</v>
      </c>
      <c r="G9487" t="s">
        <v>4909</v>
      </c>
      <c r="H9487" t="s">
        <v>4909</v>
      </c>
      <c r="I9487" t="s">
        <v>4909</v>
      </c>
      <c r="J9487" t="s">
        <v>4909</v>
      </c>
      <c r="K9487" t="s">
        <v>4909</v>
      </c>
    </row>
    <row r="9488" spans="1:11" x14ac:dyDescent="0.2">
      <c r="A9488" t="s">
        <v>4330</v>
      </c>
      <c r="B9488" t="s">
        <v>4909</v>
      </c>
      <c r="C9488" t="s">
        <v>4909</v>
      </c>
      <c r="D9488" t="s">
        <v>4909</v>
      </c>
      <c r="E9488" t="s">
        <v>4909</v>
      </c>
      <c r="F9488" t="s">
        <v>4909</v>
      </c>
      <c r="G9488" t="s">
        <v>4909</v>
      </c>
      <c r="H9488" t="s">
        <v>4909</v>
      </c>
      <c r="I9488" t="s">
        <v>4909</v>
      </c>
      <c r="J9488" t="s">
        <v>4909</v>
      </c>
      <c r="K9488" t="s">
        <v>4909</v>
      </c>
    </row>
    <row r="9489" spans="1:11" x14ac:dyDescent="0.2">
      <c r="A9489" t="s">
        <v>4331</v>
      </c>
      <c r="B9489" t="s">
        <v>4909</v>
      </c>
      <c r="C9489" t="s">
        <v>4909</v>
      </c>
      <c r="D9489" t="s">
        <v>4909</v>
      </c>
      <c r="E9489" t="s">
        <v>4909</v>
      </c>
      <c r="F9489" t="s">
        <v>4909</v>
      </c>
      <c r="G9489" t="s">
        <v>4909</v>
      </c>
      <c r="H9489" t="s">
        <v>4909</v>
      </c>
      <c r="I9489" t="s">
        <v>4909</v>
      </c>
      <c r="J9489" t="s">
        <v>4909</v>
      </c>
      <c r="K9489" t="s">
        <v>4909</v>
      </c>
    </row>
    <row r="9490" spans="1:11" x14ac:dyDescent="0.2">
      <c r="A9490" t="s">
        <v>4332</v>
      </c>
      <c r="B9490" t="s">
        <v>4909</v>
      </c>
      <c r="C9490" t="s">
        <v>4909</v>
      </c>
      <c r="D9490" t="s">
        <v>4909</v>
      </c>
      <c r="E9490" t="s">
        <v>4909</v>
      </c>
      <c r="F9490" t="s">
        <v>4909</v>
      </c>
      <c r="G9490" t="s">
        <v>4909</v>
      </c>
      <c r="H9490" t="s">
        <v>4909</v>
      </c>
      <c r="I9490" t="s">
        <v>4909</v>
      </c>
      <c r="J9490" t="s">
        <v>4909</v>
      </c>
      <c r="K9490" t="s">
        <v>4909</v>
      </c>
    </row>
    <row r="9491" spans="1:11" x14ac:dyDescent="0.2">
      <c r="A9491" t="s">
        <v>4333</v>
      </c>
      <c r="B9491" t="s">
        <v>4909</v>
      </c>
      <c r="C9491" t="s">
        <v>4909</v>
      </c>
      <c r="D9491" t="s">
        <v>4909</v>
      </c>
      <c r="E9491" t="s">
        <v>4909</v>
      </c>
      <c r="F9491" t="s">
        <v>4909</v>
      </c>
      <c r="G9491" t="s">
        <v>4909</v>
      </c>
      <c r="H9491" t="s">
        <v>4909</v>
      </c>
      <c r="I9491" t="s">
        <v>4909</v>
      </c>
      <c r="J9491" t="s">
        <v>4909</v>
      </c>
      <c r="K9491" t="s">
        <v>4909</v>
      </c>
    </row>
    <row r="9492" spans="1:11" x14ac:dyDescent="0.2">
      <c r="A9492" t="s">
        <v>4334</v>
      </c>
      <c r="B9492" t="s">
        <v>4909</v>
      </c>
      <c r="C9492" t="s">
        <v>4909</v>
      </c>
      <c r="D9492" t="s">
        <v>4909</v>
      </c>
      <c r="E9492" t="s">
        <v>4909</v>
      </c>
      <c r="F9492" t="s">
        <v>4909</v>
      </c>
      <c r="G9492" t="s">
        <v>4909</v>
      </c>
      <c r="H9492" t="s">
        <v>4909</v>
      </c>
      <c r="I9492" t="s">
        <v>4909</v>
      </c>
      <c r="J9492" t="s">
        <v>4909</v>
      </c>
      <c r="K9492" t="s">
        <v>4909</v>
      </c>
    </row>
    <row r="9493" spans="1:11" x14ac:dyDescent="0.2">
      <c r="A9493" t="s">
        <v>4335</v>
      </c>
      <c r="B9493" t="s">
        <v>4909</v>
      </c>
      <c r="C9493" t="s">
        <v>4909</v>
      </c>
      <c r="D9493" t="s">
        <v>4909</v>
      </c>
      <c r="E9493" t="s">
        <v>4909</v>
      </c>
      <c r="F9493" t="s">
        <v>4909</v>
      </c>
      <c r="G9493" t="s">
        <v>4909</v>
      </c>
      <c r="H9493" t="s">
        <v>4909</v>
      </c>
      <c r="I9493" t="s">
        <v>4909</v>
      </c>
      <c r="J9493" t="s">
        <v>4909</v>
      </c>
      <c r="K9493" t="s">
        <v>4909</v>
      </c>
    </row>
    <row r="9494" spans="1:11" x14ac:dyDescent="0.2">
      <c r="A9494" t="s">
        <v>4336</v>
      </c>
      <c r="B9494" t="s">
        <v>4909</v>
      </c>
      <c r="C9494" t="s">
        <v>4909</v>
      </c>
      <c r="D9494" t="s">
        <v>4909</v>
      </c>
      <c r="E9494" t="s">
        <v>4909</v>
      </c>
      <c r="F9494" t="s">
        <v>4909</v>
      </c>
      <c r="G9494" t="s">
        <v>4909</v>
      </c>
      <c r="H9494" t="s">
        <v>4909</v>
      </c>
      <c r="I9494" t="s">
        <v>4909</v>
      </c>
      <c r="J9494" t="s">
        <v>4909</v>
      </c>
      <c r="K9494" t="s">
        <v>4909</v>
      </c>
    </row>
    <row r="9495" spans="1:11" x14ac:dyDescent="0.2">
      <c r="A9495" t="s">
        <v>4337</v>
      </c>
      <c r="B9495" t="s">
        <v>4909</v>
      </c>
      <c r="C9495" t="s">
        <v>4909</v>
      </c>
      <c r="D9495" t="s">
        <v>4909</v>
      </c>
      <c r="E9495" t="s">
        <v>4909</v>
      </c>
      <c r="F9495" t="s">
        <v>4909</v>
      </c>
      <c r="G9495" t="s">
        <v>4909</v>
      </c>
      <c r="H9495" t="s">
        <v>4909</v>
      </c>
      <c r="I9495" t="s">
        <v>4909</v>
      </c>
      <c r="J9495" t="s">
        <v>4909</v>
      </c>
      <c r="K9495" t="s">
        <v>4909</v>
      </c>
    </row>
    <row r="9496" spans="1:11" x14ac:dyDescent="0.2">
      <c r="A9496" t="s">
        <v>4338</v>
      </c>
      <c r="B9496" t="s">
        <v>4909</v>
      </c>
      <c r="C9496" t="s">
        <v>4909</v>
      </c>
      <c r="D9496" t="s">
        <v>4909</v>
      </c>
      <c r="E9496" t="s">
        <v>4909</v>
      </c>
      <c r="F9496" t="s">
        <v>4909</v>
      </c>
      <c r="G9496" t="s">
        <v>4909</v>
      </c>
      <c r="H9496" t="s">
        <v>4909</v>
      </c>
      <c r="I9496" t="s">
        <v>4909</v>
      </c>
      <c r="J9496" t="s">
        <v>4909</v>
      </c>
      <c r="K9496" t="s">
        <v>4909</v>
      </c>
    </row>
    <row r="9497" spans="1:11" x14ac:dyDescent="0.2">
      <c r="A9497" t="s">
        <v>4339</v>
      </c>
      <c r="B9497" t="s">
        <v>4909</v>
      </c>
      <c r="C9497" t="s">
        <v>4909</v>
      </c>
      <c r="D9497" t="s">
        <v>4909</v>
      </c>
      <c r="E9497" t="s">
        <v>4909</v>
      </c>
      <c r="F9497" t="s">
        <v>4909</v>
      </c>
      <c r="G9497" t="s">
        <v>4909</v>
      </c>
      <c r="H9497" t="s">
        <v>4909</v>
      </c>
      <c r="I9497" t="s">
        <v>4909</v>
      </c>
      <c r="J9497" t="s">
        <v>4909</v>
      </c>
      <c r="K9497" t="s">
        <v>4909</v>
      </c>
    </row>
    <row r="9498" spans="1:11" x14ac:dyDescent="0.2">
      <c r="A9498" t="s">
        <v>4340</v>
      </c>
      <c r="B9498" t="s">
        <v>4909</v>
      </c>
      <c r="C9498" t="s">
        <v>4909</v>
      </c>
      <c r="D9498" t="s">
        <v>4909</v>
      </c>
      <c r="E9498" t="s">
        <v>4909</v>
      </c>
      <c r="F9498" t="s">
        <v>4909</v>
      </c>
      <c r="G9498" t="s">
        <v>4909</v>
      </c>
      <c r="H9498" t="s">
        <v>4909</v>
      </c>
      <c r="I9498" t="s">
        <v>4909</v>
      </c>
      <c r="J9498" t="s">
        <v>4909</v>
      </c>
      <c r="K9498" t="s">
        <v>4909</v>
      </c>
    </row>
    <row r="9499" spans="1:11" x14ac:dyDescent="0.2">
      <c r="A9499" t="s">
        <v>4341</v>
      </c>
      <c r="B9499" t="s">
        <v>4909</v>
      </c>
      <c r="C9499" t="s">
        <v>4909</v>
      </c>
      <c r="D9499" t="s">
        <v>4909</v>
      </c>
      <c r="E9499" t="s">
        <v>4909</v>
      </c>
      <c r="F9499" t="s">
        <v>4909</v>
      </c>
      <c r="G9499" t="s">
        <v>4909</v>
      </c>
      <c r="H9499" t="s">
        <v>4909</v>
      </c>
      <c r="I9499" t="s">
        <v>4909</v>
      </c>
      <c r="J9499" t="s">
        <v>4909</v>
      </c>
      <c r="K9499" t="s">
        <v>4909</v>
      </c>
    </row>
    <row r="9500" spans="1:11" x14ac:dyDescent="0.2">
      <c r="A9500" t="s">
        <v>4342</v>
      </c>
      <c r="B9500" t="s">
        <v>4909</v>
      </c>
      <c r="C9500" t="s">
        <v>4909</v>
      </c>
      <c r="D9500" t="s">
        <v>4909</v>
      </c>
      <c r="E9500" t="s">
        <v>4909</v>
      </c>
      <c r="F9500" t="s">
        <v>4909</v>
      </c>
      <c r="G9500" t="s">
        <v>4909</v>
      </c>
      <c r="H9500" t="s">
        <v>4909</v>
      </c>
      <c r="I9500" t="s">
        <v>4909</v>
      </c>
      <c r="J9500" t="s">
        <v>4909</v>
      </c>
      <c r="K9500" t="s">
        <v>4909</v>
      </c>
    </row>
    <row r="9501" spans="1:11" x14ac:dyDescent="0.2">
      <c r="A9501" t="s">
        <v>4343</v>
      </c>
      <c r="B9501" t="s">
        <v>4909</v>
      </c>
      <c r="C9501" t="s">
        <v>4909</v>
      </c>
      <c r="D9501" t="s">
        <v>4909</v>
      </c>
      <c r="E9501" t="s">
        <v>4909</v>
      </c>
      <c r="F9501" t="s">
        <v>4909</v>
      </c>
      <c r="G9501" t="s">
        <v>4909</v>
      </c>
      <c r="H9501" t="s">
        <v>4909</v>
      </c>
      <c r="I9501" t="s">
        <v>4909</v>
      </c>
      <c r="J9501" t="s">
        <v>4909</v>
      </c>
      <c r="K9501" t="s">
        <v>4909</v>
      </c>
    </row>
    <row r="9502" spans="1:11" x14ac:dyDescent="0.2">
      <c r="A9502" t="s">
        <v>1728</v>
      </c>
      <c r="B9502" t="s">
        <v>4909</v>
      </c>
      <c r="C9502" t="s">
        <v>4909</v>
      </c>
      <c r="D9502" t="s">
        <v>4909</v>
      </c>
      <c r="E9502" t="s">
        <v>4909</v>
      </c>
      <c r="F9502" t="s">
        <v>4909</v>
      </c>
      <c r="G9502" t="s">
        <v>4909</v>
      </c>
      <c r="H9502" t="s">
        <v>4909</v>
      </c>
      <c r="I9502" t="s">
        <v>4909</v>
      </c>
      <c r="J9502" t="s">
        <v>4909</v>
      </c>
      <c r="K9502" t="s">
        <v>4909</v>
      </c>
    </row>
    <row r="9503" spans="1:11" x14ac:dyDescent="0.2">
      <c r="A9503" t="s">
        <v>1730</v>
      </c>
      <c r="B9503" s="88">
        <v>0.01</v>
      </c>
      <c r="C9503" t="s">
        <v>4909</v>
      </c>
      <c r="D9503" t="s">
        <v>4909</v>
      </c>
      <c r="E9503" s="88">
        <v>0</v>
      </c>
      <c r="F9503" s="88">
        <v>1E-3</v>
      </c>
      <c r="G9503" t="s">
        <v>4909</v>
      </c>
      <c r="H9503" s="88">
        <v>0</v>
      </c>
      <c r="I9503" s="88">
        <v>0</v>
      </c>
      <c r="J9503" s="88">
        <v>3.1E-2</v>
      </c>
      <c r="K9503" t="s">
        <v>4909</v>
      </c>
    </row>
    <row r="9504" spans="1:11" x14ac:dyDescent="0.2">
      <c r="A9504" t="s">
        <v>1733</v>
      </c>
      <c r="B9504" t="s">
        <v>4909</v>
      </c>
      <c r="C9504" t="s">
        <v>4909</v>
      </c>
      <c r="D9504" t="s">
        <v>4909</v>
      </c>
      <c r="E9504" t="s">
        <v>4909</v>
      </c>
      <c r="F9504" t="s">
        <v>4909</v>
      </c>
      <c r="G9504" t="s">
        <v>4909</v>
      </c>
      <c r="H9504" t="s">
        <v>4909</v>
      </c>
      <c r="I9504" t="s">
        <v>4909</v>
      </c>
      <c r="J9504" t="s">
        <v>4909</v>
      </c>
      <c r="K9504" t="s">
        <v>4909</v>
      </c>
    </row>
    <row r="9505" spans="1:11" x14ac:dyDescent="0.2">
      <c r="A9505" t="s">
        <v>1738</v>
      </c>
      <c r="B9505" t="s">
        <v>4909</v>
      </c>
      <c r="C9505" t="s">
        <v>4909</v>
      </c>
      <c r="D9505" t="s">
        <v>4909</v>
      </c>
      <c r="E9505" t="s">
        <v>4909</v>
      </c>
      <c r="F9505" t="s">
        <v>4909</v>
      </c>
      <c r="G9505" t="s">
        <v>4909</v>
      </c>
      <c r="H9505" t="s">
        <v>4909</v>
      </c>
      <c r="I9505" t="s">
        <v>4909</v>
      </c>
      <c r="J9505" t="s">
        <v>4909</v>
      </c>
      <c r="K9505" t="s">
        <v>4909</v>
      </c>
    </row>
    <row r="9506" spans="1:11" x14ac:dyDescent="0.2">
      <c r="A9506" t="s">
        <v>1744</v>
      </c>
      <c r="B9506" t="s">
        <v>4909</v>
      </c>
      <c r="C9506" t="s">
        <v>4909</v>
      </c>
      <c r="D9506" t="s">
        <v>4909</v>
      </c>
      <c r="E9506" t="s">
        <v>4909</v>
      </c>
      <c r="F9506" t="s">
        <v>4909</v>
      </c>
      <c r="G9506" t="s">
        <v>4909</v>
      </c>
      <c r="H9506" t="s">
        <v>4909</v>
      </c>
      <c r="I9506" t="s">
        <v>4909</v>
      </c>
      <c r="J9506" t="s">
        <v>4909</v>
      </c>
      <c r="K9506" t="s">
        <v>4909</v>
      </c>
    </row>
    <row r="9507" spans="1:11" x14ac:dyDescent="0.2">
      <c r="A9507" t="s">
        <v>1747</v>
      </c>
      <c r="B9507" t="s">
        <v>4909</v>
      </c>
      <c r="C9507" t="s">
        <v>4909</v>
      </c>
      <c r="D9507" t="s">
        <v>4909</v>
      </c>
      <c r="E9507" t="s">
        <v>4909</v>
      </c>
      <c r="F9507" t="s">
        <v>4909</v>
      </c>
      <c r="G9507" t="s">
        <v>4909</v>
      </c>
      <c r="H9507" t="s">
        <v>4909</v>
      </c>
      <c r="I9507" t="s">
        <v>4909</v>
      </c>
      <c r="J9507" t="s">
        <v>4909</v>
      </c>
      <c r="K9507" t="s">
        <v>4909</v>
      </c>
    </row>
    <row r="9508" spans="1:11" x14ac:dyDescent="0.2">
      <c r="A9508" t="s">
        <v>1751</v>
      </c>
      <c r="B9508" t="s">
        <v>4909</v>
      </c>
      <c r="C9508" t="s">
        <v>4909</v>
      </c>
      <c r="D9508" t="s">
        <v>4909</v>
      </c>
      <c r="E9508" t="s">
        <v>4909</v>
      </c>
      <c r="F9508" t="s">
        <v>4909</v>
      </c>
      <c r="G9508" t="s">
        <v>4909</v>
      </c>
      <c r="H9508" t="s">
        <v>4909</v>
      </c>
      <c r="I9508" t="s">
        <v>4909</v>
      </c>
      <c r="J9508" t="s">
        <v>4909</v>
      </c>
      <c r="K9508" t="s">
        <v>4909</v>
      </c>
    </row>
    <row r="9509" spans="1:11" x14ac:dyDescent="0.2">
      <c r="A9509" t="s">
        <v>1755</v>
      </c>
      <c r="B9509" s="88">
        <v>4.2000000000000003E-2</v>
      </c>
      <c r="C9509" t="s">
        <v>4909</v>
      </c>
      <c r="D9509" t="s">
        <v>4909</v>
      </c>
      <c r="E9509" s="88">
        <v>2E-3</v>
      </c>
      <c r="F9509" s="88">
        <v>6.0000000000000001E-3</v>
      </c>
      <c r="G9509" t="s">
        <v>4909</v>
      </c>
      <c r="H9509" t="s">
        <v>4909</v>
      </c>
      <c r="I9509" t="s">
        <v>4909</v>
      </c>
      <c r="J9509" s="88">
        <v>7.0000000000000001E-3</v>
      </c>
      <c r="K9509" t="s">
        <v>4909</v>
      </c>
    </row>
    <row r="9510" spans="1:11" x14ac:dyDescent="0.2">
      <c r="A9510" t="s">
        <v>1757</v>
      </c>
      <c r="B9510" s="88">
        <v>4.3999999999999997E-2</v>
      </c>
      <c r="C9510" t="s">
        <v>4909</v>
      </c>
      <c r="D9510" s="88">
        <v>0</v>
      </c>
      <c r="E9510" s="88">
        <v>2E-3</v>
      </c>
      <c r="F9510" s="88">
        <v>6.0000000000000001E-3</v>
      </c>
      <c r="G9510" t="s">
        <v>4909</v>
      </c>
      <c r="H9510" t="s">
        <v>4909</v>
      </c>
      <c r="I9510" s="88">
        <v>0</v>
      </c>
      <c r="J9510" s="88">
        <v>1.0999999999999999E-2</v>
      </c>
      <c r="K9510" t="s">
        <v>4909</v>
      </c>
    </row>
    <row r="9511" spans="1:11" x14ac:dyDescent="0.2">
      <c r="A9511" t="s">
        <v>1761</v>
      </c>
      <c r="B9511" t="s">
        <v>4909</v>
      </c>
      <c r="C9511" t="s">
        <v>4909</v>
      </c>
      <c r="D9511" t="s">
        <v>4909</v>
      </c>
      <c r="E9511" t="s">
        <v>4909</v>
      </c>
      <c r="F9511" t="s">
        <v>4909</v>
      </c>
      <c r="G9511" t="s">
        <v>4909</v>
      </c>
      <c r="H9511" t="s">
        <v>4909</v>
      </c>
      <c r="I9511" t="s">
        <v>4909</v>
      </c>
      <c r="J9511" t="s">
        <v>4909</v>
      </c>
      <c r="K9511" t="s">
        <v>4909</v>
      </c>
    </row>
    <row r="9512" spans="1:11" x14ac:dyDescent="0.2">
      <c r="A9512" t="s">
        <v>1764</v>
      </c>
      <c r="B9512" t="s">
        <v>4909</v>
      </c>
      <c r="C9512" t="s">
        <v>4909</v>
      </c>
      <c r="D9512" t="s">
        <v>4909</v>
      </c>
      <c r="E9512" t="s">
        <v>4909</v>
      </c>
      <c r="F9512" t="s">
        <v>4909</v>
      </c>
      <c r="G9512" t="s">
        <v>4909</v>
      </c>
      <c r="H9512" t="s">
        <v>4909</v>
      </c>
      <c r="I9512" t="s">
        <v>4909</v>
      </c>
      <c r="J9512" t="s">
        <v>4909</v>
      </c>
      <c r="K9512" t="s">
        <v>4909</v>
      </c>
    </row>
    <row r="9513" spans="1:11" x14ac:dyDescent="0.2">
      <c r="A9513" t="s">
        <v>1770</v>
      </c>
      <c r="B9513" s="88">
        <v>3.0000000000000001E-3</v>
      </c>
      <c r="C9513" t="s">
        <v>4909</v>
      </c>
      <c r="D9513" t="s">
        <v>4909</v>
      </c>
      <c r="E9513" s="88">
        <v>0</v>
      </c>
      <c r="F9513" s="88">
        <v>0</v>
      </c>
      <c r="G9513" t="s">
        <v>4909</v>
      </c>
      <c r="H9513" s="88">
        <v>0</v>
      </c>
      <c r="I9513" s="88">
        <v>0</v>
      </c>
      <c r="J9513" s="88">
        <v>5.0000000000000001E-3</v>
      </c>
      <c r="K9513" t="s">
        <v>4909</v>
      </c>
    </row>
    <row r="9514" spans="1:11" x14ac:dyDescent="0.2">
      <c r="A9514" t="s">
        <v>1772</v>
      </c>
      <c r="B9514" s="88">
        <v>1E-3</v>
      </c>
      <c r="C9514" t="s">
        <v>4909</v>
      </c>
      <c r="D9514" t="s">
        <v>4909</v>
      </c>
      <c r="E9514" t="s">
        <v>4909</v>
      </c>
      <c r="F9514" t="s">
        <v>4909</v>
      </c>
      <c r="G9514" t="s">
        <v>4909</v>
      </c>
      <c r="H9514" t="s">
        <v>4909</v>
      </c>
      <c r="I9514" t="s">
        <v>4909</v>
      </c>
      <c r="J9514" t="s">
        <v>4909</v>
      </c>
      <c r="K9514" t="s">
        <v>4909</v>
      </c>
    </row>
    <row r="9515" spans="1:11" x14ac:dyDescent="0.2">
      <c r="A9515" t="s">
        <v>1774</v>
      </c>
      <c r="B9515" s="88">
        <v>1.2999999999999999E-2</v>
      </c>
      <c r="C9515" t="s">
        <v>4909</v>
      </c>
      <c r="D9515" t="s">
        <v>4909</v>
      </c>
      <c r="E9515" s="88">
        <v>7.0000000000000001E-3</v>
      </c>
      <c r="F9515" s="88">
        <v>4.0000000000000001E-3</v>
      </c>
      <c r="G9515" t="s">
        <v>4909</v>
      </c>
      <c r="H9515" t="s">
        <v>4909</v>
      </c>
      <c r="I9515" t="s">
        <v>4909</v>
      </c>
      <c r="J9515" t="s">
        <v>4909</v>
      </c>
      <c r="K9515" t="s">
        <v>4909</v>
      </c>
    </row>
    <row r="9516" spans="1:11" x14ac:dyDescent="0.2">
      <c r="A9516" t="s">
        <v>1777</v>
      </c>
      <c r="B9516" t="s">
        <v>4909</v>
      </c>
      <c r="C9516" t="s">
        <v>4909</v>
      </c>
      <c r="D9516" t="s">
        <v>4909</v>
      </c>
      <c r="E9516" t="s">
        <v>4909</v>
      </c>
      <c r="F9516" t="s">
        <v>4909</v>
      </c>
      <c r="G9516" t="s">
        <v>4909</v>
      </c>
      <c r="H9516" t="s">
        <v>4909</v>
      </c>
      <c r="I9516" t="s">
        <v>4909</v>
      </c>
      <c r="J9516" t="s">
        <v>4909</v>
      </c>
      <c r="K9516" t="s">
        <v>4909</v>
      </c>
    </row>
    <row r="9517" spans="1:11" x14ac:dyDescent="0.2">
      <c r="A9517" t="s">
        <v>1782</v>
      </c>
      <c r="B9517" t="s">
        <v>4909</v>
      </c>
      <c r="C9517" t="s">
        <v>4909</v>
      </c>
      <c r="D9517" t="s">
        <v>4909</v>
      </c>
      <c r="E9517" t="s">
        <v>4909</v>
      </c>
      <c r="F9517" t="s">
        <v>4909</v>
      </c>
      <c r="G9517" t="s">
        <v>4909</v>
      </c>
      <c r="H9517" t="s">
        <v>4909</v>
      </c>
      <c r="I9517" t="s">
        <v>4909</v>
      </c>
      <c r="J9517" t="s">
        <v>4909</v>
      </c>
      <c r="K9517" t="s">
        <v>4909</v>
      </c>
    </row>
    <row r="9518" spans="1:11" x14ac:dyDescent="0.2">
      <c r="A9518" t="s">
        <v>1274</v>
      </c>
      <c r="B9518" s="88">
        <v>0</v>
      </c>
      <c r="C9518" t="s">
        <v>4909</v>
      </c>
      <c r="D9518" t="s">
        <v>4909</v>
      </c>
      <c r="E9518" s="88">
        <v>0</v>
      </c>
      <c r="F9518" s="88">
        <v>0</v>
      </c>
      <c r="G9518" t="s">
        <v>4909</v>
      </c>
      <c r="H9518" t="s">
        <v>4909</v>
      </c>
      <c r="I9518" t="s">
        <v>4909</v>
      </c>
      <c r="J9518" t="s">
        <v>4909</v>
      </c>
      <c r="K9518" t="s">
        <v>4909</v>
      </c>
    </row>
    <row r="9519" spans="1:11" x14ac:dyDescent="0.2">
      <c r="A9519" t="s">
        <v>1277</v>
      </c>
      <c r="B9519" s="88">
        <v>0</v>
      </c>
      <c r="C9519" t="s">
        <v>4909</v>
      </c>
      <c r="D9519" t="s">
        <v>4909</v>
      </c>
      <c r="E9519" s="88">
        <v>0</v>
      </c>
      <c r="F9519" s="88">
        <v>0</v>
      </c>
      <c r="G9519" t="s">
        <v>4909</v>
      </c>
      <c r="H9519" t="s">
        <v>4909</v>
      </c>
      <c r="I9519" t="s">
        <v>4909</v>
      </c>
      <c r="J9519" t="s">
        <v>4909</v>
      </c>
      <c r="K9519" t="s">
        <v>4909</v>
      </c>
    </row>
    <row r="9520" spans="1:11" x14ac:dyDescent="0.2">
      <c r="A9520" t="s">
        <v>1798</v>
      </c>
      <c r="B9520" t="s">
        <v>4909</v>
      </c>
      <c r="C9520" t="s">
        <v>4909</v>
      </c>
      <c r="D9520" t="s">
        <v>4909</v>
      </c>
      <c r="E9520" t="s">
        <v>4909</v>
      </c>
      <c r="F9520" t="s">
        <v>4909</v>
      </c>
      <c r="G9520" t="s">
        <v>4909</v>
      </c>
      <c r="H9520" t="s">
        <v>4909</v>
      </c>
      <c r="I9520" t="s">
        <v>4909</v>
      </c>
      <c r="J9520" t="s">
        <v>4909</v>
      </c>
      <c r="K9520" t="s">
        <v>4909</v>
      </c>
    </row>
    <row r="9521" spans="1:11" x14ac:dyDescent="0.2">
      <c r="A9521" t="s">
        <v>1803</v>
      </c>
      <c r="B9521" t="s">
        <v>4909</v>
      </c>
      <c r="C9521" t="s">
        <v>4909</v>
      </c>
      <c r="D9521" t="s">
        <v>4909</v>
      </c>
      <c r="E9521" t="s">
        <v>4909</v>
      </c>
      <c r="F9521" t="s">
        <v>4909</v>
      </c>
      <c r="G9521" t="s">
        <v>4909</v>
      </c>
      <c r="H9521" t="s">
        <v>4909</v>
      </c>
      <c r="I9521" t="s">
        <v>4909</v>
      </c>
      <c r="J9521" t="s">
        <v>4909</v>
      </c>
      <c r="K9521" t="s">
        <v>4909</v>
      </c>
    </row>
    <row r="9522" spans="1:11" x14ac:dyDescent="0.2">
      <c r="A9522" t="s">
        <v>1808</v>
      </c>
      <c r="B9522" t="s">
        <v>4909</v>
      </c>
      <c r="C9522" t="s">
        <v>4909</v>
      </c>
      <c r="D9522" t="s">
        <v>4909</v>
      </c>
      <c r="E9522" t="s">
        <v>4909</v>
      </c>
      <c r="F9522" t="s">
        <v>4909</v>
      </c>
      <c r="G9522" t="s">
        <v>4909</v>
      </c>
      <c r="H9522" t="s">
        <v>4909</v>
      </c>
      <c r="I9522" t="s">
        <v>4909</v>
      </c>
      <c r="J9522" t="s">
        <v>4909</v>
      </c>
      <c r="K9522" t="s">
        <v>4909</v>
      </c>
    </row>
    <row r="9523" spans="1:11" x14ac:dyDescent="0.2">
      <c r="A9523" t="s">
        <v>1813</v>
      </c>
      <c r="B9523" t="s">
        <v>4909</v>
      </c>
      <c r="C9523" t="s">
        <v>4909</v>
      </c>
      <c r="D9523" t="s">
        <v>4909</v>
      </c>
      <c r="E9523" t="s">
        <v>4909</v>
      </c>
      <c r="F9523" t="s">
        <v>4909</v>
      </c>
      <c r="G9523" t="s">
        <v>4909</v>
      </c>
      <c r="H9523" t="s">
        <v>4909</v>
      </c>
      <c r="I9523" t="s">
        <v>4909</v>
      </c>
      <c r="J9523" t="s">
        <v>4909</v>
      </c>
      <c r="K9523" t="s">
        <v>4909</v>
      </c>
    </row>
    <row r="9524" spans="1:11" x14ac:dyDescent="0.2">
      <c r="A9524" t="s">
        <v>1819</v>
      </c>
      <c r="B9524" t="s">
        <v>4909</v>
      </c>
      <c r="C9524" t="s">
        <v>4909</v>
      </c>
      <c r="D9524" t="s">
        <v>4909</v>
      </c>
      <c r="E9524" t="s">
        <v>4909</v>
      </c>
      <c r="F9524" t="s">
        <v>4909</v>
      </c>
      <c r="G9524" t="s">
        <v>4909</v>
      </c>
      <c r="H9524" t="s">
        <v>4909</v>
      </c>
      <c r="I9524" t="s">
        <v>4909</v>
      </c>
      <c r="J9524" t="s">
        <v>4909</v>
      </c>
      <c r="K9524" t="s">
        <v>4909</v>
      </c>
    </row>
    <row r="9525" spans="1:11" x14ac:dyDescent="0.2">
      <c r="A9525" t="s">
        <v>1826</v>
      </c>
      <c r="B9525" t="s">
        <v>4909</v>
      </c>
      <c r="C9525" t="s">
        <v>4909</v>
      </c>
      <c r="D9525" t="s">
        <v>4909</v>
      </c>
      <c r="E9525" t="s">
        <v>4909</v>
      </c>
      <c r="F9525" t="s">
        <v>4909</v>
      </c>
      <c r="G9525" t="s">
        <v>4909</v>
      </c>
      <c r="H9525" t="s">
        <v>4909</v>
      </c>
      <c r="I9525" t="s">
        <v>4909</v>
      </c>
      <c r="J9525" t="s">
        <v>4909</v>
      </c>
      <c r="K9525" t="s">
        <v>4909</v>
      </c>
    </row>
    <row r="9526" spans="1:11" x14ac:dyDescent="0.2">
      <c r="A9526" t="s">
        <v>1830</v>
      </c>
      <c r="B9526" t="s">
        <v>4909</v>
      </c>
      <c r="C9526" t="s">
        <v>4909</v>
      </c>
      <c r="D9526" t="s">
        <v>4909</v>
      </c>
      <c r="E9526" t="s">
        <v>4909</v>
      </c>
      <c r="F9526" t="s">
        <v>4909</v>
      </c>
      <c r="G9526" t="s">
        <v>4909</v>
      </c>
      <c r="H9526" t="s">
        <v>4909</v>
      </c>
      <c r="I9526" t="s">
        <v>4909</v>
      </c>
      <c r="J9526" t="s">
        <v>4909</v>
      </c>
      <c r="K9526" t="s">
        <v>4909</v>
      </c>
    </row>
    <row r="9527" spans="1:11" x14ac:dyDescent="0.2">
      <c r="A9527" t="s">
        <v>1836</v>
      </c>
      <c r="B9527" t="s">
        <v>4909</v>
      </c>
      <c r="C9527" t="s">
        <v>4909</v>
      </c>
      <c r="D9527" t="s">
        <v>4909</v>
      </c>
      <c r="E9527" t="s">
        <v>4909</v>
      </c>
      <c r="F9527" t="s">
        <v>4909</v>
      </c>
      <c r="G9527" t="s">
        <v>4909</v>
      </c>
      <c r="H9527" t="s">
        <v>4909</v>
      </c>
      <c r="I9527" t="s">
        <v>4909</v>
      </c>
      <c r="J9527" t="s">
        <v>4909</v>
      </c>
      <c r="K9527" t="s">
        <v>4909</v>
      </c>
    </row>
    <row r="9528" spans="1:11" x14ac:dyDescent="0.2">
      <c r="A9528" t="s">
        <v>1841</v>
      </c>
      <c r="B9528" t="s">
        <v>4909</v>
      </c>
      <c r="C9528" t="s">
        <v>4909</v>
      </c>
      <c r="D9528" t="s">
        <v>4909</v>
      </c>
      <c r="E9528" t="s">
        <v>4909</v>
      </c>
      <c r="F9528" t="s">
        <v>4909</v>
      </c>
      <c r="G9528" t="s">
        <v>4909</v>
      </c>
      <c r="H9528" t="s">
        <v>4909</v>
      </c>
      <c r="I9528" t="s">
        <v>4909</v>
      </c>
      <c r="J9528" t="s">
        <v>4909</v>
      </c>
      <c r="K9528" t="s">
        <v>4909</v>
      </c>
    </row>
    <row r="9529" spans="1:11" x14ac:dyDescent="0.2">
      <c r="A9529" t="s">
        <v>1842</v>
      </c>
      <c r="B9529" s="88">
        <v>0</v>
      </c>
      <c r="C9529" t="s">
        <v>4909</v>
      </c>
      <c r="D9529" t="s">
        <v>4909</v>
      </c>
      <c r="E9529" t="s">
        <v>4909</v>
      </c>
      <c r="F9529" t="s">
        <v>4909</v>
      </c>
      <c r="G9529" t="s">
        <v>4909</v>
      </c>
      <c r="H9529" t="s">
        <v>4909</v>
      </c>
      <c r="I9529" t="s">
        <v>4909</v>
      </c>
      <c r="J9529" s="88">
        <v>1E-3</v>
      </c>
      <c r="K9529" t="s">
        <v>4909</v>
      </c>
    </row>
    <row r="9530" spans="1:11" x14ac:dyDescent="0.2">
      <c r="A9530" t="s">
        <v>1843</v>
      </c>
      <c r="B9530" t="s">
        <v>4909</v>
      </c>
      <c r="C9530" t="s">
        <v>4909</v>
      </c>
      <c r="D9530" t="s">
        <v>4909</v>
      </c>
      <c r="E9530" t="s">
        <v>4909</v>
      </c>
      <c r="F9530" t="s">
        <v>4909</v>
      </c>
      <c r="G9530" t="s">
        <v>4909</v>
      </c>
      <c r="H9530" t="s">
        <v>4909</v>
      </c>
      <c r="I9530" t="s">
        <v>4909</v>
      </c>
      <c r="J9530" t="s">
        <v>4909</v>
      </c>
      <c r="K9530" t="s">
        <v>4909</v>
      </c>
    </row>
    <row r="9531" spans="1:11" x14ac:dyDescent="0.2">
      <c r="A9531" t="s">
        <v>1846</v>
      </c>
      <c r="B9531" t="s">
        <v>4909</v>
      </c>
      <c r="C9531" t="s">
        <v>4909</v>
      </c>
      <c r="D9531" t="s">
        <v>4909</v>
      </c>
      <c r="E9531" t="s">
        <v>4909</v>
      </c>
      <c r="F9531" t="s">
        <v>4909</v>
      </c>
      <c r="G9531" t="s">
        <v>4909</v>
      </c>
      <c r="H9531" t="s">
        <v>4909</v>
      </c>
      <c r="I9531" t="s">
        <v>4909</v>
      </c>
      <c r="J9531" t="s">
        <v>4909</v>
      </c>
      <c r="K9531" t="s">
        <v>4909</v>
      </c>
    </row>
    <row r="9532" spans="1:11" x14ac:dyDescent="0.2">
      <c r="A9532" t="s">
        <v>1851</v>
      </c>
      <c r="B9532" s="88">
        <v>0</v>
      </c>
      <c r="C9532" t="s">
        <v>4909</v>
      </c>
      <c r="D9532" t="s">
        <v>4909</v>
      </c>
      <c r="E9532" t="s">
        <v>4909</v>
      </c>
      <c r="F9532" t="s">
        <v>4909</v>
      </c>
      <c r="G9532" t="s">
        <v>4909</v>
      </c>
      <c r="H9532" t="s">
        <v>4909</v>
      </c>
      <c r="I9532" t="s">
        <v>4909</v>
      </c>
      <c r="J9532" t="s">
        <v>4909</v>
      </c>
      <c r="K9532" t="s">
        <v>4909</v>
      </c>
    </row>
    <row r="9533" spans="1:11" x14ac:dyDescent="0.2">
      <c r="A9533" t="s">
        <v>1857</v>
      </c>
      <c r="B9533" t="s">
        <v>4909</v>
      </c>
      <c r="C9533" t="s">
        <v>4909</v>
      </c>
      <c r="D9533" t="s">
        <v>4909</v>
      </c>
      <c r="E9533" t="s">
        <v>4909</v>
      </c>
      <c r="F9533" t="s">
        <v>4909</v>
      </c>
      <c r="G9533" t="s">
        <v>4909</v>
      </c>
      <c r="H9533" t="s">
        <v>4909</v>
      </c>
      <c r="I9533" t="s">
        <v>4909</v>
      </c>
      <c r="J9533" t="s">
        <v>4909</v>
      </c>
      <c r="K9533" t="s">
        <v>4909</v>
      </c>
    </row>
    <row r="9534" spans="1:11" x14ac:dyDescent="0.2">
      <c r="A9534" t="s">
        <v>1862</v>
      </c>
      <c r="B9534" t="s">
        <v>4909</v>
      </c>
      <c r="C9534" t="s">
        <v>4909</v>
      </c>
      <c r="D9534" t="s">
        <v>4909</v>
      </c>
      <c r="E9534" t="s">
        <v>4909</v>
      </c>
      <c r="F9534" t="s">
        <v>4909</v>
      </c>
      <c r="G9534" t="s">
        <v>4909</v>
      </c>
      <c r="H9534" t="s">
        <v>4909</v>
      </c>
      <c r="I9534" t="s">
        <v>4909</v>
      </c>
      <c r="J9534" t="s">
        <v>4909</v>
      </c>
      <c r="K9534" t="s">
        <v>4909</v>
      </c>
    </row>
    <row r="9535" spans="1:11" x14ac:dyDescent="0.2">
      <c r="A9535" t="s">
        <v>1867</v>
      </c>
      <c r="B9535" t="s">
        <v>4909</v>
      </c>
      <c r="C9535" t="s">
        <v>4909</v>
      </c>
      <c r="D9535" t="s">
        <v>4909</v>
      </c>
      <c r="E9535" t="s">
        <v>4909</v>
      </c>
      <c r="F9535" t="s">
        <v>4909</v>
      </c>
      <c r="G9535" t="s">
        <v>4909</v>
      </c>
      <c r="H9535" t="s">
        <v>4909</v>
      </c>
      <c r="I9535" t="s">
        <v>4909</v>
      </c>
      <c r="J9535" t="s">
        <v>4909</v>
      </c>
      <c r="K9535" t="s">
        <v>4909</v>
      </c>
    </row>
    <row r="9536" spans="1:11" x14ac:dyDescent="0.2">
      <c r="A9536" t="s">
        <v>1870</v>
      </c>
      <c r="B9536" t="s">
        <v>4909</v>
      </c>
      <c r="C9536" t="s">
        <v>4909</v>
      </c>
      <c r="D9536" t="s">
        <v>4909</v>
      </c>
      <c r="E9536" t="s">
        <v>4909</v>
      </c>
      <c r="F9536" t="s">
        <v>4909</v>
      </c>
      <c r="G9536" t="s">
        <v>4909</v>
      </c>
      <c r="H9536" t="s">
        <v>4909</v>
      </c>
      <c r="I9536" t="s">
        <v>4909</v>
      </c>
      <c r="J9536" t="s">
        <v>4909</v>
      </c>
      <c r="K9536" t="s">
        <v>4909</v>
      </c>
    </row>
    <row r="9537" spans="1:11" x14ac:dyDescent="0.2">
      <c r="A9537" t="s">
        <v>1874</v>
      </c>
      <c r="B9537" t="s">
        <v>4909</v>
      </c>
      <c r="C9537" t="s">
        <v>4909</v>
      </c>
      <c r="D9537" t="s">
        <v>4909</v>
      </c>
      <c r="E9537" t="s">
        <v>4909</v>
      </c>
      <c r="F9537" t="s">
        <v>4909</v>
      </c>
      <c r="G9537" t="s">
        <v>4909</v>
      </c>
      <c r="H9537" t="s">
        <v>4909</v>
      </c>
      <c r="I9537" t="s">
        <v>4909</v>
      </c>
      <c r="J9537" t="s">
        <v>4909</v>
      </c>
      <c r="K9537" t="s">
        <v>4909</v>
      </c>
    </row>
    <row r="9538" spans="1:11" x14ac:dyDescent="0.2">
      <c r="A9538" t="s">
        <v>1876</v>
      </c>
      <c r="B9538" t="s">
        <v>4909</v>
      </c>
      <c r="C9538" t="s">
        <v>4909</v>
      </c>
      <c r="D9538" t="s">
        <v>4909</v>
      </c>
      <c r="E9538" t="s">
        <v>4909</v>
      </c>
      <c r="F9538" t="s">
        <v>4909</v>
      </c>
      <c r="G9538" t="s">
        <v>4909</v>
      </c>
      <c r="H9538" t="s">
        <v>4909</v>
      </c>
      <c r="I9538" t="s">
        <v>4909</v>
      </c>
      <c r="J9538" t="s">
        <v>4909</v>
      </c>
      <c r="K9538" t="s">
        <v>4909</v>
      </c>
    </row>
    <row r="9539" spans="1:11" x14ac:dyDescent="0.2">
      <c r="A9539" t="s">
        <v>1881</v>
      </c>
      <c r="B9539" t="s">
        <v>4909</v>
      </c>
      <c r="C9539" t="s">
        <v>4909</v>
      </c>
      <c r="D9539" t="s">
        <v>4909</v>
      </c>
      <c r="E9539" t="s">
        <v>4909</v>
      </c>
      <c r="F9539" t="s">
        <v>4909</v>
      </c>
      <c r="G9539" t="s">
        <v>4909</v>
      </c>
      <c r="H9539" t="s">
        <v>4909</v>
      </c>
      <c r="I9539" t="s">
        <v>4909</v>
      </c>
      <c r="J9539" t="s">
        <v>4909</v>
      </c>
      <c r="K9539" t="s">
        <v>4909</v>
      </c>
    </row>
    <row r="9540" spans="1:11" x14ac:dyDescent="0.2">
      <c r="A9540" t="s">
        <v>1885</v>
      </c>
      <c r="B9540" s="88">
        <v>0</v>
      </c>
      <c r="C9540" t="s">
        <v>4909</v>
      </c>
      <c r="D9540" t="s">
        <v>4909</v>
      </c>
      <c r="E9540" t="s">
        <v>4909</v>
      </c>
      <c r="F9540" t="s">
        <v>4909</v>
      </c>
      <c r="G9540" t="s">
        <v>4909</v>
      </c>
      <c r="H9540" t="s">
        <v>4909</v>
      </c>
      <c r="I9540" t="s">
        <v>4909</v>
      </c>
      <c r="J9540" t="s">
        <v>4909</v>
      </c>
      <c r="K9540" t="s">
        <v>4909</v>
      </c>
    </row>
    <row r="9541" spans="1:11" x14ac:dyDescent="0.2">
      <c r="A9541" t="s">
        <v>1887</v>
      </c>
      <c r="B9541" t="s">
        <v>4909</v>
      </c>
      <c r="C9541" t="s">
        <v>4909</v>
      </c>
      <c r="D9541" t="s">
        <v>4909</v>
      </c>
      <c r="E9541" t="s">
        <v>4909</v>
      </c>
      <c r="F9541" t="s">
        <v>4909</v>
      </c>
      <c r="G9541" t="s">
        <v>4909</v>
      </c>
      <c r="H9541" t="s">
        <v>4909</v>
      </c>
      <c r="I9541" t="s">
        <v>4909</v>
      </c>
      <c r="J9541" t="s">
        <v>4909</v>
      </c>
      <c r="K9541" t="s">
        <v>4909</v>
      </c>
    </row>
    <row r="9542" spans="1:11" x14ac:dyDescent="0.2">
      <c r="A9542" t="s">
        <v>1893</v>
      </c>
      <c r="B9542" s="88">
        <v>0</v>
      </c>
      <c r="C9542" t="s">
        <v>4909</v>
      </c>
      <c r="D9542" t="s">
        <v>4909</v>
      </c>
      <c r="E9542" t="s">
        <v>4909</v>
      </c>
      <c r="F9542" t="s">
        <v>4909</v>
      </c>
      <c r="G9542" t="s">
        <v>4909</v>
      </c>
      <c r="H9542" t="s">
        <v>4909</v>
      </c>
      <c r="I9542" t="s">
        <v>4909</v>
      </c>
      <c r="J9542" s="88">
        <v>0</v>
      </c>
      <c r="K9542" t="s">
        <v>4909</v>
      </c>
    </row>
    <row r="9543" spans="1:11" x14ac:dyDescent="0.2">
      <c r="A9543" t="s">
        <v>1899</v>
      </c>
      <c r="B9543" t="s">
        <v>4909</v>
      </c>
      <c r="C9543" t="s">
        <v>4909</v>
      </c>
      <c r="D9543" t="s">
        <v>4909</v>
      </c>
      <c r="E9543" t="s">
        <v>4909</v>
      </c>
      <c r="F9543" t="s">
        <v>4909</v>
      </c>
      <c r="G9543" t="s">
        <v>4909</v>
      </c>
      <c r="H9543" t="s">
        <v>4909</v>
      </c>
      <c r="I9543" t="s">
        <v>4909</v>
      </c>
      <c r="J9543" t="s">
        <v>4909</v>
      </c>
      <c r="K9543" t="s">
        <v>4909</v>
      </c>
    </row>
    <row r="9544" spans="1:11" x14ac:dyDescent="0.2">
      <c r="A9544" t="s">
        <v>1906</v>
      </c>
      <c r="B9544" t="s">
        <v>4909</v>
      </c>
      <c r="C9544" t="s">
        <v>4909</v>
      </c>
      <c r="D9544" t="s">
        <v>4909</v>
      </c>
      <c r="E9544" t="s">
        <v>4909</v>
      </c>
      <c r="F9544" t="s">
        <v>4909</v>
      </c>
      <c r="G9544" t="s">
        <v>4909</v>
      </c>
      <c r="H9544" t="s">
        <v>4909</v>
      </c>
      <c r="I9544" t="s">
        <v>4909</v>
      </c>
      <c r="J9544" t="s">
        <v>4909</v>
      </c>
      <c r="K9544" t="s">
        <v>4909</v>
      </c>
    </row>
    <row r="9545" spans="1:11" x14ac:dyDescent="0.2">
      <c r="A9545" t="s">
        <v>1911</v>
      </c>
      <c r="B9545" t="s">
        <v>4909</v>
      </c>
      <c r="C9545" t="s">
        <v>4909</v>
      </c>
      <c r="D9545" t="s">
        <v>4909</v>
      </c>
      <c r="E9545" t="s">
        <v>4909</v>
      </c>
      <c r="F9545" t="s">
        <v>4909</v>
      </c>
      <c r="G9545" t="s">
        <v>4909</v>
      </c>
      <c r="H9545" t="s">
        <v>4909</v>
      </c>
      <c r="I9545" t="s">
        <v>4909</v>
      </c>
      <c r="J9545" t="s">
        <v>4909</v>
      </c>
      <c r="K9545" t="s">
        <v>4909</v>
      </c>
    </row>
    <row r="9546" spans="1:11" x14ac:dyDescent="0.2">
      <c r="A9546" t="s">
        <v>1917</v>
      </c>
      <c r="B9546" t="s">
        <v>4909</v>
      </c>
      <c r="C9546" t="s">
        <v>4909</v>
      </c>
      <c r="D9546" t="s">
        <v>4909</v>
      </c>
      <c r="E9546" t="s">
        <v>4909</v>
      </c>
      <c r="F9546" t="s">
        <v>4909</v>
      </c>
      <c r="G9546" t="s">
        <v>4909</v>
      </c>
      <c r="H9546" t="s">
        <v>4909</v>
      </c>
      <c r="I9546" t="s">
        <v>4909</v>
      </c>
      <c r="J9546" t="s">
        <v>4909</v>
      </c>
      <c r="K9546" t="s">
        <v>4909</v>
      </c>
    </row>
    <row r="9547" spans="1:11" x14ac:dyDescent="0.2">
      <c r="A9547" t="s">
        <v>1922</v>
      </c>
      <c r="B9547" t="s">
        <v>4909</v>
      </c>
      <c r="C9547" t="s">
        <v>4909</v>
      </c>
      <c r="D9547" t="s">
        <v>4909</v>
      </c>
      <c r="E9547" t="s">
        <v>4909</v>
      </c>
      <c r="F9547" t="s">
        <v>4909</v>
      </c>
      <c r="G9547" t="s">
        <v>4909</v>
      </c>
      <c r="H9547" t="s">
        <v>4909</v>
      </c>
      <c r="I9547" t="s">
        <v>4909</v>
      </c>
      <c r="J9547" t="s">
        <v>4909</v>
      </c>
      <c r="K9547" t="s">
        <v>4909</v>
      </c>
    </row>
    <row r="9548" spans="1:11" x14ac:dyDescent="0.2">
      <c r="A9548" t="s">
        <v>1928</v>
      </c>
      <c r="B9548" t="s">
        <v>4909</v>
      </c>
      <c r="C9548" t="s">
        <v>4909</v>
      </c>
      <c r="D9548" t="s">
        <v>4909</v>
      </c>
      <c r="E9548" t="s">
        <v>4909</v>
      </c>
      <c r="F9548" t="s">
        <v>4909</v>
      </c>
      <c r="G9548" t="s">
        <v>4909</v>
      </c>
      <c r="H9548" t="s">
        <v>4909</v>
      </c>
      <c r="I9548" t="s">
        <v>4909</v>
      </c>
      <c r="J9548" t="s">
        <v>4909</v>
      </c>
      <c r="K9548" t="s">
        <v>4909</v>
      </c>
    </row>
    <row r="9549" spans="1:11" x14ac:dyDescent="0.2">
      <c r="A9549" t="s">
        <v>1932</v>
      </c>
      <c r="B9549" t="s">
        <v>4909</v>
      </c>
      <c r="C9549" t="s">
        <v>4909</v>
      </c>
      <c r="D9549" t="s">
        <v>4909</v>
      </c>
      <c r="E9549" t="s">
        <v>4909</v>
      </c>
      <c r="F9549" t="s">
        <v>4909</v>
      </c>
      <c r="G9549" t="s">
        <v>4909</v>
      </c>
      <c r="H9549" t="s">
        <v>4909</v>
      </c>
      <c r="I9549" t="s">
        <v>4909</v>
      </c>
      <c r="J9549" t="s">
        <v>4909</v>
      </c>
      <c r="K9549" t="s">
        <v>4909</v>
      </c>
    </row>
    <row r="9550" spans="1:11" x14ac:dyDescent="0.2">
      <c r="A9550" t="s">
        <v>1938</v>
      </c>
      <c r="B9550" t="s">
        <v>4909</v>
      </c>
      <c r="C9550" t="s">
        <v>4909</v>
      </c>
      <c r="D9550" t="s">
        <v>4909</v>
      </c>
      <c r="E9550" t="s">
        <v>4909</v>
      </c>
      <c r="F9550" t="s">
        <v>4909</v>
      </c>
      <c r="G9550" t="s">
        <v>4909</v>
      </c>
      <c r="H9550" t="s">
        <v>4909</v>
      </c>
      <c r="I9550" t="s">
        <v>4909</v>
      </c>
      <c r="J9550" t="s">
        <v>4909</v>
      </c>
      <c r="K9550" t="s">
        <v>4909</v>
      </c>
    </row>
    <row r="9551" spans="1:11" x14ac:dyDescent="0.2">
      <c r="A9551" t="s">
        <v>1944</v>
      </c>
      <c r="B9551" t="s">
        <v>4909</v>
      </c>
      <c r="C9551" t="s">
        <v>4909</v>
      </c>
      <c r="D9551" t="s">
        <v>4909</v>
      </c>
      <c r="E9551" t="s">
        <v>4909</v>
      </c>
      <c r="F9551" t="s">
        <v>4909</v>
      </c>
      <c r="G9551" t="s">
        <v>4909</v>
      </c>
      <c r="H9551" t="s">
        <v>4909</v>
      </c>
      <c r="I9551" s="88">
        <v>0</v>
      </c>
      <c r="J9551" s="88">
        <v>1.0999999999999999E-2</v>
      </c>
      <c r="K9551" t="s">
        <v>4909</v>
      </c>
    </row>
    <row r="9552" spans="1:11" x14ac:dyDescent="0.2">
      <c r="A9552" t="s">
        <v>1947</v>
      </c>
      <c r="B9552" t="s">
        <v>4909</v>
      </c>
      <c r="C9552" t="s">
        <v>4909</v>
      </c>
      <c r="D9552" t="s">
        <v>4909</v>
      </c>
      <c r="E9552" t="s">
        <v>4909</v>
      </c>
      <c r="F9552" t="s">
        <v>4909</v>
      </c>
      <c r="G9552" t="s">
        <v>4909</v>
      </c>
      <c r="H9552" t="s">
        <v>4909</v>
      </c>
      <c r="I9552" t="s">
        <v>4909</v>
      </c>
      <c r="J9552" t="s">
        <v>4909</v>
      </c>
      <c r="K9552" t="s">
        <v>4909</v>
      </c>
    </row>
    <row r="9553" spans="1:11" x14ac:dyDescent="0.2">
      <c r="A9553" t="s">
        <v>1953</v>
      </c>
      <c r="B9553" t="s">
        <v>4909</v>
      </c>
      <c r="C9553" t="s">
        <v>4909</v>
      </c>
      <c r="D9553" t="s">
        <v>4909</v>
      </c>
      <c r="E9553" t="s">
        <v>4909</v>
      </c>
      <c r="F9553" t="s">
        <v>4909</v>
      </c>
      <c r="G9553" t="s">
        <v>4909</v>
      </c>
      <c r="H9553" t="s">
        <v>4909</v>
      </c>
      <c r="I9553" t="s">
        <v>4909</v>
      </c>
      <c r="J9553" t="s">
        <v>4909</v>
      </c>
      <c r="K9553" t="s">
        <v>4909</v>
      </c>
    </row>
    <row r="9554" spans="1:11" x14ac:dyDescent="0.2">
      <c r="A9554" t="s">
        <v>1958</v>
      </c>
      <c r="B9554" t="s">
        <v>4909</v>
      </c>
      <c r="C9554" t="s">
        <v>4909</v>
      </c>
      <c r="D9554" t="s">
        <v>4909</v>
      </c>
      <c r="E9554" t="s">
        <v>4909</v>
      </c>
      <c r="F9554" t="s">
        <v>4909</v>
      </c>
      <c r="G9554" t="s">
        <v>4909</v>
      </c>
      <c r="H9554" t="s">
        <v>4909</v>
      </c>
      <c r="I9554" t="s">
        <v>4909</v>
      </c>
      <c r="J9554" t="s">
        <v>4909</v>
      </c>
      <c r="K9554" t="s">
        <v>4909</v>
      </c>
    </row>
    <row r="9555" spans="1:11" x14ac:dyDescent="0.2">
      <c r="A9555" t="s">
        <v>1964</v>
      </c>
      <c r="B9555" t="s">
        <v>4909</v>
      </c>
      <c r="C9555" t="s">
        <v>4909</v>
      </c>
      <c r="D9555" t="s">
        <v>4909</v>
      </c>
      <c r="E9555" t="s">
        <v>4909</v>
      </c>
      <c r="F9555" t="s">
        <v>4909</v>
      </c>
      <c r="G9555" t="s">
        <v>4909</v>
      </c>
      <c r="H9555" t="s">
        <v>4909</v>
      </c>
      <c r="I9555" t="s">
        <v>4909</v>
      </c>
      <c r="J9555" t="s">
        <v>4909</v>
      </c>
      <c r="K9555" t="s">
        <v>4909</v>
      </c>
    </row>
    <row r="9556" spans="1:11" x14ac:dyDescent="0.2">
      <c r="A9556" t="s">
        <v>1973</v>
      </c>
      <c r="B9556" t="s">
        <v>4909</v>
      </c>
      <c r="C9556" t="s">
        <v>4909</v>
      </c>
      <c r="D9556" t="s">
        <v>4909</v>
      </c>
      <c r="E9556" t="s">
        <v>4909</v>
      </c>
      <c r="F9556" t="s">
        <v>4909</v>
      </c>
      <c r="G9556" t="s">
        <v>4909</v>
      </c>
      <c r="H9556" t="s">
        <v>4909</v>
      </c>
      <c r="I9556" t="s">
        <v>4909</v>
      </c>
      <c r="J9556" t="s">
        <v>4909</v>
      </c>
      <c r="K9556" t="s">
        <v>4909</v>
      </c>
    </row>
    <row r="9557" spans="1:11" x14ac:dyDescent="0.2">
      <c r="A9557" t="s">
        <v>1978</v>
      </c>
      <c r="B9557" t="s">
        <v>4909</v>
      </c>
      <c r="C9557" t="s">
        <v>4909</v>
      </c>
      <c r="D9557" t="s">
        <v>4909</v>
      </c>
      <c r="E9557" t="s">
        <v>4909</v>
      </c>
      <c r="F9557" t="s">
        <v>4909</v>
      </c>
      <c r="G9557" t="s">
        <v>4909</v>
      </c>
      <c r="H9557" t="s">
        <v>4909</v>
      </c>
      <c r="I9557" t="s">
        <v>4909</v>
      </c>
      <c r="J9557" t="s">
        <v>4909</v>
      </c>
      <c r="K9557" t="s">
        <v>4909</v>
      </c>
    </row>
    <row r="9558" spans="1:11" x14ac:dyDescent="0.2">
      <c r="A9558" t="s">
        <v>1983</v>
      </c>
      <c r="B9558" t="s">
        <v>4909</v>
      </c>
      <c r="C9558" t="s">
        <v>4909</v>
      </c>
      <c r="D9558" t="s">
        <v>4909</v>
      </c>
      <c r="E9558" t="s">
        <v>4909</v>
      </c>
      <c r="F9558" t="s">
        <v>4909</v>
      </c>
      <c r="G9558" t="s">
        <v>4909</v>
      </c>
      <c r="H9558" t="s">
        <v>4909</v>
      </c>
      <c r="I9558" t="s">
        <v>4909</v>
      </c>
      <c r="J9558" t="s">
        <v>4909</v>
      </c>
      <c r="K9558" t="s">
        <v>4909</v>
      </c>
    </row>
    <row r="9559" spans="1:11" x14ac:dyDescent="0.2">
      <c r="A9559" t="s">
        <v>1984</v>
      </c>
      <c r="B9559" t="s">
        <v>4909</v>
      </c>
      <c r="C9559" t="s">
        <v>4909</v>
      </c>
      <c r="D9559" t="s">
        <v>4909</v>
      </c>
      <c r="E9559" t="s">
        <v>4909</v>
      </c>
      <c r="F9559" t="s">
        <v>4909</v>
      </c>
      <c r="G9559" t="s">
        <v>4909</v>
      </c>
      <c r="H9559" t="s">
        <v>4909</v>
      </c>
      <c r="I9559" t="s">
        <v>4909</v>
      </c>
      <c r="J9559" t="s">
        <v>4909</v>
      </c>
      <c r="K9559" t="s">
        <v>4909</v>
      </c>
    </row>
    <row r="9560" spans="1:11" x14ac:dyDescent="0.2">
      <c r="A9560" t="s">
        <v>1990</v>
      </c>
      <c r="B9560" t="s">
        <v>4909</v>
      </c>
      <c r="C9560" t="s">
        <v>4909</v>
      </c>
      <c r="D9560" t="s">
        <v>4909</v>
      </c>
      <c r="E9560" t="s">
        <v>4909</v>
      </c>
      <c r="F9560" t="s">
        <v>4909</v>
      </c>
      <c r="G9560" t="s">
        <v>4909</v>
      </c>
      <c r="H9560" t="s">
        <v>4909</v>
      </c>
      <c r="I9560" t="s">
        <v>4909</v>
      </c>
      <c r="J9560" t="s">
        <v>4909</v>
      </c>
      <c r="K9560" t="s">
        <v>4909</v>
      </c>
    </row>
    <row r="9561" spans="1:11" x14ac:dyDescent="0.2">
      <c r="A9561" t="s">
        <v>1996</v>
      </c>
      <c r="B9561" t="s">
        <v>4909</v>
      </c>
      <c r="C9561" t="s">
        <v>4909</v>
      </c>
      <c r="D9561" t="s">
        <v>4909</v>
      </c>
      <c r="E9561" t="s">
        <v>4909</v>
      </c>
      <c r="F9561" t="s">
        <v>4909</v>
      </c>
      <c r="G9561" t="s">
        <v>4909</v>
      </c>
      <c r="H9561" t="s">
        <v>4909</v>
      </c>
      <c r="I9561" t="s">
        <v>4909</v>
      </c>
      <c r="J9561" t="s">
        <v>4909</v>
      </c>
      <c r="K9561" t="s">
        <v>4909</v>
      </c>
    </row>
    <row r="9562" spans="1:11" x14ac:dyDescent="0.2">
      <c r="A9562" t="s">
        <v>1998</v>
      </c>
      <c r="B9562" t="s">
        <v>4909</v>
      </c>
      <c r="C9562" t="s">
        <v>4909</v>
      </c>
      <c r="D9562" t="s">
        <v>4909</v>
      </c>
      <c r="E9562" t="s">
        <v>4909</v>
      </c>
      <c r="F9562" t="s">
        <v>4909</v>
      </c>
      <c r="G9562" t="s">
        <v>4909</v>
      </c>
      <c r="H9562" t="s">
        <v>4909</v>
      </c>
      <c r="I9562" t="s">
        <v>4909</v>
      </c>
      <c r="J9562" t="s">
        <v>4909</v>
      </c>
      <c r="K9562" t="s">
        <v>4909</v>
      </c>
    </row>
    <row r="9563" spans="1:11" x14ac:dyDescent="0.2">
      <c r="A9563" t="s">
        <v>1999</v>
      </c>
      <c r="B9563" t="s">
        <v>4909</v>
      </c>
      <c r="C9563" t="s">
        <v>4909</v>
      </c>
      <c r="D9563" t="s">
        <v>4909</v>
      </c>
      <c r="E9563" t="s">
        <v>4909</v>
      </c>
      <c r="F9563" t="s">
        <v>4909</v>
      </c>
      <c r="G9563" t="s">
        <v>4909</v>
      </c>
      <c r="H9563" t="s">
        <v>4909</v>
      </c>
      <c r="I9563" t="s">
        <v>4909</v>
      </c>
      <c r="J9563" t="s">
        <v>4909</v>
      </c>
      <c r="K9563" t="s">
        <v>4909</v>
      </c>
    </row>
    <row r="9564" spans="1:11" x14ac:dyDescent="0.2">
      <c r="A9564" t="s">
        <v>2004</v>
      </c>
      <c r="B9564" t="s">
        <v>4909</v>
      </c>
      <c r="C9564" t="s">
        <v>4909</v>
      </c>
      <c r="D9564" t="s">
        <v>4909</v>
      </c>
      <c r="E9564" t="s">
        <v>4909</v>
      </c>
      <c r="F9564" t="s">
        <v>4909</v>
      </c>
      <c r="G9564" t="s">
        <v>4909</v>
      </c>
      <c r="H9564" t="s">
        <v>4909</v>
      </c>
      <c r="I9564" t="s">
        <v>4909</v>
      </c>
      <c r="J9564" t="s">
        <v>4909</v>
      </c>
      <c r="K9564" t="s">
        <v>4909</v>
      </c>
    </row>
    <row r="9565" spans="1:11" x14ac:dyDescent="0.2">
      <c r="A9565" t="s">
        <v>2009</v>
      </c>
      <c r="B9565" t="s">
        <v>4909</v>
      </c>
      <c r="C9565" t="s">
        <v>4909</v>
      </c>
      <c r="D9565" t="s">
        <v>4909</v>
      </c>
      <c r="E9565" t="s">
        <v>4909</v>
      </c>
      <c r="F9565" t="s">
        <v>4909</v>
      </c>
      <c r="G9565" t="s">
        <v>4909</v>
      </c>
      <c r="H9565" t="s">
        <v>4909</v>
      </c>
      <c r="I9565" t="s">
        <v>4909</v>
      </c>
      <c r="J9565" t="s">
        <v>4909</v>
      </c>
      <c r="K9565" t="s">
        <v>4909</v>
      </c>
    </row>
    <row r="9566" spans="1:11" x14ac:dyDescent="0.2">
      <c r="A9566" t="s">
        <v>2014</v>
      </c>
      <c r="B9566" t="s">
        <v>4909</v>
      </c>
      <c r="C9566" t="s">
        <v>4909</v>
      </c>
      <c r="D9566" t="s">
        <v>4909</v>
      </c>
      <c r="E9566" t="s">
        <v>4909</v>
      </c>
      <c r="F9566" t="s">
        <v>4909</v>
      </c>
      <c r="G9566" t="s">
        <v>4909</v>
      </c>
      <c r="H9566" t="s">
        <v>4909</v>
      </c>
      <c r="I9566" t="s">
        <v>4909</v>
      </c>
      <c r="J9566" t="s">
        <v>4909</v>
      </c>
      <c r="K9566" t="s">
        <v>4909</v>
      </c>
    </row>
    <row r="9567" spans="1:11" x14ac:dyDescent="0.2">
      <c r="A9567" t="s">
        <v>2019</v>
      </c>
      <c r="B9567" t="s">
        <v>4909</v>
      </c>
      <c r="C9567" t="s">
        <v>4909</v>
      </c>
      <c r="D9567" t="s">
        <v>4909</v>
      </c>
      <c r="E9567" t="s">
        <v>4909</v>
      </c>
      <c r="F9567" t="s">
        <v>4909</v>
      </c>
      <c r="G9567" t="s">
        <v>4909</v>
      </c>
      <c r="H9567" t="s">
        <v>4909</v>
      </c>
      <c r="I9567" t="s">
        <v>4909</v>
      </c>
      <c r="J9567" t="s">
        <v>4909</v>
      </c>
      <c r="K9567" t="s">
        <v>4909</v>
      </c>
    </row>
    <row r="9568" spans="1:11" x14ac:dyDescent="0.2">
      <c r="A9568" t="s">
        <v>2023</v>
      </c>
      <c r="B9568" t="s">
        <v>4909</v>
      </c>
      <c r="C9568" t="s">
        <v>4909</v>
      </c>
      <c r="D9568" t="s">
        <v>4909</v>
      </c>
      <c r="E9568" t="s">
        <v>4909</v>
      </c>
      <c r="F9568" t="s">
        <v>4909</v>
      </c>
      <c r="G9568" t="s">
        <v>4909</v>
      </c>
      <c r="H9568" t="s">
        <v>4909</v>
      </c>
      <c r="I9568" t="s">
        <v>4909</v>
      </c>
      <c r="J9568" t="s">
        <v>4909</v>
      </c>
      <c r="K9568" t="s">
        <v>4909</v>
      </c>
    </row>
    <row r="9569" spans="1:11" x14ac:dyDescent="0.2">
      <c r="A9569" t="s">
        <v>2026</v>
      </c>
      <c r="B9569" t="s">
        <v>4909</v>
      </c>
      <c r="C9569" t="s">
        <v>4909</v>
      </c>
      <c r="D9569" t="s">
        <v>4909</v>
      </c>
      <c r="E9569" t="s">
        <v>4909</v>
      </c>
      <c r="F9569" t="s">
        <v>4909</v>
      </c>
      <c r="G9569" t="s">
        <v>4909</v>
      </c>
      <c r="H9569" t="s">
        <v>4909</v>
      </c>
      <c r="I9569" t="s">
        <v>4909</v>
      </c>
      <c r="J9569" t="s">
        <v>4909</v>
      </c>
      <c r="K9569" t="s">
        <v>4909</v>
      </c>
    </row>
    <row r="9570" spans="1:11" x14ac:dyDescent="0.2">
      <c r="A9570" t="s">
        <v>2030</v>
      </c>
      <c r="B9570" t="s">
        <v>4909</v>
      </c>
      <c r="C9570" t="s">
        <v>4909</v>
      </c>
      <c r="D9570" t="s">
        <v>4909</v>
      </c>
      <c r="E9570" t="s">
        <v>4909</v>
      </c>
      <c r="F9570" t="s">
        <v>4909</v>
      </c>
      <c r="G9570" t="s">
        <v>4909</v>
      </c>
      <c r="H9570" t="s">
        <v>4909</v>
      </c>
      <c r="I9570" t="s">
        <v>4909</v>
      </c>
      <c r="J9570" t="s">
        <v>4909</v>
      </c>
      <c r="K9570" t="s">
        <v>4909</v>
      </c>
    </row>
    <row r="9571" spans="1:11" x14ac:dyDescent="0.2">
      <c r="A9571" t="s">
        <v>2035</v>
      </c>
      <c r="B9571" t="s">
        <v>4909</v>
      </c>
      <c r="C9571" t="s">
        <v>4909</v>
      </c>
      <c r="D9571" t="s">
        <v>4909</v>
      </c>
      <c r="E9571" t="s">
        <v>4909</v>
      </c>
      <c r="F9571" t="s">
        <v>4909</v>
      </c>
      <c r="G9571" t="s">
        <v>4909</v>
      </c>
      <c r="H9571" t="s">
        <v>4909</v>
      </c>
      <c r="I9571" t="s">
        <v>4909</v>
      </c>
      <c r="J9571" t="s">
        <v>4909</v>
      </c>
      <c r="K9571" t="s">
        <v>4909</v>
      </c>
    </row>
    <row r="9572" spans="1:11" x14ac:dyDescent="0.2">
      <c r="A9572" t="s">
        <v>2040</v>
      </c>
      <c r="B9572" t="s">
        <v>4909</v>
      </c>
      <c r="C9572" t="s">
        <v>4909</v>
      </c>
      <c r="D9572" t="s">
        <v>4909</v>
      </c>
      <c r="E9572" t="s">
        <v>4909</v>
      </c>
      <c r="F9572" t="s">
        <v>4909</v>
      </c>
      <c r="G9572" t="s">
        <v>4909</v>
      </c>
      <c r="H9572" t="s">
        <v>4909</v>
      </c>
      <c r="I9572" t="s">
        <v>4909</v>
      </c>
      <c r="J9572" t="s">
        <v>4909</v>
      </c>
      <c r="K9572" t="s">
        <v>4909</v>
      </c>
    </row>
    <row r="9573" spans="1:11" x14ac:dyDescent="0.2">
      <c r="A9573" t="s">
        <v>2045</v>
      </c>
      <c r="B9573" t="s">
        <v>4909</v>
      </c>
      <c r="C9573" t="s">
        <v>4909</v>
      </c>
      <c r="D9573" t="s">
        <v>4909</v>
      </c>
      <c r="E9573" t="s">
        <v>4909</v>
      </c>
      <c r="F9573" t="s">
        <v>4909</v>
      </c>
      <c r="G9573" t="s">
        <v>4909</v>
      </c>
      <c r="H9573" t="s">
        <v>4909</v>
      </c>
      <c r="I9573" t="s">
        <v>4909</v>
      </c>
      <c r="J9573" t="s">
        <v>4909</v>
      </c>
      <c r="K9573" t="s">
        <v>4909</v>
      </c>
    </row>
    <row r="9574" spans="1:11" x14ac:dyDescent="0.2">
      <c r="A9574" t="s">
        <v>2049</v>
      </c>
      <c r="B9574" t="s">
        <v>4909</v>
      </c>
      <c r="C9574" t="s">
        <v>4909</v>
      </c>
      <c r="D9574" t="s">
        <v>4909</v>
      </c>
      <c r="E9574" t="s">
        <v>4909</v>
      </c>
      <c r="F9574" t="s">
        <v>4909</v>
      </c>
      <c r="G9574" t="s">
        <v>4909</v>
      </c>
      <c r="H9574" t="s">
        <v>4909</v>
      </c>
      <c r="I9574" t="s">
        <v>4909</v>
      </c>
      <c r="J9574" t="s">
        <v>4909</v>
      </c>
      <c r="K9574" t="s">
        <v>4909</v>
      </c>
    </row>
    <row r="9575" spans="1:11" x14ac:dyDescent="0.2">
      <c r="A9575" t="s">
        <v>2051</v>
      </c>
      <c r="B9575" t="s">
        <v>4909</v>
      </c>
      <c r="C9575" t="s">
        <v>4909</v>
      </c>
      <c r="D9575" t="s">
        <v>4909</v>
      </c>
      <c r="E9575" t="s">
        <v>4909</v>
      </c>
      <c r="F9575" t="s">
        <v>4909</v>
      </c>
      <c r="G9575" t="s">
        <v>4909</v>
      </c>
      <c r="H9575" t="s">
        <v>4909</v>
      </c>
      <c r="I9575" t="s">
        <v>4909</v>
      </c>
      <c r="J9575" t="s">
        <v>4909</v>
      </c>
      <c r="K9575" t="s">
        <v>4909</v>
      </c>
    </row>
    <row r="9576" spans="1:11" x14ac:dyDescent="0.2">
      <c r="A9576" t="s">
        <v>2057</v>
      </c>
      <c r="B9576" t="s">
        <v>4909</v>
      </c>
      <c r="C9576" t="s">
        <v>4909</v>
      </c>
      <c r="D9576" t="s">
        <v>4909</v>
      </c>
      <c r="E9576" t="s">
        <v>4909</v>
      </c>
      <c r="F9576" t="s">
        <v>4909</v>
      </c>
      <c r="G9576" t="s">
        <v>4909</v>
      </c>
      <c r="H9576" t="s">
        <v>4909</v>
      </c>
      <c r="I9576" t="s">
        <v>4909</v>
      </c>
      <c r="J9576" t="s">
        <v>4909</v>
      </c>
      <c r="K9576" t="s">
        <v>4909</v>
      </c>
    </row>
    <row r="9577" spans="1:11" x14ac:dyDescent="0.2">
      <c r="A9577" t="s">
        <v>4344</v>
      </c>
      <c r="B9577" t="s">
        <v>4909</v>
      </c>
      <c r="C9577" t="s">
        <v>4909</v>
      </c>
      <c r="D9577" t="s">
        <v>4909</v>
      </c>
      <c r="E9577" t="s">
        <v>4909</v>
      </c>
      <c r="F9577" t="s">
        <v>4909</v>
      </c>
      <c r="G9577" t="s">
        <v>4909</v>
      </c>
      <c r="H9577" t="s">
        <v>4909</v>
      </c>
      <c r="I9577" t="s">
        <v>4909</v>
      </c>
      <c r="J9577" t="s">
        <v>4909</v>
      </c>
      <c r="K9577" t="s">
        <v>4909</v>
      </c>
    </row>
    <row r="9578" spans="1:11" x14ac:dyDescent="0.2">
      <c r="A9578" t="s">
        <v>4345</v>
      </c>
      <c r="B9578" t="s">
        <v>4909</v>
      </c>
      <c r="C9578" t="s">
        <v>4909</v>
      </c>
      <c r="D9578" t="s">
        <v>4909</v>
      </c>
      <c r="E9578" t="s">
        <v>4909</v>
      </c>
      <c r="F9578" t="s">
        <v>4909</v>
      </c>
      <c r="G9578" t="s">
        <v>4909</v>
      </c>
      <c r="H9578" t="s">
        <v>4909</v>
      </c>
      <c r="I9578" t="s">
        <v>4909</v>
      </c>
      <c r="J9578" t="s">
        <v>4909</v>
      </c>
      <c r="K9578" t="s">
        <v>4909</v>
      </c>
    </row>
    <row r="9579" spans="1:11" x14ac:dyDescent="0.2">
      <c r="A9579" t="s">
        <v>2074</v>
      </c>
      <c r="B9579" t="s">
        <v>4909</v>
      </c>
      <c r="C9579" t="s">
        <v>4909</v>
      </c>
      <c r="D9579" t="s">
        <v>4909</v>
      </c>
      <c r="E9579" t="s">
        <v>4909</v>
      </c>
      <c r="F9579" t="s">
        <v>4909</v>
      </c>
      <c r="G9579" t="s">
        <v>4909</v>
      </c>
      <c r="H9579" t="s">
        <v>4909</v>
      </c>
      <c r="I9579" t="s">
        <v>4909</v>
      </c>
      <c r="J9579" t="s">
        <v>4909</v>
      </c>
      <c r="K9579" t="s">
        <v>4909</v>
      </c>
    </row>
    <row r="9580" spans="1:11" x14ac:dyDescent="0.2">
      <c r="A9580" t="s">
        <v>2079</v>
      </c>
      <c r="B9580" t="s">
        <v>4909</v>
      </c>
      <c r="C9580" t="s">
        <v>4909</v>
      </c>
      <c r="D9580" t="s">
        <v>4909</v>
      </c>
      <c r="E9580" t="s">
        <v>4909</v>
      </c>
      <c r="F9580" t="s">
        <v>4909</v>
      </c>
      <c r="G9580" t="s">
        <v>4909</v>
      </c>
      <c r="H9580" t="s">
        <v>4909</v>
      </c>
      <c r="I9580" t="s">
        <v>4909</v>
      </c>
      <c r="J9580" t="s">
        <v>4909</v>
      </c>
      <c r="K9580" t="s">
        <v>4909</v>
      </c>
    </row>
    <row r="9581" spans="1:11" x14ac:dyDescent="0.2">
      <c r="A9581" t="s">
        <v>2085</v>
      </c>
      <c r="B9581" t="s">
        <v>4909</v>
      </c>
      <c r="C9581" t="s">
        <v>4909</v>
      </c>
      <c r="D9581" t="s">
        <v>4909</v>
      </c>
      <c r="E9581" t="s">
        <v>4909</v>
      </c>
      <c r="F9581" t="s">
        <v>4909</v>
      </c>
      <c r="G9581" t="s">
        <v>4909</v>
      </c>
      <c r="H9581" t="s">
        <v>4909</v>
      </c>
      <c r="I9581" t="s">
        <v>4909</v>
      </c>
      <c r="J9581" t="s">
        <v>4909</v>
      </c>
      <c r="K9581" t="s">
        <v>4909</v>
      </c>
    </row>
    <row r="9582" spans="1:11" x14ac:dyDescent="0.2">
      <c r="A9582" t="s">
        <v>2091</v>
      </c>
      <c r="B9582" t="s">
        <v>4909</v>
      </c>
      <c r="C9582" t="s">
        <v>4909</v>
      </c>
      <c r="D9582" t="s">
        <v>4909</v>
      </c>
      <c r="E9582" t="s">
        <v>4909</v>
      </c>
      <c r="F9582" t="s">
        <v>4909</v>
      </c>
      <c r="G9582" t="s">
        <v>4909</v>
      </c>
      <c r="H9582" t="s">
        <v>4909</v>
      </c>
      <c r="I9582" t="s">
        <v>4909</v>
      </c>
      <c r="J9582" t="s">
        <v>4909</v>
      </c>
      <c r="K9582" t="s">
        <v>4909</v>
      </c>
    </row>
    <row r="9583" spans="1:11" x14ac:dyDescent="0.2">
      <c r="A9583" t="s">
        <v>2097</v>
      </c>
      <c r="B9583" t="s">
        <v>4909</v>
      </c>
      <c r="C9583" t="s">
        <v>4909</v>
      </c>
      <c r="D9583" t="s">
        <v>4909</v>
      </c>
      <c r="E9583" t="s">
        <v>4909</v>
      </c>
      <c r="F9583" t="s">
        <v>4909</v>
      </c>
      <c r="G9583" t="s">
        <v>4909</v>
      </c>
      <c r="H9583" t="s">
        <v>4909</v>
      </c>
      <c r="I9583" t="s">
        <v>4909</v>
      </c>
      <c r="J9583" t="s">
        <v>4909</v>
      </c>
      <c r="K9583" t="s">
        <v>4909</v>
      </c>
    </row>
    <row r="9584" spans="1:11" x14ac:dyDescent="0.2">
      <c r="A9584" t="s">
        <v>2101</v>
      </c>
      <c r="B9584" t="s">
        <v>4909</v>
      </c>
      <c r="C9584" t="s">
        <v>4909</v>
      </c>
      <c r="D9584" t="s">
        <v>4909</v>
      </c>
      <c r="E9584" t="s">
        <v>4909</v>
      </c>
      <c r="F9584" t="s">
        <v>4909</v>
      </c>
      <c r="G9584" t="s">
        <v>4909</v>
      </c>
      <c r="H9584" t="s">
        <v>4909</v>
      </c>
      <c r="I9584" t="s">
        <v>4909</v>
      </c>
      <c r="J9584" t="s">
        <v>4909</v>
      </c>
      <c r="K9584" t="s">
        <v>4909</v>
      </c>
    </row>
    <row r="9585" spans="1:11" x14ac:dyDescent="0.2">
      <c r="A9585" t="s">
        <v>2104</v>
      </c>
      <c r="B9585" t="s">
        <v>4909</v>
      </c>
      <c r="C9585" t="s">
        <v>4909</v>
      </c>
      <c r="D9585" t="s">
        <v>4909</v>
      </c>
      <c r="E9585" t="s">
        <v>4909</v>
      </c>
      <c r="F9585" t="s">
        <v>4909</v>
      </c>
      <c r="G9585" t="s">
        <v>4909</v>
      </c>
      <c r="H9585" t="s">
        <v>4909</v>
      </c>
      <c r="I9585" t="s">
        <v>4909</v>
      </c>
      <c r="J9585" t="s">
        <v>4909</v>
      </c>
      <c r="K9585" t="s">
        <v>4909</v>
      </c>
    </row>
    <row r="9586" spans="1:11" x14ac:dyDescent="0.2">
      <c r="A9586" t="s">
        <v>2107</v>
      </c>
      <c r="B9586" t="s">
        <v>4909</v>
      </c>
      <c r="C9586" t="s">
        <v>4909</v>
      </c>
      <c r="D9586" t="s">
        <v>4909</v>
      </c>
      <c r="E9586" t="s">
        <v>4909</v>
      </c>
      <c r="F9586" t="s">
        <v>4909</v>
      </c>
      <c r="G9586" t="s">
        <v>4909</v>
      </c>
      <c r="H9586" t="s">
        <v>4909</v>
      </c>
      <c r="I9586" t="s">
        <v>4909</v>
      </c>
      <c r="J9586" t="s">
        <v>4909</v>
      </c>
      <c r="K9586" t="s">
        <v>4909</v>
      </c>
    </row>
    <row r="9587" spans="1:11" x14ac:dyDescent="0.2">
      <c r="A9587" t="s">
        <v>2110</v>
      </c>
      <c r="B9587" t="s">
        <v>4909</v>
      </c>
      <c r="C9587" t="s">
        <v>4909</v>
      </c>
      <c r="D9587" t="s">
        <v>4909</v>
      </c>
      <c r="E9587" t="s">
        <v>4909</v>
      </c>
      <c r="F9587" t="s">
        <v>4909</v>
      </c>
      <c r="G9587" t="s">
        <v>4909</v>
      </c>
      <c r="H9587" t="s">
        <v>4909</v>
      </c>
      <c r="I9587" t="s">
        <v>4909</v>
      </c>
      <c r="J9587" t="s">
        <v>4909</v>
      </c>
      <c r="K9587" t="s">
        <v>4909</v>
      </c>
    </row>
    <row r="9588" spans="1:11" x14ac:dyDescent="0.2">
      <c r="A9588" t="s">
        <v>2113</v>
      </c>
      <c r="B9588" t="s">
        <v>4909</v>
      </c>
      <c r="C9588" t="s">
        <v>4909</v>
      </c>
      <c r="D9588" t="s">
        <v>4909</v>
      </c>
      <c r="E9588" t="s">
        <v>4909</v>
      </c>
      <c r="F9588" t="s">
        <v>4909</v>
      </c>
      <c r="G9588" t="s">
        <v>4909</v>
      </c>
      <c r="H9588" t="s">
        <v>4909</v>
      </c>
      <c r="I9588" t="s">
        <v>4909</v>
      </c>
      <c r="J9588" t="s">
        <v>4909</v>
      </c>
      <c r="K9588" t="s">
        <v>4909</v>
      </c>
    </row>
    <row r="9589" spans="1:11" x14ac:dyDescent="0.2">
      <c r="A9589" t="s">
        <v>4346</v>
      </c>
      <c r="B9589" t="s">
        <v>4909</v>
      </c>
      <c r="C9589" t="s">
        <v>4909</v>
      </c>
      <c r="D9589" t="s">
        <v>4909</v>
      </c>
      <c r="E9589" t="s">
        <v>4909</v>
      </c>
      <c r="F9589" t="s">
        <v>4909</v>
      </c>
      <c r="G9589" t="s">
        <v>4909</v>
      </c>
      <c r="H9589" t="s">
        <v>4909</v>
      </c>
      <c r="I9589" t="s">
        <v>4909</v>
      </c>
      <c r="J9589" t="s">
        <v>4909</v>
      </c>
      <c r="K9589" t="s">
        <v>4909</v>
      </c>
    </row>
    <row r="9590" spans="1:11" x14ac:dyDescent="0.2">
      <c r="A9590" t="s">
        <v>4347</v>
      </c>
      <c r="B9590" t="s">
        <v>4909</v>
      </c>
      <c r="C9590" t="s">
        <v>4909</v>
      </c>
      <c r="D9590" t="s">
        <v>4909</v>
      </c>
      <c r="E9590" t="s">
        <v>4909</v>
      </c>
      <c r="F9590" t="s">
        <v>4909</v>
      </c>
      <c r="G9590" t="s">
        <v>4909</v>
      </c>
      <c r="H9590" t="s">
        <v>4909</v>
      </c>
      <c r="I9590" t="s">
        <v>4909</v>
      </c>
      <c r="J9590" t="s">
        <v>4909</v>
      </c>
      <c r="K9590" t="s">
        <v>4909</v>
      </c>
    </row>
    <row r="9591" spans="1:11" x14ac:dyDescent="0.2">
      <c r="A9591" t="s">
        <v>4348</v>
      </c>
      <c r="B9591" t="s">
        <v>4909</v>
      </c>
      <c r="C9591" t="s">
        <v>4909</v>
      </c>
      <c r="D9591" t="s">
        <v>4909</v>
      </c>
      <c r="E9591" t="s">
        <v>4909</v>
      </c>
      <c r="F9591" t="s">
        <v>4909</v>
      </c>
      <c r="G9591" t="s">
        <v>4909</v>
      </c>
      <c r="H9591" t="s">
        <v>4909</v>
      </c>
      <c r="I9591" t="s">
        <v>4909</v>
      </c>
      <c r="J9591" t="s">
        <v>4909</v>
      </c>
      <c r="K9591" t="s">
        <v>4909</v>
      </c>
    </row>
    <row r="9592" spans="1:11" x14ac:dyDescent="0.2">
      <c r="A9592" t="s">
        <v>4349</v>
      </c>
      <c r="B9592" s="88">
        <v>0.59099999999999997</v>
      </c>
      <c r="C9592" t="s">
        <v>4909</v>
      </c>
      <c r="D9592" t="s">
        <v>4909</v>
      </c>
      <c r="E9592" s="88">
        <v>0.03</v>
      </c>
      <c r="F9592" s="88">
        <v>9.0999999999999998E-2</v>
      </c>
      <c r="G9592" t="s">
        <v>4909</v>
      </c>
      <c r="H9592" t="s">
        <v>4909</v>
      </c>
      <c r="I9592" t="s">
        <v>4909</v>
      </c>
      <c r="J9592" s="88">
        <v>0.01</v>
      </c>
      <c r="K9592" t="s">
        <v>4909</v>
      </c>
    </row>
    <row r="9593" spans="1:11" x14ac:dyDescent="0.2">
      <c r="A9593" t="s">
        <v>4350</v>
      </c>
      <c r="B9593" s="88">
        <v>0</v>
      </c>
      <c r="C9593" t="s">
        <v>4909</v>
      </c>
      <c r="D9593" s="88">
        <v>0</v>
      </c>
      <c r="E9593" s="88">
        <v>0</v>
      </c>
      <c r="F9593" s="88">
        <v>0</v>
      </c>
      <c r="G9593" t="s">
        <v>4909</v>
      </c>
      <c r="H9593" s="88">
        <v>0</v>
      </c>
      <c r="I9593" s="88">
        <v>0</v>
      </c>
      <c r="J9593" s="88">
        <v>7.0000000000000001E-3</v>
      </c>
      <c r="K9593" t="s">
        <v>4909</v>
      </c>
    </row>
    <row r="9594" spans="1:11" x14ac:dyDescent="0.2">
      <c r="A9594" t="s">
        <v>4351</v>
      </c>
      <c r="B9594" t="s">
        <v>4909</v>
      </c>
      <c r="C9594" t="s">
        <v>4909</v>
      </c>
      <c r="D9594" t="s">
        <v>4909</v>
      </c>
      <c r="E9594" t="s">
        <v>4909</v>
      </c>
      <c r="F9594" t="s">
        <v>4909</v>
      </c>
      <c r="G9594" t="s">
        <v>4909</v>
      </c>
      <c r="H9594" t="s">
        <v>4909</v>
      </c>
      <c r="I9594" t="s">
        <v>4909</v>
      </c>
      <c r="J9594" t="s">
        <v>4909</v>
      </c>
      <c r="K9594" t="s">
        <v>4909</v>
      </c>
    </row>
    <row r="9595" spans="1:11" x14ac:dyDescent="0.2">
      <c r="A9595" t="s">
        <v>4352</v>
      </c>
      <c r="B9595" t="s">
        <v>4909</v>
      </c>
      <c r="C9595" t="s">
        <v>4909</v>
      </c>
      <c r="D9595" t="s">
        <v>4909</v>
      </c>
      <c r="E9595" t="s">
        <v>4909</v>
      </c>
      <c r="F9595" t="s">
        <v>4909</v>
      </c>
      <c r="G9595" t="s">
        <v>4909</v>
      </c>
      <c r="H9595" t="s">
        <v>4909</v>
      </c>
      <c r="I9595" t="s">
        <v>4909</v>
      </c>
      <c r="J9595" t="s">
        <v>4909</v>
      </c>
      <c r="K9595" t="s">
        <v>4909</v>
      </c>
    </row>
    <row r="9596" spans="1:11" x14ac:dyDescent="0.2">
      <c r="A9596" t="s">
        <v>4353</v>
      </c>
      <c r="B9596" s="88">
        <v>1.7999999999999999E-2</v>
      </c>
      <c r="C9596" t="s">
        <v>4909</v>
      </c>
      <c r="D9596" t="s">
        <v>4909</v>
      </c>
      <c r="E9596" s="88">
        <v>5.0000000000000001E-3</v>
      </c>
      <c r="F9596" s="88">
        <v>8.0000000000000002E-3</v>
      </c>
      <c r="G9596" t="s">
        <v>4909</v>
      </c>
      <c r="H9596" t="s">
        <v>4909</v>
      </c>
      <c r="I9596" s="88">
        <v>8.0000000000000002E-3</v>
      </c>
      <c r="J9596" s="88">
        <v>0.14399999999999999</v>
      </c>
      <c r="K9596" t="s">
        <v>4909</v>
      </c>
    </row>
    <row r="9597" spans="1:11" x14ac:dyDescent="0.2">
      <c r="A9597" t="s">
        <v>4354</v>
      </c>
      <c r="B9597" s="88">
        <v>8.9999999999999993E-3</v>
      </c>
      <c r="C9597" t="s">
        <v>4909</v>
      </c>
      <c r="D9597" t="s">
        <v>4909</v>
      </c>
      <c r="E9597" s="88">
        <v>1E-3</v>
      </c>
      <c r="F9597" s="88">
        <v>1E-3</v>
      </c>
      <c r="G9597" t="s">
        <v>4909</v>
      </c>
      <c r="H9597" s="88">
        <v>0</v>
      </c>
      <c r="I9597" s="88">
        <v>5.0000000000000001E-3</v>
      </c>
      <c r="J9597" s="88">
        <v>8.7999999999999995E-2</v>
      </c>
      <c r="K9597" t="s">
        <v>4909</v>
      </c>
    </row>
    <row r="9598" spans="1:11" x14ac:dyDescent="0.2">
      <c r="A9598" t="s">
        <v>4355</v>
      </c>
      <c r="B9598" t="s">
        <v>4909</v>
      </c>
      <c r="C9598" t="s">
        <v>4909</v>
      </c>
      <c r="D9598" t="s">
        <v>4909</v>
      </c>
      <c r="E9598" t="s">
        <v>4909</v>
      </c>
      <c r="F9598" t="s">
        <v>4909</v>
      </c>
      <c r="G9598" t="s">
        <v>4909</v>
      </c>
      <c r="H9598" t="s">
        <v>4909</v>
      </c>
      <c r="I9598" t="s">
        <v>4909</v>
      </c>
      <c r="J9598" t="s">
        <v>4909</v>
      </c>
      <c r="K9598" t="s">
        <v>4909</v>
      </c>
    </row>
    <row r="9599" spans="1:11" x14ac:dyDescent="0.2">
      <c r="A9599" t="s">
        <v>4356</v>
      </c>
      <c r="B9599" t="s">
        <v>4909</v>
      </c>
      <c r="C9599" t="s">
        <v>4909</v>
      </c>
      <c r="D9599" t="s">
        <v>4909</v>
      </c>
      <c r="E9599" t="s">
        <v>4909</v>
      </c>
      <c r="F9599" t="s">
        <v>4909</v>
      </c>
      <c r="G9599" t="s">
        <v>4909</v>
      </c>
      <c r="H9599" t="s">
        <v>4909</v>
      </c>
      <c r="I9599" t="s">
        <v>4909</v>
      </c>
      <c r="J9599" t="s">
        <v>4909</v>
      </c>
      <c r="K9599" t="s">
        <v>4909</v>
      </c>
    </row>
    <row r="9600" spans="1:11" x14ac:dyDescent="0.2">
      <c r="A9600" t="s">
        <v>4357</v>
      </c>
      <c r="B9600" s="88">
        <v>0</v>
      </c>
      <c r="C9600" t="s">
        <v>4909</v>
      </c>
      <c r="D9600" t="s">
        <v>4909</v>
      </c>
      <c r="E9600" s="88">
        <v>0</v>
      </c>
      <c r="F9600" s="88">
        <v>0</v>
      </c>
      <c r="G9600" t="s">
        <v>4909</v>
      </c>
      <c r="H9600" t="s">
        <v>4909</v>
      </c>
      <c r="I9600" s="88">
        <v>0</v>
      </c>
      <c r="J9600" s="88">
        <v>5.0000000000000001E-3</v>
      </c>
      <c r="K9600" t="s">
        <v>4909</v>
      </c>
    </row>
    <row r="9601" spans="1:11" x14ac:dyDescent="0.2">
      <c r="A9601" t="s">
        <v>4358</v>
      </c>
      <c r="B9601" s="88">
        <v>4.0000000000000001E-3</v>
      </c>
      <c r="C9601" t="s">
        <v>4909</v>
      </c>
      <c r="D9601" s="88">
        <v>0</v>
      </c>
      <c r="E9601" s="88">
        <v>2E-3</v>
      </c>
      <c r="F9601" s="88">
        <v>3.0000000000000001E-3</v>
      </c>
      <c r="G9601" t="s">
        <v>4909</v>
      </c>
      <c r="H9601" t="s">
        <v>4909</v>
      </c>
      <c r="I9601" s="88">
        <v>0</v>
      </c>
      <c r="J9601" s="88">
        <v>3.0000000000000001E-3</v>
      </c>
      <c r="K9601" t="s">
        <v>4909</v>
      </c>
    </row>
    <row r="9602" spans="1:11" x14ac:dyDescent="0.2">
      <c r="A9602" t="s">
        <v>4359</v>
      </c>
      <c r="B9602" s="88">
        <v>3.0000000000000001E-3</v>
      </c>
      <c r="C9602" t="s">
        <v>4909</v>
      </c>
      <c r="D9602" t="s">
        <v>4909</v>
      </c>
      <c r="E9602" s="88">
        <v>0</v>
      </c>
      <c r="F9602" s="88">
        <v>1E-3</v>
      </c>
      <c r="G9602" t="s">
        <v>4909</v>
      </c>
      <c r="H9602" t="s">
        <v>4909</v>
      </c>
      <c r="I9602" t="s">
        <v>4909</v>
      </c>
      <c r="J9602" t="s">
        <v>4909</v>
      </c>
      <c r="K9602" t="s">
        <v>4909</v>
      </c>
    </row>
    <row r="9603" spans="1:11" x14ac:dyDescent="0.2">
      <c r="A9603" t="s">
        <v>4360</v>
      </c>
      <c r="B9603" s="88">
        <v>1E-3</v>
      </c>
      <c r="C9603" t="s">
        <v>4909</v>
      </c>
      <c r="D9603" t="s">
        <v>4909</v>
      </c>
      <c r="E9603" t="s">
        <v>4909</v>
      </c>
      <c r="F9603" t="s">
        <v>4909</v>
      </c>
      <c r="G9603" t="s">
        <v>4909</v>
      </c>
      <c r="H9603" t="s">
        <v>4909</v>
      </c>
      <c r="I9603" s="88">
        <v>1E-3</v>
      </c>
      <c r="J9603" s="88">
        <v>8.6999999999999994E-2</v>
      </c>
      <c r="K9603" t="s">
        <v>4909</v>
      </c>
    </row>
    <row r="9604" spans="1:11" x14ac:dyDescent="0.2">
      <c r="A9604" t="s">
        <v>4361</v>
      </c>
      <c r="B9604" s="88">
        <v>0.245</v>
      </c>
      <c r="C9604" t="s">
        <v>4909</v>
      </c>
      <c r="D9604" s="88">
        <v>8.0000000000000002E-3</v>
      </c>
      <c r="E9604" s="88">
        <v>7.8E-2</v>
      </c>
      <c r="F9604" s="88">
        <v>0.193</v>
      </c>
      <c r="G9604" t="s">
        <v>4909</v>
      </c>
      <c r="H9604" s="88">
        <v>0</v>
      </c>
      <c r="I9604" s="88">
        <v>1E-3</v>
      </c>
      <c r="J9604" s="88">
        <v>4.2000000000000003E-2</v>
      </c>
      <c r="K9604" t="s">
        <v>4909</v>
      </c>
    </row>
    <row r="9605" spans="1:11" x14ac:dyDescent="0.2">
      <c r="A9605" t="s">
        <v>4362</v>
      </c>
      <c r="B9605" s="88">
        <v>0.73499999999999999</v>
      </c>
      <c r="C9605" t="s">
        <v>4909</v>
      </c>
      <c r="D9605" t="s">
        <v>4909</v>
      </c>
      <c r="E9605" t="s">
        <v>4909</v>
      </c>
      <c r="F9605" s="88">
        <v>1.0999999999999999E-2</v>
      </c>
      <c r="G9605" t="s">
        <v>4909</v>
      </c>
      <c r="H9605" t="s">
        <v>4909</v>
      </c>
      <c r="I9605" t="s">
        <v>4909</v>
      </c>
      <c r="J9605" t="s">
        <v>4909</v>
      </c>
      <c r="K9605" t="s">
        <v>4909</v>
      </c>
    </row>
    <row r="9606" spans="1:11" x14ac:dyDescent="0.2">
      <c r="A9606" t="s">
        <v>4363</v>
      </c>
      <c r="B9606" s="88">
        <v>1E-3</v>
      </c>
      <c r="C9606" t="s">
        <v>4909</v>
      </c>
      <c r="D9606" t="s">
        <v>4909</v>
      </c>
      <c r="E9606" t="s">
        <v>4909</v>
      </c>
      <c r="F9606" t="s">
        <v>4909</v>
      </c>
      <c r="G9606" t="s">
        <v>4909</v>
      </c>
      <c r="H9606" t="s">
        <v>4909</v>
      </c>
      <c r="I9606" t="s">
        <v>4909</v>
      </c>
      <c r="J9606" t="s">
        <v>4909</v>
      </c>
      <c r="K9606" t="s">
        <v>4909</v>
      </c>
    </row>
    <row r="9607" spans="1:11" x14ac:dyDescent="0.2">
      <c r="A9607" t="s">
        <v>4364</v>
      </c>
      <c r="B9607" t="s">
        <v>4909</v>
      </c>
      <c r="C9607" t="s">
        <v>4909</v>
      </c>
      <c r="D9607" t="s">
        <v>4909</v>
      </c>
      <c r="E9607" t="s">
        <v>4909</v>
      </c>
      <c r="F9607" t="s">
        <v>4909</v>
      </c>
      <c r="G9607" t="s">
        <v>4909</v>
      </c>
      <c r="H9607" t="s">
        <v>4909</v>
      </c>
      <c r="I9607" t="s">
        <v>4909</v>
      </c>
      <c r="J9607" t="s">
        <v>4909</v>
      </c>
      <c r="K9607" t="s">
        <v>4909</v>
      </c>
    </row>
    <row r="9608" spans="1:11" x14ac:dyDescent="0.2">
      <c r="A9608" t="s">
        <v>4365</v>
      </c>
      <c r="B9608" s="88">
        <v>4.2999999999999997E-2</v>
      </c>
      <c r="C9608" t="s">
        <v>4909</v>
      </c>
      <c r="D9608" s="88">
        <v>2E-3</v>
      </c>
      <c r="E9608" s="88">
        <v>0.27100000000000002</v>
      </c>
      <c r="F9608" s="88">
        <v>5.5E-2</v>
      </c>
      <c r="G9608" t="s">
        <v>4909</v>
      </c>
      <c r="H9608" t="s">
        <v>4909</v>
      </c>
      <c r="I9608" s="88">
        <v>6.0000000000000001E-3</v>
      </c>
      <c r="J9608" s="88">
        <v>1.0999999999999999E-2</v>
      </c>
      <c r="K9608" t="s">
        <v>4909</v>
      </c>
    </row>
    <row r="9609" spans="1:11" x14ac:dyDescent="0.2">
      <c r="A9609" t="s">
        <v>4366</v>
      </c>
      <c r="B9609" t="s">
        <v>4909</v>
      </c>
      <c r="C9609" t="s">
        <v>4909</v>
      </c>
      <c r="D9609" t="s">
        <v>4909</v>
      </c>
      <c r="E9609" t="s">
        <v>4909</v>
      </c>
      <c r="F9609" t="s">
        <v>4909</v>
      </c>
      <c r="G9609" t="s">
        <v>4909</v>
      </c>
      <c r="H9609" t="s">
        <v>4909</v>
      </c>
      <c r="I9609" s="88">
        <v>0</v>
      </c>
      <c r="J9609" s="88">
        <v>0</v>
      </c>
      <c r="K9609" t="s">
        <v>4909</v>
      </c>
    </row>
    <row r="9610" spans="1:11" x14ac:dyDescent="0.2">
      <c r="A9610" t="s">
        <v>4367</v>
      </c>
      <c r="B9610" s="88">
        <v>2E-3</v>
      </c>
      <c r="C9610" t="s">
        <v>4909</v>
      </c>
      <c r="D9610" s="88">
        <v>0</v>
      </c>
      <c r="E9610" s="88">
        <v>3.5000000000000003E-2</v>
      </c>
      <c r="F9610" s="88">
        <v>8.0000000000000002E-3</v>
      </c>
      <c r="G9610" t="s">
        <v>4909</v>
      </c>
      <c r="H9610" t="s">
        <v>4909</v>
      </c>
      <c r="I9610" t="s">
        <v>4909</v>
      </c>
      <c r="J9610" t="s">
        <v>4909</v>
      </c>
      <c r="K9610" t="s">
        <v>4909</v>
      </c>
    </row>
    <row r="9611" spans="1:11" x14ac:dyDescent="0.2">
      <c r="A9611" t="s">
        <v>4368</v>
      </c>
      <c r="B9611" s="88">
        <v>6.0000000000000001E-3</v>
      </c>
      <c r="C9611" t="s">
        <v>4909</v>
      </c>
      <c r="D9611" s="88">
        <v>0</v>
      </c>
      <c r="E9611" s="88">
        <v>8.0000000000000002E-3</v>
      </c>
      <c r="F9611" s="88">
        <v>2E-3</v>
      </c>
      <c r="G9611" t="s">
        <v>4909</v>
      </c>
      <c r="H9611" s="88">
        <v>0</v>
      </c>
      <c r="I9611" s="88">
        <v>1E-3</v>
      </c>
      <c r="J9611" s="88">
        <v>0.01</v>
      </c>
      <c r="K9611" t="s">
        <v>4909</v>
      </c>
    </row>
    <row r="9612" spans="1:11" x14ac:dyDescent="0.2">
      <c r="A9612" t="s">
        <v>4369</v>
      </c>
      <c r="B9612" s="88">
        <v>4.0000000000000001E-3</v>
      </c>
      <c r="C9612" t="s">
        <v>4909</v>
      </c>
      <c r="D9612" s="88">
        <v>0</v>
      </c>
      <c r="E9612" s="88">
        <v>7.0000000000000001E-3</v>
      </c>
      <c r="F9612" s="88">
        <v>1E-3</v>
      </c>
      <c r="G9612" t="s">
        <v>4909</v>
      </c>
      <c r="H9612" s="88">
        <v>0</v>
      </c>
      <c r="I9612" s="88">
        <v>6.5000000000000002E-2</v>
      </c>
      <c r="J9612" s="88">
        <v>0.151</v>
      </c>
      <c r="K9612" t="s">
        <v>4909</v>
      </c>
    </row>
    <row r="9613" spans="1:11" x14ac:dyDescent="0.2">
      <c r="A9613" t="s">
        <v>4370</v>
      </c>
      <c r="B9613" s="88">
        <v>3.2000000000000001E-2</v>
      </c>
      <c r="C9613" t="s">
        <v>4909</v>
      </c>
      <c r="D9613" s="88">
        <v>1E-3</v>
      </c>
      <c r="E9613" s="88">
        <v>6.9000000000000006E-2</v>
      </c>
      <c r="F9613" s="88">
        <v>1.7999999999999999E-2</v>
      </c>
      <c r="G9613" t="s">
        <v>4909</v>
      </c>
      <c r="H9613" t="s">
        <v>4909</v>
      </c>
      <c r="I9613" t="s">
        <v>4909</v>
      </c>
      <c r="J9613" t="s">
        <v>4909</v>
      </c>
      <c r="K9613" t="s">
        <v>4909</v>
      </c>
    </row>
    <row r="9614" spans="1:11" x14ac:dyDescent="0.2">
      <c r="A9614" t="s">
        <v>4371</v>
      </c>
      <c r="B9614" s="88">
        <v>7.0000000000000001E-3</v>
      </c>
      <c r="C9614" t="s">
        <v>4909</v>
      </c>
      <c r="D9614" t="s">
        <v>4909</v>
      </c>
      <c r="E9614" s="88">
        <v>7.0000000000000001E-3</v>
      </c>
      <c r="F9614" t="s">
        <v>4909</v>
      </c>
      <c r="G9614" t="s">
        <v>4909</v>
      </c>
      <c r="H9614" t="s">
        <v>4909</v>
      </c>
      <c r="I9614" t="s">
        <v>4909</v>
      </c>
      <c r="J9614" t="s">
        <v>4909</v>
      </c>
      <c r="K9614" t="s">
        <v>4909</v>
      </c>
    </row>
    <row r="9615" spans="1:11" x14ac:dyDescent="0.2">
      <c r="A9615" t="s">
        <v>4372</v>
      </c>
      <c r="B9615" t="s">
        <v>4909</v>
      </c>
      <c r="C9615" t="s">
        <v>4909</v>
      </c>
      <c r="D9615" t="s">
        <v>4909</v>
      </c>
      <c r="E9615" t="s">
        <v>4909</v>
      </c>
      <c r="F9615" t="s">
        <v>4909</v>
      </c>
      <c r="G9615" t="s">
        <v>4909</v>
      </c>
      <c r="H9615" t="s">
        <v>4909</v>
      </c>
      <c r="I9615" t="s">
        <v>4909</v>
      </c>
      <c r="J9615" t="s">
        <v>4909</v>
      </c>
      <c r="K9615" t="s">
        <v>4909</v>
      </c>
    </row>
    <row r="9616" spans="1:11" x14ac:dyDescent="0.2">
      <c r="A9616" t="s">
        <v>4373</v>
      </c>
      <c r="B9616" s="88">
        <v>0</v>
      </c>
      <c r="C9616" t="s">
        <v>4909</v>
      </c>
      <c r="D9616" t="s">
        <v>4909</v>
      </c>
      <c r="E9616" s="88">
        <v>0</v>
      </c>
      <c r="F9616" s="88">
        <v>0</v>
      </c>
      <c r="G9616" t="s">
        <v>4909</v>
      </c>
      <c r="H9616" s="88">
        <v>0</v>
      </c>
      <c r="I9616" s="88">
        <v>0</v>
      </c>
      <c r="J9616" s="88">
        <v>1E-3</v>
      </c>
      <c r="K9616" t="s">
        <v>4909</v>
      </c>
    </row>
    <row r="9617" spans="1:11" x14ac:dyDescent="0.2">
      <c r="A9617" t="s">
        <v>4374</v>
      </c>
      <c r="B9617" s="88">
        <v>0</v>
      </c>
      <c r="C9617" t="s">
        <v>4909</v>
      </c>
      <c r="D9617" t="s">
        <v>4909</v>
      </c>
      <c r="E9617" s="88">
        <v>0</v>
      </c>
      <c r="F9617" s="88">
        <v>0</v>
      </c>
      <c r="G9617" t="s">
        <v>4909</v>
      </c>
      <c r="H9617" t="s">
        <v>4909</v>
      </c>
      <c r="I9617" s="88">
        <v>0</v>
      </c>
      <c r="J9617" s="88">
        <v>0</v>
      </c>
      <c r="K9617" t="s">
        <v>4909</v>
      </c>
    </row>
    <row r="9618" spans="1:11" x14ac:dyDescent="0.2">
      <c r="A9618" t="s">
        <v>4375</v>
      </c>
      <c r="B9618" s="88">
        <v>0</v>
      </c>
      <c r="C9618" t="s">
        <v>4909</v>
      </c>
      <c r="D9618" s="88">
        <v>0</v>
      </c>
      <c r="E9618" s="88">
        <v>0</v>
      </c>
      <c r="F9618" s="88">
        <v>0</v>
      </c>
      <c r="G9618" t="s">
        <v>4909</v>
      </c>
      <c r="H9618" s="88">
        <v>0</v>
      </c>
      <c r="I9618" s="88">
        <v>0</v>
      </c>
      <c r="J9618" s="88">
        <v>0</v>
      </c>
      <c r="K9618" t="s">
        <v>4909</v>
      </c>
    </row>
    <row r="9619" spans="1:11" x14ac:dyDescent="0.2">
      <c r="A9619" t="s">
        <v>4376</v>
      </c>
      <c r="B9619" s="88">
        <v>0</v>
      </c>
      <c r="C9619" t="s">
        <v>4909</v>
      </c>
      <c r="D9619" t="s">
        <v>4909</v>
      </c>
      <c r="E9619" s="88">
        <v>0</v>
      </c>
      <c r="F9619" s="88">
        <v>0</v>
      </c>
      <c r="G9619" t="s">
        <v>4909</v>
      </c>
      <c r="H9619" t="s">
        <v>4909</v>
      </c>
      <c r="I9619" s="88">
        <v>0</v>
      </c>
      <c r="J9619" s="88">
        <v>0</v>
      </c>
      <c r="K9619" t="s">
        <v>4909</v>
      </c>
    </row>
    <row r="9620" spans="1:11" x14ac:dyDescent="0.2">
      <c r="A9620" t="s">
        <v>4377</v>
      </c>
      <c r="B9620" s="88">
        <v>0</v>
      </c>
      <c r="C9620" t="s">
        <v>4909</v>
      </c>
      <c r="D9620" s="88">
        <v>0</v>
      </c>
      <c r="E9620" s="88">
        <v>0</v>
      </c>
      <c r="F9620" s="88">
        <v>0</v>
      </c>
      <c r="G9620" t="s">
        <v>4909</v>
      </c>
      <c r="H9620" s="88">
        <v>0</v>
      </c>
      <c r="I9620" s="88">
        <v>0</v>
      </c>
      <c r="J9620" s="88">
        <v>0</v>
      </c>
      <c r="K9620" t="s">
        <v>4909</v>
      </c>
    </row>
    <row r="9621" spans="1:11" x14ac:dyDescent="0.2">
      <c r="A9621" t="s">
        <v>2318</v>
      </c>
      <c r="B9621" t="s">
        <v>4399</v>
      </c>
      <c r="C9621" t="s">
        <v>4399</v>
      </c>
      <c r="D9621" t="s">
        <v>4399</v>
      </c>
      <c r="E9621" t="s">
        <v>4399</v>
      </c>
      <c r="F9621" t="s">
        <v>4399</v>
      </c>
      <c r="G9621" t="s">
        <v>4399</v>
      </c>
      <c r="H9621" t="s">
        <v>4399</v>
      </c>
      <c r="I9621" t="s">
        <v>4399</v>
      </c>
      <c r="J9621" t="s">
        <v>4399</v>
      </c>
      <c r="K9621" t="s">
        <v>4399</v>
      </c>
    </row>
    <row r="9622" spans="1:11" x14ac:dyDescent="0.2">
      <c r="A9622" t="s">
        <v>4248</v>
      </c>
    </row>
    <row r="9623" spans="1:11" x14ac:dyDescent="0.2">
      <c r="A9623" t="s">
        <v>4910</v>
      </c>
      <c r="B9623" t="s">
        <v>4904</v>
      </c>
      <c r="C9623" t="s">
        <v>4911</v>
      </c>
      <c r="D9623" t="s">
        <v>4912</v>
      </c>
      <c r="E9623" t="s">
        <v>4907</v>
      </c>
      <c r="F9623" t="s">
        <v>4913</v>
      </c>
      <c r="G9623">
        <v>23</v>
      </c>
    </row>
    <row r="9624" spans="1:11" x14ac:dyDescent="0.2">
      <c r="A9624" t="s">
        <v>2318</v>
      </c>
      <c r="B9624" t="s">
        <v>4399</v>
      </c>
      <c r="C9624" t="s">
        <v>4399</v>
      </c>
      <c r="D9624" t="s">
        <v>4399</v>
      </c>
      <c r="E9624" t="s">
        <v>4399</v>
      </c>
      <c r="F9624" t="s">
        <v>4399</v>
      </c>
      <c r="G9624" t="s">
        <v>4399</v>
      </c>
      <c r="H9624" t="s">
        <v>4399</v>
      </c>
      <c r="I9624" t="s">
        <v>4399</v>
      </c>
      <c r="J9624" t="s">
        <v>4399</v>
      </c>
      <c r="K9624" t="s">
        <v>4399</v>
      </c>
    </row>
    <row r="9625" spans="1:11" x14ac:dyDescent="0.2">
      <c r="A9625" t="s">
        <v>126</v>
      </c>
      <c r="B9625" t="s">
        <v>4768</v>
      </c>
      <c r="C9625" t="s">
        <v>4772</v>
      </c>
      <c r="D9625" t="s">
        <v>4776</v>
      </c>
      <c r="E9625" t="s">
        <v>4780</v>
      </c>
      <c r="F9625" t="s">
        <v>4784</v>
      </c>
      <c r="G9625" t="s">
        <v>4788</v>
      </c>
      <c r="H9625" t="s">
        <v>4792</v>
      </c>
      <c r="I9625" t="s">
        <v>4796</v>
      </c>
      <c r="J9625" t="s">
        <v>4799</v>
      </c>
      <c r="K9625" t="s">
        <v>4802</v>
      </c>
    </row>
    <row r="9626" spans="1:11" x14ac:dyDescent="0.2">
      <c r="A9626" t="s">
        <v>2318</v>
      </c>
      <c r="B9626" t="s">
        <v>4399</v>
      </c>
      <c r="C9626" t="s">
        <v>4399</v>
      </c>
      <c r="D9626" t="s">
        <v>4399</v>
      </c>
      <c r="E9626" t="s">
        <v>4399</v>
      </c>
      <c r="F9626" t="s">
        <v>4399</v>
      </c>
      <c r="G9626" t="s">
        <v>4399</v>
      </c>
      <c r="H9626" t="s">
        <v>4399</v>
      </c>
      <c r="I9626" t="s">
        <v>4399</v>
      </c>
      <c r="J9626" t="s">
        <v>4399</v>
      </c>
      <c r="K9626" t="s">
        <v>4399</v>
      </c>
    </row>
    <row r="9627" spans="1:11" x14ac:dyDescent="0.2">
      <c r="A9627" t="s">
        <v>4265</v>
      </c>
      <c r="B9627" t="s">
        <v>4909</v>
      </c>
      <c r="C9627" t="s">
        <v>4909</v>
      </c>
      <c r="D9627" t="s">
        <v>4909</v>
      </c>
      <c r="E9627" t="s">
        <v>4909</v>
      </c>
      <c r="F9627" t="s">
        <v>4909</v>
      </c>
      <c r="G9627" t="s">
        <v>4909</v>
      </c>
      <c r="H9627" t="s">
        <v>4909</v>
      </c>
      <c r="I9627" t="s">
        <v>4909</v>
      </c>
      <c r="J9627" t="s">
        <v>4909</v>
      </c>
      <c r="K9627" t="s">
        <v>4909</v>
      </c>
    </row>
    <row r="9628" spans="1:11" x14ac:dyDescent="0.2">
      <c r="A9628" t="s">
        <v>4266</v>
      </c>
      <c r="B9628" t="s">
        <v>4909</v>
      </c>
      <c r="C9628" t="s">
        <v>4909</v>
      </c>
      <c r="D9628" t="s">
        <v>4909</v>
      </c>
      <c r="E9628" t="s">
        <v>4909</v>
      </c>
      <c r="F9628" t="s">
        <v>4909</v>
      </c>
      <c r="G9628" t="s">
        <v>4909</v>
      </c>
      <c r="H9628" t="s">
        <v>4909</v>
      </c>
      <c r="I9628" t="s">
        <v>4909</v>
      </c>
      <c r="J9628" t="s">
        <v>4909</v>
      </c>
      <c r="K9628" t="s">
        <v>4909</v>
      </c>
    </row>
    <row r="9629" spans="1:11" x14ac:dyDescent="0.2">
      <c r="A9629" t="s">
        <v>4267</v>
      </c>
      <c r="B9629" t="s">
        <v>4909</v>
      </c>
      <c r="C9629" t="s">
        <v>4909</v>
      </c>
      <c r="D9629" t="s">
        <v>4909</v>
      </c>
      <c r="E9629" t="s">
        <v>4909</v>
      </c>
      <c r="F9629" t="s">
        <v>4909</v>
      </c>
      <c r="G9629" t="s">
        <v>4909</v>
      </c>
      <c r="H9629" t="s">
        <v>4909</v>
      </c>
      <c r="I9629" t="s">
        <v>4909</v>
      </c>
      <c r="J9629" t="s">
        <v>4909</v>
      </c>
      <c r="K9629" t="s">
        <v>4909</v>
      </c>
    </row>
    <row r="9630" spans="1:11" x14ac:dyDescent="0.2">
      <c r="A9630" t="s">
        <v>4268</v>
      </c>
      <c r="B9630" t="s">
        <v>4909</v>
      </c>
      <c r="C9630" t="s">
        <v>4909</v>
      </c>
      <c r="D9630" t="s">
        <v>4909</v>
      </c>
      <c r="E9630" t="s">
        <v>4909</v>
      </c>
      <c r="F9630" t="s">
        <v>4909</v>
      </c>
      <c r="G9630" t="s">
        <v>4909</v>
      </c>
      <c r="H9630" t="s">
        <v>4909</v>
      </c>
      <c r="I9630" t="s">
        <v>4909</v>
      </c>
      <c r="J9630" t="s">
        <v>4909</v>
      </c>
      <c r="K9630" t="s">
        <v>4909</v>
      </c>
    </row>
    <row r="9631" spans="1:11" x14ac:dyDescent="0.2">
      <c r="A9631" t="s">
        <v>4269</v>
      </c>
      <c r="B9631" t="s">
        <v>4909</v>
      </c>
      <c r="C9631" t="s">
        <v>4909</v>
      </c>
      <c r="D9631" t="s">
        <v>4909</v>
      </c>
      <c r="E9631" t="s">
        <v>4909</v>
      </c>
      <c r="F9631" t="s">
        <v>4909</v>
      </c>
      <c r="G9631" t="s">
        <v>4909</v>
      </c>
      <c r="H9631" t="s">
        <v>4909</v>
      </c>
      <c r="I9631" t="s">
        <v>4909</v>
      </c>
      <c r="J9631" t="s">
        <v>4909</v>
      </c>
      <c r="K9631" t="s">
        <v>4909</v>
      </c>
    </row>
    <row r="9632" spans="1:11" x14ac:dyDescent="0.2">
      <c r="A9632" t="s">
        <v>4270</v>
      </c>
      <c r="B9632" t="s">
        <v>4909</v>
      </c>
      <c r="C9632" t="s">
        <v>4909</v>
      </c>
      <c r="D9632" t="s">
        <v>4909</v>
      </c>
      <c r="E9632" t="s">
        <v>4909</v>
      </c>
      <c r="F9632" t="s">
        <v>4909</v>
      </c>
      <c r="G9632" t="s">
        <v>4909</v>
      </c>
      <c r="H9632" t="s">
        <v>4909</v>
      </c>
      <c r="I9632" t="s">
        <v>4909</v>
      </c>
      <c r="J9632" t="s">
        <v>4909</v>
      </c>
      <c r="K9632" t="s">
        <v>4909</v>
      </c>
    </row>
    <row r="9633" spans="1:11" x14ac:dyDescent="0.2">
      <c r="A9633" t="s">
        <v>4271</v>
      </c>
      <c r="B9633" t="s">
        <v>4909</v>
      </c>
      <c r="C9633" t="s">
        <v>4909</v>
      </c>
      <c r="D9633" t="s">
        <v>4909</v>
      </c>
      <c r="E9633" t="s">
        <v>4909</v>
      </c>
      <c r="F9633" t="s">
        <v>4909</v>
      </c>
      <c r="G9633" t="s">
        <v>4909</v>
      </c>
      <c r="H9633" t="s">
        <v>4909</v>
      </c>
      <c r="I9633" t="s">
        <v>4909</v>
      </c>
      <c r="J9633" t="s">
        <v>4909</v>
      </c>
      <c r="K9633" t="s">
        <v>4909</v>
      </c>
    </row>
    <row r="9634" spans="1:11" x14ac:dyDescent="0.2">
      <c r="A9634" t="s">
        <v>4272</v>
      </c>
      <c r="B9634" t="s">
        <v>4909</v>
      </c>
      <c r="C9634" t="s">
        <v>4909</v>
      </c>
      <c r="D9634" t="s">
        <v>4909</v>
      </c>
      <c r="E9634" t="s">
        <v>4909</v>
      </c>
      <c r="F9634" t="s">
        <v>4909</v>
      </c>
      <c r="G9634" t="s">
        <v>4909</v>
      </c>
      <c r="H9634" t="s">
        <v>4909</v>
      </c>
      <c r="I9634" t="s">
        <v>4909</v>
      </c>
      <c r="J9634" t="s">
        <v>4909</v>
      </c>
      <c r="K9634" t="s">
        <v>4909</v>
      </c>
    </row>
    <row r="9635" spans="1:11" x14ac:dyDescent="0.2">
      <c r="A9635" t="s">
        <v>4273</v>
      </c>
      <c r="B9635" t="s">
        <v>4909</v>
      </c>
      <c r="C9635" t="s">
        <v>4909</v>
      </c>
      <c r="D9635" t="s">
        <v>4909</v>
      </c>
      <c r="E9635" t="s">
        <v>4909</v>
      </c>
      <c r="F9635" t="s">
        <v>4909</v>
      </c>
      <c r="G9635" t="s">
        <v>4909</v>
      </c>
      <c r="H9635" t="s">
        <v>4909</v>
      </c>
      <c r="I9635" t="s">
        <v>4909</v>
      </c>
      <c r="J9635" t="s">
        <v>4909</v>
      </c>
      <c r="K9635" t="s">
        <v>4909</v>
      </c>
    </row>
    <row r="9636" spans="1:11" x14ac:dyDescent="0.2">
      <c r="A9636" t="s">
        <v>4274</v>
      </c>
      <c r="B9636" t="s">
        <v>4909</v>
      </c>
      <c r="C9636" t="s">
        <v>4909</v>
      </c>
      <c r="D9636" t="s">
        <v>4909</v>
      </c>
      <c r="E9636" t="s">
        <v>4909</v>
      </c>
      <c r="F9636" t="s">
        <v>4909</v>
      </c>
      <c r="G9636" t="s">
        <v>4909</v>
      </c>
      <c r="H9636" t="s">
        <v>4909</v>
      </c>
      <c r="I9636" t="s">
        <v>4909</v>
      </c>
      <c r="J9636" t="s">
        <v>4909</v>
      </c>
      <c r="K9636" t="s">
        <v>4909</v>
      </c>
    </row>
    <row r="9637" spans="1:11" x14ac:dyDescent="0.2">
      <c r="A9637" t="s">
        <v>4275</v>
      </c>
      <c r="B9637" t="s">
        <v>4909</v>
      </c>
      <c r="C9637" t="s">
        <v>4909</v>
      </c>
      <c r="D9637" t="s">
        <v>4909</v>
      </c>
      <c r="E9637" t="s">
        <v>4909</v>
      </c>
      <c r="F9637" t="s">
        <v>4909</v>
      </c>
      <c r="G9637" t="s">
        <v>4909</v>
      </c>
      <c r="H9637" t="s">
        <v>4909</v>
      </c>
      <c r="I9637" t="s">
        <v>4909</v>
      </c>
      <c r="J9637" t="s">
        <v>4909</v>
      </c>
      <c r="K9637" t="s">
        <v>4909</v>
      </c>
    </row>
    <row r="9638" spans="1:11" x14ac:dyDescent="0.2">
      <c r="A9638" t="s">
        <v>4276</v>
      </c>
      <c r="B9638" t="s">
        <v>4909</v>
      </c>
      <c r="C9638" t="s">
        <v>4909</v>
      </c>
      <c r="D9638" t="s">
        <v>4909</v>
      </c>
      <c r="E9638" t="s">
        <v>4909</v>
      </c>
      <c r="F9638" t="s">
        <v>4909</v>
      </c>
      <c r="G9638" t="s">
        <v>4909</v>
      </c>
      <c r="H9638" t="s">
        <v>4909</v>
      </c>
      <c r="I9638" t="s">
        <v>4909</v>
      </c>
      <c r="J9638" t="s">
        <v>4909</v>
      </c>
      <c r="K9638" t="s">
        <v>4909</v>
      </c>
    </row>
    <row r="9639" spans="1:11" x14ac:dyDescent="0.2">
      <c r="A9639" t="s">
        <v>4277</v>
      </c>
      <c r="B9639" t="s">
        <v>4909</v>
      </c>
      <c r="C9639" t="s">
        <v>4909</v>
      </c>
      <c r="D9639" t="s">
        <v>4909</v>
      </c>
      <c r="E9639" t="s">
        <v>4909</v>
      </c>
      <c r="F9639" t="s">
        <v>4909</v>
      </c>
      <c r="G9639" t="s">
        <v>4909</v>
      </c>
      <c r="H9639" t="s">
        <v>4909</v>
      </c>
      <c r="I9639" t="s">
        <v>4909</v>
      </c>
      <c r="J9639" t="s">
        <v>4909</v>
      </c>
      <c r="K9639" t="s">
        <v>4909</v>
      </c>
    </row>
    <row r="9640" spans="1:11" x14ac:dyDescent="0.2">
      <c r="A9640" t="s">
        <v>4278</v>
      </c>
      <c r="B9640" t="s">
        <v>4909</v>
      </c>
      <c r="C9640" t="s">
        <v>4909</v>
      </c>
      <c r="D9640" t="s">
        <v>4909</v>
      </c>
      <c r="E9640" t="s">
        <v>4909</v>
      </c>
      <c r="F9640" t="s">
        <v>4909</v>
      </c>
      <c r="G9640" t="s">
        <v>4909</v>
      </c>
      <c r="H9640" t="s">
        <v>4909</v>
      </c>
      <c r="I9640" t="s">
        <v>4909</v>
      </c>
      <c r="J9640" t="s">
        <v>4909</v>
      </c>
      <c r="K9640" t="s">
        <v>4909</v>
      </c>
    </row>
    <row r="9641" spans="1:11" x14ac:dyDescent="0.2">
      <c r="A9641" t="s">
        <v>4279</v>
      </c>
      <c r="B9641" t="s">
        <v>4909</v>
      </c>
      <c r="C9641" t="s">
        <v>4909</v>
      </c>
      <c r="D9641" t="s">
        <v>4909</v>
      </c>
      <c r="E9641" t="s">
        <v>4909</v>
      </c>
      <c r="F9641" t="s">
        <v>4909</v>
      </c>
      <c r="G9641" t="s">
        <v>4909</v>
      </c>
      <c r="H9641" t="s">
        <v>4909</v>
      </c>
      <c r="I9641" t="s">
        <v>4909</v>
      </c>
      <c r="J9641" t="s">
        <v>4909</v>
      </c>
      <c r="K9641" t="s">
        <v>4909</v>
      </c>
    </row>
    <row r="9642" spans="1:11" x14ac:dyDescent="0.2">
      <c r="A9642" t="s">
        <v>4280</v>
      </c>
      <c r="B9642" t="s">
        <v>4909</v>
      </c>
      <c r="C9642" t="s">
        <v>4909</v>
      </c>
      <c r="D9642" t="s">
        <v>4909</v>
      </c>
      <c r="E9642" t="s">
        <v>4909</v>
      </c>
      <c r="F9642" t="s">
        <v>4909</v>
      </c>
      <c r="G9642" t="s">
        <v>4909</v>
      </c>
      <c r="H9642" t="s">
        <v>4909</v>
      </c>
      <c r="I9642" t="s">
        <v>4909</v>
      </c>
      <c r="J9642" t="s">
        <v>4909</v>
      </c>
      <c r="K9642" t="s">
        <v>4909</v>
      </c>
    </row>
    <row r="9643" spans="1:11" x14ac:dyDescent="0.2">
      <c r="A9643" t="s">
        <v>4281</v>
      </c>
      <c r="B9643" t="s">
        <v>4909</v>
      </c>
      <c r="C9643" t="s">
        <v>4909</v>
      </c>
      <c r="D9643" t="s">
        <v>4909</v>
      </c>
      <c r="E9643" t="s">
        <v>4909</v>
      </c>
      <c r="F9643" t="s">
        <v>4909</v>
      </c>
      <c r="G9643" s="88">
        <v>0</v>
      </c>
      <c r="H9643" t="s">
        <v>4909</v>
      </c>
      <c r="I9643" t="s">
        <v>4909</v>
      </c>
      <c r="J9643" t="s">
        <v>4909</v>
      </c>
      <c r="K9643" t="s">
        <v>4909</v>
      </c>
    </row>
    <row r="9644" spans="1:11" x14ac:dyDescent="0.2">
      <c r="A9644" t="s">
        <v>4282</v>
      </c>
      <c r="B9644" t="s">
        <v>4909</v>
      </c>
      <c r="C9644" t="s">
        <v>4909</v>
      </c>
      <c r="D9644" t="s">
        <v>4909</v>
      </c>
      <c r="E9644" t="s">
        <v>4909</v>
      </c>
      <c r="F9644" t="s">
        <v>4909</v>
      </c>
      <c r="G9644" s="88">
        <v>2E-3</v>
      </c>
      <c r="H9644" s="88">
        <v>0</v>
      </c>
      <c r="I9644" t="s">
        <v>4909</v>
      </c>
      <c r="J9644" t="s">
        <v>4909</v>
      </c>
      <c r="K9644" t="s">
        <v>4909</v>
      </c>
    </row>
    <row r="9645" spans="1:11" x14ac:dyDescent="0.2">
      <c r="A9645" t="s">
        <v>4283</v>
      </c>
      <c r="B9645" t="s">
        <v>4909</v>
      </c>
      <c r="C9645" t="s">
        <v>4909</v>
      </c>
      <c r="D9645" t="s">
        <v>4909</v>
      </c>
      <c r="E9645" t="s">
        <v>4909</v>
      </c>
      <c r="F9645" t="s">
        <v>4909</v>
      </c>
      <c r="G9645" s="88">
        <v>0</v>
      </c>
      <c r="H9645" t="s">
        <v>4909</v>
      </c>
      <c r="I9645" t="s">
        <v>4909</v>
      </c>
      <c r="J9645" t="s">
        <v>4909</v>
      </c>
      <c r="K9645" t="s">
        <v>4909</v>
      </c>
    </row>
    <row r="9646" spans="1:11" x14ac:dyDescent="0.2">
      <c r="A9646" t="s">
        <v>4284</v>
      </c>
      <c r="B9646" t="s">
        <v>4909</v>
      </c>
      <c r="C9646" t="s">
        <v>4909</v>
      </c>
      <c r="D9646" t="s">
        <v>4909</v>
      </c>
      <c r="E9646" t="s">
        <v>4909</v>
      </c>
      <c r="F9646" t="s">
        <v>4909</v>
      </c>
      <c r="G9646" s="88">
        <v>0</v>
      </c>
      <c r="H9646" t="s">
        <v>4909</v>
      </c>
      <c r="I9646" t="s">
        <v>4909</v>
      </c>
      <c r="J9646" t="s">
        <v>4909</v>
      </c>
      <c r="K9646" t="s">
        <v>4909</v>
      </c>
    </row>
    <row r="9647" spans="1:11" x14ac:dyDescent="0.2">
      <c r="A9647" t="s">
        <v>4285</v>
      </c>
      <c r="B9647" t="s">
        <v>4909</v>
      </c>
      <c r="C9647" t="s">
        <v>4909</v>
      </c>
      <c r="D9647" t="s">
        <v>4909</v>
      </c>
      <c r="E9647" t="s">
        <v>4909</v>
      </c>
      <c r="F9647" t="s">
        <v>4909</v>
      </c>
      <c r="G9647" s="88">
        <v>0</v>
      </c>
      <c r="H9647" t="s">
        <v>4909</v>
      </c>
      <c r="I9647" t="s">
        <v>4909</v>
      </c>
      <c r="J9647" t="s">
        <v>4909</v>
      </c>
      <c r="K9647" t="s">
        <v>4909</v>
      </c>
    </row>
    <row r="9648" spans="1:11" x14ac:dyDescent="0.2">
      <c r="A9648" t="s">
        <v>4286</v>
      </c>
      <c r="B9648" t="s">
        <v>4909</v>
      </c>
      <c r="C9648" t="s">
        <v>4909</v>
      </c>
      <c r="D9648" t="s">
        <v>4909</v>
      </c>
      <c r="E9648" t="s">
        <v>4909</v>
      </c>
      <c r="F9648" t="s">
        <v>4909</v>
      </c>
      <c r="G9648" s="88">
        <v>1E-3</v>
      </c>
      <c r="H9648" t="s">
        <v>4909</v>
      </c>
      <c r="I9648" t="s">
        <v>4909</v>
      </c>
      <c r="J9648" t="s">
        <v>4909</v>
      </c>
      <c r="K9648" t="s">
        <v>4909</v>
      </c>
    </row>
    <row r="9649" spans="1:11" x14ac:dyDescent="0.2">
      <c r="A9649" t="s">
        <v>4287</v>
      </c>
      <c r="B9649" t="s">
        <v>4909</v>
      </c>
      <c r="C9649" t="s">
        <v>4909</v>
      </c>
      <c r="D9649" t="s">
        <v>4909</v>
      </c>
      <c r="E9649" t="s">
        <v>4909</v>
      </c>
      <c r="F9649" t="s">
        <v>4909</v>
      </c>
      <c r="G9649" s="88">
        <v>0</v>
      </c>
      <c r="H9649" t="s">
        <v>4909</v>
      </c>
      <c r="I9649" t="s">
        <v>4909</v>
      </c>
      <c r="J9649" t="s">
        <v>4909</v>
      </c>
      <c r="K9649" t="s">
        <v>4909</v>
      </c>
    </row>
    <row r="9650" spans="1:11" x14ac:dyDescent="0.2">
      <c r="A9650" t="s">
        <v>4288</v>
      </c>
      <c r="B9650" t="s">
        <v>4909</v>
      </c>
      <c r="C9650" t="s">
        <v>4909</v>
      </c>
      <c r="D9650" t="s">
        <v>4909</v>
      </c>
      <c r="E9650" t="s">
        <v>4909</v>
      </c>
      <c r="F9650" t="s">
        <v>4909</v>
      </c>
      <c r="G9650" t="s">
        <v>4909</v>
      </c>
      <c r="H9650" t="s">
        <v>4909</v>
      </c>
      <c r="I9650" t="s">
        <v>4909</v>
      </c>
      <c r="J9650" t="s">
        <v>4909</v>
      </c>
      <c r="K9650" t="s">
        <v>4909</v>
      </c>
    </row>
    <row r="9651" spans="1:11" x14ac:dyDescent="0.2">
      <c r="A9651" t="s">
        <v>4289</v>
      </c>
      <c r="B9651" t="s">
        <v>4909</v>
      </c>
      <c r="C9651" t="s">
        <v>4909</v>
      </c>
      <c r="D9651" t="s">
        <v>4909</v>
      </c>
      <c r="E9651" t="s">
        <v>4909</v>
      </c>
      <c r="F9651" t="s">
        <v>4909</v>
      </c>
      <c r="G9651" t="s">
        <v>4909</v>
      </c>
      <c r="H9651" t="s">
        <v>4909</v>
      </c>
      <c r="I9651" t="s">
        <v>4909</v>
      </c>
      <c r="J9651" t="s">
        <v>4909</v>
      </c>
      <c r="K9651" t="s">
        <v>4909</v>
      </c>
    </row>
    <row r="9652" spans="1:11" x14ac:dyDescent="0.2">
      <c r="A9652" t="s">
        <v>4290</v>
      </c>
      <c r="B9652" t="s">
        <v>4909</v>
      </c>
      <c r="C9652" t="s">
        <v>4909</v>
      </c>
      <c r="D9652" t="s">
        <v>4909</v>
      </c>
      <c r="E9652" t="s">
        <v>4909</v>
      </c>
      <c r="F9652" t="s">
        <v>4909</v>
      </c>
      <c r="G9652" t="s">
        <v>4909</v>
      </c>
      <c r="H9652" t="s">
        <v>4909</v>
      </c>
      <c r="I9652" t="s">
        <v>4909</v>
      </c>
      <c r="J9652" t="s">
        <v>4909</v>
      </c>
      <c r="K9652" t="s">
        <v>4909</v>
      </c>
    </row>
    <row r="9653" spans="1:11" x14ac:dyDescent="0.2">
      <c r="A9653" t="s">
        <v>4291</v>
      </c>
      <c r="B9653" t="s">
        <v>4909</v>
      </c>
      <c r="C9653" t="s">
        <v>4909</v>
      </c>
      <c r="D9653" t="s">
        <v>4909</v>
      </c>
      <c r="E9653" t="s">
        <v>4909</v>
      </c>
      <c r="F9653" t="s">
        <v>4909</v>
      </c>
      <c r="G9653" t="s">
        <v>4909</v>
      </c>
      <c r="H9653" t="s">
        <v>4909</v>
      </c>
      <c r="I9653" t="s">
        <v>4909</v>
      </c>
      <c r="J9653" t="s">
        <v>4909</v>
      </c>
      <c r="K9653" t="s">
        <v>4909</v>
      </c>
    </row>
    <row r="9654" spans="1:11" x14ac:dyDescent="0.2">
      <c r="A9654" t="s">
        <v>4292</v>
      </c>
      <c r="B9654" t="s">
        <v>4909</v>
      </c>
      <c r="C9654" t="s">
        <v>4909</v>
      </c>
      <c r="D9654" t="s">
        <v>4909</v>
      </c>
      <c r="E9654" t="s">
        <v>4909</v>
      </c>
      <c r="F9654" t="s">
        <v>4909</v>
      </c>
      <c r="G9654" t="s">
        <v>4909</v>
      </c>
      <c r="H9654" t="s">
        <v>4909</v>
      </c>
      <c r="I9654" t="s">
        <v>4909</v>
      </c>
      <c r="J9654" t="s">
        <v>4909</v>
      </c>
      <c r="K9654" t="s">
        <v>4909</v>
      </c>
    </row>
    <row r="9655" spans="1:11" x14ac:dyDescent="0.2">
      <c r="A9655" t="s">
        <v>4293</v>
      </c>
      <c r="B9655" t="s">
        <v>4909</v>
      </c>
      <c r="C9655" t="s">
        <v>4909</v>
      </c>
      <c r="D9655" t="s">
        <v>4909</v>
      </c>
      <c r="E9655" t="s">
        <v>4909</v>
      </c>
      <c r="F9655" t="s">
        <v>4909</v>
      </c>
      <c r="G9655" t="s">
        <v>4909</v>
      </c>
      <c r="H9655" t="s">
        <v>4909</v>
      </c>
      <c r="I9655" t="s">
        <v>4909</v>
      </c>
      <c r="J9655" t="s">
        <v>4909</v>
      </c>
      <c r="K9655" t="s">
        <v>4909</v>
      </c>
    </row>
    <row r="9656" spans="1:11" x14ac:dyDescent="0.2">
      <c r="A9656" t="s">
        <v>4294</v>
      </c>
      <c r="B9656" t="s">
        <v>4909</v>
      </c>
      <c r="C9656" t="s">
        <v>4909</v>
      </c>
      <c r="D9656" t="s">
        <v>4909</v>
      </c>
      <c r="E9656" t="s">
        <v>4909</v>
      </c>
      <c r="F9656" t="s">
        <v>4909</v>
      </c>
      <c r="G9656" t="s">
        <v>4909</v>
      </c>
      <c r="H9656" t="s">
        <v>4909</v>
      </c>
      <c r="I9656" t="s">
        <v>4909</v>
      </c>
      <c r="J9656" t="s">
        <v>4909</v>
      </c>
      <c r="K9656" t="s">
        <v>4909</v>
      </c>
    </row>
    <row r="9657" spans="1:11" x14ac:dyDescent="0.2">
      <c r="A9657" t="s">
        <v>4295</v>
      </c>
      <c r="B9657" t="s">
        <v>4909</v>
      </c>
      <c r="C9657" t="s">
        <v>4909</v>
      </c>
      <c r="D9657" t="s">
        <v>4909</v>
      </c>
      <c r="E9657" t="s">
        <v>4909</v>
      </c>
      <c r="F9657" t="s">
        <v>4909</v>
      </c>
      <c r="G9657" t="s">
        <v>4909</v>
      </c>
      <c r="H9657" t="s">
        <v>4909</v>
      </c>
      <c r="I9657" t="s">
        <v>4909</v>
      </c>
      <c r="J9657" t="s">
        <v>4909</v>
      </c>
      <c r="K9657" t="s">
        <v>4909</v>
      </c>
    </row>
    <row r="9658" spans="1:11" x14ac:dyDescent="0.2">
      <c r="A9658" t="s">
        <v>4296</v>
      </c>
      <c r="B9658" t="s">
        <v>4909</v>
      </c>
      <c r="C9658" t="s">
        <v>4909</v>
      </c>
      <c r="D9658" t="s">
        <v>4909</v>
      </c>
      <c r="E9658" t="s">
        <v>4909</v>
      </c>
      <c r="F9658" t="s">
        <v>4909</v>
      </c>
      <c r="G9658" t="s">
        <v>4909</v>
      </c>
      <c r="H9658" t="s">
        <v>4909</v>
      </c>
      <c r="I9658" t="s">
        <v>4909</v>
      </c>
      <c r="J9658" t="s">
        <v>4909</v>
      </c>
      <c r="K9658" t="s">
        <v>4909</v>
      </c>
    </row>
    <row r="9659" spans="1:11" x14ac:dyDescent="0.2">
      <c r="A9659" t="s">
        <v>4297</v>
      </c>
      <c r="B9659" t="s">
        <v>4909</v>
      </c>
      <c r="C9659" t="s">
        <v>4909</v>
      </c>
      <c r="D9659" t="s">
        <v>4909</v>
      </c>
      <c r="E9659" t="s">
        <v>4909</v>
      </c>
      <c r="F9659" s="88">
        <v>0</v>
      </c>
      <c r="G9659" s="88">
        <v>1E-3</v>
      </c>
      <c r="H9659" s="88">
        <v>0</v>
      </c>
      <c r="I9659" t="s">
        <v>4909</v>
      </c>
      <c r="J9659" t="s">
        <v>4909</v>
      </c>
      <c r="K9659" t="s">
        <v>4909</v>
      </c>
    </row>
    <row r="9660" spans="1:11" x14ac:dyDescent="0.2">
      <c r="A9660" t="s">
        <v>4298</v>
      </c>
      <c r="B9660" t="s">
        <v>4909</v>
      </c>
      <c r="C9660" t="s">
        <v>4909</v>
      </c>
      <c r="D9660" s="88">
        <v>0</v>
      </c>
      <c r="E9660" t="s">
        <v>4909</v>
      </c>
      <c r="F9660" s="88">
        <v>0</v>
      </c>
      <c r="G9660" s="88">
        <v>5.0000000000000001E-3</v>
      </c>
      <c r="H9660" s="88">
        <v>0</v>
      </c>
      <c r="I9660" t="s">
        <v>4909</v>
      </c>
      <c r="J9660" t="s">
        <v>4909</v>
      </c>
      <c r="K9660" t="s">
        <v>4909</v>
      </c>
    </row>
    <row r="9661" spans="1:11" x14ac:dyDescent="0.2">
      <c r="A9661" t="s">
        <v>4299</v>
      </c>
      <c r="B9661" t="s">
        <v>4909</v>
      </c>
      <c r="C9661" t="s">
        <v>4909</v>
      </c>
      <c r="D9661" s="88">
        <v>0</v>
      </c>
      <c r="E9661" t="s">
        <v>4909</v>
      </c>
      <c r="F9661" t="s">
        <v>4909</v>
      </c>
      <c r="G9661" s="88">
        <v>6.0000000000000001E-3</v>
      </c>
      <c r="H9661" s="88">
        <v>0</v>
      </c>
      <c r="I9661" t="s">
        <v>4909</v>
      </c>
      <c r="J9661" t="s">
        <v>4909</v>
      </c>
      <c r="K9661" t="s">
        <v>4909</v>
      </c>
    </row>
    <row r="9662" spans="1:11" x14ac:dyDescent="0.2">
      <c r="A9662" t="s">
        <v>4300</v>
      </c>
      <c r="B9662" t="s">
        <v>4909</v>
      </c>
      <c r="C9662" t="s">
        <v>4909</v>
      </c>
      <c r="D9662" s="88">
        <v>0</v>
      </c>
      <c r="E9662" t="s">
        <v>4909</v>
      </c>
      <c r="F9662" t="s">
        <v>4909</v>
      </c>
      <c r="G9662" s="88">
        <v>2E-3</v>
      </c>
      <c r="H9662" s="88">
        <v>0</v>
      </c>
      <c r="I9662" t="s">
        <v>4909</v>
      </c>
      <c r="J9662" t="s">
        <v>4909</v>
      </c>
      <c r="K9662" t="s">
        <v>4909</v>
      </c>
    </row>
    <row r="9663" spans="1:11" x14ac:dyDescent="0.2">
      <c r="A9663" t="s">
        <v>4301</v>
      </c>
      <c r="B9663" t="s">
        <v>4909</v>
      </c>
      <c r="C9663" t="s">
        <v>4909</v>
      </c>
      <c r="D9663" t="s">
        <v>4909</v>
      </c>
      <c r="E9663" t="s">
        <v>4909</v>
      </c>
      <c r="F9663" s="88">
        <v>0</v>
      </c>
      <c r="G9663" s="88">
        <v>6.0000000000000001E-3</v>
      </c>
      <c r="H9663" s="88">
        <v>0</v>
      </c>
      <c r="I9663" t="s">
        <v>4909</v>
      </c>
      <c r="J9663" s="88">
        <v>0</v>
      </c>
      <c r="K9663" s="88">
        <v>0</v>
      </c>
    </row>
    <row r="9664" spans="1:11" x14ac:dyDescent="0.2">
      <c r="A9664" t="s">
        <v>4302</v>
      </c>
      <c r="B9664" t="s">
        <v>4909</v>
      </c>
      <c r="C9664" t="s">
        <v>4909</v>
      </c>
      <c r="D9664" s="88">
        <v>2E-3</v>
      </c>
      <c r="E9664" t="s">
        <v>4909</v>
      </c>
      <c r="F9664" s="88">
        <v>1E-3</v>
      </c>
      <c r="G9664" s="88">
        <v>3.7999999999999999E-2</v>
      </c>
      <c r="H9664" s="88">
        <v>3.0000000000000001E-3</v>
      </c>
      <c r="I9664" t="s">
        <v>4909</v>
      </c>
      <c r="J9664" t="s">
        <v>4909</v>
      </c>
      <c r="K9664" t="s">
        <v>4909</v>
      </c>
    </row>
    <row r="9665" spans="1:11" x14ac:dyDescent="0.2">
      <c r="A9665" t="s">
        <v>4303</v>
      </c>
      <c r="B9665" t="s">
        <v>4909</v>
      </c>
      <c r="C9665" t="s">
        <v>4909</v>
      </c>
      <c r="D9665" s="88">
        <v>1E-3</v>
      </c>
      <c r="E9665" t="s">
        <v>4909</v>
      </c>
      <c r="F9665" s="88">
        <v>1E-3</v>
      </c>
      <c r="G9665" s="88">
        <v>2.5999999999999999E-2</v>
      </c>
      <c r="H9665" s="88">
        <v>5.0000000000000001E-3</v>
      </c>
      <c r="I9665" t="s">
        <v>4909</v>
      </c>
      <c r="J9665" t="s">
        <v>4909</v>
      </c>
      <c r="K9665" t="s">
        <v>4909</v>
      </c>
    </row>
    <row r="9666" spans="1:11" x14ac:dyDescent="0.2">
      <c r="A9666" t="s">
        <v>4304</v>
      </c>
      <c r="B9666" t="s">
        <v>4909</v>
      </c>
      <c r="C9666" t="s">
        <v>4909</v>
      </c>
      <c r="D9666" t="s">
        <v>4909</v>
      </c>
      <c r="E9666" t="s">
        <v>4909</v>
      </c>
      <c r="F9666" s="88">
        <v>0</v>
      </c>
      <c r="G9666" s="88">
        <v>2.1999999999999999E-2</v>
      </c>
      <c r="H9666" s="88">
        <v>1E-3</v>
      </c>
      <c r="I9666" t="s">
        <v>4909</v>
      </c>
      <c r="J9666" t="s">
        <v>4909</v>
      </c>
      <c r="K9666" t="s">
        <v>4909</v>
      </c>
    </row>
    <row r="9667" spans="1:11" x14ac:dyDescent="0.2">
      <c r="A9667" t="s">
        <v>4305</v>
      </c>
      <c r="B9667" t="s">
        <v>4909</v>
      </c>
      <c r="C9667" t="s">
        <v>4909</v>
      </c>
      <c r="D9667" s="88">
        <v>0</v>
      </c>
      <c r="E9667" t="s">
        <v>4909</v>
      </c>
      <c r="F9667" s="88">
        <v>1E-3</v>
      </c>
      <c r="G9667" s="88">
        <v>7.2999999999999995E-2</v>
      </c>
      <c r="H9667" s="88">
        <v>3.0000000000000001E-3</v>
      </c>
      <c r="I9667" t="s">
        <v>4909</v>
      </c>
      <c r="J9667" s="88">
        <v>0</v>
      </c>
      <c r="K9667" s="88">
        <v>0</v>
      </c>
    </row>
    <row r="9668" spans="1:11" x14ac:dyDescent="0.2">
      <c r="A9668" t="s">
        <v>4306</v>
      </c>
      <c r="B9668" t="s">
        <v>4909</v>
      </c>
      <c r="C9668" t="s">
        <v>4909</v>
      </c>
      <c r="D9668" t="s">
        <v>4909</v>
      </c>
      <c r="E9668" t="s">
        <v>4909</v>
      </c>
      <c r="F9668" s="88">
        <v>1E-3</v>
      </c>
      <c r="G9668" s="88">
        <v>5.1999999999999998E-2</v>
      </c>
      <c r="H9668" s="88">
        <v>4.0000000000000001E-3</v>
      </c>
      <c r="I9668" t="s">
        <v>4909</v>
      </c>
      <c r="J9668" t="s">
        <v>4909</v>
      </c>
      <c r="K9668" t="s">
        <v>4909</v>
      </c>
    </row>
    <row r="9669" spans="1:11" x14ac:dyDescent="0.2">
      <c r="A9669" t="s">
        <v>4307</v>
      </c>
      <c r="B9669" t="s">
        <v>4909</v>
      </c>
      <c r="C9669" t="s">
        <v>4909</v>
      </c>
      <c r="D9669" s="88">
        <v>0</v>
      </c>
      <c r="E9669" t="s">
        <v>4909</v>
      </c>
      <c r="F9669" s="88">
        <v>1E-3</v>
      </c>
      <c r="G9669" s="88">
        <v>2.5999999999999999E-2</v>
      </c>
      <c r="H9669" s="88">
        <v>5.0000000000000001E-3</v>
      </c>
      <c r="I9669" t="s">
        <v>4909</v>
      </c>
      <c r="J9669" s="88">
        <v>0</v>
      </c>
      <c r="K9669" s="88">
        <v>0</v>
      </c>
    </row>
    <row r="9670" spans="1:11" x14ac:dyDescent="0.2">
      <c r="A9670" t="s">
        <v>4308</v>
      </c>
      <c r="B9670" s="88">
        <v>1E-3</v>
      </c>
      <c r="C9670" s="88">
        <v>1E-3</v>
      </c>
      <c r="D9670" s="88">
        <v>8.4000000000000005E-2</v>
      </c>
      <c r="E9670" t="s">
        <v>4909</v>
      </c>
      <c r="F9670" t="s">
        <v>4909</v>
      </c>
      <c r="G9670" s="88">
        <v>1.0999999999999999E-2</v>
      </c>
      <c r="H9670" s="88">
        <v>1E-3</v>
      </c>
      <c r="I9670" t="s">
        <v>4909</v>
      </c>
      <c r="J9670" t="s">
        <v>4909</v>
      </c>
      <c r="K9670" t="s">
        <v>4909</v>
      </c>
    </row>
    <row r="9671" spans="1:11" x14ac:dyDescent="0.2">
      <c r="A9671" t="s">
        <v>4309</v>
      </c>
      <c r="B9671" t="s">
        <v>4909</v>
      </c>
      <c r="C9671" t="s">
        <v>4909</v>
      </c>
      <c r="D9671" t="s">
        <v>4909</v>
      </c>
      <c r="E9671" t="s">
        <v>4909</v>
      </c>
      <c r="F9671" t="s">
        <v>4909</v>
      </c>
      <c r="G9671" t="s">
        <v>4909</v>
      </c>
      <c r="H9671" t="s">
        <v>4909</v>
      </c>
      <c r="I9671" t="s">
        <v>4909</v>
      </c>
      <c r="J9671" t="s">
        <v>4909</v>
      </c>
      <c r="K9671" t="s">
        <v>4909</v>
      </c>
    </row>
    <row r="9672" spans="1:11" x14ac:dyDescent="0.2">
      <c r="A9672" t="s">
        <v>4310</v>
      </c>
      <c r="B9672" t="s">
        <v>4909</v>
      </c>
      <c r="C9672" t="s">
        <v>4909</v>
      </c>
      <c r="D9672" t="s">
        <v>4909</v>
      </c>
      <c r="E9672" t="s">
        <v>4909</v>
      </c>
      <c r="F9672" t="s">
        <v>4909</v>
      </c>
      <c r="G9672" t="s">
        <v>4909</v>
      </c>
      <c r="H9672" t="s">
        <v>4909</v>
      </c>
      <c r="I9672" t="s">
        <v>4909</v>
      </c>
      <c r="J9672" t="s">
        <v>4909</v>
      </c>
      <c r="K9672" t="s">
        <v>4909</v>
      </c>
    </row>
    <row r="9673" spans="1:11" x14ac:dyDescent="0.2">
      <c r="A9673" t="s">
        <v>4311</v>
      </c>
      <c r="B9673" t="s">
        <v>4909</v>
      </c>
      <c r="C9673" t="s">
        <v>4909</v>
      </c>
      <c r="D9673" t="s">
        <v>4909</v>
      </c>
      <c r="E9673" t="s">
        <v>4909</v>
      </c>
      <c r="F9673" t="s">
        <v>4909</v>
      </c>
      <c r="G9673" t="s">
        <v>4909</v>
      </c>
      <c r="H9673" t="s">
        <v>4909</v>
      </c>
      <c r="I9673" t="s">
        <v>4909</v>
      </c>
      <c r="J9673" t="s">
        <v>4909</v>
      </c>
      <c r="K9673" t="s">
        <v>4909</v>
      </c>
    </row>
    <row r="9674" spans="1:11" x14ac:dyDescent="0.2">
      <c r="A9674" t="s">
        <v>4312</v>
      </c>
      <c r="B9674" t="s">
        <v>4909</v>
      </c>
      <c r="C9674" t="s">
        <v>4909</v>
      </c>
      <c r="D9674" t="s">
        <v>4909</v>
      </c>
      <c r="E9674" t="s">
        <v>4909</v>
      </c>
      <c r="F9674" t="s">
        <v>4909</v>
      </c>
      <c r="G9674" t="s">
        <v>4909</v>
      </c>
      <c r="H9674" t="s">
        <v>4909</v>
      </c>
      <c r="I9674" t="s">
        <v>4909</v>
      </c>
      <c r="J9674" t="s">
        <v>4909</v>
      </c>
      <c r="K9674" t="s">
        <v>4909</v>
      </c>
    </row>
    <row r="9675" spans="1:11" x14ac:dyDescent="0.2">
      <c r="A9675" t="s">
        <v>4313</v>
      </c>
      <c r="B9675" t="s">
        <v>4909</v>
      </c>
      <c r="C9675" t="s">
        <v>4909</v>
      </c>
      <c r="D9675" t="s">
        <v>4909</v>
      </c>
      <c r="E9675" t="s">
        <v>4909</v>
      </c>
      <c r="F9675" t="s">
        <v>4909</v>
      </c>
      <c r="G9675" t="s">
        <v>4909</v>
      </c>
      <c r="H9675" t="s">
        <v>4909</v>
      </c>
      <c r="I9675" t="s">
        <v>4909</v>
      </c>
      <c r="J9675" t="s">
        <v>4909</v>
      </c>
      <c r="K9675" t="s">
        <v>4909</v>
      </c>
    </row>
    <row r="9676" spans="1:11" x14ac:dyDescent="0.2">
      <c r="A9676" t="s">
        <v>4314</v>
      </c>
      <c r="B9676" t="s">
        <v>4909</v>
      </c>
      <c r="C9676" t="s">
        <v>4909</v>
      </c>
      <c r="D9676" t="s">
        <v>4909</v>
      </c>
      <c r="E9676" t="s">
        <v>4909</v>
      </c>
      <c r="F9676" t="s">
        <v>4909</v>
      </c>
      <c r="G9676" t="s">
        <v>4909</v>
      </c>
      <c r="H9676" t="s">
        <v>4909</v>
      </c>
      <c r="I9676" t="s">
        <v>4909</v>
      </c>
      <c r="J9676" t="s">
        <v>4909</v>
      </c>
      <c r="K9676" t="s">
        <v>4909</v>
      </c>
    </row>
    <row r="9677" spans="1:11" x14ac:dyDescent="0.2">
      <c r="A9677" t="s">
        <v>4315</v>
      </c>
      <c r="B9677" t="s">
        <v>4909</v>
      </c>
      <c r="C9677" t="s">
        <v>4909</v>
      </c>
      <c r="D9677" t="s">
        <v>4909</v>
      </c>
      <c r="E9677" t="s">
        <v>4909</v>
      </c>
      <c r="F9677" t="s">
        <v>4909</v>
      </c>
      <c r="G9677" t="s">
        <v>4909</v>
      </c>
      <c r="H9677" t="s">
        <v>4909</v>
      </c>
      <c r="I9677" t="s">
        <v>4909</v>
      </c>
      <c r="J9677" t="s">
        <v>4909</v>
      </c>
      <c r="K9677" t="s">
        <v>4909</v>
      </c>
    </row>
    <row r="9678" spans="1:11" x14ac:dyDescent="0.2">
      <c r="A9678" t="s">
        <v>4316</v>
      </c>
      <c r="B9678" t="s">
        <v>4909</v>
      </c>
      <c r="C9678" t="s">
        <v>4909</v>
      </c>
      <c r="D9678" t="s">
        <v>4909</v>
      </c>
      <c r="E9678" t="s">
        <v>4909</v>
      </c>
      <c r="F9678" t="s">
        <v>4909</v>
      </c>
      <c r="G9678" t="s">
        <v>4909</v>
      </c>
      <c r="H9678" t="s">
        <v>4909</v>
      </c>
      <c r="I9678" t="s">
        <v>4909</v>
      </c>
      <c r="J9678" t="s">
        <v>4909</v>
      </c>
      <c r="K9678" t="s">
        <v>4909</v>
      </c>
    </row>
    <row r="9679" spans="1:11" x14ac:dyDescent="0.2">
      <c r="A9679" t="s">
        <v>4317</v>
      </c>
      <c r="B9679" t="s">
        <v>4909</v>
      </c>
      <c r="C9679" t="s">
        <v>4909</v>
      </c>
      <c r="D9679" t="s">
        <v>4909</v>
      </c>
      <c r="E9679" t="s">
        <v>4909</v>
      </c>
      <c r="F9679" t="s">
        <v>4909</v>
      </c>
      <c r="G9679" t="s">
        <v>4909</v>
      </c>
      <c r="H9679" t="s">
        <v>4909</v>
      </c>
      <c r="I9679" t="s">
        <v>4909</v>
      </c>
      <c r="J9679" t="s">
        <v>4909</v>
      </c>
      <c r="K9679" t="s">
        <v>4909</v>
      </c>
    </row>
    <row r="9680" spans="1:11" x14ac:dyDescent="0.2">
      <c r="A9680" t="s">
        <v>4318</v>
      </c>
      <c r="B9680" t="s">
        <v>4909</v>
      </c>
      <c r="C9680" t="s">
        <v>4909</v>
      </c>
      <c r="D9680" t="s">
        <v>4909</v>
      </c>
      <c r="E9680" t="s">
        <v>4909</v>
      </c>
      <c r="F9680" t="s">
        <v>4909</v>
      </c>
      <c r="G9680" t="s">
        <v>4909</v>
      </c>
      <c r="H9680" t="s">
        <v>4909</v>
      </c>
      <c r="I9680" t="s">
        <v>4909</v>
      </c>
      <c r="J9680" t="s">
        <v>4909</v>
      </c>
      <c r="K9680" t="s">
        <v>4909</v>
      </c>
    </row>
    <row r="9681" spans="1:11" x14ac:dyDescent="0.2">
      <c r="A9681" t="s">
        <v>4319</v>
      </c>
      <c r="B9681" t="s">
        <v>4909</v>
      </c>
      <c r="C9681" t="s">
        <v>4909</v>
      </c>
      <c r="D9681" t="s">
        <v>4909</v>
      </c>
      <c r="E9681" t="s">
        <v>4909</v>
      </c>
      <c r="F9681" t="s">
        <v>4909</v>
      </c>
      <c r="G9681" t="s">
        <v>4909</v>
      </c>
      <c r="H9681" t="s">
        <v>4909</v>
      </c>
      <c r="I9681" t="s">
        <v>4909</v>
      </c>
      <c r="J9681" t="s">
        <v>4909</v>
      </c>
      <c r="K9681" t="s">
        <v>4909</v>
      </c>
    </row>
    <row r="9682" spans="1:11" x14ac:dyDescent="0.2">
      <c r="A9682" t="s">
        <v>4320</v>
      </c>
      <c r="B9682" t="s">
        <v>4909</v>
      </c>
      <c r="C9682" t="s">
        <v>4909</v>
      </c>
      <c r="D9682" t="s">
        <v>4909</v>
      </c>
      <c r="E9682" t="s">
        <v>4909</v>
      </c>
      <c r="F9682" t="s">
        <v>4909</v>
      </c>
      <c r="G9682" t="s">
        <v>4909</v>
      </c>
      <c r="H9682" t="s">
        <v>4909</v>
      </c>
      <c r="I9682" t="s">
        <v>4909</v>
      </c>
      <c r="J9682" t="s">
        <v>4909</v>
      </c>
      <c r="K9682" t="s">
        <v>4909</v>
      </c>
    </row>
    <row r="9683" spans="1:11" x14ac:dyDescent="0.2">
      <c r="A9683" t="s">
        <v>4321</v>
      </c>
      <c r="B9683" t="s">
        <v>4909</v>
      </c>
      <c r="C9683" t="s">
        <v>4909</v>
      </c>
      <c r="D9683" t="s">
        <v>4909</v>
      </c>
      <c r="E9683" t="s">
        <v>4909</v>
      </c>
      <c r="F9683" t="s">
        <v>4909</v>
      </c>
      <c r="G9683" t="s">
        <v>4909</v>
      </c>
      <c r="H9683" t="s">
        <v>4909</v>
      </c>
      <c r="I9683" t="s">
        <v>4909</v>
      </c>
      <c r="J9683" t="s">
        <v>4909</v>
      </c>
      <c r="K9683" t="s">
        <v>4909</v>
      </c>
    </row>
    <row r="9684" spans="1:11" x14ac:dyDescent="0.2">
      <c r="A9684" t="s">
        <v>4322</v>
      </c>
      <c r="B9684" t="s">
        <v>4909</v>
      </c>
      <c r="C9684" t="s">
        <v>4909</v>
      </c>
      <c r="D9684" t="s">
        <v>4909</v>
      </c>
      <c r="E9684" t="s">
        <v>4909</v>
      </c>
      <c r="F9684" t="s">
        <v>4909</v>
      </c>
      <c r="G9684" t="s">
        <v>4909</v>
      </c>
      <c r="H9684" t="s">
        <v>4909</v>
      </c>
      <c r="I9684" t="s">
        <v>4909</v>
      </c>
      <c r="J9684" t="s">
        <v>4909</v>
      </c>
      <c r="K9684" t="s">
        <v>4909</v>
      </c>
    </row>
    <row r="9685" spans="1:11" x14ac:dyDescent="0.2">
      <c r="A9685" t="s">
        <v>4323</v>
      </c>
      <c r="B9685" t="s">
        <v>4909</v>
      </c>
      <c r="C9685" t="s">
        <v>4909</v>
      </c>
      <c r="D9685" t="s">
        <v>4909</v>
      </c>
      <c r="E9685" t="s">
        <v>4909</v>
      </c>
      <c r="F9685" t="s">
        <v>4909</v>
      </c>
      <c r="G9685" t="s">
        <v>4909</v>
      </c>
      <c r="H9685" t="s">
        <v>4909</v>
      </c>
      <c r="I9685" t="s">
        <v>4909</v>
      </c>
      <c r="J9685" t="s">
        <v>4909</v>
      </c>
      <c r="K9685" t="s">
        <v>4909</v>
      </c>
    </row>
    <row r="9686" spans="1:11" x14ac:dyDescent="0.2">
      <c r="A9686" t="s">
        <v>4324</v>
      </c>
      <c r="B9686" t="s">
        <v>4909</v>
      </c>
      <c r="C9686" t="s">
        <v>4909</v>
      </c>
      <c r="D9686" t="s">
        <v>4909</v>
      </c>
      <c r="E9686" t="s">
        <v>4909</v>
      </c>
      <c r="F9686" t="s">
        <v>4909</v>
      </c>
      <c r="G9686" t="s">
        <v>4909</v>
      </c>
      <c r="H9686" t="s">
        <v>4909</v>
      </c>
      <c r="I9686" t="s">
        <v>4909</v>
      </c>
      <c r="J9686" t="s">
        <v>4909</v>
      </c>
      <c r="K9686" t="s">
        <v>4909</v>
      </c>
    </row>
    <row r="9687" spans="1:11" x14ac:dyDescent="0.2">
      <c r="A9687" t="s">
        <v>4325</v>
      </c>
      <c r="B9687" t="s">
        <v>4909</v>
      </c>
      <c r="C9687" t="s">
        <v>4909</v>
      </c>
      <c r="D9687" t="s">
        <v>4909</v>
      </c>
      <c r="E9687" t="s">
        <v>4909</v>
      </c>
      <c r="F9687" t="s">
        <v>4909</v>
      </c>
      <c r="G9687" t="s">
        <v>4909</v>
      </c>
      <c r="H9687" t="s">
        <v>4909</v>
      </c>
      <c r="I9687" t="s">
        <v>4909</v>
      </c>
      <c r="J9687" t="s">
        <v>4909</v>
      </c>
      <c r="K9687" t="s">
        <v>4909</v>
      </c>
    </row>
    <row r="9688" spans="1:11" x14ac:dyDescent="0.2">
      <c r="A9688" t="s">
        <v>4326</v>
      </c>
      <c r="B9688" t="s">
        <v>4909</v>
      </c>
      <c r="C9688" t="s">
        <v>4909</v>
      </c>
      <c r="D9688" t="s">
        <v>4909</v>
      </c>
      <c r="E9688" t="s">
        <v>4909</v>
      </c>
      <c r="F9688" t="s">
        <v>4909</v>
      </c>
      <c r="G9688" t="s">
        <v>4909</v>
      </c>
      <c r="H9688" t="s">
        <v>4909</v>
      </c>
      <c r="I9688" t="s">
        <v>4909</v>
      </c>
      <c r="J9688" t="s">
        <v>4909</v>
      </c>
      <c r="K9688" t="s">
        <v>4909</v>
      </c>
    </row>
    <row r="9689" spans="1:11" x14ac:dyDescent="0.2">
      <c r="A9689" t="s">
        <v>4327</v>
      </c>
      <c r="B9689" t="s">
        <v>4909</v>
      </c>
      <c r="C9689" t="s">
        <v>4909</v>
      </c>
      <c r="D9689" t="s">
        <v>4909</v>
      </c>
      <c r="E9689" t="s">
        <v>4909</v>
      </c>
      <c r="F9689" t="s">
        <v>4909</v>
      </c>
      <c r="G9689" t="s">
        <v>4909</v>
      </c>
      <c r="H9689" t="s">
        <v>4909</v>
      </c>
      <c r="I9689" t="s">
        <v>4909</v>
      </c>
      <c r="J9689" t="s">
        <v>4909</v>
      </c>
      <c r="K9689" t="s">
        <v>4909</v>
      </c>
    </row>
    <row r="9690" spans="1:11" x14ac:dyDescent="0.2">
      <c r="A9690" t="s">
        <v>4328</v>
      </c>
      <c r="B9690" t="s">
        <v>4909</v>
      </c>
      <c r="C9690" t="s">
        <v>4909</v>
      </c>
      <c r="D9690" t="s">
        <v>4909</v>
      </c>
      <c r="E9690" t="s">
        <v>4909</v>
      </c>
      <c r="F9690" t="s">
        <v>4909</v>
      </c>
      <c r="G9690" t="s">
        <v>4909</v>
      </c>
      <c r="H9690" t="s">
        <v>4909</v>
      </c>
      <c r="I9690" t="s">
        <v>4909</v>
      </c>
      <c r="J9690" t="s">
        <v>4909</v>
      </c>
      <c r="K9690" t="s">
        <v>4909</v>
      </c>
    </row>
    <row r="9691" spans="1:11" x14ac:dyDescent="0.2">
      <c r="A9691" t="s">
        <v>4329</v>
      </c>
      <c r="B9691" t="s">
        <v>4909</v>
      </c>
      <c r="C9691" t="s">
        <v>4909</v>
      </c>
      <c r="D9691" t="s">
        <v>4909</v>
      </c>
      <c r="E9691" t="s">
        <v>4909</v>
      </c>
      <c r="F9691" t="s">
        <v>4909</v>
      </c>
      <c r="G9691" t="s">
        <v>4909</v>
      </c>
      <c r="H9691" t="s">
        <v>4909</v>
      </c>
      <c r="I9691" t="s">
        <v>4909</v>
      </c>
      <c r="J9691" t="s">
        <v>4909</v>
      </c>
      <c r="K9691" t="s">
        <v>4909</v>
      </c>
    </row>
    <row r="9692" spans="1:11" x14ac:dyDescent="0.2">
      <c r="A9692" t="s">
        <v>4330</v>
      </c>
      <c r="B9692" t="s">
        <v>4909</v>
      </c>
      <c r="C9692" t="s">
        <v>4909</v>
      </c>
      <c r="D9692" t="s">
        <v>4909</v>
      </c>
      <c r="E9692" t="s">
        <v>4909</v>
      </c>
      <c r="F9692" t="s">
        <v>4909</v>
      </c>
      <c r="G9692" t="s">
        <v>4909</v>
      </c>
      <c r="H9692" t="s">
        <v>4909</v>
      </c>
      <c r="I9692" t="s">
        <v>4909</v>
      </c>
      <c r="J9692" t="s">
        <v>4909</v>
      </c>
      <c r="K9692" t="s">
        <v>4909</v>
      </c>
    </row>
    <row r="9693" spans="1:11" x14ac:dyDescent="0.2">
      <c r="A9693" t="s">
        <v>4331</v>
      </c>
      <c r="B9693" t="s">
        <v>4909</v>
      </c>
      <c r="C9693" t="s">
        <v>4909</v>
      </c>
      <c r="D9693" t="s">
        <v>4909</v>
      </c>
      <c r="E9693" t="s">
        <v>4909</v>
      </c>
      <c r="F9693" t="s">
        <v>4909</v>
      </c>
      <c r="G9693" t="s">
        <v>4909</v>
      </c>
      <c r="H9693" t="s">
        <v>4909</v>
      </c>
      <c r="I9693" t="s">
        <v>4909</v>
      </c>
      <c r="J9693" t="s">
        <v>4909</v>
      </c>
      <c r="K9693" t="s">
        <v>4909</v>
      </c>
    </row>
    <row r="9694" spans="1:11" x14ac:dyDescent="0.2">
      <c r="A9694" t="s">
        <v>4332</v>
      </c>
      <c r="B9694" t="s">
        <v>4909</v>
      </c>
      <c r="C9694" t="s">
        <v>4909</v>
      </c>
      <c r="D9694" t="s">
        <v>4909</v>
      </c>
      <c r="E9694" t="s">
        <v>4909</v>
      </c>
      <c r="F9694" t="s">
        <v>4909</v>
      </c>
      <c r="G9694" t="s">
        <v>4909</v>
      </c>
      <c r="H9694" t="s">
        <v>4909</v>
      </c>
      <c r="I9694" t="s">
        <v>4909</v>
      </c>
      <c r="J9694" t="s">
        <v>4909</v>
      </c>
      <c r="K9694" t="s">
        <v>4909</v>
      </c>
    </row>
    <row r="9695" spans="1:11" x14ac:dyDescent="0.2">
      <c r="A9695" t="s">
        <v>4333</v>
      </c>
      <c r="B9695" t="s">
        <v>4909</v>
      </c>
      <c r="C9695" t="s">
        <v>4909</v>
      </c>
      <c r="D9695" t="s">
        <v>4909</v>
      </c>
      <c r="E9695" t="s">
        <v>4909</v>
      </c>
      <c r="F9695" t="s">
        <v>4909</v>
      </c>
      <c r="G9695" t="s">
        <v>4909</v>
      </c>
      <c r="H9695" t="s">
        <v>4909</v>
      </c>
      <c r="I9695" t="s">
        <v>4909</v>
      </c>
      <c r="J9695" t="s">
        <v>4909</v>
      </c>
      <c r="K9695" t="s">
        <v>4909</v>
      </c>
    </row>
    <row r="9696" spans="1:11" x14ac:dyDescent="0.2">
      <c r="A9696" t="s">
        <v>4334</v>
      </c>
      <c r="B9696" t="s">
        <v>4909</v>
      </c>
      <c r="C9696" t="s">
        <v>4909</v>
      </c>
      <c r="D9696" t="s">
        <v>4909</v>
      </c>
      <c r="E9696" t="s">
        <v>4909</v>
      </c>
      <c r="F9696" t="s">
        <v>4909</v>
      </c>
      <c r="G9696" t="s">
        <v>4909</v>
      </c>
      <c r="H9696" t="s">
        <v>4909</v>
      </c>
      <c r="I9696" t="s">
        <v>4909</v>
      </c>
      <c r="J9696" t="s">
        <v>4909</v>
      </c>
      <c r="K9696" t="s">
        <v>4909</v>
      </c>
    </row>
    <row r="9697" spans="1:11" x14ac:dyDescent="0.2">
      <c r="A9697" t="s">
        <v>4335</v>
      </c>
      <c r="B9697" t="s">
        <v>4909</v>
      </c>
      <c r="C9697" t="s">
        <v>4909</v>
      </c>
      <c r="D9697" t="s">
        <v>4909</v>
      </c>
      <c r="E9697" t="s">
        <v>4909</v>
      </c>
      <c r="F9697" t="s">
        <v>4909</v>
      </c>
      <c r="G9697" t="s">
        <v>4909</v>
      </c>
      <c r="H9697" t="s">
        <v>4909</v>
      </c>
      <c r="I9697" t="s">
        <v>4909</v>
      </c>
      <c r="J9697" t="s">
        <v>4909</v>
      </c>
      <c r="K9697" t="s">
        <v>4909</v>
      </c>
    </row>
    <row r="9698" spans="1:11" x14ac:dyDescent="0.2">
      <c r="A9698" t="s">
        <v>4336</v>
      </c>
      <c r="B9698" t="s">
        <v>4909</v>
      </c>
      <c r="C9698" t="s">
        <v>4909</v>
      </c>
      <c r="D9698" t="s">
        <v>4909</v>
      </c>
      <c r="E9698" t="s">
        <v>4909</v>
      </c>
      <c r="F9698" t="s">
        <v>4909</v>
      </c>
      <c r="G9698" t="s">
        <v>4909</v>
      </c>
      <c r="H9698" t="s">
        <v>4909</v>
      </c>
      <c r="I9698" t="s">
        <v>4909</v>
      </c>
      <c r="J9698" t="s">
        <v>4909</v>
      </c>
      <c r="K9698" t="s">
        <v>4909</v>
      </c>
    </row>
    <row r="9699" spans="1:11" x14ac:dyDescent="0.2">
      <c r="A9699" t="s">
        <v>4337</v>
      </c>
      <c r="B9699" t="s">
        <v>4909</v>
      </c>
      <c r="C9699" t="s">
        <v>4909</v>
      </c>
      <c r="D9699" t="s">
        <v>4909</v>
      </c>
      <c r="E9699" t="s">
        <v>4909</v>
      </c>
      <c r="F9699" t="s">
        <v>4909</v>
      </c>
      <c r="G9699" t="s">
        <v>4909</v>
      </c>
      <c r="H9699" t="s">
        <v>4909</v>
      </c>
      <c r="I9699" t="s">
        <v>4909</v>
      </c>
      <c r="J9699" t="s">
        <v>4909</v>
      </c>
      <c r="K9699" t="s">
        <v>4909</v>
      </c>
    </row>
    <row r="9700" spans="1:11" x14ac:dyDescent="0.2">
      <c r="A9700" t="s">
        <v>4338</v>
      </c>
      <c r="B9700" t="s">
        <v>4909</v>
      </c>
      <c r="C9700" t="s">
        <v>4909</v>
      </c>
      <c r="D9700" t="s">
        <v>4909</v>
      </c>
      <c r="E9700" t="s">
        <v>4909</v>
      </c>
      <c r="F9700" t="s">
        <v>4909</v>
      </c>
      <c r="G9700" t="s">
        <v>4909</v>
      </c>
      <c r="H9700" t="s">
        <v>4909</v>
      </c>
      <c r="I9700" t="s">
        <v>4909</v>
      </c>
      <c r="J9700" t="s">
        <v>4909</v>
      </c>
      <c r="K9700" t="s">
        <v>4909</v>
      </c>
    </row>
    <row r="9701" spans="1:11" x14ac:dyDescent="0.2">
      <c r="A9701" t="s">
        <v>4339</v>
      </c>
      <c r="B9701" t="s">
        <v>4909</v>
      </c>
      <c r="C9701" t="s">
        <v>4909</v>
      </c>
      <c r="D9701" t="s">
        <v>4909</v>
      </c>
      <c r="E9701" t="s">
        <v>4909</v>
      </c>
      <c r="F9701" t="s">
        <v>4909</v>
      </c>
      <c r="G9701" t="s">
        <v>4909</v>
      </c>
      <c r="H9701" t="s">
        <v>4909</v>
      </c>
      <c r="I9701" t="s">
        <v>4909</v>
      </c>
      <c r="J9701" t="s">
        <v>4909</v>
      </c>
      <c r="K9701" t="s">
        <v>4909</v>
      </c>
    </row>
    <row r="9702" spans="1:11" x14ac:dyDescent="0.2">
      <c r="A9702" t="s">
        <v>4340</v>
      </c>
      <c r="B9702" t="s">
        <v>4909</v>
      </c>
      <c r="C9702" t="s">
        <v>4909</v>
      </c>
      <c r="D9702" t="s">
        <v>4909</v>
      </c>
      <c r="E9702" t="s">
        <v>4909</v>
      </c>
      <c r="F9702" t="s">
        <v>4909</v>
      </c>
      <c r="G9702" t="s">
        <v>4909</v>
      </c>
      <c r="H9702" t="s">
        <v>4909</v>
      </c>
      <c r="I9702" t="s">
        <v>4909</v>
      </c>
      <c r="J9702" t="s">
        <v>4909</v>
      </c>
      <c r="K9702" t="s">
        <v>4909</v>
      </c>
    </row>
    <row r="9703" spans="1:11" x14ac:dyDescent="0.2">
      <c r="A9703" t="s">
        <v>4341</v>
      </c>
      <c r="B9703" t="s">
        <v>4909</v>
      </c>
      <c r="C9703" t="s">
        <v>4909</v>
      </c>
      <c r="D9703" t="s">
        <v>4909</v>
      </c>
      <c r="E9703" t="s">
        <v>4909</v>
      </c>
      <c r="F9703" t="s">
        <v>4909</v>
      </c>
      <c r="G9703" t="s">
        <v>4909</v>
      </c>
      <c r="H9703" t="s">
        <v>4909</v>
      </c>
      <c r="I9703" t="s">
        <v>4909</v>
      </c>
      <c r="J9703" t="s">
        <v>4909</v>
      </c>
      <c r="K9703" t="s">
        <v>4909</v>
      </c>
    </row>
    <row r="9704" spans="1:11" x14ac:dyDescent="0.2">
      <c r="A9704" t="s">
        <v>4342</v>
      </c>
      <c r="B9704" t="s">
        <v>4909</v>
      </c>
      <c r="C9704" t="s">
        <v>4909</v>
      </c>
      <c r="D9704" t="s">
        <v>4909</v>
      </c>
      <c r="E9704" t="s">
        <v>4909</v>
      </c>
      <c r="F9704" t="s">
        <v>4909</v>
      </c>
      <c r="G9704" t="s">
        <v>4909</v>
      </c>
      <c r="H9704" t="s">
        <v>4909</v>
      </c>
      <c r="I9704" t="s">
        <v>4909</v>
      </c>
      <c r="J9704" t="s">
        <v>4909</v>
      </c>
      <c r="K9704" t="s">
        <v>4909</v>
      </c>
    </row>
    <row r="9705" spans="1:11" x14ac:dyDescent="0.2">
      <c r="A9705" t="s">
        <v>4343</v>
      </c>
      <c r="B9705" t="s">
        <v>4909</v>
      </c>
      <c r="C9705" t="s">
        <v>4909</v>
      </c>
      <c r="D9705" t="s">
        <v>4909</v>
      </c>
      <c r="E9705" t="s">
        <v>4909</v>
      </c>
      <c r="F9705" t="s">
        <v>4909</v>
      </c>
      <c r="G9705" t="s">
        <v>4909</v>
      </c>
      <c r="H9705" t="s">
        <v>4909</v>
      </c>
      <c r="I9705" t="s">
        <v>4909</v>
      </c>
      <c r="J9705" t="s">
        <v>4909</v>
      </c>
      <c r="K9705" t="s">
        <v>4909</v>
      </c>
    </row>
    <row r="9706" spans="1:11" x14ac:dyDescent="0.2">
      <c r="A9706" t="s">
        <v>1728</v>
      </c>
      <c r="B9706" t="s">
        <v>4909</v>
      </c>
      <c r="C9706" t="s">
        <v>4909</v>
      </c>
      <c r="D9706" t="s">
        <v>4909</v>
      </c>
      <c r="E9706" t="s">
        <v>4909</v>
      </c>
      <c r="F9706" t="s">
        <v>4909</v>
      </c>
      <c r="G9706" t="s">
        <v>4909</v>
      </c>
      <c r="H9706" t="s">
        <v>4909</v>
      </c>
      <c r="I9706" t="s">
        <v>4909</v>
      </c>
      <c r="J9706" t="s">
        <v>4909</v>
      </c>
      <c r="K9706" t="s">
        <v>4909</v>
      </c>
    </row>
    <row r="9707" spans="1:11" x14ac:dyDescent="0.2">
      <c r="A9707" t="s">
        <v>1730</v>
      </c>
      <c r="B9707" t="s">
        <v>4909</v>
      </c>
      <c r="C9707" t="s">
        <v>4909</v>
      </c>
      <c r="D9707" s="88">
        <v>3.0000000000000001E-3</v>
      </c>
      <c r="E9707" t="s">
        <v>4909</v>
      </c>
      <c r="F9707" s="88">
        <v>4.0000000000000001E-3</v>
      </c>
      <c r="G9707" s="88">
        <v>0.06</v>
      </c>
      <c r="H9707" s="88">
        <v>1.4E-2</v>
      </c>
      <c r="I9707" t="s">
        <v>4909</v>
      </c>
      <c r="J9707" t="s">
        <v>4909</v>
      </c>
      <c r="K9707" t="s">
        <v>4909</v>
      </c>
    </row>
    <row r="9708" spans="1:11" x14ac:dyDescent="0.2">
      <c r="A9708" t="s">
        <v>1733</v>
      </c>
      <c r="B9708" t="s">
        <v>4909</v>
      </c>
      <c r="C9708" t="s">
        <v>4909</v>
      </c>
      <c r="D9708" t="s">
        <v>4909</v>
      </c>
      <c r="E9708" t="s">
        <v>4909</v>
      </c>
      <c r="F9708" t="s">
        <v>4909</v>
      </c>
      <c r="G9708" t="s">
        <v>4909</v>
      </c>
      <c r="H9708" t="s">
        <v>4909</v>
      </c>
      <c r="I9708" t="s">
        <v>4909</v>
      </c>
      <c r="J9708" t="s">
        <v>4909</v>
      </c>
      <c r="K9708" t="s">
        <v>4909</v>
      </c>
    </row>
    <row r="9709" spans="1:11" x14ac:dyDescent="0.2">
      <c r="A9709" t="s">
        <v>1738</v>
      </c>
      <c r="B9709" t="s">
        <v>4909</v>
      </c>
      <c r="C9709" t="s">
        <v>4909</v>
      </c>
      <c r="D9709" t="s">
        <v>4909</v>
      </c>
      <c r="E9709" t="s">
        <v>4909</v>
      </c>
      <c r="F9709" t="s">
        <v>4909</v>
      </c>
      <c r="G9709" t="s">
        <v>4909</v>
      </c>
      <c r="H9709" t="s">
        <v>4909</v>
      </c>
      <c r="I9709" t="s">
        <v>4909</v>
      </c>
      <c r="J9709" t="s">
        <v>4909</v>
      </c>
      <c r="K9709" t="s">
        <v>4909</v>
      </c>
    </row>
    <row r="9710" spans="1:11" x14ac:dyDescent="0.2">
      <c r="A9710" t="s">
        <v>1744</v>
      </c>
      <c r="B9710" t="s">
        <v>4909</v>
      </c>
      <c r="C9710" t="s">
        <v>4909</v>
      </c>
      <c r="D9710" t="s">
        <v>4909</v>
      </c>
      <c r="E9710" t="s">
        <v>4909</v>
      </c>
      <c r="F9710" t="s">
        <v>4909</v>
      </c>
      <c r="G9710" t="s">
        <v>4909</v>
      </c>
      <c r="H9710" t="s">
        <v>4909</v>
      </c>
      <c r="I9710" t="s">
        <v>4909</v>
      </c>
      <c r="J9710" t="s">
        <v>4909</v>
      </c>
      <c r="K9710" t="s">
        <v>4909</v>
      </c>
    </row>
    <row r="9711" spans="1:11" x14ac:dyDescent="0.2">
      <c r="A9711" t="s">
        <v>1747</v>
      </c>
      <c r="B9711" t="s">
        <v>4909</v>
      </c>
      <c r="C9711" t="s">
        <v>4909</v>
      </c>
      <c r="D9711" t="s">
        <v>4909</v>
      </c>
      <c r="E9711" t="s">
        <v>4909</v>
      </c>
      <c r="F9711" t="s">
        <v>4909</v>
      </c>
      <c r="G9711" t="s">
        <v>4909</v>
      </c>
      <c r="H9711" t="s">
        <v>4909</v>
      </c>
      <c r="I9711" t="s">
        <v>4909</v>
      </c>
      <c r="J9711" t="s">
        <v>4909</v>
      </c>
      <c r="K9711" t="s">
        <v>4909</v>
      </c>
    </row>
    <row r="9712" spans="1:11" x14ac:dyDescent="0.2">
      <c r="A9712" t="s">
        <v>1751</v>
      </c>
      <c r="B9712" t="s">
        <v>4909</v>
      </c>
      <c r="C9712" t="s">
        <v>4909</v>
      </c>
      <c r="D9712" t="s">
        <v>4909</v>
      </c>
      <c r="E9712" t="s">
        <v>4909</v>
      </c>
      <c r="F9712" t="s">
        <v>4909</v>
      </c>
      <c r="G9712" t="s">
        <v>4909</v>
      </c>
      <c r="H9712" t="s">
        <v>4909</v>
      </c>
      <c r="I9712" t="s">
        <v>4909</v>
      </c>
      <c r="J9712" t="s">
        <v>4909</v>
      </c>
      <c r="K9712" t="s">
        <v>4909</v>
      </c>
    </row>
    <row r="9713" spans="1:11" x14ac:dyDescent="0.2">
      <c r="A9713" t="s">
        <v>1755</v>
      </c>
      <c r="B9713" t="s">
        <v>4909</v>
      </c>
      <c r="C9713" t="s">
        <v>4909</v>
      </c>
      <c r="D9713" t="s">
        <v>4909</v>
      </c>
      <c r="E9713" t="s">
        <v>4909</v>
      </c>
      <c r="F9713" s="88">
        <v>1.7000000000000001E-2</v>
      </c>
      <c r="G9713" s="88">
        <v>0.23400000000000001</v>
      </c>
      <c r="H9713" s="88">
        <v>5.7000000000000002E-2</v>
      </c>
      <c r="I9713" t="s">
        <v>4909</v>
      </c>
      <c r="J9713" s="88">
        <v>2E-3</v>
      </c>
      <c r="K9713" s="88">
        <v>0</v>
      </c>
    </row>
    <row r="9714" spans="1:11" x14ac:dyDescent="0.2">
      <c r="A9714" t="s">
        <v>1757</v>
      </c>
      <c r="B9714" t="s">
        <v>4909</v>
      </c>
      <c r="C9714" t="s">
        <v>4909</v>
      </c>
      <c r="D9714" t="s">
        <v>4909</v>
      </c>
      <c r="E9714" t="s">
        <v>4909</v>
      </c>
      <c r="F9714" s="88">
        <v>2.3E-2</v>
      </c>
      <c r="G9714" s="88">
        <v>0.30599999999999999</v>
      </c>
      <c r="H9714" s="88">
        <v>7.5999999999999998E-2</v>
      </c>
      <c r="I9714" t="s">
        <v>4909</v>
      </c>
      <c r="J9714" s="88">
        <v>1E-3</v>
      </c>
      <c r="K9714" s="88">
        <v>0</v>
      </c>
    </row>
    <row r="9715" spans="1:11" x14ac:dyDescent="0.2">
      <c r="A9715" t="s">
        <v>1761</v>
      </c>
      <c r="B9715" t="s">
        <v>4909</v>
      </c>
      <c r="C9715" t="s">
        <v>4909</v>
      </c>
      <c r="D9715" t="s">
        <v>4909</v>
      </c>
      <c r="E9715" t="s">
        <v>4909</v>
      </c>
      <c r="F9715" t="s">
        <v>4909</v>
      </c>
      <c r="G9715" t="s">
        <v>4909</v>
      </c>
      <c r="H9715" t="s">
        <v>4909</v>
      </c>
      <c r="I9715" t="s">
        <v>4909</v>
      </c>
      <c r="J9715" t="s">
        <v>4909</v>
      </c>
      <c r="K9715" t="s">
        <v>4909</v>
      </c>
    </row>
    <row r="9716" spans="1:11" x14ac:dyDescent="0.2">
      <c r="A9716" t="s">
        <v>1764</v>
      </c>
      <c r="B9716" t="s">
        <v>4909</v>
      </c>
      <c r="C9716" t="s">
        <v>4909</v>
      </c>
      <c r="D9716" t="s">
        <v>4909</v>
      </c>
      <c r="E9716" t="s">
        <v>4909</v>
      </c>
      <c r="F9716" t="s">
        <v>4909</v>
      </c>
      <c r="G9716" t="s">
        <v>4909</v>
      </c>
      <c r="H9716" t="s">
        <v>4909</v>
      </c>
      <c r="I9716" t="s">
        <v>4909</v>
      </c>
      <c r="J9716" t="s">
        <v>4909</v>
      </c>
      <c r="K9716" t="s">
        <v>4909</v>
      </c>
    </row>
    <row r="9717" spans="1:11" x14ac:dyDescent="0.2">
      <c r="A9717" t="s">
        <v>1770</v>
      </c>
      <c r="B9717" t="s">
        <v>4909</v>
      </c>
      <c r="C9717" t="s">
        <v>4909</v>
      </c>
      <c r="D9717" t="s">
        <v>4909</v>
      </c>
      <c r="E9717" t="s">
        <v>4909</v>
      </c>
      <c r="F9717" s="88">
        <v>1E-3</v>
      </c>
      <c r="G9717" s="88">
        <v>7.0000000000000007E-2</v>
      </c>
      <c r="H9717" s="88">
        <v>5.0000000000000001E-3</v>
      </c>
      <c r="I9717" t="s">
        <v>4909</v>
      </c>
      <c r="J9717" s="88">
        <v>0</v>
      </c>
      <c r="K9717" s="88">
        <v>0</v>
      </c>
    </row>
    <row r="9718" spans="1:11" x14ac:dyDescent="0.2">
      <c r="A9718" t="s">
        <v>1772</v>
      </c>
      <c r="B9718" t="s">
        <v>4909</v>
      </c>
      <c r="C9718" t="s">
        <v>4909</v>
      </c>
      <c r="D9718" t="s">
        <v>4909</v>
      </c>
      <c r="E9718" t="s">
        <v>4909</v>
      </c>
      <c r="F9718" s="88">
        <v>1E-3</v>
      </c>
      <c r="G9718" s="88">
        <v>4.2000000000000003E-2</v>
      </c>
      <c r="H9718" s="88">
        <v>2E-3</v>
      </c>
      <c r="I9718" t="s">
        <v>4909</v>
      </c>
      <c r="J9718" t="s">
        <v>4909</v>
      </c>
      <c r="K9718" t="s">
        <v>4909</v>
      </c>
    </row>
    <row r="9719" spans="1:11" x14ac:dyDescent="0.2">
      <c r="A9719" t="s">
        <v>1774</v>
      </c>
      <c r="B9719" t="s">
        <v>4909</v>
      </c>
      <c r="C9719" t="s">
        <v>4909</v>
      </c>
      <c r="D9719" t="s">
        <v>4909</v>
      </c>
      <c r="E9719" t="s">
        <v>4909</v>
      </c>
      <c r="F9719" s="88">
        <v>5.0000000000000001E-3</v>
      </c>
      <c r="G9719" s="88">
        <v>0.28399999999999997</v>
      </c>
      <c r="H9719" s="88">
        <v>1.6E-2</v>
      </c>
      <c r="I9719" t="s">
        <v>4909</v>
      </c>
      <c r="J9719" t="s">
        <v>4909</v>
      </c>
      <c r="K9719" s="88">
        <v>1E-3</v>
      </c>
    </row>
    <row r="9720" spans="1:11" x14ac:dyDescent="0.2">
      <c r="A9720" t="s">
        <v>1777</v>
      </c>
      <c r="B9720" t="s">
        <v>4909</v>
      </c>
      <c r="C9720" t="s">
        <v>4909</v>
      </c>
      <c r="D9720" t="s">
        <v>4909</v>
      </c>
      <c r="E9720" t="s">
        <v>4909</v>
      </c>
      <c r="F9720" t="s">
        <v>4909</v>
      </c>
      <c r="G9720" t="s">
        <v>4909</v>
      </c>
      <c r="H9720" t="s">
        <v>4909</v>
      </c>
      <c r="I9720" t="s">
        <v>4909</v>
      </c>
      <c r="J9720" t="s">
        <v>4909</v>
      </c>
      <c r="K9720" t="s">
        <v>4909</v>
      </c>
    </row>
    <row r="9721" spans="1:11" x14ac:dyDescent="0.2">
      <c r="A9721" t="s">
        <v>1782</v>
      </c>
      <c r="B9721" t="s">
        <v>4909</v>
      </c>
      <c r="C9721" t="s">
        <v>4909</v>
      </c>
      <c r="D9721" t="s">
        <v>4909</v>
      </c>
      <c r="E9721" t="s">
        <v>4909</v>
      </c>
      <c r="F9721" t="s">
        <v>4909</v>
      </c>
      <c r="G9721" t="s">
        <v>4909</v>
      </c>
      <c r="H9721" t="s">
        <v>4909</v>
      </c>
      <c r="I9721" t="s">
        <v>4909</v>
      </c>
      <c r="J9721" t="s">
        <v>4909</v>
      </c>
      <c r="K9721" t="s">
        <v>4909</v>
      </c>
    </row>
    <row r="9722" spans="1:11" x14ac:dyDescent="0.2">
      <c r="A9722" t="s">
        <v>1274</v>
      </c>
      <c r="B9722" t="s">
        <v>4909</v>
      </c>
      <c r="C9722" t="s">
        <v>4909</v>
      </c>
      <c r="D9722" t="s">
        <v>4909</v>
      </c>
      <c r="E9722" t="s">
        <v>4909</v>
      </c>
      <c r="F9722" s="88">
        <v>0</v>
      </c>
      <c r="G9722" s="88">
        <v>0.01</v>
      </c>
      <c r="H9722" s="88">
        <v>2E-3</v>
      </c>
      <c r="I9722" t="s">
        <v>4909</v>
      </c>
      <c r="J9722" s="88">
        <v>0</v>
      </c>
      <c r="K9722" t="s">
        <v>4909</v>
      </c>
    </row>
    <row r="9723" spans="1:11" x14ac:dyDescent="0.2">
      <c r="A9723" t="s">
        <v>1277</v>
      </c>
      <c r="B9723" t="s">
        <v>4909</v>
      </c>
      <c r="C9723" t="s">
        <v>4909</v>
      </c>
      <c r="D9723" t="s">
        <v>4909</v>
      </c>
      <c r="E9723" t="s">
        <v>4909</v>
      </c>
      <c r="F9723" s="88">
        <v>1E-3</v>
      </c>
      <c r="G9723" s="88">
        <v>1.4E-2</v>
      </c>
      <c r="H9723" s="88">
        <v>3.0000000000000001E-3</v>
      </c>
      <c r="I9723" t="s">
        <v>4909</v>
      </c>
      <c r="J9723" s="88">
        <v>0</v>
      </c>
      <c r="K9723" s="88">
        <v>0</v>
      </c>
    </row>
    <row r="9724" spans="1:11" x14ac:dyDescent="0.2">
      <c r="A9724" t="s">
        <v>1798</v>
      </c>
      <c r="B9724" t="s">
        <v>4909</v>
      </c>
      <c r="C9724" t="s">
        <v>4909</v>
      </c>
      <c r="D9724" t="s">
        <v>4909</v>
      </c>
      <c r="E9724" t="s">
        <v>4909</v>
      </c>
      <c r="F9724" t="s">
        <v>4909</v>
      </c>
      <c r="G9724" t="s">
        <v>4909</v>
      </c>
      <c r="H9724" t="s">
        <v>4909</v>
      </c>
      <c r="I9724" t="s">
        <v>4909</v>
      </c>
      <c r="J9724" t="s">
        <v>4909</v>
      </c>
      <c r="K9724" t="s">
        <v>4909</v>
      </c>
    </row>
    <row r="9725" spans="1:11" x14ac:dyDescent="0.2">
      <c r="A9725" t="s">
        <v>1803</v>
      </c>
      <c r="B9725" t="s">
        <v>4909</v>
      </c>
      <c r="C9725" t="s">
        <v>4909</v>
      </c>
      <c r="D9725" t="s">
        <v>4909</v>
      </c>
      <c r="E9725" t="s">
        <v>4909</v>
      </c>
      <c r="F9725" t="s">
        <v>4909</v>
      </c>
      <c r="G9725" t="s">
        <v>4909</v>
      </c>
      <c r="H9725" t="s">
        <v>4909</v>
      </c>
      <c r="I9725" t="s">
        <v>4909</v>
      </c>
      <c r="J9725" t="s">
        <v>4909</v>
      </c>
      <c r="K9725" t="s">
        <v>4909</v>
      </c>
    </row>
    <row r="9726" spans="1:11" x14ac:dyDescent="0.2">
      <c r="A9726" t="s">
        <v>1808</v>
      </c>
      <c r="B9726" t="s">
        <v>4909</v>
      </c>
      <c r="C9726" t="s">
        <v>4909</v>
      </c>
      <c r="D9726" t="s">
        <v>4909</v>
      </c>
      <c r="E9726" t="s">
        <v>4909</v>
      </c>
      <c r="F9726" t="s">
        <v>4909</v>
      </c>
      <c r="G9726" t="s">
        <v>4909</v>
      </c>
      <c r="H9726" t="s">
        <v>4909</v>
      </c>
      <c r="I9726" t="s">
        <v>4909</v>
      </c>
      <c r="J9726" t="s">
        <v>4909</v>
      </c>
      <c r="K9726" t="s">
        <v>4909</v>
      </c>
    </row>
    <row r="9727" spans="1:11" x14ac:dyDescent="0.2">
      <c r="A9727" t="s">
        <v>1813</v>
      </c>
      <c r="B9727" t="s">
        <v>4909</v>
      </c>
      <c r="C9727" t="s">
        <v>4909</v>
      </c>
      <c r="D9727" t="s">
        <v>4909</v>
      </c>
      <c r="E9727" t="s">
        <v>4909</v>
      </c>
      <c r="F9727" t="s">
        <v>4909</v>
      </c>
      <c r="G9727" t="s">
        <v>4909</v>
      </c>
      <c r="H9727" t="s">
        <v>4909</v>
      </c>
      <c r="I9727" t="s">
        <v>4909</v>
      </c>
      <c r="J9727" t="s">
        <v>4909</v>
      </c>
      <c r="K9727" t="s">
        <v>4909</v>
      </c>
    </row>
    <row r="9728" spans="1:11" x14ac:dyDescent="0.2">
      <c r="A9728" t="s">
        <v>1819</v>
      </c>
      <c r="B9728" t="s">
        <v>4909</v>
      </c>
      <c r="C9728" t="s">
        <v>4909</v>
      </c>
      <c r="D9728" t="s">
        <v>4909</v>
      </c>
      <c r="E9728" t="s">
        <v>4909</v>
      </c>
      <c r="F9728" t="s">
        <v>4909</v>
      </c>
      <c r="G9728" s="88">
        <v>1E-3</v>
      </c>
      <c r="H9728" s="88">
        <v>0</v>
      </c>
      <c r="I9728" t="s">
        <v>4909</v>
      </c>
      <c r="J9728" t="s">
        <v>4909</v>
      </c>
      <c r="K9728" t="s">
        <v>4909</v>
      </c>
    </row>
    <row r="9729" spans="1:11" x14ac:dyDescent="0.2">
      <c r="A9729" t="s">
        <v>1826</v>
      </c>
      <c r="B9729" t="s">
        <v>4909</v>
      </c>
      <c r="C9729" t="s">
        <v>4909</v>
      </c>
      <c r="D9729" t="s">
        <v>4909</v>
      </c>
      <c r="E9729" t="s">
        <v>4909</v>
      </c>
      <c r="F9729" t="s">
        <v>4909</v>
      </c>
      <c r="G9729" t="s">
        <v>4909</v>
      </c>
      <c r="H9729" t="s">
        <v>4909</v>
      </c>
      <c r="I9729" t="s">
        <v>4909</v>
      </c>
      <c r="J9729" t="s">
        <v>4909</v>
      </c>
      <c r="K9729" t="s">
        <v>4909</v>
      </c>
    </row>
    <row r="9730" spans="1:11" x14ac:dyDescent="0.2">
      <c r="A9730" t="s">
        <v>1830</v>
      </c>
      <c r="B9730" t="s">
        <v>4909</v>
      </c>
      <c r="C9730" t="s">
        <v>4909</v>
      </c>
      <c r="D9730" t="s">
        <v>4909</v>
      </c>
      <c r="E9730" t="s">
        <v>4909</v>
      </c>
      <c r="F9730" t="s">
        <v>4909</v>
      </c>
      <c r="G9730" t="s">
        <v>4909</v>
      </c>
      <c r="H9730" t="s">
        <v>4909</v>
      </c>
      <c r="I9730" t="s">
        <v>4909</v>
      </c>
      <c r="J9730" t="s">
        <v>4909</v>
      </c>
      <c r="K9730" t="s">
        <v>4909</v>
      </c>
    </row>
    <row r="9731" spans="1:11" x14ac:dyDescent="0.2">
      <c r="A9731" t="s">
        <v>1836</v>
      </c>
      <c r="B9731" t="s">
        <v>4909</v>
      </c>
      <c r="C9731" t="s">
        <v>4909</v>
      </c>
      <c r="D9731" t="s">
        <v>4909</v>
      </c>
      <c r="E9731" t="s">
        <v>4909</v>
      </c>
      <c r="F9731" t="s">
        <v>4909</v>
      </c>
      <c r="G9731" t="s">
        <v>4909</v>
      </c>
      <c r="H9731" t="s">
        <v>4909</v>
      </c>
      <c r="I9731" t="s">
        <v>4909</v>
      </c>
      <c r="J9731" t="s">
        <v>4909</v>
      </c>
      <c r="K9731" t="s">
        <v>4909</v>
      </c>
    </row>
    <row r="9732" spans="1:11" x14ac:dyDescent="0.2">
      <c r="A9732" t="s">
        <v>1841</v>
      </c>
      <c r="B9732" t="s">
        <v>4909</v>
      </c>
      <c r="C9732" t="s">
        <v>4909</v>
      </c>
      <c r="D9732" t="s">
        <v>4909</v>
      </c>
      <c r="E9732" t="s">
        <v>4909</v>
      </c>
      <c r="F9732" t="s">
        <v>4909</v>
      </c>
      <c r="G9732" t="s">
        <v>4909</v>
      </c>
      <c r="H9732" t="s">
        <v>4909</v>
      </c>
      <c r="I9732" t="s">
        <v>4909</v>
      </c>
      <c r="J9732" t="s">
        <v>4909</v>
      </c>
      <c r="K9732" t="s">
        <v>4909</v>
      </c>
    </row>
    <row r="9733" spans="1:11" x14ac:dyDescent="0.2">
      <c r="A9733" t="s">
        <v>1842</v>
      </c>
      <c r="B9733" t="s">
        <v>4909</v>
      </c>
      <c r="C9733" t="s">
        <v>4909</v>
      </c>
      <c r="D9733" t="s">
        <v>4909</v>
      </c>
      <c r="E9733" t="s">
        <v>4909</v>
      </c>
      <c r="F9733" t="s">
        <v>4909</v>
      </c>
      <c r="G9733" s="88">
        <v>0</v>
      </c>
      <c r="H9733" t="s">
        <v>4909</v>
      </c>
      <c r="I9733" t="s">
        <v>4909</v>
      </c>
      <c r="J9733" t="s">
        <v>4909</v>
      </c>
      <c r="K9733" t="s">
        <v>4909</v>
      </c>
    </row>
    <row r="9734" spans="1:11" x14ac:dyDescent="0.2">
      <c r="A9734" t="s">
        <v>1843</v>
      </c>
      <c r="B9734" t="s">
        <v>4909</v>
      </c>
      <c r="C9734" t="s">
        <v>4909</v>
      </c>
      <c r="D9734" t="s">
        <v>4909</v>
      </c>
      <c r="E9734" t="s">
        <v>4909</v>
      </c>
      <c r="F9734" t="s">
        <v>4909</v>
      </c>
      <c r="G9734" t="s">
        <v>4909</v>
      </c>
      <c r="H9734" t="s">
        <v>4909</v>
      </c>
      <c r="I9734" t="s">
        <v>4909</v>
      </c>
      <c r="J9734" t="s">
        <v>4909</v>
      </c>
      <c r="K9734" t="s">
        <v>4909</v>
      </c>
    </row>
    <row r="9735" spans="1:11" x14ac:dyDescent="0.2">
      <c r="A9735" t="s">
        <v>1846</v>
      </c>
      <c r="B9735" t="s">
        <v>4909</v>
      </c>
      <c r="C9735" t="s">
        <v>4909</v>
      </c>
      <c r="D9735" t="s">
        <v>4909</v>
      </c>
      <c r="E9735" t="s">
        <v>4909</v>
      </c>
      <c r="F9735" t="s">
        <v>4909</v>
      </c>
      <c r="G9735" t="s">
        <v>4909</v>
      </c>
      <c r="H9735" t="s">
        <v>4909</v>
      </c>
      <c r="I9735" t="s">
        <v>4909</v>
      </c>
      <c r="J9735" t="s">
        <v>4909</v>
      </c>
      <c r="K9735" t="s">
        <v>4909</v>
      </c>
    </row>
    <row r="9736" spans="1:11" x14ac:dyDescent="0.2">
      <c r="A9736" t="s">
        <v>1851</v>
      </c>
      <c r="B9736" t="s">
        <v>4909</v>
      </c>
      <c r="C9736" t="s">
        <v>4909</v>
      </c>
      <c r="D9736" t="s">
        <v>4909</v>
      </c>
      <c r="E9736" t="s">
        <v>4909</v>
      </c>
      <c r="F9736" t="s">
        <v>4909</v>
      </c>
      <c r="G9736" s="88">
        <v>0</v>
      </c>
      <c r="H9736" t="s">
        <v>4909</v>
      </c>
      <c r="I9736" t="s">
        <v>4909</v>
      </c>
      <c r="J9736" t="s">
        <v>4909</v>
      </c>
      <c r="K9736" t="s">
        <v>4909</v>
      </c>
    </row>
    <row r="9737" spans="1:11" x14ac:dyDescent="0.2">
      <c r="A9737" t="s">
        <v>1857</v>
      </c>
      <c r="B9737" t="s">
        <v>4909</v>
      </c>
      <c r="C9737" t="s">
        <v>4909</v>
      </c>
      <c r="D9737" t="s">
        <v>4909</v>
      </c>
      <c r="E9737" t="s">
        <v>4909</v>
      </c>
      <c r="F9737" t="s">
        <v>4909</v>
      </c>
      <c r="G9737" t="s">
        <v>4909</v>
      </c>
      <c r="H9737" t="s">
        <v>4909</v>
      </c>
      <c r="I9737" t="s">
        <v>4909</v>
      </c>
      <c r="J9737" t="s">
        <v>4909</v>
      </c>
      <c r="K9737" t="s">
        <v>4909</v>
      </c>
    </row>
    <row r="9738" spans="1:11" x14ac:dyDescent="0.2">
      <c r="A9738" t="s">
        <v>1862</v>
      </c>
      <c r="B9738" t="s">
        <v>4909</v>
      </c>
      <c r="C9738" t="s">
        <v>4909</v>
      </c>
      <c r="D9738" t="s">
        <v>4909</v>
      </c>
      <c r="E9738" t="s">
        <v>4909</v>
      </c>
      <c r="F9738" t="s">
        <v>4909</v>
      </c>
      <c r="G9738" t="s">
        <v>4909</v>
      </c>
      <c r="H9738" t="s">
        <v>4909</v>
      </c>
      <c r="I9738" t="s">
        <v>4909</v>
      </c>
      <c r="J9738" t="s">
        <v>4909</v>
      </c>
      <c r="K9738" t="s">
        <v>4909</v>
      </c>
    </row>
    <row r="9739" spans="1:11" x14ac:dyDescent="0.2">
      <c r="A9739" t="s">
        <v>1867</v>
      </c>
      <c r="B9739" t="s">
        <v>4909</v>
      </c>
      <c r="C9739" t="s">
        <v>4909</v>
      </c>
      <c r="D9739" t="s">
        <v>4909</v>
      </c>
      <c r="E9739" t="s">
        <v>4909</v>
      </c>
      <c r="F9739" t="s">
        <v>4909</v>
      </c>
      <c r="G9739" t="s">
        <v>4909</v>
      </c>
      <c r="H9739" t="s">
        <v>4909</v>
      </c>
      <c r="I9739" t="s">
        <v>4909</v>
      </c>
      <c r="J9739" t="s">
        <v>4909</v>
      </c>
      <c r="K9739" t="s">
        <v>4909</v>
      </c>
    </row>
    <row r="9740" spans="1:11" x14ac:dyDescent="0.2">
      <c r="A9740" t="s">
        <v>1870</v>
      </c>
      <c r="B9740" t="s">
        <v>4909</v>
      </c>
      <c r="C9740" t="s">
        <v>4909</v>
      </c>
      <c r="D9740" t="s">
        <v>4909</v>
      </c>
      <c r="E9740" t="s">
        <v>4909</v>
      </c>
      <c r="F9740" t="s">
        <v>4909</v>
      </c>
      <c r="G9740" t="s">
        <v>4909</v>
      </c>
      <c r="H9740" t="s">
        <v>4909</v>
      </c>
      <c r="I9740" t="s">
        <v>4909</v>
      </c>
      <c r="J9740" t="s">
        <v>4909</v>
      </c>
      <c r="K9740" t="s">
        <v>4909</v>
      </c>
    </row>
    <row r="9741" spans="1:11" x14ac:dyDescent="0.2">
      <c r="A9741" t="s">
        <v>1874</v>
      </c>
      <c r="B9741" t="s">
        <v>4909</v>
      </c>
      <c r="C9741" t="s">
        <v>4909</v>
      </c>
      <c r="D9741" t="s">
        <v>4909</v>
      </c>
      <c r="E9741" t="s">
        <v>4909</v>
      </c>
      <c r="F9741" t="s">
        <v>4909</v>
      </c>
      <c r="G9741" t="s">
        <v>4909</v>
      </c>
      <c r="H9741" t="s">
        <v>4909</v>
      </c>
      <c r="I9741" t="s">
        <v>4909</v>
      </c>
      <c r="J9741" t="s">
        <v>4909</v>
      </c>
      <c r="K9741" t="s">
        <v>4909</v>
      </c>
    </row>
    <row r="9742" spans="1:11" x14ac:dyDescent="0.2">
      <c r="A9742" t="s">
        <v>1876</v>
      </c>
      <c r="B9742" t="s">
        <v>4909</v>
      </c>
      <c r="C9742" t="s">
        <v>4909</v>
      </c>
      <c r="D9742" t="s">
        <v>4909</v>
      </c>
      <c r="E9742" t="s">
        <v>4909</v>
      </c>
      <c r="F9742" t="s">
        <v>4909</v>
      </c>
      <c r="G9742" t="s">
        <v>4909</v>
      </c>
      <c r="H9742" t="s">
        <v>4909</v>
      </c>
      <c r="I9742" t="s">
        <v>4909</v>
      </c>
      <c r="J9742" t="s">
        <v>4909</v>
      </c>
      <c r="K9742" t="s">
        <v>4909</v>
      </c>
    </row>
    <row r="9743" spans="1:11" x14ac:dyDescent="0.2">
      <c r="A9743" t="s">
        <v>1881</v>
      </c>
      <c r="B9743" t="s">
        <v>4909</v>
      </c>
      <c r="C9743" t="s">
        <v>4909</v>
      </c>
      <c r="D9743" t="s">
        <v>4909</v>
      </c>
      <c r="E9743" t="s">
        <v>4909</v>
      </c>
      <c r="F9743" t="s">
        <v>4909</v>
      </c>
      <c r="G9743" t="s">
        <v>4909</v>
      </c>
      <c r="H9743" t="s">
        <v>4909</v>
      </c>
      <c r="I9743" t="s">
        <v>4909</v>
      </c>
      <c r="J9743" t="s">
        <v>4909</v>
      </c>
      <c r="K9743" t="s">
        <v>4909</v>
      </c>
    </row>
    <row r="9744" spans="1:11" x14ac:dyDescent="0.2">
      <c r="A9744" t="s">
        <v>1885</v>
      </c>
      <c r="B9744" t="s">
        <v>4909</v>
      </c>
      <c r="C9744" t="s">
        <v>4909</v>
      </c>
      <c r="D9744" t="s">
        <v>4909</v>
      </c>
      <c r="E9744" t="s">
        <v>4909</v>
      </c>
      <c r="F9744" t="s">
        <v>4909</v>
      </c>
      <c r="G9744" s="88">
        <v>0</v>
      </c>
      <c r="H9744" s="88">
        <v>0</v>
      </c>
      <c r="I9744" t="s">
        <v>4909</v>
      </c>
      <c r="J9744" t="s">
        <v>4909</v>
      </c>
      <c r="K9744" t="s">
        <v>4909</v>
      </c>
    </row>
    <row r="9745" spans="1:11" x14ac:dyDescent="0.2">
      <c r="A9745" t="s">
        <v>1887</v>
      </c>
      <c r="B9745" t="s">
        <v>4909</v>
      </c>
      <c r="C9745" t="s">
        <v>4909</v>
      </c>
      <c r="D9745" t="s">
        <v>4909</v>
      </c>
      <c r="E9745" t="s">
        <v>4909</v>
      </c>
      <c r="F9745" t="s">
        <v>4909</v>
      </c>
      <c r="G9745" s="88">
        <v>1E-3</v>
      </c>
      <c r="H9745" t="s">
        <v>4909</v>
      </c>
      <c r="I9745" t="s">
        <v>4909</v>
      </c>
      <c r="J9745" t="s">
        <v>4909</v>
      </c>
      <c r="K9745" t="s">
        <v>4909</v>
      </c>
    </row>
    <row r="9746" spans="1:11" x14ac:dyDescent="0.2">
      <c r="A9746" t="s">
        <v>1893</v>
      </c>
      <c r="B9746" t="s">
        <v>4909</v>
      </c>
      <c r="C9746" t="s">
        <v>4909</v>
      </c>
      <c r="D9746" t="s">
        <v>4909</v>
      </c>
      <c r="E9746" t="s">
        <v>4909</v>
      </c>
      <c r="F9746" s="88">
        <v>0</v>
      </c>
      <c r="G9746" s="88">
        <v>1E-3</v>
      </c>
      <c r="H9746" s="88">
        <v>0</v>
      </c>
      <c r="I9746" t="s">
        <v>4909</v>
      </c>
      <c r="J9746" t="s">
        <v>4909</v>
      </c>
      <c r="K9746" t="s">
        <v>4909</v>
      </c>
    </row>
    <row r="9747" spans="1:11" x14ac:dyDescent="0.2">
      <c r="A9747" t="s">
        <v>1899</v>
      </c>
      <c r="B9747" t="s">
        <v>4909</v>
      </c>
      <c r="C9747" t="s">
        <v>4909</v>
      </c>
      <c r="D9747" t="s">
        <v>4909</v>
      </c>
      <c r="E9747" t="s">
        <v>4909</v>
      </c>
      <c r="F9747" t="s">
        <v>4909</v>
      </c>
      <c r="G9747" t="s">
        <v>4909</v>
      </c>
      <c r="H9747" t="s">
        <v>4909</v>
      </c>
      <c r="I9747" t="s">
        <v>4909</v>
      </c>
      <c r="J9747" t="s">
        <v>4909</v>
      </c>
      <c r="K9747" t="s">
        <v>4909</v>
      </c>
    </row>
    <row r="9748" spans="1:11" x14ac:dyDescent="0.2">
      <c r="A9748" t="s">
        <v>1906</v>
      </c>
      <c r="B9748" t="s">
        <v>4909</v>
      </c>
      <c r="C9748" t="s">
        <v>4909</v>
      </c>
      <c r="D9748" t="s">
        <v>4909</v>
      </c>
      <c r="E9748" t="s">
        <v>4909</v>
      </c>
      <c r="F9748" t="s">
        <v>4909</v>
      </c>
      <c r="G9748" t="s">
        <v>4909</v>
      </c>
      <c r="H9748" t="s">
        <v>4909</v>
      </c>
      <c r="I9748" t="s">
        <v>4909</v>
      </c>
      <c r="J9748" t="s">
        <v>4909</v>
      </c>
      <c r="K9748" t="s">
        <v>4909</v>
      </c>
    </row>
    <row r="9749" spans="1:11" x14ac:dyDescent="0.2">
      <c r="A9749" t="s">
        <v>1911</v>
      </c>
      <c r="B9749" t="s">
        <v>4909</v>
      </c>
      <c r="C9749" t="s">
        <v>4909</v>
      </c>
      <c r="D9749" t="s">
        <v>4909</v>
      </c>
      <c r="E9749" t="s">
        <v>4909</v>
      </c>
      <c r="F9749" t="s">
        <v>4909</v>
      </c>
      <c r="G9749" t="s">
        <v>4909</v>
      </c>
      <c r="H9749" t="s">
        <v>4909</v>
      </c>
      <c r="I9749" t="s">
        <v>4909</v>
      </c>
      <c r="J9749" t="s">
        <v>4909</v>
      </c>
      <c r="K9749" t="s">
        <v>4909</v>
      </c>
    </row>
    <row r="9750" spans="1:11" x14ac:dyDescent="0.2">
      <c r="A9750" t="s">
        <v>1917</v>
      </c>
      <c r="B9750" t="s">
        <v>4909</v>
      </c>
      <c r="C9750" t="s">
        <v>4909</v>
      </c>
      <c r="D9750" t="s">
        <v>4909</v>
      </c>
      <c r="E9750" t="s">
        <v>4909</v>
      </c>
      <c r="F9750" t="s">
        <v>4909</v>
      </c>
      <c r="G9750" t="s">
        <v>4909</v>
      </c>
      <c r="H9750" t="s">
        <v>4909</v>
      </c>
      <c r="I9750" t="s">
        <v>4909</v>
      </c>
      <c r="J9750" t="s">
        <v>4909</v>
      </c>
      <c r="K9750" t="s">
        <v>4909</v>
      </c>
    </row>
    <row r="9751" spans="1:11" x14ac:dyDescent="0.2">
      <c r="A9751" t="s">
        <v>1922</v>
      </c>
      <c r="B9751" t="s">
        <v>4909</v>
      </c>
      <c r="C9751" t="s">
        <v>4909</v>
      </c>
      <c r="D9751" t="s">
        <v>4909</v>
      </c>
      <c r="E9751" t="s">
        <v>4909</v>
      </c>
      <c r="F9751" t="s">
        <v>4909</v>
      </c>
      <c r="G9751" t="s">
        <v>4909</v>
      </c>
      <c r="H9751" t="s">
        <v>4909</v>
      </c>
      <c r="I9751" t="s">
        <v>4909</v>
      </c>
      <c r="J9751" t="s">
        <v>4909</v>
      </c>
      <c r="K9751" t="s">
        <v>4909</v>
      </c>
    </row>
    <row r="9752" spans="1:11" x14ac:dyDescent="0.2">
      <c r="A9752" t="s">
        <v>1928</v>
      </c>
      <c r="B9752" t="s">
        <v>4909</v>
      </c>
      <c r="C9752" t="s">
        <v>4909</v>
      </c>
      <c r="D9752" t="s">
        <v>4909</v>
      </c>
      <c r="E9752" t="s">
        <v>4909</v>
      </c>
      <c r="F9752" t="s">
        <v>4909</v>
      </c>
      <c r="G9752" t="s">
        <v>4909</v>
      </c>
      <c r="H9752" t="s">
        <v>4909</v>
      </c>
      <c r="I9752" t="s">
        <v>4909</v>
      </c>
      <c r="J9752" t="s">
        <v>4909</v>
      </c>
      <c r="K9752" t="s">
        <v>4909</v>
      </c>
    </row>
    <row r="9753" spans="1:11" x14ac:dyDescent="0.2">
      <c r="A9753" t="s">
        <v>1932</v>
      </c>
      <c r="B9753" t="s">
        <v>4909</v>
      </c>
      <c r="C9753" t="s">
        <v>4909</v>
      </c>
      <c r="D9753" t="s">
        <v>4909</v>
      </c>
      <c r="E9753" t="s">
        <v>4909</v>
      </c>
      <c r="F9753" t="s">
        <v>4909</v>
      </c>
      <c r="G9753" t="s">
        <v>4909</v>
      </c>
      <c r="H9753" t="s">
        <v>4909</v>
      </c>
      <c r="I9753" t="s">
        <v>4909</v>
      </c>
      <c r="J9753" t="s">
        <v>4909</v>
      </c>
      <c r="K9753" t="s">
        <v>4909</v>
      </c>
    </row>
    <row r="9754" spans="1:11" x14ac:dyDescent="0.2">
      <c r="A9754" t="s">
        <v>1938</v>
      </c>
      <c r="B9754" t="s">
        <v>4909</v>
      </c>
      <c r="C9754" t="s">
        <v>4909</v>
      </c>
      <c r="D9754" t="s">
        <v>4909</v>
      </c>
      <c r="E9754" t="s">
        <v>4909</v>
      </c>
      <c r="F9754" t="s">
        <v>4909</v>
      </c>
      <c r="G9754" t="s">
        <v>4909</v>
      </c>
      <c r="H9754" t="s">
        <v>4909</v>
      </c>
      <c r="I9754" t="s">
        <v>4909</v>
      </c>
      <c r="J9754" t="s">
        <v>4909</v>
      </c>
      <c r="K9754" t="s">
        <v>4909</v>
      </c>
    </row>
    <row r="9755" spans="1:11" x14ac:dyDescent="0.2">
      <c r="A9755" t="s">
        <v>1944</v>
      </c>
      <c r="B9755" t="s">
        <v>4909</v>
      </c>
      <c r="C9755" t="s">
        <v>4909</v>
      </c>
      <c r="D9755" t="s">
        <v>4909</v>
      </c>
      <c r="E9755" t="s">
        <v>4909</v>
      </c>
      <c r="F9755" t="s">
        <v>4909</v>
      </c>
      <c r="G9755" t="s">
        <v>4909</v>
      </c>
      <c r="H9755" t="s">
        <v>4909</v>
      </c>
      <c r="I9755" t="s">
        <v>4909</v>
      </c>
      <c r="J9755" t="s">
        <v>4909</v>
      </c>
      <c r="K9755" t="s">
        <v>4909</v>
      </c>
    </row>
    <row r="9756" spans="1:11" x14ac:dyDescent="0.2">
      <c r="A9756" t="s">
        <v>1947</v>
      </c>
      <c r="B9756" t="s">
        <v>4909</v>
      </c>
      <c r="C9756" t="s">
        <v>4909</v>
      </c>
      <c r="D9756" t="s">
        <v>4909</v>
      </c>
      <c r="E9756" t="s">
        <v>4909</v>
      </c>
      <c r="F9756" t="s">
        <v>4909</v>
      </c>
      <c r="G9756" t="s">
        <v>4909</v>
      </c>
      <c r="H9756" t="s">
        <v>4909</v>
      </c>
      <c r="I9756" t="s">
        <v>4909</v>
      </c>
      <c r="J9756" t="s">
        <v>4909</v>
      </c>
      <c r="K9756" t="s">
        <v>4909</v>
      </c>
    </row>
    <row r="9757" spans="1:11" x14ac:dyDescent="0.2">
      <c r="A9757" t="s">
        <v>1953</v>
      </c>
      <c r="B9757" t="s">
        <v>4909</v>
      </c>
      <c r="C9757" t="s">
        <v>4909</v>
      </c>
      <c r="D9757" t="s">
        <v>4909</v>
      </c>
      <c r="E9757" t="s">
        <v>4909</v>
      </c>
      <c r="F9757" t="s">
        <v>4909</v>
      </c>
      <c r="G9757" s="88">
        <v>0</v>
      </c>
      <c r="H9757" t="s">
        <v>4909</v>
      </c>
      <c r="I9757" t="s">
        <v>4909</v>
      </c>
      <c r="J9757" t="s">
        <v>4909</v>
      </c>
      <c r="K9757" t="s">
        <v>4909</v>
      </c>
    </row>
    <row r="9758" spans="1:11" x14ac:dyDescent="0.2">
      <c r="A9758" t="s">
        <v>1958</v>
      </c>
      <c r="B9758" t="s">
        <v>4909</v>
      </c>
      <c r="C9758" t="s">
        <v>4909</v>
      </c>
      <c r="D9758" t="s">
        <v>4909</v>
      </c>
      <c r="E9758" t="s">
        <v>4909</v>
      </c>
      <c r="F9758" t="s">
        <v>4909</v>
      </c>
      <c r="G9758" t="s">
        <v>4909</v>
      </c>
      <c r="H9758" t="s">
        <v>4909</v>
      </c>
      <c r="I9758" t="s">
        <v>4909</v>
      </c>
      <c r="J9758" t="s">
        <v>4909</v>
      </c>
      <c r="K9758" t="s">
        <v>4909</v>
      </c>
    </row>
    <row r="9759" spans="1:11" x14ac:dyDescent="0.2">
      <c r="A9759" t="s">
        <v>1964</v>
      </c>
      <c r="B9759" t="s">
        <v>4909</v>
      </c>
      <c r="C9759" t="s">
        <v>4909</v>
      </c>
      <c r="D9759" t="s">
        <v>4909</v>
      </c>
      <c r="E9759" t="s">
        <v>4909</v>
      </c>
      <c r="F9759" t="s">
        <v>4909</v>
      </c>
      <c r="G9759" t="s">
        <v>4909</v>
      </c>
      <c r="H9759" t="s">
        <v>4909</v>
      </c>
      <c r="I9759" t="s">
        <v>4909</v>
      </c>
      <c r="J9759" t="s">
        <v>4909</v>
      </c>
      <c r="K9759" t="s">
        <v>4909</v>
      </c>
    </row>
    <row r="9760" spans="1:11" x14ac:dyDescent="0.2">
      <c r="A9760" t="s">
        <v>1973</v>
      </c>
      <c r="B9760" t="s">
        <v>4909</v>
      </c>
      <c r="C9760" t="s">
        <v>4909</v>
      </c>
      <c r="D9760" t="s">
        <v>4909</v>
      </c>
      <c r="E9760" t="s">
        <v>4909</v>
      </c>
      <c r="F9760" t="s">
        <v>4909</v>
      </c>
      <c r="G9760" t="s">
        <v>4909</v>
      </c>
      <c r="H9760" t="s">
        <v>4909</v>
      </c>
      <c r="I9760" t="s">
        <v>4909</v>
      </c>
      <c r="J9760" t="s">
        <v>4909</v>
      </c>
      <c r="K9760" t="s">
        <v>4909</v>
      </c>
    </row>
    <row r="9761" spans="1:11" x14ac:dyDescent="0.2">
      <c r="A9761" t="s">
        <v>1978</v>
      </c>
      <c r="B9761" t="s">
        <v>4909</v>
      </c>
      <c r="C9761" t="s">
        <v>4909</v>
      </c>
      <c r="D9761" t="s">
        <v>4909</v>
      </c>
      <c r="E9761" t="s">
        <v>4909</v>
      </c>
      <c r="F9761" t="s">
        <v>4909</v>
      </c>
      <c r="G9761" t="s">
        <v>4909</v>
      </c>
      <c r="H9761" t="s">
        <v>4909</v>
      </c>
      <c r="I9761" t="s">
        <v>4909</v>
      </c>
      <c r="J9761" t="s">
        <v>4909</v>
      </c>
      <c r="K9761" t="s">
        <v>4909</v>
      </c>
    </row>
    <row r="9762" spans="1:11" x14ac:dyDescent="0.2">
      <c r="A9762" t="s">
        <v>1983</v>
      </c>
      <c r="B9762" t="s">
        <v>4909</v>
      </c>
      <c r="C9762" t="s">
        <v>4909</v>
      </c>
      <c r="D9762" t="s">
        <v>4909</v>
      </c>
      <c r="E9762" t="s">
        <v>4909</v>
      </c>
      <c r="F9762" t="s">
        <v>4909</v>
      </c>
      <c r="G9762" t="s">
        <v>4909</v>
      </c>
      <c r="H9762" t="s">
        <v>4909</v>
      </c>
      <c r="I9762" t="s">
        <v>4909</v>
      </c>
      <c r="J9762" t="s">
        <v>4909</v>
      </c>
      <c r="K9762" t="s">
        <v>4909</v>
      </c>
    </row>
    <row r="9763" spans="1:11" x14ac:dyDescent="0.2">
      <c r="A9763" t="s">
        <v>1984</v>
      </c>
      <c r="B9763" t="s">
        <v>4909</v>
      </c>
      <c r="C9763" t="s">
        <v>4909</v>
      </c>
      <c r="D9763" t="s">
        <v>4909</v>
      </c>
      <c r="E9763" t="s">
        <v>4909</v>
      </c>
      <c r="F9763" t="s">
        <v>4909</v>
      </c>
      <c r="G9763" t="s">
        <v>4909</v>
      </c>
      <c r="H9763" t="s">
        <v>4909</v>
      </c>
      <c r="I9763" t="s">
        <v>4909</v>
      </c>
      <c r="J9763" t="s">
        <v>4909</v>
      </c>
      <c r="K9763" t="s">
        <v>4909</v>
      </c>
    </row>
    <row r="9764" spans="1:11" x14ac:dyDescent="0.2">
      <c r="A9764" t="s">
        <v>1990</v>
      </c>
      <c r="B9764" t="s">
        <v>4909</v>
      </c>
      <c r="C9764" t="s">
        <v>4909</v>
      </c>
      <c r="D9764" t="s">
        <v>4909</v>
      </c>
      <c r="E9764" t="s">
        <v>4909</v>
      </c>
      <c r="F9764" t="s">
        <v>4909</v>
      </c>
      <c r="G9764" t="s">
        <v>4909</v>
      </c>
      <c r="H9764" t="s">
        <v>4909</v>
      </c>
      <c r="I9764" t="s">
        <v>4909</v>
      </c>
      <c r="J9764" t="s">
        <v>4909</v>
      </c>
      <c r="K9764" t="s">
        <v>4909</v>
      </c>
    </row>
    <row r="9765" spans="1:11" x14ac:dyDescent="0.2">
      <c r="A9765" t="s">
        <v>1996</v>
      </c>
      <c r="B9765" t="s">
        <v>4909</v>
      </c>
      <c r="C9765" t="s">
        <v>4909</v>
      </c>
      <c r="D9765" t="s">
        <v>4909</v>
      </c>
      <c r="E9765" t="s">
        <v>4909</v>
      </c>
      <c r="F9765" t="s">
        <v>4909</v>
      </c>
      <c r="G9765" t="s">
        <v>4909</v>
      </c>
      <c r="H9765" t="s">
        <v>4909</v>
      </c>
      <c r="I9765" t="s">
        <v>4909</v>
      </c>
      <c r="J9765" t="s">
        <v>4909</v>
      </c>
      <c r="K9765" t="s">
        <v>4909</v>
      </c>
    </row>
    <row r="9766" spans="1:11" x14ac:dyDescent="0.2">
      <c r="A9766" t="s">
        <v>1998</v>
      </c>
      <c r="B9766" t="s">
        <v>4909</v>
      </c>
      <c r="C9766" t="s">
        <v>4909</v>
      </c>
      <c r="D9766" t="s">
        <v>4909</v>
      </c>
      <c r="E9766" t="s">
        <v>4909</v>
      </c>
      <c r="F9766" t="s">
        <v>4909</v>
      </c>
      <c r="G9766" t="s">
        <v>4909</v>
      </c>
      <c r="H9766" t="s">
        <v>4909</v>
      </c>
      <c r="I9766" t="s">
        <v>4909</v>
      </c>
      <c r="J9766" t="s">
        <v>4909</v>
      </c>
      <c r="K9766" t="s">
        <v>4909</v>
      </c>
    </row>
    <row r="9767" spans="1:11" x14ac:dyDescent="0.2">
      <c r="A9767" t="s">
        <v>1999</v>
      </c>
      <c r="B9767" t="s">
        <v>4909</v>
      </c>
      <c r="C9767" t="s">
        <v>4909</v>
      </c>
      <c r="D9767" t="s">
        <v>4909</v>
      </c>
      <c r="E9767" t="s">
        <v>4909</v>
      </c>
      <c r="F9767" t="s">
        <v>4909</v>
      </c>
      <c r="G9767" t="s">
        <v>4909</v>
      </c>
      <c r="H9767" t="s">
        <v>4909</v>
      </c>
      <c r="I9767" t="s">
        <v>4909</v>
      </c>
      <c r="J9767" t="s">
        <v>4909</v>
      </c>
      <c r="K9767" t="s">
        <v>4909</v>
      </c>
    </row>
    <row r="9768" spans="1:11" x14ac:dyDescent="0.2">
      <c r="A9768" t="s">
        <v>2004</v>
      </c>
      <c r="B9768" t="s">
        <v>4909</v>
      </c>
      <c r="C9768" t="s">
        <v>4909</v>
      </c>
      <c r="D9768" t="s">
        <v>4909</v>
      </c>
      <c r="E9768" t="s">
        <v>4909</v>
      </c>
      <c r="F9768" t="s">
        <v>4909</v>
      </c>
      <c r="G9768" t="s">
        <v>4909</v>
      </c>
      <c r="H9768" t="s">
        <v>4909</v>
      </c>
      <c r="I9768" t="s">
        <v>4909</v>
      </c>
      <c r="J9768" t="s">
        <v>4909</v>
      </c>
      <c r="K9768" t="s">
        <v>4909</v>
      </c>
    </row>
    <row r="9769" spans="1:11" x14ac:dyDescent="0.2">
      <c r="A9769" t="s">
        <v>2009</v>
      </c>
      <c r="B9769" t="s">
        <v>4909</v>
      </c>
      <c r="C9769" t="s">
        <v>4909</v>
      </c>
      <c r="D9769" t="s">
        <v>4909</v>
      </c>
      <c r="E9769" t="s">
        <v>4909</v>
      </c>
      <c r="F9769" t="s">
        <v>4909</v>
      </c>
      <c r="G9769" t="s">
        <v>4909</v>
      </c>
      <c r="H9769" t="s">
        <v>4909</v>
      </c>
      <c r="I9769" t="s">
        <v>4909</v>
      </c>
      <c r="J9769" t="s">
        <v>4909</v>
      </c>
      <c r="K9769" t="s">
        <v>4909</v>
      </c>
    </row>
    <row r="9770" spans="1:11" x14ac:dyDescent="0.2">
      <c r="A9770" t="s">
        <v>2014</v>
      </c>
      <c r="B9770" t="s">
        <v>4909</v>
      </c>
      <c r="C9770" t="s">
        <v>4909</v>
      </c>
      <c r="D9770" t="s">
        <v>4909</v>
      </c>
      <c r="E9770" t="s">
        <v>4909</v>
      </c>
      <c r="F9770" t="s">
        <v>4909</v>
      </c>
      <c r="G9770" t="s">
        <v>4909</v>
      </c>
      <c r="H9770" t="s">
        <v>4909</v>
      </c>
      <c r="I9770" t="s">
        <v>4909</v>
      </c>
      <c r="J9770" t="s">
        <v>4909</v>
      </c>
      <c r="K9770" t="s">
        <v>4909</v>
      </c>
    </row>
    <row r="9771" spans="1:11" x14ac:dyDescent="0.2">
      <c r="A9771" t="s">
        <v>2019</v>
      </c>
      <c r="B9771" t="s">
        <v>4909</v>
      </c>
      <c r="C9771" t="s">
        <v>4909</v>
      </c>
      <c r="D9771" t="s">
        <v>4909</v>
      </c>
      <c r="E9771" t="s">
        <v>4909</v>
      </c>
      <c r="F9771" t="s">
        <v>4909</v>
      </c>
      <c r="G9771" t="s">
        <v>4909</v>
      </c>
      <c r="H9771" t="s">
        <v>4909</v>
      </c>
      <c r="I9771" t="s">
        <v>4909</v>
      </c>
      <c r="J9771" t="s">
        <v>4909</v>
      </c>
      <c r="K9771" t="s">
        <v>4909</v>
      </c>
    </row>
    <row r="9772" spans="1:11" x14ac:dyDescent="0.2">
      <c r="A9772" t="s">
        <v>2023</v>
      </c>
      <c r="B9772" t="s">
        <v>4909</v>
      </c>
      <c r="C9772" t="s">
        <v>4909</v>
      </c>
      <c r="D9772" t="s">
        <v>4909</v>
      </c>
      <c r="E9772" t="s">
        <v>4909</v>
      </c>
      <c r="F9772" t="s">
        <v>4909</v>
      </c>
      <c r="G9772" t="s">
        <v>4909</v>
      </c>
      <c r="H9772" t="s">
        <v>4909</v>
      </c>
      <c r="I9772" t="s">
        <v>4909</v>
      </c>
      <c r="J9772" t="s">
        <v>4909</v>
      </c>
      <c r="K9772" t="s">
        <v>4909</v>
      </c>
    </row>
    <row r="9773" spans="1:11" x14ac:dyDescent="0.2">
      <c r="A9773" t="s">
        <v>2026</v>
      </c>
      <c r="B9773" t="s">
        <v>4909</v>
      </c>
      <c r="C9773" t="s">
        <v>4909</v>
      </c>
      <c r="D9773" t="s">
        <v>4909</v>
      </c>
      <c r="E9773" t="s">
        <v>4909</v>
      </c>
      <c r="F9773" t="s">
        <v>4909</v>
      </c>
      <c r="G9773" t="s">
        <v>4909</v>
      </c>
      <c r="H9773" t="s">
        <v>4909</v>
      </c>
      <c r="I9773" t="s">
        <v>4909</v>
      </c>
      <c r="J9773" t="s">
        <v>4909</v>
      </c>
      <c r="K9773" t="s">
        <v>4909</v>
      </c>
    </row>
    <row r="9774" spans="1:11" x14ac:dyDescent="0.2">
      <c r="A9774" t="s">
        <v>2030</v>
      </c>
      <c r="B9774" t="s">
        <v>4909</v>
      </c>
      <c r="C9774" t="s">
        <v>4909</v>
      </c>
      <c r="D9774" t="s">
        <v>4909</v>
      </c>
      <c r="E9774" t="s">
        <v>4909</v>
      </c>
      <c r="F9774" t="s">
        <v>4909</v>
      </c>
      <c r="G9774" t="s">
        <v>4909</v>
      </c>
      <c r="H9774" t="s">
        <v>4909</v>
      </c>
      <c r="I9774" t="s">
        <v>4909</v>
      </c>
      <c r="J9774" t="s">
        <v>4909</v>
      </c>
      <c r="K9774" t="s">
        <v>4909</v>
      </c>
    </row>
    <row r="9775" spans="1:11" x14ac:dyDescent="0.2">
      <c r="A9775" t="s">
        <v>2035</v>
      </c>
      <c r="B9775" t="s">
        <v>4909</v>
      </c>
      <c r="C9775" t="s">
        <v>4909</v>
      </c>
      <c r="D9775" t="s">
        <v>4909</v>
      </c>
      <c r="E9775" t="s">
        <v>4909</v>
      </c>
      <c r="F9775" t="s">
        <v>4909</v>
      </c>
      <c r="G9775" t="s">
        <v>4909</v>
      </c>
      <c r="H9775" t="s">
        <v>4909</v>
      </c>
      <c r="I9775" t="s">
        <v>4909</v>
      </c>
      <c r="J9775" t="s">
        <v>4909</v>
      </c>
      <c r="K9775" t="s">
        <v>4909</v>
      </c>
    </row>
    <row r="9776" spans="1:11" x14ac:dyDescent="0.2">
      <c r="A9776" t="s">
        <v>2040</v>
      </c>
      <c r="B9776" t="s">
        <v>4909</v>
      </c>
      <c r="C9776" t="s">
        <v>4909</v>
      </c>
      <c r="D9776" t="s">
        <v>4909</v>
      </c>
      <c r="E9776" t="s">
        <v>4909</v>
      </c>
      <c r="F9776" t="s">
        <v>4909</v>
      </c>
      <c r="G9776" t="s">
        <v>4909</v>
      </c>
      <c r="H9776" t="s">
        <v>4909</v>
      </c>
      <c r="I9776" t="s">
        <v>4909</v>
      </c>
      <c r="J9776" t="s">
        <v>4909</v>
      </c>
      <c r="K9776" t="s">
        <v>4909</v>
      </c>
    </row>
    <row r="9777" spans="1:11" x14ac:dyDescent="0.2">
      <c r="A9777" t="s">
        <v>2045</v>
      </c>
      <c r="B9777" t="s">
        <v>4909</v>
      </c>
      <c r="C9777" t="s">
        <v>4909</v>
      </c>
      <c r="D9777" t="s">
        <v>4909</v>
      </c>
      <c r="E9777" t="s">
        <v>4909</v>
      </c>
      <c r="F9777" t="s">
        <v>4909</v>
      </c>
      <c r="G9777" t="s">
        <v>4909</v>
      </c>
      <c r="H9777" t="s">
        <v>4909</v>
      </c>
      <c r="I9777" t="s">
        <v>4909</v>
      </c>
      <c r="J9777" t="s">
        <v>4909</v>
      </c>
      <c r="K9777" t="s">
        <v>4909</v>
      </c>
    </row>
    <row r="9778" spans="1:11" x14ac:dyDescent="0.2">
      <c r="A9778" t="s">
        <v>2049</v>
      </c>
      <c r="B9778" t="s">
        <v>4909</v>
      </c>
      <c r="C9778" t="s">
        <v>4909</v>
      </c>
      <c r="D9778" t="s">
        <v>4909</v>
      </c>
      <c r="E9778" t="s">
        <v>4909</v>
      </c>
      <c r="F9778" t="s">
        <v>4909</v>
      </c>
      <c r="G9778" t="s">
        <v>4909</v>
      </c>
      <c r="H9778" t="s">
        <v>4909</v>
      </c>
      <c r="I9778" t="s">
        <v>4909</v>
      </c>
      <c r="J9778" t="s">
        <v>4909</v>
      </c>
      <c r="K9778" t="s">
        <v>4909</v>
      </c>
    </row>
    <row r="9779" spans="1:11" x14ac:dyDescent="0.2">
      <c r="A9779" t="s">
        <v>2051</v>
      </c>
      <c r="B9779" t="s">
        <v>4909</v>
      </c>
      <c r="C9779" t="s">
        <v>4909</v>
      </c>
      <c r="D9779" t="s">
        <v>4909</v>
      </c>
      <c r="E9779" t="s">
        <v>4909</v>
      </c>
      <c r="F9779" t="s">
        <v>4909</v>
      </c>
      <c r="G9779" s="88">
        <v>0</v>
      </c>
      <c r="H9779" t="s">
        <v>4909</v>
      </c>
      <c r="I9779" t="s">
        <v>4909</v>
      </c>
      <c r="J9779" t="s">
        <v>4909</v>
      </c>
      <c r="K9779" t="s">
        <v>4909</v>
      </c>
    </row>
    <row r="9780" spans="1:11" x14ac:dyDescent="0.2">
      <c r="A9780" t="s">
        <v>2057</v>
      </c>
      <c r="B9780" t="s">
        <v>4909</v>
      </c>
      <c r="C9780" t="s">
        <v>4909</v>
      </c>
      <c r="D9780" t="s">
        <v>4909</v>
      </c>
      <c r="E9780" t="s">
        <v>4909</v>
      </c>
      <c r="F9780" t="s">
        <v>4909</v>
      </c>
      <c r="G9780" s="88">
        <v>0</v>
      </c>
      <c r="H9780" t="s">
        <v>4909</v>
      </c>
      <c r="I9780" t="s">
        <v>4909</v>
      </c>
      <c r="J9780" t="s">
        <v>4909</v>
      </c>
      <c r="K9780" t="s">
        <v>4909</v>
      </c>
    </row>
    <row r="9781" spans="1:11" x14ac:dyDescent="0.2">
      <c r="A9781" t="s">
        <v>4344</v>
      </c>
      <c r="B9781" t="s">
        <v>4909</v>
      </c>
      <c r="C9781" t="s">
        <v>4909</v>
      </c>
      <c r="D9781" t="s">
        <v>4909</v>
      </c>
      <c r="E9781" t="s">
        <v>4909</v>
      </c>
      <c r="F9781" t="s">
        <v>4909</v>
      </c>
      <c r="G9781" t="s">
        <v>4909</v>
      </c>
      <c r="H9781" t="s">
        <v>4909</v>
      </c>
      <c r="I9781" t="s">
        <v>4909</v>
      </c>
      <c r="J9781" t="s">
        <v>4909</v>
      </c>
      <c r="K9781" t="s">
        <v>4909</v>
      </c>
    </row>
    <row r="9782" spans="1:11" x14ac:dyDescent="0.2">
      <c r="A9782" t="s">
        <v>4345</v>
      </c>
      <c r="B9782" t="s">
        <v>4909</v>
      </c>
      <c r="C9782" t="s">
        <v>4909</v>
      </c>
      <c r="D9782" t="s">
        <v>4909</v>
      </c>
      <c r="E9782" t="s">
        <v>4909</v>
      </c>
      <c r="F9782" t="s">
        <v>4909</v>
      </c>
      <c r="G9782" t="s">
        <v>4909</v>
      </c>
      <c r="H9782" t="s">
        <v>4909</v>
      </c>
      <c r="I9782" t="s">
        <v>4909</v>
      </c>
      <c r="J9782" t="s">
        <v>4909</v>
      </c>
      <c r="K9782" t="s">
        <v>4909</v>
      </c>
    </row>
    <row r="9783" spans="1:11" x14ac:dyDescent="0.2">
      <c r="A9783" t="s">
        <v>2074</v>
      </c>
      <c r="B9783" t="s">
        <v>4909</v>
      </c>
      <c r="C9783" t="s">
        <v>4909</v>
      </c>
      <c r="D9783" t="s">
        <v>4909</v>
      </c>
      <c r="E9783" t="s">
        <v>4909</v>
      </c>
      <c r="F9783" t="s">
        <v>4909</v>
      </c>
      <c r="G9783" t="s">
        <v>4909</v>
      </c>
      <c r="H9783" t="s">
        <v>4909</v>
      </c>
      <c r="I9783" t="s">
        <v>4909</v>
      </c>
      <c r="J9783" t="s">
        <v>4909</v>
      </c>
      <c r="K9783" t="s">
        <v>4909</v>
      </c>
    </row>
    <row r="9784" spans="1:11" x14ac:dyDescent="0.2">
      <c r="A9784" t="s">
        <v>2079</v>
      </c>
      <c r="B9784" t="s">
        <v>4909</v>
      </c>
      <c r="C9784" t="s">
        <v>4909</v>
      </c>
      <c r="D9784" t="s">
        <v>4909</v>
      </c>
      <c r="E9784" t="s">
        <v>4909</v>
      </c>
      <c r="F9784" t="s">
        <v>4909</v>
      </c>
      <c r="G9784" t="s">
        <v>4909</v>
      </c>
      <c r="H9784" t="s">
        <v>4909</v>
      </c>
      <c r="I9784" t="s">
        <v>4909</v>
      </c>
      <c r="J9784" t="s">
        <v>4909</v>
      </c>
      <c r="K9784" t="s">
        <v>4909</v>
      </c>
    </row>
    <row r="9785" spans="1:11" x14ac:dyDescent="0.2">
      <c r="A9785" t="s">
        <v>2085</v>
      </c>
      <c r="B9785" t="s">
        <v>4909</v>
      </c>
      <c r="C9785" t="s">
        <v>4909</v>
      </c>
      <c r="D9785" t="s">
        <v>4909</v>
      </c>
      <c r="E9785" t="s">
        <v>4909</v>
      </c>
      <c r="F9785" t="s">
        <v>4909</v>
      </c>
      <c r="G9785" t="s">
        <v>4909</v>
      </c>
      <c r="H9785" t="s">
        <v>4909</v>
      </c>
      <c r="I9785" t="s">
        <v>4909</v>
      </c>
      <c r="J9785" t="s">
        <v>4909</v>
      </c>
      <c r="K9785" t="s">
        <v>4909</v>
      </c>
    </row>
    <row r="9786" spans="1:11" x14ac:dyDescent="0.2">
      <c r="A9786" t="s">
        <v>2091</v>
      </c>
      <c r="B9786" t="s">
        <v>4909</v>
      </c>
      <c r="C9786" t="s">
        <v>4909</v>
      </c>
      <c r="D9786" t="s">
        <v>4909</v>
      </c>
      <c r="E9786" t="s">
        <v>4909</v>
      </c>
      <c r="F9786" t="s">
        <v>4909</v>
      </c>
      <c r="G9786" t="s">
        <v>4909</v>
      </c>
      <c r="H9786" t="s">
        <v>4909</v>
      </c>
      <c r="I9786" t="s">
        <v>4909</v>
      </c>
      <c r="J9786" t="s">
        <v>4909</v>
      </c>
      <c r="K9786" t="s">
        <v>4909</v>
      </c>
    </row>
    <row r="9787" spans="1:11" x14ac:dyDescent="0.2">
      <c r="A9787" t="s">
        <v>2097</v>
      </c>
      <c r="B9787" t="s">
        <v>4909</v>
      </c>
      <c r="C9787" t="s">
        <v>4909</v>
      </c>
      <c r="D9787" t="s">
        <v>4909</v>
      </c>
      <c r="E9787" t="s">
        <v>4909</v>
      </c>
      <c r="F9787" t="s">
        <v>4909</v>
      </c>
      <c r="G9787" t="s">
        <v>4909</v>
      </c>
      <c r="H9787" t="s">
        <v>4909</v>
      </c>
      <c r="I9787" t="s">
        <v>4909</v>
      </c>
      <c r="J9787" t="s">
        <v>4909</v>
      </c>
      <c r="K9787" t="s">
        <v>4909</v>
      </c>
    </row>
    <row r="9788" spans="1:11" x14ac:dyDescent="0.2">
      <c r="A9788" t="s">
        <v>2101</v>
      </c>
      <c r="B9788" t="s">
        <v>4909</v>
      </c>
      <c r="C9788" t="s">
        <v>4909</v>
      </c>
      <c r="D9788" t="s">
        <v>4909</v>
      </c>
      <c r="E9788" t="s">
        <v>4909</v>
      </c>
      <c r="F9788" t="s">
        <v>4909</v>
      </c>
      <c r="G9788" t="s">
        <v>4909</v>
      </c>
      <c r="H9788" t="s">
        <v>4909</v>
      </c>
      <c r="I9788" t="s">
        <v>4909</v>
      </c>
      <c r="J9788" t="s">
        <v>4909</v>
      </c>
      <c r="K9788" t="s">
        <v>4909</v>
      </c>
    </row>
    <row r="9789" spans="1:11" x14ac:dyDescent="0.2">
      <c r="A9789" t="s">
        <v>2104</v>
      </c>
      <c r="B9789" t="s">
        <v>4909</v>
      </c>
      <c r="C9789" t="s">
        <v>4909</v>
      </c>
      <c r="D9789" t="s">
        <v>4909</v>
      </c>
      <c r="E9789" t="s">
        <v>4909</v>
      </c>
      <c r="F9789" t="s">
        <v>4909</v>
      </c>
      <c r="G9789" t="s">
        <v>4909</v>
      </c>
      <c r="H9789" t="s">
        <v>4909</v>
      </c>
      <c r="I9789" t="s">
        <v>4909</v>
      </c>
      <c r="J9789" t="s">
        <v>4909</v>
      </c>
      <c r="K9789" t="s">
        <v>4909</v>
      </c>
    </row>
    <row r="9790" spans="1:11" x14ac:dyDescent="0.2">
      <c r="A9790" t="s">
        <v>2107</v>
      </c>
      <c r="B9790" t="s">
        <v>4909</v>
      </c>
      <c r="C9790" t="s">
        <v>4909</v>
      </c>
      <c r="D9790" t="s">
        <v>4909</v>
      </c>
      <c r="E9790" t="s">
        <v>4909</v>
      </c>
      <c r="F9790" t="s">
        <v>4909</v>
      </c>
      <c r="G9790" t="s">
        <v>4909</v>
      </c>
      <c r="H9790" t="s">
        <v>4909</v>
      </c>
      <c r="I9790" t="s">
        <v>4909</v>
      </c>
      <c r="J9790" t="s">
        <v>4909</v>
      </c>
      <c r="K9790" t="s">
        <v>4909</v>
      </c>
    </row>
    <row r="9791" spans="1:11" x14ac:dyDescent="0.2">
      <c r="A9791" t="s">
        <v>2110</v>
      </c>
      <c r="B9791" t="s">
        <v>4909</v>
      </c>
      <c r="C9791" t="s">
        <v>4909</v>
      </c>
      <c r="D9791" t="s">
        <v>4909</v>
      </c>
      <c r="E9791" t="s">
        <v>4909</v>
      </c>
      <c r="F9791" t="s">
        <v>4909</v>
      </c>
      <c r="G9791" t="s">
        <v>4909</v>
      </c>
      <c r="H9791" t="s">
        <v>4909</v>
      </c>
      <c r="I9791" t="s">
        <v>4909</v>
      </c>
      <c r="J9791" t="s">
        <v>4909</v>
      </c>
      <c r="K9791" t="s">
        <v>4909</v>
      </c>
    </row>
    <row r="9792" spans="1:11" x14ac:dyDescent="0.2">
      <c r="A9792" t="s">
        <v>2113</v>
      </c>
      <c r="B9792" t="s">
        <v>4909</v>
      </c>
      <c r="C9792" t="s">
        <v>4909</v>
      </c>
      <c r="D9792" t="s">
        <v>4909</v>
      </c>
      <c r="E9792" t="s">
        <v>4909</v>
      </c>
      <c r="F9792" t="s">
        <v>4909</v>
      </c>
      <c r="G9792" t="s">
        <v>4909</v>
      </c>
      <c r="H9792" t="s">
        <v>4909</v>
      </c>
      <c r="I9792" t="s">
        <v>4909</v>
      </c>
      <c r="J9792" t="s">
        <v>4909</v>
      </c>
      <c r="K9792" t="s">
        <v>4909</v>
      </c>
    </row>
    <row r="9793" spans="1:11" x14ac:dyDescent="0.2">
      <c r="A9793" t="s">
        <v>4346</v>
      </c>
      <c r="B9793" t="s">
        <v>4909</v>
      </c>
      <c r="C9793" t="s">
        <v>4909</v>
      </c>
      <c r="D9793" t="s">
        <v>4909</v>
      </c>
      <c r="E9793" t="s">
        <v>4909</v>
      </c>
      <c r="F9793" t="s">
        <v>4909</v>
      </c>
      <c r="G9793" t="s">
        <v>4909</v>
      </c>
      <c r="H9793" t="s">
        <v>4909</v>
      </c>
      <c r="I9793" t="s">
        <v>4909</v>
      </c>
      <c r="J9793" t="s">
        <v>4909</v>
      </c>
      <c r="K9793" t="s">
        <v>4909</v>
      </c>
    </row>
    <row r="9794" spans="1:11" x14ac:dyDescent="0.2">
      <c r="A9794" t="s">
        <v>4347</v>
      </c>
      <c r="B9794" t="s">
        <v>4909</v>
      </c>
      <c r="C9794" t="s">
        <v>4909</v>
      </c>
      <c r="D9794" t="s">
        <v>4909</v>
      </c>
      <c r="E9794" t="s">
        <v>4909</v>
      </c>
      <c r="F9794" t="s">
        <v>4909</v>
      </c>
      <c r="G9794" t="s">
        <v>4909</v>
      </c>
      <c r="H9794" t="s">
        <v>4909</v>
      </c>
      <c r="I9794" t="s">
        <v>4909</v>
      </c>
      <c r="J9794" t="s">
        <v>4909</v>
      </c>
      <c r="K9794" t="s">
        <v>4909</v>
      </c>
    </row>
    <row r="9795" spans="1:11" x14ac:dyDescent="0.2">
      <c r="A9795" t="s">
        <v>4348</v>
      </c>
      <c r="B9795" t="s">
        <v>4909</v>
      </c>
      <c r="C9795" t="s">
        <v>4909</v>
      </c>
      <c r="D9795" t="s">
        <v>4909</v>
      </c>
      <c r="E9795" t="s">
        <v>4909</v>
      </c>
      <c r="F9795" s="88">
        <v>0.01</v>
      </c>
      <c r="G9795" s="88">
        <v>0.94799999999999995</v>
      </c>
      <c r="H9795" s="88">
        <v>0.03</v>
      </c>
      <c r="I9795" t="s">
        <v>4909</v>
      </c>
      <c r="J9795" t="s">
        <v>4909</v>
      </c>
      <c r="K9795" t="s">
        <v>4909</v>
      </c>
    </row>
    <row r="9796" spans="1:11" x14ac:dyDescent="0.2">
      <c r="A9796" t="s">
        <v>4349</v>
      </c>
      <c r="B9796" t="s">
        <v>4909</v>
      </c>
      <c r="C9796" t="s">
        <v>4909</v>
      </c>
      <c r="D9796" t="s">
        <v>4909</v>
      </c>
      <c r="E9796" t="s">
        <v>4909</v>
      </c>
      <c r="F9796" s="88">
        <v>0.01</v>
      </c>
      <c r="G9796" s="88">
        <v>0.13200000000000001</v>
      </c>
      <c r="H9796" s="88">
        <v>0.03</v>
      </c>
      <c r="I9796" t="s">
        <v>4909</v>
      </c>
      <c r="J9796" t="s">
        <v>4909</v>
      </c>
      <c r="K9796" t="s">
        <v>4909</v>
      </c>
    </row>
    <row r="9797" spans="1:11" x14ac:dyDescent="0.2">
      <c r="A9797" t="s">
        <v>4350</v>
      </c>
      <c r="B9797" s="88">
        <v>0</v>
      </c>
      <c r="C9797" s="88">
        <v>0</v>
      </c>
      <c r="D9797" s="88">
        <v>1E-3</v>
      </c>
      <c r="E9797" t="s">
        <v>4909</v>
      </c>
      <c r="F9797" s="88">
        <v>0</v>
      </c>
      <c r="G9797" s="88">
        <v>0</v>
      </c>
      <c r="H9797" s="88">
        <v>0</v>
      </c>
      <c r="I9797" t="s">
        <v>4909</v>
      </c>
      <c r="J9797" s="88">
        <v>0</v>
      </c>
      <c r="K9797" t="s">
        <v>4909</v>
      </c>
    </row>
    <row r="9798" spans="1:11" x14ac:dyDescent="0.2">
      <c r="A9798" t="s">
        <v>4351</v>
      </c>
      <c r="B9798" t="s">
        <v>4909</v>
      </c>
      <c r="C9798" t="s">
        <v>4909</v>
      </c>
      <c r="D9798" t="s">
        <v>4909</v>
      </c>
      <c r="E9798" t="s">
        <v>4909</v>
      </c>
      <c r="F9798" t="s">
        <v>4909</v>
      </c>
      <c r="G9798" t="s">
        <v>4909</v>
      </c>
      <c r="H9798" t="s">
        <v>4909</v>
      </c>
      <c r="I9798" t="s">
        <v>4909</v>
      </c>
      <c r="J9798" t="s">
        <v>4909</v>
      </c>
      <c r="K9798" t="s">
        <v>4909</v>
      </c>
    </row>
    <row r="9799" spans="1:11" x14ac:dyDescent="0.2">
      <c r="A9799" t="s">
        <v>4352</v>
      </c>
      <c r="B9799" t="s">
        <v>4909</v>
      </c>
      <c r="C9799" t="s">
        <v>4909</v>
      </c>
      <c r="D9799" t="s">
        <v>4909</v>
      </c>
      <c r="E9799" t="s">
        <v>4909</v>
      </c>
      <c r="F9799" t="s">
        <v>4909</v>
      </c>
      <c r="G9799" t="s">
        <v>4909</v>
      </c>
      <c r="H9799" t="s">
        <v>4909</v>
      </c>
      <c r="I9799" t="s">
        <v>4909</v>
      </c>
      <c r="J9799" t="s">
        <v>4909</v>
      </c>
      <c r="K9799" t="s">
        <v>4909</v>
      </c>
    </row>
    <row r="9800" spans="1:11" x14ac:dyDescent="0.2">
      <c r="A9800" t="s">
        <v>4353</v>
      </c>
      <c r="B9800" s="88">
        <v>2E-3</v>
      </c>
      <c r="C9800" s="88">
        <v>5.0000000000000001E-3</v>
      </c>
      <c r="D9800" s="88">
        <v>0.20799999999999999</v>
      </c>
      <c r="E9800" t="s">
        <v>4909</v>
      </c>
      <c r="F9800" s="88">
        <v>2E-3</v>
      </c>
      <c r="G9800" s="88">
        <v>4.9000000000000002E-2</v>
      </c>
      <c r="H9800" s="88">
        <v>8.0000000000000002E-3</v>
      </c>
      <c r="I9800" t="s">
        <v>4909</v>
      </c>
      <c r="J9800" t="s">
        <v>4909</v>
      </c>
      <c r="K9800" t="s">
        <v>4909</v>
      </c>
    </row>
    <row r="9801" spans="1:11" x14ac:dyDescent="0.2">
      <c r="A9801" t="s">
        <v>4354</v>
      </c>
      <c r="B9801" t="s">
        <v>4909</v>
      </c>
      <c r="C9801" s="88">
        <v>0</v>
      </c>
      <c r="D9801" s="88">
        <v>2.5999999999999999E-2</v>
      </c>
      <c r="E9801" t="s">
        <v>4909</v>
      </c>
      <c r="F9801" s="88">
        <v>3.0000000000000001E-3</v>
      </c>
      <c r="G9801" s="88">
        <v>6.5000000000000002E-2</v>
      </c>
      <c r="H9801" s="88">
        <v>0.01</v>
      </c>
      <c r="I9801" t="s">
        <v>4909</v>
      </c>
      <c r="J9801" s="88">
        <v>0</v>
      </c>
      <c r="K9801" t="s">
        <v>4909</v>
      </c>
    </row>
    <row r="9802" spans="1:11" x14ac:dyDescent="0.2">
      <c r="A9802" t="s">
        <v>4355</v>
      </c>
      <c r="B9802" t="s">
        <v>4909</v>
      </c>
      <c r="C9802" t="s">
        <v>4909</v>
      </c>
      <c r="D9802" t="s">
        <v>4909</v>
      </c>
      <c r="E9802" t="s">
        <v>4909</v>
      </c>
      <c r="F9802" t="s">
        <v>4909</v>
      </c>
      <c r="G9802" t="s">
        <v>4909</v>
      </c>
      <c r="H9802" t="s">
        <v>4909</v>
      </c>
      <c r="I9802" t="s">
        <v>4909</v>
      </c>
      <c r="J9802" t="s">
        <v>4909</v>
      </c>
      <c r="K9802" t="s">
        <v>4909</v>
      </c>
    </row>
    <row r="9803" spans="1:11" x14ac:dyDescent="0.2">
      <c r="A9803" t="s">
        <v>4356</v>
      </c>
      <c r="B9803" t="s">
        <v>4909</v>
      </c>
      <c r="C9803" t="s">
        <v>4909</v>
      </c>
      <c r="D9803" t="s">
        <v>4909</v>
      </c>
      <c r="E9803" t="s">
        <v>4909</v>
      </c>
      <c r="F9803" t="s">
        <v>4909</v>
      </c>
      <c r="G9803" t="s">
        <v>4909</v>
      </c>
      <c r="H9803" t="s">
        <v>4909</v>
      </c>
      <c r="I9803" t="s">
        <v>4909</v>
      </c>
      <c r="J9803" t="s">
        <v>4909</v>
      </c>
      <c r="K9803" t="s">
        <v>4909</v>
      </c>
    </row>
    <row r="9804" spans="1:11" x14ac:dyDescent="0.2">
      <c r="A9804" t="s">
        <v>4357</v>
      </c>
      <c r="B9804" t="s">
        <v>4909</v>
      </c>
      <c r="C9804" t="s">
        <v>4909</v>
      </c>
      <c r="D9804" s="88">
        <v>0</v>
      </c>
      <c r="E9804" t="s">
        <v>4909</v>
      </c>
      <c r="F9804" t="s">
        <v>4909</v>
      </c>
      <c r="G9804" t="s">
        <v>4909</v>
      </c>
      <c r="H9804" t="s">
        <v>4909</v>
      </c>
      <c r="I9804" t="s">
        <v>4909</v>
      </c>
      <c r="J9804" t="s">
        <v>4909</v>
      </c>
      <c r="K9804" t="s">
        <v>4909</v>
      </c>
    </row>
    <row r="9805" spans="1:11" x14ac:dyDescent="0.2">
      <c r="A9805" t="s">
        <v>4358</v>
      </c>
      <c r="B9805" t="s">
        <v>4909</v>
      </c>
      <c r="C9805" t="s">
        <v>4909</v>
      </c>
      <c r="D9805" s="88">
        <v>0</v>
      </c>
      <c r="E9805" t="s">
        <v>4909</v>
      </c>
      <c r="F9805" s="88">
        <v>0</v>
      </c>
      <c r="G9805" s="88">
        <v>1E-3</v>
      </c>
      <c r="H9805" s="88">
        <v>0</v>
      </c>
      <c r="I9805" t="s">
        <v>4909</v>
      </c>
      <c r="J9805" t="s">
        <v>4909</v>
      </c>
      <c r="K9805" t="s">
        <v>4909</v>
      </c>
    </row>
    <row r="9806" spans="1:11" x14ac:dyDescent="0.2">
      <c r="A9806" t="s">
        <v>4359</v>
      </c>
      <c r="B9806" s="88">
        <v>1.4E-2</v>
      </c>
      <c r="C9806" s="88">
        <v>-1.7999999999999999E-2</v>
      </c>
      <c r="D9806" s="88">
        <v>0.96899999999999997</v>
      </c>
      <c r="E9806" t="s">
        <v>4909</v>
      </c>
      <c r="F9806" t="s">
        <v>4909</v>
      </c>
      <c r="G9806" t="s">
        <v>4909</v>
      </c>
      <c r="H9806" t="s">
        <v>4909</v>
      </c>
      <c r="I9806" t="s">
        <v>4909</v>
      </c>
      <c r="J9806" t="s">
        <v>4909</v>
      </c>
      <c r="K9806" t="s">
        <v>4909</v>
      </c>
    </row>
    <row r="9807" spans="1:11" x14ac:dyDescent="0.2">
      <c r="A9807" t="s">
        <v>4360</v>
      </c>
      <c r="B9807" s="88">
        <v>1.0999999999999999E-2</v>
      </c>
      <c r="C9807" s="88">
        <v>1.7000000000000001E-2</v>
      </c>
      <c r="D9807" s="88">
        <v>0.78500000000000003</v>
      </c>
      <c r="E9807" t="s">
        <v>4909</v>
      </c>
      <c r="F9807" s="88">
        <v>0</v>
      </c>
      <c r="G9807" s="88">
        <v>6.0000000000000001E-3</v>
      </c>
      <c r="H9807" s="88">
        <v>1E-3</v>
      </c>
      <c r="I9807" t="s">
        <v>4909</v>
      </c>
      <c r="J9807" t="s">
        <v>4909</v>
      </c>
      <c r="K9807" t="s">
        <v>4909</v>
      </c>
    </row>
    <row r="9808" spans="1:11" x14ac:dyDescent="0.2">
      <c r="A9808" t="s">
        <v>4361</v>
      </c>
      <c r="B9808" s="88">
        <v>0</v>
      </c>
      <c r="C9808" s="88">
        <v>0</v>
      </c>
      <c r="D9808" s="88">
        <v>7.0000000000000001E-3</v>
      </c>
      <c r="E9808" t="s">
        <v>4909</v>
      </c>
      <c r="F9808" s="88">
        <v>8.0000000000000002E-3</v>
      </c>
      <c r="G9808" s="88">
        <v>0.112</v>
      </c>
      <c r="H9808" s="88">
        <v>2.5999999999999999E-2</v>
      </c>
      <c r="I9808" t="s">
        <v>4909</v>
      </c>
      <c r="J9808" s="88">
        <v>0</v>
      </c>
      <c r="K9808" s="88">
        <v>0</v>
      </c>
    </row>
    <row r="9809" spans="1:11" x14ac:dyDescent="0.2">
      <c r="A9809" t="s">
        <v>4362</v>
      </c>
      <c r="B9809" t="s">
        <v>4909</v>
      </c>
      <c r="C9809" t="s">
        <v>4909</v>
      </c>
      <c r="D9809" s="88">
        <v>1.0999999999999999E-2</v>
      </c>
      <c r="E9809" t="s">
        <v>4909</v>
      </c>
      <c r="F9809" s="88">
        <v>1.0999999999999999E-2</v>
      </c>
      <c r="G9809" s="88">
        <v>9.0999999999999998E-2</v>
      </c>
      <c r="H9809" s="88">
        <v>2.1999999999999999E-2</v>
      </c>
      <c r="I9809" t="s">
        <v>4909</v>
      </c>
      <c r="J9809" t="s">
        <v>4909</v>
      </c>
      <c r="K9809" t="s">
        <v>4909</v>
      </c>
    </row>
    <row r="9810" spans="1:11" x14ac:dyDescent="0.2">
      <c r="A9810" t="s">
        <v>4363</v>
      </c>
      <c r="B9810" t="s">
        <v>4909</v>
      </c>
      <c r="C9810" t="s">
        <v>4909</v>
      </c>
      <c r="D9810" t="s">
        <v>4909</v>
      </c>
      <c r="E9810" t="s">
        <v>4909</v>
      </c>
      <c r="F9810" s="88">
        <v>5.0999999999999997E-2</v>
      </c>
      <c r="G9810" s="88">
        <v>0.68500000000000005</v>
      </c>
      <c r="H9810" s="88">
        <v>0.17199999999999999</v>
      </c>
      <c r="I9810" t="s">
        <v>4909</v>
      </c>
      <c r="J9810" s="88">
        <v>1E-3</v>
      </c>
      <c r="K9810" t="s">
        <v>4909</v>
      </c>
    </row>
    <row r="9811" spans="1:11" x14ac:dyDescent="0.2">
      <c r="A9811" t="s">
        <v>4364</v>
      </c>
      <c r="B9811" t="s">
        <v>4909</v>
      </c>
      <c r="C9811" t="s">
        <v>4909</v>
      </c>
      <c r="D9811" t="s">
        <v>4909</v>
      </c>
      <c r="E9811" t="s">
        <v>4909</v>
      </c>
      <c r="F9811" t="s">
        <v>4909</v>
      </c>
      <c r="G9811" t="s">
        <v>4909</v>
      </c>
      <c r="H9811" t="s">
        <v>4909</v>
      </c>
      <c r="I9811" t="s">
        <v>4909</v>
      </c>
      <c r="J9811" t="s">
        <v>4909</v>
      </c>
      <c r="K9811" t="s">
        <v>4909</v>
      </c>
    </row>
    <row r="9812" spans="1:11" x14ac:dyDescent="0.2">
      <c r="A9812" t="s">
        <v>4365</v>
      </c>
      <c r="B9812" t="s">
        <v>4909</v>
      </c>
      <c r="C9812" s="88">
        <v>0</v>
      </c>
      <c r="D9812" s="88">
        <v>1E-3</v>
      </c>
      <c r="E9812" t="s">
        <v>4909</v>
      </c>
      <c r="F9812" s="88">
        <v>1E-3</v>
      </c>
      <c r="G9812" s="88">
        <v>0.19800000000000001</v>
      </c>
      <c r="H9812" s="88">
        <v>4.0000000000000001E-3</v>
      </c>
      <c r="I9812" t="s">
        <v>4909</v>
      </c>
      <c r="J9812" s="88">
        <v>0</v>
      </c>
      <c r="K9812" s="88">
        <v>0</v>
      </c>
    </row>
    <row r="9813" spans="1:11" x14ac:dyDescent="0.2">
      <c r="A9813" t="s">
        <v>4366</v>
      </c>
      <c r="B9813" t="s">
        <v>4909</v>
      </c>
      <c r="C9813" t="s">
        <v>4909</v>
      </c>
      <c r="D9813" t="s">
        <v>4909</v>
      </c>
      <c r="E9813" t="s">
        <v>4909</v>
      </c>
      <c r="F9813" t="s">
        <v>4909</v>
      </c>
      <c r="G9813" t="s">
        <v>4909</v>
      </c>
      <c r="H9813" t="s">
        <v>4909</v>
      </c>
      <c r="I9813" t="s">
        <v>4909</v>
      </c>
      <c r="J9813" t="s">
        <v>4909</v>
      </c>
      <c r="K9813" t="s">
        <v>4909</v>
      </c>
    </row>
    <row r="9814" spans="1:11" x14ac:dyDescent="0.2">
      <c r="A9814" t="s">
        <v>4367</v>
      </c>
      <c r="B9814" t="s">
        <v>4909</v>
      </c>
      <c r="C9814" t="s">
        <v>4909</v>
      </c>
      <c r="D9814" t="s">
        <v>4909</v>
      </c>
      <c r="E9814" t="s">
        <v>4909</v>
      </c>
      <c r="F9814" s="88">
        <v>0</v>
      </c>
      <c r="G9814" s="88">
        <v>3.4000000000000002E-2</v>
      </c>
      <c r="H9814" s="88">
        <v>0</v>
      </c>
      <c r="I9814" t="s">
        <v>4909</v>
      </c>
      <c r="J9814" s="88">
        <v>0</v>
      </c>
      <c r="K9814" s="88">
        <v>0</v>
      </c>
    </row>
    <row r="9815" spans="1:11" x14ac:dyDescent="0.2">
      <c r="A9815" t="s">
        <v>4368</v>
      </c>
      <c r="B9815" t="s">
        <v>4909</v>
      </c>
      <c r="C9815" s="88">
        <v>0</v>
      </c>
      <c r="D9815" s="88">
        <v>0</v>
      </c>
      <c r="E9815" t="s">
        <v>4909</v>
      </c>
      <c r="F9815" s="88">
        <v>1E-3</v>
      </c>
      <c r="G9815" s="88">
        <v>0.221</v>
      </c>
      <c r="H9815" s="88">
        <v>6.0000000000000001E-3</v>
      </c>
      <c r="I9815" t="s">
        <v>4909</v>
      </c>
      <c r="J9815" s="88">
        <v>0</v>
      </c>
      <c r="K9815" s="88">
        <v>0</v>
      </c>
    </row>
    <row r="9816" spans="1:11" x14ac:dyDescent="0.2">
      <c r="A9816" t="s">
        <v>4369</v>
      </c>
      <c r="B9816" s="88">
        <v>2E-3</v>
      </c>
      <c r="C9816" s="88">
        <v>2.7E-2</v>
      </c>
      <c r="D9816" s="88">
        <v>0.18099999999999999</v>
      </c>
      <c r="E9816" t="s">
        <v>4909</v>
      </c>
      <c r="F9816" s="88">
        <v>0</v>
      </c>
      <c r="G9816" s="88">
        <v>5.7000000000000002E-2</v>
      </c>
      <c r="H9816" s="88">
        <v>1E-3</v>
      </c>
      <c r="I9816" t="s">
        <v>4909</v>
      </c>
      <c r="J9816" s="88">
        <v>0</v>
      </c>
      <c r="K9816" s="88">
        <v>0</v>
      </c>
    </row>
    <row r="9817" spans="1:11" x14ac:dyDescent="0.2">
      <c r="A9817" t="s">
        <v>4370</v>
      </c>
      <c r="B9817" t="s">
        <v>4909</v>
      </c>
      <c r="C9817" t="s">
        <v>4909</v>
      </c>
      <c r="D9817" t="s">
        <v>4909</v>
      </c>
      <c r="E9817" t="s">
        <v>4909</v>
      </c>
      <c r="F9817" s="88">
        <v>4.0000000000000001E-3</v>
      </c>
      <c r="G9817" s="88">
        <v>0.52500000000000002</v>
      </c>
      <c r="H9817" s="88">
        <v>1.4E-2</v>
      </c>
      <c r="I9817" t="s">
        <v>4909</v>
      </c>
      <c r="J9817" t="s">
        <v>4909</v>
      </c>
      <c r="K9817" s="88">
        <v>0</v>
      </c>
    </row>
    <row r="9818" spans="1:11" x14ac:dyDescent="0.2">
      <c r="A9818" t="s">
        <v>4371</v>
      </c>
      <c r="B9818" t="s">
        <v>4909</v>
      </c>
      <c r="C9818" t="s">
        <v>4909</v>
      </c>
      <c r="D9818" t="s">
        <v>4909</v>
      </c>
      <c r="E9818" t="s">
        <v>4909</v>
      </c>
      <c r="F9818" s="88">
        <v>2E-3</v>
      </c>
      <c r="G9818" s="88">
        <v>0.39700000000000002</v>
      </c>
      <c r="H9818" s="88">
        <v>8.9999999999999993E-3</v>
      </c>
      <c r="I9818" t="s">
        <v>4909</v>
      </c>
      <c r="J9818" t="s">
        <v>4909</v>
      </c>
      <c r="K9818" t="s">
        <v>4909</v>
      </c>
    </row>
    <row r="9819" spans="1:11" x14ac:dyDescent="0.2">
      <c r="A9819" t="s">
        <v>4372</v>
      </c>
      <c r="B9819" t="s">
        <v>4909</v>
      </c>
      <c r="C9819" t="s">
        <v>4909</v>
      </c>
      <c r="D9819" t="s">
        <v>4909</v>
      </c>
      <c r="E9819" t="s">
        <v>4909</v>
      </c>
      <c r="F9819" t="s">
        <v>4909</v>
      </c>
      <c r="G9819" t="s">
        <v>4909</v>
      </c>
      <c r="H9819" t="s">
        <v>4909</v>
      </c>
      <c r="I9819" t="s">
        <v>4909</v>
      </c>
      <c r="J9819" t="s">
        <v>4909</v>
      </c>
      <c r="K9819" t="s">
        <v>4909</v>
      </c>
    </row>
    <row r="9820" spans="1:11" x14ac:dyDescent="0.2">
      <c r="A9820" t="s">
        <v>4373</v>
      </c>
      <c r="B9820" t="s">
        <v>4909</v>
      </c>
      <c r="C9820" t="s">
        <v>4909</v>
      </c>
      <c r="D9820" s="88">
        <v>0</v>
      </c>
      <c r="E9820" t="s">
        <v>4909</v>
      </c>
      <c r="F9820" t="s">
        <v>4909</v>
      </c>
      <c r="G9820" s="88">
        <v>0</v>
      </c>
      <c r="H9820" s="88">
        <v>0</v>
      </c>
      <c r="I9820" t="s">
        <v>4909</v>
      </c>
      <c r="J9820" t="s">
        <v>4909</v>
      </c>
      <c r="K9820" t="s">
        <v>4909</v>
      </c>
    </row>
    <row r="9821" spans="1:11" x14ac:dyDescent="0.2">
      <c r="A9821" t="s">
        <v>4374</v>
      </c>
      <c r="B9821" t="s">
        <v>4909</v>
      </c>
      <c r="C9821" t="s">
        <v>4909</v>
      </c>
      <c r="D9821" t="s">
        <v>4909</v>
      </c>
      <c r="E9821" t="s">
        <v>4909</v>
      </c>
      <c r="F9821" t="s">
        <v>4909</v>
      </c>
      <c r="G9821" s="88">
        <v>0</v>
      </c>
      <c r="H9821" t="s">
        <v>4909</v>
      </c>
      <c r="I9821" t="s">
        <v>4909</v>
      </c>
      <c r="J9821" t="s">
        <v>4909</v>
      </c>
      <c r="K9821" t="s">
        <v>4909</v>
      </c>
    </row>
    <row r="9822" spans="1:11" x14ac:dyDescent="0.2">
      <c r="A9822" t="s">
        <v>4375</v>
      </c>
      <c r="B9822" t="s">
        <v>4909</v>
      </c>
      <c r="C9822" t="s">
        <v>4909</v>
      </c>
      <c r="D9822" s="88">
        <v>0</v>
      </c>
      <c r="E9822" t="s">
        <v>4909</v>
      </c>
      <c r="F9822" s="88">
        <v>0</v>
      </c>
      <c r="G9822" s="88">
        <v>0</v>
      </c>
      <c r="H9822" s="88">
        <v>0</v>
      </c>
      <c r="I9822" t="s">
        <v>4909</v>
      </c>
      <c r="J9822" s="88">
        <v>0</v>
      </c>
      <c r="K9822" t="s">
        <v>4909</v>
      </c>
    </row>
    <row r="9823" spans="1:11" x14ac:dyDescent="0.2">
      <c r="A9823" t="s">
        <v>4376</v>
      </c>
      <c r="B9823" t="s">
        <v>4909</v>
      </c>
      <c r="C9823" t="s">
        <v>4909</v>
      </c>
      <c r="D9823" t="s">
        <v>4909</v>
      </c>
      <c r="E9823" t="s">
        <v>4909</v>
      </c>
      <c r="F9823" t="s">
        <v>4909</v>
      </c>
      <c r="G9823" s="88">
        <v>0</v>
      </c>
      <c r="H9823" t="s">
        <v>4909</v>
      </c>
      <c r="I9823" t="s">
        <v>4909</v>
      </c>
      <c r="J9823" t="s">
        <v>4909</v>
      </c>
      <c r="K9823" t="s">
        <v>4909</v>
      </c>
    </row>
    <row r="9824" spans="1:11" x14ac:dyDescent="0.2">
      <c r="A9824" t="s">
        <v>4377</v>
      </c>
      <c r="B9824" t="s">
        <v>4909</v>
      </c>
      <c r="C9824" t="s">
        <v>4909</v>
      </c>
      <c r="D9824" t="s">
        <v>4909</v>
      </c>
      <c r="E9824" t="s">
        <v>4909</v>
      </c>
      <c r="F9824" s="88">
        <v>0</v>
      </c>
      <c r="G9824" s="88">
        <v>0</v>
      </c>
      <c r="H9824" s="88">
        <v>0</v>
      </c>
      <c r="I9824" t="s">
        <v>4909</v>
      </c>
      <c r="J9824" t="s">
        <v>4909</v>
      </c>
      <c r="K9824" t="s">
        <v>4909</v>
      </c>
    </row>
    <row r="9825" spans="1:11" x14ac:dyDescent="0.2">
      <c r="A9825" t="s">
        <v>2318</v>
      </c>
      <c r="B9825" t="s">
        <v>4399</v>
      </c>
      <c r="C9825" t="s">
        <v>4399</v>
      </c>
      <c r="D9825" t="s">
        <v>4399</v>
      </c>
      <c r="E9825" t="s">
        <v>4399</v>
      </c>
      <c r="F9825" t="s">
        <v>4399</v>
      </c>
      <c r="G9825" t="s">
        <v>4399</v>
      </c>
      <c r="H9825" t="s">
        <v>4399</v>
      </c>
      <c r="I9825" t="s">
        <v>4399</v>
      </c>
      <c r="J9825" t="s">
        <v>4399</v>
      </c>
      <c r="K9825" t="s">
        <v>4399</v>
      </c>
    </row>
    <row r="9826" spans="1:11" x14ac:dyDescent="0.2">
      <c r="A9826" t="s">
        <v>4248</v>
      </c>
    </row>
    <row r="9827" spans="1:11" x14ac:dyDescent="0.2">
      <c r="A9827" t="s">
        <v>4910</v>
      </c>
      <c r="B9827" t="s">
        <v>4904</v>
      </c>
      <c r="C9827" t="s">
        <v>4911</v>
      </c>
      <c r="D9827" t="s">
        <v>4912</v>
      </c>
      <c r="E9827" t="s">
        <v>4907</v>
      </c>
      <c r="F9827" t="s">
        <v>4913</v>
      </c>
      <c r="G9827">
        <v>24</v>
      </c>
    </row>
    <row r="9828" spans="1:11" x14ac:dyDescent="0.2">
      <c r="A9828" t="s">
        <v>2318</v>
      </c>
      <c r="B9828" t="s">
        <v>4399</v>
      </c>
      <c r="C9828" t="s">
        <v>4399</v>
      </c>
      <c r="D9828" t="s">
        <v>4399</v>
      </c>
      <c r="E9828" t="s">
        <v>4399</v>
      </c>
      <c r="F9828" t="s">
        <v>4399</v>
      </c>
      <c r="G9828" t="s">
        <v>4399</v>
      </c>
      <c r="H9828" t="s">
        <v>4399</v>
      </c>
      <c r="I9828" t="s">
        <v>4399</v>
      </c>
      <c r="J9828" t="s">
        <v>4399</v>
      </c>
      <c r="K9828" t="s">
        <v>4399</v>
      </c>
    </row>
    <row r="9829" spans="1:11" x14ac:dyDescent="0.2">
      <c r="A9829" t="s">
        <v>126</v>
      </c>
      <c r="B9829" t="s">
        <v>4806</v>
      </c>
      <c r="C9829" t="s">
        <v>4810</v>
      </c>
      <c r="D9829" t="s">
        <v>4813</v>
      </c>
      <c r="E9829" t="s">
        <v>4816</v>
      </c>
      <c r="F9829" t="s">
        <v>4820</v>
      </c>
      <c r="G9829" t="s">
        <v>4824</v>
      </c>
      <c r="H9829" t="s">
        <v>4828</v>
      </c>
      <c r="I9829" t="s">
        <v>4832</v>
      </c>
      <c r="J9829" t="s">
        <v>4836</v>
      </c>
      <c r="K9829" t="s">
        <v>4840</v>
      </c>
    </row>
    <row r="9830" spans="1:11" x14ac:dyDescent="0.2">
      <c r="A9830" t="s">
        <v>2318</v>
      </c>
      <c r="B9830" t="s">
        <v>4399</v>
      </c>
      <c r="C9830" t="s">
        <v>4399</v>
      </c>
      <c r="D9830" t="s">
        <v>4399</v>
      </c>
      <c r="E9830" t="s">
        <v>4399</v>
      </c>
      <c r="F9830" t="s">
        <v>4399</v>
      </c>
      <c r="G9830" t="s">
        <v>4399</v>
      </c>
      <c r="H9830" t="s">
        <v>4399</v>
      </c>
      <c r="I9830" t="s">
        <v>4399</v>
      </c>
      <c r="J9830" t="s">
        <v>4399</v>
      </c>
      <c r="K9830" t="s">
        <v>4399</v>
      </c>
    </row>
    <row r="9831" spans="1:11" x14ac:dyDescent="0.2">
      <c r="A9831" t="s">
        <v>4265</v>
      </c>
      <c r="B9831" t="s">
        <v>4909</v>
      </c>
      <c r="C9831" t="s">
        <v>4909</v>
      </c>
      <c r="D9831" t="s">
        <v>4909</v>
      </c>
      <c r="E9831" t="s">
        <v>4909</v>
      </c>
      <c r="F9831" t="s">
        <v>4909</v>
      </c>
      <c r="G9831" t="s">
        <v>4909</v>
      </c>
      <c r="H9831" t="s">
        <v>4909</v>
      </c>
      <c r="I9831" t="s">
        <v>4909</v>
      </c>
      <c r="J9831" t="s">
        <v>4909</v>
      </c>
      <c r="K9831" t="s">
        <v>4909</v>
      </c>
    </row>
    <row r="9832" spans="1:11" x14ac:dyDescent="0.2">
      <c r="A9832" t="s">
        <v>4266</v>
      </c>
      <c r="B9832" t="s">
        <v>4909</v>
      </c>
      <c r="C9832" t="s">
        <v>4909</v>
      </c>
      <c r="D9832" t="s">
        <v>4909</v>
      </c>
      <c r="E9832" t="s">
        <v>4909</v>
      </c>
      <c r="F9832" t="s">
        <v>4909</v>
      </c>
      <c r="G9832" t="s">
        <v>4909</v>
      </c>
      <c r="H9832" t="s">
        <v>4909</v>
      </c>
      <c r="I9832" t="s">
        <v>4909</v>
      </c>
      <c r="J9832" t="s">
        <v>4909</v>
      </c>
      <c r="K9832" t="s">
        <v>4909</v>
      </c>
    </row>
    <row r="9833" spans="1:11" x14ac:dyDescent="0.2">
      <c r="A9833" t="s">
        <v>4267</v>
      </c>
      <c r="B9833" t="s">
        <v>4909</v>
      </c>
      <c r="C9833" t="s">
        <v>4909</v>
      </c>
      <c r="D9833" t="s">
        <v>4909</v>
      </c>
      <c r="E9833" t="s">
        <v>4909</v>
      </c>
      <c r="F9833" t="s">
        <v>4909</v>
      </c>
      <c r="G9833" t="s">
        <v>4909</v>
      </c>
      <c r="H9833" t="s">
        <v>4909</v>
      </c>
      <c r="I9833" t="s">
        <v>4909</v>
      </c>
      <c r="J9833" t="s">
        <v>4909</v>
      </c>
      <c r="K9833" t="s">
        <v>4909</v>
      </c>
    </row>
    <row r="9834" spans="1:11" x14ac:dyDescent="0.2">
      <c r="A9834" t="s">
        <v>4268</v>
      </c>
      <c r="B9834" t="s">
        <v>4909</v>
      </c>
      <c r="C9834" t="s">
        <v>4909</v>
      </c>
      <c r="D9834" t="s">
        <v>4909</v>
      </c>
      <c r="E9834" t="s">
        <v>4909</v>
      </c>
      <c r="F9834" t="s">
        <v>4909</v>
      </c>
      <c r="G9834" t="s">
        <v>4909</v>
      </c>
      <c r="H9834" t="s">
        <v>4909</v>
      </c>
      <c r="I9834" t="s">
        <v>4909</v>
      </c>
      <c r="J9834" t="s">
        <v>4909</v>
      </c>
      <c r="K9834" t="s">
        <v>4909</v>
      </c>
    </row>
    <row r="9835" spans="1:11" x14ac:dyDescent="0.2">
      <c r="A9835" t="s">
        <v>4269</v>
      </c>
      <c r="B9835" t="s">
        <v>4909</v>
      </c>
      <c r="C9835" t="s">
        <v>4909</v>
      </c>
      <c r="D9835" t="s">
        <v>4909</v>
      </c>
      <c r="E9835" t="s">
        <v>4909</v>
      </c>
      <c r="F9835" t="s">
        <v>4909</v>
      </c>
      <c r="G9835" t="s">
        <v>4909</v>
      </c>
      <c r="H9835" t="s">
        <v>4909</v>
      </c>
      <c r="I9835" t="s">
        <v>4909</v>
      </c>
      <c r="J9835" t="s">
        <v>4909</v>
      </c>
      <c r="K9835" t="s">
        <v>4909</v>
      </c>
    </row>
    <row r="9836" spans="1:11" x14ac:dyDescent="0.2">
      <c r="A9836" t="s">
        <v>4270</v>
      </c>
      <c r="B9836" t="s">
        <v>4909</v>
      </c>
      <c r="C9836" t="s">
        <v>4909</v>
      </c>
      <c r="D9836" t="s">
        <v>4909</v>
      </c>
      <c r="E9836" t="s">
        <v>4909</v>
      </c>
      <c r="F9836" t="s">
        <v>4909</v>
      </c>
      <c r="G9836" t="s">
        <v>4909</v>
      </c>
      <c r="H9836" t="s">
        <v>4909</v>
      </c>
      <c r="I9836" t="s">
        <v>4909</v>
      </c>
      <c r="J9836" t="s">
        <v>4909</v>
      </c>
      <c r="K9836" t="s">
        <v>4909</v>
      </c>
    </row>
    <row r="9837" spans="1:11" x14ac:dyDescent="0.2">
      <c r="A9837" t="s">
        <v>4271</v>
      </c>
      <c r="B9837" t="s">
        <v>4909</v>
      </c>
      <c r="C9837" t="s">
        <v>4909</v>
      </c>
      <c r="D9837" t="s">
        <v>4909</v>
      </c>
      <c r="E9837" t="s">
        <v>4909</v>
      </c>
      <c r="F9837" t="s">
        <v>4909</v>
      </c>
      <c r="G9837" t="s">
        <v>4909</v>
      </c>
      <c r="H9837" t="s">
        <v>4909</v>
      </c>
      <c r="I9837" t="s">
        <v>4909</v>
      </c>
      <c r="J9837" t="s">
        <v>4909</v>
      </c>
      <c r="K9837" t="s">
        <v>4909</v>
      </c>
    </row>
    <row r="9838" spans="1:11" x14ac:dyDescent="0.2">
      <c r="A9838" t="s">
        <v>4272</v>
      </c>
      <c r="B9838" t="s">
        <v>4909</v>
      </c>
      <c r="C9838" t="s">
        <v>4909</v>
      </c>
      <c r="D9838" t="s">
        <v>4909</v>
      </c>
      <c r="E9838" t="s">
        <v>4909</v>
      </c>
      <c r="F9838" t="s">
        <v>4909</v>
      </c>
      <c r="G9838" t="s">
        <v>4909</v>
      </c>
      <c r="H9838" t="s">
        <v>4909</v>
      </c>
      <c r="I9838" t="s">
        <v>4909</v>
      </c>
      <c r="J9838" t="s">
        <v>4909</v>
      </c>
      <c r="K9838" t="s">
        <v>4909</v>
      </c>
    </row>
    <row r="9839" spans="1:11" x14ac:dyDescent="0.2">
      <c r="A9839" t="s">
        <v>4273</v>
      </c>
      <c r="B9839" t="s">
        <v>4909</v>
      </c>
      <c r="C9839" t="s">
        <v>4909</v>
      </c>
      <c r="D9839" t="s">
        <v>4909</v>
      </c>
      <c r="E9839" t="s">
        <v>4909</v>
      </c>
      <c r="F9839" t="s">
        <v>4909</v>
      </c>
      <c r="G9839" t="s">
        <v>4909</v>
      </c>
      <c r="H9839" t="s">
        <v>4909</v>
      </c>
      <c r="I9839" t="s">
        <v>4909</v>
      </c>
      <c r="J9839" t="s">
        <v>4909</v>
      </c>
      <c r="K9839" t="s">
        <v>4909</v>
      </c>
    </row>
    <row r="9840" spans="1:11" x14ac:dyDescent="0.2">
      <c r="A9840" t="s">
        <v>4274</v>
      </c>
      <c r="B9840" t="s">
        <v>4909</v>
      </c>
      <c r="C9840" t="s">
        <v>4909</v>
      </c>
      <c r="D9840" t="s">
        <v>4909</v>
      </c>
      <c r="E9840" t="s">
        <v>4909</v>
      </c>
      <c r="F9840" t="s">
        <v>4909</v>
      </c>
      <c r="G9840" t="s">
        <v>4909</v>
      </c>
      <c r="H9840" t="s">
        <v>4909</v>
      </c>
      <c r="I9840" t="s">
        <v>4909</v>
      </c>
      <c r="J9840" t="s">
        <v>4909</v>
      </c>
      <c r="K9840" t="s">
        <v>4909</v>
      </c>
    </row>
    <row r="9841" spans="1:11" x14ac:dyDescent="0.2">
      <c r="A9841" t="s">
        <v>4275</v>
      </c>
      <c r="B9841" t="s">
        <v>4909</v>
      </c>
      <c r="C9841" t="s">
        <v>4909</v>
      </c>
      <c r="D9841" t="s">
        <v>4909</v>
      </c>
      <c r="E9841" t="s">
        <v>4909</v>
      </c>
      <c r="F9841" t="s">
        <v>4909</v>
      </c>
      <c r="G9841" t="s">
        <v>4909</v>
      </c>
      <c r="H9841" t="s">
        <v>4909</v>
      </c>
      <c r="I9841" t="s">
        <v>4909</v>
      </c>
      <c r="J9841" t="s">
        <v>4909</v>
      </c>
      <c r="K9841" t="s">
        <v>4909</v>
      </c>
    </row>
    <row r="9842" spans="1:11" x14ac:dyDescent="0.2">
      <c r="A9842" t="s">
        <v>4276</v>
      </c>
      <c r="B9842" t="s">
        <v>4909</v>
      </c>
      <c r="C9842" t="s">
        <v>4909</v>
      </c>
      <c r="D9842" t="s">
        <v>4909</v>
      </c>
      <c r="E9842" t="s">
        <v>4909</v>
      </c>
      <c r="F9842" t="s">
        <v>4909</v>
      </c>
      <c r="G9842" t="s">
        <v>4909</v>
      </c>
      <c r="H9842" t="s">
        <v>4909</v>
      </c>
      <c r="I9842" t="s">
        <v>4909</v>
      </c>
      <c r="J9842" t="s">
        <v>4909</v>
      </c>
      <c r="K9842" t="s">
        <v>4909</v>
      </c>
    </row>
    <row r="9843" spans="1:11" x14ac:dyDescent="0.2">
      <c r="A9843" t="s">
        <v>4277</v>
      </c>
      <c r="B9843" t="s">
        <v>4909</v>
      </c>
      <c r="C9843" t="s">
        <v>4909</v>
      </c>
      <c r="D9843" t="s">
        <v>4909</v>
      </c>
      <c r="E9843" t="s">
        <v>4909</v>
      </c>
      <c r="F9843" t="s">
        <v>4909</v>
      </c>
      <c r="G9843" t="s">
        <v>4909</v>
      </c>
      <c r="H9843" t="s">
        <v>4909</v>
      </c>
      <c r="I9843" t="s">
        <v>4909</v>
      </c>
      <c r="J9843" t="s">
        <v>4909</v>
      </c>
      <c r="K9843" t="s">
        <v>4909</v>
      </c>
    </row>
    <row r="9844" spans="1:11" x14ac:dyDescent="0.2">
      <c r="A9844" t="s">
        <v>4278</v>
      </c>
      <c r="B9844" t="s">
        <v>4909</v>
      </c>
      <c r="C9844" t="s">
        <v>4909</v>
      </c>
      <c r="D9844" t="s">
        <v>4909</v>
      </c>
      <c r="E9844" t="s">
        <v>4909</v>
      </c>
      <c r="F9844" t="s">
        <v>4909</v>
      </c>
      <c r="G9844" t="s">
        <v>4909</v>
      </c>
      <c r="H9844" t="s">
        <v>4909</v>
      </c>
      <c r="I9844" t="s">
        <v>4909</v>
      </c>
      <c r="J9844" t="s">
        <v>4909</v>
      </c>
      <c r="K9844" t="s">
        <v>4909</v>
      </c>
    </row>
    <row r="9845" spans="1:11" x14ac:dyDescent="0.2">
      <c r="A9845" t="s">
        <v>4279</v>
      </c>
      <c r="B9845" t="s">
        <v>4909</v>
      </c>
      <c r="C9845" t="s">
        <v>4909</v>
      </c>
      <c r="D9845" t="s">
        <v>4909</v>
      </c>
      <c r="E9845" t="s">
        <v>4909</v>
      </c>
      <c r="F9845" t="s">
        <v>4909</v>
      </c>
      <c r="G9845" t="s">
        <v>4909</v>
      </c>
      <c r="H9845" t="s">
        <v>4909</v>
      </c>
      <c r="I9845" t="s">
        <v>4909</v>
      </c>
      <c r="J9845" t="s">
        <v>4909</v>
      </c>
      <c r="K9845" t="s">
        <v>4909</v>
      </c>
    </row>
    <row r="9846" spans="1:11" x14ac:dyDescent="0.2">
      <c r="A9846" t="s">
        <v>4280</v>
      </c>
      <c r="B9846" t="s">
        <v>4909</v>
      </c>
      <c r="C9846" t="s">
        <v>4909</v>
      </c>
      <c r="D9846" t="s">
        <v>4909</v>
      </c>
      <c r="E9846" t="s">
        <v>4909</v>
      </c>
      <c r="F9846" t="s">
        <v>4909</v>
      </c>
      <c r="G9846" t="s">
        <v>4909</v>
      </c>
      <c r="H9846" t="s">
        <v>4909</v>
      </c>
      <c r="I9846" t="s">
        <v>4909</v>
      </c>
      <c r="J9846" t="s">
        <v>4909</v>
      </c>
      <c r="K9846" t="s">
        <v>4909</v>
      </c>
    </row>
    <row r="9847" spans="1:11" x14ac:dyDescent="0.2">
      <c r="A9847" t="s">
        <v>4281</v>
      </c>
      <c r="B9847" s="88">
        <v>0</v>
      </c>
      <c r="C9847" t="s">
        <v>4909</v>
      </c>
      <c r="D9847" t="s">
        <v>4909</v>
      </c>
      <c r="E9847" t="s">
        <v>4909</v>
      </c>
      <c r="F9847" t="s">
        <v>4909</v>
      </c>
      <c r="G9847" t="s">
        <v>4909</v>
      </c>
      <c r="H9847" t="s">
        <v>4909</v>
      </c>
      <c r="I9847" t="s">
        <v>4909</v>
      </c>
      <c r="J9847" t="s">
        <v>4909</v>
      </c>
      <c r="K9847" t="s">
        <v>4909</v>
      </c>
    </row>
    <row r="9848" spans="1:11" x14ac:dyDescent="0.2">
      <c r="A9848" t="s">
        <v>4282</v>
      </c>
      <c r="B9848" s="88">
        <v>1E-3</v>
      </c>
      <c r="C9848" t="s">
        <v>4909</v>
      </c>
      <c r="D9848" t="s">
        <v>4909</v>
      </c>
      <c r="E9848" t="s">
        <v>4909</v>
      </c>
      <c r="F9848" t="s">
        <v>4909</v>
      </c>
      <c r="G9848" t="s">
        <v>4909</v>
      </c>
      <c r="H9848" t="s">
        <v>4909</v>
      </c>
      <c r="I9848" t="s">
        <v>4909</v>
      </c>
      <c r="J9848" t="s">
        <v>4909</v>
      </c>
      <c r="K9848" t="s">
        <v>4909</v>
      </c>
    </row>
    <row r="9849" spans="1:11" x14ac:dyDescent="0.2">
      <c r="A9849" t="s">
        <v>4283</v>
      </c>
      <c r="B9849" t="s">
        <v>4909</v>
      </c>
      <c r="C9849" t="s">
        <v>4909</v>
      </c>
      <c r="D9849" t="s">
        <v>4909</v>
      </c>
      <c r="E9849" t="s">
        <v>4909</v>
      </c>
      <c r="F9849" t="s">
        <v>4909</v>
      </c>
      <c r="G9849" t="s">
        <v>4909</v>
      </c>
      <c r="H9849" t="s">
        <v>4909</v>
      </c>
      <c r="I9849" t="s">
        <v>4909</v>
      </c>
      <c r="J9849" t="s">
        <v>4909</v>
      </c>
      <c r="K9849" t="s">
        <v>4909</v>
      </c>
    </row>
    <row r="9850" spans="1:11" x14ac:dyDescent="0.2">
      <c r="A9850" t="s">
        <v>4284</v>
      </c>
      <c r="B9850" s="88">
        <v>0</v>
      </c>
      <c r="C9850" t="s">
        <v>4909</v>
      </c>
      <c r="D9850" t="s">
        <v>4909</v>
      </c>
      <c r="E9850" t="s">
        <v>4909</v>
      </c>
      <c r="F9850" t="s">
        <v>4909</v>
      </c>
      <c r="G9850" t="s">
        <v>4909</v>
      </c>
      <c r="H9850" t="s">
        <v>4909</v>
      </c>
      <c r="I9850" t="s">
        <v>4909</v>
      </c>
      <c r="J9850" t="s">
        <v>4909</v>
      </c>
      <c r="K9850" t="s">
        <v>4909</v>
      </c>
    </row>
    <row r="9851" spans="1:11" x14ac:dyDescent="0.2">
      <c r="A9851" t="s">
        <v>4285</v>
      </c>
      <c r="B9851" s="88">
        <v>0</v>
      </c>
      <c r="C9851" t="s">
        <v>4909</v>
      </c>
      <c r="D9851" t="s">
        <v>4909</v>
      </c>
      <c r="E9851" t="s">
        <v>4909</v>
      </c>
      <c r="F9851" t="s">
        <v>4909</v>
      </c>
      <c r="G9851" t="s">
        <v>4909</v>
      </c>
      <c r="H9851" t="s">
        <v>4909</v>
      </c>
      <c r="I9851" t="s">
        <v>4909</v>
      </c>
      <c r="J9851" t="s">
        <v>4909</v>
      </c>
      <c r="K9851" t="s">
        <v>4909</v>
      </c>
    </row>
    <row r="9852" spans="1:11" x14ac:dyDescent="0.2">
      <c r="A9852" t="s">
        <v>4286</v>
      </c>
      <c r="B9852" s="88">
        <v>4.0000000000000001E-3</v>
      </c>
      <c r="C9852" t="s">
        <v>4909</v>
      </c>
      <c r="D9852" t="s">
        <v>4909</v>
      </c>
      <c r="E9852" t="s">
        <v>4909</v>
      </c>
      <c r="F9852" t="s">
        <v>4909</v>
      </c>
      <c r="G9852" t="s">
        <v>4909</v>
      </c>
      <c r="H9852" t="s">
        <v>4909</v>
      </c>
      <c r="I9852" t="s">
        <v>4909</v>
      </c>
      <c r="J9852" t="s">
        <v>4909</v>
      </c>
      <c r="K9852" t="s">
        <v>4909</v>
      </c>
    </row>
    <row r="9853" spans="1:11" x14ac:dyDescent="0.2">
      <c r="A9853" t="s">
        <v>4287</v>
      </c>
      <c r="B9853" t="s">
        <v>4909</v>
      </c>
      <c r="C9853" t="s">
        <v>4909</v>
      </c>
      <c r="D9853" t="s">
        <v>4909</v>
      </c>
      <c r="E9853" t="s">
        <v>4909</v>
      </c>
      <c r="F9853" t="s">
        <v>4909</v>
      </c>
      <c r="G9853" t="s">
        <v>4909</v>
      </c>
      <c r="H9853" t="s">
        <v>4909</v>
      </c>
      <c r="I9853" t="s">
        <v>4909</v>
      </c>
      <c r="J9853" t="s">
        <v>4909</v>
      </c>
      <c r="K9853" t="s">
        <v>4909</v>
      </c>
    </row>
    <row r="9854" spans="1:11" x14ac:dyDescent="0.2">
      <c r="A9854" t="s">
        <v>4288</v>
      </c>
      <c r="B9854" t="s">
        <v>4909</v>
      </c>
      <c r="C9854" t="s">
        <v>4909</v>
      </c>
      <c r="D9854" t="s">
        <v>4909</v>
      </c>
      <c r="E9854" t="s">
        <v>4909</v>
      </c>
      <c r="F9854" t="s">
        <v>4909</v>
      </c>
      <c r="G9854" t="s">
        <v>4909</v>
      </c>
      <c r="H9854" t="s">
        <v>4909</v>
      </c>
      <c r="I9854" t="s">
        <v>4909</v>
      </c>
      <c r="J9854" t="s">
        <v>4909</v>
      </c>
      <c r="K9854" t="s">
        <v>4909</v>
      </c>
    </row>
    <row r="9855" spans="1:11" x14ac:dyDescent="0.2">
      <c r="A9855" t="s">
        <v>4289</v>
      </c>
      <c r="B9855" t="s">
        <v>4909</v>
      </c>
      <c r="C9855" t="s">
        <v>4909</v>
      </c>
      <c r="D9855" t="s">
        <v>4909</v>
      </c>
      <c r="E9855" t="s">
        <v>4909</v>
      </c>
      <c r="F9855" t="s">
        <v>4909</v>
      </c>
      <c r="G9855" t="s">
        <v>4909</v>
      </c>
      <c r="H9855" t="s">
        <v>4909</v>
      </c>
      <c r="I9855" t="s">
        <v>4909</v>
      </c>
      <c r="J9855" t="s">
        <v>4909</v>
      </c>
      <c r="K9855" t="s">
        <v>4909</v>
      </c>
    </row>
    <row r="9856" spans="1:11" x14ac:dyDescent="0.2">
      <c r="A9856" t="s">
        <v>4290</v>
      </c>
      <c r="B9856" t="s">
        <v>4909</v>
      </c>
      <c r="C9856" t="s">
        <v>4909</v>
      </c>
      <c r="D9856" t="s">
        <v>4909</v>
      </c>
      <c r="E9856" t="s">
        <v>4909</v>
      </c>
      <c r="F9856" t="s">
        <v>4909</v>
      </c>
      <c r="G9856" t="s">
        <v>4909</v>
      </c>
      <c r="H9856" t="s">
        <v>4909</v>
      </c>
      <c r="I9856" t="s">
        <v>4909</v>
      </c>
      <c r="J9856" t="s">
        <v>4909</v>
      </c>
      <c r="K9856" t="s">
        <v>4909</v>
      </c>
    </row>
    <row r="9857" spans="1:11" x14ac:dyDescent="0.2">
      <c r="A9857" t="s">
        <v>4291</v>
      </c>
      <c r="B9857" t="s">
        <v>4909</v>
      </c>
      <c r="C9857" t="s">
        <v>4909</v>
      </c>
      <c r="D9857" t="s">
        <v>4909</v>
      </c>
      <c r="E9857" t="s">
        <v>4909</v>
      </c>
      <c r="F9857" t="s">
        <v>4909</v>
      </c>
      <c r="G9857" t="s">
        <v>4909</v>
      </c>
      <c r="H9857" t="s">
        <v>4909</v>
      </c>
      <c r="I9857" t="s">
        <v>4909</v>
      </c>
      <c r="J9857" t="s">
        <v>4909</v>
      </c>
      <c r="K9857" t="s">
        <v>4909</v>
      </c>
    </row>
    <row r="9858" spans="1:11" x14ac:dyDescent="0.2">
      <c r="A9858" t="s">
        <v>4292</v>
      </c>
      <c r="B9858" t="s">
        <v>4909</v>
      </c>
      <c r="C9858" t="s">
        <v>4909</v>
      </c>
      <c r="D9858" t="s">
        <v>4909</v>
      </c>
      <c r="E9858" t="s">
        <v>4909</v>
      </c>
      <c r="F9858" t="s">
        <v>4909</v>
      </c>
      <c r="G9858" t="s">
        <v>4909</v>
      </c>
      <c r="H9858" t="s">
        <v>4909</v>
      </c>
      <c r="I9858" t="s">
        <v>4909</v>
      </c>
      <c r="J9858" t="s">
        <v>4909</v>
      </c>
      <c r="K9858" t="s">
        <v>4909</v>
      </c>
    </row>
    <row r="9859" spans="1:11" x14ac:dyDescent="0.2">
      <c r="A9859" t="s">
        <v>4293</v>
      </c>
      <c r="B9859" t="s">
        <v>4909</v>
      </c>
      <c r="C9859" t="s">
        <v>4909</v>
      </c>
      <c r="D9859" t="s">
        <v>4909</v>
      </c>
      <c r="E9859" t="s">
        <v>4909</v>
      </c>
      <c r="F9859" t="s">
        <v>4909</v>
      </c>
      <c r="G9859" t="s">
        <v>4909</v>
      </c>
      <c r="H9859" t="s">
        <v>4909</v>
      </c>
      <c r="I9859" t="s">
        <v>4909</v>
      </c>
      <c r="J9859" t="s">
        <v>4909</v>
      </c>
      <c r="K9859" t="s">
        <v>4909</v>
      </c>
    </row>
    <row r="9860" spans="1:11" x14ac:dyDescent="0.2">
      <c r="A9860" t="s">
        <v>4294</v>
      </c>
      <c r="B9860" t="s">
        <v>4909</v>
      </c>
      <c r="C9860" t="s">
        <v>4909</v>
      </c>
      <c r="D9860" t="s">
        <v>4909</v>
      </c>
      <c r="E9860" t="s">
        <v>4909</v>
      </c>
      <c r="F9860" t="s">
        <v>4909</v>
      </c>
      <c r="G9860" t="s">
        <v>4909</v>
      </c>
      <c r="H9860" t="s">
        <v>4909</v>
      </c>
      <c r="I9860" t="s">
        <v>4909</v>
      </c>
      <c r="J9860" t="s">
        <v>4909</v>
      </c>
      <c r="K9860" t="s">
        <v>4909</v>
      </c>
    </row>
    <row r="9861" spans="1:11" x14ac:dyDescent="0.2">
      <c r="A9861" t="s">
        <v>4295</v>
      </c>
      <c r="B9861" t="s">
        <v>4909</v>
      </c>
      <c r="C9861" t="s">
        <v>4909</v>
      </c>
      <c r="D9861" t="s">
        <v>4909</v>
      </c>
      <c r="E9861" t="s">
        <v>4909</v>
      </c>
      <c r="F9861" t="s">
        <v>4909</v>
      </c>
      <c r="G9861" t="s">
        <v>4909</v>
      </c>
      <c r="H9861" t="s">
        <v>4909</v>
      </c>
      <c r="I9861" t="s">
        <v>4909</v>
      </c>
      <c r="J9861" t="s">
        <v>4909</v>
      </c>
      <c r="K9861" t="s">
        <v>4909</v>
      </c>
    </row>
    <row r="9862" spans="1:11" x14ac:dyDescent="0.2">
      <c r="A9862" t="s">
        <v>4296</v>
      </c>
      <c r="B9862" t="s">
        <v>4909</v>
      </c>
      <c r="C9862" t="s">
        <v>4909</v>
      </c>
      <c r="D9862" t="s">
        <v>4909</v>
      </c>
      <c r="E9862" t="s">
        <v>4909</v>
      </c>
      <c r="F9862" t="s">
        <v>4909</v>
      </c>
      <c r="G9862" t="s">
        <v>4909</v>
      </c>
      <c r="H9862" t="s">
        <v>4909</v>
      </c>
      <c r="I9862" t="s">
        <v>4909</v>
      </c>
      <c r="J9862" t="s">
        <v>4909</v>
      </c>
      <c r="K9862" t="s">
        <v>4909</v>
      </c>
    </row>
    <row r="9863" spans="1:11" x14ac:dyDescent="0.2">
      <c r="A9863" t="s">
        <v>4297</v>
      </c>
      <c r="B9863" s="88">
        <v>0</v>
      </c>
      <c r="C9863" t="s">
        <v>4909</v>
      </c>
      <c r="D9863" t="s">
        <v>4909</v>
      </c>
      <c r="E9863" t="s">
        <v>4909</v>
      </c>
      <c r="F9863" t="s">
        <v>4909</v>
      </c>
      <c r="G9863" t="s">
        <v>4909</v>
      </c>
      <c r="H9863" t="s">
        <v>4909</v>
      </c>
      <c r="I9863" t="s">
        <v>4909</v>
      </c>
      <c r="J9863" t="s">
        <v>4909</v>
      </c>
      <c r="K9863" t="s">
        <v>4909</v>
      </c>
    </row>
    <row r="9864" spans="1:11" x14ac:dyDescent="0.2">
      <c r="A9864" t="s">
        <v>4298</v>
      </c>
      <c r="B9864" s="88">
        <v>0</v>
      </c>
      <c r="C9864" t="s">
        <v>4909</v>
      </c>
      <c r="D9864" t="s">
        <v>4909</v>
      </c>
      <c r="E9864" t="s">
        <v>4909</v>
      </c>
      <c r="F9864" t="s">
        <v>4909</v>
      </c>
      <c r="G9864" t="s">
        <v>4909</v>
      </c>
      <c r="H9864" t="s">
        <v>4909</v>
      </c>
      <c r="I9864" t="s">
        <v>4909</v>
      </c>
      <c r="J9864" t="s">
        <v>4909</v>
      </c>
      <c r="K9864" t="s">
        <v>4909</v>
      </c>
    </row>
    <row r="9865" spans="1:11" x14ac:dyDescent="0.2">
      <c r="A9865" t="s">
        <v>4299</v>
      </c>
      <c r="B9865" s="88">
        <v>3.0000000000000001E-3</v>
      </c>
      <c r="C9865" t="s">
        <v>4909</v>
      </c>
      <c r="D9865" t="s">
        <v>4909</v>
      </c>
      <c r="E9865" t="s">
        <v>4909</v>
      </c>
      <c r="F9865" t="s">
        <v>4909</v>
      </c>
      <c r="G9865" t="s">
        <v>4909</v>
      </c>
      <c r="H9865" t="s">
        <v>4909</v>
      </c>
      <c r="I9865" t="s">
        <v>4909</v>
      </c>
      <c r="J9865" t="s">
        <v>4909</v>
      </c>
      <c r="K9865" t="s">
        <v>4909</v>
      </c>
    </row>
    <row r="9866" spans="1:11" x14ac:dyDescent="0.2">
      <c r="A9866" t="s">
        <v>4300</v>
      </c>
      <c r="B9866" s="88">
        <v>5.0000000000000001E-3</v>
      </c>
      <c r="C9866" t="s">
        <v>4909</v>
      </c>
      <c r="D9866" t="s">
        <v>4909</v>
      </c>
      <c r="E9866" t="s">
        <v>4909</v>
      </c>
      <c r="F9866" t="s">
        <v>4909</v>
      </c>
      <c r="G9866" t="s">
        <v>4909</v>
      </c>
      <c r="H9866" t="s">
        <v>4909</v>
      </c>
      <c r="I9866" t="s">
        <v>4909</v>
      </c>
      <c r="J9866" t="s">
        <v>4909</v>
      </c>
      <c r="K9866" t="s">
        <v>4909</v>
      </c>
    </row>
    <row r="9867" spans="1:11" x14ac:dyDescent="0.2">
      <c r="A9867" t="s">
        <v>4301</v>
      </c>
      <c r="B9867" s="88">
        <v>1E-3</v>
      </c>
      <c r="C9867" t="s">
        <v>4909</v>
      </c>
      <c r="D9867" t="s">
        <v>4909</v>
      </c>
      <c r="E9867" t="s">
        <v>4909</v>
      </c>
      <c r="F9867" t="s">
        <v>4909</v>
      </c>
      <c r="G9867" t="s">
        <v>4909</v>
      </c>
      <c r="H9867" t="s">
        <v>4909</v>
      </c>
      <c r="I9867" t="s">
        <v>4909</v>
      </c>
      <c r="J9867" t="s">
        <v>4909</v>
      </c>
      <c r="K9867" t="s">
        <v>4909</v>
      </c>
    </row>
    <row r="9868" spans="1:11" x14ac:dyDescent="0.2">
      <c r="A9868" t="s">
        <v>4302</v>
      </c>
      <c r="B9868" s="88">
        <v>5.0000000000000001E-3</v>
      </c>
      <c r="C9868" t="s">
        <v>4909</v>
      </c>
      <c r="D9868" t="s">
        <v>4909</v>
      </c>
      <c r="E9868" t="s">
        <v>4909</v>
      </c>
      <c r="F9868" t="s">
        <v>4909</v>
      </c>
      <c r="G9868" t="s">
        <v>4909</v>
      </c>
      <c r="H9868" t="s">
        <v>4909</v>
      </c>
      <c r="I9868" t="s">
        <v>4909</v>
      </c>
      <c r="J9868" t="s">
        <v>4909</v>
      </c>
      <c r="K9868" t="s">
        <v>4909</v>
      </c>
    </row>
    <row r="9869" spans="1:11" x14ac:dyDescent="0.2">
      <c r="A9869" t="s">
        <v>4303</v>
      </c>
      <c r="B9869" s="88">
        <v>8.9999999999999993E-3</v>
      </c>
      <c r="C9869" t="s">
        <v>4909</v>
      </c>
      <c r="D9869" t="s">
        <v>4909</v>
      </c>
      <c r="E9869" t="s">
        <v>4909</v>
      </c>
      <c r="F9869" t="s">
        <v>4909</v>
      </c>
      <c r="G9869" t="s">
        <v>4909</v>
      </c>
      <c r="H9869" t="s">
        <v>4909</v>
      </c>
      <c r="I9869" t="s">
        <v>4909</v>
      </c>
      <c r="J9869" t="s">
        <v>4909</v>
      </c>
      <c r="K9869" t="s">
        <v>4909</v>
      </c>
    </row>
    <row r="9870" spans="1:11" x14ac:dyDescent="0.2">
      <c r="A9870" t="s">
        <v>4304</v>
      </c>
      <c r="B9870" s="88">
        <v>2E-3</v>
      </c>
      <c r="C9870" t="s">
        <v>4909</v>
      </c>
      <c r="D9870" t="s">
        <v>4909</v>
      </c>
      <c r="E9870" t="s">
        <v>4909</v>
      </c>
      <c r="F9870" t="s">
        <v>4909</v>
      </c>
      <c r="G9870" t="s">
        <v>4909</v>
      </c>
      <c r="H9870" t="s">
        <v>4909</v>
      </c>
      <c r="I9870" t="s">
        <v>4909</v>
      </c>
      <c r="J9870" t="s">
        <v>4909</v>
      </c>
      <c r="K9870" t="s">
        <v>4909</v>
      </c>
    </row>
    <row r="9871" spans="1:11" x14ac:dyDescent="0.2">
      <c r="A9871" t="s">
        <v>4305</v>
      </c>
      <c r="B9871" s="88">
        <v>6.0000000000000001E-3</v>
      </c>
      <c r="C9871" t="s">
        <v>4909</v>
      </c>
      <c r="D9871" t="s">
        <v>4909</v>
      </c>
      <c r="E9871" t="s">
        <v>4909</v>
      </c>
      <c r="F9871" t="s">
        <v>4909</v>
      </c>
      <c r="G9871" t="s">
        <v>4909</v>
      </c>
      <c r="H9871" t="s">
        <v>4909</v>
      </c>
      <c r="I9871" t="s">
        <v>4909</v>
      </c>
      <c r="J9871" t="s">
        <v>4909</v>
      </c>
      <c r="K9871" t="s">
        <v>4909</v>
      </c>
    </row>
    <row r="9872" spans="1:11" x14ac:dyDescent="0.2">
      <c r="A9872" t="s">
        <v>4306</v>
      </c>
      <c r="B9872" s="88">
        <v>8.9999999999999993E-3</v>
      </c>
      <c r="C9872" t="s">
        <v>4909</v>
      </c>
      <c r="D9872" t="s">
        <v>4909</v>
      </c>
      <c r="E9872" t="s">
        <v>4909</v>
      </c>
      <c r="F9872" t="s">
        <v>4909</v>
      </c>
      <c r="G9872" t="s">
        <v>4909</v>
      </c>
      <c r="H9872" t="s">
        <v>4909</v>
      </c>
      <c r="I9872" t="s">
        <v>4909</v>
      </c>
      <c r="J9872" t="s">
        <v>4909</v>
      </c>
      <c r="K9872" t="s">
        <v>4909</v>
      </c>
    </row>
    <row r="9873" spans="1:11" x14ac:dyDescent="0.2">
      <c r="A9873" t="s">
        <v>4307</v>
      </c>
      <c r="B9873" s="88">
        <v>1.6E-2</v>
      </c>
      <c r="C9873" t="s">
        <v>4909</v>
      </c>
      <c r="D9873" t="s">
        <v>4909</v>
      </c>
      <c r="E9873" t="s">
        <v>4909</v>
      </c>
      <c r="F9873" t="s">
        <v>4909</v>
      </c>
      <c r="G9873" t="s">
        <v>4909</v>
      </c>
      <c r="H9873" t="s">
        <v>4909</v>
      </c>
      <c r="I9873" t="s">
        <v>4909</v>
      </c>
      <c r="J9873" t="s">
        <v>4909</v>
      </c>
      <c r="K9873" t="s">
        <v>4909</v>
      </c>
    </row>
    <row r="9874" spans="1:11" x14ac:dyDescent="0.2">
      <c r="A9874" t="s">
        <v>4308</v>
      </c>
      <c r="B9874" s="88">
        <v>1E-3</v>
      </c>
      <c r="C9874" t="s">
        <v>4909</v>
      </c>
      <c r="D9874" t="s">
        <v>4909</v>
      </c>
      <c r="E9874" t="s">
        <v>4909</v>
      </c>
      <c r="F9874" t="s">
        <v>4909</v>
      </c>
      <c r="G9874" t="s">
        <v>4909</v>
      </c>
      <c r="H9874" t="s">
        <v>4909</v>
      </c>
      <c r="I9874" t="s">
        <v>4909</v>
      </c>
      <c r="J9874" t="s">
        <v>4909</v>
      </c>
      <c r="K9874" t="s">
        <v>4909</v>
      </c>
    </row>
    <row r="9875" spans="1:11" x14ac:dyDescent="0.2">
      <c r="A9875" t="s">
        <v>4309</v>
      </c>
      <c r="B9875" t="s">
        <v>4909</v>
      </c>
      <c r="C9875" t="s">
        <v>4909</v>
      </c>
      <c r="D9875" t="s">
        <v>4909</v>
      </c>
      <c r="E9875" t="s">
        <v>4909</v>
      </c>
      <c r="F9875" t="s">
        <v>4909</v>
      </c>
      <c r="G9875" t="s">
        <v>4909</v>
      </c>
      <c r="H9875" t="s">
        <v>4909</v>
      </c>
      <c r="I9875" t="s">
        <v>4909</v>
      </c>
      <c r="J9875" t="s">
        <v>4909</v>
      </c>
      <c r="K9875" t="s">
        <v>4909</v>
      </c>
    </row>
    <row r="9876" spans="1:11" x14ac:dyDescent="0.2">
      <c r="A9876" t="s">
        <v>4310</v>
      </c>
      <c r="B9876" t="s">
        <v>4909</v>
      </c>
      <c r="C9876" t="s">
        <v>4909</v>
      </c>
      <c r="D9876" t="s">
        <v>4909</v>
      </c>
      <c r="E9876" t="s">
        <v>4909</v>
      </c>
      <c r="F9876" t="s">
        <v>4909</v>
      </c>
      <c r="G9876" t="s">
        <v>4909</v>
      </c>
      <c r="H9876" t="s">
        <v>4909</v>
      </c>
      <c r="I9876" t="s">
        <v>4909</v>
      </c>
      <c r="J9876" t="s">
        <v>4909</v>
      </c>
      <c r="K9876" t="s">
        <v>4909</v>
      </c>
    </row>
    <row r="9877" spans="1:11" x14ac:dyDescent="0.2">
      <c r="A9877" t="s">
        <v>4311</v>
      </c>
      <c r="B9877" t="s">
        <v>4909</v>
      </c>
      <c r="C9877" t="s">
        <v>4909</v>
      </c>
      <c r="D9877" t="s">
        <v>4909</v>
      </c>
      <c r="E9877" t="s">
        <v>4909</v>
      </c>
      <c r="F9877" t="s">
        <v>4909</v>
      </c>
      <c r="G9877" t="s">
        <v>4909</v>
      </c>
      <c r="H9877" t="s">
        <v>4909</v>
      </c>
      <c r="I9877" t="s">
        <v>4909</v>
      </c>
      <c r="J9877" t="s">
        <v>4909</v>
      </c>
      <c r="K9877" t="s">
        <v>4909</v>
      </c>
    </row>
    <row r="9878" spans="1:11" x14ac:dyDescent="0.2">
      <c r="A9878" t="s">
        <v>4312</v>
      </c>
      <c r="B9878" t="s">
        <v>4909</v>
      </c>
      <c r="C9878" t="s">
        <v>4909</v>
      </c>
      <c r="D9878" t="s">
        <v>4909</v>
      </c>
      <c r="E9878" t="s">
        <v>4909</v>
      </c>
      <c r="F9878" t="s">
        <v>4909</v>
      </c>
      <c r="G9878" t="s">
        <v>4909</v>
      </c>
      <c r="H9878" t="s">
        <v>4909</v>
      </c>
      <c r="I9878" t="s">
        <v>4909</v>
      </c>
      <c r="J9878" t="s">
        <v>4909</v>
      </c>
      <c r="K9878" t="s">
        <v>4909</v>
      </c>
    </row>
    <row r="9879" spans="1:11" x14ac:dyDescent="0.2">
      <c r="A9879" t="s">
        <v>4313</v>
      </c>
      <c r="B9879" t="s">
        <v>4909</v>
      </c>
      <c r="C9879" t="s">
        <v>4909</v>
      </c>
      <c r="D9879" t="s">
        <v>4909</v>
      </c>
      <c r="E9879" t="s">
        <v>4909</v>
      </c>
      <c r="F9879" t="s">
        <v>4909</v>
      </c>
      <c r="G9879" t="s">
        <v>4909</v>
      </c>
      <c r="H9879" t="s">
        <v>4909</v>
      </c>
      <c r="I9879" t="s">
        <v>4909</v>
      </c>
      <c r="J9879" t="s">
        <v>4909</v>
      </c>
      <c r="K9879" t="s">
        <v>4909</v>
      </c>
    </row>
    <row r="9880" spans="1:11" x14ac:dyDescent="0.2">
      <c r="A9880" t="s">
        <v>4314</v>
      </c>
      <c r="B9880" t="s">
        <v>4909</v>
      </c>
      <c r="C9880" t="s">
        <v>4909</v>
      </c>
      <c r="D9880" t="s">
        <v>4909</v>
      </c>
      <c r="E9880" t="s">
        <v>4909</v>
      </c>
      <c r="F9880" t="s">
        <v>4909</v>
      </c>
      <c r="G9880" t="s">
        <v>4909</v>
      </c>
      <c r="H9880" t="s">
        <v>4909</v>
      </c>
      <c r="I9880" t="s">
        <v>4909</v>
      </c>
      <c r="J9880" t="s">
        <v>4909</v>
      </c>
      <c r="K9880" t="s">
        <v>4909</v>
      </c>
    </row>
    <row r="9881" spans="1:11" x14ac:dyDescent="0.2">
      <c r="A9881" t="s">
        <v>4315</v>
      </c>
      <c r="B9881" t="s">
        <v>4909</v>
      </c>
      <c r="C9881" t="s">
        <v>4909</v>
      </c>
      <c r="D9881" t="s">
        <v>4909</v>
      </c>
      <c r="E9881" t="s">
        <v>4909</v>
      </c>
      <c r="F9881" t="s">
        <v>4909</v>
      </c>
      <c r="G9881" t="s">
        <v>4909</v>
      </c>
      <c r="H9881" t="s">
        <v>4909</v>
      </c>
      <c r="I9881" t="s">
        <v>4909</v>
      </c>
      <c r="J9881" t="s">
        <v>4909</v>
      </c>
      <c r="K9881" t="s">
        <v>4909</v>
      </c>
    </row>
    <row r="9882" spans="1:11" x14ac:dyDescent="0.2">
      <c r="A9882" t="s">
        <v>4316</v>
      </c>
      <c r="B9882" t="s">
        <v>4909</v>
      </c>
      <c r="C9882" t="s">
        <v>4909</v>
      </c>
      <c r="D9882" t="s">
        <v>4909</v>
      </c>
      <c r="E9882" t="s">
        <v>4909</v>
      </c>
      <c r="F9882" t="s">
        <v>4909</v>
      </c>
      <c r="G9882" t="s">
        <v>4909</v>
      </c>
      <c r="H9882" t="s">
        <v>4909</v>
      </c>
      <c r="I9882" t="s">
        <v>4909</v>
      </c>
      <c r="J9882" t="s">
        <v>4909</v>
      </c>
      <c r="K9882" t="s">
        <v>4909</v>
      </c>
    </row>
    <row r="9883" spans="1:11" x14ac:dyDescent="0.2">
      <c r="A9883" t="s">
        <v>4317</v>
      </c>
      <c r="B9883" t="s">
        <v>4909</v>
      </c>
      <c r="C9883" t="s">
        <v>4909</v>
      </c>
      <c r="D9883" t="s">
        <v>4909</v>
      </c>
      <c r="E9883" t="s">
        <v>4909</v>
      </c>
      <c r="F9883" t="s">
        <v>4909</v>
      </c>
      <c r="G9883" t="s">
        <v>4909</v>
      </c>
      <c r="H9883" t="s">
        <v>4909</v>
      </c>
      <c r="I9883" t="s">
        <v>4909</v>
      </c>
      <c r="J9883" t="s">
        <v>4909</v>
      </c>
      <c r="K9883" t="s">
        <v>4909</v>
      </c>
    </row>
    <row r="9884" spans="1:11" x14ac:dyDescent="0.2">
      <c r="A9884" t="s">
        <v>4318</v>
      </c>
      <c r="B9884" t="s">
        <v>4909</v>
      </c>
      <c r="C9884" t="s">
        <v>4909</v>
      </c>
      <c r="D9884" t="s">
        <v>4909</v>
      </c>
      <c r="E9884" t="s">
        <v>4909</v>
      </c>
      <c r="F9884" t="s">
        <v>4909</v>
      </c>
      <c r="G9884" t="s">
        <v>4909</v>
      </c>
      <c r="H9884" t="s">
        <v>4909</v>
      </c>
      <c r="I9884" t="s">
        <v>4909</v>
      </c>
      <c r="J9884" t="s">
        <v>4909</v>
      </c>
      <c r="K9884" t="s">
        <v>4909</v>
      </c>
    </row>
    <row r="9885" spans="1:11" x14ac:dyDescent="0.2">
      <c r="A9885" t="s">
        <v>4319</v>
      </c>
      <c r="B9885" t="s">
        <v>4909</v>
      </c>
      <c r="C9885" t="s">
        <v>4909</v>
      </c>
      <c r="D9885" t="s">
        <v>4909</v>
      </c>
      <c r="E9885" t="s">
        <v>4909</v>
      </c>
      <c r="F9885" t="s">
        <v>4909</v>
      </c>
      <c r="G9885" t="s">
        <v>4909</v>
      </c>
      <c r="H9885" t="s">
        <v>4909</v>
      </c>
      <c r="I9885" t="s">
        <v>4909</v>
      </c>
      <c r="J9885" t="s">
        <v>4909</v>
      </c>
      <c r="K9885" t="s">
        <v>4909</v>
      </c>
    </row>
    <row r="9886" spans="1:11" x14ac:dyDescent="0.2">
      <c r="A9886" t="s">
        <v>4320</v>
      </c>
      <c r="B9886" t="s">
        <v>4909</v>
      </c>
      <c r="C9886" t="s">
        <v>4909</v>
      </c>
      <c r="D9886" t="s">
        <v>4909</v>
      </c>
      <c r="E9886" t="s">
        <v>4909</v>
      </c>
      <c r="F9886" t="s">
        <v>4909</v>
      </c>
      <c r="G9886" t="s">
        <v>4909</v>
      </c>
      <c r="H9886" t="s">
        <v>4909</v>
      </c>
      <c r="I9886" t="s">
        <v>4909</v>
      </c>
      <c r="J9886" t="s">
        <v>4909</v>
      </c>
      <c r="K9886" t="s">
        <v>4909</v>
      </c>
    </row>
    <row r="9887" spans="1:11" x14ac:dyDescent="0.2">
      <c r="A9887" t="s">
        <v>4321</v>
      </c>
      <c r="B9887" t="s">
        <v>4909</v>
      </c>
      <c r="C9887" t="s">
        <v>4909</v>
      </c>
      <c r="D9887" t="s">
        <v>4909</v>
      </c>
      <c r="E9887" t="s">
        <v>4909</v>
      </c>
      <c r="F9887" t="s">
        <v>4909</v>
      </c>
      <c r="G9887" t="s">
        <v>4909</v>
      </c>
      <c r="H9887" t="s">
        <v>4909</v>
      </c>
      <c r="I9887" t="s">
        <v>4909</v>
      </c>
      <c r="J9887" t="s">
        <v>4909</v>
      </c>
      <c r="K9887" t="s">
        <v>4909</v>
      </c>
    </row>
    <row r="9888" spans="1:11" x14ac:dyDescent="0.2">
      <c r="A9888" t="s">
        <v>4322</v>
      </c>
      <c r="B9888" t="s">
        <v>4909</v>
      </c>
      <c r="C9888" t="s">
        <v>4909</v>
      </c>
      <c r="D9888" t="s">
        <v>4909</v>
      </c>
      <c r="E9888" t="s">
        <v>4909</v>
      </c>
      <c r="F9888" t="s">
        <v>4909</v>
      </c>
      <c r="G9888" t="s">
        <v>4909</v>
      </c>
      <c r="H9888" t="s">
        <v>4909</v>
      </c>
      <c r="I9888" t="s">
        <v>4909</v>
      </c>
      <c r="J9888" t="s">
        <v>4909</v>
      </c>
      <c r="K9888" t="s">
        <v>4909</v>
      </c>
    </row>
    <row r="9889" spans="1:11" x14ac:dyDescent="0.2">
      <c r="A9889" t="s">
        <v>4323</v>
      </c>
      <c r="B9889" t="s">
        <v>4909</v>
      </c>
      <c r="C9889" t="s">
        <v>4909</v>
      </c>
      <c r="D9889" t="s">
        <v>4909</v>
      </c>
      <c r="E9889" t="s">
        <v>4909</v>
      </c>
      <c r="F9889" t="s">
        <v>4909</v>
      </c>
      <c r="G9889" t="s">
        <v>4909</v>
      </c>
      <c r="H9889" t="s">
        <v>4909</v>
      </c>
      <c r="I9889" t="s">
        <v>4909</v>
      </c>
      <c r="J9889" t="s">
        <v>4909</v>
      </c>
      <c r="K9889" t="s">
        <v>4909</v>
      </c>
    </row>
    <row r="9890" spans="1:11" x14ac:dyDescent="0.2">
      <c r="A9890" t="s">
        <v>4324</v>
      </c>
      <c r="B9890" t="s">
        <v>4909</v>
      </c>
      <c r="C9890" t="s">
        <v>4909</v>
      </c>
      <c r="D9890" t="s">
        <v>4909</v>
      </c>
      <c r="E9890" t="s">
        <v>4909</v>
      </c>
      <c r="F9890" t="s">
        <v>4909</v>
      </c>
      <c r="G9890" t="s">
        <v>4909</v>
      </c>
      <c r="H9890" t="s">
        <v>4909</v>
      </c>
      <c r="I9890" t="s">
        <v>4909</v>
      </c>
      <c r="J9890" t="s">
        <v>4909</v>
      </c>
      <c r="K9890" t="s">
        <v>4909</v>
      </c>
    </row>
    <row r="9891" spans="1:11" x14ac:dyDescent="0.2">
      <c r="A9891" t="s">
        <v>4325</v>
      </c>
      <c r="B9891" t="s">
        <v>4909</v>
      </c>
      <c r="C9891" t="s">
        <v>4909</v>
      </c>
      <c r="D9891" t="s">
        <v>4909</v>
      </c>
      <c r="E9891" t="s">
        <v>4909</v>
      </c>
      <c r="F9891" t="s">
        <v>4909</v>
      </c>
      <c r="G9891" t="s">
        <v>4909</v>
      </c>
      <c r="H9891" t="s">
        <v>4909</v>
      </c>
      <c r="I9891" t="s">
        <v>4909</v>
      </c>
      <c r="J9891" t="s">
        <v>4909</v>
      </c>
      <c r="K9891" t="s">
        <v>4909</v>
      </c>
    </row>
    <row r="9892" spans="1:11" x14ac:dyDescent="0.2">
      <c r="A9892" t="s">
        <v>4326</v>
      </c>
      <c r="B9892" t="s">
        <v>4909</v>
      </c>
      <c r="C9892" t="s">
        <v>4909</v>
      </c>
      <c r="D9892" t="s">
        <v>4909</v>
      </c>
      <c r="E9892" t="s">
        <v>4909</v>
      </c>
      <c r="F9892" t="s">
        <v>4909</v>
      </c>
      <c r="G9892" t="s">
        <v>4909</v>
      </c>
      <c r="H9892" t="s">
        <v>4909</v>
      </c>
      <c r="I9892" t="s">
        <v>4909</v>
      </c>
      <c r="J9892" t="s">
        <v>4909</v>
      </c>
      <c r="K9892" t="s">
        <v>4909</v>
      </c>
    </row>
    <row r="9893" spans="1:11" x14ac:dyDescent="0.2">
      <c r="A9893" t="s">
        <v>4327</v>
      </c>
      <c r="B9893" t="s">
        <v>4909</v>
      </c>
      <c r="C9893" t="s">
        <v>4909</v>
      </c>
      <c r="D9893" t="s">
        <v>4909</v>
      </c>
      <c r="E9893" t="s">
        <v>4909</v>
      </c>
      <c r="F9893" t="s">
        <v>4909</v>
      </c>
      <c r="G9893" t="s">
        <v>4909</v>
      </c>
      <c r="H9893" t="s">
        <v>4909</v>
      </c>
      <c r="I9893" t="s">
        <v>4909</v>
      </c>
      <c r="J9893" t="s">
        <v>4909</v>
      </c>
      <c r="K9893" t="s">
        <v>4909</v>
      </c>
    </row>
    <row r="9894" spans="1:11" x14ac:dyDescent="0.2">
      <c r="A9894" t="s">
        <v>4328</v>
      </c>
      <c r="B9894" t="s">
        <v>4909</v>
      </c>
      <c r="C9894" t="s">
        <v>4909</v>
      </c>
      <c r="D9894" t="s">
        <v>4909</v>
      </c>
      <c r="E9894" t="s">
        <v>4909</v>
      </c>
      <c r="F9894" t="s">
        <v>4909</v>
      </c>
      <c r="G9894" t="s">
        <v>4909</v>
      </c>
      <c r="H9894" t="s">
        <v>4909</v>
      </c>
      <c r="I9894" t="s">
        <v>4909</v>
      </c>
      <c r="J9894" t="s">
        <v>4909</v>
      </c>
      <c r="K9894" t="s">
        <v>4909</v>
      </c>
    </row>
    <row r="9895" spans="1:11" x14ac:dyDescent="0.2">
      <c r="A9895" t="s">
        <v>4329</v>
      </c>
      <c r="B9895" t="s">
        <v>4909</v>
      </c>
      <c r="C9895" t="s">
        <v>4909</v>
      </c>
      <c r="D9895" t="s">
        <v>4909</v>
      </c>
      <c r="E9895" t="s">
        <v>4909</v>
      </c>
      <c r="F9895" t="s">
        <v>4909</v>
      </c>
      <c r="G9895" t="s">
        <v>4909</v>
      </c>
      <c r="H9895" t="s">
        <v>4909</v>
      </c>
      <c r="I9895" t="s">
        <v>4909</v>
      </c>
      <c r="J9895" t="s">
        <v>4909</v>
      </c>
      <c r="K9895" t="s">
        <v>4909</v>
      </c>
    </row>
    <row r="9896" spans="1:11" x14ac:dyDescent="0.2">
      <c r="A9896" t="s">
        <v>4330</v>
      </c>
      <c r="B9896" t="s">
        <v>4909</v>
      </c>
      <c r="C9896" t="s">
        <v>4909</v>
      </c>
      <c r="D9896" t="s">
        <v>4909</v>
      </c>
      <c r="E9896" t="s">
        <v>4909</v>
      </c>
      <c r="F9896" t="s">
        <v>4909</v>
      </c>
      <c r="G9896" t="s">
        <v>4909</v>
      </c>
      <c r="H9896" t="s">
        <v>4909</v>
      </c>
      <c r="I9896" t="s">
        <v>4909</v>
      </c>
      <c r="J9896" t="s">
        <v>4909</v>
      </c>
      <c r="K9896" t="s">
        <v>4909</v>
      </c>
    </row>
    <row r="9897" spans="1:11" x14ac:dyDescent="0.2">
      <c r="A9897" t="s">
        <v>4331</v>
      </c>
      <c r="B9897" t="s">
        <v>4909</v>
      </c>
      <c r="C9897" t="s">
        <v>4909</v>
      </c>
      <c r="D9897" t="s">
        <v>4909</v>
      </c>
      <c r="E9897" t="s">
        <v>4909</v>
      </c>
      <c r="F9897" t="s">
        <v>4909</v>
      </c>
      <c r="G9897" t="s">
        <v>4909</v>
      </c>
      <c r="H9897" t="s">
        <v>4909</v>
      </c>
      <c r="I9897" t="s">
        <v>4909</v>
      </c>
      <c r="J9897" t="s">
        <v>4909</v>
      </c>
      <c r="K9897" t="s">
        <v>4909</v>
      </c>
    </row>
    <row r="9898" spans="1:11" x14ac:dyDescent="0.2">
      <c r="A9898" t="s">
        <v>4332</v>
      </c>
      <c r="B9898" t="s">
        <v>4909</v>
      </c>
      <c r="C9898" t="s">
        <v>4909</v>
      </c>
      <c r="D9898" t="s">
        <v>4909</v>
      </c>
      <c r="E9898" t="s">
        <v>4909</v>
      </c>
      <c r="F9898" t="s">
        <v>4909</v>
      </c>
      <c r="G9898" t="s">
        <v>4909</v>
      </c>
      <c r="H9898" t="s">
        <v>4909</v>
      </c>
      <c r="I9898" t="s">
        <v>4909</v>
      </c>
      <c r="J9898" t="s">
        <v>4909</v>
      </c>
      <c r="K9898" t="s">
        <v>4909</v>
      </c>
    </row>
    <row r="9899" spans="1:11" x14ac:dyDescent="0.2">
      <c r="A9899" t="s">
        <v>4333</v>
      </c>
      <c r="B9899" t="s">
        <v>4909</v>
      </c>
      <c r="C9899" t="s">
        <v>4909</v>
      </c>
      <c r="D9899" t="s">
        <v>4909</v>
      </c>
      <c r="E9899" t="s">
        <v>4909</v>
      </c>
      <c r="F9899" t="s">
        <v>4909</v>
      </c>
      <c r="G9899" t="s">
        <v>4909</v>
      </c>
      <c r="H9899" t="s">
        <v>4909</v>
      </c>
      <c r="I9899" t="s">
        <v>4909</v>
      </c>
      <c r="J9899" t="s">
        <v>4909</v>
      </c>
      <c r="K9899" t="s">
        <v>4909</v>
      </c>
    </row>
    <row r="9900" spans="1:11" x14ac:dyDescent="0.2">
      <c r="A9900" t="s">
        <v>4334</v>
      </c>
      <c r="B9900" t="s">
        <v>4909</v>
      </c>
      <c r="C9900" t="s">
        <v>4909</v>
      </c>
      <c r="D9900" t="s">
        <v>4909</v>
      </c>
      <c r="E9900" t="s">
        <v>4909</v>
      </c>
      <c r="F9900" t="s">
        <v>4909</v>
      </c>
      <c r="G9900" t="s">
        <v>4909</v>
      </c>
      <c r="H9900" t="s">
        <v>4909</v>
      </c>
      <c r="I9900" t="s">
        <v>4909</v>
      </c>
      <c r="J9900" t="s">
        <v>4909</v>
      </c>
      <c r="K9900" t="s">
        <v>4909</v>
      </c>
    </row>
    <row r="9901" spans="1:11" x14ac:dyDescent="0.2">
      <c r="A9901" t="s">
        <v>4335</v>
      </c>
      <c r="B9901" t="s">
        <v>4909</v>
      </c>
      <c r="C9901" t="s">
        <v>4909</v>
      </c>
      <c r="D9901" t="s">
        <v>4909</v>
      </c>
      <c r="E9901" t="s">
        <v>4909</v>
      </c>
      <c r="F9901" t="s">
        <v>4909</v>
      </c>
      <c r="G9901" t="s">
        <v>4909</v>
      </c>
      <c r="H9901" t="s">
        <v>4909</v>
      </c>
      <c r="I9901" t="s">
        <v>4909</v>
      </c>
      <c r="J9901" t="s">
        <v>4909</v>
      </c>
      <c r="K9901" t="s">
        <v>4909</v>
      </c>
    </row>
    <row r="9902" spans="1:11" x14ac:dyDescent="0.2">
      <c r="A9902" t="s">
        <v>4336</v>
      </c>
      <c r="B9902" t="s">
        <v>4909</v>
      </c>
      <c r="C9902" t="s">
        <v>4909</v>
      </c>
      <c r="D9902" t="s">
        <v>4909</v>
      </c>
      <c r="E9902" t="s">
        <v>4909</v>
      </c>
      <c r="F9902" t="s">
        <v>4909</v>
      </c>
      <c r="G9902" t="s">
        <v>4909</v>
      </c>
      <c r="H9902" t="s">
        <v>4909</v>
      </c>
      <c r="I9902" t="s">
        <v>4909</v>
      </c>
      <c r="J9902" t="s">
        <v>4909</v>
      </c>
      <c r="K9902" t="s">
        <v>4909</v>
      </c>
    </row>
    <row r="9903" spans="1:11" x14ac:dyDescent="0.2">
      <c r="A9903" t="s">
        <v>4337</v>
      </c>
      <c r="B9903" t="s">
        <v>4909</v>
      </c>
      <c r="C9903" t="s">
        <v>4909</v>
      </c>
      <c r="D9903" t="s">
        <v>4909</v>
      </c>
      <c r="E9903" t="s">
        <v>4909</v>
      </c>
      <c r="F9903" t="s">
        <v>4909</v>
      </c>
      <c r="G9903" t="s">
        <v>4909</v>
      </c>
      <c r="H9903" t="s">
        <v>4909</v>
      </c>
      <c r="I9903" t="s">
        <v>4909</v>
      </c>
      <c r="J9903" t="s">
        <v>4909</v>
      </c>
      <c r="K9903" t="s">
        <v>4909</v>
      </c>
    </row>
    <row r="9904" spans="1:11" x14ac:dyDescent="0.2">
      <c r="A9904" t="s">
        <v>4338</v>
      </c>
      <c r="B9904" t="s">
        <v>4909</v>
      </c>
      <c r="C9904" t="s">
        <v>4909</v>
      </c>
      <c r="D9904" t="s">
        <v>4909</v>
      </c>
      <c r="E9904" t="s">
        <v>4909</v>
      </c>
      <c r="F9904" t="s">
        <v>4909</v>
      </c>
      <c r="G9904" t="s">
        <v>4909</v>
      </c>
      <c r="H9904" t="s">
        <v>4909</v>
      </c>
      <c r="I9904" t="s">
        <v>4909</v>
      </c>
      <c r="J9904" t="s">
        <v>4909</v>
      </c>
      <c r="K9904" t="s">
        <v>4909</v>
      </c>
    </row>
    <row r="9905" spans="1:11" x14ac:dyDescent="0.2">
      <c r="A9905" t="s">
        <v>4339</v>
      </c>
      <c r="B9905" t="s">
        <v>4909</v>
      </c>
      <c r="C9905" t="s">
        <v>4909</v>
      </c>
      <c r="D9905" t="s">
        <v>4909</v>
      </c>
      <c r="E9905" t="s">
        <v>4909</v>
      </c>
      <c r="F9905" t="s">
        <v>4909</v>
      </c>
      <c r="G9905" t="s">
        <v>4909</v>
      </c>
      <c r="H9905" t="s">
        <v>4909</v>
      </c>
      <c r="I9905" t="s">
        <v>4909</v>
      </c>
      <c r="J9905" t="s">
        <v>4909</v>
      </c>
      <c r="K9905" t="s">
        <v>4909</v>
      </c>
    </row>
    <row r="9906" spans="1:11" x14ac:dyDescent="0.2">
      <c r="A9906" t="s">
        <v>4340</v>
      </c>
      <c r="B9906" t="s">
        <v>4909</v>
      </c>
      <c r="C9906" t="s">
        <v>4909</v>
      </c>
      <c r="D9906" t="s">
        <v>4909</v>
      </c>
      <c r="E9906" t="s">
        <v>4909</v>
      </c>
      <c r="F9906" t="s">
        <v>4909</v>
      </c>
      <c r="G9906" t="s">
        <v>4909</v>
      </c>
      <c r="H9906" t="s">
        <v>4909</v>
      </c>
      <c r="I9906" t="s">
        <v>4909</v>
      </c>
      <c r="J9906" t="s">
        <v>4909</v>
      </c>
      <c r="K9906" t="s">
        <v>4909</v>
      </c>
    </row>
    <row r="9907" spans="1:11" x14ac:dyDescent="0.2">
      <c r="A9907" t="s">
        <v>4341</v>
      </c>
      <c r="B9907" t="s">
        <v>4909</v>
      </c>
      <c r="C9907" t="s">
        <v>4909</v>
      </c>
      <c r="D9907" t="s">
        <v>4909</v>
      </c>
      <c r="E9907" t="s">
        <v>4909</v>
      </c>
      <c r="F9907" t="s">
        <v>4909</v>
      </c>
      <c r="G9907" t="s">
        <v>4909</v>
      </c>
      <c r="H9907" t="s">
        <v>4909</v>
      </c>
      <c r="I9907" t="s">
        <v>4909</v>
      </c>
      <c r="J9907" t="s">
        <v>4909</v>
      </c>
      <c r="K9907" t="s">
        <v>4909</v>
      </c>
    </row>
    <row r="9908" spans="1:11" x14ac:dyDescent="0.2">
      <c r="A9908" t="s">
        <v>4342</v>
      </c>
      <c r="B9908" t="s">
        <v>4909</v>
      </c>
      <c r="C9908" t="s">
        <v>4909</v>
      </c>
      <c r="D9908" t="s">
        <v>4909</v>
      </c>
      <c r="E9908" t="s">
        <v>4909</v>
      </c>
      <c r="F9908" t="s">
        <v>4909</v>
      </c>
      <c r="G9908" t="s">
        <v>4909</v>
      </c>
      <c r="H9908" t="s">
        <v>4909</v>
      </c>
      <c r="I9908" t="s">
        <v>4909</v>
      </c>
      <c r="J9908" t="s">
        <v>4909</v>
      </c>
      <c r="K9908" t="s">
        <v>4909</v>
      </c>
    </row>
    <row r="9909" spans="1:11" x14ac:dyDescent="0.2">
      <c r="A9909" t="s">
        <v>4343</v>
      </c>
      <c r="B9909" t="s">
        <v>4909</v>
      </c>
      <c r="C9909" t="s">
        <v>4909</v>
      </c>
      <c r="D9909" t="s">
        <v>4909</v>
      </c>
      <c r="E9909" t="s">
        <v>4909</v>
      </c>
      <c r="F9909" t="s">
        <v>4909</v>
      </c>
      <c r="G9909" t="s">
        <v>4909</v>
      </c>
      <c r="H9909" t="s">
        <v>4909</v>
      </c>
      <c r="I9909" t="s">
        <v>4909</v>
      </c>
      <c r="J9909" t="s">
        <v>4909</v>
      </c>
      <c r="K9909" t="s">
        <v>4909</v>
      </c>
    </row>
    <row r="9910" spans="1:11" x14ac:dyDescent="0.2">
      <c r="A9910" t="s">
        <v>1728</v>
      </c>
      <c r="B9910" t="s">
        <v>4909</v>
      </c>
      <c r="C9910" t="s">
        <v>4909</v>
      </c>
      <c r="D9910" t="s">
        <v>4909</v>
      </c>
      <c r="E9910" t="s">
        <v>4909</v>
      </c>
      <c r="F9910" t="s">
        <v>4909</v>
      </c>
      <c r="G9910" t="s">
        <v>4909</v>
      </c>
      <c r="H9910" t="s">
        <v>4909</v>
      </c>
      <c r="I9910" t="s">
        <v>4909</v>
      </c>
      <c r="J9910" t="s">
        <v>4909</v>
      </c>
      <c r="K9910" t="s">
        <v>4909</v>
      </c>
    </row>
    <row r="9911" spans="1:11" x14ac:dyDescent="0.2">
      <c r="A9911" t="s">
        <v>1730</v>
      </c>
      <c r="B9911" s="88">
        <v>5.0000000000000001E-3</v>
      </c>
      <c r="C9911" t="s">
        <v>4909</v>
      </c>
      <c r="D9911" t="s">
        <v>4909</v>
      </c>
      <c r="E9911" t="s">
        <v>4909</v>
      </c>
      <c r="F9911" t="s">
        <v>4909</v>
      </c>
      <c r="G9911" t="s">
        <v>4909</v>
      </c>
      <c r="H9911" t="s">
        <v>4909</v>
      </c>
      <c r="I9911" t="s">
        <v>4909</v>
      </c>
      <c r="J9911" t="s">
        <v>4909</v>
      </c>
      <c r="K9911" t="s">
        <v>4909</v>
      </c>
    </row>
    <row r="9912" spans="1:11" x14ac:dyDescent="0.2">
      <c r="A9912" t="s">
        <v>1733</v>
      </c>
      <c r="B9912" t="s">
        <v>4909</v>
      </c>
      <c r="C9912" t="s">
        <v>4909</v>
      </c>
      <c r="D9912" t="s">
        <v>4909</v>
      </c>
      <c r="E9912" t="s">
        <v>4909</v>
      </c>
      <c r="F9912" t="s">
        <v>4909</v>
      </c>
      <c r="G9912" t="s">
        <v>4909</v>
      </c>
      <c r="H9912" t="s">
        <v>4909</v>
      </c>
      <c r="I9912" t="s">
        <v>4909</v>
      </c>
      <c r="J9912" t="s">
        <v>4909</v>
      </c>
      <c r="K9912" t="s">
        <v>4909</v>
      </c>
    </row>
    <row r="9913" spans="1:11" x14ac:dyDescent="0.2">
      <c r="A9913" t="s">
        <v>1738</v>
      </c>
      <c r="B9913" t="s">
        <v>4909</v>
      </c>
      <c r="C9913" t="s">
        <v>4909</v>
      </c>
      <c r="D9913" t="s">
        <v>4909</v>
      </c>
      <c r="E9913" t="s">
        <v>4909</v>
      </c>
      <c r="F9913" t="s">
        <v>4909</v>
      </c>
      <c r="G9913" t="s">
        <v>4909</v>
      </c>
      <c r="H9913" t="s">
        <v>4909</v>
      </c>
      <c r="I9913" t="s">
        <v>4909</v>
      </c>
      <c r="J9913" t="s">
        <v>4909</v>
      </c>
      <c r="K9913" t="s">
        <v>4909</v>
      </c>
    </row>
    <row r="9914" spans="1:11" x14ac:dyDescent="0.2">
      <c r="A9914" t="s">
        <v>1744</v>
      </c>
      <c r="B9914" t="s">
        <v>4909</v>
      </c>
      <c r="C9914" t="s">
        <v>4909</v>
      </c>
      <c r="D9914" t="s">
        <v>4909</v>
      </c>
      <c r="E9914" t="s">
        <v>4909</v>
      </c>
      <c r="F9914" t="s">
        <v>4909</v>
      </c>
      <c r="G9914" t="s">
        <v>4909</v>
      </c>
      <c r="H9914" t="s">
        <v>4909</v>
      </c>
      <c r="I9914" t="s">
        <v>4909</v>
      </c>
      <c r="J9914" t="s">
        <v>4909</v>
      </c>
      <c r="K9914" t="s">
        <v>4909</v>
      </c>
    </row>
    <row r="9915" spans="1:11" x14ac:dyDescent="0.2">
      <c r="A9915" t="s">
        <v>1747</v>
      </c>
      <c r="B9915" t="s">
        <v>4909</v>
      </c>
      <c r="C9915" t="s">
        <v>4909</v>
      </c>
      <c r="D9915" t="s">
        <v>4909</v>
      </c>
      <c r="E9915" t="s">
        <v>4909</v>
      </c>
      <c r="F9915" t="s">
        <v>4909</v>
      </c>
      <c r="G9915" t="s">
        <v>4909</v>
      </c>
      <c r="H9915" t="s">
        <v>4909</v>
      </c>
      <c r="I9915" t="s">
        <v>4909</v>
      </c>
      <c r="J9915" t="s">
        <v>4909</v>
      </c>
      <c r="K9915" t="s">
        <v>4909</v>
      </c>
    </row>
    <row r="9916" spans="1:11" x14ac:dyDescent="0.2">
      <c r="A9916" t="s">
        <v>1751</v>
      </c>
      <c r="B9916" t="s">
        <v>4909</v>
      </c>
      <c r="C9916" t="s">
        <v>4909</v>
      </c>
      <c r="D9916" t="s">
        <v>4909</v>
      </c>
      <c r="E9916" t="s">
        <v>4909</v>
      </c>
      <c r="F9916" t="s">
        <v>4909</v>
      </c>
      <c r="G9916" t="s">
        <v>4909</v>
      </c>
      <c r="H9916" t="s">
        <v>4909</v>
      </c>
      <c r="I9916" t="s">
        <v>4909</v>
      </c>
      <c r="J9916" t="s">
        <v>4909</v>
      </c>
      <c r="K9916" t="s">
        <v>4909</v>
      </c>
    </row>
    <row r="9917" spans="1:11" x14ac:dyDescent="0.2">
      <c r="A9917" t="s">
        <v>1755</v>
      </c>
      <c r="B9917" s="88">
        <v>6.6000000000000003E-2</v>
      </c>
      <c r="C9917" t="s">
        <v>4909</v>
      </c>
      <c r="D9917" s="88">
        <v>4.0000000000000001E-3</v>
      </c>
      <c r="E9917" t="s">
        <v>4909</v>
      </c>
      <c r="F9917" t="s">
        <v>4909</v>
      </c>
      <c r="G9917" t="s">
        <v>4909</v>
      </c>
      <c r="H9917" t="s">
        <v>4909</v>
      </c>
      <c r="I9917" t="s">
        <v>4909</v>
      </c>
      <c r="J9917" t="s">
        <v>4909</v>
      </c>
      <c r="K9917" t="s">
        <v>4909</v>
      </c>
    </row>
    <row r="9918" spans="1:11" x14ac:dyDescent="0.2">
      <c r="A9918" t="s">
        <v>1757</v>
      </c>
      <c r="B9918" s="88">
        <v>5.8999999999999997E-2</v>
      </c>
      <c r="C9918" t="s">
        <v>4909</v>
      </c>
      <c r="D9918" s="88">
        <v>6.0000000000000001E-3</v>
      </c>
      <c r="E9918" t="s">
        <v>4909</v>
      </c>
      <c r="F9918" t="s">
        <v>4909</v>
      </c>
      <c r="G9918" t="s">
        <v>4909</v>
      </c>
      <c r="H9918" t="s">
        <v>4909</v>
      </c>
      <c r="I9918" t="s">
        <v>4909</v>
      </c>
      <c r="J9918" t="s">
        <v>4909</v>
      </c>
      <c r="K9918" t="s">
        <v>4909</v>
      </c>
    </row>
    <row r="9919" spans="1:11" x14ac:dyDescent="0.2">
      <c r="A9919" t="s">
        <v>1761</v>
      </c>
      <c r="B9919" t="s">
        <v>4909</v>
      </c>
      <c r="C9919" t="s">
        <v>4909</v>
      </c>
      <c r="D9919" t="s">
        <v>4909</v>
      </c>
      <c r="E9919" t="s">
        <v>4909</v>
      </c>
      <c r="F9919" t="s">
        <v>4909</v>
      </c>
      <c r="G9919" t="s">
        <v>4909</v>
      </c>
      <c r="H9919" t="s">
        <v>4909</v>
      </c>
      <c r="I9919" t="s">
        <v>4909</v>
      </c>
      <c r="J9919" t="s">
        <v>4909</v>
      </c>
      <c r="K9919" t="s">
        <v>4909</v>
      </c>
    </row>
    <row r="9920" spans="1:11" x14ac:dyDescent="0.2">
      <c r="A9920" t="s">
        <v>1764</v>
      </c>
      <c r="B9920" t="s">
        <v>4909</v>
      </c>
      <c r="C9920" t="s">
        <v>4909</v>
      </c>
      <c r="D9920" t="s">
        <v>4909</v>
      </c>
      <c r="E9920" t="s">
        <v>4909</v>
      </c>
      <c r="F9920" t="s">
        <v>4909</v>
      </c>
      <c r="G9920" t="s">
        <v>4909</v>
      </c>
      <c r="H9920" t="s">
        <v>4909</v>
      </c>
      <c r="I9920" t="s">
        <v>4909</v>
      </c>
      <c r="J9920" t="s">
        <v>4909</v>
      </c>
      <c r="K9920" t="s">
        <v>4909</v>
      </c>
    </row>
    <row r="9921" spans="1:11" x14ac:dyDescent="0.2">
      <c r="A9921" t="s">
        <v>1770</v>
      </c>
      <c r="B9921" s="88">
        <v>8.9999999999999993E-3</v>
      </c>
      <c r="C9921" t="s">
        <v>4909</v>
      </c>
      <c r="D9921" t="s">
        <v>4909</v>
      </c>
      <c r="E9921" t="s">
        <v>4909</v>
      </c>
      <c r="F9921" t="s">
        <v>4909</v>
      </c>
      <c r="G9921" t="s">
        <v>4909</v>
      </c>
      <c r="H9921" t="s">
        <v>4909</v>
      </c>
      <c r="I9921" t="s">
        <v>4909</v>
      </c>
      <c r="J9921" t="s">
        <v>4909</v>
      </c>
      <c r="K9921" t="s">
        <v>4909</v>
      </c>
    </row>
    <row r="9922" spans="1:11" x14ac:dyDescent="0.2">
      <c r="A9922" t="s">
        <v>1772</v>
      </c>
      <c r="B9922" s="88">
        <v>6.0000000000000001E-3</v>
      </c>
      <c r="C9922" t="s">
        <v>4909</v>
      </c>
      <c r="D9922" t="s">
        <v>4909</v>
      </c>
      <c r="E9922" t="s">
        <v>4909</v>
      </c>
      <c r="F9922" t="s">
        <v>4909</v>
      </c>
      <c r="G9922" t="s">
        <v>4909</v>
      </c>
      <c r="H9922" t="s">
        <v>4909</v>
      </c>
      <c r="I9922" t="s">
        <v>4909</v>
      </c>
      <c r="J9922" t="s">
        <v>4909</v>
      </c>
      <c r="K9922" t="s">
        <v>4909</v>
      </c>
    </row>
    <row r="9923" spans="1:11" x14ac:dyDescent="0.2">
      <c r="A9923" t="s">
        <v>1774</v>
      </c>
      <c r="B9923" s="88">
        <v>0.04</v>
      </c>
      <c r="C9923" t="s">
        <v>4909</v>
      </c>
      <c r="D9923" t="s">
        <v>4909</v>
      </c>
      <c r="E9923" t="s">
        <v>4909</v>
      </c>
      <c r="F9923" t="s">
        <v>4909</v>
      </c>
      <c r="G9923" t="s">
        <v>4909</v>
      </c>
      <c r="H9923" t="s">
        <v>4909</v>
      </c>
      <c r="I9923" t="s">
        <v>4909</v>
      </c>
      <c r="J9923" t="s">
        <v>4909</v>
      </c>
      <c r="K9923" t="s">
        <v>4909</v>
      </c>
    </row>
    <row r="9924" spans="1:11" x14ac:dyDescent="0.2">
      <c r="A9924" t="s">
        <v>1777</v>
      </c>
      <c r="B9924" t="s">
        <v>4909</v>
      </c>
      <c r="C9924" t="s">
        <v>4909</v>
      </c>
      <c r="D9924" t="s">
        <v>4909</v>
      </c>
      <c r="E9924" t="s">
        <v>4909</v>
      </c>
      <c r="F9924" t="s">
        <v>4909</v>
      </c>
      <c r="G9924" t="s">
        <v>4909</v>
      </c>
      <c r="H9924" t="s">
        <v>4909</v>
      </c>
      <c r="I9924" t="s">
        <v>4909</v>
      </c>
      <c r="J9924" t="s">
        <v>4909</v>
      </c>
      <c r="K9924" t="s">
        <v>4909</v>
      </c>
    </row>
    <row r="9925" spans="1:11" x14ac:dyDescent="0.2">
      <c r="A9925" t="s">
        <v>1782</v>
      </c>
      <c r="B9925" t="s">
        <v>4909</v>
      </c>
      <c r="C9925" t="s">
        <v>4909</v>
      </c>
      <c r="D9925" t="s">
        <v>4909</v>
      </c>
      <c r="E9925" t="s">
        <v>4909</v>
      </c>
      <c r="F9925" t="s">
        <v>4909</v>
      </c>
      <c r="G9925" t="s">
        <v>4909</v>
      </c>
      <c r="H9925" t="s">
        <v>4909</v>
      </c>
      <c r="I9925" t="s">
        <v>4909</v>
      </c>
      <c r="J9925" t="s">
        <v>4909</v>
      </c>
      <c r="K9925" t="s">
        <v>4909</v>
      </c>
    </row>
    <row r="9926" spans="1:11" x14ac:dyDescent="0.2">
      <c r="A9926" t="s">
        <v>1274</v>
      </c>
      <c r="B9926" s="88">
        <v>6.0000000000000001E-3</v>
      </c>
      <c r="C9926" t="s">
        <v>4909</v>
      </c>
      <c r="D9926" t="s">
        <v>4909</v>
      </c>
      <c r="E9926" t="s">
        <v>4909</v>
      </c>
      <c r="F9926" t="s">
        <v>4909</v>
      </c>
      <c r="G9926" t="s">
        <v>4909</v>
      </c>
      <c r="H9926" t="s">
        <v>4909</v>
      </c>
      <c r="I9926" t="s">
        <v>4909</v>
      </c>
      <c r="J9926" t="s">
        <v>4909</v>
      </c>
      <c r="K9926" t="s">
        <v>4909</v>
      </c>
    </row>
    <row r="9927" spans="1:11" x14ac:dyDescent="0.2">
      <c r="A9927" t="s">
        <v>1277</v>
      </c>
      <c r="B9927" s="88">
        <v>8.9999999999999993E-3</v>
      </c>
      <c r="C9927" t="s">
        <v>4909</v>
      </c>
      <c r="D9927" t="s">
        <v>4909</v>
      </c>
      <c r="E9927" t="s">
        <v>4909</v>
      </c>
      <c r="F9927" t="s">
        <v>4909</v>
      </c>
      <c r="G9927" t="s">
        <v>4909</v>
      </c>
      <c r="H9927" t="s">
        <v>4909</v>
      </c>
      <c r="I9927" t="s">
        <v>4909</v>
      </c>
      <c r="J9927" t="s">
        <v>4909</v>
      </c>
      <c r="K9927" t="s">
        <v>4909</v>
      </c>
    </row>
    <row r="9928" spans="1:11" x14ac:dyDescent="0.2">
      <c r="A9928" t="s">
        <v>1798</v>
      </c>
      <c r="B9928" t="s">
        <v>4909</v>
      </c>
      <c r="C9928" t="s">
        <v>4909</v>
      </c>
      <c r="D9928" t="s">
        <v>4909</v>
      </c>
      <c r="E9928" t="s">
        <v>4909</v>
      </c>
      <c r="F9928" t="s">
        <v>4909</v>
      </c>
      <c r="G9928" t="s">
        <v>4909</v>
      </c>
      <c r="H9928" t="s">
        <v>4909</v>
      </c>
      <c r="I9928" t="s">
        <v>4909</v>
      </c>
      <c r="J9928" t="s">
        <v>4909</v>
      </c>
      <c r="K9928" t="s">
        <v>4909</v>
      </c>
    </row>
    <row r="9929" spans="1:11" x14ac:dyDescent="0.2">
      <c r="A9929" t="s">
        <v>1803</v>
      </c>
      <c r="B9929" t="s">
        <v>4909</v>
      </c>
      <c r="C9929" t="s">
        <v>4909</v>
      </c>
      <c r="D9929" t="s">
        <v>4909</v>
      </c>
      <c r="E9929" t="s">
        <v>4909</v>
      </c>
      <c r="F9929" t="s">
        <v>4909</v>
      </c>
      <c r="G9929" t="s">
        <v>4909</v>
      </c>
      <c r="H9929" t="s">
        <v>4909</v>
      </c>
      <c r="I9929" t="s">
        <v>4909</v>
      </c>
      <c r="J9929" t="s">
        <v>4909</v>
      </c>
      <c r="K9929" t="s">
        <v>4909</v>
      </c>
    </row>
    <row r="9930" spans="1:11" x14ac:dyDescent="0.2">
      <c r="A9930" t="s">
        <v>1808</v>
      </c>
      <c r="B9930" t="s">
        <v>4909</v>
      </c>
      <c r="C9930" t="s">
        <v>4909</v>
      </c>
      <c r="D9930" t="s">
        <v>4909</v>
      </c>
      <c r="E9930" t="s">
        <v>4909</v>
      </c>
      <c r="F9930" t="s">
        <v>4909</v>
      </c>
      <c r="G9930" t="s">
        <v>4909</v>
      </c>
      <c r="H9930" t="s">
        <v>4909</v>
      </c>
      <c r="I9930" t="s">
        <v>4909</v>
      </c>
      <c r="J9930" t="s">
        <v>4909</v>
      </c>
      <c r="K9930" t="s">
        <v>4909</v>
      </c>
    </row>
    <row r="9931" spans="1:11" x14ac:dyDescent="0.2">
      <c r="A9931" t="s">
        <v>1813</v>
      </c>
      <c r="B9931" t="s">
        <v>4909</v>
      </c>
      <c r="C9931" t="s">
        <v>4909</v>
      </c>
      <c r="D9931" t="s">
        <v>4909</v>
      </c>
      <c r="E9931" t="s">
        <v>4909</v>
      </c>
      <c r="F9931" t="s">
        <v>4909</v>
      </c>
      <c r="G9931" t="s">
        <v>4909</v>
      </c>
      <c r="H9931" t="s">
        <v>4909</v>
      </c>
      <c r="I9931" t="s">
        <v>4909</v>
      </c>
      <c r="J9931" t="s">
        <v>4909</v>
      </c>
      <c r="K9931" t="s">
        <v>4909</v>
      </c>
    </row>
    <row r="9932" spans="1:11" x14ac:dyDescent="0.2">
      <c r="A9932" t="s">
        <v>1819</v>
      </c>
      <c r="B9932" s="88">
        <v>0</v>
      </c>
      <c r="C9932" t="s">
        <v>4909</v>
      </c>
      <c r="D9932" t="s">
        <v>4909</v>
      </c>
      <c r="E9932" t="s">
        <v>4909</v>
      </c>
      <c r="F9932" t="s">
        <v>4909</v>
      </c>
      <c r="G9932" t="s">
        <v>4909</v>
      </c>
      <c r="H9932" t="s">
        <v>4909</v>
      </c>
      <c r="I9932" t="s">
        <v>4909</v>
      </c>
      <c r="J9932" t="s">
        <v>4909</v>
      </c>
      <c r="K9932" t="s">
        <v>4909</v>
      </c>
    </row>
    <row r="9933" spans="1:11" x14ac:dyDescent="0.2">
      <c r="A9933" t="s">
        <v>1826</v>
      </c>
      <c r="B9933" t="s">
        <v>4909</v>
      </c>
      <c r="C9933" t="s">
        <v>4909</v>
      </c>
      <c r="D9933" t="s">
        <v>4909</v>
      </c>
      <c r="E9933" t="s">
        <v>4909</v>
      </c>
      <c r="F9933" t="s">
        <v>4909</v>
      </c>
      <c r="G9933" t="s">
        <v>4909</v>
      </c>
      <c r="H9933" t="s">
        <v>4909</v>
      </c>
      <c r="I9933" t="s">
        <v>4909</v>
      </c>
      <c r="J9933" t="s">
        <v>4909</v>
      </c>
      <c r="K9933" t="s">
        <v>4909</v>
      </c>
    </row>
    <row r="9934" spans="1:11" x14ac:dyDescent="0.2">
      <c r="A9934" t="s">
        <v>1830</v>
      </c>
      <c r="B9934" t="s">
        <v>4909</v>
      </c>
      <c r="C9934" t="s">
        <v>4909</v>
      </c>
      <c r="D9934" t="s">
        <v>4909</v>
      </c>
      <c r="E9934" t="s">
        <v>4909</v>
      </c>
      <c r="F9934" t="s">
        <v>4909</v>
      </c>
      <c r="G9934" t="s">
        <v>4909</v>
      </c>
      <c r="H9934" t="s">
        <v>4909</v>
      </c>
      <c r="I9934" t="s">
        <v>4909</v>
      </c>
      <c r="J9934" t="s">
        <v>4909</v>
      </c>
      <c r="K9934" t="s">
        <v>4909</v>
      </c>
    </row>
    <row r="9935" spans="1:11" x14ac:dyDescent="0.2">
      <c r="A9935" t="s">
        <v>1836</v>
      </c>
      <c r="B9935" t="s">
        <v>4909</v>
      </c>
      <c r="C9935" t="s">
        <v>4909</v>
      </c>
      <c r="D9935" t="s">
        <v>4909</v>
      </c>
      <c r="E9935" t="s">
        <v>4909</v>
      </c>
      <c r="F9935" t="s">
        <v>4909</v>
      </c>
      <c r="G9935" t="s">
        <v>4909</v>
      </c>
      <c r="H9935" t="s">
        <v>4909</v>
      </c>
      <c r="I9935" t="s">
        <v>4909</v>
      </c>
      <c r="J9935" t="s">
        <v>4909</v>
      </c>
      <c r="K9935" t="s">
        <v>4909</v>
      </c>
    </row>
    <row r="9936" spans="1:11" x14ac:dyDescent="0.2">
      <c r="A9936" t="s">
        <v>1841</v>
      </c>
      <c r="B9936" t="s">
        <v>4909</v>
      </c>
      <c r="C9936" t="s">
        <v>4909</v>
      </c>
      <c r="D9936" t="s">
        <v>4909</v>
      </c>
      <c r="E9936" t="s">
        <v>4909</v>
      </c>
      <c r="F9936" t="s">
        <v>4909</v>
      </c>
      <c r="G9936" t="s">
        <v>4909</v>
      </c>
      <c r="H9936" t="s">
        <v>4909</v>
      </c>
      <c r="I9936" t="s">
        <v>4909</v>
      </c>
      <c r="J9936" t="s">
        <v>4909</v>
      </c>
      <c r="K9936" t="s">
        <v>4909</v>
      </c>
    </row>
    <row r="9937" spans="1:11" x14ac:dyDescent="0.2">
      <c r="A9937" t="s">
        <v>1842</v>
      </c>
      <c r="B9937" s="88">
        <v>0</v>
      </c>
      <c r="C9937" t="s">
        <v>4909</v>
      </c>
      <c r="D9937" t="s">
        <v>4909</v>
      </c>
      <c r="E9937" t="s">
        <v>4909</v>
      </c>
      <c r="F9937" t="s">
        <v>4909</v>
      </c>
      <c r="G9937" t="s">
        <v>4909</v>
      </c>
      <c r="H9937" t="s">
        <v>4909</v>
      </c>
      <c r="I9937" t="s">
        <v>4909</v>
      </c>
      <c r="J9937" t="s">
        <v>4909</v>
      </c>
      <c r="K9937" t="s">
        <v>4909</v>
      </c>
    </row>
    <row r="9938" spans="1:11" x14ac:dyDescent="0.2">
      <c r="A9938" t="s">
        <v>1843</v>
      </c>
      <c r="B9938" t="s">
        <v>4909</v>
      </c>
      <c r="C9938" t="s">
        <v>4909</v>
      </c>
      <c r="D9938" t="s">
        <v>4909</v>
      </c>
      <c r="E9938" t="s">
        <v>4909</v>
      </c>
      <c r="F9938" t="s">
        <v>4909</v>
      </c>
      <c r="G9938" t="s">
        <v>4909</v>
      </c>
      <c r="H9938" t="s">
        <v>4909</v>
      </c>
      <c r="I9938" t="s">
        <v>4909</v>
      </c>
      <c r="J9938" t="s">
        <v>4909</v>
      </c>
      <c r="K9938" t="s">
        <v>4909</v>
      </c>
    </row>
    <row r="9939" spans="1:11" x14ac:dyDescent="0.2">
      <c r="A9939" t="s">
        <v>1846</v>
      </c>
      <c r="B9939" t="s">
        <v>4909</v>
      </c>
      <c r="C9939" t="s">
        <v>4909</v>
      </c>
      <c r="D9939" t="s">
        <v>4909</v>
      </c>
      <c r="E9939" t="s">
        <v>4909</v>
      </c>
      <c r="F9939" t="s">
        <v>4909</v>
      </c>
      <c r="G9939" t="s">
        <v>4909</v>
      </c>
      <c r="H9939" t="s">
        <v>4909</v>
      </c>
      <c r="I9939" t="s">
        <v>4909</v>
      </c>
      <c r="J9939" t="s">
        <v>4909</v>
      </c>
      <c r="K9939" t="s">
        <v>4909</v>
      </c>
    </row>
    <row r="9940" spans="1:11" x14ac:dyDescent="0.2">
      <c r="A9940" t="s">
        <v>1851</v>
      </c>
      <c r="B9940" s="88">
        <v>0</v>
      </c>
      <c r="C9940" t="s">
        <v>4909</v>
      </c>
      <c r="D9940" t="s">
        <v>4909</v>
      </c>
      <c r="E9940" t="s">
        <v>4909</v>
      </c>
      <c r="F9940" t="s">
        <v>4909</v>
      </c>
      <c r="G9940" t="s">
        <v>4909</v>
      </c>
      <c r="H9940" t="s">
        <v>4909</v>
      </c>
      <c r="I9940" t="s">
        <v>4909</v>
      </c>
      <c r="J9940" t="s">
        <v>4909</v>
      </c>
      <c r="K9940" t="s">
        <v>4909</v>
      </c>
    </row>
    <row r="9941" spans="1:11" x14ac:dyDescent="0.2">
      <c r="A9941" t="s">
        <v>1857</v>
      </c>
      <c r="B9941" t="s">
        <v>4909</v>
      </c>
      <c r="C9941" t="s">
        <v>4909</v>
      </c>
      <c r="D9941" t="s">
        <v>4909</v>
      </c>
      <c r="E9941" t="s">
        <v>4909</v>
      </c>
      <c r="F9941" t="s">
        <v>4909</v>
      </c>
      <c r="G9941" t="s">
        <v>4909</v>
      </c>
      <c r="H9941" t="s">
        <v>4909</v>
      </c>
      <c r="I9941" t="s">
        <v>4909</v>
      </c>
      <c r="J9941" t="s">
        <v>4909</v>
      </c>
      <c r="K9941" t="s">
        <v>4909</v>
      </c>
    </row>
    <row r="9942" spans="1:11" x14ac:dyDescent="0.2">
      <c r="A9942" t="s">
        <v>1862</v>
      </c>
      <c r="B9942" t="s">
        <v>4909</v>
      </c>
      <c r="C9942" t="s">
        <v>4909</v>
      </c>
      <c r="D9942" t="s">
        <v>4909</v>
      </c>
      <c r="E9942" t="s">
        <v>4909</v>
      </c>
      <c r="F9942" t="s">
        <v>4909</v>
      </c>
      <c r="G9942" t="s">
        <v>4909</v>
      </c>
      <c r="H9942" t="s">
        <v>4909</v>
      </c>
      <c r="I9942" t="s">
        <v>4909</v>
      </c>
      <c r="J9942" t="s">
        <v>4909</v>
      </c>
      <c r="K9942" t="s">
        <v>4909</v>
      </c>
    </row>
    <row r="9943" spans="1:11" x14ac:dyDescent="0.2">
      <c r="A9943" t="s">
        <v>1867</v>
      </c>
      <c r="B9943" t="s">
        <v>4909</v>
      </c>
      <c r="C9943" t="s">
        <v>4909</v>
      </c>
      <c r="D9943" t="s">
        <v>4909</v>
      </c>
      <c r="E9943" t="s">
        <v>4909</v>
      </c>
      <c r="F9943" t="s">
        <v>4909</v>
      </c>
      <c r="G9943" t="s">
        <v>4909</v>
      </c>
      <c r="H9943" t="s">
        <v>4909</v>
      </c>
      <c r="I9943" t="s">
        <v>4909</v>
      </c>
      <c r="J9943" t="s">
        <v>4909</v>
      </c>
      <c r="K9943" t="s">
        <v>4909</v>
      </c>
    </row>
    <row r="9944" spans="1:11" x14ac:dyDescent="0.2">
      <c r="A9944" t="s">
        <v>1870</v>
      </c>
      <c r="B9944" t="s">
        <v>4909</v>
      </c>
      <c r="C9944" t="s">
        <v>4909</v>
      </c>
      <c r="D9944" t="s">
        <v>4909</v>
      </c>
      <c r="E9944" t="s">
        <v>4909</v>
      </c>
      <c r="F9944" t="s">
        <v>4909</v>
      </c>
      <c r="G9944" t="s">
        <v>4909</v>
      </c>
      <c r="H9944" t="s">
        <v>4909</v>
      </c>
      <c r="I9944" t="s">
        <v>4909</v>
      </c>
      <c r="J9944" t="s">
        <v>4909</v>
      </c>
      <c r="K9944" t="s">
        <v>4909</v>
      </c>
    </row>
    <row r="9945" spans="1:11" x14ac:dyDescent="0.2">
      <c r="A9945" t="s">
        <v>1874</v>
      </c>
      <c r="B9945" t="s">
        <v>4909</v>
      </c>
      <c r="C9945" t="s">
        <v>4909</v>
      </c>
      <c r="D9945" t="s">
        <v>4909</v>
      </c>
      <c r="E9945" t="s">
        <v>4909</v>
      </c>
      <c r="F9945" t="s">
        <v>4909</v>
      </c>
      <c r="G9945" t="s">
        <v>4909</v>
      </c>
      <c r="H9945" t="s">
        <v>4909</v>
      </c>
      <c r="I9945" t="s">
        <v>4909</v>
      </c>
      <c r="J9945" t="s">
        <v>4909</v>
      </c>
      <c r="K9945" t="s">
        <v>4909</v>
      </c>
    </row>
    <row r="9946" spans="1:11" x14ac:dyDescent="0.2">
      <c r="A9946" t="s">
        <v>1876</v>
      </c>
      <c r="B9946" t="s">
        <v>4909</v>
      </c>
      <c r="C9946" t="s">
        <v>4909</v>
      </c>
      <c r="D9946" t="s">
        <v>4909</v>
      </c>
      <c r="E9946" t="s">
        <v>4909</v>
      </c>
      <c r="F9946" t="s">
        <v>4909</v>
      </c>
      <c r="G9946" t="s">
        <v>4909</v>
      </c>
      <c r="H9946" t="s">
        <v>4909</v>
      </c>
      <c r="I9946" t="s">
        <v>4909</v>
      </c>
      <c r="J9946" t="s">
        <v>4909</v>
      </c>
      <c r="K9946" t="s">
        <v>4909</v>
      </c>
    </row>
    <row r="9947" spans="1:11" x14ac:dyDescent="0.2">
      <c r="A9947" t="s">
        <v>1881</v>
      </c>
      <c r="B9947" t="s">
        <v>4909</v>
      </c>
      <c r="C9947" t="s">
        <v>4909</v>
      </c>
      <c r="D9947" t="s">
        <v>4909</v>
      </c>
      <c r="E9947" t="s">
        <v>4909</v>
      </c>
      <c r="F9947" t="s">
        <v>4909</v>
      </c>
      <c r="G9947" t="s">
        <v>4909</v>
      </c>
      <c r="H9947" t="s">
        <v>4909</v>
      </c>
      <c r="I9947" t="s">
        <v>4909</v>
      </c>
      <c r="J9947" t="s">
        <v>4909</v>
      </c>
      <c r="K9947" t="s">
        <v>4909</v>
      </c>
    </row>
    <row r="9948" spans="1:11" x14ac:dyDescent="0.2">
      <c r="A9948" t="s">
        <v>1885</v>
      </c>
      <c r="B9948" s="88">
        <v>0</v>
      </c>
      <c r="C9948" t="s">
        <v>4909</v>
      </c>
      <c r="D9948" t="s">
        <v>4909</v>
      </c>
      <c r="E9948" t="s">
        <v>4909</v>
      </c>
      <c r="F9948" t="s">
        <v>4909</v>
      </c>
      <c r="G9948" t="s">
        <v>4909</v>
      </c>
      <c r="H9948" t="s">
        <v>4909</v>
      </c>
      <c r="I9948" t="s">
        <v>4909</v>
      </c>
      <c r="J9948" t="s">
        <v>4909</v>
      </c>
      <c r="K9948" t="s">
        <v>4909</v>
      </c>
    </row>
    <row r="9949" spans="1:11" x14ac:dyDescent="0.2">
      <c r="A9949" t="s">
        <v>1887</v>
      </c>
      <c r="B9949" s="88">
        <v>1E-3</v>
      </c>
      <c r="C9949" t="s">
        <v>4909</v>
      </c>
      <c r="D9949" t="s">
        <v>4909</v>
      </c>
      <c r="E9949" t="s">
        <v>4909</v>
      </c>
      <c r="F9949" s="88">
        <v>0</v>
      </c>
      <c r="G9949" t="s">
        <v>4909</v>
      </c>
      <c r="H9949" t="s">
        <v>4909</v>
      </c>
      <c r="I9949" t="s">
        <v>4909</v>
      </c>
      <c r="J9949" t="s">
        <v>4909</v>
      </c>
      <c r="K9949" t="s">
        <v>4909</v>
      </c>
    </row>
    <row r="9950" spans="1:11" x14ac:dyDescent="0.2">
      <c r="A9950" t="s">
        <v>1893</v>
      </c>
      <c r="B9950" s="88">
        <v>1E-3</v>
      </c>
      <c r="C9950" t="s">
        <v>4909</v>
      </c>
      <c r="D9950" t="s">
        <v>4909</v>
      </c>
      <c r="E9950" t="s">
        <v>4909</v>
      </c>
      <c r="F9950" s="88">
        <v>0</v>
      </c>
      <c r="G9950" t="s">
        <v>4909</v>
      </c>
      <c r="H9950" t="s">
        <v>4909</v>
      </c>
      <c r="I9950" t="s">
        <v>4909</v>
      </c>
      <c r="J9950" t="s">
        <v>4909</v>
      </c>
      <c r="K9950" t="s">
        <v>4909</v>
      </c>
    </row>
    <row r="9951" spans="1:11" x14ac:dyDescent="0.2">
      <c r="A9951" t="s">
        <v>1899</v>
      </c>
      <c r="B9951" t="s">
        <v>4909</v>
      </c>
      <c r="C9951" t="s">
        <v>4909</v>
      </c>
      <c r="D9951" t="s">
        <v>4909</v>
      </c>
      <c r="E9951" t="s">
        <v>4909</v>
      </c>
      <c r="F9951" t="s">
        <v>4909</v>
      </c>
      <c r="G9951" t="s">
        <v>4909</v>
      </c>
      <c r="H9951" t="s">
        <v>4909</v>
      </c>
      <c r="I9951" t="s">
        <v>4909</v>
      </c>
      <c r="J9951" t="s">
        <v>4909</v>
      </c>
      <c r="K9951" t="s">
        <v>4909</v>
      </c>
    </row>
    <row r="9952" spans="1:11" x14ac:dyDescent="0.2">
      <c r="A9952" t="s">
        <v>1906</v>
      </c>
      <c r="B9952" t="s">
        <v>4909</v>
      </c>
      <c r="C9952" t="s">
        <v>4909</v>
      </c>
      <c r="D9952" t="s">
        <v>4909</v>
      </c>
      <c r="E9952" t="s">
        <v>4909</v>
      </c>
      <c r="F9952" t="s">
        <v>4909</v>
      </c>
      <c r="G9952" t="s">
        <v>4909</v>
      </c>
      <c r="H9952" t="s">
        <v>4909</v>
      </c>
      <c r="I9952" t="s">
        <v>4909</v>
      </c>
      <c r="J9952" t="s">
        <v>4909</v>
      </c>
      <c r="K9952" t="s">
        <v>4909</v>
      </c>
    </row>
    <row r="9953" spans="1:11" x14ac:dyDescent="0.2">
      <c r="A9953" t="s">
        <v>1911</v>
      </c>
      <c r="B9953" t="s">
        <v>4909</v>
      </c>
      <c r="C9953" t="s">
        <v>4909</v>
      </c>
      <c r="D9953" t="s">
        <v>4909</v>
      </c>
      <c r="E9953" t="s">
        <v>4909</v>
      </c>
      <c r="F9953" t="s">
        <v>4909</v>
      </c>
      <c r="G9953" t="s">
        <v>4909</v>
      </c>
      <c r="H9953" t="s">
        <v>4909</v>
      </c>
      <c r="I9953" t="s">
        <v>4909</v>
      </c>
      <c r="J9953" t="s">
        <v>4909</v>
      </c>
      <c r="K9953" t="s">
        <v>4909</v>
      </c>
    </row>
    <row r="9954" spans="1:11" x14ac:dyDescent="0.2">
      <c r="A9954" t="s">
        <v>1917</v>
      </c>
      <c r="B9954" s="88">
        <v>0</v>
      </c>
      <c r="C9954" t="s">
        <v>4909</v>
      </c>
      <c r="D9954" t="s">
        <v>4909</v>
      </c>
      <c r="E9954" t="s">
        <v>4909</v>
      </c>
      <c r="F9954" t="s">
        <v>4909</v>
      </c>
      <c r="G9954" t="s">
        <v>4909</v>
      </c>
      <c r="H9954" t="s">
        <v>4909</v>
      </c>
      <c r="I9954" t="s">
        <v>4909</v>
      </c>
      <c r="J9954" t="s">
        <v>4909</v>
      </c>
      <c r="K9954" t="s">
        <v>4909</v>
      </c>
    </row>
    <row r="9955" spans="1:11" x14ac:dyDescent="0.2">
      <c r="A9955" t="s">
        <v>1922</v>
      </c>
      <c r="B9955" t="s">
        <v>4909</v>
      </c>
      <c r="C9955" t="s">
        <v>4909</v>
      </c>
      <c r="D9955" t="s">
        <v>4909</v>
      </c>
      <c r="E9955" t="s">
        <v>4909</v>
      </c>
      <c r="F9955" t="s">
        <v>4909</v>
      </c>
      <c r="G9955" t="s">
        <v>4909</v>
      </c>
      <c r="H9955" t="s">
        <v>4909</v>
      </c>
      <c r="I9955" t="s">
        <v>4909</v>
      </c>
      <c r="J9955" t="s">
        <v>4909</v>
      </c>
      <c r="K9955" t="s">
        <v>4909</v>
      </c>
    </row>
    <row r="9956" spans="1:11" x14ac:dyDescent="0.2">
      <c r="A9956" t="s">
        <v>1928</v>
      </c>
      <c r="B9956" t="s">
        <v>4909</v>
      </c>
      <c r="C9956" t="s">
        <v>4909</v>
      </c>
      <c r="D9956" t="s">
        <v>4909</v>
      </c>
      <c r="E9956" t="s">
        <v>4909</v>
      </c>
      <c r="F9956" t="s">
        <v>4909</v>
      </c>
      <c r="G9956" t="s">
        <v>4909</v>
      </c>
      <c r="H9956" t="s">
        <v>4909</v>
      </c>
      <c r="I9956" t="s">
        <v>4909</v>
      </c>
      <c r="J9956" t="s">
        <v>4909</v>
      </c>
      <c r="K9956" t="s">
        <v>4909</v>
      </c>
    </row>
    <row r="9957" spans="1:11" x14ac:dyDescent="0.2">
      <c r="A9957" t="s">
        <v>1932</v>
      </c>
      <c r="B9957" t="s">
        <v>4909</v>
      </c>
      <c r="C9957" t="s">
        <v>4909</v>
      </c>
      <c r="D9957" t="s">
        <v>4909</v>
      </c>
      <c r="E9957" t="s">
        <v>4909</v>
      </c>
      <c r="F9957" t="s">
        <v>4909</v>
      </c>
      <c r="G9957" t="s">
        <v>4909</v>
      </c>
      <c r="H9957" t="s">
        <v>4909</v>
      </c>
      <c r="I9957" t="s">
        <v>4909</v>
      </c>
      <c r="J9957" t="s">
        <v>4909</v>
      </c>
      <c r="K9957" t="s">
        <v>4909</v>
      </c>
    </row>
    <row r="9958" spans="1:11" x14ac:dyDescent="0.2">
      <c r="A9958" t="s">
        <v>1938</v>
      </c>
      <c r="B9958" t="s">
        <v>4909</v>
      </c>
      <c r="C9958" t="s">
        <v>4909</v>
      </c>
      <c r="D9958" t="s">
        <v>4909</v>
      </c>
      <c r="E9958" t="s">
        <v>4909</v>
      </c>
      <c r="F9958" t="s">
        <v>4909</v>
      </c>
      <c r="G9958" t="s">
        <v>4909</v>
      </c>
      <c r="H9958" t="s">
        <v>4909</v>
      </c>
      <c r="I9958" t="s">
        <v>4909</v>
      </c>
      <c r="J9958" t="s">
        <v>4909</v>
      </c>
      <c r="K9958" t="s">
        <v>4909</v>
      </c>
    </row>
    <row r="9959" spans="1:11" x14ac:dyDescent="0.2">
      <c r="A9959" t="s">
        <v>1944</v>
      </c>
      <c r="B9959" s="88">
        <v>0</v>
      </c>
      <c r="C9959" t="s">
        <v>4909</v>
      </c>
      <c r="D9959" s="88">
        <v>3.1E-2</v>
      </c>
      <c r="E9959" t="s">
        <v>4909</v>
      </c>
      <c r="F9959" t="s">
        <v>4909</v>
      </c>
      <c r="G9959" t="s">
        <v>4909</v>
      </c>
      <c r="H9959" t="s">
        <v>4909</v>
      </c>
      <c r="I9959" t="s">
        <v>4909</v>
      </c>
      <c r="J9959" t="s">
        <v>4909</v>
      </c>
      <c r="K9959" t="s">
        <v>4909</v>
      </c>
    </row>
    <row r="9960" spans="1:11" x14ac:dyDescent="0.2">
      <c r="A9960" t="s">
        <v>1947</v>
      </c>
      <c r="B9960" t="s">
        <v>4909</v>
      </c>
      <c r="C9960" t="s">
        <v>4909</v>
      </c>
      <c r="D9960" t="s">
        <v>4909</v>
      </c>
      <c r="E9960" t="s">
        <v>4909</v>
      </c>
      <c r="F9960" t="s">
        <v>4909</v>
      </c>
      <c r="G9960" t="s">
        <v>4909</v>
      </c>
      <c r="H9960" t="s">
        <v>4909</v>
      </c>
      <c r="I9960" t="s">
        <v>4909</v>
      </c>
      <c r="J9960" t="s">
        <v>4909</v>
      </c>
      <c r="K9960" t="s">
        <v>4909</v>
      </c>
    </row>
    <row r="9961" spans="1:11" x14ac:dyDescent="0.2">
      <c r="A9961" t="s">
        <v>1953</v>
      </c>
      <c r="B9961" s="88">
        <v>0</v>
      </c>
      <c r="C9961" t="s">
        <v>4909</v>
      </c>
      <c r="D9961" t="s">
        <v>4909</v>
      </c>
      <c r="E9961" t="s">
        <v>4909</v>
      </c>
      <c r="F9961" t="s">
        <v>4909</v>
      </c>
      <c r="G9961" t="s">
        <v>4909</v>
      </c>
      <c r="H9961" t="s">
        <v>4909</v>
      </c>
      <c r="I9961" t="s">
        <v>4909</v>
      </c>
      <c r="J9961" t="s">
        <v>4909</v>
      </c>
      <c r="K9961" t="s">
        <v>4909</v>
      </c>
    </row>
    <row r="9962" spans="1:11" x14ac:dyDescent="0.2">
      <c r="A9962" t="s">
        <v>1958</v>
      </c>
      <c r="B9962" t="s">
        <v>4909</v>
      </c>
      <c r="C9962" t="s">
        <v>4909</v>
      </c>
      <c r="D9962" t="s">
        <v>4909</v>
      </c>
      <c r="E9962" t="s">
        <v>4909</v>
      </c>
      <c r="F9962" t="s">
        <v>4909</v>
      </c>
      <c r="G9962" t="s">
        <v>4909</v>
      </c>
      <c r="H9962" t="s">
        <v>4909</v>
      </c>
      <c r="I9962" t="s">
        <v>4909</v>
      </c>
      <c r="J9962" t="s">
        <v>4909</v>
      </c>
      <c r="K9962" t="s">
        <v>4909</v>
      </c>
    </row>
    <row r="9963" spans="1:11" x14ac:dyDescent="0.2">
      <c r="A9963" t="s">
        <v>1964</v>
      </c>
      <c r="B9963" t="s">
        <v>4909</v>
      </c>
      <c r="C9963" t="s">
        <v>4909</v>
      </c>
      <c r="D9963" t="s">
        <v>4909</v>
      </c>
      <c r="E9963" t="s">
        <v>4909</v>
      </c>
      <c r="F9963" t="s">
        <v>4909</v>
      </c>
      <c r="G9963" t="s">
        <v>4909</v>
      </c>
      <c r="H9963" t="s">
        <v>4909</v>
      </c>
      <c r="I9963" t="s">
        <v>4909</v>
      </c>
      <c r="J9963" t="s">
        <v>4909</v>
      </c>
      <c r="K9963" t="s">
        <v>4909</v>
      </c>
    </row>
    <row r="9964" spans="1:11" x14ac:dyDescent="0.2">
      <c r="A9964" t="s">
        <v>1973</v>
      </c>
      <c r="B9964" t="s">
        <v>4909</v>
      </c>
      <c r="C9964" t="s">
        <v>4909</v>
      </c>
      <c r="D9964" t="s">
        <v>4909</v>
      </c>
      <c r="E9964" t="s">
        <v>4909</v>
      </c>
      <c r="F9964" t="s">
        <v>4909</v>
      </c>
      <c r="G9964" t="s">
        <v>4909</v>
      </c>
      <c r="H9964" t="s">
        <v>4909</v>
      </c>
      <c r="I9964" t="s">
        <v>4909</v>
      </c>
      <c r="J9964" t="s">
        <v>4909</v>
      </c>
      <c r="K9964" t="s">
        <v>4909</v>
      </c>
    </row>
    <row r="9965" spans="1:11" x14ac:dyDescent="0.2">
      <c r="A9965" t="s">
        <v>1978</v>
      </c>
      <c r="B9965" t="s">
        <v>4909</v>
      </c>
      <c r="C9965" t="s">
        <v>4909</v>
      </c>
      <c r="D9965" t="s">
        <v>4909</v>
      </c>
      <c r="E9965" t="s">
        <v>4909</v>
      </c>
      <c r="F9965" t="s">
        <v>4909</v>
      </c>
      <c r="G9965" t="s">
        <v>4909</v>
      </c>
      <c r="H9965" t="s">
        <v>4909</v>
      </c>
      <c r="I9965" t="s">
        <v>4909</v>
      </c>
      <c r="J9965" t="s">
        <v>4909</v>
      </c>
      <c r="K9965" t="s">
        <v>4909</v>
      </c>
    </row>
    <row r="9966" spans="1:11" x14ac:dyDescent="0.2">
      <c r="A9966" t="s">
        <v>1983</v>
      </c>
      <c r="B9966" t="s">
        <v>4909</v>
      </c>
      <c r="C9966" t="s">
        <v>4909</v>
      </c>
      <c r="D9966" t="s">
        <v>4909</v>
      </c>
      <c r="E9966" t="s">
        <v>4909</v>
      </c>
      <c r="F9966" t="s">
        <v>4909</v>
      </c>
      <c r="G9966" t="s">
        <v>4909</v>
      </c>
      <c r="H9966" t="s">
        <v>4909</v>
      </c>
      <c r="I9966" t="s">
        <v>4909</v>
      </c>
      <c r="J9966" t="s">
        <v>4909</v>
      </c>
      <c r="K9966" t="s">
        <v>4909</v>
      </c>
    </row>
    <row r="9967" spans="1:11" x14ac:dyDescent="0.2">
      <c r="A9967" t="s">
        <v>1984</v>
      </c>
      <c r="B9967" t="s">
        <v>4909</v>
      </c>
      <c r="C9967" t="s">
        <v>4909</v>
      </c>
      <c r="D9967" t="s">
        <v>4909</v>
      </c>
      <c r="E9967" t="s">
        <v>4909</v>
      </c>
      <c r="F9967" t="s">
        <v>4909</v>
      </c>
      <c r="G9967" t="s">
        <v>4909</v>
      </c>
      <c r="H9967" t="s">
        <v>4909</v>
      </c>
      <c r="I9967" t="s">
        <v>4909</v>
      </c>
      <c r="J9967" t="s">
        <v>4909</v>
      </c>
      <c r="K9967" t="s">
        <v>4909</v>
      </c>
    </row>
    <row r="9968" spans="1:11" x14ac:dyDescent="0.2">
      <c r="A9968" t="s">
        <v>1990</v>
      </c>
      <c r="B9968" t="s">
        <v>4909</v>
      </c>
      <c r="C9968" t="s">
        <v>4909</v>
      </c>
      <c r="D9968" t="s">
        <v>4909</v>
      </c>
      <c r="E9968" t="s">
        <v>4909</v>
      </c>
      <c r="F9968" t="s">
        <v>4909</v>
      </c>
      <c r="G9968" t="s">
        <v>4909</v>
      </c>
      <c r="H9968" t="s">
        <v>4909</v>
      </c>
      <c r="I9968" t="s">
        <v>4909</v>
      </c>
      <c r="J9968" t="s">
        <v>4909</v>
      </c>
      <c r="K9968" t="s">
        <v>4909</v>
      </c>
    </row>
    <row r="9969" spans="1:11" x14ac:dyDescent="0.2">
      <c r="A9969" t="s">
        <v>1996</v>
      </c>
      <c r="B9969" t="s">
        <v>4909</v>
      </c>
      <c r="C9969" t="s">
        <v>4909</v>
      </c>
      <c r="D9969" t="s">
        <v>4909</v>
      </c>
      <c r="E9969" t="s">
        <v>4909</v>
      </c>
      <c r="F9969" t="s">
        <v>4909</v>
      </c>
      <c r="G9969" t="s">
        <v>4909</v>
      </c>
      <c r="H9969" t="s">
        <v>4909</v>
      </c>
      <c r="I9969" t="s">
        <v>4909</v>
      </c>
      <c r="J9969" t="s">
        <v>4909</v>
      </c>
      <c r="K9969" t="s">
        <v>4909</v>
      </c>
    </row>
    <row r="9970" spans="1:11" x14ac:dyDescent="0.2">
      <c r="A9970" t="s">
        <v>1998</v>
      </c>
      <c r="B9970" t="s">
        <v>4909</v>
      </c>
      <c r="C9970" t="s">
        <v>4909</v>
      </c>
      <c r="D9970" t="s">
        <v>4909</v>
      </c>
      <c r="E9970" t="s">
        <v>4909</v>
      </c>
      <c r="F9970" t="s">
        <v>4909</v>
      </c>
      <c r="G9970" t="s">
        <v>4909</v>
      </c>
      <c r="H9970" t="s">
        <v>4909</v>
      </c>
      <c r="I9970" t="s">
        <v>4909</v>
      </c>
      <c r="J9970" t="s">
        <v>4909</v>
      </c>
      <c r="K9970" t="s">
        <v>4909</v>
      </c>
    </row>
    <row r="9971" spans="1:11" x14ac:dyDescent="0.2">
      <c r="A9971" t="s">
        <v>1999</v>
      </c>
      <c r="B9971" t="s">
        <v>4909</v>
      </c>
      <c r="C9971" t="s">
        <v>4909</v>
      </c>
      <c r="D9971" t="s">
        <v>4909</v>
      </c>
      <c r="E9971" t="s">
        <v>4909</v>
      </c>
      <c r="F9971" t="s">
        <v>4909</v>
      </c>
      <c r="G9971" t="s">
        <v>4909</v>
      </c>
      <c r="H9971" t="s">
        <v>4909</v>
      </c>
      <c r="I9971" t="s">
        <v>4909</v>
      </c>
      <c r="J9971" t="s">
        <v>4909</v>
      </c>
      <c r="K9971" t="s">
        <v>4909</v>
      </c>
    </row>
    <row r="9972" spans="1:11" x14ac:dyDescent="0.2">
      <c r="A9972" t="s">
        <v>2004</v>
      </c>
      <c r="B9972" t="s">
        <v>4909</v>
      </c>
      <c r="C9972" t="s">
        <v>4909</v>
      </c>
      <c r="D9972" t="s">
        <v>4909</v>
      </c>
      <c r="E9972" t="s">
        <v>4909</v>
      </c>
      <c r="F9972" t="s">
        <v>4909</v>
      </c>
      <c r="G9972" t="s">
        <v>4909</v>
      </c>
      <c r="H9972" t="s">
        <v>4909</v>
      </c>
      <c r="I9972" t="s">
        <v>4909</v>
      </c>
      <c r="J9972" t="s">
        <v>4909</v>
      </c>
      <c r="K9972" t="s">
        <v>4909</v>
      </c>
    </row>
    <row r="9973" spans="1:11" x14ac:dyDescent="0.2">
      <c r="A9973" t="s">
        <v>2009</v>
      </c>
      <c r="B9973" t="s">
        <v>4909</v>
      </c>
      <c r="C9973" t="s">
        <v>4909</v>
      </c>
      <c r="D9973" t="s">
        <v>4909</v>
      </c>
      <c r="E9973" t="s">
        <v>4909</v>
      </c>
      <c r="F9973" t="s">
        <v>4909</v>
      </c>
      <c r="G9973" t="s">
        <v>4909</v>
      </c>
      <c r="H9973" t="s">
        <v>4909</v>
      </c>
      <c r="I9973" t="s">
        <v>4909</v>
      </c>
      <c r="J9973" t="s">
        <v>4909</v>
      </c>
      <c r="K9973" t="s">
        <v>4909</v>
      </c>
    </row>
    <row r="9974" spans="1:11" x14ac:dyDescent="0.2">
      <c r="A9974" t="s">
        <v>2014</v>
      </c>
      <c r="B9974" t="s">
        <v>4909</v>
      </c>
      <c r="C9974" t="s">
        <v>4909</v>
      </c>
      <c r="D9974" t="s">
        <v>4909</v>
      </c>
      <c r="E9974" t="s">
        <v>4909</v>
      </c>
      <c r="F9974" t="s">
        <v>4909</v>
      </c>
      <c r="G9974" t="s">
        <v>4909</v>
      </c>
      <c r="H9974" t="s">
        <v>4909</v>
      </c>
      <c r="I9974" t="s">
        <v>4909</v>
      </c>
      <c r="J9974" t="s">
        <v>4909</v>
      </c>
      <c r="K9974" t="s">
        <v>4909</v>
      </c>
    </row>
    <row r="9975" spans="1:11" x14ac:dyDescent="0.2">
      <c r="A9975" t="s">
        <v>2019</v>
      </c>
      <c r="B9975" t="s">
        <v>4909</v>
      </c>
      <c r="C9975" t="s">
        <v>4909</v>
      </c>
      <c r="D9975" t="s">
        <v>4909</v>
      </c>
      <c r="E9975" t="s">
        <v>4909</v>
      </c>
      <c r="F9975" t="s">
        <v>4909</v>
      </c>
      <c r="G9975" t="s">
        <v>4909</v>
      </c>
      <c r="H9975" t="s">
        <v>4909</v>
      </c>
      <c r="I9975" t="s">
        <v>4909</v>
      </c>
      <c r="J9975" t="s">
        <v>4909</v>
      </c>
      <c r="K9975" t="s">
        <v>4909</v>
      </c>
    </row>
    <row r="9976" spans="1:11" x14ac:dyDescent="0.2">
      <c r="A9976" t="s">
        <v>2023</v>
      </c>
      <c r="B9976" t="s">
        <v>4909</v>
      </c>
      <c r="C9976" t="s">
        <v>4909</v>
      </c>
      <c r="D9976" t="s">
        <v>4909</v>
      </c>
      <c r="E9976" t="s">
        <v>4909</v>
      </c>
      <c r="F9976" t="s">
        <v>4909</v>
      </c>
      <c r="G9976" t="s">
        <v>4909</v>
      </c>
      <c r="H9976" t="s">
        <v>4909</v>
      </c>
      <c r="I9976" t="s">
        <v>4909</v>
      </c>
      <c r="J9976" t="s">
        <v>4909</v>
      </c>
      <c r="K9976" t="s">
        <v>4909</v>
      </c>
    </row>
    <row r="9977" spans="1:11" x14ac:dyDescent="0.2">
      <c r="A9977" t="s">
        <v>2026</v>
      </c>
      <c r="B9977" t="s">
        <v>4909</v>
      </c>
      <c r="C9977" t="s">
        <v>4909</v>
      </c>
      <c r="D9977" t="s">
        <v>4909</v>
      </c>
      <c r="E9977" t="s">
        <v>4909</v>
      </c>
      <c r="F9977" t="s">
        <v>4909</v>
      </c>
      <c r="G9977" t="s">
        <v>4909</v>
      </c>
      <c r="H9977" t="s">
        <v>4909</v>
      </c>
      <c r="I9977" t="s">
        <v>4909</v>
      </c>
      <c r="J9977" t="s">
        <v>4909</v>
      </c>
      <c r="K9977" t="s">
        <v>4909</v>
      </c>
    </row>
    <row r="9978" spans="1:11" x14ac:dyDescent="0.2">
      <c r="A9978" t="s">
        <v>2030</v>
      </c>
      <c r="B9978" t="s">
        <v>4909</v>
      </c>
      <c r="C9978" t="s">
        <v>4909</v>
      </c>
      <c r="D9978" t="s">
        <v>4909</v>
      </c>
      <c r="E9978" t="s">
        <v>4909</v>
      </c>
      <c r="F9978" t="s">
        <v>4909</v>
      </c>
      <c r="G9978" t="s">
        <v>4909</v>
      </c>
      <c r="H9978" t="s">
        <v>4909</v>
      </c>
      <c r="I9978" t="s">
        <v>4909</v>
      </c>
      <c r="J9978" t="s">
        <v>4909</v>
      </c>
      <c r="K9978" t="s">
        <v>4909</v>
      </c>
    </row>
    <row r="9979" spans="1:11" x14ac:dyDescent="0.2">
      <c r="A9979" t="s">
        <v>2035</v>
      </c>
      <c r="B9979" t="s">
        <v>4909</v>
      </c>
      <c r="C9979" t="s">
        <v>4909</v>
      </c>
      <c r="D9979" t="s">
        <v>4909</v>
      </c>
      <c r="E9979" t="s">
        <v>4909</v>
      </c>
      <c r="F9979" t="s">
        <v>4909</v>
      </c>
      <c r="G9979" t="s">
        <v>4909</v>
      </c>
      <c r="H9979" t="s">
        <v>4909</v>
      </c>
      <c r="I9979" t="s">
        <v>4909</v>
      </c>
      <c r="J9979" t="s">
        <v>4909</v>
      </c>
      <c r="K9979" t="s">
        <v>4909</v>
      </c>
    </row>
    <row r="9980" spans="1:11" x14ac:dyDescent="0.2">
      <c r="A9980" t="s">
        <v>2040</v>
      </c>
      <c r="B9980" t="s">
        <v>4909</v>
      </c>
      <c r="C9980" t="s">
        <v>4909</v>
      </c>
      <c r="D9980" t="s">
        <v>4909</v>
      </c>
      <c r="E9980" t="s">
        <v>4909</v>
      </c>
      <c r="F9980" t="s">
        <v>4909</v>
      </c>
      <c r="G9980" t="s">
        <v>4909</v>
      </c>
      <c r="H9980" t="s">
        <v>4909</v>
      </c>
      <c r="I9980" t="s">
        <v>4909</v>
      </c>
      <c r="J9980" t="s">
        <v>4909</v>
      </c>
      <c r="K9980" t="s">
        <v>4909</v>
      </c>
    </row>
    <row r="9981" spans="1:11" x14ac:dyDescent="0.2">
      <c r="A9981" t="s">
        <v>2045</v>
      </c>
      <c r="B9981" t="s">
        <v>4909</v>
      </c>
      <c r="C9981" t="s">
        <v>4909</v>
      </c>
      <c r="D9981" t="s">
        <v>4909</v>
      </c>
      <c r="E9981" t="s">
        <v>4909</v>
      </c>
      <c r="F9981" t="s">
        <v>4909</v>
      </c>
      <c r="G9981" t="s">
        <v>4909</v>
      </c>
      <c r="H9981" t="s">
        <v>4909</v>
      </c>
      <c r="I9981" t="s">
        <v>4909</v>
      </c>
      <c r="J9981" t="s">
        <v>4909</v>
      </c>
      <c r="K9981" t="s">
        <v>4909</v>
      </c>
    </row>
    <row r="9982" spans="1:11" x14ac:dyDescent="0.2">
      <c r="A9982" t="s">
        <v>2049</v>
      </c>
      <c r="B9982" t="s">
        <v>4909</v>
      </c>
      <c r="C9982" t="s">
        <v>4909</v>
      </c>
      <c r="D9982" t="s">
        <v>4909</v>
      </c>
      <c r="E9982" t="s">
        <v>4909</v>
      </c>
      <c r="F9982" t="s">
        <v>4909</v>
      </c>
      <c r="G9982" t="s">
        <v>4909</v>
      </c>
      <c r="H9982" t="s">
        <v>4909</v>
      </c>
      <c r="I9982" t="s">
        <v>4909</v>
      </c>
      <c r="J9982" t="s">
        <v>4909</v>
      </c>
      <c r="K9982" t="s">
        <v>4909</v>
      </c>
    </row>
    <row r="9983" spans="1:11" x14ac:dyDescent="0.2">
      <c r="A9983" t="s">
        <v>2051</v>
      </c>
      <c r="B9983" t="s">
        <v>4909</v>
      </c>
      <c r="C9983" t="s">
        <v>4909</v>
      </c>
      <c r="D9983" t="s">
        <v>4909</v>
      </c>
      <c r="E9983" t="s">
        <v>4909</v>
      </c>
      <c r="F9983" t="s">
        <v>4909</v>
      </c>
      <c r="G9983" t="s">
        <v>4909</v>
      </c>
      <c r="H9983" t="s">
        <v>4909</v>
      </c>
      <c r="I9983" t="s">
        <v>4909</v>
      </c>
      <c r="J9983" t="s">
        <v>4909</v>
      </c>
      <c r="K9983" t="s">
        <v>4909</v>
      </c>
    </row>
    <row r="9984" spans="1:11" x14ac:dyDescent="0.2">
      <c r="A9984" t="s">
        <v>2057</v>
      </c>
      <c r="B9984" t="s">
        <v>4909</v>
      </c>
      <c r="C9984" t="s">
        <v>4909</v>
      </c>
      <c r="D9984" t="s">
        <v>4909</v>
      </c>
      <c r="E9984" t="s">
        <v>4909</v>
      </c>
      <c r="F9984" t="s">
        <v>4909</v>
      </c>
      <c r="G9984" t="s">
        <v>4909</v>
      </c>
      <c r="H9984" t="s">
        <v>4909</v>
      </c>
      <c r="I9984" t="s">
        <v>4909</v>
      </c>
      <c r="J9984" t="s">
        <v>4909</v>
      </c>
      <c r="K9984" t="s">
        <v>4909</v>
      </c>
    </row>
    <row r="9985" spans="1:11" x14ac:dyDescent="0.2">
      <c r="A9985" t="s">
        <v>4344</v>
      </c>
      <c r="B9985" t="s">
        <v>4909</v>
      </c>
      <c r="C9985" t="s">
        <v>4909</v>
      </c>
      <c r="D9985" t="s">
        <v>4909</v>
      </c>
      <c r="E9985" t="s">
        <v>4909</v>
      </c>
      <c r="F9985" t="s">
        <v>4909</v>
      </c>
      <c r="G9985" t="s">
        <v>4909</v>
      </c>
      <c r="H9985" t="s">
        <v>4909</v>
      </c>
      <c r="I9985" t="s">
        <v>4909</v>
      </c>
      <c r="J9985" t="s">
        <v>4909</v>
      </c>
      <c r="K9985" t="s">
        <v>4909</v>
      </c>
    </row>
    <row r="9986" spans="1:11" x14ac:dyDescent="0.2">
      <c r="A9986" t="s">
        <v>4345</v>
      </c>
      <c r="B9986" t="s">
        <v>4909</v>
      </c>
      <c r="C9986" t="s">
        <v>4909</v>
      </c>
      <c r="D9986" t="s">
        <v>4909</v>
      </c>
      <c r="E9986" t="s">
        <v>4909</v>
      </c>
      <c r="F9986" t="s">
        <v>4909</v>
      </c>
      <c r="G9986" t="s">
        <v>4909</v>
      </c>
      <c r="H9986" t="s">
        <v>4909</v>
      </c>
      <c r="I9986" t="s">
        <v>4909</v>
      </c>
      <c r="J9986" t="s">
        <v>4909</v>
      </c>
      <c r="K9986" t="s">
        <v>4909</v>
      </c>
    </row>
    <row r="9987" spans="1:11" x14ac:dyDescent="0.2">
      <c r="A9987" t="s">
        <v>2074</v>
      </c>
      <c r="B9987" t="s">
        <v>4909</v>
      </c>
      <c r="C9987" t="s">
        <v>4909</v>
      </c>
      <c r="D9987" t="s">
        <v>4909</v>
      </c>
      <c r="E9987" t="s">
        <v>4909</v>
      </c>
      <c r="F9987" t="s">
        <v>4909</v>
      </c>
      <c r="G9987" t="s">
        <v>4909</v>
      </c>
      <c r="H9987" t="s">
        <v>4909</v>
      </c>
      <c r="I9987" t="s">
        <v>4909</v>
      </c>
      <c r="J9987" t="s">
        <v>4909</v>
      </c>
      <c r="K9987" t="s">
        <v>4909</v>
      </c>
    </row>
    <row r="9988" spans="1:11" x14ac:dyDescent="0.2">
      <c r="A9988" t="s">
        <v>2079</v>
      </c>
      <c r="B9988" t="s">
        <v>4909</v>
      </c>
      <c r="C9988" t="s">
        <v>4909</v>
      </c>
      <c r="D9988" t="s">
        <v>4909</v>
      </c>
      <c r="E9988" t="s">
        <v>4909</v>
      </c>
      <c r="F9988" t="s">
        <v>4909</v>
      </c>
      <c r="G9988" t="s">
        <v>4909</v>
      </c>
      <c r="H9988" t="s">
        <v>4909</v>
      </c>
      <c r="I9988" t="s">
        <v>4909</v>
      </c>
      <c r="J9988" t="s">
        <v>4909</v>
      </c>
      <c r="K9988" t="s">
        <v>4909</v>
      </c>
    </row>
    <row r="9989" spans="1:11" x14ac:dyDescent="0.2">
      <c r="A9989" t="s">
        <v>2085</v>
      </c>
      <c r="B9989" t="s">
        <v>4909</v>
      </c>
      <c r="C9989" t="s">
        <v>4909</v>
      </c>
      <c r="D9989" t="s">
        <v>4909</v>
      </c>
      <c r="E9989" t="s">
        <v>4909</v>
      </c>
      <c r="F9989" t="s">
        <v>4909</v>
      </c>
      <c r="G9989" t="s">
        <v>4909</v>
      </c>
      <c r="H9989" t="s">
        <v>4909</v>
      </c>
      <c r="I9989" t="s">
        <v>4909</v>
      </c>
      <c r="J9989" t="s">
        <v>4909</v>
      </c>
      <c r="K9989" t="s">
        <v>4909</v>
      </c>
    </row>
    <row r="9990" spans="1:11" x14ac:dyDescent="0.2">
      <c r="A9990" t="s">
        <v>2091</v>
      </c>
      <c r="B9990" t="s">
        <v>4909</v>
      </c>
      <c r="C9990" t="s">
        <v>4909</v>
      </c>
      <c r="D9990" t="s">
        <v>4909</v>
      </c>
      <c r="E9990" t="s">
        <v>4909</v>
      </c>
      <c r="F9990" t="s">
        <v>4909</v>
      </c>
      <c r="G9990" t="s">
        <v>4909</v>
      </c>
      <c r="H9990" t="s">
        <v>4909</v>
      </c>
      <c r="I9990" t="s">
        <v>4909</v>
      </c>
      <c r="J9990" t="s">
        <v>4909</v>
      </c>
      <c r="K9990" t="s">
        <v>4909</v>
      </c>
    </row>
    <row r="9991" spans="1:11" x14ac:dyDescent="0.2">
      <c r="A9991" t="s">
        <v>2097</v>
      </c>
      <c r="B9991" t="s">
        <v>4909</v>
      </c>
      <c r="C9991" t="s">
        <v>4909</v>
      </c>
      <c r="D9991" t="s">
        <v>4909</v>
      </c>
      <c r="E9991" t="s">
        <v>4909</v>
      </c>
      <c r="F9991" t="s">
        <v>4909</v>
      </c>
      <c r="G9991" t="s">
        <v>4909</v>
      </c>
      <c r="H9991" t="s">
        <v>4909</v>
      </c>
      <c r="I9991" t="s">
        <v>4909</v>
      </c>
      <c r="J9991" t="s">
        <v>4909</v>
      </c>
      <c r="K9991" t="s">
        <v>4909</v>
      </c>
    </row>
    <row r="9992" spans="1:11" x14ac:dyDescent="0.2">
      <c r="A9992" t="s">
        <v>2101</v>
      </c>
      <c r="B9992" t="s">
        <v>4909</v>
      </c>
      <c r="C9992" t="s">
        <v>4909</v>
      </c>
      <c r="D9992" t="s">
        <v>4909</v>
      </c>
      <c r="E9992" t="s">
        <v>4909</v>
      </c>
      <c r="F9992" t="s">
        <v>4909</v>
      </c>
      <c r="G9992" t="s">
        <v>4909</v>
      </c>
      <c r="H9992" t="s">
        <v>4909</v>
      </c>
      <c r="I9992" t="s">
        <v>4909</v>
      </c>
      <c r="J9992" t="s">
        <v>4909</v>
      </c>
      <c r="K9992" t="s">
        <v>4909</v>
      </c>
    </row>
    <row r="9993" spans="1:11" x14ac:dyDescent="0.2">
      <c r="A9993" t="s">
        <v>2104</v>
      </c>
      <c r="B9993" t="s">
        <v>4909</v>
      </c>
      <c r="C9993" t="s">
        <v>4909</v>
      </c>
      <c r="D9993" t="s">
        <v>4909</v>
      </c>
      <c r="E9993" t="s">
        <v>4909</v>
      </c>
      <c r="F9993" t="s">
        <v>4909</v>
      </c>
      <c r="G9993" t="s">
        <v>4909</v>
      </c>
      <c r="H9993" t="s">
        <v>4909</v>
      </c>
      <c r="I9993" t="s">
        <v>4909</v>
      </c>
      <c r="J9993" t="s">
        <v>4909</v>
      </c>
      <c r="K9993" t="s">
        <v>4909</v>
      </c>
    </row>
    <row r="9994" spans="1:11" x14ac:dyDescent="0.2">
      <c r="A9994" t="s">
        <v>2107</v>
      </c>
      <c r="B9994" t="s">
        <v>4909</v>
      </c>
      <c r="C9994" t="s">
        <v>4909</v>
      </c>
      <c r="D9994" t="s">
        <v>4909</v>
      </c>
      <c r="E9994" t="s">
        <v>4909</v>
      </c>
      <c r="F9994" t="s">
        <v>4909</v>
      </c>
      <c r="G9994" t="s">
        <v>4909</v>
      </c>
      <c r="H9994" t="s">
        <v>4909</v>
      </c>
      <c r="I9994" t="s">
        <v>4909</v>
      </c>
      <c r="J9994" t="s">
        <v>4909</v>
      </c>
      <c r="K9994" t="s">
        <v>4909</v>
      </c>
    </row>
    <row r="9995" spans="1:11" x14ac:dyDescent="0.2">
      <c r="A9995" t="s">
        <v>2110</v>
      </c>
      <c r="B9995" t="s">
        <v>4909</v>
      </c>
      <c r="C9995" t="s">
        <v>4909</v>
      </c>
      <c r="D9995" t="s">
        <v>4909</v>
      </c>
      <c r="E9995" t="s">
        <v>4909</v>
      </c>
      <c r="F9995" t="s">
        <v>4909</v>
      </c>
      <c r="G9995" t="s">
        <v>4909</v>
      </c>
      <c r="H9995" t="s">
        <v>4909</v>
      </c>
      <c r="I9995" t="s">
        <v>4909</v>
      </c>
      <c r="J9995" t="s">
        <v>4909</v>
      </c>
      <c r="K9995" t="s">
        <v>4909</v>
      </c>
    </row>
    <row r="9996" spans="1:11" x14ac:dyDescent="0.2">
      <c r="A9996" t="s">
        <v>2113</v>
      </c>
      <c r="B9996" t="s">
        <v>4909</v>
      </c>
      <c r="C9996" t="s">
        <v>4909</v>
      </c>
      <c r="D9996" t="s">
        <v>4909</v>
      </c>
      <c r="E9996" t="s">
        <v>4909</v>
      </c>
      <c r="F9996" t="s">
        <v>4909</v>
      </c>
      <c r="G9996" t="s">
        <v>4909</v>
      </c>
      <c r="H9996" t="s">
        <v>4909</v>
      </c>
      <c r="I9996" t="s">
        <v>4909</v>
      </c>
      <c r="J9996" t="s">
        <v>4909</v>
      </c>
      <c r="K9996" t="s">
        <v>4909</v>
      </c>
    </row>
    <row r="9997" spans="1:11" x14ac:dyDescent="0.2">
      <c r="A9997" t="s">
        <v>4346</v>
      </c>
      <c r="B9997" t="s">
        <v>4909</v>
      </c>
      <c r="C9997" t="s">
        <v>4909</v>
      </c>
      <c r="D9997" t="s">
        <v>4909</v>
      </c>
      <c r="E9997" t="s">
        <v>4909</v>
      </c>
      <c r="F9997" t="s">
        <v>4909</v>
      </c>
      <c r="G9997" t="s">
        <v>4909</v>
      </c>
      <c r="H9997" t="s">
        <v>4909</v>
      </c>
      <c r="I9997" t="s">
        <v>4909</v>
      </c>
      <c r="J9997" t="s">
        <v>4909</v>
      </c>
      <c r="K9997" t="s">
        <v>4909</v>
      </c>
    </row>
    <row r="9998" spans="1:11" x14ac:dyDescent="0.2">
      <c r="A9998" t="s">
        <v>4347</v>
      </c>
      <c r="B9998" t="s">
        <v>4909</v>
      </c>
      <c r="C9998" t="s">
        <v>4909</v>
      </c>
      <c r="D9998" t="s">
        <v>4909</v>
      </c>
      <c r="E9998" t="s">
        <v>4909</v>
      </c>
      <c r="F9998" t="s">
        <v>4909</v>
      </c>
      <c r="G9998" t="s">
        <v>4909</v>
      </c>
      <c r="H9998" t="s">
        <v>4909</v>
      </c>
      <c r="I9998" t="s">
        <v>4909</v>
      </c>
      <c r="J9998" t="s">
        <v>4909</v>
      </c>
      <c r="K9998" t="s">
        <v>4909</v>
      </c>
    </row>
    <row r="9999" spans="1:11" x14ac:dyDescent="0.2">
      <c r="A9999" t="s">
        <v>4348</v>
      </c>
      <c r="B9999" s="88">
        <v>0.01</v>
      </c>
      <c r="C9999" t="s">
        <v>4909</v>
      </c>
      <c r="D9999" t="s">
        <v>4909</v>
      </c>
      <c r="E9999" t="s">
        <v>4909</v>
      </c>
      <c r="F9999" t="s">
        <v>4909</v>
      </c>
      <c r="G9999" t="s">
        <v>4909</v>
      </c>
      <c r="H9999" t="s">
        <v>4909</v>
      </c>
      <c r="I9999" t="s">
        <v>4909</v>
      </c>
      <c r="J9999" t="s">
        <v>4909</v>
      </c>
      <c r="K9999" t="s">
        <v>4909</v>
      </c>
    </row>
    <row r="10000" spans="1:11" x14ac:dyDescent="0.2">
      <c r="A10000" t="s">
        <v>4349</v>
      </c>
      <c r="B10000" s="88">
        <v>0.01</v>
      </c>
      <c r="C10000" t="s">
        <v>4909</v>
      </c>
      <c r="D10000" s="88">
        <v>0.01</v>
      </c>
      <c r="E10000" t="s">
        <v>4909</v>
      </c>
      <c r="F10000" t="s">
        <v>4909</v>
      </c>
      <c r="G10000" t="s">
        <v>4909</v>
      </c>
      <c r="H10000" t="s">
        <v>4909</v>
      </c>
      <c r="I10000" t="s">
        <v>4909</v>
      </c>
      <c r="J10000" t="s">
        <v>4909</v>
      </c>
      <c r="K10000" t="s">
        <v>4909</v>
      </c>
    </row>
    <row r="10001" spans="1:11" x14ac:dyDescent="0.2">
      <c r="A10001" t="s">
        <v>4350</v>
      </c>
      <c r="B10001" s="88">
        <v>0</v>
      </c>
      <c r="C10001" t="s">
        <v>4909</v>
      </c>
      <c r="D10001" s="88">
        <v>0.26100000000000001</v>
      </c>
      <c r="E10001" t="s">
        <v>4909</v>
      </c>
      <c r="F10001" s="88">
        <v>0.52200000000000002</v>
      </c>
      <c r="G10001" s="88">
        <v>1E-3</v>
      </c>
      <c r="H10001" s="88">
        <v>0</v>
      </c>
      <c r="I10001" t="s">
        <v>4909</v>
      </c>
      <c r="J10001" s="88">
        <v>3.0000000000000001E-3</v>
      </c>
      <c r="K10001" s="88">
        <v>0</v>
      </c>
    </row>
    <row r="10002" spans="1:11" x14ac:dyDescent="0.2">
      <c r="A10002" t="s">
        <v>4351</v>
      </c>
      <c r="B10002" t="s">
        <v>4909</v>
      </c>
      <c r="C10002" t="s">
        <v>4909</v>
      </c>
      <c r="D10002" t="s">
        <v>4909</v>
      </c>
      <c r="E10002" t="s">
        <v>4909</v>
      </c>
      <c r="F10002" t="s">
        <v>4909</v>
      </c>
      <c r="G10002" t="s">
        <v>4909</v>
      </c>
      <c r="H10002" t="s">
        <v>4909</v>
      </c>
      <c r="I10002" t="s">
        <v>4909</v>
      </c>
      <c r="J10002" t="s">
        <v>4909</v>
      </c>
      <c r="K10002" t="s">
        <v>4909</v>
      </c>
    </row>
    <row r="10003" spans="1:11" x14ac:dyDescent="0.2">
      <c r="A10003" t="s">
        <v>4352</v>
      </c>
      <c r="B10003" t="s">
        <v>4909</v>
      </c>
      <c r="C10003" t="s">
        <v>4909</v>
      </c>
      <c r="D10003" t="s">
        <v>4909</v>
      </c>
      <c r="E10003" t="s">
        <v>4909</v>
      </c>
      <c r="F10003" t="s">
        <v>4909</v>
      </c>
      <c r="G10003" t="s">
        <v>4909</v>
      </c>
      <c r="H10003" t="s">
        <v>4909</v>
      </c>
      <c r="I10003" t="s">
        <v>4909</v>
      </c>
      <c r="J10003" t="s">
        <v>4909</v>
      </c>
      <c r="K10003" t="s">
        <v>4909</v>
      </c>
    </row>
    <row r="10004" spans="1:11" x14ac:dyDescent="0.2">
      <c r="A10004" t="s">
        <v>4353</v>
      </c>
      <c r="B10004" s="88">
        <v>7.0000000000000001E-3</v>
      </c>
      <c r="C10004" t="s">
        <v>4909</v>
      </c>
      <c r="D10004" s="88">
        <v>0.01</v>
      </c>
      <c r="E10004" t="s">
        <v>4909</v>
      </c>
      <c r="F10004" s="88">
        <v>2E-3</v>
      </c>
      <c r="G10004" t="s">
        <v>4909</v>
      </c>
      <c r="H10004" t="s">
        <v>4909</v>
      </c>
      <c r="I10004" t="s">
        <v>4909</v>
      </c>
      <c r="J10004" t="s">
        <v>4909</v>
      </c>
      <c r="K10004" t="s">
        <v>4909</v>
      </c>
    </row>
    <row r="10005" spans="1:11" x14ac:dyDescent="0.2">
      <c r="A10005" t="s">
        <v>4354</v>
      </c>
      <c r="B10005" s="88">
        <v>1.4999999999999999E-2</v>
      </c>
      <c r="C10005" t="s">
        <v>4909</v>
      </c>
      <c r="D10005" t="s">
        <v>4909</v>
      </c>
      <c r="E10005" t="s">
        <v>4909</v>
      </c>
      <c r="F10005" t="s">
        <v>4909</v>
      </c>
      <c r="G10005" t="s">
        <v>4909</v>
      </c>
      <c r="H10005" t="s">
        <v>4909</v>
      </c>
      <c r="I10005" t="s">
        <v>4909</v>
      </c>
      <c r="J10005" t="s">
        <v>4909</v>
      </c>
      <c r="K10005" t="s">
        <v>4909</v>
      </c>
    </row>
    <row r="10006" spans="1:11" x14ac:dyDescent="0.2">
      <c r="A10006" t="s">
        <v>4355</v>
      </c>
      <c r="B10006" t="s">
        <v>4909</v>
      </c>
      <c r="C10006" t="s">
        <v>4909</v>
      </c>
      <c r="D10006" t="s">
        <v>4909</v>
      </c>
      <c r="E10006" t="s">
        <v>4909</v>
      </c>
      <c r="F10006" t="s">
        <v>4909</v>
      </c>
      <c r="G10006" t="s">
        <v>4909</v>
      </c>
      <c r="H10006" t="s">
        <v>4909</v>
      </c>
      <c r="I10006" t="s">
        <v>4909</v>
      </c>
      <c r="J10006" t="s">
        <v>4909</v>
      </c>
      <c r="K10006" t="s">
        <v>4909</v>
      </c>
    </row>
    <row r="10007" spans="1:11" x14ac:dyDescent="0.2">
      <c r="A10007" t="s">
        <v>4356</v>
      </c>
      <c r="B10007" t="s">
        <v>4909</v>
      </c>
      <c r="C10007" t="s">
        <v>4909</v>
      </c>
      <c r="D10007" t="s">
        <v>4909</v>
      </c>
      <c r="E10007" t="s">
        <v>4909</v>
      </c>
      <c r="F10007" t="s">
        <v>4909</v>
      </c>
      <c r="G10007" t="s">
        <v>4909</v>
      </c>
      <c r="H10007" t="s">
        <v>4909</v>
      </c>
      <c r="I10007" t="s">
        <v>4909</v>
      </c>
      <c r="J10007" t="s">
        <v>4909</v>
      </c>
      <c r="K10007" t="s">
        <v>4909</v>
      </c>
    </row>
    <row r="10008" spans="1:11" x14ac:dyDescent="0.2">
      <c r="A10008" t="s">
        <v>4357</v>
      </c>
      <c r="B10008" s="88">
        <v>0</v>
      </c>
      <c r="C10008" t="s">
        <v>4909</v>
      </c>
      <c r="D10008" s="88">
        <v>0.28100000000000003</v>
      </c>
      <c r="E10008" t="s">
        <v>4909</v>
      </c>
      <c r="F10008" s="88">
        <v>0.622</v>
      </c>
      <c r="G10008" s="88">
        <v>1E-3</v>
      </c>
      <c r="H10008" t="s">
        <v>4909</v>
      </c>
      <c r="I10008" t="s">
        <v>4909</v>
      </c>
      <c r="J10008" s="88">
        <v>0</v>
      </c>
      <c r="K10008" t="s">
        <v>4909</v>
      </c>
    </row>
    <row r="10009" spans="1:11" x14ac:dyDescent="0.2">
      <c r="A10009" t="s">
        <v>4358</v>
      </c>
      <c r="B10009" s="88">
        <v>0</v>
      </c>
      <c r="C10009" t="s">
        <v>4909</v>
      </c>
      <c r="D10009" s="88">
        <v>0.85</v>
      </c>
      <c r="E10009" t="s">
        <v>4909</v>
      </c>
      <c r="F10009" s="88">
        <v>0.104</v>
      </c>
      <c r="G10009" s="88">
        <v>0</v>
      </c>
      <c r="H10009" t="s">
        <v>4909</v>
      </c>
      <c r="I10009" t="s">
        <v>4909</v>
      </c>
      <c r="J10009" t="s">
        <v>4909</v>
      </c>
      <c r="K10009" t="s">
        <v>4909</v>
      </c>
    </row>
    <row r="10010" spans="1:11" x14ac:dyDescent="0.2">
      <c r="A10010" t="s">
        <v>4359</v>
      </c>
      <c r="B10010" t="s">
        <v>4909</v>
      </c>
      <c r="C10010" t="s">
        <v>4909</v>
      </c>
      <c r="D10010" t="s">
        <v>4909</v>
      </c>
      <c r="E10010" t="s">
        <v>4909</v>
      </c>
      <c r="F10010" t="s">
        <v>4909</v>
      </c>
      <c r="G10010" t="s">
        <v>4909</v>
      </c>
      <c r="H10010" t="s">
        <v>4909</v>
      </c>
      <c r="I10010" t="s">
        <v>4909</v>
      </c>
      <c r="J10010" t="s">
        <v>4909</v>
      </c>
      <c r="K10010" t="s">
        <v>4909</v>
      </c>
    </row>
    <row r="10011" spans="1:11" x14ac:dyDescent="0.2">
      <c r="A10011" t="s">
        <v>4360</v>
      </c>
      <c r="B10011" s="88">
        <v>0</v>
      </c>
      <c r="C10011" t="s">
        <v>4909</v>
      </c>
      <c r="D10011" t="s">
        <v>4909</v>
      </c>
      <c r="E10011" t="s">
        <v>4909</v>
      </c>
      <c r="F10011" t="s">
        <v>4909</v>
      </c>
      <c r="G10011" t="s">
        <v>4909</v>
      </c>
      <c r="H10011" t="s">
        <v>4909</v>
      </c>
      <c r="I10011" t="s">
        <v>4909</v>
      </c>
      <c r="J10011" t="s">
        <v>4909</v>
      </c>
      <c r="K10011" t="s">
        <v>4909</v>
      </c>
    </row>
    <row r="10012" spans="1:11" x14ac:dyDescent="0.2">
      <c r="A10012" t="s">
        <v>4361</v>
      </c>
      <c r="B10012" s="88">
        <v>2.8000000000000001E-2</v>
      </c>
      <c r="C10012" t="s">
        <v>4909</v>
      </c>
      <c r="D10012" s="88">
        <v>4.2999999999999997E-2</v>
      </c>
      <c r="E10012" t="s">
        <v>4909</v>
      </c>
      <c r="F10012" s="88">
        <v>7.0000000000000001E-3</v>
      </c>
      <c r="G10012" t="s">
        <v>4909</v>
      </c>
      <c r="H10012" t="s">
        <v>4909</v>
      </c>
      <c r="I10012" t="s">
        <v>4909</v>
      </c>
      <c r="J10012" s="88">
        <v>0</v>
      </c>
      <c r="K10012" t="s">
        <v>4909</v>
      </c>
    </row>
    <row r="10013" spans="1:11" x14ac:dyDescent="0.2">
      <c r="A10013" t="s">
        <v>4362</v>
      </c>
      <c r="B10013" t="s">
        <v>4909</v>
      </c>
      <c r="C10013" t="s">
        <v>4909</v>
      </c>
      <c r="D10013" t="s">
        <v>4909</v>
      </c>
      <c r="E10013" t="s">
        <v>4909</v>
      </c>
      <c r="F10013" t="s">
        <v>4909</v>
      </c>
      <c r="G10013" t="s">
        <v>4909</v>
      </c>
      <c r="H10013" t="s">
        <v>4909</v>
      </c>
      <c r="I10013" t="s">
        <v>4909</v>
      </c>
      <c r="J10013" t="s">
        <v>4909</v>
      </c>
      <c r="K10013" t="s">
        <v>4909</v>
      </c>
    </row>
    <row r="10014" spans="1:11" x14ac:dyDescent="0.2">
      <c r="A10014" t="s">
        <v>4363</v>
      </c>
      <c r="B10014" s="88">
        <v>7.0000000000000007E-2</v>
      </c>
      <c r="C10014" t="s">
        <v>4909</v>
      </c>
      <c r="D10014" t="s">
        <v>4909</v>
      </c>
      <c r="E10014" t="s">
        <v>4909</v>
      </c>
      <c r="F10014" t="s">
        <v>4909</v>
      </c>
      <c r="G10014" t="s">
        <v>4909</v>
      </c>
      <c r="H10014" t="s">
        <v>4909</v>
      </c>
      <c r="I10014" t="s">
        <v>4909</v>
      </c>
      <c r="J10014" t="s">
        <v>4909</v>
      </c>
      <c r="K10014" t="s">
        <v>4909</v>
      </c>
    </row>
    <row r="10015" spans="1:11" x14ac:dyDescent="0.2">
      <c r="A10015" t="s">
        <v>4364</v>
      </c>
      <c r="B10015" t="s">
        <v>4909</v>
      </c>
      <c r="C10015" t="s">
        <v>4909</v>
      </c>
      <c r="D10015" t="s">
        <v>4909</v>
      </c>
      <c r="E10015" t="s">
        <v>4909</v>
      </c>
      <c r="F10015" t="s">
        <v>4909</v>
      </c>
      <c r="G10015" t="s">
        <v>4909</v>
      </c>
      <c r="H10015" t="s">
        <v>4909</v>
      </c>
      <c r="I10015" t="s">
        <v>4909</v>
      </c>
      <c r="J10015" t="s">
        <v>4909</v>
      </c>
      <c r="K10015" t="s">
        <v>4909</v>
      </c>
    </row>
    <row r="10016" spans="1:11" x14ac:dyDescent="0.2">
      <c r="A10016" t="s">
        <v>4365</v>
      </c>
      <c r="B10016" s="88">
        <v>1.2999999999999999E-2</v>
      </c>
      <c r="C10016" t="s">
        <v>4909</v>
      </c>
      <c r="D10016" s="88">
        <v>1.2999999999999999E-2</v>
      </c>
      <c r="E10016" t="s">
        <v>4909</v>
      </c>
      <c r="F10016" t="s">
        <v>4909</v>
      </c>
      <c r="G10016" t="s">
        <v>4909</v>
      </c>
      <c r="H10016" t="s">
        <v>4909</v>
      </c>
      <c r="I10016" t="s">
        <v>4909</v>
      </c>
      <c r="J10016" t="s">
        <v>4909</v>
      </c>
      <c r="K10016" t="s">
        <v>4909</v>
      </c>
    </row>
    <row r="10017" spans="1:11" x14ac:dyDescent="0.2">
      <c r="A10017" t="s">
        <v>4366</v>
      </c>
      <c r="B10017" t="s">
        <v>4909</v>
      </c>
      <c r="C10017" t="s">
        <v>4909</v>
      </c>
      <c r="D10017" s="88">
        <v>6.0999999999999999E-2</v>
      </c>
      <c r="E10017" t="s">
        <v>4909</v>
      </c>
      <c r="F10017" s="88">
        <v>0.90700000000000003</v>
      </c>
      <c r="G10017" s="88">
        <v>2E-3</v>
      </c>
      <c r="H10017" s="88">
        <v>0</v>
      </c>
      <c r="I10017" t="s">
        <v>4909</v>
      </c>
      <c r="J10017" t="s">
        <v>4909</v>
      </c>
      <c r="K10017" t="s">
        <v>4909</v>
      </c>
    </row>
    <row r="10018" spans="1:11" x14ac:dyDescent="0.2">
      <c r="A10018" t="s">
        <v>4367</v>
      </c>
      <c r="B10018" s="88">
        <v>1E-3</v>
      </c>
      <c r="C10018" t="s">
        <v>4909</v>
      </c>
      <c r="D10018" s="88">
        <v>0.73499999999999999</v>
      </c>
      <c r="E10018" t="s">
        <v>4909</v>
      </c>
      <c r="F10018" s="88">
        <v>7.0000000000000001E-3</v>
      </c>
      <c r="G10018" s="88">
        <v>0</v>
      </c>
      <c r="H10018" t="s">
        <v>4909</v>
      </c>
      <c r="I10018" t="s">
        <v>4909</v>
      </c>
      <c r="J10018" t="s">
        <v>4909</v>
      </c>
      <c r="K10018" t="s">
        <v>4909</v>
      </c>
    </row>
    <row r="10019" spans="1:11" x14ac:dyDescent="0.2">
      <c r="A10019" t="s">
        <v>4368</v>
      </c>
      <c r="B10019" s="88">
        <v>8.0000000000000002E-3</v>
      </c>
      <c r="C10019" t="s">
        <v>4909</v>
      </c>
      <c r="D10019" t="s">
        <v>4909</v>
      </c>
      <c r="E10019" t="s">
        <v>4909</v>
      </c>
      <c r="F10019" t="s">
        <v>4909</v>
      </c>
      <c r="G10019" t="s">
        <v>4909</v>
      </c>
      <c r="H10019" t="s">
        <v>4909</v>
      </c>
      <c r="I10019" t="s">
        <v>4909</v>
      </c>
      <c r="J10019" t="s">
        <v>4909</v>
      </c>
      <c r="K10019" t="s">
        <v>4909</v>
      </c>
    </row>
    <row r="10020" spans="1:11" x14ac:dyDescent="0.2">
      <c r="A10020" t="s">
        <v>4369</v>
      </c>
      <c r="B10020" s="88">
        <v>2E-3</v>
      </c>
      <c r="C10020" t="s">
        <v>4909</v>
      </c>
      <c r="D10020" s="88">
        <v>3.0000000000000001E-3</v>
      </c>
      <c r="E10020" t="s">
        <v>4909</v>
      </c>
      <c r="F10020" t="s">
        <v>4909</v>
      </c>
      <c r="G10020" t="s">
        <v>4909</v>
      </c>
      <c r="H10020" t="s">
        <v>4909</v>
      </c>
      <c r="I10020" t="s">
        <v>4909</v>
      </c>
      <c r="J10020" t="s">
        <v>4909</v>
      </c>
      <c r="K10020" t="s">
        <v>4909</v>
      </c>
    </row>
    <row r="10021" spans="1:11" x14ac:dyDescent="0.2">
      <c r="A10021" t="s">
        <v>4370</v>
      </c>
      <c r="B10021" s="88">
        <v>6.0000000000000001E-3</v>
      </c>
      <c r="C10021" t="s">
        <v>4909</v>
      </c>
      <c r="D10021" t="s">
        <v>4909</v>
      </c>
      <c r="E10021" t="s">
        <v>4909</v>
      </c>
      <c r="F10021" t="s">
        <v>4909</v>
      </c>
      <c r="G10021" t="s">
        <v>4909</v>
      </c>
      <c r="H10021" t="s">
        <v>4909</v>
      </c>
      <c r="I10021" t="s">
        <v>4909</v>
      </c>
      <c r="J10021" t="s">
        <v>4909</v>
      </c>
      <c r="K10021" t="s">
        <v>4909</v>
      </c>
    </row>
    <row r="10022" spans="1:11" x14ac:dyDescent="0.2">
      <c r="A10022" t="s">
        <v>4371</v>
      </c>
      <c r="B10022" s="88">
        <v>8.9999999999999993E-3</v>
      </c>
      <c r="C10022" t="s">
        <v>4909</v>
      </c>
      <c r="D10022" t="s">
        <v>4909</v>
      </c>
      <c r="E10022" t="s">
        <v>4909</v>
      </c>
      <c r="F10022" s="88">
        <v>7.0000000000000001E-3</v>
      </c>
      <c r="G10022" t="s">
        <v>4909</v>
      </c>
      <c r="H10022" t="s">
        <v>4909</v>
      </c>
      <c r="I10022" t="s">
        <v>4909</v>
      </c>
      <c r="J10022" t="s">
        <v>4909</v>
      </c>
      <c r="K10022" t="s">
        <v>4909</v>
      </c>
    </row>
    <row r="10023" spans="1:11" x14ac:dyDescent="0.2">
      <c r="A10023" t="s">
        <v>4372</v>
      </c>
      <c r="B10023" t="s">
        <v>4909</v>
      </c>
      <c r="C10023" t="s">
        <v>4909</v>
      </c>
      <c r="D10023" t="s">
        <v>4909</v>
      </c>
      <c r="E10023" t="s">
        <v>4909</v>
      </c>
      <c r="F10023" t="s">
        <v>4909</v>
      </c>
      <c r="G10023" t="s">
        <v>4909</v>
      </c>
      <c r="H10023" t="s">
        <v>4909</v>
      </c>
      <c r="I10023" t="s">
        <v>4909</v>
      </c>
      <c r="J10023" t="s">
        <v>4909</v>
      </c>
      <c r="K10023" t="s">
        <v>4909</v>
      </c>
    </row>
    <row r="10024" spans="1:11" x14ac:dyDescent="0.2">
      <c r="A10024" t="s">
        <v>4373</v>
      </c>
      <c r="B10024" s="88">
        <v>0</v>
      </c>
      <c r="C10024" t="s">
        <v>4909</v>
      </c>
      <c r="D10024" s="88">
        <v>0.09</v>
      </c>
      <c r="E10024" t="s">
        <v>4909</v>
      </c>
      <c r="F10024" s="88">
        <v>0.105</v>
      </c>
      <c r="G10024" s="88">
        <v>0</v>
      </c>
      <c r="H10024" s="88">
        <v>1E-3</v>
      </c>
      <c r="I10024" t="s">
        <v>4909</v>
      </c>
      <c r="J10024" s="88">
        <v>2.1999999999999999E-2</v>
      </c>
      <c r="K10024" s="88">
        <v>1E-3</v>
      </c>
    </row>
    <row r="10025" spans="1:11" x14ac:dyDescent="0.2">
      <c r="A10025" t="s">
        <v>4374</v>
      </c>
      <c r="B10025" s="88">
        <v>0</v>
      </c>
      <c r="C10025" t="s">
        <v>4909</v>
      </c>
      <c r="D10025" s="88">
        <v>0.13200000000000001</v>
      </c>
      <c r="E10025" t="s">
        <v>4909</v>
      </c>
      <c r="F10025" s="88">
        <v>0.17599999999999999</v>
      </c>
      <c r="G10025" s="88">
        <v>0</v>
      </c>
      <c r="H10025" s="88">
        <v>0</v>
      </c>
      <c r="I10025" t="s">
        <v>4909</v>
      </c>
      <c r="J10025" s="88">
        <v>1.2E-2</v>
      </c>
      <c r="K10025" s="88">
        <v>0</v>
      </c>
    </row>
    <row r="10026" spans="1:11" x14ac:dyDescent="0.2">
      <c r="A10026" t="s">
        <v>4375</v>
      </c>
      <c r="B10026" s="88">
        <v>0</v>
      </c>
      <c r="C10026" t="s">
        <v>4909</v>
      </c>
      <c r="D10026" s="88">
        <v>5.8999999999999997E-2</v>
      </c>
      <c r="E10026" t="s">
        <v>4909</v>
      </c>
      <c r="F10026" s="88">
        <v>4.5999999999999999E-2</v>
      </c>
      <c r="G10026" s="88">
        <v>0</v>
      </c>
      <c r="H10026" s="88">
        <v>1.9E-2</v>
      </c>
      <c r="I10026" s="88">
        <v>0</v>
      </c>
      <c r="J10026" s="88">
        <v>0.32500000000000001</v>
      </c>
      <c r="K10026" s="88">
        <v>1.7000000000000001E-2</v>
      </c>
    </row>
    <row r="10027" spans="1:11" x14ac:dyDescent="0.2">
      <c r="A10027" t="s">
        <v>4376</v>
      </c>
      <c r="B10027" s="88">
        <v>0</v>
      </c>
      <c r="C10027" t="s">
        <v>4909</v>
      </c>
      <c r="D10027" s="88">
        <v>5.2999999999999999E-2</v>
      </c>
      <c r="E10027" t="s">
        <v>4909</v>
      </c>
      <c r="F10027" s="88">
        <v>4.9000000000000002E-2</v>
      </c>
      <c r="G10027" s="88">
        <v>0</v>
      </c>
      <c r="H10027" s="88">
        <v>1.2E-2</v>
      </c>
      <c r="I10027" s="88">
        <v>0</v>
      </c>
      <c r="J10027" s="88">
        <v>0.38500000000000001</v>
      </c>
      <c r="K10027" s="88">
        <v>0.02</v>
      </c>
    </row>
    <row r="10028" spans="1:11" x14ac:dyDescent="0.2">
      <c r="A10028" t="s">
        <v>4377</v>
      </c>
      <c r="B10028" s="88">
        <v>0</v>
      </c>
      <c r="C10028" t="s">
        <v>4909</v>
      </c>
      <c r="D10028" s="88">
        <v>4.8000000000000001E-2</v>
      </c>
      <c r="E10028" t="s">
        <v>4909</v>
      </c>
      <c r="F10028" s="88">
        <v>6.2E-2</v>
      </c>
      <c r="G10028" s="88">
        <v>0</v>
      </c>
      <c r="H10028" s="88">
        <v>2.3E-2</v>
      </c>
      <c r="I10028" s="88">
        <v>0</v>
      </c>
      <c r="J10028" s="88">
        <v>0.24299999999999999</v>
      </c>
      <c r="K10028" s="88">
        <v>1.2E-2</v>
      </c>
    </row>
    <row r="10029" spans="1:11" x14ac:dyDescent="0.2">
      <c r="A10029" t="s">
        <v>2318</v>
      </c>
      <c r="B10029" t="s">
        <v>4399</v>
      </c>
      <c r="C10029" t="s">
        <v>4399</v>
      </c>
      <c r="D10029" t="s">
        <v>4399</v>
      </c>
      <c r="E10029" t="s">
        <v>4399</v>
      </c>
      <c r="F10029" t="s">
        <v>4399</v>
      </c>
      <c r="G10029" t="s">
        <v>4399</v>
      </c>
      <c r="H10029" t="s">
        <v>4399</v>
      </c>
      <c r="I10029" t="s">
        <v>4399</v>
      </c>
      <c r="J10029" t="s">
        <v>4399</v>
      </c>
      <c r="K10029" t="s">
        <v>4399</v>
      </c>
    </row>
    <row r="10030" spans="1:11" x14ac:dyDescent="0.2">
      <c r="A10030" t="s">
        <v>4248</v>
      </c>
    </row>
    <row r="10031" spans="1:11" x14ac:dyDescent="0.2">
      <c r="A10031" t="s">
        <v>4910</v>
      </c>
      <c r="B10031" t="s">
        <v>4904</v>
      </c>
      <c r="C10031" t="s">
        <v>4911</v>
      </c>
      <c r="D10031" t="s">
        <v>4912</v>
      </c>
      <c r="E10031" t="s">
        <v>4907</v>
      </c>
      <c r="F10031" t="s">
        <v>4913</v>
      </c>
      <c r="G10031">
        <v>25</v>
      </c>
    </row>
    <row r="10032" spans="1:11" x14ac:dyDescent="0.2">
      <c r="A10032" t="s">
        <v>2318</v>
      </c>
      <c r="B10032" t="s">
        <v>4399</v>
      </c>
      <c r="C10032" t="s">
        <v>4399</v>
      </c>
      <c r="D10032" t="s">
        <v>4399</v>
      </c>
      <c r="E10032" t="s">
        <v>4399</v>
      </c>
      <c r="F10032" t="s">
        <v>4399</v>
      </c>
      <c r="G10032" t="s">
        <v>4399</v>
      </c>
    </row>
    <row r="10033" spans="1:7" x14ac:dyDescent="0.2">
      <c r="A10033" t="s">
        <v>126</v>
      </c>
      <c r="B10033" t="s">
        <v>4842</v>
      </c>
      <c r="C10033" t="s">
        <v>4844</v>
      </c>
      <c r="D10033" t="s">
        <v>4846</v>
      </c>
      <c r="E10033" t="s">
        <v>4848</v>
      </c>
      <c r="F10033" t="s">
        <v>4850</v>
      </c>
      <c r="G10033" t="s">
        <v>4852</v>
      </c>
    </row>
    <row r="10034" spans="1:7" x14ac:dyDescent="0.2">
      <c r="A10034" t="s">
        <v>2318</v>
      </c>
      <c r="B10034" t="s">
        <v>4399</v>
      </c>
      <c r="C10034" t="s">
        <v>4399</v>
      </c>
      <c r="D10034" t="s">
        <v>4399</v>
      </c>
      <c r="E10034" t="s">
        <v>4399</v>
      </c>
      <c r="F10034" t="s">
        <v>4399</v>
      </c>
      <c r="G10034" t="s">
        <v>4399</v>
      </c>
    </row>
    <row r="10035" spans="1:7" x14ac:dyDescent="0.2">
      <c r="A10035" t="s">
        <v>4265</v>
      </c>
      <c r="B10035" t="s">
        <v>4909</v>
      </c>
      <c r="C10035" t="s">
        <v>4909</v>
      </c>
      <c r="D10035" t="s">
        <v>4909</v>
      </c>
      <c r="E10035" t="s">
        <v>4909</v>
      </c>
      <c r="F10035" t="s">
        <v>4909</v>
      </c>
      <c r="G10035" t="s">
        <v>4909</v>
      </c>
    </row>
    <row r="10036" spans="1:7" x14ac:dyDescent="0.2">
      <c r="A10036" t="s">
        <v>4266</v>
      </c>
      <c r="B10036" t="s">
        <v>4909</v>
      </c>
      <c r="C10036" t="s">
        <v>4909</v>
      </c>
      <c r="D10036" t="s">
        <v>4909</v>
      </c>
      <c r="E10036" t="s">
        <v>4909</v>
      </c>
      <c r="F10036" t="s">
        <v>4909</v>
      </c>
      <c r="G10036" t="s">
        <v>4909</v>
      </c>
    </row>
    <row r="10037" spans="1:7" x14ac:dyDescent="0.2">
      <c r="A10037" t="s">
        <v>4267</v>
      </c>
      <c r="B10037" t="s">
        <v>4909</v>
      </c>
      <c r="C10037" t="s">
        <v>4909</v>
      </c>
      <c r="D10037" s="88">
        <v>1E-3</v>
      </c>
      <c r="E10037" t="s">
        <v>4909</v>
      </c>
      <c r="F10037" t="s">
        <v>4909</v>
      </c>
      <c r="G10037" t="s">
        <v>4909</v>
      </c>
    </row>
    <row r="10038" spans="1:7" x14ac:dyDescent="0.2">
      <c r="A10038" t="s">
        <v>4268</v>
      </c>
      <c r="B10038" t="s">
        <v>4909</v>
      </c>
      <c r="C10038" t="s">
        <v>4909</v>
      </c>
      <c r="D10038" t="s">
        <v>4909</v>
      </c>
      <c r="E10038" t="s">
        <v>4909</v>
      </c>
      <c r="F10038" t="s">
        <v>4909</v>
      </c>
      <c r="G10038" t="s">
        <v>4909</v>
      </c>
    </row>
    <row r="10039" spans="1:7" x14ac:dyDescent="0.2">
      <c r="A10039" t="s">
        <v>4269</v>
      </c>
      <c r="B10039" t="s">
        <v>4909</v>
      </c>
      <c r="C10039" t="s">
        <v>4909</v>
      </c>
      <c r="D10039" s="88">
        <v>0</v>
      </c>
      <c r="E10039" t="s">
        <v>4909</v>
      </c>
      <c r="F10039" t="s">
        <v>4909</v>
      </c>
      <c r="G10039" t="s">
        <v>4909</v>
      </c>
    </row>
    <row r="10040" spans="1:7" x14ac:dyDescent="0.2">
      <c r="A10040" t="s">
        <v>4270</v>
      </c>
      <c r="B10040" t="s">
        <v>4909</v>
      </c>
      <c r="C10040" t="s">
        <v>4909</v>
      </c>
      <c r="D10040" t="s">
        <v>4909</v>
      </c>
      <c r="E10040" t="s">
        <v>4909</v>
      </c>
      <c r="F10040" t="s">
        <v>4909</v>
      </c>
      <c r="G10040" t="s">
        <v>4909</v>
      </c>
    </row>
    <row r="10041" spans="1:7" x14ac:dyDescent="0.2">
      <c r="A10041" t="s">
        <v>4271</v>
      </c>
      <c r="B10041" t="s">
        <v>4909</v>
      </c>
      <c r="C10041" t="s">
        <v>4909</v>
      </c>
      <c r="D10041" t="s">
        <v>4909</v>
      </c>
      <c r="E10041" t="s">
        <v>4909</v>
      </c>
      <c r="F10041" t="s">
        <v>4909</v>
      </c>
      <c r="G10041" t="s">
        <v>4909</v>
      </c>
    </row>
    <row r="10042" spans="1:7" x14ac:dyDescent="0.2">
      <c r="A10042" t="s">
        <v>4272</v>
      </c>
      <c r="B10042" t="s">
        <v>4909</v>
      </c>
      <c r="C10042" t="s">
        <v>4909</v>
      </c>
      <c r="D10042" t="s">
        <v>4909</v>
      </c>
      <c r="E10042" t="s">
        <v>4909</v>
      </c>
      <c r="F10042" t="s">
        <v>4909</v>
      </c>
      <c r="G10042" t="s">
        <v>4909</v>
      </c>
    </row>
    <row r="10043" spans="1:7" x14ac:dyDescent="0.2">
      <c r="A10043" t="s">
        <v>4273</v>
      </c>
      <c r="B10043" t="s">
        <v>4909</v>
      </c>
      <c r="C10043" t="s">
        <v>4909</v>
      </c>
      <c r="D10043" t="s">
        <v>4909</v>
      </c>
      <c r="E10043" t="s">
        <v>4909</v>
      </c>
      <c r="F10043" t="s">
        <v>4909</v>
      </c>
      <c r="G10043" t="s">
        <v>4909</v>
      </c>
    </row>
    <row r="10044" spans="1:7" x14ac:dyDescent="0.2">
      <c r="A10044" t="s">
        <v>4274</v>
      </c>
      <c r="B10044" t="s">
        <v>4909</v>
      </c>
      <c r="C10044" t="s">
        <v>4909</v>
      </c>
      <c r="D10044" t="s">
        <v>4909</v>
      </c>
      <c r="E10044" t="s">
        <v>4909</v>
      </c>
      <c r="F10044" t="s">
        <v>4909</v>
      </c>
      <c r="G10044" t="s">
        <v>4909</v>
      </c>
    </row>
    <row r="10045" spans="1:7" x14ac:dyDescent="0.2">
      <c r="A10045" t="s">
        <v>4275</v>
      </c>
      <c r="B10045" t="s">
        <v>4909</v>
      </c>
      <c r="C10045" t="s">
        <v>4909</v>
      </c>
      <c r="D10045" t="s">
        <v>4909</v>
      </c>
      <c r="E10045" t="s">
        <v>4909</v>
      </c>
      <c r="F10045" t="s">
        <v>4909</v>
      </c>
      <c r="G10045" t="s">
        <v>4909</v>
      </c>
    </row>
    <row r="10046" spans="1:7" x14ac:dyDescent="0.2">
      <c r="A10046" t="s">
        <v>4276</v>
      </c>
      <c r="B10046" t="s">
        <v>4909</v>
      </c>
      <c r="C10046" t="s">
        <v>4909</v>
      </c>
      <c r="D10046" t="s">
        <v>4909</v>
      </c>
      <c r="E10046" t="s">
        <v>4909</v>
      </c>
      <c r="F10046" t="s">
        <v>4909</v>
      </c>
      <c r="G10046" t="s">
        <v>4909</v>
      </c>
    </row>
    <row r="10047" spans="1:7" x14ac:dyDescent="0.2">
      <c r="A10047" t="s">
        <v>4277</v>
      </c>
      <c r="B10047" t="s">
        <v>4909</v>
      </c>
      <c r="C10047" t="s">
        <v>4909</v>
      </c>
      <c r="D10047" t="s">
        <v>4909</v>
      </c>
      <c r="E10047" t="s">
        <v>4909</v>
      </c>
      <c r="F10047" t="s">
        <v>4909</v>
      </c>
      <c r="G10047" t="s">
        <v>4909</v>
      </c>
    </row>
    <row r="10048" spans="1:7" x14ac:dyDescent="0.2">
      <c r="A10048" t="s">
        <v>4278</v>
      </c>
      <c r="B10048" t="s">
        <v>4909</v>
      </c>
      <c r="C10048" t="s">
        <v>4909</v>
      </c>
      <c r="D10048" t="s">
        <v>4909</v>
      </c>
      <c r="E10048" t="s">
        <v>4909</v>
      </c>
      <c r="F10048" t="s">
        <v>4909</v>
      </c>
      <c r="G10048" t="s">
        <v>4909</v>
      </c>
    </row>
    <row r="10049" spans="1:7" x14ac:dyDescent="0.2">
      <c r="A10049" t="s">
        <v>4279</v>
      </c>
      <c r="B10049" t="s">
        <v>4909</v>
      </c>
      <c r="C10049" t="s">
        <v>4909</v>
      </c>
      <c r="D10049" t="s">
        <v>4909</v>
      </c>
      <c r="E10049" t="s">
        <v>4909</v>
      </c>
      <c r="F10049" t="s">
        <v>4909</v>
      </c>
      <c r="G10049" t="s">
        <v>4909</v>
      </c>
    </row>
    <row r="10050" spans="1:7" x14ac:dyDescent="0.2">
      <c r="A10050" t="s">
        <v>4280</v>
      </c>
      <c r="B10050" t="s">
        <v>4909</v>
      </c>
      <c r="C10050" t="s">
        <v>4909</v>
      </c>
      <c r="D10050" t="s">
        <v>4909</v>
      </c>
      <c r="E10050" t="s">
        <v>4909</v>
      </c>
      <c r="F10050" t="s">
        <v>4909</v>
      </c>
      <c r="G10050" t="s">
        <v>4909</v>
      </c>
    </row>
    <row r="10051" spans="1:7" x14ac:dyDescent="0.2">
      <c r="A10051" t="s">
        <v>4281</v>
      </c>
      <c r="B10051" t="s">
        <v>4909</v>
      </c>
      <c r="C10051" t="s">
        <v>4909</v>
      </c>
      <c r="D10051" s="88">
        <v>0</v>
      </c>
      <c r="E10051" t="s">
        <v>4909</v>
      </c>
      <c r="F10051" t="s">
        <v>4909</v>
      </c>
      <c r="G10051" t="s">
        <v>4909</v>
      </c>
    </row>
    <row r="10052" spans="1:7" x14ac:dyDescent="0.2">
      <c r="A10052" t="s">
        <v>4282</v>
      </c>
      <c r="B10052" t="s">
        <v>4909</v>
      </c>
      <c r="C10052" t="s">
        <v>4909</v>
      </c>
      <c r="D10052" t="s">
        <v>4909</v>
      </c>
      <c r="E10052" t="s">
        <v>4909</v>
      </c>
      <c r="F10052" t="s">
        <v>4909</v>
      </c>
      <c r="G10052" t="s">
        <v>4909</v>
      </c>
    </row>
    <row r="10053" spans="1:7" x14ac:dyDescent="0.2">
      <c r="A10053" t="s">
        <v>4283</v>
      </c>
      <c r="B10053" t="s">
        <v>4909</v>
      </c>
      <c r="C10053" t="s">
        <v>4909</v>
      </c>
      <c r="D10053" t="s">
        <v>4909</v>
      </c>
      <c r="E10053" t="s">
        <v>4909</v>
      </c>
      <c r="F10053" t="s">
        <v>4909</v>
      </c>
      <c r="G10053" t="s">
        <v>4909</v>
      </c>
    </row>
    <row r="10054" spans="1:7" x14ac:dyDescent="0.2">
      <c r="A10054" t="s">
        <v>4284</v>
      </c>
      <c r="B10054" t="s">
        <v>4909</v>
      </c>
      <c r="C10054" t="s">
        <v>4909</v>
      </c>
      <c r="D10054" t="s">
        <v>4909</v>
      </c>
      <c r="E10054" t="s">
        <v>4909</v>
      </c>
      <c r="F10054" t="s">
        <v>4909</v>
      </c>
      <c r="G10054" t="s">
        <v>4909</v>
      </c>
    </row>
    <row r="10055" spans="1:7" x14ac:dyDescent="0.2">
      <c r="A10055" t="s">
        <v>4285</v>
      </c>
      <c r="B10055" t="s">
        <v>4909</v>
      </c>
      <c r="C10055" t="s">
        <v>4909</v>
      </c>
      <c r="D10055" t="s">
        <v>4909</v>
      </c>
      <c r="E10055" t="s">
        <v>4909</v>
      </c>
      <c r="F10055" t="s">
        <v>4909</v>
      </c>
      <c r="G10055" t="s">
        <v>4909</v>
      </c>
    </row>
    <row r="10056" spans="1:7" x14ac:dyDescent="0.2">
      <c r="A10056" t="s">
        <v>4286</v>
      </c>
      <c r="B10056" t="s">
        <v>4909</v>
      </c>
      <c r="C10056" t="s">
        <v>4909</v>
      </c>
      <c r="D10056" t="s">
        <v>4909</v>
      </c>
      <c r="E10056" t="s">
        <v>4909</v>
      </c>
      <c r="F10056" t="s">
        <v>4909</v>
      </c>
      <c r="G10056" t="s">
        <v>4909</v>
      </c>
    </row>
    <row r="10057" spans="1:7" x14ac:dyDescent="0.2">
      <c r="A10057" t="s">
        <v>4287</v>
      </c>
      <c r="B10057" t="s">
        <v>4909</v>
      </c>
      <c r="C10057" t="s">
        <v>4909</v>
      </c>
      <c r="D10057" t="s">
        <v>4909</v>
      </c>
      <c r="E10057" t="s">
        <v>4909</v>
      </c>
      <c r="F10057" t="s">
        <v>4909</v>
      </c>
      <c r="G10057" t="s">
        <v>4909</v>
      </c>
    </row>
    <row r="10058" spans="1:7" x14ac:dyDescent="0.2">
      <c r="A10058" t="s">
        <v>4288</v>
      </c>
      <c r="B10058" t="s">
        <v>4909</v>
      </c>
      <c r="C10058" t="s">
        <v>4909</v>
      </c>
      <c r="D10058" t="s">
        <v>4909</v>
      </c>
      <c r="E10058" t="s">
        <v>4909</v>
      </c>
      <c r="F10058" t="s">
        <v>4909</v>
      </c>
      <c r="G10058" t="s">
        <v>4909</v>
      </c>
    </row>
    <row r="10059" spans="1:7" x14ac:dyDescent="0.2">
      <c r="A10059" t="s">
        <v>4289</v>
      </c>
      <c r="B10059" t="s">
        <v>4909</v>
      </c>
      <c r="C10059" t="s">
        <v>4909</v>
      </c>
      <c r="D10059" t="s">
        <v>4909</v>
      </c>
      <c r="E10059" t="s">
        <v>4909</v>
      </c>
      <c r="F10059" t="s">
        <v>4909</v>
      </c>
      <c r="G10059" t="s">
        <v>4909</v>
      </c>
    </row>
    <row r="10060" spans="1:7" x14ac:dyDescent="0.2">
      <c r="A10060" t="s">
        <v>4290</v>
      </c>
      <c r="B10060" t="s">
        <v>4909</v>
      </c>
      <c r="C10060" t="s">
        <v>4909</v>
      </c>
      <c r="D10060" t="s">
        <v>4909</v>
      </c>
      <c r="E10060" t="s">
        <v>4909</v>
      </c>
      <c r="F10060" t="s">
        <v>4909</v>
      </c>
      <c r="G10060" t="s">
        <v>4909</v>
      </c>
    </row>
    <row r="10061" spans="1:7" x14ac:dyDescent="0.2">
      <c r="A10061" t="s">
        <v>4291</v>
      </c>
      <c r="B10061" t="s">
        <v>4909</v>
      </c>
      <c r="C10061" t="s">
        <v>4909</v>
      </c>
      <c r="D10061" t="s">
        <v>4909</v>
      </c>
      <c r="E10061" t="s">
        <v>4909</v>
      </c>
      <c r="F10061" t="s">
        <v>4909</v>
      </c>
      <c r="G10061" t="s">
        <v>4909</v>
      </c>
    </row>
    <row r="10062" spans="1:7" x14ac:dyDescent="0.2">
      <c r="A10062" t="s">
        <v>4292</v>
      </c>
      <c r="B10062" t="s">
        <v>4909</v>
      </c>
      <c r="C10062" t="s">
        <v>4909</v>
      </c>
      <c r="D10062" t="s">
        <v>4909</v>
      </c>
      <c r="E10062" t="s">
        <v>4909</v>
      </c>
      <c r="F10062" t="s">
        <v>4909</v>
      </c>
      <c r="G10062" t="s">
        <v>4909</v>
      </c>
    </row>
    <row r="10063" spans="1:7" x14ac:dyDescent="0.2">
      <c r="A10063" t="s">
        <v>4293</v>
      </c>
      <c r="B10063" t="s">
        <v>4909</v>
      </c>
      <c r="C10063" t="s">
        <v>4909</v>
      </c>
      <c r="D10063" t="s">
        <v>4909</v>
      </c>
      <c r="E10063" t="s">
        <v>4909</v>
      </c>
      <c r="F10063" t="s">
        <v>4909</v>
      </c>
      <c r="G10063" t="s">
        <v>4909</v>
      </c>
    </row>
    <row r="10064" spans="1:7" x14ac:dyDescent="0.2">
      <c r="A10064" t="s">
        <v>4294</v>
      </c>
      <c r="B10064" t="s">
        <v>4909</v>
      </c>
      <c r="C10064" t="s">
        <v>4909</v>
      </c>
      <c r="D10064" t="s">
        <v>4909</v>
      </c>
      <c r="E10064" t="s">
        <v>4909</v>
      </c>
      <c r="F10064" t="s">
        <v>4909</v>
      </c>
      <c r="G10064" t="s">
        <v>4909</v>
      </c>
    </row>
    <row r="10065" spans="1:7" x14ac:dyDescent="0.2">
      <c r="A10065" t="s">
        <v>4295</v>
      </c>
      <c r="B10065" t="s">
        <v>4909</v>
      </c>
      <c r="C10065" t="s">
        <v>4909</v>
      </c>
      <c r="D10065" t="s">
        <v>4909</v>
      </c>
      <c r="E10065" t="s">
        <v>4909</v>
      </c>
      <c r="F10065" t="s">
        <v>4909</v>
      </c>
      <c r="G10065" t="s">
        <v>4909</v>
      </c>
    </row>
    <row r="10066" spans="1:7" x14ac:dyDescent="0.2">
      <c r="A10066" t="s">
        <v>4296</v>
      </c>
      <c r="B10066" t="s">
        <v>4909</v>
      </c>
      <c r="C10066" t="s">
        <v>4909</v>
      </c>
      <c r="D10066" t="s">
        <v>4909</v>
      </c>
      <c r="E10066" t="s">
        <v>4909</v>
      </c>
      <c r="F10066" t="s">
        <v>4909</v>
      </c>
      <c r="G10066" t="s">
        <v>4909</v>
      </c>
    </row>
    <row r="10067" spans="1:7" x14ac:dyDescent="0.2">
      <c r="A10067" t="s">
        <v>4297</v>
      </c>
      <c r="B10067" t="s">
        <v>4909</v>
      </c>
      <c r="C10067" t="s">
        <v>4909</v>
      </c>
      <c r="D10067" t="s">
        <v>4909</v>
      </c>
      <c r="E10067" t="s">
        <v>4909</v>
      </c>
      <c r="F10067" t="s">
        <v>4909</v>
      </c>
      <c r="G10067" t="s">
        <v>4909</v>
      </c>
    </row>
    <row r="10068" spans="1:7" x14ac:dyDescent="0.2">
      <c r="A10068" t="s">
        <v>4298</v>
      </c>
      <c r="B10068" t="s">
        <v>4909</v>
      </c>
      <c r="C10068" t="s">
        <v>4909</v>
      </c>
      <c r="D10068" t="s">
        <v>4909</v>
      </c>
      <c r="E10068" t="s">
        <v>4909</v>
      </c>
      <c r="F10068" t="s">
        <v>4909</v>
      </c>
      <c r="G10068" t="s">
        <v>4909</v>
      </c>
    </row>
    <row r="10069" spans="1:7" x14ac:dyDescent="0.2">
      <c r="A10069" t="s">
        <v>4299</v>
      </c>
      <c r="B10069" t="s">
        <v>4909</v>
      </c>
      <c r="C10069" t="s">
        <v>4909</v>
      </c>
      <c r="D10069" t="s">
        <v>4909</v>
      </c>
      <c r="E10069" t="s">
        <v>4909</v>
      </c>
      <c r="F10069" t="s">
        <v>4909</v>
      </c>
      <c r="G10069" t="s">
        <v>4909</v>
      </c>
    </row>
    <row r="10070" spans="1:7" x14ac:dyDescent="0.2">
      <c r="A10070" t="s">
        <v>4300</v>
      </c>
      <c r="B10070" t="s">
        <v>4909</v>
      </c>
      <c r="C10070" t="s">
        <v>4909</v>
      </c>
      <c r="D10070" t="s">
        <v>4909</v>
      </c>
      <c r="E10070" t="s">
        <v>4909</v>
      </c>
      <c r="F10070" t="s">
        <v>4909</v>
      </c>
      <c r="G10070" t="s">
        <v>4909</v>
      </c>
    </row>
    <row r="10071" spans="1:7" x14ac:dyDescent="0.2">
      <c r="A10071" t="s">
        <v>4301</v>
      </c>
      <c r="B10071" t="s">
        <v>4909</v>
      </c>
      <c r="C10071" t="s">
        <v>4909</v>
      </c>
      <c r="D10071" t="s">
        <v>4909</v>
      </c>
      <c r="E10071" t="s">
        <v>4909</v>
      </c>
      <c r="F10071" t="s">
        <v>4909</v>
      </c>
      <c r="G10071" t="s">
        <v>4909</v>
      </c>
    </row>
    <row r="10072" spans="1:7" x14ac:dyDescent="0.2">
      <c r="A10072" t="s">
        <v>4302</v>
      </c>
      <c r="B10072" t="s">
        <v>4909</v>
      </c>
      <c r="C10072" t="s">
        <v>4909</v>
      </c>
      <c r="D10072" t="s">
        <v>4909</v>
      </c>
      <c r="E10072" t="s">
        <v>4909</v>
      </c>
      <c r="F10072" t="s">
        <v>4909</v>
      </c>
      <c r="G10072" t="s">
        <v>4909</v>
      </c>
    </row>
    <row r="10073" spans="1:7" x14ac:dyDescent="0.2">
      <c r="A10073" t="s">
        <v>4303</v>
      </c>
      <c r="B10073" t="s">
        <v>4909</v>
      </c>
      <c r="C10073" t="s">
        <v>4909</v>
      </c>
      <c r="D10073" t="s">
        <v>4909</v>
      </c>
      <c r="E10073" t="s">
        <v>4909</v>
      </c>
      <c r="F10073" t="s">
        <v>4909</v>
      </c>
      <c r="G10073" t="s">
        <v>4909</v>
      </c>
    </row>
    <row r="10074" spans="1:7" x14ac:dyDescent="0.2">
      <c r="A10074" t="s">
        <v>4304</v>
      </c>
      <c r="B10074" t="s">
        <v>4909</v>
      </c>
      <c r="C10074" t="s">
        <v>4909</v>
      </c>
      <c r="D10074" t="s">
        <v>4909</v>
      </c>
      <c r="E10074" t="s">
        <v>4909</v>
      </c>
      <c r="F10074" t="s">
        <v>4909</v>
      </c>
      <c r="G10074" t="s">
        <v>4909</v>
      </c>
    </row>
    <row r="10075" spans="1:7" x14ac:dyDescent="0.2">
      <c r="A10075" t="s">
        <v>4305</v>
      </c>
      <c r="B10075" t="s">
        <v>4909</v>
      </c>
      <c r="C10075" t="s">
        <v>4909</v>
      </c>
      <c r="D10075" t="s">
        <v>4909</v>
      </c>
      <c r="E10075" t="s">
        <v>4909</v>
      </c>
      <c r="F10075" t="s">
        <v>4909</v>
      </c>
      <c r="G10075" t="s">
        <v>4909</v>
      </c>
    </row>
    <row r="10076" spans="1:7" x14ac:dyDescent="0.2">
      <c r="A10076" t="s">
        <v>4306</v>
      </c>
      <c r="B10076" t="s">
        <v>4909</v>
      </c>
      <c r="C10076" t="s">
        <v>4909</v>
      </c>
      <c r="D10076" t="s">
        <v>4909</v>
      </c>
      <c r="E10076" t="s">
        <v>4909</v>
      </c>
      <c r="F10076" t="s">
        <v>4909</v>
      </c>
      <c r="G10076" t="s">
        <v>4909</v>
      </c>
    </row>
    <row r="10077" spans="1:7" x14ac:dyDescent="0.2">
      <c r="A10077" t="s">
        <v>4307</v>
      </c>
      <c r="B10077" t="s">
        <v>4909</v>
      </c>
      <c r="C10077" t="s">
        <v>4909</v>
      </c>
      <c r="D10077" t="s">
        <v>4909</v>
      </c>
      <c r="E10077" t="s">
        <v>4909</v>
      </c>
      <c r="F10077" t="s">
        <v>4909</v>
      </c>
      <c r="G10077" t="s">
        <v>4909</v>
      </c>
    </row>
    <row r="10078" spans="1:7" x14ac:dyDescent="0.2">
      <c r="A10078" t="s">
        <v>4308</v>
      </c>
      <c r="B10078" t="s">
        <v>4909</v>
      </c>
      <c r="C10078" t="s">
        <v>4909</v>
      </c>
      <c r="D10078" t="s">
        <v>4909</v>
      </c>
      <c r="E10078" t="s">
        <v>4909</v>
      </c>
      <c r="F10078" t="s">
        <v>4909</v>
      </c>
      <c r="G10078" t="s">
        <v>4909</v>
      </c>
    </row>
    <row r="10079" spans="1:7" x14ac:dyDescent="0.2">
      <c r="A10079" t="s">
        <v>4309</v>
      </c>
      <c r="B10079" t="s">
        <v>4909</v>
      </c>
      <c r="C10079" t="s">
        <v>4909</v>
      </c>
      <c r="D10079" t="s">
        <v>4909</v>
      </c>
      <c r="E10079" t="s">
        <v>4909</v>
      </c>
      <c r="F10079" t="s">
        <v>4909</v>
      </c>
      <c r="G10079" t="s">
        <v>4909</v>
      </c>
    </row>
    <row r="10080" spans="1:7" x14ac:dyDescent="0.2">
      <c r="A10080" t="s">
        <v>4310</v>
      </c>
      <c r="B10080" t="s">
        <v>4909</v>
      </c>
      <c r="C10080" t="s">
        <v>4909</v>
      </c>
      <c r="D10080" t="s">
        <v>4909</v>
      </c>
      <c r="E10080" t="s">
        <v>4909</v>
      </c>
      <c r="F10080" t="s">
        <v>4909</v>
      </c>
      <c r="G10080" t="s">
        <v>4909</v>
      </c>
    </row>
    <row r="10081" spans="1:7" x14ac:dyDescent="0.2">
      <c r="A10081" t="s">
        <v>4311</v>
      </c>
      <c r="B10081" t="s">
        <v>4909</v>
      </c>
      <c r="C10081" t="s">
        <v>4909</v>
      </c>
      <c r="D10081" t="s">
        <v>4909</v>
      </c>
      <c r="E10081" t="s">
        <v>4909</v>
      </c>
      <c r="F10081" t="s">
        <v>4909</v>
      </c>
      <c r="G10081" t="s">
        <v>4909</v>
      </c>
    </row>
    <row r="10082" spans="1:7" x14ac:dyDescent="0.2">
      <c r="A10082" t="s">
        <v>4312</v>
      </c>
      <c r="B10082" t="s">
        <v>4909</v>
      </c>
      <c r="C10082" t="s">
        <v>4909</v>
      </c>
      <c r="D10082" t="s">
        <v>4909</v>
      </c>
      <c r="E10082" t="s">
        <v>4909</v>
      </c>
      <c r="F10082" t="s">
        <v>4909</v>
      </c>
      <c r="G10082" t="s">
        <v>4909</v>
      </c>
    </row>
    <row r="10083" spans="1:7" x14ac:dyDescent="0.2">
      <c r="A10083" t="s">
        <v>4313</v>
      </c>
      <c r="B10083" t="s">
        <v>4909</v>
      </c>
      <c r="C10083" t="s">
        <v>4909</v>
      </c>
      <c r="D10083" t="s">
        <v>4909</v>
      </c>
      <c r="E10083" t="s">
        <v>4909</v>
      </c>
      <c r="F10083" t="s">
        <v>4909</v>
      </c>
      <c r="G10083" t="s">
        <v>4909</v>
      </c>
    </row>
    <row r="10084" spans="1:7" x14ac:dyDescent="0.2">
      <c r="A10084" t="s">
        <v>4314</v>
      </c>
      <c r="B10084" t="s">
        <v>4909</v>
      </c>
      <c r="C10084" t="s">
        <v>4909</v>
      </c>
      <c r="D10084" t="s">
        <v>4909</v>
      </c>
      <c r="E10084" t="s">
        <v>4909</v>
      </c>
      <c r="F10084" t="s">
        <v>4909</v>
      </c>
      <c r="G10084" t="s">
        <v>4909</v>
      </c>
    </row>
    <row r="10085" spans="1:7" x14ac:dyDescent="0.2">
      <c r="A10085" t="s">
        <v>4315</v>
      </c>
      <c r="B10085" t="s">
        <v>4909</v>
      </c>
      <c r="C10085" t="s">
        <v>4909</v>
      </c>
      <c r="D10085" t="s">
        <v>4909</v>
      </c>
      <c r="E10085" t="s">
        <v>4909</v>
      </c>
      <c r="F10085" t="s">
        <v>4909</v>
      </c>
      <c r="G10085" t="s">
        <v>4909</v>
      </c>
    </row>
    <row r="10086" spans="1:7" x14ac:dyDescent="0.2">
      <c r="A10086" t="s">
        <v>4316</v>
      </c>
      <c r="B10086" t="s">
        <v>4909</v>
      </c>
      <c r="C10086" t="s">
        <v>4909</v>
      </c>
      <c r="D10086" t="s">
        <v>4909</v>
      </c>
      <c r="E10086" t="s">
        <v>4909</v>
      </c>
      <c r="F10086" t="s">
        <v>4909</v>
      </c>
      <c r="G10086" t="s">
        <v>4909</v>
      </c>
    </row>
    <row r="10087" spans="1:7" x14ac:dyDescent="0.2">
      <c r="A10087" t="s">
        <v>4317</v>
      </c>
      <c r="B10087" t="s">
        <v>4909</v>
      </c>
      <c r="C10087" t="s">
        <v>4909</v>
      </c>
      <c r="D10087" t="s">
        <v>4909</v>
      </c>
      <c r="E10087" t="s">
        <v>4909</v>
      </c>
      <c r="F10087" t="s">
        <v>4909</v>
      </c>
      <c r="G10087" t="s">
        <v>4909</v>
      </c>
    </row>
    <row r="10088" spans="1:7" x14ac:dyDescent="0.2">
      <c r="A10088" t="s">
        <v>4318</v>
      </c>
      <c r="B10088" t="s">
        <v>4909</v>
      </c>
      <c r="C10088" t="s">
        <v>4909</v>
      </c>
      <c r="D10088" t="s">
        <v>4909</v>
      </c>
      <c r="E10088" t="s">
        <v>4909</v>
      </c>
      <c r="F10088" t="s">
        <v>4909</v>
      </c>
      <c r="G10088" t="s">
        <v>4909</v>
      </c>
    </row>
    <row r="10089" spans="1:7" x14ac:dyDescent="0.2">
      <c r="A10089" t="s">
        <v>4319</v>
      </c>
      <c r="B10089" t="s">
        <v>4909</v>
      </c>
      <c r="C10089" t="s">
        <v>4909</v>
      </c>
      <c r="D10089" t="s">
        <v>4909</v>
      </c>
      <c r="E10089" t="s">
        <v>4909</v>
      </c>
      <c r="F10089" t="s">
        <v>4909</v>
      </c>
      <c r="G10089" t="s">
        <v>4909</v>
      </c>
    </row>
    <row r="10090" spans="1:7" x14ac:dyDescent="0.2">
      <c r="A10090" t="s">
        <v>4320</v>
      </c>
      <c r="B10090" t="s">
        <v>4909</v>
      </c>
      <c r="C10090" t="s">
        <v>4909</v>
      </c>
      <c r="D10090" t="s">
        <v>4909</v>
      </c>
      <c r="E10090" t="s">
        <v>4909</v>
      </c>
      <c r="F10090" t="s">
        <v>4909</v>
      </c>
      <c r="G10090" t="s">
        <v>4909</v>
      </c>
    </row>
    <row r="10091" spans="1:7" x14ac:dyDescent="0.2">
      <c r="A10091" t="s">
        <v>4321</v>
      </c>
      <c r="B10091" t="s">
        <v>4909</v>
      </c>
      <c r="C10091" t="s">
        <v>4909</v>
      </c>
      <c r="D10091" t="s">
        <v>4909</v>
      </c>
      <c r="E10091" t="s">
        <v>4909</v>
      </c>
      <c r="F10091" t="s">
        <v>4909</v>
      </c>
      <c r="G10091" t="s">
        <v>4909</v>
      </c>
    </row>
    <row r="10092" spans="1:7" x14ac:dyDescent="0.2">
      <c r="A10092" t="s">
        <v>4322</v>
      </c>
      <c r="B10092" t="s">
        <v>4909</v>
      </c>
      <c r="C10092" t="s">
        <v>4909</v>
      </c>
      <c r="D10092" t="s">
        <v>4909</v>
      </c>
      <c r="E10092" t="s">
        <v>4909</v>
      </c>
      <c r="F10092" t="s">
        <v>4909</v>
      </c>
      <c r="G10092" t="s">
        <v>4909</v>
      </c>
    </row>
    <row r="10093" spans="1:7" x14ac:dyDescent="0.2">
      <c r="A10093" t="s">
        <v>4323</v>
      </c>
      <c r="B10093" t="s">
        <v>4909</v>
      </c>
      <c r="C10093" t="s">
        <v>4909</v>
      </c>
      <c r="D10093" t="s">
        <v>4909</v>
      </c>
      <c r="E10093" t="s">
        <v>4909</v>
      </c>
      <c r="F10093" t="s">
        <v>4909</v>
      </c>
      <c r="G10093" t="s">
        <v>4909</v>
      </c>
    </row>
    <row r="10094" spans="1:7" x14ac:dyDescent="0.2">
      <c r="A10094" t="s">
        <v>4324</v>
      </c>
      <c r="B10094" t="s">
        <v>4909</v>
      </c>
      <c r="C10094" t="s">
        <v>4909</v>
      </c>
      <c r="D10094" t="s">
        <v>4909</v>
      </c>
      <c r="E10094" t="s">
        <v>4909</v>
      </c>
      <c r="F10094" t="s">
        <v>4909</v>
      </c>
      <c r="G10094" t="s">
        <v>4909</v>
      </c>
    </row>
    <row r="10095" spans="1:7" x14ac:dyDescent="0.2">
      <c r="A10095" t="s">
        <v>4325</v>
      </c>
      <c r="B10095" t="s">
        <v>4909</v>
      </c>
      <c r="C10095" t="s">
        <v>4909</v>
      </c>
      <c r="D10095" t="s">
        <v>4909</v>
      </c>
      <c r="E10095" t="s">
        <v>4909</v>
      </c>
      <c r="F10095" t="s">
        <v>4909</v>
      </c>
      <c r="G10095" t="s">
        <v>4909</v>
      </c>
    </row>
    <row r="10096" spans="1:7" x14ac:dyDescent="0.2">
      <c r="A10096" t="s">
        <v>4326</v>
      </c>
      <c r="B10096" t="s">
        <v>4909</v>
      </c>
      <c r="C10096" t="s">
        <v>4909</v>
      </c>
      <c r="D10096" t="s">
        <v>4909</v>
      </c>
      <c r="E10096" t="s">
        <v>4909</v>
      </c>
      <c r="F10096" t="s">
        <v>4909</v>
      </c>
      <c r="G10096" t="s">
        <v>4909</v>
      </c>
    </row>
    <row r="10097" spans="1:7" x14ac:dyDescent="0.2">
      <c r="A10097" t="s">
        <v>4327</v>
      </c>
      <c r="B10097" t="s">
        <v>4909</v>
      </c>
      <c r="C10097" t="s">
        <v>4909</v>
      </c>
      <c r="D10097" t="s">
        <v>4909</v>
      </c>
      <c r="E10097" t="s">
        <v>4909</v>
      </c>
      <c r="F10097" t="s">
        <v>4909</v>
      </c>
      <c r="G10097" t="s">
        <v>4909</v>
      </c>
    </row>
    <row r="10098" spans="1:7" x14ac:dyDescent="0.2">
      <c r="A10098" t="s">
        <v>4328</v>
      </c>
      <c r="B10098" t="s">
        <v>4909</v>
      </c>
      <c r="C10098" t="s">
        <v>4909</v>
      </c>
      <c r="D10098" t="s">
        <v>4909</v>
      </c>
      <c r="E10098" t="s">
        <v>4909</v>
      </c>
      <c r="F10098" t="s">
        <v>4909</v>
      </c>
      <c r="G10098" t="s">
        <v>4909</v>
      </c>
    </row>
    <row r="10099" spans="1:7" x14ac:dyDescent="0.2">
      <c r="A10099" t="s">
        <v>4329</v>
      </c>
      <c r="B10099" t="s">
        <v>4909</v>
      </c>
      <c r="C10099" t="s">
        <v>4909</v>
      </c>
      <c r="D10099" t="s">
        <v>4909</v>
      </c>
      <c r="E10099" t="s">
        <v>4909</v>
      </c>
      <c r="F10099" t="s">
        <v>4909</v>
      </c>
      <c r="G10099" t="s">
        <v>4909</v>
      </c>
    </row>
    <row r="10100" spans="1:7" x14ac:dyDescent="0.2">
      <c r="A10100" t="s">
        <v>4330</v>
      </c>
      <c r="B10100" t="s">
        <v>4909</v>
      </c>
      <c r="C10100" t="s">
        <v>4909</v>
      </c>
      <c r="D10100" t="s">
        <v>4909</v>
      </c>
      <c r="E10100" t="s">
        <v>4909</v>
      </c>
      <c r="F10100" t="s">
        <v>4909</v>
      </c>
      <c r="G10100" t="s">
        <v>4909</v>
      </c>
    </row>
    <row r="10101" spans="1:7" x14ac:dyDescent="0.2">
      <c r="A10101" t="s">
        <v>4331</v>
      </c>
      <c r="B10101" t="s">
        <v>4909</v>
      </c>
      <c r="C10101" t="s">
        <v>4909</v>
      </c>
      <c r="D10101" t="s">
        <v>4909</v>
      </c>
      <c r="E10101" t="s">
        <v>4909</v>
      </c>
      <c r="F10101" t="s">
        <v>4909</v>
      </c>
      <c r="G10101" t="s">
        <v>4909</v>
      </c>
    </row>
    <row r="10102" spans="1:7" x14ac:dyDescent="0.2">
      <c r="A10102" t="s">
        <v>4332</v>
      </c>
      <c r="B10102" t="s">
        <v>4909</v>
      </c>
      <c r="C10102" t="s">
        <v>4909</v>
      </c>
      <c r="D10102" t="s">
        <v>4909</v>
      </c>
      <c r="E10102" t="s">
        <v>4909</v>
      </c>
      <c r="F10102" t="s">
        <v>4909</v>
      </c>
      <c r="G10102" t="s">
        <v>4909</v>
      </c>
    </row>
    <row r="10103" spans="1:7" x14ac:dyDescent="0.2">
      <c r="A10103" t="s">
        <v>4333</v>
      </c>
      <c r="B10103" t="s">
        <v>4909</v>
      </c>
      <c r="C10103" t="s">
        <v>4909</v>
      </c>
      <c r="D10103" t="s">
        <v>4909</v>
      </c>
      <c r="E10103" t="s">
        <v>4909</v>
      </c>
      <c r="F10103" t="s">
        <v>4909</v>
      </c>
      <c r="G10103" t="s">
        <v>4909</v>
      </c>
    </row>
    <row r="10104" spans="1:7" x14ac:dyDescent="0.2">
      <c r="A10104" t="s">
        <v>4334</v>
      </c>
      <c r="B10104" t="s">
        <v>4909</v>
      </c>
      <c r="C10104" t="s">
        <v>4909</v>
      </c>
      <c r="D10104" t="s">
        <v>4909</v>
      </c>
      <c r="E10104" t="s">
        <v>4909</v>
      </c>
      <c r="F10104" t="s">
        <v>4909</v>
      </c>
      <c r="G10104" t="s">
        <v>4909</v>
      </c>
    </row>
    <row r="10105" spans="1:7" x14ac:dyDescent="0.2">
      <c r="A10105" t="s">
        <v>4335</v>
      </c>
      <c r="B10105" t="s">
        <v>4909</v>
      </c>
      <c r="C10105" t="s">
        <v>4909</v>
      </c>
      <c r="D10105" t="s">
        <v>4909</v>
      </c>
      <c r="E10105" t="s">
        <v>4909</v>
      </c>
      <c r="F10105" t="s">
        <v>4909</v>
      </c>
      <c r="G10105" t="s">
        <v>4909</v>
      </c>
    </row>
    <row r="10106" spans="1:7" x14ac:dyDescent="0.2">
      <c r="A10106" t="s">
        <v>4336</v>
      </c>
      <c r="B10106" t="s">
        <v>4909</v>
      </c>
      <c r="C10106" t="s">
        <v>4909</v>
      </c>
      <c r="D10106" t="s">
        <v>4909</v>
      </c>
      <c r="E10106" t="s">
        <v>4909</v>
      </c>
      <c r="F10106" t="s">
        <v>4909</v>
      </c>
      <c r="G10106" t="s">
        <v>4909</v>
      </c>
    </row>
    <row r="10107" spans="1:7" x14ac:dyDescent="0.2">
      <c r="A10107" t="s">
        <v>4337</v>
      </c>
      <c r="B10107" t="s">
        <v>4909</v>
      </c>
      <c r="C10107" t="s">
        <v>4909</v>
      </c>
      <c r="D10107" t="s">
        <v>4909</v>
      </c>
      <c r="E10107" t="s">
        <v>4909</v>
      </c>
      <c r="F10107" t="s">
        <v>4909</v>
      </c>
      <c r="G10107" t="s">
        <v>4909</v>
      </c>
    </row>
    <row r="10108" spans="1:7" x14ac:dyDescent="0.2">
      <c r="A10108" t="s">
        <v>4338</v>
      </c>
      <c r="B10108" t="s">
        <v>4909</v>
      </c>
      <c r="C10108" t="s">
        <v>4909</v>
      </c>
      <c r="D10108" t="s">
        <v>4909</v>
      </c>
      <c r="E10108" t="s">
        <v>4909</v>
      </c>
      <c r="F10108" t="s">
        <v>4909</v>
      </c>
      <c r="G10108" t="s">
        <v>4909</v>
      </c>
    </row>
    <row r="10109" spans="1:7" x14ac:dyDescent="0.2">
      <c r="A10109" t="s">
        <v>4339</v>
      </c>
      <c r="B10109" t="s">
        <v>4909</v>
      </c>
      <c r="C10109" t="s">
        <v>4909</v>
      </c>
      <c r="D10109" t="s">
        <v>4909</v>
      </c>
      <c r="E10109" t="s">
        <v>4909</v>
      </c>
      <c r="F10109" t="s">
        <v>4909</v>
      </c>
      <c r="G10109" t="s">
        <v>4909</v>
      </c>
    </row>
    <row r="10110" spans="1:7" x14ac:dyDescent="0.2">
      <c r="A10110" t="s">
        <v>4340</v>
      </c>
      <c r="B10110" t="s">
        <v>4909</v>
      </c>
      <c r="C10110" t="s">
        <v>4909</v>
      </c>
      <c r="D10110" t="s">
        <v>4909</v>
      </c>
      <c r="E10110" t="s">
        <v>4909</v>
      </c>
      <c r="F10110" t="s">
        <v>4909</v>
      </c>
      <c r="G10110" t="s">
        <v>4909</v>
      </c>
    </row>
    <row r="10111" spans="1:7" x14ac:dyDescent="0.2">
      <c r="A10111" t="s">
        <v>4341</v>
      </c>
      <c r="B10111" t="s">
        <v>4909</v>
      </c>
      <c r="C10111" t="s">
        <v>4909</v>
      </c>
      <c r="D10111" t="s">
        <v>4909</v>
      </c>
      <c r="E10111" t="s">
        <v>4909</v>
      </c>
      <c r="F10111" t="s">
        <v>4909</v>
      </c>
      <c r="G10111" t="s">
        <v>4909</v>
      </c>
    </row>
    <row r="10112" spans="1:7" x14ac:dyDescent="0.2">
      <c r="A10112" t="s">
        <v>4342</v>
      </c>
      <c r="B10112" t="s">
        <v>4909</v>
      </c>
      <c r="C10112" t="s">
        <v>4909</v>
      </c>
      <c r="D10112" t="s">
        <v>4909</v>
      </c>
      <c r="E10112" t="s">
        <v>4909</v>
      </c>
      <c r="F10112" t="s">
        <v>4909</v>
      </c>
      <c r="G10112" t="s">
        <v>4909</v>
      </c>
    </row>
    <row r="10113" spans="1:7" x14ac:dyDescent="0.2">
      <c r="A10113" t="s">
        <v>4343</v>
      </c>
      <c r="B10113" t="s">
        <v>4909</v>
      </c>
      <c r="C10113" t="s">
        <v>4909</v>
      </c>
      <c r="D10113" t="s">
        <v>4909</v>
      </c>
      <c r="E10113" t="s">
        <v>4909</v>
      </c>
      <c r="F10113" t="s">
        <v>4909</v>
      </c>
      <c r="G10113" t="s">
        <v>4909</v>
      </c>
    </row>
    <row r="10114" spans="1:7" x14ac:dyDescent="0.2">
      <c r="A10114" t="s">
        <v>1728</v>
      </c>
      <c r="B10114" t="s">
        <v>4909</v>
      </c>
      <c r="C10114" t="s">
        <v>4909</v>
      </c>
      <c r="D10114" t="s">
        <v>4909</v>
      </c>
      <c r="E10114" t="s">
        <v>4909</v>
      </c>
      <c r="F10114" t="s">
        <v>4909</v>
      </c>
      <c r="G10114" t="s">
        <v>4909</v>
      </c>
    </row>
    <row r="10115" spans="1:7" x14ac:dyDescent="0.2">
      <c r="A10115" t="s">
        <v>1730</v>
      </c>
      <c r="B10115" t="s">
        <v>4909</v>
      </c>
      <c r="C10115" t="s">
        <v>4909</v>
      </c>
      <c r="D10115" s="88">
        <v>0</v>
      </c>
      <c r="E10115" t="s">
        <v>4909</v>
      </c>
      <c r="F10115" t="s">
        <v>4909</v>
      </c>
      <c r="G10115" t="s">
        <v>4909</v>
      </c>
    </row>
    <row r="10116" spans="1:7" x14ac:dyDescent="0.2">
      <c r="A10116" t="s">
        <v>1733</v>
      </c>
      <c r="B10116" t="s">
        <v>4909</v>
      </c>
      <c r="C10116" t="s">
        <v>4909</v>
      </c>
      <c r="D10116" t="s">
        <v>4909</v>
      </c>
      <c r="E10116" t="s">
        <v>4909</v>
      </c>
      <c r="F10116" t="s">
        <v>4909</v>
      </c>
      <c r="G10116" t="s">
        <v>4909</v>
      </c>
    </row>
    <row r="10117" spans="1:7" x14ac:dyDescent="0.2">
      <c r="A10117" t="s">
        <v>1738</v>
      </c>
      <c r="B10117" t="s">
        <v>4909</v>
      </c>
      <c r="C10117" t="s">
        <v>4909</v>
      </c>
      <c r="D10117" t="s">
        <v>4909</v>
      </c>
      <c r="E10117" t="s">
        <v>4909</v>
      </c>
      <c r="F10117" t="s">
        <v>4909</v>
      </c>
      <c r="G10117" t="s">
        <v>4909</v>
      </c>
    </row>
    <row r="10118" spans="1:7" x14ac:dyDescent="0.2">
      <c r="A10118" t="s">
        <v>1744</v>
      </c>
      <c r="B10118" t="s">
        <v>4909</v>
      </c>
      <c r="C10118" t="s">
        <v>4909</v>
      </c>
      <c r="D10118" t="s">
        <v>4909</v>
      </c>
      <c r="E10118" t="s">
        <v>4909</v>
      </c>
      <c r="F10118" t="s">
        <v>4909</v>
      </c>
      <c r="G10118" t="s">
        <v>4909</v>
      </c>
    </row>
    <row r="10119" spans="1:7" x14ac:dyDescent="0.2">
      <c r="A10119" t="s">
        <v>1747</v>
      </c>
      <c r="B10119" t="s">
        <v>4909</v>
      </c>
      <c r="C10119" t="s">
        <v>4909</v>
      </c>
      <c r="D10119" t="s">
        <v>4909</v>
      </c>
      <c r="E10119" t="s">
        <v>4909</v>
      </c>
      <c r="F10119" t="s">
        <v>4909</v>
      </c>
      <c r="G10119" t="s">
        <v>4909</v>
      </c>
    </row>
    <row r="10120" spans="1:7" x14ac:dyDescent="0.2">
      <c r="A10120" t="s">
        <v>1751</v>
      </c>
      <c r="B10120" t="s">
        <v>4909</v>
      </c>
      <c r="C10120" t="s">
        <v>4909</v>
      </c>
      <c r="D10120" t="s">
        <v>4909</v>
      </c>
      <c r="E10120" t="s">
        <v>4909</v>
      </c>
      <c r="F10120" t="s">
        <v>4909</v>
      </c>
      <c r="G10120" t="s">
        <v>4909</v>
      </c>
    </row>
    <row r="10121" spans="1:7" x14ac:dyDescent="0.2">
      <c r="A10121" t="s">
        <v>1755</v>
      </c>
      <c r="B10121" t="s">
        <v>4909</v>
      </c>
      <c r="C10121" t="s">
        <v>4909</v>
      </c>
      <c r="D10121" t="s">
        <v>4909</v>
      </c>
      <c r="E10121" t="s">
        <v>4909</v>
      </c>
      <c r="F10121" t="s">
        <v>4909</v>
      </c>
      <c r="G10121" t="s">
        <v>4909</v>
      </c>
    </row>
    <row r="10122" spans="1:7" x14ac:dyDescent="0.2">
      <c r="A10122" t="s">
        <v>1757</v>
      </c>
      <c r="B10122" t="s">
        <v>4909</v>
      </c>
      <c r="C10122" t="s">
        <v>4909</v>
      </c>
      <c r="D10122" t="s">
        <v>4909</v>
      </c>
      <c r="E10122" t="s">
        <v>4909</v>
      </c>
      <c r="F10122" t="s">
        <v>4909</v>
      </c>
      <c r="G10122" t="s">
        <v>4909</v>
      </c>
    </row>
    <row r="10123" spans="1:7" x14ac:dyDescent="0.2">
      <c r="A10123" t="s">
        <v>1761</v>
      </c>
      <c r="B10123" t="s">
        <v>4909</v>
      </c>
      <c r="C10123" t="s">
        <v>4909</v>
      </c>
      <c r="D10123" t="s">
        <v>4909</v>
      </c>
      <c r="E10123" t="s">
        <v>4909</v>
      </c>
      <c r="F10123" t="s">
        <v>4909</v>
      </c>
      <c r="G10123" t="s">
        <v>4909</v>
      </c>
    </row>
    <row r="10124" spans="1:7" x14ac:dyDescent="0.2">
      <c r="A10124" t="s">
        <v>1764</v>
      </c>
      <c r="B10124" t="s">
        <v>4909</v>
      </c>
      <c r="C10124" t="s">
        <v>4909</v>
      </c>
      <c r="D10124" t="s">
        <v>4909</v>
      </c>
      <c r="E10124" t="s">
        <v>4909</v>
      </c>
      <c r="F10124" t="s">
        <v>4909</v>
      </c>
      <c r="G10124" t="s">
        <v>4909</v>
      </c>
    </row>
    <row r="10125" spans="1:7" x14ac:dyDescent="0.2">
      <c r="A10125" t="s">
        <v>1770</v>
      </c>
      <c r="B10125" t="s">
        <v>4909</v>
      </c>
      <c r="C10125" t="s">
        <v>4909</v>
      </c>
      <c r="D10125" t="s">
        <v>4909</v>
      </c>
      <c r="E10125" t="s">
        <v>4909</v>
      </c>
      <c r="F10125" t="s">
        <v>4909</v>
      </c>
      <c r="G10125" t="s">
        <v>4909</v>
      </c>
    </row>
    <row r="10126" spans="1:7" x14ac:dyDescent="0.2">
      <c r="A10126" t="s">
        <v>1772</v>
      </c>
      <c r="B10126" t="s">
        <v>4909</v>
      </c>
      <c r="C10126" t="s">
        <v>4909</v>
      </c>
      <c r="D10126" t="s">
        <v>4909</v>
      </c>
      <c r="E10126" t="s">
        <v>4909</v>
      </c>
      <c r="F10126" t="s">
        <v>4909</v>
      </c>
      <c r="G10126" t="s">
        <v>4909</v>
      </c>
    </row>
    <row r="10127" spans="1:7" x14ac:dyDescent="0.2">
      <c r="A10127" t="s">
        <v>1774</v>
      </c>
      <c r="B10127" t="s">
        <v>4909</v>
      </c>
      <c r="C10127" t="s">
        <v>4909</v>
      </c>
      <c r="D10127" t="s">
        <v>4909</v>
      </c>
      <c r="E10127" t="s">
        <v>4909</v>
      </c>
      <c r="F10127" t="s">
        <v>4909</v>
      </c>
      <c r="G10127" t="s">
        <v>4909</v>
      </c>
    </row>
    <row r="10128" spans="1:7" x14ac:dyDescent="0.2">
      <c r="A10128" t="s">
        <v>1777</v>
      </c>
      <c r="B10128" t="s">
        <v>4909</v>
      </c>
      <c r="C10128" t="s">
        <v>4909</v>
      </c>
      <c r="D10128" t="s">
        <v>4909</v>
      </c>
      <c r="E10128" t="s">
        <v>4909</v>
      </c>
      <c r="F10128" t="s">
        <v>4909</v>
      </c>
      <c r="G10128" t="s">
        <v>4909</v>
      </c>
    </row>
    <row r="10129" spans="1:7" x14ac:dyDescent="0.2">
      <c r="A10129" t="s">
        <v>1782</v>
      </c>
      <c r="B10129" t="s">
        <v>4909</v>
      </c>
      <c r="C10129" t="s">
        <v>4909</v>
      </c>
      <c r="D10129" t="s">
        <v>4909</v>
      </c>
      <c r="E10129" t="s">
        <v>4909</v>
      </c>
      <c r="F10129" t="s">
        <v>4909</v>
      </c>
      <c r="G10129" t="s">
        <v>4909</v>
      </c>
    </row>
    <row r="10130" spans="1:7" x14ac:dyDescent="0.2">
      <c r="A10130" t="s">
        <v>1274</v>
      </c>
      <c r="B10130" t="s">
        <v>4909</v>
      </c>
      <c r="C10130" t="s">
        <v>4909</v>
      </c>
      <c r="D10130" t="s">
        <v>4909</v>
      </c>
      <c r="E10130" t="s">
        <v>4909</v>
      </c>
      <c r="F10130" t="s">
        <v>4909</v>
      </c>
      <c r="G10130" t="s">
        <v>4909</v>
      </c>
    </row>
    <row r="10131" spans="1:7" x14ac:dyDescent="0.2">
      <c r="A10131" t="s">
        <v>1277</v>
      </c>
      <c r="B10131" t="s">
        <v>4909</v>
      </c>
      <c r="C10131" t="s">
        <v>4909</v>
      </c>
      <c r="D10131" t="s">
        <v>4909</v>
      </c>
      <c r="E10131" t="s">
        <v>4909</v>
      </c>
      <c r="F10131" t="s">
        <v>4909</v>
      </c>
      <c r="G10131" t="s">
        <v>4909</v>
      </c>
    </row>
    <row r="10132" spans="1:7" x14ac:dyDescent="0.2">
      <c r="A10132" t="s">
        <v>1798</v>
      </c>
      <c r="B10132" t="s">
        <v>4909</v>
      </c>
      <c r="C10132" t="s">
        <v>4909</v>
      </c>
      <c r="D10132" t="s">
        <v>4909</v>
      </c>
      <c r="E10132" t="s">
        <v>4909</v>
      </c>
      <c r="F10132" t="s">
        <v>4909</v>
      </c>
      <c r="G10132" t="s">
        <v>4909</v>
      </c>
    </row>
    <row r="10133" spans="1:7" x14ac:dyDescent="0.2">
      <c r="A10133" t="s">
        <v>1803</v>
      </c>
      <c r="B10133" t="s">
        <v>4909</v>
      </c>
      <c r="C10133" t="s">
        <v>4909</v>
      </c>
      <c r="D10133" t="s">
        <v>4909</v>
      </c>
      <c r="E10133" t="s">
        <v>4909</v>
      </c>
      <c r="F10133" t="s">
        <v>4909</v>
      </c>
      <c r="G10133" t="s">
        <v>4909</v>
      </c>
    </row>
    <row r="10134" spans="1:7" x14ac:dyDescent="0.2">
      <c r="A10134" t="s">
        <v>1808</v>
      </c>
      <c r="B10134" t="s">
        <v>4909</v>
      </c>
      <c r="C10134" t="s">
        <v>4909</v>
      </c>
      <c r="D10134" t="s">
        <v>4909</v>
      </c>
      <c r="E10134" t="s">
        <v>4909</v>
      </c>
      <c r="F10134" t="s">
        <v>4909</v>
      </c>
      <c r="G10134" t="s">
        <v>4909</v>
      </c>
    </row>
    <row r="10135" spans="1:7" x14ac:dyDescent="0.2">
      <c r="A10135" t="s">
        <v>1813</v>
      </c>
      <c r="B10135" t="s">
        <v>4909</v>
      </c>
      <c r="C10135" t="s">
        <v>4909</v>
      </c>
      <c r="D10135" t="s">
        <v>4909</v>
      </c>
      <c r="E10135" t="s">
        <v>4909</v>
      </c>
      <c r="F10135" t="s">
        <v>4909</v>
      </c>
      <c r="G10135" t="s">
        <v>4909</v>
      </c>
    </row>
    <row r="10136" spans="1:7" x14ac:dyDescent="0.2">
      <c r="A10136" t="s">
        <v>1819</v>
      </c>
      <c r="B10136" t="s">
        <v>4909</v>
      </c>
      <c r="C10136" t="s">
        <v>4909</v>
      </c>
      <c r="D10136" t="s">
        <v>4909</v>
      </c>
      <c r="E10136" t="s">
        <v>4909</v>
      </c>
      <c r="F10136" t="s">
        <v>4909</v>
      </c>
      <c r="G10136" t="s">
        <v>4909</v>
      </c>
    </row>
    <row r="10137" spans="1:7" x14ac:dyDescent="0.2">
      <c r="A10137" t="s">
        <v>1826</v>
      </c>
      <c r="B10137" t="s">
        <v>4909</v>
      </c>
      <c r="C10137" t="s">
        <v>4909</v>
      </c>
      <c r="D10137" t="s">
        <v>4909</v>
      </c>
      <c r="E10137" t="s">
        <v>4909</v>
      </c>
      <c r="F10137" t="s">
        <v>4909</v>
      </c>
      <c r="G10137" t="s">
        <v>4909</v>
      </c>
    </row>
    <row r="10138" spans="1:7" x14ac:dyDescent="0.2">
      <c r="A10138" t="s">
        <v>1830</v>
      </c>
      <c r="B10138" t="s">
        <v>4909</v>
      </c>
      <c r="C10138" t="s">
        <v>4909</v>
      </c>
      <c r="D10138" t="s">
        <v>4909</v>
      </c>
      <c r="E10138" t="s">
        <v>4909</v>
      </c>
      <c r="F10138" t="s">
        <v>4909</v>
      </c>
      <c r="G10138" t="s">
        <v>4909</v>
      </c>
    </row>
    <row r="10139" spans="1:7" x14ac:dyDescent="0.2">
      <c r="A10139" t="s">
        <v>1836</v>
      </c>
      <c r="B10139" t="s">
        <v>4909</v>
      </c>
      <c r="C10139" t="s">
        <v>4909</v>
      </c>
      <c r="D10139" t="s">
        <v>4909</v>
      </c>
      <c r="E10139" t="s">
        <v>4909</v>
      </c>
      <c r="F10139" t="s">
        <v>4909</v>
      </c>
      <c r="G10139" t="s">
        <v>4909</v>
      </c>
    </row>
    <row r="10140" spans="1:7" x14ac:dyDescent="0.2">
      <c r="A10140" t="s">
        <v>1841</v>
      </c>
      <c r="B10140" t="s">
        <v>4909</v>
      </c>
      <c r="C10140" t="s">
        <v>4909</v>
      </c>
      <c r="D10140" t="s">
        <v>4909</v>
      </c>
      <c r="E10140" t="s">
        <v>4909</v>
      </c>
      <c r="F10140" t="s">
        <v>4909</v>
      </c>
      <c r="G10140" t="s">
        <v>4909</v>
      </c>
    </row>
    <row r="10141" spans="1:7" x14ac:dyDescent="0.2">
      <c r="A10141" t="s">
        <v>1842</v>
      </c>
      <c r="B10141" t="s">
        <v>4909</v>
      </c>
      <c r="C10141" t="s">
        <v>4909</v>
      </c>
      <c r="D10141" t="s">
        <v>4909</v>
      </c>
      <c r="E10141" t="s">
        <v>4909</v>
      </c>
      <c r="F10141" t="s">
        <v>4909</v>
      </c>
      <c r="G10141" t="s">
        <v>4909</v>
      </c>
    </row>
    <row r="10142" spans="1:7" x14ac:dyDescent="0.2">
      <c r="A10142" t="s">
        <v>1843</v>
      </c>
      <c r="B10142" t="s">
        <v>4909</v>
      </c>
      <c r="C10142" t="s">
        <v>4909</v>
      </c>
      <c r="D10142" t="s">
        <v>4909</v>
      </c>
      <c r="E10142" t="s">
        <v>4909</v>
      </c>
      <c r="F10142" t="s">
        <v>4909</v>
      </c>
      <c r="G10142" t="s">
        <v>4909</v>
      </c>
    </row>
    <row r="10143" spans="1:7" x14ac:dyDescent="0.2">
      <c r="A10143" t="s">
        <v>1846</v>
      </c>
      <c r="B10143" t="s">
        <v>4909</v>
      </c>
      <c r="C10143" t="s">
        <v>4909</v>
      </c>
      <c r="D10143" t="s">
        <v>4909</v>
      </c>
      <c r="E10143" t="s">
        <v>4909</v>
      </c>
      <c r="F10143" t="s">
        <v>4909</v>
      </c>
      <c r="G10143" t="s">
        <v>4909</v>
      </c>
    </row>
    <row r="10144" spans="1:7" x14ac:dyDescent="0.2">
      <c r="A10144" t="s">
        <v>1851</v>
      </c>
      <c r="B10144" t="s">
        <v>4909</v>
      </c>
      <c r="C10144" t="s">
        <v>4909</v>
      </c>
      <c r="D10144" t="s">
        <v>4909</v>
      </c>
      <c r="E10144" t="s">
        <v>4909</v>
      </c>
      <c r="F10144" t="s">
        <v>4909</v>
      </c>
      <c r="G10144" t="s">
        <v>4909</v>
      </c>
    </row>
    <row r="10145" spans="1:7" x14ac:dyDescent="0.2">
      <c r="A10145" t="s">
        <v>1857</v>
      </c>
      <c r="B10145" t="s">
        <v>4909</v>
      </c>
      <c r="C10145" t="s">
        <v>4909</v>
      </c>
      <c r="D10145" t="s">
        <v>4909</v>
      </c>
      <c r="E10145" t="s">
        <v>4909</v>
      </c>
      <c r="F10145" t="s">
        <v>4909</v>
      </c>
      <c r="G10145" t="s">
        <v>4909</v>
      </c>
    </row>
    <row r="10146" spans="1:7" x14ac:dyDescent="0.2">
      <c r="A10146" t="s">
        <v>1862</v>
      </c>
      <c r="B10146" t="s">
        <v>4909</v>
      </c>
      <c r="C10146" t="s">
        <v>4909</v>
      </c>
      <c r="D10146" t="s">
        <v>4909</v>
      </c>
      <c r="E10146" t="s">
        <v>4909</v>
      </c>
      <c r="F10146" t="s">
        <v>4909</v>
      </c>
      <c r="G10146" t="s">
        <v>4909</v>
      </c>
    </row>
    <row r="10147" spans="1:7" x14ac:dyDescent="0.2">
      <c r="A10147" t="s">
        <v>1867</v>
      </c>
      <c r="B10147" t="s">
        <v>4909</v>
      </c>
      <c r="C10147" t="s">
        <v>4909</v>
      </c>
      <c r="D10147" t="s">
        <v>4909</v>
      </c>
      <c r="E10147" t="s">
        <v>4909</v>
      </c>
      <c r="F10147" t="s">
        <v>4909</v>
      </c>
      <c r="G10147" t="s">
        <v>4909</v>
      </c>
    </row>
    <row r="10148" spans="1:7" x14ac:dyDescent="0.2">
      <c r="A10148" t="s">
        <v>1870</v>
      </c>
      <c r="B10148" t="s">
        <v>4909</v>
      </c>
      <c r="C10148" t="s">
        <v>4909</v>
      </c>
      <c r="D10148" t="s">
        <v>4909</v>
      </c>
      <c r="E10148" t="s">
        <v>4909</v>
      </c>
      <c r="F10148" t="s">
        <v>4909</v>
      </c>
      <c r="G10148" t="s">
        <v>4909</v>
      </c>
    </row>
    <row r="10149" spans="1:7" x14ac:dyDescent="0.2">
      <c r="A10149" t="s">
        <v>1874</v>
      </c>
      <c r="B10149" t="s">
        <v>4909</v>
      </c>
      <c r="C10149" t="s">
        <v>4909</v>
      </c>
      <c r="D10149" t="s">
        <v>4909</v>
      </c>
      <c r="E10149" t="s">
        <v>4909</v>
      </c>
      <c r="F10149" t="s">
        <v>4909</v>
      </c>
      <c r="G10149" t="s">
        <v>4909</v>
      </c>
    </row>
    <row r="10150" spans="1:7" x14ac:dyDescent="0.2">
      <c r="A10150" t="s">
        <v>1876</v>
      </c>
      <c r="B10150" t="s">
        <v>4909</v>
      </c>
      <c r="C10150" t="s">
        <v>4909</v>
      </c>
      <c r="D10150" t="s">
        <v>4909</v>
      </c>
      <c r="E10150" t="s">
        <v>4909</v>
      </c>
      <c r="F10150" t="s">
        <v>4909</v>
      </c>
      <c r="G10150" t="s">
        <v>4909</v>
      </c>
    </row>
    <row r="10151" spans="1:7" x14ac:dyDescent="0.2">
      <c r="A10151" t="s">
        <v>1881</v>
      </c>
      <c r="B10151" t="s">
        <v>4909</v>
      </c>
      <c r="C10151" t="s">
        <v>4909</v>
      </c>
      <c r="D10151" t="s">
        <v>4909</v>
      </c>
      <c r="E10151" t="s">
        <v>4909</v>
      </c>
      <c r="F10151" t="s">
        <v>4909</v>
      </c>
      <c r="G10151" t="s">
        <v>4909</v>
      </c>
    </row>
    <row r="10152" spans="1:7" x14ac:dyDescent="0.2">
      <c r="A10152" t="s">
        <v>1885</v>
      </c>
      <c r="B10152" t="s">
        <v>4909</v>
      </c>
      <c r="C10152" t="s">
        <v>4909</v>
      </c>
      <c r="D10152" t="s">
        <v>4909</v>
      </c>
      <c r="E10152" t="s">
        <v>4909</v>
      </c>
      <c r="F10152" t="s">
        <v>4909</v>
      </c>
      <c r="G10152" t="s">
        <v>4909</v>
      </c>
    </row>
    <row r="10153" spans="1:7" x14ac:dyDescent="0.2">
      <c r="A10153" t="s">
        <v>1887</v>
      </c>
      <c r="B10153" t="s">
        <v>4909</v>
      </c>
      <c r="C10153" t="s">
        <v>4909</v>
      </c>
      <c r="D10153" t="s">
        <v>4909</v>
      </c>
      <c r="E10153" t="s">
        <v>4909</v>
      </c>
      <c r="F10153" t="s">
        <v>4909</v>
      </c>
      <c r="G10153" t="s">
        <v>4909</v>
      </c>
    </row>
    <row r="10154" spans="1:7" x14ac:dyDescent="0.2">
      <c r="A10154" t="s">
        <v>1893</v>
      </c>
      <c r="B10154" t="s">
        <v>4909</v>
      </c>
      <c r="C10154" t="s">
        <v>4909</v>
      </c>
      <c r="D10154" t="s">
        <v>4909</v>
      </c>
      <c r="E10154" t="s">
        <v>4909</v>
      </c>
      <c r="F10154" t="s">
        <v>4909</v>
      </c>
      <c r="G10154" t="s">
        <v>4909</v>
      </c>
    </row>
    <row r="10155" spans="1:7" x14ac:dyDescent="0.2">
      <c r="A10155" t="s">
        <v>1899</v>
      </c>
      <c r="B10155" t="s">
        <v>4909</v>
      </c>
      <c r="C10155" t="s">
        <v>4909</v>
      </c>
      <c r="D10155" t="s">
        <v>4909</v>
      </c>
      <c r="E10155" t="s">
        <v>4909</v>
      </c>
      <c r="F10155" t="s">
        <v>4909</v>
      </c>
      <c r="G10155" t="s">
        <v>4909</v>
      </c>
    </row>
    <row r="10156" spans="1:7" x14ac:dyDescent="0.2">
      <c r="A10156" t="s">
        <v>1906</v>
      </c>
      <c r="B10156" t="s">
        <v>4909</v>
      </c>
      <c r="C10156" t="s">
        <v>4909</v>
      </c>
      <c r="D10156" t="s">
        <v>4909</v>
      </c>
      <c r="E10156" t="s">
        <v>4909</v>
      </c>
      <c r="F10156" t="s">
        <v>4909</v>
      </c>
      <c r="G10156" t="s">
        <v>4909</v>
      </c>
    </row>
    <row r="10157" spans="1:7" x14ac:dyDescent="0.2">
      <c r="A10157" t="s">
        <v>1911</v>
      </c>
      <c r="B10157" t="s">
        <v>4909</v>
      </c>
      <c r="C10157" t="s">
        <v>4909</v>
      </c>
      <c r="D10157" t="s">
        <v>4909</v>
      </c>
      <c r="E10157" t="s">
        <v>4909</v>
      </c>
      <c r="F10157" t="s">
        <v>4909</v>
      </c>
      <c r="G10157" t="s">
        <v>4909</v>
      </c>
    </row>
    <row r="10158" spans="1:7" x14ac:dyDescent="0.2">
      <c r="A10158" t="s">
        <v>1917</v>
      </c>
      <c r="B10158" t="s">
        <v>4909</v>
      </c>
      <c r="C10158" t="s">
        <v>4909</v>
      </c>
      <c r="D10158" t="s">
        <v>4909</v>
      </c>
      <c r="E10158" t="s">
        <v>4909</v>
      </c>
      <c r="F10158" t="s">
        <v>4909</v>
      </c>
      <c r="G10158" t="s">
        <v>4909</v>
      </c>
    </row>
    <row r="10159" spans="1:7" x14ac:dyDescent="0.2">
      <c r="A10159" t="s">
        <v>1922</v>
      </c>
      <c r="B10159" t="s">
        <v>4909</v>
      </c>
      <c r="C10159" t="s">
        <v>4909</v>
      </c>
      <c r="D10159" t="s">
        <v>4909</v>
      </c>
      <c r="E10159" t="s">
        <v>4909</v>
      </c>
      <c r="F10159" t="s">
        <v>4909</v>
      </c>
      <c r="G10159" t="s">
        <v>4909</v>
      </c>
    </row>
    <row r="10160" spans="1:7" x14ac:dyDescent="0.2">
      <c r="A10160" t="s">
        <v>1928</v>
      </c>
      <c r="B10160" t="s">
        <v>4909</v>
      </c>
      <c r="C10160" t="s">
        <v>4909</v>
      </c>
      <c r="D10160" t="s">
        <v>4909</v>
      </c>
      <c r="E10160" t="s">
        <v>4909</v>
      </c>
      <c r="F10160" t="s">
        <v>4909</v>
      </c>
      <c r="G10160" t="s">
        <v>4909</v>
      </c>
    </row>
    <row r="10161" spans="1:7" x14ac:dyDescent="0.2">
      <c r="A10161" t="s">
        <v>1932</v>
      </c>
      <c r="B10161" t="s">
        <v>4909</v>
      </c>
      <c r="C10161" t="s">
        <v>4909</v>
      </c>
      <c r="D10161" t="s">
        <v>4909</v>
      </c>
      <c r="E10161" t="s">
        <v>4909</v>
      </c>
      <c r="F10161" t="s">
        <v>4909</v>
      </c>
      <c r="G10161" t="s">
        <v>4909</v>
      </c>
    </row>
    <row r="10162" spans="1:7" x14ac:dyDescent="0.2">
      <c r="A10162" t="s">
        <v>1938</v>
      </c>
      <c r="B10162" t="s">
        <v>4909</v>
      </c>
      <c r="C10162" t="s">
        <v>4909</v>
      </c>
      <c r="D10162" t="s">
        <v>4909</v>
      </c>
      <c r="E10162" t="s">
        <v>4909</v>
      </c>
      <c r="F10162" t="s">
        <v>4909</v>
      </c>
      <c r="G10162" t="s">
        <v>4909</v>
      </c>
    </row>
    <row r="10163" spans="1:7" x14ac:dyDescent="0.2">
      <c r="A10163" t="s">
        <v>1944</v>
      </c>
      <c r="B10163" t="s">
        <v>4909</v>
      </c>
      <c r="C10163" t="s">
        <v>4909</v>
      </c>
      <c r="D10163" t="s">
        <v>4909</v>
      </c>
      <c r="E10163" t="s">
        <v>4909</v>
      </c>
      <c r="F10163" t="s">
        <v>4909</v>
      </c>
      <c r="G10163" t="s">
        <v>4909</v>
      </c>
    </row>
    <row r="10164" spans="1:7" x14ac:dyDescent="0.2">
      <c r="A10164" t="s">
        <v>1947</v>
      </c>
      <c r="B10164" t="s">
        <v>4909</v>
      </c>
      <c r="C10164" t="s">
        <v>4909</v>
      </c>
      <c r="D10164" t="s">
        <v>4909</v>
      </c>
      <c r="E10164" t="s">
        <v>4909</v>
      </c>
      <c r="F10164" t="s">
        <v>4909</v>
      </c>
      <c r="G10164" t="s">
        <v>4909</v>
      </c>
    </row>
    <row r="10165" spans="1:7" x14ac:dyDescent="0.2">
      <c r="A10165" t="s">
        <v>1953</v>
      </c>
      <c r="B10165" t="s">
        <v>4909</v>
      </c>
      <c r="C10165" t="s">
        <v>4909</v>
      </c>
      <c r="D10165" t="s">
        <v>4909</v>
      </c>
      <c r="E10165" t="s">
        <v>4909</v>
      </c>
      <c r="F10165" t="s">
        <v>4909</v>
      </c>
      <c r="G10165" t="s">
        <v>4909</v>
      </c>
    </row>
    <row r="10166" spans="1:7" x14ac:dyDescent="0.2">
      <c r="A10166" t="s">
        <v>1958</v>
      </c>
      <c r="B10166" t="s">
        <v>4909</v>
      </c>
      <c r="C10166" t="s">
        <v>4909</v>
      </c>
      <c r="D10166" t="s">
        <v>4909</v>
      </c>
      <c r="E10166" t="s">
        <v>4909</v>
      </c>
      <c r="F10166" t="s">
        <v>4909</v>
      </c>
      <c r="G10166" t="s">
        <v>4909</v>
      </c>
    </row>
    <row r="10167" spans="1:7" x14ac:dyDescent="0.2">
      <c r="A10167" t="s">
        <v>1964</v>
      </c>
      <c r="B10167" t="s">
        <v>4909</v>
      </c>
      <c r="C10167" t="s">
        <v>4909</v>
      </c>
      <c r="D10167" t="s">
        <v>4909</v>
      </c>
      <c r="E10167" t="s">
        <v>4909</v>
      </c>
      <c r="F10167" t="s">
        <v>4909</v>
      </c>
      <c r="G10167" t="s">
        <v>4909</v>
      </c>
    </row>
    <row r="10168" spans="1:7" x14ac:dyDescent="0.2">
      <c r="A10168" t="s">
        <v>1973</v>
      </c>
      <c r="B10168" t="s">
        <v>4909</v>
      </c>
      <c r="C10168" t="s">
        <v>4909</v>
      </c>
      <c r="D10168" t="s">
        <v>4909</v>
      </c>
      <c r="E10168" t="s">
        <v>4909</v>
      </c>
      <c r="F10168" t="s">
        <v>4909</v>
      </c>
      <c r="G10168" t="s">
        <v>4909</v>
      </c>
    </row>
    <row r="10169" spans="1:7" x14ac:dyDescent="0.2">
      <c r="A10169" t="s">
        <v>1978</v>
      </c>
      <c r="B10169" t="s">
        <v>4909</v>
      </c>
      <c r="C10169" t="s">
        <v>4909</v>
      </c>
      <c r="D10169" t="s">
        <v>4909</v>
      </c>
      <c r="E10169" t="s">
        <v>4909</v>
      </c>
      <c r="F10169" t="s">
        <v>4909</v>
      </c>
      <c r="G10169" t="s">
        <v>4909</v>
      </c>
    </row>
    <row r="10170" spans="1:7" x14ac:dyDescent="0.2">
      <c r="A10170" t="s">
        <v>1983</v>
      </c>
      <c r="B10170" t="s">
        <v>4909</v>
      </c>
      <c r="C10170" t="s">
        <v>4909</v>
      </c>
      <c r="D10170" t="s">
        <v>4909</v>
      </c>
      <c r="E10170" t="s">
        <v>4909</v>
      </c>
      <c r="F10170" t="s">
        <v>4909</v>
      </c>
      <c r="G10170" t="s">
        <v>4909</v>
      </c>
    </row>
    <row r="10171" spans="1:7" x14ac:dyDescent="0.2">
      <c r="A10171" t="s">
        <v>1984</v>
      </c>
      <c r="B10171" t="s">
        <v>4909</v>
      </c>
      <c r="C10171" t="s">
        <v>4909</v>
      </c>
      <c r="D10171" t="s">
        <v>4909</v>
      </c>
      <c r="E10171" t="s">
        <v>4909</v>
      </c>
      <c r="F10171" t="s">
        <v>4909</v>
      </c>
      <c r="G10171" t="s">
        <v>4909</v>
      </c>
    </row>
    <row r="10172" spans="1:7" x14ac:dyDescent="0.2">
      <c r="A10172" t="s">
        <v>1990</v>
      </c>
      <c r="B10172" t="s">
        <v>4909</v>
      </c>
      <c r="C10172" t="s">
        <v>4909</v>
      </c>
      <c r="D10172" t="s">
        <v>4909</v>
      </c>
      <c r="E10172" t="s">
        <v>4909</v>
      </c>
      <c r="F10172" t="s">
        <v>4909</v>
      </c>
      <c r="G10172" t="s">
        <v>4909</v>
      </c>
    </row>
    <row r="10173" spans="1:7" x14ac:dyDescent="0.2">
      <c r="A10173" t="s">
        <v>1996</v>
      </c>
      <c r="B10173" t="s">
        <v>4909</v>
      </c>
      <c r="C10173" t="s">
        <v>4909</v>
      </c>
      <c r="D10173" t="s">
        <v>4909</v>
      </c>
      <c r="E10173" t="s">
        <v>4909</v>
      </c>
      <c r="F10173" t="s">
        <v>4909</v>
      </c>
      <c r="G10173" t="s">
        <v>4909</v>
      </c>
    </row>
    <row r="10174" spans="1:7" x14ac:dyDescent="0.2">
      <c r="A10174" t="s">
        <v>1998</v>
      </c>
      <c r="B10174" t="s">
        <v>4909</v>
      </c>
      <c r="C10174" t="s">
        <v>4909</v>
      </c>
      <c r="D10174" t="s">
        <v>4909</v>
      </c>
      <c r="E10174" t="s">
        <v>4909</v>
      </c>
      <c r="F10174" t="s">
        <v>4909</v>
      </c>
      <c r="G10174" t="s">
        <v>4909</v>
      </c>
    </row>
    <row r="10175" spans="1:7" x14ac:dyDescent="0.2">
      <c r="A10175" t="s">
        <v>1999</v>
      </c>
      <c r="B10175" t="s">
        <v>4909</v>
      </c>
      <c r="C10175" t="s">
        <v>4909</v>
      </c>
      <c r="D10175" t="s">
        <v>4909</v>
      </c>
      <c r="E10175" t="s">
        <v>4909</v>
      </c>
      <c r="F10175" t="s">
        <v>4909</v>
      </c>
      <c r="G10175" t="s">
        <v>4909</v>
      </c>
    </row>
    <row r="10176" spans="1:7" x14ac:dyDescent="0.2">
      <c r="A10176" t="s">
        <v>2004</v>
      </c>
      <c r="B10176" t="s">
        <v>4909</v>
      </c>
      <c r="C10176" t="s">
        <v>4909</v>
      </c>
      <c r="D10176" t="s">
        <v>4909</v>
      </c>
      <c r="E10176" t="s">
        <v>4909</v>
      </c>
      <c r="F10176" t="s">
        <v>4909</v>
      </c>
      <c r="G10176" t="s">
        <v>4909</v>
      </c>
    </row>
    <row r="10177" spans="1:7" x14ac:dyDescent="0.2">
      <c r="A10177" t="s">
        <v>2009</v>
      </c>
      <c r="B10177" t="s">
        <v>4909</v>
      </c>
      <c r="C10177" t="s">
        <v>4909</v>
      </c>
      <c r="D10177" t="s">
        <v>4909</v>
      </c>
      <c r="E10177" t="s">
        <v>4909</v>
      </c>
      <c r="F10177" t="s">
        <v>4909</v>
      </c>
      <c r="G10177" t="s">
        <v>4909</v>
      </c>
    </row>
    <row r="10178" spans="1:7" x14ac:dyDescent="0.2">
      <c r="A10178" t="s">
        <v>2014</v>
      </c>
      <c r="B10178" t="s">
        <v>4909</v>
      </c>
      <c r="C10178" t="s">
        <v>4909</v>
      </c>
      <c r="D10178" t="s">
        <v>4909</v>
      </c>
      <c r="E10178" t="s">
        <v>4909</v>
      </c>
      <c r="F10178" t="s">
        <v>4909</v>
      </c>
      <c r="G10178" t="s">
        <v>4909</v>
      </c>
    </row>
    <row r="10179" spans="1:7" x14ac:dyDescent="0.2">
      <c r="A10179" t="s">
        <v>2019</v>
      </c>
      <c r="B10179" t="s">
        <v>4909</v>
      </c>
      <c r="C10179" t="s">
        <v>4909</v>
      </c>
      <c r="D10179" t="s">
        <v>4909</v>
      </c>
      <c r="E10179" t="s">
        <v>4909</v>
      </c>
      <c r="F10179" t="s">
        <v>4909</v>
      </c>
      <c r="G10179" t="s">
        <v>4909</v>
      </c>
    </row>
    <row r="10180" spans="1:7" x14ac:dyDescent="0.2">
      <c r="A10180" t="s">
        <v>2023</v>
      </c>
      <c r="B10180" t="s">
        <v>4909</v>
      </c>
      <c r="C10180" t="s">
        <v>4909</v>
      </c>
      <c r="D10180" t="s">
        <v>4909</v>
      </c>
      <c r="E10180" t="s">
        <v>4909</v>
      </c>
      <c r="F10180" t="s">
        <v>4909</v>
      </c>
      <c r="G10180" t="s">
        <v>4909</v>
      </c>
    </row>
    <row r="10181" spans="1:7" x14ac:dyDescent="0.2">
      <c r="A10181" t="s">
        <v>2026</v>
      </c>
      <c r="B10181" t="s">
        <v>4909</v>
      </c>
      <c r="C10181" t="s">
        <v>4909</v>
      </c>
      <c r="D10181" t="s">
        <v>4909</v>
      </c>
      <c r="E10181" t="s">
        <v>4909</v>
      </c>
      <c r="F10181" t="s">
        <v>4909</v>
      </c>
      <c r="G10181" t="s">
        <v>4909</v>
      </c>
    </row>
    <row r="10182" spans="1:7" x14ac:dyDescent="0.2">
      <c r="A10182" t="s">
        <v>2030</v>
      </c>
      <c r="B10182" t="s">
        <v>4909</v>
      </c>
      <c r="C10182" t="s">
        <v>4909</v>
      </c>
      <c r="D10182" t="s">
        <v>4909</v>
      </c>
      <c r="E10182" t="s">
        <v>4909</v>
      </c>
      <c r="F10182" t="s">
        <v>4909</v>
      </c>
      <c r="G10182" t="s">
        <v>4909</v>
      </c>
    </row>
    <row r="10183" spans="1:7" x14ac:dyDescent="0.2">
      <c r="A10183" t="s">
        <v>2035</v>
      </c>
      <c r="B10183" t="s">
        <v>4909</v>
      </c>
      <c r="C10183" t="s">
        <v>4909</v>
      </c>
      <c r="D10183" t="s">
        <v>4909</v>
      </c>
      <c r="E10183" t="s">
        <v>4909</v>
      </c>
      <c r="F10183" t="s">
        <v>4909</v>
      </c>
      <c r="G10183" t="s">
        <v>4909</v>
      </c>
    </row>
    <row r="10184" spans="1:7" x14ac:dyDescent="0.2">
      <c r="A10184" t="s">
        <v>2040</v>
      </c>
      <c r="B10184" t="s">
        <v>4909</v>
      </c>
      <c r="C10184" t="s">
        <v>4909</v>
      </c>
      <c r="D10184" t="s">
        <v>4909</v>
      </c>
      <c r="E10184" t="s">
        <v>4909</v>
      </c>
      <c r="F10184" t="s">
        <v>4909</v>
      </c>
      <c r="G10184" t="s">
        <v>4909</v>
      </c>
    </row>
    <row r="10185" spans="1:7" x14ac:dyDescent="0.2">
      <c r="A10185" t="s">
        <v>2045</v>
      </c>
      <c r="B10185" t="s">
        <v>4909</v>
      </c>
      <c r="C10185" t="s">
        <v>4909</v>
      </c>
      <c r="D10185" t="s">
        <v>4909</v>
      </c>
      <c r="E10185" t="s">
        <v>4909</v>
      </c>
      <c r="F10185" t="s">
        <v>4909</v>
      </c>
      <c r="G10185" t="s">
        <v>4909</v>
      </c>
    </row>
    <row r="10186" spans="1:7" x14ac:dyDescent="0.2">
      <c r="A10186" t="s">
        <v>2049</v>
      </c>
      <c r="B10186" t="s">
        <v>4909</v>
      </c>
      <c r="C10186" t="s">
        <v>4909</v>
      </c>
      <c r="D10186" t="s">
        <v>4909</v>
      </c>
      <c r="E10186" t="s">
        <v>4909</v>
      </c>
      <c r="F10186" t="s">
        <v>4909</v>
      </c>
      <c r="G10186" t="s">
        <v>4909</v>
      </c>
    </row>
    <row r="10187" spans="1:7" x14ac:dyDescent="0.2">
      <c r="A10187" t="s">
        <v>2051</v>
      </c>
      <c r="B10187" t="s">
        <v>4909</v>
      </c>
      <c r="C10187" t="s">
        <v>4909</v>
      </c>
      <c r="D10187" t="s">
        <v>4909</v>
      </c>
      <c r="E10187" t="s">
        <v>4909</v>
      </c>
      <c r="F10187" t="s">
        <v>4909</v>
      </c>
      <c r="G10187" t="s">
        <v>4909</v>
      </c>
    </row>
    <row r="10188" spans="1:7" x14ac:dyDescent="0.2">
      <c r="A10188" t="s">
        <v>2057</v>
      </c>
      <c r="B10188" t="s">
        <v>4909</v>
      </c>
      <c r="C10188" t="s">
        <v>4909</v>
      </c>
      <c r="D10188" t="s">
        <v>4909</v>
      </c>
      <c r="E10188" t="s">
        <v>4909</v>
      </c>
      <c r="F10188" t="s">
        <v>4909</v>
      </c>
      <c r="G10188" t="s">
        <v>4909</v>
      </c>
    </row>
    <row r="10189" spans="1:7" x14ac:dyDescent="0.2">
      <c r="A10189" t="s">
        <v>4344</v>
      </c>
      <c r="B10189" t="s">
        <v>4909</v>
      </c>
      <c r="C10189" t="s">
        <v>4909</v>
      </c>
      <c r="D10189" t="s">
        <v>4909</v>
      </c>
      <c r="E10189" t="s">
        <v>4909</v>
      </c>
      <c r="F10189" t="s">
        <v>4909</v>
      </c>
      <c r="G10189" t="s">
        <v>4909</v>
      </c>
    </row>
    <row r="10190" spans="1:7" x14ac:dyDescent="0.2">
      <c r="A10190" t="s">
        <v>4345</v>
      </c>
      <c r="B10190" t="s">
        <v>4909</v>
      </c>
      <c r="C10190" t="s">
        <v>4909</v>
      </c>
      <c r="D10190" t="s">
        <v>4909</v>
      </c>
      <c r="E10190" t="s">
        <v>4909</v>
      </c>
      <c r="F10190" t="s">
        <v>4909</v>
      </c>
      <c r="G10190" t="s">
        <v>4909</v>
      </c>
    </row>
    <row r="10191" spans="1:7" x14ac:dyDescent="0.2">
      <c r="A10191" t="s">
        <v>2074</v>
      </c>
      <c r="B10191" t="s">
        <v>4909</v>
      </c>
      <c r="C10191" t="s">
        <v>4909</v>
      </c>
      <c r="D10191" t="s">
        <v>4909</v>
      </c>
      <c r="E10191" t="s">
        <v>4909</v>
      </c>
      <c r="F10191" t="s">
        <v>4909</v>
      </c>
      <c r="G10191" t="s">
        <v>4909</v>
      </c>
    </row>
    <row r="10192" spans="1:7" x14ac:dyDescent="0.2">
      <c r="A10192" t="s">
        <v>2079</v>
      </c>
      <c r="B10192" t="s">
        <v>4909</v>
      </c>
      <c r="C10192" t="s">
        <v>4909</v>
      </c>
      <c r="D10192" t="s">
        <v>4909</v>
      </c>
      <c r="E10192" t="s">
        <v>4909</v>
      </c>
      <c r="F10192" t="s">
        <v>4909</v>
      </c>
      <c r="G10192" t="s">
        <v>4909</v>
      </c>
    </row>
    <row r="10193" spans="1:7" x14ac:dyDescent="0.2">
      <c r="A10193" t="s">
        <v>2085</v>
      </c>
      <c r="B10193" t="s">
        <v>4909</v>
      </c>
      <c r="C10193" t="s">
        <v>4909</v>
      </c>
      <c r="D10193" t="s">
        <v>4909</v>
      </c>
      <c r="E10193" t="s">
        <v>4909</v>
      </c>
      <c r="F10193" t="s">
        <v>4909</v>
      </c>
      <c r="G10193" t="s">
        <v>4909</v>
      </c>
    </row>
    <row r="10194" spans="1:7" x14ac:dyDescent="0.2">
      <c r="A10194" t="s">
        <v>2091</v>
      </c>
      <c r="B10194" t="s">
        <v>4909</v>
      </c>
      <c r="C10194" t="s">
        <v>4909</v>
      </c>
      <c r="D10194" t="s">
        <v>4909</v>
      </c>
      <c r="E10194" t="s">
        <v>4909</v>
      </c>
      <c r="F10194" t="s">
        <v>4909</v>
      </c>
      <c r="G10194" t="s">
        <v>4909</v>
      </c>
    </row>
    <row r="10195" spans="1:7" x14ac:dyDescent="0.2">
      <c r="A10195" t="s">
        <v>2097</v>
      </c>
      <c r="B10195" t="s">
        <v>4909</v>
      </c>
      <c r="C10195" t="s">
        <v>4909</v>
      </c>
      <c r="D10195" t="s">
        <v>4909</v>
      </c>
      <c r="E10195" t="s">
        <v>4909</v>
      </c>
      <c r="F10195" t="s">
        <v>4909</v>
      </c>
      <c r="G10195" t="s">
        <v>4909</v>
      </c>
    </row>
    <row r="10196" spans="1:7" x14ac:dyDescent="0.2">
      <c r="A10196" t="s">
        <v>2101</v>
      </c>
      <c r="B10196" t="s">
        <v>4909</v>
      </c>
      <c r="C10196" t="s">
        <v>4909</v>
      </c>
      <c r="D10196" t="s">
        <v>4909</v>
      </c>
      <c r="E10196" t="s">
        <v>4909</v>
      </c>
      <c r="F10196" t="s">
        <v>4909</v>
      </c>
      <c r="G10196" t="s">
        <v>4909</v>
      </c>
    </row>
    <row r="10197" spans="1:7" x14ac:dyDescent="0.2">
      <c r="A10197" t="s">
        <v>2104</v>
      </c>
      <c r="B10197" t="s">
        <v>4909</v>
      </c>
      <c r="C10197" t="s">
        <v>4909</v>
      </c>
      <c r="D10197" t="s">
        <v>4909</v>
      </c>
      <c r="E10197" t="s">
        <v>4909</v>
      </c>
      <c r="F10197" t="s">
        <v>4909</v>
      </c>
      <c r="G10197" t="s">
        <v>4909</v>
      </c>
    </row>
    <row r="10198" spans="1:7" x14ac:dyDescent="0.2">
      <c r="A10198" t="s">
        <v>2107</v>
      </c>
      <c r="B10198" t="s">
        <v>4909</v>
      </c>
      <c r="C10198" t="s">
        <v>4909</v>
      </c>
      <c r="D10198" t="s">
        <v>4909</v>
      </c>
      <c r="E10198" t="s">
        <v>4909</v>
      </c>
      <c r="F10198" t="s">
        <v>4909</v>
      </c>
      <c r="G10198" t="s">
        <v>4909</v>
      </c>
    </row>
    <row r="10199" spans="1:7" x14ac:dyDescent="0.2">
      <c r="A10199" t="s">
        <v>2110</v>
      </c>
      <c r="B10199" t="s">
        <v>4909</v>
      </c>
      <c r="C10199" t="s">
        <v>4909</v>
      </c>
      <c r="D10199" t="s">
        <v>4909</v>
      </c>
      <c r="E10199" t="s">
        <v>4909</v>
      </c>
      <c r="F10199" t="s">
        <v>4909</v>
      </c>
      <c r="G10199" t="s">
        <v>4909</v>
      </c>
    </row>
    <row r="10200" spans="1:7" x14ac:dyDescent="0.2">
      <c r="A10200" t="s">
        <v>2113</v>
      </c>
      <c r="B10200" t="s">
        <v>4909</v>
      </c>
      <c r="C10200" t="s">
        <v>4909</v>
      </c>
      <c r="D10200" t="s">
        <v>4909</v>
      </c>
      <c r="E10200" t="s">
        <v>4909</v>
      </c>
      <c r="F10200" t="s">
        <v>4909</v>
      </c>
      <c r="G10200" t="s">
        <v>4909</v>
      </c>
    </row>
    <row r="10201" spans="1:7" x14ac:dyDescent="0.2">
      <c r="A10201" t="s">
        <v>4346</v>
      </c>
      <c r="B10201" t="s">
        <v>4909</v>
      </c>
      <c r="C10201" t="s">
        <v>4909</v>
      </c>
      <c r="D10201" t="s">
        <v>4909</v>
      </c>
      <c r="E10201" t="s">
        <v>4909</v>
      </c>
      <c r="F10201" t="s">
        <v>4909</v>
      </c>
      <c r="G10201" t="s">
        <v>4909</v>
      </c>
    </row>
    <row r="10202" spans="1:7" x14ac:dyDescent="0.2">
      <c r="A10202" t="s">
        <v>4347</v>
      </c>
      <c r="B10202" t="s">
        <v>4909</v>
      </c>
      <c r="C10202" t="s">
        <v>4909</v>
      </c>
      <c r="D10202" t="s">
        <v>4909</v>
      </c>
      <c r="E10202" t="s">
        <v>4909</v>
      </c>
      <c r="F10202" t="s">
        <v>4909</v>
      </c>
      <c r="G10202" t="s">
        <v>4909</v>
      </c>
    </row>
    <row r="10203" spans="1:7" x14ac:dyDescent="0.2">
      <c r="A10203" t="s">
        <v>4348</v>
      </c>
      <c r="B10203" t="s">
        <v>4909</v>
      </c>
      <c r="C10203" t="s">
        <v>4909</v>
      </c>
      <c r="D10203" t="s">
        <v>4909</v>
      </c>
      <c r="E10203" t="s">
        <v>4909</v>
      </c>
      <c r="F10203" t="s">
        <v>4909</v>
      </c>
      <c r="G10203" t="s">
        <v>4909</v>
      </c>
    </row>
    <row r="10204" spans="1:7" x14ac:dyDescent="0.2">
      <c r="A10204" t="s">
        <v>4349</v>
      </c>
      <c r="B10204" t="s">
        <v>4909</v>
      </c>
      <c r="C10204" t="s">
        <v>4909</v>
      </c>
      <c r="D10204" t="s">
        <v>4909</v>
      </c>
      <c r="E10204" t="s">
        <v>4909</v>
      </c>
      <c r="F10204" t="s">
        <v>4909</v>
      </c>
      <c r="G10204" t="s">
        <v>4909</v>
      </c>
    </row>
    <row r="10205" spans="1:7" x14ac:dyDescent="0.2">
      <c r="A10205" t="s">
        <v>4350</v>
      </c>
      <c r="B10205" s="88">
        <v>2E-3</v>
      </c>
      <c r="C10205" s="88">
        <v>0</v>
      </c>
      <c r="D10205" s="88">
        <v>0.157</v>
      </c>
      <c r="E10205" s="88">
        <v>8.0000000000000002E-3</v>
      </c>
      <c r="F10205" s="88">
        <v>1.9E-2</v>
      </c>
      <c r="G10205" s="88">
        <v>1E-3</v>
      </c>
    </row>
    <row r="10206" spans="1:7" x14ac:dyDescent="0.2">
      <c r="A10206" t="s">
        <v>4351</v>
      </c>
      <c r="B10206" t="s">
        <v>4909</v>
      </c>
      <c r="C10206" t="s">
        <v>4909</v>
      </c>
      <c r="D10206" t="s">
        <v>4909</v>
      </c>
      <c r="E10206" t="s">
        <v>4909</v>
      </c>
      <c r="F10206" t="s">
        <v>4909</v>
      </c>
      <c r="G10206" t="s">
        <v>4909</v>
      </c>
    </row>
    <row r="10207" spans="1:7" x14ac:dyDescent="0.2">
      <c r="A10207" t="s">
        <v>4352</v>
      </c>
      <c r="B10207" t="s">
        <v>4909</v>
      </c>
      <c r="C10207" t="s">
        <v>4909</v>
      </c>
      <c r="D10207" t="s">
        <v>4909</v>
      </c>
      <c r="E10207" t="s">
        <v>4909</v>
      </c>
      <c r="F10207" t="s">
        <v>4909</v>
      </c>
      <c r="G10207" t="s">
        <v>4909</v>
      </c>
    </row>
    <row r="10208" spans="1:7" x14ac:dyDescent="0.2">
      <c r="A10208" t="s">
        <v>4353</v>
      </c>
      <c r="B10208" t="s">
        <v>4909</v>
      </c>
      <c r="C10208" t="s">
        <v>4909</v>
      </c>
      <c r="D10208" s="88">
        <v>1E-3</v>
      </c>
      <c r="E10208" t="s">
        <v>4909</v>
      </c>
      <c r="F10208" t="s">
        <v>4909</v>
      </c>
      <c r="G10208" t="s">
        <v>4909</v>
      </c>
    </row>
    <row r="10209" spans="1:7" x14ac:dyDescent="0.2">
      <c r="A10209" t="s">
        <v>4354</v>
      </c>
      <c r="B10209" t="s">
        <v>4909</v>
      </c>
      <c r="C10209" t="s">
        <v>4909</v>
      </c>
      <c r="D10209" t="s">
        <v>4909</v>
      </c>
      <c r="E10209" t="s">
        <v>4909</v>
      </c>
      <c r="F10209" t="s">
        <v>4909</v>
      </c>
      <c r="G10209" t="s">
        <v>4909</v>
      </c>
    </row>
    <row r="10210" spans="1:7" x14ac:dyDescent="0.2">
      <c r="A10210" t="s">
        <v>4355</v>
      </c>
      <c r="B10210" t="s">
        <v>4909</v>
      </c>
      <c r="C10210" t="s">
        <v>4909</v>
      </c>
      <c r="D10210" t="s">
        <v>4909</v>
      </c>
      <c r="E10210" t="s">
        <v>4909</v>
      </c>
      <c r="F10210" t="s">
        <v>4909</v>
      </c>
      <c r="G10210" t="s">
        <v>4909</v>
      </c>
    </row>
    <row r="10211" spans="1:7" x14ac:dyDescent="0.2">
      <c r="A10211" t="s">
        <v>4356</v>
      </c>
      <c r="B10211" t="s">
        <v>4909</v>
      </c>
      <c r="C10211" t="s">
        <v>4909</v>
      </c>
      <c r="D10211" t="s">
        <v>4909</v>
      </c>
      <c r="E10211" t="s">
        <v>4909</v>
      </c>
      <c r="F10211" t="s">
        <v>4909</v>
      </c>
      <c r="G10211" t="s">
        <v>4909</v>
      </c>
    </row>
    <row r="10212" spans="1:7" x14ac:dyDescent="0.2">
      <c r="A10212" t="s">
        <v>4357</v>
      </c>
      <c r="B10212" s="88">
        <v>0</v>
      </c>
      <c r="C10212" t="s">
        <v>4909</v>
      </c>
      <c r="D10212" s="88">
        <v>6.7000000000000004E-2</v>
      </c>
      <c r="E10212" s="88">
        <v>3.0000000000000001E-3</v>
      </c>
      <c r="F10212" s="88">
        <v>1.2E-2</v>
      </c>
      <c r="G10212" s="88">
        <v>0</v>
      </c>
    </row>
    <row r="10213" spans="1:7" x14ac:dyDescent="0.2">
      <c r="A10213" t="s">
        <v>4358</v>
      </c>
      <c r="B10213" t="s">
        <v>4909</v>
      </c>
      <c r="C10213" t="s">
        <v>4909</v>
      </c>
      <c r="D10213" s="88">
        <v>1.9E-2</v>
      </c>
      <c r="E10213" s="88">
        <v>1E-3</v>
      </c>
      <c r="F10213" s="88">
        <v>0</v>
      </c>
      <c r="G10213" t="s">
        <v>4909</v>
      </c>
    </row>
    <row r="10214" spans="1:7" x14ac:dyDescent="0.2">
      <c r="A10214" t="s">
        <v>4359</v>
      </c>
      <c r="B10214" t="s">
        <v>4909</v>
      </c>
      <c r="C10214" t="s">
        <v>4909</v>
      </c>
      <c r="D10214" t="s">
        <v>4909</v>
      </c>
      <c r="E10214" t="s">
        <v>4909</v>
      </c>
      <c r="F10214" t="s">
        <v>4909</v>
      </c>
      <c r="G10214" t="s">
        <v>4909</v>
      </c>
    </row>
    <row r="10215" spans="1:7" x14ac:dyDescent="0.2">
      <c r="A10215" t="s">
        <v>4360</v>
      </c>
      <c r="B10215" t="s">
        <v>4909</v>
      </c>
      <c r="C10215" t="s">
        <v>4909</v>
      </c>
      <c r="D10215" t="s">
        <v>4909</v>
      </c>
      <c r="E10215" t="s">
        <v>4909</v>
      </c>
      <c r="F10215" t="s">
        <v>4909</v>
      </c>
      <c r="G10215" t="s">
        <v>4909</v>
      </c>
    </row>
    <row r="10216" spans="1:7" x14ac:dyDescent="0.2">
      <c r="A10216" t="s">
        <v>4361</v>
      </c>
      <c r="B10216" t="s">
        <v>4909</v>
      </c>
      <c r="C10216" t="s">
        <v>4909</v>
      </c>
      <c r="D10216" s="88">
        <v>0</v>
      </c>
      <c r="E10216" t="s">
        <v>4909</v>
      </c>
      <c r="F10216" s="88">
        <v>0</v>
      </c>
      <c r="G10216" t="s">
        <v>4909</v>
      </c>
    </row>
    <row r="10217" spans="1:7" x14ac:dyDescent="0.2">
      <c r="A10217" t="s">
        <v>4362</v>
      </c>
      <c r="B10217" t="s">
        <v>4909</v>
      </c>
      <c r="C10217" t="s">
        <v>4909</v>
      </c>
      <c r="D10217" t="s">
        <v>4909</v>
      </c>
      <c r="E10217" t="s">
        <v>4909</v>
      </c>
      <c r="F10217" t="s">
        <v>4909</v>
      </c>
      <c r="G10217" t="s">
        <v>4909</v>
      </c>
    </row>
    <row r="10218" spans="1:7" x14ac:dyDescent="0.2">
      <c r="A10218" t="s">
        <v>4363</v>
      </c>
      <c r="B10218" t="s">
        <v>4909</v>
      </c>
      <c r="C10218" t="s">
        <v>4909</v>
      </c>
      <c r="D10218" t="s">
        <v>4909</v>
      </c>
      <c r="E10218" t="s">
        <v>4909</v>
      </c>
      <c r="F10218" t="s">
        <v>4909</v>
      </c>
      <c r="G10218" t="s">
        <v>4909</v>
      </c>
    </row>
    <row r="10219" spans="1:7" x14ac:dyDescent="0.2">
      <c r="A10219" t="s">
        <v>4364</v>
      </c>
      <c r="B10219" t="s">
        <v>4909</v>
      </c>
      <c r="C10219" t="s">
        <v>4909</v>
      </c>
      <c r="D10219" t="s">
        <v>4909</v>
      </c>
      <c r="E10219" t="s">
        <v>4909</v>
      </c>
      <c r="F10219" t="s">
        <v>4909</v>
      </c>
      <c r="G10219" t="s">
        <v>4909</v>
      </c>
    </row>
    <row r="10220" spans="1:7" x14ac:dyDescent="0.2">
      <c r="A10220" t="s">
        <v>4365</v>
      </c>
      <c r="B10220" t="s">
        <v>4909</v>
      </c>
      <c r="C10220" t="s">
        <v>4909</v>
      </c>
      <c r="D10220" t="s">
        <v>4909</v>
      </c>
      <c r="E10220" t="s">
        <v>4909</v>
      </c>
      <c r="F10220" t="s">
        <v>4909</v>
      </c>
      <c r="G10220" t="s">
        <v>4909</v>
      </c>
    </row>
    <row r="10221" spans="1:7" x14ac:dyDescent="0.2">
      <c r="A10221" t="s">
        <v>4366</v>
      </c>
      <c r="B10221" t="s">
        <v>4909</v>
      </c>
      <c r="C10221" t="s">
        <v>4909</v>
      </c>
      <c r="D10221" s="88">
        <v>2.1000000000000001E-2</v>
      </c>
      <c r="E10221" s="88">
        <v>1E-3</v>
      </c>
      <c r="F10221" s="88">
        <v>3.0000000000000001E-3</v>
      </c>
      <c r="G10221" s="88">
        <v>0</v>
      </c>
    </row>
    <row r="10222" spans="1:7" x14ac:dyDescent="0.2">
      <c r="A10222" t="s">
        <v>4367</v>
      </c>
      <c r="B10222" t="s">
        <v>4909</v>
      </c>
      <c r="C10222" t="s">
        <v>4909</v>
      </c>
      <c r="D10222" t="s">
        <v>4909</v>
      </c>
      <c r="E10222" t="s">
        <v>4909</v>
      </c>
      <c r="F10222" t="s">
        <v>4909</v>
      </c>
      <c r="G10222" t="s">
        <v>4909</v>
      </c>
    </row>
    <row r="10223" spans="1:7" x14ac:dyDescent="0.2">
      <c r="A10223" t="s">
        <v>4368</v>
      </c>
      <c r="B10223" t="s">
        <v>4909</v>
      </c>
      <c r="C10223" t="s">
        <v>4909</v>
      </c>
      <c r="D10223" t="s">
        <v>4909</v>
      </c>
      <c r="E10223" t="s">
        <v>4909</v>
      </c>
      <c r="F10223" t="s">
        <v>4909</v>
      </c>
      <c r="G10223" t="s">
        <v>4909</v>
      </c>
    </row>
    <row r="10224" spans="1:7" x14ac:dyDescent="0.2">
      <c r="A10224" t="s">
        <v>4369</v>
      </c>
      <c r="B10224" t="s">
        <v>4909</v>
      </c>
      <c r="C10224" t="s">
        <v>4909</v>
      </c>
      <c r="D10224" t="s">
        <v>4909</v>
      </c>
      <c r="E10224" t="s">
        <v>4909</v>
      </c>
      <c r="F10224" t="s">
        <v>4909</v>
      </c>
      <c r="G10224" t="s">
        <v>4909</v>
      </c>
    </row>
    <row r="10225" spans="1:7" x14ac:dyDescent="0.2">
      <c r="A10225" t="s">
        <v>4370</v>
      </c>
      <c r="B10225" t="s">
        <v>4909</v>
      </c>
      <c r="C10225" t="s">
        <v>4909</v>
      </c>
      <c r="D10225" t="s">
        <v>4909</v>
      </c>
      <c r="E10225" t="s">
        <v>4909</v>
      </c>
      <c r="F10225" t="s">
        <v>4909</v>
      </c>
      <c r="G10225" t="s">
        <v>4909</v>
      </c>
    </row>
    <row r="10226" spans="1:7" x14ac:dyDescent="0.2">
      <c r="A10226" t="s">
        <v>4371</v>
      </c>
      <c r="B10226" t="s">
        <v>4909</v>
      </c>
      <c r="C10226" t="s">
        <v>4909</v>
      </c>
      <c r="D10226" t="s">
        <v>4909</v>
      </c>
      <c r="E10226" t="s">
        <v>4909</v>
      </c>
      <c r="F10226" t="s">
        <v>4909</v>
      </c>
      <c r="G10226" t="s">
        <v>4909</v>
      </c>
    </row>
    <row r="10227" spans="1:7" x14ac:dyDescent="0.2">
      <c r="A10227" t="s">
        <v>4372</v>
      </c>
      <c r="B10227" t="s">
        <v>4909</v>
      </c>
      <c r="C10227" t="s">
        <v>4909</v>
      </c>
      <c r="D10227" t="s">
        <v>4909</v>
      </c>
      <c r="E10227" t="s">
        <v>4909</v>
      </c>
      <c r="F10227" t="s">
        <v>4909</v>
      </c>
      <c r="G10227" t="s">
        <v>4909</v>
      </c>
    </row>
    <row r="10228" spans="1:7" x14ac:dyDescent="0.2">
      <c r="A10228" t="s">
        <v>4373</v>
      </c>
      <c r="B10228" s="88">
        <v>1.0999999999999999E-2</v>
      </c>
      <c r="C10228" s="88">
        <v>0</v>
      </c>
      <c r="D10228" s="88">
        <v>0.32400000000000001</v>
      </c>
      <c r="E10228" s="88">
        <v>1.7000000000000001E-2</v>
      </c>
      <c r="F10228" s="88">
        <v>0.40200000000000002</v>
      </c>
      <c r="G10228" s="88">
        <v>2.1000000000000001E-2</v>
      </c>
    </row>
    <row r="10229" spans="1:7" x14ac:dyDescent="0.2">
      <c r="A10229" t="s">
        <v>4374</v>
      </c>
      <c r="B10229" s="88">
        <v>1E-3</v>
      </c>
      <c r="C10229" s="88">
        <v>0</v>
      </c>
      <c r="D10229" s="88">
        <v>0.59199999999999997</v>
      </c>
      <c r="E10229" s="88">
        <v>3.1E-2</v>
      </c>
      <c r="F10229" s="88">
        <v>4.5999999999999999E-2</v>
      </c>
      <c r="G10229" s="88">
        <v>2E-3</v>
      </c>
    </row>
    <row r="10230" spans="1:7" x14ac:dyDescent="0.2">
      <c r="A10230" t="s">
        <v>4375</v>
      </c>
      <c r="B10230" s="88">
        <v>0.188</v>
      </c>
      <c r="C10230" s="88">
        <v>8.9999999999999993E-3</v>
      </c>
      <c r="D10230" s="88">
        <v>0.27900000000000003</v>
      </c>
      <c r="E10230" s="88">
        <v>1.4E-2</v>
      </c>
      <c r="F10230" s="88">
        <v>3.5999999999999997E-2</v>
      </c>
      <c r="G10230" s="88">
        <v>1E-3</v>
      </c>
    </row>
    <row r="10231" spans="1:7" x14ac:dyDescent="0.2">
      <c r="A10231" t="s">
        <v>4376</v>
      </c>
      <c r="B10231" s="88">
        <v>1.7999999999999999E-2</v>
      </c>
      <c r="C10231" s="88">
        <v>0</v>
      </c>
      <c r="D10231" s="88">
        <v>0.38</v>
      </c>
      <c r="E10231" s="88">
        <v>0.02</v>
      </c>
      <c r="F10231" s="88">
        <v>5.5E-2</v>
      </c>
      <c r="G10231" s="88">
        <v>2E-3</v>
      </c>
    </row>
    <row r="10232" spans="1:7" x14ac:dyDescent="0.2">
      <c r="A10232" t="s">
        <v>4377</v>
      </c>
      <c r="B10232" s="88">
        <v>2.1999999999999999E-2</v>
      </c>
      <c r="C10232" s="88">
        <v>1E-3</v>
      </c>
      <c r="D10232" s="88">
        <v>0.47799999999999998</v>
      </c>
      <c r="E10232" s="88">
        <v>2.5000000000000001E-2</v>
      </c>
      <c r="F10232" s="88">
        <v>7.5999999999999998E-2</v>
      </c>
      <c r="G10232" s="88">
        <v>4.0000000000000001E-3</v>
      </c>
    </row>
    <row r="10233" spans="1:7" x14ac:dyDescent="0.2">
      <c r="A10233" t="s">
        <v>2318</v>
      </c>
      <c r="B10233" t="s">
        <v>4399</v>
      </c>
      <c r="C10233" t="s">
        <v>4399</v>
      </c>
      <c r="D10233" t="s">
        <v>4399</v>
      </c>
      <c r="E10233" t="s">
        <v>4399</v>
      </c>
      <c r="F10233" t="s">
        <v>4399</v>
      </c>
      <c r="G10233" t="s">
        <v>4399</v>
      </c>
    </row>
  </sheetData>
  <phoneticPr fontId="0" type="noConversion"/>
  <hyperlinks>
    <hyperlink ref="M4" location="StockSumPRN!B8" display="U-nkskrw" xr:uid="{00000000-0004-0000-1400-000000000000}"/>
    <hyperlink ref="M14" location="StockSumPRN!B213" display="U-samshw" xr:uid="{00000000-0004-0000-1400-000001000000}"/>
    <hyperlink ref="M24" location="StockSumPRN!B418" display="U-skgbkh" xr:uid="{00000000-0004-0000-1400-000002000000}"/>
    <hyperlink ref="M34" location="StockSumPRN!B623" display="U-stillh" xr:uid="{00000000-0004-0000-1400-000003000000}"/>
    <hyperlink ref="M44" location="StockSumPRN!B828" display="U-ptgamh" xr:uid="{00000000-0004-0000-1400-000004000000}"/>
    <hyperlink ref="M54" location="StockSumPRN!B1033" display="U-ar12aw" xr:uid="{00000000-0004-0000-1400-000005000000}"/>
    <hyperlink ref="M64" location="StockSumPRN!B1238" display="U-ar13bw" xr:uid="{00000000-0004-0000-1400-000006000000}"/>
    <hyperlink ref="M74" location="StockSumPRN!B1443" display="U-foxish" xr:uid="{00000000-0004-0000-1400-000007000000}"/>
    <hyperlink ref="M84" location="StockSumPRN!B1648" display="U-ar13aw" xr:uid="{00000000-0004-0000-1400-000008000000}"/>
    <hyperlink ref="M94" location="StockSumPRN!B1853" display="U-ar10eh" xr:uid="{00000000-0004-0000-1400-000009000000}"/>
    <hyperlink ref="M104" location="StockSumPRN!B2058" display="U-lakwaw" xr:uid="{00000000-0004-0000-1400-00000A000000}"/>
    <hyperlink ref="M114" location="StockSumPRN!B2263" display="U-elwhaw" xr:uid="{00000000-0004-0000-1400-00000B000000}"/>
    <hyperlink ref="Q4" location="StockSumPRN!B2468" display="U-area9w" xr:uid="{00000000-0004-0000-1400-00000C000000}"/>
    <hyperlink ref="Q14" location="StockSumPRN!B2673" display="U-quilfw" xr:uid="{00000000-0004-0000-1400-00000D000000}"/>
    <hyperlink ref="Q24" location="StockSumPRN!B2878" display="U-quetfh" xr:uid="{00000000-0004-0000-1400-00000E000000}"/>
    <hyperlink ref="Q34" location="StockSumPRN!B3083" display="U-chehlh" xr:uid="{00000000-0004-0000-1400-00000F000000}"/>
    <hyperlink ref="Q44" location="StockSumPRN!B3288" display="U-willaw" xr:uid="{00000000-0004-0000-1400-000010000000}"/>
    <hyperlink ref="Q54" location="StockSumPRN!B3493" display="U-washew" xr:uid="{00000000-0004-0000-1400-000011000000}"/>
    <hyperlink ref="Q64" location="StockSumPRN!B3698" display="U-orenmh" xr:uid="{00000000-0004-0000-1400-000012000000}"/>
    <hyperlink ref="M5" location="StockSumPRN!C8" display="M-nkskrw" xr:uid="{00000000-0004-0000-1400-000013000000}"/>
    <hyperlink ref="M6" location="StockSumPRN!D8" display="U-kendlh" xr:uid="{00000000-0004-0000-1400-000014000000}"/>
    <hyperlink ref="M7" location="StockSumPRN!E8" display="M-kendlh" xr:uid="{00000000-0004-0000-1400-000015000000}"/>
    <hyperlink ref="M8" location="StockSumPRN!F8" display="U-skokmh" xr:uid="{00000000-0004-0000-1400-000016000000}"/>
    <hyperlink ref="M9" location="StockSumPRN!G8" display="M-skokmh" xr:uid="{00000000-0004-0000-1400-000017000000}"/>
    <hyperlink ref="M10" location="StockSumPRN!H8" display="U-lumpdh" xr:uid="{00000000-0004-0000-1400-000018000000}"/>
    <hyperlink ref="M11" location="StockSumPRN!I8" display="M-lumpdh" xr:uid="{00000000-0004-0000-1400-000019000000}"/>
    <hyperlink ref="M12" location="StockSumPRN!J8" display="U-bhambh" xr:uid="{00000000-0004-0000-1400-00001A000000}"/>
    <hyperlink ref="M13" location="StockSumPRN!K8" display="M-bhambh" xr:uid="{00000000-0004-0000-1400-00001B000000}"/>
    <hyperlink ref="M15" location="StockSumPRN!C213" display="M-samshw" xr:uid="{00000000-0004-0000-1400-00001C000000}"/>
    <hyperlink ref="M16" location="StockSumPRN!D213" display="U-ar77aw" xr:uid="{00000000-0004-0000-1400-00001D000000}"/>
    <hyperlink ref="M17" location="StockSumPRN!E213" display="M-ar77aw" xr:uid="{00000000-0004-0000-1400-00001E000000}"/>
    <hyperlink ref="M18" location="StockSumPRN!F213" display="U-whatch" xr:uid="{00000000-0004-0000-1400-00001F000000}"/>
    <hyperlink ref="M19" location="StockSumPRN!G213" display="M-whatch" xr:uid="{00000000-0004-0000-1400-000020000000}"/>
    <hyperlink ref="M20" location="StockSumPRN!H213" display="U-skagtw" xr:uid="{00000000-0004-0000-1400-000021000000}"/>
    <hyperlink ref="M21" location="StockSumPRN!I213" display="M-skagtw" xr:uid="{00000000-0004-0000-1400-000022000000}"/>
    <hyperlink ref="M22" location="StockSumPRN!J213" display="U-skagth" xr:uid="{00000000-0004-0000-1400-000023000000}"/>
    <hyperlink ref="M23" location="StockSumPRN!K213" display="M-skagth" xr:uid="{00000000-0004-0000-1400-000024000000}"/>
    <hyperlink ref="M25" location="StockSumPRN!C418" display="M-skgbkh" xr:uid="{00000000-0004-0000-1400-000025000000}"/>
    <hyperlink ref="M26" location="StockSumPRN!D418" display="U-skgbkw" xr:uid="{00000000-0004-0000-1400-000026000000}"/>
    <hyperlink ref="M27" location="StockSumPRN!E418" display="M-skgbkw" xr:uid="{00000000-0004-0000-1400-000027000000}"/>
    <hyperlink ref="M28" location="StockSumPRN!F418" display="U-swinch" xr:uid="{00000000-0004-0000-1400-000028000000}"/>
    <hyperlink ref="M29" location="StockSumPRN!G418" display="M-swinch" xr:uid="{00000000-0004-0000-1400-000029000000}"/>
    <hyperlink ref="M30" location="StockSumPRN!H418" display="U-oakhbh" xr:uid="{00000000-0004-0000-1400-00002A000000}"/>
    <hyperlink ref="M31" location="StockSumPRN!I418" display="M-oakhbh" xr:uid="{00000000-0004-0000-1400-00002B000000}"/>
    <hyperlink ref="M32" location="StockSumPRN!J418" display="U-stillw" xr:uid="{00000000-0004-0000-1400-00002C000000}"/>
    <hyperlink ref="M33" location="StockSumPRN!K418" display="M-stillw" xr:uid="{00000000-0004-0000-1400-00002D000000}"/>
    <hyperlink ref="M35" location="StockSumPRN!C623" display="M-stillh" xr:uid="{00000000-0004-0000-1400-00002E000000}"/>
    <hyperlink ref="M36" location="StockSumPRN!D623" display="U-tuliph" xr:uid="{00000000-0004-0000-1400-00002F000000}"/>
    <hyperlink ref="M37" location="StockSumPRN!E623" display="M-tuliph" xr:uid="{00000000-0004-0000-1400-000030000000}"/>
    <hyperlink ref="M38" location="StockSumPRN!F623" display="U-snohow" xr:uid="{00000000-0004-0000-1400-000031000000}"/>
    <hyperlink ref="M39" location="StockSumPRN!G623" display="M-snohow" xr:uid="{00000000-0004-0000-1400-000032000000}"/>
    <hyperlink ref="M40" location="StockSumPRN!H623" display="U-snohoh" xr:uid="{00000000-0004-0000-1400-000033000000}"/>
    <hyperlink ref="M41" location="StockSumPRN!I623" display="M-snohoh" xr:uid="{00000000-0004-0000-1400-000034000000}"/>
    <hyperlink ref="M42" location="StockSumPRN!J623" display="U-ar8anh" xr:uid="{00000000-0004-0000-1400-000035000000}"/>
    <hyperlink ref="M43" location="StockSumPRN!K623" display="M-ar8anh" xr:uid="{00000000-0004-0000-1400-000036000000}"/>
    <hyperlink ref="M45" location="StockSumPRN!C828" display="M-ptgamh" xr:uid="{00000000-0004-0000-1400-000037000000}"/>
    <hyperlink ref="M46" location="StockSumPRN!D828" display="U-ptgamw" xr:uid="{00000000-0004-0000-1400-000038000000}"/>
    <hyperlink ref="M47" location="StockSumPRN!E828" display="M-ptgamw" xr:uid="{00000000-0004-0000-1400-000039000000}"/>
    <hyperlink ref="M48" location="StockSumPRN!F828" display="U-ar12bw" xr:uid="{00000000-0004-0000-1400-00003A000000}"/>
    <hyperlink ref="M49" location="StockSumPRN!G828" display="M-ar12bw" xr:uid="{00000000-0004-0000-1400-00003B000000}"/>
    <hyperlink ref="M50" location="StockSumPRN!H828" display="U-qlcnbh" xr:uid="{00000000-0004-0000-1400-00003C000000}"/>
    <hyperlink ref="M51" location="StockSumPRN!I828" display="M-qlcnbh" xr:uid="{00000000-0004-0000-1400-00003D000000}"/>
    <hyperlink ref="M52" location="StockSumPRN!J828" display="U-qlcenh" xr:uid="{00000000-0004-0000-1400-00003E000000}"/>
    <hyperlink ref="M53" location="StockSumPRN!K828" display="M-qlcenh" xr:uid="{00000000-0004-0000-1400-00003F000000}"/>
    <hyperlink ref="M55" location="StockSumPRN!C1033" display="M-ar12aw" xr:uid="{00000000-0004-0000-1400-000040000000}"/>
    <hyperlink ref="M56" location="StockSumPRN!D1033" display="U-hoodsh" xr:uid="{00000000-0004-0000-1400-000041000000}"/>
    <hyperlink ref="M57" location="StockSumPRN!E1033" display="M-hoodsh" xr:uid="{00000000-0004-0000-1400-000042000000}"/>
    <hyperlink ref="M58" location="StockSumPRN!F1033" display="U-ar12dw" xr:uid="{00000000-0004-0000-1400-000043000000}"/>
    <hyperlink ref="M59" location="StockSumPRN!G1033" display="M-ar12dw" xr:uid="{00000000-0004-0000-1400-000044000000}"/>
    <hyperlink ref="M60" location="StockSumPRN!H1033" display="U-gadamh" xr:uid="{00000000-0004-0000-1400-000045000000}"/>
    <hyperlink ref="M61" location="StockSumPRN!I1033" display="M-gadamh" xr:uid="{00000000-0004-0000-1400-000046000000}"/>
    <hyperlink ref="M62" location="StockSumPRN!J1033" display="U-skokrw" xr:uid="{00000000-0004-0000-1400-000047000000}"/>
    <hyperlink ref="M63" location="StockSumPRN!K1033" display="M-skokrw" xr:uid="{00000000-0004-0000-1400-000048000000}"/>
    <hyperlink ref="M65" location="StockSumPRN!C1238" display="M-ar13bw" xr:uid="{00000000-0004-0000-1400-000049000000}"/>
    <hyperlink ref="M66" location="StockSumPRN!D1238" display="U-deschw" xr:uid="{00000000-0004-0000-1400-00004A000000}"/>
    <hyperlink ref="M67" location="StockSumPRN!E1238" display="M-deschw" xr:uid="{00000000-0004-0000-1400-00004B000000}"/>
    <hyperlink ref="M68" location="StockSumPRN!F1238" display="U-ssdnph" xr:uid="{00000000-0004-0000-1400-00004C000000}"/>
    <hyperlink ref="M69" location="StockSumPRN!G1238" display="M-ssdnph" xr:uid="{00000000-0004-0000-1400-00004D000000}"/>
    <hyperlink ref="M70" location="StockSumPRN!H1238" display="U-nisqlh" xr:uid="{00000000-0004-0000-1400-00004E000000}"/>
    <hyperlink ref="M71" location="StockSumPRN!I1238" display="M-nisqlh" xr:uid="{00000000-0004-0000-1400-00004F000000}"/>
    <hyperlink ref="M72" location="StockSumPRN!J1238" display="U-nisqlw" xr:uid="{00000000-0004-0000-1400-000050000000}"/>
    <hyperlink ref="M73" location="StockSumPRN!K1238" display="M-nisqlw" xr:uid="{00000000-0004-0000-1400-000051000000}"/>
    <hyperlink ref="M75" location="StockSumPRN!C1443" display="M-foxish" xr:uid="{00000000-0004-0000-1400-000052000000}"/>
    <hyperlink ref="M76" location="StockSumPRN!D1443" display="U-mintch" xr:uid="{00000000-0004-0000-1400-000053000000}"/>
    <hyperlink ref="M77" location="StockSumPRN!E1443" display="M-mintch" xr:uid="{00000000-0004-0000-1400-000054000000}"/>
    <hyperlink ref="M78" location="StockSumPRN!F1443" display="U-ar13mw" xr:uid="{00000000-0004-0000-1400-000055000000}"/>
    <hyperlink ref="M79" location="StockSumPRN!G1443" display="M-ar13mw" xr:uid="{00000000-0004-0000-1400-000056000000}"/>
    <hyperlink ref="M80" location="StockSumPRN!H1443" display="U-chambh" xr:uid="{00000000-0004-0000-1400-000057000000}"/>
    <hyperlink ref="M81" location="StockSumPRN!I1443" display="M-chambh" xr:uid="{00000000-0004-0000-1400-000058000000}"/>
    <hyperlink ref="M82" location="StockSumPRN!J1443" display="U-ar13mh" xr:uid="{00000000-0004-0000-1400-000059000000}"/>
    <hyperlink ref="M83" location="StockSumPRN!K1443" display="M-ar13mh" xr:uid="{00000000-0004-0000-1400-00005A000000}"/>
    <hyperlink ref="M85" location="StockSumPRN!C1648" display="M-ar13aw" xr:uid="{00000000-0004-0000-1400-00005B000000}"/>
    <hyperlink ref="M86" location="StockSumPRN!D1648" display="U-puyalh" xr:uid="{00000000-0004-0000-1400-00005C000000}"/>
    <hyperlink ref="M87" location="StockSumPRN!E1648" display="M-puyalh" xr:uid="{00000000-0004-0000-1400-00005D000000}"/>
    <hyperlink ref="M88" location="StockSumPRN!F1648" display="U-puyalw" xr:uid="{00000000-0004-0000-1400-00005E000000}"/>
    <hyperlink ref="M89" location="StockSumPRN!G1648" display="M-puyalw" xr:uid="{00000000-0004-0000-1400-00005F000000}"/>
    <hyperlink ref="M90" location="StockSumPRN!H1648" display="U-are11h" xr:uid="{00000000-0004-0000-1400-000060000000}"/>
    <hyperlink ref="M91" location="StockSumPRN!I1648" display="M-are11h" xr:uid="{00000000-0004-0000-1400-000061000000}"/>
    <hyperlink ref="M92" location="StockSumPRN!J1648" display="U-ar11mw" xr:uid="{00000000-0004-0000-1400-000062000000}"/>
    <hyperlink ref="M93" location="StockSumPRN!K1648" display="M-ar11mw" xr:uid="{00000000-0004-0000-1400-000063000000}"/>
    <hyperlink ref="M95" location="StockSumPRN!C1853" display="M-ar10eh" xr:uid="{00000000-0004-0000-1400-000064000000}"/>
    <hyperlink ref="M96" location="StockSumPRN!D1853" display="U-ar10ew" xr:uid="{00000000-0004-0000-1400-000065000000}"/>
    <hyperlink ref="M97" location="StockSumPRN!E1853" display="M-ar10ew" xr:uid="{00000000-0004-0000-1400-000066000000}"/>
    <hyperlink ref="M98" location="StockSumPRN!F1853" display="U-greenh" xr:uid="{00000000-0004-0000-1400-000067000000}"/>
    <hyperlink ref="M99" location="StockSumPRN!G1853" display="M-greenh" xr:uid="{00000000-0004-0000-1400-000068000000}"/>
    <hyperlink ref="M100" location="StockSumPRN!H1853" display="U-greenw" xr:uid="{00000000-0004-0000-1400-000069000000}"/>
    <hyperlink ref="M101" location="StockSumPRN!I1853" display="M-greenw" xr:uid="{00000000-0004-0000-1400-00006A000000}"/>
    <hyperlink ref="M102" location="StockSumPRN!J1853" display="U-lakwah" xr:uid="{00000000-0004-0000-1400-00006B000000}"/>
    <hyperlink ref="M103" location="StockSumPRN!K1853" display="M-lakwah" xr:uid="{00000000-0004-0000-1400-00006C000000}"/>
    <hyperlink ref="M105" location="StockSumPRN!C2058" display="M-lakwaw" xr:uid="{00000000-0004-0000-1400-00006D000000}"/>
    <hyperlink ref="M106" location="StockSumPRN!D2058" display="U-are10h" xr:uid="{00000000-0004-0000-1400-00006E000000}"/>
    <hyperlink ref="M107" location="StockSumPRN!E2058" display="M-are10h" xr:uid="{00000000-0004-0000-1400-00006F000000}"/>
    <hyperlink ref="M108" location="StockSumPRN!F2058" display="U-ar10mw" xr:uid="{00000000-0004-0000-1400-000070000000}"/>
    <hyperlink ref="M109" location="StockSumPRN!G2058" display="M-ar10mw" xr:uid="{00000000-0004-0000-1400-000071000000}"/>
    <hyperlink ref="M110" location="StockSumPRN!H2058" display="U-dungew" xr:uid="{00000000-0004-0000-1400-000072000000}"/>
    <hyperlink ref="M111" location="StockSumPRN!I2058" display="M-dungew" xr:uid="{00000000-0004-0000-1400-000073000000}"/>
    <hyperlink ref="M112" location="StockSumPRN!J2058" display="U-dungeh" xr:uid="{00000000-0004-0000-1400-000074000000}"/>
    <hyperlink ref="M113" location="StockSumPRN!K2058" display="M-dungeh" xr:uid="{00000000-0004-0000-1400-000075000000}"/>
    <hyperlink ref="M115" location="StockSumPRN!C2263" display="M-elwhaw" xr:uid="{00000000-0004-0000-1400-000076000000}"/>
    <hyperlink ref="M116" location="StockSumPRN!D2263" display="U-elwhah" xr:uid="{00000000-0004-0000-1400-000077000000}"/>
    <hyperlink ref="M117" location="StockSumPRN!E2263" display="M-elwhah" xr:uid="{00000000-0004-0000-1400-000078000000}"/>
    <hyperlink ref="M118" location="StockSumPRN!F2263" display="U-ejdfmw" xr:uid="{00000000-0004-0000-1400-000079000000}"/>
    <hyperlink ref="M119" location="StockSumPRN!G2263" display="M-ejdfmw" xr:uid="{00000000-0004-0000-1400-00007A000000}"/>
    <hyperlink ref="M120" location="StockSumPRN!H2263" display="U-wjdfmw" xr:uid="{00000000-0004-0000-1400-00007B000000}"/>
    <hyperlink ref="M121" location="StockSumPRN!I2263" display="M-wjdfmw" xr:uid="{00000000-0004-0000-1400-00007C000000}"/>
    <hyperlink ref="M122" location="StockSumPRN!J2263" display="U-ptangh" xr:uid="{00000000-0004-0000-1400-00007D000000}"/>
    <hyperlink ref="M123" location="StockSumPRN!K2263" display="M-ptangh" xr:uid="{00000000-0004-0000-1400-00007E000000}"/>
    <hyperlink ref="Q5" location="StockSumPRN!C2468" display="M-area9w" xr:uid="{00000000-0004-0000-1400-00007F000000}"/>
    <hyperlink ref="Q6" location="StockSumPRN!D2468" display="U-makahw" xr:uid="{00000000-0004-0000-1400-000080000000}"/>
    <hyperlink ref="Q7" location="StockSumPRN!E2468" display="M-makahw" xr:uid="{00000000-0004-0000-1400-000081000000}"/>
    <hyperlink ref="Q8" location="StockSumPRN!F2468" display="U-makahh" xr:uid="{00000000-0004-0000-1400-000082000000}"/>
    <hyperlink ref="Q9" location="StockSumPRN!G2468" display="M-makahh" xr:uid="{00000000-0004-0000-1400-000083000000}"/>
    <hyperlink ref="Q10" location="StockSumPRN!H2468" display="U-quilsw" xr:uid="{00000000-0004-0000-1400-000084000000}"/>
    <hyperlink ref="Q11" location="StockSumPRN!I2468" display="M-quilsw" xr:uid="{00000000-0004-0000-1400-000085000000}"/>
    <hyperlink ref="Q12" location="StockSumPRN!J2468" display="U-quilsh" xr:uid="{00000000-0004-0000-1400-000086000000}"/>
    <hyperlink ref="Q13" location="StockSumPRN!K2468" display="M-quilsh" xr:uid="{00000000-0004-0000-1400-000087000000}"/>
    <hyperlink ref="Q15" location="StockSumPRN!C2673" display="M-quilfw" xr:uid="{00000000-0004-0000-1400-000088000000}"/>
    <hyperlink ref="Q16" location="StockSumPRN!D2673" display="U-quilfh" xr:uid="{00000000-0004-0000-1400-000089000000}"/>
    <hyperlink ref="Q17" location="StockSumPRN!E2673" display="M-quilfh" xr:uid="{00000000-0004-0000-1400-00008A000000}"/>
    <hyperlink ref="Q18" location="StockSumPRN!F2673" display="U-hohrvw" xr:uid="{00000000-0004-0000-1400-00008B000000}"/>
    <hyperlink ref="Q19" location="StockSumPRN!G2673" display="M-hohrvw" xr:uid="{00000000-0004-0000-1400-00008C000000}"/>
    <hyperlink ref="Q20" location="StockSumPRN!H2673" display="U-hohrvh" xr:uid="{00000000-0004-0000-1400-00008D000000}"/>
    <hyperlink ref="Q21" location="StockSumPRN!I2673" display="M-hohrvh" xr:uid="{00000000-0004-0000-1400-00008E000000}"/>
    <hyperlink ref="Q22" location="StockSumPRN!J2673" display="U-quetfw" xr:uid="{00000000-0004-0000-1400-00008F000000}"/>
    <hyperlink ref="Q23" location="StockSumPRN!K2673" display="M-quetfw" xr:uid="{00000000-0004-0000-1400-000090000000}"/>
    <hyperlink ref="Q25" location="StockSumPRN!C2878" display="M-quetfh" xr:uid="{00000000-0004-0000-1400-000091000000}"/>
    <hyperlink ref="Q26" location="StockSumPRN!D2878" display="U-quetph" xr:uid="{00000000-0004-0000-1400-000092000000}"/>
    <hyperlink ref="Q27" location="StockSumPRN!E2878" display="M-quetph" xr:uid="{00000000-0004-0000-1400-000093000000}"/>
    <hyperlink ref="Q28" location="StockSumPRN!F2878" display="U-quinfw" xr:uid="{00000000-0004-0000-1400-000094000000}"/>
    <hyperlink ref="Q29" location="StockSumPRN!G2878" display="M-quinfw" xr:uid="{00000000-0004-0000-1400-000095000000}"/>
    <hyperlink ref="Q30" location="StockSumPRN!H2878" display="U-quinfh" xr:uid="{00000000-0004-0000-1400-000096000000}"/>
    <hyperlink ref="Q31" location="StockSumPRN!I2878" display="M-quinfh" xr:uid="{00000000-0004-0000-1400-000097000000}"/>
    <hyperlink ref="Q32" location="StockSumPRN!J2878" display="U-chehlw" xr:uid="{00000000-0004-0000-1400-000098000000}"/>
    <hyperlink ref="Q33" location="StockSumPRN!K2878" display="M-chehlw" xr:uid="{00000000-0004-0000-1400-000099000000}"/>
    <hyperlink ref="Q35" location="StockSumPRN!C3083" display="M-chehlh" xr:uid="{00000000-0004-0000-1400-00009A000000}"/>
    <hyperlink ref="Q36" location="StockSumPRN!D3083" display="U-humptw" xr:uid="{00000000-0004-0000-1400-00009B000000}"/>
    <hyperlink ref="Q37" location="StockSumPRN!E3083" display="M-humptw" xr:uid="{00000000-0004-0000-1400-00009C000000}"/>
    <hyperlink ref="Q38" location="StockSumPRN!F3083" display="U-humpth" xr:uid="{00000000-0004-0000-1400-00009D000000}"/>
    <hyperlink ref="Q39" location="StockSumPRN!G3083" display="M-humpth" xr:uid="{00000000-0004-0000-1400-00009E000000}"/>
    <hyperlink ref="Q40" location="StockSumPRN!H3083" display="U-gryhmw" xr:uid="{00000000-0004-0000-1400-00009F000000}"/>
    <hyperlink ref="Q41" location="StockSumPRN!I3083" display="M-gryhmw" xr:uid="{00000000-0004-0000-1400-0000A0000000}"/>
    <hyperlink ref="Q42" location="StockSumPRN!J3083" display="U-gryhbh" xr:uid="{00000000-0004-0000-1400-0000A1000000}"/>
    <hyperlink ref="Q43" location="StockSumPRN!K3083" display="M-gryhbh" xr:uid="{00000000-0004-0000-1400-0000A2000000}"/>
    <hyperlink ref="Q45" location="StockSumPRN!C3288" display="M-willaw" xr:uid="{00000000-0004-0000-1400-0000A3000000}"/>
    <hyperlink ref="Q46" location="StockSumPRN!D3288" display="U-willah" xr:uid="{00000000-0004-0000-1400-0000A4000000}"/>
    <hyperlink ref="Q47" location="StockSumPRN!E3288" display="M-willah" xr:uid="{00000000-0004-0000-1400-0000A5000000}"/>
    <hyperlink ref="Q48" location="StockSumPRN!F3288" display="U-colreh" xr:uid="{00000000-0004-0000-1400-0000A6000000}"/>
    <hyperlink ref="Q49" location="StockSumPRN!G3288" display="M-colreh" xr:uid="{00000000-0004-0000-1400-0000A7000000}"/>
    <hyperlink ref="Q50" location="StockSumPRN!H3288" display="U-youngh" xr:uid="{00000000-0004-0000-1400-0000A8000000}"/>
    <hyperlink ref="Q51" location="StockSumPRN!I3288" display="M-youngh" xr:uid="{00000000-0004-0000-1400-0000A9000000}"/>
    <hyperlink ref="Q52" location="StockSumPRN!J3288" display="U-crorew" xr:uid="{00000000-0004-0000-1400-0000AA000000}"/>
    <hyperlink ref="Q53" location="StockSumPRN!K3288" display="M-crorew" xr:uid="{00000000-0004-0000-1400-0000AB000000}"/>
    <hyperlink ref="Q55" location="StockSumPRN!C3493" display="M-washew" xr:uid="{00000000-0004-0000-1400-0000AC000000}"/>
    <hyperlink ref="Q56" location="StockSumPRN!D3493" display="U-washlw" xr:uid="{00000000-0004-0000-1400-0000AD000000}"/>
    <hyperlink ref="Q57" location="StockSumPRN!E3493" display="M-washlw" xr:uid="{00000000-0004-0000-1400-0000AE000000}"/>
    <hyperlink ref="Q58" location="StockSumPRN!F3493" display="U-colrlh" xr:uid="{00000000-0004-0000-1400-0000AF000000}"/>
    <hyperlink ref="Q59" location="StockSumPRN!G3493" display="M-colrlh" xr:uid="{00000000-0004-0000-1400-0000B0000000}"/>
    <hyperlink ref="Q60" location="StockSumPRN!H3493" display="U-orenoh" xr:uid="{00000000-0004-0000-1400-0000B1000000}"/>
    <hyperlink ref="Q61" location="StockSumPRN!I3493" display="M-orenoh" xr:uid="{00000000-0004-0000-1400-0000B2000000}"/>
    <hyperlink ref="Q62" location="StockSumPRN!J3493" display="U-orenow" xr:uid="{00000000-0004-0000-1400-0000B3000000}"/>
    <hyperlink ref="Q63" location="StockSumPRN!K3493" display="M-orenow" xr:uid="{00000000-0004-0000-1400-0000B4000000}"/>
    <hyperlink ref="Q65" location="StockSumPRN!C3698" display="M-orenmh" xr:uid="{00000000-0004-0000-1400-0000B5000000}"/>
    <hyperlink ref="Q66" location="StockSumPRN!D3698" display="U-orenmw" xr:uid="{00000000-0004-0000-1400-0000B6000000}"/>
    <hyperlink ref="Q67" location="StockSumPRN!E3698" display="M-orenmw" xr:uid="{00000000-0004-0000-1400-0000B7000000}"/>
    <hyperlink ref="Q68" location="StockSumPRN!F3698" display="U-oresmh" xr:uid="{00000000-0004-0000-1400-0000B8000000}"/>
    <hyperlink ref="Q69" location="StockSumPRN!G3698" display="M-oresmh" xr:uid="{00000000-0004-0000-1400-0000B9000000}"/>
    <hyperlink ref="Q70" location="StockSumPRN!H3698" display="U-oresmw" xr:uid="{00000000-0004-0000-1400-0000BA000000}"/>
    <hyperlink ref="Q71" location="StockSumPRN!I3698" display="M-oresmw" xr:uid="{00000000-0004-0000-1400-0000BB000000}"/>
    <hyperlink ref="Q72" location="StockSumPRN!J3698" display="U-oranah" xr:uid="{00000000-0004-0000-1400-0000BC000000}"/>
    <hyperlink ref="Q73" location="StockSumPRN!K3698" display="M-oranah" xr:uid="{00000000-0004-0000-1400-0000BD000000}"/>
    <hyperlink ref="Q74" location="StockSumPRN!B3903" display="U-oraqah" xr:uid="{00000000-0004-0000-1400-0000BE000000}"/>
    <hyperlink ref="Q75" location="StockSumPRN!C3903" display="M-oraqah" xr:uid="{00000000-0004-0000-1400-0000BF000000}"/>
    <hyperlink ref="Q76" location="StockSumPRN!D3903" display="U-oresoh" xr:uid="{00000000-0004-0000-1400-0000C0000000}"/>
    <hyperlink ref="Q77" location="StockSumPRN!E3903" display="M-oresoh" xr:uid="{00000000-0004-0000-1400-0000C1000000}"/>
    <hyperlink ref="Q78" location="StockSumPRN!F3903" display="U-oresow" xr:uid="{00000000-0004-0000-1400-0000C2000000}"/>
    <hyperlink ref="Q79" location="StockSumPRN!G3903" display="M-oresow" xr:uid="{00000000-0004-0000-1400-0000C3000000}"/>
    <hyperlink ref="Q80" location="StockSumPRN!H3903" display="U-calnoh" xr:uid="{00000000-0004-0000-1400-0000C4000000}"/>
    <hyperlink ref="Q81" location="StockSumPRN!I3903" display="M-calnoh" xr:uid="{00000000-0004-0000-1400-0000C5000000}"/>
    <hyperlink ref="Q82" location="StockSumPRN!J3903" display="U-calnow" xr:uid="{00000000-0004-0000-1400-0000C6000000}"/>
    <hyperlink ref="Q83" location="StockSumPRN!K3903" display="M-calnow" xr:uid="{00000000-0004-0000-1400-0000C7000000}"/>
    <hyperlink ref="Q84" location="StockSumPRN!B4108" display="U-calcnh" xr:uid="{00000000-0004-0000-1400-0000C8000000}"/>
    <hyperlink ref="Q85" location="StockSumPRN!C4108" display="M-calcnh" xr:uid="{00000000-0004-0000-1400-0000C9000000}"/>
    <hyperlink ref="Q86" location="StockSumPRN!D4108" display="U-calcnw" xr:uid="{00000000-0004-0000-1400-0000CA000000}"/>
    <hyperlink ref="Q87" location="StockSumPRN!E4108" display="M-calcnw" xr:uid="{00000000-0004-0000-1400-0000CB000000}"/>
    <hyperlink ref="Q88" location="StockSumPRN!F4108" display="U-gsmndh" xr:uid="{00000000-0004-0000-1400-0000CC000000}"/>
    <hyperlink ref="Q89" location="StockSumPRN!G4108" display="M-gsmndh" xr:uid="{00000000-0004-0000-1400-0000CD000000}"/>
    <hyperlink ref="Q90" location="StockSumPRN!H4108" display="U-gsmndw" xr:uid="{00000000-0004-0000-1400-0000CE000000}"/>
    <hyperlink ref="Q91" location="StockSumPRN!I4108" display="M-gsmndw" xr:uid="{00000000-0004-0000-1400-0000CF000000}"/>
    <hyperlink ref="Q92" location="StockSumPRN!J4108" display="U-gsvcih" xr:uid="{00000000-0004-0000-1400-0000D0000000}"/>
    <hyperlink ref="Q93" location="StockSumPRN!K4108" display="M-gsvcih" xr:uid="{00000000-0004-0000-1400-0000D1000000}"/>
    <hyperlink ref="Q94" location="StockSumPRN!B4313" display="U-gsvciw" xr:uid="{00000000-0004-0000-1400-0000D2000000}"/>
    <hyperlink ref="Q95" location="StockSumPRN!C4313" display="M-gsvciw" xr:uid="{00000000-0004-0000-1400-0000D3000000}"/>
    <hyperlink ref="Q96" location="StockSumPRN!D4313" display="U-jnstrh" xr:uid="{00000000-0004-0000-1400-0000D4000000}"/>
    <hyperlink ref="Q97" location="StockSumPRN!E4313" display="M-jnstrh" xr:uid="{00000000-0004-0000-1400-0000D5000000}"/>
    <hyperlink ref="Q98" location="StockSumPRN!F4313" display="U-jnstrw" xr:uid="{00000000-0004-0000-1400-0000D6000000}"/>
    <hyperlink ref="Q99" location="StockSumPRN!G4313" display="M-jnstrw" xr:uid="{00000000-0004-0000-1400-0000D7000000}"/>
    <hyperlink ref="Q100" location="StockSumPRN!H4313" display="U-swvcih" xr:uid="{00000000-0004-0000-1400-0000D8000000}"/>
    <hyperlink ref="Q101" location="StockSumPRN!I4313" display="M-swvcih" xr:uid="{00000000-0004-0000-1400-0000D9000000}"/>
    <hyperlink ref="Q102" location="StockSumPRN!J4313" display="U-swvciw" xr:uid="{00000000-0004-0000-1400-0000DA000000}"/>
    <hyperlink ref="Q103" location="StockSumPRN!K4313" display="M-swvciw" xr:uid="{00000000-0004-0000-1400-0000DB000000}"/>
    <hyperlink ref="Q104" location="StockSumPRN!B4518" display="U-nwvcih" xr:uid="{00000000-0004-0000-1400-0000DC000000}"/>
    <hyperlink ref="Q105" location="StockSumPRN!C4518" display="M-nwvcih" xr:uid="{00000000-0004-0000-1400-0000DD000000}"/>
    <hyperlink ref="Q106" location="StockSumPRN!D4518" display="U-nwvciw" xr:uid="{00000000-0004-0000-1400-0000DE000000}"/>
    <hyperlink ref="Q107" location="StockSumPRN!E4518" display="M-nwvciw" xr:uid="{00000000-0004-0000-1400-0000DF000000}"/>
    <hyperlink ref="Q108" location="StockSumPRN!F4518" display="U-frslwh" xr:uid="{00000000-0004-0000-1400-0000E0000000}"/>
    <hyperlink ref="Q109" location="StockSumPRN!G4518" display="M-frslwh" xr:uid="{00000000-0004-0000-1400-0000E1000000}"/>
    <hyperlink ref="Q110" location="StockSumPRN!H4518" display="U-frslww" xr:uid="{00000000-0004-0000-1400-0000E2000000}"/>
    <hyperlink ref="Q111" location="StockSumPRN!I4518" display="M-frslww" xr:uid="{00000000-0004-0000-1400-0000E3000000}"/>
    <hyperlink ref="Q112" location="StockSumPRN!J4518" display="U-frsuph" xr:uid="{00000000-0004-0000-1400-0000E4000000}"/>
    <hyperlink ref="Q113" location="StockSumPRN!K4518" display="M-frsuph" xr:uid="{00000000-0004-0000-1400-0000E5000000}"/>
    <hyperlink ref="Q114" location="StockSumPRN!B4723" display="U-frsupw" xr:uid="{00000000-0004-0000-1400-0000E6000000}"/>
    <hyperlink ref="Q115" location="StockSumPRN!C4723" display="M-frsupw" xr:uid="{00000000-0004-0000-1400-0000E7000000}"/>
    <hyperlink ref="Q116" location="StockSumPRN!D4723" display="U-bccnhw" xr:uid="{00000000-0004-0000-1400-0000E8000000}"/>
    <hyperlink ref="Q117" location="StockSumPRN!E4723" display="M-bccnhw" xr:uid="{00000000-0004-0000-1400-0000E9000000}"/>
    <hyperlink ref="Q118" location="StockSumPRN!F4723" display="U-bcnchw" xr:uid="{00000000-0004-0000-1400-0000EA000000}"/>
    <hyperlink ref="Q119" location="StockSumPRN!G4723" display="M-bcnchw" xr:uid="{00000000-0004-0000-1400-0000EB000000}"/>
    <hyperlink ref="Q120" location="StockSumPRN!H4723" display="U-tranhw" xr:uid="{00000000-0004-0000-1400-0000EC000000}"/>
    <hyperlink ref="Q121" location="StockSumPRN!I4723" display="M-tranhw" xr:uid="{00000000-0004-0000-1400-0000ED000000}"/>
    <hyperlink ref="Q122" location="StockSumPRN!J4723" display="U-niakhw" xr:uid="{00000000-0004-0000-1400-0000EE000000}"/>
    <hyperlink ref="Q123" location="StockSumPRN!K4723" display="M-niakhw" xr:uid="{00000000-0004-0000-1400-0000EF000000}"/>
    <hyperlink ref="Q124" location="StockSumPRN!B4928" display="U-noakhw" xr:uid="{00000000-0004-0000-1400-0000F0000000}"/>
    <hyperlink ref="Q125" location="StockSumPRN!C4928" display="M-noakhw" xr:uid="{00000000-0004-0000-1400-0000F1000000}"/>
    <hyperlink ref="Q126" location="StockSumPRN!D4928" display="U-siakhw" xr:uid="{00000000-0004-0000-1400-0000F2000000}"/>
    <hyperlink ref="Q127" location="StockSumPRN!E4928" display="M-siakhw" xr:uid="{00000000-0004-0000-1400-0000F3000000}"/>
    <hyperlink ref="Q128" location="StockSumPRN!F4928" display="U-soakhw" xr:uid="{00000000-0004-0000-1400-0000F4000000}"/>
    <hyperlink ref="Q129" location="StockSumPRN!G4928" display="M-soakhw" xr:uid="{00000000-0004-0000-1400-0000F5000000}"/>
  </hyperlinks>
  <pageMargins left="0.75" right="0.75" top="1" bottom="1" header="0.5" footer="0.5"/>
  <pageSetup scale="77" orientation="portrait" r:id="rId1"/>
  <headerFooter alignWithMargins="0"/>
  <colBreaks count="1" manualBreakCount="1">
    <brk id="11" max="10232"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8"/>
  <dimension ref="A1:AS9870"/>
  <sheetViews>
    <sheetView topLeftCell="A8187" workbookViewId="0">
      <selection activeCell="M6626" sqref="M6626"/>
    </sheetView>
  </sheetViews>
  <sheetFormatPr defaultRowHeight="12.75" x14ac:dyDescent="0.2"/>
  <cols>
    <col min="1" max="1" width="23.28515625" customWidth="1"/>
    <col min="4" max="4" width="13.5703125" customWidth="1"/>
    <col min="9" max="9" width="16.5703125" customWidth="1"/>
    <col min="10" max="10" width="9.5703125" style="180" bestFit="1" customWidth="1"/>
    <col min="13" max="13" width="10" bestFit="1" customWidth="1"/>
    <col min="15" max="15" width="14.85546875" bestFit="1" customWidth="1"/>
    <col min="18" max="18" width="21.140625" bestFit="1" customWidth="1"/>
    <col min="19" max="19" width="24" bestFit="1" customWidth="1"/>
    <col min="20" max="20" width="68.140625" style="180" bestFit="1" customWidth="1"/>
    <col min="21" max="21" width="21.28515625" bestFit="1" customWidth="1"/>
    <col min="22" max="22" width="11.140625" customWidth="1"/>
    <col min="23" max="23" width="14.140625" customWidth="1"/>
  </cols>
  <sheetData>
    <row r="1" spans="1:32" x14ac:dyDescent="0.2">
      <c r="A1" t="s">
        <v>4248</v>
      </c>
      <c r="K1" s="180" t="s">
        <v>4249</v>
      </c>
      <c r="O1" s="37" t="s">
        <v>4914</v>
      </c>
    </row>
    <row r="2" spans="1:32" ht="25.5" x14ac:dyDescent="0.2">
      <c r="A2" t="s">
        <v>4250</v>
      </c>
      <c r="C2" t="s">
        <v>4251</v>
      </c>
      <c r="G2" t="s">
        <v>7531</v>
      </c>
      <c r="J2"/>
      <c r="K2" s="1104" t="s">
        <v>4915</v>
      </c>
      <c r="O2" t="s">
        <v>4916</v>
      </c>
      <c r="P2" t="s">
        <v>4917</v>
      </c>
      <c r="Q2" t="s">
        <v>4918</v>
      </c>
      <c r="R2" s="1379" t="s">
        <v>4919</v>
      </c>
      <c r="S2" s="1379" t="s">
        <v>4920</v>
      </c>
      <c r="T2" s="180" t="s">
        <v>4921</v>
      </c>
      <c r="U2" s="1379" t="s">
        <v>4922</v>
      </c>
      <c r="V2" s="1379" t="s">
        <v>4923</v>
      </c>
      <c r="W2" s="180" t="s">
        <v>4924</v>
      </c>
    </row>
    <row r="3" spans="1:32" x14ac:dyDescent="0.2">
      <c r="A3" t="s">
        <v>4925</v>
      </c>
      <c r="G3" t="s">
        <v>7537</v>
      </c>
      <c r="J3"/>
      <c r="K3" s="949" t="s">
        <v>4926</v>
      </c>
      <c r="O3" t="s">
        <v>4927</v>
      </c>
      <c r="P3" t="s">
        <v>1367</v>
      </c>
      <c r="Q3">
        <v>3</v>
      </c>
      <c r="R3">
        <v>5</v>
      </c>
      <c r="S3">
        <v>4</v>
      </c>
      <c r="T3" s="957" t="s">
        <v>4928</v>
      </c>
      <c r="U3" t="s">
        <v>4929</v>
      </c>
      <c r="V3">
        <v>1</v>
      </c>
      <c r="W3" t="s">
        <v>4449</v>
      </c>
      <c r="X3" t="s">
        <v>4453</v>
      </c>
      <c r="Y3" t="s">
        <v>4471</v>
      </c>
      <c r="Z3" t="s">
        <v>4475</v>
      </c>
    </row>
    <row r="4" spans="1:32" x14ac:dyDescent="0.2">
      <c r="A4" t="s">
        <v>7530</v>
      </c>
      <c r="J4"/>
      <c r="K4" s="949" t="s">
        <v>4930</v>
      </c>
      <c r="O4" t="s">
        <v>4927</v>
      </c>
      <c r="P4" t="s">
        <v>1367</v>
      </c>
      <c r="Q4">
        <v>3</v>
      </c>
      <c r="R4">
        <v>5</v>
      </c>
      <c r="S4">
        <v>6</v>
      </c>
      <c r="T4" s="957" t="s">
        <v>4931</v>
      </c>
      <c r="U4" t="s">
        <v>4932</v>
      </c>
      <c r="V4">
        <v>2</v>
      </c>
      <c r="W4" t="s">
        <v>4449</v>
      </c>
      <c r="X4" t="s">
        <v>4456</v>
      </c>
      <c r="Y4" t="s">
        <v>4463</v>
      </c>
      <c r="Z4" t="s">
        <v>4471</v>
      </c>
      <c r="AA4" t="s">
        <v>4479</v>
      </c>
      <c r="AB4" t="s">
        <v>4487</v>
      </c>
    </row>
    <row r="5" spans="1:32" x14ac:dyDescent="0.2">
      <c r="A5" t="s">
        <v>4926</v>
      </c>
      <c r="J5"/>
      <c r="K5" s="949" t="s">
        <v>4933</v>
      </c>
      <c r="O5" t="s">
        <v>4927</v>
      </c>
      <c r="P5" t="s">
        <v>1367</v>
      </c>
      <c r="Q5">
        <v>3</v>
      </c>
      <c r="R5">
        <v>5</v>
      </c>
      <c r="S5">
        <v>6</v>
      </c>
      <c r="T5" s="957" t="s">
        <v>4934</v>
      </c>
      <c r="U5" t="s">
        <v>4935</v>
      </c>
      <c r="V5">
        <v>3</v>
      </c>
      <c r="W5" t="s">
        <v>4453</v>
      </c>
      <c r="X5" t="s">
        <v>4459</v>
      </c>
      <c r="Y5" t="s">
        <v>4467</v>
      </c>
      <c r="Z5" t="s">
        <v>4475</v>
      </c>
      <c r="AA5" t="s">
        <v>4483</v>
      </c>
      <c r="AB5" t="s">
        <v>4491</v>
      </c>
    </row>
    <row r="6" spans="1:32" x14ac:dyDescent="0.2">
      <c r="J6"/>
      <c r="K6" s="949" t="s">
        <v>4936</v>
      </c>
      <c r="O6" t="s">
        <v>4927</v>
      </c>
      <c r="P6" t="s">
        <v>1367</v>
      </c>
      <c r="Q6">
        <v>3</v>
      </c>
      <c r="R6">
        <v>5</v>
      </c>
      <c r="S6">
        <v>2</v>
      </c>
      <c r="T6" s="957" t="s">
        <v>4937</v>
      </c>
      <c r="U6" t="s">
        <v>4938</v>
      </c>
      <c r="V6">
        <v>4</v>
      </c>
      <c r="W6" t="s">
        <v>4495</v>
      </c>
      <c r="X6" t="s">
        <v>4499</v>
      </c>
    </row>
    <row r="7" spans="1:32" x14ac:dyDescent="0.2">
      <c r="A7" t="s">
        <v>4259</v>
      </c>
      <c r="J7"/>
      <c r="K7" s="949" t="s">
        <v>4939</v>
      </c>
      <c r="O7" t="s">
        <v>4927</v>
      </c>
      <c r="P7" t="s">
        <v>1367</v>
      </c>
      <c r="Q7">
        <v>3</v>
      </c>
      <c r="R7">
        <v>5</v>
      </c>
      <c r="S7">
        <v>2</v>
      </c>
      <c r="T7" s="957" t="s">
        <v>4940</v>
      </c>
      <c r="U7" t="s">
        <v>4941</v>
      </c>
      <c r="V7">
        <v>5</v>
      </c>
      <c r="W7" t="s">
        <v>4519</v>
      </c>
      <c r="X7" t="s">
        <v>4523</v>
      </c>
    </row>
    <row r="8" spans="1:32" x14ac:dyDescent="0.2">
      <c r="A8" t="s">
        <v>2318</v>
      </c>
      <c r="B8" t="s">
        <v>2319</v>
      </c>
      <c r="C8" t="s">
        <v>2319</v>
      </c>
      <c r="D8" t="s">
        <v>2319</v>
      </c>
      <c r="E8" t="s">
        <v>2319</v>
      </c>
      <c r="F8" t="s">
        <v>2319</v>
      </c>
      <c r="G8" t="s">
        <v>2319</v>
      </c>
      <c r="K8" s="949" t="s">
        <v>4942</v>
      </c>
      <c r="O8" t="s">
        <v>4927</v>
      </c>
      <c r="P8" t="s">
        <v>1367</v>
      </c>
      <c r="Q8">
        <v>3</v>
      </c>
      <c r="R8">
        <v>5</v>
      </c>
      <c r="S8">
        <v>6</v>
      </c>
      <c r="T8" s="957" t="s">
        <v>4943</v>
      </c>
      <c r="U8" t="s">
        <v>4944</v>
      </c>
      <c r="V8">
        <v>6</v>
      </c>
      <c r="W8" t="s">
        <v>4495</v>
      </c>
      <c r="X8" t="s">
        <v>4503</v>
      </c>
      <c r="Y8" t="s">
        <v>4511</v>
      </c>
      <c r="Z8" t="s">
        <v>4519</v>
      </c>
      <c r="AA8" t="s">
        <v>4526</v>
      </c>
      <c r="AB8" t="s">
        <v>4533</v>
      </c>
    </row>
    <row r="9" spans="1:32" x14ac:dyDescent="0.2">
      <c r="A9" t="s">
        <v>174</v>
      </c>
      <c r="B9" t="s">
        <v>4945</v>
      </c>
      <c r="C9" t="s">
        <v>4946</v>
      </c>
      <c r="D9" t="s">
        <v>4947</v>
      </c>
      <c r="E9" t="s">
        <v>4948</v>
      </c>
      <c r="F9" t="s">
        <v>4949</v>
      </c>
      <c r="K9" s="949" t="s">
        <v>4950</v>
      </c>
      <c r="O9" t="s">
        <v>4927</v>
      </c>
      <c r="P9" t="s">
        <v>1367</v>
      </c>
      <c r="Q9">
        <v>3</v>
      </c>
      <c r="R9">
        <v>5</v>
      </c>
      <c r="S9">
        <v>6</v>
      </c>
      <c r="T9" s="957" t="s">
        <v>4951</v>
      </c>
      <c r="U9" t="s">
        <v>4952</v>
      </c>
      <c r="V9">
        <v>7</v>
      </c>
      <c r="W9" t="s">
        <v>4499</v>
      </c>
      <c r="X9" t="s">
        <v>4507</v>
      </c>
      <c r="Y9" t="s">
        <v>4515</v>
      </c>
      <c r="Z9" t="s">
        <v>4523</v>
      </c>
      <c r="AA9" t="s">
        <v>4529</v>
      </c>
      <c r="AB9" t="s">
        <v>4537</v>
      </c>
    </row>
    <row r="10" spans="1:32" x14ac:dyDescent="0.2">
      <c r="A10" t="s">
        <v>126</v>
      </c>
      <c r="B10" t="s">
        <v>4262</v>
      </c>
      <c r="C10" t="s">
        <v>4263</v>
      </c>
      <c r="D10" t="s">
        <v>4264</v>
      </c>
      <c r="E10" t="s">
        <v>2308</v>
      </c>
      <c r="F10" t="s">
        <v>615</v>
      </c>
      <c r="G10" t="s">
        <v>236</v>
      </c>
      <c r="K10" s="949" t="s">
        <v>4953</v>
      </c>
      <c r="O10" t="s">
        <v>4927</v>
      </c>
      <c r="P10" t="s">
        <v>1367</v>
      </c>
      <c r="Q10">
        <v>3</v>
      </c>
      <c r="R10">
        <v>5</v>
      </c>
      <c r="S10">
        <v>6</v>
      </c>
      <c r="T10" s="957" t="s">
        <v>4954</v>
      </c>
      <c r="U10" t="s">
        <v>4955</v>
      </c>
      <c r="V10">
        <v>8</v>
      </c>
      <c r="W10" t="s">
        <v>4557</v>
      </c>
      <c r="X10" t="s">
        <v>4561</v>
      </c>
      <c r="Y10" t="s">
        <v>4595</v>
      </c>
      <c r="Z10" t="s">
        <v>4599</v>
      </c>
      <c r="AA10" t="s">
        <v>4609</v>
      </c>
      <c r="AB10" t="s">
        <v>4613</v>
      </c>
    </row>
    <row r="11" spans="1:32" x14ac:dyDescent="0.2">
      <c r="A11" t="s">
        <v>2318</v>
      </c>
      <c r="B11" t="s">
        <v>2319</v>
      </c>
      <c r="C11" t="s">
        <v>2319</v>
      </c>
      <c r="D11" t="s">
        <v>2319</v>
      </c>
      <c r="E11" t="s">
        <v>2319</v>
      </c>
      <c r="F11" t="s">
        <v>2319</v>
      </c>
      <c r="G11" t="s">
        <v>2319</v>
      </c>
      <c r="K11" s="949" t="s">
        <v>4956</v>
      </c>
      <c r="O11" t="s">
        <v>4927</v>
      </c>
      <c r="P11" t="s">
        <v>1367</v>
      </c>
      <c r="Q11">
        <v>3</v>
      </c>
      <c r="R11">
        <v>5</v>
      </c>
      <c r="S11">
        <v>10</v>
      </c>
      <c r="T11" s="957" t="s">
        <v>4957</v>
      </c>
      <c r="U11" t="s">
        <v>4958</v>
      </c>
      <c r="V11">
        <v>9</v>
      </c>
      <c r="W11" t="s">
        <v>4541</v>
      </c>
      <c r="X11" t="s">
        <v>4549</v>
      </c>
      <c r="Y11" t="s">
        <v>4557</v>
      </c>
      <c r="Z11" t="s">
        <v>4564</v>
      </c>
      <c r="AA11" t="s">
        <v>4571</v>
      </c>
      <c r="AB11" t="s">
        <v>4579</v>
      </c>
      <c r="AC11" t="s">
        <v>4587</v>
      </c>
      <c r="AD11" t="s">
        <v>4595</v>
      </c>
      <c r="AE11" t="s">
        <v>4602</v>
      </c>
      <c r="AF11" t="s">
        <v>4609</v>
      </c>
    </row>
    <row r="12" spans="1:32" x14ac:dyDescent="0.2">
      <c r="A12" t="s">
        <v>4265</v>
      </c>
      <c r="B12">
        <v>0</v>
      </c>
      <c r="C12">
        <v>0</v>
      </c>
      <c r="D12">
        <v>0</v>
      </c>
      <c r="E12">
        <v>0</v>
      </c>
      <c r="F12">
        <v>0</v>
      </c>
      <c r="G12">
        <v>0</v>
      </c>
      <c r="K12" s="949" t="s">
        <v>4959</v>
      </c>
      <c r="O12" t="s">
        <v>4927</v>
      </c>
      <c r="P12" t="s">
        <v>1367</v>
      </c>
      <c r="Q12">
        <v>3</v>
      </c>
      <c r="R12">
        <v>5</v>
      </c>
      <c r="S12">
        <v>10</v>
      </c>
      <c r="T12" s="957" t="s">
        <v>4960</v>
      </c>
      <c r="U12" t="s">
        <v>4961</v>
      </c>
      <c r="V12">
        <v>10</v>
      </c>
      <c r="W12" t="s">
        <v>4545</v>
      </c>
      <c r="X12" t="s">
        <v>4553</v>
      </c>
      <c r="Y12" t="s">
        <v>4561</v>
      </c>
      <c r="Z12" t="s">
        <v>4567</v>
      </c>
      <c r="AA12" t="s">
        <v>4575</v>
      </c>
      <c r="AB12" t="s">
        <v>4583</v>
      </c>
      <c r="AC12" t="s">
        <v>4591</v>
      </c>
      <c r="AD12" t="s">
        <v>4599</v>
      </c>
      <c r="AE12" t="s">
        <v>4605</v>
      </c>
      <c r="AF12" t="s">
        <v>4613</v>
      </c>
    </row>
    <row r="13" spans="1:32" x14ac:dyDescent="0.2">
      <c r="A13" t="s">
        <v>4266</v>
      </c>
      <c r="B13">
        <v>0</v>
      </c>
      <c r="C13">
        <v>0</v>
      </c>
      <c r="D13">
        <v>0</v>
      </c>
      <c r="E13">
        <v>0</v>
      </c>
      <c r="F13">
        <v>0</v>
      </c>
      <c r="G13">
        <v>0</v>
      </c>
      <c r="K13" s="949" t="s">
        <v>4962</v>
      </c>
      <c r="O13" t="s">
        <v>4927</v>
      </c>
      <c r="P13" t="s">
        <v>1367</v>
      </c>
      <c r="Q13">
        <v>3</v>
      </c>
      <c r="R13">
        <v>5</v>
      </c>
      <c r="S13">
        <v>6</v>
      </c>
      <c r="T13" s="957" t="s">
        <v>4963</v>
      </c>
      <c r="U13" t="s">
        <v>2339</v>
      </c>
      <c r="V13">
        <v>11</v>
      </c>
      <c r="W13" t="s">
        <v>4819</v>
      </c>
      <c r="X13" t="s">
        <v>4823</v>
      </c>
      <c r="Y13" t="s">
        <v>4827</v>
      </c>
      <c r="Z13" t="s">
        <v>4831</v>
      </c>
      <c r="AA13" t="s">
        <v>4390</v>
      </c>
      <c r="AB13" t="s">
        <v>4394</v>
      </c>
    </row>
    <row r="14" spans="1:32" x14ac:dyDescent="0.2">
      <c r="A14" t="s">
        <v>4267</v>
      </c>
      <c r="B14">
        <v>0</v>
      </c>
      <c r="C14">
        <v>0</v>
      </c>
      <c r="D14">
        <v>0</v>
      </c>
      <c r="E14">
        <v>0</v>
      </c>
      <c r="F14">
        <v>0</v>
      </c>
      <c r="G14">
        <v>0</v>
      </c>
      <c r="K14" s="949" t="s">
        <v>4964</v>
      </c>
      <c r="O14" t="s">
        <v>4927</v>
      </c>
      <c r="P14" t="s">
        <v>1367</v>
      </c>
      <c r="Q14">
        <v>3</v>
      </c>
      <c r="R14">
        <v>5</v>
      </c>
      <c r="S14">
        <v>8</v>
      </c>
      <c r="T14" s="957" t="s">
        <v>4965</v>
      </c>
      <c r="U14" t="s">
        <v>4966</v>
      </c>
      <c r="V14">
        <v>12</v>
      </c>
      <c r="W14" t="s">
        <v>4819</v>
      </c>
      <c r="X14" t="s">
        <v>4823</v>
      </c>
      <c r="Y14" t="s">
        <v>4827</v>
      </c>
      <c r="Z14" t="s">
        <v>4831</v>
      </c>
      <c r="AA14" t="s">
        <v>4390</v>
      </c>
      <c r="AB14" t="s">
        <v>4394</v>
      </c>
    </row>
    <row r="15" spans="1:32" x14ac:dyDescent="0.2">
      <c r="A15" t="s">
        <v>4268</v>
      </c>
      <c r="B15">
        <v>0</v>
      </c>
      <c r="C15">
        <v>0</v>
      </c>
      <c r="D15">
        <v>0</v>
      </c>
      <c r="E15">
        <v>0</v>
      </c>
      <c r="F15">
        <v>0</v>
      </c>
      <c r="G15">
        <v>0</v>
      </c>
      <c r="K15" s="949" t="s">
        <v>4967</v>
      </c>
      <c r="O15" t="s">
        <v>4927</v>
      </c>
      <c r="P15" t="s">
        <v>1367</v>
      </c>
      <c r="Q15">
        <v>3</v>
      </c>
      <c r="R15">
        <v>5</v>
      </c>
      <c r="S15">
        <v>8</v>
      </c>
      <c r="T15" s="957" t="s">
        <v>4968</v>
      </c>
      <c r="U15" t="s">
        <v>4969</v>
      </c>
      <c r="V15">
        <v>13</v>
      </c>
      <c r="W15" t="s">
        <v>4795</v>
      </c>
      <c r="X15" t="s">
        <v>4801</v>
      </c>
      <c r="Y15" t="s">
        <v>4809</v>
      </c>
      <c r="Z15" t="s">
        <v>4815</v>
      </c>
      <c r="AA15" t="s">
        <v>4823</v>
      </c>
      <c r="AB15" t="s">
        <v>4831</v>
      </c>
      <c r="AC15" t="s">
        <v>4839</v>
      </c>
      <c r="AD15" t="s">
        <v>4394</v>
      </c>
    </row>
    <row r="16" spans="1:32" x14ac:dyDescent="0.2">
      <c r="A16" t="s">
        <v>4269</v>
      </c>
      <c r="B16">
        <v>0</v>
      </c>
      <c r="C16">
        <v>0</v>
      </c>
      <c r="D16">
        <v>0</v>
      </c>
      <c r="E16">
        <v>0</v>
      </c>
      <c r="F16">
        <v>0</v>
      </c>
      <c r="G16">
        <v>0</v>
      </c>
      <c r="K16" s="949" t="s">
        <v>4970</v>
      </c>
      <c r="O16" t="s">
        <v>4927</v>
      </c>
      <c r="P16" t="s">
        <v>1367</v>
      </c>
      <c r="Q16">
        <v>3</v>
      </c>
      <c r="R16">
        <v>5</v>
      </c>
      <c r="S16">
        <v>2</v>
      </c>
      <c r="T16" s="957" t="s">
        <v>4971</v>
      </c>
      <c r="U16" t="s">
        <v>4972</v>
      </c>
      <c r="V16">
        <v>14</v>
      </c>
      <c r="W16" t="s">
        <v>4427</v>
      </c>
      <c r="X16" t="s">
        <v>4431</v>
      </c>
    </row>
    <row r="17" spans="1:45" x14ac:dyDescent="0.2">
      <c r="A17" t="s">
        <v>4270</v>
      </c>
      <c r="B17">
        <v>0</v>
      </c>
      <c r="C17">
        <v>0</v>
      </c>
      <c r="D17">
        <v>0</v>
      </c>
      <c r="E17">
        <v>0</v>
      </c>
      <c r="F17">
        <v>0</v>
      </c>
      <c r="G17">
        <v>0</v>
      </c>
      <c r="K17" s="949" t="s">
        <v>4973</v>
      </c>
      <c r="O17" t="s">
        <v>4927</v>
      </c>
      <c r="P17" t="s">
        <v>1367</v>
      </c>
      <c r="Q17">
        <v>3</v>
      </c>
      <c r="R17">
        <v>5</v>
      </c>
      <c r="S17">
        <v>2</v>
      </c>
      <c r="T17" s="957" t="s">
        <v>4974</v>
      </c>
      <c r="U17" t="s">
        <v>1448</v>
      </c>
      <c r="V17">
        <v>15</v>
      </c>
      <c r="W17" t="s">
        <v>4443</v>
      </c>
      <c r="X17" t="s">
        <v>4447</v>
      </c>
    </row>
    <row r="18" spans="1:45" x14ac:dyDescent="0.2">
      <c r="A18" t="s">
        <v>4271</v>
      </c>
      <c r="B18">
        <v>0</v>
      </c>
      <c r="C18">
        <v>0</v>
      </c>
      <c r="D18">
        <v>0</v>
      </c>
      <c r="E18">
        <v>0</v>
      </c>
      <c r="F18">
        <v>0</v>
      </c>
      <c r="G18">
        <v>0</v>
      </c>
      <c r="K18" s="949" t="s">
        <v>4975</v>
      </c>
      <c r="O18" t="s">
        <v>4927</v>
      </c>
      <c r="P18" t="s">
        <v>1367</v>
      </c>
      <c r="Q18">
        <v>3</v>
      </c>
      <c r="R18">
        <v>5</v>
      </c>
      <c r="S18">
        <v>2</v>
      </c>
      <c r="T18" s="957" t="s">
        <v>4976</v>
      </c>
      <c r="U18" t="s">
        <v>4977</v>
      </c>
      <c r="V18">
        <v>16</v>
      </c>
      <c r="W18" t="s">
        <v>4427</v>
      </c>
      <c r="X18" t="s">
        <v>4435</v>
      </c>
    </row>
    <row r="19" spans="1:45" x14ac:dyDescent="0.2">
      <c r="A19" t="s">
        <v>4272</v>
      </c>
      <c r="B19">
        <v>0</v>
      </c>
      <c r="C19">
        <v>0</v>
      </c>
      <c r="D19">
        <v>0</v>
      </c>
      <c r="E19">
        <v>0</v>
      </c>
      <c r="F19">
        <v>0</v>
      </c>
      <c r="G19">
        <v>0</v>
      </c>
      <c r="K19" s="949" t="s">
        <v>4978</v>
      </c>
      <c r="O19" t="s">
        <v>4927</v>
      </c>
      <c r="P19" t="s">
        <v>1367</v>
      </c>
      <c r="Q19">
        <v>3</v>
      </c>
      <c r="R19">
        <v>5</v>
      </c>
      <c r="S19">
        <v>2</v>
      </c>
      <c r="T19" s="957" t="s">
        <v>4979</v>
      </c>
      <c r="U19" t="s">
        <v>4980</v>
      </c>
      <c r="V19">
        <v>17</v>
      </c>
      <c r="W19" t="s">
        <v>4431</v>
      </c>
      <c r="X19" t="s">
        <v>4439</v>
      </c>
    </row>
    <row r="20" spans="1:45" x14ac:dyDescent="0.2">
      <c r="A20" t="s">
        <v>4273</v>
      </c>
      <c r="B20">
        <v>0</v>
      </c>
      <c r="C20">
        <v>0</v>
      </c>
      <c r="D20">
        <v>0</v>
      </c>
      <c r="E20">
        <v>0</v>
      </c>
      <c r="F20">
        <v>0</v>
      </c>
      <c r="G20">
        <v>0</v>
      </c>
      <c r="K20" s="949" t="s">
        <v>4981</v>
      </c>
      <c r="O20" t="s">
        <v>4927</v>
      </c>
      <c r="P20" t="s">
        <v>1367</v>
      </c>
      <c r="Q20">
        <v>3</v>
      </c>
      <c r="R20">
        <v>5</v>
      </c>
      <c r="S20">
        <v>2</v>
      </c>
      <c r="T20" s="957" t="s">
        <v>4982</v>
      </c>
      <c r="U20" t="s">
        <v>1385</v>
      </c>
      <c r="V20">
        <v>18</v>
      </c>
      <c r="W20" t="s">
        <v>4458</v>
      </c>
      <c r="X20" t="s">
        <v>4461</v>
      </c>
    </row>
    <row r="21" spans="1:45" x14ac:dyDescent="0.2">
      <c r="A21" t="s">
        <v>4274</v>
      </c>
      <c r="B21">
        <v>0</v>
      </c>
      <c r="C21">
        <v>0</v>
      </c>
      <c r="D21">
        <v>0</v>
      </c>
      <c r="E21">
        <v>0</v>
      </c>
      <c r="F21">
        <v>0</v>
      </c>
      <c r="G21">
        <v>0</v>
      </c>
      <c r="K21" s="949" t="s">
        <v>4983</v>
      </c>
      <c r="O21" t="s">
        <v>4927</v>
      </c>
      <c r="P21" t="s">
        <v>1367</v>
      </c>
      <c r="Q21">
        <v>3</v>
      </c>
      <c r="R21">
        <v>5</v>
      </c>
      <c r="S21">
        <v>2</v>
      </c>
      <c r="T21" s="957" t="s">
        <v>4984</v>
      </c>
      <c r="U21" t="s">
        <v>4985</v>
      </c>
      <c r="V21">
        <v>19</v>
      </c>
      <c r="W21" t="s">
        <v>4473</v>
      </c>
      <c r="X21" t="s">
        <v>4477</v>
      </c>
    </row>
    <row r="22" spans="1:45" x14ac:dyDescent="0.2">
      <c r="A22" t="s">
        <v>4275</v>
      </c>
      <c r="B22">
        <v>0</v>
      </c>
      <c r="C22">
        <v>0</v>
      </c>
      <c r="D22">
        <v>0</v>
      </c>
      <c r="E22">
        <v>0</v>
      </c>
      <c r="F22">
        <v>0</v>
      </c>
      <c r="G22">
        <v>0</v>
      </c>
      <c r="K22" s="949" t="s">
        <v>4986</v>
      </c>
      <c r="O22" t="s">
        <v>4927</v>
      </c>
      <c r="P22" t="s">
        <v>1367</v>
      </c>
      <c r="Q22">
        <v>3</v>
      </c>
      <c r="R22">
        <v>5</v>
      </c>
      <c r="S22">
        <v>2</v>
      </c>
      <c r="T22" s="957" t="s">
        <v>4987</v>
      </c>
      <c r="U22" t="s">
        <v>4988</v>
      </c>
      <c r="V22">
        <v>20</v>
      </c>
      <c r="W22" t="s">
        <v>4465</v>
      </c>
      <c r="X22" t="s">
        <v>4469</v>
      </c>
    </row>
    <row r="23" spans="1:45" x14ac:dyDescent="0.2">
      <c r="A23" t="s">
        <v>4276</v>
      </c>
      <c r="B23">
        <v>0</v>
      </c>
      <c r="C23">
        <v>0</v>
      </c>
      <c r="D23">
        <v>0</v>
      </c>
      <c r="E23">
        <v>0</v>
      </c>
      <c r="F23">
        <v>0</v>
      </c>
      <c r="G23">
        <v>0</v>
      </c>
      <c r="K23" s="949" t="s">
        <v>4989</v>
      </c>
      <c r="O23" t="s">
        <v>4927</v>
      </c>
      <c r="P23" t="s">
        <v>1367</v>
      </c>
      <c r="Q23">
        <v>3</v>
      </c>
      <c r="R23">
        <v>5</v>
      </c>
      <c r="S23">
        <v>3</v>
      </c>
      <c r="T23" s="957" t="s">
        <v>4990</v>
      </c>
      <c r="U23" t="s">
        <v>2408</v>
      </c>
      <c r="V23">
        <v>21</v>
      </c>
      <c r="W23" t="s">
        <v>4458</v>
      </c>
      <c r="X23" t="s">
        <v>4465</v>
      </c>
      <c r="Y23" t="s">
        <v>4473</v>
      </c>
    </row>
    <row r="24" spans="1:45" x14ac:dyDescent="0.2">
      <c r="A24" t="s">
        <v>4277</v>
      </c>
      <c r="B24">
        <v>0</v>
      </c>
      <c r="C24">
        <v>0</v>
      </c>
      <c r="D24">
        <v>0</v>
      </c>
      <c r="E24">
        <v>0</v>
      </c>
      <c r="F24">
        <v>0</v>
      </c>
      <c r="G24">
        <v>0</v>
      </c>
      <c r="K24" s="949" t="s">
        <v>4991</v>
      </c>
      <c r="O24" t="s">
        <v>4927</v>
      </c>
      <c r="P24" t="s">
        <v>1367</v>
      </c>
      <c r="Q24">
        <v>3</v>
      </c>
      <c r="R24">
        <v>5</v>
      </c>
      <c r="S24">
        <v>3</v>
      </c>
      <c r="T24" s="957" t="s">
        <v>4992</v>
      </c>
      <c r="U24" t="s">
        <v>2409</v>
      </c>
      <c r="V24">
        <v>22</v>
      </c>
      <c r="W24" t="s">
        <v>4461</v>
      </c>
      <c r="X24" t="s">
        <v>4469</v>
      </c>
      <c r="Y24" t="s">
        <v>4477</v>
      </c>
    </row>
    <row r="25" spans="1:45" x14ac:dyDescent="0.2">
      <c r="A25" t="s">
        <v>4278</v>
      </c>
      <c r="B25">
        <v>0</v>
      </c>
      <c r="C25">
        <v>0</v>
      </c>
      <c r="D25">
        <v>0</v>
      </c>
      <c r="E25">
        <v>0</v>
      </c>
      <c r="F25">
        <v>0</v>
      </c>
      <c r="G25">
        <v>0</v>
      </c>
      <c r="K25" s="949" t="s">
        <v>4993</v>
      </c>
      <c r="O25" t="s">
        <v>4927</v>
      </c>
      <c r="P25" t="s">
        <v>1367</v>
      </c>
      <c r="Q25">
        <v>3</v>
      </c>
      <c r="R25">
        <v>5</v>
      </c>
      <c r="S25">
        <v>6</v>
      </c>
      <c r="T25" s="957" t="s">
        <v>4994</v>
      </c>
      <c r="U25" t="s">
        <v>1447</v>
      </c>
      <c r="V25">
        <v>23</v>
      </c>
      <c r="W25" t="s">
        <v>4497</v>
      </c>
      <c r="X25" t="s">
        <v>4501</v>
      </c>
      <c r="Y25" t="s">
        <v>4513</v>
      </c>
      <c r="Z25" t="s">
        <v>4517</v>
      </c>
      <c r="AA25" t="s">
        <v>4528</v>
      </c>
      <c r="AB25" t="s">
        <v>4531</v>
      </c>
    </row>
    <row r="26" spans="1:45" x14ac:dyDescent="0.2">
      <c r="A26" t="s">
        <v>4279</v>
      </c>
      <c r="B26">
        <v>0</v>
      </c>
      <c r="C26">
        <v>0</v>
      </c>
      <c r="D26">
        <v>0</v>
      </c>
      <c r="E26">
        <v>0</v>
      </c>
      <c r="F26">
        <v>0</v>
      </c>
      <c r="G26">
        <v>0</v>
      </c>
      <c r="K26" s="949" t="s">
        <v>4995</v>
      </c>
      <c r="O26" t="s">
        <v>4927</v>
      </c>
      <c r="P26" t="s">
        <v>1367</v>
      </c>
      <c r="Q26">
        <v>3</v>
      </c>
      <c r="R26">
        <v>5</v>
      </c>
      <c r="S26">
        <v>6</v>
      </c>
      <c r="T26" s="957" t="s">
        <v>4996</v>
      </c>
      <c r="U26" t="s">
        <v>4997</v>
      </c>
      <c r="V26">
        <v>24</v>
      </c>
      <c r="W26" t="s">
        <v>4497</v>
      </c>
      <c r="X26" t="s">
        <v>4505</v>
      </c>
      <c r="Y26" t="s">
        <v>4513</v>
      </c>
      <c r="Z26" t="s">
        <v>4521</v>
      </c>
      <c r="AA26" t="s">
        <v>4528</v>
      </c>
      <c r="AB26" t="s">
        <v>4535</v>
      </c>
    </row>
    <row r="27" spans="1:45" x14ac:dyDescent="0.2">
      <c r="A27" t="s">
        <v>4280</v>
      </c>
      <c r="B27">
        <v>0</v>
      </c>
      <c r="C27">
        <v>0</v>
      </c>
      <c r="D27">
        <v>0</v>
      </c>
      <c r="E27">
        <v>0</v>
      </c>
      <c r="F27">
        <v>0</v>
      </c>
      <c r="G27">
        <v>0</v>
      </c>
      <c r="K27" s="949" t="s">
        <v>4998</v>
      </c>
      <c r="O27" t="s">
        <v>4927</v>
      </c>
      <c r="P27" t="s">
        <v>1367</v>
      </c>
      <c r="Q27">
        <v>3</v>
      </c>
      <c r="R27">
        <v>5</v>
      </c>
      <c r="S27">
        <v>6</v>
      </c>
      <c r="T27" s="957" t="s">
        <v>4999</v>
      </c>
      <c r="U27" t="s">
        <v>5000</v>
      </c>
      <c r="V27">
        <v>25</v>
      </c>
      <c r="W27" t="s">
        <v>4501</v>
      </c>
      <c r="X27" t="s">
        <v>4509</v>
      </c>
      <c r="Y27" t="s">
        <v>4517</v>
      </c>
      <c r="Z27" t="s">
        <v>4525</v>
      </c>
      <c r="AA27" t="s">
        <v>4531</v>
      </c>
      <c r="AB27" t="s">
        <v>4539</v>
      </c>
    </row>
    <row r="28" spans="1:45" x14ac:dyDescent="0.2">
      <c r="A28" t="s">
        <v>4281</v>
      </c>
      <c r="B28">
        <v>11</v>
      </c>
      <c r="C28">
        <v>7</v>
      </c>
      <c r="D28">
        <v>12</v>
      </c>
      <c r="E28">
        <v>0</v>
      </c>
      <c r="F28">
        <v>0</v>
      </c>
      <c r="G28">
        <v>29</v>
      </c>
      <c r="K28" s="949" t="s">
        <v>5001</v>
      </c>
      <c r="O28" t="s">
        <v>4927</v>
      </c>
      <c r="P28" t="s">
        <v>1367</v>
      </c>
      <c r="Q28">
        <v>3</v>
      </c>
      <c r="R28">
        <v>5</v>
      </c>
      <c r="S28" s="1259">
        <v>22</v>
      </c>
      <c r="T28" s="1258" t="s">
        <v>5002</v>
      </c>
      <c r="U28" t="s">
        <v>5003</v>
      </c>
      <c r="V28">
        <v>26</v>
      </c>
      <c r="W28" t="s">
        <v>4617</v>
      </c>
      <c r="X28" t="s">
        <v>4621</v>
      </c>
      <c r="Y28" t="s">
        <v>4625</v>
      </c>
      <c r="Z28" t="s">
        <v>4629</v>
      </c>
      <c r="AA28" t="s">
        <v>4647</v>
      </c>
      <c r="AB28" t="s">
        <v>4651</v>
      </c>
      <c r="AC28" t="s">
        <v>4669</v>
      </c>
      <c r="AD28" t="s">
        <v>4673</v>
      </c>
      <c r="AE28" t="s">
        <v>4693</v>
      </c>
      <c r="AF28" t="s">
        <v>4697</v>
      </c>
      <c r="AG28" t="s">
        <v>4707</v>
      </c>
      <c r="AH28" t="s">
        <v>4711</v>
      </c>
      <c r="AI28" t="s">
        <v>4723</v>
      </c>
      <c r="AJ28" t="s">
        <v>4727</v>
      </c>
      <c r="AK28" t="s">
        <v>4739</v>
      </c>
      <c r="AL28" t="s">
        <v>4743</v>
      </c>
      <c r="AM28" t="s">
        <v>4753</v>
      </c>
      <c r="AN28" t="s">
        <v>4757</v>
      </c>
      <c r="AO28" t="s">
        <v>4767</v>
      </c>
      <c r="AP28" t="s">
        <v>4771</v>
      </c>
      <c r="AQ28" t="s">
        <v>4783</v>
      </c>
      <c r="AR28" t="s">
        <v>4787</v>
      </c>
    </row>
    <row r="29" spans="1:45" x14ac:dyDescent="0.2">
      <c r="A29" t="s">
        <v>4282</v>
      </c>
      <c r="B29">
        <v>12</v>
      </c>
      <c r="C29">
        <v>5</v>
      </c>
      <c r="D29">
        <v>4</v>
      </c>
      <c r="E29">
        <v>0</v>
      </c>
      <c r="F29">
        <v>0</v>
      </c>
      <c r="G29">
        <v>22</v>
      </c>
      <c r="K29" s="949" t="s">
        <v>5004</v>
      </c>
      <c r="O29" t="s">
        <v>4927</v>
      </c>
      <c r="P29" t="s">
        <v>1367</v>
      </c>
      <c r="Q29">
        <v>3</v>
      </c>
      <c r="R29">
        <v>5</v>
      </c>
      <c r="S29">
        <v>23</v>
      </c>
      <c r="T29" s="957" t="s">
        <v>5005</v>
      </c>
      <c r="U29" t="s">
        <v>5006</v>
      </c>
      <c r="V29">
        <v>27</v>
      </c>
      <c r="W29" t="s">
        <v>4617</v>
      </c>
      <c r="X29" t="s">
        <v>4625</v>
      </c>
      <c r="Y29" t="s">
        <v>4633</v>
      </c>
      <c r="Z29" t="s">
        <v>4640</v>
      </c>
      <c r="AA29" t="s">
        <v>4647</v>
      </c>
      <c r="AB29" t="s">
        <v>4655</v>
      </c>
      <c r="AC29" t="s">
        <v>4662</v>
      </c>
      <c r="AD29" t="s">
        <v>4669</v>
      </c>
      <c r="AE29" t="s">
        <v>4677</v>
      </c>
      <c r="AF29" t="s">
        <v>4685</v>
      </c>
      <c r="AG29" t="s">
        <v>4693</v>
      </c>
      <c r="AH29" t="s">
        <v>4700</v>
      </c>
      <c r="AI29" t="s">
        <v>4707</v>
      </c>
      <c r="AJ29" t="s">
        <v>4715</v>
      </c>
      <c r="AK29" t="s">
        <v>4723</v>
      </c>
      <c r="AL29" t="s">
        <v>4731</v>
      </c>
      <c r="AM29" t="s">
        <v>4739</v>
      </c>
      <c r="AN29" t="s">
        <v>4746</v>
      </c>
      <c r="AO29" t="s">
        <v>4753</v>
      </c>
      <c r="AP29" t="s">
        <v>4760</v>
      </c>
      <c r="AQ29" t="s">
        <v>4767</v>
      </c>
      <c r="AR29" t="s">
        <v>4775</v>
      </c>
      <c r="AS29" t="s">
        <v>4783</v>
      </c>
    </row>
    <row r="30" spans="1:45" x14ac:dyDescent="0.2">
      <c r="A30" t="s">
        <v>4283</v>
      </c>
      <c r="B30">
        <v>4</v>
      </c>
      <c r="C30">
        <v>1</v>
      </c>
      <c r="D30">
        <v>1</v>
      </c>
      <c r="E30">
        <v>10</v>
      </c>
      <c r="F30">
        <v>0</v>
      </c>
      <c r="G30">
        <v>16</v>
      </c>
      <c r="K30" s="949" t="s">
        <v>5007</v>
      </c>
      <c r="O30" t="s">
        <v>4927</v>
      </c>
      <c r="P30" t="s">
        <v>1367</v>
      </c>
      <c r="Q30">
        <v>3</v>
      </c>
      <c r="R30">
        <v>5</v>
      </c>
      <c r="S30">
        <v>23</v>
      </c>
      <c r="T30" s="957" t="s">
        <v>5008</v>
      </c>
      <c r="U30" t="s">
        <v>5009</v>
      </c>
      <c r="V30">
        <v>28</v>
      </c>
      <c r="W30" t="s">
        <v>4621</v>
      </c>
      <c r="X30" t="s">
        <v>4629</v>
      </c>
      <c r="Y30" t="s">
        <v>4637</v>
      </c>
      <c r="Z30" t="s">
        <v>4643</v>
      </c>
      <c r="AA30" t="s">
        <v>4651</v>
      </c>
      <c r="AB30" t="s">
        <v>4659</v>
      </c>
      <c r="AC30" t="s">
        <v>4665</v>
      </c>
      <c r="AD30" t="s">
        <v>4673</v>
      </c>
      <c r="AE30" t="s">
        <v>4681</v>
      </c>
      <c r="AF30" t="s">
        <v>4689</v>
      </c>
      <c r="AG30" t="s">
        <v>4697</v>
      </c>
      <c r="AH30" t="s">
        <v>4703</v>
      </c>
      <c r="AI30" t="s">
        <v>4711</v>
      </c>
      <c r="AJ30" t="s">
        <v>4719</v>
      </c>
      <c r="AK30" t="s">
        <v>4727</v>
      </c>
      <c r="AL30" t="s">
        <v>4735</v>
      </c>
      <c r="AM30" t="s">
        <v>4743</v>
      </c>
      <c r="AN30" t="s">
        <v>4749</v>
      </c>
      <c r="AO30" t="s">
        <v>4757</v>
      </c>
      <c r="AP30" t="s">
        <v>4763</v>
      </c>
      <c r="AQ30" t="s">
        <v>4771</v>
      </c>
      <c r="AR30" t="s">
        <v>4779</v>
      </c>
      <c r="AS30" t="s">
        <v>4787</v>
      </c>
    </row>
    <row r="31" spans="1:45" x14ac:dyDescent="0.2">
      <c r="A31" t="s">
        <v>4284</v>
      </c>
      <c r="B31">
        <v>0</v>
      </c>
      <c r="C31">
        <v>0</v>
      </c>
      <c r="D31">
        <v>0</v>
      </c>
      <c r="E31">
        <v>0</v>
      </c>
      <c r="F31">
        <v>0</v>
      </c>
      <c r="G31">
        <v>0</v>
      </c>
      <c r="K31" s="949" t="s">
        <v>5010</v>
      </c>
      <c r="O31" t="s">
        <v>4927</v>
      </c>
      <c r="P31" t="s">
        <v>1367</v>
      </c>
      <c r="Q31">
        <v>3</v>
      </c>
      <c r="R31">
        <v>5</v>
      </c>
      <c r="S31">
        <v>6</v>
      </c>
      <c r="T31" s="957" t="s">
        <v>5011</v>
      </c>
      <c r="U31" t="s">
        <v>5012</v>
      </c>
      <c r="V31">
        <v>29</v>
      </c>
      <c r="W31" t="s">
        <v>4388</v>
      </c>
      <c r="X31" t="s">
        <v>4392</v>
      </c>
      <c r="Y31" t="s">
        <v>4425</v>
      </c>
      <c r="Z31" t="s">
        <v>4429</v>
      </c>
      <c r="AA31" t="s">
        <v>4433</v>
      </c>
      <c r="AB31" t="s">
        <v>4437</v>
      </c>
    </row>
    <row r="32" spans="1:45" x14ac:dyDescent="0.2">
      <c r="A32" t="s">
        <v>4285</v>
      </c>
      <c r="B32">
        <v>12</v>
      </c>
      <c r="C32">
        <v>8</v>
      </c>
      <c r="D32">
        <v>6</v>
      </c>
      <c r="E32">
        <v>8</v>
      </c>
      <c r="F32">
        <v>0</v>
      </c>
      <c r="G32">
        <v>34</v>
      </c>
      <c r="K32" s="949" t="s">
        <v>5013</v>
      </c>
      <c r="O32" t="s">
        <v>4927</v>
      </c>
      <c r="P32" t="s">
        <v>1367</v>
      </c>
      <c r="Q32">
        <v>3</v>
      </c>
      <c r="R32">
        <v>5</v>
      </c>
      <c r="S32">
        <v>8</v>
      </c>
      <c r="T32" s="957" t="s">
        <v>5014</v>
      </c>
      <c r="U32" t="s">
        <v>5015</v>
      </c>
      <c r="V32">
        <v>30</v>
      </c>
      <c r="W32" t="s">
        <v>4388</v>
      </c>
      <c r="X32" t="s">
        <v>4396</v>
      </c>
      <c r="Y32" t="s">
        <v>4406</v>
      </c>
      <c r="Z32" t="s">
        <v>4412</v>
      </c>
      <c r="AA32" t="s">
        <v>4418</v>
      </c>
      <c r="AB32" t="s">
        <v>4425</v>
      </c>
      <c r="AC32" t="s">
        <v>4433</v>
      </c>
      <c r="AD32" t="s">
        <v>4441</v>
      </c>
    </row>
    <row r="33" spans="1:30" x14ac:dyDescent="0.2">
      <c r="A33" t="s">
        <v>4286</v>
      </c>
      <c r="B33">
        <v>3</v>
      </c>
      <c r="C33">
        <v>0</v>
      </c>
      <c r="D33">
        <v>0</v>
      </c>
      <c r="E33">
        <v>0</v>
      </c>
      <c r="F33">
        <v>0</v>
      </c>
      <c r="G33">
        <v>4</v>
      </c>
      <c r="K33" s="949" t="s">
        <v>5016</v>
      </c>
      <c r="O33" t="s">
        <v>4927</v>
      </c>
      <c r="P33" t="s">
        <v>1367</v>
      </c>
      <c r="Q33">
        <v>3</v>
      </c>
      <c r="R33">
        <v>5</v>
      </c>
      <c r="S33">
        <v>8</v>
      </c>
      <c r="T33" s="957" t="s">
        <v>5017</v>
      </c>
      <c r="U33" t="s">
        <v>5018</v>
      </c>
      <c r="V33">
        <v>31</v>
      </c>
      <c r="W33" t="s">
        <v>4392</v>
      </c>
      <c r="X33" t="s">
        <v>4401</v>
      </c>
      <c r="Y33" t="s">
        <v>4409</v>
      </c>
      <c r="Z33" t="s">
        <v>4415</v>
      </c>
      <c r="AA33" t="s">
        <v>4421</v>
      </c>
      <c r="AB33" t="s">
        <v>4429</v>
      </c>
      <c r="AC33" t="s">
        <v>4437</v>
      </c>
      <c r="AD33" t="s">
        <v>4445</v>
      </c>
    </row>
    <row r="34" spans="1:30" ht="51" x14ac:dyDescent="0.2">
      <c r="A34" t="s">
        <v>4287</v>
      </c>
      <c r="B34">
        <v>0</v>
      </c>
      <c r="C34">
        <v>0</v>
      </c>
      <c r="D34">
        <v>0</v>
      </c>
      <c r="E34">
        <v>2</v>
      </c>
      <c r="F34">
        <v>0</v>
      </c>
      <c r="G34">
        <v>2</v>
      </c>
      <c r="K34" s="949" t="s">
        <v>5019</v>
      </c>
      <c r="M34" s="180"/>
      <c r="O34" t="s">
        <v>4927</v>
      </c>
      <c r="P34" t="s">
        <v>1367</v>
      </c>
      <c r="Q34">
        <v>3</v>
      </c>
      <c r="R34">
        <v>5</v>
      </c>
      <c r="S34">
        <v>123</v>
      </c>
      <c r="T34" s="957" t="s">
        <v>5020</v>
      </c>
      <c r="U34" t="s">
        <v>5021</v>
      </c>
      <c r="V34">
        <v>32</v>
      </c>
    </row>
    <row r="35" spans="1:30" ht="51" x14ac:dyDescent="0.2">
      <c r="A35" t="s">
        <v>4288</v>
      </c>
      <c r="B35">
        <v>0</v>
      </c>
      <c r="C35">
        <v>0</v>
      </c>
      <c r="D35">
        <v>0</v>
      </c>
      <c r="E35">
        <v>0</v>
      </c>
      <c r="F35">
        <v>0</v>
      </c>
      <c r="G35">
        <v>0</v>
      </c>
      <c r="K35" s="949" t="s">
        <v>5022</v>
      </c>
      <c r="M35" s="180"/>
      <c r="O35" t="s">
        <v>4927</v>
      </c>
      <c r="P35" t="s">
        <v>1367</v>
      </c>
      <c r="Q35">
        <v>3</v>
      </c>
      <c r="R35">
        <v>5</v>
      </c>
      <c r="S35">
        <v>123</v>
      </c>
      <c r="T35" s="957" t="s">
        <v>5023</v>
      </c>
      <c r="U35" t="s">
        <v>5024</v>
      </c>
      <c r="V35">
        <v>33</v>
      </c>
    </row>
    <row r="36" spans="1:30" x14ac:dyDescent="0.2">
      <c r="A36" t="s">
        <v>4289</v>
      </c>
      <c r="B36">
        <v>0</v>
      </c>
      <c r="C36">
        <v>0</v>
      </c>
      <c r="D36">
        <v>0</v>
      </c>
      <c r="E36">
        <v>0</v>
      </c>
      <c r="F36">
        <v>0</v>
      </c>
      <c r="G36">
        <v>0</v>
      </c>
      <c r="K36" s="949" t="s">
        <v>5025</v>
      </c>
      <c r="O36" t="s">
        <v>4927</v>
      </c>
      <c r="P36" t="s">
        <v>1367</v>
      </c>
      <c r="Q36">
        <v>3</v>
      </c>
      <c r="R36">
        <v>5</v>
      </c>
      <c r="S36">
        <v>4</v>
      </c>
      <c r="T36" s="957" t="s">
        <v>5026</v>
      </c>
      <c r="U36" t="s">
        <v>5027</v>
      </c>
      <c r="V36">
        <v>34</v>
      </c>
      <c r="W36" t="s">
        <v>4559</v>
      </c>
      <c r="X36" t="s">
        <v>4566</v>
      </c>
      <c r="Y36" t="s">
        <v>4573</v>
      </c>
      <c r="Z36" t="s">
        <v>4581</v>
      </c>
    </row>
    <row r="37" spans="1:30" x14ac:dyDescent="0.2">
      <c r="A37" t="s">
        <v>4290</v>
      </c>
      <c r="B37">
        <v>0</v>
      </c>
      <c r="C37">
        <v>0</v>
      </c>
      <c r="D37">
        <v>0</v>
      </c>
      <c r="E37">
        <v>0</v>
      </c>
      <c r="F37">
        <v>0</v>
      </c>
      <c r="G37">
        <v>0</v>
      </c>
      <c r="K37" s="949" t="s">
        <v>5028</v>
      </c>
      <c r="O37" t="s">
        <v>4927</v>
      </c>
      <c r="P37" t="s">
        <v>1367</v>
      </c>
      <c r="Q37">
        <v>3</v>
      </c>
      <c r="R37">
        <v>5</v>
      </c>
      <c r="S37">
        <v>4</v>
      </c>
      <c r="T37" s="957" t="s">
        <v>5029</v>
      </c>
      <c r="U37" t="s">
        <v>5030</v>
      </c>
      <c r="V37">
        <v>35</v>
      </c>
      <c r="W37" t="s">
        <v>4563</v>
      </c>
      <c r="X37" t="s">
        <v>4569</v>
      </c>
      <c r="Y37" t="s">
        <v>4577</v>
      </c>
      <c r="Z37" t="s">
        <v>4585</v>
      </c>
    </row>
    <row r="38" spans="1:30" x14ac:dyDescent="0.2">
      <c r="A38" t="s">
        <v>4291</v>
      </c>
      <c r="B38">
        <v>0</v>
      </c>
      <c r="C38">
        <v>0</v>
      </c>
      <c r="D38">
        <v>0</v>
      </c>
      <c r="E38">
        <v>0</v>
      </c>
      <c r="F38">
        <v>0</v>
      </c>
      <c r="G38">
        <v>0</v>
      </c>
      <c r="K38" s="949" t="s">
        <v>5031</v>
      </c>
      <c r="O38" t="s">
        <v>4927</v>
      </c>
      <c r="P38" t="s">
        <v>1367</v>
      </c>
      <c r="Q38">
        <v>3</v>
      </c>
      <c r="R38">
        <v>5</v>
      </c>
      <c r="S38">
        <v>2</v>
      </c>
      <c r="T38" s="957" t="s">
        <v>5032</v>
      </c>
      <c r="U38" t="s">
        <v>5033</v>
      </c>
      <c r="V38">
        <v>36</v>
      </c>
      <c r="W38" t="s">
        <v>4589</v>
      </c>
      <c r="X38" t="s">
        <v>4597</v>
      </c>
    </row>
    <row r="39" spans="1:30" x14ac:dyDescent="0.2">
      <c r="A39" t="s">
        <v>4292</v>
      </c>
      <c r="B39">
        <v>0</v>
      </c>
      <c r="C39">
        <v>0</v>
      </c>
      <c r="D39">
        <v>0</v>
      </c>
      <c r="E39">
        <v>0</v>
      </c>
      <c r="F39">
        <v>0</v>
      </c>
      <c r="G39">
        <v>0</v>
      </c>
      <c r="K39" s="949" t="s">
        <v>5034</v>
      </c>
      <c r="O39" t="s">
        <v>4927</v>
      </c>
      <c r="P39" t="s">
        <v>1367</v>
      </c>
      <c r="Q39">
        <v>3</v>
      </c>
      <c r="R39">
        <v>5</v>
      </c>
      <c r="S39">
        <v>2</v>
      </c>
      <c r="T39" s="957" t="s">
        <v>5035</v>
      </c>
      <c r="U39" t="s">
        <v>2421</v>
      </c>
      <c r="V39">
        <v>37</v>
      </c>
      <c r="W39" t="s">
        <v>4593</v>
      </c>
      <c r="X39" t="s">
        <v>4601</v>
      </c>
    </row>
    <row r="40" spans="1:30" x14ac:dyDescent="0.2">
      <c r="A40" t="s">
        <v>4293</v>
      </c>
      <c r="B40">
        <v>0</v>
      </c>
      <c r="C40">
        <v>0</v>
      </c>
      <c r="D40">
        <v>0</v>
      </c>
      <c r="E40">
        <v>0</v>
      </c>
      <c r="F40">
        <v>0</v>
      </c>
      <c r="G40">
        <v>0</v>
      </c>
      <c r="K40" s="949" t="s">
        <v>5036</v>
      </c>
      <c r="O40" t="s">
        <v>4927</v>
      </c>
      <c r="P40" t="s">
        <v>1367</v>
      </c>
      <c r="Q40">
        <v>3</v>
      </c>
      <c r="R40">
        <v>5</v>
      </c>
      <c r="S40">
        <v>4</v>
      </c>
      <c r="T40" s="957" t="s">
        <v>5037</v>
      </c>
      <c r="U40" t="s">
        <v>5038</v>
      </c>
      <c r="V40">
        <v>38</v>
      </c>
      <c r="W40" t="s">
        <v>4573</v>
      </c>
      <c r="X40" t="s">
        <v>4577</v>
      </c>
      <c r="Y40" t="s">
        <v>4581</v>
      </c>
      <c r="Z40" t="s">
        <v>4585</v>
      </c>
    </row>
    <row r="41" spans="1:30" x14ac:dyDescent="0.2">
      <c r="A41" t="s">
        <v>4294</v>
      </c>
      <c r="B41">
        <v>0</v>
      </c>
      <c r="C41">
        <v>0</v>
      </c>
      <c r="D41">
        <v>0</v>
      </c>
      <c r="E41">
        <v>0</v>
      </c>
      <c r="F41">
        <v>0</v>
      </c>
      <c r="G41">
        <v>0</v>
      </c>
      <c r="K41" s="949" t="s">
        <v>5039</v>
      </c>
      <c r="O41" t="s">
        <v>4927</v>
      </c>
      <c r="P41" t="s">
        <v>1367</v>
      </c>
      <c r="Q41">
        <v>3</v>
      </c>
      <c r="R41">
        <v>5</v>
      </c>
      <c r="S41">
        <v>2</v>
      </c>
      <c r="T41" s="957" t="s">
        <v>5040</v>
      </c>
      <c r="U41" t="s">
        <v>5041</v>
      </c>
      <c r="V41">
        <v>39</v>
      </c>
      <c r="W41" t="s">
        <v>4589</v>
      </c>
      <c r="X41" t="s">
        <v>4593</v>
      </c>
    </row>
    <row r="42" spans="1:30" x14ac:dyDescent="0.2">
      <c r="A42" t="s">
        <v>4295</v>
      </c>
      <c r="B42">
        <v>0</v>
      </c>
      <c r="C42">
        <v>0</v>
      </c>
      <c r="D42">
        <v>0</v>
      </c>
      <c r="E42">
        <v>0</v>
      </c>
      <c r="F42">
        <v>0</v>
      </c>
      <c r="G42">
        <v>0</v>
      </c>
      <c r="K42" s="949" t="s">
        <v>5042</v>
      </c>
      <c r="O42" t="s">
        <v>4927</v>
      </c>
      <c r="P42" t="s">
        <v>1367</v>
      </c>
      <c r="Q42">
        <v>3</v>
      </c>
      <c r="R42">
        <v>5</v>
      </c>
      <c r="S42">
        <v>6</v>
      </c>
      <c r="T42" s="957" t="s">
        <v>5043</v>
      </c>
      <c r="U42" t="s">
        <v>5044</v>
      </c>
      <c r="V42">
        <v>40</v>
      </c>
      <c r="W42" t="s">
        <v>4611</v>
      </c>
      <c r="X42" t="s">
        <v>4615</v>
      </c>
      <c r="Y42" t="s">
        <v>4627</v>
      </c>
      <c r="Z42" t="s">
        <v>4631</v>
      </c>
      <c r="AA42" t="s">
        <v>4642</v>
      </c>
      <c r="AB42" t="s">
        <v>4645</v>
      </c>
    </row>
    <row r="43" spans="1:30" x14ac:dyDescent="0.2">
      <c r="A43" t="s">
        <v>4296</v>
      </c>
      <c r="B43">
        <v>0</v>
      </c>
      <c r="C43">
        <v>0</v>
      </c>
      <c r="D43">
        <v>0</v>
      </c>
      <c r="E43">
        <v>0</v>
      </c>
      <c r="F43">
        <v>0</v>
      </c>
      <c r="G43">
        <v>0</v>
      </c>
      <c r="K43" s="949" t="s">
        <v>5045</v>
      </c>
      <c r="O43" t="s">
        <v>4927</v>
      </c>
      <c r="P43" t="s">
        <v>1367</v>
      </c>
      <c r="Q43">
        <v>3</v>
      </c>
      <c r="R43">
        <v>5</v>
      </c>
      <c r="S43">
        <v>2</v>
      </c>
      <c r="T43" s="957" t="s">
        <v>5046</v>
      </c>
      <c r="U43" t="s">
        <v>5047</v>
      </c>
      <c r="V43">
        <v>41</v>
      </c>
      <c r="W43" t="s">
        <v>4664</v>
      </c>
      <c r="X43" t="s">
        <v>4679</v>
      </c>
    </row>
    <row r="44" spans="1:30" x14ac:dyDescent="0.2">
      <c r="A44" t="s">
        <v>4297</v>
      </c>
      <c r="B44">
        <v>0</v>
      </c>
      <c r="C44">
        <v>7</v>
      </c>
      <c r="D44">
        <v>22</v>
      </c>
      <c r="E44">
        <v>0</v>
      </c>
      <c r="F44">
        <v>0</v>
      </c>
      <c r="G44">
        <v>30</v>
      </c>
      <c r="K44" s="949" t="s">
        <v>5048</v>
      </c>
      <c r="O44" t="s">
        <v>4927</v>
      </c>
      <c r="P44" t="s">
        <v>1367</v>
      </c>
      <c r="Q44">
        <v>3</v>
      </c>
      <c r="R44">
        <v>5</v>
      </c>
      <c r="S44">
        <v>2</v>
      </c>
      <c r="T44" s="957" t="s">
        <v>5049</v>
      </c>
      <c r="U44" t="s">
        <v>765</v>
      </c>
      <c r="V44">
        <v>42</v>
      </c>
      <c r="W44" t="s">
        <v>4511</v>
      </c>
      <c r="X44" t="s">
        <v>4515</v>
      </c>
    </row>
    <row r="45" spans="1:30" x14ac:dyDescent="0.2">
      <c r="A45" t="s">
        <v>4298</v>
      </c>
      <c r="B45">
        <v>11</v>
      </c>
      <c r="C45">
        <v>15</v>
      </c>
      <c r="D45">
        <v>5</v>
      </c>
      <c r="E45">
        <v>9</v>
      </c>
      <c r="F45">
        <v>0</v>
      </c>
      <c r="G45">
        <v>40</v>
      </c>
      <c r="K45" s="949" t="s">
        <v>5050</v>
      </c>
      <c r="O45" t="s">
        <v>4927</v>
      </c>
      <c r="P45" t="s">
        <v>1367</v>
      </c>
      <c r="Q45">
        <v>3</v>
      </c>
      <c r="R45">
        <v>5</v>
      </c>
      <c r="S45">
        <v>2</v>
      </c>
      <c r="T45" s="957" t="s">
        <v>374</v>
      </c>
      <c r="U45" t="s">
        <v>2356</v>
      </c>
      <c r="V45">
        <v>43</v>
      </c>
      <c r="W45" t="s">
        <v>4526</v>
      </c>
      <c r="X45" t="s">
        <v>4529</v>
      </c>
    </row>
    <row r="46" spans="1:30" x14ac:dyDescent="0.2">
      <c r="A46" t="s">
        <v>4299</v>
      </c>
      <c r="B46">
        <v>8</v>
      </c>
      <c r="C46">
        <v>33</v>
      </c>
      <c r="D46">
        <v>35</v>
      </c>
      <c r="E46">
        <v>19</v>
      </c>
      <c r="F46">
        <v>0</v>
      </c>
      <c r="G46">
        <v>95</v>
      </c>
      <c r="K46" s="949" t="s">
        <v>5051</v>
      </c>
      <c r="O46" t="s">
        <v>4927</v>
      </c>
      <c r="P46" t="s">
        <v>1367</v>
      </c>
      <c r="Q46">
        <v>3</v>
      </c>
      <c r="R46">
        <v>5</v>
      </c>
      <c r="S46">
        <v>2</v>
      </c>
      <c r="T46" s="957" t="s">
        <v>5052</v>
      </c>
      <c r="U46" t="s">
        <v>5053</v>
      </c>
      <c r="V46">
        <v>44</v>
      </c>
      <c r="W46" t="s">
        <v>4573</v>
      </c>
      <c r="X46" t="s">
        <v>4577</v>
      </c>
    </row>
    <row r="47" spans="1:30" x14ac:dyDescent="0.2">
      <c r="A47" t="s">
        <v>4300</v>
      </c>
      <c r="B47">
        <v>0</v>
      </c>
      <c r="C47">
        <v>2</v>
      </c>
      <c r="D47">
        <v>3</v>
      </c>
      <c r="E47">
        <v>1</v>
      </c>
      <c r="F47">
        <v>0</v>
      </c>
      <c r="G47">
        <v>6</v>
      </c>
      <c r="K47" s="949" t="s">
        <v>5054</v>
      </c>
      <c r="O47" t="s">
        <v>4927</v>
      </c>
      <c r="P47" t="s">
        <v>1367</v>
      </c>
      <c r="Q47">
        <v>3</v>
      </c>
      <c r="R47">
        <v>5</v>
      </c>
      <c r="S47">
        <v>2</v>
      </c>
      <c r="T47" s="957" t="s">
        <v>5055</v>
      </c>
      <c r="U47" t="s">
        <v>5056</v>
      </c>
      <c r="V47">
        <v>45</v>
      </c>
      <c r="W47" t="s">
        <v>4581</v>
      </c>
      <c r="X47" t="s">
        <v>4585</v>
      </c>
    </row>
    <row r="48" spans="1:30" x14ac:dyDescent="0.2">
      <c r="A48" t="s">
        <v>4301</v>
      </c>
      <c r="B48">
        <v>0</v>
      </c>
      <c r="C48">
        <v>56</v>
      </c>
      <c r="D48">
        <v>72</v>
      </c>
      <c r="E48">
        <v>6</v>
      </c>
      <c r="F48">
        <v>0</v>
      </c>
      <c r="G48">
        <v>134</v>
      </c>
      <c r="K48" s="949" t="s">
        <v>5057</v>
      </c>
      <c r="O48" t="s">
        <v>4927</v>
      </c>
      <c r="P48" t="s">
        <v>1367</v>
      </c>
      <c r="Q48">
        <v>3</v>
      </c>
      <c r="R48">
        <v>5</v>
      </c>
      <c r="S48">
        <v>2</v>
      </c>
      <c r="T48" s="957" t="s">
        <v>5040</v>
      </c>
      <c r="U48" t="s">
        <v>5058</v>
      </c>
      <c r="V48">
        <v>46</v>
      </c>
      <c r="W48" t="s">
        <v>4589</v>
      </c>
      <c r="X48" t="s">
        <v>4593</v>
      </c>
    </row>
    <row r="49" spans="1:24" x14ac:dyDescent="0.2">
      <c r="A49" t="s">
        <v>4302</v>
      </c>
      <c r="B49">
        <v>5</v>
      </c>
      <c r="C49">
        <v>26</v>
      </c>
      <c r="D49">
        <v>69</v>
      </c>
      <c r="E49">
        <v>23</v>
      </c>
      <c r="F49">
        <v>0</v>
      </c>
      <c r="G49">
        <v>123</v>
      </c>
      <c r="K49" s="949" t="s">
        <v>5059</v>
      </c>
      <c r="O49" t="s">
        <v>4927</v>
      </c>
      <c r="P49" t="s">
        <v>1367</v>
      </c>
      <c r="Q49">
        <v>3</v>
      </c>
      <c r="R49">
        <v>5</v>
      </c>
      <c r="S49">
        <v>2</v>
      </c>
      <c r="T49" s="957" t="s">
        <v>5060</v>
      </c>
      <c r="U49" t="s">
        <v>2624</v>
      </c>
      <c r="V49">
        <v>47</v>
      </c>
      <c r="W49" t="s">
        <v>4807</v>
      </c>
      <c r="X49" t="s">
        <v>4811</v>
      </c>
    </row>
    <row r="50" spans="1:24" x14ac:dyDescent="0.2">
      <c r="A50" t="s">
        <v>4303</v>
      </c>
      <c r="B50">
        <v>5</v>
      </c>
      <c r="C50">
        <v>73</v>
      </c>
      <c r="D50">
        <v>278</v>
      </c>
      <c r="E50">
        <v>59</v>
      </c>
      <c r="F50">
        <v>0</v>
      </c>
      <c r="G50">
        <v>415</v>
      </c>
      <c r="K50" s="180"/>
    </row>
    <row r="51" spans="1:24" x14ac:dyDescent="0.2">
      <c r="A51" t="s">
        <v>4304</v>
      </c>
      <c r="B51">
        <v>1</v>
      </c>
      <c r="C51">
        <v>6</v>
      </c>
      <c r="D51">
        <v>16</v>
      </c>
      <c r="E51">
        <v>0</v>
      </c>
      <c r="F51">
        <v>0</v>
      </c>
      <c r="G51">
        <v>24</v>
      </c>
      <c r="K51" s="949" t="s">
        <v>5061</v>
      </c>
    </row>
    <row r="52" spans="1:24" x14ac:dyDescent="0.2">
      <c r="A52" t="s">
        <v>4305</v>
      </c>
      <c r="B52">
        <v>146</v>
      </c>
      <c r="C52">
        <v>150</v>
      </c>
      <c r="D52">
        <v>206</v>
      </c>
      <c r="E52">
        <v>62</v>
      </c>
      <c r="F52">
        <v>0</v>
      </c>
      <c r="G52">
        <v>564</v>
      </c>
    </row>
    <row r="53" spans="1:24" x14ac:dyDescent="0.2">
      <c r="A53" t="s">
        <v>4306</v>
      </c>
      <c r="B53">
        <v>7</v>
      </c>
      <c r="C53">
        <v>42</v>
      </c>
      <c r="D53">
        <v>9</v>
      </c>
      <c r="E53">
        <v>7</v>
      </c>
      <c r="F53">
        <v>0</v>
      </c>
      <c r="G53">
        <v>65</v>
      </c>
    </row>
    <row r="54" spans="1:24" x14ac:dyDescent="0.2">
      <c r="A54" t="s">
        <v>4307</v>
      </c>
      <c r="B54">
        <v>41</v>
      </c>
      <c r="C54">
        <v>402</v>
      </c>
      <c r="D54">
        <v>1239</v>
      </c>
      <c r="E54">
        <v>327</v>
      </c>
      <c r="F54">
        <v>0</v>
      </c>
      <c r="G54">
        <v>2009</v>
      </c>
    </row>
    <row r="55" spans="1:24" x14ac:dyDescent="0.2">
      <c r="A55" t="s">
        <v>4308</v>
      </c>
      <c r="B55">
        <v>0</v>
      </c>
      <c r="C55">
        <v>0</v>
      </c>
      <c r="D55">
        <v>12</v>
      </c>
      <c r="E55">
        <v>33</v>
      </c>
      <c r="F55">
        <v>0</v>
      </c>
      <c r="G55">
        <v>45</v>
      </c>
    </row>
    <row r="56" spans="1:24" x14ac:dyDescent="0.2">
      <c r="A56" t="s">
        <v>4309</v>
      </c>
      <c r="B56">
        <v>0</v>
      </c>
      <c r="C56">
        <v>0</v>
      </c>
      <c r="D56">
        <v>0</v>
      </c>
      <c r="E56">
        <v>0</v>
      </c>
      <c r="F56">
        <v>0</v>
      </c>
      <c r="G56">
        <v>0</v>
      </c>
    </row>
    <row r="57" spans="1:24" x14ac:dyDescent="0.2">
      <c r="A57" t="s">
        <v>4310</v>
      </c>
      <c r="B57">
        <v>0</v>
      </c>
      <c r="C57">
        <v>0</v>
      </c>
      <c r="D57">
        <v>0</v>
      </c>
      <c r="E57">
        <v>0</v>
      </c>
      <c r="F57">
        <v>0</v>
      </c>
      <c r="G57">
        <v>0</v>
      </c>
    </row>
    <row r="58" spans="1:24" x14ac:dyDescent="0.2">
      <c r="A58" t="s">
        <v>4311</v>
      </c>
      <c r="B58">
        <v>0</v>
      </c>
      <c r="C58">
        <v>0</v>
      </c>
      <c r="D58">
        <v>0</v>
      </c>
      <c r="E58">
        <v>0</v>
      </c>
      <c r="F58">
        <v>1</v>
      </c>
      <c r="G58">
        <v>1</v>
      </c>
    </row>
    <row r="59" spans="1:24" x14ac:dyDescent="0.2">
      <c r="A59" t="s">
        <v>4312</v>
      </c>
      <c r="B59">
        <v>0</v>
      </c>
      <c r="C59">
        <v>0</v>
      </c>
      <c r="D59">
        <v>0</v>
      </c>
      <c r="E59">
        <v>0</v>
      </c>
      <c r="F59">
        <v>0</v>
      </c>
      <c r="G59">
        <v>0</v>
      </c>
    </row>
    <row r="60" spans="1:24" x14ac:dyDescent="0.2">
      <c r="A60" t="s">
        <v>4313</v>
      </c>
      <c r="B60">
        <v>0</v>
      </c>
      <c r="C60">
        <v>0</v>
      </c>
      <c r="D60">
        <v>0</v>
      </c>
      <c r="E60">
        <v>0</v>
      </c>
      <c r="F60">
        <v>0</v>
      </c>
      <c r="G60">
        <v>0</v>
      </c>
    </row>
    <row r="61" spans="1:24" x14ac:dyDescent="0.2">
      <c r="A61" t="s">
        <v>4314</v>
      </c>
      <c r="B61">
        <v>0</v>
      </c>
      <c r="C61">
        <v>0</v>
      </c>
      <c r="D61">
        <v>0</v>
      </c>
      <c r="E61">
        <v>0</v>
      </c>
      <c r="F61">
        <v>0</v>
      </c>
      <c r="G61">
        <v>0</v>
      </c>
    </row>
    <row r="62" spans="1:24" x14ac:dyDescent="0.2">
      <c r="A62" t="s">
        <v>4315</v>
      </c>
      <c r="B62">
        <v>0</v>
      </c>
      <c r="C62">
        <v>0</v>
      </c>
      <c r="D62">
        <v>0</v>
      </c>
      <c r="E62">
        <v>0</v>
      </c>
      <c r="F62">
        <v>0</v>
      </c>
      <c r="G62">
        <v>0</v>
      </c>
    </row>
    <row r="63" spans="1:24" x14ac:dyDescent="0.2">
      <c r="A63" t="s">
        <v>4316</v>
      </c>
      <c r="B63">
        <v>0</v>
      </c>
      <c r="C63">
        <v>0</v>
      </c>
      <c r="D63">
        <v>0</v>
      </c>
      <c r="E63">
        <v>0</v>
      </c>
      <c r="F63">
        <v>0</v>
      </c>
      <c r="G63">
        <v>0</v>
      </c>
    </row>
    <row r="64" spans="1:24" x14ac:dyDescent="0.2">
      <c r="A64" t="s">
        <v>4317</v>
      </c>
      <c r="B64">
        <v>0</v>
      </c>
      <c r="C64">
        <v>0</v>
      </c>
      <c r="D64">
        <v>0</v>
      </c>
      <c r="E64">
        <v>0</v>
      </c>
      <c r="F64">
        <v>0</v>
      </c>
      <c r="G64">
        <v>0</v>
      </c>
    </row>
    <row r="65" spans="1:7" x14ac:dyDescent="0.2">
      <c r="A65" t="s">
        <v>4318</v>
      </c>
      <c r="B65">
        <v>0</v>
      </c>
      <c r="C65">
        <v>0</v>
      </c>
      <c r="D65">
        <v>0</v>
      </c>
      <c r="E65">
        <v>0</v>
      </c>
      <c r="F65">
        <v>0</v>
      </c>
      <c r="G65">
        <v>0</v>
      </c>
    </row>
    <row r="66" spans="1:7" x14ac:dyDescent="0.2">
      <c r="A66" t="s">
        <v>4319</v>
      </c>
      <c r="B66">
        <v>0</v>
      </c>
      <c r="C66">
        <v>0</v>
      </c>
      <c r="D66">
        <v>0</v>
      </c>
      <c r="E66">
        <v>0</v>
      </c>
      <c r="F66">
        <v>0</v>
      </c>
      <c r="G66">
        <v>0</v>
      </c>
    </row>
    <row r="67" spans="1:7" x14ac:dyDescent="0.2">
      <c r="A67" t="s">
        <v>4320</v>
      </c>
      <c r="B67">
        <v>0</v>
      </c>
      <c r="C67">
        <v>0</v>
      </c>
      <c r="D67">
        <v>0</v>
      </c>
      <c r="E67">
        <v>0</v>
      </c>
      <c r="F67">
        <v>0</v>
      </c>
      <c r="G67">
        <v>0</v>
      </c>
    </row>
    <row r="68" spans="1:7" x14ac:dyDescent="0.2">
      <c r="A68" t="s">
        <v>4321</v>
      </c>
      <c r="B68">
        <v>0</v>
      </c>
      <c r="C68">
        <v>0</v>
      </c>
      <c r="D68">
        <v>0</v>
      </c>
      <c r="E68">
        <v>0</v>
      </c>
      <c r="F68">
        <v>0</v>
      </c>
      <c r="G68">
        <v>0</v>
      </c>
    </row>
    <row r="69" spans="1:7" x14ac:dyDescent="0.2">
      <c r="A69" t="s">
        <v>4322</v>
      </c>
      <c r="B69">
        <v>0</v>
      </c>
      <c r="C69">
        <v>0</v>
      </c>
      <c r="D69">
        <v>0</v>
      </c>
      <c r="E69">
        <v>0</v>
      </c>
      <c r="F69">
        <v>0</v>
      </c>
      <c r="G69">
        <v>0</v>
      </c>
    </row>
    <row r="70" spans="1:7" x14ac:dyDescent="0.2">
      <c r="A70" t="s">
        <v>4323</v>
      </c>
      <c r="B70">
        <v>0</v>
      </c>
      <c r="C70">
        <v>0</v>
      </c>
      <c r="D70">
        <v>0</v>
      </c>
      <c r="E70">
        <v>0</v>
      </c>
      <c r="F70">
        <v>0</v>
      </c>
      <c r="G70">
        <v>0</v>
      </c>
    </row>
    <row r="71" spans="1:7" x14ac:dyDescent="0.2">
      <c r="A71" t="s">
        <v>4324</v>
      </c>
      <c r="B71">
        <v>0</v>
      </c>
      <c r="C71">
        <v>0</v>
      </c>
      <c r="D71">
        <v>0</v>
      </c>
      <c r="E71">
        <v>0</v>
      </c>
      <c r="F71">
        <v>0</v>
      </c>
      <c r="G71">
        <v>0</v>
      </c>
    </row>
    <row r="72" spans="1:7" x14ac:dyDescent="0.2">
      <c r="A72" t="s">
        <v>4325</v>
      </c>
      <c r="B72">
        <v>0</v>
      </c>
      <c r="C72">
        <v>0</v>
      </c>
      <c r="D72">
        <v>0</v>
      </c>
      <c r="E72">
        <v>0</v>
      </c>
      <c r="F72">
        <v>0</v>
      </c>
      <c r="G72">
        <v>0</v>
      </c>
    </row>
    <row r="73" spans="1:7" x14ac:dyDescent="0.2">
      <c r="A73" t="s">
        <v>4326</v>
      </c>
      <c r="B73">
        <v>0</v>
      </c>
      <c r="C73">
        <v>0</v>
      </c>
      <c r="D73">
        <v>0</v>
      </c>
      <c r="E73">
        <v>0</v>
      </c>
      <c r="F73">
        <v>0</v>
      </c>
      <c r="G73">
        <v>0</v>
      </c>
    </row>
    <row r="74" spans="1:7" x14ac:dyDescent="0.2">
      <c r="A74" t="s">
        <v>4327</v>
      </c>
      <c r="B74">
        <v>0</v>
      </c>
      <c r="C74">
        <v>0</v>
      </c>
      <c r="D74">
        <v>0</v>
      </c>
      <c r="E74">
        <v>0</v>
      </c>
      <c r="F74">
        <v>0</v>
      </c>
      <c r="G74">
        <v>0</v>
      </c>
    </row>
    <row r="75" spans="1:7" x14ac:dyDescent="0.2">
      <c r="A75" t="s">
        <v>4328</v>
      </c>
      <c r="B75">
        <v>0</v>
      </c>
      <c r="C75">
        <v>0</v>
      </c>
      <c r="D75">
        <v>0</v>
      </c>
      <c r="E75">
        <v>0</v>
      </c>
      <c r="F75">
        <v>0</v>
      </c>
      <c r="G75">
        <v>0</v>
      </c>
    </row>
    <row r="76" spans="1:7" x14ac:dyDescent="0.2">
      <c r="A76" t="s">
        <v>4329</v>
      </c>
      <c r="B76">
        <v>0</v>
      </c>
      <c r="C76">
        <v>0</v>
      </c>
      <c r="D76">
        <v>0</v>
      </c>
      <c r="E76">
        <v>0</v>
      </c>
      <c r="F76">
        <v>0</v>
      </c>
      <c r="G76">
        <v>0</v>
      </c>
    </row>
    <row r="77" spans="1:7" x14ac:dyDescent="0.2">
      <c r="A77" t="s">
        <v>4330</v>
      </c>
      <c r="B77">
        <v>0</v>
      </c>
      <c r="C77">
        <v>0</v>
      </c>
      <c r="D77">
        <v>0</v>
      </c>
      <c r="E77">
        <v>0</v>
      </c>
      <c r="F77">
        <v>0</v>
      </c>
      <c r="G77">
        <v>0</v>
      </c>
    </row>
    <row r="78" spans="1:7" x14ac:dyDescent="0.2">
      <c r="A78" t="s">
        <v>4331</v>
      </c>
      <c r="B78">
        <v>0</v>
      </c>
      <c r="C78">
        <v>0</v>
      </c>
      <c r="D78">
        <v>0</v>
      </c>
      <c r="E78">
        <v>0</v>
      </c>
      <c r="F78">
        <v>0</v>
      </c>
      <c r="G78">
        <v>0</v>
      </c>
    </row>
    <row r="79" spans="1:7" x14ac:dyDescent="0.2">
      <c r="A79" t="s">
        <v>4332</v>
      </c>
      <c r="B79">
        <v>0</v>
      </c>
      <c r="C79">
        <v>0</v>
      </c>
      <c r="D79">
        <v>0</v>
      </c>
      <c r="E79">
        <v>0</v>
      </c>
      <c r="F79">
        <v>0</v>
      </c>
      <c r="G79">
        <v>0</v>
      </c>
    </row>
    <row r="80" spans="1:7" x14ac:dyDescent="0.2">
      <c r="A80" t="s">
        <v>4333</v>
      </c>
      <c r="B80">
        <v>0</v>
      </c>
      <c r="C80">
        <v>0</v>
      </c>
      <c r="D80">
        <v>0</v>
      </c>
      <c r="E80">
        <v>0</v>
      </c>
      <c r="F80">
        <v>0</v>
      </c>
      <c r="G80">
        <v>0</v>
      </c>
    </row>
    <row r="81" spans="1:7" x14ac:dyDescent="0.2">
      <c r="A81" t="s">
        <v>4334</v>
      </c>
      <c r="B81">
        <v>0</v>
      </c>
      <c r="C81">
        <v>0</v>
      </c>
      <c r="D81">
        <v>0</v>
      </c>
      <c r="E81">
        <v>0</v>
      </c>
      <c r="F81">
        <v>0</v>
      </c>
      <c r="G81">
        <v>0</v>
      </c>
    </row>
    <row r="82" spans="1:7" x14ac:dyDescent="0.2">
      <c r="A82" t="s">
        <v>4335</v>
      </c>
      <c r="B82">
        <v>0</v>
      </c>
      <c r="C82">
        <v>0</v>
      </c>
      <c r="D82">
        <v>0</v>
      </c>
      <c r="E82">
        <v>0</v>
      </c>
      <c r="F82">
        <v>0</v>
      </c>
      <c r="G82">
        <v>0</v>
      </c>
    </row>
    <row r="83" spans="1:7" x14ac:dyDescent="0.2">
      <c r="A83" t="s">
        <v>4336</v>
      </c>
      <c r="B83">
        <v>0</v>
      </c>
      <c r="C83">
        <v>0</v>
      </c>
      <c r="D83">
        <v>0</v>
      </c>
      <c r="E83">
        <v>0</v>
      </c>
      <c r="F83">
        <v>0</v>
      </c>
      <c r="G83">
        <v>0</v>
      </c>
    </row>
    <row r="84" spans="1:7" x14ac:dyDescent="0.2">
      <c r="A84" t="s">
        <v>4337</v>
      </c>
      <c r="B84">
        <v>0</v>
      </c>
      <c r="C84">
        <v>0</v>
      </c>
      <c r="D84">
        <v>0</v>
      </c>
      <c r="E84">
        <v>0</v>
      </c>
      <c r="F84">
        <v>0</v>
      </c>
      <c r="G84">
        <v>0</v>
      </c>
    </row>
    <row r="85" spans="1:7" x14ac:dyDescent="0.2">
      <c r="A85" t="s">
        <v>4338</v>
      </c>
      <c r="B85">
        <v>0</v>
      </c>
      <c r="C85">
        <v>0</v>
      </c>
      <c r="D85">
        <v>0</v>
      </c>
      <c r="E85">
        <v>0</v>
      </c>
      <c r="F85">
        <v>2</v>
      </c>
      <c r="G85">
        <v>2</v>
      </c>
    </row>
    <row r="86" spans="1:7" x14ac:dyDescent="0.2">
      <c r="A86" t="s">
        <v>4339</v>
      </c>
      <c r="B86">
        <v>0</v>
      </c>
      <c r="C86">
        <v>0</v>
      </c>
      <c r="D86">
        <v>0</v>
      </c>
      <c r="E86">
        <v>0</v>
      </c>
      <c r="F86">
        <v>0</v>
      </c>
      <c r="G86">
        <v>0</v>
      </c>
    </row>
    <row r="87" spans="1:7" x14ac:dyDescent="0.2">
      <c r="A87" t="s">
        <v>4340</v>
      </c>
      <c r="B87">
        <v>0</v>
      </c>
      <c r="C87">
        <v>0</v>
      </c>
      <c r="D87">
        <v>0</v>
      </c>
      <c r="E87">
        <v>0</v>
      </c>
      <c r="F87">
        <v>0</v>
      </c>
      <c r="G87">
        <v>0</v>
      </c>
    </row>
    <row r="88" spans="1:7" x14ac:dyDescent="0.2">
      <c r="A88" t="s">
        <v>4341</v>
      </c>
      <c r="B88">
        <v>0</v>
      </c>
      <c r="C88">
        <v>0</v>
      </c>
      <c r="D88">
        <v>0</v>
      </c>
      <c r="E88">
        <v>0</v>
      </c>
      <c r="F88">
        <v>0</v>
      </c>
      <c r="G88">
        <v>0</v>
      </c>
    </row>
    <row r="89" spans="1:7" x14ac:dyDescent="0.2">
      <c r="A89" t="s">
        <v>4342</v>
      </c>
      <c r="B89">
        <v>0</v>
      </c>
      <c r="C89">
        <v>0</v>
      </c>
      <c r="D89">
        <v>0</v>
      </c>
      <c r="E89">
        <v>0</v>
      </c>
      <c r="F89">
        <v>0</v>
      </c>
      <c r="G89">
        <v>0</v>
      </c>
    </row>
    <row r="90" spans="1:7" x14ac:dyDescent="0.2">
      <c r="A90" t="s">
        <v>4343</v>
      </c>
      <c r="B90">
        <v>0</v>
      </c>
      <c r="C90">
        <v>0</v>
      </c>
      <c r="D90">
        <v>0</v>
      </c>
      <c r="E90">
        <v>0</v>
      </c>
      <c r="F90">
        <v>0</v>
      </c>
      <c r="G90">
        <v>0</v>
      </c>
    </row>
    <row r="91" spans="1:7" x14ac:dyDescent="0.2">
      <c r="A91" t="s">
        <v>1728</v>
      </c>
      <c r="B91">
        <v>0</v>
      </c>
      <c r="C91">
        <v>0</v>
      </c>
      <c r="D91">
        <v>0</v>
      </c>
      <c r="E91">
        <v>0</v>
      </c>
      <c r="F91">
        <v>0</v>
      </c>
      <c r="G91">
        <v>0</v>
      </c>
    </row>
    <row r="92" spans="1:7" x14ac:dyDescent="0.2">
      <c r="A92" t="s">
        <v>1730</v>
      </c>
      <c r="B92">
        <v>0</v>
      </c>
      <c r="C92">
        <v>2</v>
      </c>
      <c r="D92">
        <v>32</v>
      </c>
      <c r="E92">
        <v>25</v>
      </c>
      <c r="F92">
        <v>125</v>
      </c>
      <c r="G92">
        <v>185</v>
      </c>
    </row>
    <row r="93" spans="1:7" x14ac:dyDescent="0.2">
      <c r="A93" t="s">
        <v>1733</v>
      </c>
      <c r="B93">
        <v>0</v>
      </c>
      <c r="C93">
        <v>0</v>
      </c>
      <c r="D93">
        <v>0</v>
      </c>
      <c r="E93">
        <v>0</v>
      </c>
      <c r="F93">
        <v>0</v>
      </c>
      <c r="G93">
        <v>0</v>
      </c>
    </row>
    <row r="94" spans="1:7" x14ac:dyDescent="0.2">
      <c r="A94" t="s">
        <v>1738</v>
      </c>
      <c r="B94">
        <v>0</v>
      </c>
      <c r="C94">
        <v>0</v>
      </c>
      <c r="D94">
        <v>0</v>
      </c>
      <c r="E94">
        <v>0</v>
      </c>
      <c r="F94">
        <v>0</v>
      </c>
      <c r="G94">
        <v>0</v>
      </c>
    </row>
    <row r="95" spans="1:7" x14ac:dyDescent="0.2">
      <c r="A95" t="s">
        <v>1744</v>
      </c>
      <c r="B95">
        <v>0</v>
      </c>
      <c r="C95">
        <v>0</v>
      </c>
      <c r="D95">
        <v>0</v>
      </c>
      <c r="E95">
        <v>0</v>
      </c>
      <c r="F95">
        <v>0</v>
      </c>
      <c r="G95">
        <v>0</v>
      </c>
    </row>
    <row r="96" spans="1:7" x14ac:dyDescent="0.2">
      <c r="A96" t="s">
        <v>1747</v>
      </c>
      <c r="B96">
        <v>0</v>
      </c>
      <c r="C96">
        <v>0</v>
      </c>
      <c r="D96">
        <v>0</v>
      </c>
      <c r="E96">
        <v>0</v>
      </c>
      <c r="F96">
        <v>0</v>
      </c>
      <c r="G96">
        <v>0</v>
      </c>
    </row>
    <row r="97" spans="1:7" x14ac:dyDescent="0.2">
      <c r="A97" t="s">
        <v>1751</v>
      </c>
      <c r="B97">
        <v>0</v>
      </c>
      <c r="C97">
        <v>0</v>
      </c>
      <c r="D97">
        <v>0</v>
      </c>
      <c r="E97">
        <v>0</v>
      </c>
      <c r="F97">
        <v>0</v>
      </c>
      <c r="G97">
        <v>0</v>
      </c>
    </row>
    <row r="98" spans="1:7" x14ac:dyDescent="0.2">
      <c r="A98" t="s">
        <v>1755</v>
      </c>
      <c r="B98">
        <v>0</v>
      </c>
      <c r="C98">
        <v>0</v>
      </c>
      <c r="D98">
        <v>21</v>
      </c>
      <c r="E98">
        <v>78</v>
      </c>
      <c r="F98">
        <v>92</v>
      </c>
      <c r="G98">
        <v>191</v>
      </c>
    </row>
    <row r="99" spans="1:7" x14ac:dyDescent="0.2">
      <c r="A99" t="s">
        <v>1757</v>
      </c>
      <c r="B99">
        <v>0</v>
      </c>
      <c r="C99">
        <v>0</v>
      </c>
      <c r="D99">
        <v>42</v>
      </c>
      <c r="E99">
        <v>74</v>
      </c>
      <c r="F99">
        <v>98</v>
      </c>
      <c r="G99">
        <v>214</v>
      </c>
    </row>
    <row r="100" spans="1:7" x14ac:dyDescent="0.2">
      <c r="A100" t="s">
        <v>1761</v>
      </c>
      <c r="B100">
        <v>0</v>
      </c>
      <c r="C100">
        <v>0</v>
      </c>
      <c r="D100">
        <v>0</v>
      </c>
      <c r="E100">
        <v>0</v>
      </c>
      <c r="F100">
        <v>0</v>
      </c>
      <c r="G100">
        <v>0</v>
      </c>
    </row>
    <row r="101" spans="1:7" x14ac:dyDescent="0.2">
      <c r="A101" t="s">
        <v>1764</v>
      </c>
      <c r="B101">
        <v>0</v>
      </c>
      <c r="C101">
        <v>0</v>
      </c>
      <c r="D101">
        <v>0</v>
      </c>
      <c r="E101">
        <v>0</v>
      </c>
      <c r="F101">
        <v>0</v>
      </c>
      <c r="G101">
        <v>0</v>
      </c>
    </row>
    <row r="102" spans="1:7" x14ac:dyDescent="0.2">
      <c r="A102" t="s">
        <v>1770</v>
      </c>
      <c r="B102">
        <v>2</v>
      </c>
      <c r="C102">
        <v>13</v>
      </c>
      <c r="D102">
        <v>83</v>
      </c>
      <c r="E102">
        <v>422</v>
      </c>
      <c r="F102">
        <v>0</v>
      </c>
      <c r="G102">
        <v>519</v>
      </c>
    </row>
    <row r="103" spans="1:7" x14ac:dyDescent="0.2">
      <c r="A103" t="s">
        <v>1772</v>
      </c>
      <c r="B103">
        <v>0</v>
      </c>
      <c r="C103">
        <v>2</v>
      </c>
      <c r="D103">
        <v>27</v>
      </c>
      <c r="E103">
        <v>250</v>
      </c>
      <c r="F103">
        <v>0</v>
      </c>
      <c r="G103">
        <v>279</v>
      </c>
    </row>
    <row r="104" spans="1:7" x14ac:dyDescent="0.2">
      <c r="A104" t="s">
        <v>1774</v>
      </c>
      <c r="B104">
        <v>0</v>
      </c>
      <c r="C104">
        <v>3</v>
      </c>
      <c r="D104">
        <v>21</v>
      </c>
      <c r="E104">
        <v>217</v>
      </c>
      <c r="F104">
        <v>0</v>
      </c>
      <c r="G104">
        <v>241</v>
      </c>
    </row>
    <row r="105" spans="1:7" x14ac:dyDescent="0.2">
      <c r="A105" t="s">
        <v>1777</v>
      </c>
      <c r="B105">
        <v>0</v>
      </c>
      <c r="C105">
        <v>0</v>
      </c>
      <c r="D105">
        <v>0</v>
      </c>
      <c r="E105">
        <v>0</v>
      </c>
      <c r="F105">
        <v>0</v>
      </c>
      <c r="G105">
        <v>0</v>
      </c>
    </row>
    <row r="106" spans="1:7" x14ac:dyDescent="0.2">
      <c r="A106" t="s">
        <v>1782</v>
      </c>
      <c r="B106">
        <v>0</v>
      </c>
      <c r="C106">
        <v>0</v>
      </c>
      <c r="D106">
        <v>0</v>
      </c>
      <c r="E106">
        <v>0</v>
      </c>
      <c r="F106">
        <v>0</v>
      </c>
      <c r="G106">
        <v>0</v>
      </c>
    </row>
    <row r="107" spans="1:7" x14ac:dyDescent="0.2">
      <c r="A107" t="s">
        <v>1274</v>
      </c>
      <c r="B107">
        <v>0</v>
      </c>
      <c r="C107">
        <v>0</v>
      </c>
      <c r="D107">
        <v>0</v>
      </c>
      <c r="E107">
        <v>45</v>
      </c>
      <c r="F107">
        <v>0</v>
      </c>
      <c r="G107">
        <v>46</v>
      </c>
    </row>
    <row r="108" spans="1:7" x14ac:dyDescent="0.2">
      <c r="A108" t="s">
        <v>1277</v>
      </c>
      <c r="B108">
        <v>0</v>
      </c>
      <c r="C108">
        <v>0</v>
      </c>
      <c r="D108">
        <v>0</v>
      </c>
      <c r="E108">
        <v>372</v>
      </c>
      <c r="F108">
        <v>14</v>
      </c>
      <c r="G108">
        <v>386</v>
      </c>
    </row>
    <row r="109" spans="1:7" x14ac:dyDescent="0.2">
      <c r="A109" t="s">
        <v>1798</v>
      </c>
      <c r="B109">
        <v>0</v>
      </c>
      <c r="C109">
        <v>0</v>
      </c>
      <c r="D109">
        <v>0</v>
      </c>
      <c r="E109">
        <v>0</v>
      </c>
      <c r="F109">
        <v>0</v>
      </c>
      <c r="G109">
        <v>0</v>
      </c>
    </row>
    <row r="110" spans="1:7" x14ac:dyDescent="0.2">
      <c r="A110" t="s">
        <v>1803</v>
      </c>
      <c r="B110">
        <v>0</v>
      </c>
      <c r="C110">
        <v>0</v>
      </c>
      <c r="D110">
        <v>0</v>
      </c>
      <c r="E110">
        <v>0</v>
      </c>
      <c r="F110">
        <v>0</v>
      </c>
      <c r="G110">
        <v>0</v>
      </c>
    </row>
    <row r="111" spans="1:7" x14ac:dyDescent="0.2">
      <c r="A111" t="s">
        <v>1808</v>
      </c>
      <c r="B111">
        <v>0</v>
      </c>
      <c r="C111">
        <v>0</v>
      </c>
      <c r="D111">
        <v>0</v>
      </c>
      <c r="E111">
        <v>0</v>
      </c>
      <c r="F111">
        <v>0</v>
      </c>
      <c r="G111">
        <v>0</v>
      </c>
    </row>
    <row r="112" spans="1:7" x14ac:dyDescent="0.2">
      <c r="A112" t="s">
        <v>1813</v>
      </c>
      <c r="B112">
        <v>0</v>
      </c>
      <c r="C112">
        <v>0</v>
      </c>
      <c r="D112">
        <v>0</v>
      </c>
      <c r="E112">
        <v>0</v>
      </c>
      <c r="F112">
        <v>0</v>
      </c>
      <c r="G112">
        <v>0</v>
      </c>
    </row>
    <row r="113" spans="1:7" x14ac:dyDescent="0.2">
      <c r="A113" t="s">
        <v>1819</v>
      </c>
      <c r="B113">
        <v>0</v>
      </c>
      <c r="C113">
        <v>0</v>
      </c>
      <c r="D113">
        <v>0</v>
      </c>
      <c r="E113">
        <v>340</v>
      </c>
      <c r="F113">
        <v>160</v>
      </c>
      <c r="G113">
        <v>500</v>
      </c>
    </row>
    <row r="114" spans="1:7" x14ac:dyDescent="0.2">
      <c r="A114" t="s">
        <v>1826</v>
      </c>
      <c r="B114">
        <v>0</v>
      </c>
      <c r="C114">
        <v>0</v>
      </c>
      <c r="D114">
        <v>0</v>
      </c>
      <c r="E114">
        <v>0</v>
      </c>
      <c r="F114">
        <v>13388</v>
      </c>
      <c r="G114">
        <v>13388</v>
      </c>
    </row>
    <row r="115" spans="1:7" x14ac:dyDescent="0.2">
      <c r="A115" t="s">
        <v>1830</v>
      </c>
      <c r="B115">
        <v>0</v>
      </c>
      <c r="C115">
        <v>0</v>
      </c>
      <c r="D115">
        <v>0</v>
      </c>
      <c r="E115">
        <v>0</v>
      </c>
      <c r="F115">
        <v>1519</v>
      </c>
      <c r="G115">
        <v>1519</v>
      </c>
    </row>
    <row r="116" spans="1:7" x14ac:dyDescent="0.2">
      <c r="A116" t="s">
        <v>1836</v>
      </c>
      <c r="B116">
        <v>0</v>
      </c>
      <c r="C116">
        <v>0</v>
      </c>
      <c r="D116">
        <v>0</v>
      </c>
      <c r="E116">
        <v>0</v>
      </c>
      <c r="F116">
        <v>0</v>
      </c>
      <c r="G116">
        <v>0</v>
      </c>
    </row>
    <row r="117" spans="1:7" x14ac:dyDescent="0.2">
      <c r="A117" t="s">
        <v>1841</v>
      </c>
      <c r="B117">
        <v>0</v>
      </c>
      <c r="C117">
        <v>0</v>
      </c>
      <c r="D117">
        <v>159</v>
      </c>
      <c r="E117">
        <v>982</v>
      </c>
      <c r="F117">
        <v>56</v>
      </c>
      <c r="G117">
        <v>1196</v>
      </c>
    </row>
    <row r="118" spans="1:7" x14ac:dyDescent="0.2">
      <c r="A118" t="s">
        <v>1842</v>
      </c>
      <c r="B118">
        <v>0</v>
      </c>
      <c r="C118">
        <v>82</v>
      </c>
      <c r="D118">
        <v>176</v>
      </c>
      <c r="E118">
        <v>337</v>
      </c>
      <c r="F118">
        <v>0</v>
      </c>
      <c r="G118">
        <v>595</v>
      </c>
    </row>
    <row r="119" spans="1:7" x14ac:dyDescent="0.2">
      <c r="A119" t="s">
        <v>1843</v>
      </c>
      <c r="B119">
        <v>0</v>
      </c>
      <c r="C119">
        <v>0</v>
      </c>
      <c r="D119">
        <v>0</v>
      </c>
      <c r="E119">
        <v>0</v>
      </c>
      <c r="F119">
        <v>4948</v>
      </c>
      <c r="G119">
        <v>4948</v>
      </c>
    </row>
    <row r="120" spans="1:7" x14ac:dyDescent="0.2">
      <c r="A120" t="s">
        <v>1846</v>
      </c>
      <c r="B120">
        <v>0</v>
      </c>
      <c r="C120">
        <v>0</v>
      </c>
      <c r="D120">
        <v>0</v>
      </c>
      <c r="E120">
        <v>0</v>
      </c>
      <c r="F120">
        <v>0</v>
      </c>
      <c r="G120">
        <v>0</v>
      </c>
    </row>
    <row r="121" spans="1:7" x14ac:dyDescent="0.2">
      <c r="A121" t="s">
        <v>1851</v>
      </c>
      <c r="B121">
        <v>0</v>
      </c>
      <c r="C121">
        <v>0</v>
      </c>
      <c r="D121">
        <v>0</v>
      </c>
      <c r="E121">
        <v>840</v>
      </c>
      <c r="F121">
        <v>165</v>
      </c>
      <c r="G121">
        <v>1005</v>
      </c>
    </row>
    <row r="122" spans="1:7" x14ac:dyDescent="0.2">
      <c r="A122" t="s">
        <v>1857</v>
      </c>
      <c r="B122">
        <v>0</v>
      </c>
      <c r="C122">
        <v>0</v>
      </c>
      <c r="D122">
        <v>0</v>
      </c>
      <c r="E122">
        <v>0</v>
      </c>
      <c r="F122">
        <v>0</v>
      </c>
      <c r="G122">
        <v>0</v>
      </c>
    </row>
    <row r="123" spans="1:7" x14ac:dyDescent="0.2">
      <c r="A123" t="s">
        <v>1862</v>
      </c>
      <c r="B123">
        <v>0</v>
      </c>
      <c r="C123">
        <v>0</v>
      </c>
      <c r="D123">
        <v>0</v>
      </c>
      <c r="E123">
        <v>0</v>
      </c>
      <c r="F123">
        <v>0</v>
      </c>
      <c r="G123">
        <v>0</v>
      </c>
    </row>
    <row r="124" spans="1:7" x14ac:dyDescent="0.2">
      <c r="A124" t="s">
        <v>1867</v>
      </c>
      <c r="B124">
        <v>0</v>
      </c>
      <c r="C124">
        <v>0</v>
      </c>
      <c r="D124">
        <v>0</v>
      </c>
      <c r="E124">
        <v>0</v>
      </c>
      <c r="F124">
        <v>0</v>
      </c>
      <c r="G124">
        <v>0</v>
      </c>
    </row>
    <row r="125" spans="1:7" x14ac:dyDescent="0.2">
      <c r="A125" t="s">
        <v>1870</v>
      </c>
      <c r="B125">
        <v>0</v>
      </c>
      <c r="C125">
        <v>0</v>
      </c>
      <c r="D125">
        <v>0</v>
      </c>
      <c r="E125">
        <v>0</v>
      </c>
      <c r="F125">
        <v>0</v>
      </c>
      <c r="G125">
        <v>0</v>
      </c>
    </row>
    <row r="126" spans="1:7" x14ac:dyDescent="0.2">
      <c r="A126" t="s">
        <v>1874</v>
      </c>
      <c r="B126">
        <v>0</v>
      </c>
      <c r="C126">
        <v>0</v>
      </c>
      <c r="D126">
        <v>8</v>
      </c>
      <c r="E126">
        <v>63</v>
      </c>
      <c r="F126">
        <v>0</v>
      </c>
      <c r="G126">
        <v>71</v>
      </c>
    </row>
    <row r="127" spans="1:7" x14ac:dyDescent="0.2">
      <c r="A127" t="s">
        <v>1876</v>
      </c>
      <c r="B127">
        <v>0</v>
      </c>
      <c r="C127">
        <v>0</v>
      </c>
      <c r="D127">
        <v>0</v>
      </c>
      <c r="E127">
        <v>0</v>
      </c>
      <c r="F127">
        <v>0</v>
      </c>
      <c r="G127">
        <v>0</v>
      </c>
    </row>
    <row r="128" spans="1:7" x14ac:dyDescent="0.2">
      <c r="A128" t="s">
        <v>1881</v>
      </c>
      <c r="B128">
        <v>0</v>
      </c>
      <c r="C128">
        <v>0</v>
      </c>
      <c r="D128">
        <v>0</v>
      </c>
      <c r="E128">
        <v>0</v>
      </c>
      <c r="F128">
        <v>0</v>
      </c>
      <c r="G128">
        <v>0</v>
      </c>
    </row>
    <row r="129" spans="1:7" x14ac:dyDescent="0.2">
      <c r="A129" t="s">
        <v>1885</v>
      </c>
      <c r="B129">
        <v>591</v>
      </c>
      <c r="C129">
        <v>293</v>
      </c>
      <c r="D129">
        <v>268</v>
      </c>
      <c r="E129">
        <v>278</v>
      </c>
      <c r="F129">
        <v>11</v>
      </c>
      <c r="G129">
        <v>1442</v>
      </c>
    </row>
    <row r="130" spans="1:7" x14ac:dyDescent="0.2">
      <c r="A130" t="s">
        <v>1887</v>
      </c>
      <c r="B130">
        <v>0</v>
      </c>
      <c r="C130">
        <v>0</v>
      </c>
      <c r="D130">
        <v>0</v>
      </c>
      <c r="E130">
        <v>1</v>
      </c>
      <c r="F130">
        <v>2</v>
      </c>
      <c r="G130">
        <v>3</v>
      </c>
    </row>
    <row r="131" spans="1:7" x14ac:dyDescent="0.2">
      <c r="A131" t="s">
        <v>1893</v>
      </c>
      <c r="B131">
        <v>0</v>
      </c>
      <c r="C131">
        <v>0</v>
      </c>
      <c r="D131">
        <v>0</v>
      </c>
      <c r="E131">
        <v>45</v>
      </c>
      <c r="F131">
        <v>4</v>
      </c>
      <c r="G131">
        <v>50</v>
      </c>
    </row>
    <row r="132" spans="1:7" x14ac:dyDescent="0.2">
      <c r="A132" t="s">
        <v>1899</v>
      </c>
      <c r="B132">
        <v>0</v>
      </c>
      <c r="C132">
        <v>0</v>
      </c>
      <c r="D132">
        <v>0</v>
      </c>
      <c r="E132">
        <v>0</v>
      </c>
      <c r="F132">
        <v>0</v>
      </c>
      <c r="G132">
        <v>0</v>
      </c>
    </row>
    <row r="133" spans="1:7" x14ac:dyDescent="0.2">
      <c r="A133" t="s">
        <v>1906</v>
      </c>
      <c r="B133">
        <v>0</v>
      </c>
      <c r="C133">
        <v>0</v>
      </c>
      <c r="D133">
        <v>0</v>
      </c>
      <c r="E133">
        <v>0</v>
      </c>
      <c r="F133">
        <v>0</v>
      </c>
      <c r="G133">
        <v>0</v>
      </c>
    </row>
    <row r="134" spans="1:7" x14ac:dyDescent="0.2">
      <c r="A134" t="s">
        <v>1911</v>
      </c>
      <c r="B134">
        <v>0</v>
      </c>
      <c r="C134">
        <v>0</v>
      </c>
      <c r="D134">
        <v>0</v>
      </c>
      <c r="E134">
        <v>0</v>
      </c>
      <c r="F134">
        <v>0</v>
      </c>
      <c r="G134">
        <v>0</v>
      </c>
    </row>
    <row r="135" spans="1:7" x14ac:dyDescent="0.2">
      <c r="A135" t="s">
        <v>1917</v>
      </c>
      <c r="B135">
        <v>0</v>
      </c>
      <c r="C135">
        <v>0</v>
      </c>
      <c r="D135">
        <v>0</v>
      </c>
      <c r="E135">
        <v>3</v>
      </c>
      <c r="F135">
        <v>0</v>
      </c>
      <c r="G135">
        <v>3</v>
      </c>
    </row>
    <row r="136" spans="1:7" x14ac:dyDescent="0.2">
      <c r="A136" t="s">
        <v>1922</v>
      </c>
      <c r="B136">
        <v>0</v>
      </c>
      <c r="C136">
        <v>0</v>
      </c>
      <c r="D136">
        <v>0</v>
      </c>
      <c r="E136">
        <v>0</v>
      </c>
      <c r="F136">
        <v>0</v>
      </c>
      <c r="G136">
        <v>0</v>
      </c>
    </row>
    <row r="137" spans="1:7" x14ac:dyDescent="0.2">
      <c r="A137" t="s">
        <v>1928</v>
      </c>
      <c r="B137">
        <v>0</v>
      </c>
      <c r="C137">
        <v>0</v>
      </c>
      <c r="D137">
        <v>0</v>
      </c>
      <c r="E137">
        <v>0</v>
      </c>
      <c r="F137">
        <v>0</v>
      </c>
      <c r="G137">
        <v>0</v>
      </c>
    </row>
    <row r="138" spans="1:7" x14ac:dyDescent="0.2">
      <c r="A138" t="s">
        <v>1932</v>
      </c>
      <c r="B138">
        <v>0</v>
      </c>
      <c r="C138">
        <v>0</v>
      </c>
      <c r="D138">
        <v>0</v>
      </c>
      <c r="E138">
        <v>0</v>
      </c>
      <c r="F138">
        <v>0</v>
      </c>
      <c r="G138">
        <v>0</v>
      </c>
    </row>
    <row r="139" spans="1:7" x14ac:dyDescent="0.2">
      <c r="A139" t="s">
        <v>1938</v>
      </c>
      <c r="B139">
        <v>0</v>
      </c>
      <c r="C139">
        <v>0</v>
      </c>
      <c r="D139">
        <v>0</v>
      </c>
      <c r="E139">
        <v>0</v>
      </c>
      <c r="F139">
        <v>0</v>
      </c>
      <c r="G139">
        <v>0</v>
      </c>
    </row>
    <row r="140" spans="1:7" x14ac:dyDescent="0.2">
      <c r="A140" t="s">
        <v>1944</v>
      </c>
      <c r="B140">
        <v>1</v>
      </c>
      <c r="C140">
        <v>4</v>
      </c>
      <c r="D140">
        <v>20</v>
      </c>
      <c r="E140">
        <v>12</v>
      </c>
      <c r="F140">
        <v>1</v>
      </c>
      <c r="G140">
        <v>38</v>
      </c>
    </row>
    <row r="141" spans="1:7" x14ac:dyDescent="0.2">
      <c r="A141" t="s">
        <v>1947</v>
      </c>
      <c r="B141">
        <v>0</v>
      </c>
      <c r="C141">
        <v>0</v>
      </c>
      <c r="D141">
        <v>0</v>
      </c>
      <c r="E141">
        <v>0</v>
      </c>
      <c r="F141">
        <v>0</v>
      </c>
      <c r="G141">
        <v>0</v>
      </c>
    </row>
    <row r="142" spans="1:7" x14ac:dyDescent="0.2">
      <c r="A142" t="s">
        <v>1953</v>
      </c>
      <c r="B142">
        <v>0</v>
      </c>
      <c r="C142">
        <v>0</v>
      </c>
      <c r="D142">
        <v>0</v>
      </c>
      <c r="E142">
        <v>1</v>
      </c>
      <c r="F142">
        <v>1</v>
      </c>
      <c r="G142">
        <v>2</v>
      </c>
    </row>
    <row r="143" spans="1:7" x14ac:dyDescent="0.2">
      <c r="A143" t="s">
        <v>1958</v>
      </c>
      <c r="B143">
        <v>0</v>
      </c>
      <c r="C143">
        <v>0</v>
      </c>
      <c r="D143">
        <v>0</v>
      </c>
      <c r="E143">
        <v>0</v>
      </c>
      <c r="F143">
        <v>0</v>
      </c>
      <c r="G143">
        <v>0</v>
      </c>
    </row>
    <row r="144" spans="1:7" x14ac:dyDescent="0.2">
      <c r="A144" t="s">
        <v>1964</v>
      </c>
      <c r="B144">
        <v>0</v>
      </c>
      <c r="C144">
        <v>0</v>
      </c>
      <c r="D144">
        <v>0</v>
      </c>
      <c r="E144">
        <v>0</v>
      </c>
      <c r="F144">
        <v>0</v>
      </c>
      <c r="G144">
        <v>0</v>
      </c>
    </row>
    <row r="145" spans="1:7" x14ac:dyDescent="0.2">
      <c r="A145" t="s">
        <v>1973</v>
      </c>
      <c r="B145">
        <v>0</v>
      </c>
      <c r="C145">
        <v>0</v>
      </c>
      <c r="D145">
        <v>0</v>
      </c>
      <c r="E145">
        <v>0</v>
      </c>
      <c r="F145">
        <v>0</v>
      </c>
      <c r="G145">
        <v>0</v>
      </c>
    </row>
    <row r="146" spans="1:7" x14ac:dyDescent="0.2">
      <c r="A146" t="s">
        <v>1978</v>
      </c>
      <c r="B146">
        <v>0</v>
      </c>
      <c r="C146">
        <v>0</v>
      </c>
      <c r="D146">
        <v>0</v>
      </c>
      <c r="E146">
        <v>0</v>
      </c>
      <c r="F146">
        <v>0</v>
      </c>
      <c r="G146">
        <v>0</v>
      </c>
    </row>
    <row r="147" spans="1:7" x14ac:dyDescent="0.2">
      <c r="A147" t="s">
        <v>1983</v>
      </c>
      <c r="B147">
        <v>14</v>
      </c>
      <c r="C147">
        <v>0</v>
      </c>
      <c r="D147">
        <v>0</v>
      </c>
      <c r="E147">
        <v>4</v>
      </c>
      <c r="F147">
        <v>0</v>
      </c>
      <c r="G147">
        <v>18</v>
      </c>
    </row>
    <row r="148" spans="1:7" x14ac:dyDescent="0.2">
      <c r="A148" t="s">
        <v>1984</v>
      </c>
      <c r="B148">
        <v>0</v>
      </c>
      <c r="C148">
        <v>0</v>
      </c>
      <c r="D148">
        <v>0</v>
      </c>
      <c r="E148">
        <v>0</v>
      </c>
      <c r="F148">
        <v>0</v>
      </c>
      <c r="G148">
        <v>0</v>
      </c>
    </row>
    <row r="149" spans="1:7" x14ac:dyDescent="0.2">
      <c r="A149" t="s">
        <v>1990</v>
      </c>
      <c r="B149">
        <v>0</v>
      </c>
      <c r="C149">
        <v>0</v>
      </c>
      <c r="D149">
        <v>0</v>
      </c>
      <c r="E149">
        <v>0</v>
      </c>
      <c r="F149">
        <v>0</v>
      </c>
      <c r="G149">
        <v>0</v>
      </c>
    </row>
    <row r="150" spans="1:7" x14ac:dyDescent="0.2">
      <c r="A150" t="s">
        <v>1996</v>
      </c>
      <c r="B150">
        <v>0</v>
      </c>
      <c r="C150">
        <v>0</v>
      </c>
      <c r="D150">
        <v>0</v>
      </c>
      <c r="E150">
        <v>0</v>
      </c>
      <c r="F150">
        <v>0</v>
      </c>
      <c r="G150">
        <v>0</v>
      </c>
    </row>
    <row r="151" spans="1:7" x14ac:dyDescent="0.2">
      <c r="A151" t="s">
        <v>1998</v>
      </c>
      <c r="B151">
        <v>0</v>
      </c>
      <c r="C151">
        <v>0</v>
      </c>
      <c r="D151">
        <v>0</v>
      </c>
      <c r="E151">
        <v>0</v>
      </c>
      <c r="F151">
        <v>0</v>
      </c>
      <c r="G151">
        <v>0</v>
      </c>
    </row>
    <row r="152" spans="1:7" x14ac:dyDescent="0.2">
      <c r="A152" t="s">
        <v>1999</v>
      </c>
      <c r="B152">
        <v>0</v>
      </c>
      <c r="C152">
        <v>0</v>
      </c>
      <c r="D152">
        <v>0</v>
      </c>
      <c r="E152">
        <v>0</v>
      </c>
      <c r="F152">
        <v>0</v>
      </c>
      <c r="G152">
        <v>0</v>
      </c>
    </row>
    <row r="153" spans="1:7" x14ac:dyDescent="0.2">
      <c r="A153" t="s">
        <v>2004</v>
      </c>
      <c r="B153">
        <v>0</v>
      </c>
      <c r="C153">
        <v>0</v>
      </c>
      <c r="D153">
        <v>0</v>
      </c>
      <c r="E153">
        <v>0</v>
      </c>
      <c r="F153">
        <v>0</v>
      </c>
      <c r="G153">
        <v>0</v>
      </c>
    </row>
    <row r="154" spans="1:7" x14ac:dyDescent="0.2">
      <c r="A154" t="s">
        <v>2009</v>
      </c>
      <c r="B154">
        <v>0</v>
      </c>
      <c r="C154">
        <v>0</v>
      </c>
      <c r="D154">
        <v>0</v>
      </c>
      <c r="E154">
        <v>0</v>
      </c>
      <c r="F154">
        <v>0</v>
      </c>
      <c r="G154">
        <v>0</v>
      </c>
    </row>
    <row r="155" spans="1:7" x14ac:dyDescent="0.2">
      <c r="A155" t="s">
        <v>2014</v>
      </c>
      <c r="B155">
        <v>0</v>
      </c>
      <c r="C155">
        <v>0</v>
      </c>
      <c r="D155">
        <v>0</v>
      </c>
      <c r="E155">
        <v>0</v>
      </c>
      <c r="F155">
        <v>0</v>
      </c>
      <c r="G155">
        <v>0</v>
      </c>
    </row>
    <row r="156" spans="1:7" x14ac:dyDescent="0.2">
      <c r="A156" t="s">
        <v>2019</v>
      </c>
      <c r="B156">
        <v>0</v>
      </c>
      <c r="C156">
        <v>0</v>
      </c>
      <c r="D156">
        <v>0</v>
      </c>
      <c r="E156">
        <v>0</v>
      </c>
      <c r="F156">
        <v>0</v>
      </c>
      <c r="G156">
        <v>0</v>
      </c>
    </row>
    <row r="157" spans="1:7" x14ac:dyDescent="0.2">
      <c r="A157" t="s">
        <v>2023</v>
      </c>
      <c r="B157">
        <v>0</v>
      </c>
      <c r="C157">
        <v>0</v>
      </c>
      <c r="D157">
        <v>0</v>
      </c>
      <c r="E157">
        <v>0</v>
      </c>
      <c r="F157">
        <v>0</v>
      </c>
      <c r="G157">
        <v>0</v>
      </c>
    </row>
    <row r="158" spans="1:7" x14ac:dyDescent="0.2">
      <c r="A158" t="s">
        <v>2026</v>
      </c>
      <c r="B158">
        <v>0</v>
      </c>
      <c r="C158">
        <v>0</v>
      </c>
      <c r="D158">
        <v>0</v>
      </c>
      <c r="E158">
        <v>0</v>
      </c>
      <c r="F158">
        <v>0</v>
      </c>
      <c r="G158">
        <v>0</v>
      </c>
    </row>
    <row r="159" spans="1:7" x14ac:dyDescent="0.2">
      <c r="A159" t="s">
        <v>2030</v>
      </c>
      <c r="B159">
        <v>0</v>
      </c>
      <c r="C159">
        <v>0</v>
      </c>
      <c r="D159">
        <v>0</v>
      </c>
      <c r="E159">
        <v>0</v>
      </c>
      <c r="F159">
        <v>0</v>
      </c>
      <c r="G159">
        <v>0</v>
      </c>
    </row>
    <row r="160" spans="1:7" x14ac:dyDescent="0.2">
      <c r="A160" t="s">
        <v>2035</v>
      </c>
      <c r="B160">
        <v>0</v>
      </c>
      <c r="C160">
        <v>0</v>
      </c>
      <c r="D160">
        <v>0</v>
      </c>
      <c r="E160">
        <v>0</v>
      </c>
      <c r="F160">
        <v>0</v>
      </c>
      <c r="G160">
        <v>0</v>
      </c>
    </row>
    <row r="161" spans="1:7" x14ac:dyDescent="0.2">
      <c r="A161" t="s">
        <v>2040</v>
      </c>
      <c r="B161">
        <v>0</v>
      </c>
      <c r="C161">
        <v>0</v>
      </c>
      <c r="D161">
        <v>0</v>
      </c>
      <c r="E161">
        <v>0</v>
      </c>
      <c r="F161">
        <v>0</v>
      </c>
      <c r="G161">
        <v>0</v>
      </c>
    </row>
    <row r="162" spans="1:7" x14ac:dyDescent="0.2">
      <c r="A162" t="s">
        <v>2045</v>
      </c>
      <c r="B162">
        <v>0</v>
      </c>
      <c r="C162">
        <v>0</v>
      </c>
      <c r="D162">
        <v>0</v>
      </c>
      <c r="E162">
        <v>0</v>
      </c>
      <c r="F162">
        <v>0</v>
      </c>
      <c r="G162">
        <v>0</v>
      </c>
    </row>
    <row r="163" spans="1:7" x14ac:dyDescent="0.2">
      <c r="A163" t="s">
        <v>2049</v>
      </c>
      <c r="B163">
        <v>0</v>
      </c>
      <c r="C163">
        <v>0</v>
      </c>
      <c r="D163">
        <v>0</v>
      </c>
      <c r="E163">
        <v>0</v>
      </c>
      <c r="F163">
        <v>12</v>
      </c>
      <c r="G163">
        <v>12</v>
      </c>
    </row>
    <row r="164" spans="1:7" x14ac:dyDescent="0.2">
      <c r="A164" t="s">
        <v>2051</v>
      </c>
      <c r="B164">
        <v>0</v>
      </c>
      <c r="C164">
        <v>0</v>
      </c>
      <c r="D164">
        <v>0</v>
      </c>
      <c r="E164">
        <v>0</v>
      </c>
      <c r="F164">
        <v>8</v>
      </c>
      <c r="G164">
        <v>8</v>
      </c>
    </row>
    <row r="165" spans="1:7" x14ac:dyDescent="0.2">
      <c r="A165" t="s">
        <v>2057</v>
      </c>
      <c r="B165">
        <v>0</v>
      </c>
      <c r="C165">
        <v>0</v>
      </c>
      <c r="D165">
        <v>0</v>
      </c>
      <c r="E165">
        <v>1</v>
      </c>
      <c r="F165">
        <v>13</v>
      </c>
      <c r="G165">
        <v>14</v>
      </c>
    </row>
    <row r="166" spans="1:7" x14ac:dyDescent="0.2">
      <c r="A166" t="s">
        <v>4344</v>
      </c>
      <c r="B166">
        <v>0</v>
      </c>
      <c r="C166">
        <v>0</v>
      </c>
      <c r="D166">
        <v>0</v>
      </c>
      <c r="E166">
        <v>0</v>
      </c>
      <c r="F166">
        <v>0</v>
      </c>
      <c r="G166">
        <v>1</v>
      </c>
    </row>
    <row r="167" spans="1:7" x14ac:dyDescent="0.2">
      <c r="A167" t="s">
        <v>4345</v>
      </c>
      <c r="B167">
        <v>0</v>
      </c>
      <c r="C167">
        <v>0</v>
      </c>
      <c r="D167">
        <v>0</v>
      </c>
      <c r="E167">
        <v>1</v>
      </c>
      <c r="F167">
        <v>10</v>
      </c>
      <c r="G167">
        <v>11</v>
      </c>
    </row>
    <row r="168" spans="1:7" x14ac:dyDescent="0.2">
      <c r="A168" t="s">
        <v>2074</v>
      </c>
      <c r="B168">
        <v>0</v>
      </c>
      <c r="C168">
        <v>0</v>
      </c>
      <c r="D168">
        <v>0</v>
      </c>
      <c r="E168">
        <v>0</v>
      </c>
      <c r="F168">
        <v>0</v>
      </c>
      <c r="G168">
        <v>0</v>
      </c>
    </row>
    <row r="169" spans="1:7" x14ac:dyDescent="0.2">
      <c r="A169" t="s">
        <v>2079</v>
      </c>
      <c r="B169">
        <v>0</v>
      </c>
      <c r="C169">
        <v>0</v>
      </c>
      <c r="D169">
        <v>0</v>
      </c>
      <c r="E169">
        <v>0</v>
      </c>
      <c r="F169">
        <v>0</v>
      </c>
      <c r="G169">
        <v>0</v>
      </c>
    </row>
    <row r="170" spans="1:7" x14ac:dyDescent="0.2">
      <c r="A170" t="s">
        <v>2085</v>
      </c>
      <c r="B170">
        <v>0</v>
      </c>
      <c r="C170">
        <v>0</v>
      </c>
      <c r="D170">
        <v>0</v>
      </c>
      <c r="E170">
        <v>0</v>
      </c>
      <c r="F170">
        <v>0</v>
      </c>
      <c r="G170">
        <v>0</v>
      </c>
    </row>
    <row r="171" spans="1:7" x14ac:dyDescent="0.2">
      <c r="A171" t="s">
        <v>2091</v>
      </c>
      <c r="B171">
        <v>0</v>
      </c>
      <c r="C171">
        <v>0</v>
      </c>
      <c r="D171">
        <v>0</v>
      </c>
      <c r="E171">
        <v>0</v>
      </c>
      <c r="F171">
        <v>0</v>
      </c>
      <c r="G171">
        <v>0</v>
      </c>
    </row>
    <row r="172" spans="1:7" x14ac:dyDescent="0.2">
      <c r="A172" t="s">
        <v>2097</v>
      </c>
      <c r="B172">
        <v>0</v>
      </c>
      <c r="C172">
        <v>0</v>
      </c>
      <c r="D172">
        <v>0</v>
      </c>
      <c r="E172">
        <v>0</v>
      </c>
      <c r="F172">
        <v>0</v>
      </c>
      <c r="G172">
        <v>0</v>
      </c>
    </row>
    <row r="173" spans="1:7" x14ac:dyDescent="0.2">
      <c r="A173" t="s">
        <v>2101</v>
      </c>
      <c r="B173">
        <v>0</v>
      </c>
      <c r="C173">
        <v>0</v>
      </c>
      <c r="D173">
        <v>0</v>
      </c>
      <c r="E173">
        <v>0</v>
      </c>
      <c r="F173">
        <v>0</v>
      </c>
      <c r="G173">
        <v>0</v>
      </c>
    </row>
    <row r="174" spans="1:7" x14ac:dyDescent="0.2">
      <c r="A174" t="s">
        <v>2104</v>
      </c>
      <c r="B174">
        <v>0</v>
      </c>
      <c r="C174">
        <v>0</v>
      </c>
      <c r="D174">
        <v>0</v>
      </c>
      <c r="E174">
        <v>0</v>
      </c>
      <c r="F174">
        <v>0</v>
      </c>
      <c r="G174">
        <v>0</v>
      </c>
    </row>
    <row r="175" spans="1:7" x14ac:dyDescent="0.2">
      <c r="A175" t="s">
        <v>2107</v>
      </c>
      <c r="B175">
        <v>0</v>
      </c>
      <c r="C175">
        <v>0</v>
      </c>
      <c r="D175">
        <v>0</v>
      </c>
      <c r="E175">
        <v>0</v>
      </c>
      <c r="F175">
        <v>0</v>
      </c>
      <c r="G175">
        <v>0</v>
      </c>
    </row>
    <row r="176" spans="1:7" x14ac:dyDescent="0.2">
      <c r="A176" t="s">
        <v>2110</v>
      </c>
      <c r="B176">
        <v>0</v>
      </c>
      <c r="C176">
        <v>0</v>
      </c>
      <c r="D176">
        <v>0</v>
      </c>
      <c r="E176">
        <v>0</v>
      </c>
      <c r="F176">
        <v>0</v>
      </c>
      <c r="G176">
        <v>0</v>
      </c>
    </row>
    <row r="177" spans="1:7" x14ac:dyDescent="0.2">
      <c r="A177" t="s">
        <v>2113</v>
      </c>
      <c r="B177">
        <v>0</v>
      </c>
      <c r="C177">
        <v>0</v>
      </c>
      <c r="D177">
        <v>0</v>
      </c>
      <c r="E177">
        <v>0</v>
      </c>
      <c r="F177">
        <v>0</v>
      </c>
      <c r="G177">
        <v>0</v>
      </c>
    </row>
    <row r="178" spans="1:7" x14ac:dyDescent="0.2">
      <c r="A178" t="s">
        <v>4346</v>
      </c>
      <c r="B178">
        <v>0</v>
      </c>
      <c r="C178">
        <v>0</v>
      </c>
      <c r="D178">
        <v>0</v>
      </c>
      <c r="E178">
        <v>0</v>
      </c>
      <c r="F178">
        <v>0</v>
      </c>
      <c r="G178">
        <v>0</v>
      </c>
    </row>
    <row r="179" spans="1:7" x14ac:dyDescent="0.2">
      <c r="A179" t="s">
        <v>4347</v>
      </c>
      <c r="B179">
        <v>0</v>
      </c>
      <c r="C179">
        <v>0</v>
      </c>
      <c r="D179">
        <v>0</v>
      </c>
      <c r="E179">
        <v>0</v>
      </c>
      <c r="F179">
        <v>0</v>
      </c>
      <c r="G179">
        <v>0</v>
      </c>
    </row>
    <row r="180" spans="1:7" x14ac:dyDescent="0.2">
      <c r="A180" t="s">
        <v>4348</v>
      </c>
      <c r="B180">
        <v>0</v>
      </c>
      <c r="C180">
        <v>0</v>
      </c>
      <c r="D180">
        <v>0</v>
      </c>
      <c r="E180">
        <v>0</v>
      </c>
      <c r="F180">
        <v>0</v>
      </c>
      <c r="G180">
        <v>0</v>
      </c>
    </row>
    <row r="181" spans="1:7" x14ac:dyDescent="0.2">
      <c r="A181" t="s">
        <v>4349</v>
      </c>
      <c r="B181">
        <v>0</v>
      </c>
      <c r="C181">
        <v>0</v>
      </c>
      <c r="D181">
        <v>0</v>
      </c>
      <c r="E181">
        <v>0</v>
      </c>
      <c r="F181">
        <v>0</v>
      </c>
      <c r="G181">
        <v>0</v>
      </c>
    </row>
    <row r="182" spans="1:7" x14ac:dyDescent="0.2">
      <c r="A182" t="s">
        <v>4350</v>
      </c>
      <c r="B182">
        <v>0</v>
      </c>
      <c r="C182">
        <v>2</v>
      </c>
      <c r="D182">
        <v>8</v>
      </c>
      <c r="E182">
        <v>0</v>
      </c>
      <c r="F182">
        <v>0</v>
      </c>
      <c r="G182">
        <v>10</v>
      </c>
    </row>
    <row r="183" spans="1:7" x14ac:dyDescent="0.2">
      <c r="A183" t="s">
        <v>4351</v>
      </c>
      <c r="B183">
        <v>0</v>
      </c>
      <c r="C183">
        <v>0</v>
      </c>
      <c r="D183">
        <v>0</v>
      </c>
      <c r="E183">
        <v>0</v>
      </c>
      <c r="F183">
        <v>0</v>
      </c>
      <c r="G183">
        <v>0</v>
      </c>
    </row>
    <row r="184" spans="1:7" x14ac:dyDescent="0.2">
      <c r="A184" t="s">
        <v>4352</v>
      </c>
      <c r="B184">
        <v>0</v>
      </c>
      <c r="C184">
        <v>0</v>
      </c>
      <c r="D184">
        <v>0</v>
      </c>
      <c r="E184">
        <v>0</v>
      </c>
      <c r="F184">
        <v>0</v>
      </c>
      <c r="G184">
        <v>0</v>
      </c>
    </row>
    <row r="185" spans="1:7" x14ac:dyDescent="0.2">
      <c r="A185" t="s">
        <v>4353</v>
      </c>
      <c r="B185">
        <v>2</v>
      </c>
      <c r="C185">
        <v>134</v>
      </c>
      <c r="D185">
        <v>50</v>
      </c>
      <c r="E185">
        <v>3</v>
      </c>
      <c r="F185">
        <v>0</v>
      </c>
      <c r="G185">
        <v>189</v>
      </c>
    </row>
    <row r="186" spans="1:7" x14ac:dyDescent="0.2">
      <c r="A186" t="s">
        <v>4354</v>
      </c>
      <c r="B186">
        <v>14</v>
      </c>
      <c r="C186">
        <v>133</v>
      </c>
      <c r="D186">
        <v>41</v>
      </c>
      <c r="E186">
        <v>1</v>
      </c>
      <c r="F186">
        <v>0</v>
      </c>
      <c r="G186">
        <v>188</v>
      </c>
    </row>
    <row r="187" spans="1:7" x14ac:dyDescent="0.2">
      <c r="A187" t="s">
        <v>4355</v>
      </c>
      <c r="B187">
        <v>0</v>
      </c>
      <c r="C187">
        <v>0</v>
      </c>
      <c r="D187">
        <v>0</v>
      </c>
      <c r="E187">
        <v>0</v>
      </c>
      <c r="F187">
        <v>0</v>
      </c>
      <c r="G187">
        <v>0</v>
      </c>
    </row>
    <row r="188" spans="1:7" x14ac:dyDescent="0.2">
      <c r="A188" t="s">
        <v>4356</v>
      </c>
      <c r="B188">
        <v>0</v>
      </c>
      <c r="C188">
        <v>0</v>
      </c>
      <c r="D188">
        <v>0</v>
      </c>
      <c r="E188">
        <v>0</v>
      </c>
      <c r="F188">
        <v>0</v>
      </c>
      <c r="G188">
        <v>0</v>
      </c>
    </row>
    <row r="189" spans="1:7" x14ac:dyDescent="0.2">
      <c r="A189" t="s">
        <v>4357</v>
      </c>
      <c r="B189">
        <v>0</v>
      </c>
      <c r="C189">
        <v>7</v>
      </c>
      <c r="D189">
        <v>0</v>
      </c>
      <c r="E189">
        <v>0</v>
      </c>
      <c r="F189">
        <v>0</v>
      </c>
      <c r="G189">
        <v>7</v>
      </c>
    </row>
    <row r="190" spans="1:7" x14ac:dyDescent="0.2">
      <c r="A190" t="s">
        <v>4358</v>
      </c>
      <c r="B190">
        <v>0</v>
      </c>
      <c r="C190">
        <v>1</v>
      </c>
      <c r="D190">
        <v>0</v>
      </c>
      <c r="E190">
        <v>0</v>
      </c>
      <c r="F190">
        <v>0</v>
      </c>
      <c r="G190">
        <v>1</v>
      </c>
    </row>
    <row r="191" spans="1:7" x14ac:dyDescent="0.2">
      <c r="A191" t="s">
        <v>4359</v>
      </c>
      <c r="B191">
        <v>0</v>
      </c>
      <c r="C191">
        <v>0</v>
      </c>
      <c r="D191">
        <v>0</v>
      </c>
      <c r="E191">
        <v>0</v>
      </c>
      <c r="F191">
        <v>0</v>
      </c>
      <c r="G191">
        <v>0</v>
      </c>
    </row>
    <row r="192" spans="1:7" x14ac:dyDescent="0.2">
      <c r="A192" t="s">
        <v>4360</v>
      </c>
      <c r="B192">
        <v>0</v>
      </c>
      <c r="C192">
        <v>0</v>
      </c>
      <c r="D192">
        <v>0</v>
      </c>
      <c r="E192">
        <v>21</v>
      </c>
      <c r="F192">
        <v>1</v>
      </c>
      <c r="G192">
        <v>22</v>
      </c>
    </row>
    <row r="193" spans="1:7" x14ac:dyDescent="0.2">
      <c r="A193" t="s">
        <v>4361</v>
      </c>
      <c r="B193">
        <v>0</v>
      </c>
      <c r="C193">
        <v>0</v>
      </c>
      <c r="D193">
        <v>45</v>
      </c>
      <c r="E193">
        <v>1</v>
      </c>
      <c r="F193">
        <v>0</v>
      </c>
      <c r="G193">
        <v>46</v>
      </c>
    </row>
    <row r="194" spans="1:7" x14ac:dyDescent="0.2">
      <c r="A194" t="s">
        <v>4362</v>
      </c>
      <c r="B194">
        <v>0</v>
      </c>
      <c r="C194">
        <v>0</v>
      </c>
      <c r="D194">
        <v>0</v>
      </c>
      <c r="E194">
        <v>0</v>
      </c>
      <c r="F194">
        <v>0</v>
      </c>
      <c r="G194">
        <v>0</v>
      </c>
    </row>
    <row r="195" spans="1:7" x14ac:dyDescent="0.2">
      <c r="A195" t="s">
        <v>4363</v>
      </c>
      <c r="B195">
        <v>0</v>
      </c>
      <c r="C195">
        <v>0</v>
      </c>
      <c r="D195">
        <v>0</v>
      </c>
      <c r="E195">
        <v>0</v>
      </c>
      <c r="F195">
        <v>0</v>
      </c>
      <c r="G195">
        <v>0</v>
      </c>
    </row>
    <row r="196" spans="1:7" x14ac:dyDescent="0.2">
      <c r="A196" t="s">
        <v>4364</v>
      </c>
      <c r="B196">
        <v>0</v>
      </c>
      <c r="C196">
        <v>0</v>
      </c>
      <c r="D196">
        <v>0</v>
      </c>
      <c r="E196">
        <v>0</v>
      </c>
      <c r="F196">
        <v>0</v>
      </c>
      <c r="G196">
        <v>0</v>
      </c>
    </row>
    <row r="197" spans="1:7" x14ac:dyDescent="0.2">
      <c r="A197" t="s">
        <v>4365</v>
      </c>
      <c r="B197">
        <v>1</v>
      </c>
      <c r="C197">
        <v>14</v>
      </c>
      <c r="D197">
        <v>5</v>
      </c>
      <c r="E197">
        <v>0</v>
      </c>
      <c r="F197">
        <v>0</v>
      </c>
      <c r="G197">
        <v>21</v>
      </c>
    </row>
    <row r="198" spans="1:7" x14ac:dyDescent="0.2">
      <c r="A198" t="s">
        <v>4366</v>
      </c>
      <c r="B198">
        <v>0</v>
      </c>
      <c r="C198">
        <v>0</v>
      </c>
      <c r="D198">
        <v>0</v>
      </c>
      <c r="E198">
        <v>0</v>
      </c>
      <c r="F198">
        <v>0</v>
      </c>
      <c r="G198">
        <v>0</v>
      </c>
    </row>
    <row r="199" spans="1:7" x14ac:dyDescent="0.2">
      <c r="A199" t="s">
        <v>4367</v>
      </c>
      <c r="B199">
        <v>0</v>
      </c>
      <c r="C199">
        <v>0</v>
      </c>
      <c r="D199">
        <v>0</v>
      </c>
      <c r="E199">
        <v>0</v>
      </c>
      <c r="F199">
        <v>0</v>
      </c>
      <c r="G199">
        <v>0</v>
      </c>
    </row>
    <row r="200" spans="1:7" x14ac:dyDescent="0.2">
      <c r="A200" t="s">
        <v>4368</v>
      </c>
      <c r="B200">
        <v>20</v>
      </c>
      <c r="C200">
        <v>61</v>
      </c>
      <c r="D200">
        <v>78</v>
      </c>
      <c r="E200">
        <v>150</v>
      </c>
      <c r="F200">
        <v>14</v>
      </c>
      <c r="G200">
        <v>323</v>
      </c>
    </row>
    <row r="201" spans="1:7" x14ac:dyDescent="0.2">
      <c r="A201" t="s">
        <v>4369</v>
      </c>
      <c r="B201">
        <v>11</v>
      </c>
      <c r="C201">
        <v>176</v>
      </c>
      <c r="D201">
        <v>305</v>
      </c>
      <c r="E201">
        <v>5</v>
      </c>
      <c r="F201">
        <v>0</v>
      </c>
      <c r="G201">
        <v>496</v>
      </c>
    </row>
    <row r="202" spans="1:7" x14ac:dyDescent="0.2">
      <c r="A202" t="s">
        <v>4370</v>
      </c>
      <c r="B202">
        <v>29</v>
      </c>
      <c r="C202">
        <v>24</v>
      </c>
      <c r="D202">
        <v>17</v>
      </c>
      <c r="E202">
        <v>1</v>
      </c>
      <c r="F202">
        <v>0</v>
      </c>
      <c r="G202">
        <v>72</v>
      </c>
    </row>
    <row r="203" spans="1:7" x14ac:dyDescent="0.2">
      <c r="A203" t="s">
        <v>4371</v>
      </c>
      <c r="B203">
        <v>8</v>
      </c>
      <c r="C203">
        <v>7</v>
      </c>
      <c r="D203">
        <v>18</v>
      </c>
      <c r="E203">
        <v>2</v>
      </c>
      <c r="F203">
        <v>0</v>
      </c>
      <c r="G203">
        <v>34</v>
      </c>
    </row>
    <row r="204" spans="1:7" x14ac:dyDescent="0.2">
      <c r="A204" t="s">
        <v>4372</v>
      </c>
      <c r="B204">
        <v>0</v>
      </c>
      <c r="C204">
        <v>0</v>
      </c>
      <c r="D204">
        <v>0</v>
      </c>
      <c r="E204">
        <v>0</v>
      </c>
      <c r="F204">
        <v>0</v>
      </c>
      <c r="G204">
        <v>0</v>
      </c>
    </row>
    <row r="205" spans="1:7" x14ac:dyDescent="0.2">
      <c r="A205" t="s">
        <v>4373</v>
      </c>
      <c r="B205">
        <v>0</v>
      </c>
      <c r="C205">
        <v>2</v>
      </c>
      <c r="D205">
        <v>0</v>
      </c>
      <c r="E205">
        <v>0</v>
      </c>
      <c r="F205">
        <v>0</v>
      </c>
      <c r="G205">
        <v>2</v>
      </c>
    </row>
    <row r="206" spans="1:7" x14ac:dyDescent="0.2">
      <c r="A206" t="s">
        <v>4374</v>
      </c>
      <c r="B206">
        <v>0</v>
      </c>
      <c r="C206">
        <v>0</v>
      </c>
      <c r="D206">
        <v>0</v>
      </c>
      <c r="E206">
        <v>0</v>
      </c>
      <c r="F206">
        <v>0</v>
      </c>
      <c r="G206">
        <v>0</v>
      </c>
    </row>
    <row r="207" spans="1:7" x14ac:dyDescent="0.2">
      <c r="A207" t="s">
        <v>4375</v>
      </c>
      <c r="B207">
        <v>0</v>
      </c>
      <c r="C207">
        <v>0</v>
      </c>
      <c r="D207">
        <v>0</v>
      </c>
      <c r="E207">
        <v>0</v>
      </c>
      <c r="F207">
        <v>0</v>
      </c>
      <c r="G207">
        <v>0</v>
      </c>
    </row>
    <row r="208" spans="1:7" x14ac:dyDescent="0.2">
      <c r="A208" t="s">
        <v>4376</v>
      </c>
      <c r="B208">
        <v>0</v>
      </c>
      <c r="C208">
        <v>0</v>
      </c>
      <c r="D208">
        <v>0</v>
      </c>
      <c r="E208">
        <v>0</v>
      </c>
      <c r="F208">
        <v>0</v>
      </c>
      <c r="G208">
        <v>0</v>
      </c>
    </row>
    <row r="209" spans="1:10" x14ac:dyDescent="0.2">
      <c r="A209" t="s">
        <v>4377</v>
      </c>
      <c r="B209">
        <v>0</v>
      </c>
      <c r="C209">
        <v>0</v>
      </c>
      <c r="D209">
        <v>0</v>
      </c>
      <c r="E209">
        <v>0</v>
      </c>
      <c r="F209">
        <v>0</v>
      </c>
      <c r="G209">
        <v>0</v>
      </c>
    </row>
    <row r="210" spans="1:10" x14ac:dyDescent="0.2">
      <c r="A210" t="s">
        <v>2318</v>
      </c>
      <c r="B210" t="s">
        <v>2319</v>
      </c>
      <c r="C210" t="s">
        <v>2319</v>
      </c>
      <c r="D210" t="s">
        <v>2319</v>
      </c>
      <c r="E210" t="s">
        <v>2319</v>
      </c>
      <c r="F210" t="s">
        <v>2319</v>
      </c>
      <c r="G210" t="s">
        <v>2319</v>
      </c>
    </row>
    <row r="211" spans="1:10" x14ac:dyDescent="0.2">
      <c r="A211" t="s">
        <v>4248</v>
      </c>
    </row>
    <row r="212" spans="1:10" x14ac:dyDescent="0.2">
      <c r="A212" t="s">
        <v>4250</v>
      </c>
      <c r="C212" t="s">
        <v>4251</v>
      </c>
      <c r="G212" t="s">
        <v>7531</v>
      </c>
      <c r="J212"/>
    </row>
    <row r="213" spans="1:10" x14ac:dyDescent="0.2">
      <c r="A213" t="s">
        <v>4925</v>
      </c>
      <c r="G213" t="s">
        <v>7537</v>
      </c>
      <c r="J213"/>
    </row>
    <row r="214" spans="1:10" x14ac:dyDescent="0.2">
      <c r="A214" t="s">
        <v>7530</v>
      </c>
      <c r="J214"/>
    </row>
    <row r="215" spans="1:10" x14ac:dyDescent="0.2">
      <c r="A215" t="s">
        <v>4930</v>
      </c>
      <c r="J215"/>
    </row>
    <row r="216" spans="1:10" x14ac:dyDescent="0.2">
      <c r="J216"/>
    </row>
    <row r="217" spans="1:10" x14ac:dyDescent="0.2">
      <c r="A217" t="s">
        <v>4259</v>
      </c>
      <c r="J217"/>
    </row>
    <row r="218" spans="1:10" x14ac:dyDescent="0.2">
      <c r="A218" t="s">
        <v>2318</v>
      </c>
      <c r="B218" t="s">
        <v>2319</v>
      </c>
      <c r="C218" t="s">
        <v>2319</v>
      </c>
      <c r="D218" t="s">
        <v>2319</v>
      </c>
      <c r="E218" t="s">
        <v>2319</v>
      </c>
      <c r="F218" t="s">
        <v>2319</v>
      </c>
      <c r="G218" t="s">
        <v>2319</v>
      </c>
    </row>
    <row r="219" spans="1:10" x14ac:dyDescent="0.2">
      <c r="A219" t="s">
        <v>174</v>
      </c>
      <c r="B219" t="s">
        <v>4945</v>
      </c>
      <c r="C219" t="s">
        <v>4946</v>
      </c>
      <c r="D219" t="s">
        <v>4947</v>
      </c>
      <c r="E219" t="s">
        <v>4948</v>
      </c>
      <c r="F219" t="s">
        <v>4949</v>
      </c>
    </row>
    <row r="220" spans="1:10" x14ac:dyDescent="0.2">
      <c r="A220" t="s">
        <v>126</v>
      </c>
      <c r="B220" t="s">
        <v>4262</v>
      </c>
      <c r="C220" t="s">
        <v>4263</v>
      </c>
      <c r="D220" t="s">
        <v>4264</v>
      </c>
      <c r="E220" t="s">
        <v>2308</v>
      </c>
      <c r="F220" t="s">
        <v>615</v>
      </c>
      <c r="G220" t="s">
        <v>236</v>
      </c>
    </row>
    <row r="221" spans="1:10" x14ac:dyDescent="0.2">
      <c r="A221" t="s">
        <v>2318</v>
      </c>
      <c r="B221" t="s">
        <v>2319</v>
      </c>
      <c r="C221" t="s">
        <v>2319</v>
      </c>
      <c r="D221" t="s">
        <v>2319</v>
      </c>
      <c r="E221" t="s">
        <v>2319</v>
      </c>
      <c r="F221" t="s">
        <v>2319</v>
      </c>
      <c r="G221" t="s">
        <v>2319</v>
      </c>
    </row>
    <row r="222" spans="1:10" x14ac:dyDescent="0.2">
      <c r="A222" t="s">
        <v>4265</v>
      </c>
      <c r="B222">
        <v>0</v>
      </c>
      <c r="C222">
        <v>0</v>
      </c>
      <c r="D222">
        <v>0</v>
      </c>
      <c r="E222">
        <v>0</v>
      </c>
      <c r="F222">
        <v>0</v>
      </c>
      <c r="G222">
        <v>0</v>
      </c>
    </row>
    <row r="223" spans="1:10" x14ac:dyDescent="0.2">
      <c r="A223" t="s">
        <v>4266</v>
      </c>
      <c r="B223">
        <v>0</v>
      </c>
      <c r="C223">
        <v>0</v>
      </c>
      <c r="D223">
        <v>0</v>
      </c>
      <c r="E223">
        <v>0</v>
      </c>
      <c r="F223">
        <v>0</v>
      </c>
      <c r="G223">
        <v>0</v>
      </c>
    </row>
    <row r="224" spans="1:10" x14ac:dyDescent="0.2">
      <c r="A224" t="s">
        <v>4267</v>
      </c>
      <c r="B224">
        <v>0</v>
      </c>
      <c r="C224">
        <v>0</v>
      </c>
      <c r="D224">
        <v>0</v>
      </c>
      <c r="E224">
        <v>0</v>
      </c>
      <c r="F224">
        <v>0</v>
      </c>
      <c r="G224">
        <v>0</v>
      </c>
    </row>
    <row r="225" spans="1:7" x14ac:dyDescent="0.2">
      <c r="A225" t="s">
        <v>4268</v>
      </c>
      <c r="B225">
        <v>0</v>
      </c>
      <c r="C225">
        <v>0</v>
      </c>
      <c r="D225">
        <v>0</v>
      </c>
      <c r="E225">
        <v>0</v>
      </c>
      <c r="F225">
        <v>0</v>
      </c>
      <c r="G225">
        <v>0</v>
      </c>
    </row>
    <row r="226" spans="1:7" x14ac:dyDescent="0.2">
      <c r="A226" t="s">
        <v>4269</v>
      </c>
      <c r="B226">
        <v>0</v>
      </c>
      <c r="C226">
        <v>0</v>
      </c>
      <c r="D226">
        <v>0</v>
      </c>
      <c r="E226">
        <v>0</v>
      </c>
      <c r="F226">
        <v>0</v>
      </c>
      <c r="G226">
        <v>0</v>
      </c>
    </row>
    <row r="227" spans="1:7" x14ac:dyDescent="0.2">
      <c r="A227" t="s">
        <v>4270</v>
      </c>
      <c r="B227">
        <v>0</v>
      </c>
      <c r="C227">
        <v>0</v>
      </c>
      <c r="D227">
        <v>0</v>
      </c>
      <c r="E227">
        <v>0</v>
      </c>
      <c r="F227">
        <v>0</v>
      </c>
      <c r="G227">
        <v>0</v>
      </c>
    </row>
    <row r="228" spans="1:7" x14ac:dyDescent="0.2">
      <c r="A228" t="s">
        <v>4271</v>
      </c>
      <c r="B228">
        <v>0</v>
      </c>
      <c r="C228">
        <v>0</v>
      </c>
      <c r="D228">
        <v>0</v>
      </c>
      <c r="E228">
        <v>0</v>
      </c>
      <c r="F228">
        <v>0</v>
      </c>
      <c r="G228">
        <v>0</v>
      </c>
    </row>
    <row r="229" spans="1:7" x14ac:dyDescent="0.2">
      <c r="A229" t="s">
        <v>4272</v>
      </c>
      <c r="B229">
        <v>0</v>
      </c>
      <c r="C229">
        <v>0</v>
      </c>
      <c r="D229">
        <v>0</v>
      </c>
      <c r="E229">
        <v>0</v>
      </c>
      <c r="F229">
        <v>0</v>
      </c>
      <c r="G229">
        <v>0</v>
      </c>
    </row>
    <row r="230" spans="1:7" x14ac:dyDescent="0.2">
      <c r="A230" t="s">
        <v>4273</v>
      </c>
      <c r="B230">
        <v>0</v>
      </c>
      <c r="C230">
        <v>0</v>
      </c>
      <c r="D230">
        <v>0</v>
      </c>
      <c r="E230">
        <v>0</v>
      </c>
      <c r="F230">
        <v>0</v>
      </c>
      <c r="G230">
        <v>0</v>
      </c>
    </row>
    <row r="231" spans="1:7" x14ac:dyDescent="0.2">
      <c r="A231" t="s">
        <v>4274</v>
      </c>
      <c r="B231">
        <v>0</v>
      </c>
      <c r="C231">
        <v>0</v>
      </c>
      <c r="D231">
        <v>0</v>
      </c>
      <c r="E231">
        <v>0</v>
      </c>
      <c r="F231">
        <v>0</v>
      </c>
      <c r="G231">
        <v>0</v>
      </c>
    </row>
    <row r="232" spans="1:7" x14ac:dyDescent="0.2">
      <c r="A232" t="s">
        <v>4275</v>
      </c>
      <c r="B232">
        <v>0</v>
      </c>
      <c r="C232">
        <v>0</v>
      </c>
      <c r="D232">
        <v>0</v>
      </c>
      <c r="E232">
        <v>0</v>
      </c>
      <c r="F232">
        <v>0</v>
      </c>
      <c r="G232">
        <v>0</v>
      </c>
    </row>
    <row r="233" spans="1:7" x14ac:dyDescent="0.2">
      <c r="A233" t="s">
        <v>4276</v>
      </c>
      <c r="B233">
        <v>0</v>
      </c>
      <c r="C233">
        <v>0</v>
      </c>
      <c r="D233">
        <v>0</v>
      </c>
      <c r="E233">
        <v>0</v>
      </c>
      <c r="F233">
        <v>0</v>
      </c>
      <c r="G233">
        <v>0</v>
      </c>
    </row>
    <row r="234" spans="1:7" x14ac:dyDescent="0.2">
      <c r="A234" t="s">
        <v>4277</v>
      </c>
      <c r="B234">
        <v>0</v>
      </c>
      <c r="C234">
        <v>0</v>
      </c>
      <c r="D234">
        <v>0</v>
      </c>
      <c r="E234">
        <v>0</v>
      </c>
      <c r="F234">
        <v>0</v>
      </c>
      <c r="G234">
        <v>0</v>
      </c>
    </row>
    <row r="235" spans="1:7" x14ac:dyDescent="0.2">
      <c r="A235" t="s">
        <v>4278</v>
      </c>
      <c r="B235">
        <v>0</v>
      </c>
      <c r="C235">
        <v>0</v>
      </c>
      <c r="D235">
        <v>0</v>
      </c>
      <c r="E235">
        <v>0</v>
      </c>
      <c r="F235">
        <v>0</v>
      </c>
      <c r="G235">
        <v>0</v>
      </c>
    </row>
    <row r="236" spans="1:7" x14ac:dyDescent="0.2">
      <c r="A236" t="s">
        <v>4279</v>
      </c>
      <c r="B236">
        <v>0</v>
      </c>
      <c r="C236">
        <v>0</v>
      </c>
      <c r="D236">
        <v>0</v>
      </c>
      <c r="E236">
        <v>0</v>
      </c>
      <c r="F236">
        <v>0</v>
      </c>
      <c r="G236">
        <v>0</v>
      </c>
    </row>
    <row r="237" spans="1:7" x14ac:dyDescent="0.2">
      <c r="A237" t="s">
        <v>4280</v>
      </c>
      <c r="B237">
        <v>0</v>
      </c>
      <c r="C237">
        <v>0</v>
      </c>
      <c r="D237">
        <v>0</v>
      </c>
      <c r="E237">
        <v>0</v>
      </c>
      <c r="F237">
        <v>0</v>
      </c>
      <c r="G237">
        <v>0</v>
      </c>
    </row>
    <row r="238" spans="1:7" x14ac:dyDescent="0.2">
      <c r="A238" t="s">
        <v>4281</v>
      </c>
      <c r="B238">
        <v>11</v>
      </c>
      <c r="C238">
        <v>7</v>
      </c>
      <c r="D238">
        <v>12</v>
      </c>
      <c r="E238">
        <v>0</v>
      </c>
      <c r="F238">
        <v>0</v>
      </c>
      <c r="G238">
        <v>30</v>
      </c>
    </row>
    <row r="239" spans="1:7" x14ac:dyDescent="0.2">
      <c r="A239" t="s">
        <v>4282</v>
      </c>
      <c r="B239">
        <v>12</v>
      </c>
      <c r="C239">
        <v>5</v>
      </c>
      <c r="D239">
        <v>4</v>
      </c>
      <c r="E239">
        <v>0</v>
      </c>
      <c r="F239">
        <v>0</v>
      </c>
      <c r="G239">
        <v>22</v>
      </c>
    </row>
    <row r="240" spans="1:7" x14ac:dyDescent="0.2">
      <c r="A240" t="s">
        <v>4283</v>
      </c>
      <c r="B240">
        <v>4</v>
      </c>
      <c r="C240">
        <v>1</v>
      </c>
      <c r="D240">
        <v>1</v>
      </c>
      <c r="E240">
        <v>10</v>
      </c>
      <c r="F240">
        <v>0</v>
      </c>
      <c r="G240">
        <v>16</v>
      </c>
    </row>
    <row r="241" spans="1:7" x14ac:dyDescent="0.2">
      <c r="A241" t="s">
        <v>4284</v>
      </c>
      <c r="B241">
        <v>0</v>
      </c>
      <c r="C241">
        <v>0</v>
      </c>
      <c r="D241">
        <v>0</v>
      </c>
      <c r="E241">
        <v>0</v>
      </c>
      <c r="F241">
        <v>0</v>
      </c>
      <c r="G241">
        <v>1</v>
      </c>
    </row>
    <row r="242" spans="1:7" x14ac:dyDescent="0.2">
      <c r="A242" t="s">
        <v>4285</v>
      </c>
      <c r="B242">
        <v>12</v>
      </c>
      <c r="C242">
        <v>8</v>
      </c>
      <c r="D242">
        <v>6</v>
      </c>
      <c r="E242">
        <v>8</v>
      </c>
      <c r="F242">
        <v>0</v>
      </c>
      <c r="G242">
        <v>35</v>
      </c>
    </row>
    <row r="243" spans="1:7" x14ac:dyDescent="0.2">
      <c r="A243" t="s">
        <v>4286</v>
      </c>
      <c r="B243">
        <v>3</v>
      </c>
      <c r="C243">
        <v>0</v>
      </c>
      <c r="D243">
        <v>0</v>
      </c>
      <c r="E243">
        <v>0</v>
      </c>
      <c r="F243">
        <v>0</v>
      </c>
      <c r="G243">
        <v>4</v>
      </c>
    </row>
    <row r="244" spans="1:7" x14ac:dyDescent="0.2">
      <c r="A244" t="s">
        <v>4287</v>
      </c>
      <c r="B244">
        <v>0</v>
      </c>
      <c r="C244">
        <v>0</v>
      </c>
      <c r="D244">
        <v>0</v>
      </c>
      <c r="E244">
        <v>2</v>
      </c>
      <c r="F244">
        <v>0</v>
      </c>
      <c r="G244">
        <v>2</v>
      </c>
    </row>
    <row r="245" spans="1:7" x14ac:dyDescent="0.2">
      <c r="A245" t="s">
        <v>4288</v>
      </c>
      <c r="B245">
        <v>0</v>
      </c>
      <c r="C245">
        <v>0</v>
      </c>
      <c r="D245">
        <v>0</v>
      </c>
      <c r="E245">
        <v>0</v>
      </c>
      <c r="F245">
        <v>0</v>
      </c>
      <c r="G245">
        <v>0</v>
      </c>
    </row>
    <row r="246" spans="1:7" x14ac:dyDescent="0.2">
      <c r="A246" t="s">
        <v>4289</v>
      </c>
      <c r="B246">
        <v>0</v>
      </c>
      <c r="C246">
        <v>0</v>
      </c>
      <c r="D246">
        <v>0</v>
      </c>
      <c r="E246">
        <v>0</v>
      </c>
      <c r="F246">
        <v>0</v>
      </c>
      <c r="G246">
        <v>0</v>
      </c>
    </row>
    <row r="247" spans="1:7" x14ac:dyDescent="0.2">
      <c r="A247" t="s">
        <v>4290</v>
      </c>
      <c r="B247">
        <v>0</v>
      </c>
      <c r="C247">
        <v>0</v>
      </c>
      <c r="D247">
        <v>0</v>
      </c>
      <c r="E247">
        <v>0</v>
      </c>
      <c r="F247">
        <v>0</v>
      </c>
      <c r="G247">
        <v>0</v>
      </c>
    </row>
    <row r="248" spans="1:7" x14ac:dyDescent="0.2">
      <c r="A248" t="s">
        <v>4291</v>
      </c>
      <c r="B248">
        <v>0</v>
      </c>
      <c r="C248">
        <v>0</v>
      </c>
      <c r="D248">
        <v>0</v>
      </c>
      <c r="E248">
        <v>0</v>
      </c>
      <c r="F248">
        <v>0</v>
      </c>
      <c r="G248">
        <v>0</v>
      </c>
    </row>
    <row r="249" spans="1:7" x14ac:dyDescent="0.2">
      <c r="A249" t="s">
        <v>4292</v>
      </c>
      <c r="B249">
        <v>0</v>
      </c>
      <c r="C249">
        <v>0</v>
      </c>
      <c r="D249">
        <v>0</v>
      </c>
      <c r="E249">
        <v>0</v>
      </c>
      <c r="F249">
        <v>0</v>
      </c>
      <c r="G249">
        <v>0</v>
      </c>
    </row>
    <row r="250" spans="1:7" x14ac:dyDescent="0.2">
      <c r="A250" t="s">
        <v>4293</v>
      </c>
      <c r="B250">
        <v>0</v>
      </c>
      <c r="C250">
        <v>0</v>
      </c>
      <c r="D250">
        <v>0</v>
      </c>
      <c r="E250">
        <v>0</v>
      </c>
      <c r="F250">
        <v>0</v>
      </c>
      <c r="G250">
        <v>0</v>
      </c>
    </row>
    <row r="251" spans="1:7" x14ac:dyDescent="0.2">
      <c r="A251" t="s">
        <v>4294</v>
      </c>
      <c r="B251">
        <v>0</v>
      </c>
      <c r="C251">
        <v>0</v>
      </c>
      <c r="D251">
        <v>0</v>
      </c>
      <c r="E251">
        <v>0</v>
      </c>
      <c r="F251">
        <v>0</v>
      </c>
      <c r="G251">
        <v>0</v>
      </c>
    </row>
    <row r="252" spans="1:7" x14ac:dyDescent="0.2">
      <c r="A252" t="s">
        <v>4295</v>
      </c>
      <c r="B252">
        <v>0</v>
      </c>
      <c r="C252">
        <v>0</v>
      </c>
      <c r="D252">
        <v>0</v>
      </c>
      <c r="E252">
        <v>0</v>
      </c>
      <c r="F252">
        <v>0</v>
      </c>
      <c r="G252">
        <v>0</v>
      </c>
    </row>
    <row r="253" spans="1:7" x14ac:dyDescent="0.2">
      <c r="A253" t="s">
        <v>4296</v>
      </c>
      <c r="B253">
        <v>0</v>
      </c>
      <c r="C253">
        <v>0</v>
      </c>
      <c r="D253">
        <v>0</v>
      </c>
      <c r="E253">
        <v>0</v>
      </c>
      <c r="F253">
        <v>0</v>
      </c>
      <c r="G253">
        <v>0</v>
      </c>
    </row>
    <row r="254" spans="1:7" x14ac:dyDescent="0.2">
      <c r="A254" t="s">
        <v>4297</v>
      </c>
      <c r="B254">
        <v>0</v>
      </c>
      <c r="C254">
        <v>7</v>
      </c>
      <c r="D254">
        <v>22</v>
      </c>
      <c r="E254">
        <v>0</v>
      </c>
      <c r="F254">
        <v>0</v>
      </c>
      <c r="G254">
        <v>30</v>
      </c>
    </row>
    <row r="255" spans="1:7" x14ac:dyDescent="0.2">
      <c r="A255" t="s">
        <v>4298</v>
      </c>
      <c r="B255">
        <v>12</v>
      </c>
      <c r="C255">
        <v>15</v>
      </c>
      <c r="D255">
        <v>5</v>
      </c>
      <c r="E255">
        <v>9</v>
      </c>
      <c r="F255">
        <v>0</v>
      </c>
      <c r="G255">
        <v>41</v>
      </c>
    </row>
    <row r="256" spans="1:7" x14ac:dyDescent="0.2">
      <c r="A256" t="s">
        <v>4299</v>
      </c>
      <c r="B256">
        <v>8</v>
      </c>
      <c r="C256">
        <v>33</v>
      </c>
      <c r="D256">
        <v>36</v>
      </c>
      <c r="E256">
        <v>19</v>
      </c>
      <c r="F256">
        <v>0</v>
      </c>
      <c r="G256">
        <v>97</v>
      </c>
    </row>
    <row r="257" spans="1:7" x14ac:dyDescent="0.2">
      <c r="A257" t="s">
        <v>4300</v>
      </c>
      <c r="B257">
        <v>0</v>
      </c>
      <c r="C257">
        <v>2</v>
      </c>
      <c r="D257">
        <v>3</v>
      </c>
      <c r="E257">
        <v>1</v>
      </c>
      <c r="F257">
        <v>0</v>
      </c>
      <c r="G257">
        <v>6</v>
      </c>
    </row>
    <row r="258" spans="1:7" x14ac:dyDescent="0.2">
      <c r="A258" t="s">
        <v>4301</v>
      </c>
      <c r="B258">
        <v>0</v>
      </c>
      <c r="C258">
        <v>57</v>
      </c>
      <c r="D258">
        <v>74</v>
      </c>
      <c r="E258">
        <v>6</v>
      </c>
      <c r="F258">
        <v>0</v>
      </c>
      <c r="G258">
        <v>137</v>
      </c>
    </row>
    <row r="259" spans="1:7" x14ac:dyDescent="0.2">
      <c r="A259" t="s">
        <v>4302</v>
      </c>
      <c r="B259">
        <v>5</v>
      </c>
      <c r="C259">
        <v>26</v>
      </c>
      <c r="D259">
        <v>70</v>
      </c>
      <c r="E259">
        <v>24</v>
      </c>
      <c r="F259">
        <v>0</v>
      </c>
      <c r="G259">
        <v>126</v>
      </c>
    </row>
    <row r="260" spans="1:7" x14ac:dyDescent="0.2">
      <c r="A260" t="s">
        <v>4303</v>
      </c>
      <c r="B260">
        <v>5</v>
      </c>
      <c r="C260">
        <v>74</v>
      </c>
      <c r="D260">
        <v>284</v>
      </c>
      <c r="E260">
        <v>61</v>
      </c>
      <c r="F260">
        <v>0</v>
      </c>
      <c r="G260">
        <v>424</v>
      </c>
    </row>
    <row r="261" spans="1:7" x14ac:dyDescent="0.2">
      <c r="A261" t="s">
        <v>4304</v>
      </c>
      <c r="B261">
        <v>1</v>
      </c>
      <c r="C261">
        <v>6</v>
      </c>
      <c r="D261">
        <v>17</v>
      </c>
      <c r="E261">
        <v>0</v>
      </c>
      <c r="F261">
        <v>0</v>
      </c>
      <c r="G261">
        <v>24</v>
      </c>
    </row>
    <row r="262" spans="1:7" x14ac:dyDescent="0.2">
      <c r="A262" t="s">
        <v>4305</v>
      </c>
      <c r="B262">
        <v>149</v>
      </c>
      <c r="C262">
        <v>153</v>
      </c>
      <c r="D262">
        <v>211</v>
      </c>
      <c r="E262">
        <v>63</v>
      </c>
      <c r="F262">
        <v>0</v>
      </c>
      <c r="G262">
        <v>576</v>
      </c>
    </row>
    <row r="263" spans="1:7" x14ac:dyDescent="0.2">
      <c r="A263" t="s">
        <v>4306</v>
      </c>
      <c r="B263">
        <v>7</v>
      </c>
      <c r="C263">
        <v>43</v>
      </c>
      <c r="D263">
        <v>9</v>
      </c>
      <c r="E263">
        <v>7</v>
      </c>
      <c r="F263">
        <v>0</v>
      </c>
      <c r="G263">
        <v>66</v>
      </c>
    </row>
    <row r="264" spans="1:7" x14ac:dyDescent="0.2">
      <c r="A264" t="s">
        <v>4307</v>
      </c>
      <c r="B264">
        <v>42</v>
      </c>
      <c r="C264">
        <v>410</v>
      </c>
      <c r="D264">
        <v>1265</v>
      </c>
      <c r="E264">
        <v>334</v>
      </c>
      <c r="F264">
        <v>0</v>
      </c>
      <c r="G264">
        <v>2051</v>
      </c>
    </row>
    <row r="265" spans="1:7" x14ac:dyDescent="0.2">
      <c r="A265" t="s">
        <v>4308</v>
      </c>
      <c r="B265">
        <v>0</v>
      </c>
      <c r="C265">
        <v>0</v>
      </c>
      <c r="D265">
        <v>13</v>
      </c>
      <c r="E265">
        <v>33</v>
      </c>
      <c r="F265">
        <v>0</v>
      </c>
      <c r="G265">
        <v>46</v>
      </c>
    </row>
    <row r="266" spans="1:7" x14ac:dyDescent="0.2">
      <c r="A266" t="s">
        <v>4309</v>
      </c>
      <c r="B266">
        <v>0</v>
      </c>
      <c r="C266">
        <v>0</v>
      </c>
      <c r="D266">
        <v>0</v>
      </c>
      <c r="E266">
        <v>0</v>
      </c>
      <c r="F266">
        <v>0</v>
      </c>
      <c r="G266">
        <v>0</v>
      </c>
    </row>
    <row r="267" spans="1:7" x14ac:dyDescent="0.2">
      <c r="A267" t="s">
        <v>4310</v>
      </c>
      <c r="B267">
        <v>0</v>
      </c>
      <c r="C267">
        <v>0</v>
      </c>
      <c r="D267">
        <v>0</v>
      </c>
      <c r="E267">
        <v>0</v>
      </c>
      <c r="F267">
        <v>0</v>
      </c>
      <c r="G267">
        <v>0</v>
      </c>
    </row>
    <row r="268" spans="1:7" x14ac:dyDescent="0.2">
      <c r="A268" t="s">
        <v>4311</v>
      </c>
      <c r="B268">
        <v>0</v>
      </c>
      <c r="C268">
        <v>0</v>
      </c>
      <c r="D268">
        <v>0</v>
      </c>
      <c r="E268">
        <v>0</v>
      </c>
      <c r="F268">
        <v>1</v>
      </c>
      <c r="G268">
        <v>1</v>
      </c>
    </row>
    <row r="269" spans="1:7" x14ac:dyDescent="0.2">
      <c r="A269" t="s">
        <v>4312</v>
      </c>
      <c r="B269">
        <v>0</v>
      </c>
      <c r="C269">
        <v>0</v>
      </c>
      <c r="D269">
        <v>0</v>
      </c>
      <c r="E269">
        <v>0</v>
      </c>
      <c r="F269">
        <v>0</v>
      </c>
      <c r="G269">
        <v>0</v>
      </c>
    </row>
    <row r="270" spans="1:7" x14ac:dyDescent="0.2">
      <c r="A270" t="s">
        <v>4313</v>
      </c>
      <c r="B270">
        <v>0</v>
      </c>
      <c r="C270">
        <v>0</v>
      </c>
      <c r="D270">
        <v>0</v>
      </c>
      <c r="E270">
        <v>0</v>
      </c>
      <c r="F270">
        <v>0</v>
      </c>
      <c r="G270">
        <v>0</v>
      </c>
    </row>
    <row r="271" spans="1:7" x14ac:dyDescent="0.2">
      <c r="A271" t="s">
        <v>4314</v>
      </c>
      <c r="B271">
        <v>0</v>
      </c>
      <c r="C271">
        <v>0</v>
      </c>
      <c r="D271">
        <v>0</v>
      </c>
      <c r="E271">
        <v>0</v>
      </c>
      <c r="F271">
        <v>0</v>
      </c>
      <c r="G271">
        <v>0</v>
      </c>
    </row>
    <row r="272" spans="1:7" x14ac:dyDescent="0.2">
      <c r="A272" t="s">
        <v>4315</v>
      </c>
      <c r="B272">
        <v>0</v>
      </c>
      <c r="C272">
        <v>0</v>
      </c>
      <c r="D272">
        <v>0</v>
      </c>
      <c r="E272">
        <v>0</v>
      </c>
      <c r="F272">
        <v>0</v>
      </c>
      <c r="G272">
        <v>0</v>
      </c>
    </row>
    <row r="273" spans="1:7" x14ac:dyDescent="0.2">
      <c r="A273" t="s">
        <v>4316</v>
      </c>
      <c r="B273">
        <v>0</v>
      </c>
      <c r="C273">
        <v>0</v>
      </c>
      <c r="D273">
        <v>0</v>
      </c>
      <c r="E273">
        <v>0</v>
      </c>
      <c r="F273">
        <v>0</v>
      </c>
      <c r="G273">
        <v>0</v>
      </c>
    </row>
    <row r="274" spans="1:7" x14ac:dyDescent="0.2">
      <c r="A274" t="s">
        <v>4317</v>
      </c>
      <c r="B274">
        <v>0</v>
      </c>
      <c r="C274">
        <v>0</v>
      </c>
      <c r="D274">
        <v>0</v>
      </c>
      <c r="E274">
        <v>0</v>
      </c>
      <c r="F274">
        <v>0</v>
      </c>
      <c r="G274">
        <v>0</v>
      </c>
    </row>
    <row r="275" spans="1:7" x14ac:dyDescent="0.2">
      <c r="A275" t="s">
        <v>4318</v>
      </c>
      <c r="B275">
        <v>0</v>
      </c>
      <c r="C275">
        <v>0</v>
      </c>
      <c r="D275">
        <v>0</v>
      </c>
      <c r="E275">
        <v>0</v>
      </c>
      <c r="F275">
        <v>0</v>
      </c>
      <c r="G275">
        <v>0</v>
      </c>
    </row>
    <row r="276" spans="1:7" x14ac:dyDescent="0.2">
      <c r="A276" t="s">
        <v>4319</v>
      </c>
      <c r="B276">
        <v>0</v>
      </c>
      <c r="C276">
        <v>0</v>
      </c>
      <c r="D276">
        <v>0</v>
      </c>
      <c r="E276">
        <v>0</v>
      </c>
      <c r="F276">
        <v>0</v>
      </c>
      <c r="G276">
        <v>0</v>
      </c>
    </row>
    <row r="277" spans="1:7" x14ac:dyDescent="0.2">
      <c r="A277" t="s">
        <v>4320</v>
      </c>
      <c r="B277">
        <v>0</v>
      </c>
      <c r="C277">
        <v>0</v>
      </c>
      <c r="D277">
        <v>0</v>
      </c>
      <c r="E277">
        <v>0</v>
      </c>
      <c r="F277">
        <v>0</v>
      </c>
      <c r="G277">
        <v>0</v>
      </c>
    </row>
    <row r="278" spans="1:7" x14ac:dyDescent="0.2">
      <c r="A278" t="s">
        <v>4321</v>
      </c>
      <c r="B278">
        <v>0</v>
      </c>
      <c r="C278">
        <v>0</v>
      </c>
      <c r="D278">
        <v>0</v>
      </c>
      <c r="E278">
        <v>0</v>
      </c>
      <c r="F278">
        <v>0</v>
      </c>
      <c r="G278">
        <v>0</v>
      </c>
    </row>
    <row r="279" spans="1:7" x14ac:dyDescent="0.2">
      <c r="A279" t="s">
        <v>4322</v>
      </c>
      <c r="B279">
        <v>0</v>
      </c>
      <c r="C279">
        <v>0</v>
      </c>
      <c r="D279">
        <v>0</v>
      </c>
      <c r="E279">
        <v>0</v>
      </c>
      <c r="F279">
        <v>0</v>
      </c>
      <c r="G279">
        <v>0</v>
      </c>
    </row>
    <row r="280" spans="1:7" x14ac:dyDescent="0.2">
      <c r="A280" t="s">
        <v>4323</v>
      </c>
      <c r="B280">
        <v>0</v>
      </c>
      <c r="C280">
        <v>0</v>
      </c>
      <c r="D280">
        <v>0</v>
      </c>
      <c r="E280">
        <v>0</v>
      </c>
      <c r="F280">
        <v>0</v>
      </c>
      <c r="G280">
        <v>0</v>
      </c>
    </row>
    <row r="281" spans="1:7" x14ac:dyDescent="0.2">
      <c r="A281" t="s">
        <v>4324</v>
      </c>
      <c r="B281">
        <v>0</v>
      </c>
      <c r="C281">
        <v>0</v>
      </c>
      <c r="D281">
        <v>0</v>
      </c>
      <c r="E281">
        <v>0</v>
      </c>
      <c r="F281">
        <v>0</v>
      </c>
      <c r="G281">
        <v>0</v>
      </c>
    </row>
    <row r="282" spans="1:7" x14ac:dyDescent="0.2">
      <c r="A282" t="s">
        <v>4325</v>
      </c>
      <c r="B282">
        <v>0</v>
      </c>
      <c r="C282">
        <v>0</v>
      </c>
      <c r="D282">
        <v>0</v>
      </c>
      <c r="E282">
        <v>0</v>
      </c>
      <c r="F282">
        <v>0</v>
      </c>
      <c r="G282">
        <v>0</v>
      </c>
    </row>
    <row r="283" spans="1:7" x14ac:dyDescent="0.2">
      <c r="A283" t="s">
        <v>4326</v>
      </c>
      <c r="B283">
        <v>0</v>
      </c>
      <c r="C283">
        <v>0</v>
      </c>
      <c r="D283">
        <v>0</v>
      </c>
      <c r="E283">
        <v>0</v>
      </c>
      <c r="F283">
        <v>0</v>
      </c>
      <c r="G283">
        <v>0</v>
      </c>
    </row>
    <row r="284" spans="1:7" x14ac:dyDescent="0.2">
      <c r="A284" t="s">
        <v>4327</v>
      </c>
      <c r="B284">
        <v>0</v>
      </c>
      <c r="C284">
        <v>0</v>
      </c>
      <c r="D284">
        <v>0</v>
      </c>
      <c r="E284">
        <v>0</v>
      </c>
      <c r="F284">
        <v>0</v>
      </c>
      <c r="G284">
        <v>0</v>
      </c>
    </row>
    <row r="285" spans="1:7" x14ac:dyDescent="0.2">
      <c r="A285" t="s">
        <v>4328</v>
      </c>
      <c r="B285">
        <v>0</v>
      </c>
      <c r="C285">
        <v>0</v>
      </c>
      <c r="D285">
        <v>0</v>
      </c>
      <c r="E285">
        <v>0</v>
      </c>
      <c r="F285">
        <v>0</v>
      </c>
      <c r="G285">
        <v>0</v>
      </c>
    </row>
    <row r="286" spans="1:7" x14ac:dyDescent="0.2">
      <c r="A286" t="s">
        <v>4329</v>
      </c>
      <c r="B286">
        <v>0</v>
      </c>
      <c r="C286">
        <v>0</v>
      </c>
      <c r="D286">
        <v>0</v>
      </c>
      <c r="E286">
        <v>0</v>
      </c>
      <c r="F286">
        <v>0</v>
      </c>
      <c r="G286">
        <v>0</v>
      </c>
    </row>
    <row r="287" spans="1:7" x14ac:dyDescent="0.2">
      <c r="A287" t="s">
        <v>4330</v>
      </c>
      <c r="B287">
        <v>0</v>
      </c>
      <c r="C287">
        <v>0</v>
      </c>
      <c r="D287">
        <v>0</v>
      </c>
      <c r="E287">
        <v>0</v>
      </c>
      <c r="F287">
        <v>0</v>
      </c>
      <c r="G287">
        <v>0</v>
      </c>
    </row>
    <row r="288" spans="1:7" x14ac:dyDescent="0.2">
      <c r="A288" t="s">
        <v>4331</v>
      </c>
      <c r="B288">
        <v>0</v>
      </c>
      <c r="C288">
        <v>0</v>
      </c>
      <c r="D288">
        <v>0</v>
      </c>
      <c r="E288">
        <v>0</v>
      </c>
      <c r="F288">
        <v>0</v>
      </c>
      <c r="G288">
        <v>0</v>
      </c>
    </row>
    <row r="289" spans="1:7" x14ac:dyDescent="0.2">
      <c r="A289" t="s">
        <v>4332</v>
      </c>
      <c r="B289">
        <v>0</v>
      </c>
      <c r="C289">
        <v>0</v>
      </c>
      <c r="D289">
        <v>0</v>
      </c>
      <c r="E289">
        <v>0</v>
      </c>
      <c r="F289">
        <v>0</v>
      </c>
      <c r="G289">
        <v>0</v>
      </c>
    </row>
    <row r="290" spans="1:7" x14ac:dyDescent="0.2">
      <c r="A290" t="s">
        <v>4333</v>
      </c>
      <c r="B290">
        <v>0</v>
      </c>
      <c r="C290">
        <v>0</v>
      </c>
      <c r="D290">
        <v>0</v>
      </c>
      <c r="E290">
        <v>0</v>
      </c>
      <c r="F290">
        <v>0</v>
      </c>
      <c r="G290">
        <v>0</v>
      </c>
    </row>
    <row r="291" spans="1:7" x14ac:dyDescent="0.2">
      <c r="A291" t="s">
        <v>4334</v>
      </c>
      <c r="B291">
        <v>0</v>
      </c>
      <c r="C291">
        <v>0</v>
      </c>
      <c r="D291">
        <v>0</v>
      </c>
      <c r="E291">
        <v>0</v>
      </c>
      <c r="F291">
        <v>0</v>
      </c>
      <c r="G291">
        <v>0</v>
      </c>
    </row>
    <row r="292" spans="1:7" x14ac:dyDescent="0.2">
      <c r="A292" t="s">
        <v>4335</v>
      </c>
      <c r="B292">
        <v>0</v>
      </c>
      <c r="C292">
        <v>0</v>
      </c>
      <c r="D292">
        <v>0</v>
      </c>
      <c r="E292">
        <v>0</v>
      </c>
      <c r="F292">
        <v>0</v>
      </c>
      <c r="G292">
        <v>0</v>
      </c>
    </row>
    <row r="293" spans="1:7" x14ac:dyDescent="0.2">
      <c r="A293" t="s">
        <v>4336</v>
      </c>
      <c r="B293">
        <v>0</v>
      </c>
      <c r="C293">
        <v>0</v>
      </c>
      <c r="D293">
        <v>0</v>
      </c>
      <c r="E293">
        <v>0</v>
      </c>
      <c r="F293">
        <v>0</v>
      </c>
      <c r="G293">
        <v>0</v>
      </c>
    </row>
    <row r="294" spans="1:7" x14ac:dyDescent="0.2">
      <c r="A294" t="s">
        <v>4337</v>
      </c>
      <c r="B294">
        <v>0</v>
      </c>
      <c r="C294">
        <v>0</v>
      </c>
      <c r="D294">
        <v>0</v>
      </c>
      <c r="E294">
        <v>0</v>
      </c>
      <c r="F294">
        <v>0</v>
      </c>
      <c r="G294">
        <v>0</v>
      </c>
    </row>
    <row r="295" spans="1:7" x14ac:dyDescent="0.2">
      <c r="A295" t="s">
        <v>4338</v>
      </c>
      <c r="B295">
        <v>0</v>
      </c>
      <c r="C295">
        <v>0</v>
      </c>
      <c r="D295">
        <v>0</v>
      </c>
      <c r="E295">
        <v>0</v>
      </c>
      <c r="F295">
        <v>2</v>
      </c>
      <c r="G295">
        <v>2</v>
      </c>
    </row>
    <row r="296" spans="1:7" x14ac:dyDescent="0.2">
      <c r="A296" t="s">
        <v>4339</v>
      </c>
      <c r="B296">
        <v>0</v>
      </c>
      <c r="C296">
        <v>0</v>
      </c>
      <c r="D296">
        <v>0</v>
      </c>
      <c r="E296">
        <v>0</v>
      </c>
      <c r="F296">
        <v>0</v>
      </c>
      <c r="G296">
        <v>0</v>
      </c>
    </row>
    <row r="297" spans="1:7" x14ac:dyDescent="0.2">
      <c r="A297" t="s">
        <v>4340</v>
      </c>
      <c r="B297">
        <v>0</v>
      </c>
      <c r="C297">
        <v>0</v>
      </c>
      <c r="D297">
        <v>0</v>
      </c>
      <c r="E297">
        <v>0</v>
      </c>
      <c r="F297">
        <v>0</v>
      </c>
      <c r="G297">
        <v>0</v>
      </c>
    </row>
    <row r="298" spans="1:7" x14ac:dyDescent="0.2">
      <c r="A298" t="s">
        <v>4341</v>
      </c>
      <c r="B298">
        <v>0</v>
      </c>
      <c r="C298">
        <v>0</v>
      </c>
      <c r="D298">
        <v>0</v>
      </c>
      <c r="E298">
        <v>0</v>
      </c>
      <c r="F298">
        <v>0</v>
      </c>
      <c r="G298">
        <v>0</v>
      </c>
    </row>
    <row r="299" spans="1:7" x14ac:dyDescent="0.2">
      <c r="A299" t="s">
        <v>4342</v>
      </c>
      <c r="B299">
        <v>0</v>
      </c>
      <c r="C299">
        <v>0</v>
      </c>
      <c r="D299">
        <v>0</v>
      </c>
      <c r="E299">
        <v>0</v>
      </c>
      <c r="F299">
        <v>0</v>
      </c>
      <c r="G299">
        <v>0</v>
      </c>
    </row>
    <row r="300" spans="1:7" x14ac:dyDescent="0.2">
      <c r="A300" t="s">
        <v>4343</v>
      </c>
      <c r="B300">
        <v>0</v>
      </c>
      <c r="C300">
        <v>0</v>
      </c>
      <c r="D300">
        <v>0</v>
      </c>
      <c r="E300">
        <v>0</v>
      </c>
      <c r="F300">
        <v>0</v>
      </c>
      <c r="G300">
        <v>0</v>
      </c>
    </row>
    <row r="301" spans="1:7" x14ac:dyDescent="0.2">
      <c r="A301" t="s">
        <v>1728</v>
      </c>
      <c r="B301">
        <v>0</v>
      </c>
      <c r="C301">
        <v>0</v>
      </c>
      <c r="D301">
        <v>0</v>
      </c>
      <c r="E301">
        <v>0</v>
      </c>
      <c r="F301">
        <v>0</v>
      </c>
      <c r="G301">
        <v>0</v>
      </c>
    </row>
    <row r="302" spans="1:7" x14ac:dyDescent="0.2">
      <c r="A302" t="s">
        <v>1730</v>
      </c>
      <c r="B302">
        <v>0</v>
      </c>
      <c r="C302">
        <v>2</v>
      </c>
      <c r="D302">
        <v>33</v>
      </c>
      <c r="E302">
        <v>26</v>
      </c>
      <c r="F302">
        <v>128</v>
      </c>
      <c r="G302">
        <v>189</v>
      </c>
    </row>
    <row r="303" spans="1:7" x14ac:dyDescent="0.2">
      <c r="A303" t="s">
        <v>1733</v>
      </c>
      <c r="B303">
        <v>0</v>
      </c>
      <c r="C303">
        <v>0</v>
      </c>
      <c r="D303">
        <v>0</v>
      </c>
      <c r="E303">
        <v>0</v>
      </c>
      <c r="F303">
        <v>0</v>
      </c>
      <c r="G303">
        <v>0</v>
      </c>
    </row>
    <row r="304" spans="1:7" x14ac:dyDescent="0.2">
      <c r="A304" t="s">
        <v>1738</v>
      </c>
      <c r="B304">
        <v>0</v>
      </c>
      <c r="C304">
        <v>0</v>
      </c>
      <c r="D304">
        <v>0</v>
      </c>
      <c r="E304">
        <v>0</v>
      </c>
      <c r="F304">
        <v>0</v>
      </c>
      <c r="G304">
        <v>0</v>
      </c>
    </row>
    <row r="305" spans="1:7" x14ac:dyDescent="0.2">
      <c r="A305" t="s">
        <v>1744</v>
      </c>
      <c r="B305">
        <v>0</v>
      </c>
      <c r="C305">
        <v>0</v>
      </c>
      <c r="D305">
        <v>0</v>
      </c>
      <c r="E305">
        <v>0</v>
      </c>
      <c r="F305">
        <v>0</v>
      </c>
      <c r="G305">
        <v>0</v>
      </c>
    </row>
    <row r="306" spans="1:7" x14ac:dyDescent="0.2">
      <c r="A306" t="s">
        <v>1747</v>
      </c>
      <c r="B306">
        <v>0</v>
      </c>
      <c r="C306">
        <v>0</v>
      </c>
      <c r="D306">
        <v>0</v>
      </c>
      <c r="E306">
        <v>0</v>
      </c>
      <c r="F306">
        <v>0</v>
      </c>
      <c r="G306">
        <v>0</v>
      </c>
    </row>
    <row r="307" spans="1:7" x14ac:dyDescent="0.2">
      <c r="A307" t="s">
        <v>1751</v>
      </c>
      <c r="B307">
        <v>0</v>
      </c>
      <c r="C307">
        <v>0</v>
      </c>
      <c r="D307">
        <v>0</v>
      </c>
      <c r="E307">
        <v>0</v>
      </c>
      <c r="F307">
        <v>0</v>
      </c>
      <c r="G307">
        <v>0</v>
      </c>
    </row>
    <row r="308" spans="1:7" x14ac:dyDescent="0.2">
      <c r="A308" t="s">
        <v>1755</v>
      </c>
      <c r="B308">
        <v>0</v>
      </c>
      <c r="C308">
        <v>0</v>
      </c>
      <c r="D308">
        <v>22</v>
      </c>
      <c r="E308">
        <v>80</v>
      </c>
      <c r="F308">
        <v>93</v>
      </c>
      <c r="G308">
        <v>195</v>
      </c>
    </row>
    <row r="309" spans="1:7" x14ac:dyDescent="0.2">
      <c r="A309" t="s">
        <v>1757</v>
      </c>
      <c r="B309">
        <v>0</v>
      </c>
      <c r="C309">
        <v>0</v>
      </c>
      <c r="D309">
        <v>43</v>
      </c>
      <c r="E309">
        <v>76</v>
      </c>
      <c r="F309">
        <v>100</v>
      </c>
      <c r="G309">
        <v>218</v>
      </c>
    </row>
    <row r="310" spans="1:7" x14ac:dyDescent="0.2">
      <c r="A310" t="s">
        <v>1761</v>
      </c>
      <c r="B310">
        <v>0</v>
      </c>
      <c r="C310">
        <v>0</v>
      </c>
      <c r="D310">
        <v>0</v>
      </c>
      <c r="E310">
        <v>0</v>
      </c>
      <c r="F310">
        <v>0</v>
      </c>
      <c r="G310">
        <v>0</v>
      </c>
    </row>
    <row r="311" spans="1:7" x14ac:dyDescent="0.2">
      <c r="A311" t="s">
        <v>1764</v>
      </c>
      <c r="B311">
        <v>0</v>
      </c>
      <c r="C311">
        <v>0</v>
      </c>
      <c r="D311">
        <v>0</v>
      </c>
      <c r="E311">
        <v>0</v>
      </c>
      <c r="F311">
        <v>0</v>
      </c>
      <c r="G311">
        <v>0</v>
      </c>
    </row>
    <row r="312" spans="1:7" x14ac:dyDescent="0.2">
      <c r="A312" t="s">
        <v>1770</v>
      </c>
      <c r="B312">
        <v>2</v>
      </c>
      <c r="C312">
        <v>13</v>
      </c>
      <c r="D312">
        <v>85</v>
      </c>
      <c r="E312">
        <v>431</v>
      </c>
      <c r="F312">
        <v>0</v>
      </c>
      <c r="G312">
        <v>530</v>
      </c>
    </row>
    <row r="313" spans="1:7" x14ac:dyDescent="0.2">
      <c r="A313" t="s">
        <v>1772</v>
      </c>
      <c r="B313">
        <v>0</v>
      </c>
      <c r="C313">
        <v>2</v>
      </c>
      <c r="D313">
        <v>27</v>
      </c>
      <c r="E313">
        <v>255</v>
      </c>
      <c r="F313">
        <v>0</v>
      </c>
      <c r="G313">
        <v>285</v>
      </c>
    </row>
    <row r="314" spans="1:7" x14ac:dyDescent="0.2">
      <c r="A314" t="s">
        <v>1774</v>
      </c>
      <c r="B314">
        <v>0</v>
      </c>
      <c r="C314">
        <v>4</v>
      </c>
      <c r="D314">
        <v>22</v>
      </c>
      <c r="E314">
        <v>221</v>
      </c>
      <c r="F314">
        <v>0</v>
      </c>
      <c r="G314">
        <v>246</v>
      </c>
    </row>
    <row r="315" spans="1:7" x14ac:dyDescent="0.2">
      <c r="A315" t="s">
        <v>1777</v>
      </c>
      <c r="B315">
        <v>0</v>
      </c>
      <c r="C315">
        <v>0</v>
      </c>
      <c r="D315">
        <v>0</v>
      </c>
      <c r="E315">
        <v>0</v>
      </c>
      <c r="F315">
        <v>0</v>
      </c>
      <c r="G315">
        <v>0</v>
      </c>
    </row>
    <row r="316" spans="1:7" x14ac:dyDescent="0.2">
      <c r="A316" t="s">
        <v>1782</v>
      </c>
      <c r="B316">
        <v>0</v>
      </c>
      <c r="C316">
        <v>0</v>
      </c>
      <c r="D316">
        <v>0</v>
      </c>
      <c r="E316">
        <v>0</v>
      </c>
      <c r="F316">
        <v>0</v>
      </c>
      <c r="G316">
        <v>0</v>
      </c>
    </row>
    <row r="317" spans="1:7" x14ac:dyDescent="0.2">
      <c r="A317" t="s">
        <v>1274</v>
      </c>
      <c r="B317">
        <v>0</v>
      </c>
      <c r="C317">
        <v>0</v>
      </c>
      <c r="D317">
        <v>0</v>
      </c>
      <c r="E317">
        <v>46</v>
      </c>
      <c r="F317">
        <v>0</v>
      </c>
      <c r="G317">
        <v>47</v>
      </c>
    </row>
    <row r="318" spans="1:7" x14ac:dyDescent="0.2">
      <c r="A318" t="s">
        <v>1277</v>
      </c>
      <c r="B318">
        <v>0</v>
      </c>
      <c r="C318">
        <v>0</v>
      </c>
      <c r="D318">
        <v>0</v>
      </c>
      <c r="E318">
        <v>380</v>
      </c>
      <c r="F318">
        <v>14</v>
      </c>
      <c r="G318">
        <v>394</v>
      </c>
    </row>
    <row r="319" spans="1:7" x14ac:dyDescent="0.2">
      <c r="A319" t="s">
        <v>1798</v>
      </c>
      <c r="B319">
        <v>0</v>
      </c>
      <c r="C319">
        <v>0</v>
      </c>
      <c r="D319">
        <v>0</v>
      </c>
      <c r="E319">
        <v>0</v>
      </c>
      <c r="F319">
        <v>0</v>
      </c>
      <c r="G319">
        <v>0</v>
      </c>
    </row>
    <row r="320" spans="1:7" x14ac:dyDescent="0.2">
      <c r="A320" t="s">
        <v>1803</v>
      </c>
      <c r="B320">
        <v>0</v>
      </c>
      <c r="C320">
        <v>0</v>
      </c>
      <c r="D320">
        <v>0</v>
      </c>
      <c r="E320">
        <v>0</v>
      </c>
      <c r="F320">
        <v>0</v>
      </c>
      <c r="G320">
        <v>0</v>
      </c>
    </row>
    <row r="321" spans="1:7" x14ac:dyDescent="0.2">
      <c r="A321" t="s">
        <v>1808</v>
      </c>
      <c r="B321">
        <v>0</v>
      </c>
      <c r="C321">
        <v>0</v>
      </c>
      <c r="D321">
        <v>0</v>
      </c>
      <c r="E321">
        <v>0</v>
      </c>
      <c r="F321">
        <v>0</v>
      </c>
      <c r="G321">
        <v>0</v>
      </c>
    </row>
    <row r="322" spans="1:7" x14ac:dyDescent="0.2">
      <c r="A322" t="s">
        <v>1813</v>
      </c>
      <c r="B322">
        <v>0</v>
      </c>
      <c r="C322">
        <v>0</v>
      </c>
      <c r="D322">
        <v>0</v>
      </c>
      <c r="E322">
        <v>0</v>
      </c>
      <c r="F322">
        <v>0</v>
      </c>
      <c r="G322">
        <v>0</v>
      </c>
    </row>
    <row r="323" spans="1:7" x14ac:dyDescent="0.2">
      <c r="A323" t="s">
        <v>1819</v>
      </c>
      <c r="B323">
        <v>0</v>
      </c>
      <c r="C323">
        <v>0</v>
      </c>
      <c r="D323">
        <v>0</v>
      </c>
      <c r="E323">
        <v>348</v>
      </c>
      <c r="F323">
        <v>164</v>
      </c>
      <c r="G323">
        <v>512</v>
      </c>
    </row>
    <row r="324" spans="1:7" x14ac:dyDescent="0.2">
      <c r="A324" t="s">
        <v>1826</v>
      </c>
      <c r="B324">
        <v>0</v>
      </c>
      <c r="C324">
        <v>0</v>
      </c>
      <c r="D324">
        <v>0</v>
      </c>
      <c r="E324">
        <v>0</v>
      </c>
      <c r="F324">
        <v>13586</v>
      </c>
      <c r="G324">
        <v>13586</v>
      </c>
    </row>
    <row r="325" spans="1:7" x14ac:dyDescent="0.2">
      <c r="A325" t="s">
        <v>1830</v>
      </c>
      <c r="B325">
        <v>0</v>
      </c>
      <c r="C325">
        <v>0</v>
      </c>
      <c r="D325">
        <v>0</v>
      </c>
      <c r="E325">
        <v>0</v>
      </c>
      <c r="F325">
        <v>1567</v>
      </c>
      <c r="G325">
        <v>1567</v>
      </c>
    </row>
    <row r="326" spans="1:7" x14ac:dyDescent="0.2">
      <c r="A326" t="s">
        <v>1836</v>
      </c>
      <c r="B326">
        <v>0</v>
      </c>
      <c r="C326">
        <v>0</v>
      </c>
      <c r="D326">
        <v>0</v>
      </c>
      <c r="E326">
        <v>0</v>
      </c>
      <c r="F326">
        <v>0</v>
      </c>
      <c r="G326">
        <v>0</v>
      </c>
    </row>
    <row r="327" spans="1:7" x14ac:dyDescent="0.2">
      <c r="A327" t="s">
        <v>1841</v>
      </c>
      <c r="B327">
        <v>0</v>
      </c>
      <c r="C327">
        <v>0</v>
      </c>
      <c r="D327">
        <v>162</v>
      </c>
      <c r="E327">
        <v>1003</v>
      </c>
      <c r="F327">
        <v>57</v>
      </c>
      <c r="G327">
        <v>1222</v>
      </c>
    </row>
    <row r="328" spans="1:7" x14ac:dyDescent="0.2">
      <c r="A328" t="s">
        <v>1842</v>
      </c>
      <c r="B328">
        <v>0</v>
      </c>
      <c r="C328">
        <v>84</v>
      </c>
      <c r="D328">
        <v>179</v>
      </c>
      <c r="E328">
        <v>344</v>
      </c>
      <c r="F328">
        <v>0</v>
      </c>
      <c r="G328">
        <v>607</v>
      </c>
    </row>
    <row r="329" spans="1:7" x14ac:dyDescent="0.2">
      <c r="A329" t="s">
        <v>1843</v>
      </c>
      <c r="B329">
        <v>0</v>
      </c>
      <c r="C329">
        <v>0</v>
      </c>
      <c r="D329">
        <v>0</v>
      </c>
      <c r="E329">
        <v>0</v>
      </c>
      <c r="F329">
        <v>5048</v>
      </c>
      <c r="G329">
        <v>5048</v>
      </c>
    </row>
    <row r="330" spans="1:7" x14ac:dyDescent="0.2">
      <c r="A330" t="s">
        <v>1846</v>
      </c>
      <c r="B330">
        <v>0</v>
      </c>
      <c r="C330">
        <v>0</v>
      </c>
      <c r="D330">
        <v>0</v>
      </c>
      <c r="E330">
        <v>0</v>
      </c>
      <c r="F330">
        <v>0</v>
      </c>
      <c r="G330">
        <v>0</v>
      </c>
    </row>
    <row r="331" spans="1:7" x14ac:dyDescent="0.2">
      <c r="A331" t="s">
        <v>1851</v>
      </c>
      <c r="B331">
        <v>0</v>
      </c>
      <c r="C331">
        <v>0</v>
      </c>
      <c r="D331">
        <v>0</v>
      </c>
      <c r="E331">
        <v>858</v>
      </c>
      <c r="F331">
        <v>168</v>
      </c>
      <c r="G331">
        <v>1026</v>
      </c>
    </row>
    <row r="332" spans="1:7" x14ac:dyDescent="0.2">
      <c r="A332" t="s">
        <v>1857</v>
      </c>
      <c r="B332">
        <v>0</v>
      </c>
      <c r="C332">
        <v>0</v>
      </c>
      <c r="D332">
        <v>0</v>
      </c>
      <c r="E332">
        <v>0</v>
      </c>
      <c r="F332">
        <v>0</v>
      </c>
      <c r="G332">
        <v>0</v>
      </c>
    </row>
    <row r="333" spans="1:7" x14ac:dyDescent="0.2">
      <c r="A333" t="s">
        <v>1862</v>
      </c>
      <c r="B333">
        <v>0</v>
      </c>
      <c r="C333">
        <v>0</v>
      </c>
      <c r="D333">
        <v>0</v>
      </c>
      <c r="E333">
        <v>0</v>
      </c>
      <c r="F333">
        <v>0</v>
      </c>
      <c r="G333">
        <v>0</v>
      </c>
    </row>
    <row r="334" spans="1:7" x14ac:dyDescent="0.2">
      <c r="A334" t="s">
        <v>1867</v>
      </c>
      <c r="B334">
        <v>0</v>
      </c>
      <c r="C334">
        <v>0</v>
      </c>
      <c r="D334">
        <v>0</v>
      </c>
      <c r="E334">
        <v>0</v>
      </c>
      <c r="F334">
        <v>0</v>
      </c>
      <c r="G334">
        <v>0</v>
      </c>
    </row>
    <row r="335" spans="1:7" x14ac:dyDescent="0.2">
      <c r="A335" t="s">
        <v>1870</v>
      </c>
      <c r="B335">
        <v>0</v>
      </c>
      <c r="C335">
        <v>0</v>
      </c>
      <c r="D335">
        <v>0</v>
      </c>
      <c r="E335">
        <v>0</v>
      </c>
      <c r="F335">
        <v>0</v>
      </c>
      <c r="G335">
        <v>0</v>
      </c>
    </row>
    <row r="336" spans="1:7" x14ac:dyDescent="0.2">
      <c r="A336" t="s">
        <v>1874</v>
      </c>
      <c r="B336">
        <v>0</v>
      </c>
      <c r="C336">
        <v>0</v>
      </c>
      <c r="D336">
        <v>8</v>
      </c>
      <c r="E336">
        <v>64</v>
      </c>
      <c r="F336">
        <v>0</v>
      </c>
      <c r="G336">
        <v>72</v>
      </c>
    </row>
    <row r="337" spans="1:7" x14ac:dyDescent="0.2">
      <c r="A337" t="s">
        <v>1876</v>
      </c>
      <c r="B337">
        <v>0</v>
      </c>
      <c r="C337">
        <v>0</v>
      </c>
      <c r="D337">
        <v>0</v>
      </c>
      <c r="E337">
        <v>0</v>
      </c>
      <c r="F337">
        <v>0</v>
      </c>
      <c r="G337">
        <v>0</v>
      </c>
    </row>
    <row r="338" spans="1:7" x14ac:dyDescent="0.2">
      <c r="A338" t="s">
        <v>1881</v>
      </c>
      <c r="B338">
        <v>0</v>
      </c>
      <c r="C338">
        <v>0</v>
      </c>
      <c r="D338">
        <v>0</v>
      </c>
      <c r="E338">
        <v>0</v>
      </c>
      <c r="F338">
        <v>0</v>
      </c>
      <c r="G338">
        <v>0</v>
      </c>
    </row>
    <row r="339" spans="1:7" x14ac:dyDescent="0.2">
      <c r="A339" t="s">
        <v>1885</v>
      </c>
      <c r="B339">
        <v>604</v>
      </c>
      <c r="C339">
        <v>299</v>
      </c>
      <c r="D339">
        <v>274</v>
      </c>
      <c r="E339">
        <v>284</v>
      </c>
      <c r="F339">
        <v>11</v>
      </c>
      <c r="G339">
        <v>1472</v>
      </c>
    </row>
    <row r="340" spans="1:7" x14ac:dyDescent="0.2">
      <c r="A340" t="s">
        <v>1887</v>
      </c>
      <c r="B340">
        <v>0</v>
      </c>
      <c r="C340">
        <v>0</v>
      </c>
      <c r="D340">
        <v>0</v>
      </c>
      <c r="E340">
        <v>1</v>
      </c>
      <c r="F340">
        <v>2</v>
      </c>
      <c r="G340">
        <v>3</v>
      </c>
    </row>
    <row r="341" spans="1:7" x14ac:dyDescent="0.2">
      <c r="A341" t="s">
        <v>1893</v>
      </c>
      <c r="B341">
        <v>0</v>
      </c>
      <c r="C341">
        <v>0</v>
      </c>
      <c r="D341">
        <v>0</v>
      </c>
      <c r="E341">
        <v>46</v>
      </c>
      <c r="F341">
        <v>4</v>
      </c>
      <c r="G341">
        <v>51</v>
      </c>
    </row>
    <row r="342" spans="1:7" x14ac:dyDescent="0.2">
      <c r="A342" t="s">
        <v>1899</v>
      </c>
      <c r="B342">
        <v>0</v>
      </c>
      <c r="C342">
        <v>0</v>
      </c>
      <c r="D342">
        <v>0</v>
      </c>
      <c r="E342">
        <v>0</v>
      </c>
      <c r="F342">
        <v>0</v>
      </c>
      <c r="G342">
        <v>0</v>
      </c>
    </row>
    <row r="343" spans="1:7" x14ac:dyDescent="0.2">
      <c r="A343" t="s">
        <v>1906</v>
      </c>
      <c r="B343">
        <v>0</v>
      </c>
      <c r="C343">
        <v>0</v>
      </c>
      <c r="D343">
        <v>0</v>
      </c>
      <c r="E343">
        <v>0</v>
      </c>
      <c r="F343">
        <v>0</v>
      </c>
      <c r="G343">
        <v>0</v>
      </c>
    </row>
    <row r="344" spans="1:7" x14ac:dyDescent="0.2">
      <c r="A344" t="s">
        <v>1911</v>
      </c>
      <c r="B344">
        <v>0</v>
      </c>
      <c r="C344">
        <v>0</v>
      </c>
      <c r="D344">
        <v>0</v>
      </c>
      <c r="E344">
        <v>0</v>
      </c>
      <c r="F344">
        <v>0</v>
      </c>
      <c r="G344">
        <v>0</v>
      </c>
    </row>
    <row r="345" spans="1:7" x14ac:dyDescent="0.2">
      <c r="A345" t="s">
        <v>1917</v>
      </c>
      <c r="B345">
        <v>0</v>
      </c>
      <c r="C345">
        <v>0</v>
      </c>
      <c r="D345">
        <v>0</v>
      </c>
      <c r="E345">
        <v>3</v>
      </c>
      <c r="F345">
        <v>0</v>
      </c>
      <c r="G345">
        <v>3</v>
      </c>
    </row>
    <row r="346" spans="1:7" x14ac:dyDescent="0.2">
      <c r="A346" t="s">
        <v>1922</v>
      </c>
      <c r="B346">
        <v>0</v>
      </c>
      <c r="C346">
        <v>0</v>
      </c>
      <c r="D346">
        <v>0</v>
      </c>
      <c r="E346">
        <v>0</v>
      </c>
      <c r="F346">
        <v>0</v>
      </c>
      <c r="G346">
        <v>0</v>
      </c>
    </row>
    <row r="347" spans="1:7" x14ac:dyDescent="0.2">
      <c r="A347" t="s">
        <v>1928</v>
      </c>
      <c r="B347">
        <v>0</v>
      </c>
      <c r="C347">
        <v>0</v>
      </c>
      <c r="D347">
        <v>0</v>
      </c>
      <c r="E347">
        <v>0</v>
      </c>
      <c r="F347">
        <v>0</v>
      </c>
      <c r="G347">
        <v>0</v>
      </c>
    </row>
    <row r="348" spans="1:7" x14ac:dyDescent="0.2">
      <c r="A348" t="s">
        <v>1932</v>
      </c>
      <c r="B348">
        <v>0</v>
      </c>
      <c r="C348">
        <v>0</v>
      </c>
      <c r="D348">
        <v>0</v>
      </c>
      <c r="E348">
        <v>0</v>
      </c>
      <c r="F348">
        <v>0</v>
      </c>
      <c r="G348">
        <v>0</v>
      </c>
    </row>
    <row r="349" spans="1:7" x14ac:dyDescent="0.2">
      <c r="A349" t="s">
        <v>1938</v>
      </c>
      <c r="B349">
        <v>0</v>
      </c>
      <c r="C349">
        <v>0</v>
      </c>
      <c r="D349">
        <v>0</v>
      </c>
      <c r="E349">
        <v>0</v>
      </c>
      <c r="F349">
        <v>0</v>
      </c>
      <c r="G349">
        <v>0</v>
      </c>
    </row>
    <row r="350" spans="1:7" x14ac:dyDescent="0.2">
      <c r="A350" t="s">
        <v>1944</v>
      </c>
      <c r="B350">
        <v>1</v>
      </c>
      <c r="C350">
        <v>4</v>
      </c>
      <c r="D350">
        <v>21</v>
      </c>
      <c r="E350">
        <v>12</v>
      </c>
      <c r="F350">
        <v>1</v>
      </c>
      <c r="G350">
        <v>38</v>
      </c>
    </row>
    <row r="351" spans="1:7" x14ac:dyDescent="0.2">
      <c r="A351" t="s">
        <v>1947</v>
      </c>
      <c r="B351">
        <v>0</v>
      </c>
      <c r="C351">
        <v>0</v>
      </c>
      <c r="D351">
        <v>0</v>
      </c>
      <c r="E351">
        <v>0</v>
      </c>
      <c r="F351">
        <v>0</v>
      </c>
      <c r="G351">
        <v>0</v>
      </c>
    </row>
    <row r="352" spans="1:7" x14ac:dyDescent="0.2">
      <c r="A352" t="s">
        <v>1953</v>
      </c>
      <c r="B352">
        <v>0</v>
      </c>
      <c r="C352">
        <v>0</v>
      </c>
      <c r="D352">
        <v>0</v>
      </c>
      <c r="E352">
        <v>1</v>
      </c>
      <c r="F352">
        <v>1</v>
      </c>
      <c r="G352">
        <v>2</v>
      </c>
    </row>
    <row r="353" spans="1:7" x14ac:dyDescent="0.2">
      <c r="A353" t="s">
        <v>1958</v>
      </c>
      <c r="B353">
        <v>0</v>
      </c>
      <c r="C353">
        <v>0</v>
      </c>
      <c r="D353">
        <v>0</v>
      </c>
      <c r="E353">
        <v>0</v>
      </c>
      <c r="F353">
        <v>0</v>
      </c>
      <c r="G353">
        <v>0</v>
      </c>
    </row>
    <row r="354" spans="1:7" x14ac:dyDescent="0.2">
      <c r="A354" t="s">
        <v>1964</v>
      </c>
      <c r="B354">
        <v>0</v>
      </c>
      <c r="C354">
        <v>0</v>
      </c>
      <c r="D354">
        <v>0</v>
      </c>
      <c r="E354">
        <v>0</v>
      </c>
      <c r="F354">
        <v>0</v>
      </c>
      <c r="G354">
        <v>0</v>
      </c>
    </row>
    <row r="355" spans="1:7" x14ac:dyDescent="0.2">
      <c r="A355" t="s">
        <v>1973</v>
      </c>
      <c r="B355">
        <v>0</v>
      </c>
      <c r="C355">
        <v>0</v>
      </c>
      <c r="D355">
        <v>0</v>
      </c>
      <c r="E355">
        <v>0</v>
      </c>
      <c r="F355">
        <v>0</v>
      </c>
      <c r="G355">
        <v>0</v>
      </c>
    </row>
    <row r="356" spans="1:7" x14ac:dyDescent="0.2">
      <c r="A356" t="s">
        <v>1978</v>
      </c>
      <c r="B356">
        <v>0</v>
      </c>
      <c r="C356">
        <v>0</v>
      </c>
      <c r="D356">
        <v>0</v>
      </c>
      <c r="E356">
        <v>0</v>
      </c>
      <c r="F356">
        <v>0</v>
      </c>
      <c r="G356">
        <v>0</v>
      </c>
    </row>
    <row r="357" spans="1:7" x14ac:dyDescent="0.2">
      <c r="A357" t="s">
        <v>1983</v>
      </c>
      <c r="B357">
        <v>14</v>
      </c>
      <c r="C357">
        <v>0</v>
      </c>
      <c r="D357">
        <v>0</v>
      </c>
      <c r="E357">
        <v>4</v>
      </c>
      <c r="F357">
        <v>0</v>
      </c>
      <c r="G357">
        <v>18</v>
      </c>
    </row>
    <row r="358" spans="1:7" x14ac:dyDescent="0.2">
      <c r="A358" t="s">
        <v>1984</v>
      </c>
      <c r="B358">
        <v>0</v>
      </c>
      <c r="C358">
        <v>0</v>
      </c>
      <c r="D358">
        <v>0</v>
      </c>
      <c r="E358">
        <v>0</v>
      </c>
      <c r="F358">
        <v>0</v>
      </c>
      <c r="G358">
        <v>0</v>
      </c>
    </row>
    <row r="359" spans="1:7" x14ac:dyDescent="0.2">
      <c r="A359" t="s">
        <v>1990</v>
      </c>
      <c r="B359">
        <v>0</v>
      </c>
      <c r="C359">
        <v>0</v>
      </c>
      <c r="D359">
        <v>0</v>
      </c>
      <c r="E359">
        <v>0</v>
      </c>
      <c r="F359">
        <v>0</v>
      </c>
      <c r="G359">
        <v>0</v>
      </c>
    </row>
    <row r="360" spans="1:7" x14ac:dyDescent="0.2">
      <c r="A360" t="s">
        <v>1996</v>
      </c>
      <c r="B360">
        <v>0</v>
      </c>
      <c r="C360">
        <v>0</v>
      </c>
      <c r="D360">
        <v>0</v>
      </c>
      <c r="E360">
        <v>0</v>
      </c>
      <c r="F360">
        <v>0</v>
      </c>
      <c r="G360">
        <v>0</v>
      </c>
    </row>
    <row r="361" spans="1:7" x14ac:dyDescent="0.2">
      <c r="A361" t="s">
        <v>1998</v>
      </c>
      <c r="B361">
        <v>0</v>
      </c>
      <c r="C361">
        <v>0</v>
      </c>
      <c r="D361">
        <v>0</v>
      </c>
      <c r="E361">
        <v>0</v>
      </c>
      <c r="F361">
        <v>0</v>
      </c>
      <c r="G361">
        <v>0</v>
      </c>
    </row>
    <row r="362" spans="1:7" x14ac:dyDescent="0.2">
      <c r="A362" t="s">
        <v>1999</v>
      </c>
      <c r="B362">
        <v>0</v>
      </c>
      <c r="C362">
        <v>0</v>
      </c>
      <c r="D362">
        <v>0</v>
      </c>
      <c r="E362">
        <v>0</v>
      </c>
      <c r="F362">
        <v>0</v>
      </c>
      <c r="G362">
        <v>0</v>
      </c>
    </row>
    <row r="363" spans="1:7" x14ac:dyDescent="0.2">
      <c r="A363" t="s">
        <v>2004</v>
      </c>
      <c r="B363">
        <v>0</v>
      </c>
      <c r="C363">
        <v>0</v>
      </c>
      <c r="D363">
        <v>0</v>
      </c>
      <c r="E363">
        <v>0</v>
      </c>
      <c r="F363">
        <v>0</v>
      </c>
      <c r="G363">
        <v>0</v>
      </c>
    </row>
    <row r="364" spans="1:7" x14ac:dyDescent="0.2">
      <c r="A364" t="s">
        <v>2009</v>
      </c>
      <c r="B364">
        <v>0</v>
      </c>
      <c r="C364">
        <v>0</v>
      </c>
      <c r="D364">
        <v>0</v>
      </c>
      <c r="E364">
        <v>0</v>
      </c>
      <c r="F364">
        <v>0</v>
      </c>
      <c r="G364">
        <v>0</v>
      </c>
    </row>
    <row r="365" spans="1:7" x14ac:dyDescent="0.2">
      <c r="A365" t="s">
        <v>2014</v>
      </c>
      <c r="B365">
        <v>0</v>
      </c>
      <c r="C365">
        <v>0</v>
      </c>
      <c r="D365">
        <v>0</v>
      </c>
      <c r="E365">
        <v>0</v>
      </c>
      <c r="F365">
        <v>0</v>
      </c>
      <c r="G365">
        <v>0</v>
      </c>
    </row>
    <row r="366" spans="1:7" x14ac:dyDescent="0.2">
      <c r="A366" t="s">
        <v>2019</v>
      </c>
      <c r="B366">
        <v>0</v>
      </c>
      <c r="C366">
        <v>0</v>
      </c>
      <c r="D366">
        <v>0</v>
      </c>
      <c r="E366">
        <v>0</v>
      </c>
      <c r="F366">
        <v>0</v>
      </c>
      <c r="G366">
        <v>0</v>
      </c>
    </row>
    <row r="367" spans="1:7" x14ac:dyDescent="0.2">
      <c r="A367" t="s">
        <v>2023</v>
      </c>
      <c r="B367">
        <v>0</v>
      </c>
      <c r="C367">
        <v>0</v>
      </c>
      <c r="D367">
        <v>0</v>
      </c>
      <c r="E367">
        <v>0</v>
      </c>
      <c r="F367">
        <v>0</v>
      </c>
      <c r="G367">
        <v>0</v>
      </c>
    </row>
    <row r="368" spans="1:7" x14ac:dyDescent="0.2">
      <c r="A368" t="s">
        <v>2026</v>
      </c>
      <c r="B368">
        <v>0</v>
      </c>
      <c r="C368">
        <v>0</v>
      </c>
      <c r="D368">
        <v>0</v>
      </c>
      <c r="E368">
        <v>0</v>
      </c>
      <c r="F368">
        <v>0</v>
      </c>
      <c r="G368">
        <v>0</v>
      </c>
    </row>
    <row r="369" spans="1:7" x14ac:dyDescent="0.2">
      <c r="A369" t="s">
        <v>2030</v>
      </c>
      <c r="B369">
        <v>0</v>
      </c>
      <c r="C369">
        <v>0</v>
      </c>
      <c r="D369">
        <v>0</v>
      </c>
      <c r="E369">
        <v>0</v>
      </c>
      <c r="F369">
        <v>0</v>
      </c>
      <c r="G369">
        <v>0</v>
      </c>
    </row>
    <row r="370" spans="1:7" x14ac:dyDescent="0.2">
      <c r="A370" t="s">
        <v>2035</v>
      </c>
      <c r="B370">
        <v>0</v>
      </c>
      <c r="C370">
        <v>0</v>
      </c>
      <c r="D370">
        <v>0</v>
      </c>
      <c r="E370">
        <v>0</v>
      </c>
      <c r="F370">
        <v>0</v>
      </c>
      <c r="G370">
        <v>0</v>
      </c>
    </row>
    <row r="371" spans="1:7" x14ac:dyDescent="0.2">
      <c r="A371" t="s">
        <v>2040</v>
      </c>
      <c r="B371">
        <v>0</v>
      </c>
      <c r="C371">
        <v>0</v>
      </c>
      <c r="D371">
        <v>0</v>
      </c>
      <c r="E371">
        <v>0</v>
      </c>
      <c r="F371">
        <v>0</v>
      </c>
      <c r="G371">
        <v>0</v>
      </c>
    </row>
    <row r="372" spans="1:7" x14ac:dyDescent="0.2">
      <c r="A372" t="s">
        <v>2045</v>
      </c>
      <c r="B372">
        <v>0</v>
      </c>
      <c r="C372">
        <v>0</v>
      </c>
      <c r="D372">
        <v>0</v>
      </c>
      <c r="E372">
        <v>0</v>
      </c>
      <c r="F372">
        <v>0</v>
      </c>
      <c r="G372">
        <v>0</v>
      </c>
    </row>
    <row r="373" spans="1:7" x14ac:dyDescent="0.2">
      <c r="A373" t="s">
        <v>2049</v>
      </c>
      <c r="B373">
        <v>0</v>
      </c>
      <c r="C373">
        <v>0</v>
      </c>
      <c r="D373">
        <v>0</v>
      </c>
      <c r="E373">
        <v>0</v>
      </c>
      <c r="F373">
        <v>12</v>
      </c>
      <c r="G373">
        <v>12</v>
      </c>
    </row>
    <row r="374" spans="1:7" x14ac:dyDescent="0.2">
      <c r="A374" t="s">
        <v>2051</v>
      </c>
      <c r="B374">
        <v>0</v>
      </c>
      <c r="C374">
        <v>0</v>
      </c>
      <c r="D374">
        <v>0</v>
      </c>
      <c r="E374">
        <v>0</v>
      </c>
      <c r="F374">
        <v>8</v>
      </c>
      <c r="G374">
        <v>8</v>
      </c>
    </row>
    <row r="375" spans="1:7" x14ac:dyDescent="0.2">
      <c r="A375" t="s">
        <v>2057</v>
      </c>
      <c r="B375">
        <v>0</v>
      </c>
      <c r="C375">
        <v>0</v>
      </c>
      <c r="D375">
        <v>0</v>
      </c>
      <c r="E375">
        <v>1</v>
      </c>
      <c r="F375">
        <v>14</v>
      </c>
      <c r="G375">
        <v>14</v>
      </c>
    </row>
    <row r="376" spans="1:7" x14ac:dyDescent="0.2">
      <c r="A376" t="s">
        <v>4344</v>
      </c>
      <c r="B376">
        <v>0</v>
      </c>
      <c r="C376">
        <v>0</v>
      </c>
      <c r="D376">
        <v>0</v>
      </c>
      <c r="E376">
        <v>0</v>
      </c>
      <c r="F376">
        <v>0</v>
      </c>
      <c r="G376">
        <v>1</v>
      </c>
    </row>
    <row r="377" spans="1:7" x14ac:dyDescent="0.2">
      <c r="A377" t="s">
        <v>4345</v>
      </c>
      <c r="B377">
        <v>0</v>
      </c>
      <c r="C377">
        <v>0</v>
      </c>
      <c r="D377">
        <v>0</v>
      </c>
      <c r="E377">
        <v>1</v>
      </c>
      <c r="F377">
        <v>11</v>
      </c>
      <c r="G377">
        <v>11</v>
      </c>
    </row>
    <row r="378" spans="1:7" x14ac:dyDescent="0.2">
      <c r="A378" t="s">
        <v>2074</v>
      </c>
      <c r="B378">
        <v>0</v>
      </c>
      <c r="C378">
        <v>0</v>
      </c>
      <c r="D378">
        <v>0</v>
      </c>
      <c r="E378">
        <v>0</v>
      </c>
      <c r="F378">
        <v>0</v>
      </c>
      <c r="G378">
        <v>0</v>
      </c>
    </row>
    <row r="379" spans="1:7" x14ac:dyDescent="0.2">
      <c r="A379" t="s">
        <v>2079</v>
      </c>
      <c r="B379">
        <v>0</v>
      </c>
      <c r="C379">
        <v>0</v>
      </c>
      <c r="D379">
        <v>0</v>
      </c>
      <c r="E379">
        <v>0</v>
      </c>
      <c r="F379">
        <v>0</v>
      </c>
      <c r="G379">
        <v>0</v>
      </c>
    </row>
    <row r="380" spans="1:7" x14ac:dyDescent="0.2">
      <c r="A380" t="s">
        <v>2085</v>
      </c>
      <c r="B380">
        <v>0</v>
      </c>
      <c r="C380">
        <v>0</v>
      </c>
      <c r="D380">
        <v>0</v>
      </c>
      <c r="E380">
        <v>0</v>
      </c>
      <c r="F380">
        <v>0</v>
      </c>
      <c r="G380">
        <v>0</v>
      </c>
    </row>
    <row r="381" spans="1:7" x14ac:dyDescent="0.2">
      <c r="A381" t="s">
        <v>2091</v>
      </c>
      <c r="B381">
        <v>0</v>
      </c>
      <c r="C381">
        <v>0</v>
      </c>
      <c r="D381">
        <v>0</v>
      </c>
      <c r="E381">
        <v>0</v>
      </c>
      <c r="F381">
        <v>0</v>
      </c>
      <c r="G381">
        <v>0</v>
      </c>
    </row>
    <row r="382" spans="1:7" x14ac:dyDescent="0.2">
      <c r="A382" t="s">
        <v>2097</v>
      </c>
      <c r="B382">
        <v>0</v>
      </c>
      <c r="C382">
        <v>0</v>
      </c>
      <c r="D382">
        <v>0</v>
      </c>
      <c r="E382">
        <v>0</v>
      </c>
      <c r="F382">
        <v>0</v>
      </c>
      <c r="G382">
        <v>0</v>
      </c>
    </row>
    <row r="383" spans="1:7" x14ac:dyDescent="0.2">
      <c r="A383" t="s">
        <v>2101</v>
      </c>
      <c r="B383">
        <v>0</v>
      </c>
      <c r="C383">
        <v>0</v>
      </c>
      <c r="D383">
        <v>0</v>
      </c>
      <c r="E383">
        <v>0</v>
      </c>
      <c r="F383">
        <v>0</v>
      </c>
      <c r="G383">
        <v>0</v>
      </c>
    </row>
    <row r="384" spans="1:7" x14ac:dyDescent="0.2">
      <c r="A384" t="s">
        <v>2104</v>
      </c>
      <c r="B384">
        <v>0</v>
      </c>
      <c r="C384">
        <v>0</v>
      </c>
      <c r="D384">
        <v>0</v>
      </c>
      <c r="E384">
        <v>0</v>
      </c>
      <c r="F384">
        <v>0</v>
      </c>
      <c r="G384">
        <v>0</v>
      </c>
    </row>
    <row r="385" spans="1:7" x14ac:dyDescent="0.2">
      <c r="A385" t="s">
        <v>2107</v>
      </c>
      <c r="B385">
        <v>0</v>
      </c>
      <c r="C385">
        <v>0</v>
      </c>
      <c r="D385">
        <v>0</v>
      </c>
      <c r="E385">
        <v>0</v>
      </c>
      <c r="F385">
        <v>0</v>
      </c>
      <c r="G385">
        <v>0</v>
      </c>
    </row>
    <row r="386" spans="1:7" x14ac:dyDescent="0.2">
      <c r="A386" t="s">
        <v>2110</v>
      </c>
      <c r="B386">
        <v>0</v>
      </c>
      <c r="C386">
        <v>0</v>
      </c>
      <c r="D386">
        <v>0</v>
      </c>
      <c r="E386">
        <v>0</v>
      </c>
      <c r="F386">
        <v>0</v>
      </c>
      <c r="G386">
        <v>0</v>
      </c>
    </row>
    <row r="387" spans="1:7" x14ac:dyDescent="0.2">
      <c r="A387" t="s">
        <v>2113</v>
      </c>
      <c r="B387">
        <v>0</v>
      </c>
      <c r="C387">
        <v>0</v>
      </c>
      <c r="D387">
        <v>0</v>
      </c>
      <c r="E387">
        <v>0</v>
      </c>
      <c r="F387">
        <v>0</v>
      </c>
      <c r="G387">
        <v>0</v>
      </c>
    </row>
    <row r="388" spans="1:7" x14ac:dyDescent="0.2">
      <c r="A388" t="s">
        <v>4346</v>
      </c>
      <c r="B388">
        <v>0</v>
      </c>
      <c r="C388">
        <v>0</v>
      </c>
      <c r="D388">
        <v>0</v>
      </c>
      <c r="E388">
        <v>0</v>
      </c>
      <c r="F388">
        <v>0</v>
      </c>
      <c r="G388">
        <v>0</v>
      </c>
    </row>
    <row r="389" spans="1:7" x14ac:dyDescent="0.2">
      <c r="A389" t="s">
        <v>4347</v>
      </c>
      <c r="B389">
        <v>0</v>
      </c>
      <c r="C389">
        <v>0</v>
      </c>
      <c r="D389">
        <v>0</v>
      </c>
      <c r="E389">
        <v>0</v>
      </c>
      <c r="F389">
        <v>0</v>
      </c>
      <c r="G389">
        <v>0</v>
      </c>
    </row>
    <row r="390" spans="1:7" x14ac:dyDescent="0.2">
      <c r="A390" t="s">
        <v>4348</v>
      </c>
      <c r="B390">
        <v>0</v>
      </c>
      <c r="C390">
        <v>0</v>
      </c>
      <c r="D390">
        <v>0</v>
      </c>
      <c r="E390">
        <v>0</v>
      </c>
      <c r="F390">
        <v>0</v>
      </c>
      <c r="G390">
        <v>0</v>
      </c>
    </row>
    <row r="391" spans="1:7" x14ac:dyDescent="0.2">
      <c r="A391" t="s">
        <v>4349</v>
      </c>
      <c r="B391">
        <v>0</v>
      </c>
      <c r="C391">
        <v>0</v>
      </c>
      <c r="D391">
        <v>0</v>
      </c>
      <c r="E391">
        <v>0</v>
      </c>
      <c r="F391">
        <v>0</v>
      </c>
      <c r="G391">
        <v>0</v>
      </c>
    </row>
    <row r="392" spans="1:7" x14ac:dyDescent="0.2">
      <c r="A392" t="s">
        <v>4350</v>
      </c>
      <c r="B392">
        <v>0</v>
      </c>
      <c r="C392">
        <v>2</v>
      </c>
      <c r="D392">
        <v>8</v>
      </c>
      <c r="E392">
        <v>0</v>
      </c>
      <c r="F392">
        <v>0</v>
      </c>
      <c r="G392">
        <v>10</v>
      </c>
    </row>
    <row r="393" spans="1:7" x14ac:dyDescent="0.2">
      <c r="A393" t="s">
        <v>4351</v>
      </c>
      <c r="B393">
        <v>0</v>
      </c>
      <c r="C393">
        <v>0</v>
      </c>
      <c r="D393">
        <v>0</v>
      </c>
      <c r="E393">
        <v>0</v>
      </c>
      <c r="F393">
        <v>0</v>
      </c>
      <c r="G393">
        <v>0</v>
      </c>
    </row>
    <row r="394" spans="1:7" x14ac:dyDescent="0.2">
      <c r="A394" t="s">
        <v>4352</v>
      </c>
      <c r="B394">
        <v>0</v>
      </c>
      <c r="C394">
        <v>0</v>
      </c>
      <c r="D394">
        <v>0</v>
      </c>
      <c r="E394">
        <v>0</v>
      </c>
      <c r="F394">
        <v>0</v>
      </c>
      <c r="G394">
        <v>0</v>
      </c>
    </row>
    <row r="395" spans="1:7" x14ac:dyDescent="0.2">
      <c r="A395" t="s">
        <v>4353</v>
      </c>
      <c r="B395">
        <v>2</v>
      </c>
      <c r="C395">
        <v>137</v>
      </c>
      <c r="D395">
        <v>51</v>
      </c>
      <c r="E395">
        <v>3</v>
      </c>
      <c r="F395">
        <v>0</v>
      </c>
      <c r="G395">
        <v>193</v>
      </c>
    </row>
    <row r="396" spans="1:7" x14ac:dyDescent="0.2">
      <c r="A396" t="s">
        <v>4354</v>
      </c>
      <c r="B396">
        <v>14</v>
      </c>
      <c r="C396">
        <v>135</v>
      </c>
      <c r="D396">
        <v>42</v>
      </c>
      <c r="E396">
        <v>1</v>
      </c>
      <c r="F396">
        <v>0</v>
      </c>
      <c r="G396">
        <v>192</v>
      </c>
    </row>
    <row r="397" spans="1:7" x14ac:dyDescent="0.2">
      <c r="A397" t="s">
        <v>4355</v>
      </c>
      <c r="B397">
        <v>0</v>
      </c>
      <c r="C397">
        <v>0</v>
      </c>
      <c r="D397">
        <v>0</v>
      </c>
      <c r="E397">
        <v>0</v>
      </c>
      <c r="F397">
        <v>0</v>
      </c>
      <c r="G397">
        <v>0</v>
      </c>
    </row>
    <row r="398" spans="1:7" x14ac:dyDescent="0.2">
      <c r="A398" t="s">
        <v>4356</v>
      </c>
      <c r="B398">
        <v>0</v>
      </c>
      <c r="C398">
        <v>0</v>
      </c>
      <c r="D398">
        <v>0</v>
      </c>
      <c r="E398">
        <v>0</v>
      </c>
      <c r="F398">
        <v>0</v>
      </c>
      <c r="G398">
        <v>0</v>
      </c>
    </row>
    <row r="399" spans="1:7" x14ac:dyDescent="0.2">
      <c r="A399" t="s">
        <v>4357</v>
      </c>
      <c r="B399">
        <v>0</v>
      </c>
      <c r="C399">
        <v>7</v>
      </c>
      <c r="D399">
        <v>0</v>
      </c>
      <c r="E399">
        <v>0</v>
      </c>
      <c r="F399">
        <v>0</v>
      </c>
      <c r="G399">
        <v>7</v>
      </c>
    </row>
    <row r="400" spans="1:7" x14ac:dyDescent="0.2">
      <c r="A400" t="s">
        <v>4358</v>
      </c>
      <c r="B400">
        <v>0</v>
      </c>
      <c r="C400">
        <v>1</v>
      </c>
      <c r="D400">
        <v>0</v>
      </c>
      <c r="E400">
        <v>0</v>
      </c>
      <c r="F400">
        <v>0</v>
      </c>
      <c r="G400">
        <v>1</v>
      </c>
    </row>
    <row r="401" spans="1:7" x14ac:dyDescent="0.2">
      <c r="A401" t="s">
        <v>4359</v>
      </c>
      <c r="B401">
        <v>0</v>
      </c>
      <c r="C401">
        <v>0</v>
      </c>
      <c r="D401">
        <v>0</v>
      </c>
      <c r="E401">
        <v>0</v>
      </c>
      <c r="F401">
        <v>0</v>
      </c>
      <c r="G401">
        <v>0</v>
      </c>
    </row>
    <row r="402" spans="1:7" x14ac:dyDescent="0.2">
      <c r="A402" t="s">
        <v>4360</v>
      </c>
      <c r="B402">
        <v>0</v>
      </c>
      <c r="C402">
        <v>0</v>
      </c>
      <c r="D402">
        <v>0</v>
      </c>
      <c r="E402">
        <v>22</v>
      </c>
      <c r="F402">
        <v>1</v>
      </c>
      <c r="G402">
        <v>22</v>
      </c>
    </row>
    <row r="403" spans="1:7" x14ac:dyDescent="0.2">
      <c r="A403" t="s">
        <v>4361</v>
      </c>
      <c r="B403">
        <v>0</v>
      </c>
      <c r="C403">
        <v>0</v>
      </c>
      <c r="D403">
        <v>46</v>
      </c>
      <c r="E403">
        <v>1</v>
      </c>
      <c r="F403">
        <v>0</v>
      </c>
      <c r="G403">
        <v>47</v>
      </c>
    </row>
    <row r="404" spans="1:7" x14ac:dyDescent="0.2">
      <c r="A404" t="s">
        <v>4362</v>
      </c>
      <c r="B404">
        <v>0</v>
      </c>
      <c r="C404">
        <v>0</v>
      </c>
      <c r="D404">
        <v>0</v>
      </c>
      <c r="E404">
        <v>0</v>
      </c>
      <c r="F404">
        <v>0</v>
      </c>
      <c r="G404">
        <v>0</v>
      </c>
    </row>
    <row r="405" spans="1:7" x14ac:dyDescent="0.2">
      <c r="A405" t="s">
        <v>4363</v>
      </c>
      <c r="B405">
        <v>0</v>
      </c>
      <c r="C405">
        <v>0</v>
      </c>
      <c r="D405">
        <v>0</v>
      </c>
      <c r="E405">
        <v>0</v>
      </c>
      <c r="F405">
        <v>0</v>
      </c>
      <c r="G405">
        <v>0</v>
      </c>
    </row>
    <row r="406" spans="1:7" x14ac:dyDescent="0.2">
      <c r="A406" t="s">
        <v>4364</v>
      </c>
      <c r="B406">
        <v>0</v>
      </c>
      <c r="C406">
        <v>0</v>
      </c>
      <c r="D406">
        <v>0</v>
      </c>
      <c r="E406">
        <v>0</v>
      </c>
      <c r="F406">
        <v>0</v>
      </c>
      <c r="G406">
        <v>0</v>
      </c>
    </row>
    <row r="407" spans="1:7" x14ac:dyDescent="0.2">
      <c r="A407" t="s">
        <v>4365</v>
      </c>
      <c r="B407">
        <v>1</v>
      </c>
      <c r="C407">
        <v>15</v>
      </c>
      <c r="D407">
        <v>6</v>
      </c>
      <c r="E407">
        <v>0</v>
      </c>
      <c r="F407">
        <v>0</v>
      </c>
      <c r="G407">
        <v>21</v>
      </c>
    </row>
    <row r="408" spans="1:7" x14ac:dyDescent="0.2">
      <c r="A408" t="s">
        <v>4366</v>
      </c>
      <c r="B408">
        <v>0</v>
      </c>
      <c r="C408">
        <v>0</v>
      </c>
      <c r="D408">
        <v>0</v>
      </c>
      <c r="E408">
        <v>0</v>
      </c>
      <c r="F408">
        <v>0</v>
      </c>
      <c r="G408">
        <v>0</v>
      </c>
    </row>
    <row r="409" spans="1:7" x14ac:dyDescent="0.2">
      <c r="A409" t="s">
        <v>4367</v>
      </c>
      <c r="B409">
        <v>0</v>
      </c>
      <c r="C409">
        <v>0</v>
      </c>
      <c r="D409">
        <v>0</v>
      </c>
      <c r="E409">
        <v>0</v>
      </c>
      <c r="F409">
        <v>0</v>
      </c>
      <c r="G409">
        <v>0</v>
      </c>
    </row>
    <row r="410" spans="1:7" x14ac:dyDescent="0.2">
      <c r="A410" t="s">
        <v>4368</v>
      </c>
      <c r="B410">
        <v>20</v>
      </c>
      <c r="C410">
        <v>62</v>
      </c>
      <c r="D410">
        <v>80</v>
      </c>
      <c r="E410">
        <v>153</v>
      </c>
      <c r="F410">
        <v>14</v>
      </c>
      <c r="G410">
        <v>330</v>
      </c>
    </row>
    <row r="411" spans="1:7" x14ac:dyDescent="0.2">
      <c r="A411" t="s">
        <v>4369</v>
      </c>
      <c r="B411">
        <v>12</v>
      </c>
      <c r="C411">
        <v>180</v>
      </c>
      <c r="D411">
        <v>311</v>
      </c>
      <c r="E411">
        <v>5</v>
      </c>
      <c r="F411">
        <v>0</v>
      </c>
      <c r="G411">
        <v>507</v>
      </c>
    </row>
    <row r="412" spans="1:7" x14ac:dyDescent="0.2">
      <c r="A412" t="s">
        <v>4370</v>
      </c>
      <c r="B412">
        <v>30</v>
      </c>
      <c r="C412">
        <v>24</v>
      </c>
      <c r="D412">
        <v>17</v>
      </c>
      <c r="E412">
        <v>1</v>
      </c>
      <c r="F412">
        <v>0</v>
      </c>
      <c r="G412">
        <v>73</v>
      </c>
    </row>
    <row r="413" spans="1:7" x14ac:dyDescent="0.2">
      <c r="A413" t="s">
        <v>4371</v>
      </c>
      <c r="B413">
        <v>8</v>
      </c>
      <c r="C413">
        <v>7</v>
      </c>
      <c r="D413">
        <v>18</v>
      </c>
      <c r="E413">
        <v>2</v>
      </c>
      <c r="F413">
        <v>0</v>
      </c>
      <c r="G413">
        <v>35</v>
      </c>
    </row>
    <row r="414" spans="1:7" x14ac:dyDescent="0.2">
      <c r="A414" t="s">
        <v>4372</v>
      </c>
      <c r="B414">
        <v>0</v>
      </c>
      <c r="C414">
        <v>0</v>
      </c>
      <c r="D414">
        <v>0</v>
      </c>
      <c r="E414">
        <v>0</v>
      </c>
      <c r="F414">
        <v>0</v>
      </c>
      <c r="G414">
        <v>0</v>
      </c>
    </row>
    <row r="415" spans="1:7" x14ac:dyDescent="0.2">
      <c r="A415" t="s">
        <v>4373</v>
      </c>
      <c r="B415">
        <v>0</v>
      </c>
      <c r="C415">
        <v>2</v>
      </c>
      <c r="D415">
        <v>0</v>
      </c>
      <c r="E415">
        <v>0</v>
      </c>
      <c r="F415">
        <v>0</v>
      </c>
      <c r="G415">
        <v>2</v>
      </c>
    </row>
    <row r="416" spans="1:7" x14ac:dyDescent="0.2">
      <c r="A416" t="s">
        <v>4374</v>
      </c>
      <c r="B416">
        <v>0</v>
      </c>
      <c r="C416">
        <v>0</v>
      </c>
      <c r="D416">
        <v>0</v>
      </c>
      <c r="E416">
        <v>0</v>
      </c>
      <c r="F416">
        <v>0</v>
      </c>
      <c r="G416">
        <v>0</v>
      </c>
    </row>
    <row r="417" spans="1:10" x14ac:dyDescent="0.2">
      <c r="A417" t="s">
        <v>4375</v>
      </c>
      <c r="B417">
        <v>0</v>
      </c>
      <c r="C417">
        <v>0</v>
      </c>
      <c r="D417">
        <v>0</v>
      </c>
      <c r="E417">
        <v>0</v>
      </c>
      <c r="F417">
        <v>0</v>
      </c>
      <c r="G417">
        <v>0</v>
      </c>
    </row>
    <row r="418" spans="1:10" x14ac:dyDescent="0.2">
      <c r="A418" t="s">
        <v>4376</v>
      </c>
      <c r="B418">
        <v>0</v>
      </c>
      <c r="C418">
        <v>0</v>
      </c>
      <c r="D418">
        <v>0</v>
      </c>
      <c r="E418">
        <v>0</v>
      </c>
      <c r="F418">
        <v>0</v>
      </c>
      <c r="G418">
        <v>0</v>
      </c>
    </row>
    <row r="419" spans="1:10" x14ac:dyDescent="0.2">
      <c r="A419" t="s">
        <v>4377</v>
      </c>
      <c r="B419">
        <v>0</v>
      </c>
      <c r="C419">
        <v>0</v>
      </c>
      <c r="D419">
        <v>0</v>
      </c>
      <c r="E419">
        <v>0</v>
      </c>
      <c r="F419">
        <v>0</v>
      </c>
      <c r="G419">
        <v>0</v>
      </c>
    </row>
    <row r="420" spans="1:10" x14ac:dyDescent="0.2">
      <c r="A420" t="s">
        <v>2318</v>
      </c>
      <c r="B420" t="s">
        <v>2319</v>
      </c>
      <c r="C420" t="s">
        <v>2319</v>
      </c>
      <c r="D420" t="s">
        <v>2319</v>
      </c>
      <c r="E420" t="s">
        <v>2319</v>
      </c>
      <c r="F420" t="s">
        <v>2319</v>
      </c>
      <c r="G420" t="s">
        <v>2319</v>
      </c>
    </row>
    <row r="421" spans="1:10" x14ac:dyDescent="0.2">
      <c r="A421" t="s">
        <v>4248</v>
      </c>
    </row>
    <row r="422" spans="1:10" x14ac:dyDescent="0.2">
      <c r="A422" t="s">
        <v>4250</v>
      </c>
      <c r="C422" t="s">
        <v>4251</v>
      </c>
      <c r="G422" t="s">
        <v>7531</v>
      </c>
      <c r="J422"/>
    </row>
    <row r="423" spans="1:10" x14ac:dyDescent="0.2">
      <c r="A423" t="s">
        <v>4925</v>
      </c>
      <c r="G423" t="s">
        <v>7537</v>
      </c>
      <c r="J423"/>
    </row>
    <row r="424" spans="1:10" x14ac:dyDescent="0.2">
      <c r="A424" t="s">
        <v>7530</v>
      </c>
      <c r="J424"/>
    </row>
    <row r="425" spans="1:10" x14ac:dyDescent="0.2">
      <c r="A425" t="s">
        <v>4933</v>
      </c>
      <c r="J425"/>
    </row>
    <row r="426" spans="1:10" x14ac:dyDescent="0.2">
      <c r="J426"/>
    </row>
    <row r="427" spans="1:10" x14ac:dyDescent="0.2">
      <c r="A427" t="s">
        <v>4259</v>
      </c>
      <c r="J427"/>
    </row>
    <row r="428" spans="1:10" x14ac:dyDescent="0.2">
      <c r="A428" t="s">
        <v>2318</v>
      </c>
      <c r="B428" t="s">
        <v>2319</v>
      </c>
      <c r="C428" t="s">
        <v>2319</v>
      </c>
      <c r="D428" t="s">
        <v>2319</v>
      </c>
      <c r="E428" t="s">
        <v>2319</v>
      </c>
      <c r="F428" t="s">
        <v>2319</v>
      </c>
      <c r="G428" t="s">
        <v>2319</v>
      </c>
    </row>
    <row r="429" spans="1:10" x14ac:dyDescent="0.2">
      <c r="A429" t="s">
        <v>174</v>
      </c>
      <c r="B429" t="s">
        <v>4945</v>
      </c>
      <c r="C429" t="s">
        <v>4946</v>
      </c>
      <c r="D429" t="s">
        <v>4947</v>
      </c>
      <c r="E429" t="s">
        <v>4948</v>
      </c>
      <c r="F429" t="s">
        <v>4949</v>
      </c>
    </row>
    <row r="430" spans="1:10" x14ac:dyDescent="0.2">
      <c r="A430" t="s">
        <v>126</v>
      </c>
      <c r="B430" t="s">
        <v>4262</v>
      </c>
      <c r="C430" t="s">
        <v>4263</v>
      </c>
      <c r="D430" t="s">
        <v>4264</v>
      </c>
      <c r="E430" t="s">
        <v>2308</v>
      </c>
      <c r="F430" t="s">
        <v>615</v>
      </c>
      <c r="G430" t="s">
        <v>236</v>
      </c>
    </row>
    <row r="431" spans="1:10" x14ac:dyDescent="0.2">
      <c r="A431" t="s">
        <v>2318</v>
      </c>
      <c r="B431" t="s">
        <v>2319</v>
      </c>
      <c r="C431" t="s">
        <v>2319</v>
      </c>
      <c r="D431" t="s">
        <v>2319</v>
      </c>
      <c r="E431" t="s">
        <v>2319</v>
      </c>
      <c r="F431" t="s">
        <v>2319</v>
      </c>
      <c r="G431" t="s">
        <v>2319</v>
      </c>
    </row>
    <row r="432" spans="1:10" x14ac:dyDescent="0.2">
      <c r="A432" t="s">
        <v>4265</v>
      </c>
      <c r="B432">
        <v>0</v>
      </c>
      <c r="C432">
        <v>0</v>
      </c>
      <c r="D432">
        <v>0</v>
      </c>
      <c r="E432">
        <v>0</v>
      </c>
      <c r="F432">
        <v>0</v>
      </c>
      <c r="G432">
        <v>0</v>
      </c>
    </row>
    <row r="433" spans="1:7" x14ac:dyDescent="0.2">
      <c r="A433" t="s">
        <v>4266</v>
      </c>
      <c r="B433">
        <v>0</v>
      </c>
      <c r="C433">
        <v>0</v>
      </c>
      <c r="D433">
        <v>0</v>
      </c>
      <c r="E433">
        <v>0</v>
      </c>
      <c r="F433">
        <v>0</v>
      </c>
      <c r="G433">
        <v>0</v>
      </c>
    </row>
    <row r="434" spans="1:7" x14ac:dyDescent="0.2">
      <c r="A434" t="s">
        <v>4267</v>
      </c>
      <c r="B434">
        <v>0</v>
      </c>
      <c r="C434">
        <v>0</v>
      </c>
      <c r="D434">
        <v>0</v>
      </c>
      <c r="E434">
        <v>0</v>
      </c>
      <c r="F434">
        <v>0</v>
      </c>
      <c r="G434">
        <v>0</v>
      </c>
    </row>
    <row r="435" spans="1:7" x14ac:dyDescent="0.2">
      <c r="A435" t="s">
        <v>4268</v>
      </c>
      <c r="B435">
        <v>0</v>
      </c>
      <c r="C435">
        <v>0</v>
      </c>
      <c r="D435">
        <v>0</v>
      </c>
      <c r="E435">
        <v>0</v>
      </c>
      <c r="F435">
        <v>0</v>
      </c>
      <c r="G435">
        <v>0</v>
      </c>
    </row>
    <row r="436" spans="1:7" x14ac:dyDescent="0.2">
      <c r="A436" t="s">
        <v>4269</v>
      </c>
      <c r="B436">
        <v>0</v>
      </c>
      <c r="C436">
        <v>0</v>
      </c>
      <c r="D436">
        <v>0</v>
      </c>
      <c r="E436">
        <v>0</v>
      </c>
      <c r="F436">
        <v>0</v>
      </c>
      <c r="G436">
        <v>0</v>
      </c>
    </row>
    <row r="437" spans="1:7" x14ac:dyDescent="0.2">
      <c r="A437" t="s">
        <v>4270</v>
      </c>
      <c r="B437">
        <v>0</v>
      </c>
      <c r="C437">
        <v>0</v>
      </c>
      <c r="D437">
        <v>0</v>
      </c>
      <c r="E437">
        <v>0</v>
      </c>
      <c r="F437">
        <v>0</v>
      </c>
      <c r="G437">
        <v>0</v>
      </c>
    </row>
    <row r="438" spans="1:7" x14ac:dyDescent="0.2">
      <c r="A438" t="s">
        <v>4271</v>
      </c>
      <c r="B438">
        <v>0</v>
      </c>
      <c r="C438">
        <v>0</v>
      </c>
      <c r="D438">
        <v>0</v>
      </c>
      <c r="E438">
        <v>0</v>
      </c>
      <c r="F438">
        <v>0</v>
      </c>
      <c r="G438">
        <v>0</v>
      </c>
    </row>
    <row r="439" spans="1:7" x14ac:dyDescent="0.2">
      <c r="A439" t="s">
        <v>4272</v>
      </c>
      <c r="B439">
        <v>0</v>
      </c>
      <c r="C439">
        <v>0</v>
      </c>
      <c r="D439">
        <v>0</v>
      </c>
      <c r="E439">
        <v>0</v>
      </c>
      <c r="F439">
        <v>0</v>
      </c>
      <c r="G439">
        <v>0</v>
      </c>
    </row>
    <row r="440" spans="1:7" x14ac:dyDescent="0.2">
      <c r="A440" t="s">
        <v>4273</v>
      </c>
      <c r="B440">
        <v>0</v>
      </c>
      <c r="C440">
        <v>0</v>
      </c>
      <c r="D440">
        <v>0</v>
      </c>
      <c r="E440">
        <v>0</v>
      </c>
      <c r="F440">
        <v>0</v>
      </c>
      <c r="G440">
        <v>0</v>
      </c>
    </row>
    <row r="441" spans="1:7" x14ac:dyDescent="0.2">
      <c r="A441" t="s">
        <v>4274</v>
      </c>
      <c r="B441">
        <v>0</v>
      </c>
      <c r="C441">
        <v>0</v>
      </c>
      <c r="D441">
        <v>0</v>
      </c>
      <c r="E441">
        <v>0</v>
      </c>
      <c r="F441">
        <v>0</v>
      </c>
      <c r="G441">
        <v>0</v>
      </c>
    </row>
    <row r="442" spans="1:7" x14ac:dyDescent="0.2">
      <c r="A442" t="s">
        <v>4275</v>
      </c>
      <c r="B442">
        <v>0</v>
      </c>
      <c r="C442">
        <v>0</v>
      </c>
      <c r="D442">
        <v>0</v>
      </c>
      <c r="E442">
        <v>0</v>
      </c>
      <c r="F442">
        <v>0</v>
      </c>
      <c r="G442">
        <v>0</v>
      </c>
    </row>
    <row r="443" spans="1:7" x14ac:dyDescent="0.2">
      <c r="A443" t="s">
        <v>4276</v>
      </c>
      <c r="B443">
        <v>0</v>
      </c>
      <c r="C443">
        <v>0</v>
      </c>
      <c r="D443">
        <v>0</v>
      </c>
      <c r="E443">
        <v>0</v>
      </c>
      <c r="F443">
        <v>0</v>
      </c>
      <c r="G443">
        <v>0</v>
      </c>
    </row>
    <row r="444" spans="1:7" x14ac:dyDescent="0.2">
      <c r="A444" t="s">
        <v>4277</v>
      </c>
      <c r="B444">
        <v>0</v>
      </c>
      <c r="C444">
        <v>0</v>
      </c>
      <c r="D444">
        <v>0</v>
      </c>
      <c r="E444">
        <v>0</v>
      </c>
      <c r="F444">
        <v>0</v>
      </c>
      <c r="G444">
        <v>0</v>
      </c>
    </row>
    <row r="445" spans="1:7" x14ac:dyDescent="0.2">
      <c r="A445" t="s">
        <v>4278</v>
      </c>
      <c r="B445">
        <v>0</v>
      </c>
      <c r="C445">
        <v>0</v>
      </c>
      <c r="D445">
        <v>0</v>
      </c>
      <c r="E445">
        <v>0</v>
      </c>
      <c r="F445">
        <v>0</v>
      </c>
      <c r="G445">
        <v>0</v>
      </c>
    </row>
    <row r="446" spans="1:7" x14ac:dyDescent="0.2">
      <c r="A446" t="s">
        <v>4279</v>
      </c>
      <c r="B446">
        <v>0</v>
      </c>
      <c r="C446">
        <v>0</v>
      </c>
      <c r="D446">
        <v>0</v>
      </c>
      <c r="E446">
        <v>0</v>
      </c>
      <c r="F446">
        <v>0</v>
      </c>
      <c r="G446">
        <v>0</v>
      </c>
    </row>
    <row r="447" spans="1:7" x14ac:dyDescent="0.2">
      <c r="A447" t="s">
        <v>4280</v>
      </c>
      <c r="B447">
        <v>0</v>
      </c>
      <c r="C447">
        <v>0</v>
      </c>
      <c r="D447">
        <v>0</v>
      </c>
      <c r="E447">
        <v>0</v>
      </c>
      <c r="F447">
        <v>0</v>
      </c>
      <c r="G447">
        <v>0</v>
      </c>
    </row>
    <row r="448" spans="1:7" x14ac:dyDescent="0.2">
      <c r="A448" t="s">
        <v>4281</v>
      </c>
      <c r="B448">
        <v>13</v>
      </c>
      <c r="C448">
        <v>8</v>
      </c>
      <c r="D448">
        <v>13</v>
      </c>
      <c r="E448">
        <v>0</v>
      </c>
      <c r="F448">
        <v>0</v>
      </c>
      <c r="G448">
        <v>33</v>
      </c>
    </row>
    <row r="449" spans="1:7" x14ac:dyDescent="0.2">
      <c r="A449" t="s">
        <v>4282</v>
      </c>
      <c r="B449">
        <v>3</v>
      </c>
      <c r="C449">
        <v>4</v>
      </c>
      <c r="D449">
        <v>3</v>
      </c>
      <c r="E449">
        <v>0</v>
      </c>
      <c r="F449">
        <v>0</v>
      </c>
      <c r="G449">
        <v>10</v>
      </c>
    </row>
    <row r="450" spans="1:7" x14ac:dyDescent="0.2">
      <c r="A450" t="s">
        <v>4283</v>
      </c>
      <c r="B450">
        <v>4</v>
      </c>
      <c r="C450">
        <v>2</v>
      </c>
      <c r="D450">
        <v>1</v>
      </c>
      <c r="E450">
        <v>2</v>
      </c>
      <c r="F450">
        <v>0</v>
      </c>
      <c r="G450">
        <v>8</v>
      </c>
    </row>
    <row r="451" spans="1:7" x14ac:dyDescent="0.2">
      <c r="A451" t="s">
        <v>4284</v>
      </c>
      <c r="B451">
        <v>0</v>
      </c>
      <c r="C451">
        <v>0</v>
      </c>
      <c r="D451">
        <v>0</v>
      </c>
      <c r="E451">
        <v>0</v>
      </c>
      <c r="F451">
        <v>0</v>
      </c>
      <c r="G451">
        <v>0</v>
      </c>
    </row>
    <row r="452" spans="1:7" x14ac:dyDescent="0.2">
      <c r="A452" t="s">
        <v>4285</v>
      </c>
      <c r="B452">
        <v>14</v>
      </c>
      <c r="C452">
        <v>9</v>
      </c>
      <c r="D452">
        <v>7</v>
      </c>
      <c r="E452">
        <v>2</v>
      </c>
      <c r="F452">
        <v>0</v>
      </c>
      <c r="G452">
        <v>32</v>
      </c>
    </row>
    <row r="453" spans="1:7" x14ac:dyDescent="0.2">
      <c r="A453" t="s">
        <v>4286</v>
      </c>
      <c r="B453">
        <v>1</v>
      </c>
      <c r="C453">
        <v>0</v>
      </c>
      <c r="D453">
        <v>0</v>
      </c>
      <c r="E453">
        <v>0</v>
      </c>
      <c r="F453">
        <v>0</v>
      </c>
      <c r="G453">
        <v>1</v>
      </c>
    </row>
    <row r="454" spans="1:7" x14ac:dyDescent="0.2">
      <c r="A454" t="s">
        <v>4287</v>
      </c>
      <c r="B454">
        <v>0</v>
      </c>
      <c r="C454">
        <v>0</v>
      </c>
      <c r="D454">
        <v>0</v>
      </c>
      <c r="E454">
        <v>2</v>
      </c>
      <c r="F454">
        <v>0</v>
      </c>
      <c r="G454">
        <v>2</v>
      </c>
    </row>
    <row r="455" spans="1:7" x14ac:dyDescent="0.2">
      <c r="A455" t="s">
        <v>4288</v>
      </c>
      <c r="B455">
        <v>0</v>
      </c>
      <c r="C455">
        <v>0</v>
      </c>
      <c r="D455">
        <v>0</v>
      </c>
      <c r="E455">
        <v>0</v>
      </c>
      <c r="F455">
        <v>0</v>
      </c>
      <c r="G455">
        <v>0</v>
      </c>
    </row>
    <row r="456" spans="1:7" x14ac:dyDescent="0.2">
      <c r="A456" t="s">
        <v>4289</v>
      </c>
      <c r="B456">
        <v>0</v>
      </c>
      <c r="C456">
        <v>0</v>
      </c>
      <c r="D456">
        <v>0</v>
      </c>
      <c r="E456">
        <v>0</v>
      </c>
      <c r="F456">
        <v>0</v>
      </c>
      <c r="G456">
        <v>0</v>
      </c>
    </row>
    <row r="457" spans="1:7" x14ac:dyDescent="0.2">
      <c r="A457" t="s">
        <v>4290</v>
      </c>
      <c r="B457">
        <v>0</v>
      </c>
      <c r="C457">
        <v>0</v>
      </c>
      <c r="D457">
        <v>0</v>
      </c>
      <c r="E457">
        <v>0</v>
      </c>
      <c r="F457">
        <v>0</v>
      </c>
      <c r="G457">
        <v>0</v>
      </c>
    </row>
    <row r="458" spans="1:7" x14ac:dyDescent="0.2">
      <c r="A458" t="s">
        <v>4291</v>
      </c>
      <c r="B458">
        <v>0</v>
      </c>
      <c r="C458">
        <v>0</v>
      </c>
      <c r="D458">
        <v>0</v>
      </c>
      <c r="E458">
        <v>0</v>
      </c>
      <c r="F458">
        <v>0</v>
      </c>
      <c r="G458">
        <v>0</v>
      </c>
    </row>
    <row r="459" spans="1:7" x14ac:dyDescent="0.2">
      <c r="A459" t="s">
        <v>4292</v>
      </c>
      <c r="B459">
        <v>0</v>
      </c>
      <c r="C459">
        <v>0</v>
      </c>
      <c r="D459">
        <v>0</v>
      </c>
      <c r="E459">
        <v>0</v>
      </c>
      <c r="F459">
        <v>0</v>
      </c>
      <c r="G459">
        <v>0</v>
      </c>
    </row>
    <row r="460" spans="1:7" x14ac:dyDescent="0.2">
      <c r="A460" t="s">
        <v>4293</v>
      </c>
      <c r="B460">
        <v>0</v>
      </c>
      <c r="C460">
        <v>0</v>
      </c>
      <c r="D460">
        <v>0</v>
      </c>
      <c r="E460">
        <v>0</v>
      </c>
      <c r="F460">
        <v>0</v>
      </c>
      <c r="G460">
        <v>0</v>
      </c>
    </row>
    <row r="461" spans="1:7" x14ac:dyDescent="0.2">
      <c r="A461" t="s">
        <v>4294</v>
      </c>
      <c r="B461">
        <v>0</v>
      </c>
      <c r="C461">
        <v>0</v>
      </c>
      <c r="D461">
        <v>0</v>
      </c>
      <c r="E461">
        <v>0</v>
      </c>
      <c r="F461">
        <v>0</v>
      </c>
      <c r="G461">
        <v>0</v>
      </c>
    </row>
    <row r="462" spans="1:7" x14ac:dyDescent="0.2">
      <c r="A462" t="s">
        <v>4295</v>
      </c>
      <c r="B462">
        <v>0</v>
      </c>
      <c r="C462">
        <v>0</v>
      </c>
      <c r="D462">
        <v>0</v>
      </c>
      <c r="E462">
        <v>0</v>
      </c>
      <c r="F462">
        <v>0</v>
      </c>
      <c r="G462">
        <v>0</v>
      </c>
    </row>
    <row r="463" spans="1:7" x14ac:dyDescent="0.2">
      <c r="A463" t="s">
        <v>4296</v>
      </c>
      <c r="B463">
        <v>0</v>
      </c>
      <c r="C463">
        <v>0</v>
      </c>
      <c r="D463">
        <v>0</v>
      </c>
      <c r="E463">
        <v>0</v>
      </c>
      <c r="F463">
        <v>0</v>
      </c>
      <c r="G463">
        <v>0</v>
      </c>
    </row>
    <row r="464" spans="1:7" x14ac:dyDescent="0.2">
      <c r="A464" t="s">
        <v>4297</v>
      </c>
      <c r="B464">
        <v>0</v>
      </c>
      <c r="C464">
        <v>8</v>
      </c>
      <c r="D464">
        <v>24</v>
      </c>
      <c r="E464">
        <v>0</v>
      </c>
      <c r="F464">
        <v>0</v>
      </c>
      <c r="G464">
        <v>33</v>
      </c>
    </row>
    <row r="465" spans="1:7" x14ac:dyDescent="0.2">
      <c r="A465" t="s">
        <v>4298</v>
      </c>
      <c r="B465">
        <v>3</v>
      </c>
      <c r="C465">
        <v>11</v>
      </c>
      <c r="D465">
        <v>3</v>
      </c>
      <c r="E465">
        <v>6</v>
      </c>
      <c r="F465">
        <v>0</v>
      </c>
      <c r="G465">
        <v>23</v>
      </c>
    </row>
    <row r="466" spans="1:7" x14ac:dyDescent="0.2">
      <c r="A466" t="s">
        <v>4299</v>
      </c>
      <c r="B466">
        <v>2</v>
      </c>
      <c r="C466">
        <v>24</v>
      </c>
      <c r="D466">
        <v>25</v>
      </c>
      <c r="E466">
        <v>12</v>
      </c>
      <c r="F466">
        <v>0</v>
      </c>
      <c r="G466">
        <v>63</v>
      </c>
    </row>
    <row r="467" spans="1:7" x14ac:dyDescent="0.2">
      <c r="A467" t="s">
        <v>4300</v>
      </c>
      <c r="B467">
        <v>0</v>
      </c>
      <c r="C467">
        <v>0</v>
      </c>
      <c r="D467">
        <v>1</v>
      </c>
      <c r="E467">
        <v>0</v>
      </c>
      <c r="F467">
        <v>0</v>
      </c>
      <c r="G467">
        <v>1</v>
      </c>
    </row>
    <row r="468" spans="1:7" x14ac:dyDescent="0.2">
      <c r="A468" t="s">
        <v>4301</v>
      </c>
      <c r="B468">
        <v>0</v>
      </c>
      <c r="C468">
        <v>64</v>
      </c>
      <c r="D468">
        <v>79</v>
      </c>
      <c r="E468">
        <v>6</v>
      </c>
      <c r="F468">
        <v>0</v>
      </c>
      <c r="G468">
        <v>149</v>
      </c>
    </row>
    <row r="469" spans="1:7" x14ac:dyDescent="0.2">
      <c r="A469" t="s">
        <v>4302</v>
      </c>
      <c r="B469">
        <v>1</v>
      </c>
      <c r="C469">
        <v>19</v>
      </c>
      <c r="D469">
        <v>48</v>
      </c>
      <c r="E469">
        <v>15</v>
      </c>
      <c r="F469">
        <v>0</v>
      </c>
      <c r="G469">
        <v>84</v>
      </c>
    </row>
    <row r="470" spans="1:7" x14ac:dyDescent="0.2">
      <c r="A470" t="s">
        <v>4303</v>
      </c>
      <c r="B470">
        <v>1</v>
      </c>
      <c r="C470">
        <v>17</v>
      </c>
      <c r="D470">
        <v>63</v>
      </c>
      <c r="E470">
        <v>12</v>
      </c>
      <c r="F470">
        <v>0</v>
      </c>
      <c r="G470">
        <v>94</v>
      </c>
    </row>
    <row r="471" spans="1:7" x14ac:dyDescent="0.2">
      <c r="A471" t="s">
        <v>4304</v>
      </c>
      <c r="B471">
        <v>2</v>
      </c>
      <c r="C471">
        <v>7</v>
      </c>
      <c r="D471">
        <v>18</v>
      </c>
      <c r="E471">
        <v>0</v>
      </c>
      <c r="F471">
        <v>0</v>
      </c>
      <c r="G471">
        <v>26</v>
      </c>
    </row>
    <row r="472" spans="1:7" x14ac:dyDescent="0.2">
      <c r="A472" t="s">
        <v>4305</v>
      </c>
      <c r="B472">
        <v>171</v>
      </c>
      <c r="C472">
        <v>171</v>
      </c>
      <c r="D472">
        <v>226</v>
      </c>
      <c r="E472">
        <v>62</v>
      </c>
      <c r="F472">
        <v>0</v>
      </c>
      <c r="G472">
        <v>630</v>
      </c>
    </row>
    <row r="473" spans="1:7" x14ac:dyDescent="0.2">
      <c r="A473" t="s">
        <v>4306</v>
      </c>
      <c r="B473">
        <v>2</v>
      </c>
      <c r="C473">
        <v>31</v>
      </c>
      <c r="D473">
        <v>6</v>
      </c>
      <c r="E473">
        <v>5</v>
      </c>
      <c r="F473">
        <v>0</v>
      </c>
      <c r="G473">
        <v>43</v>
      </c>
    </row>
    <row r="474" spans="1:7" x14ac:dyDescent="0.2">
      <c r="A474" t="s">
        <v>4307</v>
      </c>
      <c r="B474">
        <v>10</v>
      </c>
      <c r="C474">
        <v>95</v>
      </c>
      <c r="D474">
        <v>281</v>
      </c>
      <c r="E474">
        <v>68</v>
      </c>
      <c r="F474">
        <v>0</v>
      </c>
      <c r="G474">
        <v>455</v>
      </c>
    </row>
    <row r="475" spans="1:7" x14ac:dyDescent="0.2">
      <c r="A475" t="s">
        <v>4308</v>
      </c>
      <c r="B475">
        <v>0</v>
      </c>
      <c r="C475">
        <v>0</v>
      </c>
      <c r="D475">
        <v>3</v>
      </c>
      <c r="E475">
        <v>7</v>
      </c>
      <c r="F475">
        <v>0</v>
      </c>
      <c r="G475">
        <v>10</v>
      </c>
    </row>
    <row r="476" spans="1:7" x14ac:dyDescent="0.2">
      <c r="A476" t="s">
        <v>4309</v>
      </c>
      <c r="B476">
        <v>0</v>
      </c>
      <c r="C476">
        <v>0</v>
      </c>
      <c r="D476">
        <v>0</v>
      </c>
      <c r="E476">
        <v>0</v>
      </c>
      <c r="F476">
        <v>0</v>
      </c>
      <c r="G476">
        <v>0</v>
      </c>
    </row>
    <row r="477" spans="1:7" x14ac:dyDescent="0.2">
      <c r="A477" t="s">
        <v>4310</v>
      </c>
      <c r="B477">
        <v>0</v>
      </c>
      <c r="C477">
        <v>0</v>
      </c>
      <c r="D477">
        <v>0</v>
      </c>
      <c r="E477">
        <v>0</v>
      </c>
      <c r="F477">
        <v>0</v>
      </c>
      <c r="G477">
        <v>0</v>
      </c>
    </row>
    <row r="478" spans="1:7" x14ac:dyDescent="0.2">
      <c r="A478" t="s">
        <v>4311</v>
      </c>
      <c r="B478">
        <v>0</v>
      </c>
      <c r="C478">
        <v>0</v>
      </c>
      <c r="D478">
        <v>0</v>
      </c>
      <c r="E478">
        <v>0</v>
      </c>
      <c r="F478">
        <v>0</v>
      </c>
      <c r="G478">
        <v>0</v>
      </c>
    </row>
    <row r="479" spans="1:7" x14ac:dyDescent="0.2">
      <c r="A479" t="s">
        <v>4312</v>
      </c>
      <c r="B479">
        <v>0</v>
      </c>
      <c r="C479">
        <v>0</v>
      </c>
      <c r="D479">
        <v>0</v>
      </c>
      <c r="E479">
        <v>0</v>
      </c>
      <c r="F479">
        <v>0</v>
      </c>
      <c r="G479">
        <v>0</v>
      </c>
    </row>
    <row r="480" spans="1:7" x14ac:dyDescent="0.2">
      <c r="A480" t="s">
        <v>4313</v>
      </c>
      <c r="B480">
        <v>0</v>
      </c>
      <c r="C480">
        <v>0</v>
      </c>
      <c r="D480">
        <v>0</v>
      </c>
      <c r="E480">
        <v>0</v>
      </c>
      <c r="F480">
        <v>0</v>
      </c>
      <c r="G480">
        <v>0</v>
      </c>
    </row>
    <row r="481" spans="1:7" x14ac:dyDescent="0.2">
      <c r="A481" t="s">
        <v>4314</v>
      </c>
      <c r="B481">
        <v>0</v>
      </c>
      <c r="C481">
        <v>0</v>
      </c>
      <c r="D481">
        <v>0</v>
      </c>
      <c r="E481">
        <v>0</v>
      </c>
      <c r="F481">
        <v>0</v>
      </c>
      <c r="G481">
        <v>0</v>
      </c>
    </row>
    <row r="482" spans="1:7" x14ac:dyDescent="0.2">
      <c r="A482" t="s">
        <v>4315</v>
      </c>
      <c r="B482">
        <v>0</v>
      </c>
      <c r="C482">
        <v>0</v>
      </c>
      <c r="D482">
        <v>0</v>
      </c>
      <c r="E482">
        <v>0</v>
      </c>
      <c r="F482">
        <v>0</v>
      </c>
      <c r="G482">
        <v>0</v>
      </c>
    </row>
    <row r="483" spans="1:7" x14ac:dyDescent="0.2">
      <c r="A483" t="s">
        <v>4316</v>
      </c>
      <c r="B483">
        <v>0</v>
      </c>
      <c r="C483">
        <v>0</v>
      </c>
      <c r="D483">
        <v>0</v>
      </c>
      <c r="E483">
        <v>0</v>
      </c>
      <c r="F483">
        <v>0</v>
      </c>
      <c r="G483">
        <v>0</v>
      </c>
    </row>
    <row r="484" spans="1:7" x14ac:dyDescent="0.2">
      <c r="A484" t="s">
        <v>4317</v>
      </c>
      <c r="B484">
        <v>0</v>
      </c>
      <c r="C484">
        <v>0</v>
      </c>
      <c r="D484">
        <v>0</v>
      </c>
      <c r="E484">
        <v>0</v>
      </c>
      <c r="F484">
        <v>0</v>
      </c>
      <c r="G484">
        <v>0</v>
      </c>
    </row>
    <row r="485" spans="1:7" x14ac:dyDescent="0.2">
      <c r="A485" t="s">
        <v>4318</v>
      </c>
      <c r="B485">
        <v>0</v>
      </c>
      <c r="C485">
        <v>0</v>
      </c>
      <c r="D485">
        <v>0</v>
      </c>
      <c r="E485">
        <v>0</v>
      </c>
      <c r="F485">
        <v>0</v>
      </c>
      <c r="G485">
        <v>0</v>
      </c>
    </row>
    <row r="486" spans="1:7" x14ac:dyDescent="0.2">
      <c r="A486" t="s">
        <v>4319</v>
      </c>
      <c r="B486">
        <v>0</v>
      </c>
      <c r="C486">
        <v>0</v>
      </c>
      <c r="D486">
        <v>0</v>
      </c>
      <c r="E486">
        <v>0</v>
      </c>
      <c r="F486">
        <v>0</v>
      </c>
      <c r="G486">
        <v>0</v>
      </c>
    </row>
    <row r="487" spans="1:7" x14ac:dyDescent="0.2">
      <c r="A487" t="s">
        <v>4320</v>
      </c>
      <c r="B487">
        <v>0</v>
      </c>
      <c r="C487">
        <v>0</v>
      </c>
      <c r="D487">
        <v>0</v>
      </c>
      <c r="E487">
        <v>0</v>
      </c>
      <c r="F487">
        <v>0</v>
      </c>
      <c r="G487">
        <v>0</v>
      </c>
    </row>
    <row r="488" spans="1:7" x14ac:dyDescent="0.2">
      <c r="A488" t="s">
        <v>4321</v>
      </c>
      <c r="B488">
        <v>0</v>
      </c>
      <c r="C488">
        <v>0</v>
      </c>
      <c r="D488">
        <v>0</v>
      </c>
      <c r="E488">
        <v>0</v>
      </c>
      <c r="F488">
        <v>0</v>
      </c>
      <c r="G488">
        <v>0</v>
      </c>
    </row>
    <row r="489" spans="1:7" x14ac:dyDescent="0.2">
      <c r="A489" t="s">
        <v>4322</v>
      </c>
      <c r="B489">
        <v>0</v>
      </c>
      <c r="C489">
        <v>0</v>
      </c>
      <c r="D489">
        <v>0</v>
      </c>
      <c r="E489">
        <v>0</v>
      </c>
      <c r="F489">
        <v>0</v>
      </c>
      <c r="G489">
        <v>0</v>
      </c>
    </row>
    <row r="490" spans="1:7" x14ac:dyDescent="0.2">
      <c r="A490" t="s">
        <v>4323</v>
      </c>
      <c r="B490">
        <v>0</v>
      </c>
      <c r="C490">
        <v>0</v>
      </c>
      <c r="D490">
        <v>0</v>
      </c>
      <c r="E490">
        <v>0</v>
      </c>
      <c r="F490">
        <v>0</v>
      </c>
      <c r="G490">
        <v>0</v>
      </c>
    </row>
    <row r="491" spans="1:7" x14ac:dyDescent="0.2">
      <c r="A491" t="s">
        <v>4324</v>
      </c>
      <c r="B491">
        <v>0</v>
      </c>
      <c r="C491">
        <v>0</v>
      </c>
      <c r="D491">
        <v>0</v>
      </c>
      <c r="E491">
        <v>0</v>
      </c>
      <c r="F491">
        <v>0</v>
      </c>
      <c r="G491">
        <v>0</v>
      </c>
    </row>
    <row r="492" spans="1:7" x14ac:dyDescent="0.2">
      <c r="A492" t="s">
        <v>4325</v>
      </c>
      <c r="B492">
        <v>0</v>
      </c>
      <c r="C492">
        <v>0</v>
      </c>
      <c r="D492">
        <v>0</v>
      </c>
      <c r="E492">
        <v>0</v>
      </c>
      <c r="F492">
        <v>0</v>
      </c>
      <c r="G492">
        <v>0</v>
      </c>
    </row>
    <row r="493" spans="1:7" x14ac:dyDescent="0.2">
      <c r="A493" t="s">
        <v>4326</v>
      </c>
      <c r="B493">
        <v>0</v>
      </c>
      <c r="C493">
        <v>0</v>
      </c>
      <c r="D493">
        <v>0</v>
      </c>
      <c r="E493">
        <v>0</v>
      </c>
      <c r="F493">
        <v>0</v>
      </c>
      <c r="G493">
        <v>0</v>
      </c>
    </row>
    <row r="494" spans="1:7" x14ac:dyDescent="0.2">
      <c r="A494" t="s">
        <v>4327</v>
      </c>
      <c r="B494">
        <v>0</v>
      </c>
      <c r="C494">
        <v>0</v>
      </c>
      <c r="D494">
        <v>0</v>
      </c>
      <c r="E494">
        <v>0</v>
      </c>
      <c r="F494">
        <v>0</v>
      </c>
      <c r="G494">
        <v>0</v>
      </c>
    </row>
    <row r="495" spans="1:7" x14ac:dyDescent="0.2">
      <c r="A495" t="s">
        <v>4328</v>
      </c>
      <c r="B495">
        <v>0</v>
      </c>
      <c r="C495">
        <v>0</v>
      </c>
      <c r="D495">
        <v>0</v>
      </c>
      <c r="E495">
        <v>0</v>
      </c>
      <c r="F495">
        <v>0</v>
      </c>
      <c r="G495">
        <v>0</v>
      </c>
    </row>
    <row r="496" spans="1:7" x14ac:dyDescent="0.2">
      <c r="A496" t="s">
        <v>4329</v>
      </c>
      <c r="B496">
        <v>0</v>
      </c>
      <c r="C496">
        <v>0</v>
      </c>
      <c r="D496">
        <v>0</v>
      </c>
      <c r="E496">
        <v>0</v>
      </c>
      <c r="F496">
        <v>0</v>
      </c>
      <c r="G496">
        <v>0</v>
      </c>
    </row>
    <row r="497" spans="1:7" x14ac:dyDescent="0.2">
      <c r="A497" t="s">
        <v>4330</v>
      </c>
      <c r="B497">
        <v>0</v>
      </c>
      <c r="C497">
        <v>0</v>
      </c>
      <c r="D497">
        <v>0</v>
      </c>
      <c r="E497">
        <v>0</v>
      </c>
      <c r="F497">
        <v>0</v>
      </c>
      <c r="G497">
        <v>0</v>
      </c>
    </row>
    <row r="498" spans="1:7" x14ac:dyDescent="0.2">
      <c r="A498" t="s">
        <v>4331</v>
      </c>
      <c r="B498">
        <v>0</v>
      </c>
      <c r="C498">
        <v>0</v>
      </c>
      <c r="D498">
        <v>0</v>
      </c>
      <c r="E498">
        <v>0</v>
      </c>
      <c r="F498">
        <v>0</v>
      </c>
      <c r="G498">
        <v>0</v>
      </c>
    </row>
    <row r="499" spans="1:7" x14ac:dyDescent="0.2">
      <c r="A499" t="s">
        <v>4332</v>
      </c>
      <c r="B499">
        <v>0</v>
      </c>
      <c r="C499">
        <v>0</v>
      </c>
      <c r="D499">
        <v>0</v>
      </c>
      <c r="E499">
        <v>0</v>
      </c>
      <c r="F499">
        <v>0</v>
      </c>
      <c r="G499">
        <v>0</v>
      </c>
    </row>
    <row r="500" spans="1:7" x14ac:dyDescent="0.2">
      <c r="A500" t="s">
        <v>4333</v>
      </c>
      <c r="B500">
        <v>0</v>
      </c>
      <c r="C500">
        <v>0</v>
      </c>
      <c r="D500">
        <v>0</v>
      </c>
      <c r="E500">
        <v>0</v>
      </c>
      <c r="F500">
        <v>0</v>
      </c>
      <c r="G500">
        <v>0</v>
      </c>
    </row>
    <row r="501" spans="1:7" x14ac:dyDescent="0.2">
      <c r="A501" t="s">
        <v>4334</v>
      </c>
      <c r="B501">
        <v>0</v>
      </c>
      <c r="C501">
        <v>0</v>
      </c>
      <c r="D501">
        <v>0</v>
      </c>
      <c r="E501">
        <v>0</v>
      </c>
      <c r="F501">
        <v>0</v>
      </c>
      <c r="G501">
        <v>0</v>
      </c>
    </row>
    <row r="502" spans="1:7" x14ac:dyDescent="0.2">
      <c r="A502" t="s">
        <v>4335</v>
      </c>
      <c r="B502">
        <v>0</v>
      </c>
      <c r="C502">
        <v>0</v>
      </c>
      <c r="D502">
        <v>0</v>
      </c>
      <c r="E502">
        <v>0</v>
      </c>
      <c r="F502">
        <v>0</v>
      </c>
      <c r="G502">
        <v>0</v>
      </c>
    </row>
    <row r="503" spans="1:7" x14ac:dyDescent="0.2">
      <c r="A503" t="s">
        <v>4336</v>
      </c>
      <c r="B503">
        <v>0</v>
      </c>
      <c r="C503">
        <v>0</v>
      </c>
      <c r="D503">
        <v>0</v>
      </c>
      <c r="E503">
        <v>0</v>
      </c>
      <c r="F503">
        <v>0</v>
      </c>
      <c r="G503">
        <v>0</v>
      </c>
    </row>
    <row r="504" spans="1:7" x14ac:dyDescent="0.2">
      <c r="A504" t="s">
        <v>4337</v>
      </c>
      <c r="B504">
        <v>0</v>
      </c>
      <c r="C504">
        <v>0</v>
      </c>
      <c r="D504">
        <v>0</v>
      </c>
      <c r="E504">
        <v>0</v>
      </c>
      <c r="F504">
        <v>0</v>
      </c>
      <c r="G504">
        <v>0</v>
      </c>
    </row>
    <row r="505" spans="1:7" x14ac:dyDescent="0.2">
      <c r="A505" t="s">
        <v>4338</v>
      </c>
      <c r="B505">
        <v>0</v>
      </c>
      <c r="C505">
        <v>0</v>
      </c>
      <c r="D505">
        <v>0</v>
      </c>
      <c r="E505">
        <v>0</v>
      </c>
      <c r="F505">
        <v>0</v>
      </c>
      <c r="G505">
        <v>0</v>
      </c>
    </row>
    <row r="506" spans="1:7" x14ac:dyDescent="0.2">
      <c r="A506" t="s">
        <v>4339</v>
      </c>
      <c r="B506">
        <v>0</v>
      </c>
      <c r="C506">
        <v>0</v>
      </c>
      <c r="D506">
        <v>0</v>
      </c>
      <c r="E506">
        <v>0</v>
      </c>
      <c r="F506">
        <v>0</v>
      </c>
      <c r="G506">
        <v>0</v>
      </c>
    </row>
    <row r="507" spans="1:7" x14ac:dyDescent="0.2">
      <c r="A507" t="s">
        <v>4340</v>
      </c>
      <c r="B507">
        <v>0</v>
      </c>
      <c r="C507">
        <v>0</v>
      </c>
      <c r="D507">
        <v>0</v>
      </c>
      <c r="E507">
        <v>0</v>
      </c>
      <c r="F507">
        <v>0</v>
      </c>
      <c r="G507">
        <v>0</v>
      </c>
    </row>
    <row r="508" spans="1:7" x14ac:dyDescent="0.2">
      <c r="A508" t="s">
        <v>4341</v>
      </c>
      <c r="B508">
        <v>0</v>
      </c>
      <c r="C508">
        <v>0</v>
      </c>
      <c r="D508">
        <v>0</v>
      </c>
      <c r="E508">
        <v>0</v>
      </c>
      <c r="F508">
        <v>0</v>
      </c>
      <c r="G508">
        <v>0</v>
      </c>
    </row>
    <row r="509" spans="1:7" x14ac:dyDescent="0.2">
      <c r="A509" t="s">
        <v>4342</v>
      </c>
      <c r="B509">
        <v>0</v>
      </c>
      <c r="C509">
        <v>0</v>
      </c>
      <c r="D509">
        <v>0</v>
      </c>
      <c r="E509">
        <v>0</v>
      </c>
      <c r="F509">
        <v>0</v>
      </c>
      <c r="G509">
        <v>0</v>
      </c>
    </row>
    <row r="510" spans="1:7" x14ac:dyDescent="0.2">
      <c r="A510" t="s">
        <v>4343</v>
      </c>
      <c r="B510">
        <v>0</v>
      </c>
      <c r="C510">
        <v>0</v>
      </c>
      <c r="D510">
        <v>0</v>
      </c>
      <c r="E510">
        <v>0</v>
      </c>
      <c r="F510">
        <v>0</v>
      </c>
      <c r="G510">
        <v>0</v>
      </c>
    </row>
    <row r="511" spans="1:7" x14ac:dyDescent="0.2">
      <c r="A511" t="s">
        <v>1728</v>
      </c>
      <c r="B511">
        <v>0</v>
      </c>
      <c r="C511">
        <v>0</v>
      </c>
      <c r="D511">
        <v>0</v>
      </c>
      <c r="E511">
        <v>0</v>
      </c>
      <c r="F511">
        <v>0</v>
      </c>
      <c r="G511">
        <v>0</v>
      </c>
    </row>
    <row r="512" spans="1:7" x14ac:dyDescent="0.2">
      <c r="A512" t="s">
        <v>1730</v>
      </c>
      <c r="B512">
        <v>0</v>
      </c>
      <c r="C512">
        <v>0</v>
      </c>
      <c r="D512">
        <v>7</v>
      </c>
      <c r="E512">
        <v>5</v>
      </c>
      <c r="F512">
        <v>25</v>
      </c>
      <c r="G512">
        <v>38</v>
      </c>
    </row>
    <row r="513" spans="1:7" x14ac:dyDescent="0.2">
      <c r="A513" t="s">
        <v>1733</v>
      </c>
      <c r="B513">
        <v>0</v>
      </c>
      <c r="C513">
        <v>0</v>
      </c>
      <c r="D513">
        <v>0</v>
      </c>
      <c r="E513">
        <v>0</v>
      </c>
      <c r="F513">
        <v>0</v>
      </c>
      <c r="G513">
        <v>0</v>
      </c>
    </row>
    <row r="514" spans="1:7" x14ac:dyDescent="0.2">
      <c r="A514" t="s">
        <v>1738</v>
      </c>
      <c r="B514">
        <v>0</v>
      </c>
      <c r="C514">
        <v>0</v>
      </c>
      <c r="D514">
        <v>0</v>
      </c>
      <c r="E514">
        <v>0</v>
      </c>
      <c r="F514">
        <v>0</v>
      </c>
      <c r="G514">
        <v>0</v>
      </c>
    </row>
    <row r="515" spans="1:7" x14ac:dyDescent="0.2">
      <c r="A515" t="s">
        <v>1744</v>
      </c>
      <c r="B515">
        <v>0</v>
      </c>
      <c r="C515">
        <v>0</v>
      </c>
      <c r="D515">
        <v>0</v>
      </c>
      <c r="E515">
        <v>0</v>
      </c>
      <c r="F515">
        <v>0</v>
      </c>
      <c r="G515">
        <v>0</v>
      </c>
    </row>
    <row r="516" spans="1:7" x14ac:dyDescent="0.2">
      <c r="A516" t="s">
        <v>1747</v>
      </c>
      <c r="B516">
        <v>0</v>
      </c>
      <c r="C516">
        <v>0</v>
      </c>
      <c r="D516">
        <v>0</v>
      </c>
      <c r="E516">
        <v>0</v>
      </c>
      <c r="F516">
        <v>0</v>
      </c>
      <c r="G516">
        <v>0</v>
      </c>
    </row>
    <row r="517" spans="1:7" x14ac:dyDescent="0.2">
      <c r="A517" t="s">
        <v>1751</v>
      </c>
      <c r="B517">
        <v>0</v>
      </c>
      <c r="C517">
        <v>0</v>
      </c>
      <c r="D517">
        <v>0</v>
      </c>
      <c r="E517">
        <v>0</v>
      </c>
      <c r="F517">
        <v>0</v>
      </c>
      <c r="G517">
        <v>0</v>
      </c>
    </row>
    <row r="518" spans="1:7" x14ac:dyDescent="0.2">
      <c r="A518" t="s">
        <v>1755</v>
      </c>
      <c r="B518">
        <v>0</v>
      </c>
      <c r="C518">
        <v>0</v>
      </c>
      <c r="D518">
        <v>5</v>
      </c>
      <c r="E518">
        <v>38</v>
      </c>
      <c r="F518">
        <v>22</v>
      </c>
      <c r="G518">
        <v>65</v>
      </c>
    </row>
    <row r="519" spans="1:7" x14ac:dyDescent="0.2">
      <c r="A519" t="s">
        <v>1757</v>
      </c>
      <c r="B519">
        <v>0</v>
      </c>
      <c r="C519">
        <v>0</v>
      </c>
      <c r="D519">
        <v>10</v>
      </c>
      <c r="E519">
        <v>16</v>
      </c>
      <c r="F519">
        <v>19</v>
      </c>
      <c r="G519">
        <v>44</v>
      </c>
    </row>
    <row r="520" spans="1:7" x14ac:dyDescent="0.2">
      <c r="A520" t="s">
        <v>1761</v>
      </c>
      <c r="B520">
        <v>0</v>
      </c>
      <c r="C520">
        <v>0</v>
      </c>
      <c r="D520">
        <v>0</v>
      </c>
      <c r="E520">
        <v>0</v>
      </c>
      <c r="F520">
        <v>0</v>
      </c>
      <c r="G520">
        <v>0</v>
      </c>
    </row>
    <row r="521" spans="1:7" x14ac:dyDescent="0.2">
      <c r="A521" t="s">
        <v>1764</v>
      </c>
      <c r="B521">
        <v>0</v>
      </c>
      <c r="C521">
        <v>0</v>
      </c>
      <c r="D521">
        <v>0</v>
      </c>
      <c r="E521">
        <v>0</v>
      </c>
      <c r="F521">
        <v>0</v>
      </c>
      <c r="G521">
        <v>0</v>
      </c>
    </row>
    <row r="522" spans="1:7" x14ac:dyDescent="0.2">
      <c r="A522" t="s">
        <v>1770</v>
      </c>
      <c r="B522">
        <v>0</v>
      </c>
      <c r="C522">
        <v>21</v>
      </c>
      <c r="D522">
        <v>134</v>
      </c>
      <c r="E522">
        <v>628</v>
      </c>
      <c r="F522">
        <v>0</v>
      </c>
      <c r="G522">
        <v>784</v>
      </c>
    </row>
    <row r="523" spans="1:7" x14ac:dyDescent="0.2">
      <c r="A523" t="s">
        <v>1772</v>
      </c>
      <c r="B523">
        <v>0</v>
      </c>
      <c r="C523">
        <v>3</v>
      </c>
      <c r="D523">
        <v>43</v>
      </c>
      <c r="E523">
        <v>372</v>
      </c>
      <c r="F523">
        <v>0</v>
      </c>
      <c r="G523">
        <v>419</v>
      </c>
    </row>
    <row r="524" spans="1:7" x14ac:dyDescent="0.2">
      <c r="A524" t="s">
        <v>1774</v>
      </c>
      <c r="B524">
        <v>0</v>
      </c>
      <c r="C524">
        <v>5</v>
      </c>
      <c r="D524">
        <v>30</v>
      </c>
      <c r="E524">
        <v>286</v>
      </c>
      <c r="F524">
        <v>0</v>
      </c>
      <c r="G524">
        <v>322</v>
      </c>
    </row>
    <row r="525" spans="1:7" x14ac:dyDescent="0.2">
      <c r="A525" t="s">
        <v>1777</v>
      </c>
      <c r="B525">
        <v>0</v>
      </c>
      <c r="C525">
        <v>0</v>
      </c>
      <c r="D525">
        <v>0</v>
      </c>
      <c r="E525">
        <v>0</v>
      </c>
      <c r="F525">
        <v>0</v>
      </c>
      <c r="G525">
        <v>0</v>
      </c>
    </row>
    <row r="526" spans="1:7" x14ac:dyDescent="0.2">
      <c r="A526" t="s">
        <v>1782</v>
      </c>
      <c r="B526">
        <v>0</v>
      </c>
      <c r="C526">
        <v>0</v>
      </c>
      <c r="D526">
        <v>0</v>
      </c>
      <c r="E526">
        <v>0</v>
      </c>
      <c r="F526">
        <v>0</v>
      </c>
      <c r="G526">
        <v>0</v>
      </c>
    </row>
    <row r="527" spans="1:7" x14ac:dyDescent="0.2">
      <c r="A527" t="s">
        <v>1274</v>
      </c>
      <c r="B527">
        <v>0</v>
      </c>
      <c r="C527">
        <v>0</v>
      </c>
      <c r="D527">
        <v>0</v>
      </c>
      <c r="E527">
        <v>9</v>
      </c>
      <c r="F527">
        <v>0</v>
      </c>
      <c r="G527">
        <v>10</v>
      </c>
    </row>
    <row r="528" spans="1:7" x14ac:dyDescent="0.2">
      <c r="A528" t="s">
        <v>1277</v>
      </c>
      <c r="B528">
        <v>0</v>
      </c>
      <c r="C528">
        <v>0</v>
      </c>
      <c r="D528">
        <v>0</v>
      </c>
      <c r="E528">
        <v>78</v>
      </c>
      <c r="F528">
        <v>3</v>
      </c>
      <c r="G528">
        <v>81</v>
      </c>
    </row>
    <row r="529" spans="1:7" x14ac:dyDescent="0.2">
      <c r="A529" t="s">
        <v>1798</v>
      </c>
      <c r="B529">
        <v>0</v>
      </c>
      <c r="C529">
        <v>0</v>
      </c>
      <c r="D529">
        <v>0</v>
      </c>
      <c r="E529">
        <v>0</v>
      </c>
      <c r="F529">
        <v>0</v>
      </c>
      <c r="G529">
        <v>0</v>
      </c>
    </row>
    <row r="530" spans="1:7" x14ac:dyDescent="0.2">
      <c r="A530" t="s">
        <v>1803</v>
      </c>
      <c r="B530">
        <v>0</v>
      </c>
      <c r="C530">
        <v>0</v>
      </c>
      <c r="D530">
        <v>0</v>
      </c>
      <c r="E530">
        <v>0</v>
      </c>
      <c r="F530">
        <v>0</v>
      </c>
      <c r="G530">
        <v>0</v>
      </c>
    </row>
    <row r="531" spans="1:7" x14ac:dyDescent="0.2">
      <c r="A531" t="s">
        <v>1808</v>
      </c>
      <c r="B531">
        <v>0</v>
      </c>
      <c r="C531">
        <v>0</v>
      </c>
      <c r="D531">
        <v>0</v>
      </c>
      <c r="E531">
        <v>0</v>
      </c>
      <c r="F531">
        <v>0</v>
      </c>
      <c r="G531">
        <v>0</v>
      </c>
    </row>
    <row r="532" spans="1:7" x14ac:dyDescent="0.2">
      <c r="A532" t="s">
        <v>1813</v>
      </c>
      <c r="B532">
        <v>0</v>
      </c>
      <c r="C532">
        <v>0</v>
      </c>
      <c r="D532">
        <v>0</v>
      </c>
      <c r="E532">
        <v>0</v>
      </c>
      <c r="F532">
        <v>0</v>
      </c>
      <c r="G532">
        <v>0</v>
      </c>
    </row>
    <row r="533" spans="1:7" x14ac:dyDescent="0.2">
      <c r="A533" t="s">
        <v>1819</v>
      </c>
      <c r="B533">
        <v>0</v>
      </c>
      <c r="C533">
        <v>0</v>
      </c>
      <c r="D533">
        <v>0</v>
      </c>
      <c r="E533">
        <v>81</v>
      </c>
      <c r="F533">
        <v>40</v>
      </c>
      <c r="G533">
        <v>121</v>
      </c>
    </row>
    <row r="534" spans="1:7" x14ac:dyDescent="0.2">
      <c r="A534" t="s">
        <v>1826</v>
      </c>
      <c r="B534">
        <v>0</v>
      </c>
      <c r="C534">
        <v>0</v>
      </c>
      <c r="D534">
        <v>0</v>
      </c>
      <c r="E534">
        <v>0</v>
      </c>
      <c r="F534">
        <v>1979</v>
      </c>
      <c r="G534">
        <v>1979</v>
      </c>
    </row>
    <row r="535" spans="1:7" x14ac:dyDescent="0.2">
      <c r="A535" t="s">
        <v>1830</v>
      </c>
      <c r="B535">
        <v>0</v>
      </c>
      <c r="C535">
        <v>0</v>
      </c>
      <c r="D535">
        <v>0</v>
      </c>
      <c r="E535">
        <v>0</v>
      </c>
      <c r="F535">
        <v>428</v>
      </c>
      <c r="G535">
        <v>428</v>
      </c>
    </row>
    <row r="536" spans="1:7" x14ac:dyDescent="0.2">
      <c r="A536" t="s">
        <v>1836</v>
      </c>
      <c r="B536">
        <v>0</v>
      </c>
      <c r="C536">
        <v>0</v>
      </c>
      <c r="D536">
        <v>0</v>
      </c>
      <c r="E536">
        <v>0</v>
      </c>
      <c r="F536">
        <v>0</v>
      </c>
      <c r="G536">
        <v>0</v>
      </c>
    </row>
    <row r="537" spans="1:7" x14ac:dyDescent="0.2">
      <c r="A537" t="s">
        <v>1841</v>
      </c>
      <c r="B537">
        <v>0</v>
      </c>
      <c r="C537">
        <v>0</v>
      </c>
      <c r="D537">
        <v>36</v>
      </c>
      <c r="E537">
        <v>215</v>
      </c>
      <c r="F537">
        <v>11</v>
      </c>
      <c r="G537">
        <v>262</v>
      </c>
    </row>
    <row r="538" spans="1:7" x14ac:dyDescent="0.2">
      <c r="A538" t="s">
        <v>1842</v>
      </c>
      <c r="B538">
        <v>0</v>
      </c>
      <c r="C538">
        <v>79</v>
      </c>
      <c r="D538">
        <v>162</v>
      </c>
      <c r="E538">
        <v>287</v>
      </c>
      <c r="F538">
        <v>0</v>
      </c>
      <c r="G538">
        <v>529</v>
      </c>
    </row>
    <row r="539" spans="1:7" x14ac:dyDescent="0.2">
      <c r="A539" t="s">
        <v>1843</v>
      </c>
      <c r="B539">
        <v>0</v>
      </c>
      <c r="C539">
        <v>0</v>
      </c>
      <c r="D539">
        <v>0</v>
      </c>
      <c r="E539">
        <v>0</v>
      </c>
      <c r="F539">
        <v>951</v>
      </c>
      <c r="G539">
        <v>951</v>
      </c>
    </row>
    <row r="540" spans="1:7" x14ac:dyDescent="0.2">
      <c r="A540" t="s">
        <v>1846</v>
      </c>
      <c r="B540">
        <v>0</v>
      </c>
      <c r="C540">
        <v>0</v>
      </c>
      <c r="D540">
        <v>0</v>
      </c>
      <c r="E540">
        <v>0</v>
      </c>
      <c r="F540">
        <v>0</v>
      </c>
      <c r="G540">
        <v>0</v>
      </c>
    </row>
    <row r="541" spans="1:7" x14ac:dyDescent="0.2">
      <c r="A541" t="s">
        <v>1851</v>
      </c>
      <c r="B541">
        <v>0</v>
      </c>
      <c r="C541">
        <v>0</v>
      </c>
      <c r="D541">
        <v>0</v>
      </c>
      <c r="E541">
        <v>176</v>
      </c>
      <c r="F541">
        <v>33</v>
      </c>
      <c r="G541">
        <v>208</v>
      </c>
    </row>
    <row r="542" spans="1:7" x14ac:dyDescent="0.2">
      <c r="A542" t="s">
        <v>1857</v>
      </c>
      <c r="B542">
        <v>0</v>
      </c>
      <c r="C542">
        <v>0</v>
      </c>
      <c r="D542">
        <v>0</v>
      </c>
      <c r="E542">
        <v>0</v>
      </c>
      <c r="F542">
        <v>0</v>
      </c>
      <c r="G542">
        <v>0</v>
      </c>
    </row>
    <row r="543" spans="1:7" x14ac:dyDescent="0.2">
      <c r="A543" t="s">
        <v>1862</v>
      </c>
      <c r="B543">
        <v>0</v>
      </c>
      <c r="C543">
        <v>0</v>
      </c>
      <c r="D543">
        <v>0</v>
      </c>
      <c r="E543">
        <v>0</v>
      </c>
      <c r="F543">
        <v>0</v>
      </c>
      <c r="G543">
        <v>0</v>
      </c>
    </row>
    <row r="544" spans="1:7" x14ac:dyDescent="0.2">
      <c r="A544" t="s">
        <v>1867</v>
      </c>
      <c r="B544">
        <v>0</v>
      </c>
      <c r="C544">
        <v>0</v>
      </c>
      <c r="D544">
        <v>0</v>
      </c>
      <c r="E544">
        <v>0</v>
      </c>
      <c r="F544">
        <v>0</v>
      </c>
      <c r="G544">
        <v>0</v>
      </c>
    </row>
    <row r="545" spans="1:7" x14ac:dyDescent="0.2">
      <c r="A545" t="s">
        <v>1870</v>
      </c>
      <c r="B545">
        <v>0</v>
      </c>
      <c r="C545">
        <v>0</v>
      </c>
      <c r="D545">
        <v>0</v>
      </c>
      <c r="E545">
        <v>0</v>
      </c>
      <c r="F545">
        <v>0</v>
      </c>
      <c r="G545">
        <v>0</v>
      </c>
    </row>
    <row r="546" spans="1:7" x14ac:dyDescent="0.2">
      <c r="A546" t="s">
        <v>1874</v>
      </c>
      <c r="B546">
        <v>0</v>
      </c>
      <c r="C546">
        <v>0</v>
      </c>
      <c r="D546">
        <v>7</v>
      </c>
      <c r="E546">
        <v>51</v>
      </c>
      <c r="F546">
        <v>0</v>
      </c>
      <c r="G546">
        <v>58</v>
      </c>
    </row>
    <row r="547" spans="1:7" x14ac:dyDescent="0.2">
      <c r="A547" t="s">
        <v>1876</v>
      </c>
      <c r="B547">
        <v>0</v>
      </c>
      <c r="C547">
        <v>0</v>
      </c>
      <c r="D547">
        <v>0</v>
      </c>
      <c r="E547">
        <v>0</v>
      </c>
      <c r="F547">
        <v>0</v>
      </c>
      <c r="G547">
        <v>0</v>
      </c>
    </row>
    <row r="548" spans="1:7" x14ac:dyDescent="0.2">
      <c r="A548" t="s">
        <v>1881</v>
      </c>
      <c r="B548">
        <v>0</v>
      </c>
      <c r="C548">
        <v>0</v>
      </c>
      <c r="D548">
        <v>0</v>
      </c>
      <c r="E548">
        <v>0</v>
      </c>
      <c r="F548">
        <v>0</v>
      </c>
      <c r="G548">
        <v>0</v>
      </c>
    </row>
    <row r="549" spans="1:7" x14ac:dyDescent="0.2">
      <c r="A549" t="s">
        <v>1885</v>
      </c>
      <c r="B549">
        <v>143</v>
      </c>
      <c r="C549">
        <v>69</v>
      </c>
      <c r="D549">
        <v>61</v>
      </c>
      <c r="E549">
        <v>58</v>
      </c>
      <c r="F549">
        <v>2</v>
      </c>
      <c r="G549">
        <v>334</v>
      </c>
    </row>
    <row r="550" spans="1:7" x14ac:dyDescent="0.2">
      <c r="A550" t="s">
        <v>1887</v>
      </c>
      <c r="B550">
        <v>0</v>
      </c>
      <c r="C550">
        <v>0</v>
      </c>
      <c r="D550">
        <v>0</v>
      </c>
      <c r="E550">
        <v>0</v>
      </c>
      <c r="F550">
        <v>0</v>
      </c>
      <c r="G550">
        <v>1</v>
      </c>
    </row>
    <row r="551" spans="1:7" x14ac:dyDescent="0.2">
      <c r="A551" t="s">
        <v>1893</v>
      </c>
      <c r="B551">
        <v>0</v>
      </c>
      <c r="C551">
        <v>0</v>
      </c>
      <c r="D551">
        <v>0</v>
      </c>
      <c r="E551">
        <v>9</v>
      </c>
      <c r="F551">
        <v>1</v>
      </c>
      <c r="G551">
        <v>10</v>
      </c>
    </row>
    <row r="552" spans="1:7" x14ac:dyDescent="0.2">
      <c r="A552" t="s">
        <v>1899</v>
      </c>
      <c r="B552">
        <v>0</v>
      </c>
      <c r="C552">
        <v>0</v>
      </c>
      <c r="D552">
        <v>0</v>
      </c>
      <c r="E552">
        <v>0</v>
      </c>
      <c r="F552">
        <v>0</v>
      </c>
      <c r="G552">
        <v>0</v>
      </c>
    </row>
    <row r="553" spans="1:7" x14ac:dyDescent="0.2">
      <c r="A553" t="s">
        <v>1906</v>
      </c>
      <c r="B553">
        <v>0</v>
      </c>
      <c r="C553">
        <v>0</v>
      </c>
      <c r="D553">
        <v>0</v>
      </c>
      <c r="E553">
        <v>0</v>
      </c>
      <c r="F553">
        <v>0</v>
      </c>
      <c r="G553">
        <v>0</v>
      </c>
    </row>
    <row r="554" spans="1:7" x14ac:dyDescent="0.2">
      <c r="A554" t="s">
        <v>1911</v>
      </c>
      <c r="B554">
        <v>0</v>
      </c>
      <c r="C554">
        <v>0</v>
      </c>
      <c r="D554">
        <v>0</v>
      </c>
      <c r="E554">
        <v>0</v>
      </c>
      <c r="F554">
        <v>0</v>
      </c>
      <c r="G554">
        <v>0</v>
      </c>
    </row>
    <row r="555" spans="1:7" x14ac:dyDescent="0.2">
      <c r="A555" t="s">
        <v>1917</v>
      </c>
      <c r="B555">
        <v>0</v>
      </c>
      <c r="C555">
        <v>0</v>
      </c>
      <c r="D555">
        <v>0</v>
      </c>
      <c r="E555">
        <v>1</v>
      </c>
      <c r="F555">
        <v>0</v>
      </c>
      <c r="G555">
        <v>1</v>
      </c>
    </row>
    <row r="556" spans="1:7" x14ac:dyDescent="0.2">
      <c r="A556" t="s">
        <v>1922</v>
      </c>
      <c r="B556">
        <v>0</v>
      </c>
      <c r="C556">
        <v>0</v>
      </c>
      <c r="D556">
        <v>0</v>
      </c>
      <c r="E556">
        <v>0</v>
      </c>
      <c r="F556">
        <v>0</v>
      </c>
      <c r="G556">
        <v>0</v>
      </c>
    </row>
    <row r="557" spans="1:7" x14ac:dyDescent="0.2">
      <c r="A557" t="s">
        <v>1928</v>
      </c>
      <c r="B557">
        <v>0</v>
      </c>
      <c r="C557">
        <v>0</v>
      </c>
      <c r="D557">
        <v>0</v>
      </c>
      <c r="E557">
        <v>0</v>
      </c>
      <c r="F557">
        <v>0</v>
      </c>
      <c r="G557">
        <v>0</v>
      </c>
    </row>
    <row r="558" spans="1:7" x14ac:dyDescent="0.2">
      <c r="A558" t="s">
        <v>1932</v>
      </c>
      <c r="B558">
        <v>0</v>
      </c>
      <c r="C558">
        <v>0</v>
      </c>
      <c r="D558">
        <v>0</v>
      </c>
      <c r="E558">
        <v>0</v>
      </c>
      <c r="F558">
        <v>0</v>
      </c>
      <c r="G558">
        <v>0</v>
      </c>
    </row>
    <row r="559" spans="1:7" x14ac:dyDescent="0.2">
      <c r="A559" t="s">
        <v>1938</v>
      </c>
      <c r="B559">
        <v>0</v>
      </c>
      <c r="C559">
        <v>0</v>
      </c>
      <c r="D559">
        <v>0</v>
      </c>
      <c r="E559">
        <v>0</v>
      </c>
      <c r="F559">
        <v>0</v>
      </c>
      <c r="G559">
        <v>0</v>
      </c>
    </row>
    <row r="560" spans="1:7" x14ac:dyDescent="0.2">
      <c r="A560" t="s">
        <v>1944</v>
      </c>
      <c r="B560">
        <v>0</v>
      </c>
      <c r="C560">
        <v>1</v>
      </c>
      <c r="D560">
        <v>5</v>
      </c>
      <c r="E560">
        <v>2</v>
      </c>
      <c r="F560">
        <v>0</v>
      </c>
      <c r="G560">
        <v>8</v>
      </c>
    </row>
    <row r="561" spans="1:7" x14ac:dyDescent="0.2">
      <c r="A561" t="s">
        <v>1947</v>
      </c>
      <c r="B561">
        <v>0</v>
      </c>
      <c r="C561">
        <v>0</v>
      </c>
      <c r="D561">
        <v>0</v>
      </c>
      <c r="E561">
        <v>0</v>
      </c>
      <c r="F561">
        <v>0</v>
      </c>
      <c r="G561">
        <v>0</v>
      </c>
    </row>
    <row r="562" spans="1:7" x14ac:dyDescent="0.2">
      <c r="A562" t="s">
        <v>1953</v>
      </c>
      <c r="B562">
        <v>0</v>
      </c>
      <c r="C562">
        <v>0</v>
      </c>
      <c r="D562">
        <v>0</v>
      </c>
      <c r="E562">
        <v>0</v>
      </c>
      <c r="F562">
        <v>0</v>
      </c>
      <c r="G562">
        <v>0</v>
      </c>
    </row>
    <row r="563" spans="1:7" x14ac:dyDescent="0.2">
      <c r="A563" t="s">
        <v>1958</v>
      </c>
      <c r="B563">
        <v>0</v>
      </c>
      <c r="C563">
        <v>0</v>
      </c>
      <c r="D563">
        <v>0</v>
      </c>
      <c r="E563">
        <v>0</v>
      </c>
      <c r="F563">
        <v>0</v>
      </c>
      <c r="G563">
        <v>0</v>
      </c>
    </row>
    <row r="564" spans="1:7" x14ac:dyDescent="0.2">
      <c r="A564" t="s">
        <v>1964</v>
      </c>
      <c r="B564">
        <v>0</v>
      </c>
      <c r="C564">
        <v>0</v>
      </c>
      <c r="D564">
        <v>0</v>
      </c>
      <c r="E564">
        <v>0</v>
      </c>
      <c r="F564">
        <v>0</v>
      </c>
      <c r="G564">
        <v>0</v>
      </c>
    </row>
    <row r="565" spans="1:7" x14ac:dyDescent="0.2">
      <c r="A565" t="s">
        <v>1973</v>
      </c>
      <c r="B565">
        <v>0</v>
      </c>
      <c r="C565">
        <v>0</v>
      </c>
      <c r="D565">
        <v>0</v>
      </c>
      <c r="E565">
        <v>0</v>
      </c>
      <c r="F565">
        <v>0</v>
      </c>
      <c r="G565">
        <v>0</v>
      </c>
    </row>
    <row r="566" spans="1:7" x14ac:dyDescent="0.2">
      <c r="A566" t="s">
        <v>1978</v>
      </c>
      <c r="B566">
        <v>0</v>
      </c>
      <c r="C566">
        <v>0</v>
      </c>
      <c r="D566">
        <v>0</v>
      </c>
      <c r="E566">
        <v>0</v>
      </c>
      <c r="F566">
        <v>0</v>
      </c>
      <c r="G566">
        <v>0</v>
      </c>
    </row>
    <row r="567" spans="1:7" x14ac:dyDescent="0.2">
      <c r="A567" t="s">
        <v>1983</v>
      </c>
      <c r="B567">
        <v>8</v>
      </c>
      <c r="C567">
        <v>0</v>
      </c>
      <c r="D567">
        <v>0</v>
      </c>
      <c r="E567">
        <v>2</v>
      </c>
      <c r="F567">
        <v>0</v>
      </c>
      <c r="G567">
        <v>10</v>
      </c>
    </row>
    <row r="568" spans="1:7" x14ac:dyDescent="0.2">
      <c r="A568" t="s">
        <v>1984</v>
      </c>
      <c r="B568">
        <v>0</v>
      </c>
      <c r="C568">
        <v>0</v>
      </c>
      <c r="D568">
        <v>0</v>
      </c>
      <c r="E568">
        <v>0</v>
      </c>
      <c r="F568">
        <v>0</v>
      </c>
      <c r="G568">
        <v>0</v>
      </c>
    </row>
    <row r="569" spans="1:7" x14ac:dyDescent="0.2">
      <c r="A569" t="s">
        <v>1990</v>
      </c>
      <c r="B569">
        <v>0</v>
      </c>
      <c r="C569">
        <v>0</v>
      </c>
      <c r="D569">
        <v>0</v>
      </c>
      <c r="E569">
        <v>0</v>
      </c>
      <c r="F569">
        <v>0</v>
      </c>
      <c r="G569">
        <v>0</v>
      </c>
    </row>
    <row r="570" spans="1:7" x14ac:dyDescent="0.2">
      <c r="A570" t="s">
        <v>1996</v>
      </c>
      <c r="B570">
        <v>0</v>
      </c>
      <c r="C570">
        <v>0</v>
      </c>
      <c r="D570">
        <v>0</v>
      </c>
      <c r="E570">
        <v>0</v>
      </c>
      <c r="F570">
        <v>0</v>
      </c>
      <c r="G570">
        <v>0</v>
      </c>
    </row>
    <row r="571" spans="1:7" x14ac:dyDescent="0.2">
      <c r="A571" t="s">
        <v>1998</v>
      </c>
      <c r="B571">
        <v>0</v>
      </c>
      <c r="C571">
        <v>0</v>
      </c>
      <c r="D571">
        <v>0</v>
      </c>
      <c r="E571">
        <v>0</v>
      </c>
      <c r="F571">
        <v>0</v>
      </c>
      <c r="G571">
        <v>0</v>
      </c>
    </row>
    <row r="572" spans="1:7" x14ac:dyDescent="0.2">
      <c r="A572" t="s">
        <v>1999</v>
      </c>
      <c r="B572">
        <v>0</v>
      </c>
      <c r="C572">
        <v>0</v>
      </c>
      <c r="D572">
        <v>0</v>
      </c>
      <c r="E572">
        <v>0</v>
      </c>
      <c r="F572">
        <v>0</v>
      </c>
      <c r="G572">
        <v>0</v>
      </c>
    </row>
    <row r="573" spans="1:7" x14ac:dyDescent="0.2">
      <c r="A573" t="s">
        <v>2004</v>
      </c>
      <c r="B573">
        <v>0</v>
      </c>
      <c r="C573">
        <v>0</v>
      </c>
      <c r="D573">
        <v>0</v>
      </c>
      <c r="E573">
        <v>0</v>
      </c>
      <c r="F573">
        <v>0</v>
      </c>
      <c r="G573">
        <v>0</v>
      </c>
    </row>
    <row r="574" spans="1:7" x14ac:dyDescent="0.2">
      <c r="A574" t="s">
        <v>2009</v>
      </c>
      <c r="B574">
        <v>0</v>
      </c>
      <c r="C574">
        <v>0</v>
      </c>
      <c r="D574">
        <v>0</v>
      </c>
      <c r="E574">
        <v>0</v>
      </c>
      <c r="F574">
        <v>0</v>
      </c>
      <c r="G574">
        <v>0</v>
      </c>
    </row>
    <row r="575" spans="1:7" x14ac:dyDescent="0.2">
      <c r="A575" t="s">
        <v>2014</v>
      </c>
      <c r="B575">
        <v>0</v>
      </c>
      <c r="C575">
        <v>0</v>
      </c>
      <c r="D575">
        <v>0</v>
      </c>
      <c r="E575">
        <v>0</v>
      </c>
      <c r="F575">
        <v>0</v>
      </c>
      <c r="G575">
        <v>0</v>
      </c>
    </row>
    <row r="576" spans="1:7" x14ac:dyDescent="0.2">
      <c r="A576" t="s">
        <v>2019</v>
      </c>
      <c r="B576">
        <v>0</v>
      </c>
      <c r="C576">
        <v>0</v>
      </c>
      <c r="D576">
        <v>0</v>
      </c>
      <c r="E576">
        <v>0</v>
      </c>
      <c r="F576">
        <v>0</v>
      </c>
      <c r="G576">
        <v>0</v>
      </c>
    </row>
    <row r="577" spans="1:7" x14ac:dyDescent="0.2">
      <c r="A577" t="s">
        <v>2023</v>
      </c>
      <c r="B577">
        <v>0</v>
      </c>
      <c r="C577">
        <v>0</v>
      </c>
      <c r="D577">
        <v>0</v>
      </c>
      <c r="E577">
        <v>0</v>
      </c>
      <c r="F577">
        <v>0</v>
      </c>
      <c r="G577">
        <v>0</v>
      </c>
    </row>
    <row r="578" spans="1:7" x14ac:dyDescent="0.2">
      <c r="A578" t="s">
        <v>2026</v>
      </c>
      <c r="B578">
        <v>0</v>
      </c>
      <c r="C578">
        <v>0</v>
      </c>
      <c r="D578">
        <v>0</v>
      </c>
      <c r="E578">
        <v>0</v>
      </c>
      <c r="F578">
        <v>0</v>
      </c>
      <c r="G578">
        <v>0</v>
      </c>
    </row>
    <row r="579" spans="1:7" x14ac:dyDescent="0.2">
      <c r="A579" t="s">
        <v>2030</v>
      </c>
      <c r="B579">
        <v>0</v>
      </c>
      <c r="C579">
        <v>0</v>
      </c>
      <c r="D579">
        <v>0</v>
      </c>
      <c r="E579">
        <v>0</v>
      </c>
      <c r="F579">
        <v>0</v>
      </c>
      <c r="G579">
        <v>0</v>
      </c>
    </row>
    <row r="580" spans="1:7" x14ac:dyDescent="0.2">
      <c r="A580" t="s">
        <v>2035</v>
      </c>
      <c r="B580">
        <v>0</v>
      </c>
      <c r="C580">
        <v>0</v>
      </c>
      <c r="D580">
        <v>0</v>
      </c>
      <c r="E580">
        <v>0</v>
      </c>
      <c r="F580">
        <v>0</v>
      </c>
      <c r="G580">
        <v>0</v>
      </c>
    </row>
    <row r="581" spans="1:7" x14ac:dyDescent="0.2">
      <c r="A581" t="s">
        <v>2040</v>
      </c>
      <c r="B581">
        <v>0</v>
      </c>
      <c r="C581">
        <v>0</v>
      </c>
      <c r="D581">
        <v>0</v>
      </c>
      <c r="E581">
        <v>0</v>
      </c>
      <c r="F581">
        <v>0</v>
      </c>
      <c r="G581">
        <v>0</v>
      </c>
    </row>
    <row r="582" spans="1:7" x14ac:dyDescent="0.2">
      <c r="A582" t="s">
        <v>2045</v>
      </c>
      <c r="B582">
        <v>0</v>
      </c>
      <c r="C582">
        <v>0</v>
      </c>
      <c r="D582">
        <v>0</v>
      </c>
      <c r="E582">
        <v>0</v>
      </c>
      <c r="F582">
        <v>0</v>
      </c>
      <c r="G582">
        <v>0</v>
      </c>
    </row>
    <row r="583" spans="1:7" x14ac:dyDescent="0.2">
      <c r="A583" t="s">
        <v>2049</v>
      </c>
      <c r="B583">
        <v>0</v>
      </c>
      <c r="C583">
        <v>0</v>
      </c>
      <c r="D583">
        <v>0</v>
      </c>
      <c r="E583">
        <v>0</v>
      </c>
      <c r="F583">
        <v>2</v>
      </c>
      <c r="G583">
        <v>2</v>
      </c>
    </row>
    <row r="584" spans="1:7" x14ac:dyDescent="0.2">
      <c r="A584" t="s">
        <v>2051</v>
      </c>
      <c r="B584">
        <v>0</v>
      </c>
      <c r="C584">
        <v>0</v>
      </c>
      <c r="D584">
        <v>0</v>
      </c>
      <c r="E584">
        <v>0</v>
      </c>
      <c r="F584">
        <v>2</v>
      </c>
      <c r="G584">
        <v>2</v>
      </c>
    </row>
    <row r="585" spans="1:7" x14ac:dyDescent="0.2">
      <c r="A585" t="s">
        <v>2057</v>
      </c>
      <c r="B585">
        <v>0</v>
      </c>
      <c r="C585">
        <v>0</v>
      </c>
      <c r="D585">
        <v>0</v>
      </c>
      <c r="E585">
        <v>0</v>
      </c>
      <c r="F585">
        <v>3</v>
      </c>
      <c r="G585">
        <v>3</v>
      </c>
    </row>
    <row r="586" spans="1:7" x14ac:dyDescent="0.2">
      <c r="A586" t="s">
        <v>4344</v>
      </c>
      <c r="B586">
        <v>0</v>
      </c>
      <c r="C586">
        <v>0</v>
      </c>
      <c r="D586">
        <v>0</v>
      </c>
      <c r="E586">
        <v>0</v>
      </c>
      <c r="F586">
        <v>0</v>
      </c>
      <c r="G586">
        <v>0</v>
      </c>
    </row>
    <row r="587" spans="1:7" x14ac:dyDescent="0.2">
      <c r="A587" t="s">
        <v>4345</v>
      </c>
      <c r="B587">
        <v>0</v>
      </c>
      <c r="C587">
        <v>0</v>
      </c>
      <c r="D587">
        <v>0</v>
      </c>
      <c r="E587">
        <v>0</v>
      </c>
      <c r="F587">
        <v>2</v>
      </c>
      <c r="G587">
        <v>2</v>
      </c>
    </row>
    <row r="588" spans="1:7" x14ac:dyDescent="0.2">
      <c r="A588" t="s">
        <v>2074</v>
      </c>
      <c r="B588">
        <v>0</v>
      </c>
      <c r="C588">
        <v>0</v>
      </c>
      <c r="D588">
        <v>0</v>
      </c>
      <c r="E588">
        <v>0</v>
      </c>
      <c r="F588">
        <v>0</v>
      </c>
      <c r="G588">
        <v>0</v>
      </c>
    </row>
    <row r="589" spans="1:7" x14ac:dyDescent="0.2">
      <c r="A589" t="s">
        <v>2079</v>
      </c>
      <c r="B589">
        <v>0</v>
      </c>
      <c r="C589">
        <v>0</v>
      </c>
      <c r="D589">
        <v>0</v>
      </c>
      <c r="E589">
        <v>0</v>
      </c>
      <c r="F589">
        <v>0</v>
      </c>
      <c r="G589">
        <v>0</v>
      </c>
    </row>
    <row r="590" spans="1:7" x14ac:dyDescent="0.2">
      <c r="A590" t="s">
        <v>2085</v>
      </c>
      <c r="B590">
        <v>0</v>
      </c>
      <c r="C590">
        <v>0</v>
      </c>
      <c r="D590">
        <v>0</v>
      </c>
      <c r="E590">
        <v>0</v>
      </c>
      <c r="F590">
        <v>0</v>
      </c>
      <c r="G590">
        <v>0</v>
      </c>
    </row>
    <row r="591" spans="1:7" x14ac:dyDescent="0.2">
      <c r="A591" t="s">
        <v>2091</v>
      </c>
      <c r="B591">
        <v>0</v>
      </c>
      <c r="C591">
        <v>0</v>
      </c>
      <c r="D591">
        <v>0</v>
      </c>
      <c r="E591">
        <v>0</v>
      </c>
      <c r="F591">
        <v>0</v>
      </c>
      <c r="G591">
        <v>0</v>
      </c>
    </row>
    <row r="592" spans="1:7" x14ac:dyDescent="0.2">
      <c r="A592" t="s">
        <v>2097</v>
      </c>
      <c r="B592">
        <v>0</v>
      </c>
      <c r="C592">
        <v>0</v>
      </c>
      <c r="D592">
        <v>0</v>
      </c>
      <c r="E592">
        <v>0</v>
      </c>
      <c r="F592">
        <v>0</v>
      </c>
      <c r="G592">
        <v>0</v>
      </c>
    </row>
    <row r="593" spans="1:7" x14ac:dyDescent="0.2">
      <c r="A593" t="s">
        <v>2101</v>
      </c>
      <c r="B593">
        <v>0</v>
      </c>
      <c r="C593">
        <v>0</v>
      </c>
      <c r="D593">
        <v>0</v>
      </c>
      <c r="E593">
        <v>0</v>
      </c>
      <c r="F593">
        <v>0</v>
      </c>
      <c r="G593">
        <v>0</v>
      </c>
    </row>
    <row r="594" spans="1:7" x14ac:dyDescent="0.2">
      <c r="A594" t="s">
        <v>2104</v>
      </c>
      <c r="B594">
        <v>0</v>
      </c>
      <c r="C594">
        <v>0</v>
      </c>
      <c r="D594">
        <v>0</v>
      </c>
      <c r="E594">
        <v>0</v>
      </c>
      <c r="F594">
        <v>0</v>
      </c>
      <c r="G594">
        <v>0</v>
      </c>
    </row>
    <row r="595" spans="1:7" x14ac:dyDescent="0.2">
      <c r="A595" t="s">
        <v>2107</v>
      </c>
      <c r="B595">
        <v>0</v>
      </c>
      <c r="C595">
        <v>0</v>
      </c>
      <c r="D595">
        <v>0</v>
      </c>
      <c r="E595">
        <v>0</v>
      </c>
      <c r="F595">
        <v>0</v>
      </c>
      <c r="G595">
        <v>0</v>
      </c>
    </row>
    <row r="596" spans="1:7" x14ac:dyDescent="0.2">
      <c r="A596" t="s">
        <v>2110</v>
      </c>
      <c r="B596">
        <v>0</v>
      </c>
      <c r="C596">
        <v>0</v>
      </c>
      <c r="D596">
        <v>0</v>
      </c>
      <c r="E596">
        <v>0</v>
      </c>
      <c r="F596">
        <v>0</v>
      </c>
      <c r="G596">
        <v>0</v>
      </c>
    </row>
    <row r="597" spans="1:7" x14ac:dyDescent="0.2">
      <c r="A597" t="s">
        <v>2113</v>
      </c>
      <c r="B597">
        <v>0</v>
      </c>
      <c r="C597">
        <v>0</v>
      </c>
      <c r="D597">
        <v>0</v>
      </c>
      <c r="E597">
        <v>0</v>
      </c>
      <c r="F597">
        <v>0</v>
      </c>
      <c r="G597">
        <v>0</v>
      </c>
    </row>
    <row r="598" spans="1:7" x14ac:dyDescent="0.2">
      <c r="A598" t="s">
        <v>4346</v>
      </c>
      <c r="B598">
        <v>0</v>
      </c>
      <c r="C598">
        <v>0</v>
      </c>
      <c r="D598">
        <v>0</v>
      </c>
      <c r="E598">
        <v>0</v>
      </c>
      <c r="F598">
        <v>0</v>
      </c>
      <c r="G598">
        <v>0</v>
      </c>
    </row>
    <row r="599" spans="1:7" x14ac:dyDescent="0.2">
      <c r="A599" t="s">
        <v>4347</v>
      </c>
      <c r="B599">
        <v>0</v>
      </c>
      <c r="C599">
        <v>0</v>
      </c>
      <c r="D599">
        <v>0</v>
      </c>
      <c r="E599">
        <v>0</v>
      </c>
      <c r="F599">
        <v>0</v>
      </c>
      <c r="G599">
        <v>0</v>
      </c>
    </row>
    <row r="600" spans="1:7" x14ac:dyDescent="0.2">
      <c r="A600" t="s">
        <v>4348</v>
      </c>
      <c r="B600">
        <v>0</v>
      </c>
      <c r="C600">
        <v>0</v>
      </c>
      <c r="D600">
        <v>0</v>
      </c>
      <c r="E600">
        <v>0</v>
      </c>
      <c r="F600">
        <v>0</v>
      </c>
      <c r="G600">
        <v>0</v>
      </c>
    </row>
    <row r="601" spans="1:7" x14ac:dyDescent="0.2">
      <c r="A601" t="s">
        <v>4349</v>
      </c>
      <c r="B601">
        <v>0</v>
      </c>
      <c r="C601">
        <v>0</v>
      </c>
      <c r="D601">
        <v>0</v>
      </c>
      <c r="E601">
        <v>0</v>
      </c>
      <c r="F601">
        <v>0</v>
      </c>
      <c r="G601">
        <v>0</v>
      </c>
    </row>
    <row r="602" spans="1:7" x14ac:dyDescent="0.2">
      <c r="A602" t="s">
        <v>4350</v>
      </c>
      <c r="B602">
        <v>0</v>
      </c>
      <c r="C602">
        <v>0</v>
      </c>
      <c r="D602">
        <v>2</v>
      </c>
      <c r="E602">
        <v>0</v>
      </c>
      <c r="F602">
        <v>0</v>
      </c>
      <c r="G602">
        <v>2</v>
      </c>
    </row>
    <row r="603" spans="1:7" x14ac:dyDescent="0.2">
      <c r="A603" t="s">
        <v>4351</v>
      </c>
      <c r="B603">
        <v>0</v>
      </c>
      <c r="C603">
        <v>0</v>
      </c>
      <c r="D603">
        <v>0</v>
      </c>
      <c r="E603">
        <v>0</v>
      </c>
      <c r="F603">
        <v>0</v>
      </c>
      <c r="G603">
        <v>0</v>
      </c>
    </row>
    <row r="604" spans="1:7" x14ac:dyDescent="0.2">
      <c r="A604" t="s">
        <v>4352</v>
      </c>
      <c r="B604">
        <v>0</v>
      </c>
      <c r="C604">
        <v>0</v>
      </c>
      <c r="D604">
        <v>0</v>
      </c>
      <c r="E604">
        <v>0</v>
      </c>
      <c r="F604">
        <v>0</v>
      </c>
      <c r="G604">
        <v>0</v>
      </c>
    </row>
    <row r="605" spans="1:7" x14ac:dyDescent="0.2">
      <c r="A605" t="s">
        <v>4353</v>
      </c>
      <c r="B605">
        <v>0</v>
      </c>
      <c r="C605">
        <v>32</v>
      </c>
      <c r="D605">
        <v>11</v>
      </c>
      <c r="E605">
        <v>1</v>
      </c>
      <c r="F605">
        <v>0</v>
      </c>
      <c r="G605">
        <v>44</v>
      </c>
    </row>
    <row r="606" spans="1:7" x14ac:dyDescent="0.2">
      <c r="A606" t="s">
        <v>4354</v>
      </c>
      <c r="B606">
        <v>3</v>
      </c>
      <c r="C606">
        <v>31</v>
      </c>
      <c r="D606">
        <v>9</v>
      </c>
      <c r="E606">
        <v>0</v>
      </c>
      <c r="F606">
        <v>0</v>
      </c>
      <c r="G606">
        <v>44</v>
      </c>
    </row>
    <row r="607" spans="1:7" x14ac:dyDescent="0.2">
      <c r="A607" t="s">
        <v>4355</v>
      </c>
      <c r="B607">
        <v>0</v>
      </c>
      <c r="C607">
        <v>0</v>
      </c>
      <c r="D607">
        <v>0</v>
      </c>
      <c r="E607">
        <v>0</v>
      </c>
      <c r="F607">
        <v>0</v>
      </c>
      <c r="G607">
        <v>0</v>
      </c>
    </row>
    <row r="608" spans="1:7" x14ac:dyDescent="0.2">
      <c r="A608" t="s">
        <v>4356</v>
      </c>
      <c r="B608">
        <v>0</v>
      </c>
      <c r="C608">
        <v>0</v>
      </c>
      <c r="D608">
        <v>0</v>
      </c>
      <c r="E608">
        <v>0</v>
      </c>
      <c r="F608">
        <v>0</v>
      </c>
      <c r="G608">
        <v>0</v>
      </c>
    </row>
    <row r="609" spans="1:7" x14ac:dyDescent="0.2">
      <c r="A609" t="s">
        <v>4357</v>
      </c>
      <c r="B609">
        <v>0</v>
      </c>
      <c r="C609">
        <v>2</v>
      </c>
      <c r="D609">
        <v>0</v>
      </c>
      <c r="E609">
        <v>0</v>
      </c>
      <c r="F609">
        <v>0</v>
      </c>
      <c r="G609">
        <v>2</v>
      </c>
    </row>
    <row r="610" spans="1:7" x14ac:dyDescent="0.2">
      <c r="A610" t="s">
        <v>4358</v>
      </c>
      <c r="B610">
        <v>0</v>
      </c>
      <c r="C610">
        <v>0</v>
      </c>
      <c r="D610">
        <v>0</v>
      </c>
      <c r="E610">
        <v>0</v>
      </c>
      <c r="F610">
        <v>0</v>
      </c>
      <c r="G610">
        <v>0</v>
      </c>
    </row>
    <row r="611" spans="1:7" x14ac:dyDescent="0.2">
      <c r="A611" t="s">
        <v>4359</v>
      </c>
      <c r="B611">
        <v>0</v>
      </c>
      <c r="C611">
        <v>0</v>
      </c>
      <c r="D611">
        <v>0</v>
      </c>
      <c r="E611">
        <v>0</v>
      </c>
      <c r="F611">
        <v>0</v>
      </c>
      <c r="G611">
        <v>0</v>
      </c>
    </row>
    <row r="612" spans="1:7" x14ac:dyDescent="0.2">
      <c r="A612" t="s">
        <v>4360</v>
      </c>
      <c r="B612">
        <v>0</v>
      </c>
      <c r="C612">
        <v>0</v>
      </c>
      <c r="D612">
        <v>0</v>
      </c>
      <c r="E612">
        <v>5</v>
      </c>
      <c r="F612">
        <v>0</v>
      </c>
      <c r="G612">
        <v>5</v>
      </c>
    </row>
    <row r="613" spans="1:7" x14ac:dyDescent="0.2">
      <c r="A613" t="s">
        <v>4361</v>
      </c>
      <c r="B613">
        <v>0</v>
      </c>
      <c r="C613">
        <v>0</v>
      </c>
      <c r="D613">
        <v>10</v>
      </c>
      <c r="E613">
        <v>0</v>
      </c>
      <c r="F613">
        <v>0</v>
      </c>
      <c r="G613">
        <v>11</v>
      </c>
    </row>
    <row r="614" spans="1:7" x14ac:dyDescent="0.2">
      <c r="A614" t="s">
        <v>4362</v>
      </c>
      <c r="B614">
        <v>0</v>
      </c>
      <c r="C614">
        <v>0</v>
      </c>
      <c r="D614">
        <v>0</v>
      </c>
      <c r="E614">
        <v>0</v>
      </c>
      <c r="F614">
        <v>0</v>
      </c>
      <c r="G614">
        <v>0</v>
      </c>
    </row>
    <row r="615" spans="1:7" x14ac:dyDescent="0.2">
      <c r="A615" t="s">
        <v>4363</v>
      </c>
      <c r="B615">
        <v>0</v>
      </c>
      <c r="C615">
        <v>0</v>
      </c>
      <c r="D615">
        <v>0</v>
      </c>
      <c r="E615">
        <v>0</v>
      </c>
      <c r="F615">
        <v>0</v>
      </c>
      <c r="G615">
        <v>0</v>
      </c>
    </row>
    <row r="616" spans="1:7" x14ac:dyDescent="0.2">
      <c r="A616" t="s">
        <v>4364</v>
      </c>
      <c r="B616">
        <v>0</v>
      </c>
      <c r="C616">
        <v>0</v>
      </c>
      <c r="D616">
        <v>0</v>
      </c>
      <c r="E616">
        <v>0</v>
      </c>
      <c r="F616">
        <v>0</v>
      </c>
      <c r="G616">
        <v>0</v>
      </c>
    </row>
    <row r="617" spans="1:7" x14ac:dyDescent="0.2">
      <c r="A617" t="s">
        <v>4365</v>
      </c>
      <c r="B617">
        <v>2</v>
      </c>
      <c r="C617">
        <v>29</v>
      </c>
      <c r="D617">
        <v>11</v>
      </c>
      <c r="E617">
        <v>0</v>
      </c>
      <c r="F617">
        <v>0</v>
      </c>
      <c r="G617">
        <v>42</v>
      </c>
    </row>
    <row r="618" spans="1:7" x14ac:dyDescent="0.2">
      <c r="A618" t="s">
        <v>4366</v>
      </c>
      <c r="B618">
        <v>0</v>
      </c>
      <c r="C618">
        <v>0</v>
      </c>
      <c r="D618">
        <v>0</v>
      </c>
      <c r="E618">
        <v>0</v>
      </c>
      <c r="F618">
        <v>0</v>
      </c>
      <c r="G618">
        <v>0</v>
      </c>
    </row>
    <row r="619" spans="1:7" x14ac:dyDescent="0.2">
      <c r="A619" t="s">
        <v>4367</v>
      </c>
      <c r="B619">
        <v>0</v>
      </c>
      <c r="C619">
        <v>0</v>
      </c>
      <c r="D619">
        <v>0</v>
      </c>
      <c r="E619">
        <v>0</v>
      </c>
      <c r="F619">
        <v>0</v>
      </c>
      <c r="G619">
        <v>0</v>
      </c>
    </row>
    <row r="620" spans="1:7" x14ac:dyDescent="0.2">
      <c r="A620" t="s">
        <v>4368</v>
      </c>
      <c r="B620">
        <v>41</v>
      </c>
      <c r="C620">
        <v>124</v>
      </c>
      <c r="D620">
        <v>152</v>
      </c>
      <c r="E620">
        <v>270</v>
      </c>
      <c r="F620">
        <v>23</v>
      </c>
      <c r="G620">
        <v>611</v>
      </c>
    </row>
    <row r="621" spans="1:7" x14ac:dyDescent="0.2">
      <c r="A621" t="s">
        <v>4369</v>
      </c>
      <c r="B621">
        <v>3</v>
      </c>
      <c r="C621">
        <v>137</v>
      </c>
      <c r="D621">
        <v>168</v>
      </c>
      <c r="E621">
        <v>2</v>
      </c>
      <c r="F621">
        <v>0</v>
      </c>
      <c r="G621">
        <v>311</v>
      </c>
    </row>
    <row r="622" spans="1:7" x14ac:dyDescent="0.2">
      <c r="A622" t="s">
        <v>4370</v>
      </c>
      <c r="B622">
        <v>61</v>
      </c>
      <c r="C622">
        <v>49</v>
      </c>
      <c r="D622">
        <v>33</v>
      </c>
      <c r="E622">
        <v>2</v>
      </c>
      <c r="F622">
        <v>0</v>
      </c>
      <c r="G622">
        <v>145</v>
      </c>
    </row>
    <row r="623" spans="1:7" x14ac:dyDescent="0.2">
      <c r="A623" t="s">
        <v>4371</v>
      </c>
      <c r="B623">
        <v>16</v>
      </c>
      <c r="C623">
        <v>13</v>
      </c>
      <c r="D623">
        <v>35</v>
      </c>
      <c r="E623">
        <v>3</v>
      </c>
      <c r="F623">
        <v>0</v>
      </c>
      <c r="G623">
        <v>68</v>
      </c>
    </row>
    <row r="624" spans="1:7" x14ac:dyDescent="0.2">
      <c r="A624" t="s">
        <v>4372</v>
      </c>
      <c r="B624">
        <v>0</v>
      </c>
      <c r="C624">
        <v>0</v>
      </c>
      <c r="D624">
        <v>0</v>
      </c>
      <c r="E624">
        <v>0</v>
      </c>
      <c r="F624">
        <v>0</v>
      </c>
      <c r="G624">
        <v>0</v>
      </c>
    </row>
    <row r="625" spans="1:10" x14ac:dyDescent="0.2">
      <c r="A625" t="s">
        <v>4373</v>
      </c>
      <c r="B625">
        <v>0</v>
      </c>
      <c r="C625">
        <v>0</v>
      </c>
      <c r="D625">
        <v>0</v>
      </c>
      <c r="E625">
        <v>0</v>
      </c>
      <c r="F625">
        <v>0</v>
      </c>
      <c r="G625">
        <v>0</v>
      </c>
    </row>
    <row r="626" spans="1:10" x14ac:dyDescent="0.2">
      <c r="A626" t="s">
        <v>4374</v>
      </c>
      <c r="B626">
        <v>0</v>
      </c>
      <c r="C626">
        <v>0</v>
      </c>
      <c r="D626">
        <v>0</v>
      </c>
      <c r="E626">
        <v>0</v>
      </c>
      <c r="F626">
        <v>0</v>
      </c>
      <c r="G626">
        <v>0</v>
      </c>
    </row>
    <row r="627" spans="1:10" x14ac:dyDescent="0.2">
      <c r="A627" t="s">
        <v>4375</v>
      </c>
      <c r="B627">
        <v>0</v>
      </c>
      <c r="C627">
        <v>0</v>
      </c>
      <c r="D627">
        <v>0</v>
      </c>
      <c r="E627">
        <v>0</v>
      </c>
      <c r="F627">
        <v>0</v>
      </c>
      <c r="G627">
        <v>0</v>
      </c>
    </row>
    <row r="628" spans="1:10" x14ac:dyDescent="0.2">
      <c r="A628" t="s">
        <v>4376</v>
      </c>
      <c r="B628">
        <v>0</v>
      </c>
      <c r="C628">
        <v>0</v>
      </c>
      <c r="D628">
        <v>0</v>
      </c>
      <c r="E628">
        <v>0</v>
      </c>
      <c r="F628">
        <v>0</v>
      </c>
      <c r="G628">
        <v>0</v>
      </c>
    </row>
    <row r="629" spans="1:10" x14ac:dyDescent="0.2">
      <c r="A629" t="s">
        <v>4377</v>
      </c>
      <c r="B629">
        <v>0</v>
      </c>
      <c r="C629">
        <v>0</v>
      </c>
      <c r="D629">
        <v>0</v>
      </c>
      <c r="E629">
        <v>0</v>
      </c>
      <c r="F629">
        <v>0</v>
      </c>
      <c r="G629">
        <v>0</v>
      </c>
    </row>
    <row r="630" spans="1:10" x14ac:dyDescent="0.2">
      <c r="A630" t="s">
        <v>2318</v>
      </c>
      <c r="B630" t="s">
        <v>2319</v>
      </c>
      <c r="C630" t="s">
        <v>2319</v>
      </c>
      <c r="D630" t="s">
        <v>2319</v>
      </c>
      <c r="E630" t="s">
        <v>2319</v>
      </c>
      <c r="F630" t="s">
        <v>2319</v>
      </c>
      <c r="G630" t="s">
        <v>2319</v>
      </c>
    </row>
    <row r="631" spans="1:10" x14ac:dyDescent="0.2">
      <c r="A631" t="s">
        <v>4248</v>
      </c>
    </row>
    <row r="632" spans="1:10" x14ac:dyDescent="0.2">
      <c r="A632" t="s">
        <v>4250</v>
      </c>
      <c r="C632" t="s">
        <v>4251</v>
      </c>
      <c r="G632" t="s">
        <v>7531</v>
      </c>
      <c r="J632"/>
    </row>
    <row r="633" spans="1:10" x14ac:dyDescent="0.2">
      <c r="A633" t="s">
        <v>4925</v>
      </c>
      <c r="G633" t="s">
        <v>7537</v>
      </c>
      <c r="J633"/>
    </row>
    <row r="634" spans="1:10" x14ac:dyDescent="0.2">
      <c r="A634" t="s">
        <v>7530</v>
      </c>
      <c r="J634"/>
    </row>
    <row r="635" spans="1:10" x14ac:dyDescent="0.2">
      <c r="A635" t="s">
        <v>4936</v>
      </c>
      <c r="J635"/>
    </row>
    <row r="636" spans="1:10" x14ac:dyDescent="0.2">
      <c r="J636"/>
    </row>
    <row r="637" spans="1:10" x14ac:dyDescent="0.2">
      <c r="A637" t="s">
        <v>4259</v>
      </c>
      <c r="J637"/>
    </row>
    <row r="638" spans="1:10" x14ac:dyDescent="0.2">
      <c r="A638" t="s">
        <v>2318</v>
      </c>
      <c r="B638" t="s">
        <v>2319</v>
      </c>
      <c r="C638" t="s">
        <v>2319</v>
      </c>
      <c r="D638" t="s">
        <v>2319</v>
      </c>
      <c r="E638" t="s">
        <v>2319</v>
      </c>
      <c r="F638" t="s">
        <v>2319</v>
      </c>
      <c r="G638" t="s">
        <v>2319</v>
      </c>
    </row>
    <row r="639" spans="1:10" x14ac:dyDescent="0.2">
      <c r="A639" t="s">
        <v>174</v>
      </c>
      <c r="B639" t="s">
        <v>4945</v>
      </c>
      <c r="C639" t="s">
        <v>4946</v>
      </c>
      <c r="D639" t="s">
        <v>4947</v>
      </c>
      <c r="E639" t="s">
        <v>4948</v>
      </c>
      <c r="F639" t="s">
        <v>4949</v>
      </c>
    </row>
    <row r="640" spans="1:10" x14ac:dyDescent="0.2">
      <c r="A640" t="s">
        <v>126</v>
      </c>
      <c r="B640" t="s">
        <v>4262</v>
      </c>
      <c r="C640" t="s">
        <v>4263</v>
      </c>
      <c r="D640" t="s">
        <v>4264</v>
      </c>
      <c r="E640" t="s">
        <v>2308</v>
      </c>
      <c r="F640" t="s">
        <v>615</v>
      </c>
      <c r="G640" t="s">
        <v>236</v>
      </c>
    </row>
    <row r="641" spans="1:7" x14ac:dyDescent="0.2">
      <c r="A641" t="s">
        <v>2318</v>
      </c>
      <c r="B641" t="s">
        <v>2319</v>
      </c>
      <c r="C641" t="s">
        <v>2319</v>
      </c>
      <c r="D641" t="s">
        <v>2319</v>
      </c>
      <c r="E641" t="s">
        <v>2319</v>
      </c>
      <c r="F641" t="s">
        <v>2319</v>
      </c>
      <c r="G641" t="s">
        <v>2319</v>
      </c>
    </row>
    <row r="642" spans="1:7" x14ac:dyDescent="0.2">
      <c r="A642" t="s">
        <v>4265</v>
      </c>
      <c r="B642">
        <v>0</v>
      </c>
      <c r="C642">
        <v>0</v>
      </c>
      <c r="D642">
        <v>0</v>
      </c>
      <c r="E642">
        <v>0</v>
      </c>
      <c r="F642">
        <v>0</v>
      </c>
      <c r="G642">
        <v>0</v>
      </c>
    </row>
    <row r="643" spans="1:7" x14ac:dyDescent="0.2">
      <c r="A643" t="s">
        <v>4266</v>
      </c>
      <c r="B643">
        <v>0</v>
      </c>
      <c r="C643">
        <v>0</v>
      </c>
      <c r="D643">
        <v>0</v>
      </c>
      <c r="E643">
        <v>0</v>
      </c>
      <c r="F643">
        <v>0</v>
      </c>
      <c r="G643">
        <v>0</v>
      </c>
    </row>
    <row r="644" spans="1:7" x14ac:dyDescent="0.2">
      <c r="A644" t="s">
        <v>4267</v>
      </c>
      <c r="B644">
        <v>0</v>
      </c>
      <c r="C644">
        <v>0</v>
      </c>
      <c r="D644">
        <v>0</v>
      </c>
      <c r="E644">
        <v>0</v>
      </c>
      <c r="F644">
        <v>0</v>
      </c>
      <c r="G644">
        <v>0</v>
      </c>
    </row>
    <row r="645" spans="1:7" x14ac:dyDescent="0.2">
      <c r="A645" t="s">
        <v>4268</v>
      </c>
      <c r="B645">
        <v>0</v>
      </c>
      <c r="C645">
        <v>0</v>
      </c>
      <c r="D645">
        <v>0</v>
      </c>
      <c r="E645">
        <v>0</v>
      </c>
      <c r="F645">
        <v>0</v>
      </c>
      <c r="G645">
        <v>0</v>
      </c>
    </row>
    <row r="646" spans="1:7" x14ac:dyDescent="0.2">
      <c r="A646" t="s">
        <v>4269</v>
      </c>
      <c r="B646">
        <v>0</v>
      </c>
      <c r="C646">
        <v>0</v>
      </c>
      <c r="D646">
        <v>0</v>
      </c>
      <c r="E646">
        <v>0</v>
      </c>
      <c r="F646">
        <v>0</v>
      </c>
      <c r="G646">
        <v>0</v>
      </c>
    </row>
    <row r="647" spans="1:7" x14ac:dyDescent="0.2">
      <c r="A647" t="s">
        <v>4270</v>
      </c>
      <c r="B647">
        <v>0</v>
      </c>
      <c r="C647">
        <v>0</v>
      </c>
      <c r="D647">
        <v>0</v>
      </c>
      <c r="E647">
        <v>0</v>
      </c>
      <c r="F647">
        <v>0</v>
      </c>
      <c r="G647">
        <v>0</v>
      </c>
    </row>
    <row r="648" spans="1:7" x14ac:dyDescent="0.2">
      <c r="A648" t="s">
        <v>4271</v>
      </c>
      <c r="B648">
        <v>0</v>
      </c>
      <c r="C648">
        <v>0</v>
      </c>
      <c r="D648">
        <v>0</v>
      </c>
      <c r="E648">
        <v>0</v>
      </c>
      <c r="F648">
        <v>0</v>
      </c>
      <c r="G648">
        <v>0</v>
      </c>
    </row>
    <row r="649" spans="1:7" x14ac:dyDescent="0.2">
      <c r="A649" t="s">
        <v>4272</v>
      </c>
      <c r="B649">
        <v>0</v>
      </c>
      <c r="C649">
        <v>0</v>
      </c>
      <c r="D649">
        <v>0</v>
      </c>
      <c r="E649">
        <v>0</v>
      </c>
      <c r="F649">
        <v>0</v>
      </c>
      <c r="G649">
        <v>0</v>
      </c>
    </row>
    <row r="650" spans="1:7" x14ac:dyDescent="0.2">
      <c r="A650" t="s">
        <v>4273</v>
      </c>
      <c r="B650">
        <v>0</v>
      </c>
      <c r="C650">
        <v>0</v>
      </c>
      <c r="D650">
        <v>0</v>
      </c>
      <c r="E650">
        <v>0</v>
      </c>
      <c r="F650">
        <v>0</v>
      </c>
      <c r="G650">
        <v>0</v>
      </c>
    </row>
    <row r="651" spans="1:7" x14ac:dyDescent="0.2">
      <c r="A651" t="s">
        <v>4274</v>
      </c>
      <c r="B651">
        <v>0</v>
      </c>
      <c r="C651">
        <v>0</v>
      </c>
      <c r="D651">
        <v>0</v>
      </c>
      <c r="E651">
        <v>0</v>
      </c>
      <c r="F651">
        <v>0</v>
      </c>
      <c r="G651">
        <v>0</v>
      </c>
    </row>
    <row r="652" spans="1:7" x14ac:dyDescent="0.2">
      <c r="A652" t="s">
        <v>4275</v>
      </c>
      <c r="B652">
        <v>0</v>
      </c>
      <c r="C652">
        <v>0</v>
      </c>
      <c r="D652">
        <v>0</v>
      </c>
      <c r="E652">
        <v>0</v>
      </c>
      <c r="F652">
        <v>0</v>
      </c>
      <c r="G652">
        <v>0</v>
      </c>
    </row>
    <row r="653" spans="1:7" x14ac:dyDescent="0.2">
      <c r="A653" t="s">
        <v>4276</v>
      </c>
      <c r="B653">
        <v>0</v>
      </c>
      <c r="C653">
        <v>0</v>
      </c>
      <c r="D653">
        <v>0</v>
      </c>
      <c r="E653">
        <v>0</v>
      </c>
      <c r="F653">
        <v>0</v>
      </c>
      <c r="G653">
        <v>0</v>
      </c>
    </row>
    <row r="654" spans="1:7" x14ac:dyDescent="0.2">
      <c r="A654" t="s">
        <v>4277</v>
      </c>
      <c r="B654">
        <v>0</v>
      </c>
      <c r="C654">
        <v>0</v>
      </c>
      <c r="D654">
        <v>0</v>
      </c>
      <c r="E654">
        <v>0</v>
      </c>
      <c r="F654">
        <v>0</v>
      </c>
      <c r="G654">
        <v>0</v>
      </c>
    </row>
    <row r="655" spans="1:7" x14ac:dyDescent="0.2">
      <c r="A655" t="s">
        <v>4278</v>
      </c>
      <c r="B655">
        <v>0</v>
      </c>
      <c r="C655">
        <v>0</v>
      </c>
      <c r="D655">
        <v>0</v>
      </c>
      <c r="E655">
        <v>0</v>
      </c>
      <c r="F655">
        <v>0</v>
      </c>
      <c r="G655">
        <v>0</v>
      </c>
    </row>
    <row r="656" spans="1:7" x14ac:dyDescent="0.2">
      <c r="A656" t="s">
        <v>4279</v>
      </c>
      <c r="B656">
        <v>0</v>
      </c>
      <c r="C656">
        <v>0</v>
      </c>
      <c r="D656">
        <v>0</v>
      </c>
      <c r="E656">
        <v>0</v>
      </c>
      <c r="F656">
        <v>0</v>
      </c>
      <c r="G656">
        <v>0</v>
      </c>
    </row>
    <row r="657" spans="1:7" x14ac:dyDescent="0.2">
      <c r="A657" t="s">
        <v>4280</v>
      </c>
      <c r="B657">
        <v>0</v>
      </c>
      <c r="C657">
        <v>0</v>
      </c>
      <c r="D657">
        <v>0</v>
      </c>
      <c r="E657">
        <v>0</v>
      </c>
      <c r="F657">
        <v>0</v>
      </c>
      <c r="G657">
        <v>0</v>
      </c>
    </row>
    <row r="658" spans="1:7" x14ac:dyDescent="0.2">
      <c r="A658" t="s">
        <v>4281</v>
      </c>
      <c r="B658">
        <v>4</v>
      </c>
      <c r="C658">
        <v>3</v>
      </c>
      <c r="D658">
        <v>4</v>
      </c>
      <c r="E658">
        <v>0</v>
      </c>
      <c r="F658">
        <v>0</v>
      </c>
      <c r="G658">
        <v>11</v>
      </c>
    </row>
    <row r="659" spans="1:7" x14ac:dyDescent="0.2">
      <c r="A659" t="s">
        <v>4282</v>
      </c>
      <c r="B659">
        <v>3</v>
      </c>
      <c r="C659">
        <v>2</v>
      </c>
      <c r="D659">
        <v>1</v>
      </c>
      <c r="E659">
        <v>0</v>
      </c>
      <c r="F659">
        <v>0</v>
      </c>
      <c r="G659">
        <v>6</v>
      </c>
    </row>
    <row r="660" spans="1:7" x14ac:dyDescent="0.2">
      <c r="A660" t="s">
        <v>4283</v>
      </c>
      <c r="B660">
        <v>0</v>
      </c>
      <c r="C660">
        <v>1</v>
      </c>
      <c r="D660">
        <v>0</v>
      </c>
      <c r="E660">
        <v>0</v>
      </c>
      <c r="F660">
        <v>0</v>
      </c>
      <c r="G660">
        <v>1</v>
      </c>
    </row>
    <row r="661" spans="1:7" x14ac:dyDescent="0.2">
      <c r="A661" t="s">
        <v>4284</v>
      </c>
      <c r="B661">
        <v>0</v>
      </c>
      <c r="C661">
        <v>0</v>
      </c>
      <c r="D661">
        <v>0</v>
      </c>
      <c r="E661">
        <v>0</v>
      </c>
      <c r="F661">
        <v>0</v>
      </c>
      <c r="G661">
        <v>0</v>
      </c>
    </row>
    <row r="662" spans="1:7" x14ac:dyDescent="0.2">
      <c r="A662" t="s">
        <v>4285</v>
      </c>
      <c r="B662">
        <v>3</v>
      </c>
      <c r="C662">
        <v>3</v>
      </c>
      <c r="D662">
        <v>2</v>
      </c>
      <c r="E662">
        <v>4</v>
      </c>
      <c r="F662">
        <v>0</v>
      </c>
      <c r="G662">
        <v>12</v>
      </c>
    </row>
    <row r="663" spans="1:7" x14ac:dyDescent="0.2">
      <c r="A663" t="s">
        <v>4286</v>
      </c>
      <c r="B663">
        <v>2</v>
      </c>
      <c r="C663">
        <v>0</v>
      </c>
      <c r="D663">
        <v>0</v>
      </c>
      <c r="E663">
        <v>0</v>
      </c>
      <c r="F663">
        <v>0</v>
      </c>
      <c r="G663">
        <v>2</v>
      </c>
    </row>
    <row r="664" spans="1:7" x14ac:dyDescent="0.2">
      <c r="A664" t="s">
        <v>4287</v>
      </c>
      <c r="B664">
        <v>0</v>
      </c>
      <c r="C664">
        <v>0</v>
      </c>
      <c r="D664">
        <v>0</v>
      </c>
      <c r="E664">
        <v>0</v>
      </c>
      <c r="F664">
        <v>0</v>
      </c>
      <c r="G664">
        <v>0</v>
      </c>
    </row>
    <row r="665" spans="1:7" x14ac:dyDescent="0.2">
      <c r="A665" t="s">
        <v>4288</v>
      </c>
      <c r="B665">
        <v>0</v>
      </c>
      <c r="C665">
        <v>0</v>
      </c>
      <c r="D665">
        <v>0</v>
      </c>
      <c r="E665">
        <v>0</v>
      </c>
      <c r="F665">
        <v>0</v>
      </c>
      <c r="G665">
        <v>0</v>
      </c>
    </row>
    <row r="666" spans="1:7" x14ac:dyDescent="0.2">
      <c r="A666" t="s">
        <v>4289</v>
      </c>
      <c r="B666">
        <v>0</v>
      </c>
      <c r="C666">
        <v>0</v>
      </c>
      <c r="D666">
        <v>0</v>
      </c>
      <c r="E666">
        <v>0</v>
      </c>
      <c r="F666">
        <v>0</v>
      </c>
      <c r="G666">
        <v>0</v>
      </c>
    </row>
    <row r="667" spans="1:7" x14ac:dyDescent="0.2">
      <c r="A667" t="s">
        <v>4290</v>
      </c>
      <c r="B667">
        <v>0</v>
      </c>
      <c r="C667">
        <v>0</v>
      </c>
      <c r="D667">
        <v>0</v>
      </c>
      <c r="E667">
        <v>0</v>
      </c>
      <c r="F667">
        <v>0</v>
      </c>
      <c r="G667">
        <v>0</v>
      </c>
    </row>
    <row r="668" spans="1:7" x14ac:dyDescent="0.2">
      <c r="A668" t="s">
        <v>4291</v>
      </c>
      <c r="B668">
        <v>0</v>
      </c>
      <c r="C668">
        <v>0</v>
      </c>
      <c r="D668">
        <v>0</v>
      </c>
      <c r="E668">
        <v>0</v>
      </c>
      <c r="F668">
        <v>0</v>
      </c>
      <c r="G668">
        <v>0</v>
      </c>
    </row>
    <row r="669" spans="1:7" x14ac:dyDescent="0.2">
      <c r="A669" t="s">
        <v>4292</v>
      </c>
      <c r="B669">
        <v>0</v>
      </c>
      <c r="C669">
        <v>0</v>
      </c>
      <c r="D669">
        <v>0</v>
      </c>
      <c r="E669">
        <v>0</v>
      </c>
      <c r="F669">
        <v>0</v>
      </c>
      <c r="G669">
        <v>0</v>
      </c>
    </row>
    <row r="670" spans="1:7" x14ac:dyDescent="0.2">
      <c r="A670" t="s">
        <v>4293</v>
      </c>
      <c r="B670">
        <v>0</v>
      </c>
      <c r="C670">
        <v>0</v>
      </c>
      <c r="D670">
        <v>0</v>
      </c>
      <c r="E670">
        <v>0</v>
      </c>
      <c r="F670">
        <v>0</v>
      </c>
      <c r="G670">
        <v>0</v>
      </c>
    </row>
    <row r="671" spans="1:7" x14ac:dyDescent="0.2">
      <c r="A671" t="s">
        <v>4294</v>
      </c>
      <c r="B671">
        <v>0</v>
      </c>
      <c r="C671">
        <v>0</v>
      </c>
      <c r="D671">
        <v>0</v>
      </c>
      <c r="E671">
        <v>0</v>
      </c>
      <c r="F671">
        <v>0</v>
      </c>
      <c r="G671">
        <v>0</v>
      </c>
    </row>
    <row r="672" spans="1:7" x14ac:dyDescent="0.2">
      <c r="A672" t="s">
        <v>4295</v>
      </c>
      <c r="B672">
        <v>0</v>
      </c>
      <c r="C672">
        <v>0</v>
      </c>
      <c r="D672">
        <v>0</v>
      </c>
      <c r="E672">
        <v>0</v>
      </c>
      <c r="F672">
        <v>0</v>
      </c>
      <c r="G672">
        <v>0</v>
      </c>
    </row>
    <row r="673" spans="1:7" x14ac:dyDescent="0.2">
      <c r="A673" t="s">
        <v>4296</v>
      </c>
      <c r="B673">
        <v>0</v>
      </c>
      <c r="C673">
        <v>0</v>
      </c>
      <c r="D673">
        <v>0</v>
      </c>
      <c r="E673">
        <v>0</v>
      </c>
      <c r="F673">
        <v>0</v>
      </c>
      <c r="G673">
        <v>0</v>
      </c>
    </row>
    <row r="674" spans="1:7" x14ac:dyDescent="0.2">
      <c r="A674" t="s">
        <v>4297</v>
      </c>
      <c r="B674">
        <v>0</v>
      </c>
      <c r="C674">
        <v>3</v>
      </c>
      <c r="D674">
        <v>4</v>
      </c>
      <c r="E674">
        <v>0</v>
      </c>
      <c r="F674">
        <v>0</v>
      </c>
      <c r="G674">
        <v>7</v>
      </c>
    </row>
    <row r="675" spans="1:7" x14ac:dyDescent="0.2">
      <c r="A675" t="s">
        <v>4298</v>
      </c>
      <c r="B675">
        <v>4</v>
      </c>
      <c r="C675">
        <v>6</v>
      </c>
      <c r="D675">
        <v>1</v>
      </c>
      <c r="E675">
        <v>0</v>
      </c>
      <c r="F675">
        <v>0</v>
      </c>
      <c r="G675">
        <v>11</v>
      </c>
    </row>
    <row r="676" spans="1:7" x14ac:dyDescent="0.2">
      <c r="A676" t="s">
        <v>4299</v>
      </c>
      <c r="B676">
        <v>8</v>
      </c>
      <c r="C676">
        <v>10</v>
      </c>
      <c r="D676">
        <v>7</v>
      </c>
      <c r="E676">
        <v>2</v>
      </c>
      <c r="F676">
        <v>0</v>
      </c>
      <c r="G676">
        <v>28</v>
      </c>
    </row>
    <row r="677" spans="1:7" x14ac:dyDescent="0.2">
      <c r="A677" t="s">
        <v>4300</v>
      </c>
      <c r="B677">
        <v>0</v>
      </c>
      <c r="C677">
        <v>1</v>
      </c>
      <c r="D677">
        <v>1</v>
      </c>
      <c r="E677">
        <v>0</v>
      </c>
      <c r="F677">
        <v>0</v>
      </c>
      <c r="G677">
        <v>2</v>
      </c>
    </row>
    <row r="678" spans="1:7" x14ac:dyDescent="0.2">
      <c r="A678" t="s">
        <v>4301</v>
      </c>
      <c r="B678">
        <v>0</v>
      </c>
      <c r="C678">
        <v>14</v>
      </c>
      <c r="D678">
        <v>14</v>
      </c>
      <c r="E678">
        <v>5</v>
      </c>
      <c r="F678">
        <v>0</v>
      </c>
      <c r="G678">
        <v>33</v>
      </c>
    </row>
    <row r="679" spans="1:7" x14ac:dyDescent="0.2">
      <c r="A679" t="s">
        <v>4302</v>
      </c>
      <c r="B679">
        <v>1</v>
      </c>
      <c r="C679">
        <v>4</v>
      </c>
      <c r="D679">
        <v>20</v>
      </c>
      <c r="E679">
        <v>6</v>
      </c>
      <c r="F679">
        <v>0</v>
      </c>
      <c r="G679">
        <v>31</v>
      </c>
    </row>
    <row r="680" spans="1:7" x14ac:dyDescent="0.2">
      <c r="A680" t="s">
        <v>4303</v>
      </c>
      <c r="B680">
        <v>1</v>
      </c>
      <c r="C680">
        <v>12</v>
      </c>
      <c r="D680">
        <v>79</v>
      </c>
      <c r="E680">
        <v>16</v>
      </c>
      <c r="F680">
        <v>0</v>
      </c>
      <c r="G680">
        <v>108</v>
      </c>
    </row>
    <row r="681" spans="1:7" x14ac:dyDescent="0.2">
      <c r="A681" t="s">
        <v>4304</v>
      </c>
      <c r="B681">
        <v>1</v>
      </c>
      <c r="C681">
        <v>2</v>
      </c>
      <c r="D681">
        <v>5</v>
      </c>
      <c r="E681">
        <v>3</v>
      </c>
      <c r="F681">
        <v>0</v>
      </c>
      <c r="G681">
        <v>11</v>
      </c>
    </row>
    <row r="682" spans="1:7" x14ac:dyDescent="0.2">
      <c r="A682" t="s">
        <v>4305</v>
      </c>
      <c r="B682">
        <v>59</v>
      </c>
      <c r="C682">
        <v>23</v>
      </c>
      <c r="D682">
        <v>32</v>
      </c>
      <c r="E682">
        <v>11</v>
      </c>
      <c r="F682">
        <v>0</v>
      </c>
      <c r="G682">
        <v>125</v>
      </c>
    </row>
    <row r="683" spans="1:7" x14ac:dyDescent="0.2">
      <c r="A683" t="s">
        <v>4306</v>
      </c>
      <c r="B683">
        <v>1</v>
      </c>
      <c r="C683">
        <v>8</v>
      </c>
      <c r="D683">
        <v>2</v>
      </c>
      <c r="E683">
        <v>2</v>
      </c>
      <c r="F683">
        <v>0</v>
      </c>
      <c r="G683">
        <v>12</v>
      </c>
    </row>
    <row r="684" spans="1:7" x14ac:dyDescent="0.2">
      <c r="A684" t="s">
        <v>4307</v>
      </c>
      <c r="B684">
        <v>6</v>
      </c>
      <c r="C684">
        <v>74</v>
      </c>
      <c r="D684">
        <v>249</v>
      </c>
      <c r="E684">
        <v>78</v>
      </c>
      <c r="F684">
        <v>0</v>
      </c>
      <c r="G684">
        <v>407</v>
      </c>
    </row>
    <row r="685" spans="1:7" x14ac:dyDescent="0.2">
      <c r="A685" t="s">
        <v>4308</v>
      </c>
      <c r="B685">
        <v>0</v>
      </c>
      <c r="C685">
        <v>0</v>
      </c>
      <c r="D685">
        <v>11</v>
      </c>
      <c r="E685">
        <v>4</v>
      </c>
      <c r="F685">
        <v>0</v>
      </c>
      <c r="G685">
        <v>15</v>
      </c>
    </row>
    <row r="686" spans="1:7" x14ac:dyDescent="0.2">
      <c r="A686" t="s">
        <v>4309</v>
      </c>
      <c r="B686">
        <v>0</v>
      </c>
      <c r="C686">
        <v>0</v>
      </c>
      <c r="D686">
        <v>0</v>
      </c>
      <c r="E686">
        <v>0</v>
      </c>
      <c r="F686">
        <v>0</v>
      </c>
      <c r="G686">
        <v>0</v>
      </c>
    </row>
    <row r="687" spans="1:7" x14ac:dyDescent="0.2">
      <c r="A687" t="s">
        <v>4310</v>
      </c>
      <c r="B687">
        <v>0</v>
      </c>
      <c r="C687">
        <v>0</v>
      </c>
      <c r="D687">
        <v>0</v>
      </c>
      <c r="E687">
        <v>0</v>
      </c>
      <c r="F687">
        <v>0</v>
      </c>
      <c r="G687">
        <v>0</v>
      </c>
    </row>
    <row r="688" spans="1:7" x14ac:dyDescent="0.2">
      <c r="A688" t="s">
        <v>4311</v>
      </c>
      <c r="B688">
        <v>0</v>
      </c>
      <c r="C688">
        <v>0</v>
      </c>
      <c r="D688">
        <v>0</v>
      </c>
      <c r="E688">
        <v>0</v>
      </c>
      <c r="F688">
        <v>0</v>
      </c>
      <c r="G688">
        <v>0</v>
      </c>
    </row>
    <row r="689" spans="1:7" x14ac:dyDescent="0.2">
      <c r="A689" t="s">
        <v>4312</v>
      </c>
      <c r="B689">
        <v>0</v>
      </c>
      <c r="C689">
        <v>0</v>
      </c>
      <c r="D689">
        <v>0</v>
      </c>
      <c r="E689">
        <v>0</v>
      </c>
      <c r="F689">
        <v>0</v>
      </c>
      <c r="G689">
        <v>0</v>
      </c>
    </row>
    <row r="690" spans="1:7" x14ac:dyDescent="0.2">
      <c r="A690" t="s">
        <v>4313</v>
      </c>
      <c r="B690">
        <v>0</v>
      </c>
      <c r="C690">
        <v>0</v>
      </c>
      <c r="D690">
        <v>0</v>
      </c>
      <c r="E690">
        <v>0</v>
      </c>
      <c r="F690">
        <v>0</v>
      </c>
      <c r="G690">
        <v>0</v>
      </c>
    </row>
    <row r="691" spans="1:7" x14ac:dyDescent="0.2">
      <c r="A691" t="s">
        <v>4314</v>
      </c>
      <c r="B691">
        <v>0</v>
      </c>
      <c r="C691">
        <v>0</v>
      </c>
      <c r="D691">
        <v>0</v>
      </c>
      <c r="E691">
        <v>0</v>
      </c>
      <c r="F691">
        <v>0</v>
      </c>
      <c r="G691">
        <v>0</v>
      </c>
    </row>
    <row r="692" spans="1:7" x14ac:dyDescent="0.2">
      <c r="A692" t="s">
        <v>4315</v>
      </c>
      <c r="B692">
        <v>0</v>
      </c>
      <c r="C692">
        <v>0</v>
      </c>
      <c r="D692">
        <v>0</v>
      </c>
      <c r="E692">
        <v>0</v>
      </c>
      <c r="F692">
        <v>0</v>
      </c>
      <c r="G692">
        <v>0</v>
      </c>
    </row>
    <row r="693" spans="1:7" x14ac:dyDescent="0.2">
      <c r="A693" t="s">
        <v>4316</v>
      </c>
      <c r="B693">
        <v>0</v>
      </c>
      <c r="C693">
        <v>0</v>
      </c>
      <c r="D693">
        <v>0</v>
      </c>
      <c r="E693">
        <v>0</v>
      </c>
      <c r="F693">
        <v>0</v>
      </c>
      <c r="G693">
        <v>0</v>
      </c>
    </row>
    <row r="694" spans="1:7" x14ac:dyDescent="0.2">
      <c r="A694" t="s">
        <v>4317</v>
      </c>
      <c r="B694">
        <v>0</v>
      </c>
      <c r="C694">
        <v>0</v>
      </c>
      <c r="D694">
        <v>0</v>
      </c>
      <c r="E694">
        <v>0</v>
      </c>
      <c r="F694">
        <v>0</v>
      </c>
      <c r="G694">
        <v>0</v>
      </c>
    </row>
    <row r="695" spans="1:7" x14ac:dyDescent="0.2">
      <c r="A695" t="s">
        <v>4318</v>
      </c>
      <c r="B695">
        <v>0</v>
      </c>
      <c r="C695">
        <v>0</v>
      </c>
      <c r="D695">
        <v>0</v>
      </c>
      <c r="E695">
        <v>0</v>
      </c>
      <c r="F695">
        <v>0</v>
      </c>
      <c r="G695">
        <v>0</v>
      </c>
    </row>
    <row r="696" spans="1:7" x14ac:dyDescent="0.2">
      <c r="A696" t="s">
        <v>4319</v>
      </c>
      <c r="B696">
        <v>0</v>
      </c>
      <c r="C696">
        <v>0</v>
      </c>
      <c r="D696">
        <v>0</v>
      </c>
      <c r="E696">
        <v>0</v>
      </c>
      <c r="F696">
        <v>0</v>
      </c>
      <c r="G696">
        <v>0</v>
      </c>
    </row>
    <row r="697" spans="1:7" x14ac:dyDescent="0.2">
      <c r="A697" t="s">
        <v>4320</v>
      </c>
      <c r="B697">
        <v>0</v>
      </c>
      <c r="C697">
        <v>0</v>
      </c>
      <c r="D697">
        <v>0</v>
      </c>
      <c r="E697">
        <v>0</v>
      </c>
      <c r="F697">
        <v>0</v>
      </c>
      <c r="G697">
        <v>0</v>
      </c>
    </row>
    <row r="698" spans="1:7" x14ac:dyDescent="0.2">
      <c r="A698" t="s">
        <v>4321</v>
      </c>
      <c r="B698">
        <v>0</v>
      </c>
      <c r="C698">
        <v>0</v>
      </c>
      <c r="D698">
        <v>0</v>
      </c>
      <c r="E698">
        <v>0</v>
      </c>
      <c r="F698">
        <v>0</v>
      </c>
      <c r="G698">
        <v>0</v>
      </c>
    </row>
    <row r="699" spans="1:7" x14ac:dyDescent="0.2">
      <c r="A699" t="s">
        <v>4322</v>
      </c>
      <c r="B699">
        <v>0</v>
      </c>
      <c r="C699">
        <v>0</v>
      </c>
      <c r="D699">
        <v>0</v>
      </c>
      <c r="E699">
        <v>0</v>
      </c>
      <c r="F699">
        <v>0</v>
      </c>
      <c r="G699">
        <v>0</v>
      </c>
    </row>
    <row r="700" spans="1:7" x14ac:dyDescent="0.2">
      <c r="A700" t="s">
        <v>4323</v>
      </c>
      <c r="B700">
        <v>0</v>
      </c>
      <c r="C700">
        <v>0</v>
      </c>
      <c r="D700">
        <v>0</v>
      </c>
      <c r="E700">
        <v>0</v>
      </c>
      <c r="F700">
        <v>0</v>
      </c>
      <c r="G700">
        <v>0</v>
      </c>
    </row>
    <row r="701" spans="1:7" x14ac:dyDescent="0.2">
      <c r="A701" t="s">
        <v>4324</v>
      </c>
      <c r="B701">
        <v>0</v>
      </c>
      <c r="C701">
        <v>0</v>
      </c>
      <c r="D701">
        <v>0</v>
      </c>
      <c r="E701">
        <v>0</v>
      </c>
      <c r="F701">
        <v>0</v>
      </c>
      <c r="G701">
        <v>0</v>
      </c>
    </row>
    <row r="702" spans="1:7" x14ac:dyDescent="0.2">
      <c r="A702" t="s">
        <v>4325</v>
      </c>
      <c r="B702">
        <v>0</v>
      </c>
      <c r="C702">
        <v>0</v>
      </c>
      <c r="D702">
        <v>0</v>
      </c>
      <c r="E702">
        <v>0</v>
      </c>
      <c r="F702">
        <v>0</v>
      </c>
      <c r="G702">
        <v>0</v>
      </c>
    </row>
    <row r="703" spans="1:7" x14ac:dyDescent="0.2">
      <c r="A703" t="s">
        <v>4326</v>
      </c>
      <c r="B703">
        <v>0</v>
      </c>
      <c r="C703">
        <v>0</v>
      </c>
      <c r="D703">
        <v>0</v>
      </c>
      <c r="E703">
        <v>0</v>
      </c>
      <c r="F703">
        <v>0</v>
      </c>
      <c r="G703">
        <v>0</v>
      </c>
    </row>
    <row r="704" spans="1:7" x14ac:dyDescent="0.2">
      <c r="A704" t="s">
        <v>4327</v>
      </c>
      <c r="B704">
        <v>0</v>
      </c>
      <c r="C704">
        <v>0</v>
      </c>
      <c r="D704">
        <v>0</v>
      </c>
      <c r="E704">
        <v>0</v>
      </c>
      <c r="F704">
        <v>0</v>
      </c>
      <c r="G704">
        <v>0</v>
      </c>
    </row>
    <row r="705" spans="1:7" x14ac:dyDescent="0.2">
      <c r="A705" t="s">
        <v>4328</v>
      </c>
      <c r="B705">
        <v>0</v>
      </c>
      <c r="C705">
        <v>0</v>
      </c>
      <c r="D705">
        <v>0</v>
      </c>
      <c r="E705">
        <v>0</v>
      </c>
      <c r="F705">
        <v>0</v>
      </c>
      <c r="G705">
        <v>0</v>
      </c>
    </row>
    <row r="706" spans="1:7" x14ac:dyDescent="0.2">
      <c r="A706" t="s">
        <v>4329</v>
      </c>
      <c r="B706">
        <v>0</v>
      </c>
      <c r="C706">
        <v>0</v>
      </c>
      <c r="D706">
        <v>0</v>
      </c>
      <c r="E706">
        <v>0</v>
      </c>
      <c r="F706">
        <v>0</v>
      </c>
      <c r="G706">
        <v>0</v>
      </c>
    </row>
    <row r="707" spans="1:7" x14ac:dyDescent="0.2">
      <c r="A707" t="s">
        <v>4330</v>
      </c>
      <c r="B707">
        <v>0</v>
      </c>
      <c r="C707">
        <v>0</v>
      </c>
      <c r="D707">
        <v>0</v>
      </c>
      <c r="E707">
        <v>0</v>
      </c>
      <c r="F707">
        <v>0</v>
      </c>
      <c r="G707">
        <v>0</v>
      </c>
    </row>
    <row r="708" spans="1:7" x14ac:dyDescent="0.2">
      <c r="A708" t="s">
        <v>4331</v>
      </c>
      <c r="B708">
        <v>0</v>
      </c>
      <c r="C708">
        <v>0</v>
      </c>
      <c r="D708">
        <v>0</v>
      </c>
      <c r="E708">
        <v>0</v>
      </c>
      <c r="F708">
        <v>0</v>
      </c>
      <c r="G708">
        <v>0</v>
      </c>
    </row>
    <row r="709" spans="1:7" x14ac:dyDescent="0.2">
      <c r="A709" t="s">
        <v>4332</v>
      </c>
      <c r="B709">
        <v>0</v>
      </c>
      <c r="C709">
        <v>0</v>
      </c>
      <c r="D709">
        <v>0</v>
      </c>
      <c r="E709">
        <v>0</v>
      </c>
      <c r="F709">
        <v>0</v>
      </c>
      <c r="G709">
        <v>0</v>
      </c>
    </row>
    <row r="710" spans="1:7" x14ac:dyDescent="0.2">
      <c r="A710" t="s">
        <v>4333</v>
      </c>
      <c r="B710">
        <v>0</v>
      </c>
      <c r="C710">
        <v>0</v>
      </c>
      <c r="D710">
        <v>0</v>
      </c>
      <c r="E710">
        <v>0</v>
      </c>
      <c r="F710">
        <v>0</v>
      </c>
      <c r="G710">
        <v>0</v>
      </c>
    </row>
    <row r="711" spans="1:7" x14ac:dyDescent="0.2">
      <c r="A711" t="s">
        <v>4334</v>
      </c>
      <c r="B711">
        <v>0</v>
      </c>
      <c r="C711">
        <v>0</v>
      </c>
      <c r="D711">
        <v>0</v>
      </c>
      <c r="E711">
        <v>0</v>
      </c>
      <c r="F711">
        <v>0</v>
      </c>
      <c r="G711">
        <v>0</v>
      </c>
    </row>
    <row r="712" spans="1:7" x14ac:dyDescent="0.2">
      <c r="A712" t="s">
        <v>4335</v>
      </c>
      <c r="B712">
        <v>0</v>
      </c>
      <c r="C712">
        <v>0</v>
      </c>
      <c r="D712">
        <v>0</v>
      </c>
      <c r="E712">
        <v>0</v>
      </c>
      <c r="F712">
        <v>0</v>
      </c>
      <c r="G712">
        <v>0</v>
      </c>
    </row>
    <row r="713" spans="1:7" x14ac:dyDescent="0.2">
      <c r="A713" t="s">
        <v>4336</v>
      </c>
      <c r="B713">
        <v>0</v>
      </c>
      <c r="C713">
        <v>0</v>
      </c>
      <c r="D713">
        <v>0</v>
      </c>
      <c r="E713">
        <v>0</v>
      </c>
      <c r="F713">
        <v>0</v>
      </c>
      <c r="G713">
        <v>0</v>
      </c>
    </row>
    <row r="714" spans="1:7" x14ac:dyDescent="0.2">
      <c r="A714" t="s">
        <v>4337</v>
      </c>
      <c r="B714">
        <v>0</v>
      </c>
      <c r="C714">
        <v>0</v>
      </c>
      <c r="D714">
        <v>0</v>
      </c>
      <c r="E714">
        <v>0</v>
      </c>
      <c r="F714">
        <v>0</v>
      </c>
      <c r="G714">
        <v>0</v>
      </c>
    </row>
    <row r="715" spans="1:7" x14ac:dyDescent="0.2">
      <c r="A715" t="s">
        <v>4338</v>
      </c>
      <c r="B715">
        <v>0</v>
      </c>
      <c r="C715">
        <v>0</v>
      </c>
      <c r="D715">
        <v>0</v>
      </c>
      <c r="E715">
        <v>0</v>
      </c>
      <c r="F715">
        <v>0</v>
      </c>
      <c r="G715">
        <v>0</v>
      </c>
    </row>
    <row r="716" spans="1:7" x14ac:dyDescent="0.2">
      <c r="A716" t="s">
        <v>4339</v>
      </c>
      <c r="B716">
        <v>0</v>
      </c>
      <c r="C716">
        <v>0</v>
      </c>
      <c r="D716">
        <v>0</v>
      </c>
      <c r="E716">
        <v>0</v>
      </c>
      <c r="F716">
        <v>0</v>
      </c>
      <c r="G716">
        <v>0</v>
      </c>
    </row>
    <row r="717" spans="1:7" x14ac:dyDescent="0.2">
      <c r="A717" t="s">
        <v>4340</v>
      </c>
      <c r="B717">
        <v>0</v>
      </c>
      <c r="C717">
        <v>0</v>
      </c>
      <c r="D717">
        <v>0</v>
      </c>
      <c r="E717">
        <v>0</v>
      </c>
      <c r="F717">
        <v>0</v>
      </c>
      <c r="G717">
        <v>0</v>
      </c>
    </row>
    <row r="718" spans="1:7" x14ac:dyDescent="0.2">
      <c r="A718" t="s">
        <v>4341</v>
      </c>
      <c r="B718">
        <v>0</v>
      </c>
      <c r="C718">
        <v>0</v>
      </c>
      <c r="D718">
        <v>0</v>
      </c>
      <c r="E718">
        <v>0</v>
      </c>
      <c r="F718">
        <v>0</v>
      </c>
      <c r="G718">
        <v>0</v>
      </c>
    </row>
    <row r="719" spans="1:7" x14ac:dyDescent="0.2">
      <c r="A719" t="s">
        <v>4342</v>
      </c>
      <c r="B719">
        <v>0</v>
      </c>
      <c r="C719">
        <v>0</v>
      </c>
      <c r="D719">
        <v>0</v>
      </c>
      <c r="E719">
        <v>0</v>
      </c>
      <c r="F719">
        <v>0</v>
      </c>
      <c r="G719">
        <v>0</v>
      </c>
    </row>
    <row r="720" spans="1:7" x14ac:dyDescent="0.2">
      <c r="A720" t="s">
        <v>4343</v>
      </c>
      <c r="B720">
        <v>0</v>
      </c>
      <c r="C720">
        <v>0</v>
      </c>
      <c r="D720">
        <v>0</v>
      </c>
      <c r="E720">
        <v>0</v>
      </c>
      <c r="F720">
        <v>0</v>
      </c>
      <c r="G720">
        <v>0</v>
      </c>
    </row>
    <row r="721" spans="1:7" x14ac:dyDescent="0.2">
      <c r="A721" t="s">
        <v>1728</v>
      </c>
      <c r="B721">
        <v>0</v>
      </c>
      <c r="C721">
        <v>0</v>
      </c>
      <c r="D721">
        <v>0</v>
      </c>
      <c r="E721">
        <v>0</v>
      </c>
      <c r="F721">
        <v>0</v>
      </c>
      <c r="G721">
        <v>0</v>
      </c>
    </row>
    <row r="722" spans="1:7" x14ac:dyDescent="0.2">
      <c r="A722" t="s">
        <v>1730</v>
      </c>
      <c r="B722">
        <v>0</v>
      </c>
      <c r="C722">
        <v>1</v>
      </c>
      <c r="D722">
        <v>9</v>
      </c>
      <c r="E722">
        <v>5</v>
      </c>
      <c r="F722">
        <v>20</v>
      </c>
      <c r="G722">
        <v>34</v>
      </c>
    </row>
    <row r="723" spans="1:7" x14ac:dyDescent="0.2">
      <c r="A723" t="s">
        <v>1733</v>
      </c>
      <c r="B723">
        <v>0</v>
      </c>
      <c r="C723">
        <v>0</v>
      </c>
      <c r="D723">
        <v>0</v>
      </c>
      <c r="E723">
        <v>0</v>
      </c>
      <c r="F723">
        <v>0</v>
      </c>
      <c r="G723">
        <v>0</v>
      </c>
    </row>
    <row r="724" spans="1:7" x14ac:dyDescent="0.2">
      <c r="A724" t="s">
        <v>1738</v>
      </c>
      <c r="B724">
        <v>0</v>
      </c>
      <c r="C724">
        <v>0</v>
      </c>
      <c r="D724">
        <v>0</v>
      </c>
      <c r="E724">
        <v>0</v>
      </c>
      <c r="F724">
        <v>0</v>
      </c>
      <c r="G724">
        <v>0</v>
      </c>
    </row>
    <row r="725" spans="1:7" x14ac:dyDescent="0.2">
      <c r="A725" t="s">
        <v>1744</v>
      </c>
      <c r="B725">
        <v>0</v>
      </c>
      <c r="C725">
        <v>0</v>
      </c>
      <c r="D725">
        <v>0</v>
      </c>
      <c r="E725">
        <v>0</v>
      </c>
      <c r="F725">
        <v>0</v>
      </c>
      <c r="G725">
        <v>0</v>
      </c>
    </row>
    <row r="726" spans="1:7" x14ac:dyDescent="0.2">
      <c r="A726" t="s">
        <v>1747</v>
      </c>
      <c r="B726">
        <v>0</v>
      </c>
      <c r="C726">
        <v>0</v>
      </c>
      <c r="D726">
        <v>0</v>
      </c>
      <c r="E726">
        <v>0</v>
      </c>
      <c r="F726">
        <v>0</v>
      </c>
      <c r="G726">
        <v>0</v>
      </c>
    </row>
    <row r="727" spans="1:7" x14ac:dyDescent="0.2">
      <c r="A727" t="s">
        <v>1751</v>
      </c>
      <c r="B727">
        <v>0</v>
      </c>
      <c r="C727">
        <v>0</v>
      </c>
      <c r="D727">
        <v>0</v>
      </c>
      <c r="E727">
        <v>0</v>
      </c>
      <c r="F727">
        <v>0</v>
      </c>
      <c r="G727">
        <v>0</v>
      </c>
    </row>
    <row r="728" spans="1:7" x14ac:dyDescent="0.2">
      <c r="A728" t="s">
        <v>1755</v>
      </c>
      <c r="B728">
        <v>0</v>
      </c>
      <c r="C728">
        <v>0</v>
      </c>
      <c r="D728">
        <v>1</v>
      </c>
      <c r="E728">
        <v>4</v>
      </c>
      <c r="F728">
        <v>1</v>
      </c>
      <c r="G728">
        <v>6</v>
      </c>
    </row>
    <row r="729" spans="1:7" x14ac:dyDescent="0.2">
      <c r="A729" t="s">
        <v>1757</v>
      </c>
      <c r="B729">
        <v>0</v>
      </c>
      <c r="C729">
        <v>0</v>
      </c>
      <c r="D729">
        <v>3</v>
      </c>
      <c r="E729">
        <v>4</v>
      </c>
      <c r="F729">
        <v>1</v>
      </c>
      <c r="G729">
        <v>8</v>
      </c>
    </row>
    <row r="730" spans="1:7" x14ac:dyDescent="0.2">
      <c r="A730" t="s">
        <v>1761</v>
      </c>
      <c r="B730">
        <v>0</v>
      </c>
      <c r="C730">
        <v>0</v>
      </c>
      <c r="D730">
        <v>0</v>
      </c>
      <c r="E730">
        <v>0</v>
      </c>
      <c r="F730">
        <v>0</v>
      </c>
      <c r="G730">
        <v>0</v>
      </c>
    </row>
    <row r="731" spans="1:7" x14ac:dyDescent="0.2">
      <c r="A731" t="s">
        <v>1764</v>
      </c>
      <c r="B731">
        <v>0</v>
      </c>
      <c r="C731">
        <v>0</v>
      </c>
      <c r="D731">
        <v>0</v>
      </c>
      <c r="E731">
        <v>0</v>
      </c>
      <c r="F731">
        <v>0</v>
      </c>
      <c r="G731">
        <v>0</v>
      </c>
    </row>
    <row r="732" spans="1:7" x14ac:dyDescent="0.2">
      <c r="A732" t="s">
        <v>1770</v>
      </c>
      <c r="B732">
        <v>0</v>
      </c>
      <c r="C732">
        <v>2</v>
      </c>
      <c r="D732">
        <v>13</v>
      </c>
      <c r="E732">
        <v>117</v>
      </c>
      <c r="F732">
        <v>0</v>
      </c>
      <c r="G732">
        <v>132</v>
      </c>
    </row>
    <row r="733" spans="1:7" x14ac:dyDescent="0.2">
      <c r="A733" t="s">
        <v>1772</v>
      </c>
      <c r="B733">
        <v>0</v>
      </c>
      <c r="C733">
        <v>0</v>
      </c>
      <c r="D733">
        <v>4</v>
      </c>
      <c r="E733">
        <v>55</v>
      </c>
      <c r="F733">
        <v>0</v>
      </c>
      <c r="G733">
        <v>60</v>
      </c>
    </row>
    <row r="734" spans="1:7" x14ac:dyDescent="0.2">
      <c r="A734" t="s">
        <v>1774</v>
      </c>
      <c r="B734">
        <v>0</v>
      </c>
      <c r="C734">
        <v>0</v>
      </c>
      <c r="D734">
        <v>0</v>
      </c>
      <c r="E734">
        <v>18</v>
      </c>
      <c r="F734">
        <v>0</v>
      </c>
      <c r="G734">
        <v>19</v>
      </c>
    </row>
    <row r="735" spans="1:7" x14ac:dyDescent="0.2">
      <c r="A735" t="s">
        <v>1777</v>
      </c>
      <c r="B735">
        <v>0</v>
      </c>
      <c r="C735">
        <v>0</v>
      </c>
      <c r="D735">
        <v>0</v>
      </c>
      <c r="E735">
        <v>0</v>
      </c>
      <c r="F735">
        <v>0</v>
      </c>
      <c r="G735">
        <v>0</v>
      </c>
    </row>
    <row r="736" spans="1:7" x14ac:dyDescent="0.2">
      <c r="A736" t="s">
        <v>1782</v>
      </c>
      <c r="B736">
        <v>0</v>
      </c>
      <c r="C736">
        <v>0</v>
      </c>
      <c r="D736">
        <v>0</v>
      </c>
      <c r="E736">
        <v>0</v>
      </c>
      <c r="F736">
        <v>0</v>
      </c>
      <c r="G736">
        <v>0</v>
      </c>
    </row>
    <row r="737" spans="1:7" x14ac:dyDescent="0.2">
      <c r="A737" t="s">
        <v>1274</v>
      </c>
      <c r="B737">
        <v>0</v>
      </c>
      <c r="C737">
        <v>0</v>
      </c>
      <c r="D737">
        <v>0</v>
      </c>
      <c r="E737">
        <v>1</v>
      </c>
      <c r="F737">
        <v>0</v>
      </c>
      <c r="G737">
        <v>1</v>
      </c>
    </row>
    <row r="738" spans="1:7" x14ac:dyDescent="0.2">
      <c r="A738" t="s">
        <v>1277</v>
      </c>
      <c r="B738">
        <v>0</v>
      </c>
      <c r="C738">
        <v>0</v>
      </c>
      <c r="D738">
        <v>0</v>
      </c>
      <c r="E738">
        <v>12</v>
      </c>
      <c r="F738">
        <v>0</v>
      </c>
      <c r="G738">
        <v>12</v>
      </c>
    </row>
    <row r="739" spans="1:7" x14ac:dyDescent="0.2">
      <c r="A739" t="s">
        <v>1798</v>
      </c>
      <c r="B739">
        <v>0</v>
      </c>
      <c r="C739">
        <v>0</v>
      </c>
      <c r="D739">
        <v>0</v>
      </c>
      <c r="E739">
        <v>0</v>
      </c>
      <c r="F739">
        <v>0</v>
      </c>
      <c r="G739">
        <v>0</v>
      </c>
    </row>
    <row r="740" spans="1:7" x14ac:dyDescent="0.2">
      <c r="A740" t="s">
        <v>1803</v>
      </c>
      <c r="B740">
        <v>0</v>
      </c>
      <c r="C740">
        <v>0</v>
      </c>
      <c r="D740">
        <v>0</v>
      </c>
      <c r="E740">
        <v>0</v>
      </c>
      <c r="F740">
        <v>0</v>
      </c>
      <c r="G740">
        <v>0</v>
      </c>
    </row>
    <row r="741" spans="1:7" x14ac:dyDescent="0.2">
      <c r="A741" t="s">
        <v>1808</v>
      </c>
      <c r="B741">
        <v>0</v>
      </c>
      <c r="C741">
        <v>0</v>
      </c>
      <c r="D741">
        <v>0</v>
      </c>
      <c r="E741">
        <v>0</v>
      </c>
      <c r="F741">
        <v>0</v>
      </c>
      <c r="G741">
        <v>0</v>
      </c>
    </row>
    <row r="742" spans="1:7" x14ac:dyDescent="0.2">
      <c r="A742" t="s">
        <v>1813</v>
      </c>
      <c r="B742">
        <v>0</v>
      </c>
      <c r="C742">
        <v>0</v>
      </c>
      <c r="D742">
        <v>0</v>
      </c>
      <c r="E742">
        <v>0</v>
      </c>
      <c r="F742">
        <v>0</v>
      </c>
      <c r="G742">
        <v>0</v>
      </c>
    </row>
    <row r="743" spans="1:7" x14ac:dyDescent="0.2">
      <c r="A743" t="s">
        <v>1819</v>
      </c>
      <c r="B743">
        <v>0</v>
      </c>
      <c r="C743">
        <v>0</v>
      </c>
      <c r="D743">
        <v>0</v>
      </c>
      <c r="E743">
        <v>1</v>
      </c>
      <c r="F743">
        <v>0</v>
      </c>
      <c r="G743">
        <v>1</v>
      </c>
    </row>
    <row r="744" spans="1:7" x14ac:dyDescent="0.2">
      <c r="A744" t="s">
        <v>1826</v>
      </c>
      <c r="B744">
        <v>0</v>
      </c>
      <c r="C744">
        <v>0</v>
      </c>
      <c r="D744">
        <v>0</v>
      </c>
      <c r="E744">
        <v>0</v>
      </c>
      <c r="F744">
        <v>0</v>
      </c>
      <c r="G744">
        <v>0</v>
      </c>
    </row>
    <row r="745" spans="1:7" x14ac:dyDescent="0.2">
      <c r="A745" t="s">
        <v>1830</v>
      </c>
      <c r="B745">
        <v>0</v>
      </c>
      <c r="C745">
        <v>0</v>
      </c>
      <c r="D745">
        <v>0</v>
      </c>
      <c r="E745">
        <v>0</v>
      </c>
      <c r="F745">
        <v>0</v>
      </c>
      <c r="G745">
        <v>0</v>
      </c>
    </row>
    <row r="746" spans="1:7" x14ac:dyDescent="0.2">
      <c r="A746" t="s">
        <v>1836</v>
      </c>
      <c r="B746">
        <v>0</v>
      </c>
      <c r="C746">
        <v>0</v>
      </c>
      <c r="D746">
        <v>0</v>
      </c>
      <c r="E746">
        <v>0</v>
      </c>
      <c r="F746">
        <v>0</v>
      </c>
      <c r="G746">
        <v>0</v>
      </c>
    </row>
    <row r="747" spans="1:7" x14ac:dyDescent="0.2">
      <c r="A747" t="s">
        <v>1841</v>
      </c>
      <c r="B747">
        <v>0</v>
      </c>
      <c r="C747">
        <v>0</v>
      </c>
      <c r="D747">
        <v>5</v>
      </c>
      <c r="E747">
        <v>0</v>
      </c>
      <c r="F747">
        <v>0</v>
      </c>
      <c r="G747">
        <v>5</v>
      </c>
    </row>
    <row r="748" spans="1:7" x14ac:dyDescent="0.2">
      <c r="A748" t="s">
        <v>1842</v>
      </c>
      <c r="B748">
        <v>0</v>
      </c>
      <c r="C748">
        <v>9</v>
      </c>
      <c r="D748">
        <v>24</v>
      </c>
      <c r="E748">
        <v>124</v>
      </c>
      <c r="F748">
        <v>0</v>
      </c>
      <c r="G748">
        <v>157</v>
      </c>
    </row>
    <row r="749" spans="1:7" x14ac:dyDescent="0.2">
      <c r="A749" t="s">
        <v>1843</v>
      </c>
      <c r="B749">
        <v>0</v>
      </c>
      <c r="C749">
        <v>0</v>
      </c>
      <c r="D749">
        <v>0</v>
      </c>
      <c r="E749">
        <v>0</v>
      </c>
      <c r="F749">
        <v>0</v>
      </c>
      <c r="G749">
        <v>0</v>
      </c>
    </row>
    <row r="750" spans="1:7" x14ac:dyDescent="0.2">
      <c r="A750" t="s">
        <v>1846</v>
      </c>
      <c r="B750">
        <v>0</v>
      </c>
      <c r="C750">
        <v>0</v>
      </c>
      <c r="D750">
        <v>0</v>
      </c>
      <c r="E750">
        <v>0</v>
      </c>
      <c r="F750">
        <v>0</v>
      </c>
      <c r="G750">
        <v>0</v>
      </c>
    </row>
    <row r="751" spans="1:7" x14ac:dyDescent="0.2">
      <c r="A751" t="s">
        <v>1851</v>
      </c>
      <c r="B751">
        <v>0</v>
      </c>
      <c r="C751">
        <v>0</v>
      </c>
      <c r="D751">
        <v>0</v>
      </c>
      <c r="E751">
        <v>623</v>
      </c>
      <c r="F751">
        <v>162</v>
      </c>
      <c r="G751">
        <v>785</v>
      </c>
    </row>
    <row r="752" spans="1:7" x14ac:dyDescent="0.2">
      <c r="A752" t="s">
        <v>1857</v>
      </c>
      <c r="B752">
        <v>0</v>
      </c>
      <c r="C752">
        <v>0</v>
      </c>
      <c r="D752">
        <v>0</v>
      </c>
      <c r="E752">
        <v>5</v>
      </c>
      <c r="F752">
        <v>0</v>
      </c>
      <c r="G752">
        <v>5</v>
      </c>
    </row>
    <row r="753" spans="1:7" x14ac:dyDescent="0.2">
      <c r="A753" t="s">
        <v>1862</v>
      </c>
      <c r="B753">
        <v>0</v>
      </c>
      <c r="C753">
        <v>0</v>
      </c>
      <c r="D753">
        <v>0</v>
      </c>
      <c r="E753">
        <v>3182</v>
      </c>
      <c r="F753">
        <v>1951</v>
      </c>
      <c r="G753">
        <v>5133</v>
      </c>
    </row>
    <row r="754" spans="1:7" x14ac:dyDescent="0.2">
      <c r="A754" t="s">
        <v>1867</v>
      </c>
      <c r="B754">
        <v>0</v>
      </c>
      <c r="C754">
        <v>0</v>
      </c>
      <c r="D754">
        <v>0</v>
      </c>
      <c r="E754">
        <v>0</v>
      </c>
      <c r="F754">
        <v>203</v>
      </c>
      <c r="G754">
        <v>203</v>
      </c>
    </row>
    <row r="755" spans="1:7" x14ac:dyDescent="0.2">
      <c r="A755" t="s">
        <v>1870</v>
      </c>
      <c r="B755">
        <v>0</v>
      </c>
      <c r="C755">
        <v>0</v>
      </c>
      <c r="D755">
        <v>0</v>
      </c>
      <c r="E755">
        <v>0</v>
      </c>
      <c r="F755">
        <v>0</v>
      </c>
      <c r="G755">
        <v>0</v>
      </c>
    </row>
    <row r="756" spans="1:7" x14ac:dyDescent="0.2">
      <c r="A756" t="s">
        <v>1874</v>
      </c>
      <c r="B756">
        <v>0</v>
      </c>
      <c r="C756">
        <v>0</v>
      </c>
      <c r="D756">
        <v>0</v>
      </c>
      <c r="E756">
        <v>503</v>
      </c>
      <c r="F756">
        <v>0</v>
      </c>
      <c r="G756">
        <v>503</v>
      </c>
    </row>
    <row r="757" spans="1:7" x14ac:dyDescent="0.2">
      <c r="A757" t="s">
        <v>1876</v>
      </c>
      <c r="B757">
        <v>0</v>
      </c>
      <c r="C757">
        <v>0</v>
      </c>
      <c r="D757">
        <v>0</v>
      </c>
      <c r="E757">
        <v>0</v>
      </c>
      <c r="F757">
        <v>653</v>
      </c>
      <c r="G757">
        <v>653</v>
      </c>
    </row>
    <row r="758" spans="1:7" x14ac:dyDescent="0.2">
      <c r="A758" t="s">
        <v>1881</v>
      </c>
      <c r="B758">
        <v>0</v>
      </c>
      <c r="C758">
        <v>0</v>
      </c>
      <c r="D758">
        <v>0</v>
      </c>
      <c r="E758">
        <v>0</v>
      </c>
      <c r="F758">
        <v>0</v>
      </c>
      <c r="G758">
        <v>0</v>
      </c>
    </row>
    <row r="759" spans="1:7" x14ac:dyDescent="0.2">
      <c r="A759" t="s">
        <v>1885</v>
      </c>
      <c r="B759">
        <v>37</v>
      </c>
      <c r="C759">
        <v>28</v>
      </c>
      <c r="D759">
        <v>24</v>
      </c>
      <c r="E759">
        <v>44</v>
      </c>
      <c r="F759">
        <v>0</v>
      </c>
      <c r="G759">
        <v>133</v>
      </c>
    </row>
    <row r="760" spans="1:7" x14ac:dyDescent="0.2">
      <c r="A760" t="s">
        <v>1887</v>
      </c>
      <c r="B760">
        <v>0</v>
      </c>
      <c r="C760">
        <v>0</v>
      </c>
      <c r="D760">
        <v>0</v>
      </c>
      <c r="E760">
        <v>0</v>
      </c>
      <c r="F760">
        <v>1</v>
      </c>
      <c r="G760">
        <v>1</v>
      </c>
    </row>
    <row r="761" spans="1:7" x14ac:dyDescent="0.2">
      <c r="A761" t="s">
        <v>1893</v>
      </c>
      <c r="B761">
        <v>0</v>
      </c>
      <c r="C761">
        <v>0</v>
      </c>
      <c r="D761">
        <v>0</v>
      </c>
      <c r="E761">
        <v>13</v>
      </c>
      <c r="F761">
        <v>1</v>
      </c>
      <c r="G761">
        <v>14</v>
      </c>
    </row>
    <row r="762" spans="1:7" x14ac:dyDescent="0.2">
      <c r="A762" t="s">
        <v>1899</v>
      </c>
      <c r="B762">
        <v>0</v>
      </c>
      <c r="C762">
        <v>0</v>
      </c>
      <c r="D762">
        <v>0</v>
      </c>
      <c r="E762">
        <v>0</v>
      </c>
      <c r="F762">
        <v>0</v>
      </c>
      <c r="G762">
        <v>0</v>
      </c>
    </row>
    <row r="763" spans="1:7" x14ac:dyDescent="0.2">
      <c r="A763" t="s">
        <v>1906</v>
      </c>
      <c r="B763">
        <v>0</v>
      </c>
      <c r="C763">
        <v>0</v>
      </c>
      <c r="D763">
        <v>0</v>
      </c>
      <c r="E763">
        <v>0</v>
      </c>
      <c r="F763">
        <v>0</v>
      </c>
      <c r="G763">
        <v>0</v>
      </c>
    </row>
    <row r="764" spans="1:7" x14ac:dyDescent="0.2">
      <c r="A764" t="s">
        <v>1911</v>
      </c>
      <c r="B764">
        <v>0</v>
      </c>
      <c r="C764">
        <v>0</v>
      </c>
      <c r="D764">
        <v>0</v>
      </c>
      <c r="E764">
        <v>0</v>
      </c>
      <c r="F764">
        <v>0</v>
      </c>
      <c r="G764">
        <v>0</v>
      </c>
    </row>
    <row r="765" spans="1:7" x14ac:dyDescent="0.2">
      <c r="A765" t="s">
        <v>1917</v>
      </c>
      <c r="B765">
        <v>0</v>
      </c>
      <c r="C765">
        <v>0</v>
      </c>
      <c r="D765">
        <v>0</v>
      </c>
      <c r="E765">
        <v>0</v>
      </c>
      <c r="F765">
        <v>0</v>
      </c>
      <c r="G765">
        <v>0</v>
      </c>
    </row>
    <row r="766" spans="1:7" x14ac:dyDescent="0.2">
      <c r="A766" t="s">
        <v>1922</v>
      </c>
      <c r="B766">
        <v>0</v>
      </c>
      <c r="C766">
        <v>0</v>
      </c>
      <c r="D766">
        <v>0</v>
      </c>
      <c r="E766">
        <v>53</v>
      </c>
      <c r="F766">
        <v>1</v>
      </c>
      <c r="G766">
        <v>54</v>
      </c>
    </row>
    <row r="767" spans="1:7" x14ac:dyDescent="0.2">
      <c r="A767" t="s">
        <v>1928</v>
      </c>
      <c r="B767">
        <v>0</v>
      </c>
      <c r="C767">
        <v>0</v>
      </c>
      <c r="D767">
        <v>0</v>
      </c>
      <c r="E767">
        <v>0</v>
      </c>
      <c r="F767">
        <v>0</v>
      </c>
      <c r="G767">
        <v>0</v>
      </c>
    </row>
    <row r="768" spans="1:7" x14ac:dyDescent="0.2">
      <c r="A768" t="s">
        <v>1932</v>
      </c>
      <c r="B768">
        <v>0</v>
      </c>
      <c r="C768">
        <v>0</v>
      </c>
      <c r="D768">
        <v>0</v>
      </c>
      <c r="E768">
        <v>0</v>
      </c>
      <c r="F768">
        <v>0</v>
      </c>
      <c r="G768">
        <v>0</v>
      </c>
    </row>
    <row r="769" spans="1:7" x14ac:dyDescent="0.2">
      <c r="A769" t="s">
        <v>1938</v>
      </c>
      <c r="B769">
        <v>0</v>
      </c>
      <c r="C769">
        <v>0</v>
      </c>
      <c r="D769">
        <v>0</v>
      </c>
      <c r="E769">
        <v>0</v>
      </c>
      <c r="F769">
        <v>0</v>
      </c>
      <c r="G769">
        <v>0</v>
      </c>
    </row>
    <row r="770" spans="1:7" x14ac:dyDescent="0.2">
      <c r="A770" t="s">
        <v>1944</v>
      </c>
      <c r="B770">
        <v>0</v>
      </c>
      <c r="C770">
        <v>3</v>
      </c>
      <c r="D770">
        <v>5</v>
      </c>
      <c r="E770">
        <v>5</v>
      </c>
      <c r="F770">
        <v>0</v>
      </c>
      <c r="G770">
        <v>13</v>
      </c>
    </row>
    <row r="771" spans="1:7" x14ac:dyDescent="0.2">
      <c r="A771" t="s">
        <v>1947</v>
      </c>
      <c r="B771">
        <v>0</v>
      </c>
      <c r="C771">
        <v>0</v>
      </c>
      <c r="D771">
        <v>0</v>
      </c>
      <c r="E771">
        <v>0</v>
      </c>
      <c r="F771">
        <v>0</v>
      </c>
      <c r="G771">
        <v>0</v>
      </c>
    </row>
    <row r="772" spans="1:7" x14ac:dyDescent="0.2">
      <c r="A772" t="s">
        <v>1953</v>
      </c>
      <c r="B772">
        <v>0</v>
      </c>
      <c r="C772">
        <v>0</v>
      </c>
      <c r="D772">
        <v>0</v>
      </c>
      <c r="E772">
        <v>0</v>
      </c>
      <c r="F772">
        <v>0</v>
      </c>
      <c r="G772">
        <v>1</v>
      </c>
    </row>
    <row r="773" spans="1:7" x14ac:dyDescent="0.2">
      <c r="A773" t="s">
        <v>1958</v>
      </c>
      <c r="B773">
        <v>0</v>
      </c>
      <c r="C773">
        <v>0</v>
      </c>
      <c r="D773">
        <v>0</v>
      </c>
      <c r="E773">
        <v>0</v>
      </c>
      <c r="F773">
        <v>0</v>
      </c>
      <c r="G773">
        <v>0</v>
      </c>
    </row>
    <row r="774" spans="1:7" x14ac:dyDescent="0.2">
      <c r="A774" t="s">
        <v>1964</v>
      </c>
      <c r="B774">
        <v>0</v>
      </c>
      <c r="C774">
        <v>0</v>
      </c>
      <c r="D774">
        <v>0</v>
      </c>
      <c r="E774">
        <v>0</v>
      </c>
      <c r="F774">
        <v>0</v>
      </c>
      <c r="G774">
        <v>0</v>
      </c>
    </row>
    <row r="775" spans="1:7" x14ac:dyDescent="0.2">
      <c r="A775" t="s">
        <v>1973</v>
      </c>
      <c r="B775">
        <v>0</v>
      </c>
      <c r="C775">
        <v>0</v>
      </c>
      <c r="D775">
        <v>0</v>
      </c>
      <c r="E775">
        <v>0</v>
      </c>
      <c r="F775">
        <v>0</v>
      </c>
      <c r="G775">
        <v>0</v>
      </c>
    </row>
    <row r="776" spans="1:7" x14ac:dyDescent="0.2">
      <c r="A776" t="s">
        <v>1978</v>
      </c>
      <c r="B776">
        <v>0</v>
      </c>
      <c r="C776">
        <v>0</v>
      </c>
      <c r="D776">
        <v>0</v>
      </c>
      <c r="E776">
        <v>0</v>
      </c>
      <c r="F776">
        <v>0</v>
      </c>
      <c r="G776">
        <v>0</v>
      </c>
    </row>
    <row r="777" spans="1:7" x14ac:dyDescent="0.2">
      <c r="A777" t="s">
        <v>1983</v>
      </c>
      <c r="B777">
        <v>0</v>
      </c>
      <c r="C777">
        <v>0</v>
      </c>
      <c r="D777">
        <v>0</v>
      </c>
      <c r="E777">
        <v>0</v>
      </c>
      <c r="F777">
        <v>0</v>
      </c>
      <c r="G777">
        <v>1</v>
      </c>
    </row>
    <row r="778" spans="1:7" x14ac:dyDescent="0.2">
      <c r="A778" t="s">
        <v>1984</v>
      </c>
      <c r="B778">
        <v>0</v>
      </c>
      <c r="C778">
        <v>0</v>
      </c>
      <c r="D778">
        <v>0</v>
      </c>
      <c r="E778">
        <v>0</v>
      </c>
      <c r="F778">
        <v>0</v>
      </c>
      <c r="G778">
        <v>0</v>
      </c>
    </row>
    <row r="779" spans="1:7" x14ac:dyDescent="0.2">
      <c r="A779" t="s">
        <v>1990</v>
      </c>
      <c r="B779">
        <v>0</v>
      </c>
      <c r="C779">
        <v>0</v>
      </c>
      <c r="D779">
        <v>0</v>
      </c>
      <c r="E779">
        <v>0</v>
      </c>
      <c r="F779">
        <v>0</v>
      </c>
      <c r="G779">
        <v>0</v>
      </c>
    </row>
    <row r="780" spans="1:7" x14ac:dyDescent="0.2">
      <c r="A780" t="s">
        <v>1996</v>
      </c>
      <c r="B780">
        <v>0</v>
      </c>
      <c r="C780">
        <v>0</v>
      </c>
      <c r="D780">
        <v>0</v>
      </c>
      <c r="E780">
        <v>0</v>
      </c>
      <c r="F780">
        <v>0</v>
      </c>
      <c r="G780">
        <v>0</v>
      </c>
    </row>
    <row r="781" spans="1:7" x14ac:dyDescent="0.2">
      <c r="A781" t="s">
        <v>1998</v>
      </c>
      <c r="B781">
        <v>0</v>
      </c>
      <c r="C781">
        <v>0</v>
      </c>
      <c r="D781">
        <v>0</v>
      </c>
      <c r="E781">
        <v>0</v>
      </c>
      <c r="F781">
        <v>0</v>
      </c>
      <c r="G781">
        <v>0</v>
      </c>
    </row>
    <row r="782" spans="1:7" x14ac:dyDescent="0.2">
      <c r="A782" t="s">
        <v>1999</v>
      </c>
      <c r="B782">
        <v>0</v>
      </c>
      <c r="C782">
        <v>0</v>
      </c>
      <c r="D782">
        <v>0</v>
      </c>
      <c r="E782">
        <v>0</v>
      </c>
      <c r="F782">
        <v>0</v>
      </c>
      <c r="G782">
        <v>0</v>
      </c>
    </row>
    <row r="783" spans="1:7" x14ac:dyDescent="0.2">
      <c r="A783" t="s">
        <v>2004</v>
      </c>
      <c r="B783">
        <v>0</v>
      </c>
      <c r="C783">
        <v>0</v>
      </c>
      <c r="D783">
        <v>0</v>
      </c>
      <c r="E783">
        <v>0</v>
      </c>
      <c r="F783">
        <v>0</v>
      </c>
      <c r="G783">
        <v>0</v>
      </c>
    </row>
    <row r="784" spans="1:7" x14ac:dyDescent="0.2">
      <c r="A784" t="s">
        <v>2009</v>
      </c>
      <c r="B784">
        <v>0</v>
      </c>
      <c r="C784">
        <v>0</v>
      </c>
      <c r="D784">
        <v>0</v>
      </c>
      <c r="E784">
        <v>0</v>
      </c>
      <c r="F784">
        <v>0</v>
      </c>
      <c r="G784">
        <v>0</v>
      </c>
    </row>
    <row r="785" spans="1:7" x14ac:dyDescent="0.2">
      <c r="A785" t="s">
        <v>2014</v>
      </c>
      <c r="B785">
        <v>0</v>
      </c>
      <c r="C785">
        <v>0</v>
      </c>
      <c r="D785">
        <v>0</v>
      </c>
      <c r="E785">
        <v>0</v>
      </c>
      <c r="F785">
        <v>0</v>
      </c>
      <c r="G785">
        <v>0</v>
      </c>
    </row>
    <row r="786" spans="1:7" x14ac:dyDescent="0.2">
      <c r="A786" t="s">
        <v>2019</v>
      </c>
      <c r="B786">
        <v>0</v>
      </c>
      <c r="C786">
        <v>0</v>
      </c>
      <c r="D786">
        <v>0</v>
      </c>
      <c r="E786">
        <v>0</v>
      </c>
      <c r="F786">
        <v>0</v>
      </c>
      <c r="G786">
        <v>0</v>
      </c>
    </row>
    <row r="787" spans="1:7" x14ac:dyDescent="0.2">
      <c r="A787" t="s">
        <v>2023</v>
      </c>
      <c r="B787">
        <v>0</v>
      </c>
      <c r="C787">
        <v>0</v>
      </c>
      <c r="D787">
        <v>0</v>
      </c>
      <c r="E787">
        <v>0</v>
      </c>
      <c r="F787">
        <v>0</v>
      </c>
      <c r="G787">
        <v>0</v>
      </c>
    </row>
    <row r="788" spans="1:7" x14ac:dyDescent="0.2">
      <c r="A788" t="s">
        <v>2026</v>
      </c>
      <c r="B788">
        <v>0</v>
      </c>
      <c r="C788">
        <v>0</v>
      </c>
      <c r="D788">
        <v>0</v>
      </c>
      <c r="E788">
        <v>0</v>
      </c>
      <c r="F788">
        <v>0</v>
      </c>
      <c r="G788">
        <v>0</v>
      </c>
    </row>
    <row r="789" spans="1:7" x14ac:dyDescent="0.2">
      <c r="A789" t="s">
        <v>2030</v>
      </c>
      <c r="B789">
        <v>0</v>
      </c>
      <c r="C789">
        <v>0</v>
      </c>
      <c r="D789">
        <v>0</v>
      </c>
      <c r="E789">
        <v>0</v>
      </c>
      <c r="F789">
        <v>0</v>
      </c>
      <c r="G789">
        <v>0</v>
      </c>
    </row>
    <row r="790" spans="1:7" x14ac:dyDescent="0.2">
      <c r="A790" t="s">
        <v>2035</v>
      </c>
      <c r="B790">
        <v>0</v>
      </c>
      <c r="C790">
        <v>0</v>
      </c>
      <c r="D790">
        <v>0</v>
      </c>
      <c r="E790">
        <v>0</v>
      </c>
      <c r="F790">
        <v>0</v>
      </c>
      <c r="G790">
        <v>0</v>
      </c>
    </row>
    <row r="791" spans="1:7" x14ac:dyDescent="0.2">
      <c r="A791" t="s">
        <v>2040</v>
      </c>
      <c r="B791">
        <v>0</v>
      </c>
      <c r="C791">
        <v>0</v>
      </c>
      <c r="D791">
        <v>0</v>
      </c>
      <c r="E791">
        <v>0</v>
      </c>
      <c r="F791">
        <v>0</v>
      </c>
      <c r="G791">
        <v>0</v>
      </c>
    </row>
    <row r="792" spans="1:7" x14ac:dyDescent="0.2">
      <c r="A792" t="s">
        <v>2045</v>
      </c>
      <c r="B792">
        <v>0</v>
      </c>
      <c r="C792">
        <v>0</v>
      </c>
      <c r="D792">
        <v>0</v>
      </c>
      <c r="E792">
        <v>0</v>
      </c>
      <c r="F792">
        <v>0</v>
      </c>
      <c r="G792">
        <v>0</v>
      </c>
    </row>
    <row r="793" spans="1:7" x14ac:dyDescent="0.2">
      <c r="A793" t="s">
        <v>2049</v>
      </c>
      <c r="B793">
        <v>0</v>
      </c>
      <c r="C793">
        <v>0</v>
      </c>
      <c r="D793">
        <v>0</v>
      </c>
      <c r="E793">
        <v>0</v>
      </c>
      <c r="F793">
        <v>0</v>
      </c>
      <c r="G793">
        <v>0</v>
      </c>
    </row>
    <row r="794" spans="1:7" x14ac:dyDescent="0.2">
      <c r="A794" t="s">
        <v>2051</v>
      </c>
      <c r="B794">
        <v>0</v>
      </c>
      <c r="C794">
        <v>0</v>
      </c>
      <c r="D794">
        <v>0</v>
      </c>
      <c r="E794">
        <v>0</v>
      </c>
      <c r="F794">
        <v>2</v>
      </c>
      <c r="G794">
        <v>2</v>
      </c>
    </row>
    <row r="795" spans="1:7" x14ac:dyDescent="0.2">
      <c r="A795" t="s">
        <v>2057</v>
      </c>
      <c r="B795">
        <v>0</v>
      </c>
      <c r="C795">
        <v>0</v>
      </c>
      <c r="D795">
        <v>0</v>
      </c>
      <c r="E795">
        <v>0</v>
      </c>
      <c r="F795">
        <v>3</v>
      </c>
      <c r="G795">
        <v>3</v>
      </c>
    </row>
    <row r="796" spans="1:7" x14ac:dyDescent="0.2">
      <c r="A796" t="s">
        <v>4344</v>
      </c>
      <c r="B796">
        <v>0</v>
      </c>
      <c r="C796">
        <v>0</v>
      </c>
      <c r="D796">
        <v>0</v>
      </c>
      <c r="E796">
        <v>1</v>
      </c>
      <c r="F796">
        <v>0</v>
      </c>
      <c r="G796">
        <v>1</v>
      </c>
    </row>
    <row r="797" spans="1:7" x14ac:dyDescent="0.2">
      <c r="A797" t="s">
        <v>4345</v>
      </c>
      <c r="B797">
        <v>0</v>
      </c>
      <c r="C797">
        <v>0</v>
      </c>
      <c r="D797">
        <v>0</v>
      </c>
      <c r="E797">
        <v>3</v>
      </c>
      <c r="F797">
        <v>5</v>
      </c>
      <c r="G797">
        <v>7</v>
      </c>
    </row>
    <row r="798" spans="1:7" x14ac:dyDescent="0.2">
      <c r="A798" t="s">
        <v>2074</v>
      </c>
      <c r="B798">
        <v>0</v>
      </c>
      <c r="C798">
        <v>0</v>
      </c>
      <c r="D798">
        <v>0</v>
      </c>
      <c r="E798">
        <v>0</v>
      </c>
      <c r="F798">
        <v>0</v>
      </c>
      <c r="G798">
        <v>0</v>
      </c>
    </row>
    <row r="799" spans="1:7" x14ac:dyDescent="0.2">
      <c r="A799" t="s">
        <v>2079</v>
      </c>
      <c r="B799">
        <v>0</v>
      </c>
      <c r="C799">
        <v>0</v>
      </c>
      <c r="D799">
        <v>0</v>
      </c>
      <c r="E799">
        <v>0</v>
      </c>
      <c r="F799">
        <v>0</v>
      </c>
      <c r="G799">
        <v>0</v>
      </c>
    </row>
    <row r="800" spans="1:7" x14ac:dyDescent="0.2">
      <c r="A800" t="s">
        <v>2085</v>
      </c>
      <c r="B800">
        <v>0</v>
      </c>
      <c r="C800">
        <v>0</v>
      </c>
      <c r="D800">
        <v>0</v>
      </c>
      <c r="E800">
        <v>0</v>
      </c>
      <c r="F800">
        <v>0</v>
      </c>
      <c r="G800">
        <v>0</v>
      </c>
    </row>
    <row r="801" spans="1:7" x14ac:dyDescent="0.2">
      <c r="A801" t="s">
        <v>2091</v>
      </c>
      <c r="B801">
        <v>0</v>
      </c>
      <c r="C801">
        <v>0</v>
      </c>
      <c r="D801">
        <v>0</v>
      </c>
      <c r="E801">
        <v>0</v>
      </c>
      <c r="F801">
        <v>0</v>
      </c>
      <c r="G801">
        <v>0</v>
      </c>
    </row>
    <row r="802" spans="1:7" x14ac:dyDescent="0.2">
      <c r="A802" t="s">
        <v>2097</v>
      </c>
      <c r="B802">
        <v>0</v>
      </c>
      <c r="C802">
        <v>0</v>
      </c>
      <c r="D802">
        <v>0</v>
      </c>
      <c r="E802">
        <v>0</v>
      </c>
      <c r="F802">
        <v>0</v>
      </c>
      <c r="G802">
        <v>0</v>
      </c>
    </row>
    <row r="803" spans="1:7" x14ac:dyDescent="0.2">
      <c r="A803" t="s">
        <v>2101</v>
      </c>
      <c r="B803">
        <v>0</v>
      </c>
      <c r="C803">
        <v>0</v>
      </c>
      <c r="D803">
        <v>0</v>
      </c>
      <c r="E803">
        <v>0</v>
      </c>
      <c r="F803">
        <v>0</v>
      </c>
      <c r="G803">
        <v>0</v>
      </c>
    </row>
    <row r="804" spans="1:7" x14ac:dyDescent="0.2">
      <c r="A804" t="s">
        <v>2104</v>
      </c>
      <c r="B804">
        <v>0</v>
      </c>
      <c r="C804">
        <v>0</v>
      </c>
      <c r="D804">
        <v>0</v>
      </c>
      <c r="E804">
        <v>0</v>
      </c>
      <c r="F804">
        <v>0</v>
      </c>
      <c r="G804">
        <v>0</v>
      </c>
    </row>
    <row r="805" spans="1:7" x14ac:dyDescent="0.2">
      <c r="A805" t="s">
        <v>2107</v>
      </c>
      <c r="B805">
        <v>0</v>
      </c>
      <c r="C805">
        <v>0</v>
      </c>
      <c r="D805">
        <v>0</v>
      </c>
      <c r="E805">
        <v>0</v>
      </c>
      <c r="F805">
        <v>0</v>
      </c>
      <c r="G805">
        <v>0</v>
      </c>
    </row>
    <row r="806" spans="1:7" x14ac:dyDescent="0.2">
      <c r="A806" t="s">
        <v>2110</v>
      </c>
      <c r="B806">
        <v>0</v>
      </c>
      <c r="C806">
        <v>0</v>
      </c>
      <c r="D806">
        <v>0</v>
      </c>
      <c r="E806">
        <v>0</v>
      </c>
      <c r="F806">
        <v>0</v>
      </c>
      <c r="G806">
        <v>0</v>
      </c>
    </row>
    <row r="807" spans="1:7" x14ac:dyDescent="0.2">
      <c r="A807" t="s">
        <v>2113</v>
      </c>
      <c r="B807">
        <v>0</v>
      </c>
      <c r="C807">
        <v>0</v>
      </c>
      <c r="D807">
        <v>0</v>
      </c>
      <c r="E807">
        <v>0</v>
      </c>
      <c r="F807">
        <v>0</v>
      </c>
      <c r="G807">
        <v>0</v>
      </c>
    </row>
    <row r="808" spans="1:7" x14ac:dyDescent="0.2">
      <c r="A808" t="s">
        <v>4346</v>
      </c>
      <c r="B808">
        <v>0</v>
      </c>
      <c r="C808">
        <v>0</v>
      </c>
      <c r="D808">
        <v>0</v>
      </c>
      <c r="E808">
        <v>0</v>
      </c>
      <c r="F808">
        <v>0</v>
      </c>
      <c r="G808">
        <v>0</v>
      </c>
    </row>
    <row r="809" spans="1:7" x14ac:dyDescent="0.2">
      <c r="A809" t="s">
        <v>4347</v>
      </c>
      <c r="B809">
        <v>0</v>
      </c>
      <c r="C809">
        <v>0</v>
      </c>
      <c r="D809">
        <v>0</v>
      </c>
      <c r="E809">
        <v>0</v>
      </c>
      <c r="F809">
        <v>0</v>
      </c>
      <c r="G809">
        <v>0</v>
      </c>
    </row>
    <row r="810" spans="1:7" x14ac:dyDescent="0.2">
      <c r="A810" t="s">
        <v>4348</v>
      </c>
      <c r="B810">
        <v>0</v>
      </c>
      <c r="C810">
        <v>0</v>
      </c>
      <c r="D810">
        <v>0</v>
      </c>
      <c r="E810">
        <v>0</v>
      </c>
      <c r="F810">
        <v>0</v>
      </c>
      <c r="G810">
        <v>0</v>
      </c>
    </row>
    <row r="811" spans="1:7" x14ac:dyDescent="0.2">
      <c r="A811" t="s">
        <v>4349</v>
      </c>
      <c r="B811">
        <v>0</v>
      </c>
      <c r="C811">
        <v>0</v>
      </c>
      <c r="D811">
        <v>0</v>
      </c>
      <c r="E811">
        <v>0</v>
      </c>
      <c r="F811">
        <v>0</v>
      </c>
      <c r="G811">
        <v>0</v>
      </c>
    </row>
    <row r="812" spans="1:7" x14ac:dyDescent="0.2">
      <c r="A812" t="s">
        <v>4350</v>
      </c>
      <c r="B812">
        <v>0</v>
      </c>
      <c r="C812">
        <v>1</v>
      </c>
      <c r="D812">
        <v>1</v>
      </c>
      <c r="E812">
        <v>0</v>
      </c>
      <c r="F812">
        <v>0</v>
      </c>
      <c r="G812">
        <v>2</v>
      </c>
    </row>
    <row r="813" spans="1:7" x14ac:dyDescent="0.2">
      <c r="A813" t="s">
        <v>4351</v>
      </c>
      <c r="B813">
        <v>0</v>
      </c>
      <c r="C813">
        <v>0</v>
      </c>
      <c r="D813">
        <v>0</v>
      </c>
      <c r="E813">
        <v>0</v>
      </c>
      <c r="F813">
        <v>0</v>
      </c>
      <c r="G813">
        <v>0</v>
      </c>
    </row>
    <row r="814" spans="1:7" x14ac:dyDescent="0.2">
      <c r="A814" t="s">
        <v>4352</v>
      </c>
      <c r="B814">
        <v>0</v>
      </c>
      <c r="C814">
        <v>0</v>
      </c>
      <c r="D814">
        <v>0</v>
      </c>
      <c r="E814">
        <v>0</v>
      </c>
      <c r="F814">
        <v>0</v>
      </c>
      <c r="G814">
        <v>0</v>
      </c>
    </row>
    <row r="815" spans="1:7" x14ac:dyDescent="0.2">
      <c r="A815" t="s">
        <v>4353</v>
      </c>
      <c r="B815">
        <v>1</v>
      </c>
      <c r="C815">
        <v>54</v>
      </c>
      <c r="D815">
        <v>16</v>
      </c>
      <c r="E815">
        <v>1</v>
      </c>
      <c r="F815">
        <v>0</v>
      </c>
      <c r="G815">
        <v>71</v>
      </c>
    </row>
    <row r="816" spans="1:7" x14ac:dyDescent="0.2">
      <c r="A816" t="s">
        <v>4354</v>
      </c>
      <c r="B816">
        <v>2</v>
      </c>
      <c r="C816">
        <v>32</v>
      </c>
      <c r="D816">
        <v>10</v>
      </c>
      <c r="E816">
        <v>0</v>
      </c>
      <c r="F816">
        <v>0</v>
      </c>
      <c r="G816">
        <v>45</v>
      </c>
    </row>
    <row r="817" spans="1:7" x14ac:dyDescent="0.2">
      <c r="A817" t="s">
        <v>4355</v>
      </c>
      <c r="B817">
        <v>0</v>
      </c>
      <c r="C817">
        <v>0</v>
      </c>
      <c r="D817">
        <v>0</v>
      </c>
      <c r="E817">
        <v>0</v>
      </c>
      <c r="F817">
        <v>0</v>
      </c>
      <c r="G817">
        <v>0</v>
      </c>
    </row>
    <row r="818" spans="1:7" x14ac:dyDescent="0.2">
      <c r="A818" t="s">
        <v>4356</v>
      </c>
      <c r="B818">
        <v>0</v>
      </c>
      <c r="C818">
        <v>0</v>
      </c>
      <c r="D818">
        <v>0</v>
      </c>
      <c r="E818">
        <v>0</v>
      </c>
      <c r="F818">
        <v>0</v>
      </c>
      <c r="G818">
        <v>0</v>
      </c>
    </row>
    <row r="819" spans="1:7" x14ac:dyDescent="0.2">
      <c r="A819" t="s">
        <v>4357</v>
      </c>
      <c r="B819">
        <v>0</v>
      </c>
      <c r="C819">
        <v>0</v>
      </c>
      <c r="D819">
        <v>0</v>
      </c>
      <c r="E819">
        <v>0</v>
      </c>
      <c r="F819">
        <v>0</v>
      </c>
      <c r="G819">
        <v>1</v>
      </c>
    </row>
    <row r="820" spans="1:7" x14ac:dyDescent="0.2">
      <c r="A820" t="s">
        <v>4358</v>
      </c>
      <c r="B820">
        <v>0</v>
      </c>
      <c r="C820">
        <v>0</v>
      </c>
      <c r="D820">
        <v>0</v>
      </c>
      <c r="E820">
        <v>0</v>
      </c>
      <c r="F820">
        <v>0</v>
      </c>
      <c r="G820">
        <v>0</v>
      </c>
    </row>
    <row r="821" spans="1:7" x14ac:dyDescent="0.2">
      <c r="A821" t="s">
        <v>4359</v>
      </c>
      <c r="B821">
        <v>0</v>
      </c>
      <c r="C821">
        <v>0</v>
      </c>
      <c r="D821">
        <v>0</v>
      </c>
      <c r="E821">
        <v>0</v>
      </c>
      <c r="F821">
        <v>0</v>
      </c>
      <c r="G821">
        <v>0</v>
      </c>
    </row>
    <row r="822" spans="1:7" x14ac:dyDescent="0.2">
      <c r="A822" t="s">
        <v>4360</v>
      </c>
      <c r="B822">
        <v>0</v>
      </c>
      <c r="C822">
        <v>0</v>
      </c>
      <c r="D822">
        <v>0</v>
      </c>
      <c r="E822">
        <v>5</v>
      </c>
      <c r="F822">
        <v>0</v>
      </c>
      <c r="G822">
        <v>5</v>
      </c>
    </row>
    <row r="823" spans="1:7" x14ac:dyDescent="0.2">
      <c r="A823" t="s">
        <v>4361</v>
      </c>
      <c r="B823">
        <v>0</v>
      </c>
      <c r="C823">
        <v>0</v>
      </c>
      <c r="D823">
        <v>4</v>
      </c>
      <c r="E823">
        <v>0</v>
      </c>
      <c r="F823">
        <v>0</v>
      </c>
      <c r="G823">
        <v>4</v>
      </c>
    </row>
    <row r="824" spans="1:7" x14ac:dyDescent="0.2">
      <c r="A824" t="s">
        <v>4362</v>
      </c>
      <c r="B824">
        <v>0</v>
      </c>
      <c r="C824">
        <v>0</v>
      </c>
      <c r="D824">
        <v>0</v>
      </c>
      <c r="E824">
        <v>0</v>
      </c>
      <c r="F824">
        <v>0</v>
      </c>
      <c r="G824">
        <v>0</v>
      </c>
    </row>
    <row r="825" spans="1:7" x14ac:dyDescent="0.2">
      <c r="A825" t="s">
        <v>4363</v>
      </c>
      <c r="B825">
        <v>0</v>
      </c>
      <c r="C825">
        <v>0</v>
      </c>
      <c r="D825">
        <v>0</v>
      </c>
      <c r="E825">
        <v>0</v>
      </c>
      <c r="F825">
        <v>0</v>
      </c>
      <c r="G825">
        <v>0</v>
      </c>
    </row>
    <row r="826" spans="1:7" x14ac:dyDescent="0.2">
      <c r="A826" t="s">
        <v>4364</v>
      </c>
      <c r="B826">
        <v>0</v>
      </c>
      <c r="C826">
        <v>0</v>
      </c>
      <c r="D826">
        <v>0</v>
      </c>
      <c r="E826">
        <v>0</v>
      </c>
      <c r="F826">
        <v>0</v>
      </c>
      <c r="G826">
        <v>0</v>
      </c>
    </row>
    <row r="827" spans="1:7" x14ac:dyDescent="0.2">
      <c r="A827" t="s">
        <v>4365</v>
      </c>
      <c r="B827">
        <v>0</v>
      </c>
      <c r="C827">
        <v>1</v>
      </c>
      <c r="D827">
        <v>1</v>
      </c>
      <c r="E827">
        <v>0</v>
      </c>
      <c r="F827">
        <v>0</v>
      </c>
      <c r="G827">
        <v>2</v>
      </c>
    </row>
    <row r="828" spans="1:7" x14ac:dyDescent="0.2">
      <c r="A828" t="s">
        <v>4366</v>
      </c>
      <c r="B828">
        <v>0</v>
      </c>
      <c r="C828">
        <v>0</v>
      </c>
      <c r="D828">
        <v>0</v>
      </c>
      <c r="E828">
        <v>0</v>
      </c>
      <c r="F828">
        <v>0</v>
      </c>
      <c r="G828">
        <v>0</v>
      </c>
    </row>
    <row r="829" spans="1:7" x14ac:dyDescent="0.2">
      <c r="A829" t="s">
        <v>4367</v>
      </c>
      <c r="B829">
        <v>0</v>
      </c>
      <c r="C829">
        <v>2</v>
      </c>
      <c r="D829">
        <v>0</v>
      </c>
      <c r="E829">
        <v>0</v>
      </c>
      <c r="F829">
        <v>0</v>
      </c>
      <c r="G829">
        <v>2</v>
      </c>
    </row>
    <row r="830" spans="1:7" x14ac:dyDescent="0.2">
      <c r="A830" t="s">
        <v>4368</v>
      </c>
      <c r="B830">
        <v>2</v>
      </c>
      <c r="C830">
        <v>8</v>
      </c>
      <c r="D830">
        <v>10</v>
      </c>
      <c r="E830">
        <v>13</v>
      </c>
      <c r="F830">
        <v>1</v>
      </c>
      <c r="G830">
        <v>33</v>
      </c>
    </row>
    <row r="831" spans="1:7" x14ac:dyDescent="0.2">
      <c r="A831" t="s">
        <v>4369</v>
      </c>
      <c r="B831">
        <v>3</v>
      </c>
      <c r="C831">
        <v>28</v>
      </c>
      <c r="D831">
        <v>68</v>
      </c>
      <c r="E831">
        <v>1</v>
      </c>
      <c r="F831">
        <v>0</v>
      </c>
      <c r="G831">
        <v>100</v>
      </c>
    </row>
    <row r="832" spans="1:7" x14ac:dyDescent="0.2">
      <c r="A832" t="s">
        <v>4370</v>
      </c>
      <c r="B832">
        <v>1</v>
      </c>
      <c r="C832">
        <v>0</v>
      </c>
      <c r="D832">
        <v>0</v>
      </c>
      <c r="E832">
        <v>0</v>
      </c>
      <c r="F832">
        <v>0</v>
      </c>
      <c r="G832">
        <v>1</v>
      </c>
    </row>
    <row r="833" spans="1:10" x14ac:dyDescent="0.2">
      <c r="A833" t="s">
        <v>4371</v>
      </c>
      <c r="B833">
        <v>0</v>
      </c>
      <c r="C833">
        <v>0</v>
      </c>
      <c r="D833">
        <v>0</v>
      </c>
      <c r="E833">
        <v>0</v>
      </c>
      <c r="F833">
        <v>0</v>
      </c>
      <c r="G833">
        <v>1</v>
      </c>
    </row>
    <row r="834" spans="1:10" x14ac:dyDescent="0.2">
      <c r="A834" t="s">
        <v>4372</v>
      </c>
      <c r="B834">
        <v>0</v>
      </c>
      <c r="C834">
        <v>0</v>
      </c>
      <c r="D834">
        <v>0</v>
      </c>
      <c r="E834">
        <v>0</v>
      </c>
      <c r="F834">
        <v>0</v>
      </c>
      <c r="G834">
        <v>0</v>
      </c>
    </row>
    <row r="835" spans="1:10" x14ac:dyDescent="0.2">
      <c r="A835" t="s">
        <v>4373</v>
      </c>
      <c r="B835">
        <v>0</v>
      </c>
      <c r="C835">
        <v>0</v>
      </c>
      <c r="D835">
        <v>0</v>
      </c>
      <c r="E835">
        <v>0</v>
      </c>
      <c r="F835">
        <v>0</v>
      </c>
      <c r="G835">
        <v>0</v>
      </c>
    </row>
    <row r="836" spans="1:10" x14ac:dyDescent="0.2">
      <c r="A836" t="s">
        <v>4374</v>
      </c>
      <c r="B836">
        <v>0</v>
      </c>
      <c r="C836">
        <v>0</v>
      </c>
      <c r="D836">
        <v>0</v>
      </c>
      <c r="E836">
        <v>0</v>
      </c>
      <c r="F836">
        <v>0</v>
      </c>
      <c r="G836">
        <v>0</v>
      </c>
    </row>
    <row r="837" spans="1:10" x14ac:dyDescent="0.2">
      <c r="A837" t="s">
        <v>4375</v>
      </c>
      <c r="B837">
        <v>0</v>
      </c>
      <c r="C837">
        <v>0</v>
      </c>
      <c r="D837">
        <v>0</v>
      </c>
      <c r="E837">
        <v>0</v>
      </c>
      <c r="F837">
        <v>0</v>
      </c>
      <c r="G837">
        <v>0</v>
      </c>
    </row>
    <row r="838" spans="1:10" x14ac:dyDescent="0.2">
      <c r="A838" t="s">
        <v>4376</v>
      </c>
      <c r="B838">
        <v>0</v>
      </c>
      <c r="C838">
        <v>0</v>
      </c>
      <c r="D838">
        <v>0</v>
      </c>
      <c r="E838">
        <v>0</v>
      </c>
      <c r="F838">
        <v>0</v>
      </c>
      <c r="G838">
        <v>0</v>
      </c>
    </row>
    <row r="839" spans="1:10" x14ac:dyDescent="0.2">
      <c r="A839" t="s">
        <v>4377</v>
      </c>
      <c r="B839">
        <v>0</v>
      </c>
      <c r="C839">
        <v>0</v>
      </c>
      <c r="D839">
        <v>0</v>
      </c>
      <c r="E839">
        <v>0</v>
      </c>
      <c r="F839">
        <v>0</v>
      </c>
      <c r="G839">
        <v>0</v>
      </c>
    </row>
    <row r="840" spans="1:10" x14ac:dyDescent="0.2">
      <c r="A840" t="s">
        <v>2318</v>
      </c>
      <c r="B840" t="s">
        <v>2319</v>
      </c>
      <c r="C840" t="s">
        <v>2319</v>
      </c>
      <c r="D840" t="s">
        <v>2319</v>
      </c>
      <c r="E840" t="s">
        <v>2319</v>
      </c>
      <c r="F840" t="s">
        <v>2319</v>
      </c>
      <c r="G840" t="s">
        <v>2319</v>
      </c>
    </row>
    <row r="841" spans="1:10" x14ac:dyDescent="0.2">
      <c r="A841" t="s">
        <v>4248</v>
      </c>
    </row>
    <row r="842" spans="1:10" x14ac:dyDescent="0.2">
      <c r="A842" t="s">
        <v>4250</v>
      </c>
      <c r="C842" t="s">
        <v>4251</v>
      </c>
      <c r="G842" t="s">
        <v>7531</v>
      </c>
      <c r="J842"/>
    </row>
    <row r="843" spans="1:10" x14ac:dyDescent="0.2">
      <c r="A843" t="s">
        <v>4925</v>
      </c>
      <c r="G843" t="s">
        <v>7537</v>
      </c>
      <c r="J843"/>
    </row>
    <row r="844" spans="1:10" x14ac:dyDescent="0.2">
      <c r="A844" t="s">
        <v>7530</v>
      </c>
      <c r="J844"/>
    </row>
    <row r="845" spans="1:10" x14ac:dyDescent="0.2">
      <c r="A845" t="s">
        <v>4939</v>
      </c>
      <c r="J845"/>
    </row>
    <row r="846" spans="1:10" x14ac:dyDescent="0.2">
      <c r="J846"/>
    </row>
    <row r="847" spans="1:10" x14ac:dyDescent="0.2">
      <c r="A847" t="s">
        <v>4259</v>
      </c>
      <c r="J847"/>
    </row>
    <row r="848" spans="1:10" x14ac:dyDescent="0.2">
      <c r="A848" t="s">
        <v>2318</v>
      </c>
      <c r="B848" t="s">
        <v>2319</v>
      </c>
      <c r="C848" t="s">
        <v>2319</v>
      </c>
      <c r="D848" t="s">
        <v>2319</v>
      </c>
      <c r="E848" t="s">
        <v>2319</v>
      </c>
      <c r="F848" t="s">
        <v>2319</v>
      </c>
      <c r="G848" t="s">
        <v>2319</v>
      </c>
    </row>
    <row r="849" spans="1:7" x14ac:dyDescent="0.2">
      <c r="A849" t="s">
        <v>174</v>
      </c>
      <c r="B849" t="s">
        <v>4945</v>
      </c>
      <c r="C849" t="s">
        <v>4946</v>
      </c>
      <c r="D849" t="s">
        <v>4947</v>
      </c>
      <c r="E849" t="s">
        <v>4948</v>
      </c>
      <c r="F849" t="s">
        <v>4949</v>
      </c>
    </row>
    <row r="850" spans="1:7" x14ac:dyDescent="0.2">
      <c r="A850" t="s">
        <v>126</v>
      </c>
      <c r="B850" t="s">
        <v>4262</v>
      </c>
      <c r="C850" t="s">
        <v>4263</v>
      </c>
      <c r="D850" t="s">
        <v>4264</v>
      </c>
      <c r="E850" t="s">
        <v>2308</v>
      </c>
      <c r="F850" t="s">
        <v>615</v>
      </c>
      <c r="G850" t="s">
        <v>236</v>
      </c>
    </row>
    <row r="851" spans="1:7" x14ac:dyDescent="0.2">
      <c r="A851" t="s">
        <v>2318</v>
      </c>
      <c r="B851" t="s">
        <v>2319</v>
      </c>
      <c r="C851" t="s">
        <v>2319</v>
      </c>
      <c r="D851" t="s">
        <v>2319</v>
      </c>
      <c r="E851" t="s">
        <v>2319</v>
      </c>
      <c r="F851" t="s">
        <v>2319</v>
      </c>
      <c r="G851" t="s">
        <v>2319</v>
      </c>
    </row>
    <row r="852" spans="1:7" x14ac:dyDescent="0.2">
      <c r="A852" t="s">
        <v>4265</v>
      </c>
      <c r="B852">
        <v>0</v>
      </c>
      <c r="C852">
        <v>0</v>
      </c>
      <c r="D852">
        <v>0</v>
      </c>
      <c r="E852">
        <v>0</v>
      </c>
      <c r="F852">
        <v>0</v>
      </c>
      <c r="G852">
        <v>0</v>
      </c>
    </row>
    <row r="853" spans="1:7" x14ac:dyDescent="0.2">
      <c r="A853" t="s">
        <v>4266</v>
      </c>
      <c r="B853">
        <v>0</v>
      </c>
      <c r="C853">
        <v>0</v>
      </c>
      <c r="D853">
        <v>0</v>
      </c>
      <c r="E853">
        <v>0</v>
      </c>
      <c r="F853">
        <v>0</v>
      </c>
      <c r="G853">
        <v>0</v>
      </c>
    </row>
    <row r="854" spans="1:7" x14ac:dyDescent="0.2">
      <c r="A854" t="s">
        <v>4267</v>
      </c>
      <c r="B854">
        <v>0</v>
      </c>
      <c r="C854">
        <v>0</v>
      </c>
      <c r="D854">
        <v>0</v>
      </c>
      <c r="E854">
        <v>0</v>
      </c>
      <c r="F854">
        <v>0</v>
      </c>
      <c r="G854">
        <v>0</v>
      </c>
    </row>
    <row r="855" spans="1:7" x14ac:dyDescent="0.2">
      <c r="A855" t="s">
        <v>4268</v>
      </c>
      <c r="B855">
        <v>0</v>
      </c>
      <c r="C855">
        <v>0</v>
      </c>
      <c r="D855">
        <v>0</v>
      </c>
      <c r="E855">
        <v>0</v>
      </c>
      <c r="F855">
        <v>0</v>
      </c>
      <c r="G855">
        <v>0</v>
      </c>
    </row>
    <row r="856" spans="1:7" x14ac:dyDescent="0.2">
      <c r="A856" t="s">
        <v>4269</v>
      </c>
      <c r="B856">
        <v>0</v>
      </c>
      <c r="C856">
        <v>0</v>
      </c>
      <c r="D856">
        <v>0</v>
      </c>
      <c r="E856">
        <v>0</v>
      </c>
      <c r="F856">
        <v>0</v>
      </c>
      <c r="G856">
        <v>0</v>
      </c>
    </row>
    <row r="857" spans="1:7" x14ac:dyDescent="0.2">
      <c r="A857" t="s">
        <v>4270</v>
      </c>
      <c r="B857">
        <v>0</v>
      </c>
      <c r="C857">
        <v>0</v>
      </c>
      <c r="D857">
        <v>0</v>
      </c>
      <c r="E857">
        <v>0</v>
      </c>
      <c r="F857">
        <v>0</v>
      </c>
      <c r="G857">
        <v>0</v>
      </c>
    </row>
    <row r="858" spans="1:7" x14ac:dyDescent="0.2">
      <c r="A858" t="s">
        <v>4271</v>
      </c>
      <c r="B858">
        <v>0</v>
      </c>
      <c r="C858">
        <v>0</v>
      </c>
      <c r="D858">
        <v>0</v>
      </c>
      <c r="E858">
        <v>0</v>
      </c>
      <c r="F858">
        <v>0</v>
      </c>
      <c r="G858">
        <v>0</v>
      </c>
    </row>
    <row r="859" spans="1:7" x14ac:dyDescent="0.2">
      <c r="A859" t="s">
        <v>4272</v>
      </c>
      <c r="B859">
        <v>0</v>
      </c>
      <c r="C859">
        <v>0</v>
      </c>
      <c r="D859">
        <v>0</v>
      </c>
      <c r="E859">
        <v>0</v>
      </c>
      <c r="F859">
        <v>0</v>
      </c>
      <c r="G859">
        <v>0</v>
      </c>
    </row>
    <row r="860" spans="1:7" x14ac:dyDescent="0.2">
      <c r="A860" t="s">
        <v>4273</v>
      </c>
      <c r="B860">
        <v>0</v>
      </c>
      <c r="C860">
        <v>0</v>
      </c>
      <c r="D860">
        <v>0</v>
      </c>
      <c r="E860">
        <v>0</v>
      </c>
      <c r="F860">
        <v>0</v>
      </c>
      <c r="G860">
        <v>0</v>
      </c>
    </row>
    <row r="861" spans="1:7" x14ac:dyDescent="0.2">
      <c r="A861" t="s">
        <v>4274</v>
      </c>
      <c r="B861">
        <v>0</v>
      </c>
      <c r="C861">
        <v>0</v>
      </c>
      <c r="D861">
        <v>0</v>
      </c>
      <c r="E861">
        <v>0</v>
      </c>
      <c r="F861">
        <v>0</v>
      </c>
      <c r="G861">
        <v>0</v>
      </c>
    </row>
    <row r="862" spans="1:7" x14ac:dyDescent="0.2">
      <c r="A862" t="s">
        <v>4275</v>
      </c>
      <c r="B862">
        <v>0</v>
      </c>
      <c r="C862">
        <v>0</v>
      </c>
      <c r="D862">
        <v>0</v>
      </c>
      <c r="E862">
        <v>0</v>
      </c>
      <c r="F862">
        <v>0</v>
      </c>
      <c r="G862">
        <v>0</v>
      </c>
    </row>
    <row r="863" spans="1:7" x14ac:dyDescent="0.2">
      <c r="A863" t="s">
        <v>4276</v>
      </c>
      <c r="B863">
        <v>0</v>
      </c>
      <c r="C863">
        <v>0</v>
      </c>
      <c r="D863">
        <v>0</v>
      </c>
      <c r="E863">
        <v>0</v>
      </c>
      <c r="F863">
        <v>0</v>
      </c>
      <c r="G863">
        <v>0</v>
      </c>
    </row>
    <row r="864" spans="1:7" x14ac:dyDescent="0.2">
      <c r="A864" t="s">
        <v>4277</v>
      </c>
      <c r="B864">
        <v>0</v>
      </c>
      <c r="C864">
        <v>0</v>
      </c>
      <c r="D864">
        <v>0</v>
      </c>
      <c r="E864">
        <v>0</v>
      </c>
      <c r="F864">
        <v>0</v>
      </c>
      <c r="G864">
        <v>0</v>
      </c>
    </row>
    <row r="865" spans="1:7" x14ac:dyDescent="0.2">
      <c r="A865" t="s">
        <v>4278</v>
      </c>
      <c r="B865">
        <v>0</v>
      </c>
      <c r="C865">
        <v>0</v>
      </c>
      <c r="D865">
        <v>0</v>
      </c>
      <c r="E865">
        <v>0</v>
      </c>
      <c r="F865">
        <v>0</v>
      </c>
      <c r="G865">
        <v>0</v>
      </c>
    </row>
    <row r="866" spans="1:7" x14ac:dyDescent="0.2">
      <c r="A866" t="s">
        <v>4279</v>
      </c>
      <c r="B866">
        <v>0</v>
      </c>
      <c r="C866">
        <v>0</v>
      </c>
      <c r="D866">
        <v>0</v>
      </c>
      <c r="E866">
        <v>0</v>
      </c>
      <c r="F866">
        <v>0</v>
      </c>
      <c r="G866">
        <v>0</v>
      </c>
    </row>
    <row r="867" spans="1:7" x14ac:dyDescent="0.2">
      <c r="A867" t="s">
        <v>4280</v>
      </c>
      <c r="B867">
        <v>0</v>
      </c>
      <c r="C867">
        <v>0</v>
      </c>
      <c r="D867">
        <v>0</v>
      </c>
      <c r="E867">
        <v>0</v>
      </c>
      <c r="F867">
        <v>0</v>
      </c>
      <c r="G867">
        <v>0</v>
      </c>
    </row>
    <row r="868" spans="1:7" x14ac:dyDescent="0.2">
      <c r="A868" t="s">
        <v>4281</v>
      </c>
      <c r="B868">
        <v>11</v>
      </c>
      <c r="C868">
        <v>7</v>
      </c>
      <c r="D868">
        <v>11</v>
      </c>
      <c r="E868">
        <v>0</v>
      </c>
      <c r="F868">
        <v>0</v>
      </c>
      <c r="G868">
        <v>28</v>
      </c>
    </row>
    <row r="869" spans="1:7" x14ac:dyDescent="0.2">
      <c r="A869" t="s">
        <v>4282</v>
      </c>
      <c r="B869">
        <v>7</v>
      </c>
      <c r="C869">
        <v>6</v>
      </c>
      <c r="D869">
        <v>3</v>
      </c>
      <c r="E869">
        <v>0</v>
      </c>
      <c r="F869">
        <v>0</v>
      </c>
      <c r="G869">
        <v>16</v>
      </c>
    </row>
    <row r="870" spans="1:7" x14ac:dyDescent="0.2">
      <c r="A870" t="s">
        <v>4283</v>
      </c>
      <c r="B870">
        <v>1</v>
      </c>
      <c r="C870">
        <v>1</v>
      </c>
      <c r="D870">
        <v>1</v>
      </c>
      <c r="E870">
        <v>0</v>
      </c>
      <c r="F870">
        <v>0</v>
      </c>
      <c r="G870">
        <v>4</v>
      </c>
    </row>
    <row r="871" spans="1:7" x14ac:dyDescent="0.2">
      <c r="A871" t="s">
        <v>4284</v>
      </c>
      <c r="B871">
        <v>0</v>
      </c>
      <c r="C871">
        <v>0</v>
      </c>
      <c r="D871">
        <v>0</v>
      </c>
      <c r="E871">
        <v>0</v>
      </c>
      <c r="F871">
        <v>0</v>
      </c>
      <c r="G871">
        <v>0</v>
      </c>
    </row>
    <row r="872" spans="1:7" x14ac:dyDescent="0.2">
      <c r="A872" t="s">
        <v>4285</v>
      </c>
      <c r="B872">
        <v>7</v>
      </c>
      <c r="C872">
        <v>9</v>
      </c>
      <c r="D872">
        <v>5</v>
      </c>
      <c r="E872">
        <v>11</v>
      </c>
      <c r="F872">
        <v>0</v>
      </c>
      <c r="G872">
        <v>32</v>
      </c>
    </row>
    <row r="873" spans="1:7" x14ac:dyDescent="0.2">
      <c r="A873" t="s">
        <v>4286</v>
      </c>
      <c r="B873">
        <v>5</v>
      </c>
      <c r="C873">
        <v>0</v>
      </c>
      <c r="D873">
        <v>0</v>
      </c>
      <c r="E873">
        <v>0</v>
      </c>
      <c r="F873">
        <v>0</v>
      </c>
      <c r="G873">
        <v>5</v>
      </c>
    </row>
    <row r="874" spans="1:7" x14ac:dyDescent="0.2">
      <c r="A874" t="s">
        <v>4287</v>
      </c>
      <c r="B874">
        <v>0</v>
      </c>
      <c r="C874">
        <v>0</v>
      </c>
      <c r="D874">
        <v>0</v>
      </c>
      <c r="E874">
        <v>0</v>
      </c>
      <c r="F874">
        <v>0</v>
      </c>
      <c r="G874">
        <v>0</v>
      </c>
    </row>
    <row r="875" spans="1:7" x14ac:dyDescent="0.2">
      <c r="A875" t="s">
        <v>4288</v>
      </c>
      <c r="B875">
        <v>0</v>
      </c>
      <c r="C875">
        <v>0</v>
      </c>
      <c r="D875">
        <v>0</v>
      </c>
      <c r="E875">
        <v>0</v>
      </c>
      <c r="F875">
        <v>0</v>
      </c>
      <c r="G875">
        <v>0</v>
      </c>
    </row>
    <row r="876" spans="1:7" x14ac:dyDescent="0.2">
      <c r="A876" t="s">
        <v>4289</v>
      </c>
      <c r="B876">
        <v>0</v>
      </c>
      <c r="C876">
        <v>0</v>
      </c>
      <c r="D876">
        <v>0</v>
      </c>
      <c r="E876">
        <v>0</v>
      </c>
      <c r="F876">
        <v>0</v>
      </c>
      <c r="G876">
        <v>0</v>
      </c>
    </row>
    <row r="877" spans="1:7" x14ac:dyDescent="0.2">
      <c r="A877" t="s">
        <v>4290</v>
      </c>
      <c r="B877">
        <v>0</v>
      </c>
      <c r="C877">
        <v>0</v>
      </c>
      <c r="D877">
        <v>0</v>
      </c>
      <c r="E877">
        <v>0</v>
      </c>
      <c r="F877">
        <v>0</v>
      </c>
      <c r="G877">
        <v>0</v>
      </c>
    </row>
    <row r="878" spans="1:7" x14ac:dyDescent="0.2">
      <c r="A878" t="s">
        <v>4291</v>
      </c>
      <c r="B878">
        <v>0</v>
      </c>
      <c r="C878">
        <v>0</v>
      </c>
      <c r="D878">
        <v>0</v>
      </c>
      <c r="E878">
        <v>0</v>
      </c>
      <c r="F878">
        <v>0</v>
      </c>
      <c r="G878">
        <v>0</v>
      </c>
    </row>
    <row r="879" spans="1:7" x14ac:dyDescent="0.2">
      <c r="A879" t="s">
        <v>4292</v>
      </c>
      <c r="B879">
        <v>0</v>
      </c>
      <c r="C879">
        <v>0</v>
      </c>
      <c r="D879">
        <v>0</v>
      </c>
      <c r="E879">
        <v>0</v>
      </c>
      <c r="F879">
        <v>0</v>
      </c>
      <c r="G879">
        <v>0</v>
      </c>
    </row>
    <row r="880" spans="1:7" x14ac:dyDescent="0.2">
      <c r="A880" t="s">
        <v>4293</v>
      </c>
      <c r="B880">
        <v>0</v>
      </c>
      <c r="C880">
        <v>0</v>
      </c>
      <c r="D880">
        <v>0</v>
      </c>
      <c r="E880">
        <v>0</v>
      </c>
      <c r="F880">
        <v>0</v>
      </c>
      <c r="G880">
        <v>0</v>
      </c>
    </row>
    <row r="881" spans="1:7" x14ac:dyDescent="0.2">
      <c r="A881" t="s">
        <v>4294</v>
      </c>
      <c r="B881">
        <v>0</v>
      </c>
      <c r="C881">
        <v>0</v>
      </c>
      <c r="D881">
        <v>0</v>
      </c>
      <c r="E881">
        <v>0</v>
      </c>
      <c r="F881">
        <v>0</v>
      </c>
      <c r="G881">
        <v>0</v>
      </c>
    </row>
    <row r="882" spans="1:7" x14ac:dyDescent="0.2">
      <c r="A882" t="s">
        <v>4295</v>
      </c>
      <c r="B882">
        <v>0</v>
      </c>
      <c r="C882">
        <v>0</v>
      </c>
      <c r="D882">
        <v>0</v>
      </c>
      <c r="E882">
        <v>0</v>
      </c>
      <c r="F882">
        <v>0</v>
      </c>
      <c r="G882">
        <v>0</v>
      </c>
    </row>
    <row r="883" spans="1:7" x14ac:dyDescent="0.2">
      <c r="A883" t="s">
        <v>4296</v>
      </c>
      <c r="B883">
        <v>0</v>
      </c>
      <c r="C883">
        <v>0</v>
      </c>
      <c r="D883">
        <v>0</v>
      </c>
      <c r="E883">
        <v>0</v>
      </c>
      <c r="F883">
        <v>0</v>
      </c>
      <c r="G883">
        <v>0</v>
      </c>
    </row>
    <row r="884" spans="1:7" x14ac:dyDescent="0.2">
      <c r="A884" t="s">
        <v>4297</v>
      </c>
      <c r="B884">
        <v>0</v>
      </c>
      <c r="C884">
        <v>8</v>
      </c>
      <c r="D884">
        <v>10</v>
      </c>
      <c r="E884">
        <v>0</v>
      </c>
      <c r="F884">
        <v>0</v>
      </c>
      <c r="G884">
        <v>18</v>
      </c>
    </row>
    <row r="885" spans="1:7" x14ac:dyDescent="0.2">
      <c r="A885" t="s">
        <v>4298</v>
      </c>
      <c r="B885">
        <v>10</v>
      </c>
      <c r="C885">
        <v>15</v>
      </c>
      <c r="D885">
        <v>2</v>
      </c>
      <c r="E885">
        <v>1</v>
      </c>
      <c r="F885">
        <v>0</v>
      </c>
      <c r="G885">
        <v>28</v>
      </c>
    </row>
    <row r="886" spans="1:7" x14ac:dyDescent="0.2">
      <c r="A886" t="s">
        <v>4299</v>
      </c>
      <c r="B886">
        <v>22</v>
      </c>
      <c r="C886">
        <v>26</v>
      </c>
      <c r="D886">
        <v>19</v>
      </c>
      <c r="E886">
        <v>6</v>
      </c>
      <c r="F886">
        <v>0</v>
      </c>
      <c r="G886">
        <v>73</v>
      </c>
    </row>
    <row r="887" spans="1:7" x14ac:dyDescent="0.2">
      <c r="A887" t="s">
        <v>4300</v>
      </c>
      <c r="B887">
        <v>0</v>
      </c>
      <c r="C887">
        <v>2</v>
      </c>
      <c r="D887">
        <v>2</v>
      </c>
      <c r="E887">
        <v>0</v>
      </c>
      <c r="F887">
        <v>0</v>
      </c>
      <c r="G887">
        <v>4</v>
      </c>
    </row>
    <row r="888" spans="1:7" x14ac:dyDescent="0.2">
      <c r="A888" t="s">
        <v>4301</v>
      </c>
      <c r="B888">
        <v>0</v>
      </c>
      <c r="C888">
        <v>37</v>
      </c>
      <c r="D888">
        <v>36</v>
      </c>
      <c r="E888">
        <v>13</v>
      </c>
      <c r="F888">
        <v>0</v>
      </c>
      <c r="G888">
        <v>86</v>
      </c>
    </row>
    <row r="889" spans="1:7" x14ac:dyDescent="0.2">
      <c r="A889" t="s">
        <v>4302</v>
      </c>
      <c r="B889">
        <v>3</v>
      </c>
      <c r="C889">
        <v>11</v>
      </c>
      <c r="D889">
        <v>51</v>
      </c>
      <c r="E889">
        <v>16</v>
      </c>
      <c r="F889">
        <v>0</v>
      </c>
      <c r="G889">
        <v>80</v>
      </c>
    </row>
    <row r="890" spans="1:7" x14ac:dyDescent="0.2">
      <c r="A890" t="s">
        <v>4303</v>
      </c>
      <c r="B890">
        <v>3</v>
      </c>
      <c r="C890">
        <v>30</v>
      </c>
      <c r="D890">
        <v>205</v>
      </c>
      <c r="E890">
        <v>41</v>
      </c>
      <c r="F890">
        <v>0</v>
      </c>
      <c r="G890">
        <v>279</v>
      </c>
    </row>
    <row r="891" spans="1:7" x14ac:dyDescent="0.2">
      <c r="A891" t="s">
        <v>4304</v>
      </c>
      <c r="B891">
        <v>2</v>
      </c>
      <c r="C891">
        <v>6</v>
      </c>
      <c r="D891">
        <v>12</v>
      </c>
      <c r="E891">
        <v>9</v>
      </c>
      <c r="F891">
        <v>0</v>
      </c>
      <c r="G891">
        <v>29</v>
      </c>
    </row>
    <row r="892" spans="1:7" x14ac:dyDescent="0.2">
      <c r="A892" t="s">
        <v>4305</v>
      </c>
      <c r="B892">
        <v>151</v>
      </c>
      <c r="C892">
        <v>61</v>
      </c>
      <c r="D892">
        <v>82</v>
      </c>
      <c r="E892">
        <v>28</v>
      </c>
      <c r="F892">
        <v>0</v>
      </c>
      <c r="G892">
        <v>323</v>
      </c>
    </row>
    <row r="893" spans="1:7" x14ac:dyDescent="0.2">
      <c r="A893" t="s">
        <v>4306</v>
      </c>
      <c r="B893">
        <v>2</v>
      </c>
      <c r="C893">
        <v>20</v>
      </c>
      <c r="D893">
        <v>5</v>
      </c>
      <c r="E893">
        <v>4</v>
      </c>
      <c r="F893">
        <v>0</v>
      </c>
      <c r="G893">
        <v>31</v>
      </c>
    </row>
    <row r="894" spans="1:7" x14ac:dyDescent="0.2">
      <c r="A894" t="s">
        <v>4307</v>
      </c>
      <c r="B894">
        <v>15</v>
      </c>
      <c r="C894">
        <v>191</v>
      </c>
      <c r="D894">
        <v>644</v>
      </c>
      <c r="E894">
        <v>205</v>
      </c>
      <c r="F894">
        <v>0</v>
      </c>
      <c r="G894">
        <v>1054</v>
      </c>
    </row>
    <row r="895" spans="1:7" x14ac:dyDescent="0.2">
      <c r="A895" t="s">
        <v>4308</v>
      </c>
      <c r="B895">
        <v>0</v>
      </c>
      <c r="C895">
        <v>0</v>
      </c>
      <c r="D895">
        <v>28</v>
      </c>
      <c r="E895">
        <v>9</v>
      </c>
      <c r="F895">
        <v>0</v>
      </c>
      <c r="G895">
        <v>38</v>
      </c>
    </row>
    <row r="896" spans="1:7" x14ac:dyDescent="0.2">
      <c r="A896" t="s">
        <v>4309</v>
      </c>
      <c r="B896">
        <v>0</v>
      </c>
      <c r="C896">
        <v>0</v>
      </c>
      <c r="D896">
        <v>0</v>
      </c>
      <c r="E896">
        <v>0</v>
      </c>
      <c r="F896">
        <v>0</v>
      </c>
      <c r="G896">
        <v>0</v>
      </c>
    </row>
    <row r="897" spans="1:7" x14ac:dyDescent="0.2">
      <c r="A897" t="s">
        <v>4310</v>
      </c>
      <c r="B897">
        <v>0</v>
      </c>
      <c r="C897">
        <v>0</v>
      </c>
      <c r="D897">
        <v>0</v>
      </c>
      <c r="E897">
        <v>0</v>
      </c>
      <c r="F897">
        <v>0</v>
      </c>
      <c r="G897">
        <v>0</v>
      </c>
    </row>
    <row r="898" spans="1:7" x14ac:dyDescent="0.2">
      <c r="A898" t="s">
        <v>4311</v>
      </c>
      <c r="B898">
        <v>0</v>
      </c>
      <c r="C898">
        <v>0</v>
      </c>
      <c r="D898">
        <v>0</v>
      </c>
      <c r="E898">
        <v>0</v>
      </c>
      <c r="F898">
        <v>0</v>
      </c>
      <c r="G898">
        <v>0</v>
      </c>
    </row>
    <row r="899" spans="1:7" x14ac:dyDescent="0.2">
      <c r="A899" t="s">
        <v>4312</v>
      </c>
      <c r="B899">
        <v>0</v>
      </c>
      <c r="C899">
        <v>0</v>
      </c>
      <c r="D899">
        <v>0</v>
      </c>
      <c r="E899">
        <v>0</v>
      </c>
      <c r="F899">
        <v>0</v>
      </c>
      <c r="G899">
        <v>0</v>
      </c>
    </row>
    <row r="900" spans="1:7" x14ac:dyDescent="0.2">
      <c r="A900" t="s">
        <v>4313</v>
      </c>
      <c r="B900">
        <v>0</v>
      </c>
      <c r="C900">
        <v>0</v>
      </c>
      <c r="D900">
        <v>0</v>
      </c>
      <c r="E900">
        <v>0</v>
      </c>
      <c r="F900">
        <v>0</v>
      </c>
      <c r="G900">
        <v>0</v>
      </c>
    </row>
    <row r="901" spans="1:7" x14ac:dyDescent="0.2">
      <c r="A901" t="s">
        <v>4314</v>
      </c>
      <c r="B901">
        <v>0</v>
      </c>
      <c r="C901">
        <v>0</v>
      </c>
      <c r="D901">
        <v>0</v>
      </c>
      <c r="E901">
        <v>0</v>
      </c>
      <c r="F901">
        <v>0</v>
      </c>
      <c r="G901">
        <v>0</v>
      </c>
    </row>
    <row r="902" spans="1:7" x14ac:dyDescent="0.2">
      <c r="A902" t="s">
        <v>4315</v>
      </c>
      <c r="B902">
        <v>0</v>
      </c>
      <c r="C902">
        <v>0</v>
      </c>
      <c r="D902">
        <v>0</v>
      </c>
      <c r="E902">
        <v>0</v>
      </c>
      <c r="F902">
        <v>0</v>
      </c>
      <c r="G902">
        <v>0</v>
      </c>
    </row>
    <row r="903" spans="1:7" x14ac:dyDescent="0.2">
      <c r="A903" t="s">
        <v>4316</v>
      </c>
      <c r="B903">
        <v>0</v>
      </c>
      <c r="C903">
        <v>0</v>
      </c>
      <c r="D903">
        <v>0</v>
      </c>
      <c r="E903">
        <v>0</v>
      </c>
      <c r="F903">
        <v>0</v>
      </c>
      <c r="G903">
        <v>0</v>
      </c>
    </row>
    <row r="904" spans="1:7" x14ac:dyDescent="0.2">
      <c r="A904" t="s">
        <v>4317</v>
      </c>
      <c r="B904">
        <v>0</v>
      </c>
      <c r="C904">
        <v>0</v>
      </c>
      <c r="D904">
        <v>0</v>
      </c>
      <c r="E904">
        <v>0</v>
      </c>
      <c r="F904">
        <v>0</v>
      </c>
      <c r="G904">
        <v>0</v>
      </c>
    </row>
    <row r="905" spans="1:7" x14ac:dyDescent="0.2">
      <c r="A905" t="s">
        <v>4318</v>
      </c>
      <c r="B905">
        <v>0</v>
      </c>
      <c r="C905">
        <v>0</v>
      </c>
      <c r="D905">
        <v>0</v>
      </c>
      <c r="E905">
        <v>0</v>
      </c>
      <c r="F905">
        <v>0</v>
      </c>
      <c r="G905">
        <v>0</v>
      </c>
    </row>
    <row r="906" spans="1:7" x14ac:dyDescent="0.2">
      <c r="A906" t="s">
        <v>4319</v>
      </c>
      <c r="B906">
        <v>0</v>
      </c>
      <c r="C906">
        <v>0</v>
      </c>
      <c r="D906">
        <v>0</v>
      </c>
      <c r="E906">
        <v>0</v>
      </c>
      <c r="F906">
        <v>0</v>
      </c>
      <c r="G906">
        <v>0</v>
      </c>
    </row>
    <row r="907" spans="1:7" x14ac:dyDescent="0.2">
      <c r="A907" t="s">
        <v>4320</v>
      </c>
      <c r="B907">
        <v>0</v>
      </c>
      <c r="C907">
        <v>0</v>
      </c>
      <c r="D907">
        <v>0</v>
      </c>
      <c r="E907">
        <v>0</v>
      </c>
      <c r="F907">
        <v>0</v>
      </c>
      <c r="G907">
        <v>0</v>
      </c>
    </row>
    <row r="908" spans="1:7" x14ac:dyDescent="0.2">
      <c r="A908" t="s">
        <v>4321</v>
      </c>
      <c r="B908">
        <v>0</v>
      </c>
      <c r="C908">
        <v>0</v>
      </c>
      <c r="D908">
        <v>0</v>
      </c>
      <c r="E908">
        <v>0</v>
      </c>
      <c r="F908">
        <v>0</v>
      </c>
      <c r="G908">
        <v>0</v>
      </c>
    </row>
    <row r="909" spans="1:7" x14ac:dyDescent="0.2">
      <c r="A909" t="s">
        <v>4322</v>
      </c>
      <c r="B909">
        <v>0</v>
      </c>
      <c r="C909">
        <v>0</v>
      </c>
      <c r="D909">
        <v>0</v>
      </c>
      <c r="E909">
        <v>0</v>
      </c>
      <c r="F909">
        <v>0</v>
      </c>
      <c r="G909">
        <v>0</v>
      </c>
    </row>
    <row r="910" spans="1:7" x14ac:dyDescent="0.2">
      <c r="A910" t="s">
        <v>4323</v>
      </c>
      <c r="B910">
        <v>0</v>
      </c>
      <c r="C910">
        <v>0</v>
      </c>
      <c r="D910">
        <v>0</v>
      </c>
      <c r="E910">
        <v>0</v>
      </c>
      <c r="F910">
        <v>0</v>
      </c>
      <c r="G910">
        <v>0</v>
      </c>
    </row>
    <row r="911" spans="1:7" x14ac:dyDescent="0.2">
      <c r="A911" t="s">
        <v>4324</v>
      </c>
      <c r="B911">
        <v>0</v>
      </c>
      <c r="C911">
        <v>0</v>
      </c>
      <c r="D911">
        <v>0</v>
      </c>
      <c r="E911">
        <v>0</v>
      </c>
      <c r="F911">
        <v>0</v>
      </c>
      <c r="G911">
        <v>0</v>
      </c>
    </row>
    <row r="912" spans="1:7" x14ac:dyDescent="0.2">
      <c r="A912" t="s">
        <v>4325</v>
      </c>
      <c r="B912">
        <v>0</v>
      </c>
      <c r="C912">
        <v>0</v>
      </c>
      <c r="D912">
        <v>0</v>
      </c>
      <c r="E912">
        <v>0</v>
      </c>
      <c r="F912">
        <v>0</v>
      </c>
      <c r="G912">
        <v>0</v>
      </c>
    </row>
    <row r="913" spans="1:7" x14ac:dyDescent="0.2">
      <c r="A913" t="s">
        <v>4326</v>
      </c>
      <c r="B913">
        <v>0</v>
      </c>
      <c r="C913">
        <v>0</v>
      </c>
      <c r="D913">
        <v>0</v>
      </c>
      <c r="E913">
        <v>0</v>
      </c>
      <c r="F913">
        <v>0</v>
      </c>
      <c r="G913">
        <v>0</v>
      </c>
    </row>
    <row r="914" spans="1:7" x14ac:dyDescent="0.2">
      <c r="A914" t="s">
        <v>4327</v>
      </c>
      <c r="B914">
        <v>0</v>
      </c>
      <c r="C914">
        <v>0</v>
      </c>
      <c r="D914">
        <v>0</v>
      </c>
      <c r="E914">
        <v>0</v>
      </c>
      <c r="F914">
        <v>0</v>
      </c>
      <c r="G914">
        <v>0</v>
      </c>
    </row>
    <row r="915" spans="1:7" x14ac:dyDescent="0.2">
      <c r="A915" t="s">
        <v>4328</v>
      </c>
      <c r="B915">
        <v>0</v>
      </c>
      <c r="C915">
        <v>0</v>
      </c>
      <c r="D915">
        <v>0</v>
      </c>
      <c r="E915">
        <v>0</v>
      </c>
      <c r="F915">
        <v>0</v>
      </c>
      <c r="G915">
        <v>0</v>
      </c>
    </row>
    <row r="916" spans="1:7" x14ac:dyDescent="0.2">
      <c r="A916" t="s">
        <v>4329</v>
      </c>
      <c r="B916">
        <v>0</v>
      </c>
      <c r="C916">
        <v>0</v>
      </c>
      <c r="D916">
        <v>0</v>
      </c>
      <c r="E916">
        <v>0</v>
      </c>
      <c r="F916">
        <v>0</v>
      </c>
      <c r="G916">
        <v>0</v>
      </c>
    </row>
    <row r="917" spans="1:7" x14ac:dyDescent="0.2">
      <c r="A917" t="s">
        <v>4330</v>
      </c>
      <c r="B917">
        <v>0</v>
      </c>
      <c r="C917">
        <v>0</v>
      </c>
      <c r="D917">
        <v>0</v>
      </c>
      <c r="E917">
        <v>0</v>
      </c>
      <c r="F917">
        <v>0</v>
      </c>
      <c r="G917">
        <v>0</v>
      </c>
    </row>
    <row r="918" spans="1:7" x14ac:dyDescent="0.2">
      <c r="A918" t="s">
        <v>4331</v>
      </c>
      <c r="B918">
        <v>0</v>
      </c>
      <c r="C918">
        <v>0</v>
      </c>
      <c r="D918">
        <v>0</v>
      </c>
      <c r="E918">
        <v>0</v>
      </c>
      <c r="F918">
        <v>0</v>
      </c>
      <c r="G918">
        <v>0</v>
      </c>
    </row>
    <row r="919" spans="1:7" x14ac:dyDescent="0.2">
      <c r="A919" t="s">
        <v>4332</v>
      </c>
      <c r="B919">
        <v>0</v>
      </c>
      <c r="C919">
        <v>0</v>
      </c>
      <c r="D919">
        <v>0</v>
      </c>
      <c r="E919">
        <v>1</v>
      </c>
      <c r="F919">
        <v>0</v>
      </c>
      <c r="G919">
        <v>1</v>
      </c>
    </row>
    <row r="920" spans="1:7" x14ac:dyDescent="0.2">
      <c r="A920" t="s">
        <v>4333</v>
      </c>
      <c r="B920">
        <v>0</v>
      </c>
      <c r="C920">
        <v>0</v>
      </c>
      <c r="D920">
        <v>0</v>
      </c>
      <c r="E920">
        <v>0</v>
      </c>
      <c r="F920">
        <v>0</v>
      </c>
      <c r="G920">
        <v>0</v>
      </c>
    </row>
    <row r="921" spans="1:7" x14ac:dyDescent="0.2">
      <c r="A921" t="s">
        <v>4334</v>
      </c>
      <c r="B921">
        <v>0</v>
      </c>
      <c r="C921">
        <v>0</v>
      </c>
      <c r="D921">
        <v>0</v>
      </c>
      <c r="E921">
        <v>0</v>
      </c>
      <c r="F921">
        <v>0</v>
      </c>
      <c r="G921">
        <v>0</v>
      </c>
    </row>
    <row r="922" spans="1:7" x14ac:dyDescent="0.2">
      <c r="A922" t="s">
        <v>4335</v>
      </c>
      <c r="B922">
        <v>0</v>
      </c>
      <c r="C922">
        <v>0</v>
      </c>
      <c r="D922">
        <v>0</v>
      </c>
      <c r="E922">
        <v>0</v>
      </c>
      <c r="F922">
        <v>0</v>
      </c>
      <c r="G922">
        <v>0</v>
      </c>
    </row>
    <row r="923" spans="1:7" x14ac:dyDescent="0.2">
      <c r="A923" t="s">
        <v>4336</v>
      </c>
      <c r="B923">
        <v>0</v>
      </c>
      <c r="C923">
        <v>0</v>
      </c>
      <c r="D923">
        <v>0</v>
      </c>
      <c r="E923">
        <v>0</v>
      </c>
      <c r="F923">
        <v>0</v>
      </c>
      <c r="G923">
        <v>0</v>
      </c>
    </row>
    <row r="924" spans="1:7" x14ac:dyDescent="0.2">
      <c r="A924" t="s">
        <v>4337</v>
      </c>
      <c r="B924">
        <v>0</v>
      </c>
      <c r="C924">
        <v>0</v>
      </c>
      <c r="D924">
        <v>0</v>
      </c>
      <c r="E924">
        <v>0</v>
      </c>
      <c r="F924">
        <v>0</v>
      </c>
      <c r="G924">
        <v>0</v>
      </c>
    </row>
    <row r="925" spans="1:7" x14ac:dyDescent="0.2">
      <c r="A925" t="s">
        <v>4338</v>
      </c>
      <c r="B925">
        <v>0</v>
      </c>
      <c r="C925">
        <v>0</v>
      </c>
      <c r="D925">
        <v>0</v>
      </c>
      <c r="E925">
        <v>0</v>
      </c>
      <c r="F925">
        <v>1</v>
      </c>
      <c r="G925">
        <v>1</v>
      </c>
    </row>
    <row r="926" spans="1:7" x14ac:dyDescent="0.2">
      <c r="A926" t="s">
        <v>4339</v>
      </c>
      <c r="B926">
        <v>0</v>
      </c>
      <c r="C926">
        <v>0</v>
      </c>
      <c r="D926">
        <v>0</v>
      </c>
      <c r="E926">
        <v>0</v>
      </c>
      <c r="F926">
        <v>0</v>
      </c>
      <c r="G926">
        <v>0</v>
      </c>
    </row>
    <row r="927" spans="1:7" x14ac:dyDescent="0.2">
      <c r="A927" t="s">
        <v>4340</v>
      </c>
      <c r="B927">
        <v>0</v>
      </c>
      <c r="C927">
        <v>0</v>
      </c>
      <c r="D927">
        <v>0</v>
      </c>
      <c r="E927">
        <v>0</v>
      </c>
      <c r="F927">
        <v>0</v>
      </c>
      <c r="G927">
        <v>0</v>
      </c>
    </row>
    <row r="928" spans="1:7" x14ac:dyDescent="0.2">
      <c r="A928" t="s">
        <v>4341</v>
      </c>
      <c r="B928">
        <v>0</v>
      </c>
      <c r="C928">
        <v>0</v>
      </c>
      <c r="D928">
        <v>0</v>
      </c>
      <c r="E928">
        <v>0</v>
      </c>
      <c r="F928">
        <v>0</v>
      </c>
      <c r="G928">
        <v>0</v>
      </c>
    </row>
    <row r="929" spans="1:7" x14ac:dyDescent="0.2">
      <c r="A929" t="s">
        <v>4342</v>
      </c>
      <c r="B929">
        <v>0</v>
      </c>
      <c r="C929">
        <v>0</v>
      </c>
      <c r="D929">
        <v>0</v>
      </c>
      <c r="E929">
        <v>0</v>
      </c>
      <c r="F929">
        <v>0</v>
      </c>
      <c r="G929">
        <v>0</v>
      </c>
    </row>
    <row r="930" spans="1:7" x14ac:dyDescent="0.2">
      <c r="A930" t="s">
        <v>4343</v>
      </c>
      <c r="B930">
        <v>0</v>
      </c>
      <c r="C930">
        <v>0</v>
      </c>
      <c r="D930">
        <v>0</v>
      </c>
      <c r="E930">
        <v>0</v>
      </c>
      <c r="F930">
        <v>0</v>
      </c>
      <c r="G930">
        <v>0</v>
      </c>
    </row>
    <row r="931" spans="1:7" x14ac:dyDescent="0.2">
      <c r="A931" t="s">
        <v>1728</v>
      </c>
      <c r="B931">
        <v>0</v>
      </c>
      <c r="C931">
        <v>0</v>
      </c>
      <c r="D931">
        <v>0</v>
      </c>
      <c r="E931">
        <v>0</v>
      </c>
      <c r="F931">
        <v>0</v>
      </c>
      <c r="G931">
        <v>0</v>
      </c>
    </row>
    <row r="932" spans="1:7" x14ac:dyDescent="0.2">
      <c r="A932" t="s">
        <v>1730</v>
      </c>
      <c r="B932">
        <v>0</v>
      </c>
      <c r="C932">
        <v>2</v>
      </c>
      <c r="D932">
        <v>23</v>
      </c>
      <c r="E932">
        <v>13</v>
      </c>
      <c r="F932">
        <v>51</v>
      </c>
      <c r="G932">
        <v>89</v>
      </c>
    </row>
    <row r="933" spans="1:7" x14ac:dyDescent="0.2">
      <c r="A933" t="s">
        <v>1733</v>
      </c>
      <c r="B933">
        <v>0</v>
      </c>
      <c r="C933">
        <v>0</v>
      </c>
      <c r="D933">
        <v>0</v>
      </c>
      <c r="E933">
        <v>0</v>
      </c>
      <c r="F933">
        <v>0</v>
      </c>
      <c r="G933">
        <v>0</v>
      </c>
    </row>
    <row r="934" spans="1:7" x14ac:dyDescent="0.2">
      <c r="A934" t="s">
        <v>1738</v>
      </c>
      <c r="B934">
        <v>0</v>
      </c>
      <c r="C934">
        <v>0</v>
      </c>
      <c r="D934">
        <v>0</v>
      </c>
      <c r="E934">
        <v>0</v>
      </c>
      <c r="F934">
        <v>0</v>
      </c>
      <c r="G934">
        <v>0</v>
      </c>
    </row>
    <row r="935" spans="1:7" x14ac:dyDescent="0.2">
      <c r="A935" t="s">
        <v>1744</v>
      </c>
      <c r="B935">
        <v>0</v>
      </c>
      <c r="C935">
        <v>0</v>
      </c>
      <c r="D935">
        <v>0</v>
      </c>
      <c r="E935">
        <v>0</v>
      </c>
      <c r="F935">
        <v>0</v>
      </c>
      <c r="G935">
        <v>0</v>
      </c>
    </row>
    <row r="936" spans="1:7" x14ac:dyDescent="0.2">
      <c r="A936" t="s">
        <v>1747</v>
      </c>
      <c r="B936">
        <v>0</v>
      </c>
      <c r="C936">
        <v>0</v>
      </c>
      <c r="D936">
        <v>0</v>
      </c>
      <c r="E936">
        <v>0</v>
      </c>
      <c r="F936">
        <v>0</v>
      </c>
      <c r="G936">
        <v>0</v>
      </c>
    </row>
    <row r="937" spans="1:7" x14ac:dyDescent="0.2">
      <c r="A937" t="s">
        <v>1751</v>
      </c>
      <c r="B937">
        <v>0</v>
      </c>
      <c r="C937">
        <v>0</v>
      </c>
      <c r="D937">
        <v>0</v>
      </c>
      <c r="E937">
        <v>0</v>
      </c>
      <c r="F937">
        <v>0</v>
      </c>
      <c r="G937">
        <v>0</v>
      </c>
    </row>
    <row r="938" spans="1:7" x14ac:dyDescent="0.2">
      <c r="A938" t="s">
        <v>1755</v>
      </c>
      <c r="B938">
        <v>0</v>
      </c>
      <c r="C938">
        <v>0</v>
      </c>
      <c r="D938">
        <v>4</v>
      </c>
      <c r="E938">
        <v>11</v>
      </c>
      <c r="F938">
        <v>3</v>
      </c>
      <c r="G938">
        <v>17</v>
      </c>
    </row>
    <row r="939" spans="1:7" x14ac:dyDescent="0.2">
      <c r="A939" t="s">
        <v>1757</v>
      </c>
      <c r="B939">
        <v>0</v>
      </c>
      <c r="C939">
        <v>0</v>
      </c>
      <c r="D939">
        <v>7</v>
      </c>
      <c r="E939">
        <v>10</v>
      </c>
      <c r="F939">
        <v>3</v>
      </c>
      <c r="G939">
        <v>20</v>
      </c>
    </row>
    <row r="940" spans="1:7" x14ac:dyDescent="0.2">
      <c r="A940" t="s">
        <v>1761</v>
      </c>
      <c r="B940">
        <v>0</v>
      </c>
      <c r="C940">
        <v>0</v>
      </c>
      <c r="D940">
        <v>0</v>
      </c>
      <c r="E940">
        <v>0</v>
      </c>
      <c r="F940">
        <v>0</v>
      </c>
      <c r="G940">
        <v>0</v>
      </c>
    </row>
    <row r="941" spans="1:7" x14ac:dyDescent="0.2">
      <c r="A941" t="s">
        <v>1764</v>
      </c>
      <c r="B941">
        <v>0</v>
      </c>
      <c r="C941">
        <v>0</v>
      </c>
      <c r="D941">
        <v>0</v>
      </c>
      <c r="E941">
        <v>0</v>
      </c>
      <c r="F941">
        <v>0</v>
      </c>
      <c r="G941">
        <v>0</v>
      </c>
    </row>
    <row r="942" spans="1:7" x14ac:dyDescent="0.2">
      <c r="A942" t="s">
        <v>1770</v>
      </c>
      <c r="B942">
        <v>1</v>
      </c>
      <c r="C942">
        <v>4</v>
      </c>
      <c r="D942">
        <v>32</v>
      </c>
      <c r="E942">
        <v>306</v>
      </c>
      <c r="F942">
        <v>0</v>
      </c>
      <c r="G942">
        <v>343</v>
      </c>
    </row>
    <row r="943" spans="1:7" x14ac:dyDescent="0.2">
      <c r="A943" t="s">
        <v>1772</v>
      </c>
      <c r="B943">
        <v>0</v>
      </c>
      <c r="C943">
        <v>1</v>
      </c>
      <c r="D943">
        <v>11</v>
      </c>
      <c r="E943">
        <v>145</v>
      </c>
      <c r="F943">
        <v>0</v>
      </c>
      <c r="G943">
        <v>156</v>
      </c>
    </row>
    <row r="944" spans="1:7" x14ac:dyDescent="0.2">
      <c r="A944" t="s">
        <v>1774</v>
      </c>
      <c r="B944">
        <v>0</v>
      </c>
      <c r="C944">
        <v>1</v>
      </c>
      <c r="D944">
        <v>0</v>
      </c>
      <c r="E944">
        <v>48</v>
      </c>
      <c r="F944">
        <v>0</v>
      </c>
      <c r="G944">
        <v>49</v>
      </c>
    </row>
    <row r="945" spans="1:7" x14ac:dyDescent="0.2">
      <c r="A945" t="s">
        <v>1777</v>
      </c>
      <c r="B945">
        <v>0</v>
      </c>
      <c r="C945">
        <v>0</v>
      </c>
      <c r="D945">
        <v>0</v>
      </c>
      <c r="E945">
        <v>0</v>
      </c>
      <c r="F945">
        <v>0</v>
      </c>
      <c r="G945">
        <v>0</v>
      </c>
    </row>
    <row r="946" spans="1:7" x14ac:dyDescent="0.2">
      <c r="A946" t="s">
        <v>1782</v>
      </c>
      <c r="B946">
        <v>0</v>
      </c>
      <c r="C946">
        <v>0</v>
      </c>
      <c r="D946">
        <v>0</v>
      </c>
      <c r="E946">
        <v>0</v>
      </c>
      <c r="F946">
        <v>0</v>
      </c>
      <c r="G946">
        <v>0</v>
      </c>
    </row>
    <row r="947" spans="1:7" x14ac:dyDescent="0.2">
      <c r="A947" t="s">
        <v>1274</v>
      </c>
      <c r="B947">
        <v>0</v>
      </c>
      <c r="C947">
        <v>0</v>
      </c>
      <c r="D947">
        <v>0</v>
      </c>
      <c r="E947">
        <v>4</v>
      </c>
      <c r="F947">
        <v>0</v>
      </c>
      <c r="G947">
        <v>4</v>
      </c>
    </row>
    <row r="948" spans="1:7" x14ac:dyDescent="0.2">
      <c r="A948" t="s">
        <v>1277</v>
      </c>
      <c r="B948">
        <v>0</v>
      </c>
      <c r="C948">
        <v>0</v>
      </c>
      <c r="D948">
        <v>0</v>
      </c>
      <c r="E948">
        <v>32</v>
      </c>
      <c r="F948">
        <v>1</v>
      </c>
      <c r="G948">
        <v>33</v>
      </c>
    </row>
    <row r="949" spans="1:7" x14ac:dyDescent="0.2">
      <c r="A949" t="s">
        <v>1798</v>
      </c>
      <c r="B949">
        <v>0</v>
      </c>
      <c r="C949">
        <v>0</v>
      </c>
      <c r="D949">
        <v>0</v>
      </c>
      <c r="E949">
        <v>0</v>
      </c>
      <c r="F949">
        <v>0</v>
      </c>
      <c r="G949">
        <v>0</v>
      </c>
    </row>
    <row r="950" spans="1:7" x14ac:dyDescent="0.2">
      <c r="A950" t="s">
        <v>1803</v>
      </c>
      <c r="B950">
        <v>0</v>
      </c>
      <c r="C950">
        <v>0</v>
      </c>
      <c r="D950">
        <v>0</v>
      </c>
      <c r="E950">
        <v>0</v>
      </c>
      <c r="F950">
        <v>0</v>
      </c>
      <c r="G950">
        <v>0</v>
      </c>
    </row>
    <row r="951" spans="1:7" x14ac:dyDescent="0.2">
      <c r="A951" t="s">
        <v>1808</v>
      </c>
      <c r="B951">
        <v>0</v>
      </c>
      <c r="C951">
        <v>0</v>
      </c>
      <c r="D951">
        <v>0</v>
      </c>
      <c r="E951">
        <v>0</v>
      </c>
      <c r="F951">
        <v>0</v>
      </c>
      <c r="G951">
        <v>0</v>
      </c>
    </row>
    <row r="952" spans="1:7" x14ac:dyDescent="0.2">
      <c r="A952" t="s">
        <v>1813</v>
      </c>
      <c r="B952">
        <v>0</v>
      </c>
      <c r="C952">
        <v>0</v>
      </c>
      <c r="D952">
        <v>0</v>
      </c>
      <c r="E952">
        <v>0</v>
      </c>
      <c r="F952">
        <v>0</v>
      </c>
      <c r="G952">
        <v>0</v>
      </c>
    </row>
    <row r="953" spans="1:7" x14ac:dyDescent="0.2">
      <c r="A953" t="s">
        <v>1819</v>
      </c>
      <c r="B953">
        <v>0</v>
      </c>
      <c r="C953">
        <v>0</v>
      </c>
      <c r="D953">
        <v>0</v>
      </c>
      <c r="E953">
        <v>2</v>
      </c>
      <c r="F953">
        <v>0</v>
      </c>
      <c r="G953">
        <v>2</v>
      </c>
    </row>
    <row r="954" spans="1:7" x14ac:dyDescent="0.2">
      <c r="A954" t="s">
        <v>1826</v>
      </c>
      <c r="B954">
        <v>0</v>
      </c>
      <c r="C954">
        <v>0</v>
      </c>
      <c r="D954">
        <v>0</v>
      </c>
      <c r="E954">
        <v>0</v>
      </c>
      <c r="F954">
        <v>0</v>
      </c>
      <c r="G954">
        <v>0</v>
      </c>
    </row>
    <row r="955" spans="1:7" x14ac:dyDescent="0.2">
      <c r="A955" t="s">
        <v>1830</v>
      </c>
      <c r="B955">
        <v>0</v>
      </c>
      <c r="C955">
        <v>0</v>
      </c>
      <c r="D955">
        <v>0</v>
      </c>
      <c r="E955">
        <v>0</v>
      </c>
      <c r="F955">
        <v>0</v>
      </c>
      <c r="G955">
        <v>0</v>
      </c>
    </row>
    <row r="956" spans="1:7" x14ac:dyDescent="0.2">
      <c r="A956" t="s">
        <v>1836</v>
      </c>
      <c r="B956">
        <v>0</v>
      </c>
      <c r="C956">
        <v>0</v>
      </c>
      <c r="D956">
        <v>0</v>
      </c>
      <c r="E956">
        <v>0</v>
      </c>
      <c r="F956">
        <v>0</v>
      </c>
      <c r="G956">
        <v>0</v>
      </c>
    </row>
    <row r="957" spans="1:7" x14ac:dyDescent="0.2">
      <c r="A957" t="s">
        <v>1841</v>
      </c>
      <c r="B957">
        <v>0</v>
      </c>
      <c r="C957">
        <v>0</v>
      </c>
      <c r="D957">
        <v>13</v>
      </c>
      <c r="E957">
        <v>0</v>
      </c>
      <c r="F957">
        <v>0</v>
      </c>
      <c r="G957">
        <v>13</v>
      </c>
    </row>
    <row r="958" spans="1:7" x14ac:dyDescent="0.2">
      <c r="A958" t="s">
        <v>1842</v>
      </c>
      <c r="B958">
        <v>0</v>
      </c>
      <c r="C958">
        <v>24</v>
      </c>
      <c r="D958">
        <v>62</v>
      </c>
      <c r="E958">
        <v>323</v>
      </c>
      <c r="F958">
        <v>0</v>
      </c>
      <c r="G958">
        <v>410</v>
      </c>
    </row>
    <row r="959" spans="1:7" x14ac:dyDescent="0.2">
      <c r="A959" t="s">
        <v>1843</v>
      </c>
      <c r="B959">
        <v>0</v>
      </c>
      <c r="C959">
        <v>0</v>
      </c>
      <c r="D959">
        <v>0</v>
      </c>
      <c r="E959">
        <v>0</v>
      </c>
      <c r="F959">
        <v>0</v>
      </c>
      <c r="G959">
        <v>0</v>
      </c>
    </row>
    <row r="960" spans="1:7" x14ac:dyDescent="0.2">
      <c r="A960" t="s">
        <v>1846</v>
      </c>
      <c r="B960">
        <v>0</v>
      </c>
      <c r="C960">
        <v>0</v>
      </c>
      <c r="D960">
        <v>0</v>
      </c>
      <c r="E960">
        <v>0</v>
      </c>
      <c r="F960">
        <v>0</v>
      </c>
      <c r="G960">
        <v>0</v>
      </c>
    </row>
    <row r="961" spans="1:7" x14ac:dyDescent="0.2">
      <c r="A961" t="s">
        <v>1851</v>
      </c>
      <c r="B961">
        <v>0</v>
      </c>
      <c r="C961">
        <v>0</v>
      </c>
      <c r="D961">
        <v>0</v>
      </c>
      <c r="E961">
        <v>1829</v>
      </c>
      <c r="F961">
        <v>459</v>
      </c>
      <c r="G961">
        <v>2288</v>
      </c>
    </row>
    <row r="962" spans="1:7" x14ac:dyDescent="0.2">
      <c r="A962" t="s">
        <v>1857</v>
      </c>
      <c r="B962">
        <v>0</v>
      </c>
      <c r="C962">
        <v>0</v>
      </c>
      <c r="D962">
        <v>0</v>
      </c>
      <c r="E962">
        <v>12</v>
      </c>
      <c r="F962">
        <v>0</v>
      </c>
      <c r="G962">
        <v>12</v>
      </c>
    </row>
    <row r="963" spans="1:7" x14ac:dyDescent="0.2">
      <c r="A963" t="s">
        <v>1862</v>
      </c>
      <c r="B963">
        <v>0</v>
      </c>
      <c r="C963">
        <v>0</v>
      </c>
      <c r="D963">
        <v>0</v>
      </c>
      <c r="E963">
        <v>8303</v>
      </c>
      <c r="F963">
        <v>5000</v>
      </c>
      <c r="G963">
        <v>13303</v>
      </c>
    </row>
    <row r="964" spans="1:7" x14ac:dyDescent="0.2">
      <c r="A964" t="s">
        <v>1867</v>
      </c>
      <c r="B964">
        <v>0</v>
      </c>
      <c r="C964">
        <v>0</v>
      </c>
      <c r="D964">
        <v>0</v>
      </c>
      <c r="E964">
        <v>0</v>
      </c>
      <c r="F964">
        <v>0</v>
      </c>
      <c r="G964">
        <v>0</v>
      </c>
    </row>
    <row r="965" spans="1:7" x14ac:dyDescent="0.2">
      <c r="A965" t="s">
        <v>1870</v>
      </c>
      <c r="B965">
        <v>0</v>
      </c>
      <c r="C965">
        <v>0</v>
      </c>
      <c r="D965">
        <v>0</v>
      </c>
      <c r="E965">
        <v>0</v>
      </c>
      <c r="F965">
        <v>0</v>
      </c>
      <c r="G965">
        <v>0</v>
      </c>
    </row>
    <row r="966" spans="1:7" x14ac:dyDescent="0.2">
      <c r="A966" t="s">
        <v>1874</v>
      </c>
      <c r="B966">
        <v>0</v>
      </c>
      <c r="C966">
        <v>0</v>
      </c>
      <c r="D966">
        <v>0</v>
      </c>
      <c r="E966">
        <v>1548</v>
      </c>
      <c r="F966">
        <v>0</v>
      </c>
      <c r="G966">
        <v>1548</v>
      </c>
    </row>
    <row r="967" spans="1:7" x14ac:dyDescent="0.2">
      <c r="A967" t="s">
        <v>1876</v>
      </c>
      <c r="B967">
        <v>0</v>
      </c>
      <c r="C967">
        <v>0</v>
      </c>
      <c r="D967">
        <v>0</v>
      </c>
      <c r="E967">
        <v>0</v>
      </c>
      <c r="F967">
        <v>0</v>
      </c>
      <c r="G967">
        <v>0</v>
      </c>
    </row>
    <row r="968" spans="1:7" x14ac:dyDescent="0.2">
      <c r="A968" t="s">
        <v>1881</v>
      </c>
      <c r="B968">
        <v>0</v>
      </c>
      <c r="C968">
        <v>0</v>
      </c>
      <c r="D968">
        <v>0</v>
      </c>
      <c r="E968">
        <v>0</v>
      </c>
      <c r="F968">
        <v>50</v>
      </c>
      <c r="G968">
        <v>50</v>
      </c>
    </row>
    <row r="969" spans="1:7" x14ac:dyDescent="0.2">
      <c r="A969" t="s">
        <v>1885</v>
      </c>
      <c r="B969">
        <v>97</v>
      </c>
      <c r="C969">
        <v>72</v>
      </c>
      <c r="D969">
        <v>62</v>
      </c>
      <c r="E969">
        <v>114</v>
      </c>
      <c r="F969">
        <v>0</v>
      </c>
      <c r="G969">
        <v>345</v>
      </c>
    </row>
    <row r="970" spans="1:7" x14ac:dyDescent="0.2">
      <c r="A970" t="s">
        <v>1887</v>
      </c>
      <c r="B970">
        <v>0</v>
      </c>
      <c r="C970">
        <v>0</v>
      </c>
      <c r="D970">
        <v>0</v>
      </c>
      <c r="E970">
        <v>1</v>
      </c>
      <c r="F970">
        <v>2</v>
      </c>
      <c r="G970">
        <v>2</v>
      </c>
    </row>
    <row r="971" spans="1:7" x14ac:dyDescent="0.2">
      <c r="A971" t="s">
        <v>1893</v>
      </c>
      <c r="B971">
        <v>0</v>
      </c>
      <c r="C971">
        <v>0</v>
      </c>
      <c r="D971">
        <v>0</v>
      </c>
      <c r="E971">
        <v>34</v>
      </c>
      <c r="F971">
        <v>3</v>
      </c>
      <c r="G971">
        <v>37</v>
      </c>
    </row>
    <row r="972" spans="1:7" x14ac:dyDescent="0.2">
      <c r="A972" t="s">
        <v>1899</v>
      </c>
      <c r="B972">
        <v>0</v>
      </c>
      <c r="C972">
        <v>0</v>
      </c>
      <c r="D972">
        <v>0</v>
      </c>
      <c r="E972">
        <v>0</v>
      </c>
      <c r="F972">
        <v>0</v>
      </c>
      <c r="G972">
        <v>0</v>
      </c>
    </row>
    <row r="973" spans="1:7" x14ac:dyDescent="0.2">
      <c r="A973" t="s">
        <v>1906</v>
      </c>
      <c r="B973">
        <v>0</v>
      </c>
      <c r="C973">
        <v>0</v>
      </c>
      <c r="D973">
        <v>0</v>
      </c>
      <c r="E973">
        <v>0</v>
      </c>
      <c r="F973">
        <v>0</v>
      </c>
      <c r="G973">
        <v>0</v>
      </c>
    </row>
    <row r="974" spans="1:7" x14ac:dyDescent="0.2">
      <c r="A974" t="s">
        <v>1911</v>
      </c>
      <c r="B974">
        <v>0</v>
      </c>
      <c r="C974">
        <v>0</v>
      </c>
      <c r="D974">
        <v>0</v>
      </c>
      <c r="E974">
        <v>0</v>
      </c>
      <c r="F974">
        <v>0</v>
      </c>
      <c r="G974">
        <v>0</v>
      </c>
    </row>
    <row r="975" spans="1:7" x14ac:dyDescent="0.2">
      <c r="A975" t="s">
        <v>1917</v>
      </c>
      <c r="B975">
        <v>0</v>
      </c>
      <c r="C975">
        <v>0</v>
      </c>
      <c r="D975">
        <v>0</v>
      </c>
      <c r="E975">
        <v>0</v>
      </c>
      <c r="F975">
        <v>0</v>
      </c>
      <c r="G975">
        <v>0</v>
      </c>
    </row>
    <row r="976" spans="1:7" x14ac:dyDescent="0.2">
      <c r="A976" t="s">
        <v>1922</v>
      </c>
      <c r="B976">
        <v>0</v>
      </c>
      <c r="C976">
        <v>0</v>
      </c>
      <c r="D976">
        <v>0</v>
      </c>
      <c r="E976">
        <v>140</v>
      </c>
      <c r="F976">
        <v>1</v>
      </c>
      <c r="G976">
        <v>141</v>
      </c>
    </row>
    <row r="977" spans="1:7" x14ac:dyDescent="0.2">
      <c r="A977" t="s">
        <v>1928</v>
      </c>
      <c r="B977">
        <v>0</v>
      </c>
      <c r="C977">
        <v>0</v>
      </c>
      <c r="D977">
        <v>0</v>
      </c>
      <c r="E977">
        <v>0</v>
      </c>
      <c r="F977">
        <v>0</v>
      </c>
      <c r="G977">
        <v>0</v>
      </c>
    </row>
    <row r="978" spans="1:7" x14ac:dyDescent="0.2">
      <c r="A978" t="s">
        <v>1932</v>
      </c>
      <c r="B978">
        <v>0</v>
      </c>
      <c r="C978">
        <v>0</v>
      </c>
      <c r="D978">
        <v>0</v>
      </c>
      <c r="E978">
        <v>0</v>
      </c>
      <c r="F978">
        <v>0</v>
      </c>
      <c r="G978">
        <v>0</v>
      </c>
    </row>
    <row r="979" spans="1:7" x14ac:dyDescent="0.2">
      <c r="A979" t="s">
        <v>1938</v>
      </c>
      <c r="B979">
        <v>0</v>
      </c>
      <c r="C979">
        <v>0</v>
      </c>
      <c r="D979">
        <v>0</v>
      </c>
      <c r="E979">
        <v>0</v>
      </c>
      <c r="F979">
        <v>0</v>
      </c>
      <c r="G979">
        <v>0</v>
      </c>
    </row>
    <row r="980" spans="1:7" x14ac:dyDescent="0.2">
      <c r="A980" t="s">
        <v>1944</v>
      </c>
      <c r="B980">
        <v>0</v>
      </c>
      <c r="C980">
        <v>8</v>
      </c>
      <c r="D980">
        <v>14</v>
      </c>
      <c r="E980">
        <v>12</v>
      </c>
      <c r="F980">
        <v>0</v>
      </c>
      <c r="G980">
        <v>34</v>
      </c>
    </row>
    <row r="981" spans="1:7" x14ac:dyDescent="0.2">
      <c r="A981" t="s">
        <v>1947</v>
      </c>
      <c r="B981">
        <v>0</v>
      </c>
      <c r="C981">
        <v>0</v>
      </c>
      <c r="D981">
        <v>0</v>
      </c>
      <c r="E981">
        <v>0</v>
      </c>
      <c r="F981">
        <v>0</v>
      </c>
      <c r="G981">
        <v>0</v>
      </c>
    </row>
    <row r="982" spans="1:7" x14ac:dyDescent="0.2">
      <c r="A982" t="s">
        <v>1953</v>
      </c>
      <c r="B982">
        <v>0</v>
      </c>
      <c r="C982">
        <v>0</v>
      </c>
      <c r="D982">
        <v>0</v>
      </c>
      <c r="E982">
        <v>1</v>
      </c>
      <c r="F982">
        <v>1</v>
      </c>
      <c r="G982">
        <v>2</v>
      </c>
    </row>
    <row r="983" spans="1:7" x14ac:dyDescent="0.2">
      <c r="A983" t="s">
        <v>1958</v>
      </c>
      <c r="B983">
        <v>0</v>
      </c>
      <c r="C983">
        <v>0</v>
      </c>
      <c r="D983">
        <v>0</v>
      </c>
      <c r="E983">
        <v>0</v>
      </c>
      <c r="F983">
        <v>0</v>
      </c>
      <c r="G983">
        <v>0</v>
      </c>
    </row>
    <row r="984" spans="1:7" x14ac:dyDescent="0.2">
      <c r="A984" t="s">
        <v>1964</v>
      </c>
      <c r="B984">
        <v>0</v>
      </c>
      <c r="C984">
        <v>0</v>
      </c>
      <c r="D984">
        <v>0</v>
      </c>
      <c r="E984">
        <v>0</v>
      </c>
      <c r="F984">
        <v>0</v>
      </c>
      <c r="G984">
        <v>0</v>
      </c>
    </row>
    <row r="985" spans="1:7" x14ac:dyDescent="0.2">
      <c r="A985" t="s">
        <v>1973</v>
      </c>
      <c r="B985">
        <v>0</v>
      </c>
      <c r="C985">
        <v>0</v>
      </c>
      <c r="D985">
        <v>0</v>
      </c>
      <c r="E985">
        <v>0</v>
      </c>
      <c r="F985">
        <v>0</v>
      </c>
      <c r="G985">
        <v>0</v>
      </c>
    </row>
    <row r="986" spans="1:7" x14ac:dyDescent="0.2">
      <c r="A986" t="s">
        <v>1978</v>
      </c>
      <c r="B986">
        <v>0</v>
      </c>
      <c r="C986">
        <v>0</v>
      </c>
      <c r="D986">
        <v>0</v>
      </c>
      <c r="E986">
        <v>0</v>
      </c>
      <c r="F986">
        <v>0</v>
      </c>
      <c r="G986">
        <v>0</v>
      </c>
    </row>
    <row r="987" spans="1:7" x14ac:dyDescent="0.2">
      <c r="A987" t="s">
        <v>1983</v>
      </c>
      <c r="B987">
        <v>1</v>
      </c>
      <c r="C987">
        <v>0</v>
      </c>
      <c r="D987">
        <v>1</v>
      </c>
      <c r="E987">
        <v>0</v>
      </c>
      <c r="F987">
        <v>0</v>
      </c>
      <c r="G987">
        <v>1</v>
      </c>
    </row>
    <row r="988" spans="1:7" x14ac:dyDescent="0.2">
      <c r="A988" t="s">
        <v>1984</v>
      </c>
      <c r="B988">
        <v>0</v>
      </c>
      <c r="C988">
        <v>0</v>
      </c>
      <c r="D988">
        <v>0</v>
      </c>
      <c r="E988">
        <v>0</v>
      </c>
      <c r="F988">
        <v>0</v>
      </c>
      <c r="G988">
        <v>0</v>
      </c>
    </row>
    <row r="989" spans="1:7" x14ac:dyDescent="0.2">
      <c r="A989" t="s">
        <v>1990</v>
      </c>
      <c r="B989">
        <v>0</v>
      </c>
      <c r="C989">
        <v>0</v>
      </c>
      <c r="D989">
        <v>0</v>
      </c>
      <c r="E989">
        <v>0</v>
      </c>
      <c r="F989">
        <v>0</v>
      </c>
      <c r="G989">
        <v>0</v>
      </c>
    </row>
    <row r="990" spans="1:7" x14ac:dyDescent="0.2">
      <c r="A990" t="s">
        <v>1996</v>
      </c>
      <c r="B990">
        <v>0</v>
      </c>
      <c r="C990">
        <v>0</v>
      </c>
      <c r="D990">
        <v>0</v>
      </c>
      <c r="E990">
        <v>0</v>
      </c>
      <c r="F990">
        <v>0</v>
      </c>
      <c r="G990">
        <v>0</v>
      </c>
    </row>
    <row r="991" spans="1:7" x14ac:dyDescent="0.2">
      <c r="A991" t="s">
        <v>1998</v>
      </c>
      <c r="B991">
        <v>0</v>
      </c>
      <c r="C991">
        <v>0</v>
      </c>
      <c r="D991">
        <v>0</v>
      </c>
      <c r="E991">
        <v>0</v>
      </c>
      <c r="F991">
        <v>0</v>
      </c>
      <c r="G991">
        <v>0</v>
      </c>
    </row>
    <row r="992" spans="1:7" x14ac:dyDescent="0.2">
      <c r="A992" t="s">
        <v>1999</v>
      </c>
      <c r="B992">
        <v>0</v>
      </c>
      <c r="C992">
        <v>0</v>
      </c>
      <c r="D992">
        <v>0</v>
      </c>
      <c r="E992">
        <v>0</v>
      </c>
      <c r="F992">
        <v>0</v>
      </c>
      <c r="G992">
        <v>0</v>
      </c>
    </row>
    <row r="993" spans="1:7" x14ac:dyDescent="0.2">
      <c r="A993" t="s">
        <v>2004</v>
      </c>
      <c r="B993">
        <v>0</v>
      </c>
      <c r="C993">
        <v>0</v>
      </c>
      <c r="D993">
        <v>0</v>
      </c>
      <c r="E993">
        <v>0</v>
      </c>
      <c r="F993">
        <v>0</v>
      </c>
      <c r="G993">
        <v>0</v>
      </c>
    </row>
    <row r="994" spans="1:7" x14ac:dyDescent="0.2">
      <c r="A994" t="s">
        <v>2009</v>
      </c>
      <c r="B994">
        <v>0</v>
      </c>
      <c r="C994">
        <v>0</v>
      </c>
      <c r="D994">
        <v>0</v>
      </c>
      <c r="E994">
        <v>0</v>
      </c>
      <c r="F994">
        <v>0</v>
      </c>
      <c r="G994">
        <v>0</v>
      </c>
    </row>
    <row r="995" spans="1:7" x14ac:dyDescent="0.2">
      <c r="A995" t="s">
        <v>2014</v>
      </c>
      <c r="B995">
        <v>0</v>
      </c>
      <c r="C995">
        <v>0</v>
      </c>
      <c r="D995">
        <v>0</v>
      </c>
      <c r="E995">
        <v>0</v>
      </c>
      <c r="F995">
        <v>0</v>
      </c>
      <c r="G995">
        <v>0</v>
      </c>
    </row>
    <row r="996" spans="1:7" x14ac:dyDescent="0.2">
      <c r="A996" t="s">
        <v>2019</v>
      </c>
      <c r="B996">
        <v>0</v>
      </c>
      <c r="C996">
        <v>0</v>
      </c>
      <c r="D996">
        <v>0</v>
      </c>
      <c r="E996">
        <v>0</v>
      </c>
      <c r="F996">
        <v>0</v>
      </c>
      <c r="G996">
        <v>0</v>
      </c>
    </row>
    <row r="997" spans="1:7" x14ac:dyDescent="0.2">
      <c r="A997" t="s">
        <v>2023</v>
      </c>
      <c r="B997">
        <v>0</v>
      </c>
      <c r="C997">
        <v>0</v>
      </c>
      <c r="D997">
        <v>0</v>
      </c>
      <c r="E997">
        <v>0</v>
      </c>
      <c r="F997">
        <v>0</v>
      </c>
      <c r="G997">
        <v>0</v>
      </c>
    </row>
    <row r="998" spans="1:7" x14ac:dyDescent="0.2">
      <c r="A998" t="s">
        <v>2026</v>
      </c>
      <c r="B998">
        <v>0</v>
      </c>
      <c r="C998">
        <v>0</v>
      </c>
      <c r="D998">
        <v>0</v>
      </c>
      <c r="E998">
        <v>0</v>
      </c>
      <c r="F998">
        <v>0</v>
      </c>
      <c r="G998">
        <v>0</v>
      </c>
    </row>
    <row r="999" spans="1:7" x14ac:dyDescent="0.2">
      <c r="A999" t="s">
        <v>2030</v>
      </c>
      <c r="B999">
        <v>0</v>
      </c>
      <c r="C999">
        <v>0</v>
      </c>
      <c r="D999">
        <v>0</v>
      </c>
      <c r="E999">
        <v>0</v>
      </c>
      <c r="F999">
        <v>0</v>
      </c>
      <c r="G999">
        <v>0</v>
      </c>
    </row>
    <row r="1000" spans="1:7" x14ac:dyDescent="0.2">
      <c r="A1000" t="s">
        <v>2035</v>
      </c>
      <c r="B1000">
        <v>0</v>
      </c>
      <c r="C1000">
        <v>0</v>
      </c>
      <c r="D1000">
        <v>0</v>
      </c>
      <c r="E1000">
        <v>0</v>
      </c>
      <c r="F1000">
        <v>0</v>
      </c>
      <c r="G1000">
        <v>0</v>
      </c>
    </row>
    <row r="1001" spans="1:7" x14ac:dyDescent="0.2">
      <c r="A1001" t="s">
        <v>2040</v>
      </c>
      <c r="B1001">
        <v>0</v>
      </c>
      <c r="C1001">
        <v>0</v>
      </c>
      <c r="D1001">
        <v>0</v>
      </c>
      <c r="E1001">
        <v>0</v>
      </c>
      <c r="F1001">
        <v>0</v>
      </c>
      <c r="G1001">
        <v>0</v>
      </c>
    </row>
    <row r="1002" spans="1:7" x14ac:dyDescent="0.2">
      <c r="A1002" t="s">
        <v>2045</v>
      </c>
      <c r="B1002">
        <v>0</v>
      </c>
      <c r="C1002">
        <v>0</v>
      </c>
      <c r="D1002">
        <v>0</v>
      </c>
      <c r="E1002">
        <v>0</v>
      </c>
      <c r="F1002">
        <v>0</v>
      </c>
      <c r="G1002">
        <v>0</v>
      </c>
    </row>
    <row r="1003" spans="1:7" x14ac:dyDescent="0.2">
      <c r="A1003" t="s">
        <v>2049</v>
      </c>
      <c r="B1003">
        <v>0</v>
      </c>
      <c r="C1003">
        <v>0</v>
      </c>
      <c r="D1003">
        <v>0</v>
      </c>
      <c r="E1003">
        <v>0</v>
      </c>
      <c r="F1003">
        <v>0</v>
      </c>
      <c r="G1003">
        <v>0</v>
      </c>
    </row>
    <row r="1004" spans="1:7" x14ac:dyDescent="0.2">
      <c r="A1004" t="s">
        <v>2051</v>
      </c>
      <c r="B1004">
        <v>0</v>
      </c>
      <c r="C1004">
        <v>0</v>
      </c>
      <c r="D1004">
        <v>0</v>
      </c>
      <c r="E1004">
        <v>0</v>
      </c>
      <c r="F1004">
        <v>4</v>
      </c>
      <c r="G1004">
        <v>4</v>
      </c>
    </row>
    <row r="1005" spans="1:7" x14ac:dyDescent="0.2">
      <c r="A1005" t="s">
        <v>2057</v>
      </c>
      <c r="B1005">
        <v>0</v>
      </c>
      <c r="C1005">
        <v>0</v>
      </c>
      <c r="D1005">
        <v>0</v>
      </c>
      <c r="E1005">
        <v>0</v>
      </c>
      <c r="F1005">
        <v>7</v>
      </c>
      <c r="G1005">
        <v>8</v>
      </c>
    </row>
    <row r="1006" spans="1:7" x14ac:dyDescent="0.2">
      <c r="A1006" t="s">
        <v>4344</v>
      </c>
      <c r="B1006">
        <v>0</v>
      </c>
      <c r="C1006">
        <v>0</v>
      </c>
      <c r="D1006">
        <v>0</v>
      </c>
      <c r="E1006">
        <v>2</v>
      </c>
      <c r="F1006">
        <v>0</v>
      </c>
      <c r="G1006">
        <v>2</v>
      </c>
    </row>
    <row r="1007" spans="1:7" x14ac:dyDescent="0.2">
      <c r="A1007" t="s">
        <v>4345</v>
      </c>
      <c r="B1007">
        <v>0</v>
      </c>
      <c r="C1007">
        <v>0</v>
      </c>
      <c r="D1007">
        <v>0</v>
      </c>
      <c r="E1007">
        <v>7</v>
      </c>
      <c r="F1007">
        <v>12</v>
      </c>
      <c r="G1007">
        <v>19</v>
      </c>
    </row>
    <row r="1008" spans="1:7" x14ac:dyDescent="0.2">
      <c r="A1008" t="s">
        <v>2074</v>
      </c>
      <c r="B1008">
        <v>0</v>
      </c>
      <c r="C1008">
        <v>0</v>
      </c>
      <c r="D1008">
        <v>0</v>
      </c>
      <c r="E1008">
        <v>0</v>
      </c>
      <c r="F1008">
        <v>0</v>
      </c>
      <c r="G1008">
        <v>0</v>
      </c>
    </row>
    <row r="1009" spans="1:7" x14ac:dyDescent="0.2">
      <c r="A1009" t="s">
        <v>2079</v>
      </c>
      <c r="B1009">
        <v>0</v>
      </c>
      <c r="C1009">
        <v>0</v>
      </c>
      <c r="D1009">
        <v>0</v>
      </c>
      <c r="E1009">
        <v>0</v>
      </c>
      <c r="F1009">
        <v>0</v>
      </c>
      <c r="G1009">
        <v>0</v>
      </c>
    </row>
    <row r="1010" spans="1:7" x14ac:dyDescent="0.2">
      <c r="A1010" t="s">
        <v>2085</v>
      </c>
      <c r="B1010">
        <v>0</v>
      </c>
      <c r="C1010">
        <v>0</v>
      </c>
      <c r="D1010">
        <v>0</v>
      </c>
      <c r="E1010">
        <v>0</v>
      </c>
      <c r="F1010">
        <v>0</v>
      </c>
      <c r="G1010">
        <v>0</v>
      </c>
    </row>
    <row r="1011" spans="1:7" x14ac:dyDescent="0.2">
      <c r="A1011" t="s">
        <v>2091</v>
      </c>
      <c r="B1011">
        <v>0</v>
      </c>
      <c r="C1011">
        <v>0</v>
      </c>
      <c r="D1011">
        <v>0</v>
      </c>
      <c r="E1011">
        <v>0</v>
      </c>
      <c r="F1011">
        <v>0</v>
      </c>
      <c r="G1011">
        <v>0</v>
      </c>
    </row>
    <row r="1012" spans="1:7" x14ac:dyDescent="0.2">
      <c r="A1012" t="s">
        <v>2097</v>
      </c>
      <c r="B1012">
        <v>0</v>
      </c>
      <c r="C1012">
        <v>0</v>
      </c>
      <c r="D1012">
        <v>0</v>
      </c>
      <c r="E1012">
        <v>0</v>
      </c>
      <c r="F1012">
        <v>0</v>
      </c>
      <c r="G1012">
        <v>0</v>
      </c>
    </row>
    <row r="1013" spans="1:7" x14ac:dyDescent="0.2">
      <c r="A1013" t="s">
        <v>2101</v>
      </c>
      <c r="B1013">
        <v>0</v>
      </c>
      <c r="C1013">
        <v>0</v>
      </c>
      <c r="D1013">
        <v>0</v>
      </c>
      <c r="E1013">
        <v>0</v>
      </c>
      <c r="F1013">
        <v>0</v>
      </c>
      <c r="G1013">
        <v>0</v>
      </c>
    </row>
    <row r="1014" spans="1:7" x14ac:dyDescent="0.2">
      <c r="A1014" t="s">
        <v>2104</v>
      </c>
      <c r="B1014">
        <v>0</v>
      </c>
      <c r="C1014">
        <v>0</v>
      </c>
      <c r="D1014">
        <v>0</v>
      </c>
      <c r="E1014">
        <v>0</v>
      </c>
      <c r="F1014">
        <v>0</v>
      </c>
      <c r="G1014">
        <v>0</v>
      </c>
    </row>
    <row r="1015" spans="1:7" x14ac:dyDescent="0.2">
      <c r="A1015" t="s">
        <v>2107</v>
      </c>
      <c r="B1015">
        <v>0</v>
      </c>
      <c r="C1015">
        <v>0</v>
      </c>
      <c r="D1015">
        <v>0</v>
      </c>
      <c r="E1015">
        <v>0</v>
      </c>
      <c r="F1015">
        <v>0</v>
      </c>
      <c r="G1015">
        <v>0</v>
      </c>
    </row>
    <row r="1016" spans="1:7" x14ac:dyDescent="0.2">
      <c r="A1016" t="s">
        <v>2110</v>
      </c>
      <c r="B1016">
        <v>0</v>
      </c>
      <c r="C1016">
        <v>0</v>
      </c>
      <c r="D1016">
        <v>0</v>
      </c>
      <c r="E1016">
        <v>0</v>
      </c>
      <c r="F1016">
        <v>0</v>
      </c>
      <c r="G1016">
        <v>0</v>
      </c>
    </row>
    <row r="1017" spans="1:7" x14ac:dyDescent="0.2">
      <c r="A1017" t="s">
        <v>2113</v>
      </c>
      <c r="B1017">
        <v>0</v>
      </c>
      <c r="C1017">
        <v>0</v>
      </c>
      <c r="D1017">
        <v>0</v>
      </c>
      <c r="E1017">
        <v>0</v>
      </c>
      <c r="F1017">
        <v>0</v>
      </c>
      <c r="G1017">
        <v>0</v>
      </c>
    </row>
    <row r="1018" spans="1:7" x14ac:dyDescent="0.2">
      <c r="A1018" t="s">
        <v>4346</v>
      </c>
      <c r="B1018">
        <v>0</v>
      </c>
      <c r="C1018">
        <v>0</v>
      </c>
      <c r="D1018">
        <v>0</v>
      </c>
      <c r="E1018">
        <v>0</v>
      </c>
      <c r="F1018">
        <v>0</v>
      </c>
      <c r="G1018">
        <v>0</v>
      </c>
    </row>
    <row r="1019" spans="1:7" x14ac:dyDescent="0.2">
      <c r="A1019" t="s">
        <v>4347</v>
      </c>
      <c r="B1019">
        <v>0</v>
      </c>
      <c r="C1019">
        <v>0</v>
      </c>
      <c r="D1019">
        <v>0</v>
      </c>
      <c r="E1019">
        <v>0</v>
      </c>
      <c r="F1019">
        <v>0</v>
      </c>
      <c r="G1019">
        <v>0</v>
      </c>
    </row>
    <row r="1020" spans="1:7" x14ac:dyDescent="0.2">
      <c r="A1020" t="s">
        <v>4348</v>
      </c>
      <c r="B1020">
        <v>0</v>
      </c>
      <c r="C1020">
        <v>0</v>
      </c>
      <c r="D1020">
        <v>0</v>
      </c>
      <c r="E1020">
        <v>0</v>
      </c>
      <c r="F1020">
        <v>0</v>
      </c>
      <c r="G1020">
        <v>0</v>
      </c>
    </row>
    <row r="1021" spans="1:7" x14ac:dyDescent="0.2">
      <c r="A1021" t="s">
        <v>4349</v>
      </c>
      <c r="B1021">
        <v>0</v>
      </c>
      <c r="C1021">
        <v>0</v>
      </c>
      <c r="D1021">
        <v>0</v>
      </c>
      <c r="E1021">
        <v>0</v>
      </c>
      <c r="F1021">
        <v>0</v>
      </c>
      <c r="G1021">
        <v>0</v>
      </c>
    </row>
    <row r="1022" spans="1:7" x14ac:dyDescent="0.2">
      <c r="A1022" t="s">
        <v>4350</v>
      </c>
      <c r="B1022">
        <v>0</v>
      </c>
      <c r="C1022">
        <v>2</v>
      </c>
      <c r="D1022">
        <v>2</v>
      </c>
      <c r="E1022">
        <v>0</v>
      </c>
      <c r="F1022">
        <v>0</v>
      </c>
      <c r="G1022">
        <v>5</v>
      </c>
    </row>
    <row r="1023" spans="1:7" x14ac:dyDescent="0.2">
      <c r="A1023" t="s">
        <v>4351</v>
      </c>
      <c r="B1023">
        <v>0</v>
      </c>
      <c r="C1023">
        <v>0</v>
      </c>
      <c r="D1023">
        <v>0</v>
      </c>
      <c r="E1023">
        <v>0</v>
      </c>
      <c r="F1023">
        <v>0</v>
      </c>
      <c r="G1023">
        <v>0</v>
      </c>
    </row>
    <row r="1024" spans="1:7" x14ac:dyDescent="0.2">
      <c r="A1024" t="s">
        <v>4352</v>
      </c>
      <c r="B1024">
        <v>0</v>
      </c>
      <c r="C1024">
        <v>0</v>
      </c>
      <c r="D1024">
        <v>0</v>
      </c>
      <c r="E1024">
        <v>0</v>
      </c>
      <c r="F1024">
        <v>0</v>
      </c>
      <c r="G1024">
        <v>0</v>
      </c>
    </row>
    <row r="1025" spans="1:7" x14ac:dyDescent="0.2">
      <c r="A1025" t="s">
        <v>4353</v>
      </c>
      <c r="B1025">
        <v>2</v>
      </c>
      <c r="C1025">
        <v>140</v>
      </c>
      <c r="D1025">
        <v>40</v>
      </c>
      <c r="E1025">
        <v>2</v>
      </c>
      <c r="F1025">
        <v>0</v>
      </c>
      <c r="G1025">
        <v>184</v>
      </c>
    </row>
    <row r="1026" spans="1:7" x14ac:dyDescent="0.2">
      <c r="A1026" t="s">
        <v>4354</v>
      </c>
      <c r="B1026">
        <v>6</v>
      </c>
      <c r="C1026">
        <v>84</v>
      </c>
      <c r="D1026">
        <v>25</v>
      </c>
      <c r="E1026">
        <v>1</v>
      </c>
      <c r="F1026">
        <v>0</v>
      </c>
      <c r="G1026">
        <v>115</v>
      </c>
    </row>
    <row r="1027" spans="1:7" x14ac:dyDescent="0.2">
      <c r="A1027" t="s">
        <v>4355</v>
      </c>
      <c r="B1027">
        <v>0</v>
      </c>
      <c r="C1027">
        <v>0</v>
      </c>
      <c r="D1027">
        <v>0</v>
      </c>
      <c r="E1027">
        <v>0</v>
      </c>
      <c r="F1027">
        <v>0</v>
      </c>
      <c r="G1027">
        <v>0</v>
      </c>
    </row>
    <row r="1028" spans="1:7" x14ac:dyDescent="0.2">
      <c r="A1028" t="s">
        <v>4356</v>
      </c>
      <c r="B1028">
        <v>0</v>
      </c>
      <c r="C1028">
        <v>0</v>
      </c>
      <c r="D1028">
        <v>0</v>
      </c>
      <c r="E1028">
        <v>0</v>
      </c>
      <c r="F1028">
        <v>0</v>
      </c>
      <c r="G1028">
        <v>0</v>
      </c>
    </row>
    <row r="1029" spans="1:7" x14ac:dyDescent="0.2">
      <c r="A1029" t="s">
        <v>4357</v>
      </c>
      <c r="B1029">
        <v>0</v>
      </c>
      <c r="C1029">
        <v>1</v>
      </c>
      <c r="D1029">
        <v>0</v>
      </c>
      <c r="E1029">
        <v>0</v>
      </c>
      <c r="F1029">
        <v>0</v>
      </c>
      <c r="G1029">
        <v>1</v>
      </c>
    </row>
    <row r="1030" spans="1:7" x14ac:dyDescent="0.2">
      <c r="A1030" t="s">
        <v>4358</v>
      </c>
      <c r="B1030">
        <v>0</v>
      </c>
      <c r="C1030">
        <v>1</v>
      </c>
      <c r="D1030">
        <v>0</v>
      </c>
      <c r="E1030">
        <v>0</v>
      </c>
      <c r="F1030">
        <v>0</v>
      </c>
      <c r="G1030">
        <v>1</v>
      </c>
    </row>
    <row r="1031" spans="1:7" x14ac:dyDescent="0.2">
      <c r="A1031" t="s">
        <v>4359</v>
      </c>
      <c r="B1031">
        <v>0</v>
      </c>
      <c r="C1031">
        <v>0</v>
      </c>
      <c r="D1031">
        <v>0</v>
      </c>
      <c r="E1031">
        <v>0</v>
      </c>
      <c r="F1031">
        <v>0</v>
      </c>
      <c r="G1031">
        <v>0</v>
      </c>
    </row>
    <row r="1032" spans="1:7" x14ac:dyDescent="0.2">
      <c r="A1032" t="s">
        <v>4360</v>
      </c>
      <c r="B1032">
        <v>0</v>
      </c>
      <c r="C1032">
        <v>0</v>
      </c>
      <c r="D1032">
        <v>0</v>
      </c>
      <c r="E1032">
        <v>12</v>
      </c>
      <c r="F1032">
        <v>0</v>
      </c>
      <c r="G1032">
        <v>12</v>
      </c>
    </row>
    <row r="1033" spans="1:7" x14ac:dyDescent="0.2">
      <c r="A1033" t="s">
        <v>4361</v>
      </c>
      <c r="B1033">
        <v>0</v>
      </c>
      <c r="C1033">
        <v>0</v>
      </c>
      <c r="D1033">
        <v>9</v>
      </c>
      <c r="E1033">
        <v>0</v>
      </c>
      <c r="F1033">
        <v>0</v>
      </c>
      <c r="G1033">
        <v>9</v>
      </c>
    </row>
    <row r="1034" spans="1:7" x14ac:dyDescent="0.2">
      <c r="A1034" t="s">
        <v>4362</v>
      </c>
      <c r="B1034">
        <v>0</v>
      </c>
      <c r="C1034">
        <v>0</v>
      </c>
      <c r="D1034">
        <v>0</v>
      </c>
      <c r="E1034">
        <v>0</v>
      </c>
      <c r="F1034">
        <v>0</v>
      </c>
      <c r="G1034">
        <v>0</v>
      </c>
    </row>
    <row r="1035" spans="1:7" x14ac:dyDescent="0.2">
      <c r="A1035" t="s">
        <v>4363</v>
      </c>
      <c r="B1035">
        <v>0</v>
      </c>
      <c r="C1035">
        <v>0</v>
      </c>
      <c r="D1035">
        <v>0</v>
      </c>
      <c r="E1035">
        <v>0</v>
      </c>
      <c r="F1035">
        <v>0</v>
      </c>
      <c r="G1035">
        <v>0</v>
      </c>
    </row>
    <row r="1036" spans="1:7" x14ac:dyDescent="0.2">
      <c r="A1036" t="s">
        <v>4364</v>
      </c>
      <c r="B1036">
        <v>0</v>
      </c>
      <c r="C1036">
        <v>0</v>
      </c>
      <c r="D1036">
        <v>0</v>
      </c>
      <c r="E1036">
        <v>0</v>
      </c>
      <c r="F1036">
        <v>0</v>
      </c>
      <c r="G1036">
        <v>0</v>
      </c>
    </row>
    <row r="1037" spans="1:7" x14ac:dyDescent="0.2">
      <c r="A1037" t="s">
        <v>4365</v>
      </c>
      <c r="B1037">
        <v>0</v>
      </c>
      <c r="C1037">
        <v>2</v>
      </c>
      <c r="D1037">
        <v>2</v>
      </c>
      <c r="E1037">
        <v>0</v>
      </c>
      <c r="F1037">
        <v>0</v>
      </c>
      <c r="G1037">
        <v>4</v>
      </c>
    </row>
    <row r="1038" spans="1:7" x14ac:dyDescent="0.2">
      <c r="A1038" t="s">
        <v>4366</v>
      </c>
      <c r="B1038">
        <v>0</v>
      </c>
      <c r="C1038">
        <v>0</v>
      </c>
      <c r="D1038">
        <v>0</v>
      </c>
      <c r="E1038">
        <v>0</v>
      </c>
      <c r="F1038">
        <v>0</v>
      </c>
      <c r="G1038">
        <v>0</v>
      </c>
    </row>
    <row r="1039" spans="1:7" x14ac:dyDescent="0.2">
      <c r="A1039" t="s">
        <v>4367</v>
      </c>
      <c r="B1039">
        <v>0</v>
      </c>
      <c r="C1039">
        <v>6</v>
      </c>
      <c r="D1039">
        <v>0</v>
      </c>
      <c r="E1039">
        <v>0</v>
      </c>
      <c r="F1039">
        <v>0</v>
      </c>
      <c r="G1039">
        <v>6</v>
      </c>
    </row>
    <row r="1040" spans="1:7" x14ac:dyDescent="0.2">
      <c r="A1040" t="s">
        <v>4368</v>
      </c>
      <c r="B1040">
        <v>4</v>
      </c>
      <c r="C1040">
        <v>20</v>
      </c>
      <c r="D1040">
        <v>26</v>
      </c>
      <c r="E1040">
        <v>33</v>
      </c>
      <c r="F1040">
        <v>2</v>
      </c>
      <c r="G1040">
        <v>85</v>
      </c>
    </row>
    <row r="1041" spans="1:10" x14ac:dyDescent="0.2">
      <c r="A1041" t="s">
        <v>4369</v>
      </c>
      <c r="B1041">
        <v>9</v>
      </c>
      <c r="C1041">
        <v>72</v>
      </c>
      <c r="D1041">
        <v>176</v>
      </c>
      <c r="E1041">
        <v>1</v>
      </c>
      <c r="F1041">
        <v>0</v>
      </c>
      <c r="G1041">
        <v>259</v>
      </c>
    </row>
    <row r="1042" spans="1:10" x14ac:dyDescent="0.2">
      <c r="A1042" t="s">
        <v>4370</v>
      </c>
      <c r="B1042">
        <v>1</v>
      </c>
      <c r="C1042">
        <v>1</v>
      </c>
      <c r="D1042">
        <v>0</v>
      </c>
      <c r="E1042">
        <v>0</v>
      </c>
      <c r="F1042">
        <v>0</v>
      </c>
      <c r="G1042">
        <v>3</v>
      </c>
    </row>
    <row r="1043" spans="1:10" x14ac:dyDescent="0.2">
      <c r="A1043" t="s">
        <v>4371</v>
      </c>
      <c r="B1043">
        <v>0</v>
      </c>
      <c r="C1043">
        <v>1</v>
      </c>
      <c r="D1043">
        <v>0</v>
      </c>
      <c r="E1043">
        <v>0</v>
      </c>
      <c r="F1043">
        <v>0</v>
      </c>
      <c r="G1043">
        <v>2</v>
      </c>
    </row>
    <row r="1044" spans="1:10" x14ac:dyDescent="0.2">
      <c r="A1044" t="s">
        <v>4372</v>
      </c>
      <c r="B1044">
        <v>0</v>
      </c>
      <c r="C1044">
        <v>0</v>
      </c>
      <c r="D1044">
        <v>0</v>
      </c>
      <c r="E1044">
        <v>0</v>
      </c>
      <c r="F1044">
        <v>0</v>
      </c>
      <c r="G1044">
        <v>0</v>
      </c>
    </row>
    <row r="1045" spans="1:10" x14ac:dyDescent="0.2">
      <c r="A1045" t="s">
        <v>4373</v>
      </c>
      <c r="B1045">
        <v>0</v>
      </c>
      <c r="C1045">
        <v>0</v>
      </c>
      <c r="D1045">
        <v>0</v>
      </c>
      <c r="E1045">
        <v>0</v>
      </c>
      <c r="F1045">
        <v>0</v>
      </c>
      <c r="G1045">
        <v>0</v>
      </c>
    </row>
    <row r="1046" spans="1:10" x14ac:dyDescent="0.2">
      <c r="A1046" t="s">
        <v>4374</v>
      </c>
      <c r="B1046">
        <v>0</v>
      </c>
      <c r="C1046">
        <v>0</v>
      </c>
      <c r="D1046">
        <v>0</v>
      </c>
      <c r="E1046">
        <v>0</v>
      </c>
      <c r="F1046">
        <v>0</v>
      </c>
      <c r="G1046">
        <v>0</v>
      </c>
    </row>
    <row r="1047" spans="1:10" x14ac:dyDescent="0.2">
      <c r="A1047" t="s">
        <v>4375</v>
      </c>
      <c r="B1047">
        <v>0</v>
      </c>
      <c r="C1047">
        <v>0</v>
      </c>
      <c r="D1047">
        <v>0</v>
      </c>
      <c r="E1047">
        <v>0</v>
      </c>
      <c r="F1047">
        <v>0</v>
      </c>
      <c r="G1047">
        <v>0</v>
      </c>
    </row>
    <row r="1048" spans="1:10" x14ac:dyDescent="0.2">
      <c r="A1048" t="s">
        <v>4376</v>
      </c>
      <c r="B1048">
        <v>0</v>
      </c>
      <c r="C1048">
        <v>0</v>
      </c>
      <c r="D1048">
        <v>0</v>
      </c>
      <c r="E1048">
        <v>0</v>
      </c>
      <c r="F1048">
        <v>0</v>
      </c>
      <c r="G1048">
        <v>0</v>
      </c>
    </row>
    <row r="1049" spans="1:10" x14ac:dyDescent="0.2">
      <c r="A1049" t="s">
        <v>4377</v>
      </c>
      <c r="B1049">
        <v>0</v>
      </c>
      <c r="C1049">
        <v>0</v>
      </c>
      <c r="D1049">
        <v>0</v>
      </c>
      <c r="E1049">
        <v>0</v>
      </c>
      <c r="F1049">
        <v>0</v>
      </c>
      <c r="G1049">
        <v>0</v>
      </c>
    </row>
    <row r="1050" spans="1:10" x14ac:dyDescent="0.2">
      <c r="A1050" t="s">
        <v>2318</v>
      </c>
      <c r="B1050" t="s">
        <v>2319</v>
      </c>
      <c r="C1050" t="s">
        <v>2319</v>
      </c>
      <c r="D1050" t="s">
        <v>2319</v>
      </c>
      <c r="E1050" t="s">
        <v>2319</v>
      </c>
      <c r="F1050" t="s">
        <v>2319</v>
      </c>
      <c r="G1050" t="s">
        <v>2319</v>
      </c>
    </row>
    <row r="1051" spans="1:10" x14ac:dyDescent="0.2">
      <c r="A1051" t="s">
        <v>4248</v>
      </c>
    </row>
    <row r="1052" spans="1:10" x14ac:dyDescent="0.2">
      <c r="A1052" t="s">
        <v>4250</v>
      </c>
      <c r="C1052" t="s">
        <v>4251</v>
      </c>
      <c r="G1052" t="s">
        <v>7531</v>
      </c>
      <c r="J1052"/>
    </row>
    <row r="1053" spans="1:10" x14ac:dyDescent="0.2">
      <c r="A1053" t="s">
        <v>4925</v>
      </c>
      <c r="G1053" t="s">
        <v>7537</v>
      </c>
      <c r="J1053"/>
    </row>
    <row r="1054" spans="1:10" x14ac:dyDescent="0.2">
      <c r="A1054" t="s">
        <v>7530</v>
      </c>
      <c r="J1054"/>
    </row>
    <row r="1055" spans="1:10" x14ac:dyDescent="0.2">
      <c r="A1055" t="s">
        <v>4942</v>
      </c>
      <c r="J1055"/>
    </row>
    <row r="1056" spans="1:10" x14ac:dyDescent="0.2">
      <c r="J1056"/>
    </row>
    <row r="1057" spans="1:10" x14ac:dyDescent="0.2">
      <c r="A1057" t="s">
        <v>4259</v>
      </c>
      <c r="J1057"/>
    </row>
    <row r="1058" spans="1:10" x14ac:dyDescent="0.2">
      <c r="A1058" t="s">
        <v>2318</v>
      </c>
      <c r="B1058" t="s">
        <v>2319</v>
      </c>
      <c r="C1058" t="s">
        <v>2319</v>
      </c>
      <c r="D1058" t="s">
        <v>2319</v>
      </c>
      <c r="E1058" t="s">
        <v>2319</v>
      </c>
      <c r="F1058" t="s">
        <v>2319</v>
      </c>
      <c r="G1058" t="s">
        <v>2319</v>
      </c>
    </row>
    <row r="1059" spans="1:10" x14ac:dyDescent="0.2">
      <c r="A1059" t="s">
        <v>174</v>
      </c>
      <c r="B1059" t="s">
        <v>4945</v>
      </c>
      <c r="C1059" t="s">
        <v>4946</v>
      </c>
      <c r="D1059" t="s">
        <v>4947</v>
      </c>
      <c r="E1059" t="s">
        <v>4948</v>
      </c>
      <c r="F1059" t="s">
        <v>4949</v>
      </c>
    </row>
    <row r="1060" spans="1:10" x14ac:dyDescent="0.2">
      <c r="A1060" t="s">
        <v>126</v>
      </c>
      <c r="B1060" t="s">
        <v>4262</v>
      </c>
      <c r="C1060" t="s">
        <v>4263</v>
      </c>
      <c r="D1060" t="s">
        <v>4264</v>
      </c>
      <c r="E1060" t="s">
        <v>2308</v>
      </c>
      <c r="F1060" t="s">
        <v>615</v>
      </c>
      <c r="G1060" t="s">
        <v>236</v>
      </c>
    </row>
    <row r="1061" spans="1:10" x14ac:dyDescent="0.2">
      <c r="A1061" t="s">
        <v>2318</v>
      </c>
      <c r="B1061" t="s">
        <v>2319</v>
      </c>
      <c r="C1061" t="s">
        <v>2319</v>
      </c>
      <c r="D1061" t="s">
        <v>2319</v>
      </c>
      <c r="E1061" t="s">
        <v>2319</v>
      </c>
      <c r="F1061" t="s">
        <v>2319</v>
      </c>
      <c r="G1061" t="s">
        <v>2319</v>
      </c>
    </row>
    <row r="1062" spans="1:10" x14ac:dyDescent="0.2">
      <c r="A1062" t="s">
        <v>4265</v>
      </c>
      <c r="B1062">
        <v>0</v>
      </c>
      <c r="C1062">
        <v>0</v>
      </c>
      <c r="D1062">
        <v>0</v>
      </c>
      <c r="E1062">
        <v>0</v>
      </c>
      <c r="F1062">
        <v>0</v>
      </c>
      <c r="G1062">
        <v>0</v>
      </c>
    </row>
    <row r="1063" spans="1:10" x14ac:dyDescent="0.2">
      <c r="A1063" t="s">
        <v>4266</v>
      </c>
      <c r="B1063">
        <v>0</v>
      </c>
      <c r="C1063">
        <v>0</v>
      </c>
      <c r="D1063">
        <v>0</v>
      </c>
      <c r="E1063">
        <v>0</v>
      </c>
      <c r="F1063">
        <v>0</v>
      </c>
      <c r="G1063">
        <v>0</v>
      </c>
    </row>
    <row r="1064" spans="1:10" x14ac:dyDescent="0.2">
      <c r="A1064" t="s">
        <v>4267</v>
      </c>
      <c r="B1064">
        <v>0</v>
      </c>
      <c r="C1064">
        <v>0</v>
      </c>
      <c r="D1064">
        <v>0</v>
      </c>
      <c r="E1064">
        <v>0</v>
      </c>
      <c r="F1064">
        <v>0</v>
      </c>
      <c r="G1064">
        <v>0</v>
      </c>
    </row>
    <row r="1065" spans="1:10" x14ac:dyDescent="0.2">
      <c r="A1065" t="s">
        <v>4268</v>
      </c>
      <c r="B1065">
        <v>0</v>
      </c>
      <c r="C1065">
        <v>0</v>
      </c>
      <c r="D1065">
        <v>0</v>
      </c>
      <c r="E1065">
        <v>0</v>
      </c>
      <c r="F1065">
        <v>0</v>
      </c>
      <c r="G1065">
        <v>0</v>
      </c>
    </row>
    <row r="1066" spans="1:10" x14ac:dyDescent="0.2">
      <c r="A1066" t="s">
        <v>4269</v>
      </c>
      <c r="B1066">
        <v>0</v>
      </c>
      <c r="C1066">
        <v>0</v>
      </c>
      <c r="D1066">
        <v>0</v>
      </c>
      <c r="E1066">
        <v>0</v>
      </c>
      <c r="F1066">
        <v>0</v>
      </c>
      <c r="G1066">
        <v>0</v>
      </c>
    </row>
    <row r="1067" spans="1:10" x14ac:dyDescent="0.2">
      <c r="A1067" t="s">
        <v>4270</v>
      </c>
      <c r="B1067">
        <v>0</v>
      </c>
      <c r="C1067">
        <v>0</v>
      </c>
      <c r="D1067">
        <v>0</v>
      </c>
      <c r="E1067">
        <v>0</v>
      </c>
      <c r="F1067">
        <v>0</v>
      </c>
      <c r="G1067">
        <v>0</v>
      </c>
    </row>
    <row r="1068" spans="1:10" x14ac:dyDescent="0.2">
      <c r="A1068" t="s">
        <v>4271</v>
      </c>
      <c r="B1068">
        <v>0</v>
      </c>
      <c r="C1068">
        <v>0</v>
      </c>
      <c r="D1068">
        <v>0</v>
      </c>
      <c r="E1068">
        <v>0</v>
      </c>
      <c r="F1068">
        <v>0</v>
      </c>
      <c r="G1068">
        <v>0</v>
      </c>
    </row>
    <row r="1069" spans="1:10" x14ac:dyDescent="0.2">
      <c r="A1069" t="s">
        <v>4272</v>
      </c>
      <c r="B1069">
        <v>0</v>
      </c>
      <c r="C1069">
        <v>0</v>
      </c>
      <c r="D1069">
        <v>0</v>
      </c>
      <c r="E1069">
        <v>0</v>
      </c>
      <c r="F1069">
        <v>0</v>
      </c>
      <c r="G1069">
        <v>0</v>
      </c>
    </row>
    <row r="1070" spans="1:10" x14ac:dyDescent="0.2">
      <c r="A1070" t="s">
        <v>4273</v>
      </c>
      <c r="B1070">
        <v>0</v>
      </c>
      <c r="C1070">
        <v>0</v>
      </c>
      <c r="D1070">
        <v>0</v>
      </c>
      <c r="E1070">
        <v>0</v>
      </c>
      <c r="F1070">
        <v>0</v>
      </c>
      <c r="G1070">
        <v>0</v>
      </c>
    </row>
    <row r="1071" spans="1:10" x14ac:dyDescent="0.2">
      <c r="A1071" t="s">
        <v>4274</v>
      </c>
      <c r="B1071">
        <v>0</v>
      </c>
      <c r="C1071">
        <v>0</v>
      </c>
      <c r="D1071">
        <v>0</v>
      </c>
      <c r="E1071">
        <v>0</v>
      </c>
      <c r="F1071">
        <v>0</v>
      </c>
      <c r="G1071">
        <v>0</v>
      </c>
    </row>
    <row r="1072" spans="1:10" x14ac:dyDescent="0.2">
      <c r="A1072" t="s">
        <v>4275</v>
      </c>
      <c r="B1072">
        <v>0</v>
      </c>
      <c r="C1072">
        <v>0</v>
      </c>
      <c r="D1072">
        <v>0</v>
      </c>
      <c r="E1072">
        <v>0</v>
      </c>
      <c r="F1072">
        <v>0</v>
      </c>
      <c r="G1072">
        <v>0</v>
      </c>
    </row>
    <row r="1073" spans="1:7" x14ac:dyDescent="0.2">
      <c r="A1073" t="s">
        <v>4276</v>
      </c>
      <c r="B1073">
        <v>0</v>
      </c>
      <c r="C1073">
        <v>0</v>
      </c>
      <c r="D1073">
        <v>0</v>
      </c>
      <c r="E1073">
        <v>0</v>
      </c>
      <c r="F1073">
        <v>0</v>
      </c>
      <c r="G1073">
        <v>0</v>
      </c>
    </row>
    <row r="1074" spans="1:7" x14ac:dyDescent="0.2">
      <c r="A1074" t="s">
        <v>4277</v>
      </c>
      <c r="B1074">
        <v>0</v>
      </c>
      <c r="C1074">
        <v>0</v>
      </c>
      <c r="D1074">
        <v>0</v>
      </c>
      <c r="E1074">
        <v>0</v>
      </c>
      <c r="F1074">
        <v>0</v>
      </c>
      <c r="G1074">
        <v>0</v>
      </c>
    </row>
    <row r="1075" spans="1:7" x14ac:dyDescent="0.2">
      <c r="A1075" t="s">
        <v>4278</v>
      </c>
      <c r="B1075">
        <v>0</v>
      </c>
      <c r="C1075">
        <v>0</v>
      </c>
      <c r="D1075">
        <v>0</v>
      </c>
      <c r="E1075">
        <v>0</v>
      </c>
      <c r="F1075">
        <v>0</v>
      </c>
      <c r="G1075">
        <v>0</v>
      </c>
    </row>
    <row r="1076" spans="1:7" x14ac:dyDescent="0.2">
      <c r="A1076" t="s">
        <v>4279</v>
      </c>
      <c r="B1076">
        <v>0</v>
      </c>
      <c r="C1076">
        <v>0</v>
      </c>
      <c r="D1076">
        <v>0</v>
      </c>
      <c r="E1076">
        <v>0</v>
      </c>
      <c r="F1076">
        <v>0</v>
      </c>
      <c r="G1076">
        <v>0</v>
      </c>
    </row>
    <row r="1077" spans="1:7" x14ac:dyDescent="0.2">
      <c r="A1077" t="s">
        <v>4280</v>
      </c>
      <c r="B1077">
        <v>0</v>
      </c>
      <c r="C1077">
        <v>0</v>
      </c>
      <c r="D1077">
        <v>0</v>
      </c>
      <c r="E1077">
        <v>0</v>
      </c>
      <c r="F1077">
        <v>0</v>
      </c>
      <c r="G1077">
        <v>0</v>
      </c>
    </row>
    <row r="1078" spans="1:7" x14ac:dyDescent="0.2">
      <c r="A1078" t="s">
        <v>4281</v>
      </c>
      <c r="B1078">
        <v>15</v>
      </c>
      <c r="C1078">
        <v>9</v>
      </c>
      <c r="D1078">
        <v>15</v>
      </c>
      <c r="E1078">
        <v>0</v>
      </c>
      <c r="F1078">
        <v>0</v>
      </c>
      <c r="G1078">
        <v>40</v>
      </c>
    </row>
    <row r="1079" spans="1:7" x14ac:dyDescent="0.2">
      <c r="A1079" t="s">
        <v>4282</v>
      </c>
      <c r="B1079">
        <v>11</v>
      </c>
      <c r="C1079">
        <v>8</v>
      </c>
      <c r="D1079">
        <v>4</v>
      </c>
      <c r="E1079">
        <v>0</v>
      </c>
      <c r="F1079">
        <v>0</v>
      </c>
      <c r="G1079">
        <v>23</v>
      </c>
    </row>
    <row r="1080" spans="1:7" x14ac:dyDescent="0.2">
      <c r="A1080" t="s">
        <v>4283</v>
      </c>
      <c r="B1080">
        <v>2</v>
      </c>
      <c r="C1080">
        <v>2</v>
      </c>
      <c r="D1080">
        <v>2</v>
      </c>
      <c r="E1080">
        <v>0</v>
      </c>
      <c r="F1080">
        <v>0</v>
      </c>
      <c r="G1080">
        <v>5</v>
      </c>
    </row>
    <row r="1081" spans="1:7" x14ac:dyDescent="0.2">
      <c r="A1081" t="s">
        <v>4284</v>
      </c>
      <c r="B1081">
        <v>0</v>
      </c>
      <c r="C1081">
        <v>0</v>
      </c>
      <c r="D1081">
        <v>0</v>
      </c>
      <c r="E1081">
        <v>0</v>
      </c>
      <c r="F1081">
        <v>0</v>
      </c>
      <c r="G1081">
        <v>0</v>
      </c>
    </row>
    <row r="1082" spans="1:7" x14ac:dyDescent="0.2">
      <c r="A1082" t="s">
        <v>4285</v>
      </c>
      <c r="B1082">
        <v>10</v>
      </c>
      <c r="C1082">
        <v>13</v>
      </c>
      <c r="D1082">
        <v>7</v>
      </c>
      <c r="E1082">
        <v>16</v>
      </c>
      <c r="F1082">
        <v>0</v>
      </c>
      <c r="G1082">
        <v>45</v>
      </c>
    </row>
    <row r="1083" spans="1:7" x14ac:dyDescent="0.2">
      <c r="A1083" t="s">
        <v>4286</v>
      </c>
      <c r="B1083">
        <v>7</v>
      </c>
      <c r="C1083">
        <v>1</v>
      </c>
      <c r="D1083">
        <v>0</v>
      </c>
      <c r="E1083">
        <v>0</v>
      </c>
      <c r="F1083">
        <v>0</v>
      </c>
      <c r="G1083">
        <v>8</v>
      </c>
    </row>
    <row r="1084" spans="1:7" x14ac:dyDescent="0.2">
      <c r="A1084" t="s">
        <v>4287</v>
      </c>
      <c r="B1084">
        <v>0</v>
      </c>
      <c r="C1084">
        <v>0</v>
      </c>
      <c r="D1084">
        <v>0</v>
      </c>
      <c r="E1084">
        <v>1</v>
      </c>
      <c r="F1084">
        <v>0</v>
      </c>
      <c r="G1084">
        <v>1</v>
      </c>
    </row>
    <row r="1085" spans="1:7" x14ac:dyDescent="0.2">
      <c r="A1085" t="s">
        <v>4288</v>
      </c>
      <c r="B1085">
        <v>0</v>
      </c>
      <c r="C1085">
        <v>0</v>
      </c>
      <c r="D1085">
        <v>0</v>
      </c>
      <c r="E1085">
        <v>0</v>
      </c>
      <c r="F1085">
        <v>0</v>
      </c>
      <c r="G1085">
        <v>0</v>
      </c>
    </row>
    <row r="1086" spans="1:7" x14ac:dyDescent="0.2">
      <c r="A1086" t="s">
        <v>4289</v>
      </c>
      <c r="B1086">
        <v>0</v>
      </c>
      <c r="C1086">
        <v>0</v>
      </c>
      <c r="D1086">
        <v>0</v>
      </c>
      <c r="E1086">
        <v>0</v>
      </c>
      <c r="F1086">
        <v>0</v>
      </c>
      <c r="G1086">
        <v>0</v>
      </c>
    </row>
    <row r="1087" spans="1:7" x14ac:dyDescent="0.2">
      <c r="A1087" t="s">
        <v>4290</v>
      </c>
      <c r="B1087">
        <v>0</v>
      </c>
      <c r="C1087">
        <v>0</v>
      </c>
      <c r="D1087">
        <v>0</v>
      </c>
      <c r="E1087">
        <v>0</v>
      </c>
      <c r="F1087">
        <v>0</v>
      </c>
      <c r="G1087">
        <v>0</v>
      </c>
    </row>
    <row r="1088" spans="1:7" x14ac:dyDescent="0.2">
      <c r="A1088" t="s">
        <v>4291</v>
      </c>
      <c r="B1088">
        <v>0</v>
      </c>
      <c r="C1088">
        <v>0</v>
      </c>
      <c r="D1088">
        <v>0</v>
      </c>
      <c r="E1088">
        <v>0</v>
      </c>
      <c r="F1088">
        <v>0</v>
      </c>
      <c r="G1088">
        <v>0</v>
      </c>
    </row>
    <row r="1089" spans="1:7" x14ac:dyDescent="0.2">
      <c r="A1089" t="s">
        <v>4292</v>
      </c>
      <c r="B1089">
        <v>0</v>
      </c>
      <c r="C1089">
        <v>0</v>
      </c>
      <c r="D1089">
        <v>0</v>
      </c>
      <c r="E1089">
        <v>0</v>
      </c>
      <c r="F1089">
        <v>0</v>
      </c>
      <c r="G1089">
        <v>0</v>
      </c>
    </row>
    <row r="1090" spans="1:7" x14ac:dyDescent="0.2">
      <c r="A1090" t="s">
        <v>4293</v>
      </c>
      <c r="B1090">
        <v>0</v>
      </c>
      <c r="C1090">
        <v>0</v>
      </c>
      <c r="D1090">
        <v>0</v>
      </c>
      <c r="E1090">
        <v>0</v>
      </c>
      <c r="F1090">
        <v>0</v>
      </c>
      <c r="G1090">
        <v>0</v>
      </c>
    </row>
    <row r="1091" spans="1:7" x14ac:dyDescent="0.2">
      <c r="A1091" t="s">
        <v>4294</v>
      </c>
      <c r="B1091">
        <v>0</v>
      </c>
      <c r="C1091">
        <v>0</v>
      </c>
      <c r="D1091">
        <v>0</v>
      </c>
      <c r="E1091">
        <v>0</v>
      </c>
      <c r="F1091">
        <v>0</v>
      </c>
      <c r="G1091">
        <v>0</v>
      </c>
    </row>
    <row r="1092" spans="1:7" x14ac:dyDescent="0.2">
      <c r="A1092" t="s">
        <v>4295</v>
      </c>
      <c r="B1092">
        <v>0</v>
      </c>
      <c r="C1092">
        <v>0</v>
      </c>
      <c r="D1092">
        <v>0</v>
      </c>
      <c r="E1092">
        <v>0</v>
      </c>
      <c r="F1092">
        <v>0</v>
      </c>
      <c r="G1092">
        <v>0</v>
      </c>
    </row>
    <row r="1093" spans="1:7" x14ac:dyDescent="0.2">
      <c r="A1093" t="s">
        <v>4296</v>
      </c>
      <c r="B1093">
        <v>0</v>
      </c>
      <c r="C1093">
        <v>0</v>
      </c>
      <c r="D1093">
        <v>0</v>
      </c>
      <c r="E1093">
        <v>0</v>
      </c>
      <c r="F1093">
        <v>0</v>
      </c>
      <c r="G1093">
        <v>0</v>
      </c>
    </row>
    <row r="1094" spans="1:7" x14ac:dyDescent="0.2">
      <c r="A1094" t="s">
        <v>4297</v>
      </c>
      <c r="B1094">
        <v>0</v>
      </c>
      <c r="C1094">
        <v>11</v>
      </c>
      <c r="D1094">
        <v>14</v>
      </c>
      <c r="E1094">
        <v>0</v>
      </c>
      <c r="F1094">
        <v>0</v>
      </c>
      <c r="G1094">
        <v>25</v>
      </c>
    </row>
    <row r="1095" spans="1:7" x14ac:dyDescent="0.2">
      <c r="A1095" t="s">
        <v>4298</v>
      </c>
      <c r="B1095">
        <v>14</v>
      </c>
      <c r="C1095">
        <v>21</v>
      </c>
      <c r="D1095">
        <v>3</v>
      </c>
      <c r="E1095">
        <v>2</v>
      </c>
      <c r="F1095">
        <v>0</v>
      </c>
      <c r="G1095">
        <v>40</v>
      </c>
    </row>
    <row r="1096" spans="1:7" x14ac:dyDescent="0.2">
      <c r="A1096" t="s">
        <v>4299</v>
      </c>
      <c r="B1096">
        <v>31</v>
      </c>
      <c r="C1096">
        <v>37</v>
      </c>
      <c r="D1096">
        <v>27</v>
      </c>
      <c r="E1096">
        <v>9</v>
      </c>
      <c r="F1096">
        <v>0</v>
      </c>
      <c r="G1096">
        <v>103</v>
      </c>
    </row>
    <row r="1097" spans="1:7" x14ac:dyDescent="0.2">
      <c r="A1097" t="s">
        <v>4300</v>
      </c>
      <c r="B1097">
        <v>1</v>
      </c>
      <c r="C1097">
        <v>2</v>
      </c>
      <c r="D1097">
        <v>2</v>
      </c>
      <c r="E1097">
        <v>1</v>
      </c>
      <c r="F1097">
        <v>0</v>
      </c>
      <c r="G1097">
        <v>6</v>
      </c>
    </row>
    <row r="1098" spans="1:7" x14ac:dyDescent="0.2">
      <c r="A1098" t="s">
        <v>4301</v>
      </c>
      <c r="B1098">
        <v>0</v>
      </c>
      <c r="C1098">
        <v>52</v>
      </c>
      <c r="D1098">
        <v>52</v>
      </c>
      <c r="E1098">
        <v>19</v>
      </c>
      <c r="F1098">
        <v>0</v>
      </c>
      <c r="G1098">
        <v>123</v>
      </c>
    </row>
    <row r="1099" spans="1:7" x14ac:dyDescent="0.2">
      <c r="A1099" t="s">
        <v>4302</v>
      </c>
      <c r="B1099">
        <v>4</v>
      </c>
      <c r="C1099">
        <v>15</v>
      </c>
      <c r="D1099">
        <v>72</v>
      </c>
      <c r="E1099">
        <v>23</v>
      </c>
      <c r="F1099">
        <v>0</v>
      </c>
      <c r="G1099">
        <v>114</v>
      </c>
    </row>
    <row r="1100" spans="1:7" x14ac:dyDescent="0.2">
      <c r="A1100" t="s">
        <v>4303</v>
      </c>
      <c r="B1100">
        <v>4</v>
      </c>
      <c r="C1100">
        <v>43</v>
      </c>
      <c r="D1100">
        <v>291</v>
      </c>
      <c r="E1100">
        <v>58</v>
      </c>
      <c r="F1100">
        <v>0</v>
      </c>
      <c r="G1100">
        <v>397</v>
      </c>
    </row>
    <row r="1101" spans="1:7" x14ac:dyDescent="0.2">
      <c r="A1101" t="s">
        <v>4304</v>
      </c>
      <c r="B1101">
        <v>3</v>
      </c>
      <c r="C1101">
        <v>8</v>
      </c>
      <c r="D1101">
        <v>17</v>
      </c>
      <c r="E1101">
        <v>13</v>
      </c>
      <c r="F1101">
        <v>0</v>
      </c>
      <c r="G1101">
        <v>41</v>
      </c>
    </row>
    <row r="1102" spans="1:7" x14ac:dyDescent="0.2">
      <c r="A1102" t="s">
        <v>4305</v>
      </c>
      <c r="B1102">
        <v>215</v>
      </c>
      <c r="C1102">
        <v>86</v>
      </c>
      <c r="D1102">
        <v>117</v>
      </c>
      <c r="E1102">
        <v>40</v>
      </c>
      <c r="F1102">
        <v>0</v>
      </c>
      <c r="G1102">
        <v>459</v>
      </c>
    </row>
    <row r="1103" spans="1:7" x14ac:dyDescent="0.2">
      <c r="A1103" t="s">
        <v>4306</v>
      </c>
      <c r="B1103">
        <v>3</v>
      </c>
      <c r="C1103">
        <v>29</v>
      </c>
      <c r="D1103">
        <v>7</v>
      </c>
      <c r="E1103">
        <v>6</v>
      </c>
      <c r="F1103">
        <v>0</v>
      </c>
      <c r="G1103">
        <v>45</v>
      </c>
    </row>
    <row r="1104" spans="1:7" x14ac:dyDescent="0.2">
      <c r="A1104" t="s">
        <v>4307</v>
      </c>
      <c r="B1104">
        <v>21</v>
      </c>
      <c r="C1104">
        <v>271</v>
      </c>
      <c r="D1104">
        <v>916</v>
      </c>
      <c r="E1104">
        <v>291</v>
      </c>
      <c r="F1104">
        <v>0</v>
      </c>
      <c r="G1104">
        <v>1499</v>
      </c>
    </row>
    <row r="1105" spans="1:7" x14ac:dyDescent="0.2">
      <c r="A1105" t="s">
        <v>4308</v>
      </c>
      <c r="B1105">
        <v>0</v>
      </c>
      <c r="C1105">
        <v>0</v>
      </c>
      <c r="D1105">
        <v>40</v>
      </c>
      <c r="E1105">
        <v>13</v>
      </c>
      <c r="F1105">
        <v>0</v>
      </c>
      <c r="G1105">
        <v>54</v>
      </c>
    </row>
    <row r="1106" spans="1:7" x14ac:dyDescent="0.2">
      <c r="A1106" t="s">
        <v>4309</v>
      </c>
      <c r="B1106">
        <v>0</v>
      </c>
      <c r="C1106">
        <v>0</v>
      </c>
      <c r="D1106">
        <v>0</v>
      </c>
      <c r="E1106">
        <v>0</v>
      </c>
      <c r="F1106">
        <v>0</v>
      </c>
      <c r="G1106">
        <v>0</v>
      </c>
    </row>
    <row r="1107" spans="1:7" x14ac:dyDescent="0.2">
      <c r="A1107" t="s">
        <v>4310</v>
      </c>
      <c r="B1107">
        <v>0</v>
      </c>
      <c r="C1107">
        <v>0</v>
      </c>
      <c r="D1107">
        <v>0</v>
      </c>
      <c r="E1107">
        <v>0</v>
      </c>
      <c r="F1107">
        <v>0</v>
      </c>
      <c r="G1107">
        <v>0</v>
      </c>
    </row>
    <row r="1108" spans="1:7" x14ac:dyDescent="0.2">
      <c r="A1108" t="s">
        <v>4311</v>
      </c>
      <c r="B1108">
        <v>0</v>
      </c>
      <c r="C1108">
        <v>0</v>
      </c>
      <c r="D1108">
        <v>0</v>
      </c>
      <c r="E1108">
        <v>0</v>
      </c>
      <c r="F1108">
        <v>0</v>
      </c>
      <c r="G1108">
        <v>0</v>
      </c>
    </row>
    <row r="1109" spans="1:7" x14ac:dyDescent="0.2">
      <c r="A1109" t="s">
        <v>4312</v>
      </c>
      <c r="B1109">
        <v>0</v>
      </c>
      <c r="C1109">
        <v>0</v>
      </c>
      <c r="D1109">
        <v>0</v>
      </c>
      <c r="E1109">
        <v>0</v>
      </c>
      <c r="F1109">
        <v>0</v>
      </c>
      <c r="G1109">
        <v>0</v>
      </c>
    </row>
    <row r="1110" spans="1:7" x14ac:dyDescent="0.2">
      <c r="A1110" t="s">
        <v>4313</v>
      </c>
      <c r="B1110">
        <v>0</v>
      </c>
      <c r="C1110">
        <v>0</v>
      </c>
      <c r="D1110">
        <v>0</v>
      </c>
      <c r="E1110">
        <v>0</v>
      </c>
      <c r="F1110">
        <v>0</v>
      </c>
      <c r="G1110">
        <v>0</v>
      </c>
    </row>
    <row r="1111" spans="1:7" x14ac:dyDescent="0.2">
      <c r="A1111" t="s">
        <v>4314</v>
      </c>
      <c r="B1111">
        <v>0</v>
      </c>
      <c r="C1111">
        <v>0</v>
      </c>
      <c r="D1111">
        <v>0</v>
      </c>
      <c r="E1111">
        <v>0</v>
      </c>
      <c r="F1111">
        <v>0</v>
      </c>
      <c r="G1111">
        <v>0</v>
      </c>
    </row>
    <row r="1112" spans="1:7" x14ac:dyDescent="0.2">
      <c r="A1112" t="s">
        <v>4315</v>
      </c>
      <c r="B1112">
        <v>0</v>
      </c>
      <c r="C1112">
        <v>0</v>
      </c>
      <c r="D1112">
        <v>0</v>
      </c>
      <c r="E1112">
        <v>0</v>
      </c>
      <c r="F1112">
        <v>0</v>
      </c>
      <c r="G1112">
        <v>0</v>
      </c>
    </row>
    <row r="1113" spans="1:7" x14ac:dyDescent="0.2">
      <c r="A1113" t="s">
        <v>4316</v>
      </c>
      <c r="B1113">
        <v>0</v>
      </c>
      <c r="C1113">
        <v>0</v>
      </c>
      <c r="D1113">
        <v>0</v>
      </c>
      <c r="E1113">
        <v>0</v>
      </c>
      <c r="F1113">
        <v>0</v>
      </c>
      <c r="G1113">
        <v>0</v>
      </c>
    </row>
    <row r="1114" spans="1:7" x14ac:dyDescent="0.2">
      <c r="A1114" t="s">
        <v>4317</v>
      </c>
      <c r="B1114">
        <v>0</v>
      </c>
      <c r="C1114">
        <v>0</v>
      </c>
      <c r="D1114">
        <v>0</v>
      </c>
      <c r="E1114">
        <v>0</v>
      </c>
      <c r="F1114">
        <v>0</v>
      </c>
      <c r="G1114">
        <v>0</v>
      </c>
    </row>
    <row r="1115" spans="1:7" x14ac:dyDescent="0.2">
      <c r="A1115" t="s">
        <v>4318</v>
      </c>
      <c r="B1115">
        <v>0</v>
      </c>
      <c r="C1115">
        <v>0</v>
      </c>
      <c r="D1115">
        <v>0</v>
      </c>
      <c r="E1115">
        <v>0</v>
      </c>
      <c r="F1115">
        <v>0</v>
      </c>
      <c r="G1115">
        <v>0</v>
      </c>
    </row>
    <row r="1116" spans="1:7" x14ac:dyDescent="0.2">
      <c r="A1116" t="s">
        <v>4319</v>
      </c>
      <c r="B1116">
        <v>0</v>
      </c>
      <c r="C1116">
        <v>0</v>
      </c>
      <c r="D1116">
        <v>0</v>
      </c>
      <c r="E1116">
        <v>0</v>
      </c>
      <c r="F1116">
        <v>0</v>
      </c>
      <c r="G1116">
        <v>0</v>
      </c>
    </row>
    <row r="1117" spans="1:7" x14ac:dyDescent="0.2">
      <c r="A1117" t="s">
        <v>4320</v>
      </c>
      <c r="B1117">
        <v>0</v>
      </c>
      <c r="C1117">
        <v>0</v>
      </c>
      <c r="D1117">
        <v>0</v>
      </c>
      <c r="E1117">
        <v>0</v>
      </c>
      <c r="F1117">
        <v>0</v>
      </c>
      <c r="G1117">
        <v>0</v>
      </c>
    </row>
    <row r="1118" spans="1:7" x14ac:dyDescent="0.2">
      <c r="A1118" t="s">
        <v>4321</v>
      </c>
      <c r="B1118">
        <v>0</v>
      </c>
      <c r="C1118">
        <v>0</v>
      </c>
      <c r="D1118">
        <v>0</v>
      </c>
      <c r="E1118">
        <v>0</v>
      </c>
      <c r="F1118">
        <v>0</v>
      </c>
      <c r="G1118">
        <v>0</v>
      </c>
    </row>
    <row r="1119" spans="1:7" x14ac:dyDescent="0.2">
      <c r="A1119" t="s">
        <v>4322</v>
      </c>
      <c r="B1119">
        <v>0</v>
      </c>
      <c r="C1119">
        <v>0</v>
      </c>
      <c r="D1119">
        <v>0</v>
      </c>
      <c r="E1119">
        <v>0</v>
      </c>
      <c r="F1119">
        <v>0</v>
      </c>
      <c r="G1119">
        <v>0</v>
      </c>
    </row>
    <row r="1120" spans="1:7" x14ac:dyDescent="0.2">
      <c r="A1120" t="s">
        <v>4323</v>
      </c>
      <c r="B1120">
        <v>0</v>
      </c>
      <c r="C1120">
        <v>0</v>
      </c>
      <c r="D1120">
        <v>0</v>
      </c>
      <c r="E1120">
        <v>0</v>
      </c>
      <c r="F1120">
        <v>0</v>
      </c>
      <c r="G1120">
        <v>0</v>
      </c>
    </row>
    <row r="1121" spans="1:7" x14ac:dyDescent="0.2">
      <c r="A1121" t="s">
        <v>4324</v>
      </c>
      <c r="B1121">
        <v>0</v>
      </c>
      <c r="C1121">
        <v>0</v>
      </c>
      <c r="D1121">
        <v>0</v>
      </c>
      <c r="E1121">
        <v>0</v>
      </c>
      <c r="F1121">
        <v>0</v>
      </c>
      <c r="G1121">
        <v>0</v>
      </c>
    </row>
    <row r="1122" spans="1:7" x14ac:dyDescent="0.2">
      <c r="A1122" t="s">
        <v>4325</v>
      </c>
      <c r="B1122">
        <v>0</v>
      </c>
      <c r="C1122">
        <v>0</v>
      </c>
      <c r="D1122">
        <v>0</v>
      </c>
      <c r="E1122">
        <v>0</v>
      </c>
      <c r="F1122">
        <v>0</v>
      </c>
      <c r="G1122">
        <v>0</v>
      </c>
    </row>
    <row r="1123" spans="1:7" x14ac:dyDescent="0.2">
      <c r="A1123" t="s">
        <v>4326</v>
      </c>
      <c r="B1123">
        <v>0</v>
      </c>
      <c r="C1123">
        <v>0</v>
      </c>
      <c r="D1123">
        <v>0</v>
      </c>
      <c r="E1123">
        <v>0</v>
      </c>
      <c r="F1123">
        <v>0</v>
      </c>
      <c r="G1123">
        <v>0</v>
      </c>
    </row>
    <row r="1124" spans="1:7" x14ac:dyDescent="0.2">
      <c r="A1124" t="s">
        <v>4327</v>
      </c>
      <c r="B1124">
        <v>0</v>
      </c>
      <c r="C1124">
        <v>0</v>
      </c>
      <c r="D1124">
        <v>0</v>
      </c>
      <c r="E1124">
        <v>0</v>
      </c>
      <c r="F1124">
        <v>0</v>
      </c>
      <c r="G1124">
        <v>0</v>
      </c>
    </row>
    <row r="1125" spans="1:7" x14ac:dyDescent="0.2">
      <c r="A1125" t="s">
        <v>4328</v>
      </c>
      <c r="B1125">
        <v>0</v>
      </c>
      <c r="C1125">
        <v>0</v>
      </c>
      <c r="D1125">
        <v>0</v>
      </c>
      <c r="E1125">
        <v>0</v>
      </c>
      <c r="F1125">
        <v>0</v>
      </c>
      <c r="G1125">
        <v>0</v>
      </c>
    </row>
    <row r="1126" spans="1:7" x14ac:dyDescent="0.2">
      <c r="A1126" t="s">
        <v>4329</v>
      </c>
      <c r="B1126">
        <v>0</v>
      </c>
      <c r="C1126">
        <v>0</v>
      </c>
      <c r="D1126">
        <v>0</v>
      </c>
      <c r="E1126">
        <v>0</v>
      </c>
      <c r="F1126">
        <v>0</v>
      </c>
      <c r="G1126">
        <v>0</v>
      </c>
    </row>
    <row r="1127" spans="1:7" x14ac:dyDescent="0.2">
      <c r="A1127" t="s">
        <v>4330</v>
      </c>
      <c r="B1127">
        <v>0</v>
      </c>
      <c r="C1127">
        <v>0</v>
      </c>
      <c r="D1127">
        <v>0</v>
      </c>
      <c r="E1127">
        <v>0</v>
      </c>
      <c r="F1127">
        <v>0</v>
      </c>
      <c r="G1127">
        <v>0</v>
      </c>
    </row>
    <row r="1128" spans="1:7" x14ac:dyDescent="0.2">
      <c r="A1128" t="s">
        <v>4331</v>
      </c>
      <c r="B1128">
        <v>0</v>
      </c>
      <c r="C1128">
        <v>0</v>
      </c>
      <c r="D1128">
        <v>0</v>
      </c>
      <c r="E1128">
        <v>0</v>
      </c>
      <c r="F1128">
        <v>0</v>
      </c>
      <c r="G1128">
        <v>0</v>
      </c>
    </row>
    <row r="1129" spans="1:7" x14ac:dyDescent="0.2">
      <c r="A1129" t="s">
        <v>4332</v>
      </c>
      <c r="B1129">
        <v>0</v>
      </c>
      <c r="C1129">
        <v>0</v>
      </c>
      <c r="D1129">
        <v>0</v>
      </c>
      <c r="E1129">
        <v>2</v>
      </c>
      <c r="F1129">
        <v>0</v>
      </c>
      <c r="G1129">
        <v>2</v>
      </c>
    </row>
    <row r="1130" spans="1:7" x14ac:dyDescent="0.2">
      <c r="A1130" t="s">
        <v>4333</v>
      </c>
      <c r="B1130">
        <v>0</v>
      </c>
      <c r="C1130">
        <v>0</v>
      </c>
      <c r="D1130">
        <v>0</v>
      </c>
      <c r="E1130">
        <v>0</v>
      </c>
      <c r="F1130">
        <v>0</v>
      </c>
      <c r="G1130">
        <v>0</v>
      </c>
    </row>
    <row r="1131" spans="1:7" x14ac:dyDescent="0.2">
      <c r="A1131" t="s">
        <v>4334</v>
      </c>
      <c r="B1131">
        <v>0</v>
      </c>
      <c r="C1131">
        <v>0</v>
      </c>
      <c r="D1131">
        <v>0</v>
      </c>
      <c r="E1131">
        <v>0</v>
      </c>
      <c r="F1131">
        <v>0</v>
      </c>
      <c r="G1131">
        <v>0</v>
      </c>
    </row>
    <row r="1132" spans="1:7" x14ac:dyDescent="0.2">
      <c r="A1132" t="s">
        <v>4335</v>
      </c>
      <c r="B1132">
        <v>0</v>
      </c>
      <c r="C1132">
        <v>0</v>
      </c>
      <c r="D1132">
        <v>0</v>
      </c>
      <c r="E1132">
        <v>0</v>
      </c>
      <c r="F1132">
        <v>0</v>
      </c>
      <c r="G1132">
        <v>0</v>
      </c>
    </row>
    <row r="1133" spans="1:7" x14ac:dyDescent="0.2">
      <c r="A1133" t="s">
        <v>4336</v>
      </c>
      <c r="B1133">
        <v>0</v>
      </c>
      <c r="C1133">
        <v>0</v>
      </c>
      <c r="D1133">
        <v>0</v>
      </c>
      <c r="E1133">
        <v>0</v>
      </c>
      <c r="F1133">
        <v>0</v>
      </c>
      <c r="G1133">
        <v>0</v>
      </c>
    </row>
    <row r="1134" spans="1:7" x14ac:dyDescent="0.2">
      <c r="A1134" t="s">
        <v>4337</v>
      </c>
      <c r="B1134">
        <v>0</v>
      </c>
      <c r="C1134">
        <v>0</v>
      </c>
      <c r="D1134">
        <v>0</v>
      </c>
      <c r="E1134">
        <v>0</v>
      </c>
      <c r="F1134">
        <v>0</v>
      </c>
      <c r="G1134">
        <v>0</v>
      </c>
    </row>
    <row r="1135" spans="1:7" x14ac:dyDescent="0.2">
      <c r="A1135" t="s">
        <v>4338</v>
      </c>
      <c r="B1135">
        <v>0</v>
      </c>
      <c r="C1135">
        <v>0</v>
      </c>
      <c r="D1135">
        <v>0</v>
      </c>
      <c r="E1135">
        <v>0</v>
      </c>
      <c r="F1135">
        <v>1</v>
      </c>
      <c r="G1135">
        <v>1</v>
      </c>
    </row>
    <row r="1136" spans="1:7" x14ac:dyDescent="0.2">
      <c r="A1136" t="s">
        <v>4339</v>
      </c>
      <c r="B1136">
        <v>0</v>
      </c>
      <c r="C1136">
        <v>0</v>
      </c>
      <c r="D1136">
        <v>0</v>
      </c>
      <c r="E1136">
        <v>0</v>
      </c>
      <c r="F1136">
        <v>0</v>
      </c>
      <c r="G1136">
        <v>0</v>
      </c>
    </row>
    <row r="1137" spans="1:7" x14ac:dyDescent="0.2">
      <c r="A1137" t="s">
        <v>4340</v>
      </c>
      <c r="B1137">
        <v>0</v>
      </c>
      <c r="C1137">
        <v>0</v>
      </c>
      <c r="D1137">
        <v>0</v>
      </c>
      <c r="E1137">
        <v>0</v>
      </c>
      <c r="F1137">
        <v>0</v>
      </c>
      <c r="G1137">
        <v>0</v>
      </c>
    </row>
    <row r="1138" spans="1:7" x14ac:dyDescent="0.2">
      <c r="A1138" t="s">
        <v>4341</v>
      </c>
      <c r="B1138">
        <v>0</v>
      </c>
      <c r="C1138">
        <v>0</v>
      </c>
      <c r="D1138">
        <v>0</v>
      </c>
      <c r="E1138">
        <v>0</v>
      </c>
      <c r="F1138">
        <v>0</v>
      </c>
      <c r="G1138">
        <v>0</v>
      </c>
    </row>
    <row r="1139" spans="1:7" x14ac:dyDescent="0.2">
      <c r="A1139" t="s">
        <v>4342</v>
      </c>
      <c r="B1139">
        <v>0</v>
      </c>
      <c r="C1139">
        <v>0</v>
      </c>
      <c r="D1139">
        <v>0</v>
      </c>
      <c r="E1139">
        <v>0</v>
      </c>
      <c r="F1139">
        <v>0</v>
      </c>
      <c r="G1139">
        <v>0</v>
      </c>
    </row>
    <row r="1140" spans="1:7" x14ac:dyDescent="0.2">
      <c r="A1140" t="s">
        <v>4343</v>
      </c>
      <c r="B1140">
        <v>0</v>
      </c>
      <c r="C1140">
        <v>0</v>
      </c>
      <c r="D1140">
        <v>0</v>
      </c>
      <c r="E1140">
        <v>0</v>
      </c>
      <c r="F1140">
        <v>0</v>
      </c>
      <c r="G1140">
        <v>0</v>
      </c>
    </row>
    <row r="1141" spans="1:7" x14ac:dyDescent="0.2">
      <c r="A1141" t="s">
        <v>1728</v>
      </c>
      <c r="B1141">
        <v>0</v>
      </c>
      <c r="C1141">
        <v>0</v>
      </c>
      <c r="D1141">
        <v>0</v>
      </c>
      <c r="E1141">
        <v>0</v>
      </c>
      <c r="F1141">
        <v>0</v>
      </c>
      <c r="G1141">
        <v>0</v>
      </c>
    </row>
    <row r="1142" spans="1:7" x14ac:dyDescent="0.2">
      <c r="A1142" t="s">
        <v>1730</v>
      </c>
      <c r="B1142">
        <v>0</v>
      </c>
      <c r="C1142">
        <v>2</v>
      </c>
      <c r="D1142">
        <v>33</v>
      </c>
      <c r="E1142">
        <v>18</v>
      </c>
      <c r="F1142">
        <v>73</v>
      </c>
      <c r="G1142">
        <v>127</v>
      </c>
    </row>
    <row r="1143" spans="1:7" x14ac:dyDescent="0.2">
      <c r="A1143" t="s">
        <v>1733</v>
      </c>
      <c r="B1143">
        <v>0</v>
      </c>
      <c r="C1143">
        <v>0</v>
      </c>
      <c r="D1143">
        <v>0</v>
      </c>
      <c r="E1143">
        <v>0</v>
      </c>
      <c r="F1143">
        <v>0</v>
      </c>
      <c r="G1143">
        <v>0</v>
      </c>
    </row>
    <row r="1144" spans="1:7" x14ac:dyDescent="0.2">
      <c r="A1144" t="s">
        <v>1738</v>
      </c>
      <c r="B1144">
        <v>0</v>
      </c>
      <c r="C1144">
        <v>0</v>
      </c>
      <c r="D1144">
        <v>0</v>
      </c>
      <c r="E1144">
        <v>0</v>
      </c>
      <c r="F1144">
        <v>0</v>
      </c>
      <c r="G1144">
        <v>0</v>
      </c>
    </row>
    <row r="1145" spans="1:7" x14ac:dyDescent="0.2">
      <c r="A1145" t="s">
        <v>1744</v>
      </c>
      <c r="B1145">
        <v>0</v>
      </c>
      <c r="C1145">
        <v>0</v>
      </c>
      <c r="D1145">
        <v>0</v>
      </c>
      <c r="E1145">
        <v>0</v>
      </c>
      <c r="F1145">
        <v>0</v>
      </c>
      <c r="G1145">
        <v>0</v>
      </c>
    </row>
    <row r="1146" spans="1:7" x14ac:dyDescent="0.2">
      <c r="A1146" t="s">
        <v>1747</v>
      </c>
      <c r="B1146">
        <v>0</v>
      </c>
      <c r="C1146">
        <v>0</v>
      </c>
      <c r="D1146">
        <v>0</v>
      </c>
      <c r="E1146">
        <v>0</v>
      </c>
      <c r="F1146">
        <v>0</v>
      </c>
      <c r="G1146">
        <v>0</v>
      </c>
    </row>
    <row r="1147" spans="1:7" x14ac:dyDescent="0.2">
      <c r="A1147" t="s">
        <v>1751</v>
      </c>
      <c r="B1147">
        <v>0</v>
      </c>
      <c r="C1147">
        <v>0</v>
      </c>
      <c r="D1147">
        <v>0</v>
      </c>
      <c r="E1147">
        <v>0</v>
      </c>
      <c r="F1147">
        <v>0</v>
      </c>
      <c r="G1147">
        <v>0</v>
      </c>
    </row>
    <row r="1148" spans="1:7" x14ac:dyDescent="0.2">
      <c r="A1148" t="s">
        <v>1755</v>
      </c>
      <c r="B1148">
        <v>0</v>
      </c>
      <c r="C1148">
        <v>0</v>
      </c>
      <c r="D1148">
        <v>5</v>
      </c>
      <c r="E1148">
        <v>15</v>
      </c>
      <c r="F1148">
        <v>4</v>
      </c>
      <c r="G1148">
        <v>24</v>
      </c>
    </row>
    <row r="1149" spans="1:7" x14ac:dyDescent="0.2">
      <c r="A1149" t="s">
        <v>1757</v>
      </c>
      <c r="B1149">
        <v>0</v>
      </c>
      <c r="C1149">
        <v>0</v>
      </c>
      <c r="D1149">
        <v>10</v>
      </c>
      <c r="E1149">
        <v>15</v>
      </c>
      <c r="F1149">
        <v>4</v>
      </c>
      <c r="G1149">
        <v>28</v>
      </c>
    </row>
    <row r="1150" spans="1:7" x14ac:dyDescent="0.2">
      <c r="A1150" t="s">
        <v>1761</v>
      </c>
      <c r="B1150">
        <v>0</v>
      </c>
      <c r="C1150">
        <v>0</v>
      </c>
      <c r="D1150">
        <v>0</v>
      </c>
      <c r="E1150">
        <v>0</v>
      </c>
      <c r="F1150">
        <v>0</v>
      </c>
      <c r="G1150">
        <v>0</v>
      </c>
    </row>
    <row r="1151" spans="1:7" x14ac:dyDescent="0.2">
      <c r="A1151" t="s">
        <v>1764</v>
      </c>
      <c r="B1151">
        <v>0</v>
      </c>
      <c r="C1151">
        <v>0</v>
      </c>
      <c r="D1151">
        <v>0</v>
      </c>
      <c r="E1151">
        <v>0</v>
      </c>
      <c r="F1151">
        <v>0</v>
      </c>
      <c r="G1151">
        <v>0</v>
      </c>
    </row>
    <row r="1152" spans="1:7" x14ac:dyDescent="0.2">
      <c r="A1152" t="s">
        <v>1770</v>
      </c>
      <c r="B1152">
        <v>1</v>
      </c>
      <c r="C1152">
        <v>6</v>
      </c>
      <c r="D1152">
        <v>46</v>
      </c>
      <c r="E1152">
        <v>434</v>
      </c>
      <c r="F1152">
        <v>0</v>
      </c>
      <c r="G1152">
        <v>487</v>
      </c>
    </row>
    <row r="1153" spans="1:7" x14ac:dyDescent="0.2">
      <c r="A1153" t="s">
        <v>1772</v>
      </c>
      <c r="B1153">
        <v>0</v>
      </c>
      <c r="C1153">
        <v>1</v>
      </c>
      <c r="D1153">
        <v>15</v>
      </c>
      <c r="E1153">
        <v>206</v>
      </c>
      <c r="F1153">
        <v>0</v>
      </c>
      <c r="G1153">
        <v>221</v>
      </c>
    </row>
    <row r="1154" spans="1:7" x14ac:dyDescent="0.2">
      <c r="A1154" t="s">
        <v>1774</v>
      </c>
      <c r="B1154">
        <v>0</v>
      </c>
      <c r="C1154">
        <v>1</v>
      </c>
      <c r="D1154">
        <v>0</v>
      </c>
      <c r="E1154">
        <v>68</v>
      </c>
      <c r="F1154">
        <v>0</v>
      </c>
      <c r="G1154">
        <v>69</v>
      </c>
    </row>
    <row r="1155" spans="1:7" x14ac:dyDescent="0.2">
      <c r="A1155" t="s">
        <v>1777</v>
      </c>
      <c r="B1155">
        <v>0</v>
      </c>
      <c r="C1155">
        <v>0</v>
      </c>
      <c r="D1155">
        <v>0</v>
      </c>
      <c r="E1155">
        <v>0</v>
      </c>
      <c r="F1155">
        <v>0</v>
      </c>
      <c r="G1155">
        <v>0</v>
      </c>
    </row>
    <row r="1156" spans="1:7" x14ac:dyDescent="0.2">
      <c r="A1156" t="s">
        <v>1782</v>
      </c>
      <c r="B1156">
        <v>0</v>
      </c>
      <c r="C1156">
        <v>0</v>
      </c>
      <c r="D1156">
        <v>0</v>
      </c>
      <c r="E1156">
        <v>0</v>
      </c>
      <c r="F1156">
        <v>0</v>
      </c>
      <c r="G1156">
        <v>0</v>
      </c>
    </row>
    <row r="1157" spans="1:7" x14ac:dyDescent="0.2">
      <c r="A1157" t="s">
        <v>1274</v>
      </c>
      <c r="B1157">
        <v>0</v>
      </c>
      <c r="C1157">
        <v>0</v>
      </c>
      <c r="D1157">
        <v>0</v>
      </c>
      <c r="E1157">
        <v>5</v>
      </c>
      <c r="F1157">
        <v>0</v>
      </c>
      <c r="G1157">
        <v>6</v>
      </c>
    </row>
    <row r="1158" spans="1:7" x14ac:dyDescent="0.2">
      <c r="A1158" t="s">
        <v>1277</v>
      </c>
      <c r="B1158">
        <v>0</v>
      </c>
      <c r="C1158">
        <v>0</v>
      </c>
      <c r="D1158">
        <v>0</v>
      </c>
      <c r="E1158">
        <v>45</v>
      </c>
      <c r="F1158">
        <v>1</v>
      </c>
      <c r="G1158">
        <v>46</v>
      </c>
    </row>
    <row r="1159" spans="1:7" x14ac:dyDescent="0.2">
      <c r="A1159" t="s">
        <v>1798</v>
      </c>
      <c r="B1159">
        <v>0</v>
      </c>
      <c r="C1159">
        <v>0</v>
      </c>
      <c r="D1159">
        <v>0</v>
      </c>
      <c r="E1159">
        <v>0</v>
      </c>
      <c r="F1159">
        <v>0</v>
      </c>
      <c r="G1159">
        <v>0</v>
      </c>
    </row>
    <row r="1160" spans="1:7" x14ac:dyDescent="0.2">
      <c r="A1160" t="s">
        <v>1803</v>
      </c>
      <c r="B1160">
        <v>0</v>
      </c>
      <c r="C1160">
        <v>0</v>
      </c>
      <c r="D1160">
        <v>0</v>
      </c>
      <c r="E1160">
        <v>0</v>
      </c>
      <c r="F1160">
        <v>0</v>
      </c>
      <c r="G1160">
        <v>0</v>
      </c>
    </row>
    <row r="1161" spans="1:7" x14ac:dyDescent="0.2">
      <c r="A1161" t="s">
        <v>1808</v>
      </c>
      <c r="B1161">
        <v>0</v>
      </c>
      <c r="C1161">
        <v>0</v>
      </c>
      <c r="D1161">
        <v>0</v>
      </c>
      <c r="E1161">
        <v>0</v>
      </c>
      <c r="F1161">
        <v>0</v>
      </c>
      <c r="G1161">
        <v>0</v>
      </c>
    </row>
    <row r="1162" spans="1:7" x14ac:dyDescent="0.2">
      <c r="A1162" t="s">
        <v>1813</v>
      </c>
      <c r="B1162">
        <v>0</v>
      </c>
      <c r="C1162">
        <v>0</v>
      </c>
      <c r="D1162">
        <v>0</v>
      </c>
      <c r="E1162">
        <v>0</v>
      </c>
      <c r="F1162">
        <v>0</v>
      </c>
      <c r="G1162">
        <v>0</v>
      </c>
    </row>
    <row r="1163" spans="1:7" x14ac:dyDescent="0.2">
      <c r="A1163" t="s">
        <v>1819</v>
      </c>
      <c r="B1163">
        <v>0</v>
      </c>
      <c r="C1163">
        <v>0</v>
      </c>
      <c r="D1163">
        <v>0</v>
      </c>
      <c r="E1163">
        <v>2</v>
      </c>
      <c r="F1163">
        <v>0</v>
      </c>
      <c r="G1163">
        <v>3</v>
      </c>
    </row>
    <row r="1164" spans="1:7" x14ac:dyDescent="0.2">
      <c r="A1164" t="s">
        <v>1826</v>
      </c>
      <c r="B1164">
        <v>0</v>
      </c>
      <c r="C1164">
        <v>0</v>
      </c>
      <c r="D1164">
        <v>0</v>
      </c>
      <c r="E1164">
        <v>0</v>
      </c>
      <c r="F1164">
        <v>0</v>
      </c>
      <c r="G1164">
        <v>0</v>
      </c>
    </row>
    <row r="1165" spans="1:7" x14ac:dyDescent="0.2">
      <c r="A1165" t="s">
        <v>1830</v>
      </c>
      <c r="B1165">
        <v>0</v>
      </c>
      <c r="C1165">
        <v>0</v>
      </c>
      <c r="D1165">
        <v>0</v>
      </c>
      <c r="E1165">
        <v>0</v>
      </c>
      <c r="F1165">
        <v>0</v>
      </c>
      <c r="G1165">
        <v>0</v>
      </c>
    </row>
    <row r="1166" spans="1:7" x14ac:dyDescent="0.2">
      <c r="A1166" t="s">
        <v>1836</v>
      </c>
      <c r="B1166">
        <v>0</v>
      </c>
      <c r="C1166">
        <v>0</v>
      </c>
      <c r="D1166">
        <v>0</v>
      </c>
      <c r="E1166">
        <v>0</v>
      </c>
      <c r="F1166">
        <v>0</v>
      </c>
      <c r="G1166">
        <v>0</v>
      </c>
    </row>
    <row r="1167" spans="1:7" x14ac:dyDescent="0.2">
      <c r="A1167" t="s">
        <v>1841</v>
      </c>
      <c r="B1167">
        <v>0</v>
      </c>
      <c r="C1167">
        <v>0</v>
      </c>
      <c r="D1167">
        <v>19</v>
      </c>
      <c r="E1167">
        <v>0</v>
      </c>
      <c r="F1167">
        <v>0</v>
      </c>
      <c r="G1167">
        <v>19</v>
      </c>
    </row>
    <row r="1168" spans="1:7" x14ac:dyDescent="0.2">
      <c r="A1168" t="s">
        <v>1842</v>
      </c>
      <c r="B1168">
        <v>0</v>
      </c>
      <c r="C1168">
        <v>35</v>
      </c>
      <c r="D1168">
        <v>88</v>
      </c>
      <c r="E1168">
        <v>459</v>
      </c>
      <c r="F1168">
        <v>0</v>
      </c>
      <c r="G1168">
        <v>582</v>
      </c>
    </row>
    <row r="1169" spans="1:7" x14ac:dyDescent="0.2">
      <c r="A1169" t="s">
        <v>1843</v>
      </c>
      <c r="B1169">
        <v>0</v>
      </c>
      <c r="C1169">
        <v>0</v>
      </c>
      <c r="D1169">
        <v>0</v>
      </c>
      <c r="E1169">
        <v>0</v>
      </c>
      <c r="F1169">
        <v>0</v>
      </c>
      <c r="G1169">
        <v>0</v>
      </c>
    </row>
    <row r="1170" spans="1:7" x14ac:dyDescent="0.2">
      <c r="A1170" t="s">
        <v>1846</v>
      </c>
      <c r="B1170">
        <v>0</v>
      </c>
      <c r="C1170">
        <v>0</v>
      </c>
      <c r="D1170">
        <v>0</v>
      </c>
      <c r="E1170">
        <v>0</v>
      </c>
      <c r="F1170">
        <v>0</v>
      </c>
      <c r="G1170">
        <v>0</v>
      </c>
    </row>
    <row r="1171" spans="1:7" x14ac:dyDescent="0.2">
      <c r="A1171" t="s">
        <v>1851</v>
      </c>
      <c r="B1171">
        <v>0</v>
      </c>
      <c r="C1171">
        <v>0</v>
      </c>
      <c r="D1171">
        <v>0</v>
      </c>
      <c r="E1171">
        <v>2504</v>
      </c>
      <c r="F1171">
        <v>637</v>
      </c>
      <c r="G1171">
        <v>3141</v>
      </c>
    </row>
    <row r="1172" spans="1:7" x14ac:dyDescent="0.2">
      <c r="A1172" t="s">
        <v>1857</v>
      </c>
      <c r="B1172">
        <v>0</v>
      </c>
      <c r="C1172">
        <v>0</v>
      </c>
      <c r="D1172">
        <v>0</v>
      </c>
      <c r="E1172">
        <v>16</v>
      </c>
      <c r="F1172">
        <v>0</v>
      </c>
      <c r="G1172">
        <v>16</v>
      </c>
    </row>
    <row r="1173" spans="1:7" x14ac:dyDescent="0.2">
      <c r="A1173" t="s">
        <v>1862</v>
      </c>
      <c r="B1173">
        <v>0</v>
      </c>
      <c r="C1173">
        <v>0</v>
      </c>
      <c r="D1173">
        <v>0</v>
      </c>
      <c r="E1173">
        <v>11564</v>
      </c>
      <c r="F1173">
        <v>7018</v>
      </c>
      <c r="G1173">
        <v>18583</v>
      </c>
    </row>
    <row r="1174" spans="1:7" x14ac:dyDescent="0.2">
      <c r="A1174" t="s">
        <v>1867</v>
      </c>
      <c r="B1174">
        <v>0</v>
      </c>
      <c r="C1174">
        <v>0</v>
      </c>
      <c r="D1174">
        <v>0</v>
      </c>
      <c r="E1174">
        <v>0</v>
      </c>
      <c r="F1174">
        <v>203</v>
      </c>
      <c r="G1174">
        <v>203</v>
      </c>
    </row>
    <row r="1175" spans="1:7" x14ac:dyDescent="0.2">
      <c r="A1175" t="s">
        <v>1870</v>
      </c>
      <c r="B1175">
        <v>0</v>
      </c>
      <c r="C1175">
        <v>0</v>
      </c>
      <c r="D1175">
        <v>0</v>
      </c>
      <c r="E1175">
        <v>0</v>
      </c>
      <c r="F1175">
        <v>0</v>
      </c>
      <c r="G1175">
        <v>0</v>
      </c>
    </row>
    <row r="1176" spans="1:7" x14ac:dyDescent="0.2">
      <c r="A1176" t="s">
        <v>1874</v>
      </c>
      <c r="B1176">
        <v>0</v>
      </c>
      <c r="C1176">
        <v>0</v>
      </c>
      <c r="D1176">
        <v>0</v>
      </c>
      <c r="E1176">
        <v>2123</v>
      </c>
      <c r="F1176">
        <v>0</v>
      </c>
      <c r="G1176">
        <v>2123</v>
      </c>
    </row>
    <row r="1177" spans="1:7" x14ac:dyDescent="0.2">
      <c r="A1177" t="s">
        <v>1876</v>
      </c>
      <c r="B1177">
        <v>0</v>
      </c>
      <c r="C1177">
        <v>0</v>
      </c>
      <c r="D1177">
        <v>0</v>
      </c>
      <c r="E1177">
        <v>0</v>
      </c>
      <c r="F1177">
        <v>653</v>
      </c>
      <c r="G1177">
        <v>653</v>
      </c>
    </row>
    <row r="1178" spans="1:7" x14ac:dyDescent="0.2">
      <c r="A1178" t="s">
        <v>1881</v>
      </c>
      <c r="B1178">
        <v>0</v>
      </c>
      <c r="C1178">
        <v>0</v>
      </c>
      <c r="D1178">
        <v>0</v>
      </c>
      <c r="E1178">
        <v>0</v>
      </c>
      <c r="F1178">
        <v>160</v>
      </c>
      <c r="G1178">
        <v>160</v>
      </c>
    </row>
    <row r="1179" spans="1:7" x14ac:dyDescent="0.2">
      <c r="A1179" t="s">
        <v>1885</v>
      </c>
      <c r="B1179">
        <v>138</v>
      </c>
      <c r="C1179">
        <v>103</v>
      </c>
      <c r="D1179">
        <v>88</v>
      </c>
      <c r="E1179">
        <v>162</v>
      </c>
      <c r="F1179">
        <v>0</v>
      </c>
      <c r="G1179">
        <v>491</v>
      </c>
    </row>
    <row r="1180" spans="1:7" x14ac:dyDescent="0.2">
      <c r="A1180" t="s">
        <v>1887</v>
      </c>
      <c r="B1180">
        <v>0</v>
      </c>
      <c r="C1180">
        <v>0</v>
      </c>
      <c r="D1180">
        <v>0</v>
      </c>
      <c r="E1180">
        <v>1</v>
      </c>
      <c r="F1180">
        <v>2</v>
      </c>
      <c r="G1180">
        <v>3</v>
      </c>
    </row>
    <row r="1181" spans="1:7" x14ac:dyDescent="0.2">
      <c r="A1181" t="s">
        <v>1893</v>
      </c>
      <c r="B1181">
        <v>0</v>
      </c>
      <c r="C1181">
        <v>0</v>
      </c>
      <c r="D1181">
        <v>0</v>
      </c>
      <c r="E1181">
        <v>48</v>
      </c>
      <c r="F1181">
        <v>5</v>
      </c>
      <c r="G1181">
        <v>53</v>
      </c>
    </row>
    <row r="1182" spans="1:7" x14ac:dyDescent="0.2">
      <c r="A1182" t="s">
        <v>1899</v>
      </c>
      <c r="B1182">
        <v>0</v>
      </c>
      <c r="C1182">
        <v>0</v>
      </c>
      <c r="D1182">
        <v>0</v>
      </c>
      <c r="E1182">
        <v>0</v>
      </c>
      <c r="F1182">
        <v>0</v>
      </c>
      <c r="G1182">
        <v>0</v>
      </c>
    </row>
    <row r="1183" spans="1:7" x14ac:dyDescent="0.2">
      <c r="A1183" t="s">
        <v>1906</v>
      </c>
      <c r="B1183">
        <v>0</v>
      </c>
      <c r="C1183">
        <v>0</v>
      </c>
      <c r="D1183">
        <v>0</v>
      </c>
      <c r="E1183">
        <v>0</v>
      </c>
      <c r="F1183">
        <v>0</v>
      </c>
      <c r="G1183">
        <v>0</v>
      </c>
    </row>
    <row r="1184" spans="1:7" x14ac:dyDescent="0.2">
      <c r="A1184" t="s">
        <v>1911</v>
      </c>
      <c r="B1184">
        <v>0</v>
      </c>
      <c r="C1184">
        <v>0</v>
      </c>
      <c r="D1184">
        <v>0</v>
      </c>
      <c r="E1184">
        <v>0</v>
      </c>
      <c r="F1184">
        <v>0</v>
      </c>
      <c r="G1184">
        <v>0</v>
      </c>
    </row>
    <row r="1185" spans="1:7" x14ac:dyDescent="0.2">
      <c r="A1185" t="s">
        <v>1917</v>
      </c>
      <c r="B1185">
        <v>0</v>
      </c>
      <c r="C1185">
        <v>0</v>
      </c>
      <c r="D1185">
        <v>0</v>
      </c>
      <c r="E1185">
        <v>0</v>
      </c>
      <c r="F1185">
        <v>0</v>
      </c>
      <c r="G1185">
        <v>0</v>
      </c>
    </row>
    <row r="1186" spans="1:7" x14ac:dyDescent="0.2">
      <c r="A1186" t="s">
        <v>1922</v>
      </c>
      <c r="B1186">
        <v>0</v>
      </c>
      <c r="C1186">
        <v>0</v>
      </c>
      <c r="D1186">
        <v>0</v>
      </c>
      <c r="E1186">
        <v>198</v>
      </c>
      <c r="F1186">
        <v>2</v>
      </c>
      <c r="G1186">
        <v>200</v>
      </c>
    </row>
    <row r="1187" spans="1:7" x14ac:dyDescent="0.2">
      <c r="A1187" t="s">
        <v>1928</v>
      </c>
      <c r="B1187">
        <v>0</v>
      </c>
      <c r="C1187">
        <v>0</v>
      </c>
      <c r="D1187">
        <v>0</v>
      </c>
      <c r="E1187">
        <v>0</v>
      </c>
      <c r="F1187">
        <v>0</v>
      </c>
      <c r="G1187">
        <v>0</v>
      </c>
    </row>
    <row r="1188" spans="1:7" x14ac:dyDescent="0.2">
      <c r="A1188" t="s">
        <v>1932</v>
      </c>
      <c r="B1188">
        <v>0</v>
      </c>
      <c r="C1188">
        <v>0</v>
      </c>
      <c r="D1188">
        <v>0</v>
      </c>
      <c r="E1188">
        <v>0</v>
      </c>
      <c r="F1188">
        <v>0</v>
      </c>
      <c r="G1188">
        <v>0</v>
      </c>
    </row>
    <row r="1189" spans="1:7" x14ac:dyDescent="0.2">
      <c r="A1189" t="s">
        <v>1938</v>
      </c>
      <c r="B1189">
        <v>0</v>
      </c>
      <c r="C1189">
        <v>0</v>
      </c>
      <c r="D1189">
        <v>0</v>
      </c>
      <c r="E1189">
        <v>0</v>
      </c>
      <c r="F1189">
        <v>0</v>
      </c>
      <c r="G1189">
        <v>0</v>
      </c>
    </row>
    <row r="1190" spans="1:7" x14ac:dyDescent="0.2">
      <c r="A1190" t="s">
        <v>1944</v>
      </c>
      <c r="B1190">
        <v>0</v>
      </c>
      <c r="C1190">
        <v>11</v>
      </c>
      <c r="D1190">
        <v>19</v>
      </c>
      <c r="E1190">
        <v>17</v>
      </c>
      <c r="F1190">
        <v>0</v>
      </c>
      <c r="G1190">
        <v>48</v>
      </c>
    </row>
    <row r="1191" spans="1:7" x14ac:dyDescent="0.2">
      <c r="A1191" t="s">
        <v>1947</v>
      </c>
      <c r="B1191">
        <v>0</v>
      </c>
      <c r="C1191">
        <v>0</v>
      </c>
      <c r="D1191">
        <v>0</v>
      </c>
      <c r="E1191">
        <v>0</v>
      </c>
      <c r="F1191">
        <v>0</v>
      </c>
      <c r="G1191">
        <v>0</v>
      </c>
    </row>
    <row r="1192" spans="1:7" x14ac:dyDescent="0.2">
      <c r="A1192" t="s">
        <v>1953</v>
      </c>
      <c r="B1192">
        <v>0</v>
      </c>
      <c r="C1192">
        <v>0</v>
      </c>
      <c r="D1192">
        <v>0</v>
      </c>
      <c r="E1192">
        <v>1</v>
      </c>
      <c r="F1192">
        <v>1</v>
      </c>
      <c r="G1192">
        <v>2</v>
      </c>
    </row>
    <row r="1193" spans="1:7" x14ac:dyDescent="0.2">
      <c r="A1193" t="s">
        <v>1958</v>
      </c>
      <c r="B1193">
        <v>0</v>
      </c>
      <c r="C1193">
        <v>0</v>
      </c>
      <c r="D1193">
        <v>0</v>
      </c>
      <c r="E1193">
        <v>0</v>
      </c>
      <c r="F1193">
        <v>0</v>
      </c>
      <c r="G1193">
        <v>0</v>
      </c>
    </row>
    <row r="1194" spans="1:7" x14ac:dyDescent="0.2">
      <c r="A1194" t="s">
        <v>1964</v>
      </c>
      <c r="B1194">
        <v>0</v>
      </c>
      <c r="C1194">
        <v>0</v>
      </c>
      <c r="D1194">
        <v>0</v>
      </c>
      <c r="E1194">
        <v>0</v>
      </c>
      <c r="F1194">
        <v>0</v>
      </c>
      <c r="G1194">
        <v>0</v>
      </c>
    </row>
    <row r="1195" spans="1:7" x14ac:dyDescent="0.2">
      <c r="A1195" t="s">
        <v>1973</v>
      </c>
      <c r="B1195">
        <v>0</v>
      </c>
      <c r="C1195">
        <v>0</v>
      </c>
      <c r="D1195">
        <v>0</v>
      </c>
      <c r="E1195">
        <v>0</v>
      </c>
      <c r="F1195">
        <v>0</v>
      </c>
      <c r="G1195">
        <v>0</v>
      </c>
    </row>
    <row r="1196" spans="1:7" x14ac:dyDescent="0.2">
      <c r="A1196" t="s">
        <v>1978</v>
      </c>
      <c r="B1196">
        <v>0</v>
      </c>
      <c r="C1196">
        <v>0</v>
      </c>
      <c r="D1196">
        <v>0</v>
      </c>
      <c r="E1196">
        <v>0</v>
      </c>
      <c r="F1196">
        <v>0</v>
      </c>
      <c r="G1196">
        <v>0</v>
      </c>
    </row>
    <row r="1197" spans="1:7" x14ac:dyDescent="0.2">
      <c r="A1197" t="s">
        <v>1983</v>
      </c>
      <c r="B1197">
        <v>1</v>
      </c>
      <c r="C1197">
        <v>0</v>
      </c>
      <c r="D1197">
        <v>1</v>
      </c>
      <c r="E1197">
        <v>0</v>
      </c>
      <c r="F1197">
        <v>0</v>
      </c>
      <c r="G1197">
        <v>2</v>
      </c>
    </row>
    <row r="1198" spans="1:7" x14ac:dyDescent="0.2">
      <c r="A1198" t="s">
        <v>1984</v>
      </c>
      <c r="B1198">
        <v>0</v>
      </c>
      <c r="C1198">
        <v>0</v>
      </c>
      <c r="D1198">
        <v>0</v>
      </c>
      <c r="E1198">
        <v>0</v>
      </c>
      <c r="F1198">
        <v>0</v>
      </c>
      <c r="G1198">
        <v>0</v>
      </c>
    </row>
    <row r="1199" spans="1:7" x14ac:dyDescent="0.2">
      <c r="A1199" t="s">
        <v>1990</v>
      </c>
      <c r="B1199">
        <v>0</v>
      </c>
      <c r="C1199">
        <v>0</v>
      </c>
      <c r="D1199">
        <v>0</v>
      </c>
      <c r="E1199">
        <v>0</v>
      </c>
      <c r="F1199">
        <v>0</v>
      </c>
      <c r="G1199">
        <v>0</v>
      </c>
    </row>
    <row r="1200" spans="1:7" x14ac:dyDescent="0.2">
      <c r="A1200" t="s">
        <v>1996</v>
      </c>
      <c r="B1200">
        <v>0</v>
      </c>
      <c r="C1200">
        <v>0</v>
      </c>
      <c r="D1200">
        <v>0</v>
      </c>
      <c r="E1200">
        <v>0</v>
      </c>
      <c r="F1200">
        <v>0</v>
      </c>
      <c r="G1200">
        <v>0</v>
      </c>
    </row>
    <row r="1201" spans="1:7" x14ac:dyDescent="0.2">
      <c r="A1201" t="s">
        <v>1998</v>
      </c>
      <c r="B1201">
        <v>0</v>
      </c>
      <c r="C1201">
        <v>0</v>
      </c>
      <c r="D1201">
        <v>0</v>
      </c>
      <c r="E1201">
        <v>0</v>
      </c>
      <c r="F1201">
        <v>0</v>
      </c>
      <c r="G1201">
        <v>0</v>
      </c>
    </row>
    <row r="1202" spans="1:7" x14ac:dyDescent="0.2">
      <c r="A1202" t="s">
        <v>1999</v>
      </c>
      <c r="B1202">
        <v>0</v>
      </c>
      <c r="C1202">
        <v>0</v>
      </c>
      <c r="D1202">
        <v>0</v>
      </c>
      <c r="E1202">
        <v>0</v>
      </c>
      <c r="F1202">
        <v>0</v>
      </c>
      <c r="G1202">
        <v>0</v>
      </c>
    </row>
    <row r="1203" spans="1:7" x14ac:dyDescent="0.2">
      <c r="A1203" t="s">
        <v>2004</v>
      </c>
      <c r="B1203">
        <v>0</v>
      </c>
      <c r="C1203">
        <v>0</v>
      </c>
      <c r="D1203">
        <v>0</v>
      </c>
      <c r="E1203">
        <v>0</v>
      </c>
      <c r="F1203">
        <v>0</v>
      </c>
      <c r="G1203">
        <v>0</v>
      </c>
    </row>
    <row r="1204" spans="1:7" x14ac:dyDescent="0.2">
      <c r="A1204" t="s">
        <v>2009</v>
      </c>
      <c r="B1204">
        <v>0</v>
      </c>
      <c r="C1204">
        <v>0</v>
      </c>
      <c r="D1204">
        <v>0</v>
      </c>
      <c r="E1204">
        <v>0</v>
      </c>
      <c r="F1204">
        <v>0</v>
      </c>
      <c r="G1204">
        <v>0</v>
      </c>
    </row>
    <row r="1205" spans="1:7" x14ac:dyDescent="0.2">
      <c r="A1205" t="s">
        <v>2014</v>
      </c>
      <c r="B1205">
        <v>0</v>
      </c>
      <c r="C1205">
        <v>0</v>
      </c>
      <c r="D1205">
        <v>0</v>
      </c>
      <c r="E1205">
        <v>0</v>
      </c>
      <c r="F1205">
        <v>0</v>
      </c>
      <c r="G1205">
        <v>0</v>
      </c>
    </row>
    <row r="1206" spans="1:7" x14ac:dyDescent="0.2">
      <c r="A1206" t="s">
        <v>2019</v>
      </c>
      <c r="B1206">
        <v>0</v>
      </c>
      <c r="C1206">
        <v>0</v>
      </c>
      <c r="D1206">
        <v>0</v>
      </c>
      <c r="E1206">
        <v>0</v>
      </c>
      <c r="F1206">
        <v>0</v>
      </c>
      <c r="G1206">
        <v>0</v>
      </c>
    </row>
    <row r="1207" spans="1:7" x14ac:dyDescent="0.2">
      <c r="A1207" t="s">
        <v>2023</v>
      </c>
      <c r="B1207">
        <v>0</v>
      </c>
      <c r="C1207">
        <v>0</v>
      </c>
      <c r="D1207">
        <v>0</v>
      </c>
      <c r="E1207">
        <v>0</v>
      </c>
      <c r="F1207">
        <v>0</v>
      </c>
      <c r="G1207">
        <v>0</v>
      </c>
    </row>
    <row r="1208" spans="1:7" x14ac:dyDescent="0.2">
      <c r="A1208" t="s">
        <v>2026</v>
      </c>
      <c r="B1208">
        <v>0</v>
      </c>
      <c r="C1208">
        <v>0</v>
      </c>
      <c r="D1208">
        <v>0</v>
      </c>
      <c r="E1208">
        <v>0</v>
      </c>
      <c r="F1208">
        <v>0</v>
      </c>
      <c r="G1208">
        <v>0</v>
      </c>
    </row>
    <row r="1209" spans="1:7" x14ac:dyDescent="0.2">
      <c r="A1209" t="s">
        <v>2030</v>
      </c>
      <c r="B1209">
        <v>0</v>
      </c>
      <c r="C1209">
        <v>0</v>
      </c>
      <c r="D1209">
        <v>0</v>
      </c>
      <c r="E1209">
        <v>0</v>
      </c>
      <c r="F1209">
        <v>0</v>
      </c>
      <c r="G1209">
        <v>0</v>
      </c>
    </row>
    <row r="1210" spans="1:7" x14ac:dyDescent="0.2">
      <c r="A1210" t="s">
        <v>2035</v>
      </c>
      <c r="B1210">
        <v>0</v>
      </c>
      <c r="C1210">
        <v>0</v>
      </c>
      <c r="D1210">
        <v>0</v>
      </c>
      <c r="E1210">
        <v>0</v>
      </c>
      <c r="F1210">
        <v>0</v>
      </c>
      <c r="G1210">
        <v>0</v>
      </c>
    </row>
    <row r="1211" spans="1:7" x14ac:dyDescent="0.2">
      <c r="A1211" t="s">
        <v>2040</v>
      </c>
      <c r="B1211">
        <v>0</v>
      </c>
      <c r="C1211">
        <v>0</v>
      </c>
      <c r="D1211">
        <v>0</v>
      </c>
      <c r="E1211">
        <v>0</v>
      </c>
      <c r="F1211">
        <v>0</v>
      </c>
      <c r="G1211">
        <v>0</v>
      </c>
    </row>
    <row r="1212" spans="1:7" x14ac:dyDescent="0.2">
      <c r="A1212" t="s">
        <v>2045</v>
      </c>
      <c r="B1212">
        <v>0</v>
      </c>
      <c r="C1212">
        <v>0</v>
      </c>
      <c r="D1212">
        <v>0</v>
      </c>
      <c r="E1212">
        <v>0</v>
      </c>
      <c r="F1212">
        <v>0</v>
      </c>
      <c r="G1212">
        <v>0</v>
      </c>
    </row>
    <row r="1213" spans="1:7" x14ac:dyDescent="0.2">
      <c r="A1213" t="s">
        <v>2049</v>
      </c>
      <c r="B1213">
        <v>0</v>
      </c>
      <c r="C1213">
        <v>0</v>
      </c>
      <c r="D1213">
        <v>0</v>
      </c>
      <c r="E1213">
        <v>0</v>
      </c>
      <c r="F1213">
        <v>0</v>
      </c>
      <c r="G1213">
        <v>0</v>
      </c>
    </row>
    <row r="1214" spans="1:7" x14ac:dyDescent="0.2">
      <c r="A1214" t="s">
        <v>2051</v>
      </c>
      <c r="B1214">
        <v>0</v>
      </c>
      <c r="C1214">
        <v>0</v>
      </c>
      <c r="D1214">
        <v>0</v>
      </c>
      <c r="E1214">
        <v>0</v>
      </c>
      <c r="F1214">
        <v>6</v>
      </c>
      <c r="G1214">
        <v>6</v>
      </c>
    </row>
    <row r="1215" spans="1:7" x14ac:dyDescent="0.2">
      <c r="A1215" t="s">
        <v>2057</v>
      </c>
      <c r="B1215">
        <v>0</v>
      </c>
      <c r="C1215">
        <v>0</v>
      </c>
      <c r="D1215">
        <v>0</v>
      </c>
      <c r="E1215">
        <v>1</v>
      </c>
      <c r="F1215">
        <v>11</v>
      </c>
      <c r="G1215">
        <v>11</v>
      </c>
    </row>
    <row r="1216" spans="1:7" x14ac:dyDescent="0.2">
      <c r="A1216" t="s">
        <v>4344</v>
      </c>
      <c r="B1216">
        <v>0</v>
      </c>
      <c r="C1216">
        <v>0</v>
      </c>
      <c r="D1216">
        <v>0</v>
      </c>
      <c r="E1216">
        <v>3</v>
      </c>
      <c r="F1216">
        <v>1</v>
      </c>
      <c r="G1216">
        <v>3</v>
      </c>
    </row>
    <row r="1217" spans="1:7" x14ac:dyDescent="0.2">
      <c r="A1217" t="s">
        <v>4345</v>
      </c>
      <c r="B1217">
        <v>0</v>
      </c>
      <c r="C1217">
        <v>0</v>
      </c>
      <c r="D1217">
        <v>0</v>
      </c>
      <c r="E1217">
        <v>10</v>
      </c>
      <c r="F1217">
        <v>17</v>
      </c>
      <c r="G1217">
        <v>27</v>
      </c>
    </row>
    <row r="1218" spans="1:7" x14ac:dyDescent="0.2">
      <c r="A1218" t="s">
        <v>2074</v>
      </c>
      <c r="B1218">
        <v>0</v>
      </c>
      <c r="C1218">
        <v>0</v>
      </c>
      <c r="D1218">
        <v>0</v>
      </c>
      <c r="E1218">
        <v>0</v>
      </c>
      <c r="F1218">
        <v>0</v>
      </c>
      <c r="G1218">
        <v>0</v>
      </c>
    </row>
    <row r="1219" spans="1:7" x14ac:dyDescent="0.2">
      <c r="A1219" t="s">
        <v>2079</v>
      </c>
      <c r="B1219">
        <v>0</v>
      </c>
      <c r="C1219">
        <v>0</v>
      </c>
      <c r="D1219">
        <v>0</v>
      </c>
      <c r="E1219">
        <v>0</v>
      </c>
      <c r="F1219">
        <v>0</v>
      </c>
      <c r="G1219">
        <v>0</v>
      </c>
    </row>
    <row r="1220" spans="1:7" x14ac:dyDescent="0.2">
      <c r="A1220" t="s">
        <v>2085</v>
      </c>
      <c r="B1220">
        <v>0</v>
      </c>
      <c r="C1220">
        <v>0</v>
      </c>
      <c r="D1220">
        <v>0</v>
      </c>
      <c r="E1220">
        <v>0</v>
      </c>
      <c r="F1220">
        <v>0</v>
      </c>
      <c r="G1220">
        <v>0</v>
      </c>
    </row>
    <row r="1221" spans="1:7" x14ac:dyDescent="0.2">
      <c r="A1221" t="s">
        <v>2091</v>
      </c>
      <c r="B1221">
        <v>0</v>
      </c>
      <c r="C1221">
        <v>0</v>
      </c>
      <c r="D1221">
        <v>0</v>
      </c>
      <c r="E1221">
        <v>0</v>
      </c>
      <c r="F1221">
        <v>0</v>
      </c>
      <c r="G1221">
        <v>0</v>
      </c>
    </row>
    <row r="1222" spans="1:7" x14ac:dyDescent="0.2">
      <c r="A1222" t="s">
        <v>2097</v>
      </c>
      <c r="B1222">
        <v>0</v>
      </c>
      <c r="C1222">
        <v>0</v>
      </c>
      <c r="D1222">
        <v>0</v>
      </c>
      <c r="E1222">
        <v>0</v>
      </c>
      <c r="F1222">
        <v>0</v>
      </c>
      <c r="G1222">
        <v>0</v>
      </c>
    </row>
    <row r="1223" spans="1:7" x14ac:dyDescent="0.2">
      <c r="A1223" t="s">
        <v>2101</v>
      </c>
      <c r="B1223">
        <v>0</v>
      </c>
      <c r="C1223">
        <v>0</v>
      </c>
      <c r="D1223">
        <v>0</v>
      </c>
      <c r="E1223">
        <v>0</v>
      </c>
      <c r="F1223">
        <v>0</v>
      </c>
      <c r="G1223">
        <v>0</v>
      </c>
    </row>
    <row r="1224" spans="1:7" x14ac:dyDescent="0.2">
      <c r="A1224" t="s">
        <v>2104</v>
      </c>
      <c r="B1224">
        <v>0</v>
      </c>
      <c r="C1224">
        <v>0</v>
      </c>
      <c r="D1224">
        <v>0</v>
      </c>
      <c r="E1224">
        <v>0</v>
      </c>
      <c r="F1224">
        <v>0</v>
      </c>
      <c r="G1224">
        <v>0</v>
      </c>
    </row>
    <row r="1225" spans="1:7" x14ac:dyDescent="0.2">
      <c r="A1225" t="s">
        <v>2107</v>
      </c>
      <c r="B1225">
        <v>0</v>
      </c>
      <c r="C1225">
        <v>0</v>
      </c>
      <c r="D1225">
        <v>0</v>
      </c>
      <c r="E1225">
        <v>0</v>
      </c>
      <c r="F1225">
        <v>0</v>
      </c>
      <c r="G1225">
        <v>0</v>
      </c>
    </row>
    <row r="1226" spans="1:7" x14ac:dyDescent="0.2">
      <c r="A1226" t="s">
        <v>2110</v>
      </c>
      <c r="B1226">
        <v>0</v>
      </c>
      <c r="C1226">
        <v>0</v>
      </c>
      <c r="D1226">
        <v>0</v>
      </c>
      <c r="E1226">
        <v>0</v>
      </c>
      <c r="F1226">
        <v>0</v>
      </c>
      <c r="G1226">
        <v>0</v>
      </c>
    </row>
    <row r="1227" spans="1:7" x14ac:dyDescent="0.2">
      <c r="A1227" t="s">
        <v>2113</v>
      </c>
      <c r="B1227">
        <v>0</v>
      </c>
      <c r="C1227">
        <v>0</v>
      </c>
      <c r="D1227">
        <v>0</v>
      </c>
      <c r="E1227">
        <v>0</v>
      </c>
      <c r="F1227">
        <v>0</v>
      </c>
      <c r="G1227">
        <v>0</v>
      </c>
    </row>
    <row r="1228" spans="1:7" x14ac:dyDescent="0.2">
      <c r="A1228" t="s">
        <v>4346</v>
      </c>
      <c r="B1228">
        <v>0</v>
      </c>
      <c r="C1228">
        <v>0</v>
      </c>
      <c r="D1228">
        <v>0</v>
      </c>
      <c r="E1228">
        <v>0</v>
      </c>
      <c r="F1228">
        <v>0</v>
      </c>
      <c r="G1228">
        <v>0</v>
      </c>
    </row>
    <row r="1229" spans="1:7" x14ac:dyDescent="0.2">
      <c r="A1229" t="s">
        <v>4347</v>
      </c>
      <c r="B1229">
        <v>0</v>
      </c>
      <c r="C1229">
        <v>0</v>
      </c>
      <c r="D1229">
        <v>0</v>
      </c>
      <c r="E1229">
        <v>0</v>
      </c>
      <c r="F1229">
        <v>0</v>
      </c>
      <c r="G1229">
        <v>0</v>
      </c>
    </row>
    <row r="1230" spans="1:7" x14ac:dyDescent="0.2">
      <c r="A1230" t="s">
        <v>4348</v>
      </c>
      <c r="B1230">
        <v>0</v>
      </c>
      <c r="C1230">
        <v>0</v>
      </c>
      <c r="D1230">
        <v>0</v>
      </c>
      <c r="E1230">
        <v>0</v>
      </c>
      <c r="F1230">
        <v>0</v>
      </c>
      <c r="G1230">
        <v>0</v>
      </c>
    </row>
    <row r="1231" spans="1:7" x14ac:dyDescent="0.2">
      <c r="A1231" t="s">
        <v>4349</v>
      </c>
      <c r="B1231">
        <v>0</v>
      </c>
      <c r="C1231">
        <v>0</v>
      </c>
      <c r="D1231">
        <v>0</v>
      </c>
      <c r="E1231">
        <v>0</v>
      </c>
      <c r="F1231">
        <v>0</v>
      </c>
      <c r="G1231">
        <v>0</v>
      </c>
    </row>
    <row r="1232" spans="1:7" x14ac:dyDescent="0.2">
      <c r="A1232" t="s">
        <v>4350</v>
      </c>
      <c r="B1232">
        <v>0</v>
      </c>
      <c r="C1232">
        <v>3</v>
      </c>
      <c r="D1232">
        <v>4</v>
      </c>
      <c r="E1232">
        <v>0</v>
      </c>
      <c r="F1232">
        <v>0</v>
      </c>
      <c r="G1232">
        <v>7</v>
      </c>
    </row>
    <row r="1233" spans="1:7" x14ac:dyDescent="0.2">
      <c r="A1233" t="s">
        <v>4351</v>
      </c>
      <c r="B1233">
        <v>0</v>
      </c>
      <c r="C1233">
        <v>0</v>
      </c>
      <c r="D1233">
        <v>0</v>
      </c>
      <c r="E1233">
        <v>0</v>
      </c>
      <c r="F1233">
        <v>0</v>
      </c>
      <c r="G1233">
        <v>0</v>
      </c>
    </row>
    <row r="1234" spans="1:7" x14ac:dyDescent="0.2">
      <c r="A1234" t="s">
        <v>4352</v>
      </c>
      <c r="B1234">
        <v>0</v>
      </c>
      <c r="C1234">
        <v>0</v>
      </c>
      <c r="D1234">
        <v>0</v>
      </c>
      <c r="E1234">
        <v>0</v>
      </c>
      <c r="F1234">
        <v>0</v>
      </c>
      <c r="G1234">
        <v>0</v>
      </c>
    </row>
    <row r="1235" spans="1:7" x14ac:dyDescent="0.2">
      <c r="A1235" t="s">
        <v>4353</v>
      </c>
      <c r="B1235">
        <v>3</v>
      </c>
      <c r="C1235">
        <v>200</v>
      </c>
      <c r="D1235">
        <v>57</v>
      </c>
      <c r="E1235">
        <v>3</v>
      </c>
      <c r="F1235">
        <v>0</v>
      </c>
      <c r="G1235">
        <v>262</v>
      </c>
    </row>
    <row r="1236" spans="1:7" x14ac:dyDescent="0.2">
      <c r="A1236" t="s">
        <v>4354</v>
      </c>
      <c r="B1236">
        <v>9</v>
      </c>
      <c r="C1236">
        <v>119</v>
      </c>
      <c r="D1236">
        <v>35</v>
      </c>
      <c r="E1236">
        <v>1</v>
      </c>
      <c r="F1236">
        <v>0</v>
      </c>
      <c r="G1236">
        <v>164</v>
      </c>
    </row>
    <row r="1237" spans="1:7" x14ac:dyDescent="0.2">
      <c r="A1237" t="s">
        <v>4355</v>
      </c>
      <c r="B1237">
        <v>0</v>
      </c>
      <c r="C1237">
        <v>0</v>
      </c>
      <c r="D1237">
        <v>0</v>
      </c>
      <c r="E1237">
        <v>0</v>
      </c>
      <c r="F1237">
        <v>0</v>
      </c>
      <c r="G1237">
        <v>0</v>
      </c>
    </row>
    <row r="1238" spans="1:7" x14ac:dyDescent="0.2">
      <c r="A1238" t="s">
        <v>4356</v>
      </c>
      <c r="B1238">
        <v>0</v>
      </c>
      <c r="C1238">
        <v>0</v>
      </c>
      <c r="D1238">
        <v>0</v>
      </c>
      <c r="E1238">
        <v>0</v>
      </c>
      <c r="F1238">
        <v>0</v>
      </c>
      <c r="G1238">
        <v>0</v>
      </c>
    </row>
    <row r="1239" spans="1:7" x14ac:dyDescent="0.2">
      <c r="A1239" t="s">
        <v>4357</v>
      </c>
      <c r="B1239">
        <v>0</v>
      </c>
      <c r="C1239">
        <v>2</v>
      </c>
      <c r="D1239">
        <v>0</v>
      </c>
      <c r="E1239">
        <v>0</v>
      </c>
      <c r="F1239">
        <v>0</v>
      </c>
      <c r="G1239">
        <v>2</v>
      </c>
    </row>
    <row r="1240" spans="1:7" x14ac:dyDescent="0.2">
      <c r="A1240" t="s">
        <v>4358</v>
      </c>
      <c r="B1240">
        <v>0</v>
      </c>
      <c r="C1240">
        <v>1</v>
      </c>
      <c r="D1240">
        <v>0</v>
      </c>
      <c r="E1240">
        <v>0</v>
      </c>
      <c r="F1240">
        <v>0</v>
      </c>
      <c r="G1240">
        <v>1</v>
      </c>
    </row>
    <row r="1241" spans="1:7" x14ac:dyDescent="0.2">
      <c r="A1241" t="s">
        <v>4359</v>
      </c>
      <c r="B1241">
        <v>0</v>
      </c>
      <c r="C1241">
        <v>0</v>
      </c>
      <c r="D1241">
        <v>0</v>
      </c>
      <c r="E1241">
        <v>0</v>
      </c>
      <c r="F1241">
        <v>0</v>
      </c>
      <c r="G1241">
        <v>0</v>
      </c>
    </row>
    <row r="1242" spans="1:7" x14ac:dyDescent="0.2">
      <c r="A1242" t="s">
        <v>4360</v>
      </c>
      <c r="B1242">
        <v>0</v>
      </c>
      <c r="C1242">
        <v>0</v>
      </c>
      <c r="D1242">
        <v>0</v>
      </c>
      <c r="E1242">
        <v>17</v>
      </c>
      <c r="F1242">
        <v>0</v>
      </c>
      <c r="G1242">
        <v>17</v>
      </c>
    </row>
    <row r="1243" spans="1:7" x14ac:dyDescent="0.2">
      <c r="A1243" t="s">
        <v>4361</v>
      </c>
      <c r="B1243">
        <v>0</v>
      </c>
      <c r="C1243">
        <v>0</v>
      </c>
      <c r="D1243">
        <v>13</v>
      </c>
      <c r="E1243">
        <v>0</v>
      </c>
      <c r="F1243">
        <v>0</v>
      </c>
      <c r="G1243">
        <v>13</v>
      </c>
    </row>
    <row r="1244" spans="1:7" x14ac:dyDescent="0.2">
      <c r="A1244" t="s">
        <v>4362</v>
      </c>
      <c r="B1244">
        <v>0</v>
      </c>
      <c r="C1244">
        <v>0</v>
      </c>
      <c r="D1244">
        <v>0</v>
      </c>
      <c r="E1244">
        <v>0</v>
      </c>
      <c r="F1244">
        <v>0</v>
      </c>
      <c r="G1244">
        <v>0</v>
      </c>
    </row>
    <row r="1245" spans="1:7" x14ac:dyDescent="0.2">
      <c r="A1245" t="s">
        <v>4363</v>
      </c>
      <c r="B1245">
        <v>0</v>
      </c>
      <c r="C1245">
        <v>0</v>
      </c>
      <c r="D1245">
        <v>0</v>
      </c>
      <c r="E1245">
        <v>0</v>
      </c>
      <c r="F1245">
        <v>0</v>
      </c>
      <c r="G1245">
        <v>0</v>
      </c>
    </row>
    <row r="1246" spans="1:7" x14ac:dyDescent="0.2">
      <c r="A1246" t="s">
        <v>4364</v>
      </c>
      <c r="B1246">
        <v>0</v>
      </c>
      <c r="C1246">
        <v>0</v>
      </c>
      <c r="D1246">
        <v>0</v>
      </c>
      <c r="E1246">
        <v>0</v>
      </c>
      <c r="F1246">
        <v>0</v>
      </c>
      <c r="G1246">
        <v>0</v>
      </c>
    </row>
    <row r="1247" spans="1:7" x14ac:dyDescent="0.2">
      <c r="A1247" t="s">
        <v>4365</v>
      </c>
      <c r="B1247">
        <v>0</v>
      </c>
      <c r="C1247">
        <v>3</v>
      </c>
      <c r="D1247">
        <v>3</v>
      </c>
      <c r="E1247">
        <v>0</v>
      </c>
      <c r="F1247">
        <v>0</v>
      </c>
      <c r="G1247">
        <v>6</v>
      </c>
    </row>
    <row r="1248" spans="1:7" x14ac:dyDescent="0.2">
      <c r="A1248" t="s">
        <v>4366</v>
      </c>
      <c r="B1248">
        <v>0</v>
      </c>
      <c r="C1248">
        <v>0</v>
      </c>
      <c r="D1248">
        <v>0</v>
      </c>
      <c r="E1248">
        <v>0</v>
      </c>
      <c r="F1248">
        <v>0</v>
      </c>
      <c r="G1248">
        <v>0</v>
      </c>
    </row>
    <row r="1249" spans="1:10" x14ac:dyDescent="0.2">
      <c r="A1249" t="s">
        <v>4367</v>
      </c>
      <c r="B1249">
        <v>0</v>
      </c>
      <c r="C1249">
        <v>9</v>
      </c>
      <c r="D1249">
        <v>0</v>
      </c>
      <c r="E1249">
        <v>0</v>
      </c>
      <c r="F1249">
        <v>0</v>
      </c>
      <c r="G1249">
        <v>9</v>
      </c>
    </row>
    <row r="1250" spans="1:10" x14ac:dyDescent="0.2">
      <c r="A1250" t="s">
        <v>4368</v>
      </c>
      <c r="B1250">
        <v>6</v>
      </c>
      <c r="C1250">
        <v>28</v>
      </c>
      <c r="D1250">
        <v>36</v>
      </c>
      <c r="E1250">
        <v>47</v>
      </c>
      <c r="F1250">
        <v>3</v>
      </c>
      <c r="G1250">
        <v>120</v>
      </c>
    </row>
    <row r="1251" spans="1:10" x14ac:dyDescent="0.2">
      <c r="A1251" t="s">
        <v>4369</v>
      </c>
      <c r="B1251">
        <v>13</v>
      </c>
      <c r="C1251">
        <v>103</v>
      </c>
      <c r="D1251">
        <v>251</v>
      </c>
      <c r="E1251">
        <v>2</v>
      </c>
      <c r="F1251">
        <v>0</v>
      </c>
      <c r="G1251">
        <v>368</v>
      </c>
    </row>
    <row r="1252" spans="1:10" x14ac:dyDescent="0.2">
      <c r="A1252" t="s">
        <v>4370</v>
      </c>
      <c r="B1252">
        <v>2</v>
      </c>
      <c r="C1252">
        <v>2</v>
      </c>
      <c r="D1252">
        <v>0</v>
      </c>
      <c r="E1252">
        <v>0</v>
      </c>
      <c r="F1252">
        <v>0</v>
      </c>
      <c r="G1252">
        <v>4</v>
      </c>
    </row>
    <row r="1253" spans="1:10" x14ac:dyDescent="0.2">
      <c r="A1253" t="s">
        <v>4371</v>
      </c>
      <c r="B1253">
        <v>1</v>
      </c>
      <c r="C1253">
        <v>1</v>
      </c>
      <c r="D1253">
        <v>1</v>
      </c>
      <c r="E1253">
        <v>1</v>
      </c>
      <c r="F1253">
        <v>0</v>
      </c>
      <c r="G1253">
        <v>3</v>
      </c>
    </row>
    <row r="1254" spans="1:10" x14ac:dyDescent="0.2">
      <c r="A1254" t="s">
        <v>4372</v>
      </c>
      <c r="B1254">
        <v>0</v>
      </c>
      <c r="C1254">
        <v>0</v>
      </c>
      <c r="D1254">
        <v>0</v>
      </c>
      <c r="E1254">
        <v>0</v>
      </c>
      <c r="F1254">
        <v>0</v>
      </c>
      <c r="G1254">
        <v>0</v>
      </c>
    </row>
    <row r="1255" spans="1:10" x14ac:dyDescent="0.2">
      <c r="A1255" t="s">
        <v>4373</v>
      </c>
      <c r="B1255">
        <v>0</v>
      </c>
      <c r="C1255">
        <v>0</v>
      </c>
      <c r="D1255">
        <v>0</v>
      </c>
      <c r="E1255">
        <v>0</v>
      </c>
      <c r="F1255">
        <v>0</v>
      </c>
      <c r="G1255">
        <v>0</v>
      </c>
    </row>
    <row r="1256" spans="1:10" x14ac:dyDescent="0.2">
      <c r="A1256" t="s">
        <v>4374</v>
      </c>
      <c r="B1256">
        <v>0</v>
      </c>
      <c r="C1256">
        <v>0</v>
      </c>
      <c r="D1256">
        <v>0</v>
      </c>
      <c r="E1256">
        <v>0</v>
      </c>
      <c r="F1256">
        <v>0</v>
      </c>
      <c r="G1256">
        <v>0</v>
      </c>
    </row>
    <row r="1257" spans="1:10" x14ac:dyDescent="0.2">
      <c r="A1257" t="s">
        <v>4375</v>
      </c>
      <c r="B1257">
        <v>0</v>
      </c>
      <c r="C1257">
        <v>0</v>
      </c>
      <c r="D1257">
        <v>0</v>
      </c>
      <c r="E1257">
        <v>0</v>
      </c>
      <c r="F1257">
        <v>0</v>
      </c>
      <c r="G1257">
        <v>0</v>
      </c>
    </row>
    <row r="1258" spans="1:10" x14ac:dyDescent="0.2">
      <c r="A1258" t="s">
        <v>4376</v>
      </c>
      <c r="B1258">
        <v>0</v>
      </c>
      <c r="C1258">
        <v>0</v>
      </c>
      <c r="D1258">
        <v>0</v>
      </c>
      <c r="E1258">
        <v>0</v>
      </c>
      <c r="F1258">
        <v>0</v>
      </c>
      <c r="G1258">
        <v>0</v>
      </c>
    </row>
    <row r="1259" spans="1:10" x14ac:dyDescent="0.2">
      <c r="A1259" t="s">
        <v>4377</v>
      </c>
      <c r="B1259">
        <v>0</v>
      </c>
      <c r="C1259">
        <v>0</v>
      </c>
      <c r="D1259">
        <v>0</v>
      </c>
      <c r="E1259">
        <v>0</v>
      </c>
      <c r="F1259">
        <v>0</v>
      </c>
      <c r="G1259">
        <v>0</v>
      </c>
    </row>
    <row r="1260" spans="1:10" x14ac:dyDescent="0.2">
      <c r="A1260" t="s">
        <v>2318</v>
      </c>
      <c r="B1260" t="s">
        <v>2319</v>
      </c>
      <c r="C1260" t="s">
        <v>2319</v>
      </c>
      <c r="D1260" t="s">
        <v>2319</v>
      </c>
      <c r="E1260" t="s">
        <v>2319</v>
      </c>
      <c r="F1260" t="s">
        <v>2319</v>
      </c>
      <c r="G1260" t="s">
        <v>2319</v>
      </c>
    </row>
    <row r="1261" spans="1:10" x14ac:dyDescent="0.2">
      <c r="A1261" t="s">
        <v>4248</v>
      </c>
    </row>
    <row r="1262" spans="1:10" x14ac:dyDescent="0.2">
      <c r="A1262" t="s">
        <v>4250</v>
      </c>
      <c r="C1262" t="s">
        <v>4251</v>
      </c>
      <c r="G1262" t="s">
        <v>7531</v>
      </c>
      <c r="J1262"/>
    </row>
    <row r="1263" spans="1:10" x14ac:dyDescent="0.2">
      <c r="A1263" t="s">
        <v>4925</v>
      </c>
      <c r="G1263" t="s">
        <v>7537</v>
      </c>
      <c r="J1263"/>
    </row>
    <row r="1264" spans="1:10" x14ac:dyDescent="0.2">
      <c r="A1264" t="s">
        <v>7530</v>
      </c>
      <c r="J1264"/>
    </row>
    <row r="1265" spans="1:10" x14ac:dyDescent="0.2">
      <c r="A1265" t="s">
        <v>4950</v>
      </c>
      <c r="J1265"/>
    </row>
    <row r="1266" spans="1:10" x14ac:dyDescent="0.2">
      <c r="J1266"/>
    </row>
    <row r="1267" spans="1:10" x14ac:dyDescent="0.2">
      <c r="A1267" t="s">
        <v>4259</v>
      </c>
      <c r="J1267"/>
    </row>
    <row r="1268" spans="1:10" x14ac:dyDescent="0.2">
      <c r="A1268" t="s">
        <v>2318</v>
      </c>
      <c r="B1268" t="s">
        <v>2319</v>
      </c>
      <c r="C1268" t="s">
        <v>2319</v>
      </c>
      <c r="D1268" t="s">
        <v>2319</v>
      </c>
      <c r="E1268" t="s">
        <v>2319</v>
      </c>
      <c r="F1268" t="s">
        <v>2319</v>
      </c>
      <c r="G1268" t="s">
        <v>2319</v>
      </c>
    </row>
    <row r="1269" spans="1:10" x14ac:dyDescent="0.2">
      <c r="A1269" t="s">
        <v>174</v>
      </c>
      <c r="B1269" t="s">
        <v>4945</v>
      </c>
      <c r="C1269" t="s">
        <v>4946</v>
      </c>
      <c r="D1269" t="s">
        <v>4947</v>
      </c>
      <c r="E1269" t="s">
        <v>4948</v>
      </c>
      <c r="F1269" t="s">
        <v>4949</v>
      </c>
    </row>
    <row r="1270" spans="1:10" x14ac:dyDescent="0.2">
      <c r="A1270" t="s">
        <v>126</v>
      </c>
      <c r="B1270" t="s">
        <v>4262</v>
      </c>
      <c r="C1270" t="s">
        <v>4263</v>
      </c>
      <c r="D1270" t="s">
        <v>4264</v>
      </c>
      <c r="E1270" t="s">
        <v>2308</v>
      </c>
      <c r="F1270" t="s">
        <v>615</v>
      </c>
      <c r="G1270" t="s">
        <v>236</v>
      </c>
    </row>
    <row r="1271" spans="1:10" x14ac:dyDescent="0.2">
      <c r="A1271" t="s">
        <v>2318</v>
      </c>
      <c r="B1271" t="s">
        <v>2319</v>
      </c>
      <c r="C1271" t="s">
        <v>2319</v>
      </c>
      <c r="D1271" t="s">
        <v>2319</v>
      </c>
      <c r="E1271" t="s">
        <v>2319</v>
      </c>
      <c r="F1271" t="s">
        <v>2319</v>
      </c>
      <c r="G1271" t="s">
        <v>2319</v>
      </c>
    </row>
    <row r="1272" spans="1:10" x14ac:dyDescent="0.2">
      <c r="A1272" t="s">
        <v>4265</v>
      </c>
      <c r="B1272">
        <v>0</v>
      </c>
      <c r="C1272">
        <v>0</v>
      </c>
      <c r="D1272">
        <v>0</v>
      </c>
      <c r="E1272">
        <v>0</v>
      </c>
      <c r="F1272">
        <v>0</v>
      </c>
      <c r="G1272">
        <v>0</v>
      </c>
    </row>
    <row r="1273" spans="1:10" x14ac:dyDescent="0.2">
      <c r="A1273" t="s">
        <v>4266</v>
      </c>
      <c r="B1273">
        <v>0</v>
      </c>
      <c r="C1273">
        <v>0</v>
      </c>
      <c r="D1273">
        <v>0</v>
      </c>
      <c r="E1273">
        <v>0</v>
      </c>
      <c r="F1273">
        <v>0</v>
      </c>
      <c r="G1273">
        <v>0</v>
      </c>
    </row>
    <row r="1274" spans="1:10" x14ac:dyDescent="0.2">
      <c r="A1274" t="s">
        <v>4267</v>
      </c>
      <c r="B1274">
        <v>0</v>
      </c>
      <c r="C1274">
        <v>0</v>
      </c>
      <c r="D1274">
        <v>0</v>
      </c>
      <c r="E1274">
        <v>0</v>
      </c>
      <c r="F1274">
        <v>0</v>
      </c>
      <c r="G1274">
        <v>0</v>
      </c>
    </row>
    <row r="1275" spans="1:10" x14ac:dyDescent="0.2">
      <c r="A1275" t="s">
        <v>4268</v>
      </c>
      <c r="B1275">
        <v>0</v>
      </c>
      <c r="C1275">
        <v>0</v>
      </c>
      <c r="D1275">
        <v>0</v>
      </c>
      <c r="E1275">
        <v>0</v>
      </c>
      <c r="F1275">
        <v>0</v>
      </c>
      <c r="G1275">
        <v>0</v>
      </c>
    </row>
    <row r="1276" spans="1:10" x14ac:dyDescent="0.2">
      <c r="A1276" t="s">
        <v>4269</v>
      </c>
      <c r="B1276">
        <v>0</v>
      </c>
      <c r="C1276">
        <v>0</v>
      </c>
      <c r="D1276">
        <v>0</v>
      </c>
      <c r="E1276">
        <v>0</v>
      </c>
      <c r="F1276">
        <v>0</v>
      </c>
      <c r="G1276">
        <v>0</v>
      </c>
    </row>
    <row r="1277" spans="1:10" x14ac:dyDescent="0.2">
      <c r="A1277" t="s">
        <v>4270</v>
      </c>
      <c r="B1277">
        <v>0</v>
      </c>
      <c r="C1277">
        <v>0</v>
      </c>
      <c r="D1277">
        <v>0</v>
      </c>
      <c r="E1277">
        <v>0</v>
      </c>
      <c r="F1277">
        <v>0</v>
      </c>
      <c r="G1277">
        <v>0</v>
      </c>
    </row>
    <row r="1278" spans="1:10" x14ac:dyDescent="0.2">
      <c r="A1278" t="s">
        <v>4271</v>
      </c>
      <c r="B1278">
        <v>0</v>
      </c>
      <c r="C1278">
        <v>0</v>
      </c>
      <c r="D1278">
        <v>0</v>
      </c>
      <c r="E1278">
        <v>0</v>
      </c>
      <c r="F1278">
        <v>0</v>
      </c>
      <c r="G1278">
        <v>0</v>
      </c>
    </row>
    <row r="1279" spans="1:10" x14ac:dyDescent="0.2">
      <c r="A1279" t="s">
        <v>4272</v>
      </c>
      <c r="B1279">
        <v>0</v>
      </c>
      <c r="C1279">
        <v>0</v>
      </c>
      <c r="D1279">
        <v>0</v>
      </c>
      <c r="E1279">
        <v>0</v>
      </c>
      <c r="F1279">
        <v>0</v>
      </c>
      <c r="G1279">
        <v>0</v>
      </c>
    </row>
    <row r="1280" spans="1:10" x14ac:dyDescent="0.2">
      <c r="A1280" t="s">
        <v>4273</v>
      </c>
      <c r="B1280">
        <v>0</v>
      </c>
      <c r="C1280">
        <v>0</v>
      </c>
      <c r="D1280">
        <v>0</v>
      </c>
      <c r="E1280">
        <v>0</v>
      </c>
      <c r="F1280">
        <v>0</v>
      </c>
      <c r="G1280">
        <v>0</v>
      </c>
    </row>
    <row r="1281" spans="1:7" x14ac:dyDescent="0.2">
      <c r="A1281" t="s">
        <v>4274</v>
      </c>
      <c r="B1281">
        <v>0</v>
      </c>
      <c r="C1281">
        <v>0</v>
      </c>
      <c r="D1281">
        <v>0</v>
      </c>
      <c r="E1281">
        <v>0</v>
      </c>
      <c r="F1281">
        <v>0</v>
      </c>
      <c r="G1281">
        <v>0</v>
      </c>
    </row>
    <row r="1282" spans="1:7" x14ac:dyDescent="0.2">
      <c r="A1282" t="s">
        <v>4275</v>
      </c>
      <c r="B1282">
        <v>0</v>
      </c>
      <c r="C1282">
        <v>0</v>
      </c>
      <c r="D1282">
        <v>0</v>
      </c>
      <c r="E1282">
        <v>0</v>
      </c>
      <c r="F1282">
        <v>0</v>
      </c>
      <c r="G1282">
        <v>0</v>
      </c>
    </row>
    <row r="1283" spans="1:7" x14ac:dyDescent="0.2">
      <c r="A1283" t="s">
        <v>4276</v>
      </c>
      <c r="B1283">
        <v>0</v>
      </c>
      <c r="C1283">
        <v>0</v>
      </c>
      <c r="D1283">
        <v>0</v>
      </c>
      <c r="E1283">
        <v>0</v>
      </c>
      <c r="F1283">
        <v>0</v>
      </c>
      <c r="G1283">
        <v>0</v>
      </c>
    </row>
    <row r="1284" spans="1:7" x14ac:dyDescent="0.2">
      <c r="A1284" t="s">
        <v>4277</v>
      </c>
      <c r="B1284">
        <v>0</v>
      </c>
      <c r="C1284">
        <v>0</v>
      </c>
      <c r="D1284">
        <v>0</v>
      </c>
      <c r="E1284">
        <v>0</v>
      </c>
      <c r="F1284">
        <v>0</v>
      </c>
      <c r="G1284">
        <v>0</v>
      </c>
    </row>
    <row r="1285" spans="1:7" x14ac:dyDescent="0.2">
      <c r="A1285" t="s">
        <v>4278</v>
      </c>
      <c r="B1285">
        <v>0</v>
      </c>
      <c r="C1285">
        <v>0</v>
      </c>
      <c r="D1285">
        <v>0</v>
      </c>
      <c r="E1285">
        <v>0</v>
      </c>
      <c r="F1285">
        <v>0</v>
      </c>
      <c r="G1285">
        <v>0</v>
      </c>
    </row>
    <row r="1286" spans="1:7" x14ac:dyDescent="0.2">
      <c r="A1286" t="s">
        <v>4279</v>
      </c>
      <c r="B1286">
        <v>0</v>
      </c>
      <c r="C1286">
        <v>0</v>
      </c>
      <c r="D1286">
        <v>0</v>
      </c>
      <c r="E1286">
        <v>0</v>
      </c>
      <c r="F1286">
        <v>0</v>
      </c>
      <c r="G1286">
        <v>0</v>
      </c>
    </row>
    <row r="1287" spans="1:7" x14ac:dyDescent="0.2">
      <c r="A1287" t="s">
        <v>4280</v>
      </c>
      <c r="B1287">
        <v>0</v>
      </c>
      <c r="C1287">
        <v>0</v>
      </c>
      <c r="D1287">
        <v>0</v>
      </c>
      <c r="E1287">
        <v>0</v>
      </c>
      <c r="F1287">
        <v>0</v>
      </c>
      <c r="G1287">
        <v>0</v>
      </c>
    </row>
    <row r="1288" spans="1:7" x14ac:dyDescent="0.2">
      <c r="A1288" t="s">
        <v>4281</v>
      </c>
      <c r="B1288">
        <v>16</v>
      </c>
      <c r="C1288">
        <v>9</v>
      </c>
      <c r="D1288">
        <v>14</v>
      </c>
      <c r="E1288">
        <v>0</v>
      </c>
      <c r="F1288">
        <v>0</v>
      </c>
      <c r="G1288">
        <v>40</v>
      </c>
    </row>
    <row r="1289" spans="1:7" x14ac:dyDescent="0.2">
      <c r="A1289" t="s">
        <v>4282</v>
      </c>
      <c r="B1289">
        <v>2</v>
      </c>
      <c r="C1289">
        <v>5</v>
      </c>
      <c r="D1289">
        <v>3</v>
      </c>
      <c r="E1289">
        <v>0</v>
      </c>
      <c r="F1289">
        <v>0</v>
      </c>
      <c r="G1289">
        <v>10</v>
      </c>
    </row>
    <row r="1290" spans="1:7" x14ac:dyDescent="0.2">
      <c r="A1290" t="s">
        <v>4283</v>
      </c>
      <c r="B1290">
        <v>2</v>
      </c>
      <c r="C1290">
        <v>2</v>
      </c>
      <c r="D1290">
        <v>2</v>
      </c>
      <c r="E1290">
        <v>0</v>
      </c>
      <c r="F1290">
        <v>0</v>
      </c>
      <c r="G1290">
        <v>5</v>
      </c>
    </row>
    <row r="1291" spans="1:7" x14ac:dyDescent="0.2">
      <c r="A1291" t="s">
        <v>4284</v>
      </c>
      <c r="B1291">
        <v>0</v>
      </c>
      <c r="C1291">
        <v>0</v>
      </c>
      <c r="D1291">
        <v>0</v>
      </c>
      <c r="E1291">
        <v>0</v>
      </c>
      <c r="F1291">
        <v>0</v>
      </c>
      <c r="G1291">
        <v>0</v>
      </c>
    </row>
    <row r="1292" spans="1:7" x14ac:dyDescent="0.2">
      <c r="A1292" t="s">
        <v>4285</v>
      </c>
      <c r="B1292">
        <v>11</v>
      </c>
      <c r="C1292">
        <v>13</v>
      </c>
      <c r="D1292">
        <v>7</v>
      </c>
      <c r="E1292">
        <v>3</v>
      </c>
      <c r="F1292">
        <v>0</v>
      </c>
      <c r="G1292">
        <v>33</v>
      </c>
    </row>
    <row r="1293" spans="1:7" x14ac:dyDescent="0.2">
      <c r="A1293" t="s">
        <v>4286</v>
      </c>
      <c r="B1293">
        <v>1</v>
      </c>
      <c r="C1293">
        <v>0</v>
      </c>
      <c r="D1293">
        <v>0</v>
      </c>
      <c r="E1293">
        <v>0</v>
      </c>
      <c r="F1293">
        <v>0</v>
      </c>
      <c r="G1293">
        <v>2</v>
      </c>
    </row>
    <row r="1294" spans="1:7" x14ac:dyDescent="0.2">
      <c r="A1294" t="s">
        <v>4287</v>
      </c>
      <c r="B1294">
        <v>0</v>
      </c>
      <c r="C1294">
        <v>0</v>
      </c>
      <c r="D1294">
        <v>0</v>
      </c>
      <c r="E1294">
        <v>0</v>
      </c>
      <c r="F1294">
        <v>0</v>
      </c>
      <c r="G1294">
        <v>0</v>
      </c>
    </row>
    <row r="1295" spans="1:7" x14ac:dyDescent="0.2">
      <c r="A1295" t="s">
        <v>4288</v>
      </c>
      <c r="B1295">
        <v>0</v>
      </c>
      <c r="C1295">
        <v>0</v>
      </c>
      <c r="D1295">
        <v>0</v>
      </c>
      <c r="E1295">
        <v>0</v>
      </c>
      <c r="F1295">
        <v>0</v>
      </c>
      <c r="G1295">
        <v>0</v>
      </c>
    </row>
    <row r="1296" spans="1:7" x14ac:dyDescent="0.2">
      <c r="A1296" t="s">
        <v>4289</v>
      </c>
      <c r="B1296">
        <v>0</v>
      </c>
      <c r="C1296">
        <v>0</v>
      </c>
      <c r="D1296">
        <v>0</v>
      </c>
      <c r="E1296">
        <v>0</v>
      </c>
      <c r="F1296">
        <v>0</v>
      </c>
      <c r="G1296">
        <v>0</v>
      </c>
    </row>
    <row r="1297" spans="1:7" x14ac:dyDescent="0.2">
      <c r="A1297" t="s">
        <v>4290</v>
      </c>
      <c r="B1297">
        <v>0</v>
      </c>
      <c r="C1297">
        <v>0</v>
      </c>
      <c r="D1297">
        <v>0</v>
      </c>
      <c r="E1297">
        <v>0</v>
      </c>
      <c r="F1297">
        <v>0</v>
      </c>
      <c r="G1297">
        <v>0</v>
      </c>
    </row>
    <row r="1298" spans="1:7" x14ac:dyDescent="0.2">
      <c r="A1298" t="s">
        <v>4291</v>
      </c>
      <c r="B1298">
        <v>0</v>
      </c>
      <c r="C1298">
        <v>0</v>
      </c>
      <c r="D1298">
        <v>0</v>
      </c>
      <c r="E1298">
        <v>0</v>
      </c>
      <c r="F1298">
        <v>0</v>
      </c>
      <c r="G1298">
        <v>0</v>
      </c>
    </row>
    <row r="1299" spans="1:7" x14ac:dyDescent="0.2">
      <c r="A1299" t="s">
        <v>4292</v>
      </c>
      <c r="B1299">
        <v>0</v>
      </c>
      <c r="C1299">
        <v>0</v>
      </c>
      <c r="D1299">
        <v>0</v>
      </c>
      <c r="E1299">
        <v>0</v>
      </c>
      <c r="F1299">
        <v>0</v>
      </c>
      <c r="G1299">
        <v>0</v>
      </c>
    </row>
    <row r="1300" spans="1:7" x14ac:dyDescent="0.2">
      <c r="A1300" t="s">
        <v>4293</v>
      </c>
      <c r="B1300">
        <v>0</v>
      </c>
      <c r="C1300">
        <v>0</v>
      </c>
      <c r="D1300">
        <v>0</v>
      </c>
      <c r="E1300">
        <v>0</v>
      </c>
      <c r="F1300">
        <v>0</v>
      </c>
      <c r="G1300">
        <v>0</v>
      </c>
    </row>
    <row r="1301" spans="1:7" x14ac:dyDescent="0.2">
      <c r="A1301" t="s">
        <v>4294</v>
      </c>
      <c r="B1301">
        <v>0</v>
      </c>
      <c r="C1301">
        <v>0</v>
      </c>
      <c r="D1301">
        <v>0</v>
      </c>
      <c r="E1301">
        <v>0</v>
      </c>
      <c r="F1301">
        <v>0</v>
      </c>
      <c r="G1301">
        <v>0</v>
      </c>
    </row>
    <row r="1302" spans="1:7" x14ac:dyDescent="0.2">
      <c r="A1302" t="s">
        <v>4295</v>
      </c>
      <c r="B1302">
        <v>0</v>
      </c>
      <c r="C1302">
        <v>0</v>
      </c>
      <c r="D1302">
        <v>0</v>
      </c>
      <c r="E1302">
        <v>0</v>
      </c>
      <c r="F1302">
        <v>0</v>
      </c>
      <c r="G1302">
        <v>0</v>
      </c>
    </row>
    <row r="1303" spans="1:7" x14ac:dyDescent="0.2">
      <c r="A1303" t="s">
        <v>4296</v>
      </c>
      <c r="B1303">
        <v>0</v>
      </c>
      <c r="C1303">
        <v>0</v>
      </c>
      <c r="D1303">
        <v>0</v>
      </c>
      <c r="E1303">
        <v>0</v>
      </c>
      <c r="F1303">
        <v>0</v>
      </c>
      <c r="G1303">
        <v>0</v>
      </c>
    </row>
    <row r="1304" spans="1:7" x14ac:dyDescent="0.2">
      <c r="A1304" t="s">
        <v>4297</v>
      </c>
      <c r="B1304">
        <v>1</v>
      </c>
      <c r="C1304">
        <v>11</v>
      </c>
      <c r="D1304">
        <v>13</v>
      </c>
      <c r="E1304">
        <v>0</v>
      </c>
      <c r="F1304">
        <v>0</v>
      </c>
      <c r="G1304">
        <v>25</v>
      </c>
    </row>
    <row r="1305" spans="1:7" x14ac:dyDescent="0.2">
      <c r="A1305" t="s">
        <v>4298</v>
      </c>
      <c r="B1305">
        <v>3</v>
      </c>
      <c r="C1305">
        <v>13</v>
      </c>
      <c r="D1305">
        <v>2</v>
      </c>
      <c r="E1305">
        <v>1</v>
      </c>
      <c r="F1305">
        <v>0</v>
      </c>
      <c r="G1305">
        <v>19</v>
      </c>
    </row>
    <row r="1306" spans="1:7" x14ac:dyDescent="0.2">
      <c r="A1306" t="s">
        <v>4299</v>
      </c>
      <c r="B1306">
        <v>7</v>
      </c>
      <c r="C1306">
        <v>23</v>
      </c>
      <c r="D1306">
        <v>17</v>
      </c>
      <c r="E1306">
        <v>5</v>
      </c>
      <c r="F1306">
        <v>0</v>
      </c>
      <c r="G1306">
        <v>51</v>
      </c>
    </row>
    <row r="1307" spans="1:7" x14ac:dyDescent="0.2">
      <c r="A1307" t="s">
        <v>4300</v>
      </c>
      <c r="B1307">
        <v>0</v>
      </c>
      <c r="C1307">
        <v>0</v>
      </c>
      <c r="D1307">
        <v>0</v>
      </c>
      <c r="E1307">
        <v>0</v>
      </c>
      <c r="F1307">
        <v>0</v>
      </c>
      <c r="G1307">
        <v>1</v>
      </c>
    </row>
    <row r="1308" spans="1:7" x14ac:dyDescent="0.2">
      <c r="A1308" t="s">
        <v>4301</v>
      </c>
      <c r="B1308">
        <v>0</v>
      </c>
      <c r="C1308">
        <v>53</v>
      </c>
      <c r="D1308">
        <v>52</v>
      </c>
      <c r="E1308">
        <v>18</v>
      </c>
      <c r="F1308">
        <v>0</v>
      </c>
      <c r="G1308">
        <v>122</v>
      </c>
    </row>
    <row r="1309" spans="1:7" x14ac:dyDescent="0.2">
      <c r="A1309" t="s">
        <v>4302</v>
      </c>
      <c r="B1309">
        <v>1</v>
      </c>
      <c r="C1309">
        <v>10</v>
      </c>
      <c r="D1309">
        <v>46</v>
      </c>
      <c r="E1309">
        <v>14</v>
      </c>
      <c r="F1309">
        <v>0</v>
      </c>
      <c r="G1309">
        <v>71</v>
      </c>
    </row>
    <row r="1310" spans="1:7" x14ac:dyDescent="0.2">
      <c r="A1310" t="s">
        <v>4303</v>
      </c>
      <c r="B1310">
        <v>1</v>
      </c>
      <c r="C1310">
        <v>9</v>
      </c>
      <c r="D1310">
        <v>60</v>
      </c>
      <c r="E1310">
        <v>11</v>
      </c>
      <c r="F1310">
        <v>0</v>
      </c>
      <c r="G1310">
        <v>82</v>
      </c>
    </row>
    <row r="1311" spans="1:7" x14ac:dyDescent="0.2">
      <c r="A1311" t="s">
        <v>4304</v>
      </c>
      <c r="B1311">
        <v>3</v>
      </c>
      <c r="C1311">
        <v>9</v>
      </c>
      <c r="D1311">
        <v>16</v>
      </c>
      <c r="E1311">
        <v>12</v>
      </c>
      <c r="F1311">
        <v>0</v>
      </c>
      <c r="G1311">
        <v>40</v>
      </c>
    </row>
    <row r="1312" spans="1:7" x14ac:dyDescent="0.2">
      <c r="A1312" t="s">
        <v>4305</v>
      </c>
      <c r="B1312">
        <v>208</v>
      </c>
      <c r="C1312">
        <v>87</v>
      </c>
      <c r="D1312">
        <v>118</v>
      </c>
      <c r="E1312">
        <v>38</v>
      </c>
      <c r="F1312">
        <v>0</v>
      </c>
      <c r="G1312">
        <v>451</v>
      </c>
    </row>
    <row r="1313" spans="1:7" x14ac:dyDescent="0.2">
      <c r="A1313" t="s">
        <v>4306</v>
      </c>
      <c r="B1313">
        <v>1</v>
      </c>
      <c r="C1313">
        <v>18</v>
      </c>
      <c r="D1313">
        <v>4</v>
      </c>
      <c r="E1313">
        <v>4</v>
      </c>
      <c r="F1313">
        <v>0</v>
      </c>
      <c r="G1313">
        <v>27</v>
      </c>
    </row>
    <row r="1314" spans="1:7" x14ac:dyDescent="0.2">
      <c r="A1314" t="s">
        <v>4307</v>
      </c>
      <c r="B1314">
        <v>5</v>
      </c>
      <c r="C1314">
        <v>57</v>
      </c>
      <c r="D1314">
        <v>191</v>
      </c>
      <c r="E1314">
        <v>57</v>
      </c>
      <c r="F1314">
        <v>0</v>
      </c>
      <c r="G1314">
        <v>309</v>
      </c>
    </row>
    <row r="1315" spans="1:7" x14ac:dyDescent="0.2">
      <c r="A1315" t="s">
        <v>4308</v>
      </c>
      <c r="B1315">
        <v>0</v>
      </c>
      <c r="C1315">
        <v>0</v>
      </c>
      <c r="D1315">
        <v>9</v>
      </c>
      <c r="E1315">
        <v>3</v>
      </c>
      <c r="F1315">
        <v>0</v>
      </c>
      <c r="G1315">
        <v>11</v>
      </c>
    </row>
    <row r="1316" spans="1:7" x14ac:dyDescent="0.2">
      <c r="A1316" t="s">
        <v>4309</v>
      </c>
      <c r="B1316">
        <v>0</v>
      </c>
      <c r="C1316">
        <v>0</v>
      </c>
      <c r="D1316">
        <v>0</v>
      </c>
      <c r="E1316">
        <v>0</v>
      </c>
      <c r="F1316">
        <v>0</v>
      </c>
      <c r="G1316">
        <v>0</v>
      </c>
    </row>
    <row r="1317" spans="1:7" x14ac:dyDescent="0.2">
      <c r="A1317" t="s">
        <v>4310</v>
      </c>
      <c r="B1317">
        <v>0</v>
      </c>
      <c r="C1317">
        <v>0</v>
      </c>
      <c r="D1317">
        <v>0</v>
      </c>
      <c r="E1317">
        <v>0</v>
      </c>
      <c r="F1317">
        <v>0</v>
      </c>
      <c r="G1317">
        <v>0</v>
      </c>
    </row>
    <row r="1318" spans="1:7" x14ac:dyDescent="0.2">
      <c r="A1318" t="s">
        <v>4311</v>
      </c>
      <c r="B1318">
        <v>0</v>
      </c>
      <c r="C1318">
        <v>0</v>
      </c>
      <c r="D1318">
        <v>0</v>
      </c>
      <c r="E1318">
        <v>0</v>
      </c>
      <c r="F1318">
        <v>0</v>
      </c>
      <c r="G1318">
        <v>0</v>
      </c>
    </row>
    <row r="1319" spans="1:7" x14ac:dyDescent="0.2">
      <c r="A1319" t="s">
        <v>4312</v>
      </c>
      <c r="B1319">
        <v>0</v>
      </c>
      <c r="C1319">
        <v>0</v>
      </c>
      <c r="D1319">
        <v>0</v>
      </c>
      <c r="E1319">
        <v>0</v>
      </c>
      <c r="F1319">
        <v>0</v>
      </c>
      <c r="G1319">
        <v>0</v>
      </c>
    </row>
    <row r="1320" spans="1:7" x14ac:dyDescent="0.2">
      <c r="A1320" t="s">
        <v>4313</v>
      </c>
      <c r="B1320">
        <v>0</v>
      </c>
      <c r="C1320">
        <v>0</v>
      </c>
      <c r="D1320">
        <v>0</v>
      </c>
      <c r="E1320">
        <v>0</v>
      </c>
      <c r="F1320">
        <v>0</v>
      </c>
      <c r="G1320">
        <v>0</v>
      </c>
    </row>
    <row r="1321" spans="1:7" x14ac:dyDescent="0.2">
      <c r="A1321" t="s">
        <v>4314</v>
      </c>
      <c r="B1321">
        <v>0</v>
      </c>
      <c r="C1321">
        <v>0</v>
      </c>
      <c r="D1321">
        <v>0</v>
      </c>
      <c r="E1321">
        <v>0</v>
      </c>
      <c r="F1321">
        <v>0</v>
      </c>
      <c r="G1321">
        <v>0</v>
      </c>
    </row>
    <row r="1322" spans="1:7" x14ac:dyDescent="0.2">
      <c r="A1322" t="s">
        <v>4315</v>
      </c>
      <c r="B1322">
        <v>0</v>
      </c>
      <c r="C1322">
        <v>0</v>
      </c>
      <c r="D1322">
        <v>0</v>
      </c>
      <c r="E1322">
        <v>0</v>
      </c>
      <c r="F1322">
        <v>0</v>
      </c>
      <c r="G1322">
        <v>0</v>
      </c>
    </row>
    <row r="1323" spans="1:7" x14ac:dyDescent="0.2">
      <c r="A1323" t="s">
        <v>4316</v>
      </c>
      <c r="B1323">
        <v>0</v>
      </c>
      <c r="C1323">
        <v>0</v>
      </c>
      <c r="D1323">
        <v>0</v>
      </c>
      <c r="E1323">
        <v>0</v>
      </c>
      <c r="F1323">
        <v>0</v>
      </c>
      <c r="G1323">
        <v>0</v>
      </c>
    </row>
    <row r="1324" spans="1:7" x14ac:dyDescent="0.2">
      <c r="A1324" t="s">
        <v>4317</v>
      </c>
      <c r="B1324">
        <v>0</v>
      </c>
      <c r="C1324">
        <v>0</v>
      </c>
      <c r="D1324">
        <v>0</v>
      </c>
      <c r="E1324">
        <v>0</v>
      </c>
      <c r="F1324">
        <v>0</v>
      </c>
      <c r="G1324">
        <v>0</v>
      </c>
    </row>
    <row r="1325" spans="1:7" x14ac:dyDescent="0.2">
      <c r="A1325" t="s">
        <v>4318</v>
      </c>
      <c r="B1325">
        <v>0</v>
      </c>
      <c r="C1325">
        <v>0</v>
      </c>
      <c r="D1325">
        <v>0</v>
      </c>
      <c r="E1325">
        <v>0</v>
      </c>
      <c r="F1325">
        <v>0</v>
      </c>
      <c r="G1325">
        <v>0</v>
      </c>
    </row>
    <row r="1326" spans="1:7" x14ac:dyDescent="0.2">
      <c r="A1326" t="s">
        <v>4319</v>
      </c>
      <c r="B1326">
        <v>0</v>
      </c>
      <c r="C1326">
        <v>0</v>
      </c>
      <c r="D1326">
        <v>0</v>
      </c>
      <c r="E1326">
        <v>0</v>
      </c>
      <c r="F1326">
        <v>0</v>
      </c>
      <c r="G1326">
        <v>0</v>
      </c>
    </row>
    <row r="1327" spans="1:7" x14ac:dyDescent="0.2">
      <c r="A1327" t="s">
        <v>4320</v>
      </c>
      <c r="B1327">
        <v>0</v>
      </c>
      <c r="C1327">
        <v>0</v>
      </c>
      <c r="D1327">
        <v>0</v>
      </c>
      <c r="E1327">
        <v>0</v>
      </c>
      <c r="F1327">
        <v>0</v>
      </c>
      <c r="G1327">
        <v>0</v>
      </c>
    </row>
    <row r="1328" spans="1:7" x14ac:dyDescent="0.2">
      <c r="A1328" t="s">
        <v>4321</v>
      </c>
      <c r="B1328">
        <v>0</v>
      </c>
      <c r="C1328">
        <v>0</v>
      </c>
      <c r="D1328">
        <v>0</v>
      </c>
      <c r="E1328">
        <v>0</v>
      </c>
      <c r="F1328">
        <v>0</v>
      </c>
      <c r="G1328">
        <v>0</v>
      </c>
    </row>
    <row r="1329" spans="1:7" x14ac:dyDescent="0.2">
      <c r="A1329" t="s">
        <v>4322</v>
      </c>
      <c r="B1329">
        <v>0</v>
      </c>
      <c r="C1329">
        <v>0</v>
      </c>
      <c r="D1329">
        <v>0</v>
      </c>
      <c r="E1329">
        <v>0</v>
      </c>
      <c r="F1329">
        <v>0</v>
      </c>
      <c r="G1329">
        <v>0</v>
      </c>
    </row>
    <row r="1330" spans="1:7" x14ac:dyDescent="0.2">
      <c r="A1330" t="s">
        <v>4323</v>
      </c>
      <c r="B1330">
        <v>0</v>
      </c>
      <c r="C1330">
        <v>0</v>
      </c>
      <c r="D1330">
        <v>0</v>
      </c>
      <c r="E1330">
        <v>0</v>
      </c>
      <c r="F1330">
        <v>0</v>
      </c>
      <c r="G1330">
        <v>0</v>
      </c>
    </row>
    <row r="1331" spans="1:7" x14ac:dyDescent="0.2">
      <c r="A1331" t="s">
        <v>4324</v>
      </c>
      <c r="B1331">
        <v>0</v>
      </c>
      <c r="C1331">
        <v>0</v>
      </c>
      <c r="D1331">
        <v>0</v>
      </c>
      <c r="E1331">
        <v>0</v>
      </c>
      <c r="F1331">
        <v>0</v>
      </c>
      <c r="G1331">
        <v>0</v>
      </c>
    </row>
    <row r="1332" spans="1:7" x14ac:dyDescent="0.2">
      <c r="A1332" t="s">
        <v>4325</v>
      </c>
      <c r="B1332">
        <v>0</v>
      </c>
      <c r="C1332">
        <v>0</v>
      </c>
      <c r="D1332">
        <v>0</v>
      </c>
      <c r="E1332">
        <v>0</v>
      </c>
      <c r="F1332">
        <v>0</v>
      </c>
      <c r="G1332">
        <v>0</v>
      </c>
    </row>
    <row r="1333" spans="1:7" x14ac:dyDescent="0.2">
      <c r="A1333" t="s">
        <v>4326</v>
      </c>
      <c r="B1333">
        <v>0</v>
      </c>
      <c r="C1333">
        <v>0</v>
      </c>
      <c r="D1333">
        <v>0</v>
      </c>
      <c r="E1333">
        <v>0</v>
      </c>
      <c r="F1333">
        <v>0</v>
      </c>
      <c r="G1333">
        <v>0</v>
      </c>
    </row>
    <row r="1334" spans="1:7" x14ac:dyDescent="0.2">
      <c r="A1334" t="s">
        <v>4327</v>
      </c>
      <c r="B1334">
        <v>0</v>
      </c>
      <c r="C1334">
        <v>0</v>
      </c>
      <c r="D1334">
        <v>0</v>
      </c>
      <c r="E1334">
        <v>0</v>
      </c>
      <c r="F1334">
        <v>0</v>
      </c>
      <c r="G1334">
        <v>0</v>
      </c>
    </row>
    <row r="1335" spans="1:7" x14ac:dyDescent="0.2">
      <c r="A1335" t="s">
        <v>4328</v>
      </c>
      <c r="B1335">
        <v>0</v>
      </c>
      <c r="C1335">
        <v>0</v>
      </c>
      <c r="D1335">
        <v>0</v>
      </c>
      <c r="E1335">
        <v>0</v>
      </c>
      <c r="F1335">
        <v>0</v>
      </c>
      <c r="G1335">
        <v>0</v>
      </c>
    </row>
    <row r="1336" spans="1:7" x14ac:dyDescent="0.2">
      <c r="A1336" t="s">
        <v>4329</v>
      </c>
      <c r="B1336">
        <v>0</v>
      </c>
      <c r="C1336">
        <v>0</v>
      </c>
      <c r="D1336">
        <v>0</v>
      </c>
      <c r="E1336">
        <v>0</v>
      </c>
      <c r="F1336">
        <v>0</v>
      </c>
      <c r="G1336">
        <v>0</v>
      </c>
    </row>
    <row r="1337" spans="1:7" x14ac:dyDescent="0.2">
      <c r="A1337" t="s">
        <v>4330</v>
      </c>
      <c r="B1337">
        <v>0</v>
      </c>
      <c r="C1337">
        <v>0</v>
      </c>
      <c r="D1337">
        <v>0</v>
      </c>
      <c r="E1337">
        <v>0</v>
      </c>
      <c r="F1337">
        <v>0</v>
      </c>
      <c r="G1337">
        <v>0</v>
      </c>
    </row>
    <row r="1338" spans="1:7" x14ac:dyDescent="0.2">
      <c r="A1338" t="s">
        <v>4331</v>
      </c>
      <c r="B1338">
        <v>0</v>
      </c>
      <c r="C1338">
        <v>0</v>
      </c>
      <c r="D1338">
        <v>0</v>
      </c>
      <c r="E1338">
        <v>0</v>
      </c>
      <c r="F1338">
        <v>0</v>
      </c>
      <c r="G1338">
        <v>0</v>
      </c>
    </row>
    <row r="1339" spans="1:7" x14ac:dyDescent="0.2">
      <c r="A1339" t="s">
        <v>4332</v>
      </c>
      <c r="B1339">
        <v>0</v>
      </c>
      <c r="C1339">
        <v>0</v>
      </c>
      <c r="D1339">
        <v>0</v>
      </c>
      <c r="E1339">
        <v>0</v>
      </c>
      <c r="F1339">
        <v>0</v>
      </c>
      <c r="G1339">
        <v>0</v>
      </c>
    </row>
    <row r="1340" spans="1:7" x14ac:dyDescent="0.2">
      <c r="A1340" t="s">
        <v>4333</v>
      </c>
      <c r="B1340">
        <v>0</v>
      </c>
      <c r="C1340">
        <v>0</v>
      </c>
      <c r="D1340">
        <v>0</v>
      </c>
      <c r="E1340">
        <v>0</v>
      </c>
      <c r="F1340">
        <v>0</v>
      </c>
      <c r="G1340">
        <v>0</v>
      </c>
    </row>
    <row r="1341" spans="1:7" x14ac:dyDescent="0.2">
      <c r="A1341" t="s">
        <v>4334</v>
      </c>
      <c r="B1341">
        <v>0</v>
      </c>
      <c r="C1341">
        <v>0</v>
      </c>
      <c r="D1341">
        <v>0</v>
      </c>
      <c r="E1341">
        <v>0</v>
      </c>
      <c r="F1341">
        <v>0</v>
      </c>
      <c r="G1341">
        <v>0</v>
      </c>
    </row>
    <row r="1342" spans="1:7" x14ac:dyDescent="0.2">
      <c r="A1342" t="s">
        <v>4335</v>
      </c>
      <c r="B1342">
        <v>0</v>
      </c>
      <c r="C1342">
        <v>0</v>
      </c>
      <c r="D1342">
        <v>0</v>
      </c>
      <c r="E1342">
        <v>0</v>
      </c>
      <c r="F1342">
        <v>0</v>
      </c>
      <c r="G1342">
        <v>0</v>
      </c>
    </row>
    <row r="1343" spans="1:7" x14ac:dyDescent="0.2">
      <c r="A1343" t="s">
        <v>4336</v>
      </c>
      <c r="B1343">
        <v>0</v>
      </c>
      <c r="C1343">
        <v>0</v>
      </c>
      <c r="D1343">
        <v>0</v>
      </c>
      <c r="E1343">
        <v>0</v>
      </c>
      <c r="F1343">
        <v>0</v>
      </c>
      <c r="G1343">
        <v>0</v>
      </c>
    </row>
    <row r="1344" spans="1:7" x14ac:dyDescent="0.2">
      <c r="A1344" t="s">
        <v>4337</v>
      </c>
      <c r="B1344">
        <v>0</v>
      </c>
      <c r="C1344">
        <v>0</v>
      </c>
      <c r="D1344">
        <v>0</v>
      </c>
      <c r="E1344">
        <v>0</v>
      </c>
      <c r="F1344">
        <v>0</v>
      </c>
      <c r="G1344">
        <v>0</v>
      </c>
    </row>
    <row r="1345" spans="1:7" x14ac:dyDescent="0.2">
      <c r="A1345" t="s">
        <v>4338</v>
      </c>
      <c r="B1345">
        <v>0</v>
      </c>
      <c r="C1345">
        <v>0</v>
      </c>
      <c r="D1345">
        <v>0</v>
      </c>
      <c r="E1345">
        <v>0</v>
      </c>
      <c r="F1345">
        <v>0</v>
      </c>
      <c r="G1345">
        <v>0</v>
      </c>
    </row>
    <row r="1346" spans="1:7" x14ac:dyDescent="0.2">
      <c r="A1346" t="s">
        <v>4339</v>
      </c>
      <c r="B1346">
        <v>0</v>
      </c>
      <c r="C1346">
        <v>0</v>
      </c>
      <c r="D1346">
        <v>0</v>
      </c>
      <c r="E1346">
        <v>0</v>
      </c>
      <c r="F1346">
        <v>0</v>
      </c>
      <c r="G1346">
        <v>0</v>
      </c>
    </row>
    <row r="1347" spans="1:7" x14ac:dyDescent="0.2">
      <c r="A1347" t="s">
        <v>4340</v>
      </c>
      <c r="B1347">
        <v>0</v>
      </c>
      <c r="C1347">
        <v>0</v>
      </c>
      <c r="D1347">
        <v>0</v>
      </c>
      <c r="E1347">
        <v>0</v>
      </c>
      <c r="F1347">
        <v>0</v>
      </c>
      <c r="G1347">
        <v>0</v>
      </c>
    </row>
    <row r="1348" spans="1:7" x14ac:dyDescent="0.2">
      <c r="A1348" t="s">
        <v>4341</v>
      </c>
      <c r="B1348">
        <v>0</v>
      </c>
      <c r="C1348">
        <v>0</v>
      </c>
      <c r="D1348">
        <v>0</v>
      </c>
      <c r="E1348">
        <v>0</v>
      </c>
      <c r="F1348">
        <v>0</v>
      </c>
      <c r="G1348">
        <v>0</v>
      </c>
    </row>
    <row r="1349" spans="1:7" x14ac:dyDescent="0.2">
      <c r="A1349" t="s">
        <v>4342</v>
      </c>
      <c r="B1349">
        <v>0</v>
      </c>
      <c r="C1349">
        <v>0</v>
      </c>
      <c r="D1349">
        <v>0</v>
      </c>
      <c r="E1349">
        <v>0</v>
      </c>
      <c r="F1349">
        <v>0</v>
      </c>
      <c r="G1349">
        <v>0</v>
      </c>
    </row>
    <row r="1350" spans="1:7" x14ac:dyDescent="0.2">
      <c r="A1350" t="s">
        <v>4343</v>
      </c>
      <c r="B1350">
        <v>0</v>
      </c>
      <c r="C1350">
        <v>0</v>
      </c>
      <c r="D1350">
        <v>0</v>
      </c>
      <c r="E1350">
        <v>0</v>
      </c>
      <c r="F1350">
        <v>0</v>
      </c>
      <c r="G1350">
        <v>0</v>
      </c>
    </row>
    <row r="1351" spans="1:7" x14ac:dyDescent="0.2">
      <c r="A1351" t="s">
        <v>1728</v>
      </c>
      <c r="B1351">
        <v>0</v>
      </c>
      <c r="C1351">
        <v>0</v>
      </c>
      <c r="D1351">
        <v>0</v>
      </c>
      <c r="E1351">
        <v>0</v>
      </c>
      <c r="F1351">
        <v>0</v>
      </c>
      <c r="G1351">
        <v>0</v>
      </c>
    </row>
    <row r="1352" spans="1:7" x14ac:dyDescent="0.2">
      <c r="A1352" t="s">
        <v>1730</v>
      </c>
      <c r="B1352">
        <v>0</v>
      </c>
      <c r="C1352">
        <v>0</v>
      </c>
      <c r="D1352">
        <v>7</v>
      </c>
      <c r="E1352">
        <v>3</v>
      </c>
      <c r="F1352">
        <v>11</v>
      </c>
      <c r="G1352">
        <v>22</v>
      </c>
    </row>
    <row r="1353" spans="1:7" x14ac:dyDescent="0.2">
      <c r="A1353" t="s">
        <v>1733</v>
      </c>
      <c r="B1353">
        <v>0</v>
      </c>
      <c r="C1353">
        <v>0</v>
      </c>
      <c r="D1353">
        <v>0</v>
      </c>
      <c r="E1353">
        <v>0</v>
      </c>
      <c r="F1353">
        <v>0</v>
      </c>
      <c r="G1353">
        <v>0</v>
      </c>
    </row>
    <row r="1354" spans="1:7" x14ac:dyDescent="0.2">
      <c r="A1354" t="s">
        <v>1738</v>
      </c>
      <c r="B1354">
        <v>0</v>
      </c>
      <c r="C1354">
        <v>0</v>
      </c>
      <c r="D1354">
        <v>0</v>
      </c>
      <c r="E1354">
        <v>0</v>
      </c>
      <c r="F1354">
        <v>0</v>
      </c>
      <c r="G1354">
        <v>0</v>
      </c>
    </row>
    <row r="1355" spans="1:7" x14ac:dyDescent="0.2">
      <c r="A1355" t="s">
        <v>1744</v>
      </c>
      <c r="B1355">
        <v>0</v>
      </c>
      <c r="C1355">
        <v>0</v>
      </c>
      <c r="D1355">
        <v>0</v>
      </c>
      <c r="E1355">
        <v>0</v>
      </c>
      <c r="F1355">
        <v>0</v>
      </c>
      <c r="G1355">
        <v>0</v>
      </c>
    </row>
    <row r="1356" spans="1:7" x14ac:dyDescent="0.2">
      <c r="A1356" t="s">
        <v>1747</v>
      </c>
      <c r="B1356">
        <v>0</v>
      </c>
      <c r="C1356">
        <v>0</v>
      </c>
      <c r="D1356">
        <v>0</v>
      </c>
      <c r="E1356">
        <v>0</v>
      </c>
      <c r="F1356">
        <v>0</v>
      </c>
      <c r="G1356">
        <v>0</v>
      </c>
    </row>
    <row r="1357" spans="1:7" x14ac:dyDescent="0.2">
      <c r="A1357" t="s">
        <v>1751</v>
      </c>
      <c r="B1357">
        <v>0</v>
      </c>
      <c r="C1357">
        <v>0</v>
      </c>
      <c r="D1357">
        <v>0</v>
      </c>
      <c r="E1357">
        <v>0</v>
      </c>
      <c r="F1357">
        <v>0</v>
      </c>
      <c r="G1357">
        <v>0</v>
      </c>
    </row>
    <row r="1358" spans="1:7" x14ac:dyDescent="0.2">
      <c r="A1358" t="s">
        <v>1755</v>
      </c>
      <c r="B1358">
        <v>0</v>
      </c>
      <c r="C1358">
        <v>0</v>
      </c>
      <c r="D1358">
        <v>1</v>
      </c>
      <c r="E1358">
        <v>7</v>
      </c>
      <c r="F1358">
        <v>1</v>
      </c>
      <c r="G1358">
        <v>9</v>
      </c>
    </row>
    <row r="1359" spans="1:7" x14ac:dyDescent="0.2">
      <c r="A1359" t="s">
        <v>1757</v>
      </c>
      <c r="B1359">
        <v>0</v>
      </c>
      <c r="C1359">
        <v>0</v>
      </c>
      <c r="D1359">
        <v>2</v>
      </c>
      <c r="E1359">
        <v>3</v>
      </c>
      <c r="F1359">
        <v>1</v>
      </c>
      <c r="G1359">
        <v>5</v>
      </c>
    </row>
    <row r="1360" spans="1:7" x14ac:dyDescent="0.2">
      <c r="A1360" t="s">
        <v>1761</v>
      </c>
      <c r="B1360">
        <v>0</v>
      </c>
      <c r="C1360">
        <v>0</v>
      </c>
      <c r="D1360">
        <v>0</v>
      </c>
      <c r="E1360">
        <v>0</v>
      </c>
      <c r="F1360">
        <v>0</v>
      </c>
      <c r="G1360">
        <v>0</v>
      </c>
    </row>
    <row r="1361" spans="1:7" x14ac:dyDescent="0.2">
      <c r="A1361" t="s">
        <v>1764</v>
      </c>
      <c r="B1361">
        <v>0</v>
      </c>
      <c r="C1361">
        <v>0</v>
      </c>
      <c r="D1361">
        <v>0</v>
      </c>
      <c r="E1361">
        <v>0</v>
      </c>
      <c r="F1361">
        <v>0</v>
      </c>
      <c r="G1361">
        <v>0</v>
      </c>
    </row>
    <row r="1362" spans="1:7" x14ac:dyDescent="0.2">
      <c r="A1362" t="s">
        <v>1770</v>
      </c>
      <c r="B1362">
        <v>0</v>
      </c>
      <c r="C1362">
        <v>9</v>
      </c>
      <c r="D1362">
        <v>68</v>
      </c>
      <c r="E1362">
        <v>587</v>
      </c>
      <c r="F1362">
        <v>0</v>
      </c>
      <c r="G1362">
        <v>666</v>
      </c>
    </row>
    <row r="1363" spans="1:7" x14ac:dyDescent="0.2">
      <c r="A1363" t="s">
        <v>1772</v>
      </c>
      <c r="B1363">
        <v>0</v>
      </c>
      <c r="C1363">
        <v>1</v>
      </c>
      <c r="D1363">
        <v>22</v>
      </c>
      <c r="E1363">
        <v>277</v>
      </c>
      <c r="F1363">
        <v>0</v>
      </c>
      <c r="G1363">
        <v>301</v>
      </c>
    </row>
    <row r="1364" spans="1:7" x14ac:dyDescent="0.2">
      <c r="A1364" t="s">
        <v>1774</v>
      </c>
      <c r="B1364">
        <v>0</v>
      </c>
      <c r="C1364">
        <v>1</v>
      </c>
      <c r="D1364">
        <v>0</v>
      </c>
      <c r="E1364">
        <v>83</v>
      </c>
      <c r="F1364">
        <v>0</v>
      </c>
      <c r="G1364">
        <v>84</v>
      </c>
    </row>
    <row r="1365" spans="1:7" x14ac:dyDescent="0.2">
      <c r="A1365" t="s">
        <v>1777</v>
      </c>
      <c r="B1365">
        <v>0</v>
      </c>
      <c r="C1365">
        <v>0</v>
      </c>
      <c r="D1365">
        <v>0</v>
      </c>
      <c r="E1365">
        <v>0</v>
      </c>
      <c r="F1365">
        <v>0</v>
      </c>
      <c r="G1365">
        <v>0</v>
      </c>
    </row>
    <row r="1366" spans="1:7" x14ac:dyDescent="0.2">
      <c r="A1366" t="s">
        <v>1782</v>
      </c>
      <c r="B1366">
        <v>0</v>
      </c>
      <c r="C1366">
        <v>0</v>
      </c>
      <c r="D1366">
        <v>0</v>
      </c>
      <c r="E1366">
        <v>0</v>
      </c>
      <c r="F1366">
        <v>0</v>
      </c>
      <c r="G1366">
        <v>0</v>
      </c>
    </row>
    <row r="1367" spans="1:7" x14ac:dyDescent="0.2">
      <c r="A1367" t="s">
        <v>1274</v>
      </c>
      <c r="B1367">
        <v>0</v>
      </c>
      <c r="C1367">
        <v>0</v>
      </c>
      <c r="D1367">
        <v>0</v>
      </c>
      <c r="E1367">
        <v>1</v>
      </c>
      <c r="F1367">
        <v>0</v>
      </c>
      <c r="G1367">
        <v>1</v>
      </c>
    </row>
    <row r="1368" spans="1:7" x14ac:dyDescent="0.2">
      <c r="A1368" t="s">
        <v>1277</v>
      </c>
      <c r="B1368">
        <v>0</v>
      </c>
      <c r="C1368">
        <v>0</v>
      </c>
      <c r="D1368">
        <v>0</v>
      </c>
      <c r="E1368">
        <v>8</v>
      </c>
      <c r="F1368">
        <v>0</v>
      </c>
      <c r="G1368">
        <v>9</v>
      </c>
    </row>
    <row r="1369" spans="1:7" x14ac:dyDescent="0.2">
      <c r="A1369" t="s">
        <v>1798</v>
      </c>
      <c r="B1369">
        <v>0</v>
      </c>
      <c r="C1369">
        <v>0</v>
      </c>
      <c r="D1369">
        <v>0</v>
      </c>
      <c r="E1369">
        <v>0</v>
      </c>
      <c r="F1369">
        <v>0</v>
      </c>
      <c r="G1369">
        <v>0</v>
      </c>
    </row>
    <row r="1370" spans="1:7" x14ac:dyDescent="0.2">
      <c r="A1370" t="s">
        <v>1803</v>
      </c>
      <c r="B1370">
        <v>0</v>
      </c>
      <c r="C1370">
        <v>0</v>
      </c>
      <c r="D1370">
        <v>0</v>
      </c>
      <c r="E1370">
        <v>0</v>
      </c>
      <c r="F1370">
        <v>0</v>
      </c>
      <c r="G1370">
        <v>0</v>
      </c>
    </row>
    <row r="1371" spans="1:7" x14ac:dyDescent="0.2">
      <c r="A1371" t="s">
        <v>1808</v>
      </c>
      <c r="B1371">
        <v>0</v>
      </c>
      <c r="C1371">
        <v>0</v>
      </c>
      <c r="D1371">
        <v>0</v>
      </c>
      <c r="E1371">
        <v>0</v>
      </c>
      <c r="F1371">
        <v>0</v>
      </c>
      <c r="G1371">
        <v>0</v>
      </c>
    </row>
    <row r="1372" spans="1:7" x14ac:dyDescent="0.2">
      <c r="A1372" t="s">
        <v>1813</v>
      </c>
      <c r="B1372">
        <v>0</v>
      </c>
      <c r="C1372">
        <v>0</v>
      </c>
      <c r="D1372">
        <v>0</v>
      </c>
      <c r="E1372">
        <v>0</v>
      </c>
      <c r="F1372">
        <v>0</v>
      </c>
      <c r="G1372">
        <v>0</v>
      </c>
    </row>
    <row r="1373" spans="1:7" x14ac:dyDescent="0.2">
      <c r="A1373" t="s">
        <v>1819</v>
      </c>
      <c r="B1373">
        <v>0</v>
      </c>
      <c r="C1373">
        <v>0</v>
      </c>
      <c r="D1373">
        <v>0</v>
      </c>
      <c r="E1373">
        <v>0</v>
      </c>
      <c r="F1373">
        <v>0</v>
      </c>
      <c r="G1373">
        <v>0</v>
      </c>
    </row>
    <row r="1374" spans="1:7" x14ac:dyDescent="0.2">
      <c r="A1374" t="s">
        <v>1826</v>
      </c>
      <c r="B1374">
        <v>0</v>
      </c>
      <c r="C1374">
        <v>0</v>
      </c>
      <c r="D1374">
        <v>0</v>
      </c>
      <c r="E1374">
        <v>0</v>
      </c>
      <c r="F1374">
        <v>0</v>
      </c>
      <c r="G1374">
        <v>0</v>
      </c>
    </row>
    <row r="1375" spans="1:7" x14ac:dyDescent="0.2">
      <c r="A1375" t="s">
        <v>1830</v>
      </c>
      <c r="B1375">
        <v>0</v>
      </c>
      <c r="C1375">
        <v>0</v>
      </c>
      <c r="D1375">
        <v>0</v>
      </c>
      <c r="E1375">
        <v>0</v>
      </c>
      <c r="F1375">
        <v>0</v>
      </c>
      <c r="G1375">
        <v>0</v>
      </c>
    </row>
    <row r="1376" spans="1:7" x14ac:dyDescent="0.2">
      <c r="A1376" t="s">
        <v>1836</v>
      </c>
      <c r="B1376">
        <v>0</v>
      </c>
      <c r="C1376">
        <v>0</v>
      </c>
      <c r="D1376">
        <v>0</v>
      </c>
      <c r="E1376">
        <v>0</v>
      </c>
      <c r="F1376">
        <v>0</v>
      </c>
      <c r="G1376">
        <v>0</v>
      </c>
    </row>
    <row r="1377" spans="1:7" x14ac:dyDescent="0.2">
      <c r="A1377" t="s">
        <v>1841</v>
      </c>
      <c r="B1377">
        <v>0</v>
      </c>
      <c r="C1377">
        <v>0</v>
      </c>
      <c r="D1377">
        <v>4</v>
      </c>
      <c r="E1377">
        <v>0</v>
      </c>
      <c r="F1377">
        <v>0</v>
      </c>
      <c r="G1377">
        <v>4</v>
      </c>
    </row>
    <row r="1378" spans="1:7" x14ac:dyDescent="0.2">
      <c r="A1378" t="s">
        <v>1842</v>
      </c>
      <c r="B1378">
        <v>0</v>
      </c>
      <c r="C1378">
        <v>29</v>
      </c>
      <c r="D1378">
        <v>73</v>
      </c>
      <c r="E1378">
        <v>349</v>
      </c>
      <c r="F1378">
        <v>0</v>
      </c>
      <c r="G1378">
        <v>451</v>
      </c>
    </row>
    <row r="1379" spans="1:7" x14ac:dyDescent="0.2">
      <c r="A1379" t="s">
        <v>1843</v>
      </c>
      <c r="B1379">
        <v>0</v>
      </c>
      <c r="C1379">
        <v>0</v>
      </c>
      <c r="D1379">
        <v>0</v>
      </c>
      <c r="E1379">
        <v>0</v>
      </c>
      <c r="F1379">
        <v>0</v>
      </c>
      <c r="G1379">
        <v>0</v>
      </c>
    </row>
    <row r="1380" spans="1:7" x14ac:dyDescent="0.2">
      <c r="A1380" t="s">
        <v>1846</v>
      </c>
      <c r="B1380">
        <v>0</v>
      </c>
      <c r="C1380">
        <v>0</v>
      </c>
      <c r="D1380">
        <v>0</v>
      </c>
      <c r="E1380">
        <v>0</v>
      </c>
      <c r="F1380">
        <v>0</v>
      </c>
      <c r="G1380">
        <v>0</v>
      </c>
    </row>
    <row r="1381" spans="1:7" x14ac:dyDescent="0.2">
      <c r="A1381" t="s">
        <v>1851</v>
      </c>
      <c r="B1381">
        <v>0</v>
      </c>
      <c r="C1381">
        <v>0</v>
      </c>
      <c r="D1381">
        <v>0</v>
      </c>
      <c r="E1381">
        <v>580</v>
      </c>
      <c r="F1381">
        <v>105</v>
      </c>
      <c r="G1381">
        <v>685</v>
      </c>
    </row>
    <row r="1382" spans="1:7" x14ac:dyDescent="0.2">
      <c r="A1382" t="s">
        <v>1857</v>
      </c>
      <c r="B1382">
        <v>0</v>
      </c>
      <c r="C1382">
        <v>0</v>
      </c>
      <c r="D1382">
        <v>0</v>
      </c>
      <c r="E1382">
        <v>5</v>
      </c>
      <c r="F1382">
        <v>0</v>
      </c>
      <c r="G1382">
        <v>5</v>
      </c>
    </row>
    <row r="1383" spans="1:7" x14ac:dyDescent="0.2">
      <c r="A1383" t="s">
        <v>1862</v>
      </c>
      <c r="B1383">
        <v>0</v>
      </c>
      <c r="C1383">
        <v>0</v>
      </c>
      <c r="D1383">
        <v>0</v>
      </c>
      <c r="E1383">
        <v>4162</v>
      </c>
      <c r="F1383">
        <v>987</v>
      </c>
      <c r="G1383">
        <v>5149</v>
      </c>
    </row>
    <row r="1384" spans="1:7" x14ac:dyDescent="0.2">
      <c r="A1384" t="s">
        <v>1867</v>
      </c>
      <c r="B1384">
        <v>0</v>
      </c>
      <c r="C1384">
        <v>0</v>
      </c>
      <c r="D1384">
        <v>0</v>
      </c>
      <c r="E1384">
        <v>0</v>
      </c>
      <c r="F1384">
        <v>3</v>
      </c>
      <c r="G1384">
        <v>3</v>
      </c>
    </row>
    <row r="1385" spans="1:7" x14ac:dyDescent="0.2">
      <c r="A1385" t="s">
        <v>1870</v>
      </c>
      <c r="B1385">
        <v>0</v>
      </c>
      <c r="C1385">
        <v>0</v>
      </c>
      <c r="D1385">
        <v>0</v>
      </c>
      <c r="E1385">
        <v>0</v>
      </c>
      <c r="F1385">
        <v>0</v>
      </c>
      <c r="G1385">
        <v>0</v>
      </c>
    </row>
    <row r="1386" spans="1:7" x14ac:dyDescent="0.2">
      <c r="A1386" t="s">
        <v>1874</v>
      </c>
      <c r="B1386">
        <v>0</v>
      </c>
      <c r="C1386">
        <v>0</v>
      </c>
      <c r="D1386">
        <v>0</v>
      </c>
      <c r="E1386">
        <v>1698</v>
      </c>
      <c r="F1386">
        <v>0</v>
      </c>
      <c r="G1386">
        <v>1698</v>
      </c>
    </row>
    <row r="1387" spans="1:7" x14ac:dyDescent="0.2">
      <c r="A1387" t="s">
        <v>1876</v>
      </c>
      <c r="B1387">
        <v>0</v>
      </c>
      <c r="C1387">
        <v>0</v>
      </c>
      <c r="D1387">
        <v>0</v>
      </c>
      <c r="E1387">
        <v>0</v>
      </c>
      <c r="F1387">
        <v>10</v>
      </c>
      <c r="G1387">
        <v>10</v>
      </c>
    </row>
    <row r="1388" spans="1:7" x14ac:dyDescent="0.2">
      <c r="A1388" t="s">
        <v>1881</v>
      </c>
      <c r="B1388">
        <v>0</v>
      </c>
      <c r="C1388">
        <v>0</v>
      </c>
      <c r="D1388">
        <v>0</v>
      </c>
      <c r="E1388">
        <v>0</v>
      </c>
      <c r="F1388">
        <v>1788</v>
      </c>
      <c r="G1388">
        <v>1788</v>
      </c>
    </row>
    <row r="1389" spans="1:7" x14ac:dyDescent="0.2">
      <c r="A1389" t="s">
        <v>1885</v>
      </c>
      <c r="B1389">
        <v>30</v>
      </c>
      <c r="C1389">
        <v>22</v>
      </c>
      <c r="D1389">
        <v>19</v>
      </c>
      <c r="E1389">
        <v>31</v>
      </c>
      <c r="F1389">
        <v>0</v>
      </c>
      <c r="G1389">
        <v>101</v>
      </c>
    </row>
    <row r="1390" spans="1:7" x14ac:dyDescent="0.2">
      <c r="A1390" t="s">
        <v>1887</v>
      </c>
      <c r="B1390">
        <v>0</v>
      </c>
      <c r="C1390">
        <v>0</v>
      </c>
      <c r="D1390">
        <v>0</v>
      </c>
      <c r="E1390">
        <v>0</v>
      </c>
      <c r="F1390">
        <v>0</v>
      </c>
      <c r="G1390">
        <v>1</v>
      </c>
    </row>
    <row r="1391" spans="1:7" x14ac:dyDescent="0.2">
      <c r="A1391" t="s">
        <v>1893</v>
      </c>
      <c r="B1391">
        <v>0</v>
      </c>
      <c r="C1391">
        <v>0</v>
      </c>
      <c r="D1391">
        <v>0</v>
      </c>
      <c r="E1391">
        <v>9</v>
      </c>
      <c r="F1391">
        <v>1</v>
      </c>
      <c r="G1391">
        <v>10</v>
      </c>
    </row>
    <row r="1392" spans="1:7" x14ac:dyDescent="0.2">
      <c r="A1392" t="s">
        <v>1899</v>
      </c>
      <c r="B1392">
        <v>0</v>
      </c>
      <c r="C1392">
        <v>0</v>
      </c>
      <c r="D1392">
        <v>0</v>
      </c>
      <c r="E1392">
        <v>0</v>
      </c>
      <c r="F1392">
        <v>0</v>
      </c>
      <c r="G1392">
        <v>0</v>
      </c>
    </row>
    <row r="1393" spans="1:7" x14ac:dyDescent="0.2">
      <c r="A1393" t="s">
        <v>1906</v>
      </c>
      <c r="B1393">
        <v>0</v>
      </c>
      <c r="C1393">
        <v>0</v>
      </c>
      <c r="D1393">
        <v>0</v>
      </c>
      <c r="E1393">
        <v>0</v>
      </c>
      <c r="F1393">
        <v>0</v>
      </c>
      <c r="G1393">
        <v>0</v>
      </c>
    </row>
    <row r="1394" spans="1:7" x14ac:dyDescent="0.2">
      <c r="A1394" t="s">
        <v>1911</v>
      </c>
      <c r="B1394">
        <v>0</v>
      </c>
      <c r="C1394">
        <v>0</v>
      </c>
      <c r="D1394">
        <v>0</v>
      </c>
      <c r="E1394">
        <v>0</v>
      </c>
      <c r="F1394">
        <v>0</v>
      </c>
      <c r="G1394">
        <v>0</v>
      </c>
    </row>
    <row r="1395" spans="1:7" x14ac:dyDescent="0.2">
      <c r="A1395" t="s">
        <v>1917</v>
      </c>
      <c r="B1395">
        <v>0</v>
      </c>
      <c r="C1395">
        <v>0</v>
      </c>
      <c r="D1395">
        <v>0</v>
      </c>
      <c r="E1395">
        <v>0</v>
      </c>
      <c r="F1395">
        <v>0</v>
      </c>
      <c r="G1395">
        <v>0</v>
      </c>
    </row>
    <row r="1396" spans="1:7" x14ac:dyDescent="0.2">
      <c r="A1396" t="s">
        <v>1922</v>
      </c>
      <c r="B1396">
        <v>0</v>
      </c>
      <c r="C1396">
        <v>0</v>
      </c>
      <c r="D1396">
        <v>0</v>
      </c>
      <c r="E1396">
        <v>36</v>
      </c>
      <c r="F1396">
        <v>0</v>
      </c>
      <c r="G1396">
        <v>36</v>
      </c>
    </row>
    <row r="1397" spans="1:7" x14ac:dyDescent="0.2">
      <c r="A1397" t="s">
        <v>1928</v>
      </c>
      <c r="B1397">
        <v>0</v>
      </c>
      <c r="C1397">
        <v>0</v>
      </c>
      <c r="D1397">
        <v>0</v>
      </c>
      <c r="E1397">
        <v>0</v>
      </c>
      <c r="F1397">
        <v>0</v>
      </c>
      <c r="G1397">
        <v>0</v>
      </c>
    </row>
    <row r="1398" spans="1:7" x14ac:dyDescent="0.2">
      <c r="A1398" t="s">
        <v>1932</v>
      </c>
      <c r="B1398">
        <v>0</v>
      </c>
      <c r="C1398">
        <v>0</v>
      </c>
      <c r="D1398">
        <v>0</v>
      </c>
      <c r="E1398">
        <v>0</v>
      </c>
      <c r="F1398">
        <v>0</v>
      </c>
      <c r="G1398">
        <v>0</v>
      </c>
    </row>
    <row r="1399" spans="1:7" x14ac:dyDescent="0.2">
      <c r="A1399" t="s">
        <v>1938</v>
      </c>
      <c r="B1399">
        <v>0</v>
      </c>
      <c r="C1399">
        <v>0</v>
      </c>
      <c r="D1399">
        <v>0</v>
      </c>
      <c r="E1399">
        <v>0</v>
      </c>
      <c r="F1399">
        <v>0</v>
      </c>
      <c r="G1399">
        <v>0</v>
      </c>
    </row>
    <row r="1400" spans="1:7" x14ac:dyDescent="0.2">
      <c r="A1400" t="s">
        <v>1944</v>
      </c>
      <c r="B1400">
        <v>0</v>
      </c>
      <c r="C1400">
        <v>2</v>
      </c>
      <c r="D1400">
        <v>4</v>
      </c>
      <c r="E1400">
        <v>3</v>
      </c>
      <c r="F1400">
        <v>0</v>
      </c>
      <c r="G1400">
        <v>10</v>
      </c>
    </row>
    <row r="1401" spans="1:7" x14ac:dyDescent="0.2">
      <c r="A1401" t="s">
        <v>1947</v>
      </c>
      <c r="B1401">
        <v>0</v>
      </c>
      <c r="C1401">
        <v>0</v>
      </c>
      <c r="D1401">
        <v>0</v>
      </c>
      <c r="E1401">
        <v>0</v>
      </c>
      <c r="F1401">
        <v>0</v>
      </c>
      <c r="G1401">
        <v>0</v>
      </c>
    </row>
    <row r="1402" spans="1:7" x14ac:dyDescent="0.2">
      <c r="A1402" t="s">
        <v>1953</v>
      </c>
      <c r="B1402">
        <v>0</v>
      </c>
      <c r="C1402">
        <v>0</v>
      </c>
      <c r="D1402">
        <v>0</v>
      </c>
      <c r="E1402">
        <v>0</v>
      </c>
      <c r="F1402">
        <v>0</v>
      </c>
      <c r="G1402">
        <v>0</v>
      </c>
    </row>
    <row r="1403" spans="1:7" x14ac:dyDescent="0.2">
      <c r="A1403" t="s">
        <v>1958</v>
      </c>
      <c r="B1403">
        <v>0</v>
      </c>
      <c r="C1403">
        <v>0</v>
      </c>
      <c r="D1403">
        <v>0</v>
      </c>
      <c r="E1403">
        <v>0</v>
      </c>
      <c r="F1403">
        <v>0</v>
      </c>
      <c r="G1403">
        <v>0</v>
      </c>
    </row>
    <row r="1404" spans="1:7" x14ac:dyDescent="0.2">
      <c r="A1404" t="s">
        <v>1964</v>
      </c>
      <c r="B1404">
        <v>0</v>
      </c>
      <c r="C1404">
        <v>0</v>
      </c>
      <c r="D1404">
        <v>0</v>
      </c>
      <c r="E1404">
        <v>0</v>
      </c>
      <c r="F1404">
        <v>0</v>
      </c>
      <c r="G1404">
        <v>0</v>
      </c>
    </row>
    <row r="1405" spans="1:7" x14ac:dyDescent="0.2">
      <c r="A1405" t="s">
        <v>1973</v>
      </c>
      <c r="B1405">
        <v>0</v>
      </c>
      <c r="C1405">
        <v>0</v>
      </c>
      <c r="D1405">
        <v>0</v>
      </c>
      <c r="E1405">
        <v>0</v>
      </c>
      <c r="F1405">
        <v>0</v>
      </c>
      <c r="G1405">
        <v>0</v>
      </c>
    </row>
    <row r="1406" spans="1:7" x14ac:dyDescent="0.2">
      <c r="A1406" t="s">
        <v>1978</v>
      </c>
      <c r="B1406">
        <v>0</v>
      </c>
      <c r="C1406">
        <v>0</v>
      </c>
      <c r="D1406">
        <v>0</v>
      </c>
      <c r="E1406">
        <v>0</v>
      </c>
      <c r="F1406">
        <v>0</v>
      </c>
      <c r="G1406">
        <v>0</v>
      </c>
    </row>
    <row r="1407" spans="1:7" x14ac:dyDescent="0.2">
      <c r="A1407" t="s">
        <v>1983</v>
      </c>
      <c r="B1407">
        <v>0</v>
      </c>
      <c r="C1407">
        <v>0</v>
      </c>
      <c r="D1407">
        <v>1</v>
      </c>
      <c r="E1407">
        <v>0</v>
      </c>
      <c r="F1407">
        <v>0</v>
      </c>
      <c r="G1407">
        <v>1</v>
      </c>
    </row>
    <row r="1408" spans="1:7" x14ac:dyDescent="0.2">
      <c r="A1408" t="s">
        <v>1984</v>
      </c>
      <c r="B1408">
        <v>0</v>
      </c>
      <c r="C1408">
        <v>0</v>
      </c>
      <c r="D1408">
        <v>0</v>
      </c>
      <c r="E1408">
        <v>0</v>
      </c>
      <c r="F1408">
        <v>0</v>
      </c>
      <c r="G1408">
        <v>0</v>
      </c>
    </row>
    <row r="1409" spans="1:7" x14ac:dyDescent="0.2">
      <c r="A1409" t="s">
        <v>1990</v>
      </c>
      <c r="B1409">
        <v>0</v>
      </c>
      <c r="C1409">
        <v>0</v>
      </c>
      <c r="D1409">
        <v>0</v>
      </c>
      <c r="E1409">
        <v>0</v>
      </c>
      <c r="F1409">
        <v>0</v>
      </c>
      <c r="G1409">
        <v>0</v>
      </c>
    </row>
    <row r="1410" spans="1:7" x14ac:dyDescent="0.2">
      <c r="A1410" t="s">
        <v>1996</v>
      </c>
      <c r="B1410">
        <v>0</v>
      </c>
      <c r="C1410">
        <v>0</v>
      </c>
      <c r="D1410">
        <v>0</v>
      </c>
      <c r="E1410">
        <v>0</v>
      </c>
      <c r="F1410">
        <v>0</v>
      </c>
      <c r="G1410">
        <v>0</v>
      </c>
    </row>
    <row r="1411" spans="1:7" x14ac:dyDescent="0.2">
      <c r="A1411" t="s">
        <v>1998</v>
      </c>
      <c r="B1411">
        <v>0</v>
      </c>
      <c r="C1411">
        <v>0</v>
      </c>
      <c r="D1411">
        <v>0</v>
      </c>
      <c r="E1411">
        <v>0</v>
      </c>
      <c r="F1411">
        <v>0</v>
      </c>
      <c r="G1411">
        <v>0</v>
      </c>
    </row>
    <row r="1412" spans="1:7" x14ac:dyDescent="0.2">
      <c r="A1412" t="s">
        <v>1999</v>
      </c>
      <c r="B1412">
        <v>0</v>
      </c>
      <c r="C1412">
        <v>0</v>
      </c>
      <c r="D1412">
        <v>0</v>
      </c>
      <c r="E1412">
        <v>0</v>
      </c>
      <c r="F1412">
        <v>0</v>
      </c>
      <c r="G1412">
        <v>0</v>
      </c>
    </row>
    <row r="1413" spans="1:7" x14ac:dyDescent="0.2">
      <c r="A1413" t="s">
        <v>2004</v>
      </c>
      <c r="B1413">
        <v>0</v>
      </c>
      <c r="C1413">
        <v>0</v>
      </c>
      <c r="D1413">
        <v>0</v>
      </c>
      <c r="E1413">
        <v>0</v>
      </c>
      <c r="F1413">
        <v>0</v>
      </c>
      <c r="G1413">
        <v>0</v>
      </c>
    </row>
    <row r="1414" spans="1:7" x14ac:dyDescent="0.2">
      <c r="A1414" t="s">
        <v>2009</v>
      </c>
      <c r="B1414">
        <v>0</v>
      </c>
      <c r="C1414">
        <v>0</v>
      </c>
      <c r="D1414">
        <v>0</v>
      </c>
      <c r="E1414">
        <v>0</v>
      </c>
      <c r="F1414">
        <v>0</v>
      </c>
      <c r="G1414">
        <v>0</v>
      </c>
    </row>
    <row r="1415" spans="1:7" x14ac:dyDescent="0.2">
      <c r="A1415" t="s">
        <v>2014</v>
      </c>
      <c r="B1415">
        <v>0</v>
      </c>
      <c r="C1415">
        <v>0</v>
      </c>
      <c r="D1415">
        <v>0</v>
      </c>
      <c r="E1415">
        <v>0</v>
      </c>
      <c r="F1415">
        <v>0</v>
      </c>
      <c r="G1415">
        <v>0</v>
      </c>
    </row>
    <row r="1416" spans="1:7" x14ac:dyDescent="0.2">
      <c r="A1416" t="s">
        <v>2019</v>
      </c>
      <c r="B1416">
        <v>0</v>
      </c>
      <c r="C1416">
        <v>0</v>
      </c>
      <c r="D1416">
        <v>0</v>
      </c>
      <c r="E1416">
        <v>0</v>
      </c>
      <c r="F1416">
        <v>0</v>
      </c>
      <c r="G1416">
        <v>0</v>
      </c>
    </row>
    <row r="1417" spans="1:7" x14ac:dyDescent="0.2">
      <c r="A1417" t="s">
        <v>2023</v>
      </c>
      <c r="B1417">
        <v>0</v>
      </c>
      <c r="C1417">
        <v>0</v>
      </c>
      <c r="D1417">
        <v>0</v>
      </c>
      <c r="E1417">
        <v>0</v>
      </c>
      <c r="F1417">
        <v>0</v>
      </c>
      <c r="G1417">
        <v>0</v>
      </c>
    </row>
    <row r="1418" spans="1:7" x14ac:dyDescent="0.2">
      <c r="A1418" t="s">
        <v>2026</v>
      </c>
      <c r="B1418">
        <v>0</v>
      </c>
      <c r="C1418">
        <v>0</v>
      </c>
      <c r="D1418">
        <v>0</v>
      </c>
      <c r="E1418">
        <v>0</v>
      </c>
      <c r="F1418">
        <v>0</v>
      </c>
      <c r="G1418">
        <v>0</v>
      </c>
    </row>
    <row r="1419" spans="1:7" x14ac:dyDescent="0.2">
      <c r="A1419" t="s">
        <v>2030</v>
      </c>
      <c r="B1419">
        <v>0</v>
      </c>
      <c r="C1419">
        <v>0</v>
      </c>
      <c r="D1419">
        <v>0</v>
      </c>
      <c r="E1419">
        <v>0</v>
      </c>
      <c r="F1419">
        <v>0</v>
      </c>
      <c r="G1419">
        <v>0</v>
      </c>
    </row>
    <row r="1420" spans="1:7" x14ac:dyDescent="0.2">
      <c r="A1420" t="s">
        <v>2035</v>
      </c>
      <c r="B1420">
        <v>0</v>
      </c>
      <c r="C1420">
        <v>0</v>
      </c>
      <c r="D1420">
        <v>0</v>
      </c>
      <c r="E1420">
        <v>0</v>
      </c>
      <c r="F1420">
        <v>0</v>
      </c>
      <c r="G1420">
        <v>0</v>
      </c>
    </row>
    <row r="1421" spans="1:7" x14ac:dyDescent="0.2">
      <c r="A1421" t="s">
        <v>2040</v>
      </c>
      <c r="B1421">
        <v>0</v>
      </c>
      <c r="C1421">
        <v>0</v>
      </c>
      <c r="D1421">
        <v>0</v>
      </c>
      <c r="E1421">
        <v>0</v>
      </c>
      <c r="F1421">
        <v>0</v>
      </c>
      <c r="G1421">
        <v>0</v>
      </c>
    </row>
    <row r="1422" spans="1:7" x14ac:dyDescent="0.2">
      <c r="A1422" t="s">
        <v>2045</v>
      </c>
      <c r="B1422">
        <v>0</v>
      </c>
      <c r="C1422">
        <v>0</v>
      </c>
      <c r="D1422">
        <v>0</v>
      </c>
      <c r="E1422">
        <v>0</v>
      </c>
      <c r="F1422">
        <v>0</v>
      </c>
      <c r="G1422">
        <v>0</v>
      </c>
    </row>
    <row r="1423" spans="1:7" x14ac:dyDescent="0.2">
      <c r="A1423" t="s">
        <v>2049</v>
      </c>
      <c r="B1423">
        <v>0</v>
      </c>
      <c r="C1423">
        <v>0</v>
      </c>
      <c r="D1423">
        <v>0</v>
      </c>
      <c r="E1423">
        <v>0</v>
      </c>
      <c r="F1423">
        <v>0</v>
      </c>
      <c r="G1423">
        <v>0</v>
      </c>
    </row>
    <row r="1424" spans="1:7" x14ac:dyDescent="0.2">
      <c r="A1424" t="s">
        <v>2051</v>
      </c>
      <c r="B1424">
        <v>0</v>
      </c>
      <c r="C1424">
        <v>0</v>
      </c>
      <c r="D1424">
        <v>0</v>
      </c>
      <c r="E1424">
        <v>0</v>
      </c>
      <c r="F1424">
        <v>1</v>
      </c>
      <c r="G1424">
        <v>1</v>
      </c>
    </row>
    <row r="1425" spans="1:7" x14ac:dyDescent="0.2">
      <c r="A1425" t="s">
        <v>2057</v>
      </c>
      <c r="B1425">
        <v>0</v>
      </c>
      <c r="C1425">
        <v>0</v>
      </c>
      <c r="D1425">
        <v>0</v>
      </c>
      <c r="E1425">
        <v>0</v>
      </c>
      <c r="F1425">
        <v>2</v>
      </c>
      <c r="G1425">
        <v>2</v>
      </c>
    </row>
    <row r="1426" spans="1:7" x14ac:dyDescent="0.2">
      <c r="A1426" t="s">
        <v>4344</v>
      </c>
      <c r="B1426">
        <v>0</v>
      </c>
      <c r="C1426">
        <v>0</v>
      </c>
      <c r="D1426">
        <v>0</v>
      </c>
      <c r="E1426">
        <v>0</v>
      </c>
      <c r="F1426">
        <v>0</v>
      </c>
      <c r="G1426">
        <v>1</v>
      </c>
    </row>
    <row r="1427" spans="1:7" x14ac:dyDescent="0.2">
      <c r="A1427" t="s">
        <v>4345</v>
      </c>
      <c r="B1427">
        <v>0</v>
      </c>
      <c r="C1427">
        <v>0</v>
      </c>
      <c r="D1427">
        <v>0</v>
      </c>
      <c r="E1427">
        <v>2</v>
      </c>
      <c r="F1427">
        <v>2</v>
      </c>
      <c r="G1427">
        <v>4</v>
      </c>
    </row>
    <row r="1428" spans="1:7" x14ac:dyDescent="0.2">
      <c r="A1428" t="s">
        <v>2074</v>
      </c>
      <c r="B1428">
        <v>0</v>
      </c>
      <c r="C1428">
        <v>0</v>
      </c>
      <c r="D1428">
        <v>0</v>
      </c>
      <c r="E1428">
        <v>0</v>
      </c>
      <c r="F1428">
        <v>0</v>
      </c>
      <c r="G1428">
        <v>0</v>
      </c>
    </row>
    <row r="1429" spans="1:7" x14ac:dyDescent="0.2">
      <c r="A1429" t="s">
        <v>2079</v>
      </c>
      <c r="B1429">
        <v>0</v>
      </c>
      <c r="C1429">
        <v>0</v>
      </c>
      <c r="D1429">
        <v>0</v>
      </c>
      <c r="E1429">
        <v>0</v>
      </c>
      <c r="F1429">
        <v>0</v>
      </c>
      <c r="G1429">
        <v>0</v>
      </c>
    </row>
    <row r="1430" spans="1:7" x14ac:dyDescent="0.2">
      <c r="A1430" t="s">
        <v>2085</v>
      </c>
      <c r="B1430">
        <v>0</v>
      </c>
      <c r="C1430">
        <v>0</v>
      </c>
      <c r="D1430">
        <v>0</v>
      </c>
      <c r="E1430">
        <v>0</v>
      </c>
      <c r="F1430">
        <v>0</v>
      </c>
      <c r="G1430">
        <v>0</v>
      </c>
    </row>
    <row r="1431" spans="1:7" x14ac:dyDescent="0.2">
      <c r="A1431" t="s">
        <v>2091</v>
      </c>
      <c r="B1431">
        <v>0</v>
      </c>
      <c r="C1431">
        <v>0</v>
      </c>
      <c r="D1431">
        <v>0</v>
      </c>
      <c r="E1431">
        <v>0</v>
      </c>
      <c r="F1431">
        <v>0</v>
      </c>
      <c r="G1431">
        <v>0</v>
      </c>
    </row>
    <row r="1432" spans="1:7" x14ac:dyDescent="0.2">
      <c r="A1432" t="s">
        <v>2097</v>
      </c>
      <c r="B1432">
        <v>0</v>
      </c>
      <c r="C1432">
        <v>0</v>
      </c>
      <c r="D1432">
        <v>0</v>
      </c>
      <c r="E1432">
        <v>0</v>
      </c>
      <c r="F1432">
        <v>0</v>
      </c>
      <c r="G1432">
        <v>0</v>
      </c>
    </row>
    <row r="1433" spans="1:7" x14ac:dyDescent="0.2">
      <c r="A1433" t="s">
        <v>2101</v>
      </c>
      <c r="B1433">
        <v>0</v>
      </c>
      <c r="C1433">
        <v>0</v>
      </c>
      <c r="D1433">
        <v>0</v>
      </c>
      <c r="E1433">
        <v>0</v>
      </c>
      <c r="F1433">
        <v>0</v>
      </c>
      <c r="G1433">
        <v>0</v>
      </c>
    </row>
    <row r="1434" spans="1:7" x14ac:dyDescent="0.2">
      <c r="A1434" t="s">
        <v>2104</v>
      </c>
      <c r="B1434">
        <v>0</v>
      </c>
      <c r="C1434">
        <v>0</v>
      </c>
      <c r="D1434">
        <v>0</v>
      </c>
      <c r="E1434">
        <v>0</v>
      </c>
      <c r="F1434">
        <v>0</v>
      </c>
      <c r="G1434">
        <v>0</v>
      </c>
    </row>
    <row r="1435" spans="1:7" x14ac:dyDescent="0.2">
      <c r="A1435" t="s">
        <v>2107</v>
      </c>
      <c r="B1435">
        <v>0</v>
      </c>
      <c r="C1435">
        <v>0</v>
      </c>
      <c r="D1435">
        <v>0</v>
      </c>
      <c r="E1435">
        <v>0</v>
      </c>
      <c r="F1435">
        <v>0</v>
      </c>
      <c r="G1435">
        <v>0</v>
      </c>
    </row>
    <row r="1436" spans="1:7" x14ac:dyDescent="0.2">
      <c r="A1436" t="s">
        <v>2110</v>
      </c>
      <c r="B1436">
        <v>0</v>
      </c>
      <c r="C1436">
        <v>0</v>
      </c>
      <c r="D1436">
        <v>0</v>
      </c>
      <c r="E1436">
        <v>0</v>
      </c>
      <c r="F1436">
        <v>0</v>
      </c>
      <c r="G1436">
        <v>0</v>
      </c>
    </row>
    <row r="1437" spans="1:7" x14ac:dyDescent="0.2">
      <c r="A1437" t="s">
        <v>2113</v>
      </c>
      <c r="B1437">
        <v>0</v>
      </c>
      <c r="C1437">
        <v>0</v>
      </c>
      <c r="D1437">
        <v>0</v>
      </c>
      <c r="E1437">
        <v>0</v>
      </c>
      <c r="F1437">
        <v>0</v>
      </c>
      <c r="G1437">
        <v>0</v>
      </c>
    </row>
    <row r="1438" spans="1:7" x14ac:dyDescent="0.2">
      <c r="A1438" t="s">
        <v>4346</v>
      </c>
      <c r="B1438">
        <v>0</v>
      </c>
      <c r="C1438">
        <v>0</v>
      </c>
      <c r="D1438">
        <v>0</v>
      </c>
      <c r="E1438">
        <v>0</v>
      </c>
      <c r="F1438">
        <v>0</v>
      </c>
      <c r="G1438">
        <v>0</v>
      </c>
    </row>
    <row r="1439" spans="1:7" x14ac:dyDescent="0.2">
      <c r="A1439" t="s">
        <v>4347</v>
      </c>
      <c r="B1439">
        <v>0</v>
      </c>
      <c r="C1439">
        <v>0</v>
      </c>
      <c r="D1439">
        <v>0</v>
      </c>
      <c r="E1439">
        <v>0</v>
      </c>
      <c r="F1439">
        <v>0</v>
      </c>
      <c r="G1439">
        <v>0</v>
      </c>
    </row>
    <row r="1440" spans="1:7" x14ac:dyDescent="0.2">
      <c r="A1440" t="s">
        <v>4348</v>
      </c>
      <c r="B1440">
        <v>0</v>
      </c>
      <c r="C1440">
        <v>0</v>
      </c>
      <c r="D1440">
        <v>0</v>
      </c>
      <c r="E1440">
        <v>0</v>
      </c>
      <c r="F1440">
        <v>0</v>
      </c>
      <c r="G1440">
        <v>0</v>
      </c>
    </row>
    <row r="1441" spans="1:7" x14ac:dyDescent="0.2">
      <c r="A1441" t="s">
        <v>4349</v>
      </c>
      <c r="B1441">
        <v>0</v>
      </c>
      <c r="C1441">
        <v>0</v>
      </c>
      <c r="D1441">
        <v>0</v>
      </c>
      <c r="E1441">
        <v>0</v>
      </c>
      <c r="F1441">
        <v>0</v>
      </c>
      <c r="G1441">
        <v>0</v>
      </c>
    </row>
    <row r="1442" spans="1:7" x14ac:dyDescent="0.2">
      <c r="A1442" t="s">
        <v>4350</v>
      </c>
      <c r="B1442">
        <v>0</v>
      </c>
      <c r="C1442">
        <v>1</v>
      </c>
      <c r="D1442">
        <v>1</v>
      </c>
      <c r="E1442">
        <v>0</v>
      </c>
      <c r="F1442">
        <v>0</v>
      </c>
      <c r="G1442">
        <v>1</v>
      </c>
    </row>
    <row r="1443" spans="1:7" x14ac:dyDescent="0.2">
      <c r="A1443" t="s">
        <v>4351</v>
      </c>
      <c r="B1443">
        <v>0</v>
      </c>
      <c r="C1443">
        <v>0</v>
      </c>
      <c r="D1443">
        <v>0</v>
      </c>
      <c r="E1443">
        <v>0</v>
      </c>
      <c r="F1443">
        <v>0</v>
      </c>
      <c r="G1443">
        <v>0</v>
      </c>
    </row>
    <row r="1444" spans="1:7" x14ac:dyDescent="0.2">
      <c r="A1444" t="s">
        <v>4352</v>
      </c>
      <c r="B1444">
        <v>0</v>
      </c>
      <c r="C1444">
        <v>0</v>
      </c>
      <c r="D1444">
        <v>0</v>
      </c>
      <c r="E1444">
        <v>0</v>
      </c>
      <c r="F1444">
        <v>0</v>
      </c>
      <c r="G1444">
        <v>0</v>
      </c>
    </row>
    <row r="1445" spans="1:7" x14ac:dyDescent="0.2">
      <c r="A1445" t="s">
        <v>4353</v>
      </c>
      <c r="B1445">
        <v>1</v>
      </c>
      <c r="C1445">
        <v>42</v>
      </c>
      <c r="D1445">
        <v>12</v>
      </c>
      <c r="E1445">
        <v>1</v>
      </c>
      <c r="F1445">
        <v>0</v>
      </c>
      <c r="G1445">
        <v>55</v>
      </c>
    </row>
    <row r="1446" spans="1:7" x14ac:dyDescent="0.2">
      <c r="A1446" t="s">
        <v>4354</v>
      </c>
      <c r="B1446">
        <v>2</v>
      </c>
      <c r="C1446">
        <v>25</v>
      </c>
      <c r="D1446">
        <v>7</v>
      </c>
      <c r="E1446">
        <v>0</v>
      </c>
      <c r="F1446">
        <v>0</v>
      </c>
      <c r="G1446">
        <v>34</v>
      </c>
    </row>
    <row r="1447" spans="1:7" x14ac:dyDescent="0.2">
      <c r="A1447" t="s">
        <v>4355</v>
      </c>
      <c r="B1447">
        <v>0</v>
      </c>
      <c r="C1447">
        <v>0</v>
      </c>
      <c r="D1447">
        <v>0</v>
      </c>
      <c r="E1447">
        <v>0</v>
      </c>
      <c r="F1447">
        <v>0</v>
      </c>
      <c r="G1447">
        <v>0</v>
      </c>
    </row>
    <row r="1448" spans="1:7" x14ac:dyDescent="0.2">
      <c r="A1448" t="s">
        <v>4356</v>
      </c>
      <c r="B1448">
        <v>0</v>
      </c>
      <c r="C1448">
        <v>0</v>
      </c>
      <c r="D1448">
        <v>0</v>
      </c>
      <c r="E1448">
        <v>0</v>
      </c>
      <c r="F1448">
        <v>0</v>
      </c>
      <c r="G1448">
        <v>0</v>
      </c>
    </row>
    <row r="1449" spans="1:7" x14ac:dyDescent="0.2">
      <c r="A1449" t="s">
        <v>4357</v>
      </c>
      <c r="B1449">
        <v>0</v>
      </c>
      <c r="C1449">
        <v>0</v>
      </c>
      <c r="D1449">
        <v>0</v>
      </c>
      <c r="E1449">
        <v>0</v>
      </c>
      <c r="F1449">
        <v>0</v>
      </c>
      <c r="G1449">
        <v>0</v>
      </c>
    </row>
    <row r="1450" spans="1:7" x14ac:dyDescent="0.2">
      <c r="A1450" t="s">
        <v>4358</v>
      </c>
      <c r="B1450">
        <v>0</v>
      </c>
      <c r="C1450">
        <v>0</v>
      </c>
      <c r="D1450">
        <v>0</v>
      </c>
      <c r="E1450">
        <v>0</v>
      </c>
      <c r="F1450">
        <v>0</v>
      </c>
      <c r="G1450">
        <v>0</v>
      </c>
    </row>
    <row r="1451" spans="1:7" x14ac:dyDescent="0.2">
      <c r="A1451" t="s">
        <v>4359</v>
      </c>
      <c r="B1451">
        <v>0</v>
      </c>
      <c r="C1451">
        <v>0</v>
      </c>
      <c r="D1451">
        <v>0</v>
      </c>
      <c r="E1451">
        <v>0</v>
      </c>
      <c r="F1451">
        <v>0</v>
      </c>
      <c r="G1451">
        <v>0</v>
      </c>
    </row>
    <row r="1452" spans="1:7" x14ac:dyDescent="0.2">
      <c r="A1452" t="s">
        <v>4360</v>
      </c>
      <c r="B1452">
        <v>0</v>
      </c>
      <c r="C1452">
        <v>0</v>
      </c>
      <c r="D1452">
        <v>0</v>
      </c>
      <c r="E1452">
        <v>3</v>
      </c>
      <c r="F1452">
        <v>0</v>
      </c>
      <c r="G1452">
        <v>3</v>
      </c>
    </row>
    <row r="1453" spans="1:7" x14ac:dyDescent="0.2">
      <c r="A1453" t="s">
        <v>4361</v>
      </c>
      <c r="B1453">
        <v>0</v>
      </c>
      <c r="C1453">
        <v>0</v>
      </c>
      <c r="D1453">
        <v>3</v>
      </c>
      <c r="E1453">
        <v>0</v>
      </c>
      <c r="F1453">
        <v>0</v>
      </c>
      <c r="G1453">
        <v>3</v>
      </c>
    </row>
    <row r="1454" spans="1:7" x14ac:dyDescent="0.2">
      <c r="A1454" t="s">
        <v>4362</v>
      </c>
      <c r="B1454">
        <v>0</v>
      </c>
      <c r="C1454">
        <v>0</v>
      </c>
      <c r="D1454">
        <v>0</v>
      </c>
      <c r="E1454">
        <v>0</v>
      </c>
      <c r="F1454">
        <v>0</v>
      </c>
      <c r="G1454">
        <v>0</v>
      </c>
    </row>
    <row r="1455" spans="1:7" x14ac:dyDescent="0.2">
      <c r="A1455" t="s">
        <v>4363</v>
      </c>
      <c r="B1455">
        <v>0</v>
      </c>
      <c r="C1455">
        <v>0</v>
      </c>
      <c r="D1455">
        <v>0</v>
      </c>
      <c r="E1455">
        <v>0</v>
      </c>
      <c r="F1455">
        <v>0</v>
      </c>
      <c r="G1455">
        <v>0</v>
      </c>
    </row>
    <row r="1456" spans="1:7" x14ac:dyDescent="0.2">
      <c r="A1456" t="s">
        <v>4364</v>
      </c>
      <c r="B1456">
        <v>0</v>
      </c>
      <c r="C1456">
        <v>0</v>
      </c>
      <c r="D1456">
        <v>0</v>
      </c>
      <c r="E1456">
        <v>0</v>
      </c>
      <c r="F1456">
        <v>0</v>
      </c>
      <c r="G1456">
        <v>0</v>
      </c>
    </row>
    <row r="1457" spans="1:10" x14ac:dyDescent="0.2">
      <c r="A1457" t="s">
        <v>4365</v>
      </c>
      <c r="B1457">
        <v>0</v>
      </c>
      <c r="C1457">
        <v>6</v>
      </c>
      <c r="D1457">
        <v>5</v>
      </c>
      <c r="E1457">
        <v>0</v>
      </c>
      <c r="F1457">
        <v>0</v>
      </c>
      <c r="G1457">
        <v>10</v>
      </c>
    </row>
    <row r="1458" spans="1:10" x14ac:dyDescent="0.2">
      <c r="A1458" t="s">
        <v>4366</v>
      </c>
      <c r="B1458">
        <v>0</v>
      </c>
      <c r="C1458">
        <v>0</v>
      </c>
      <c r="D1458">
        <v>0</v>
      </c>
      <c r="E1458">
        <v>0</v>
      </c>
      <c r="F1458">
        <v>0</v>
      </c>
      <c r="G1458">
        <v>0</v>
      </c>
    </row>
    <row r="1459" spans="1:10" x14ac:dyDescent="0.2">
      <c r="A1459" t="s">
        <v>4367</v>
      </c>
      <c r="B1459">
        <v>0</v>
      </c>
      <c r="C1459">
        <v>2</v>
      </c>
      <c r="D1459">
        <v>0</v>
      </c>
      <c r="E1459">
        <v>0</v>
      </c>
      <c r="F1459">
        <v>0</v>
      </c>
      <c r="G1459">
        <v>2</v>
      </c>
    </row>
    <row r="1460" spans="1:10" x14ac:dyDescent="0.2">
      <c r="A1460" t="s">
        <v>4368</v>
      </c>
      <c r="B1460">
        <v>10</v>
      </c>
      <c r="C1460">
        <v>52</v>
      </c>
      <c r="D1460">
        <v>66</v>
      </c>
      <c r="E1460">
        <v>77</v>
      </c>
      <c r="F1460">
        <v>5</v>
      </c>
      <c r="G1460">
        <v>210</v>
      </c>
    </row>
    <row r="1461" spans="1:10" x14ac:dyDescent="0.2">
      <c r="A1461" t="s">
        <v>4369</v>
      </c>
      <c r="B1461">
        <v>3</v>
      </c>
      <c r="C1461">
        <v>73</v>
      </c>
      <c r="D1461">
        <v>130</v>
      </c>
      <c r="E1461">
        <v>1</v>
      </c>
      <c r="F1461">
        <v>0</v>
      </c>
      <c r="G1461">
        <v>206</v>
      </c>
    </row>
    <row r="1462" spans="1:10" x14ac:dyDescent="0.2">
      <c r="A1462" t="s">
        <v>4370</v>
      </c>
      <c r="B1462">
        <v>4</v>
      </c>
      <c r="C1462">
        <v>3</v>
      </c>
      <c r="D1462">
        <v>1</v>
      </c>
      <c r="E1462">
        <v>0</v>
      </c>
      <c r="F1462">
        <v>0</v>
      </c>
      <c r="G1462">
        <v>8</v>
      </c>
    </row>
    <row r="1463" spans="1:10" x14ac:dyDescent="0.2">
      <c r="A1463" t="s">
        <v>4371</v>
      </c>
      <c r="B1463">
        <v>1</v>
      </c>
      <c r="C1463">
        <v>2</v>
      </c>
      <c r="D1463">
        <v>1</v>
      </c>
      <c r="E1463">
        <v>1</v>
      </c>
      <c r="F1463">
        <v>0</v>
      </c>
      <c r="G1463">
        <v>5</v>
      </c>
    </row>
    <row r="1464" spans="1:10" x14ac:dyDescent="0.2">
      <c r="A1464" t="s">
        <v>4372</v>
      </c>
      <c r="B1464">
        <v>0</v>
      </c>
      <c r="C1464">
        <v>0</v>
      </c>
      <c r="D1464">
        <v>0</v>
      </c>
      <c r="E1464">
        <v>0</v>
      </c>
      <c r="F1464">
        <v>0</v>
      </c>
      <c r="G1464">
        <v>0</v>
      </c>
    </row>
    <row r="1465" spans="1:10" x14ac:dyDescent="0.2">
      <c r="A1465" t="s">
        <v>4373</v>
      </c>
      <c r="B1465">
        <v>0</v>
      </c>
      <c r="C1465">
        <v>0</v>
      </c>
      <c r="D1465">
        <v>0</v>
      </c>
      <c r="E1465">
        <v>0</v>
      </c>
      <c r="F1465">
        <v>0</v>
      </c>
      <c r="G1465">
        <v>0</v>
      </c>
    </row>
    <row r="1466" spans="1:10" x14ac:dyDescent="0.2">
      <c r="A1466" t="s">
        <v>4374</v>
      </c>
      <c r="B1466">
        <v>0</v>
      </c>
      <c r="C1466">
        <v>0</v>
      </c>
      <c r="D1466">
        <v>0</v>
      </c>
      <c r="E1466">
        <v>0</v>
      </c>
      <c r="F1466">
        <v>0</v>
      </c>
      <c r="G1466">
        <v>0</v>
      </c>
    </row>
    <row r="1467" spans="1:10" x14ac:dyDescent="0.2">
      <c r="A1467" t="s">
        <v>4375</v>
      </c>
      <c r="B1467">
        <v>0</v>
      </c>
      <c r="C1467">
        <v>0</v>
      </c>
      <c r="D1467">
        <v>0</v>
      </c>
      <c r="E1467">
        <v>0</v>
      </c>
      <c r="F1467">
        <v>0</v>
      </c>
      <c r="G1467">
        <v>0</v>
      </c>
    </row>
    <row r="1468" spans="1:10" x14ac:dyDescent="0.2">
      <c r="A1468" t="s">
        <v>4376</v>
      </c>
      <c r="B1468">
        <v>0</v>
      </c>
      <c r="C1468">
        <v>0</v>
      </c>
      <c r="D1468">
        <v>0</v>
      </c>
      <c r="E1468">
        <v>0</v>
      </c>
      <c r="F1468">
        <v>0</v>
      </c>
      <c r="G1468">
        <v>0</v>
      </c>
    </row>
    <row r="1469" spans="1:10" x14ac:dyDescent="0.2">
      <c r="A1469" t="s">
        <v>4377</v>
      </c>
      <c r="B1469">
        <v>0</v>
      </c>
      <c r="C1469">
        <v>0</v>
      </c>
      <c r="D1469">
        <v>0</v>
      </c>
      <c r="E1469">
        <v>0</v>
      </c>
      <c r="F1469">
        <v>0</v>
      </c>
      <c r="G1469">
        <v>0</v>
      </c>
    </row>
    <row r="1470" spans="1:10" x14ac:dyDescent="0.2">
      <c r="A1470" t="s">
        <v>2318</v>
      </c>
      <c r="B1470" t="s">
        <v>2319</v>
      </c>
      <c r="C1470" t="s">
        <v>2319</v>
      </c>
      <c r="D1470" t="s">
        <v>2319</v>
      </c>
      <c r="E1470" t="s">
        <v>2319</v>
      </c>
      <c r="F1470" t="s">
        <v>2319</v>
      </c>
      <c r="G1470" t="s">
        <v>2319</v>
      </c>
    </row>
    <row r="1471" spans="1:10" x14ac:dyDescent="0.2">
      <c r="A1471" t="s">
        <v>4248</v>
      </c>
    </row>
    <row r="1472" spans="1:10" x14ac:dyDescent="0.2">
      <c r="A1472" t="s">
        <v>4250</v>
      </c>
      <c r="C1472" t="s">
        <v>4251</v>
      </c>
      <c r="G1472" t="s">
        <v>7531</v>
      </c>
      <c r="J1472"/>
    </row>
    <row r="1473" spans="1:10" x14ac:dyDescent="0.2">
      <c r="A1473" t="s">
        <v>4925</v>
      </c>
      <c r="G1473" t="s">
        <v>7538</v>
      </c>
      <c r="J1473"/>
    </row>
    <row r="1474" spans="1:10" x14ac:dyDescent="0.2">
      <c r="A1474" t="s">
        <v>7530</v>
      </c>
      <c r="J1474"/>
    </row>
    <row r="1475" spans="1:10" x14ac:dyDescent="0.2">
      <c r="A1475" t="s">
        <v>4953</v>
      </c>
      <c r="J1475"/>
    </row>
    <row r="1476" spans="1:10" x14ac:dyDescent="0.2">
      <c r="J1476"/>
    </row>
    <row r="1477" spans="1:10" x14ac:dyDescent="0.2">
      <c r="A1477" t="s">
        <v>4259</v>
      </c>
      <c r="J1477"/>
    </row>
    <row r="1478" spans="1:10" x14ac:dyDescent="0.2">
      <c r="A1478" t="s">
        <v>2318</v>
      </c>
      <c r="B1478" t="s">
        <v>2319</v>
      </c>
      <c r="C1478" t="s">
        <v>2319</v>
      </c>
      <c r="D1478" t="s">
        <v>2319</v>
      </c>
      <c r="E1478" t="s">
        <v>2319</v>
      </c>
      <c r="F1478" t="s">
        <v>2319</v>
      </c>
      <c r="G1478" t="s">
        <v>2319</v>
      </c>
    </row>
    <row r="1479" spans="1:10" x14ac:dyDescent="0.2">
      <c r="A1479" t="s">
        <v>174</v>
      </c>
      <c r="B1479" t="s">
        <v>4945</v>
      </c>
      <c r="C1479" t="s">
        <v>4946</v>
      </c>
      <c r="D1479" t="s">
        <v>4947</v>
      </c>
      <c r="E1479" t="s">
        <v>4948</v>
      </c>
      <c r="F1479" t="s">
        <v>4949</v>
      </c>
    </row>
    <row r="1480" spans="1:10" x14ac:dyDescent="0.2">
      <c r="A1480" t="s">
        <v>126</v>
      </c>
      <c r="B1480" t="s">
        <v>4262</v>
      </c>
      <c r="C1480" t="s">
        <v>4263</v>
      </c>
      <c r="D1480" t="s">
        <v>4264</v>
      </c>
      <c r="E1480" t="s">
        <v>2308</v>
      </c>
      <c r="F1480" t="s">
        <v>615</v>
      </c>
      <c r="G1480" t="s">
        <v>236</v>
      </c>
    </row>
    <row r="1481" spans="1:10" x14ac:dyDescent="0.2">
      <c r="A1481" t="s">
        <v>2318</v>
      </c>
      <c r="B1481" t="s">
        <v>2319</v>
      </c>
      <c r="C1481" t="s">
        <v>2319</v>
      </c>
      <c r="D1481" t="s">
        <v>2319</v>
      </c>
      <c r="E1481" t="s">
        <v>2319</v>
      </c>
      <c r="F1481" t="s">
        <v>2319</v>
      </c>
      <c r="G1481" t="s">
        <v>2319</v>
      </c>
    </row>
    <row r="1482" spans="1:10" x14ac:dyDescent="0.2">
      <c r="A1482" t="s">
        <v>4265</v>
      </c>
      <c r="B1482">
        <v>0</v>
      </c>
      <c r="C1482">
        <v>0</v>
      </c>
      <c r="D1482">
        <v>0</v>
      </c>
      <c r="E1482">
        <v>0</v>
      </c>
      <c r="F1482">
        <v>0</v>
      </c>
      <c r="G1482">
        <v>0</v>
      </c>
    </row>
    <row r="1483" spans="1:10" x14ac:dyDescent="0.2">
      <c r="A1483" t="s">
        <v>4266</v>
      </c>
      <c r="B1483">
        <v>0</v>
      </c>
      <c r="C1483">
        <v>0</v>
      </c>
      <c r="D1483">
        <v>0</v>
      </c>
      <c r="E1483">
        <v>0</v>
      </c>
      <c r="F1483">
        <v>0</v>
      </c>
      <c r="G1483">
        <v>0</v>
      </c>
    </row>
    <row r="1484" spans="1:10" x14ac:dyDescent="0.2">
      <c r="A1484" t="s">
        <v>4267</v>
      </c>
      <c r="B1484">
        <v>0</v>
      </c>
      <c r="C1484">
        <v>0</v>
      </c>
      <c r="D1484">
        <v>0</v>
      </c>
      <c r="E1484">
        <v>0</v>
      </c>
      <c r="F1484">
        <v>0</v>
      </c>
      <c r="G1484">
        <v>0</v>
      </c>
    </row>
    <row r="1485" spans="1:10" x14ac:dyDescent="0.2">
      <c r="A1485" t="s">
        <v>4268</v>
      </c>
      <c r="B1485">
        <v>0</v>
      </c>
      <c r="C1485">
        <v>0</v>
      </c>
      <c r="D1485">
        <v>0</v>
      </c>
      <c r="E1485">
        <v>0</v>
      </c>
      <c r="F1485">
        <v>0</v>
      </c>
      <c r="G1485">
        <v>0</v>
      </c>
    </row>
    <row r="1486" spans="1:10" x14ac:dyDescent="0.2">
      <c r="A1486" t="s">
        <v>4269</v>
      </c>
      <c r="B1486">
        <v>0</v>
      </c>
      <c r="C1486">
        <v>0</v>
      </c>
      <c r="D1486">
        <v>0</v>
      </c>
      <c r="E1486">
        <v>0</v>
      </c>
      <c r="F1486">
        <v>0</v>
      </c>
      <c r="G1486">
        <v>0</v>
      </c>
    </row>
    <row r="1487" spans="1:10" x14ac:dyDescent="0.2">
      <c r="A1487" t="s">
        <v>4270</v>
      </c>
      <c r="B1487">
        <v>0</v>
      </c>
      <c r="C1487">
        <v>0</v>
      </c>
      <c r="D1487">
        <v>0</v>
      </c>
      <c r="E1487">
        <v>0</v>
      </c>
      <c r="F1487">
        <v>0</v>
      </c>
      <c r="G1487">
        <v>0</v>
      </c>
    </row>
    <row r="1488" spans="1:10" x14ac:dyDescent="0.2">
      <c r="A1488" t="s">
        <v>4271</v>
      </c>
      <c r="B1488">
        <v>0</v>
      </c>
      <c r="C1488">
        <v>0</v>
      </c>
      <c r="D1488">
        <v>0</v>
      </c>
      <c r="E1488">
        <v>0</v>
      </c>
      <c r="F1488">
        <v>0</v>
      </c>
      <c r="G1488">
        <v>0</v>
      </c>
    </row>
    <row r="1489" spans="1:7" x14ac:dyDescent="0.2">
      <c r="A1489" t="s">
        <v>4272</v>
      </c>
      <c r="B1489">
        <v>0</v>
      </c>
      <c r="C1489">
        <v>0</v>
      </c>
      <c r="D1489">
        <v>0</v>
      </c>
      <c r="E1489">
        <v>0</v>
      </c>
      <c r="F1489">
        <v>0</v>
      </c>
      <c r="G1489">
        <v>0</v>
      </c>
    </row>
    <row r="1490" spans="1:7" x14ac:dyDescent="0.2">
      <c r="A1490" t="s">
        <v>4273</v>
      </c>
      <c r="B1490">
        <v>0</v>
      </c>
      <c r="C1490">
        <v>0</v>
      </c>
      <c r="D1490">
        <v>0</v>
      </c>
      <c r="E1490">
        <v>0</v>
      </c>
      <c r="F1490">
        <v>0</v>
      </c>
      <c r="G1490">
        <v>0</v>
      </c>
    </row>
    <row r="1491" spans="1:7" x14ac:dyDescent="0.2">
      <c r="A1491" t="s">
        <v>4274</v>
      </c>
      <c r="B1491">
        <v>0</v>
      </c>
      <c r="C1491">
        <v>0</v>
      </c>
      <c r="D1491">
        <v>0</v>
      </c>
      <c r="E1491">
        <v>0</v>
      </c>
      <c r="F1491">
        <v>0</v>
      </c>
      <c r="G1491">
        <v>0</v>
      </c>
    </row>
    <row r="1492" spans="1:7" x14ac:dyDescent="0.2">
      <c r="A1492" t="s">
        <v>4275</v>
      </c>
      <c r="B1492">
        <v>0</v>
      </c>
      <c r="C1492">
        <v>0</v>
      </c>
      <c r="D1492">
        <v>0</v>
      </c>
      <c r="E1492">
        <v>0</v>
      </c>
      <c r="F1492">
        <v>0</v>
      </c>
      <c r="G1492">
        <v>0</v>
      </c>
    </row>
    <row r="1493" spans="1:7" x14ac:dyDescent="0.2">
      <c r="A1493" t="s">
        <v>4276</v>
      </c>
      <c r="B1493">
        <v>0</v>
      </c>
      <c r="C1493">
        <v>0</v>
      </c>
      <c r="D1493">
        <v>0</v>
      </c>
      <c r="E1493">
        <v>0</v>
      </c>
      <c r="F1493">
        <v>0</v>
      </c>
      <c r="G1493">
        <v>0</v>
      </c>
    </row>
    <row r="1494" spans="1:7" x14ac:dyDescent="0.2">
      <c r="A1494" t="s">
        <v>4277</v>
      </c>
      <c r="B1494">
        <v>0</v>
      </c>
      <c r="C1494">
        <v>0</v>
      </c>
      <c r="D1494">
        <v>0</v>
      </c>
      <c r="E1494">
        <v>0</v>
      </c>
      <c r="F1494">
        <v>0</v>
      </c>
      <c r="G1494">
        <v>0</v>
      </c>
    </row>
    <row r="1495" spans="1:7" x14ac:dyDescent="0.2">
      <c r="A1495" t="s">
        <v>4278</v>
      </c>
      <c r="B1495">
        <v>0</v>
      </c>
      <c r="C1495">
        <v>0</v>
      </c>
      <c r="D1495">
        <v>0</v>
      </c>
      <c r="E1495">
        <v>0</v>
      </c>
      <c r="F1495">
        <v>0</v>
      </c>
      <c r="G1495">
        <v>0</v>
      </c>
    </row>
    <row r="1496" spans="1:7" x14ac:dyDescent="0.2">
      <c r="A1496" t="s">
        <v>4279</v>
      </c>
      <c r="B1496">
        <v>0</v>
      </c>
      <c r="C1496">
        <v>0</v>
      </c>
      <c r="D1496">
        <v>0</v>
      </c>
      <c r="E1496">
        <v>0</v>
      </c>
      <c r="F1496">
        <v>0</v>
      </c>
      <c r="G1496">
        <v>0</v>
      </c>
    </row>
    <row r="1497" spans="1:7" x14ac:dyDescent="0.2">
      <c r="A1497" t="s">
        <v>4280</v>
      </c>
      <c r="B1497">
        <v>0</v>
      </c>
      <c r="C1497">
        <v>0</v>
      </c>
      <c r="D1497">
        <v>0</v>
      </c>
      <c r="E1497">
        <v>0</v>
      </c>
      <c r="F1497">
        <v>0</v>
      </c>
      <c r="G1497">
        <v>0</v>
      </c>
    </row>
    <row r="1498" spans="1:7" x14ac:dyDescent="0.2">
      <c r="A1498" t="s">
        <v>4281</v>
      </c>
      <c r="B1498">
        <v>5</v>
      </c>
      <c r="C1498">
        <v>2</v>
      </c>
      <c r="D1498">
        <v>7</v>
      </c>
      <c r="E1498">
        <v>0</v>
      </c>
      <c r="F1498">
        <v>0</v>
      </c>
      <c r="G1498">
        <v>14</v>
      </c>
    </row>
    <row r="1499" spans="1:7" x14ac:dyDescent="0.2">
      <c r="A1499" t="s">
        <v>4282</v>
      </c>
      <c r="B1499">
        <v>3</v>
      </c>
      <c r="C1499">
        <v>2</v>
      </c>
      <c r="D1499">
        <v>2</v>
      </c>
      <c r="E1499">
        <v>0</v>
      </c>
      <c r="F1499">
        <v>0</v>
      </c>
      <c r="G1499">
        <v>7</v>
      </c>
    </row>
    <row r="1500" spans="1:7" x14ac:dyDescent="0.2">
      <c r="A1500" t="s">
        <v>4283</v>
      </c>
      <c r="B1500">
        <v>1</v>
      </c>
      <c r="C1500">
        <v>1</v>
      </c>
      <c r="D1500">
        <v>0</v>
      </c>
      <c r="E1500">
        <v>0</v>
      </c>
      <c r="F1500">
        <v>0</v>
      </c>
      <c r="G1500">
        <v>1</v>
      </c>
    </row>
    <row r="1501" spans="1:7" x14ac:dyDescent="0.2">
      <c r="A1501" t="s">
        <v>4284</v>
      </c>
      <c r="B1501">
        <v>0</v>
      </c>
      <c r="C1501">
        <v>0</v>
      </c>
      <c r="D1501">
        <v>0</v>
      </c>
      <c r="E1501">
        <v>0</v>
      </c>
      <c r="F1501">
        <v>0</v>
      </c>
      <c r="G1501">
        <v>0</v>
      </c>
    </row>
    <row r="1502" spans="1:7" x14ac:dyDescent="0.2">
      <c r="A1502" t="s">
        <v>4285</v>
      </c>
      <c r="B1502">
        <v>1</v>
      </c>
      <c r="C1502">
        <v>3</v>
      </c>
      <c r="D1502">
        <v>4</v>
      </c>
      <c r="E1502">
        <v>0</v>
      </c>
      <c r="F1502">
        <v>0</v>
      </c>
      <c r="G1502">
        <v>7</v>
      </c>
    </row>
    <row r="1503" spans="1:7" x14ac:dyDescent="0.2">
      <c r="A1503" t="s">
        <v>4286</v>
      </c>
      <c r="B1503">
        <v>4</v>
      </c>
      <c r="C1503">
        <v>0</v>
      </c>
      <c r="D1503">
        <v>0</v>
      </c>
      <c r="E1503">
        <v>0</v>
      </c>
      <c r="F1503">
        <v>0</v>
      </c>
      <c r="G1503">
        <v>4</v>
      </c>
    </row>
    <row r="1504" spans="1:7" x14ac:dyDescent="0.2">
      <c r="A1504" t="s">
        <v>4287</v>
      </c>
      <c r="B1504">
        <v>0</v>
      </c>
      <c r="C1504">
        <v>0</v>
      </c>
      <c r="D1504">
        <v>0</v>
      </c>
      <c r="E1504">
        <v>4</v>
      </c>
      <c r="F1504">
        <v>0</v>
      </c>
      <c r="G1504">
        <v>4</v>
      </c>
    </row>
    <row r="1505" spans="1:7" x14ac:dyDescent="0.2">
      <c r="A1505" t="s">
        <v>4288</v>
      </c>
      <c r="B1505">
        <v>0</v>
      </c>
      <c r="C1505">
        <v>0</v>
      </c>
      <c r="D1505">
        <v>0</v>
      </c>
      <c r="E1505">
        <v>0</v>
      </c>
      <c r="F1505">
        <v>0</v>
      </c>
      <c r="G1505">
        <v>0</v>
      </c>
    </row>
    <row r="1506" spans="1:7" x14ac:dyDescent="0.2">
      <c r="A1506" t="s">
        <v>4289</v>
      </c>
      <c r="B1506">
        <v>0</v>
      </c>
      <c r="C1506">
        <v>0</v>
      </c>
      <c r="D1506">
        <v>0</v>
      </c>
      <c r="E1506">
        <v>0</v>
      </c>
      <c r="F1506">
        <v>0</v>
      </c>
      <c r="G1506">
        <v>0</v>
      </c>
    </row>
    <row r="1507" spans="1:7" x14ac:dyDescent="0.2">
      <c r="A1507" t="s">
        <v>4290</v>
      </c>
      <c r="B1507">
        <v>0</v>
      </c>
      <c r="C1507">
        <v>0</v>
      </c>
      <c r="D1507">
        <v>0</v>
      </c>
      <c r="E1507">
        <v>0</v>
      </c>
      <c r="F1507">
        <v>0</v>
      </c>
      <c r="G1507">
        <v>0</v>
      </c>
    </row>
    <row r="1508" spans="1:7" x14ac:dyDescent="0.2">
      <c r="A1508" t="s">
        <v>4291</v>
      </c>
      <c r="B1508">
        <v>0</v>
      </c>
      <c r="C1508">
        <v>0</v>
      </c>
      <c r="D1508">
        <v>0</v>
      </c>
      <c r="E1508">
        <v>0</v>
      </c>
      <c r="F1508">
        <v>0</v>
      </c>
      <c r="G1508">
        <v>0</v>
      </c>
    </row>
    <row r="1509" spans="1:7" x14ac:dyDescent="0.2">
      <c r="A1509" t="s">
        <v>4292</v>
      </c>
      <c r="B1509">
        <v>0</v>
      </c>
      <c r="C1509">
        <v>0</v>
      </c>
      <c r="D1509">
        <v>0</v>
      </c>
      <c r="E1509">
        <v>0</v>
      </c>
      <c r="F1509">
        <v>0</v>
      </c>
      <c r="G1509">
        <v>0</v>
      </c>
    </row>
    <row r="1510" spans="1:7" x14ac:dyDescent="0.2">
      <c r="A1510" t="s">
        <v>4293</v>
      </c>
      <c r="B1510">
        <v>0</v>
      </c>
      <c r="C1510">
        <v>0</v>
      </c>
      <c r="D1510">
        <v>0</v>
      </c>
      <c r="E1510">
        <v>0</v>
      </c>
      <c r="F1510">
        <v>0</v>
      </c>
      <c r="G1510">
        <v>0</v>
      </c>
    </row>
    <row r="1511" spans="1:7" x14ac:dyDescent="0.2">
      <c r="A1511" t="s">
        <v>4294</v>
      </c>
      <c r="B1511">
        <v>0</v>
      </c>
      <c r="C1511">
        <v>0</v>
      </c>
      <c r="D1511">
        <v>0</v>
      </c>
      <c r="E1511">
        <v>0</v>
      </c>
      <c r="F1511">
        <v>0</v>
      </c>
      <c r="G1511">
        <v>0</v>
      </c>
    </row>
    <row r="1512" spans="1:7" x14ac:dyDescent="0.2">
      <c r="A1512" t="s">
        <v>4295</v>
      </c>
      <c r="B1512">
        <v>0</v>
      </c>
      <c r="C1512">
        <v>0</v>
      </c>
      <c r="D1512">
        <v>0</v>
      </c>
      <c r="E1512">
        <v>0</v>
      </c>
      <c r="F1512">
        <v>0</v>
      </c>
      <c r="G1512">
        <v>0</v>
      </c>
    </row>
    <row r="1513" spans="1:7" x14ac:dyDescent="0.2">
      <c r="A1513" t="s">
        <v>4296</v>
      </c>
      <c r="B1513">
        <v>0</v>
      </c>
      <c r="C1513">
        <v>0</v>
      </c>
      <c r="D1513">
        <v>0</v>
      </c>
      <c r="E1513">
        <v>0</v>
      </c>
      <c r="F1513">
        <v>0</v>
      </c>
      <c r="G1513">
        <v>0</v>
      </c>
    </row>
    <row r="1514" spans="1:7" x14ac:dyDescent="0.2">
      <c r="A1514" t="s">
        <v>4297</v>
      </c>
      <c r="B1514">
        <v>1</v>
      </c>
      <c r="C1514">
        <v>4</v>
      </c>
      <c r="D1514">
        <v>7</v>
      </c>
      <c r="E1514">
        <v>0</v>
      </c>
      <c r="F1514">
        <v>0</v>
      </c>
      <c r="G1514">
        <v>11</v>
      </c>
    </row>
    <row r="1515" spans="1:7" x14ac:dyDescent="0.2">
      <c r="A1515" t="s">
        <v>4298</v>
      </c>
      <c r="B1515">
        <v>2</v>
      </c>
      <c r="C1515">
        <v>3</v>
      </c>
      <c r="D1515">
        <v>2</v>
      </c>
      <c r="E1515">
        <v>1</v>
      </c>
      <c r="F1515">
        <v>0</v>
      </c>
      <c r="G1515">
        <v>8</v>
      </c>
    </row>
    <row r="1516" spans="1:7" x14ac:dyDescent="0.2">
      <c r="A1516" t="s">
        <v>4299</v>
      </c>
      <c r="B1516">
        <v>8</v>
      </c>
      <c r="C1516">
        <v>8</v>
      </c>
      <c r="D1516">
        <v>6</v>
      </c>
      <c r="E1516">
        <v>11</v>
      </c>
      <c r="F1516">
        <v>0</v>
      </c>
      <c r="G1516">
        <v>32</v>
      </c>
    </row>
    <row r="1517" spans="1:7" x14ac:dyDescent="0.2">
      <c r="A1517" t="s">
        <v>4300</v>
      </c>
      <c r="B1517">
        <v>0</v>
      </c>
      <c r="C1517">
        <v>1</v>
      </c>
      <c r="D1517">
        <v>0</v>
      </c>
      <c r="E1517">
        <v>1</v>
      </c>
      <c r="F1517">
        <v>0</v>
      </c>
      <c r="G1517">
        <v>2</v>
      </c>
    </row>
    <row r="1518" spans="1:7" x14ac:dyDescent="0.2">
      <c r="A1518" t="s">
        <v>4301</v>
      </c>
      <c r="B1518">
        <v>0</v>
      </c>
      <c r="C1518">
        <v>19</v>
      </c>
      <c r="D1518">
        <v>22</v>
      </c>
      <c r="E1518">
        <v>2</v>
      </c>
      <c r="F1518">
        <v>0</v>
      </c>
      <c r="G1518">
        <v>43</v>
      </c>
    </row>
    <row r="1519" spans="1:7" x14ac:dyDescent="0.2">
      <c r="A1519" t="s">
        <v>4302</v>
      </c>
      <c r="B1519">
        <v>3</v>
      </c>
      <c r="C1519">
        <v>11</v>
      </c>
      <c r="D1519">
        <v>22</v>
      </c>
      <c r="E1519">
        <v>1</v>
      </c>
      <c r="F1519">
        <v>0</v>
      </c>
      <c r="G1519">
        <v>37</v>
      </c>
    </row>
    <row r="1520" spans="1:7" x14ac:dyDescent="0.2">
      <c r="A1520" t="s">
        <v>4303</v>
      </c>
      <c r="B1520">
        <v>3</v>
      </c>
      <c r="C1520">
        <v>31</v>
      </c>
      <c r="D1520">
        <v>90</v>
      </c>
      <c r="E1520">
        <v>3</v>
      </c>
      <c r="F1520">
        <v>0</v>
      </c>
      <c r="G1520">
        <v>126</v>
      </c>
    </row>
    <row r="1521" spans="1:7" x14ac:dyDescent="0.2">
      <c r="A1521" t="s">
        <v>4304</v>
      </c>
      <c r="B1521">
        <v>0</v>
      </c>
      <c r="C1521">
        <v>2</v>
      </c>
      <c r="D1521">
        <v>4</v>
      </c>
      <c r="E1521">
        <v>27</v>
      </c>
      <c r="F1521">
        <v>0</v>
      </c>
      <c r="G1521">
        <v>34</v>
      </c>
    </row>
    <row r="1522" spans="1:7" x14ac:dyDescent="0.2">
      <c r="A1522" t="s">
        <v>4305</v>
      </c>
      <c r="B1522">
        <v>0</v>
      </c>
      <c r="C1522">
        <v>38</v>
      </c>
      <c r="D1522">
        <v>69</v>
      </c>
      <c r="E1522">
        <v>15</v>
      </c>
      <c r="F1522">
        <v>0</v>
      </c>
      <c r="G1522">
        <v>121</v>
      </c>
    </row>
    <row r="1523" spans="1:7" x14ac:dyDescent="0.2">
      <c r="A1523" t="s">
        <v>4306</v>
      </c>
      <c r="B1523">
        <v>1</v>
      </c>
      <c r="C1523">
        <v>12</v>
      </c>
      <c r="D1523">
        <v>2</v>
      </c>
      <c r="E1523">
        <v>1</v>
      </c>
      <c r="F1523">
        <v>0</v>
      </c>
      <c r="G1523">
        <v>17</v>
      </c>
    </row>
    <row r="1524" spans="1:7" x14ac:dyDescent="0.2">
      <c r="A1524" t="s">
        <v>4307</v>
      </c>
      <c r="B1524">
        <v>7</v>
      </c>
      <c r="C1524">
        <v>110</v>
      </c>
      <c r="D1524">
        <v>349</v>
      </c>
      <c r="E1524">
        <v>58</v>
      </c>
      <c r="F1524">
        <v>0</v>
      </c>
      <c r="G1524">
        <v>525</v>
      </c>
    </row>
    <row r="1525" spans="1:7" x14ac:dyDescent="0.2">
      <c r="A1525" t="s">
        <v>4308</v>
      </c>
      <c r="B1525">
        <v>0</v>
      </c>
      <c r="C1525">
        <v>0</v>
      </c>
      <c r="D1525">
        <v>15</v>
      </c>
      <c r="E1525">
        <v>6</v>
      </c>
      <c r="F1525">
        <v>0</v>
      </c>
      <c r="G1525">
        <v>21</v>
      </c>
    </row>
    <row r="1526" spans="1:7" x14ac:dyDescent="0.2">
      <c r="A1526" t="s">
        <v>4309</v>
      </c>
      <c r="B1526">
        <v>0</v>
      </c>
      <c r="C1526">
        <v>0</v>
      </c>
      <c r="D1526">
        <v>0</v>
      </c>
      <c r="E1526">
        <v>0</v>
      </c>
      <c r="F1526">
        <v>0</v>
      </c>
      <c r="G1526">
        <v>0</v>
      </c>
    </row>
    <row r="1527" spans="1:7" x14ac:dyDescent="0.2">
      <c r="A1527" t="s">
        <v>4310</v>
      </c>
      <c r="B1527">
        <v>0</v>
      </c>
      <c r="C1527">
        <v>0</v>
      </c>
      <c r="D1527">
        <v>0</v>
      </c>
      <c r="E1527">
        <v>0</v>
      </c>
      <c r="F1527">
        <v>0</v>
      </c>
      <c r="G1527">
        <v>0</v>
      </c>
    </row>
    <row r="1528" spans="1:7" x14ac:dyDescent="0.2">
      <c r="A1528" t="s">
        <v>4311</v>
      </c>
      <c r="B1528">
        <v>0</v>
      </c>
      <c r="C1528">
        <v>0</v>
      </c>
      <c r="D1528">
        <v>0</v>
      </c>
      <c r="E1528">
        <v>0</v>
      </c>
      <c r="F1528">
        <v>0</v>
      </c>
      <c r="G1528">
        <v>0</v>
      </c>
    </row>
    <row r="1529" spans="1:7" x14ac:dyDescent="0.2">
      <c r="A1529" t="s">
        <v>4312</v>
      </c>
      <c r="B1529">
        <v>0</v>
      </c>
      <c r="C1529">
        <v>0</v>
      </c>
      <c r="D1529">
        <v>0</v>
      </c>
      <c r="E1529">
        <v>0</v>
      </c>
      <c r="F1529">
        <v>0</v>
      </c>
      <c r="G1529">
        <v>0</v>
      </c>
    </row>
    <row r="1530" spans="1:7" x14ac:dyDescent="0.2">
      <c r="A1530" t="s">
        <v>4313</v>
      </c>
      <c r="B1530">
        <v>0</v>
      </c>
      <c r="C1530">
        <v>0</v>
      </c>
      <c r="D1530">
        <v>0</v>
      </c>
      <c r="E1530">
        <v>0</v>
      </c>
      <c r="F1530">
        <v>0</v>
      </c>
      <c r="G1530">
        <v>0</v>
      </c>
    </row>
    <row r="1531" spans="1:7" x14ac:dyDescent="0.2">
      <c r="A1531" t="s">
        <v>4314</v>
      </c>
      <c r="B1531">
        <v>0</v>
      </c>
      <c r="C1531">
        <v>0</v>
      </c>
      <c r="D1531">
        <v>0</v>
      </c>
      <c r="E1531">
        <v>0</v>
      </c>
      <c r="F1531">
        <v>0</v>
      </c>
      <c r="G1531">
        <v>0</v>
      </c>
    </row>
    <row r="1532" spans="1:7" x14ac:dyDescent="0.2">
      <c r="A1532" t="s">
        <v>4315</v>
      </c>
      <c r="B1532">
        <v>0</v>
      </c>
      <c r="C1532">
        <v>0</v>
      </c>
      <c r="D1532">
        <v>0</v>
      </c>
      <c r="E1532">
        <v>0</v>
      </c>
      <c r="F1532">
        <v>0</v>
      </c>
      <c r="G1532">
        <v>0</v>
      </c>
    </row>
    <row r="1533" spans="1:7" x14ac:dyDescent="0.2">
      <c r="A1533" t="s">
        <v>4316</v>
      </c>
      <c r="B1533">
        <v>0</v>
      </c>
      <c r="C1533">
        <v>0</v>
      </c>
      <c r="D1533">
        <v>0</v>
      </c>
      <c r="E1533">
        <v>0</v>
      </c>
      <c r="F1533">
        <v>0</v>
      </c>
      <c r="G1533">
        <v>0</v>
      </c>
    </row>
    <row r="1534" spans="1:7" x14ac:dyDescent="0.2">
      <c r="A1534" t="s">
        <v>4317</v>
      </c>
      <c r="B1534">
        <v>0</v>
      </c>
      <c r="C1534">
        <v>0</v>
      </c>
      <c r="D1534">
        <v>0</v>
      </c>
      <c r="E1534">
        <v>0</v>
      </c>
      <c r="F1534">
        <v>0</v>
      </c>
      <c r="G1534">
        <v>0</v>
      </c>
    </row>
    <row r="1535" spans="1:7" x14ac:dyDescent="0.2">
      <c r="A1535" t="s">
        <v>4318</v>
      </c>
      <c r="B1535">
        <v>0</v>
      </c>
      <c r="C1535">
        <v>0</v>
      </c>
      <c r="D1535">
        <v>0</v>
      </c>
      <c r="E1535">
        <v>0</v>
      </c>
      <c r="F1535">
        <v>0</v>
      </c>
      <c r="G1535">
        <v>0</v>
      </c>
    </row>
    <row r="1536" spans="1:7" x14ac:dyDescent="0.2">
      <c r="A1536" t="s">
        <v>4319</v>
      </c>
      <c r="B1536">
        <v>0</v>
      </c>
      <c r="C1536">
        <v>0</v>
      </c>
      <c r="D1536">
        <v>0</v>
      </c>
      <c r="E1536">
        <v>0</v>
      </c>
      <c r="F1536">
        <v>0</v>
      </c>
      <c r="G1536">
        <v>0</v>
      </c>
    </row>
    <row r="1537" spans="1:7" x14ac:dyDescent="0.2">
      <c r="A1537" t="s">
        <v>4320</v>
      </c>
      <c r="B1537">
        <v>0</v>
      </c>
      <c r="C1537">
        <v>0</v>
      </c>
      <c r="D1537">
        <v>0</v>
      </c>
      <c r="E1537">
        <v>0</v>
      </c>
      <c r="F1537">
        <v>0</v>
      </c>
      <c r="G1537">
        <v>0</v>
      </c>
    </row>
    <row r="1538" spans="1:7" x14ac:dyDescent="0.2">
      <c r="A1538" t="s">
        <v>4321</v>
      </c>
      <c r="B1538">
        <v>0</v>
      </c>
      <c r="C1538">
        <v>0</v>
      </c>
      <c r="D1538">
        <v>0</v>
      </c>
      <c r="E1538">
        <v>0</v>
      </c>
      <c r="F1538">
        <v>0</v>
      </c>
      <c r="G1538">
        <v>0</v>
      </c>
    </row>
    <row r="1539" spans="1:7" x14ac:dyDescent="0.2">
      <c r="A1539" t="s">
        <v>4322</v>
      </c>
      <c r="B1539">
        <v>0</v>
      </c>
      <c r="C1539">
        <v>0</v>
      </c>
      <c r="D1539">
        <v>0</v>
      </c>
      <c r="E1539">
        <v>0</v>
      </c>
      <c r="F1539">
        <v>0</v>
      </c>
      <c r="G1539">
        <v>0</v>
      </c>
    </row>
    <row r="1540" spans="1:7" x14ac:dyDescent="0.2">
      <c r="A1540" t="s">
        <v>4323</v>
      </c>
      <c r="B1540">
        <v>0</v>
      </c>
      <c r="C1540">
        <v>0</v>
      </c>
      <c r="D1540">
        <v>0</v>
      </c>
      <c r="E1540">
        <v>0</v>
      </c>
      <c r="F1540">
        <v>0</v>
      </c>
      <c r="G1540">
        <v>0</v>
      </c>
    </row>
    <row r="1541" spans="1:7" x14ac:dyDescent="0.2">
      <c r="A1541" t="s">
        <v>4324</v>
      </c>
      <c r="B1541">
        <v>0</v>
      </c>
      <c r="C1541">
        <v>0</v>
      </c>
      <c r="D1541">
        <v>0</v>
      </c>
      <c r="E1541">
        <v>0</v>
      </c>
      <c r="F1541">
        <v>0</v>
      </c>
      <c r="G1541">
        <v>0</v>
      </c>
    </row>
    <row r="1542" spans="1:7" x14ac:dyDescent="0.2">
      <c r="A1542" t="s">
        <v>4325</v>
      </c>
      <c r="B1542">
        <v>0</v>
      </c>
      <c r="C1542">
        <v>0</v>
      </c>
      <c r="D1542">
        <v>0</v>
      </c>
      <c r="E1542">
        <v>0</v>
      </c>
      <c r="F1542">
        <v>0</v>
      </c>
      <c r="G1542">
        <v>0</v>
      </c>
    </row>
    <row r="1543" spans="1:7" x14ac:dyDescent="0.2">
      <c r="A1543" t="s">
        <v>4326</v>
      </c>
      <c r="B1543">
        <v>0</v>
      </c>
      <c r="C1543">
        <v>0</v>
      </c>
      <c r="D1543">
        <v>0</v>
      </c>
      <c r="E1543">
        <v>0</v>
      </c>
      <c r="F1543">
        <v>0</v>
      </c>
      <c r="G1543">
        <v>0</v>
      </c>
    </row>
    <row r="1544" spans="1:7" x14ac:dyDescent="0.2">
      <c r="A1544" t="s">
        <v>4327</v>
      </c>
      <c r="B1544">
        <v>0</v>
      </c>
      <c r="C1544">
        <v>0</v>
      </c>
      <c r="D1544">
        <v>0</v>
      </c>
      <c r="E1544">
        <v>0</v>
      </c>
      <c r="F1544">
        <v>0</v>
      </c>
      <c r="G1544">
        <v>0</v>
      </c>
    </row>
    <row r="1545" spans="1:7" x14ac:dyDescent="0.2">
      <c r="A1545" t="s">
        <v>4328</v>
      </c>
      <c r="B1545">
        <v>0</v>
      </c>
      <c r="C1545">
        <v>0</v>
      </c>
      <c r="D1545">
        <v>0</v>
      </c>
      <c r="E1545">
        <v>0</v>
      </c>
      <c r="F1545">
        <v>0</v>
      </c>
      <c r="G1545">
        <v>0</v>
      </c>
    </row>
    <row r="1546" spans="1:7" x14ac:dyDescent="0.2">
      <c r="A1546" t="s">
        <v>4329</v>
      </c>
      <c r="B1546">
        <v>0</v>
      </c>
      <c r="C1546">
        <v>0</v>
      </c>
      <c r="D1546">
        <v>0</v>
      </c>
      <c r="E1546">
        <v>0</v>
      </c>
      <c r="F1546">
        <v>0</v>
      </c>
      <c r="G1546">
        <v>0</v>
      </c>
    </row>
    <row r="1547" spans="1:7" x14ac:dyDescent="0.2">
      <c r="A1547" t="s">
        <v>4330</v>
      </c>
      <c r="B1547">
        <v>0</v>
      </c>
      <c r="C1547">
        <v>0</v>
      </c>
      <c r="D1547">
        <v>0</v>
      </c>
      <c r="E1547">
        <v>0</v>
      </c>
      <c r="F1547">
        <v>0</v>
      </c>
      <c r="G1547">
        <v>0</v>
      </c>
    </row>
    <row r="1548" spans="1:7" x14ac:dyDescent="0.2">
      <c r="A1548" t="s">
        <v>4331</v>
      </c>
      <c r="B1548">
        <v>0</v>
      </c>
      <c r="C1548">
        <v>0</v>
      </c>
      <c r="D1548">
        <v>0</v>
      </c>
      <c r="E1548">
        <v>0</v>
      </c>
      <c r="F1548">
        <v>0</v>
      </c>
      <c r="G1548">
        <v>0</v>
      </c>
    </row>
    <row r="1549" spans="1:7" x14ac:dyDescent="0.2">
      <c r="A1549" t="s">
        <v>4332</v>
      </c>
      <c r="B1549">
        <v>0</v>
      </c>
      <c r="C1549">
        <v>0</v>
      </c>
      <c r="D1549">
        <v>0</v>
      </c>
      <c r="E1549">
        <v>0</v>
      </c>
      <c r="F1549">
        <v>0</v>
      </c>
      <c r="G1549">
        <v>0</v>
      </c>
    </row>
    <row r="1550" spans="1:7" x14ac:dyDescent="0.2">
      <c r="A1550" t="s">
        <v>4333</v>
      </c>
      <c r="B1550">
        <v>0</v>
      </c>
      <c r="C1550">
        <v>0</v>
      </c>
      <c r="D1550">
        <v>0</v>
      </c>
      <c r="E1550">
        <v>0</v>
      </c>
      <c r="F1550">
        <v>0</v>
      </c>
      <c r="G1550">
        <v>0</v>
      </c>
    </row>
    <row r="1551" spans="1:7" x14ac:dyDescent="0.2">
      <c r="A1551" t="s">
        <v>4334</v>
      </c>
      <c r="B1551">
        <v>0</v>
      </c>
      <c r="C1551">
        <v>0</v>
      </c>
      <c r="D1551">
        <v>0</v>
      </c>
      <c r="E1551">
        <v>0</v>
      </c>
      <c r="F1551">
        <v>0</v>
      </c>
      <c r="G1551">
        <v>0</v>
      </c>
    </row>
    <row r="1552" spans="1:7" x14ac:dyDescent="0.2">
      <c r="A1552" t="s">
        <v>4335</v>
      </c>
      <c r="B1552">
        <v>0</v>
      </c>
      <c r="C1552">
        <v>0</v>
      </c>
      <c r="D1552">
        <v>0</v>
      </c>
      <c r="E1552">
        <v>0</v>
      </c>
      <c r="F1552">
        <v>0</v>
      </c>
      <c r="G1552">
        <v>0</v>
      </c>
    </row>
    <row r="1553" spans="1:7" x14ac:dyDescent="0.2">
      <c r="A1553" t="s">
        <v>4336</v>
      </c>
      <c r="B1553">
        <v>0</v>
      </c>
      <c r="C1553">
        <v>0</v>
      </c>
      <c r="D1553">
        <v>0</v>
      </c>
      <c r="E1553">
        <v>0</v>
      </c>
      <c r="F1553">
        <v>0</v>
      </c>
      <c r="G1553">
        <v>0</v>
      </c>
    </row>
    <row r="1554" spans="1:7" x14ac:dyDescent="0.2">
      <c r="A1554" t="s">
        <v>4337</v>
      </c>
      <c r="B1554">
        <v>0</v>
      </c>
      <c r="C1554">
        <v>0</v>
      </c>
      <c r="D1554">
        <v>0</v>
      </c>
      <c r="E1554">
        <v>0</v>
      </c>
      <c r="F1554">
        <v>0</v>
      </c>
      <c r="G1554">
        <v>0</v>
      </c>
    </row>
    <row r="1555" spans="1:7" x14ac:dyDescent="0.2">
      <c r="A1555" t="s">
        <v>4338</v>
      </c>
      <c r="B1555">
        <v>0</v>
      </c>
      <c r="C1555">
        <v>0</v>
      </c>
      <c r="D1555">
        <v>0</v>
      </c>
      <c r="E1555">
        <v>0</v>
      </c>
      <c r="F1555">
        <v>0</v>
      </c>
      <c r="G1555">
        <v>0</v>
      </c>
    </row>
    <row r="1556" spans="1:7" x14ac:dyDescent="0.2">
      <c r="A1556" t="s">
        <v>4339</v>
      </c>
      <c r="B1556">
        <v>0</v>
      </c>
      <c r="C1556">
        <v>0</v>
      </c>
      <c r="D1556">
        <v>0</v>
      </c>
      <c r="E1556">
        <v>0</v>
      </c>
      <c r="F1556">
        <v>0</v>
      </c>
      <c r="G1556">
        <v>0</v>
      </c>
    </row>
    <row r="1557" spans="1:7" x14ac:dyDescent="0.2">
      <c r="A1557" t="s">
        <v>4340</v>
      </c>
      <c r="B1557">
        <v>0</v>
      </c>
      <c r="C1557">
        <v>0</v>
      </c>
      <c r="D1557">
        <v>0</v>
      </c>
      <c r="E1557">
        <v>0</v>
      </c>
      <c r="F1557">
        <v>0</v>
      </c>
      <c r="G1557">
        <v>0</v>
      </c>
    </row>
    <row r="1558" spans="1:7" x14ac:dyDescent="0.2">
      <c r="A1558" t="s">
        <v>4341</v>
      </c>
      <c r="B1558">
        <v>0</v>
      </c>
      <c r="C1558">
        <v>0</v>
      </c>
      <c r="D1558">
        <v>0</v>
      </c>
      <c r="E1558">
        <v>0</v>
      </c>
      <c r="F1558">
        <v>0</v>
      </c>
      <c r="G1558">
        <v>0</v>
      </c>
    </row>
    <row r="1559" spans="1:7" x14ac:dyDescent="0.2">
      <c r="A1559" t="s">
        <v>4342</v>
      </c>
      <c r="B1559">
        <v>0</v>
      </c>
      <c r="C1559">
        <v>0</v>
      </c>
      <c r="D1559">
        <v>0</v>
      </c>
      <c r="E1559">
        <v>0</v>
      </c>
      <c r="F1559">
        <v>0</v>
      </c>
      <c r="G1559">
        <v>0</v>
      </c>
    </row>
    <row r="1560" spans="1:7" x14ac:dyDescent="0.2">
      <c r="A1560" t="s">
        <v>4343</v>
      </c>
      <c r="B1560">
        <v>0</v>
      </c>
      <c r="C1560">
        <v>0</v>
      </c>
      <c r="D1560">
        <v>0</v>
      </c>
      <c r="E1560">
        <v>0</v>
      </c>
      <c r="F1560">
        <v>0</v>
      </c>
      <c r="G1560">
        <v>0</v>
      </c>
    </row>
    <row r="1561" spans="1:7" x14ac:dyDescent="0.2">
      <c r="A1561" t="s">
        <v>1728</v>
      </c>
      <c r="B1561">
        <v>0</v>
      </c>
      <c r="C1561">
        <v>0</v>
      </c>
      <c r="D1561">
        <v>0</v>
      </c>
      <c r="E1561">
        <v>0</v>
      </c>
      <c r="F1561">
        <v>0</v>
      </c>
      <c r="G1561">
        <v>0</v>
      </c>
    </row>
    <row r="1562" spans="1:7" x14ac:dyDescent="0.2">
      <c r="A1562" t="s">
        <v>1730</v>
      </c>
      <c r="B1562">
        <v>0</v>
      </c>
      <c r="C1562">
        <v>1</v>
      </c>
      <c r="D1562">
        <v>13</v>
      </c>
      <c r="E1562">
        <v>8</v>
      </c>
      <c r="F1562">
        <v>104</v>
      </c>
      <c r="G1562">
        <v>126</v>
      </c>
    </row>
    <row r="1563" spans="1:7" x14ac:dyDescent="0.2">
      <c r="A1563" t="s">
        <v>1733</v>
      </c>
      <c r="B1563">
        <v>0</v>
      </c>
      <c r="C1563">
        <v>0</v>
      </c>
      <c r="D1563">
        <v>0</v>
      </c>
      <c r="E1563">
        <v>0</v>
      </c>
      <c r="F1563">
        <v>0</v>
      </c>
      <c r="G1563">
        <v>0</v>
      </c>
    </row>
    <row r="1564" spans="1:7" x14ac:dyDescent="0.2">
      <c r="A1564" t="s">
        <v>1738</v>
      </c>
      <c r="B1564">
        <v>0</v>
      </c>
      <c r="C1564">
        <v>0</v>
      </c>
      <c r="D1564">
        <v>0</v>
      </c>
      <c r="E1564">
        <v>0</v>
      </c>
      <c r="F1564">
        <v>0</v>
      </c>
      <c r="G1564">
        <v>0</v>
      </c>
    </row>
    <row r="1565" spans="1:7" x14ac:dyDescent="0.2">
      <c r="A1565" t="s">
        <v>1744</v>
      </c>
      <c r="B1565">
        <v>0</v>
      </c>
      <c r="C1565">
        <v>0</v>
      </c>
      <c r="D1565">
        <v>0</v>
      </c>
      <c r="E1565">
        <v>0</v>
      </c>
      <c r="F1565">
        <v>0</v>
      </c>
      <c r="G1565">
        <v>0</v>
      </c>
    </row>
    <row r="1566" spans="1:7" x14ac:dyDescent="0.2">
      <c r="A1566" t="s">
        <v>1747</v>
      </c>
      <c r="B1566">
        <v>0</v>
      </c>
      <c r="C1566">
        <v>0</v>
      </c>
      <c r="D1566">
        <v>0</v>
      </c>
      <c r="E1566">
        <v>0</v>
      </c>
      <c r="F1566">
        <v>0</v>
      </c>
      <c r="G1566">
        <v>0</v>
      </c>
    </row>
    <row r="1567" spans="1:7" x14ac:dyDescent="0.2">
      <c r="A1567" t="s">
        <v>1751</v>
      </c>
      <c r="B1567">
        <v>0</v>
      </c>
      <c r="C1567">
        <v>0</v>
      </c>
      <c r="D1567">
        <v>0</v>
      </c>
      <c r="E1567">
        <v>0</v>
      </c>
      <c r="F1567">
        <v>0</v>
      </c>
      <c r="G1567">
        <v>0</v>
      </c>
    </row>
    <row r="1568" spans="1:7" x14ac:dyDescent="0.2">
      <c r="A1568" t="s">
        <v>1755</v>
      </c>
      <c r="B1568">
        <v>0</v>
      </c>
      <c r="C1568">
        <v>0</v>
      </c>
      <c r="D1568">
        <v>1</v>
      </c>
      <c r="E1568">
        <v>5</v>
      </c>
      <c r="F1568">
        <v>6</v>
      </c>
      <c r="G1568">
        <v>12</v>
      </c>
    </row>
    <row r="1569" spans="1:7" x14ac:dyDescent="0.2">
      <c r="A1569" t="s">
        <v>1757</v>
      </c>
      <c r="B1569">
        <v>0</v>
      </c>
      <c r="C1569">
        <v>0</v>
      </c>
      <c r="D1569">
        <v>2</v>
      </c>
      <c r="E1569">
        <v>5</v>
      </c>
      <c r="F1569">
        <v>6</v>
      </c>
      <c r="G1569">
        <v>13</v>
      </c>
    </row>
    <row r="1570" spans="1:7" x14ac:dyDescent="0.2">
      <c r="A1570" t="s">
        <v>1761</v>
      </c>
      <c r="B1570">
        <v>0</v>
      </c>
      <c r="C1570">
        <v>0</v>
      </c>
      <c r="D1570">
        <v>0</v>
      </c>
      <c r="E1570">
        <v>0</v>
      </c>
      <c r="F1570">
        <v>0</v>
      </c>
      <c r="G1570">
        <v>0</v>
      </c>
    </row>
    <row r="1571" spans="1:7" x14ac:dyDescent="0.2">
      <c r="A1571" t="s">
        <v>1764</v>
      </c>
      <c r="B1571">
        <v>0</v>
      </c>
      <c r="C1571">
        <v>0</v>
      </c>
      <c r="D1571">
        <v>0</v>
      </c>
      <c r="E1571">
        <v>0</v>
      </c>
      <c r="F1571">
        <v>0</v>
      </c>
      <c r="G1571">
        <v>0</v>
      </c>
    </row>
    <row r="1572" spans="1:7" x14ac:dyDescent="0.2">
      <c r="A1572" t="s">
        <v>1770</v>
      </c>
      <c r="B1572">
        <v>1</v>
      </c>
      <c r="C1572">
        <v>4</v>
      </c>
      <c r="D1572">
        <v>27</v>
      </c>
      <c r="E1572">
        <v>188</v>
      </c>
      <c r="F1572">
        <v>0</v>
      </c>
      <c r="G1572">
        <v>219</v>
      </c>
    </row>
    <row r="1573" spans="1:7" x14ac:dyDescent="0.2">
      <c r="A1573" t="s">
        <v>1772</v>
      </c>
      <c r="B1573">
        <v>0</v>
      </c>
      <c r="C1573">
        <v>1</v>
      </c>
      <c r="D1573">
        <v>12</v>
      </c>
      <c r="E1573">
        <v>82</v>
      </c>
      <c r="F1573">
        <v>0</v>
      </c>
      <c r="G1573">
        <v>95</v>
      </c>
    </row>
    <row r="1574" spans="1:7" x14ac:dyDescent="0.2">
      <c r="A1574" t="s">
        <v>1774</v>
      </c>
      <c r="B1574">
        <v>0</v>
      </c>
      <c r="C1574">
        <v>0</v>
      </c>
      <c r="D1574">
        <v>1</v>
      </c>
      <c r="E1574">
        <v>18</v>
      </c>
      <c r="F1574">
        <v>0</v>
      </c>
      <c r="G1574">
        <v>19</v>
      </c>
    </row>
    <row r="1575" spans="1:7" x14ac:dyDescent="0.2">
      <c r="A1575" t="s">
        <v>1777</v>
      </c>
      <c r="B1575">
        <v>0</v>
      </c>
      <c r="C1575">
        <v>0</v>
      </c>
      <c r="D1575">
        <v>0</v>
      </c>
      <c r="E1575">
        <v>0</v>
      </c>
      <c r="F1575">
        <v>0</v>
      </c>
      <c r="G1575">
        <v>0</v>
      </c>
    </row>
    <row r="1576" spans="1:7" x14ac:dyDescent="0.2">
      <c r="A1576" t="s">
        <v>1782</v>
      </c>
      <c r="B1576">
        <v>0</v>
      </c>
      <c r="C1576">
        <v>0</v>
      </c>
      <c r="D1576">
        <v>0</v>
      </c>
      <c r="E1576">
        <v>0</v>
      </c>
      <c r="F1576">
        <v>0</v>
      </c>
      <c r="G1576">
        <v>0</v>
      </c>
    </row>
    <row r="1577" spans="1:7" x14ac:dyDescent="0.2">
      <c r="A1577" t="s">
        <v>1274</v>
      </c>
      <c r="B1577">
        <v>0</v>
      </c>
      <c r="C1577">
        <v>0</v>
      </c>
      <c r="D1577">
        <v>0</v>
      </c>
      <c r="E1577">
        <v>0</v>
      </c>
      <c r="F1577">
        <v>0</v>
      </c>
      <c r="G1577">
        <v>0</v>
      </c>
    </row>
    <row r="1578" spans="1:7" x14ac:dyDescent="0.2">
      <c r="A1578" t="s">
        <v>1277</v>
      </c>
      <c r="B1578">
        <v>0</v>
      </c>
      <c r="C1578">
        <v>0</v>
      </c>
      <c r="D1578">
        <v>0</v>
      </c>
      <c r="E1578">
        <v>3</v>
      </c>
      <c r="F1578">
        <v>0</v>
      </c>
      <c r="G1578">
        <v>3</v>
      </c>
    </row>
    <row r="1579" spans="1:7" x14ac:dyDescent="0.2">
      <c r="A1579" t="s">
        <v>1798</v>
      </c>
      <c r="B1579">
        <v>0</v>
      </c>
      <c r="C1579">
        <v>0</v>
      </c>
      <c r="D1579">
        <v>0</v>
      </c>
      <c r="E1579">
        <v>0</v>
      </c>
      <c r="F1579">
        <v>0</v>
      </c>
      <c r="G1579">
        <v>0</v>
      </c>
    </row>
    <row r="1580" spans="1:7" x14ac:dyDescent="0.2">
      <c r="A1580" t="s">
        <v>1803</v>
      </c>
      <c r="B1580">
        <v>0</v>
      </c>
      <c r="C1580">
        <v>0</v>
      </c>
      <c r="D1580">
        <v>0</v>
      </c>
      <c r="E1580">
        <v>0</v>
      </c>
      <c r="F1580">
        <v>0</v>
      </c>
      <c r="G1580">
        <v>0</v>
      </c>
    </row>
    <row r="1581" spans="1:7" x14ac:dyDescent="0.2">
      <c r="A1581" t="s">
        <v>1808</v>
      </c>
      <c r="B1581">
        <v>0</v>
      </c>
      <c r="C1581">
        <v>0</v>
      </c>
      <c r="D1581">
        <v>0</v>
      </c>
      <c r="E1581">
        <v>0</v>
      </c>
      <c r="F1581">
        <v>0</v>
      </c>
      <c r="G1581">
        <v>0</v>
      </c>
    </row>
    <row r="1582" spans="1:7" x14ac:dyDescent="0.2">
      <c r="A1582" t="s">
        <v>1813</v>
      </c>
      <c r="B1582">
        <v>0</v>
      </c>
      <c r="C1582">
        <v>0</v>
      </c>
      <c r="D1582">
        <v>0</v>
      </c>
      <c r="E1582">
        <v>0</v>
      </c>
      <c r="F1582">
        <v>0</v>
      </c>
      <c r="G1582">
        <v>0</v>
      </c>
    </row>
    <row r="1583" spans="1:7" x14ac:dyDescent="0.2">
      <c r="A1583" t="s">
        <v>1819</v>
      </c>
      <c r="B1583">
        <v>0</v>
      </c>
      <c r="C1583">
        <v>0</v>
      </c>
      <c r="D1583">
        <v>0</v>
      </c>
      <c r="E1583">
        <v>0</v>
      </c>
      <c r="F1583">
        <v>0</v>
      </c>
      <c r="G1583">
        <v>0</v>
      </c>
    </row>
    <row r="1584" spans="1:7" x14ac:dyDescent="0.2">
      <c r="A1584" t="s">
        <v>1826</v>
      </c>
      <c r="B1584">
        <v>0</v>
      </c>
      <c r="C1584">
        <v>0</v>
      </c>
      <c r="D1584">
        <v>0</v>
      </c>
      <c r="E1584">
        <v>0</v>
      </c>
      <c r="F1584">
        <v>0</v>
      </c>
      <c r="G1584">
        <v>0</v>
      </c>
    </row>
    <row r="1585" spans="1:7" x14ac:dyDescent="0.2">
      <c r="A1585" t="s">
        <v>1830</v>
      </c>
      <c r="B1585">
        <v>0</v>
      </c>
      <c r="C1585">
        <v>0</v>
      </c>
      <c r="D1585">
        <v>0</v>
      </c>
      <c r="E1585">
        <v>0</v>
      </c>
      <c r="F1585">
        <v>0</v>
      </c>
      <c r="G1585">
        <v>0</v>
      </c>
    </row>
    <row r="1586" spans="1:7" x14ac:dyDescent="0.2">
      <c r="A1586" t="s">
        <v>1836</v>
      </c>
      <c r="B1586">
        <v>0</v>
      </c>
      <c r="C1586">
        <v>0</v>
      </c>
      <c r="D1586">
        <v>0</v>
      </c>
      <c r="E1586">
        <v>0</v>
      </c>
      <c r="F1586">
        <v>0</v>
      </c>
      <c r="G1586">
        <v>0</v>
      </c>
    </row>
    <row r="1587" spans="1:7" x14ac:dyDescent="0.2">
      <c r="A1587" t="s">
        <v>1841</v>
      </c>
      <c r="B1587">
        <v>0</v>
      </c>
      <c r="C1587">
        <v>0</v>
      </c>
      <c r="D1587">
        <v>0</v>
      </c>
      <c r="E1587">
        <v>0</v>
      </c>
      <c r="F1587">
        <v>0</v>
      </c>
      <c r="G1587">
        <v>0</v>
      </c>
    </row>
    <row r="1588" spans="1:7" x14ac:dyDescent="0.2">
      <c r="A1588" t="s">
        <v>1842</v>
      </c>
      <c r="B1588">
        <v>0</v>
      </c>
      <c r="C1588">
        <v>19</v>
      </c>
      <c r="D1588">
        <v>62</v>
      </c>
      <c r="E1588">
        <v>225</v>
      </c>
      <c r="F1588">
        <v>0</v>
      </c>
      <c r="G1588">
        <v>306</v>
      </c>
    </row>
    <row r="1589" spans="1:7" x14ac:dyDescent="0.2">
      <c r="A1589" t="s">
        <v>1843</v>
      </c>
      <c r="B1589">
        <v>0</v>
      </c>
      <c r="C1589">
        <v>0</v>
      </c>
      <c r="D1589">
        <v>0</v>
      </c>
      <c r="E1589">
        <v>0</v>
      </c>
      <c r="F1589">
        <v>0</v>
      </c>
      <c r="G1589">
        <v>0</v>
      </c>
    </row>
    <row r="1590" spans="1:7" x14ac:dyDescent="0.2">
      <c r="A1590" t="s">
        <v>1846</v>
      </c>
      <c r="B1590">
        <v>0</v>
      </c>
      <c r="C1590">
        <v>0</v>
      </c>
      <c r="D1590">
        <v>0</v>
      </c>
      <c r="E1590">
        <v>0</v>
      </c>
      <c r="F1590">
        <v>0</v>
      </c>
      <c r="G1590">
        <v>0</v>
      </c>
    </row>
    <row r="1591" spans="1:7" x14ac:dyDescent="0.2">
      <c r="A1591" t="s">
        <v>1851</v>
      </c>
      <c r="B1591">
        <v>0</v>
      </c>
      <c r="C1591">
        <v>0</v>
      </c>
      <c r="D1591">
        <v>0</v>
      </c>
      <c r="E1591">
        <v>17</v>
      </c>
      <c r="F1591">
        <v>2</v>
      </c>
      <c r="G1591">
        <v>19</v>
      </c>
    </row>
    <row r="1592" spans="1:7" x14ac:dyDescent="0.2">
      <c r="A1592" t="s">
        <v>1857</v>
      </c>
      <c r="B1592">
        <v>0</v>
      </c>
      <c r="C1592">
        <v>0</v>
      </c>
      <c r="D1592">
        <v>0</v>
      </c>
      <c r="E1592">
        <v>0</v>
      </c>
      <c r="F1592">
        <v>0</v>
      </c>
      <c r="G1592">
        <v>0</v>
      </c>
    </row>
    <row r="1593" spans="1:7" x14ac:dyDescent="0.2">
      <c r="A1593" t="s">
        <v>1862</v>
      </c>
      <c r="B1593">
        <v>0</v>
      </c>
      <c r="C1593">
        <v>0</v>
      </c>
      <c r="D1593">
        <v>0</v>
      </c>
      <c r="E1593">
        <v>0</v>
      </c>
      <c r="F1593">
        <v>0</v>
      </c>
      <c r="G1593">
        <v>0</v>
      </c>
    </row>
    <row r="1594" spans="1:7" x14ac:dyDescent="0.2">
      <c r="A1594" t="s">
        <v>1867</v>
      </c>
      <c r="B1594">
        <v>0</v>
      </c>
      <c r="C1594">
        <v>0</v>
      </c>
      <c r="D1594">
        <v>0</v>
      </c>
      <c r="E1594">
        <v>0</v>
      </c>
      <c r="F1594">
        <v>0</v>
      </c>
      <c r="G1594">
        <v>0</v>
      </c>
    </row>
    <row r="1595" spans="1:7" x14ac:dyDescent="0.2">
      <c r="A1595" t="s">
        <v>1870</v>
      </c>
      <c r="B1595">
        <v>0</v>
      </c>
      <c r="C1595">
        <v>0</v>
      </c>
      <c r="D1595">
        <v>0</v>
      </c>
      <c r="E1595">
        <v>0</v>
      </c>
      <c r="F1595">
        <v>0</v>
      </c>
      <c r="G1595">
        <v>0</v>
      </c>
    </row>
    <row r="1596" spans="1:7" x14ac:dyDescent="0.2">
      <c r="A1596" t="s">
        <v>1874</v>
      </c>
      <c r="B1596">
        <v>0</v>
      </c>
      <c r="C1596">
        <v>0</v>
      </c>
      <c r="D1596">
        <v>7</v>
      </c>
      <c r="E1596">
        <v>0</v>
      </c>
      <c r="F1596">
        <v>0</v>
      </c>
      <c r="G1596">
        <v>7</v>
      </c>
    </row>
    <row r="1597" spans="1:7" x14ac:dyDescent="0.2">
      <c r="A1597" t="s">
        <v>1876</v>
      </c>
      <c r="B1597">
        <v>0</v>
      </c>
      <c r="C1597">
        <v>0</v>
      </c>
      <c r="D1597">
        <v>0</v>
      </c>
      <c r="E1597">
        <v>0</v>
      </c>
      <c r="F1597">
        <v>0</v>
      </c>
      <c r="G1597">
        <v>0</v>
      </c>
    </row>
    <row r="1598" spans="1:7" x14ac:dyDescent="0.2">
      <c r="A1598" t="s">
        <v>1881</v>
      </c>
      <c r="B1598">
        <v>0</v>
      </c>
      <c r="C1598">
        <v>0</v>
      </c>
      <c r="D1598">
        <v>0</v>
      </c>
      <c r="E1598">
        <v>0</v>
      </c>
      <c r="F1598">
        <v>0</v>
      </c>
      <c r="G1598">
        <v>0</v>
      </c>
    </row>
    <row r="1599" spans="1:7" x14ac:dyDescent="0.2">
      <c r="A1599" t="s">
        <v>1885</v>
      </c>
      <c r="B1599">
        <v>29</v>
      </c>
      <c r="C1599">
        <v>30</v>
      </c>
      <c r="D1599">
        <v>164</v>
      </c>
      <c r="E1599">
        <v>563</v>
      </c>
      <c r="F1599">
        <v>51</v>
      </c>
      <c r="G1599">
        <v>837</v>
      </c>
    </row>
    <row r="1600" spans="1:7" x14ac:dyDescent="0.2">
      <c r="A1600" t="s">
        <v>1887</v>
      </c>
      <c r="B1600">
        <v>0</v>
      </c>
      <c r="C1600">
        <v>0</v>
      </c>
      <c r="D1600">
        <v>0</v>
      </c>
      <c r="E1600">
        <v>2</v>
      </c>
      <c r="F1600">
        <v>11</v>
      </c>
      <c r="G1600">
        <v>12</v>
      </c>
    </row>
    <row r="1601" spans="1:7" x14ac:dyDescent="0.2">
      <c r="A1601" t="s">
        <v>1893</v>
      </c>
      <c r="B1601">
        <v>0</v>
      </c>
      <c r="C1601">
        <v>0</v>
      </c>
      <c r="D1601">
        <v>0</v>
      </c>
      <c r="E1601">
        <v>101</v>
      </c>
      <c r="F1601">
        <v>21</v>
      </c>
      <c r="G1601">
        <v>121</v>
      </c>
    </row>
    <row r="1602" spans="1:7" x14ac:dyDescent="0.2">
      <c r="A1602" t="s">
        <v>1899</v>
      </c>
      <c r="B1602">
        <v>0</v>
      </c>
      <c r="C1602">
        <v>0</v>
      </c>
      <c r="D1602">
        <v>0</v>
      </c>
      <c r="E1602">
        <v>0</v>
      </c>
      <c r="F1602">
        <v>0</v>
      </c>
      <c r="G1602">
        <v>0</v>
      </c>
    </row>
    <row r="1603" spans="1:7" x14ac:dyDescent="0.2">
      <c r="A1603" t="s">
        <v>1906</v>
      </c>
      <c r="B1603">
        <v>0</v>
      </c>
      <c r="C1603">
        <v>0</v>
      </c>
      <c r="D1603">
        <v>0</v>
      </c>
      <c r="E1603">
        <v>0</v>
      </c>
      <c r="F1603">
        <v>0</v>
      </c>
      <c r="G1603">
        <v>0</v>
      </c>
    </row>
    <row r="1604" spans="1:7" x14ac:dyDescent="0.2">
      <c r="A1604" t="s">
        <v>1911</v>
      </c>
      <c r="B1604">
        <v>0</v>
      </c>
      <c r="C1604">
        <v>0</v>
      </c>
      <c r="D1604">
        <v>0</v>
      </c>
      <c r="E1604">
        <v>0</v>
      </c>
      <c r="F1604">
        <v>0</v>
      </c>
      <c r="G1604">
        <v>0</v>
      </c>
    </row>
    <row r="1605" spans="1:7" x14ac:dyDescent="0.2">
      <c r="A1605" t="s">
        <v>1917</v>
      </c>
      <c r="B1605">
        <v>0</v>
      </c>
      <c r="C1605">
        <v>0</v>
      </c>
      <c r="D1605">
        <v>0</v>
      </c>
      <c r="E1605">
        <v>82</v>
      </c>
      <c r="F1605">
        <v>41</v>
      </c>
      <c r="G1605">
        <v>123</v>
      </c>
    </row>
    <row r="1606" spans="1:7" x14ac:dyDescent="0.2">
      <c r="A1606" t="s">
        <v>1922</v>
      </c>
      <c r="B1606">
        <v>0</v>
      </c>
      <c r="C1606">
        <v>0</v>
      </c>
      <c r="D1606">
        <v>0</v>
      </c>
      <c r="E1606">
        <v>68</v>
      </c>
      <c r="F1606">
        <v>1</v>
      </c>
      <c r="G1606">
        <v>70</v>
      </c>
    </row>
    <row r="1607" spans="1:7" x14ac:dyDescent="0.2">
      <c r="A1607" t="s">
        <v>1928</v>
      </c>
      <c r="B1607">
        <v>0</v>
      </c>
      <c r="C1607">
        <v>0</v>
      </c>
      <c r="D1607">
        <v>0</v>
      </c>
      <c r="E1607">
        <v>0</v>
      </c>
      <c r="F1607">
        <v>0</v>
      </c>
      <c r="G1607">
        <v>0</v>
      </c>
    </row>
    <row r="1608" spans="1:7" x14ac:dyDescent="0.2">
      <c r="A1608" t="s">
        <v>1932</v>
      </c>
      <c r="B1608">
        <v>0</v>
      </c>
      <c r="C1608">
        <v>0</v>
      </c>
      <c r="D1608">
        <v>0</v>
      </c>
      <c r="E1608">
        <v>0</v>
      </c>
      <c r="F1608">
        <v>0</v>
      </c>
      <c r="G1608">
        <v>0</v>
      </c>
    </row>
    <row r="1609" spans="1:7" x14ac:dyDescent="0.2">
      <c r="A1609" t="s">
        <v>1938</v>
      </c>
      <c r="B1609">
        <v>0</v>
      </c>
      <c r="C1609">
        <v>0</v>
      </c>
      <c r="D1609">
        <v>0</v>
      </c>
      <c r="E1609">
        <v>0</v>
      </c>
      <c r="F1609">
        <v>0</v>
      </c>
      <c r="G1609">
        <v>0</v>
      </c>
    </row>
    <row r="1610" spans="1:7" x14ac:dyDescent="0.2">
      <c r="A1610" t="s">
        <v>1944</v>
      </c>
      <c r="B1610">
        <v>0</v>
      </c>
      <c r="C1610">
        <v>1</v>
      </c>
      <c r="D1610">
        <v>15</v>
      </c>
      <c r="E1610">
        <v>36</v>
      </c>
      <c r="F1610">
        <v>1</v>
      </c>
      <c r="G1610">
        <v>53</v>
      </c>
    </row>
    <row r="1611" spans="1:7" x14ac:dyDescent="0.2">
      <c r="A1611" t="s">
        <v>1947</v>
      </c>
      <c r="B1611">
        <v>0</v>
      </c>
      <c r="C1611">
        <v>0</v>
      </c>
      <c r="D1611">
        <v>0</v>
      </c>
      <c r="E1611">
        <v>0</v>
      </c>
      <c r="F1611">
        <v>1</v>
      </c>
      <c r="G1611">
        <v>1</v>
      </c>
    </row>
    <row r="1612" spans="1:7" x14ac:dyDescent="0.2">
      <c r="A1612" t="s">
        <v>1953</v>
      </c>
      <c r="B1612">
        <v>0</v>
      </c>
      <c r="C1612">
        <v>0</v>
      </c>
      <c r="D1612">
        <v>0</v>
      </c>
      <c r="E1612">
        <v>1</v>
      </c>
      <c r="F1612">
        <v>3</v>
      </c>
      <c r="G1612">
        <v>4</v>
      </c>
    </row>
    <row r="1613" spans="1:7" x14ac:dyDescent="0.2">
      <c r="A1613" t="s">
        <v>1958</v>
      </c>
      <c r="B1613">
        <v>0</v>
      </c>
      <c r="C1613">
        <v>0</v>
      </c>
      <c r="D1613">
        <v>0</v>
      </c>
      <c r="E1613">
        <v>0</v>
      </c>
      <c r="F1613">
        <v>0</v>
      </c>
      <c r="G1613">
        <v>0</v>
      </c>
    </row>
    <row r="1614" spans="1:7" x14ac:dyDescent="0.2">
      <c r="A1614" t="s">
        <v>1964</v>
      </c>
      <c r="B1614">
        <v>0</v>
      </c>
      <c r="C1614">
        <v>0</v>
      </c>
      <c r="D1614">
        <v>0</v>
      </c>
      <c r="E1614">
        <v>0</v>
      </c>
      <c r="F1614">
        <v>0</v>
      </c>
      <c r="G1614">
        <v>0</v>
      </c>
    </row>
    <row r="1615" spans="1:7" x14ac:dyDescent="0.2">
      <c r="A1615" t="s">
        <v>1973</v>
      </c>
      <c r="B1615">
        <v>0</v>
      </c>
      <c r="C1615">
        <v>0</v>
      </c>
      <c r="D1615">
        <v>0</v>
      </c>
      <c r="E1615">
        <v>0</v>
      </c>
      <c r="F1615">
        <v>0</v>
      </c>
      <c r="G1615">
        <v>0</v>
      </c>
    </row>
    <row r="1616" spans="1:7" x14ac:dyDescent="0.2">
      <c r="A1616" t="s">
        <v>1978</v>
      </c>
      <c r="B1616">
        <v>0</v>
      </c>
      <c r="C1616">
        <v>0</v>
      </c>
      <c r="D1616">
        <v>0</v>
      </c>
      <c r="E1616">
        <v>0</v>
      </c>
      <c r="F1616">
        <v>0</v>
      </c>
      <c r="G1616">
        <v>0</v>
      </c>
    </row>
    <row r="1617" spans="1:7" x14ac:dyDescent="0.2">
      <c r="A1617" t="s">
        <v>1983</v>
      </c>
      <c r="B1617">
        <v>0</v>
      </c>
      <c r="C1617">
        <v>0</v>
      </c>
      <c r="D1617">
        <v>0</v>
      </c>
      <c r="E1617">
        <v>0</v>
      </c>
      <c r="F1617">
        <v>1</v>
      </c>
      <c r="G1617">
        <v>1</v>
      </c>
    </row>
    <row r="1618" spans="1:7" x14ac:dyDescent="0.2">
      <c r="A1618" t="s">
        <v>1984</v>
      </c>
      <c r="B1618">
        <v>0</v>
      </c>
      <c r="C1618">
        <v>0</v>
      </c>
      <c r="D1618">
        <v>0</v>
      </c>
      <c r="E1618">
        <v>0</v>
      </c>
      <c r="F1618">
        <v>0</v>
      </c>
      <c r="G1618">
        <v>0</v>
      </c>
    </row>
    <row r="1619" spans="1:7" x14ac:dyDescent="0.2">
      <c r="A1619" t="s">
        <v>1990</v>
      </c>
      <c r="B1619">
        <v>0</v>
      </c>
      <c r="C1619">
        <v>0</v>
      </c>
      <c r="D1619">
        <v>0</v>
      </c>
      <c r="E1619">
        <v>0</v>
      </c>
      <c r="F1619">
        <v>1</v>
      </c>
      <c r="G1619">
        <v>1</v>
      </c>
    </row>
    <row r="1620" spans="1:7" x14ac:dyDescent="0.2">
      <c r="A1620" t="s">
        <v>1996</v>
      </c>
      <c r="B1620">
        <v>0</v>
      </c>
      <c r="C1620">
        <v>0</v>
      </c>
      <c r="D1620">
        <v>0</v>
      </c>
      <c r="E1620">
        <v>0</v>
      </c>
      <c r="F1620">
        <v>0</v>
      </c>
      <c r="G1620">
        <v>0</v>
      </c>
    </row>
    <row r="1621" spans="1:7" x14ac:dyDescent="0.2">
      <c r="A1621" t="s">
        <v>1998</v>
      </c>
      <c r="B1621">
        <v>0</v>
      </c>
      <c r="C1621">
        <v>0</v>
      </c>
      <c r="D1621">
        <v>0</v>
      </c>
      <c r="E1621">
        <v>0</v>
      </c>
      <c r="F1621">
        <v>0</v>
      </c>
      <c r="G1621">
        <v>0</v>
      </c>
    </row>
    <row r="1622" spans="1:7" x14ac:dyDescent="0.2">
      <c r="A1622" t="s">
        <v>1999</v>
      </c>
      <c r="B1622">
        <v>0</v>
      </c>
      <c r="C1622">
        <v>0</v>
      </c>
      <c r="D1622">
        <v>0</v>
      </c>
      <c r="E1622">
        <v>0</v>
      </c>
      <c r="F1622">
        <v>0</v>
      </c>
      <c r="G1622">
        <v>0</v>
      </c>
    </row>
    <row r="1623" spans="1:7" x14ac:dyDescent="0.2">
      <c r="A1623" t="s">
        <v>2004</v>
      </c>
      <c r="B1623">
        <v>0</v>
      </c>
      <c r="C1623">
        <v>0</v>
      </c>
      <c r="D1623">
        <v>0</v>
      </c>
      <c r="E1623">
        <v>0</v>
      </c>
      <c r="F1623">
        <v>0</v>
      </c>
      <c r="G1623">
        <v>0</v>
      </c>
    </row>
    <row r="1624" spans="1:7" x14ac:dyDescent="0.2">
      <c r="A1624" t="s">
        <v>2009</v>
      </c>
      <c r="B1624">
        <v>0</v>
      </c>
      <c r="C1624">
        <v>0</v>
      </c>
      <c r="D1624">
        <v>0</v>
      </c>
      <c r="E1624">
        <v>0</v>
      </c>
      <c r="F1624">
        <v>0</v>
      </c>
      <c r="G1624">
        <v>0</v>
      </c>
    </row>
    <row r="1625" spans="1:7" x14ac:dyDescent="0.2">
      <c r="A1625" t="s">
        <v>2014</v>
      </c>
      <c r="B1625">
        <v>0</v>
      </c>
      <c r="C1625">
        <v>0</v>
      </c>
      <c r="D1625">
        <v>0</v>
      </c>
      <c r="E1625">
        <v>0</v>
      </c>
      <c r="F1625">
        <v>0</v>
      </c>
      <c r="G1625">
        <v>0</v>
      </c>
    </row>
    <row r="1626" spans="1:7" x14ac:dyDescent="0.2">
      <c r="A1626" t="s">
        <v>2019</v>
      </c>
      <c r="B1626">
        <v>0</v>
      </c>
      <c r="C1626">
        <v>0</v>
      </c>
      <c r="D1626">
        <v>0</v>
      </c>
      <c r="E1626">
        <v>0</v>
      </c>
      <c r="F1626">
        <v>0</v>
      </c>
      <c r="G1626">
        <v>0</v>
      </c>
    </row>
    <row r="1627" spans="1:7" x14ac:dyDescent="0.2">
      <c r="A1627" t="s">
        <v>2023</v>
      </c>
      <c r="B1627">
        <v>0</v>
      </c>
      <c r="C1627">
        <v>0</v>
      </c>
      <c r="D1627">
        <v>0</v>
      </c>
      <c r="E1627">
        <v>0</v>
      </c>
      <c r="F1627">
        <v>0</v>
      </c>
      <c r="G1627">
        <v>0</v>
      </c>
    </row>
    <row r="1628" spans="1:7" x14ac:dyDescent="0.2">
      <c r="A1628" t="s">
        <v>2026</v>
      </c>
      <c r="B1628">
        <v>0</v>
      </c>
      <c r="C1628">
        <v>0</v>
      </c>
      <c r="D1628">
        <v>0</v>
      </c>
      <c r="E1628">
        <v>0</v>
      </c>
      <c r="F1628">
        <v>0</v>
      </c>
      <c r="G1628">
        <v>0</v>
      </c>
    </row>
    <row r="1629" spans="1:7" x14ac:dyDescent="0.2">
      <c r="A1629" t="s">
        <v>2030</v>
      </c>
      <c r="B1629">
        <v>0</v>
      </c>
      <c r="C1629">
        <v>0</v>
      </c>
      <c r="D1629">
        <v>0</v>
      </c>
      <c r="E1629">
        <v>0</v>
      </c>
      <c r="F1629">
        <v>0</v>
      </c>
      <c r="G1629">
        <v>0</v>
      </c>
    </row>
    <row r="1630" spans="1:7" x14ac:dyDescent="0.2">
      <c r="A1630" t="s">
        <v>2035</v>
      </c>
      <c r="B1630">
        <v>0</v>
      </c>
      <c r="C1630">
        <v>0</v>
      </c>
      <c r="D1630">
        <v>0</v>
      </c>
      <c r="E1630">
        <v>0</v>
      </c>
      <c r="F1630">
        <v>0</v>
      </c>
      <c r="G1630">
        <v>0</v>
      </c>
    </row>
    <row r="1631" spans="1:7" x14ac:dyDescent="0.2">
      <c r="A1631" t="s">
        <v>2040</v>
      </c>
      <c r="B1631">
        <v>0</v>
      </c>
      <c r="C1631">
        <v>0</v>
      </c>
      <c r="D1631">
        <v>0</v>
      </c>
      <c r="E1631">
        <v>0</v>
      </c>
      <c r="F1631">
        <v>0</v>
      </c>
      <c r="G1631">
        <v>0</v>
      </c>
    </row>
    <row r="1632" spans="1:7" x14ac:dyDescent="0.2">
      <c r="A1632" t="s">
        <v>2045</v>
      </c>
      <c r="B1632">
        <v>0</v>
      </c>
      <c r="C1632">
        <v>0</v>
      </c>
      <c r="D1632">
        <v>0</v>
      </c>
      <c r="E1632">
        <v>0</v>
      </c>
      <c r="F1632">
        <v>0</v>
      </c>
      <c r="G1632">
        <v>0</v>
      </c>
    </row>
    <row r="1633" spans="1:7" x14ac:dyDescent="0.2">
      <c r="A1633" t="s">
        <v>2049</v>
      </c>
      <c r="B1633">
        <v>0</v>
      </c>
      <c r="C1633">
        <v>0</v>
      </c>
      <c r="D1633">
        <v>177</v>
      </c>
      <c r="E1633">
        <v>1418</v>
      </c>
      <c r="F1633">
        <v>245</v>
      </c>
      <c r="G1633">
        <v>1840</v>
      </c>
    </row>
    <row r="1634" spans="1:7" x14ac:dyDescent="0.2">
      <c r="A1634" t="s">
        <v>2051</v>
      </c>
      <c r="B1634">
        <v>0</v>
      </c>
      <c r="C1634">
        <v>0</v>
      </c>
      <c r="D1634">
        <v>0</v>
      </c>
      <c r="E1634">
        <v>0</v>
      </c>
      <c r="F1634">
        <v>558</v>
      </c>
      <c r="G1634">
        <v>558</v>
      </c>
    </row>
    <row r="1635" spans="1:7" x14ac:dyDescent="0.2">
      <c r="A1635" t="s">
        <v>2057</v>
      </c>
      <c r="B1635">
        <v>0</v>
      </c>
      <c r="C1635">
        <v>0</v>
      </c>
      <c r="D1635">
        <v>3</v>
      </c>
      <c r="E1635">
        <v>34</v>
      </c>
      <c r="F1635">
        <v>924</v>
      </c>
      <c r="G1635">
        <v>961</v>
      </c>
    </row>
    <row r="1636" spans="1:7" x14ac:dyDescent="0.2">
      <c r="A1636" t="s">
        <v>4344</v>
      </c>
      <c r="B1636">
        <v>0</v>
      </c>
      <c r="C1636">
        <v>0</v>
      </c>
      <c r="D1636">
        <v>0</v>
      </c>
      <c r="E1636">
        <v>73</v>
      </c>
      <c r="F1636">
        <v>17</v>
      </c>
      <c r="G1636">
        <v>90</v>
      </c>
    </row>
    <row r="1637" spans="1:7" x14ac:dyDescent="0.2">
      <c r="A1637" t="s">
        <v>4345</v>
      </c>
      <c r="B1637">
        <v>0</v>
      </c>
      <c r="C1637">
        <v>0</v>
      </c>
      <c r="D1637">
        <v>0</v>
      </c>
      <c r="E1637">
        <v>283</v>
      </c>
      <c r="F1637">
        <v>479</v>
      </c>
      <c r="G1637">
        <v>763</v>
      </c>
    </row>
    <row r="1638" spans="1:7" x14ac:dyDescent="0.2">
      <c r="A1638" t="s">
        <v>2074</v>
      </c>
      <c r="B1638">
        <v>0</v>
      </c>
      <c r="C1638">
        <v>0</v>
      </c>
      <c r="D1638">
        <v>0</v>
      </c>
      <c r="E1638">
        <v>0</v>
      </c>
      <c r="F1638">
        <v>0</v>
      </c>
      <c r="G1638">
        <v>0</v>
      </c>
    </row>
    <row r="1639" spans="1:7" x14ac:dyDescent="0.2">
      <c r="A1639" t="s">
        <v>2079</v>
      </c>
      <c r="B1639">
        <v>0</v>
      </c>
      <c r="C1639">
        <v>0</v>
      </c>
      <c r="D1639">
        <v>0</v>
      </c>
      <c r="E1639">
        <v>0</v>
      </c>
      <c r="F1639">
        <v>0</v>
      </c>
      <c r="G1639">
        <v>0</v>
      </c>
    </row>
    <row r="1640" spans="1:7" x14ac:dyDescent="0.2">
      <c r="A1640" t="s">
        <v>2085</v>
      </c>
      <c r="B1640">
        <v>0</v>
      </c>
      <c r="C1640">
        <v>0</v>
      </c>
      <c r="D1640">
        <v>0</v>
      </c>
      <c r="E1640">
        <v>6</v>
      </c>
      <c r="F1640">
        <v>1</v>
      </c>
      <c r="G1640">
        <v>7</v>
      </c>
    </row>
    <row r="1641" spans="1:7" x14ac:dyDescent="0.2">
      <c r="A1641" t="s">
        <v>2091</v>
      </c>
      <c r="B1641">
        <v>0</v>
      </c>
      <c r="C1641">
        <v>0</v>
      </c>
      <c r="D1641">
        <v>0</v>
      </c>
      <c r="E1641">
        <v>658</v>
      </c>
      <c r="F1641">
        <v>501</v>
      </c>
      <c r="G1641">
        <v>1159</v>
      </c>
    </row>
    <row r="1642" spans="1:7" x14ac:dyDescent="0.2">
      <c r="A1642" t="s">
        <v>2097</v>
      </c>
      <c r="B1642">
        <v>0</v>
      </c>
      <c r="C1642">
        <v>0</v>
      </c>
      <c r="D1642">
        <v>0</v>
      </c>
      <c r="E1642">
        <v>0</v>
      </c>
      <c r="F1642">
        <v>173</v>
      </c>
      <c r="G1642">
        <v>173</v>
      </c>
    </row>
    <row r="1643" spans="1:7" x14ac:dyDescent="0.2">
      <c r="A1643" t="s">
        <v>2101</v>
      </c>
      <c r="B1643">
        <v>0</v>
      </c>
      <c r="C1643">
        <v>0</v>
      </c>
      <c r="D1643">
        <v>0</v>
      </c>
      <c r="E1643">
        <v>0</v>
      </c>
      <c r="F1643">
        <v>0</v>
      </c>
      <c r="G1643">
        <v>0</v>
      </c>
    </row>
    <row r="1644" spans="1:7" x14ac:dyDescent="0.2">
      <c r="A1644" t="s">
        <v>2104</v>
      </c>
      <c r="B1644">
        <v>0</v>
      </c>
      <c r="C1644">
        <v>0</v>
      </c>
      <c r="D1644">
        <v>0</v>
      </c>
      <c r="E1644">
        <v>0</v>
      </c>
      <c r="F1644">
        <v>0</v>
      </c>
      <c r="G1644">
        <v>0</v>
      </c>
    </row>
    <row r="1645" spans="1:7" x14ac:dyDescent="0.2">
      <c r="A1645" t="s">
        <v>2107</v>
      </c>
      <c r="B1645">
        <v>0</v>
      </c>
      <c r="C1645">
        <v>0</v>
      </c>
      <c r="D1645">
        <v>0</v>
      </c>
      <c r="E1645">
        <v>0</v>
      </c>
      <c r="F1645">
        <v>0</v>
      </c>
      <c r="G1645">
        <v>0</v>
      </c>
    </row>
    <row r="1646" spans="1:7" x14ac:dyDescent="0.2">
      <c r="A1646" t="s">
        <v>2110</v>
      </c>
      <c r="B1646">
        <v>0</v>
      </c>
      <c r="C1646">
        <v>0</v>
      </c>
      <c r="D1646">
        <v>0</v>
      </c>
      <c r="E1646">
        <v>0</v>
      </c>
      <c r="F1646">
        <v>0</v>
      </c>
      <c r="G1646">
        <v>0</v>
      </c>
    </row>
    <row r="1647" spans="1:7" x14ac:dyDescent="0.2">
      <c r="A1647" t="s">
        <v>2113</v>
      </c>
      <c r="B1647">
        <v>0</v>
      </c>
      <c r="C1647">
        <v>0</v>
      </c>
      <c r="D1647">
        <v>0</v>
      </c>
      <c r="E1647">
        <v>0</v>
      </c>
      <c r="F1647">
        <v>0</v>
      </c>
      <c r="G1647">
        <v>0</v>
      </c>
    </row>
    <row r="1648" spans="1:7" x14ac:dyDescent="0.2">
      <c r="A1648" t="s">
        <v>4346</v>
      </c>
      <c r="B1648">
        <v>0</v>
      </c>
      <c r="C1648">
        <v>0</v>
      </c>
      <c r="D1648">
        <v>0</v>
      </c>
      <c r="E1648">
        <v>0</v>
      </c>
      <c r="F1648">
        <v>0</v>
      </c>
      <c r="G1648">
        <v>0</v>
      </c>
    </row>
    <row r="1649" spans="1:7" x14ac:dyDescent="0.2">
      <c r="A1649" t="s">
        <v>4347</v>
      </c>
      <c r="B1649">
        <v>0</v>
      </c>
      <c r="C1649">
        <v>0</v>
      </c>
      <c r="D1649">
        <v>0</v>
      </c>
      <c r="E1649">
        <v>0</v>
      </c>
      <c r="F1649">
        <v>0</v>
      </c>
      <c r="G1649">
        <v>0</v>
      </c>
    </row>
    <row r="1650" spans="1:7" x14ac:dyDescent="0.2">
      <c r="A1650" t="s">
        <v>4348</v>
      </c>
      <c r="B1650">
        <v>0</v>
      </c>
      <c r="C1650">
        <v>0</v>
      </c>
      <c r="D1650">
        <v>0</v>
      </c>
      <c r="E1650">
        <v>0</v>
      </c>
      <c r="F1650">
        <v>0</v>
      </c>
      <c r="G1650">
        <v>0</v>
      </c>
    </row>
    <row r="1651" spans="1:7" x14ac:dyDescent="0.2">
      <c r="A1651" t="s">
        <v>4349</v>
      </c>
      <c r="B1651">
        <v>0</v>
      </c>
      <c r="C1651">
        <v>0</v>
      </c>
      <c r="D1651">
        <v>0</v>
      </c>
      <c r="E1651">
        <v>0</v>
      </c>
      <c r="F1651">
        <v>0</v>
      </c>
      <c r="G1651">
        <v>0</v>
      </c>
    </row>
    <row r="1652" spans="1:7" x14ac:dyDescent="0.2">
      <c r="A1652" t="s">
        <v>4350</v>
      </c>
      <c r="B1652">
        <v>0</v>
      </c>
      <c r="C1652">
        <v>2</v>
      </c>
      <c r="D1652">
        <v>9</v>
      </c>
      <c r="E1652">
        <v>0</v>
      </c>
      <c r="F1652">
        <v>0</v>
      </c>
      <c r="G1652">
        <v>11</v>
      </c>
    </row>
    <row r="1653" spans="1:7" x14ac:dyDescent="0.2">
      <c r="A1653" t="s">
        <v>4351</v>
      </c>
      <c r="B1653">
        <v>0</v>
      </c>
      <c r="C1653">
        <v>0</v>
      </c>
      <c r="D1653">
        <v>0</v>
      </c>
      <c r="E1653">
        <v>0</v>
      </c>
      <c r="F1653">
        <v>0</v>
      </c>
      <c r="G1653">
        <v>0</v>
      </c>
    </row>
    <row r="1654" spans="1:7" x14ac:dyDescent="0.2">
      <c r="A1654" t="s">
        <v>4352</v>
      </c>
      <c r="B1654">
        <v>0</v>
      </c>
      <c r="C1654">
        <v>0</v>
      </c>
      <c r="D1654">
        <v>0</v>
      </c>
      <c r="E1654">
        <v>0</v>
      </c>
      <c r="F1654">
        <v>0</v>
      </c>
      <c r="G1654">
        <v>0</v>
      </c>
    </row>
    <row r="1655" spans="1:7" x14ac:dyDescent="0.2">
      <c r="A1655" t="s">
        <v>4353</v>
      </c>
      <c r="B1655">
        <v>1</v>
      </c>
      <c r="C1655">
        <v>62</v>
      </c>
      <c r="D1655">
        <v>20</v>
      </c>
      <c r="E1655">
        <v>2</v>
      </c>
      <c r="F1655">
        <v>0</v>
      </c>
      <c r="G1655">
        <v>86</v>
      </c>
    </row>
    <row r="1656" spans="1:7" x14ac:dyDescent="0.2">
      <c r="A1656" t="s">
        <v>4354</v>
      </c>
      <c r="B1656">
        <v>3</v>
      </c>
      <c r="C1656">
        <v>41</v>
      </c>
      <c r="D1656">
        <v>15</v>
      </c>
      <c r="E1656">
        <v>1</v>
      </c>
      <c r="F1656">
        <v>0</v>
      </c>
      <c r="G1656">
        <v>59</v>
      </c>
    </row>
    <row r="1657" spans="1:7" x14ac:dyDescent="0.2">
      <c r="A1657" t="s">
        <v>4355</v>
      </c>
      <c r="B1657">
        <v>0</v>
      </c>
      <c r="C1657">
        <v>0</v>
      </c>
      <c r="D1657">
        <v>0</v>
      </c>
      <c r="E1657">
        <v>0</v>
      </c>
      <c r="F1657">
        <v>0</v>
      </c>
      <c r="G1657">
        <v>0</v>
      </c>
    </row>
    <row r="1658" spans="1:7" x14ac:dyDescent="0.2">
      <c r="A1658" t="s">
        <v>4356</v>
      </c>
      <c r="B1658">
        <v>0</v>
      </c>
      <c r="C1658">
        <v>0</v>
      </c>
      <c r="D1658">
        <v>0</v>
      </c>
      <c r="E1658">
        <v>0</v>
      </c>
      <c r="F1658">
        <v>0</v>
      </c>
      <c r="G1658">
        <v>0</v>
      </c>
    </row>
    <row r="1659" spans="1:7" x14ac:dyDescent="0.2">
      <c r="A1659" t="s">
        <v>4357</v>
      </c>
      <c r="B1659">
        <v>0</v>
      </c>
      <c r="C1659">
        <v>0</v>
      </c>
      <c r="D1659">
        <v>0</v>
      </c>
      <c r="E1659">
        <v>0</v>
      </c>
      <c r="F1659">
        <v>0</v>
      </c>
      <c r="G1659">
        <v>0</v>
      </c>
    </row>
    <row r="1660" spans="1:7" x14ac:dyDescent="0.2">
      <c r="A1660" t="s">
        <v>4358</v>
      </c>
      <c r="B1660">
        <v>0</v>
      </c>
      <c r="C1660">
        <v>0</v>
      </c>
      <c r="D1660">
        <v>0</v>
      </c>
      <c r="E1660">
        <v>0</v>
      </c>
      <c r="F1660">
        <v>0</v>
      </c>
      <c r="G1660">
        <v>0</v>
      </c>
    </row>
    <row r="1661" spans="1:7" x14ac:dyDescent="0.2">
      <c r="A1661" t="s">
        <v>4359</v>
      </c>
      <c r="B1661">
        <v>0</v>
      </c>
      <c r="C1661">
        <v>0</v>
      </c>
      <c r="D1661">
        <v>0</v>
      </c>
      <c r="E1661">
        <v>0</v>
      </c>
      <c r="F1661">
        <v>0</v>
      </c>
      <c r="G1661">
        <v>0</v>
      </c>
    </row>
    <row r="1662" spans="1:7" x14ac:dyDescent="0.2">
      <c r="A1662" t="s">
        <v>4360</v>
      </c>
      <c r="B1662">
        <v>0</v>
      </c>
      <c r="C1662">
        <v>0</v>
      </c>
      <c r="D1662">
        <v>0</v>
      </c>
      <c r="E1662">
        <v>5</v>
      </c>
      <c r="F1662">
        <v>0</v>
      </c>
      <c r="G1662">
        <v>6</v>
      </c>
    </row>
    <row r="1663" spans="1:7" x14ac:dyDescent="0.2">
      <c r="A1663" t="s">
        <v>4361</v>
      </c>
      <c r="B1663">
        <v>0</v>
      </c>
      <c r="C1663">
        <v>0</v>
      </c>
      <c r="D1663">
        <v>5</v>
      </c>
      <c r="E1663">
        <v>0</v>
      </c>
      <c r="F1663">
        <v>0</v>
      </c>
      <c r="G1663">
        <v>6</v>
      </c>
    </row>
    <row r="1664" spans="1:7" x14ac:dyDescent="0.2">
      <c r="A1664" t="s">
        <v>4362</v>
      </c>
      <c r="B1664">
        <v>0</v>
      </c>
      <c r="C1664">
        <v>0</v>
      </c>
      <c r="D1664">
        <v>0</v>
      </c>
      <c r="E1664">
        <v>0</v>
      </c>
      <c r="F1664">
        <v>0</v>
      </c>
      <c r="G1664">
        <v>0</v>
      </c>
    </row>
    <row r="1665" spans="1:7" x14ac:dyDescent="0.2">
      <c r="A1665" t="s">
        <v>4363</v>
      </c>
      <c r="B1665">
        <v>0</v>
      </c>
      <c r="C1665">
        <v>0</v>
      </c>
      <c r="D1665">
        <v>0</v>
      </c>
      <c r="E1665">
        <v>0</v>
      </c>
      <c r="F1665">
        <v>0</v>
      </c>
      <c r="G1665">
        <v>0</v>
      </c>
    </row>
    <row r="1666" spans="1:7" x14ac:dyDescent="0.2">
      <c r="A1666" t="s">
        <v>4364</v>
      </c>
      <c r="B1666">
        <v>0</v>
      </c>
      <c r="C1666">
        <v>0</v>
      </c>
      <c r="D1666">
        <v>0</v>
      </c>
      <c r="E1666">
        <v>0</v>
      </c>
      <c r="F1666">
        <v>0</v>
      </c>
      <c r="G1666">
        <v>0</v>
      </c>
    </row>
    <row r="1667" spans="1:7" x14ac:dyDescent="0.2">
      <c r="A1667" t="s">
        <v>4365</v>
      </c>
      <c r="B1667">
        <v>0</v>
      </c>
      <c r="C1667">
        <v>3</v>
      </c>
      <c r="D1667">
        <v>1</v>
      </c>
      <c r="E1667">
        <v>0</v>
      </c>
      <c r="F1667">
        <v>0</v>
      </c>
      <c r="G1667">
        <v>4</v>
      </c>
    </row>
    <row r="1668" spans="1:7" x14ac:dyDescent="0.2">
      <c r="A1668" t="s">
        <v>4366</v>
      </c>
      <c r="B1668">
        <v>0</v>
      </c>
      <c r="C1668">
        <v>0</v>
      </c>
      <c r="D1668">
        <v>0</v>
      </c>
      <c r="E1668">
        <v>0</v>
      </c>
      <c r="F1668">
        <v>0</v>
      </c>
      <c r="G1668">
        <v>0</v>
      </c>
    </row>
    <row r="1669" spans="1:7" x14ac:dyDescent="0.2">
      <c r="A1669" t="s">
        <v>4367</v>
      </c>
      <c r="B1669">
        <v>0</v>
      </c>
      <c r="C1669">
        <v>0</v>
      </c>
      <c r="D1669">
        <v>0</v>
      </c>
      <c r="E1669">
        <v>0</v>
      </c>
      <c r="F1669">
        <v>0</v>
      </c>
      <c r="G1669">
        <v>0</v>
      </c>
    </row>
    <row r="1670" spans="1:7" x14ac:dyDescent="0.2">
      <c r="A1670" t="s">
        <v>4368</v>
      </c>
      <c r="B1670">
        <v>3</v>
      </c>
      <c r="C1670">
        <v>12</v>
      </c>
      <c r="D1670">
        <v>26</v>
      </c>
      <c r="E1670">
        <v>29</v>
      </c>
      <c r="F1670">
        <v>5</v>
      </c>
      <c r="G1670">
        <v>76</v>
      </c>
    </row>
    <row r="1671" spans="1:7" x14ac:dyDescent="0.2">
      <c r="A1671" t="s">
        <v>4369</v>
      </c>
      <c r="B1671">
        <v>22</v>
      </c>
      <c r="C1671">
        <v>15</v>
      </c>
      <c r="D1671">
        <v>108</v>
      </c>
      <c r="E1671">
        <v>9</v>
      </c>
      <c r="F1671">
        <v>0</v>
      </c>
      <c r="G1671">
        <v>154</v>
      </c>
    </row>
    <row r="1672" spans="1:7" x14ac:dyDescent="0.2">
      <c r="A1672" t="s">
        <v>4370</v>
      </c>
      <c r="B1672">
        <v>0</v>
      </c>
      <c r="C1672">
        <v>0</v>
      </c>
      <c r="D1672">
        <v>0</v>
      </c>
      <c r="E1672">
        <v>0</v>
      </c>
      <c r="F1672">
        <v>0</v>
      </c>
      <c r="G1672">
        <v>1</v>
      </c>
    </row>
    <row r="1673" spans="1:7" x14ac:dyDescent="0.2">
      <c r="A1673" t="s">
        <v>4371</v>
      </c>
      <c r="B1673">
        <v>0</v>
      </c>
      <c r="C1673">
        <v>0</v>
      </c>
      <c r="D1673">
        <v>0</v>
      </c>
      <c r="E1673">
        <v>0</v>
      </c>
      <c r="F1673">
        <v>0</v>
      </c>
      <c r="G1673">
        <v>1</v>
      </c>
    </row>
    <row r="1674" spans="1:7" x14ac:dyDescent="0.2">
      <c r="A1674" t="s">
        <v>4372</v>
      </c>
      <c r="B1674">
        <v>0</v>
      </c>
      <c r="C1674">
        <v>0</v>
      </c>
      <c r="D1674">
        <v>0</v>
      </c>
      <c r="E1674">
        <v>0</v>
      </c>
      <c r="F1674">
        <v>0</v>
      </c>
      <c r="G1674">
        <v>0</v>
      </c>
    </row>
    <row r="1675" spans="1:7" x14ac:dyDescent="0.2">
      <c r="A1675" t="s">
        <v>4373</v>
      </c>
      <c r="B1675">
        <v>0</v>
      </c>
      <c r="C1675">
        <v>0</v>
      </c>
      <c r="D1675">
        <v>2</v>
      </c>
      <c r="E1675">
        <v>0</v>
      </c>
      <c r="F1675">
        <v>0</v>
      </c>
      <c r="G1675">
        <v>2</v>
      </c>
    </row>
    <row r="1676" spans="1:7" x14ac:dyDescent="0.2">
      <c r="A1676" t="s">
        <v>4374</v>
      </c>
      <c r="B1676">
        <v>0</v>
      </c>
      <c r="C1676">
        <v>0</v>
      </c>
      <c r="D1676">
        <v>0</v>
      </c>
      <c r="E1676">
        <v>0</v>
      </c>
      <c r="F1676">
        <v>0</v>
      </c>
      <c r="G1676">
        <v>0</v>
      </c>
    </row>
    <row r="1677" spans="1:7" x14ac:dyDescent="0.2">
      <c r="A1677" t="s">
        <v>4375</v>
      </c>
      <c r="B1677">
        <v>0</v>
      </c>
      <c r="C1677">
        <v>0</v>
      </c>
      <c r="D1677">
        <v>0</v>
      </c>
      <c r="E1677">
        <v>0</v>
      </c>
      <c r="F1677">
        <v>0</v>
      </c>
      <c r="G1677">
        <v>0</v>
      </c>
    </row>
    <row r="1678" spans="1:7" x14ac:dyDescent="0.2">
      <c r="A1678" t="s">
        <v>4376</v>
      </c>
      <c r="B1678">
        <v>0</v>
      </c>
      <c r="C1678">
        <v>0</v>
      </c>
      <c r="D1678">
        <v>0</v>
      </c>
      <c r="E1678">
        <v>0</v>
      </c>
      <c r="F1678">
        <v>0</v>
      </c>
      <c r="G1678">
        <v>0</v>
      </c>
    </row>
    <row r="1679" spans="1:7" x14ac:dyDescent="0.2">
      <c r="A1679" t="s">
        <v>4377</v>
      </c>
      <c r="B1679">
        <v>0</v>
      </c>
      <c r="C1679">
        <v>0</v>
      </c>
      <c r="D1679">
        <v>4</v>
      </c>
      <c r="E1679">
        <v>0</v>
      </c>
      <c r="F1679">
        <v>0</v>
      </c>
      <c r="G1679">
        <v>4</v>
      </c>
    </row>
    <row r="1680" spans="1:7" x14ac:dyDescent="0.2">
      <c r="A1680" t="s">
        <v>2318</v>
      </c>
      <c r="B1680" t="s">
        <v>2319</v>
      </c>
      <c r="C1680" t="s">
        <v>2319</v>
      </c>
      <c r="D1680" t="s">
        <v>2319</v>
      </c>
      <c r="E1680" t="s">
        <v>2319</v>
      </c>
      <c r="F1680" t="s">
        <v>2319</v>
      </c>
      <c r="G1680" t="s">
        <v>2319</v>
      </c>
    </row>
    <row r="1681" spans="1:10" x14ac:dyDescent="0.2">
      <c r="A1681" t="s">
        <v>4248</v>
      </c>
    </row>
    <row r="1682" spans="1:10" x14ac:dyDescent="0.2">
      <c r="A1682" t="s">
        <v>4250</v>
      </c>
      <c r="C1682" t="s">
        <v>4251</v>
      </c>
      <c r="G1682" t="s">
        <v>7531</v>
      </c>
      <c r="J1682"/>
    </row>
    <row r="1683" spans="1:10" x14ac:dyDescent="0.2">
      <c r="A1683" t="s">
        <v>4925</v>
      </c>
      <c r="G1683" t="s">
        <v>7538</v>
      </c>
      <c r="J1683"/>
    </row>
    <row r="1684" spans="1:10" x14ac:dyDescent="0.2">
      <c r="A1684" t="s">
        <v>7530</v>
      </c>
      <c r="J1684"/>
    </row>
    <row r="1685" spans="1:10" x14ac:dyDescent="0.2">
      <c r="A1685" t="s">
        <v>4956</v>
      </c>
      <c r="J1685"/>
    </row>
    <row r="1686" spans="1:10" x14ac:dyDescent="0.2">
      <c r="J1686"/>
    </row>
    <row r="1687" spans="1:10" x14ac:dyDescent="0.2">
      <c r="A1687" t="s">
        <v>4259</v>
      </c>
      <c r="J1687"/>
    </row>
    <row r="1688" spans="1:10" x14ac:dyDescent="0.2">
      <c r="A1688" t="s">
        <v>2318</v>
      </c>
      <c r="B1688" t="s">
        <v>2319</v>
      </c>
      <c r="C1688" t="s">
        <v>2319</v>
      </c>
      <c r="D1688" t="s">
        <v>2319</v>
      </c>
      <c r="E1688" t="s">
        <v>2319</v>
      </c>
      <c r="F1688" t="s">
        <v>2319</v>
      </c>
      <c r="G1688" t="s">
        <v>2319</v>
      </c>
    </row>
    <row r="1689" spans="1:10" x14ac:dyDescent="0.2">
      <c r="A1689" t="s">
        <v>174</v>
      </c>
      <c r="B1689" t="s">
        <v>4945</v>
      </c>
      <c r="C1689" t="s">
        <v>4946</v>
      </c>
      <c r="D1689" t="s">
        <v>4947</v>
      </c>
      <c r="E1689" t="s">
        <v>4948</v>
      </c>
      <c r="F1689" t="s">
        <v>4949</v>
      </c>
    </row>
    <row r="1690" spans="1:10" x14ac:dyDescent="0.2">
      <c r="A1690" t="s">
        <v>126</v>
      </c>
      <c r="B1690" t="s">
        <v>4262</v>
      </c>
      <c r="C1690" t="s">
        <v>4263</v>
      </c>
      <c r="D1690" t="s">
        <v>4264</v>
      </c>
      <c r="E1690" t="s">
        <v>2308</v>
      </c>
      <c r="F1690" t="s">
        <v>615</v>
      </c>
      <c r="G1690" t="s">
        <v>236</v>
      </c>
    </row>
    <row r="1691" spans="1:10" x14ac:dyDescent="0.2">
      <c r="A1691" t="s">
        <v>2318</v>
      </c>
      <c r="B1691" t="s">
        <v>2319</v>
      </c>
      <c r="C1691" t="s">
        <v>2319</v>
      </c>
      <c r="D1691" t="s">
        <v>2319</v>
      </c>
      <c r="E1691" t="s">
        <v>2319</v>
      </c>
      <c r="F1691" t="s">
        <v>2319</v>
      </c>
      <c r="G1691" t="s">
        <v>2319</v>
      </c>
    </row>
    <row r="1692" spans="1:10" x14ac:dyDescent="0.2">
      <c r="A1692" t="s">
        <v>4265</v>
      </c>
      <c r="B1692">
        <v>0</v>
      </c>
      <c r="C1692">
        <v>0</v>
      </c>
      <c r="D1692">
        <v>0</v>
      </c>
      <c r="E1692">
        <v>0</v>
      </c>
      <c r="F1692">
        <v>0</v>
      </c>
      <c r="G1692">
        <v>0</v>
      </c>
    </row>
    <row r="1693" spans="1:10" x14ac:dyDescent="0.2">
      <c r="A1693" t="s">
        <v>4266</v>
      </c>
      <c r="B1693">
        <v>0</v>
      </c>
      <c r="C1693">
        <v>0</v>
      </c>
      <c r="D1693">
        <v>0</v>
      </c>
      <c r="E1693">
        <v>0</v>
      </c>
      <c r="F1693">
        <v>0</v>
      </c>
      <c r="G1693">
        <v>0</v>
      </c>
    </row>
    <row r="1694" spans="1:10" x14ac:dyDescent="0.2">
      <c r="A1694" t="s">
        <v>4267</v>
      </c>
      <c r="B1694">
        <v>0</v>
      </c>
      <c r="C1694">
        <v>0</v>
      </c>
      <c r="D1694">
        <v>0</v>
      </c>
      <c r="E1694">
        <v>0</v>
      </c>
      <c r="F1694">
        <v>0</v>
      </c>
      <c r="G1694">
        <v>0</v>
      </c>
    </row>
    <row r="1695" spans="1:10" x14ac:dyDescent="0.2">
      <c r="A1695" t="s">
        <v>4268</v>
      </c>
      <c r="B1695">
        <v>0</v>
      </c>
      <c r="C1695">
        <v>0</v>
      </c>
      <c r="D1695">
        <v>0</v>
      </c>
      <c r="E1695">
        <v>0</v>
      </c>
      <c r="F1695">
        <v>0</v>
      </c>
      <c r="G1695">
        <v>0</v>
      </c>
    </row>
    <row r="1696" spans="1:10" x14ac:dyDescent="0.2">
      <c r="A1696" t="s">
        <v>4269</v>
      </c>
      <c r="B1696">
        <v>0</v>
      </c>
      <c r="C1696">
        <v>0</v>
      </c>
      <c r="D1696">
        <v>0</v>
      </c>
      <c r="E1696">
        <v>0</v>
      </c>
      <c r="F1696">
        <v>0</v>
      </c>
      <c r="G1696">
        <v>0</v>
      </c>
    </row>
    <row r="1697" spans="1:7" x14ac:dyDescent="0.2">
      <c r="A1697" t="s">
        <v>4270</v>
      </c>
      <c r="B1697">
        <v>0</v>
      </c>
      <c r="C1697">
        <v>0</v>
      </c>
      <c r="D1697">
        <v>0</v>
      </c>
      <c r="E1697">
        <v>0</v>
      </c>
      <c r="F1697">
        <v>0</v>
      </c>
      <c r="G1697">
        <v>0</v>
      </c>
    </row>
    <row r="1698" spans="1:7" x14ac:dyDescent="0.2">
      <c r="A1698" t="s">
        <v>4271</v>
      </c>
      <c r="B1698">
        <v>0</v>
      </c>
      <c r="C1698">
        <v>0</v>
      </c>
      <c r="D1698">
        <v>0</v>
      </c>
      <c r="E1698">
        <v>0</v>
      </c>
      <c r="F1698">
        <v>0</v>
      </c>
      <c r="G1698">
        <v>0</v>
      </c>
    </row>
    <row r="1699" spans="1:7" x14ac:dyDescent="0.2">
      <c r="A1699" t="s">
        <v>4272</v>
      </c>
      <c r="B1699">
        <v>0</v>
      </c>
      <c r="C1699">
        <v>0</v>
      </c>
      <c r="D1699">
        <v>0</v>
      </c>
      <c r="E1699">
        <v>0</v>
      </c>
      <c r="F1699">
        <v>0</v>
      </c>
      <c r="G1699">
        <v>0</v>
      </c>
    </row>
    <row r="1700" spans="1:7" x14ac:dyDescent="0.2">
      <c r="A1700" t="s">
        <v>4273</v>
      </c>
      <c r="B1700">
        <v>0</v>
      </c>
      <c r="C1700">
        <v>0</v>
      </c>
      <c r="D1700">
        <v>0</v>
      </c>
      <c r="E1700">
        <v>0</v>
      </c>
      <c r="F1700">
        <v>0</v>
      </c>
      <c r="G1700">
        <v>0</v>
      </c>
    </row>
    <row r="1701" spans="1:7" x14ac:dyDescent="0.2">
      <c r="A1701" t="s">
        <v>4274</v>
      </c>
      <c r="B1701">
        <v>0</v>
      </c>
      <c r="C1701">
        <v>0</v>
      </c>
      <c r="D1701">
        <v>0</v>
      </c>
      <c r="E1701">
        <v>0</v>
      </c>
      <c r="F1701">
        <v>0</v>
      </c>
      <c r="G1701">
        <v>0</v>
      </c>
    </row>
    <row r="1702" spans="1:7" x14ac:dyDescent="0.2">
      <c r="A1702" t="s">
        <v>4275</v>
      </c>
      <c r="B1702">
        <v>0</v>
      </c>
      <c r="C1702">
        <v>0</v>
      </c>
      <c r="D1702">
        <v>0</v>
      </c>
      <c r="E1702">
        <v>0</v>
      </c>
      <c r="F1702">
        <v>0</v>
      </c>
      <c r="G1702">
        <v>0</v>
      </c>
    </row>
    <row r="1703" spans="1:7" x14ac:dyDescent="0.2">
      <c r="A1703" t="s">
        <v>4276</v>
      </c>
      <c r="B1703">
        <v>0</v>
      </c>
      <c r="C1703">
        <v>0</v>
      </c>
      <c r="D1703">
        <v>0</v>
      </c>
      <c r="E1703">
        <v>0</v>
      </c>
      <c r="F1703">
        <v>0</v>
      </c>
      <c r="G1703">
        <v>0</v>
      </c>
    </row>
    <row r="1704" spans="1:7" x14ac:dyDescent="0.2">
      <c r="A1704" t="s">
        <v>4277</v>
      </c>
      <c r="B1704">
        <v>0</v>
      </c>
      <c r="C1704">
        <v>0</v>
      </c>
      <c r="D1704">
        <v>0</v>
      </c>
      <c r="E1704">
        <v>0</v>
      </c>
      <c r="F1704">
        <v>0</v>
      </c>
      <c r="G1704">
        <v>0</v>
      </c>
    </row>
    <row r="1705" spans="1:7" x14ac:dyDescent="0.2">
      <c r="A1705" t="s">
        <v>4278</v>
      </c>
      <c r="B1705">
        <v>0</v>
      </c>
      <c r="C1705">
        <v>0</v>
      </c>
      <c r="D1705">
        <v>0</v>
      </c>
      <c r="E1705">
        <v>0</v>
      </c>
      <c r="F1705">
        <v>0</v>
      </c>
      <c r="G1705">
        <v>0</v>
      </c>
    </row>
    <row r="1706" spans="1:7" x14ac:dyDescent="0.2">
      <c r="A1706" t="s">
        <v>4279</v>
      </c>
      <c r="B1706">
        <v>0</v>
      </c>
      <c r="C1706">
        <v>0</v>
      </c>
      <c r="D1706">
        <v>0</v>
      </c>
      <c r="E1706">
        <v>0</v>
      </c>
      <c r="F1706">
        <v>0</v>
      </c>
      <c r="G1706">
        <v>0</v>
      </c>
    </row>
    <row r="1707" spans="1:7" x14ac:dyDescent="0.2">
      <c r="A1707" t="s">
        <v>4280</v>
      </c>
      <c r="B1707">
        <v>0</v>
      </c>
      <c r="C1707">
        <v>0</v>
      </c>
      <c r="D1707">
        <v>0</v>
      </c>
      <c r="E1707">
        <v>0</v>
      </c>
      <c r="F1707">
        <v>0</v>
      </c>
      <c r="G1707">
        <v>0</v>
      </c>
    </row>
    <row r="1708" spans="1:7" x14ac:dyDescent="0.2">
      <c r="A1708" t="s">
        <v>4281</v>
      </c>
      <c r="B1708">
        <v>7</v>
      </c>
      <c r="C1708">
        <v>3</v>
      </c>
      <c r="D1708">
        <v>9</v>
      </c>
      <c r="E1708">
        <v>0</v>
      </c>
      <c r="F1708">
        <v>0</v>
      </c>
      <c r="G1708">
        <v>19</v>
      </c>
    </row>
    <row r="1709" spans="1:7" x14ac:dyDescent="0.2">
      <c r="A1709" t="s">
        <v>4282</v>
      </c>
      <c r="B1709">
        <v>4</v>
      </c>
      <c r="C1709">
        <v>3</v>
      </c>
      <c r="D1709">
        <v>3</v>
      </c>
      <c r="E1709">
        <v>0</v>
      </c>
      <c r="F1709">
        <v>0</v>
      </c>
      <c r="G1709">
        <v>9</v>
      </c>
    </row>
    <row r="1710" spans="1:7" x14ac:dyDescent="0.2">
      <c r="A1710" t="s">
        <v>4283</v>
      </c>
      <c r="B1710">
        <v>1</v>
      </c>
      <c r="C1710">
        <v>1</v>
      </c>
      <c r="D1710">
        <v>0</v>
      </c>
      <c r="E1710">
        <v>0</v>
      </c>
      <c r="F1710">
        <v>0</v>
      </c>
      <c r="G1710">
        <v>2</v>
      </c>
    </row>
    <row r="1711" spans="1:7" x14ac:dyDescent="0.2">
      <c r="A1711" t="s">
        <v>4284</v>
      </c>
      <c r="B1711">
        <v>0</v>
      </c>
      <c r="C1711">
        <v>0</v>
      </c>
      <c r="D1711">
        <v>0</v>
      </c>
      <c r="E1711">
        <v>0</v>
      </c>
      <c r="F1711">
        <v>0</v>
      </c>
      <c r="G1711">
        <v>0</v>
      </c>
    </row>
    <row r="1712" spans="1:7" x14ac:dyDescent="0.2">
      <c r="A1712" t="s">
        <v>4285</v>
      </c>
      <c r="B1712">
        <v>1</v>
      </c>
      <c r="C1712">
        <v>3</v>
      </c>
      <c r="D1712">
        <v>6</v>
      </c>
      <c r="E1712">
        <v>0</v>
      </c>
      <c r="F1712">
        <v>0</v>
      </c>
      <c r="G1712">
        <v>10</v>
      </c>
    </row>
    <row r="1713" spans="1:7" x14ac:dyDescent="0.2">
      <c r="A1713" t="s">
        <v>4286</v>
      </c>
      <c r="B1713">
        <v>5</v>
      </c>
      <c r="C1713">
        <v>0</v>
      </c>
      <c r="D1713">
        <v>0</v>
      </c>
      <c r="E1713">
        <v>0</v>
      </c>
      <c r="F1713">
        <v>0</v>
      </c>
      <c r="G1713">
        <v>5</v>
      </c>
    </row>
    <row r="1714" spans="1:7" x14ac:dyDescent="0.2">
      <c r="A1714" t="s">
        <v>4287</v>
      </c>
      <c r="B1714">
        <v>0</v>
      </c>
      <c r="C1714">
        <v>0</v>
      </c>
      <c r="D1714">
        <v>0</v>
      </c>
      <c r="E1714">
        <v>5</v>
      </c>
      <c r="F1714">
        <v>0</v>
      </c>
      <c r="G1714">
        <v>5</v>
      </c>
    </row>
    <row r="1715" spans="1:7" x14ac:dyDescent="0.2">
      <c r="A1715" t="s">
        <v>4288</v>
      </c>
      <c r="B1715">
        <v>0</v>
      </c>
      <c r="C1715">
        <v>0</v>
      </c>
      <c r="D1715">
        <v>0</v>
      </c>
      <c r="E1715">
        <v>0</v>
      </c>
      <c r="F1715">
        <v>0</v>
      </c>
      <c r="G1715">
        <v>0</v>
      </c>
    </row>
    <row r="1716" spans="1:7" x14ac:dyDescent="0.2">
      <c r="A1716" t="s">
        <v>4289</v>
      </c>
      <c r="B1716">
        <v>0</v>
      </c>
      <c r="C1716">
        <v>0</v>
      </c>
      <c r="D1716">
        <v>0</v>
      </c>
      <c r="E1716">
        <v>0</v>
      </c>
      <c r="F1716">
        <v>0</v>
      </c>
      <c r="G1716">
        <v>0</v>
      </c>
    </row>
    <row r="1717" spans="1:7" x14ac:dyDescent="0.2">
      <c r="A1717" t="s">
        <v>4290</v>
      </c>
      <c r="B1717">
        <v>0</v>
      </c>
      <c r="C1717">
        <v>0</v>
      </c>
      <c r="D1717">
        <v>0</v>
      </c>
      <c r="E1717">
        <v>0</v>
      </c>
      <c r="F1717">
        <v>0</v>
      </c>
      <c r="G1717">
        <v>0</v>
      </c>
    </row>
    <row r="1718" spans="1:7" x14ac:dyDescent="0.2">
      <c r="A1718" t="s">
        <v>4291</v>
      </c>
      <c r="B1718">
        <v>0</v>
      </c>
      <c r="C1718">
        <v>0</v>
      </c>
      <c r="D1718">
        <v>0</v>
      </c>
      <c r="E1718">
        <v>0</v>
      </c>
      <c r="F1718">
        <v>0</v>
      </c>
      <c r="G1718">
        <v>0</v>
      </c>
    </row>
    <row r="1719" spans="1:7" x14ac:dyDescent="0.2">
      <c r="A1719" t="s">
        <v>4292</v>
      </c>
      <c r="B1719">
        <v>0</v>
      </c>
      <c r="C1719">
        <v>0</v>
      </c>
      <c r="D1719">
        <v>0</v>
      </c>
      <c r="E1719">
        <v>0</v>
      </c>
      <c r="F1719">
        <v>0</v>
      </c>
      <c r="G1719">
        <v>0</v>
      </c>
    </row>
    <row r="1720" spans="1:7" x14ac:dyDescent="0.2">
      <c r="A1720" t="s">
        <v>4293</v>
      </c>
      <c r="B1720">
        <v>0</v>
      </c>
      <c r="C1720">
        <v>0</v>
      </c>
      <c r="D1720">
        <v>0</v>
      </c>
      <c r="E1720">
        <v>0</v>
      </c>
      <c r="F1720">
        <v>0</v>
      </c>
      <c r="G1720">
        <v>0</v>
      </c>
    </row>
    <row r="1721" spans="1:7" x14ac:dyDescent="0.2">
      <c r="A1721" t="s">
        <v>4294</v>
      </c>
      <c r="B1721">
        <v>0</v>
      </c>
      <c r="C1721">
        <v>0</v>
      </c>
      <c r="D1721">
        <v>0</v>
      </c>
      <c r="E1721">
        <v>0</v>
      </c>
      <c r="F1721">
        <v>0</v>
      </c>
      <c r="G1721">
        <v>0</v>
      </c>
    </row>
    <row r="1722" spans="1:7" x14ac:dyDescent="0.2">
      <c r="A1722" t="s">
        <v>4295</v>
      </c>
      <c r="B1722">
        <v>0</v>
      </c>
      <c r="C1722">
        <v>0</v>
      </c>
      <c r="D1722">
        <v>0</v>
      </c>
      <c r="E1722">
        <v>0</v>
      </c>
      <c r="F1722">
        <v>0</v>
      </c>
      <c r="G1722">
        <v>0</v>
      </c>
    </row>
    <row r="1723" spans="1:7" x14ac:dyDescent="0.2">
      <c r="A1723" t="s">
        <v>4296</v>
      </c>
      <c r="B1723">
        <v>0</v>
      </c>
      <c r="C1723">
        <v>0</v>
      </c>
      <c r="D1723">
        <v>0</v>
      </c>
      <c r="E1723">
        <v>0</v>
      </c>
      <c r="F1723">
        <v>0</v>
      </c>
      <c r="G1723">
        <v>0</v>
      </c>
    </row>
    <row r="1724" spans="1:7" x14ac:dyDescent="0.2">
      <c r="A1724" t="s">
        <v>4297</v>
      </c>
      <c r="B1724">
        <v>1</v>
      </c>
      <c r="C1724">
        <v>5</v>
      </c>
      <c r="D1724">
        <v>9</v>
      </c>
      <c r="E1724">
        <v>0</v>
      </c>
      <c r="F1724">
        <v>0</v>
      </c>
      <c r="G1724">
        <v>14</v>
      </c>
    </row>
    <row r="1725" spans="1:7" x14ac:dyDescent="0.2">
      <c r="A1725" t="s">
        <v>4298</v>
      </c>
      <c r="B1725">
        <v>3</v>
      </c>
      <c r="C1725">
        <v>4</v>
      </c>
      <c r="D1725">
        <v>3</v>
      </c>
      <c r="E1725">
        <v>2</v>
      </c>
      <c r="F1725">
        <v>0</v>
      </c>
      <c r="G1725">
        <v>11</v>
      </c>
    </row>
    <row r="1726" spans="1:7" x14ac:dyDescent="0.2">
      <c r="A1726" t="s">
        <v>4299</v>
      </c>
      <c r="B1726">
        <v>11</v>
      </c>
      <c r="C1726">
        <v>11</v>
      </c>
      <c r="D1726">
        <v>8</v>
      </c>
      <c r="E1726">
        <v>14</v>
      </c>
      <c r="F1726">
        <v>0</v>
      </c>
      <c r="G1726">
        <v>43</v>
      </c>
    </row>
    <row r="1727" spans="1:7" x14ac:dyDescent="0.2">
      <c r="A1727" t="s">
        <v>4300</v>
      </c>
      <c r="B1727">
        <v>0</v>
      </c>
      <c r="C1727">
        <v>1</v>
      </c>
      <c r="D1727">
        <v>1</v>
      </c>
      <c r="E1727">
        <v>1</v>
      </c>
      <c r="F1727">
        <v>0</v>
      </c>
      <c r="G1727">
        <v>2</v>
      </c>
    </row>
    <row r="1728" spans="1:7" x14ac:dyDescent="0.2">
      <c r="A1728" t="s">
        <v>4301</v>
      </c>
      <c r="B1728">
        <v>0</v>
      </c>
      <c r="C1728">
        <v>26</v>
      </c>
      <c r="D1728">
        <v>29</v>
      </c>
      <c r="E1728">
        <v>2</v>
      </c>
      <c r="F1728">
        <v>0</v>
      </c>
      <c r="G1728">
        <v>57</v>
      </c>
    </row>
    <row r="1729" spans="1:7" x14ac:dyDescent="0.2">
      <c r="A1729" t="s">
        <v>4302</v>
      </c>
      <c r="B1729">
        <v>4</v>
      </c>
      <c r="C1729">
        <v>15</v>
      </c>
      <c r="D1729">
        <v>30</v>
      </c>
      <c r="E1729">
        <v>2</v>
      </c>
      <c r="F1729">
        <v>0</v>
      </c>
      <c r="G1729">
        <v>49</v>
      </c>
    </row>
    <row r="1730" spans="1:7" x14ac:dyDescent="0.2">
      <c r="A1730" t="s">
        <v>4303</v>
      </c>
      <c r="B1730">
        <v>4</v>
      </c>
      <c r="C1730">
        <v>41</v>
      </c>
      <c r="D1730">
        <v>120</v>
      </c>
      <c r="E1730">
        <v>4</v>
      </c>
      <c r="F1730">
        <v>0</v>
      </c>
      <c r="G1730">
        <v>168</v>
      </c>
    </row>
    <row r="1731" spans="1:7" x14ac:dyDescent="0.2">
      <c r="A1731" t="s">
        <v>4304</v>
      </c>
      <c r="B1731">
        <v>0</v>
      </c>
      <c r="C1731">
        <v>3</v>
      </c>
      <c r="D1731">
        <v>6</v>
      </c>
      <c r="E1731">
        <v>36</v>
      </c>
      <c r="F1731">
        <v>0</v>
      </c>
      <c r="G1731">
        <v>45</v>
      </c>
    </row>
    <row r="1732" spans="1:7" x14ac:dyDescent="0.2">
      <c r="A1732" t="s">
        <v>4305</v>
      </c>
      <c r="B1732">
        <v>0</v>
      </c>
      <c r="C1732">
        <v>50</v>
      </c>
      <c r="D1732">
        <v>92</v>
      </c>
      <c r="E1732">
        <v>20</v>
      </c>
      <c r="F1732">
        <v>0</v>
      </c>
      <c r="G1732">
        <v>162</v>
      </c>
    </row>
    <row r="1733" spans="1:7" x14ac:dyDescent="0.2">
      <c r="A1733" t="s">
        <v>4306</v>
      </c>
      <c r="B1733">
        <v>2</v>
      </c>
      <c r="C1733">
        <v>15</v>
      </c>
      <c r="D1733">
        <v>3</v>
      </c>
      <c r="E1733">
        <v>2</v>
      </c>
      <c r="F1733">
        <v>0</v>
      </c>
      <c r="G1733">
        <v>22</v>
      </c>
    </row>
    <row r="1734" spans="1:7" x14ac:dyDescent="0.2">
      <c r="A1734" t="s">
        <v>4307</v>
      </c>
      <c r="B1734">
        <v>10</v>
      </c>
      <c r="C1734">
        <v>146</v>
      </c>
      <c r="D1734">
        <v>464</v>
      </c>
      <c r="E1734">
        <v>79</v>
      </c>
      <c r="F1734">
        <v>0</v>
      </c>
      <c r="G1734">
        <v>699</v>
      </c>
    </row>
    <row r="1735" spans="1:7" x14ac:dyDescent="0.2">
      <c r="A1735" t="s">
        <v>4308</v>
      </c>
      <c r="B1735">
        <v>0</v>
      </c>
      <c r="C1735">
        <v>0</v>
      </c>
      <c r="D1735">
        <v>20</v>
      </c>
      <c r="E1735">
        <v>8</v>
      </c>
      <c r="F1735">
        <v>0</v>
      </c>
      <c r="G1735">
        <v>28</v>
      </c>
    </row>
    <row r="1736" spans="1:7" x14ac:dyDescent="0.2">
      <c r="A1736" t="s">
        <v>4309</v>
      </c>
      <c r="B1736">
        <v>0</v>
      </c>
      <c r="C1736">
        <v>0</v>
      </c>
      <c r="D1736">
        <v>0</v>
      </c>
      <c r="E1736">
        <v>0</v>
      </c>
      <c r="F1736">
        <v>0</v>
      </c>
      <c r="G1736">
        <v>0</v>
      </c>
    </row>
    <row r="1737" spans="1:7" x14ac:dyDescent="0.2">
      <c r="A1737" t="s">
        <v>4310</v>
      </c>
      <c r="B1737">
        <v>0</v>
      </c>
      <c r="C1737">
        <v>0</v>
      </c>
      <c r="D1737">
        <v>0</v>
      </c>
      <c r="E1737">
        <v>0</v>
      </c>
      <c r="F1737">
        <v>0</v>
      </c>
      <c r="G1737">
        <v>0</v>
      </c>
    </row>
    <row r="1738" spans="1:7" x14ac:dyDescent="0.2">
      <c r="A1738" t="s">
        <v>4311</v>
      </c>
      <c r="B1738">
        <v>0</v>
      </c>
      <c r="C1738">
        <v>0</v>
      </c>
      <c r="D1738">
        <v>0</v>
      </c>
      <c r="E1738">
        <v>0</v>
      </c>
      <c r="F1738">
        <v>0</v>
      </c>
      <c r="G1738">
        <v>0</v>
      </c>
    </row>
    <row r="1739" spans="1:7" x14ac:dyDescent="0.2">
      <c r="A1739" t="s">
        <v>4312</v>
      </c>
      <c r="B1739">
        <v>0</v>
      </c>
      <c r="C1739">
        <v>0</v>
      </c>
      <c r="D1739">
        <v>0</v>
      </c>
      <c r="E1739">
        <v>0</v>
      </c>
      <c r="F1739">
        <v>0</v>
      </c>
      <c r="G1739">
        <v>0</v>
      </c>
    </row>
    <row r="1740" spans="1:7" x14ac:dyDescent="0.2">
      <c r="A1740" t="s">
        <v>4313</v>
      </c>
      <c r="B1740">
        <v>0</v>
      </c>
      <c r="C1740">
        <v>0</v>
      </c>
      <c r="D1740">
        <v>0</v>
      </c>
      <c r="E1740">
        <v>0</v>
      </c>
      <c r="F1740">
        <v>0</v>
      </c>
      <c r="G1740">
        <v>0</v>
      </c>
    </row>
    <row r="1741" spans="1:7" x14ac:dyDescent="0.2">
      <c r="A1741" t="s">
        <v>4314</v>
      </c>
      <c r="B1741">
        <v>0</v>
      </c>
      <c r="C1741">
        <v>0</v>
      </c>
      <c r="D1741">
        <v>0</v>
      </c>
      <c r="E1741">
        <v>0</v>
      </c>
      <c r="F1741">
        <v>1</v>
      </c>
      <c r="G1741">
        <v>1</v>
      </c>
    </row>
    <row r="1742" spans="1:7" x14ac:dyDescent="0.2">
      <c r="A1742" t="s">
        <v>4315</v>
      </c>
      <c r="B1742">
        <v>0</v>
      </c>
      <c r="C1742">
        <v>0</v>
      </c>
      <c r="D1742">
        <v>0</v>
      </c>
      <c r="E1742">
        <v>0</v>
      </c>
      <c r="F1742">
        <v>0</v>
      </c>
      <c r="G1742">
        <v>0</v>
      </c>
    </row>
    <row r="1743" spans="1:7" x14ac:dyDescent="0.2">
      <c r="A1743" t="s">
        <v>4316</v>
      </c>
      <c r="B1743">
        <v>0</v>
      </c>
      <c r="C1743">
        <v>0</v>
      </c>
      <c r="D1743">
        <v>0</v>
      </c>
      <c r="E1743">
        <v>0</v>
      </c>
      <c r="F1743">
        <v>0</v>
      </c>
      <c r="G1743">
        <v>0</v>
      </c>
    </row>
    <row r="1744" spans="1:7" x14ac:dyDescent="0.2">
      <c r="A1744" t="s">
        <v>4317</v>
      </c>
      <c r="B1744">
        <v>0</v>
      </c>
      <c r="C1744">
        <v>0</v>
      </c>
      <c r="D1744">
        <v>0</v>
      </c>
      <c r="E1744">
        <v>0</v>
      </c>
      <c r="F1744">
        <v>0</v>
      </c>
      <c r="G1744">
        <v>0</v>
      </c>
    </row>
    <row r="1745" spans="1:7" x14ac:dyDescent="0.2">
      <c r="A1745" t="s">
        <v>4318</v>
      </c>
      <c r="B1745">
        <v>0</v>
      </c>
      <c r="C1745">
        <v>0</v>
      </c>
      <c r="D1745">
        <v>0</v>
      </c>
      <c r="E1745">
        <v>0</v>
      </c>
      <c r="F1745">
        <v>0</v>
      </c>
      <c r="G1745">
        <v>0</v>
      </c>
    </row>
    <row r="1746" spans="1:7" x14ac:dyDescent="0.2">
      <c r="A1746" t="s">
        <v>4319</v>
      </c>
      <c r="B1746">
        <v>0</v>
      </c>
      <c r="C1746">
        <v>0</v>
      </c>
      <c r="D1746">
        <v>0</v>
      </c>
      <c r="E1746">
        <v>0</v>
      </c>
      <c r="F1746">
        <v>0</v>
      </c>
      <c r="G1746">
        <v>0</v>
      </c>
    </row>
    <row r="1747" spans="1:7" x14ac:dyDescent="0.2">
      <c r="A1747" t="s">
        <v>4320</v>
      </c>
      <c r="B1747">
        <v>0</v>
      </c>
      <c r="C1747">
        <v>0</v>
      </c>
      <c r="D1747">
        <v>0</v>
      </c>
      <c r="E1747">
        <v>0</v>
      </c>
      <c r="F1747">
        <v>0</v>
      </c>
      <c r="G1747">
        <v>0</v>
      </c>
    </row>
    <row r="1748" spans="1:7" x14ac:dyDescent="0.2">
      <c r="A1748" t="s">
        <v>4321</v>
      </c>
      <c r="B1748">
        <v>0</v>
      </c>
      <c r="C1748">
        <v>0</v>
      </c>
      <c r="D1748">
        <v>0</v>
      </c>
      <c r="E1748">
        <v>0</v>
      </c>
      <c r="F1748">
        <v>0</v>
      </c>
      <c r="G1748">
        <v>0</v>
      </c>
    </row>
    <row r="1749" spans="1:7" x14ac:dyDescent="0.2">
      <c r="A1749" t="s">
        <v>4322</v>
      </c>
      <c r="B1749">
        <v>0</v>
      </c>
      <c r="C1749">
        <v>0</v>
      </c>
      <c r="D1749">
        <v>0</v>
      </c>
      <c r="E1749">
        <v>0</v>
      </c>
      <c r="F1749">
        <v>0</v>
      </c>
      <c r="G1749">
        <v>0</v>
      </c>
    </row>
    <row r="1750" spans="1:7" x14ac:dyDescent="0.2">
      <c r="A1750" t="s">
        <v>4323</v>
      </c>
      <c r="B1750">
        <v>0</v>
      </c>
      <c r="C1750">
        <v>0</v>
      </c>
      <c r="D1750">
        <v>0</v>
      </c>
      <c r="E1750">
        <v>0</v>
      </c>
      <c r="F1750">
        <v>0</v>
      </c>
      <c r="G1750">
        <v>0</v>
      </c>
    </row>
    <row r="1751" spans="1:7" x14ac:dyDescent="0.2">
      <c r="A1751" t="s">
        <v>4324</v>
      </c>
      <c r="B1751">
        <v>0</v>
      </c>
      <c r="C1751">
        <v>0</v>
      </c>
      <c r="D1751">
        <v>0</v>
      </c>
      <c r="E1751">
        <v>0</v>
      </c>
      <c r="F1751">
        <v>0</v>
      </c>
      <c r="G1751">
        <v>0</v>
      </c>
    </row>
    <row r="1752" spans="1:7" x14ac:dyDescent="0.2">
      <c r="A1752" t="s">
        <v>4325</v>
      </c>
      <c r="B1752">
        <v>0</v>
      </c>
      <c r="C1752">
        <v>0</v>
      </c>
      <c r="D1752">
        <v>0</v>
      </c>
      <c r="E1752">
        <v>0</v>
      </c>
      <c r="F1752">
        <v>0</v>
      </c>
      <c r="G1752">
        <v>0</v>
      </c>
    </row>
    <row r="1753" spans="1:7" x14ac:dyDescent="0.2">
      <c r="A1753" t="s">
        <v>4326</v>
      </c>
      <c r="B1753">
        <v>0</v>
      </c>
      <c r="C1753">
        <v>0</v>
      </c>
      <c r="D1753">
        <v>0</v>
      </c>
      <c r="E1753">
        <v>0</v>
      </c>
      <c r="F1753">
        <v>0</v>
      </c>
      <c r="G1753">
        <v>0</v>
      </c>
    </row>
    <row r="1754" spans="1:7" x14ac:dyDescent="0.2">
      <c r="A1754" t="s">
        <v>4327</v>
      </c>
      <c r="B1754">
        <v>0</v>
      </c>
      <c r="C1754">
        <v>0</v>
      </c>
      <c r="D1754">
        <v>0</v>
      </c>
      <c r="E1754">
        <v>0</v>
      </c>
      <c r="F1754">
        <v>0</v>
      </c>
      <c r="G1754">
        <v>0</v>
      </c>
    </row>
    <row r="1755" spans="1:7" x14ac:dyDescent="0.2">
      <c r="A1755" t="s">
        <v>4328</v>
      </c>
      <c r="B1755">
        <v>0</v>
      </c>
      <c r="C1755">
        <v>0</v>
      </c>
      <c r="D1755">
        <v>0</v>
      </c>
      <c r="E1755">
        <v>0</v>
      </c>
      <c r="F1755">
        <v>0</v>
      </c>
      <c r="G1755">
        <v>0</v>
      </c>
    </row>
    <row r="1756" spans="1:7" x14ac:dyDescent="0.2">
      <c r="A1756" t="s">
        <v>4329</v>
      </c>
      <c r="B1756">
        <v>0</v>
      </c>
      <c r="C1756">
        <v>0</v>
      </c>
      <c r="D1756">
        <v>0</v>
      </c>
      <c r="E1756">
        <v>0</v>
      </c>
      <c r="F1756">
        <v>0</v>
      </c>
      <c r="G1756">
        <v>0</v>
      </c>
    </row>
    <row r="1757" spans="1:7" x14ac:dyDescent="0.2">
      <c r="A1757" t="s">
        <v>4330</v>
      </c>
      <c r="B1757">
        <v>0</v>
      </c>
      <c r="C1757">
        <v>0</v>
      </c>
      <c r="D1757">
        <v>0</v>
      </c>
      <c r="E1757">
        <v>0</v>
      </c>
      <c r="F1757">
        <v>0</v>
      </c>
      <c r="G1757">
        <v>0</v>
      </c>
    </row>
    <row r="1758" spans="1:7" x14ac:dyDescent="0.2">
      <c r="A1758" t="s">
        <v>4331</v>
      </c>
      <c r="B1758">
        <v>0</v>
      </c>
      <c r="C1758">
        <v>0</v>
      </c>
      <c r="D1758">
        <v>0</v>
      </c>
      <c r="E1758">
        <v>0</v>
      </c>
      <c r="F1758">
        <v>0</v>
      </c>
      <c r="G1758">
        <v>0</v>
      </c>
    </row>
    <row r="1759" spans="1:7" x14ac:dyDescent="0.2">
      <c r="A1759" t="s">
        <v>4332</v>
      </c>
      <c r="B1759">
        <v>0</v>
      </c>
      <c r="C1759">
        <v>0</v>
      </c>
      <c r="D1759">
        <v>0</v>
      </c>
      <c r="E1759">
        <v>0</v>
      </c>
      <c r="F1759">
        <v>0</v>
      </c>
      <c r="G1759">
        <v>0</v>
      </c>
    </row>
    <row r="1760" spans="1:7" x14ac:dyDescent="0.2">
      <c r="A1760" t="s">
        <v>4333</v>
      </c>
      <c r="B1760">
        <v>0</v>
      </c>
      <c r="C1760">
        <v>0</v>
      </c>
      <c r="D1760">
        <v>0</v>
      </c>
      <c r="E1760">
        <v>0</v>
      </c>
      <c r="F1760">
        <v>0</v>
      </c>
      <c r="G1760">
        <v>0</v>
      </c>
    </row>
    <row r="1761" spans="1:7" x14ac:dyDescent="0.2">
      <c r="A1761" t="s">
        <v>4334</v>
      </c>
      <c r="B1761">
        <v>0</v>
      </c>
      <c r="C1761">
        <v>0</v>
      </c>
      <c r="D1761">
        <v>0</v>
      </c>
      <c r="E1761">
        <v>0</v>
      </c>
      <c r="F1761">
        <v>0</v>
      </c>
      <c r="G1761">
        <v>0</v>
      </c>
    </row>
    <row r="1762" spans="1:7" x14ac:dyDescent="0.2">
      <c r="A1762" t="s">
        <v>4335</v>
      </c>
      <c r="B1762">
        <v>0</v>
      </c>
      <c r="C1762">
        <v>0</v>
      </c>
      <c r="D1762">
        <v>0</v>
      </c>
      <c r="E1762">
        <v>0</v>
      </c>
      <c r="F1762">
        <v>0</v>
      </c>
      <c r="G1762">
        <v>0</v>
      </c>
    </row>
    <row r="1763" spans="1:7" x14ac:dyDescent="0.2">
      <c r="A1763" t="s">
        <v>4336</v>
      </c>
      <c r="B1763">
        <v>0</v>
      </c>
      <c r="C1763">
        <v>0</v>
      </c>
      <c r="D1763">
        <v>0</v>
      </c>
      <c r="E1763">
        <v>0</v>
      </c>
      <c r="F1763">
        <v>0</v>
      </c>
      <c r="G1763">
        <v>0</v>
      </c>
    </row>
    <row r="1764" spans="1:7" x14ac:dyDescent="0.2">
      <c r="A1764" t="s">
        <v>4337</v>
      </c>
      <c r="B1764">
        <v>0</v>
      </c>
      <c r="C1764">
        <v>0</v>
      </c>
      <c r="D1764">
        <v>0</v>
      </c>
      <c r="E1764">
        <v>0</v>
      </c>
      <c r="F1764">
        <v>0</v>
      </c>
      <c r="G1764">
        <v>0</v>
      </c>
    </row>
    <row r="1765" spans="1:7" x14ac:dyDescent="0.2">
      <c r="A1765" t="s">
        <v>4338</v>
      </c>
      <c r="B1765">
        <v>0</v>
      </c>
      <c r="C1765">
        <v>0</v>
      </c>
      <c r="D1765">
        <v>0</v>
      </c>
      <c r="E1765">
        <v>0</v>
      </c>
      <c r="F1765">
        <v>0</v>
      </c>
      <c r="G1765">
        <v>0</v>
      </c>
    </row>
    <row r="1766" spans="1:7" x14ac:dyDescent="0.2">
      <c r="A1766" t="s">
        <v>4339</v>
      </c>
      <c r="B1766">
        <v>0</v>
      </c>
      <c r="C1766">
        <v>0</v>
      </c>
      <c r="D1766">
        <v>0</v>
      </c>
      <c r="E1766">
        <v>0</v>
      </c>
      <c r="F1766">
        <v>0</v>
      </c>
      <c r="G1766">
        <v>0</v>
      </c>
    </row>
    <row r="1767" spans="1:7" x14ac:dyDescent="0.2">
      <c r="A1767" t="s">
        <v>4340</v>
      </c>
      <c r="B1767">
        <v>0</v>
      </c>
      <c r="C1767">
        <v>0</v>
      </c>
      <c r="D1767">
        <v>0</v>
      </c>
      <c r="E1767">
        <v>0</v>
      </c>
      <c r="F1767">
        <v>0</v>
      </c>
      <c r="G1767">
        <v>0</v>
      </c>
    </row>
    <row r="1768" spans="1:7" x14ac:dyDescent="0.2">
      <c r="A1768" t="s">
        <v>4341</v>
      </c>
      <c r="B1768">
        <v>0</v>
      </c>
      <c r="C1768">
        <v>0</v>
      </c>
      <c r="D1768">
        <v>0</v>
      </c>
      <c r="E1768">
        <v>0</v>
      </c>
      <c r="F1768">
        <v>0</v>
      </c>
      <c r="G1768">
        <v>0</v>
      </c>
    </row>
    <row r="1769" spans="1:7" x14ac:dyDescent="0.2">
      <c r="A1769" t="s">
        <v>4342</v>
      </c>
      <c r="B1769">
        <v>0</v>
      </c>
      <c r="C1769">
        <v>0</v>
      </c>
      <c r="D1769">
        <v>0</v>
      </c>
      <c r="E1769">
        <v>0</v>
      </c>
      <c r="F1769">
        <v>0</v>
      </c>
      <c r="G1769">
        <v>0</v>
      </c>
    </row>
    <row r="1770" spans="1:7" x14ac:dyDescent="0.2">
      <c r="A1770" t="s">
        <v>4343</v>
      </c>
      <c r="B1770">
        <v>0</v>
      </c>
      <c r="C1770">
        <v>0</v>
      </c>
      <c r="D1770">
        <v>0</v>
      </c>
      <c r="E1770">
        <v>0</v>
      </c>
      <c r="F1770">
        <v>0</v>
      </c>
      <c r="G1770">
        <v>0</v>
      </c>
    </row>
    <row r="1771" spans="1:7" x14ac:dyDescent="0.2">
      <c r="A1771" t="s">
        <v>1728</v>
      </c>
      <c r="B1771">
        <v>0</v>
      </c>
      <c r="C1771">
        <v>0</v>
      </c>
      <c r="D1771">
        <v>0</v>
      </c>
      <c r="E1771">
        <v>0</v>
      </c>
      <c r="F1771">
        <v>0</v>
      </c>
      <c r="G1771">
        <v>0</v>
      </c>
    </row>
    <row r="1772" spans="1:7" x14ac:dyDescent="0.2">
      <c r="A1772" t="s">
        <v>1730</v>
      </c>
      <c r="B1772">
        <v>0</v>
      </c>
      <c r="C1772">
        <v>1</v>
      </c>
      <c r="D1772">
        <v>17</v>
      </c>
      <c r="E1772">
        <v>11</v>
      </c>
      <c r="F1772">
        <v>141</v>
      </c>
      <c r="G1772">
        <v>171</v>
      </c>
    </row>
    <row r="1773" spans="1:7" x14ac:dyDescent="0.2">
      <c r="A1773" t="s">
        <v>1733</v>
      </c>
      <c r="B1773">
        <v>0</v>
      </c>
      <c r="C1773">
        <v>0</v>
      </c>
      <c r="D1773">
        <v>0</v>
      </c>
      <c r="E1773">
        <v>0</v>
      </c>
      <c r="F1773">
        <v>0</v>
      </c>
      <c r="G1773">
        <v>0</v>
      </c>
    </row>
    <row r="1774" spans="1:7" x14ac:dyDescent="0.2">
      <c r="A1774" t="s">
        <v>1738</v>
      </c>
      <c r="B1774">
        <v>0</v>
      </c>
      <c r="C1774">
        <v>0</v>
      </c>
      <c r="D1774">
        <v>0</v>
      </c>
      <c r="E1774">
        <v>0</v>
      </c>
      <c r="F1774">
        <v>0</v>
      </c>
      <c r="G1774">
        <v>0</v>
      </c>
    </row>
    <row r="1775" spans="1:7" x14ac:dyDescent="0.2">
      <c r="A1775" t="s">
        <v>1744</v>
      </c>
      <c r="B1775">
        <v>0</v>
      </c>
      <c r="C1775">
        <v>0</v>
      </c>
      <c r="D1775">
        <v>0</v>
      </c>
      <c r="E1775">
        <v>0</v>
      </c>
      <c r="F1775">
        <v>0</v>
      </c>
      <c r="G1775">
        <v>0</v>
      </c>
    </row>
    <row r="1776" spans="1:7" x14ac:dyDescent="0.2">
      <c r="A1776" t="s">
        <v>1747</v>
      </c>
      <c r="B1776">
        <v>0</v>
      </c>
      <c r="C1776">
        <v>0</v>
      </c>
      <c r="D1776">
        <v>0</v>
      </c>
      <c r="E1776">
        <v>0</v>
      </c>
      <c r="F1776">
        <v>0</v>
      </c>
      <c r="G1776">
        <v>0</v>
      </c>
    </row>
    <row r="1777" spans="1:7" x14ac:dyDescent="0.2">
      <c r="A1777" t="s">
        <v>1751</v>
      </c>
      <c r="B1777">
        <v>0</v>
      </c>
      <c r="C1777">
        <v>0</v>
      </c>
      <c r="D1777">
        <v>0</v>
      </c>
      <c r="E1777">
        <v>0</v>
      </c>
      <c r="F1777">
        <v>0</v>
      </c>
      <c r="G1777">
        <v>0</v>
      </c>
    </row>
    <row r="1778" spans="1:7" x14ac:dyDescent="0.2">
      <c r="A1778" t="s">
        <v>1755</v>
      </c>
      <c r="B1778">
        <v>0</v>
      </c>
      <c r="C1778">
        <v>0</v>
      </c>
      <c r="D1778">
        <v>1</v>
      </c>
      <c r="E1778">
        <v>6</v>
      </c>
      <c r="F1778">
        <v>8</v>
      </c>
      <c r="G1778">
        <v>15</v>
      </c>
    </row>
    <row r="1779" spans="1:7" x14ac:dyDescent="0.2">
      <c r="A1779" t="s">
        <v>1757</v>
      </c>
      <c r="B1779">
        <v>0</v>
      </c>
      <c r="C1779">
        <v>0</v>
      </c>
      <c r="D1779">
        <v>3</v>
      </c>
      <c r="E1779">
        <v>6</v>
      </c>
      <c r="F1779">
        <v>8</v>
      </c>
      <c r="G1779">
        <v>17</v>
      </c>
    </row>
    <row r="1780" spans="1:7" x14ac:dyDescent="0.2">
      <c r="A1780" t="s">
        <v>1761</v>
      </c>
      <c r="B1780">
        <v>0</v>
      </c>
      <c r="C1780">
        <v>0</v>
      </c>
      <c r="D1780">
        <v>0</v>
      </c>
      <c r="E1780">
        <v>0</v>
      </c>
      <c r="F1780">
        <v>0</v>
      </c>
      <c r="G1780">
        <v>0</v>
      </c>
    </row>
    <row r="1781" spans="1:7" x14ac:dyDescent="0.2">
      <c r="A1781" t="s">
        <v>1764</v>
      </c>
      <c r="B1781">
        <v>0</v>
      </c>
      <c r="C1781">
        <v>0</v>
      </c>
      <c r="D1781">
        <v>0</v>
      </c>
      <c r="E1781">
        <v>0</v>
      </c>
      <c r="F1781">
        <v>0</v>
      </c>
      <c r="G1781">
        <v>0</v>
      </c>
    </row>
    <row r="1782" spans="1:7" x14ac:dyDescent="0.2">
      <c r="A1782" t="s">
        <v>1770</v>
      </c>
      <c r="B1782">
        <v>1</v>
      </c>
      <c r="C1782">
        <v>5</v>
      </c>
      <c r="D1782">
        <v>35</v>
      </c>
      <c r="E1782">
        <v>251</v>
      </c>
      <c r="F1782">
        <v>0</v>
      </c>
      <c r="G1782">
        <v>292</v>
      </c>
    </row>
    <row r="1783" spans="1:7" x14ac:dyDescent="0.2">
      <c r="A1783" t="s">
        <v>1772</v>
      </c>
      <c r="B1783">
        <v>0</v>
      </c>
      <c r="C1783">
        <v>1</v>
      </c>
      <c r="D1783">
        <v>16</v>
      </c>
      <c r="E1783">
        <v>110</v>
      </c>
      <c r="F1783">
        <v>0</v>
      </c>
      <c r="G1783">
        <v>127</v>
      </c>
    </row>
    <row r="1784" spans="1:7" x14ac:dyDescent="0.2">
      <c r="A1784" t="s">
        <v>1774</v>
      </c>
      <c r="B1784">
        <v>0</v>
      </c>
      <c r="C1784">
        <v>1</v>
      </c>
      <c r="D1784">
        <v>1</v>
      </c>
      <c r="E1784">
        <v>24</v>
      </c>
      <c r="F1784">
        <v>0</v>
      </c>
      <c r="G1784">
        <v>26</v>
      </c>
    </row>
    <row r="1785" spans="1:7" x14ac:dyDescent="0.2">
      <c r="A1785" t="s">
        <v>1777</v>
      </c>
      <c r="B1785">
        <v>0</v>
      </c>
      <c r="C1785">
        <v>0</v>
      </c>
      <c r="D1785">
        <v>0</v>
      </c>
      <c r="E1785">
        <v>0</v>
      </c>
      <c r="F1785">
        <v>0</v>
      </c>
      <c r="G1785">
        <v>0</v>
      </c>
    </row>
    <row r="1786" spans="1:7" x14ac:dyDescent="0.2">
      <c r="A1786" t="s">
        <v>1782</v>
      </c>
      <c r="B1786">
        <v>0</v>
      </c>
      <c r="C1786">
        <v>0</v>
      </c>
      <c r="D1786">
        <v>0</v>
      </c>
      <c r="E1786">
        <v>0</v>
      </c>
      <c r="F1786">
        <v>0</v>
      </c>
      <c r="G1786">
        <v>0</v>
      </c>
    </row>
    <row r="1787" spans="1:7" x14ac:dyDescent="0.2">
      <c r="A1787" t="s">
        <v>1274</v>
      </c>
      <c r="B1787">
        <v>0</v>
      </c>
      <c r="C1787">
        <v>0</v>
      </c>
      <c r="D1787">
        <v>0</v>
      </c>
      <c r="E1787">
        <v>0</v>
      </c>
      <c r="F1787">
        <v>0</v>
      </c>
      <c r="G1787">
        <v>0</v>
      </c>
    </row>
    <row r="1788" spans="1:7" x14ac:dyDescent="0.2">
      <c r="A1788" t="s">
        <v>1277</v>
      </c>
      <c r="B1788">
        <v>0</v>
      </c>
      <c r="C1788">
        <v>0</v>
      </c>
      <c r="D1788">
        <v>0</v>
      </c>
      <c r="E1788">
        <v>4</v>
      </c>
      <c r="F1788">
        <v>0</v>
      </c>
      <c r="G1788">
        <v>4</v>
      </c>
    </row>
    <row r="1789" spans="1:7" x14ac:dyDescent="0.2">
      <c r="A1789" t="s">
        <v>1798</v>
      </c>
      <c r="B1789">
        <v>0</v>
      </c>
      <c r="C1789">
        <v>0</v>
      </c>
      <c r="D1789">
        <v>0</v>
      </c>
      <c r="E1789">
        <v>0</v>
      </c>
      <c r="F1789">
        <v>0</v>
      </c>
      <c r="G1789">
        <v>0</v>
      </c>
    </row>
    <row r="1790" spans="1:7" x14ac:dyDescent="0.2">
      <c r="A1790" t="s">
        <v>1803</v>
      </c>
      <c r="B1790">
        <v>0</v>
      </c>
      <c r="C1790">
        <v>0</v>
      </c>
      <c r="D1790">
        <v>0</v>
      </c>
      <c r="E1790">
        <v>0</v>
      </c>
      <c r="F1790">
        <v>0</v>
      </c>
      <c r="G1790">
        <v>0</v>
      </c>
    </row>
    <row r="1791" spans="1:7" x14ac:dyDescent="0.2">
      <c r="A1791" t="s">
        <v>1808</v>
      </c>
      <c r="B1791">
        <v>0</v>
      </c>
      <c r="C1791">
        <v>0</v>
      </c>
      <c r="D1791">
        <v>0</v>
      </c>
      <c r="E1791">
        <v>0</v>
      </c>
      <c r="F1791">
        <v>0</v>
      </c>
      <c r="G1791">
        <v>0</v>
      </c>
    </row>
    <row r="1792" spans="1:7" x14ac:dyDescent="0.2">
      <c r="A1792" t="s">
        <v>1813</v>
      </c>
      <c r="B1792">
        <v>0</v>
      </c>
      <c r="C1792">
        <v>0</v>
      </c>
      <c r="D1792">
        <v>0</v>
      </c>
      <c r="E1792">
        <v>0</v>
      </c>
      <c r="F1792">
        <v>0</v>
      </c>
      <c r="G1792">
        <v>0</v>
      </c>
    </row>
    <row r="1793" spans="1:7" x14ac:dyDescent="0.2">
      <c r="A1793" t="s">
        <v>1819</v>
      </c>
      <c r="B1793">
        <v>0</v>
      </c>
      <c r="C1793">
        <v>0</v>
      </c>
      <c r="D1793">
        <v>0</v>
      </c>
      <c r="E1793">
        <v>0</v>
      </c>
      <c r="F1793">
        <v>0</v>
      </c>
      <c r="G1793">
        <v>0</v>
      </c>
    </row>
    <row r="1794" spans="1:7" x14ac:dyDescent="0.2">
      <c r="A1794" t="s">
        <v>1826</v>
      </c>
      <c r="B1794">
        <v>0</v>
      </c>
      <c r="C1794">
        <v>0</v>
      </c>
      <c r="D1794">
        <v>0</v>
      </c>
      <c r="E1794">
        <v>0</v>
      </c>
      <c r="F1794">
        <v>0</v>
      </c>
      <c r="G1794">
        <v>0</v>
      </c>
    </row>
    <row r="1795" spans="1:7" x14ac:dyDescent="0.2">
      <c r="A1795" t="s">
        <v>1830</v>
      </c>
      <c r="B1795">
        <v>0</v>
      </c>
      <c r="C1795">
        <v>0</v>
      </c>
      <c r="D1795">
        <v>0</v>
      </c>
      <c r="E1795">
        <v>0</v>
      </c>
      <c r="F1795">
        <v>0</v>
      </c>
      <c r="G1795">
        <v>0</v>
      </c>
    </row>
    <row r="1796" spans="1:7" x14ac:dyDescent="0.2">
      <c r="A1796" t="s">
        <v>1836</v>
      </c>
      <c r="B1796">
        <v>0</v>
      </c>
      <c r="C1796">
        <v>0</v>
      </c>
      <c r="D1796">
        <v>0</v>
      </c>
      <c r="E1796">
        <v>0</v>
      </c>
      <c r="F1796">
        <v>0</v>
      </c>
      <c r="G1796">
        <v>0</v>
      </c>
    </row>
    <row r="1797" spans="1:7" x14ac:dyDescent="0.2">
      <c r="A1797" t="s">
        <v>1841</v>
      </c>
      <c r="B1797">
        <v>0</v>
      </c>
      <c r="C1797">
        <v>0</v>
      </c>
      <c r="D1797">
        <v>0</v>
      </c>
      <c r="E1797">
        <v>0</v>
      </c>
      <c r="F1797">
        <v>0</v>
      </c>
      <c r="G1797">
        <v>0</v>
      </c>
    </row>
    <row r="1798" spans="1:7" x14ac:dyDescent="0.2">
      <c r="A1798" t="s">
        <v>1842</v>
      </c>
      <c r="B1798">
        <v>0</v>
      </c>
      <c r="C1798">
        <v>25</v>
      </c>
      <c r="D1798">
        <v>83</v>
      </c>
      <c r="E1798">
        <v>299</v>
      </c>
      <c r="F1798">
        <v>0</v>
      </c>
      <c r="G1798">
        <v>407</v>
      </c>
    </row>
    <row r="1799" spans="1:7" x14ac:dyDescent="0.2">
      <c r="A1799" t="s">
        <v>1843</v>
      </c>
      <c r="B1799">
        <v>0</v>
      </c>
      <c r="C1799">
        <v>0</v>
      </c>
      <c r="D1799">
        <v>0</v>
      </c>
      <c r="E1799">
        <v>0</v>
      </c>
      <c r="F1799">
        <v>0</v>
      </c>
      <c r="G1799">
        <v>0</v>
      </c>
    </row>
    <row r="1800" spans="1:7" x14ac:dyDescent="0.2">
      <c r="A1800" t="s">
        <v>1846</v>
      </c>
      <c r="B1800">
        <v>0</v>
      </c>
      <c r="C1800">
        <v>0</v>
      </c>
      <c r="D1800">
        <v>0</v>
      </c>
      <c r="E1800">
        <v>0</v>
      </c>
      <c r="F1800">
        <v>0</v>
      </c>
      <c r="G1800">
        <v>0</v>
      </c>
    </row>
    <row r="1801" spans="1:7" x14ac:dyDescent="0.2">
      <c r="A1801" t="s">
        <v>1851</v>
      </c>
      <c r="B1801">
        <v>0</v>
      </c>
      <c r="C1801">
        <v>0</v>
      </c>
      <c r="D1801">
        <v>0</v>
      </c>
      <c r="E1801">
        <v>23</v>
      </c>
      <c r="F1801">
        <v>3</v>
      </c>
      <c r="G1801">
        <v>25</v>
      </c>
    </row>
    <row r="1802" spans="1:7" x14ac:dyDescent="0.2">
      <c r="A1802" t="s">
        <v>1857</v>
      </c>
      <c r="B1802">
        <v>0</v>
      </c>
      <c r="C1802">
        <v>0</v>
      </c>
      <c r="D1802">
        <v>0</v>
      </c>
      <c r="E1802">
        <v>0</v>
      </c>
      <c r="F1802">
        <v>0</v>
      </c>
      <c r="G1802">
        <v>0</v>
      </c>
    </row>
    <row r="1803" spans="1:7" x14ac:dyDescent="0.2">
      <c r="A1803" t="s">
        <v>1862</v>
      </c>
      <c r="B1803">
        <v>0</v>
      </c>
      <c r="C1803">
        <v>0</v>
      </c>
      <c r="D1803">
        <v>0</v>
      </c>
      <c r="E1803">
        <v>0</v>
      </c>
      <c r="F1803">
        <v>0</v>
      </c>
      <c r="G1803">
        <v>0</v>
      </c>
    </row>
    <row r="1804" spans="1:7" x14ac:dyDescent="0.2">
      <c r="A1804" t="s">
        <v>1867</v>
      </c>
      <c r="B1804">
        <v>0</v>
      </c>
      <c r="C1804">
        <v>0</v>
      </c>
      <c r="D1804">
        <v>0</v>
      </c>
      <c r="E1804">
        <v>0</v>
      </c>
      <c r="F1804">
        <v>0</v>
      </c>
      <c r="G1804">
        <v>0</v>
      </c>
    </row>
    <row r="1805" spans="1:7" x14ac:dyDescent="0.2">
      <c r="A1805" t="s">
        <v>1870</v>
      </c>
      <c r="B1805">
        <v>0</v>
      </c>
      <c r="C1805">
        <v>0</v>
      </c>
      <c r="D1805">
        <v>0</v>
      </c>
      <c r="E1805">
        <v>0</v>
      </c>
      <c r="F1805">
        <v>0</v>
      </c>
      <c r="G1805">
        <v>0</v>
      </c>
    </row>
    <row r="1806" spans="1:7" x14ac:dyDescent="0.2">
      <c r="A1806" t="s">
        <v>1874</v>
      </c>
      <c r="B1806">
        <v>0</v>
      </c>
      <c r="C1806">
        <v>0</v>
      </c>
      <c r="D1806">
        <v>9</v>
      </c>
      <c r="E1806">
        <v>0</v>
      </c>
      <c r="F1806">
        <v>0</v>
      </c>
      <c r="G1806">
        <v>9</v>
      </c>
    </row>
    <row r="1807" spans="1:7" x14ac:dyDescent="0.2">
      <c r="A1807" t="s">
        <v>1876</v>
      </c>
      <c r="B1807">
        <v>0</v>
      </c>
      <c r="C1807">
        <v>0</v>
      </c>
      <c r="D1807">
        <v>0</v>
      </c>
      <c r="E1807">
        <v>0</v>
      </c>
      <c r="F1807">
        <v>0</v>
      </c>
      <c r="G1807">
        <v>0</v>
      </c>
    </row>
    <row r="1808" spans="1:7" x14ac:dyDescent="0.2">
      <c r="A1808" t="s">
        <v>1881</v>
      </c>
      <c r="B1808">
        <v>0</v>
      </c>
      <c r="C1808">
        <v>0</v>
      </c>
      <c r="D1808">
        <v>0</v>
      </c>
      <c r="E1808">
        <v>0</v>
      </c>
      <c r="F1808">
        <v>0</v>
      </c>
      <c r="G1808">
        <v>0</v>
      </c>
    </row>
    <row r="1809" spans="1:7" x14ac:dyDescent="0.2">
      <c r="A1809" t="s">
        <v>1885</v>
      </c>
      <c r="B1809">
        <v>39</v>
      </c>
      <c r="C1809">
        <v>40</v>
      </c>
      <c r="D1809">
        <v>217</v>
      </c>
      <c r="E1809">
        <v>746</v>
      </c>
      <c r="F1809">
        <v>65</v>
      </c>
      <c r="G1809">
        <v>1106</v>
      </c>
    </row>
    <row r="1810" spans="1:7" x14ac:dyDescent="0.2">
      <c r="A1810" t="s">
        <v>1887</v>
      </c>
      <c r="B1810">
        <v>0</v>
      </c>
      <c r="C1810">
        <v>0</v>
      </c>
      <c r="D1810">
        <v>0</v>
      </c>
      <c r="E1810">
        <v>2</v>
      </c>
      <c r="F1810">
        <v>14</v>
      </c>
      <c r="G1810">
        <v>16</v>
      </c>
    </row>
    <row r="1811" spans="1:7" x14ac:dyDescent="0.2">
      <c r="A1811" t="s">
        <v>1893</v>
      </c>
      <c r="B1811">
        <v>0</v>
      </c>
      <c r="C1811">
        <v>0</v>
      </c>
      <c r="D1811">
        <v>0</v>
      </c>
      <c r="E1811">
        <v>134</v>
      </c>
      <c r="F1811">
        <v>27</v>
      </c>
      <c r="G1811">
        <v>161</v>
      </c>
    </row>
    <row r="1812" spans="1:7" x14ac:dyDescent="0.2">
      <c r="A1812" t="s">
        <v>1899</v>
      </c>
      <c r="B1812">
        <v>0</v>
      </c>
      <c r="C1812">
        <v>0</v>
      </c>
      <c r="D1812">
        <v>0</v>
      </c>
      <c r="E1812">
        <v>0</v>
      </c>
      <c r="F1812">
        <v>0</v>
      </c>
      <c r="G1812">
        <v>0</v>
      </c>
    </row>
    <row r="1813" spans="1:7" x14ac:dyDescent="0.2">
      <c r="A1813" t="s">
        <v>1906</v>
      </c>
      <c r="B1813">
        <v>0</v>
      </c>
      <c r="C1813">
        <v>0</v>
      </c>
      <c r="D1813">
        <v>0</v>
      </c>
      <c r="E1813">
        <v>0</v>
      </c>
      <c r="F1813">
        <v>0</v>
      </c>
      <c r="G1813">
        <v>0</v>
      </c>
    </row>
    <row r="1814" spans="1:7" x14ac:dyDescent="0.2">
      <c r="A1814" t="s">
        <v>1911</v>
      </c>
      <c r="B1814">
        <v>0</v>
      </c>
      <c r="C1814">
        <v>0</v>
      </c>
      <c r="D1814">
        <v>0</v>
      </c>
      <c r="E1814">
        <v>0</v>
      </c>
      <c r="F1814">
        <v>0</v>
      </c>
      <c r="G1814">
        <v>0</v>
      </c>
    </row>
    <row r="1815" spans="1:7" x14ac:dyDescent="0.2">
      <c r="A1815" t="s">
        <v>1917</v>
      </c>
      <c r="B1815">
        <v>0</v>
      </c>
      <c r="C1815">
        <v>0</v>
      </c>
      <c r="D1815">
        <v>0</v>
      </c>
      <c r="E1815">
        <v>109</v>
      </c>
      <c r="F1815">
        <v>54</v>
      </c>
      <c r="G1815">
        <v>163</v>
      </c>
    </row>
    <row r="1816" spans="1:7" x14ac:dyDescent="0.2">
      <c r="A1816" t="s">
        <v>1922</v>
      </c>
      <c r="B1816">
        <v>0</v>
      </c>
      <c r="C1816">
        <v>0</v>
      </c>
      <c r="D1816">
        <v>0</v>
      </c>
      <c r="E1816">
        <v>90</v>
      </c>
      <c r="F1816">
        <v>2</v>
      </c>
      <c r="G1816">
        <v>92</v>
      </c>
    </row>
    <row r="1817" spans="1:7" x14ac:dyDescent="0.2">
      <c r="A1817" t="s">
        <v>1928</v>
      </c>
      <c r="B1817">
        <v>0</v>
      </c>
      <c r="C1817">
        <v>0</v>
      </c>
      <c r="D1817">
        <v>0</v>
      </c>
      <c r="E1817">
        <v>0</v>
      </c>
      <c r="F1817">
        <v>0</v>
      </c>
      <c r="G1817">
        <v>0</v>
      </c>
    </row>
    <row r="1818" spans="1:7" x14ac:dyDescent="0.2">
      <c r="A1818" t="s">
        <v>1932</v>
      </c>
      <c r="B1818">
        <v>0</v>
      </c>
      <c r="C1818">
        <v>0</v>
      </c>
      <c r="D1818">
        <v>0</v>
      </c>
      <c r="E1818">
        <v>0</v>
      </c>
      <c r="F1818">
        <v>0</v>
      </c>
      <c r="G1818">
        <v>0</v>
      </c>
    </row>
    <row r="1819" spans="1:7" x14ac:dyDescent="0.2">
      <c r="A1819" t="s">
        <v>1938</v>
      </c>
      <c r="B1819">
        <v>0</v>
      </c>
      <c r="C1819">
        <v>0</v>
      </c>
      <c r="D1819">
        <v>0</v>
      </c>
      <c r="E1819">
        <v>0</v>
      </c>
      <c r="F1819">
        <v>0</v>
      </c>
      <c r="G1819">
        <v>0</v>
      </c>
    </row>
    <row r="1820" spans="1:7" x14ac:dyDescent="0.2">
      <c r="A1820" t="s">
        <v>1944</v>
      </c>
      <c r="B1820">
        <v>0</v>
      </c>
      <c r="C1820">
        <v>1</v>
      </c>
      <c r="D1820">
        <v>20</v>
      </c>
      <c r="E1820">
        <v>48</v>
      </c>
      <c r="F1820">
        <v>1</v>
      </c>
      <c r="G1820">
        <v>70</v>
      </c>
    </row>
    <row r="1821" spans="1:7" x14ac:dyDescent="0.2">
      <c r="A1821" t="s">
        <v>1947</v>
      </c>
      <c r="B1821">
        <v>0</v>
      </c>
      <c r="C1821">
        <v>0</v>
      </c>
      <c r="D1821">
        <v>0</v>
      </c>
      <c r="E1821">
        <v>0</v>
      </c>
      <c r="F1821">
        <v>2</v>
      </c>
      <c r="G1821">
        <v>2</v>
      </c>
    </row>
    <row r="1822" spans="1:7" x14ac:dyDescent="0.2">
      <c r="A1822" t="s">
        <v>1953</v>
      </c>
      <c r="B1822">
        <v>0</v>
      </c>
      <c r="C1822">
        <v>0</v>
      </c>
      <c r="D1822">
        <v>0</v>
      </c>
      <c r="E1822">
        <v>1</v>
      </c>
      <c r="F1822">
        <v>3</v>
      </c>
      <c r="G1822">
        <v>5</v>
      </c>
    </row>
    <row r="1823" spans="1:7" x14ac:dyDescent="0.2">
      <c r="A1823" t="s">
        <v>1958</v>
      </c>
      <c r="B1823">
        <v>0</v>
      </c>
      <c r="C1823">
        <v>0</v>
      </c>
      <c r="D1823">
        <v>0</v>
      </c>
      <c r="E1823">
        <v>0</v>
      </c>
      <c r="F1823">
        <v>0</v>
      </c>
      <c r="G1823">
        <v>0</v>
      </c>
    </row>
    <row r="1824" spans="1:7" x14ac:dyDescent="0.2">
      <c r="A1824" t="s">
        <v>1964</v>
      </c>
      <c r="B1824">
        <v>0</v>
      </c>
      <c r="C1824">
        <v>0</v>
      </c>
      <c r="D1824">
        <v>0</v>
      </c>
      <c r="E1824">
        <v>0</v>
      </c>
      <c r="F1824">
        <v>0</v>
      </c>
      <c r="G1824">
        <v>0</v>
      </c>
    </row>
    <row r="1825" spans="1:7" x14ac:dyDescent="0.2">
      <c r="A1825" t="s">
        <v>1973</v>
      </c>
      <c r="B1825">
        <v>0</v>
      </c>
      <c r="C1825">
        <v>0</v>
      </c>
      <c r="D1825">
        <v>0</v>
      </c>
      <c r="E1825">
        <v>0</v>
      </c>
      <c r="F1825">
        <v>0</v>
      </c>
      <c r="G1825">
        <v>0</v>
      </c>
    </row>
    <row r="1826" spans="1:7" x14ac:dyDescent="0.2">
      <c r="A1826" t="s">
        <v>1978</v>
      </c>
      <c r="B1826">
        <v>0</v>
      </c>
      <c r="C1826">
        <v>0</v>
      </c>
      <c r="D1826">
        <v>0</v>
      </c>
      <c r="E1826">
        <v>0</v>
      </c>
      <c r="F1826">
        <v>0</v>
      </c>
      <c r="G1826">
        <v>0</v>
      </c>
    </row>
    <row r="1827" spans="1:7" x14ac:dyDescent="0.2">
      <c r="A1827" t="s">
        <v>1983</v>
      </c>
      <c r="B1827">
        <v>0</v>
      </c>
      <c r="C1827">
        <v>0</v>
      </c>
      <c r="D1827">
        <v>0</v>
      </c>
      <c r="E1827">
        <v>0</v>
      </c>
      <c r="F1827">
        <v>2</v>
      </c>
      <c r="G1827">
        <v>2</v>
      </c>
    </row>
    <row r="1828" spans="1:7" x14ac:dyDescent="0.2">
      <c r="A1828" t="s">
        <v>1984</v>
      </c>
      <c r="B1828">
        <v>0</v>
      </c>
      <c r="C1828">
        <v>0</v>
      </c>
      <c r="D1828">
        <v>0</v>
      </c>
      <c r="E1828">
        <v>0</v>
      </c>
      <c r="F1828">
        <v>0</v>
      </c>
      <c r="G1828">
        <v>0</v>
      </c>
    </row>
    <row r="1829" spans="1:7" x14ac:dyDescent="0.2">
      <c r="A1829" t="s">
        <v>1990</v>
      </c>
      <c r="B1829">
        <v>0</v>
      </c>
      <c r="C1829">
        <v>0</v>
      </c>
      <c r="D1829">
        <v>0</v>
      </c>
      <c r="E1829">
        <v>0</v>
      </c>
      <c r="F1829">
        <v>1</v>
      </c>
      <c r="G1829">
        <v>1</v>
      </c>
    </row>
    <row r="1830" spans="1:7" x14ac:dyDescent="0.2">
      <c r="A1830" t="s">
        <v>1996</v>
      </c>
      <c r="B1830">
        <v>0</v>
      </c>
      <c r="C1830">
        <v>0</v>
      </c>
      <c r="D1830">
        <v>0</v>
      </c>
      <c r="E1830">
        <v>0</v>
      </c>
      <c r="F1830">
        <v>0</v>
      </c>
      <c r="G1830">
        <v>0</v>
      </c>
    </row>
    <row r="1831" spans="1:7" x14ac:dyDescent="0.2">
      <c r="A1831" t="s">
        <v>1998</v>
      </c>
      <c r="B1831">
        <v>0</v>
      </c>
      <c r="C1831">
        <v>0</v>
      </c>
      <c r="D1831">
        <v>0</v>
      </c>
      <c r="E1831">
        <v>0</v>
      </c>
      <c r="F1831">
        <v>0</v>
      </c>
      <c r="G1831">
        <v>0</v>
      </c>
    </row>
    <row r="1832" spans="1:7" x14ac:dyDescent="0.2">
      <c r="A1832" t="s">
        <v>1999</v>
      </c>
      <c r="B1832">
        <v>0</v>
      </c>
      <c r="C1832">
        <v>0</v>
      </c>
      <c r="D1832">
        <v>0</v>
      </c>
      <c r="E1832">
        <v>0</v>
      </c>
      <c r="F1832">
        <v>0</v>
      </c>
      <c r="G1832">
        <v>0</v>
      </c>
    </row>
    <row r="1833" spans="1:7" x14ac:dyDescent="0.2">
      <c r="A1833" t="s">
        <v>2004</v>
      </c>
      <c r="B1833">
        <v>0</v>
      </c>
      <c r="C1833">
        <v>0</v>
      </c>
      <c r="D1833">
        <v>0</v>
      </c>
      <c r="E1833">
        <v>0</v>
      </c>
      <c r="F1833">
        <v>0</v>
      </c>
      <c r="G1833">
        <v>0</v>
      </c>
    </row>
    <row r="1834" spans="1:7" x14ac:dyDescent="0.2">
      <c r="A1834" t="s">
        <v>2009</v>
      </c>
      <c r="B1834">
        <v>0</v>
      </c>
      <c r="C1834">
        <v>0</v>
      </c>
      <c r="D1834">
        <v>0</v>
      </c>
      <c r="E1834">
        <v>0</v>
      </c>
      <c r="F1834">
        <v>0</v>
      </c>
      <c r="G1834">
        <v>0</v>
      </c>
    </row>
    <row r="1835" spans="1:7" x14ac:dyDescent="0.2">
      <c r="A1835" t="s">
        <v>2014</v>
      </c>
      <c r="B1835">
        <v>0</v>
      </c>
      <c r="C1835">
        <v>0</v>
      </c>
      <c r="D1835">
        <v>0</v>
      </c>
      <c r="E1835">
        <v>0</v>
      </c>
      <c r="F1835">
        <v>0</v>
      </c>
      <c r="G1835">
        <v>0</v>
      </c>
    </row>
    <row r="1836" spans="1:7" x14ac:dyDescent="0.2">
      <c r="A1836" t="s">
        <v>2019</v>
      </c>
      <c r="B1836">
        <v>0</v>
      </c>
      <c r="C1836">
        <v>0</v>
      </c>
      <c r="D1836">
        <v>0</v>
      </c>
      <c r="E1836">
        <v>0</v>
      </c>
      <c r="F1836">
        <v>0</v>
      </c>
      <c r="G1836">
        <v>0</v>
      </c>
    </row>
    <row r="1837" spans="1:7" x14ac:dyDescent="0.2">
      <c r="A1837" t="s">
        <v>2023</v>
      </c>
      <c r="B1837">
        <v>0</v>
      </c>
      <c r="C1837">
        <v>0</v>
      </c>
      <c r="D1837">
        <v>0</v>
      </c>
      <c r="E1837">
        <v>0</v>
      </c>
      <c r="F1837">
        <v>0</v>
      </c>
      <c r="G1837">
        <v>0</v>
      </c>
    </row>
    <row r="1838" spans="1:7" x14ac:dyDescent="0.2">
      <c r="A1838" t="s">
        <v>2026</v>
      </c>
      <c r="B1838">
        <v>0</v>
      </c>
      <c r="C1838">
        <v>0</v>
      </c>
      <c r="D1838">
        <v>0</v>
      </c>
      <c r="E1838">
        <v>0</v>
      </c>
      <c r="F1838">
        <v>0</v>
      </c>
      <c r="G1838">
        <v>0</v>
      </c>
    </row>
    <row r="1839" spans="1:7" x14ac:dyDescent="0.2">
      <c r="A1839" t="s">
        <v>2030</v>
      </c>
      <c r="B1839">
        <v>0</v>
      </c>
      <c r="C1839">
        <v>0</v>
      </c>
      <c r="D1839">
        <v>0</v>
      </c>
      <c r="E1839">
        <v>0</v>
      </c>
      <c r="F1839">
        <v>0</v>
      </c>
      <c r="G1839">
        <v>0</v>
      </c>
    </row>
    <row r="1840" spans="1:7" x14ac:dyDescent="0.2">
      <c r="A1840" t="s">
        <v>2035</v>
      </c>
      <c r="B1840">
        <v>0</v>
      </c>
      <c r="C1840">
        <v>0</v>
      </c>
      <c r="D1840">
        <v>0</v>
      </c>
      <c r="E1840">
        <v>0</v>
      </c>
      <c r="F1840">
        <v>0</v>
      </c>
      <c r="G1840">
        <v>0</v>
      </c>
    </row>
    <row r="1841" spans="1:7" x14ac:dyDescent="0.2">
      <c r="A1841" t="s">
        <v>2040</v>
      </c>
      <c r="B1841">
        <v>0</v>
      </c>
      <c r="C1841">
        <v>0</v>
      </c>
      <c r="D1841">
        <v>0</v>
      </c>
      <c r="E1841">
        <v>0</v>
      </c>
      <c r="F1841">
        <v>0</v>
      </c>
      <c r="G1841">
        <v>0</v>
      </c>
    </row>
    <row r="1842" spans="1:7" x14ac:dyDescent="0.2">
      <c r="A1842" t="s">
        <v>2045</v>
      </c>
      <c r="B1842">
        <v>0</v>
      </c>
      <c r="C1842">
        <v>0</v>
      </c>
      <c r="D1842">
        <v>0</v>
      </c>
      <c r="E1842">
        <v>0</v>
      </c>
      <c r="F1842">
        <v>0</v>
      </c>
      <c r="G1842">
        <v>0</v>
      </c>
    </row>
    <row r="1843" spans="1:7" x14ac:dyDescent="0.2">
      <c r="A1843" t="s">
        <v>2049</v>
      </c>
      <c r="B1843">
        <v>0</v>
      </c>
      <c r="C1843">
        <v>0</v>
      </c>
      <c r="D1843">
        <v>239</v>
      </c>
      <c r="E1843">
        <v>1911</v>
      </c>
      <c r="F1843">
        <v>337</v>
      </c>
      <c r="G1843">
        <v>2488</v>
      </c>
    </row>
    <row r="1844" spans="1:7" x14ac:dyDescent="0.2">
      <c r="A1844" t="s">
        <v>2051</v>
      </c>
      <c r="B1844">
        <v>0</v>
      </c>
      <c r="C1844">
        <v>0</v>
      </c>
      <c r="D1844">
        <v>0</v>
      </c>
      <c r="E1844">
        <v>0</v>
      </c>
      <c r="F1844">
        <v>650</v>
      </c>
      <c r="G1844">
        <v>650</v>
      </c>
    </row>
    <row r="1845" spans="1:7" x14ac:dyDescent="0.2">
      <c r="A1845" t="s">
        <v>2057</v>
      </c>
      <c r="B1845">
        <v>0</v>
      </c>
      <c r="C1845">
        <v>0</v>
      </c>
      <c r="D1845">
        <v>3</v>
      </c>
      <c r="E1845">
        <v>39</v>
      </c>
      <c r="F1845">
        <v>1076</v>
      </c>
      <c r="G1845">
        <v>1119</v>
      </c>
    </row>
    <row r="1846" spans="1:7" x14ac:dyDescent="0.2">
      <c r="A1846" t="s">
        <v>4344</v>
      </c>
      <c r="B1846">
        <v>0</v>
      </c>
      <c r="C1846">
        <v>0</v>
      </c>
      <c r="D1846">
        <v>0</v>
      </c>
      <c r="E1846">
        <v>248</v>
      </c>
      <c r="F1846">
        <v>20</v>
      </c>
      <c r="G1846">
        <v>268</v>
      </c>
    </row>
    <row r="1847" spans="1:7" x14ac:dyDescent="0.2">
      <c r="A1847" t="s">
        <v>4345</v>
      </c>
      <c r="B1847">
        <v>0</v>
      </c>
      <c r="C1847">
        <v>0</v>
      </c>
      <c r="D1847">
        <v>0</v>
      </c>
      <c r="E1847">
        <v>968</v>
      </c>
      <c r="F1847">
        <v>548</v>
      </c>
      <c r="G1847">
        <v>1516</v>
      </c>
    </row>
    <row r="1848" spans="1:7" x14ac:dyDescent="0.2">
      <c r="A1848" t="s">
        <v>2074</v>
      </c>
      <c r="B1848">
        <v>0</v>
      </c>
      <c r="C1848">
        <v>0</v>
      </c>
      <c r="D1848">
        <v>0</v>
      </c>
      <c r="E1848">
        <v>216</v>
      </c>
      <c r="F1848">
        <v>0</v>
      </c>
      <c r="G1848">
        <v>216</v>
      </c>
    </row>
    <row r="1849" spans="1:7" x14ac:dyDescent="0.2">
      <c r="A1849" t="s">
        <v>2079</v>
      </c>
      <c r="B1849">
        <v>0</v>
      </c>
      <c r="C1849">
        <v>0</v>
      </c>
      <c r="D1849">
        <v>0</v>
      </c>
      <c r="E1849">
        <v>605</v>
      </c>
      <c r="F1849">
        <v>73</v>
      </c>
      <c r="G1849">
        <v>678</v>
      </c>
    </row>
    <row r="1850" spans="1:7" x14ac:dyDescent="0.2">
      <c r="A1850" t="s">
        <v>2085</v>
      </c>
      <c r="B1850">
        <v>0</v>
      </c>
      <c r="C1850">
        <v>0</v>
      </c>
      <c r="D1850">
        <v>0</v>
      </c>
      <c r="E1850">
        <v>6</v>
      </c>
      <c r="F1850">
        <v>1</v>
      </c>
      <c r="G1850">
        <v>7</v>
      </c>
    </row>
    <row r="1851" spans="1:7" x14ac:dyDescent="0.2">
      <c r="A1851" t="s">
        <v>2091</v>
      </c>
      <c r="B1851">
        <v>0</v>
      </c>
      <c r="C1851">
        <v>0</v>
      </c>
      <c r="D1851">
        <v>0</v>
      </c>
      <c r="E1851">
        <v>707</v>
      </c>
      <c r="F1851">
        <v>526</v>
      </c>
      <c r="G1851">
        <v>1234</v>
      </c>
    </row>
    <row r="1852" spans="1:7" x14ac:dyDescent="0.2">
      <c r="A1852" t="s">
        <v>2097</v>
      </c>
      <c r="B1852">
        <v>0</v>
      </c>
      <c r="C1852">
        <v>0</v>
      </c>
      <c r="D1852">
        <v>0</v>
      </c>
      <c r="E1852">
        <v>0</v>
      </c>
      <c r="F1852">
        <v>270</v>
      </c>
      <c r="G1852">
        <v>270</v>
      </c>
    </row>
    <row r="1853" spans="1:7" x14ac:dyDescent="0.2">
      <c r="A1853" t="s">
        <v>2101</v>
      </c>
      <c r="B1853">
        <v>0</v>
      </c>
      <c r="C1853">
        <v>0</v>
      </c>
      <c r="D1853">
        <v>0</v>
      </c>
      <c r="E1853">
        <v>0</v>
      </c>
      <c r="F1853">
        <v>213</v>
      </c>
      <c r="G1853">
        <v>213</v>
      </c>
    </row>
    <row r="1854" spans="1:7" x14ac:dyDescent="0.2">
      <c r="A1854" t="s">
        <v>2104</v>
      </c>
      <c r="B1854">
        <v>0</v>
      </c>
      <c r="C1854">
        <v>0</v>
      </c>
      <c r="D1854">
        <v>0</v>
      </c>
      <c r="E1854">
        <v>0</v>
      </c>
      <c r="F1854">
        <v>0</v>
      </c>
      <c r="G1854">
        <v>0</v>
      </c>
    </row>
    <row r="1855" spans="1:7" x14ac:dyDescent="0.2">
      <c r="A1855" t="s">
        <v>2107</v>
      </c>
      <c r="B1855">
        <v>0</v>
      </c>
      <c r="C1855">
        <v>0</v>
      </c>
      <c r="D1855">
        <v>0</v>
      </c>
      <c r="E1855">
        <v>0</v>
      </c>
      <c r="F1855">
        <v>353</v>
      </c>
      <c r="G1855">
        <v>353</v>
      </c>
    </row>
    <row r="1856" spans="1:7" x14ac:dyDescent="0.2">
      <c r="A1856" t="s">
        <v>2110</v>
      </c>
      <c r="B1856">
        <v>0</v>
      </c>
      <c r="C1856">
        <v>0</v>
      </c>
      <c r="D1856">
        <v>0</v>
      </c>
      <c r="E1856">
        <v>0</v>
      </c>
      <c r="F1856">
        <v>0</v>
      </c>
      <c r="G1856">
        <v>0</v>
      </c>
    </row>
    <row r="1857" spans="1:7" x14ac:dyDescent="0.2">
      <c r="A1857" t="s">
        <v>2113</v>
      </c>
      <c r="B1857">
        <v>0</v>
      </c>
      <c r="C1857">
        <v>0</v>
      </c>
      <c r="D1857">
        <v>0</v>
      </c>
      <c r="E1857">
        <v>0</v>
      </c>
      <c r="F1857">
        <v>0</v>
      </c>
      <c r="G1857">
        <v>0</v>
      </c>
    </row>
    <row r="1858" spans="1:7" x14ac:dyDescent="0.2">
      <c r="A1858" t="s">
        <v>4346</v>
      </c>
      <c r="B1858">
        <v>0</v>
      </c>
      <c r="C1858">
        <v>0</v>
      </c>
      <c r="D1858">
        <v>0</v>
      </c>
      <c r="E1858">
        <v>0</v>
      </c>
      <c r="F1858">
        <v>0</v>
      </c>
      <c r="G1858">
        <v>0</v>
      </c>
    </row>
    <row r="1859" spans="1:7" x14ac:dyDescent="0.2">
      <c r="A1859" t="s">
        <v>4347</v>
      </c>
      <c r="B1859">
        <v>0</v>
      </c>
      <c r="C1859">
        <v>0</v>
      </c>
      <c r="D1859">
        <v>0</v>
      </c>
      <c r="E1859">
        <v>0</v>
      </c>
      <c r="F1859">
        <v>0</v>
      </c>
      <c r="G1859">
        <v>0</v>
      </c>
    </row>
    <row r="1860" spans="1:7" x14ac:dyDescent="0.2">
      <c r="A1860" t="s">
        <v>4348</v>
      </c>
      <c r="B1860">
        <v>0</v>
      </c>
      <c r="C1860">
        <v>0</v>
      </c>
      <c r="D1860">
        <v>0</v>
      </c>
      <c r="E1860">
        <v>0</v>
      </c>
      <c r="F1860">
        <v>0</v>
      </c>
      <c r="G1860">
        <v>0</v>
      </c>
    </row>
    <row r="1861" spans="1:7" x14ac:dyDescent="0.2">
      <c r="A1861" t="s">
        <v>4349</v>
      </c>
      <c r="B1861">
        <v>0</v>
      </c>
      <c r="C1861">
        <v>0</v>
      </c>
      <c r="D1861">
        <v>0</v>
      </c>
      <c r="E1861">
        <v>0</v>
      </c>
      <c r="F1861">
        <v>0</v>
      </c>
      <c r="G1861">
        <v>0</v>
      </c>
    </row>
    <row r="1862" spans="1:7" x14ac:dyDescent="0.2">
      <c r="A1862" t="s">
        <v>4350</v>
      </c>
      <c r="B1862">
        <v>0</v>
      </c>
      <c r="C1862">
        <v>2</v>
      </c>
      <c r="D1862">
        <v>12</v>
      </c>
      <c r="E1862">
        <v>0</v>
      </c>
      <c r="F1862">
        <v>0</v>
      </c>
      <c r="G1862">
        <v>14</v>
      </c>
    </row>
    <row r="1863" spans="1:7" x14ac:dyDescent="0.2">
      <c r="A1863" t="s">
        <v>4351</v>
      </c>
      <c r="B1863">
        <v>0</v>
      </c>
      <c r="C1863">
        <v>0</v>
      </c>
      <c r="D1863">
        <v>0</v>
      </c>
      <c r="E1863">
        <v>0</v>
      </c>
      <c r="F1863">
        <v>0</v>
      </c>
      <c r="G1863">
        <v>0</v>
      </c>
    </row>
    <row r="1864" spans="1:7" x14ac:dyDescent="0.2">
      <c r="A1864" t="s">
        <v>4352</v>
      </c>
      <c r="B1864">
        <v>0</v>
      </c>
      <c r="C1864">
        <v>0</v>
      </c>
      <c r="D1864">
        <v>0</v>
      </c>
      <c r="E1864">
        <v>0</v>
      </c>
      <c r="F1864">
        <v>0</v>
      </c>
      <c r="G1864">
        <v>0</v>
      </c>
    </row>
    <row r="1865" spans="1:7" x14ac:dyDescent="0.2">
      <c r="A1865" t="s">
        <v>4353</v>
      </c>
      <c r="B1865">
        <v>1</v>
      </c>
      <c r="C1865">
        <v>83</v>
      </c>
      <c r="D1865">
        <v>27</v>
      </c>
      <c r="E1865">
        <v>3</v>
      </c>
      <c r="F1865">
        <v>0</v>
      </c>
      <c r="G1865">
        <v>114</v>
      </c>
    </row>
    <row r="1866" spans="1:7" x14ac:dyDescent="0.2">
      <c r="A1866" t="s">
        <v>4354</v>
      </c>
      <c r="B1866">
        <v>4</v>
      </c>
      <c r="C1866">
        <v>55</v>
      </c>
      <c r="D1866">
        <v>20</v>
      </c>
      <c r="E1866">
        <v>1</v>
      </c>
      <c r="F1866">
        <v>0</v>
      </c>
      <c r="G1866">
        <v>79</v>
      </c>
    </row>
    <row r="1867" spans="1:7" x14ac:dyDescent="0.2">
      <c r="A1867" t="s">
        <v>4355</v>
      </c>
      <c r="B1867">
        <v>0</v>
      </c>
      <c r="C1867">
        <v>0</v>
      </c>
      <c r="D1867">
        <v>0</v>
      </c>
      <c r="E1867">
        <v>0</v>
      </c>
      <c r="F1867">
        <v>0</v>
      </c>
      <c r="G1867">
        <v>0</v>
      </c>
    </row>
    <row r="1868" spans="1:7" x14ac:dyDescent="0.2">
      <c r="A1868" t="s">
        <v>4356</v>
      </c>
      <c r="B1868">
        <v>0</v>
      </c>
      <c r="C1868">
        <v>0</v>
      </c>
      <c r="D1868">
        <v>0</v>
      </c>
      <c r="E1868">
        <v>0</v>
      </c>
      <c r="F1868">
        <v>0</v>
      </c>
      <c r="G1868">
        <v>0</v>
      </c>
    </row>
    <row r="1869" spans="1:7" x14ac:dyDescent="0.2">
      <c r="A1869" t="s">
        <v>4357</v>
      </c>
      <c r="B1869">
        <v>0</v>
      </c>
      <c r="C1869">
        <v>0</v>
      </c>
      <c r="D1869">
        <v>0</v>
      </c>
      <c r="E1869">
        <v>0</v>
      </c>
      <c r="F1869">
        <v>0</v>
      </c>
      <c r="G1869">
        <v>0</v>
      </c>
    </row>
    <row r="1870" spans="1:7" x14ac:dyDescent="0.2">
      <c r="A1870" t="s">
        <v>4358</v>
      </c>
      <c r="B1870">
        <v>0</v>
      </c>
      <c r="C1870">
        <v>0</v>
      </c>
      <c r="D1870">
        <v>0</v>
      </c>
      <c r="E1870">
        <v>0</v>
      </c>
      <c r="F1870">
        <v>0</v>
      </c>
      <c r="G1870">
        <v>0</v>
      </c>
    </row>
    <row r="1871" spans="1:7" x14ac:dyDescent="0.2">
      <c r="A1871" t="s">
        <v>4359</v>
      </c>
      <c r="B1871">
        <v>0</v>
      </c>
      <c r="C1871">
        <v>0</v>
      </c>
      <c r="D1871">
        <v>0</v>
      </c>
      <c r="E1871">
        <v>0</v>
      </c>
      <c r="F1871">
        <v>0</v>
      </c>
      <c r="G1871">
        <v>0</v>
      </c>
    </row>
    <row r="1872" spans="1:7" x14ac:dyDescent="0.2">
      <c r="A1872" t="s">
        <v>4360</v>
      </c>
      <c r="B1872">
        <v>0</v>
      </c>
      <c r="C1872">
        <v>0</v>
      </c>
      <c r="D1872">
        <v>0</v>
      </c>
      <c r="E1872">
        <v>7</v>
      </c>
      <c r="F1872">
        <v>0</v>
      </c>
      <c r="G1872">
        <v>8</v>
      </c>
    </row>
    <row r="1873" spans="1:7" x14ac:dyDescent="0.2">
      <c r="A1873" t="s">
        <v>4361</v>
      </c>
      <c r="B1873">
        <v>0</v>
      </c>
      <c r="C1873">
        <v>0</v>
      </c>
      <c r="D1873">
        <v>7</v>
      </c>
      <c r="E1873">
        <v>0</v>
      </c>
      <c r="F1873">
        <v>0</v>
      </c>
      <c r="G1873">
        <v>7</v>
      </c>
    </row>
    <row r="1874" spans="1:7" x14ac:dyDescent="0.2">
      <c r="A1874" t="s">
        <v>4362</v>
      </c>
      <c r="B1874">
        <v>0</v>
      </c>
      <c r="C1874">
        <v>0</v>
      </c>
      <c r="D1874">
        <v>0</v>
      </c>
      <c r="E1874">
        <v>0</v>
      </c>
      <c r="F1874">
        <v>0</v>
      </c>
      <c r="G1874">
        <v>0</v>
      </c>
    </row>
    <row r="1875" spans="1:7" x14ac:dyDescent="0.2">
      <c r="A1875" t="s">
        <v>4363</v>
      </c>
      <c r="B1875">
        <v>0</v>
      </c>
      <c r="C1875">
        <v>0</v>
      </c>
      <c r="D1875">
        <v>0</v>
      </c>
      <c r="E1875">
        <v>0</v>
      </c>
      <c r="F1875">
        <v>0</v>
      </c>
      <c r="G1875">
        <v>0</v>
      </c>
    </row>
    <row r="1876" spans="1:7" x14ac:dyDescent="0.2">
      <c r="A1876" t="s">
        <v>4364</v>
      </c>
      <c r="B1876">
        <v>0</v>
      </c>
      <c r="C1876">
        <v>0</v>
      </c>
      <c r="D1876">
        <v>0</v>
      </c>
      <c r="E1876">
        <v>0</v>
      </c>
      <c r="F1876">
        <v>0</v>
      </c>
      <c r="G1876">
        <v>0</v>
      </c>
    </row>
    <row r="1877" spans="1:7" x14ac:dyDescent="0.2">
      <c r="A1877" t="s">
        <v>4365</v>
      </c>
      <c r="B1877">
        <v>0</v>
      </c>
      <c r="C1877">
        <v>4</v>
      </c>
      <c r="D1877">
        <v>1</v>
      </c>
      <c r="E1877">
        <v>0</v>
      </c>
      <c r="F1877">
        <v>0</v>
      </c>
      <c r="G1877">
        <v>5</v>
      </c>
    </row>
    <row r="1878" spans="1:7" x14ac:dyDescent="0.2">
      <c r="A1878" t="s">
        <v>4366</v>
      </c>
      <c r="B1878">
        <v>0</v>
      </c>
      <c r="C1878">
        <v>0</v>
      </c>
      <c r="D1878">
        <v>0</v>
      </c>
      <c r="E1878">
        <v>0</v>
      </c>
      <c r="F1878">
        <v>0</v>
      </c>
      <c r="G1878">
        <v>0</v>
      </c>
    </row>
    <row r="1879" spans="1:7" x14ac:dyDescent="0.2">
      <c r="A1879" t="s">
        <v>4367</v>
      </c>
      <c r="B1879">
        <v>0</v>
      </c>
      <c r="C1879">
        <v>0</v>
      </c>
      <c r="D1879">
        <v>0</v>
      </c>
      <c r="E1879">
        <v>0</v>
      </c>
      <c r="F1879">
        <v>0</v>
      </c>
      <c r="G1879">
        <v>0</v>
      </c>
    </row>
    <row r="1880" spans="1:7" x14ac:dyDescent="0.2">
      <c r="A1880" t="s">
        <v>4368</v>
      </c>
      <c r="B1880">
        <v>4</v>
      </c>
      <c r="C1880">
        <v>16</v>
      </c>
      <c r="D1880">
        <v>35</v>
      </c>
      <c r="E1880">
        <v>39</v>
      </c>
      <c r="F1880">
        <v>7</v>
      </c>
      <c r="G1880">
        <v>101</v>
      </c>
    </row>
    <row r="1881" spans="1:7" x14ac:dyDescent="0.2">
      <c r="A1881" t="s">
        <v>4369</v>
      </c>
      <c r="B1881">
        <v>29</v>
      </c>
      <c r="C1881">
        <v>20</v>
      </c>
      <c r="D1881">
        <v>143</v>
      </c>
      <c r="E1881">
        <v>12</v>
      </c>
      <c r="F1881">
        <v>0</v>
      </c>
      <c r="G1881">
        <v>205</v>
      </c>
    </row>
    <row r="1882" spans="1:7" x14ac:dyDescent="0.2">
      <c r="A1882" t="s">
        <v>4370</v>
      </c>
      <c r="B1882">
        <v>1</v>
      </c>
      <c r="C1882">
        <v>1</v>
      </c>
      <c r="D1882">
        <v>0</v>
      </c>
      <c r="E1882">
        <v>0</v>
      </c>
      <c r="F1882">
        <v>0</v>
      </c>
      <c r="G1882">
        <v>1</v>
      </c>
    </row>
    <row r="1883" spans="1:7" x14ac:dyDescent="0.2">
      <c r="A1883" t="s">
        <v>4371</v>
      </c>
      <c r="B1883">
        <v>0</v>
      </c>
      <c r="C1883">
        <v>1</v>
      </c>
      <c r="D1883">
        <v>0</v>
      </c>
      <c r="E1883">
        <v>0</v>
      </c>
      <c r="F1883">
        <v>0</v>
      </c>
      <c r="G1883">
        <v>1</v>
      </c>
    </row>
    <row r="1884" spans="1:7" x14ac:dyDescent="0.2">
      <c r="A1884" t="s">
        <v>4372</v>
      </c>
      <c r="B1884">
        <v>0</v>
      </c>
      <c r="C1884">
        <v>0</v>
      </c>
      <c r="D1884">
        <v>0</v>
      </c>
      <c r="E1884">
        <v>0</v>
      </c>
      <c r="F1884">
        <v>0</v>
      </c>
      <c r="G1884">
        <v>0</v>
      </c>
    </row>
    <row r="1885" spans="1:7" x14ac:dyDescent="0.2">
      <c r="A1885" t="s">
        <v>4373</v>
      </c>
      <c r="B1885">
        <v>0</v>
      </c>
      <c r="C1885">
        <v>0</v>
      </c>
      <c r="D1885">
        <v>2</v>
      </c>
      <c r="E1885">
        <v>0</v>
      </c>
      <c r="F1885">
        <v>0</v>
      </c>
      <c r="G1885">
        <v>2</v>
      </c>
    </row>
    <row r="1886" spans="1:7" x14ac:dyDescent="0.2">
      <c r="A1886" t="s">
        <v>4374</v>
      </c>
      <c r="B1886">
        <v>0</v>
      </c>
      <c r="C1886">
        <v>0</v>
      </c>
      <c r="D1886">
        <v>0</v>
      </c>
      <c r="E1886">
        <v>0</v>
      </c>
      <c r="F1886">
        <v>0</v>
      </c>
      <c r="G1886">
        <v>0</v>
      </c>
    </row>
    <row r="1887" spans="1:7" x14ac:dyDescent="0.2">
      <c r="A1887" t="s">
        <v>4375</v>
      </c>
      <c r="B1887">
        <v>0</v>
      </c>
      <c r="C1887">
        <v>0</v>
      </c>
      <c r="D1887">
        <v>0</v>
      </c>
      <c r="E1887">
        <v>0</v>
      </c>
      <c r="F1887">
        <v>0</v>
      </c>
      <c r="G1887">
        <v>0</v>
      </c>
    </row>
    <row r="1888" spans="1:7" x14ac:dyDescent="0.2">
      <c r="A1888" t="s">
        <v>4376</v>
      </c>
      <c r="B1888">
        <v>0</v>
      </c>
      <c r="C1888">
        <v>0</v>
      </c>
      <c r="D1888">
        <v>0</v>
      </c>
      <c r="E1888">
        <v>0</v>
      </c>
      <c r="F1888">
        <v>0</v>
      </c>
      <c r="G1888">
        <v>0</v>
      </c>
    </row>
    <row r="1889" spans="1:10" x14ac:dyDescent="0.2">
      <c r="A1889" t="s">
        <v>4377</v>
      </c>
      <c r="B1889">
        <v>0</v>
      </c>
      <c r="C1889">
        <v>0</v>
      </c>
      <c r="D1889">
        <v>5</v>
      </c>
      <c r="E1889">
        <v>0</v>
      </c>
      <c r="F1889">
        <v>0</v>
      </c>
      <c r="G1889">
        <v>5</v>
      </c>
    </row>
    <row r="1890" spans="1:10" x14ac:dyDescent="0.2">
      <c r="A1890" t="s">
        <v>2318</v>
      </c>
      <c r="B1890" t="s">
        <v>2319</v>
      </c>
      <c r="C1890" t="s">
        <v>2319</v>
      </c>
      <c r="D1890" t="s">
        <v>2319</v>
      </c>
      <c r="E1890" t="s">
        <v>2319</v>
      </c>
      <c r="F1890" t="s">
        <v>2319</v>
      </c>
      <c r="G1890" t="s">
        <v>2319</v>
      </c>
    </row>
    <row r="1891" spans="1:10" x14ac:dyDescent="0.2">
      <c r="A1891" t="s">
        <v>4248</v>
      </c>
    </row>
    <row r="1892" spans="1:10" x14ac:dyDescent="0.2">
      <c r="A1892" t="s">
        <v>4250</v>
      </c>
      <c r="C1892" t="s">
        <v>4251</v>
      </c>
      <c r="G1892" t="s">
        <v>7531</v>
      </c>
      <c r="J1892"/>
    </row>
    <row r="1893" spans="1:10" x14ac:dyDescent="0.2">
      <c r="A1893" t="s">
        <v>4925</v>
      </c>
      <c r="G1893" t="s">
        <v>7538</v>
      </c>
      <c r="J1893"/>
    </row>
    <row r="1894" spans="1:10" x14ac:dyDescent="0.2">
      <c r="A1894" t="s">
        <v>7530</v>
      </c>
      <c r="J1894"/>
    </row>
    <row r="1895" spans="1:10" x14ac:dyDescent="0.2">
      <c r="A1895" t="s">
        <v>4959</v>
      </c>
      <c r="J1895"/>
    </row>
    <row r="1896" spans="1:10" x14ac:dyDescent="0.2">
      <c r="J1896"/>
    </row>
    <row r="1897" spans="1:10" x14ac:dyDescent="0.2">
      <c r="A1897" t="s">
        <v>4259</v>
      </c>
      <c r="J1897"/>
    </row>
    <row r="1898" spans="1:10" x14ac:dyDescent="0.2">
      <c r="A1898" t="s">
        <v>2318</v>
      </c>
      <c r="B1898" t="s">
        <v>2319</v>
      </c>
      <c r="C1898" t="s">
        <v>2319</v>
      </c>
      <c r="D1898" t="s">
        <v>2319</v>
      </c>
      <c r="E1898" t="s">
        <v>2319</v>
      </c>
      <c r="F1898" t="s">
        <v>2319</v>
      </c>
      <c r="G1898" t="s">
        <v>2319</v>
      </c>
    </row>
    <row r="1899" spans="1:10" x14ac:dyDescent="0.2">
      <c r="A1899" t="s">
        <v>174</v>
      </c>
      <c r="B1899" t="s">
        <v>4945</v>
      </c>
      <c r="C1899" t="s">
        <v>4946</v>
      </c>
      <c r="D1899" t="s">
        <v>4947</v>
      </c>
      <c r="E1899" t="s">
        <v>4948</v>
      </c>
      <c r="F1899" t="s">
        <v>4949</v>
      </c>
    </row>
    <row r="1900" spans="1:10" x14ac:dyDescent="0.2">
      <c r="A1900" t="s">
        <v>126</v>
      </c>
      <c r="B1900" t="s">
        <v>4262</v>
      </c>
      <c r="C1900" t="s">
        <v>4263</v>
      </c>
      <c r="D1900" t="s">
        <v>4264</v>
      </c>
      <c r="E1900" t="s">
        <v>2308</v>
      </c>
      <c r="F1900" t="s">
        <v>615</v>
      </c>
      <c r="G1900" t="s">
        <v>236</v>
      </c>
    </row>
    <row r="1901" spans="1:10" x14ac:dyDescent="0.2">
      <c r="A1901" t="s">
        <v>2318</v>
      </c>
      <c r="B1901" t="s">
        <v>2319</v>
      </c>
      <c r="C1901" t="s">
        <v>2319</v>
      </c>
      <c r="D1901" t="s">
        <v>2319</v>
      </c>
      <c r="E1901" t="s">
        <v>2319</v>
      </c>
      <c r="F1901" t="s">
        <v>2319</v>
      </c>
      <c r="G1901" t="s">
        <v>2319</v>
      </c>
    </row>
    <row r="1902" spans="1:10" x14ac:dyDescent="0.2">
      <c r="A1902" t="s">
        <v>4265</v>
      </c>
      <c r="B1902">
        <v>0</v>
      </c>
      <c r="C1902">
        <v>0</v>
      </c>
      <c r="D1902">
        <v>0</v>
      </c>
      <c r="E1902">
        <v>0</v>
      </c>
      <c r="F1902">
        <v>0</v>
      </c>
      <c r="G1902">
        <v>0</v>
      </c>
    </row>
    <row r="1903" spans="1:10" x14ac:dyDescent="0.2">
      <c r="A1903" t="s">
        <v>4266</v>
      </c>
      <c r="B1903">
        <v>0</v>
      </c>
      <c r="C1903">
        <v>0</v>
      </c>
      <c r="D1903">
        <v>0</v>
      </c>
      <c r="E1903">
        <v>0</v>
      </c>
      <c r="F1903">
        <v>0</v>
      </c>
      <c r="G1903">
        <v>0</v>
      </c>
    </row>
    <row r="1904" spans="1:10" x14ac:dyDescent="0.2">
      <c r="A1904" t="s">
        <v>4267</v>
      </c>
      <c r="B1904">
        <v>0</v>
      </c>
      <c r="C1904">
        <v>0</v>
      </c>
      <c r="D1904">
        <v>0</v>
      </c>
      <c r="E1904">
        <v>0</v>
      </c>
      <c r="F1904">
        <v>0</v>
      </c>
      <c r="G1904">
        <v>0</v>
      </c>
    </row>
    <row r="1905" spans="1:7" x14ac:dyDescent="0.2">
      <c r="A1905" t="s">
        <v>4268</v>
      </c>
      <c r="B1905">
        <v>0</v>
      </c>
      <c r="C1905">
        <v>0</v>
      </c>
      <c r="D1905">
        <v>0</v>
      </c>
      <c r="E1905">
        <v>0</v>
      </c>
      <c r="F1905">
        <v>0</v>
      </c>
      <c r="G1905">
        <v>0</v>
      </c>
    </row>
    <row r="1906" spans="1:7" x14ac:dyDescent="0.2">
      <c r="A1906" t="s">
        <v>4269</v>
      </c>
      <c r="B1906">
        <v>0</v>
      </c>
      <c r="C1906">
        <v>0</v>
      </c>
      <c r="D1906">
        <v>0</v>
      </c>
      <c r="E1906">
        <v>0</v>
      </c>
      <c r="F1906">
        <v>0</v>
      </c>
      <c r="G1906">
        <v>0</v>
      </c>
    </row>
    <row r="1907" spans="1:7" x14ac:dyDescent="0.2">
      <c r="A1907" t="s">
        <v>4270</v>
      </c>
      <c r="B1907">
        <v>0</v>
      </c>
      <c r="C1907">
        <v>0</v>
      </c>
      <c r="D1907">
        <v>0</v>
      </c>
      <c r="E1907">
        <v>0</v>
      </c>
      <c r="F1907">
        <v>0</v>
      </c>
      <c r="G1907">
        <v>0</v>
      </c>
    </row>
    <row r="1908" spans="1:7" x14ac:dyDescent="0.2">
      <c r="A1908" t="s">
        <v>4271</v>
      </c>
      <c r="B1908">
        <v>0</v>
      </c>
      <c r="C1908">
        <v>0</v>
      </c>
      <c r="D1908">
        <v>0</v>
      </c>
      <c r="E1908">
        <v>0</v>
      </c>
      <c r="F1908">
        <v>0</v>
      </c>
      <c r="G1908">
        <v>0</v>
      </c>
    </row>
    <row r="1909" spans="1:7" x14ac:dyDescent="0.2">
      <c r="A1909" t="s">
        <v>4272</v>
      </c>
      <c r="B1909">
        <v>0</v>
      </c>
      <c r="C1909">
        <v>0</v>
      </c>
      <c r="D1909">
        <v>0</v>
      </c>
      <c r="E1909">
        <v>0</v>
      </c>
      <c r="F1909">
        <v>0</v>
      </c>
      <c r="G1909">
        <v>0</v>
      </c>
    </row>
    <row r="1910" spans="1:7" x14ac:dyDescent="0.2">
      <c r="A1910" t="s">
        <v>4273</v>
      </c>
      <c r="B1910">
        <v>0</v>
      </c>
      <c r="C1910">
        <v>0</v>
      </c>
      <c r="D1910">
        <v>0</v>
      </c>
      <c r="E1910">
        <v>0</v>
      </c>
      <c r="F1910">
        <v>0</v>
      </c>
      <c r="G1910">
        <v>0</v>
      </c>
    </row>
    <row r="1911" spans="1:7" x14ac:dyDescent="0.2">
      <c r="A1911" t="s">
        <v>4274</v>
      </c>
      <c r="B1911">
        <v>0</v>
      </c>
      <c r="C1911">
        <v>0</v>
      </c>
      <c r="D1911">
        <v>0</v>
      </c>
      <c r="E1911">
        <v>0</v>
      </c>
      <c r="F1911">
        <v>0</v>
      </c>
      <c r="G1911">
        <v>0</v>
      </c>
    </row>
    <row r="1912" spans="1:7" x14ac:dyDescent="0.2">
      <c r="A1912" t="s">
        <v>4275</v>
      </c>
      <c r="B1912">
        <v>0</v>
      </c>
      <c r="C1912">
        <v>0</v>
      </c>
      <c r="D1912">
        <v>0</v>
      </c>
      <c r="E1912">
        <v>0</v>
      </c>
      <c r="F1912">
        <v>0</v>
      </c>
      <c r="G1912">
        <v>0</v>
      </c>
    </row>
    <row r="1913" spans="1:7" x14ac:dyDescent="0.2">
      <c r="A1913" t="s">
        <v>4276</v>
      </c>
      <c r="B1913">
        <v>0</v>
      </c>
      <c r="C1913">
        <v>0</v>
      </c>
      <c r="D1913">
        <v>0</v>
      </c>
      <c r="E1913">
        <v>0</v>
      </c>
      <c r="F1913">
        <v>0</v>
      </c>
      <c r="G1913">
        <v>0</v>
      </c>
    </row>
    <row r="1914" spans="1:7" x14ac:dyDescent="0.2">
      <c r="A1914" t="s">
        <v>4277</v>
      </c>
      <c r="B1914">
        <v>0</v>
      </c>
      <c r="C1914">
        <v>0</v>
      </c>
      <c r="D1914">
        <v>0</v>
      </c>
      <c r="E1914">
        <v>0</v>
      </c>
      <c r="F1914">
        <v>0</v>
      </c>
      <c r="G1914">
        <v>0</v>
      </c>
    </row>
    <row r="1915" spans="1:7" x14ac:dyDescent="0.2">
      <c r="A1915" t="s">
        <v>4278</v>
      </c>
      <c r="B1915">
        <v>0</v>
      </c>
      <c r="C1915">
        <v>0</v>
      </c>
      <c r="D1915">
        <v>0</v>
      </c>
      <c r="E1915">
        <v>0</v>
      </c>
      <c r="F1915">
        <v>0</v>
      </c>
      <c r="G1915">
        <v>0</v>
      </c>
    </row>
    <row r="1916" spans="1:7" x14ac:dyDescent="0.2">
      <c r="A1916" t="s">
        <v>4279</v>
      </c>
      <c r="B1916">
        <v>0</v>
      </c>
      <c r="C1916">
        <v>0</v>
      </c>
      <c r="D1916">
        <v>0</v>
      </c>
      <c r="E1916">
        <v>0</v>
      </c>
      <c r="F1916">
        <v>0</v>
      </c>
      <c r="G1916">
        <v>0</v>
      </c>
    </row>
    <row r="1917" spans="1:7" x14ac:dyDescent="0.2">
      <c r="A1917" t="s">
        <v>4280</v>
      </c>
      <c r="B1917">
        <v>0</v>
      </c>
      <c r="C1917">
        <v>0</v>
      </c>
      <c r="D1917">
        <v>0</v>
      </c>
      <c r="E1917">
        <v>0</v>
      </c>
      <c r="F1917">
        <v>0</v>
      </c>
      <c r="G1917">
        <v>0</v>
      </c>
    </row>
    <row r="1918" spans="1:7" x14ac:dyDescent="0.2">
      <c r="A1918" t="s">
        <v>4281</v>
      </c>
      <c r="B1918">
        <v>68</v>
      </c>
      <c r="C1918">
        <v>33</v>
      </c>
      <c r="D1918">
        <v>78</v>
      </c>
      <c r="E1918">
        <v>0</v>
      </c>
      <c r="F1918">
        <v>0</v>
      </c>
      <c r="G1918">
        <v>178</v>
      </c>
    </row>
    <row r="1919" spans="1:7" x14ac:dyDescent="0.2">
      <c r="A1919" t="s">
        <v>4282</v>
      </c>
      <c r="B1919">
        <v>8</v>
      </c>
      <c r="C1919">
        <v>15</v>
      </c>
      <c r="D1919">
        <v>14</v>
      </c>
      <c r="E1919">
        <v>0</v>
      </c>
      <c r="F1919">
        <v>0</v>
      </c>
      <c r="G1919">
        <v>38</v>
      </c>
    </row>
    <row r="1920" spans="1:7" x14ac:dyDescent="0.2">
      <c r="A1920" t="s">
        <v>4283</v>
      </c>
      <c r="B1920">
        <v>10</v>
      </c>
      <c r="C1920">
        <v>7</v>
      </c>
      <c r="D1920">
        <v>0</v>
      </c>
      <c r="E1920">
        <v>0</v>
      </c>
      <c r="F1920">
        <v>0</v>
      </c>
      <c r="G1920">
        <v>17</v>
      </c>
    </row>
    <row r="1921" spans="1:7" x14ac:dyDescent="0.2">
      <c r="A1921" t="s">
        <v>4284</v>
      </c>
      <c r="B1921">
        <v>0</v>
      </c>
      <c r="C1921">
        <v>0</v>
      </c>
      <c r="D1921">
        <v>0</v>
      </c>
      <c r="E1921">
        <v>0</v>
      </c>
      <c r="F1921">
        <v>0</v>
      </c>
      <c r="G1921">
        <v>1</v>
      </c>
    </row>
    <row r="1922" spans="1:7" x14ac:dyDescent="0.2">
      <c r="A1922" t="s">
        <v>4285</v>
      </c>
      <c r="B1922">
        <v>8</v>
      </c>
      <c r="C1922">
        <v>33</v>
      </c>
      <c r="D1922">
        <v>48</v>
      </c>
      <c r="E1922">
        <v>0</v>
      </c>
      <c r="F1922">
        <v>0</v>
      </c>
      <c r="G1922">
        <v>89</v>
      </c>
    </row>
    <row r="1923" spans="1:7" x14ac:dyDescent="0.2">
      <c r="A1923" t="s">
        <v>4286</v>
      </c>
      <c r="B1923">
        <v>8</v>
      </c>
      <c r="C1923">
        <v>2</v>
      </c>
      <c r="D1923">
        <v>2</v>
      </c>
      <c r="E1923">
        <v>0</v>
      </c>
      <c r="F1923">
        <v>0</v>
      </c>
      <c r="G1923">
        <v>12</v>
      </c>
    </row>
    <row r="1924" spans="1:7" x14ac:dyDescent="0.2">
      <c r="A1924" t="s">
        <v>4287</v>
      </c>
      <c r="B1924">
        <v>0</v>
      </c>
      <c r="C1924">
        <v>0</v>
      </c>
      <c r="D1924">
        <v>0</v>
      </c>
      <c r="E1924">
        <v>38</v>
      </c>
      <c r="F1924">
        <v>0</v>
      </c>
      <c r="G1924">
        <v>38</v>
      </c>
    </row>
    <row r="1925" spans="1:7" x14ac:dyDescent="0.2">
      <c r="A1925" t="s">
        <v>4288</v>
      </c>
      <c r="B1925">
        <v>0</v>
      </c>
      <c r="C1925">
        <v>0</v>
      </c>
      <c r="D1925">
        <v>0</v>
      </c>
      <c r="E1925">
        <v>0</v>
      </c>
      <c r="F1925">
        <v>0</v>
      </c>
      <c r="G1925">
        <v>0</v>
      </c>
    </row>
    <row r="1926" spans="1:7" x14ac:dyDescent="0.2">
      <c r="A1926" t="s">
        <v>4289</v>
      </c>
      <c r="B1926">
        <v>0</v>
      </c>
      <c r="C1926">
        <v>0</v>
      </c>
      <c r="D1926">
        <v>0</v>
      </c>
      <c r="E1926">
        <v>0</v>
      </c>
      <c r="F1926">
        <v>0</v>
      </c>
      <c r="G1926">
        <v>0</v>
      </c>
    </row>
    <row r="1927" spans="1:7" x14ac:dyDescent="0.2">
      <c r="A1927" t="s">
        <v>4290</v>
      </c>
      <c r="B1927">
        <v>0</v>
      </c>
      <c r="C1927">
        <v>0</v>
      </c>
      <c r="D1927">
        <v>0</v>
      </c>
      <c r="E1927">
        <v>0</v>
      </c>
      <c r="F1927">
        <v>0</v>
      </c>
      <c r="G1927">
        <v>0</v>
      </c>
    </row>
    <row r="1928" spans="1:7" x14ac:dyDescent="0.2">
      <c r="A1928" t="s">
        <v>4291</v>
      </c>
      <c r="B1928">
        <v>0</v>
      </c>
      <c r="C1928">
        <v>0</v>
      </c>
      <c r="D1928">
        <v>0</v>
      </c>
      <c r="E1928">
        <v>0</v>
      </c>
      <c r="F1928">
        <v>0</v>
      </c>
      <c r="G1928">
        <v>0</v>
      </c>
    </row>
    <row r="1929" spans="1:7" x14ac:dyDescent="0.2">
      <c r="A1929" t="s">
        <v>4292</v>
      </c>
      <c r="B1929">
        <v>0</v>
      </c>
      <c r="C1929">
        <v>0</v>
      </c>
      <c r="D1929">
        <v>0</v>
      </c>
      <c r="E1929">
        <v>0</v>
      </c>
      <c r="F1929">
        <v>0</v>
      </c>
      <c r="G1929">
        <v>0</v>
      </c>
    </row>
    <row r="1930" spans="1:7" x14ac:dyDescent="0.2">
      <c r="A1930" t="s">
        <v>4293</v>
      </c>
      <c r="B1930">
        <v>0</v>
      </c>
      <c r="C1930">
        <v>0</v>
      </c>
      <c r="D1930">
        <v>0</v>
      </c>
      <c r="E1930">
        <v>0</v>
      </c>
      <c r="F1930">
        <v>0</v>
      </c>
      <c r="G1930">
        <v>0</v>
      </c>
    </row>
    <row r="1931" spans="1:7" x14ac:dyDescent="0.2">
      <c r="A1931" t="s">
        <v>4294</v>
      </c>
      <c r="B1931">
        <v>0</v>
      </c>
      <c r="C1931">
        <v>0</v>
      </c>
      <c r="D1931">
        <v>0</v>
      </c>
      <c r="E1931">
        <v>0</v>
      </c>
      <c r="F1931">
        <v>0</v>
      </c>
      <c r="G1931">
        <v>0</v>
      </c>
    </row>
    <row r="1932" spans="1:7" x14ac:dyDescent="0.2">
      <c r="A1932" t="s">
        <v>4295</v>
      </c>
      <c r="B1932">
        <v>0</v>
      </c>
      <c r="C1932">
        <v>0</v>
      </c>
      <c r="D1932">
        <v>0</v>
      </c>
      <c r="E1932">
        <v>0</v>
      </c>
      <c r="F1932">
        <v>0</v>
      </c>
      <c r="G1932">
        <v>0</v>
      </c>
    </row>
    <row r="1933" spans="1:7" x14ac:dyDescent="0.2">
      <c r="A1933" t="s">
        <v>4296</v>
      </c>
      <c r="B1933">
        <v>0</v>
      </c>
      <c r="C1933">
        <v>0</v>
      </c>
      <c r="D1933">
        <v>0</v>
      </c>
      <c r="E1933">
        <v>0</v>
      </c>
      <c r="F1933">
        <v>0</v>
      </c>
      <c r="G1933">
        <v>0</v>
      </c>
    </row>
    <row r="1934" spans="1:7" x14ac:dyDescent="0.2">
      <c r="A1934" t="s">
        <v>4297</v>
      </c>
      <c r="B1934">
        <v>7</v>
      </c>
      <c r="C1934">
        <v>46</v>
      </c>
      <c r="D1934">
        <v>83</v>
      </c>
      <c r="E1934">
        <v>0</v>
      </c>
      <c r="F1934">
        <v>0</v>
      </c>
      <c r="G1934">
        <v>136</v>
      </c>
    </row>
    <row r="1935" spans="1:7" x14ac:dyDescent="0.2">
      <c r="A1935" t="s">
        <v>4298</v>
      </c>
      <c r="B1935">
        <v>5</v>
      </c>
      <c r="C1935">
        <v>24</v>
      </c>
      <c r="D1935">
        <v>16</v>
      </c>
      <c r="E1935">
        <v>8</v>
      </c>
      <c r="F1935">
        <v>0</v>
      </c>
      <c r="G1935">
        <v>53</v>
      </c>
    </row>
    <row r="1936" spans="1:7" x14ac:dyDescent="0.2">
      <c r="A1936" t="s">
        <v>4299</v>
      </c>
      <c r="B1936">
        <v>21</v>
      </c>
      <c r="C1936">
        <v>65</v>
      </c>
      <c r="D1936">
        <v>43</v>
      </c>
      <c r="E1936">
        <v>77</v>
      </c>
      <c r="F1936">
        <v>0</v>
      </c>
      <c r="G1936">
        <v>206</v>
      </c>
    </row>
    <row r="1937" spans="1:7" x14ac:dyDescent="0.2">
      <c r="A1937" t="s">
        <v>4300</v>
      </c>
      <c r="B1937">
        <v>0</v>
      </c>
      <c r="C1937">
        <v>1</v>
      </c>
      <c r="D1937">
        <v>1</v>
      </c>
      <c r="E1937">
        <v>1</v>
      </c>
      <c r="F1937">
        <v>0</v>
      </c>
      <c r="G1937">
        <v>4</v>
      </c>
    </row>
    <row r="1938" spans="1:7" x14ac:dyDescent="0.2">
      <c r="A1938" t="s">
        <v>4301</v>
      </c>
      <c r="B1938">
        <v>0</v>
      </c>
      <c r="C1938">
        <v>240</v>
      </c>
      <c r="D1938">
        <v>275</v>
      </c>
      <c r="E1938">
        <v>18</v>
      </c>
      <c r="F1938">
        <v>0</v>
      </c>
      <c r="G1938">
        <v>533</v>
      </c>
    </row>
    <row r="1939" spans="1:7" x14ac:dyDescent="0.2">
      <c r="A1939" t="s">
        <v>4302</v>
      </c>
      <c r="B1939">
        <v>7</v>
      </c>
      <c r="C1939">
        <v>89</v>
      </c>
      <c r="D1939">
        <v>174</v>
      </c>
      <c r="E1939">
        <v>8</v>
      </c>
      <c r="F1939">
        <v>0</v>
      </c>
      <c r="G1939">
        <v>279</v>
      </c>
    </row>
    <row r="1940" spans="1:7" x14ac:dyDescent="0.2">
      <c r="A1940" t="s">
        <v>4303</v>
      </c>
      <c r="B1940">
        <v>7</v>
      </c>
      <c r="C1940">
        <v>81</v>
      </c>
      <c r="D1940">
        <v>228</v>
      </c>
      <c r="E1940">
        <v>7</v>
      </c>
      <c r="F1940">
        <v>0</v>
      </c>
      <c r="G1940">
        <v>322</v>
      </c>
    </row>
    <row r="1941" spans="1:7" x14ac:dyDescent="0.2">
      <c r="A1941" t="s">
        <v>4304</v>
      </c>
      <c r="B1941">
        <v>0</v>
      </c>
      <c r="C1941">
        <v>30</v>
      </c>
      <c r="D1941">
        <v>52</v>
      </c>
      <c r="E1941">
        <v>293</v>
      </c>
      <c r="F1941">
        <v>0</v>
      </c>
      <c r="G1941">
        <v>376</v>
      </c>
    </row>
    <row r="1942" spans="1:7" x14ac:dyDescent="0.2">
      <c r="A1942" t="s">
        <v>4305</v>
      </c>
      <c r="B1942">
        <v>0</v>
      </c>
      <c r="C1942">
        <v>479</v>
      </c>
      <c r="D1942">
        <v>856</v>
      </c>
      <c r="E1942">
        <v>161</v>
      </c>
      <c r="F1942">
        <v>0</v>
      </c>
      <c r="G1942">
        <v>1496</v>
      </c>
    </row>
    <row r="1943" spans="1:7" x14ac:dyDescent="0.2">
      <c r="A1943" t="s">
        <v>4306</v>
      </c>
      <c r="B1943">
        <v>3</v>
      </c>
      <c r="C1943">
        <v>97</v>
      </c>
      <c r="D1943">
        <v>20</v>
      </c>
      <c r="E1943">
        <v>9</v>
      </c>
      <c r="F1943">
        <v>0</v>
      </c>
      <c r="G1943">
        <v>129</v>
      </c>
    </row>
    <row r="1944" spans="1:7" x14ac:dyDescent="0.2">
      <c r="A1944" t="s">
        <v>4307</v>
      </c>
      <c r="B1944">
        <v>21</v>
      </c>
      <c r="C1944">
        <v>298</v>
      </c>
      <c r="D1944">
        <v>897</v>
      </c>
      <c r="E1944">
        <v>138</v>
      </c>
      <c r="F1944">
        <v>0</v>
      </c>
      <c r="G1944">
        <v>1353</v>
      </c>
    </row>
    <row r="1945" spans="1:7" x14ac:dyDescent="0.2">
      <c r="A1945" t="s">
        <v>4308</v>
      </c>
      <c r="B1945">
        <v>0</v>
      </c>
      <c r="C1945">
        <v>0</v>
      </c>
      <c r="D1945">
        <v>39</v>
      </c>
      <c r="E1945">
        <v>13</v>
      </c>
      <c r="F1945">
        <v>0</v>
      </c>
      <c r="G1945">
        <v>53</v>
      </c>
    </row>
    <row r="1946" spans="1:7" x14ac:dyDescent="0.2">
      <c r="A1946" t="s">
        <v>4309</v>
      </c>
      <c r="B1946">
        <v>0</v>
      </c>
      <c r="C1946">
        <v>0</v>
      </c>
      <c r="D1946">
        <v>0</v>
      </c>
      <c r="E1946">
        <v>0</v>
      </c>
      <c r="F1946">
        <v>0</v>
      </c>
      <c r="G1946">
        <v>0</v>
      </c>
    </row>
    <row r="1947" spans="1:7" x14ac:dyDescent="0.2">
      <c r="A1947" t="s">
        <v>4310</v>
      </c>
      <c r="B1947">
        <v>0</v>
      </c>
      <c r="C1947">
        <v>0</v>
      </c>
      <c r="D1947">
        <v>0</v>
      </c>
      <c r="E1947">
        <v>0</v>
      </c>
      <c r="F1947">
        <v>0</v>
      </c>
      <c r="G1947">
        <v>0</v>
      </c>
    </row>
    <row r="1948" spans="1:7" x14ac:dyDescent="0.2">
      <c r="A1948" t="s">
        <v>4311</v>
      </c>
      <c r="B1948">
        <v>0</v>
      </c>
      <c r="C1948">
        <v>0</v>
      </c>
      <c r="D1948">
        <v>0</v>
      </c>
      <c r="E1948">
        <v>0</v>
      </c>
      <c r="F1948">
        <v>0</v>
      </c>
      <c r="G1948">
        <v>0</v>
      </c>
    </row>
    <row r="1949" spans="1:7" x14ac:dyDescent="0.2">
      <c r="A1949" t="s">
        <v>4312</v>
      </c>
      <c r="B1949">
        <v>0</v>
      </c>
      <c r="C1949">
        <v>0</v>
      </c>
      <c r="D1949">
        <v>0</v>
      </c>
      <c r="E1949">
        <v>0</v>
      </c>
      <c r="F1949">
        <v>0</v>
      </c>
      <c r="G1949">
        <v>0</v>
      </c>
    </row>
    <row r="1950" spans="1:7" x14ac:dyDescent="0.2">
      <c r="A1950" t="s">
        <v>4313</v>
      </c>
      <c r="B1950">
        <v>0</v>
      </c>
      <c r="C1950">
        <v>0</v>
      </c>
      <c r="D1950">
        <v>0</v>
      </c>
      <c r="E1950">
        <v>0</v>
      </c>
      <c r="F1950">
        <v>0</v>
      </c>
      <c r="G1950">
        <v>0</v>
      </c>
    </row>
    <row r="1951" spans="1:7" x14ac:dyDescent="0.2">
      <c r="A1951" t="s">
        <v>4314</v>
      </c>
      <c r="B1951">
        <v>0</v>
      </c>
      <c r="C1951">
        <v>0</v>
      </c>
      <c r="D1951">
        <v>0</v>
      </c>
      <c r="E1951">
        <v>0</v>
      </c>
      <c r="F1951">
        <v>1</v>
      </c>
      <c r="G1951">
        <v>1</v>
      </c>
    </row>
    <row r="1952" spans="1:7" x14ac:dyDescent="0.2">
      <c r="A1952" t="s">
        <v>4315</v>
      </c>
      <c r="B1952">
        <v>0</v>
      </c>
      <c r="C1952">
        <v>0</v>
      </c>
      <c r="D1952">
        <v>0</v>
      </c>
      <c r="E1952">
        <v>0</v>
      </c>
      <c r="F1952">
        <v>0</v>
      </c>
      <c r="G1952">
        <v>0</v>
      </c>
    </row>
    <row r="1953" spans="1:7" x14ac:dyDescent="0.2">
      <c r="A1953" t="s">
        <v>4316</v>
      </c>
      <c r="B1953">
        <v>0</v>
      </c>
      <c r="C1953">
        <v>0</v>
      </c>
      <c r="D1953">
        <v>0</v>
      </c>
      <c r="E1953">
        <v>0</v>
      </c>
      <c r="F1953">
        <v>0</v>
      </c>
      <c r="G1953">
        <v>0</v>
      </c>
    </row>
    <row r="1954" spans="1:7" x14ac:dyDescent="0.2">
      <c r="A1954" t="s">
        <v>4317</v>
      </c>
      <c r="B1954">
        <v>0</v>
      </c>
      <c r="C1954">
        <v>0</v>
      </c>
      <c r="D1954">
        <v>0</v>
      </c>
      <c r="E1954">
        <v>0</v>
      </c>
      <c r="F1954">
        <v>0</v>
      </c>
      <c r="G1954">
        <v>0</v>
      </c>
    </row>
    <row r="1955" spans="1:7" x14ac:dyDescent="0.2">
      <c r="A1955" t="s">
        <v>4318</v>
      </c>
      <c r="B1955">
        <v>0</v>
      </c>
      <c r="C1955">
        <v>0</v>
      </c>
      <c r="D1955">
        <v>0</v>
      </c>
      <c r="E1955">
        <v>0</v>
      </c>
      <c r="F1955">
        <v>0</v>
      </c>
      <c r="G1955">
        <v>0</v>
      </c>
    </row>
    <row r="1956" spans="1:7" x14ac:dyDescent="0.2">
      <c r="A1956" t="s">
        <v>4319</v>
      </c>
      <c r="B1956">
        <v>0</v>
      </c>
      <c r="C1956">
        <v>0</v>
      </c>
      <c r="D1956">
        <v>0</v>
      </c>
      <c r="E1956">
        <v>0</v>
      </c>
      <c r="F1956">
        <v>0</v>
      </c>
      <c r="G1956">
        <v>0</v>
      </c>
    </row>
    <row r="1957" spans="1:7" x14ac:dyDescent="0.2">
      <c r="A1957" t="s">
        <v>4320</v>
      </c>
      <c r="B1957">
        <v>0</v>
      </c>
      <c r="C1957">
        <v>0</v>
      </c>
      <c r="D1957">
        <v>0</v>
      </c>
      <c r="E1957">
        <v>0</v>
      </c>
      <c r="F1957">
        <v>0</v>
      </c>
      <c r="G1957">
        <v>0</v>
      </c>
    </row>
    <row r="1958" spans="1:7" x14ac:dyDescent="0.2">
      <c r="A1958" t="s">
        <v>4321</v>
      </c>
      <c r="B1958">
        <v>0</v>
      </c>
      <c r="C1958">
        <v>0</v>
      </c>
      <c r="D1958">
        <v>0</v>
      </c>
      <c r="E1958">
        <v>0</v>
      </c>
      <c r="F1958">
        <v>0</v>
      </c>
      <c r="G1958">
        <v>0</v>
      </c>
    </row>
    <row r="1959" spans="1:7" x14ac:dyDescent="0.2">
      <c r="A1959" t="s">
        <v>4322</v>
      </c>
      <c r="B1959">
        <v>0</v>
      </c>
      <c r="C1959">
        <v>0</v>
      </c>
      <c r="D1959">
        <v>0</v>
      </c>
      <c r="E1959">
        <v>0</v>
      </c>
      <c r="F1959">
        <v>0</v>
      </c>
      <c r="G1959">
        <v>0</v>
      </c>
    </row>
    <row r="1960" spans="1:7" x14ac:dyDescent="0.2">
      <c r="A1960" t="s">
        <v>4323</v>
      </c>
      <c r="B1960">
        <v>0</v>
      </c>
      <c r="C1960">
        <v>0</v>
      </c>
      <c r="D1960">
        <v>0</v>
      </c>
      <c r="E1960">
        <v>0</v>
      </c>
      <c r="F1960">
        <v>0</v>
      </c>
      <c r="G1960">
        <v>0</v>
      </c>
    </row>
    <row r="1961" spans="1:7" x14ac:dyDescent="0.2">
      <c r="A1961" t="s">
        <v>4324</v>
      </c>
      <c r="B1961">
        <v>0</v>
      </c>
      <c r="C1961">
        <v>0</v>
      </c>
      <c r="D1961">
        <v>0</v>
      </c>
      <c r="E1961">
        <v>0</v>
      </c>
      <c r="F1961">
        <v>0</v>
      </c>
      <c r="G1961">
        <v>0</v>
      </c>
    </row>
    <row r="1962" spans="1:7" x14ac:dyDescent="0.2">
      <c r="A1962" t="s">
        <v>4325</v>
      </c>
      <c r="B1962">
        <v>0</v>
      </c>
      <c r="C1962">
        <v>0</v>
      </c>
      <c r="D1962">
        <v>0</v>
      </c>
      <c r="E1962">
        <v>0</v>
      </c>
      <c r="F1962">
        <v>0</v>
      </c>
      <c r="G1962">
        <v>0</v>
      </c>
    </row>
    <row r="1963" spans="1:7" x14ac:dyDescent="0.2">
      <c r="A1963" t="s">
        <v>4326</v>
      </c>
      <c r="B1963">
        <v>0</v>
      </c>
      <c r="C1963">
        <v>0</v>
      </c>
      <c r="D1963">
        <v>0</v>
      </c>
      <c r="E1963">
        <v>0</v>
      </c>
      <c r="F1963">
        <v>0</v>
      </c>
      <c r="G1963">
        <v>0</v>
      </c>
    </row>
    <row r="1964" spans="1:7" x14ac:dyDescent="0.2">
      <c r="A1964" t="s">
        <v>4327</v>
      </c>
      <c r="B1964">
        <v>0</v>
      </c>
      <c r="C1964">
        <v>0</v>
      </c>
      <c r="D1964">
        <v>0</v>
      </c>
      <c r="E1964">
        <v>0</v>
      </c>
      <c r="F1964">
        <v>0</v>
      </c>
      <c r="G1964">
        <v>0</v>
      </c>
    </row>
    <row r="1965" spans="1:7" x14ac:dyDescent="0.2">
      <c r="A1965" t="s">
        <v>4328</v>
      </c>
      <c r="B1965">
        <v>0</v>
      </c>
      <c r="C1965">
        <v>0</v>
      </c>
      <c r="D1965">
        <v>0</v>
      </c>
      <c r="E1965">
        <v>0</v>
      </c>
      <c r="F1965">
        <v>0</v>
      </c>
      <c r="G1965">
        <v>0</v>
      </c>
    </row>
    <row r="1966" spans="1:7" x14ac:dyDescent="0.2">
      <c r="A1966" t="s">
        <v>4329</v>
      </c>
      <c r="B1966">
        <v>0</v>
      </c>
      <c r="C1966">
        <v>0</v>
      </c>
      <c r="D1966">
        <v>0</v>
      </c>
      <c r="E1966">
        <v>0</v>
      </c>
      <c r="F1966">
        <v>0</v>
      </c>
      <c r="G1966">
        <v>0</v>
      </c>
    </row>
    <row r="1967" spans="1:7" x14ac:dyDescent="0.2">
      <c r="A1967" t="s">
        <v>4330</v>
      </c>
      <c r="B1967">
        <v>0</v>
      </c>
      <c r="C1967">
        <v>0</v>
      </c>
      <c r="D1967">
        <v>0</v>
      </c>
      <c r="E1967">
        <v>0</v>
      </c>
      <c r="F1967">
        <v>0</v>
      </c>
      <c r="G1967">
        <v>0</v>
      </c>
    </row>
    <row r="1968" spans="1:7" x14ac:dyDescent="0.2">
      <c r="A1968" t="s">
        <v>4331</v>
      </c>
      <c r="B1968">
        <v>0</v>
      </c>
      <c r="C1968">
        <v>0</v>
      </c>
      <c r="D1968">
        <v>0</v>
      </c>
      <c r="E1968">
        <v>0</v>
      </c>
      <c r="F1968">
        <v>0</v>
      </c>
      <c r="G1968">
        <v>0</v>
      </c>
    </row>
    <row r="1969" spans="1:7" x14ac:dyDescent="0.2">
      <c r="A1969" t="s">
        <v>4332</v>
      </c>
      <c r="B1969">
        <v>0</v>
      </c>
      <c r="C1969">
        <v>0</v>
      </c>
      <c r="D1969">
        <v>0</v>
      </c>
      <c r="E1969">
        <v>0</v>
      </c>
      <c r="F1969">
        <v>0</v>
      </c>
      <c r="G1969">
        <v>0</v>
      </c>
    </row>
    <row r="1970" spans="1:7" x14ac:dyDescent="0.2">
      <c r="A1970" t="s">
        <v>4333</v>
      </c>
      <c r="B1970">
        <v>0</v>
      </c>
      <c r="C1970">
        <v>0</v>
      </c>
      <c r="D1970">
        <v>0</v>
      </c>
      <c r="E1970">
        <v>0</v>
      </c>
      <c r="F1970">
        <v>0</v>
      </c>
      <c r="G1970">
        <v>0</v>
      </c>
    </row>
    <row r="1971" spans="1:7" x14ac:dyDescent="0.2">
      <c r="A1971" t="s">
        <v>4334</v>
      </c>
      <c r="B1971">
        <v>0</v>
      </c>
      <c r="C1971">
        <v>0</v>
      </c>
      <c r="D1971">
        <v>0</v>
      </c>
      <c r="E1971">
        <v>0</v>
      </c>
      <c r="F1971">
        <v>0</v>
      </c>
      <c r="G1971">
        <v>0</v>
      </c>
    </row>
    <row r="1972" spans="1:7" x14ac:dyDescent="0.2">
      <c r="A1972" t="s">
        <v>4335</v>
      </c>
      <c r="B1972">
        <v>0</v>
      </c>
      <c r="C1972">
        <v>0</v>
      </c>
      <c r="D1972">
        <v>0</v>
      </c>
      <c r="E1972">
        <v>0</v>
      </c>
      <c r="F1972">
        <v>0</v>
      </c>
      <c r="G1972">
        <v>0</v>
      </c>
    </row>
    <row r="1973" spans="1:7" x14ac:dyDescent="0.2">
      <c r="A1973" t="s">
        <v>4336</v>
      </c>
      <c r="B1973">
        <v>0</v>
      </c>
      <c r="C1973">
        <v>0</v>
      </c>
      <c r="D1973">
        <v>0</v>
      </c>
      <c r="E1973">
        <v>0</v>
      </c>
      <c r="F1973">
        <v>0</v>
      </c>
      <c r="G1973">
        <v>0</v>
      </c>
    </row>
    <row r="1974" spans="1:7" x14ac:dyDescent="0.2">
      <c r="A1974" t="s">
        <v>4337</v>
      </c>
      <c r="B1974">
        <v>0</v>
      </c>
      <c r="C1974">
        <v>0</v>
      </c>
      <c r="D1974">
        <v>0</v>
      </c>
      <c r="E1974">
        <v>0</v>
      </c>
      <c r="F1974">
        <v>0</v>
      </c>
      <c r="G1974">
        <v>0</v>
      </c>
    </row>
    <row r="1975" spans="1:7" x14ac:dyDescent="0.2">
      <c r="A1975" t="s">
        <v>4338</v>
      </c>
      <c r="B1975">
        <v>0</v>
      </c>
      <c r="C1975">
        <v>0</v>
      </c>
      <c r="D1975">
        <v>0</v>
      </c>
      <c r="E1975">
        <v>1</v>
      </c>
      <c r="F1975">
        <v>0</v>
      </c>
      <c r="G1975">
        <v>1</v>
      </c>
    </row>
    <row r="1976" spans="1:7" x14ac:dyDescent="0.2">
      <c r="A1976" t="s">
        <v>4339</v>
      </c>
      <c r="B1976">
        <v>0</v>
      </c>
      <c r="C1976">
        <v>0</v>
      </c>
      <c r="D1976">
        <v>0</v>
      </c>
      <c r="E1976">
        <v>0</v>
      </c>
      <c r="F1976">
        <v>0</v>
      </c>
      <c r="G1976">
        <v>0</v>
      </c>
    </row>
    <row r="1977" spans="1:7" x14ac:dyDescent="0.2">
      <c r="A1977" t="s">
        <v>4340</v>
      </c>
      <c r="B1977">
        <v>0</v>
      </c>
      <c r="C1977">
        <v>0</v>
      </c>
      <c r="D1977">
        <v>0</v>
      </c>
      <c r="E1977">
        <v>0</v>
      </c>
      <c r="F1977">
        <v>0</v>
      </c>
      <c r="G1977">
        <v>0</v>
      </c>
    </row>
    <row r="1978" spans="1:7" x14ac:dyDescent="0.2">
      <c r="A1978" t="s">
        <v>4341</v>
      </c>
      <c r="B1978">
        <v>0</v>
      </c>
      <c r="C1978">
        <v>0</v>
      </c>
      <c r="D1978">
        <v>0</v>
      </c>
      <c r="E1978">
        <v>0</v>
      </c>
      <c r="F1978">
        <v>0</v>
      </c>
      <c r="G1978">
        <v>0</v>
      </c>
    </row>
    <row r="1979" spans="1:7" x14ac:dyDescent="0.2">
      <c r="A1979" t="s">
        <v>4342</v>
      </c>
      <c r="B1979">
        <v>0</v>
      </c>
      <c r="C1979">
        <v>0</v>
      </c>
      <c r="D1979">
        <v>0</v>
      </c>
      <c r="E1979">
        <v>0</v>
      </c>
      <c r="F1979">
        <v>0</v>
      </c>
      <c r="G1979">
        <v>0</v>
      </c>
    </row>
    <row r="1980" spans="1:7" x14ac:dyDescent="0.2">
      <c r="A1980" t="s">
        <v>4343</v>
      </c>
      <c r="B1980">
        <v>0</v>
      </c>
      <c r="C1980">
        <v>0</v>
      </c>
      <c r="D1980">
        <v>0</v>
      </c>
      <c r="E1980">
        <v>0</v>
      </c>
      <c r="F1980">
        <v>0</v>
      </c>
      <c r="G1980">
        <v>0</v>
      </c>
    </row>
    <row r="1981" spans="1:7" x14ac:dyDescent="0.2">
      <c r="A1981" t="s">
        <v>1728</v>
      </c>
      <c r="B1981">
        <v>0</v>
      </c>
      <c r="C1981">
        <v>0</v>
      </c>
      <c r="D1981">
        <v>0</v>
      </c>
      <c r="E1981">
        <v>0</v>
      </c>
      <c r="F1981">
        <v>0</v>
      </c>
      <c r="G1981">
        <v>0</v>
      </c>
    </row>
    <row r="1982" spans="1:7" x14ac:dyDescent="0.2">
      <c r="A1982" t="s">
        <v>1730</v>
      </c>
      <c r="B1982">
        <v>0</v>
      </c>
      <c r="C1982">
        <v>2</v>
      </c>
      <c r="D1982">
        <v>33</v>
      </c>
      <c r="E1982">
        <v>20</v>
      </c>
      <c r="F1982">
        <v>210</v>
      </c>
      <c r="G1982">
        <v>266</v>
      </c>
    </row>
    <row r="1983" spans="1:7" x14ac:dyDescent="0.2">
      <c r="A1983" t="s">
        <v>1733</v>
      </c>
      <c r="B1983">
        <v>0</v>
      </c>
      <c r="C1983">
        <v>0</v>
      </c>
      <c r="D1983">
        <v>0</v>
      </c>
      <c r="E1983">
        <v>0</v>
      </c>
      <c r="F1983">
        <v>0</v>
      </c>
      <c r="G1983">
        <v>0</v>
      </c>
    </row>
    <row r="1984" spans="1:7" x14ac:dyDescent="0.2">
      <c r="A1984" t="s">
        <v>1738</v>
      </c>
      <c r="B1984">
        <v>0</v>
      </c>
      <c r="C1984">
        <v>0</v>
      </c>
      <c r="D1984">
        <v>0</v>
      </c>
      <c r="E1984">
        <v>0</v>
      </c>
      <c r="F1984">
        <v>0</v>
      </c>
      <c r="G1984">
        <v>0</v>
      </c>
    </row>
    <row r="1985" spans="1:7" x14ac:dyDescent="0.2">
      <c r="A1985" t="s">
        <v>1744</v>
      </c>
      <c r="B1985">
        <v>0</v>
      </c>
      <c r="C1985">
        <v>0</v>
      </c>
      <c r="D1985">
        <v>0</v>
      </c>
      <c r="E1985">
        <v>0</v>
      </c>
      <c r="F1985">
        <v>0</v>
      </c>
      <c r="G1985">
        <v>0</v>
      </c>
    </row>
    <row r="1986" spans="1:7" x14ac:dyDescent="0.2">
      <c r="A1986" t="s">
        <v>1747</v>
      </c>
      <c r="B1986">
        <v>0</v>
      </c>
      <c r="C1986">
        <v>0</v>
      </c>
      <c r="D1986">
        <v>0</v>
      </c>
      <c r="E1986">
        <v>0</v>
      </c>
      <c r="F1986">
        <v>0</v>
      </c>
      <c r="G1986">
        <v>0</v>
      </c>
    </row>
    <row r="1987" spans="1:7" x14ac:dyDescent="0.2">
      <c r="A1987" t="s">
        <v>1751</v>
      </c>
      <c r="B1987">
        <v>0</v>
      </c>
      <c r="C1987">
        <v>0</v>
      </c>
      <c r="D1987">
        <v>0</v>
      </c>
      <c r="E1987">
        <v>0</v>
      </c>
      <c r="F1987">
        <v>0</v>
      </c>
      <c r="G1987">
        <v>0</v>
      </c>
    </row>
    <row r="1988" spans="1:7" x14ac:dyDescent="0.2">
      <c r="A1988" t="s">
        <v>1755</v>
      </c>
      <c r="B1988">
        <v>0</v>
      </c>
      <c r="C1988">
        <v>0</v>
      </c>
      <c r="D1988">
        <v>3</v>
      </c>
      <c r="E1988">
        <v>25</v>
      </c>
      <c r="F1988">
        <v>12</v>
      </c>
      <c r="G1988">
        <v>39</v>
      </c>
    </row>
    <row r="1989" spans="1:7" x14ac:dyDescent="0.2">
      <c r="A1989" t="s">
        <v>1757</v>
      </c>
      <c r="B1989">
        <v>0</v>
      </c>
      <c r="C1989">
        <v>0</v>
      </c>
      <c r="D1989">
        <v>5</v>
      </c>
      <c r="E1989">
        <v>10</v>
      </c>
      <c r="F1989">
        <v>10</v>
      </c>
      <c r="G1989">
        <v>25</v>
      </c>
    </row>
    <row r="1990" spans="1:7" x14ac:dyDescent="0.2">
      <c r="A1990" t="s">
        <v>1761</v>
      </c>
      <c r="B1990">
        <v>0</v>
      </c>
      <c r="C1990">
        <v>0</v>
      </c>
      <c r="D1990">
        <v>0</v>
      </c>
      <c r="E1990">
        <v>0</v>
      </c>
      <c r="F1990">
        <v>0</v>
      </c>
      <c r="G1990">
        <v>0</v>
      </c>
    </row>
    <row r="1991" spans="1:7" x14ac:dyDescent="0.2">
      <c r="A1991" t="s">
        <v>1764</v>
      </c>
      <c r="B1991">
        <v>0</v>
      </c>
      <c r="C1991">
        <v>0</v>
      </c>
      <c r="D1991">
        <v>0</v>
      </c>
      <c r="E1991">
        <v>0</v>
      </c>
      <c r="F1991">
        <v>0</v>
      </c>
      <c r="G1991">
        <v>0</v>
      </c>
    </row>
    <row r="1992" spans="1:7" x14ac:dyDescent="0.2">
      <c r="A1992" t="s">
        <v>1770</v>
      </c>
      <c r="B1992">
        <v>1</v>
      </c>
      <c r="C1992">
        <v>75</v>
      </c>
      <c r="D1992">
        <v>486</v>
      </c>
      <c r="E1992">
        <v>3040</v>
      </c>
      <c r="F1992">
        <v>0</v>
      </c>
      <c r="G1992">
        <v>3603</v>
      </c>
    </row>
    <row r="1993" spans="1:7" x14ac:dyDescent="0.2">
      <c r="A1993" t="s">
        <v>1772</v>
      </c>
      <c r="B1993">
        <v>0</v>
      </c>
      <c r="C1993">
        <v>11</v>
      </c>
      <c r="D1993">
        <v>222</v>
      </c>
      <c r="E1993">
        <v>1311</v>
      </c>
      <c r="F1993">
        <v>0</v>
      </c>
      <c r="G1993">
        <v>1544</v>
      </c>
    </row>
    <row r="1994" spans="1:7" x14ac:dyDescent="0.2">
      <c r="A1994" t="s">
        <v>1774</v>
      </c>
      <c r="B1994">
        <v>0</v>
      </c>
      <c r="C1994">
        <v>7</v>
      </c>
      <c r="D1994">
        <v>12</v>
      </c>
      <c r="E1994">
        <v>259</v>
      </c>
      <c r="F1994">
        <v>0</v>
      </c>
      <c r="G1994">
        <v>278</v>
      </c>
    </row>
    <row r="1995" spans="1:7" x14ac:dyDescent="0.2">
      <c r="A1995" t="s">
        <v>1777</v>
      </c>
      <c r="B1995">
        <v>0</v>
      </c>
      <c r="C1995">
        <v>0</v>
      </c>
      <c r="D1995">
        <v>0</v>
      </c>
      <c r="E1995">
        <v>0</v>
      </c>
      <c r="F1995">
        <v>0</v>
      </c>
      <c r="G1995">
        <v>0</v>
      </c>
    </row>
    <row r="1996" spans="1:7" x14ac:dyDescent="0.2">
      <c r="A1996" t="s">
        <v>1782</v>
      </c>
      <c r="B1996">
        <v>0</v>
      </c>
      <c r="C1996">
        <v>0</v>
      </c>
      <c r="D1996">
        <v>0</v>
      </c>
      <c r="E1996">
        <v>0</v>
      </c>
      <c r="F1996">
        <v>0</v>
      </c>
      <c r="G1996">
        <v>0</v>
      </c>
    </row>
    <row r="1997" spans="1:7" x14ac:dyDescent="0.2">
      <c r="A1997" t="s">
        <v>1274</v>
      </c>
      <c r="B1997">
        <v>0</v>
      </c>
      <c r="C1997">
        <v>0</v>
      </c>
      <c r="D1997">
        <v>0</v>
      </c>
      <c r="E1997">
        <v>1</v>
      </c>
      <c r="F1997">
        <v>0</v>
      </c>
      <c r="G1997">
        <v>1</v>
      </c>
    </row>
    <row r="1998" spans="1:7" x14ac:dyDescent="0.2">
      <c r="A1998" t="s">
        <v>1277</v>
      </c>
      <c r="B1998">
        <v>0</v>
      </c>
      <c r="C1998">
        <v>0</v>
      </c>
      <c r="D1998">
        <v>0</v>
      </c>
      <c r="E1998">
        <v>7</v>
      </c>
      <c r="F1998">
        <v>0</v>
      </c>
      <c r="G1998">
        <v>7</v>
      </c>
    </row>
    <row r="1999" spans="1:7" x14ac:dyDescent="0.2">
      <c r="A1999" t="s">
        <v>1798</v>
      </c>
      <c r="B1999">
        <v>0</v>
      </c>
      <c r="C1999">
        <v>0</v>
      </c>
      <c r="D1999">
        <v>0</v>
      </c>
      <c r="E1999">
        <v>0</v>
      </c>
      <c r="F1999">
        <v>0</v>
      </c>
      <c r="G1999">
        <v>0</v>
      </c>
    </row>
    <row r="2000" spans="1:7" x14ac:dyDescent="0.2">
      <c r="A2000" t="s">
        <v>1803</v>
      </c>
      <c r="B2000">
        <v>0</v>
      </c>
      <c r="C2000">
        <v>0</v>
      </c>
      <c r="D2000">
        <v>0</v>
      </c>
      <c r="E2000">
        <v>0</v>
      </c>
      <c r="F2000">
        <v>0</v>
      </c>
      <c r="G2000">
        <v>0</v>
      </c>
    </row>
    <row r="2001" spans="1:7" x14ac:dyDescent="0.2">
      <c r="A2001" t="s">
        <v>1808</v>
      </c>
      <c r="B2001">
        <v>0</v>
      </c>
      <c r="C2001">
        <v>0</v>
      </c>
      <c r="D2001">
        <v>0</v>
      </c>
      <c r="E2001">
        <v>0</v>
      </c>
      <c r="F2001">
        <v>0</v>
      </c>
      <c r="G2001">
        <v>0</v>
      </c>
    </row>
    <row r="2002" spans="1:7" x14ac:dyDescent="0.2">
      <c r="A2002" t="s">
        <v>1813</v>
      </c>
      <c r="B2002">
        <v>0</v>
      </c>
      <c r="C2002">
        <v>0</v>
      </c>
      <c r="D2002">
        <v>0</v>
      </c>
      <c r="E2002">
        <v>0</v>
      </c>
      <c r="F2002">
        <v>0</v>
      </c>
      <c r="G2002">
        <v>0</v>
      </c>
    </row>
    <row r="2003" spans="1:7" x14ac:dyDescent="0.2">
      <c r="A2003" t="s">
        <v>1819</v>
      </c>
      <c r="B2003">
        <v>0</v>
      </c>
      <c r="C2003">
        <v>0</v>
      </c>
      <c r="D2003">
        <v>0</v>
      </c>
      <c r="E2003">
        <v>1</v>
      </c>
      <c r="F2003">
        <v>0</v>
      </c>
      <c r="G2003">
        <v>1</v>
      </c>
    </row>
    <row r="2004" spans="1:7" x14ac:dyDescent="0.2">
      <c r="A2004" t="s">
        <v>1826</v>
      </c>
      <c r="B2004">
        <v>0</v>
      </c>
      <c r="C2004">
        <v>0</v>
      </c>
      <c r="D2004">
        <v>0</v>
      </c>
      <c r="E2004">
        <v>0</v>
      </c>
      <c r="F2004">
        <v>0</v>
      </c>
      <c r="G2004">
        <v>0</v>
      </c>
    </row>
    <row r="2005" spans="1:7" x14ac:dyDescent="0.2">
      <c r="A2005" t="s">
        <v>1830</v>
      </c>
      <c r="B2005">
        <v>0</v>
      </c>
      <c r="C2005">
        <v>0</v>
      </c>
      <c r="D2005">
        <v>0</v>
      </c>
      <c r="E2005">
        <v>0</v>
      </c>
      <c r="F2005">
        <v>0</v>
      </c>
      <c r="G2005">
        <v>0</v>
      </c>
    </row>
    <row r="2006" spans="1:7" x14ac:dyDescent="0.2">
      <c r="A2006" t="s">
        <v>1836</v>
      </c>
      <c r="B2006">
        <v>0</v>
      </c>
      <c r="C2006">
        <v>0</v>
      </c>
      <c r="D2006">
        <v>0</v>
      </c>
      <c r="E2006">
        <v>0</v>
      </c>
      <c r="F2006">
        <v>0</v>
      </c>
      <c r="G2006">
        <v>0</v>
      </c>
    </row>
    <row r="2007" spans="1:7" x14ac:dyDescent="0.2">
      <c r="A2007" t="s">
        <v>1841</v>
      </c>
      <c r="B2007">
        <v>0</v>
      </c>
      <c r="C2007">
        <v>0</v>
      </c>
      <c r="D2007">
        <v>0</v>
      </c>
      <c r="E2007">
        <v>0</v>
      </c>
      <c r="F2007">
        <v>0</v>
      </c>
      <c r="G2007">
        <v>0</v>
      </c>
    </row>
    <row r="2008" spans="1:7" x14ac:dyDescent="0.2">
      <c r="A2008" t="s">
        <v>1842</v>
      </c>
      <c r="B2008">
        <v>0</v>
      </c>
      <c r="C2008">
        <v>209</v>
      </c>
      <c r="D2008">
        <v>658</v>
      </c>
      <c r="E2008">
        <v>2013</v>
      </c>
      <c r="F2008">
        <v>0</v>
      </c>
      <c r="G2008">
        <v>2880</v>
      </c>
    </row>
    <row r="2009" spans="1:7" x14ac:dyDescent="0.2">
      <c r="A2009" t="s">
        <v>1843</v>
      </c>
      <c r="B2009">
        <v>0</v>
      </c>
      <c r="C2009">
        <v>0</v>
      </c>
      <c r="D2009">
        <v>0</v>
      </c>
      <c r="E2009">
        <v>0</v>
      </c>
      <c r="F2009">
        <v>0</v>
      </c>
      <c r="G2009">
        <v>0</v>
      </c>
    </row>
    <row r="2010" spans="1:7" x14ac:dyDescent="0.2">
      <c r="A2010" t="s">
        <v>1846</v>
      </c>
      <c r="B2010">
        <v>0</v>
      </c>
      <c r="C2010">
        <v>0</v>
      </c>
      <c r="D2010">
        <v>0</v>
      </c>
      <c r="E2010">
        <v>0</v>
      </c>
      <c r="F2010">
        <v>0</v>
      </c>
      <c r="G2010">
        <v>0</v>
      </c>
    </row>
    <row r="2011" spans="1:7" x14ac:dyDescent="0.2">
      <c r="A2011" t="s">
        <v>1851</v>
      </c>
      <c r="B2011">
        <v>0</v>
      </c>
      <c r="C2011">
        <v>0</v>
      </c>
      <c r="D2011">
        <v>0</v>
      </c>
      <c r="E2011">
        <v>37</v>
      </c>
      <c r="F2011">
        <v>4</v>
      </c>
      <c r="G2011">
        <v>41</v>
      </c>
    </row>
    <row r="2012" spans="1:7" x14ac:dyDescent="0.2">
      <c r="A2012" t="s">
        <v>1857</v>
      </c>
      <c r="B2012">
        <v>0</v>
      </c>
      <c r="C2012">
        <v>0</v>
      </c>
      <c r="D2012">
        <v>0</v>
      </c>
      <c r="E2012">
        <v>0</v>
      </c>
      <c r="F2012">
        <v>0</v>
      </c>
      <c r="G2012">
        <v>0</v>
      </c>
    </row>
    <row r="2013" spans="1:7" x14ac:dyDescent="0.2">
      <c r="A2013" t="s">
        <v>1862</v>
      </c>
      <c r="B2013">
        <v>0</v>
      </c>
      <c r="C2013">
        <v>0</v>
      </c>
      <c r="D2013">
        <v>0</v>
      </c>
      <c r="E2013">
        <v>0</v>
      </c>
      <c r="F2013">
        <v>0</v>
      </c>
      <c r="G2013">
        <v>0</v>
      </c>
    </row>
    <row r="2014" spans="1:7" x14ac:dyDescent="0.2">
      <c r="A2014" t="s">
        <v>1867</v>
      </c>
      <c r="B2014">
        <v>0</v>
      </c>
      <c r="C2014">
        <v>0</v>
      </c>
      <c r="D2014">
        <v>0</v>
      </c>
      <c r="E2014">
        <v>0</v>
      </c>
      <c r="F2014">
        <v>0</v>
      </c>
      <c r="G2014">
        <v>0</v>
      </c>
    </row>
    <row r="2015" spans="1:7" x14ac:dyDescent="0.2">
      <c r="A2015" t="s">
        <v>1870</v>
      </c>
      <c r="B2015">
        <v>0</v>
      </c>
      <c r="C2015">
        <v>0</v>
      </c>
      <c r="D2015">
        <v>0</v>
      </c>
      <c r="E2015">
        <v>0</v>
      </c>
      <c r="F2015">
        <v>0</v>
      </c>
      <c r="G2015">
        <v>0</v>
      </c>
    </row>
    <row r="2016" spans="1:7" x14ac:dyDescent="0.2">
      <c r="A2016" t="s">
        <v>1874</v>
      </c>
      <c r="B2016">
        <v>0</v>
      </c>
      <c r="C2016">
        <v>0</v>
      </c>
      <c r="D2016">
        <v>67</v>
      </c>
      <c r="E2016">
        <v>0</v>
      </c>
      <c r="F2016">
        <v>0</v>
      </c>
      <c r="G2016">
        <v>67</v>
      </c>
    </row>
    <row r="2017" spans="1:7" x14ac:dyDescent="0.2">
      <c r="A2017" t="s">
        <v>1876</v>
      </c>
      <c r="B2017">
        <v>0</v>
      </c>
      <c r="C2017">
        <v>0</v>
      </c>
      <c r="D2017">
        <v>0</v>
      </c>
      <c r="E2017">
        <v>0</v>
      </c>
      <c r="F2017">
        <v>0</v>
      </c>
      <c r="G2017">
        <v>0</v>
      </c>
    </row>
    <row r="2018" spans="1:7" x14ac:dyDescent="0.2">
      <c r="A2018" t="s">
        <v>1881</v>
      </c>
      <c r="B2018">
        <v>0</v>
      </c>
      <c r="C2018">
        <v>0</v>
      </c>
      <c r="D2018">
        <v>0</v>
      </c>
      <c r="E2018">
        <v>0</v>
      </c>
      <c r="F2018">
        <v>0</v>
      </c>
      <c r="G2018">
        <v>0</v>
      </c>
    </row>
    <row r="2019" spans="1:7" x14ac:dyDescent="0.2">
      <c r="A2019" t="s">
        <v>1885</v>
      </c>
      <c r="B2019">
        <v>81</v>
      </c>
      <c r="C2019">
        <v>81</v>
      </c>
      <c r="D2019">
        <v>425</v>
      </c>
      <c r="E2019">
        <v>1263</v>
      </c>
      <c r="F2019">
        <v>86</v>
      </c>
      <c r="G2019">
        <v>1936</v>
      </c>
    </row>
    <row r="2020" spans="1:7" x14ac:dyDescent="0.2">
      <c r="A2020" t="s">
        <v>1887</v>
      </c>
      <c r="B2020">
        <v>0</v>
      </c>
      <c r="C2020">
        <v>0</v>
      </c>
      <c r="D2020">
        <v>0</v>
      </c>
      <c r="E2020">
        <v>4</v>
      </c>
      <c r="F2020">
        <v>19</v>
      </c>
      <c r="G2020">
        <v>23</v>
      </c>
    </row>
    <row r="2021" spans="1:7" x14ac:dyDescent="0.2">
      <c r="A2021" t="s">
        <v>1893</v>
      </c>
      <c r="B2021">
        <v>0</v>
      </c>
      <c r="C2021">
        <v>0</v>
      </c>
      <c r="D2021">
        <v>0</v>
      </c>
      <c r="E2021">
        <v>225</v>
      </c>
      <c r="F2021">
        <v>37</v>
      </c>
      <c r="G2021">
        <v>261</v>
      </c>
    </row>
    <row r="2022" spans="1:7" x14ac:dyDescent="0.2">
      <c r="A2022" t="s">
        <v>1899</v>
      </c>
      <c r="B2022">
        <v>0</v>
      </c>
      <c r="C2022">
        <v>0</v>
      </c>
      <c r="D2022">
        <v>0</v>
      </c>
      <c r="E2022">
        <v>0</v>
      </c>
      <c r="F2022">
        <v>0</v>
      </c>
      <c r="G2022">
        <v>0</v>
      </c>
    </row>
    <row r="2023" spans="1:7" x14ac:dyDescent="0.2">
      <c r="A2023" t="s">
        <v>1906</v>
      </c>
      <c r="B2023">
        <v>0</v>
      </c>
      <c r="C2023">
        <v>0</v>
      </c>
      <c r="D2023">
        <v>0</v>
      </c>
      <c r="E2023">
        <v>0</v>
      </c>
      <c r="F2023">
        <v>0</v>
      </c>
      <c r="G2023">
        <v>0</v>
      </c>
    </row>
    <row r="2024" spans="1:7" x14ac:dyDescent="0.2">
      <c r="A2024" t="s">
        <v>1911</v>
      </c>
      <c r="B2024">
        <v>0</v>
      </c>
      <c r="C2024">
        <v>0</v>
      </c>
      <c r="D2024">
        <v>0</v>
      </c>
      <c r="E2024">
        <v>0</v>
      </c>
      <c r="F2024">
        <v>0</v>
      </c>
      <c r="G2024">
        <v>0</v>
      </c>
    </row>
    <row r="2025" spans="1:7" x14ac:dyDescent="0.2">
      <c r="A2025" t="s">
        <v>1917</v>
      </c>
      <c r="B2025">
        <v>0</v>
      </c>
      <c r="C2025">
        <v>0</v>
      </c>
      <c r="D2025">
        <v>0</v>
      </c>
      <c r="E2025">
        <v>177</v>
      </c>
      <c r="F2025">
        <v>77</v>
      </c>
      <c r="G2025">
        <v>254</v>
      </c>
    </row>
    <row r="2026" spans="1:7" x14ac:dyDescent="0.2">
      <c r="A2026" t="s">
        <v>1922</v>
      </c>
      <c r="B2026">
        <v>0</v>
      </c>
      <c r="C2026">
        <v>0</v>
      </c>
      <c r="D2026">
        <v>0</v>
      </c>
      <c r="E2026">
        <v>158</v>
      </c>
      <c r="F2026">
        <v>2</v>
      </c>
      <c r="G2026">
        <v>160</v>
      </c>
    </row>
    <row r="2027" spans="1:7" x14ac:dyDescent="0.2">
      <c r="A2027" t="s">
        <v>1928</v>
      </c>
      <c r="B2027">
        <v>0</v>
      </c>
      <c r="C2027">
        <v>0</v>
      </c>
      <c r="D2027">
        <v>0</v>
      </c>
      <c r="E2027">
        <v>0</v>
      </c>
      <c r="F2027">
        <v>0</v>
      </c>
      <c r="G2027">
        <v>0</v>
      </c>
    </row>
    <row r="2028" spans="1:7" x14ac:dyDescent="0.2">
      <c r="A2028" t="s">
        <v>1932</v>
      </c>
      <c r="B2028">
        <v>0</v>
      </c>
      <c r="C2028">
        <v>0</v>
      </c>
      <c r="D2028">
        <v>0</v>
      </c>
      <c r="E2028">
        <v>0</v>
      </c>
      <c r="F2028">
        <v>0</v>
      </c>
      <c r="G2028">
        <v>0</v>
      </c>
    </row>
    <row r="2029" spans="1:7" x14ac:dyDescent="0.2">
      <c r="A2029" t="s">
        <v>1938</v>
      </c>
      <c r="B2029">
        <v>0</v>
      </c>
      <c r="C2029">
        <v>0</v>
      </c>
      <c r="D2029">
        <v>0</v>
      </c>
      <c r="E2029">
        <v>0</v>
      </c>
      <c r="F2029">
        <v>0</v>
      </c>
      <c r="G2029">
        <v>0</v>
      </c>
    </row>
    <row r="2030" spans="1:7" x14ac:dyDescent="0.2">
      <c r="A2030" t="s">
        <v>1944</v>
      </c>
      <c r="B2030">
        <v>0</v>
      </c>
      <c r="C2030">
        <v>2</v>
      </c>
      <c r="D2030">
        <v>40</v>
      </c>
      <c r="E2030">
        <v>74</v>
      </c>
      <c r="F2030">
        <v>2</v>
      </c>
      <c r="G2030">
        <v>118</v>
      </c>
    </row>
    <row r="2031" spans="1:7" x14ac:dyDescent="0.2">
      <c r="A2031" t="s">
        <v>1947</v>
      </c>
      <c r="B2031">
        <v>0</v>
      </c>
      <c r="C2031">
        <v>0</v>
      </c>
      <c r="D2031">
        <v>0</v>
      </c>
      <c r="E2031">
        <v>0</v>
      </c>
      <c r="F2031">
        <v>2</v>
      </c>
      <c r="G2031">
        <v>2</v>
      </c>
    </row>
    <row r="2032" spans="1:7" x14ac:dyDescent="0.2">
      <c r="A2032" t="s">
        <v>1953</v>
      </c>
      <c r="B2032">
        <v>0</v>
      </c>
      <c r="C2032">
        <v>0</v>
      </c>
      <c r="D2032">
        <v>0</v>
      </c>
      <c r="E2032">
        <v>2</v>
      </c>
      <c r="F2032">
        <v>5</v>
      </c>
      <c r="G2032">
        <v>7</v>
      </c>
    </row>
    <row r="2033" spans="1:7" x14ac:dyDescent="0.2">
      <c r="A2033" t="s">
        <v>1958</v>
      </c>
      <c r="B2033">
        <v>0</v>
      </c>
      <c r="C2033">
        <v>0</v>
      </c>
      <c r="D2033">
        <v>0</v>
      </c>
      <c r="E2033">
        <v>0</v>
      </c>
      <c r="F2033">
        <v>0</v>
      </c>
      <c r="G2033">
        <v>0</v>
      </c>
    </row>
    <row r="2034" spans="1:7" x14ac:dyDescent="0.2">
      <c r="A2034" t="s">
        <v>1964</v>
      </c>
      <c r="B2034">
        <v>0</v>
      </c>
      <c r="C2034">
        <v>0</v>
      </c>
      <c r="D2034">
        <v>0</v>
      </c>
      <c r="E2034">
        <v>0</v>
      </c>
      <c r="F2034">
        <v>0</v>
      </c>
      <c r="G2034">
        <v>0</v>
      </c>
    </row>
    <row r="2035" spans="1:7" x14ac:dyDescent="0.2">
      <c r="A2035" t="s">
        <v>1973</v>
      </c>
      <c r="B2035">
        <v>0</v>
      </c>
      <c r="C2035">
        <v>0</v>
      </c>
      <c r="D2035">
        <v>0</v>
      </c>
      <c r="E2035">
        <v>0</v>
      </c>
      <c r="F2035">
        <v>0</v>
      </c>
      <c r="G2035">
        <v>0</v>
      </c>
    </row>
    <row r="2036" spans="1:7" x14ac:dyDescent="0.2">
      <c r="A2036" t="s">
        <v>1978</v>
      </c>
      <c r="B2036">
        <v>0</v>
      </c>
      <c r="C2036">
        <v>0</v>
      </c>
      <c r="D2036">
        <v>0</v>
      </c>
      <c r="E2036">
        <v>0</v>
      </c>
      <c r="F2036">
        <v>0</v>
      </c>
      <c r="G2036">
        <v>0</v>
      </c>
    </row>
    <row r="2037" spans="1:7" x14ac:dyDescent="0.2">
      <c r="A2037" t="s">
        <v>1983</v>
      </c>
      <c r="B2037">
        <v>0</v>
      </c>
      <c r="C2037">
        <v>1</v>
      </c>
      <c r="D2037">
        <v>0</v>
      </c>
      <c r="E2037">
        <v>0</v>
      </c>
      <c r="F2037">
        <v>5</v>
      </c>
      <c r="G2037">
        <v>6</v>
      </c>
    </row>
    <row r="2038" spans="1:7" x14ac:dyDescent="0.2">
      <c r="A2038" t="s">
        <v>1984</v>
      </c>
      <c r="B2038">
        <v>0</v>
      </c>
      <c r="C2038">
        <v>0</v>
      </c>
      <c r="D2038">
        <v>0</v>
      </c>
      <c r="E2038">
        <v>0</v>
      </c>
      <c r="F2038">
        <v>0</v>
      </c>
      <c r="G2038">
        <v>0</v>
      </c>
    </row>
    <row r="2039" spans="1:7" x14ac:dyDescent="0.2">
      <c r="A2039" t="s">
        <v>1990</v>
      </c>
      <c r="B2039">
        <v>0</v>
      </c>
      <c r="C2039">
        <v>0</v>
      </c>
      <c r="D2039">
        <v>0</v>
      </c>
      <c r="E2039">
        <v>0</v>
      </c>
      <c r="F2039">
        <v>2</v>
      </c>
      <c r="G2039">
        <v>2</v>
      </c>
    </row>
    <row r="2040" spans="1:7" x14ac:dyDescent="0.2">
      <c r="A2040" t="s">
        <v>1996</v>
      </c>
      <c r="B2040">
        <v>0</v>
      </c>
      <c r="C2040">
        <v>0</v>
      </c>
      <c r="D2040">
        <v>0</v>
      </c>
      <c r="E2040">
        <v>0</v>
      </c>
      <c r="F2040">
        <v>0</v>
      </c>
      <c r="G2040">
        <v>0</v>
      </c>
    </row>
    <row r="2041" spans="1:7" x14ac:dyDescent="0.2">
      <c r="A2041" t="s">
        <v>1998</v>
      </c>
      <c r="B2041">
        <v>0</v>
      </c>
      <c r="C2041">
        <v>0</v>
      </c>
      <c r="D2041">
        <v>0</v>
      </c>
      <c r="E2041">
        <v>0</v>
      </c>
      <c r="F2041">
        <v>0</v>
      </c>
      <c r="G2041">
        <v>0</v>
      </c>
    </row>
    <row r="2042" spans="1:7" x14ac:dyDescent="0.2">
      <c r="A2042" t="s">
        <v>1999</v>
      </c>
      <c r="B2042">
        <v>0</v>
      </c>
      <c r="C2042">
        <v>0</v>
      </c>
      <c r="D2042">
        <v>0</v>
      </c>
      <c r="E2042">
        <v>0</v>
      </c>
      <c r="F2042">
        <v>0</v>
      </c>
      <c r="G2042">
        <v>0</v>
      </c>
    </row>
    <row r="2043" spans="1:7" x14ac:dyDescent="0.2">
      <c r="A2043" t="s">
        <v>2004</v>
      </c>
      <c r="B2043">
        <v>0</v>
      </c>
      <c r="C2043">
        <v>0</v>
      </c>
      <c r="D2043">
        <v>0</v>
      </c>
      <c r="E2043">
        <v>0</v>
      </c>
      <c r="F2043">
        <v>0</v>
      </c>
      <c r="G2043">
        <v>0</v>
      </c>
    </row>
    <row r="2044" spans="1:7" x14ac:dyDescent="0.2">
      <c r="A2044" t="s">
        <v>2009</v>
      </c>
      <c r="B2044">
        <v>0</v>
      </c>
      <c r="C2044">
        <v>0</v>
      </c>
      <c r="D2044">
        <v>0</v>
      </c>
      <c r="E2044">
        <v>0</v>
      </c>
      <c r="F2044">
        <v>0</v>
      </c>
      <c r="G2044">
        <v>0</v>
      </c>
    </row>
    <row r="2045" spans="1:7" x14ac:dyDescent="0.2">
      <c r="A2045" t="s">
        <v>2014</v>
      </c>
      <c r="B2045">
        <v>0</v>
      </c>
      <c r="C2045">
        <v>0</v>
      </c>
      <c r="D2045">
        <v>0</v>
      </c>
      <c r="E2045">
        <v>0</v>
      </c>
      <c r="F2045">
        <v>0</v>
      </c>
      <c r="G2045">
        <v>0</v>
      </c>
    </row>
    <row r="2046" spans="1:7" x14ac:dyDescent="0.2">
      <c r="A2046" t="s">
        <v>2019</v>
      </c>
      <c r="B2046">
        <v>0</v>
      </c>
      <c r="C2046">
        <v>0</v>
      </c>
      <c r="D2046">
        <v>0</v>
      </c>
      <c r="E2046">
        <v>0</v>
      </c>
      <c r="F2046">
        <v>0</v>
      </c>
      <c r="G2046">
        <v>0</v>
      </c>
    </row>
    <row r="2047" spans="1:7" x14ac:dyDescent="0.2">
      <c r="A2047" t="s">
        <v>2023</v>
      </c>
      <c r="B2047">
        <v>0</v>
      </c>
      <c r="C2047">
        <v>0</v>
      </c>
      <c r="D2047">
        <v>0</v>
      </c>
      <c r="E2047">
        <v>0</v>
      </c>
      <c r="F2047">
        <v>0</v>
      </c>
      <c r="G2047">
        <v>0</v>
      </c>
    </row>
    <row r="2048" spans="1:7" x14ac:dyDescent="0.2">
      <c r="A2048" t="s">
        <v>2026</v>
      </c>
      <c r="B2048">
        <v>0</v>
      </c>
      <c r="C2048">
        <v>0</v>
      </c>
      <c r="D2048">
        <v>0</v>
      </c>
      <c r="E2048">
        <v>0</v>
      </c>
      <c r="F2048">
        <v>0</v>
      </c>
      <c r="G2048">
        <v>0</v>
      </c>
    </row>
    <row r="2049" spans="1:7" x14ac:dyDescent="0.2">
      <c r="A2049" t="s">
        <v>2030</v>
      </c>
      <c r="B2049">
        <v>0</v>
      </c>
      <c r="C2049">
        <v>0</v>
      </c>
      <c r="D2049">
        <v>0</v>
      </c>
      <c r="E2049">
        <v>0</v>
      </c>
      <c r="F2049">
        <v>0</v>
      </c>
      <c r="G2049">
        <v>0</v>
      </c>
    </row>
    <row r="2050" spans="1:7" x14ac:dyDescent="0.2">
      <c r="A2050" t="s">
        <v>2035</v>
      </c>
      <c r="B2050">
        <v>0</v>
      </c>
      <c r="C2050">
        <v>0</v>
      </c>
      <c r="D2050">
        <v>0</v>
      </c>
      <c r="E2050">
        <v>0</v>
      </c>
      <c r="F2050">
        <v>0</v>
      </c>
      <c r="G2050">
        <v>0</v>
      </c>
    </row>
    <row r="2051" spans="1:7" x14ac:dyDescent="0.2">
      <c r="A2051" t="s">
        <v>2040</v>
      </c>
      <c r="B2051">
        <v>0</v>
      </c>
      <c r="C2051">
        <v>0</v>
      </c>
      <c r="D2051">
        <v>0</v>
      </c>
      <c r="E2051">
        <v>0</v>
      </c>
      <c r="F2051">
        <v>0</v>
      </c>
      <c r="G2051">
        <v>0</v>
      </c>
    </row>
    <row r="2052" spans="1:7" x14ac:dyDescent="0.2">
      <c r="A2052" t="s">
        <v>2045</v>
      </c>
      <c r="B2052">
        <v>0</v>
      </c>
      <c r="C2052">
        <v>0</v>
      </c>
      <c r="D2052">
        <v>0</v>
      </c>
      <c r="E2052">
        <v>0</v>
      </c>
      <c r="F2052">
        <v>0</v>
      </c>
      <c r="G2052">
        <v>0</v>
      </c>
    </row>
    <row r="2053" spans="1:7" x14ac:dyDescent="0.2">
      <c r="A2053" t="s">
        <v>2049</v>
      </c>
      <c r="B2053">
        <v>0</v>
      </c>
      <c r="C2053">
        <v>0</v>
      </c>
      <c r="D2053">
        <v>449</v>
      </c>
      <c r="E2053">
        <v>3168</v>
      </c>
      <c r="F2053">
        <v>492</v>
      </c>
      <c r="G2053">
        <v>4108</v>
      </c>
    </row>
    <row r="2054" spans="1:7" x14ac:dyDescent="0.2">
      <c r="A2054" t="s">
        <v>2051</v>
      </c>
      <c r="B2054">
        <v>0</v>
      </c>
      <c r="C2054">
        <v>0</v>
      </c>
      <c r="D2054">
        <v>0</v>
      </c>
      <c r="E2054">
        <v>0</v>
      </c>
      <c r="F2054">
        <v>533</v>
      </c>
      <c r="G2054">
        <v>533</v>
      </c>
    </row>
    <row r="2055" spans="1:7" x14ac:dyDescent="0.2">
      <c r="A2055" t="s">
        <v>2057</v>
      </c>
      <c r="B2055">
        <v>0</v>
      </c>
      <c r="C2055">
        <v>0</v>
      </c>
      <c r="D2055">
        <v>7</v>
      </c>
      <c r="E2055">
        <v>34</v>
      </c>
      <c r="F2055">
        <v>883</v>
      </c>
      <c r="G2055">
        <v>924</v>
      </c>
    </row>
    <row r="2056" spans="1:7" x14ac:dyDescent="0.2">
      <c r="A2056" t="s">
        <v>4344</v>
      </c>
      <c r="B2056">
        <v>0</v>
      </c>
      <c r="C2056">
        <v>0</v>
      </c>
      <c r="D2056">
        <v>0</v>
      </c>
      <c r="E2056">
        <v>973</v>
      </c>
      <c r="F2056">
        <v>13</v>
      </c>
      <c r="G2056">
        <v>986</v>
      </c>
    </row>
    <row r="2057" spans="1:7" x14ac:dyDescent="0.2">
      <c r="A2057" t="s">
        <v>4345</v>
      </c>
      <c r="B2057">
        <v>0</v>
      </c>
      <c r="C2057">
        <v>0</v>
      </c>
      <c r="D2057">
        <v>0</v>
      </c>
      <c r="E2057">
        <v>3796</v>
      </c>
      <c r="F2057">
        <v>355</v>
      </c>
      <c r="G2057">
        <v>4150</v>
      </c>
    </row>
    <row r="2058" spans="1:7" x14ac:dyDescent="0.2">
      <c r="A2058" t="s">
        <v>2074</v>
      </c>
      <c r="B2058">
        <v>0</v>
      </c>
      <c r="C2058">
        <v>0</v>
      </c>
      <c r="D2058">
        <v>0</v>
      </c>
      <c r="E2058">
        <v>1068</v>
      </c>
      <c r="F2058">
        <v>0</v>
      </c>
      <c r="G2058">
        <v>1068</v>
      </c>
    </row>
    <row r="2059" spans="1:7" x14ac:dyDescent="0.2">
      <c r="A2059" t="s">
        <v>2079</v>
      </c>
      <c r="B2059">
        <v>0</v>
      </c>
      <c r="C2059">
        <v>0</v>
      </c>
      <c r="D2059">
        <v>0</v>
      </c>
      <c r="E2059">
        <v>3001</v>
      </c>
      <c r="F2059">
        <v>314</v>
      </c>
      <c r="G2059">
        <v>3315</v>
      </c>
    </row>
    <row r="2060" spans="1:7" x14ac:dyDescent="0.2">
      <c r="A2060" t="s">
        <v>2085</v>
      </c>
      <c r="B2060">
        <v>0</v>
      </c>
      <c r="C2060">
        <v>0</v>
      </c>
      <c r="D2060">
        <v>0</v>
      </c>
      <c r="E2060">
        <v>0</v>
      </c>
      <c r="F2060">
        <v>1</v>
      </c>
      <c r="G2060">
        <v>1</v>
      </c>
    </row>
    <row r="2061" spans="1:7" x14ac:dyDescent="0.2">
      <c r="A2061" t="s">
        <v>2091</v>
      </c>
      <c r="B2061">
        <v>0</v>
      </c>
      <c r="C2061">
        <v>0</v>
      </c>
      <c r="D2061">
        <v>0</v>
      </c>
      <c r="E2061">
        <v>682</v>
      </c>
      <c r="F2061">
        <v>326</v>
      </c>
      <c r="G2061">
        <v>1008</v>
      </c>
    </row>
    <row r="2062" spans="1:7" x14ac:dyDescent="0.2">
      <c r="A2062" t="s">
        <v>2097</v>
      </c>
      <c r="B2062">
        <v>0</v>
      </c>
      <c r="C2062">
        <v>0</v>
      </c>
      <c r="D2062">
        <v>0</v>
      </c>
      <c r="E2062">
        <v>0</v>
      </c>
      <c r="F2062">
        <v>1224</v>
      </c>
      <c r="G2062">
        <v>1224</v>
      </c>
    </row>
    <row r="2063" spans="1:7" x14ac:dyDescent="0.2">
      <c r="A2063" t="s">
        <v>2101</v>
      </c>
      <c r="B2063">
        <v>0</v>
      </c>
      <c r="C2063">
        <v>0</v>
      </c>
      <c r="D2063">
        <v>0</v>
      </c>
      <c r="E2063">
        <v>0</v>
      </c>
      <c r="F2063">
        <v>1011</v>
      </c>
      <c r="G2063">
        <v>1011</v>
      </c>
    </row>
    <row r="2064" spans="1:7" x14ac:dyDescent="0.2">
      <c r="A2064" t="s">
        <v>2104</v>
      </c>
      <c r="B2064">
        <v>0</v>
      </c>
      <c r="C2064">
        <v>0</v>
      </c>
      <c r="D2064">
        <v>0</v>
      </c>
      <c r="E2064">
        <v>0</v>
      </c>
      <c r="F2064">
        <v>0</v>
      </c>
      <c r="G2064">
        <v>0</v>
      </c>
    </row>
    <row r="2065" spans="1:7" x14ac:dyDescent="0.2">
      <c r="A2065" t="s">
        <v>2107</v>
      </c>
      <c r="B2065">
        <v>0</v>
      </c>
      <c r="C2065">
        <v>0</v>
      </c>
      <c r="D2065">
        <v>0</v>
      </c>
      <c r="E2065">
        <v>0</v>
      </c>
      <c r="F2065">
        <v>1683</v>
      </c>
      <c r="G2065">
        <v>1683</v>
      </c>
    </row>
    <row r="2066" spans="1:7" x14ac:dyDescent="0.2">
      <c r="A2066" t="s">
        <v>2110</v>
      </c>
      <c r="B2066">
        <v>0</v>
      </c>
      <c r="C2066">
        <v>0</v>
      </c>
      <c r="D2066">
        <v>0</v>
      </c>
      <c r="E2066">
        <v>0</v>
      </c>
      <c r="F2066">
        <v>0</v>
      </c>
      <c r="G2066">
        <v>0</v>
      </c>
    </row>
    <row r="2067" spans="1:7" x14ac:dyDescent="0.2">
      <c r="A2067" t="s">
        <v>2113</v>
      </c>
      <c r="B2067">
        <v>0</v>
      </c>
      <c r="C2067">
        <v>0</v>
      </c>
      <c r="D2067">
        <v>0</v>
      </c>
      <c r="E2067">
        <v>0</v>
      </c>
      <c r="F2067">
        <v>0</v>
      </c>
      <c r="G2067">
        <v>0</v>
      </c>
    </row>
    <row r="2068" spans="1:7" x14ac:dyDescent="0.2">
      <c r="A2068" t="s">
        <v>4346</v>
      </c>
      <c r="B2068">
        <v>0</v>
      </c>
      <c r="C2068">
        <v>0</v>
      </c>
      <c r="D2068">
        <v>0</v>
      </c>
      <c r="E2068">
        <v>0</v>
      </c>
      <c r="F2068">
        <v>0</v>
      </c>
      <c r="G2068">
        <v>0</v>
      </c>
    </row>
    <row r="2069" spans="1:7" x14ac:dyDescent="0.2">
      <c r="A2069" t="s">
        <v>4347</v>
      </c>
      <c r="B2069">
        <v>0</v>
      </c>
      <c r="C2069">
        <v>0</v>
      </c>
      <c r="D2069">
        <v>0</v>
      </c>
      <c r="E2069">
        <v>0</v>
      </c>
      <c r="F2069">
        <v>0</v>
      </c>
      <c r="G2069">
        <v>0</v>
      </c>
    </row>
    <row r="2070" spans="1:7" x14ac:dyDescent="0.2">
      <c r="A2070" t="s">
        <v>4348</v>
      </c>
      <c r="B2070">
        <v>0</v>
      </c>
      <c r="C2070">
        <v>0</v>
      </c>
      <c r="D2070">
        <v>0</v>
      </c>
      <c r="E2070">
        <v>0</v>
      </c>
      <c r="F2070">
        <v>0</v>
      </c>
      <c r="G2070">
        <v>0</v>
      </c>
    </row>
    <row r="2071" spans="1:7" x14ac:dyDescent="0.2">
      <c r="A2071" t="s">
        <v>4349</v>
      </c>
      <c r="B2071">
        <v>0</v>
      </c>
      <c r="C2071">
        <v>0</v>
      </c>
      <c r="D2071">
        <v>0</v>
      </c>
      <c r="E2071">
        <v>0</v>
      </c>
      <c r="F2071">
        <v>0</v>
      </c>
      <c r="G2071">
        <v>0</v>
      </c>
    </row>
    <row r="2072" spans="1:7" x14ac:dyDescent="0.2">
      <c r="A2072" t="s">
        <v>4350</v>
      </c>
      <c r="B2072">
        <v>0</v>
      </c>
      <c r="C2072">
        <v>4</v>
      </c>
      <c r="D2072">
        <v>23</v>
      </c>
      <c r="E2072">
        <v>0</v>
      </c>
      <c r="F2072">
        <v>0</v>
      </c>
      <c r="G2072">
        <v>28</v>
      </c>
    </row>
    <row r="2073" spans="1:7" x14ac:dyDescent="0.2">
      <c r="A2073" t="s">
        <v>4351</v>
      </c>
      <c r="B2073">
        <v>0</v>
      </c>
      <c r="C2073">
        <v>0</v>
      </c>
      <c r="D2073">
        <v>0</v>
      </c>
      <c r="E2073">
        <v>0</v>
      </c>
      <c r="F2073">
        <v>0</v>
      </c>
      <c r="G2073">
        <v>0</v>
      </c>
    </row>
    <row r="2074" spans="1:7" x14ac:dyDescent="0.2">
      <c r="A2074" t="s">
        <v>4352</v>
      </c>
      <c r="B2074">
        <v>0</v>
      </c>
      <c r="C2074">
        <v>0</v>
      </c>
      <c r="D2074">
        <v>0</v>
      </c>
      <c r="E2074">
        <v>0</v>
      </c>
      <c r="F2074">
        <v>0</v>
      </c>
      <c r="G2074">
        <v>0</v>
      </c>
    </row>
    <row r="2075" spans="1:7" x14ac:dyDescent="0.2">
      <c r="A2075" t="s">
        <v>4353</v>
      </c>
      <c r="B2075">
        <v>2</v>
      </c>
      <c r="C2075">
        <v>166</v>
      </c>
      <c r="D2075">
        <v>52</v>
      </c>
      <c r="E2075">
        <v>6</v>
      </c>
      <c r="F2075">
        <v>0</v>
      </c>
      <c r="G2075">
        <v>226</v>
      </c>
    </row>
    <row r="2076" spans="1:7" x14ac:dyDescent="0.2">
      <c r="A2076" t="s">
        <v>4354</v>
      </c>
      <c r="B2076">
        <v>8</v>
      </c>
      <c r="C2076">
        <v>110</v>
      </c>
      <c r="D2076">
        <v>37</v>
      </c>
      <c r="E2076">
        <v>2</v>
      </c>
      <c r="F2076">
        <v>0</v>
      </c>
      <c r="G2076">
        <v>157</v>
      </c>
    </row>
    <row r="2077" spans="1:7" x14ac:dyDescent="0.2">
      <c r="A2077" t="s">
        <v>4355</v>
      </c>
      <c r="B2077">
        <v>0</v>
      </c>
      <c r="C2077">
        <v>0</v>
      </c>
      <c r="D2077">
        <v>0</v>
      </c>
      <c r="E2077">
        <v>0</v>
      </c>
      <c r="F2077">
        <v>0</v>
      </c>
      <c r="G2077">
        <v>0</v>
      </c>
    </row>
    <row r="2078" spans="1:7" x14ac:dyDescent="0.2">
      <c r="A2078" t="s">
        <v>4356</v>
      </c>
      <c r="B2078">
        <v>0</v>
      </c>
      <c r="C2078">
        <v>0</v>
      </c>
      <c r="D2078">
        <v>0</v>
      </c>
      <c r="E2078">
        <v>0</v>
      </c>
      <c r="F2078">
        <v>0</v>
      </c>
      <c r="G2078">
        <v>0</v>
      </c>
    </row>
    <row r="2079" spans="1:7" x14ac:dyDescent="0.2">
      <c r="A2079" t="s">
        <v>4357</v>
      </c>
      <c r="B2079">
        <v>0</v>
      </c>
      <c r="C2079">
        <v>0</v>
      </c>
      <c r="D2079">
        <v>1</v>
      </c>
      <c r="E2079">
        <v>0</v>
      </c>
      <c r="F2079">
        <v>0</v>
      </c>
      <c r="G2079">
        <v>1</v>
      </c>
    </row>
    <row r="2080" spans="1:7" x14ac:dyDescent="0.2">
      <c r="A2080" t="s">
        <v>4358</v>
      </c>
      <c r="B2080">
        <v>0</v>
      </c>
      <c r="C2080">
        <v>1</v>
      </c>
      <c r="D2080">
        <v>0</v>
      </c>
      <c r="E2080">
        <v>0</v>
      </c>
      <c r="F2080">
        <v>0</v>
      </c>
      <c r="G2080">
        <v>1</v>
      </c>
    </row>
    <row r="2081" spans="1:7" x14ac:dyDescent="0.2">
      <c r="A2081" t="s">
        <v>4359</v>
      </c>
      <c r="B2081">
        <v>0</v>
      </c>
      <c r="C2081">
        <v>0</v>
      </c>
      <c r="D2081">
        <v>0</v>
      </c>
      <c r="E2081">
        <v>0</v>
      </c>
      <c r="F2081">
        <v>0</v>
      </c>
      <c r="G2081">
        <v>0</v>
      </c>
    </row>
    <row r="2082" spans="1:7" x14ac:dyDescent="0.2">
      <c r="A2082" t="s">
        <v>4360</v>
      </c>
      <c r="B2082">
        <v>0</v>
      </c>
      <c r="C2082">
        <v>0</v>
      </c>
      <c r="D2082">
        <v>0</v>
      </c>
      <c r="E2082">
        <v>13</v>
      </c>
      <c r="F2082">
        <v>0</v>
      </c>
      <c r="G2082">
        <v>14</v>
      </c>
    </row>
    <row r="2083" spans="1:7" x14ac:dyDescent="0.2">
      <c r="A2083" t="s">
        <v>4361</v>
      </c>
      <c r="B2083">
        <v>0</v>
      </c>
      <c r="C2083">
        <v>0</v>
      </c>
      <c r="D2083">
        <v>14</v>
      </c>
      <c r="E2083">
        <v>0</v>
      </c>
      <c r="F2083">
        <v>0</v>
      </c>
      <c r="G2083">
        <v>15</v>
      </c>
    </row>
    <row r="2084" spans="1:7" x14ac:dyDescent="0.2">
      <c r="A2084" t="s">
        <v>4362</v>
      </c>
      <c r="B2084">
        <v>0</v>
      </c>
      <c r="C2084">
        <v>0</v>
      </c>
      <c r="D2084">
        <v>0</v>
      </c>
      <c r="E2084">
        <v>0</v>
      </c>
      <c r="F2084">
        <v>0</v>
      </c>
      <c r="G2084">
        <v>0</v>
      </c>
    </row>
    <row r="2085" spans="1:7" x14ac:dyDescent="0.2">
      <c r="A2085" t="s">
        <v>4363</v>
      </c>
      <c r="B2085">
        <v>0</v>
      </c>
      <c r="C2085">
        <v>0</v>
      </c>
      <c r="D2085">
        <v>0</v>
      </c>
      <c r="E2085">
        <v>0</v>
      </c>
      <c r="F2085">
        <v>0</v>
      </c>
      <c r="G2085">
        <v>0</v>
      </c>
    </row>
    <row r="2086" spans="1:7" x14ac:dyDescent="0.2">
      <c r="A2086" t="s">
        <v>4364</v>
      </c>
      <c r="B2086">
        <v>0</v>
      </c>
      <c r="C2086">
        <v>0</v>
      </c>
      <c r="D2086">
        <v>0</v>
      </c>
      <c r="E2086">
        <v>0</v>
      </c>
      <c r="F2086">
        <v>0</v>
      </c>
      <c r="G2086">
        <v>0</v>
      </c>
    </row>
    <row r="2087" spans="1:7" x14ac:dyDescent="0.2">
      <c r="A2087" t="s">
        <v>4365</v>
      </c>
      <c r="B2087">
        <v>4</v>
      </c>
      <c r="C2087">
        <v>74</v>
      </c>
      <c r="D2087">
        <v>11</v>
      </c>
      <c r="E2087">
        <v>0</v>
      </c>
      <c r="F2087">
        <v>0</v>
      </c>
      <c r="G2087">
        <v>89</v>
      </c>
    </row>
    <row r="2088" spans="1:7" x14ac:dyDescent="0.2">
      <c r="A2088" t="s">
        <v>4366</v>
      </c>
      <c r="B2088">
        <v>0</v>
      </c>
      <c r="C2088">
        <v>0</v>
      </c>
      <c r="D2088">
        <v>0</v>
      </c>
      <c r="E2088">
        <v>0</v>
      </c>
      <c r="F2088">
        <v>0</v>
      </c>
      <c r="G2088">
        <v>0</v>
      </c>
    </row>
    <row r="2089" spans="1:7" x14ac:dyDescent="0.2">
      <c r="A2089" t="s">
        <v>4367</v>
      </c>
      <c r="B2089">
        <v>0</v>
      </c>
      <c r="C2089">
        <v>0</v>
      </c>
      <c r="D2089">
        <v>0</v>
      </c>
      <c r="E2089">
        <v>0</v>
      </c>
      <c r="F2089">
        <v>0</v>
      </c>
      <c r="G2089">
        <v>0</v>
      </c>
    </row>
    <row r="2090" spans="1:7" x14ac:dyDescent="0.2">
      <c r="A2090" t="s">
        <v>4368</v>
      </c>
      <c r="B2090">
        <v>77</v>
      </c>
      <c r="C2090">
        <v>272</v>
      </c>
      <c r="D2090">
        <v>580</v>
      </c>
      <c r="E2090">
        <v>582</v>
      </c>
      <c r="F2090">
        <v>84</v>
      </c>
      <c r="G2090">
        <v>1596</v>
      </c>
    </row>
    <row r="2091" spans="1:7" x14ac:dyDescent="0.2">
      <c r="A2091" t="s">
        <v>4369</v>
      </c>
      <c r="B2091">
        <v>71</v>
      </c>
      <c r="C2091">
        <v>134</v>
      </c>
      <c r="D2091">
        <v>679</v>
      </c>
      <c r="E2091">
        <v>43</v>
      </c>
      <c r="F2091">
        <v>0</v>
      </c>
      <c r="G2091">
        <v>927</v>
      </c>
    </row>
    <row r="2092" spans="1:7" x14ac:dyDescent="0.2">
      <c r="A2092" t="s">
        <v>4370</v>
      </c>
      <c r="B2092">
        <v>10</v>
      </c>
      <c r="C2092">
        <v>9</v>
      </c>
      <c r="D2092">
        <v>2</v>
      </c>
      <c r="E2092">
        <v>1</v>
      </c>
      <c r="F2092">
        <v>0</v>
      </c>
      <c r="G2092">
        <v>21</v>
      </c>
    </row>
    <row r="2093" spans="1:7" x14ac:dyDescent="0.2">
      <c r="A2093" t="s">
        <v>4371</v>
      </c>
      <c r="B2093">
        <v>2</v>
      </c>
      <c r="C2093">
        <v>9</v>
      </c>
      <c r="D2093">
        <v>6</v>
      </c>
      <c r="E2093">
        <v>0</v>
      </c>
      <c r="F2093">
        <v>0</v>
      </c>
      <c r="G2093">
        <v>16</v>
      </c>
    </row>
    <row r="2094" spans="1:7" x14ac:dyDescent="0.2">
      <c r="A2094" t="s">
        <v>4372</v>
      </c>
      <c r="B2094">
        <v>0</v>
      </c>
      <c r="C2094">
        <v>0</v>
      </c>
      <c r="D2094">
        <v>0</v>
      </c>
      <c r="E2094">
        <v>0</v>
      </c>
      <c r="F2094">
        <v>0</v>
      </c>
      <c r="G2094">
        <v>0</v>
      </c>
    </row>
    <row r="2095" spans="1:7" x14ac:dyDescent="0.2">
      <c r="A2095" t="s">
        <v>4373</v>
      </c>
      <c r="B2095">
        <v>0</v>
      </c>
      <c r="C2095">
        <v>0</v>
      </c>
      <c r="D2095">
        <v>4</v>
      </c>
      <c r="E2095">
        <v>0</v>
      </c>
      <c r="F2095">
        <v>0</v>
      </c>
      <c r="G2095">
        <v>4</v>
      </c>
    </row>
    <row r="2096" spans="1:7" x14ac:dyDescent="0.2">
      <c r="A2096" t="s">
        <v>4374</v>
      </c>
      <c r="B2096">
        <v>0</v>
      </c>
      <c r="C2096">
        <v>0</v>
      </c>
      <c r="D2096">
        <v>0</v>
      </c>
      <c r="E2096">
        <v>0</v>
      </c>
      <c r="F2096">
        <v>0</v>
      </c>
      <c r="G2096">
        <v>0</v>
      </c>
    </row>
    <row r="2097" spans="1:10" x14ac:dyDescent="0.2">
      <c r="A2097" t="s">
        <v>4375</v>
      </c>
      <c r="B2097">
        <v>0</v>
      </c>
      <c r="C2097">
        <v>0</v>
      </c>
      <c r="D2097">
        <v>0</v>
      </c>
      <c r="E2097">
        <v>0</v>
      </c>
      <c r="F2097">
        <v>0</v>
      </c>
      <c r="G2097">
        <v>0</v>
      </c>
    </row>
    <row r="2098" spans="1:10" x14ac:dyDescent="0.2">
      <c r="A2098" t="s">
        <v>4376</v>
      </c>
      <c r="B2098">
        <v>0</v>
      </c>
      <c r="C2098">
        <v>0</v>
      </c>
      <c r="D2098">
        <v>0</v>
      </c>
      <c r="E2098">
        <v>0</v>
      </c>
      <c r="F2098">
        <v>0</v>
      </c>
      <c r="G2098">
        <v>0</v>
      </c>
    </row>
    <row r="2099" spans="1:10" x14ac:dyDescent="0.2">
      <c r="A2099" t="s">
        <v>4377</v>
      </c>
      <c r="B2099">
        <v>0</v>
      </c>
      <c r="C2099">
        <v>0</v>
      </c>
      <c r="D2099">
        <v>10</v>
      </c>
      <c r="E2099">
        <v>0</v>
      </c>
      <c r="F2099">
        <v>0</v>
      </c>
      <c r="G2099">
        <v>10</v>
      </c>
    </row>
    <row r="2100" spans="1:10" x14ac:dyDescent="0.2">
      <c r="A2100" t="s">
        <v>2318</v>
      </c>
      <c r="B2100" t="s">
        <v>2319</v>
      </c>
      <c r="C2100" t="s">
        <v>2319</v>
      </c>
      <c r="D2100" t="s">
        <v>2319</v>
      </c>
      <c r="E2100" t="s">
        <v>2319</v>
      </c>
      <c r="F2100" t="s">
        <v>2319</v>
      </c>
      <c r="G2100" t="s">
        <v>2319</v>
      </c>
    </row>
    <row r="2101" spans="1:10" x14ac:dyDescent="0.2">
      <c r="A2101" t="s">
        <v>4248</v>
      </c>
    </row>
    <row r="2102" spans="1:10" x14ac:dyDescent="0.2">
      <c r="A2102" t="s">
        <v>4250</v>
      </c>
      <c r="C2102" t="s">
        <v>4251</v>
      </c>
      <c r="G2102" t="s">
        <v>7531</v>
      </c>
      <c r="J2102"/>
    </row>
    <row r="2103" spans="1:10" x14ac:dyDescent="0.2">
      <c r="A2103" t="s">
        <v>4925</v>
      </c>
      <c r="G2103" t="s">
        <v>7538</v>
      </c>
      <c r="J2103"/>
    </row>
    <row r="2104" spans="1:10" x14ac:dyDescent="0.2">
      <c r="A2104" t="s">
        <v>7530</v>
      </c>
      <c r="J2104"/>
    </row>
    <row r="2105" spans="1:10" x14ac:dyDescent="0.2">
      <c r="A2105" t="s">
        <v>4962</v>
      </c>
      <c r="J2105"/>
    </row>
    <row r="2106" spans="1:10" x14ac:dyDescent="0.2">
      <c r="J2106"/>
    </row>
    <row r="2107" spans="1:10" x14ac:dyDescent="0.2">
      <c r="A2107" t="s">
        <v>4259</v>
      </c>
      <c r="J2107"/>
    </row>
    <row r="2108" spans="1:10" x14ac:dyDescent="0.2">
      <c r="A2108" t="s">
        <v>2318</v>
      </c>
      <c r="B2108" t="s">
        <v>2319</v>
      </c>
      <c r="C2108" t="s">
        <v>2319</v>
      </c>
      <c r="D2108" t="s">
        <v>2319</v>
      </c>
      <c r="E2108" t="s">
        <v>2319</v>
      </c>
      <c r="F2108" t="s">
        <v>2319</v>
      </c>
      <c r="G2108" t="s">
        <v>2319</v>
      </c>
    </row>
    <row r="2109" spans="1:10" x14ac:dyDescent="0.2">
      <c r="A2109" t="s">
        <v>174</v>
      </c>
      <c r="B2109" t="s">
        <v>4945</v>
      </c>
      <c r="C2109" t="s">
        <v>4946</v>
      </c>
      <c r="D2109" t="s">
        <v>4947</v>
      </c>
      <c r="E2109" t="s">
        <v>4948</v>
      </c>
      <c r="F2109" t="s">
        <v>4949</v>
      </c>
    </row>
    <row r="2110" spans="1:10" x14ac:dyDescent="0.2">
      <c r="A2110" t="s">
        <v>126</v>
      </c>
      <c r="B2110" t="s">
        <v>4262</v>
      </c>
      <c r="C2110" t="s">
        <v>4263</v>
      </c>
      <c r="D2110" t="s">
        <v>4264</v>
      </c>
      <c r="E2110" t="s">
        <v>2308</v>
      </c>
      <c r="F2110" t="s">
        <v>615</v>
      </c>
      <c r="G2110" t="s">
        <v>236</v>
      </c>
    </row>
    <row r="2111" spans="1:10" x14ac:dyDescent="0.2">
      <c r="A2111" t="s">
        <v>2318</v>
      </c>
      <c r="B2111" t="s">
        <v>2319</v>
      </c>
      <c r="C2111" t="s">
        <v>2319</v>
      </c>
      <c r="D2111" t="s">
        <v>2319</v>
      </c>
      <c r="E2111" t="s">
        <v>2319</v>
      </c>
      <c r="F2111" t="s">
        <v>2319</v>
      </c>
      <c r="G2111" t="s">
        <v>2319</v>
      </c>
    </row>
    <row r="2112" spans="1:10" x14ac:dyDescent="0.2">
      <c r="A2112" t="s">
        <v>4265</v>
      </c>
      <c r="B2112">
        <v>0</v>
      </c>
      <c r="C2112">
        <v>0</v>
      </c>
      <c r="D2112">
        <v>0</v>
      </c>
      <c r="E2112">
        <v>0</v>
      </c>
      <c r="F2112">
        <v>0</v>
      </c>
      <c r="G2112">
        <v>0</v>
      </c>
    </row>
    <row r="2113" spans="1:7" x14ac:dyDescent="0.2">
      <c r="A2113" t="s">
        <v>4266</v>
      </c>
      <c r="B2113">
        <v>0</v>
      </c>
      <c r="C2113">
        <v>0</v>
      </c>
      <c r="D2113">
        <v>0</v>
      </c>
      <c r="E2113">
        <v>0</v>
      </c>
      <c r="F2113">
        <v>0</v>
      </c>
      <c r="G2113">
        <v>0</v>
      </c>
    </row>
    <row r="2114" spans="1:7" x14ac:dyDescent="0.2">
      <c r="A2114" t="s">
        <v>4267</v>
      </c>
      <c r="B2114">
        <v>0</v>
      </c>
      <c r="C2114">
        <v>0</v>
      </c>
      <c r="D2114">
        <v>0</v>
      </c>
      <c r="E2114">
        <v>0</v>
      </c>
      <c r="F2114">
        <v>0</v>
      </c>
      <c r="G2114">
        <v>0</v>
      </c>
    </row>
    <row r="2115" spans="1:7" x14ac:dyDescent="0.2">
      <c r="A2115" t="s">
        <v>4268</v>
      </c>
      <c r="B2115">
        <v>0</v>
      </c>
      <c r="C2115">
        <v>0</v>
      </c>
      <c r="D2115">
        <v>0</v>
      </c>
      <c r="E2115">
        <v>0</v>
      </c>
      <c r="F2115">
        <v>0</v>
      </c>
      <c r="G2115">
        <v>0</v>
      </c>
    </row>
    <row r="2116" spans="1:7" x14ac:dyDescent="0.2">
      <c r="A2116" t="s">
        <v>4269</v>
      </c>
      <c r="B2116">
        <v>0</v>
      </c>
      <c r="C2116">
        <v>0</v>
      </c>
      <c r="D2116">
        <v>0</v>
      </c>
      <c r="E2116">
        <v>0</v>
      </c>
      <c r="F2116">
        <v>0</v>
      </c>
      <c r="G2116">
        <v>0</v>
      </c>
    </row>
    <row r="2117" spans="1:7" x14ac:dyDescent="0.2">
      <c r="A2117" t="s">
        <v>4270</v>
      </c>
      <c r="B2117">
        <v>0</v>
      </c>
      <c r="C2117">
        <v>0</v>
      </c>
      <c r="D2117">
        <v>0</v>
      </c>
      <c r="E2117">
        <v>0</v>
      </c>
      <c r="F2117">
        <v>0</v>
      </c>
      <c r="G2117">
        <v>0</v>
      </c>
    </row>
    <row r="2118" spans="1:7" x14ac:dyDescent="0.2">
      <c r="A2118" t="s">
        <v>4271</v>
      </c>
      <c r="B2118">
        <v>0</v>
      </c>
      <c r="C2118">
        <v>0</v>
      </c>
      <c r="D2118">
        <v>0</v>
      </c>
      <c r="E2118">
        <v>0</v>
      </c>
      <c r="F2118">
        <v>0</v>
      </c>
      <c r="G2118">
        <v>0</v>
      </c>
    </row>
    <row r="2119" spans="1:7" x14ac:dyDescent="0.2">
      <c r="A2119" t="s">
        <v>4272</v>
      </c>
      <c r="B2119">
        <v>0</v>
      </c>
      <c r="C2119">
        <v>0</v>
      </c>
      <c r="D2119">
        <v>0</v>
      </c>
      <c r="E2119">
        <v>0</v>
      </c>
      <c r="F2119">
        <v>0</v>
      </c>
      <c r="G2119">
        <v>0</v>
      </c>
    </row>
    <row r="2120" spans="1:7" x14ac:dyDescent="0.2">
      <c r="A2120" t="s">
        <v>4273</v>
      </c>
      <c r="B2120">
        <v>0</v>
      </c>
      <c r="C2120">
        <v>0</v>
      </c>
      <c r="D2120">
        <v>0</v>
      </c>
      <c r="E2120">
        <v>0</v>
      </c>
      <c r="F2120">
        <v>0</v>
      </c>
      <c r="G2120">
        <v>0</v>
      </c>
    </row>
    <row r="2121" spans="1:7" x14ac:dyDescent="0.2">
      <c r="A2121" t="s">
        <v>4274</v>
      </c>
      <c r="B2121">
        <v>0</v>
      </c>
      <c r="C2121">
        <v>0</v>
      </c>
      <c r="D2121">
        <v>0</v>
      </c>
      <c r="E2121">
        <v>0</v>
      </c>
      <c r="F2121">
        <v>0</v>
      </c>
      <c r="G2121">
        <v>0</v>
      </c>
    </row>
    <row r="2122" spans="1:7" x14ac:dyDescent="0.2">
      <c r="A2122" t="s">
        <v>4275</v>
      </c>
      <c r="B2122">
        <v>0</v>
      </c>
      <c r="C2122">
        <v>0</v>
      </c>
      <c r="D2122">
        <v>0</v>
      </c>
      <c r="E2122">
        <v>0</v>
      </c>
      <c r="F2122">
        <v>0</v>
      </c>
      <c r="G2122">
        <v>0</v>
      </c>
    </row>
    <row r="2123" spans="1:7" x14ac:dyDescent="0.2">
      <c r="A2123" t="s">
        <v>4276</v>
      </c>
      <c r="B2123">
        <v>0</v>
      </c>
      <c r="C2123">
        <v>0</v>
      </c>
      <c r="D2123">
        <v>0</v>
      </c>
      <c r="E2123">
        <v>0</v>
      </c>
      <c r="F2123">
        <v>0</v>
      </c>
      <c r="G2123">
        <v>0</v>
      </c>
    </row>
    <row r="2124" spans="1:7" x14ac:dyDescent="0.2">
      <c r="A2124" t="s">
        <v>4277</v>
      </c>
      <c r="B2124">
        <v>0</v>
      </c>
      <c r="C2124">
        <v>0</v>
      </c>
      <c r="D2124">
        <v>0</v>
      </c>
      <c r="E2124">
        <v>0</v>
      </c>
      <c r="F2124">
        <v>0</v>
      </c>
      <c r="G2124">
        <v>0</v>
      </c>
    </row>
    <row r="2125" spans="1:7" x14ac:dyDescent="0.2">
      <c r="A2125" t="s">
        <v>4278</v>
      </c>
      <c r="B2125">
        <v>0</v>
      </c>
      <c r="C2125">
        <v>0</v>
      </c>
      <c r="D2125">
        <v>0</v>
      </c>
      <c r="E2125">
        <v>0</v>
      </c>
      <c r="F2125">
        <v>0</v>
      </c>
      <c r="G2125">
        <v>0</v>
      </c>
    </row>
    <row r="2126" spans="1:7" x14ac:dyDescent="0.2">
      <c r="A2126" t="s">
        <v>4279</v>
      </c>
      <c r="B2126">
        <v>0</v>
      </c>
      <c r="C2126">
        <v>0</v>
      </c>
      <c r="D2126">
        <v>0</v>
      </c>
      <c r="E2126">
        <v>0</v>
      </c>
      <c r="F2126">
        <v>0</v>
      </c>
      <c r="G2126">
        <v>0</v>
      </c>
    </row>
    <row r="2127" spans="1:7" x14ac:dyDescent="0.2">
      <c r="A2127" t="s">
        <v>4280</v>
      </c>
      <c r="B2127">
        <v>0</v>
      </c>
      <c r="C2127">
        <v>0</v>
      </c>
      <c r="D2127">
        <v>0</v>
      </c>
      <c r="E2127">
        <v>0</v>
      </c>
      <c r="F2127">
        <v>0</v>
      </c>
      <c r="G2127">
        <v>0</v>
      </c>
    </row>
    <row r="2128" spans="1:7" x14ac:dyDescent="0.2">
      <c r="A2128" t="s">
        <v>4281</v>
      </c>
      <c r="B2128">
        <v>0</v>
      </c>
      <c r="C2128">
        <v>1</v>
      </c>
      <c r="D2128">
        <v>3</v>
      </c>
      <c r="E2128">
        <v>24</v>
      </c>
      <c r="F2128">
        <v>0</v>
      </c>
      <c r="G2128">
        <v>29</v>
      </c>
    </row>
    <row r="2129" spans="1:7" x14ac:dyDescent="0.2">
      <c r="A2129" t="s">
        <v>4282</v>
      </c>
      <c r="B2129">
        <v>3</v>
      </c>
      <c r="C2129">
        <v>1</v>
      </c>
      <c r="D2129">
        <v>0</v>
      </c>
      <c r="E2129">
        <v>0</v>
      </c>
      <c r="F2129">
        <v>0</v>
      </c>
      <c r="G2129">
        <v>5</v>
      </c>
    </row>
    <row r="2130" spans="1:7" x14ac:dyDescent="0.2">
      <c r="A2130" t="s">
        <v>4283</v>
      </c>
      <c r="B2130">
        <v>1</v>
      </c>
      <c r="C2130">
        <v>0</v>
      </c>
      <c r="D2130">
        <v>0</v>
      </c>
      <c r="E2130">
        <v>0</v>
      </c>
      <c r="F2130">
        <v>0</v>
      </c>
      <c r="G2130">
        <v>1</v>
      </c>
    </row>
    <row r="2131" spans="1:7" x14ac:dyDescent="0.2">
      <c r="A2131" t="s">
        <v>4284</v>
      </c>
      <c r="B2131">
        <v>0</v>
      </c>
      <c r="C2131">
        <v>0</v>
      </c>
      <c r="D2131">
        <v>0</v>
      </c>
      <c r="E2131">
        <v>0</v>
      </c>
      <c r="F2131">
        <v>0</v>
      </c>
      <c r="G2131">
        <v>0</v>
      </c>
    </row>
    <row r="2132" spans="1:7" x14ac:dyDescent="0.2">
      <c r="A2132" t="s">
        <v>4285</v>
      </c>
      <c r="B2132">
        <v>0</v>
      </c>
      <c r="C2132">
        <v>2</v>
      </c>
      <c r="D2132">
        <v>0</v>
      </c>
      <c r="E2132">
        <v>0</v>
      </c>
      <c r="F2132">
        <v>0</v>
      </c>
      <c r="G2132">
        <v>2</v>
      </c>
    </row>
    <row r="2133" spans="1:7" x14ac:dyDescent="0.2">
      <c r="A2133" t="s">
        <v>4286</v>
      </c>
      <c r="B2133">
        <v>1</v>
      </c>
      <c r="C2133">
        <v>0</v>
      </c>
      <c r="D2133">
        <v>0</v>
      </c>
      <c r="E2133">
        <v>0</v>
      </c>
      <c r="F2133">
        <v>0</v>
      </c>
      <c r="G2133">
        <v>1</v>
      </c>
    </row>
    <row r="2134" spans="1:7" x14ac:dyDescent="0.2">
      <c r="A2134" t="s">
        <v>4287</v>
      </c>
      <c r="B2134">
        <v>0</v>
      </c>
      <c r="C2134">
        <v>0</v>
      </c>
      <c r="D2134">
        <v>0</v>
      </c>
      <c r="E2134">
        <v>0</v>
      </c>
      <c r="F2134">
        <v>0</v>
      </c>
      <c r="G2134">
        <v>0</v>
      </c>
    </row>
    <row r="2135" spans="1:7" x14ac:dyDescent="0.2">
      <c r="A2135" t="s">
        <v>4288</v>
      </c>
      <c r="B2135">
        <v>0</v>
      </c>
      <c r="C2135">
        <v>0</v>
      </c>
      <c r="D2135">
        <v>0</v>
      </c>
      <c r="E2135">
        <v>0</v>
      </c>
      <c r="F2135">
        <v>0</v>
      </c>
      <c r="G2135">
        <v>0</v>
      </c>
    </row>
    <row r="2136" spans="1:7" x14ac:dyDescent="0.2">
      <c r="A2136" t="s">
        <v>4289</v>
      </c>
      <c r="B2136">
        <v>0</v>
      </c>
      <c r="C2136">
        <v>0</v>
      </c>
      <c r="D2136">
        <v>0</v>
      </c>
      <c r="E2136">
        <v>0</v>
      </c>
      <c r="F2136">
        <v>0</v>
      </c>
      <c r="G2136">
        <v>0</v>
      </c>
    </row>
    <row r="2137" spans="1:7" x14ac:dyDescent="0.2">
      <c r="A2137" t="s">
        <v>4290</v>
      </c>
      <c r="B2137">
        <v>0</v>
      </c>
      <c r="C2137">
        <v>0</v>
      </c>
      <c r="D2137">
        <v>0</v>
      </c>
      <c r="E2137">
        <v>0</v>
      </c>
      <c r="F2137">
        <v>0</v>
      </c>
      <c r="G2137">
        <v>0</v>
      </c>
    </row>
    <row r="2138" spans="1:7" x14ac:dyDescent="0.2">
      <c r="A2138" t="s">
        <v>4291</v>
      </c>
      <c r="B2138">
        <v>0</v>
      </c>
      <c r="C2138">
        <v>0</v>
      </c>
      <c r="D2138">
        <v>0</v>
      </c>
      <c r="E2138">
        <v>0</v>
      </c>
      <c r="F2138">
        <v>0</v>
      </c>
      <c r="G2138">
        <v>0</v>
      </c>
    </row>
    <row r="2139" spans="1:7" x14ac:dyDescent="0.2">
      <c r="A2139" t="s">
        <v>4292</v>
      </c>
      <c r="B2139">
        <v>0</v>
      </c>
      <c r="C2139">
        <v>0</v>
      </c>
      <c r="D2139">
        <v>0</v>
      </c>
      <c r="E2139">
        <v>0</v>
      </c>
      <c r="F2139">
        <v>0</v>
      </c>
      <c r="G2139">
        <v>0</v>
      </c>
    </row>
    <row r="2140" spans="1:7" x14ac:dyDescent="0.2">
      <c r="A2140" t="s">
        <v>4293</v>
      </c>
      <c r="B2140">
        <v>0</v>
      </c>
      <c r="C2140">
        <v>0</v>
      </c>
      <c r="D2140">
        <v>0</v>
      </c>
      <c r="E2140">
        <v>0</v>
      </c>
      <c r="F2140">
        <v>0</v>
      </c>
      <c r="G2140">
        <v>0</v>
      </c>
    </row>
    <row r="2141" spans="1:7" x14ac:dyDescent="0.2">
      <c r="A2141" t="s">
        <v>4294</v>
      </c>
      <c r="B2141">
        <v>0</v>
      </c>
      <c r="C2141">
        <v>0</v>
      </c>
      <c r="D2141">
        <v>0</v>
      </c>
      <c r="E2141">
        <v>0</v>
      </c>
      <c r="F2141">
        <v>0</v>
      </c>
      <c r="G2141">
        <v>0</v>
      </c>
    </row>
    <row r="2142" spans="1:7" x14ac:dyDescent="0.2">
      <c r="A2142" t="s">
        <v>4295</v>
      </c>
      <c r="B2142">
        <v>0</v>
      </c>
      <c r="C2142">
        <v>0</v>
      </c>
      <c r="D2142">
        <v>0</v>
      </c>
      <c r="E2142">
        <v>0</v>
      </c>
      <c r="F2142">
        <v>0</v>
      </c>
      <c r="G2142">
        <v>0</v>
      </c>
    </row>
    <row r="2143" spans="1:7" x14ac:dyDescent="0.2">
      <c r="A2143" t="s">
        <v>4296</v>
      </c>
      <c r="B2143">
        <v>0</v>
      </c>
      <c r="C2143">
        <v>0</v>
      </c>
      <c r="D2143">
        <v>0</v>
      </c>
      <c r="E2143">
        <v>0</v>
      </c>
      <c r="F2143">
        <v>0</v>
      </c>
      <c r="G2143">
        <v>0</v>
      </c>
    </row>
    <row r="2144" spans="1:7" x14ac:dyDescent="0.2">
      <c r="A2144" t="s">
        <v>4297</v>
      </c>
      <c r="B2144">
        <v>0</v>
      </c>
      <c r="C2144">
        <v>2</v>
      </c>
      <c r="D2144">
        <v>2</v>
      </c>
      <c r="E2144">
        <v>0</v>
      </c>
      <c r="F2144">
        <v>0</v>
      </c>
      <c r="G2144">
        <v>4</v>
      </c>
    </row>
    <row r="2145" spans="1:7" x14ac:dyDescent="0.2">
      <c r="A2145" t="s">
        <v>4298</v>
      </c>
      <c r="B2145">
        <v>1</v>
      </c>
      <c r="C2145">
        <v>2</v>
      </c>
      <c r="D2145">
        <v>1</v>
      </c>
      <c r="E2145">
        <v>0</v>
      </c>
      <c r="F2145">
        <v>0</v>
      </c>
      <c r="G2145">
        <v>4</v>
      </c>
    </row>
    <row r="2146" spans="1:7" x14ac:dyDescent="0.2">
      <c r="A2146" t="s">
        <v>4299</v>
      </c>
      <c r="B2146">
        <v>0</v>
      </c>
      <c r="C2146">
        <v>8</v>
      </c>
      <c r="D2146">
        <v>2</v>
      </c>
      <c r="E2146">
        <v>0</v>
      </c>
      <c r="F2146">
        <v>0</v>
      </c>
      <c r="G2146">
        <v>11</v>
      </c>
    </row>
    <row r="2147" spans="1:7" x14ac:dyDescent="0.2">
      <c r="A2147" t="s">
        <v>4300</v>
      </c>
      <c r="B2147">
        <v>0</v>
      </c>
      <c r="C2147">
        <v>1</v>
      </c>
      <c r="D2147">
        <v>0</v>
      </c>
      <c r="E2147">
        <v>0</v>
      </c>
      <c r="F2147">
        <v>0</v>
      </c>
      <c r="G2147">
        <v>1</v>
      </c>
    </row>
    <row r="2148" spans="1:7" x14ac:dyDescent="0.2">
      <c r="A2148" t="s">
        <v>4301</v>
      </c>
      <c r="B2148">
        <v>0</v>
      </c>
      <c r="C2148">
        <v>6</v>
      </c>
      <c r="D2148">
        <v>7</v>
      </c>
      <c r="E2148">
        <v>0</v>
      </c>
      <c r="F2148">
        <v>0</v>
      </c>
      <c r="G2148">
        <v>12</v>
      </c>
    </row>
    <row r="2149" spans="1:7" x14ac:dyDescent="0.2">
      <c r="A2149" t="s">
        <v>4302</v>
      </c>
      <c r="B2149">
        <v>0</v>
      </c>
      <c r="C2149">
        <v>0</v>
      </c>
      <c r="D2149">
        <v>5</v>
      </c>
      <c r="E2149">
        <v>3</v>
      </c>
      <c r="F2149">
        <v>0</v>
      </c>
      <c r="G2149">
        <v>8</v>
      </c>
    </row>
    <row r="2150" spans="1:7" x14ac:dyDescent="0.2">
      <c r="A2150" t="s">
        <v>4303</v>
      </c>
      <c r="B2150">
        <v>0</v>
      </c>
      <c r="C2150">
        <v>1</v>
      </c>
      <c r="D2150">
        <v>22</v>
      </c>
      <c r="E2150">
        <v>7</v>
      </c>
      <c r="F2150">
        <v>0</v>
      </c>
      <c r="G2150">
        <v>30</v>
      </c>
    </row>
    <row r="2151" spans="1:7" x14ac:dyDescent="0.2">
      <c r="A2151" t="s">
        <v>4304</v>
      </c>
      <c r="B2151">
        <v>0</v>
      </c>
      <c r="C2151">
        <v>0</v>
      </c>
      <c r="D2151">
        <v>2</v>
      </c>
      <c r="E2151">
        <v>0</v>
      </c>
      <c r="F2151">
        <v>0</v>
      </c>
      <c r="G2151">
        <v>2</v>
      </c>
    </row>
    <row r="2152" spans="1:7" x14ac:dyDescent="0.2">
      <c r="A2152" t="s">
        <v>4305</v>
      </c>
      <c r="B2152">
        <v>0</v>
      </c>
      <c r="C2152">
        <v>4</v>
      </c>
      <c r="D2152">
        <v>6</v>
      </c>
      <c r="E2152">
        <v>2</v>
      </c>
      <c r="F2152">
        <v>0</v>
      </c>
      <c r="G2152">
        <v>11</v>
      </c>
    </row>
    <row r="2153" spans="1:7" x14ac:dyDescent="0.2">
      <c r="A2153" t="s">
        <v>4306</v>
      </c>
      <c r="B2153">
        <v>0</v>
      </c>
      <c r="C2153">
        <v>3</v>
      </c>
      <c r="D2153">
        <v>1</v>
      </c>
      <c r="E2153">
        <v>1</v>
      </c>
      <c r="F2153">
        <v>0</v>
      </c>
      <c r="G2153">
        <v>4</v>
      </c>
    </row>
    <row r="2154" spans="1:7" x14ac:dyDescent="0.2">
      <c r="A2154" t="s">
        <v>4307</v>
      </c>
      <c r="B2154">
        <v>2</v>
      </c>
      <c r="C2154">
        <v>25</v>
      </c>
      <c r="D2154">
        <v>107</v>
      </c>
      <c r="E2154">
        <v>24</v>
      </c>
      <c r="F2154">
        <v>0</v>
      </c>
      <c r="G2154">
        <v>157</v>
      </c>
    </row>
    <row r="2155" spans="1:7" x14ac:dyDescent="0.2">
      <c r="A2155" t="s">
        <v>4308</v>
      </c>
      <c r="B2155">
        <v>0</v>
      </c>
      <c r="C2155">
        <v>0</v>
      </c>
      <c r="D2155">
        <v>0</v>
      </c>
      <c r="E2155">
        <v>2</v>
      </c>
      <c r="F2155">
        <v>0</v>
      </c>
      <c r="G2155">
        <v>3</v>
      </c>
    </row>
    <row r="2156" spans="1:7" x14ac:dyDescent="0.2">
      <c r="A2156" t="s">
        <v>4309</v>
      </c>
      <c r="B2156">
        <v>0</v>
      </c>
      <c r="C2156">
        <v>0</v>
      </c>
      <c r="D2156">
        <v>0</v>
      </c>
      <c r="E2156">
        <v>0</v>
      </c>
      <c r="F2156">
        <v>0</v>
      </c>
      <c r="G2156">
        <v>0</v>
      </c>
    </row>
    <row r="2157" spans="1:7" x14ac:dyDescent="0.2">
      <c r="A2157" t="s">
        <v>4310</v>
      </c>
      <c r="B2157">
        <v>0</v>
      </c>
      <c r="C2157">
        <v>0</v>
      </c>
      <c r="D2157">
        <v>0</v>
      </c>
      <c r="E2157">
        <v>0</v>
      </c>
      <c r="F2157">
        <v>0</v>
      </c>
      <c r="G2157">
        <v>0</v>
      </c>
    </row>
    <row r="2158" spans="1:7" x14ac:dyDescent="0.2">
      <c r="A2158" t="s">
        <v>4311</v>
      </c>
      <c r="B2158">
        <v>0</v>
      </c>
      <c r="C2158">
        <v>0</v>
      </c>
      <c r="D2158">
        <v>0</v>
      </c>
      <c r="E2158">
        <v>0</v>
      </c>
      <c r="F2158">
        <v>0</v>
      </c>
      <c r="G2158">
        <v>0</v>
      </c>
    </row>
    <row r="2159" spans="1:7" x14ac:dyDescent="0.2">
      <c r="A2159" t="s">
        <v>4312</v>
      </c>
      <c r="B2159">
        <v>0</v>
      </c>
      <c r="C2159">
        <v>0</v>
      </c>
      <c r="D2159">
        <v>0</v>
      </c>
      <c r="E2159">
        <v>0</v>
      </c>
      <c r="F2159">
        <v>0</v>
      </c>
      <c r="G2159">
        <v>0</v>
      </c>
    </row>
    <row r="2160" spans="1:7" x14ac:dyDescent="0.2">
      <c r="A2160" t="s">
        <v>4313</v>
      </c>
      <c r="B2160">
        <v>0</v>
      </c>
      <c r="C2160">
        <v>0</v>
      </c>
      <c r="D2160">
        <v>0</v>
      </c>
      <c r="E2160">
        <v>0</v>
      </c>
      <c r="F2160">
        <v>0</v>
      </c>
      <c r="G2160">
        <v>0</v>
      </c>
    </row>
    <row r="2161" spans="1:7" x14ac:dyDescent="0.2">
      <c r="A2161" t="s">
        <v>4314</v>
      </c>
      <c r="B2161">
        <v>0</v>
      </c>
      <c r="C2161">
        <v>0</v>
      </c>
      <c r="D2161">
        <v>0</v>
      </c>
      <c r="E2161">
        <v>0</v>
      </c>
      <c r="F2161">
        <v>0</v>
      </c>
      <c r="G2161">
        <v>0</v>
      </c>
    </row>
    <row r="2162" spans="1:7" x14ac:dyDescent="0.2">
      <c r="A2162" t="s">
        <v>4315</v>
      </c>
      <c r="B2162">
        <v>0</v>
      </c>
      <c r="C2162">
        <v>0</v>
      </c>
      <c r="D2162">
        <v>0</v>
      </c>
      <c r="E2162">
        <v>0</v>
      </c>
      <c r="F2162">
        <v>0</v>
      </c>
      <c r="G2162">
        <v>0</v>
      </c>
    </row>
    <row r="2163" spans="1:7" x14ac:dyDescent="0.2">
      <c r="A2163" t="s">
        <v>4316</v>
      </c>
      <c r="B2163">
        <v>0</v>
      </c>
      <c r="C2163">
        <v>0</v>
      </c>
      <c r="D2163">
        <v>0</v>
      </c>
      <c r="E2163">
        <v>0</v>
      </c>
      <c r="F2163">
        <v>0</v>
      </c>
      <c r="G2163">
        <v>0</v>
      </c>
    </row>
    <row r="2164" spans="1:7" x14ac:dyDescent="0.2">
      <c r="A2164" t="s">
        <v>4317</v>
      </c>
      <c r="B2164">
        <v>0</v>
      </c>
      <c r="C2164">
        <v>0</v>
      </c>
      <c r="D2164">
        <v>0</v>
      </c>
      <c r="E2164">
        <v>0</v>
      </c>
      <c r="F2164">
        <v>0</v>
      </c>
      <c r="G2164">
        <v>0</v>
      </c>
    </row>
    <row r="2165" spans="1:7" x14ac:dyDescent="0.2">
      <c r="A2165" t="s">
        <v>4318</v>
      </c>
      <c r="B2165">
        <v>0</v>
      </c>
      <c r="C2165">
        <v>0</v>
      </c>
      <c r="D2165">
        <v>0</v>
      </c>
      <c r="E2165">
        <v>0</v>
      </c>
      <c r="F2165">
        <v>0</v>
      </c>
      <c r="G2165">
        <v>0</v>
      </c>
    </row>
    <row r="2166" spans="1:7" x14ac:dyDescent="0.2">
      <c r="A2166" t="s">
        <v>4319</v>
      </c>
      <c r="B2166">
        <v>0</v>
      </c>
      <c r="C2166">
        <v>0</v>
      </c>
      <c r="D2166">
        <v>0</v>
      </c>
      <c r="E2166">
        <v>0</v>
      </c>
      <c r="F2166">
        <v>0</v>
      </c>
      <c r="G2166">
        <v>0</v>
      </c>
    </row>
    <row r="2167" spans="1:7" x14ac:dyDescent="0.2">
      <c r="A2167" t="s">
        <v>4320</v>
      </c>
      <c r="B2167">
        <v>0</v>
      </c>
      <c r="C2167">
        <v>0</v>
      </c>
      <c r="D2167">
        <v>0</v>
      </c>
      <c r="E2167">
        <v>0</v>
      </c>
      <c r="F2167">
        <v>0</v>
      </c>
      <c r="G2167">
        <v>0</v>
      </c>
    </row>
    <row r="2168" spans="1:7" x14ac:dyDescent="0.2">
      <c r="A2168" t="s">
        <v>4321</v>
      </c>
      <c r="B2168">
        <v>0</v>
      </c>
      <c r="C2168">
        <v>0</v>
      </c>
      <c r="D2168">
        <v>0</v>
      </c>
      <c r="E2168">
        <v>0</v>
      </c>
      <c r="F2168">
        <v>0</v>
      </c>
      <c r="G2168">
        <v>0</v>
      </c>
    </row>
    <row r="2169" spans="1:7" x14ac:dyDescent="0.2">
      <c r="A2169" t="s">
        <v>4322</v>
      </c>
      <c r="B2169">
        <v>0</v>
      </c>
      <c r="C2169">
        <v>0</v>
      </c>
      <c r="D2169">
        <v>0</v>
      </c>
      <c r="E2169">
        <v>0</v>
      </c>
      <c r="F2169">
        <v>0</v>
      </c>
      <c r="G2169">
        <v>0</v>
      </c>
    </row>
    <row r="2170" spans="1:7" x14ac:dyDescent="0.2">
      <c r="A2170" t="s">
        <v>4323</v>
      </c>
      <c r="B2170">
        <v>0</v>
      </c>
      <c r="C2170">
        <v>0</v>
      </c>
      <c r="D2170">
        <v>0</v>
      </c>
      <c r="E2170">
        <v>0</v>
      </c>
      <c r="F2170">
        <v>0</v>
      </c>
      <c r="G2170">
        <v>0</v>
      </c>
    </row>
    <row r="2171" spans="1:7" x14ac:dyDescent="0.2">
      <c r="A2171" t="s">
        <v>4324</v>
      </c>
      <c r="B2171">
        <v>0</v>
      </c>
      <c r="C2171">
        <v>0</v>
      </c>
      <c r="D2171">
        <v>0</v>
      </c>
      <c r="E2171">
        <v>0</v>
      </c>
      <c r="F2171">
        <v>0</v>
      </c>
      <c r="G2171">
        <v>0</v>
      </c>
    </row>
    <row r="2172" spans="1:7" x14ac:dyDescent="0.2">
      <c r="A2172" t="s">
        <v>4325</v>
      </c>
      <c r="B2172">
        <v>0</v>
      </c>
      <c r="C2172">
        <v>0</v>
      </c>
      <c r="D2172">
        <v>0</v>
      </c>
      <c r="E2172">
        <v>0</v>
      </c>
      <c r="F2172">
        <v>0</v>
      </c>
      <c r="G2172">
        <v>0</v>
      </c>
    </row>
    <row r="2173" spans="1:7" x14ac:dyDescent="0.2">
      <c r="A2173" t="s">
        <v>4326</v>
      </c>
      <c r="B2173">
        <v>0</v>
      </c>
      <c r="C2173">
        <v>0</v>
      </c>
      <c r="D2173">
        <v>0</v>
      </c>
      <c r="E2173">
        <v>0</v>
      </c>
      <c r="F2173">
        <v>0</v>
      </c>
      <c r="G2173">
        <v>0</v>
      </c>
    </row>
    <row r="2174" spans="1:7" x14ac:dyDescent="0.2">
      <c r="A2174" t="s">
        <v>4327</v>
      </c>
      <c r="B2174">
        <v>0</v>
      </c>
      <c r="C2174">
        <v>0</v>
      </c>
      <c r="D2174">
        <v>0</v>
      </c>
      <c r="E2174">
        <v>0</v>
      </c>
      <c r="F2174">
        <v>0</v>
      </c>
      <c r="G2174">
        <v>0</v>
      </c>
    </row>
    <row r="2175" spans="1:7" x14ac:dyDescent="0.2">
      <c r="A2175" t="s">
        <v>4328</v>
      </c>
      <c r="B2175">
        <v>0</v>
      </c>
      <c r="C2175">
        <v>0</v>
      </c>
      <c r="D2175">
        <v>0</v>
      </c>
      <c r="E2175">
        <v>0</v>
      </c>
      <c r="F2175">
        <v>0</v>
      </c>
      <c r="G2175">
        <v>0</v>
      </c>
    </row>
    <row r="2176" spans="1:7" x14ac:dyDescent="0.2">
      <c r="A2176" t="s">
        <v>4329</v>
      </c>
      <c r="B2176">
        <v>0</v>
      </c>
      <c r="C2176">
        <v>0</v>
      </c>
      <c r="D2176">
        <v>0</v>
      </c>
      <c r="E2176">
        <v>0</v>
      </c>
      <c r="F2176">
        <v>0</v>
      </c>
      <c r="G2176">
        <v>0</v>
      </c>
    </row>
    <row r="2177" spans="1:7" x14ac:dyDescent="0.2">
      <c r="A2177" t="s">
        <v>4330</v>
      </c>
      <c r="B2177">
        <v>0</v>
      </c>
      <c r="C2177">
        <v>0</v>
      </c>
      <c r="D2177">
        <v>0</v>
      </c>
      <c r="E2177">
        <v>0</v>
      </c>
      <c r="F2177">
        <v>0</v>
      </c>
      <c r="G2177">
        <v>0</v>
      </c>
    </row>
    <row r="2178" spans="1:7" x14ac:dyDescent="0.2">
      <c r="A2178" t="s">
        <v>4331</v>
      </c>
      <c r="B2178">
        <v>0</v>
      </c>
      <c r="C2178">
        <v>0</v>
      </c>
      <c r="D2178">
        <v>0</v>
      </c>
      <c r="E2178">
        <v>0</v>
      </c>
      <c r="F2178">
        <v>0</v>
      </c>
      <c r="G2178">
        <v>0</v>
      </c>
    </row>
    <row r="2179" spans="1:7" x14ac:dyDescent="0.2">
      <c r="A2179" t="s">
        <v>4332</v>
      </c>
      <c r="B2179">
        <v>0</v>
      </c>
      <c r="C2179">
        <v>0</v>
      </c>
      <c r="D2179">
        <v>0</v>
      </c>
      <c r="E2179">
        <v>0</v>
      </c>
      <c r="F2179">
        <v>0</v>
      </c>
      <c r="G2179">
        <v>0</v>
      </c>
    </row>
    <row r="2180" spans="1:7" x14ac:dyDescent="0.2">
      <c r="A2180" t="s">
        <v>4333</v>
      </c>
      <c r="B2180">
        <v>0</v>
      </c>
      <c r="C2180">
        <v>0</v>
      </c>
      <c r="D2180">
        <v>0</v>
      </c>
      <c r="E2180">
        <v>0</v>
      </c>
      <c r="F2180">
        <v>0</v>
      </c>
      <c r="G2180">
        <v>0</v>
      </c>
    </row>
    <row r="2181" spans="1:7" x14ac:dyDescent="0.2">
      <c r="A2181" t="s">
        <v>4334</v>
      </c>
      <c r="B2181">
        <v>0</v>
      </c>
      <c r="C2181">
        <v>0</v>
      </c>
      <c r="D2181">
        <v>0</v>
      </c>
      <c r="E2181">
        <v>0</v>
      </c>
      <c r="F2181">
        <v>0</v>
      </c>
      <c r="G2181">
        <v>0</v>
      </c>
    </row>
    <row r="2182" spans="1:7" x14ac:dyDescent="0.2">
      <c r="A2182" t="s">
        <v>4335</v>
      </c>
      <c r="B2182">
        <v>0</v>
      </c>
      <c r="C2182">
        <v>0</v>
      </c>
      <c r="D2182">
        <v>0</v>
      </c>
      <c r="E2182">
        <v>0</v>
      </c>
      <c r="F2182">
        <v>0</v>
      </c>
      <c r="G2182">
        <v>0</v>
      </c>
    </row>
    <row r="2183" spans="1:7" x14ac:dyDescent="0.2">
      <c r="A2183" t="s">
        <v>4336</v>
      </c>
      <c r="B2183">
        <v>0</v>
      </c>
      <c r="C2183">
        <v>0</v>
      </c>
      <c r="D2183">
        <v>0</v>
      </c>
      <c r="E2183">
        <v>0</v>
      </c>
      <c r="F2183">
        <v>0</v>
      </c>
      <c r="G2183">
        <v>0</v>
      </c>
    </row>
    <row r="2184" spans="1:7" x14ac:dyDescent="0.2">
      <c r="A2184" t="s">
        <v>4337</v>
      </c>
      <c r="B2184">
        <v>0</v>
      </c>
      <c r="C2184">
        <v>0</v>
      </c>
      <c r="D2184">
        <v>0</v>
      </c>
      <c r="E2184">
        <v>0</v>
      </c>
      <c r="F2184">
        <v>0</v>
      </c>
      <c r="G2184">
        <v>0</v>
      </c>
    </row>
    <row r="2185" spans="1:7" x14ac:dyDescent="0.2">
      <c r="A2185" t="s">
        <v>4338</v>
      </c>
      <c r="B2185">
        <v>0</v>
      </c>
      <c r="C2185">
        <v>0</v>
      </c>
      <c r="D2185">
        <v>0</v>
      </c>
      <c r="E2185">
        <v>0</v>
      </c>
      <c r="F2185">
        <v>0</v>
      </c>
      <c r="G2185">
        <v>0</v>
      </c>
    </row>
    <row r="2186" spans="1:7" x14ac:dyDescent="0.2">
      <c r="A2186" t="s">
        <v>4339</v>
      </c>
      <c r="B2186">
        <v>0</v>
      </c>
      <c r="C2186">
        <v>0</v>
      </c>
      <c r="D2186">
        <v>0</v>
      </c>
      <c r="E2186">
        <v>0</v>
      </c>
      <c r="F2186">
        <v>0</v>
      </c>
      <c r="G2186">
        <v>0</v>
      </c>
    </row>
    <row r="2187" spans="1:7" x14ac:dyDescent="0.2">
      <c r="A2187" t="s">
        <v>4340</v>
      </c>
      <c r="B2187">
        <v>0</v>
      </c>
      <c r="C2187">
        <v>0</v>
      </c>
      <c r="D2187">
        <v>0</v>
      </c>
      <c r="E2187">
        <v>0</v>
      </c>
      <c r="F2187">
        <v>0</v>
      </c>
      <c r="G2187">
        <v>0</v>
      </c>
    </row>
    <row r="2188" spans="1:7" x14ac:dyDescent="0.2">
      <c r="A2188" t="s">
        <v>4341</v>
      </c>
      <c r="B2188">
        <v>0</v>
      </c>
      <c r="C2188">
        <v>0</v>
      </c>
      <c r="D2188">
        <v>0</v>
      </c>
      <c r="E2188">
        <v>0</v>
      </c>
      <c r="F2188">
        <v>0</v>
      </c>
      <c r="G2188">
        <v>0</v>
      </c>
    </row>
    <row r="2189" spans="1:7" x14ac:dyDescent="0.2">
      <c r="A2189" t="s">
        <v>4342</v>
      </c>
      <c r="B2189">
        <v>0</v>
      </c>
      <c r="C2189">
        <v>0</v>
      </c>
      <c r="D2189">
        <v>0</v>
      </c>
      <c r="E2189">
        <v>0</v>
      </c>
      <c r="F2189">
        <v>0</v>
      </c>
      <c r="G2189">
        <v>0</v>
      </c>
    </row>
    <row r="2190" spans="1:7" x14ac:dyDescent="0.2">
      <c r="A2190" t="s">
        <v>4343</v>
      </c>
      <c r="B2190">
        <v>0</v>
      </c>
      <c r="C2190">
        <v>0</v>
      </c>
      <c r="D2190">
        <v>0</v>
      </c>
      <c r="E2190">
        <v>0</v>
      </c>
      <c r="F2190">
        <v>0</v>
      </c>
      <c r="G2190">
        <v>0</v>
      </c>
    </row>
    <row r="2191" spans="1:7" x14ac:dyDescent="0.2">
      <c r="A2191" t="s">
        <v>1728</v>
      </c>
      <c r="B2191">
        <v>0</v>
      </c>
      <c r="C2191">
        <v>0</v>
      </c>
      <c r="D2191">
        <v>0</v>
      </c>
      <c r="E2191">
        <v>0</v>
      </c>
      <c r="F2191">
        <v>0</v>
      </c>
      <c r="G2191">
        <v>0</v>
      </c>
    </row>
    <row r="2192" spans="1:7" x14ac:dyDescent="0.2">
      <c r="A2192" t="s">
        <v>1730</v>
      </c>
      <c r="B2192">
        <v>0</v>
      </c>
      <c r="C2192">
        <v>0</v>
      </c>
      <c r="D2192">
        <v>2</v>
      </c>
      <c r="E2192">
        <v>2</v>
      </c>
      <c r="F2192">
        <v>191</v>
      </c>
      <c r="G2192">
        <v>195</v>
      </c>
    </row>
    <row r="2193" spans="1:7" x14ac:dyDescent="0.2">
      <c r="A2193" t="s">
        <v>1733</v>
      </c>
      <c r="B2193">
        <v>0</v>
      </c>
      <c r="C2193">
        <v>0</v>
      </c>
      <c r="D2193">
        <v>0</v>
      </c>
      <c r="E2193">
        <v>0</v>
      </c>
      <c r="F2193">
        <v>0</v>
      </c>
      <c r="G2193">
        <v>0</v>
      </c>
    </row>
    <row r="2194" spans="1:7" x14ac:dyDescent="0.2">
      <c r="A2194" t="s">
        <v>1738</v>
      </c>
      <c r="B2194">
        <v>0</v>
      </c>
      <c r="C2194">
        <v>0</v>
      </c>
      <c r="D2194">
        <v>0</v>
      </c>
      <c r="E2194">
        <v>0</v>
      </c>
      <c r="F2194">
        <v>0</v>
      </c>
      <c r="G2194">
        <v>0</v>
      </c>
    </row>
    <row r="2195" spans="1:7" x14ac:dyDescent="0.2">
      <c r="A2195" t="s">
        <v>1744</v>
      </c>
      <c r="B2195">
        <v>0</v>
      </c>
      <c r="C2195">
        <v>0</v>
      </c>
      <c r="D2195">
        <v>0</v>
      </c>
      <c r="E2195">
        <v>0</v>
      </c>
      <c r="F2195">
        <v>0</v>
      </c>
      <c r="G2195">
        <v>0</v>
      </c>
    </row>
    <row r="2196" spans="1:7" x14ac:dyDescent="0.2">
      <c r="A2196" t="s">
        <v>1747</v>
      </c>
      <c r="B2196">
        <v>0</v>
      </c>
      <c r="C2196">
        <v>0</v>
      </c>
      <c r="D2196">
        <v>0</v>
      </c>
      <c r="E2196">
        <v>0</v>
      </c>
      <c r="F2196">
        <v>0</v>
      </c>
      <c r="G2196">
        <v>0</v>
      </c>
    </row>
    <row r="2197" spans="1:7" x14ac:dyDescent="0.2">
      <c r="A2197" t="s">
        <v>1751</v>
      </c>
      <c r="B2197">
        <v>0</v>
      </c>
      <c r="C2197">
        <v>0</v>
      </c>
      <c r="D2197">
        <v>0</v>
      </c>
      <c r="E2197">
        <v>0</v>
      </c>
      <c r="F2197">
        <v>0</v>
      </c>
      <c r="G2197">
        <v>0</v>
      </c>
    </row>
    <row r="2198" spans="1:7" x14ac:dyDescent="0.2">
      <c r="A2198" t="s">
        <v>1755</v>
      </c>
      <c r="B2198">
        <v>0</v>
      </c>
      <c r="C2198">
        <v>0</v>
      </c>
      <c r="D2198">
        <v>0</v>
      </c>
      <c r="E2198">
        <v>1</v>
      </c>
      <c r="F2198">
        <v>7</v>
      </c>
      <c r="G2198">
        <v>8</v>
      </c>
    </row>
    <row r="2199" spans="1:7" x14ac:dyDescent="0.2">
      <c r="A2199" t="s">
        <v>1757</v>
      </c>
      <c r="B2199">
        <v>0</v>
      </c>
      <c r="C2199">
        <v>0</v>
      </c>
      <c r="D2199">
        <v>0</v>
      </c>
      <c r="E2199">
        <v>1</v>
      </c>
      <c r="F2199">
        <v>8</v>
      </c>
      <c r="G2199">
        <v>9</v>
      </c>
    </row>
    <row r="2200" spans="1:7" x14ac:dyDescent="0.2">
      <c r="A2200" t="s">
        <v>1761</v>
      </c>
      <c r="B2200">
        <v>0</v>
      </c>
      <c r="C2200">
        <v>0</v>
      </c>
      <c r="D2200">
        <v>0</v>
      </c>
      <c r="E2200">
        <v>0</v>
      </c>
      <c r="F2200">
        <v>0</v>
      </c>
      <c r="G2200">
        <v>0</v>
      </c>
    </row>
    <row r="2201" spans="1:7" x14ac:dyDescent="0.2">
      <c r="A2201" t="s">
        <v>1764</v>
      </c>
      <c r="B2201">
        <v>0</v>
      </c>
      <c r="C2201">
        <v>0</v>
      </c>
      <c r="D2201">
        <v>0</v>
      </c>
      <c r="E2201">
        <v>0</v>
      </c>
      <c r="F2201">
        <v>0</v>
      </c>
      <c r="G2201">
        <v>0</v>
      </c>
    </row>
    <row r="2202" spans="1:7" x14ac:dyDescent="0.2">
      <c r="A2202" t="s">
        <v>1770</v>
      </c>
      <c r="B2202">
        <v>0</v>
      </c>
      <c r="C2202">
        <v>1</v>
      </c>
      <c r="D2202">
        <v>6</v>
      </c>
      <c r="E2202">
        <v>78</v>
      </c>
      <c r="F2202">
        <v>0</v>
      </c>
      <c r="G2202">
        <v>85</v>
      </c>
    </row>
    <row r="2203" spans="1:7" x14ac:dyDescent="0.2">
      <c r="A2203" t="s">
        <v>1772</v>
      </c>
      <c r="B2203">
        <v>0</v>
      </c>
      <c r="C2203">
        <v>0</v>
      </c>
      <c r="D2203">
        <v>2</v>
      </c>
      <c r="E2203">
        <v>34</v>
      </c>
      <c r="F2203">
        <v>0</v>
      </c>
      <c r="G2203">
        <v>37</v>
      </c>
    </row>
    <row r="2204" spans="1:7" x14ac:dyDescent="0.2">
      <c r="A2204" t="s">
        <v>1774</v>
      </c>
      <c r="B2204">
        <v>0</v>
      </c>
      <c r="C2204">
        <v>0</v>
      </c>
      <c r="D2204">
        <v>0</v>
      </c>
      <c r="E2204">
        <v>0</v>
      </c>
      <c r="F2204">
        <v>0</v>
      </c>
      <c r="G2204">
        <v>0</v>
      </c>
    </row>
    <row r="2205" spans="1:7" x14ac:dyDescent="0.2">
      <c r="A2205" t="s">
        <v>1777</v>
      </c>
      <c r="B2205">
        <v>0</v>
      </c>
      <c r="C2205">
        <v>0</v>
      </c>
      <c r="D2205">
        <v>0</v>
      </c>
      <c r="E2205">
        <v>0</v>
      </c>
      <c r="F2205">
        <v>0</v>
      </c>
      <c r="G2205">
        <v>0</v>
      </c>
    </row>
    <row r="2206" spans="1:7" x14ac:dyDescent="0.2">
      <c r="A2206" t="s">
        <v>1782</v>
      </c>
      <c r="B2206">
        <v>0</v>
      </c>
      <c r="C2206">
        <v>0</v>
      </c>
      <c r="D2206">
        <v>0</v>
      </c>
      <c r="E2206">
        <v>0</v>
      </c>
      <c r="F2206">
        <v>0</v>
      </c>
      <c r="G2206">
        <v>0</v>
      </c>
    </row>
    <row r="2207" spans="1:7" x14ac:dyDescent="0.2">
      <c r="A2207" t="s">
        <v>1274</v>
      </c>
      <c r="B2207">
        <v>0</v>
      </c>
      <c r="C2207">
        <v>0</v>
      </c>
      <c r="D2207">
        <v>0</v>
      </c>
      <c r="E2207">
        <v>0</v>
      </c>
      <c r="F2207">
        <v>0</v>
      </c>
      <c r="G2207">
        <v>0</v>
      </c>
    </row>
    <row r="2208" spans="1:7" x14ac:dyDescent="0.2">
      <c r="A2208" t="s">
        <v>1277</v>
      </c>
      <c r="B2208">
        <v>0</v>
      </c>
      <c r="C2208">
        <v>0</v>
      </c>
      <c r="D2208">
        <v>0</v>
      </c>
      <c r="E2208">
        <v>0</v>
      </c>
      <c r="F2208">
        <v>0</v>
      </c>
      <c r="G2208">
        <v>0</v>
      </c>
    </row>
    <row r="2209" spans="1:7" x14ac:dyDescent="0.2">
      <c r="A2209" t="s">
        <v>1798</v>
      </c>
      <c r="B2209">
        <v>0</v>
      </c>
      <c r="C2209">
        <v>0</v>
      </c>
      <c r="D2209">
        <v>0</v>
      </c>
      <c r="E2209">
        <v>0</v>
      </c>
      <c r="F2209">
        <v>0</v>
      </c>
      <c r="G2209">
        <v>0</v>
      </c>
    </row>
    <row r="2210" spans="1:7" x14ac:dyDescent="0.2">
      <c r="A2210" t="s">
        <v>1803</v>
      </c>
      <c r="B2210">
        <v>0</v>
      </c>
      <c r="C2210">
        <v>0</v>
      </c>
      <c r="D2210">
        <v>0</v>
      </c>
      <c r="E2210">
        <v>0</v>
      </c>
      <c r="F2210">
        <v>0</v>
      </c>
      <c r="G2210">
        <v>0</v>
      </c>
    </row>
    <row r="2211" spans="1:7" x14ac:dyDescent="0.2">
      <c r="A2211" t="s">
        <v>1808</v>
      </c>
      <c r="B2211">
        <v>0</v>
      </c>
      <c r="C2211">
        <v>0</v>
      </c>
      <c r="D2211">
        <v>0</v>
      </c>
      <c r="E2211">
        <v>0</v>
      </c>
      <c r="F2211">
        <v>0</v>
      </c>
      <c r="G2211">
        <v>0</v>
      </c>
    </row>
    <row r="2212" spans="1:7" x14ac:dyDescent="0.2">
      <c r="A2212" t="s">
        <v>1813</v>
      </c>
      <c r="B2212">
        <v>0</v>
      </c>
      <c r="C2212">
        <v>0</v>
      </c>
      <c r="D2212">
        <v>0</v>
      </c>
      <c r="E2212">
        <v>0</v>
      </c>
      <c r="F2212">
        <v>0</v>
      </c>
      <c r="G2212">
        <v>0</v>
      </c>
    </row>
    <row r="2213" spans="1:7" x14ac:dyDescent="0.2">
      <c r="A2213" t="s">
        <v>1819</v>
      </c>
      <c r="B2213">
        <v>0</v>
      </c>
      <c r="C2213">
        <v>0</v>
      </c>
      <c r="D2213">
        <v>0</v>
      </c>
      <c r="E2213">
        <v>0</v>
      </c>
      <c r="F2213">
        <v>0</v>
      </c>
      <c r="G2213">
        <v>0</v>
      </c>
    </row>
    <row r="2214" spans="1:7" x14ac:dyDescent="0.2">
      <c r="A2214" t="s">
        <v>1826</v>
      </c>
      <c r="B2214">
        <v>0</v>
      </c>
      <c r="C2214">
        <v>0</v>
      </c>
      <c r="D2214">
        <v>0</v>
      </c>
      <c r="E2214">
        <v>0</v>
      </c>
      <c r="F2214">
        <v>0</v>
      </c>
      <c r="G2214">
        <v>0</v>
      </c>
    </row>
    <row r="2215" spans="1:7" x14ac:dyDescent="0.2">
      <c r="A2215" t="s">
        <v>1830</v>
      </c>
      <c r="B2215">
        <v>0</v>
      </c>
      <c r="C2215">
        <v>0</v>
      </c>
      <c r="D2215">
        <v>0</v>
      </c>
      <c r="E2215">
        <v>0</v>
      </c>
      <c r="F2215">
        <v>0</v>
      </c>
      <c r="G2215">
        <v>0</v>
      </c>
    </row>
    <row r="2216" spans="1:7" x14ac:dyDescent="0.2">
      <c r="A2216" t="s">
        <v>1836</v>
      </c>
      <c r="B2216">
        <v>0</v>
      </c>
      <c r="C2216">
        <v>0</v>
      </c>
      <c r="D2216">
        <v>0</v>
      </c>
      <c r="E2216">
        <v>0</v>
      </c>
      <c r="F2216">
        <v>0</v>
      </c>
      <c r="G2216">
        <v>0</v>
      </c>
    </row>
    <row r="2217" spans="1:7" x14ac:dyDescent="0.2">
      <c r="A2217" t="s">
        <v>1841</v>
      </c>
      <c r="B2217">
        <v>0</v>
      </c>
      <c r="C2217">
        <v>0</v>
      </c>
      <c r="D2217">
        <v>0</v>
      </c>
      <c r="E2217">
        <v>0</v>
      </c>
      <c r="F2217">
        <v>0</v>
      </c>
      <c r="G2217">
        <v>0</v>
      </c>
    </row>
    <row r="2218" spans="1:7" x14ac:dyDescent="0.2">
      <c r="A2218" t="s">
        <v>1842</v>
      </c>
      <c r="B2218">
        <v>0</v>
      </c>
      <c r="C2218">
        <v>0</v>
      </c>
      <c r="D2218">
        <v>0</v>
      </c>
      <c r="E2218">
        <v>3</v>
      </c>
      <c r="F2218">
        <v>0</v>
      </c>
      <c r="G2218">
        <v>4</v>
      </c>
    </row>
    <row r="2219" spans="1:7" x14ac:dyDescent="0.2">
      <c r="A2219" t="s">
        <v>1843</v>
      </c>
      <c r="B2219">
        <v>0</v>
      </c>
      <c r="C2219">
        <v>0</v>
      </c>
      <c r="D2219">
        <v>0</v>
      </c>
      <c r="E2219">
        <v>0</v>
      </c>
      <c r="F2219">
        <v>0</v>
      </c>
      <c r="G2219">
        <v>0</v>
      </c>
    </row>
    <row r="2220" spans="1:7" x14ac:dyDescent="0.2">
      <c r="A2220" t="s">
        <v>1846</v>
      </c>
      <c r="B2220">
        <v>0</v>
      </c>
      <c r="C2220">
        <v>0</v>
      </c>
      <c r="D2220">
        <v>0</v>
      </c>
      <c r="E2220">
        <v>0</v>
      </c>
      <c r="F2220">
        <v>0</v>
      </c>
      <c r="G2220">
        <v>0</v>
      </c>
    </row>
    <row r="2221" spans="1:7" x14ac:dyDescent="0.2">
      <c r="A2221" t="s">
        <v>1851</v>
      </c>
      <c r="B2221">
        <v>0</v>
      </c>
      <c r="C2221">
        <v>0</v>
      </c>
      <c r="D2221">
        <v>0</v>
      </c>
      <c r="E2221">
        <v>0</v>
      </c>
      <c r="F2221">
        <v>0</v>
      </c>
      <c r="G2221">
        <v>0</v>
      </c>
    </row>
    <row r="2222" spans="1:7" x14ac:dyDescent="0.2">
      <c r="A2222" t="s">
        <v>1857</v>
      </c>
      <c r="B2222">
        <v>0</v>
      </c>
      <c r="C2222">
        <v>0</v>
      </c>
      <c r="D2222">
        <v>0</v>
      </c>
      <c r="E2222">
        <v>0</v>
      </c>
      <c r="F2222">
        <v>0</v>
      </c>
      <c r="G2222">
        <v>0</v>
      </c>
    </row>
    <row r="2223" spans="1:7" x14ac:dyDescent="0.2">
      <c r="A2223" t="s">
        <v>1862</v>
      </c>
      <c r="B2223">
        <v>0</v>
      </c>
      <c r="C2223">
        <v>0</v>
      </c>
      <c r="D2223">
        <v>0</v>
      </c>
      <c r="E2223">
        <v>0</v>
      </c>
      <c r="F2223">
        <v>0</v>
      </c>
      <c r="G2223">
        <v>0</v>
      </c>
    </row>
    <row r="2224" spans="1:7" x14ac:dyDescent="0.2">
      <c r="A2224" t="s">
        <v>1867</v>
      </c>
      <c r="B2224">
        <v>0</v>
      </c>
      <c r="C2224">
        <v>0</v>
      </c>
      <c r="D2224">
        <v>0</v>
      </c>
      <c r="E2224">
        <v>0</v>
      </c>
      <c r="F2224">
        <v>0</v>
      </c>
      <c r="G2224">
        <v>0</v>
      </c>
    </row>
    <row r="2225" spans="1:7" x14ac:dyDescent="0.2">
      <c r="A2225" t="s">
        <v>1870</v>
      </c>
      <c r="B2225">
        <v>0</v>
      </c>
      <c r="C2225">
        <v>0</v>
      </c>
      <c r="D2225">
        <v>0</v>
      </c>
      <c r="E2225">
        <v>0</v>
      </c>
      <c r="F2225">
        <v>0</v>
      </c>
      <c r="G2225">
        <v>0</v>
      </c>
    </row>
    <row r="2226" spans="1:7" x14ac:dyDescent="0.2">
      <c r="A2226" t="s">
        <v>1874</v>
      </c>
      <c r="B2226">
        <v>0</v>
      </c>
      <c r="C2226">
        <v>0</v>
      </c>
      <c r="D2226">
        <v>0</v>
      </c>
      <c r="E2226">
        <v>0</v>
      </c>
      <c r="F2226">
        <v>0</v>
      </c>
      <c r="G2226">
        <v>0</v>
      </c>
    </row>
    <row r="2227" spans="1:7" x14ac:dyDescent="0.2">
      <c r="A2227" t="s">
        <v>1876</v>
      </c>
      <c r="B2227">
        <v>0</v>
      </c>
      <c r="C2227">
        <v>0</v>
      </c>
      <c r="D2227">
        <v>0</v>
      </c>
      <c r="E2227">
        <v>0</v>
      </c>
      <c r="F2227">
        <v>0</v>
      </c>
      <c r="G2227">
        <v>0</v>
      </c>
    </row>
    <row r="2228" spans="1:7" x14ac:dyDescent="0.2">
      <c r="A2228" t="s">
        <v>1881</v>
      </c>
      <c r="B2228">
        <v>0</v>
      </c>
      <c r="C2228">
        <v>0</v>
      </c>
      <c r="D2228">
        <v>0</v>
      </c>
      <c r="E2228">
        <v>0</v>
      </c>
      <c r="F2228">
        <v>0</v>
      </c>
      <c r="G2228">
        <v>0</v>
      </c>
    </row>
    <row r="2229" spans="1:7" x14ac:dyDescent="0.2">
      <c r="A2229" t="s">
        <v>1885</v>
      </c>
      <c r="B2229">
        <v>0</v>
      </c>
      <c r="C2229">
        <v>0</v>
      </c>
      <c r="D2229">
        <v>0</v>
      </c>
      <c r="E2229">
        <v>3</v>
      </c>
      <c r="F2229">
        <v>1</v>
      </c>
      <c r="G2229">
        <v>5</v>
      </c>
    </row>
    <row r="2230" spans="1:7" x14ac:dyDescent="0.2">
      <c r="A2230" t="s">
        <v>1887</v>
      </c>
      <c r="B2230">
        <v>0</v>
      </c>
      <c r="C2230">
        <v>0</v>
      </c>
      <c r="D2230">
        <v>0</v>
      </c>
      <c r="E2230">
        <v>0</v>
      </c>
      <c r="F2230">
        <v>0</v>
      </c>
      <c r="G2230">
        <v>0</v>
      </c>
    </row>
    <row r="2231" spans="1:7" x14ac:dyDescent="0.2">
      <c r="A2231" t="s">
        <v>1893</v>
      </c>
      <c r="B2231">
        <v>0</v>
      </c>
      <c r="C2231">
        <v>0</v>
      </c>
      <c r="D2231">
        <v>0</v>
      </c>
      <c r="E2231">
        <v>1</v>
      </c>
      <c r="F2231">
        <v>0</v>
      </c>
      <c r="G2231">
        <v>1</v>
      </c>
    </row>
    <row r="2232" spans="1:7" x14ac:dyDescent="0.2">
      <c r="A2232" t="s">
        <v>1899</v>
      </c>
      <c r="B2232">
        <v>0</v>
      </c>
      <c r="C2232">
        <v>0</v>
      </c>
      <c r="D2232">
        <v>0</v>
      </c>
      <c r="E2232">
        <v>0</v>
      </c>
      <c r="F2232">
        <v>0</v>
      </c>
      <c r="G2232">
        <v>0</v>
      </c>
    </row>
    <row r="2233" spans="1:7" x14ac:dyDescent="0.2">
      <c r="A2233" t="s">
        <v>1906</v>
      </c>
      <c r="B2233">
        <v>0</v>
      </c>
      <c r="C2233">
        <v>0</v>
      </c>
      <c r="D2233">
        <v>0</v>
      </c>
      <c r="E2233">
        <v>0</v>
      </c>
      <c r="F2233">
        <v>0</v>
      </c>
      <c r="G2233">
        <v>0</v>
      </c>
    </row>
    <row r="2234" spans="1:7" x14ac:dyDescent="0.2">
      <c r="A2234" t="s">
        <v>1911</v>
      </c>
      <c r="B2234">
        <v>0</v>
      </c>
      <c r="C2234">
        <v>0</v>
      </c>
      <c r="D2234">
        <v>0</v>
      </c>
      <c r="E2234">
        <v>0</v>
      </c>
      <c r="F2234">
        <v>0</v>
      </c>
      <c r="G2234">
        <v>0</v>
      </c>
    </row>
    <row r="2235" spans="1:7" x14ac:dyDescent="0.2">
      <c r="A2235" t="s">
        <v>1917</v>
      </c>
      <c r="B2235">
        <v>0</v>
      </c>
      <c r="C2235">
        <v>0</v>
      </c>
      <c r="D2235">
        <v>0</v>
      </c>
      <c r="E2235">
        <v>1</v>
      </c>
      <c r="F2235">
        <v>2</v>
      </c>
      <c r="G2235">
        <v>3</v>
      </c>
    </row>
    <row r="2236" spans="1:7" x14ac:dyDescent="0.2">
      <c r="A2236" t="s">
        <v>1922</v>
      </c>
      <c r="B2236">
        <v>0</v>
      </c>
      <c r="C2236">
        <v>0</v>
      </c>
      <c r="D2236">
        <v>0</v>
      </c>
      <c r="E2236">
        <v>0</v>
      </c>
      <c r="F2236">
        <v>0</v>
      </c>
      <c r="G2236">
        <v>0</v>
      </c>
    </row>
    <row r="2237" spans="1:7" x14ac:dyDescent="0.2">
      <c r="A2237" t="s">
        <v>1928</v>
      </c>
      <c r="B2237">
        <v>0</v>
      </c>
      <c r="C2237">
        <v>0</v>
      </c>
      <c r="D2237">
        <v>0</v>
      </c>
      <c r="E2237">
        <v>0</v>
      </c>
      <c r="F2237">
        <v>0</v>
      </c>
      <c r="G2237">
        <v>0</v>
      </c>
    </row>
    <row r="2238" spans="1:7" x14ac:dyDescent="0.2">
      <c r="A2238" t="s">
        <v>1932</v>
      </c>
      <c r="B2238">
        <v>0</v>
      </c>
      <c r="C2238">
        <v>0</v>
      </c>
      <c r="D2238">
        <v>0</v>
      </c>
      <c r="E2238">
        <v>0</v>
      </c>
      <c r="F2238">
        <v>0</v>
      </c>
      <c r="G2238">
        <v>0</v>
      </c>
    </row>
    <row r="2239" spans="1:7" x14ac:dyDescent="0.2">
      <c r="A2239" t="s">
        <v>1938</v>
      </c>
      <c r="B2239">
        <v>0</v>
      </c>
      <c r="C2239">
        <v>0</v>
      </c>
      <c r="D2239">
        <v>0</v>
      </c>
      <c r="E2239">
        <v>0</v>
      </c>
      <c r="F2239">
        <v>0</v>
      </c>
      <c r="G2239">
        <v>0</v>
      </c>
    </row>
    <row r="2240" spans="1:7" x14ac:dyDescent="0.2">
      <c r="A2240" t="s">
        <v>1944</v>
      </c>
      <c r="B2240">
        <v>0</v>
      </c>
      <c r="C2240">
        <v>0</v>
      </c>
      <c r="D2240">
        <v>0</v>
      </c>
      <c r="E2240">
        <v>0</v>
      </c>
      <c r="F2240">
        <v>0</v>
      </c>
      <c r="G2240">
        <v>0</v>
      </c>
    </row>
    <row r="2241" spans="1:7" x14ac:dyDescent="0.2">
      <c r="A2241" t="s">
        <v>1947</v>
      </c>
      <c r="B2241">
        <v>0</v>
      </c>
      <c r="C2241">
        <v>0</v>
      </c>
      <c r="D2241">
        <v>0</v>
      </c>
      <c r="E2241">
        <v>0</v>
      </c>
      <c r="F2241">
        <v>0</v>
      </c>
      <c r="G2241">
        <v>0</v>
      </c>
    </row>
    <row r="2242" spans="1:7" x14ac:dyDescent="0.2">
      <c r="A2242" t="s">
        <v>1953</v>
      </c>
      <c r="B2242">
        <v>0</v>
      </c>
      <c r="C2242">
        <v>0</v>
      </c>
      <c r="D2242">
        <v>0</v>
      </c>
      <c r="E2242">
        <v>0</v>
      </c>
      <c r="F2242">
        <v>0</v>
      </c>
      <c r="G2242">
        <v>0</v>
      </c>
    </row>
    <row r="2243" spans="1:7" x14ac:dyDescent="0.2">
      <c r="A2243" t="s">
        <v>1958</v>
      </c>
      <c r="B2243">
        <v>0</v>
      </c>
      <c r="C2243">
        <v>0</v>
      </c>
      <c r="D2243">
        <v>0</v>
      </c>
      <c r="E2243">
        <v>0</v>
      </c>
      <c r="F2243">
        <v>0</v>
      </c>
      <c r="G2243">
        <v>0</v>
      </c>
    </row>
    <row r="2244" spans="1:7" x14ac:dyDescent="0.2">
      <c r="A2244" t="s">
        <v>1964</v>
      </c>
      <c r="B2244">
        <v>0</v>
      </c>
      <c r="C2244">
        <v>0</v>
      </c>
      <c r="D2244">
        <v>0</v>
      </c>
      <c r="E2244">
        <v>0</v>
      </c>
      <c r="F2244">
        <v>0</v>
      </c>
      <c r="G2244">
        <v>0</v>
      </c>
    </row>
    <row r="2245" spans="1:7" x14ac:dyDescent="0.2">
      <c r="A2245" t="s">
        <v>1973</v>
      </c>
      <c r="B2245">
        <v>0</v>
      </c>
      <c r="C2245">
        <v>0</v>
      </c>
      <c r="D2245">
        <v>0</v>
      </c>
      <c r="E2245">
        <v>0</v>
      </c>
      <c r="F2245">
        <v>0</v>
      </c>
      <c r="G2245">
        <v>0</v>
      </c>
    </row>
    <row r="2246" spans="1:7" x14ac:dyDescent="0.2">
      <c r="A2246" t="s">
        <v>1978</v>
      </c>
      <c r="B2246">
        <v>0</v>
      </c>
      <c r="C2246">
        <v>0</v>
      </c>
      <c r="D2246">
        <v>0</v>
      </c>
      <c r="E2246">
        <v>0</v>
      </c>
      <c r="F2246">
        <v>0</v>
      </c>
      <c r="G2246">
        <v>0</v>
      </c>
    </row>
    <row r="2247" spans="1:7" x14ac:dyDescent="0.2">
      <c r="A2247" t="s">
        <v>1983</v>
      </c>
      <c r="B2247">
        <v>0</v>
      </c>
      <c r="C2247">
        <v>0</v>
      </c>
      <c r="D2247">
        <v>0</v>
      </c>
      <c r="E2247">
        <v>0</v>
      </c>
      <c r="F2247">
        <v>0</v>
      </c>
      <c r="G2247">
        <v>0</v>
      </c>
    </row>
    <row r="2248" spans="1:7" x14ac:dyDescent="0.2">
      <c r="A2248" t="s">
        <v>1984</v>
      </c>
      <c r="B2248">
        <v>0</v>
      </c>
      <c r="C2248">
        <v>0</v>
      </c>
      <c r="D2248">
        <v>0</v>
      </c>
      <c r="E2248">
        <v>0</v>
      </c>
      <c r="F2248">
        <v>0</v>
      </c>
      <c r="G2248">
        <v>0</v>
      </c>
    </row>
    <row r="2249" spans="1:7" x14ac:dyDescent="0.2">
      <c r="A2249" t="s">
        <v>1990</v>
      </c>
      <c r="B2249">
        <v>0</v>
      </c>
      <c r="C2249">
        <v>0</v>
      </c>
      <c r="D2249">
        <v>0</v>
      </c>
      <c r="E2249">
        <v>0</v>
      </c>
      <c r="F2249">
        <v>0</v>
      </c>
      <c r="G2249">
        <v>0</v>
      </c>
    </row>
    <row r="2250" spans="1:7" x14ac:dyDescent="0.2">
      <c r="A2250" t="s">
        <v>1996</v>
      </c>
      <c r="B2250">
        <v>0</v>
      </c>
      <c r="C2250">
        <v>0</v>
      </c>
      <c r="D2250">
        <v>0</v>
      </c>
      <c r="E2250">
        <v>0</v>
      </c>
      <c r="F2250">
        <v>0</v>
      </c>
      <c r="G2250">
        <v>0</v>
      </c>
    </row>
    <row r="2251" spans="1:7" x14ac:dyDescent="0.2">
      <c r="A2251" t="s">
        <v>1998</v>
      </c>
      <c r="B2251">
        <v>0</v>
      </c>
      <c r="C2251">
        <v>0</v>
      </c>
      <c r="D2251">
        <v>0</v>
      </c>
      <c r="E2251">
        <v>0</v>
      </c>
      <c r="F2251">
        <v>0</v>
      </c>
      <c r="G2251">
        <v>0</v>
      </c>
    </row>
    <row r="2252" spans="1:7" x14ac:dyDescent="0.2">
      <c r="A2252" t="s">
        <v>1999</v>
      </c>
      <c r="B2252">
        <v>0</v>
      </c>
      <c r="C2252">
        <v>0</v>
      </c>
      <c r="D2252">
        <v>0</v>
      </c>
      <c r="E2252">
        <v>0</v>
      </c>
      <c r="F2252">
        <v>0</v>
      </c>
      <c r="G2252">
        <v>0</v>
      </c>
    </row>
    <row r="2253" spans="1:7" x14ac:dyDescent="0.2">
      <c r="A2253" t="s">
        <v>2004</v>
      </c>
      <c r="B2253">
        <v>0</v>
      </c>
      <c r="C2253">
        <v>0</v>
      </c>
      <c r="D2253">
        <v>0</v>
      </c>
      <c r="E2253">
        <v>0</v>
      </c>
      <c r="F2253">
        <v>0</v>
      </c>
      <c r="G2253">
        <v>0</v>
      </c>
    </row>
    <row r="2254" spans="1:7" x14ac:dyDescent="0.2">
      <c r="A2254" t="s">
        <v>2009</v>
      </c>
      <c r="B2254">
        <v>0</v>
      </c>
      <c r="C2254">
        <v>0</v>
      </c>
      <c r="D2254">
        <v>0</v>
      </c>
      <c r="E2254">
        <v>0</v>
      </c>
      <c r="F2254">
        <v>0</v>
      </c>
      <c r="G2254">
        <v>0</v>
      </c>
    </row>
    <row r="2255" spans="1:7" x14ac:dyDescent="0.2">
      <c r="A2255" t="s">
        <v>2014</v>
      </c>
      <c r="B2255">
        <v>0</v>
      </c>
      <c r="C2255">
        <v>0</v>
      </c>
      <c r="D2255">
        <v>0</v>
      </c>
      <c r="E2255">
        <v>0</v>
      </c>
      <c r="F2255">
        <v>0</v>
      </c>
      <c r="G2255">
        <v>0</v>
      </c>
    </row>
    <row r="2256" spans="1:7" x14ac:dyDescent="0.2">
      <c r="A2256" t="s">
        <v>2019</v>
      </c>
      <c r="B2256">
        <v>0</v>
      </c>
      <c r="C2256">
        <v>0</v>
      </c>
      <c r="D2256">
        <v>0</v>
      </c>
      <c r="E2256">
        <v>0</v>
      </c>
      <c r="F2256">
        <v>0</v>
      </c>
      <c r="G2256">
        <v>0</v>
      </c>
    </row>
    <row r="2257" spans="1:7" x14ac:dyDescent="0.2">
      <c r="A2257" t="s">
        <v>2023</v>
      </c>
      <c r="B2257">
        <v>0</v>
      </c>
      <c r="C2257">
        <v>0</v>
      </c>
      <c r="D2257">
        <v>0</v>
      </c>
      <c r="E2257">
        <v>0</v>
      </c>
      <c r="F2257">
        <v>0</v>
      </c>
      <c r="G2257">
        <v>0</v>
      </c>
    </row>
    <row r="2258" spans="1:7" x14ac:dyDescent="0.2">
      <c r="A2258" t="s">
        <v>2026</v>
      </c>
      <c r="B2258">
        <v>0</v>
      </c>
      <c r="C2258">
        <v>0</v>
      </c>
      <c r="D2258">
        <v>0</v>
      </c>
      <c r="E2258">
        <v>0</v>
      </c>
      <c r="F2258">
        <v>0</v>
      </c>
      <c r="G2258">
        <v>0</v>
      </c>
    </row>
    <row r="2259" spans="1:7" x14ac:dyDescent="0.2">
      <c r="A2259" t="s">
        <v>2030</v>
      </c>
      <c r="B2259">
        <v>0</v>
      </c>
      <c r="C2259">
        <v>0</v>
      </c>
      <c r="D2259">
        <v>0</v>
      </c>
      <c r="E2259">
        <v>0</v>
      </c>
      <c r="F2259">
        <v>0</v>
      </c>
      <c r="G2259">
        <v>0</v>
      </c>
    </row>
    <row r="2260" spans="1:7" x14ac:dyDescent="0.2">
      <c r="A2260" t="s">
        <v>2035</v>
      </c>
      <c r="B2260">
        <v>0</v>
      </c>
      <c r="C2260">
        <v>0</v>
      </c>
      <c r="D2260">
        <v>0</v>
      </c>
      <c r="E2260">
        <v>0</v>
      </c>
      <c r="F2260">
        <v>0</v>
      </c>
      <c r="G2260">
        <v>0</v>
      </c>
    </row>
    <row r="2261" spans="1:7" x14ac:dyDescent="0.2">
      <c r="A2261" t="s">
        <v>2040</v>
      </c>
      <c r="B2261">
        <v>0</v>
      </c>
      <c r="C2261">
        <v>0</v>
      </c>
      <c r="D2261">
        <v>0</v>
      </c>
      <c r="E2261">
        <v>0</v>
      </c>
      <c r="F2261">
        <v>0</v>
      </c>
      <c r="G2261">
        <v>0</v>
      </c>
    </row>
    <row r="2262" spans="1:7" x14ac:dyDescent="0.2">
      <c r="A2262" t="s">
        <v>2045</v>
      </c>
      <c r="B2262">
        <v>0</v>
      </c>
      <c r="C2262">
        <v>0</v>
      </c>
      <c r="D2262">
        <v>0</v>
      </c>
      <c r="E2262">
        <v>0</v>
      </c>
      <c r="F2262">
        <v>0</v>
      </c>
      <c r="G2262">
        <v>0</v>
      </c>
    </row>
    <row r="2263" spans="1:7" x14ac:dyDescent="0.2">
      <c r="A2263" t="s">
        <v>2049</v>
      </c>
      <c r="B2263">
        <v>0</v>
      </c>
      <c r="C2263">
        <v>0</v>
      </c>
      <c r="D2263">
        <v>0</v>
      </c>
      <c r="E2263">
        <v>0</v>
      </c>
      <c r="F2263">
        <v>0</v>
      </c>
      <c r="G2263">
        <v>0</v>
      </c>
    </row>
    <row r="2264" spans="1:7" x14ac:dyDescent="0.2">
      <c r="A2264" t="s">
        <v>2051</v>
      </c>
      <c r="B2264">
        <v>0</v>
      </c>
      <c r="C2264">
        <v>0</v>
      </c>
      <c r="D2264">
        <v>0</v>
      </c>
      <c r="E2264">
        <v>0</v>
      </c>
      <c r="F2264">
        <v>3</v>
      </c>
      <c r="G2264">
        <v>3</v>
      </c>
    </row>
    <row r="2265" spans="1:7" x14ac:dyDescent="0.2">
      <c r="A2265" t="s">
        <v>2057</v>
      </c>
      <c r="B2265">
        <v>0</v>
      </c>
      <c r="C2265">
        <v>0</v>
      </c>
      <c r="D2265">
        <v>0</v>
      </c>
      <c r="E2265">
        <v>0</v>
      </c>
      <c r="F2265">
        <v>5</v>
      </c>
      <c r="G2265">
        <v>5</v>
      </c>
    </row>
    <row r="2266" spans="1:7" x14ac:dyDescent="0.2">
      <c r="A2266" t="s">
        <v>4344</v>
      </c>
      <c r="B2266">
        <v>0</v>
      </c>
      <c r="C2266">
        <v>0</v>
      </c>
      <c r="D2266">
        <v>0</v>
      </c>
      <c r="E2266">
        <v>1</v>
      </c>
      <c r="F2266">
        <v>0</v>
      </c>
      <c r="G2266">
        <v>1</v>
      </c>
    </row>
    <row r="2267" spans="1:7" x14ac:dyDescent="0.2">
      <c r="A2267" t="s">
        <v>4345</v>
      </c>
      <c r="B2267">
        <v>0</v>
      </c>
      <c r="C2267">
        <v>0</v>
      </c>
      <c r="D2267">
        <v>0</v>
      </c>
      <c r="E2267">
        <v>3</v>
      </c>
      <c r="F2267">
        <v>4</v>
      </c>
      <c r="G2267">
        <v>7</v>
      </c>
    </row>
    <row r="2268" spans="1:7" x14ac:dyDescent="0.2">
      <c r="A2268" t="s">
        <v>2074</v>
      </c>
      <c r="B2268">
        <v>0</v>
      </c>
      <c r="C2268">
        <v>0</v>
      </c>
      <c r="D2268">
        <v>0</v>
      </c>
      <c r="E2268">
        <v>0</v>
      </c>
      <c r="F2268">
        <v>0</v>
      </c>
      <c r="G2268">
        <v>0</v>
      </c>
    </row>
    <row r="2269" spans="1:7" x14ac:dyDescent="0.2">
      <c r="A2269" t="s">
        <v>2079</v>
      </c>
      <c r="B2269">
        <v>0</v>
      </c>
      <c r="C2269">
        <v>0</v>
      </c>
      <c r="D2269">
        <v>0</v>
      </c>
      <c r="E2269">
        <v>0</v>
      </c>
      <c r="F2269">
        <v>0</v>
      </c>
      <c r="G2269">
        <v>0</v>
      </c>
    </row>
    <row r="2270" spans="1:7" x14ac:dyDescent="0.2">
      <c r="A2270" t="s">
        <v>2085</v>
      </c>
      <c r="B2270">
        <v>0</v>
      </c>
      <c r="C2270">
        <v>0</v>
      </c>
      <c r="D2270">
        <v>0</v>
      </c>
      <c r="E2270">
        <v>0</v>
      </c>
      <c r="F2270">
        <v>0</v>
      </c>
      <c r="G2270">
        <v>0</v>
      </c>
    </row>
    <row r="2271" spans="1:7" x14ac:dyDescent="0.2">
      <c r="A2271" t="s">
        <v>2091</v>
      </c>
      <c r="B2271">
        <v>0</v>
      </c>
      <c r="C2271">
        <v>0</v>
      </c>
      <c r="D2271">
        <v>0</v>
      </c>
      <c r="E2271">
        <v>0</v>
      </c>
      <c r="F2271">
        <v>0</v>
      </c>
      <c r="G2271">
        <v>0</v>
      </c>
    </row>
    <row r="2272" spans="1:7" x14ac:dyDescent="0.2">
      <c r="A2272" t="s">
        <v>2097</v>
      </c>
      <c r="B2272">
        <v>0</v>
      </c>
      <c r="C2272">
        <v>0</v>
      </c>
      <c r="D2272">
        <v>0</v>
      </c>
      <c r="E2272">
        <v>0</v>
      </c>
      <c r="F2272">
        <v>0</v>
      </c>
      <c r="G2272">
        <v>0</v>
      </c>
    </row>
    <row r="2273" spans="1:7" x14ac:dyDescent="0.2">
      <c r="A2273" t="s">
        <v>2101</v>
      </c>
      <c r="B2273">
        <v>0</v>
      </c>
      <c r="C2273">
        <v>0</v>
      </c>
      <c r="D2273">
        <v>0</v>
      </c>
      <c r="E2273">
        <v>0</v>
      </c>
      <c r="F2273">
        <v>0</v>
      </c>
      <c r="G2273">
        <v>0</v>
      </c>
    </row>
    <row r="2274" spans="1:7" x14ac:dyDescent="0.2">
      <c r="A2274" t="s">
        <v>2104</v>
      </c>
      <c r="B2274">
        <v>0</v>
      </c>
      <c r="C2274">
        <v>0</v>
      </c>
      <c r="D2274">
        <v>0</v>
      </c>
      <c r="E2274">
        <v>0</v>
      </c>
      <c r="F2274">
        <v>0</v>
      </c>
      <c r="G2274">
        <v>0</v>
      </c>
    </row>
    <row r="2275" spans="1:7" x14ac:dyDescent="0.2">
      <c r="A2275" t="s">
        <v>2107</v>
      </c>
      <c r="B2275">
        <v>0</v>
      </c>
      <c r="C2275">
        <v>0</v>
      </c>
      <c r="D2275">
        <v>0</v>
      </c>
      <c r="E2275">
        <v>0</v>
      </c>
      <c r="F2275">
        <v>0</v>
      </c>
      <c r="G2275">
        <v>0</v>
      </c>
    </row>
    <row r="2276" spans="1:7" x14ac:dyDescent="0.2">
      <c r="A2276" t="s">
        <v>2110</v>
      </c>
      <c r="B2276">
        <v>0</v>
      </c>
      <c r="C2276">
        <v>0</v>
      </c>
      <c r="D2276">
        <v>0</v>
      </c>
      <c r="E2276">
        <v>0</v>
      </c>
      <c r="F2276">
        <v>0</v>
      </c>
      <c r="G2276">
        <v>0</v>
      </c>
    </row>
    <row r="2277" spans="1:7" x14ac:dyDescent="0.2">
      <c r="A2277" t="s">
        <v>2113</v>
      </c>
      <c r="B2277">
        <v>0</v>
      </c>
      <c r="C2277">
        <v>0</v>
      </c>
      <c r="D2277">
        <v>0</v>
      </c>
      <c r="E2277">
        <v>0</v>
      </c>
      <c r="F2277">
        <v>0</v>
      </c>
      <c r="G2277">
        <v>0</v>
      </c>
    </row>
    <row r="2278" spans="1:7" x14ac:dyDescent="0.2">
      <c r="A2278" t="s">
        <v>4346</v>
      </c>
      <c r="B2278">
        <v>0</v>
      </c>
      <c r="C2278">
        <v>0</v>
      </c>
      <c r="D2278">
        <v>0</v>
      </c>
      <c r="E2278">
        <v>0</v>
      </c>
      <c r="F2278">
        <v>0</v>
      </c>
      <c r="G2278">
        <v>0</v>
      </c>
    </row>
    <row r="2279" spans="1:7" x14ac:dyDescent="0.2">
      <c r="A2279" t="s">
        <v>4347</v>
      </c>
      <c r="B2279">
        <v>0</v>
      </c>
      <c r="C2279">
        <v>0</v>
      </c>
      <c r="D2279">
        <v>0</v>
      </c>
      <c r="E2279">
        <v>0</v>
      </c>
      <c r="F2279">
        <v>0</v>
      </c>
      <c r="G2279">
        <v>0</v>
      </c>
    </row>
    <row r="2280" spans="1:7" x14ac:dyDescent="0.2">
      <c r="A2280" t="s">
        <v>4348</v>
      </c>
      <c r="B2280">
        <v>0</v>
      </c>
      <c r="C2280">
        <v>0</v>
      </c>
      <c r="D2280">
        <v>0</v>
      </c>
      <c r="E2280">
        <v>0</v>
      </c>
      <c r="F2280">
        <v>0</v>
      </c>
      <c r="G2280">
        <v>0</v>
      </c>
    </row>
    <row r="2281" spans="1:7" x14ac:dyDescent="0.2">
      <c r="A2281" t="s">
        <v>4349</v>
      </c>
      <c r="B2281">
        <v>0</v>
      </c>
      <c r="C2281">
        <v>0</v>
      </c>
      <c r="D2281">
        <v>0</v>
      </c>
      <c r="E2281">
        <v>0</v>
      </c>
      <c r="F2281">
        <v>0</v>
      </c>
      <c r="G2281">
        <v>0</v>
      </c>
    </row>
    <row r="2282" spans="1:7" x14ac:dyDescent="0.2">
      <c r="A2282" t="s">
        <v>4350</v>
      </c>
      <c r="B2282">
        <v>0</v>
      </c>
      <c r="C2282">
        <v>1</v>
      </c>
      <c r="D2282">
        <v>8</v>
      </c>
      <c r="E2282">
        <v>0</v>
      </c>
      <c r="F2282">
        <v>0</v>
      </c>
      <c r="G2282">
        <v>8</v>
      </c>
    </row>
    <row r="2283" spans="1:7" x14ac:dyDescent="0.2">
      <c r="A2283" t="s">
        <v>4351</v>
      </c>
      <c r="B2283">
        <v>0</v>
      </c>
      <c r="C2283">
        <v>0</v>
      </c>
      <c r="D2283">
        <v>0</v>
      </c>
      <c r="E2283">
        <v>0</v>
      </c>
      <c r="F2283">
        <v>0</v>
      </c>
      <c r="G2283">
        <v>0</v>
      </c>
    </row>
    <row r="2284" spans="1:7" x14ac:dyDescent="0.2">
      <c r="A2284" t="s">
        <v>4352</v>
      </c>
      <c r="B2284">
        <v>0</v>
      </c>
      <c r="C2284">
        <v>0</v>
      </c>
      <c r="D2284">
        <v>0</v>
      </c>
      <c r="E2284">
        <v>0</v>
      </c>
      <c r="F2284">
        <v>0</v>
      </c>
      <c r="G2284">
        <v>0</v>
      </c>
    </row>
    <row r="2285" spans="1:7" x14ac:dyDescent="0.2">
      <c r="A2285" t="s">
        <v>4353</v>
      </c>
      <c r="B2285">
        <v>0</v>
      </c>
      <c r="C2285">
        <v>22</v>
      </c>
      <c r="D2285">
        <v>12</v>
      </c>
      <c r="E2285">
        <v>1</v>
      </c>
      <c r="F2285">
        <v>0</v>
      </c>
      <c r="G2285">
        <v>36</v>
      </c>
    </row>
    <row r="2286" spans="1:7" x14ac:dyDescent="0.2">
      <c r="A2286" t="s">
        <v>4354</v>
      </c>
      <c r="B2286">
        <v>1</v>
      </c>
      <c r="C2286">
        <v>14</v>
      </c>
      <c r="D2286">
        <v>5</v>
      </c>
      <c r="E2286">
        <v>0</v>
      </c>
      <c r="F2286">
        <v>0</v>
      </c>
      <c r="G2286">
        <v>21</v>
      </c>
    </row>
    <row r="2287" spans="1:7" x14ac:dyDescent="0.2">
      <c r="A2287" t="s">
        <v>4355</v>
      </c>
      <c r="B2287">
        <v>0</v>
      </c>
      <c r="C2287">
        <v>0</v>
      </c>
      <c r="D2287">
        <v>0</v>
      </c>
      <c r="E2287">
        <v>0</v>
      </c>
      <c r="F2287">
        <v>0</v>
      </c>
      <c r="G2287">
        <v>0</v>
      </c>
    </row>
    <row r="2288" spans="1:7" x14ac:dyDescent="0.2">
      <c r="A2288" t="s">
        <v>4356</v>
      </c>
      <c r="B2288">
        <v>0</v>
      </c>
      <c r="C2288">
        <v>0</v>
      </c>
      <c r="D2288">
        <v>0</v>
      </c>
      <c r="E2288">
        <v>0</v>
      </c>
      <c r="F2288">
        <v>0</v>
      </c>
      <c r="G2288">
        <v>0</v>
      </c>
    </row>
    <row r="2289" spans="1:7" x14ac:dyDescent="0.2">
      <c r="A2289" t="s">
        <v>4357</v>
      </c>
      <c r="B2289">
        <v>0</v>
      </c>
      <c r="C2289">
        <v>1</v>
      </c>
      <c r="D2289">
        <v>1</v>
      </c>
      <c r="E2289">
        <v>0</v>
      </c>
      <c r="F2289">
        <v>0</v>
      </c>
      <c r="G2289">
        <v>2</v>
      </c>
    </row>
    <row r="2290" spans="1:7" x14ac:dyDescent="0.2">
      <c r="A2290" t="s">
        <v>4358</v>
      </c>
      <c r="B2290">
        <v>0</v>
      </c>
      <c r="C2290">
        <v>0</v>
      </c>
      <c r="D2290">
        <v>0</v>
      </c>
      <c r="E2290">
        <v>0</v>
      </c>
      <c r="F2290">
        <v>0</v>
      </c>
      <c r="G2290">
        <v>0</v>
      </c>
    </row>
    <row r="2291" spans="1:7" x14ac:dyDescent="0.2">
      <c r="A2291" t="s">
        <v>4359</v>
      </c>
      <c r="B2291">
        <v>0</v>
      </c>
      <c r="C2291">
        <v>0</v>
      </c>
      <c r="D2291">
        <v>0</v>
      </c>
      <c r="E2291">
        <v>0</v>
      </c>
      <c r="F2291">
        <v>0</v>
      </c>
      <c r="G2291">
        <v>0</v>
      </c>
    </row>
    <row r="2292" spans="1:7" x14ac:dyDescent="0.2">
      <c r="A2292" t="s">
        <v>4360</v>
      </c>
      <c r="B2292">
        <v>0</v>
      </c>
      <c r="C2292">
        <v>0</v>
      </c>
      <c r="D2292">
        <v>0</v>
      </c>
      <c r="E2292">
        <v>1</v>
      </c>
      <c r="F2292">
        <v>0</v>
      </c>
      <c r="G2292">
        <v>1</v>
      </c>
    </row>
    <row r="2293" spans="1:7" x14ac:dyDescent="0.2">
      <c r="A2293" t="s">
        <v>4361</v>
      </c>
      <c r="B2293">
        <v>0</v>
      </c>
      <c r="C2293">
        <v>0</v>
      </c>
      <c r="D2293">
        <v>1</v>
      </c>
      <c r="E2293">
        <v>0</v>
      </c>
      <c r="F2293">
        <v>0</v>
      </c>
      <c r="G2293">
        <v>1</v>
      </c>
    </row>
    <row r="2294" spans="1:7" x14ac:dyDescent="0.2">
      <c r="A2294" t="s">
        <v>4362</v>
      </c>
      <c r="B2294">
        <v>0</v>
      </c>
      <c r="C2294">
        <v>0</v>
      </c>
      <c r="D2294">
        <v>0</v>
      </c>
      <c r="E2294">
        <v>0</v>
      </c>
      <c r="F2294">
        <v>0</v>
      </c>
      <c r="G2294">
        <v>0</v>
      </c>
    </row>
    <row r="2295" spans="1:7" x14ac:dyDescent="0.2">
      <c r="A2295" t="s">
        <v>4363</v>
      </c>
      <c r="B2295">
        <v>0</v>
      </c>
      <c r="C2295">
        <v>0</v>
      </c>
      <c r="D2295">
        <v>0</v>
      </c>
      <c r="E2295">
        <v>0</v>
      </c>
      <c r="F2295">
        <v>0</v>
      </c>
      <c r="G2295">
        <v>0</v>
      </c>
    </row>
    <row r="2296" spans="1:7" x14ac:dyDescent="0.2">
      <c r="A2296" t="s">
        <v>4364</v>
      </c>
      <c r="B2296">
        <v>0</v>
      </c>
      <c r="C2296">
        <v>0</v>
      </c>
      <c r="D2296">
        <v>0</v>
      </c>
      <c r="E2296">
        <v>0</v>
      </c>
      <c r="F2296">
        <v>0</v>
      </c>
      <c r="G2296">
        <v>0</v>
      </c>
    </row>
    <row r="2297" spans="1:7" x14ac:dyDescent="0.2">
      <c r="A2297" t="s">
        <v>4365</v>
      </c>
      <c r="B2297">
        <v>0</v>
      </c>
      <c r="C2297">
        <v>0</v>
      </c>
      <c r="D2297">
        <v>3</v>
      </c>
      <c r="E2297">
        <v>0</v>
      </c>
      <c r="F2297">
        <v>0</v>
      </c>
      <c r="G2297">
        <v>3</v>
      </c>
    </row>
    <row r="2298" spans="1:7" x14ac:dyDescent="0.2">
      <c r="A2298" t="s">
        <v>4366</v>
      </c>
      <c r="B2298">
        <v>0</v>
      </c>
      <c r="C2298">
        <v>0</v>
      </c>
      <c r="D2298">
        <v>0</v>
      </c>
      <c r="E2298">
        <v>0</v>
      </c>
      <c r="F2298">
        <v>0</v>
      </c>
      <c r="G2298">
        <v>0</v>
      </c>
    </row>
    <row r="2299" spans="1:7" x14ac:dyDescent="0.2">
      <c r="A2299" t="s">
        <v>4367</v>
      </c>
      <c r="B2299">
        <v>0</v>
      </c>
      <c r="C2299">
        <v>0</v>
      </c>
      <c r="D2299">
        <v>0</v>
      </c>
      <c r="E2299">
        <v>0</v>
      </c>
      <c r="F2299">
        <v>0</v>
      </c>
      <c r="G2299">
        <v>0</v>
      </c>
    </row>
    <row r="2300" spans="1:7" x14ac:dyDescent="0.2">
      <c r="A2300" t="s">
        <v>4368</v>
      </c>
      <c r="B2300">
        <v>0</v>
      </c>
      <c r="C2300">
        <v>3</v>
      </c>
      <c r="D2300">
        <v>4</v>
      </c>
      <c r="E2300">
        <v>7</v>
      </c>
      <c r="F2300">
        <v>2</v>
      </c>
      <c r="G2300">
        <v>16</v>
      </c>
    </row>
    <row r="2301" spans="1:7" x14ac:dyDescent="0.2">
      <c r="A2301" t="s">
        <v>4369</v>
      </c>
      <c r="B2301">
        <v>0</v>
      </c>
      <c r="C2301">
        <v>8</v>
      </c>
      <c r="D2301">
        <v>12</v>
      </c>
      <c r="E2301">
        <v>1</v>
      </c>
      <c r="F2301">
        <v>0</v>
      </c>
      <c r="G2301">
        <v>21</v>
      </c>
    </row>
    <row r="2302" spans="1:7" x14ac:dyDescent="0.2">
      <c r="A2302" t="s">
        <v>4370</v>
      </c>
      <c r="B2302">
        <v>0</v>
      </c>
      <c r="C2302">
        <v>0</v>
      </c>
      <c r="D2302">
        <v>0</v>
      </c>
      <c r="E2302">
        <v>0</v>
      </c>
      <c r="F2302">
        <v>0</v>
      </c>
      <c r="G2302">
        <v>1</v>
      </c>
    </row>
    <row r="2303" spans="1:7" x14ac:dyDescent="0.2">
      <c r="A2303" t="s">
        <v>4371</v>
      </c>
      <c r="B2303">
        <v>0</v>
      </c>
      <c r="C2303">
        <v>0</v>
      </c>
      <c r="D2303">
        <v>0</v>
      </c>
      <c r="E2303">
        <v>0</v>
      </c>
      <c r="F2303">
        <v>0</v>
      </c>
      <c r="G2303">
        <v>0</v>
      </c>
    </row>
    <row r="2304" spans="1:7" x14ac:dyDescent="0.2">
      <c r="A2304" t="s">
        <v>4372</v>
      </c>
      <c r="B2304">
        <v>0</v>
      </c>
      <c r="C2304">
        <v>0</v>
      </c>
      <c r="D2304">
        <v>0</v>
      </c>
      <c r="E2304">
        <v>0</v>
      </c>
      <c r="F2304">
        <v>0</v>
      </c>
      <c r="G2304">
        <v>0</v>
      </c>
    </row>
    <row r="2305" spans="1:10" x14ac:dyDescent="0.2">
      <c r="A2305" t="s">
        <v>4373</v>
      </c>
      <c r="B2305">
        <v>0</v>
      </c>
      <c r="C2305">
        <v>0</v>
      </c>
      <c r="D2305">
        <v>2</v>
      </c>
      <c r="E2305">
        <v>4</v>
      </c>
      <c r="F2305">
        <v>0</v>
      </c>
      <c r="G2305">
        <v>6</v>
      </c>
    </row>
    <row r="2306" spans="1:10" x14ac:dyDescent="0.2">
      <c r="A2306" t="s">
        <v>4374</v>
      </c>
      <c r="B2306">
        <v>0</v>
      </c>
      <c r="C2306">
        <v>0</v>
      </c>
      <c r="D2306">
        <v>0</v>
      </c>
      <c r="E2306">
        <v>0</v>
      </c>
      <c r="F2306">
        <v>0</v>
      </c>
      <c r="G2306">
        <v>0</v>
      </c>
    </row>
    <row r="2307" spans="1:10" x14ac:dyDescent="0.2">
      <c r="A2307" t="s">
        <v>4375</v>
      </c>
      <c r="B2307">
        <v>0</v>
      </c>
      <c r="C2307">
        <v>3</v>
      </c>
      <c r="D2307">
        <v>15</v>
      </c>
      <c r="E2307">
        <v>6</v>
      </c>
      <c r="F2307">
        <v>0</v>
      </c>
      <c r="G2307">
        <v>25</v>
      </c>
    </row>
    <row r="2308" spans="1:10" x14ac:dyDescent="0.2">
      <c r="A2308" t="s">
        <v>4376</v>
      </c>
      <c r="B2308">
        <v>0</v>
      </c>
      <c r="C2308">
        <v>0</v>
      </c>
      <c r="D2308">
        <v>0</v>
      </c>
      <c r="E2308">
        <v>0</v>
      </c>
      <c r="F2308">
        <v>0</v>
      </c>
      <c r="G2308">
        <v>0</v>
      </c>
    </row>
    <row r="2309" spans="1:10" x14ac:dyDescent="0.2">
      <c r="A2309" t="s">
        <v>4377</v>
      </c>
      <c r="B2309">
        <v>0</v>
      </c>
      <c r="C2309">
        <v>0</v>
      </c>
      <c r="D2309">
        <v>9</v>
      </c>
      <c r="E2309">
        <v>0</v>
      </c>
      <c r="F2309">
        <v>0</v>
      </c>
      <c r="G2309">
        <v>9</v>
      </c>
    </row>
    <row r="2310" spans="1:10" x14ac:dyDescent="0.2">
      <c r="A2310" t="s">
        <v>2318</v>
      </c>
      <c r="B2310" t="s">
        <v>2319</v>
      </c>
      <c r="C2310" t="s">
        <v>2319</v>
      </c>
      <c r="D2310" t="s">
        <v>2319</v>
      </c>
      <c r="E2310" t="s">
        <v>2319</v>
      </c>
      <c r="F2310" t="s">
        <v>2319</v>
      </c>
      <c r="G2310" t="s">
        <v>2319</v>
      </c>
    </row>
    <row r="2311" spans="1:10" x14ac:dyDescent="0.2">
      <c r="A2311" t="s">
        <v>4248</v>
      </c>
    </row>
    <row r="2312" spans="1:10" x14ac:dyDescent="0.2">
      <c r="A2312" t="s">
        <v>4250</v>
      </c>
      <c r="C2312" t="s">
        <v>4251</v>
      </c>
      <c r="G2312" t="s">
        <v>7531</v>
      </c>
      <c r="J2312"/>
    </row>
    <row r="2313" spans="1:10" x14ac:dyDescent="0.2">
      <c r="A2313" t="s">
        <v>4925</v>
      </c>
      <c r="G2313" t="s">
        <v>7538</v>
      </c>
      <c r="J2313"/>
    </row>
    <row r="2314" spans="1:10" x14ac:dyDescent="0.2">
      <c r="A2314" t="s">
        <v>7530</v>
      </c>
      <c r="J2314"/>
    </row>
    <row r="2315" spans="1:10" x14ac:dyDescent="0.2">
      <c r="A2315" t="s">
        <v>4964</v>
      </c>
      <c r="J2315"/>
    </row>
    <row r="2316" spans="1:10" x14ac:dyDescent="0.2">
      <c r="J2316"/>
    </row>
    <row r="2317" spans="1:10" x14ac:dyDescent="0.2">
      <c r="A2317" t="s">
        <v>4259</v>
      </c>
      <c r="J2317"/>
    </row>
    <row r="2318" spans="1:10" x14ac:dyDescent="0.2">
      <c r="A2318" t="s">
        <v>2318</v>
      </c>
      <c r="B2318" t="s">
        <v>2319</v>
      </c>
      <c r="C2318" t="s">
        <v>2319</v>
      </c>
      <c r="D2318" t="s">
        <v>2319</v>
      </c>
      <c r="E2318" t="s">
        <v>2319</v>
      </c>
      <c r="F2318" t="s">
        <v>2319</v>
      </c>
      <c r="G2318" t="s">
        <v>2319</v>
      </c>
    </row>
    <row r="2319" spans="1:10" x14ac:dyDescent="0.2">
      <c r="A2319" t="s">
        <v>174</v>
      </c>
      <c r="B2319" t="s">
        <v>4945</v>
      </c>
      <c r="C2319" t="s">
        <v>4946</v>
      </c>
      <c r="D2319" t="s">
        <v>4947</v>
      </c>
      <c r="E2319" t="s">
        <v>4948</v>
      </c>
      <c r="F2319" t="s">
        <v>4949</v>
      </c>
    </row>
    <row r="2320" spans="1:10" x14ac:dyDescent="0.2">
      <c r="A2320" t="s">
        <v>126</v>
      </c>
      <c r="B2320" t="s">
        <v>4262</v>
      </c>
      <c r="C2320" t="s">
        <v>4263</v>
      </c>
      <c r="D2320" t="s">
        <v>4264</v>
      </c>
      <c r="E2320" t="s">
        <v>2308</v>
      </c>
      <c r="F2320" t="s">
        <v>615</v>
      </c>
      <c r="G2320" t="s">
        <v>236</v>
      </c>
    </row>
    <row r="2321" spans="1:7" x14ac:dyDescent="0.2">
      <c r="A2321" t="s">
        <v>2318</v>
      </c>
      <c r="B2321" t="s">
        <v>2319</v>
      </c>
      <c r="C2321" t="s">
        <v>2319</v>
      </c>
      <c r="D2321" t="s">
        <v>2319</v>
      </c>
      <c r="E2321" t="s">
        <v>2319</v>
      </c>
      <c r="F2321" t="s">
        <v>2319</v>
      </c>
      <c r="G2321" t="s">
        <v>2319</v>
      </c>
    </row>
    <row r="2322" spans="1:7" x14ac:dyDescent="0.2">
      <c r="A2322" t="s">
        <v>4265</v>
      </c>
      <c r="B2322">
        <v>0</v>
      </c>
      <c r="C2322">
        <v>0</v>
      </c>
      <c r="D2322">
        <v>0</v>
      </c>
      <c r="E2322">
        <v>0</v>
      </c>
      <c r="F2322">
        <v>0</v>
      </c>
      <c r="G2322">
        <v>0</v>
      </c>
    </row>
    <row r="2323" spans="1:7" x14ac:dyDescent="0.2">
      <c r="A2323" t="s">
        <v>4266</v>
      </c>
      <c r="B2323">
        <v>0</v>
      </c>
      <c r="C2323">
        <v>0</v>
      </c>
      <c r="D2323">
        <v>0</v>
      </c>
      <c r="E2323">
        <v>0</v>
      </c>
      <c r="F2323">
        <v>0</v>
      </c>
      <c r="G2323">
        <v>0</v>
      </c>
    </row>
    <row r="2324" spans="1:7" x14ac:dyDescent="0.2">
      <c r="A2324" t="s">
        <v>4267</v>
      </c>
      <c r="B2324">
        <v>0</v>
      </c>
      <c r="C2324">
        <v>0</v>
      </c>
      <c r="D2324">
        <v>0</v>
      </c>
      <c r="E2324">
        <v>0</v>
      </c>
      <c r="F2324">
        <v>0</v>
      </c>
      <c r="G2324">
        <v>0</v>
      </c>
    </row>
    <row r="2325" spans="1:7" x14ac:dyDescent="0.2">
      <c r="A2325" t="s">
        <v>4268</v>
      </c>
      <c r="B2325">
        <v>0</v>
      </c>
      <c r="C2325">
        <v>0</v>
      </c>
      <c r="D2325">
        <v>0</v>
      </c>
      <c r="E2325">
        <v>0</v>
      </c>
      <c r="F2325">
        <v>0</v>
      </c>
      <c r="G2325">
        <v>0</v>
      </c>
    </row>
    <row r="2326" spans="1:7" x14ac:dyDescent="0.2">
      <c r="A2326" t="s">
        <v>4269</v>
      </c>
      <c r="B2326">
        <v>0</v>
      </c>
      <c r="C2326">
        <v>0</v>
      </c>
      <c r="D2326">
        <v>0</v>
      </c>
      <c r="E2326">
        <v>0</v>
      </c>
      <c r="F2326">
        <v>0</v>
      </c>
      <c r="G2326">
        <v>0</v>
      </c>
    </row>
    <row r="2327" spans="1:7" x14ac:dyDescent="0.2">
      <c r="A2327" t="s">
        <v>4270</v>
      </c>
      <c r="B2327">
        <v>0</v>
      </c>
      <c r="C2327">
        <v>0</v>
      </c>
      <c r="D2327">
        <v>0</v>
      </c>
      <c r="E2327">
        <v>0</v>
      </c>
      <c r="F2327">
        <v>0</v>
      </c>
      <c r="G2327">
        <v>0</v>
      </c>
    </row>
    <row r="2328" spans="1:7" x14ac:dyDescent="0.2">
      <c r="A2328" t="s">
        <v>4271</v>
      </c>
      <c r="B2328">
        <v>0</v>
      </c>
      <c r="C2328">
        <v>0</v>
      </c>
      <c r="D2328">
        <v>0</v>
      </c>
      <c r="E2328">
        <v>0</v>
      </c>
      <c r="F2328">
        <v>0</v>
      </c>
      <c r="G2328">
        <v>0</v>
      </c>
    </row>
    <row r="2329" spans="1:7" x14ac:dyDescent="0.2">
      <c r="A2329" t="s">
        <v>4272</v>
      </c>
      <c r="B2329">
        <v>0</v>
      </c>
      <c r="C2329">
        <v>0</v>
      </c>
      <c r="D2329">
        <v>0</v>
      </c>
      <c r="E2329">
        <v>0</v>
      </c>
      <c r="F2329">
        <v>0</v>
      </c>
      <c r="G2329">
        <v>0</v>
      </c>
    </row>
    <row r="2330" spans="1:7" x14ac:dyDescent="0.2">
      <c r="A2330" t="s">
        <v>4273</v>
      </c>
      <c r="B2330">
        <v>0</v>
      </c>
      <c r="C2330">
        <v>0</v>
      </c>
      <c r="D2330">
        <v>0</v>
      </c>
      <c r="E2330">
        <v>0</v>
      </c>
      <c r="F2330">
        <v>0</v>
      </c>
      <c r="G2330">
        <v>0</v>
      </c>
    </row>
    <row r="2331" spans="1:7" x14ac:dyDescent="0.2">
      <c r="A2331" t="s">
        <v>4274</v>
      </c>
      <c r="B2331">
        <v>0</v>
      </c>
      <c r="C2331">
        <v>0</v>
      </c>
      <c r="D2331">
        <v>0</v>
      </c>
      <c r="E2331">
        <v>0</v>
      </c>
      <c r="F2331">
        <v>0</v>
      </c>
      <c r="G2331">
        <v>0</v>
      </c>
    </row>
    <row r="2332" spans="1:7" x14ac:dyDescent="0.2">
      <c r="A2332" t="s">
        <v>4275</v>
      </c>
      <c r="B2332">
        <v>0</v>
      </c>
      <c r="C2332">
        <v>0</v>
      </c>
      <c r="D2332">
        <v>0</v>
      </c>
      <c r="E2332">
        <v>0</v>
      </c>
      <c r="F2332">
        <v>0</v>
      </c>
      <c r="G2332">
        <v>0</v>
      </c>
    </row>
    <row r="2333" spans="1:7" x14ac:dyDescent="0.2">
      <c r="A2333" t="s">
        <v>4276</v>
      </c>
      <c r="B2333">
        <v>0</v>
      </c>
      <c r="C2333">
        <v>0</v>
      </c>
      <c r="D2333">
        <v>0</v>
      </c>
      <c r="E2333">
        <v>0</v>
      </c>
      <c r="F2333">
        <v>0</v>
      </c>
      <c r="G2333">
        <v>0</v>
      </c>
    </row>
    <row r="2334" spans="1:7" x14ac:dyDescent="0.2">
      <c r="A2334" t="s">
        <v>4277</v>
      </c>
      <c r="B2334">
        <v>0</v>
      </c>
      <c r="C2334">
        <v>0</v>
      </c>
      <c r="D2334">
        <v>0</v>
      </c>
      <c r="E2334">
        <v>0</v>
      </c>
      <c r="F2334">
        <v>0</v>
      </c>
      <c r="G2334">
        <v>0</v>
      </c>
    </row>
    <row r="2335" spans="1:7" x14ac:dyDescent="0.2">
      <c r="A2335" t="s">
        <v>4278</v>
      </c>
      <c r="B2335">
        <v>0</v>
      </c>
      <c r="C2335">
        <v>0</v>
      </c>
      <c r="D2335">
        <v>0</v>
      </c>
      <c r="E2335">
        <v>0</v>
      </c>
      <c r="F2335">
        <v>0</v>
      </c>
      <c r="G2335">
        <v>0</v>
      </c>
    </row>
    <row r="2336" spans="1:7" x14ac:dyDescent="0.2">
      <c r="A2336" t="s">
        <v>4279</v>
      </c>
      <c r="B2336">
        <v>0</v>
      </c>
      <c r="C2336">
        <v>0</v>
      </c>
      <c r="D2336">
        <v>0</v>
      </c>
      <c r="E2336">
        <v>0</v>
      </c>
      <c r="F2336">
        <v>0</v>
      </c>
      <c r="G2336">
        <v>0</v>
      </c>
    </row>
    <row r="2337" spans="1:7" x14ac:dyDescent="0.2">
      <c r="A2337" t="s">
        <v>4280</v>
      </c>
      <c r="B2337">
        <v>0</v>
      </c>
      <c r="C2337">
        <v>0</v>
      </c>
      <c r="D2337">
        <v>0</v>
      </c>
      <c r="E2337">
        <v>0</v>
      </c>
      <c r="F2337">
        <v>0</v>
      </c>
      <c r="G2337">
        <v>0</v>
      </c>
    </row>
    <row r="2338" spans="1:7" x14ac:dyDescent="0.2">
      <c r="A2338" t="s">
        <v>4281</v>
      </c>
      <c r="B2338">
        <v>0</v>
      </c>
      <c r="C2338">
        <v>2</v>
      </c>
      <c r="D2338">
        <v>4</v>
      </c>
      <c r="E2338">
        <v>32</v>
      </c>
      <c r="F2338">
        <v>0</v>
      </c>
      <c r="G2338">
        <v>38</v>
      </c>
    </row>
    <row r="2339" spans="1:7" x14ac:dyDescent="0.2">
      <c r="A2339" t="s">
        <v>4282</v>
      </c>
      <c r="B2339">
        <v>5</v>
      </c>
      <c r="C2339">
        <v>1</v>
      </c>
      <c r="D2339">
        <v>0</v>
      </c>
      <c r="E2339">
        <v>0</v>
      </c>
      <c r="F2339">
        <v>0</v>
      </c>
      <c r="G2339">
        <v>6</v>
      </c>
    </row>
    <row r="2340" spans="1:7" x14ac:dyDescent="0.2">
      <c r="A2340" t="s">
        <v>4283</v>
      </c>
      <c r="B2340">
        <v>1</v>
      </c>
      <c r="C2340">
        <v>0</v>
      </c>
      <c r="D2340">
        <v>0</v>
      </c>
      <c r="E2340">
        <v>0</v>
      </c>
      <c r="F2340">
        <v>0</v>
      </c>
      <c r="G2340">
        <v>2</v>
      </c>
    </row>
    <row r="2341" spans="1:7" x14ac:dyDescent="0.2">
      <c r="A2341" t="s">
        <v>4284</v>
      </c>
      <c r="B2341">
        <v>0</v>
      </c>
      <c r="C2341">
        <v>0</v>
      </c>
      <c r="D2341">
        <v>0</v>
      </c>
      <c r="E2341">
        <v>0</v>
      </c>
      <c r="F2341">
        <v>0</v>
      </c>
      <c r="G2341">
        <v>0</v>
      </c>
    </row>
    <row r="2342" spans="1:7" x14ac:dyDescent="0.2">
      <c r="A2342" t="s">
        <v>4285</v>
      </c>
      <c r="B2342">
        <v>0</v>
      </c>
      <c r="C2342">
        <v>2</v>
      </c>
      <c r="D2342">
        <v>0</v>
      </c>
      <c r="E2342">
        <v>0</v>
      </c>
      <c r="F2342">
        <v>0</v>
      </c>
      <c r="G2342">
        <v>2</v>
      </c>
    </row>
    <row r="2343" spans="1:7" x14ac:dyDescent="0.2">
      <c r="A2343" t="s">
        <v>4286</v>
      </c>
      <c r="B2343">
        <v>1</v>
      </c>
      <c r="C2343">
        <v>0</v>
      </c>
      <c r="D2343">
        <v>0</v>
      </c>
      <c r="E2343">
        <v>0</v>
      </c>
      <c r="F2343">
        <v>0</v>
      </c>
      <c r="G2343">
        <v>2</v>
      </c>
    </row>
    <row r="2344" spans="1:7" x14ac:dyDescent="0.2">
      <c r="A2344" t="s">
        <v>4287</v>
      </c>
      <c r="B2344">
        <v>0</v>
      </c>
      <c r="C2344">
        <v>0</v>
      </c>
      <c r="D2344">
        <v>0</v>
      </c>
      <c r="E2344">
        <v>0</v>
      </c>
      <c r="F2344">
        <v>0</v>
      </c>
      <c r="G2344">
        <v>0</v>
      </c>
    </row>
    <row r="2345" spans="1:7" x14ac:dyDescent="0.2">
      <c r="A2345" t="s">
        <v>4288</v>
      </c>
      <c r="B2345">
        <v>0</v>
      </c>
      <c r="C2345">
        <v>0</v>
      </c>
      <c r="D2345">
        <v>0</v>
      </c>
      <c r="E2345">
        <v>0</v>
      </c>
      <c r="F2345">
        <v>0</v>
      </c>
      <c r="G2345">
        <v>0</v>
      </c>
    </row>
    <row r="2346" spans="1:7" x14ac:dyDescent="0.2">
      <c r="A2346" t="s">
        <v>4289</v>
      </c>
      <c r="B2346">
        <v>0</v>
      </c>
      <c r="C2346">
        <v>0</v>
      </c>
      <c r="D2346">
        <v>0</v>
      </c>
      <c r="E2346">
        <v>0</v>
      </c>
      <c r="F2346">
        <v>0</v>
      </c>
      <c r="G2346">
        <v>0</v>
      </c>
    </row>
    <row r="2347" spans="1:7" x14ac:dyDescent="0.2">
      <c r="A2347" t="s">
        <v>4290</v>
      </c>
      <c r="B2347">
        <v>0</v>
      </c>
      <c r="C2347">
        <v>0</v>
      </c>
      <c r="D2347">
        <v>0</v>
      </c>
      <c r="E2347">
        <v>0</v>
      </c>
      <c r="F2347">
        <v>0</v>
      </c>
      <c r="G2347">
        <v>0</v>
      </c>
    </row>
    <row r="2348" spans="1:7" x14ac:dyDescent="0.2">
      <c r="A2348" t="s">
        <v>4291</v>
      </c>
      <c r="B2348">
        <v>0</v>
      </c>
      <c r="C2348">
        <v>0</v>
      </c>
      <c r="D2348">
        <v>0</v>
      </c>
      <c r="E2348">
        <v>0</v>
      </c>
      <c r="F2348">
        <v>0</v>
      </c>
      <c r="G2348">
        <v>0</v>
      </c>
    </row>
    <row r="2349" spans="1:7" x14ac:dyDescent="0.2">
      <c r="A2349" t="s">
        <v>4292</v>
      </c>
      <c r="B2349">
        <v>0</v>
      </c>
      <c r="C2349">
        <v>0</v>
      </c>
      <c r="D2349">
        <v>0</v>
      </c>
      <c r="E2349">
        <v>0</v>
      </c>
      <c r="F2349">
        <v>0</v>
      </c>
      <c r="G2349">
        <v>0</v>
      </c>
    </row>
    <row r="2350" spans="1:7" x14ac:dyDescent="0.2">
      <c r="A2350" t="s">
        <v>4293</v>
      </c>
      <c r="B2350">
        <v>0</v>
      </c>
      <c r="C2350">
        <v>0</v>
      </c>
      <c r="D2350">
        <v>0</v>
      </c>
      <c r="E2350">
        <v>0</v>
      </c>
      <c r="F2350">
        <v>0</v>
      </c>
      <c r="G2350">
        <v>0</v>
      </c>
    </row>
    <row r="2351" spans="1:7" x14ac:dyDescent="0.2">
      <c r="A2351" t="s">
        <v>4294</v>
      </c>
      <c r="B2351">
        <v>0</v>
      </c>
      <c r="C2351">
        <v>0</v>
      </c>
      <c r="D2351">
        <v>0</v>
      </c>
      <c r="E2351">
        <v>0</v>
      </c>
      <c r="F2351">
        <v>0</v>
      </c>
      <c r="G2351">
        <v>0</v>
      </c>
    </row>
    <row r="2352" spans="1:7" x14ac:dyDescent="0.2">
      <c r="A2352" t="s">
        <v>4295</v>
      </c>
      <c r="B2352">
        <v>0</v>
      </c>
      <c r="C2352">
        <v>0</v>
      </c>
      <c r="D2352">
        <v>0</v>
      </c>
      <c r="E2352">
        <v>0</v>
      </c>
      <c r="F2352">
        <v>0</v>
      </c>
      <c r="G2352">
        <v>0</v>
      </c>
    </row>
    <row r="2353" spans="1:7" x14ac:dyDescent="0.2">
      <c r="A2353" t="s">
        <v>4296</v>
      </c>
      <c r="B2353">
        <v>0</v>
      </c>
      <c r="C2353">
        <v>0</v>
      </c>
      <c r="D2353">
        <v>0</v>
      </c>
      <c r="E2353">
        <v>0</v>
      </c>
      <c r="F2353">
        <v>0</v>
      </c>
      <c r="G2353">
        <v>0</v>
      </c>
    </row>
    <row r="2354" spans="1:7" x14ac:dyDescent="0.2">
      <c r="A2354" t="s">
        <v>4297</v>
      </c>
      <c r="B2354">
        <v>0</v>
      </c>
      <c r="C2354">
        <v>2</v>
      </c>
      <c r="D2354">
        <v>3</v>
      </c>
      <c r="E2354">
        <v>0</v>
      </c>
      <c r="F2354">
        <v>0</v>
      </c>
      <c r="G2354">
        <v>5</v>
      </c>
    </row>
    <row r="2355" spans="1:7" x14ac:dyDescent="0.2">
      <c r="A2355" t="s">
        <v>4298</v>
      </c>
      <c r="B2355">
        <v>2</v>
      </c>
      <c r="C2355">
        <v>3</v>
      </c>
      <c r="D2355">
        <v>1</v>
      </c>
      <c r="E2355">
        <v>1</v>
      </c>
      <c r="F2355">
        <v>0</v>
      </c>
      <c r="G2355">
        <v>6</v>
      </c>
    </row>
    <row r="2356" spans="1:7" x14ac:dyDescent="0.2">
      <c r="A2356" t="s">
        <v>4299</v>
      </c>
      <c r="B2356">
        <v>1</v>
      </c>
      <c r="C2356">
        <v>11</v>
      </c>
      <c r="D2356">
        <v>2</v>
      </c>
      <c r="E2356">
        <v>0</v>
      </c>
      <c r="F2356">
        <v>0</v>
      </c>
      <c r="G2356">
        <v>14</v>
      </c>
    </row>
    <row r="2357" spans="1:7" x14ac:dyDescent="0.2">
      <c r="A2357" t="s">
        <v>4300</v>
      </c>
      <c r="B2357">
        <v>0</v>
      </c>
      <c r="C2357">
        <v>1</v>
      </c>
      <c r="D2357">
        <v>0</v>
      </c>
      <c r="E2357">
        <v>0</v>
      </c>
      <c r="F2357">
        <v>0</v>
      </c>
      <c r="G2357">
        <v>1</v>
      </c>
    </row>
    <row r="2358" spans="1:7" x14ac:dyDescent="0.2">
      <c r="A2358" t="s">
        <v>4301</v>
      </c>
      <c r="B2358">
        <v>0</v>
      </c>
      <c r="C2358">
        <v>7</v>
      </c>
      <c r="D2358">
        <v>9</v>
      </c>
      <c r="E2358">
        <v>0</v>
      </c>
      <c r="F2358">
        <v>0</v>
      </c>
      <c r="G2358">
        <v>16</v>
      </c>
    </row>
    <row r="2359" spans="1:7" x14ac:dyDescent="0.2">
      <c r="A2359" t="s">
        <v>4302</v>
      </c>
      <c r="B2359">
        <v>0</v>
      </c>
      <c r="C2359">
        <v>0</v>
      </c>
      <c r="D2359">
        <v>7</v>
      </c>
      <c r="E2359">
        <v>4</v>
      </c>
      <c r="F2359">
        <v>0</v>
      </c>
      <c r="G2359">
        <v>11</v>
      </c>
    </row>
    <row r="2360" spans="1:7" x14ac:dyDescent="0.2">
      <c r="A2360" t="s">
        <v>4303</v>
      </c>
      <c r="B2360">
        <v>0</v>
      </c>
      <c r="C2360">
        <v>1</v>
      </c>
      <c r="D2360">
        <v>28</v>
      </c>
      <c r="E2360">
        <v>9</v>
      </c>
      <c r="F2360">
        <v>0</v>
      </c>
      <c r="G2360">
        <v>39</v>
      </c>
    </row>
    <row r="2361" spans="1:7" x14ac:dyDescent="0.2">
      <c r="A2361" t="s">
        <v>4304</v>
      </c>
      <c r="B2361">
        <v>0</v>
      </c>
      <c r="C2361">
        <v>0</v>
      </c>
      <c r="D2361">
        <v>3</v>
      </c>
      <c r="E2361">
        <v>0</v>
      </c>
      <c r="F2361">
        <v>0</v>
      </c>
      <c r="G2361">
        <v>3</v>
      </c>
    </row>
    <row r="2362" spans="1:7" x14ac:dyDescent="0.2">
      <c r="A2362" t="s">
        <v>4305</v>
      </c>
      <c r="B2362">
        <v>0</v>
      </c>
      <c r="C2362">
        <v>5</v>
      </c>
      <c r="D2362">
        <v>7</v>
      </c>
      <c r="E2362">
        <v>2</v>
      </c>
      <c r="F2362">
        <v>0</v>
      </c>
      <c r="G2362">
        <v>15</v>
      </c>
    </row>
    <row r="2363" spans="1:7" x14ac:dyDescent="0.2">
      <c r="A2363" t="s">
        <v>4306</v>
      </c>
      <c r="B2363">
        <v>0</v>
      </c>
      <c r="C2363">
        <v>3</v>
      </c>
      <c r="D2363">
        <v>1</v>
      </c>
      <c r="E2363">
        <v>1</v>
      </c>
      <c r="F2363">
        <v>0</v>
      </c>
      <c r="G2363">
        <v>5</v>
      </c>
    </row>
    <row r="2364" spans="1:7" x14ac:dyDescent="0.2">
      <c r="A2364" t="s">
        <v>4307</v>
      </c>
      <c r="B2364">
        <v>2</v>
      </c>
      <c r="C2364">
        <v>33</v>
      </c>
      <c r="D2364">
        <v>141</v>
      </c>
      <c r="E2364">
        <v>31</v>
      </c>
      <c r="F2364">
        <v>0</v>
      </c>
      <c r="G2364">
        <v>207</v>
      </c>
    </row>
    <row r="2365" spans="1:7" x14ac:dyDescent="0.2">
      <c r="A2365" t="s">
        <v>4308</v>
      </c>
      <c r="B2365">
        <v>0</v>
      </c>
      <c r="C2365">
        <v>0</v>
      </c>
      <c r="D2365">
        <v>1</v>
      </c>
      <c r="E2365">
        <v>3</v>
      </c>
      <c r="F2365">
        <v>0</v>
      </c>
      <c r="G2365">
        <v>4</v>
      </c>
    </row>
    <row r="2366" spans="1:7" x14ac:dyDescent="0.2">
      <c r="A2366" t="s">
        <v>4309</v>
      </c>
      <c r="B2366">
        <v>0</v>
      </c>
      <c r="C2366">
        <v>0</v>
      </c>
      <c r="D2366">
        <v>0</v>
      </c>
      <c r="E2366">
        <v>0</v>
      </c>
      <c r="F2366">
        <v>0</v>
      </c>
      <c r="G2366">
        <v>0</v>
      </c>
    </row>
    <row r="2367" spans="1:7" x14ac:dyDescent="0.2">
      <c r="A2367" t="s">
        <v>4310</v>
      </c>
      <c r="B2367">
        <v>0</v>
      </c>
      <c r="C2367">
        <v>0</v>
      </c>
      <c r="D2367">
        <v>0</v>
      </c>
      <c r="E2367">
        <v>0</v>
      </c>
      <c r="F2367">
        <v>0</v>
      </c>
      <c r="G2367">
        <v>0</v>
      </c>
    </row>
    <row r="2368" spans="1:7" x14ac:dyDescent="0.2">
      <c r="A2368" t="s">
        <v>4311</v>
      </c>
      <c r="B2368">
        <v>0</v>
      </c>
      <c r="C2368">
        <v>0</v>
      </c>
      <c r="D2368">
        <v>0</v>
      </c>
      <c r="E2368">
        <v>0</v>
      </c>
      <c r="F2368">
        <v>0</v>
      </c>
      <c r="G2368">
        <v>0</v>
      </c>
    </row>
    <row r="2369" spans="1:7" x14ac:dyDescent="0.2">
      <c r="A2369" t="s">
        <v>4312</v>
      </c>
      <c r="B2369">
        <v>0</v>
      </c>
      <c r="C2369">
        <v>0</v>
      </c>
      <c r="D2369">
        <v>0</v>
      </c>
      <c r="E2369">
        <v>0</v>
      </c>
      <c r="F2369">
        <v>0</v>
      </c>
      <c r="G2369">
        <v>0</v>
      </c>
    </row>
    <row r="2370" spans="1:7" x14ac:dyDescent="0.2">
      <c r="A2370" t="s">
        <v>4313</v>
      </c>
      <c r="B2370">
        <v>0</v>
      </c>
      <c r="C2370">
        <v>0</v>
      </c>
      <c r="D2370">
        <v>0</v>
      </c>
      <c r="E2370">
        <v>0</v>
      </c>
      <c r="F2370">
        <v>0</v>
      </c>
      <c r="G2370">
        <v>0</v>
      </c>
    </row>
    <row r="2371" spans="1:7" x14ac:dyDescent="0.2">
      <c r="A2371" t="s">
        <v>4314</v>
      </c>
      <c r="B2371">
        <v>0</v>
      </c>
      <c r="C2371">
        <v>0</v>
      </c>
      <c r="D2371">
        <v>0</v>
      </c>
      <c r="E2371">
        <v>0</v>
      </c>
      <c r="F2371">
        <v>0</v>
      </c>
      <c r="G2371">
        <v>0</v>
      </c>
    </row>
    <row r="2372" spans="1:7" x14ac:dyDescent="0.2">
      <c r="A2372" t="s">
        <v>4315</v>
      </c>
      <c r="B2372">
        <v>0</v>
      </c>
      <c r="C2372">
        <v>0</v>
      </c>
      <c r="D2372">
        <v>0</v>
      </c>
      <c r="E2372">
        <v>0</v>
      </c>
      <c r="F2372">
        <v>0</v>
      </c>
      <c r="G2372">
        <v>0</v>
      </c>
    </row>
    <row r="2373" spans="1:7" x14ac:dyDescent="0.2">
      <c r="A2373" t="s">
        <v>4316</v>
      </c>
      <c r="B2373">
        <v>0</v>
      </c>
      <c r="C2373">
        <v>0</v>
      </c>
      <c r="D2373">
        <v>0</v>
      </c>
      <c r="E2373">
        <v>0</v>
      </c>
      <c r="F2373">
        <v>0</v>
      </c>
      <c r="G2373">
        <v>0</v>
      </c>
    </row>
    <row r="2374" spans="1:7" x14ac:dyDescent="0.2">
      <c r="A2374" t="s">
        <v>4317</v>
      </c>
      <c r="B2374">
        <v>0</v>
      </c>
      <c r="C2374">
        <v>0</v>
      </c>
      <c r="D2374">
        <v>0</v>
      </c>
      <c r="E2374">
        <v>0</v>
      </c>
      <c r="F2374">
        <v>0</v>
      </c>
      <c r="G2374">
        <v>0</v>
      </c>
    </row>
    <row r="2375" spans="1:7" x14ac:dyDescent="0.2">
      <c r="A2375" t="s">
        <v>4318</v>
      </c>
      <c r="B2375">
        <v>0</v>
      </c>
      <c r="C2375">
        <v>0</v>
      </c>
      <c r="D2375">
        <v>0</v>
      </c>
      <c r="E2375">
        <v>0</v>
      </c>
      <c r="F2375">
        <v>0</v>
      </c>
      <c r="G2375">
        <v>0</v>
      </c>
    </row>
    <row r="2376" spans="1:7" x14ac:dyDescent="0.2">
      <c r="A2376" t="s">
        <v>4319</v>
      </c>
      <c r="B2376">
        <v>0</v>
      </c>
      <c r="C2376">
        <v>0</v>
      </c>
      <c r="D2376">
        <v>0</v>
      </c>
      <c r="E2376">
        <v>0</v>
      </c>
      <c r="F2376">
        <v>0</v>
      </c>
      <c r="G2376">
        <v>0</v>
      </c>
    </row>
    <row r="2377" spans="1:7" x14ac:dyDescent="0.2">
      <c r="A2377" t="s">
        <v>4320</v>
      </c>
      <c r="B2377">
        <v>0</v>
      </c>
      <c r="C2377">
        <v>0</v>
      </c>
      <c r="D2377">
        <v>0</v>
      </c>
      <c r="E2377">
        <v>0</v>
      </c>
      <c r="F2377">
        <v>0</v>
      </c>
      <c r="G2377">
        <v>0</v>
      </c>
    </row>
    <row r="2378" spans="1:7" x14ac:dyDescent="0.2">
      <c r="A2378" t="s">
        <v>4321</v>
      </c>
      <c r="B2378">
        <v>0</v>
      </c>
      <c r="C2378">
        <v>0</v>
      </c>
      <c r="D2378">
        <v>0</v>
      </c>
      <c r="E2378">
        <v>0</v>
      </c>
      <c r="F2378">
        <v>0</v>
      </c>
      <c r="G2378">
        <v>0</v>
      </c>
    </row>
    <row r="2379" spans="1:7" x14ac:dyDescent="0.2">
      <c r="A2379" t="s">
        <v>4322</v>
      </c>
      <c r="B2379">
        <v>0</v>
      </c>
      <c r="C2379">
        <v>0</v>
      </c>
      <c r="D2379">
        <v>0</v>
      </c>
      <c r="E2379">
        <v>0</v>
      </c>
      <c r="F2379">
        <v>0</v>
      </c>
      <c r="G2379">
        <v>0</v>
      </c>
    </row>
    <row r="2380" spans="1:7" x14ac:dyDescent="0.2">
      <c r="A2380" t="s">
        <v>4323</v>
      </c>
      <c r="B2380">
        <v>0</v>
      </c>
      <c r="C2380">
        <v>0</v>
      </c>
      <c r="D2380">
        <v>0</v>
      </c>
      <c r="E2380">
        <v>0</v>
      </c>
      <c r="F2380">
        <v>0</v>
      </c>
      <c r="G2380">
        <v>0</v>
      </c>
    </row>
    <row r="2381" spans="1:7" x14ac:dyDescent="0.2">
      <c r="A2381" t="s">
        <v>4324</v>
      </c>
      <c r="B2381">
        <v>0</v>
      </c>
      <c r="C2381">
        <v>0</v>
      </c>
      <c r="D2381">
        <v>0</v>
      </c>
      <c r="E2381">
        <v>0</v>
      </c>
      <c r="F2381">
        <v>0</v>
      </c>
      <c r="G2381">
        <v>0</v>
      </c>
    </row>
    <row r="2382" spans="1:7" x14ac:dyDescent="0.2">
      <c r="A2382" t="s">
        <v>4325</v>
      </c>
      <c r="B2382">
        <v>0</v>
      </c>
      <c r="C2382">
        <v>0</v>
      </c>
      <c r="D2382">
        <v>0</v>
      </c>
      <c r="E2382">
        <v>0</v>
      </c>
      <c r="F2382">
        <v>0</v>
      </c>
      <c r="G2382">
        <v>0</v>
      </c>
    </row>
    <row r="2383" spans="1:7" x14ac:dyDescent="0.2">
      <c r="A2383" t="s">
        <v>4326</v>
      </c>
      <c r="B2383">
        <v>0</v>
      </c>
      <c r="C2383">
        <v>0</v>
      </c>
      <c r="D2383">
        <v>0</v>
      </c>
      <c r="E2383">
        <v>0</v>
      </c>
      <c r="F2383">
        <v>0</v>
      </c>
      <c r="G2383">
        <v>0</v>
      </c>
    </row>
    <row r="2384" spans="1:7" x14ac:dyDescent="0.2">
      <c r="A2384" t="s">
        <v>4327</v>
      </c>
      <c r="B2384">
        <v>0</v>
      </c>
      <c r="C2384">
        <v>0</v>
      </c>
      <c r="D2384">
        <v>0</v>
      </c>
      <c r="E2384">
        <v>0</v>
      </c>
      <c r="F2384">
        <v>0</v>
      </c>
      <c r="G2384">
        <v>0</v>
      </c>
    </row>
    <row r="2385" spans="1:7" x14ac:dyDescent="0.2">
      <c r="A2385" t="s">
        <v>4328</v>
      </c>
      <c r="B2385">
        <v>0</v>
      </c>
      <c r="C2385">
        <v>0</v>
      </c>
      <c r="D2385">
        <v>0</v>
      </c>
      <c r="E2385">
        <v>0</v>
      </c>
      <c r="F2385">
        <v>0</v>
      </c>
      <c r="G2385">
        <v>0</v>
      </c>
    </row>
    <row r="2386" spans="1:7" x14ac:dyDescent="0.2">
      <c r="A2386" t="s">
        <v>4329</v>
      </c>
      <c r="B2386">
        <v>0</v>
      </c>
      <c r="C2386">
        <v>0</v>
      </c>
      <c r="D2386">
        <v>0</v>
      </c>
      <c r="E2386">
        <v>0</v>
      </c>
      <c r="F2386">
        <v>0</v>
      </c>
      <c r="G2386">
        <v>0</v>
      </c>
    </row>
    <row r="2387" spans="1:7" x14ac:dyDescent="0.2">
      <c r="A2387" t="s">
        <v>4330</v>
      </c>
      <c r="B2387">
        <v>0</v>
      </c>
      <c r="C2387">
        <v>0</v>
      </c>
      <c r="D2387">
        <v>0</v>
      </c>
      <c r="E2387">
        <v>0</v>
      </c>
      <c r="F2387">
        <v>0</v>
      </c>
      <c r="G2387">
        <v>0</v>
      </c>
    </row>
    <row r="2388" spans="1:7" x14ac:dyDescent="0.2">
      <c r="A2388" t="s">
        <v>4331</v>
      </c>
      <c r="B2388">
        <v>0</v>
      </c>
      <c r="C2388">
        <v>0</v>
      </c>
      <c r="D2388">
        <v>0</v>
      </c>
      <c r="E2388">
        <v>0</v>
      </c>
      <c r="F2388">
        <v>0</v>
      </c>
      <c r="G2388">
        <v>0</v>
      </c>
    </row>
    <row r="2389" spans="1:7" x14ac:dyDescent="0.2">
      <c r="A2389" t="s">
        <v>4332</v>
      </c>
      <c r="B2389">
        <v>0</v>
      </c>
      <c r="C2389">
        <v>0</v>
      </c>
      <c r="D2389">
        <v>0</v>
      </c>
      <c r="E2389">
        <v>0</v>
      </c>
      <c r="F2389">
        <v>0</v>
      </c>
      <c r="G2389">
        <v>0</v>
      </c>
    </row>
    <row r="2390" spans="1:7" x14ac:dyDescent="0.2">
      <c r="A2390" t="s">
        <v>4333</v>
      </c>
      <c r="B2390">
        <v>0</v>
      </c>
      <c r="C2390">
        <v>0</v>
      </c>
      <c r="D2390">
        <v>0</v>
      </c>
      <c r="E2390">
        <v>0</v>
      </c>
      <c r="F2390">
        <v>0</v>
      </c>
      <c r="G2390">
        <v>0</v>
      </c>
    </row>
    <row r="2391" spans="1:7" x14ac:dyDescent="0.2">
      <c r="A2391" t="s">
        <v>4334</v>
      </c>
      <c r="B2391">
        <v>0</v>
      </c>
      <c r="C2391">
        <v>0</v>
      </c>
      <c r="D2391">
        <v>0</v>
      </c>
      <c r="E2391">
        <v>0</v>
      </c>
      <c r="F2391">
        <v>0</v>
      </c>
      <c r="G2391">
        <v>0</v>
      </c>
    </row>
    <row r="2392" spans="1:7" x14ac:dyDescent="0.2">
      <c r="A2392" t="s">
        <v>4335</v>
      </c>
      <c r="B2392">
        <v>0</v>
      </c>
      <c r="C2392">
        <v>0</v>
      </c>
      <c r="D2392">
        <v>0</v>
      </c>
      <c r="E2392">
        <v>0</v>
      </c>
      <c r="F2392">
        <v>0</v>
      </c>
      <c r="G2392">
        <v>0</v>
      </c>
    </row>
    <row r="2393" spans="1:7" x14ac:dyDescent="0.2">
      <c r="A2393" t="s">
        <v>4336</v>
      </c>
      <c r="B2393">
        <v>0</v>
      </c>
      <c r="C2393">
        <v>0</v>
      </c>
      <c r="D2393">
        <v>0</v>
      </c>
      <c r="E2393">
        <v>0</v>
      </c>
      <c r="F2393">
        <v>0</v>
      </c>
      <c r="G2393">
        <v>0</v>
      </c>
    </row>
    <row r="2394" spans="1:7" x14ac:dyDescent="0.2">
      <c r="A2394" t="s">
        <v>4337</v>
      </c>
      <c r="B2394">
        <v>0</v>
      </c>
      <c r="C2394">
        <v>0</v>
      </c>
      <c r="D2394">
        <v>0</v>
      </c>
      <c r="E2394">
        <v>0</v>
      </c>
      <c r="F2394">
        <v>0</v>
      </c>
      <c r="G2394">
        <v>0</v>
      </c>
    </row>
    <row r="2395" spans="1:7" x14ac:dyDescent="0.2">
      <c r="A2395" t="s">
        <v>4338</v>
      </c>
      <c r="B2395">
        <v>0</v>
      </c>
      <c r="C2395">
        <v>0</v>
      </c>
      <c r="D2395">
        <v>0</v>
      </c>
      <c r="E2395">
        <v>0</v>
      </c>
      <c r="F2395">
        <v>0</v>
      </c>
      <c r="G2395">
        <v>0</v>
      </c>
    </row>
    <row r="2396" spans="1:7" x14ac:dyDescent="0.2">
      <c r="A2396" t="s">
        <v>4339</v>
      </c>
      <c r="B2396">
        <v>0</v>
      </c>
      <c r="C2396">
        <v>0</v>
      </c>
      <c r="D2396">
        <v>0</v>
      </c>
      <c r="E2396">
        <v>0</v>
      </c>
      <c r="F2396">
        <v>0</v>
      </c>
      <c r="G2396">
        <v>0</v>
      </c>
    </row>
    <row r="2397" spans="1:7" x14ac:dyDescent="0.2">
      <c r="A2397" t="s">
        <v>4340</v>
      </c>
      <c r="B2397">
        <v>0</v>
      </c>
      <c r="C2397">
        <v>0</v>
      </c>
      <c r="D2397">
        <v>0</v>
      </c>
      <c r="E2397">
        <v>0</v>
      </c>
      <c r="F2397">
        <v>0</v>
      </c>
      <c r="G2397">
        <v>0</v>
      </c>
    </row>
    <row r="2398" spans="1:7" x14ac:dyDescent="0.2">
      <c r="A2398" t="s">
        <v>4341</v>
      </c>
      <c r="B2398">
        <v>0</v>
      </c>
      <c r="C2398">
        <v>0</v>
      </c>
      <c r="D2398">
        <v>0</v>
      </c>
      <c r="E2398">
        <v>0</v>
      </c>
      <c r="F2398">
        <v>0</v>
      </c>
      <c r="G2398">
        <v>0</v>
      </c>
    </row>
    <row r="2399" spans="1:7" x14ac:dyDescent="0.2">
      <c r="A2399" t="s">
        <v>4342</v>
      </c>
      <c r="B2399">
        <v>0</v>
      </c>
      <c r="C2399">
        <v>0</v>
      </c>
      <c r="D2399">
        <v>0</v>
      </c>
      <c r="E2399">
        <v>0</v>
      </c>
      <c r="F2399">
        <v>0</v>
      </c>
      <c r="G2399">
        <v>0</v>
      </c>
    </row>
    <row r="2400" spans="1:7" x14ac:dyDescent="0.2">
      <c r="A2400" t="s">
        <v>4343</v>
      </c>
      <c r="B2400">
        <v>0</v>
      </c>
      <c r="C2400">
        <v>0</v>
      </c>
      <c r="D2400">
        <v>0</v>
      </c>
      <c r="E2400">
        <v>0</v>
      </c>
      <c r="F2400">
        <v>0</v>
      </c>
      <c r="G2400">
        <v>0</v>
      </c>
    </row>
    <row r="2401" spans="1:7" x14ac:dyDescent="0.2">
      <c r="A2401" t="s">
        <v>1728</v>
      </c>
      <c r="B2401">
        <v>0</v>
      </c>
      <c r="C2401">
        <v>0</v>
      </c>
      <c r="D2401">
        <v>0</v>
      </c>
      <c r="E2401">
        <v>0</v>
      </c>
      <c r="F2401">
        <v>0</v>
      </c>
      <c r="G2401">
        <v>0</v>
      </c>
    </row>
    <row r="2402" spans="1:7" x14ac:dyDescent="0.2">
      <c r="A2402" t="s">
        <v>1730</v>
      </c>
      <c r="B2402">
        <v>0</v>
      </c>
      <c r="C2402">
        <v>0</v>
      </c>
      <c r="D2402">
        <v>3</v>
      </c>
      <c r="E2402">
        <v>2</v>
      </c>
      <c r="F2402">
        <v>253</v>
      </c>
      <c r="G2402">
        <v>259</v>
      </c>
    </row>
    <row r="2403" spans="1:7" x14ac:dyDescent="0.2">
      <c r="A2403" t="s">
        <v>1733</v>
      </c>
      <c r="B2403">
        <v>0</v>
      </c>
      <c r="C2403">
        <v>0</v>
      </c>
      <c r="D2403">
        <v>0</v>
      </c>
      <c r="E2403">
        <v>28</v>
      </c>
      <c r="F2403">
        <v>165</v>
      </c>
      <c r="G2403">
        <v>193</v>
      </c>
    </row>
    <row r="2404" spans="1:7" x14ac:dyDescent="0.2">
      <c r="A2404" t="s">
        <v>1738</v>
      </c>
      <c r="B2404">
        <v>0</v>
      </c>
      <c r="C2404">
        <v>0</v>
      </c>
      <c r="D2404">
        <v>0</v>
      </c>
      <c r="E2404">
        <v>33</v>
      </c>
      <c r="F2404">
        <v>33</v>
      </c>
      <c r="G2404">
        <v>67</v>
      </c>
    </row>
    <row r="2405" spans="1:7" x14ac:dyDescent="0.2">
      <c r="A2405" t="s">
        <v>1744</v>
      </c>
      <c r="B2405">
        <v>0</v>
      </c>
      <c r="C2405">
        <v>0</v>
      </c>
      <c r="D2405">
        <v>0</v>
      </c>
      <c r="E2405">
        <v>0</v>
      </c>
      <c r="F2405">
        <v>0</v>
      </c>
      <c r="G2405">
        <v>0</v>
      </c>
    </row>
    <row r="2406" spans="1:7" x14ac:dyDescent="0.2">
      <c r="A2406" t="s">
        <v>1747</v>
      </c>
      <c r="B2406">
        <v>0</v>
      </c>
      <c r="C2406">
        <v>0</v>
      </c>
      <c r="D2406">
        <v>0</v>
      </c>
      <c r="E2406">
        <v>0</v>
      </c>
      <c r="F2406">
        <v>0</v>
      </c>
      <c r="G2406">
        <v>0</v>
      </c>
    </row>
    <row r="2407" spans="1:7" x14ac:dyDescent="0.2">
      <c r="A2407" t="s">
        <v>1751</v>
      </c>
      <c r="B2407">
        <v>0</v>
      </c>
      <c r="C2407">
        <v>0</v>
      </c>
      <c r="D2407">
        <v>0</v>
      </c>
      <c r="E2407">
        <v>0</v>
      </c>
      <c r="F2407">
        <v>0</v>
      </c>
      <c r="G2407">
        <v>0</v>
      </c>
    </row>
    <row r="2408" spans="1:7" x14ac:dyDescent="0.2">
      <c r="A2408" t="s">
        <v>1755</v>
      </c>
      <c r="B2408">
        <v>0</v>
      </c>
      <c r="C2408">
        <v>0</v>
      </c>
      <c r="D2408">
        <v>0</v>
      </c>
      <c r="E2408">
        <v>1</v>
      </c>
      <c r="F2408">
        <v>10</v>
      </c>
      <c r="G2408">
        <v>11</v>
      </c>
    </row>
    <row r="2409" spans="1:7" x14ac:dyDescent="0.2">
      <c r="A2409" t="s">
        <v>1757</v>
      </c>
      <c r="B2409">
        <v>0</v>
      </c>
      <c r="C2409">
        <v>0</v>
      </c>
      <c r="D2409">
        <v>0</v>
      </c>
      <c r="E2409">
        <v>1</v>
      </c>
      <c r="F2409">
        <v>10</v>
      </c>
      <c r="G2409">
        <v>12</v>
      </c>
    </row>
    <row r="2410" spans="1:7" x14ac:dyDescent="0.2">
      <c r="A2410" t="s">
        <v>1761</v>
      </c>
      <c r="B2410">
        <v>0</v>
      </c>
      <c r="C2410">
        <v>0</v>
      </c>
      <c r="D2410">
        <v>0</v>
      </c>
      <c r="E2410">
        <v>0</v>
      </c>
      <c r="F2410">
        <v>0</v>
      </c>
      <c r="G2410">
        <v>0</v>
      </c>
    </row>
    <row r="2411" spans="1:7" x14ac:dyDescent="0.2">
      <c r="A2411" t="s">
        <v>1764</v>
      </c>
      <c r="B2411">
        <v>0</v>
      </c>
      <c r="C2411">
        <v>0</v>
      </c>
      <c r="D2411">
        <v>0</v>
      </c>
      <c r="E2411">
        <v>0</v>
      </c>
      <c r="F2411">
        <v>0</v>
      </c>
      <c r="G2411">
        <v>0</v>
      </c>
    </row>
    <row r="2412" spans="1:7" x14ac:dyDescent="0.2">
      <c r="A2412" t="s">
        <v>1770</v>
      </c>
      <c r="B2412">
        <v>0</v>
      </c>
      <c r="C2412">
        <v>1</v>
      </c>
      <c r="D2412">
        <v>8</v>
      </c>
      <c r="E2412">
        <v>103</v>
      </c>
      <c r="F2412">
        <v>0</v>
      </c>
      <c r="G2412">
        <v>112</v>
      </c>
    </row>
    <row r="2413" spans="1:7" x14ac:dyDescent="0.2">
      <c r="A2413" t="s">
        <v>1772</v>
      </c>
      <c r="B2413">
        <v>0</v>
      </c>
      <c r="C2413">
        <v>0</v>
      </c>
      <c r="D2413">
        <v>3</v>
      </c>
      <c r="E2413">
        <v>45</v>
      </c>
      <c r="F2413">
        <v>0</v>
      </c>
      <c r="G2413">
        <v>48</v>
      </c>
    </row>
    <row r="2414" spans="1:7" x14ac:dyDescent="0.2">
      <c r="A2414" t="s">
        <v>1774</v>
      </c>
      <c r="B2414">
        <v>0</v>
      </c>
      <c r="C2414">
        <v>0</v>
      </c>
      <c r="D2414">
        <v>0</v>
      </c>
      <c r="E2414">
        <v>0</v>
      </c>
      <c r="F2414">
        <v>0</v>
      </c>
      <c r="G2414">
        <v>0</v>
      </c>
    </row>
    <row r="2415" spans="1:7" x14ac:dyDescent="0.2">
      <c r="A2415" t="s">
        <v>1777</v>
      </c>
      <c r="B2415">
        <v>0</v>
      </c>
      <c r="C2415">
        <v>0</v>
      </c>
      <c r="D2415">
        <v>0</v>
      </c>
      <c r="E2415">
        <v>0</v>
      </c>
      <c r="F2415">
        <v>14</v>
      </c>
      <c r="G2415">
        <v>14</v>
      </c>
    </row>
    <row r="2416" spans="1:7" x14ac:dyDescent="0.2">
      <c r="A2416" t="s">
        <v>1782</v>
      </c>
      <c r="B2416">
        <v>0</v>
      </c>
      <c r="C2416">
        <v>0</v>
      </c>
      <c r="D2416">
        <v>0</v>
      </c>
      <c r="E2416">
        <v>0</v>
      </c>
      <c r="F2416">
        <v>0</v>
      </c>
      <c r="G2416">
        <v>0</v>
      </c>
    </row>
    <row r="2417" spans="1:7" x14ac:dyDescent="0.2">
      <c r="A2417" t="s">
        <v>1274</v>
      </c>
      <c r="B2417">
        <v>0</v>
      </c>
      <c r="C2417">
        <v>0</v>
      </c>
      <c r="D2417">
        <v>0</v>
      </c>
      <c r="E2417">
        <v>0</v>
      </c>
      <c r="F2417">
        <v>0</v>
      </c>
      <c r="G2417">
        <v>0</v>
      </c>
    </row>
    <row r="2418" spans="1:7" x14ac:dyDescent="0.2">
      <c r="A2418" t="s">
        <v>1277</v>
      </c>
      <c r="B2418">
        <v>0</v>
      </c>
      <c r="C2418">
        <v>0</v>
      </c>
      <c r="D2418">
        <v>0</v>
      </c>
      <c r="E2418">
        <v>0</v>
      </c>
      <c r="F2418">
        <v>0</v>
      </c>
      <c r="G2418">
        <v>0</v>
      </c>
    </row>
    <row r="2419" spans="1:7" x14ac:dyDescent="0.2">
      <c r="A2419" t="s">
        <v>1798</v>
      </c>
      <c r="B2419">
        <v>0</v>
      </c>
      <c r="C2419">
        <v>0</v>
      </c>
      <c r="D2419">
        <v>0</v>
      </c>
      <c r="E2419">
        <v>0</v>
      </c>
      <c r="F2419">
        <v>0</v>
      </c>
      <c r="G2419">
        <v>0</v>
      </c>
    </row>
    <row r="2420" spans="1:7" x14ac:dyDescent="0.2">
      <c r="A2420" t="s">
        <v>1803</v>
      </c>
      <c r="B2420">
        <v>0</v>
      </c>
      <c r="C2420">
        <v>0</v>
      </c>
      <c r="D2420">
        <v>0</v>
      </c>
      <c r="E2420">
        <v>0</v>
      </c>
      <c r="F2420">
        <v>0</v>
      </c>
      <c r="G2420">
        <v>0</v>
      </c>
    </row>
    <row r="2421" spans="1:7" x14ac:dyDescent="0.2">
      <c r="A2421" t="s">
        <v>1808</v>
      </c>
      <c r="B2421">
        <v>0</v>
      </c>
      <c r="C2421">
        <v>0</v>
      </c>
      <c r="D2421">
        <v>0</v>
      </c>
      <c r="E2421">
        <v>0</v>
      </c>
      <c r="F2421">
        <v>0</v>
      </c>
      <c r="G2421">
        <v>0</v>
      </c>
    </row>
    <row r="2422" spans="1:7" x14ac:dyDescent="0.2">
      <c r="A2422" t="s">
        <v>1813</v>
      </c>
      <c r="B2422">
        <v>0</v>
      </c>
      <c r="C2422">
        <v>0</v>
      </c>
      <c r="D2422">
        <v>0</v>
      </c>
      <c r="E2422">
        <v>0</v>
      </c>
      <c r="F2422">
        <v>0</v>
      </c>
      <c r="G2422">
        <v>0</v>
      </c>
    </row>
    <row r="2423" spans="1:7" x14ac:dyDescent="0.2">
      <c r="A2423" t="s">
        <v>1819</v>
      </c>
      <c r="B2423">
        <v>0</v>
      </c>
      <c r="C2423">
        <v>0</v>
      </c>
      <c r="D2423">
        <v>0</v>
      </c>
      <c r="E2423">
        <v>0</v>
      </c>
      <c r="F2423">
        <v>0</v>
      </c>
      <c r="G2423">
        <v>0</v>
      </c>
    </row>
    <row r="2424" spans="1:7" x14ac:dyDescent="0.2">
      <c r="A2424" t="s">
        <v>1826</v>
      </c>
      <c r="B2424">
        <v>0</v>
      </c>
      <c r="C2424">
        <v>0</v>
      </c>
      <c r="D2424">
        <v>0</v>
      </c>
      <c r="E2424">
        <v>0</v>
      </c>
      <c r="F2424">
        <v>0</v>
      </c>
      <c r="G2424">
        <v>0</v>
      </c>
    </row>
    <row r="2425" spans="1:7" x14ac:dyDescent="0.2">
      <c r="A2425" t="s">
        <v>1830</v>
      </c>
      <c r="B2425">
        <v>0</v>
      </c>
      <c r="C2425">
        <v>0</v>
      </c>
      <c r="D2425">
        <v>0</v>
      </c>
      <c r="E2425">
        <v>0</v>
      </c>
      <c r="F2425">
        <v>0</v>
      </c>
      <c r="G2425">
        <v>0</v>
      </c>
    </row>
    <row r="2426" spans="1:7" x14ac:dyDescent="0.2">
      <c r="A2426" t="s">
        <v>1836</v>
      </c>
      <c r="B2426">
        <v>0</v>
      </c>
      <c r="C2426">
        <v>0</v>
      </c>
      <c r="D2426">
        <v>0</v>
      </c>
      <c r="E2426">
        <v>0</v>
      </c>
      <c r="F2426">
        <v>0</v>
      </c>
      <c r="G2426">
        <v>0</v>
      </c>
    </row>
    <row r="2427" spans="1:7" x14ac:dyDescent="0.2">
      <c r="A2427" t="s">
        <v>1841</v>
      </c>
      <c r="B2427">
        <v>0</v>
      </c>
      <c r="C2427">
        <v>0</v>
      </c>
      <c r="D2427">
        <v>0</v>
      </c>
      <c r="E2427">
        <v>0</v>
      </c>
      <c r="F2427">
        <v>0</v>
      </c>
      <c r="G2427">
        <v>0</v>
      </c>
    </row>
    <row r="2428" spans="1:7" x14ac:dyDescent="0.2">
      <c r="A2428" t="s">
        <v>1842</v>
      </c>
      <c r="B2428">
        <v>0</v>
      </c>
      <c r="C2428">
        <v>0</v>
      </c>
      <c r="D2428">
        <v>0</v>
      </c>
      <c r="E2428">
        <v>4</v>
      </c>
      <c r="F2428">
        <v>0</v>
      </c>
      <c r="G2428">
        <v>5</v>
      </c>
    </row>
    <row r="2429" spans="1:7" x14ac:dyDescent="0.2">
      <c r="A2429" t="s">
        <v>1843</v>
      </c>
      <c r="B2429">
        <v>0</v>
      </c>
      <c r="C2429">
        <v>0</v>
      </c>
      <c r="D2429">
        <v>0</v>
      </c>
      <c r="E2429">
        <v>0</v>
      </c>
      <c r="F2429">
        <v>0</v>
      </c>
      <c r="G2429">
        <v>0</v>
      </c>
    </row>
    <row r="2430" spans="1:7" x14ac:dyDescent="0.2">
      <c r="A2430" t="s">
        <v>1846</v>
      </c>
      <c r="B2430">
        <v>0</v>
      </c>
      <c r="C2430">
        <v>0</v>
      </c>
      <c r="D2430">
        <v>0</v>
      </c>
      <c r="E2430">
        <v>0</v>
      </c>
      <c r="F2430">
        <v>0</v>
      </c>
      <c r="G2430">
        <v>0</v>
      </c>
    </row>
    <row r="2431" spans="1:7" x14ac:dyDescent="0.2">
      <c r="A2431" t="s">
        <v>1851</v>
      </c>
      <c r="B2431">
        <v>0</v>
      </c>
      <c r="C2431">
        <v>0</v>
      </c>
      <c r="D2431">
        <v>0</v>
      </c>
      <c r="E2431">
        <v>0</v>
      </c>
      <c r="F2431">
        <v>0</v>
      </c>
      <c r="G2431">
        <v>0</v>
      </c>
    </row>
    <row r="2432" spans="1:7" x14ac:dyDescent="0.2">
      <c r="A2432" t="s">
        <v>1857</v>
      </c>
      <c r="B2432">
        <v>0</v>
      </c>
      <c r="C2432">
        <v>0</v>
      </c>
      <c r="D2432">
        <v>0</v>
      </c>
      <c r="E2432">
        <v>0</v>
      </c>
      <c r="F2432">
        <v>0</v>
      </c>
      <c r="G2432">
        <v>0</v>
      </c>
    </row>
    <row r="2433" spans="1:7" x14ac:dyDescent="0.2">
      <c r="A2433" t="s">
        <v>1862</v>
      </c>
      <c r="B2433">
        <v>0</v>
      </c>
      <c r="C2433">
        <v>0</v>
      </c>
      <c r="D2433">
        <v>0</v>
      </c>
      <c r="E2433">
        <v>0</v>
      </c>
      <c r="F2433">
        <v>0</v>
      </c>
      <c r="G2433">
        <v>0</v>
      </c>
    </row>
    <row r="2434" spans="1:7" x14ac:dyDescent="0.2">
      <c r="A2434" t="s">
        <v>1867</v>
      </c>
      <c r="B2434">
        <v>0</v>
      </c>
      <c r="C2434">
        <v>0</v>
      </c>
      <c r="D2434">
        <v>0</v>
      </c>
      <c r="E2434">
        <v>0</v>
      </c>
      <c r="F2434">
        <v>0</v>
      </c>
      <c r="G2434">
        <v>0</v>
      </c>
    </row>
    <row r="2435" spans="1:7" x14ac:dyDescent="0.2">
      <c r="A2435" t="s">
        <v>1870</v>
      </c>
      <c r="B2435">
        <v>0</v>
      </c>
      <c r="C2435">
        <v>0</v>
      </c>
      <c r="D2435">
        <v>0</v>
      </c>
      <c r="E2435">
        <v>0</v>
      </c>
      <c r="F2435">
        <v>0</v>
      </c>
      <c r="G2435">
        <v>0</v>
      </c>
    </row>
    <row r="2436" spans="1:7" x14ac:dyDescent="0.2">
      <c r="A2436" t="s">
        <v>1874</v>
      </c>
      <c r="B2436">
        <v>0</v>
      </c>
      <c r="C2436">
        <v>0</v>
      </c>
      <c r="D2436">
        <v>0</v>
      </c>
      <c r="E2436">
        <v>0</v>
      </c>
      <c r="F2436">
        <v>0</v>
      </c>
      <c r="G2436">
        <v>0</v>
      </c>
    </row>
    <row r="2437" spans="1:7" x14ac:dyDescent="0.2">
      <c r="A2437" t="s">
        <v>1876</v>
      </c>
      <c r="B2437">
        <v>0</v>
      </c>
      <c r="C2437">
        <v>0</v>
      </c>
      <c r="D2437">
        <v>0</v>
      </c>
      <c r="E2437">
        <v>0</v>
      </c>
      <c r="F2437">
        <v>0</v>
      </c>
      <c r="G2437">
        <v>0</v>
      </c>
    </row>
    <row r="2438" spans="1:7" x14ac:dyDescent="0.2">
      <c r="A2438" t="s">
        <v>1881</v>
      </c>
      <c r="B2438">
        <v>0</v>
      </c>
      <c r="C2438">
        <v>0</v>
      </c>
      <c r="D2438">
        <v>0</v>
      </c>
      <c r="E2438">
        <v>0</v>
      </c>
      <c r="F2438">
        <v>0</v>
      </c>
      <c r="G2438">
        <v>0</v>
      </c>
    </row>
    <row r="2439" spans="1:7" x14ac:dyDescent="0.2">
      <c r="A2439" t="s">
        <v>1885</v>
      </c>
      <c r="B2439">
        <v>0</v>
      </c>
      <c r="C2439">
        <v>0</v>
      </c>
      <c r="D2439">
        <v>0</v>
      </c>
      <c r="E2439">
        <v>4</v>
      </c>
      <c r="F2439">
        <v>2</v>
      </c>
      <c r="G2439">
        <v>6</v>
      </c>
    </row>
    <row r="2440" spans="1:7" x14ac:dyDescent="0.2">
      <c r="A2440" t="s">
        <v>1887</v>
      </c>
      <c r="B2440">
        <v>0</v>
      </c>
      <c r="C2440">
        <v>0</v>
      </c>
      <c r="D2440">
        <v>0</v>
      </c>
      <c r="E2440">
        <v>0</v>
      </c>
      <c r="F2440">
        <v>0</v>
      </c>
      <c r="G2440">
        <v>0</v>
      </c>
    </row>
    <row r="2441" spans="1:7" x14ac:dyDescent="0.2">
      <c r="A2441" t="s">
        <v>1893</v>
      </c>
      <c r="B2441">
        <v>0</v>
      </c>
      <c r="C2441">
        <v>0</v>
      </c>
      <c r="D2441">
        <v>0</v>
      </c>
      <c r="E2441">
        <v>1</v>
      </c>
      <c r="F2441">
        <v>1</v>
      </c>
      <c r="G2441">
        <v>2</v>
      </c>
    </row>
    <row r="2442" spans="1:7" x14ac:dyDescent="0.2">
      <c r="A2442" t="s">
        <v>1899</v>
      </c>
      <c r="B2442">
        <v>0</v>
      </c>
      <c r="C2442">
        <v>0</v>
      </c>
      <c r="D2442">
        <v>0</v>
      </c>
      <c r="E2442">
        <v>0</v>
      </c>
      <c r="F2442">
        <v>0</v>
      </c>
      <c r="G2442">
        <v>0</v>
      </c>
    </row>
    <row r="2443" spans="1:7" x14ac:dyDescent="0.2">
      <c r="A2443" t="s">
        <v>1906</v>
      </c>
      <c r="B2443">
        <v>0</v>
      </c>
      <c r="C2443">
        <v>0</v>
      </c>
      <c r="D2443">
        <v>0</v>
      </c>
      <c r="E2443">
        <v>0</v>
      </c>
      <c r="F2443">
        <v>0</v>
      </c>
      <c r="G2443">
        <v>0</v>
      </c>
    </row>
    <row r="2444" spans="1:7" x14ac:dyDescent="0.2">
      <c r="A2444" t="s">
        <v>1911</v>
      </c>
      <c r="B2444">
        <v>0</v>
      </c>
      <c r="C2444">
        <v>0</v>
      </c>
      <c r="D2444">
        <v>0</v>
      </c>
      <c r="E2444">
        <v>0</v>
      </c>
      <c r="F2444">
        <v>0</v>
      </c>
      <c r="G2444">
        <v>0</v>
      </c>
    </row>
    <row r="2445" spans="1:7" x14ac:dyDescent="0.2">
      <c r="A2445" t="s">
        <v>1917</v>
      </c>
      <c r="B2445">
        <v>0</v>
      </c>
      <c r="C2445">
        <v>0</v>
      </c>
      <c r="D2445">
        <v>0</v>
      </c>
      <c r="E2445">
        <v>2</v>
      </c>
      <c r="F2445">
        <v>2</v>
      </c>
      <c r="G2445">
        <v>4</v>
      </c>
    </row>
    <row r="2446" spans="1:7" x14ac:dyDescent="0.2">
      <c r="A2446" t="s">
        <v>1922</v>
      </c>
      <c r="B2446">
        <v>0</v>
      </c>
      <c r="C2446">
        <v>0</v>
      </c>
      <c r="D2446">
        <v>0</v>
      </c>
      <c r="E2446">
        <v>0</v>
      </c>
      <c r="F2446">
        <v>0</v>
      </c>
      <c r="G2446">
        <v>0</v>
      </c>
    </row>
    <row r="2447" spans="1:7" x14ac:dyDescent="0.2">
      <c r="A2447" t="s">
        <v>1928</v>
      </c>
      <c r="B2447">
        <v>0</v>
      </c>
      <c r="C2447">
        <v>0</v>
      </c>
      <c r="D2447">
        <v>0</v>
      </c>
      <c r="E2447">
        <v>0</v>
      </c>
      <c r="F2447">
        <v>0</v>
      </c>
      <c r="G2447">
        <v>0</v>
      </c>
    </row>
    <row r="2448" spans="1:7" x14ac:dyDescent="0.2">
      <c r="A2448" t="s">
        <v>1932</v>
      </c>
      <c r="B2448">
        <v>0</v>
      </c>
      <c r="C2448">
        <v>0</v>
      </c>
      <c r="D2448">
        <v>0</v>
      </c>
      <c r="E2448">
        <v>0</v>
      </c>
      <c r="F2448">
        <v>0</v>
      </c>
      <c r="G2448">
        <v>0</v>
      </c>
    </row>
    <row r="2449" spans="1:7" x14ac:dyDescent="0.2">
      <c r="A2449" t="s">
        <v>1938</v>
      </c>
      <c r="B2449">
        <v>0</v>
      </c>
      <c r="C2449">
        <v>0</v>
      </c>
      <c r="D2449">
        <v>0</v>
      </c>
      <c r="E2449">
        <v>0</v>
      </c>
      <c r="F2449">
        <v>0</v>
      </c>
      <c r="G2449">
        <v>0</v>
      </c>
    </row>
    <row r="2450" spans="1:7" x14ac:dyDescent="0.2">
      <c r="A2450" t="s">
        <v>1944</v>
      </c>
      <c r="B2450">
        <v>0</v>
      </c>
      <c r="C2450">
        <v>0</v>
      </c>
      <c r="D2450">
        <v>0</v>
      </c>
      <c r="E2450">
        <v>0</v>
      </c>
      <c r="F2450">
        <v>0</v>
      </c>
      <c r="G2450">
        <v>0</v>
      </c>
    </row>
    <row r="2451" spans="1:7" x14ac:dyDescent="0.2">
      <c r="A2451" t="s">
        <v>1947</v>
      </c>
      <c r="B2451">
        <v>0</v>
      </c>
      <c r="C2451">
        <v>0</v>
      </c>
      <c r="D2451">
        <v>0</v>
      </c>
      <c r="E2451">
        <v>0</v>
      </c>
      <c r="F2451">
        <v>0</v>
      </c>
      <c r="G2451">
        <v>0</v>
      </c>
    </row>
    <row r="2452" spans="1:7" x14ac:dyDescent="0.2">
      <c r="A2452" t="s">
        <v>1953</v>
      </c>
      <c r="B2452">
        <v>0</v>
      </c>
      <c r="C2452">
        <v>0</v>
      </c>
      <c r="D2452">
        <v>0</v>
      </c>
      <c r="E2452">
        <v>0</v>
      </c>
      <c r="F2452">
        <v>0</v>
      </c>
      <c r="G2452">
        <v>0</v>
      </c>
    </row>
    <row r="2453" spans="1:7" x14ac:dyDescent="0.2">
      <c r="A2453" t="s">
        <v>1958</v>
      </c>
      <c r="B2453">
        <v>0</v>
      </c>
      <c r="C2453">
        <v>0</v>
      </c>
      <c r="D2453">
        <v>0</v>
      </c>
      <c r="E2453">
        <v>0</v>
      </c>
      <c r="F2453">
        <v>0</v>
      </c>
      <c r="G2453">
        <v>0</v>
      </c>
    </row>
    <row r="2454" spans="1:7" x14ac:dyDescent="0.2">
      <c r="A2454" t="s">
        <v>1964</v>
      </c>
      <c r="B2454">
        <v>0</v>
      </c>
      <c r="C2454">
        <v>0</v>
      </c>
      <c r="D2454">
        <v>0</v>
      </c>
      <c r="E2454">
        <v>0</v>
      </c>
      <c r="F2454">
        <v>0</v>
      </c>
      <c r="G2454">
        <v>0</v>
      </c>
    </row>
    <row r="2455" spans="1:7" x14ac:dyDescent="0.2">
      <c r="A2455" t="s">
        <v>1973</v>
      </c>
      <c r="B2455">
        <v>0</v>
      </c>
      <c r="C2455">
        <v>0</v>
      </c>
      <c r="D2455">
        <v>0</v>
      </c>
      <c r="E2455">
        <v>0</v>
      </c>
      <c r="F2455">
        <v>0</v>
      </c>
      <c r="G2455">
        <v>0</v>
      </c>
    </row>
    <row r="2456" spans="1:7" x14ac:dyDescent="0.2">
      <c r="A2456" t="s">
        <v>1978</v>
      </c>
      <c r="B2456">
        <v>0</v>
      </c>
      <c r="C2456">
        <v>0</v>
      </c>
      <c r="D2456">
        <v>0</v>
      </c>
      <c r="E2456">
        <v>0</v>
      </c>
      <c r="F2456">
        <v>0</v>
      </c>
      <c r="G2456">
        <v>0</v>
      </c>
    </row>
    <row r="2457" spans="1:7" x14ac:dyDescent="0.2">
      <c r="A2457" t="s">
        <v>1983</v>
      </c>
      <c r="B2457">
        <v>0</v>
      </c>
      <c r="C2457">
        <v>0</v>
      </c>
      <c r="D2457">
        <v>0</v>
      </c>
      <c r="E2457">
        <v>0</v>
      </c>
      <c r="F2457">
        <v>0</v>
      </c>
      <c r="G2457">
        <v>0</v>
      </c>
    </row>
    <row r="2458" spans="1:7" x14ac:dyDescent="0.2">
      <c r="A2458" t="s">
        <v>1984</v>
      </c>
      <c r="B2458">
        <v>0</v>
      </c>
      <c r="C2458">
        <v>0</v>
      </c>
      <c r="D2458">
        <v>0</v>
      </c>
      <c r="E2458">
        <v>0</v>
      </c>
      <c r="F2458">
        <v>0</v>
      </c>
      <c r="G2458">
        <v>0</v>
      </c>
    </row>
    <row r="2459" spans="1:7" x14ac:dyDescent="0.2">
      <c r="A2459" t="s">
        <v>1990</v>
      </c>
      <c r="B2459">
        <v>0</v>
      </c>
      <c r="C2459">
        <v>0</v>
      </c>
      <c r="D2459">
        <v>0</v>
      </c>
      <c r="E2459">
        <v>0</v>
      </c>
      <c r="F2459">
        <v>0</v>
      </c>
      <c r="G2459">
        <v>0</v>
      </c>
    </row>
    <row r="2460" spans="1:7" x14ac:dyDescent="0.2">
      <c r="A2460" t="s">
        <v>1996</v>
      </c>
      <c r="B2460">
        <v>0</v>
      </c>
      <c r="C2460">
        <v>0</v>
      </c>
      <c r="D2460">
        <v>0</v>
      </c>
      <c r="E2460">
        <v>0</v>
      </c>
      <c r="F2460">
        <v>0</v>
      </c>
      <c r="G2460">
        <v>0</v>
      </c>
    </row>
    <row r="2461" spans="1:7" x14ac:dyDescent="0.2">
      <c r="A2461" t="s">
        <v>1998</v>
      </c>
      <c r="B2461">
        <v>0</v>
      </c>
      <c r="C2461">
        <v>0</v>
      </c>
      <c r="D2461">
        <v>0</v>
      </c>
      <c r="E2461">
        <v>0</v>
      </c>
      <c r="F2461">
        <v>0</v>
      </c>
      <c r="G2461">
        <v>0</v>
      </c>
    </row>
    <row r="2462" spans="1:7" x14ac:dyDescent="0.2">
      <c r="A2462" t="s">
        <v>1999</v>
      </c>
      <c r="B2462">
        <v>0</v>
      </c>
      <c r="C2462">
        <v>0</v>
      </c>
      <c r="D2462">
        <v>0</v>
      </c>
      <c r="E2462">
        <v>0</v>
      </c>
      <c r="F2462">
        <v>0</v>
      </c>
      <c r="G2462">
        <v>0</v>
      </c>
    </row>
    <row r="2463" spans="1:7" x14ac:dyDescent="0.2">
      <c r="A2463" t="s">
        <v>2004</v>
      </c>
      <c r="B2463">
        <v>0</v>
      </c>
      <c r="C2463">
        <v>0</v>
      </c>
      <c r="D2463">
        <v>0</v>
      </c>
      <c r="E2463">
        <v>0</v>
      </c>
      <c r="F2463">
        <v>0</v>
      </c>
      <c r="G2463">
        <v>0</v>
      </c>
    </row>
    <row r="2464" spans="1:7" x14ac:dyDescent="0.2">
      <c r="A2464" t="s">
        <v>2009</v>
      </c>
      <c r="B2464">
        <v>0</v>
      </c>
      <c r="C2464">
        <v>0</v>
      </c>
      <c r="D2464">
        <v>0</v>
      </c>
      <c r="E2464">
        <v>0</v>
      </c>
      <c r="F2464">
        <v>0</v>
      </c>
      <c r="G2464">
        <v>0</v>
      </c>
    </row>
    <row r="2465" spans="1:7" x14ac:dyDescent="0.2">
      <c r="A2465" t="s">
        <v>2014</v>
      </c>
      <c r="B2465">
        <v>0</v>
      </c>
      <c r="C2465">
        <v>0</v>
      </c>
      <c r="D2465">
        <v>0</v>
      </c>
      <c r="E2465">
        <v>0</v>
      </c>
      <c r="F2465">
        <v>0</v>
      </c>
      <c r="G2465">
        <v>0</v>
      </c>
    </row>
    <row r="2466" spans="1:7" x14ac:dyDescent="0.2">
      <c r="A2466" t="s">
        <v>2019</v>
      </c>
      <c r="B2466">
        <v>0</v>
      </c>
      <c r="C2466">
        <v>0</v>
      </c>
      <c r="D2466">
        <v>0</v>
      </c>
      <c r="E2466">
        <v>0</v>
      </c>
      <c r="F2466">
        <v>0</v>
      </c>
      <c r="G2466">
        <v>0</v>
      </c>
    </row>
    <row r="2467" spans="1:7" x14ac:dyDescent="0.2">
      <c r="A2467" t="s">
        <v>2023</v>
      </c>
      <c r="B2467">
        <v>0</v>
      </c>
      <c r="C2467">
        <v>0</v>
      </c>
      <c r="D2467">
        <v>0</v>
      </c>
      <c r="E2467">
        <v>0</v>
      </c>
      <c r="F2467">
        <v>0</v>
      </c>
      <c r="G2467">
        <v>0</v>
      </c>
    </row>
    <row r="2468" spans="1:7" x14ac:dyDescent="0.2">
      <c r="A2468" t="s">
        <v>2026</v>
      </c>
      <c r="B2468">
        <v>0</v>
      </c>
      <c r="C2468">
        <v>0</v>
      </c>
      <c r="D2468">
        <v>0</v>
      </c>
      <c r="E2468">
        <v>0</v>
      </c>
      <c r="F2468">
        <v>0</v>
      </c>
      <c r="G2468">
        <v>0</v>
      </c>
    </row>
    <row r="2469" spans="1:7" x14ac:dyDescent="0.2">
      <c r="A2469" t="s">
        <v>2030</v>
      </c>
      <c r="B2469">
        <v>0</v>
      </c>
      <c r="C2469">
        <v>0</v>
      </c>
      <c r="D2469">
        <v>0</v>
      </c>
      <c r="E2469">
        <v>0</v>
      </c>
      <c r="F2469">
        <v>0</v>
      </c>
      <c r="G2469">
        <v>0</v>
      </c>
    </row>
    <row r="2470" spans="1:7" x14ac:dyDescent="0.2">
      <c r="A2470" t="s">
        <v>2035</v>
      </c>
      <c r="B2470">
        <v>0</v>
      </c>
      <c r="C2470">
        <v>0</v>
      </c>
      <c r="D2470">
        <v>0</v>
      </c>
      <c r="E2470">
        <v>0</v>
      </c>
      <c r="F2470">
        <v>0</v>
      </c>
      <c r="G2470">
        <v>0</v>
      </c>
    </row>
    <row r="2471" spans="1:7" x14ac:dyDescent="0.2">
      <c r="A2471" t="s">
        <v>2040</v>
      </c>
      <c r="B2471">
        <v>0</v>
      </c>
      <c r="C2471">
        <v>0</v>
      </c>
      <c r="D2471">
        <v>0</v>
      </c>
      <c r="E2471">
        <v>0</v>
      </c>
      <c r="F2471">
        <v>0</v>
      </c>
      <c r="G2471">
        <v>0</v>
      </c>
    </row>
    <row r="2472" spans="1:7" x14ac:dyDescent="0.2">
      <c r="A2472" t="s">
        <v>2045</v>
      </c>
      <c r="B2472">
        <v>0</v>
      </c>
      <c r="C2472">
        <v>0</v>
      </c>
      <c r="D2472">
        <v>0</v>
      </c>
      <c r="E2472">
        <v>0</v>
      </c>
      <c r="F2472">
        <v>0</v>
      </c>
      <c r="G2472">
        <v>0</v>
      </c>
    </row>
    <row r="2473" spans="1:7" x14ac:dyDescent="0.2">
      <c r="A2473" t="s">
        <v>2049</v>
      </c>
      <c r="B2473">
        <v>0</v>
      </c>
      <c r="C2473">
        <v>0</v>
      </c>
      <c r="D2473">
        <v>0</v>
      </c>
      <c r="E2473">
        <v>0</v>
      </c>
      <c r="F2473">
        <v>0</v>
      </c>
      <c r="G2473">
        <v>0</v>
      </c>
    </row>
    <row r="2474" spans="1:7" x14ac:dyDescent="0.2">
      <c r="A2474" t="s">
        <v>2051</v>
      </c>
      <c r="B2474">
        <v>0</v>
      </c>
      <c r="C2474">
        <v>0</v>
      </c>
      <c r="D2474">
        <v>0</v>
      </c>
      <c r="E2474">
        <v>0</v>
      </c>
      <c r="F2474">
        <v>4</v>
      </c>
      <c r="G2474">
        <v>4</v>
      </c>
    </row>
    <row r="2475" spans="1:7" x14ac:dyDescent="0.2">
      <c r="A2475" t="s">
        <v>2057</v>
      </c>
      <c r="B2475">
        <v>0</v>
      </c>
      <c r="C2475">
        <v>0</v>
      </c>
      <c r="D2475">
        <v>0</v>
      </c>
      <c r="E2475">
        <v>0</v>
      </c>
      <c r="F2475">
        <v>7</v>
      </c>
      <c r="G2475">
        <v>7</v>
      </c>
    </row>
    <row r="2476" spans="1:7" x14ac:dyDescent="0.2">
      <c r="A2476" t="s">
        <v>4344</v>
      </c>
      <c r="B2476">
        <v>0</v>
      </c>
      <c r="C2476">
        <v>0</v>
      </c>
      <c r="D2476">
        <v>0</v>
      </c>
      <c r="E2476">
        <v>1</v>
      </c>
      <c r="F2476">
        <v>0</v>
      </c>
      <c r="G2476">
        <v>1</v>
      </c>
    </row>
    <row r="2477" spans="1:7" x14ac:dyDescent="0.2">
      <c r="A2477" t="s">
        <v>4345</v>
      </c>
      <c r="B2477">
        <v>0</v>
      </c>
      <c r="C2477">
        <v>0</v>
      </c>
      <c r="D2477">
        <v>0</v>
      </c>
      <c r="E2477">
        <v>4</v>
      </c>
      <c r="F2477">
        <v>6</v>
      </c>
      <c r="G2477">
        <v>10</v>
      </c>
    </row>
    <row r="2478" spans="1:7" x14ac:dyDescent="0.2">
      <c r="A2478" t="s">
        <v>2074</v>
      </c>
      <c r="B2478">
        <v>0</v>
      </c>
      <c r="C2478">
        <v>0</v>
      </c>
      <c r="D2478">
        <v>0</v>
      </c>
      <c r="E2478">
        <v>0</v>
      </c>
      <c r="F2478">
        <v>0</v>
      </c>
      <c r="G2478">
        <v>0</v>
      </c>
    </row>
    <row r="2479" spans="1:7" x14ac:dyDescent="0.2">
      <c r="A2479" t="s">
        <v>2079</v>
      </c>
      <c r="B2479">
        <v>0</v>
      </c>
      <c r="C2479">
        <v>0</v>
      </c>
      <c r="D2479">
        <v>0</v>
      </c>
      <c r="E2479">
        <v>0</v>
      </c>
      <c r="F2479">
        <v>0</v>
      </c>
      <c r="G2479">
        <v>0</v>
      </c>
    </row>
    <row r="2480" spans="1:7" x14ac:dyDescent="0.2">
      <c r="A2480" t="s">
        <v>2085</v>
      </c>
      <c r="B2480">
        <v>0</v>
      </c>
      <c r="C2480">
        <v>0</v>
      </c>
      <c r="D2480">
        <v>0</v>
      </c>
      <c r="E2480">
        <v>0</v>
      </c>
      <c r="F2480">
        <v>0</v>
      </c>
      <c r="G2480">
        <v>0</v>
      </c>
    </row>
    <row r="2481" spans="1:7" x14ac:dyDescent="0.2">
      <c r="A2481" t="s">
        <v>2091</v>
      </c>
      <c r="B2481">
        <v>0</v>
      </c>
      <c r="C2481">
        <v>0</v>
      </c>
      <c r="D2481">
        <v>0</v>
      </c>
      <c r="E2481">
        <v>0</v>
      </c>
      <c r="F2481">
        <v>0</v>
      </c>
      <c r="G2481">
        <v>0</v>
      </c>
    </row>
    <row r="2482" spans="1:7" x14ac:dyDescent="0.2">
      <c r="A2482" t="s">
        <v>2097</v>
      </c>
      <c r="B2482">
        <v>0</v>
      </c>
      <c r="C2482">
        <v>0</v>
      </c>
      <c r="D2482">
        <v>0</v>
      </c>
      <c r="E2482">
        <v>0</v>
      </c>
      <c r="F2482">
        <v>0</v>
      </c>
      <c r="G2482">
        <v>0</v>
      </c>
    </row>
    <row r="2483" spans="1:7" x14ac:dyDescent="0.2">
      <c r="A2483" t="s">
        <v>2101</v>
      </c>
      <c r="B2483">
        <v>0</v>
      </c>
      <c r="C2483">
        <v>0</v>
      </c>
      <c r="D2483">
        <v>0</v>
      </c>
      <c r="E2483">
        <v>0</v>
      </c>
      <c r="F2483">
        <v>0</v>
      </c>
      <c r="G2483">
        <v>0</v>
      </c>
    </row>
    <row r="2484" spans="1:7" x14ac:dyDescent="0.2">
      <c r="A2484" t="s">
        <v>2104</v>
      </c>
      <c r="B2484">
        <v>0</v>
      </c>
      <c r="C2484">
        <v>0</v>
      </c>
      <c r="D2484">
        <v>0</v>
      </c>
      <c r="E2484">
        <v>0</v>
      </c>
      <c r="F2484">
        <v>0</v>
      </c>
      <c r="G2484">
        <v>0</v>
      </c>
    </row>
    <row r="2485" spans="1:7" x14ac:dyDescent="0.2">
      <c r="A2485" t="s">
        <v>2107</v>
      </c>
      <c r="B2485">
        <v>0</v>
      </c>
      <c r="C2485">
        <v>0</v>
      </c>
      <c r="D2485">
        <v>0</v>
      </c>
      <c r="E2485">
        <v>0</v>
      </c>
      <c r="F2485">
        <v>0</v>
      </c>
      <c r="G2485">
        <v>0</v>
      </c>
    </row>
    <row r="2486" spans="1:7" x14ac:dyDescent="0.2">
      <c r="A2486" t="s">
        <v>2110</v>
      </c>
      <c r="B2486">
        <v>0</v>
      </c>
      <c r="C2486">
        <v>0</v>
      </c>
      <c r="D2486">
        <v>0</v>
      </c>
      <c r="E2486">
        <v>0</v>
      </c>
      <c r="F2486">
        <v>0</v>
      </c>
      <c r="G2486">
        <v>0</v>
      </c>
    </row>
    <row r="2487" spans="1:7" x14ac:dyDescent="0.2">
      <c r="A2487" t="s">
        <v>2113</v>
      </c>
      <c r="B2487">
        <v>0</v>
      </c>
      <c r="C2487">
        <v>0</v>
      </c>
      <c r="D2487">
        <v>0</v>
      </c>
      <c r="E2487">
        <v>0</v>
      </c>
      <c r="F2487">
        <v>0</v>
      </c>
      <c r="G2487">
        <v>0</v>
      </c>
    </row>
    <row r="2488" spans="1:7" x14ac:dyDescent="0.2">
      <c r="A2488" t="s">
        <v>4346</v>
      </c>
      <c r="B2488">
        <v>0</v>
      </c>
      <c r="C2488">
        <v>0</v>
      </c>
      <c r="D2488">
        <v>0</v>
      </c>
      <c r="E2488">
        <v>0</v>
      </c>
      <c r="F2488">
        <v>0</v>
      </c>
      <c r="G2488">
        <v>0</v>
      </c>
    </row>
    <row r="2489" spans="1:7" x14ac:dyDescent="0.2">
      <c r="A2489" t="s">
        <v>4347</v>
      </c>
      <c r="B2489">
        <v>0</v>
      </c>
      <c r="C2489">
        <v>0</v>
      </c>
      <c r="D2489">
        <v>0</v>
      </c>
      <c r="E2489">
        <v>0</v>
      </c>
      <c r="F2489">
        <v>0</v>
      </c>
      <c r="G2489">
        <v>0</v>
      </c>
    </row>
    <row r="2490" spans="1:7" x14ac:dyDescent="0.2">
      <c r="A2490" t="s">
        <v>4348</v>
      </c>
      <c r="B2490">
        <v>0</v>
      </c>
      <c r="C2490">
        <v>0</v>
      </c>
      <c r="D2490">
        <v>0</v>
      </c>
      <c r="E2490">
        <v>0</v>
      </c>
      <c r="F2490">
        <v>0</v>
      </c>
      <c r="G2490">
        <v>0</v>
      </c>
    </row>
    <row r="2491" spans="1:7" x14ac:dyDescent="0.2">
      <c r="A2491" t="s">
        <v>4349</v>
      </c>
      <c r="B2491">
        <v>0</v>
      </c>
      <c r="C2491">
        <v>0</v>
      </c>
      <c r="D2491">
        <v>0</v>
      </c>
      <c r="E2491">
        <v>0</v>
      </c>
      <c r="F2491">
        <v>0</v>
      </c>
      <c r="G2491">
        <v>0</v>
      </c>
    </row>
    <row r="2492" spans="1:7" x14ac:dyDescent="0.2">
      <c r="A2492" t="s">
        <v>4350</v>
      </c>
      <c r="B2492">
        <v>0</v>
      </c>
      <c r="C2492">
        <v>1</v>
      </c>
      <c r="D2492">
        <v>10</v>
      </c>
      <c r="E2492">
        <v>0</v>
      </c>
      <c r="F2492">
        <v>0</v>
      </c>
      <c r="G2492">
        <v>11</v>
      </c>
    </row>
    <row r="2493" spans="1:7" x14ac:dyDescent="0.2">
      <c r="A2493" t="s">
        <v>4351</v>
      </c>
      <c r="B2493">
        <v>0</v>
      </c>
      <c r="C2493">
        <v>0</v>
      </c>
      <c r="D2493">
        <v>0</v>
      </c>
      <c r="E2493">
        <v>0</v>
      </c>
      <c r="F2493">
        <v>0</v>
      </c>
      <c r="G2493">
        <v>0</v>
      </c>
    </row>
    <row r="2494" spans="1:7" x14ac:dyDescent="0.2">
      <c r="A2494" t="s">
        <v>4352</v>
      </c>
      <c r="B2494">
        <v>0</v>
      </c>
      <c r="C2494">
        <v>0</v>
      </c>
      <c r="D2494">
        <v>0</v>
      </c>
      <c r="E2494">
        <v>0</v>
      </c>
      <c r="F2494">
        <v>0</v>
      </c>
      <c r="G2494">
        <v>0</v>
      </c>
    </row>
    <row r="2495" spans="1:7" x14ac:dyDescent="0.2">
      <c r="A2495" t="s">
        <v>4353</v>
      </c>
      <c r="B2495">
        <v>1</v>
      </c>
      <c r="C2495">
        <v>30</v>
      </c>
      <c r="D2495">
        <v>16</v>
      </c>
      <c r="E2495">
        <v>1</v>
      </c>
      <c r="F2495">
        <v>0</v>
      </c>
      <c r="G2495">
        <v>48</v>
      </c>
    </row>
    <row r="2496" spans="1:7" x14ac:dyDescent="0.2">
      <c r="A2496" t="s">
        <v>4354</v>
      </c>
      <c r="B2496">
        <v>2</v>
      </c>
      <c r="C2496">
        <v>19</v>
      </c>
      <c r="D2496">
        <v>6</v>
      </c>
      <c r="E2496">
        <v>0</v>
      </c>
      <c r="F2496">
        <v>0</v>
      </c>
      <c r="G2496">
        <v>27</v>
      </c>
    </row>
    <row r="2497" spans="1:7" x14ac:dyDescent="0.2">
      <c r="A2497" t="s">
        <v>4355</v>
      </c>
      <c r="B2497">
        <v>0</v>
      </c>
      <c r="C2497">
        <v>0</v>
      </c>
      <c r="D2497">
        <v>0</v>
      </c>
      <c r="E2497">
        <v>0</v>
      </c>
      <c r="F2497">
        <v>0</v>
      </c>
      <c r="G2497">
        <v>0</v>
      </c>
    </row>
    <row r="2498" spans="1:7" x14ac:dyDescent="0.2">
      <c r="A2498" t="s">
        <v>4356</v>
      </c>
      <c r="B2498">
        <v>0</v>
      </c>
      <c r="C2498">
        <v>0</v>
      </c>
      <c r="D2498">
        <v>0</v>
      </c>
      <c r="E2498">
        <v>0</v>
      </c>
      <c r="F2498">
        <v>0</v>
      </c>
      <c r="G2498">
        <v>0</v>
      </c>
    </row>
    <row r="2499" spans="1:7" x14ac:dyDescent="0.2">
      <c r="A2499" t="s">
        <v>4357</v>
      </c>
      <c r="B2499">
        <v>0</v>
      </c>
      <c r="C2499">
        <v>2</v>
      </c>
      <c r="D2499">
        <v>1</v>
      </c>
      <c r="E2499">
        <v>0</v>
      </c>
      <c r="F2499">
        <v>0</v>
      </c>
      <c r="G2499">
        <v>3</v>
      </c>
    </row>
    <row r="2500" spans="1:7" x14ac:dyDescent="0.2">
      <c r="A2500" t="s">
        <v>4358</v>
      </c>
      <c r="B2500">
        <v>0</v>
      </c>
      <c r="C2500">
        <v>0</v>
      </c>
      <c r="D2500">
        <v>0</v>
      </c>
      <c r="E2500">
        <v>0</v>
      </c>
      <c r="F2500">
        <v>0</v>
      </c>
      <c r="G2500">
        <v>0</v>
      </c>
    </row>
    <row r="2501" spans="1:7" x14ac:dyDescent="0.2">
      <c r="A2501" t="s">
        <v>4359</v>
      </c>
      <c r="B2501">
        <v>0</v>
      </c>
      <c r="C2501">
        <v>0</v>
      </c>
      <c r="D2501">
        <v>0</v>
      </c>
      <c r="E2501">
        <v>0</v>
      </c>
      <c r="F2501">
        <v>0</v>
      </c>
      <c r="G2501">
        <v>0</v>
      </c>
    </row>
    <row r="2502" spans="1:7" x14ac:dyDescent="0.2">
      <c r="A2502" t="s">
        <v>4360</v>
      </c>
      <c r="B2502">
        <v>0</v>
      </c>
      <c r="C2502">
        <v>0</v>
      </c>
      <c r="D2502">
        <v>0</v>
      </c>
      <c r="E2502">
        <v>2</v>
      </c>
      <c r="F2502">
        <v>0</v>
      </c>
      <c r="G2502">
        <v>2</v>
      </c>
    </row>
    <row r="2503" spans="1:7" x14ac:dyDescent="0.2">
      <c r="A2503" t="s">
        <v>4361</v>
      </c>
      <c r="B2503">
        <v>0</v>
      </c>
      <c r="C2503">
        <v>0</v>
      </c>
      <c r="D2503">
        <v>1</v>
      </c>
      <c r="E2503">
        <v>0</v>
      </c>
      <c r="F2503">
        <v>0</v>
      </c>
      <c r="G2503">
        <v>1</v>
      </c>
    </row>
    <row r="2504" spans="1:7" x14ac:dyDescent="0.2">
      <c r="A2504" t="s">
        <v>4362</v>
      </c>
      <c r="B2504">
        <v>0</v>
      </c>
      <c r="C2504">
        <v>0</v>
      </c>
      <c r="D2504">
        <v>0</v>
      </c>
      <c r="E2504">
        <v>0</v>
      </c>
      <c r="F2504">
        <v>0</v>
      </c>
      <c r="G2504">
        <v>0</v>
      </c>
    </row>
    <row r="2505" spans="1:7" x14ac:dyDescent="0.2">
      <c r="A2505" t="s">
        <v>4363</v>
      </c>
      <c r="B2505">
        <v>0</v>
      </c>
      <c r="C2505">
        <v>0</v>
      </c>
      <c r="D2505">
        <v>0</v>
      </c>
      <c r="E2505">
        <v>0</v>
      </c>
      <c r="F2505">
        <v>0</v>
      </c>
      <c r="G2505">
        <v>0</v>
      </c>
    </row>
    <row r="2506" spans="1:7" x14ac:dyDescent="0.2">
      <c r="A2506" t="s">
        <v>4364</v>
      </c>
      <c r="B2506">
        <v>0</v>
      </c>
      <c r="C2506">
        <v>0</v>
      </c>
      <c r="D2506">
        <v>0</v>
      </c>
      <c r="E2506">
        <v>0</v>
      </c>
      <c r="F2506">
        <v>0</v>
      </c>
      <c r="G2506">
        <v>0</v>
      </c>
    </row>
    <row r="2507" spans="1:7" x14ac:dyDescent="0.2">
      <c r="A2507" t="s">
        <v>4365</v>
      </c>
      <c r="B2507">
        <v>0</v>
      </c>
      <c r="C2507">
        <v>0</v>
      </c>
      <c r="D2507">
        <v>3</v>
      </c>
      <c r="E2507">
        <v>0</v>
      </c>
      <c r="F2507">
        <v>0</v>
      </c>
      <c r="G2507">
        <v>4</v>
      </c>
    </row>
    <row r="2508" spans="1:7" x14ac:dyDescent="0.2">
      <c r="A2508" t="s">
        <v>4366</v>
      </c>
      <c r="B2508">
        <v>0</v>
      </c>
      <c r="C2508">
        <v>0</v>
      </c>
      <c r="D2508">
        <v>0</v>
      </c>
      <c r="E2508">
        <v>0</v>
      </c>
      <c r="F2508">
        <v>0</v>
      </c>
      <c r="G2508">
        <v>0</v>
      </c>
    </row>
    <row r="2509" spans="1:7" x14ac:dyDescent="0.2">
      <c r="A2509" t="s">
        <v>4367</v>
      </c>
      <c r="B2509">
        <v>0</v>
      </c>
      <c r="C2509">
        <v>0</v>
      </c>
      <c r="D2509">
        <v>0</v>
      </c>
      <c r="E2509">
        <v>0</v>
      </c>
      <c r="F2509">
        <v>0</v>
      </c>
      <c r="G2509">
        <v>0</v>
      </c>
    </row>
    <row r="2510" spans="1:7" x14ac:dyDescent="0.2">
      <c r="A2510" t="s">
        <v>4368</v>
      </c>
      <c r="B2510">
        <v>0</v>
      </c>
      <c r="C2510">
        <v>4</v>
      </c>
      <c r="D2510">
        <v>5</v>
      </c>
      <c r="E2510">
        <v>10</v>
      </c>
      <c r="F2510">
        <v>2</v>
      </c>
      <c r="G2510">
        <v>21</v>
      </c>
    </row>
    <row r="2511" spans="1:7" x14ac:dyDescent="0.2">
      <c r="A2511" t="s">
        <v>4369</v>
      </c>
      <c r="B2511">
        <v>0</v>
      </c>
      <c r="C2511">
        <v>10</v>
      </c>
      <c r="D2511">
        <v>16</v>
      </c>
      <c r="E2511">
        <v>1</v>
      </c>
      <c r="F2511">
        <v>0</v>
      </c>
      <c r="G2511">
        <v>27</v>
      </c>
    </row>
    <row r="2512" spans="1:7" x14ac:dyDescent="0.2">
      <c r="A2512" t="s">
        <v>4370</v>
      </c>
      <c r="B2512">
        <v>0</v>
      </c>
      <c r="C2512">
        <v>0</v>
      </c>
      <c r="D2512">
        <v>0</v>
      </c>
      <c r="E2512">
        <v>0</v>
      </c>
      <c r="F2512">
        <v>0</v>
      </c>
      <c r="G2512">
        <v>1</v>
      </c>
    </row>
    <row r="2513" spans="1:10" x14ac:dyDescent="0.2">
      <c r="A2513" t="s">
        <v>4371</v>
      </c>
      <c r="B2513">
        <v>0</v>
      </c>
      <c r="C2513">
        <v>0</v>
      </c>
      <c r="D2513">
        <v>0</v>
      </c>
      <c r="E2513">
        <v>0</v>
      </c>
      <c r="F2513">
        <v>0</v>
      </c>
      <c r="G2513">
        <v>0</v>
      </c>
    </row>
    <row r="2514" spans="1:10" x14ac:dyDescent="0.2">
      <c r="A2514" t="s">
        <v>4372</v>
      </c>
      <c r="B2514">
        <v>0</v>
      </c>
      <c r="C2514">
        <v>0</v>
      </c>
      <c r="D2514">
        <v>0</v>
      </c>
      <c r="E2514">
        <v>0</v>
      </c>
      <c r="F2514">
        <v>0</v>
      </c>
      <c r="G2514">
        <v>0</v>
      </c>
    </row>
    <row r="2515" spans="1:10" x14ac:dyDescent="0.2">
      <c r="A2515" t="s">
        <v>4373</v>
      </c>
      <c r="B2515">
        <v>0</v>
      </c>
      <c r="C2515">
        <v>0</v>
      </c>
      <c r="D2515">
        <v>3</v>
      </c>
      <c r="E2515">
        <v>5</v>
      </c>
      <c r="F2515">
        <v>0</v>
      </c>
      <c r="G2515">
        <v>7</v>
      </c>
    </row>
    <row r="2516" spans="1:10" x14ac:dyDescent="0.2">
      <c r="A2516" t="s">
        <v>4374</v>
      </c>
      <c r="B2516">
        <v>0</v>
      </c>
      <c r="C2516">
        <v>0</v>
      </c>
      <c r="D2516">
        <v>0</v>
      </c>
      <c r="E2516">
        <v>0</v>
      </c>
      <c r="F2516">
        <v>0</v>
      </c>
      <c r="G2516">
        <v>0</v>
      </c>
    </row>
    <row r="2517" spans="1:10" x14ac:dyDescent="0.2">
      <c r="A2517" t="s">
        <v>4375</v>
      </c>
      <c r="B2517">
        <v>0</v>
      </c>
      <c r="C2517">
        <v>5</v>
      </c>
      <c r="D2517">
        <v>20</v>
      </c>
      <c r="E2517">
        <v>8</v>
      </c>
      <c r="F2517">
        <v>0</v>
      </c>
      <c r="G2517">
        <v>33</v>
      </c>
    </row>
    <row r="2518" spans="1:10" x14ac:dyDescent="0.2">
      <c r="A2518" t="s">
        <v>4376</v>
      </c>
      <c r="B2518">
        <v>0</v>
      </c>
      <c r="C2518">
        <v>0</v>
      </c>
      <c r="D2518">
        <v>0</v>
      </c>
      <c r="E2518">
        <v>0</v>
      </c>
      <c r="F2518">
        <v>0</v>
      </c>
      <c r="G2518">
        <v>0</v>
      </c>
    </row>
    <row r="2519" spans="1:10" x14ac:dyDescent="0.2">
      <c r="A2519" t="s">
        <v>4377</v>
      </c>
      <c r="B2519">
        <v>0</v>
      </c>
      <c r="C2519">
        <v>0</v>
      </c>
      <c r="D2519">
        <v>11</v>
      </c>
      <c r="E2519">
        <v>0</v>
      </c>
      <c r="F2519">
        <v>0</v>
      </c>
      <c r="G2519">
        <v>11</v>
      </c>
    </row>
    <row r="2520" spans="1:10" x14ac:dyDescent="0.2">
      <c r="A2520" t="s">
        <v>2318</v>
      </c>
      <c r="B2520" t="s">
        <v>2319</v>
      </c>
      <c r="C2520" t="s">
        <v>2319</v>
      </c>
      <c r="D2520" t="s">
        <v>2319</v>
      </c>
      <c r="E2520" t="s">
        <v>2319</v>
      </c>
      <c r="F2520" t="s">
        <v>2319</v>
      </c>
      <c r="G2520" t="s">
        <v>2319</v>
      </c>
    </row>
    <row r="2521" spans="1:10" x14ac:dyDescent="0.2">
      <c r="A2521" t="s">
        <v>4248</v>
      </c>
    </row>
    <row r="2522" spans="1:10" x14ac:dyDescent="0.2">
      <c r="A2522" t="s">
        <v>4250</v>
      </c>
      <c r="C2522" t="s">
        <v>4251</v>
      </c>
      <c r="G2522" t="s">
        <v>7531</v>
      </c>
      <c r="J2522"/>
    </row>
    <row r="2523" spans="1:10" x14ac:dyDescent="0.2">
      <c r="A2523" t="s">
        <v>4925</v>
      </c>
      <c r="G2523" t="s">
        <v>7538</v>
      </c>
      <c r="J2523"/>
    </row>
    <row r="2524" spans="1:10" x14ac:dyDescent="0.2">
      <c r="A2524" t="s">
        <v>7530</v>
      </c>
      <c r="J2524"/>
    </row>
    <row r="2525" spans="1:10" x14ac:dyDescent="0.2">
      <c r="A2525" t="s">
        <v>4967</v>
      </c>
      <c r="J2525"/>
    </row>
    <row r="2526" spans="1:10" x14ac:dyDescent="0.2">
      <c r="J2526"/>
    </row>
    <row r="2527" spans="1:10" x14ac:dyDescent="0.2">
      <c r="A2527" t="s">
        <v>4259</v>
      </c>
      <c r="J2527"/>
    </row>
    <row r="2528" spans="1:10" x14ac:dyDescent="0.2">
      <c r="A2528" t="s">
        <v>2318</v>
      </c>
      <c r="B2528" t="s">
        <v>2319</v>
      </c>
      <c r="C2528" t="s">
        <v>2319</v>
      </c>
      <c r="D2528" t="s">
        <v>2319</v>
      </c>
      <c r="E2528" t="s">
        <v>2319</v>
      </c>
      <c r="F2528" t="s">
        <v>2319</v>
      </c>
      <c r="G2528" t="s">
        <v>2319</v>
      </c>
    </row>
    <row r="2529" spans="1:7" x14ac:dyDescent="0.2">
      <c r="A2529" t="s">
        <v>174</v>
      </c>
      <c r="B2529" t="s">
        <v>4945</v>
      </c>
      <c r="C2529" t="s">
        <v>4946</v>
      </c>
      <c r="D2529" t="s">
        <v>4947</v>
      </c>
      <c r="E2529" t="s">
        <v>4948</v>
      </c>
      <c r="F2529" t="s">
        <v>4949</v>
      </c>
    </row>
    <row r="2530" spans="1:7" x14ac:dyDescent="0.2">
      <c r="A2530" t="s">
        <v>126</v>
      </c>
      <c r="B2530" t="s">
        <v>4262</v>
      </c>
      <c r="C2530" t="s">
        <v>4263</v>
      </c>
      <c r="D2530" t="s">
        <v>4264</v>
      </c>
      <c r="E2530" t="s">
        <v>2308</v>
      </c>
      <c r="F2530" t="s">
        <v>615</v>
      </c>
      <c r="G2530" t="s">
        <v>236</v>
      </c>
    </row>
    <row r="2531" spans="1:7" x14ac:dyDescent="0.2">
      <c r="A2531" t="s">
        <v>2318</v>
      </c>
      <c r="B2531" t="s">
        <v>2319</v>
      </c>
      <c r="C2531" t="s">
        <v>2319</v>
      </c>
      <c r="D2531" t="s">
        <v>2319</v>
      </c>
      <c r="E2531" t="s">
        <v>2319</v>
      </c>
      <c r="F2531" t="s">
        <v>2319</v>
      </c>
      <c r="G2531" t="s">
        <v>2319</v>
      </c>
    </row>
    <row r="2532" spans="1:7" x14ac:dyDescent="0.2">
      <c r="A2532" t="s">
        <v>4265</v>
      </c>
      <c r="B2532">
        <v>0</v>
      </c>
      <c r="C2532">
        <v>0</v>
      </c>
      <c r="D2532">
        <v>0</v>
      </c>
      <c r="E2532">
        <v>0</v>
      </c>
      <c r="F2532">
        <v>0</v>
      </c>
      <c r="G2532">
        <v>0</v>
      </c>
    </row>
    <row r="2533" spans="1:7" x14ac:dyDescent="0.2">
      <c r="A2533" t="s">
        <v>4266</v>
      </c>
      <c r="B2533">
        <v>0</v>
      </c>
      <c r="C2533">
        <v>0</v>
      </c>
      <c r="D2533">
        <v>0</v>
      </c>
      <c r="E2533">
        <v>0</v>
      </c>
      <c r="F2533">
        <v>0</v>
      </c>
      <c r="G2533">
        <v>0</v>
      </c>
    </row>
    <row r="2534" spans="1:7" x14ac:dyDescent="0.2">
      <c r="A2534" t="s">
        <v>4267</v>
      </c>
      <c r="B2534">
        <v>0</v>
      </c>
      <c r="C2534">
        <v>0</v>
      </c>
      <c r="D2534">
        <v>0</v>
      </c>
      <c r="E2534">
        <v>0</v>
      </c>
      <c r="F2534">
        <v>0</v>
      </c>
      <c r="G2534">
        <v>0</v>
      </c>
    </row>
    <row r="2535" spans="1:7" x14ac:dyDescent="0.2">
      <c r="A2535" t="s">
        <v>4268</v>
      </c>
      <c r="B2535">
        <v>0</v>
      </c>
      <c r="C2535">
        <v>0</v>
      </c>
      <c r="D2535">
        <v>0</v>
      </c>
      <c r="E2535">
        <v>0</v>
      </c>
      <c r="F2535">
        <v>0</v>
      </c>
      <c r="G2535">
        <v>0</v>
      </c>
    </row>
    <row r="2536" spans="1:7" x14ac:dyDescent="0.2">
      <c r="A2536" t="s">
        <v>4269</v>
      </c>
      <c r="B2536">
        <v>0</v>
      </c>
      <c r="C2536">
        <v>0</v>
      </c>
      <c r="D2536">
        <v>0</v>
      </c>
      <c r="E2536">
        <v>0</v>
      </c>
      <c r="F2536">
        <v>0</v>
      </c>
      <c r="G2536">
        <v>0</v>
      </c>
    </row>
    <row r="2537" spans="1:7" x14ac:dyDescent="0.2">
      <c r="A2537" t="s">
        <v>4270</v>
      </c>
      <c r="B2537">
        <v>0</v>
      </c>
      <c r="C2537">
        <v>0</v>
      </c>
      <c r="D2537">
        <v>0</v>
      </c>
      <c r="E2537">
        <v>0</v>
      </c>
      <c r="F2537">
        <v>0</v>
      </c>
      <c r="G2537">
        <v>0</v>
      </c>
    </row>
    <row r="2538" spans="1:7" x14ac:dyDescent="0.2">
      <c r="A2538" t="s">
        <v>4271</v>
      </c>
      <c r="B2538">
        <v>0</v>
      </c>
      <c r="C2538">
        <v>0</v>
      </c>
      <c r="D2538">
        <v>0</v>
      </c>
      <c r="E2538">
        <v>0</v>
      </c>
      <c r="F2538">
        <v>0</v>
      </c>
      <c r="G2538">
        <v>0</v>
      </c>
    </row>
    <row r="2539" spans="1:7" x14ac:dyDescent="0.2">
      <c r="A2539" t="s">
        <v>4272</v>
      </c>
      <c r="B2539">
        <v>0</v>
      </c>
      <c r="C2539">
        <v>0</v>
      </c>
      <c r="D2539">
        <v>0</v>
      </c>
      <c r="E2539">
        <v>0</v>
      </c>
      <c r="F2539">
        <v>0</v>
      </c>
      <c r="G2539">
        <v>0</v>
      </c>
    </row>
    <row r="2540" spans="1:7" x14ac:dyDescent="0.2">
      <c r="A2540" t="s">
        <v>4273</v>
      </c>
      <c r="B2540">
        <v>0</v>
      </c>
      <c r="C2540">
        <v>0</v>
      </c>
      <c r="D2540">
        <v>0</v>
      </c>
      <c r="E2540">
        <v>0</v>
      </c>
      <c r="F2540">
        <v>0</v>
      </c>
      <c r="G2540">
        <v>0</v>
      </c>
    </row>
    <row r="2541" spans="1:7" x14ac:dyDescent="0.2">
      <c r="A2541" t="s">
        <v>4274</v>
      </c>
      <c r="B2541">
        <v>0</v>
      </c>
      <c r="C2541">
        <v>0</v>
      </c>
      <c r="D2541">
        <v>0</v>
      </c>
      <c r="E2541">
        <v>0</v>
      </c>
      <c r="F2541">
        <v>0</v>
      </c>
      <c r="G2541">
        <v>0</v>
      </c>
    </row>
    <row r="2542" spans="1:7" x14ac:dyDescent="0.2">
      <c r="A2542" t="s">
        <v>4275</v>
      </c>
      <c r="B2542">
        <v>0</v>
      </c>
      <c r="C2542">
        <v>0</v>
      </c>
      <c r="D2542">
        <v>0</v>
      </c>
      <c r="E2542">
        <v>0</v>
      </c>
      <c r="F2542">
        <v>0</v>
      </c>
      <c r="G2542">
        <v>0</v>
      </c>
    </row>
    <row r="2543" spans="1:7" x14ac:dyDescent="0.2">
      <c r="A2543" t="s">
        <v>4276</v>
      </c>
      <c r="B2543">
        <v>0</v>
      </c>
      <c r="C2543">
        <v>0</v>
      </c>
      <c r="D2543">
        <v>0</v>
      </c>
      <c r="E2543">
        <v>0</v>
      </c>
      <c r="F2543">
        <v>0</v>
      </c>
      <c r="G2543">
        <v>0</v>
      </c>
    </row>
    <row r="2544" spans="1:7" x14ac:dyDescent="0.2">
      <c r="A2544" t="s">
        <v>4277</v>
      </c>
      <c r="B2544">
        <v>0</v>
      </c>
      <c r="C2544">
        <v>0</v>
      </c>
      <c r="D2544">
        <v>0</v>
      </c>
      <c r="E2544">
        <v>0</v>
      </c>
      <c r="F2544">
        <v>0</v>
      </c>
      <c r="G2544">
        <v>0</v>
      </c>
    </row>
    <row r="2545" spans="1:7" x14ac:dyDescent="0.2">
      <c r="A2545" t="s">
        <v>4278</v>
      </c>
      <c r="B2545">
        <v>0</v>
      </c>
      <c r="C2545">
        <v>0</v>
      </c>
      <c r="D2545">
        <v>0</v>
      </c>
      <c r="E2545">
        <v>0</v>
      </c>
      <c r="F2545">
        <v>0</v>
      </c>
      <c r="G2545">
        <v>0</v>
      </c>
    </row>
    <row r="2546" spans="1:7" x14ac:dyDescent="0.2">
      <c r="A2546" t="s">
        <v>4279</v>
      </c>
      <c r="B2546">
        <v>0</v>
      </c>
      <c r="C2546">
        <v>0</v>
      </c>
      <c r="D2546">
        <v>0</v>
      </c>
      <c r="E2546">
        <v>0</v>
      </c>
      <c r="F2546">
        <v>0</v>
      </c>
      <c r="G2546">
        <v>1</v>
      </c>
    </row>
    <row r="2547" spans="1:7" x14ac:dyDescent="0.2">
      <c r="A2547" t="s">
        <v>4280</v>
      </c>
      <c r="B2547">
        <v>0</v>
      </c>
      <c r="C2547">
        <v>0</v>
      </c>
      <c r="D2547">
        <v>0</v>
      </c>
      <c r="E2547">
        <v>0</v>
      </c>
      <c r="F2547">
        <v>0</v>
      </c>
      <c r="G2547">
        <v>0</v>
      </c>
    </row>
    <row r="2548" spans="1:7" x14ac:dyDescent="0.2">
      <c r="A2548" t="s">
        <v>4281</v>
      </c>
      <c r="B2548">
        <v>1</v>
      </c>
      <c r="C2548">
        <v>9</v>
      </c>
      <c r="D2548">
        <v>19</v>
      </c>
      <c r="E2548">
        <v>31</v>
      </c>
      <c r="F2548">
        <v>0</v>
      </c>
      <c r="G2548">
        <v>61</v>
      </c>
    </row>
    <row r="2549" spans="1:7" x14ac:dyDescent="0.2">
      <c r="A2549" t="s">
        <v>4282</v>
      </c>
      <c r="B2549">
        <v>5</v>
      </c>
      <c r="C2549">
        <v>4</v>
      </c>
      <c r="D2549">
        <v>0</v>
      </c>
      <c r="E2549">
        <v>0</v>
      </c>
      <c r="F2549">
        <v>0</v>
      </c>
      <c r="G2549">
        <v>9</v>
      </c>
    </row>
    <row r="2550" spans="1:7" x14ac:dyDescent="0.2">
      <c r="A2550" t="s">
        <v>4283</v>
      </c>
      <c r="B2550">
        <v>4</v>
      </c>
      <c r="C2550">
        <v>2</v>
      </c>
      <c r="D2550">
        <v>1</v>
      </c>
      <c r="E2550">
        <v>0</v>
      </c>
      <c r="F2550">
        <v>0</v>
      </c>
      <c r="G2550">
        <v>8</v>
      </c>
    </row>
    <row r="2551" spans="1:7" x14ac:dyDescent="0.2">
      <c r="A2551" t="s">
        <v>4284</v>
      </c>
      <c r="B2551">
        <v>0</v>
      </c>
      <c r="C2551">
        <v>0</v>
      </c>
      <c r="D2551">
        <v>0</v>
      </c>
      <c r="E2551">
        <v>0</v>
      </c>
      <c r="F2551">
        <v>0</v>
      </c>
      <c r="G2551">
        <v>0</v>
      </c>
    </row>
    <row r="2552" spans="1:7" x14ac:dyDescent="0.2">
      <c r="A2552" t="s">
        <v>4285</v>
      </c>
      <c r="B2552">
        <v>1</v>
      </c>
      <c r="C2552">
        <v>11</v>
      </c>
      <c r="D2552">
        <v>1</v>
      </c>
      <c r="E2552">
        <v>0</v>
      </c>
      <c r="F2552">
        <v>0</v>
      </c>
      <c r="G2552">
        <v>13</v>
      </c>
    </row>
    <row r="2553" spans="1:7" x14ac:dyDescent="0.2">
      <c r="A2553" t="s">
        <v>4286</v>
      </c>
      <c r="B2553">
        <v>1</v>
      </c>
      <c r="C2553">
        <v>1</v>
      </c>
      <c r="D2553">
        <v>1</v>
      </c>
      <c r="E2553">
        <v>0</v>
      </c>
      <c r="F2553">
        <v>0</v>
      </c>
      <c r="G2553">
        <v>3</v>
      </c>
    </row>
    <row r="2554" spans="1:7" x14ac:dyDescent="0.2">
      <c r="A2554" t="s">
        <v>4287</v>
      </c>
      <c r="B2554">
        <v>0</v>
      </c>
      <c r="C2554">
        <v>0</v>
      </c>
      <c r="D2554">
        <v>0</v>
      </c>
      <c r="E2554">
        <v>0</v>
      </c>
      <c r="F2554">
        <v>0</v>
      </c>
      <c r="G2554">
        <v>0</v>
      </c>
    </row>
    <row r="2555" spans="1:7" x14ac:dyDescent="0.2">
      <c r="A2555" t="s">
        <v>4288</v>
      </c>
      <c r="B2555">
        <v>0</v>
      </c>
      <c r="C2555">
        <v>0</v>
      </c>
      <c r="D2555">
        <v>0</v>
      </c>
      <c r="E2555">
        <v>0</v>
      </c>
      <c r="F2555">
        <v>0</v>
      </c>
      <c r="G2555">
        <v>0</v>
      </c>
    </row>
    <row r="2556" spans="1:7" x14ac:dyDescent="0.2">
      <c r="A2556" t="s">
        <v>4289</v>
      </c>
      <c r="B2556">
        <v>0</v>
      </c>
      <c r="C2556">
        <v>0</v>
      </c>
      <c r="D2556">
        <v>0</v>
      </c>
      <c r="E2556">
        <v>0</v>
      </c>
      <c r="F2556">
        <v>0</v>
      </c>
      <c r="G2556">
        <v>0</v>
      </c>
    </row>
    <row r="2557" spans="1:7" x14ac:dyDescent="0.2">
      <c r="A2557" t="s">
        <v>4290</v>
      </c>
      <c r="B2557">
        <v>0</v>
      </c>
      <c r="C2557">
        <v>0</v>
      </c>
      <c r="D2557">
        <v>0</v>
      </c>
      <c r="E2557">
        <v>0</v>
      </c>
      <c r="F2557">
        <v>0</v>
      </c>
      <c r="G2557">
        <v>0</v>
      </c>
    </row>
    <row r="2558" spans="1:7" x14ac:dyDescent="0.2">
      <c r="A2558" t="s">
        <v>4291</v>
      </c>
      <c r="B2558">
        <v>0</v>
      </c>
      <c r="C2558">
        <v>0</v>
      </c>
      <c r="D2558">
        <v>0</v>
      </c>
      <c r="E2558">
        <v>0</v>
      </c>
      <c r="F2558">
        <v>0</v>
      </c>
      <c r="G2558">
        <v>0</v>
      </c>
    </row>
    <row r="2559" spans="1:7" x14ac:dyDescent="0.2">
      <c r="A2559" t="s">
        <v>4292</v>
      </c>
      <c r="B2559">
        <v>0</v>
      </c>
      <c r="C2559">
        <v>0</v>
      </c>
      <c r="D2559">
        <v>0</v>
      </c>
      <c r="E2559">
        <v>0</v>
      </c>
      <c r="F2559">
        <v>0</v>
      </c>
      <c r="G2559">
        <v>0</v>
      </c>
    </row>
    <row r="2560" spans="1:7" x14ac:dyDescent="0.2">
      <c r="A2560" t="s">
        <v>4293</v>
      </c>
      <c r="B2560">
        <v>0</v>
      </c>
      <c r="C2560">
        <v>0</v>
      </c>
      <c r="D2560">
        <v>0</v>
      </c>
      <c r="E2560">
        <v>0</v>
      </c>
      <c r="F2560">
        <v>0</v>
      </c>
      <c r="G2560">
        <v>0</v>
      </c>
    </row>
    <row r="2561" spans="1:7" x14ac:dyDescent="0.2">
      <c r="A2561" t="s">
        <v>4294</v>
      </c>
      <c r="B2561">
        <v>0</v>
      </c>
      <c r="C2561">
        <v>0</v>
      </c>
      <c r="D2561">
        <v>0</v>
      </c>
      <c r="E2561">
        <v>0</v>
      </c>
      <c r="F2561">
        <v>0</v>
      </c>
      <c r="G2561">
        <v>0</v>
      </c>
    </row>
    <row r="2562" spans="1:7" x14ac:dyDescent="0.2">
      <c r="A2562" t="s">
        <v>4295</v>
      </c>
      <c r="B2562">
        <v>0</v>
      </c>
      <c r="C2562">
        <v>0</v>
      </c>
      <c r="D2562">
        <v>0</v>
      </c>
      <c r="E2562">
        <v>0</v>
      </c>
      <c r="F2562">
        <v>0</v>
      </c>
      <c r="G2562">
        <v>0</v>
      </c>
    </row>
    <row r="2563" spans="1:7" x14ac:dyDescent="0.2">
      <c r="A2563" t="s">
        <v>4296</v>
      </c>
      <c r="B2563">
        <v>0</v>
      </c>
      <c r="C2563">
        <v>0</v>
      </c>
      <c r="D2563">
        <v>0</v>
      </c>
      <c r="E2563">
        <v>0</v>
      </c>
      <c r="F2563">
        <v>0</v>
      </c>
      <c r="G2563">
        <v>0</v>
      </c>
    </row>
    <row r="2564" spans="1:7" x14ac:dyDescent="0.2">
      <c r="A2564" t="s">
        <v>4297</v>
      </c>
      <c r="B2564">
        <v>0</v>
      </c>
      <c r="C2564">
        <v>11</v>
      </c>
      <c r="D2564">
        <v>16</v>
      </c>
      <c r="E2564">
        <v>0</v>
      </c>
      <c r="F2564">
        <v>0</v>
      </c>
      <c r="G2564">
        <v>27</v>
      </c>
    </row>
    <row r="2565" spans="1:7" x14ac:dyDescent="0.2">
      <c r="A2565" t="s">
        <v>4298</v>
      </c>
      <c r="B2565">
        <v>2</v>
      </c>
      <c r="C2565">
        <v>10</v>
      </c>
      <c r="D2565">
        <v>3</v>
      </c>
      <c r="E2565">
        <v>2</v>
      </c>
      <c r="F2565">
        <v>0</v>
      </c>
      <c r="G2565">
        <v>15</v>
      </c>
    </row>
    <row r="2566" spans="1:7" x14ac:dyDescent="0.2">
      <c r="A2566" t="s">
        <v>4299</v>
      </c>
      <c r="B2566">
        <v>1</v>
      </c>
      <c r="C2566">
        <v>35</v>
      </c>
      <c r="D2566">
        <v>8</v>
      </c>
      <c r="E2566">
        <v>1</v>
      </c>
      <c r="F2566">
        <v>0</v>
      </c>
      <c r="G2566">
        <v>45</v>
      </c>
    </row>
    <row r="2567" spans="1:7" x14ac:dyDescent="0.2">
      <c r="A2567" t="s">
        <v>4300</v>
      </c>
      <c r="B2567">
        <v>0</v>
      </c>
      <c r="C2567">
        <v>1</v>
      </c>
      <c r="D2567">
        <v>0</v>
      </c>
      <c r="E2567">
        <v>0</v>
      </c>
      <c r="F2567">
        <v>0</v>
      </c>
      <c r="G2567">
        <v>1</v>
      </c>
    </row>
    <row r="2568" spans="1:7" x14ac:dyDescent="0.2">
      <c r="A2568" t="s">
        <v>4301</v>
      </c>
      <c r="B2568">
        <v>0</v>
      </c>
      <c r="C2568">
        <v>37</v>
      </c>
      <c r="D2568">
        <v>44</v>
      </c>
      <c r="E2568">
        <v>0</v>
      </c>
      <c r="F2568">
        <v>0</v>
      </c>
      <c r="G2568">
        <v>81</v>
      </c>
    </row>
    <row r="2569" spans="1:7" x14ac:dyDescent="0.2">
      <c r="A2569" t="s">
        <v>4302</v>
      </c>
      <c r="B2569">
        <v>0</v>
      </c>
      <c r="C2569">
        <v>2</v>
      </c>
      <c r="D2569">
        <v>23</v>
      </c>
      <c r="E2569">
        <v>11</v>
      </c>
      <c r="F2569">
        <v>0</v>
      </c>
      <c r="G2569">
        <v>35</v>
      </c>
    </row>
    <row r="2570" spans="1:7" x14ac:dyDescent="0.2">
      <c r="A2570" t="s">
        <v>4303</v>
      </c>
      <c r="B2570">
        <v>0</v>
      </c>
      <c r="C2570">
        <v>1</v>
      </c>
      <c r="D2570">
        <v>29</v>
      </c>
      <c r="E2570">
        <v>9</v>
      </c>
      <c r="F2570">
        <v>0</v>
      </c>
      <c r="G2570">
        <v>40</v>
      </c>
    </row>
    <row r="2571" spans="1:7" x14ac:dyDescent="0.2">
      <c r="A2571" t="s">
        <v>4304</v>
      </c>
      <c r="B2571">
        <v>0</v>
      </c>
      <c r="C2571">
        <v>0</v>
      </c>
      <c r="D2571">
        <v>15</v>
      </c>
      <c r="E2571">
        <v>0</v>
      </c>
      <c r="F2571">
        <v>0</v>
      </c>
      <c r="G2571">
        <v>15</v>
      </c>
    </row>
    <row r="2572" spans="1:7" x14ac:dyDescent="0.2">
      <c r="A2572" t="s">
        <v>4305</v>
      </c>
      <c r="B2572">
        <v>0</v>
      </c>
      <c r="C2572">
        <v>27</v>
      </c>
      <c r="D2572">
        <v>37</v>
      </c>
      <c r="E2572">
        <v>10</v>
      </c>
      <c r="F2572">
        <v>0</v>
      </c>
      <c r="G2572">
        <v>74</v>
      </c>
    </row>
    <row r="2573" spans="1:7" x14ac:dyDescent="0.2">
      <c r="A2573" t="s">
        <v>4306</v>
      </c>
      <c r="B2573">
        <v>0</v>
      </c>
      <c r="C2573">
        <v>11</v>
      </c>
      <c r="D2573">
        <v>3</v>
      </c>
      <c r="E2573">
        <v>2</v>
      </c>
      <c r="F2573">
        <v>0</v>
      </c>
      <c r="G2573">
        <v>17</v>
      </c>
    </row>
    <row r="2574" spans="1:7" x14ac:dyDescent="0.2">
      <c r="A2574" t="s">
        <v>4307</v>
      </c>
      <c r="B2574">
        <v>2</v>
      </c>
      <c r="C2574">
        <v>35</v>
      </c>
      <c r="D2574">
        <v>146</v>
      </c>
      <c r="E2574">
        <v>30</v>
      </c>
      <c r="F2574">
        <v>0</v>
      </c>
      <c r="G2574">
        <v>214</v>
      </c>
    </row>
    <row r="2575" spans="1:7" x14ac:dyDescent="0.2">
      <c r="A2575" t="s">
        <v>4308</v>
      </c>
      <c r="B2575">
        <v>0</v>
      </c>
      <c r="C2575">
        <v>0</v>
      </c>
      <c r="D2575">
        <v>1</v>
      </c>
      <c r="E2575">
        <v>3</v>
      </c>
      <c r="F2575">
        <v>0</v>
      </c>
      <c r="G2575">
        <v>4</v>
      </c>
    </row>
    <row r="2576" spans="1:7" x14ac:dyDescent="0.2">
      <c r="A2576" t="s">
        <v>4309</v>
      </c>
      <c r="B2576">
        <v>0</v>
      </c>
      <c r="C2576">
        <v>0</v>
      </c>
      <c r="D2576">
        <v>0</v>
      </c>
      <c r="E2576">
        <v>0</v>
      </c>
      <c r="F2576">
        <v>0</v>
      </c>
      <c r="G2576">
        <v>0</v>
      </c>
    </row>
    <row r="2577" spans="1:7" x14ac:dyDescent="0.2">
      <c r="A2577" t="s">
        <v>4310</v>
      </c>
      <c r="B2577">
        <v>0</v>
      </c>
      <c r="C2577">
        <v>0</v>
      </c>
      <c r="D2577">
        <v>0</v>
      </c>
      <c r="E2577">
        <v>0</v>
      </c>
      <c r="F2577">
        <v>0</v>
      </c>
      <c r="G2577">
        <v>0</v>
      </c>
    </row>
    <row r="2578" spans="1:7" x14ac:dyDescent="0.2">
      <c r="A2578" t="s">
        <v>4311</v>
      </c>
      <c r="B2578">
        <v>0</v>
      </c>
      <c r="C2578">
        <v>0</v>
      </c>
      <c r="D2578">
        <v>0</v>
      </c>
      <c r="E2578">
        <v>0</v>
      </c>
      <c r="F2578">
        <v>0</v>
      </c>
      <c r="G2578">
        <v>0</v>
      </c>
    </row>
    <row r="2579" spans="1:7" x14ac:dyDescent="0.2">
      <c r="A2579" t="s">
        <v>4312</v>
      </c>
      <c r="B2579">
        <v>0</v>
      </c>
      <c r="C2579">
        <v>0</v>
      </c>
      <c r="D2579">
        <v>0</v>
      </c>
      <c r="E2579">
        <v>0</v>
      </c>
      <c r="F2579">
        <v>0</v>
      </c>
      <c r="G2579">
        <v>0</v>
      </c>
    </row>
    <row r="2580" spans="1:7" x14ac:dyDescent="0.2">
      <c r="A2580" t="s">
        <v>4313</v>
      </c>
      <c r="B2580">
        <v>0</v>
      </c>
      <c r="C2580">
        <v>0</v>
      </c>
      <c r="D2580">
        <v>0</v>
      </c>
      <c r="E2580">
        <v>0</v>
      </c>
      <c r="F2580">
        <v>0</v>
      </c>
      <c r="G2580">
        <v>0</v>
      </c>
    </row>
    <row r="2581" spans="1:7" x14ac:dyDescent="0.2">
      <c r="A2581" t="s">
        <v>4314</v>
      </c>
      <c r="B2581">
        <v>0</v>
      </c>
      <c r="C2581">
        <v>0</v>
      </c>
      <c r="D2581">
        <v>0</v>
      </c>
      <c r="E2581">
        <v>0</v>
      </c>
      <c r="F2581">
        <v>0</v>
      </c>
      <c r="G2581">
        <v>0</v>
      </c>
    </row>
    <row r="2582" spans="1:7" x14ac:dyDescent="0.2">
      <c r="A2582" t="s">
        <v>4315</v>
      </c>
      <c r="B2582">
        <v>0</v>
      </c>
      <c r="C2582">
        <v>0</v>
      </c>
      <c r="D2582">
        <v>0</v>
      </c>
      <c r="E2582">
        <v>0</v>
      </c>
      <c r="F2582">
        <v>0</v>
      </c>
      <c r="G2582">
        <v>0</v>
      </c>
    </row>
    <row r="2583" spans="1:7" x14ac:dyDescent="0.2">
      <c r="A2583" t="s">
        <v>4316</v>
      </c>
      <c r="B2583">
        <v>0</v>
      </c>
      <c r="C2583">
        <v>0</v>
      </c>
      <c r="D2583">
        <v>0</v>
      </c>
      <c r="E2583">
        <v>0</v>
      </c>
      <c r="F2583">
        <v>0</v>
      </c>
      <c r="G2583">
        <v>0</v>
      </c>
    </row>
    <row r="2584" spans="1:7" x14ac:dyDescent="0.2">
      <c r="A2584" t="s">
        <v>4317</v>
      </c>
      <c r="B2584">
        <v>0</v>
      </c>
      <c r="C2584">
        <v>0</v>
      </c>
      <c r="D2584">
        <v>0</v>
      </c>
      <c r="E2584">
        <v>0</v>
      </c>
      <c r="F2584">
        <v>0</v>
      </c>
      <c r="G2584">
        <v>0</v>
      </c>
    </row>
    <row r="2585" spans="1:7" x14ac:dyDescent="0.2">
      <c r="A2585" t="s">
        <v>4318</v>
      </c>
      <c r="B2585">
        <v>0</v>
      </c>
      <c r="C2585">
        <v>0</v>
      </c>
      <c r="D2585">
        <v>0</v>
      </c>
      <c r="E2585">
        <v>0</v>
      </c>
      <c r="F2585">
        <v>0</v>
      </c>
      <c r="G2585">
        <v>0</v>
      </c>
    </row>
    <row r="2586" spans="1:7" x14ac:dyDescent="0.2">
      <c r="A2586" t="s">
        <v>4319</v>
      </c>
      <c r="B2586">
        <v>0</v>
      </c>
      <c r="C2586">
        <v>0</v>
      </c>
      <c r="D2586">
        <v>0</v>
      </c>
      <c r="E2586">
        <v>0</v>
      </c>
      <c r="F2586">
        <v>0</v>
      </c>
      <c r="G2586">
        <v>0</v>
      </c>
    </row>
    <row r="2587" spans="1:7" x14ac:dyDescent="0.2">
      <c r="A2587" t="s">
        <v>4320</v>
      </c>
      <c r="B2587">
        <v>0</v>
      </c>
      <c r="C2587">
        <v>0</v>
      </c>
      <c r="D2587">
        <v>0</v>
      </c>
      <c r="E2587">
        <v>0</v>
      </c>
      <c r="F2587">
        <v>0</v>
      </c>
      <c r="G2587">
        <v>0</v>
      </c>
    </row>
    <row r="2588" spans="1:7" x14ac:dyDescent="0.2">
      <c r="A2588" t="s">
        <v>4321</v>
      </c>
      <c r="B2588">
        <v>0</v>
      </c>
      <c r="C2588">
        <v>0</v>
      </c>
      <c r="D2588">
        <v>0</v>
      </c>
      <c r="E2588">
        <v>0</v>
      </c>
      <c r="F2588">
        <v>0</v>
      </c>
      <c r="G2588">
        <v>0</v>
      </c>
    </row>
    <row r="2589" spans="1:7" x14ac:dyDescent="0.2">
      <c r="A2589" t="s">
        <v>4322</v>
      </c>
      <c r="B2589">
        <v>0</v>
      </c>
      <c r="C2589">
        <v>0</v>
      </c>
      <c r="D2589">
        <v>0</v>
      </c>
      <c r="E2589">
        <v>0</v>
      </c>
      <c r="F2589">
        <v>0</v>
      </c>
      <c r="G2589">
        <v>0</v>
      </c>
    </row>
    <row r="2590" spans="1:7" x14ac:dyDescent="0.2">
      <c r="A2590" t="s">
        <v>4323</v>
      </c>
      <c r="B2590">
        <v>0</v>
      </c>
      <c r="C2590">
        <v>0</v>
      </c>
      <c r="D2590">
        <v>0</v>
      </c>
      <c r="E2590">
        <v>0</v>
      </c>
      <c r="F2590">
        <v>0</v>
      </c>
      <c r="G2590">
        <v>0</v>
      </c>
    </row>
    <row r="2591" spans="1:7" x14ac:dyDescent="0.2">
      <c r="A2591" t="s">
        <v>4324</v>
      </c>
      <c r="B2591">
        <v>0</v>
      </c>
      <c r="C2591">
        <v>0</v>
      </c>
      <c r="D2591">
        <v>0</v>
      </c>
      <c r="E2591">
        <v>0</v>
      </c>
      <c r="F2591">
        <v>0</v>
      </c>
      <c r="G2591">
        <v>0</v>
      </c>
    </row>
    <row r="2592" spans="1:7" x14ac:dyDescent="0.2">
      <c r="A2592" t="s">
        <v>4325</v>
      </c>
      <c r="B2592">
        <v>0</v>
      </c>
      <c r="C2592">
        <v>0</v>
      </c>
      <c r="D2592">
        <v>0</v>
      </c>
      <c r="E2592">
        <v>0</v>
      </c>
      <c r="F2592">
        <v>0</v>
      </c>
      <c r="G2592">
        <v>0</v>
      </c>
    </row>
    <row r="2593" spans="1:7" x14ac:dyDescent="0.2">
      <c r="A2593" t="s">
        <v>4326</v>
      </c>
      <c r="B2593">
        <v>0</v>
      </c>
      <c r="C2593">
        <v>0</v>
      </c>
      <c r="D2593">
        <v>0</v>
      </c>
      <c r="E2593">
        <v>0</v>
      </c>
      <c r="F2593">
        <v>0</v>
      </c>
      <c r="G2593">
        <v>0</v>
      </c>
    </row>
    <row r="2594" spans="1:7" x14ac:dyDescent="0.2">
      <c r="A2594" t="s">
        <v>4327</v>
      </c>
      <c r="B2594">
        <v>0</v>
      </c>
      <c r="C2594">
        <v>0</v>
      </c>
      <c r="D2594">
        <v>0</v>
      </c>
      <c r="E2594">
        <v>0</v>
      </c>
      <c r="F2594">
        <v>0</v>
      </c>
      <c r="G2594">
        <v>0</v>
      </c>
    </row>
    <row r="2595" spans="1:7" x14ac:dyDescent="0.2">
      <c r="A2595" t="s">
        <v>4328</v>
      </c>
      <c r="B2595">
        <v>0</v>
      </c>
      <c r="C2595">
        <v>0</v>
      </c>
      <c r="D2595">
        <v>0</v>
      </c>
      <c r="E2595">
        <v>0</v>
      </c>
      <c r="F2595">
        <v>0</v>
      </c>
      <c r="G2595">
        <v>0</v>
      </c>
    </row>
    <row r="2596" spans="1:7" x14ac:dyDescent="0.2">
      <c r="A2596" t="s">
        <v>4329</v>
      </c>
      <c r="B2596">
        <v>0</v>
      </c>
      <c r="C2596">
        <v>0</v>
      </c>
      <c r="D2596">
        <v>0</v>
      </c>
      <c r="E2596">
        <v>0</v>
      </c>
      <c r="F2596">
        <v>0</v>
      </c>
      <c r="G2596">
        <v>0</v>
      </c>
    </row>
    <row r="2597" spans="1:7" x14ac:dyDescent="0.2">
      <c r="A2597" t="s">
        <v>4330</v>
      </c>
      <c r="B2597">
        <v>0</v>
      </c>
      <c r="C2597">
        <v>0</v>
      </c>
      <c r="D2597">
        <v>0</v>
      </c>
      <c r="E2597">
        <v>0</v>
      </c>
      <c r="F2597">
        <v>0</v>
      </c>
      <c r="G2597">
        <v>0</v>
      </c>
    </row>
    <row r="2598" spans="1:7" x14ac:dyDescent="0.2">
      <c r="A2598" t="s">
        <v>4331</v>
      </c>
      <c r="B2598">
        <v>0</v>
      </c>
      <c r="C2598">
        <v>0</v>
      </c>
      <c r="D2598">
        <v>0</v>
      </c>
      <c r="E2598">
        <v>0</v>
      </c>
      <c r="F2598">
        <v>0</v>
      </c>
      <c r="G2598">
        <v>0</v>
      </c>
    </row>
    <row r="2599" spans="1:7" x14ac:dyDescent="0.2">
      <c r="A2599" t="s">
        <v>4332</v>
      </c>
      <c r="B2599">
        <v>0</v>
      </c>
      <c r="C2599">
        <v>0</v>
      </c>
      <c r="D2599">
        <v>0</v>
      </c>
      <c r="E2599">
        <v>0</v>
      </c>
      <c r="F2599">
        <v>0</v>
      </c>
      <c r="G2599">
        <v>0</v>
      </c>
    </row>
    <row r="2600" spans="1:7" x14ac:dyDescent="0.2">
      <c r="A2600" t="s">
        <v>4333</v>
      </c>
      <c r="B2600">
        <v>0</v>
      </c>
      <c r="C2600">
        <v>0</v>
      </c>
      <c r="D2600">
        <v>0</v>
      </c>
      <c r="E2600">
        <v>0</v>
      </c>
      <c r="F2600">
        <v>0</v>
      </c>
      <c r="G2600">
        <v>0</v>
      </c>
    </row>
    <row r="2601" spans="1:7" x14ac:dyDescent="0.2">
      <c r="A2601" t="s">
        <v>4334</v>
      </c>
      <c r="B2601">
        <v>0</v>
      </c>
      <c r="C2601">
        <v>0</v>
      </c>
      <c r="D2601">
        <v>0</v>
      </c>
      <c r="E2601">
        <v>0</v>
      </c>
      <c r="F2601">
        <v>0</v>
      </c>
      <c r="G2601">
        <v>0</v>
      </c>
    </row>
    <row r="2602" spans="1:7" x14ac:dyDescent="0.2">
      <c r="A2602" t="s">
        <v>4335</v>
      </c>
      <c r="B2602">
        <v>0</v>
      </c>
      <c r="C2602">
        <v>0</v>
      </c>
      <c r="D2602">
        <v>0</v>
      </c>
      <c r="E2602">
        <v>0</v>
      </c>
      <c r="F2602">
        <v>0</v>
      </c>
      <c r="G2602">
        <v>0</v>
      </c>
    </row>
    <row r="2603" spans="1:7" x14ac:dyDescent="0.2">
      <c r="A2603" t="s">
        <v>4336</v>
      </c>
      <c r="B2603">
        <v>0</v>
      </c>
      <c r="C2603">
        <v>0</v>
      </c>
      <c r="D2603">
        <v>0</v>
      </c>
      <c r="E2603">
        <v>0</v>
      </c>
      <c r="F2603">
        <v>0</v>
      </c>
      <c r="G2603">
        <v>0</v>
      </c>
    </row>
    <row r="2604" spans="1:7" x14ac:dyDescent="0.2">
      <c r="A2604" t="s">
        <v>4337</v>
      </c>
      <c r="B2604">
        <v>0</v>
      </c>
      <c r="C2604">
        <v>0</v>
      </c>
      <c r="D2604">
        <v>0</v>
      </c>
      <c r="E2604">
        <v>0</v>
      </c>
      <c r="F2604">
        <v>0</v>
      </c>
      <c r="G2604">
        <v>0</v>
      </c>
    </row>
    <row r="2605" spans="1:7" x14ac:dyDescent="0.2">
      <c r="A2605" t="s">
        <v>4338</v>
      </c>
      <c r="B2605">
        <v>0</v>
      </c>
      <c r="C2605">
        <v>0</v>
      </c>
      <c r="D2605">
        <v>0</v>
      </c>
      <c r="E2605">
        <v>0</v>
      </c>
      <c r="F2605">
        <v>0</v>
      </c>
      <c r="G2605">
        <v>0</v>
      </c>
    </row>
    <row r="2606" spans="1:7" x14ac:dyDescent="0.2">
      <c r="A2606" t="s">
        <v>4339</v>
      </c>
      <c r="B2606">
        <v>0</v>
      </c>
      <c r="C2606">
        <v>0</v>
      </c>
      <c r="D2606">
        <v>0</v>
      </c>
      <c r="E2606">
        <v>0</v>
      </c>
      <c r="F2606">
        <v>0</v>
      </c>
      <c r="G2606">
        <v>0</v>
      </c>
    </row>
    <row r="2607" spans="1:7" x14ac:dyDescent="0.2">
      <c r="A2607" t="s">
        <v>4340</v>
      </c>
      <c r="B2607">
        <v>0</v>
      </c>
      <c r="C2607">
        <v>0</v>
      </c>
      <c r="D2607">
        <v>0</v>
      </c>
      <c r="E2607">
        <v>0</v>
      </c>
      <c r="F2607">
        <v>0</v>
      </c>
      <c r="G2607">
        <v>0</v>
      </c>
    </row>
    <row r="2608" spans="1:7" x14ac:dyDescent="0.2">
      <c r="A2608" t="s">
        <v>4341</v>
      </c>
      <c r="B2608">
        <v>0</v>
      </c>
      <c r="C2608">
        <v>0</v>
      </c>
      <c r="D2608">
        <v>0</v>
      </c>
      <c r="E2608">
        <v>0</v>
      </c>
      <c r="F2608">
        <v>0</v>
      </c>
      <c r="G2608">
        <v>0</v>
      </c>
    </row>
    <row r="2609" spans="1:7" x14ac:dyDescent="0.2">
      <c r="A2609" t="s">
        <v>4342</v>
      </c>
      <c r="B2609">
        <v>0</v>
      </c>
      <c r="C2609">
        <v>0</v>
      </c>
      <c r="D2609">
        <v>0</v>
      </c>
      <c r="E2609">
        <v>0</v>
      </c>
      <c r="F2609">
        <v>0</v>
      </c>
      <c r="G2609">
        <v>0</v>
      </c>
    </row>
    <row r="2610" spans="1:7" x14ac:dyDescent="0.2">
      <c r="A2610" t="s">
        <v>4343</v>
      </c>
      <c r="B2610">
        <v>0</v>
      </c>
      <c r="C2610">
        <v>0</v>
      </c>
      <c r="D2610">
        <v>0</v>
      </c>
      <c r="E2610">
        <v>0</v>
      </c>
      <c r="F2610">
        <v>0</v>
      </c>
      <c r="G2610">
        <v>0</v>
      </c>
    </row>
    <row r="2611" spans="1:7" x14ac:dyDescent="0.2">
      <c r="A2611" t="s">
        <v>1728</v>
      </c>
      <c r="B2611">
        <v>0</v>
      </c>
      <c r="C2611">
        <v>0</v>
      </c>
      <c r="D2611">
        <v>0</v>
      </c>
      <c r="E2611">
        <v>0</v>
      </c>
      <c r="F2611">
        <v>0</v>
      </c>
      <c r="G2611">
        <v>0</v>
      </c>
    </row>
    <row r="2612" spans="1:7" x14ac:dyDescent="0.2">
      <c r="A2612" t="s">
        <v>1730</v>
      </c>
      <c r="B2612">
        <v>0</v>
      </c>
      <c r="C2612">
        <v>0</v>
      </c>
      <c r="D2612">
        <v>3</v>
      </c>
      <c r="E2612">
        <v>2</v>
      </c>
      <c r="F2612">
        <v>237</v>
      </c>
      <c r="G2612">
        <v>243</v>
      </c>
    </row>
    <row r="2613" spans="1:7" x14ac:dyDescent="0.2">
      <c r="A2613" t="s">
        <v>1733</v>
      </c>
      <c r="B2613">
        <v>0</v>
      </c>
      <c r="C2613">
        <v>0</v>
      </c>
      <c r="D2613">
        <v>0</v>
      </c>
      <c r="E2613">
        <v>326</v>
      </c>
      <c r="F2613">
        <v>1736</v>
      </c>
      <c r="G2613">
        <v>2061</v>
      </c>
    </row>
    <row r="2614" spans="1:7" x14ac:dyDescent="0.2">
      <c r="A2614" t="s">
        <v>1738</v>
      </c>
      <c r="B2614">
        <v>0</v>
      </c>
      <c r="C2614">
        <v>0</v>
      </c>
      <c r="D2614">
        <v>0</v>
      </c>
      <c r="E2614">
        <v>391</v>
      </c>
      <c r="F2614">
        <v>347</v>
      </c>
      <c r="G2614">
        <v>738</v>
      </c>
    </row>
    <row r="2615" spans="1:7" x14ac:dyDescent="0.2">
      <c r="A2615" t="s">
        <v>1744</v>
      </c>
      <c r="B2615">
        <v>0</v>
      </c>
      <c r="C2615">
        <v>0</v>
      </c>
      <c r="D2615">
        <v>0</v>
      </c>
      <c r="E2615">
        <v>0</v>
      </c>
      <c r="F2615">
        <v>0</v>
      </c>
      <c r="G2615">
        <v>0</v>
      </c>
    </row>
    <row r="2616" spans="1:7" x14ac:dyDescent="0.2">
      <c r="A2616" t="s">
        <v>1747</v>
      </c>
      <c r="B2616">
        <v>0</v>
      </c>
      <c r="C2616">
        <v>0</v>
      </c>
      <c r="D2616">
        <v>0</v>
      </c>
      <c r="E2616">
        <v>0</v>
      </c>
      <c r="F2616">
        <v>0</v>
      </c>
      <c r="G2616">
        <v>0</v>
      </c>
    </row>
    <row r="2617" spans="1:7" x14ac:dyDescent="0.2">
      <c r="A2617" t="s">
        <v>1751</v>
      </c>
      <c r="B2617">
        <v>0</v>
      </c>
      <c r="C2617">
        <v>0</v>
      </c>
      <c r="D2617">
        <v>0</v>
      </c>
      <c r="E2617">
        <v>0</v>
      </c>
      <c r="F2617">
        <v>0</v>
      </c>
      <c r="G2617">
        <v>0</v>
      </c>
    </row>
    <row r="2618" spans="1:7" x14ac:dyDescent="0.2">
      <c r="A2618" t="s">
        <v>1755</v>
      </c>
      <c r="B2618">
        <v>0</v>
      </c>
      <c r="C2618">
        <v>0</v>
      </c>
      <c r="D2618">
        <v>0</v>
      </c>
      <c r="E2618">
        <v>3</v>
      </c>
      <c r="F2618">
        <v>11</v>
      </c>
      <c r="G2618">
        <v>14</v>
      </c>
    </row>
    <row r="2619" spans="1:7" x14ac:dyDescent="0.2">
      <c r="A2619" t="s">
        <v>1757</v>
      </c>
      <c r="B2619">
        <v>0</v>
      </c>
      <c r="C2619">
        <v>0</v>
      </c>
      <c r="D2619">
        <v>0</v>
      </c>
      <c r="E2619">
        <v>1</v>
      </c>
      <c r="F2619">
        <v>10</v>
      </c>
      <c r="G2619">
        <v>11</v>
      </c>
    </row>
    <row r="2620" spans="1:7" x14ac:dyDescent="0.2">
      <c r="A2620" t="s">
        <v>1761</v>
      </c>
      <c r="B2620">
        <v>0</v>
      </c>
      <c r="C2620">
        <v>0</v>
      </c>
      <c r="D2620">
        <v>0</v>
      </c>
      <c r="E2620">
        <v>0</v>
      </c>
      <c r="F2620">
        <v>0</v>
      </c>
      <c r="G2620">
        <v>0</v>
      </c>
    </row>
    <row r="2621" spans="1:7" x14ac:dyDescent="0.2">
      <c r="A2621" t="s">
        <v>1764</v>
      </c>
      <c r="B2621">
        <v>0</v>
      </c>
      <c r="C2621">
        <v>0</v>
      </c>
      <c r="D2621">
        <v>0</v>
      </c>
      <c r="E2621">
        <v>0</v>
      </c>
      <c r="F2621">
        <v>0</v>
      </c>
      <c r="G2621">
        <v>0</v>
      </c>
    </row>
    <row r="2622" spans="1:7" x14ac:dyDescent="0.2">
      <c r="A2622" t="s">
        <v>1770</v>
      </c>
      <c r="B2622">
        <v>0</v>
      </c>
      <c r="C2622">
        <v>6</v>
      </c>
      <c r="D2622">
        <v>60</v>
      </c>
      <c r="E2622">
        <v>713</v>
      </c>
      <c r="F2622">
        <v>0</v>
      </c>
      <c r="G2622">
        <v>778</v>
      </c>
    </row>
    <row r="2623" spans="1:7" x14ac:dyDescent="0.2">
      <c r="A2623" t="s">
        <v>1772</v>
      </c>
      <c r="B2623">
        <v>0</v>
      </c>
      <c r="C2623">
        <v>1</v>
      </c>
      <c r="D2623">
        <v>24</v>
      </c>
      <c r="E2623">
        <v>310</v>
      </c>
      <c r="F2623">
        <v>0</v>
      </c>
      <c r="G2623">
        <v>335</v>
      </c>
    </row>
    <row r="2624" spans="1:7" x14ac:dyDescent="0.2">
      <c r="A2624" t="s">
        <v>1774</v>
      </c>
      <c r="B2624">
        <v>0</v>
      </c>
      <c r="C2624">
        <v>0</v>
      </c>
      <c r="D2624">
        <v>0</v>
      </c>
      <c r="E2624">
        <v>0</v>
      </c>
      <c r="F2624">
        <v>0</v>
      </c>
      <c r="G2624">
        <v>0</v>
      </c>
    </row>
    <row r="2625" spans="1:7" x14ac:dyDescent="0.2">
      <c r="A2625" t="s">
        <v>1777</v>
      </c>
      <c r="B2625">
        <v>0</v>
      </c>
      <c r="C2625">
        <v>0</v>
      </c>
      <c r="D2625">
        <v>0</v>
      </c>
      <c r="E2625">
        <v>0</v>
      </c>
      <c r="F2625">
        <v>600</v>
      </c>
      <c r="G2625">
        <v>600</v>
      </c>
    </row>
    <row r="2626" spans="1:7" x14ac:dyDescent="0.2">
      <c r="A2626" t="s">
        <v>1782</v>
      </c>
      <c r="B2626">
        <v>0</v>
      </c>
      <c r="C2626">
        <v>0</v>
      </c>
      <c r="D2626">
        <v>0</v>
      </c>
      <c r="E2626">
        <v>0</v>
      </c>
      <c r="F2626">
        <v>0</v>
      </c>
      <c r="G2626">
        <v>0</v>
      </c>
    </row>
    <row r="2627" spans="1:7" x14ac:dyDescent="0.2">
      <c r="A2627" t="s">
        <v>1274</v>
      </c>
      <c r="B2627">
        <v>0</v>
      </c>
      <c r="C2627">
        <v>0</v>
      </c>
      <c r="D2627">
        <v>0</v>
      </c>
      <c r="E2627">
        <v>0</v>
      </c>
      <c r="F2627">
        <v>0</v>
      </c>
      <c r="G2627">
        <v>0</v>
      </c>
    </row>
    <row r="2628" spans="1:7" x14ac:dyDescent="0.2">
      <c r="A2628" t="s">
        <v>1277</v>
      </c>
      <c r="B2628">
        <v>0</v>
      </c>
      <c r="C2628">
        <v>0</v>
      </c>
      <c r="D2628">
        <v>0</v>
      </c>
      <c r="E2628">
        <v>0</v>
      </c>
      <c r="F2628">
        <v>0</v>
      </c>
      <c r="G2628">
        <v>0</v>
      </c>
    </row>
    <row r="2629" spans="1:7" x14ac:dyDescent="0.2">
      <c r="A2629" t="s">
        <v>1798</v>
      </c>
      <c r="B2629">
        <v>0</v>
      </c>
      <c r="C2629">
        <v>0</v>
      </c>
      <c r="D2629">
        <v>0</v>
      </c>
      <c r="E2629">
        <v>0</v>
      </c>
      <c r="F2629">
        <v>0</v>
      </c>
      <c r="G2629">
        <v>0</v>
      </c>
    </row>
    <row r="2630" spans="1:7" x14ac:dyDescent="0.2">
      <c r="A2630" t="s">
        <v>1803</v>
      </c>
      <c r="B2630">
        <v>0</v>
      </c>
      <c r="C2630">
        <v>0</v>
      </c>
      <c r="D2630">
        <v>0</v>
      </c>
      <c r="E2630">
        <v>0</v>
      </c>
      <c r="F2630">
        <v>0</v>
      </c>
      <c r="G2630">
        <v>0</v>
      </c>
    </row>
    <row r="2631" spans="1:7" x14ac:dyDescent="0.2">
      <c r="A2631" t="s">
        <v>1808</v>
      </c>
      <c r="B2631">
        <v>0</v>
      </c>
      <c r="C2631">
        <v>0</v>
      </c>
      <c r="D2631">
        <v>0</v>
      </c>
      <c r="E2631">
        <v>0</v>
      </c>
      <c r="F2631">
        <v>0</v>
      </c>
      <c r="G2631">
        <v>0</v>
      </c>
    </row>
    <row r="2632" spans="1:7" x14ac:dyDescent="0.2">
      <c r="A2632" t="s">
        <v>1813</v>
      </c>
      <c r="B2632">
        <v>0</v>
      </c>
      <c r="C2632">
        <v>0</v>
      </c>
      <c r="D2632">
        <v>0</v>
      </c>
      <c r="E2632">
        <v>0</v>
      </c>
      <c r="F2632">
        <v>0</v>
      </c>
      <c r="G2632">
        <v>0</v>
      </c>
    </row>
    <row r="2633" spans="1:7" x14ac:dyDescent="0.2">
      <c r="A2633" t="s">
        <v>1819</v>
      </c>
      <c r="B2633">
        <v>0</v>
      </c>
      <c r="C2633">
        <v>0</v>
      </c>
      <c r="D2633">
        <v>0</v>
      </c>
      <c r="E2633">
        <v>0</v>
      </c>
      <c r="F2633">
        <v>0</v>
      </c>
      <c r="G2633">
        <v>0</v>
      </c>
    </row>
    <row r="2634" spans="1:7" x14ac:dyDescent="0.2">
      <c r="A2634" t="s">
        <v>1826</v>
      </c>
      <c r="B2634">
        <v>0</v>
      </c>
      <c r="C2634">
        <v>0</v>
      </c>
      <c r="D2634">
        <v>0</v>
      </c>
      <c r="E2634">
        <v>0</v>
      </c>
      <c r="F2634">
        <v>0</v>
      </c>
      <c r="G2634">
        <v>0</v>
      </c>
    </row>
    <row r="2635" spans="1:7" x14ac:dyDescent="0.2">
      <c r="A2635" t="s">
        <v>1830</v>
      </c>
      <c r="B2635">
        <v>0</v>
      </c>
      <c r="C2635">
        <v>0</v>
      </c>
      <c r="D2635">
        <v>0</v>
      </c>
      <c r="E2635">
        <v>0</v>
      </c>
      <c r="F2635">
        <v>0</v>
      </c>
      <c r="G2635">
        <v>0</v>
      </c>
    </row>
    <row r="2636" spans="1:7" x14ac:dyDescent="0.2">
      <c r="A2636" t="s">
        <v>1836</v>
      </c>
      <c r="B2636">
        <v>0</v>
      </c>
      <c r="C2636">
        <v>0</v>
      </c>
      <c r="D2636">
        <v>0</v>
      </c>
      <c r="E2636">
        <v>0</v>
      </c>
      <c r="F2636">
        <v>0</v>
      </c>
      <c r="G2636">
        <v>0</v>
      </c>
    </row>
    <row r="2637" spans="1:7" x14ac:dyDescent="0.2">
      <c r="A2637" t="s">
        <v>1841</v>
      </c>
      <c r="B2637">
        <v>0</v>
      </c>
      <c r="C2637">
        <v>0</v>
      </c>
      <c r="D2637">
        <v>0</v>
      </c>
      <c r="E2637">
        <v>0</v>
      </c>
      <c r="F2637">
        <v>0</v>
      </c>
      <c r="G2637">
        <v>0</v>
      </c>
    </row>
    <row r="2638" spans="1:7" x14ac:dyDescent="0.2">
      <c r="A2638" t="s">
        <v>1842</v>
      </c>
      <c r="B2638">
        <v>0</v>
      </c>
      <c r="C2638">
        <v>0</v>
      </c>
      <c r="D2638">
        <v>2</v>
      </c>
      <c r="E2638">
        <v>18</v>
      </c>
      <c r="F2638">
        <v>0</v>
      </c>
      <c r="G2638">
        <v>19</v>
      </c>
    </row>
    <row r="2639" spans="1:7" x14ac:dyDescent="0.2">
      <c r="A2639" t="s">
        <v>1843</v>
      </c>
      <c r="B2639">
        <v>0</v>
      </c>
      <c r="C2639">
        <v>0</v>
      </c>
      <c r="D2639">
        <v>0</v>
      </c>
      <c r="E2639">
        <v>0</v>
      </c>
      <c r="F2639">
        <v>0</v>
      </c>
      <c r="G2639">
        <v>0</v>
      </c>
    </row>
    <row r="2640" spans="1:7" x14ac:dyDescent="0.2">
      <c r="A2640" t="s">
        <v>1846</v>
      </c>
      <c r="B2640">
        <v>0</v>
      </c>
      <c r="C2640">
        <v>0</v>
      </c>
      <c r="D2640">
        <v>0</v>
      </c>
      <c r="E2640">
        <v>0</v>
      </c>
      <c r="F2640">
        <v>0</v>
      </c>
      <c r="G2640">
        <v>0</v>
      </c>
    </row>
    <row r="2641" spans="1:7" x14ac:dyDescent="0.2">
      <c r="A2641" t="s">
        <v>1851</v>
      </c>
      <c r="B2641">
        <v>0</v>
      </c>
      <c r="C2641">
        <v>0</v>
      </c>
      <c r="D2641">
        <v>0</v>
      </c>
      <c r="E2641">
        <v>0</v>
      </c>
      <c r="F2641">
        <v>0</v>
      </c>
      <c r="G2641">
        <v>0</v>
      </c>
    </row>
    <row r="2642" spans="1:7" x14ac:dyDescent="0.2">
      <c r="A2642" t="s">
        <v>1857</v>
      </c>
      <c r="B2642">
        <v>0</v>
      </c>
      <c r="C2642">
        <v>0</v>
      </c>
      <c r="D2642">
        <v>0</v>
      </c>
      <c r="E2642">
        <v>0</v>
      </c>
      <c r="F2642">
        <v>0</v>
      </c>
      <c r="G2642">
        <v>0</v>
      </c>
    </row>
    <row r="2643" spans="1:7" x14ac:dyDescent="0.2">
      <c r="A2643" t="s">
        <v>1862</v>
      </c>
      <c r="B2643">
        <v>0</v>
      </c>
      <c r="C2643">
        <v>0</v>
      </c>
      <c r="D2643">
        <v>0</v>
      </c>
      <c r="E2643">
        <v>0</v>
      </c>
      <c r="F2643">
        <v>0</v>
      </c>
      <c r="G2643">
        <v>0</v>
      </c>
    </row>
    <row r="2644" spans="1:7" x14ac:dyDescent="0.2">
      <c r="A2644" t="s">
        <v>1867</v>
      </c>
      <c r="B2644">
        <v>0</v>
      </c>
      <c r="C2644">
        <v>0</v>
      </c>
      <c r="D2644">
        <v>0</v>
      </c>
      <c r="E2644">
        <v>0</v>
      </c>
      <c r="F2644">
        <v>0</v>
      </c>
      <c r="G2644">
        <v>0</v>
      </c>
    </row>
    <row r="2645" spans="1:7" x14ac:dyDescent="0.2">
      <c r="A2645" t="s">
        <v>1870</v>
      </c>
      <c r="B2645">
        <v>0</v>
      </c>
      <c r="C2645">
        <v>0</v>
      </c>
      <c r="D2645">
        <v>0</v>
      </c>
      <c r="E2645">
        <v>0</v>
      </c>
      <c r="F2645">
        <v>0</v>
      </c>
      <c r="G2645">
        <v>0</v>
      </c>
    </row>
    <row r="2646" spans="1:7" x14ac:dyDescent="0.2">
      <c r="A2646" t="s">
        <v>1874</v>
      </c>
      <c r="B2646">
        <v>0</v>
      </c>
      <c r="C2646">
        <v>0</v>
      </c>
      <c r="D2646">
        <v>0</v>
      </c>
      <c r="E2646">
        <v>0</v>
      </c>
      <c r="F2646">
        <v>0</v>
      </c>
      <c r="G2646">
        <v>0</v>
      </c>
    </row>
    <row r="2647" spans="1:7" x14ac:dyDescent="0.2">
      <c r="A2647" t="s">
        <v>1876</v>
      </c>
      <c r="B2647">
        <v>0</v>
      </c>
      <c r="C2647">
        <v>0</v>
      </c>
      <c r="D2647">
        <v>0</v>
      </c>
      <c r="E2647">
        <v>0</v>
      </c>
      <c r="F2647">
        <v>0</v>
      </c>
      <c r="G2647">
        <v>0</v>
      </c>
    </row>
    <row r="2648" spans="1:7" x14ac:dyDescent="0.2">
      <c r="A2648" t="s">
        <v>1881</v>
      </c>
      <c r="B2648">
        <v>0</v>
      </c>
      <c r="C2648">
        <v>0</v>
      </c>
      <c r="D2648">
        <v>0</v>
      </c>
      <c r="E2648">
        <v>0</v>
      </c>
      <c r="F2648">
        <v>0</v>
      </c>
      <c r="G2648">
        <v>0</v>
      </c>
    </row>
    <row r="2649" spans="1:7" x14ac:dyDescent="0.2">
      <c r="A2649" t="s">
        <v>1885</v>
      </c>
      <c r="B2649">
        <v>0</v>
      </c>
      <c r="C2649">
        <v>0</v>
      </c>
      <c r="D2649">
        <v>0</v>
      </c>
      <c r="E2649">
        <v>4</v>
      </c>
      <c r="F2649">
        <v>2</v>
      </c>
      <c r="G2649">
        <v>6</v>
      </c>
    </row>
    <row r="2650" spans="1:7" x14ac:dyDescent="0.2">
      <c r="A2650" t="s">
        <v>1887</v>
      </c>
      <c r="B2650">
        <v>0</v>
      </c>
      <c r="C2650">
        <v>0</v>
      </c>
      <c r="D2650">
        <v>0</v>
      </c>
      <c r="E2650">
        <v>0</v>
      </c>
      <c r="F2650">
        <v>0</v>
      </c>
      <c r="G2650">
        <v>0</v>
      </c>
    </row>
    <row r="2651" spans="1:7" x14ac:dyDescent="0.2">
      <c r="A2651" t="s">
        <v>1893</v>
      </c>
      <c r="B2651">
        <v>0</v>
      </c>
      <c r="C2651">
        <v>0</v>
      </c>
      <c r="D2651">
        <v>0</v>
      </c>
      <c r="E2651">
        <v>1</v>
      </c>
      <c r="F2651">
        <v>0</v>
      </c>
      <c r="G2651">
        <v>2</v>
      </c>
    </row>
    <row r="2652" spans="1:7" x14ac:dyDescent="0.2">
      <c r="A2652" t="s">
        <v>1899</v>
      </c>
      <c r="B2652">
        <v>0</v>
      </c>
      <c r="C2652">
        <v>0</v>
      </c>
      <c r="D2652">
        <v>0</v>
      </c>
      <c r="E2652">
        <v>0</v>
      </c>
      <c r="F2652">
        <v>0</v>
      </c>
      <c r="G2652">
        <v>0</v>
      </c>
    </row>
    <row r="2653" spans="1:7" x14ac:dyDescent="0.2">
      <c r="A2653" t="s">
        <v>1906</v>
      </c>
      <c r="B2653">
        <v>0</v>
      </c>
      <c r="C2653">
        <v>0</v>
      </c>
      <c r="D2653">
        <v>0</v>
      </c>
      <c r="E2653">
        <v>0</v>
      </c>
      <c r="F2653">
        <v>0</v>
      </c>
      <c r="G2653">
        <v>0</v>
      </c>
    </row>
    <row r="2654" spans="1:7" x14ac:dyDescent="0.2">
      <c r="A2654" t="s">
        <v>1911</v>
      </c>
      <c r="B2654">
        <v>0</v>
      </c>
      <c r="C2654">
        <v>0</v>
      </c>
      <c r="D2654">
        <v>0</v>
      </c>
      <c r="E2654">
        <v>0</v>
      </c>
      <c r="F2654">
        <v>0</v>
      </c>
      <c r="G2654">
        <v>0</v>
      </c>
    </row>
    <row r="2655" spans="1:7" x14ac:dyDescent="0.2">
      <c r="A2655" t="s">
        <v>1917</v>
      </c>
      <c r="B2655">
        <v>0</v>
      </c>
      <c r="C2655">
        <v>0</v>
      </c>
      <c r="D2655">
        <v>0</v>
      </c>
      <c r="E2655">
        <v>2</v>
      </c>
      <c r="F2655">
        <v>2</v>
      </c>
      <c r="G2655">
        <v>4</v>
      </c>
    </row>
    <row r="2656" spans="1:7" x14ac:dyDescent="0.2">
      <c r="A2656" t="s">
        <v>1922</v>
      </c>
      <c r="B2656">
        <v>0</v>
      </c>
      <c r="C2656">
        <v>0</v>
      </c>
      <c r="D2656">
        <v>0</v>
      </c>
      <c r="E2656">
        <v>0</v>
      </c>
      <c r="F2656">
        <v>0</v>
      </c>
      <c r="G2656">
        <v>0</v>
      </c>
    </row>
    <row r="2657" spans="1:7" x14ac:dyDescent="0.2">
      <c r="A2657" t="s">
        <v>1928</v>
      </c>
      <c r="B2657">
        <v>0</v>
      </c>
      <c r="C2657">
        <v>0</v>
      </c>
      <c r="D2657">
        <v>0</v>
      </c>
      <c r="E2657">
        <v>0</v>
      </c>
      <c r="F2657">
        <v>0</v>
      </c>
      <c r="G2657">
        <v>0</v>
      </c>
    </row>
    <row r="2658" spans="1:7" x14ac:dyDescent="0.2">
      <c r="A2658" t="s">
        <v>1932</v>
      </c>
      <c r="B2658">
        <v>0</v>
      </c>
      <c r="C2658">
        <v>0</v>
      </c>
      <c r="D2658">
        <v>0</v>
      </c>
      <c r="E2658">
        <v>0</v>
      </c>
      <c r="F2658">
        <v>0</v>
      </c>
      <c r="G2658">
        <v>0</v>
      </c>
    </row>
    <row r="2659" spans="1:7" x14ac:dyDescent="0.2">
      <c r="A2659" t="s">
        <v>1938</v>
      </c>
      <c r="B2659">
        <v>0</v>
      </c>
      <c r="C2659">
        <v>0</v>
      </c>
      <c r="D2659">
        <v>0</v>
      </c>
      <c r="E2659">
        <v>0</v>
      </c>
      <c r="F2659">
        <v>0</v>
      </c>
      <c r="G2659">
        <v>0</v>
      </c>
    </row>
    <row r="2660" spans="1:7" x14ac:dyDescent="0.2">
      <c r="A2660" t="s">
        <v>1944</v>
      </c>
      <c r="B2660">
        <v>0</v>
      </c>
      <c r="C2660">
        <v>0</v>
      </c>
      <c r="D2660">
        <v>0</v>
      </c>
      <c r="E2660">
        <v>0</v>
      </c>
      <c r="F2660">
        <v>0</v>
      </c>
      <c r="G2660">
        <v>0</v>
      </c>
    </row>
    <row r="2661" spans="1:7" x14ac:dyDescent="0.2">
      <c r="A2661" t="s">
        <v>1947</v>
      </c>
      <c r="B2661">
        <v>0</v>
      </c>
      <c r="C2661">
        <v>0</v>
      </c>
      <c r="D2661">
        <v>0</v>
      </c>
      <c r="E2661">
        <v>0</v>
      </c>
      <c r="F2661">
        <v>0</v>
      </c>
      <c r="G2661">
        <v>0</v>
      </c>
    </row>
    <row r="2662" spans="1:7" x14ac:dyDescent="0.2">
      <c r="A2662" t="s">
        <v>1953</v>
      </c>
      <c r="B2662">
        <v>0</v>
      </c>
      <c r="C2662">
        <v>0</v>
      </c>
      <c r="D2662">
        <v>0</v>
      </c>
      <c r="E2662">
        <v>0</v>
      </c>
      <c r="F2662">
        <v>0</v>
      </c>
      <c r="G2662">
        <v>0</v>
      </c>
    </row>
    <row r="2663" spans="1:7" x14ac:dyDescent="0.2">
      <c r="A2663" t="s">
        <v>1958</v>
      </c>
      <c r="B2663">
        <v>0</v>
      </c>
      <c r="C2663">
        <v>0</v>
      </c>
      <c r="D2663">
        <v>0</v>
      </c>
      <c r="E2663">
        <v>0</v>
      </c>
      <c r="F2663">
        <v>0</v>
      </c>
      <c r="G2663">
        <v>0</v>
      </c>
    </row>
    <row r="2664" spans="1:7" x14ac:dyDescent="0.2">
      <c r="A2664" t="s">
        <v>1964</v>
      </c>
      <c r="B2664">
        <v>0</v>
      </c>
      <c r="C2664">
        <v>0</v>
      </c>
      <c r="D2664">
        <v>0</v>
      </c>
      <c r="E2664">
        <v>0</v>
      </c>
      <c r="F2664">
        <v>0</v>
      </c>
      <c r="G2664">
        <v>0</v>
      </c>
    </row>
    <row r="2665" spans="1:7" x14ac:dyDescent="0.2">
      <c r="A2665" t="s">
        <v>1973</v>
      </c>
      <c r="B2665">
        <v>0</v>
      </c>
      <c r="C2665">
        <v>0</v>
      </c>
      <c r="D2665">
        <v>0</v>
      </c>
      <c r="E2665">
        <v>0</v>
      </c>
      <c r="F2665">
        <v>0</v>
      </c>
      <c r="G2665">
        <v>0</v>
      </c>
    </row>
    <row r="2666" spans="1:7" x14ac:dyDescent="0.2">
      <c r="A2666" t="s">
        <v>1978</v>
      </c>
      <c r="B2666">
        <v>0</v>
      </c>
      <c r="C2666">
        <v>0</v>
      </c>
      <c r="D2666">
        <v>0</v>
      </c>
      <c r="E2666">
        <v>0</v>
      </c>
      <c r="F2666">
        <v>0</v>
      </c>
      <c r="G2666">
        <v>0</v>
      </c>
    </row>
    <row r="2667" spans="1:7" x14ac:dyDescent="0.2">
      <c r="A2667" t="s">
        <v>1983</v>
      </c>
      <c r="B2667">
        <v>0</v>
      </c>
      <c r="C2667">
        <v>0</v>
      </c>
      <c r="D2667">
        <v>0</v>
      </c>
      <c r="E2667">
        <v>0</v>
      </c>
      <c r="F2667">
        <v>0</v>
      </c>
      <c r="G2667">
        <v>0</v>
      </c>
    </row>
    <row r="2668" spans="1:7" x14ac:dyDescent="0.2">
      <c r="A2668" t="s">
        <v>1984</v>
      </c>
      <c r="B2668">
        <v>0</v>
      </c>
      <c r="C2668">
        <v>0</v>
      </c>
      <c r="D2668">
        <v>0</v>
      </c>
      <c r="E2668">
        <v>0</v>
      </c>
      <c r="F2668">
        <v>0</v>
      </c>
      <c r="G2668">
        <v>0</v>
      </c>
    </row>
    <row r="2669" spans="1:7" x14ac:dyDescent="0.2">
      <c r="A2669" t="s">
        <v>1990</v>
      </c>
      <c r="B2669">
        <v>0</v>
      </c>
      <c r="C2669">
        <v>0</v>
      </c>
      <c r="D2669">
        <v>0</v>
      </c>
      <c r="E2669">
        <v>0</v>
      </c>
      <c r="F2669">
        <v>0</v>
      </c>
      <c r="G2669">
        <v>0</v>
      </c>
    </row>
    <row r="2670" spans="1:7" x14ac:dyDescent="0.2">
      <c r="A2670" t="s">
        <v>1996</v>
      </c>
      <c r="B2670">
        <v>0</v>
      </c>
      <c r="C2670">
        <v>0</v>
      </c>
      <c r="D2670">
        <v>0</v>
      </c>
      <c r="E2670">
        <v>0</v>
      </c>
      <c r="F2670">
        <v>0</v>
      </c>
      <c r="G2670">
        <v>0</v>
      </c>
    </row>
    <row r="2671" spans="1:7" x14ac:dyDescent="0.2">
      <c r="A2671" t="s">
        <v>1998</v>
      </c>
      <c r="B2671">
        <v>0</v>
      </c>
      <c r="C2671">
        <v>0</v>
      </c>
      <c r="D2671">
        <v>0</v>
      </c>
      <c r="E2671">
        <v>0</v>
      </c>
      <c r="F2671">
        <v>0</v>
      </c>
      <c r="G2671">
        <v>0</v>
      </c>
    </row>
    <row r="2672" spans="1:7" x14ac:dyDescent="0.2">
      <c r="A2672" t="s">
        <v>1999</v>
      </c>
      <c r="B2672">
        <v>0</v>
      </c>
      <c r="C2672">
        <v>0</v>
      </c>
      <c r="D2672">
        <v>0</v>
      </c>
      <c r="E2672">
        <v>0</v>
      </c>
      <c r="F2672">
        <v>0</v>
      </c>
      <c r="G2672">
        <v>0</v>
      </c>
    </row>
    <row r="2673" spans="1:7" x14ac:dyDescent="0.2">
      <c r="A2673" t="s">
        <v>2004</v>
      </c>
      <c r="B2673">
        <v>0</v>
      </c>
      <c r="C2673">
        <v>0</v>
      </c>
      <c r="D2673">
        <v>0</v>
      </c>
      <c r="E2673">
        <v>0</v>
      </c>
      <c r="F2673">
        <v>0</v>
      </c>
      <c r="G2673">
        <v>0</v>
      </c>
    </row>
    <row r="2674" spans="1:7" x14ac:dyDescent="0.2">
      <c r="A2674" t="s">
        <v>2009</v>
      </c>
      <c r="B2674">
        <v>0</v>
      </c>
      <c r="C2674">
        <v>0</v>
      </c>
      <c r="D2674">
        <v>0</v>
      </c>
      <c r="E2674">
        <v>0</v>
      </c>
      <c r="F2674">
        <v>0</v>
      </c>
      <c r="G2674">
        <v>0</v>
      </c>
    </row>
    <row r="2675" spans="1:7" x14ac:dyDescent="0.2">
      <c r="A2675" t="s">
        <v>2014</v>
      </c>
      <c r="B2675">
        <v>0</v>
      </c>
      <c r="C2675">
        <v>0</v>
      </c>
      <c r="D2675">
        <v>0</v>
      </c>
      <c r="E2675">
        <v>0</v>
      </c>
      <c r="F2675">
        <v>0</v>
      </c>
      <c r="G2675">
        <v>0</v>
      </c>
    </row>
    <row r="2676" spans="1:7" x14ac:dyDescent="0.2">
      <c r="A2676" t="s">
        <v>2019</v>
      </c>
      <c r="B2676">
        <v>0</v>
      </c>
      <c r="C2676">
        <v>0</v>
      </c>
      <c r="D2676">
        <v>0</v>
      </c>
      <c r="E2676">
        <v>0</v>
      </c>
      <c r="F2676">
        <v>0</v>
      </c>
      <c r="G2676">
        <v>0</v>
      </c>
    </row>
    <row r="2677" spans="1:7" x14ac:dyDescent="0.2">
      <c r="A2677" t="s">
        <v>2023</v>
      </c>
      <c r="B2677">
        <v>0</v>
      </c>
      <c r="C2677">
        <v>0</v>
      </c>
      <c r="D2677">
        <v>0</v>
      </c>
      <c r="E2677">
        <v>0</v>
      </c>
      <c r="F2677">
        <v>0</v>
      </c>
      <c r="G2677">
        <v>0</v>
      </c>
    </row>
    <row r="2678" spans="1:7" x14ac:dyDescent="0.2">
      <c r="A2678" t="s">
        <v>2026</v>
      </c>
      <c r="B2678">
        <v>0</v>
      </c>
      <c r="C2678">
        <v>0</v>
      </c>
      <c r="D2678">
        <v>0</v>
      </c>
      <c r="E2678">
        <v>0</v>
      </c>
      <c r="F2678">
        <v>0</v>
      </c>
      <c r="G2678">
        <v>0</v>
      </c>
    </row>
    <row r="2679" spans="1:7" x14ac:dyDescent="0.2">
      <c r="A2679" t="s">
        <v>2030</v>
      </c>
      <c r="B2679">
        <v>0</v>
      </c>
      <c r="C2679">
        <v>0</v>
      </c>
      <c r="D2679">
        <v>0</v>
      </c>
      <c r="E2679">
        <v>0</v>
      </c>
      <c r="F2679">
        <v>0</v>
      </c>
      <c r="G2679">
        <v>0</v>
      </c>
    </row>
    <row r="2680" spans="1:7" x14ac:dyDescent="0.2">
      <c r="A2680" t="s">
        <v>2035</v>
      </c>
      <c r="B2680">
        <v>0</v>
      </c>
      <c r="C2680">
        <v>0</v>
      </c>
      <c r="D2680">
        <v>0</v>
      </c>
      <c r="E2680">
        <v>0</v>
      </c>
      <c r="F2680">
        <v>0</v>
      </c>
      <c r="G2680">
        <v>0</v>
      </c>
    </row>
    <row r="2681" spans="1:7" x14ac:dyDescent="0.2">
      <c r="A2681" t="s">
        <v>2040</v>
      </c>
      <c r="B2681">
        <v>0</v>
      </c>
      <c r="C2681">
        <v>0</v>
      </c>
      <c r="D2681">
        <v>0</v>
      </c>
      <c r="E2681">
        <v>0</v>
      </c>
      <c r="F2681">
        <v>0</v>
      </c>
      <c r="G2681">
        <v>0</v>
      </c>
    </row>
    <row r="2682" spans="1:7" x14ac:dyDescent="0.2">
      <c r="A2682" t="s">
        <v>2045</v>
      </c>
      <c r="B2682">
        <v>0</v>
      </c>
      <c r="C2682">
        <v>0</v>
      </c>
      <c r="D2682">
        <v>0</v>
      </c>
      <c r="E2682">
        <v>0</v>
      </c>
      <c r="F2682">
        <v>0</v>
      </c>
      <c r="G2682">
        <v>0</v>
      </c>
    </row>
    <row r="2683" spans="1:7" x14ac:dyDescent="0.2">
      <c r="A2683" t="s">
        <v>2049</v>
      </c>
      <c r="B2683">
        <v>0</v>
      </c>
      <c r="C2683">
        <v>0</v>
      </c>
      <c r="D2683">
        <v>0</v>
      </c>
      <c r="E2683">
        <v>0</v>
      </c>
      <c r="F2683">
        <v>0</v>
      </c>
      <c r="G2683">
        <v>0</v>
      </c>
    </row>
    <row r="2684" spans="1:7" x14ac:dyDescent="0.2">
      <c r="A2684" t="s">
        <v>2051</v>
      </c>
      <c r="B2684">
        <v>0</v>
      </c>
      <c r="C2684">
        <v>0</v>
      </c>
      <c r="D2684">
        <v>0</v>
      </c>
      <c r="E2684">
        <v>0</v>
      </c>
      <c r="F2684">
        <v>4</v>
      </c>
      <c r="G2684">
        <v>4</v>
      </c>
    </row>
    <row r="2685" spans="1:7" x14ac:dyDescent="0.2">
      <c r="A2685" t="s">
        <v>2057</v>
      </c>
      <c r="B2685">
        <v>0</v>
      </c>
      <c r="C2685">
        <v>0</v>
      </c>
      <c r="D2685">
        <v>0</v>
      </c>
      <c r="E2685">
        <v>0</v>
      </c>
      <c r="F2685">
        <v>7</v>
      </c>
      <c r="G2685">
        <v>7</v>
      </c>
    </row>
    <row r="2686" spans="1:7" x14ac:dyDescent="0.2">
      <c r="A2686" t="s">
        <v>4344</v>
      </c>
      <c r="B2686">
        <v>0</v>
      </c>
      <c r="C2686">
        <v>0</v>
      </c>
      <c r="D2686">
        <v>0</v>
      </c>
      <c r="E2686">
        <v>1</v>
      </c>
      <c r="F2686">
        <v>0</v>
      </c>
      <c r="G2686">
        <v>1</v>
      </c>
    </row>
    <row r="2687" spans="1:7" x14ac:dyDescent="0.2">
      <c r="A2687" t="s">
        <v>4345</v>
      </c>
      <c r="B2687">
        <v>0</v>
      </c>
      <c r="C2687">
        <v>0</v>
      </c>
      <c r="D2687">
        <v>0</v>
      </c>
      <c r="E2687">
        <v>4</v>
      </c>
      <c r="F2687">
        <v>6</v>
      </c>
      <c r="G2687">
        <v>10</v>
      </c>
    </row>
    <row r="2688" spans="1:7" x14ac:dyDescent="0.2">
      <c r="A2688" t="s">
        <v>2074</v>
      </c>
      <c r="B2688">
        <v>0</v>
      </c>
      <c r="C2688">
        <v>0</v>
      </c>
      <c r="D2688">
        <v>0</v>
      </c>
      <c r="E2688">
        <v>0</v>
      </c>
      <c r="F2688">
        <v>0</v>
      </c>
      <c r="G2688">
        <v>0</v>
      </c>
    </row>
    <row r="2689" spans="1:7" x14ac:dyDescent="0.2">
      <c r="A2689" t="s">
        <v>2079</v>
      </c>
      <c r="B2689">
        <v>0</v>
      </c>
      <c r="C2689">
        <v>0</v>
      </c>
      <c r="D2689">
        <v>0</v>
      </c>
      <c r="E2689">
        <v>0</v>
      </c>
      <c r="F2689">
        <v>0</v>
      </c>
      <c r="G2689">
        <v>0</v>
      </c>
    </row>
    <row r="2690" spans="1:7" x14ac:dyDescent="0.2">
      <c r="A2690" t="s">
        <v>2085</v>
      </c>
      <c r="B2690">
        <v>0</v>
      </c>
      <c r="C2690">
        <v>0</v>
      </c>
      <c r="D2690">
        <v>0</v>
      </c>
      <c r="E2690">
        <v>0</v>
      </c>
      <c r="F2690">
        <v>0</v>
      </c>
      <c r="G2690">
        <v>0</v>
      </c>
    </row>
    <row r="2691" spans="1:7" x14ac:dyDescent="0.2">
      <c r="A2691" t="s">
        <v>2091</v>
      </c>
      <c r="B2691">
        <v>0</v>
      </c>
      <c r="C2691">
        <v>0</v>
      </c>
      <c r="D2691">
        <v>0</v>
      </c>
      <c r="E2691">
        <v>0</v>
      </c>
      <c r="F2691">
        <v>0</v>
      </c>
      <c r="G2691">
        <v>0</v>
      </c>
    </row>
    <row r="2692" spans="1:7" x14ac:dyDescent="0.2">
      <c r="A2692" t="s">
        <v>2097</v>
      </c>
      <c r="B2692">
        <v>0</v>
      </c>
      <c r="C2692">
        <v>0</v>
      </c>
      <c r="D2692">
        <v>0</v>
      </c>
      <c r="E2692">
        <v>0</v>
      </c>
      <c r="F2692">
        <v>0</v>
      </c>
      <c r="G2692">
        <v>0</v>
      </c>
    </row>
    <row r="2693" spans="1:7" x14ac:dyDescent="0.2">
      <c r="A2693" t="s">
        <v>2101</v>
      </c>
      <c r="B2693">
        <v>0</v>
      </c>
      <c r="C2693">
        <v>0</v>
      </c>
      <c r="D2693">
        <v>0</v>
      </c>
      <c r="E2693">
        <v>0</v>
      </c>
      <c r="F2693">
        <v>0</v>
      </c>
      <c r="G2693">
        <v>0</v>
      </c>
    </row>
    <row r="2694" spans="1:7" x14ac:dyDescent="0.2">
      <c r="A2694" t="s">
        <v>2104</v>
      </c>
      <c r="B2694">
        <v>0</v>
      </c>
      <c r="C2694">
        <v>0</v>
      </c>
      <c r="D2694">
        <v>0</v>
      </c>
      <c r="E2694">
        <v>0</v>
      </c>
      <c r="F2694">
        <v>0</v>
      </c>
      <c r="G2694">
        <v>0</v>
      </c>
    </row>
    <row r="2695" spans="1:7" x14ac:dyDescent="0.2">
      <c r="A2695" t="s">
        <v>2107</v>
      </c>
      <c r="B2695">
        <v>0</v>
      </c>
      <c r="C2695">
        <v>0</v>
      </c>
      <c r="D2695">
        <v>0</v>
      </c>
      <c r="E2695">
        <v>0</v>
      </c>
      <c r="F2695">
        <v>0</v>
      </c>
      <c r="G2695">
        <v>0</v>
      </c>
    </row>
    <row r="2696" spans="1:7" x14ac:dyDescent="0.2">
      <c r="A2696" t="s">
        <v>2110</v>
      </c>
      <c r="B2696">
        <v>0</v>
      </c>
      <c r="C2696">
        <v>0</v>
      </c>
      <c r="D2696">
        <v>0</v>
      </c>
      <c r="E2696">
        <v>0</v>
      </c>
      <c r="F2696">
        <v>0</v>
      </c>
      <c r="G2696">
        <v>0</v>
      </c>
    </row>
    <row r="2697" spans="1:7" x14ac:dyDescent="0.2">
      <c r="A2697" t="s">
        <v>2113</v>
      </c>
      <c r="B2697">
        <v>0</v>
      </c>
      <c r="C2697">
        <v>0</v>
      </c>
      <c r="D2697">
        <v>0</v>
      </c>
      <c r="E2697">
        <v>0</v>
      </c>
      <c r="F2697">
        <v>0</v>
      </c>
      <c r="G2697">
        <v>0</v>
      </c>
    </row>
    <row r="2698" spans="1:7" x14ac:dyDescent="0.2">
      <c r="A2698" t="s">
        <v>4346</v>
      </c>
      <c r="B2698">
        <v>0</v>
      </c>
      <c r="C2698">
        <v>0</v>
      </c>
      <c r="D2698">
        <v>0</v>
      </c>
      <c r="E2698">
        <v>0</v>
      </c>
      <c r="F2698">
        <v>0</v>
      </c>
      <c r="G2698">
        <v>0</v>
      </c>
    </row>
    <row r="2699" spans="1:7" x14ac:dyDescent="0.2">
      <c r="A2699" t="s">
        <v>4347</v>
      </c>
      <c r="B2699">
        <v>0</v>
      </c>
      <c r="C2699">
        <v>0</v>
      </c>
      <c r="D2699">
        <v>0</v>
      </c>
      <c r="E2699">
        <v>0</v>
      </c>
      <c r="F2699">
        <v>0</v>
      </c>
      <c r="G2699">
        <v>0</v>
      </c>
    </row>
    <row r="2700" spans="1:7" x14ac:dyDescent="0.2">
      <c r="A2700" t="s">
        <v>4348</v>
      </c>
      <c r="B2700">
        <v>0</v>
      </c>
      <c r="C2700">
        <v>0</v>
      </c>
      <c r="D2700">
        <v>0</v>
      </c>
      <c r="E2700">
        <v>0</v>
      </c>
      <c r="F2700">
        <v>0</v>
      </c>
      <c r="G2700">
        <v>0</v>
      </c>
    </row>
    <row r="2701" spans="1:7" x14ac:dyDescent="0.2">
      <c r="A2701" t="s">
        <v>4349</v>
      </c>
      <c r="B2701">
        <v>0</v>
      </c>
      <c r="C2701">
        <v>0</v>
      </c>
      <c r="D2701">
        <v>0</v>
      </c>
      <c r="E2701">
        <v>0</v>
      </c>
      <c r="F2701">
        <v>0</v>
      </c>
      <c r="G2701">
        <v>0</v>
      </c>
    </row>
    <row r="2702" spans="1:7" x14ac:dyDescent="0.2">
      <c r="A2702" t="s">
        <v>4350</v>
      </c>
      <c r="B2702">
        <v>0</v>
      </c>
      <c r="C2702">
        <v>1</v>
      </c>
      <c r="D2702">
        <v>11</v>
      </c>
      <c r="E2702">
        <v>0</v>
      </c>
      <c r="F2702">
        <v>0</v>
      </c>
      <c r="G2702">
        <v>11</v>
      </c>
    </row>
    <row r="2703" spans="1:7" x14ac:dyDescent="0.2">
      <c r="A2703" t="s">
        <v>4351</v>
      </c>
      <c r="B2703">
        <v>0</v>
      </c>
      <c r="C2703">
        <v>0</v>
      </c>
      <c r="D2703">
        <v>0</v>
      </c>
      <c r="E2703">
        <v>0</v>
      </c>
      <c r="F2703">
        <v>0</v>
      </c>
      <c r="G2703">
        <v>0</v>
      </c>
    </row>
    <row r="2704" spans="1:7" x14ac:dyDescent="0.2">
      <c r="A2704" t="s">
        <v>4352</v>
      </c>
      <c r="B2704">
        <v>0</v>
      </c>
      <c r="C2704">
        <v>0</v>
      </c>
      <c r="D2704">
        <v>0</v>
      </c>
      <c r="E2704">
        <v>0</v>
      </c>
      <c r="F2704">
        <v>0</v>
      </c>
      <c r="G2704">
        <v>0</v>
      </c>
    </row>
    <row r="2705" spans="1:7" x14ac:dyDescent="0.2">
      <c r="A2705" t="s">
        <v>4353</v>
      </c>
      <c r="B2705">
        <v>1</v>
      </c>
      <c r="C2705">
        <v>32</v>
      </c>
      <c r="D2705">
        <v>17</v>
      </c>
      <c r="E2705">
        <v>1</v>
      </c>
      <c r="F2705">
        <v>0</v>
      </c>
      <c r="G2705">
        <v>50</v>
      </c>
    </row>
    <row r="2706" spans="1:7" x14ac:dyDescent="0.2">
      <c r="A2706" t="s">
        <v>4354</v>
      </c>
      <c r="B2706">
        <v>2</v>
      </c>
      <c r="C2706">
        <v>20</v>
      </c>
      <c r="D2706">
        <v>6</v>
      </c>
      <c r="E2706">
        <v>0</v>
      </c>
      <c r="F2706">
        <v>0</v>
      </c>
      <c r="G2706">
        <v>29</v>
      </c>
    </row>
    <row r="2707" spans="1:7" x14ac:dyDescent="0.2">
      <c r="A2707" t="s">
        <v>4355</v>
      </c>
      <c r="B2707">
        <v>0</v>
      </c>
      <c r="C2707">
        <v>0</v>
      </c>
      <c r="D2707">
        <v>0</v>
      </c>
      <c r="E2707">
        <v>0</v>
      </c>
      <c r="F2707">
        <v>0</v>
      </c>
      <c r="G2707">
        <v>0</v>
      </c>
    </row>
    <row r="2708" spans="1:7" x14ac:dyDescent="0.2">
      <c r="A2708" t="s">
        <v>4356</v>
      </c>
      <c r="B2708">
        <v>0</v>
      </c>
      <c r="C2708">
        <v>0</v>
      </c>
      <c r="D2708">
        <v>0</v>
      </c>
      <c r="E2708">
        <v>0</v>
      </c>
      <c r="F2708">
        <v>0</v>
      </c>
      <c r="G2708">
        <v>0</v>
      </c>
    </row>
    <row r="2709" spans="1:7" x14ac:dyDescent="0.2">
      <c r="A2709" t="s">
        <v>4357</v>
      </c>
      <c r="B2709">
        <v>0</v>
      </c>
      <c r="C2709">
        <v>2</v>
      </c>
      <c r="D2709">
        <v>1</v>
      </c>
      <c r="E2709">
        <v>0</v>
      </c>
      <c r="F2709">
        <v>0</v>
      </c>
      <c r="G2709">
        <v>3</v>
      </c>
    </row>
    <row r="2710" spans="1:7" x14ac:dyDescent="0.2">
      <c r="A2710" t="s">
        <v>4358</v>
      </c>
      <c r="B2710">
        <v>0</v>
      </c>
      <c r="C2710">
        <v>0</v>
      </c>
      <c r="D2710">
        <v>0</v>
      </c>
      <c r="E2710">
        <v>0</v>
      </c>
      <c r="F2710">
        <v>0</v>
      </c>
      <c r="G2710">
        <v>0</v>
      </c>
    </row>
    <row r="2711" spans="1:7" x14ac:dyDescent="0.2">
      <c r="A2711" t="s">
        <v>4359</v>
      </c>
      <c r="B2711">
        <v>0</v>
      </c>
      <c r="C2711">
        <v>0</v>
      </c>
      <c r="D2711">
        <v>0</v>
      </c>
      <c r="E2711">
        <v>0</v>
      </c>
      <c r="F2711">
        <v>0</v>
      </c>
      <c r="G2711">
        <v>0</v>
      </c>
    </row>
    <row r="2712" spans="1:7" x14ac:dyDescent="0.2">
      <c r="A2712" t="s">
        <v>4360</v>
      </c>
      <c r="B2712">
        <v>0</v>
      </c>
      <c r="C2712">
        <v>0</v>
      </c>
      <c r="D2712">
        <v>0</v>
      </c>
      <c r="E2712">
        <v>2</v>
      </c>
      <c r="F2712">
        <v>0</v>
      </c>
      <c r="G2712">
        <v>2</v>
      </c>
    </row>
    <row r="2713" spans="1:7" x14ac:dyDescent="0.2">
      <c r="A2713" t="s">
        <v>4361</v>
      </c>
      <c r="B2713">
        <v>0</v>
      </c>
      <c r="C2713">
        <v>0</v>
      </c>
      <c r="D2713">
        <v>1</v>
      </c>
      <c r="E2713">
        <v>0</v>
      </c>
      <c r="F2713">
        <v>0</v>
      </c>
      <c r="G2713">
        <v>1</v>
      </c>
    </row>
    <row r="2714" spans="1:7" x14ac:dyDescent="0.2">
      <c r="A2714" t="s">
        <v>4362</v>
      </c>
      <c r="B2714">
        <v>0</v>
      </c>
      <c r="C2714">
        <v>0</v>
      </c>
      <c r="D2714">
        <v>0</v>
      </c>
      <c r="E2714">
        <v>0</v>
      </c>
      <c r="F2714">
        <v>0</v>
      </c>
      <c r="G2714">
        <v>0</v>
      </c>
    </row>
    <row r="2715" spans="1:7" x14ac:dyDescent="0.2">
      <c r="A2715" t="s">
        <v>4363</v>
      </c>
      <c r="B2715">
        <v>0</v>
      </c>
      <c r="C2715">
        <v>0</v>
      </c>
      <c r="D2715">
        <v>0</v>
      </c>
      <c r="E2715">
        <v>0</v>
      </c>
      <c r="F2715">
        <v>0</v>
      </c>
      <c r="G2715">
        <v>0</v>
      </c>
    </row>
    <row r="2716" spans="1:7" x14ac:dyDescent="0.2">
      <c r="A2716" t="s">
        <v>4364</v>
      </c>
      <c r="B2716">
        <v>0</v>
      </c>
      <c r="C2716">
        <v>0</v>
      </c>
      <c r="D2716">
        <v>0</v>
      </c>
      <c r="E2716">
        <v>0</v>
      </c>
      <c r="F2716">
        <v>0</v>
      </c>
      <c r="G2716">
        <v>0</v>
      </c>
    </row>
    <row r="2717" spans="1:7" x14ac:dyDescent="0.2">
      <c r="A2717" t="s">
        <v>4365</v>
      </c>
      <c r="B2717">
        <v>0</v>
      </c>
      <c r="C2717">
        <v>3</v>
      </c>
      <c r="D2717">
        <v>31</v>
      </c>
      <c r="E2717">
        <v>0</v>
      </c>
      <c r="F2717">
        <v>0</v>
      </c>
      <c r="G2717">
        <v>33</v>
      </c>
    </row>
    <row r="2718" spans="1:7" x14ac:dyDescent="0.2">
      <c r="A2718" t="s">
        <v>4366</v>
      </c>
      <c r="B2718">
        <v>0</v>
      </c>
      <c r="C2718">
        <v>0</v>
      </c>
      <c r="D2718">
        <v>0</v>
      </c>
      <c r="E2718">
        <v>0</v>
      </c>
      <c r="F2718">
        <v>0</v>
      </c>
      <c r="G2718">
        <v>0</v>
      </c>
    </row>
    <row r="2719" spans="1:7" x14ac:dyDescent="0.2">
      <c r="A2719" t="s">
        <v>4367</v>
      </c>
      <c r="B2719">
        <v>0</v>
      </c>
      <c r="C2719">
        <v>0</v>
      </c>
      <c r="D2719">
        <v>0</v>
      </c>
      <c r="E2719">
        <v>0</v>
      </c>
      <c r="F2719">
        <v>0</v>
      </c>
      <c r="G2719">
        <v>0</v>
      </c>
    </row>
    <row r="2720" spans="1:7" x14ac:dyDescent="0.2">
      <c r="A2720" t="s">
        <v>4368</v>
      </c>
      <c r="B2720">
        <v>0</v>
      </c>
      <c r="C2720">
        <v>35</v>
      </c>
      <c r="D2720">
        <v>46</v>
      </c>
      <c r="E2720">
        <v>82</v>
      </c>
      <c r="F2720">
        <v>19</v>
      </c>
      <c r="G2720">
        <v>182</v>
      </c>
    </row>
    <row r="2721" spans="1:10" x14ac:dyDescent="0.2">
      <c r="A2721" t="s">
        <v>4369</v>
      </c>
      <c r="B2721">
        <v>0</v>
      </c>
      <c r="C2721">
        <v>36</v>
      </c>
      <c r="D2721">
        <v>41</v>
      </c>
      <c r="E2721">
        <v>1</v>
      </c>
      <c r="F2721">
        <v>0</v>
      </c>
      <c r="G2721">
        <v>79</v>
      </c>
    </row>
    <row r="2722" spans="1:10" x14ac:dyDescent="0.2">
      <c r="A2722" t="s">
        <v>4370</v>
      </c>
      <c r="B2722">
        <v>1</v>
      </c>
      <c r="C2722">
        <v>4</v>
      </c>
      <c r="D2722">
        <v>1</v>
      </c>
      <c r="E2722">
        <v>0</v>
      </c>
      <c r="F2722">
        <v>0</v>
      </c>
      <c r="G2722">
        <v>6</v>
      </c>
    </row>
    <row r="2723" spans="1:10" x14ac:dyDescent="0.2">
      <c r="A2723" t="s">
        <v>4371</v>
      </c>
      <c r="B2723">
        <v>0</v>
      </c>
      <c r="C2723">
        <v>0</v>
      </c>
      <c r="D2723">
        <v>0</v>
      </c>
      <c r="E2723">
        <v>0</v>
      </c>
      <c r="F2723">
        <v>0</v>
      </c>
      <c r="G2723">
        <v>0</v>
      </c>
    </row>
    <row r="2724" spans="1:10" x14ac:dyDescent="0.2">
      <c r="A2724" t="s">
        <v>4372</v>
      </c>
      <c r="B2724">
        <v>0</v>
      </c>
      <c r="C2724">
        <v>0</v>
      </c>
      <c r="D2724">
        <v>0</v>
      </c>
      <c r="E2724">
        <v>0</v>
      </c>
      <c r="F2724">
        <v>0</v>
      </c>
      <c r="G2724">
        <v>0</v>
      </c>
    </row>
    <row r="2725" spans="1:10" x14ac:dyDescent="0.2">
      <c r="A2725" t="s">
        <v>4373</v>
      </c>
      <c r="B2725">
        <v>0</v>
      </c>
      <c r="C2725">
        <v>0</v>
      </c>
      <c r="D2725">
        <v>3</v>
      </c>
      <c r="E2725">
        <v>5</v>
      </c>
      <c r="F2725">
        <v>0</v>
      </c>
      <c r="G2725">
        <v>7</v>
      </c>
    </row>
    <row r="2726" spans="1:10" x14ac:dyDescent="0.2">
      <c r="A2726" t="s">
        <v>4374</v>
      </c>
      <c r="B2726">
        <v>0</v>
      </c>
      <c r="C2726">
        <v>0</v>
      </c>
      <c r="D2726">
        <v>0</v>
      </c>
      <c r="E2726">
        <v>0</v>
      </c>
      <c r="F2726">
        <v>0</v>
      </c>
      <c r="G2726">
        <v>0</v>
      </c>
    </row>
    <row r="2727" spans="1:10" x14ac:dyDescent="0.2">
      <c r="A2727" t="s">
        <v>4375</v>
      </c>
      <c r="B2727">
        <v>0</v>
      </c>
      <c r="C2727">
        <v>5</v>
      </c>
      <c r="D2727">
        <v>21</v>
      </c>
      <c r="E2727">
        <v>8</v>
      </c>
      <c r="F2727">
        <v>0</v>
      </c>
      <c r="G2727">
        <v>34</v>
      </c>
    </row>
    <row r="2728" spans="1:10" x14ac:dyDescent="0.2">
      <c r="A2728" t="s">
        <v>4376</v>
      </c>
      <c r="B2728">
        <v>0</v>
      </c>
      <c r="C2728">
        <v>0</v>
      </c>
      <c r="D2728">
        <v>0</v>
      </c>
      <c r="E2728">
        <v>0</v>
      </c>
      <c r="F2728">
        <v>0</v>
      </c>
      <c r="G2728">
        <v>0</v>
      </c>
    </row>
    <row r="2729" spans="1:10" x14ac:dyDescent="0.2">
      <c r="A2729" t="s">
        <v>4377</v>
      </c>
      <c r="B2729">
        <v>0</v>
      </c>
      <c r="C2729">
        <v>0</v>
      </c>
      <c r="D2729">
        <v>12</v>
      </c>
      <c r="E2729">
        <v>0</v>
      </c>
      <c r="F2729">
        <v>0</v>
      </c>
      <c r="G2729">
        <v>12</v>
      </c>
    </row>
    <row r="2730" spans="1:10" x14ac:dyDescent="0.2">
      <c r="A2730" t="s">
        <v>2318</v>
      </c>
      <c r="B2730" t="s">
        <v>2319</v>
      </c>
      <c r="C2730" t="s">
        <v>2319</v>
      </c>
      <c r="D2730" t="s">
        <v>2319</v>
      </c>
      <c r="E2730" t="s">
        <v>2319</v>
      </c>
      <c r="F2730" t="s">
        <v>2319</v>
      </c>
      <c r="G2730" t="s">
        <v>2319</v>
      </c>
    </row>
    <row r="2731" spans="1:10" x14ac:dyDescent="0.2">
      <c r="A2731" t="s">
        <v>4248</v>
      </c>
    </row>
    <row r="2732" spans="1:10" x14ac:dyDescent="0.2">
      <c r="A2732" t="s">
        <v>4250</v>
      </c>
      <c r="C2732" t="s">
        <v>4251</v>
      </c>
      <c r="G2732" t="s">
        <v>7531</v>
      </c>
      <c r="J2732"/>
    </row>
    <row r="2733" spans="1:10" x14ac:dyDescent="0.2">
      <c r="A2733" t="s">
        <v>4925</v>
      </c>
      <c r="G2733" t="s">
        <v>7538</v>
      </c>
      <c r="J2733"/>
    </row>
    <row r="2734" spans="1:10" x14ac:dyDescent="0.2">
      <c r="A2734" t="s">
        <v>7530</v>
      </c>
      <c r="J2734"/>
    </row>
    <row r="2735" spans="1:10" x14ac:dyDescent="0.2">
      <c r="A2735" t="s">
        <v>4970</v>
      </c>
      <c r="J2735"/>
    </row>
    <row r="2736" spans="1:10" x14ac:dyDescent="0.2">
      <c r="J2736"/>
    </row>
    <row r="2737" spans="1:10" x14ac:dyDescent="0.2">
      <c r="A2737" t="s">
        <v>4259</v>
      </c>
      <c r="J2737"/>
    </row>
    <row r="2738" spans="1:10" x14ac:dyDescent="0.2">
      <c r="A2738" t="s">
        <v>2318</v>
      </c>
      <c r="B2738" t="s">
        <v>2319</v>
      </c>
      <c r="C2738" t="s">
        <v>2319</v>
      </c>
      <c r="D2738" t="s">
        <v>2319</v>
      </c>
      <c r="E2738" t="s">
        <v>2319</v>
      </c>
      <c r="F2738" t="s">
        <v>2319</v>
      </c>
      <c r="G2738" t="s">
        <v>2319</v>
      </c>
    </row>
    <row r="2739" spans="1:10" x14ac:dyDescent="0.2">
      <c r="A2739" t="s">
        <v>174</v>
      </c>
      <c r="B2739" t="s">
        <v>4945</v>
      </c>
      <c r="C2739" t="s">
        <v>4946</v>
      </c>
      <c r="D2739" t="s">
        <v>4947</v>
      </c>
      <c r="E2739" t="s">
        <v>4948</v>
      </c>
      <c r="F2739" t="s">
        <v>4949</v>
      </c>
    </row>
    <row r="2740" spans="1:10" x14ac:dyDescent="0.2">
      <c r="A2740" t="s">
        <v>126</v>
      </c>
      <c r="B2740" t="s">
        <v>4262</v>
      </c>
      <c r="C2740" t="s">
        <v>4263</v>
      </c>
      <c r="D2740" t="s">
        <v>4264</v>
      </c>
      <c r="E2740" t="s">
        <v>2308</v>
      </c>
      <c r="F2740" t="s">
        <v>615</v>
      </c>
      <c r="G2740" t="s">
        <v>236</v>
      </c>
    </row>
    <row r="2741" spans="1:10" x14ac:dyDescent="0.2">
      <c r="A2741" t="s">
        <v>2318</v>
      </c>
      <c r="B2741" t="s">
        <v>2319</v>
      </c>
      <c r="C2741" t="s">
        <v>2319</v>
      </c>
      <c r="D2741" t="s">
        <v>2319</v>
      </c>
      <c r="E2741" t="s">
        <v>2319</v>
      </c>
      <c r="F2741" t="s">
        <v>2319</v>
      </c>
      <c r="G2741" t="s">
        <v>2319</v>
      </c>
    </row>
    <row r="2742" spans="1:10" x14ac:dyDescent="0.2">
      <c r="A2742" t="s">
        <v>4265</v>
      </c>
      <c r="B2742">
        <v>0</v>
      </c>
      <c r="C2742">
        <v>0</v>
      </c>
      <c r="D2742">
        <v>0</v>
      </c>
      <c r="E2742">
        <v>0</v>
      </c>
      <c r="F2742">
        <v>0</v>
      </c>
      <c r="G2742">
        <v>0</v>
      </c>
    </row>
    <row r="2743" spans="1:10" x14ac:dyDescent="0.2">
      <c r="A2743" t="s">
        <v>4266</v>
      </c>
      <c r="B2743">
        <v>0</v>
      </c>
      <c r="C2743">
        <v>0</v>
      </c>
      <c r="D2743">
        <v>0</v>
      </c>
      <c r="E2743">
        <v>0</v>
      </c>
      <c r="F2743">
        <v>0</v>
      </c>
      <c r="G2743">
        <v>0</v>
      </c>
    </row>
    <row r="2744" spans="1:10" x14ac:dyDescent="0.2">
      <c r="A2744" t="s">
        <v>4267</v>
      </c>
      <c r="B2744">
        <v>0</v>
      </c>
      <c r="C2744">
        <v>0</v>
      </c>
      <c r="D2744">
        <v>0</v>
      </c>
      <c r="E2744">
        <v>0</v>
      </c>
      <c r="F2744">
        <v>0</v>
      </c>
      <c r="G2744">
        <v>0</v>
      </c>
    </row>
    <row r="2745" spans="1:10" x14ac:dyDescent="0.2">
      <c r="A2745" t="s">
        <v>4268</v>
      </c>
      <c r="B2745">
        <v>0</v>
      </c>
      <c r="C2745">
        <v>0</v>
      </c>
      <c r="D2745">
        <v>0</v>
      </c>
      <c r="E2745">
        <v>0</v>
      </c>
      <c r="F2745">
        <v>0</v>
      </c>
      <c r="G2745">
        <v>0</v>
      </c>
    </row>
    <row r="2746" spans="1:10" x14ac:dyDescent="0.2">
      <c r="A2746" t="s">
        <v>4269</v>
      </c>
      <c r="B2746">
        <v>0</v>
      </c>
      <c r="C2746">
        <v>0</v>
      </c>
      <c r="D2746">
        <v>0</v>
      </c>
      <c r="E2746">
        <v>0</v>
      </c>
      <c r="F2746">
        <v>0</v>
      </c>
      <c r="G2746">
        <v>0</v>
      </c>
    </row>
    <row r="2747" spans="1:10" x14ac:dyDescent="0.2">
      <c r="A2747" t="s">
        <v>4270</v>
      </c>
      <c r="B2747">
        <v>0</v>
      </c>
      <c r="C2747">
        <v>0</v>
      </c>
      <c r="D2747">
        <v>0</v>
      </c>
      <c r="E2747">
        <v>0</v>
      </c>
      <c r="F2747">
        <v>0</v>
      </c>
      <c r="G2747">
        <v>0</v>
      </c>
    </row>
    <row r="2748" spans="1:10" x14ac:dyDescent="0.2">
      <c r="A2748" t="s">
        <v>4271</v>
      </c>
      <c r="B2748">
        <v>0</v>
      </c>
      <c r="C2748">
        <v>0</v>
      </c>
      <c r="D2748">
        <v>0</v>
      </c>
      <c r="E2748">
        <v>0</v>
      </c>
      <c r="F2748">
        <v>0</v>
      </c>
      <c r="G2748">
        <v>0</v>
      </c>
    </row>
    <row r="2749" spans="1:10" x14ac:dyDescent="0.2">
      <c r="A2749" t="s">
        <v>4272</v>
      </c>
      <c r="B2749">
        <v>0</v>
      </c>
      <c r="C2749">
        <v>0</v>
      </c>
      <c r="D2749">
        <v>0</v>
      </c>
      <c r="E2749">
        <v>0</v>
      </c>
      <c r="F2749">
        <v>0</v>
      </c>
      <c r="G2749">
        <v>0</v>
      </c>
    </row>
    <row r="2750" spans="1:10" x14ac:dyDescent="0.2">
      <c r="A2750" t="s">
        <v>4273</v>
      </c>
      <c r="B2750">
        <v>0</v>
      </c>
      <c r="C2750">
        <v>0</v>
      </c>
      <c r="D2750">
        <v>0</v>
      </c>
      <c r="E2750">
        <v>0</v>
      </c>
      <c r="F2750">
        <v>0</v>
      </c>
      <c r="G2750">
        <v>0</v>
      </c>
    </row>
    <row r="2751" spans="1:10" x14ac:dyDescent="0.2">
      <c r="A2751" t="s">
        <v>4274</v>
      </c>
      <c r="B2751">
        <v>0</v>
      </c>
      <c r="C2751">
        <v>0</v>
      </c>
      <c r="D2751">
        <v>0</v>
      </c>
      <c r="E2751">
        <v>0</v>
      </c>
      <c r="F2751">
        <v>0</v>
      </c>
      <c r="G2751">
        <v>0</v>
      </c>
    </row>
    <row r="2752" spans="1:10" x14ac:dyDescent="0.2">
      <c r="A2752" t="s">
        <v>4275</v>
      </c>
      <c r="B2752">
        <v>0</v>
      </c>
      <c r="C2752">
        <v>0</v>
      </c>
      <c r="D2752">
        <v>0</v>
      </c>
      <c r="E2752">
        <v>0</v>
      </c>
      <c r="F2752">
        <v>0</v>
      </c>
      <c r="G2752">
        <v>0</v>
      </c>
    </row>
    <row r="2753" spans="1:7" x14ac:dyDescent="0.2">
      <c r="A2753" t="s">
        <v>4276</v>
      </c>
      <c r="B2753">
        <v>0</v>
      </c>
      <c r="C2753">
        <v>0</v>
      </c>
      <c r="D2753">
        <v>0</v>
      </c>
      <c r="E2753">
        <v>0</v>
      </c>
      <c r="F2753">
        <v>0</v>
      </c>
      <c r="G2753">
        <v>0</v>
      </c>
    </row>
    <row r="2754" spans="1:7" x14ac:dyDescent="0.2">
      <c r="A2754" t="s">
        <v>4277</v>
      </c>
      <c r="B2754">
        <v>0</v>
      </c>
      <c r="C2754">
        <v>0</v>
      </c>
      <c r="D2754">
        <v>0</v>
      </c>
      <c r="E2754">
        <v>0</v>
      </c>
      <c r="F2754">
        <v>0</v>
      </c>
      <c r="G2754">
        <v>0</v>
      </c>
    </row>
    <row r="2755" spans="1:7" x14ac:dyDescent="0.2">
      <c r="A2755" t="s">
        <v>4278</v>
      </c>
      <c r="B2755">
        <v>0</v>
      </c>
      <c r="C2755">
        <v>0</v>
      </c>
      <c r="D2755">
        <v>0</v>
      </c>
      <c r="E2755">
        <v>0</v>
      </c>
      <c r="F2755">
        <v>0</v>
      </c>
      <c r="G2755">
        <v>0</v>
      </c>
    </row>
    <row r="2756" spans="1:7" x14ac:dyDescent="0.2">
      <c r="A2756" t="s">
        <v>4279</v>
      </c>
      <c r="B2756">
        <v>0</v>
      </c>
      <c r="C2756">
        <v>0</v>
      </c>
      <c r="D2756">
        <v>0</v>
      </c>
      <c r="E2756">
        <v>0</v>
      </c>
      <c r="F2756">
        <v>0</v>
      </c>
      <c r="G2756">
        <v>0</v>
      </c>
    </row>
    <row r="2757" spans="1:7" x14ac:dyDescent="0.2">
      <c r="A2757" t="s">
        <v>4280</v>
      </c>
      <c r="B2757">
        <v>0</v>
      </c>
      <c r="C2757">
        <v>0</v>
      </c>
      <c r="D2757">
        <v>0</v>
      </c>
      <c r="E2757">
        <v>0</v>
      </c>
      <c r="F2757">
        <v>0</v>
      </c>
      <c r="G2757">
        <v>0</v>
      </c>
    </row>
    <row r="2758" spans="1:7" x14ac:dyDescent="0.2">
      <c r="A2758" t="s">
        <v>4281</v>
      </c>
      <c r="B2758">
        <v>6</v>
      </c>
      <c r="C2758">
        <v>6</v>
      </c>
      <c r="D2758">
        <v>8</v>
      </c>
      <c r="E2758">
        <v>0</v>
      </c>
      <c r="F2758">
        <v>0</v>
      </c>
      <c r="G2758">
        <v>20</v>
      </c>
    </row>
    <row r="2759" spans="1:7" x14ac:dyDescent="0.2">
      <c r="A2759" t="s">
        <v>4282</v>
      </c>
      <c r="B2759">
        <v>14</v>
      </c>
      <c r="C2759">
        <v>5</v>
      </c>
      <c r="D2759">
        <v>4</v>
      </c>
      <c r="E2759">
        <v>0</v>
      </c>
      <c r="F2759">
        <v>0</v>
      </c>
      <c r="G2759">
        <v>24</v>
      </c>
    </row>
    <row r="2760" spans="1:7" x14ac:dyDescent="0.2">
      <c r="A2760" t="s">
        <v>4283</v>
      </c>
      <c r="B2760">
        <v>2</v>
      </c>
      <c r="C2760">
        <v>1</v>
      </c>
      <c r="D2760">
        <v>1</v>
      </c>
      <c r="E2760">
        <v>0</v>
      </c>
      <c r="F2760">
        <v>0</v>
      </c>
      <c r="G2760">
        <v>3</v>
      </c>
    </row>
    <row r="2761" spans="1:7" x14ac:dyDescent="0.2">
      <c r="A2761" t="s">
        <v>4284</v>
      </c>
      <c r="B2761">
        <v>0</v>
      </c>
      <c r="C2761">
        <v>0</v>
      </c>
      <c r="D2761">
        <v>0</v>
      </c>
      <c r="E2761">
        <v>0</v>
      </c>
      <c r="F2761">
        <v>0</v>
      </c>
      <c r="G2761">
        <v>1</v>
      </c>
    </row>
    <row r="2762" spans="1:7" x14ac:dyDescent="0.2">
      <c r="A2762" t="s">
        <v>4285</v>
      </c>
      <c r="B2762">
        <v>6</v>
      </c>
      <c r="C2762">
        <v>9</v>
      </c>
      <c r="D2762">
        <v>1</v>
      </c>
      <c r="E2762">
        <v>0</v>
      </c>
      <c r="F2762">
        <v>0</v>
      </c>
      <c r="G2762">
        <v>16</v>
      </c>
    </row>
    <row r="2763" spans="1:7" x14ac:dyDescent="0.2">
      <c r="A2763" t="s">
        <v>4286</v>
      </c>
      <c r="B2763">
        <v>3</v>
      </c>
      <c r="C2763">
        <v>0</v>
      </c>
      <c r="D2763">
        <v>0</v>
      </c>
      <c r="E2763">
        <v>0</v>
      </c>
      <c r="F2763">
        <v>0</v>
      </c>
      <c r="G2763">
        <v>4</v>
      </c>
    </row>
    <row r="2764" spans="1:7" x14ac:dyDescent="0.2">
      <c r="A2764" t="s">
        <v>4287</v>
      </c>
      <c r="B2764">
        <v>0</v>
      </c>
      <c r="C2764">
        <v>0</v>
      </c>
      <c r="D2764">
        <v>0</v>
      </c>
      <c r="E2764">
        <v>3</v>
      </c>
      <c r="F2764">
        <v>0</v>
      </c>
      <c r="G2764">
        <v>3</v>
      </c>
    </row>
    <row r="2765" spans="1:7" x14ac:dyDescent="0.2">
      <c r="A2765" t="s">
        <v>4288</v>
      </c>
      <c r="B2765">
        <v>0</v>
      </c>
      <c r="C2765">
        <v>0</v>
      </c>
      <c r="D2765">
        <v>0</v>
      </c>
      <c r="E2765">
        <v>0</v>
      </c>
      <c r="F2765">
        <v>0</v>
      </c>
      <c r="G2765">
        <v>0</v>
      </c>
    </row>
    <row r="2766" spans="1:7" x14ac:dyDescent="0.2">
      <c r="A2766" t="s">
        <v>4289</v>
      </c>
      <c r="B2766">
        <v>0</v>
      </c>
      <c r="C2766">
        <v>0</v>
      </c>
      <c r="D2766">
        <v>0</v>
      </c>
      <c r="E2766">
        <v>0</v>
      </c>
      <c r="F2766">
        <v>0</v>
      </c>
      <c r="G2766">
        <v>0</v>
      </c>
    </row>
    <row r="2767" spans="1:7" x14ac:dyDescent="0.2">
      <c r="A2767" t="s">
        <v>4290</v>
      </c>
      <c r="B2767">
        <v>0</v>
      </c>
      <c r="C2767">
        <v>0</v>
      </c>
      <c r="D2767">
        <v>0</v>
      </c>
      <c r="E2767">
        <v>0</v>
      </c>
      <c r="F2767">
        <v>0</v>
      </c>
      <c r="G2767">
        <v>0</v>
      </c>
    </row>
    <row r="2768" spans="1:7" x14ac:dyDescent="0.2">
      <c r="A2768" t="s">
        <v>4291</v>
      </c>
      <c r="B2768">
        <v>0</v>
      </c>
      <c r="C2768">
        <v>0</v>
      </c>
      <c r="D2768">
        <v>0</v>
      </c>
      <c r="E2768">
        <v>0</v>
      </c>
      <c r="F2768">
        <v>0</v>
      </c>
      <c r="G2768">
        <v>0</v>
      </c>
    </row>
    <row r="2769" spans="1:7" x14ac:dyDescent="0.2">
      <c r="A2769" t="s">
        <v>4292</v>
      </c>
      <c r="B2769">
        <v>0</v>
      </c>
      <c r="C2769">
        <v>0</v>
      </c>
      <c r="D2769">
        <v>0</v>
      </c>
      <c r="E2769">
        <v>0</v>
      </c>
      <c r="F2769">
        <v>0</v>
      </c>
      <c r="G2769">
        <v>0</v>
      </c>
    </row>
    <row r="2770" spans="1:7" x14ac:dyDescent="0.2">
      <c r="A2770" t="s">
        <v>4293</v>
      </c>
      <c r="B2770">
        <v>0</v>
      </c>
      <c r="C2770">
        <v>0</v>
      </c>
      <c r="D2770">
        <v>0</v>
      </c>
      <c r="E2770">
        <v>0</v>
      </c>
      <c r="F2770">
        <v>0</v>
      </c>
      <c r="G2770">
        <v>0</v>
      </c>
    </row>
    <row r="2771" spans="1:7" x14ac:dyDescent="0.2">
      <c r="A2771" t="s">
        <v>4294</v>
      </c>
      <c r="B2771">
        <v>0</v>
      </c>
      <c r="C2771">
        <v>0</v>
      </c>
      <c r="D2771">
        <v>0</v>
      </c>
      <c r="E2771">
        <v>0</v>
      </c>
      <c r="F2771">
        <v>0</v>
      </c>
      <c r="G2771">
        <v>0</v>
      </c>
    </row>
    <row r="2772" spans="1:7" x14ac:dyDescent="0.2">
      <c r="A2772" t="s">
        <v>4295</v>
      </c>
      <c r="B2772">
        <v>0</v>
      </c>
      <c r="C2772">
        <v>0</v>
      </c>
      <c r="D2772">
        <v>0</v>
      </c>
      <c r="E2772">
        <v>0</v>
      </c>
      <c r="F2772">
        <v>0</v>
      </c>
      <c r="G2772">
        <v>0</v>
      </c>
    </row>
    <row r="2773" spans="1:7" x14ac:dyDescent="0.2">
      <c r="A2773" t="s">
        <v>4296</v>
      </c>
      <c r="B2773">
        <v>0</v>
      </c>
      <c r="C2773">
        <v>0</v>
      </c>
      <c r="D2773">
        <v>0</v>
      </c>
      <c r="E2773">
        <v>0</v>
      </c>
      <c r="F2773">
        <v>0</v>
      </c>
      <c r="G2773">
        <v>0</v>
      </c>
    </row>
    <row r="2774" spans="1:7" x14ac:dyDescent="0.2">
      <c r="A2774" t="s">
        <v>4297</v>
      </c>
      <c r="B2774">
        <v>0</v>
      </c>
      <c r="C2774">
        <v>4</v>
      </c>
      <c r="D2774">
        <v>16</v>
      </c>
      <c r="E2774">
        <v>1</v>
      </c>
      <c r="F2774">
        <v>0</v>
      </c>
      <c r="G2774">
        <v>22</v>
      </c>
    </row>
    <row r="2775" spans="1:7" x14ac:dyDescent="0.2">
      <c r="A2775" t="s">
        <v>4298</v>
      </c>
      <c r="B2775">
        <v>2</v>
      </c>
      <c r="C2775">
        <v>5</v>
      </c>
      <c r="D2775">
        <v>6</v>
      </c>
      <c r="E2775">
        <v>0</v>
      </c>
      <c r="F2775">
        <v>0</v>
      </c>
      <c r="G2775">
        <v>13</v>
      </c>
    </row>
    <row r="2776" spans="1:7" x14ac:dyDescent="0.2">
      <c r="A2776" t="s">
        <v>4299</v>
      </c>
      <c r="B2776">
        <v>5</v>
      </c>
      <c r="C2776">
        <v>11</v>
      </c>
      <c r="D2776">
        <v>12</v>
      </c>
      <c r="E2776">
        <v>25</v>
      </c>
      <c r="F2776">
        <v>0</v>
      </c>
      <c r="G2776">
        <v>52</v>
      </c>
    </row>
    <row r="2777" spans="1:7" x14ac:dyDescent="0.2">
      <c r="A2777" t="s">
        <v>4300</v>
      </c>
      <c r="B2777">
        <v>0</v>
      </c>
      <c r="C2777">
        <v>1</v>
      </c>
      <c r="D2777">
        <v>1</v>
      </c>
      <c r="E2777">
        <v>1</v>
      </c>
      <c r="F2777">
        <v>0</v>
      </c>
      <c r="G2777">
        <v>3</v>
      </c>
    </row>
    <row r="2778" spans="1:7" x14ac:dyDescent="0.2">
      <c r="A2778" t="s">
        <v>4301</v>
      </c>
      <c r="B2778">
        <v>0</v>
      </c>
      <c r="C2778">
        <v>14</v>
      </c>
      <c r="D2778">
        <v>34</v>
      </c>
      <c r="E2778">
        <v>0</v>
      </c>
      <c r="F2778">
        <v>0</v>
      </c>
      <c r="G2778">
        <v>47</v>
      </c>
    </row>
    <row r="2779" spans="1:7" x14ac:dyDescent="0.2">
      <c r="A2779" t="s">
        <v>4302</v>
      </c>
      <c r="B2779">
        <v>5</v>
      </c>
      <c r="C2779">
        <v>15</v>
      </c>
      <c r="D2779">
        <v>27</v>
      </c>
      <c r="E2779">
        <v>6</v>
      </c>
      <c r="F2779">
        <v>0</v>
      </c>
      <c r="G2779">
        <v>53</v>
      </c>
    </row>
    <row r="2780" spans="1:7" x14ac:dyDescent="0.2">
      <c r="A2780" t="s">
        <v>4303</v>
      </c>
      <c r="B2780">
        <v>5</v>
      </c>
      <c r="C2780">
        <v>42</v>
      </c>
      <c r="D2780">
        <v>110</v>
      </c>
      <c r="E2780">
        <v>15</v>
      </c>
      <c r="F2780">
        <v>0</v>
      </c>
      <c r="G2780">
        <v>172</v>
      </c>
    </row>
    <row r="2781" spans="1:7" x14ac:dyDescent="0.2">
      <c r="A2781" t="s">
        <v>4304</v>
      </c>
      <c r="B2781">
        <v>0</v>
      </c>
      <c r="C2781">
        <v>2</v>
      </c>
      <c r="D2781">
        <v>4</v>
      </c>
      <c r="E2781">
        <v>0</v>
      </c>
      <c r="F2781">
        <v>0</v>
      </c>
      <c r="G2781">
        <v>6</v>
      </c>
    </row>
    <row r="2782" spans="1:7" x14ac:dyDescent="0.2">
      <c r="A2782" t="s">
        <v>4305</v>
      </c>
      <c r="B2782">
        <v>0</v>
      </c>
      <c r="C2782">
        <v>5</v>
      </c>
      <c r="D2782">
        <v>16</v>
      </c>
      <c r="E2782">
        <v>2</v>
      </c>
      <c r="F2782">
        <v>0</v>
      </c>
      <c r="G2782">
        <v>22</v>
      </c>
    </row>
    <row r="2783" spans="1:7" x14ac:dyDescent="0.2">
      <c r="A2783" t="s">
        <v>4306</v>
      </c>
      <c r="B2783">
        <v>1</v>
      </c>
      <c r="C2783">
        <v>5</v>
      </c>
      <c r="D2783">
        <v>1</v>
      </c>
      <c r="E2783">
        <v>0</v>
      </c>
      <c r="F2783">
        <v>0</v>
      </c>
      <c r="G2783">
        <v>7</v>
      </c>
    </row>
    <row r="2784" spans="1:7" x14ac:dyDescent="0.2">
      <c r="A2784" t="s">
        <v>4307</v>
      </c>
      <c r="B2784">
        <v>5</v>
      </c>
      <c r="C2784">
        <v>50</v>
      </c>
      <c r="D2784">
        <v>147</v>
      </c>
      <c r="E2784">
        <v>14</v>
      </c>
      <c r="F2784">
        <v>0</v>
      </c>
      <c r="G2784">
        <v>215</v>
      </c>
    </row>
    <row r="2785" spans="1:7" x14ac:dyDescent="0.2">
      <c r="A2785" t="s">
        <v>4308</v>
      </c>
      <c r="B2785">
        <v>0</v>
      </c>
      <c r="C2785">
        <v>0</v>
      </c>
      <c r="D2785">
        <v>0</v>
      </c>
      <c r="E2785">
        <v>0</v>
      </c>
      <c r="F2785">
        <v>0</v>
      </c>
      <c r="G2785">
        <v>0</v>
      </c>
    </row>
    <row r="2786" spans="1:7" x14ac:dyDescent="0.2">
      <c r="A2786" t="s">
        <v>4309</v>
      </c>
      <c r="B2786">
        <v>0</v>
      </c>
      <c r="C2786">
        <v>0</v>
      </c>
      <c r="D2786">
        <v>0</v>
      </c>
      <c r="E2786">
        <v>0</v>
      </c>
      <c r="F2786">
        <v>0</v>
      </c>
      <c r="G2786">
        <v>0</v>
      </c>
    </row>
    <row r="2787" spans="1:7" x14ac:dyDescent="0.2">
      <c r="A2787" t="s">
        <v>4310</v>
      </c>
      <c r="B2787">
        <v>0</v>
      </c>
      <c r="C2787">
        <v>0</v>
      </c>
      <c r="D2787">
        <v>0</v>
      </c>
      <c r="E2787">
        <v>0</v>
      </c>
      <c r="F2787">
        <v>0</v>
      </c>
      <c r="G2787">
        <v>0</v>
      </c>
    </row>
    <row r="2788" spans="1:7" x14ac:dyDescent="0.2">
      <c r="A2788" t="s">
        <v>4311</v>
      </c>
      <c r="B2788">
        <v>0</v>
      </c>
      <c r="C2788">
        <v>0</v>
      </c>
      <c r="D2788">
        <v>0</v>
      </c>
      <c r="E2788">
        <v>0</v>
      </c>
      <c r="F2788">
        <v>0</v>
      </c>
      <c r="G2788">
        <v>0</v>
      </c>
    </row>
    <row r="2789" spans="1:7" x14ac:dyDescent="0.2">
      <c r="A2789" t="s">
        <v>4312</v>
      </c>
      <c r="B2789">
        <v>0</v>
      </c>
      <c r="C2789">
        <v>0</v>
      </c>
      <c r="D2789">
        <v>0</v>
      </c>
      <c r="E2789">
        <v>0</v>
      </c>
      <c r="F2789">
        <v>0</v>
      </c>
      <c r="G2789">
        <v>0</v>
      </c>
    </row>
    <row r="2790" spans="1:7" x14ac:dyDescent="0.2">
      <c r="A2790" t="s">
        <v>4313</v>
      </c>
      <c r="B2790">
        <v>0</v>
      </c>
      <c r="C2790">
        <v>0</v>
      </c>
      <c r="D2790">
        <v>0</v>
      </c>
      <c r="E2790">
        <v>0</v>
      </c>
      <c r="F2790">
        <v>0</v>
      </c>
      <c r="G2790">
        <v>0</v>
      </c>
    </row>
    <row r="2791" spans="1:7" x14ac:dyDescent="0.2">
      <c r="A2791" t="s">
        <v>4314</v>
      </c>
      <c r="B2791">
        <v>0</v>
      </c>
      <c r="C2791">
        <v>0</v>
      </c>
      <c r="D2791">
        <v>0</v>
      </c>
      <c r="E2791">
        <v>0</v>
      </c>
      <c r="F2791">
        <v>0</v>
      </c>
      <c r="G2791">
        <v>0</v>
      </c>
    </row>
    <row r="2792" spans="1:7" x14ac:dyDescent="0.2">
      <c r="A2792" t="s">
        <v>4315</v>
      </c>
      <c r="B2792">
        <v>0</v>
      </c>
      <c r="C2792">
        <v>0</v>
      </c>
      <c r="D2792">
        <v>0</v>
      </c>
      <c r="E2792">
        <v>0</v>
      </c>
      <c r="F2792">
        <v>0</v>
      </c>
      <c r="G2792">
        <v>0</v>
      </c>
    </row>
    <row r="2793" spans="1:7" x14ac:dyDescent="0.2">
      <c r="A2793" t="s">
        <v>4316</v>
      </c>
      <c r="B2793">
        <v>0</v>
      </c>
      <c r="C2793">
        <v>0</v>
      </c>
      <c r="D2793">
        <v>0</v>
      </c>
      <c r="E2793">
        <v>0</v>
      </c>
      <c r="F2793">
        <v>0</v>
      </c>
      <c r="G2793">
        <v>0</v>
      </c>
    </row>
    <row r="2794" spans="1:7" x14ac:dyDescent="0.2">
      <c r="A2794" t="s">
        <v>4317</v>
      </c>
      <c r="B2794">
        <v>0</v>
      </c>
      <c r="C2794">
        <v>0</v>
      </c>
      <c r="D2794">
        <v>0</v>
      </c>
      <c r="E2794">
        <v>0</v>
      </c>
      <c r="F2794">
        <v>0</v>
      </c>
      <c r="G2794">
        <v>0</v>
      </c>
    </row>
    <row r="2795" spans="1:7" x14ac:dyDescent="0.2">
      <c r="A2795" t="s">
        <v>4318</v>
      </c>
      <c r="B2795">
        <v>0</v>
      </c>
      <c r="C2795">
        <v>0</v>
      </c>
      <c r="D2795">
        <v>0</v>
      </c>
      <c r="E2795">
        <v>0</v>
      </c>
      <c r="F2795">
        <v>0</v>
      </c>
      <c r="G2795">
        <v>0</v>
      </c>
    </row>
    <row r="2796" spans="1:7" x14ac:dyDescent="0.2">
      <c r="A2796" t="s">
        <v>4319</v>
      </c>
      <c r="B2796">
        <v>0</v>
      </c>
      <c r="C2796">
        <v>0</v>
      </c>
      <c r="D2796">
        <v>0</v>
      </c>
      <c r="E2796">
        <v>0</v>
      </c>
      <c r="F2796">
        <v>0</v>
      </c>
      <c r="G2796">
        <v>0</v>
      </c>
    </row>
    <row r="2797" spans="1:7" x14ac:dyDescent="0.2">
      <c r="A2797" t="s">
        <v>4320</v>
      </c>
      <c r="B2797">
        <v>0</v>
      </c>
      <c r="C2797">
        <v>0</v>
      </c>
      <c r="D2797">
        <v>0</v>
      </c>
      <c r="E2797">
        <v>0</v>
      </c>
      <c r="F2797">
        <v>0</v>
      </c>
      <c r="G2797">
        <v>0</v>
      </c>
    </row>
    <row r="2798" spans="1:7" x14ac:dyDescent="0.2">
      <c r="A2798" t="s">
        <v>4321</v>
      </c>
      <c r="B2798">
        <v>0</v>
      </c>
      <c r="C2798">
        <v>0</v>
      </c>
      <c r="D2798">
        <v>0</v>
      </c>
      <c r="E2798">
        <v>0</v>
      </c>
      <c r="F2798">
        <v>0</v>
      </c>
      <c r="G2798">
        <v>0</v>
      </c>
    </row>
    <row r="2799" spans="1:7" x14ac:dyDescent="0.2">
      <c r="A2799" t="s">
        <v>4322</v>
      </c>
      <c r="B2799">
        <v>0</v>
      </c>
      <c r="C2799">
        <v>0</v>
      </c>
      <c r="D2799">
        <v>0</v>
      </c>
      <c r="E2799">
        <v>0</v>
      </c>
      <c r="F2799">
        <v>0</v>
      </c>
      <c r="G2799">
        <v>0</v>
      </c>
    </row>
    <row r="2800" spans="1:7" x14ac:dyDescent="0.2">
      <c r="A2800" t="s">
        <v>4323</v>
      </c>
      <c r="B2800">
        <v>0</v>
      </c>
      <c r="C2800">
        <v>0</v>
      </c>
      <c r="D2800">
        <v>0</v>
      </c>
      <c r="E2800">
        <v>0</v>
      </c>
      <c r="F2800">
        <v>0</v>
      </c>
      <c r="G2800">
        <v>0</v>
      </c>
    </row>
    <row r="2801" spans="1:7" x14ac:dyDescent="0.2">
      <c r="A2801" t="s">
        <v>4324</v>
      </c>
      <c r="B2801">
        <v>0</v>
      </c>
      <c r="C2801">
        <v>0</v>
      </c>
      <c r="D2801">
        <v>0</v>
      </c>
      <c r="E2801">
        <v>0</v>
      </c>
      <c r="F2801">
        <v>0</v>
      </c>
      <c r="G2801">
        <v>0</v>
      </c>
    </row>
    <row r="2802" spans="1:7" x14ac:dyDescent="0.2">
      <c r="A2802" t="s">
        <v>4325</v>
      </c>
      <c r="B2802">
        <v>0</v>
      </c>
      <c r="C2802">
        <v>0</v>
      </c>
      <c r="D2802">
        <v>0</v>
      </c>
      <c r="E2802">
        <v>0</v>
      </c>
      <c r="F2802">
        <v>0</v>
      </c>
      <c r="G2802">
        <v>0</v>
      </c>
    </row>
    <row r="2803" spans="1:7" x14ac:dyDescent="0.2">
      <c r="A2803" t="s">
        <v>4326</v>
      </c>
      <c r="B2803">
        <v>0</v>
      </c>
      <c r="C2803">
        <v>0</v>
      </c>
      <c r="D2803">
        <v>0</v>
      </c>
      <c r="E2803">
        <v>0</v>
      </c>
      <c r="F2803">
        <v>0</v>
      </c>
      <c r="G2803">
        <v>0</v>
      </c>
    </row>
    <row r="2804" spans="1:7" x14ac:dyDescent="0.2">
      <c r="A2804" t="s">
        <v>4327</v>
      </c>
      <c r="B2804">
        <v>0</v>
      </c>
      <c r="C2804">
        <v>0</v>
      </c>
      <c r="D2804">
        <v>0</v>
      </c>
      <c r="E2804">
        <v>3</v>
      </c>
      <c r="F2804">
        <v>0</v>
      </c>
      <c r="G2804">
        <v>3</v>
      </c>
    </row>
    <row r="2805" spans="1:7" x14ac:dyDescent="0.2">
      <c r="A2805" t="s">
        <v>4328</v>
      </c>
      <c r="B2805">
        <v>0</v>
      </c>
      <c r="C2805">
        <v>0</v>
      </c>
      <c r="D2805">
        <v>0</v>
      </c>
      <c r="E2805">
        <v>0</v>
      </c>
      <c r="F2805">
        <v>0</v>
      </c>
      <c r="G2805">
        <v>0</v>
      </c>
    </row>
    <row r="2806" spans="1:7" x14ac:dyDescent="0.2">
      <c r="A2806" t="s">
        <v>4329</v>
      </c>
      <c r="B2806">
        <v>0</v>
      </c>
      <c r="C2806">
        <v>0</v>
      </c>
      <c r="D2806">
        <v>0</v>
      </c>
      <c r="E2806">
        <v>0</v>
      </c>
      <c r="F2806">
        <v>0</v>
      </c>
      <c r="G2806">
        <v>0</v>
      </c>
    </row>
    <row r="2807" spans="1:7" x14ac:dyDescent="0.2">
      <c r="A2807" t="s">
        <v>4330</v>
      </c>
      <c r="B2807">
        <v>0</v>
      </c>
      <c r="C2807">
        <v>0</v>
      </c>
      <c r="D2807">
        <v>0</v>
      </c>
      <c r="E2807">
        <v>0</v>
      </c>
      <c r="F2807">
        <v>0</v>
      </c>
      <c r="G2807">
        <v>0</v>
      </c>
    </row>
    <row r="2808" spans="1:7" x14ac:dyDescent="0.2">
      <c r="A2808" t="s">
        <v>4331</v>
      </c>
      <c r="B2808">
        <v>0</v>
      </c>
      <c r="C2808">
        <v>0</v>
      </c>
      <c r="D2808">
        <v>0</v>
      </c>
      <c r="E2808">
        <v>0</v>
      </c>
      <c r="F2808">
        <v>0</v>
      </c>
      <c r="G2808">
        <v>0</v>
      </c>
    </row>
    <row r="2809" spans="1:7" x14ac:dyDescent="0.2">
      <c r="A2809" t="s">
        <v>4332</v>
      </c>
      <c r="B2809">
        <v>0</v>
      </c>
      <c r="C2809">
        <v>0</v>
      </c>
      <c r="D2809">
        <v>0</v>
      </c>
      <c r="E2809">
        <v>0</v>
      </c>
      <c r="F2809">
        <v>0</v>
      </c>
      <c r="G2809">
        <v>0</v>
      </c>
    </row>
    <row r="2810" spans="1:7" x14ac:dyDescent="0.2">
      <c r="A2810" t="s">
        <v>4333</v>
      </c>
      <c r="B2810">
        <v>0</v>
      </c>
      <c r="C2810">
        <v>0</v>
      </c>
      <c r="D2810">
        <v>0</v>
      </c>
      <c r="E2810">
        <v>0</v>
      </c>
      <c r="F2810">
        <v>0</v>
      </c>
      <c r="G2810">
        <v>0</v>
      </c>
    </row>
    <row r="2811" spans="1:7" x14ac:dyDescent="0.2">
      <c r="A2811" t="s">
        <v>4334</v>
      </c>
      <c r="B2811">
        <v>0</v>
      </c>
      <c r="C2811">
        <v>0</v>
      </c>
      <c r="D2811">
        <v>0</v>
      </c>
      <c r="E2811">
        <v>0</v>
      </c>
      <c r="F2811">
        <v>1483</v>
      </c>
      <c r="G2811">
        <v>1483</v>
      </c>
    </row>
    <row r="2812" spans="1:7" x14ac:dyDescent="0.2">
      <c r="A2812" t="s">
        <v>4335</v>
      </c>
      <c r="B2812">
        <v>0</v>
      </c>
      <c r="C2812">
        <v>0</v>
      </c>
      <c r="D2812">
        <v>0</v>
      </c>
      <c r="E2812">
        <v>371</v>
      </c>
      <c r="F2812">
        <v>936</v>
      </c>
      <c r="G2812">
        <v>1308</v>
      </c>
    </row>
    <row r="2813" spans="1:7" x14ac:dyDescent="0.2">
      <c r="A2813" t="s">
        <v>4336</v>
      </c>
      <c r="B2813">
        <v>0</v>
      </c>
      <c r="C2813">
        <v>0</v>
      </c>
      <c r="D2813">
        <v>0</v>
      </c>
      <c r="E2813">
        <v>0</v>
      </c>
      <c r="F2813">
        <v>0</v>
      </c>
      <c r="G2813">
        <v>0</v>
      </c>
    </row>
    <row r="2814" spans="1:7" x14ac:dyDescent="0.2">
      <c r="A2814" t="s">
        <v>4337</v>
      </c>
      <c r="B2814">
        <v>0</v>
      </c>
      <c r="C2814">
        <v>0</v>
      </c>
      <c r="D2814">
        <v>0</v>
      </c>
      <c r="E2814">
        <v>0</v>
      </c>
      <c r="F2814">
        <v>0</v>
      </c>
      <c r="G2814">
        <v>0</v>
      </c>
    </row>
    <row r="2815" spans="1:7" x14ac:dyDescent="0.2">
      <c r="A2815" t="s">
        <v>4338</v>
      </c>
      <c r="B2815">
        <v>0</v>
      </c>
      <c r="C2815">
        <v>0</v>
      </c>
      <c r="D2815">
        <v>0</v>
      </c>
      <c r="E2815">
        <v>9</v>
      </c>
      <c r="F2815">
        <v>52</v>
      </c>
      <c r="G2815">
        <v>61</v>
      </c>
    </row>
    <row r="2816" spans="1:7" x14ac:dyDescent="0.2">
      <c r="A2816" t="s">
        <v>4339</v>
      </c>
      <c r="B2816">
        <v>0</v>
      </c>
      <c r="C2816">
        <v>0</v>
      </c>
      <c r="D2816">
        <v>0</v>
      </c>
      <c r="E2816">
        <v>0</v>
      </c>
      <c r="F2816">
        <v>0</v>
      </c>
      <c r="G2816">
        <v>0</v>
      </c>
    </row>
    <row r="2817" spans="1:7" x14ac:dyDescent="0.2">
      <c r="A2817" t="s">
        <v>4340</v>
      </c>
      <c r="B2817">
        <v>0</v>
      </c>
      <c r="C2817">
        <v>0</v>
      </c>
      <c r="D2817">
        <v>0</v>
      </c>
      <c r="E2817">
        <v>0</v>
      </c>
      <c r="F2817">
        <v>0</v>
      </c>
      <c r="G2817">
        <v>0</v>
      </c>
    </row>
    <row r="2818" spans="1:7" x14ac:dyDescent="0.2">
      <c r="A2818" t="s">
        <v>4341</v>
      </c>
      <c r="B2818">
        <v>0</v>
      </c>
      <c r="C2818">
        <v>0</v>
      </c>
      <c r="D2818">
        <v>0</v>
      </c>
      <c r="E2818">
        <v>0</v>
      </c>
      <c r="F2818">
        <v>0</v>
      </c>
      <c r="G2818">
        <v>0</v>
      </c>
    </row>
    <row r="2819" spans="1:7" x14ac:dyDescent="0.2">
      <c r="A2819" t="s">
        <v>4342</v>
      </c>
      <c r="B2819">
        <v>0</v>
      </c>
      <c r="C2819">
        <v>0</v>
      </c>
      <c r="D2819">
        <v>0</v>
      </c>
      <c r="E2819">
        <v>0</v>
      </c>
      <c r="F2819">
        <v>0</v>
      </c>
      <c r="G2819">
        <v>0</v>
      </c>
    </row>
    <row r="2820" spans="1:7" x14ac:dyDescent="0.2">
      <c r="A2820" t="s">
        <v>4343</v>
      </c>
      <c r="B2820">
        <v>0</v>
      </c>
      <c r="C2820">
        <v>0</v>
      </c>
      <c r="D2820">
        <v>0</v>
      </c>
      <c r="E2820">
        <v>0</v>
      </c>
      <c r="F2820">
        <v>0</v>
      </c>
      <c r="G2820">
        <v>0</v>
      </c>
    </row>
    <row r="2821" spans="1:7" x14ac:dyDescent="0.2">
      <c r="A2821" t="s">
        <v>1728</v>
      </c>
      <c r="B2821">
        <v>0</v>
      </c>
      <c r="C2821">
        <v>0</v>
      </c>
      <c r="D2821">
        <v>0</v>
      </c>
      <c r="E2821">
        <v>0</v>
      </c>
      <c r="F2821">
        <v>0</v>
      </c>
      <c r="G2821">
        <v>0</v>
      </c>
    </row>
    <row r="2822" spans="1:7" x14ac:dyDescent="0.2">
      <c r="A2822" t="s">
        <v>1730</v>
      </c>
      <c r="B2822">
        <v>0</v>
      </c>
      <c r="C2822">
        <v>0</v>
      </c>
      <c r="D2822">
        <v>1</v>
      </c>
      <c r="E2822">
        <v>0</v>
      </c>
      <c r="F2822">
        <v>17</v>
      </c>
      <c r="G2822">
        <v>18</v>
      </c>
    </row>
    <row r="2823" spans="1:7" x14ac:dyDescent="0.2">
      <c r="A2823" t="s">
        <v>1733</v>
      </c>
      <c r="B2823">
        <v>0</v>
      </c>
      <c r="C2823">
        <v>0</v>
      </c>
      <c r="D2823">
        <v>0</v>
      </c>
      <c r="E2823">
        <v>0</v>
      </c>
      <c r="F2823">
        <v>0</v>
      </c>
      <c r="G2823">
        <v>0</v>
      </c>
    </row>
    <row r="2824" spans="1:7" x14ac:dyDescent="0.2">
      <c r="A2824" t="s">
        <v>1738</v>
      </c>
      <c r="B2824">
        <v>0</v>
      </c>
      <c r="C2824">
        <v>0</v>
      </c>
      <c r="D2824">
        <v>0</v>
      </c>
      <c r="E2824">
        <v>0</v>
      </c>
      <c r="F2824">
        <v>0</v>
      </c>
      <c r="G2824">
        <v>0</v>
      </c>
    </row>
    <row r="2825" spans="1:7" x14ac:dyDescent="0.2">
      <c r="A2825" t="s">
        <v>1744</v>
      </c>
      <c r="B2825">
        <v>0</v>
      </c>
      <c r="C2825">
        <v>0</v>
      </c>
      <c r="D2825">
        <v>0</v>
      </c>
      <c r="E2825">
        <v>0</v>
      </c>
      <c r="F2825">
        <v>0</v>
      </c>
      <c r="G2825">
        <v>0</v>
      </c>
    </row>
    <row r="2826" spans="1:7" x14ac:dyDescent="0.2">
      <c r="A2826" t="s">
        <v>1747</v>
      </c>
      <c r="B2826">
        <v>0</v>
      </c>
      <c r="C2826">
        <v>0</v>
      </c>
      <c r="D2826">
        <v>0</v>
      </c>
      <c r="E2826">
        <v>0</v>
      </c>
      <c r="F2826">
        <v>0</v>
      </c>
      <c r="G2826">
        <v>0</v>
      </c>
    </row>
    <row r="2827" spans="1:7" x14ac:dyDescent="0.2">
      <c r="A2827" t="s">
        <v>1751</v>
      </c>
      <c r="B2827">
        <v>0</v>
      </c>
      <c r="C2827">
        <v>0</v>
      </c>
      <c r="D2827">
        <v>0</v>
      </c>
      <c r="E2827">
        <v>0</v>
      </c>
      <c r="F2827">
        <v>0</v>
      </c>
      <c r="G2827">
        <v>0</v>
      </c>
    </row>
    <row r="2828" spans="1:7" x14ac:dyDescent="0.2">
      <c r="A2828" t="s">
        <v>1755</v>
      </c>
      <c r="B2828">
        <v>0</v>
      </c>
      <c r="C2828">
        <v>0</v>
      </c>
      <c r="D2828">
        <v>0</v>
      </c>
      <c r="E2828">
        <v>0</v>
      </c>
      <c r="F2828">
        <v>0</v>
      </c>
      <c r="G2828">
        <v>0</v>
      </c>
    </row>
    <row r="2829" spans="1:7" x14ac:dyDescent="0.2">
      <c r="A2829" t="s">
        <v>1757</v>
      </c>
      <c r="B2829">
        <v>0</v>
      </c>
      <c r="C2829">
        <v>0</v>
      </c>
      <c r="D2829">
        <v>0</v>
      </c>
      <c r="E2829">
        <v>0</v>
      </c>
      <c r="F2829">
        <v>0</v>
      </c>
      <c r="G2829">
        <v>0</v>
      </c>
    </row>
    <row r="2830" spans="1:7" x14ac:dyDescent="0.2">
      <c r="A2830" t="s">
        <v>1761</v>
      </c>
      <c r="B2830">
        <v>0</v>
      </c>
      <c r="C2830">
        <v>0</v>
      </c>
      <c r="D2830">
        <v>0</v>
      </c>
      <c r="E2830">
        <v>0</v>
      </c>
      <c r="F2830">
        <v>0</v>
      </c>
      <c r="G2830">
        <v>0</v>
      </c>
    </row>
    <row r="2831" spans="1:7" x14ac:dyDescent="0.2">
      <c r="A2831" t="s">
        <v>1764</v>
      </c>
      <c r="B2831">
        <v>0</v>
      </c>
      <c r="C2831">
        <v>0</v>
      </c>
      <c r="D2831">
        <v>0</v>
      </c>
      <c r="E2831">
        <v>0</v>
      </c>
      <c r="F2831">
        <v>0</v>
      </c>
      <c r="G2831">
        <v>0</v>
      </c>
    </row>
    <row r="2832" spans="1:7" x14ac:dyDescent="0.2">
      <c r="A2832" t="s">
        <v>1770</v>
      </c>
      <c r="B2832">
        <v>0</v>
      </c>
      <c r="C2832">
        <v>1</v>
      </c>
      <c r="D2832">
        <v>2</v>
      </c>
      <c r="E2832">
        <v>8</v>
      </c>
      <c r="F2832">
        <v>0</v>
      </c>
      <c r="G2832">
        <v>11</v>
      </c>
    </row>
    <row r="2833" spans="1:7" x14ac:dyDescent="0.2">
      <c r="A2833" t="s">
        <v>1772</v>
      </c>
      <c r="B2833">
        <v>0</v>
      </c>
      <c r="C2833">
        <v>0</v>
      </c>
      <c r="D2833">
        <v>0</v>
      </c>
      <c r="E2833">
        <v>1</v>
      </c>
      <c r="F2833">
        <v>0</v>
      </c>
      <c r="G2833">
        <v>1</v>
      </c>
    </row>
    <row r="2834" spans="1:7" x14ac:dyDescent="0.2">
      <c r="A2834" t="s">
        <v>1774</v>
      </c>
      <c r="B2834">
        <v>0</v>
      </c>
      <c r="C2834">
        <v>0</v>
      </c>
      <c r="D2834">
        <v>0</v>
      </c>
      <c r="E2834">
        <v>11</v>
      </c>
      <c r="F2834">
        <v>0</v>
      </c>
      <c r="G2834">
        <v>11</v>
      </c>
    </row>
    <row r="2835" spans="1:7" x14ac:dyDescent="0.2">
      <c r="A2835" t="s">
        <v>1777</v>
      </c>
      <c r="B2835">
        <v>0</v>
      </c>
      <c r="C2835">
        <v>0</v>
      </c>
      <c r="D2835">
        <v>0</v>
      </c>
      <c r="E2835">
        <v>0</v>
      </c>
      <c r="F2835">
        <v>0</v>
      </c>
      <c r="G2835">
        <v>0</v>
      </c>
    </row>
    <row r="2836" spans="1:7" x14ac:dyDescent="0.2">
      <c r="A2836" t="s">
        <v>1782</v>
      </c>
      <c r="B2836">
        <v>0</v>
      </c>
      <c r="C2836">
        <v>0</v>
      </c>
      <c r="D2836">
        <v>0</v>
      </c>
      <c r="E2836">
        <v>0</v>
      </c>
      <c r="F2836">
        <v>0</v>
      </c>
      <c r="G2836">
        <v>0</v>
      </c>
    </row>
    <row r="2837" spans="1:7" x14ac:dyDescent="0.2">
      <c r="A2837" t="s">
        <v>1274</v>
      </c>
      <c r="B2837">
        <v>0</v>
      </c>
      <c r="C2837">
        <v>0</v>
      </c>
      <c r="D2837">
        <v>0</v>
      </c>
      <c r="E2837">
        <v>0</v>
      </c>
      <c r="F2837">
        <v>0</v>
      </c>
      <c r="G2837">
        <v>0</v>
      </c>
    </row>
    <row r="2838" spans="1:7" x14ac:dyDescent="0.2">
      <c r="A2838" t="s">
        <v>1277</v>
      </c>
      <c r="B2838">
        <v>0</v>
      </c>
      <c r="C2838">
        <v>0</v>
      </c>
      <c r="D2838">
        <v>0</v>
      </c>
      <c r="E2838">
        <v>0</v>
      </c>
      <c r="F2838">
        <v>0</v>
      </c>
      <c r="G2838">
        <v>0</v>
      </c>
    </row>
    <row r="2839" spans="1:7" x14ac:dyDescent="0.2">
      <c r="A2839" t="s">
        <v>1798</v>
      </c>
      <c r="B2839">
        <v>0</v>
      </c>
      <c r="C2839">
        <v>0</v>
      </c>
      <c r="D2839">
        <v>0</v>
      </c>
      <c r="E2839">
        <v>0</v>
      </c>
      <c r="F2839">
        <v>0</v>
      </c>
      <c r="G2839">
        <v>0</v>
      </c>
    </row>
    <row r="2840" spans="1:7" x14ac:dyDescent="0.2">
      <c r="A2840" t="s">
        <v>1803</v>
      </c>
      <c r="B2840">
        <v>0</v>
      </c>
      <c r="C2840">
        <v>0</v>
      </c>
      <c r="D2840">
        <v>0</v>
      </c>
      <c r="E2840">
        <v>0</v>
      </c>
      <c r="F2840">
        <v>0</v>
      </c>
      <c r="G2840">
        <v>0</v>
      </c>
    </row>
    <row r="2841" spans="1:7" x14ac:dyDescent="0.2">
      <c r="A2841" t="s">
        <v>1808</v>
      </c>
      <c r="B2841">
        <v>0</v>
      </c>
      <c r="C2841">
        <v>0</v>
      </c>
      <c r="D2841">
        <v>0</v>
      </c>
      <c r="E2841">
        <v>0</v>
      </c>
      <c r="F2841">
        <v>0</v>
      </c>
      <c r="G2841">
        <v>0</v>
      </c>
    </row>
    <row r="2842" spans="1:7" x14ac:dyDescent="0.2">
      <c r="A2842" t="s">
        <v>1813</v>
      </c>
      <c r="B2842">
        <v>0</v>
      </c>
      <c r="C2842">
        <v>0</v>
      </c>
      <c r="D2842">
        <v>0</v>
      </c>
      <c r="E2842">
        <v>0</v>
      </c>
      <c r="F2842">
        <v>0</v>
      </c>
      <c r="G2842">
        <v>0</v>
      </c>
    </row>
    <row r="2843" spans="1:7" x14ac:dyDescent="0.2">
      <c r="A2843" t="s">
        <v>1819</v>
      </c>
      <c r="B2843">
        <v>0</v>
      </c>
      <c r="C2843">
        <v>0</v>
      </c>
      <c r="D2843">
        <v>0</v>
      </c>
      <c r="E2843">
        <v>0</v>
      </c>
      <c r="F2843">
        <v>0</v>
      </c>
      <c r="G2843">
        <v>0</v>
      </c>
    </row>
    <row r="2844" spans="1:7" x14ac:dyDescent="0.2">
      <c r="A2844" t="s">
        <v>1826</v>
      </c>
      <c r="B2844">
        <v>0</v>
      </c>
      <c r="C2844">
        <v>0</v>
      </c>
      <c r="D2844">
        <v>0</v>
      </c>
      <c r="E2844">
        <v>0</v>
      </c>
      <c r="F2844">
        <v>0</v>
      </c>
      <c r="G2844">
        <v>0</v>
      </c>
    </row>
    <row r="2845" spans="1:7" x14ac:dyDescent="0.2">
      <c r="A2845" t="s">
        <v>1830</v>
      </c>
      <c r="B2845">
        <v>0</v>
      </c>
      <c r="C2845">
        <v>0</v>
      </c>
      <c r="D2845">
        <v>0</v>
      </c>
      <c r="E2845">
        <v>0</v>
      </c>
      <c r="F2845">
        <v>0</v>
      </c>
      <c r="G2845">
        <v>0</v>
      </c>
    </row>
    <row r="2846" spans="1:7" x14ac:dyDescent="0.2">
      <c r="A2846" t="s">
        <v>1836</v>
      </c>
      <c r="B2846">
        <v>0</v>
      </c>
      <c r="C2846">
        <v>0</v>
      </c>
      <c r="D2846">
        <v>0</v>
      </c>
      <c r="E2846">
        <v>0</v>
      </c>
      <c r="F2846">
        <v>0</v>
      </c>
      <c r="G2846">
        <v>0</v>
      </c>
    </row>
    <row r="2847" spans="1:7" x14ac:dyDescent="0.2">
      <c r="A2847" t="s">
        <v>1841</v>
      </c>
      <c r="B2847">
        <v>0</v>
      </c>
      <c r="C2847">
        <v>0</v>
      </c>
      <c r="D2847">
        <v>0</v>
      </c>
      <c r="E2847">
        <v>0</v>
      </c>
      <c r="F2847">
        <v>0</v>
      </c>
      <c r="G2847">
        <v>0</v>
      </c>
    </row>
    <row r="2848" spans="1:7" x14ac:dyDescent="0.2">
      <c r="A2848" t="s">
        <v>1842</v>
      </c>
      <c r="B2848">
        <v>0</v>
      </c>
      <c r="C2848">
        <v>0</v>
      </c>
      <c r="D2848">
        <v>0</v>
      </c>
      <c r="E2848">
        <v>0</v>
      </c>
      <c r="F2848">
        <v>0</v>
      </c>
      <c r="G2848">
        <v>0</v>
      </c>
    </row>
    <row r="2849" spans="1:7" x14ac:dyDescent="0.2">
      <c r="A2849" t="s">
        <v>1843</v>
      </c>
      <c r="B2849">
        <v>0</v>
      </c>
      <c r="C2849">
        <v>0</v>
      </c>
      <c r="D2849">
        <v>0</v>
      </c>
      <c r="E2849">
        <v>0</v>
      </c>
      <c r="F2849">
        <v>0</v>
      </c>
      <c r="G2849">
        <v>0</v>
      </c>
    </row>
    <row r="2850" spans="1:7" x14ac:dyDescent="0.2">
      <c r="A2850" t="s">
        <v>1846</v>
      </c>
      <c r="B2850">
        <v>0</v>
      </c>
      <c r="C2850">
        <v>0</v>
      </c>
      <c r="D2850">
        <v>0</v>
      </c>
      <c r="E2850">
        <v>0</v>
      </c>
      <c r="F2850">
        <v>0</v>
      </c>
      <c r="G2850">
        <v>0</v>
      </c>
    </row>
    <row r="2851" spans="1:7" x14ac:dyDescent="0.2">
      <c r="A2851" t="s">
        <v>1851</v>
      </c>
      <c r="B2851">
        <v>0</v>
      </c>
      <c r="C2851">
        <v>0</v>
      </c>
      <c r="D2851">
        <v>0</v>
      </c>
      <c r="E2851">
        <v>0</v>
      </c>
      <c r="F2851">
        <v>0</v>
      </c>
      <c r="G2851">
        <v>0</v>
      </c>
    </row>
    <row r="2852" spans="1:7" x14ac:dyDescent="0.2">
      <c r="A2852" t="s">
        <v>1857</v>
      </c>
      <c r="B2852">
        <v>0</v>
      </c>
      <c r="C2852">
        <v>0</v>
      </c>
      <c r="D2852">
        <v>0</v>
      </c>
      <c r="E2852">
        <v>0</v>
      </c>
      <c r="F2852">
        <v>0</v>
      </c>
      <c r="G2852">
        <v>0</v>
      </c>
    </row>
    <row r="2853" spans="1:7" x14ac:dyDescent="0.2">
      <c r="A2853" t="s">
        <v>1862</v>
      </c>
      <c r="B2853">
        <v>0</v>
      </c>
      <c r="C2853">
        <v>0</v>
      </c>
      <c r="D2853">
        <v>0</v>
      </c>
      <c r="E2853">
        <v>0</v>
      </c>
      <c r="F2853">
        <v>0</v>
      </c>
      <c r="G2853">
        <v>0</v>
      </c>
    </row>
    <row r="2854" spans="1:7" x14ac:dyDescent="0.2">
      <c r="A2854" t="s">
        <v>1867</v>
      </c>
      <c r="B2854">
        <v>0</v>
      </c>
      <c r="C2854">
        <v>0</v>
      </c>
      <c r="D2854">
        <v>0</v>
      </c>
      <c r="E2854">
        <v>0</v>
      </c>
      <c r="F2854">
        <v>0</v>
      </c>
      <c r="G2854">
        <v>0</v>
      </c>
    </row>
    <row r="2855" spans="1:7" x14ac:dyDescent="0.2">
      <c r="A2855" t="s">
        <v>1870</v>
      </c>
      <c r="B2855">
        <v>0</v>
      </c>
      <c r="C2855">
        <v>0</v>
      </c>
      <c r="D2855">
        <v>0</v>
      </c>
      <c r="E2855">
        <v>0</v>
      </c>
      <c r="F2855">
        <v>0</v>
      </c>
      <c r="G2855">
        <v>0</v>
      </c>
    </row>
    <row r="2856" spans="1:7" x14ac:dyDescent="0.2">
      <c r="A2856" t="s">
        <v>1874</v>
      </c>
      <c r="B2856">
        <v>0</v>
      </c>
      <c r="C2856">
        <v>0</v>
      </c>
      <c r="D2856">
        <v>0</v>
      </c>
      <c r="E2856">
        <v>0</v>
      </c>
      <c r="F2856">
        <v>0</v>
      </c>
      <c r="G2856">
        <v>0</v>
      </c>
    </row>
    <row r="2857" spans="1:7" x14ac:dyDescent="0.2">
      <c r="A2857" t="s">
        <v>1876</v>
      </c>
      <c r="B2857">
        <v>0</v>
      </c>
      <c r="C2857">
        <v>0</v>
      </c>
      <c r="D2857">
        <v>0</v>
      </c>
      <c r="E2857">
        <v>0</v>
      </c>
      <c r="F2857">
        <v>0</v>
      </c>
      <c r="G2857">
        <v>0</v>
      </c>
    </row>
    <row r="2858" spans="1:7" x14ac:dyDescent="0.2">
      <c r="A2858" t="s">
        <v>1881</v>
      </c>
      <c r="B2858">
        <v>0</v>
      </c>
      <c r="C2858">
        <v>0</v>
      </c>
      <c r="D2858">
        <v>0</v>
      </c>
      <c r="E2858">
        <v>0</v>
      </c>
      <c r="F2858">
        <v>0</v>
      </c>
      <c r="G2858">
        <v>0</v>
      </c>
    </row>
    <row r="2859" spans="1:7" x14ac:dyDescent="0.2">
      <c r="A2859" t="s">
        <v>1885</v>
      </c>
      <c r="B2859">
        <v>0</v>
      </c>
      <c r="C2859">
        <v>0</v>
      </c>
      <c r="D2859">
        <v>0</v>
      </c>
      <c r="E2859">
        <v>0</v>
      </c>
      <c r="F2859">
        <v>0</v>
      </c>
      <c r="G2859">
        <v>0</v>
      </c>
    </row>
    <row r="2860" spans="1:7" x14ac:dyDescent="0.2">
      <c r="A2860" t="s">
        <v>1887</v>
      </c>
      <c r="B2860">
        <v>0</v>
      </c>
      <c r="C2860">
        <v>0</v>
      </c>
      <c r="D2860">
        <v>0</v>
      </c>
      <c r="E2860">
        <v>0</v>
      </c>
      <c r="F2860">
        <v>0</v>
      </c>
      <c r="G2860">
        <v>0</v>
      </c>
    </row>
    <row r="2861" spans="1:7" x14ac:dyDescent="0.2">
      <c r="A2861" t="s">
        <v>1893</v>
      </c>
      <c r="B2861">
        <v>0</v>
      </c>
      <c r="C2861">
        <v>0</v>
      </c>
      <c r="D2861">
        <v>0</v>
      </c>
      <c r="E2861">
        <v>0</v>
      </c>
      <c r="F2861">
        <v>0</v>
      </c>
      <c r="G2861">
        <v>0</v>
      </c>
    </row>
    <row r="2862" spans="1:7" x14ac:dyDescent="0.2">
      <c r="A2862" t="s">
        <v>1899</v>
      </c>
      <c r="B2862">
        <v>0</v>
      </c>
      <c r="C2862">
        <v>0</v>
      </c>
      <c r="D2862">
        <v>0</v>
      </c>
      <c r="E2862">
        <v>0</v>
      </c>
      <c r="F2862">
        <v>0</v>
      </c>
      <c r="G2862">
        <v>0</v>
      </c>
    </row>
    <row r="2863" spans="1:7" x14ac:dyDescent="0.2">
      <c r="A2863" t="s">
        <v>1906</v>
      </c>
      <c r="B2863">
        <v>0</v>
      </c>
      <c r="C2863">
        <v>0</v>
      </c>
      <c r="D2863">
        <v>0</v>
      </c>
      <c r="E2863">
        <v>0</v>
      </c>
      <c r="F2863">
        <v>0</v>
      </c>
      <c r="G2863">
        <v>0</v>
      </c>
    </row>
    <row r="2864" spans="1:7" x14ac:dyDescent="0.2">
      <c r="A2864" t="s">
        <v>1911</v>
      </c>
      <c r="B2864">
        <v>0</v>
      </c>
      <c r="C2864">
        <v>0</v>
      </c>
      <c r="D2864">
        <v>0</v>
      </c>
      <c r="E2864">
        <v>0</v>
      </c>
      <c r="F2864">
        <v>0</v>
      </c>
      <c r="G2864">
        <v>0</v>
      </c>
    </row>
    <row r="2865" spans="1:7" x14ac:dyDescent="0.2">
      <c r="A2865" t="s">
        <v>1917</v>
      </c>
      <c r="B2865">
        <v>0</v>
      </c>
      <c r="C2865">
        <v>0</v>
      </c>
      <c r="D2865">
        <v>0</v>
      </c>
      <c r="E2865">
        <v>0</v>
      </c>
      <c r="F2865">
        <v>0</v>
      </c>
      <c r="G2865">
        <v>0</v>
      </c>
    </row>
    <row r="2866" spans="1:7" x14ac:dyDescent="0.2">
      <c r="A2866" t="s">
        <v>1922</v>
      </c>
      <c r="B2866">
        <v>0</v>
      </c>
      <c r="C2866">
        <v>0</v>
      </c>
      <c r="D2866">
        <v>0</v>
      </c>
      <c r="E2866">
        <v>0</v>
      </c>
      <c r="F2866">
        <v>0</v>
      </c>
      <c r="G2866">
        <v>0</v>
      </c>
    </row>
    <row r="2867" spans="1:7" x14ac:dyDescent="0.2">
      <c r="A2867" t="s">
        <v>1928</v>
      </c>
      <c r="B2867">
        <v>0</v>
      </c>
      <c r="C2867">
        <v>0</v>
      </c>
      <c r="D2867">
        <v>0</v>
      </c>
      <c r="E2867">
        <v>0</v>
      </c>
      <c r="F2867">
        <v>0</v>
      </c>
      <c r="G2867">
        <v>0</v>
      </c>
    </row>
    <row r="2868" spans="1:7" x14ac:dyDescent="0.2">
      <c r="A2868" t="s">
        <v>1932</v>
      </c>
      <c r="B2868">
        <v>0</v>
      </c>
      <c r="C2868">
        <v>0</v>
      </c>
      <c r="D2868">
        <v>0</v>
      </c>
      <c r="E2868">
        <v>0</v>
      </c>
      <c r="F2868">
        <v>0</v>
      </c>
      <c r="G2868">
        <v>0</v>
      </c>
    </row>
    <row r="2869" spans="1:7" x14ac:dyDescent="0.2">
      <c r="A2869" t="s">
        <v>1938</v>
      </c>
      <c r="B2869">
        <v>0</v>
      </c>
      <c r="C2869">
        <v>0</v>
      </c>
      <c r="D2869">
        <v>0</v>
      </c>
      <c r="E2869">
        <v>0</v>
      </c>
      <c r="F2869">
        <v>0</v>
      </c>
      <c r="G2869">
        <v>0</v>
      </c>
    </row>
    <row r="2870" spans="1:7" x14ac:dyDescent="0.2">
      <c r="A2870" t="s">
        <v>1944</v>
      </c>
      <c r="B2870">
        <v>0</v>
      </c>
      <c r="C2870">
        <v>0</v>
      </c>
      <c r="D2870">
        <v>0</v>
      </c>
      <c r="E2870">
        <v>0</v>
      </c>
      <c r="F2870">
        <v>0</v>
      </c>
      <c r="G2870">
        <v>0</v>
      </c>
    </row>
    <row r="2871" spans="1:7" x14ac:dyDescent="0.2">
      <c r="A2871" t="s">
        <v>1947</v>
      </c>
      <c r="B2871">
        <v>0</v>
      </c>
      <c r="C2871">
        <v>0</v>
      </c>
      <c r="D2871">
        <v>0</v>
      </c>
      <c r="E2871">
        <v>0</v>
      </c>
      <c r="F2871">
        <v>0</v>
      </c>
      <c r="G2871">
        <v>0</v>
      </c>
    </row>
    <row r="2872" spans="1:7" x14ac:dyDescent="0.2">
      <c r="A2872" t="s">
        <v>1953</v>
      </c>
      <c r="B2872">
        <v>0</v>
      </c>
      <c r="C2872">
        <v>0</v>
      </c>
      <c r="D2872">
        <v>0</v>
      </c>
      <c r="E2872">
        <v>0</v>
      </c>
      <c r="F2872">
        <v>0</v>
      </c>
      <c r="G2872">
        <v>0</v>
      </c>
    </row>
    <row r="2873" spans="1:7" x14ac:dyDescent="0.2">
      <c r="A2873" t="s">
        <v>1958</v>
      </c>
      <c r="B2873">
        <v>0</v>
      </c>
      <c r="C2873">
        <v>0</v>
      </c>
      <c r="D2873">
        <v>0</v>
      </c>
      <c r="E2873">
        <v>0</v>
      </c>
      <c r="F2873">
        <v>0</v>
      </c>
      <c r="G2873">
        <v>0</v>
      </c>
    </row>
    <row r="2874" spans="1:7" x14ac:dyDescent="0.2">
      <c r="A2874" t="s">
        <v>1964</v>
      </c>
      <c r="B2874">
        <v>0</v>
      </c>
      <c r="C2874">
        <v>0</v>
      </c>
      <c r="D2874">
        <v>0</v>
      </c>
      <c r="E2874">
        <v>0</v>
      </c>
      <c r="F2874">
        <v>0</v>
      </c>
      <c r="G2874">
        <v>0</v>
      </c>
    </row>
    <row r="2875" spans="1:7" x14ac:dyDescent="0.2">
      <c r="A2875" t="s">
        <v>1973</v>
      </c>
      <c r="B2875">
        <v>0</v>
      </c>
      <c r="C2875">
        <v>0</v>
      </c>
      <c r="D2875">
        <v>0</v>
      </c>
      <c r="E2875">
        <v>0</v>
      </c>
      <c r="F2875">
        <v>0</v>
      </c>
      <c r="G2875">
        <v>0</v>
      </c>
    </row>
    <row r="2876" spans="1:7" x14ac:dyDescent="0.2">
      <c r="A2876" t="s">
        <v>1978</v>
      </c>
      <c r="B2876">
        <v>0</v>
      </c>
      <c r="C2876">
        <v>0</v>
      </c>
      <c r="D2876">
        <v>0</v>
      </c>
      <c r="E2876">
        <v>0</v>
      </c>
      <c r="F2876">
        <v>0</v>
      </c>
      <c r="G2876">
        <v>0</v>
      </c>
    </row>
    <row r="2877" spans="1:7" x14ac:dyDescent="0.2">
      <c r="A2877" t="s">
        <v>1983</v>
      </c>
      <c r="B2877">
        <v>0</v>
      </c>
      <c r="C2877">
        <v>0</v>
      </c>
      <c r="D2877">
        <v>0</v>
      </c>
      <c r="E2877">
        <v>0</v>
      </c>
      <c r="F2877">
        <v>0</v>
      </c>
      <c r="G2877">
        <v>0</v>
      </c>
    </row>
    <row r="2878" spans="1:7" x14ac:dyDescent="0.2">
      <c r="A2878" t="s">
        <v>1984</v>
      </c>
      <c r="B2878">
        <v>0</v>
      </c>
      <c r="C2878">
        <v>0</v>
      </c>
      <c r="D2878">
        <v>0</v>
      </c>
      <c r="E2878">
        <v>0</v>
      </c>
      <c r="F2878">
        <v>0</v>
      </c>
      <c r="G2878">
        <v>0</v>
      </c>
    </row>
    <row r="2879" spans="1:7" x14ac:dyDescent="0.2">
      <c r="A2879" t="s">
        <v>1990</v>
      </c>
      <c r="B2879">
        <v>0</v>
      </c>
      <c r="C2879">
        <v>0</v>
      </c>
      <c r="D2879">
        <v>0</v>
      </c>
      <c r="E2879">
        <v>0</v>
      </c>
      <c r="F2879">
        <v>0</v>
      </c>
      <c r="G2879">
        <v>0</v>
      </c>
    </row>
    <row r="2880" spans="1:7" x14ac:dyDescent="0.2">
      <c r="A2880" t="s">
        <v>1996</v>
      </c>
      <c r="B2880">
        <v>0</v>
      </c>
      <c r="C2880">
        <v>0</v>
      </c>
      <c r="D2880">
        <v>0</v>
      </c>
      <c r="E2880">
        <v>0</v>
      </c>
      <c r="F2880">
        <v>0</v>
      </c>
      <c r="G2880">
        <v>0</v>
      </c>
    </row>
    <row r="2881" spans="1:7" x14ac:dyDescent="0.2">
      <c r="A2881" t="s">
        <v>1998</v>
      </c>
      <c r="B2881">
        <v>0</v>
      </c>
      <c r="C2881">
        <v>0</v>
      </c>
      <c r="D2881">
        <v>0</v>
      </c>
      <c r="E2881">
        <v>0</v>
      </c>
      <c r="F2881">
        <v>0</v>
      </c>
      <c r="G2881">
        <v>0</v>
      </c>
    </row>
    <row r="2882" spans="1:7" x14ac:dyDescent="0.2">
      <c r="A2882" t="s">
        <v>1999</v>
      </c>
      <c r="B2882">
        <v>0</v>
      </c>
      <c r="C2882">
        <v>0</v>
      </c>
      <c r="D2882">
        <v>0</v>
      </c>
      <c r="E2882">
        <v>0</v>
      </c>
      <c r="F2882">
        <v>0</v>
      </c>
      <c r="G2882">
        <v>0</v>
      </c>
    </row>
    <row r="2883" spans="1:7" x14ac:dyDescent="0.2">
      <c r="A2883" t="s">
        <v>2004</v>
      </c>
      <c r="B2883">
        <v>0</v>
      </c>
      <c r="C2883">
        <v>0</v>
      </c>
      <c r="D2883">
        <v>0</v>
      </c>
      <c r="E2883">
        <v>0</v>
      </c>
      <c r="F2883">
        <v>0</v>
      </c>
      <c r="G2883">
        <v>0</v>
      </c>
    </row>
    <row r="2884" spans="1:7" x14ac:dyDescent="0.2">
      <c r="A2884" t="s">
        <v>2009</v>
      </c>
      <c r="B2884">
        <v>0</v>
      </c>
      <c r="C2884">
        <v>0</v>
      </c>
      <c r="D2884">
        <v>0</v>
      </c>
      <c r="E2884">
        <v>0</v>
      </c>
      <c r="F2884">
        <v>0</v>
      </c>
      <c r="G2884">
        <v>0</v>
      </c>
    </row>
    <row r="2885" spans="1:7" x14ac:dyDescent="0.2">
      <c r="A2885" t="s">
        <v>2014</v>
      </c>
      <c r="B2885">
        <v>0</v>
      </c>
      <c r="C2885">
        <v>0</v>
      </c>
      <c r="D2885">
        <v>0</v>
      </c>
      <c r="E2885">
        <v>0</v>
      </c>
      <c r="F2885">
        <v>0</v>
      </c>
      <c r="G2885">
        <v>0</v>
      </c>
    </row>
    <row r="2886" spans="1:7" x14ac:dyDescent="0.2">
      <c r="A2886" t="s">
        <v>2019</v>
      </c>
      <c r="B2886">
        <v>0</v>
      </c>
      <c r="C2886">
        <v>0</v>
      </c>
      <c r="D2886">
        <v>0</v>
      </c>
      <c r="E2886">
        <v>0</v>
      </c>
      <c r="F2886">
        <v>0</v>
      </c>
      <c r="G2886">
        <v>0</v>
      </c>
    </row>
    <row r="2887" spans="1:7" x14ac:dyDescent="0.2">
      <c r="A2887" t="s">
        <v>2023</v>
      </c>
      <c r="B2887">
        <v>0</v>
      </c>
      <c r="C2887">
        <v>0</v>
      </c>
      <c r="D2887">
        <v>0</v>
      </c>
      <c r="E2887">
        <v>0</v>
      </c>
      <c r="F2887">
        <v>0</v>
      </c>
      <c r="G2887">
        <v>0</v>
      </c>
    </row>
    <row r="2888" spans="1:7" x14ac:dyDescent="0.2">
      <c r="A2888" t="s">
        <v>2026</v>
      </c>
      <c r="B2888">
        <v>0</v>
      </c>
      <c r="C2888">
        <v>0</v>
      </c>
      <c r="D2888">
        <v>0</v>
      </c>
      <c r="E2888">
        <v>0</v>
      </c>
      <c r="F2888">
        <v>0</v>
      </c>
      <c r="G2888">
        <v>0</v>
      </c>
    </row>
    <row r="2889" spans="1:7" x14ac:dyDescent="0.2">
      <c r="A2889" t="s">
        <v>2030</v>
      </c>
      <c r="B2889">
        <v>0</v>
      </c>
      <c r="C2889">
        <v>0</v>
      </c>
      <c r="D2889">
        <v>0</v>
      </c>
      <c r="E2889">
        <v>0</v>
      </c>
      <c r="F2889">
        <v>0</v>
      </c>
      <c r="G2889">
        <v>0</v>
      </c>
    </row>
    <row r="2890" spans="1:7" x14ac:dyDescent="0.2">
      <c r="A2890" t="s">
        <v>2035</v>
      </c>
      <c r="B2890">
        <v>0</v>
      </c>
      <c r="C2890">
        <v>0</v>
      </c>
      <c r="D2890">
        <v>0</v>
      </c>
      <c r="E2890">
        <v>0</v>
      </c>
      <c r="F2890">
        <v>0</v>
      </c>
      <c r="G2890">
        <v>0</v>
      </c>
    </row>
    <row r="2891" spans="1:7" x14ac:dyDescent="0.2">
      <c r="A2891" t="s">
        <v>2040</v>
      </c>
      <c r="B2891">
        <v>0</v>
      </c>
      <c r="C2891">
        <v>0</v>
      </c>
      <c r="D2891">
        <v>0</v>
      </c>
      <c r="E2891">
        <v>0</v>
      </c>
      <c r="F2891">
        <v>0</v>
      </c>
      <c r="G2891">
        <v>0</v>
      </c>
    </row>
    <row r="2892" spans="1:7" x14ac:dyDescent="0.2">
      <c r="A2892" t="s">
        <v>2045</v>
      </c>
      <c r="B2892">
        <v>0</v>
      </c>
      <c r="C2892">
        <v>0</v>
      </c>
      <c r="D2892">
        <v>0</v>
      </c>
      <c r="E2892">
        <v>0</v>
      </c>
      <c r="F2892">
        <v>0</v>
      </c>
      <c r="G2892">
        <v>0</v>
      </c>
    </row>
    <row r="2893" spans="1:7" x14ac:dyDescent="0.2">
      <c r="A2893" t="s">
        <v>2049</v>
      </c>
      <c r="B2893">
        <v>0</v>
      </c>
      <c r="C2893">
        <v>0</v>
      </c>
      <c r="D2893">
        <v>0</v>
      </c>
      <c r="E2893">
        <v>0</v>
      </c>
      <c r="F2893">
        <v>0</v>
      </c>
      <c r="G2893">
        <v>0</v>
      </c>
    </row>
    <row r="2894" spans="1:7" x14ac:dyDescent="0.2">
      <c r="A2894" t="s">
        <v>2051</v>
      </c>
      <c r="B2894">
        <v>0</v>
      </c>
      <c r="C2894">
        <v>0</v>
      </c>
      <c r="D2894">
        <v>0</v>
      </c>
      <c r="E2894">
        <v>0</v>
      </c>
      <c r="F2894">
        <v>0</v>
      </c>
      <c r="G2894">
        <v>0</v>
      </c>
    </row>
    <row r="2895" spans="1:7" x14ac:dyDescent="0.2">
      <c r="A2895" t="s">
        <v>2057</v>
      </c>
      <c r="B2895">
        <v>0</v>
      </c>
      <c r="C2895">
        <v>0</v>
      </c>
      <c r="D2895">
        <v>0</v>
      </c>
      <c r="E2895">
        <v>0</v>
      </c>
      <c r="F2895">
        <v>0</v>
      </c>
      <c r="G2895">
        <v>0</v>
      </c>
    </row>
    <row r="2896" spans="1:7" x14ac:dyDescent="0.2">
      <c r="A2896" t="s">
        <v>4344</v>
      </c>
      <c r="B2896">
        <v>0</v>
      </c>
      <c r="C2896">
        <v>0</v>
      </c>
      <c r="D2896">
        <v>0</v>
      </c>
      <c r="E2896">
        <v>0</v>
      </c>
      <c r="F2896">
        <v>0</v>
      </c>
      <c r="G2896">
        <v>0</v>
      </c>
    </row>
    <row r="2897" spans="1:7" x14ac:dyDescent="0.2">
      <c r="A2897" t="s">
        <v>4345</v>
      </c>
      <c r="B2897">
        <v>0</v>
      </c>
      <c r="C2897">
        <v>0</v>
      </c>
      <c r="D2897">
        <v>0</v>
      </c>
      <c r="E2897">
        <v>0</v>
      </c>
      <c r="F2897">
        <v>0</v>
      </c>
      <c r="G2897">
        <v>0</v>
      </c>
    </row>
    <row r="2898" spans="1:7" x14ac:dyDescent="0.2">
      <c r="A2898" t="s">
        <v>2074</v>
      </c>
      <c r="B2898">
        <v>0</v>
      </c>
      <c r="C2898">
        <v>0</v>
      </c>
      <c r="D2898">
        <v>0</v>
      </c>
      <c r="E2898">
        <v>0</v>
      </c>
      <c r="F2898">
        <v>0</v>
      </c>
      <c r="G2898">
        <v>0</v>
      </c>
    </row>
    <row r="2899" spans="1:7" x14ac:dyDescent="0.2">
      <c r="A2899" t="s">
        <v>2079</v>
      </c>
      <c r="B2899">
        <v>0</v>
      </c>
      <c r="C2899">
        <v>0</v>
      </c>
      <c r="D2899">
        <v>0</v>
      </c>
      <c r="E2899">
        <v>0</v>
      </c>
      <c r="F2899">
        <v>0</v>
      </c>
      <c r="G2899">
        <v>0</v>
      </c>
    </row>
    <row r="2900" spans="1:7" x14ac:dyDescent="0.2">
      <c r="A2900" t="s">
        <v>2085</v>
      </c>
      <c r="B2900">
        <v>0</v>
      </c>
      <c r="C2900">
        <v>0</v>
      </c>
      <c r="D2900">
        <v>0</v>
      </c>
      <c r="E2900">
        <v>0</v>
      </c>
      <c r="F2900">
        <v>0</v>
      </c>
      <c r="G2900">
        <v>0</v>
      </c>
    </row>
    <row r="2901" spans="1:7" x14ac:dyDescent="0.2">
      <c r="A2901" t="s">
        <v>2091</v>
      </c>
      <c r="B2901">
        <v>0</v>
      </c>
      <c r="C2901">
        <v>0</v>
      </c>
      <c r="D2901">
        <v>0</v>
      </c>
      <c r="E2901">
        <v>0</v>
      </c>
      <c r="F2901">
        <v>0</v>
      </c>
      <c r="G2901">
        <v>0</v>
      </c>
    </row>
    <row r="2902" spans="1:7" x14ac:dyDescent="0.2">
      <c r="A2902" t="s">
        <v>2097</v>
      </c>
      <c r="B2902">
        <v>0</v>
      </c>
      <c r="C2902">
        <v>0</v>
      </c>
      <c r="D2902">
        <v>0</v>
      </c>
      <c r="E2902">
        <v>0</v>
      </c>
      <c r="F2902">
        <v>0</v>
      </c>
      <c r="G2902">
        <v>0</v>
      </c>
    </row>
    <row r="2903" spans="1:7" x14ac:dyDescent="0.2">
      <c r="A2903" t="s">
        <v>2101</v>
      </c>
      <c r="B2903">
        <v>0</v>
      </c>
      <c r="C2903">
        <v>0</v>
      </c>
      <c r="D2903">
        <v>0</v>
      </c>
      <c r="E2903">
        <v>0</v>
      </c>
      <c r="F2903">
        <v>0</v>
      </c>
      <c r="G2903">
        <v>0</v>
      </c>
    </row>
    <row r="2904" spans="1:7" x14ac:dyDescent="0.2">
      <c r="A2904" t="s">
        <v>2104</v>
      </c>
      <c r="B2904">
        <v>0</v>
      </c>
      <c r="C2904">
        <v>0</v>
      </c>
      <c r="D2904">
        <v>0</v>
      </c>
      <c r="E2904">
        <v>0</v>
      </c>
      <c r="F2904">
        <v>0</v>
      </c>
      <c r="G2904">
        <v>0</v>
      </c>
    </row>
    <row r="2905" spans="1:7" x14ac:dyDescent="0.2">
      <c r="A2905" t="s">
        <v>2107</v>
      </c>
      <c r="B2905">
        <v>0</v>
      </c>
      <c r="C2905">
        <v>0</v>
      </c>
      <c r="D2905">
        <v>0</v>
      </c>
      <c r="E2905">
        <v>0</v>
      </c>
      <c r="F2905">
        <v>0</v>
      </c>
      <c r="G2905">
        <v>0</v>
      </c>
    </row>
    <row r="2906" spans="1:7" x14ac:dyDescent="0.2">
      <c r="A2906" t="s">
        <v>2110</v>
      </c>
      <c r="B2906">
        <v>0</v>
      </c>
      <c r="C2906">
        <v>0</v>
      </c>
      <c r="D2906">
        <v>0</v>
      </c>
      <c r="E2906">
        <v>0</v>
      </c>
      <c r="F2906">
        <v>0</v>
      </c>
      <c r="G2906">
        <v>0</v>
      </c>
    </row>
    <row r="2907" spans="1:7" x14ac:dyDescent="0.2">
      <c r="A2907" t="s">
        <v>2113</v>
      </c>
      <c r="B2907">
        <v>0</v>
      </c>
      <c r="C2907">
        <v>0</v>
      </c>
      <c r="D2907">
        <v>0</v>
      </c>
      <c r="E2907">
        <v>0</v>
      </c>
      <c r="F2907">
        <v>0</v>
      </c>
      <c r="G2907">
        <v>0</v>
      </c>
    </row>
    <row r="2908" spans="1:7" x14ac:dyDescent="0.2">
      <c r="A2908" t="s">
        <v>4346</v>
      </c>
      <c r="B2908">
        <v>0</v>
      </c>
      <c r="C2908">
        <v>0</v>
      </c>
      <c r="D2908">
        <v>0</v>
      </c>
      <c r="E2908">
        <v>0</v>
      </c>
      <c r="F2908">
        <v>0</v>
      </c>
      <c r="G2908">
        <v>0</v>
      </c>
    </row>
    <row r="2909" spans="1:7" x14ac:dyDescent="0.2">
      <c r="A2909" t="s">
        <v>4347</v>
      </c>
      <c r="B2909">
        <v>0</v>
      </c>
      <c r="C2909">
        <v>0</v>
      </c>
      <c r="D2909">
        <v>0</v>
      </c>
      <c r="E2909">
        <v>0</v>
      </c>
      <c r="F2909">
        <v>0</v>
      </c>
      <c r="G2909">
        <v>0</v>
      </c>
    </row>
    <row r="2910" spans="1:7" x14ac:dyDescent="0.2">
      <c r="A2910" t="s">
        <v>4348</v>
      </c>
      <c r="B2910">
        <v>0</v>
      </c>
      <c r="C2910">
        <v>0</v>
      </c>
      <c r="D2910">
        <v>0</v>
      </c>
      <c r="E2910">
        <v>0</v>
      </c>
      <c r="F2910">
        <v>0</v>
      </c>
      <c r="G2910">
        <v>0</v>
      </c>
    </row>
    <row r="2911" spans="1:7" x14ac:dyDescent="0.2">
      <c r="A2911" t="s">
        <v>4349</v>
      </c>
      <c r="B2911">
        <v>0</v>
      </c>
      <c r="C2911">
        <v>0</v>
      </c>
      <c r="D2911">
        <v>0</v>
      </c>
      <c r="E2911">
        <v>0</v>
      </c>
      <c r="F2911">
        <v>0</v>
      </c>
      <c r="G2911">
        <v>0</v>
      </c>
    </row>
    <row r="2912" spans="1:7" x14ac:dyDescent="0.2">
      <c r="A2912" t="s">
        <v>4350</v>
      </c>
      <c r="B2912">
        <v>0</v>
      </c>
      <c r="C2912">
        <v>2</v>
      </c>
      <c r="D2912">
        <v>10</v>
      </c>
      <c r="E2912">
        <v>1</v>
      </c>
      <c r="F2912">
        <v>0</v>
      </c>
      <c r="G2912">
        <v>13</v>
      </c>
    </row>
    <row r="2913" spans="1:7" x14ac:dyDescent="0.2">
      <c r="A2913" t="s">
        <v>4351</v>
      </c>
      <c r="B2913">
        <v>0</v>
      </c>
      <c r="C2913">
        <v>0</v>
      </c>
      <c r="D2913">
        <v>0</v>
      </c>
      <c r="E2913">
        <v>0</v>
      </c>
      <c r="F2913">
        <v>0</v>
      </c>
      <c r="G2913">
        <v>0</v>
      </c>
    </row>
    <row r="2914" spans="1:7" x14ac:dyDescent="0.2">
      <c r="A2914" t="s">
        <v>4352</v>
      </c>
      <c r="B2914">
        <v>0</v>
      </c>
      <c r="C2914">
        <v>0</v>
      </c>
      <c r="D2914">
        <v>0</v>
      </c>
      <c r="E2914">
        <v>0</v>
      </c>
      <c r="F2914">
        <v>0</v>
      </c>
      <c r="G2914">
        <v>0</v>
      </c>
    </row>
    <row r="2915" spans="1:7" x14ac:dyDescent="0.2">
      <c r="A2915" t="s">
        <v>4353</v>
      </c>
      <c r="B2915">
        <v>0</v>
      </c>
      <c r="C2915">
        <v>19</v>
      </c>
      <c r="D2915">
        <v>16</v>
      </c>
      <c r="E2915">
        <v>0</v>
      </c>
      <c r="F2915">
        <v>0</v>
      </c>
      <c r="G2915">
        <v>36</v>
      </c>
    </row>
    <row r="2916" spans="1:7" x14ac:dyDescent="0.2">
      <c r="A2916" t="s">
        <v>4354</v>
      </c>
      <c r="B2916">
        <v>2</v>
      </c>
      <c r="C2916">
        <v>14</v>
      </c>
      <c r="D2916">
        <v>6</v>
      </c>
      <c r="E2916">
        <v>0</v>
      </c>
      <c r="F2916">
        <v>0</v>
      </c>
      <c r="G2916">
        <v>21</v>
      </c>
    </row>
    <row r="2917" spans="1:7" x14ac:dyDescent="0.2">
      <c r="A2917" t="s">
        <v>4355</v>
      </c>
      <c r="B2917">
        <v>0</v>
      </c>
      <c r="C2917">
        <v>0</v>
      </c>
      <c r="D2917">
        <v>0</v>
      </c>
      <c r="E2917">
        <v>0</v>
      </c>
      <c r="F2917">
        <v>0</v>
      </c>
      <c r="G2917">
        <v>0</v>
      </c>
    </row>
    <row r="2918" spans="1:7" x14ac:dyDescent="0.2">
      <c r="A2918" t="s">
        <v>4356</v>
      </c>
      <c r="B2918">
        <v>0</v>
      </c>
      <c r="C2918">
        <v>0</v>
      </c>
      <c r="D2918">
        <v>0</v>
      </c>
      <c r="E2918">
        <v>0</v>
      </c>
      <c r="F2918">
        <v>0</v>
      </c>
      <c r="G2918">
        <v>0</v>
      </c>
    </row>
    <row r="2919" spans="1:7" x14ac:dyDescent="0.2">
      <c r="A2919" t="s">
        <v>4357</v>
      </c>
      <c r="B2919">
        <v>0</v>
      </c>
      <c r="C2919">
        <v>1</v>
      </c>
      <c r="D2919">
        <v>0</v>
      </c>
      <c r="E2919">
        <v>0</v>
      </c>
      <c r="F2919">
        <v>0</v>
      </c>
      <c r="G2919">
        <v>1</v>
      </c>
    </row>
    <row r="2920" spans="1:7" x14ac:dyDescent="0.2">
      <c r="A2920" t="s">
        <v>4358</v>
      </c>
      <c r="B2920">
        <v>0</v>
      </c>
      <c r="C2920">
        <v>0</v>
      </c>
      <c r="D2920">
        <v>0</v>
      </c>
      <c r="E2920">
        <v>0</v>
      </c>
      <c r="F2920">
        <v>0</v>
      </c>
      <c r="G2920">
        <v>0</v>
      </c>
    </row>
    <row r="2921" spans="1:7" x14ac:dyDescent="0.2">
      <c r="A2921" t="s">
        <v>4359</v>
      </c>
      <c r="B2921">
        <v>0</v>
      </c>
      <c r="C2921">
        <v>0</v>
      </c>
      <c r="D2921">
        <v>0</v>
      </c>
      <c r="E2921">
        <v>0</v>
      </c>
      <c r="F2921">
        <v>0</v>
      </c>
      <c r="G2921">
        <v>0</v>
      </c>
    </row>
    <row r="2922" spans="1:7" x14ac:dyDescent="0.2">
      <c r="A2922" t="s">
        <v>4360</v>
      </c>
      <c r="B2922">
        <v>0</v>
      </c>
      <c r="C2922">
        <v>0</v>
      </c>
      <c r="D2922">
        <v>0</v>
      </c>
      <c r="E2922">
        <v>0</v>
      </c>
      <c r="F2922">
        <v>0</v>
      </c>
      <c r="G2922">
        <v>0</v>
      </c>
    </row>
    <row r="2923" spans="1:7" x14ac:dyDescent="0.2">
      <c r="A2923" t="s">
        <v>4361</v>
      </c>
      <c r="B2923">
        <v>0</v>
      </c>
      <c r="C2923">
        <v>0</v>
      </c>
      <c r="D2923">
        <v>2</v>
      </c>
      <c r="E2923">
        <v>0</v>
      </c>
      <c r="F2923">
        <v>0</v>
      </c>
      <c r="G2923">
        <v>2</v>
      </c>
    </row>
    <row r="2924" spans="1:7" x14ac:dyDescent="0.2">
      <c r="A2924" t="s">
        <v>4362</v>
      </c>
      <c r="B2924">
        <v>0</v>
      </c>
      <c r="C2924">
        <v>0</v>
      </c>
      <c r="D2924">
        <v>0</v>
      </c>
      <c r="E2924">
        <v>0</v>
      </c>
      <c r="F2924">
        <v>0</v>
      </c>
      <c r="G2924">
        <v>0</v>
      </c>
    </row>
    <row r="2925" spans="1:7" x14ac:dyDescent="0.2">
      <c r="A2925" t="s">
        <v>4363</v>
      </c>
      <c r="B2925">
        <v>0</v>
      </c>
      <c r="C2925">
        <v>0</v>
      </c>
      <c r="D2925">
        <v>0</v>
      </c>
      <c r="E2925">
        <v>0</v>
      </c>
      <c r="F2925">
        <v>0</v>
      </c>
      <c r="G2925">
        <v>0</v>
      </c>
    </row>
    <row r="2926" spans="1:7" x14ac:dyDescent="0.2">
      <c r="A2926" t="s">
        <v>4364</v>
      </c>
      <c r="B2926">
        <v>0</v>
      </c>
      <c r="C2926">
        <v>0</v>
      </c>
      <c r="D2926">
        <v>0</v>
      </c>
      <c r="E2926">
        <v>0</v>
      </c>
      <c r="F2926">
        <v>0</v>
      </c>
      <c r="G2926">
        <v>0</v>
      </c>
    </row>
    <row r="2927" spans="1:7" x14ac:dyDescent="0.2">
      <c r="A2927" t="s">
        <v>4365</v>
      </c>
      <c r="B2927">
        <v>0</v>
      </c>
      <c r="C2927">
        <v>0</v>
      </c>
      <c r="D2927">
        <v>0</v>
      </c>
      <c r="E2927">
        <v>0</v>
      </c>
      <c r="F2927">
        <v>0</v>
      </c>
      <c r="G2927">
        <v>0</v>
      </c>
    </row>
    <row r="2928" spans="1:7" x14ac:dyDescent="0.2">
      <c r="A2928" t="s">
        <v>4366</v>
      </c>
      <c r="B2928">
        <v>0</v>
      </c>
      <c r="C2928">
        <v>0</v>
      </c>
      <c r="D2928">
        <v>0</v>
      </c>
      <c r="E2928">
        <v>0</v>
      </c>
      <c r="F2928">
        <v>0</v>
      </c>
      <c r="G2928">
        <v>0</v>
      </c>
    </row>
    <row r="2929" spans="1:10" x14ac:dyDescent="0.2">
      <c r="A2929" t="s">
        <v>4367</v>
      </c>
      <c r="B2929">
        <v>0</v>
      </c>
      <c r="C2929">
        <v>0</v>
      </c>
      <c r="D2929">
        <v>0</v>
      </c>
      <c r="E2929">
        <v>0</v>
      </c>
      <c r="F2929">
        <v>0</v>
      </c>
      <c r="G2929">
        <v>0</v>
      </c>
    </row>
    <row r="2930" spans="1:10" x14ac:dyDescent="0.2">
      <c r="A2930" t="s">
        <v>4368</v>
      </c>
      <c r="B2930">
        <v>0</v>
      </c>
      <c r="C2930">
        <v>0</v>
      </c>
      <c r="D2930">
        <v>5</v>
      </c>
      <c r="E2930">
        <v>3</v>
      </c>
      <c r="F2930">
        <v>1</v>
      </c>
      <c r="G2930">
        <v>9</v>
      </c>
    </row>
    <row r="2931" spans="1:10" x14ac:dyDescent="0.2">
      <c r="A2931" t="s">
        <v>4369</v>
      </c>
      <c r="B2931">
        <v>0</v>
      </c>
      <c r="C2931">
        <v>4</v>
      </c>
      <c r="D2931">
        <v>4</v>
      </c>
      <c r="E2931">
        <v>0</v>
      </c>
      <c r="F2931">
        <v>0</v>
      </c>
      <c r="G2931">
        <v>8</v>
      </c>
    </row>
    <row r="2932" spans="1:10" x14ac:dyDescent="0.2">
      <c r="A2932" t="s">
        <v>4370</v>
      </c>
      <c r="B2932">
        <v>0</v>
      </c>
      <c r="C2932">
        <v>0</v>
      </c>
      <c r="D2932">
        <v>0</v>
      </c>
      <c r="E2932">
        <v>0</v>
      </c>
      <c r="F2932">
        <v>0</v>
      </c>
      <c r="G2932">
        <v>0</v>
      </c>
    </row>
    <row r="2933" spans="1:10" x14ac:dyDescent="0.2">
      <c r="A2933" t="s">
        <v>4371</v>
      </c>
      <c r="B2933">
        <v>0</v>
      </c>
      <c r="C2933">
        <v>0</v>
      </c>
      <c r="D2933">
        <v>0</v>
      </c>
      <c r="E2933">
        <v>0</v>
      </c>
      <c r="F2933">
        <v>0</v>
      </c>
      <c r="G2933">
        <v>0</v>
      </c>
    </row>
    <row r="2934" spans="1:10" x14ac:dyDescent="0.2">
      <c r="A2934" t="s">
        <v>4372</v>
      </c>
      <c r="B2934">
        <v>0</v>
      </c>
      <c r="C2934">
        <v>0</v>
      </c>
      <c r="D2934">
        <v>0</v>
      </c>
      <c r="E2934">
        <v>0</v>
      </c>
      <c r="F2934">
        <v>0</v>
      </c>
      <c r="G2934">
        <v>0</v>
      </c>
    </row>
    <row r="2935" spans="1:10" x14ac:dyDescent="0.2">
      <c r="A2935" t="s">
        <v>4373</v>
      </c>
      <c r="B2935">
        <v>0</v>
      </c>
      <c r="C2935">
        <v>3</v>
      </c>
      <c r="D2935">
        <v>0</v>
      </c>
      <c r="E2935">
        <v>0</v>
      </c>
      <c r="F2935">
        <v>0</v>
      </c>
      <c r="G2935">
        <v>3</v>
      </c>
    </row>
    <row r="2936" spans="1:10" x14ac:dyDescent="0.2">
      <c r="A2936" t="s">
        <v>4374</v>
      </c>
      <c r="B2936">
        <v>0</v>
      </c>
      <c r="C2936">
        <v>1</v>
      </c>
      <c r="D2936">
        <v>4</v>
      </c>
      <c r="E2936">
        <v>0</v>
      </c>
      <c r="F2936">
        <v>0</v>
      </c>
      <c r="G2936">
        <v>5</v>
      </c>
    </row>
    <row r="2937" spans="1:10" x14ac:dyDescent="0.2">
      <c r="A2937" t="s">
        <v>4375</v>
      </c>
      <c r="B2937">
        <v>0</v>
      </c>
      <c r="C2937">
        <v>1</v>
      </c>
      <c r="D2937">
        <v>0</v>
      </c>
      <c r="E2937">
        <v>0</v>
      </c>
      <c r="F2937">
        <v>0</v>
      </c>
      <c r="G2937">
        <v>1</v>
      </c>
    </row>
    <row r="2938" spans="1:10" x14ac:dyDescent="0.2">
      <c r="A2938" t="s">
        <v>4376</v>
      </c>
      <c r="B2938">
        <v>0</v>
      </c>
      <c r="C2938">
        <v>0</v>
      </c>
      <c r="D2938">
        <v>0</v>
      </c>
      <c r="E2938">
        <v>0</v>
      </c>
      <c r="F2938">
        <v>0</v>
      </c>
      <c r="G2938">
        <v>0</v>
      </c>
    </row>
    <row r="2939" spans="1:10" x14ac:dyDescent="0.2">
      <c r="A2939" t="s">
        <v>4377</v>
      </c>
      <c r="B2939">
        <v>0</v>
      </c>
      <c r="C2939">
        <v>0</v>
      </c>
      <c r="D2939">
        <v>0</v>
      </c>
      <c r="E2939">
        <v>0</v>
      </c>
      <c r="F2939">
        <v>0</v>
      </c>
      <c r="G2939">
        <v>0</v>
      </c>
    </row>
    <row r="2940" spans="1:10" x14ac:dyDescent="0.2">
      <c r="A2940" t="s">
        <v>2318</v>
      </c>
      <c r="B2940" t="s">
        <v>2319</v>
      </c>
      <c r="C2940" t="s">
        <v>2319</v>
      </c>
      <c r="D2940" t="s">
        <v>2319</v>
      </c>
      <c r="E2940" t="s">
        <v>2319</v>
      </c>
      <c r="F2940" t="s">
        <v>2319</v>
      </c>
      <c r="G2940" t="s">
        <v>2319</v>
      </c>
    </row>
    <row r="2941" spans="1:10" x14ac:dyDescent="0.2">
      <c r="A2941" t="s">
        <v>4248</v>
      </c>
    </row>
    <row r="2942" spans="1:10" x14ac:dyDescent="0.2">
      <c r="A2942" t="s">
        <v>4250</v>
      </c>
      <c r="C2942" t="s">
        <v>4251</v>
      </c>
      <c r="G2942" t="s">
        <v>7531</v>
      </c>
      <c r="J2942"/>
    </row>
    <row r="2943" spans="1:10" x14ac:dyDescent="0.2">
      <c r="A2943" t="s">
        <v>4925</v>
      </c>
      <c r="G2943" t="s">
        <v>7538</v>
      </c>
      <c r="J2943"/>
    </row>
    <row r="2944" spans="1:10" x14ac:dyDescent="0.2">
      <c r="A2944" t="s">
        <v>7530</v>
      </c>
      <c r="J2944"/>
    </row>
    <row r="2945" spans="1:10" x14ac:dyDescent="0.2">
      <c r="A2945" t="s">
        <v>4973</v>
      </c>
      <c r="J2945"/>
    </row>
    <row r="2946" spans="1:10" x14ac:dyDescent="0.2">
      <c r="J2946"/>
    </row>
    <row r="2947" spans="1:10" x14ac:dyDescent="0.2">
      <c r="A2947" t="s">
        <v>4259</v>
      </c>
      <c r="J2947"/>
    </row>
    <row r="2948" spans="1:10" x14ac:dyDescent="0.2">
      <c r="A2948" t="s">
        <v>2318</v>
      </c>
      <c r="B2948" t="s">
        <v>2319</v>
      </c>
      <c r="C2948" t="s">
        <v>2319</v>
      </c>
      <c r="D2948" t="s">
        <v>2319</v>
      </c>
      <c r="E2948" t="s">
        <v>2319</v>
      </c>
      <c r="F2948" t="s">
        <v>2319</v>
      </c>
      <c r="G2948" t="s">
        <v>2319</v>
      </c>
    </row>
    <row r="2949" spans="1:10" x14ac:dyDescent="0.2">
      <c r="A2949" t="s">
        <v>174</v>
      </c>
      <c r="B2949" t="s">
        <v>4945</v>
      </c>
      <c r="C2949" t="s">
        <v>4946</v>
      </c>
      <c r="D2949" t="s">
        <v>4947</v>
      </c>
      <c r="E2949" t="s">
        <v>4948</v>
      </c>
      <c r="F2949" t="s">
        <v>4949</v>
      </c>
    </row>
    <row r="2950" spans="1:10" x14ac:dyDescent="0.2">
      <c r="A2950" t="s">
        <v>126</v>
      </c>
      <c r="B2950" t="s">
        <v>4262</v>
      </c>
      <c r="C2950" t="s">
        <v>4263</v>
      </c>
      <c r="D2950" t="s">
        <v>4264</v>
      </c>
      <c r="E2950" t="s">
        <v>2308</v>
      </c>
      <c r="F2950" t="s">
        <v>615</v>
      </c>
      <c r="G2950" t="s">
        <v>236</v>
      </c>
    </row>
    <row r="2951" spans="1:10" x14ac:dyDescent="0.2">
      <c r="A2951" t="s">
        <v>2318</v>
      </c>
      <c r="B2951" t="s">
        <v>2319</v>
      </c>
      <c r="C2951" t="s">
        <v>2319</v>
      </c>
      <c r="D2951" t="s">
        <v>2319</v>
      </c>
      <c r="E2951" t="s">
        <v>2319</v>
      </c>
      <c r="F2951" t="s">
        <v>2319</v>
      </c>
      <c r="G2951" t="s">
        <v>2319</v>
      </c>
    </row>
    <row r="2952" spans="1:10" x14ac:dyDescent="0.2">
      <c r="A2952" t="s">
        <v>4265</v>
      </c>
      <c r="B2952">
        <v>0</v>
      </c>
      <c r="C2952">
        <v>0</v>
      </c>
      <c r="D2952">
        <v>0</v>
      </c>
      <c r="E2952">
        <v>0</v>
      </c>
      <c r="F2952">
        <v>0</v>
      </c>
      <c r="G2952">
        <v>0</v>
      </c>
    </row>
    <row r="2953" spans="1:10" x14ac:dyDescent="0.2">
      <c r="A2953" t="s">
        <v>4266</v>
      </c>
      <c r="B2953">
        <v>0</v>
      </c>
      <c r="C2953">
        <v>0</v>
      </c>
      <c r="D2953">
        <v>0</v>
      </c>
      <c r="E2953">
        <v>0</v>
      </c>
      <c r="F2953">
        <v>0</v>
      </c>
      <c r="G2953">
        <v>0</v>
      </c>
    </row>
    <row r="2954" spans="1:10" x14ac:dyDescent="0.2">
      <c r="A2954" t="s">
        <v>4267</v>
      </c>
      <c r="B2954">
        <v>0</v>
      </c>
      <c r="C2954">
        <v>0</v>
      </c>
      <c r="D2954">
        <v>0</v>
      </c>
      <c r="E2954">
        <v>0</v>
      </c>
      <c r="F2954">
        <v>0</v>
      </c>
      <c r="G2954">
        <v>0</v>
      </c>
    </row>
    <row r="2955" spans="1:10" x14ac:dyDescent="0.2">
      <c r="A2955" t="s">
        <v>4268</v>
      </c>
      <c r="B2955">
        <v>0</v>
      </c>
      <c r="C2955">
        <v>0</v>
      </c>
      <c r="D2955">
        <v>0</v>
      </c>
      <c r="E2955">
        <v>0</v>
      </c>
      <c r="F2955">
        <v>0</v>
      </c>
      <c r="G2955">
        <v>0</v>
      </c>
    </row>
    <row r="2956" spans="1:10" x14ac:dyDescent="0.2">
      <c r="A2956" t="s">
        <v>4269</v>
      </c>
      <c r="B2956">
        <v>0</v>
      </c>
      <c r="C2956">
        <v>0</v>
      </c>
      <c r="D2956">
        <v>0</v>
      </c>
      <c r="E2956">
        <v>0</v>
      </c>
      <c r="F2956">
        <v>0</v>
      </c>
      <c r="G2956">
        <v>0</v>
      </c>
    </row>
    <row r="2957" spans="1:10" x14ac:dyDescent="0.2">
      <c r="A2957" t="s">
        <v>4270</v>
      </c>
      <c r="B2957">
        <v>0</v>
      </c>
      <c r="C2957">
        <v>0</v>
      </c>
      <c r="D2957">
        <v>0</v>
      </c>
      <c r="E2957">
        <v>0</v>
      </c>
      <c r="F2957">
        <v>0</v>
      </c>
      <c r="G2957">
        <v>0</v>
      </c>
    </row>
    <row r="2958" spans="1:10" x14ac:dyDescent="0.2">
      <c r="A2958" t="s">
        <v>4271</v>
      </c>
      <c r="B2958">
        <v>0</v>
      </c>
      <c r="C2958">
        <v>0</v>
      </c>
      <c r="D2958">
        <v>0</v>
      </c>
      <c r="E2958">
        <v>0</v>
      </c>
      <c r="F2958">
        <v>0</v>
      </c>
      <c r="G2958">
        <v>0</v>
      </c>
    </row>
    <row r="2959" spans="1:10" x14ac:dyDescent="0.2">
      <c r="A2959" t="s">
        <v>4272</v>
      </c>
      <c r="B2959">
        <v>0</v>
      </c>
      <c r="C2959">
        <v>0</v>
      </c>
      <c r="D2959">
        <v>0</v>
      </c>
      <c r="E2959">
        <v>0</v>
      </c>
      <c r="F2959">
        <v>0</v>
      </c>
      <c r="G2959">
        <v>0</v>
      </c>
    </row>
    <row r="2960" spans="1:10" x14ac:dyDescent="0.2">
      <c r="A2960" t="s">
        <v>4273</v>
      </c>
      <c r="B2960">
        <v>0</v>
      </c>
      <c r="C2960">
        <v>0</v>
      </c>
      <c r="D2960">
        <v>0</v>
      </c>
      <c r="E2960">
        <v>0</v>
      </c>
      <c r="F2960">
        <v>0</v>
      </c>
      <c r="G2960">
        <v>0</v>
      </c>
    </row>
    <row r="2961" spans="1:7" x14ac:dyDescent="0.2">
      <c r="A2961" t="s">
        <v>4274</v>
      </c>
      <c r="B2961">
        <v>0</v>
      </c>
      <c r="C2961">
        <v>0</v>
      </c>
      <c r="D2961">
        <v>0</v>
      </c>
      <c r="E2961">
        <v>0</v>
      </c>
      <c r="F2961">
        <v>0</v>
      </c>
      <c r="G2961">
        <v>0</v>
      </c>
    </row>
    <row r="2962" spans="1:7" x14ac:dyDescent="0.2">
      <c r="A2962" t="s">
        <v>4275</v>
      </c>
      <c r="B2962">
        <v>0</v>
      </c>
      <c r="C2962">
        <v>0</v>
      </c>
      <c r="D2962">
        <v>0</v>
      </c>
      <c r="E2962">
        <v>0</v>
      </c>
      <c r="F2962">
        <v>0</v>
      </c>
      <c r="G2962">
        <v>0</v>
      </c>
    </row>
    <row r="2963" spans="1:7" x14ac:dyDescent="0.2">
      <c r="A2963" t="s">
        <v>4276</v>
      </c>
      <c r="B2963">
        <v>0</v>
      </c>
      <c r="C2963">
        <v>0</v>
      </c>
      <c r="D2963">
        <v>0</v>
      </c>
      <c r="E2963">
        <v>0</v>
      </c>
      <c r="F2963">
        <v>0</v>
      </c>
      <c r="G2963">
        <v>0</v>
      </c>
    </row>
    <row r="2964" spans="1:7" x14ac:dyDescent="0.2">
      <c r="A2964" t="s">
        <v>4277</v>
      </c>
      <c r="B2964">
        <v>0</v>
      </c>
      <c r="C2964">
        <v>0</v>
      </c>
      <c r="D2964">
        <v>0</v>
      </c>
      <c r="E2964">
        <v>0</v>
      </c>
      <c r="F2964">
        <v>0</v>
      </c>
      <c r="G2964">
        <v>0</v>
      </c>
    </row>
    <row r="2965" spans="1:7" x14ac:dyDescent="0.2">
      <c r="A2965" t="s">
        <v>4278</v>
      </c>
      <c r="B2965">
        <v>0</v>
      </c>
      <c r="C2965">
        <v>0</v>
      </c>
      <c r="D2965">
        <v>0</v>
      </c>
      <c r="E2965">
        <v>0</v>
      </c>
      <c r="F2965">
        <v>0</v>
      </c>
      <c r="G2965">
        <v>0</v>
      </c>
    </row>
    <row r="2966" spans="1:7" x14ac:dyDescent="0.2">
      <c r="A2966" t="s">
        <v>4279</v>
      </c>
      <c r="B2966">
        <v>0</v>
      </c>
      <c r="C2966">
        <v>0</v>
      </c>
      <c r="D2966">
        <v>0</v>
      </c>
      <c r="E2966">
        <v>0</v>
      </c>
      <c r="F2966">
        <v>0</v>
      </c>
      <c r="G2966">
        <v>0</v>
      </c>
    </row>
    <row r="2967" spans="1:7" x14ac:dyDescent="0.2">
      <c r="A2967" t="s">
        <v>4280</v>
      </c>
      <c r="B2967">
        <v>0</v>
      </c>
      <c r="C2967">
        <v>0</v>
      </c>
      <c r="D2967">
        <v>0</v>
      </c>
      <c r="E2967">
        <v>0</v>
      </c>
      <c r="F2967">
        <v>0</v>
      </c>
      <c r="G2967">
        <v>0</v>
      </c>
    </row>
    <row r="2968" spans="1:7" x14ac:dyDescent="0.2">
      <c r="A2968" t="s">
        <v>4281</v>
      </c>
      <c r="B2968">
        <v>2</v>
      </c>
      <c r="C2968">
        <v>4</v>
      </c>
      <c r="D2968">
        <v>6</v>
      </c>
      <c r="E2968">
        <v>8</v>
      </c>
      <c r="F2968">
        <v>0</v>
      </c>
      <c r="G2968">
        <v>20</v>
      </c>
    </row>
    <row r="2969" spans="1:7" x14ac:dyDescent="0.2">
      <c r="A2969" t="s">
        <v>4282</v>
      </c>
      <c r="B2969">
        <v>3</v>
      </c>
      <c r="C2969">
        <v>5</v>
      </c>
      <c r="D2969">
        <v>4</v>
      </c>
      <c r="E2969">
        <v>0</v>
      </c>
      <c r="F2969">
        <v>0</v>
      </c>
      <c r="G2969">
        <v>13</v>
      </c>
    </row>
    <row r="2970" spans="1:7" x14ac:dyDescent="0.2">
      <c r="A2970" t="s">
        <v>4283</v>
      </c>
      <c r="B2970">
        <v>0</v>
      </c>
      <c r="C2970">
        <v>1</v>
      </c>
      <c r="D2970">
        <v>1</v>
      </c>
      <c r="E2970">
        <v>3</v>
      </c>
      <c r="F2970">
        <v>0</v>
      </c>
      <c r="G2970">
        <v>5</v>
      </c>
    </row>
    <row r="2971" spans="1:7" x14ac:dyDescent="0.2">
      <c r="A2971" t="s">
        <v>4284</v>
      </c>
      <c r="B2971">
        <v>0</v>
      </c>
      <c r="C2971">
        <v>0</v>
      </c>
      <c r="D2971">
        <v>0</v>
      </c>
      <c r="E2971">
        <v>0</v>
      </c>
      <c r="F2971">
        <v>0</v>
      </c>
      <c r="G2971">
        <v>0</v>
      </c>
    </row>
    <row r="2972" spans="1:7" x14ac:dyDescent="0.2">
      <c r="A2972" t="s">
        <v>4285</v>
      </c>
      <c r="B2972">
        <v>0</v>
      </c>
      <c r="C2972">
        <v>2</v>
      </c>
      <c r="D2972">
        <v>6</v>
      </c>
      <c r="E2972">
        <v>0</v>
      </c>
      <c r="F2972">
        <v>0</v>
      </c>
      <c r="G2972">
        <v>8</v>
      </c>
    </row>
    <row r="2973" spans="1:7" x14ac:dyDescent="0.2">
      <c r="A2973" t="s">
        <v>4286</v>
      </c>
      <c r="B2973">
        <v>2</v>
      </c>
      <c r="C2973">
        <v>0</v>
      </c>
      <c r="D2973">
        <v>0</v>
      </c>
      <c r="E2973">
        <v>0</v>
      </c>
      <c r="F2973">
        <v>0</v>
      </c>
      <c r="G2973">
        <v>3</v>
      </c>
    </row>
    <row r="2974" spans="1:7" x14ac:dyDescent="0.2">
      <c r="A2974" t="s">
        <v>4287</v>
      </c>
      <c r="B2974">
        <v>0</v>
      </c>
      <c r="C2974">
        <v>0</v>
      </c>
      <c r="D2974">
        <v>0</v>
      </c>
      <c r="E2974">
        <v>1</v>
      </c>
      <c r="F2974">
        <v>0</v>
      </c>
      <c r="G2974">
        <v>1</v>
      </c>
    </row>
    <row r="2975" spans="1:7" x14ac:dyDescent="0.2">
      <c r="A2975" t="s">
        <v>4288</v>
      </c>
      <c r="B2975">
        <v>0</v>
      </c>
      <c r="C2975">
        <v>0</v>
      </c>
      <c r="D2975">
        <v>0</v>
      </c>
      <c r="E2975">
        <v>0</v>
      </c>
      <c r="F2975">
        <v>0</v>
      </c>
      <c r="G2975">
        <v>0</v>
      </c>
    </row>
    <row r="2976" spans="1:7" x14ac:dyDescent="0.2">
      <c r="A2976" t="s">
        <v>4289</v>
      </c>
      <c r="B2976">
        <v>0</v>
      </c>
      <c r="C2976">
        <v>0</v>
      </c>
      <c r="D2976">
        <v>0</v>
      </c>
      <c r="E2976">
        <v>0</v>
      </c>
      <c r="F2976">
        <v>0</v>
      </c>
      <c r="G2976">
        <v>0</v>
      </c>
    </row>
    <row r="2977" spans="1:7" x14ac:dyDescent="0.2">
      <c r="A2977" t="s">
        <v>4290</v>
      </c>
      <c r="B2977">
        <v>0</v>
      </c>
      <c r="C2977">
        <v>0</v>
      </c>
      <c r="D2977">
        <v>0</v>
      </c>
      <c r="E2977">
        <v>0</v>
      </c>
      <c r="F2977">
        <v>0</v>
      </c>
      <c r="G2977">
        <v>0</v>
      </c>
    </row>
    <row r="2978" spans="1:7" x14ac:dyDescent="0.2">
      <c r="A2978" t="s">
        <v>4291</v>
      </c>
      <c r="B2978">
        <v>0</v>
      </c>
      <c r="C2978">
        <v>0</v>
      </c>
      <c r="D2978">
        <v>0</v>
      </c>
      <c r="E2978">
        <v>0</v>
      </c>
      <c r="F2978">
        <v>0</v>
      </c>
      <c r="G2978">
        <v>0</v>
      </c>
    </row>
    <row r="2979" spans="1:7" x14ac:dyDescent="0.2">
      <c r="A2979" t="s">
        <v>4292</v>
      </c>
      <c r="B2979">
        <v>0</v>
      </c>
      <c r="C2979">
        <v>0</v>
      </c>
      <c r="D2979">
        <v>0</v>
      </c>
      <c r="E2979">
        <v>0</v>
      </c>
      <c r="F2979">
        <v>0</v>
      </c>
      <c r="G2979">
        <v>0</v>
      </c>
    </row>
    <row r="2980" spans="1:7" x14ac:dyDescent="0.2">
      <c r="A2980" t="s">
        <v>4293</v>
      </c>
      <c r="B2980">
        <v>0</v>
      </c>
      <c r="C2980">
        <v>0</v>
      </c>
      <c r="D2980">
        <v>0</v>
      </c>
      <c r="E2980">
        <v>0</v>
      </c>
      <c r="F2980">
        <v>0</v>
      </c>
      <c r="G2980">
        <v>0</v>
      </c>
    </row>
    <row r="2981" spans="1:7" x14ac:dyDescent="0.2">
      <c r="A2981" t="s">
        <v>4294</v>
      </c>
      <c r="B2981">
        <v>0</v>
      </c>
      <c r="C2981">
        <v>0</v>
      </c>
      <c r="D2981">
        <v>0</v>
      </c>
      <c r="E2981">
        <v>0</v>
      </c>
      <c r="F2981">
        <v>0</v>
      </c>
      <c r="G2981">
        <v>0</v>
      </c>
    </row>
    <row r="2982" spans="1:7" x14ac:dyDescent="0.2">
      <c r="A2982" t="s">
        <v>4295</v>
      </c>
      <c r="B2982">
        <v>0</v>
      </c>
      <c r="C2982">
        <v>0</v>
      </c>
      <c r="D2982">
        <v>0</v>
      </c>
      <c r="E2982">
        <v>0</v>
      </c>
      <c r="F2982">
        <v>0</v>
      </c>
      <c r="G2982">
        <v>0</v>
      </c>
    </row>
    <row r="2983" spans="1:7" x14ac:dyDescent="0.2">
      <c r="A2983" t="s">
        <v>4296</v>
      </c>
      <c r="B2983">
        <v>0</v>
      </c>
      <c r="C2983">
        <v>0</v>
      </c>
      <c r="D2983">
        <v>0</v>
      </c>
      <c r="E2983">
        <v>0</v>
      </c>
      <c r="F2983">
        <v>0</v>
      </c>
      <c r="G2983">
        <v>0</v>
      </c>
    </row>
    <row r="2984" spans="1:7" x14ac:dyDescent="0.2">
      <c r="A2984" t="s">
        <v>4297</v>
      </c>
      <c r="B2984">
        <v>1</v>
      </c>
      <c r="C2984">
        <v>3</v>
      </c>
      <c r="D2984">
        <v>7</v>
      </c>
      <c r="E2984">
        <v>2</v>
      </c>
      <c r="F2984">
        <v>0</v>
      </c>
      <c r="G2984">
        <v>12</v>
      </c>
    </row>
    <row r="2985" spans="1:7" x14ac:dyDescent="0.2">
      <c r="A2985" t="s">
        <v>4298</v>
      </c>
      <c r="B2985">
        <v>3</v>
      </c>
      <c r="C2985">
        <v>3</v>
      </c>
      <c r="D2985">
        <v>4</v>
      </c>
      <c r="E2985">
        <v>1</v>
      </c>
      <c r="F2985">
        <v>0</v>
      </c>
      <c r="G2985">
        <v>11</v>
      </c>
    </row>
    <row r="2986" spans="1:7" x14ac:dyDescent="0.2">
      <c r="A2986" t="s">
        <v>4299</v>
      </c>
      <c r="B2986">
        <v>1</v>
      </c>
      <c r="C2986">
        <v>9</v>
      </c>
      <c r="D2986">
        <v>14</v>
      </c>
      <c r="E2986">
        <v>19</v>
      </c>
      <c r="F2986">
        <v>0</v>
      </c>
      <c r="G2986">
        <v>43</v>
      </c>
    </row>
    <row r="2987" spans="1:7" x14ac:dyDescent="0.2">
      <c r="A2987" t="s">
        <v>4300</v>
      </c>
      <c r="B2987">
        <v>0</v>
      </c>
      <c r="C2987">
        <v>1</v>
      </c>
      <c r="D2987">
        <v>1</v>
      </c>
      <c r="E2987">
        <v>1</v>
      </c>
      <c r="F2987">
        <v>0</v>
      </c>
      <c r="G2987">
        <v>3</v>
      </c>
    </row>
    <row r="2988" spans="1:7" x14ac:dyDescent="0.2">
      <c r="A2988" t="s">
        <v>4301</v>
      </c>
      <c r="B2988">
        <v>0</v>
      </c>
      <c r="C2988">
        <v>6</v>
      </c>
      <c r="D2988">
        <v>41</v>
      </c>
      <c r="E2988">
        <v>13</v>
      </c>
      <c r="F2988">
        <v>0</v>
      </c>
      <c r="G2988">
        <v>60</v>
      </c>
    </row>
    <row r="2989" spans="1:7" x14ac:dyDescent="0.2">
      <c r="A2989" t="s">
        <v>4302</v>
      </c>
      <c r="B2989">
        <v>1</v>
      </c>
      <c r="C2989">
        <v>3</v>
      </c>
      <c r="D2989">
        <v>24</v>
      </c>
      <c r="E2989">
        <v>11</v>
      </c>
      <c r="F2989">
        <v>0</v>
      </c>
      <c r="G2989">
        <v>39</v>
      </c>
    </row>
    <row r="2990" spans="1:7" x14ac:dyDescent="0.2">
      <c r="A2990" t="s">
        <v>4303</v>
      </c>
      <c r="B2990">
        <v>1</v>
      </c>
      <c r="C2990">
        <v>9</v>
      </c>
      <c r="D2990">
        <v>96</v>
      </c>
      <c r="E2990">
        <v>29</v>
      </c>
      <c r="F2990">
        <v>0</v>
      </c>
      <c r="G2990">
        <v>135</v>
      </c>
    </row>
    <row r="2991" spans="1:7" x14ac:dyDescent="0.2">
      <c r="A2991" t="s">
        <v>4304</v>
      </c>
      <c r="B2991">
        <v>0</v>
      </c>
      <c r="C2991">
        <v>1</v>
      </c>
      <c r="D2991">
        <v>6</v>
      </c>
      <c r="E2991">
        <v>7</v>
      </c>
      <c r="F2991">
        <v>0</v>
      </c>
      <c r="G2991">
        <v>14</v>
      </c>
    </row>
    <row r="2992" spans="1:7" x14ac:dyDescent="0.2">
      <c r="A2992" t="s">
        <v>4305</v>
      </c>
      <c r="B2992">
        <v>0</v>
      </c>
      <c r="C2992">
        <v>3</v>
      </c>
      <c r="D2992">
        <v>16</v>
      </c>
      <c r="E2992">
        <v>2</v>
      </c>
      <c r="F2992">
        <v>0</v>
      </c>
      <c r="G2992">
        <v>21</v>
      </c>
    </row>
    <row r="2993" spans="1:7" x14ac:dyDescent="0.2">
      <c r="A2993" t="s">
        <v>4306</v>
      </c>
      <c r="B2993">
        <v>1</v>
      </c>
      <c r="C2993">
        <v>5</v>
      </c>
      <c r="D2993">
        <v>1</v>
      </c>
      <c r="E2993">
        <v>1</v>
      </c>
      <c r="F2993">
        <v>0</v>
      </c>
      <c r="G2993">
        <v>7</v>
      </c>
    </row>
    <row r="2994" spans="1:7" x14ac:dyDescent="0.2">
      <c r="A2994" t="s">
        <v>4307</v>
      </c>
      <c r="B2994">
        <v>4</v>
      </c>
      <c r="C2994">
        <v>51</v>
      </c>
      <c r="D2994">
        <v>121</v>
      </c>
      <c r="E2994">
        <v>30</v>
      </c>
      <c r="F2994">
        <v>0</v>
      </c>
      <c r="G2994">
        <v>206</v>
      </c>
    </row>
    <row r="2995" spans="1:7" x14ac:dyDescent="0.2">
      <c r="A2995" t="s">
        <v>4308</v>
      </c>
      <c r="B2995">
        <v>0</v>
      </c>
      <c r="C2995">
        <v>0</v>
      </c>
      <c r="D2995">
        <v>0</v>
      </c>
      <c r="E2995">
        <v>0</v>
      </c>
      <c r="F2995">
        <v>0</v>
      </c>
      <c r="G2995">
        <v>0</v>
      </c>
    </row>
    <row r="2996" spans="1:7" x14ac:dyDescent="0.2">
      <c r="A2996" t="s">
        <v>4309</v>
      </c>
      <c r="B2996">
        <v>0</v>
      </c>
      <c r="C2996">
        <v>0</v>
      </c>
      <c r="D2996">
        <v>0</v>
      </c>
      <c r="E2996">
        <v>0</v>
      </c>
      <c r="F2996">
        <v>0</v>
      </c>
      <c r="G2996">
        <v>0</v>
      </c>
    </row>
    <row r="2997" spans="1:7" x14ac:dyDescent="0.2">
      <c r="A2997" t="s">
        <v>4310</v>
      </c>
      <c r="B2997">
        <v>0</v>
      </c>
      <c r="C2997">
        <v>0</v>
      </c>
      <c r="D2997">
        <v>0</v>
      </c>
      <c r="E2997">
        <v>0</v>
      </c>
      <c r="F2997">
        <v>0</v>
      </c>
      <c r="G2997">
        <v>0</v>
      </c>
    </row>
    <row r="2998" spans="1:7" x14ac:dyDescent="0.2">
      <c r="A2998" t="s">
        <v>4311</v>
      </c>
      <c r="B2998">
        <v>0</v>
      </c>
      <c r="C2998">
        <v>0</v>
      </c>
      <c r="D2998">
        <v>0</v>
      </c>
      <c r="E2998">
        <v>0</v>
      </c>
      <c r="F2998">
        <v>0</v>
      </c>
      <c r="G2998">
        <v>0</v>
      </c>
    </row>
    <row r="2999" spans="1:7" x14ac:dyDescent="0.2">
      <c r="A2999" t="s">
        <v>4312</v>
      </c>
      <c r="B2999">
        <v>0</v>
      </c>
      <c r="C2999">
        <v>0</v>
      </c>
      <c r="D2999">
        <v>0</v>
      </c>
      <c r="E2999">
        <v>0</v>
      </c>
      <c r="F2999">
        <v>0</v>
      </c>
      <c r="G2999">
        <v>0</v>
      </c>
    </row>
    <row r="3000" spans="1:7" x14ac:dyDescent="0.2">
      <c r="A3000" t="s">
        <v>4313</v>
      </c>
      <c r="B3000">
        <v>0</v>
      </c>
      <c r="C3000">
        <v>0</v>
      </c>
      <c r="D3000">
        <v>0</v>
      </c>
      <c r="E3000">
        <v>0</v>
      </c>
      <c r="F3000">
        <v>0</v>
      </c>
      <c r="G3000">
        <v>0</v>
      </c>
    </row>
    <row r="3001" spans="1:7" x14ac:dyDescent="0.2">
      <c r="A3001" t="s">
        <v>4314</v>
      </c>
      <c r="B3001">
        <v>0</v>
      </c>
      <c r="C3001">
        <v>0</v>
      </c>
      <c r="D3001">
        <v>0</v>
      </c>
      <c r="E3001">
        <v>0</v>
      </c>
      <c r="F3001">
        <v>1</v>
      </c>
      <c r="G3001">
        <v>1</v>
      </c>
    </row>
    <row r="3002" spans="1:7" x14ac:dyDescent="0.2">
      <c r="A3002" t="s">
        <v>4315</v>
      </c>
      <c r="B3002">
        <v>0</v>
      </c>
      <c r="C3002">
        <v>0</v>
      </c>
      <c r="D3002">
        <v>0</v>
      </c>
      <c r="E3002">
        <v>0</v>
      </c>
      <c r="F3002">
        <v>0</v>
      </c>
      <c r="G3002">
        <v>0</v>
      </c>
    </row>
    <row r="3003" spans="1:7" x14ac:dyDescent="0.2">
      <c r="A3003" t="s">
        <v>4316</v>
      </c>
      <c r="B3003">
        <v>0</v>
      </c>
      <c r="C3003">
        <v>0</v>
      </c>
      <c r="D3003">
        <v>0</v>
      </c>
      <c r="E3003">
        <v>0</v>
      </c>
      <c r="F3003">
        <v>0</v>
      </c>
      <c r="G3003">
        <v>0</v>
      </c>
    </row>
    <row r="3004" spans="1:7" x14ac:dyDescent="0.2">
      <c r="A3004" t="s">
        <v>4317</v>
      </c>
      <c r="B3004">
        <v>0</v>
      </c>
      <c r="C3004">
        <v>0</v>
      </c>
      <c r="D3004">
        <v>0</v>
      </c>
      <c r="E3004">
        <v>0</v>
      </c>
      <c r="F3004">
        <v>0</v>
      </c>
      <c r="G3004">
        <v>0</v>
      </c>
    </row>
    <row r="3005" spans="1:7" x14ac:dyDescent="0.2">
      <c r="A3005" t="s">
        <v>4318</v>
      </c>
      <c r="B3005">
        <v>0</v>
      </c>
      <c r="C3005">
        <v>0</v>
      </c>
      <c r="D3005">
        <v>0</v>
      </c>
      <c r="E3005">
        <v>0</v>
      </c>
      <c r="F3005">
        <v>0</v>
      </c>
      <c r="G3005">
        <v>0</v>
      </c>
    </row>
    <row r="3006" spans="1:7" x14ac:dyDescent="0.2">
      <c r="A3006" t="s">
        <v>4319</v>
      </c>
      <c r="B3006">
        <v>0</v>
      </c>
      <c r="C3006">
        <v>0</v>
      </c>
      <c r="D3006">
        <v>0</v>
      </c>
      <c r="E3006">
        <v>0</v>
      </c>
      <c r="F3006">
        <v>0</v>
      </c>
      <c r="G3006">
        <v>0</v>
      </c>
    </row>
    <row r="3007" spans="1:7" x14ac:dyDescent="0.2">
      <c r="A3007" t="s">
        <v>4320</v>
      </c>
      <c r="B3007">
        <v>0</v>
      </c>
      <c r="C3007">
        <v>0</v>
      </c>
      <c r="D3007">
        <v>0</v>
      </c>
      <c r="E3007">
        <v>0</v>
      </c>
      <c r="F3007">
        <v>0</v>
      </c>
      <c r="G3007">
        <v>0</v>
      </c>
    </row>
    <row r="3008" spans="1:7" x14ac:dyDescent="0.2">
      <c r="A3008" t="s">
        <v>4321</v>
      </c>
      <c r="B3008">
        <v>0</v>
      </c>
      <c r="C3008">
        <v>0</v>
      </c>
      <c r="D3008">
        <v>0</v>
      </c>
      <c r="E3008">
        <v>0</v>
      </c>
      <c r="F3008">
        <v>0</v>
      </c>
      <c r="G3008">
        <v>0</v>
      </c>
    </row>
    <row r="3009" spans="1:7" x14ac:dyDescent="0.2">
      <c r="A3009" t="s">
        <v>4322</v>
      </c>
      <c r="B3009">
        <v>0</v>
      </c>
      <c r="C3009">
        <v>0</v>
      </c>
      <c r="D3009">
        <v>0</v>
      </c>
      <c r="E3009">
        <v>0</v>
      </c>
      <c r="F3009">
        <v>0</v>
      </c>
      <c r="G3009">
        <v>0</v>
      </c>
    </row>
    <row r="3010" spans="1:7" x14ac:dyDescent="0.2">
      <c r="A3010" t="s">
        <v>4323</v>
      </c>
      <c r="B3010">
        <v>0</v>
      </c>
      <c r="C3010">
        <v>0</v>
      </c>
      <c r="D3010">
        <v>0</v>
      </c>
      <c r="E3010">
        <v>0</v>
      </c>
      <c r="F3010">
        <v>0</v>
      </c>
      <c r="G3010">
        <v>0</v>
      </c>
    </row>
    <row r="3011" spans="1:7" x14ac:dyDescent="0.2">
      <c r="A3011" t="s">
        <v>4324</v>
      </c>
      <c r="B3011">
        <v>0</v>
      </c>
      <c r="C3011">
        <v>0</v>
      </c>
      <c r="D3011">
        <v>0</v>
      </c>
      <c r="E3011">
        <v>0</v>
      </c>
      <c r="F3011">
        <v>0</v>
      </c>
      <c r="G3011">
        <v>0</v>
      </c>
    </row>
    <row r="3012" spans="1:7" x14ac:dyDescent="0.2">
      <c r="A3012" t="s">
        <v>4325</v>
      </c>
      <c r="B3012">
        <v>0</v>
      </c>
      <c r="C3012">
        <v>0</v>
      </c>
      <c r="D3012">
        <v>0</v>
      </c>
      <c r="E3012">
        <v>0</v>
      </c>
      <c r="F3012">
        <v>0</v>
      </c>
      <c r="G3012">
        <v>0</v>
      </c>
    </row>
    <row r="3013" spans="1:7" x14ac:dyDescent="0.2">
      <c r="A3013" t="s">
        <v>4326</v>
      </c>
      <c r="B3013">
        <v>0</v>
      </c>
      <c r="C3013">
        <v>0</v>
      </c>
      <c r="D3013">
        <v>0</v>
      </c>
      <c r="E3013">
        <v>0</v>
      </c>
      <c r="F3013">
        <v>0</v>
      </c>
      <c r="G3013">
        <v>0</v>
      </c>
    </row>
    <row r="3014" spans="1:7" x14ac:dyDescent="0.2">
      <c r="A3014" t="s">
        <v>4327</v>
      </c>
      <c r="B3014">
        <v>0</v>
      </c>
      <c r="C3014">
        <v>0</v>
      </c>
      <c r="D3014">
        <v>0</v>
      </c>
      <c r="E3014">
        <v>0</v>
      </c>
      <c r="F3014">
        <v>3</v>
      </c>
      <c r="G3014">
        <v>3</v>
      </c>
    </row>
    <row r="3015" spans="1:7" x14ac:dyDescent="0.2">
      <c r="A3015" t="s">
        <v>4328</v>
      </c>
      <c r="B3015">
        <v>0</v>
      </c>
      <c r="C3015">
        <v>0</v>
      </c>
      <c r="D3015">
        <v>0</v>
      </c>
      <c r="E3015">
        <v>0</v>
      </c>
      <c r="F3015">
        <v>0</v>
      </c>
      <c r="G3015">
        <v>0</v>
      </c>
    </row>
    <row r="3016" spans="1:7" x14ac:dyDescent="0.2">
      <c r="A3016" t="s">
        <v>4329</v>
      </c>
      <c r="B3016">
        <v>0</v>
      </c>
      <c r="C3016">
        <v>0</v>
      </c>
      <c r="D3016">
        <v>0</v>
      </c>
      <c r="E3016">
        <v>0</v>
      </c>
      <c r="F3016">
        <v>0</v>
      </c>
      <c r="G3016">
        <v>0</v>
      </c>
    </row>
    <row r="3017" spans="1:7" x14ac:dyDescent="0.2">
      <c r="A3017" t="s">
        <v>4330</v>
      </c>
      <c r="B3017">
        <v>0</v>
      </c>
      <c r="C3017">
        <v>0</v>
      </c>
      <c r="D3017">
        <v>0</v>
      </c>
      <c r="E3017">
        <v>0</v>
      </c>
      <c r="F3017">
        <v>0</v>
      </c>
      <c r="G3017">
        <v>0</v>
      </c>
    </row>
    <row r="3018" spans="1:7" x14ac:dyDescent="0.2">
      <c r="A3018" t="s">
        <v>4331</v>
      </c>
      <c r="B3018">
        <v>0</v>
      </c>
      <c r="C3018">
        <v>0</v>
      </c>
      <c r="D3018">
        <v>0</v>
      </c>
      <c r="E3018">
        <v>0</v>
      </c>
      <c r="F3018">
        <v>0</v>
      </c>
      <c r="G3018">
        <v>0</v>
      </c>
    </row>
    <row r="3019" spans="1:7" x14ac:dyDescent="0.2">
      <c r="A3019" t="s">
        <v>4332</v>
      </c>
      <c r="B3019">
        <v>0</v>
      </c>
      <c r="C3019">
        <v>0</v>
      </c>
      <c r="D3019">
        <v>0</v>
      </c>
      <c r="E3019">
        <v>9</v>
      </c>
      <c r="F3019">
        <v>4</v>
      </c>
      <c r="G3019">
        <v>14</v>
      </c>
    </row>
    <row r="3020" spans="1:7" x14ac:dyDescent="0.2">
      <c r="A3020" t="s">
        <v>4333</v>
      </c>
      <c r="B3020">
        <v>0</v>
      </c>
      <c r="C3020">
        <v>0</v>
      </c>
      <c r="D3020">
        <v>0</v>
      </c>
      <c r="E3020">
        <v>0</v>
      </c>
      <c r="F3020">
        <v>0</v>
      </c>
      <c r="G3020">
        <v>0</v>
      </c>
    </row>
    <row r="3021" spans="1:7" x14ac:dyDescent="0.2">
      <c r="A3021" t="s">
        <v>4334</v>
      </c>
      <c r="B3021">
        <v>0</v>
      </c>
      <c r="C3021">
        <v>0</v>
      </c>
      <c r="D3021">
        <v>0</v>
      </c>
      <c r="E3021">
        <v>0</v>
      </c>
      <c r="F3021">
        <v>0</v>
      </c>
      <c r="G3021">
        <v>0</v>
      </c>
    </row>
    <row r="3022" spans="1:7" x14ac:dyDescent="0.2">
      <c r="A3022" t="s">
        <v>4335</v>
      </c>
      <c r="B3022">
        <v>0</v>
      </c>
      <c r="C3022">
        <v>0</v>
      </c>
      <c r="D3022">
        <v>0</v>
      </c>
      <c r="E3022">
        <v>0</v>
      </c>
      <c r="F3022">
        <v>0</v>
      </c>
      <c r="G3022">
        <v>0</v>
      </c>
    </row>
    <row r="3023" spans="1:7" x14ac:dyDescent="0.2">
      <c r="A3023" t="s">
        <v>4336</v>
      </c>
      <c r="B3023">
        <v>0</v>
      </c>
      <c r="C3023">
        <v>0</v>
      </c>
      <c r="D3023">
        <v>0</v>
      </c>
      <c r="E3023">
        <v>0</v>
      </c>
      <c r="F3023">
        <v>0</v>
      </c>
      <c r="G3023">
        <v>0</v>
      </c>
    </row>
    <row r="3024" spans="1:7" x14ac:dyDescent="0.2">
      <c r="A3024" t="s">
        <v>4337</v>
      </c>
      <c r="B3024">
        <v>0</v>
      </c>
      <c r="C3024">
        <v>0</v>
      </c>
      <c r="D3024">
        <v>0</v>
      </c>
      <c r="E3024">
        <v>0</v>
      </c>
      <c r="F3024">
        <v>568</v>
      </c>
      <c r="G3024">
        <v>568</v>
      </c>
    </row>
    <row r="3025" spans="1:7" x14ac:dyDescent="0.2">
      <c r="A3025" t="s">
        <v>4338</v>
      </c>
      <c r="B3025">
        <v>0</v>
      </c>
      <c r="C3025">
        <v>0</v>
      </c>
      <c r="D3025">
        <v>0</v>
      </c>
      <c r="E3025">
        <v>63</v>
      </c>
      <c r="F3025">
        <v>1104</v>
      </c>
      <c r="G3025">
        <v>1166</v>
      </c>
    </row>
    <row r="3026" spans="1:7" x14ac:dyDescent="0.2">
      <c r="A3026" t="s">
        <v>4339</v>
      </c>
      <c r="B3026">
        <v>0</v>
      </c>
      <c r="C3026">
        <v>0</v>
      </c>
      <c r="D3026">
        <v>0</v>
      </c>
      <c r="E3026">
        <v>0</v>
      </c>
      <c r="F3026">
        <v>0</v>
      </c>
      <c r="G3026">
        <v>0</v>
      </c>
    </row>
    <row r="3027" spans="1:7" x14ac:dyDescent="0.2">
      <c r="A3027" t="s">
        <v>4340</v>
      </c>
      <c r="B3027">
        <v>0</v>
      </c>
      <c r="C3027">
        <v>0</v>
      </c>
      <c r="D3027">
        <v>0</v>
      </c>
      <c r="E3027">
        <v>0</v>
      </c>
      <c r="F3027">
        <v>0</v>
      </c>
      <c r="G3027">
        <v>0</v>
      </c>
    </row>
    <row r="3028" spans="1:7" x14ac:dyDescent="0.2">
      <c r="A3028" t="s">
        <v>4341</v>
      </c>
      <c r="B3028">
        <v>0</v>
      </c>
      <c r="C3028">
        <v>0</v>
      </c>
      <c r="D3028">
        <v>0</v>
      </c>
      <c r="E3028">
        <v>0</v>
      </c>
      <c r="F3028">
        <v>0</v>
      </c>
      <c r="G3028">
        <v>0</v>
      </c>
    </row>
    <row r="3029" spans="1:7" x14ac:dyDescent="0.2">
      <c r="A3029" t="s">
        <v>4342</v>
      </c>
      <c r="B3029">
        <v>0</v>
      </c>
      <c r="C3029">
        <v>0</v>
      </c>
      <c r="D3029">
        <v>0</v>
      </c>
      <c r="E3029">
        <v>0</v>
      </c>
      <c r="F3029">
        <v>0</v>
      </c>
      <c r="G3029">
        <v>0</v>
      </c>
    </row>
    <row r="3030" spans="1:7" x14ac:dyDescent="0.2">
      <c r="A3030" t="s">
        <v>4343</v>
      </c>
      <c r="B3030">
        <v>0</v>
      </c>
      <c r="C3030">
        <v>0</v>
      </c>
      <c r="D3030">
        <v>0</v>
      </c>
      <c r="E3030">
        <v>0</v>
      </c>
      <c r="F3030">
        <v>0</v>
      </c>
      <c r="G3030">
        <v>0</v>
      </c>
    </row>
    <row r="3031" spans="1:7" x14ac:dyDescent="0.2">
      <c r="A3031" t="s">
        <v>1728</v>
      </c>
      <c r="B3031">
        <v>0</v>
      </c>
      <c r="C3031">
        <v>0</v>
      </c>
      <c r="D3031">
        <v>0</v>
      </c>
      <c r="E3031">
        <v>0</v>
      </c>
      <c r="F3031">
        <v>0</v>
      </c>
      <c r="G3031">
        <v>0</v>
      </c>
    </row>
    <row r="3032" spans="1:7" x14ac:dyDescent="0.2">
      <c r="A3032" t="s">
        <v>1730</v>
      </c>
      <c r="B3032">
        <v>0</v>
      </c>
      <c r="C3032">
        <v>0</v>
      </c>
      <c r="D3032">
        <v>0</v>
      </c>
      <c r="E3032">
        <v>0</v>
      </c>
      <c r="F3032">
        <v>18</v>
      </c>
      <c r="G3032">
        <v>19</v>
      </c>
    </row>
    <row r="3033" spans="1:7" x14ac:dyDescent="0.2">
      <c r="A3033" t="s">
        <v>1733</v>
      </c>
      <c r="B3033">
        <v>0</v>
      </c>
      <c r="C3033">
        <v>0</v>
      </c>
      <c r="D3033">
        <v>0</v>
      </c>
      <c r="E3033">
        <v>0</v>
      </c>
      <c r="F3033">
        <v>0</v>
      </c>
      <c r="G3033">
        <v>0</v>
      </c>
    </row>
    <row r="3034" spans="1:7" x14ac:dyDescent="0.2">
      <c r="A3034" t="s">
        <v>1738</v>
      </c>
      <c r="B3034">
        <v>0</v>
      </c>
      <c r="C3034">
        <v>0</v>
      </c>
      <c r="D3034">
        <v>0</v>
      </c>
      <c r="E3034">
        <v>0</v>
      </c>
      <c r="F3034">
        <v>0</v>
      </c>
      <c r="G3034">
        <v>0</v>
      </c>
    </row>
    <row r="3035" spans="1:7" x14ac:dyDescent="0.2">
      <c r="A3035" t="s">
        <v>1744</v>
      </c>
      <c r="B3035">
        <v>0</v>
      </c>
      <c r="C3035">
        <v>0</v>
      </c>
      <c r="D3035">
        <v>0</v>
      </c>
      <c r="E3035">
        <v>0</v>
      </c>
      <c r="F3035">
        <v>0</v>
      </c>
      <c r="G3035">
        <v>0</v>
      </c>
    </row>
    <row r="3036" spans="1:7" x14ac:dyDescent="0.2">
      <c r="A3036" t="s">
        <v>1747</v>
      </c>
      <c r="B3036">
        <v>0</v>
      </c>
      <c r="C3036">
        <v>0</v>
      </c>
      <c r="D3036">
        <v>0</v>
      </c>
      <c r="E3036">
        <v>0</v>
      </c>
      <c r="F3036">
        <v>0</v>
      </c>
      <c r="G3036">
        <v>0</v>
      </c>
    </row>
    <row r="3037" spans="1:7" x14ac:dyDescent="0.2">
      <c r="A3037" t="s">
        <v>1751</v>
      </c>
      <c r="B3037">
        <v>0</v>
      </c>
      <c r="C3037">
        <v>0</v>
      </c>
      <c r="D3037">
        <v>0</v>
      </c>
      <c r="E3037">
        <v>0</v>
      </c>
      <c r="F3037">
        <v>0</v>
      </c>
      <c r="G3037">
        <v>0</v>
      </c>
    </row>
    <row r="3038" spans="1:7" x14ac:dyDescent="0.2">
      <c r="A3038" t="s">
        <v>1755</v>
      </c>
      <c r="B3038">
        <v>0</v>
      </c>
      <c r="C3038">
        <v>0</v>
      </c>
      <c r="D3038">
        <v>0</v>
      </c>
      <c r="E3038">
        <v>0</v>
      </c>
      <c r="F3038">
        <v>0</v>
      </c>
      <c r="G3038">
        <v>0</v>
      </c>
    </row>
    <row r="3039" spans="1:7" x14ac:dyDescent="0.2">
      <c r="A3039" t="s">
        <v>1757</v>
      </c>
      <c r="B3039">
        <v>0</v>
      </c>
      <c r="C3039">
        <v>0</v>
      </c>
      <c r="D3039">
        <v>0</v>
      </c>
      <c r="E3039">
        <v>0</v>
      </c>
      <c r="F3039">
        <v>0</v>
      </c>
      <c r="G3039">
        <v>0</v>
      </c>
    </row>
    <row r="3040" spans="1:7" x14ac:dyDescent="0.2">
      <c r="A3040" t="s">
        <v>1761</v>
      </c>
      <c r="B3040">
        <v>0</v>
      </c>
      <c r="C3040">
        <v>0</v>
      </c>
      <c r="D3040">
        <v>0</v>
      </c>
      <c r="E3040">
        <v>0</v>
      </c>
      <c r="F3040">
        <v>0</v>
      </c>
      <c r="G3040">
        <v>0</v>
      </c>
    </row>
    <row r="3041" spans="1:7" x14ac:dyDescent="0.2">
      <c r="A3041" t="s">
        <v>1764</v>
      </c>
      <c r="B3041">
        <v>0</v>
      </c>
      <c r="C3041">
        <v>0</v>
      </c>
      <c r="D3041">
        <v>0</v>
      </c>
      <c r="E3041">
        <v>0</v>
      </c>
      <c r="F3041">
        <v>0</v>
      </c>
      <c r="G3041">
        <v>0</v>
      </c>
    </row>
    <row r="3042" spans="1:7" x14ac:dyDescent="0.2">
      <c r="A3042" t="s">
        <v>1770</v>
      </c>
      <c r="B3042">
        <v>0</v>
      </c>
      <c r="C3042">
        <v>0</v>
      </c>
      <c r="D3042">
        <v>3</v>
      </c>
      <c r="E3042">
        <v>7</v>
      </c>
      <c r="F3042">
        <v>0</v>
      </c>
      <c r="G3042">
        <v>9</v>
      </c>
    </row>
    <row r="3043" spans="1:7" x14ac:dyDescent="0.2">
      <c r="A3043" t="s">
        <v>1772</v>
      </c>
      <c r="B3043">
        <v>0</v>
      </c>
      <c r="C3043">
        <v>0</v>
      </c>
      <c r="D3043">
        <v>0</v>
      </c>
      <c r="E3043">
        <v>3</v>
      </c>
      <c r="F3043">
        <v>0</v>
      </c>
      <c r="G3043">
        <v>3</v>
      </c>
    </row>
    <row r="3044" spans="1:7" x14ac:dyDescent="0.2">
      <c r="A3044" t="s">
        <v>1774</v>
      </c>
      <c r="B3044">
        <v>0</v>
      </c>
      <c r="C3044">
        <v>0</v>
      </c>
      <c r="D3044">
        <v>0</v>
      </c>
      <c r="E3044">
        <v>0</v>
      </c>
      <c r="F3044">
        <v>0</v>
      </c>
      <c r="G3044">
        <v>0</v>
      </c>
    </row>
    <row r="3045" spans="1:7" x14ac:dyDescent="0.2">
      <c r="A3045" t="s">
        <v>1777</v>
      </c>
      <c r="B3045">
        <v>0</v>
      </c>
      <c r="C3045">
        <v>0</v>
      </c>
      <c r="D3045">
        <v>0</v>
      </c>
      <c r="E3045">
        <v>0</v>
      </c>
      <c r="F3045">
        <v>0</v>
      </c>
      <c r="G3045">
        <v>0</v>
      </c>
    </row>
    <row r="3046" spans="1:7" x14ac:dyDescent="0.2">
      <c r="A3046" t="s">
        <v>1782</v>
      </c>
      <c r="B3046">
        <v>0</v>
      </c>
      <c r="C3046">
        <v>0</v>
      </c>
      <c r="D3046">
        <v>0</v>
      </c>
      <c r="E3046">
        <v>0</v>
      </c>
      <c r="F3046">
        <v>0</v>
      </c>
      <c r="G3046">
        <v>0</v>
      </c>
    </row>
    <row r="3047" spans="1:7" x14ac:dyDescent="0.2">
      <c r="A3047" t="s">
        <v>1274</v>
      </c>
      <c r="B3047">
        <v>0</v>
      </c>
      <c r="C3047">
        <v>0</v>
      </c>
      <c r="D3047">
        <v>0</v>
      </c>
      <c r="E3047">
        <v>0</v>
      </c>
      <c r="F3047">
        <v>0</v>
      </c>
      <c r="G3047">
        <v>0</v>
      </c>
    </row>
    <row r="3048" spans="1:7" x14ac:dyDescent="0.2">
      <c r="A3048" t="s">
        <v>1277</v>
      </c>
      <c r="B3048">
        <v>0</v>
      </c>
      <c r="C3048">
        <v>0</v>
      </c>
      <c r="D3048">
        <v>0</v>
      </c>
      <c r="E3048">
        <v>0</v>
      </c>
      <c r="F3048">
        <v>0</v>
      </c>
      <c r="G3048">
        <v>0</v>
      </c>
    </row>
    <row r="3049" spans="1:7" x14ac:dyDescent="0.2">
      <c r="A3049" t="s">
        <v>1798</v>
      </c>
      <c r="B3049">
        <v>0</v>
      </c>
      <c r="C3049">
        <v>0</v>
      </c>
      <c r="D3049">
        <v>0</v>
      </c>
      <c r="E3049">
        <v>0</v>
      </c>
      <c r="F3049">
        <v>0</v>
      </c>
      <c r="G3049">
        <v>0</v>
      </c>
    </row>
    <row r="3050" spans="1:7" x14ac:dyDescent="0.2">
      <c r="A3050" t="s">
        <v>1803</v>
      </c>
      <c r="B3050">
        <v>0</v>
      </c>
      <c r="C3050">
        <v>0</v>
      </c>
      <c r="D3050">
        <v>0</v>
      </c>
      <c r="E3050">
        <v>0</v>
      </c>
      <c r="F3050">
        <v>0</v>
      </c>
      <c r="G3050">
        <v>0</v>
      </c>
    </row>
    <row r="3051" spans="1:7" x14ac:dyDescent="0.2">
      <c r="A3051" t="s">
        <v>1808</v>
      </c>
      <c r="B3051">
        <v>0</v>
      </c>
      <c r="C3051">
        <v>0</v>
      </c>
      <c r="D3051">
        <v>0</v>
      </c>
      <c r="E3051">
        <v>0</v>
      </c>
      <c r="F3051">
        <v>0</v>
      </c>
      <c r="G3051">
        <v>0</v>
      </c>
    </row>
    <row r="3052" spans="1:7" x14ac:dyDescent="0.2">
      <c r="A3052" t="s">
        <v>1813</v>
      </c>
      <c r="B3052">
        <v>0</v>
      </c>
      <c r="C3052">
        <v>0</v>
      </c>
      <c r="D3052">
        <v>0</v>
      </c>
      <c r="E3052">
        <v>0</v>
      </c>
      <c r="F3052">
        <v>0</v>
      </c>
      <c r="G3052">
        <v>0</v>
      </c>
    </row>
    <row r="3053" spans="1:7" x14ac:dyDescent="0.2">
      <c r="A3053" t="s">
        <v>1819</v>
      </c>
      <c r="B3053">
        <v>0</v>
      </c>
      <c r="C3053">
        <v>0</v>
      </c>
      <c r="D3053">
        <v>0</v>
      </c>
      <c r="E3053">
        <v>0</v>
      </c>
      <c r="F3053">
        <v>0</v>
      </c>
      <c r="G3053">
        <v>0</v>
      </c>
    </row>
    <row r="3054" spans="1:7" x14ac:dyDescent="0.2">
      <c r="A3054" t="s">
        <v>1826</v>
      </c>
      <c r="B3054">
        <v>0</v>
      </c>
      <c r="C3054">
        <v>0</v>
      </c>
      <c r="D3054">
        <v>0</v>
      </c>
      <c r="E3054">
        <v>0</v>
      </c>
      <c r="F3054">
        <v>0</v>
      </c>
      <c r="G3054">
        <v>0</v>
      </c>
    </row>
    <row r="3055" spans="1:7" x14ac:dyDescent="0.2">
      <c r="A3055" t="s">
        <v>1830</v>
      </c>
      <c r="B3055">
        <v>0</v>
      </c>
      <c r="C3055">
        <v>0</v>
      </c>
      <c r="D3055">
        <v>0</v>
      </c>
      <c r="E3055">
        <v>0</v>
      </c>
      <c r="F3055">
        <v>0</v>
      </c>
      <c r="G3055">
        <v>0</v>
      </c>
    </row>
    <row r="3056" spans="1:7" x14ac:dyDescent="0.2">
      <c r="A3056" t="s">
        <v>1836</v>
      </c>
      <c r="B3056">
        <v>0</v>
      </c>
      <c r="C3056">
        <v>0</v>
      </c>
      <c r="D3056">
        <v>0</v>
      </c>
      <c r="E3056">
        <v>0</v>
      </c>
      <c r="F3056">
        <v>0</v>
      </c>
      <c r="G3056">
        <v>0</v>
      </c>
    </row>
    <row r="3057" spans="1:7" x14ac:dyDescent="0.2">
      <c r="A3057" t="s">
        <v>1841</v>
      </c>
      <c r="B3057">
        <v>0</v>
      </c>
      <c r="C3057">
        <v>0</v>
      </c>
      <c r="D3057">
        <v>0</v>
      </c>
      <c r="E3057">
        <v>0</v>
      </c>
      <c r="F3057">
        <v>0</v>
      </c>
      <c r="G3057">
        <v>0</v>
      </c>
    </row>
    <row r="3058" spans="1:7" x14ac:dyDescent="0.2">
      <c r="A3058" t="s">
        <v>1842</v>
      </c>
      <c r="B3058">
        <v>0</v>
      </c>
      <c r="C3058">
        <v>0</v>
      </c>
      <c r="D3058">
        <v>0</v>
      </c>
      <c r="E3058">
        <v>0</v>
      </c>
      <c r="F3058">
        <v>0</v>
      </c>
      <c r="G3058">
        <v>0</v>
      </c>
    </row>
    <row r="3059" spans="1:7" x14ac:dyDescent="0.2">
      <c r="A3059" t="s">
        <v>1843</v>
      </c>
      <c r="B3059">
        <v>0</v>
      </c>
      <c r="C3059">
        <v>0</v>
      </c>
      <c r="D3059">
        <v>0</v>
      </c>
      <c r="E3059">
        <v>0</v>
      </c>
      <c r="F3059">
        <v>0</v>
      </c>
      <c r="G3059">
        <v>0</v>
      </c>
    </row>
    <row r="3060" spans="1:7" x14ac:dyDescent="0.2">
      <c r="A3060" t="s">
        <v>1846</v>
      </c>
      <c r="B3060">
        <v>0</v>
      </c>
      <c r="C3060">
        <v>0</v>
      </c>
      <c r="D3060">
        <v>0</v>
      </c>
      <c r="E3060">
        <v>0</v>
      </c>
      <c r="F3060">
        <v>0</v>
      </c>
      <c r="G3060">
        <v>0</v>
      </c>
    </row>
    <row r="3061" spans="1:7" x14ac:dyDescent="0.2">
      <c r="A3061" t="s">
        <v>1851</v>
      </c>
      <c r="B3061">
        <v>0</v>
      </c>
      <c r="C3061">
        <v>0</v>
      </c>
      <c r="D3061">
        <v>0</v>
      </c>
      <c r="E3061">
        <v>0</v>
      </c>
      <c r="F3061">
        <v>0</v>
      </c>
      <c r="G3061">
        <v>0</v>
      </c>
    </row>
    <row r="3062" spans="1:7" x14ac:dyDescent="0.2">
      <c r="A3062" t="s">
        <v>1857</v>
      </c>
      <c r="B3062">
        <v>0</v>
      </c>
      <c r="C3062">
        <v>0</v>
      </c>
      <c r="D3062">
        <v>0</v>
      </c>
      <c r="E3062">
        <v>0</v>
      </c>
      <c r="F3062">
        <v>0</v>
      </c>
      <c r="G3062">
        <v>0</v>
      </c>
    </row>
    <row r="3063" spans="1:7" x14ac:dyDescent="0.2">
      <c r="A3063" t="s">
        <v>1862</v>
      </c>
      <c r="B3063">
        <v>0</v>
      </c>
      <c r="C3063">
        <v>0</v>
      </c>
      <c r="D3063">
        <v>0</v>
      </c>
      <c r="E3063">
        <v>0</v>
      </c>
      <c r="F3063">
        <v>0</v>
      </c>
      <c r="G3063">
        <v>0</v>
      </c>
    </row>
    <row r="3064" spans="1:7" x14ac:dyDescent="0.2">
      <c r="A3064" t="s">
        <v>1867</v>
      </c>
      <c r="B3064">
        <v>0</v>
      </c>
      <c r="C3064">
        <v>0</v>
      </c>
      <c r="D3064">
        <v>0</v>
      </c>
      <c r="E3064">
        <v>0</v>
      </c>
      <c r="F3064">
        <v>0</v>
      </c>
      <c r="G3064">
        <v>0</v>
      </c>
    </row>
    <row r="3065" spans="1:7" x14ac:dyDescent="0.2">
      <c r="A3065" t="s">
        <v>1870</v>
      </c>
      <c r="B3065">
        <v>0</v>
      </c>
      <c r="C3065">
        <v>0</v>
      </c>
      <c r="D3065">
        <v>0</v>
      </c>
      <c r="E3065">
        <v>0</v>
      </c>
      <c r="F3065">
        <v>0</v>
      </c>
      <c r="G3065">
        <v>0</v>
      </c>
    </row>
    <row r="3066" spans="1:7" x14ac:dyDescent="0.2">
      <c r="A3066" t="s">
        <v>1874</v>
      </c>
      <c r="B3066">
        <v>0</v>
      </c>
      <c r="C3066">
        <v>0</v>
      </c>
      <c r="D3066">
        <v>0</v>
      </c>
      <c r="E3066">
        <v>0</v>
      </c>
      <c r="F3066">
        <v>0</v>
      </c>
      <c r="G3066">
        <v>0</v>
      </c>
    </row>
    <row r="3067" spans="1:7" x14ac:dyDescent="0.2">
      <c r="A3067" t="s">
        <v>1876</v>
      </c>
      <c r="B3067">
        <v>0</v>
      </c>
      <c r="C3067">
        <v>0</v>
      </c>
      <c r="D3067">
        <v>0</v>
      </c>
      <c r="E3067">
        <v>0</v>
      </c>
      <c r="F3067">
        <v>0</v>
      </c>
      <c r="G3067">
        <v>0</v>
      </c>
    </row>
    <row r="3068" spans="1:7" x14ac:dyDescent="0.2">
      <c r="A3068" t="s">
        <v>1881</v>
      </c>
      <c r="B3068">
        <v>0</v>
      </c>
      <c r="C3068">
        <v>0</v>
      </c>
      <c r="D3068">
        <v>0</v>
      </c>
      <c r="E3068">
        <v>0</v>
      </c>
      <c r="F3068">
        <v>0</v>
      </c>
      <c r="G3068">
        <v>0</v>
      </c>
    </row>
    <row r="3069" spans="1:7" x14ac:dyDescent="0.2">
      <c r="A3069" t="s">
        <v>1885</v>
      </c>
      <c r="B3069">
        <v>0</v>
      </c>
      <c r="C3069">
        <v>0</v>
      </c>
      <c r="D3069">
        <v>0</v>
      </c>
      <c r="E3069">
        <v>0</v>
      </c>
      <c r="F3069">
        <v>0</v>
      </c>
      <c r="G3069">
        <v>0</v>
      </c>
    </row>
    <row r="3070" spans="1:7" x14ac:dyDescent="0.2">
      <c r="A3070" t="s">
        <v>1887</v>
      </c>
      <c r="B3070">
        <v>0</v>
      </c>
      <c r="C3070">
        <v>0</v>
      </c>
      <c r="D3070">
        <v>0</v>
      </c>
      <c r="E3070">
        <v>0</v>
      </c>
      <c r="F3070">
        <v>0</v>
      </c>
      <c r="G3070">
        <v>0</v>
      </c>
    </row>
    <row r="3071" spans="1:7" x14ac:dyDescent="0.2">
      <c r="A3071" t="s">
        <v>1893</v>
      </c>
      <c r="B3071">
        <v>0</v>
      </c>
      <c r="C3071">
        <v>0</v>
      </c>
      <c r="D3071">
        <v>0</v>
      </c>
      <c r="E3071">
        <v>0</v>
      </c>
      <c r="F3071">
        <v>0</v>
      </c>
      <c r="G3071">
        <v>0</v>
      </c>
    </row>
    <row r="3072" spans="1:7" x14ac:dyDescent="0.2">
      <c r="A3072" t="s">
        <v>1899</v>
      </c>
      <c r="B3072">
        <v>0</v>
      </c>
      <c r="C3072">
        <v>0</v>
      </c>
      <c r="D3072">
        <v>0</v>
      </c>
      <c r="E3072">
        <v>0</v>
      </c>
      <c r="F3072">
        <v>0</v>
      </c>
      <c r="G3072">
        <v>0</v>
      </c>
    </row>
    <row r="3073" spans="1:7" x14ac:dyDescent="0.2">
      <c r="A3073" t="s">
        <v>1906</v>
      </c>
      <c r="B3073">
        <v>0</v>
      </c>
      <c r="C3073">
        <v>0</v>
      </c>
      <c r="D3073">
        <v>0</v>
      </c>
      <c r="E3073">
        <v>0</v>
      </c>
      <c r="F3073">
        <v>0</v>
      </c>
      <c r="G3073">
        <v>0</v>
      </c>
    </row>
    <row r="3074" spans="1:7" x14ac:dyDescent="0.2">
      <c r="A3074" t="s">
        <v>1911</v>
      </c>
      <c r="B3074">
        <v>0</v>
      </c>
      <c r="C3074">
        <v>0</v>
      </c>
      <c r="D3074">
        <v>0</v>
      </c>
      <c r="E3074">
        <v>0</v>
      </c>
      <c r="F3074">
        <v>0</v>
      </c>
      <c r="G3074">
        <v>0</v>
      </c>
    </row>
    <row r="3075" spans="1:7" x14ac:dyDescent="0.2">
      <c r="A3075" t="s">
        <v>1917</v>
      </c>
      <c r="B3075">
        <v>0</v>
      </c>
      <c r="C3075">
        <v>0</v>
      </c>
      <c r="D3075">
        <v>0</v>
      </c>
      <c r="E3075">
        <v>0</v>
      </c>
      <c r="F3075">
        <v>0</v>
      </c>
      <c r="G3075">
        <v>0</v>
      </c>
    </row>
    <row r="3076" spans="1:7" x14ac:dyDescent="0.2">
      <c r="A3076" t="s">
        <v>1922</v>
      </c>
      <c r="B3076">
        <v>0</v>
      </c>
      <c r="C3076">
        <v>0</v>
      </c>
      <c r="D3076">
        <v>0</v>
      </c>
      <c r="E3076">
        <v>0</v>
      </c>
      <c r="F3076">
        <v>0</v>
      </c>
      <c r="G3076">
        <v>0</v>
      </c>
    </row>
    <row r="3077" spans="1:7" x14ac:dyDescent="0.2">
      <c r="A3077" t="s">
        <v>1928</v>
      </c>
      <c r="B3077">
        <v>0</v>
      </c>
      <c r="C3077">
        <v>0</v>
      </c>
      <c r="D3077">
        <v>0</v>
      </c>
      <c r="E3077">
        <v>0</v>
      </c>
      <c r="F3077">
        <v>0</v>
      </c>
      <c r="G3077">
        <v>0</v>
      </c>
    </row>
    <row r="3078" spans="1:7" x14ac:dyDescent="0.2">
      <c r="A3078" t="s">
        <v>1932</v>
      </c>
      <c r="B3078">
        <v>0</v>
      </c>
      <c r="C3078">
        <v>0</v>
      </c>
      <c r="D3078">
        <v>0</v>
      </c>
      <c r="E3078">
        <v>0</v>
      </c>
      <c r="F3078">
        <v>0</v>
      </c>
      <c r="G3078">
        <v>0</v>
      </c>
    </row>
    <row r="3079" spans="1:7" x14ac:dyDescent="0.2">
      <c r="A3079" t="s">
        <v>1938</v>
      </c>
      <c r="B3079">
        <v>0</v>
      </c>
      <c r="C3079">
        <v>0</v>
      </c>
      <c r="D3079">
        <v>0</v>
      </c>
      <c r="E3079">
        <v>0</v>
      </c>
      <c r="F3079">
        <v>0</v>
      </c>
      <c r="G3079">
        <v>0</v>
      </c>
    </row>
    <row r="3080" spans="1:7" x14ac:dyDescent="0.2">
      <c r="A3080" t="s">
        <v>1944</v>
      </c>
      <c r="B3080">
        <v>0</v>
      </c>
      <c r="C3080">
        <v>0</v>
      </c>
      <c r="D3080">
        <v>0</v>
      </c>
      <c r="E3080">
        <v>6</v>
      </c>
      <c r="F3080">
        <v>0</v>
      </c>
      <c r="G3080">
        <v>6</v>
      </c>
    </row>
    <row r="3081" spans="1:7" x14ac:dyDescent="0.2">
      <c r="A3081" t="s">
        <v>1947</v>
      </c>
      <c r="B3081">
        <v>0</v>
      </c>
      <c r="C3081">
        <v>0</v>
      </c>
      <c r="D3081">
        <v>0</v>
      </c>
      <c r="E3081">
        <v>0</v>
      </c>
      <c r="F3081">
        <v>0</v>
      </c>
      <c r="G3081">
        <v>0</v>
      </c>
    </row>
    <row r="3082" spans="1:7" x14ac:dyDescent="0.2">
      <c r="A3082" t="s">
        <v>1953</v>
      </c>
      <c r="B3082">
        <v>0</v>
      </c>
      <c r="C3082">
        <v>0</v>
      </c>
      <c r="D3082">
        <v>0</v>
      </c>
      <c r="E3082">
        <v>0</v>
      </c>
      <c r="F3082">
        <v>0</v>
      </c>
      <c r="G3082">
        <v>0</v>
      </c>
    </row>
    <row r="3083" spans="1:7" x14ac:dyDescent="0.2">
      <c r="A3083" t="s">
        <v>1958</v>
      </c>
      <c r="B3083">
        <v>0</v>
      </c>
      <c r="C3083">
        <v>0</v>
      </c>
      <c r="D3083">
        <v>0</v>
      </c>
      <c r="E3083">
        <v>0</v>
      </c>
      <c r="F3083">
        <v>0</v>
      </c>
      <c r="G3083">
        <v>0</v>
      </c>
    </row>
    <row r="3084" spans="1:7" x14ac:dyDescent="0.2">
      <c r="A3084" t="s">
        <v>1964</v>
      </c>
      <c r="B3084">
        <v>0</v>
      </c>
      <c r="C3084">
        <v>0</v>
      </c>
      <c r="D3084">
        <v>0</v>
      </c>
      <c r="E3084">
        <v>0</v>
      </c>
      <c r="F3084">
        <v>0</v>
      </c>
      <c r="G3084">
        <v>0</v>
      </c>
    </row>
    <row r="3085" spans="1:7" x14ac:dyDescent="0.2">
      <c r="A3085" t="s">
        <v>1973</v>
      </c>
      <c r="B3085">
        <v>0</v>
      </c>
      <c r="C3085">
        <v>0</v>
      </c>
      <c r="D3085">
        <v>0</v>
      </c>
      <c r="E3085">
        <v>0</v>
      </c>
      <c r="F3085">
        <v>0</v>
      </c>
      <c r="G3085">
        <v>0</v>
      </c>
    </row>
    <row r="3086" spans="1:7" x14ac:dyDescent="0.2">
      <c r="A3086" t="s">
        <v>1978</v>
      </c>
      <c r="B3086">
        <v>0</v>
      </c>
      <c r="C3086">
        <v>0</v>
      </c>
      <c r="D3086">
        <v>0</v>
      </c>
      <c r="E3086">
        <v>0</v>
      </c>
      <c r="F3086">
        <v>0</v>
      </c>
      <c r="G3086">
        <v>0</v>
      </c>
    </row>
    <row r="3087" spans="1:7" x14ac:dyDescent="0.2">
      <c r="A3087" t="s">
        <v>1983</v>
      </c>
      <c r="B3087">
        <v>0</v>
      </c>
      <c r="C3087">
        <v>0</v>
      </c>
      <c r="D3087">
        <v>0</v>
      </c>
      <c r="E3087">
        <v>0</v>
      </c>
      <c r="F3087">
        <v>0</v>
      </c>
      <c r="G3087">
        <v>0</v>
      </c>
    </row>
    <row r="3088" spans="1:7" x14ac:dyDescent="0.2">
      <c r="A3088" t="s">
        <v>1984</v>
      </c>
      <c r="B3088">
        <v>0</v>
      </c>
      <c r="C3088">
        <v>0</v>
      </c>
      <c r="D3088">
        <v>0</v>
      </c>
      <c r="E3088">
        <v>0</v>
      </c>
      <c r="F3088">
        <v>0</v>
      </c>
      <c r="G3088">
        <v>0</v>
      </c>
    </row>
    <row r="3089" spans="1:7" x14ac:dyDescent="0.2">
      <c r="A3089" t="s">
        <v>1990</v>
      </c>
      <c r="B3089">
        <v>0</v>
      </c>
      <c r="C3089">
        <v>0</v>
      </c>
      <c r="D3089">
        <v>0</v>
      </c>
      <c r="E3089">
        <v>0</v>
      </c>
      <c r="F3089">
        <v>0</v>
      </c>
      <c r="G3089">
        <v>0</v>
      </c>
    </row>
    <row r="3090" spans="1:7" x14ac:dyDescent="0.2">
      <c r="A3090" t="s">
        <v>1996</v>
      </c>
      <c r="B3090">
        <v>0</v>
      </c>
      <c r="C3090">
        <v>0</v>
      </c>
      <c r="D3090">
        <v>0</v>
      </c>
      <c r="E3090">
        <v>0</v>
      </c>
      <c r="F3090">
        <v>0</v>
      </c>
      <c r="G3090">
        <v>0</v>
      </c>
    </row>
    <row r="3091" spans="1:7" x14ac:dyDescent="0.2">
      <c r="A3091" t="s">
        <v>1998</v>
      </c>
      <c r="B3091">
        <v>0</v>
      </c>
      <c r="C3091">
        <v>0</v>
      </c>
      <c r="D3091">
        <v>0</v>
      </c>
      <c r="E3091">
        <v>0</v>
      </c>
      <c r="F3091">
        <v>0</v>
      </c>
      <c r="G3091">
        <v>0</v>
      </c>
    </row>
    <row r="3092" spans="1:7" x14ac:dyDescent="0.2">
      <c r="A3092" t="s">
        <v>1999</v>
      </c>
      <c r="B3092">
        <v>0</v>
      </c>
      <c r="C3092">
        <v>0</v>
      </c>
      <c r="D3092">
        <v>0</v>
      </c>
      <c r="E3092">
        <v>0</v>
      </c>
      <c r="F3092">
        <v>0</v>
      </c>
      <c r="G3092">
        <v>0</v>
      </c>
    </row>
    <row r="3093" spans="1:7" x14ac:dyDescent="0.2">
      <c r="A3093" t="s">
        <v>2004</v>
      </c>
      <c r="B3093">
        <v>0</v>
      </c>
      <c r="C3093">
        <v>0</v>
      </c>
      <c r="D3093">
        <v>0</v>
      </c>
      <c r="E3093">
        <v>0</v>
      </c>
      <c r="F3093">
        <v>0</v>
      </c>
      <c r="G3093">
        <v>0</v>
      </c>
    </row>
    <row r="3094" spans="1:7" x14ac:dyDescent="0.2">
      <c r="A3094" t="s">
        <v>2009</v>
      </c>
      <c r="B3094">
        <v>0</v>
      </c>
      <c r="C3094">
        <v>0</v>
      </c>
      <c r="D3094">
        <v>0</v>
      </c>
      <c r="E3094">
        <v>0</v>
      </c>
      <c r="F3094">
        <v>0</v>
      </c>
      <c r="G3094">
        <v>0</v>
      </c>
    </row>
    <row r="3095" spans="1:7" x14ac:dyDescent="0.2">
      <c r="A3095" t="s">
        <v>2014</v>
      </c>
      <c r="B3095">
        <v>0</v>
      </c>
      <c r="C3095">
        <v>0</v>
      </c>
      <c r="D3095">
        <v>0</v>
      </c>
      <c r="E3095">
        <v>0</v>
      </c>
      <c r="F3095">
        <v>0</v>
      </c>
      <c r="G3095">
        <v>0</v>
      </c>
    </row>
    <row r="3096" spans="1:7" x14ac:dyDescent="0.2">
      <c r="A3096" t="s">
        <v>2019</v>
      </c>
      <c r="B3096">
        <v>0</v>
      </c>
      <c r="C3096">
        <v>0</v>
      </c>
      <c r="D3096">
        <v>0</v>
      </c>
      <c r="E3096">
        <v>0</v>
      </c>
      <c r="F3096">
        <v>0</v>
      </c>
      <c r="G3096">
        <v>0</v>
      </c>
    </row>
    <row r="3097" spans="1:7" x14ac:dyDescent="0.2">
      <c r="A3097" t="s">
        <v>2023</v>
      </c>
      <c r="B3097">
        <v>0</v>
      </c>
      <c r="C3097">
        <v>0</v>
      </c>
      <c r="D3097">
        <v>0</v>
      </c>
      <c r="E3097">
        <v>0</v>
      </c>
      <c r="F3097">
        <v>0</v>
      </c>
      <c r="G3097">
        <v>0</v>
      </c>
    </row>
    <row r="3098" spans="1:7" x14ac:dyDescent="0.2">
      <c r="A3098" t="s">
        <v>2026</v>
      </c>
      <c r="B3098">
        <v>0</v>
      </c>
      <c r="C3098">
        <v>0</v>
      </c>
      <c r="D3098">
        <v>0</v>
      </c>
      <c r="E3098">
        <v>0</v>
      </c>
      <c r="F3098">
        <v>0</v>
      </c>
      <c r="G3098">
        <v>0</v>
      </c>
    </row>
    <row r="3099" spans="1:7" x14ac:dyDescent="0.2">
      <c r="A3099" t="s">
        <v>2030</v>
      </c>
      <c r="B3099">
        <v>0</v>
      </c>
      <c r="C3099">
        <v>0</v>
      </c>
      <c r="D3099">
        <v>0</v>
      </c>
      <c r="E3099">
        <v>0</v>
      </c>
      <c r="F3099">
        <v>0</v>
      </c>
      <c r="G3099">
        <v>0</v>
      </c>
    </row>
    <row r="3100" spans="1:7" x14ac:dyDescent="0.2">
      <c r="A3100" t="s">
        <v>2035</v>
      </c>
      <c r="B3100">
        <v>0</v>
      </c>
      <c r="C3100">
        <v>0</v>
      </c>
      <c r="D3100">
        <v>0</v>
      </c>
      <c r="E3100">
        <v>0</v>
      </c>
      <c r="F3100">
        <v>0</v>
      </c>
      <c r="G3100">
        <v>0</v>
      </c>
    </row>
    <row r="3101" spans="1:7" x14ac:dyDescent="0.2">
      <c r="A3101" t="s">
        <v>2040</v>
      </c>
      <c r="B3101">
        <v>0</v>
      </c>
      <c r="C3101">
        <v>0</v>
      </c>
      <c r="D3101">
        <v>0</v>
      </c>
      <c r="E3101">
        <v>0</v>
      </c>
      <c r="F3101">
        <v>0</v>
      </c>
      <c r="G3101">
        <v>0</v>
      </c>
    </row>
    <row r="3102" spans="1:7" x14ac:dyDescent="0.2">
      <c r="A3102" t="s">
        <v>2045</v>
      </c>
      <c r="B3102">
        <v>0</v>
      </c>
      <c r="C3102">
        <v>0</v>
      </c>
      <c r="D3102">
        <v>0</v>
      </c>
      <c r="E3102">
        <v>0</v>
      </c>
      <c r="F3102">
        <v>0</v>
      </c>
      <c r="G3102">
        <v>0</v>
      </c>
    </row>
    <row r="3103" spans="1:7" x14ac:dyDescent="0.2">
      <c r="A3103" t="s">
        <v>2049</v>
      </c>
      <c r="B3103">
        <v>0</v>
      </c>
      <c r="C3103">
        <v>0</v>
      </c>
      <c r="D3103">
        <v>0</v>
      </c>
      <c r="E3103">
        <v>0</v>
      </c>
      <c r="F3103">
        <v>0</v>
      </c>
      <c r="G3103">
        <v>0</v>
      </c>
    </row>
    <row r="3104" spans="1:7" x14ac:dyDescent="0.2">
      <c r="A3104" t="s">
        <v>2051</v>
      </c>
      <c r="B3104">
        <v>0</v>
      </c>
      <c r="C3104">
        <v>0</v>
      </c>
      <c r="D3104">
        <v>0</v>
      </c>
      <c r="E3104">
        <v>0</v>
      </c>
      <c r="F3104">
        <v>0</v>
      </c>
      <c r="G3104">
        <v>0</v>
      </c>
    </row>
    <row r="3105" spans="1:7" x14ac:dyDescent="0.2">
      <c r="A3105" t="s">
        <v>2057</v>
      </c>
      <c r="B3105">
        <v>0</v>
      </c>
      <c r="C3105">
        <v>0</v>
      </c>
      <c r="D3105">
        <v>0</v>
      </c>
      <c r="E3105">
        <v>0</v>
      </c>
      <c r="F3105">
        <v>0</v>
      </c>
      <c r="G3105">
        <v>0</v>
      </c>
    </row>
    <row r="3106" spans="1:7" x14ac:dyDescent="0.2">
      <c r="A3106" t="s">
        <v>4344</v>
      </c>
      <c r="B3106">
        <v>0</v>
      </c>
      <c r="C3106">
        <v>0</v>
      </c>
      <c r="D3106">
        <v>0</v>
      </c>
      <c r="E3106">
        <v>0</v>
      </c>
      <c r="F3106">
        <v>0</v>
      </c>
      <c r="G3106">
        <v>0</v>
      </c>
    </row>
    <row r="3107" spans="1:7" x14ac:dyDescent="0.2">
      <c r="A3107" t="s">
        <v>4345</v>
      </c>
      <c r="B3107">
        <v>0</v>
      </c>
      <c r="C3107">
        <v>0</v>
      </c>
      <c r="D3107">
        <v>0</v>
      </c>
      <c r="E3107">
        <v>0</v>
      </c>
      <c r="F3107">
        <v>0</v>
      </c>
      <c r="G3107">
        <v>0</v>
      </c>
    </row>
    <row r="3108" spans="1:7" x14ac:dyDescent="0.2">
      <c r="A3108" t="s">
        <v>2074</v>
      </c>
      <c r="B3108">
        <v>0</v>
      </c>
      <c r="C3108">
        <v>0</v>
      </c>
      <c r="D3108">
        <v>0</v>
      </c>
      <c r="E3108">
        <v>0</v>
      </c>
      <c r="F3108">
        <v>0</v>
      </c>
      <c r="G3108">
        <v>0</v>
      </c>
    </row>
    <row r="3109" spans="1:7" x14ac:dyDescent="0.2">
      <c r="A3109" t="s">
        <v>2079</v>
      </c>
      <c r="B3109">
        <v>0</v>
      </c>
      <c r="C3109">
        <v>0</v>
      </c>
      <c r="D3109">
        <v>0</v>
      </c>
      <c r="E3109">
        <v>0</v>
      </c>
      <c r="F3109">
        <v>0</v>
      </c>
      <c r="G3109">
        <v>0</v>
      </c>
    </row>
    <row r="3110" spans="1:7" x14ac:dyDescent="0.2">
      <c r="A3110" t="s">
        <v>2085</v>
      </c>
      <c r="B3110">
        <v>0</v>
      </c>
      <c r="C3110">
        <v>0</v>
      </c>
      <c r="D3110">
        <v>0</v>
      </c>
      <c r="E3110">
        <v>0</v>
      </c>
      <c r="F3110">
        <v>0</v>
      </c>
      <c r="G3110">
        <v>0</v>
      </c>
    </row>
    <row r="3111" spans="1:7" x14ac:dyDescent="0.2">
      <c r="A3111" t="s">
        <v>2091</v>
      </c>
      <c r="B3111">
        <v>0</v>
      </c>
      <c r="C3111">
        <v>0</v>
      </c>
      <c r="D3111">
        <v>0</v>
      </c>
      <c r="E3111">
        <v>0</v>
      </c>
      <c r="F3111">
        <v>0</v>
      </c>
      <c r="G3111">
        <v>0</v>
      </c>
    </row>
    <row r="3112" spans="1:7" x14ac:dyDescent="0.2">
      <c r="A3112" t="s">
        <v>2097</v>
      </c>
      <c r="B3112">
        <v>0</v>
      </c>
      <c r="C3112">
        <v>0</v>
      </c>
      <c r="D3112">
        <v>0</v>
      </c>
      <c r="E3112">
        <v>0</v>
      </c>
      <c r="F3112">
        <v>0</v>
      </c>
      <c r="G3112">
        <v>0</v>
      </c>
    </row>
    <row r="3113" spans="1:7" x14ac:dyDescent="0.2">
      <c r="A3113" t="s">
        <v>2101</v>
      </c>
      <c r="B3113">
        <v>0</v>
      </c>
      <c r="C3113">
        <v>0</v>
      </c>
      <c r="D3113">
        <v>0</v>
      </c>
      <c r="E3113">
        <v>0</v>
      </c>
      <c r="F3113">
        <v>0</v>
      </c>
      <c r="G3113">
        <v>0</v>
      </c>
    </row>
    <row r="3114" spans="1:7" x14ac:dyDescent="0.2">
      <c r="A3114" t="s">
        <v>2104</v>
      </c>
      <c r="B3114">
        <v>0</v>
      </c>
      <c r="C3114">
        <v>0</v>
      </c>
      <c r="D3114">
        <v>0</v>
      </c>
      <c r="E3114">
        <v>0</v>
      </c>
      <c r="F3114">
        <v>0</v>
      </c>
      <c r="G3114">
        <v>0</v>
      </c>
    </row>
    <row r="3115" spans="1:7" x14ac:dyDescent="0.2">
      <c r="A3115" t="s">
        <v>2107</v>
      </c>
      <c r="B3115">
        <v>0</v>
      </c>
      <c r="C3115">
        <v>0</v>
      </c>
      <c r="D3115">
        <v>0</v>
      </c>
      <c r="E3115">
        <v>0</v>
      </c>
      <c r="F3115">
        <v>0</v>
      </c>
      <c r="G3115">
        <v>0</v>
      </c>
    </row>
    <row r="3116" spans="1:7" x14ac:dyDescent="0.2">
      <c r="A3116" t="s">
        <v>2110</v>
      </c>
      <c r="B3116">
        <v>0</v>
      </c>
      <c r="C3116">
        <v>0</v>
      </c>
      <c r="D3116">
        <v>0</v>
      </c>
      <c r="E3116">
        <v>0</v>
      </c>
      <c r="F3116">
        <v>0</v>
      </c>
      <c r="G3116">
        <v>0</v>
      </c>
    </row>
    <row r="3117" spans="1:7" x14ac:dyDescent="0.2">
      <c r="A3117" t="s">
        <v>2113</v>
      </c>
      <c r="B3117">
        <v>0</v>
      </c>
      <c r="C3117">
        <v>0</v>
      </c>
      <c r="D3117">
        <v>0</v>
      </c>
      <c r="E3117">
        <v>0</v>
      </c>
      <c r="F3117">
        <v>0</v>
      </c>
      <c r="G3117">
        <v>0</v>
      </c>
    </row>
    <row r="3118" spans="1:7" x14ac:dyDescent="0.2">
      <c r="A3118" t="s">
        <v>4346</v>
      </c>
      <c r="B3118">
        <v>0</v>
      </c>
      <c r="C3118">
        <v>0</v>
      </c>
      <c r="D3118">
        <v>0</v>
      </c>
      <c r="E3118">
        <v>0</v>
      </c>
      <c r="F3118">
        <v>0</v>
      </c>
      <c r="G3118">
        <v>0</v>
      </c>
    </row>
    <row r="3119" spans="1:7" x14ac:dyDescent="0.2">
      <c r="A3119" t="s">
        <v>4347</v>
      </c>
      <c r="B3119">
        <v>0</v>
      </c>
      <c r="C3119">
        <v>0</v>
      </c>
      <c r="D3119">
        <v>0</v>
      </c>
      <c r="E3119">
        <v>0</v>
      </c>
      <c r="F3119">
        <v>0</v>
      </c>
      <c r="G3119">
        <v>0</v>
      </c>
    </row>
    <row r="3120" spans="1:7" x14ac:dyDescent="0.2">
      <c r="A3120" t="s">
        <v>4348</v>
      </c>
      <c r="B3120">
        <v>0</v>
      </c>
      <c r="C3120">
        <v>0</v>
      </c>
      <c r="D3120">
        <v>0</v>
      </c>
      <c r="E3120">
        <v>0</v>
      </c>
      <c r="F3120">
        <v>0</v>
      </c>
      <c r="G3120">
        <v>0</v>
      </c>
    </row>
    <row r="3121" spans="1:7" x14ac:dyDescent="0.2">
      <c r="A3121" t="s">
        <v>4349</v>
      </c>
      <c r="B3121">
        <v>0</v>
      </c>
      <c r="C3121">
        <v>0</v>
      </c>
      <c r="D3121">
        <v>0</v>
      </c>
      <c r="E3121">
        <v>0</v>
      </c>
      <c r="F3121">
        <v>0</v>
      </c>
      <c r="G3121">
        <v>0</v>
      </c>
    </row>
    <row r="3122" spans="1:7" x14ac:dyDescent="0.2">
      <c r="A3122" t="s">
        <v>4350</v>
      </c>
      <c r="B3122">
        <v>0</v>
      </c>
      <c r="C3122">
        <v>1</v>
      </c>
      <c r="D3122">
        <v>21</v>
      </c>
      <c r="E3122">
        <v>0</v>
      </c>
      <c r="F3122">
        <v>0</v>
      </c>
      <c r="G3122">
        <v>22</v>
      </c>
    </row>
    <row r="3123" spans="1:7" x14ac:dyDescent="0.2">
      <c r="A3123" t="s">
        <v>4351</v>
      </c>
      <c r="B3123">
        <v>0</v>
      </c>
      <c r="C3123">
        <v>0</v>
      </c>
      <c r="D3123">
        <v>0</v>
      </c>
      <c r="E3123">
        <v>0</v>
      </c>
      <c r="F3123">
        <v>0</v>
      </c>
      <c r="G3123">
        <v>0</v>
      </c>
    </row>
    <row r="3124" spans="1:7" x14ac:dyDescent="0.2">
      <c r="A3124" t="s">
        <v>4352</v>
      </c>
      <c r="B3124">
        <v>0</v>
      </c>
      <c r="C3124">
        <v>0</v>
      </c>
      <c r="D3124">
        <v>0</v>
      </c>
      <c r="E3124">
        <v>0</v>
      </c>
      <c r="F3124">
        <v>0</v>
      </c>
      <c r="G3124">
        <v>0</v>
      </c>
    </row>
    <row r="3125" spans="1:7" x14ac:dyDescent="0.2">
      <c r="A3125" t="s">
        <v>4353</v>
      </c>
      <c r="B3125">
        <v>0</v>
      </c>
      <c r="C3125">
        <v>15</v>
      </c>
      <c r="D3125">
        <v>10</v>
      </c>
      <c r="E3125">
        <v>1</v>
      </c>
      <c r="F3125">
        <v>0</v>
      </c>
      <c r="G3125">
        <v>26</v>
      </c>
    </row>
    <row r="3126" spans="1:7" x14ac:dyDescent="0.2">
      <c r="A3126" t="s">
        <v>4354</v>
      </c>
      <c r="B3126">
        <v>0</v>
      </c>
      <c r="C3126">
        <v>6</v>
      </c>
      <c r="D3126">
        <v>4</v>
      </c>
      <c r="E3126">
        <v>0</v>
      </c>
      <c r="F3126">
        <v>0</v>
      </c>
      <c r="G3126">
        <v>10</v>
      </c>
    </row>
    <row r="3127" spans="1:7" x14ac:dyDescent="0.2">
      <c r="A3127" t="s">
        <v>4355</v>
      </c>
      <c r="B3127">
        <v>0</v>
      </c>
      <c r="C3127">
        <v>0</v>
      </c>
      <c r="D3127">
        <v>0</v>
      </c>
      <c r="E3127">
        <v>0</v>
      </c>
      <c r="F3127">
        <v>0</v>
      </c>
      <c r="G3127">
        <v>0</v>
      </c>
    </row>
    <row r="3128" spans="1:7" x14ac:dyDescent="0.2">
      <c r="A3128" t="s">
        <v>4356</v>
      </c>
      <c r="B3128">
        <v>0</v>
      </c>
      <c r="C3128">
        <v>0</v>
      </c>
      <c r="D3128">
        <v>0</v>
      </c>
      <c r="E3128">
        <v>0</v>
      </c>
      <c r="F3128">
        <v>0</v>
      </c>
      <c r="G3128">
        <v>0</v>
      </c>
    </row>
    <row r="3129" spans="1:7" x14ac:dyDescent="0.2">
      <c r="A3129" t="s">
        <v>4357</v>
      </c>
      <c r="B3129">
        <v>0</v>
      </c>
      <c r="C3129">
        <v>2</v>
      </c>
      <c r="D3129">
        <v>0</v>
      </c>
      <c r="E3129">
        <v>0</v>
      </c>
      <c r="F3129">
        <v>0</v>
      </c>
      <c r="G3129">
        <v>2</v>
      </c>
    </row>
    <row r="3130" spans="1:7" x14ac:dyDescent="0.2">
      <c r="A3130" t="s">
        <v>4358</v>
      </c>
      <c r="B3130">
        <v>0</v>
      </c>
      <c r="C3130">
        <v>0</v>
      </c>
      <c r="D3130">
        <v>0</v>
      </c>
      <c r="E3130">
        <v>0</v>
      </c>
      <c r="F3130">
        <v>0</v>
      </c>
      <c r="G3130">
        <v>0</v>
      </c>
    </row>
    <row r="3131" spans="1:7" x14ac:dyDescent="0.2">
      <c r="A3131" t="s">
        <v>4359</v>
      </c>
      <c r="B3131">
        <v>0</v>
      </c>
      <c r="C3131">
        <v>0</v>
      </c>
      <c r="D3131">
        <v>0</v>
      </c>
      <c r="E3131">
        <v>0</v>
      </c>
      <c r="F3131">
        <v>0</v>
      </c>
      <c r="G3131">
        <v>0</v>
      </c>
    </row>
    <row r="3132" spans="1:7" x14ac:dyDescent="0.2">
      <c r="A3132" t="s">
        <v>4360</v>
      </c>
      <c r="B3132">
        <v>0</v>
      </c>
      <c r="C3132">
        <v>0</v>
      </c>
      <c r="D3132">
        <v>0</v>
      </c>
      <c r="E3132">
        <v>0</v>
      </c>
      <c r="F3132">
        <v>0</v>
      </c>
      <c r="G3132">
        <v>0</v>
      </c>
    </row>
    <row r="3133" spans="1:7" x14ac:dyDescent="0.2">
      <c r="A3133" t="s">
        <v>4361</v>
      </c>
      <c r="B3133">
        <v>0</v>
      </c>
      <c r="C3133">
        <v>0</v>
      </c>
      <c r="D3133">
        <v>2</v>
      </c>
      <c r="E3133">
        <v>0</v>
      </c>
      <c r="F3133">
        <v>0</v>
      </c>
      <c r="G3133">
        <v>2</v>
      </c>
    </row>
    <row r="3134" spans="1:7" x14ac:dyDescent="0.2">
      <c r="A3134" t="s">
        <v>4362</v>
      </c>
      <c r="B3134">
        <v>0</v>
      </c>
      <c r="C3134">
        <v>0</v>
      </c>
      <c r="D3134">
        <v>0</v>
      </c>
      <c r="E3134">
        <v>0</v>
      </c>
      <c r="F3134">
        <v>0</v>
      </c>
      <c r="G3134">
        <v>0</v>
      </c>
    </row>
    <row r="3135" spans="1:7" x14ac:dyDescent="0.2">
      <c r="A3135" t="s">
        <v>4363</v>
      </c>
      <c r="B3135">
        <v>0</v>
      </c>
      <c r="C3135">
        <v>0</v>
      </c>
      <c r="D3135">
        <v>0</v>
      </c>
      <c r="E3135">
        <v>0</v>
      </c>
      <c r="F3135">
        <v>0</v>
      </c>
      <c r="G3135">
        <v>0</v>
      </c>
    </row>
    <row r="3136" spans="1:7" x14ac:dyDescent="0.2">
      <c r="A3136" t="s">
        <v>4364</v>
      </c>
      <c r="B3136">
        <v>0</v>
      </c>
      <c r="C3136">
        <v>0</v>
      </c>
      <c r="D3136">
        <v>0</v>
      </c>
      <c r="E3136">
        <v>0</v>
      </c>
      <c r="F3136">
        <v>0</v>
      </c>
      <c r="G3136">
        <v>0</v>
      </c>
    </row>
    <row r="3137" spans="1:10" x14ac:dyDescent="0.2">
      <c r="A3137" t="s">
        <v>4365</v>
      </c>
      <c r="B3137">
        <v>0</v>
      </c>
      <c r="C3137">
        <v>3</v>
      </c>
      <c r="D3137">
        <v>1</v>
      </c>
      <c r="E3137">
        <v>0</v>
      </c>
      <c r="F3137">
        <v>0</v>
      </c>
      <c r="G3137">
        <v>3</v>
      </c>
    </row>
    <row r="3138" spans="1:10" x14ac:dyDescent="0.2">
      <c r="A3138" t="s">
        <v>4366</v>
      </c>
      <c r="B3138">
        <v>0</v>
      </c>
      <c r="C3138">
        <v>0</v>
      </c>
      <c r="D3138">
        <v>0</v>
      </c>
      <c r="E3138">
        <v>0</v>
      </c>
      <c r="F3138">
        <v>0</v>
      </c>
      <c r="G3138">
        <v>0</v>
      </c>
    </row>
    <row r="3139" spans="1:10" x14ac:dyDescent="0.2">
      <c r="A3139" t="s">
        <v>4367</v>
      </c>
      <c r="B3139">
        <v>0</v>
      </c>
      <c r="C3139">
        <v>0</v>
      </c>
      <c r="D3139">
        <v>0</v>
      </c>
      <c r="E3139">
        <v>0</v>
      </c>
      <c r="F3139">
        <v>0</v>
      </c>
      <c r="G3139">
        <v>0</v>
      </c>
    </row>
    <row r="3140" spans="1:10" x14ac:dyDescent="0.2">
      <c r="A3140" t="s">
        <v>4368</v>
      </c>
      <c r="B3140">
        <v>0</v>
      </c>
      <c r="C3140">
        <v>0</v>
      </c>
      <c r="D3140">
        <v>1</v>
      </c>
      <c r="E3140">
        <v>3</v>
      </c>
      <c r="F3140">
        <v>0</v>
      </c>
      <c r="G3140">
        <v>3</v>
      </c>
    </row>
    <row r="3141" spans="1:10" x14ac:dyDescent="0.2">
      <c r="A3141" t="s">
        <v>4369</v>
      </c>
      <c r="B3141">
        <v>0</v>
      </c>
      <c r="C3141">
        <v>0</v>
      </c>
      <c r="D3141">
        <v>46</v>
      </c>
      <c r="E3141">
        <v>0</v>
      </c>
      <c r="F3141">
        <v>0</v>
      </c>
      <c r="G3141">
        <v>46</v>
      </c>
    </row>
    <row r="3142" spans="1:10" x14ac:dyDescent="0.2">
      <c r="A3142" t="s">
        <v>4370</v>
      </c>
      <c r="B3142">
        <v>0</v>
      </c>
      <c r="C3142">
        <v>0</v>
      </c>
      <c r="D3142">
        <v>0</v>
      </c>
      <c r="E3142">
        <v>0</v>
      </c>
      <c r="F3142">
        <v>0</v>
      </c>
      <c r="G3142">
        <v>0</v>
      </c>
    </row>
    <row r="3143" spans="1:10" x14ac:dyDescent="0.2">
      <c r="A3143" t="s">
        <v>4371</v>
      </c>
      <c r="B3143">
        <v>0</v>
      </c>
      <c r="C3143">
        <v>0</v>
      </c>
      <c r="D3143">
        <v>0</v>
      </c>
      <c r="E3143">
        <v>0</v>
      </c>
      <c r="F3143">
        <v>0</v>
      </c>
      <c r="G3143">
        <v>0</v>
      </c>
    </row>
    <row r="3144" spans="1:10" x14ac:dyDescent="0.2">
      <c r="A3144" t="s">
        <v>4372</v>
      </c>
      <c r="B3144">
        <v>0</v>
      </c>
      <c r="C3144">
        <v>0</v>
      </c>
      <c r="D3144">
        <v>0</v>
      </c>
      <c r="E3144">
        <v>0</v>
      </c>
      <c r="F3144">
        <v>0</v>
      </c>
      <c r="G3144">
        <v>0</v>
      </c>
    </row>
    <row r="3145" spans="1:10" x14ac:dyDescent="0.2">
      <c r="A3145" t="s">
        <v>4373</v>
      </c>
      <c r="B3145">
        <v>0</v>
      </c>
      <c r="C3145">
        <v>0</v>
      </c>
      <c r="D3145">
        <v>0</v>
      </c>
      <c r="E3145">
        <v>0</v>
      </c>
      <c r="F3145">
        <v>0</v>
      </c>
      <c r="G3145">
        <v>0</v>
      </c>
    </row>
    <row r="3146" spans="1:10" x14ac:dyDescent="0.2">
      <c r="A3146" t="s">
        <v>4374</v>
      </c>
      <c r="B3146">
        <v>0</v>
      </c>
      <c r="C3146">
        <v>0</v>
      </c>
      <c r="D3146">
        <v>0</v>
      </c>
      <c r="E3146">
        <v>0</v>
      </c>
      <c r="F3146">
        <v>0</v>
      </c>
      <c r="G3146">
        <v>0</v>
      </c>
    </row>
    <row r="3147" spans="1:10" x14ac:dyDescent="0.2">
      <c r="A3147" t="s">
        <v>4375</v>
      </c>
      <c r="B3147">
        <v>0</v>
      </c>
      <c r="C3147">
        <v>4</v>
      </c>
      <c r="D3147">
        <v>6</v>
      </c>
      <c r="E3147">
        <v>0</v>
      </c>
      <c r="F3147">
        <v>0</v>
      </c>
      <c r="G3147">
        <v>11</v>
      </c>
    </row>
    <row r="3148" spans="1:10" x14ac:dyDescent="0.2">
      <c r="A3148" t="s">
        <v>4376</v>
      </c>
      <c r="B3148">
        <v>0</v>
      </c>
      <c r="C3148">
        <v>0</v>
      </c>
      <c r="D3148">
        <v>0</v>
      </c>
      <c r="E3148">
        <v>0</v>
      </c>
      <c r="F3148">
        <v>0</v>
      </c>
      <c r="G3148">
        <v>0</v>
      </c>
    </row>
    <row r="3149" spans="1:10" x14ac:dyDescent="0.2">
      <c r="A3149" t="s">
        <v>4377</v>
      </c>
      <c r="B3149">
        <v>0</v>
      </c>
      <c r="C3149">
        <v>0</v>
      </c>
      <c r="D3149">
        <v>9</v>
      </c>
      <c r="E3149">
        <v>0</v>
      </c>
      <c r="F3149">
        <v>0</v>
      </c>
      <c r="G3149">
        <v>9</v>
      </c>
    </row>
    <row r="3150" spans="1:10" x14ac:dyDescent="0.2">
      <c r="A3150" t="s">
        <v>2318</v>
      </c>
      <c r="B3150" t="s">
        <v>2319</v>
      </c>
      <c r="C3150" t="s">
        <v>2319</v>
      </c>
      <c r="D3150" t="s">
        <v>2319</v>
      </c>
      <c r="E3150" t="s">
        <v>2319</v>
      </c>
      <c r="F3150" t="s">
        <v>2319</v>
      </c>
      <c r="G3150" t="s">
        <v>2319</v>
      </c>
    </row>
    <row r="3151" spans="1:10" x14ac:dyDescent="0.2">
      <c r="A3151" t="s">
        <v>4248</v>
      </c>
    </row>
    <row r="3152" spans="1:10" x14ac:dyDescent="0.2">
      <c r="A3152" t="s">
        <v>4250</v>
      </c>
      <c r="C3152" t="s">
        <v>4251</v>
      </c>
      <c r="G3152" t="s">
        <v>7531</v>
      </c>
      <c r="J3152"/>
    </row>
    <row r="3153" spans="1:10" x14ac:dyDescent="0.2">
      <c r="A3153" t="s">
        <v>4925</v>
      </c>
      <c r="G3153" t="s">
        <v>7539</v>
      </c>
      <c r="J3153"/>
    </row>
    <row r="3154" spans="1:10" x14ac:dyDescent="0.2">
      <c r="A3154" t="s">
        <v>7530</v>
      </c>
      <c r="J3154"/>
    </row>
    <row r="3155" spans="1:10" x14ac:dyDescent="0.2">
      <c r="A3155" t="s">
        <v>4975</v>
      </c>
      <c r="J3155"/>
    </row>
    <row r="3156" spans="1:10" x14ac:dyDescent="0.2">
      <c r="J3156"/>
    </row>
    <row r="3157" spans="1:10" x14ac:dyDescent="0.2">
      <c r="A3157" t="s">
        <v>4259</v>
      </c>
      <c r="J3157"/>
    </row>
    <row r="3158" spans="1:10" x14ac:dyDescent="0.2">
      <c r="A3158" t="s">
        <v>2318</v>
      </c>
      <c r="B3158" t="s">
        <v>2319</v>
      </c>
      <c r="C3158" t="s">
        <v>2319</v>
      </c>
      <c r="D3158" t="s">
        <v>2319</v>
      </c>
      <c r="E3158" t="s">
        <v>2319</v>
      </c>
      <c r="F3158" t="s">
        <v>2319</v>
      </c>
      <c r="G3158" t="s">
        <v>2319</v>
      </c>
    </row>
    <row r="3159" spans="1:10" x14ac:dyDescent="0.2">
      <c r="A3159" t="s">
        <v>174</v>
      </c>
      <c r="B3159" t="s">
        <v>4945</v>
      </c>
      <c r="C3159" t="s">
        <v>4946</v>
      </c>
      <c r="D3159" t="s">
        <v>4947</v>
      </c>
      <c r="E3159" t="s">
        <v>4948</v>
      </c>
      <c r="F3159" t="s">
        <v>4949</v>
      </c>
    </row>
    <row r="3160" spans="1:10" x14ac:dyDescent="0.2">
      <c r="A3160" t="s">
        <v>126</v>
      </c>
      <c r="B3160" t="s">
        <v>4262</v>
      </c>
      <c r="C3160" t="s">
        <v>4263</v>
      </c>
      <c r="D3160" t="s">
        <v>4264</v>
      </c>
      <c r="E3160" t="s">
        <v>2308</v>
      </c>
      <c r="F3160" t="s">
        <v>615</v>
      </c>
      <c r="G3160" t="s">
        <v>236</v>
      </c>
    </row>
    <row r="3161" spans="1:10" x14ac:dyDescent="0.2">
      <c r="A3161" t="s">
        <v>2318</v>
      </c>
      <c r="B3161" t="s">
        <v>2319</v>
      </c>
      <c r="C3161" t="s">
        <v>2319</v>
      </c>
      <c r="D3161" t="s">
        <v>2319</v>
      </c>
      <c r="E3161" t="s">
        <v>2319</v>
      </c>
      <c r="F3161" t="s">
        <v>2319</v>
      </c>
      <c r="G3161" t="s">
        <v>2319</v>
      </c>
    </row>
    <row r="3162" spans="1:10" x14ac:dyDescent="0.2">
      <c r="A3162" t="s">
        <v>4265</v>
      </c>
      <c r="B3162">
        <v>0</v>
      </c>
      <c r="C3162">
        <v>0</v>
      </c>
      <c r="D3162">
        <v>0</v>
      </c>
      <c r="E3162">
        <v>0</v>
      </c>
      <c r="F3162">
        <v>0</v>
      </c>
      <c r="G3162">
        <v>0</v>
      </c>
    </row>
    <row r="3163" spans="1:10" x14ac:dyDescent="0.2">
      <c r="A3163" t="s">
        <v>4266</v>
      </c>
      <c r="B3163">
        <v>0</v>
      </c>
      <c r="C3163">
        <v>0</v>
      </c>
      <c r="D3163">
        <v>0</v>
      </c>
      <c r="E3163">
        <v>0</v>
      </c>
      <c r="F3163">
        <v>0</v>
      </c>
      <c r="G3163">
        <v>0</v>
      </c>
    </row>
    <row r="3164" spans="1:10" x14ac:dyDescent="0.2">
      <c r="A3164" t="s">
        <v>4267</v>
      </c>
      <c r="B3164">
        <v>0</v>
      </c>
      <c r="C3164">
        <v>0</v>
      </c>
      <c r="D3164">
        <v>0</v>
      </c>
      <c r="E3164">
        <v>0</v>
      </c>
      <c r="F3164">
        <v>0</v>
      </c>
      <c r="G3164">
        <v>0</v>
      </c>
    </row>
    <row r="3165" spans="1:10" x14ac:dyDescent="0.2">
      <c r="A3165" t="s">
        <v>4268</v>
      </c>
      <c r="B3165">
        <v>0</v>
      </c>
      <c r="C3165">
        <v>0</v>
      </c>
      <c r="D3165">
        <v>0</v>
      </c>
      <c r="E3165">
        <v>0</v>
      </c>
      <c r="F3165">
        <v>0</v>
      </c>
      <c r="G3165">
        <v>0</v>
      </c>
    </row>
    <row r="3166" spans="1:10" x14ac:dyDescent="0.2">
      <c r="A3166" t="s">
        <v>4269</v>
      </c>
      <c r="B3166">
        <v>0</v>
      </c>
      <c r="C3166">
        <v>0</v>
      </c>
      <c r="D3166">
        <v>0</v>
      </c>
      <c r="E3166">
        <v>0</v>
      </c>
      <c r="F3166">
        <v>0</v>
      </c>
      <c r="G3166">
        <v>0</v>
      </c>
    </row>
    <row r="3167" spans="1:10" x14ac:dyDescent="0.2">
      <c r="A3167" t="s">
        <v>4270</v>
      </c>
      <c r="B3167">
        <v>0</v>
      </c>
      <c r="C3167">
        <v>0</v>
      </c>
      <c r="D3167">
        <v>0</v>
      </c>
      <c r="E3167">
        <v>0</v>
      </c>
      <c r="F3167">
        <v>0</v>
      </c>
      <c r="G3167">
        <v>0</v>
      </c>
    </row>
    <row r="3168" spans="1:10" x14ac:dyDescent="0.2">
      <c r="A3168" t="s">
        <v>4271</v>
      </c>
      <c r="B3168">
        <v>0</v>
      </c>
      <c r="C3168">
        <v>0</v>
      </c>
      <c r="D3168">
        <v>0</v>
      </c>
      <c r="E3168">
        <v>0</v>
      </c>
      <c r="F3168">
        <v>0</v>
      </c>
      <c r="G3168">
        <v>0</v>
      </c>
    </row>
    <row r="3169" spans="1:7" x14ac:dyDescent="0.2">
      <c r="A3169" t="s">
        <v>4272</v>
      </c>
      <c r="B3169">
        <v>0</v>
      </c>
      <c r="C3169">
        <v>0</v>
      </c>
      <c r="D3169">
        <v>0</v>
      </c>
      <c r="E3169">
        <v>0</v>
      </c>
      <c r="F3169">
        <v>0</v>
      </c>
      <c r="G3169">
        <v>0</v>
      </c>
    </row>
    <row r="3170" spans="1:7" x14ac:dyDescent="0.2">
      <c r="A3170" t="s">
        <v>4273</v>
      </c>
      <c r="B3170">
        <v>0</v>
      </c>
      <c r="C3170">
        <v>0</v>
      </c>
      <c r="D3170">
        <v>0</v>
      </c>
      <c r="E3170">
        <v>0</v>
      </c>
      <c r="F3170">
        <v>0</v>
      </c>
      <c r="G3170">
        <v>0</v>
      </c>
    </row>
    <row r="3171" spans="1:7" x14ac:dyDescent="0.2">
      <c r="A3171" t="s">
        <v>4274</v>
      </c>
      <c r="B3171">
        <v>0</v>
      </c>
      <c r="C3171">
        <v>0</v>
      </c>
      <c r="D3171">
        <v>0</v>
      </c>
      <c r="E3171">
        <v>0</v>
      </c>
      <c r="F3171">
        <v>0</v>
      </c>
      <c r="G3171">
        <v>0</v>
      </c>
    </row>
    <row r="3172" spans="1:7" x14ac:dyDescent="0.2">
      <c r="A3172" t="s">
        <v>4275</v>
      </c>
      <c r="B3172">
        <v>0</v>
      </c>
      <c r="C3172">
        <v>0</v>
      </c>
      <c r="D3172">
        <v>0</v>
      </c>
      <c r="E3172">
        <v>0</v>
      </c>
      <c r="F3172">
        <v>0</v>
      </c>
      <c r="G3172">
        <v>0</v>
      </c>
    </row>
    <row r="3173" spans="1:7" x14ac:dyDescent="0.2">
      <c r="A3173" t="s">
        <v>4276</v>
      </c>
      <c r="B3173">
        <v>0</v>
      </c>
      <c r="C3173">
        <v>0</v>
      </c>
      <c r="D3173">
        <v>0</v>
      </c>
      <c r="E3173">
        <v>0</v>
      </c>
      <c r="F3173">
        <v>0</v>
      </c>
      <c r="G3173">
        <v>0</v>
      </c>
    </row>
    <row r="3174" spans="1:7" x14ac:dyDescent="0.2">
      <c r="A3174" t="s">
        <v>4277</v>
      </c>
      <c r="B3174">
        <v>0</v>
      </c>
      <c r="C3174">
        <v>0</v>
      </c>
      <c r="D3174">
        <v>0</v>
      </c>
      <c r="E3174">
        <v>0</v>
      </c>
      <c r="F3174">
        <v>0</v>
      </c>
      <c r="G3174">
        <v>0</v>
      </c>
    </row>
    <row r="3175" spans="1:7" x14ac:dyDescent="0.2">
      <c r="A3175" t="s">
        <v>4278</v>
      </c>
      <c r="B3175">
        <v>0</v>
      </c>
      <c r="C3175">
        <v>0</v>
      </c>
      <c r="D3175">
        <v>0</v>
      </c>
      <c r="E3175">
        <v>0</v>
      </c>
      <c r="F3175">
        <v>0</v>
      </c>
      <c r="G3175">
        <v>0</v>
      </c>
    </row>
    <row r="3176" spans="1:7" x14ac:dyDescent="0.2">
      <c r="A3176" t="s">
        <v>4279</v>
      </c>
      <c r="B3176">
        <v>0</v>
      </c>
      <c r="C3176">
        <v>0</v>
      </c>
      <c r="D3176">
        <v>0</v>
      </c>
      <c r="E3176">
        <v>0</v>
      </c>
      <c r="F3176">
        <v>0</v>
      </c>
      <c r="G3176">
        <v>0</v>
      </c>
    </row>
    <row r="3177" spans="1:7" x14ac:dyDescent="0.2">
      <c r="A3177" t="s">
        <v>4280</v>
      </c>
      <c r="B3177">
        <v>0</v>
      </c>
      <c r="C3177">
        <v>0</v>
      </c>
      <c r="D3177">
        <v>0</v>
      </c>
      <c r="E3177">
        <v>0</v>
      </c>
      <c r="F3177">
        <v>0</v>
      </c>
      <c r="G3177">
        <v>0</v>
      </c>
    </row>
    <row r="3178" spans="1:7" x14ac:dyDescent="0.2">
      <c r="A3178" t="s">
        <v>4281</v>
      </c>
      <c r="B3178">
        <v>7</v>
      </c>
      <c r="C3178">
        <v>8</v>
      </c>
      <c r="D3178">
        <v>9</v>
      </c>
      <c r="E3178">
        <v>0</v>
      </c>
      <c r="F3178">
        <v>0</v>
      </c>
      <c r="G3178">
        <v>24</v>
      </c>
    </row>
    <row r="3179" spans="1:7" x14ac:dyDescent="0.2">
      <c r="A3179" t="s">
        <v>4282</v>
      </c>
      <c r="B3179">
        <v>17</v>
      </c>
      <c r="C3179">
        <v>6</v>
      </c>
      <c r="D3179">
        <v>5</v>
      </c>
      <c r="E3179">
        <v>0</v>
      </c>
      <c r="F3179">
        <v>0</v>
      </c>
      <c r="G3179">
        <v>29</v>
      </c>
    </row>
    <row r="3180" spans="1:7" x14ac:dyDescent="0.2">
      <c r="A3180" t="s">
        <v>4283</v>
      </c>
      <c r="B3180">
        <v>2</v>
      </c>
      <c r="C3180">
        <v>1</v>
      </c>
      <c r="D3180">
        <v>1</v>
      </c>
      <c r="E3180">
        <v>0</v>
      </c>
      <c r="F3180">
        <v>0</v>
      </c>
      <c r="G3180">
        <v>4</v>
      </c>
    </row>
    <row r="3181" spans="1:7" x14ac:dyDescent="0.2">
      <c r="A3181" t="s">
        <v>4284</v>
      </c>
      <c r="B3181">
        <v>0</v>
      </c>
      <c r="C3181">
        <v>0</v>
      </c>
      <c r="D3181">
        <v>0</v>
      </c>
      <c r="E3181">
        <v>0</v>
      </c>
      <c r="F3181">
        <v>0</v>
      </c>
      <c r="G3181">
        <v>1</v>
      </c>
    </row>
    <row r="3182" spans="1:7" x14ac:dyDescent="0.2">
      <c r="A3182" t="s">
        <v>4285</v>
      </c>
      <c r="B3182">
        <v>8</v>
      </c>
      <c r="C3182">
        <v>11</v>
      </c>
      <c r="D3182">
        <v>1</v>
      </c>
      <c r="E3182">
        <v>0</v>
      </c>
      <c r="F3182">
        <v>0</v>
      </c>
      <c r="G3182">
        <v>20</v>
      </c>
    </row>
    <row r="3183" spans="1:7" x14ac:dyDescent="0.2">
      <c r="A3183" t="s">
        <v>4286</v>
      </c>
      <c r="B3183">
        <v>4</v>
      </c>
      <c r="C3183">
        <v>1</v>
      </c>
      <c r="D3183">
        <v>0</v>
      </c>
      <c r="E3183">
        <v>0</v>
      </c>
      <c r="F3183">
        <v>0</v>
      </c>
      <c r="G3183">
        <v>5</v>
      </c>
    </row>
    <row r="3184" spans="1:7" x14ac:dyDescent="0.2">
      <c r="A3184" t="s">
        <v>4287</v>
      </c>
      <c r="B3184">
        <v>0</v>
      </c>
      <c r="C3184">
        <v>0</v>
      </c>
      <c r="D3184">
        <v>0</v>
      </c>
      <c r="E3184">
        <v>3</v>
      </c>
      <c r="F3184">
        <v>0</v>
      </c>
      <c r="G3184">
        <v>3</v>
      </c>
    </row>
    <row r="3185" spans="1:7" x14ac:dyDescent="0.2">
      <c r="A3185" t="s">
        <v>4288</v>
      </c>
      <c r="B3185">
        <v>0</v>
      </c>
      <c r="C3185">
        <v>0</v>
      </c>
      <c r="D3185">
        <v>0</v>
      </c>
      <c r="E3185">
        <v>0</v>
      </c>
      <c r="F3185">
        <v>0</v>
      </c>
      <c r="G3185">
        <v>0</v>
      </c>
    </row>
    <row r="3186" spans="1:7" x14ac:dyDescent="0.2">
      <c r="A3186" t="s">
        <v>4289</v>
      </c>
      <c r="B3186">
        <v>0</v>
      </c>
      <c r="C3186">
        <v>0</v>
      </c>
      <c r="D3186">
        <v>0</v>
      </c>
      <c r="E3186">
        <v>0</v>
      </c>
      <c r="F3186">
        <v>0</v>
      </c>
      <c r="G3186">
        <v>0</v>
      </c>
    </row>
    <row r="3187" spans="1:7" x14ac:dyDescent="0.2">
      <c r="A3187" t="s">
        <v>4290</v>
      </c>
      <c r="B3187">
        <v>0</v>
      </c>
      <c r="C3187">
        <v>0</v>
      </c>
      <c r="D3187">
        <v>0</v>
      </c>
      <c r="E3187">
        <v>0</v>
      </c>
      <c r="F3187">
        <v>0</v>
      </c>
      <c r="G3187">
        <v>0</v>
      </c>
    </row>
    <row r="3188" spans="1:7" x14ac:dyDescent="0.2">
      <c r="A3188" t="s">
        <v>4291</v>
      </c>
      <c r="B3188">
        <v>0</v>
      </c>
      <c r="C3188">
        <v>0</v>
      </c>
      <c r="D3188">
        <v>0</v>
      </c>
      <c r="E3188">
        <v>0</v>
      </c>
      <c r="F3188">
        <v>0</v>
      </c>
      <c r="G3188">
        <v>0</v>
      </c>
    </row>
    <row r="3189" spans="1:7" x14ac:dyDescent="0.2">
      <c r="A3189" t="s">
        <v>4292</v>
      </c>
      <c r="B3189">
        <v>0</v>
      </c>
      <c r="C3189">
        <v>0</v>
      </c>
      <c r="D3189">
        <v>0</v>
      </c>
      <c r="E3189">
        <v>0</v>
      </c>
      <c r="F3189">
        <v>0</v>
      </c>
      <c r="G3189">
        <v>0</v>
      </c>
    </row>
    <row r="3190" spans="1:7" x14ac:dyDescent="0.2">
      <c r="A3190" t="s">
        <v>4293</v>
      </c>
      <c r="B3190">
        <v>0</v>
      </c>
      <c r="C3190">
        <v>0</v>
      </c>
      <c r="D3190">
        <v>0</v>
      </c>
      <c r="E3190">
        <v>0</v>
      </c>
      <c r="F3190">
        <v>0</v>
      </c>
      <c r="G3190">
        <v>0</v>
      </c>
    </row>
    <row r="3191" spans="1:7" x14ac:dyDescent="0.2">
      <c r="A3191" t="s">
        <v>4294</v>
      </c>
      <c r="B3191">
        <v>0</v>
      </c>
      <c r="C3191">
        <v>0</v>
      </c>
      <c r="D3191">
        <v>0</v>
      </c>
      <c r="E3191">
        <v>0</v>
      </c>
      <c r="F3191">
        <v>0</v>
      </c>
      <c r="G3191">
        <v>0</v>
      </c>
    </row>
    <row r="3192" spans="1:7" x14ac:dyDescent="0.2">
      <c r="A3192" t="s">
        <v>4295</v>
      </c>
      <c r="B3192">
        <v>0</v>
      </c>
      <c r="C3192">
        <v>0</v>
      </c>
      <c r="D3192">
        <v>0</v>
      </c>
      <c r="E3192">
        <v>0</v>
      </c>
      <c r="F3192">
        <v>0</v>
      </c>
      <c r="G3192">
        <v>0</v>
      </c>
    </row>
    <row r="3193" spans="1:7" x14ac:dyDescent="0.2">
      <c r="A3193" t="s">
        <v>4296</v>
      </c>
      <c r="B3193">
        <v>0</v>
      </c>
      <c r="C3193">
        <v>0</v>
      </c>
      <c r="D3193">
        <v>0</v>
      </c>
      <c r="E3193">
        <v>0</v>
      </c>
      <c r="F3193">
        <v>0</v>
      </c>
      <c r="G3193">
        <v>0</v>
      </c>
    </row>
    <row r="3194" spans="1:7" x14ac:dyDescent="0.2">
      <c r="A3194" t="s">
        <v>4297</v>
      </c>
      <c r="B3194">
        <v>0</v>
      </c>
      <c r="C3194">
        <v>5</v>
      </c>
      <c r="D3194">
        <v>20</v>
      </c>
      <c r="E3194">
        <v>1</v>
      </c>
      <c r="F3194">
        <v>0</v>
      </c>
      <c r="G3194">
        <v>26</v>
      </c>
    </row>
    <row r="3195" spans="1:7" x14ac:dyDescent="0.2">
      <c r="A3195" t="s">
        <v>4298</v>
      </c>
      <c r="B3195">
        <v>3</v>
      </c>
      <c r="C3195">
        <v>6</v>
      </c>
      <c r="D3195">
        <v>7</v>
      </c>
      <c r="E3195">
        <v>0</v>
      </c>
      <c r="F3195">
        <v>0</v>
      </c>
      <c r="G3195">
        <v>16</v>
      </c>
    </row>
    <row r="3196" spans="1:7" x14ac:dyDescent="0.2">
      <c r="A3196" t="s">
        <v>4299</v>
      </c>
      <c r="B3196">
        <v>6</v>
      </c>
      <c r="C3196">
        <v>13</v>
      </c>
      <c r="D3196">
        <v>14</v>
      </c>
      <c r="E3196">
        <v>31</v>
      </c>
      <c r="F3196">
        <v>0</v>
      </c>
      <c r="G3196">
        <v>64</v>
      </c>
    </row>
    <row r="3197" spans="1:7" x14ac:dyDescent="0.2">
      <c r="A3197" t="s">
        <v>4300</v>
      </c>
      <c r="B3197">
        <v>0</v>
      </c>
      <c r="C3197">
        <v>1</v>
      </c>
      <c r="D3197">
        <v>1</v>
      </c>
      <c r="E3197">
        <v>2</v>
      </c>
      <c r="F3197">
        <v>0</v>
      </c>
      <c r="G3197">
        <v>4</v>
      </c>
    </row>
    <row r="3198" spans="1:7" x14ac:dyDescent="0.2">
      <c r="A3198" t="s">
        <v>4301</v>
      </c>
      <c r="B3198">
        <v>0</v>
      </c>
      <c r="C3198">
        <v>17</v>
      </c>
      <c r="D3198">
        <v>41</v>
      </c>
      <c r="E3198">
        <v>0</v>
      </c>
      <c r="F3198">
        <v>0</v>
      </c>
      <c r="G3198">
        <v>58</v>
      </c>
    </row>
    <row r="3199" spans="1:7" x14ac:dyDescent="0.2">
      <c r="A3199" t="s">
        <v>4302</v>
      </c>
      <c r="B3199">
        <v>6</v>
      </c>
      <c r="C3199">
        <v>18</v>
      </c>
      <c r="D3199">
        <v>33</v>
      </c>
      <c r="E3199">
        <v>7</v>
      </c>
      <c r="F3199">
        <v>0</v>
      </c>
      <c r="G3199">
        <v>64</v>
      </c>
    </row>
    <row r="3200" spans="1:7" x14ac:dyDescent="0.2">
      <c r="A3200" t="s">
        <v>4303</v>
      </c>
      <c r="B3200">
        <v>6</v>
      </c>
      <c r="C3200">
        <v>51</v>
      </c>
      <c r="D3200">
        <v>133</v>
      </c>
      <c r="E3200">
        <v>18</v>
      </c>
      <c r="F3200">
        <v>0</v>
      </c>
      <c r="G3200">
        <v>209</v>
      </c>
    </row>
    <row r="3201" spans="1:7" x14ac:dyDescent="0.2">
      <c r="A3201" t="s">
        <v>4304</v>
      </c>
      <c r="B3201">
        <v>0</v>
      </c>
      <c r="C3201">
        <v>2</v>
      </c>
      <c r="D3201">
        <v>5</v>
      </c>
      <c r="E3201">
        <v>0</v>
      </c>
      <c r="F3201">
        <v>0</v>
      </c>
      <c r="G3201">
        <v>7</v>
      </c>
    </row>
    <row r="3202" spans="1:7" x14ac:dyDescent="0.2">
      <c r="A3202" t="s">
        <v>4305</v>
      </c>
      <c r="B3202">
        <v>0</v>
      </c>
      <c r="C3202">
        <v>6</v>
      </c>
      <c r="D3202">
        <v>20</v>
      </c>
      <c r="E3202">
        <v>2</v>
      </c>
      <c r="F3202">
        <v>0</v>
      </c>
      <c r="G3202">
        <v>27</v>
      </c>
    </row>
    <row r="3203" spans="1:7" x14ac:dyDescent="0.2">
      <c r="A3203" t="s">
        <v>4306</v>
      </c>
      <c r="B3203">
        <v>1</v>
      </c>
      <c r="C3203">
        <v>6</v>
      </c>
      <c r="D3203">
        <v>1</v>
      </c>
      <c r="E3203">
        <v>0</v>
      </c>
      <c r="F3203">
        <v>0</v>
      </c>
      <c r="G3203">
        <v>9</v>
      </c>
    </row>
    <row r="3204" spans="1:7" x14ac:dyDescent="0.2">
      <c r="A3204" t="s">
        <v>4307</v>
      </c>
      <c r="B3204">
        <v>6</v>
      </c>
      <c r="C3204">
        <v>60</v>
      </c>
      <c r="D3204">
        <v>178</v>
      </c>
      <c r="E3204">
        <v>17</v>
      </c>
      <c r="F3204">
        <v>0</v>
      </c>
      <c r="G3204">
        <v>261</v>
      </c>
    </row>
    <row r="3205" spans="1:7" x14ac:dyDescent="0.2">
      <c r="A3205" t="s">
        <v>4308</v>
      </c>
      <c r="B3205">
        <v>0</v>
      </c>
      <c r="C3205">
        <v>0</v>
      </c>
      <c r="D3205">
        <v>0</v>
      </c>
      <c r="E3205">
        <v>0</v>
      </c>
      <c r="F3205">
        <v>0</v>
      </c>
      <c r="G3205">
        <v>0</v>
      </c>
    </row>
    <row r="3206" spans="1:7" x14ac:dyDescent="0.2">
      <c r="A3206" t="s">
        <v>4309</v>
      </c>
      <c r="B3206">
        <v>0</v>
      </c>
      <c r="C3206">
        <v>0</v>
      </c>
      <c r="D3206">
        <v>0</v>
      </c>
      <c r="E3206">
        <v>0</v>
      </c>
      <c r="F3206">
        <v>0</v>
      </c>
      <c r="G3206">
        <v>0</v>
      </c>
    </row>
    <row r="3207" spans="1:7" x14ac:dyDescent="0.2">
      <c r="A3207" t="s">
        <v>4310</v>
      </c>
      <c r="B3207">
        <v>0</v>
      </c>
      <c r="C3207">
        <v>0</v>
      </c>
      <c r="D3207">
        <v>0</v>
      </c>
      <c r="E3207">
        <v>0</v>
      </c>
      <c r="F3207">
        <v>0</v>
      </c>
      <c r="G3207">
        <v>0</v>
      </c>
    </row>
    <row r="3208" spans="1:7" x14ac:dyDescent="0.2">
      <c r="A3208" t="s">
        <v>4311</v>
      </c>
      <c r="B3208">
        <v>0</v>
      </c>
      <c r="C3208">
        <v>0</v>
      </c>
      <c r="D3208">
        <v>0</v>
      </c>
      <c r="E3208">
        <v>0</v>
      </c>
      <c r="F3208">
        <v>0</v>
      </c>
      <c r="G3208">
        <v>0</v>
      </c>
    </row>
    <row r="3209" spans="1:7" x14ac:dyDescent="0.2">
      <c r="A3209" t="s">
        <v>4312</v>
      </c>
      <c r="B3209">
        <v>0</v>
      </c>
      <c r="C3209">
        <v>0</v>
      </c>
      <c r="D3209">
        <v>0</v>
      </c>
      <c r="E3209">
        <v>0</v>
      </c>
      <c r="F3209">
        <v>0</v>
      </c>
      <c r="G3209">
        <v>0</v>
      </c>
    </row>
    <row r="3210" spans="1:7" x14ac:dyDescent="0.2">
      <c r="A3210" t="s">
        <v>4313</v>
      </c>
      <c r="B3210">
        <v>0</v>
      </c>
      <c r="C3210">
        <v>0</v>
      </c>
      <c r="D3210">
        <v>0</v>
      </c>
      <c r="E3210">
        <v>0</v>
      </c>
      <c r="F3210">
        <v>0</v>
      </c>
      <c r="G3210">
        <v>0</v>
      </c>
    </row>
    <row r="3211" spans="1:7" x14ac:dyDescent="0.2">
      <c r="A3211" t="s">
        <v>4314</v>
      </c>
      <c r="B3211">
        <v>0</v>
      </c>
      <c r="C3211">
        <v>0</v>
      </c>
      <c r="D3211">
        <v>0</v>
      </c>
      <c r="E3211">
        <v>0</v>
      </c>
      <c r="F3211">
        <v>0</v>
      </c>
      <c r="G3211">
        <v>0</v>
      </c>
    </row>
    <row r="3212" spans="1:7" x14ac:dyDescent="0.2">
      <c r="A3212" t="s">
        <v>4315</v>
      </c>
      <c r="B3212">
        <v>0</v>
      </c>
      <c r="C3212">
        <v>0</v>
      </c>
      <c r="D3212">
        <v>0</v>
      </c>
      <c r="E3212">
        <v>0</v>
      </c>
      <c r="F3212">
        <v>0</v>
      </c>
      <c r="G3212">
        <v>0</v>
      </c>
    </row>
    <row r="3213" spans="1:7" x14ac:dyDescent="0.2">
      <c r="A3213" t="s">
        <v>4316</v>
      </c>
      <c r="B3213">
        <v>0</v>
      </c>
      <c r="C3213">
        <v>0</v>
      </c>
      <c r="D3213">
        <v>0</v>
      </c>
      <c r="E3213">
        <v>0</v>
      </c>
      <c r="F3213">
        <v>0</v>
      </c>
      <c r="G3213">
        <v>0</v>
      </c>
    </row>
    <row r="3214" spans="1:7" x14ac:dyDescent="0.2">
      <c r="A3214" t="s">
        <v>4317</v>
      </c>
      <c r="B3214">
        <v>0</v>
      </c>
      <c r="C3214">
        <v>0</v>
      </c>
      <c r="D3214">
        <v>0</v>
      </c>
      <c r="E3214">
        <v>0</v>
      </c>
      <c r="F3214">
        <v>0</v>
      </c>
      <c r="G3214">
        <v>0</v>
      </c>
    </row>
    <row r="3215" spans="1:7" x14ac:dyDescent="0.2">
      <c r="A3215" t="s">
        <v>4318</v>
      </c>
      <c r="B3215">
        <v>0</v>
      </c>
      <c r="C3215">
        <v>0</v>
      </c>
      <c r="D3215">
        <v>0</v>
      </c>
      <c r="E3215">
        <v>0</v>
      </c>
      <c r="F3215">
        <v>0</v>
      </c>
      <c r="G3215">
        <v>0</v>
      </c>
    </row>
    <row r="3216" spans="1:7" x14ac:dyDescent="0.2">
      <c r="A3216" t="s">
        <v>4319</v>
      </c>
      <c r="B3216">
        <v>0</v>
      </c>
      <c r="C3216">
        <v>0</v>
      </c>
      <c r="D3216">
        <v>0</v>
      </c>
      <c r="E3216">
        <v>0</v>
      </c>
      <c r="F3216">
        <v>0</v>
      </c>
      <c r="G3216">
        <v>0</v>
      </c>
    </row>
    <row r="3217" spans="1:7" x14ac:dyDescent="0.2">
      <c r="A3217" t="s">
        <v>4320</v>
      </c>
      <c r="B3217">
        <v>0</v>
      </c>
      <c r="C3217">
        <v>0</v>
      </c>
      <c r="D3217">
        <v>0</v>
      </c>
      <c r="E3217">
        <v>0</v>
      </c>
      <c r="F3217">
        <v>0</v>
      </c>
      <c r="G3217">
        <v>0</v>
      </c>
    </row>
    <row r="3218" spans="1:7" x14ac:dyDescent="0.2">
      <c r="A3218" t="s">
        <v>4321</v>
      </c>
      <c r="B3218">
        <v>0</v>
      </c>
      <c r="C3218">
        <v>0</v>
      </c>
      <c r="D3218">
        <v>0</v>
      </c>
      <c r="E3218">
        <v>0</v>
      </c>
      <c r="F3218">
        <v>0</v>
      </c>
      <c r="G3218">
        <v>0</v>
      </c>
    </row>
    <row r="3219" spans="1:7" x14ac:dyDescent="0.2">
      <c r="A3219" t="s">
        <v>4322</v>
      </c>
      <c r="B3219">
        <v>0</v>
      </c>
      <c r="C3219">
        <v>0</v>
      </c>
      <c r="D3219">
        <v>0</v>
      </c>
      <c r="E3219">
        <v>0</v>
      </c>
      <c r="F3219">
        <v>0</v>
      </c>
      <c r="G3219">
        <v>0</v>
      </c>
    </row>
    <row r="3220" spans="1:7" x14ac:dyDescent="0.2">
      <c r="A3220" t="s">
        <v>4323</v>
      </c>
      <c r="B3220">
        <v>0</v>
      </c>
      <c r="C3220">
        <v>0</v>
      </c>
      <c r="D3220">
        <v>0</v>
      </c>
      <c r="E3220">
        <v>0</v>
      </c>
      <c r="F3220">
        <v>0</v>
      </c>
      <c r="G3220">
        <v>0</v>
      </c>
    </row>
    <row r="3221" spans="1:7" x14ac:dyDescent="0.2">
      <c r="A3221" t="s">
        <v>4324</v>
      </c>
      <c r="B3221">
        <v>0</v>
      </c>
      <c r="C3221">
        <v>0</v>
      </c>
      <c r="D3221">
        <v>0</v>
      </c>
      <c r="E3221">
        <v>0</v>
      </c>
      <c r="F3221">
        <v>0</v>
      </c>
      <c r="G3221">
        <v>0</v>
      </c>
    </row>
    <row r="3222" spans="1:7" x14ac:dyDescent="0.2">
      <c r="A3222" t="s">
        <v>4325</v>
      </c>
      <c r="B3222">
        <v>0</v>
      </c>
      <c r="C3222">
        <v>0</v>
      </c>
      <c r="D3222">
        <v>0</v>
      </c>
      <c r="E3222">
        <v>0</v>
      </c>
      <c r="F3222">
        <v>0</v>
      </c>
      <c r="G3222">
        <v>0</v>
      </c>
    </row>
    <row r="3223" spans="1:7" x14ac:dyDescent="0.2">
      <c r="A3223" t="s">
        <v>4326</v>
      </c>
      <c r="B3223">
        <v>0</v>
      </c>
      <c r="C3223">
        <v>0</v>
      </c>
      <c r="D3223">
        <v>0</v>
      </c>
      <c r="E3223">
        <v>0</v>
      </c>
      <c r="F3223">
        <v>0</v>
      </c>
      <c r="G3223">
        <v>0</v>
      </c>
    </row>
    <row r="3224" spans="1:7" x14ac:dyDescent="0.2">
      <c r="A3224" t="s">
        <v>4327</v>
      </c>
      <c r="B3224">
        <v>0</v>
      </c>
      <c r="C3224">
        <v>0</v>
      </c>
      <c r="D3224">
        <v>0</v>
      </c>
      <c r="E3224">
        <v>3</v>
      </c>
      <c r="F3224">
        <v>0</v>
      </c>
      <c r="G3224">
        <v>3</v>
      </c>
    </row>
    <row r="3225" spans="1:7" x14ac:dyDescent="0.2">
      <c r="A3225" t="s">
        <v>4328</v>
      </c>
      <c r="B3225">
        <v>0</v>
      </c>
      <c r="C3225">
        <v>0</v>
      </c>
      <c r="D3225">
        <v>0</v>
      </c>
      <c r="E3225">
        <v>0</v>
      </c>
      <c r="F3225">
        <v>0</v>
      </c>
      <c r="G3225">
        <v>0</v>
      </c>
    </row>
    <row r="3226" spans="1:7" x14ac:dyDescent="0.2">
      <c r="A3226" t="s">
        <v>4329</v>
      </c>
      <c r="B3226">
        <v>0</v>
      </c>
      <c r="C3226">
        <v>0</v>
      </c>
      <c r="D3226">
        <v>0</v>
      </c>
      <c r="E3226">
        <v>0</v>
      </c>
      <c r="F3226">
        <v>0</v>
      </c>
      <c r="G3226">
        <v>0</v>
      </c>
    </row>
    <row r="3227" spans="1:7" x14ac:dyDescent="0.2">
      <c r="A3227" t="s">
        <v>4330</v>
      </c>
      <c r="B3227">
        <v>0</v>
      </c>
      <c r="C3227">
        <v>0</v>
      </c>
      <c r="D3227">
        <v>0</v>
      </c>
      <c r="E3227">
        <v>0</v>
      </c>
      <c r="F3227">
        <v>0</v>
      </c>
      <c r="G3227">
        <v>0</v>
      </c>
    </row>
    <row r="3228" spans="1:7" x14ac:dyDescent="0.2">
      <c r="A3228" t="s">
        <v>4331</v>
      </c>
      <c r="B3228">
        <v>0</v>
      </c>
      <c r="C3228">
        <v>0</v>
      </c>
      <c r="D3228">
        <v>0</v>
      </c>
      <c r="E3228">
        <v>0</v>
      </c>
      <c r="F3228">
        <v>0</v>
      </c>
      <c r="G3228">
        <v>0</v>
      </c>
    </row>
    <row r="3229" spans="1:7" x14ac:dyDescent="0.2">
      <c r="A3229" t="s">
        <v>4332</v>
      </c>
      <c r="B3229">
        <v>0</v>
      </c>
      <c r="C3229">
        <v>0</v>
      </c>
      <c r="D3229">
        <v>0</v>
      </c>
      <c r="E3229">
        <v>0</v>
      </c>
      <c r="F3229">
        <v>0</v>
      </c>
      <c r="G3229">
        <v>0</v>
      </c>
    </row>
    <row r="3230" spans="1:7" x14ac:dyDescent="0.2">
      <c r="A3230" t="s">
        <v>4333</v>
      </c>
      <c r="B3230">
        <v>0</v>
      </c>
      <c r="C3230">
        <v>0</v>
      </c>
      <c r="D3230">
        <v>0</v>
      </c>
      <c r="E3230">
        <v>0</v>
      </c>
      <c r="F3230">
        <v>0</v>
      </c>
      <c r="G3230">
        <v>0</v>
      </c>
    </row>
    <row r="3231" spans="1:7" x14ac:dyDescent="0.2">
      <c r="A3231" t="s">
        <v>4334</v>
      </c>
      <c r="B3231">
        <v>0</v>
      </c>
      <c r="C3231">
        <v>0</v>
      </c>
      <c r="D3231">
        <v>0</v>
      </c>
      <c r="E3231">
        <v>0</v>
      </c>
      <c r="F3231">
        <v>1812</v>
      </c>
      <c r="G3231">
        <v>1812</v>
      </c>
    </row>
    <row r="3232" spans="1:7" x14ac:dyDescent="0.2">
      <c r="A3232" t="s">
        <v>4335</v>
      </c>
      <c r="B3232">
        <v>0</v>
      </c>
      <c r="C3232">
        <v>0</v>
      </c>
      <c r="D3232">
        <v>0</v>
      </c>
      <c r="E3232">
        <v>498</v>
      </c>
      <c r="F3232">
        <v>1198</v>
      </c>
      <c r="G3232">
        <v>1696</v>
      </c>
    </row>
    <row r="3233" spans="1:7" x14ac:dyDescent="0.2">
      <c r="A3233" t="s">
        <v>4336</v>
      </c>
      <c r="B3233">
        <v>0</v>
      </c>
      <c r="C3233">
        <v>0</v>
      </c>
      <c r="D3233">
        <v>0</v>
      </c>
      <c r="E3233">
        <v>0</v>
      </c>
      <c r="F3233">
        <v>0</v>
      </c>
      <c r="G3233">
        <v>0</v>
      </c>
    </row>
    <row r="3234" spans="1:7" x14ac:dyDescent="0.2">
      <c r="A3234" t="s">
        <v>4337</v>
      </c>
      <c r="B3234">
        <v>0</v>
      </c>
      <c r="C3234">
        <v>0</v>
      </c>
      <c r="D3234">
        <v>0</v>
      </c>
      <c r="E3234">
        <v>0</v>
      </c>
      <c r="F3234">
        <v>0</v>
      </c>
      <c r="G3234">
        <v>0</v>
      </c>
    </row>
    <row r="3235" spans="1:7" x14ac:dyDescent="0.2">
      <c r="A3235" t="s">
        <v>4338</v>
      </c>
      <c r="B3235">
        <v>0</v>
      </c>
      <c r="C3235">
        <v>0</v>
      </c>
      <c r="D3235">
        <v>0</v>
      </c>
      <c r="E3235">
        <v>11</v>
      </c>
      <c r="F3235">
        <v>64</v>
      </c>
      <c r="G3235">
        <v>75</v>
      </c>
    </row>
    <row r="3236" spans="1:7" x14ac:dyDescent="0.2">
      <c r="A3236" t="s">
        <v>4339</v>
      </c>
      <c r="B3236">
        <v>0</v>
      </c>
      <c r="C3236">
        <v>0</v>
      </c>
      <c r="D3236">
        <v>0</v>
      </c>
      <c r="E3236">
        <v>0</v>
      </c>
      <c r="F3236">
        <v>0</v>
      </c>
      <c r="G3236">
        <v>0</v>
      </c>
    </row>
    <row r="3237" spans="1:7" x14ac:dyDescent="0.2">
      <c r="A3237" t="s">
        <v>4340</v>
      </c>
      <c r="B3237">
        <v>0</v>
      </c>
      <c r="C3237">
        <v>0</v>
      </c>
      <c r="D3237">
        <v>0</v>
      </c>
      <c r="E3237">
        <v>0</v>
      </c>
      <c r="F3237">
        <v>0</v>
      </c>
      <c r="G3237">
        <v>0</v>
      </c>
    </row>
    <row r="3238" spans="1:7" x14ac:dyDescent="0.2">
      <c r="A3238" t="s">
        <v>4341</v>
      </c>
      <c r="B3238">
        <v>0</v>
      </c>
      <c r="C3238">
        <v>0</v>
      </c>
      <c r="D3238">
        <v>0</v>
      </c>
      <c r="E3238">
        <v>0</v>
      </c>
      <c r="F3238">
        <v>0</v>
      </c>
      <c r="G3238">
        <v>0</v>
      </c>
    </row>
    <row r="3239" spans="1:7" x14ac:dyDescent="0.2">
      <c r="A3239" t="s">
        <v>4342</v>
      </c>
      <c r="B3239">
        <v>0</v>
      </c>
      <c r="C3239">
        <v>0</v>
      </c>
      <c r="D3239">
        <v>0</v>
      </c>
      <c r="E3239">
        <v>0</v>
      </c>
      <c r="F3239">
        <v>0</v>
      </c>
      <c r="G3239">
        <v>0</v>
      </c>
    </row>
    <row r="3240" spans="1:7" x14ac:dyDescent="0.2">
      <c r="A3240" t="s">
        <v>4343</v>
      </c>
      <c r="B3240">
        <v>0</v>
      </c>
      <c r="C3240">
        <v>0</v>
      </c>
      <c r="D3240">
        <v>0</v>
      </c>
      <c r="E3240">
        <v>0</v>
      </c>
      <c r="F3240">
        <v>0</v>
      </c>
      <c r="G3240">
        <v>0</v>
      </c>
    </row>
    <row r="3241" spans="1:7" x14ac:dyDescent="0.2">
      <c r="A3241" t="s">
        <v>1728</v>
      </c>
      <c r="B3241">
        <v>0</v>
      </c>
      <c r="C3241">
        <v>0</v>
      </c>
      <c r="D3241">
        <v>0</v>
      </c>
      <c r="E3241">
        <v>0</v>
      </c>
      <c r="F3241">
        <v>0</v>
      </c>
      <c r="G3241">
        <v>0</v>
      </c>
    </row>
    <row r="3242" spans="1:7" x14ac:dyDescent="0.2">
      <c r="A3242" t="s">
        <v>1730</v>
      </c>
      <c r="B3242">
        <v>0</v>
      </c>
      <c r="C3242">
        <v>0</v>
      </c>
      <c r="D3242">
        <v>1</v>
      </c>
      <c r="E3242">
        <v>1</v>
      </c>
      <c r="F3242">
        <v>21</v>
      </c>
      <c r="G3242">
        <v>22</v>
      </c>
    </row>
    <row r="3243" spans="1:7" x14ac:dyDescent="0.2">
      <c r="A3243" t="s">
        <v>1733</v>
      </c>
      <c r="B3243">
        <v>0</v>
      </c>
      <c r="C3243">
        <v>0</v>
      </c>
      <c r="D3243">
        <v>0</v>
      </c>
      <c r="E3243">
        <v>0</v>
      </c>
      <c r="F3243">
        <v>0</v>
      </c>
      <c r="G3243">
        <v>0</v>
      </c>
    </row>
    <row r="3244" spans="1:7" x14ac:dyDescent="0.2">
      <c r="A3244" t="s">
        <v>1738</v>
      </c>
      <c r="B3244">
        <v>0</v>
      </c>
      <c r="C3244">
        <v>0</v>
      </c>
      <c r="D3244">
        <v>0</v>
      </c>
      <c r="E3244">
        <v>0</v>
      </c>
      <c r="F3244">
        <v>0</v>
      </c>
      <c r="G3244">
        <v>0</v>
      </c>
    </row>
    <row r="3245" spans="1:7" x14ac:dyDescent="0.2">
      <c r="A3245" t="s">
        <v>1744</v>
      </c>
      <c r="B3245">
        <v>0</v>
      </c>
      <c r="C3245">
        <v>0</v>
      </c>
      <c r="D3245">
        <v>0</v>
      </c>
      <c r="E3245">
        <v>0</v>
      </c>
      <c r="F3245">
        <v>0</v>
      </c>
      <c r="G3245">
        <v>0</v>
      </c>
    </row>
    <row r="3246" spans="1:7" x14ac:dyDescent="0.2">
      <c r="A3246" t="s">
        <v>1747</v>
      </c>
      <c r="B3246">
        <v>0</v>
      </c>
      <c r="C3246">
        <v>0</v>
      </c>
      <c r="D3246">
        <v>0</v>
      </c>
      <c r="E3246">
        <v>0</v>
      </c>
      <c r="F3246">
        <v>0</v>
      </c>
      <c r="G3246">
        <v>0</v>
      </c>
    </row>
    <row r="3247" spans="1:7" x14ac:dyDescent="0.2">
      <c r="A3247" t="s">
        <v>1751</v>
      </c>
      <c r="B3247">
        <v>0</v>
      </c>
      <c r="C3247">
        <v>0</v>
      </c>
      <c r="D3247">
        <v>0</v>
      </c>
      <c r="E3247">
        <v>0</v>
      </c>
      <c r="F3247">
        <v>0</v>
      </c>
      <c r="G3247">
        <v>0</v>
      </c>
    </row>
    <row r="3248" spans="1:7" x14ac:dyDescent="0.2">
      <c r="A3248" t="s">
        <v>1755</v>
      </c>
      <c r="B3248">
        <v>0</v>
      </c>
      <c r="C3248">
        <v>0</v>
      </c>
      <c r="D3248">
        <v>0</v>
      </c>
      <c r="E3248">
        <v>0</v>
      </c>
      <c r="F3248">
        <v>0</v>
      </c>
      <c r="G3248">
        <v>0</v>
      </c>
    </row>
    <row r="3249" spans="1:7" x14ac:dyDescent="0.2">
      <c r="A3249" t="s">
        <v>1757</v>
      </c>
      <c r="B3249">
        <v>0</v>
      </c>
      <c r="C3249">
        <v>0</v>
      </c>
      <c r="D3249">
        <v>0</v>
      </c>
      <c r="E3249">
        <v>0</v>
      </c>
      <c r="F3249">
        <v>0</v>
      </c>
      <c r="G3249">
        <v>0</v>
      </c>
    </row>
    <row r="3250" spans="1:7" x14ac:dyDescent="0.2">
      <c r="A3250" t="s">
        <v>1761</v>
      </c>
      <c r="B3250">
        <v>0</v>
      </c>
      <c r="C3250">
        <v>0</v>
      </c>
      <c r="D3250">
        <v>0</v>
      </c>
      <c r="E3250">
        <v>0</v>
      </c>
      <c r="F3250">
        <v>0</v>
      </c>
      <c r="G3250">
        <v>0</v>
      </c>
    </row>
    <row r="3251" spans="1:7" x14ac:dyDescent="0.2">
      <c r="A3251" t="s">
        <v>1764</v>
      </c>
      <c r="B3251">
        <v>0</v>
      </c>
      <c r="C3251">
        <v>0</v>
      </c>
      <c r="D3251">
        <v>0</v>
      </c>
      <c r="E3251">
        <v>0</v>
      </c>
      <c r="F3251">
        <v>0</v>
      </c>
      <c r="G3251">
        <v>0</v>
      </c>
    </row>
    <row r="3252" spans="1:7" x14ac:dyDescent="0.2">
      <c r="A3252" t="s">
        <v>1770</v>
      </c>
      <c r="B3252">
        <v>0</v>
      </c>
      <c r="C3252">
        <v>1</v>
      </c>
      <c r="D3252">
        <v>3</v>
      </c>
      <c r="E3252">
        <v>9</v>
      </c>
      <c r="F3252">
        <v>0</v>
      </c>
      <c r="G3252">
        <v>13</v>
      </c>
    </row>
    <row r="3253" spans="1:7" x14ac:dyDescent="0.2">
      <c r="A3253" t="s">
        <v>1772</v>
      </c>
      <c r="B3253">
        <v>0</v>
      </c>
      <c r="C3253">
        <v>0</v>
      </c>
      <c r="D3253">
        <v>0</v>
      </c>
      <c r="E3253">
        <v>1</v>
      </c>
      <c r="F3253">
        <v>0</v>
      </c>
      <c r="G3253">
        <v>1</v>
      </c>
    </row>
    <row r="3254" spans="1:7" x14ac:dyDescent="0.2">
      <c r="A3254" t="s">
        <v>1774</v>
      </c>
      <c r="B3254">
        <v>0</v>
      </c>
      <c r="C3254">
        <v>0</v>
      </c>
      <c r="D3254">
        <v>0</v>
      </c>
      <c r="E3254">
        <v>13</v>
      </c>
      <c r="F3254">
        <v>0</v>
      </c>
      <c r="G3254">
        <v>13</v>
      </c>
    </row>
    <row r="3255" spans="1:7" x14ac:dyDescent="0.2">
      <c r="A3255" t="s">
        <v>1777</v>
      </c>
      <c r="B3255">
        <v>0</v>
      </c>
      <c r="C3255">
        <v>0</v>
      </c>
      <c r="D3255">
        <v>0</v>
      </c>
      <c r="E3255">
        <v>0</v>
      </c>
      <c r="F3255">
        <v>0</v>
      </c>
      <c r="G3255">
        <v>0</v>
      </c>
    </row>
    <row r="3256" spans="1:7" x14ac:dyDescent="0.2">
      <c r="A3256" t="s">
        <v>1782</v>
      </c>
      <c r="B3256">
        <v>0</v>
      </c>
      <c r="C3256">
        <v>0</v>
      </c>
      <c r="D3256">
        <v>0</v>
      </c>
      <c r="E3256">
        <v>0</v>
      </c>
      <c r="F3256">
        <v>0</v>
      </c>
      <c r="G3256">
        <v>0</v>
      </c>
    </row>
    <row r="3257" spans="1:7" x14ac:dyDescent="0.2">
      <c r="A3257" t="s">
        <v>1274</v>
      </c>
      <c r="B3257">
        <v>0</v>
      </c>
      <c r="C3257">
        <v>0</v>
      </c>
      <c r="D3257">
        <v>0</v>
      </c>
      <c r="E3257">
        <v>0</v>
      </c>
      <c r="F3257">
        <v>0</v>
      </c>
      <c r="G3257">
        <v>0</v>
      </c>
    </row>
    <row r="3258" spans="1:7" x14ac:dyDescent="0.2">
      <c r="A3258" t="s">
        <v>1277</v>
      </c>
      <c r="B3258">
        <v>0</v>
      </c>
      <c r="C3258">
        <v>0</v>
      </c>
      <c r="D3258">
        <v>0</v>
      </c>
      <c r="E3258">
        <v>0</v>
      </c>
      <c r="F3258">
        <v>0</v>
      </c>
      <c r="G3258">
        <v>0</v>
      </c>
    </row>
    <row r="3259" spans="1:7" x14ac:dyDescent="0.2">
      <c r="A3259" t="s">
        <v>1798</v>
      </c>
      <c r="B3259">
        <v>0</v>
      </c>
      <c r="C3259">
        <v>0</v>
      </c>
      <c r="D3259">
        <v>0</v>
      </c>
      <c r="E3259">
        <v>0</v>
      </c>
      <c r="F3259">
        <v>0</v>
      </c>
      <c r="G3259">
        <v>0</v>
      </c>
    </row>
    <row r="3260" spans="1:7" x14ac:dyDescent="0.2">
      <c r="A3260" t="s">
        <v>1803</v>
      </c>
      <c r="B3260">
        <v>0</v>
      </c>
      <c r="C3260">
        <v>0</v>
      </c>
      <c r="D3260">
        <v>0</v>
      </c>
      <c r="E3260">
        <v>0</v>
      </c>
      <c r="F3260">
        <v>0</v>
      </c>
      <c r="G3260">
        <v>0</v>
      </c>
    </row>
    <row r="3261" spans="1:7" x14ac:dyDescent="0.2">
      <c r="A3261" t="s">
        <v>1808</v>
      </c>
      <c r="B3261">
        <v>0</v>
      </c>
      <c r="C3261">
        <v>0</v>
      </c>
      <c r="D3261">
        <v>0</v>
      </c>
      <c r="E3261">
        <v>0</v>
      </c>
      <c r="F3261">
        <v>0</v>
      </c>
      <c r="G3261">
        <v>0</v>
      </c>
    </row>
    <row r="3262" spans="1:7" x14ac:dyDescent="0.2">
      <c r="A3262" t="s">
        <v>1813</v>
      </c>
      <c r="B3262">
        <v>0</v>
      </c>
      <c r="C3262">
        <v>0</v>
      </c>
      <c r="D3262">
        <v>0</v>
      </c>
      <c r="E3262">
        <v>0</v>
      </c>
      <c r="F3262">
        <v>0</v>
      </c>
      <c r="G3262">
        <v>0</v>
      </c>
    </row>
    <row r="3263" spans="1:7" x14ac:dyDescent="0.2">
      <c r="A3263" t="s">
        <v>1819</v>
      </c>
      <c r="B3263">
        <v>0</v>
      </c>
      <c r="C3263">
        <v>0</v>
      </c>
      <c r="D3263">
        <v>0</v>
      </c>
      <c r="E3263">
        <v>0</v>
      </c>
      <c r="F3263">
        <v>0</v>
      </c>
      <c r="G3263">
        <v>0</v>
      </c>
    </row>
    <row r="3264" spans="1:7" x14ac:dyDescent="0.2">
      <c r="A3264" t="s">
        <v>1826</v>
      </c>
      <c r="B3264">
        <v>0</v>
      </c>
      <c r="C3264">
        <v>0</v>
      </c>
      <c r="D3264">
        <v>0</v>
      </c>
      <c r="E3264">
        <v>0</v>
      </c>
      <c r="F3264">
        <v>0</v>
      </c>
      <c r="G3264">
        <v>0</v>
      </c>
    </row>
    <row r="3265" spans="1:7" x14ac:dyDescent="0.2">
      <c r="A3265" t="s">
        <v>1830</v>
      </c>
      <c r="B3265">
        <v>0</v>
      </c>
      <c r="C3265">
        <v>0</v>
      </c>
      <c r="D3265">
        <v>0</v>
      </c>
      <c r="E3265">
        <v>0</v>
      </c>
      <c r="F3265">
        <v>0</v>
      </c>
      <c r="G3265">
        <v>0</v>
      </c>
    </row>
    <row r="3266" spans="1:7" x14ac:dyDescent="0.2">
      <c r="A3266" t="s">
        <v>1836</v>
      </c>
      <c r="B3266">
        <v>0</v>
      </c>
      <c r="C3266">
        <v>0</v>
      </c>
      <c r="D3266">
        <v>0</v>
      </c>
      <c r="E3266">
        <v>0</v>
      </c>
      <c r="F3266">
        <v>0</v>
      </c>
      <c r="G3266">
        <v>0</v>
      </c>
    </row>
    <row r="3267" spans="1:7" x14ac:dyDescent="0.2">
      <c r="A3267" t="s">
        <v>1841</v>
      </c>
      <c r="B3267">
        <v>0</v>
      </c>
      <c r="C3267">
        <v>0</v>
      </c>
      <c r="D3267">
        <v>0</v>
      </c>
      <c r="E3267">
        <v>0</v>
      </c>
      <c r="F3267">
        <v>0</v>
      </c>
      <c r="G3267">
        <v>0</v>
      </c>
    </row>
    <row r="3268" spans="1:7" x14ac:dyDescent="0.2">
      <c r="A3268" t="s">
        <v>1842</v>
      </c>
      <c r="B3268">
        <v>0</v>
      </c>
      <c r="C3268">
        <v>0</v>
      </c>
      <c r="D3268">
        <v>0</v>
      </c>
      <c r="E3268">
        <v>0</v>
      </c>
      <c r="F3268">
        <v>0</v>
      </c>
      <c r="G3268">
        <v>0</v>
      </c>
    </row>
    <row r="3269" spans="1:7" x14ac:dyDescent="0.2">
      <c r="A3269" t="s">
        <v>1843</v>
      </c>
      <c r="B3269">
        <v>0</v>
      </c>
      <c r="C3269">
        <v>0</v>
      </c>
      <c r="D3269">
        <v>0</v>
      </c>
      <c r="E3269">
        <v>0</v>
      </c>
      <c r="F3269">
        <v>0</v>
      </c>
      <c r="G3269">
        <v>0</v>
      </c>
    </row>
    <row r="3270" spans="1:7" x14ac:dyDescent="0.2">
      <c r="A3270" t="s">
        <v>1846</v>
      </c>
      <c r="B3270">
        <v>0</v>
      </c>
      <c r="C3270">
        <v>0</v>
      </c>
      <c r="D3270">
        <v>0</v>
      </c>
      <c r="E3270">
        <v>0</v>
      </c>
      <c r="F3270">
        <v>0</v>
      </c>
      <c r="G3270">
        <v>0</v>
      </c>
    </row>
    <row r="3271" spans="1:7" x14ac:dyDescent="0.2">
      <c r="A3271" t="s">
        <v>1851</v>
      </c>
      <c r="B3271">
        <v>0</v>
      </c>
      <c r="C3271">
        <v>0</v>
      </c>
      <c r="D3271">
        <v>0</v>
      </c>
      <c r="E3271">
        <v>0</v>
      </c>
      <c r="F3271">
        <v>0</v>
      </c>
      <c r="G3271">
        <v>0</v>
      </c>
    </row>
    <row r="3272" spans="1:7" x14ac:dyDescent="0.2">
      <c r="A3272" t="s">
        <v>1857</v>
      </c>
      <c r="B3272">
        <v>0</v>
      </c>
      <c r="C3272">
        <v>0</v>
      </c>
      <c r="D3272">
        <v>0</v>
      </c>
      <c r="E3272">
        <v>0</v>
      </c>
      <c r="F3272">
        <v>0</v>
      </c>
      <c r="G3272">
        <v>0</v>
      </c>
    </row>
    <row r="3273" spans="1:7" x14ac:dyDescent="0.2">
      <c r="A3273" t="s">
        <v>1862</v>
      </c>
      <c r="B3273">
        <v>0</v>
      </c>
      <c r="C3273">
        <v>0</v>
      </c>
      <c r="D3273">
        <v>0</v>
      </c>
      <c r="E3273">
        <v>0</v>
      </c>
      <c r="F3273">
        <v>0</v>
      </c>
      <c r="G3273">
        <v>0</v>
      </c>
    </row>
    <row r="3274" spans="1:7" x14ac:dyDescent="0.2">
      <c r="A3274" t="s">
        <v>1867</v>
      </c>
      <c r="B3274">
        <v>0</v>
      </c>
      <c r="C3274">
        <v>0</v>
      </c>
      <c r="D3274">
        <v>0</v>
      </c>
      <c r="E3274">
        <v>0</v>
      </c>
      <c r="F3274">
        <v>0</v>
      </c>
      <c r="G3274">
        <v>0</v>
      </c>
    </row>
    <row r="3275" spans="1:7" x14ac:dyDescent="0.2">
      <c r="A3275" t="s">
        <v>1870</v>
      </c>
      <c r="B3275">
        <v>0</v>
      </c>
      <c r="C3275">
        <v>0</v>
      </c>
      <c r="D3275">
        <v>0</v>
      </c>
      <c r="E3275">
        <v>0</v>
      </c>
      <c r="F3275">
        <v>0</v>
      </c>
      <c r="G3275">
        <v>0</v>
      </c>
    </row>
    <row r="3276" spans="1:7" x14ac:dyDescent="0.2">
      <c r="A3276" t="s">
        <v>1874</v>
      </c>
      <c r="B3276">
        <v>0</v>
      </c>
      <c r="C3276">
        <v>0</v>
      </c>
      <c r="D3276">
        <v>0</v>
      </c>
      <c r="E3276">
        <v>0</v>
      </c>
      <c r="F3276">
        <v>0</v>
      </c>
      <c r="G3276">
        <v>0</v>
      </c>
    </row>
    <row r="3277" spans="1:7" x14ac:dyDescent="0.2">
      <c r="A3277" t="s">
        <v>1876</v>
      </c>
      <c r="B3277">
        <v>0</v>
      </c>
      <c r="C3277">
        <v>0</v>
      </c>
      <c r="D3277">
        <v>0</v>
      </c>
      <c r="E3277">
        <v>0</v>
      </c>
      <c r="F3277">
        <v>0</v>
      </c>
      <c r="G3277">
        <v>0</v>
      </c>
    </row>
    <row r="3278" spans="1:7" x14ac:dyDescent="0.2">
      <c r="A3278" t="s">
        <v>1881</v>
      </c>
      <c r="B3278">
        <v>0</v>
      </c>
      <c r="C3278">
        <v>0</v>
      </c>
      <c r="D3278">
        <v>0</v>
      </c>
      <c r="E3278">
        <v>0</v>
      </c>
      <c r="F3278">
        <v>0</v>
      </c>
      <c r="G3278">
        <v>0</v>
      </c>
    </row>
    <row r="3279" spans="1:7" x14ac:dyDescent="0.2">
      <c r="A3279" t="s">
        <v>1885</v>
      </c>
      <c r="B3279">
        <v>0</v>
      </c>
      <c r="C3279">
        <v>0</v>
      </c>
      <c r="D3279">
        <v>0</v>
      </c>
      <c r="E3279">
        <v>0</v>
      </c>
      <c r="F3279">
        <v>0</v>
      </c>
      <c r="G3279">
        <v>0</v>
      </c>
    </row>
    <row r="3280" spans="1:7" x14ac:dyDescent="0.2">
      <c r="A3280" t="s">
        <v>1887</v>
      </c>
      <c r="B3280">
        <v>0</v>
      </c>
      <c r="C3280">
        <v>0</v>
      </c>
      <c r="D3280">
        <v>0</v>
      </c>
      <c r="E3280">
        <v>0</v>
      </c>
      <c r="F3280">
        <v>0</v>
      </c>
      <c r="G3280">
        <v>0</v>
      </c>
    </row>
    <row r="3281" spans="1:7" x14ac:dyDescent="0.2">
      <c r="A3281" t="s">
        <v>1893</v>
      </c>
      <c r="B3281">
        <v>0</v>
      </c>
      <c r="C3281">
        <v>0</v>
      </c>
      <c r="D3281">
        <v>0</v>
      </c>
      <c r="E3281">
        <v>0</v>
      </c>
      <c r="F3281">
        <v>0</v>
      </c>
      <c r="G3281">
        <v>0</v>
      </c>
    </row>
    <row r="3282" spans="1:7" x14ac:dyDescent="0.2">
      <c r="A3282" t="s">
        <v>1899</v>
      </c>
      <c r="B3282">
        <v>0</v>
      </c>
      <c r="C3282">
        <v>0</v>
      </c>
      <c r="D3282">
        <v>0</v>
      </c>
      <c r="E3282">
        <v>0</v>
      </c>
      <c r="F3282">
        <v>0</v>
      </c>
      <c r="G3282">
        <v>0</v>
      </c>
    </row>
    <row r="3283" spans="1:7" x14ac:dyDescent="0.2">
      <c r="A3283" t="s">
        <v>1906</v>
      </c>
      <c r="B3283">
        <v>0</v>
      </c>
      <c r="C3283">
        <v>0</v>
      </c>
      <c r="D3283">
        <v>0</v>
      </c>
      <c r="E3283">
        <v>0</v>
      </c>
      <c r="F3283">
        <v>0</v>
      </c>
      <c r="G3283">
        <v>0</v>
      </c>
    </row>
    <row r="3284" spans="1:7" x14ac:dyDescent="0.2">
      <c r="A3284" t="s">
        <v>1911</v>
      </c>
      <c r="B3284">
        <v>0</v>
      </c>
      <c r="C3284">
        <v>0</v>
      </c>
      <c r="D3284">
        <v>0</v>
      </c>
      <c r="E3284">
        <v>0</v>
      </c>
      <c r="F3284">
        <v>0</v>
      </c>
      <c r="G3284">
        <v>0</v>
      </c>
    </row>
    <row r="3285" spans="1:7" x14ac:dyDescent="0.2">
      <c r="A3285" t="s">
        <v>1917</v>
      </c>
      <c r="B3285">
        <v>0</v>
      </c>
      <c r="C3285">
        <v>0</v>
      </c>
      <c r="D3285">
        <v>0</v>
      </c>
      <c r="E3285">
        <v>0</v>
      </c>
      <c r="F3285">
        <v>0</v>
      </c>
      <c r="G3285">
        <v>0</v>
      </c>
    </row>
    <row r="3286" spans="1:7" x14ac:dyDescent="0.2">
      <c r="A3286" t="s">
        <v>1922</v>
      </c>
      <c r="B3286">
        <v>0</v>
      </c>
      <c r="C3286">
        <v>0</v>
      </c>
      <c r="D3286">
        <v>0</v>
      </c>
      <c r="E3286">
        <v>0</v>
      </c>
      <c r="F3286">
        <v>0</v>
      </c>
      <c r="G3286">
        <v>0</v>
      </c>
    </row>
    <row r="3287" spans="1:7" x14ac:dyDescent="0.2">
      <c r="A3287" t="s">
        <v>1928</v>
      </c>
      <c r="B3287">
        <v>0</v>
      </c>
      <c r="C3287">
        <v>0</v>
      </c>
      <c r="D3287">
        <v>0</v>
      </c>
      <c r="E3287">
        <v>0</v>
      </c>
      <c r="F3287">
        <v>0</v>
      </c>
      <c r="G3287">
        <v>0</v>
      </c>
    </row>
    <row r="3288" spans="1:7" x14ac:dyDescent="0.2">
      <c r="A3288" t="s">
        <v>1932</v>
      </c>
      <c r="B3288">
        <v>0</v>
      </c>
      <c r="C3288">
        <v>0</v>
      </c>
      <c r="D3288">
        <v>0</v>
      </c>
      <c r="E3288">
        <v>0</v>
      </c>
      <c r="F3288">
        <v>0</v>
      </c>
      <c r="G3288">
        <v>0</v>
      </c>
    </row>
    <row r="3289" spans="1:7" x14ac:dyDescent="0.2">
      <c r="A3289" t="s">
        <v>1938</v>
      </c>
      <c r="B3289">
        <v>0</v>
      </c>
      <c r="C3289">
        <v>0</v>
      </c>
      <c r="D3289">
        <v>0</v>
      </c>
      <c r="E3289">
        <v>0</v>
      </c>
      <c r="F3289">
        <v>0</v>
      </c>
      <c r="G3289">
        <v>0</v>
      </c>
    </row>
    <row r="3290" spans="1:7" x14ac:dyDescent="0.2">
      <c r="A3290" t="s">
        <v>1944</v>
      </c>
      <c r="B3290">
        <v>0</v>
      </c>
      <c r="C3290">
        <v>0</v>
      </c>
      <c r="D3290">
        <v>0</v>
      </c>
      <c r="E3290">
        <v>0</v>
      </c>
      <c r="F3290">
        <v>0</v>
      </c>
      <c r="G3290">
        <v>0</v>
      </c>
    </row>
    <row r="3291" spans="1:7" x14ac:dyDescent="0.2">
      <c r="A3291" t="s">
        <v>1947</v>
      </c>
      <c r="B3291">
        <v>0</v>
      </c>
      <c r="C3291">
        <v>0</v>
      </c>
      <c r="D3291">
        <v>0</v>
      </c>
      <c r="E3291">
        <v>0</v>
      </c>
      <c r="F3291">
        <v>0</v>
      </c>
      <c r="G3291">
        <v>0</v>
      </c>
    </row>
    <row r="3292" spans="1:7" x14ac:dyDescent="0.2">
      <c r="A3292" t="s">
        <v>1953</v>
      </c>
      <c r="B3292">
        <v>0</v>
      </c>
      <c r="C3292">
        <v>0</v>
      </c>
      <c r="D3292">
        <v>0</v>
      </c>
      <c r="E3292">
        <v>0</v>
      </c>
      <c r="F3292">
        <v>0</v>
      </c>
      <c r="G3292">
        <v>0</v>
      </c>
    </row>
    <row r="3293" spans="1:7" x14ac:dyDescent="0.2">
      <c r="A3293" t="s">
        <v>1958</v>
      </c>
      <c r="B3293">
        <v>0</v>
      </c>
      <c r="C3293">
        <v>0</v>
      </c>
      <c r="D3293">
        <v>0</v>
      </c>
      <c r="E3293">
        <v>0</v>
      </c>
      <c r="F3293">
        <v>0</v>
      </c>
      <c r="G3293">
        <v>0</v>
      </c>
    </row>
    <row r="3294" spans="1:7" x14ac:dyDescent="0.2">
      <c r="A3294" t="s">
        <v>1964</v>
      </c>
      <c r="B3294">
        <v>0</v>
      </c>
      <c r="C3294">
        <v>0</v>
      </c>
      <c r="D3294">
        <v>0</v>
      </c>
      <c r="E3294">
        <v>0</v>
      </c>
      <c r="F3294">
        <v>0</v>
      </c>
      <c r="G3294">
        <v>0</v>
      </c>
    </row>
    <row r="3295" spans="1:7" x14ac:dyDescent="0.2">
      <c r="A3295" t="s">
        <v>1973</v>
      </c>
      <c r="B3295">
        <v>0</v>
      </c>
      <c r="C3295">
        <v>0</v>
      </c>
      <c r="D3295">
        <v>0</v>
      </c>
      <c r="E3295">
        <v>0</v>
      </c>
      <c r="F3295">
        <v>0</v>
      </c>
      <c r="G3295">
        <v>0</v>
      </c>
    </row>
    <row r="3296" spans="1:7" x14ac:dyDescent="0.2">
      <c r="A3296" t="s">
        <v>1978</v>
      </c>
      <c r="B3296">
        <v>0</v>
      </c>
      <c r="C3296">
        <v>0</v>
      </c>
      <c r="D3296">
        <v>0</v>
      </c>
      <c r="E3296">
        <v>0</v>
      </c>
      <c r="F3296">
        <v>0</v>
      </c>
      <c r="G3296">
        <v>0</v>
      </c>
    </row>
    <row r="3297" spans="1:7" x14ac:dyDescent="0.2">
      <c r="A3297" t="s">
        <v>1983</v>
      </c>
      <c r="B3297">
        <v>0</v>
      </c>
      <c r="C3297">
        <v>0</v>
      </c>
      <c r="D3297">
        <v>0</v>
      </c>
      <c r="E3297">
        <v>0</v>
      </c>
      <c r="F3297">
        <v>0</v>
      </c>
      <c r="G3297">
        <v>0</v>
      </c>
    </row>
    <row r="3298" spans="1:7" x14ac:dyDescent="0.2">
      <c r="A3298" t="s">
        <v>1984</v>
      </c>
      <c r="B3298">
        <v>0</v>
      </c>
      <c r="C3298">
        <v>0</v>
      </c>
      <c r="D3298">
        <v>0</v>
      </c>
      <c r="E3298">
        <v>0</v>
      </c>
      <c r="F3298">
        <v>0</v>
      </c>
      <c r="G3298">
        <v>0</v>
      </c>
    </row>
    <row r="3299" spans="1:7" x14ac:dyDescent="0.2">
      <c r="A3299" t="s">
        <v>1990</v>
      </c>
      <c r="B3299">
        <v>0</v>
      </c>
      <c r="C3299">
        <v>0</v>
      </c>
      <c r="D3299">
        <v>0</v>
      </c>
      <c r="E3299">
        <v>0</v>
      </c>
      <c r="F3299">
        <v>0</v>
      </c>
      <c r="G3299">
        <v>0</v>
      </c>
    </row>
    <row r="3300" spans="1:7" x14ac:dyDescent="0.2">
      <c r="A3300" t="s">
        <v>1996</v>
      </c>
      <c r="B3300">
        <v>0</v>
      </c>
      <c r="C3300">
        <v>0</v>
      </c>
      <c r="D3300">
        <v>0</v>
      </c>
      <c r="E3300">
        <v>0</v>
      </c>
      <c r="F3300">
        <v>0</v>
      </c>
      <c r="G3300">
        <v>0</v>
      </c>
    </row>
    <row r="3301" spans="1:7" x14ac:dyDescent="0.2">
      <c r="A3301" t="s">
        <v>1998</v>
      </c>
      <c r="B3301">
        <v>0</v>
      </c>
      <c r="C3301">
        <v>0</v>
      </c>
      <c r="D3301">
        <v>0</v>
      </c>
      <c r="E3301">
        <v>0</v>
      </c>
      <c r="F3301">
        <v>0</v>
      </c>
      <c r="G3301">
        <v>0</v>
      </c>
    </row>
    <row r="3302" spans="1:7" x14ac:dyDescent="0.2">
      <c r="A3302" t="s">
        <v>1999</v>
      </c>
      <c r="B3302">
        <v>0</v>
      </c>
      <c r="C3302">
        <v>0</v>
      </c>
      <c r="D3302">
        <v>0</v>
      </c>
      <c r="E3302">
        <v>0</v>
      </c>
      <c r="F3302">
        <v>0</v>
      </c>
      <c r="G3302">
        <v>0</v>
      </c>
    </row>
    <row r="3303" spans="1:7" x14ac:dyDescent="0.2">
      <c r="A3303" t="s">
        <v>2004</v>
      </c>
      <c r="B3303">
        <v>0</v>
      </c>
      <c r="C3303">
        <v>0</v>
      </c>
      <c r="D3303">
        <v>0</v>
      </c>
      <c r="E3303">
        <v>0</v>
      </c>
      <c r="F3303">
        <v>0</v>
      </c>
      <c r="G3303">
        <v>0</v>
      </c>
    </row>
    <row r="3304" spans="1:7" x14ac:dyDescent="0.2">
      <c r="A3304" t="s">
        <v>2009</v>
      </c>
      <c r="B3304">
        <v>0</v>
      </c>
      <c r="C3304">
        <v>0</v>
      </c>
      <c r="D3304">
        <v>0</v>
      </c>
      <c r="E3304">
        <v>0</v>
      </c>
      <c r="F3304">
        <v>0</v>
      </c>
      <c r="G3304">
        <v>0</v>
      </c>
    </row>
    <row r="3305" spans="1:7" x14ac:dyDescent="0.2">
      <c r="A3305" t="s">
        <v>2014</v>
      </c>
      <c r="B3305">
        <v>0</v>
      </c>
      <c r="C3305">
        <v>0</v>
      </c>
      <c r="D3305">
        <v>0</v>
      </c>
      <c r="E3305">
        <v>0</v>
      </c>
      <c r="F3305">
        <v>0</v>
      </c>
      <c r="G3305">
        <v>0</v>
      </c>
    </row>
    <row r="3306" spans="1:7" x14ac:dyDescent="0.2">
      <c r="A3306" t="s">
        <v>2019</v>
      </c>
      <c r="B3306">
        <v>0</v>
      </c>
      <c r="C3306">
        <v>0</v>
      </c>
      <c r="D3306">
        <v>0</v>
      </c>
      <c r="E3306">
        <v>0</v>
      </c>
      <c r="F3306">
        <v>0</v>
      </c>
      <c r="G3306">
        <v>0</v>
      </c>
    </row>
    <row r="3307" spans="1:7" x14ac:dyDescent="0.2">
      <c r="A3307" t="s">
        <v>2023</v>
      </c>
      <c r="B3307">
        <v>0</v>
      </c>
      <c r="C3307">
        <v>0</v>
      </c>
      <c r="D3307">
        <v>0</v>
      </c>
      <c r="E3307">
        <v>0</v>
      </c>
      <c r="F3307">
        <v>0</v>
      </c>
      <c r="G3307">
        <v>0</v>
      </c>
    </row>
    <row r="3308" spans="1:7" x14ac:dyDescent="0.2">
      <c r="A3308" t="s">
        <v>2026</v>
      </c>
      <c r="B3308">
        <v>0</v>
      </c>
      <c r="C3308">
        <v>0</v>
      </c>
      <c r="D3308">
        <v>0</v>
      </c>
      <c r="E3308">
        <v>0</v>
      </c>
      <c r="F3308">
        <v>0</v>
      </c>
      <c r="G3308">
        <v>0</v>
      </c>
    </row>
    <row r="3309" spans="1:7" x14ac:dyDescent="0.2">
      <c r="A3309" t="s">
        <v>2030</v>
      </c>
      <c r="B3309">
        <v>0</v>
      </c>
      <c r="C3309">
        <v>0</v>
      </c>
      <c r="D3309">
        <v>0</v>
      </c>
      <c r="E3309">
        <v>0</v>
      </c>
      <c r="F3309">
        <v>0</v>
      </c>
      <c r="G3309">
        <v>0</v>
      </c>
    </row>
    <row r="3310" spans="1:7" x14ac:dyDescent="0.2">
      <c r="A3310" t="s">
        <v>2035</v>
      </c>
      <c r="B3310">
        <v>0</v>
      </c>
      <c r="C3310">
        <v>0</v>
      </c>
      <c r="D3310">
        <v>0</v>
      </c>
      <c r="E3310">
        <v>0</v>
      </c>
      <c r="F3310">
        <v>0</v>
      </c>
      <c r="G3310">
        <v>0</v>
      </c>
    </row>
    <row r="3311" spans="1:7" x14ac:dyDescent="0.2">
      <c r="A3311" t="s">
        <v>2040</v>
      </c>
      <c r="B3311">
        <v>0</v>
      </c>
      <c r="C3311">
        <v>0</v>
      </c>
      <c r="D3311">
        <v>0</v>
      </c>
      <c r="E3311">
        <v>0</v>
      </c>
      <c r="F3311">
        <v>0</v>
      </c>
      <c r="G3311">
        <v>0</v>
      </c>
    </row>
    <row r="3312" spans="1:7" x14ac:dyDescent="0.2">
      <c r="A3312" t="s">
        <v>2045</v>
      </c>
      <c r="B3312">
        <v>0</v>
      </c>
      <c r="C3312">
        <v>0</v>
      </c>
      <c r="D3312">
        <v>0</v>
      </c>
      <c r="E3312">
        <v>0</v>
      </c>
      <c r="F3312">
        <v>0</v>
      </c>
      <c r="G3312">
        <v>0</v>
      </c>
    </row>
    <row r="3313" spans="1:7" x14ac:dyDescent="0.2">
      <c r="A3313" t="s">
        <v>2049</v>
      </c>
      <c r="B3313">
        <v>0</v>
      </c>
      <c r="C3313">
        <v>0</v>
      </c>
      <c r="D3313">
        <v>0</v>
      </c>
      <c r="E3313">
        <v>0</v>
      </c>
      <c r="F3313">
        <v>0</v>
      </c>
      <c r="G3313">
        <v>0</v>
      </c>
    </row>
    <row r="3314" spans="1:7" x14ac:dyDescent="0.2">
      <c r="A3314" t="s">
        <v>2051</v>
      </c>
      <c r="B3314">
        <v>0</v>
      </c>
      <c r="C3314">
        <v>0</v>
      </c>
      <c r="D3314">
        <v>0</v>
      </c>
      <c r="E3314">
        <v>0</v>
      </c>
      <c r="F3314">
        <v>0</v>
      </c>
      <c r="G3314">
        <v>0</v>
      </c>
    </row>
    <row r="3315" spans="1:7" x14ac:dyDescent="0.2">
      <c r="A3315" t="s">
        <v>2057</v>
      </c>
      <c r="B3315">
        <v>0</v>
      </c>
      <c r="C3315">
        <v>0</v>
      </c>
      <c r="D3315">
        <v>0</v>
      </c>
      <c r="E3315">
        <v>0</v>
      </c>
      <c r="F3315">
        <v>0</v>
      </c>
      <c r="G3315">
        <v>0</v>
      </c>
    </row>
    <row r="3316" spans="1:7" x14ac:dyDescent="0.2">
      <c r="A3316" t="s">
        <v>4344</v>
      </c>
      <c r="B3316">
        <v>0</v>
      </c>
      <c r="C3316">
        <v>0</v>
      </c>
      <c r="D3316">
        <v>0</v>
      </c>
      <c r="E3316">
        <v>0</v>
      </c>
      <c r="F3316">
        <v>0</v>
      </c>
      <c r="G3316">
        <v>0</v>
      </c>
    </row>
    <row r="3317" spans="1:7" x14ac:dyDescent="0.2">
      <c r="A3317" t="s">
        <v>4345</v>
      </c>
      <c r="B3317">
        <v>0</v>
      </c>
      <c r="C3317">
        <v>0</v>
      </c>
      <c r="D3317">
        <v>0</v>
      </c>
      <c r="E3317">
        <v>0</v>
      </c>
      <c r="F3317">
        <v>0</v>
      </c>
      <c r="G3317">
        <v>0</v>
      </c>
    </row>
    <row r="3318" spans="1:7" x14ac:dyDescent="0.2">
      <c r="A3318" t="s">
        <v>2074</v>
      </c>
      <c r="B3318">
        <v>0</v>
      </c>
      <c r="C3318">
        <v>0</v>
      </c>
      <c r="D3318">
        <v>0</v>
      </c>
      <c r="E3318">
        <v>0</v>
      </c>
      <c r="F3318">
        <v>0</v>
      </c>
      <c r="G3318">
        <v>0</v>
      </c>
    </row>
    <row r="3319" spans="1:7" x14ac:dyDescent="0.2">
      <c r="A3319" t="s">
        <v>2079</v>
      </c>
      <c r="B3319">
        <v>0</v>
      </c>
      <c r="C3319">
        <v>0</v>
      </c>
      <c r="D3319">
        <v>0</v>
      </c>
      <c r="E3319">
        <v>0</v>
      </c>
      <c r="F3319">
        <v>0</v>
      </c>
      <c r="G3319">
        <v>0</v>
      </c>
    </row>
    <row r="3320" spans="1:7" x14ac:dyDescent="0.2">
      <c r="A3320" t="s">
        <v>2085</v>
      </c>
      <c r="B3320">
        <v>0</v>
      </c>
      <c r="C3320">
        <v>0</v>
      </c>
      <c r="D3320">
        <v>0</v>
      </c>
      <c r="E3320">
        <v>0</v>
      </c>
      <c r="F3320">
        <v>0</v>
      </c>
      <c r="G3320">
        <v>0</v>
      </c>
    </row>
    <row r="3321" spans="1:7" x14ac:dyDescent="0.2">
      <c r="A3321" t="s">
        <v>2091</v>
      </c>
      <c r="B3321">
        <v>0</v>
      </c>
      <c r="C3321">
        <v>0</v>
      </c>
      <c r="D3321">
        <v>0</v>
      </c>
      <c r="E3321">
        <v>0</v>
      </c>
      <c r="F3321">
        <v>0</v>
      </c>
      <c r="G3321">
        <v>0</v>
      </c>
    </row>
    <row r="3322" spans="1:7" x14ac:dyDescent="0.2">
      <c r="A3322" t="s">
        <v>2097</v>
      </c>
      <c r="B3322">
        <v>0</v>
      </c>
      <c r="C3322">
        <v>0</v>
      </c>
      <c r="D3322">
        <v>0</v>
      </c>
      <c r="E3322">
        <v>0</v>
      </c>
      <c r="F3322">
        <v>0</v>
      </c>
      <c r="G3322">
        <v>0</v>
      </c>
    </row>
    <row r="3323" spans="1:7" x14ac:dyDescent="0.2">
      <c r="A3323" t="s">
        <v>2101</v>
      </c>
      <c r="B3323">
        <v>0</v>
      </c>
      <c r="C3323">
        <v>0</v>
      </c>
      <c r="D3323">
        <v>0</v>
      </c>
      <c r="E3323">
        <v>0</v>
      </c>
      <c r="F3323">
        <v>0</v>
      </c>
      <c r="G3323">
        <v>0</v>
      </c>
    </row>
    <row r="3324" spans="1:7" x14ac:dyDescent="0.2">
      <c r="A3324" t="s">
        <v>2104</v>
      </c>
      <c r="B3324">
        <v>0</v>
      </c>
      <c r="C3324">
        <v>0</v>
      </c>
      <c r="D3324">
        <v>0</v>
      </c>
      <c r="E3324">
        <v>0</v>
      </c>
      <c r="F3324">
        <v>0</v>
      </c>
      <c r="G3324">
        <v>0</v>
      </c>
    </row>
    <row r="3325" spans="1:7" x14ac:dyDescent="0.2">
      <c r="A3325" t="s">
        <v>2107</v>
      </c>
      <c r="B3325">
        <v>0</v>
      </c>
      <c r="C3325">
        <v>0</v>
      </c>
      <c r="D3325">
        <v>0</v>
      </c>
      <c r="E3325">
        <v>0</v>
      </c>
      <c r="F3325">
        <v>0</v>
      </c>
      <c r="G3325">
        <v>0</v>
      </c>
    </row>
    <row r="3326" spans="1:7" x14ac:dyDescent="0.2">
      <c r="A3326" t="s">
        <v>2110</v>
      </c>
      <c r="B3326">
        <v>0</v>
      </c>
      <c r="C3326">
        <v>0</v>
      </c>
      <c r="D3326">
        <v>0</v>
      </c>
      <c r="E3326">
        <v>0</v>
      </c>
      <c r="F3326">
        <v>0</v>
      </c>
      <c r="G3326">
        <v>0</v>
      </c>
    </row>
    <row r="3327" spans="1:7" x14ac:dyDescent="0.2">
      <c r="A3327" t="s">
        <v>2113</v>
      </c>
      <c r="B3327">
        <v>0</v>
      </c>
      <c r="C3327">
        <v>0</v>
      </c>
      <c r="D3327">
        <v>0</v>
      </c>
      <c r="E3327">
        <v>0</v>
      </c>
      <c r="F3327">
        <v>0</v>
      </c>
      <c r="G3327">
        <v>0</v>
      </c>
    </row>
    <row r="3328" spans="1:7" x14ac:dyDescent="0.2">
      <c r="A3328" t="s">
        <v>4346</v>
      </c>
      <c r="B3328">
        <v>0</v>
      </c>
      <c r="C3328">
        <v>0</v>
      </c>
      <c r="D3328">
        <v>0</v>
      </c>
      <c r="E3328">
        <v>0</v>
      </c>
      <c r="F3328">
        <v>0</v>
      </c>
      <c r="G3328">
        <v>0</v>
      </c>
    </row>
    <row r="3329" spans="1:7" x14ac:dyDescent="0.2">
      <c r="A3329" t="s">
        <v>4347</v>
      </c>
      <c r="B3329">
        <v>0</v>
      </c>
      <c r="C3329">
        <v>0</v>
      </c>
      <c r="D3329">
        <v>0</v>
      </c>
      <c r="E3329">
        <v>0</v>
      </c>
      <c r="F3329">
        <v>0</v>
      </c>
      <c r="G3329">
        <v>0</v>
      </c>
    </row>
    <row r="3330" spans="1:7" x14ac:dyDescent="0.2">
      <c r="A3330" t="s">
        <v>4348</v>
      </c>
      <c r="B3330">
        <v>0</v>
      </c>
      <c r="C3330">
        <v>0</v>
      </c>
      <c r="D3330">
        <v>0</v>
      </c>
      <c r="E3330">
        <v>0</v>
      </c>
      <c r="F3330">
        <v>0</v>
      </c>
      <c r="G3330">
        <v>0</v>
      </c>
    </row>
    <row r="3331" spans="1:7" x14ac:dyDescent="0.2">
      <c r="A3331" t="s">
        <v>4349</v>
      </c>
      <c r="B3331">
        <v>0</v>
      </c>
      <c r="C3331">
        <v>0</v>
      </c>
      <c r="D3331">
        <v>0</v>
      </c>
      <c r="E3331">
        <v>0</v>
      </c>
      <c r="F3331">
        <v>0</v>
      </c>
      <c r="G3331">
        <v>0</v>
      </c>
    </row>
    <row r="3332" spans="1:7" x14ac:dyDescent="0.2">
      <c r="A3332" t="s">
        <v>4350</v>
      </c>
      <c r="B3332">
        <v>0</v>
      </c>
      <c r="C3332">
        <v>3</v>
      </c>
      <c r="D3332">
        <v>12</v>
      </c>
      <c r="E3332">
        <v>1</v>
      </c>
      <c r="F3332">
        <v>0</v>
      </c>
      <c r="G3332">
        <v>15</v>
      </c>
    </row>
    <row r="3333" spans="1:7" x14ac:dyDescent="0.2">
      <c r="A3333" t="s">
        <v>4351</v>
      </c>
      <c r="B3333">
        <v>0</v>
      </c>
      <c r="C3333">
        <v>0</v>
      </c>
      <c r="D3333">
        <v>0</v>
      </c>
      <c r="E3333">
        <v>0</v>
      </c>
      <c r="F3333">
        <v>0</v>
      </c>
      <c r="G3333">
        <v>0</v>
      </c>
    </row>
    <row r="3334" spans="1:7" x14ac:dyDescent="0.2">
      <c r="A3334" t="s">
        <v>4352</v>
      </c>
      <c r="B3334">
        <v>0</v>
      </c>
      <c r="C3334">
        <v>0</v>
      </c>
      <c r="D3334">
        <v>0</v>
      </c>
      <c r="E3334">
        <v>0</v>
      </c>
      <c r="F3334">
        <v>0</v>
      </c>
      <c r="G3334">
        <v>0</v>
      </c>
    </row>
    <row r="3335" spans="1:7" x14ac:dyDescent="0.2">
      <c r="A3335" t="s">
        <v>4353</v>
      </c>
      <c r="B3335">
        <v>0</v>
      </c>
      <c r="C3335">
        <v>23</v>
      </c>
      <c r="D3335">
        <v>20</v>
      </c>
      <c r="E3335">
        <v>1</v>
      </c>
      <c r="F3335">
        <v>0</v>
      </c>
      <c r="G3335">
        <v>43</v>
      </c>
    </row>
    <row r="3336" spans="1:7" x14ac:dyDescent="0.2">
      <c r="A3336" t="s">
        <v>4354</v>
      </c>
      <c r="B3336">
        <v>2</v>
      </c>
      <c r="C3336">
        <v>17</v>
      </c>
      <c r="D3336">
        <v>7</v>
      </c>
      <c r="E3336">
        <v>0</v>
      </c>
      <c r="F3336">
        <v>0</v>
      </c>
      <c r="G3336">
        <v>26</v>
      </c>
    </row>
    <row r="3337" spans="1:7" x14ac:dyDescent="0.2">
      <c r="A3337" t="s">
        <v>4355</v>
      </c>
      <c r="B3337">
        <v>0</v>
      </c>
      <c r="C3337">
        <v>0</v>
      </c>
      <c r="D3337">
        <v>0</v>
      </c>
      <c r="E3337">
        <v>0</v>
      </c>
      <c r="F3337">
        <v>0</v>
      </c>
      <c r="G3337">
        <v>0</v>
      </c>
    </row>
    <row r="3338" spans="1:7" x14ac:dyDescent="0.2">
      <c r="A3338" t="s">
        <v>4356</v>
      </c>
      <c r="B3338">
        <v>0</v>
      </c>
      <c r="C3338">
        <v>0</v>
      </c>
      <c r="D3338">
        <v>0</v>
      </c>
      <c r="E3338">
        <v>0</v>
      </c>
      <c r="F3338">
        <v>0</v>
      </c>
      <c r="G3338">
        <v>0</v>
      </c>
    </row>
    <row r="3339" spans="1:7" x14ac:dyDescent="0.2">
      <c r="A3339" t="s">
        <v>4357</v>
      </c>
      <c r="B3339">
        <v>0</v>
      </c>
      <c r="C3339">
        <v>2</v>
      </c>
      <c r="D3339">
        <v>0</v>
      </c>
      <c r="E3339">
        <v>0</v>
      </c>
      <c r="F3339">
        <v>0</v>
      </c>
      <c r="G3339">
        <v>2</v>
      </c>
    </row>
    <row r="3340" spans="1:7" x14ac:dyDescent="0.2">
      <c r="A3340" t="s">
        <v>4358</v>
      </c>
      <c r="B3340">
        <v>0</v>
      </c>
      <c r="C3340">
        <v>0</v>
      </c>
      <c r="D3340">
        <v>0</v>
      </c>
      <c r="E3340">
        <v>0</v>
      </c>
      <c r="F3340">
        <v>0</v>
      </c>
      <c r="G3340">
        <v>0</v>
      </c>
    </row>
    <row r="3341" spans="1:7" x14ac:dyDescent="0.2">
      <c r="A3341" t="s">
        <v>4359</v>
      </c>
      <c r="B3341">
        <v>0</v>
      </c>
      <c r="C3341">
        <v>0</v>
      </c>
      <c r="D3341">
        <v>0</v>
      </c>
      <c r="E3341">
        <v>0</v>
      </c>
      <c r="F3341">
        <v>0</v>
      </c>
      <c r="G3341">
        <v>0</v>
      </c>
    </row>
    <row r="3342" spans="1:7" x14ac:dyDescent="0.2">
      <c r="A3342" t="s">
        <v>4360</v>
      </c>
      <c r="B3342">
        <v>0</v>
      </c>
      <c r="C3342">
        <v>0</v>
      </c>
      <c r="D3342">
        <v>0</v>
      </c>
      <c r="E3342">
        <v>0</v>
      </c>
      <c r="F3342">
        <v>0</v>
      </c>
      <c r="G3342">
        <v>0</v>
      </c>
    </row>
    <row r="3343" spans="1:7" x14ac:dyDescent="0.2">
      <c r="A3343" t="s">
        <v>4361</v>
      </c>
      <c r="B3343">
        <v>0</v>
      </c>
      <c r="C3343">
        <v>0</v>
      </c>
      <c r="D3343">
        <v>2</v>
      </c>
      <c r="E3343">
        <v>0</v>
      </c>
      <c r="F3343">
        <v>0</v>
      </c>
      <c r="G3343">
        <v>2</v>
      </c>
    </row>
    <row r="3344" spans="1:7" x14ac:dyDescent="0.2">
      <c r="A3344" t="s">
        <v>4362</v>
      </c>
      <c r="B3344">
        <v>0</v>
      </c>
      <c r="C3344">
        <v>0</v>
      </c>
      <c r="D3344">
        <v>0</v>
      </c>
      <c r="E3344">
        <v>0</v>
      </c>
      <c r="F3344">
        <v>0</v>
      </c>
      <c r="G3344">
        <v>0</v>
      </c>
    </row>
    <row r="3345" spans="1:7" x14ac:dyDescent="0.2">
      <c r="A3345" t="s">
        <v>4363</v>
      </c>
      <c r="B3345">
        <v>0</v>
      </c>
      <c r="C3345">
        <v>0</v>
      </c>
      <c r="D3345">
        <v>0</v>
      </c>
      <c r="E3345">
        <v>0</v>
      </c>
      <c r="F3345">
        <v>0</v>
      </c>
      <c r="G3345">
        <v>0</v>
      </c>
    </row>
    <row r="3346" spans="1:7" x14ac:dyDescent="0.2">
      <c r="A3346" t="s">
        <v>4364</v>
      </c>
      <c r="B3346">
        <v>0</v>
      </c>
      <c r="C3346">
        <v>0</v>
      </c>
      <c r="D3346">
        <v>0</v>
      </c>
      <c r="E3346">
        <v>0</v>
      </c>
      <c r="F3346">
        <v>0</v>
      </c>
      <c r="G3346">
        <v>0</v>
      </c>
    </row>
    <row r="3347" spans="1:7" x14ac:dyDescent="0.2">
      <c r="A3347" t="s">
        <v>4365</v>
      </c>
      <c r="B3347">
        <v>0</v>
      </c>
      <c r="C3347">
        <v>0</v>
      </c>
      <c r="D3347">
        <v>0</v>
      </c>
      <c r="E3347">
        <v>0</v>
      </c>
      <c r="F3347">
        <v>0</v>
      </c>
      <c r="G3347">
        <v>0</v>
      </c>
    </row>
    <row r="3348" spans="1:7" x14ac:dyDescent="0.2">
      <c r="A3348" t="s">
        <v>4366</v>
      </c>
      <c r="B3348">
        <v>0</v>
      </c>
      <c r="C3348">
        <v>0</v>
      </c>
      <c r="D3348">
        <v>0</v>
      </c>
      <c r="E3348">
        <v>0</v>
      </c>
      <c r="F3348">
        <v>0</v>
      </c>
      <c r="G3348">
        <v>0</v>
      </c>
    </row>
    <row r="3349" spans="1:7" x14ac:dyDescent="0.2">
      <c r="A3349" t="s">
        <v>4367</v>
      </c>
      <c r="B3349">
        <v>0</v>
      </c>
      <c r="C3349">
        <v>0</v>
      </c>
      <c r="D3349">
        <v>0</v>
      </c>
      <c r="E3349">
        <v>0</v>
      </c>
      <c r="F3349">
        <v>0</v>
      </c>
      <c r="G3349">
        <v>0</v>
      </c>
    </row>
    <row r="3350" spans="1:7" x14ac:dyDescent="0.2">
      <c r="A3350" t="s">
        <v>4368</v>
      </c>
      <c r="B3350">
        <v>0</v>
      </c>
      <c r="C3350">
        <v>0</v>
      </c>
      <c r="D3350">
        <v>5</v>
      </c>
      <c r="E3350">
        <v>4</v>
      </c>
      <c r="F3350">
        <v>2</v>
      </c>
      <c r="G3350">
        <v>11</v>
      </c>
    </row>
    <row r="3351" spans="1:7" x14ac:dyDescent="0.2">
      <c r="A3351" t="s">
        <v>4369</v>
      </c>
      <c r="B3351">
        <v>0</v>
      </c>
      <c r="C3351">
        <v>5</v>
      </c>
      <c r="D3351">
        <v>5</v>
      </c>
      <c r="E3351">
        <v>0</v>
      </c>
      <c r="F3351">
        <v>0</v>
      </c>
      <c r="G3351">
        <v>10</v>
      </c>
    </row>
    <row r="3352" spans="1:7" x14ac:dyDescent="0.2">
      <c r="A3352" t="s">
        <v>4370</v>
      </c>
      <c r="B3352">
        <v>0</v>
      </c>
      <c r="C3352">
        <v>0</v>
      </c>
      <c r="D3352">
        <v>0</v>
      </c>
      <c r="E3352">
        <v>0</v>
      </c>
      <c r="F3352">
        <v>0</v>
      </c>
      <c r="G3352">
        <v>0</v>
      </c>
    </row>
    <row r="3353" spans="1:7" x14ac:dyDescent="0.2">
      <c r="A3353" t="s">
        <v>4371</v>
      </c>
      <c r="B3353">
        <v>0</v>
      </c>
      <c r="C3353">
        <v>0</v>
      </c>
      <c r="D3353">
        <v>0</v>
      </c>
      <c r="E3353">
        <v>0</v>
      </c>
      <c r="F3353">
        <v>0</v>
      </c>
      <c r="G3353">
        <v>0</v>
      </c>
    </row>
    <row r="3354" spans="1:7" x14ac:dyDescent="0.2">
      <c r="A3354" t="s">
        <v>4372</v>
      </c>
      <c r="B3354">
        <v>0</v>
      </c>
      <c r="C3354">
        <v>0</v>
      </c>
      <c r="D3354">
        <v>0</v>
      </c>
      <c r="E3354">
        <v>0</v>
      </c>
      <c r="F3354">
        <v>0</v>
      </c>
      <c r="G3354">
        <v>0</v>
      </c>
    </row>
    <row r="3355" spans="1:7" x14ac:dyDescent="0.2">
      <c r="A3355" t="s">
        <v>4373</v>
      </c>
      <c r="B3355">
        <v>0</v>
      </c>
      <c r="C3355">
        <v>4</v>
      </c>
      <c r="D3355">
        <v>0</v>
      </c>
      <c r="E3355">
        <v>0</v>
      </c>
      <c r="F3355">
        <v>0</v>
      </c>
      <c r="G3355">
        <v>4</v>
      </c>
    </row>
    <row r="3356" spans="1:7" x14ac:dyDescent="0.2">
      <c r="A3356" t="s">
        <v>4374</v>
      </c>
      <c r="B3356">
        <v>0</v>
      </c>
      <c r="C3356">
        <v>1</v>
      </c>
      <c r="D3356">
        <v>5</v>
      </c>
      <c r="E3356">
        <v>0</v>
      </c>
      <c r="F3356">
        <v>0</v>
      </c>
      <c r="G3356">
        <v>6</v>
      </c>
    </row>
    <row r="3357" spans="1:7" x14ac:dyDescent="0.2">
      <c r="A3357" t="s">
        <v>4375</v>
      </c>
      <c r="B3357">
        <v>0</v>
      </c>
      <c r="C3357">
        <v>1</v>
      </c>
      <c r="D3357">
        <v>0</v>
      </c>
      <c r="E3357">
        <v>0</v>
      </c>
      <c r="F3357">
        <v>0</v>
      </c>
      <c r="G3357">
        <v>1</v>
      </c>
    </row>
    <row r="3358" spans="1:7" x14ac:dyDescent="0.2">
      <c r="A3358" t="s">
        <v>4376</v>
      </c>
      <c r="B3358">
        <v>0</v>
      </c>
      <c r="C3358">
        <v>0</v>
      </c>
      <c r="D3358">
        <v>0</v>
      </c>
      <c r="E3358">
        <v>0</v>
      </c>
      <c r="F3358">
        <v>0</v>
      </c>
      <c r="G3358">
        <v>0</v>
      </c>
    </row>
    <row r="3359" spans="1:7" x14ac:dyDescent="0.2">
      <c r="A3359" t="s">
        <v>4377</v>
      </c>
      <c r="B3359">
        <v>0</v>
      </c>
      <c r="C3359">
        <v>0</v>
      </c>
      <c r="D3359">
        <v>0</v>
      </c>
      <c r="E3359">
        <v>0</v>
      </c>
      <c r="F3359">
        <v>0</v>
      </c>
      <c r="G3359">
        <v>0</v>
      </c>
    </row>
    <row r="3360" spans="1:7" x14ac:dyDescent="0.2">
      <c r="A3360" t="s">
        <v>2318</v>
      </c>
      <c r="B3360" t="s">
        <v>2319</v>
      </c>
      <c r="C3360" t="s">
        <v>2319</v>
      </c>
      <c r="D3360" t="s">
        <v>2319</v>
      </c>
      <c r="E3360" t="s">
        <v>2319</v>
      </c>
      <c r="F3360" t="s">
        <v>2319</v>
      </c>
      <c r="G3360" t="s">
        <v>2319</v>
      </c>
    </row>
    <row r="3361" spans="1:10" x14ac:dyDescent="0.2">
      <c r="A3361" t="s">
        <v>4248</v>
      </c>
    </row>
    <row r="3362" spans="1:10" x14ac:dyDescent="0.2">
      <c r="A3362" t="s">
        <v>4250</v>
      </c>
      <c r="C3362" t="s">
        <v>4251</v>
      </c>
      <c r="G3362" t="s">
        <v>7531</v>
      </c>
      <c r="J3362"/>
    </row>
    <row r="3363" spans="1:10" x14ac:dyDescent="0.2">
      <c r="A3363" t="s">
        <v>4925</v>
      </c>
      <c r="G3363" t="s">
        <v>7539</v>
      </c>
      <c r="J3363"/>
    </row>
    <row r="3364" spans="1:10" x14ac:dyDescent="0.2">
      <c r="A3364" t="s">
        <v>7530</v>
      </c>
      <c r="J3364"/>
    </row>
    <row r="3365" spans="1:10" x14ac:dyDescent="0.2">
      <c r="A3365" t="s">
        <v>4978</v>
      </c>
      <c r="J3365"/>
    </row>
    <row r="3366" spans="1:10" x14ac:dyDescent="0.2">
      <c r="J3366"/>
    </row>
    <row r="3367" spans="1:10" x14ac:dyDescent="0.2">
      <c r="A3367" t="s">
        <v>4259</v>
      </c>
      <c r="J3367"/>
    </row>
    <row r="3368" spans="1:10" x14ac:dyDescent="0.2">
      <c r="A3368" t="s">
        <v>2318</v>
      </c>
      <c r="B3368" t="s">
        <v>2319</v>
      </c>
      <c r="C3368" t="s">
        <v>2319</v>
      </c>
      <c r="D3368" t="s">
        <v>2319</v>
      </c>
      <c r="E3368" t="s">
        <v>2319</v>
      </c>
      <c r="F3368" t="s">
        <v>2319</v>
      </c>
      <c r="G3368" t="s">
        <v>2319</v>
      </c>
    </row>
    <row r="3369" spans="1:10" x14ac:dyDescent="0.2">
      <c r="A3369" t="s">
        <v>174</v>
      </c>
      <c r="B3369" t="s">
        <v>4945</v>
      </c>
      <c r="C3369" t="s">
        <v>4946</v>
      </c>
      <c r="D3369" t="s">
        <v>4947</v>
      </c>
      <c r="E3369" t="s">
        <v>4948</v>
      </c>
      <c r="F3369" t="s">
        <v>4949</v>
      </c>
    </row>
    <row r="3370" spans="1:10" x14ac:dyDescent="0.2">
      <c r="A3370" t="s">
        <v>126</v>
      </c>
      <c r="B3370" t="s">
        <v>4262</v>
      </c>
      <c r="C3370" t="s">
        <v>4263</v>
      </c>
      <c r="D3370" t="s">
        <v>4264</v>
      </c>
      <c r="E3370" t="s">
        <v>2308</v>
      </c>
      <c r="F3370" t="s">
        <v>615</v>
      </c>
      <c r="G3370" t="s">
        <v>236</v>
      </c>
    </row>
    <row r="3371" spans="1:10" x14ac:dyDescent="0.2">
      <c r="A3371" t="s">
        <v>2318</v>
      </c>
      <c r="B3371" t="s">
        <v>2319</v>
      </c>
      <c r="C3371" t="s">
        <v>2319</v>
      </c>
      <c r="D3371" t="s">
        <v>2319</v>
      </c>
      <c r="E3371" t="s">
        <v>2319</v>
      </c>
      <c r="F3371" t="s">
        <v>2319</v>
      </c>
      <c r="G3371" t="s">
        <v>2319</v>
      </c>
    </row>
    <row r="3372" spans="1:10" x14ac:dyDescent="0.2">
      <c r="A3372" t="s">
        <v>4265</v>
      </c>
      <c r="B3372">
        <v>0</v>
      </c>
      <c r="C3372">
        <v>0</v>
      </c>
      <c r="D3372">
        <v>0</v>
      </c>
      <c r="E3372">
        <v>0</v>
      </c>
      <c r="F3372">
        <v>0</v>
      </c>
      <c r="G3372">
        <v>0</v>
      </c>
    </row>
    <row r="3373" spans="1:10" x14ac:dyDescent="0.2">
      <c r="A3373" t="s">
        <v>4266</v>
      </c>
      <c r="B3373">
        <v>0</v>
      </c>
      <c r="C3373">
        <v>0</v>
      </c>
      <c r="D3373">
        <v>0</v>
      </c>
      <c r="E3373">
        <v>0</v>
      </c>
      <c r="F3373">
        <v>0</v>
      </c>
      <c r="G3373">
        <v>0</v>
      </c>
    </row>
    <row r="3374" spans="1:10" x14ac:dyDescent="0.2">
      <c r="A3374" t="s">
        <v>4267</v>
      </c>
      <c r="B3374">
        <v>0</v>
      </c>
      <c r="C3374">
        <v>0</v>
      </c>
      <c r="D3374">
        <v>0</v>
      </c>
      <c r="E3374">
        <v>0</v>
      </c>
      <c r="F3374">
        <v>0</v>
      </c>
      <c r="G3374">
        <v>0</v>
      </c>
    </row>
    <row r="3375" spans="1:10" x14ac:dyDescent="0.2">
      <c r="A3375" t="s">
        <v>4268</v>
      </c>
      <c r="B3375">
        <v>0</v>
      </c>
      <c r="C3375">
        <v>0</v>
      </c>
      <c r="D3375">
        <v>0</v>
      </c>
      <c r="E3375">
        <v>0</v>
      </c>
      <c r="F3375">
        <v>0</v>
      </c>
      <c r="G3375">
        <v>0</v>
      </c>
    </row>
    <row r="3376" spans="1:10" x14ac:dyDescent="0.2">
      <c r="A3376" t="s">
        <v>4269</v>
      </c>
      <c r="B3376">
        <v>0</v>
      </c>
      <c r="C3376">
        <v>0</v>
      </c>
      <c r="D3376">
        <v>0</v>
      </c>
      <c r="E3376">
        <v>0</v>
      </c>
      <c r="F3376">
        <v>0</v>
      </c>
      <c r="G3376">
        <v>0</v>
      </c>
    </row>
    <row r="3377" spans="1:7" x14ac:dyDescent="0.2">
      <c r="A3377" t="s">
        <v>4270</v>
      </c>
      <c r="B3377">
        <v>0</v>
      </c>
      <c r="C3377">
        <v>0</v>
      </c>
      <c r="D3377">
        <v>0</v>
      </c>
      <c r="E3377">
        <v>0</v>
      </c>
      <c r="F3377">
        <v>0</v>
      </c>
      <c r="G3377">
        <v>0</v>
      </c>
    </row>
    <row r="3378" spans="1:7" x14ac:dyDescent="0.2">
      <c r="A3378" t="s">
        <v>4271</v>
      </c>
      <c r="B3378">
        <v>0</v>
      </c>
      <c r="C3378">
        <v>0</v>
      </c>
      <c r="D3378">
        <v>0</v>
      </c>
      <c r="E3378">
        <v>0</v>
      </c>
      <c r="F3378">
        <v>0</v>
      </c>
      <c r="G3378">
        <v>0</v>
      </c>
    </row>
    <row r="3379" spans="1:7" x14ac:dyDescent="0.2">
      <c r="A3379" t="s">
        <v>4272</v>
      </c>
      <c r="B3379">
        <v>0</v>
      </c>
      <c r="C3379">
        <v>0</v>
      </c>
      <c r="D3379">
        <v>0</v>
      </c>
      <c r="E3379">
        <v>0</v>
      </c>
      <c r="F3379">
        <v>0</v>
      </c>
      <c r="G3379">
        <v>0</v>
      </c>
    </row>
    <row r="3380" spans="1:7" x14ac:dyDescent="0.2">
      <c r="A3380" t="s">
        <v>4273</v>
      </c>
      <c r="B3380">
        <v>0</v>
      </c>
      <c r="C3380">
        <v>0</v>
      </c>
      <c r="D3380">
        <v>0</v>
      </c>
      <c r="E3380">
        <v>0</v>
      </c>
      <c r="F3380">
        <v>0</v>
      </c>
      <c r="G3380">
        <v>0</v>
      </c>
    </row>
    <row r="3381" spans="1:7" x14ac:dyDescent="0.2">
      <c r="A3381" t="s">
        <v>4274</v>
      </c>
      <c r="B3381">
        <v>0</v>
      </c>
      <c r="C3381">
        <v>0</v>
      </c>
      <c r="D3381">
        <v>0</v>
      </c>
      <c r="E3381">
        <v>0</v>
      </c>
      <c r="F3381">
        <v>0</v>
      </c>
      <c r="G3381">
        <v>0</v>
      </c>
    </row>
    <row r="3382" spans="1:7" x14ac:dyDescent="0.2">
      <c r="A3382" t="s">
        <v>4275</v>
      </c>
      <c r="B3382">
        <v>0</v>
      </c>
      <c r="C3382">
        <v>0</v>
      </c>
      <c r="D3382">
        <v>0</v>
      </c>
      <c r="E3382">
        <v>0</v>
      </c>
      <c r="F3382">
        <v>0</v>
      </c>
      <c r="G3382">
        <v>0</v>
      </c>
    </row>
    <row r="3383" spans="1:7" x14ac:dyDescent="0.2">
      <c r="A3383" t="s">
        <v>4276</v>
      </c>
      <c r="B3383">
        <v>0</v>
      </c>
      <c r="C3383">
        <v>0</v>
      </c>
      <c r="D3383">
        <v>0</v>
      </c>
      <c r="E3383">
        <v>0</v>
      </c>
      <c r="F3383">
        <v>0</v>
      </c>
      <c r="G3383">
        <v>0</v>
      </c>
    </row>
    <row r="3384" spans="1:7" x14ac:dyDescent="0.2">
      <c r="A3384" t="s">
        <v>4277</v>
      </c>
      <c r="B3384">
        <v>0</v>
      </c>
      <c r="C3384">
        <v>0</v>
      </c>
      <c r="D3384">
        <v>0</v>
      </c>
      <c r="E3384">
        <v>0</v>
      </c>
      <c r="F3384">
        <v>0</v>
      </c>
      <c r="G3384">
        <v>0</v>
      </c>
    </row>
    <row r="3385" spans="1:7" x14ac:dyDescent="0.2">
      <c r="A3385" t="s">
        <v>4278</v>
      </c>
      <c r="B3385">
        <v>0</v>
      </c>
      <c r="C3385">
        <v>0</v>
      </c>
      <c r="D3385">
        <v>0</v>
      </c>
      <c r="E3385">
        <v>0</v>
      </c>
      <c r="F3385">
        <v>0</v>
      </c>
      <c r="G3385">
        <v>0</v>
      </c>
    </row>
    <row r="3386" spans="1:7" x14ac:dyDescent="0.2">
      <c r="A3386" t="s">
        <v>4279</v>
      </c>
      <c r="B3386">
        <v>1</v>
      </c>
      <c r="C3386">
        <v>0</v>
      </c>
      <c r="D3386">
        <v>0</v>
      </c>
      <c r="E3386">
        <v>0</v>
      </c>
      <c r="F3386">
        <v>0</v>
      </c>
      <c r="G3386">
        <v>1</v>
      </c>
    </row>
    <row r="3387" spans="1:7" x14ac:dyDescent="0.2">
      <c r="A3387" t="s">
        <v>4280</v>
      </c>
      <c r="B3387">
        <v>0</v>
      </c>
      <c r="C3387">
        <v>0</v>
      </c>
      <c r="D3387">
        <v>0</v>
      </c>
      <c r="E3387">
        <v>0</v>
      </c>
      <c r="F3387">
        <v>0</v>
      </c>
      <c r="G3387">
        <v>0</v>
      </c>
    </row>
    <row r="3388" spans="1:7" x14ac:dyDescent="0.2">
      <c r="A3388" t="s">
        <v>4281</v>
      </c>
      <c r="B3388">
        <v>40</v>
      </c>
      <c r="C3388">
        <v>42</v>
      </c>
      <c r="D3388">
        <v>49</v>
      </c>
      <c r="E3388">
        <v>0</v>
      </c>
      <c r="F3388">
        <v>0</v>
      </c>
      <c r="G3388">
        <v>131</v>
      </c>
    </row>
    <row r="3389" spans="1:7" x14ac:dyDescent="0.2">
      <c r="A3389" t="s">
        <v>4282</v>
      </c>
      <c r="B3389">
        <v>20</v>
      </c>
      <c r="C3389">
        <v>22</v>
      </c>
      <c r="D3389">
        <v>18</v>
      </c>
      <c r="E3389">
        <v>0</v>
      </c>
      <c r="F3389">
        <v>0</v>
      </c>
      <c r="G3389">
        <v>60</v>
      </c>
    </row>
    <row r="3390" spans="1:7" x14ac:dyDescent="0.2">
      <c r="A3390" t="s">
        <v>4283</v>
      </c>
      <c r="B3390">
        <v>10</v>
      </c>
      <c r="C3390">
        <v>5</v>
      </c>
      <c r="D3390">
        <v>4</v>
      </c>
      <c r="E3390">
        <v>0</v>
      </c>
      <c r="F3390">
        <v>0</v>
      </c>
      <c r="G3390">
        <v>18</v>
      </c>
    </row>
    <row r="3391" spans="1:7" x14ac:dyDescent="0.2">
      <c r="A3391" t="s">
        <v>4284</v>
      </c>
      <c r="B3391">
        <v>0</v>
      </c>
      <c r="C3391">
        <v>0</v>
      </c>
      <c r="D3391">
        <v>1</v>
      </c>
      <c r="E3391">
        <v>0</v>
      </c>
      <c r="F3391">
        <v>0</v>
      </c>
      <c r="G3391">
        <v>2</v>
      </c>
    </row>
    <row r="3392" spans="1:7" x14ac:dyDescent="0.2">
      <c r="A3392" t="s">
        <v>4285</v>
      </c>
      <c r="B3392">
        <v>42</v>
      </c>
      <c r="C3392">
        <v>62</v>
      </c>
      <c r="D3392">
        <v>7</v>
      </c>
      <c r="E3392">
        <v>0</v>
      </c>
      <c r="F3392">
        <v>0</v>
      </c>
      <c r="G3392">
        <v>110</v>
      </c>
    </row>
    <row r="3393" spans="1:7" x14ac:dyDescent="0.2">
      <c r="A3393" t="s">
        <v>4286</v>
      </c>
      <c r="B3393">
        <v>4</v>
      </c>
      <c r="C3393">
        <v>2</v>
      </c>
      <c r="D3393">
        <v>2</v>
      </c>
      <c r="E3393">
        <v>0</v>
      </c>
      <c r="F3393">
        <v>0</v>
      </c>
      <c r="G3393">
        <v>8</v>
      </c>
    </row>
    <row r="3394" spans="1:7" x14ac:dyDescent="0.2">
      <c r="A3394" t="s">
        <v>4287</v>
      </c>
      <c r="B3394">
        <v>0</v>
      </c>
      <c r="C3394">
        <v>0</v>
      </c>
      <c r="D3394">
        <v>0</v>
      </c>
      <c r="E3394">
        <v>18</v>
      </c>
      <c r="F3394">
        <v>0</v>
      </c>
      <c r="G3394">
        <v>18</v>
      </c>
    </row>
    <row r="3395" spans="1:7" x14ac:dyDescent="0.2">
      <c r="A3395" t="s">
        <v>4288</v>
      </c>
      <c r="B3395">
        <v>0</v>
      </c>
      <c r="C3395">
        <v>0</v>
      </c>
      <c r="D3395">
        <v>0</v>
      </c>
      <c r="E3395">
        <v>0</v>
      </c>
      <c r="F3395">
        <v>0</v>
      </c>
      <c r="G3395">
        <v>0</v>
      </c>
    </row>
    <row r="3396" spans="1:7" x14ac:dyDescent="0.2">
      <c r="A3396" t="s">
        <v>4289</v>
      </c>
      <c r="B3396">
        <v>0</v>
      </c>
      <c r="C3396">
        <v>0</v>
      </c>
      <c r="D3396">
        <v>0</v>
      </c>
      <c r="E3396">
        <v>0</v>
      </c>
      <c r="F3396">
        <v>0</v>
      </c>
      <c r="G3396">
        <v>0</v>
      </c>
    </row>
    <row r="3397" spans="1:7" x14ac:dyDescent="0.2">
      <c r="A3397" t="s">
        <v>4290</v>
      </c>
      <c r="B3397">
        <v>0</v>
      </c>
      <c r="C3397">
        <v>0</v>
      </c>
      <c r="D3397">
        <v>0</v>
      </c>
      <c r="E3397">
        <v>0</v>
      </c>
      <c r="F3397">
        <v>0</v>
      </c>
      <c r="G3397">
        <v>0</v>
      </c>
    </row>
    <row r="3398" spans="1:7" x14ac:dyDescent="0.2">
      <c r="A3398" t="s">
        <v>4291</v>
      </c>
      <c r="B3398">
        <v>0</v>
      </c>
      <c r="C3398">
        <v>0</v>
      </c>
      <c r="D3398">
        <v>0</v>
      </c>
      <c r="E3398">
        <v>0</v>
      </c>
      <c r="F3398">
        <v>0</v>
      </c>
      <c r="G3398">
        <v>0</v>
      </c>
    </row>
    <row r="3399" spans="1:7" x14ac:dyDescent="0.2">
      <c r="A3399" t="s">
        <v>4292</v>
      </c>
      <c r="B3399">
        <v>0</v>
      </c>
      <c r="C3399">
        <v>0</v>
      </c>
      <c r="D3399">
        <v>0</v>
      </c>
      <c r="E3399">
        <v>0</v>
      </c>
      <c r="F3399">
        <v>0</v>
      </c>
      <c r="G3399">
        <v>0</v>
      </c>
    </row>
    <row r="3400" spans="1:7" x14ac:dyDescent="0.2">
      <c r="A3400" t="s">
        <v>4293</v>
      </c>
      <c r="B3400">
        <v>0</v>
      </c>
      <c r="C3400">
        <v>0</v>
      </c>
      <c r="D3400">
        <v>0</v>
      </c>
      <c r="E3400">
        <v>0</v>
      </c>
      <c r="F3400">
        <v>0</v>
      </c>
      <c r="G3400">
        <v>0</v>
      </c>
    </row>
    <row r="3401" spans="1:7" x14ac:dyDescent="0.2">
      <c r="A3401" t="s">
        <v>4294</v>
      </c>
      <c r="B3401">
        <v>0</v>
      </c>
      <c r="C3401">
        <v>0</v>
      </c>
      <c r="D3401">
        <v>0</v>
      </c>
      <c r="E3401">
        <v>0</v>
      </c>
      <c r="F3401">
        <v>0</v>
      </c>
      <c r="G3401">
        <v>0</v>
      </c>
    </row>
    <row r="3402" spans="1:7" x14ac:dyDescent="0.2">
      <c r="A3402" t="s">
        <v>4295</v>
      </c>
      <c r="B3402">
        <v>0</v>
      </c>
      <c r="C3402">
        <v>0</v>
      </c>
      <c r="D3402">
        <v>0</v>
      </c>
      <c r="E3402">
        <v>0</v>
      </c>
      <c r="F3402">
        <v>0</v>
      </c>
      <c r="G3402">
        <v>0</v>
      </c>
    </row>
    <row r="3403" spans="1:7" x14ac:dyDescent="0.2">
      <c r="A3403" t="s">
        <v>4296</v>
      </c>
      <c r="B3403">
        <v>0</v>
      </c>
      <c r="C3403">
        <v>0</v>
      </c>
      <c r="D3403">
        <v>0</v>
      </c>
      <c r="E3403">
        <v>0</v>
      </c>
      <c r="F3403">
        <v>0</v>
      </c>
      <c r="G3403">
        <v>0</v>
      </c>
    </row>
    <row r="3404" spans="1:7" x14ac:dyDescent="0.2">
      <c r="A3404" t="s">
        <v>4297</v>
      </c>
      <c r="B3404">
        <v>0</v>
      </c>
      <c r="C3404">
        <v>29</v>
      </c>
      <c r="D3404">
        <v>106</v>
      </c>
      <c r="E3404">
        <v>7</v>
      </c>
      <c r="F3404">
        <v>0</v>
      </c>
      <c r="G3404">
        <v>142</v>
      </c>
    </row>
    <row r="3405" spans="1:7" x14ac:dyDescent="0.2">
      <c r="A3405" t="s">
        <v>4298</v>
      </c>
      <c r="B3405">
        <v>3</v>
      </c>
      <c r="C3405">
        <v>21</v>
      </c>
      <c r="D3405">
        <v>24</v>
      </c>
      <c r="E3405">
        <v>0</v>
      </c>
      <c r="F3405">
        <v>0</v>
      </c>
      <c r="G3405">
        <v>48</v>
      </c>
    </row>
    <row r="3406" spans="1:7" x14ac:dyDescent="0.2">
      <c r="A3406" t="s">
        <v>4299</v>
      </c>
      <c r="B3406">
        <v>6</v>
      </c>
      <c r="C3406">
        <v>47</v>
      </c>
      <c r="D3406">
        <v>49</v>
      </c>
      <c r="E3406">
        <v>103</v>
      </c>
      <c r="F3406">
        <v>0</v>
      </c>
      <c r="G3406">
        <v>205</v>
      </c>
    </row>
    <row r="3407" spans="1:7" x14ac:dyDescent="0.2">
      <c r="A3407" t="s">
        <v>4300</v>
      </c>
      <c r="B3407">
        <v>0</v>
      </c>
      <c r="C3407">
        <v>1</v>
      </c>
      <c r="D3407">
        <v>1</v>
      </c>
      <c r="E3407">
        <v>2</v>
      </c>
      <c r="F3407">
        <v>0</v>
      </c>
      <c r="G3407">
        <v>4</v>
      </c>
    </row>
    <row r="3408" spans="1:7" x14ac:dyDescent="0.2">
      <c r="A3408" t="s">
        <v>4301</v>
      </c>
      <c r="B3408">
        <v>0</v>
      </c>
      <c r="C3408">
        <v>91</v>
      </c>
      <c r="D3408">
        <v>220</v>
      </c>
      <c r="E3408">
        <v>0</v>
      </c>
      <c r="F3408">
        <v>0</v>
      </c>
      <c r="G3408">
        <v>311</v>
      </c>
    </row>
    <row r="3409" spans="1:7" x14ac:dyDescent="0.2">
      <c r="A3409" t="s">
        <v>4302</v>
      </c>
      <c r="B3409">
        <v>7</v>
      </c>
      <c r="C3409">
        <v>65</v>
      </c>
      <c r="D3409">
        <v>113</v>
      </c>
      <c r="E3409">
        <v>24</v>
      </c>
      <c r="F3409">
        <v>0</v>
      </c>
      <c r="G3409">
        <v>209</v>
      </c>
    </row>
    <row r="3410" spans="1:7" x14ac:dyDescent="0.2">
      <c r="A3410" t="s">
        <v>4303</v>
      </c>
      <c r="B3410">
        <v>7</v>
      </c>
      <c r="C3410">
        <v>59</v>
      </c>
      <c r="D3410">
        <v>148</v>
      </c>
      <c r="E3410">
        <v>20</v>
      </c>
      <c r="F3410">
        <v>0</v>
      </c>
      <c r="G3410">
        <v>234</v>
      </c>
    </row>
    <row r="3411" spans="1:7" x14ac:dyDescent="0.2">
      <c r="A3411" t="s">
        <v>4304</v>
      </c>
      <c r="B3411">
        <v>0</v>
      </c>
      <c r="C3411">
        <v>12</v>
      </c>
      <c r="D3411">
        <v>27</v>
      </c>
      <c r="E3411">
        <v>0</v>
      </c>
      <c r="F3411">
        <v>0</v>
      </c>
      <c r="G3411">
        <v>39</v>
      </c>
    </row>
    <row r="3412" spans="1:7" x14ac:dyDescent="0.2">
      <c r="A3412" t="s">
        <v>4305</v>
      </c>
      <c r="B3412">
        <v>0</v>
      </c>
      <c r="C3412">
        <v>31</v>
      </c>
      <c r="D3412">
        <v>105</v>
      </c>
      <c r="E3412">
        <v>10</v>
      </c>
      <c r="F3412">
        <v>0</v>
      </c>
      <c r="G3412">
        <v>147</v>
      </c>
    </row>
    <row r="3413" spans="1:7" x14ac:dyDescent="0.2">
      <c r="A3413" t="s">
        <v>4306</v>
      </c>
      <c r="B3413">
        <v>1</v>
      </c>
      <c r="C3413">
        <v>23</v>
      </c>
      <c r="D3413">
        <v>4</v>
      </c>
      <c r="E3413">
        <v>1</v>
      </c>
      <c r="F3413">
        <v>0</v>
      </c>
      <c r="G3413">
        <v>29</v>
      </c>
    </row>
    <row r="3414" spans="1:7" x14ac:dyDescent="0.2">
      <c r="A3414" t="s">
        <v>4307</v>
      </c>
      <c r="B3414">
        <v>7</v>
      </c>
      <c r="C3414">
        <v>69</v>
      </c>
      <c r="D3414">
        <v>198</v>
      </c>
      <c r="E3414">
        <v>18</v>
      </c>
      <c r="F3414">
        <v>0</v>
      </c>
      <c r="G3414">
        <v>292</v>
      </c>
    </row>
    <row r="3415" spans="1:7" x14ac:dyDescent="0.2">
      <c r="A3415" t="s">
        <v>4308</v>
      </c>
      <c r="B3415">
        <v>0</v>
      </c>
      <c r="C3415">
        <v>0</v>
      </c>
      <c r="D3415">
        <v>0</v>
      </c>
      <c r="E3415">
        <v>0</v>
      </c>
      <c r="F3415">
        <v>0</v>
      </c>
      <c r="G3415">
        <v>0</v>
      </c>
    </row>
    <row r="3416" spans="1:7" x14ac:dyDescent="0.2">
      <c r="A3416" t="s">
        <v>4309</v>
      </c>
      <c r="B3416">
        <v>0</v>
      </c>
      <c r="C3416">
        <v>0</v>
      </c>
      <c r="D3416">
        <v>0</v>
      </c>
      <c r="E3416">
        <v>0</v>
      </c>
      <c r="F3416">
        <v>0</v>
      </c>
      <c r="G3416">
        <v>0</v>
      </c>
    </row>
    <row r="3417" spans="1:7" x14ac:dyDescent="0.2">
      <c r="A3417" t="s">
        <v>4310</v>
      </c>
      <c r="B3417">
        <v>0</v>
      </c>
      <c r="C3417">
        <v>0</v>
      </c>
      <c r="D3417">
        <v>0</v>
      </c>
      <c r="E3417">
        <v>0</v>
      </c>
      <c r="F3417">
        <v>0</v>
      </c>
      <c r="G3417">
        <v>0</v>
      </c>
    </row>
    <row r="3418" spans="1:7" x14ac:dyDescent="0.2">
      <c r="A3418" t="s">
        <v>4311</v>
      </c>
      <c r="B3418">
        <v>0</v>
      </c>
      <c r="C3418">
        <v>0</v>
      </c>
      <c r="D3418">
        <v>0</v>
      </c>
      <c r="E3418">
        <v>0</v>
      </c>
      <c r="F3418">
        <v>0</v>
      </c>
      <c r="G3418">
        <v>0</v>
      </c>
    </row>
    <row r="3419" spans="1:7" x14ac:dyDescent="0.2">
      <c r="A3419" t="s">
        <v>4312</v>
      </c>
      <c r="B3419">
        <v>0</v>
      </c>
      <c r="C3419">
        <v>0</v>
      </c>
      <c r="D3419">
        <v>0</v>
      </c>
      <c r="E3419">
        <v>0</v>
      </c>
      <c r="F3419">
        <v>0</v>
      </c>
      <c r="G3419">
        <v>0</v>
      </c>
    </row>
    <row r="3420" spans="1:7" x14ac:dyDescent="0.2">
      <c r="A3420" t="s">
        <v>4313</v>
      </c>
      <c r="B3420">
        <v>0</v>
      </c>
      <c r="C3420">
        <v>0</v>
      </c>
      <c r="D3420">
        <v>0</v>
      </c>
      <c r="E3420">
        <v>0</v>
      </c>
      <c r="F3420">
        <v>0</v>
      </c>
      <c r="G3420">
        <v>0</v>
      </c>
    </row>
    <row r="3421" spans="1:7" x14ac:dyDescent="0.2">
      <c r="A3421" t="s">
        <v>4314</v>
      </c>
      <c r="B3421">
        <v>0</v>
      </c>
      <c r="C3421">
        <v>0</v>
      </c>
      <c r="D3421">
        <v>0</v>
      </c>
      <c r="E3421">
        <v>0</v>
      </c>
      <c r="F3421">
        <v>0</v>
      </c>
      <c r="G3421">
        <v>0</v>
      </c>
    </row>
    <row r="3422" spans="1:7" x14ac:dyDescent="0.2">
      <c r="A3422" t="s">
        <v>4315</v>
      </c>
      <c r="B3422">
        <v>0</v>
      </c>
      <c r="C3422">
        <v>0</v>
      </c>
      <c r="D3422">
        <v>0</v>
      </c>
      <c r="E3422">
        <v>0</v>
      </c>
      <c r="F3422">
        <v>0</v>
      </c>
      <c r="G3422">
        <v>0</v>
      </c>
    </row>
    <row r="3423" spans="1:7" x14ac:dyDescent="0.2">
      <c r="A3423" t="s">
        <v>4316</v>
      </c>
      <c r="B3423">
        <v>0</v>
      </c>
      <c r="C3423">
        <v>0</v>
      </c>
      <c r="D3423">
        <v>0</v>
      </c>
      <c r="E3423">
        <v>0</v>
      </c>
      <c r="F3423">
        <v>0</v>
      </c>
      <c r="G3423">
        <v>0</v>
      </c>
    </row>
    <row r="3424" spans="1:7" x14ac:dyDescent="0.2">
      <c r="A3424" t="s">
        <v>4317</v>
      </c>
      <c r="B3424">
        <v>0</v>
      </c>
      <c r="C3424">
        <v>0</v>
      </c>
      <c r="D3424">
        <v>0</v>
      </c>
      <c r="E3424">
        <v>0</v>
      </c>
      <c r="F3424">
        <v>0</v>
      </c>
      <c r="G3424">
        <v>0</v>
      </c>
    </row>
    <row r="3425" spans="1:7" x14ac:dyDescent="0.2">
      <c r="A3425" t="s">
        <v>4318</v>
      </c>
      <c r="B3425">
        <v>0</v>
      </c>
      <c r="C3425">
        <v>0</v>
      </c>
      <c r="D3425">
        <v>0</v>
      </c>
      <c r="E3425">
        <v>0</v>
      </c>
      <c r="F3425">
        <v>0</v>
      </c>
      <c r="G3425">
        <v>0</v>
      </c>
    </row>
    <row r="3426" spans="1:7" x14ac:dyDescent="0.2">
      <c r="A3426" t="s">
        <v>4319</v>
      </c>
      <c r="B3426">
        <v>0</v>
      </c>
      <c r="C3426">
        <v>0</v>
      </c>
      <c r="D3426">
        <v>0</v>
      </c>
      <c r="E3426">
        <v>0</v>
      </c>
      <c r="F3426">
        <v>0</v>
      </c>
      <c r="G3426">
        <v>0</v>
      </c>
    </row>
    <row r="3427" spans="1:7" x14ac:dyDescent="0.2">
      <c r="A3427" t="s">
        <v>4320</v>
      </c>
      <c r="B3427">
        <v>0</v>
      </c>
      <c r="C3427">
        <v>0</v>
      </c>
      <c r="D3427">
        <v>0</v>
      </c>
      <c r="E3427">
        <v>0</v>
      </c>
      <c r="F3427">
        <v>0</v>
      </c>
      <c r="G3427">
        <v>0</v>
      </c>
    </row>
    <row r="3428" spans="1:7" x14ac:dyDescent="0.2">
      <c r="A3428" t="s">
        <v>4321</v>
      </c>
      <c r="B3428">
        <v>0</v>
      </c>
      <c r="C3428">
        <v>0</v>
      </c>
      <c r="D3428">
        <v>0</v>
      </c>
      <c r="E3428">
        <v>0</v>
      </c>
      <c r="F3428">
        <v>0</v>
      </c>
      <c r="G3428">
        <v>0</v>
      </c>
    </row>
    <row r="3429" spans="1:7" x14ac:dyDescent="0.2">
      <c r="A3429" t="s">
        <v>4322</v>
      </c>
      <c r="B3429">
        <v>0</v>
      </c>
      <c r="C3429">
        <v>0</v>
      </c>
      <c r="D3429">
        <v>0</v>
      </c>
      <c r="E3429">
        <v>0</v>
      </c>
      <c r="F3429">
        <v>0</v>
      </c>
      <c r="G3429">
        <v>0</v>
      </c>
    </row>
    <row r="3430" spans="1:7" x14ac:dyDescent="0.2">
      <c r="A3430" t="s">
        <v>4323</v>
      </c>
      <c r="B3430">
        <v>0</v>
      </c>
      <c r="C3430">
        <v>0</v>
      </c>
      <c r="D3430">
        <v>0</v>
      </c>
      <c r="E3430">
        <v>0</v>
      </c>
      <c r="F3430">
        <v>0</v>
      </c>
      <c r="G3430">
        <v>0</v>
      </c>
    </row>
    <row r="3431" spans="1:7" x14ac:dyDescent="0.2">
      <c r="A3431" t="s">
        <v>4324</v>
      </c>
      <c r="B3431">
        <v>0</v>
      </c>
      <c r="C3431">
        <v>0</v>
      </c>
      <c r="D3431">
        <v>0</v>
      </c>
      <c r="E3431">
        <v>0</v>
      </c>
      <c r="F3431">
        <v>0</v>
      </c>
      <c r="G3431">
        <v>0</v>
      </c>
    </row>
    <row r="3432" spans="1:7" x14ac:dyDescent="0.2">
      <c r="A3432" t="s">
        <v>4325</v>
      </c>
      <c r="B3432">
        <v>0</v>
      </c>
      <c r="C3432">
        <v>0</v>
      </c>
      <c r="D3432">
        <v>0</v>
      </c>
      <c r="E3432">
        <v>0</v>
      </c>
      <c r="F3432">
        <v>0</v>
      </c>
      <c r="G3432">
        <v>0</v>
      </c>
    </row>
    <row r="3433" spans="1:7" x14ac:dyDescent="0.2">
      <c r="A3433" t="s">
        <v>4326</v>
      </c>
      <c r="B3433">
        <v>0</v>
      </c>
      <c r="C3433">
        <v>0</v>
      </c>
      <c r="D3433">
        <v>0</v>
      </c>
      <c r="E3433">
        <v>0</v>
      </c>
      <c r="F3433">
        <v>0</v>
      </c>
      <c r="G3433">
        <v>0</v>
      </c>
    </row>
    <row r="3434" spans="1:7" x14ac:dyDescent="0.2">
      <c r="A3434" t="s">
        <v>4327</v>
      </c>
      <c r="B3434">
        <v>0</v>
      </c>
      <c r="C3434">
        <v>0</v>
      </c>
      <c r="D3434">
        <v>0</v>
      </c>
      <c r="E3434">
        <v>3</v>
      </c>
      <c r="F3434">
        <v>0</v>
      </c>
      <c r="G3434">
        <v>3</v>
      </c>
    </row>
    <row r="3435" spans="1:7" x14ac:dyDescent="0.2">
      <c r="A3435" t="s">
        <v>4328</v>
      </c>
      <c r="B3435">
        <v>0</v>
      </c>
      <c r="C3435">
        <v>0</v>
      </c>
      <c r="D3435">
        <v>0</v>
      </c>
      <c r="E3435">
        <v>0</v>
      </c>
      <c r="F3435">
        <v>0</v>
      </c>
      <c r="G3435">
        <v>0</v>
      </c>
    </row>
    <row r="3436" spans="1:7" x14ac:dyDescent="0.2">
      <c r="A3436" t="s">
        <v>4329</v>
      </c>
      <c r="B3436">
        <v>0</v>
      </c>
      <c r="C3436">
        <v>0</v>
      </c>
      <c r="D3436">
        <v>0</v>
      </c>
      <c r="E3436">
        <v>0</v>
      </c>
      <c r="F3436">
        <v>0</v>
      </c>
      <c r="G3436">
        <v>0</v>
      </c>
    </row>
    <row r="3437" spans="1:7" x14ac:dyDescent="0.2">
      <c r="A3437" t="s">
        <v>4330</v>
      </c>
      <c r="B3437">
        <v>0</v>
      </c>
      <c r="C3437">
        <v>0</v>
      </c>
      <c r="D3437">
        <v>0</v>
      </c>
      <c r="E3437">
        <v>0</v>
      </c>
      <c r="F3437">
        <v>0</v>
      </c>
      <c r="G3437">
        <v>0</v>
      </c>
    </row>
    <row r="3438" spans="1:7" x14ac:dyDescent="0.2">
      <c r="A3438" t="s">
        <v>4331</v>
      </c>
      <c r="B3438">
        <v>0</v>
      </c>
      <c r="C3438">
        <v>0</v>
      </c>
      <c r="D3438">
        <v>0</v>
      </c>
      <c r="E3438">
        <v>0</v>
      </c>
      <c r="F3438">
        <v>0</v>
      </c>
      <c r="G3438">
        <v>0</v>
      </c>
    </row>
    <row r="3439" spans="1:7" x14ac:dyDescent="0.2">
      <c r="A3439" t="s">
        <v>4332</v>
      </c>
      <c r="B3439">
        <v>0</v>
      </c>
      <c r="C3439">
        <v>0</v>
      </c>
      <c r="D3439">
        <v>0</v>
      </c>
      <c r="E3439">
        <v>0</v>
      </c>
      <c r="F3439">
        <v>0</v>
      </c>
      <c r="G3439">
        <v>0</v>
      </c>
    </row>
    <row r="3440" spans="1:7" x14ac:dyDescent="0.2">
      <c r="A3440" t="s">
        <v>4333</v>
      </c>
      <c r="B3440">
        <v>0</v>
      </c>
      <c r="C3440">
        <v>0</v>
      </c>
      <c r="D3440">
        <v>0</v>
      </c>
      <c r="E3440">
        <v>0</v>
      </c>
      <c r="F3440">
        <v>0</v>
      </c>
      <c r="G3440">
        <v>0</v>
      </c>
    </row>
    <row r="3441" spans="1:7" x14ac:dyDescent="0.2">
      <c r="A3441" t="s">
        <v>4334</v>
      </c>
      <c r="B3441">
        <v>0</v>
      </c>
      <c r="C3441">
        <v>0</v>
      </c>
      <c r="D3441">
        <v>0</v>
      </c>
      <c r="E3441">
        <v>0</v>
      </c>
      <c r="F3441">
        <v>1989</v>
      </c>
      <c r="G3441">
        <v>1989</v>
      </c>
    </row>
    <row r="3442" spans="1:7" x14ac:dyDescent="0.2">
      <c r="A3442" t="s">
        <v>4335</v>
      </c>
      <c r="B3442">
        <v>0</v>
      </c>
      <c r="C3442">
        <v>0</v>
      </c>
      <c r="D3442">
        <v>0</v>
      </c>
      <c r="E3442">
        <v>773</v>
      </c>
      <c r="F3442">
        <v>1582</v>
      </c>
      <c r="G3442">
        <v>2355</v>
      </c>
    </row>
    <row r="3443" spans="1:7" x14ac:dyDescent="0.2">
      <c r="A3443" t="s">
        <v>4336</v>
      </c>
      <c r="B3443">
        <v>0</v>
      </c>
      <c r="C3443">
        <v>0</v>
      </c>
      <c r="D3443">
        <v>0</v>
      </c>
      <c r="E3443">
        <v>0</v>
      </c>
      <c r="F3443">
        <v>0</v>
      </c>
      <c r="G3443">
        <v>0</v>
      </c>
    </row>
    <row r="3444" spans="1:7" x14ac:dyDescent="0.2">
      <c r="A3444" t="s">
        <v>4337</v>
      </c>
      <c r="B3444">
        <v>0</v>
      </c>
      <c r="C3444">
        <v>0</v>
      </c>
      <c r="D3444">
        <v>0</v>
      </c>
      <c r="E3444">
        <v>0</v>
      </c>
      <c r="F3444">
        <v>0</v>
      </c>
      <c r="G3444">
        <v>0</v>
      </c>
    </row>
    <row r="3445" spans="1:7" x14ac:dyDescent="0.2">
      <c r="A3445" t="s">
        <v>4338</v>
      </c>
      <c r="B3445">
        <v>0</v>
      </c>
      <c r="C3445">
        <v>0</v>
      </c>
      <c r="D3445">
        <v>0</v>
      </c>
      <c r="E3445">
        <v>12</v>
      </c>
      <c r="F3445">
        <v>75</v>
      </c>
      <c r="G3445">
        <v>87</v>
      </c>
    </row>
    <row r="3446" spans="1:7" x14ac:dyDescent="0.2">
      <c r="A3446" t="s">
        <v>4339</v>
      </c>
      <c r="B3446">
        <v>0</v>
      </c>
      <c r="C3446">
        <v>0</v>
      </c>
      <c r="D3446">
        <v>0</v>
      </c>
      <c r="E3446">
        <v>0</v>
      </c>
      <c r="F3446">
        <v>0</v>
      </c>
      <c r="G3446">
        <v>0</v>
      </c>
    </row>
    <row r="3447" spans="1:7" x14ac:dyDescent="0.2">
      <c r="A3447" t="s">
        <v>4340</v>
      </c>
      <c r="B3447">
        <v>0</v>
      </c>
      <c r="C3447">
        <v>0</v>
      </c>
      <c r="D3447">
        <v>0</v>
      </c>
      <c r="E3447">
        <v>0</v>
      </c>
      <c r="F3447">
        <v>0</v>
      </c>
      <c r="G3447">
        <v>0</v>
      </c>
    </row>
    <row r="3448" spans="1:7" x14ac:dyDescent="0.2">
      <c r="A3448" t="s">
        <v>4341</v>
      </c>
      <c r="B3448">
        <v>0</v>
      </c>
      <c r="C3448">
        <v>0</v>
      </c>
      <c r="D3448">
        <v>0</v>
      </c>
      <c r="E3448">
        <v>0</v>
      </c>
      <c r="F3448">
        <v>0</v>
      </c>
      <c r="G3448">
        <v>0</v>
      </c>
    </row>
    <row r="3449" spans="1:7" x14ac:dyDescent="0.2">
      <c r="A3449" t="s">
        <v>4342</v>
      </c>
      <c r="B3449">
        <v>0</v>
      </c>
      <c r="C3449">
        <v>0</v>
      </c>
      <c r="D3449">
        <v>0</v>
      </c>
      <c r="E3449">
        <v>0</v>
      </c>
      <c r="F3449">
        <v>0</v>
      </c>
      <c r="G3449">
        <v>0</v>
      </c>
    </row>
    <row r="3450" spans="1:7" x14ac:dyDescent="0.2">
      <c r="A3450" t="s">
        <v>4343</v>
      </c>
      <c r="B3450">
        <v>0</v>
      </c>
      <c r="C3450">
        <v>0</v>
      </c>
      <c r="D3450">
        <v>0</v>
      </c>
      <c r="E3450">
        <v>0</v>
      </c>
      <c r="F3450">
        <v>0</v>
      </c>
      <c r="G3450">
        <v>0</v>
      </c>
    </row>
    <row r="3451" spans="1:7" x14ac:dyDescent="0.2">
      <c r="A3451" t="s">
        <v>1728</v>
      </c>
      <c r="B3451">
        <v>0</v>
      </c>
      <c r="C3451">
        <v>0</v>
      </c>
      <c r="D3451">
        <v>0</v>
      </c>
      <c r="E3451">
        <v>0</v>
      </c>
      <c r="F3451">
        <v>0</v>
      </c>
      <c r="G3451">
        <v>0</v>
      </c>
    </row>
    <row r="3452" spans="1:7" x14ac:dyDescent="0.2">
      <c r="A3452" t="s">
        <v>1730</v>
      </c>
      <c r="B3452">
        <v>0</v>
      </c>
      <c r="C3452">
        <v>0</v>
      </c>
      <c r="D3452">
        <v>1</v>
      </c>
      <c r="E3452">
        <v>1</v>
      </c>
      <c r="F3452">
        <v>23</v>
      </c>
      <c r="G3452">
        <v>25</v>
      </c>
    </row>
    <row r="3453" spans="1:7" x14ac:dyDescent="0.2">
      <c r="A3453" t="s">
        <v>1733</v>
      </c>
      <c r="B3453">
        <v>0</v>
      </c>
      <c r="C3453">
        <v>0</v>
      </c>
      <c r="D3453">
        <v>0</v>
      </c>
      <c r="E3453">
        <v>0</v>
      </c>
      <c r="F3453">
        <v>0</v>
      </c>
      <c r="G3453">
        <v>0</v>
      </c>
    </row>
    <row r="3454" spans="1:7" x14ac:dyDescent="0.2">
      <c r="A3454" t="s">
        <v>1738</v>
      </c>
      <c r="B3454">
        <v>0</v>
      </c>
      <c r="C3454">
        <v>0</v>
      </c>
      <c r="D3454">
        <v>0</v>
      </c>
      <c r="E3454">
        <v>0</v>
      </c>
      <c r="F3454">
        <v>0</v>
      </c>
      <c r="G3454">
        <v>0</v>
      </c>
    </row>
    <row r="3455" spans="1:7" x14ac:dyDescent="0.2">
      <c r="A3455" t="s">
        <v>1744</v>
      </c>
      <c r="B3455">
        <v>0</v>
      </c>
      <c r="C3455">
        <v>0</v>
      </c>
      <c r="D3455">
        <v>0</v>
      </c>
      <c r="E3455">
        <v>0</v>
      </c>
      <c r="F3455">
        <v>0</v>
      </c>
      <c r="G3455">
        <v>0</v>
      </c>
    </row>
    <row r="3456" spans="1:7" x14ac:dyDescent="0.2">
      <c r="A3456" t="s">
        <v>1747</v>
      </c>
      <c r="B3456">
        <v>0</v>
      </c>
      <c r="C3456">
        <v>0</v>
      </c>
      <c r="D3456">
        <v>0</v>
      </c>
      <c r="E3456">
        <v>0</v>
      </c>
      <c r="F3456">
        <v>0</v>
      </c>
      <c r="G3456">
        <v>0</v>
      </c>
    </row>
    <row r="3457" spans="1:7" x14ac:dyDescent="0.2">
      <c r="A3457" t="s">
        <v>1751</v>
      </c>
      <c r="B3457">
        <v>0</v>
      </c>
      <c r="C3457">
        <v>0</v>
      </c>
      <c r="D3457">
        <v>0</v>
      </c>
      <c r="E3457">
        <v>0</v>
      </c>
      <c r="F3457">
        <v>0</v>
      </c>
      <c r="G3457">
        <v>0</v>
      </c>
    </row>
    <row r="3458" spans="1:7" x14ac:dyDescent="0.2">
      <c r="A3458" t="s">
        <v>1755</v>
      </c>
      <c r="B3458">
        <v>0</v>
      </c>
      <c r="C3458">
        <v>0</v>
      </c>
      <c r="D3458">
        <v>0</v>
      </c>
      <c r="E3458">
        <v>1</v>
      </c>
      <c r="F3458">
        <v>0</v>
      </c>
      <c r="G3458">
        <v>1</v>
      </c>
    </row>
    <row r="3459" spans="1:7" x14ac:dyDescent="0.2">
      <c r="A3459" t="s">
        <v>1757</v>
      </c>
      <c r="B3459">
        <v>0</v>
      </c>
      <c r="C3459">
        <v>0</v>
      </c>
      <c r="D3459">
        <v>0</v>
      </c>
      <c r="E3459">
        <v>0</v>
      </c>
      <c r="F3459">
        <v>0</v>
      </c>
      <c r="G3459">
        <v>0</v>
      </c>
    </row>
    <row r="3460" spans="1:7" x14ac:dyDescent="0.2">
      <c r="A3460" t="s">
        <v>1761</v>
      </c>
      <c r="B3460">
        <v>0</v>
      </c>
      <c r="C3460">
        <v>0</v>
      </c>
      <c r="D3460">
        <v>0</v>
      </c>
      <c r="E3460">
        <v>0</v>
      </c>
      <c r="F3460">
        <v>0</v>
      </c>
      <c r="G3460">
        <v>0</v>
      </c>
    </row>
    <row r="3461" spans="1:7" x14ac:dyDescent="0.2">
      <c r="A3461" t="s">
        <v>1764</v>
      </c>
      <c r="B3461">
        <v>0</v>
      </c>
      <c r="C3461">
        <v>0</v>
      </c>
      <c r="D3461">
        <v>0</v>
      </c>
      <c r="E3461">
        <v>0</v>
      </c>
      <c r="F3461">
        <v>0</v>
      </c>
      <c r="G3461">
        <v>0</v>
      </c>
    </row>
    <row r="3462" spans="1:7" x14ac:dyDescent="0.2">
      <c r="A3462" t="s">
        <v>1770</v>
      </c>
      <c r="B3462">
        <v>0</v>
      </c>
      <c r="C3462">
        <v>7</v>
      </c>
      <c r="D3462">
        <v>21</v>
      </c>
      <c r="E3462">
        <v>72</v>
      </c>
      <c r="F3462">
        <v>0</v>
      </c>
      <c r="G3462">
        <v>100</v>
      </c>
    </row>
    <row r="3463" spans="1:7" x14ac:dyDescent="0.2">
      <c r="A3463" t="s">
        <v>1772</v>
      </c>
      <c r="B3463">
        <v>0</v>
      </c>
      <c r="C3463">
        <v>0</v>
      </c>
      <c r="D3463">
        <v>2</v>
      </c>
      <c r="E3463">
        <v>5</v>
      </c>
      <c r="F3463">
        <v>0</v>
      </c>
      <c r="G3463">
        <v>7</v>
      </c>
    </row>
    <row r="3464" spans="1:7" x14ac:dyDescent="0.2">
      <c r="A3464" t="s">
        <v>1774</v>
      </c>
      <c r="B3464">
        <v>0</v>
      </c>
      <c r="C3464">
        <v>0</v>
      </c>
      <c r="D3464">
        <v>0</v>
      </c>
      <c r="E3464">
        <v>90</v>
      </c>
      <c r="F3464">
        <v>0</v>
      </c>
      <c r="G3464">
        <v>90</v>
      </c>
    </row>
    <row r="3465" spans="1:7" x14ac:dyDescent="0.2">
      <c r="A3465" t="s">
        <v>1777</v>
      </c>
      <c r="B3465">
        <v>0</v>
      </c>
      <c r="C3465">
        <v>0</v>
      </c>
      <c r="D3465">
        <v>0</v>
      </c>
      <c r="E3465">
        <v>0</v>
      </c>
      <c r="F3465">
        <v>0</v>
      </c>
      <c r="G3465">
        <v>0</v>
      </c>
    </row>
    <row r="3466" spans="1:7" x14ac:dyDescent="0.2">
      <c r="A3466" t="s">
        <v>1782</v>
      </c>
      <c r="B3466">
        <v>0</v>
      </c>
      <c r="C3466">
        <v>0</v>
      </c>
      <c r="D3466">
        <v>0</v>
      </c>
      <c r="E3466">
        <v>0</v>
      </c>
      <c r="F3466">
        <v>0</v>
      </c>
      <c r="G3466">
        <v>0</v>
      </c>
    </row>
    <row r="3467" spans="1:7" x14ac:dyDescent="0.2">
      <c r="A3467" t="s">
        <v>1274</v>
      </c>
      <c r="B3467">
        <v>0</v>
      </c>
      <c r="C3467">
        <v>0</v>
      </c>
      <c r="D3467">
        <v>0</v>
      </c>
      <c r="E3467">
        <v>0</v>
      </c>
      <c r="F3467">
        <v>0</v>
      </c>
      <c r="G3467">
        <v>0</v>
      </c>
    </row>
    <row r="3468" spans="1:7" x14ac:dyDescent="0.2">
      <c r="A3468" t="s">
        <v>1277</v>
      </c>
      <c r="B3468">
        <v>0</v>
      </c>
      <c r="C3468">
        <v>0</v>
      </c>
      <c r="D3468">
        <v>0</v>
      </c>
      <c r="E3468">
        <v>0</v>
      </c>
      <c r="F3468">
        <v>0</v>
      </c>
      <c r="G3468">
        <v>0</v>
      </c>
    </row>
    <row r="3469" spans="1:7" x14ac:dyDescent="0.2">
      <c r="A3469" t="s">
        <v>1798</v>
      </c>
      <c r="B3469">
        <v>0</v>
      </c>
      <c r="C3469">
        <v>0</v>
      </c>
      <c r="D3469">
        <v>0</v>
      </c>
      <c r="E3469">
        <v>0</v>
      </c>
      <c r="F3469">
        <v>0</v>
      </c>
      <c r="G3469">
        <v>0</v>
      </c>
    </row>
    <row r="3470" spans="1:7" x14ac:dyDescent="0.2">
      <c r="A3470" t="s">
        <v>1803</v>
      </c>
      <c r="B3470">
        <v>0</v>
      </c>
      <c r="C3470">
        <v>0</v>
      </c>
      <c r="D3470">
        <v>0</v>
      </c>
      <c r="E3470">
        <v>0</v>
      </c>
      <c r="F3470">
        <v>0</v>
      </c>
      <c r="G3470">
        <v>0</v>
      </c>
    </row>
    <row r="3471" spans="1:7" x14ac:dyDescent="0.2">
      <c r="A3471" t="s">
        <v>1808</v>
      </c>
      <c r="B3471">
        <v>0</v>
      </c>
      <c r="C3471">
        <v>0</v>
      </c>
      <c r="D3471">
        <v>0</v>
      </c>
      <c r="E3471">
        <v>0</v>
      </c>
      <c r="F3471">
        <v>0</v>
      </c>
      <c r="G3471">
        <v>0</v>
      </c>
    </row>
    <row r="3472" spans="1:7" x14ac:dyDescent="0.2">
      <c r="A3472" t="s">
        <v>1813</v>
      </c>
      <c r="B3472">
        <v>0</v>
      </c>
      <c r="C3472">
        <v>0</v>
      </c>
      <c r="D3472">
        <v>0</v>
      </c>
      <c r="E3472">
        <v>0</v>
      </c>
      <c r="F3472">
        <v>0</v>
      </c>
      <c r="G3472">
        <v>0</v>
      </c>
    </row>
    <row r="3473" spans="1:7" x14ac:dyDescent="0.2">
      <c r="A3473" t="s">
        <v>1819</v>
      </c>
      <c r="B3473">
        <v>0</v>
      </c>
      <c r="C3473">
        <v>0</v>
      </c>
      <c r="D3473">
        <v>0</v>
      </c>
      <c r="E3473">
        <v>0</v>
      </c>
      <c r="F3473">
        <v>0</v>
      </c>
      <c r="G3473">
        <v>0</v>
      </c>
    </row>
    <row r="3474" spans="1:7" x14ac:dyDescent="0.2">
      <c r="A3474" t="s">
        <v>1826</v>
      </c>
      <c r="B3474">
        <v>0</v>
      </c>
      <c r="C3474">
        <v>0</v>
      </c>
      <c r="D3474">
        <v>0</v>
      </c>
      <c r="E3474">
        <v>0</v>
      </c>
      <c r="F3474">
        <v>0</v>
      </c>
      <c r="G3474">
        <v>0</v>
      </c>
    </row>
    <row r="3475" spans="1:7" x14ac:dyDescent="0.2">
      <c r="A3475" t="s">
        <v>1830</v>
      </c>
      <c r="B3475">
        <v>0</v>
      </c>
      <c r="C3475">
        <v>0</v>
      </c>
      <c r="D3475">
        <v>0</v>
      </c>
      <c r="E3475">
        <v>0</v>
      </c>
      <c r="F3475">
        <v>0</v>
      </c>
      <c r="G3475">
        <v>0</v>
      </c>
    </row>
    <row r="3476" spans="1:7" x14ac:dyDescent="0.2">
      <c r="A3476" t="s">
        <v>1836</v>
      </c>
      <c r="B3476">
        <v>0</v>
      </c>
      <c r="C3476">
        <v>0</v>
      </c>
      <c r="D3476">
        <v>0</v>
      </c>
      <c r="E3476">
        <v>0</v>
      </c>
      <c r="F3476">
        <v>0</v>
      </c>
      <c r="G3476">
        <v>0</v>
      </c>
    </row>
    <row r="3477" spans="1:7" x14ac:dyDescent="0.2">
      <c r="A3477" t="s">
        <v>1841</v>
      </c>
      <c r="B3477">
        <v>0</v>
      </c>
      <c r="C3477">
        <v>0</v>
      </c>
      <c r="D3477">
        <v>0</v>
      </c>
      <c r="E3477">
        <v>0</v>
      </c>
      <c r="F3477">
        <v>0</v>
      </c>
      <c r="G3477">
        <v>0</v>
      </c>
    </row>
    <row r="3478" spans="1:7" x14ac:dyDescent="0.2">
      <c r="A3478" t="s">
        <v>1842</v>
      </c>
      <c r="B3478">
        <v>0</v>
      </c>
      <c r="C3478">
        <v>0</v>
      </c>
      <c r="D3478">
        <v>0</v>
      </c>
      <c r="E3478">
        <v>0</v>
      </c>
      <c r="F3478">
        <v>0</v>
      </c>
      <c r="G3478">
        <v>0</v>
      </c>
    </row>
    <row r="3479" spans="1:7" x14ac:dyDescent="0.2">
      <c r="A3479" t="s">
        <v>1843</v>
      </c>
      <c r="B3479">
        <v>0</v>
      </c>
      <c r="C3479">
        <v>0</v>
      </c>
      <c r="D3479">
        <v>0</v>
      </c>
      <c r="E3479">
        <v>0</v>
      </c>
      <c r="F3479">
        <v>0</v>
      </c>
      <c r="G3479">
        <v>0</v>
      </c>
    </row>
    <row r="3480" spans="1:7" x14ac:dyDescent="0.2">
      <c r="A3480" t="s">
        <v>1846</v>
      </c>
      <c r="B3480">
        <v>0</v>
      </c>
      <c r="C3480">
        <v>0</v>
      </c>
      <c r="D3480">
        <v>0</v>
      </c>
      <c r="E3480">
        <v>0</v>
      </c>
      <c r="F3480">
        <v>0</v>
      </c>
      <c r="G3480">
        <v>0</v>
      </c>
    </row>
    <row r="3481" spans="1:7" x14ac:dyDescent="0.2">
      <c r="A3481" t="s">
        <v>1851</v>
      </c>
      <c r="B3481">
        <v>0</v>
      </c>
      <c r="C3481">
        <v>0</v>
      </c>
      <c r="D3481">
        <v>0</v>
      </c>
      <c r="E3481">
        <v>0</v>
      </c>
      <c r="F3481">
        <v>0</v>
      </c>
      <c r="G3481">
        <v>0</v>
      </c>
    </row>
    <row r="3482" spans="1:7" x14ac:dyDescent="0.2">
      <c r="A3482" t="s">
        <v>1857</v>
      </c>
      <c r="B3482">
        <v>0</v>
      </c>
      <c r="C3482">
        <v>0</v>
      </c>
      <c r="D3482">
        <v>0</v>
      </c>
      <c r="E3482">
        <v>0</v>
      </c>
      <c r="F3482">
        <v>0</v>
      </c>
      <c r="G3482">
        <v>0</v>
      </c>
    </row>
    <row r="3483" spans="1:7" x14ac:dyDescent="0.2">
      <c r="A3483" t="s">
        <v>1862</v>
      </c>
      <c r="B3483">
        <v>0</v>
      </c>
      <c r="C3483">
        <v>0</v>
      </c>
      <c r="D3483">
        <v>0</v>
      </c>
      <c r="E3483">
        <v>0</v>
      </c>
      <c r="F3483">
        <v>0</v>
      </c>
      <c r="G3483">
        <v>0</v>
      </c>
    </row>
    <row r="3484" spans="1:7" x14ac:dyDescent="0.2">
      <c r="A3484" t="s">
        <v>1867</v>
      </c>
      <c r="B3484">
        <v>0</v>
      </c>
      <c r="C3484">
        <v>0</v>
      </c>
      <c r="D3484">
        <v>0</v>
      </c>
      <c r="E3484">
        <v>0</v>
      </c>
      <c r="F3484">
        <v>0</v>
      </c>
      <c r="G3484">
        <v>0</v>
      </c>
    </row>
    <row r="3485" spans="1:7" x14ac:dyDescent="0.2">
      <c r="A3485" t="s">
        <v>1870</v>
      </c>
      <c r="B3485">
        <v>0</v>
      </c>
      <c r="C3485">
        <v>0</v>
      </c>
      <c r="D3485">
        <v>0</v>
      </c>
      <c r="E3485">
        <v>0</v>
      </c>
      <c r="F3485">
        <v>0</v>
      </c>
      <c r="G3485">
        <v>0</v>
      </c>
    </row>
    <row r="3486" spans="1:7" x14ac:dyDescent="0.2">
      <c r="A3486" t="s">
        <v>1874</v>
      </c>
      <c r="B3486">
        <v>0</v>
      </c>
      <c r="C3486">
        <v>0</v>
      </c>
      <c r="D3486">
        <v>0</v>
      </c>
      <c r="E3486">
        <v>0</v>
      </c>
      <c r="F3486">
        <v>0</v>
      </c>
      <c r="G3486">
        <v>0</v>
      </c>
    </row>
    <row r="3487" spans="1:7" x14ac:dyDescent="0.2">
      <c r="A3487" t="s">
        <v>1876</v>
      </c>
      <c r="B3487">
        <v>0</v>
      </c>
      <c r="C3487">
        <v>0</v>
      </c>
      <c r="D3487">
        <v>0</v>
      </c>
      <c r="E3487">
        <v>0</v>
      </c>
      <c r="F3487">
        <v>0</v>
      </c>
      <c r="G3487">
        <v>0</v>
      </c>
    </row>
    <row r="3488" spans="1:7" x14ac:dyDescent="0.2">
      <c r="A3488" t="s">
        <v>1881</v>
      </c>
      <c r="B3488">
        <v>0</v>
      </c>
      <c r="C3488">
        <v>0</v>
      </c>
      <c r="D3488">
        <v>0</v>
      </c>
      <c r="E3488">
        <v>0</v>
      </c>
      <c r="F3488">
        <v>0</v>
      </c>
      <c r="G3488">
        <v>0</v>
      </c>
    </row>
    <row r="3489" spans="1:7" x14ac:dyDescent="0.2">
      <c r="A3489" t="s">
        <v>1885</v>
      </c>
      <c r="B3489">
        <v>0</v>
      </c>
      <c r="C3489">
        <v>0</v>
      </c>
      <c r="D3489">
        <v>0</v>
      </c>
      <c r="E3489">
        <v>0</v>
      </c>
      <c r="F3489">
        <v>0</v>
      </c>
      <c r="G3489">
        <v>0</v>
      </c>
    </row>
    <row r="3490" spans="1:7" x14ac:dyDescent="0.2">
      <c r="A3490" t="s">
        <v>1887</v>
      </c>
      <c r="B3490">
        <v>0</v>
      </c>
      <c r="C3490">
        <v>0</v>
      </c>
      <c r="D3490">
        <v>0</v>
      </c>
      <c r="E3490">
        <v>0</v>
      </c>
      <c r="F3490">
        <v>0</v>
      </c>
      <c r="G3490">
        <v>0</v>
      </c>
    </row>
    <row r="3491" spans="1:7" x14ac:dyDescent="0.2">
      <c r="A3491" t="s">
        <v>1893</v>
      </c>
      <c r="B3491">
        <v>0</v>
      </c>
      <c r="C3491">
        <v>0</v>
      </c>
      <c r="D3491">
        <v>0</v>
      </c>
      <c r="E3491">
        <v>0</v>
      </c>
      <c r="F3491">
        <v>0</v>
      </c>
      <c r="G3491">
        <v>0</v>
      </c>
    </row>
    <row r="3492" spans="1:7" x14ac:dyDescent="0.2">
      <c r="A3492" t="s">
        <v>1899</v>
      </c>
      <c r="B3492">
        <v>0</v>
      </c>
      <c r="C3492">
        <v>0</v>
      </c>
      <c r="D3492">
        <v>0</v>
      </c>
      <c r="E3492">
        <v>0</v>
      </c>
      <c r="F3492">
        <v>0</v>
      </c>
      <c r="G3492">
        <v>0</v>
      </c>
    </row>
    <row r="3493" spans="1:7" x14ac:dyDescent="0.2">
      <c r="A3493" t="s">
        <v>1906</v>
      </c>
      <c r="B3493">
        <v>0</v>
      </c>
      <c r="C3493">
        <v>0</v>
      </c>
      <c r="D3493">
        <v>0</v>
      </c>
      <c r="E3493">
        <v>0</v>
      </c>
      <c r="F3493">
        <v>0</v>
      </c>
      <c r="G3493">
        <v>0</v>
      </c>
    </row>
    <row r="3494" spans="1:7" x14ac:dyDescent="0.2">
      <c r="A3494" t="s">
        <v>1911</v>
      </c>
      <c r="B3494">
        <v>0</v>
      </c>
      <c r="C3494">
        <v>0</v>
      </c>
      <c r="D3494">
        <v>0</v>
      </c>
      <c r="E3494">
        <v>0</v>
      </c>
      <c r="F3494">
        <v>0</v>
      </c>
      <c r="G3494">
        <v>0</v>
      </c>
    </row>
    <row r="3495" spans="1:7" x14ac:dyDescent="0.2">
      <c r="A3495" t="s">
        <v>1917</v>
      </c>
      <c r="B3495">
        <v>0</v>
      </c>
      <c r="C3495">
        <v>0</v>
      </c>
      <c r="D3495">
        <v>0</v>
      </c>
      <c r="E3495">
        <v>0</v>
      </c>
      <c r="F3495">
        <v>0</v>
      </c>
      <c r="G3495">
        <v>0</v>
      </c>
    </row>
    <row r="3496" spans="1:7" x14ac:dyDescent="0.2">
      <c r="A3496" t="s">
        <v>1922</v>
      </c>
      <c r="B3496">
        <v>0</v>
      </c>
      <c r="C3496">
        <v>0</v>
      </c>
      <c r="D3496">
        <v>0</v>
      </c>
      <c r="E3496">
        <v>0</v>
      </c>
      <c r="F3496">
        <v>0</v>
      </c>
      <c r="G3496">
        <v>0</v>
      </c>
    </row>
    <row r="3497" spans="1:7" x14ac:dyDescent="0.2">
      <c r="A3497" t="s">
        <v>1928</v>
      </c>
      <c r="B3497">
        <v>0</v>
      </c>
      <c r="C3497">
        <v>0</v>
      </c>
      <c r="D3497">
        <v>0</v>
      </c>
      <c r="E3497">
        <v>0</v>
      </c>
      <c r="F3497">
        <v>0</v>
      </c>
      <c r="G3497">
        <v>0</v>
      </c>
    </row>
    <row r="3498" spans="1:7" x14ac:dyDescent="0.2">
      <c r="A3498" t="s">
        <v>1932</v>
      </c>
      <c r="B3498">
        <v>0</v>
      </c>
      <c r="C3498">
        <v>0</v>
      </c>
      <c r="D3498">
        <v>0</v>
      </c>
      <c r="E3498">
        <v>0</v>
      </c>
      <c r="F3498">
        <v>0</v>
      </c>
      <c r="G3498">
        <v>0</v>
      </c>
    </row>
    <row r="3499" spans="1:7" x14ac:dyDescent="0.2">
      <c r="A3499" t="s">
        <v>1938</v>
      </c>
      <c r="B3499">
        <v>0</v>
      </c>
      <c r="C3499">
        <v>0</v>
      </c>
      <c r="D3499">
        <v>0</v>
      </c>
      <c r="E3499">
        <v>0</v>
      </c>
      <c r="F3499">
        <v>0</v>
      </c>
      <c r="G3499">
        <v>0</v>
      </c>
    </row>
    <row r="3500" spans="1:7" x14ac:dyDescent="0.2">
      <c r="A3500" t="s">
        <v>1944</v>
      </c>
      <c r="B3500">
        <v>0</v>
      </c>
      <c r="C3500">
        <v>0</v>
      </c>
      <c r="D3500">
        <v>0</v>
      </c>
      <c r="E3500">
        <v>0</v>
      </c>
      <c r="F3500">
        <v>0</v>
      </c>
      <c r="G3500">
        <v>0</v>
      </c>
    </row>
    <row r="3501" spans="1:7" x14ac:dyDescent="0.2">
      <c r="A3501" t="s">
        <v>1947</v>
      </c>
      <c r="B3501">
        <v>0</v>
      </c>
      <c r="C3501">
        <v>0</v>
      </c>
      <c r="D3501">
        <v>0</v>
      </c>
      <c r="E3501">
        <v>0</v>
      </c>
      <c r="F3501">
        <v>0</v>
      </c>
      <c r="G3501">
        <v>0</v>
      </c>
    </row>
    <row r="3502" spans="1:7" x14ac:dyDescent="0.2">
      <c r="A3502" t="s">
        <v>1953</v>
      </c>
      <c r="B3502">
        <v>0</v>
      </c>
      <c r="C3502">
        <v>0</v>
      </c>
      <c r="D3502">
        <v>0</v>
      </c>
      <c r="E3502">
        <v>0</v>
      </c>
      <c r="F3502">
        <v>0</v>
      </c>
      <c r="G3502">
        <v>0</v>
      </c>
    </row>
    <row r="3503" spans="1:7" x14ac:dyDescent="0.2">
      <c r="A3503" t="s">
        <v>1958</v>
      </c>
      <c r="B3503">
        <v>0</v>
      </c>
      <c r="C3503">
        <v>0</v>
      </c>
      <c r="D3503">
        <v>0</v>
      </c>
      <c r="E3503">
        <v>0</v>
      </c>
      <c r="F3503">
        <v>0</v>
      </c>
      <c r="G3503">
        <v>0</v>
      </c>
    </row>
    <row r="3504" spans="1:7" x14ac:dyDescent="0.2">
      <c r="A3504" t="s">
        <v>1964</v>
      </c>
      <c r="B3504">
        <v>0</v>
      </c>
      <c r="C3504">
        <v>0</v>
      </c>
      <c r="D3504">
        <v>0</v>
      </c>
      <c r="E3504">
        <v>0</v>
      </c>
      <c r="F3504">
        <v>0</v>
      </c>
      <c r="G3504">
        <v>0</v>
      </c>
    </row>
    <row r="3505" spans="1:7" x14ac:dyDescent="0.2">
      <c r="A3505" t="s">
        <v>1973</v>
      </c>
      <c r="B3505">
        <v>0</v>
      </c>
      <c r="C3505">
        <v>0</v>
      </c>
      <c r="D3505">
        <v>0</v>
      </c>
      <c r="E3505">
        <v>0</v>
      </c>
      <c r="F3505">
        <v>0</v>
      </c>
      <c r="G3505">
        <v>0</v>
      </c>
    </row>
    <row r="3506" spans="1:7" x14ac:dyDescent="0.2">
      <c r="A3506" t="s">
        <v>1978</v>
      </c>
      <c r="B3506">
        <v>0</v>
      </c>
      <c r="C3506">
        <v>0</v>
      </c>
      <c r="D3506">
        <v>0</v>
      </c>
      <c r="E3506">
        <v>0</v>
      </c>
      <c r="F3506">
        <v>0</v>
      </c>
      <c r="G3506">
        <v>0</v>
      </c>
    </row>
    <row r="3507" spans="1:7" x14ac:dyDescent="0.2">
      <c r="A3507" t="s">
        <v>1983</v>
      </c>
      <c r="B3507">
        <v>0</v>
      </c>
      <c r="C3507">
        <v>0</v>
      </c>
      <c r="D3507">
        <v>0</v>
      </c>
      <c r="E3507">
        <v>0</v>
      </c>
      <c r="F3507">
        <v>0</v>
      </c>
      <c r="G3507">
        <v>0</v>
      </c>
    </row>
    <row r="3508" spans="1:7" x14ac:dyDescent="0.2">
      <c r="A3508" t="s">
        <v>1984</v>
      </c>
      <c r="B3508">
        <v>0</v>
      </c>
      <c r="C3508">
        <v>0</v>
      </c>
      <c r="D3508">
        <v>0</v>
      </c>
      <c r="E3508">
        <v>0</v>
      </c>
      <c r="F3508">
        <v>0</v>
      </c>
      <c r="G3508">
        <v>0</v>
      </c>
    </row>
    <row r="3509" spans="1:7" x14ac:dyDescent="0.2">
      <c r="A3509" t="s">
        <v>1990</v>
      </c>
      <c r="B3509">
        <v>0</v>
      </c>
      <c r="C3509">
        <v>0</v>
      </c>
      <c r="D3509">
        <v>0</v>
      </c>
      <c r="E3509">
        <v>0</v>
      </c>
      <c r="F3509">
        <v>0</v>
      </c>
      <c r="G3509">
        <v>0</v>
      </c>
    </row>
    <row r="3510" spans="1:7" x14ac:dyDescent="0.2">
      <c r="A3510" t="s">
        <v>1996</v>
      </c>
      <c r="B3510">
        <v>0</v>
      </c>
      <c r="C3510">
        <v>0</v>
      </c>
      <c r="D3510">
        <v>0</v>
      </c>
      <c r="E3510">
        <v>0</v>
      </c>
      <c r="F3510">
        <v>0</v>
      </c>
      <c r="G3510">
        <v>0</v>
      </c>
    </row>
    <row r="3511" spans="1:7" x14ac:dyDescent="0.2">
      <c r="A3511" t="s">
        <v>1998</v>
      </c>
      <c r="B3511">
        <v>0</v>
      </c>
      <c r="C3511">
        <v>0</v>
      </c>
      <c r="D3511">
        <v>0</v>
      </c>
      <c r="E3511">
        <v>0</v>
      </c>
      <c r="F3511">
        <v>0</v>
      </c>
      <c r="G3511">
        <v>0</v>
      </c>
    </row>
    <row r="3512" spans="1:7" x14ac:dyDescent="0.2">
      <c r="A3512" t="s">
        <v>1999</v>
      </c>
      <c r="B3512">
        <v>0</v>
      </c>
      <c r="C3512">
        <v>0</v>
      </c>
      <c r="D3512">
        <v>0</v>
      </c>
      <c r="E3512">
        <v>0</v>
      </c>
      <c r="F3512">
        <v>0</v>
      </c>
      <c r="G3512">
        <v>0</v>
      </c>
    </row>
    <row r="3513" spans="1:7" x14ac:dyDescent="0.2">
      <c r="A3513" t="s">
        <v>2004</v>
      </c>
      <c r="B3513">
        <v>0</v>
      </c>
      <c r="C3513">
        <v>0</v>
      </c>
      <c r="D3513">
        <v>0</v>
      </c>
      <c r="E3513">
        <v>0</v>
      </c>
      <c r="F3513">
        <v>0</v>
      </c>
      <c r="G3513">
        <v>0</v>
      </c>
    </row>
    <row r="3514" spans="1:7" x14ac:dyDescent="0.2">
      <c r="A3514" t="s">
        <v>2009</v>
      </c>
      <c r="B3514">
        <v>0</v>
      </c>
      <c r="C3514">
        <v>0</v>
      </c>
      <c r="D3514">
        <v>0</v>
      </c>
      <c r="E3514">
        <v>0</v>
      </c>
      <c r="F3514">
        <v>0</v>
      </c>
      <c r="G3514">
        <v>0</v>
      </c>
    </row>
    <row r="3515" spans="1:7" x14ac:dyDescent="0.2">
      <c r="A3515" t="s">
        <v>2014</v>
      </c>
      <c r="B3515">
        <v>0</v>
      </c>
      <c r="C3515">
        <v>0</v>
      </c>
      <c r="D3515">
        <v>0</v>
      </c>
      <c r="E3515">
        <v>0</v>
      </c>
      <c r="F3515">
        <v>0</v>
      </c>
      <c r="G3515">
        <v>0</v>
      </c>
    </row>
    <row r="3516" spans="1:7" x14ac:dyDescent="0.2">
      <c r="A3516" t="s">
        <v>2019</v>
      </c>
      <c r="B3516">
        <v>0</v>
      </c>
      <c r="C3516">
        <v>0</v>
      </c>
      <c r="D3516">
        <v>0</v>
      </c>
      <c r="E3516">
        <v>0</v>
      </c>
      <c r="F3516">
        <v>0</v>
      </c>
      <c r="G3516">
        <v>0</v>
      </c>
    </row>
    <row r="3517" spans="1:7" x14ac:dyDescent="0.2">
      <c r="A3517" t="s">
        <v>2023</v>
      </c>
      <c r="B3517">
        <v>0</v>
      </c>
      <c r="C3517">
        <v>0</v>
      </c>
      <c r="D3517">
        <v>0</v>
      </c>
      <c r="E3517">
        <v>0</v>
      </c>
      <c r="F3517">
        <v>0</v>
      </c>
      <c r="G3517">
        <v>0</v>
      </c>
    </row>
    <row r="3518" spans="1:7" x14ac:dyDescent="0.2">
      <c r="A3518" t="s">
        <v>2026</v>
      </c>
      <c r="B3518">
        <v>0</v>
      </c>
      <c r="C3518">
        <v>0</v>
      </c>
      <c r="D3518">
        <v>0</v>
      </c>
      <c r="E3518">
        <v>0</v>
      </c>
      <c r="F3518">
        <v>0</v>
      </c>
      <c r="G3518">
        <v>0</v>
      </c>
    </row>
    <row r="3519" spans="1:7" x14ac:dyDescent="0.2">
      <c r="A3519" t="s">
        <v>2030</v>
      </c>
      <c r="B3519">
        <v>0</v>
      </c>
      <c r="C3519">
        <v>0</v>
      </c>
      <c r="D3519">
        <v>0</v>
      </c>
      <c r="E3519">
        <v>0</v>
      </c>
      <c r="F3519">
        <v>0</v>
      </c>
      <c r="G3519">
        <v>0</v>
      </c>
    </row>
    <row r="3520" spans="1:7" x14ac:dyDescent="0.2">
      <c r="A3520" t="s">
        <v>2035</v>
      </c>
      <c r="B3520">
        <v>0</v>
      </c>
      <c r="C3520">
        <v>0</v>
      </c>
      <c r="D3520">
        <v>0</v>
      </c>
      <c r="E3520">
        <v>0</v>
      </c>
      <c r="F3520">
        <v>0</v>
      </c>
      <c r="G3520">
        <v>0</v>
      </c>
    </row>
    <row r="3521" spans="1:7" x14ac:dyDescent="0.2">
      <c r="A3521" t="s">
        <v>2040</v>
      </c>
      <c r="B3521">
        <v>0</v>
      </c>
      <c r="C3521">
        <v>0</v>
      </c>
      <c r="D3521">
        <v>0</v>
      </c>
      <c r="E3521">
        <v>0</v>
      </c>
      <c r="F3521">
        <v>0</v>
      </c>
      <c r="G3521">
        <v>0</v>
      </c>
    </row>
    <row r="3522" spans="1:7" x14ac:dyDescent="0.2">
      <c r="A3522" t="s">
        <v>2045</v>
      </c>
      <c r="B3522">
        <v>0</v>
      </c>
      <c r="C3522">
        <v>0</v>
      </c>
      <c r="D3522">
        <v>0</v>
      </c>
      <c r="E3522">
        <v>0</v>
      </c>
      <c r="F3522">
        <v>0</v>
      </c>
      <c r="G3522">
        <v>0</v>
      </c>
    </row>
    <row r="3523" spans="1:7" x14ac:dyDescent="0.2">
      <c r="A3523" t="s">
        <v>2049</v>
      </c>
      <c r="B3523">
        <v>0</v>
      </c>
      <c r="C3523">
        <v>0</v>
      </c>
      <c r="D3523">
        <v>0</v>
      </c>
      <c r="E3523">
        <v>0</v>
      </c>
      <c r="F3523">
        <v>0</v>
      </c>
      <c r="G3523">
        <v>0</v>
      </c>
    </row>
    <row r="3524" spans="1:7" x14ac:dyDescent="0.2">
      <c r="A3524" t="s">
        <v>2051</v>
      </c>
      <c r="B3524">
        <v>0</v>
      </c>
      <c r="C3524">
        <v>0</v>
      </c>
      <c r="D3524">
        <v>0</v>
      </c>
      <c r="E3524">
        <v>0</v>
      </c>
      <c r="F3524">
        <v>0</v>
      </c>
      <c r="G3524">
        <v>0</v>
      </c>
    </row>
    <row r="3525" spans="1:7" x14ac:dyDescent="0.2">
      <c r="A3525" t="s">
        <v>2057</v>
      </c>
      <c r="B3525">
        <v>0</v>
      </c>
      <c r="C3525">
        <v>0</v>
      </c>
      <c r="D3525">
        <v>0</v>
      </c>
      <c r="E3525">
        <v>0</v>
      </c>
      <c r="F3525">
        <v>0</v>
      </c>
      <c r="G3525">
        <v>0</v>
      </c>
    </row>
    <row r="3526" spans="1:7" x14ac:dyDescent="0.2">
      <c r="A3526" t="s">
        <v>4344</v>
      </c>
      <c r="B3526">
        <v>0</v>
      </c>
      <c r="C3526">
        <v>0</v>
      </c>
      <c r="D3526">
        <v>0</v>
      </c>
      <c r="E3526">
        <v>0</v>
      </c>
      <c r="F3526">
        <v>0</v>
      </c>
      <c r="G3526">
        <v>0</v>
      </c>
    </row>
    <row r="3527" spans="1:7" x14ac:dyDescent="0.2">
      <c r="A3527" t="s">
        <v>4345</v>
      </c>
      <c r="B3527">
        <v>0</v>
      </c>
      <c r="C3527">
        <v>0</v>
      </c>
      <c r="D3527">
        <v>0</v>
      </c>
      <c r="E3527">
        <v>0</v>
      </c>
      <c r="F3527">
        <v>0</v>
      </c>
      <c r="G3527">
        <v>0</v>
      </c>
    </row>
    <row r="3528" spans="1:7" x14ac:dyDescent="0.2">
      <c r="A3528" t="s">
        <v>2074</v>
      </c>
      <c r="B3528">
        <v>0</v>
      </c>
      <c r="C3528">
        <v>0</v>
      </c>
      <c r="D3528">
        <v>0</v>
      </c>
      <c r="E3528">
        <v>0</v>
      </c>
      <c r="F3528">
        <v>0</v>
      </c>
      <c r="G3528">
        <v>0</v>
      </c>
    </row>
    <row r="3529" spans="1:7" x14ac:dyDescent="0.2">
      <c r="A3529" t="s">
        <v>2079</v>
      </c>
      <c r="B3529">
        <v>0</v>
      </c>
      <c r="C3529">
        <v>0</v>
      </c>
      <c r="D3529">
        <v>0</v>
      </c>
      <c r="E3529">
        <v>0</v>
      </c>
      <c r="F3529">
        <v>0</v>
      </c>
      <c r="G3529">
        <v>0</v>
      </c>
    </row>
    <row r="3530" spans="1:7" x14ac:dyDescent="0.2">
      <c r="A3530" t="s">
        <v>2085</v>
      </c>
      <c r="B3530">
        <v>0</v>
      </c>
      <c r="C3530">
        <v>0</v>
      </c>
      <c r="D3530">
        <v>0</v>
      </c>
      <c r="E3530">
        <v>0</v>
      </c>
      <c r="F3530">
        <v>0</v>
      </c>
      <c r="G3530">
        <v>0</v>
      </c>
    </row>
    <row r="3531" spans="1:7" x14ac:dyDescent="0.2">
      <c r="A3531" t="s">
        <v>2091</v>
      </c>
      <c r="B3531">
        <v>0</v>
      </c>
      <c r="C3531">
        <v>0</v>
      </c>
      <c r="D3531">
        <v>0</v>
      </c>
      <c r="E3531">
        <v>0</v>
      </c>
      <c r="F3531">
        <v>0</v>
      </c>
      <c r="G3531">
        <v>0</v>
      </c>
    </row>
    <row r="3532" spans="1:7" x14ac:dyDescent="0.2">
      <c r="A3532" t="s">
        <v>2097</v>
      </c>
      <c r="B3532">
        <v>0</v>
      </c>
      <c r="C3532">
        <v>0</v>
      </c>
      <c r="D3532">
        <v>0</v>
      </c>
      <c r="E3532">
        <v>0</v>
      </c>
      <c r="F3532">
        <v>0</v>
      </c>
      <c r="G3532">
        <v>0</v>
      </c>
    </row>
    <row r="3533" spans="1:7" x14ac:dyDescent="0.2">
      <c r="A3533" t="s">
        <v>2101</v>
      </c>
      <c r="B3533">
        <v>0</v>
      </c>
      <c r="C3533">
        <v>0</v>
      </c>
      <c r="D3533">
        <v>0</v>
      </c>
      <c r="E3533">
        <v>0</v>
      </c>
      <c r="F3533">
        <v>0</v>
      </c>
      <c r="G3533">
        <v>0</v>
      </c>
    </row>
    <row r="3534" spans="1:7" x14ac:dyDescent="0.2">
      <c r="A3534" t="s">
        <v>2104</v>
      </c>
      <c r="B3534">
        <v>0</v>
      </c>
      <c r="C3534">
        <v>0</v>
      </c>
      <c r="D3534">
        <v>0</v>
      </c>
      <c r="E3534">
        <v>0</v>
      </c>
      <c r="F3534">
        <v>0</v>
      </c>
      <c r="G3534">
        <v>0</v>
      </c>
    </row>
    <row r="3535" spans="1:7" x14ac:dyDescent="0.2">
      <c r="A3535" t="s">
        <v>2107</v>
      </c>
      <c r="B3535">
        <v>0</v>
      </c>
      <c r="C3535">
        <v>0</v>
      </c>
      <c r="D3535">
        <v>0</v>
      </c>
      <c r="E3535">
        <v>0</v>
      </c>
      <c r="F3535">
        <v>0</v>
      </c>
      <c r="G3535">
        <v>0</v>
      </c>
    </row>
    <row r="3536" spans="1:7" x14ac:dyDescent="0.2">
      <c r="A3536" t="s">
        <v>2110</v>
      </c>
      <c r="B3536">
        <v>0</v>
      </c>
      <c r="C3536">
        <v>0</v>
      </c>
      <c r="D3536">
        <v>0</v>
      </c>
      <c r="E3536">
        <v>0</v>
      </c>
      <c r="F3536">
        <v>0</v>
      </c>
      <c r="G3536">
        <v>0</v>
      </c>
    </row>
    <row r="3537" spans="1:7" x14ac:dyDescent="0.2">
      <c r="A3537" t="s">
        <v>2113</v>
      </c>
      <c r="B3537">
        <v>0</v>
      </c>
      <c r="C3537">
        <v>0</v>
      </c>
      <c r="D3537">
        <v>0</v>
      </c>
      <c r="E3537">
        <v>0</v>
      </c>
      <c r="F3537">
        <v>0</v>
      </c>
      <c r="G3537">
        <v>0</v>
      </c>
    </row>
    <row r="3538" spans="1:7" x14ac:dyDescent="0.2">
      <c r="A3538" t="s">
        <v>4346</v>
      </c>
      <c r="B3538">
        <v>0</v>
      </c>
      <c r="C3538">
        <v>0</v>
      </c>
      <c r="D3538">
        <v>0</v>
      </c>
      <c r="E3538">
        <v>0</v>
      </c>
      <c r="F3538">
        <v>0</v>
      </c>
      <c r="G3538">
        <v>0</v>
      </c>
    </row>
    <row r="3539" spans="1:7" x14ac:dyDescent="0.2">
      <c r="A3539" t="s">
        <v>4347</v>
      </c>
      <c r="B3539">
        <v>0</v>
      </c>
      <c r="C3539">
        <v>0</v>
      </c>
      <c r="D3539">
        <v>0</v>
      </c>
      <c r="E3539">
        <v>0</v>
      </c>
      <c r="F3539">
        <v>0</v>
      </c>
      <c r="G3539">
        <v>0</v>
      </c>
    </row>
    <row r="3540" spans="1:7" x14ac:dyDescent="0.2">
      <c r="A3540" t="s">
        <v>4348</v>
      </c>
      <c r="B3540">
        <v>0</v>
      </c>
      <c r="C3540">
        <v>0</v>
      </c>
      <c r="D3540">
        <v>0</v>
      </c>
      <c r="E3540">
        <v>0</v>
      </c>
      <c r="F3540">
        <v>0</v>
      </c>
      <c r="G3540">
        <v>0</v>
      </c>
    </row>
    <row r="3541" spans="1:7" x14ac:dyDescent="0.2">
      <c r="A3541" t="s">
        <v>4349</v>
      </c>
      <c r="B3541">
        <v>0</v>
      </c>
      <c r="C3541">
        <v>0</v>
      </c>
      <c r="D3541">
        <v>0</v>
      </c>
      <c r="E3541">
        <v>0</v>
      </c>
      <c r="F3541">
        <v>0</v>
      </c>
      <c r="G3541">
        <v>0</v>
      </c>
    </row>
    <row r="3542" spans="1:7" x14ac:dyDescent="0.2">
      <c r="A3542" t="s">
        <v>4350</v>
      </c>
      <c r="B3542">
        <v>0</v>
      </c>
      <c r="C3542">
        <v>3</v>
      </c>
      <c r="D3542">
        <v>13</v>
      </c>
      <c r="E3542">
        <v>1</v>
      </c>
      <c r="F3542">
        <v>0</v>
      </c>
      <c r="G3542">
        <v>17</v>
      </c>
    </row>
    <row r="3543" spans="1:7" x14ac:dyDescent="0.2">
      <c r="A3543" t="s">
        <v>4351</v>
      </c>
      <c r="B3543">
        <v>0</v>
      </c>
      <c r="C3543">
        <v>0</v>
      </c>
      <c r="D3543">
        <v>0</v>
      </c>
      <c r="E3543">
        <v>0</v>
      </c>
      <c r="F3543">
        <v>0</v>
      </c>
      <c r="G3543">
        <v>0</v>
      </c>
    </row>
    <row r="3544" spans="1:7" x14ac:dyDescent="0.2">
      <c r="A3544" t="s">
        <v>4352</v>
      </c>
      <c r="B3544">
        <v>0</v>
      </c>
      <c r="C3544">
        <v>0</v>
      </c>
      <c r="D3544">
        <v>0</v>
      </c>
      <c r="E3544">
        <v>0</v>
      </c>
      <c r="F3544">
        <v>0</v>
      </c>
      <c r="G3544">
        <v>0</v>
      </c>
    </row>
    <row r="3545" spans="1:7" x14ac:dyDescent="0.2">
      <c r="A3545" t="s">
        <v>4353</v>
      </c>
      <c r="B3545">
        <v>0</v>
      </c>
      <c r="C3545">
        <v>26</v>
      </c>
      <c r="D3545">
        <v>22</v>
      </c>
      <c r="E3545">
        <v>1</v>
      </c>
      <c r="F3545">
        <v>0</v>
      </c>
      <c r="G3545">
        <v>49</v>
      </c>
    </row>
    <row r="3546" spans="1:7" x14ac:dyDescent="0.2">
      <c r="A3546" t="s">
        <v>4354</v>
      </c>
      <c r="B3546">
        <v>2</v>
      </c>
      <c r="C3546">
        <v>19</v>
      </c>
      <c r="D3546">
        <v>8</v>
      </c>
      <c r="E3546">
        <v>0</v>
      </c>
      <c r="F3546">
        <v>0</v>
      </c>
      <c r="G3546">
        <v>29</v>
      </c>
    </row>
    <row r="3547" spans="1:7" x14ac:dyDescent="0.2">
      <c r="A3547" t="s">
        <v>4355</v>
      </c>
      <c r="B3547">
        <v>0</v>
      </c>
      <c r="C3547">
        <v>0</v>
      </c>
      <c r="D3547">
        <v>0</v>
      </c>
      <c r="E3547">
        <v>0</v>
      </c>
      <c r="F3547">
        <v>0</v>
      </c>
      <c r="G3547">
        <v>0</v>
      </c>
    </row>
    <row r="3548" spans="1:7" x14ac:dyDescent="0.2">
      <c r="A3548" t="s">
        <v>4356</v>
      </c>
      <c r="B3548">
        <v>0</v>
      </c>
      <c r="C3548">
        <v>0</v>
      </c>
      <c r="D3548">
        <v>0</v>
      </c>
      <c r="E3548">
        <v>0</v>
      </c>
      <c r="F3548">
        <v>0</v>
      </c>
      <c r="G3548">
        <v>0</v>
      </c>
    </row>
    <row r="3549" spans="1:7" x14ac:dyDescent="0.2">
      <c r="A3549" t="s">
        <v>4357</v>
      </c>
      <c r="B3549">
        <v>0</v>
      </c>
      <c r="C3549">
        <v>2</v>
      </c>
      <c r="D3549">
        <v>0</v>
      </c>
      <c r="E3549">
        <v>0</v>
      </c>
      <c r="F3549">
        <v>0</v>
      </c>
      <c r="G3549">
        <v>2</v>
      </c>
    </row>
    <row r="3550" spans="1:7" x14ac:dyDescent="0.2">
      <c r="A3550" t="s">
        <v>4358</v>
      </c>
      <c r="B3550">
        <v>0</v>
      </c>
      <c r="C3550">
        <v>0</v>
      </c>
      <c r="D3550">
        <v>0</v>
      </c>
      <c r="E3550">
        <v>0</v>
      </c>
      <c r="F3550">
        <v>0</v>
      </c>
      <c r="G3550">
        <v>0</v>
      </c>
    </row>
    <row r="3551" spans="1:7" x14ac:dyDescent="0.2">
      <c r="A3551" t="s">
        <v>4359</v>
      </c>
      <c r="B3551">
        <v>0</v>
      </c>
      <c r="C3551">
        <v>0</v>
      </c>
      <c r="D3551">
        <v>0</v>
      </c>
      <c r="E3551">
        <v>0</v>
      </c>
      <c r="F3551">
        <v>0</v>
      </c>
      <c r="G3551">
        <v>0</v>
      </c>
    </row>
    <row r="3552" spans="1:7" x14ac:dyDescent="0.2">
      <c r="A3552" t="s">
        <v>4360</v>
      </c>
      <c r="B3552">
        <v>0</v>
      </c>
      <c r="C3552">
        <v>0</v>
      </c>
      <c r="D3552">
        <v>0</v>
      </c>
      <c r="E3552">
        <v>0</v>
      </c>
      <c r="F3552">
        <v>0</v>
      </c>
      <c r="G3552">
        <v>1</v>
      </c>
    </row>
    <row r="3553" spans="1:7" x14ac:dyDescent="0.2">
      <c r="A3553" t="s">
        <v>4361</v>
      </c>
      <c r="B3553">
        <v>0</v>
      </c>
      <c r="C3553">
        <v>0</v>
      </c>
      <c r="D3553">
        <v>2</v>
      </c>
      <c r="E3553">
        <v>0</v>
      </c>
      <c r="F3553">
        <v>0</v>
      </c>
      <c r="G3553">
        <v>2</v>
      </c>
    </row>
    <row r="3554" spans="1:7" x14ac:dyDescent="0.2">
      <c r="A3554" t="s">
        <v>4362</v>
      </c>
      <c r="B3554">
        <v>0</v>
      </c>
      <c r="C3554">
        <v>0</v>
      </c>
      <c r="D3554">
        <v>0</v>
      </c>
      <c r="E3554">
        <v>0</v>
      </c>
      <c r="F3554">
        <v>0</v>
      </c>
      <c r="G3554">
        <v>0</v>
      </c>
    </row>
    <row r="3555" spans="1:7" x14ac:dyDescent="0.2">
      <c r="A3555" t="s">
        <v>4363</v>
      </c>
      <c r="B3555">
        <v>0</v>
      </c>
      <c r="C3555">
        <v>0</v>
      </c>
      <c r="D3555">
        <v>0</v>
      </c>
      <c r="E3555">
        <v>0</v>
      </c>
      <c r="F3555">
        <v>0</v>
      </c>
      <c r="G3555">
        <v>0</v>
      </c>
    </row>
    <row r="3556" spans="1:7" x14ac:dyDescent="0.2">
      <c r="A3556" t="s">
        <v>4364</v>
      </c>
      <c r="B3556">
        <v>0</v>
      </c>
      <c r="C3556">
        <v>0</v>
      </c>
      <c r="D3556">
        <v>0</v>
      </c>
      <c r="E3556">
        <v>0</v>
      </c>
      <c r="F3556">
        <v>0</v>
      </c>
      <c r="G3556">
        <v>0</v>
      </c>
    </row>
    <row r="3557" spans="1:7" x14ac:dyDescent="0.2">
      <c r="A3557" t="s">
        <v>4365</v>
      </c>
      <c r="B3557">
        <v>0</v>
      </c>
      <c r="C3557">
        <v>0</v>
      </c>
      <c r="D3557">
        <v>0</v>
      </c>
      <c r="E3557">
        <v>0</v>
      </c>
      <c r="F3557">
        <v>0</v>
      </c>
      <c r="G3557">
        <v>0</v>
      </c>
    </row>
    <row r="3558" spans="1:7" x14ac:dyDescent="0.2">
      <c r="A3558" t="s">
        <v>4366</v>
      </c>
      <c r="B3558">
        <v>0</v>
      </c>
      <c r="C3558">
        <v>0</v>
      </c>
      <c r="D3558">
        <v>0</v>
      </c>
      <c r="E3558">
        <v>0</v>
      </c>
      <c r="F3558">
        <v>0</v>
      </c>
      <c r="G3558">
        <v>0</v>
      </c>
    </row>
    <row r="3559" spans="1:7" x14ac:dyDescent="0.2">
      <c r="A3559" t="s">
        <v>4367</v>
      </c>
      <c r="B3559">
        <v>0</v>
      </c>
      <c r="C3559">
        <v>0</v>
      </c>
      <c r="D3559">
        <v>0</v>
      </c>
      <c r="E3559">
        <v>0</v>
      </c>
      <c r="F3559">
        <v>0</v>
      </c>
      <c r="G3559">
        <v>0</v>
      </c>
    </row>
    <row r="3560" spans="1:7" x14ac:dyDescent="0.2">
      <c r="A3560" t="s">
        <v>4368</v>
      </c>
      <c r="B3560">
        <v>0</v>
      </c>
      <c r="C3560">
        <v>4</v>
      </c>
      <c r="D3560">
        <v>52</v>
      </c>
      <c r="E3560">
        <v>37</v>
      </c>
      <c r="F3560">
        <v>14</v>
      </c>
      <c r="G3560">
        <v>107</v>
      </c>
    </row>
    <row r="3561" spans="1:7" x14ac:dyDescent="0.2">
      <c r="A3561" t="s">
        <v>4369</v>
      </c>
      <c r="B3561">
        <v>0</v>
      </c>
      <c r="C3561">
        <v>17</v>
      </c>
      <c r="D3561">
        <v>14</v>
      </c>
      <c r="E3561">
        <v>0</v>
      </c>
      <c r="F3561">
        <v>0</v>
      </c>
      <c r="G3561">
        <v>31</v>
      </c>
    </row>
    <row r="3562" spans="1:7" x14ac:dyDescent="0.2">
      <c r="A3562" t="s">
        <v>4370</v>
      </c>
      <c r="B3562">
        <v>0</v>
      </c>
      <c r="C3562">
        <v>0</v>
      </c>
      <c r="D3562">
        <v>0</v>
      </c>
      <c r="E3562">
        <v>0</v>
      </c>
      <c r="F3562">
        <v>0</v>
      </c>
      <c r="G3562">
        <v>0</v>
      </c>
    </row>
    <row r="3563" spans="1:7" x14ac:dyDescent="0.2">
      <c r="A3563" t="s">
        <v>4371</v>
      </c>
      <c r="B3563">
        <v>0</v>
      </c>
      <c r="C3563">
        <v>0</v>
      </c>
      <c r="D3563">
        <v>0</v>
      </c>
      <c r="E3563">
        <v>0</v>
      </c>
      <c r="F3563">
        <v>0</v>
      </c>
      <c r="G3563">
        <v>0</v>
      </c>
    </row>
    <row r="3564" spans="1:7" x14ac:dyDescent="0.2">
      <c r="A3564" t="s">
        <v>4372</v>
      </c>
      <c r="B3564">
        <v>0</v>
      </c>
      <c r="C3564">
        <v>0</v>
      </c>
      <c r="D3564">
        <v>0</v>
      </c>
      <c r="E3564">
        <v>0</v>
      </c>
      <c r="F3564">
        <v>0</v>
      </c>
      <c r="G3564">
        <v>0</v>
      </c>
    </row>
    <row r="3565" spans="1:7" x14ac:dyDescent="0.2">
      <c r="A3565" t="s">
        <v>4373</v>
      </c>
      <c r="B3565">
        <v>0</v>
      </c>
      <c r="C3565">
        <v>4</v>
      </c>
      <c r="D3565">
        <v>0</v>
      </c>
      <c r="E3565">
        <v>0</v>
      </c>
      <c r="F3565">
        <v>0</v>
      </c>
      <c r="G3565">
        <v>4</v>
      </c>
    </row>
    <row r="3566" spans="1:7" x14ac:dyDescent="0.2">
      <c r="A3566" t="s">
        <v>4374</v>
      </c>
      <c r="B3566">
        <v>0</v>
      </c>
      <c r="C3566">
        <v>1</v>
      </c>
      <c r="D3566">
        <v>5</v>
      </c>
      <c r="E3566">
        <v>0</v>
      </c>
      <c r="F3566">
        <v>0</v>
      </c>
      <c r="G3566">
        <v>7</v>
      </c>
    </row>
    <row r="3567" spans="1:7" x14ac:dyDescent="0.2">
      <c r="A3567" t="s">
        <v>4375</v>
      </c>
      <c r="B3567">
        <v>0</v>
      </c>
      <c r="C3567">
        <v>2</v>
      </c>
      <c r="D3567">
        <v>0</v>
      </c>
      <c r="E3567">
        <v>0</v>
      </c>
      <c r="F3567">
        <v>0</v>
      </c>
      <c r="G3567">
        <v>2</v>
      </c>
    </row>
    <row r="3568" spans="1:7" x14ac:dyDescent="0.2">
      <c r="A3568" t="s">
        <v>4376</v>
      </c>
      <c r="B3568">
        <v>0</v>
      </c>
      <c r="C3568">
        <v>0</v>
      </c>
      <c r="D3568">
        <v>0</v>
      </c>
      <c r="E3568">
        <v>0</v>
      </c>
      <c r="F3568">
        <v>0</v>
      </c>
      <c r="G3568">
        <v>0</v>
      </c>
    </row>
    <row r="3569" spans="1:10" x14ac:dyDescent="0.2">
      <c r="A3569" t="s">
        <v>4377</v>
      </c>
      <c r="B3569">
        <v>0</v>
      </c>
      <c r="C3569">
        <v>0</v>
      </c>
      <c r="D3569">
        <v>0</v>
      </c>
      <c r="E3569">
        <v>0</v>
      </c>
      <c r="F3569">
        <v>0</v>
      </c>
      <c r="G3569">
        <v>0</v>
      </c>
    </row>
    <row r="3570" spans="1:10" x14ac:dyDescent="0.2">
      <c r="A3570" t="s">
        <v>2318</v>
      </c>
      <c r="B3570" t="s">
        <v>2319</v>
      </c>
      <c r="C3570" t="s">
        <v>2319</v>
      </c>
      <c r="D3570" t="s">
        <v>2319</v>
      </c>
      <c r="E3570" t="s">
        <v>2319</v>
      </c>
      <c r="F3570" t="s">
        <v>2319</v>
      </c>
      <c r="G3570" t="s">
        <v>2319</v>
      </c>
    </row>
    <row r="3571" spans="1:10" x14ac:dyDescent="0.2">
      <c r="A3571" t="s">
        <v>4248</v>
      </c>
    </row>
    <row r="3572" spans="1:10" x14ac:dyDescent="0.2">
      <c r="A3572" t="s">
        <v>4250</v>
      </c>
      <c r="C3572" t="s">
        <v>4251</v>
      </c>
      <c r="G3572" t="s">
        <v>7531</v>
      </c>
      <c r="J3572"/>
    </row>
    <row r="3573" spans="1:10" x14ac:dyDescent="0.2">
      <c r="A3573" t="s">
        <v>4925</v>
      </c>
      <c r="G3573" t="s">
        <v>7539</v>
      </c>
      <c r="J3573"/>
    </row>
    <row r="3574" spans="1:10" x14ac:dyDescent="0.2">
      <c r="A3574" t="s">
        <v>7530</v>
      </c>
      <c r="J3574"/>
    </row>
    <row r="3575" spans="1:10" x14ac:dyDescent="0.2">
      <c r="A3575" t="s">
        <v>4981</v>
      </c>
      <c r="J3575"/>
    </row>
    <row r="3576" spans="1:10" x14ac:dyDescent="0.2">
      <c r="J3576"/>
    </row>
    <row r="3577" spans="1:10" x14ac:dyDescent="0.2">
      <c r="A3577" t="s">
        <v>4259</v>
      </c>
      <c r="J3577"/>
    </row>
    <row r="3578" spans="1:10" x14ac:dyDescent="0.2">
      <c r="A3578" t="s">
        <v>2318</v>
      </c>
      <c r="B3578" t="s">
        <v>2319</v>
      </c>
      <c r="C3578" t="s">
        <v>2319</v>
      </c>
      <c r="D3578" t="s">
        <v>2319</v>
      </c>
      <c r="E3578" t="s">
        <v>2319</v>
      </c>
      <c r="F3578" t="s">
        <v>2319</v>
      </c>
      <c r="G3578" t="s">
        <v>2319</v>
      </c>
    </row>
    <row r="3579" spans="1:10" x14ac:dyDescent="0.2">
      <c r="A3579" t="s">
        <v>174</v>
      </c>
      <c r="B3579" t="s">
        <v>4945</v>
      </c>
      <c r="C3579" t="s">
        <v>4946</v>
      </c>
      <c r="D3579" t="s">
        <v>4947</v>
      </c>
      <c r="E3579" t="s">
        <v>4948</v>
      </c>
      <c r="F3579" t="s">
        <v>4949</v>
      </c>
    </row>
    <row r="3580" spans="1:10" x14ac:dyDescent="0.2">
      <c r="A3580" t="s">
        <v>126</v>
      </c>
      <c r="B3580" t="s">
        <v>4262</v>
      </c>
      <c r="C3580" t="s">
        <v>4263</v>
      </c>
      <c r="D3580" t="s">
        <v>4264</v>
      </c>
      <c r="E3580" t="s">
        <v>2308</v>
      </c>
      <c r="F3580" t="s">
        <v>615</v>
      </c>
      <c r="G3580" t="s">
        <v>236</v>
      </c>
    </row>
    <row r="3581" spans="1:10" x14ac:dyDescent="0.2">
      <c r="A3581" t="s">
        <v>2318</v>
      </c>
      <c r="B3581" t="s">
        <v>2319</v>
      </c>
      <c r="C3581" t="s">
        <v>2319</v>
      </c>
      <c r="D3581" t="s">
        <v>2319</v>
      </c>
      <c r="E3581" t="s">
        <v>2319</v>
      </c>
      <c r="F3581" t="s">
        <v>2319</v>
      </c>
      <c r="G3581" t="s">
        <v>2319</v>
      </c>
    </row>
    <row r="3582" spans="1:10" x14ac:dyDescent="0.2">
      <c r="A3582" t="s">
        <v>4265</v>
      </c>
      <c r="B3582">
        <v>0</v>
      </c>
      <c r="C3582">
        <v>0</v>
      </c>
      <c r="D3582">
        <v>0</v>
      </c>
      <c r="E3582">
        <v>0</v>
      </c>
      <c r="F3582">
        <v>0</v>
      </c>
      <c r="G3582">
        <v>0</v>
      </c>
    </row>
    <row r="3583" spans="1:10" x14ac:dyDescent="0.2">
      <c r="A3583" t="s">
        <v>4266</v>
      </c>
      <c r="B3583">
        <v>0</v>
      </c>
      <c r="C3583">
        <v>0</v>
      </c>
      <c r="D3583">
        <v>0</v>
      </c>
      <c r="E3583">
        <v>0</v>
      </c>
      <c r="F3583">
        <v>0</v>
      </c>
      <c r="G3583">
        <v>0</v>
      </c>
    </row>
    <row r="3584" spans="1:10" x14ac:dyDescent="0.2">
      <c r="A3584" t="s">
        <v>4267</v>
      </c>
      <c r="B3584">
        <v>0</v>
      </c>
      <c r="C3584">
        <v>0</v>
      </c>
      <c r="D3584">
        <v>0</v>
      </c>
      <c r="E3584">
        <v>0</v>
      </c>
      <c r="F3584">
        <v>0</v>
      </c>
      <c r="G3584">
        <v>0</v>
      </c>
    </row>
    <row r="3585" spans="1:7" x14ac:dyDescent="0.2">
      <c r="A3585" t="s">
        <v>4268</v>
      </c>
      <c r="B3585">
        <v>0</v>
      </c>
      <c r="C3585">
        <v>0</v>
      </c>
      <c r="D3585">
        <v>0</v>
      </c>
      <c r="E3585">
        <v>0</v>
      </c>
      <c r="F3585">
        <v>0</v>
      </c>
      <c r="G3585">
        <v>0</v>
      </c>
    </row>
    <row r="3586" spans="1:7" x14ac:dyDescent="0.2">
      <c r="A3586" t="s">
        <v>4269</v>
      </c>
      <c r="B3586">
        <v>0</v>
      </c>
      <c r="C3586">
        <v>0</v>
      </c>
      <c r="D3586">
        <v>0</v>
      </c>
      <c r="E3586">
        <v>0</v>
      </c>
      <c r="F3586">
        <v>0</v>
      </c>
      <c r="G3586">
        <v>0</v>
      </c>
    </row>
    <row r="3587" spans="1:7" x14ac:dyDescent="0.2">
      <c r="A3587" t="s">
        <v>4270</v>
      </c>
      <c r="B3587">
        <v>0</v>
      </c>
      <c r="C3587">
        <v>0</v>
      </c>
      <c r="D3587">
        <v>0</v>
      </c>
      <c r="E3587">
        <v>0</v>
      </c>
      <c r="F3587">
        <v>0</v>
      </c>
      <c r="G3587">
        <v>0</v>
      </c>
    </row>
    <row r="3588" spans="1:7" x14ac:dyDescent="0.2">
      <c r="A3588" t="s">
        <v>4271</v>
      </c>
      <c r="B3588">
        <v>0</v>
      </c>
      <c r="C3588">
        <v>0</v>
      </c>
      <c r="D3588">
        <v>0</v>
      </c>
      <c r="E3588">
        <v>0</v>
      </c>
      <c r="F3588">
        <v>0</v>
      </c>
      <c r="G3588">
        <v>0</v>
      </c>
    </row>
    <row r="3589" spans="1:7" x14ac:dyDescent="0.2">
      <c r="A3589" t="s">
        <v>4272</v>
      </c>
      <c r="B3589">
        <v>0</v>
      </c>
      <c r="C3589">
        <v>0</v>
      </c>
      <c r="D3589">
        <v>0</v>
      </c>
      <c r="E3589">
        <v>0</v>
      </c>
      <c r="F3589">
        <v>0</v>
      </c>
      <c r="G3589">
        <v>0</v>
      </c>
    </row>
    <row r="3590" spans="1:7" x14ac:dyDescent="0.2">
      <c r="A3590" t="s">
        <v>4273</v>
      </c>
      <c r="B3590">
        <v>0</v>
      </c>
      <c r="C3590">
        <v>0</v>
      </c>
      <c r="D3590">
        <v>0</v>
      </c>
      <c r="E3590">
        <v>0</v>
      </c>
      <c r="F3590">
        <v>0</v>
      </c>
      <c r="G3590">
        <v>0</v>
      </c>
    </row>
    <row r="3591" spans="1:7" x14ac:dyDescent="0.2">
      <c r="A3591" t="s">
        <v>4274</v>
      </c>
      <c r="B3591">
        <v>0</v>
      </c>
      <c r="C3591">
        <v>0</v>
      </c>
      <c r="D3591">
        <v>0</v>
      </c>
      <c r="E3591">
        <v>0</v>
      </c>
      <c r="F3591">
        <v>0</v>
      </c>
      <c r="G3591">
        <v>0</v>
      </c>
    </row>
    <row r="3592" spans="1:7" x14ac:dyDescent="0.2">
      <c r="A3592" t="s">
        <v>4275</v>
      </c>
      <c r="B3592">
        <v>0</v>
      </c>
      <c r="C3592">
        <v>0</v>
      </c>
      <c r="D3592">
        <v>0</v>
      </c>
      <c r="E3592">
        <v>0</v>
      </c>
      <c r="F3592">
        <v>0</v>
      </c>
      <c r="G3592">
        <v>0</v>
      </c>
    </row>
    <row r="3593" spans="1:7" x14ac:dyDescent="0.2">
      <c r="A3593" t="s">
        <v>4276</v>
      </c>
      <c r="B3593">
        <v>0</v>
      </c>
      <c r="C3593">
        <v>0</v>
      </c>
      <c r="D3593">
        <v>0</v>
      </c>
      <c r="E3593">
        <v>0</v>
      </c>
      <c r="F3593">
        <v>0</v>
      </c>
      <c r="G3593">
        <v>0</v>
      </c>
    </row>
    <row r="3594" spans="1:7" x14ac:dyDescent="0.2">
      <c r="A3594" t="s">
        <v>4277</v>
      </c>
      <c r="B3594">
        <v>0</v>
      </c>
      <c r="C3594">
        <v>0</v>
      </c>
      <c r="D3594">
        <v>0</v>
      </c>
      <c r="E3594">
        <v>0</v>
      </c>
      <c r="F3594">
        <v>0</v>
      </c>
      <c r="G3594">
        <v>0</v>
      </c>
    </row>
    <row r="3595" spans="1:7" x14ac:dyDescent="0.2">
      <c r="A3595" t="s">
        <v>4278</v>
      </c>
      <c r="B3595">
        <v>0</v>
      </c>
      <c r="C3595">
        <v>0</v>
      </c>
      <c r="D3595">
        <v>0</v>
      </c>
      <c r="E3595">
        <v>0</v>
      </c>
      <c r="F3595">
        <v>0</v>
      </c>
      <c r="G3595">
        <v>0</v>
      </c>
    </row>
    <row r="3596" spans="1:7" x14ac:dyDescent="0.2">
      <c r="A3596" t="s">
        <v>4279</v>
      </c>
      <c r="B3596">
        <v>0</v>
      </c>
      <c r="C3596">
        <v>0</v>
      </c>
      <c r="D3596">
        <v>0</v>
      </c>
      <c r="E3596">
        <v>0</v>
      </c>
      <c r="F3596">
        <v>0</v>
      </c>
      <c r="G3596">
        <v>1</v>
      </c>
    </row>
    <row r="3597" spans="1:7" x14ac:dyDescent="0.2">
      <c r="A3597" t="s">
        <v>4280</v>
      </c>
      <c r="B3597">
        <v>0</v>
      </c>
      <c r="C3597">
        <v>0</v>
      </c>
      <c r="D3597">
        <v>0</v>
      </c>
      <c r="E3597">
        <v>0</v>
      </c>
      <c r="F3597">
        <v>0</v>
      </c>
      <c r="G3597">
        <v>0</v>
      </c>
    </row>
    <row r="3598" spans="1:7" x14ac:dyDescent="0.2">
      <c r="A3598" t="s">
        <v>4281</v>
      </c>
      <c r="B3598">
        <v>24</v>
      </c>
      <c r="C3598">
        <v>21</v>
      </c>
      <c r="D3598">
        <v>40</v>
      </c>
      <c r="E3598">
        <v>26</v>
      </c>
      <c r="F3598">
        <v>0</v>
      </c>
      <c r="G3598">
        <v>111</v>
      </c>
    </row>
    <row r="3599" spans="1:7" x14ac:dyDescent="0.2">
      <c r="A3599" t="s">
        <v>4282</v>
      </c>
      <c r="B3599">
        <v>28</v>
      </c>
      <c r="C3599">
        <v>17</v>
      </c>
      <c r="D3599">
        <v>21</v>
      </c>
      <c r="E3599">
        <v>1</v>
      </c>
      <c r="F3599">
        <v>0</v>
      </c>
      <c r="G3599">
        <v>66</v>
      </c>
    </row>
    <row r="3600" spans="1:7" x14ac:dyDescent="0.2">
      <c r="A3600" t="s">
        <v>4283</v>
      </c>
      <c r="B3600">
        <v>5</v>
      </c>
      <c r="C3600">
        <v>10</v>
      </c>
      <c r="D3600">
        <v>8</v>
      </c>
      <c r="E3600">
        <v>0</v>
      </c>
      <c r="F3600">
        <v>0</v>
      </c>
      <c r="G3600">
        <v>22</v>
      </c>
    </row>
    <row r="3601" spans="1:7" x14ac:dyDescent="0.2">
      <c r="A3601" t="s">
        <v>4284</v>
      </c>
      <c r="B3601">
        <v>1</v>
      </c>
      <c r="C3601">
        <v>0</v>
      </c>
      <c r="D3601">
        <v>1</v>
      </c>
      <c r="E3601">
        <v>0</v>
      </c>
      <c r="F3601">
        <v>0</v>
      </c>
      <c r="G3601">
        <v>2</v>
      </c>
    </row>
    <row r="3602" spans="1:7" x14ac:dyDescent="0.2">
      <c r="A3602" t="s">
        <v>4285</v>
      </c>
      <c r="B3602">
        <v>14</v>
      </c>
      <c r="C3602">
        <v>25</v>
      </c>
      <c r="D3602">
        <v>33</v>
      </c>
      <c r="E3602">
        <v>28</v>
      </c>
      <c r="F3602">
        <v>0</v>
      </c>
      <c r="G3602">
        <v>100</v>
      </c>
    </row>
    <row r="3603" spans="1:7" x14ac:dyDescent="0.2">
      <c r="A3603" t="s">
        <v>4286</v>
      </c>
      <c r="B3603">
        <v>12</v>
      </c>
      <c r="C3603">
        <v>1</v>
      </c>
      <c r="D3603">
        <v>2</v>
      </c>
      <c r="E3603">
        <v>1</v>
      </c>
      <c r="F3603">
        <v>0</v>
      </c>
      <c r="G3603">
        <v>16</v>
      </c>
    </row>
    <row r="3604" spans="1:7" x14ac:dyDescent="0.2">
      <c r="A3604" t="s">
        <v>4287</v>
      </c>
      <c r="B3604">
        <v>0</v>
      </c>
      <c r="C3604">
        <v>0</v>
      </c>
      <c r="D3604">
        <v>0</v>
      </c>
      <c r="E3604">
        <v>7</v>
      </c>
      <c r="F3604">
        <v>0</v>
      </c>
      <c r="G3604">
        <v>7</v>
      </c>
    </row>
    <row r="3605" spans="1:7" x14ac:dyDescent="0.2">
      <c r="A3605" t="s">
        <v>4288</v>
      </c>
      <c r="B3605">
        <v>0</v>
      </c>
      <c r="C3605">
        <v>0</v>
      </c>
      <c r="D3605">
        <v>0</v>
      </c>
      <c r="E3605">
        <v>0</v>
      </c>
      <c r="F3605">
        <v>0</v>
      </c>
      <c r="G3605">
        <v>0</v>
      </c>
    </row>
    <row r="3606" spans="1:7" x14ac:dyDescent="0.2">
      <c r="A3606" t="s">
        <v>4289</v>
      </c>
      <c r="B3606">
        <v>0</v>
      </c>
      <c r="C3606">
        <v>0</v>
      </c>
      <c r="D3606">
        <v>0</v>
      </c>
      <c r="E3606">
        <v>0</v>
      </c>
      <c r="F3606">
        <v>0</v>
      </c>
      <c r="G3606">
        <v>0</v>
      </c>
    </row>
    <row r="3607" spans="1:7" x14ac:dyDescent="0.2">
      <c r="A3607" t="s">
        <v>4290</v>
      </c>
      <c r="B3607">
        <v>0</v>
      </c>
      <c r="C3607">
        <v>0</v>
      </c>
      <c r="D3607">
        <v>0</v>
      </c>
      <c r="E3607">
        <v>0</v>
      </c>
      <c r="F3607">
        <v>0</v>
      </c>
      <c r="G3607">
        <v>0</v>
      </c>
    </row>
    <row r="3608" spans="1:7" x14ac:dyDescent="0.2">
      <c r="A3608" t="s">
        <v>4291</v>
      </c>
      <c r="B3608">
        <v>0</v>
      </c>
      <c r="C3608">
        <v>0</v>
      </c>
      <c r="D3608">
        <v>0</v>
      </c>
      <c r="E3608">
        <v>0</v>
      </c>
      <c r="F3608">
        <v>0</v>
      </c>
      <c r="G3608">
        <v>0</v>
      </c>
    </row>
    <row r="3609" spans="1:7" x14ac:dyDescent="0.2">
      <c r="A3609" t="s">
        <v>4292</v>
      </c>
      <c r="B3609">
        <v>0</v>
      </c>
      <c r="C3609">
        <v>0</v>
      </c>
      <c r="D3609">
        <v>0</v>
      </c>
      <c r="E3609">
        <v>0</v>
      </c>
      <c r="F3609">
        <v>0</v>
      </c>
      <c r="G3609">
        <v>0</v>
      </c>
    </row>
    <row r="3610" spans="1:7" x14ac:dyDescent="0.2">
      <c r="A3610" t="s">
        <v>4293</v>
      </c>
      <c r="B3610">
        <v>0</v>
      </c>
      <c r="C3610">
        <v>0</v>
      </c>
      <c r="D3610">
        <v>0</v>
      </c>
      <c r="E3610">
        <v>0</v>
      </c>
      <c r="F3610">
        <v>0</v>
      </c>
      <c r="G3610">
        <v>0</v>
      </c>
    </row>
    <row r="3611" spans="1:7" x14ac:dyDescent="0.2">
      <c r="A3611" t="s">
        <v>4294</v>
      </c>
      <c r="B3611">
        <v>0</v>
      </c>
      <c r="C3611">
        <v>0</v>
      </c>
      <c r="D3611">
        <v>0</v>
      </c>
      <c r="E3611">
        <v>0</v>
      </c>
      <c r="F3611">
        <v>0</v>
      </c>
      <c r="G3611">
        <v>0</v>
      </c>
    </row>
    <row r="3612" spans="1:7" x14ac:dyDescent="0.2">
      <c r="A3612" t="s">
        <v>4295</v>
      </c>
      <c r="B3612">
        <v>0</v>
      </c>
      <c r="C3612">
        <v>0</v>
      </c>
      <c r="D3612">
        <v>0</v>
      </c>
      <c r="E3612">
        <v>0</v>
      </c>
      <c r="F3612">
        <v>0</v>
      </c>
      <c r="G3612">
        <v>0</v>
      </c>
    </row>
    <row r="3613" spans="1:7" x14ac:dyDescent="0.2">
      <c r="A3613" t="s">
        <v>4296</v>
      </c>
      <c r="B3613">
        <v>0</v>
      </c>
      <c r="C3613">
        <v>0</v>
      </c>
      <c r="D3613">
        <v>0</v>
      </c>
      <c r="E3613">
        <v>0</v>
      </c>
      <c r="F3613">
        <v>0</v>
      </c>
      <c r="G3613">
        <v>0</v>
      </c>
    </row>
    <row r="3614" spans="1:7" x14ac:dyDescent="0.2">
      <c r="A3614" t="s">
        <v>4297</v>
      </c>
      <c r="B3614">
        <v>4</v>
      </c>
      <c r="C3614">
        <v>20</v>
      </c>
      <c r="D3614">
        <v>76</v>
      </c>
      <c r="E3614">
        <v>15</v>
      </c>
      <c r="F3614">
        <v>0</v>
      </c>
      <c r="G3614">
        <v>115</v>
      </c>
    </row>
    <row r="3615" spans="1:7" x14ac:dyDescent="0.2">
      <c r="A3615" t="s">
        <v>4298</v>
      </c>
      <c r="B3615">
        <v>13</v>
      </c>
      <c r="C3615">
        <v>24</v>
      </c>
      <c r="D3615">
        <v>15</v>
      </c>
      <c r="E3615">
        <v>13</v>
      </c>
      <c r="F3615">
        <v>0</v>
      </c>
      <c r="G3615">
        <v>65</v>
      </c>
    </row>
    <row r="3616" spans="1:7" x14ac:dyDescent="0.2">
      <c r="A3616" t="s">
        <v>4299</v>
      </c>
      <c r="B3616">
        <v>41</v>
      </c>
      <c r="C3616">
        <v>54</v>
      </c>
      <c r="D3616">
        <v>47</v>
      </c>
      <c r="E3616">
        <v>50</v>
      </c>
      <c r="F3616">
        <v>0</v>
      </c>
      <c r="G3616">
        <v>192</v>
      </c>
    </row>
    <row r="3617" spans="1:7" x14ac:dyDescent="0.2">
      <c r="A3617" t="s">
        <v>4300</v>
      </c>
      <c r="B3617">
        <v>1</v>
      </c>
      <c r="C3617">
        <v>3</v>
      </c>
      <c r="D3617">
        <v>4</v>
      </c>
      <c r="E3617">
        <v>3</v>
      </c>
      <c r="F3617">
        <v>0</v>
      </c>
      <c r="G3617">
        <v>11</v>
      </c>
    </row>
    <row r="3618" spans="1:7" x14ac:dyDescent="0.2">
      <c r="A3618" t="s">
        <v>4301</v>
      </c>
      <c r="B3618">
        <v>0</v>
      </c>
      <c r="C3618">
        <v>63</v>
      </c>
      <c r="D3618">
        <v>177</v>
      </c>
      <c r="E3618">
        <v>101</v>
      </c>
      <c r="F3618">
        <v>0</v>
      </c>
      <c r="G3618">
        <v>341</v>
      </c>
    </row>
    <row r="3619" spans="1:7" x14ac:dyDescent="0.2">
      <c r="A3619" t="s">
        <v>4302</v>
      </c>
      <c r="B3619">
        <v>5</v>
      </c>
      <c r="C3619">
        <v>23</v>
      </c>
      <c r="D3619">
        <v>64</v>
      </c>
      <c r="E3619">
        <v>3</v>
      </c>
      <c r="F3619">
        <v>0</v>
      </c>
      <c r="G3619">
        <v>95</v>
      </c>
    </row>
    <row r="3620" spans="1:7" x14ac:dyDescent="0.2">
      <c r="A3620" t="s">
        <v>4303</v>
      </c>
      <c r="B3620">
        <v>5</v>
      </c>
      <c r="C3620">
        <v>65</v>
      </c>
      <c r="D3620">
        <v>259</v>
      </c>
      <c r="E3620">
        <v>7</v>
      </c>
      <c r="F3620">
        <v>0</v>
      </c>
      <c r="G3620">
        <v>336</v>
      </c>
    </row>
    <row r="3621" spans="1:7" x14ac:dyDescent="0.2">
      <c r="A3621" t="s">
        <v>4304</v>
      </c>
      <c r="B3621">
        <v>3</v>
      </c>
      <c r="C3621">
        <v>4</v>
      </c>
      <c r="D3621">
        <v>14</v>
      </c>
      <c r="E3621">
        <v>36</v>
      </c>
      <c r="F3621">
        <v>0</v>
      </c>
      <c r="G3621">
        <v>58</v>
      </c>
    </row>
    <row r="3622" spans="1:7" x14ac:dyDescent="0.2">
      <c r="A3622" t="s">
        <v>4305</v>
      </c>
      <c r="B3622">
        <v>0</v>
      </c>
      <c r="C3622">
        <v>24</v>
      </c>
      <c r="D3622">
        <v>48</v>
      </c>
      <c r="E3622">
        <v>7</v>
      </c>
      <c r="F3622">
        <v>0</v>
      </c>
      <c r="G3622">
        <v>79</v>
      </c>
    </row>
    <row r="3623" spans="1:7" x14ac:dyDescent="0.2">
      <c r="A3623" t="s">
        <v>4306</v>
      </c>
      <c r="B3623">
        <v>2</v>
      </c>
      <c r="C3623">
        <v>11</v>
      </c>
      <c r="D3623">
        <v>2</v>
      </c>
      <c r="E3623">
        <v>3</v>
      </c>
      <c r="F3623">
        <v>0</v>
      </c>
      <c r="G3623">
        <v>18</v>
      </c>
    </row>
    <row r="3624" spans="1:7" x14ac:dyDescent="0.2">
      <c r="A3624" t="s">
        <v>4307</v>
      </c>
      <c r="B3624">
        <v>14</v>
      </c>
      <c r="C3624">
        <v>107</v>
      </c>
      <c r="D3624">
        <v>315</v>
      </c>
      <c r="E3624">
        <v>120</v>
      </c>
      <c r="F3624">
        <v>0</v>
      </c>
      <c r="G3624">
        <v>556</v>
      </c>
    </row>
    <row r="3625" spans="1:7" x14ac:dyDescent="0.2">
      <c r="A3625" t="s">
        <v>4308</v>
      </c>
      <c r="B3625">
        <v>0</v>
      </c>
      <c r="C3625">
        <v>0</v>
      </c>
      <c r="D3625">
        <v>0</v>
      </c>
      <c r="E3625">
        <v>0</v>
      </c>
      <c r="F3625">
        <v>0</v>
      </c>
      <c r="G3625">
        <v>0</v>
      </c>
    </row>
    <row r="3626" spans="1:7" x14ac:dyDescent="0.2">
      <c r="A3626" t="s">
        <v>4309</v>
      </c>
      <c r="B3626">
        <v>0</v>
      </c>
      <c r="C3626">
        <v>0</v>
      </c>
      <c r="D3626">
        <v>0</v>
      </c>
      <c r="E3626">
        <v>0</v>
      </c>
      <c r="F3626">
        <v>0</v>
      </c>
      <c r="G3626">
        <v>0</v>
      </c>
    </row>
    <row r="3627" spans="1:7" x14ac:dyDescent="0.2">
      <c r="A3627" t="s">
        <v>4310</v>
      </c>
      <c r="B3627">
        <v>0</v>
      </c>
      <c r="C3627">
        <v>0</v>
      </c>
      <c r="D3627">
        <v>0</v>
      </c>
      <c r="E3627">
        <v>0</v>
      </c>
      <c r="F3627">
        <v>0</v>
      </c>
      <c r="G3627">
        <v>0</v>
      </c>
    </row>
    <row r="3628" spans="1:7" x14ac:dyDescent="0.2">
      <c r="A3628" t="s">
        <v>4311</v>
      </c>
      <c r="B3628">
        <v>0</v>
      </c>
      <c r="C3628">
        <v>0</v>
      </c>
      <c r="D3628">
        <v>0</v>
      </c>
      <c r="E3628">
        <v>3</v>
      </c>
      <c r="F3628">
        <v>0</v>
      </c>
      <c r="G3628">
        <v>3</v>
      </c>
    </row>
    <row r="3629" spans="1:7" x14ac:dyDescent="0.2">
      <c r="A3629" t="s">
        <v>4312</v>
      </c>
      <c r="B3629">
        <v>0</v>
      </c>
      <c r="C3629">
        <v>0</v>
      </c>
      <c r="D3629">
        <v>0</v>
      </c>
      <c r="E3629">
        <v>20</v>
      </c>
      <c r="F3629">
        <v>0</v>
      </c>
      <c r="G3629">
        <v>20</v>
      </c>
    </row>
    <row r="3630" spans="1:7" x14ac:dyDescent="0.2">
      <c r="A3630" t="s">
        <v>4313</v>
      </c>
      <c r="B3630">
        <v>0</v>
      </c>
      <c r="C3630">
        <v>0</v>
      </c>
      <c r="D3630">
        <v>0</v>
      </c>
      <c r="E3630">
        <v>0</v>
      </c>
      <c r="F3630">
        <v>0</v>
      </c>
      <c r="G3630">
        <v>0</v>
      </c>
    </row>
    <row r="3631" spans="1:7" x14ac:dyDescent="0.2">
      <c r="A3631" t="s">
        <v>4314</v>
      </c>
      <c r="B3631">
        <v>0</v>
      </c>
      <c r="C3631">
        <v>0</v>
      </c>
      <c r="D3631">
        <v>0</v>
      </c>
      <c r="E3631">
        <v>0</v>
      </c>
      <c r="F3631">
        <v>28</v>
      </c>
      <c r="G3631">
        <v>28</v>
      </c>
    </row>
    <row r="3632" spans="1:7" x14ac:dyDescent="0.2">
      <c r="A3632" t="s">
        <v>4315</v>
      </c>
      <c r="B3632">
        <v>0</v>
      </c>
      <c r="C3632">
        <v>0</v>
      </c>
      <c r="D3632">
        <v>0</v>
      </c>
      <c r="E3632">
        <v>0</v>
      </c>
      <c r="F3632">
        <v>0</v>
      </c>
      <c r="G3632">
        <v>0</v>
      </c>
    </row>
    <row r="3633" spans="1:7" x14ac:dyDescent="0.2">
      <c r="A3633" t="s">
        <v>4316</v>
      </c>
      <c r="B3633">
        <v>0</v>
      </c>
      <c r="C3633">
        <v>0</v>
      </c>
      <c r="D3633">
        <v>0</v>
      </c>
      <c r="E3633">
        <v>0</v>
      </c>
      <c r="F3633">
        <v>0</v>
      </c>
      <c r="G3633">
        <v>0</v>
      </c>
    </row>
    <row r="3634" spans="1:7" x14ac:dyDescent="0.2">
      <c r="A3634" t="s">
        <v>4317</v>
      </c>
      <c r="B3634">
        <v>0</v>
      </c>
      <c r="C3634">
        <v>0</v>
      </c>
      <c r="D3634">
        <v>0</v>
      </c>
      <c r="E3634">
        <v>0</v>
      </c>
      <c r="F3634">
        <v>0</v>
      </c>
      <c r="G3634">
        <v>0</v>
      </c>
    </row>
    <row r="3635" spans="1:7" x14ac:dyDescent="0.2">
      <c r="A3635" t="s">
        <v>4318</v>
      </c>
      <c r="B3635">
        <v>0</v>
      </c>
      <c r="C3635">
        <v>0</v>
      </c>
      <c r="D3635">
        <v>0</v>
      </c>
      <c r="E3635">
        <v>0</v>
      </c>
      <c r="F3635">
        <v>0</v>
      </c>
      <c r="G3635">
        <v>0</v>
      </c>
    </row>
    <row r="3636" spans="1:7" x14ac:dyDescent="0.2">
      <c r="A3636" t="s">
        <v>4319</v>
      </c>
      <c r="B3636">
        <v>0</v>
      </c>
      <c r="C3636">
        <v>0</v>
      </c>
      <c r="D3636">
        <v>0</v>
      </c>
      <c r="E3636">
        <v>0</v>
      </c>
      <c r="F3636">
        <v>0</v>
      </c>
      <c r="G3636">
        <v>0</v>
      </c>
    </row>
    <row r="3637" spans="1:7" x14ac:dyDescent="0.2">
      <c r="A3637" t="s">
        <v>4320</v>
      </c>
      <c r="B3637">
        <v>0</v>
      </c>
      <c r="C3637">
        <v>0</v>
      </c>
      <c r="D3637">
        <v>0</v>
      </c>
      <c r="E3637">
        <v>0</v>
      </c>
      <c r="F3637">
        <v>0</v>
      </c>
      <c r="G3637">
        <v>0</v>
      </c>
    </row>
    <row r="3638" spans="1:7" x14ac:dyDescent="0.2">
      <c r="A3638" t="s">
        <v>4321</v>
      </c>
      <c r="B3638">
        <v>0</v>
      </c>
      <c r="C3638">
        <v>0</v>
      </c>
      <c r="D3638">
        <v>0</v>
      </c>
      <c r="E3638">
        <v>0</v>
      </c>
      <c r="F3638">
        <v>0</v>
      </c>
      <c r="G3638">
        <v>0</v>
      </c>
    </row>
    <row r="3639" spans="1:7" x14ac:dyDescent="0.2">
      <c r="A3639" t="s">
        <v>4322</v>
      </c>
      <c r="B3639">
        <v>0</v>
      </c>
      <c r="C3639">
        <v>0</v>
      </c>
      <c r="D3639">
        <v>0</v>
      </c>
      <c r="E3639">
        <v>0</v>
      </c>
      <c r="F3639">
        <v>0</v>
      </c>
      <c r="G3639">
        <v>0</v>
      </c>
    </row>
    <row r="3640" spans="1:7" x14ac:dyDescent="0.2">
      <c r="A3640" t="s">
        <v>4323</v>
      </c>
      <c r="B3640">
        <v>0</v>
      </c>
      <c r="C3640">
        <v>0</v>
      </c>
      <c r="D3640">
        <v>0</v>
      </c>
      <c r="E3640">
        <v>0</v>
      </c>
      <c r="F3640">
        <v>0</v>
      </c>
      <c r="G3640">
        <v>0</v>
      </c>
    </row>
    <row r="3641" spans="1:7" x14ac:dyDescent="0.2">
      <c r="A3641" t="s">
        <v>4324</v>
      </c>
      <c r="B3641">
        <v>0</v>
      </c>
      <c r="C3641">
        <v>0</v>
      </c>
      <c r="D3641">
        <v>0</v>
      </c>
      <c r="E3641">
        <v>0</v>
      </c>
      <c r="F3641">
        <v>0</v>
      </c>
      <c r="G3641">
        <v>0</v>
      </c>
    </row>
    <row r="3642" spans="1:7" x14ac:dyDescent="0.2">
      <c r="A3642" t="s">
        <v>4325</v>
      </c>
      <c r="B3642">
        <v>0</v>
      </c>
      <c r="C3642">
        <v>0</v>
      </c>
      <c r="D3642">
        <v>0</v>
      </c>
      <c r="E3642">
        <v>0</v>
      </c>
      <c r="F3642">
        <v>0</v>
      </c>
      <c r="G3642">
        <v>0</v>
      </c>
    </row>
    <row r="3643" spans="1:7" x14ac:dyDescent="0.2">
      <c r="A3643" t="s">
        <v>4326</v>
      </c>
      <c r="B3643">
        <v>0</v>
      </c>
      <c r="C3643">
        <v>0</v>
      </c>
      <c r="D3643">
        <v>0</v>
      </c>
      <c r="E3643">
        <v>0</v>
      </c>
      <c r="F3643">
        <v>0</v>
      </c>
      <c r="G3643">
        <v>0</v>
      </c>
    </row>
    <row r="3644" spans="1:7" x14ac:dyDescent="0.2">
      <c r="A3644" t="s">
        <v>4327</v>
      </c>
      <c r="B3644">
        <v>0</v>
      </c>
      <c r="C3644">
        <v>0</v>
      </c>
      <c r="D3644">
        <v>0</v>
      </c>
      <c r="E3644">
        <v>83</v>
      </c>
      <c r="F3644">
        <v>27</v>
      </c>
      <c r="G3644">
        <v>110</v>
      </c>
    </row>
    <row r="3645" spans="1:7" x14ac:dyDescent="0.2">
      <c r="A3645" t="s">
        <v>4328</v>
      </c>
      <c r="B3645">
        <v>0</v>
      </c>
      <c r="C3645">
        <v>0</v>
      </c>
      <c r="D3645">
        <v>0</v>
      </c>
      <c r="E3645">
        <v>0</v>
      </c>
      <c r="F3645">
        <v>0</v>
      </c>
      <c r="G3645">
        <v>0</v>
      </c>
    </row>
    <row r="3646" spans="1:7" x14ac:dyDescent="0.2">
      <c r="A3646" t="s">
        <v>4329</v>
      </c>
      <c r="B3646">
        <v>0</v>
      </c>
      <c r="C3646">
        <v>0</v>
      </c>
      <c r="D3646">
        <v>0</v>
      </c>
      <c r="E3646">
        <v>0</v>
      </c>
      <c r="F3646">
        <v>1944</v>
      </c>
      <c r="G3646">
        <v>1944</v>
      </c>
    </row>
    <row r="3647" spans="1:7" x14ac:dyDescent="0.2">
      <c r="A3647" t="s">
        <v>4330</v>
      </c>
      <c r="B3647">
        <v>0</v>
      </c>
      <c r="C3647">
        <v>0</v>
      </c>
      <c r="D3647">
        <v>0</v>
      </c>
      <c r="E3647">
        <v>0</v>
      </c>
      <c r="F3647">
        <v>0</v>
      </c>
      <c r="G3647">
        <v>0</v>
      </c>
    </row>
    <row r="3648" spans="1:7" x14ac:dyDescent="0.2">
      <c r="A3648" t="s">
        <v>4331</v>
      </c>
      <c r="B3648">
        <v>0</v>
      </c>
      <c r="C3648">
        <v>0</v>
      </c>
      <c r="D3648">
        <v>0</v>
      </c>
      <c r="E3648">
        <v>0</v>
      </c>
      <c r="F3648">
        <v>0</v>
      </c>
      <c r="G3648">
        <v>0</v>
      </c>
    </row>
    <row r="3649" spans="1:7" x14ac:dyDescent="0.2">
      <c r="A3649" t="s">
        <v>4332</v>
      </c>
      <c r="B3649">
        <v>0</v>
      </c>
      <c r="C3649">
        <v>0</v>
      </c>
      <c r="D3649">
        <v>0</v>
      </c>
      <c r="E3649">
        <v>2012</v>
      </c>
      <c r="F3649">
        <v>628</v>
      </c>
      <c r="G3649">
        <v>2640</v>
      </c>
    </row>
    <row r="3650" spans="1:7" x14ac:dyDescent="0.2">
      <c r="A3650" t="s">
        <v>4333</v>
      </c>
      <c r="B3650">
        <v>0</v>
      </c>
      <c r="C3650">
        <v>0</v>
      </c>
      <c r="D3650">
        <v>0</v>
      </c>
      <c r="E3650">
        <v>0</v>
      </c>
      <c r="F3650">
        <v>0</v>
      </c>
      <c r="G3650">
        <v>0</v>
      </c>
    </row>
    <row r="3651" spans="1:7" x14ac:dyDescent="0.2">
      <c r="A3651" t="s">
        <v>4334</v>
      </c>
      <c r="B3651">
        <v>0</v>
      </c>
      <c r="C3651">
        <v>0</v>
      </c>
      <c r="D3651">
        <v>0</v>
      </c>
      <c r="E3651">
        <v>0</v>
      </c>
      <c r="F3651">
        <v>0</v>
      </c>
      <c r="G3651">
        <v>0</v>
      </c>
    </row>
    <row r="3652" spans="1:7" x14ac:dyDescent="0.2">
      <c r="A3652" t="s">
        <v>4335</v>
      </c>
      <c r="B3652">
        <v>0</v>
      </c>
      <c r="C3652">
        <v>0</v>
      </c>
      <c r="D3652">
        <v>0</v>
      </c>
      <c r="E3652">
        <v>0</v>
      </c>
      <c r="F3652">
        <v>0</v>
      </c>
      <c r="G3652">
        <v>0</v>
      </c>
    </row>
    <row r="3653" spans="1:7" x14ac:dyDescent="0.2">
      <c r="A3653" t="s">
        <v>4336</v>
      </c>
      <c r="B3653">
        <v>0</v>
      </c>
      <c r="C3653">
        <v>0</v>
      </c>
      <c r="D3653">
        <v>0</v>
      </c>
      <c r="E3653">
        <v>0</v>
      </c>
      <c r="F3653">
        <v>0</v>
      </c>
      <c r="G3653">
        <v>0</v>
      </c>
    </row>
    <row r="3654" spans="1:7" x14ac:dyDescent="0.2">
      <c r="A3654" t="s">
        <v>4337</v>
      </c>
      <c r="B3654">
        <v>0</v>
      </c>
      <c r="C3654">
        <v>0</v>
      </c>
      <c r="D3654">
        <v>0</v>
      </c>
      <c r="E3654">
        <v>0</v>
      </c>
      <c r="F3654">
        <v>0</v>
      </c>
      <c r="G3654">
        <v>0</v>
      </c>
    </row>
    <row r="3655" spans="1:7" x14ac:dyDescent="0.2">
      <c r="A3655" t="s">
        <v>4338</v>
      </c>
      <c r="B3655">
        <v>0</v>
      </c>
      <c r="C3655">
        <v>0</v>
      </c>
      <c r="D3655">
        <v>0</v>
      </c>
      <c r="E3655">
        <v>79</v>
      </c>
      <c r="F3655">
        <v>163</v>
      </c>
      <c r="G3655">
        <v>242</v>
      </c>
    </row>
    <row r="3656" spans="1:7" x14ac:dyDescent="0.2">
      <c r="A3656" t="s">
        <v>4339</v>
      </c>
      <c r="B3656">
        <v>0</v>
      </c>
      <c r="C3656">
        <v>0</v>
      </c>
      <c r="D3656">
        <v>0</v>
      </c>
      <c r="E3656">
        <v>0</v>
      </c>
      <c r="F3656">
        <v>0</v>
      </c>
      <c r="G3656">
        <v>0</v>
      </c>
    </row>
    <row r="3657" spans="1:7" x14ac:dyDescent="0.2">
      <c r="A3657" t="s">
        <v>4340</v>
      </c>
      <c r="B3657">
        <v>0</v>
      </c>
      <c r="C3657">
        <v>0</v>
      </c>
      <c r="D3657">
        <v>0</v>
      </c>
      <c r="E3657">
        <v>0</v>
      </c>
      <c r="F3657">
        <v>0</v>
      </c>
      <c r="G3657">
        <v>0</v>
      </c>
    </row>
    <row r="3658" spans="1:7" x14ac:dyDescent="0.2">
      <c r="A3658" t="s">
        <v>4341</v>
      </c>
      <c r="B3658">
        <v>0</v>
      </c>
      <c r="C3658">
        <v>0</v>
      </c>
      <c r="D3658">
        <v>0</v>
      </c>
      <c r="E3658">
        <v>0</v>
      </c>
      <c r="F3658">
        <v>0</v>
      </c>
      <c r="G3658">
        <v>0</v>
      </c>
    </row>
    <row r="3659" spans="1:7" x14ac:dyDescent="0.2">
      <c r="A3659" t="s">
        <v>4342</v>
      </c>
      <c r="B3659">
        <v>0</v>
      </c>
      <c r="C3659">
        <v>0</v>
      </c>
      <c r="D3659">
        <v>0</v>
      </c>
      <c r="E3659">
        <v>0</v>
      </c>
      <c r="F3659">
        <v>0</v>
      </c>
      <c r="G3659">
        <v>0</v>
      </c>
    </row>
    <row r="3660" spans="1:7" x14ac:dyDescent="0.2">
      <c r="A3660" t="s">
        <v>4343</v>
      </c>
      <c r="B3660">
        <v>0</v>
      </c>
      <c r="C3660">
        <v>0</v>
      </c>
      <c r="D3660">
        <v>0</v>
      </c>
      <c r="E3660">
        <v>0</v>
      </c>
      <c r="F3660">
        <v>0</v>
      </c>
      <c r="G3660">
        <v>0</v>
      </c>
    </row>
    <row r="3661" spans="1:7" x14ac:dyDescent="0.2">
      <c r="A3661" t="s">
        <v>1728</v>
      </c>
      <c r="B3661">
        <v>0</v>
      </c>
      <c r="C3661">
        <v>0</v>
      </c>
      <c r="D3661">
        <v>0</v>
      </c>
      <c r="E3661">
        <v>0</v>
      </c>
      <c r="F3661">
        <v>0</v>
      </c>
      <c r="G3661">
        <v>0</v>
      </c>
    </row>
    <row r="3662" spans="1:7" x14ac:dyDescent="0.2">
      <c r="A3662" t="s">
        <v>1730</v>
      </c>
      <c r="B3662">
        <v>0</v>
      </c>
      <c r="C3662">
        <v>0</v>
      </c>
      <c r="D3662">
        <v>2</v>
      </c>
      <c r="E3662">
        <v>1</v>
      </c>
      <c r="F3662">
        <v>19</v>
      </c>
      <c r="G3662">
        <v>22</v>
      </c>
    </row>
    <row r="3663" spans="1:7" x14ac:dyDescent="0.2">
      <c r="A3663" t="s">
        <v>1733</v>
      </c>
      <c r="B3663">
        <v>0</v>
      </c>
      <c r="C3663">
        <v>0</v>
      </c>
      <c r="D3663">
        <v>0</v>
      </c>
      <c r="E3663">
        <v>0</v>
      </c>
      <c r="F3663">
        <v>0</v>
      </c>
      <c r="G3663">
        <v>0</v>
      </c>
    </row>
    <row r="3664" spans="1:7" x14ac:dyDescent="0.2">
      <c r="A3664" t="s">
        <v>1738</v>
      </c>
      <c r="B3664">
        <v>0</v>
      </c>
      <c r="C3664">
        <v>0</v>
      </c>
      <c r="D3664">
        <v>0</v>
      </c>
      <c r="E3664">
        <v>0</v>
      </c>
      <c r="F3664">
        <v>0</v>
      </c>
      <c r="G3664">
        <v>0</v>
      </c>
    </row>
    <row r="3665" spans="1:7" x14ac:dyDescent="0.2">
      <c r="A3665" t="s">
        <v>1744</v>
      </c>
      <c r="B3665">
        <v>0</v>
      </c>
      <c r="C3665">
        <v>0</v>
      </c>
      <c r="D3665">
        <v>0</v>
      </c>
      <c r="E3665">
        <v>0</v>
      </c>
      <c r="F3665">
        <v>0</v>
      </c>
      <c r="G3665">
        <v>0</v>
      </c>
    </row>
    <row r="3666" spans="1:7" x14ac:dyDescent="0.2">
      <c r="A3666" t="s">
        <v>1747</v>
      </c>
      <c r="B3666">
        <v>0</v>
      </c>
      <c r="C3666">
        <v>0</v>
      </c>
      <c r="D3666">
        <v>0</v>
      </c>
      <c r="E3666">
        <v>0</v>
      </c>
      <c r="F3666">
        <v>0</v>
      </c>
      <c r="G3666">
        <v>0</v>
      </c>
    </row>
    <row r="3667" spans="1:7" x14ac:dyDescent="0.2">
      <c r="A3667" t="s">
        <v>1751</v>
      </c>
      <c r="B3667">
        <v>0</v>
      </c>
      <c r="C3667">
        <v>0</v>
      </c>
      <c r="D3667">
        <v>0</v>
      </c>
      <c r="E3667">
        <v>0</v>
      </c>
      <c r="F3667">
        <v>0</v>
      </c>
      <c r="G3667">
        <v>0</v>
      </c>
    </row>
    <row r="3668" spans="1:7" x14ac:dyDescent="0.2">
      <c r="A3668" t="s">
        <v>1755</v>
      </c>
      <c r="B3668">
        <v>0</v>
      </c>
      <c r="C3668">
        <v>0</v>
      </c>
      <c r="D3668">
        <v>0</v>
      </c>
      <c r="E3668">
        <v>1</v>
      </c>
      <c r="F3668">
        <v>0</v>
      </c>
      <c r="G3668">
        <v>1</v>
      </c>
    </row>
    <row r="3669" spans="1:7" x14ac:dyDescent="0.2">
      <c r="A3669" t="s">
        <v>1757</v>
      </c>
      <c r="B3669">
        <v>0</v>
      </c>
      <c r="C3669">
        <v>0</v>
      </c>
      <c r="D3669">
        <v>0</v>
      </c>
      <c r="E3669">
        <v>1</v>
      </c>
      <c r="F3669">
        <v>0</v>
      </c>
      <c r="G3669">
        <v>1</v>
      </c>
    </row>
    <row r="3670" spans="1:7" x14ac:dyDescent="0.2">
      <c r="A3670" t="s">
        <v>1761</v>
      </c>
      <c r="B3670">
        <v>0</v>
      </c>
      <c r="C3670">
        <v>0</v>
      </c>
      <c r="D3670">
        <v>0</v>
      </c>
      <c r="E3670">
        <v>0</v>
      </c>
      <c r="F3670">
        <v>0</v>
      </c>
      <c r="G3670">
        <v>0</v>
      </c>
    </row>
    <row r="3671" spans="1:7" x14ac:dyDescent="0.2">
      <c r="A3671" t="s">
        <v>1764</v>
      </c>
      <c r="B3671">
        <v>0</v>
      </c>
      <c r="C3671">
        <v>0</v>
      </c>
      <c r="D3671">
        <v>0</v>
      </c>
      <c r="E3671">
        <v>0</v>
      </c>
      <c r="F3671">
        <v>0</v>
      </c>
      <c r="G3671">
        <v>0</v>
      </c>
    </row>
    <row r="3672" spans="1:7" x14ac:dyDescent="0.2">
      <c r="A3672" t="s">
        <v>1770</v>
      </c>
      <c r="B3672">
        <v>0</v>
      </c>
      <c r="C3672">
        <v>1</v>
      </c>
      <c r="D3672">
        <v>6</v>
      </c>
      <c r="E3672">
        <v>17</v>
      </c>
      <c r="F3672">
        <v>0</v>
      </c>
      <c r="G3672">
        <v>24</v>
      </c>
    </row>
    <row r="3673" spans="1:7" x14ac:dyDescent="0.2">
      <c r="A3673" t="s">
        <v>1772</v>
      </c>
      <c r="B3673">
        <v>0</v>
      </c>
      <c r="C3673">
        <v>0</v>
      </c>
      <c r="D3673">
        <v>0</v>
      </c>
      <c r="E3673">
        <v>2</v>
      </c>
      <c r="F3673">
        <v>0</v>
      </c>
      <c r="G3673">
        <v>2</v>
      </c>
    </row>
    <row r="3674" spans="1:7" x14ac:dyDescent="0.2">
      <c r="A3674" t="s">
        <v>1774</v>
      </c>
      <c r="B3674">
        <v>0</v>
      </c>
      <c r="C3674">
        <v>0</v>
      </c>
      <c r="D3674">
        <v>0</v>
      </c>
      <c r="E3674">
        <v>0</v>
      </c>
      <c r="F3674">
        <v>0</v>
      </c>
      <c r="G3674">
        <v>0</v>
      </c>
    </row>
    <row r="3675" spans="1:7" x14ac:dyDescent="0.2">
      <c r="A3675" t="s">
        <v>1777</v>
      </c>
      <c r="B3675">
        <v>0</v>
      </c>
      <c r="C3675">
        <v>0</v>
      </c>
      <c r="D3675">
        <v>0</v>
      </c>
      <c r="E3675">
        <v>0</v>
      </c>
      <c r="F3675">
        <v>0</v>
      </c>
      <c r="G3675">
        <v>0</v>
      </c>
    </row>
    <row r="3676" spans="1:7" x14ac:dyDescent="0.2">
      <c r="A3676" t="s">
        <v>1782</v>
      </c>
      <c r="B3676">
        <v>0</v>
      </c>
      <c r="C3676">
        <v>0</v>
      </c>
      <c r="D3676">
        <v>0</v>
      </c>
      <c r="E3676">
        <v>0</v>
      </c>
      <c r="F3676">
        <v>0</v>
      </c>
      <c r="G3676">
        <v>0</v>
      </c>
    </row>
    <row r="3677" spans="1:7" x14ac:dyDescent="0.2">
      <c r="A3677" t="s">
        <v>1274</v>
      </c>
      <c r="B3677">
        <v>0</v>
      </c>
      <c r="C3677">
        <v>0</v>
      </c>
      <c r="D3677">
        <v>0</v>
      </c>
      <c r="E3677">
        <v>2</v>
      </c>
      <c r="F3677">
        <v>0</v>
      </c>
      <c r="G3677">
        <v>2</v>
      </c>
    </row>
    <row r="3678" spans="1:7" x14ac:dyDescent="0.2">
      <c r="A3678" t="s">
        <v>1277</v>
      </c>
      <c r="B3678">
        <v>0</v>
      </c>
      <c r="C3678">
        <v>0</v>
      </c>
      <c r="D3678">
        <v>0</v>
      </c>
      <c r="E3678">
        <v>15</v>
      </c>
      <c r="F3678">
        <v>0</v>
      </c>
      <c r="G3678">
        <v>15</v>
      </c>
    </row>
    <row r="3679" spans="1:7" x14ac:dyDescent="0.2">
      <c r="A3679" t="s">
        <v>1798</v>
      </c>
      <c r="B3679">
        <v>0</v>
      </c>
      <c r="C3679">
        <v>0</v>
      </c>
      <c r="D3679">
        <v>0</v>
      </c>
      <c r="E3679">
        <v>0</v>
      </c>
      <c r="F3679">
        <v>0</v>
      </c>
      <c r="G3679">
        <v>0</v>
      </c>
    </row>
    <row r="3680" spans="1:7" x14ac:dyDescent="0.2">
      <c r="A3680" t="s">
        <v>1803</v>
      </c>
      <c r="B3680">
        <v>0</v>
      </c>
      <c r="C3680">
        <v>0</v>
      </c>
      <c r="D3680">
        <v>0</v>
      </c>
      <c r="E3680">
        <v>0</v>
      </c>
      <c r="F3680">
        <v>0</v>
      </c>
      <c r="G3680">
        <v>0</v>
      </c>
    </row>
    <row r="3681" spans="1:7" x14ac:dyDescent="0.2">
      <c r="A3681" t="s">
        <v>1808</v>
      </c>
      <c r="B3681">
        <v>0</v>
      </c>
      <c r="C3681">
        <v>0</v>
      </c>
      <c r="D3681">
        <v>0</v>
      </c>
      <c r="E3681">
        <v>0</v>
      </c>
      <c r="F3681">
        <v>0</v>
      </c>
      <c r="G3681">
        <v>0</v>
      </c>
    </row>
    <row r="3682" spans="1:7" x14ac:dyDescent="0.2">
      <c r="A3682" t="s">
        <v>1813</v>
      </c>
      <c r="B3682">
        <v>0</v>
      </c>
      <c r="C3682">
        <v>0</v>
      </c>
      <c r="D3682">
        <v>0</v>
      </c>
      <c r="E3682">
        <v>0</v>
      </c>
      <c r="F3682">
        <v>0</v>
      </c>
      <c r="G3682">
        <v>0</v>
      </c>
    </row>
    <row r="3683" spans="1:7" x14ac:dyDescent="0.2">
      <c r="A3683" t="s">
        <v>1819</v>
      </c>
      <c r="B3683">
        <v>0</v>
      </c>
      <c r="C3683">
        <v>0</v>
      </c>
      <c r="D3683">
        <v>0</v>
      </c>
      <c r="E3683">
        <v>0</v>
      </c>
      <c r="F3683">
        <v>0</v>
      </c>
      <c r="G3683">
        <v>0</v>
      </c>
    </row>
    <row r="3684" spans="1:7" x14ac:dyDescent="0.2">
      <c r="A3684" t="s">
        <v>1826</v>
      </c>
      <c r="B3684">
        <v>0</v>
      </c>
      <c r="C3684">
        <v>0</v>
      </c>
      <c r="D3684">
        <v>0</v>
      </c>
      <c r="E3684">
        <v>0</v>
      </c>
      <c r="F3684">
        <v>0</v>
      </c>
      <c r="G3684">
        <v>0</v>
      </c>
    </row>
    <row r="3685" spans="1:7" x14ac:dyDescent="0.2">
      <c r="A3685" t="s">
        <v>1830</v>
      </c>
      <c r="B3685">
        <v>0</v>
      </c>
      <c r="C3685">
        <v>0</v>
      </c>
      <c r="D3685">
        <v>0</v>
      </c>
      <c r="E3685">
        <v>0</v>
      </c>
      <c r="F3685">
        <v>0</v>
      </c>
      <c r="G3685">
        <v>0</v>
      </c>
    </row>
    <row r="3686" spans="1:7" x14ac:dyDescent="0.2">
      <c r="A3686" t="s">
        <v>1836</v>
      </c>
      <c r="B3686">
        <v>0</v>
      </c>
      <c r="C3686">
        <v>0</v>
      </c>
      <c r="D3686">
        <v>0</v>
      </c>
      <c r="E3686">
        <v>0</v>
      </c>
      <c r="F3686">
        <v>0</v>
      </c>
      <c r="G3686">
        <v>0</v>
      </c>
    </row>
    <row r="3687" spans="1:7" x14ac:dyDescent="0.2">
      <c r="A3687" t="s">
        <v>1841</v>
      </c>
      <c r="B3687">
        <v>0</v>
      </c>
      <c r="C3687">
        <v>0</v>
      </c>
      <c r="D3687">
        <v>0</v>
      </c>
      <c r="E3687">
        <v>0</v>
      </c>
      <c r="F3687">
        <v>0</v>
      </c>
      <c r="G3687">
        <v>0</v>
      </c>
    </row>
    <row r="3688" spans="1:7" x14ac:dyDescent="0.2">
      <c r="A3688" t="s">
        <v>1842</v>
      </c>
      <c r="B3688">
        <v>0</v>
      </c>
      <c r="C3688">
        <v>0</v>
      </c>
      <c r="D3688">
        <v>0</v>
      </c>
      <c r="E3688">
        <v>0</v>
      </c>
      <c r="F3688">
        <v>0</v>
      </c>
      <c r="G3688">
        <v>0</v>
      </c>
    </row>
    <row r="3689" spans="1:7" x14ac:dyDescent="0.2">
      <c r="A3689" t="s">
        <v>1843</v>
      </c>
      <c r="B3689">
        <v>0</v>
      </c>
      <c r="C3689">
        <v>0</v>
      </c>
      <c r="D3689">
        <v>0</v>
      </c>
      <c r="E3689">
        <v>0</v>
      </c>
      <c r="F3689">
        <v>0</v>
      </c>
      <c r="G3689">
        <v>0</v>
      </c>
    </row>
    <row r="3690" spans="1:7" x14ac:dyDescent="0.2">
      <c r="A3690" t="s">
        <v>1846</v>
      </c>
      <c r="B3690">
        <v>0</v>
      </c>
      <c r="C3690">
        <v>0</v>
      </c>
      <c r="D3690">
        <v>0</v>
      </c>
      <c r="E3690">
        <v>0</v>
      </c>
      <c r="F3690">
        <v>0</v>
      </c>
      <c r="G3690">
        <v>0</v>
      </c>
    </row>
    <row r="3691" spans="1:7" x14ac:dyDescent="0.2">
      <c r="A3691" t="s">
        <v>1851</v>
      </c>
      <c r="B3691">
        <v>0</v>
      </c>
      <c r="C3691">
        <v>0</v>
      </c>
      <c r="D3691">
        <v>0</v>
      </c>
      <c r="E3691">
        <v>10</v>
      </c>
      <c r="F3691">
        <v>0</v>
      </c>
      <c r="G3691">
        <v>10</v>
      </c>
    </row>
    <row r="3692" spans="1:7" x14ac:dyDescent="0.2">
      <c r="A3692" t="s">
        <v>1857</v>
      </c>
      <c r="B3692">
        <v>0</v>
      </c>
      <c r="C3692">
        <v>0</v>
      </c>
      <c r="D3692">
        <v>0</v>
      </c>
      <c r="E3692">
        <v>0</v>
      </c>
      <c r="F3692">
        <v>0</v>
      </c>
      <c r="G3692">
        <v>0</v>
      </c>
    </row>
    <row r="3693" spans="1:7" x14ac:dyDescent="0.2">
      <c r="A3693" t="s">
        <v>1862</v>
      </c>
      <c r="B3693">
        <v>0</v>
      </c>
      <c r="C3693">
        <v>0</v>
      </c>
      <c r="D3693">
        <v>0</v>
      </c>
      <c r="E3693">
        <v>0</v>
      </c>
      <c r="F3693">
        <v>0</v>
      </c>
      <c r="G3693">
        <v>0</v>
      </c>
    </row>
    <row r="3694" spans="1:7" x14ac:dyDescent="0.2">
      <c r="A3694" t="s">
        <v>1867</v>
      </c>
      <c r="B3694">
        <v>0</v>
      </c>
      <c r="C3694">
        <v>0</v>
      </c>
      <c r="D3694">
        <v>0</v>
      </c>
      <c r="E3694">
        <v>0</v>
      </c>
      <c r="F3694">
        <v>0</v>
      </c>
      <c r="G3694">
        <v>0</v>
      </c>
    </row>
    <row r="3695" spans="1:7" x14ac:dyDescent="0.2">
      <c r="A3695" t="s">
        <v>1870</v>
      </c>
      <c r="B3695">
        <v>0</v>
      </c>
      <c r="C3695">
        <v>0</v>
      </c>
      <c r="D3695">
        <v>0</v>
      </c>
      <c r="E3695">
        <v>0</v>
      </c>
      <c r="F3695">
        <v>0</v>
      </c>
      <c r="G3695">
        <v>0</v>
      </c>
    </row>
    <row r="3696" spans="1:7" x14ac:dyDescent="0.2">
      <c r="A3696" t="s">
        <v>1874</v>
      </c>
      <c r="B3696">
        <v>0</v>
      </c>
      <c r="C3696">
        <v>0</v>
      </c>
      <c r="D3696">
        <v>0</v>
      </c>
      <c r="E3696">
        <v>0</v>
      </c>
      <c r="F3696">
        <v>0</v>
      </c>
      <c r="G3696">
        <v>0</v>
      </c>
    </row>
    <row r="3697" spans="1:7" x14ac:dyDescent="0.2">
      <c r="A3697" t="s">
        <v>1876</v>
      </c>
      <c r="B3697">
        <v>0</v>
      </c>
      <c r="C3697">
        <v>0</v>
      </c>
      <c r="D3697">
        <v>0</v>
      </c>
      <c r="E3697">
        <v>0</v>
      </c>
      <c r="F3697">
        <v>0</v>
      </c>
      <c r="G3697">
        <v>0</v>
      </c>
    </row>
    <row r="3698" spans="1:7" x14ac:dyDescent="0.2">
      <c r="A3698" t="s">
        <v>1881</v>
      </c>
      <c r="B3698">
        <v>0</v>
      </c>
      <c r="C3698">
        <v>0</v>
      </c>
      <c r="D3698">
        <v>0</v>
      </c>
      <c r="E3698">
        <v>0</v>
      </c>
      <c r="F3698">
        <v>0</v>
      </c>
      <c r="G3698">
        <v>0</v>
      </c>
    </row>
    <row r="3699" spans="1:7" x14ac:dyDescent="0.2">
      <c r="A3699" t="s">
        <v>1885</v>
      </c>
      <c r="B3699">
        <v>0</v>
      </c>
      <c r="C3699">
        <v>0</v>
      </c>
      <c r="D3699">
        <v>0</v>
      </c>
      <c r="E3699">
        <v>0</v>
      </c>
      <c r="F3699">
        <v>3</v>
      </c>
      <c r="G3699">
        <v>3</v>
      </c>
    </row>
    <row r="3700" spans="1:7" x14ac:dyDescent="0.2">
      <c r="A3700" t="s">
        <v>1887</v>
      </c>
      <c r="B3700">
        <v>0</v>
      </c>
      <c r="C3700">
        <v>0</v>
      </c>
      <c r="D3700">
        <v>0</v>
      </c>
      <c r="E3700">
        <v>0</v>
      </c>
      <c r="F3700">
        <v>0</v>
      </c>
      <c r="G3700">
        <v>0</v>
      </c>
    </row>
    <row r="3701" spans="1:7" x14ac:dyDescent="0.2">
      <c r="A3701" t="s">
        <v>1893</v>
      </c>
      <c r="B3701">
        <v>0</v>
      </c>
      <c r="C3701">
        <v>0</v>
      </c>
      <c r="D3701">
        <v>0</v>
      </c>
      <c r="E3701">
        <v>1</v>
      </c>
      <c r="F3701">
        <v>0</v>
      </c>
      <c r="G3701">
        <v>1</v>
      </c>
    </row>
    <row r="3702" spans="1:7" x14ac:dyDescent="0.2">
      <c r="A3702" t="s">
        <v>1899</v>
      </c>
      <c r="B3702">
        <v>0</v>
      </c>
      <c r="C3702">
        <v>0</v>
      </c>
      <c r="D3702">
        <v>0</v>
      </c>
      <c r="E3702">
        <v>0</v>
      </c>
      <c r="F3702">
        <v>0</v>
      </c>
      <c r="G3702">
        <v>0</v>
      </c>
    </row>
    <row r="3703" spans="1:7" x14ac:dyDescent="0.2">
      <c r="A3703" t="s">
        <v>1906</v>
      </c>
      <c r="B3703">
        <v>0</v>
      </c>
      <c r="C3703">
        <v>0</v>
      </c>
      <c r="D3703">
        <v>0</v>
      </c>
      <c r="E3703">
        <v>0</v>
      </c>
      <c r="F3703">
        <v>0</v>
      </c>
      <c r="G3703">
        <v>0</v>
      </c>
    </row>
    <row r="3704" spans="1:7" x14ac:dyDescent="0.2">
      <c r="A3704" t="s">
        <v>1911</v>
      </c>
      <c r="B3704">
        <v>0</v>
      </c>
      <c r="C3704">
        <v>0</v>
      </c>
      <c r="D3704">
        <v>0</v>
      </c>
      <c r="E3704">
        <v>0</v>
      </c>
      <c r="F3704">
        <v>0</v>
      </c>
      <c r="G3704">
        <v>0</v>
      </c>
    </row>
    <row r="3705" spans="1:7" x14ac:dyDescent="0.2">
      <c r="A3705" t="s">
        <v>1917</v>
      </c>
      <c r="B3705">
        <v>0</v>
      </c>
      <c r="C3705">
        <v>0</v>
      </c>
      <c r="D3705">
        <v>0</v>
      </c>
      <c r="E3705">
        <v>0</v>
      </c>
      <c r="F3705">
        <v>0</v>
      </c>
      <c r="G3705">
        <v>0</v>
      </c>
    </row>
    <row r="3706" spans="1:7" x14ac:dyDescent="0.2">
      <c r="A3706" t="s">
        <v>1922</v>
      </c>
      <c r="B3706">
        <v>0</v>
      </c>
      <c r="C3706">
        <v>0</v>
      </c>
      <c r="D3706">
        <v>0</v>
      </c>
      <c r="E3706">
        <v>0</v>
      </c>
      <c r="F3706">
        <v>0</v>
      </c>
      <c r="G3706">
        <v>0</v>
      </c>
    </row>
    <row r="3707" spans="1:7" x14ac:dyDescent="0.2">
      <c r="A3707" t="s">
        <v>1928</v>
      </c>
      <c r="B3707">
        <v>0</v>
      </c>
      <c r="C3707">
        <v>0</v>
      </c>
      <c r="D3707">
        <v>0</v>
      </c>
      <c r="E3707">
        <v>0</v>
      </c>
      <c r="F3707">
        <v>0</v>
      </c>
      <c r="G3707">
        <v>0</v>
      </c>
    </row>
    <row r="3708" spans="1:7" x14ac:dyDescent="0.2">
      <c r="A3708" t="s">
        <v>1932</v>
      </c>
      <c r="B3708">
        <v>0</v>
      </c>
      <c r="C3708">
        <v>0</v>
      </c>
      <c r="D3708">
        <v>0</v>
      </c>
      <c r="E3708">
        <v>0</v>
      </c>
      <c r="F3708">
        <v>0</v>
      </c>
      <c r="G3708">
        <v>0</v>
      </c>
    </row>
    <row r="3709" spans="1:7" x14ac:dyDescent="0.2">
      <c r="A3709" t="s">
        <v>1938</v>
      </c>
      <c r="B3709">
        <v>0</v>
      </c>
      <c r="C3709">
        <v>0</v>
      </c>
      <c r="D3709">
        <v>0</v>
      </c>
      <c r="E3709">
        <v>0</v>
      </c>
      <c r="F3709">
        <v>0</v>
      </c>
      <c r="G3709">
        <v>0</v>
      </c>
    </row>
    <row r="3710" spans="1:7" x14ac:dyDescent="0.2">
      <c r="A3710" t="s">
        <v>1944</v>
      </c>
      <c r="B3710">
        <v>0</v>
      </c>
      <c r="C3710">
        <v>0</v>
      </c>
      <c r="D3710">
        <v>0</v>
      </c>
      <c r="E3710">
        <v>0</v>
      </c>
      <c r="F3710">
        <v>0</v>
      </c>
      <c r="G3710">
        <v>0</v>
      </c>
    </row>
    <row r="3711" spans="1:7" x14ac:dyDescent="0.2">
      <c r="A3711" t="s">
        <v>1947</v>
      </c>
      <c r="B3711">
        <v>0</v>
      </c>
      <c r="C3711">
        <v>0</v>
      </c>
      <c r="D3711">
        <v>0</v>
      </c>
      <c r="E3711">
        <v>0</v>
      </c>
      <c r="F3711">
        <v>0</v>
      </c>
      <c r="G3711">
        <v>0</v>
      </c>
    </row>
    <row r="3712" spans="1:7" x14ac:dyDescent="0.2">
      <c r="A3712" t="s">
        <v>1953</v>
      </c>
      <c r="B3712">
        <v>0</v>
      </c>
      <c r="C3712">
        <v>0</v>
      </c>
      <c r="D3712">
        <v>0</v>
      </c>
      <c r="E3712">
        <v>0</v>
      </c>
      <c r="F3712">
        <v>0</v>
      </c>
      <c r="G3712">
        <v>0</v>
      </c>
    </row>
    <row r="3713" spans="1:7" x14ac:dyDescent="0.2">
      <c r="A3713" t="s">
        <v>1958</v>
      </c>
      <c r="B3713">
        <v>0</v>
      </c>
      <c r="C3713">
        <v>0</v>
      </c>
      <c r="D3713">
        <v>0</v>
      </c>
      <c r="E3713">
        <v>0</v>
      </c>
      <c r="F3713">
        <v>0</v>
      </c>
      <c r="G3713">
        <v>0</v>
      </c>
    </row>
    <row r="3714" spans="1:7" x14ac:dyDescent="0.2">
      <c r="A3714" t="s">
        <v>1964</v>
      </c>
      <c r="B3714">
        <v>0</v>
      </c>
      <c r="C3714">
        <v>0</v>
      </c>
      <c r="D3714">
        <v>0</v>
      </c>
      <c r="E3714">
        <v>0</v>
      </c>
      <c r="F3714">
        <v>0</v>
      </c>
      <c r="G3714">
        <v>0</v>
      </c>
    </row>
    <row r="3715" spans="1:7" x14ac:dyDescent="0.2">
      <c r="A3715" t="s">
        <v>1973</v>
      </c>
      <c r="B3715">
        <v>0</v>
      </c>
      <c r="C3715">
        <v>0</v>
      </c>
      <c r="D3715">
        <v>0</v>
      </c>
      <c r="E3715">
        <v>0</v>
      </c>
      <c r="F3715">
        <v>0</v>
      </c>
      <c r="G3715">
        <v>0</v>
      </c>
    </row>
    <row r="3716" spans="1:7" x14ac:dyDescent="0.2">
      <c r="A3716" t="s">
        <v>1978</v>
      </c>
      <c r="B3716">
        <v>0</v>
      </c>
      <c r="C3716">
        <v>0</v>
      </c>
      <c r="D3716">
        <v>0</v>
      </c>
      <c r="E3716">
        <v>0</v>
      </c>
      <c r="F3716">
        <v>0</v>
      </c>
      <c r="G3716">
        <v>0</v>
      </c>
    </row>
    <row r="3717" spans="1:7" x14ac:dyDescent="0.2">
      <c r="A3717" t="s">
        <v>1983</v>
      </c>
      <c r="B3717">
        <v>0</v>
      </c>
      <c r="C3717">
        <v>0</v>
      </c>
      <c r="D3717">
        <v>0</v>
      </c>
      <c r="E3717">
        <v>0</v>
      </c>
      <c r="F3717">
        <v>0</v>
      </c>
      <c r="G3717">
        <v>0</v>
      </c>
    </row>
    <row r="3718" spans="1:7" x14ac:dyDescent="0.2">
      <c r="A3718" t="s">
        <v>1984</v>
      </c>
      <c r="B3718">
        <v>0</v>
      </c>
      <c r="C3718">
        <v>0</v>
      </c>
      <c r="D3718">
        <v>0</v>
      </c>
      <c r="E3718">
        <v>0</v>
      </c>
      <c r="F3718">
        <v>0</v>
      </c>
      <c r="G3718">
        <v>0</v>
      </c>
    </row>
    <row r="3719" spans="1:7" x14ac:dyDescent="0.2">
      <c r="A3719" t="s">
        <v>1990</v>
      </c>
      <c r="B3719">
        <v>0</v>
      </c>
      <c r="C3719">
        <v>0</v>
      </c>
      <c r="D3719">
        <v>0</v>
      </c>
      <c r="E3719">
        <v>0</v>
      </c>
      <c r="F3719">
        <v>0</v>
      </c>
      <c r="G3719">
        <v>0</v>
      </c>
    </row>
    <row r="3720" spans="1:7" x14ac:dyDescent="0.2">
      <c r="A3720" t="s">
        <v>1996</v>
      </c>
      <c r="B3720">
        <v>0</v>
      </c>
      <c r="C3720">
        <v>0</v>
      </c>
      <c r="D3720">
        <v>0</v>
      </c>
      <c r="E3720">
        <v>0</v>
      </c>
      <c r="F3720">
        <v>0</v>
      </c>
      <c r="G3720">
        <v>0</v>
      </c>
    </row>
    <row r="3721" spans="1:7" x14ac:dyDescent="0.2">
      <c r="A3721" t="s">
        <v>1998</v>
      </c>
      <c r="B3721">
        <v>0</v>
      </c>
      <c r="C3721">
        <v>0</v>
      </c>
      <c r="D3721">
        <v>0</v>
      </c>
      <c r="E3721">
        <v>0</v>
      </c>
      <c r="F3721">
        <v>0</v>
      </c>
      <c r="G3721">
        <v>0</v>
      </c>
    </row>
    <row r="3722" spans="1:7" x14ac:dyDescent="0.2">
      <c r="A3722" t="s">
        <v>1999</v>
      </c>
      <c r="B3722">
        <v>0</v>
      </c>
      <c r="C3722">
        <v>0</v>
      </c>
      <c r="D3722">
        <v>0</v>
      </c>
      <c r="E3722">
        <v>0</v>
      </c>
      <c r="F3722">
        <v>0</v>
      </c>
      <c r="G3722">
        <v>0</v>
      </c>
    </row>
    <row r="3723" spans="1:7" x14ac:dyDescent="0.2">
      <c r="A3723" t="s">
        <v>2004</v>
      </c>
      <c r="B3723">
        <v>0</v>
      </c>
      <c r="C3723">
        <v>0</v>
      </c>
      <c r="D3723">
        <v>0</v>
      </c>
      <c r="E3723">
        <v>0</v>
      </c>
      <c r="F3723">
        <v>0</v>
      </c>
      <c r="G3723">
        <v>0</v>
      </c>
    </row>
    <row r="3724" spans="1:7" x14ac:dyDescent="0.2">
      <c r="A3724" t="s">
        <v>2009</v>
      </c>
      <c r="B3724">
        <v>0</v>
      </c>
      <c r="C3724">
        <v>0</v>
      </c>
      <c r="D3724">
        <v>0</v>
      </c>
      <c r="E3724">
        <v>0</v>
      </c>
      <c r="F3724">
        <v>0</v>
      </c>
      <c r="G3724">
        <v>0</v>
      </c>
    </row>
    <row r="3725" spans="1:7" x14ac:dyDescent="0.2">
      <c r="A3725" t="s">
        <v>2014</v>
      </c>
      <c r="B3725">
        <v>0</v>
      </c>
      <c r="C3725">
        <v>0</v>
      </c>
      <c r="D3725">
        <v>0</v>
      </c>
      <c r="E3725">
        <v>0</v>
      </c>
      <c r="F3725">
        <v>0</v>
      </c>
      <c r="G3725">
        <v>0</v>
      </c>
    </row>
    <row r="3726" spans="1:7" x14ac:dyDescent="0.2">
      <c r="A3726" t="s">
        <v>2019</v>
      </c>
      <c r="B3726">
        <v>0</v>
      </c>
      <c r="C3726">
        <v>0</v>
      </c>
      <c r="D3726">
        <v>0</v>
      </c>
      <c r="E3726">
        <v>0</v>
      </c>
      <c r="F3726">
        <v>0</v>
      </c>
      <c r="G3726">
        <v>0</v>
      </c>
    </row>
    <row r="3727" spans="1:7" x14ac:dyDescent="0.2">
      <c r="A3727" t="s">
        <v>2023</v>
      </c>
      <c r="B3727">
        <v>0</v>
      </c>
      <c r="C3727">
        <v>0</v>
      </c>
      <c r="D3727">
        <v>0</v>
      </c>
      <c r="E3727">
        <v>0</v>
      </c>
      <c r="F3727">
        <v>0</v>
      </c>
      <c r="G3727">
        <v>0</v>
      </c>
    </row>
    <row r="3728" spans="1:7" x14ac:dyDescent="0.2">
      <c r="A3728" t="s">
        <v>2026</v>
      </c>
      <c r="B3728">
        <v>0</v>
      </c>
      <c r="C3728">
        <v>0</v>
      </c>
      <c r="D3728">
        <v>0</v>
      </c>
      <c r="E3728">
        <v>0</v>
      </c>
      <c r="F3728">
        <v>0</v>
      </c>
      <c r="G3728">
        <v>0</v>
      </c>
    </row>
    <row r="3729" spans="1:7" x14ac:dyDescent="0.2">
      <c r="A3729" t="s">
        <v>2030</v>
      </c>
      <c r="B3729">
        <v>0</v>
      </c>
      <c r="C3729">
        <v>0</v>
      </c>
      <c r="D3729">
        <v>0</v>
      </c>
      <c r="E3729">
        <v>0</v>
      </c>
      <c r="F3729">
        <v>0</v>
      </c>
      <c r="G3729">
        <v>0</v>
      </c>
    </row>
    <row r="3730" spans="1:7" x14ac:dyDescent="0.2">
      <c r="A3730" t="s">
        <v>2035</v>
      </c>
      <c r="B3730">
        <v>0</v>
      </c>
      <c r="C3730">
        <v>0</v>
      </c>
      <c r="D3730">
        <v>0</v>
      </c>
      <c r="E3730">
        <v>0</v>
      </c>
      <c r="F3730">
        <v>0</v>
      </c>
      <c r="G3730">
        <v>0</v>
      </c>
    </row>
    <row r="3731" spans="1:7" x14ac:dyDescent="0.2">
      <c r="A3731" t="s">
        <v>2040</v>
      </c>
      <c r="B3731">
        <v>0</v>
      </c>
      <c r="C3731">
        <v>0</v>
      </c>
      <c r="D3731">
        <v>0</v>
      </c>
      <c r="E3731">
        <v>0</v>
      </c>
      <c r="F3731">
        <v>0</v>
      </c>
      <c r="G3731">
        <v>0</v>
      </c>
    </row>
    <row r="3732" spans="1:7" x14ac:dyDescent="0.2">
      <c r="A3732" t="s">
        <v>2045</v>
      </c>
      <c r="B3732">
        <v>0</v>
      </c>
      <c r="C3732">
        <v>0</v>
      </c>
      <c r="D3732">
        <v>0</v>
      </c>
      <c r="E3732">
        <v>0</v>
      </c>
      <c r="F3732">
        <v>0</v>
      </c>
      <c r="G3732">
        <v>0</v>
      </c>
    </row>
    <row r="3733" spans="1:7" x14ac:dyDescent="0.2">
      <c r="A3733" t="s">
        <v>2049</v>
      </c>
      <c r="B3733">
        <v>0</v>
      </c>
      <c r="C3733">
        <v>0</v>
      </c>
      <c r="D3733">
        <v>0</v>
      </c>
      <c r="E3733">
        <v>0</v>
      </c>
      <c r="F3733">
        <v>0</v>
      </c>
      <c r="G3733">
        <v>0</v>
      </c>
    </row>
    <row r="3734" spans="1:7" x14ac:dyDescent="0.2">
      <c r="A3734" t="s">
        <v>2051</v>
      </c>
      <c r="B3734">
        <v>0</v>
      </c>
      <c r="C3734">
        <v>0</v>
      </c>
      <c r="D3734">
        <v>0</v>
      </c>
      <c r="E3734">
        <v>0</v>
      </c>
      <c r="F3734">
        <v>7</v>
      </c>
      <c r="G3734">
        <v>7</v>
      </c>
    </row>
    <row r="3735" spans="1:7" x14ac:dyDescent="0.2">
      <c r="A3735" t="s">
        <v>2057</v>
      </c>
      <c r="B3735">
        <v>0</v>
      </c>
      <c r="C3735">
        <v>0</v>
      </c>
      <c r="D3735">
        <v>0</v>
      </c>
      <c r="E3735">
        <v>0</v>
      </c>
      <c r="F3735">
        <v>11</v>
      </c>
      <c r="G3735">
        <v>11</v>
      </c>
    </row>
    <row r="3736" spans="1:7" x14ac:dyDescent="0.2">
      <c r="A3736" t="s">
        <v>4344</v>
      </c>
      <c r="B3736">
        <v>0</v>
      </c>
      <c r="C3736">
        <v>0</v>
      </c>
      <c r="D3736">
        <v>0</v>
      </c>
      <c r="E3736">
        <v>0</v>
      </c>
      <c r="F3736">
        <v>0</v>
      </c>
      <c r="G3736">
        <v>0</v>
      </c>
    </row>
    <row r="3737" spans="1:7" x14ac:dyDescent="0.2">
      <c r="A3737" t="s">
        <v>4345</v>
      </c>
      <c r="B3737">
        <v>0</v>
      </c>
      <c r="C3737">
        <v>0</v>
      </c>
      <c r="D3737">
        <v>0</v>
      </c>
      <c r="E3737">
        <v>0</v>
      </c>
      <c r="F3737">
        <v>0</v>
      </c>
      <c r="G3737">
        <v>0</v>
      </c>
    </row>
    <row r="3738" spans="1:7" x14ac:dyDescent="0.2">
      <c r="A3738" t="s">
        <v>2074</v>
      </c>
      <c r="B3738">
        <v>0</v>
      </c>
      <c r="C3738">
        <v>0</v>
      </c>
      <c r="D3738">
        <v>0</v>
      </c>
      <c r="E3738">
        <v>0</v>
      </c>
      <c r="F3738">
        <v>0</v>
      </c>
      <c r="G3738">
        <v>0</v>
      </c>
    </row>
    <row r="3739" spans="1:7" x14ac:dyDescent="0.2">
      <c r="A3739" t="s">
        <v>2079</v>
      </c>
      <c r="B3739">
        <v>0</v>
      </c>
      <c r="C3739">
        <v>0</v>
      </c>
      <c r="D3739">
        <v>0</v>
      </c>
      <c r="E3739">
        <v>0</v>
      </c>
      <c r="F3739">
        <v>0</v>
      </c>
      <c r="G3739">
        <v>0</v>
      </c>
    </row>
    <row r="3740" spans="1:7" x14ac:dyDescent="0.2">
      <c r="A3740" t="s">
        <v>2085</v>
      </c>
      <c r="B3740">
        <v>0</v>
      </c>
      <c r="C3740">
        <v>0</v>
      </c>
      <c r="D3740">
        <v>0</v>
      </c>
      <c r="E3740">
        <v>0</v>
      </c>
      <c r="F3740">
        <v>0</v>
      </c>
      <c r="G3740">
        <v>0</v>
      </c>
    </row>
    <row r="3741" spans="1:7" x14ac:dyDescent="0.2">
      <c r="A3741" t="s">
        <v>2091</v>
      </c>
      <c r="B3741">
        <v>0</v>
      </c>
      <c r="C3741">
        <v>0</v>
      </c>
      <c r="D3741">
        <v>0</v>
      </c>
      <c r="E3741">
        <v>0</v>
      </c>
      <c r="F3741">
        <v>0</v>
      </c>
      <c r="G3741">
        <v>0</v>
      </c>
    </row>
    <row r="3742" spans="1:7" x14ac:dyDescent="0.2">
      <c r="A3742" t="s">
        <v>2097</v>
      </c>
      <c r="B3742">
        <v>0</v>
      </c>
      <c r="C3742">
        <v>0</v>
      </c>
      <c r="D3742">
        <v>0</v>
      </c>
      <c r="E3742">
        <v>0</v>
      </c>
      <c r="F3742">
        <v>0</v>
      </c>
      <c r="G3742">
        <v>0</v>
      </c>
    </row>
    <row r="3743" spans="1:7" x14ac:dyDescent="0.2">
      <c r="A3743" t="s">
        <v>2101</v>
      </c>
      <c r="B3743">
        <v>0</v>
      </c>
      <c r="C3743">
        <v>0</v>
      </c>
      <c r="D3743">
        <v>0</v>
      </c>
      <c r="E3743">
        <v>0</v>
      </c>
      <c r="F3743">
        <v>0</v>
      </c>
      <c r="G3743">
        <v>0</v>
      </c>
    </row>
    <row r="3744" spans="1:7" x14ac:dyDescent="0.2">
      <c r="A3744" t="s">
        <v>2104</v>
      </c>
      <c r="B3744">
        <v>0</v>
      </c>
      <c r="C3744">
        <v>0</v>
      </c>
      <c r="D3744">
        <v>0</v>
      </c>
      <c r="E3744">
        <v>0</v>
      </c>
      <c r="F3744">
        <v>0</v>
      </c>
      <c r="G3744">
        <v>0</v>
      </c>
    </row>
    <row r="3745" spans="1:7" x14ac:dyDescent="0.2">
      <c r="A3745" t="s">
        <v>2107</v>
      </c>
      <c r="B3745">
        <v>0</v>
      </c>
      <c r="C3745">
        <v>0</v>
      </c>
      <c r="D3745">
        <v>0</v>
      </c>
      <c r="E3745">
        <v>0</v>
      </c>
      <c r="F3745">
        <v>0</v>
      </c>
      <c r="G3745">
        <v>0</v>
      </c>
    </row>
    <row r="3746" spans="1:7" x14ac:dyDescent="0.2">
      <c r="A3746" t="s">
        <v>2110</v>
      </c>
      <c r="B3746">
        <v>0</v>
      </c>
      <c r="C3746">
        <v>0</v>
      </c>
      <c r="D3746">
        <v>0</v>
      </c>
      <c r="E3746">
        <v>0</v>
      </c>
      <c r="F3746">
        <v>0</v>
      </c>
      <c r="G3746">
        <v>0</v>
      </c>
    </row>
    <row r="3747" spans="1:7" x14ac:dyDescent="0.2">
      <c r="A3747" t="s">
        <v>2113</v>
      </c>
      <c r="B3747">
        <v>0</v>
      </c>
      <c r="C3747">
        <v>0</v>
      </c>
      <c r="D3747">
        <v>0</v>
      </c>
      <c r="E3747">
        <v>0</v>
      </c>
      <c r="F3747">
        <v>0</v>
      </c>
      <c r="G3747">
        <v>0</v>
      </c>
    </row>
    <row r="3748" spans="1:7" x14ac:dyDescent="0.2">
      <c r="A3748" t="s">
        <v>4346</v>
      </c>
      <c r="B3748">
        <v>0</v>
      </c>
      <c r="C3748">
        <v>0</v>
      </c>
      <c r="D3748">
        <v>0</v>
      </c>
      <c r="E3748">
        <v>0</v>
      </c>
      <c r="F3748">
        <v>0</v>
      </c>
      <c r="G3748">
        <v>0</v>
      </c>
    </row>
    <row r="3749" spans="1:7" x14ac:dyDescent="0.2">
      <c r="A3749" t="s">
        <v>4347</v>
      </c>
      <c r="B3749">
        <v>0</v>
      </c>
      <c r="C3749">
        <v>0</v>
      </c>
      <c r="D3749">
        <v>0</v>
      </c>
      <c r="E3749">
        <v>0</v>
      </c>
      <c r="F3749">
        <v>0</v>
      </c>
      <c r="G3749">
        <v>0</v>
      </c>
    </row>
    <row r="3750" spans="1:7" x14ac:dyDescent="0.2">
      <c r="A3750" t="s">
        <v>4348</v>
      </c>
      <c r="B3750">
        <v>0</v>
      </c>
      <c r="C3750">
        <v>0</v>
      </c>
      <c r="D3750">
        <v>0</v>
      </c>
      <c r="E3750">
        <v>0</v>
      </c>
      <c r="F3750">
        <v>0</v>
      </c>
      <c r="G3750">
        <v>0</v>
      </c>
    </row>
    <row r="3751" spans="1:7" x14ac:dyDescent="0.2">
      <c r="A3751" t="s">
        <v>4349</v>
      </c>
      <c r="B3751">
        <v>0</v>
      </c>
      <c r="C3751">
        <v>0</v>
      </c>
      <c r="D3751">
        <v>0</v>
      </c>
      <c r="E3751">
        <v>0</v>
      </c>
      <c r="F3751">
        <v>0</v>
      </c>
      <c r="G3751">
        <v>0</v>
      </c>
    </row>
    <row r="3752" spans="1:7" x14ac:dyDescent="0.2">
      <c r="A3752" t="s">
        <v>4350</v>
      </c>
      <c r="B3752">
        <v>0</v>
      </c>
      <c r="C3752">
        <v>10</v>
      </c>
      <c r="D3752">
        <v>65</v>
      </c>
      <c r="E3752">
        <v>0</v>
      </c>
      <c r="F3752">
        <v>0</v>
      </c>
      <c r="G3752">
        <v>75</v>
      </c>
    </row>
    <row r="3753" spans="1:7" x14ac:dyDescent="0.2">
      <c r="A3753" t="s">
        <v>4351</v>
      </c>
      <c r="B3753">
        <v>0</v>
      </c>
      <c r="C3753">
        <v>0</v>
      </c>
      <c r="D3753">
        <v>0</v>
      </c>
      <c r="E3753">
        <v>0</v>
      </c>
      <c r="F3753">
        <v>0</v>
      </c>
      <c r="G3753">
        <v>0</v>
      </c>
    </row>
    <row r="3754" spans="1:7" x14ac:dyDescent="0.2">
      <c r="A3754" t="s">
        <v>4352</v>
      </c>
      <c r="B3754">
        <v>0</v>
      </c>
      <c r="C3754">
        <v>0</v>
      </c>
      <c r="D3754">
        <v>0</v>
      </c>
      <c r="E3754">
        <v>0</v>
      </c>
      <c r="F3754">
        <v>0</v>
      </c>
      <c r="G3754">
        <v>0</v>
      </c>
    </row>
    <row r="3755" spans="1:7" x14ac:dyDescent="0.2">
      <c r="A3755" t="s">
        <v>4353</v>
      </c>
      <c r="B3755">
        <v>0</v>
      </c>
      <c r="C3755">
        <v>43</v>
      </c>
      <c r="D3755">
        <v>45</v>
      </c>
      <c r="E3755">
        <v>2</v>
      </c>
      <c r="F3755">
        <v>0</v>
      </c>
      <c r="G3755">
        <v>91</v>
      </c>
    </row>
    <row r="3756" spans="1:7" x14ac:dyDescent="0.2">
      <c r="A3756" t="s">
        <v>4354</v>
      </c>
      <c r="B3756">
        <v>2</v>
      </c>
      <c r="C3756">
        <v>25</v>
      </c>
      <c r="D3756">
        <v>15</v>
      </c>
      <c r="E3756">
        <v>0</v>
      </c>
      <c r="F3756">
        <v>0</v>
      </c>
      <c r="G3756">
        <v>42</v>
      </c>
    </row>
    <row r="3757" spans="1:7" x14ac:dyDescent="0.2">
      <c r="A3757" t="s">
        <v>4355</v>
      </c>
      <c r="B3757">
        <v>0</v>
      </c>
      <c r="C3757">
        <v>0</v>
      </c>
      <c r="D3757">
        <v>0</v>
      </c>
      <c r="E3757">
        <v>0</v>
      </c>
      <c r="F3757">
        <v>0</v>
      </c>
      <c r="G3757">
        <v>0</v>
      </c>
    </row>
    <row r="3758" spans="1:7" x14ac:dyDescent="0.2">
      <c r="A3758" t="s">
        <v>4356</v>
      </c>
      <c r="B3758">
        <v>0</v>
      </c>
      <c r="C3758">
        <v>0</v>
      </c>
      <c r="D3758">
        <v>0</v>
      </c>
      <c r="E3758">
        <v>0</v>
      </c>
      <c r="F3758">
        <v>0</v>
      </c>
      <c r="G3758">
        <v>0</v>
      </c>
    </row>
    <row r="3759" spans="1:7" x14ac:dyDescent="0.2">
      <c r="A3759" t="s">
        <v>4357</v>
      </c>
      <c r="B3759">
        <v>0</v>
      </c>
      <c r="C3759">
        <v>5</v>
      </c>
      <c r="D3759">
        <v>3</v>
      </c>
      <c r="E3759">
        <v>0</v>
      </c>
      <c r="F3759">
        <v>0</v>
      </c>
      <c r="G3759">
        <v>8</v>
      </c>
    </row>
    <row r="3760" spans="1:7" x14ac:dyDescent="0.2">
      <c r="A3760" t="s">
        <v>4358</v>
      </c>
      <c r="B3760">
        <v>0</v>
      </c>
      <c r="C3760">
        <v>1</v>
      </c>
      <c r="D3760">
        <v>0</v>
      </c>
      <c r="E3760">
        <v>0</v>
      </c>
      <c r="F3760">
        <v>0</v>
      </c>
      <c r="G3760">
        <v>1</v>
      </c>
    </row>
    <row r="3761" spans="1:7" x14ac:dyDescent="0.2">
      <c r="A3761" t="s">
        <v>4359</v>
      </c>
      <c r="B3761">
        <v>0</v>
      </c>
      <c r="C3761">
        <v>0</v>
      </c>
      <c r="D3761">
        <v>0</v>
      </c>
      <c r="E3761">
        <v>0</v>
      </c>
      <c r="F3761">
        <v>0</v>
      </c>
      <c r="G3761">
        <v>0</v>
      </c>
    </row>
    <row r="3762" spans="1:7" x14ac:dyDescent="0.2">
      <c r="A3762" t="s">
        <v>4360</v>
      </c>
      <c r="B3762">
        <v>0</v>
      </c>
      <c r="C3762">
        <v>0</v>
      </c>
      <c r="D3762">
        <v>0</v>
      </c>
      <c r="E3762">
        <v>0</v>
      </c>
      <c r="F3762">
        <v>0</v>
      </c>
      <c r="G3762">
        <v>0</v>
      </c>
    </row>
    <row r="3763" spans="1:7" x14ac:dyDescent="0.2">
      <c r="A3763" t="s">
        <v>4361</v>
      </c>
      <c r="B3763">
        <v>0</v>
      </c>
      <c r="C3763">
        <v>0</v>
      </c>
      <c r="D3763">
        <v>9</v>
      </c>
      <c r="E3763">
        <v>0</v>
      </c>
      <c r="F3763">
        <v>0</v>
      </c>
      <c r="G3763">
        <v>10</v>
      </c>
    </row>
    <row r="3764" spans="1:7" x14ac:dyDescent="0.2">
      <c r="A3764" t="s">
        <v>4362</v>
      </c>
      <c r="B3764">
        <v>0</v>
      </c>
      <c r="C3764">
        <v>0</v>
      </c>
      <c r="D3764">
        <v>0</v>
      </c>
      <c r="E3764">
        <v>0</v>
      </c>
      <c r="F3764">
        <v>0</v>
      </c>
      <c r="G3764">
        <v>0</v>
      </c>
    </row>
    <row r="3765" spans="1:7" x14ac:dyDescent="0.2">
      <c r="A3765" t="s">
        <v>4363</v>
      </c>
      <c r="B3765">
        <v>0</v>
      </c>
      <c r="C3765">
        <v>0</v>
      </c>
      <c r="D3765">
        <v>0</v>
      </c>
      <c r="E3765">
        <v>0</v>
      </c>
      <c r="F3765">
        <v>0</v>
      </c>
      <c r="G3765">
        <v>0</v>
      </c>
    </row>
    <row r="3766" spans="1:7" x14ac:dyDescent="0.2">
      <c r="A3766" t="s">
        <v>4364</v>
      </c>
      <c r="B3766">
        <v>0</v>
      </c>
      <c r="C3766">
        <v>0</v>
      </c>
      <c r="D3766">
        <v>0</v>
      </c>
      <c r="E3766">
        <v>0</v>
      </c>
      <c r="F3766">
        <v>0</v>
      </c>
      <c r="G3766">
        <v>0</v>
      </c>
    </row>
    <row r="3767" spans="1:7" x14ac:dyDescent="0.2">
      <c r="A3767" t="s">
        <v>4365</v>
      </c>
      <c r="B3767">
        <v>0</v>
      </c>
      <c r="C3767">
        <v>2</v>
      </c>
      <c r="D3767">
        <v>3</v>
      </c>
      <c r="E3767">
        <v>0</v>
      </c>
      <c r="F3767">
        <v>0</v>
      </c>
      <c r="G3767">
        <v>4</v>
      </c>
    </row>
    <row r="3768" spans="1:7" x14ac:dyDescent="0.2">
      <c r="A3768" t="s">
        <v>4366</v>
      </c>
      <c r="B3768">
        <v>0</v>
      </c>
      <c r="C3768">
        <v>0</v>
      </c>
      <c r="D3768">
        <v>0</v>
      </c>
      <c r="E3768">
        <v>0</v>
      </c>
      <c r="F3768">
        <v>0</v>
      </c>
      <c r="G3768">
        <v>0</v>
      </c>
    </row>
    <row r="3769" spans="1:7" x14ac:dyDescent="0.2">
      <c r="A3769" t="s">
        <v>4367</v>
      </c>
      <c r="B3769">
        <v>0</v>
      </c>
      <c r="C3769">
        <v>0</v>
      </c>
      <c r="D3769">
        <v>0</v>
      </c>
      <c r="E3769">
        <v>0</v>
      </c>
      <c r="F3769">
        <v>0</v>
      </c>
      <c r="G3769">
        <v>0</v>
      </c>
    </row>
    <row r="3770" spans="1:7" x14ac:dyDescent="0.2">
      <c r="A3770" t="s">
        <v>4368</v>
      </c>
      <c r="B3770">
        <v>0</v>
      </c>
      <c r="C3770">
        <v>1</v>
      </c>
      <c r="D3770">
        <v>4</v>
      </c>
      <c r="E3770">
        <v>4</v>
      </c>
      <c r="F3770">
        <v>0</v>
      </c>
      <c r="G3770">
        <v>9</v>
      </c>
    </row>
    <row r="3771" spans="1:7" x14ac:dyDescent="0.2">
      <c r="A3771" t="s">
        <v>4369</v>
      </c>
      <c r="B3771">
        <v>0</v>
      </c>
      <c r="C3771">
        <v>36</v>
      </c>
      <c r="D3771">
        <v>86</v>
      </c>
      <c r="E3771">
        <v>22</v>
      </c>
      <c r="F3771">
        <v>0</v>
      </c>
      <c r="G3771">
        <v>144</v>
      </c>
    </row>
    <row r="3772" spans="1:7" x14ac:dyDescent="0.2">
      <c r="A3772" t="s">
        <v>4370</v>
      </c>
      <c r="B3772">
        <v>0</v>
      </c>
      <c r="C3772">
        <v>0</v>
      </c>
      <c r="D3772">
        <v>0</v>
      </c>
      <c r="E3772">
        <v>0</v>
      </c>
      <c r="F3772">
        <v>0</v>
      </c>
      <c r="G3772">
        <v>0</v>
      </c>
    </row>
    <row r="3773" spans="1:7" x14ac:dyDescent="0.2">
      <c r="A3773" t="s">
        <v>4371</v>
      </c>
      <c r="B3773">
        <v>0</v>
      </c>
      <c r="C3773">
        <v>0</v>
      </c>
      <c r="D3773">
        <v>0</v>
      </c>
      <c r="E3773">
        <v>0</v>
      </c>
      <c r="F3773">
        <v>0</v>
      </c>
      <c r="G3773">
        <v>0</v>
      </c>
    </row>
    <row r="3774" spans="1:7" x14ac:dyDescent="0.2">
      <c r="A3774" t="s">
        <v>4372</v>
      </c>
      <c r="B3774">
        <v>0</v>
      </c>
      <c r="C3774">
        <v>0</v>
      </c>
      <c r="D3774">
        <v>0</v>
      </c>
      <c r="E3774">
        <v>0</v>
      </c>
      <c r="F3774">
        <v>0</v>
      </c>
      <c r="G3774">
        <v>0</v>
      </c>
    </row>
    <row r="3775" spans="1:7" x14ac:dyDescent="0.2">
      <c r="A3775" t="s">
        <v>4373</v>
      </c>
      <c r="B3775">
        <v>0</v>
      </c>
      <c r="C3775">
        <v>12</v>
      </c>
      <c r="D3775">
        <v>5</v>
      </c>
      <c r="E3775">
        <v>0</v>
      </c>
      <c r="F3775">
        <v>0</v>
      </c>
      <c r="G3775">
        <v>17</v>
      </c>
    </row>
    <row r="3776" spans="1:7" x14ac:dyDescent="0.2">
      <c r="A3776" t="s">
        <v>4374</v>
      </c>
      <c r="B3776">
        <v>0</v>
      </c>
      <c r="C3776">
        <v>0</v>
      </c>
      <c r="D3776">
        <v>1</v>
      </c>
      <c r="E3776">
        <v>0</v>
      </c>
      <c r="F3776">
        <v>0</v>
      </c>
      <c r="G3776">
        <v>1</v>
      </c>
    </row>
    <row r="3777" spans="1:10" x14ac:dyDescent="0.2">
      <c r="A3777" t="s">
        <v>4375</v>
      </c>
      <c r="B3777">
        <v>0</v>
      </c>
      <c r="C3777">
        <v>2</v>
      </c>
      <c r="D3777">
        <v>6</v>
      </c>
      <c r="E3777">
        <v>5</v>
      </c>
      <c r="F3777">
        <v>0</v>
      </c>
      <c r="G3777">
        <v>13</v>
      </c>
    </row>
    <row r="3778" spans="1:10" x14ac:dyDescent="0.2">
      <c r="A3778" t="s">
        <v>4376</v>
      </c>
      <c r="B3778">
        <v>0</v>
      </c>
      <c r="C3778">
        <v>0</v>
      </c>
      <c r="D3778">
        <v>0</v>
      </c>
      <c r="E3778">
        <v>0</v>
      </c>
      <c r="F3778">
        <v>0</v>
      </c>
      <c r="G3778">
        <v>0</v>
      </c>
    </row>
    <row r="3779" spans="1:10" x14ac:dyDescent="0.2">
      <c r="A3779" t="s">
        <v>4377</v>
      </c>
      <c r="B3779">
        <v>0</v>
      </c>
      <c r="C3779">
        <v>2</v>
      </c>
      <c r="D3779">
        <v>0</v>
      </c>
      <c r="E3779">
        <v>0</v>
      </c>
      <c r="F3779">
        <v>0</v>
      </c>
      <c r="G3779">
        <v>2</v>
      </c>
    </row>
    <row r="3780" spans="1:10" x14ac:dyDescent="0.2">
      <c r="A3780" t="s">
        <v>2318</v>
      </c>
      <c r="B3780" t="s">
        <v>2319</v>
      </c>
      <c r="C3780" t="s">
        <v>2319</v>
      </c>
      <c r="D3780" t="s">
        <v>2319</v>
      </c>
      <c r="E3780" t="s">
        <v>2319</v>
      </c>
      <c r="F3780" t="s">
        <v>2319</v>
      </c>
      <c r="G3780" t="s">
        <v>2319</v>
      </c>
    </row>
    <row r="3781" spans="1:10" x14ac:dyDescent="0.2">
      <c r="A3781" t="s">
        <v>4248</v>
      </c>
    </row>
    <row r="3782" spans="1:10" x14ac:dyDescent="0.2">
      <c r="A3782" t="s">
        <v>4250</v>
      </c>
      <c r="C3782" t="s">
        <v>4251</v>
      </c>
      <c r="G3782" t="s">
        <v>7531</v>
      </c>
      <c r="J3782"/>
    </row>
    <row r="3783" spans="1:10" x14ac:dyDescent="0.2">
      <c r="A3783" t="s">
        <v>4925</v>
      </c>
      <c r="G3783" t="s">
        <v>7539</v>
      </c>
      <c r="J3783"/>
    </row>
    <row r="3784" spans="1:10" x14ac:dyDescent="0.2">
      <c r="A3784" t="s">
        <v>7530</v>
      </c>
      <c r="J3784"/>
    </row>
    <row r="3785" spans="1:10" x14ac:dyDescent="0.2">
      <c r="A3785" t="s">
        <v>4983</v>
      </c>
      <c r="J3785"/>
    </row>
    <row r="3786" spans="1:10" x14ac:dyDescent="0.2">
      <c r="J3786"/>
    </row>
    <row r="3787" spans="1:10" x14ac:dyDescent="0.2">
      <c r="A3787" t="s">
        <v>4259</v>
      </c>
      <c r="J3787"/>
    </row>
    <row r="3788" spans="1:10" x14ac:dyDescent="0.2">
      <c r="A3788" t="s">
        <v>2318</v>
      </c>
      <c r="B3788" t="s">
        <v>2319</v>
      </c>
      <c r="C3788" t="s">
        <v>2319</v>
      </c>
      <c r="D3788" t="s">
        <v>2319</v>
      </c>
      <c r="E3788" t="s">
        <v>2319</v>
      </c>
      <c r="F3788" t="s">
        <v>2319</v>
      </c>
      <c r="G3788" t="s">
        <v>2319</v>
      </c>
    </row>
    <row r="3789" spans="1:10" x14ac:dyDescent="0.2">
      <c r="A3789" t="s">
        <v>174</v>
      </c>
      <c r="B3789" t="s">
        <v>4945</v>
      </c>
      <c r="C3789" t="s">
        <v>4946</v>
      </c>
      <c r="D3789" t="s">
        <v>4947</v>
      </c>
      <c r="E3789" t="s">
        <v>4948</v>
      </c>
      <c r="F3789" t="s">
        <v>4949</v>
      </c>
    </row>
    <row r="3790" spans="1:10" x14ac:dyDescent="0.2">
      <c r="A3790" t="s">
        <v>126</v>
      </c>
      <c r="B3790" t="s">
        <v>4262</v>
      </c>
      <c r="C3790" t="s">
        <v>4263</v>
      </c>
      <c r="D3790" t="s">
        <v>4264</v>
      </c>
      <c r="E3790" t="s">
        <v>2308</v>
      </c>
      <c r="F3790" t="s">
        <v>615</v>
      </c>
      <c r="G3790" t="s">
        <v>236</v>
      </c>
    </row>
    <row r="3791" spans="1:10" x14ac:dyDescent="0.2">
      <c r="A3791" t="s">
        <v>2318</v>
      </c>
      <c r="B3791" t="s">
        <v>2319</v>
      </c>
      <c r="C3791" t="s">
        <v>2319</v>
      </c>
      <c r="D3791" t="s">
        <v>2319</v>
      </c>
      <c r="E3791" t="s">
        <v>2319</v>
      </c>
      <c r="F3791" t="s">
        <v>2319</v>
      </c>
      <c r="G3791" t="s">
        <v>2319</v>
      </c>
    </row>
    <row r="3792" spans="1:10" x14ac:dyDescent="0.2">
      <c r="A3792" t="s">
        <v>4265</v>
      </c>
      <c r="B3792">
        <v>0</v>
      </c>
      <c r="C3792">
        <v>0</v>
      </c>
      <c r="D3792">
        <v>0</v>
      </c>
      <c r="E3792">
        <v>0</v>
      </c>
      <c r="F3792">
        <v>0</v>
      </c>
      <c r="G3792">
        <v>0</v>
      </c>
    </row>
    <row r="3793" spans="1:7" x14ac:dyDescent="0.2">
      <c r="A3793" t="s">
        <v>4266</v>
      </c>
      <c r="B3793">
        <v>0</v>
      </c>
      <c r="C3793">
        <v>0</v>
      </c>
      <c r="D3793">
        <v>0</v>
      </c>
      <c r="E3793">
        <v>0</v>
      </c>
      <c r="F3793">
        <v>0</v>
      </c>
      <c r="G3793">
        <v>0</v>
      </c>
    </row>
    <row r="3794" spans="1:7" x14ac:dyDescent="0.2">
      <c r="A3794" t="s">
        <v>4267</v>
      </c>
      <c r="B3794">
        <v>0</v>
      </c>
      <c r="C3794">
        <v>0</v>
      </c>
      <c r="D3794">
        <v>0</v>
      </c>
      <c r="E3794">
        <v>0</v>
      </c>
      <c r="F3794">
        <v>0</v>
      </c>
      <c r="G3794">
        <v>0</v>
      </c>
    </row>
    <row r="3795" spans="1:7" x14ac:dyDescent="0.2">
      <c r="A3795" t="s">
        <v>4268</v>
      </c>
      <c r="B3795">
        <v>0</v>
      </c>
      <c r="C3795">
        <v>0</v>
      </c>
      <c r="D3795">
        <v>0</v>
      </c>
      <c r="E3795">
        <v>0</v>
      </c>
      <c r="F3795">
        <v>0</v>
      </c>
      <c r="G3795">
        <v>0</v>
      </c>
    </row>
    <row r="3796" spans="1:7" x14ac:dyDescent="0.2">
      <c r="A3796" t="s">
        <v>4269</v>
      </c>
      <c r="B3796">
        <v>0</v>
      </c>
      <c r="C3796">
        <v>0</v>
      </c>
      <c r="D3796">
        <v>0</v>
      </c>
      <c r="E3796">
        <v>0</v>
      </c>
      <c r="F3796">
        <v>0</v>
      </c>
      <c r="G3796">
        <v>0</v>
      </c>
    </row>
    <row r="3797" spans="1:7" x14ac:dyDescent="0.2">
      <c r="A3797" t="s">
        <v>4270</v>
      </c>
      <c r="B3797">
        <v>0</v>
      </c>
      <c r="C3797">
        <v>0</v>
      </c>
      <c r="D3797">
        <v>0</v>
      </c>
      <c r="E3797">
        <v>0</v>
      </c>
      <c r="F3797">
        <v>0</v>
      </c>
      <c r="G3797">
        <v>0</v>
      </c>
    </row>
    <row r="3798" spans="1:7" x14ac:dyDescent="0.2">
      <c r="A3798" t="s">
        <v>4271</v>
      </c>
      <c r="B3798">
        <v>0</v>
      </c>
      <c r="C3798">
        <v>0</v>
      </c>
      <c r="D3798">
        <v>0</v>
      </c>
      <c r="E3798">
        <v>0</v>
      </c>
      <c r="F3798">
        <v>0</v>
      </c>
      <c r="G3798">
        <v>0</v>
      </c>
    </row>
    <row r="3799" spans="1:7" x14ac:dyDescent="0.2">
      <c r="A3799" t="s">
        <v>4272</v>
      </c>
      <c r="B3799">
        <v>0</v>
      </c>
      <c r="C3799">
        <v>0</v>
      </c>
      <c r="D3799">
        <v>0</v>
      </c>
      <c r="E3799">
        <v>0</v>
      </c>
      <c r="F3799">
        <v>0</v>
      </c>
      <c r="G3799">
        <v>0</v>
      </c>
    </row>
    <row r="3800" spans="1:7" x14ac:dyDescent="0.2">
      <c r="A3800" t="s">
        <v>4273</v>
      </c>
      <c r="B3800">
        <v>0</v>
      </c>
      <c r="C3800">
        <v>0</v>
      </c>
      <c r="D3800">
        <v>0</v>
      </c>
      <c r="E3800">
        <v>0</v>
      </c>
      <c r="F3800">
        <v>0</v>
      </c>
      <c r="G3800">
        <v>0</v>
      </c>
    </row>
    <row r="3801" spans="1:7" x14ac:dyDescent="0.2">
      <c r="A3801" t="s">
        <v>4274</v>
      </c>
      <c r="B3801">
        <v>0</v>
      </c>
      <c r="C3801">
        <v>0</v>
      </c>
      <c r="D3801">
        <v>0</v>
      </c>
      <c r="E3801">
        <v>0</v>
      </c>
      <c r="F3801">
        <v>0</v>
      </c>
      <c r="G3801">
        <v>0</v>
      </c>
    </row>
    <row r="3802" spans="1:7" x14ac:dyDescent="0.2">
      <c r="A3802" t="s">
        <v>4275</v>
      </c>
      <c r="B3802">
        <v>0</v>
      </c>
      <c r="C3802">
        <v>0</v>
      </c>
      <c r="D3802">
        <v>0</v>
      </c>
      <c r="E3802">
        <v>0</v>
      </c>
      <c r="F3802">
        <v>0</v>
      </c>
      <c r="G3802">
        <v>0</v>
      </c>
    </row>
    <row r="3803" spans="1:7" x14ac:dyDescent="0.2">
      <c r="A3803" t="s">
        <v>4276</v>
      </c>
      <c r="B3803">
        <v>0</v>
      </c>
      <c r="C3803">
        <v>0</v>
      </c>
      <c r="D3803">
        <v>0</v>
      </c>
      <c r="E3803">
        <v>0</v>
      </c>
      <c r="F3803">
        <v>0</v>
      </c>
      <c r="G3803">
        <v>0</v>
      </c>
    </row>
    <row r="3804" spans="1:7" x14ac:dyDescent="0.2">
      <c r="A3804" t="s">
        <v>4277</v>
      </c>
      <c r="B3804">
        <v>0</v>
      </c>
      <c r="C3804">
        <v>0</v>
      </c>
      <c r="D3804">
        <v>0</v>
      </c>
      <c r="E3804">
        <v>0</v>
      </c>
      <c r="F3804">
        <v>0</v>
      </c>
      <c r="G3804">
        <v>0</v>
      </c>
    </row>
    <row r="3805" spans="1:7" x14ac:dyDescent="0.2">
      <c r="A3805" t="s">
        <v>4278</v>
      </c>
      <c r="B3805">
        <v>0</v>
      </c>
      <c r="C3805">
        <v>0</v>
      </c>
      <c r="D3805">
        <v>0</v>
      </c>
      <c r="E3805">
        <v>0</v>
      </c>
      <c r="F3805">
        <v>0</v>
      </c>
      <c r="G3805">
        <v>0</v>
      </c>
    </row>
    <row r="3806" spans="1:7" x14ac:dyDescent="0.2">
      <c r="A3806" t="s">
        <v>4279</v>
      </c>
      <c r="B3806">
        <v>0</v>
      </c>
      <c r="C3806">
        <v>0</v>
      </c>
      <c r="D3806">
        <v>0</v>
      </c>
      <c r="E3806">
        <v>0</v>
      </c>
      <c r="F3806">
        <v>0</v>
      </c>
      <c r="G3806">
        <v>0</v>
      </c>
    </row>
    <row r="3807" spans="1:7" x14ac:dyDescent="0.2">
      <c r="A3807" t="s">
        <v>4280</v>
      </c>
      <c r="B3807">
        <v>0</v>
      </c>
      <c r="C3807">
        <v>0</v>
      </c>
      <c r="D3807">
        <v>0</v>
      </c>
      <c r="E3807">
        <v>0</v>
      </c>
      <c r="F3807">
        <v>0</v>
      </c>
      <c r="G3807">
        <v>0</v>
      </c>
    </row>
    <row r="3808" spans="1:7" x14ac:dyDescent="0.2">
      <c r="A3808" t="s">
        <v>4281</v>
      </c>
      <c r="B3808">
        <v>0</v>
      </c>
      <c r="C3808">
        <v>0</v>
      </c>
      <c r="D3808">
        <v>0</v>
      </c>
      <c r="E3808">
        <v>0</v>
      </c>
      <c r="F3808">
        <v>0</v>
      </c>
      <c r="G3808">
        <v>0</v>
      </c>
    </row>
    <row r="3809" spans="1:7" x14ac:dyDescent="0.2">
      <c r="A3809" t="s">
        <v>4282</v>
      </c>
      <c r="B3809">
        <v>0</v>
      </c>
      <c r="C3809">
        <v>0</v>
      </c>
      <c r="D3809">
        <v>0</v>
      </c>
      <c r="E3809">
        <v>0</v>
      </c>
      <c r="F3809">
        <v>0</v>
      </c>
      <c r="G3809">
        <v>0</v>
      </c>
    </row>
    <row r="3810" spans="1:7" x14ac:dyDescent="0.2">
      <c r="A3810" t="s">
        <v>4283</v>
      </c>
      <c r="B3810">
        <v>0</v>
      </c>
      <c r="C3810">
        <v>0</v>
      </c>
      <c r="D3810">
        <v>0</v>
      </c>
      <c r="E3810">
        <v>0</v>
      </c>
      <c r="F3810">
        <v>0</v>
      </c>
      <c r="G3810">
        <v>0</v>
      </c>
    </row>
    <row r="3811" spans="1:7" x14ac:dyDescent="0.2">
      <c r="A3811" t="s">
        <v>4284</v>
      </c>
      <c r="B3811">
        <v>0</v>
      </c>
      <c r="C3811">
        <v>0</v>
      </c>
      <c r="D3811">
        <v>0</v>
      </c>
      <c r="E3811">
        <v>0</v>
      </c>
      <c r="F3811">
        <v>0</v>
      </c>
      <c r="G3811">
        <v>0</v>
      </c>
    </row>
    <row r="3812" spans="1:7" x14ac:dyDescent="0.2">
      <c r="A3812" t="s">
        <v>4285</v>
      </c>
      <c r="B3812">
        <v>0</v>
      </c>
      <c r="C3812">
        <v>0</v>
      </c>
      <c r="D3812">
        <v>0</v>
      </c>
      <c r="E3812">
        <v>0</v>
      </c>
      <c r="F3812">
        <v>0</v>
      </c>
      <c r="G3812">
        <v>0</v>
      </c>
    </row>
    <row r="3813" spans="1:7" x14ac:dyDescent="0.2">
      <c r="A3813" t="s">
        <v>4286</v>
      </c>
      <c r="B3813">
        <v>0</v>
      </c>
      <c r="C3813">
        <v>0</v>
      </c>
      <c r="D3813">
        <v>0</v>
      </c>
      <c r="E3813">
        <v>0</v>
      </c>
      <c r="F3813">
        <v>0</v>
      </c>
      <c r="G3813">
        <v>0</v>
      </c>
    </row>
    <row r="3814" spans="1:7" x14ac:dyDescent="0.2">
      <c r="A3814" t="s">
        <v>4287</v>
      </c>
      <c r="B3814">
        <v>0</v>
      </c>
      <c r="C3814">
        <v>0</v>
      </c>
      <c r="D3814">
        <v>0</v>
      </c>
      <c r="E3814">
        <v>0</v>
      </c>
      <c r="F3814">
        <v>0</v>
      </c>
      <c r="G3814">
        <v>0</v>
      </c>
    </row>
    <row r="3815" spans="1:7" x14ac:dyDescent="0.2">
      <c r="A3815" t="s">
        <v>4288</v>
      </c>
      <c r="B3815">
        <v>0</v>
      </c>
      <c r="C3815">
        <v>0</v>
      </c>
      <c r="D3815">
        <v>0</v>
      </c>
      <c r="E3815">
        <v>0</v>
      </c>
      <c r="F3815">
        <v>0</v>
      </c>
      <c r="G3815">
        <v>0</v>
      </c>
    </row>
    <row r="3816" spans="1:7" x14ac:dyDescent="0.2">
      <c r="A3816" t="s">
        <v>4289</v>
      </c>
      <c r="B3816">
        <v>0</v>
      </c>
      <c r="C3816">
        <v>0</v>
      </c>
      <c r="D3816">
        <v>0</v>
      </c>
      <c r="E3816">
        <v>0</v>
      </c>
      <c r="F3816">
        <v>0</v>
      </c>
      <c r="G3816">
        <v>0</v>
      </c>
    </row>
    <row r="3817" spans="1:7" x14ac:dyDescent="0.2">
      <c r="A3817" t="s">
        <v>4290</v>
      </c>
      <c r="B3817">
        <v>0</v>
      </c>
      <c r="C3817">
        <v>0</v>
      </c>
      <c r="D3817">
        <v>0</v>
      </c>
      <c r="E3817">
        <v>0</v>
      </c>
      <c r="F3817">
        <v>0</v>
      </c>
      <c r="G3817">
        <v>0</v>
      </c>
    </row>
    <row r="3818" spans="1:7" x14ac:dyDescent="0.2">
      <c r="A3818" t="s">
        <v>4291</v>
      </c>
      <c r="B3818">
        <v>0</v>
      </c>
      <c r="C3818">
        <v>0</v>
      </c>
      <c r="D3818">
        <v>0</v>
      </c>
      <c r="E3818">
        <v>0</v>
      </c>
      <c r="F3818">
        <v>0</v>
      </c>
      <c r="G3818">
        <v>0</v>
      </c>
    </row>
    <row r="3819" spans="1:7" x14ac:dyDescent="0.2">
      <c r="A3819" t="s">
        <v>4292</v>
      </c>
      <c r="B3819">
        <v>0</v>
      </c>
      <c r="C3819">
        <v>0</v>
      </c>
      <c r="D3819">
        <v>0</v>
      </c>
      <c r="E3819">
        <v>0</v>
      </c>
      <c r="F3819">
        <v>0</v>
      </c>
      <c r="G3819">
        <v>0</v>
      </c>
    </row>
    <row r="3820" spans="1:7" x14ac:dyDescent="0.2">
      <c r="A3820" t="s">
        <v>4293</v>
      </c>
      <c r="B3820">
        <v>0</v>
      </c>
      <c r="C3820">
        <v>0</v>
      </c>
      <c r="D3820">
        <v>0</v>
      </c>
      <c r="E3820">
        <v>0</v>
      </c>
      <c r="F3820">
        <v>0</v>
      </c>
      <c r="G3820">
        <v>0</v>
      </c>
    </row>
    <row r="3821" spans="1:7" x14ac:dyDescent="0.2">
      <c r="A3821" t="s">
        <v>4294</v>
      </c>
      <c r="B3821">
        <v>0</v>
      </c>
      <c r="C3821">
        <v>0</v>
      </c>
      <c r="D3821">
        <v>0</v>
      </c>
      <c r="E3821">
        <v>0</v>
      </c>
      <c r="F3821">
        <v>0</v>
      </c>
      <c r="G3821">
        <v>0</v>
      </c>
    </row>
    <row r="3822" spans="1:7" x14ac:dyDescent="0.2">
      <c r="A3822" t="s">
        <v>4295</v>
      </c>
      <c r="B3822">
        <v>0</v>
      </c>
      <c r="C3822">
        <v>0</v>
      </c>
      <c r="D3822">
        <v>0</v>
      </c>
      <c r="E3822">
        <v>0</v>
      </c>
      <c r="F3822">
        <v>0</v>
      </c>
      <c r="G3822">
        <v>0</v>
      </c>
    </row>
    <row r="3823" spans="1:7" x14ac:dyDescent="0.2">
      <c r="A3823" t="s">
        <v>4296</v>
      </c>
      <c r="B3823">
        <v>0</v>
      </c>
      <c r="C3823">
        <v>0</v>
      </c>
      <c r="D3823">
        <v>0</v>
      </c>
      <c r="E3823">
        <v>0</v>
      </c>
      <c r="F3823">
        <v>0</v>
      </c>
      <c r="G3823">
        <v>0</v>
      </c>
    </row>
    <row r="3824" spans="1:7" x14ac:dyDescent="0.2">
      <c r="A3824" t="s">
        <v>4297</v>
      </c>
      <c r="B3824">
        <v>0</v>
      </c>
      <c r="C3824">
        <v>0</v>
      </c>
      <c r="D3824">
        <v>0</v>
      </c>
      <c r="E3824">
        <v>0</v>
      </c>
      <c r="F3824">
        <v>0</v>
      </c>
      <c r="G3824">
        <v>0</v>
      </c>
    </row>
    <row r="3825" spans="1:7" x14ac:dyDescent="0.2">
      <c r="A3825" t="s">
        <v>4298</v>
      </c>
      <c r="B3825">
        <v>0</v>
      </c>
      <c r="C3825">
        <v>0</v>
      </c>
      <c r="D3825">
        <v>0</v>
      </c>
      <c r="E3825">
        <v>0</v>
      </c>
      <c r="F3825">
        <v>0</v>
      </c>
      <c r="G3825">
        <v>0</v>
      </c>
    </row>
    <row r="3826" spans="1:7" x14ac:dyDescent="0.2">
      <c r="A3826" t="s">
        <v>4299</v>
      </c>
      <c r="B3826">
        <v>0</v>
      </c>
      <c r="C3826">
        <v>0</v>
      </c>
      <c r="D3826">
        <v>0</v>
      </c>
      <c r="E3826">
        <v>0</v>
      </c>
      <c r="F3826">
        <v>0</v>
      </c>
      <c r="G3826">
        <v>0</v>
      </c>
    </row>
    <row r="3827" spans="1:7" x14ac:dyDescent="0.2">
      <c r="A3827" t="s">
        <v>4300</v>
      </c>
      <c r="B3827">
        <v>0</v>
      </c>
      <c r="C3827">
        <v>0</v>
      </c>
      <c r="D3827">
        <v>0</v>
      </c>
      <c r="E3827">
        <v>0</v>
      </c>
      <c r="F3827">
        <v>0</v>
      </c>
      <c r="G3827">
        <v>0</v>
      </c>
    </row>
    <row r="3828" spans="1:7" x14ac:dyDescent="0.2">
      <c r="A3828" t="s">
        <v>4301</v>
      </c>
      <c r="B3828">
        <v>0</v>
      </c>
      <c r="C3828">
        <v>0</v>
      </c>
      <c r="D3828">
        <v>0</v>
      </c>
      <c r="E3828">
        <v>0</v>
      </c>
      <c r="F3828">
        <v>0</v>
      </c>
      <c r="G3828">
        <v>0</v>
      </c>
    </row>
    <row r="3829" spans="1:7" x14ac:dyDescent="0.2">
      <c r="A3829" t="s">
        <v>4302</v>
      </c>
      <c r="B3829">
        <v>0</v>
      </c>
      <c r="C3829">
        <v>0</v>
      </c>
      <c r="D3829">
        <v>0</v>
      </c>
      <c r="E3829">
        <v>0</v>
      </c>
      <c r="F3829">
        <v>0</v>
      </c>
      <c r="G3829">
        <v>0</v>
      </c>
    </row>
    <row r="3830" spans="1:7" x14ac:dyDescent="0.2">
      <c r="A3830" t="s">
        <v>4303</v>
      </c>
      <c r="B3830">
        <v>0</v>
      </c>
      <c r="C3830">
        <v>0</v>
      </c>
      <c r="D3830">
        <v>0</v>
      </c>
      <c r="E3830">
        <v>0</v>
      </c>
      <c r="F3830">
        <v>0</v>
      </c>
      <c r="G3830">
        <v>0</v>
      </c>
    </row>
    <row r="3831" spans="1:7" x14ac:dyDescent="0.2">
      <c r="A3831" t="s">
        <v>4304</v>
      </c>
      <c r="B3831">
        <v>0</v>
      </c>
      <c r="C3831">
        <v>0</v>
      </c>
      <c r="D3831">
        <v>0</v>
      </c>
      <c r="E3831">
        <v>0</v>
      </c>
      <c r="F3831">
        <v>0</v>
      </c>
      <c r="G3831">
        <v>0</v>
      </c>
    </row>
    <row r="3832" spans="1:7" x14ac:dyDescent="0.2">
      <c r="A3832" t="s">
        <v>4305</v>
      </c>
      <c r="B3832">
        <v>0</v>
      </c>
      <c r="C3832">
        <v>0</v>
      </c>
      <c r="D3832">
        <v>0</v>
      </c>
      <c r="E3832">
        <v>0</v>
      </c>
      <c r="F3832">
        <v>0</v>
      </c>
      <c r="G3832">
        <v>0</v>
      </c>
    </row>
    <row r="3833" spans="1:7" x14ac:dyDescent="0.2">
      <c r="A3833" t="s">
        <v>4306</v>
      </c>
      <c r="B3833">
        <v>0</v>
      </c>
      <c r="C3833">
        <v>0</v>
      </c>
      <c r="D3833">
        <v>0</v>
      </c>
      <c r="E3833">
        <v>0</v>
      </c>
      <c r="F3833">
        <v>0</v>
      </c>
      <c r="G3833">
        <v>0</v>
      </c>
    </row>
    <row r="3834" spans="1:7" x14ac:dyDescent="0.2">
      <c r="A3834" t="s">
        <v>4307</v>
      </c>
      <c r="B3834">
        <v>0</v>
      </c>
      <c r="C3834">
        <v>0</v>
      </c>
      <c r="D3834">
        <v>0</v>
      </c>
      <c r="E3834">
        <v>0</v>
      </c>
      <c r="F3834">
        <v>0</v>
      </c>
      <c r="G3834">
        <v>0</v>
      </c>
    </row>
    <row r="3835" spans="1:7" x14ac:dyDescent="0.2">
      <c r="A3835" t="s">
        <v>4308</v>
      </c>
      <c r="B3835">
        <v>0</v>
      </c>
      <c r="C3835">
        <v>0</v>
      </c>
      <c r="D3835">
        <v>0</v>
      </c>
      <c r="E3835">
        <v>0</v>
      </c>
      <c r="F3835">
        <v>0</v>
      </c>
      <c r="G3835">
        <v>0</v>
      </c>
    </row>
    <row r="3836" spans="1:7" x14ac:dyDescent="0.2">
      <c r="A3836" t="s">
        <v>4309</v>
      </c>
      <c r="B3836">
        <v>0</v>
      </c>
      <c r="C3836">
        <v>0</v>
      </c>
      <c r="D3836">
        <v>0</v>
      </c>
      <c r="E3836">
        <v>0</v>
      </c>
      <c r="F3836">
        <v>0</v>
      </c>
      <c r="G3836">
        <v>0</v>
      </c>
    </row>
    <row r="3837" spans="1:7" x14ac:dyDescent="0.2">
      <c r="A3837" t="s">
        <v>4310</v>
      </c>
      <c r="B3837">
        <v>0</v>
      </c>
      <c r="C3837">
        <v>0</v>
      </c>
      <c r="D3837">
        <v>0</v>
      </c>
      <c r="E3837">
        <v>0</v>
      </c>
      <c r="F3837">
        <v>0</v>
      </c>
      <c r="G3837">
        <v>0</v>
      </c>
    </row>
    <row r="3838" spans="1:7" x14ac:dyDescent="0.2">
      <c r="A3838" t="s">
        <v>4311</v>
      </c>
      <c r="B3838">
        <v>0</v>
      </c>
      <c r="C3838">
        <v>0</v>
      </c>
      <c r="D3838">
        <v>0</v>
      </c>
      <c r="E3838">
        <v>0</v>
      </c>
      <c r="F3838">
        <v>0</v>
      </c>
      <c r="G3838">
        <v>0</v>
      </c>
    </row>
    <row r="3839" spans="1:7" x14ac:dyDescent="0.2">
      <c r="A3839" t="s">
        <v>4312</v>
      </c>
      <c r="B3839">
        <v>0</v>
      </c>
      <c r="C3839">
        <v>0</v>
      </c>
      <c r="D3839">
        <v>0</v>
      </c>
      <c r="E3839">
        <v>0</v>
      </c>
      <c r="F3839">
        <v>0</v>
      </c>
      <c r="G3839">
        <v>0</v>
      </c>
    </row>
    <row r="3840" spans="1:7" x14ac:dyDescent="0.2">
      <c r="A3840" t="s">
        <v>4313</v>
      </c>
      <c r="B3840">
        <v>0</v>
      </c>
      <c r="C3840">
        <v>0</v>
      </c>
      <c r="D3840">
        <v>0</v>
      </c>
      <c r="E3840">
        <v>0</v>
      </c>
      <c r="F3840">
        <v>0</v>
      </c>
      <c r="G3840">
        <v>0</v>
      </c>
    </row>
    <row r="3841" spans="1:7" x14ac:dyDescent="0.2">
      <c r="A3841" t="s">
        <v>4314</v>
      </c>
      <c r="B3841">
        <v>0</v>
      </c>
      <c r="C3841">
        <v>0</v>
      </c>
      <c r="D3841">
        <v>0</v>
      </c>
      <c r="E3841">
        <v>0</v>
      </c>
      <c r="F3841">
        <v>0</v>
      </c>
      <c r="G3841">
        <v>0</v>
      </c>
    </row>
    <row r="3842" spans="1:7" x14ac:dyDescent="0.2">
      <c r="A3842" t="s">
        <v>4315</v>
      </c>
      <c r="B3842">
        <v>0</v>
      </c>
      <c r="C3842">
        <v>0</v>
      </c>
      <c r="D3842">
        <v>0</v>
      </c>
      <c r="E3842">
        <v>0</v>
      </c>
      <c r="F3842">
        <v>0</v>
      </c>
      <c r="G3842">
        <v>0</v>
      </c>
    </row>
    <row r="3843" spans="1:7" x14ac:dyDescent="0.2">
      <c r="A3843" t="s">
        <v>4316</v>
      </c>
      <c r="B3843">
        <v>0</v>
      </c>
      <c r="C3843">
        <v>0</v>
      </c>
      <c r="D3843">
        <v>0</v>
      </c>
      <c r="E3843">
        <v>0</v>
      </c>
      <c r="F3843">
        <v>0</v>
      </c>
      <c r="G3843">
        <v>0</v>
      </c>
    </row>
    <row r="3844" spans="1:7" x14ac:dyDescent="0.2">
      <c r="A3844" t="s">
        <v>4317</v>
      </c>
      <c r="B3844">
        <v>0</v>
      </c>
      <c r="C3844">
        <v>0</v>
      </c>
      <c r="D3844">
        <v>0</v>
      </c>
      <c r="E3844">
        <v>0</v>
      </c>
      <c r="F3844">
        <v>0</v>
      </c>
      <c r="G3844">
        <v>0</v>
      </c>
    </row>
    <row r="3845" spans="1:7" x14ac:dyDescent="0.2">
      <c r="A3845" t="s">
        <v>4318</v>
      </c>
      <c r="B3845">
        <v>0</v>
      </c>
      <c r="C3845">
        <v>0</v>
      </c>
      <c r="D3845">
        <v>0</v>
      </c>
      <c r="E3845">
        <v>0</v>
      </c>
      <c r="F3845">
        <v>0</v>
      </c>
      <c r="G3845">
        <v>0</v>
      </c>
    </row>
    <row r="3846" spans="1:7" x14ac:dyDescent="0.2">
      <c r="A3846" t="s">
        <v>4319</v>
      </c>
      <c r="B3846">
        <v>0</v>
      </c>
      <c r="C3846">
        <v>0</v>
      </c>
      <c r="D3846">
        <v>0</v>
      </c>
      <c r="E3846">
        <v>0</v>
      </c>
      <c r="F3846">
        <v>0</v>
      </c>
      <c r="G3846">
        <v>0</v>
      </c>
    </row>
    <row r="3847" spans="1:7" x14ac:dyDescent="0.2">
      <c r="A3847" t="s">
        <v>4320</v>
      </c>
      <c r="B3847">
        <v>0</v>
      </c>
      <c r="C3847">
        <v>0</v>
      </c>
      <c r="D3847">
        <v>0</v>
      </c>
      <c r="E3847">
        <v>0</v>
      </c>
      <c r="F3847">
        <v>0</v>
      </c>
      <c r="G3847">
        <v>0</v>
      </c>
    </row>
    <row r="3848" spans="1:7" x14ac:dyDescent="0.2">
      <c r="A3848" t="s">
        <v>4321</v>
      </c>
      <c r="B3848">
        <v>0</v>
      </c>
      <c r="C3848">
        <v>0</v>
      </c>
      <c r="D3848">
        <v>0</v>
      </c>
      <c r="E3848">
        <v>0</v>
      </c>
      <c r="F3848">
        <v>0</v>
      </c>
      <c r="G3848">
        <v>0</v>
      </c>
    </row>
    <row r="3849" spans="1:7" x14ac:dyDescent="0.2">
      <c r="A3849" t="s">
        <v>4322</v>
      </c>
      <c r="B3849">
        <v>0</v>
      </c>
      <c r="C3849">
        <v>0</v>
      </c>
      <c r="D3849">
        <v>0</v>
      </c>
      <c r="E3849">
        <v>0</v>
      </c>
      <c r="F3849">
        <v>0</v>
      </c>
      <c r="G3849">
        <v>0</v>
      </c>
    </row>
    <row r="3850" spans="1:7" x14ac:dyDescent="0.2">
      <c r="A3850" t="s">
        <v>4323</v>
      </c>
      <c r="B3850">
        <v>0</v>
      </c>
      <c r="C3850">
        <v>0</v>
      </c>
      <c r="D3850">
        <v>0</v>
      </c>
      <c r="E3850">
        <v>0</v>
      </c>
      <c r="F3850">
        <v>0</v>
      </c>
      <c r="G3850">
        <v>0</v>
      </c>
    </row>
    <row r="3851" spans="1:7" x14ac:dyDescent="0.2">
      <c r="A3851" t="s">
        <v>4324</v>
      </c>
      <c r="B3851">
        <v>0</v>
      </c>
      <c r="C3851">
        <v>0</v>
      </c>
      <c r="D3851">
        <v>0</v>
      </c>
      <c r="E3851">
        <v>0</v>
      </c>
      <c r="F3851">
        <v>0</v>
      </c>
      <c r="G3851">
        <v>0</v>
      </c>
    </row>
    <row r="3852" spans="1:7" x14ac:dyDescent="0.2">
      <c r="A3852" t="s">
        <v>4325</v>
      </c>
      <c r="B3852">
        <v>0</v>
      </c>
      <c r="C3852">
        <v>0</v>
      </c>
      <c r="D3852">
        <v>0</v>
      </c>
      <c r="E3852">
        <v>0</v>
      </c>
      <c r="F3852">
        <v>0</v>
      </c>
      <c r="G3852">
        <v>0</v>
      </c>
    </row>
    <row r="3853" spans="1:7" x14ac:dyDescent="0.2">
      <c r="A3853" t="s">
        <v>4326</v>
      </c>
      <c r="B3853">
        <v>0</v>
      </c>
      <c r="C3853">
        <v>0</v>
      </c>
      <c r="D3853">
        <v>0</v>
      </c>
      <c r="E3853">
        <v>0</v>
      </c>
      <c r="F3853">
        <v>0</v>
      </c>
      <c r="G3853">
        <v>0</v>
      </c>
    </row>
    <row r="3854" spans="1:7" x14ac:dyDescent="0.2">
      <c r="A3854" t="s">
        <v>4327</v>
      </c>
      <c r="B3854">
        <v>0</v>
      </c>
      <c r="C3854">
        <v>0</v>
      </c>
      <c r="D3854">
        <v>0</v>
      </c>
      <c r="E3854">
        <v>0</v>
      </c>
      <c r="F3854">
        <v>0</v>
      </c>
      <c r="G3854">
        <v>0</v>
      </c>
    </row>
    <row r="3855" spans="1:7" x14ac:dyDescent="0.2">
      <c r="A3855" t="s">
        <v>4328</v>
      </c>
      <c r="B3855">
        <v>0</v>
      </c>
      <c r="C3855">
        <v>0</v>
      </c>
      <c r="D3855">
        <v>0</v>
      </c>
      <c r="E3855">
        <v>0</v>
      </c>
      <c r="F3855">
        <v>0</v>
      </c>
      <c r="G3855">
        <v>0</v>
      </c>
    </row>
    <row r="3856" spans="1:7" x14ac:dyDescent="0.2">
      <c r="A3856" t="s">
        <v>4329</v>
      </c>
      <c r="B3856">
        <v>0</v>
      </c>
      <c r="C3856">
        <v>0</v>
      </c>
      <c r="D3856">
        <v>0</v>
      </c>
      <c r="E3856">
        <v>0</v>
      </c>
      <c r="F3856">
        <v>0</v>
      </c>
      <c r="G3856">
        <v>0</v>
      </c>
    </row>
    <row r="3857" spans="1:7" x14ac:dyDescent="0.2">
      <c r="A3857" t="s">
        <v>4330</v>
      </c>
      <c r="B3857">
        <v>0</v>
      </c>
      <c r="C3857">
        <v>0</v>
      </c>
      <c r="D3857">
        <v>0</v>
      </c>
      <c r="E3857">
        <v>0</v>
      </c>
      <c r="F3857">
        <v>0</v>
      </c>
      <c r="G3857">
        <v>0</v>
      </c>
    </row>
    <row r="3858" spans="1:7" x14ac:dyDescent="0.2">
      <c r="A3858" t="s">
        <v>4331</v>
      </c>
      <c r="B3858">
        <v>0</v>
      </c>
      <c r="C3858">
        <v>0</v>
      </c>
      <c r="D3858">
        <v>0</v>
      </c>
      <c r="E3858">
        <v>0</v>
      </c>
      <c r="F3858">
        <v>0</v>
      </c>
      <c r="G3858">
        <v>0</v>
      </c>
    </row>
    <row r="3859" spans="1:7" x14ac:dyDescent="0.2">
      <c r="A3859" t="s">
        <v>4332</v>
      </c>
      <c r="B3859">
        <v>0</v>
      </c>
      <c r="C3859">
        <v>0</v>
      </c>
      <c r="D3859">
        <v>0</v>
      </c>
      <c r="E3859">
        <v>0</v>
      </c>
      <c r="F3859">
        <v>0</v>
      </c>
      <c r="G3859">
        <v>0</v>
      </c>
    </row>
    <row r="3860" spans="1:7" x14ac:dyDescent="0.2">
      <c r="A3860" t="s">
        <v>4333</v>
      </c>
      <c r="B3860">
        <v>0</v>
      </c>
      <c r="C3860">
        <v>0</v>
      </c>
      <c r="D3860">
        <v>0</v>
      </c>
      <c r="E3860">
        <v>0</v>
      </c>
      <c r="F3860">
        <v>0</v>
      </c>
      <c r="G3860">
        <v>0</v>
      </c>
    </row>
    <row r="3861" spans="1:7" x14ac:dyDescent="0.2">
      <c r="A3861" t="s">
        <v>4334</v>
      </c>
      <c r="B3861">
        <v>0</v>
      </c>
      <c r="C3861">
        <v>0</v>
      </c>
      <c r="D3861">
        <v>0</v>
      </c>
      <c r="E3861">
        <v>0</v>
      </c>
      <c r="F3861">
        <v>0</v>
      </c>
      <c r="G3861">
        <v>0</v>
      </c>
    </row>
    <row r="3862" spans="1:7" x14ac:dyDescent="0.2">
      <c r="A3862" t="s">
        <v>4335</v>
      </c>
      <c r="B3862">
        <v>0</v>
      </c>
      <c r="C3862">
        <v>0</v>
      </c>
      <c r="D3862">
        <v>0</v>
      </c>
      <c r="E3862">
        <v>0</v>
      </c>
      <c r="F3862">
        <v>0</v>
      </c>
      <c r="G3862">
        <v>0</v>
      </c>
    </row>
    <row r="3863" spans="1:7" x14ac:dyDescent="0.2">
      <c r="A3863" t="s">
        <v>4336</v>
      </c>
      <c r="B3863">
        <v>0</v>
      </c>
      <c r="C3863">
        <v>0</v>
      </c>
      <c r="D3863">
        <v>0</v>
      </c>
      <c r="E3863">
        <v>0</v>
      </c>
      <c r="F3863">
        <v>0</v>
      </c>
      <c r="G3863">
        <v>0</v>
      </c>
    </row>
    <row r="3864" spans="1:7" x14ac:dyDescent="0.2">
      <c r="A3864" t="s">
        <v>4337</v>
      </c>
      <c r="B3864">
        <v>0</v>
      </c>
      <c r="C3864">
        <v>0</v>
      </c>
      <c r="D3864">
        <v>0</v>
      </c>
      <c r="E3864">
        <v>0</v>
      </c>
      <c r="F3864">
        <v>0</v>
      </c>
      <c r="G3864">
        <v>0</v>
      </c>
    </row>
    <row r="3865" spans="1:7" x14ac:dyDescent="0.2">
      <c r="A3865" t="s">
        <v>4338</v>
      </c>
      <c r="B3865">
        <v>0</v>
      </c>
      <c r="C3865">
        <v>0</v>
      </c>
      <c r="D3865">
        <v>0</v>
      </c>
      <c r="E3865">
        <v>0</v>
      </c>
      <c r="F3865">
        <v>0</v>
      </c>
      <c r="G3865">
        <v>0</v>
      </c>
    </row>
    <row r="3866" spans="1:7" x14ac:dyDescent="0.2">
      <c r="A3866" t="s">
        <v>4339</v>
      </c>
      <c r="B3866">
        <v>0</v>
      </c>
      <c r="C3866">
        <v>0</v>
      </c>
      <c r="D3866">
        <v>0</v>
      </c>
      <c r="E3866">
        <v>0</v>
      </c>
      <c r="F3866">
        <v>0</v>
      </c>
      <c r="G3866">
        <v>0</v>
      </c>
    </row>
    <row r="3867" spans="1:7" x14ac:dyDescent="0.2">
      <c r="A3867" t="s">
        <v>4340</v>
      </c>
      <c r="B3867">
        <v>0</v>
      </c>
      <c r="C3867">
        <v>0</v>
      </c>
      <c r="D3867">
        <v>0</v>
      </c>
      <c r="E3867">
        <v>0</v>
      </c>
      <c r="F3867">
        <v>0</v>
      </c>
      <c r="G3867">
        <v>0</v>
      </c>
    </row>
    <row r="3868" spans="1:7" x14ac:dyDescent="0.2">
      <c r="A3868" t="s">
        <v>4341</v>
      </c>
      <c r="B3868">
        <v>0</v>
      </c>
      <c r="C3868">
        <v>0</v>
      </c>
      <c r="D3868">
        <v>0</v>
      </c>
      <c r="E3868">
        <v>0</v>
      </c>
      <c r="F3868">
        <v>0</v>
      </c>
      <c r="G3868">
        <v>0</v>
      </c>
    </row>
    <row r="3869" spans="1:7" x14ac:dyDescent="0.2">
      <c r="A3869" t="s">
        <v>4342</v>
      </c>
      <c r="B3869">
        <v>0</v>
      </c>
      <c r="C3869">
        <v>0</v>
      </c>
      <c r="D3869">
        <v>0</v>
      </c>
      <c r="E3869">
        <v>0</v>
      </c>
      <c r="F3869">
        <v>0</v>
      </c>
      <c r="G3869">
        <v>0</v>
      </c>
    </row>
    <row r="3870" spans="1:7" x14ac:dyDescent="0.2">
      <c r="A3870" t="s">
        <v>4343</v>
      </c>
      <c r="B3870">
        <v>0</v>
      </c>
      <c r="C3870">
        <v>0</v>
      </c>
      <c r="D3870">
        <v>0</v>
      </c>
      <c r="E3870">
        <v>0</v>
      </c>
      <c r="F3870">
        <v>0</v>
      </c>
      <c r="G3870">
        <v>0</v>
      </c>
    </row>
    <row r="3871" spans="1:7" x14ac:dyDescent="0.2">
      <c r="A3871" t="s">
        <v>1728</v>
      </c>
      <c r="B3871">
        <v>0</v>
      </c>
      <c r="C3871">
        <v>0</v>
      </c>
      <c r="D3871">
        <v>0</v>
      </c>
      <c r="E3871">
        <v>0</v>
      </c>
      <c r="F3871">
        <v>0</v>
      </c>
      <c r="G3871">
        <v>0</v>
      </c>
    </row>
    <row r="3872" spans="1:7" x14ac:dyDescent="0.2">
      <c r="A3872" t="s">
        <v>1730</v>
      </c>
      <c r="B3872">
        <v>0</v>
      </c>
      <c r="C3872">
        <v>0</v>
      </c>
      <c r="D3872">
        <v>0</v>
      </c>
      <c r="E3872">
        <v>0</v>
      </c>
      <c r="F3872">
        <v>0</v>
      </c>
      <c r="G3872">
        <v>0</v>
      </c>
    </row>
    <row r="3873" spans="1:7" x14ac:dyDescent="0.2">
      <c r="A3873" t="s">
        <v>1733</v>
      </c>
      <c r="B3873">
        <v>0</v>
      </c>
      <c r="C3873">
        <v>0</v>
      </c>
      <c r="D3873">
        <v>0</v>
      </c>
      <c r="E3873">
        <v>0</v>
      </c>
      <c r="F3873">
        <v>0</v>
      </c>
      <c r="G3873">
        <v>0</v>
      </c>
    </row>
    <row r="3874" spans="1:7" x14ac:dyDescent="0.2">
      <c r="A3874" t="s">
        <v>1738</v>
      </c>
      <c r="B3874">
        <v>0</v>
      </c>
      <c r="C3874">
        <v>0</v>
      </c>
      <c r="D3874">
        <v>0</v>
      </c>
      <c r="E3874">
        <v>0</v>
      </c>
      <c r="F3874">
        <v>0</v>
      </c>
      <c r="G3874">
        <v>0</v>
      </c>
    </row>
    <row r="3875" spans="1:7" x14ac:dyDescent="0.2">
      <c r="A3875" t="s">
        <v>1744</v>
      </c>
      <c r="B3875">
        <v>0</v>
      </c>
      <c r="C3875">
        <v>0</v>
      </c>
      <c r="D3875">
        <v>0</v>
      </c>
      <c r="E3875">
        <v>0</v>
      </c>
      <c r="F3875">
        <v>0</v>
      </c>
      <c r="G3875">
        <v>0</v>
      </c>
    </row>
    <row r="3876" spans="1:7" x14ac:dyDescent="0.2">
      <c r="A3876" t="s">
        <v>1747</v>
      </c>
      <c r="B3876">
        <v>0</v>
      </c>
      <c r="C3876">
        <v>0</v>
      </c>
      <c r="D3876">
        <v>0</v>
      </c>
      <c r="E3876">
        <v>0</v>
      </c>
      <c r="F3876">
        <v>0</v>
      </c>
      <c r="G3876">
        <v>0</v>
      </c>
    </row>
    <row r="3877" spans="1:7" x14ac:dyDescent="0.2">
      <c r="A3877" t="s">
        <v>1751</v>
      </c>
      <c r="B3877">
        <v>0</v>
      </c>
      <c r="C3877">
        <v>0</v>
      </c>
      <c r="D3877">
        <v>0</v>
      </c>
      <c r="E3877">
        <v>0</v>
      </c>
      <c r="F3877">
        <v>0</v>
      </c>
      <c r="G3877">
        <v>0</v>
      </c>
    </row>
    <row r="3878" spans="1:7" x14ac:dyDescent="0.2">
      <c r="A3878" t="s">
        <v>1755</v>
      </c>
      <c r="B3878">
        <v>0</v>
      </c>
      <c r="C3878">
        <v>0</v>
      </c>
      <c r="D3878">
        <v>0</v>
      </c>
      <c r="E3878">
        <v>0</v>
      </c>
      <c r="F3878">
        <v>0</v>
      </c>
      <c r="G3878">
        <v>0</v>
      </c>
    </row>
    <row r="3879" spans="1:7" x14ac:dyDescent="0.2">
      <c r="A3879" t="s">
        <v>1757</v>
      </c>
      <c r="B3879">
        <v>0</v>
      </c>
      <c r="C3879">
        <v>0</v>
      </c>
      <c r="D3879">
        <v>0</v>
      </c>
      <c r="E3879">
        <v>0</v>
      </c>
      <c r="F3879">
        <v>0</v>
      </c>
      <c r="G3879">
        <v>0</v>
      </c>
    </row>
    <row r="3880" spans="1:7" x14ac:dyDescent="0.2">
      <c r="A3880" t="s">
        <v>1761</v>
      </c>
      <c r="B3880">
        <v>0</v>
      </c>
      <c r="C3880">
        <v>0</v>
      </c>
      <c r="D3880">
        <v>0</v>
      </c>
      <c r="E3880">
        <v>0</v>
      </c>
      <c r="F3880">
        <v>0</v>
      </c>
      <c r="G3880">
        <v>0</v>
      </c>
    </row>
    <row r="3881" spans="1:7" x14ac:dyDescent="0.2">
      <c r="A3881" t="s">
        <v>1764</v>
      </c>
      <c r="B3881">
        <v>0</v>
      </c>
      <c r="C3881">
        <v>0</v>
      </c>
      <c r="D3881">
        <v>0</v>
      </c>
      <c r="E3881">
        <v>0</v>
      </c>
      <c r="F3881">
        <v>0</v>
      </c>
      <c r="G3881">
        <v>0</v>
      </c>
    </row>
    <row r="3882" spans="1:7" x14ac:dyDescent="0.2">
      <c r="A3882" t="s">
        <v>1770</v>
      </c>
      <c r="B3882">
        <v>0</v>
      </c>
      <c r="C3882">
        <v>0</v>
      </c>
      <c r="D3882">
        <v>0</v>
      </c>
      <c r="E3882">
        <v>0</v>
      </c>
      <c r="F3882">
        <v>0</v>
      </c>
      <c r="G3882">
        <v>0</v>
      </c>
    </row>
    <row r="3883" spans="1:7" x14ac:dyDescent="0.2">
      <c r="A3883" t="s">
        <v>1772</v>
      </c>
      <c r="B3883">
        <v>0</v>
      </c>
      <c r="C3883">
        <v>0</v>
      </c>
      <c r="D3883">
        <v>0</v>
      </c>
      <c r="E3883">
        <v>0</v>
      </c>
      <c r="F3883">
        <v>0</v>
      </c>
      <c r="G3883">
        <v>0</v>
      </c>
    </row>
    <row r="3884" spans="1:7" x14ac:dyDescent="0.2">
      <c r="A3884" t="s">
        <v>1774</v>
      </c>
      <c r="B3884">
        <v>0</v>
      </c>
      <c r="C3884">
        <v>0</v>
      </c>
      <c r="D3884">
        <v>0</v>
      </c>
      <c r="E3884">
        <v>0</v>
      </c>
      <c r="F3884">
        <v>0</v>
      </c>
      <c r="G3884">
        <v>0</v>
      </c>
    </row>
    <row r="3885" spans="1:7" x14ac:dyDescent="0.2">
      <c r="A3885" t="s">
        <v>1777</v>
      </c>
      <c r="B3885">
        <v>0</v>
      </c>
      <c r="C3885">
        <v>0</v>
      </c>
      <c r="D3885">
        <v>0</v>
      </c>
      <c r="E3885">
        <v>0</v>
      </c>
      <c r="F3885">
        <v>0</v>
      </c>
      <c r="G3885">
        <v>0</v>
      </c>
    </row>
    <row r="3886" spans="1:7" x14ac:dyDescent="0.2">
      <c r="A3886" t="s">
        <v>1782</v>
      </c>
      <c r="B3886">
        <v>0</v>
      </c>
      <c r="C3886">
        <v>0</v>
      </c>
      <c r="D3886">
        <v>0</v>
      </c>
      <c r="E3886">
        <v>0</v>
      </c>
      <c r="F3886">
        <v>0</v>
      </c>
      <c r="G3886">
        <v>0</v>
      </c>
    </row>
    <row r="3887" spans="1:7" x14ac:dyDescent="0.2">
      <c r="A3887" t="s">
        <v>1274</v>
      </c>
      <c r="B3887">
        <v>0</v>
      </c>
      <c r="C3887">
        <v>0</v>
      </c>
      <c r="D3887">
        <v>0</v>
      </c>
      <c r="E3887">
        <v>0</v>
      </c>
      <c r="F3887">
        <v>0</v>
      </c>
      <c r="G3887">
        <v>0</v>
      </c>
    </row>
    <row r="3888" spans="1:7" x14ac:dyDescent="0.2">
      <c r="A3888" t="s">
        <v>1277</v>
      </c>
      <c r="B3888">
        <v>0</v>
      </c>
      <c r="C3888">
        <v>0</v>
      </c>
      <c r="D3888">
        <v>0</v>
      </c>
      <c r="E3888">
        <v>0</v>
      </c>
      <c r="F3888">
        <v>0</v>
      </c>
      <c r="G3888">
        <v>0</v>
      </c>
    </row>
    <row r="3889" spans="1:7" x14ac:dyDescent="0.2">
      <c r="A3889" t="s">
        <v>1798</v>
      </c>
      <c r="B3889">
        <v>0</v>
      </c>
      <c r="C3889">
        <v>0</v>
      </c>
      <c r="D3889">
        <v>0</v>
      </c>
      <c r="E3889">
        <v>0</v>
      </c>
      <c r="F3889">
        <v>0</v>
      </c>
      <c r="G3889">
        <v>0</v>
      </c>
    </row>
    <row r="3890" spans="1:7" x14ac:dyDescent="0.2">
      <c r="A3890" t="s">
        <v>1803</v>
      </c>
      <c r="B3890">
        <v>0</v>
      </c>
      <c r="C3890">
        <v>0</v>
      </c>
      <c r="D3890">
        <v>0</v>
      </c>
      <c r="E3890">
        <v>0</v>
      </c>
      <c r="F3890">
        <v>0</v>
      </c>
      <c r="G3890">
        <v>0</v>
      </c>
    </row>
    <row r="3891" spans="1:7" x14ac:dyDescent="0.2">
      <c r="A3891" t="s">
        <v>1808</v>
      </c>
      <c r="B3891">
        <v>0</v>
      </c>
      <c r="C3891">
        <v>0</v>
      </c>
      <c r="D3891">
        <v>0</v>
      </c>
      <c r="E3891">
        <v>0</v>
      </c>
      <c r="F3891">
        <v>0</v>
      </c>
      <c r="G3891">
        <v>0</v>
      </c>
    </row>
    <row r="3892" spans="1:7" x14ac:dyDescent="0.2">
      <c r="A3892" t="s">
        <v>1813</v>
      </c>
      <c r="B3892">
        <v>0</v>
      </c>
      <c r="C3892">
        <v>0</v>
      </c>
      <c r="D3892">
        <v>0</v>
      </c>
      <c r="E3892">
        <v>0</v>
      </c>
      <c r="F3892">
        <v>0</v>
      </c>
      <c r="G3892">
        <v>0</v>
      </c>
    </row>
    <row r="3893" spans="1:7" x14ac:dyDescent="0.2">
      <c r="A3893" t="s">
        <v>1819</v>
      </c>
      <c r="B3893">
        <v>0</v>
      </c>
      <c r="C3893">
        <v>0</v>
      </c>
      <c r="D3893">
        <v>0</v>
      </c>
      <c r="E3893">
        <v>0</v>
      </c>
      <c r="F3893">
        <v>0</v>
      </c>
      <c r="G3893">
        <v>0</v>
      </c>
    </row>
    <row r="3894" spans="1:7" x14ac:dyDescent="0.2">
      <c r="A3894" t="s">
        <v>1826</v>
      </c>
      <c r="B3894">
        <v>0</v>
      </c>
      <c r="C3894">
        <v>0</v>
      </c>
      <c r="D3894">
        <v>0</v>
      </c>
      <c r="E3894">
        <v>0</v>
      </c>
      <c r="F3894">
        <v>0</v>
      </c>
      <c r="G3894">
        <v>0</v>
      </c>
    </row>
    <row r="3895" spans="1:7" x14ac:dyDescent="0.2">
      <c r="A3895" t="s">
        <v>1830</v>
      </c>
      <c r="B3895">
        <v>0</v>
      </c>
      <c r="C3895">
        <v>0</v>
      </c>
      <c r="D3895">
        <v>0</v>
      </c>
      <c r="E3895">
        <v>0</v>
      </c>
      <c r="F3895">
        <v>0</v>
      </c>
      <c r="G3895">
        <v>0</v>
      </c>
    </row>
    <row r="3896" spans="1:7" x14ac:dyDescent="0.2">
      <c r="A3896" t="s">
        <v>1836</v>
      </c>
      <c r="B3896">
        <v>0</v>
      </c>
      <c r="C3896">
        <v>0</v>
      </c>
      <c r="D3896">
        <v>0</v>
      </c>
      <c r="E3896">
        <v>0</v>
      </c>
      <c r="F3896">
        <v>0</v>
      </c>
      <c r="G3896">
        <v>0</v>
      </c>
    </row>
    <row r="3897" spans="1:7" x14ac:dyDescent="0.2">
      <c r="A3897" t="s">
        <v>1841</v>
      </c>
      <c r="B3897">
        <v>0</v>
      </c>
      <c r="C3897">
        <v>0</v>
      </c>
      <c r="D3897">
        <v>0</v>
      </c>
      <c r="E3897">
        <v>0</v>
      </c>
      <c r="F3897">
        <v>0</v>
      </c>
      <c r="G3897">
        <v>0</v>
      </c>
    </row>
    <row r="3898" spans="1:7" x14ac:dyDescent="0.2">
      <c r="A3898" t="s">
        <v>1842</v>
      </c>
      <c r="B3898">
        <v>0</v>
      </c>
      <c r="C3898">
        <v>0</v>
      </c>
      <c r="D3898">
        <v>0</v>
      </c>
      <c r="E3898">
        <v>0</v>
      </c>
      <c r="F3898">
        <v>0</v>
      </c>
      <c r="G3898">
        <v>0</v>
      </c>
    </row>
    <row r="3899" spans="1:7" x14ac:dyDescent="0.2">
      <c r="A3899" t="s">
        <v>1843</v>
      </c>
      <c r="B3899">
        <v>0</v>
      </c>
      <c r="C3899">
        <v>0</v>
      </c>
      <c r="D3899">
        <v>0</v>
      </c>
      <c r="E3899">
        <v>0</v>
      </c>
      <c r="F3899">
        <v>0</v>
      </c>
      <c r="G3899">
        <v>0</v>
      </c>
    </row>
    <row r="3900" spans="1:7" x14ac:dyDescent="0.2">
      <c r="A3900" t="s">
        <v>1846</v>
      </c>
      <c r="B3900">
        <v>0</v>
      </c>
      <c r="C3900">
        <v>0</v>
      </c>
      <c r="D3900">
        <v>0</v>
      </c>
      <c r="E3900">
        <v>0</v>
      </c>
      <c r="F3900">
        <v>0</v>
      </c>
      <c r="G3900">
        <v>0</v>
      </c>
    </row>
    <row r="3901" spans="1:7" x14ac:dyDescent="0.2">
      <c r="A3901" t="s">
        <v>1851</v>
      </c>
      <c r="B3901">
        <v>0</v>
      </c>
      <c r="C3901">
        <v>0</v>
      </c>
      <c r="D3901">
        <v>0</v>
      </c>
      <c r="E3901">
        <v>0</v>
      </c>
      <c r="F3901">
        <v>0</v>
      </c>
      <c r="G3901">
        <v>0</v>
      </c>
    </row>
    <row r="3902" spans="1:7" x14ac:dyDescent="0.2">
      <c r="A3902" t="s">
        <v>1857</v>
      </c>
      <c r="B3902">
        <v>0</v>
      </c>
      <c r="C3902">
        <v>0</v>
      </c>
      <c r="D3902">
        <v>0</v>
      </c>
      <c r="E3902">
        <v>0</v>
      </c>
      <c r="F3902">
        <v>0</v>
      </c>
      <c r="G3902">
        <v>0</v>
      </c>
    </row>
    <row r="3903" spans="1:7" x14ac:dyDescent="0.2">
      <c r="A3903" t="s">
        <v>1862</v>
      </c>
      <c r="B3903">
        <v>0</v>
      </c>
      <c r="C3903">
        <v>0</v>
      </c>
      <c r="D3903">
        <v>0</v>
      </c>
      <c r="E3903">
        <v>0</v>
      </c>
      <c r="F3903">
        <v>0</v>
      </c>
      <c r="G3903">
        <v>0</v>
      </c>
    </row>
    <row r="3904" spans="1:7" x14ac:dyDescent="0.2">
      <c r="A3904" t="s">
        <v>1867</v>
      </c>
      <c r="B3904">
        <v>0</v>
      </c>
      <c r="C3904">
        <v>0</v>
      </c>
      <c r="D3904">
        <v>0</v>
      </c>
      <c r="E3904">
        <v>0</v>
      </c>
      <c r="F3904">
        <v>0</v>
      </c>
      <c r="G3904">
        <v>0</v>
      </c>
    </row>
    <row r="3905" spans="1:7" x14ac:dyDescent="0.2">
      <c r="A3905" t="s">
        <v>1870</v>
      </c>
      <c r="B3905">
        <v>0</v>
      </c>
      <c r="C3905">
        <v>0</v>
      </c>
      <c r="D3905">
        <v>0</v>
      </c>
      <c r="E3905">
        <v>0</v>
      </c>
      <c r="F3905">
        <v>0</v>
      </c>
      <c r="G3905">
        <v>0</v>
      </c>
    </row>
    <row r="3906" spans="1:7" x14ac:dyDescent="0.2">
      <c r="A3906" t="s">
        <v>1874</v>
      </c>
      <c r="B3906">
        <v>0</v>
      </c>
      <c r="C3906">
        <v>0</v>
      </c>
      <c r="D3906">
        <v>0</v>
      </c>
      <c r="E3906">
        <v>0</v>
      </c>
      <c r="F3906">
        <v>0</v>
      </c>
      <c r="G3906">
        <v>0</v>
      </c>
    </row>
    <row r="3907" spans="1:7" x14ac:dyDescent="0.2">
      <c r="A3907" t="s">
        <v>1876</v>
      </c>
      <c r="B3907">
        <v>0</v>
      </c>
      <c r="C3907">
        <v>0</v>
      </c>
      <c r="D3907">
        <v>0</v>
      </c>
      <c r="E3907">
        <v>0</v>
      </c>
      <c r="F3907">
        <v>0</v>
      </c>
      <c r="G3907">
        <v>0</v>
      </c>
    </row>
    <row r="3908" spans="1:7" x14ac:dyDescent="0.2">
      <c r="A3908" t="s">
        <v>1881</v>
      </c>
      <c r="B3908">
        <v>0</v>
      </c>
      <c r="C3908">
        <v>0</v>
      </c>
      <c r="D3908">
        <v>0</v>
      </c>
      <c r="E3908">
        <v>0</v>
      </c>
      <c r="F3908">
        <v>0</v>
      </c>
      <c r="G3908">
        <v>0</v>
      </c>
    </row>
    <row r="3909" spans="1:7" x14ac:dyDescent="0.2">
      <c r="A3909" t="s">
        <v>1885</v>
      </c>
      <c r="B3909">
        <v>0</v>
      </c>
      <c r="C3909">
        <v>0</v>
      </c>
      <c r="D3909">
        <v>0</v>
      </c>
      <c r="E3909">
        <v>0</v>
      </c>
      <c r="F3909">
        <v>0</v>
      </c>
      <c r="G3909">
        <v>0</v>
      </c>
    </row>
    <row r="3910" spans="1:7" x14ac:dyDescent="0.2">
      <c r="A3910" t="s">
        <v>1887</v>
      </c>
      <c r="B3910">
        <v>0</v>
      </c>
      <c r="C3910">
        <v>0</v>
      </c>
      <c r="D3910">
        <v>0</v>
      </c>
      <c r="E3910">
        <v>0</v>
      </c>
      <c r="F3910">
        <v>0</v>
      </c>
      <c r="G3910">
        <v>0</v>
      </c>
    </row>
    <row r="3911" spans="1:7" x14ac:dyDescent="0.2">
      <c r="A3911" t="s">
        <v>1893</v>
      </c>
      <c r="B3911">
        <v>0</v>
      </c>
      <c r="C3911">
        <v>0</v>
      </c>
      <c r="D3911">
        <v>0</v>
      </c>
      <c r="E3911">
        <v>0</v>
      </c>
      <c r="F3911">
        <v>0</v>
      </c>
      <c r="G3911">
        <v>0</v>
      </c>
    </row>
    <row r="3912" spans="1:7" x14ac:dyDescent="0.2">
      <c r="A3912" t="s">
        <v>1899</v>
      </c>
      <c r="B3912">
        <v>0</v>
      </c>
      <c r="C3912">
        <v>0</v>
      </c>
      <c r="D3912">
        <v>0</v>
      </c>
      <c r="E3912">
        <v>0</v>
      </c>
      <c r="F3912">
        <v>0</v>
      </c>
      <c r="G3912">
        <v>0</v>
      </c>
    </row>
    <row r="3913" spans="1:7" x14ac:dyDescent="0.2">
      <c r="A3913" t="s">
        <v>1906</v>
      </c>
      <c r="B3913">
        <v>0</v>
      </c>
      <c r="C3913">
        <v>0</v>
      </c>
      <c r="D3913">
        <v>0</v>
      </c>
      <c r="E3913">
        <v>0</v>
      </c>
      <c r="F3913">
        <v>0</v>
      </c>
      <c r="G3913">
        <v>0</v>
      </c>
    </row>
    <row r="3914" spans="1:7" x14ac:dyDescent="0.2">
      <c r="A3914" t="s">
        <v>1911</v>
      </c>
      <c r="B3914">
        <v>0</v>
      </c>
      <c r="C3914">
        <v>0</v>
      </c>
      <c r="D3914">
        <v>0</v>
      </c>
      <c r="E3914">
        <v>0</v>
      </c>
      <c r="F3914">
        <v>0</v>
      </c>
      <c r="G3914">
        <v>0</v>
      </c>
    </row>
    <row r="3915" spans="1:7" x14ac:dyDescent="0.2">
      <c r="A3915" t="s">
        <v>1917</v>
      </c>
      <c r="B3915">
        <v>0</v>
      </c>
      <c r="C3915">
        <v>0</v>
      </c>
      <c r="D3915">
        <v>0</v>
      </c>
      <c r="E3915">
        <v>0</v>
      </c>
      <c r="F3915">
        <v>0</v>
      </c>
      <c r="G3915">
        <v>0</v>
      </c>
    </row>
    <row r="3916" spans="1:7" x14ac:dyDescent="0.2">
      <c r="A3916" t="s">
        <v>1922</v>
      </c>
      <c r="B3916">
        <v>0</v>
      </c>
      <c r="C3916">
        <v>0</v>
      </c>
      <c r="D3916">
        <v>0</v>
      </c>
      <c r="E3916">
        <v>0</v>
      </c>
      <c r="F3916">
        <v>0</v>
      </c>
      <c r="G3916">
        <v>0</v>
      </c>
    </row>
    <row r="3917" spans="1:7" x14ac:dyDescent="0.2">
      <c r="A3917" t="s">
        <v>1928</v>
      </c>
      <c r="B3917">
        <v>0</v>
      </c>
      <c r="C3917">
        <v>0</v>
      </c>
      <c r="D3917">
        <v>0</v>
      </c>
      <c r="E3917">
        <v>0</v>
      </c>
      <c r="F3917">
        <v>0</v>
      </c>
      <c r="G3917">
        <v>0</v>
      </c>
    </row>
    <row r="3918" spans="1:7" x14ac:dyDescent="0.2">
      <c r="A3918" t="s">
        <v>1932</v>
      </c>
      <c r="B3918">
        <v>0</v>
      </c>
      <c r="C3918">
        <v>0</v>
      </c>
      <c r="D3918">
        <v>0</v>
      </c>
      <c r="E3918">
        <v>0</v>
      </c>
      <c r="F3918">
        <v>0</v>
      </c>
      <c r="G3918">
        <v>0</v>
      </c>
    </row>
    <row r="3919" spans="1:7" x14ac:dyDescent="0.2">
      <c r="A3919" t="s">
        <v>1938</v>
      </c>
      <c r="B3919">
        <v>0</v>
      </c>
      <c r="C3919">
        <v>0</v>
      </c>
      <c r="D3919">
        <v>0</v>
      </c>
      <c r="E3919">
        <v>0</v>
      </c>
      <c r="F3919">
        <v>0</v>
      </c>
      <c r="G3919">
        <v>0</v>
      </c>
    </row>
    <row r="3920" spans="1:7" x14ac:dyDescent="0.2">
      <c r="A3920" t="s">
        <v>1944</v>
      </c>
      <c r="B3920">
        <v>0</v>
      </c>
      <c r="C3920">
        <v>0</v>
      </c>
      <c r="D3920">
        <v>0</v>
      </c>
      <c r="E3920">
        <v>0</v>
      </c>
      <c r="F3920">
        <v>0</v>
      </c>
      <c r="G3920">
        <v>0</v>
      </c>
    </row>
    <row r="3921" spans="1:7" x14ac:dyDescent="0.2">
      <c r="A3921" t="s">
        <v>1947</v>
      </c>
      <c r="B3921">
        <v>0</v>
      </c>
      <c r="C3921">
        <v>0</v>
      </c>
      <c r="D3921">
        <v>0</v>
      </c>
      <c r="E3921">
        <v>0</v>
      </c>
      <c r="F3921">
        <v>0</v>
      </c>
      <c r="G3921">
        <v>0</v>
      </c>
    </row>
    <row r="3922" spans="1:7" x14ac:dyDescent="0.2">
      <c r="A3922" t="s">
        <v>1953</v>
      </c>
      <c r="B3922">
        <v>0</v>
      </c>
      <c r="C3922">
        <v>0</v>
      </c>
      <c r="D3922">
        <v>0</v>
      </c>
      <c r="E3922">
        <v>0</v>
      </c>
      <c r="F3922">
        <v>0</v>
      </c>
      <c r="G3922">
        <v>0</v>
      </c>
    </row>
    <row r="3923" spans="1:7" x14ac:dyDescent="0.2">
      <c r="A3923" t="s">
        <v>1958</v>
      </c>
      <c r="B3923">
        <v>0</v>
      </c>
      <c r="C3923">
        <v>0</v>
      </c>
      <c r="D3923">
        <v>0</v>
      </c>
      <c r="E3923">
        <v>0</v>
      </c>
      <c r="F3923">
        <v>0</v>
      </c>
      <c r="G3923">
        <v>0</v>
      </c>
    </row>
    <row r="3924" spans="1:7" x14ac:dyDescent="0.2">
      <c r="A3924" t="s">
        <v>1964</v>
      </c>
      <c r="B3924">
        <v>0</v>
      </c>
      <c r="C3924">
        <v>0</v>
      </c>
      <c r="D3924">
        <v>0</v>
      </c>
      <c r="E3924">
        <v>0</v>
      </c>
      <c r="F3924">
        <v>0</v>
      </c>
      <c r="G3924">
        <v>0</v>
      </c>
    </row>
    <row r="3925" spans="1:7" x14ac:dyDescent="0.2">
      <c r="A3925" t="s">
        <v>1973</v>
      </c>
      <c r="B3925">
        <v>0</v>
      </c>
      <c r="C3925">
        <v>0</v>
      </c>
      <c r="D3925">
        <v>0</v>
      </c>
      <c r="E3925">
        <v>0</v>
      </c>
      <c r="F3925">
        <v>0</v>
      </c>
      <c r="G3925">
        <v>0</v>
      </c>
    </row>
    <row r="3926" spans="1:7" x14ac:dyDescent="0.2">
      <c r="A3926" t="s">
        <v>1978</v>
      </c>
      <c r="B3926">
        <v>0</v>
      </c>
      <c r="C3926">
        <v>0</v>
      </c>
      <c r="D3926">
        <v>0</v>
      </c>
      <c r="E3926">
        <v>0</v>
      </c>
      <c r="F3926">
        <v>0</v>
      </c>
      <c r="G3926">
        <v>0</v>
      </c>
    </row>
    <row r="3927" spans="1:7" x14ac:dyDescent="0.2">
      <c r="A3927" t="s">
        <v>1983</v>
      </c>
      <c r="B3927">
        <v>0</v>
      </c>
      <c r="C3927">
        <v>0</v>
      </c>
      <c r="D3927">
        <v>0</v>
      </c>
      <c r="E3927">
        <v>0</v>
      </c>
      <c r="F3927">
        <v>0</v>
      </c>
      <c r="G3927">
        <v>0</v>
      </c>
    </row>
    <row r="3928" spans="1:7" x14ac:dyDescent="0.2">
      <c r="A3928" t="s">
        <v>1984</v>
      </c>
      <c r="B3928">
        <v>0</v>
      </c>
      <c r="C3928">
        <v>0</v>
      </c>
      <c r="D3928">
        <v>0</v>
      </c>
      <c r="E3928">
        <v>0</v>
      </c>
      <c r="F3928">
        <v>0</v>
      </c>
      <c r="G3928">
        <v>0</v>
      </c>
    </row>
    <row r="3929" spans="1:7" x14ac:dyDescent="0.2">
      <c r="A3929" t="s">
        <v>1990</v>
      </c>
      <c r="B3929">
        <v>0</v>
      </c>
      <c r="C3929">
        <v>0</v>
      </c>
      <c r="D3929">
        <v>0</v>
      </c>
      <c r="E3929">
        <v>0</v>
      </c>
      <c r="F3929">
        <v>0</v>
      </c>
      <c r="G3929">
        <v>0</v>
      </c>
    </row>
    <row r="3930" spans="1:7" x14ac:dyDescent="0.2">
      <c r="A3930" t="s">
        <v>1996</v>
      </c>
      <c r="B3930">
        <v>0</v>
      </c>
      <c r="C3930">
        <v>0</v>
      </c>
      <c r="D3930">
        <v>0</v>
      </c>
      <c r="E3930">
        <v>0</v>
      </c>
      <c r="F3930">
        <v>0</v>
      </c>
      <c r="G3930">
        <v>0</v>
      </c>
    </row>
    <row r="3931" spans="1:7" x14ac:dyDescent="0.2">
      <c r="A3931" t="s">
        <v>1998</v>
      </c>
      <c r="B3931">
        <v>0</v>
      </c>
      <c r="C3931">
        <v>0</v>
      </c>
      <c r="D3931">
        <v>0</v>
      </c>
      <c r="E3931">
        <v>0</v>
      </c>
      <c r="F3931">
        <v>0</v>
      </c>
      <c r="G3931">
        <v>0</v>
      </c>
    </row>
    <row r="3932" spans="1:7" x14ac:dyDescent="0.2">
      <c r="A3932" t="s">
        <v>1999</v>
      </c>
      <c r="B3932">
        <v>0</v>
      </c>
      <c r="C3932">
        <v>0</v>
      </c>
      <c r="D3932">
        <v>0</v>
      </c>
      <c r="E3932">
        <v>0</v>
      </c>
      <c r="F3932">
        <v>0</v>
      </c>
      <c r="G3932">
        <v>0</v>
      </c>
    </row>
    <row r="3933" spans="1:7" x14ac:dyDescent="0.2">
      <c r="A3933" t="s">
        <v>2004</v>
      </c>
      <c r="B3933">
        <v>0</v>
      </c>
      <c r="C3933">
        <v>0</v>
      </c>
      <c r="D3933">
        <v>0</v>
      </c>
      <c r="E3933">
        <v>0</v>
      </c>
      <c r="F3933">
        <v>0</v>
      </c>
      <c r="G3933">
        <v>0</v>
      </c>
    </row>
    <row r="3934" spans="1:7" x14ac:dyDescent="0.2">
      <c r="A3934" t="s">
        <v>2009</v>
      </c>
      <c r="B3934">
        <v>0</v>
      </c>
      <c r="C3934">
        <v>0</v>
      </c>
      <c r="D3934">
        <v>0</v>
      </c>
      <c r="E3934">
        <v>0</v>
      </c>
      <c r="F3934">
        <v>0</v>
      </c>
      <c r="G3934">
        <v>0</v>
      </c>
    </row>
    <row r="3935" spans="1:7" x14ac:dyDescent="0.2">
      <c r="A3935" t="s">
        <v>2014</v>
      </c>
      <c r="B3935">
        <v>0</v>
      </c>
      <c r="C3935">
        <v>0</v>
      </c>
      <c r="D3935">
        <v>0</v>
      </c>
      <c r="E3935">
        <v>0</v>
      </c>
      <c r="F3935">
        <v>0</v>
      </c>
      <c r="G3935">
        <v>0</v>
      </c>
    </row>
    <row r="3936" spans="1:7" x14ac:dyDescent="0.2">
      <c r="A3936" t="s">
        <v>2019</v>
      </c>
      <c r="B3936">
        <v>0</v>
      </c>
      <c r="C3936">
        <v>0</v>
      </c>
      <c r="D3936">
        <v>0</v>
      </c>
      <c r="E3936">
        <v>0</v>
      </c>
      <c r="F3936">
        <v>0</v>
      </c>
      <c r="G3936">
        <v>0</v>
      </c>
    </row>
    <row r="3937" spans="1:7" x14ac:dyDescent="0.2">
      <c r="A3937" t="s">
        <v>2023</v>
      </c>
      <c r="B3937">
        <v>0</v>
      </c>
      <c r="C3937">
        <v>0</v>
      </c>
      <c r="D3937">
        <v>0</v>
      </c>
      <c r="E3937">
        <v>0</v>
      </c>
      <c r="F3937">
        <v>0</v>
      </c>
      <c r="G3937">
        <v>0</v>
      </c>
    </row>
    <row r="3938" spans="1:7" x14ac:dyDescent="0.2">
      <c r="A3938" t="s">
        <v>2026</v>
      </c>
      <c r="B3938">
        <v>0</v>
      </c>
      <c r="C3938">
        <v>0</v>
      </c>
      <c r="D3938">
        <v>0</v>
      </c>
      <c r="E3938">
        <v>0</v>
      </c>
      <c r="F3938">
        <v>0</v>
      </c>
      <c r="G3938">
        <v>0</v>
      </c>
    </row>
    <row r="3939" spans="1:7" x14ac:dyDescent="0.2">
      <c r="A3939" t="s">
        <v>2030</v>
      </c>
      <c r="B3939">
        <v>0</v>
      </c>
      <c r="C3939">
        <v>0</v>
      </c>
      <c r="D3939">
        <v>0</v>
      </c>
      <c r="E3939">
        <v>0</v>
      </c>
      <c r="F3939">
        <v>0</v>
      </c>
      <c r="G3939">
        <v>0</v>
      </c>
    </row>
    <row r="3940" spans="1:7" x14ac:dyDescent="0.2">
      <c r="A3940" t="s">
        <v>2035</v>
      </c>
      <c r="B3940">
        <v>0</v>
      </c>
      <c r="C3940">
        <v>0</v>
      </c>
      <c r="D3940">
        <v>0</v>
      </c>
      <c r="E3940">
        <v>0</v>
      </c>
      <c r="F3940">
        <v>0</v>
      </c>
      <c r="G3940">
        <v>0</v>
      </c>
    </row>
    <row r="3941" spans="1:7" x14ac:dyDescent="0.2">
      <c r="A3941" t="s">
        <v>2040</v>
      </c>
      <c r="B3941">
        <v>0</v>
      </c>
      <c r="C3941">
        <v>0</v>
      </c>
      <c r="D3941">
        <v>0</v>
      </c>
      <c r="E3941">
        <v>0</v>
      </c>
      <c r="F3941">
        <v>0</v>
      </c>
      <c r="G3941">
        <v>0</v>
      </c>
    </row>
    <row r="3942" spans="1:7" x14ac:dyDescent="0.2">
      <c r="A3942" t="s">
        <v>2045</v>
      </c>
      <c r="B3942">
        <v>0</v>
      </c>
      <c r="C3942">
        <v>0</v>
      </c>
      <c r="D3942">
        <v>0</v>
      </c>
      <c r="E3942">
        <v>0</v>
      </c>
      <c r="F3942">
        <v>0</v>
      </c>
      <c r="G3942">
        <v>0</v>
      </c>
    </row>
    <row r="3943" spans="1:7" x14ac:dyDescent="0.2">
      <c r="A3943" t="s">
        <v>2049</v>
      </c>
      <c r="B3943">
        <v>0</v>
      </c>
      <c r="C3943">
        <v>0</v>
      </c>
      <c r="D3943">
        <v>0</v>
      </c>
      <c r="E3943">
        <v>0</v>
      </c>
      <c r="F3943">
        <v>0</v>
      </c>
      <c r="G3943">
        <v>0</v>
      </c>
    </row>
    <row r="3944" spans="1:7" x14ac:dyDescent="0.2">
      <c r="A3944" t="s">
        <v>2051</v>
      </c>
      <c r="B3944">
        <v>0</v>
      </c>
      <c r="C3944">
        <v>0</v>
      </c>
      <c r="D3944">
        <v>0</v>
      </c>
      <c r="E3944">
        <v>0</v>
      </c>
      <c r="F3944">
        <v>0</v>
      </c>
      <c r="G3944">
        <v>0</v>
      </c>
    </row>
    <row r="3945" spans="1:7" x14ac:dyDescent="0.2">
      <c r="A3945" t="s">
        <v>2057</v>
      </c>
      <c r="B3945">
        <v>0</v>
      </c>
      <c r="C3945">
        <v>0</v>
      </c>
      <c r="D3945">
        <v>0</v>
      </c>
      <c r="E3945">
        <v>0</v>
      </c>
      <c r="F3945">
        <v>0</v>
      </c>
      <c r="G3945">
        <v>0</v>
      </c>
    </row>
    <row r="3946" spans="1:7" x14ac:dyDescent="0.2">
      <c r="A3946" t="s">
        <v>4344</v>
      </c>
      <c r="B3946">
        <v>0</v>
      </c>
      <c r="C3946">
        <v>0</v>
      </c>
      <c r="D3946">
        <v>0</v>
      </c>
      <c r="E3946">
        <v>0</v>
      </c>
      <c r="F3946">
        <v>0</v>
      </c>
      <c r="G3946">
        <v>0</v>
      </c>
    </row>
    <row r="3947" spans="1:7" x14ac:dyDescent="0.2">
      <c r="A3947" t="s">
        <v>4345</v>
      </c>
      <c r="B3947">
        <v>0</v>
      </c>
      <c r="C3947">
        <v>0</v>
      </c>
      <c r="D3947">
        <v>0</v>
      </c>
      <c r="E3947">
        <v>0</v>
      </c>
      <c r="F3947">
        <v>0</v>
      </c>
      <c r="G3947">
        <v>0</v>
      </c>
    </row>
    <row r="3948" spans="1:7" x14ac:dyDescent="0.2">
      <c r="A3948" t="s">
        <v>2074</v>
      </c>
      <c r="B3948">
        <v>0</v>
      </c>
      <c r="C3948">
        <v>0</v>
      </c>
      <c r="D3948">
        <v>0</v>
      </c>
      <c r="E3948">
        <v>0</v>
      </c>
      <c r="F3948">
        <v>0</v>
      </c>
      <c r="G3948">
        <v>0</v>
      </c>
    </row>
    <row r="3949" spans="1:7" x14ac:dyDescent="0.2">
      <c r="A3949" t="s">
        <v>2079</v>
      </c>
      <c r="B3949">
        <v>0</v>
      </c>
      <c r="C3949">
        <v>0</v>
      </c>
      <c r="D3949">
        <v>0</v>
      </c>
      <c r="E3949">
        <v>0</v>
      </c>
      <c r="F3949">
        <v>0</v>
      </c>
      <c r="G3949">
        <v>0</v>
      </c>
    </row>
    <row r="3950" spans="1:7" x14ac:dyDescent="0.2">
      <c r="A3950" t="s">
        <v>2085</v>
      </c>
      <c r="B3950">
        <v>0</v>
      </c>
      <c r="C3950">
        <v>0</v>
      </c>
      <c r="D3950">
        <v>0</v>
      </c>
      <c r="E3950">
        <v>0</v>
      </c>
      <c r="F3950">
        <v>0</v>
      </c>
      <c r="G3950">
        <v>0</v>
      </c>
    </row>
    <row r="3951" spans="1:7" x14ac:dyDescent="0.2">
      <c r="A3951" t="s">
        <v>2091</v>
      </c>
      <c r="B3951">
        <v>0</v>
      </c>
      <c r="C3951">
        <v>0</v>
      </c>
      <c r="D3951">
        <v>0</v>
      </c>
      <c r="E3951">
        <v>0</v>
      </c>
      <c r="F3951">
        <v>0</v>
      </c>
      <c r="G3951">
        <v>0</v>
      </c>
    </row>
    <row r="3952" spans="1:7" x14ac:dyDescent="0.2">
      <c r="A3952" t="s">
        <v>2097</v>
      </c>
      <c r="B3952">
        <v>0</v>
      </c>
      <c r="C3952">
        <v>0</v>
      </c>
      <c r="D3952">
        <v>0</v>
      </c>
      <c r="E3952">
        <v>0</v>
      </c>
      <c r="F3952">
        <v>0</v>
      </c>
      <c r="G3952">
        <v>0</v>
      </c>
    </row>
    <row r="3953" spans="1:7" x14ac:dyDescent="0.2">
      <c r="A3953" t="s">
        <v>2101</v>
      </c>
      <c r="B3953">
        <v>0</v>
      </c>
      <c r="C3953">
        <v>0</v>
      </c>
      <c r="D3953">
        <v>0</v>
      </c>
      <c r="E3953">
        <v>0</v>
      </c>
      <c r="F3953">
        <v>0</v>
      </c>
      <c r="G3953">
        <v>0</v>
      </c>
    </row>
    <row r="3954" spans="1:7" x14ac:dyDescent="0.2">
      <c r="A3954" t="s">
        <v>2104</v>
      </c>
      <c r="B3954">
        <v>0</v>
      </c>
      <c r="C3954">
        <v>0</v>
      </c>
      <c r="D3954">
        <v>0</v>
      </c>
      <c r="E3954">
        <v>0</v>
      </c>
      <c r="F3954">
        <v>0</v>
      </c>
      <c r="G3954">
        <v>0</v>
      </c>
    </row>
    <row r="3955" spans="1:7" x14ac:dyDescent="0.2">
      <c r="A3955" t="s">
        <v>2107</v>
      </c>
      <c r="B3955">
        <v>0</v>
      </c>
      <c r="C3955">
        <v>0</v>
      </c>
      <c r="D3955">
        <v>0</v>
      </c>
      <c r="E3955">
        <v>0</v>
      </c>
      <c r="F3955">
        <v>0</v>
      </c>
      <c r="G3955">
        <v>0</v>
      </c>
    </row>
    <row r="3956" spans="1:7" x14ac:dyDescent="0.2">
      <c r="A3956" t="s">
        <v>2110</v>
      </c>
      <c r="B3956">
        <v>0</v>
      </c>
      <c r="C3956">
        <v>0</v>
      </c>
      <c r="D3956">
        <v>0</v>
      </c>
      <c r="E3956">
        <v>0</v>
      </c>
      <c r="F3956">
        <v>0</v>
      </c>
      <c r="G3956">
        <v>0</v>
      </c>
    </row>
    <row r="3957" spans="1:7" x14ac:dyDescent="0.2">
      <c r="A3957" t="s">
        <v>2113</v>
      </c>
      <c r="B3957">
        <v>0</v>
      </c>
      <c r="C3957">
        <v>0</v>
      </c>
      <c r="D3957">
        <v>0</v>
      </c>
      <c r="E3957">
        <v>0</v>
      </c>
      <c r="F3957">
        <v>0</v>
      </c>
      <c r="G3957">
        <v>0</v>
      </c>
    </row>
    <row r="3958" spans="1:7" x14ac:dyDescent="0.2">
      <c r="A3958" t="s">
        <v>4346</v>
      </c>
      <c r="B3958">
        <v>0</v>
      </c>
      <c r="C3958">
        <v>0</v>
      </c>
      <c r="D3958">
        <v>0</v>
      </c>
      <c r="E3958">
        <v>0</v>
      </c>
      <c r="F3958">
        <v>0</v>
      </c>
      <c r="G3958">
        <v>0</v>
      </c>
    </row>
    <row r="3959" spans="1:7" x14ac:dyDescent="0.2">
      <c r="A3959" t="s">
        <v>4347</v>
      </c>
      <c r="B3959">
        <v>0</v>
      </c>
      <c r="C3959">
        <v>0</v>
      </c>
      <c r="D3959">
        <v>0</v>
      </c>
      <c r="E3959">
        <v>0</v>
      </c>
      <c r="F3959">
        <v>0</v>
      </c>
      <c r="G3959">
        <v>0</v>
      </c>
    </row>
    <row r="3960" spans="1:7" x14ac:dyDescent="0.2">
      <c r="A3960" t="s">
        <v>4348</v>
      </c>
      <c r="B3960">
        <v>0</v>
      </c>
      <c r="C3960">
        <v>0</v>
      </c>
      <c r="D3960">
        <v>0</v>
      </c>
      <c r="E3960">
        <v>0</v>
      </c>
      <c r="F3960">
        <v>0</v>
      </c>
      <c r="G3960">
        <v>0</v>
      </c>
    </row>
    <row r="3961" spans="1:7" x14ac:dyDescent="0.2">
      <c r="A3961" t="s">
        <v>4349</v>
      </c>
      <c r="B3961">
        <v>0</v>
      </c>
      <c r="C3961">
        <v>0</v>
      </c>
      <c r="D3961">
        <v>0</v>
      </c>
      <c r="E3961">
        <v>0</v>
      </c>
      <c r="F3961">
        <v>0</v>
      </c>
      <c r="G3961">
        <v>0</v>
      </c>
    </row>
    <row r="3962" spans="1:7" x14ac:dyDescent="0.2">
      <c r="A3962" t="s">
        <v>4350</v>
      </c>
      <c r="B3962">
        <v>0</v>
      </c>
      <c r="C3962">
        <v>0</v>
      </c>
      <c r="D3962">
        <v>0</v>
      </c>
      <c r="E3962">
        <v>0</v>
      </c>
      <c r="F3962">
        <v>0</v>
      </c>
      <c r="G3962">
        <v>0</v>
      </c>
    </row>
    <row r="3963" spans="1:7" x14ac:dyDescent="0.2">
      <c r="A3963" t="s">
        <v>4351</v>
      </c>
      <c r="B3963">
        <v>0</v>
      </c>
      <c r="C3963">
        <v>0</v>
      </c>
      <c r="D3963">
        <v>0</v>
      </c>
      <c r="E3963">
        <v>0</v>
      </c>
      <c r="F3963">
        <v>0</v>
      </c>
      <c r="G3963">
        <v>0</v>
      </c>
    </row>
    <row r="3964" spans="1:7" x14ac:dyDescent="0.2">
      <c r="A3964" t="s">
        <v>4352</v>
      </c>
      <c r="B3964">
        <v>0</v>
      </c>
      <c r="C3964">
        <v>0</v>
      </c>
      <c r="D3964">
        <v>0</v>
      </c>
      <c r="E3964">
        <v>0</v>
      </c>
      <c r="F3964">
        <v>0</v>
      </c>
      <c r="G3964">
        <v>0</v>
      </c>
    </row>
    <row r="3965" spans="1:7" x14ac:dyDescent="0.2">
      <c r="A3965" t="s">
        <v>4353</v>
      </c>
      <c r="B3965">
        <v>0</v>
      </c>
      <c r="C3965">
        <v>0</v>
      </c>
      <c r="D3965">
        <v>0</v>
      </c>
      <c r="E3965">
        <v>0</v>
      </c>
      <c r="F3965">
        <v>0</v>
      </c>
      <c r="G3965">
        <v>0</v>
      </c>
    </row>
    <row r="3966" spans="1:7" x14ac:dyDescent="0.2">
      <c r="A3966" t="s">
        <v>4354</v>
      </c>
      <c r="B3966">
        <v>0</v>
      </c>
      <c r="C3966">
        <v>0</v>
      </c>
      <c r="D3966">
        <v>0</v>
      </c>
      <c r="E3966">
        <v>0</v>
      </c>
      <c r="F3966">
        <v>0</v>
      </c>
      <c r="G3966">
        <v>0</v>
      </c>
    </row>
    <row r="3967" spans="1:7" x14ac:dyDescent="0.2">
      <c r="A3967" t="s">
        <v>4355</v>
      </c>
      <c r="B3967">
        <v>0</v>
      </c>
      <c r="C3967">
        <v>0</v>
      </c>
      <c r="D3967">
        <v>0</v>
      </c>
      <c r="E3967">
        <v>0</v>
      </c>
      <c r="F3967">
        <v>0</v>
      </c>
      <c r="G3967">
        <v>0</v>
      </c>
    </row>
    <row r="3968" spans="1:7" x14ac:dyDescent="0.2">
      <c r="A3968" t="s">
        <v>4356</v>
      </c>
      <c r="B3968">
        <v>0</v>
      </c>
      <c r="C3968">
        <v>0</v>
      </c>
      <c r="D3968">
        <v>0</v>
      </c>
      <c r="E3968">
        <v>0</v>
      </c>
      <c r="F3968">
        <v>0</v>
      </c>
      <c r="G3968">
        <v>0</v>
      </c>
    </row>
    <row r="3969" spans="1:7" x14ac:dyDescent="0.2">
      <c r="A3969" t="s">
        <v>4357</v>
      </c>
      <c r="B3969">
        <v>0</v>
      </c>
      <c r="C3969">
        <v>0</v>
      </c>
      <c r="D3969">
        <v>0</v>
      </c>
      <c r="E3969">
        <v>0</v>
      </c>
      <c r="F3969">
        <v>0</v>
      </c>
      <c r="G3969">
        <v>0</v>
      </c>
    </row>
    <row r="3970" spans="1:7" x14ac:dyDescent="0.2">
      <c r="A3970" t="s">
        <v>4358</v>
      </c>
      <c r="B3970">
        <v>0</v>
      </c>
      <c r="C3970">
        <v>0</v>
      </c>
      <c r="D3970">
        <v>0</v>
      </c>
      <c r="E3970">
        <v>0</v>
      </c>
      <c r="F3970">
        <v>0</v>
      </c>
      <c r="G3970">
        <v>0</v>
      </c>
    </row>
    <row r="3971" spans="1:7" x14ac:dyDescent="0.2">
      <c r="A3971" t="s">
        <v>4359</v>
      </c>
      <c r="B3971">
        <v>0</v>
      </c>
      <c r="C3971">
        <v>0</v>
      </c>
      <c r="D3971">
        <v>0</v>
      </c>
      <c r="E3971">
        <v>0</v>
      </c>
      <c r="F3971">
        <v>0</v>
      </c>
      <c r="G3971">
        <v>0</v>
      </c>
    </row>
    <row r="3972" spans="1:7" x14ac:dyDescent="0.2">
      <c r="A3972" t="s">
        <v>4360</v>
      </c>
      <c r="B3972">
        <v>0</v>
      </c>
      <c r="C3972">
        <v>0</v>
      </c>
      <c r="D3972">
        <v>0</v>
      </c>
      <c r="E3972">
        <v>0</v>
      </c>
      <c r="F3972">
        <v>0</v>
      </c>
      <c r="G3972">
        <v>0</v>
      </c>
    </row>
    <row r="3973" spans="1:7" x14ac:dyDescent="0.2">
      <c r="A3973" t="s">
        <v>4361</v>
      </c>
      <c r="B3973">
        <v>0</v>
      </c>
      <c r="C3973">
        <v>0</v>
      </c>
      <c r="D3973">
        <v>0</v>
      </c>
      <c r="E3973">
        <v>0</v>
      </c>
      <c r="F3973">
        <v>0</v>
      </c>
      <c r="G3973">
        <v>0</v>
      </c>
    </row>
    <row r="3974" spans="1:7" x14ac:dyDescent="0.2">
      <c r="A3974" t="s">
        <v>4362</v>
      </c>
      <c r="B3974">
        <v>0</v>
      </c>
      <c r="C3974">
        <v>0</v>
      </c>
      <c r="D3974">
        <v>0</v>
      </c>
      <c r="E3974">
        <v>0</v>
      </c>
      <c r="F3974">
        <v>0</v>
      </c>
      <c r="G3974">
        <v>0</v>
      </c>
    </row>
    <row r="3975" spans="1:7" x14ac:dyDescent="0.2">
      <c r="A3975" t="s">
        <v>4363</v>
      </c>
      <c r="B3975">
        <v>0</v>
      </c>
      <c r="C3975">
        <v>0</v>
      </c>
      <c r="D3975">
        <v>0</v>
      </c>
      <c r="E3975">
        <v>0</v>
      </c>
      <c r="F3975">
        <v>0</v>
      </c>
      <c r="G3975">
        <v>0</v>
      </c>
    </row>
    <row r="3976" spans="1:7" x14ac:dyDescent="0.2">
      <c r="A3976" t="s">
        <v>4364</v>
      </c>
      <c r="B3976">
        <v>0</v>
      </c>
      <c r="C3976">
        <v>0</v>
      </c>
      <c r="D3976">
        <v>0</v>
      </c>
      <c r="E3976">
        <v>0</v>
      </c>
      <c r="F3976">
        <v>0</v>
      </c>
      <c r="G3976">
        <v>0</v>
      </c>
    </row>
    <row r="3977" spans="1:7" x14ac:dyDescent="0.2">
      <c r="A3977" t="s">
        <v>4365</v>
      </c>
      <c r="B3977">
        <v>0</v>
      </c>
      <c r="C3977">
        <v>0</v>
      </c>
      <c r="D3977">
        <v>0</v>
      </c>
      <c r="E3977">
        <v>0</v>
      </c>
      <c r="F3977">
        <v>0</v>
      </c>
      <c r="G3977">
        <v>0</v>
      </c>
    </row>
    <row r="3978" spans="1:7" x14ac:dyDescent="0.2">
      <c r="A3978" t="s">
        <v>4366</v>
      </c>
      <c r="B3978">
        <v>0</v>
      </c>
      <c r="C3978">
        <v>0</v>
      </c>
      <c r="D3978">
        <v>0</v>
      </c>
      <c r="E3978">
        <v>0</v>
      </c>
      <c r="F3978">
        <v>0</v>
      </c>
      <c r="G3978">
        <v>0</v>
      </c>
    </row>
    <row r="3979" spans="1:7" x14ac:dyDescent="0.2">
      <c r="A3979" t="s">
        <v>4367</v>
      </c>
      <c r="B3979">
        <v>0</v>
      </c>
      <c r="C3979">
        <v>0</v>
      </c>
      <c r="D3979">
        <v>0</v>
      </c>
      <c r="E3979">
        <v>0</v>
      </c>
      <c r="F3979">
        <v>0</v>
      </c>
      <c r="G3979">
        <v>0</v>
      </c>
    </row>
    <row r="3980" spans="1:7" x14ac:dyDescent="0.2">
      <c r="A3980" t="s">
        <v>4368</v>
      </c>
      <c r="B3980">
        <v>0</v>
      </c>
      <c r="C3980">
        <v>0</v>
      </c>
      <c r="D3980">
        <v>0</v>
      </c>
      <c r="E3980">
        <v>0</v>
      </c>
      <c r="F3980">
        <v>0</v>
      </c>
      <c r="G3980">
        <v>0</v>
      </c>
    </row>
    <row r="3981" spans="1:7" x14ac:dyDescent="0.2">
      <c r="A3981" t="s">
        <v>4369</v>
      </c>
      <c r="B3981">
        <v>0</v>
      </c>
      <c r="C3981">
        <v>0</v>
      </c>
      <c r="D3981">
        <v>0</v>
      </c>
      <c r="E3981">
        <v>0</v>
      </c>
      <c r="F3981">
        <v>0</v>
      </c>
      <c r="G3981">
        <v>0</v>
      </c>
    </row>
    <row r="3982" spans="1:7" x14ac:dyDescent="0.2">
      <c r="A3982" t="s">
        <v>4370</v>
      </c>
      <c r="B3982">
        <v>0</v>
      </c>
      <c r="C3982">
        <v>0</v>
      </c>
      <c r="D3982">
        <v>0</v>
      </c>
      <c r="E3982">
        <v>0</v>
      </c>
      <c r="F3982">
        <v>0</v>
      </c>
      <c r="G3982">
        <v>0</v>
      </c>
    </row>
    <row r="3983" spans="1:7" x14ac:dyDescent="0.2">
      <c r="A3983" t="s">
        <v>4371</v>
      </c>
      <c r="B3983">
        <v>0</v>
      </c>
      <c r="C3983">
        <v>0</v>
      </c>
      <c r="D3983">
        <v>0</v>
      </c>
      <c r="E3983">
        <v>0</v>
      </c>
      <c r="F3983">
        <v>0</v>
      </c>
      <c r="G3983">
        <v>0</v>
      </c>
    </row>
    <row r="3984" spans="1:7" x14ac:dyDescent="0.2">
      <c r="A3984" t="s">
        <v>4372</v>
      </c>
      <c r="B3984">
        <v>0</v>
      </c>
      <c r="C3984">
        <v>0</v>
      </c>
      <c r="D3984">
        <v>0</v>
      </c>
      <c r="E3984">
        <v>0</v>
      </c>
      <c r="F3984">
        <v>0</v>
      </c>
      <c r="G3984">
        <v>0</v>
      </c>
    </row>
    <row r="3985" spans="1:10" x14ac:dyDescent="0.2">
      <c r="A3985" t="s">
        <v>4373</v>
      </c>
      <c r="B3985">
        <v>0</v>
      </c>
      <c r="C3985">
        <v>0</v>
      </c>
      <c r="D3985">
        <v>0</v>
      </c>
      <c r="E3985">
        <v>0</v>
      </c>
      <c r="F3985">
        <v>0</v>
      </c>
      <c r="G3985">
        <v>0</v>
      </c>
    </row>
    <row r="3986" spans="1:10" x14ac:dyDescent="0.2">
      <c r="A3986" t="s">
        <v>4374</v>
      </c>
      <c r="B3986">
        <v>0</v>
      </c>
      <c r="C3986">
        <v>0</v>
      </c>
      <c r="D3986">
        <v>0</v>
      </c>
      <c r="E3986">
        <v>0</v>
      </c>
      <c r="F3986">
        <v>0</v>
      </c>
      <c r="G3986">
        <v>0</v>
      </c>
    </row>
    <row r="3987" spans="1:10" x14ac:dyDescent="0.2">
      <c r="A3987" t="s">
        <v>4375</v>
      </c>
      <c r="B3987">
        <v>0</v>
      </c>
      <c r="C3987">
        <v>0</v>
      </c>
      <c r="D3987">
        <v>0</v>
      </c>
      <c r="E3987">
        <v>0</v>
      </c>
      <c r="F3987">
        <v>0</v>
      </c>
      <c r="G3987">
        <v>0</v>
      </c>
    </row>
    <row r="3988" spans="1:10" x14ac:dyDescent="0.2">
      <c r="A3988" t="s">
        <v>4376</v>
      </c>
      <c r="B3988">
        <v>0</v>
      </c>
      <c r="C3988">
        <v>0</v>
      </c>
      <c r="D3988">
        <v>0</v>
      </c>
      <c r="E3988">
        <v>0</v>
      </c>
      <c r="F3988">
        <v>0</v>
      </c>
      <c r="G3988">
        <v>0</v>
      </c>
    </row>
    <row r="3989" spans="1:10" x14ac:dyDescent="0.2">
      <c r="A3989" t="s">
        <v>4377</v>
      </c>
      <c r="B3989">
        <v>0</v>
      </c>
      <c r="C3989">
        <v>0</v>
      </c>
      <c r="D3989">
        <v>0</v>
      </c>
      <c r="E3989">
        <v>0</v>
      </c>
      <c r="F3989">
        <v>0</v>
      </c>
      <c r="G3989">
        <v>0</v>
      </c>
    </row>
    <row r="3990" spans="1:10" x14ac:dyDescent="0.2">
      <c r="A3990" t="s">
        <v>2318</v>
      </c>
      <c r="B3990" t="s">
        <v>2319</v>
      </c>
      <c r="C3990" t="s">
        <v>2319</v>
      </c>
      <c r="D3990" t="s">
        <v>2319</v>
      </c>
      <c r="E3990" t="s">
        <v>2319</v>
      </c>
      <c r="F3990" t="s">
        <v>2319</v>
      </c>
      <c r="G3990" t="s">
        <v>2319</v>
      </c>
    </row>
    <row r="3991" spans="1:10" x14ac:dyDescent="0.2">
      <c r="A3991" t="s">
        <v>4248</v>
      </c>
    </row>
    <row r="3992" spans="1:10" x14ac:dyDescent="0.2">
      <c r="A3992" t="s">
        <v>4250</v>
      </c>
      <c r="C3992" t="s">
        <v>4251</v>
      </c>
      <c r="G3992" t="s">
        <v>7531</v>
      </c>
      <c r="J3992"/>
    </row>
    <row r="3993" spans="1:10" x14ac:dyDescent="0.2">
      <c r="A3993" t="s">
        <v>4925</v>
      </c>
      <c r="G3993" t="s">
        <v>7539</v>
      </c>
      <c r="J3993"/>
    </row>
    <row r="3994" spans="1:10" x14ac:dyDescent="0.2">
      <c r="A3994" t="s">
        <v>7530</v>
      </c>
      <c r="J3994"/>
    </row>
    <row r="3995" spans="1:10" x14ac:dyDescent="0.2">
      <c r="A3995" t="s">
        <v>4986</v>
      </c>
      <c r="J3995"/>
    </row>
    <row r="3996" spans="1:10" x14ac:dyDescent="0.2">
      <c r="J3996"/>
    </row>
    <row r="3997" spans="1:10" x14ac:dyDescent="0.2">
      <c r="A3997" t="s">
        <v>4259</v>
      </c>
      <c r="J3997"/>
    </row>
    <row r="3998" spans="1:10" x14ac:dyDescent="0.2">
      <c r="A3998" t="s">
        <v>2318</v>
      </c>
      <c r="B3998" t="s">
        <v>2319</v>
      </c>
      <c r="C3998" t="s">
        <v>2319</v>
      </c>
      <c r="D3998" t="s">
        <v>2319</v>
      </c>
      <c r="E3998" t="s">
        <v>2319</v>
      </c>
      <c r="F3998" t="s">
        <v>2319</v>
      </c>
      <c r="G3998" t="s">
        <v>2319</v>
      </c>
    </row>
    <row r="3999" spans="1:10" x14ac:dyDescent="0.2">
      <c r="A3999" t="s">
        <v>174</v>
      </c>
      <c r="B3999" t="s">
        <v>4945</v>
      </c>
      <c r="C3999" t="s">
        <v>4946</v>
      </c>
      <c r="D3999" t="s">
        <v>4947</v>
      </c>
      <c r="E3999" t="s">
        <v>4948</v>
      </c>
      <c r="F3999" t="s">
        <v>4949</v>
      </c>
    </row>
    <row r="4000" spans="1:10" x14ac:dyDescent="0.2">
      <c r="A4000" t="s">
        <v>126</v>
      </c>
      <c r="B4000" t="s">
        <v>4262</v>
      </c>
      <c r="C4000" t="s">
        <v>4263</v>
      </c>
      <c r="D4000" t="s">
        <v>4264</v>
      </c>
      <c r="E4000" t="s">
        <v>2308</v>
      </c>
      <c r="F4000" t="s">
        <v>615</v>
      </c>
      <c r="G4000" t="s">
        <v>236</v>
      </c>
    </row>
    <row r="4001" spans="1:7" x14ac:dyDescent="0.2">
      <c r="A4001" t="s">
        <v>2318</v>
      </c>
      <c r="B4001" t="s">
        <v>2319</v>
      </c>
      <c r="C4001" t="s">
        <v>2319</v>
      </c>
      <c r="D4001" t="s">
        <v>2319</v>
      </c>
      <c r="E4001" t="s">
        <v>2319</v>
      </c>
      <c r="F4001" t="s">
        <v>2319</v>
      </c>
      <c r="G4001" t="s">
        <v>2319</v>
      </c>
    </row>
    <row r="4002" spans="1:7" x14ac:dyDescent="0.2">
      <c r="A4002" t="s">
        <v>4265</v>
      </c>
      <c r="B4002">
        <v>0</v>
      </c>
      <c r="C4002">
        <v>0</v>
      </c>
      <c r="D4002">
        <v>0</v>
      </c>
      <c r="E4002">
        <v>0</v>
      </c>
      <c r="F4002">
        <v>0</v>
      </c>
      <c r="G4002">
        <v>0</v>
      </c>
    </row>
    <row r="4003" spans="1:7" x14ac:dyDescent="0.2">
      <c r="A4003" t="s">
        <v>4266</v>
      </c>
      <c r="B4003">
        <v>0</v>
      </c>
      <c r="C4003">
        <v>0</v>
      </c>
      <c r="D4003">
        <v>0</v>
      </c>
      <c r="E4003">
        <v>0</v>
      </c>
      <c r="F4003">
        <v>0</v>
      </c>
      <c r="G4003">
        <v>0</v>
      </c>
    </row>
    <row r="4004" spans="1:7" x14ac:dyDescent="0.2">
      <c r="A4004" t="s">
        <v>4267</v>
      </c>
      <c r="B4004">
        <v>0</v>
      </c>
      <c r="C4004">
        <v>0</v>
      </c>
      <c r="D4004">
        <v>0</v>
      </c>
      <c r="E4004">
        <v>0</v>
      </c>
      <c r="F4004">
        <v>0</v>
      </c>
      <c r="G4004">
        <v>0</v>
      </c>
    </row>
    <row r="4005" spans="1:7" x14ac:dyDescent="0.2">
      <c r="A4005" t="s">
        <v>4268</v>
      </c>
      <c r="B4005">
        <v>0</v>
      </c>
      <c r="C4005">
        <v>0</v>
      </c>
      <c r="D4005">
        <v>0</v>
      </c>
      <c r="E4005">
        <v>0</v>
      </c>
      <c r="F4005">
        <v>0</v>
      </c>
      <c r="G4005">
        <v>0</v>
      </c>
    </row>
    <row r="4006" spans="1:7" x14ac:dyDescent="0.2">
      <c r="A4006" t="s">
        <v>4269</v>
      </c>
      <c r="B4006">
        <v>0</v>
      </c>
      <c r="C4006">
        <v>0</v>
      </c>
      <c r="D4006">
        <v>0</v>
      </c>
      <c r="E4006">
        <v>0</v>
      </c>
      <c r="F4006">
        <v>0</v>
      </c>
      <c r="G4006">
        <v>0</v>
      </c>
    </row>
    <row r="4007" spans="1:7" x14ac:dyDescent="0.2">
      <c r="A4007" t="s">
        <v>4270</v>
      </c>
      <c r="B4007">
        <v>0</v>
      </c>
      <c r="C4007">
        <v>0</v>
      </c>
      <c r="D4007">
        <v>0</v>
      </c>
      <c r="E4007">
        <v>0</v>
      </c>
      <c r="F4007">
        <v>0</v>
      </c>
      <c r="G4007">
        <v>0</v>
      </c>
    </row>
    <row r="4008" spans="1:7" x14ac:dyDescent="0.2">
      <c r="A4008" t="s">
        <v>4271</v>
      </c>
      <c r="B4008">
        <v>0</v>
      </c>
      <c r="C4008">
        <v>0</v>
      </c>
      <c r="D4008">
        <v>0</v>
      </c>
      <c r="E4008">
        <v>0</v>
      </c>
      <c r="F4008">
        <v>0</v>
      </c>
      <c r="G4008">
        <v>0</v>
      </c>
    </row>
    <row r="4009" spans="1:7" x14ac:dyDescent="0.2">
      <c r="A4009" t="s">
        <v>4272</v>
      </c>
      <c r="B4009">
        <v>0</v>
      </c>
      <c r="C4009">
        <v>0</v>
      </c>
      <c r="D4009">
        <v>0</v>
      </c>
      <c r="E4009">
        <v>0</v>
      </c>
      <c r="F4009">
        <v>0</v>
      </c>
      <c r="G4009">
        <v>0</v>
      </c>
    </row>
    <row r="4010" spans="1:7" x14ac:dyDescent="0.2">
      <c r="A4010" t="s">
        <v>4273</v>
      </c>
      <c r="B4010">
        <v>0</v>
      </c>
      <c r="C4010">
        <v>0</v>
      </c>
      <c r="D4010">
        <v>0</v>
      </c>
      <c r="E4010">
        <v>0</v>
      </c>
      <c r="F4010">
        <v>0</v>
      </c>
      <c r="G4010">
        <v>0</v>
      </c>
    </row>
    <row r="4011" spans="1:7" x14ac:dyDescent="0.2">
      <c r="A4011" t="s">
        <v>4274</v>
      </c>
      <c r="B4011">
        <v>0</v>
      </c>
      <c r="C4011">
        <v>0</v>
      </c>
      <c r="D4011">
        <v>0</v>
      </c>
      <c r="E4011">
        <v>0</v>
      </c>
      <c r="F4011">
        <v>0</v>
      </c>
      <c r="G4011">
        <v>0</v>
      </c>
    </row>
    <row r="4012" spans="1:7" x14ac:dyDescent="0.2">
      <c r="A4012" t="s">
        <v>4275</v>
      </c>
      <c r="B4012">
        <v>0</v>
      </c>
      <c r="C4012">
        <v>0</v>
      </c>
      <c r="D4012">
        <v>0</v>
      </c>
      <c r="E4012">
        <v>0</v>
      </c>
      <c r="F4012">
        <v>0</v>
      </c>
      <c r="G4012">
        <v>0</v>
      </c>
    </row>
    <row r="4013" spans="1:7" x14ac:dyDescent="0.2">
      <c r="A4013" t="s">
        <v>4276</v>
      </c>
      <c r="B4013">
        <v>0</v>
      </c>
      <c r="C4013">
        <v>0</v>
      </c>
      <c r="D4013">
        <v>0</v>
      </c>
      <c r="E4013">
        <v>0</v>
      </c>
      <c r="F4013">
        <v>0</v>
      </c>
      <c r="G4013">
        <v>0</v>
      </c>
    </row>
    <row r="4014" spans="1:7" x14ac:dyDescent="0.2">
      <c r="A4014" t="s">
        <v>4277</v>
      </c>
      <c r="B4014">
        <v>0</v>
      </c>
      <c r="C4014">
        <v>0</v>
      </c>
      <c r="D4014">
        <v>0</v>
      </c>
      <c r="E4014">
        <v>0</v>
      </c>
      <c r="F4014">
        <v>0</v>
      </c>
      <c r="G4014">
        <v>0</v>
      </c>
    </row>
    <row r="4015" spans="1:7" x14ac:dyDescent="0.2">
      <c r="A4015" t="s">
        <v>4278</v>
      </c>
      <c r="B4015">
        <v>0</v>
      </c>
      <c r="C4015">
        <v>0</v>
      </c>
      <c r="D4015">
        <v>0</v>
      </c>
      <c r="E4015">
        <v>0</v>
      </c>
      <c r="F4015">
        <v>0</v>
      </c>
      <c r="G4015">
        <v>0</v>
      </c>
    </row>
    <row r="4016" spans="1:7" x14ac:dyDescent="0.2">
      <c r="A4016" t="s">
        <v>4279</v>
      </c>
      <c r="B4016">
        <v>2</v>
      </c>
      <c r="C4016">
        <v>0</v>
      </c>
      <c r="D4016">
        <v>1</v>
      </c>
      <c r="E4016">
        <v>0</v>
      </c>
      <c r="F4016">
        <v>0</v>
      </c>
      <c r="G4016">
        <v>4</v>
      </c>
    </row>
    <row r="4017" spans="1:7" x14ac:dyDescent="0.2">
      <c r="A4017" t="s">
        <v>4280</v>
      </c>
      <c r="B4017">
        <v>0</v>
      </c>
      <c r="C4017">
        <v>0</v>
      </c>
      <c r="D4017">
        <v>0</v>
      </c>
      <c r="E4017">
        <v>0</v>
      </c>
      <c r="F4017">
        <v>0</v>
      </c>
      <c r="G4017">
        <v>0</v>
      </c>
    </row>
    <row r="4018" spans="1:7" x14ac:dyDescent="0.2">
      <c r="A4018" t="s">
        <v>4281</v>
      </c>
      <c r="B4018">
        <v>127</v>
      </c>
      <c r="C4018">
        <v>109</v>
      </c>
      <c r="D4018">
        <v>187</v>
      </c>
      <c r="E4018">
        <v>26</v>
      </c>
      <c r="F4018">
        <v>0</v>
      </c>
      <c r="G4018">
        <v>449</v>
      </c>
    </row>
    <row r="4019" spans="1:7" x14ac:dyDescent="0.2">
      <c r="A4019" t="s">
        <v>4282</v>
      </c>
      <c r="B4019">
        <v>35</v>
      </c>
      <c r="C4019">
        <v>56</v>
      </c>
      <c r="D4019">
        <v>63</v>
      </c>
      <c r="E4019">
        <v>1</v>
      </c>
      <c r="F4019">
        <v>0</v>
      </c>
      <c r="G4019">
        <v>155</v>
      </c>
    </row>
    <row r="4020" spans="1:7" x14ac:dyDescent="0.2">
      <c r="A4020" t="s">
        <v>4283</v>
      </c>
      <c r="B4020">
        <v>24</v>
      </c>
      <c r="C4020">
        <v>49</v>
      </c>
      <c r="D4020">
        <v>33</v>
      </c>
      <c r="E4020">
        <v>0</v>
      </c>
      <c r="F4020">
        <v>0</v>
      </c>
      <c r="G4020">
        <v>105</v>
      </c>
    </row>
    <row r="4021" spans="1:7" x14ac:dyDescent="0.2">
      <c r="A4021" t="s">
        <v>4284</v>
      </c>
      <c r="B4021">
        <v>1</v>
      </c>
      <c r="C4021">
        <v>0</v>
      </c>
      <c r="D4021">
        <v>3</v>
      </c>
      <c r="E4021">
        <v>0</v>
      </c>
      <c r="F4021">
        <v>0</v>
      </c>
      <c r="G4021">
        <v>5</v>
      </c>
    </row>
    <row r="4022" spans="1:7" x14ac:dyDescent="0.2">
      <c r="A4022" t="s">
        <v>4285</v>
      </c>
      <c r="B4022">
        <v>75</v>
      </c>
      <c r="C4022">
        <v>130</v>
      </c>
      <c r="D4022">
        <v>152</v>
      </c>
      <c r="E4022">
        <v>28</v>
      </c>
      <c r="F4022">
        <v>0</v>
      </c>
      <c r="G4022">
        <v>385</v>
      </c>
    </row>
    <row r="4023" spans="1:7" x14ac:dyDescent="0.2">
      <c r="A4023" t="s">
        <v>4286</v>
      </c>
      <c r="B4023">
        <v>15</v>
      </c>
      <c r="C4023">
        <v>5</v>
      </c>
      <c r="D4023">
        <v>6</v>
      </c>
      <c r="E4023">
        <v>1</v>
      </c>
      <c r="F4023">
        <v>0</v>
      </c>
      <c r="G4023">
        <v>26</v>
      </c>
    </row>
    <row r="4024" spans="1:7" x14ac:dyDescent="0.2">
      <c r="A4024" t="s">
        <v>4287</v>
      </c>
      <c r="B4024">
        <v>0</v>
      </c>
      <c r="C4024">
        <v>0</v>
      </c>
      <c r="D4024">
        <v>0</v>
      </c>
      <c r="E4024">
        <v>32</v>
      </c>
      <c r="F4024">
        <v>0</v>
      </c>
      <c r="G4024">
        <v>32</v>
      </c>
    </row>
    <row r="4025" spans="1:7" x14ac:dyDescent="0.2">
      <c r="A4025" t="s">
        <v>4288</v>
      </c>
      <c r="B4025">
        <v>0</v>
      </c>
      <c r="C4025">
        <v>0</v>
      </c>
      <c r="D4025">
        <v>0</v>
      </c>
      <c r="E4025">
        <v>0</v>
      </c>
      <c r="F4025">
        <v>0</v>
      </c>
      <c r="G4025">
        <v>0</v>
      </c>
    </row>
    <row r="4026" spans="1:7" x14ac:dyDescent="0.2">
      <c r="A4026" t="s">
        <v>4289</v>
      </c>
      <c r="B4026">
        <v>0</v>
      </c>
      <c r="C4026">
        <v>0</v>
      </c>
      <c r="D4026">
        <v>0</v>
      </c>
      <c r="E4026">
        <v>0</v>
      </c>
      <c r="F4026">
        <v>0</v>
      </c>
      <c r="G4026">
        <v>0</v>
      </c>
    </row>
    <row r="4027" spans="1:7" x14ac:dyDescent="0.2">
      <c r="A4027" t="s">
        <v>4290</v>
      </c>
      <c r="B4027">
        <v>0</v>
      </c>
      <c r="C4027">
        <v>0</v>
      </c>
      <c r="D4027">
        <v>0</v>
      </c>
      <c r="E4027">
        <v>0</v>
      </c>
      <c r="F4027">
        <v>0</v>
      </c>
      <c r="G4027">
        <v>0</v>
      </c>
    </row>
    <row r="4028" spans="1:7" x14ac:dyDescent="0.2">
      <c r="A4028" t="s">
        <v>4291</v>
      </c>
      <c r="B4028">
        <v>0</v>
      </c>
      <c r="C4028">
        <v>0</v>
      </c>
      <c r="D4028">
        <v>0</v>
      </c>
      <c r="E4028">
        <v>0</v>
      </c>
      <c r="F4028">
        <v>0</v>
      </c>
      <c r="G4028">
        <v>0</v>
      </c>
    </row>
    <row r="4029" spans="1:7" x14ac:dyDescent="0.2">
      <c r="A4029" t="s">
        <v>4292</v>
      </c>
      <c r="B4029">
        <v>0</v>
      </c>
      <c r="C4029">
        <v>0</v>
      </c>
      <c r="D4029">
        <v>0</v>
      </c>
      <c r="E4029">
        <v>0</v>
      </c>
      <c r="F4029">
        <v>0</v>
      </c>
      <c r="G4029">
        <v>0</v>
      </c>
    </row>
    <row r="4030" spans="1:7" x14ac:dyDescent="0.2">
      <c r="A4030" t="s">
        <v>4293</v>
      </c>
      <c r="B4030">
        <v>0</v>
      </c>
      <c r="C4030">
        <v>0</v>
      </c>
      <c r="D4030">
        <v>0</v>
      </c>
      <c r="E4030">
        <v>0</v>
      </c>
      <c r="F4030">
        <v>0</v>
      </c>
      <c r="G4030">
        <v>0</v>
      </c>
    </row>
    <row r="4031" spans="1:7" x14ac:dyDescent="0.2">
      <c r="A4031" t="s">
        <v>4294</v>
      </c>
      <c r="B4031">
        <v>0</v>
      </c>
      <c r="C4031">
        <v>0</v>
      </c>
      <c r="D4031">
        <v>0</v>
      </c>
      <c r="E4031">
        <v>0</v>
      </c>
      <c r="F4031">
        <v>0</v>
      </c>
      <c r="G4031">
        <v>0</v>
      </c>
    </row>
    <row r="4032" spans="1:7" x14ac:dyDescent="0.2">
      <c r="A4032" t="s">
        <v>4295</v>
      </c>
      <c r="B4032">
        <v>0</v>
      </c>
      <c r="C4032">
        <v>0</v>
      </c>
      <c r="D4032">
        <v>0</v>
      </c>
      <c r="E4032">
        <v>0</v>
      </c>
      <c r="F4032">
        <v>0</v>
      </c>
      <c r="G4032">
        <v>0</v>
      </c>
    </row>
    <row r="4033" spans="1:7" x14ac:dyDescent="0.2">
      <c r="A4033" t="s">
        <v>4296</v>
      </c>
      <c r="B4033">
        <v>0</v>
      </c>
      <c r="C4033">
        <v>0</v>
      </c>
      <c r="D4033">
        <v>0</v>
      </c>
      <c r="E4033">
        <v>0</v>
      </c>
      <c r="F4033">
        <v>0</v>
      </c>
      <c r="G4033">
        <v>0</v>
      </c>
    </row>
    <row r="4034" spans="1:7" x14ac:dyDescent="0.2">
      <c r="A4034" t="s">
        <v>4297</v>
      </c>
      <c r="B4034">
        <v>22</v>
      </c>
      <c r="C4034">
        <v>104</v>
      </c>
      <c r="D4034">
        <v>358</v>
      </c>
      <c r="E4034">
        <v>64</v>
      </c>
      <c r="F4034">
        <v>0</v>
      </c>
      <c r="G4034">
        <v>547</v>
      </c>
    </row>
    <row r="4035" spans="1:7" x14ac:dyDescent="0.2">
      <c r="A4035" t="s">
        <v>4298</v>
      </c>
      <c r="B4035">
        <v>16</v>
      </c>
      <c r="C4035">
        <v>81</v>
      </c>
      <c r="D4035">
        <v>47</v>
      </c>
      <c r="E4035">
        <v>36</v>
      </c>
      <c r="F4035">
        <v>0</v>
      </c>
      <c r="G4035">
        <v>179</v>
      </c>
    </row>
    <row r="4036" spans="1:7" x14ac:dyDescent="0.2">
      <c r="A4036" t="s">
        <v>4299</v>
      </c>
      <c r="B4036">
        <v>50</v>
      </c>
      <c r="C4036">
        <v>179</v>
      </c>
      <c r="D4036">
        <v>144</v>
      </c>
      <c r="E4036">
        <v>142</v>
      </c>
      <c r="F4036">
        <v>0</v>
      </c>
      <c r="G4036">
        <v>515</v>
      </c>
    </row>
    <row r="4037" spans="1:7" x14ac:dyDescent="0.2">
      <c r="A4037" t="s">
        <v>4300</v>
      </c>
      <c r="B4037">
        <v>1</v>
      </c>
      <c r="C4037">
        <v>4</v>
      </c>
      <c r="D4037">
        <v>4</v>
      </c>
      <c r="E4037">
        <v>3</v>
      </c>
      <c r="F4037">
        <v>0</v>
      </c>
      <c r="G4037">
        <v>12</v>
      </c>
    </row>
    <row r="4038" spans="1:7" x14ac:dyDescent="0.2">
      <c r="A4038" t="s">
        <v>4301</v>
      </c>
      <c r="B4038">
        <v>0</v>
      </c>
      <c r="C4038">
        <v>321</v>
      </c>
      <c r="D4038">
        <v>832</v>
      </c>
      <c r="E4038">
        <v>436</v>
      </c>
      <c r="F4038">
        <v>0</v>
      </c>
      <c r="G4038">
        <v>1588</v>
      </c>
    </row>
    <row r="4039" spans="1:7" x14ac:dyDescent="0.2">
      <c r="A4039" t="s">
        <v>4302</v>
      </c>
      <c r="B4039">
        <v>6</v>
      </c>
      <c r="C4039">
        <v>78</v>
      </c>
      <c r="D4039">
        <v>197</v>
      </c>
      <c r="E4039">
        <v>8</v>
      </c>
      <c r="F4039">
        <v>0</v>
      </c>
      <c r="G4039">
        <v>289</v>
      </c>
    </row>
    <row r="4040" spans="1:7" x14ac:dyDescent="0.2">
      <c r="A4040" t="s">
        <v>4303</v>
      </c>
      <c r="B4040">
        <v>6</v>
      </c>
      <c r="C4040">
        <v>77</v>
      </c>
      <c r="D4040">
        <v>285</v>
      </c>
      <c r="E4040">
        <v>7</v>
      </c>
      <c r="F4040">
        <v>0</v>
      </c>
      <c r="G4040">
        <v>375</v>
      </c>
    </row>
    <row r="4041" spans="1:7" x14ac:dyDescent="0.2">
      <c r="A4041" t="s">
        <v>4304</v>
      </c>
      <c r="B4041">
        <v>14</v>
      </c>
      <c r="C4041">
        <v>23</v>
      </c>
      <c r="D4041">
        <v>67</v>
      </c>
      <c r="E4041">
        <v>157</v>
      </c>
      <c r="F4041">
        <v>0</v>
      </c>
      <c r="G4041">
        <v>261</v>
      </c>
    </row>
    <row r="4042" spans="1:7" x14ac:dyDescent="0.2">
      <c r="A4042" t="s">
        <v>4305</v>
      </c>
      <c r="B4042">
        <v>0</v>
      </c>
      <c r="C4042">
        <v>122</v>
      </c>
      <c r="D4042">
        <v>227</v>
      </c>
      <c r="E4042">
        <v>30</v>
      </c>
      <c r="F4042">
        <v>0</v>
      </c>
      <c r="G4042">
        <v>379</v>
      </c>
    </row>
    <row r="4043" spans="1:7" x14ac:dyDescent="0.2">
      <c r="A4043" t="s">
        <v>4306</v>
      </c>
      <c r="B4043">
        <v>3</v>
      </c>
      <c r="C4043">
        <v>38</v>
      </c>
      <c r="D4043">
        <v>7</v>
      </c>
      <c r="E4043">
        <v>7</v>
      </c>
      <c r="F4043">
        <v>0</v>
      </c>
      <c r="G4043">
        <v>54</v>
      </c>
    </row>
    <row r="4044" spans="1:7" x14ac:dyDescent="0.2">
      <c r="A4044" t="s">
        <v>4307</v>
      </c>
      <c r="B4044">
        <v>17</v>
      </c>
      <c r="C4044">
        <v>127</v>
      </c>
      <c r="D4044">
        <v>347</v>
      </c>
      <c r="E4044">
        <v>122</v>
      </c>
      <c r="F4044">
        <v>0</v>
      </c>
      <c r="G4044">
        <v>613</v>
      </c>
    </row>
    <row r="4045" spans="1:7" x14ac:dyDescent="0.2">
      <c r="A4045" t="s">
        <v>4308</v>
      </c>
      <c r="B4045">
        <v>0</v>
      </c>
      <c r="C4045">
        <v>0</v>
      </c>
      <c r="D4045">
        <v>0</v>
      </c>
      <c r="E4045">
        <v>0</v>
      </c>
      <c r="F4045">
        <v>0</v>
      </c>
      <c r="G4045">
        <v>0</v>
      </c>
    </row>
    <row r="4046" spans="1:7" x14ac:dyDescent="0.2">
      <c r="A4046" t="s">
        <v>4309</v>
      </c>
      <c r="B4046">
        <v>0</v>
      </c>
      <c r="C4046">
        <v>0</v>
      </c>
      <c r="D4046">
        <v>0</v>
      </c>
      <c r="E4046">
        <v>0</v>
      </c>
      <c r="F4046">
        <v>0</v>
      </c>
      <c r="G4046">
        <v>0</v>
      </c>
    </row>
    <row r="4047" spans="1:7" x14ac:dyDescent="0.2">
      <c r="A4047" t="s">
        <v>4310</v>
      </c>
      <c r="B4047">
        <v>0</v>
      </c>
      <c r="C4047">
        <v>0</v>
      </c>
      <c r="D4047">
        <v>0</v>
      </c>
      <c r="E4047">
        <v>0</v>
      </c>
      <c r="F4047">
        <v>0</v>
      </c>
      <c r="G4047">
        <v>0</v>
      </c>
    </row>
    <row r="4048" spans="1:7" x14ac:dyDescent="0.2">
      <c r="A4048" t="s">
        <v>4311</v>
      </c>
      <c r="B4048">
        <v>0</v>
      </c>
      <c r="C4048">
        <v>0</v>
      </c>
      <c r="D4048">
        <v>0</v>
      </c>
      <c r="E4048">
        <v>3</v>
      </c>
      <c r="F4048">
        <v>0</v>
      </c>
      <c r="G4048">
        <v>3</v>
      </c>
    </row>
    <row r="4049" spans="1:7" x14ac:dyDescent="0.2">
      <c r="A4049" t="s">
        <v>4312</v>
      </c>
      <c r="B4049">
        <v>0</v>
      </c>
      <c r="C4049">
        <v>0</v>
      </c>
      <c r="D4049">
        <v>0</v>
      </c>
      <c r="E4049">
        <v>20</v>
      </c>
      <c r="F4049">
        <v>0</v>
      </c>
      <c r="G4049">
        <v>20</v>
      </c>
    </row>
    <row r="4050" spans="1:7" x14ac:dyDescent="0.2">
      <c r="A4050" t="s">
        <v>4313</v>
      </c>
      <c r="B4050">
        <v>0</v>
      </c>
      <c r="C4050">
        <v>0</v>
      </c>
      <c r="D4050">
        <v>0</v>
      </c>
      <c r="E4050">
        <v>0</v>
      </c>
      <c r="F4050">
        <v>0</v>
      </c>
      <c r="G4050">
        <v>0</v>
      </c>
    </row>
    <row r="4051" spans="1:7" x14ac:dyDescent="0.2">
      <c r="A4051" t="s">
        <v>4314</v>
      </c>
      <c r="B4051">
        <v>0</v>
      </c>
      <c r="C4051">
        <v>0</v>
      </c>
      <c r="D4051">
        <v>0</v>
      </c>
      <c r="E4051">
        <v>0</v>
      </c>
      <c r="F4051">
        <v>21</v>
      </c>
      <c r="G4051">
        <v>21</v>
      </c>
    </row>
    <row r="4052" spans="1:7" x14ac:dyDescent="0.2">
      <c r="A4052" t="s">
        <v>4315</v>
      </c>
      <c r="B4052">
        <v>0</v>
      </c>
      <c r="C4052">
        <v>0</v>
      </c>
      <c r="D4052">
        <v>0</v>
      </c>
      <c r="E4052">
        <v>0</v>
      </c>
      <c r="F4052">
        <v>0</v>
      </c>
      <c r="G4052">
        <v>0</v>
      </c>
    </row>
    <row r="4053" spans="1:7" x14ac:dyDescent="0.2">
      <c r="A4053" t="s">
        <v>4316</v>
      </c>
      <c r="B4053">
        <v>0</v>
      </c>
      <c r="C4053">
        <v>0</v>
      </c>
      <c r="D4053">
        <v>0</v>
      </c>
      <c r="E4053">
        <v>0</v>
      </c>
      <c r="F4053">
        <v>0</v>
      </c>
      <c r="G4053">
        <v>0</v>
      </c>
    </row>
    <row r="4054" spans="1:7" x14ac:dyDescent="0.2">
      <c r="A4054" t="s">
        <v>4317</v>
      </c>
      <c r="B4054">
        <v>0</v>
      </c>
      <c r="C4054">
        <v>0</v>
      </c>
      <c r="D4054">
        <v>0</v>
      </c>
      <c r="E4054">
        <v>0</v>
      </c>
      <c r="F4054">
        <v>0</v>
      </c>
      <c r="G4054">
        <v>0</v>
      </c>
    </row>
    <row r="4055" spans="1:7" x14ac:dyDescent="0.2">
      <c r="A4055" t="s">
        <v>4318</v>
      </c>
      <c r="B4055">
        <v>0</v>
      </c>
      <c r="C4055">
        <v>0</v>
      </c>
      <c r="D4055">
        <v>0</v>
      </c>
      <c r="E4055">
        <v>0</v>
      </c>
      <c r="F4055">
        <v>0</v>
      </c>
      <c r="G4055">
        <v>0</v>
      </c>
    </row>
    <row r="4056" spans="1:7" x14ac:dyDescent="0.2">
      <c r="A4056" t="s">
        <v>4319</v>
      </c>
      <c r="B4056">
        <v>0</v>
      </c>
      <c r="C4056">
        <v>0</v>
      </c>
      <c r="D4056">
        <v>0</v>
      </c>
      <c r="E4056">
        <v>0</v>
      </c>
      <c r="F4056">
        <v>0</v>
      </c>
      <c r="G4056">
        <v>0</v>
      </c>
    </row>
    <row r="4057" spans="1:7" x14ac:dyDescent="0.2">
      <c r="A4057" t="s">
        <v>4320</v>
      </c>
      <c r="B4057">
        <v>0</v>
      </c>
      <c r="C4057">
        <v>0</v>
      </c>
      <c r="D4057">
        <v>0</v>
      </c>
      <c r="E4057">
        <v>0</v>
      </c>
      <c r="F4057">
        <v>0</v>
      </c>
      <c r="G4057">
        <v>0</v>
      </c>
    </row>
    <row r="4058" spans="1:7" x14ac:dyDescent="0.2">
      <c r="A4058" t="s">
        <v>4321</v>
      </c>
      <c r="B4058">
        <v>0</v>
      </c>
      <c r="C4058">
        <v>0</v>
      </c>
      <c r="D4058">
        <v>0</v>
      </c>
      <c r="E4058">
        <v>0</v>
      </c>
      <c r="F4058">
        <v>0</v>
      </c>
      <c r="G4058">
        <v>0</v>
      </c>
    </row>
    <row r="4059" spans="1:7" x14ac:dyDescent="0.2">
      <c r="A4059" t="s">
        <v>4322</v>
      </c>
      <c r="B4059">
        <v>0</v>
      </c>
      <c r="C4059">
        <v>0</v>
      </c>
      <c r="D4059">
        <v>0</v>
      </c>
      <c r="E4059">
        <v>0</v>
      </c>
      <c r="F4059">
        <v>0</v>
      </c>
      <c r="G4059">
        <v>0</v>
      </c>
    </row>
    <row r="4060" spans="1:7" x14ac:dyDescent="0.2">
      <c r="A4060" t="s">
        <v>4323</v>
      </c>
      <c r="B4060">
        <v>0</v>
      </c>
      <c r="C4060">
        <v>0</v>
      </c>
      <c r="D4060">
        <v>0</v>
      </c>
      <c r="E4060">
        <v>0</v>
      </c>
      <c r="F4060">
        <v>0</v>
      </c>
      <c r="G4060">
        <v>0</v>
      </c>
    </row>
    <row r="4061" spans="1:7" x14ac:dyDescent="0.2">
      <c r="A4061" t="s">
        <v>4324</v>
      </c>
      <c r="B4061">
        <v>0</v>
      </c>
      <c r="C4061">
        <v>0</v>
      </c>
      <c r="D4061">
        <v>0</v>
      </c>
      <c r="E4061">
        <v>0</v>
      </c>
      <c r="F4061">
        <v>0</v>
      </c>
      <c r="G4061">
        <v>0</v>
      </c>
    </row>
    <row r="4062" spans="1:7" x14ac:dyDescent="0.2">
      <c r="A4062" t="s">
        <v>4325</v>
      </c>
      <c r="B4062">
        <v>0</v>
      </c>
      <c r="C4062">
        <v>0</v>
      </c>
      <c r="D4062">
        <v>0</v>
      </c>
      <c r="E4062">
        <v>0</v>
      </c>
      <c r="F4062">
        <v>0</v>
      </c>
      <c r="G4062">
        <v>0</v>
      </c>
    </row>
    <row r="4063" spans="1:7" x14ac:dyDescent="0.2">
      <c r="A4063" t="s">
        <v>4326</v>
      </c>
      <c r="B4063">
        <v>0</v>
      </c>
      <c r="C4063">
        <v>0</v>
      </c>
      <c r="D4063">
        <v>0</v>
      </c>
      <c r="E4063">
        <v>0</v>
      </c>
      <c r="F4063">
        <v>0</v>
      </c>
      <c r="G4063">
        <v>0</v>
      </c>
    </row>
    <row r="4064" spans="1:7" x14ac:dyDescent="0.2">
      <c r="A4064" t="s">
        <v>4327</v>
      </c>
      <c r="B4064">
        <v>0</v>
      </c>
      <c r="C4064">
        <v>0</v>
      </c>
      <c r="D4064">
        <v>0</v>
      </c>
      <c r="E4064">
        <v>172</v>
      </c>
      <c r="F4064">
        <v>46</v>
      </c>
      <c r="G4064">
        <v>217</v>
      </c>
    </row>
    <row r="4065" spans="1:7" x14ac:dyDescent="0.2">
      <c r="A4065" t="s">
        <v>4328</v>
      </c>
      <c r="B4065">
        <v>0</v>
      </c>
      <c r="C4065">
        <v>0</v>
      </c>
      <c r="D4065">
        <v>0</v>
      </c>
      <c r="E4065">
        <v>0</v>
      </c>
      <c r="F4065">
        <v>0</v>
      </c>
      <c r="G4065">
        <v>0</v>
      </c>
    </row>
    <row r="4066" spans="1:7" x14ac:dyDescent="0.2">
      <c r="A4066" t="s">
        <v>4329</v>
      </c>
      <c r="B4066">
        <v>0</v>
      </c>
      <c r="C4066">
        <v>0</v>
      </c>
      <c r="D4066">
        <v>0</v>
      </c>
      <c r="E4066">
        <v>0</v>
      </c>
      <c r="F4066">
        <v>236</v>
      </c>
      <c r="G4066">
        <v>236</v>
      </c>
    </row>
    <row r="4067" spans="1:7" x14ac:dyDescent="0.2">
      <c r="A4067" t="s">
        <v>4330</v>
      </c>
      <c r="B4067">
        <v>0</v>
      </c>
      <c r="C4067">
        <v>0</v>
      </c>
      <c r="D4067">
        <v>0</v>
      </c>
      <c r="E4067">
        <v>0</v>
      </c>
      <c r="F4067">
        <v>0</v>
      </c>
      <c r="G4067">
        <v>0</v>
      </c>
    </row>
    <row r="4068" spans="1:7" x14ac:dyDescent="0.2">
      <c r="A4068" t="s">
        <v>4331</v>
      </c>
      <c r="B4068">
        <v>0</v>
      </c>
      <c r="C4068">
        <v>0</v>
      </c>
      <c r="D4068">
        <v>0</v>
      </c>
      <c r="E4068">
        <v>0</v>
      </c>
      <c r="F4068">
        <v>0</v>
      </c>
      <c r="G4068">
        <v>0</v>
      </c>
    </row>
    <row r="4069" spans="1:7" x14ac:dyDescent="0.2">
      <c r="A4069" t="s">
        <v>4332</v>
      </c>
      <c r="B4069">
        <v>0</v>
      </c>
      <c r="C4069">
        <v>0</v>
      </c>
      <c r="D4069">
        <v>0</v>
      </c>
      <c r="E4069">
        <v>6631</v>
      </c>
      <c r="F4069">
        <v>1053</v>
      </c>
      <c r="G4069">
        <v>7684</v>
      </c>
    </row>
    <row r="4070" spans="1:7" x14ac:dyDescent="0.2">
      <c r="A4070" t="s">
        <v>4333</v>
      </c>
      <c r="B4070">
        <v>0</v>
      </c>
      <c r="C4070">
        <v>0</v>
      </c>
      <c r="D4070">
        <v>0</v>
      </c>
      <c r="E4070">
        <v>0</v>
      </c>
      <c r="F4070">
        <v>0</v>
      </c>
      <c r="G4070">
        <v>0</v>
      </c>
    </row>
    <row r="4071" spans="1:7" x14ac:dyDescent="0.2">
      <c r="A4071" t="s">
        <v>4334</v>
      </c>
      <c r="B4071">
        <v>0</v>
      </c>
      <c r="C4071">
        <v>0</v>
      </c>
      <c r="D4071">
        <v>0</v>
      </c>
      <c r="E4071">
        <v>0</v>
      </c>
      <c r="F4071">
        <v>0</v>
      </c>
      <c r="G4071">
        <v>0</v>
      </c>
    </row>
    <row r="4072" spans="1:7" x14ac:dyDescent="0.2">
      <c r="A4072" t="s">
        <v>4335</v>
      </c>
      <c r="B4072">
        <v>0</v>
      </c>
      <c r="C4072">
        <v>0</v>
      </c>
      <c r="D4072">
        <v>0</v>
      </c>
      <c r="E4072">
        <v>0</v>
      </c>
      <c r="F4072">
        <v>0</v>
      </c>
      <c r="G4072">
        <v>0</v>
      </c>
    </row>
    <row r="4073" spans="1:7" x14ac:dyDescent="0.2">
      <c r="A4073" t="s">
        <v>4336</v>
      </c>
      <c r="B4073">
        <v>0</v>
      </c>
      <c r="C4073">
        <v>0</v>
      </c>
      <c r="D4073">
        <v>0</v>
      </c>
      <c r="E4073">
        <v>0</v>
      </c>
      <c r="F4073">
        <v>0</v>
      </c>
      <c r="G4073">
        <v>0</v>
      </c>
    </row>
    <row r="4074" spans="1:7" x14ac:dyDescent="0.2">
      <c r="A4074" t="s">
        <v>4337</v>
      </c>
      <c r="B4074">
        <v>0</v>
      </c>
      <c r="C4074">
        <v>0</v>
      </c>
      <c r="D4074">
        <v>0</v>
      </c>
      <c r="E4074">
        <v>0</v>
      </c>
      <c r="F4074">
        <v>0</v>
      </c>
      <c r="G4074">
        <v>0</v>
      </c>
    </row>
    <row r="4075" spans="1:7" x14ac:dyDescent="0.2">
      <c r="A4075" t="s">
        <v>4338</v>
      </c>
      <c r="B4075">
        <v>0</v>
      </c>
      <c r="C4075">
        <v>0</v>
      </c>
      <c r="D4075">
        <v>0</v>
      </c>
      <c r="E4075">
        <v>80</v>
      </c>
      <c r="F4075">
        <v>133</v>
      </c>
      <c r="G4075">
        <v>213</v>
      </c>
    </row>
    <row r="4076" spans="1:7" x14ac:dyDescent="0.2">
      <c r="A4076" t="s">
        <v>4339</v>
      </c>
      <c r="B4076">
        <v>0</v>
      </c>
      <c r="C4076">
        <v>0</v>
      </c>
      <c r="D4076">
        <v>0</v>
      </c>
      <c r="E4076">
        <v>0</v>
      </c>
      <c r="F4076">
        <v>0</v>
      </c>
      <c r="G4076">
        <v>0</v>
      </c>
    </row>
    <row r="4077" spans="1:7" x14ac:dyDescent="0.2">
      <c r="A4077" t="s">
        <v>4340</v>
      </c>
      <c r="B4077">
        <v>0</v>
      </c>
      <c r="C4077">
        <v>0</v>
      </c>
      <c r="D4077">
        <v>0</v>
      </c>
      <c r="E4077">
        <v>0</v>
      </c>
      <c r="F4077">
        <v>0</v>
      </c>
      <c r="G4077">
        <v>0</v>
      </c>
    </row>
    <row r="4078" spans="1:7" x14ac:dyDescent="0.2">
      <c r="A4078" t="s">
        <v>4341</v>
      </c>
      <c r="B4078">
        <v>0</v>
      </c>
      <c r="C4078">
        <v>0</v>
      </c>
      <c r="D4078">
        <v>0</v>
      </c>
      <c r="E4078">
        <v>0</v>
      </c>
      <c r="F4078">
        <v>0</v>
      </c>
      <c r="G4078">
        <v>0</v>
      </c>
    </row>
    <row r="4079" spans="1:7" x14ac:dyDescent="0.2">
      <c r="A4079" t="s">
        <v>4342</v>
      </c>
      <c r="B4079">
        <v>0</v>
      </c>
      <c r="C4079">
        <v>0</v>
      </c>
      <c r="D4079">
        <v>0</v>
      </c>
      <c r="E4079">
        <v>0</v>
      </c>
      <c r="F4079">
        <v>0</v>
      </c>
      <c r="G4079">
        <v>0</v>
      </c>
    </row>
    <row r="4080" spans="1:7" x14ac:dyDescent="0.2">
      <c r="A4080" t="s">
        <v>4343</v>
      </c>
      <c r="B4080">
        <v>0</v>
      </c>
      <c r="C4080">
        <v>0</v>
      </c>
      <c r="D4080">
        <v>0</v>
      </c>
      <c r="E4080">
        <v>0</v>
      </c>
      <c r="F4080">
        <v>0</v>
      </c>
      <c r="G4080">
        <v>0</v>
      </c>
    </row>
    <row r="4081" spans="1:7" x14ac:dyDescent="0.2">
      <c r="A4081" t="s">
        <v>1728</v>
      </c>
      <c r="B4081">
        <v>0</v>
      </c>
      <c r="C4081">
        <v>0</v>
      </c>
      <c r="D4081">
        <v>0</v>
      </c>
      <c r="E4081">
        <v>0</v>
      </c>
      <c r="F4081">
        <v>0</v>
      </c>
      <c r="G4081">
        <v>0</v>
      </c>
    </row>
    <row r="4082" spans="1:7" x14ac:dyDescent="0.2">
      <c r="A4082" t="s">
        <v>1730</v>
      </c>
      <c r="B4082">
        <v>0</v>
      </c>
      <c r="C4082">
        <v>0</v>
      </c>
      <c r="D4082">
        <v>2</v>
      </c>
      <c r="E4082">
        <v>1</v>
      </c>
      <c r="F4082">
        <v>19</v>
      </c>
      <c r="G4082">
        <v>23</v>
      </c>
    </row>
    <row r="4083" spans="1:7" x14ac:dyDescent="0.2">
      <c r="A4083" t="s">
        <v>1733</v>
      </c>
      <c r="B4083">
        <v>0</v>
      </c>
      <c r="C4083">
        <v>0</v>
      </c>
      <c r="D4083">
        <v>0</v>
      </c>
      <c r="E4083">
        <v>0</v>
      </c>
      <c r="F4083">
        <v>0</v>
      </c>
      <c r="G4083">
        <v>0</v>
      </c>
    </row>
    <row r="4084" spans="1:7" x14ac:dyDescent="0.2">
      <c r="A4084" t="s">
        <v>1738</v>
      </c>
      <c r="B4084">
        <v>0</v>
      </c>
      <c r="C4084">
        <v>0</v>
      </c>
      <c r="D4084">
        <v>0</v>
      </c>
      <c r="E4084">
        <v>0</v>
      </c>
      <c r="F4084">
        <v>0</v>
      </c>
      <c r="G4084">
        <v>0</v>
      </c>
    </row>
    <row r="4085" spans="1:7" x14ac:dyDescent="0.2">
      <c r="A4085" t="s">
        <v>1744</v>
      </c>
      <c r="B4085">
        <v>0</v>
      </c>
      <c r="C4085">
        <v>0</v>
      </c>
      <c r="D4085">
        <v>0</v>
      </c>
      <c r="E4085">
        <v>0</v>
      </c>
      <c r="F4085">
        <v>0</v>
      </c>
      <c r="G4085">
        <v>0</v>
      </c>
    </row>
    <row r="4086" spans="1:7" x14ac:dyDescent="0.2">
      <c r="A4086" t="s">
        <v>1747</v>
      </c>
      <c r="B4086">
        <v>0</v>
      </c>
      <c r="C4086">
        <v>0</v>
      </c>
      <c r="D4086">
        <v>0</v>
      </c>
      <c r="E4086">
        <v>0</v>
      </c>
      <c r="F4086">
        <v>0</v>
      </c>
      <c r="G4086">
        <v>0</v>
      </c>
    </row>
    <row r="4087" spans="1:7" x14ac:dyDescent="0.2">
      <c r="A4087" t="s">
        <v>1751</v>
      </c>
      <c r="B4087">
        <v>0</v>
      </c>
      <c r="C4087">
        <v>0</v>
      </c>
      <c r="D4087">
        <v>0</v>
      </c>
      <c r="E4087">
        <v>0</v>
      </c>
      <c r="F4087">
        <v>0</v>
      </c>
      <c r="G4087">
        <v>0</v>
      </c>
    </row>
    <row r="4088" spans="1:7" x14ac:dyDescent="0.2">
      <c r="A4088" t="s">
        <v>1755</v>
      </c>
      <c r="B4088">
        <v>0</v>
      </c>
      <c r="C4088">
        <v>0</v>
      </c>
      <c r="D4088">
        <v>0</v>
      </c>
      <c r="E4088">
        <v>2</v>
      </c>
      <c r="F4088">
        <v>0</v>
      </c>
      <c r="G4088">
        <v>2</v>
      </c>
    </row>
    <row r="4089" spans="1:7" x14ac:dyDescent="0.2">
      <c r="A4089" t="s">
        <v>1757</v>
      </c>
      <c r="B4089">
        <v>0</v>
      </c>
      <c r="C4089">
        <v>0</v>
      </c>
      <c r="D4089">
        <v>0</v>
      </c>
      <c r="E4089">
        <v>1</v>
      </c>
      <c r="F4089">
        <v>0</v>
      </c>
      <c r="G4089">
        <v>1</v>
      </c>
    </row>
    <row r="4090" spans="1:7" x14ac:dyDescent="0.2">
      <c r="A4090" t="s">
        <v>1761</v>
      </c>
      <c r="B4090">
        <v>0</v>
      </c>
      <c r="C4090">
        <v>0</v>
      </c>
      <c r="D4090">
        <v>0</v>
      </c>
      <c r="E4090">
        <v>0</v>
      </c>
      <c r="F4090">
        <v>0</v>
      </c>
      <c r="G4090">
        <v>0</v>
      </c>
    </row>
    <row r="4091" spans="1:7" x14ac:dyDescent="0.2">
      <c r="A4091" t="s">
        <v>1764</v>
      </c>
      <c r="B4091">
        <v>0</v>
      </c>
      <c r="C4091">
        <v>0</v>
      </c>
      <c r="D4091">
        <v>0</v>
      </c>
      <c r="E4091">
        <v>0</v>
      </c>
      <c r="F4091">
        <v>0</v>
      </c>
      <c r="G4091">
        <v>0</v>
      </c>
    </row>
    <row r="4092" spans="1:7" x14ac:dyDescent="0.2">
      <c r="A4092" t="s">
        <v>1770</v>
      </c>
      <c r="B4092">
        <v>0</v>
      </c>
      <c r="C4092">
        <v>4</v>
      </c>
      <c r="D4092">
        <v>43</v>
      </c>
      <c r="E4092">
        <v>110</v>
      </c>
      <c r="F4092">
        <v>0</v>
      </c>
      <c r="G4092">
        <v>157</v>
      </c>
    </row>
    <row r="4093" spans="1:7" x14ac:dyDescent="0.2">
      <c r="A4093" t="s">
        <v>1772</v>
      </c>
      <c r="B4093">
        <v>0</v>
      </c>
      <c r="C4093">
        <v>1</v>
      </c>
      <c r="D4093">
        <v>0</v>
      </c>
      <c r="E4093">
        <v>10</v>
      </c>
      <c r="F4093">
        <v>0</v>
      </c>
      <c r="G4093">
        <v>11</v>
      </c>
    </row>
    <row r="4094" spans="1:7" x14ac:dyDescent="0.2">
      <c r="A4094" t="s">
        <v>1774</v>
      </c>
      <c r="B4094">
        <v>0</v>
      </c>
      <c r="C4094">
        <v>0</v>
      </c>
      <c r="D4094">
        <v>0</v>
      </c>
      <c r="E4094">
        <v>0</v>
      </c>
      <c r="F4094">
        <v>0</v>
      </c>
      <c r="G4094">
        <v>0</v>
      </c>
    </row>
    <row r="4095" spans="1:7" x14ac:dyDescent="0.2">
      <c r="A4095" t="s">
        <v>1777</v>
      </c>
      <c r="B4095">
        <v>0</v>
      </c>
      <c r="C4095">
        <v>0</v>
      </c>
      <c r="D4095">
        <v>0</v>
      </c>
      <c r="E4095">
        <v>0</v>
      </c>
      <c r="F4095">
        <v>0</v>
      </c>
      <c r="G4095">
        <v>0</v>
      </c>
    </row>
    <row r="4096" spans="1:7" x14ac:dyDescent="0.2">
      <c r="A4096" t="s">
        <v>1782</v>
      </c>
      <c r="B4096">
        <v>0</v>
      </c>
      <c r="C4096">
        <v>0</v>
      </c>
      <c r="D4096">
        <v>0</v>
      </c>
      <c r="E4096">
        <v>0</v>
      </c>
      <c r="F4096">
        <v>0</v>
      </c>
      <c r="G4096">
        <v>0</v>
      </c>
    </row>
    <row r="4097" spans="1:7" x14ac:dyDescent="0.2">
      <c r="A4097" t="s">
        <v>1274</v>
      </c>
      <c r="B4097">
        <v>0</v>
      </c>
      <c r="C4097">
        <v>0</v>
      </c>
      <c r="D4097">
        <v>0</v>
      </c>
      <c r="E4097">
        <v>2</v>
      </c>
      <c r="F4097">
        <v>0</v>
      </c>
      <c r="G4097">
        <v>2</v>
      </c>
    </row>
    <row r="4098" spans="1:7" x14ac:dyDescent="0.2">
      <c r="A4098" t="s">
        <v>1277</v>
      </c>
      <c r="B4098">
        <v>0</v>
      </c>
      <c r="C4098">
        <v>0</v>
      </c>
      <c r="D4098">
        <v>0</v>
      </c>
      <c r="E4098">
        <v>15</v>
      </c>
      <c r="F4098">
        <v>0</v>
      </c>
      <c r="G4098">
        <v>15</v>
      </c>
    </row>
    <row r="4099" spans="1:7" x14ac:dyDescent="0.2">
      <c r="A4099" t="s">
        <v>1798</v>
      </c>
      <c r="B4099">
        <v>0</v>
      </c>
      <c r="C4099">
        <v>0</v>
      </c>
      <c r="D4099">
        <v>0</v>
      </c>
      <c r="E4099">
        <v>0</v>
      </c>
      <c r="F4099">
        <v>0</v>
      </c>
      <c r="G4099">
        <v>0</v>
      </c>
    </row>
    <row r="4100" spans="1:7" x14ac:dyDescent="0.2">
      <c r="A4100" t="s">
        <v>1803</v>
      </c>
      <c r="B4100">
        <v>0</v>
      </c>
      <c r="C4100">
        <v>0</v>
      </c>
      <c r="D4100">
        <v>0</v>
      </c>
      <c r="E4100">
        <v>0</v>
      </c>
      <c r="F4100">
        <v>0</v>
      </c>
      <c r="G4100">
        <v>0</v>
      </c>
    </row>
    <row r="4101" spans="1:7" x14ac:dyDescent="0.2">
      <c r="A4101" t="s">
        <v>1808</v>
      </c>
      <c r="B4101">
        <v>0</v>
      </c>
      <c r="C4101">
        <v>0</v>
      </c>
      <c r="D4101">
        <v>0</v>
      </c>
      <c r="E4101">
        <v>0</v>
      </c>
      <c r="F4101">
        <v>0</v>
      </c>
      <c r="G4101">
        <v>0</v>
      </c>
    </row>
    <row r="4102" spans="1:7" x14ac:dyDescent="0.2">
      <c r="A4102" t="s">
        <v>1813</v>
      </c>
      <c r="B4102">
        <v>0</v>
      </c>
      <c r="C4102">
        <v>0</v>
      </c>
      <c r="D4102">
        <v>0</v>
      </c>
      <c r="E4102">
        <v>0</v>
      </c>
      <c r="F4102">
        <v>0</v>
      </c>
      <c r="G4102">
        <v>0</v>
      </c>
    </row>
    <row r="4103" spans="1:7" x14ac:dyDescent="0.2">
      <c r="A4103" t="s">
        <v>1819</v>
      </c>
      <c r="B4103">
        <v>0</v>
      </c>
      <c r="C4103">
        <v>0</v>
      </c>
      <c r="D4103">
        <v>0</v>
      </c>
      <c r="E4103">
        <v>0</v>
      </c>
      <c r="F4103">
        <v>0</v>
      </c>
      <c r="G4103">
        <v>0</v>
      </c>
    </row>
    <row r="4104" spans="1:7" x14ac:dyDescent="0.2">
      <c r="A4104" t="s">
        <v>1826</v>
      </c>
      <c r="B4104">
        <v>0</v>
      </c>
      <c r="C4104">
        <v>0</v>
      </c>
      <c r="D4104">
        <v>0</v>
      </c>
      <c r="E4104">
        <v>0</v>
      </c>
      <c r="F4104">
        <v>0</v>
      </c>
      <c r="G4104">
        <v>0</v>
      </c>
    </row>
    <row r="4105" spans="1:7" x14ac:dyDescent="0.2">
      <c r="A4105" t="s">
        <v>1830</v>
      </c>
      <c r="B4105">
        <v>0</v>
      </c>
      <c r="C4105">
        <v>0</v>
      </c>
      <c r="D4105">
        <v>0</v>
      </c>
      <c r="E4105">
        <v>0</v>
      </c>
      <c r="F4105">
        <v>0</v>
      </c>
      <c r="G4105">
        <v>0</v>
      </c>
    </row>
    <row r="4106" spans="1:7" x14ac:dyDescent="0.2">
      <c r="A4106" t="s">
        <v>1836</v>
      </c>
      <c r="B4106">
        <v>0</v>
      </c>
      <c r="C4106">
        <v>0</v>
      </c>
      <c r="D4106">
        <v>0</v>
      </c>
      <c r="E4106">
        <v>0</v>
      </c>
      <c r="F4106">
        <v>0</v>
      </c>
      <c r="G4106">
        <v>0</v>
      </c>
    </row>
    <row r="4107" spans="1:7" x14ac:dyDescent="0.2">
      <c r="A4107" t="s">
        <v>1841</v>
      </c>
      <c r="B4107">
        <v>0</v>
      </c>
      <c r="C4107">
        <v>0</v>
      </c>
      <c r="D4107">
        <v>0</v>
      </c>
      <c r="E4107">
        <v>0</v>
      </c>
      <c r="F4107">
        <v>0</v>
      </c>
      <c r="G4107">
        <v>0</v>
      </c>
    </row>
    <row r="4108" spans="1:7" x14ac:dyDescent="0.2">
      <c r="A4108" t="s">
        <v>1842</v>
      </c>
      <c r="B4108">
        <v>0</v>
      </c>
      <c r="C4108">
        <v>0</v>
      </c>
      <c r="D4108">
        <v>0</v>
      </c>
      <c r="E4108">
        <v>0</v>
      </c>
      <c r="F4108">
        <v>0</v>
      </c>
      <c r="G4108">
        <v>0</v>
      </c>
    </row>
    <row r="4109" spans="1:7" x14ac:dyDescent="0.2">
      <c r="A4109" t="s">
        <v>1843</v>
      </c>
      <c r="B4109">
        <v>0</v>
      </c>
      <c r="C4109">
        <v>0</v>
      </c>
      <c r="D4109">
        <v>0</v>
      </c>
      <c r="E4109">
        <v>0</v>
      </c>
      <c r="F4109">
        <v>0</v>
      </c>
      <c r="G4109">
        <v>0</v>
      </c>
    </row>
    <row r="4110" spans="1:7" x14ac:dyDescent="0.2">
      <c r="A4110" t="s">
        <v>1846</v>
      </c>
      <c r="B4110">
        <v>0</v>
      </c>
      <c r="C4110">
        <v>0</v>
      </c>
      <c r="D4110">
        <v>0</v>
      </c>
      <c r="E4110">
        <v>0</v>
      </c>
      <c r="F4110">
        <v>0</v>
      </c>
      <c r="G4110">
        <v>0</v>
      </c>
    </row>
    <row r="4111" spans="1:7" x14ac:dyDescent="0.2">
      <c r="A4111" t="s">
        <v>1851</v>
      </c>
      <c r="B4111">
        <v>0</v>
      </c>
      <c r="C4111">
        <v>0</v>
      </c>
      <c r="D4111">
        <v>0</v>
      </c>
      <c r="E4111">
        <v>11</v>
      </c>
      <c r="F4111">
        <v>0</v>
      </c>
      <c r="G4111">
        <v>11</v>
      </c>
    </row>
    <row r="4112" spans="1:7" x14ac:dyDescent="0.2">
      <c r="A4112" t="s">
        <v>1857</v>
      </c>
      <c r="B4112">
        <v>0</v>
      </c>
      <c r="C4112">
        <v>0</v>
      </c>
      <c r="D4112">
        <v>0</v>
      </c>
      <c r="E4112">
        <v>0</v>
      </c>
      <c r="F4112">
        <v>0</v>
      </c>
      <c r="G4112">
        <v>0</v>
      </c>
    </row>
    <row r="4113" spans="1:7" x14ac:dyDescent="0.2">
      <c r="A4113" t="s">
        <v>1862</v>
      </c>
      <c r="B4113">
        <v>0</v>
      </c>
      <c r="C4113">
        <v>0</v>
      </c>
      <c r="D4113">
        <v>0</v>
      </c>
      <c r="E4113">
        <v>0</v>
      </c>
      <c r="F4113">
        <v>0</v>
      </c>
      <c r="G4113">
        <v>0</v>
      </c>
    </row>
    <row r="4114" spans="1:7" x14ac:dyDescent="0.2">
      <c r="A4114" t="s">
        <v>1867</v>
      </c>
      <c r="B4114">
        <v>0</v>
      </c>
      <c r="C4114">
        <v>0</v>
      </c>
      <c r="D4114">
        <v>0</v>
      </c>
      <c r="E4114">
        <v>0</v>
      </c>
      <c r="F4114">
        <v>0</v>
      </c>
      <c r="G4114">
        <v>0</v>
      </c>
    </row>
    <row r="4115" spans="1:7" x14ac:dyDescent="0.2">
      <c r="A4115" t="s">
        <v>1870</v>
      </c>
      <c r="B4115">
        <v>0</v>
      </c>
      <c r="C4115">
        <v>0</v>
      </c>
      <c r="D4115">
        <v>0</v>
      </c>
      <c r="E4115">
        <v>0</v>
      </c>
      <c r="F4115">
        <v>0</v>
      </c>
      <c r="G4115">
        <v>0</v>
      </c>
    </row>
    <row r="4116" spans="1:7" x14ac:dyDescent="0.2">
      <c r="A4116" t="s">
        <v>1874</v>
      </c>
      <c r="B4116">
        <v>0</v>
      </c>
      <c r="C4116">
        <v>0</v>
      </c>
      <c r="D4116">
        <v>0</v>
      </c>
      <c r="E4116">
        <v>0</v>
      </c>
      <c r="F4116">
        <v>0</v>
      </c>
      <c r="G4116">
        <v>0</v>
      </c>
    </row>
    <row r="4117" spans="1:7" x14ac:dyDescent="0.2">
      <c r="A4117" t="s">
        <v>1876</v>
      </c>
      <c r="B4117">
        <v>0</v>
      </c>
      <c r="C4117">
        <v>0</v>
      </c>
      <c r="D4117">
        <v>0</v>
      </c>
      <c r="E4117">
        <v>0</v>
      </c>
      <c r="F4117">
        <v>0</v>
      </c>
      <c r="G4117">
        <v>0</v>
      </c>
    </row>
    <row r="4118" spans="1:7" x14ac:dyDescent="0.2">
      <c r="A4118" t="s">
        <v>1881</v>
      </c>
      <c r="B4118">
        <v>0</v>
      </c>
      <c r="C4118">
        <v>0</v>
      </c>
      <c r="D4118">
        <v>0</v>
      </c>
      <c r="E4118">
        <v>0</v>
      </c>
      <c r="F4118">
        <v>0</v>
      </c>
      <c r="G4118">
        <v>0</v>
      </c>
    </row>
    <row r="4119" spans="1:7" x14ac:dyDescent="0.2">
      <c r="A4119" t="s">
        <v>1885</v>
      </c>
      <c r="B4119">
        <v>0</v>
      </c>
      <c r="C4119">
        <v>0</v>
      </c>
      <c r="D4119">
        <v>0</v>
      </c>
      <c r="E4119">
        <v>0</v>
      </c>
      <c r="F4119">
        <v>2</v>
      </c>
      <c r="G4119">
        <v>2</v>
      </c>
    </row>
    <row r="4120" spans="1:7" x14ac:dyDescent="0.2">
      <c r="A4120" t="s">
        <v>1887</v>
      </c>
      <c r="B4120">
        <v>0</v>
      </c>
      <c r="C4120">
        <v>0</v>
      </c>
      <c r="D4120">
        <v>0</v>
      </c>
      <c r="E4120">
        <v>0</v>
      </c>
      <c r="F4120">
        <v>0</v>
      </c>
      <c r="G4120">
        <v>0</v>
      </c>
    </row>
    <row r="4121" spans="1:7" x14ac:dyDescent="0.2">
      <c r="A4121" t="s">
        <v>1893</v>
      </c>
      <c r="B4121">
        <v>0</v>
      </c>
      <c r="C4121">
        <v>0</v>
      </c>
      <c r="D4121">
        <v>0</v>
      </c>
      <c r="E4121">
        <v>1</v>
      </c>
      <c r="F4121">
        <v>0</v>
      </c>
      <c r="G4121">
        <v>1</v>
      </c>
    </row>
    <row r="4122" spans="1:7" x14ac:dyDescent="0.2">
      <c r="A4122" t="s">
        <v>1899</v>
      </c>
      <c r="B4122">
        <v>0</v>
      </c>
      <c r="C4122">
        <v>0</v>
      </c>
      <c r="D4122">
        <v>0</v>
      </c>
      <c r="E4122">
        <v>0</v>
      </c>
      <c r="F4122">
        <v>0</v>
      </c>
      <c r="G4122">
        <v>0</v>
      </c>
    </row>
    <row r="4123" spans="1:7" x14ac:dyDescent="0.2">
      <c r="A4123" t="s">
        <v>1906</v>
      </c>
      <c r="B4123">
        <v>0</v>
      </c>
      <c r="C4123">
        <v>0</v>
      </c>
      <c r="D4123">
        <v>0</v>
      </c>
      <c r="E4123">
        <v>0</v>
      </c>
      <c r="F4123">
        <v>0</v>
      </c>
      <c r="G4123">
        <v>0</v>
      </c>
    </row>
    <row r="4124" spans="1:7" x14ac:dyDescent="0.2">
      <c r="A4124" t="s">
        <v>1911</v>
      </c>
      <c r="B4124">
        <v>0</v>
      </c>
      <c r="C4124">
        <v>0</v>
      </c>
      <c r="D4124">
        <v>0</v>
      </c>
      <c r="E4124">
        <v>0</v>
      </c>
      <c r="F4124">
        <v>0</v>
      </c>
      <c r="G4124">
        <v>0</v>
      </c>
    </row>
    <row r="4125" spans="1:7" x14ac:dyDescent="0.2">
      <c r="A4125" t="s">
        <v>1917</v>
      </c>
      <c r="B4125">
        <v>0</v>
      </c>
      <c r="C4125">
        <v>0</v>
      </c>
      <c r="D4125">
        <v>0</v>
      </c>
      <c r="E4125">
        <v>0</v>
      </c>
      <c r="F4125">
        <v>0</v>
      </c>
      <c r="G4125">
        <v>0</v>
      </c>
    </row>
    <row r="4126" spans="1:7" x14ac:dyDescent="0.2">
      <c r="A4126" t="s">
        <v>1922</v>
      </c>
      <c r="B4126">
        <v>0</v>
      </c>
      <c r="C4126">
        <v>0</v>
      </c>
      <c r="D4126">
        <v>0</v>
      </c>
      <c r="E4126">
        <v>0</v>
      </c>
      <c r="F4126">
        <v>0</v>
      </c>
      <c r="G4126">
        <v>0</v>
      </c>
    </row>
    <row r="4127" spans="1:7" x14ac:dyDescent="0.2">
      <c r="A4127" t="s">
        <v>1928</v>
      </c>
      <c r="B4127">
        <v>0</v>
      </c>
      <c r="C4127">
        <v>0</v>
      </c>
      <c r="D4127">
        <v>0</v>
      </c>
      <c r="E4127">
        <v>0</v>
      </c>
      <c r="F4127">
        <v>0</v>
      </c>
      <c r="G4127">
        <v>0</v>
      </c>
    </row>
    <row r="4128" spans="1:7" x14ac:dyDescent="0.2">
      <c r="A4128" t="s">
        <v>1932</v>
      </c>
      <c r="B4128">
        <v>0</v>
      </c>
      <c r="C4128">
        <v>0</v>
      </c>
      <c r="D4128">
        <v>0</v>
      </c>
      <c r="E4128">
        <v>0</v>
      </c>
      <c r="F4128">
        <v>0</v>
      </c>
      <c r="G4128">
        <v>0</v>
      </c>
    </row>
    <row r="4129" spans="1:7" x14ac:dyDescent="0.2">
      <c r="A4129" t="s">
        <v>1938</v>
      </c>
      <c r="B4129">
        <v>0</v>
      </c>
      <c r="C4129">
        <v>0</v>
      </c>
      <c r="D4129">
        <v>0</v>
      </c>
      <c r="E4129">
        <v>0</v>
      </c>
      <c r="F4129">
        <v>0</v>
      </c>
      <c r="G4129">
        <v>0</v>
      </c>
    </row>
    <row r="4130" spans="1:7" x14ac:dyDescent="0.2">
      <c r="A4130" t="s">
        <v>1944</v>
      </c>
      <c r="B4130">
        <v>0</v>
      </c>
      <c r="C4130">
        <v>0</v>
      </c>
      <c r="D4130">
        <v>0</v>
      </c>
      <c r="E4130">
        <v>0</v>
      </c>
      <c r="F4130">
        <v>0</v>
      </c>
      <c r="G4130">
        <v>0</v>
      </c>
    </row>
    <row r="4131" spans="1:7" x14ac:dyDescent="0.2">
      <c r="A4131" t="s">
        <v>1947</v>
      </c>
      <c r="B4131">
        <v>0</v>
      </c>
      <c r="C4131">
        <v>0</v>
      </c>
      <c r="D4131">
        <v>0</v>
      </c>
      <c r="E4131">
        <v>0</v>
      </c>
      <c r="F4131">
        <v>0</v>
      </c>
      <c r="G4131">
        <v>0</v>
      </c>
    </row>
    <row r="4132" spans="1:7" x14ac:dyDescent="0.2">
      <c r="A4132" t="s">
        <v>1953</v>
      </c>
      <c r="B4132">
        <v>0</v>
      </c>
      <c r="C4132">
        <v>0</v>
      </c>
      <c r="D4132">
        <v>0</v>
      </c>
      <c r="E4132">
        <v>0</v>
      </c>
      <c r="F4132">
        <v>0</v>
      </c>
      <c r="G4132">
        <v>0</v>
      </c>
    </row>
    <row r="4133" spans="1:7" x14ac:dyDescent="0.2">
      <c r="A4133" t="s">
        <v>1958</v>
      </c>
      <c r="B4133">
        <v>0</v>
      </c>
      <c r="C4133">
        <v>0</v>
      </c>
      <c r="D4133">
        <v>0</v>
      </c>
      <c r="E4133">
        <v>0</v>
      </c>
      <c r="F4133">
        <v>0</v>
      </c>
      <c r="G4133">
        <v>0</v>
      </c>
    </row>
    <row r="4134" spans="1:7" x14ac:dyDescent="0.2">
      <c r="A4134" t="s">
        <v>1964</v>
      </c>
      <c r="B4134">
        <v>0</v>
      </c>
      <c r="C4134">
        <v>0</v>
      </c>
      <c r="D4134">
        <v>0</v>
      </c>
      <c r="E4134">
        <v>0</v>
      </c>
      <c r="F4134">
        <v>0</v>
      </c>
      <c r="G4134">
        <v>0</v>
      </c>
    </row>
    <row r="4135" spans="1:7" x14ac:dyDescent="0.2">
      <c r="A4135" t="s">
        <v>1973</v>
      </c>
      <c r="B4135">
        <v>0</v>
      </c>
      <c r="C4135">
        <v>0</v>
      </c>
      <c r="D4135">
        <v>0</v>
      </c>
      <c r="E4135">
        <v>0</v>
      </c>
      <c r="F4135">
        <v>0</v>
      </c>
      <c r="G4135">
        <v>0</v>
      </c>
    </row>
    <row r="4136" spans="1:7" x14ac:dyDescent="0.2">
      <c r="A4136" t="s">
        <v>1978</v>
      </c>
      <c r="B4136">
        <v>0</v>
      </c>
      <c r="C4136">
        <v>0</v>
      </c>
      <c r="D4136">
        <v>0</v>
      </c>
      <c r="E4136">
        <v>0</v>
      </c>
      <c r="F4136">
        <v>0</v>
      </c>
      <c r="G4136">
        <v>0</v>
      </c>
    </row>
    <row r="4137" spans="1:7" x14ac:dyDescent="0.2">
      <c r="A4137" t="s">
        <v>1983</v>
      </c>
      <c r="B4137">
        <v>0</v>
      </c>
      <c r="C4137">
        <v>0</v>
      </c>
      <c r="D4137">
        <v>0</v>
      </c>
      <c r="E4137">
        <v>0</v>
      </c>
      <c r="F4137">
        <v>0</v>
      </c>
      <c r="G4137">
        <v>0</v>
      </c>
    </row>
    <row r="4138" spans="1:7" x14ac:dyDescent="0.2">
      <c r="A4138" t="s">
        <v>1984</v>
      </c>
      <c r="B4138">
        <v>0</v>
      </c>
      <c r="C4138">
        <v>0</v>
      </c>
      <c r="D4138">
        <v>0</v>
      </c>
      <c r="E4138">
        <v>0</v>
      </c>
      <c r="F4138">
        <v>0</v>
      </c>
      <c r="G4138">
        <v>0</v>
      </c>
    </row>
    <row r="4139" spans="1:7" x14ac:dyDescent="0.2">
      <c r="A4139" t="s">
        <v>1990</v>
      </c>
      <c r="B4139">
        <v>0</v>
      </c>
      <c r="C4139">
        <v>0</v>
      </c>
      <c r="D4139">
        <v>0</v>
      </c>
      <c r="E4139">
        <v>0</v>
      </c>
      <c r="F4139">
        <v>0</v>
      </c>
      <c r="G4139">
        <v>0</v>
      </c>
    </row>
    <row r="4140" spans="1:7" x14ac:dyDescent="0.2">
      <c r="A4140" t="s">
        <v>1996</v>
      </c>
      <c r="B4140">
        <v>0</v>
      </c>
      <c r="C4140">
        <v>0</v>
      </c>
      <c r="D4140">
        <v>0</v>
      </c>
      <c r="E4140">
        <v>0</v>
      </c>
      <c r="F4140">
        <v>0</v>
      </c>
      <c r="G4140">
        <v>0</v>
      </c>
    </row>
    <row r="4141" spans="1:7" x14ac:dyDescent="0.2">
      <c r="A4141" t="s">
        <v>1998</v>
      </c>
      <c r="B4141">
        <v>0</v>
      </c>
      <c r="C4141">
        <v>0</v>
      </c>
      <c r="D4141">
        <v>0</v>
      </c>
      <c r="E4141">
        <v>0</v>
      </c>
      <c r="F4141">
        <v>0</v>
      </c>
      <c r="G4141">
        <v>0</v>
      </c>
    </row>
    <row r="4142" spans="1:7" x14ac:dyDescent="0.2">
      <c r="A4142" t="s">
        <v>1999</v>
      </c>
      <c r="B4142">
        <v>0</v>
      </c>
      <c r="C4142">
        <v>0</v>
      </c>
      <c r="D4142">
        <v>0</v>
      </c>
      <c r="E4142">
        <v>0</v>
      </c>
      <c r="F4142">
        <v>0</v>
      </c>
      <c r="G4142">
        <v>0</v>
      </c>
    </row>
    <row r="4143" spans="1:7" x14ac:dyDescent="0.2">
      <c r="A4143" t="s">
        <v>2004</v>
      </c>
      <c r="B4143">
        <v>0</v>
      </c>
      <c r="C4143">
        <v>0</v>
      </c>
      <c r="D4143">
        <v>0</v>
      </c>
      <c r="E4143">
        <v>0</v>
      </c>
      <c r="F4143">
        <v>0</v>
      </c>
      <c r="G4143">
        <v>0</v>
      </c>
    </row>
    <row r="4144" spans="1:7" x14ac:dyDescent="0.2">
      <c r="A4144" t="s">
        <v>2009</v>
      </c>
      <c r="B4144">
        <v>0</v>
      </c>
      <c r="C4144">
        <v>0</v>
      </c>
      <c r="D4144">
        <v>0</v>
      </c>
      <c r="E4144">
        <v>0</v>
      </c>
      <c r="F4144">
        <v>0</v>
      </c>
      <c r="G4144">
        <v>0</v>
      </c>
    </row>
    <row r="4145" spans="1:7" x14ac:dyDescent="0.2">
      <c r="A4145" t="s">
        <v>2014</v>
      </c>
      <c r="B4145">
        <v>0</v>
      </c>
      <c r="C4145">
        <v>0</v>
      </c>
      <c r="D4145">
        <v>0</v>
      </c>
      <c r="E4145">
        <v>0</v>
      </c>
      <c r="F4145">
        <v>0</v>
      </c>
      <c r="G4145">
        <v>0</v>
      </c>
    </row>
    <row r="4146" spans="1:7" x14ac:dyDescent="0.2">
      <c r="A4146" t="s">
        <v>2019</v>
      </c>
      <c r="B4146">
        <v>0</v>
      </c>
      <c r="C4146">
        <v>0</v>
      </c>
      <c r="D4146">
        <v>0</v>
      </c>
      <c r="E4146">
        <v>0</v>
      </c>
      <c r="F4146">
        <v>0</v>
      </c>
      <c r="G4146">
        <v>0</v>
      </c>
    </row>
    <row r="4147" spans="1:7" x14ac:dyDescent="0.2">
      <c r="A4147" t="s">
        <v>2023</v>
      </c>
      <c r="B4147">
        <v>0</v>
      </c>
      <c r="C4147">
        <v>0</v>
      </c>
      <c r="D4147">
        <v>0</v>
      </c>
      <c r="E4147">
        <v>0</v>
      </c>
      <c r="F4147">
        <v>0</v>
      </c>
      <c r="G4147">
        <v>0</v>
      </c>
    </row>
    <row r="4148" spans="1:7" x14ac:dyDescent="0.2">
      <c r="A4148" t="s">
        <v>2026</v>
      </c>
      <c r="B4148">
        <v>0</v>
      </c>
      <c r="C4148">
        <v>0</v>
      </c>
      <c r="D4148">
        <v>0</v>
      </c>
      <c r="E4148">
        <v>0</v>
      </c>
      <c r="F4148">
        <v>0</v>
      </c>
      <c r="G4148">
        <v>0</v>
      </c>
    </row>
    <row r="4149" spans="1:7" x14ac:dyDescent="0.2">
      <c r="A4149" t="s">
        <v>2030</v>
      </c>
      <c r="B4149">
        <v>0</v>
      </c>
      <c r="C4149">
        <v>0</v>
      </c>
      <c r="D4149">
        <v>0</v>
      </c>
      <c r="E4149">
        <v>0</v>
      </c>
      <c r="F4149">
        <v>0</v>
      </c>
      <c r="G4149">
        <v>0</v>
      </c>
    </row>
    <row r="4150" spans="1:7" x14ac:dyDescent="0.2">
      <c r="A4150" t="s">
        <v>2035</v>
      </c>
      <c r="B4150">
        <v>0</v>
      </c>
      <c r="C4150">
        <v>0</v>
      </c>
      <c r="D4150">
        <v>0</v>
      </c>
      <c r="E4150">
        <v>0</v>
      </c>
      <c r="F4150">
        <v>0</v>
      </c>
      <c r="G4150">
        <v>0</v>
      </c>
    </row>
    <row r="4151" spans="1:7" x14ac:dyDescent="0.2">
      <c r="A4151" t="s">
        <v>2040</v>
      </c>
      <c r="B4151">
        <v>0</v>
      </c>
      <c r="C4151">
        <v>0</v>
      </c>
      <c r="D4151">
        <v>0</v>
      </c>
      <c r="E4151">
        <v>0</v>
      </c>
      <c r="F4151">
        <v>0</v>
      </c>
      <c r="G4151">
        <v>0</v>
      </c>
    </row>
    <row r="4152" spans="1:7" x14ac:dyDescent="0.2">
      <c r="A4152" t="s">
        <v>2045</v>
      </c>
      <c r="B4152">
        <v>0</v>
      </c>
      <c r="C4152">
        <v>0</v>
      </c>
      <c r="D4152">
        <v>0</v>
      </c>
      <c r="E4152">
        <v>0</v>
      </c>
      <c r="F4152">
        <v>0</v>
      </c>
      <c r="G4152">
        <v>0</v>
      </c>
    </row>
    <row r="4153" spans="1:7" x14ac:dyDescent="0.2">
      <c r="A4153" t="s">
        <v>2049</v>
      </c>
      <c r="B4153">
        <v>0</v>
      </c>
      <c r="C4153">
        <v>0</v>
      </c>
      <c r="D4153">
        <v>0</v>
      </c>
      <c r="E4153">
        <v>0</v>
      </c>
      <c r="F4153">
        <v>0</v>
      </c>
      <c r="G4153">
        <v>0</v>
      </c>
    </row>
    <row r="4154" spans="1:7" x14ac:dyDescent="0.2">
      <c r="A4154" t="s">
        <v>2051</v>
      </c>
      <c r="B4154">
        <v>0</v>
      </c>
      <c r="C4154">
        <v>0</v>
      </c>
      <c r="D4154">
        <v>0</v>
      </c>
      <c r="E4154">
        <v>0</v>
      </c>
      <c r="F4154">
        <v>6</v>
      </c>
      <c r="G4154">
        <v>6</v>
      </c>
    </row>
    <row r="4155" spans="1:7" x14ac:dyDescent="0.2">
      <c r="A4155" t="s">
        <v>2057</v>
      </c>
      <c r="B4155">
        <v>0</v>
      </c>
      <c r="C4155">
        <v>0</v>
      </c>
      <c r="D4155">
        <v>0</v>
      </c>
      <c r="E4155">
        <v>0</v>
      </c>
      <c r="F4155">
        <v>10</v>
      </c>
      <c r="G4155">
        <v>10</v>
      </c>
    </row>
    <row r="4156" spans="1:7" x14ac:dyDescent="0.2">
      <c r="A4156" t="s">
        <v>4344</v>
      </c>
      <c r="B4156">
        <v>0</v>
      </c>
      <c r="C4156">
        <v>0</v>
      </c>
      <c r="D4156">
        <v>0</v>
      </c>
      <c r="E4156">
        <v>0</v>
      </c>
      <c r="F4156">
        <v>0</v>
      </c>
      <c r="G4156">
        <v>0</v>
      </c>
    </row>
    <row r="4157" spans="1:7" x14ac:dyDescent="0.2">
      <c r="A4157" t="s">
        <v>4345</v>
      </c>
      <c r="B4157">
        <v>0</v>
      </c>
      <c r="C4157">
        <v>0</v>
      </c>
      <c r="D4157">
        <v>0</v>
      </c>
      <c r="E4157">
        <v>0</v>
      </c>
      <c r="F4157">
        <v>0</v>
      </c>
      <c r="G4157">
        <v>0</v>
      </c>
    </row>
    <row r="4158" spans="1:7" x14ac:dyDescent="0.2">
      <c r="A4158" t="s">
        <v>2074</v>
      </c>
      <c r="B4158">
        <v>0</v>
      </c>
      <c r="C4158">
        <v>0</v>
      </c>
      <c r="D4158">
        <v>0</v>
      </c>
      <c r="E4158">
        <v>0</v>
      </c>
      <c r="F4158">
        <v>0</v>
      </c>
      <c r="G4158">
        <v>0</v>
      </c>
    </row>
    <row r="4159" spans="1:7" x14ac:dyDescent="0.2">
      <c r="A4159" t="s">
        <v>2079</v>
      </c>
      <c r="B4159">
        <v>0</v>
      </c>
      <c r="C4159">
        <v>0</v>
      </c>
      <c r="D4159">
        <v>0</v>
      </c>
      <c r="E4159">
        <v>0</v>
      </c>
      <c r="F4159">
        <v>0</v>
      </c>
      <c r="G4159">
        <v>0</v>
      </c>
    </row>
    <row r="4160" spans="1:7" x14ac:dyDescent="0.2">
      <c r="A4160" t="s">
        <v>2085</v>
      </c>
      <c r="B4160">
        <v>0</v>
      </c>
      <c r="C4160">
        <v>0</v>
      </c>
      <c r="D4160">
        <v>0</v>
      </c>
      <c r="E4160">
        <v>0</v>
      </c>
      <c r="F4160">
        <v>0</v>
      </c>
      <c r="G4160">
        <v>0</v>
      </c>
    </row>
    <row r="4161" spans="1:7" x14ac:dyDescent="0.2">
      <c r="A4161" t="s">
        <v>2091</v>
      </c>
      <c r="B4161">
        <v>0</v>
      </c>
      <c r="C4161">
        <v>0</v>
      </c>
      <c r="D4161">
        <v>0</v>
      </c>
      <c r="E4161">
        <v>0</v>
      </c>
      <c r="F4161">
        <v>0</v>
      </c>
      <c r="G4161">
        <v>0</v>
      </c>
    </row>
    <row r="4162" spans="1:7" x14ac:dyDescent="0.2">
      <c r="A4162" t="s">
        <v>2097</v>
      </c>
      <c r="B4162">
        <v>0</v>
      </c>
      <c r="C4162">
        <v>0</v>
      </c>
      <c r="D4162">
        <v>0</v>
      </c>
      <c r="E4162">
        <v>0</v>
      </c>
      <c r="F4162">
        <v>0</v>
      </c>
      <c r="G4162">
        <v>0</v>
      </c>
    </row>
    <row r="4163" spans="1:7" x14ac:dyDescent="0.2">
      <c r="A4163" t="s">
        <v>2101</v>
      </c>
      <c r="B4163">
        <v>0</v>
      </c>
      <c r="C4163">
        <v>0</v>
      </c>
      <c r="D4163">
        <v>0</v>
      </c>
      <c r="E4163">
        <v>0</v>
      </c>
      <c r="F4163">
        <v>0</v>
      </c>
      <c r="G4163">
        <v>0</v>
      </c>
    </row>
    <row r="4164" spans="1:7" x14ac:dyDescent="0.2">
      <c r="A4164" t="s">
        <v>2104</v>
      </c>
      <c r="B4164">
        <v>0</v>
      </c>
      <c r="C4164">
        <v>0</v>
      </c>
      <c r="D4164">
        <v>0</v>
      </c>
      <c r="E4164">
        <v>0</v>
      </c>
      <c r="F4164">
        <v>0</v>
      </c>
      <c r="G4164">
        <v>0</v>
      </c>
    </row>
    <row r="4165" spans="1:7" x14ac:dyDescent="0.2">
      <c r="A4165" t="s">
        <v>2107</v>
      </c>
      <c r="B4165">
        <v>0</v>
      </c>
      <c r="C4165">
        <v>0</v>
      </c>
      <c r="D4165">
        <v>0</v>
      </c>
      <c r="E4165">
        <v>0</v>
      </c>
      <c r="F4165">
        <v>0</v>
      </c>
      <c r="G4165">
        <v>0</v>
      </c>
    </row>
    <row r="4166" spans="1:7" x14ac:dyDescent="0.2">
      <c r="A4166" t="s">
        <v>2110</v>
      </c>
      <c r="B4166">
        <v>0</v>
      </c>
      <c r="C4166">
        <v>0</v>
      </c>
      <c r="D4166">
        <v>0</v>
      </c>
      <c r="E4166">
        <v>0</v>
      </c>
      <c r="F4166">
        <v>0</v>
      </c>
      <c r="G4166">
        <v>0</v>
      </c>
    </row>
    <row r="4167" spans="1:7" x14ac:dyDescent="0.2">
      <c r="A4167" t="s">
        <v>2113</v>
      </c>
      <c r="B4167">
        <v>0</v>
      </c>
      <c r="C4167">
        <v>0</v>
      </c>
      <c r="D4167">
        <v>0</v>
      </c>
      <c r="E4167">
        <v>0</v>
      </c>
      <c r="F4167">
        <v>0</v>
      </c>
      <c r="G4167">
        <v>0</v>
      </c>
    </row>
    <row r="4168" spans="1:7" x14ac:dyDescent="0.2">
      <c r="A4168" t="s">
        <v>4346</v>
      </c>
      <c r="B4168">
        <v>0</v>
      </c>
      <c r="C4168">
        <v>0</v>
      </c>
      <c r="D4168">
        <v>0</v>
      </c>
      <c r="E4168">
        <v>0</v>
      </c>
      <c r="F4168">
        <v>0</v>
      </c>
      <c r="G4168">
        <v>0</v>
      </c>
    </row>
    <row r="4169" spans="1:7" x14ac:dyDescent="0.2">
      <c r="A4169" t="s">
        <v>4347</v>
      </c>
      <c r="B4169">
        <v>0</v>
      </c>
      <c r="C4169">
        <v>0</v>
      </c>
      <c r="D4169">
        <v>0</v>
      </c>
      <c r="E4169">
        <v>0</v>
      </c>
      <c r="F4169">
        <v>0</v>
      </c>
      <c r="G4169">
        <v>0</v>
      </c>
    </row>
    <row r="4170" spans="1:7" x14ac:dyDescent="0.2">
      <c r="A4170" t="s">
        <v>4348</v>
      </c>
      <c r="B4170">
        <v>0</v>
      </c>
      <c r="C4170">
        <v>0</v>
      </c>
      <c r="D4170">
        <v>0</v>
      </c>
      <c r="E4170">
        <v>0</v>
      </c>
      <c r="F4170">
        <v>0</v>
      </c>
      <c r="G4170">
        <v>0</v>
      </c>
    </row>
    <row r="4171" spans="1:7" x14ac:dyDescent="0.2">
      <c r="A4171" t="s">
        <v>4349</v>
      </c>
      <c r="B4171">
        <v>0</v>
      </c>
      <c r="C4171">
        <v>0</v>
      </c>
      <c r="D4171">
        <v>0</v>
      </c>
      <c r="E4171">
        <v>0</v>
      </c>
      <c r="F4171">
        <v>0</v>
      </c>
      <c r="G4171">
        <v>0</v>
      </c>
    </row>
    <row r="4172" spans="1:7" x14ac:dyDescent="0.2">
      <c r="A4172" t="s">
        <v>4350</v>
      </c>
      <c r="B4172">
        <v>0</v>
      </c>
      <c r="C4172">
        <v>12</v>
      </c>
      <c r="D4172">
        <v>71</v>
      </c>
      <c r="E4172">
        <v>0</v>
      </c>
      <c r="F4172">
        <v>0</v>
      </c>
      <c r="G4172">
        <v>83</v>
      </c>
    </row>
    <row r="4173" spans="1:7" x14ac:dyDescent="0.2">
      <c r="A4173" t="s">
        <v>4351</v>
      </c>
      <c r="B4173">
        <v>0</v>
      </c>
      <c r="C4173">
        <v>0</v>
      </c>
      <c r="D4173">
        <v>0</v>
      </c>
      <c r="E4173">
        <v>0</v>
      </c>
      <c r="F4173">
        <v>0</v>
      </c>
      <c r="G4173">
        <v>0</v>
      </c>
    </row>
    <row r="4174" spans="1:7" x14ac:dyDescent="0.2">
      <c r="A4174" t="s">
        <v>4352</v>
      </c>
      <c r="B4174">
        <v>0</v>
      </c>
      <c r="C4174">
        <v>0</v>
      </c>
      <c r="D4174">
        <v>0</v>
      </c>
      <c r="E4174">
        <v>0</v>
      </c>
      <c r="F4174">
        <v>0</v>
      </c>
      <c r="G4174">
        <v>0</v>
      </c>
    </row>
    <row r="4175" spans="1:7" x14ac:dyDescent="0.2">
      <c r="A4175" t="s">
        <v>4353</v>
      </c>
      <c r="B4175">
        <v>0</v>
      </c>
      <c r="C4175">
        <v>51</v>
      </c>
      <c r="D4175">
        <v>50</v>
      </c>
      <c r="E4175">
        <v>2</v>
      </c>
      <c r="F4175">
        <v>0</v>
      </c>
      <c r="G4175">
        <v>104</v>
      </c>
    </row>
    <row r="4176" spans="1:7" x14ac:dyDescent="0.2">
      <c r="A4176" t="s">
        <v>4354</v>
      </c>
      <c r="B4176">
        <v>2</v>
      </c>
      <c r="C4176">
        <v>30</v>
      </c>
      <c r="D4176">
        <v>16</v>
      </c>
      <c r="E4176">
        <v>0</v>
      </c>
      <c r="F4176">
        <v>0</v>
      </c>
      <c r="G4176">
        <v>49</v>
      </c>
    </row>
    <row r="4177" spans="1:7" x14ac:dyDescent="0.2">
      <c r="A4177" t="s">
        <v>4355</v>
      </c>
      <c r="B4177">
        <v>0</v>
      </c>
      <c r="C4177">
        <v>0</v>
      </c>
      <c r="D4177">
        <v>0</v>
      </c>
      <c r="E4177">
        <v>0</v>
      </c>
      <c r="F4177">
        <v>0</v>
      </c>
      <c r="G4177">
        <v>0</v>
      </c>
    </row>
    <row r="4178" spans="1:7" x14ac:dyDescent="0.2">
      <c r="A4178" t="s">
        <v>4356</v>
      </c>
      <c r="B4178">
        <v>0</v>
      </c>
      <c r="C4178">
        <v>0</v>
      </c>
      <c r="D4178">
        <v>0</v>
      </c>
      <c r="E4178">
        <v>0</v>
      </c>
      <c r="F4178">
        <v>0</v>
      </c>
      <c r="G4178">
        <v>0</v>
      </c>
    </row>
    <row r="4179" spans="1:7" x14ac:dyDescent="0.2">
      <c r="A4179" t="s">
        <v>4357</v>
      </c>
      <c r="B4179">
        <v>0</v>
      </c>
      <c r="C4179">
        <v>6</v>
      </c>
      <c r="D4179">
        <v>3</v>
      </c>
      <c r="E4179">
        <v>0</v>
      </c>
      <c r="F4179">
        <v>0</v>
      </c>
      <c r="G4179">
        <v>10</v>
      </c>
    </row>
    <row r="4180" spans="1:7" x14ac:dyDescent="0.2">
      <c r="A4180" t="s">
        <v>4358</v>
      </c>
      <c r="B4180">
        <v>0</v>
      </c>
      <c r="C4180">
        <v>1</v>
      </c>
      <c r="D4180">
        <v>0</v>
      </c>
      <c r="E4180">
        <v>0</v>
      </c>
      <c r="F4180">
        <v>0</v>
      </c>
      <c r="G4180">
        <v>1</v>
      </c>
    </row>
    <row r="4181" spans="1:7" x14ac:dyDescent="0.2">
      <c r="A4181" t="s">
        <v>4359</v>
      </c>
      <c r="B4181">
        <v>0</v>
      </c>
      <c r="C4181">
        <v>0</v>
      </c>
      <c r="D4181">
        <v>0</v>
      </c>
      <c r="E4181">
        <v>0</v>
      </c>
      <c r="F4181">
        <v>0</v>
      </c>
      <c r="G4181">
        <v>0</v>
      </c>
    </row>
    <row r="4182" spans="1:7" x14ac:dyDescent="0.2">
      <c r="A4182" t="s">
        <v>4360</v>
      </c>
      <c r="B4182">
        <v>0</v>
      </c>
      <c r="C4182">
        <v>0</v>
      </c>
      <c r="D4182">
        <v>0</v>
      </c>
      <c r="E4182">
        <v>0</v>
      </c>
      <c r="F4182">
        <v>0</v>
      </c>
      <c r="G4182">
        <v>0</v>
      </c>
    </row>
    <row r="4183" spans="1:7" x14ac:dyDescent="0.2">
      <c r="A4183" t="s">
        <v>4361</v>
      </c>
      <c r="B4183">
        <v>0</v>
      </c>
      <c r="C4183">
        <v>0</v>
      </c>
      <c r="D4183">
        <v>11</v>
      </c>
      <c r="E4183">
        <v>0</v>
      </c>
      <c r="F4183">
        <v>0</v>
      </c>
      <c r="G4183">
        <v>11</v>
      </c>
    </row>
    <row r="4184" spans="1:7" x14ac:dyDescent="0.2">
      <c r="A4184" t="s">
        <v>4362</v>
      </c>
      <c r="B4184">
        <v>0</v>
      </c>
      <c r="C4184">
        <v>0</v>
      </c>
      <c r="D4184">
        <v>0</v>
      </c>
      <c r="E4184">
        <v>0</v>
      </c>
      <c r="F4184">
        <v>0</v>
      </c>
      <c r="G4184">
        <v>0</v>
      </c>
    </row>
    <row r="4185" spans="1:7" x14ac:dyDescent="0.2">
      <c r="A4185" t="s">
        <v>4363</v>
      </c>
      <c r="B4185">
        <v>0</v>
      </c>
      <c r="C4185">
        <v>0</v>
      </c>
      <c r="D4185">
        <v>0</v>
      </c>
      <c r="E4185">
        <v>0</v>
      </c>
      <c r="F4185">
        <v>0</v>
      </c>
      <c r="G4185">
        <v>0</v>
      </c>
    </row>
    <row r="4186" spans="1:7" x14ac:dyDescent="0.2">
      <c r="A4186" t="s">
        <v>4364</v>
      </c>
      <c r="B4186">
        <v>0</v>
      </c>
      <c r="C4186">
        <v>0</v>
      </c>
      <c r="D4186">
        <v>0</v>
      </c>
      <c r="E4186">
        <v>0</v>
      </c>
      <c r="F4186">
        <v>0</v>
      </c>
      <c r="G4186">
        <v>0</v>
      </c>
    </row>
    <row r="4187" spans="1:7" x14ac:dyDescent="0.2">
      <c r="A4187" t="s">
        <v>4365</v>
      </c>
      <c r="B4187">
        <v>0</v>
      </c>
      <c r="C4187">
        <v>16</v>
      </c>
      <c r="D4187">
        <v>22</v>
      </c>
      <c r="E4187">
        <v>0</v>
      </c>
      <c r="F4187">
        <v>0</v>
      </c>
      <c r="G4187">
        <v>38</v>
      </c>
    </row>
    <row r="4188" spans="1:7" x14ac:dyDescent="0.2">
      <c r="A4188" t="s">
        <v>4366</v>
      </c>
      <c r="B4188">
        <v>0</v>
      </c>
      <c r="C4188">
        <v>0</v>
      </c>
      <c r="D4188">
        <v>0</v>
      </c>
      <c r="E4188">
        <v>0</v>
      </c>
      <c r="F4188">
        <v>0</v>
      </c>
      <c r="G4188">
        <v>0</v>
      </c>
    </row>
    <row r="4189" spans="1:7" x14ac:dyDescent="0.2">
      <c r="A4189" t="s">
        <v>4367</v>
      </c>
      <c r="B4189">
        <v>0</v>
      </c>
      <c r="C4189">
        <v>0</v>
      </c>
      <c r="D4189">
        <v>0</v>
      </c>
      <c r="E4189">
        <v>0</v>
      </c>
      <c r="F4189">
        <v>0</v>
      </c>
      <c r="G4189">
        <v>0</v>
      </c>
    </row>
    <row r="4190" spans="1:7" x14ac:dyDescent="0.2">
      <c r="A4190" t="s">
        <v>4368</v>
      </c>
      <c r="B4190">
        <v>0</v>
      </c>
      <c r="C4190">
        <v>7</v>
      </c>
      <c r="D4190">
        <v>37</v>
      </c>
      <c r="E4190">
        <v>31</v>
      </c>
      <c r="F4190">
        <v>0</v>
      </c>
      <c r="G4190">
        <v>75</v>
      </c>
    </row>
    <row r="4191" spans="1:7" x14ac:dyDescent="0.2">
      <c r="A4191" t="s">
        <v>4369</v>
      </c>
      <c r="B4191">
        <v>0</v>
      </c>
      <c r="C4191">
        <v>127</v>
      </c>
      <c r="D4191">
        <v>211</v>
      </c>
      <c r="E4191">
        <v>44</v>
      </c>
      <c r="F4191">
        <v>0</v>
      </c>
      <c r="G4191">
        <v>382</v>
      </c>
    </row>
    <row r="4192" spans="1:7" x14ac:dyDescent="0.2">
      <c r="A4192" t="s">
        <v>4370</v>
      </c>
      <c r="B4192">
        <v>0</v>
      </c>
      <c r="C4192">
        <v>1</v>
      </c>
      <c r="D4192">
        <v>0</v>
      </c>
      <c r="E4192">
        <v>0</v>
      </c>
      <c r="F4192">
        <v>0</v>
      </c>
      <c r="G4192">
        <v>1</v>
      </c>
    </row>
    <row r="4193" spans="1:10" x14ac:dyDescent="0.2">
      <c r="A4193" t="s">
        <v>4371</v>
      </c>
      <c r="B4193">
        <v>0</v>
      </c>
      <c r="C4193">
        <v>0</v>
      </c>
      <c r="D4193">
        <v>0</v>
      </c>
      <c r="E4193">
        <v>0</v>
      </c>
      <c r="F4193">
        <v>0</v>
      </c>
      <c r="G4193">
        <v>0</v>
      </c>
    </row>
    <row r="4194" spans="1:10" x14ac:dyDescent="0.2">
      <c r="A4194" t="s">
        <v>4372</v>
      </c>
      <c r="B4194">
        <v>0</v>
      </c>
      <c r="C4194">
        <v>0</v>
      </c>
      <c r="D4194">
        <v>0</v>
      </c>
      <c r="E4194">
        <v>0</v>
      </c>
      <c r="F4194">
        <v>0</v>
      </c>
      <c r="G4194">
        <v>0</v>
      </c>
    </row>
    <row r="4195" spans="1:10" x14ac:dyDescent="0.2">
      <c r="A4195" t="s">
        <v>4373</v>
      </c>
      <c r="B4195">
        <v>0</v>
      </c>
      <c r="C4195">
        <v>14</v>
      </c>
      <c r="D4195">
        <v>6</v>
      </c>
      <c r="E4195">
        <v>0</v>
      </c>
      <c r="F4195">
        <v>0</v>
      </c>
      <c r="G4195">
        <v>20</v>
      </c>
    </row>
    <row r="4196" spans="1:10" x14ac:dyDescent="0.2">
      <c r="A4196" t="s">
        <v>4374</v>
      </c>
      <c r="B4196">
        <v>0</v>
      </c>
      <c r="C4196">
        <v>0</v>
      </c>
      <c r="D4196">
        <v>1</v>
      </c>
      <c r="E4196">
        <v>0</v>
      </c>
      <c r="F4196">
        <v>0</v>
      </c>
      <c r="G4196">
        <v>1</v>
      </c>
    </row>
    <row r="4197" spans="1:10" x14ac:dyDescent="0.2">
      <c r="A4197" t="s">
        <v>4375</v>
      </c>
      <c r="B4197">
        <v>0</v>
      </c>
      <c r="C4197">
        <v>2</v>
      </c>
      <c r="D4197">
        <v>7</v>
      </c>
      <c r="E4197">
        <v>5</v>
      </c>
      <c r="F4197">
        <v>0</v>
      </c>
      <c r="G4197">
        <v>14</v>
      </c>
    </row>
    <row r="4198" spans="1:10" x14ac:dyDescent="0.2">
      <c r="A4198" t="s">
        <v>4376</v>
      </c>
      <c r="B4198">
        <v>0</v>
      </c>
      <c r="C4198">
        <v>0</v>
      </c>
      <c r="D4198">
        <v>0</v>
      </c>
      <c r="E4198">
        <v>0</v>
      </c>
      <c r="F4198">
        <v>0</v>
      </c>
      <c r="G4198">
        <v>0</v>
      </c>
    </row>
    <row r="4199" spans="1:10" x14ac:dyDescent="0.2">
      <c r="A4199" t="s">
        <v>4377</v>
      </c>
      <c r="B4199">
        <v>0</v>
      </c>
      <c r="C4199">
        <v>2</v>
      </c>
      <c r="D4199">
        <v>0</v>
      </c>
      <c r="E4199">
        <v>0</v>
      </c>
      <c r="F4199">
        <v>0</v>
      </c>
      <c r="G4199">
        <v>2</v>
      </c>
    </row>
    <row r="4200" spans="1:10" x14ac:dyDescent="0.2">
      <c r="A4200" t="s">
        <v>2318</v>
      </c>
      <c r="B4200" t="s">
        <v>2319</v>
      </c>
      <c r="C4200" t="s">
        <v>2319</v>
      </c>
      <c r="D4200" t="s">
        <v>2319</v>
      </c>
      <c r="E4200" t="s">
        <v>2319</v>
      </c>
      <c r="F4200" t="s">
        <v>2319</v>
      </c>
      <c r="G4200" t="s">
        <v>2319</v>
      </c>
    </row>
    <row r="4201" spans="1:10" x14ac:dyDescent="0.2">
      <c r="A4201" t="s">
        <v>4248</v>
      </c>
    </row>
    <row r="4202" spans="1:10" x14ac:dyDescent="0.2">
      <c r="A4202" t="s">
        <v>4250</v>
      </c>
      <c r="C4202" t="s">
        <v>4251</v>
      </c>
      <c r="G4202" t="s">
        <v>7531</v>
      </c>
      <c r="J4202"/>
    </row>
    <row r="4203" spans="1:10" x14ac:dyDescent="0.2">
      <c r="A4203" t="s">
        <v>4925</v>
      </c>
      <c r="G4203" t="s">
        <v>7539</v>
      </c>
      <c r="J4203"/>
    </row>
    <row r="4204" spans="1:10" x14ac:dyDescent="0.2">
      <c r="A4204" t="s">
        <v>7530</v>
      </c>
      <c r="J4204"/>
    </row>
    <row r="4205" spans="1:10" x14ac:dyDescent="0.2">
      <c r="A4205" t="s">
        <v>4989</v>
      </c>
      <c r="J4205"/>
    </row>
    <row r="4206" spans="1:10" x14ac:dyDescent="0.2">
      <c r="J4206"/>
    </row>
    <row r="4207" spans="1:10" x14ac:dyDescent="0.2">
      <c r="A4207" t="s">
        <v>4259</v>
      </c>
      <c r="J4207"/>
    </row>
    <row r="4208" spans="1:10" x14ac:dyDescent="0.2">
      <c r="A4208" t="s">
        <v>2318</v>
      </c>
      <c r="B4208" t="s">
        <v>2319</v>
      </c>
      <c r="C4208" t="s">
        <v>2319</v>
      </c>
      <c r="D4208" t="s">
        <v>2319</v>
      </c>
      <c r="E4208" t="s">
        <v>2319</v>
      </c>
      <c r="F4208" t="s">
        <v>2319</v>
      </c>
      <c r="G4208" t="s">
        <v>2319</v>
      </c>
    </row>
    <row r="4209" spans="1:7" x14ac:dyDescent="0.2">
      <c r="A4209" t="s">
        <v>174</v>
      </c>
      <c r="B4209" t="s">
        <v>4945</v>
      </c>
      <c r="C4209" t="s">
        <v>4946</v>
      </c>
      <c r="D4209" t="s">
        <v>4947</v>
      </c>
      <c r="E4209" t="s">
        <v>4948</v>
      </c>
      <c r="F4209" t="s">
        <v>4949</v>
      </c>
    </row>
    <row r="4210" spans="1:7" x14ac:dyDescent="0.2">
      <c r="A4210" t="s">
        <v>126</v>
      </c>
      <c r="B4210" t="s">
        <v>4262</v>
      </c>
      <c r="C4210" t="s">
        <v>4263</v>
      </c>
      <c r="D4210" t="s">
        <v>4264</v>
      </c>
      <c r="E4210" t="s">
        <v>2308</v>
      </c>
      <c r="F4210" t="s">
        <v>615</v>
      </c>
      <c r="G4210" t="s">
        <v>236</v>
      </c>
    </row>
    <row r="4211" spans="1:7" x14ac:dyDescent="0.2">
      <c r="A4211" t="s">
        <v>2318</v>
      </c>
      <c r="B4211" t="s">
        <v>2319</v>
      </c>
      <c r="C4211" t="s">
        <v>2319</v>
      </c>
      <c r="D4211" t="s">
        <v>2319</v>
      </c>
      <c r="E4211" t="s">
        <v>2319</v>
      </c>
      <c r="F4211" t="s">
        <v>2319</v>
      </c>
      <c r="G4211" t="s">
        <v>2319</v>
      </c>
    </row>
    <row r="4212" spans="1:7" x14ac:dyDescent="0.2">
      <c r="A4212" t="s">
        <v>4265</v>
      </c>
      <c r="B4212">
        <v>0</v>
      </c>
      <c r="C4212">
        <v>0</v>
      </c>
      <c r="D4212">
        <v>0</v>
      </c>
      <c r="E4212">
        <v>0</v>
      </c>
      <c r="F4212">
        <v>0</v>
      </c>
      <c r="G4212">
        <v>0</v>
      </c>
    </row>
    <row r="4213" spans="1:7" x14ac:dyDescent="0.2">
      <c r="A4213" t="s">
        <v>4266</v>
      </c>
      <c r="B4213">
        <v>0</v>
      </c>
      <c r="C4213">
        <v>0</v>
      </c>
      <c r="D4213">
        <v>0</v>
      </c>
      <c r="E4213">
        <v>0</v>
      </c>
      <c r="F4213">
        <v>0</v>
      </c>
      <c r="G4213">
        <v>0</v>
      </c>
    </row>
    <row r="4214" spans="1:7" x14ac:dyDescent="0.2">
      <c r="A4214" t="s">
        <v>4267</v>
      </c>
      <c r="B4214">
        <v>0</v>
      </c>
      <c r="C4214">
        <v>0</v>
      </c>
      <c r="D4214">
        <v>0</v>
      </c>
      <c r="E4214">
        <v>0</v>
      </c>
      <c r="F4214">
        <v>0</v>
      </c>
      <c r="G4214">
        <v>0</v>
      </c>
    </row>
    <row r="4215" spans="1:7" x14ac:dyDescent="0.2">
      <c r="A4215" t="s">
        <v>4268</v>
      </c>
      <c r="B4215">
        <v>0</v>
      </c>
      <c r="C4215">
        <v>0</v>
      </c>
      <c r="D4215">
        <v>0</v>
      </c>
      <c r="E4215">
        <v>0</v>
      </c>
      <c r="F4215">
        <v>0</v>
      </c>
      <c r="G4215">
        <v>0</v>
      </c>
    </row>
    <row r="4216" spans="1:7" x14ac:dyDescent="0.2">
      <c r="A4216" t="s">
        <v>4269</v>
      </c>
      <c r="B4216">
        <v>0</v>
      </c>
      <c r="C4216">
        <v>0</v>
      </c>
      <c r="D4216">
        <v>0</v>
      </c>
      <c r="E4216">
        <v>0</v>
      </c>
      <c r="F4216">
        <v>0</v>
      </c>
      <c r="G4216">
        <v>0</v>
      </c>
    </row>
    <row r="4217" spans="1:7" x14ac:dyDescent="0.2">
      <c r="A4217" t="s">
        <v>4270</v>
      </c>
      <c r="B4217">
        <v>0</v>
      </c>
      <c r="C4217">
        <v>0</v>
      </c>
      <c r="D4217">
        <v>0</v>
      </c>
      <c r="E4217">
        <v>0</v>
      </c>
      <c r="F4217">
        <v>0</v>
      </c>
      <c r="G4217">
        <v>0</v>
      </c>
    </row>
    <row r="4218" spans="1:7" x14ac:dyDescent="0.2">
      <c r="A4218" t="s">
        <v>4271</v>
      </c>
      <c r="B4218">
        <v>0</v>
      </c>
      <c r="C4218">
        <v>0</v>
      </c>
      <c r="D4218">
        <v>0</v>
      </c>
      <c r="E4218">
        <v>0</v>
      </c>
      <c r="F4218">
        <v>0</v>
      </c>
      <c r="G4218">
        <v>0</v>
      </c>
    </row>
    <row r="4219" spans="1:7" x14ac:dyDescent="0.2">
      <c r="A4219" t="s">
        <v>4272</v>
      </c>
      <c r="B4219">
        <v>0</v>
      </c>
      <c r="C4219">
        <v>0</v>
      </c>
      <c r="D4219">
        <v>0</v>
      </c>
      <c r="E4219">
        <v>0</v>
      </c>
      <c r="F4219">
        <v>0</v>
      </c>
      <c r="G4219">
        <v>0</v>
      </c>
    </row>
    <row r="4220" spans="1:7" x14ac:dyDescent="0.2">
      <c r="A4220" t="s">
        <v>4273</v>
      </c>
      <c r="B4220">
        <v>0</v>
      </c>
      <c r="C4220">
        <v>0</v>
      </c>
      <c r="D4220">
        <v>0</v>
      </c>
      <c r="E4220">
        <v>0</v>
      </c>
      <c r="F4220">
        <v>0</v>
      </c>
      <c r="G4220">
        <v>0</v>
      </c>
    </row>
    <row r="4221" spans="1:7" x14ac:dyDescent="0.2">
      <c r="A4221" t="s">
        <v>4274</v>
      </c>
      <c r="B4221">
        <v>0</v>
      </c>
      <c r="C4221">
        <v>0</v>
      </c>
      <c r="D4221">
        <v>0</v>
      </c>
      <c r="E4221">
        <v>0</v>
      </c>
      <c r="F4221">
        <v>0</v>
      </c>
      <c r="G4221">
        <v>0</v>
      </c>
    </row>
    <row r="4222" spans="1:7" x14ac:dyDescent="0.2">
      <c r="A4222" t="s">
        <v>4275</v>
      </c>
      <c r="B4222">
        <v>0</v>
      </c>
      <c r="C4222">
        <v>0</v>
      </c>
      <c r="D4222">
        <v>0</v>
      </c>
      <c r="E4222">
        <v>0</v>
      </c>
      <c r="F4222">
        <v>0</v>
      </c>
      <c r="G4222">
        <v>0</v>
      </c>
    </row>
    <row r="4223" spans="1:7" x14ac:dyDescent="0.2">
      <c r="A4223" t="s">
        <v>4276</v>
      </c>
      <c r="B4223">
        <v>0</v>
      </c>
      <c r="C4223">
        <v>0</v>
      </c>
      <c r="D4223">
        <v>0</v>
      </c>
      <c r="E4223">
        <v>0</v>
      </c>
      <c r="F4223">
        <v>0</v>
      </c>
      <c r="G4223">
        <v>0</v>
      </c>
    </row>
    <row r="4224" spans="1:7" x14ac:dyDescent="0.2">
      <c r="A4224" t="s">
        <v>4277</v>
      </c>
      <c r="B4224">
        <v>0</v>
      </c>
      <c r="C4224">
        <v>0</v>
      </c>
      <c r="D4224">
        <v>0</v>
      </c>
      <c r="E4224">
        <v>0</v>
      </c>
      <c r="F4224">
        <v>0</v>
      </c>
      <c r="G4224">
        <v>0</v>
      </c>
    </row>
    <row r="4225" spans="1:7" x14ac:dyDescent="0.2">
      <c r="A4225" t="s">
        <v>4278</v>
      </c>
      <c r="B4225">
        <v>0</v>
      </c>
      <c r="C4225">
        <v>0</v>
      </c>
      <c r="D4225">
        <v>0</v>
      </c>
      <c r="E4225">
        <v>0</v>
      </c>
      <c r="F4225">
        <v>0</v>
      </c>
      <c r="G4225">
        <v>0</v>
      </c>
    </row>
    <row r="4226" spans="1:7" x14ac:dyDescent="0.2">
      <c r="A4226" t="s">
        <v>4279</v>
      </c>
      <c r="B4226">
        <v>1</v>
      </c>
      <c r="C4226">
        <v>0</v>
      </c>
      <c r="D4226">
        <v>0</v>
      </c>
      <c r="E4226">
        <v>0</v>
      </c>
      <c r="F4226">
        <v>0</v>
      </c>
      <c r="G4226">
        <v>1</v>
      </c>
    </row>
    <row r="4227" spans="1:7" x14ac:dyDescent="0.2">
      <c r="A4227" t="s">
        <v>4280</v>
      </c>
      <c r="B4227">
        <v>0</v>
      </c>
      <c r="C4227">
        <v>0</v>
      </c>
      <c r="D4227">
        <v>0</v>
      </c>
      <c r="E4227">
        <v>0</v>
      </c>
      <c r="F4227">
        <v>0</v>
      </c>
      <c r="G4227">
        <v>0</v>
      </c>
    </row>
    <row r="4228" spans="1:7" x14ac:dyDescent="0.2">
      <c r="A4228" t="s">
        <v>4281</v>
      </c>
      <c r="B4228">
        <v>28</v>
      </c>
      <c r="C4228">
        <v>25</v>
      </c>
      <c r="D4228">
        <v>46</v>
      </c>
      <c r="E4228">
        <v>30</v>
      </c>
      <c r="F4228">
        <v>0</v>
      </c>
      <c r="G4228">
        <v>129</v>
      </c>
    </row>
    <row r="4229" spans="1:7" x14ac:dyDescent="0.2">
      <c r="A4229" t="s">
        <v>4282</v>
      </c>
      <c r="B4229">
        <v>33</v>
      </c>
      <c r="C4229">
        <v>19</v>
      </c>
      <c r="D4229">
        <v>24</v>
      </c>
      <c r="E4229">
        <v>1</v>
      </c>
      <c r="F4229">
        <v>0</v>
      </c>
      <c r="G4229">
        <v>77</v>
      </c>
    </row>
    <row r="4230" spans="1:7" x14ac:dyDescent="0.2">
      <c r="A4230" t="s">
        <v>4283</v>
      </c>
      <c r="B4230">
        <v>6</v>
      </c>
      <c r="C4230">
        <v>11</v>
      </c>
      <c r="D4230">
        <v>9</v>
      </c>
      <c r="E4230">
        <v>0</v>
      </c>
      <c r="F4230">
        <v>0</v>
      </c>
      <c r="G4230">
        <v>25</v>
      </c>
    </row>
    <row r="4231" spans="1:7" x14ac:dyDescent="0.2">
      <c r="A4231" t="s">
        <v>4284</v>
      </c>
      <c r="B4231">
        <v>1</v>
      </c>
      <c r="C4231">
        <v>0</v>
      </c>
      <c r="D4231">
        <v>1</v>
      </c>
      <c r="E4231">
        <v>0</v>
      </c>
      <c r="F4231">
        <v>0</v>
      </c>
      <c r="G4231">
        <v>2</v>
      </c>
    </row>
    <row r="4232" spans="1:7" x14ac:dyDescent="0.2">
      <c r="A4232" t="s">
        <v>4285</v>
      </c>
      <c r="B4232">
        <v>17</v>
      </c>
      <c r="C4232">
        <v>29</v>
      </c>
      <c r="D4232">
        <v>38</v>
      </c>
      <c r="E4232">
        <v>32</v>
      </c>
      <c r="F4232">
        <v>0</v>
      </c>
      <c r="G4232">
        <v>116</v>
      </c>
    </row>
    <row r="4233" spans="1:7" x14ac:dyDescent="0.2">
      <c r="A4233" t="s">
        <v>4286</v>
      </c>
      <c r="B4233">
        <v>14</v>
      </c>
      <c r="C4233">
        <v>2</v>
      </c>
      <c r="D4233">
        <v>2</v>
      </c>
      <c r="E4233">
        <v>1</v>
      </c>
      <c r="F4233">
        <v>0</v>
      </c>
      <c r="G4233">
        <v>19</v>
      </c>
    </row>
    <row r="4234" spans="1:7" x14ac:dyDescent="0.2">
      <c r="A4234" t="s">
        <v>4287</v>
      </c>
      <c r="B4234">
        <v>0</v>
      </c>
      <c r="C4234">
        <v>0</v>
      </c>
      <c r="D4234">
        <v>0</v>
      </c>
      <c r="E4234">
        <v>9</v>
      </c>
      <c r="F4234">
        <v>0</v>
      </c>
      <c r="G4234">
        <v>9</v>
      </c>
    </row>
    <row r="4235" spans="1:7" x14ac:dyDescent="0.2">
      <c r="A4235" t="s">
        <v>4288</v>
      </c>
      <c r="B4235">
        <v>0</v>
      </c>
      <c r="C4235">
        <v>0</v>
      </c>
      <c r="D4235">
        <v>0</v>
      </c>
      <c r="E4235">
        <v>0</v>
      </c>
      <c r="F4235">
        <v>0</v>
      </c>
      <c r="G4235">
        <v>0</v>
      </c>
    </row>
    <row r="4236" spans="1:7" x14ac:dyDescent="0.2">
      <c r="A4236" t="s">
        <v>4289</v>
      </c>
      <c r="B4236">
        <v>0</v>
      </c>
      <c r="C4236">
        <v>0</v>
      </c>
      <c r="D4236">
        <v>0</v>
      </c>
      <c r="E4236">
        <v>0</v>
      </c>
      <c r="F4236">
        <v>0</v>
      </c>
      <c r="G4236">
        <v>0</v>
      </c>
    </row>
    <row r="4237" spans="1:7" x14ac:dyDescent="0.2">
      <c r="A4237" t="s">
        <v>4290</v>
      </c>
      <c r="B4237">
        <v>0</v>
      </c>
      <c r="C4237">
        <v>0</v>
      </c>
      <c r="D4237">
        <v>0</v>
      </c>
      <c r="E4237">
        <v>0</v>
      </c>
      <c r="F4237">
        <v>0</v>
      </c>
      <c r="G4237">
        <v>0</v>
      </c>
    </row>
    <row r="4238" spans="1:7" x14ac:dyDescent="0.2">
      <c r="A4238" t="s">
        <v>4291</v>
      </c>
      <c r="B4238">
        <v>0</v>
      </c>
      <c r="C4238">
        <v>0</v>
      </c>
      <c r="D4238">
        <v>0</v>
      </c>
      <c r="E4238">
        <v>0</v>
      </c>
      <c r="F4238">
        <v>0</v>
      </c>
      <c r="G4238">
        <v>0</v>
      </c>
    </row>
    <row r="4239" spans="1:7" x14ac:dyDescent="0.2">
      <c r="A4239" t="s">
        <v>4292</v>
      </c>
      <c r="B4239">
        <v>0</v>
      </c>
      <c r="C4239">
        <v>0</v>
      </c>
      <c r="D4239">
        <v>0</v>
      </c>
      <c r="E4239">
        <v>0</v>
      </c>
      <c r="F4239">
        <v>0</v>
      </c>
      <c r="G4239">
        <v>0</v>
      </c>
    </row>
    <row r="4240" spans="1:7" x14ac:dyDescent="0.2">
      <c r="A4240" t="s">
        <v>4293</v>
      </c>
      <c r="B4240">
        <v>0</v>
      </c>
      <c r="C4240">
        <v>0</v>
      </c>
      <c r="D4240">
        <v>0</v>
      </c>
      <c r="E4240">
        <v>0</v>
      </c>
      <c r="F4240">
        <v>0</v>
      </c>
      <c r="G4240">
        <v>0</v>
      </c>
    </row>
    <row r="4241" spans="1:7" x14ac:dyDescent="0.2">
      <c r="A4241" t="s">
        <v>4294</v>
      </c>
      <c r="B4241">
        <v>0</v>
      </c>
      <c r="C4241">
        <v>0</v>
      </c>
      <c r="D4241">
        <v>0</v>
      </c>
      <c r="E4241">
        <v>0</v>
      </c>
      <c r="F4241">
        <v>0</v>
      </c>
      <c r="G4241">
        <v>0</v>
      </c>
    </row>
    <row r="4242" spans="1:7" x14ac:dyDescent="0.2">
      <c r="A4242" t="s">
        <v>4295</v>
      </c>
      <c r="B4242">
        <v>0</v>
      </c>
      <c r="C4242">
        <v>0</v>
      </c>
      <c r="D4242">
        <v>0</v>
      </c>
      <c r="E4242">
        <v>0</v>
      </c>
      <c r="F4242">
        <v>0</v>
      </c>
      <c r="G4242">
        <v>0</v>
      </c>
    </row>
    <row r="4243" spans="1:7" x14ac:dyDescent="0.2">
      <c r="A4243" t="s">
        <v>4296</v>
      </c>
      <c r="B4243">
        <v>0</v>
      </c>
      <c r="C4243">
        <v>0</v>
      </c>
      <c r="D4243">
        <v>0</v>
      </c>
      <c r="E4243">
        <v>0</v>
      </c>
      <c r="F4243">
        <v>0</v>
      </c>
      <c r="G4243">
        <v>0</v>
      </c>
    </row>
    <row r="4244" spans="1:7" x14ac:dyDescent="0.2">
      <c r="A4244" t="s">
        <v>4297</v>
      </c>
      <c r="B4244">
        <v>5</v>
      </c>
      <c r="C4244">
        <v>23</v>
      </c>
      <c r="D4244">
        <v>88</v>
      </c>
      <c r="E4244">
        <v>17</v>
      </c>
      <c r="F4244">
        <v>0</v>
      </c>
      <c r="G4244">
        <v>133</v>
      </c>
    </row>
    <row r="4245" spans="1:7" x14ac:dyDescent="0.2">
      <c r="A4245" t="s">
        <v>4298</v>
      </c>
      <c r="B4245">
        <v>15</v>
      </c>
      <c r="C4245">
        <v>28</v>
      </c>
      <c r="D4245">
        <v>18</v>
      </c>
      <c r="E4245">
        <v>15</v>
      </c>
      <c r="F4245">
        <v>0</v>
      </c>
      <c r="G4245">
        <v>75</v>
      </c>
    </row>
    <row r="4246" spans="1:7" x14ac:dyDescent="0.2">
      <c r="A4246" t="s">
        <v>4299</v>
      </c>
      <c r="B4246">
        <v>47</v>
      </c>
      <c r="C4246">
        <v>62</v>
      </c>
      <c r="D4246">
        <v>54</v>
      </c>
      <c r="E4246">
        <v>58</v>
      </c>
      <c r="F4246">
        <v>0</v>
      </c>
      <c r="G4246">
        <v>222</v>
      </c>
    </row>
    <row r="4247" spans="1:7" x14ac:dyDescent="0.2">
      <c r="A4247" t="s">
        <v>4300</v>
      </c>
      <c r="B4247">
        <v>1</v>
      </c>
      <c r="C4247">
        <v>4</v>
      </c>
      <c r="D4247">
        <v>4</v>
      </c>
      <c r="E4247">
        <v>3</v>
      </c>
      <c r="F4247">
        <v>0</v>
      </c>
      <c r="G4247">
        <v>13</v>
      </c>
    </row>
    <row r="4248" spans="1:7" x14ac:dyDescent="0.2">
      <c r="A4248" t="s">
        <v>4301</v>
      </c>
      <c r="B4248">
        <v>0</v>
      </c>
      <c r="C4248">
        <v>73</v>
      </c>
      <c r="D4248">
        <v>205</v>
      </c>
      <c r="E4248">
        <v>117</v>
      </c>
      <c r="F4248">
        <v>0</v>
      </c>
      <c r="G4248">
        <v>394</v>
      </c>
    </row>
    <row r="4249" spans="1:7" x14ac:dyDescent="0.2">
      <c r="A4249" t="s">
        <v>4302</v>
      </c>
      <c r="B4249">
        <v>6</v>
      </c>
      <c r="C4249">
        <v>27</v>
      </c>
      <c r="D4249">
        <v>74</v>
      </c>
      <c r="E4249">
        <v>3</v>
      </c>
      <c r="F4249">
        <v>0</v>
      </c>
      <c r="G4249">
        <v>110</v>
      </c>
    </row>
    <row r="4250" spans="1:7" x14ac:dyDescent="0.2">
      <c r="A4250" t="s">
        <v>4303</v>
      </c>
      <c r="B4250">
        <v>6</v>
      </c>
      <c r="C4250">
        <v>76</v>
      </c>
      <c r="D4250">
        <v>299</v>
      </c>
      <c r="E4250">
        <v>8</v>
      </c>
      <c r="F4250">
        <v>0</v>
      </c>
      <c r="G4250">
        <v>389</v>
      </c>
    </row>
    <row r="4251" spans="1:7" x14ac:dyDescent="0.2">
      <c r="A4251" t="s">
        <v>4304</v>
      </c>
      <c r="B4251">
        <v>3</v>
      </c>
      <c r="C4251">
        <v>5</v>
      </c>
      <c r="D4251">
        <v>16</v>
      </c>
      <c r="E4251">
        <v>42</v>
      </c>
      <c r="F4251">
        <v>0</v>
      </c>
      <c r="G4251">
        <v>67</v>
      </c>
    </row>
    <row r="4252" spans="1:7" x14ac:dyDescent="0.2">
      <c r="A4252" t="s">
        <v>4305</v>
      </c>
      <c r="B4252">
        <v>0</v>
      </c>
      <c r="C4252">
        <v>28</v>
      </c>
      <c r="D4252">
        <v>56</v>
      </c>
      <c r="E4252">
        <v>8</v>
      </c>
      <c r="F4252">
        <v>0</v>
      </c>
      <c r="G4252">
        <v>92</v>
      </c>
    </row>
    <row r="4253" spans="1:7" x14ac:dyDescent="0.2">
      <c r="A4253" t="s">
        <v>4306</v>
      </c>
      <c r="B4253">
        <v>3</v>
      </c>
      <c r="C4253">
        <v>13</v>
      </c>
      <c r="D4253">
        <v>3</v>
      </c>
      <c r="E4253">
        <v>3</v>
      </c>
      <c r="F4253">
        <v>0</v>
      </c>
      <c r="G4253">
        <v>21</v>
      </c>
    </row>
    <row r="4254" spans="1:7" x14ac:dyDescent="0.2">
      <c r="A4254" t="s">
        <v>4307</v>
      </c>
      <c r="B4254">
        <v>16</v>
      </c>
      <c r="C4254">
        <v>124</v>
      </c>
      <c r="D4254">
        <v>365</v>
      </c>
      <c r="E4254">
        <v>139</v>
      </c>
      <c r="F4254">
        <v>0</v>
      </c>
      <c r="G4254">
        <v>643</v>
      </c>
    </row>
    <row r="4255" spans="1:7" x14ac:dyDescent="0.2">
      <c r="A4255" t="s">
        <v>4308</v>
      </c>
      <c r="B4255">
        <v>0</v>
      </c>
      <c r="C4255">
        <v>0</v>
      </c>
      <c r="D4255">
        <v>0</v>
      </c>
      <c r="E4255">
        <v>0</v>
      </c>
      <c r="F4255">
        <v>0</v>
      </c>
      <c r="G4255">
        <v>0</v>
      </c>
    </row>
    <row r="4256" spans="1:7" x14ac:dyDescent="0.2">
      <c r="A4256" t="s">
        <v>4309</v>
      </c>
      <c r="B4256">
        <v>0</v>
      </c>
      <c r="C4256">
        <v>0</v>
      </c>
      <c r="D4256">
        <v>0</v>
      </c>
      <c r="E4256">
        <v>0</v>
      </c>
      <c r="F4256">
        <v>0</v>
      </c>
      <c r="G4256">
        <v>0</v>
      </c>
    </row>
    <row r="4257" spans="1:7" x14ac:dyDescent="0.2">
      <c r="A4257" t="s">
        <v>4310</v>
      </c>
      <c r="B4257">
        <v>0</v>
      </c>
      <c r="C4257">
        <v>0</v>
      </c>
      <c r="D4257">
        <v>0</v>
      </c>
      <c r="E4257">
        <v>0</v>
      </c>
      <c r="F4257">
        <v>0</v>
      </c>
      <c r="G4257">
        <v>0</v>
      </c>
    </row>
    <row r="4258" spans="1:7" x14ac:dyDescent="0.2">
      <c r="A4258" t="s">
        <v>4311</v>
      </c>
      <c r="B4258">
        <v>0</v>
      </c>
      <c r="C4258">
        <v>0</v>
      </c>
      <c r="D4258">
        <v>0</v>
      </c>
      <c r="E4258">
        <v>3</v>
      </c>
      <c r="F4258">
        <v>0</v>
      </c>
      <c r="G4258">
        <v>3</v>
      </c>
    </row>
    <row r="4259" spans="1:7" x14ac:dyDescent="0.2">
      <c r="A4259" t="s">
        <v>4312</v>
      </c>
      <c r="B4259">
        <v>0</v>
      </c>
      <c r="C4259">
        <v>0</v>
      </c>
      <c r="D4259">
        <v>0</v>
      </c>
      <c r="E4259">
        <v>23</v>
      </c>
      <c r="F4259">
        <v>0</v>
      </c>
      <c r="G4259">
        <v>23</v>
      </c>
    </row>
    <row r="4260" spans="1:7" x14ac:dyDescent="0.2">
      <c r="A4260" t="s">
        <v>4313</v>
      </c>
      <c r="B4260">
        <v>0</v>
      </c>
      <c r="C4260">
        <v>0</v>
      </c>
      <c r="D4260">
        <v>0</v>
      </c>
      <c r="E4260">
        <v>0</v>
      </c>
      <c r="F4260">
        <v>0</v>
      </c>
      <c r="G4260">
        <v>0</v>
      </c>
    </row>
    <row r="4261" spans="1:7" x14ac:dyDescent="0.2">
      <c r="A4261" t="s">
        <v>4314</v>
      </c>
      <c r="B4261">
        <v>0</v>
      </c>
      <c r="C4261">
        <v>0</v>
      </c>
      <c r="D4261">
        <v>0</v>
      </c>
      <c r="E4261">
        <v>0</v>
      </c>
      <c r="F4261">
        <v>31</v>
      </c>
      <c r="G4261">
        <v>31</v>
      </c>
    </row>
    <row r="4262" spans="1:7" x14ac:dyDescent="0.2">
      <c r="A4262" t="s">
        <v>4315</v>
      </c>
      <c r="B4262">
        <v>0</v>
      </c>
      <c r="C4262">
        <v>0</v>
      </c>
      <c r="D4262">
        <v>0</v>
      </c>
      <c r="E4262">
        <v>0</v>
      </c>
      <c r="F4262">
        <v>0</v>
      </c>
      <c r="G4262">
        <v>0</v>
      </c>
    </row>
    <row r="4263" spans="1:7" x14ac:dyDescent="0.2">
      <c r="A4263" t="s">
        <v>4316</v>
      </c>
      <c r="B4263">
        <v>0</v>
      </c>
      <c r="C4263">
        <v>0</v>
      </c>
      <c r="D4263">
        <v>0</v>
      </c>
      <c r="E4263">
        <v>0</v>
      </c>
      <c r="F4263">
        <v>0</v>
      </c>
      <c r="G4263">
        <v>0</v>
      </c>
    </row>
    <row r="4264" spans="1:7" x14ac:dyDescent="0.2">
      <c r="A4264" t="s">
        <v>4317</v>
      </c>
      <c r="B4264">
        <v>0</v>
      </c>
      <c r="C4264">
        <v>0</v>
      </c>
      <c r="D4264">
        <v>0</v>
      </c>
      <c r="E4264">
        <v>0</v>
      </c>
      <c r="F4264">
        <v>0</v>
      </c>
      <c r="G4264">
        <v>0</v>
      </c>
    </row>
    <row r="4265" spans="1:7" x14ac:dyDescent="0.2">
      <c r="A4265" t="s">
        <v>4318</v>
      </c>
      <c r="B4265">
        <v>0</v>
      </c>
      <c r="C4265">
        <v>0</v>
      </c>
      <c r="D4265">
        <v>0</v>
      </c>
      <c r="E4265">
        <v>0</v>
      </c>
      <c r="F4265">
        <v>0</v>
      </c>
      <c r="G4265">
        <v>0</v>
      </c>
    </row>
    <row r="4266" spans="1:7" x14ac:dyDescent="0.2">
      <c r="A4266" t="s">
        <v>4319</v>
      </c>
      <c r="B4266">
        <v>0</v>
      </c>
      <c r="C4266">
        <v>0</v>
      </c>
      <c r="D4266">
        <v>0</v>
      </c>
      <c r="E4266">
        <v>0</v>
      </c>
      <c r="F4266">
        <v>0</v>
      </c>
      <c r="G4266">
        <v>0</v>
      </c>
    </row>
    <row r="4267" spans="1:7" x14ac:dyDescent="0.2">
      <c r="A4267" t="s">
        <v>4320</v>
      </c>
      <c r="B4267">
        <v>0</v>
      </c>
      <c r="C4267">
        <v>0</v>
      </c>
      <c r="D4267">
        <v>0</v>
      </c>
      <c r="E4267">
        <v>0</v>
      </c>
      <c r="F4267">
        <v>0</v>
      </c>
      <c r="G4267">
        <v>0</v>
      </c>
    </row>
    <row r="4268" spans="1:7" x14ac:dyDescent="0.2">
      <c r="A4268" t="s">
        <v>4321</v>
      </c>
      <c r="B4268">
        <v>0</v>
      </c>
      <c r="C4268">
        <v>0</v>
      </c>
      <c r="D4268">
        <v>0</v>
      </c>
      <c r="E4268">
        <v>0</v>
      </c>
      <c r="F4268">
        <v>0</v>
      </c>
      <c r="G4268">
        <v>0</v>
      </c>
    </row>
    <row r="4269" spans="1:7" x14ac:dyDescent="0.2">
      <c r="A4269" t="s">
        <v>4322</v>
      </c>
      <c r="B4269">
        <v>0</v>
      </c>
      <c r="C4269">
        <v>0</v>
      </c>
      <c r="D4269">
        <v>0</v>
      </c>
      <c r="E4269">
        <v>0</v>
      </c>
      <c r="F4269">
        <v>0</v>
      </c>
      <c r="G4269">
        <v>0</v>
      </c>
    </row>
    <row r="4270" spans="1:7" x14ac:dyDescent="0.2">
      <c r="A4270" t="s">
        <v>4323</v>
      </c>
      <c r="B4270">
        <v>0</v>
      </c>
      <c r="C4270">
        <v>0</v>
      </c>
      <c r="D4270">
        <v>0</v>
      </c>
      <c r="E4270">
        <v>0</v>
      </c>
      <c r="F4270">
        <v>0</v>
      </c>
      <c r="G4270">
        <v>0</v>
      </c>
    </row>
    <row r="4271" spans="1:7" x14ac:dyDescent="0.2">
      <c r="A4271" t="s">
        <v>4324</v>
      </c>
      <c r="B4271">
        <v>0</v>
      </c>
      <c r="C4271">
        <v>0</v>
      </c>
      <c r="D4271">
        <v>0</v>
      </c>
      <c r="E4271">
        <v>0</v>
      </c>
      <c r="F4271">
        <v>0</v>
      </c>
      <c r="G4271">
        <v>0</v>
      </c>
    </row>
    <row r="4272" spans="1:7" x14ac:dyDescent="0.2">
      <c r="A4272" t="s">
        <v>4325</v>
      </c>
      <c r="B4272">
        <v>0</v>
      </c>
      <c r="C4272">
        <v>0</v>
      </c>
      <c r="D4272">
        <v>0</v>
      </c>
      <c r="E4272">
        <v>0</v>
      </c>
      <c r="F4272">
        <v>0</v>
      </c>
      <c r="G4272">
        <v>0</v>
      </c>
    </row>
    <row r="4273" spans="1:7" x14ac:dyDescent="0.2">
      <c r="A4273" t="s">
        <v>4326</v>
      </c>
      <c r="B4273">
        <v>0</v>
      </c>
      <c r="C4273">
        <v>0</v>
      </c>
      <c r="D4273">
        <v>0</v>
      </c>
      <c r="E4273">
        <v>0</v>
      </c>
      <c r="F4273">
        <v>0</v>
      </c>
      <c r="G4273">
        <v>0</v>
      </c>
    </row>
    <row r="4274" spans="1:7" x14ac:dyDescent="0.2">
      <c r="A4274" t="s">
        <v>4327</v>
      </c>
      <c r="B4274">
        <v>0</v>
      </c>
      <c r="C4274">
        <v>0</v>
      </c>
      <c r="D4274">
        <v>0</v>
      </c>
      <c r="E4274">
        <v>109</v>
      </c>
      <c r="F4274">
        <v>35</v>
      </c>
      <c r="G4274">
        <v>144</v>
      </c>
    </row>
    <row r="4275" spans="1:7" x14ac:dyDescent="0.2">
      <c r="A4275" t="s">
        <v>4328</v>
      </c>
      <c r="B4275">
        <v>0</v>
      </c>
      <c r="C4275">
        <v>0</v>
      </c>
      <c r="D4275">
        <v>0</v>
      </c>
      <c r="E4275">
        <v>0</v>
      </c>
      <c r="F4275">
        <v>0</v>
      </c>
      <c r="G4275">
        <v>0</v>
      </c>
    </row>
    <row r="4276" spans="1:7" x14ac:dyDescent="0.2">
      <c r="A4276" t="s">
        <v>4329</v>
      </c>
      <c r="B4276">
        <v>0</v>
      </c>
      <c r="C4276">
        <v>0</v>
      </c>
      <c r="D4276">
        <v>0</v>
      </c>
      <c r="E4276">
        <v>0</v>
      </c>
      <c r="F4276">
        <v>1982</v>
      </c>
      <c r="G4276">
        <v>1982</v>
      </c>
    </row>
    <row r="4277" spans="1:7" x14ac:dyDescent="0.2">
      <c r="A4277" t="s">
        <v>4330</v>
      </c>
      <c r="B4277">
        <v>0</v>
      </c>
      <c r="C4277">
        <v>0</v>
      </c>
      <c r="D4277">
        <v>0</v>
      </c>
      <c r="E4277">
        <v>0</v>
      </c>
      <c r="F4277">
        <v>0</v>
      </c>
      <c r="G4277">
        <v>0</v>
      </c>
    </row>
    <row r="4278" spans="1:7" x14ac:dyDescent="0.2">
      <c r="A4278" t="s">
        <v>4331</v>
      </c>
      <c r="B4278">
        <v>0</v>
      </c>
      <c r="C4278">
        <v>0</v>
      </c>
      <c r="D4278">
        <v>0</v>
      </c>
      <c r="E4278">
        <v>0</v>
      </c>
      <c r="F4278">
        <v>0</v>
      </c>
      <c r="G4278">
        <v>0</v>
      </c>
    </row>
    <row r="4279" spans="1:7" x14ac:dyDescent="0.2">
      <c r="A4279" t="s">
        <v>4332</v>
      </c>
      <c r="B4279">
        <v>0</v>
      </c>
      <c r="C4279">
        <v>0</v>
      </c>
      <c r="D4279">
        <v>0</v>
      </c>
      <c r="E4279">
        <v>3036</v>
      </c>
      <c r="F4279">
        <v>797</v>
      </c>
      <c r="G4279">
        <v>3833</v>
      </c>
    </row>
    <row r="4280" spans="1:7" x14ac:dyDescent="0.2">
      <c r="A4280" t="s">
        <v>4333</v>
      </c>
      <c r="B4280">
        <v>0</v>
      </c>
      <c r="C4280">
        <v>0</v>
      </c>
      <c r="D4280">
        <v>0</v>
      </c>
      <c r="E4280">
        <v>0</v>
      </c>
      <c r="F4280">
        <v>0</v>
      </c>
      <c r="G4280">
        <v>0</v>
      </c>
    </row>
    <row r="4281" spans="1:7" x14ac:dyDescent="0.2">
      <c r="A4281" t="s">
        <v>4334</v>
      </c>
      <c r="B4281">
        <v>0</v>
      </c>
      <c r="C4281">
        <v>0</v>
      </c>
      <c r="D4281">
        <v>0</v>
      </c>
      <c r="E4281">
        <v>0</v>
      </c>
      <c r="F4281">
        <v>0</v>
      </c>
      <c r="G4281">
        <v>0</v>
      </c>
    </row>
    <row r="4282" spans="1:7" x14ac:dyDescent="0.2">
      <c r="A4282" t="s">
        <v>4335</v>
      </c>
      <c r="B4282">
        <v>0</v>
      </c>
      <c r="C4282">
        <v>0</v>
      </c>
      <c r="D4282">
        <v>0</v>
      </c>
      <c r="E4282">
        <v>0</v>
      </c>
      <c r="F4282">
        <v>0</v>
      </c>
      <c r="G4282">
        <v>0</v>
      </c>
    </row>
    <row r="4283" spans="1:7" x14ac:dyDescent="0.2">
      <c r="A4283" t="s">
        <v>4336</v>
      </c>
      <c r="B4283">
        <v>0</v>
      </c>
      <c r="C4283">
        <v>0</v>
      </c>
      <c r="D4283">
        <v>0</v>
      </c>
      <c r="E4283">
        <v>0</v>
      </c>
      <c r="F4283">
        <v>0</v>
      </c>
      <c r="G4283">
        <v>0</v>
      </c>
    </row>
    <row r="4284" spans="1:7" x14ac:dyDescent="0.2">
      <c r="A4284" t="s">
        <v>4337</v>
      </c>
      <c r="B4284">
        <v>0</v>
      </c>
      <c r="C4284">
        <v>0</v>
      </c>
      <c r="D4284">
        <v>0</v>
      </c>
      <c r="E4284">
        <v>0</v>
      </c>
      <c r="F4284">
        <v>0</v>
      </c>
      <c r="G4284">
        <v>0</v>
      </c>
    </row>
    <row r="4285" spans="1:7" x14ac:dyDescent="0.2">
      <c r="A4285" t="s">
        <v>4338</v>
      </c>
      <c r="B4285">
        <v>0</v>
      </c>
      <c r="C4285">
        <v>0</v>
      </c>
      <c r="D4285">
        <v>0</v>
      </c>
      <c r="E4285">
        <v>91</v>
      </c>
      <c r="F4285">
        <v>184</v>
      </c>
      <c r="G4285">
        <v>275</v>
      </c>
    </row>
    <row r="4286" spans="1:7" x14ac:dyDescent="0.2">
      <c r="A4286" t="s">
        <v>4339</v>
      </c>
      <c r="B4286">
        <v>0</v>
      </c>
      <c r="C4286">
        <v>0</v>
      </c>
      <c r="D4286">
        <v>0</v>
      </c>
      <c r="E4286">
        <v>0</v>
      </c>
      <c r="F4286">
        <v>0</v>
      </c>
      <c r="G4286">
        <v>0</v>
      </c>
    </row>
    <row r="4287" spans="1:7" x14ac:dyDescent="0.2">
      <c r="A4287" t="s">
        <v>4340</v>
      </c>
      <c r="B4287">
        <v>0</v>
      </c>
      <c r="C4287">
        <v>0</v>
      </c>
      <c r="D4287">
        <v>0</v>
      </c>
      <c r="E4287">
        <v>0</v>
      </c>
      <c r="F4287">
        <v>0</v>
      </c>
      <c r="G4287">
        <v>0</v>
      </c>
    </row>
    <row r="4288" spans="1:7" x14ac:dyDescent="0.2">
      <c r="A4288" t="s">
        <v>4341</v>
      </c>
      <c r="B4288">
        <v>0</v>
      </c>
      <c r="C4288">
        <v>0</v>
      </c>
      <c r="D4288">
        <v>0</v>
      </c>
      <c r="E4288">
        <v>0</v>
      </c>
      <c r="F4288">
        <v>0</v>
      </c>
      <c r="G4288">
        <v>0</v>
      </c>
    </row>
    <row r="4289" spans="1:7" x14ac:dyDescent="0.2">
      <c r="A4289" t="s">
        <v>4342</v>
      </c>
      <c r="B4289">
        <v>0</v>
      </c>
      <c r="C4289">
        <v>0</v>
      </c>
      <c r="D4289">
        <v>0</v>
      </c>
      <c r="E4289">
        <v>0</v>
      </c>
      <c r="F4289">
        <v>0</v>
      </c>
      <c r="G4289">
        <v>0</v>
      </c>
    </row>
    <row r="4290" spans="1:7" x14ac:dyDescent="0.2">
      <c r="A4290" t="s">
        <v>4343</v>
      </c>
      <c r="B4290">
        <v>0</v>
      </c>
      <c r="C4290">
        <v>0</v>
      </c>
      <c r="D4290">
        <v>0</v>
      </c>
      <c r="E4290">
        <v>0</v>
      </c>
      <c r="F4290">
        <v>0</v>
      </c>
      <c r="G4290">
        <v>0</v>
      </c>
    </row>
    <row r="4291" spans="1:7" x14ac:dyDescent="0.2">
      <c r="A4291" t="s">
        <v>1728</v>
      </c>
      <c r="B4291">
        <v>0</v>
      </c>
      <c r="C4291">
        <v>0</v>
      </c>
      <c r="D4291">
        <v>0</v>
      </c>
      <c r="E4291">
        <v>0</v>
      </c>
      <c r="F4291">
        <v>0</v>
      </c>
      <c r="G4291">
        <v>0</v>
      </c>
    </row>
    <row r="4292" spans="1:7" x14ac:dyDescent="0.2">
      <c r="A4292" t="s">
        <v>1730</v>
      </c>
      <c r="B4292">
        <v>0</v>
      </c>
      <c r="C4292">
        <v>0</v>
      </c>
      <c r="D4292">
        <v>2</v>
      </c>
      <c r="E4292">
        <v>1</v>
      </c>
      <c r="F4292">
        <v>22</v>
      </c>
      <c r="G4292">
        <v>25</v>
      </c>
    </row>
    <row r="4293" spans="1:7" x14ac:dyDescent="0.2">
      <c r="A4293" t="s">
        <v>1733</v>
      </c>
      <c r="B4293">
        <v>0</v>
      </c>
      <c r="C4293">
        <v>0</v>
      </c>
      <c r="D4293">
        <v>0</v>
      </c>
      <c r="E4293">
        <v>0</v>
      </c>
      <c r="F4293">
        <v>0</v>
      </c>
      <c r="G4293">
        <v>0</v>
      </c>
    </row>
    <row r="4294" spans="1:7" x14ac:dyDescent="0.2">
      <c r="A4294" t="s">
        <v>1738</v>
      </c>
      <c r="B4294">
        <v>0</v>
      </c>
      <c r="C4294">
        <v>0</v>
      </c>
      <c r="D4294">
        <v>0</v>
      </c>
      <c r="E4294">
        <v>0</v>
      </c>
      <c r="F4294">
        <v>0</v>
      </c>
      <c r="G4294">
        <v>0</v>
      </c>
    </row>
    <row r="4295" spans="1:7" x14ac:dyDescent="0.2">
      <c r="A4295" t="s">
        <v>1744</v>
      </c>
      <c r="B4295">
        <v>0</v>
      </c>
      <c r="C4295">
        <v>0</v>
      </c>
      <c r="D4295">
        <v>0</v>
      </c>
      <c r="E4295">
        <v>0</v>
      </c>
      <c r="F4295">
        <v>0</v>
      </c>
      <c r="G4295">
        <v>0</v>
      </c>
    </row>
    <row r="4296" spans="1:7" x14ac:dyDescent="0.2">
      <c r="A4296" t="s">
        <v>1747</v>
      </c>
      <c r="B4296">
        <v>0</v>
      </c>
      <c r="C4296">
        <v>0</v>
      </c>
      <c r="D4296">
        <v>0</v>
      </c>
      <c r="E4296">
        <v>0</v>
      </c>
      <c r="F4296">
        <v>0</v>
      </c>
      <c r="G4296">
        <v>0</v>
      </c>
    </row>
    <row r="4297" spans="1:7" x14ac:dyDescent="0.2">
      <c r="A4297" t="s">
        <v>1751</v>
      </c>
      <c r="B4297">
        <v>0</v>
      </c>
      <c r="C4297">
        <v>0</v>
      </c>
      <c r="D4297">
        <v>0</v>
      </c>
      <c r="E4297">
        <v>0</v>
      </c>
      <c r="F4297">
        <v>0</v>
      </c>
      <c r="G4297">
        <v>0</v>
      </c>
    </row>
    <row r="4298" spans="1:7" x14ac:dyDescent="0.2">
      <c r="A4298" t="s">
        <v>1755</v>
      </c>
      <c r="B4298">
        <v>0</v>
      </c>
      <c r="C4298">
        <v>0</v>
      </c>
      <c r="D4298">
        <v>0</v>
      </c>
      <c r="E4298">
        <v>1</v>
      </c>
      <c r="F4298">
        <v>0</v>
      </c>
      <c r="G4298">
        <v>1</v>
      </c>
    </row>
    <row r="4299" spans="1:7" x14ac:dyDescent="0.2">
      <c r="A4299" t="s">
        <v>1757</v>
      </c>
      <c r="B4299">
        <v>0</v>
      </c>
      <c r="C4299">
        <v>0</v>
      </c>
      <c r="D4299">
        <v>0</v>
      </c>
      <c r="E4299">
        <v>1</v>
      </c>
      <c r="F4299">
        <v>0</v>
      </c>
      <c r="G4299">
        <v>1</v>
      </c>
    </row>
    <row r="4300" spans="1:7" x14ac:dyDescent="0.2">
      <c r="A4300" t="s">
        <v>1761</v>
      </c>
      <c r="B4300">
        <v>0</v>
      </c>
      <c r="C4300">
        <v>0</v>
      </c>
      <c r="D4300">
        <v>0</v>
      </c>
      <c r="E4300">
        <v>0</v>
      </c>
      <c r="F4300">
        <v>0</v>
      </c>
      <c r="G4300">
        <v>0</v>
      </c>
    </row>
    <row r="4301" spans="1:7" x14ac:dyDescent="0.2">
      <c r="A4301" t="s">
        <v>1764</v>
      </c>
      <c r="B4301">
        <v>0</v>
      </c>
      <c r="C4301">
        <v>0</v>
      </c>
      <c r="D4301">
        <v>0</v>
      </c>
      <c r="E4301">
        <v>0</v>
      </c>
      <c r="F4301">
        <v>0</v>
      </c>
      <c r="G4301">
        <v>0</v>
      </c>
    </row>
    <row r="4302" spans="1:7" x14ac:dyDescent="0.2">
      <c r="A4302" t="s">
        <v>1770</v>
      </c>
      <c r="B4302">
        <v>0</v>
      </c>
      <c r="C4302">
        <v>1</v>
      </c>
      <c r="D4302">
        <v>7</v>
      </c>
      <c r="E4302">
        <v>20</v>
      </c>
      <c r="F4302">
        <v>0</v>
      </c>
      <c r="G4302">
        <v>28</v>
      </c>
    </row>
    <row r="4303" spans="1:7" x14ac:dyDescent="0.2">
      <c r="A4303" t="s">
        <v>1772</v>
      </c>
      <c r="B4303">
        <v>0</v>
      </c>
      <c r="C4303">
        <v>0</v>
      </c>
      <c r="D4303">
        <v>0</v>
      </c>
      <c r="E4303">
        <v>2</v>
      </c>
      <c r="F4303">
        <v>0</v>
      </c>
      <c r="G4303">
        <v>2</v>
      </c>
    </row>
    <row r="4304" spans="1:7" x14ac:dyDescent="0.2">
      <c r="A4304" t="s">
        <v>1774</v>
      </c>
      <c r="B4304">
        <v>0</v>
      </c>
      <c r="C4304">
        <v>0</v>
      </c>
      <c r="D4304">
        <v>0</v>
      </c>
      <c r="E4304">
        <v>0</v>
      </c>
      <c r="F4304">
        <v>0</v>
      </c>
      <c r="G4304">
        <v>0</v>
      </c>
    </row>
    <row r="4305" spans="1:7" x14ac:dyDescent="0.2">
      <c r="A4305" t="s">
        <v>1777</v>
      </c>
      <c r="B4305">
        <v>0</v>
      </c>
      <c r="C4305">
        <v>0</v>
      </c>
      <c r="D4305">
        <v>0</v>
      </c>
      <c r="E4305">
        <v>0</v>
      </c>
      <c r="F4305">
        <v>0</v>
      </c>
      <c r="G4305">
        <v>0</v>
      </c>
    </row>
    <row r="4306" spans="1:7" x14ac:dyDescent="0.2">
      <c r="A4306" t="s">
        <v>1782</v>
      </c>
      <c r="B4306">
        <v>0</v>
      </c>
      <c r="C4306">
        <v>0</v>
      </c>
      <c r="D4306">
        <v>0</v>
      </c>
      <c r="E4306">
        <v>0</v>
      </c>
      <c r="F4306">
        <v>0</v>
      </c>
      <c r="G4306">
        <v>0</v>
      </c>
    </row>
    <row r="4307" spans="1:7" x14ac:dyDescent="0.2">
      <c r="A4307" t="s">
        <v>1274</v>
      </c>
      <c r="B4307">
        <v>0</v>
      </c>
      <c r="C4307">
        <v>0</v>
      </c>
      <c r="D4307">
        <v>0</v>
      </c>
      <c r="E4307">
        <v>2</v>
      </c>
      <c r="F4307">
        <v>0</v>
      </c>
      <c r="G4307">
        <v>2</v>
      </c>
    </row>
    <row r="4308" spans="1:7" x14ac:dyDescent="0.2">
      <c r="A4308" t="s">
        <v>1277</v>
      </c>
      <c r="B4308">
        <v>0</v>
      </c>
      <c r="C4308">
        <v>0</v>
      </c>
      <c r="D4308">
        <v>0</v>
      </c>
      <c r="E4308">
        <v>17</v>
      </c>
      <c r="F4308">
        <v>0</v>
      </c>
      <c r="G4308">
        <v>17</v>
      </c>
    </row>
    <row r="4309" spans="1:7" x14ac:dyDescent="0.2">
      <c r="A4309" t="s">
        <v>1798</v>
      </c>
      <c r="B4309">
        <v>0</v>
      </c>
      <c r="C4309">
        <v>0</v>
      </c>
      <c r="D4309">
        <v>0</v>
      </c>
      <c r="E4309">
        <v>0</v>
      </c>
      <c r="F4309">
        <v>0</v>
      </c>
      <c r="G4309">
        <v>0</v>
      </c>
    </row>
    <row r="4310" spans="1:7" x14ac:dyDescent="0.2">
      <c r="A4310" t="s">
        <v>1803</v>
      </c>
      <c r="B4310">
        <v>0</v>
      </c>
      <c r="C4310">
        <v>0</v>
      </c>
      <c r="D4310">
        <v>0</v>
      </c>
      <c r="E4310">
        <v>0</v>
      </c>
      <c r="F4310">
        <v>0</v>
      </c>
      <c r="G4310">
        <v>0</v>
      </c>
    </row>
    <row r="4311" spans="1:7" x14ac:dyDescent="0.2">
      <c r="A4311" t="s">
        <v>1808</v>
      </c>
      <c r="B4311">
        <v>0</v>
      </c>
      <c r="C4311">
        <v>0</v>
      </c>
      <c r="D4311">
        <v>0</v>
      </c>
      <c r="E4311">
        <v>0</v>
      </c>
      <c r="F4311">
        <v>0</v>
      </c>
      <c r="G4311">
        <v>0</v>
      </c>
    </row>
    <row r="4312" spans="1:7" x14ac:dyDescent="0.2">
      <c r="A4312" t="s">
        <v>1813</v>
      </c>
      <c r="B4312">
        <v>0</v>
      </c>
      <c r="C4312">
        <v>0</v>
      </c>
      <c r="D4312">
        <v>0</v>
      </c>
      <c r="E4312">
        <v>0</v>
      </c>
      <c r="F4312">
        <v>0</v>
      </c>
      <c r="G4312">
        <v>0</v>
      </c>
    </row>
    <row r="4313" spans="1:7" x14ac:dyDescent="0.2">
      <c r="A4313" t="s">
        <v>1819</v>
      </c>
      <c r="B4313">
        <v>0</v>
      </c>
      <c r="C4313">
        <v>0</v>
      </c>
      <c r="D4313">
        <v>0</v>
      </c>
      <c r="E4313">
        <v>0</v>
      </c>
      <c r="F4313">
        <v>0</v>
      </c>
      <c r="G4313">
        <v>0</v>
      </c>
    </row>
    <row r="4314" spans="1:7" x14ac:dyDescent="0.2">
      <c r="A4314" t="s">
        <v>1826</v>
      </c>
      <c r="B4314">
        <v>0</v>
      </c>
      <c r="C4314">
        <v>0</v>
      </c>
      <c r="D4314">
        <v>0</v>
      </c>
      <c r="E4314">
        <v>0</v>
      </c>
      <c r="F4314">
        <v>0</v>
      </c>
      <c r="G4314">
        <v>0</v>
      </c>
    </row>
    <row r="4315" spans="1:7" x14ac:dyDescent="0.2">
      <c r="A4315" t="s">
        <v>1830</v>
      </c>
      <c r="B4315">
        <v>0</v>
      </c>
      <c r="C4315">
        <v>0</v>
      </c>
      <c r="D4315">
        <v>0</v>
      </c>
      <c r="E4315">
        <v>0</v>
      </c>
      <c r="F4315">
        <v>0</v>
      </c>
      <c r="G4315">
        <v>0</v>
      </c>
    </row>
    <row r="4316" spans="1:7" x14ac:dyDescent="0.2">
      <c r="A4316" t="s">
        <v>1836</v>
      </c>
      <c r="B4316">
        <v>0</v>
      </c>
      <c r="C4316">
        <v>0</v>
      </c>
      <c r="D4316">
        <v>0</v>
      </c>
      <c r="E4316">
        <v>0</v>
      </c>
      <c r="F4316">
        <v>0</v>
      </c>
      <c r="G4316">
        <v>0</v>
      </c>
    </row>
    <row r="4317" spans="1:7" x14ac:dyDescent="0.2">
      <c r="A4317" t="s">
        <v>1841</v>
      </c>
      <c r="B4317">
        <v>0</v>
      </c>
      <c r="C4317">
        <v>0</v>
      </c>
      <c r="D4317">
        <v>0</v>
      </c>
      <c r="E4317">
        <v>0</v>
      </c>
      <c r="F4317">
        <v>0</v>
      </c>
      <c r="G4317">
        <v>0</v>
      </c>
    </row>
    <row r="4318" spans="1:7" x14ac:dyDescent="0.2">
      <c r="A4318" t="s">
        <v>1842</v>
      </c>
      <c r="B4318">
        <v>0</v>
      </c>
      <c r="C4318">
        <v>0</v>
      </c>
      <c r="D4318">
        <v>0</v>
      </c>
      <c r="E4318">
        <v>0</v>
      </c>
      <c r="F4318">
        <v>0</v>
      </c>
      <c r="G4318">
        <v>0</v>
      </c>
    </row>
    <row r="4319" spans="1:7" x14ac:dyDescent="0.2">
      <c r="A4319" t="s">
        <v>1843</v>
      </c>
      <c r="B4319">
        <v>0</v>
      </c>
      <c r="C4319">
        <v>0</v>
      </c>
      <c r="D4319">
        <v>0</v>
      </c>
      <c r="E4319">
        <v>0</v>
      </c>
      <c r="F4319">
        <v>0</v>
      </c>
      <c r="G4319">
        <v>0</v>
      </c>
    </row>
    <row r="4320" spans="1:7" x14ac:dyDescent="0.2">
      <c r="A4320" t="s">
        <v>1846</v>
      </c>
      <c r="B4320">
        <v>0</v>
      </c>
      <c r="C4320">
        <v>0</v>
      </c>
      <c r="D4320">
        <v>0</v>
      </c>
      <c r="E4320">
        <v>0</v>
      </c>
      <c r="F4320">
        <v>0</v>
      </c>
      <c r="G4320">
        <v>0</v>
      </c>
    </row>
    <row r="4321" spans="1:7" x14ac:dyDescent="0.2">
      <c r="A4321" t="s">
        <v>1851</v>
      </c>
      <c r="B4321">
        <v>0</v>
      </c>
      <c r="C4321">
        <v>0</v>
      </c>
      <c r="D4321">
        <v>0</v>
      </c>
      <c r="E4321">
        <v>12</v>
      </c>
      <c r="F4321">
        <v>0</v>
      </c>
      <c r="G4321">
        <v>12</v>
      </c>
    </row>
    <row r="4322" spans="1:7" x14ac:dyDescent="0.2">
      <c r="A4322" t="s">
        <v>1857</v>
      </c>
      <c r="B4322">
        <v>0</v>
      </c>
      <c r="C4322">
        <v>0</v>
      </c>
      <c r="D4322">
        <v>0</v>
      </c>
      <c r="E4322">
        <v>0</v>
      </c>
      <c r="F4322">
        <v>0</v>
      </c>
      <c r="G4322">
        <v>0</v>
      </c>
    </row>
    <row r="4323" spans="1:7" x14ac:dyDescent="0.2">
      <c r="A4323" t="s">
        <v>1862</v>
      </c>
      <c r="B4323">
        <v>0</v>
      </c>
      <c r="C4323">
        <v>0</v>
      </c>
      <c r="D4323">
        <v>0</v>
      </c>
      <c r="E4323">
        <v>0</v>
      </c>
      <c r="F4323">
        <v>0</v>
      </c>
      <c r="G4323">
        <v>0</v>
      </c>
    </row>
    <row r="4324" spans="1:7" x14ac:dyDescent="0.2">
      <c r="A4324" t="s">
        <v>1867</v>
      </c>
      <c r="B4324">
        <v>0</v>
      </c>
      <c r="C4324">
        <v>0</v>
      </c>
      <c r="D4324">
        <v>0</v>
      </c>
      <c r="E4324">
        <v>0</v>
      </c>
      <c r="F4324">
        <v>0</v>
      </c>
      <c r="G4324">
        <v>0</v>
      </c>
    </row>
    <row r="4325" spans="1:7" x14ac:dyDescent="0.2">
      <c r="A4325" t="s">
        <v>1870</v>
      </c>
      <c r="B4325">
        <v>0</v>
      </c>
      <c r="C4325">
        <v>0</v>
      </c>
      <c r="D4325">
        <v>0</v>
      </c>
      <c r="E4325">
        <v>0</v>
      </c>
      <c r="F4325">
        <v>0</v>
      </c>
      <c r="G4325">
        <v>0</v>
      </c>
    </row>
    <row r="4326" spans="1:7" x14ac:dyDescent="0.2">
      <c r="A4326" t="s">
        <v>1874</v>
      </c>
      <c r="B4326">
        <v>0</v>
      </c>
      <c r="C4326">
        <v>0</v>
      </c>
      <c r="D4326">
        <v>0</v>
      </c>
      <c r="E4326">
        <v>0</v>
      </c>
      <c r="F4326">
        <v>0</v>
      </c>
      <c r="G4326">
        <v>0</v>
      </c>
    </row>
    <row r="4327" spans="1:7" x14ac:dyDescent="0.2">
      <c r="A4327" t="s">
        <v>1876</v>
      </c>
      <c r="B4327">
        <v>0</v>
      </c>
      <c r="C4327">
        <v>0</v>
      </c>
      <c r="D4327">
        <v>0</v>
      </c>
      <c r="E4327">
        <v>0</v>
      </c>
      <c r="F4327">
        <v>0</v>
      </c>
      <c r="G4327">
        <v>0</v>
      </c>
    </row>
    <row r="4328" spans="1:7" x14ac:dyDescent="0.2">
      <c r="A4328" t="s">
        <v>1881</v>
      </c>
      <c r="B4328">
        <v>0</v>
      </c>
      <c r="C4328">
        <v>0</v>
      </c>
      <c r="D4328">
        <v>0</v>
      </c>
      <c r="E4328">
        <v>0</v>
      </c>
      <c r="F4328">
        <v>0</v>
      </c>
      <c r="G4328">
        <v>0</v>
      </c>
    </row>
    <row r="4329" spans="1:7" x14ac:dyDescent="0.2">
      <c r="A4329" t="s">
        <v>1885</v>
      </c>
      <c r="B4329">
        <v>0</v>
      </c>
      <c r="C4329">
        <v>0</v>
      </c>
      <c r="D4329">
        <v>0</v>
      </c>
      <c r="E4329">
        <v>0</v>
      </c>
      <c r="F4329">
        <v>3</v>
      </c>
      <c r="G4329">
        <v>3</v>
      </c>
    </row>
    <row r="4330" spans="1:7" x14ac:dyDescent="0.2">
      <c r="A4330" t="s">
        <v>1887</v>
      </c>
      <c r="B4330">
        <v>0</v>
      </c>
      <c r="C4330">
        <v>0</v>
      </c>
      <c r="D4330">
        <v>0</v>
      </c>
      <c r="E4330">
        <v>0</v>
      </c>
      <c r="F4330">
        <v>0</v>
      </c>
      <c r="G4330">
        <v>0</v>
      </c>
    </row>
    <row r="4331" spans="1:7" x14ac:dyDescent="0.2">
      <c r="A4331" t="s">
        <v>1893</v>
      </c>
      <c r="B4331">
        <v>0</v>
      </c>
      <c r="C4331">
        <v>0</v>
      </c>
      <c r="D4331">
        <v>0</v>
      </c>
      <c r="E4331">
        <v>1</v>
      </c>
      <c r="F4331">
        <v>0</v>
      </c>
      <c r="G4331">
        <v>1</v>
      </c>
    </row>
    <row r="4332" spans="1:7" x14ac:dyDescent="0.2">
      <c r="A4332" t="s">
        <v>1899</v>
      </c>
      <c r="B4332">
        <v>0</v>
      </c>
      <c r="C4332">
        <v>0</v>
      </c>
      <c r="D4332">
        <v>0</v>
      </c>
      <c r="E4332">
        <v>0</v>
      </c>
      <c r="F4332">
        <v>0</v>
      </c>
      <c r="G4332">
        <v>0</v>
      </c>
    </row>
    <row r="4333" spans="1:7" x14ac:dyDescent="0.2">
      <c r="A4333" t="s">
        <v>1906</v>
      </c>
      <c r="B4333">
        <v>0</v>
      </c>
      <c r="C4333">
        <v>0</v>
      </c>
      <c r="D4333">
        <v>0</v>
      </c>
      <c r="E4333">
        <v>0</v>
      </c>
      <c r="F4333">
        <v>0</v>
      </c>
      <c r="G4333">
        <v>0</v>
      </c>
    </row>
    <row r="4334" spans="1:7" x14ac:dyDescent="0.2">
      <c r="A4334" t="s">
        <v>1911</v>
      </c>
      <c r="B4334">
        <v>0</v>
      </c>
      <c r="C4334">
        <v>0</v>
      </c>
      <c r="D4334">
        <v>0</v>
      </c>
      <c r="E4334">
        <v>0</v>
      </c>
      <c r="F4334">
        <v>0</v>
      </c>
      <c r="G4334">
        <v>0</v>
      </c>
    </row>
    <row r="4335" spans="1:7" x14ac:dyDescent="0.2">
      <c r="A4335" t="s">
        <v>1917</v>
      </c>
      <c r="B4335">
        <v>0</v>
      </c>
      <c r="C4335">
        <v>0</v>
      </c>
      <c r="D4335">
        <v>0</v>
      </c>
      <c r="E4335">
        <v>0</v>
      </c>
      <c r="F4335">
        <v>0</v>
      </c>
      <c r="G4335">
        <v>0</v>
      </c>
    </row>
    <row r="4336" spans="1:7" x14ac:dyDescent="0.2">
      <c r="A4336" t="s">
        <v>1922</v>
      </c>
      <c r="B4336">
        <v>0</v>
      </c>
      <c r="C4336">
        <v>0</v>
      </c>
      <c r="D4336">
        <v>0</v>
      </c>
      <c r="E4336">
        <v>0</v>
      </c>
      <c r="F4336">
        <v>0</v>
      </c>
      <c r="G4336">
        <v>0</v>
      </c>
    </row>
    <row r="4337" spans="1:7" x14ac:dyDescent="0.2">
      <c r="A4337" t="s">
        <v>1928</v>
      </c>
      <c r="B4337">
        <v>0</v>
      </c>
      <c r="C4337">
        <v>0</v>
      </c>
      <c r="D4337">
        <v>0</v>
      </c>
      <c r="E4337">
        <v>0</v>
      </c>
      <c r="F4337">
        <v>0</v>
      </c>
      <c r="G4337">
        <v>0</v>
      </c>
    </row>
    <row r="4338" spans="1:7" x14ac:dyDescent="0.2">
      <c r="A4338" t="s">
        <v>1932</v>
      </c>
      <c r="B4338">
        <v>0</v>
      </c>
      <c r="C4338">
        <v>0</v>
      </c>
      <c r="D4338">
        <v>0</v>
      </c>
      <c r="E4338">
        <v>0</v>
      </c>
      <c r="F4338">
        <v>0</v>
      </c>
      <c r="G4338">
        <v>0</v>
      </c>
    </row>
    <row r="4339" spans="1:7" x14ac:dyDescent="0.2">
      <c r="A4339" t="s">
        <v>1938</v>
      </c>
      <c r="B4339">
        <v>0</v>
      </c>
      <c r="C4339">
        <v>0</v>
      </c>
      <c r="D4339">
        <v>0</v>
      </c>
      <c r="E4339">
        <v>0</v>
      </c>
      <c r="F4339">
        <v>0</v>
      </c>
      <c r="G4339">
        <v>0</v>
      </c>
    </row>
    <row r="4340" spans="1:7" x14ac:dyDescent="0.2">
      <c r="A4340" t="s">
        <v>1944</v>
      </c>
      <c r="B4340">
        <v>0</v>
      </c>
      <c r="C4340">
        <v>0</v>
      </c>
      <c r="D4340">
        <v>0</v>
      </c>
      <c r="E4340">
        <v>0</v>
      </c>
      <c r="F4340">
        <v>0</v>
      </c>
      <c r="G4340">
        <v>0</v>
      </c>
    </row>
    <row r="4341" spans="1:7" x14ac:dyDescent="0.2">
      <c r="A4341" t="s">
        <v>1947</v>
      </c>
      <c r="B4341">
        <v>0</v>
      </c>
      <c r="C4341">
        <v>0</v>
      </c>
      <c r="D4341">
        <v>0</v>
      </c>
      <c r="E4341">
        <v>0</v>
      </c>
      <c r="F4341">
        <v>0</v>
      </c>
      <c r="G4341">
        <v>0</v>
      </c>
    </row>
    <row r="4342" spans="1:7" x14ac:dyDescent="0.2">
      <c r="A4342" t="s">
        <v>1953</v>
      </c>
      <c r="B4342">
        <v>0</v>
      </c>
      <c r="C4342">
        <v>0</v>
      </c>
      <c r="D4342">
        <v>0</v>
      </c>
      <c r="E4342">
        <v>0</v>
      </c>
      <c r="F4342">
        <v>0</v>
      </c>
      <c r="G4342">
        <v>0</v>
      </c>
    </row>
    <row r="4343" spans="1:7" x14ac:dyDescent="0.2">
      <c r="A4343" t="s">
        <v>1958</v>
      </c>
      <c r="B4343">
        <v>0</v>
      </c>
      <c r="C4343">
        <v>0</v>
      </c>
      <c r="D4343">
        <v>0</v>
      </c>
      <c r="E4343">
        <v>0</v>
      </c>
      <c r="F4343">
        <v>0</v>
      </c>
      <c r="G4343">
        <v>0</v>
      </c>
    </row>
    <row r="4344" spans="1:7" x14ac:dyDescent="0.2">
      <c r="A4344" t="s">
        <v>1964</v>
      </c>
      <c r="B4344">
        <v>0</v>
      </c>
      <c r="C4344">
        <v>0</v>
      </c>
      <c r="D4344">
        <v>0</v>
      </c>
      <c r="E4344">
        <v>0</v>
      </c>
      <c r="F4344">
        <v>0</v>
      </c>
      <c r="G4344">
        <v>0</v>
      </c>
    </row>
    <row r="4345" spans="1:7" x14ac:dyDescent="0.2">
      <c r="A4345" t="s">
        <v>1973</v>
      </c>
      <c r="B4345">
        <v>0</v>
      </c>
      <c r="C4345">
        <v>0</v>
      </c>
      <c r="D4345">
        <v>0</v>
      </c>
      <c r="E4345">
        <v>0</v>
      </c>
      <c r="F4345">
        <v>0</v>
      </c>
      <c r="G4345">
        <v>0</v>
      </c>
    </row>
    <row r="4346" spans="1:7" x14ac:dyDescent="0.2">
      <c r="A4346" t="s">
        <v>1978</v>
      </c>
      <c r="B4346">
        <v>0</v>
      </c>
      <c r="C4346">
        <v>0</v>
      </c>
      <c r="D4346">
        <v>0</v>
      </c>
      <c r="E4346">
        <v>0</v>
      </c>
      <c r="F4346">
        <v>0</v>
      </c>
      <c r="G4346">
        <v>0</v>
      </c>
    </row>
    <row r="4347" spans="1:7" x14ac:dyDescent="0.2">
      <c r="A4347" t="s">
        <v>1983</v>
      </c>
      <c r="B4347">
        <v>0</v>
      </c>
      <c r="C4347">
        <v>0</v>
      </c>
      <c r="D4347">
        <v>0</v>
      </c>
      <c r="E4347">
        <v>0</v>
      </c>
      <c r="F4347">
        <v>0</v>
      </c>
      <c r="G4347">
        <v>0</v>
      </c>
    </row>
    <row r="4348" spans="1:7" x14ac:dyDescent="0.2">
      <c r="A4348" t="s">
        <v>1984</v>
      </c>
      <c r="B4348">
        <v>0</v>
      </c>
      <c r="C4348">
        <v>0</v>
      </c>
      <c r="D4348">
        <v>0</v>
      </c>
      <c r="E4348">
        <v>0</v>
      </c>
      <c r="F4348">
        <v>0</v>
      </c>
      <c r="G4348">
        <v>0</v>
      </c>
    </row>
    <row r="4349" spans="1:7" x14ac:dyDescent="0.2">
      <c r="A4349" t="s">
        <v>1990</v>
      </c>
      <c r="B4349">
        <v>0</v>
      </c>
      <c r="C4349">
        <v>0</v>
      </c>
      <c r="D4349">
        <v>0</v>
      </c>
      <c r="E4349">
        <v>0</v>
      </c>
      <c r="F4349">
        <v>0</v>
      </c>
      <c r="G4349">
        <v>0</v>
      </c>
    </row>
    <row r="4350" spans="1:7" x14ac:dyDescent="0.2">
      <c r="A4350" t="s">
        <v>1996</v>
      </c>
      <c r="B4350">
        <v>0</v>
      </c>
      <c r="C4350">
        <v>0</v>
      </c>
      <c r="D4350">
        <v>0</v>
      </c>
      <c r="E4350">
        <v>0</v>
      </c>
      <c r="F4350">
        <v>0</v>
      </c>
      <c r="G4350">
        <v>0</v>
      </c>
    </row>
    <row r="4351" spans="1:7" x14ac:dyDescent="0.2">
      <c r="A4351" t="s">
        <v>1998</v>
      </c>
      <c r="B4351">
        <v>0</v>
      </c>
      <c r="C4351">
        <v>0</v>
      </c>
      <c r="D4351">
        <v>0</v>
      </c>
      <c r="E4351">
        <v>0</v>
      </c>
      <c r="F4351">
        <v>0</v>
      </c>
      <c r="G4351">
        <v>0</v>
      </c>
    </row>
    <row r="4352" spans="1:7" x14ac:dyDescent="0.2">
      <c r="A4352" t="s">
        <v>1999</v>
      </c>
      <c r="B4352">
        <v>0</v>
      </c>
      <c r="C4352">
        <v>0</v>
      </c>
      <c r="D4352">
        <v>0</v>
      </c>
      <c r="E4352">
        <v>0</v>
      </c>
      <c r="F4352">
        <v>0</v>
      </c>
      <c r="G4352">
        <v>0</v>
      </c>
    </row>
    <row r="4353" spans="1:7" x14ac:dyDescent="0.2">
      <c r="A4353" t="s">
        <v>2004</v>
      </c>
      <c r="B4353">
        <v>0</v>
      </c>
      <c r="C4353">
        <v>0</v>
      </c>
      <c r="D4353">
        <v>0</v>
      </c>
      <c r="E4353">
        <v>0</v>
      </c>
      <c r="F4353">
        <v>0</v>
      </c>
      <c r="G4353">
        <v>0</v>
      </c>
    </row>
    <row r="4354" spans="1:7" x14ac:dyDescent="0.2">
      <c r="A4354" t="s">
        <v>2009</v>
      </c>
      <c r="B4354">
        <v>0</v>
      </c>
      <c r="C4354">
        <v>0</v>
      </c>
      <c r="D4354">
        <v>0</v>
      </c>
      <c r="E4354">
        <v>0</v>
      </c>
      <c r="F4354">
        <v>0</v>
      </c>
      <c r="G4354">
        <v>0</v>
      </c>
    </row>
    <row r="4355" spans="1:7" x14ac:dyDescent="0.2">
      <c r="A4355" t="s">
        <v>2014</v>
      </c>
      <c r="B4355">
        <v>0</v>
      </c>
      <c r="C4355">
        <v>0</v>
      </c>
      <c r="D4355">
        <v>0</v>
      </c>
      <c r="E4355">
        <v>0</v>
      </c>
      <c r="F4355">
        <v>0</v>
      </c>
      <c r="G4355">
        <v>0</v>
      </c>
    </row>
    <row r="4356" spans="1:7" x14ac:dyDescent="0.2">
      <c r="A4356" t="s">
        <v>2019</v>
      </c>
      <c r="B4356">
        <v>0</v>
      </c>
      <c r="C4356">
        <v>0</v>
      </c>
      <c r="D4356">
        <v>0</v>
      </c>
      <c r="E4356">
        <v>0</v>
      </c>
      <c r="F4356">
        <v>0</v>
      </c>
      <c r="G4356">
        <v>0</v>
      </c>
    </row>
    <row r="4357" spans="1:7" x14ac:dyDescent="0.2">
      <c r="A4357" t="s">
        <v>2023</v>
      </c>
      <c r="B4357">
        <v>0</v>
      </c>
      <c r="C4357">
        <v>0</v>
      </c>
      <c r="D4357">
        <v>0</v>
      </c>
      <c r="E4357">
        <v>0</v>
      </c>
      <c r="F4357">
        <v>0</v>
      </c>
      <c r="G4357">
        <v>0</v>
      </c>
    </row>
    <row r="4358" spans="1:7" x14ac:dyDescent="0.2">
      <c r="A4358" t="s">
        <v>2026</v>
      </c>
      <c r="B4358">
        <v>0</v>
      </c>
      <c r="C4358">
        <v>0</v>
      </c>
      <c r="D4358">
        <v>0</v>
      </c>
      <c r="E4358">
        <v>0</v>
      </c>
      <c r="F4358">
        <v>0</v>
      </c>
      <c r="G4358">
        <v>0</v>
      </c>
    </row>
    <row r="4359" spans="1:7" x14ac:dyDescent="0.2">
      <c r="A4359" t="s">
        <v>2030</v>
      </c>
      <c r="B4359">
        <v>0</v>
      </c>
      <c r="C4359">
        <v>0</v>
      </c>
      <c r="D4359">
        <v>0</v>
      </c>
      <c r="E4359">
        <v>0</v>
      </c>
      <c r="F4359">
        <v>0</v>
      </c>
      <c r="G4359">
        <v>0</v>
      </c>
    </row>
    <row r="4360" spans="1:7" x14ac:dyDescent="0.2">
      <c r="A4360" t="s">
        <v>2035</v>
      </c>
      <c r="B4360">
        <v>0</v>
      </c>
      <c r="C4360">
        <v>0</v>
      </c>
      <c r="D4360">
        <v>0</v>
      </c>
      <c r="E4360">
        <v>0</v>
      </c>
      <c r="F4360">
        <v>0</v>
      </c>
      <c r="G4360">
        <v>0</v>
      </c>
    </row>
    <row r="4361" spans="1:7" x14ac:dyDescent="0.2">
      <c r="A4361" t="s">
        <v>2040</v>
      </c>
      <c r="B4361">
        <v>0</v>
      </c>
      <c r="C4361">
        <v>0</v>
      </c>
      <c r="D4361">
        <v>0</v>
      </c>
      <c r="E4361">
        <v>0</v>
      </c>
      <c r="F4361">
        <v>0</v>
      </c>
      <c r="G4361">
        <v>0</v>
      </c>
    </row>
    <row r="4362" spans="1:7" x14ac:dyDescent="0.2">
      <c r="A4362" t="s">
        <v>2045</v>
      </c>
      <c r="B4362">
        <v>0</v>
      </c>
      <c r="C4362">
        <v>0</v>
      </c>
      <c r="D4362">
        <v>0</v>
      </c>
      <c r="E4362">
        <v>0</v>
      </c>
      <c r="F4362">
        <v>0</v>
      </c>
      <c r="G4362">
        <v>0</v>
      </c>
    </row>
    <row r="4363" spans="1:7" x14ac:dyDescent="0.2">
      <c r="A4363" t="s">
        <v>2049</v>
      </c>
      <c r="B4363">
        <v>0</v>
      </c>
      <c r="C4363">
        <v>0</v>
      </c>
      <c r="D4363">
        <v>0</v>
      </c>
      <c r="E4363">
        <v>0</v>
      </c>
      <c r="F4363">
        <v>0</v>
      </c>
      <c r="G4363">
        <v>0</v>
      </c>
    </row>
    <row r="4364" spans="1:7" x14ac:dyDescent="0.2">
      <c r="A4364" t="s">
        <v>2051</v>
      </c>
      <c r="B4364">
        <v>0</v>
      </c>
      <c r="C4364">
        <v>0</v>
      </c>
      <c r="D4364">
        <v>0</v>
      </c>
      <c r="E4364">
        <v>0</v>
      </c>
      <c r="F4364">
        <v>8</v>
      </c>
      <c r="G4364">
        <v>8</v>
      </c>
    </row>
    <row r="4365" spans="1:7" x14ac:dyDescent="0.2">
      <c r="A4365" t="s">
        <v>2057</v>
      </c>
      <c r="B4365">
        <v>0</v>
      </c>
      <c r="C4365">
        <v>0</v>
      </c>
      <c r="D4365">
        <v>0</v>
      </c>
      <c r="E4365">
        <v>0</v>
      </c>
      <c r="F4365">
        <v>12</v>
      </c>
      <c r="G4365">
        <v>12</v>
      </c>
    </row>
    <row r="4366" spans="1:7" x14ac:dyDescent="0.2">
      <c r="A4366" t="s">
        <v>4344</v>
      </c>
      <c r="B4366">
        <v>0</v>
      </c>
      <c r="C4366">
        <v>0</v>
      </c>
      <c r="D4366">
        <v>0</v>
      </c>
      <c r="E4366">
        <v>0</v>
      </c>
      <c r="F4366">
        <v>0</v>
      </c>
      <c r="G4366">
        <v>0</v>
      </c>
    </row>
    <row r="4367" spans="1:7" x14ac:dyDescent="0.2">
      <c r="A4367" t="s">
        <v>4345</v>
      </c>
      <c r="B4367">
        <v>0</v>
      </c>
      <c r="C4367">
        <v>0</v>
      </c>
      <c r="D4367">
        <v>0</v>
      </c>
      <c r="E4367">
        <v>0</v>
      </c>
      <c r="F4367">
        <v>0</v>
      </c>
      <c r="G4367">
        <v>0</v>
      </c>
    </row>
    <row r="4368" spans="1:7" x14ac:dyDescent="0.2">
      <c r="A4368" t="s">
        <v>2074</v>
      </c>
      <c r="B4368">
        <v>0</v>
      </c>
      <c r="C4368">
        <v>0</v>
      </c>
      <c r="D4368">
        <v>0</v>
      </c>
      <c r="E4368">
        <v>0</v>
      </c>
      <c r="F4368">
        <v>0</v>
      </c>
      <c r="G4368">
        <v>0</v>
      </c>
    </row>
    <row r="4369" spans="1:7" x14ac:dyDescent="0.2">
      <c r="A4369" t="s">
        <v>2079</v>
      </c>
      <c r="B4369">
        <v>0</v>
      </c>
      <c r="C4369">
        <v>0</v>
      </c>
      <c r="D4369">
        <v>0</v>
      </c>
      <c r="E4369">
        <v>0</v>
      </c>
      <c r="F4369">
        <v>0</v>
      </c>
      <c r="G4369">
        <v>0</v>
      </c>
    </row>
    <row r="4370" spans="1:7" x14ac:dyDescent="0.2">
      <c r="A4370" t="s">
        <v>2085</v>
      </c>
      <c r="B4370">
        <v>0</v>
      </c>
      <c r="C4370">
        <v>0</v>
      </c>
      <c r="D4370">
        <v>0</v>
      </c>
      <c r="E4370">
        <v>0</v>
      </c>
      <c r="F4370">
        <v>0</v>
      </c>
      <c r="G4370">
        <v>0</v>
      </c>
    </row>
    <row r="4371" spans="1:7" x14ac:dyDescent="0.2">
      <c r="A4371" t="s">
        <v>2091</v>
      </c>
      <c r="B4371">
        <v>0</v>
      </c>
      <c r="C4371">
        <v>0</v>
      </c>
      <c r="D4371">
        <v>0</v>
      </c>
      <c r="E4371">
        <v>0</v>
      </c>
      <c r="F4371">
        <v>0</v>
      </c>
      <c r="G4371">
        <v>0</v>
      </c>
    </row>
    <row r="4372" spans="1:7" x14ac:dyDescent="0.2">
      <c r="A4372" t="s">
        <v>2097</v>
      </c>
      <c r="B4372">
        <v>0</v>
      </c>
      <c r="C4372">
        <v>0</v>
      </c>
      <c r="D4372">
        <v>0</v>
      </c>
      <c r="E4372">
        <v>0</v>
      </c>
      <c r="F4372">
        <v>0</v>
      </c>
      <c r="G4372">
        <v>0</v>
      </c>
    </row>
    <row r="4373" spans="1:7" x14ac:dyDescent="0.2">
      <c r="A4373" t="s">
        <v>2101</v>
      </c>
      <c r="B4373">
        <v>0</v>
      </c>
      <c r="C4373">
        <v>0</v>
      </c>
      <c r="D4373">
        <v>0</v>
      </c>
      <c r="E4373">
        <v>0</v>
      </c>
      <c r="F4373">
        <v>0</v>
      </c>
      <c r="G4373">
        <v>0</v>
      </c>
    </row>
    <row r="4374" spans="1:7" x14ac:dyDescent="0.2">
      <c r="A4374" t="s">
        <v>2104</v>
      </c>
      <c r="B4374">
        <v>0</v>
      </c>
      <c r="C4374">
        <v>0</v>
      </c>
      <c r="D4374">
        <v>0</v>
      </c>
      <c r="E4374">
        <v>0</v>
      </c>
      <c r="F4374">
        <v>0</v>
      </c>
      <c r="G4374">
        <v>0</v>
      </c>
    </row>
    <row r="4375" spans="1:7" x14ac:dyDescent="0.2">
      <c r="A4375" t="s">
        <v>2107</v>
      </c>
      <c r="B4375">
        <v>0</v>
      </c>
      <c r="C4375">
        <v>0</v>
      </c>
      <c r="D4375">
        <v>0</v>
      </c>
      <c r="E4375">
        <v>0</v>
      </c>
      <c r="F4375">
        <v>0</v>
      </c>
      <c r="G4375">
        <v>0</v>
      </c>
    </row>
    <row r="4376" spans="1:7" x14ac:dyDescent="0.2">
      <c r="A4376" t="s">
        <v>2110</v>
      </c>
      <c r="B4376">
        <v>0</v>
      </c>
      <c r="C4376">
        <v>0</v>
      </c>
      <c r="D4376">
        <v>0</v>
      </c>
      <c r="E4376">
        <v>0</v>
      </c>
      <c r="F4376">
        <v>0</v>
      </c>
      <c r="G4376">
        <v>0</v>
      </c>
    </row>
    <row r="4377" spans="1:7" x14ac:dyDescent="0.2">
      <c r="A4377" t="s">
        <v>2113</v>
      </c>
      <c r="B4377">
        <v>0</v>
      </c>
      <c r="C4377">
        <v>0</v>
      </c>
      <c r="D4377">
        <v>0</v>
      </c>
      <c r="E4377">
        <v>0</v>
      </c>
      <c r="F4377">
        <v>0</v>
      </c>
      <c r="G4377">
        <v>0</v>
      </c>
    </row>
    <row r="4378" spans="1:7" x14ac:dyDescent="0.2">
      <c r="A4378" t="s">
        <v>4346</v>
      </c>
      <c r="B4378">
        <v>0</v>
      </c>
      <c r="C4378">
        <v>0</v>
      </c>
      <c r="D4378">
        <v>0</v>
      </c>
      <c r="E4378">
        <v>0</v>
      </c>
      <c r="F4378">
        <v>0</v>
      </c>
      <c r="G4378">
        <v>0</v>
      </c>
    </row>
    <row r="4379" spans="1:7" x14ac:dyDescent="0.2">
      <c r="A4379" t="s">
        <v>4347</v>
      </c>
      <c r="B4379">
        <v>0</v>
      </c>
      <c r="C4379">
        <v>0</v>
      </c>
      <c r="D4379">
        <v>0</v>
      </c>
      <c r="E4379">
        <v>0</v>
      </c>
      <c r="F4379">
        <v>0</v>
      </c>
      <c r="G4379">
        <v>0</v>
      </c>
    </row>
    <row r="4380" spans="1:7" x14ac:dyDescent="0.2">
      <c r="A4380" t="s">
        <v>4348</v>
      </c>
      <c r="B4380">
        <v>0</v>
      </c>
      <c r="C4380">
        <v>0</v>
      </c>
      <c r="D4380">
        <v>0</v>
      </c>
      <c r="E4380">
        <v>0</v>
      </c>
      <c r="F4380">
        <v>0</v>
      </c>
      <c r="G4380">
        <v>0</v>
      </c>
    </row>
    <row r="4381" spans="1:7" x14ac:dyDescent="0.2">
      <c r="A4381" t="s">
        <v>4349</v>
      </c>
      <c r="B4381">
        <v>0</v>
      </c>
      <c r="C4381">
        <v>0</v>
      </c>
      <c r="D4381">
        <v>0</v>
      </c>
      <c r="E4381">
        <v>0</v>
      </c>
      <c r="F4381">
        <v>0</v>
      </c>
      <c r="G4381">
        <v>0</v>
      </c>
    </row>
    <row r="4382" spans="1:7" x14ac:dyDescent="0.2">
      <c r="A4382" t="s">
        <v>4350</v>
      </c>
      <c r="B4382">
        <v>0</v>
      </c>
      <c r="C4382">
        <v>12</v>
      </c>
      <c r="D4382">
        <v>75</v>
      </c>
      <c r="E4382">
        <v>0</v>
      </c>
      <c r="F4382">
        <v>0</v>
      </c>
      <c r="G4382">
        <v>87</v>
      </c>
    </row>
    <row r="4383" spans="1:7" x14ac:dyDescent="0.2">
      <c r="A4383" t="s">
        <v>4351</v>
      </c>
      <c r="B4383">
        <v>0</v>
      </c>
      <c r="C4383">
        <v>0</v>
      </c>
      <c r="D4383">
        <v>0</v>
      </c>
      <c r="E4383">
        <v>0</v>
      </c>
      <c r="F4383">
        <v>0</v>
      </c>
      <c r="G4383">
        <v>0</v>
      </c>
    </row>
    <row r="4384" spans="1:7" x14ac:dyDescent="0.2">
      <c r="A4384" t="s">
        <v>4352</v>
      </c>
      <c r="B4384">
        <v>0</v>
      </c>
      <c r="C4384">
        <v>0</v>
      </c>
      <c r="D4384">
        <v>0</v>
      </c>
      <c r="E4384">
        <v>0</v>
      </c>
      <c r="F4384">
        <v>0</v>
      </c>
      <c r="G4384">
        <v>0</v>
      </c>
    </row>
    <row r="4385" spans="1:7" x14ac:dyDescent="0.2">
      <c r="A4385" t="s">
        <v>4353</v>
      </c>
      <c r="B4385">
        <v>0</v>
      </c>
      <c r="C4385">
        <v>50</v>
      </c>
      <c r="D4385">
        <v>52</v>
      </c>
      <c r="E4385">
        <v>3</v>
      </c>
      <c r="F4385">
        <v>0</v>
      </c>
      <c r="G4385">
        <v>105</v>
      </c>
    </row>
    <row r="4386" spans="1:7" x14ac:dyDescent="0.2">
      <c r="A4386" t="s">
        <v>4354</v>
      </c>
      <c r="B4386">
        <v>2</v>
      </c>
      <c r="C4386">
        <v>29</v>
      </c>
      <c r="D4386">
        <v>17</v>
      </c>
      <c r="E4386">
        <v>0</v>
      </c>
      <c r="F4386">
        <v>0</v>
      </c>
      <c r="G4386">
        <v>49</v>
      </c>
    </row>
    <row r="4387" spans="1:7" x14ac:dyDescent="0.2">
      <c r="A4387" t="s">
        <v>4355</v>
      </c>
      <c r="B4387">
        <v>0</v>
      </c>
      <c r="C4387">
        <v>0</v>
      </c>
      <c r="D4387">
        <v>0</v>
      </c>
      <c r="E4387">
        <v>0</v>
      </c>
      <c r="F4387">
        <v>0</v>
      </c>
      <c r="G4387">
        <v>0</v>
      </c>
    </row>
    <row r="4388" spans="1:7" x14ac:dyDescent="0.2">
      <c r="A4388" t="s">
        <v>4356</v>
      </c>
      <c r="B4388">
        <v>0</v>
      </c>
      <c r="C4388">
        <v>0</v>
      </c>
      <c r="D4388">
        <v>0</v>
      </c>
      <c r="E4388">
        <v>0</v>
      </c>
      <c r="F4388">
        <v>0</v>
      </c>
      <c r="G4388">
        <v>0</v>
      </c>
    </row>
    <row r="4389" spans="1:7" x14ac:dyDescent="0.2">
      <c r="A4389" t="s">
        <v>4357</v>
      </c>
      <c r="B4389">
        <v>0</v>
      </c>
      <c r="C4389">
        <v>6</v>
      </c>
      <c r="D4389">
        <v>3</v>
      </c>
      <c r="E4389">
        <v>0</v>
      </c>
      <c r="F4389">
        <v>0</v>
      </c>
      <c r="G4389">
        <v>10</v>
      </c>
    </row>
    <row r="4390" spans="1:7" x14ac:dyDescent="0.2">
      <c r="A4390" t="s">
        <v>4358</v>
      </c>
      <c r="B4390">
        <v>0</v>
      </c>
      <c r="C4390">
        <v>1</v>
      </c>
      <c r="D4390">
        <v>0</v>
      </c>
      <c r="E4390">
        <v>0</v>
      </c>
      <c r="F4390">
        <v>0</v>
      </c>
      <c r="G4390">
        <v>1</v>
      </c>
    </row>
    <row r="4391" spans="1:7" x14ac:dyDescent="0.2">
      <c r="A4391" t="s">
        <v>4359</v>
      </c>
      <c r="B4391">
        <v>0</v>
      </c>
      <c r="C4391">
        <v>0</v>
      </c>
      <c r="D4391">
        <v>0</v>
      </c>
      <c r="E4391">
        <v>0</v>
      </c>
      <c r="F4391">
        <v>0</v>
      </c>
      <c r="G4391">
        <v>0</v>
      </c>
    </row>
    <row r="4392" spans="1:7" x14ac:dyDescent="0.2">
      <c r="A4392" t="s">
        <v>4360</v>
      </c>
      <c r="B4392">
        <v>0</v>
      </c>
      <c r="C4392">
        <v>0</v>
      </c>
      <c r="D4392">
        <v>0</v>
      </c>
      <c r="E4392">
        <v>0</v>
      </c>
      <c r="F4392">
        <v>0</v>
      </c>
      <c r="G4392">
        <v>0</v>
      </c>
    </row>
    <row r="4393" spans="1:7" x14ac:dyDescent="0.2">
      <c r="A4393" t="s">
        <v>4361</v>
      </c>
      <c r="B4393">
        <v>0</v>
      </c>
      <c r="C4393">
        <v>0</v>
      </c>
      <c r="D4393">
        <v>11</v>
      </c>
      <c r="E4393">
        <v>0</v>
      </c>
      <c r="F4393">
        <v>0</v>
      </c>
      <c r="G4393">
        <v>11</v>
      </c>
    </row>
    <row r="4394" spans="1:7" x14ac:dyDescent="0.2">
      <c r="A4394" t="s">
        <v>4362</v>
      </c>
      <c r="B4394">
        <v>0</v>
      </c>
      <c r="C4394">
        <v>0</v>
      </c>
      <c r="D4394">
        <v>0</v>
      </c>
      <c r="E4394">
        <v>0</v>
      </c>
      <c r="F4394">
        <v>0</v>
      </c>
      <c r="G4394">
        <v>0</v>
      </c>
    </row>
    <row r="4395" spans="1:7" x14ac:dyDescent="0.2">
      <c r="A4395" t="s">
        <v>4363</v>
      </c>
      <c r="B4395">
        <v>0</v>
      </c>
      <c r="C4395">
        <v>0</v>
      </c>
      <c r="D4395">
        <v>0</v>
      </c>
      <c r="E4395">
        <v>0</v>
      </c>
      <c r="F4395">
        <v>0</v>
      </c>
      <c r="G4395">
        <v>0</v>
      </c>
    </row>
    <row r="4396" spans="1:7" x14ac:dyDescent="0.2">
      <c r="A4396" t="s">
        <v>4364</v>
      </c>
      <c r="B4396">
        <v>0</v>
      </c>
      <c r="C4396">
        <v>0</v>
      </c>
      <c r="D4396">
        <v>0</v>
      </c>
      <c r="E4396">
        <v>0</v>
      </c>
      <c r="F4396">
        <v>0</v>
      </c>
      <c r="G4396">
        <v>0</v>
      </c>
    </row>
    <row r="4397" spans="1:7" x14ac:dyDescent="0.2">
      <c r="A4397" t="s">
        <v>4365</v>
      </c>
      <c r="B4397">
        <v>0</v>
      </c>
      <c r="C4397">
        <v>2</v>
      </c>
      <c r="D4397">
        <v>3</v>
      </c>
      <c r="E4397">
        <v>0</v>
      </c>
      <c r="F4397">
        <v>0</v>
      </c>
      <c r="G4397">
        <v>5</v>
      </c>
    </row>
    <row r="4398" spans="1:7" x14ac:dyDescent="0.2">
      <c r="A4398" t="s">
        <v>4366</v>
      </c>
      <c r="B4398">
        <v>0</v>
      </c>
      <c r="C4398">
        <v>0</v>
      </c>
      <c r="D4398">
        <v>0</v>
      </c>
      <c r="E4398">
        <v>0</v>
      </c>
      <c r="F4398">
        <v>0</v>
      </c>
      <c r="G4398">
        <v>0</v>
      </c>
    </row>
    <row r="4399" spans="1:7" x14ac:dyDescent="0.2">
      <c r="A4399" t="s">
        <v>4367</v>
      </c>
      <c r="B4399">
        <v>0</v>
      </c>
      <c r="C4399">
        <v>0</v>
      </c>
      <c r="D4399">
        <v>0</v>
      </c>
      <c r="E4399">
        <v>0</v>
      </c>
      <c r="F4399">
        <v>0</v>
      </c>
      <c r="G4399">
        <v>0</v>
      </c>
    </row>
    <row r="4400" spans="1:7" x14ac:dyDescent="0.2">
      <c r="A4400" t="s">
        <v>4368</v>
      </c>
      <c r="B4400">
        <v>0</v>
      </c>
      <c r="C4400">
        <v>1</v>
      </c>
      <c r="D4400">
        <v>5</v>
      </c>
      <c r="E4400">
        <v>5</v>
      </c>
      <c r="F4400">
        <v>0</v>
      </c>
      <c r="G4400">
        <v>11</v>
      </c>
    </row>
    <row r="4401" spans="1:10" x14ac:dyDescent="0.2">
      <c r="A4401" t="s">
        <v>4369</v>
      </c>
      <c r="B4401">
        <v>0</v>
      </c>
      <c r="C4401">
        <v>42</v>
      </c>
      <c r="D4401">
        <v>99</v>
      </c>
      <c r="E4401">
        <v>26</v>
      </c>
      <c r="F4401">
        <v>0</v>
      </c>
      <c r="G4401">
        <v>167</v>
      </c>
    </row>
    <row r="4402" spans="1:10" x14ac:dyDescent="0.2">
      <c r="A4402" t="s">
        <v>4370</v>
      </c>
      <c r="B4402">
        <v>0</v>
      </c>
      <c r="C4402">
        <v>0</v>
      </c>
      <c r="D4402">
        <v>0</v>
      </c>
      <c r="E4402">
        <v>0</v>
      </c>
      <c r="F4402">
        <v>0</v>
      </c>
      <c r="G4402">
        <v>0</v>
      </c>
    </row>
    <row r="4403" spans="1:10" x14ac:dyDescent="0.2">
      <c r="A4403" t="s">
        <v>4371</v>
      </c>
      <c r="B4403">
        <v>0</v>
      </c>
      <c r="C4403">
        <v>0</v>
      </c>
      <c r="D4403">
        <v>0</v>
      </c>
      <c r="E4403">
        <v>0</v>
      </c>
      <c r="F4403">
        <v>0</v>
      </c>
      <c r="G4403">
        <v>0</v>
      </c>
    </row>
    <row r="4404" spans="1:10" x14ac:dyDescent="0.2">
      <c r="A4404" t="s">
        <v>4372</v>
      </c>
      <c r="B4404">
        <v>0</v>
      </c>
      <c r="C4404">
        <v>0</v>
      </c>
      <c r="D4404">
        <v>0</v>
      </c>
      <c r="E4404">
        <v>0</v>
      </c>
      <c r="F4404">
        <v>0</v>
      </c>
      <c r="G4404">
        <v>0</v>
      </c>
    </row>
    <row r="4405" spans="1:10" x14ac:dyDescent="0.2">
      <c r="A4405" t="s">
        <v>4373</v>
      </c>
      <c r="B4405">
        <v>0</v>
      </c>
      <c r="C4405">
        <v>14</v>
      </c>
      <c r="D4405">
        <v>6</v>
      </c>
      <c r="E4405">
        <v>0</v>
      </c>
      <c r="F4405">
        <v>0</v>
      </c>
      <c r="G4405">
        <v>20</v>
      </c>
    </row>
    <row r="4406" spans="1:10" x14ac:dyDescent="0.2">
      <c r="A4406" t="s">
        <v>4374</v>
      </c>
      <c r="B4406">
        <v>0</v>
      </c>
      <c r="C4406">
        <v>0</v>
      </c>
      <c r="D4406">
        <v>1</v>
      </c>
      <c r="E4406">
        <v>0</v>
      </c>
      <c r="F4406">
        <v>0</v>
      </c>
      <c r="G4406">
        <v>1</v>
      </c>
    </row>
    <row r="4407" spans="1:10" x14ac:dyDescent="0.2">
      <c r="A4407" t="s">
        <v>4375</v>
      </c>
      <c r="B4407">
        <v>0</v>
      </c>
      <c r="C4407">
        <v>2</v>
      </c>
      <c r="D4407">
        <v>7</v>
      </c>
      <c r="E4407">
        <v>6</v>
      </c>
      <c r="F4407">
        <v>0</v>
      </c>
      <c r="G4407">
        <v>15</v>
      </c>
    </row>
    <row r="4408" spans="1:10" x14ac:dyDescent="0.2">
      <c r="A4408" t="s">
        <v>4376</v>
      </c>
      <c r="B4408">
        <v>0</v>
      </c>
      <c r="C4408">
        <v>0</v>
      </c>
      <c r="D4408">
        <v>0</v>
      </c>
      <c r="E4408">
        <v>0</v>
      </c>
      <c r="F4408">
        <v>0</v>
      </c>
      <c r="G4408">
        <v>0</v>
      </c>
    </row>
    <row r="4409" spans="1:10" x14ac:dyDescent="0.2">
      <c r="A4409" t="s">
        <v>4377</v>
      </c>
      <c r="B4409">
        <v>0</v>
      </c>
      <c r="C4409">
        <v>2</v>
      </c>
      <c r="D4409">
        <v>0</v>
      </c>
      <c r="E4409">
        <v>0</v>
      </c>
      <c r="F4409">
        <v>0</v>
      </c>
      <c r="G4409">
        <v>2</v>
      </c>
    </row>
    <row r="4410" spans="1:10" x14ac:dyDescent="0.2">
      <c r="A4410" t="s">
        <v>2318</v>
      </c>
      <c r="B4410" t="s">
        <v>2319</v>
      </c>
      <c r="C4410" t="s">
        <v>2319</v>
      </c>
      <c r="D4410" t="s">
        <v>2319</v>
      </c>
      <c r="E4410" t="s">
        <v>2319</v>
      </c>
      <c r="F4410" t="s">
        <v>2319</v>
      </c>
      <c r="G4410" t="s">
        <v>2319</v>
      </c>
    </row>
    <row r="4411" spans="1:10" x14ac:dyDescent="0.2">
      <c r="A4411" t="s">
        <v>4248</v>
      </c>
    </row>
    <row r="4412" spans="1:10" x14ac:dyDescent="0.2">
      <c r="A4412" t="s">
        <v>4250</v>
      </c>
      <c r="C4412" t="s">
        <v>4251</v>
      </c>
      <c r="G4412" t="s">
        <v>7531</v>
      </c>
      <c r="J4412"/>
    </row>
    <row r="4413" spans="1:10" x14ac:dyDescent="0.2">
      <c r="A4413" t="s">
        <v>4925</v>
      </c>
      <c r="G4413" t="s">
        <v>7539</v>
      </c>
      <c r="J4413"/>
    </row>
    <row r="4414" spans="1:10" x14ac:dyDescent="0.2">
      <c r="A4414" t="s">
        <v>7530</v>
      </c>
      <c r="J4414"/>
    </row>
    <row r="4415" spans="1:10" x14ac:dyDescent="0.2">
      <c r="A4415" t="s">
        <v>4991</v>
      </c>
      <c r="J4415"/>
    </row>
    <row r="4416" spans="1:10" x14ac:dyDescent="0.2">
      <c r="J4416"/>
    </row>
    <row r="4417" spans="1:10" x14ac:dyDescent="0.2">
      <c r="A4417" t="s">
        <v>4259</v>
      </c>
      <c r="J4417"/>
    </row>
    <row r="4418" spans="1:10" x14ac:dyDescent="0.2">
      <c r="A4418" t="s">
        <v>2318</v>
      </c>
      <c r="B4418" t="s">
        <v>2319</v>
      </c>
      <c r="C4418" t="s">
        <v>2319</v>
      </c>
      <c r="D4418" t="s">
        <v>2319</v>
      </c>
      <c r="E4418" t="s">
        <v>2319</v>
      </c>
      <c r="F4418" t="s">
        <v>2319</v>
      </c>
      <c r="G4418" t="s">
        <v>2319</v>
      </c>
    </row>
    <row r="4419" spans="1:10" x14ac:dyDescent="0.2">
      <c r="A4419" t="s">
        <v>174</v>
      </c>
      <c r="B4419" t="s">
        <v>4945</v>
      </c>
      <c r="C4419" t="s">
        <v>4946</v>
      </c>
      <c r="D4419" t="s">
        <v>4947</v>
      </c>
      <c r="E4419" t="s">
        <v>4948</v>
      </c>
      <c r="F4419" t="s">
        <v>4949</v>
      </c>
    </row>
    <row r="4420" spans="1:10" x14ac:dyDescent="0.2">
      <c r="A4420" t="s">
        <v>126</v>
      </c>
      <c r="B4420" t="s">
        <v>4262</v>
      </c>
      <c r="C4420" t="s">
        <v>4263</v>
      </c>
      <c r="D4420" t="s">
        <v>4264</v>
      </c>
      <c r="E4420" t="s">
        <v>2308</v>
      </c>
      <c r="F4420" t="s">
        <v>615</v>
      </c>
      <c r="G4420" t="s">
        <v>236</v>
      </c>
    </row>
    <row r="4421" spans="1:10" x14ac:dyDescent="0.2">
      <c r="A4421" t="s">
        <v>2318</v>
      </c>
      <c r="B4421" t="s">
        <v>2319</v>
      </c>
      <c r="C4421" t="s">
        <v>2319</v>
      </c>
      <c r="D4421" t="s">
        <v>2319</v>
      </c>
      <c r="E4421" t="s">
        <v>2319</v>
      </c>
      <c r="F4421" t="s">
        <v>2319</v>
      </c>
      <c r="G4421" t="s">
        <v>2319</v>
      </c>
    </row>
    <row r="4422" spans="1:10" x14ac:dyDescent="0.2">
      <c r="A4422" t="s">
        <v>4265</v>
      </c>
      <c r="B4422">
        <v>0</v>
      </c>
      <c r="C4422">
        <v>0</v>
      </c>
      <c r="D4422">
        <v>0</v>
      </c>
      <c r="E4422">
        <v>0</v>
      </c>
      <c r="F4422">
        <v>0</v>
      </c>
      <c r="G4422">
        <v>0</v>
      </c>
    </row>
    <row r="4423" spans="1:10" x14ac:dyDescent="0.2">
      <c r="A4423" t="s">
        <v>4266</v>
      </c>
      <c r="B4423">
        <v>0</v>
      </c>
      <c r="C4423">
        <v>0</v>
      </c>
      <c r="D4423">
        <v>0</v>
      </c>
      <c r="E4423">
        <v>0</v>
      </c>
      <c r="F4423">
        <v>0</v>
      </c>
      <c r="G4423">
        <v>0</v>
      </c>
    </row>
    <row r="4424" spans="1:10" x14ac:dyDescent="0.2">
      <c r="A4424" t="s">
        <v>4267</v>
      </c>
      <c r="B4424">
        <v>0</v>
      </c>
      <c r="C4424">
        <v>0</v>
      </c>
      <c r="D4424">
        <v>0</v>
      </c>
      <c r="E4424">
        <v>0</v>
      </c>
      <c r="F4424">
        <v>0</v>
      </c>
      <c r="G4424">
        <v>0</v>
      </c>
    </row>
    <row r="4425" spans="1:10" x14ac:dyDescent="0.2">
      <c r="A4425" t="s">
        <v>4268</v>
      </c>
      <c r="B4425">
        <v>0</v>
      </c>
      <c r="C4425">
        <v>0</v>
      </c>
      <c r="D4425">
        <v>0</v>
      </c>
      <c r="E4425">
        <v>0</v>
      </c>
      <c r="F4425">
        <v>0</v>
      </c>
      <c r="G4425">
        <v>0</v>
      </c>
    </row>
    <row r="4426" spans="1:10" x14ac:dyDescent="0.2">
      <c r="A4426" t="s">
        <v>4269</v>
      </c>
      <c r="B4426">
        <v>0</v>
      </c>
      <c r="C4426">
        <v>0</v>
      </c>
      <c r="D4426">
        <v>0</v>
      </c>
      <c r="E4426">
        <v>0</v>
      </c>
      <c r="F4426">
        <v>0</v>
      </c>
      <c r="G4426">
        <v>0</v>
      </c>
    </row>
    <row r="4427" spans="1:10" x14ac:dyDescent="0.2">
      <c r="A4427" t="s">
        <v>4270</v>
      </c>
      <c r="B4427">
        <v>0</v>
      </c>
      <c r="C4427">
        <v>0</v>
      </c>
      <c r="D4427">
        <v>0</v>
      </c>
      <c r="E4427">
        <v>0</v>
      </c>
      <c r="F4427">
        <v>0</v>
      </c>
      <c r="G4427">
        <v>0</v>
      </c>
    </row>
    <row r="4428" spans="1:10" x14ac:dyDescent="0.2">
      <c r="A4428" t="s">
        <v>4271</v>
      </c>
      <c r="B4428">
        <v>0</v>
      </c>
      <c r="C4428">
        <v>0</v>
      </c>
      <c r="D4428">
        <v>0</v>
      </c>
      <c r="E4428">
        <v>0</v>
      </c>
      <c r="F4428">
        <v>0</v>
      </c>
      <c r="G4428">
        <v>0</v>
      </c>
    </row>
    <row r="4429" spans="1:10" x14ac:dyDescent="0.2">
      <c r="A4429" t="s">
        <v>4272</v>
      </c>
      <c r="B4429">
        <v>0</v>
      </c>
      <c r="C4429">
        <v>0</v>
      </c>
      <c r="D4429">
        <v>0</v>
      </c>
      <c r="E4429">
        <v>0</v>
      </c>
      <c r="F4429">
        <v>0</v>
      </c>
      <c r="G4429">
        <v>0</v>
      </c>
    </row>
    <row r="4430" spans="1:10" x14ac:dyDescent="0.2">
      <c r="A4430" t="s">
        <v>4273</v>
      </c>
      <c r="B4430">
        <v>0</v>
      </c>
      <c r="C4430">
        <v>0</v>
      </c>
      <c r="D4430">
        <v>0</v>
      </c>
      <c r="E4430">
        <v>0</v>
      </c>
      <c r="F4430">
        <v>0</v>
      </c>
      <c r="G4430">
        <v>0</v>
      </c>
    </row>
    <row r="4431" spans="1:10" x14ac:dyDescent="0.2">
      <c r="A4431" t="s">
        <v>4274</v>
      </c>
      <c r="B4431">
        <v>0</v>
      </c>
      <c r="C4431">
        <v>0</v>
      </c>
      <c r="D4431">
        <v>0</v>
      </c>
      <c r="E4431">
        <v>0</v>
      </c>
      <c r="F4431">
        <v>0</v>
      </c>
      <c r="G4431">
        <v>0</v>
      </c>
    </row>
    <row r="4432" spans="1:10" x14ac:dyDescent="0.2">
      <c r="A4432" t="s">
        <v>4275</v>
      </c>
      <c r="B4432">
        <v>0</v>
      </c>
      <c r="C4432">
        <v>0</v>
      </c>
      <c r="D4432">
        <v>0</v>
      </c>
      <c r="E4432">
        <v>0</v>
      </c>
      <c r="F4432">
        <v>0</v>
      </c>
      <c r="G4432">
        <v>0</v>
      </c>
    </row>
    <row r="4433" spans="1:7" x14ac:dyDescent="0.2">
      <c r="A4433" t="s">
        <v>4276</v>
      </c>
      <c r="B4433">
        <v>0</v>
      </c>
      <c r="C4433">
        <v>0</v>
      </c>
      <c r="D4433">
        <v>0</v>
      </c>
      <c r="E4433">
        <v>0</v>
      </c>
      <c r="F4433">
        <v>0</v>
      </c>
      <c r="G4433">
        <v>0</v>
      </c>
    </row>
    <row r="4434" spans="1:7" x14ac:dyDescent="0.2">
      <c r="A4434" t="s">
        <v>4277</v>
      </c>
      <c r="B4434">
        <v>0</v>
      </c>
      <c r="C4434">
        <v>0</v>
      </c>
      <c r="D4434">
        <v>0</v>
      </c>
      <c r="E4434">
        <v>0</v>
      </c>
      <c r="F4434">
        <v>0</v>
      </c>
      <c r="G4434">
        <v>0</v>
      </c>
    </row>
    <row r="4435" spans="1:7" x14ac:dyDescent="0.2">
      <c r="A4435" t="s">
        <v>4278</v>
      </c>
      <c r="B4435">
        <v>0</v>
      </c>
      <c r="C4435">
        <v>0</v>
      </c>
      <c r="D4435">
        <v>0</v>
      </c>
      <c r="E4435">
        <v>0</v>
      </c>
      <c r="F4435">
        <v>0</v>
      </c>
      <c r="G4435">
        <v>0</v>
      </c>
    </row>
    <row r="4436" spans="1:7" x14ac:dyDescent="0.2">
      <c r="A4436" t="s">
        <v>4279</v>
      </c>
      <c r="B4436">
        <v>2</v>
      </c>
      <c r="C4436">
        <v>0</v>
      </c>
      <c r="D4436">
        <v>1</v>
      </c>
      <c r="E4436">
        <v>0</v>
      </c>
      <c r="F4436">
        <v>0</v>
      </c>
      <c r="G4436">
        <v>3</v>
      </c>
    </row>
    <row r="4437" spans="1:7" x14ac:dyDescent="0.2">
      <c r="A4437" t="s">
        <v>4280</v>
      </c>
      <c r="B4437">
        <v>0</v>
      </c>
      <c r="C4437">
        <v>0</v>
      </c>
      <c r="D4437">
        <v>0</v>
      </c>
      <c r="E4437">
        <v>0</v>
      </c>
      <c r="F4437">
        <v>0</v>
      </c>
      <c r="G4437">
        <v>0</v>
      </c>
    </row>
    <row r="4438" spans="1:7" x14ac:dyDescent="0.2">
      <c r="A4438" t="s">
        <v>4281</v>
      </c>
      <c r="B4438">
        <v>123</v>
      </c>
      <c r="C4438">
        <v>106</v>
      </c>
      <c r="D4438">
        <v>181</v>
      </c>
      <c r="E4438">
        <v>22</v>
      </c>
      <c r="F4438">
        <v>0</v>
      </c>
      <c r="G4438">
        <v>431</v>
      </c>
    </row>
    <row r="4439" spans="1:7" x14ac:dyDescent="0.2">
      <c r="A4439" t="s">
        <v>4282</v>
      </c>
      <c r="B4439">
        <v>30</v>
      </c>
      <c r="C4439">
        <v>53</v>
      </c>
      <c r="D4439">
        <v>60</v>
      </c>
      <c r="E4439">
        <v>1</v>
      </c>
      <c r="F4439">
        <v>0</v>
      </c>
      <c r="G4439">
        <v>144</v>
      </c>
    </row>
    <row r="4440" spans="1:7" x14ac:dyDescent="0.2">
      <c r="A4440" t="s">
        <v>4283</v>
      </c>
      <c r="B4440">
        <v>23</v>
      </c>
      <c r="C4440">
        <v>47</v>
      </c>
      <c r="D4440">
        <v>31</v>
      </c>
      <c r="E4440">
        <v>0</v>
      </c>
      <c r="F4440">
        <v>0</v>
      </c>
      <c r="G4440">
        <v>102</v>
      </c>
    </row>
    <row r="4441" spans="1:7" x14ac:dyDescent="0.2">
      <c r="A4441" t="s">
        <v>4284</v>
      </c>
      <c r="B4441">
        <v>1</v>
      </c>
      <c r="C4441">
        <v>0</v>
      </c>
      <c r="D4441">
        <v>3</v>
      </c>
      <c r="E4441">
        <v>0</v>
      </c>
      <c r="F4441">
        <v>0</v>
      </c>
      <c r="G4441">
        <v>4</v>
      </c>
    </row>
    <row r="4442" spans="1:7" x14ac:dyDescent="0.2">
      <c r="A4442" t="s">
        <v>4285</v>
      </c>
      <c r="B4442">
        <v>72</v>
      </c>
      <c r="C4442">
        <v>126</v>
      </c>
      <c r="D4442">
        <v>147</v>
      </c>
      <c r="E4442">
        <v>24</v>
      </c>
      <c r="F4442">
        <v>0</v>
      </c>
      <c r="G4442">
        <v>369</v>
      </c>
    </row>
    <row r="4443" spans="1:7" x14ac:dyDescent="0.2">
      <c r="A4443" t="s">
        <v>4286</v>
      </c>
      <c r="B4443">
        <v>13</v>
      </c>
      <c r="C4443">
        <v>4</v>
      </c>
      <c r="D4443">
        <v>6</v>
      </c>
      <c r="E4443">
        <v>1</v>
      </c>
      <c r="F4443">
        <v>0</v>
      </c>
      <c r="G4443">
        <v>24</v>
      </c>
    </row>
    <row r="4444" spans="1:7" x14ac:dyDescent="0.2">
      <c r="A4444" t="s">
        <v>4287</v>
      </c>
      <c r="B4444">
        <v>0</v>
      </c>
      <c r="C4444">
        <v>0</v>
      </c>
      <c r="D4444">
        <v>0</v>
      </c>
      <c r="E4444">
        <v>31</v>
      </c>
      <c r="F4444">
        <v>0</v>
      </c>
      <c r="G4444">
        <v>31</v>
      </c>
    </row>
    <row r="4445" spans="1:7" x14ac:dyDescent="0.2">
      <c r="A4445" t="s">
        <v>4288</v>
      </c>
      <c r="B4445">
        <v>0</v>
      </c>
      <c r="C4445">
        <v>0</v>
      </c>
      <c r="D4445">
        <v>0</v>
      </c>
      <c r="E4445">
        <v>0</v>
      </c>
      <c r="F4445">
        <v>0</v>
      </c>
      <c r="G4445">
        <v>0</v>
      </c>
    </row>
    <row r="4446" spans="1:7" x14ac:dyDescent="0.2">
      <c r="A4446" t="s">
        <v>4289</v>
      </c>
      <c r="B4446">
        <v>0</v>
      </c>
      <c r="C4446">
        <v>0</v>
      </c>
      <c r="D4446">
        <v>0</v>
      </c>
      <c r="E4446">
        <v>0</v>
      </c>
      <c r="F4446">
        <v>0</v>
      </c>
      <c r="G4446">
        <v>0</v>
      </c>
    </row>
    <row r="4447" spans="1:7" x14ac:dyDescent="0.2">
      <c r="A4447" t="s">
        <v>4290</v>
      </c>
      <c r="B4447">
        <v>0</v>
      </c>
      <c r="C4447">
        <v>0</v>
      </c>
      <c r="D4447">
        <v>0</v>
      </c>
      <c r="E4447">
        <v>0</v>
      </c>
      <c r="F4447">
        <v>0</v>
      </c>
      <c r="G4447">
        <v>0</v>
      </c>
    </row>
    <row r="4448" spans="1:7" x14ac:dyDescent="0.2">
      <c r="A4448" t="s">
        <v>4291</v>
      </c>
      <c r="B4448">
        <v>0</v>
      </c>
      <c r="C4448">
        <v>0</v>
      </c>
      <c r="D4448">
        <v>0</v>
      </c>
      <c r="E4448">
        <v>0</v>
      </c>
      <c r="F4448">
        <v>0</v>
      </c>
      <c r="G4448">
        <v>0</v>
      </c>
    </row>
    <row r="4449" spans="1:7" x14ac:dyDescent="0.2">
      <c r="A4449" t="s">
        <v>4292</v>
      </c>
      <c r="B4449">
        <v>0</v>
      </c>
      <c r="C4449">
        <v>0</v>
      </c>
      <c r="D4449">
        <v>0</v>
      </c>
      <c r="E4449">
        <v>0</v>
      </c>
      <c r="F4449">
        <v>0</v>
      </c>
      <c r="G4449">
        <v>0</v>
      </c>
    </row>
    <row r="4450" spans="1:7" x14ac:dyDescent="0.2">
      <c r="A4450" t="s">
        <v>4293</v>
      </c>
      <c r="B4450">
        <v>0</v>
      </c>
      <c r="C4450">
        <v>0</v>
      </c>
      <c r="D4450">
        <v>0</v>
      </c>
      <c r="E4450">
        <v>0</v>
      </c>
      <c r="F4450">
        <v>0</v>
      </c>
      <c r="G4450">
        <v>0</v>
      </c>
    </row>
    <row r="4451" spans="1:7" x14ac:dyDescent="0.2">
      <c r="A4451" t="s">
        <v>4294</v>
      </c>
      <c r="B4451">
        <v>0</v>
      </c>
      <c r="C4451">
        <v>0</v>
      </c>
      <c r="D4451">
        <v>0</v>
      </c>
      <c r="E4451">
        <v>0</v>
      </c>
      <c r="F4451">
        <v>0</v>
      </c>
      <c r="G4451">
        <v>0</v>
      </c>
    </row>
    <row r="4452" spans="1:7" x14ac:dyDescent="0.2">
      <c r="A4452" t="s">
        <v>4295</v>
      </c>
      <c r="B4452">
        <v>0</v>
      </c>
      <c r="C4452">
        <v>0</v>
      </c>
      <c r="D4452">
        <v>0</v>
      </c>
      <c r="E4452">
        <v>0</v>
      </c>
      <c r="F4452">
        <v>0</v>
      </c>
      <c r="G4452">
        <v>0</v>
      </c>
    </row>
    <row r="4453" spans="1:7" x14ac:dyDescent="0.2">
      <c r="A4453" t="s">
        <v>4296</v>
      </c>
      <c r="B4453">
        <v>0</v>
      </c>
      <c r="C4453">
        <v>0</v>
      </c>
      <c r="D4453">
        <v>0</v>
      </c>
      <c r="E4453">
        <v>0</v>
      </c>
      <c r="F4453">
        <v>0</v>
      </c>
      <c r="G4453">
        <v>0</v>
      </c>
    </row>
    <row r="4454" spans="1:7" x14ac:dyDescent="0.2">
      <c r="A4454" t="s">
        <v>4297</v>
      </c>
      <c r="B4454">
        <v>21</v>
      </c>
      <c r="C4454">
        <v>100</v>
      </c>
      <c r="D4454">
        <v>346</v>
      </c>
      <c r="E4454">
        <v>61</v>
      </c>
      <c r="F4454">
        <v>0</v>
      </c>
      <c r="G4454">
        <v>529</v>
      </c>
    </row>
    <row r="4455" spans="1:7" x14ac:dyDescent="0.2">
      <c r="A4455" t="s">
        <v>4298</v>
      </c>
      <c r="B4455">
        <v>14</v>
      </c>
      <c r="C4455">
        <v>77</v>
      </c>
      <c r="D4455">
        <v>45</v>
      </c>
      <c r="E4455">
        <v>34</v>
      </c>
      <c r="F4455">
        <v>0</v>
      </c>
      <c r="G4455">
        <v>169</v>
      </c>
    </row>
    <row r="4456" spans="1:7" x14ac:dyDescent="0.2">
      <c r="A4456" t="s">
        <v>4299</v>
      </c>
      <c r="B4456">
        <v>44</v>
      </c>
      <c r="C4456">
        <v>171</v>
      </c>
      <c r="D4456">
        <v>136</v>
      </c>
      <c r="E4456">
        <v>134</v>
      </c>
      <c r="F4456">
        <v>0</v>
      </c>
      <c r="G4456">
        <v>485</v>
      </c>
    </row>
    <row r="4457" spans="1:7" x14ac:dyDescent="0.2">
      <c r="A4457" t="s">
        <v>4300</v>
      </c>
      <c r="B4457">
        <v>1</v>
      </c>
      <c r="C4457">
        <v>3</v>
      </c>
      <c r="D4457">
        <v>4</v>
      </c>
      <c r="E4457">
        <v>3</v>
      </c>
      <c r="F4457">
        <v>0</v>
      </c>
      <c r="G4457">
        <v>10</v>
      </c>
    </row>
    <row r="4458" spans="1:7" x14ac:dyDescent="0.2">
      <c r="A4458" t="s">
        <v>4301</v>
      </c>
      <c r="B4458">
        <v>0</v>
      </c>
      <c r="C4458">
        <v>311</v>
      </c>
      <c r="D4458">
        <v>804</v>
      </c>
      <c r="E4458">
        <v>420</v>
      </c>
      <c r="F4458">
        <v>0</v>
      </c>
      <c r="G4458">
        <v>1535</v>
      </c>
    </row>
    <row r="4459" spans="1:7" x14ac:dyDescent="0.2">
      <c r="A4459" t="s">
        <v>4302</v>
      </c>
      <c r="B4459">
        <v>5</v>
      </c>
      <c r="C4459">
        <v>74</v>
      </c>
      <c r="D4459">
        <v>187</v>
      </c>
      <c r="E4459">
        <v>8</v>
      </c>
      <c r="F4459">
        <v>0</v>
      </c>
      <c r="G4459">
        <v>274</v>
      </c>
    </row>
    <row r="4460" spans="1:7" x14ac:dyDescent="0.2">
      <c r="A4460" t="s">
        <v>4303</v>
      </c>
      <c r="B4460">
        <v>5</v>
      </c>
      <c r="C4460">
        <v>67</v>
      </c>
      <c r="D4460">
        <v>244</v>
      </c>
      <c r="E4460">
        <v>6</v>
      </c>
      <c r="F4460">
        <v>0</v>
      </c>
      <c r="G4460">
        <v>323</v>
      </c>
    </row>
    <row r="4461" spans="1:7" x14ac:dyDescent="0.2">
      <c r="A4461" t="s">
        <v>4304</v>
      </c>
      <c r="B4461">
        <v>14</v>
      </c>
      <c r="C4461">
        <v>22</v>
      </c>
      <c r="D4461">
        <v>65</v>
      </c>
      <c r="E4461">
        <v>151</v>
      </c>
      <c r="F4461">
        <v>0</v>
      </c>
      <c r="G4461">
        <v>252</v>
      </c>
    </row>
    <row r="4462" spans="1:7" x14ac:dyDescent="0.2">
      <c r="A4462" t="s">
        <v>4305</v>
      </c>
      <c r="B4462">
        <v>0</v>
      </c>
      <c r="C4462">
        <v>119</v>
      </c>
      <c r="D4462">
        <v>219</v>
      </c>
      <c r="E4462">
        <v>29</v>
      </c>
      <c r="F4462">
        <v>0</v>
      </c>
      <c r="G4462">
        <v>367</v>
      </c>
    </row>
    <row r="4463" spans="1:7" x14ac:dyDescent="0.2">
      <c r="A4463" t="s">
        <v>4306</v>
      </c>
      <c r="B4463">
        <v>2</v>
      </c>
      <c r="C4463">
        <v>36</v>
      </c>
      <c r="D4463">
        <v>7</v>
      </c>
      <c r="E4463">
        <v>7</v>
      </c>
      <c r="F4463">
        <v>0</v>
      </c>
      <c r="G4463">
        <v>52</v>
      </c>
    </row>
    <row r="4464" spans="1:7" x14ac:dyDescent="0.2">
      <c r="A4464" t="s">
        <v>4307</v>
      </c>
      <c r="B4464">
        <v>15</v>
      </c>
      <c r="C4464">
        <v>110</v>
      </c>
      <c r="D4464">
        <v>298</v>
      </c>
      <c r="E4464">
        <v>103</v>
      </c>
      <c r="F4464">
        <v>0</v>
      </c>
      <c r="G4464">
        <v>526</v>
      </c>
    </row>
    <row r="4465" spans="1:7" x14ac:dyDescent="0.2">
      <c r="A4465" t="s">
        <v>4308</v>
      </c>
      <c r="B4465">
        <v>0</v>
      </c>
      <c r="C4465">
        <v>0</v>
      </c>
      <c r="D4465">
        <v>0</v>
      </c>
      <c r="E4465">
        <v>0</v>
      </c>
      <c r="F4465">
        <v>0</v>
      </c>
      <c r="G4465">
        <v>0</v>
      </c>
    </row>
    <row r="4466" spans="1:7" x14ac:dyDescent="0.2">
      <c r="A4466" t="s">
        <v>4309</v>
      </c>
      <c r="B4466">
        <v>0</v>
      </c>
      <c r="C4466">
        <v>0</v>
      </c>
      <c r="D4466">
        <v>0</v>
      </c>
      <c r="E4466">
        <v>0</v>
      </c>
      <c r="F4466">
        <v>0</v>
      </c>
      <c r="G4466">
        <v>0</v>
      </c>
    </row>
    <row r="4467" spans="1:7" x14ac:dyDescent="0.2">
      <c r="A4467" t="s">
        <v>4310</v>
      </c>
      <c r="B4467">
        <v>0</v>
      </c>
      <c r="C4467">
        <v>0</v>
      </c>
      <c r="D4467">
        <v>0</v>
      </c>
      <c r="E4467">
        <v>0</v>
      </c>
      <c r="F4467">
        <v>0</v>
      </c>
      <c r="G4467">
        <v>0</v>
      </c>
    </row>
    <row r="4468" spans="1:7" x14ac:dyDescent="0.2">
      <c r="A4468" t="s">
        <v>4311</v>
      </c>
      <c r="B4468">
        <v>0</v>
      </c>
      <c r="C4468">
        <v>0</v>
      </c>
      <c r="D4468">
        <v>0</v>
      </c>
      <c r="E4468">
        <v>2</v>
      </c>
      <c r="F4468">
        <v>0</v>
      </c>
      <c r="G4468">
        <v>2</v>
      </c>
    </row>
    <row r="4469" spans="1:7" x14ac:dyDescent="0.2">
      <c r="A4469" t="s">
        <v>4312</v>
      </c>
      <c r="B4469">
        <v>0</v>
      </c>
      <c r="C4469">
        <v>0</v>
      </c>
      <c r="D4469">
        <v>0</v>
      </c>
      <c r="E4469">
        <v>17</v>
      </c>
      <c r="F4469">
        <v>0</v>
      </c>
      <c r="G4469">
        <v>17</v>
      </c>
    </row>
    <row r="4470" spans="1:7" x14ac:dyDescent="0.2">
      <c r="A4470" t="s">
        <v>4313</v>
      </c>
      <c r="B4470">
        <v>0</v>
      </c>
      <c r="C4470">
        <v>0</v>
      </c>
      <c r="D4470">
        <v>0</v>
      </c>
      <c r="E4470">
        <v>0</v>
      </c>
      <c r="F4470">
        <v>0</v>
      </c>
      <c r="G4470">
        <v>0</v>
      </c>
    </row>
    <row r="4471" spans="1:7" x14ac:dyDescent="0.2">
      <c r="A4471" t="s">
        <v>4314</v>
      </c>
      <c r="B4471">
        <v>0</v>
      </c>
      <c r="C4471">
        <v>0</v>
      </c>
      <c r="D4471">
        <v>0</v>
      </c>
      <c r="E4471">
        <v>0</v>
      </c>
      <c r="F4471">
        <v>18</v>
      </c>
      <c r="G4471">
        <v>18</v>
      </c>
    </row>
    <row r="4472" spans="1:7" x14ac:dyDescent="0.2">
      <c r="A4472" t="s">
        <v>4315</v>
      </c>
      <c r="B4472">
        <v>0</v>
      </c>
      <c r="C4472">
        <v>0</v>
      </c>
      <c r="D4472">
        <v>0</v>
      </c>
      <c r="E4472">
        <v>0</v>
      </c>
      <c r="F4472">
        <v>0</v>
      </c>
      <c r="G4472">
        <v>0</v>
      </c>
    </row>
    <row r="4473" spans="1:7" x14ac:dyDescent="0.2">
      <c r="A4473" t="s">
        <v>4316</v>
      </c>
      <c r="B4473">
        <v>0</v>
      </c>
      <c r="C4473">
        <v>0</v>
      </c>
      <c r="D4473">
        <v>0</v>
      </c>
      <c r="E4473">
        <v>0</v>
      </c>
      <c r="F4473">
        <v>0</v>
      </c>
      <c r="G4473">
        <v>0</v>
      </c>
    </row>
    <row r="4474" spans="1:7" x14ac:dyDescent="0.2">
      <c r="A4474" t="s">
        <v>4317</v>
      </c>
      <c r="B4474">
        <v>0</v>
      </c>
      <c r="C4474">
        <v>0</v>
      </c>
      <c r="D4474">
        <v>0</v>
      </c>
      <c r="E4474">
        <v>0</v>
      </c>
      <c r="F4474">
        <v>0</v>
      </c>
      <c r="G4474">
        <v>0</v>
      </c>
    </row>
    <row r="4475" spans="1:7" x14ac:dyDescent="0.2">
      <c r="A4475" t="s">
        <v>4318</v>
      </c>
      <c r="B4475">
        <v>0</v>
      </c>
      <c r="C4475">
        <v>0</v>
      </c>
      <c r="D4475">
        <v>0</v>
      </c>
      <c r="E4475">
        <v>0</v>
      </c>
      <c r="F4475">
        <v>0</v>
      </c>
      <c r="G4475">
        <v>0</v>
      </c>
    </row>
    <row r="4476" spans="1:7" x14ac:dyDescent="0.2">
      <c r="A4476" t="s">
        <v>4319</v>
      </c>
      <c r="B4476">
        <v>0</v>
      </c>
      <c r="C4476">
        <v>0</v>
      </c>
      <c r="D4476">
        <v>0</v>
      </c>
      <c r="E4476">
        <v>0</v>
      </c>
      <c r="F4476">
        <v>0</v>
      </c>
      <c r="G4476">
        <v>0</v>
      </c>
    </row>
    <row r="4477" spans="1:7" x14ac:dyDescent="0.2">
      <c r="A4477" t="s">
        <v>4320</v>
      </c>
      <c r="B4477">
        <v>0</v>
      </c>
      <c r="C4477">
        <v>0</v>
      </c>
      <c r="D4477">
        <v>0</v>
      </c>
      <c r="E4477">
        <v>0</v>
      </c>
      <c r="F4477">
        <v>0</v>
      </c>
      <c r="G4477">
        <v>0</v>
      </c>
    </row>
    <row r="4478" spans="1:7" x14ac:dyDescent="0.2">
      <c r="A4478" t="s">
        <v>4321</v>
      </c>
      <c r="B4478">
        <v>0</v>
      </c>
      <c r="C4478">
        <v>0</v>
      </c>
      <c r="D4478">
        <v>0</v>
      </c>
      <c r="E4478">
        <v>0</v>
      </c>
      <c r="F4478">
        <v>0</v>
      </c>
      <c r="G4478">
        <v>0</v>
      </c>
    </row>
    <row r="4479" spans="1:7" x14ac:dyDescent="0.2">
      <c r="A4479" t="s">
        <v>4322</v>
      </c>
      <c r="B4479">
        <v>0</v>
      </c>
      <c r="C4479">
        <v>0</v>
      </c>
      <c r="D4479">
        <v>0</v>
      </c>
      <c r="E4479">
        <v>0</v>
      </c>
      <c r="F4479">
        <v>0</v>
      </c>
      <c r="G4479">
        <v>0</v>
      </c>
    </row>
    <row r="4480" spans="1:7" x14ac:dyDescent="0.2">
      <c r="A4480" t="s">
        <v>4323</v>
      </c>
      <c r="B4480">
        <v>0</v>
      </c>
      <c r="C4480">
        <v>0</v>
      </c>
      <c r="D4480">
        <v>0</v>
      </c>
      <c r="E4480">
        <v>0</v>
      </c>
      <c r="F4480">
        <v>0</v>
      </c>
      <c r="G4480">
        <v>0</v>
      </c>
    </row>
    <row r="4481" spans="1:7" x14ac:dyDescent="0.2">
      <c r="A4481" t="s">
        <v>4324</v>
      </c>
      <c r="B4481">
        <v>0</v>
      </c>
      <c r="C4481">
        <v>0</v>
      </c>
      <c r="D4481">
        <v>0</v>
      </c>
      <c r="E4481">
        <v>0</v>
      </c>
      <c r="F4481">
        <v>0</v>
      </c>
      <c r="G4481">
        <v>0</v>
      </c>
    </row>
    <row r="4482" spans="1:7" x14ac:dyDescent="0.2">
      <c r="A4482" t="s">
        <v>4325</v>
      </c>
      <c r="B4482">
        <v>0</v>
      </c>
      <c r="C4482">
        <v>0</v>
      </c>
      <c r="D4482">
        <v>0</v>
      </c>
      <c r="E4482">
        <v>0</v>
      </c>
      <c r="F4482">
        <v>0</v>
      </c>
      <c r="G4482">
        <v>0</v>
      </c>
    </row>
    <row r="4483" spans="1:7" x14ac:dyDescent="0.2">
      <c r="A4483" t="s">
        <v>4326</v>
      </c>
      <c r="B4483">
        <v>0</v>
      </c>
      <c r="C4483">
        <v>0</v>
      </c>
      <c r="D4483">
        <v>0</v>
      </c>
      <c r="E4483">
        <v>0</v>
      </c>
      <c r="F4483">
        <v>0</v>
      </c>
      <c r="G4483">
        <v>0</v>
      </c>
    </row>
    <row r="4484" spans="1:7" x14ac:dyDescent="0.2">
      <c r="A4484" t="s">
        <v>4327</v>
      </c>
      <c r="B4484">
        <v>0</v>
      </c>
      <c r="C4484">
        <v>0</v>
      </c>
      <c r="D4484">
        <v>0</v>
      </c>
      <c r="E4484">
        <v>145</v>
      </c>
      <c r="F4484">
        <v>38</v>
      </c>
      <c r="G4484">
        <v>184</v>
      </c>
    </row>
    <row r="4485" spans="1:7" x14ac:dyDescent="0.2">
      <c r="A4485" t="s">
        <v>4328</v>
      </c>
      <c r="B4485">
        <v>0</v>
      </c>
      <c r="C4485">
        <v>0</v>
      </c>
      <c r="D4485">
        <v>0</v>
      </c>
      <c r="E4485">
        <v>0</v>
      </c>
      <c r="F4485">
        <v>0</v>
      </c>
      <c r="G4485">
        <v>0</v>
      </c>
    </row>
    <row r="4486" spans="1:7" x14ac:dyDescent="0.2">
      <c r="A4486" t="s">
        <v>4329</v>
      </c>
      <c r="B4486">
        <v>0</v>
      </c>
      <c r="C4486">
        <v>0</v>
      </c>
      <c r="D4486">
        <v>0</v>
      </c>
      <c r="E4486">
        <v>0</v>
      </c>
      <c r="F4486">
        <v>198</v>
      </c>
      <c r="G4486">
        <v>198</v>
      </c>
    </row>
    <row r="4487" spans="1:7" x14ac:dyDescent="0.2">
      <c r="A4487" t="s">
        <v>4330</v>
      </c>
      <c r="B4487">
        <v>0</v>
      </c>
      <c r="C4487">
        <v>0</v>
      </c>
      <c r="D4487">
        <v>0</v>
      </c>
      <c r="E4487">
        <v>0</v>
      </c>
      <c r="F4487">
        <v>0</v>
      </c>
      <c r="G4487">
        <v>0</v>
      </c>
    </row>
    <row r="4488" spans="1:7" x14ac:dyDescent="0.2">
      <c r="A4488" t="s">
        <v>4331</v>
      </c>
      <c r="B4488">
        <v>0</v>
      </c>
      <c r="C4488">
        <v>0</v>
      </c>
      <c r="D4488">
        <v>0</v>
      </c>
      <c r="E4488">
        <v>0</v>
      </c>
      <c r="F4488">
        <v>0</v>
      </c>
      <c r="G4488">
        <v>0</v>
      </c>
    </row>
    <row r="4489" spans="1:7" x14ac:dyDescent="0.2">
      <c r="A4489" t="s">
        <v>4332</v>
      </c>
      <c r="B4489">
        <v>0</v>
      </c>
      <c r="C4489">
        <v>0</v>
      </c>
      <c r="D4489">
        <v>0</v>
      </c>
      <c r="E4489">
        <v>5607</v>
      </c>
      <c r="F4489">
        <v>884</v>
      </c>
      <c r="G4489">
        <v>6492</v>
      </c>
    </row>
    <row r="4490" spans="1:7" x14ac:dyDescent="0.2">
      <c r="A4490" t="s">
        <v>4333</v>
      </c>
      <c r="B4490">
        <v>0</v>
      </c>
      <c r="C4490">
        <v>0</v>
      </c>
      <c r="D4490">
        <v>0</v>
      </c>
      <c r="E4490">
        <v>0</v>
      </c>
      <c r="F4490">
        <v>0</v>
      </c>
      <c r="G4490">
        <v>0</v>
      </c>
    </row>
    <row r="4491" spans="1:7" x14ac:dyDescent="0.2">
      <c r="A4491" t="s">
        <v>4334</v>
      </c>
      <c r="B4491">
        <v>0</v>
      </c>
      <c r="C4491">
        <v>0</v>
      </c>
      <c r="D4491">
        <v>0</v>
      </c>
      <c r="E4491">
        <v>0</v>
      </c>
      <c r="F4491">
        <v>0</v>
      </c>
      <c r="G4491">
        <v>0</v>
      </c>
    </row>
    <row r="4492" spans="1:7" x14ac:dyDescent="0.2">
      <c r="A4492" t="s">
        <v>4335</v>
      </c>
      <c r="B4492">
        <v>0</v>
      </c>
      <c r="C4492">
        <v>0</v>
      </c>
      <c r="D4492">
        <v>0</v>
      </c>
      <c r="E4492">
        <v>0</v>
      </c>
      <c r="F4492">
        <v>0</v>
      </c>
      <c r="G4492">
        <v>0</v>
      </c>
    </row>
    <row r="4493" spans="1:7" x14ac:dyDescent="0.2">
      <c r="A4493" t="s">
        <v>4336</v>
      </c>
      <c r="B4493">
        <v>0</v>
      </c>
      <c r="C4493">
        <v>0</v>
      </c>
      <c r="D4493">
        <v>0</v>
      </c>
      <c r="E4493">
        <v>0</v>
      </c>
      <c r="F4493">
        <v>0</v>
      </c>
      <c r="G4493">
        <v>0</v>
      </c>
    </row>
    <row r="4494" spans="1:7" x14ac:dyDescent="0.2">
      <c r="A4494" t="s">
        <v>4337</v>
      </c>
      <c r="B4494">
        <v>0</v>
      </c>
      <c r="C4494">
        <v>0</v>
      </c>
      <c r="D4494">
        <v>0</v>
      </c>
      <c r="E4494">
        <v>0</v>
      </c>
      <c r="F4494">
        <v>0</v>
      </c>
      <c r="G4494">
        <v>0</v>
      </c>
    </row>
    <row r="4495" spans="1:7" x14ac:dyDescent="0.2">
      <c r="A4495" t="s">
        <v>4338</v>
      </c>
      <c r="B4495">
        <v>0</v>
      </c>
      <c r="C4495">
        <v>0</v>
      </c>
      <c r="D4495">
        <v>0</v>
      </c>
      <c r="E4495">
        <v>68</v>
      </c>
      <c r="F4495">
        <v>111</v>
      </c>
      <c r="G4495">
        <v>179</v>
      </c>
    </row>
    <row r="4496" spans="1:7" x14ac:dyDescent="0.2">
      <c r="A4496" t="s">
        <v>4339</v>
      </c>
      <c r="B4496">
        <v>0</v>
      </c>
      <c r="C4496">
        <v>0</v>
      </c>
      <c r="D4496">
        <v>0</v>
      </c>
      <c r="E4496">
        <v>0</v>
      </c>
      <c r="F4496">
        <v>0</v>
      </c>
      <c r="G4496">
        <v>0</v>
      </c>
    </row>
    <row r="4497" spans="1:7" x14ac:dyDescent="0.2">
      <c r="A4497" t="s">
        <v>4340</v>
      </c>
      <c r="B4497">
        <v>0</v>
      </c>
      <c r="C4497">
        <v>0</v>
      </c>
      <c r="D4497">
        <v>0</v>
      </c>
      <c r="E4497">
        <v>0</v>
      </c>
      <c r="F4497">
        <v>0</v>
      </c>
      <c r="G4497">
        <v>0</v>
      </c>
    </row>
    <row r="4498" spans="1:7" x14ac:dyDescent="0.2">
      <c r="A4498" t="s">
        <v>4341</v>
      </c>
      <c r="B4498">
        <v>0</v>
      </c>
      <c r="C4498">
        <v>0</v>
      </c>
      <c r="D4498">
        <v>0</v>
      </c>
      <c r="E4498">
        <v>0</v>
      </c>
      <c r="F4498">
        <v>0</v>
      </c>
      <c r="G4498">
        <v>0</v>
      </c>
    </row>
    <row r="4499" spans="1:7" x14ac:dyDescent="0.2">
      <c r="A4499" t="s">
        <v>4342</v>
      </c>
      <c r="B4499">
        <v>0</v>
      </c>
      <c r="C4499">
        <v>0</v>
      </c>
      <c r="D4499">
        <v>0</v>
      </c>
      <c r="E4499">
        <v>0</v>
      </c>
      <c r="F4499">
        <v>0</v>
      </c>
      <c r="G4499">
        <v>0</v>
      </c>
    </row>
    <row r="4500" spans="1:7" x14ac:dyDescent="0.2">
      <c r="A4500" t="s">
        <v>4343</v>
      </c>
      <c r="B4500">
        <v>0</v>
      </c>
      <c r="C4500">
        <v>0</v>
      </c>
      <c r="D4500">
        <v>0</v>
      </c>
      <c r="E4500">
        <v>0</v>
      </c>
      <c r="F4500">
        <v>0</v>
      </c>
      <c r="G4500">
        <v>0</v>
      </c>
    </row>
    <row r="4501" spans="1:7" x14ac:dyDescent="0.2">
      <c r="A4501" t="s">
        <v>1728</v>
      </c>
      <c r="B4501">
        <v>0</v>
      </c>
      <c r="C4501">
        <v>0</v>
      </c>
      <c r="D4501">
        <v>0</v>
      </c>
      <c r="E4501">
        <v>0</v>
      </c>
      <c r="F4501">
        <v>0</v>
      </c>
      <c r="G4501">
        <v>0</v>
      </c>
    </row>
    <row r="4502" spans="1:7" x14ac:dyDescent="0.2">
      <c r="A4502" t="s">
        <v>1730</v>
      </c>
      <c r="B4502">
        <v>0</v>
      </c>
      <c r="C4502">
        <v>0</v>
      </c>
      <c r="D4502">
        <v>2</v>
      </c>
      <c r="E4502">
        <v>1</v>
      </c>
      <c r="F4502">
        <v>16</v>
      </c>
      <c r="G4502">
        <v>19</v>
      </c>
    </row>
    <row r="4503" spans="1:7" x14ac:dyDescent="0.2">
      <c r="A4503" t="s">
        <v>1733</v>
      </c>
      <c r="B4503">
        <v>0</v>
      </c>
      <c r="C4503">
        <v>0</v>
      </c>
      <c r="D4503">
        <v>0</v>
      </c>
      <c r="E4503">
        <v>0</v>
      </c>
      <c r="F4503">
        <v>0</v>
      </c>
      <c r="G4503">
        <v>0</v>
      </c>
    </row>
    <row r="4504" spans="1:7" x14ac:dyDescent="0.2">
      <c r="A4504" t="s">
        <v>1738</v>
      </c>
      <c r="B4504">
        <v>0</v>
      </c>
      <c r="C4504">
        <v>0</v>
      </c>
      <c r="D4504">
        <v>0</v>
      </c>
      <c r="E4504">
        <v>0</v>
      </c>
      <c r="F4504">
        <v>0</v>
      </c>
      <c r="G4504">
        <v>0</v>
      </c>
    </row>
    <row r="4505" spans="1:7" x14ac:dyDescent="0.2">
      <c r="A4505" t="s">
        <v>1744</v>
      </c>
      <c r="B4505">
        <v>0</v>
      </c>
      <c r="C4505">
        <v>0</v>
      </c>
      <c r="D4505">
        <v>0</v>
      </c>
      <c r="E4505">
        <v>0</v>
      </c>
      <c r="F4505">
        <v>0</v>
      </c>
      <c r="G4505">
        <v>0</v>
      </c>
    </row>
    <row r="4506" spans="1:7" x14ac:dyDescent="0.2">
      <c r="A4506" t="s">
        <v>1747</v>
      </c>
      <c r="B4506">
        <v>0</v>
      </c>
      <c r="C4506">
        <v>0</v>
      </c>
      <c r="D4506">
        <v>0</v>
      </c>
      <c r="E4506">
        <v>0</v>
      </c>
      <c r="F4506">
        <v>0</v>
      </c>
      <c r="G4506">
        <v>0</v>
      </c>
    </row>
    <row r="4507" spans="1:7" x14ac:dyDescent="0.2">
      <c r="A4507" t="s">
        <v>1751</v>
      </c>
      <c r="B4507">
        <v>0</v>
      </c>
      <c r="C4507">
        <v>0</v>
      </c>
      <c r="D4507">
        <v>0</v>
      </c>
      <c r="E4507">
        <v>0</v>
      </c>
      <c r="F4507">
        <v>0</v>
      </c>
      <c r="G4507">
        <v>0</v>
      </c>
    </row>
    <row r="4508" spans="1:7" x14ac:dyDescent="0.2">
      <c r="A4508" t="s">
        <v>1755</v>
      </c>
      <c r="B4508">
        <v>0</v>
      </c>
      <c r="C4508">
        <v>0</v>
      </c>
      <c r="D4508">
        <v>0</v>
      </c>
      <c r="E4508">
        <v>2</v>
      </c>
      <c r="F4508">
        <v>0</v>
      </c>
      <c r="G4508">
        <v>2</v>
      </c>
    </row>
    <row r="4509" spans="1:7" x14ac:dyDescent="0.2">
      <c r="A4509" t="s">
        <v>1757</v>
      </c>
      <c r="B4509">
        <v>0</v>
      </c>
      <c r="C4509">
        <v>0</v>
      </c>
      <c r="D4509">
        <v>0</v>
      </c>
      <c r="E4509">
        <v>1</v>
      </c>
      <c r="F4509">
        <v>0</v>
      </c>
      <c r="G4509">
        <v>1</v>
      </c>
    </row>
    <row r="4510" spans="1:7" x14ac:dyDescent="0.2">
      <c r="A4510" t="s">
        <v>1761</v>
      </c>
      <c r="B4510">
        <v>0</v>
      </c>
      <c r="C4510">
        <v>0</v>
      </c>
      <c r="D4510">
        <v>0</v>
      </c>
      <c r="E4510">
        <v>0</v>
      </c>
      <c r="F4510">
        <v>0</v>
      </c>
      <c r="G4510">
        <v>0</v>
      </c>
    </row>
    <row r="4511" spans="1:7" x14ac:dyDescent="0.2">
      <c r="A4511" t="s">
        <v>1764</v>
      </c>
      <c r="B4511">
        <v>0</v>
      </c>
      <c r="C4511">
        <v>0</v>
      </c>
      <c r="D4511">
        <v>0</v>
      </c>
      <c r="E4511">
        <v>0</v>
      </c>
      <c r="F4511">
        <v>0</v>
      </c>
      <c r="G4511">
        <v>0</v>
      </c>
    </row>
    <row r="4512" spans="1:7" x14ac:dyDescent="0.2">
      <c r="A4512" t="s">
        <v>1770</v>
      </c>
      <c r="B4512">
        <v>0</v>
      </c>
      <c r="C4512">
        <v>4</v>
      </c>
      <c r="D4512">
        <v>42</v>
      </c>
      <c r="E4512">
        <v>107</v>
      </c>
      <c r="F4512">
        <v>0</v>
      </c>
      <c r="G4512">
        <v>154</v>
      </c>
    </row>
    <row r="4513" spans="1:7" x14ac:dyDescent="0.2">
      <c r="A4513" t="s">
        <v>1772</v>
      </c>
      <c r="B4513">
        <v>0</v>
      </c>
      <c r="C4513">
        <v>1</v>
      </c>
      <c r="D4513">
        <v>0</v>
      </c>
      <c r="E4513">
        <v>10</v>
      </c>
      <c r="F4513">
        <v>0</v>
      </c>
      <c r="G4513">
        <v>11</v>
      </c>
    </row>
    <row r="4514" spans="1:7" x14ac:dyDescent="0.2">
      <c r="A4514" t="s">
        <v>1774</v>
      </c>
      <c r="B4514">
        <v>0</v>
      </c>
      <c r="C4514">
        <v>0</v>
      </c>
      <c r="D4514">
        <v>0</v>
      </c>
      <c r="E4514">
        <v>0</v>
      </c>
      <c r="F4514">
        <v>0</v>
      </c>
      <c r="G4514">
        <v>0</v>
      </c>
    </row>
    <row r="4515" spans="1:7" x14ac:dyDescent="0.2">
      <c r="A4515" t="s">
        <v>1777</v>
      </c>
      <c r="B4515">
        <v>0</v>
      </c>
      <c r="C4515">
        <v>0</v>
      </c>
      <c r="D4515">
        <v>0</v>
      </c>
      <c r="E4515">
        <v>0</v>
      </c>
      <c r="F4515">
        <v>0</v>
      </c>
      <c r="G4515">
        <v>0</v>
      </c>
    </row>
    <row r="4516" spans="1:7" x14ac:dyDescent="0.2">
      <c r="A4516" t="s">
        <v>1782</v>
      </c>
      <c r="B4516">
        <v>0</v>
      </c>
      <c r="C4516">
        <v>0</v>
      </c>
      <c r="D4516">
        <v>0</v>
      </c>
      <c r="E4516">
        <v>0</v>
      </c>
      <c r="F4516">
        <v>0</v>
      </c>
      <c r="G4516">
        <v>0</v>
      </c>
    </row>
    <row r="4517" spans="1:7" x14ac:dyDescent="0.2">
      <c r="A4517" t="s">
        <v>1274</v>
      </c>
      <c r="B4517">
        <v>0</v>
      </c>
      <c r="C4517">
        <v>0</v>
      </c>
      <c r="D4517">
        <v>0</v>
      </c>
      <c r="E4517">
        <v>2</v>
      </c>
      <c r="F4517">
        <v>0</v>
      </c>
      <c r="G4517">
        <v>2</v>
      </c>
    </row>
    <row r="4518" spans="1:7" x14ac:dyDescent="0.2">
      <c r="A4518" t="s">
        <v>1277</v>
      </c>
      <c r="B4518">
        <v>0</v>
      </c>
      <c r="C4518">
        <v>0</v>
      </c>
      <c r="D4518">
        <v>0</v>
      </c>
      <c r="E4518">
        <v>13</v>
      </c>
      <c r="F4518">
        <v>0</v>
      </c>
      <c r="G4518">
        <v>13</v>
      </c>
    </row>
    <row r="4519" spans="1:7" x14ac:dyDescent="0.2">
      <c r="A4519" t="s">
        <v>1798</v>
      </c>
      <c r="B4519">
        <v>0</v>
      </c>
      <c r="C4519">
        <v>0</v>
      </c>
      <c r="D4519">
        <v>0</v>
      </c>
      <c r="E4519">
        <v>0</v>
      </c>
      <c r="F4519">
        <v>0</v>
      </c>
      <c r="G4519">
        <v>0</v>
      </c>
    </row>
    <row r="4520" spans="1:7" x14ac:dyDescent="0.2">
      <c r="A4520" t="s">
        <v>1803</v>
      </c>
      <c r="B4520">
        <v>0</v>
      </c>
      <c r="C4520">
        <v>0</v>
      </c>
      <c r="D4520">
        <v>0</v>
      </c>
      <c r="E4520">
        <v>0</v>
      </c>
      <c r="F4520">
        <v>0</v>
      </c>
      <c r="G4520">
        <v>0</v>
      </c>
    </row>
    <row r="4521" spans="1:7" x14ac:dyDescent="0.2">
      <c r="A4521" t="s">
        <v>1808</v>
      </c>
      <c r="B4521">
        <v>0</v>
      </c>
      <c r="C4521">
        <v>0</v>
      </c>
      <c r="D4521">
        <v>0</v>
      </c>
      <c r="E4521">
        <v>0</v>
      </c>
      <c r="F4521">
        <v>0</v>
      </c>
      <c r="G4521">
        <v>0</v>
      </c>
    </row>
    <row r="4522" spans="1:7" x14ac:dyDescent="0.2">
      <c r="A4522" t="s">
        <v>1813</v>
      </c>
      <c r="B4522">
        <v>0</v>
      </c>
      <c r="C4522">
        <v>0</v>
      </c>
      <c r="D4522">
        <v>0</v>
      </c>
      <c r="E4522">
        <v>0</v>
      </c>
      <c r="F4522">
        <v>0</v>
      </c>
      <c r="G4522">
        <v>0</v>
      </c>
    </row>
    <row r="4523" spans="1:7" x14ac:dyDescent="0.2">
      <c r="A4523" t="s">
        <v>1819</v>
      </c>
      <c r="B4523">
        <v>0</v>
      </c>
      <c r="C4523">
        <v>0</v>
      </c>
      <c r="D4523">
        <v>0</v>
      </c>
      <c r="E4523">
        <v>0</v>
      </c>
      <c r="F4523">
        <v>0</v>
      </c>
      <c r="G4523">
        <v>0</v>
      </c>
    </row>
    <row r="4524" spans="1:7" x14ac:dyDescent="0.2">
      <c r="A4524" t="s">
        <v>1826</v>
      </c>
      <c r="B4524">
        <v>0</v>
      </c>
      <c r="C4524">
        <v>0</v>
      </c>
      <c r="D4524">
        <v>0</v>
      </c>
      <c r="E4524">
        <v>0</v>
      </c>
      <c r="F4524">
        <v>0</v>
      </c>
      <c r="G4524">
        <v>0</v>
      </c>
    </row>
    <row r="4525" spans="1:7" x14ac:dyDescent="0.2">
      <c r="A4525" t="s">
        <v>1830</v>
      </c>
      <c r="B4525">
        <v>0</v>
      </c>
      <c r="C4525">
        <v>0</v>
      </c>
      <c r="D4525">
        <v>0</v>
      </c>
      <c r="E4525">
        <v>0</v>
      </c>
      <c r="F4525">
        <v>0</v>
      </c>
      <c r="G4525">
        <v>0</v>
      </c>
    </row>
    <row r="4526" spans="1:7" x14ac:dyDescent="0.2">
      <c r="A4526" t="s">
        <v>1836</v>
      </c>
      <c r="B4526">
        <v>0</v>
      </c>
      <c r="C4526">
        <v>0</v>
      </c>
      <c r="D4526">
        <v>0</v>
      </c>
      <c r="E4526">
        <v>0</v>
      </c>
      <c r="F4526">
        <v>0</v>
      </c>
      <c r="G4526">
        <v>0</v>
      </c>
    </row>
    <row r="4527" spans="1:7" x14ac:dyDescent="0.2">
      <c r="A4527" t="s">
        <v>1841</v>
      </c>
      <c r="B4527">
        <v>0</v>
      </c>
      <c r="C4527">
        <v>0</v>
      </c>
      <c r="D4527">
        <v>0</v>
      </c>
      <c r="E4527">
        <v>0</v>
      </c>
      <c r="F4527">
        <v>0</v>
      </c>
      <c r="G4527">
        <v>0</v>
      </c>
    </row>
    <row r="4528" spans="1:7" x14ac:dyDescent="0.2">
      <c r="A4528" t="s">
        <v>1842</v>
      </c>
      <c r="B4528">
        <v>0</v>
      </c>
      <c r="C4528">
        <v>0</v>
      </c>
      <c r="D4528">
        <v>0</v>
      </c>
      <c r="E4528">
        <v>0</v>
      </c>
      <c r="F4528">
        <v>0</v>
      </c>
      <c r="G4528">
        <v>0</v>
      </c>
    </row>
    <row r="4529" spans="1:7" x14ac:dyDescent="0.2">
      <c r="A4529" t="s">
        <v>1843</v>
      </c>
      <c r="B4529">
        <v>0</v>
      </c>
      <c r="C4529">
        <v>0</v>
      </c>
      <c r="D4529">
        <v>0</v>
      </c>
      <c r="E4529">
        <v>0</v>
      </c>
      <c r="F4529">
        <v>0</v>
      </c>
      <c r="G4529">
        <v>0</v>
      </c>
    </row>
    <row r="4530" spans="1:7" x14ac:dyDescent="0.2">
      <c r="A4530" t="s">
        <v>1846</v>
      </c>
      <c r="B4530">
        <v>0</v>
      </c>
      <c r="C4530">
        <v>0</v>
      </c>
      <c r="D4530">
        <v>0</v>
      </c>
      <c r="E4530">
        <v>0</v>
      </c>
      <c r="F4530">
        <v>0</v>
      </c>
      <c r="G4530">
        <v>0</v>
      </c>
    </row>
    <row r="4531" spans="1:7" x14ac:dyDescent="0.2">
      <c r="A4531" t="s">
        <v>1851</v>
      </c>
      <c r="B4531">
        <v>0</v>
      </c>
      <c r="C4531">
        <v>0</v>
      </c>
      <c r="D4531">
        <v>0</v>
      </c>
      <c r="E4531">
        <v>9</v>
      </c>
      <c r="F4531">
        <v>0</v>
      </c>
      <c r="G4531">
        <v>9</v>
      </c>
    </row>
    <row r="4532" spans="1:7" x14ac:dyDescent="0.2">
      <c r="A4532" t="s">
        <v>1857</v>
      </c>
      <c r="B4532">
        <v>0</v>
      </c>
      <c r="C4532">
        <v>0</v>
      </c>
      <c r="D4532">
        <v>0</v>
      </c>
      <c r="E4532">
        <v>0</v>
      </c>
      <c r="F4532">
        <v>0</v>
      </c>
      <c r="G4532">
        <v>0</v>
      </c>
    </row>
    <row r="4533" spans="1:7" x14ac:dyDescent="0.2">
      <c r="A4533" t="s">
        <v>1862</v>
      </c>
      <c r="B4533">
        <v>0</v>
      </c>
      <c r="C4533">
        <v>0</v>
      </c>
      <c r="D4533">
        <v>0</v>
      </c>
      <c r="E4533">
        <v>0</v>
      </c>
      <c r="F4533">
        <v>0</v>
      </c>
      <c r="G4533">
        <v>0</v>
      </c>
    </row>
    <row r="4534" spans="1:7" x14ac:dyDescent="0.2">
      <c r="A4534" t="s">
        <v>1867</v>
      </c>
      <c r="B4534">
        <v>0</v>
      </c>
      <c r="C4534">
        <v>0</v>
      </c>
      <c r="D4534">
        <v>0</v>
      </c>
      <c r="E4534">
        <v>0</v>
      </c>
      <c r="F4534">
        <v>0</v>
      </c>
      <c r="G4534">
        <v>0</v>
      </c>
    </row>
    <row r="4535" spans="1:7" x14ac:dyDescent="0.2">
      <c r="A4535" t="s">
        <v>1870</v>
      </c>
      <c r="B4535">
        <v>0</v>
      </c>
      <c r="C4535">
        <v>0</v>
      </c>
      <c r="D4535">
        <v>0</v>
      </c>
      <c r="E4535">
        <v>0</v>
      </c>
      <c r="F4535">
        <v>0</v>
      </c>
      <c r="G4535">
        <v>0</v>
      </c>
    </row>
    <row r="4536" spans="1:7" x14ac:dyDescent="0.2">
      <c r="A4536" t="s">
        <v>1874</v>
      </c>
      <c r="B4536">
        <v>0</v>
      </c>
      <c r="C4536">
        <v>0</v>
      </c>
      <c r="D4536">
        <v>0</v>
      </c>
      <c r="E4536">
        <v>0</v>
      </c>
      <c r="F4536">
        <v>0</v>
      </c>
      <c r="G4536">
        <v>0</v>
      </c>
    </row>
    <row r="4537" spans="1:7" x14ac:dyDescent="0.2">
      <c r="A4537" t="s">
        <v>1876</v>
      </c>
      <c r="B4537">
        <v>0</v>
      </c>
      <c r="C4537">
        <v>0</v>
      </c>
      <c r="D4537">
        <v>0</v>
      </c>
      <c r="E4537">
        <v>0</v>
      </c>
      <c r="F4537">
        <v>0</v>
      </c>
      <c r="G4537">
        <v>0</v>
      </c>
    </row>
    <row r="4538" spans="1:7" x14ac:dyDescent="0.2">
      <c r="A4538" t="s">
        <v>1881</v>
      </c>
      <c r="B4538">
        <v>0</v>
      </c>
      <c r="C4538">
        <v>0</v>
      </c>
      <c r="D4538">
        <v>0</v>
      </c>
      <c r="E4538">
        <v>0</v>
      </c>
      <c r="F4538">
        <v>0</v>
      </c>
      <c r="G4538">
        <v>0</v>
      </c>
    </row>
    <row r="4539" spans="1:7" x14ac:dyDescent="0.2">
      <c r="A4539" t="s">
        <v>1885</v>
      </c>
      <c r="B4539">
        <v>0</v>
      </c>
      <c r="C4539">
        <v>0</v>
      </c>
      <c r="D4539">
        <v>0</v>
      </c>
      <c r="E4539">
        <v>0</v>
      </c>
      <c r="F4539">
        <v>2</v>
      </c>
      <c r="G4539">
        <v>2</v>
      </c>
    </row>
    <row r="4540" spans="1:7" x14ac:dyDescent="0.2">
      <c r="A4540" t="s">
        <v>1887</v>
      </c>
      <c r="B4540">
        <v>0</v>
      </c>
      <c r="C4540">
        <v>0</v>
      </c>
      <c r="D4540">
        <v>0</v>
      </c>
      <c r="E4540">
        <v>0</v>
      </c>
      <c r="F4540">
        <v>0</v>
      </c>
      <c r="G4540">
        <v>0</v>
      </c>
    </row>
    <row r="4541" spans="1:7" x14ac:dyDescent="0.2">
      <c r="A4541" t="s">
        <v>1893</v>
      </c>
      <c r="B4541">
        <v>0</v>
      </c>
      <c r="C4541">
        <v>0</v>
      </c>
      <c r="D4541">
        <v>0</v>
      </c>
      <c r="E4541">
        <v>1</v>
      </c>
      <c r="F4541">
        <v>0</v>
      </c>
      <c r="G4541">
        <v>1</v>
      </c>
    </row>
    <row r="4542" spans="1:7" x14ac:dyDescent="0.2">
      <c r="A4542" t="s">
        <v>1899</v>
      </c>
      <c r="B4542">
        <v>0</v>
      </c>
      <c r="C4542">
        <v>0</v>
      </c>
      <c r="D4542">
        <v>0</v>
      </c>
      <c r="E4542">
        <v>0</v>
      </c>
      <c r="F4542">
        <v>0</v>
      </c>
      <c r="G4542">
        <v>0</v>
      </c>
    </row>
    <row r="4543" spans="1:7" x14ac:dyDescent="0.2">
      <c r="A4543" t="s">
        <v>1906</v>
      </c>
      <c r="B4543">
        <v>0</v>
      </c>
      <c r="C4543">
        <v>0</v>
      </c>
      <c r="D4543">
        <v>0</v>
      </c>
      <c r="E4543">
        <v>0</v>
      </c>
      <c r="F4543">
        <v>0</v>
      </c>
      <c r="G4543">
        <v>0</v>
      </c>
    </row>
    <row r="4544" spans="1:7" x14ac:dyDescent="0.2">
      <c r="A4544" t="s">
        <v>1911</v>
      </c>
      <c r="B4544">
        <v>0</v>
      </c>
      <c r="C4544">
        <v>0</v>
      </c>
      <c r="D4544">
        <v>0</v>
      </c>
      <c r="E4544">
        <v>0</v>
      </c>
      <c r="F4544">
        <v>0</v>
      </c>
      <c r="G4544">
        <v>0</v>
      </c>
    </row>
    <row r="4545" spans="1:7" x14ac:dyDescent="0.2">
      <c r="A4545" t="s">
        <v>1917</v>
      </c>
      <c r="B4545">
        <v>0</v>
      </c>
      <c r="C4545">
        <v>0</v>
      </c>
      <c r="D4545">
        <v>0</v>
      </c>
      <c r="E4545">
        <v>0</v>
      </c>
      <c r="F4545">
        <v>0</v>
      </c>
      <c r="G4545">
        <v>0</v>
      </c>
    </row>
    <row r="4546" spans="1:7" x14ac:dyDescent="0.2">
      <c r="A4546" t="s">
        <v>1922</v>
      </c>
      <c r="B4546">
        <v>0</v>
      </c>
      <c r="C4546">
        <v>0</v>
      </c>
      <c r="D4546">
        <v>0</v>
      </c>
      <c r="E4546">
        <v>0</v>
      </c>
      <c r="F4546">
        <v>0</v>
      </c>
      <c r="G4546">
        <v>0</v>
      </c>
    </row>
    <row r="4547" spans="1:7" x14ac:dyDescent="0.2">
      <c r="A4547" t="s">
        <v>1928</v>
      </c>
      <c r="B4547">
        <v>0</v>
      </c>
      <c r="C4547">
        <v>0</v>
      </c>
      <c r="D4547">
        <v>0</v>
      </c>
      <c r="E4547">
        <v>0</v>
      </c>
      <c r="F4547">
        <v>0</v>
      </c>
      <c r="G4547">
        <v>0</v>
      </c>
    </row>
    <row r="4548" spans="1:7" x14ac:dyDescent="0.2">
      <c r="A4548" t="s">
        <v>1932</v>
      </c>
      <c r="B4548">
        <v>0</v>
      </c>
      <c r="C4548">
        <v>0</v>
      </c>
      <c r="D4548">
        <v>0</v>
      </c>
      <c r="E4548">
        <v>0</v>
      </c>
      <c r="F4548">
        <v>0</v>
      </c>
      <c r="G4548">
        <v>0</v>
      </c>
    </row>
    <row r="4549" spans="1:7" x14ac:dyDescent="0.2">
      <c r="A4549" t="s">
        <v>1938</v>
      </c>
      <c r="B4549">
        <v>0</v>
      </c>
      <c r="C4549">
        <v>0</v>
      </c>
      <c r="D4549">
        <v>0</v>
      </c>
      <c r="E4549">
        <v>0</v>
      </c>
      <c r="F4549">
        <v>0</v>
      </c>
      <c r="G4549">
        <v>0</v>
      </c>
    </row>
    <row r="4550" spans="1:7" x14ac:dyDescent="0.2">
      <c r="A4550" t="s">
        <v>1944</v>
      </c>
      <c r="B4550">
        <v>0</v>
      </c>
      <c r="C4550">
        <v>0</v>
      </c>
      <c r="D4550">
        <v>0</v>
      </c>
      <c r="E4550">
        <v>0</v>
      </c>
      <c r="F4550">
        <v>0</v>
      </c>
      <c r="G4550">
        <v>0</v>
      </c>
    </row>
    <row r="4551" spans="1:7" x14ac:dyDescent="0.2">
      <c r="A4551" t="s">
        <v>1947</v>
      </c>
      <c r="B4551">
        <v>0</v>
      </c>
      <c r="C4551">
        <v>0</v>
      </c>
      <c r="D4551">
        <v>0</v>
      </c>
      <c r="E4551">
        <v>0</v>
      </c>
      <c r="F4551">
        <v>0</v>
      </c>
      <c r="G4551">
        <v>0</v>
      </c>
    </row>
    <row r="4552" spans="1:7" x14ac:dyDescent="0.2">
      <c r="A4552" t="s">
        <v>1953</v>
      </c>
      <c r="B4552">
        <v>0</v>
      </c>
      <c r="C4552">
        <v>0</v>
      </c>
      <c r="D4552">
        <v>0</v>
      </c>
      <c r="E4552">
        <v>0</v>
      </c>
      <c r="F4552">
        <v>0</v>
      </c>
      <c r="G4552">
        <v>0</v>
      </c>
    </row>
    <row r="4553" spans="1:7" x14ac:dyDescent="0.2">
      <c r="A4553" t="s">
        <v>1958</v>
      </c>
      <c r="B4553">
        <v>0</v>
      </c>
      <c r="C4553">
        <v>0</v>
      </c>
      <c r="D4553">
        <v>0</v>
      </c>
      <c r="E4553">
        <v>0</v>
      </c>
      <c r="F4553">
        <v>0</v>
      </c>
      <c r="G4553">
        <v>0</v>
      </c>
    </row>
    <row r="4554" spans="1:7" x14ac:dyDescent="0.2">
      <c r="A4554" t="s">
        <v>1964</v>
      </c>
      <c r="B4554">
        <v>0</v>
      </c>
      <c r="C4554">
        <v>0</v>
      </c>
      <c r="D4554">
        <v>0</v>
      </c>
      <c r="E4554">
        <v>0</v>
      </c>
      <c r="F4554">
        <v>0</v>
      </c>
      <c r="G4554">
        <v>0</v>
      </c>
    </row>
    <row r="4555" spans="1:7" x14ac:dyDescent="0.2">
      <c r="A4555" t="s">
        <v>1973</v>
      </c>
      <c r="B4555">
        <v>0</v>
      </c>
      <c r="C4555">
        <v>0</v>
      </c>
      <c r="D4555">
        <v>0</v>
      </c>
      <c r="E4555">
        <v>0</v>
      </c>
      <c r="F4555">
        <v>0</v>
      </c>
      <c r="G4555">
        <v>0</v>
      </c>
    </row>
    <row r="4556" spans="1:7" x14ac:dyDescent="0.2">
      <c r="A4556" t="s">
        <v>1978</v>
      </c>
      <c r="B4556">
        <v>0</v>
      </c>
      <c r="C4556">
        <v>0</v>
      </c>
      <c r="D4556">
        <v>0</v>
      </c>
      <c r="E4556">
        <v>0</v>
      </c>
      <c r="F4556">
        <v>0</v>
      </c>
      <c r="G4556">
        <v>0</v>
      </c>
    </row>
    <row r="4557" spans="1:7" x14ac:dyDescent="0.2">
      <c r="A4557" t="s">
        <v>1983</v>
      </c>
      <c r="B4557">
        <v>0</v>
      </c>
      <c r="C4557">
        <v>0</v>
      </c>
      <c r="D4557">
        <v>0</v>
      </c>
      <c r="E4557">
        <v>0</v>
      </c>
      <c r="F4557">
        <v>0</v>
      </c>
      <c r="G4557">
        <v>0</v>
      </c>
    </row>
    <row r="4558" spans="1:7" x14ac:dyDescent="0.2">
      <c r="A4558" t="s">
        <v>1984</v>
      </c>
      <c r="B4558">
        <v>0</v>
      </c>
      <c r="C4558">
        <v>0</v>
      </c>
      <c r="D4558">
        <v>0</v>
      </c>
      <c r="E4558">
        <v>0</v>
      </c>
      <c r="F4558">
        <v>0</v>
      </c>
      <c r="G4558">
        <v>0</v>
      </c>
    </row>
    <row r="4559" spans="1:7" x14ac:dyDescent="0.2">
      <c r="A4559" t="s">
        <v>1990</v>
      </c>
      <c r="B4559">
        <v>0</v>
      </c>
      <c r="C4559">
        <v>0</v>
      </c>
      <c r="D4559">
        <v>0</v>
      </c>
      <c r="E4559">
        <v>0</v>
      </c>
      <c r="F4559">
        <v>0</v>
      </c>
      <c r="G4559">
        <v>0</v>
      </c>
    </row>
    <row r="4560" spans="1:7" x14ac:dyDescent="0.2">
      <c r="A4560" t="s">
        <v>1996</v>
      </c>
      <c r="B4560">
        <v>0</v>
      </c>
      <c r="C4560">
        <v>0</v>
      </c>
      <c r="D4560">
        <v>0</v>
      </c>
      <c r="E4560">
        <v>0</v>
      </c>
      <c r="F4560">
        <v>0</v>
      </c>
      <c r="G4560">
        <v>0</v>
      </c>
    </row>
    <row r="4561" spans="1:7" x14ac:dyDescent="0.2">
      <c r="A4561" t="s">
        <v>1998</v>
      </c>
      <c r="B4561">
        <v>0</v>
      </c>
      <c r="C4561">
        <v>0</v>
      </c>
      <c r="D4561">
        <v>0</v>
      </c>
      <c r="E4561">
        <v>0</v>
      </c>
      <c r="F4561">
        <v>0</v>
      </c>
      <c r="G4561">
        <v>0</v>
      </c>
    </row>
    <row r="4562" spans="1:7" x14ac:dyDescent="0.2">
      <c r="A4562" t="s">
        <v>1999</v>
      </c>
      <c r="B4562">
        <v>0</v>
      </c>
      <c r="C4562">
        <v>0</v>
      </c>
      <c r="D4562">
        <v>0</v>
      </c>
      <c r="E4562">
        <v>0</v>
      </c>
      <c r="F4562">
        <v>0</v>
      </c>
      <c r="G4562">
        <v>0</v>
      </c>
    </row>
    <row r="4563" spans="1:7" x14ac:dyDescent="0.2">
      <c r="A4563" t="s">
        <v>2004</v>
      </c>
      <c r="B4563">
        <v>0</v>
      </c>
      <c r="C4563">
        <v>0</v>
      </c>
      <c r="D4563">
        <v>0</v>
      </c>
      <c r="E4563">
        <v>0</v>
      </c>
      <c r="F4563">
        <v>0</v>
      </c>
      <c r="G4563">
        <v>0</v>
      </c>
    </row>
    <row r="4564" spans="1:7" x14ac:dyDescent="0.2">
      <c r="A4564" t="s">
        <v>2009</v>
      </c>
      <c r="B4564">
        <v>0</v>
      </c>
      <c r="C4564">
        <v>0</v>
      </c>
      <c r="D4564">
        <v>0</v>
      </c>
      <c r="E4564">
        <v>0</v>
      </c>
      <c r="F4564">
        <v>0</v>
      </c>
      <c r="G4564">
        <v>0</v>
      </c>
    </row>
    <row r="4565" spans="1:7" x14ac:dyDescent="0.2">
      <c r="A4565" t="s">
        <v>2014</v>
      </c>
      <c r="B4565">
        <v>0</v>
      </c>
      <c r="C4565">
        <v>0</v>
      </c>
      <c r="D4565">
        <v>0</v>
      </c>
      <c r="E4565">
        <v>0</v>
      </c>
      <c r="F4565">
        <v>0</v>
      </c>
      <c r="G4565">
        <v>0</v>
      </c>
    </row>
    <row r="4566" spans="1:7" x14ac:dyDescent="0.2">
      <c r="A4566" t="s">
        <v>2019</v>
      </c>
      <c r="B4566">
        <v>0</v>
      </c>
      <c r="C4566">
        <v>0</v>
      </c>
      <c r="D4566">
        <v>0</v>
      </c>
      <c r="E4566">
        <v>0</v>
      </c>
      <c r="F4566">
        <v>0</v>
      </c>
      <c r="G4566">
        <v>0</v>
      </c>
    </row>
    <row r="4567" spans="1:7" x14ac:dyDescent="0.2">
      <c r="A4567" t="s">
        <v>2023</v>
      </c>
      <c r="B4567">
        <v>0</v>
      </c>
      <c r="C4567">
        <v>0</v>
      </c>
      <c r="D4567">
        <v>0</v>
      </c>
      <c r="E4567">
        <v>0</v>
      </c>
      <c r="F4567">
        <v>0</v>
      </c>
      <c r="G4567">
        <v>0</v>
      </c>
    </row>
    <row r="4568" spans="1:7" x14ac:dyDescent="0.2">
      <c r="A4568" t="s">
        <v>2026</v>
      </c>
      <c r="B4568">
        <v>0</v>
      </c>
      <c r="C4568">
        <v>0</v>
      </c>
      <c r="D4568">
        <v>0</v>
      </c>
      <c r="E4568">
        <v>0</v>
      </c>
      <c r="F4568">
        <v>0</v>
      </c>
      <c r="G4568">
        <v>0</v>
      </c>
    </row>
    <row r="4569" spans="1:7" x14ac:dyDescent="0.2">
      <c r="A4569" t="s">
        <v>2030</v>
      </c>
      <c r="B4569">
        <v>0</v>
      </c>
      <c r="C4569">
        <v>0</v>
      </c>
      <c r="D4569">
        <v>0</v>
      </c>
      <c r="E4569">
        <v>0</v>
      </c>
      <c r="F4569">
        <v>0</v>
      </c>
      <c r="G4569">
        <v>0</v>
      </c>
    </row>
    <row r="4570" spans="1:7" x14ac:dyDescent="0.2">
      <c r="A4570" t="s">
        <v>2035</v>
      </c>
      <c r="B4570">
        <v>0</v>
      </c>
      <c r="C4570">
        <v>0</v>
      </c>
      <c r="D4570">
        <v>0</v>
      </c>
      <c r="E4570">
        <v>0</v>
      </c>
      <c r="F4570">
        <v>0</v>
      </c>
      <c r="G4570">
        <v>0</v>
      </c>
    </row>
    <row r="4571" spans="1:7" x14ac:dyDescent="0.2">
      <c r="A4571" t="s">
        <v>2040</v>
      </c>
      <c r="B4571">
        <v>0</v>
      </c>
      <c r="C4571">
        <v>0</v>
      </c>
      <c r="D4571">
        <v>0</v>
      </c>
      <c r="E4571">
        <v>0</v>
      </c>
      <c r="F4571">
        <v>0</v>
      </c>
      <c r="G4571">
        <v>0</v>
      </c>
    </row>
    <row r="4572" spans="1:7" x14ac:dyDescent="0.2">
      <c r="A4572" t="s">
        <v>2045</v>
      </c>
      <c r="B4572">
        <v>0</v>
      </c>
      <c r="C4572">
        <v>0</v>
      </c>
      <c r="D4572">
        <v>0</v>
      </c>
      <c r="E4572">
        <v>0</v>
      </c>
      <c r="F4572">
        <v>0</v>
      </c>
      <c r="G4572">
        <v>0</v>
      </c>
    </row>
    <row r="4573" spans="1:7" x14ac:dyDescent="0.2">
      <c r="A4573" t="s">
        <v>2049</v>
      </c>
      <c r="B4573">
        <v>0</v>
      </c>
      <c r="C4573">
        <v>0</v>
      </c>
      <c r="D4573">
        <v>0</v>
      </c>
      <c r="E4573">
        <v>0</v>
      </c>
      <c r="F4573">
        <v>0</v>
      </c>
      <c r="G4573">
        <v>0</v>
      </c>
    </row>
    <row r="4574" spans="1:7" x14ac:dyDescent="0.2">
      <c r="A4574" t="s">
        <v>2051</v>
      </c>
      <c r="B4574">
        <v>0</v>
      </c>
      <c r="C4574">
        <v>0</v>
      </c>
      <c r="D4574">
        <v>0</v>
      </c>
      <c r="E4574">
        <v>0</v>
      </c>
      <c r="F4574">
        <v>5</v>
      </c>
      <c r="G4574">
        <v>5</v>
      </c>
    </row>
    <row r="4575" spans="1:7" x14ac:dyDescent="0.2">
      <c r="A4575" t="s">
        <v>2057</v>
      </c>
      <c r="B4575">
        <v>0</v>
      </c>
      <c r="C4575">
        <v>0</v>
      </c>
      <c r="D4575">
        <v>0</v>
      </c>
      <c r="E4575">
        <v>0</v>
      </c>
      <c r="F4575">
        <v>8</v>
      </c>
      <c r="G4575">
        <v>8</v>
      </c>
    </row>
    <row r="4576" spans="1:7" x14ac:dyDescent="0.2">
      <c r="A4576" t="s">
        <v>4344</v>
      </c>
      <c r="B4576">
        <v>0</v>
      </c>
      <c r="C4576">
        <v>0</v>
      </c>
      <c r="D4576">
        <v>0</v>
      </c>
      <c r="E4576">
        <v>0</v>
      </c>
      <c r="F4576">
        <v>0</v>
      </c>
      <c r="G4576">
        <v>0</v>
      </c>
    </row>
    <row r="4577" spans="1:7" x14ac:dyDescent="0.2">
      <c r="A4577" t="s">
        <v>4345</v>
      </c>
      <c r="B4577">
        <v>0</v>
      </c>
      <c r="C4577">
        <v>0</v>
      </c>
      <c r="D4577">
        <v>0</v>
      </c>
      <c r="E4577">
        <v>0</v>
      </c>
      <c r="F4577">
        <v>0</v>
      </c>
      <c r="G4577">
        <v>0</v>
      </c>
    </row>
    <row r="4578" spans="1:7" x14ac:dyDescent="0.2">
      <c r="A4578" t="s">
        <v>2074</v>
      </c>
      <c r="B4578">
        <v>0</v>
      </c>
      <c r="C4578">
        <v>0</v>
      </c>
      <c r="D4578">
        <v>0</v>
      </c>
      <c r="E4578">
        <v>0</v>
      </c>
      <c r="F4578">
        <v>0</v>
      </c>
      <c r="G4578">
        <v>0</v>
      </c>
    </row>
    <row r="4579" spans="1:7" x14ac:dyDescent="0.2">
      <c r="A4579" t="s">
        <v>2079</v>
      </c>
      <c r="B4579">
        <v>0</v>
      </c>
      <c r="C4579">
        <v>0</v>
      </c>
      <c r="D4579">
        <v>0</v>
      </c>
      <c r="E4579">
        <v>0</v>
      </c>
      <c r="F4579">
        <v>0</v>
      </c>
      <c r="G4579">
        <v>0</v>
      </c>
    </row>
    <row r="4580" spans="1:7" x14ac:dyDescent="0.2">
      <c r="A4580" t="s">
        <v>2085</v>
      </c>
      <c r="B4580">
        <v>0</v>
      </c>
      <c r="C4580">
        <v>0</v>
      </c>
      <c r="D4580">
        <v>0</v>
      </c>
      <c r="E4580">
        <v>0</v>
      </c>
      <c r="F4580">
        <v>0</v>
      </c>
      <c r="G4580">
        <v>0</v>
      </c>
    </row>
    <row r="4581" spans="1:7" x14ac:dyDescent="0.2">
      <c r="A4581" t="s">
        <v>2091</v>
      </c>
      <c r="B4581">
        <v>0</v>
      </c>
      <c r="C4581">
        <v>0</v>
      </c>
      <c r="D4581">
        <v>0</v>
      </c>
      <c r="E4581">
        <v>0</v>
      </c>
      <c r="F4581">
        <v>0</v>
      </c>
      <c r="G4581">
        <v>0</v>
      </c>
    </row>
    <row r="4582" spans="1:7" x14ac:dyDescent="0.2">
      <c r="A4582" t="s">
        <v>2097</v>
      </c>
      <c r="B4582">
        <v>0</v>
      </c>
      <c r="C4582">
        <v>0</v>
      </c>
      <c r="D4582">
        <v>0</v>
      </c>
      <c r="E4582">
        <v>0</v>
      </c>
      <c r="F4582">
        <v>0</v>
      </c>
      <c r="G4582">
        <v>0</v>
      </c>
    </row>
    <row r="4583" spans="1:7" x14ac:dyDescent="0.2">
      <c r="A4583" t="s">
        <v>2101</v>
      </c>
      <c r="B4583">
        <v>0</v>
      </c>
      <c r="C4583">
        <v>0</v>
      </c>
      <c r="D4583">
        <v>0</v>
      </c>
      <c r="E4583">
        <v>0</v>
      </c>
      <c r="F4583">
        <v>0</v>
      </c>
      <c r="G4583">
        <v>0</v>
      </c>
    </row>
    <row r="4584" spans="1:7" x14ac:dyDescent="0.2">
      <c r="A4584" t="s">
        <v>2104</v>
      </c>
      <c r="B4584">
        <v>0</v>
      </c>
      <c r="C4584">
        <v>0</v>
      </c>
      <c r="D4584">
        <v>0</v>
      </c>
      <c r="E4584">
        <v>0</v>
      </c>
      <c r="F4584">
        <v>0</v>
      </c>
      <c r="G4584">
        <v>0</v>
      </c>
    </row>
    <row r="4585" spans="1:7" x14ac:dyDescent="0.2">
      <c r="A4585" t="s">
        <v>2107</v>
      </c>
      <c r="B4585">
        <v>0</v>
      </c>
      <c r="C4585">
        <v>0</v>
      </c>
      <c r="D4585">
        <v>0</v>
      </c>
      <c r="E4585">
        <v>0</v>
      </c>
      <c r="F4585">
        <v>0</v>
      </c>
      <c r="G4585">
        <v>0</v>
      </c>
    </row>
    <row r="4586" spans="1:7" x14ac:dyDescent="0.2">
      <c r="A4586" t="s">
        <v>2110</v>
      </c>
      <c r="B4586">
        <v>0</v>
      </c>
      <c r="C4586">
        <v>0</v>
      </c>
      <c r="D4586">
        <v>0</v>
      </c>
      <c r="E4586">
        <v>0</v>
      </c>
      <c r="F4586">
        <v>0</v>
      </c>
      <c r="G4586">
        <v>0</v>
      </c>
    </row>
    <row r="4587" spans="1:7" x14ac:dyDescent="0.2">
      <c r="A4587" t="s">
        <v>2113</v>
      </c>
      <c r="B4587">
        <v>0</v>
      </c>
      <c r="C4587">
        <v>0</v>
      </c>
      <c r="D4587">
        <v>0</v>
      </c>
      <c r="E4587">
        <v>0</v>
      </c>
      <c r="F4587">
        <v>0</v>
      </c>
      <c r="G4587">
        <v>0</v>
      </c>
    </row>
    <row r="4588" spans="1:7" x14ac:dyDescent="0.2">
      <c r="A4588" t="s">
        <v>4346</v>
      </c>
      <c r="B4588">
        <v>0</v>
      </c>
      <c r="C4588">
        <v>0</v>
      </c>
      <c r="D4588">
        <v>0</v>
      </c>
      <c r="E4588">
        <v>0</v>
      </c>
      <c r="F4588">
        <v>0</v>
      </c>
      <c r="G4588">
        <v>0</v>
      </c>
    </row>
    <row r="4589" spans="1:7" x14ac:dyDescent="0.2">
      <c r="A4589" t="s">
        <v>4347</v>
      </c>
      <c r="B4589">
        <v>0</v>
      </c>
      <c r="C4589">
        <v>0</v>
      </c>
      <c r="D4589">
        <v>0</v>
      </c>
      <c r="E4589">
        <v>0</v>
      </c>
      <c r="F4589">
        <v>0</v>
      </c>
      <c r="G4589">
        <v>0</v>
      </c>
    </row>
    <row r="4590" spans="1:7" x14ac:dyDescent="0.2">
      <c r="A4590" t="s">
        <v>4348</v>
      </c>
      <c r="B4590">
        <v>0</v>
      </c>
      <c r="C4590">
        <v>0</v>
      </c>
      <c r="D4590">
        <v>0</v>
      </c>
      <c r="E4590">
        <v>0</v>
      </c>
      <c r="F4590">
        <v>0</v>
      </c>
      <c r="G4590">
        <v>0</v>
      </c>
    </row>
    <row r="4591" spans="1:7" x14ac:dyDescent="0.2">
      <c r="A4591" t="s">
        <v>4349</v>
      </c>
      <c r="B4591">
        <v>0</v>
      </c>
      <c r="C4591">
        <v>0</v>
      </c>
      <c r="D4591">
        <v>0</v>
      </c>
      <c r="E4591">
        <v>0</v>
      </c>
      <c r="F4591">
        <v>0</v>
      </c>
      <c r="G4591">
        <v>0</v>
      </c>
    </row>
    <row r="4592" spans="1:7" x14ac:dyDescent="0.2">
      <c r="A4592" t="s">
        <v>4350</v>
      </c>
      <c r="B4592">
        <v>0</v>
      </c>
      <c r="C4592">
        <v>10</v>
      </c>
      <c r="D4592">
        <v>61</v>
      </c>
      <c r="E4592">
        <v>0</v>
      </c>
      <c r="F4592">
        <v>0</v>
      </c>
      <c r="G4592">
        <v>72</v>
      </c>
    </row>
    <row r="4593" spans="1:7" x14ac:dyDescent="0.2">
      <c r="A4593" t="s">
        <v>4351</v>
      </c>
      <c r="B4593">
        <v>0</v>
      </c>
      <c r="C4593">
        <v>0</v>
      </c>
      <c r="D4593">
        <v>0</v>
      </c>
      <c r="E4593">
        <v>0</v>
      </c>
      <c r="F4593">
        <v>0</v>
      </c>
      <c r="G4593">
        <v>0</v>
      </c>
    </row>
    <row r="4594" spans="1:7" x14ac:dyDescent="0.2">
      <c r="A4594" t="s">
        <v>4352</v>
      </c>
      <c r="B4594">
        <v>0</v>
      </c>
      <c r="C4594">
        <v>0</v>
      </c>
      <c r="D4594">
        <v>0</v>
      </c>
      <c r="E4594">
        <v>0</v>
      </c>
      <c r="F4594">
        <v>0</v>
      </c>
      <c r="G4594">
        <v>0</v>
      </c>
    </row>
    <row r="4595" spans="1:7" x14ac:dyDescent="0.2">
      <c r="A4595" t="s">
        <v>4353</v>
      </c>
      <c r="B4595">
        <v>0</v>
      </c>
      <c r="C4595">
        <v>45</v>
      </c>
      <c r="D4595">
        <v>43</v>
      </c>
      <c r="E4595">
        <v>2</v>
      </c>
      <c r="F4595">
        <v>0</v>
      </c>
      <c r="G4595">
        <v>90</v>
      </c>
    </row>
    <row r="4596" spans="1:7" x14ac:dyDescent="0.2">
      <c r="A4596" t="s">
        <v>4354</v>
      </c>
      <c r="B4596">
        <v>2</v>
      </c>
      <c r="C4596">
        <v>26</v>
      </c>
      <c r="D4596">
        <v>14</v>
      </c>
      <c r="E4596">
        <v>0</v>
      </c>
      <c r="F4596">
        <v>0</v>
      </c>
      <c r="G4596">
        <v>42</v>
      </c>
    </row>
    <row r="4597" spans="1:7" x14ac:dyDescent="0.2">
      <c r="A4597" t="s">
        <v>4355</v>
      </c>
      <c r="B4597">
        <v>0</v>
      </c>
      <c r="C4597">
        <v>0</v>
      </c>
      <c r="D4597">
        <v>0</v>
      </c>
      <c r="E4597">
        <v>0</v>
      </c>
      <c r="F4597">
        <v>0</v>
      </c>
      <c r="G4597">
        <v>0</v>
      </c>
    </row>
    <row r="4598" spans="1:7" x14ac:dyDescent="0.2">
      <c r="A4598" t="s">
        <v>4356</v>
      </c>
      <c r="B4598">
        <v>0</v>
      </c>
      <c r="C4598">
        <v>0</v>
      </c>
      <c r="D4598">
        <v>0</v>
      </c>
      <c r="E4598">
        <v>0</v>
      </c>
      <c r="F4598">
        <v>0</v>
      </c>
      <c r="G4598">
        <v>0</v>
      </c>
    </row>
    <row r="4599" spans="1:7" x14ac:dyDescent="0.2">
      <c r="A4599" t="s">
        <v>4357</v>
      </c>
      <c r="B4599">
        <v>0</v>
      </c>
      <c r="C4599">
        <v>5</v>
      </c>
      <c r="D4599">
        <v>3</v>
      </c>
      <c r="E4599">
        <v>0</v>
      </c>
      <c r="F4599">
        <v>0</v>
      </c>
      <c r="G4599">
        <v>8</v>
      </c>
    </row>
    <row r="4600" spans="1:7" x14ac:dyDescent="0.2">
      <c r="A4600" t="s">
        <v>4358</v>
      </c>
      <c r="B4600">
        <v>0</v>
      </c>
      <c r="C4600">
        <v>1</v>
      </c>
      <c r="D4600">
        <v>0</v>
      </c>
      <c r="E4600">
        <v>0</v>
      </c>
      <c r="F4600">
        <v>0</v>
      </c>
      <c r="G4600">
        <v>1</v>
      </c>
    </row>
    <row r="4601" spans="1:7" x14ac:dyDescent="0.2">
      <c r="A4601" t="s">
        <v>4359</v>
      </c>
      <c r="B4601">
        <v>0</v>
      </c>
      <c r="C4601">
        <v>0</v>
      </c>
      <c r="D4601">
        <v>0</v>
      </c>
      <c r="E4601">
        <v>0</v>
      </c>
      <c r="F4601">
        <v>0</v>
      </c>
      <c r="G4601">
        <v>0</v>
      </c>
    </row>
    <row r="4602" spans="1:7" x14ac:dyDescent="0.2">
      <c r="A4602" t="s">
        <v>4360</v>
      </c>
      <c r="B4602">
        <v>0</v>
      </c>
      <c r="C4602">
        <v>0</v>
      </c>
      <c r="D4602">
        <v>0</v>
      </c>
      <c r="E4602">
        <v>0</v>
      </c>
      <c r="F4602">
        <v>0</v>
      </c>
      <c r="G4602">
        <v>0</v>
      </c>
    </row>
    <row r="4603" spans="1:7" x14ac:dyDescent="0.2">
      <c r="A4603" t="s">
        <v>4361</v>
      </c>
      <c r="B4603">
        <v>0</v>
      </c>
      <c r="C4603">
        <v>0</v>
      </c>
      <c r="D4603">
        <v>9</v>
      </c>
      <c r="E4603">
        <v>0</v>
      </c>
      <c r="F4603">
        <v>0</v>
      </c>
      <c r="G4603">
        <v>10</v>
      </c>
    </row>
    <row r="4604" spans="1:7" x14ac:dyDescent="0.2">
      <c r="A4604" t="s">
        <v>4362</v>
      </c>
      <c r="B4604">
        <v>0</v>
      </c>
      <c r="C4604">
        <v>0</v>
      </c>
      <c r="D4604">
        <v>0</v>
      </c>
      <c r="E4604">
        <v>0</v>
      </c>
      <c r="F4604">
        <v>0</v>
      </c>
      <c r="G4604">
        <v>0</v>
      </c>
    </row>
    <row r="4605" spans="1:7" x14ac:dyDescent="0.2">
      <c r="A4605" t="s">
        <v>4363</v>
      </c>
      <c r="B4605">
        <v>0</v>
      </c>
      <c r="C4605">
        <v>0</v>
      </c>
      <c r="D4605">
        <v>0</v>
      </c>
      <c r="E4605">
        <v>0</v>
      </c>
      <c r="F4605">
        <v>0</v>
      </c>
      <c r="G4605">
        <v>0</v>
      </c>
    </row>
    <row r="4606" spans="1:7" x14ac:dyDescent="0.2">
      <c r="A4606" t="s">
        <v>4364</v>
      </c>
      <c r="B4606">
        <v>0</v>
      </c>
      <c r="C4606">
        <v>0</v>
      </c>
      <c r="D4606">
        <v>0</v>
      </c>
      <c r="E4606">
        <v>0</v>
      </c>
      <c r="F4606">
        <v>0</v>
      </c>
      <c r="G4606">
        <v>0</v>
      </c>
    </row>
    <row r="4607" spans="1:7" x14ac:dyDescent="0.2">
      <c r="A4607" t="s">
        <v>4365</v>
      </c>
      <c r="B4607">
        <v>0</v>
      </c>
      <c r="C4607">
        <v>16</v>
      </c>
      <c r="D4607">
        <v>22</v>
      </c>
      <c r="E4607">
        <v>0</v>
      </c>
      <c r="F4607">
        <v>0</v>
      </c>
      <c r="G4607">
        <v>38</v>
      </c>
    </row>
    <row r="4608" spans="1:7" x14ac:dyDescent="0.2">
      <c r="A4608" t="s">
        <v>4366</v>
      </c>
      <c r="B4608">
        <v>0</v>
      </c>
      <c r="C4608">
        <v>0</v>
      </c>
      <c r="D4608">
        <v>0</v>
      </c>
      <c r="E4608">
        <v>0</v>
      </c>
      <c r="F4608">
        <v>0</v>
      </c>
      <c r="G4608">
        <v>0</v>
      </c>
    </row>
    <row r="4609" spans="1:10" x14ac:dyDescent="0.2">
      <c r="A4609" t="s">
        <v>4367</v>
      </c>
      <c r="B4609">
        <v>0</v>
      </c>
      <c r="C4609">
        <v>0</v>
      </c>
      <c r="D4609">
        <v>0</v>
      </c>
      <c r="E4609">
        <v>0</v>
      </c>
      <c r="F4609">
        <v>0</v>
      </c>
      <c r="G4609">
        <v>0</v>
      </c>
    </row>
    <row r="4610" spans="1:10" x14ac:dyDescent="0.2">
      <c r="A4610" t="s">
        <v>4368</v>
      </c>
      <c r="B4610">
        <v>0</v>
      </c>
      <c r="C4610">
        <v>7</v>
      </c>
      <c r="D4610">
        <v>36</v>
      </c>
      <c r="E4610">
        <v>31</v>
      </c>
      <c r="F4610">
        <v>0</v>
      </c>
      <c r="G4610">
        <v>74</v>
      </c>
    </row>
    <row r="4611" spans="1:10" x14ac:dyDescent="0.2">
      <c r="A4611" t="s">
        <v>4369</v>
      </c>
      <c r="B4611">
        <v>0</v>
      </c>
      <c r="C4611">
        <v>121</v>
      </c>
      <c r="D4611">
        <v>198</v>
      </c>
      <c r="E4611">
        <v>41</v>
      </c>
      <c r="F4611">
        <v>0</v>
      </c>
      <c r="G4611">
        <v>360</v>
      </c>
    </row>
    <row r="4612" spans="1:10" x14ac:dyDescent="0.2">
      <c r="A4612" t="s">
        <v>4370</v>
      </c>
      <c r="B4612">
        <v>0</v>
      </c>
      <c r="C4612">
        <v>1</v>
      </c>
      <c r="D4612">
        <v>0</v>
      </c>
      <c r="E4612">
        <v>0</v>
      </c>
      <c r="F4612">
        <v>0</v>
      </c>
      <c r="G4612">
        <v>1</v>
      </c>
    </row>
    <row r="4613" spans="1:10" x14ac:dyDescent="0.2">
      <c r="A4613" t="s">
        <v>4371</v>
      </c>
      <c r="B4613">
        <v>0</v>
      </c>
      <c r="C4613">
        <v>0</v>
      </c>
      <c r="D4613">
        <v>0</v>
      </c>
      <c r="E4613">
        <v>0</v>
      </c>
      <c r="F4613">
        <v>0</v>
      </c>
      <c r="G4613">
        <v>0</v>
      </c>
    </row>
    <row r="4614" spans="1:10" x14ac:dyDescent="0.2">
      <c r="A4614" t="s">
        <v>4372</v>
      </c>
      <c r="B4614">
        <v>0</v>
      </c>
      <c r="C4614">
        <v>0</v>
      </c>
      <c r="D4614">
        <v>0</v>
      </c>
      <c r="E4614">
        <v>0</v>
      </c>
      <c r="F4614">
        <v>0</v>
      </c>
      <c r="G4614">
        <v>0</v>
      </c>
    </row>
    <row r="4615" spans="1:10" x14ac:dyDescent="0.2">
      <c r="A4615" t="s">
        <v>4373</v>
      </c>
      <c r="B4615">
        <v>0</v>
      </c>
      <c r="C4615">
        <v>12</v>
      </c>
      <c r="D4615">
        <v>5</v>
      </c>
      <c r="E4615">
        <v>0</v>
      </c>
      <c r="F4615">
        <v>0</v>
      </c>
      <c r="G4615">
        <v>17</v>
      </c>
    </row>
    <row r="4616" spans="1:10" x14ac:dyDescent="0.2">
      <c r="A4616" t="s">
        <v>4374</v>
      </c>
      <c r="B4616">
        <v>0</v>
      </c>
      <c r="C4616">
        <v>0</v>
      </c>
      <c r="D4616">
        <v>1</v>
      </c>
      <c r="E4616">
        <v>0</v>
      </c>
      <c r="F4616">
        <v>0</v>
      </c>
      <c r="G4616">
        <v>1</v>
      </c>
    </row>
    <row r="4617" spans="1:10" x14ac:dyDescent="0.2">
      <c r="A4617" t="s">
        <v>4375</v>
      </c>
      <c r="B4617">
        <v>0</v>
      </c>
      <c r="C4617">
        <v>2</v>
      </c>
      <c r="D4617">
        <v>6</v>
      </c>
      <c r="E4617">
        <v>4</v>
      </c>
      <c r="F4617">
        <v>0</v>
      </c>
      <c r="G4617">
        <v>12</v>
      </c>
    </row>
    <row r="4618" spans="1:10" x14ac:dyDescent="0.2">
      <c r="A4618" t="s">
        <v>4376</v>
      </c>
      <c r="B4618">
        <v>0</v>
      </c>
      <c r="C4618">
        <v>0</v>
      </c>
      <c r="D4618">
        <v>0</v>
      </c>
      <c r="E4618">
        <v>0</v>
      </c>
      <c r="F4618">
        <v>0</v>
      </c>
      <c r="G4618">
        <v>0</v>
      </c>
    </row>
    <row r="4619" spans="1:10" x14ac:dyDescent="0.2">
      <c r="A4619" t="s">
        <v>4377</v>
      </c>
      <c r="B4619">
        <v>0</v>
      </c>
      <c r="C4619">
        <v>2</v>
      </c>
      <c r="D4619">
        <v>0</v>
      </c>
      <c r="E4619">
        <v>0</v>
      </c>
      <c r="F4619">
        <v>0</v>
      </c>
      <c r="G4619">
        <v>2</v>
      </c>
    </row>
    <row r="4620" spans="1:10" x14ac:dyDescent="0.2">
      <c r="A4620" t="s">
        <v>2318</v>
      </c>
      <c r="B4620" t="s">
        <v>2319</v>
      </c>
      <c r="C4620" t="s">
        <v>2319</v>
      </c>
      <c r="D4620" t="s">
        <v>2319</v>
      </c>
      <c r="E4620" t="s">
        <v>2319</v>
      </c>
      <c r="F4620" t="s">
        <v>2319</v>
      </c>
      <c r="G4620" t="s">
        <v>2319</v>
      </c>
    </row>
    <row r="4621" spans="1:10" x14ac:dyDescent="0.2">
      <c r="A4621" t="s">
        <v>4248</v>
      </c>
    </row>
    <row r="4622" spans="1:10" x14ac:dyDescent="0.2">
      <c r="A4622" t="s">
        <v>4250</v>
      </c>
      <c r="C4622" t="s">
        <v>4251</v>
      </c>
      <c r="G4622" t="s">
        <v>7531</v>
      </c>
      <c r="J4622"/>
    </row>
    <row r="4623" spans="1:10" x14ac:dyDescent="0.2">
      <c r="A4623" t="s">
        <v>4925</v>
      </c>
      <c r="G4623" t="s">
        <v>7540</v>
      </c>
      <c r="J4623"/>
    </row>
    <row r="4624" spans="1:10" x14ac:dyDescent="0.2">
      <c r="A4624" t="s">
        <v>7530</v>
      </c>
      <c r="J4624"/>
    </row>
    <row r="4625" spans="1:10" x14ac:dyDescent="0.2">
      <c r="A4625" t="s">
        <v>4993</v>
      </c>
      <c r="J4625"/>
    </row>
    <row r="4626" spans="1:10" x14ac:dyDescent="0.2">
      <c r="J4626"/>
    </row>
    <row r="4627" spans="1:10" x14ac:dyDescent="0.2">
      <c r="A4627" t="s">
        <v>4259</v>
      </c>
      <c r="J4627"/>
    </row>
    <row r="4628" spans="1:10" x14ac:dyDescent="0.2">
      <c r="A4628" t="s">
        <v>2318</v>
      </c>
      <c r="B4628" t="s">
        <v>2319</v>
      </c>
      <c r="C4628" t="s">
        <v>2319</v>
      </c>
      <c r="D4628" t="s">
        <v>2319</v>
      </c>
      <c r="E4628" t="s">
        <v>2319</v>
      </c>
      <c r="F4628" t="s">
        <v>2319</v>
      </c>
      <c r="G4628" t="s">
        <v>2319</v>
      </c>
    </row>
    <row r="4629" spans="1:10" x14ac:dyDescent="0.2">
      <c r="A4629" t="s">
        <v>174</v>
      </c>
      <c r="B4629" t="s">
        <v>4945</v>
      </c>
      <c r="C4629" t="s">
        <v>4946</v>
      </c>
      <c r="D4629" t="s">
        <v>4947</v>
      </c>
      <c r="E4629" t="s">
        <v>4948</v>
      </c>
      <c r="F4629" t="s">
        <v>4949</v>
      </c>
    </row>
    <row r="4630" spans="1:10" x14ac:dyDescent="0.2">
      <c r="A4630" t="s">
        <v>126</v>
      </c>
      <c r="B4630" t="s">
        <v>4262</v>
      </c>
      <c r="C4630" t="s">
        <v>4263</v>
      </c>
      <c r="D4630" t="s">
        <v>4264</v>
      </c>
      <c r="E4630" t="s">
        <v>2308</v>
      </c>
      <c r="F4630" t="s">
        <v>615</v>
      </c>
      <c r="G4630" t="s">
        <v>236</v>
      </c>
    </row>
    <row r="4631" spans="1:10" x14ac:dyDescent="0.2">
      <c r="A4631" t="s">
        <v>2318</v>
      </c>
      <c r="B4631" t="s">
        <v>2319</v>
      </c>
      <c r="C4631" t="s">
        <v>2319</v>
      </c>
      <c r="D4631" t="s">
        <v>2319</v>
      </c>
      <c r="E4631" t="s">
        <v>2319</v>
      </c>
      <c r="F4631" t="s">
        <v>2319</v>
      </c>
      <c r="G4631" t="s">
        <v>2319</v>
      </c>
    </row>
    <row r="4632" spans="1:10" x14ac:dyDescent="0.2">
      <c r="A4632" t="s">
        <v>4265</v>
      </c>
      <c r="B4632">
        <v>0</v>
      </c>
      <c r="C4632">
        <v>0</v>
      </c>
      <c r="D4632">
        <v>0</v>
      </c>
      <c r="E4632">
        <v>0</v>
      </c>
      <c r="F4632">
        <v>0</v>
      </c>
      <c r="G4632">
        <v>0</v>
      </c>
    </row>
    <row r="4633" spans="1:10" x14ac:dyDescent="0.2">
      <c r="A4633" t="s">
        <v>4266</v>
      </c>
      <c r="B4633">
        <v>0</v>
      </c>
      <c r="C4633">
        <v>0</v>
      </c>
      <c r="D4633">
        <v>0</v>
      </c>
      <c r="E4633">
        <v>0</v>
      </c>
      <c r="F4633">
        <v>0</v>
      </c>
      <c r="G4633">
        <v>0</v>
      </c>
    </row>
    <row r="4634" spans="1:10" x14ac:dyDescent="0.2">
      <c r="A4634" t="s">
        <v>4267</v>
      </c>
      <c r="B4634">
        <v>0</v>
      </c>
      <c r="C4634">
        <v>0</v>
      </c>
      <c r="D4634">
        <v>0</v>
      </c>
      <c r="E4634">
        <v>0</v>
      </c>
      <c r="F4634">
        <v>0</v>
      </c>
      <c r="G4634">
        <v>0</v>
      </c>
    </row>
    <row r="4635" spans="1:10" x14ac:dyDescent="0.2">
      <c r="A4635" t="s">
        <v>4268</v>
      </c>
      <c r="B4635">
        <v>0</v>
      </c>
      <c r="C4635">
        <v>0</v>
      </c>
      <c r="D4635">
        <v>0</v>
      </c>
      <c r="E4635">
        <v>0</v>
      </c>
      <c r="F4635">
        <v>0</v>
      </c>
      <c r="G4635">
        <v>0</v>
      </c>
    </row>
    <row r="4636" spans="1:10" x14ac:dyDescent="0.2">
      <c r="A4636" t="s">
        <v>4269</v>
      </c>
      <c r="B4636">
        <v>0</v>
      </c>
      <c r="C4636">
        <v>0</v>
      </c>
      <c r="D4636">
        <v>0</v>
      </c>
      <c r="E4636">
        <v>0</v>
      </c>
      <c r="F4636">
        <v>0</v>
      </c>
      <c r="G4636">
        <v>0</v>
      </c>
    </row>
    <row r="4637" spans="1:10" x14ac:dyDescent="0.2">
      <c r="A4637" t="s">
        <v>4270</v>
      </c>
      <c r="B4637">
        <v>0</v>
      </c>
      <c r="C4637">
        <v>0</v>
      </c>
      <c r="D4637">
        <v>0</v>
      </c>
      <c r="E4637">
        <v>0</v>
      </c>
      <c r="F4637">
        <v>0</v>
      </c>
      <c r="G4637">
        <v>0</v>
      </c>
    </row>
    <row r="4638" spans="1:10" x14ac:dyDescent="0.2">
      <c r="A4638" t="s">
        <v>4271</v>
      </c>
      <c r="B4638">
        <v>0</v>
      </c>
      <c r="C4638">
        <v>0</v>
      </c>
      <c r="D4638">
        <v>0</v>
      </c>
      <c r="E4638">
        <v>0</v>
      </c>
      <c r="F4638">
        <v>0</v>
      </c>
      <c r="G4638">
        <v>0</v>
      </c>
    </row>
    <row r="4639" spans="1:10" x14ac:dyDescent="0.2">
      <c r="A4639" t="s">
        <v>4272</v>
      </c>
      <c r="B4639">
        <v>0</v>
      </c>
      <c r="C4639">
        <v>0</v>
      </c>
      <c r="D4639">
        <v>0</v>
      </c>
      <c r="E4639">
        <v>0</v>
      </c>
      <c r="F4639">
        <v>0</v>
      </c>
      <c r="G4639">
        <v>0</v>
      </c>
    </row>
    <row r="4640" spans="1:10" x14ac:dyDescent="0.2">
      <c r="A4640" t="s">
        <v>4273</v>
      </c>
      <c r="B4640">
        <v>0</v>
      </c>
      <c r="C4640">
        <v>0</v>
      </c>
      <c r="D4640">
        <v>0</v>
      </c>
      <c r="E4640">
        <v>0</v>
      </c>
      <c r="F4640">
        <v>0</v>
      </c>
      <c r="G4640">
        <v>0</v>
      </c>
    </row>
    <row r="4641" spans="1:7" x14ac:dyDescent="0.2">
      <c r="A4641" t="s">
        <v>4274</v>
      </c>
      <c r="B4641">
        <v>0</v>
      </c>
      <c r="C4641">
        <v>0</v>
      </c>
      <c r="D4641">
        <v>0</v>
      </c>
      <c r="E4641">
        <v>0</v>
      </c>
      <c r="F4641">
        <v>0</v>
      </c>
      <c r="G4641">
        <v>0</v>
      </c>
    </row>
    <row r="4642" spans="1:7" x14ac:dyDescent="0.2">
      <c r="A4642" t="s">
        <v>4275</v>
      </c>
      <c r="B4642">
        <v>0</v>
      </c>
      <c r="C4642">
        <v>0</v>
      </c>
      <c r="D4642">
        <v>0</v>
      </c>
      <c r="E4642">
        <v>0</v>
      </c>
      <c r="F4642">
        <v>0</v>
      </c>
      <c r="G4642">
        <v>0</v>
      </c>
    </row>
    <row r="4643" spans="1:7" x14ac:dyDescent="0.2">
      <c r="A4643" t="s">
        <v>4276</v>
      </c>
      <c r="B4643">
        <v>0</v>
      </c>
      <c r="C4643">
        <v>0</v>
      </c>
      <c r="D4643">
        <v>0</v>
      </c>
      <c r="E4643">
        <v>0</v>
      </c>
      <c r="F4643">
        <v>0</v>
      </c>
      <c r="G4643">
        <v>0</v>
      </c>
    </row>
    <row r="4644" spans="1:7" x14ac:dyDescent="0.2">
      <c r="A4644" t="s">
        <v>4277</v>
      </c>
      <c r="B4644">
        <v>0</v>
      </c>
      <c r="C4644">
        <v>0</v>
      </c>
      <c r="D4644">
        <v>0</v>
      </c>
      <c r="E4644">
        <v>0</v>
      </c>
      <c r="F4644">
        <v>0</v>
      </c>
      <c r="G4644">
        <v>0</v>
      </c>
    </row>
    <row r="4645" spans="1:7" x14ac:dyDescent="0.2">
      <c r="A4645" t="s">
        <v>4278</v>
      </c>
      <c r="B4645">
        <v>0</v>
      </c>
      <c r="C4645">
        <v>0</v>
      </c>
      <c r="D4645">
        <v>0</v>
      </c>
      <c r="E4645">
        <v>0</v>
      </c>
      <c r="F4645">
        <v>0</v>
      </c>
      <c r="G4645">
        <v>0</v>
      </c>
    </row>
    <row r="4646" spans="1:7" x14ac:dyDescent="0.2">
      <c r="A4646" t="s">
        <v>4279</v>
      </c>
      <c r="B4646">
        <v>0</v>
      </c>
      <c r="C4646">
        <v>0</v>
      </c>
      <c r="D4646">
        <v>1</v>
      </c>
      <c r="E4646">
        <v>0</v>
      </c>
      <c r="F4646">
        <v>0</v>
      </c>
      <c r="G4646">
        <v>1</v>
      </c>
    </row>
    <row r="4647" spans="1:7" x14ac:dyDescent="0.2">
      <c r="A4647" t="s">
        <v>4280</v>
      </c>
      <c r="B4647">
        <v>0</v>
      </c>
      <c r="C4647">
        <v>1</v>
      </c>
      <c r="D4647">
        <v>0</v>
      </c>
      <c r="E4647">
        <v>0</v>
      </c>
      <c r="F4647">
        <v>0</v>
      </c>
      <c r="G4647">
        <v>1</v>
      </c>
    </row>
    <row r="4648" spans="1:7" x14ac:dyDescent="0.2">
      <c r="A4648" t="s">
        <v>4281</v>
      </c>
      <c r="B4648">
        <v>44</v>
      </c>
      <c r="C4648">
        <v>43</v>
      </c>
      <c r="D4648">
        <v>145</v>
      </c>
      <c r="E4648">
        <v>79</v>
      </c>
      <c r="F4648">
        <v>0</v>
      </c>
      <c r="G4648">
        <v>312</v>
      </c>
    </row>
    <row r="4649" spans="1:7" x14ac:dyDescent="0.2">
      <c r="A4649" t="s">
        <v>4282</v>
      </c>
      <c r="B4649">
        <v>28</v>
      </c>
      <c r="C4649">
        <v>35</v>
      </c>
      <c r="D4649">
        <v>39</v>
      </c>
      <c r="E4649">
        <v>2</v>
      </c>
      <c r="F4649">
        <v>0</v>
      </c>
      <c r="G4649">
        <v>103</v>
      </c>
    </row>
    <row r="4650" spans="1:7" x14ac:dyDescent="0.2">
      <c r="A4650" t="s">
        <v>4283</v>
      </c>
      <c r="B4650">
        <v>5</v>
      </c>
      <c r="C4650">
        <v>15</v>
      </c>
      <c r="D4650">
        <v>15</v>
      </c>
      <c r="E4650">
        <v>41</v>
      </c>
      <c r="F4650">
        <v>0</v>
      </c>
      <c r="G4650">
        <v>76</v>
      </c>
    </row>
    <row r="4651" spans="1:7" x14ac:dyDescent="0.2">
      <c r="A4651" t="s">
        <v>4284</v>
      </c>
      <c r="B4651">
        <v>2</v>
      </c>
      <c r="C4651">
        <v>0</v>
      </c>
      <c r="D4651">
        <v>3</v>
      </c>
      <c r="E4651">
        <v>1</v>
      </c>
      <c r="F4651">
        <v>0</v>
      </c>
      <c r="G4651">
        <v>5</v>
      </c>
    </row>
    <row r="4652" spans="1:7" x14ac:dyDescent="0.2">
      <c r="A4652" t="s">
        <v>4285</v>
      </c>
      <c r="B4652">
        <v>25</v>
      </c>
      <c r="C4652">
        <v>46</v>
      </c>
      <c r="D4652">
        <v>86</v>
      </c>
      <c r="E4652">
        <v>197</v>
      </c>
      <c r="F4652">
        <v>0</v>
      </c>
      <c r="G4652">
        <v>354</v>
      </c>
    </row>
    <row r="4653" spans="1:7" x14ac:dyDescent="0.2">
      <c r="A4653" t="s">
        <v>4286</v>
      </c>
      <c r="B4653">
        <v>12</v>
      </c>
      <c r="C4653">
        <v>2</v>
      </c>
      <c r="D4653">
        <v>7</v>
      </c>
      <c r="E4653">
        <v>2</v>
      </c>
      <c r="F4653">
        <v>0</v>
      </c>
      <c r="G4653">
        <v>23</v>
      </c>
    </row>
    <row r="4654" spans="1:7" x14ac:dyDescent="0.2">
      <c r="A4654" t="s">
        <v>4287</v>
      </c>
      <c r="B4654">
        <v>0</v>
      </c>
      <c r="C4654">
        <v>0</v>
      </c>
      <c r="D4654">
        <v>0</v>
      </c>
      <c r="E4654">
        <v>60</v>
      </c>
      <c r="F4654">
        <v>0</v>
      </c>
      <c r="G4654">
        <v>60</v>
      </c>
    </row>
    <row r="4655" spans="1:7" x14ac:dyDescent="0.2">
      <c r="A4655" t="s">
        <v>4288</v>
      </c>
      <c r="B4655">
        <v>0</v>
      </c>
      <c r="C4655">
        <v>0</v>
      </c>
      <c r="D4655">
        <v>0</v>
      </c>
      <c r="E4655">
        <v>0</v>
      </c>
      <c r="F4655">
        <v>0</v>
      </c>
      <c r="G4655">
        <v>0</v>
      </c>
    </row>
    <row r="4656" spans="1:7" x14ac:dyDescent="0.2">
      <c r="A4656" t="s">
        <v>4289</v>
      </c>
      <c r="B4656">
        <v>0</v>
      </c>
      <c r="C4656">
        <v>0</v>
      </c>
      <c r="D4656">
        <v>0</v>
      </c>
      <c r="E4656">
        <v>0</v>
      </c>
      <c r="F4656">
        <v>0</v>
      </c>
      <c r="G4656">
        <v>0</v>
      </c>
    </row>
    <row r="4657" spans="1:7" x14ac:dyDescent="0.2">
      <c r="A4657" t="s">
        <v>4290</v>
      </c>
      <c r="B4657">
        <v>0</v>
      </c>
      <c r="C4657">
        <v>0</v>
      </c>
      <c r="D4657">
        <v>0</v>
      </c>
      <c r="E4657">
        <v>0</v>
      </c>
      <c r="F4657">
        <v>0</v>
      </c>
      <c r="G4657">
        <v>0</v>
      </c>
    </row>
    <row r="4658" spans="1:7" x14ac:dyDescent="0.2">
      <c r="A4658" t="s">
        <v>4291</v>
      </c>
      <c r="B4658">
        <v>0</v>
      </c>
      <c r="C4658">
        <v>0</v>
      </c>
      <c r="D4658">
        <v>0</v>
      </c>
      <c r="E4658">
        <v>0</v>
      </c>
      <c r="F4658">
        <v>0</v>
      </c>
      <c r="G4658">
        <v>0</v>
      </c>
    </row>
    <row r="4659" spans="1:7" x14ac:dyDescent="0.2">
      <c r="A4659" t="s">
        <v>4292</v>
      </c>
      <c r="B4659">
        <v>0</v>
      </c>
      <c r="C4659">
        <v>0</v>
      </c>
      <c r="D4659">
        <v>0</v>
      </c>
      <c r="E4659">
        <v>0</v>
      </c>
      <c r="F4659">
        <v>0</v>
      </c>
      <c r="G4659">
        <v>0</v>
      </c>
    </row>
    <row r="4660" spans="1:7" x14ac:dyDescent="0.2">
      <c r="A4660" t="s">
        <v>4293</v>
      </c>
      <c r="B4660">
        <v>0</v>
      </c>
      <c r="C4660">
        <v>0</v>
      </c>
      <c r="D4660">
        <v>0</v>
      </c>
      <c r="E4660">
        <v>0</v>
      </c>
      <c r="F4660">
        <v>0</v>
      </c>
      <c r="G4660">
        <v>0</v>
      </c>
    </row>
    <row r="4661" spans="1:7" x14ac:dyDescent="0.2">
      <c r="A4661" t="s">
        <v>4294</v>
      </c>
      <c r="B4661">
        <v>0</v>
      </c>
      <c r="C4661">
        <v>0</v>
      </c>
      <c r="D4661">
        <v>0</v>
      </c>
      <c r="E4661">
        <v>0</v>
      </c>
      <c r="F4661">
        <v>0</v>
      </c>
      <c r="G4661">
        <v>0</v>
      </c>
    </row>
    <row r="4662" spans="1:7" x14ac:dyDescent="0.2">
      <c r="A4662" t="s">
        <v>4295</v>
      </c>
      <c r="B4662">
        <v>0</v>
      </c>
      <c r="C4662">
        <v>0</v>
      </c>
      <c r="D4662">
        <v>0</v>
      </c>
      <c r="E4662">
        <v>0</v>
      </c>
      <c r="F4662">
        <v>0</v>
      </c>
      <c r="G4662">
        <v>0</v>
      </c>
    </row>
    <row r="4663" spans="1:7" x14ac:dyDescent="0.2">
      <c r="A4663" t="s">
        <v>4296</v>
      </c>
      <c r="B4663">
        <v>0</v>
      </c>
      <c r="C4663">
        <v>0</v>
      </c>
      <c r="D4663">
        <v>0</v>
      </c>
      <c r="E4663">
        <v>0</v>
      </c>
      <c r="F4663">
        <v>0</v>
      </c>
      <c r="G4663">
        <v>0</v>
      </c>
    </row>
    <row r="4664" spans="1:7" x14ac:dyDescent="0.2">
      <c r="A4664" t="s">
        <v>4297</v>
      </c>
      <c r="B4664">
        <v>3</v>
      </c>
      <c r="C4664">
        <v>43</v>
      </c>
      <c r="D4664">
        <v>198</v>
      </c>
      <c r="E4664">
        <v>67</v>
      </c>
      <c r="F4664">
        <v>0</v>
      </c>
      <c r="G4664">
        <v>312</v>
      </c>
    </row>
    <row r="4665" spans="1:7" x14ac:dyDescent="0.2">
      <c r="A4665" t="s">
        <v>4298</v>
      </c>
      <c r="B4665">
        <v>35</v>
      </c>
      <c r="C4665">
        <v>29</v>
      </c>
      <c r="D4665">
        <v>45</v>
      </c>
      <c r="E4665">
        <v>134</v>
      </c>
      <c r="F4665">
        <v>0</v>
      </c>
      <c r="G4665">
        <v>243</v>
      </c>
    </row>
    <row r="4666" spans="1:7" x14ac:dyDescent="0.2">
      <c r="A4666" t="s">
        <v>4299</v>
      </c>
      <c r="B4666">
        <v>24</v>
      </c>
      <c r="C4666">
        <v>56</v>
      </c>
      <c r="D4666">
        <v>129</v>
      </c>
      <c r="E4666">
        <v>231</v>
      </c>
      <c r="F4666">
        <v>0</v>
      </c>
      <c r="G4666">
        <v>440</v>
      </c>
    </row>
    <row r="4667" spans="1:7" x14ac:dyDescent="0.2">
      <c r="A4667" t="s">
        <v>4300</v>
      </c>
      <c r="B4667">
        <v>0</v>
      </c>
      <c r="C4667">
        <v>4</v>
      </c>
      <c r="D4667">
        <v>10</v>
      </c>
      <c r="E4667">
        <v>14</v>
      </c>
      <c r="F4667">
        <v>0</v>
      </c>
      <c r="G4667">
        <v>28</v>
      </c>
    </row>
    <row r="4668" spans="1:7" x14ac:dyDescent="0.2">
      <c r="A4668" t="s">
        <v>4301</v>
      </c>
      <c r="B4668">
        <v>0</v>
      </c>
      <c r="C4668">
        <v>65</v>
      </c>
      <c r="D4668">
        <v>482</v>
      </c>
      <c r="E4668">
        <v>1033</v>
      </c>
      <c r="F4668">
        <v>0</v>
      </c>
      <c r="G4668">
        <v>1580</v>
      </c>
    </row>
    <row r="4669" spans="1:7" x14ac:dyDescent="0.2">
      <c r="A4669" t="s">
        <v>4302</v>
      </c>
      <c r="B4669">
        <v>6</v>
      </c>
      <c r="C4669">
        <v>19</v>
      </c>
      <c r="D4669">
        <v>96</v>
      </c>
      <c r="E4669">
        <v>49</v>
      </c>
      <c r="F4669">
        <v>0</v>
      </c>
      <c r="G4669">
        <v>169</v>
      </c>
    </row>
    <row r="4670" spans="1:7" x14ac:dyDescent="0.2">
      <c r="A4670" t="s">
        <v>4303</v>
      </c>
      <c r="B4670">
        <v>6</v>
      </c>
      <c r="C4670">
        <v>53</v>
      </c>
      <c r="D4670">
        <v>387</v>
      </c>
      <c r="E4670">
        <v>124</v>
      </c>
      <c r="F4670">
        <v>0</v>
      </c>
      <c r="G4670">
        <v>570</v>
      </c>
    </row>
    <row r="4671" spans="1:7" x14ac:dyDescent="0.2">
      <c r="A4671" t="s">
        <v>4304</v>
      </c>
      <c r="B4671">
        <v>0</v>
      </c>
      <c r="C4671">
        <v>2</v>
      </c>
      <c r="D4671">
        <v>37</v>
      </c>
      <c r="E4671">
        <v>13</v>
      </c>
      <c r="F4671">
        <v>0</v>
      </c>
      <c r="G4671">
        <v>52</v>
      </c>
    </row>
    <row r="4672" spans="1:7" x14ac:dyDescent="0.2">
      <c r="A4672" t="s">
        <v>4305</v>
      </c>
      <c r="B4672">
        <v>0</v>
      </c>
      <c r="C4672">
        <v>27</v>
      </c>
      <c r="D4672">
        <v>67</v>
      </c>
      <c r="E4672">
        <v>27</v>
      </c>
      <c r="F4672">
        <v>0</v>
      </c>
      <c r="G4672">
        <v>121</v>
      </c>
    </row>
    <row r="4673" spans="1:7" x14ac:dyDescent="0.2">
      <c r="A4673" t="s">
        <v>4306</v>
      </c>
      <c r="B4673">
        <v>2</v>
      </c>
      <c r="C4673">
        <v>18</v>
      </c>
      <c r="D4673">
        <v>7</v>
      </c>
      <c r="E4673">
        <v>22</v>
      </c>
      <c r="F4673">
        <v>0</v>
      </c>
      <c r="G4673">
        <v>49</v>
      </c>
    </row>
    <row r="4674" spans="1:7" x14ac:dyDescent="0.2">
      <c r="A4674" t="s">
        <v>4307</v>
      </c>
      <c r="B4674">
        <v>15</v>
      </c>
      <c r="C4674">
        <v>170</v>
      </c>
      <c r="D4674">
        <v>1027</v>
      </c>
      <c r="E4674">
        <v>1018</v>
      </c>
      <c r="F4674">
        <v>0</v>
      </c>
      <c r="G4674">
        <v>2231</v>
      </c>
    </row>
    <row r="4675" spans="1:7" x14ac:dyDescent="0.2">
      <c r="A4675" t="s">
        <v>4308</v>
      </c>
      <c r="B4675">
        <v>0</v>
      </c>
      <c r="C4675">
        <v>0</v>
      </c>
      <c r="D4675">
        <v>1</v>
      </c>
      <c r="E4675">
        <v>1</v>
      </c>
      <c r="F4675">
        <v>0</v>
      </c>
      <c r="G4675">
        <v>3</v>
      </c>
    </row>
    <row r="4676" spans="1:7" x14ac:dyDescent="0.2">
      <c r="A4676" t="s">
        <v>4309</v>
      </c>
      <c r="B4676">
        <v>0</v>
      </c>
      <c r="C4676">
        <v>0</v>
      </c>
      <c r="D4676">
        <v>0</v>
      </c>
      <c r="E4676">
        <v>0</v>
      </c>
      <c r="F4676">
        <v>0</v>
      </c>
      <c r="G4676">
        <v>0</v>
      </c>
    </row>
    <row r="4677" spans="1:7" x14ac:dyDescent="0.2">
      <c r="A4677" t="s">
        <v>4310</v>
      </c>
      <c r="B4677">
        <v>0</v>
      </c>
      <c r="C4677">
        <v>0</v>
      </c>
      <c r="D4677">
        <v>0</v>
      </c>
      <c r="E4677">
        <v>0</v>
      </c>
      <c r="F4677">
        <v>0</v>
      </c>
      <c r="G4677">
        <v>0</v>
      </c>
    </row>
    <row r="4678" spans="1:7" x14ac:dyDescent="0.2">
      <c r="A4678" t="s">
        <v>4311</v>
      </c>
      <c r="B4678">
        <v>0</v>
      </c>
      <c r="C4678">
        <v>0</v>
      </c>
      <c r="D4678">
        <v>0</v>
      </c>
      <c r="E4678">
        <v>443</v>
      </c>
      <c r="F4678">
        <v>285</v>
      </c>
      <c r="G4678">
        <v>728</v>
      </c>
    </row>
    <row r="4679" spans="1:7" x14ac:dyDescent="0.2">
      <c r="A4679" t="s">
        <v>4312</v>
      </c>
      <c r="B4679">
        <v>0</v>
      </c>
      <c r="C4679">
        <v>0</v>
      </c>
      <c r="D4679">
        <v>0</v>
      </c>
      <c r="E4679">
        <v>1968</v>
      </c>
      <c r="F4679">
        <v>869</v>
      </c>
      <c r="G4679">
        <v>2837</v>
      </c>
    </row>
    <row r="4680" spans="1:7" x14ac:dyDescent="0.2">
      <c r="A4680" t="s">
        <v>4313</v>
      </c>
      <c r="B4680">
        <v>0</v>
      </c>
      <c r="C4680">
        <v>0</v>
      </c>
      <c r="D4680">
        <v>0</v>
      </c>
      <c r="E4680">
        <v>0</v>
      </c>
      <c r="F4680">
        <v>0</v>
      </c>
      <c r="G4680">
        <v>0</v>
      </c>
    </row>
    <row r="4681" spans="1:7" x14ac:dyDescent="0.2">
      <c r="A4681" t="s">
        <v>4314</v>
      </c>
      <c r="B4681">
        <v>0</v>
      </c>
      <c r="C4681">
        <v>0</v>
      </c>
      <c r="D4681">
        <v>0</v>
      </c>
      <c r="E4681">
        <v>0</v>
      </c>
      <c r="F4681">
        <v>4191</v>
      </c>
      <c r="G4681">
        <v>4191</v>
      </c>
    </row>
    <row r="4682" spans="1:7" x14ac:dyDescent="0.2">
      <c r="A4682" t="s">
        <v>4315</v>
      </c>
      <c r="B4682">
        <v>0</v>
      </c>
      <c r="C4682">
        <v>0</v>
      </c>
      <c r="D4682">
        <v>0</v>
      </c>
      <c r="E4682">
        <v>0</v>
      </c>
      <c r="F4682">
        <v>1181</v>
      </c>
      <c r="G4682">
        <v>1181</v>
      </c>
    </row>
    <row r="4683" spans="1:7" x14ac:dyDescent="0.2">
      <c r="A4683" t="s">
        <v>4316</v>
      </c>
      <c r="B4683">
        <v>0</v>
      </c>
      <c r="C4683">
        <v>0</v>
      </c>
      <c r="D4683">
        <v>0</v>
      </c>
      <c r="E4683">
        <v>3285</v>
      </c>
      <c r="F4683">
        <v>17745</v>
      </c>
      <c r="G4683">
        <v>21030</v>
      </c>
    </row>
    <row r="4684" spans="1:7" x14ac:dyDescent="0.2">
      <c r="A4684" t="s">
        <v>4317</v>
      </c>
      <c r="B4684">
        <v>0</v>
      </c>
      <c r="C4684">
        <v>0</v>
      </c>
      <c r="D4684">
        <v>0</v>
      </c>
      <c r="E4684">
        <v>0</v>
      </c>
      <c r="F4684">
        <v>0</v>
      </c>
      <c r="G4684">
        <v>0</v>
      </c>
    </row>
    <row r="4685" spans="1:7" x14ac:dyDescent="0.2">
      <c r="A4685" t="s">
        <v>4318</v>
      </c>
      <c r="B4685">
        <v>0</v>
      </c>
      <c r="C4685">
        <v>0</v>
      </c>
      <c r="D4685">
        <v>0</v>
      </c>
      <c r="E4685">
        <v>0</v>
      </c>
      <c r="F4685">
        <v>11628</v>
      </c>
      <c r="G4685">
        <v>11628</v>
      </c>
    </row>
    <row r="4686" spans="1:7" x14ac:dyDescent="0.2">
      <c r="A4686" t="s">
        <v>4319</v>
      </c>
      <c r="B4686">
        <v>0</v>
      </c>
      <c r="C4686">
        <v>0</v>
      </c>
      <c r="D4686">
        <v>0</v>
      </c>
      <c r="E4686">
        <v>0</v>
      </c>
      <c r="F4686">
        <v>1222</v>
      </c>
      <c r="G4686">
        <v>1222</v>
      </c>
    </row>
    <row r="4687" spans="1:7" x14ac:dyDescent="0.2">
      <c r="A4687" t="s">
        <v>4320</v>
      </c>
      <c r="B4687">
        <v>0</v>
      </c>
      <c r="C4687">
        <v>0</v>
      </c>
      <c r="D4687">
        <v>0</v>
      </c>
      <c r="E4687">
        <v>0</v>
      </c>
      <c r="F4687">
        <v>4260</v>
      </c>
      <c r="G4687">
        <v>4260</v>
      </c>
    </row>
    <row r="4688" spans="1:7" x14ac:dyDescent="0.2">
      <c r="A4688" t="s">
        <v>4321</v>
      </c>
      <c r="B4688">
        <v>0</v>
      </c>
      <c r="C4688">
        <v>0</v>
      </c>
      <c r="D4688">
        <v>0</v>
      </c>
      <c r="E4688">
        <v>0</v>
      </c>
      <c r="F4688">
        <v>0</v>
      </c>
      <c r="G4688">
        <v>0</v>
      </c>
    </row>
    <row r="4689" spans="1:7" x14ac:dyDescent="0.2">
      <c r="A4689" t="s">
        <v>4322</v>
      </c>
      <c r="B4689">
        <v>0</v>
      </c>
      <c r="C4689">
        <v>0</v>
      </c>
      <c r="D4689">
        <v>0</v>
      </c>
      <c r="E4689">
        <v>0</v>
      </c>
      <c r="F4689">
        <v>0</v>
      </c>
      <c r="G4689">
        <v>0</v>
      </c>
    </row>
    <row r="4690" spans="1:7" x14ac:dyDescent="0.2">
      <c r="A4690" t="s">
        <v>4323</v>
      </c>
      <c r="B4690">
        <v>0</v>
      </c>
      <c r="C4690">
        <v>0</v>
      </c>
      <c r="D4690">
        <v>0</v>
      </c>
      <c r="E4690">
        <v>0</v>
      </c>
      <c r="F4690">
        <v>0</v>
      </c>
      <c r="G4690">
        <v>0</v>
      </c>
    </row>
    <row r="4691" spans="1:7" x14ac:dyDescent="0.2">
      <c r="A4691" t="s">
        <v>4324</v>
      </c>
      <c r="B4691">
        <v>0</v>
      </c>
      <c r="C4691">
        <v>0</v>
      </c>
      <c r="D4691">
        <v>0</v>
      </c>
      <c r="E4691">
        <v>0</v>
      </c>
      <c r="F4691">
        <v>0</v>
      </c>
      <c r="G4691">
        <v>0</v>
      </c>
    </row>
    <row r="4692" spans="1:7" x14ac:dyDescent="0.2">
      <c r="A4692" t="s">
        <v>4325</v>
      </c>
      <c r="B4692">
        <v>0</v>
      </c>
      <c r="C4692">
        <v>0</v>
      </c>
      <c r="D4692">
        <v>0</v>
      </c>
      <c r="E4692">
        <v>0</v>
      </c>
      <c r="F4692">
        <v>0</v>
      </c>
      <c r="G4692">
        <v>0</v>
      </c>
    </row>
    <row r="4693" spans="1:7" x14ac:dyDescent="0.2">
      <c r="A4693" t="s">
        <v>4326</v>
      </c>
      <c r="B4693">
        <v>0</v>
      </c>
      <c r="C4693">
        <v>0</v>
      </c>
      <c r="D4693">
        <v>0</v>
      </c>
      <c r="E4693">
        <v>0</v>
      </c>
      <c r="F4693">
        <v>0</v>
      </c>
      <c r="G4693">
        <v>0</v>
      </c>
    </row>
    <row r="4694" spans="1:7" x14ac:dyDescent="0.2">
      <c r="A4694" t="s">
        <v>4327</v>
      </c>
      <c r="B4694">
        <v>0</v>
      </c>
      <c r="C4694">
        <v>0</v>
      </c>
      <c r="D4694">
        <v>0</v>
      </c>
      <c r="E4694">
        <v>18</v>
      </c>
      <c r="F4694">
        <v>49</v>
      </c>
      <c r="G4694">
        <v>66</v>
      </c>
    </row>
    <row r="4695" spans="1:7" x14ac:dyDescent="0.2">
      <c r="A4695" t="s">
        <v>4328</v>
      </c>
      <c r="B4695">
        <v>0</v>
      </c>
      <c r="C4695">
        <v>0</v>
      </c>
      <c r="D4695">
        <v>0</v>
      </c>
      <c r="E4695">
        <v>0</v>
      </c>
      <c r="F4695">
        <v>0</v>
      </c>
      <c r="G4695">
        <v>0</v>
      </c>
    </row>
    <row r="4696" spans="1:7" x14ac:dyDescent="0.2">
      <c r="A4696" t="s">
        <v>4329</v>
      </c>
      <c r="B4696">
        <v>0</v>
      </c>
      <c r="C4696">
        <v>0</v>
      </c>
      <c r="D4696">
        <v>0</v>
      </c>
      <c r="E4696">
        <v>0</v>
      </c>
      <c r="F4696">
        <v>0</v>
      </c>
      <c r="G4696">
        <v>0</v>
      </c>
    </row>
    <row r="4697" spans="1:7" x14ac:dyDescent="0.2">
      <c r="A4697" t="s">
        <v>4330</v>
      </c>
      <c r="B4697">
        <v>0</v>
      </c>
      <c r="C4697">
        <v>0</v>
      </c>
      <c r="D4697">
        <v>0</v>
      </c>
      <c r="E4697">
        <v>0</v>
      </c>
      <c r="F4697">
        <v>0</v>
      </c>
      <c r="G4697">
        <v>0</v>
      </c>
    </row>
    <row r="4698" spans="1:7" x14ac:dyDescent="0.2">
      <c r="A4698" t="s">
        <v>4331</v>
      </c>
      <c r="B4698">
        <v>0</v>
      </c>
      <c r="C4698">
        <v>0</v>
      </c>
      <c r="D4698">
        <v>0</v>
      </c>
      <c r="E4698">
        <v>0</v>
      </c>
      <c r="F4698">
        <v>0</v>
      </c>
      <c r="G4698">
        <v>0</v>
      </c>
    </row>
    <row r="4699" spans="1:7" x14ac:dyDescent="0.2">
      <c r="A4699" t="s">
        <v>4332</v>
      </c>
      <c r="B4699">
        <v>0</v>
      </c>
      <c r="C4699">
        <v>0</v>
      </c>
      <c r="D4699">
        <v>0</v>
      </c>
      <c r="E4699">
        <v>9</v>
      </c>
      <c r="F4699">
        <v>2</v>
      </c>
      <c r="G4699">
        <v>11</v>
      </c>
    </row>
    <row r="4700" spans="1:7" x14ac:dyDescent="0.2">
      <c r="A4700" t="s">
        <v>4333</v>
      </c>
      <c r="B4700">
        <v>0</v>
      </c>
      <c r="C4700">
        <v>0</v>
      </c>
      <c r="D4700">
        <v>0</v>
      </c>
      <c r="E4700">
        <v>0</v>
      </c>
      <c r="F4700">
        <v>0</v>
      </c>
      <c r="G4700">
        <v>0</v>
      </c>
    </row>
    <row r="4701" spans="1:7" x14ac:dyDescent="0.2">
      <c r="A4701" t="s">
        <v>4334</v>
      </c>
      <c r="B4701">
        <v>0</v>
      </c>
      <c r="C4701">
        <v>0</v>
      </c>
      <c r="D4701">
        <v>0</v>
      </c>
      <c r="E4701">
        <v>0</v>
      </c>
      <c r="F4701">
        <v>0</v>
      </c>
      <c r="G4701">
        <v>0</v>
      </c>
    </row>
    <row r="4702" spans="1:7" x14ac:dyDescent="0.2">
      <c r="A4702" t="s">
        <v>4335</v>
      </c>
      <c r="B4702">
        <v>0</v>
      </c>
      <c r="C4702">
        <v>0</v>
      </c>
      <c r="D4702">
        <v>0</v>
      </c>
      <c r="E4702">
        <v>0</v>
      </c>
      <c r="F4702">
        <v>0</v>
      </c>
      <c r="G4702">
        <v>0</v>
      </c>
    </row>
    <row r="4703" spans="1:7" x14ac:dyDescent="0.2">
      <c r="A4703" t="s">
        <v>4336</v>
      </c>
      <c r="B4703">
        <v>0</v>
      </c>
      <c r="C4703">
        <v>0</v>
      </c>
      <c r="D4703">
        <v>0</v>
      </c>
      <c r="E4703">
        <v>0</v>
      </c>
      <c r="F4703">
        <v>0</v>
      </c>
      <c r="G4703">
        <v>0</v>
      </c>
    </row>
    <row r="4704" spans="1:7" x14ac:dyDescent="0.2">
      <c r="A4704" t="s">
        <v>4337</v>
      </c>
      <c r="B4704">
        <v>0</v>
      </c>
      <c r="C4704">
        <v>0</v>
      </c>
      <c r="D4704">
        <v>0</v>
      </c>
      <c r="E4704">
        <v>0</v>
      </c>
      <c r="F4704">
        <v>0</v>
      </c>
      <c r="G4704">
        <v>0</v>
      </c>
    </row>
    <row r="4705" spans="1:7" x14ac:dyDescent="0.2">
      <c r="A4705" t="s">
        <v>4338</v>
      </c>
      <c r="B4705">
        <v>0</v>
      </c>
      <c r="C4705">
        <v>0</v>
      </c>
      <c r="D4705">
        <v>0</v>
      </c>
      <c r="E4705">
        <v>1</v>
      </c>
      <c r="F4705">
        <v>0</v>
      </c>
      <c r="G4705">
        <v>1</v>
      </c>
    </row>
    <row r="4706" spans="1:7" x14ac:dyDescent="0.2">
      <c r="A4706" t="s">
        <v>4339</v>
      </c>
      <c r="B4706">
        <v>0</v>
      </c>
      <c r="C4706">
        <v>0</v>
      </c>
      <c r="D4706">
        <v>0</v>
      </c>
      <c r="E4706">
        <v>0</v>
      </c>
      <c r="F4706">
        <v>0</v>
      </c>
      <c r="G4706">
        <v>0</v>
      </c>
    </row>
    <row r="4707" spans="1:7" x14ac:dyDescent="0.2">
      <c r="A4707" t="s">
        <v>4340</v>
      </c>
      <c r="B4707">
        <v>0</v>
      </c>
      <c r="C4707">
        <v>0</v>
      </c>
      <c r="D4707">
        <v>0</v>
      </c>
      <c r="E4707">
        <v>0</v>
      </c>
      <c r="F4707">
        <v>0</v>
      </c>
      <c r="G4707">
        <v>0</v>
      </c>
    </row>
    <row r="4708" spans="1:7" x14ac:dyDescent="0.2">
      <c r="A4708" t="s">
        <v>4341</v>
      </c>
      <c r="B4708">
        <v>0</v>
      </c>
      <c r="C4708">
        <v>0</v>
      </c>
      <c r="D4708">
        <v>0</v>
      </c>
      <c r="E4708">
        <v>0</v>
      </c>
      <c r="F4708">
        <v>0</v>
      </c>
      <c r="G4708">
        <v>0</v>
      </c>
    </row>
    <row r="4709" spans="1:7" x14ac:dyDescent="0.2">
      <c r="A4709" t="s">
        <v>4342</v>
      </c>
      <c r="B4709">
        <v>0</v>
      </c>
      <c r="C4709">
        <v>0</v>
      </c>
      <c r="D4709">
        <v>0</v>
      </c>
      <c r="E4709">
        <v>0</v>
      </c>
      <c r="F4709">
        <v>0</v>
      </c>
      <c r="G4709">
        <v>0</v>
      </c>
    </row>
    <row r="4710" spans="1:7" x14ac:dyDescent="0.2">
      <c r="A4710" t="s">
        <v>4343</v>
      </c>
      <c r="B4710">
        <v>0</v>
      </c>
      <c r="C4710">
        <v>0</v>
      </c>
      <c r="D4710">
        <v>0</v>
      </c>
      <c r="E4710">
        <v>0</v>
      </c>
      <c r="F4710">
        <v>0</v>
      </c>
      <c r="G4710">
        <v>0</v>
      </c>
    </row>
    <row r="4711" spans="1:7" x14ac:dyDescent="0.2">
      <c r="A4711" t="s">
        <v>1728</v>
      </c>
      <c r="B4711">
        <v>0</v>
      </c>
      <c r="C4711">
        <v>0</v>
      </c>
      <c r="D4711">
        <v>0</v>
      </c>
      <c r="E4711">
        <v>0</v>
      </c>
      <c r="F4711">
        <v>0</v>
      </c>
      <c r="G4711">
        <v>0</v>
      </c>
    </row>
    <row r="4712" spans="1:7" x14ac:dyDescent="0.2">
      <c r="A4712" t="s">
        <v>1730</v>
      </c>
      <c r="B4712">
        <v>0</v>
      </c>
      <c r="C4712">
        <v>1</v>
      </c>
      <c r="D4712">
        <v>4</v>
      </c>
      <c r="E4712">
        <v>0</v>
      </c>
      <c r="F4712">
        <v>82</v>
      </c>
      <c r="G4712">
        <v>88</v>
      </c>
    </row>
    <row r="4713" spans="1:7" x14ac:dyDescent="0.2">
      <c r="A4713" t="s">
        <v>1733</v>
      </c>
      <c r="B4713">
        <v>0</v>
      </c>
      <c r="C4713">
        <v>0</v>
      </c>
      <c r="D4713">
        <v>0</v>
      </c>
      <c r="E4713">
        <v>0</v>
      </c>
      <c r="F4713">
        <v>0</v>
      </c>
      <c r="G4713">
        <v>0</v>
      </c>
    </row>
    <row r="4714" spans="1:7" x14ac:dyDescent="0.2">
      <c r="A4714" t="s">
        <v>1738</v>
      </c>
      <c r="B4714">
        <v>0</v>
      </c>
      <c r="C4714">
        <v>0</v>
      </c>
      <c r="D4714">
        <v>0</v>
      </c>
      <c r="E4714">
        <v>0</v>
      </c>
      <c r="F4714">
        <v>0</v>
      </c>
      <c r="G4714">
        <v>0</v>
      </c>
    </row>
    <row r="4715" spans="1:7" x14ac:dyDescent="0.2">
      <c r="A4715" t="s">
        <v>1744</v>
      </c>
      <c r="B4715">
        <v>0</v>
      </c>
      <c r="C4715">
        <v>0</v>
      </c>
      <c r="D4715">
        <v>0</v>
      </c>
      <c r="E4715">
        <v>0</v>
      </c>
      <c r="F4715">
        <v>0</v>
      </c>
      <c r="G4715">
        <v>0</v>
      </c>
    </row>
    <row r="4716" spans="1:7" x14ac:dyDescent="0.2">
      <c r="A4716" t="s">
        <v>1747</v>
      </c>
      <c r="B4716">
        <v>0</v>
      </c>
      <c r="C4716">
        <v>0</v>
      </c>
      <c r="D4716">
        <v>0</v>
      </c>
      <c r="E4716">
        <v>0</v>
      </c>
      <c r="F4716">
        <v>0</v>
      </c>
      <c r="G4716">
        <v>0</v>
      </c>
    </row>
    <row r="4717" spans="1:7" x14ac:dyDescent="0.2">
      <c r="A4717" t="s">
        <v>1751</v>
      </c>
      <c r="B4717">
        <v>0</v>
      </c>
      <c r="C4717">
        <v>0</v>
      </c>
      <c r="D4717">
        <v>0</v>
      </c>
      <c r="E4717">
        <v>0</v>
      </c>
      <c r="F4717">
        <v>0</v>
      </c>
      <c r="G4717">
        <v>0</v>
      </c>
    </row>
    <row r="4718" spans="1:7" x14ac:dyDescent="0.2">
      <c r="A4718" t="s">
        <v>1755</v>
      </c>
      <c r="B4718">
        <v>0</v>
      </c>
      <c r="C4718">
        <v>0</v>
      </c>
      <c r="D4718">
        <v>0</v>
      </c>
      <c r="E4718">
        <v>1</v>
      </c>
      <c r="F4718">
        <v>8</v>
      </c>
      <c r="G4718">
        <v>9</v>
      </c>
    </row>
    <row r="4719" spans="1:7" x14ac:dyDescent="0.2">
      <c r="A4719" t="s">
        <v>1757</v>
      </c>
      <c r="B4719">
        <v>0</v>
      </c>
      <c r="C4719">
        <v>0</v>
      </c>
      <c r="D4719">
        <v>0</v>
      </c>
      <c r="E4719">
        <v>1</v>
      </c>
      <c r="F4719">
        <v>8</v>
      </c>
      <c r="G4719">
        <v>10</v>
      </c>
    </row>
    <row r="4720" spans="1:7" x14ac:dyDescent="0.2">
      <c r="A4720" t="s">
        <v>1761</v>
      </c>
      <c r="B4720">
        <v>0</v>
      </c>
      <c r="C4720">
        <v>0</v>
      </c>
      <c r="D4720">
        <v>0</v>
      </c>
      <c r="E4720">
        <v>0</v>
      </c>
      <c r="F4720">
        <v>0</v>
      </c>
      <c r="G4720">
        <v>0</v>
      </c>
    </row>
    <row r="4721" spans="1:7" x14ac:dyDescent="0.2">
      <c r="A4721" t="s">
        <v>1764</v>
      </c>
      <c r="B4721">
        <v>0</v>
      </c>
      <c r="C4721">
        <v>0</v>
      </c>
      <c r="D4721">
        <v>0</v>
      </c>
      <c r="E4721">
        <v>0</v>
      </c>
      <c r="F4721">
        <v>0</v>
      </c>
      <c r="G4721">
        <v>0</v>
      </c>
    </row>
    <row r="4722" spans="1:7" x14ac:dyDescent="0.2">
      <c r="A4722" t="s">
        <v>1770</v>
      </c>
      <c r="B4722">
        <v>0</v>
      </c>
      <c r="C4722">
        <v>0</v>
      </c>
      <c r="D4722">
        <v>13</v>
      </c>
      <c r="E4722">
        <v>66</v>
      </c>
      <c r="F4722">
        <v>0</v>
      </c>
      <c r="G4722">
        <v>79</v>
      </c>
    </row>
    <row r="4723" spans="1:7" x14ac:dyDescent="0.2">
      <c r="A4723" t="s">
        <v>1772</v>
      </c>
      <c r="B4723">
        <v>0</v>
      </c>
      <c r="C4723">
        <v>0</v>
      </c>
      <c r="D4723">
        <v>1</v>
      </c>
      <c r="E4723">
        <v>1</v>
      </c>
      <c r="F4723">
        <v>0</v>
      </c>
      <c r="G4723">
        <v>2</v>
      </c>
    </row>
    <row r="4724" spans="1:7" x14ac:dyDescent="0.2">
      <c r="A4724" t="s">
        <v>1774</v>
      </c>
      <c r="B4724">
        <v>0</v>
      </c>
      <c r="C4724">
        <v>0</v>
      </c>
      <c r="D4724">
        <v>0</v>
      </c>
      <c r="E4724">
        <v>0</v>
      </c>
      <c r="F4724">
        <v>0</v>
      </c>
      <c r="G4724">
        <v>0</v>
      </c>
    </row>
    <row r="4725" spans="1:7" x14ac:dyDescent="0.2">
      <c r="A4725" t="s">
        <v>1777</v>
      </c>
      <c r="B4725">
        <v>0</v>
      </c>
      <c r="C4725">
        <v>0</v>
      </c>
      <c r="D4725">
        <v>0</v>
      </c>
      <c r="E4725">
        <v>0</v>
      </c>
      <c r="F4725">
        <v>0</v>
      </c>
      <c r="G4725">
        <v>0</v>
      </c>
    </row>
    <row r="4726" spans="1:7" x14ac:dyDescent="0.2">
      <c r="A4726" t="s">
        <v>1782</v>
      </c>
      <c r="B4726">
        <v>0</v>
      </c>
      <c r="C4726">
        <v>0</v>
      </c>
      <c r="D4726">
        <v>0</v>
      </c>
      <c r="E4726">
        <v>0</v>
      </c>
      <c r="F4726">
        <v>0</v>
      </c>
      <c r="G4726">
        <v>0</v>
      </c>
    </row>
    <row r="4727" spans="1:7" x14ac:dyDescent="0.2">
      <c r="A4727" t="s">
        <v>1274</v>
      </c>
      <c r="B4727">
        <v>0</v>
      </c>
      <c r="C4727">
        <v>0</v>
      </c>
      <c r="D4727">
        <v>0</v>
      </c>
      <c r="E4727">
        <v>0</v>
      </c>
      <c r="F4727">
        <v>0</v>
      </c>
      <c r="G4727">
        <v>0</v>
      </c>
    </row>
    <row r="4728" spans="1:7" x14ac:dyDescent="0.2">
      <c r="A4728" t="s">
        <v>1277</v>
      </c>
      <c r="B4728">
        <v>0</v>
      </c>
      <c r="C4728">
        <v>0</v>
      </c>
      <c r="D4728">
        <v>0</v>
      </c>
      <c r="E4728">
        <v>0</v>
      </c>
      <c r="F4728">
        <v>0</v>
      </c>
      <c r="G4728">
        <v>0</v>
      </c>
    </row>
    <row r="4729" spans="1:7" x14ac:dyDescent="0.2">
      <c r="A4729" t="s">
        <v>1798</v>
      </c>
      <c r="B4729">
        <v>0</v>
      </c>
      <c r="C4729">
        <v>0</v>
      </c>
      <c r="D4729">
        <v>0</v>
      </c>
      <c r="E4729">
        <v>0</v>
      </c>
      <c r="F4729">
        <v>0</v>
      </c>
      <c r="G4729">
        <v>0</v>
      </c>
    </row>
    <row r="4730" spans="1:7" x14ac:dyDescent="0.2">
      <c r="A4730" t="s">
        <v>1803</v>
      </c>
      <c r="B4730">
        <v>0</v>
      </c>
      <c r="C4730">
        <v>0</v>
      </c>
      <c r="D4730">
        <v>0</v>
      </c>
      <c r="E4730">
        <v>0</v>
      </c>
      <c r="F4730">
        <v>0</v>
      </c>
      <c r="G4730">
        <v>0</v>
      </c>
    </row>
    <row r="4731" spans="1:7" x14ac:dyDescent="0.2">
      <c r="A4731" t="s">
        <v>1808</v>
      </c>
      <c r="B4731">
        <v>0</v>
      </c>
      <c r="C4731">
        <v>0</v>
      </c>
      <c r="D4731">
        <v>0</v>
      </c>
      <c r="E4731">
        <v>0</v>
      </c>
      <c r="F4731">
        <v>0</v>
      </c>
      <c r="G4731">
        <v>0</v>
      </c>
    </row>
    <row r="4732" spans="1:7" x14ac:dyDescent="0.2">
      <c r="A4732" t="s">
        <v>1813</v>
      </c>
      <c r="B4732">
        <v>0</v>
      </c>
      <c r="C4732">
        <v>0</v>
      </c>
      <c r="D4732">
        <v>0</v>
      </c>
      <c r="E4732">
        <v>0</v>
      </c>
      <c r="F4732">
        <v>0</v>
      </c>
      <c r="G4732">
        <v>0</v>
      </c>
    </row>
    <row r="4733" spans="1:7" x14ac:dyDescent="0.2">
      <c r="A4733" t="s">
        <v>1819</v>
      </c>
      <c r="B4733">
        <v>0</v>
      </c>
      <c r="C4733">
        <v>0</v>
      </c>
      <c r="D4733">
        <v>0</v>
      </c>
      <c r="E4733">
        <v>0</v>
      </c>
      <c r="F4733">
        <v>0</v>
      </c>
      <c r="G4733">
        <v>0</v>
      </c>
    </row>
    <row r="4734" spans="1:7" x14ac:dyDescent="0.2">
      <c r="A4734" t="s">
        <v>1826</v>
      </c>
      <c r="B4734">
        <v>0</v>
      </c>
      <c r="C4734">
        <v>0</v>
      </c>
      <c r="D4734">
        <v>0</v>
      </c>
      <c r="E4734">
        <v>0</v>
      </c>
      <c r="F4734">
        <v>0</v>
      </c>
      <c r="G4734">
        <v>0</v>
      </c>
    </row>
    <row r="4735" spans="1:7" x14ac:dyDescent="0.2">
      <c r="A4735" t="s">
        <v>1830</v>
      </c>
      <c r="B4735">
        <v>0</v>
      </c>
      <c r="C4735">
        <v>0</v>
      </c>
      <c r="D4735">
        <v>0</v>
      </c>
      <c r="E4735">
        <v>0</v>
      </c>
      <c r="F4735">
        <v>0</v>
      </c>
      <c r="G4735">
        <v>0</v>
      </c>
    </row>
    <row r="4736" spans="1:7" x14ac:dyDescent="0.2">
      <c r="A4736" t="s">
        <v>1836</v>
      </c>
      <c r="B4736">
        <v>0</v>
      </c>
      <c r="C4736">
        <v>0</v>
      </c>
      <c r="D4736">
        <v>0</v>
      </c>
      <c r="E4736">
        <v>0</v>
      </c>
      <c r="F4736">
        <v>0</v>
      </c>
      <c r="G4736">
        <v>0</v>
      </c>
    </row>
    <row r="4737" spans="1:7" x14ac:dyDescent="0.2">
      <c r="A4737" t="s">
        <v>1841</v>
      </c>
      <c r="B4737">
        <v>0</v>
      </c>
      <c r="C4737">
        <v>0</v>
      </c>
      <c r="D4737">
        <v>0</v>
      </c>
      <c r="E4737">
        <v>0</v>
      </c>
      <c r="F4737">
        <v>0</v>
      </c>
      <c r="G4737">
        <v>0</v>
      </c>
    </row>
    <row r="4738" spans="1:7" x14ac:dyDescent="0.2">
      <c r="A4738" t="s">
        <v>1842</v>
      </c>
      <c r="B4738">
        <v>0</v>
      </c>
      <c r="C4738">
        <v>0</v>
      </c>
      <c r="D4738">
        <v>0</v>
      </c>
      <c r="E4738">
        <v>0</v>
      </c>
      <c r="F4738">
        <v>0</v>
      </c>
      <c r="G4738">
        <v>0</v>
      </c>
    </row>
    <row r="4739" spans="1:7" x14ac:dyDescent="0.2">
      <c r="A4739" t="s">
        <v>1843</v>
      </c>
      <c r="B4739">
        <v>0</v>
      </c>
      <c r="C4739">
        <v>0</v>
      </c>
      <c r="D4739">
        <v>0</v>
      </c>
      <c r="E4739">
        <v>0</v>
      </c>
      <c r="F4739">
        <v>0</v>
      </c>
      <c r="G4739">
        <v>0</v>
      </c>
    </row>
    <row r="4740" spans="1:7" x14ac:dyDescent="0.2">
      <c r="A4740" t="s">
        <v>1846</v>
      </c>
      <c r="B4740">
        <v>0</v>
      </c>
      <c r="C4740">
        <v>0</v>
      </c>
      <c r="D4740">
        <v>0</v>
      </c>
      <c r="E4740">
        <v>0</v>
      </c>
      <c r="F4740">
        <v>0</v>
      </c>
      <c r="G4740">
        <v>0</v>
      </c>
    </row>
    <row r="4741" spans="1:7" x14ac:dyDescent="0.2">
      <c r="A4741" t="s">
        <v>1851</v>
      </c>
      <c r="B4741">
        <v>0</v>
      </c>
      <c r="C4741">
        <v>0</v>
      </c>
      <c r="D4741">
        <v>0</v>
      </c>
      <c r="E4741">
        <v>0</v>
      </c>
      <c r="F4741">
        <v>0</v>
      </c>
      <c r="G4741">
        <v>0</v>
      </c>
    </row>
    <row r="4742" spans="1:7" x14ac:dyDescent="0.2">
      <c r="A4742" t="s">
        <v>1857</v>
      </c>
      <c r="B4742">
        <v>0</v>
      </c>
      <c r="C4742">
        <v>0</v>
      </c>
      <c r="D4742">
        <v>0</v>
      </c>
      <c r="E4742">
        <v>0</v>
      </c>
      <c r="F4742">
        <v>0</v>
      </c>
      <c r="G4742">
        <v>0</v>
      </c>
    </row>
    <row r="4743" spans="1:7" x14ac:dyDescent="0.2">
      <c r="A4743" t="s">
        <v>1862</v>
      </c>
      <c r="B4743">
        <v>0</v>
      </c>
      <c r="C4743">
        <v>0</v>
      </c>
      <c r="D4743">
        <v>0</v>
      </c>
      <c r="E4743">
        <v>0</v>
      </c>
      <c r="F4743">
        <v>0</v>
      </c>
      <c r="G4743">
        <v>0</v>
      </c>
    </row>
    <row r="4744" spans="1:7" x14ac:dyDescent="0.2">
      <c r="A4744" t="s">
        <v>1867</v>
      </c>
      <c r="B4744">
        <v>0</v>
      </c>
      <c r="C4744">
        <v>0</v>
      </c>
      <c r="D4744">
        <v>0</v>
      </c>
      <c r="E4744">
        <v>0</v>
      </c>
      <c r="F4744">
        <v>0</v>
      </c>
      <c r="G4744">
        <v>0</v>
      </c>
    </row>
    <row r="4745" spans="1:7" x14ac:dyDescent="0.2">
      <c r="A4745" t="s">
        <v>1870</v>
      </c>
      <c r="B4745">
        <v>0</v>
      </c>
      <c r="C4745">
        <v>0</v>
      </c>
      <c r="D4745">
        <v>0</v>
      </c>
      <c r="E4745">
        <v>0</v>
      </c>
      <c r="F4745">
        <v>0</v>
      </c>
      <c r="G4745">
        <v>0</v>
      </c>
    </row>
    <row r="4746" spans="1:7" x14ac:dyDescent="0.2">
      <c r="A4746" t="s">
        <v>1874</v>
      </c>
      <c r="B4746">
        <v>0</v>
      </c>
      <c r="C4746">
        <v>0</v>
      </c>
      <c r="D4746">
        <v>0</v>
      </c>
      <c r="E4746">
        <v>0</v>
      </c>
      <c r="F4746">
        <v>0</v>
      </c>
      <c r="G4746">
        <v>0</v>
      </c>
    </row>
    <row r="4747" spans="1:7" x14ac:dyDescent="0.2">
      <c r="A4747" t="s">
        <v>1876</v>
      </c>
      <c r="B4747">
        <v>0</v>
      </c>
      <c r="C4747">
        <v>0</v>
      </c>
      <c r="D4747">
        <v>0</v>
      </c>
      <c r="E4747">
        <v>0</v>
      </c>
      <c r="F4747">
        <v>0</v>
      </c>
      <c r="G4747">
        <v>0</v>
      </c>
    </row>
    <row r="4748" spans="1:7" x14ac:dyDescent="0.2">
      <c r="A4748" t="s">
        <v>1881</v>
      </c>
      <c r="B4748">
        <v>0</v>
      </c>
      <c r="C4748">
        <v>0</v>
      </c>
      <c r="D4748">
        <v>0</v>
      </c>
      <c r="E4748">
        <v>0</v>
      </c>
      <c r="F4748">
        <v>0</v>
      </c>
      <c r="G4748">
        <v>0</v>
      </c>
    </row>
    <row r="4749" spans="1:7" x14ac:dyDescent="0.2">
      <c r="A4749" t="s">
        <v>1885</v>
      </c>
      <c r="B4749">
        <v>0</v>
      </c>
      <c r="C4749">
        <v>0</v>
      </c>
      <c r="D4749">
        <v>0</v>
      </c>
      <c r="E4749">
        <v>0</v>
      </c>
      <c r="F4749">
        <v>0</v>
      </c>
      <c r="G4749">
        <v>0</v>
      </c>
    </row>
    <row r="4750" spans="1:7" x14ac:dyDescent="0.2">
      <c r="A4750" t="s">
        <v>1887</v>
      </c>
      <c r="B4750">
        <v>0</v>
      </c>
      <c r="C4750">
        <v>0</v>
      </c>
      <c r="D4750">
        <v>0</v>
      </c>
      <c r="E4750">
        <v>0</v>
      </c>
      <c r="F4750">
        <v>0</v>
      </c>
      <c r="G4750">
        <v>0</v>
      </c>
    </row>
    <row r="4751" spans="1:7" x14ac:dyDescent="0.2">
      <c r="A4751" t="s">
        <v>1893</v>
      </c>
      <c r="B4751">
        <v>0</v>
      </c>
      <c r="C4751">
        <v>0</v>
      </c>
      <c r="D4751">
        <v>0</v>
      </c>
      <c r="E4751">
        <v>2</v>
      </c>
      <c r="F4751">
        <v>0</v>
      </c>
      <c r="G4751">
        <v>2</v>
      </c>
    </row>
    <row r="4752" spans="1:7" x14ac:dyDescent="0.2">
      <c r="A4752" t="s">
        <v>1899</v>
      </c>
      <c r="B4752">
        <v>0</v>
      </c>
      <c r="C4752">
        <v>0</v>
      </c>
      <c r="D4752">
        <v>0</v>
      </c>
      <c r="E4752">
        <v>0</v>
      </c>
      <c r="F4752">
        <v>0</v>
      </c>
      <c r="G4752">
        <v>0</v>
      </c>
    </row>
    <row r="4753" spans="1:7" x14ac:dyDescent="0.2">
      <c r="A4753" t="s">
        <v>1906</v>
      </c>
      <c r="B4753">
        <v>0</v>
      </c>
      <c r="C4753">
        <v>0</v>
      </c>
      <c r="D4753">
        <v>0</v>
      </c>
      <c r="E4753">
        <v>0</v>
      </c>
      <c r="F4753">
        <v>0</v>
      </c>
      <c r="G4753">
        <v>0</v>
      </c>
    </row>
    <row r="4754" spans="1:7" x14ac:dyDescent="0.2">
      <c r="A4754" t="s">
        <v>1911</v>
      </c>
      <c r="B4754">
        <v>0</v>
      </c>
      <c r="C4754">
        <v>0</v>
      </c>
      <c r="D4754">
        <v>0</v>
      </c>
      <c r="E4754">
        <v>0</v>
      </c>
      <c r="F4754">
        <v>0</v>
      </c>
      <c r="G4754">
        <v>0</v>
      </c>
    </row>
    <row r="4755" spans="1:7" x14ac:dyDescent="0.2">
      <c r="A4755" t="s">
        <v>1917</v>
      </c>
      <c r="B4755">
        <v>0</v>
      </c>
      <c r="C4755">
        <v>0</v>
      </c>
      <c r="D4755">
        <v>0</v>
      </c>
      <c r="E4755">
        <v>0</v>
      </c>
      <c r="F4755">
        <v>0</v>
      </c>
      <c r="G4755">
        <v>0</v>
      </c>
    </row>
    <row r="4756" spans="1:7" x14ac:dyDescent="0.2">
      <c r="A4756" t="s">
        <v>1922</v>
      </c>
      <c r="B4756">
        <v>0</v>
      </c>
      <c r="C4756">
        <v>0</v>
      </c>
      <c r="D4756">
        <v>0</v>
      </c>
      <c r="E4756">
        <v>0</v>
      </c>
      <c r="F4756">
        <v>0</v>
      </c>
      <c r="G4756">
        <v>0</v>
      </c>
    </row>
    <row r="4757" spans="1:7" x14ac:dyDescent="0.2">
      <c r="A4757" t="s">
        <v>1928</v>
      </c>
      <c r="B4757">
        <v>0</v>
      </c>
      <c r="C4757">
        <v>0</v>
      </c>
      <c r="D4757">
        <v>0</v>
      </c>
      <c r="E4757">
        <v>0</v>
      </c>
      <c r="F4757">
        <v>0</v>
      </c>
      <c r="G4757">
        <v>0</v>
      </c>
    </row>
    <row r="4758" spans="1:7" x14ac:dyDescent="0.2">
      <c r="A4758" t="s">
        <v>1932</v>
      </c>
      <c r="B4758">
        <v>0</v>
      </c>
      <c r="C4758">
        <v>0</v>
      </c>
      <c r="D4758">
        <v>0</v>
      </c>
      <c r="E4758">
        <v>0</v>
      </c>
      <c r="F4758">
        <v>0</v>
      </c>
      <c r="G4758">
        <v>0</v>
      </c>
    </row>
    <row r="4759" spans="1:7" x14ac:dyDescent="0.2">
      <c r="A4759" t="s">
        <v>1938</v>
      </c>
      <c r="B4759">
        <v>0</v>
      </c>
      <c r="C4759">
        <v>0</v>
      </c>
      <c r="D4759">
        <v>0</v>
      </c>
      <c r="E4759">
        <v>0</v>
      </c>
      <c r="F4759">
        <v>0</v>
      </c>
      <c r="G4759">
        <v>0</v>
      </c>
    </row>
    <row r="4760" spans="1:7" x14ac:dyDescent="0.2">
      <c r="A4760" t="s">
        <v>1944</v>
      </c>
      <c r="B4760">
        <v>0</v>
      </c>
      <c r="C4760">
        <v>0</v>
      </c>
      <c r="D4760">
        <v>0</v>
      </c>
      <c r="E4760">
        <v>0</v>
      </c>
      <c r="F4760">
        <v>0</v>
      </c>
      <c r="G4760">
        <v>0</v>
      </c>
    </row>
    <row r="4761" spans="1:7" x14ac:dyDescent="0.2">
      <c r="A4761" t="s">
        <v>1947</v>
      </c>
      <c r="B4761">
        <v>0</v>
      </c>
      <c r="C4761">
        <v>0</v>
      </c>
      <c r="D4761">
        <v>0</v>
      </c>
      <c r="E4761">
        <v>0</v>
      </c>
      <c r="F4761">
        <v>0</v>
      </c>
      <c r="G4761">
        <v>0</v>
      </c>
    </row>
    <row r="4762" spans="1:7" x14ac:dyDescent="0.2">
      <c r="A4762" t="s">
        <v>1953</v>
      </c>
      <c r="B4762">
        <v>0</v>
      </c>
      <c r="C4762">
        <v>0</v>
      </c>
      <c r="D4762">
        <v>0</v>
      </c>
      <c r="E4762">
        <v>0</v>
      </c>
      <c r="F4762">
        <v>0</v>
      </c>
      <c r="G4762">
        <v>0</v>
      </c>
    </row>
    <row r="4763" spans="1:7" x14ac:dyDescent="0.2">
      <c r="A4763" t="s">
        <v>1958</v>
      </c>
      <c r="B4763">
        <v>0</v>
      </c>
      <c r="C4763">
        <v>0</v>
      </c>
      <c r="D4763">
        <v>0</v>
      </c>
      <c r="E4763">
        <v>0</v>
      </c>
      <c r="F4763">
        <v>0</v>
      </c>
      <c r="G4763">
        <v>0</v>
      </c>
    </row>
    <row r="4764" spans="1:7" x14ac:dyDescent="0.2">
      <c r="A4764" t="s">
        <v>1964</v>
      </c>
      <c r="B4764">
        <v>0</v>
      </c>
      <c r="C4764">
        <v>0</v>
      </c>
      <c r="D4764">
        <v>0</v>
      </c>
      <c r="E4764">
        <v>0</v>
      </c>
      <c r="F4764">
        <v>0</v>
      </c>
      <c r="G4764">
        <v>0</v>
      </c>
    </row>
    <row r="4765" spans="1:7" x14ac:dyDescent="0.2">
      <c r="A4765" t="s">
        <v>1973</v>
      </c>
      <c r="B4765">
        <v>0</v>
      </c>
      <c r="C4765">
        <v>0</v>
      </c>
      <c r="D4765">
        <v>0</v>
      </c>
      <c r="E4765">
        <v>0</v>
      </c>
      <c r="F4765">
        <v>0</v>
      </c>
      <c r="G4765">
        <v>0</v>
      </c>
    </row>
    <row r="4766" spans="1:7" x14ac:dyDescent="0.2">
      <c r="A4766" t="s">
        <v>1978</v>
      </c>
      <c r="B4766">
        <v>0</v>
      </c>
      <c r="C4766">
        <v>0</v>
      </c>
      <c r="D4766">
        <v>0</v>
      </c>
      <c r="E4766">
        <v>0</v>
      </c>
      <c r="F4766">
        <v>0</v>
      </c>
      <c r="G4766">
        <v>0</v>
      </c>
    </row>
    <row r="4767" spans="1:7" x14ac:dyDescent="0.2">
      <c r="A4767" t="s">
        <v>1983</v>
      </c>
      <c r="B4767">
        <v>0</v>
      </c>
      <c r="C4767">
        <v>0</v>
      </c>
      <c r="D4767">
        <v>0</v>
      </c>
      <c r="E4767">
        <v>0</v>
      </c>
      <c r="F4767">
        <v>0</v>
      </c>
      <c r="G4767">
        <v>0</v>
      </c>
    </row>
    <row r="4768" spans="1:7" x14ac:dyDescent="0.2">
      <c r="A4768" t="s">
        <v>1984</v>
      </c>
      <c r="B4768">
        <v>0</v>
      </c>
      <c r="C4768">
        <v>0</v>
      </c>
      <c r="D4768">
        <v>0</v>
      </c>
      <c r="E4768">
        <v>0</v>
      </c>
      <c r="F4768">
        <v>0</v>
      </c>
      <c r="G4768">
        <v>0</v>
      </c>
    </row>
    <row r="4769" spans="1:7" x14ac:dyDescent="0.2">
      <c r="A4769" t="s">
        <v>1990</v>
      </c>
      <c r="B4769">
        <v>0</v>
      </c>
      <c r="C4769">
        <v>0</v>
      </c>
      <c r="D4769">
        <v>0</v>
      </c>
      <c r="E4769">
        <v>0</v>
      </c>
      <c r="F4769">
        <v>0</v>
      </c>
      <c r="G4769">
        <v>0</v>
      </c>
    </row>
    <row r="4770" spans="1:7" x14ac:dyDescent="0.2">
      <c r="A4770" t="s">
        <v>1996</v>
      </c>
      <c r="B4770">
        <v>0</v>
      </c>
      <c r="C4770">
        <v>0</v>
      </c>
      <c r="D4770">
        <v>0</v>
      </c>
      <c r="E4770">
        <v>0</v>
      </c>
      <c r="F4770">
        <v>0</v>
      </c>
      <c r="G4770">
        <v>0</v>
      </c>
    </row>
    <row r="4771" spans="1:7" x14ac:dyDescent="0.2">
      <c r="A4771" t="s">
        <v>1998</v>
      </c>
      <c r="B4771">
        <v>0</v>
      </c>
      <c r="C4771">
        <v>0</v>
      </c>
      <c r="D4771">
        <v>0</v>
      </c>
      <c r="E4771">
        <v>0</v>
      </c>
      <c r="F4771">
        <v>0</v>
      </c>
      <c r="G4771">
        <v>0</v>
      </c>
    </row>
    <row r="4772" spans="1:7" x14ac:dyDescent="0.2">
      <c r="A4772" t="s">
        <v>1999</v>
      </c>
      <c r="B4772">
        <v>0</v>
      </c>
      <c r="C4772">
        <v>0</v>
      </c>
      <c r="D4772">
        <v>0</v>
      </c>
      <c r="E4772">
        <v>0</v>
      </c>
      <c r="F4772">
        <v>0</v>
      </c>
      <c r="G4772">
        <v>0</v>
      </c>
    </row>
    <row r="4773" spans="1:7" x14ac:dyDescent="0.2">
      <c r="A4773" t="s">
        <v>2004</v>
      </c>
      <c r="B4773">
        <v>0</v>
      </c>
      <c r="C4773">
        <v>0</v>
      </c>
      <c r="D4773">
        <v>0</v>
      </c>
      <c r="E4773">
        <v>0</v>
      </c>
      <c r="F4773">
        <v>0</v>
      </c>
      <c r="G4773">
        <v>0</v>
      </c>
    </row>
    <row r="4774" spans="1:7" x14ac:dyDescent="0.2">
      <c r="A4774" t="s">
        <v>2009</v>
      </c>
      <c r="B4774">
        <v>0</v>
      </c>
      <c r="C4774">
        <v>0</v>
      </c>
      <c r="D4774">
        <v>0</v>
      </c>
      <c r="E4774">
        <v>0</v>
      </c>
      <c r="F4774">
        <v>0</v>
      </c>
      <c r="G4774">
        <v>0</v>
      </c>
    </row>
    <row r="4775" spans="1:7" x14ac:dyDescent="0.2">
      <c r="A4775" t="s">
        <v>2014</v>
      </c>
      <c r="B4775">
        <v>0</v>
      </c>
      <c r="C4775">
        <v>0</v>
      </c>
      <c r="D4775">
        <v>0</v>
      </c>
      <c r="E4775">
        <v>0</v>
      </c>
      <c r="F4775">
        <v>0</v>
      </c>
      <c r="G4775">
        <v>0</v>
      </c>
    </row>
    <row r="4776" spans="1:7" x14ac:dyDescent="0.2">
      <c r="A4776" t="s">
        <v>2019</v>
      </c>
      <c r="B4776">
        <v>0</v>
      </c>
      <c r="C4776">
        <v>0</v>
      </c>
      <c r="D4776">
        <v>0</v>
      </c>
      <c r="E4776">
        <v>0</v>
      </c>
      <c r="F4776">
        <v>0</v>
      </c>
      <c r="G4776">
        <v>0</v>
      </c>
    </row>
    <row r="4777" spans="1:7" x14ac:dyDescent="0.2">
      <c r="A4777" t="s">
        <v>2023</v>
      </c>
      <c r="B4777">
        <v>0</v>
      </c>
      <c r="C4777">
        <v>0</v>
      </c>
      <c r="D4777">
        <v>0</v>
      </c>
      <c r="E4777">
        <v>0</v>
      </c>
      <c r="F4777">
        <v>0</v>
      </c>
      <c r="G4777">
        <v>0</v>
      </c>
    </row>
    <row r="4778" spans="1:7" x14ac:dyDescent="0.2">
      <c r="A4778" t="s">
        <v>2026</v>
      </c>
      <c r="B4778">
        <v>0</v>
      </c>
      <c r="C4778">
        <v>0</v>
      </c>
      <c r="D4778">
        <v>0</v>
      </c>
      <c r="E4778">
        <v>0</v>
      </c>
      <c r="F4778">
        <v>0</v>
      </c>
      <c r="G4778">
        <v>0</v>
      </c>
    </row>
    <row r="4779" spans="1:7" x14ac:dyDescent="0.2">
      <c r="A4779" t="s">
        <v>2030</v>
      </c>
      <c r="B4779">
        <v>0</v>
      </c>
      <c r="C4779">
        <v>0</v>
      </c>
      <c r="D4779">
        <v>0</v>
      </c>
      <c r="E4779">
        <v>0</v>
      </c>
      <c r="F4779">
        <v>0</v>
      </c>
      <c r="G4779">
        <v>0</v>
      </c>
    </row>
    <row r="4780" spans="1:7" x14ac:dyDescent="0.2">
      <c r="A4780" t="s">
        <v>2035</v>
      </c>
      <c r="B4780">
        <v>0</v>
      </c>
      <c r="C4780">
        <v>0</v>
      </c>
      <c r="D4780">
        <v>0</v>
      </c>
      <c r="E4780">
        <v>0</v>
      </c>
      <c r="F4780">
        <v>0</v>
      </c>
      <c r="G4780">
        <v>0</v>
      </c>
    </row>
    <row r="4781" spans="1:7" x14ac:dyDescent="0.2">
      <c r="A4781" t="s">
        <v>2040</v>
      </c>
      <c r="B4781">
        <v>0</v>
      </c>
      <c r="C4781">
        <v>0</v>
      </c>
      <c r="D4781">
        <v>0</v>
      </c>
      <c r="E4781">
        <v>0</v>
      </c>
      <c r="F4781">
        <v>0</v>
      </c>
      <c r="G4781">
        <v>0</v>
      </c>
    </row>
    <row r="4782" spans="1:7" x14ac:dyDescent="0.2">
      <c r="A4782" t="s">
        <v>2045</v>
      </c>
      <c r="B4782">
        <v>0</v>
      </c>
      <c r="C4782">
        <v>0</v>
      </c>
      <c r="D4782">
        <v>0</v>
      </c>
      <c r="E4782">
        <v>0</v>
      </c>
      <c r="F4782">
        <v>0</v>
      </c>
      <c r="G4782">
        <v>0</v>
      </c>
    </row>
    <row r="4783" spans="1:7" x14ac:dyDescent="0.2">
      <c r="A4783" t="s">
        <v>2049</v>
      </c>
      <c r="B4783">
        <v>0</v>
      </c>
      <c r="C4783">
        <v>0</v>
      </c>
      <c r="D4783">
        <v>0</v>
      </c>
      <c r="E4783">
        <v>0</v>
      </c>
      <c r="F4783">
        <v>0</v>
      </c>
      <c r="G4783">
        <v>0</v>
      </c>
    </row>
    <row r="4784" spans="1:7" x14ac:dyDescent="0.2">
      <c r="A4784" t="s">
        <v>2051</v>
      </c>
      <c r="B4784">
        <v>0</v>
      </c>
      <c r="C4784">
        <v>0</v>
      </c>
      <c r="D4784">
        <v>0</v>
      </c>
      <c r="E4784">
        <v>0</v>
      </c>
      <c r="F4784">
        <v>0</v>
      </c>
      <c r="G4784">
        <v>0</v>
      </c>
    </row>
    <row r="4785" spans="1:7" x14ac:dyDescent="0.2">
      <c r="A4785" t="s">
        <v>2057</v>
      </c>
      <c r="B4785">
        <v>0</v>
      </c>
      <c r="C4785">
        <v>0</v>
      </c>
      <c r="D4785">
        <v>0</v>
      </c>
      <c r="E4785">
        <v>0</v>
      </c>
      <c r="F4785">
        <v>0</v>
      </c>
      <c r="G4785">
        <v>0</v>
      </c>
    </row>
    <row r="4786" spans="1:7" x14ac:dyDescent="0.2">
      <c r="A4786" t="s">
        <v>4344</v>
      </c>
      <c r="B4786">
        <v>0</v>
      </c>
      <c r="C4786">
        <v>0</v>
      </c>
      <c r="D4786">
        <v>0</v>
      </c>
      <c r="E4786">
        <v>0</v>
      </c>
      <c r="F4786">
        <v>0</v>
      </c>
      <c r="G4786">
        <v>0</v>
      </c>
    </row>
    <row r="4787" spans="1:7" x14ac:dyDescent="0.2">
      <c r="A4787" t="s">
        <v>4345</v>
      </c>
      <c r="B4787">
        <v>0</v>
      </c>
      <c r="C4787">
        <v>0</v>
      </c>
      <c r="D4787">
        <v>0</v>
      </c>
      <c r="E4787">
        <v>0</v>
      </c>
      <c r="F4787">
        <v>0</v>
      </c>
      <c r="G4787">
        <v>0</v>
      </c>
    </row>
    <row r="4788" spans="1:7" x14ac:dyDescent="0.2">
      <c r="A4788" t="s">
        <v>2074</v>
      </c>
      <c r="B4788">
        <v>0</v>
      </c>
      <c r="C4788">
        <v>0</v>
      </c>
      <c r="D4788">
        <v>0</v>
      </c>
      <c r="E4788">
        <v>0</v>
      </c>
      <c r="F4788">
        <v>0</v>
      </c>
      <c r="G4788">
        <v>0</v>
      </c>
    </row>
    <row r="4789" spans="1:7" x14ac:dyDescent="0.2">
      <c r="A4789" t="s">
        <v>2079</v>
      </c>
      <c r="B4789">
        <v>0</v>
      </c>
      <c r="C4789">
        <v>0</v>
      </c>
      <c r="D4789">
        <v>0</v>
      </c>
      <c r="E4789">
        <v>0</v>
      </c>
      <c r="F4789">
        <v>0</v>
      </c>
      <c r="G4789">
        <v>0</v>
      </c>
    </row>
    <row r="4790" spans="1:7" x14ac:dyDescent="0.2">
      <c r="A4790" t="s">
        <v>2085</v>
      </c>
      <c r="B4790">
        <v>0</v>
      </c>
      <c r="C4790">
        <v>0</v>
      </c>
      <c r="D4790">
        <v>0</v>
      </c>
      <c r="E4790">
        <v>0</v>
      </c>
      <c r="F4790">
        <v>0</v>
      </c>
      <c r="G4790">
        <v>0</v>
      </c>
    </row>
    <row r="4791" spans="1:7" x14ac:dyDescent="0.2">
      <c r="A4791" t="s">
        <v>2091</v>
      </c>
      <c r="B4791">
        <v>0</v>
      </c>
      <c r="C4791">
        <v>0</v>
      </c>
      <c r="D4791">
        <v>0</v>
      </c>
      <c r="E4791">
        <v>0</v>
      </c>
      <c r="F4791">
        <v>0</v>
      </c>
      <c r="G4791">
        <v>0</v>
      </c>
    </row>
    <row r="4792" spans="1:7" x14ac:dyDescent="0.2">
      <c r="A4792" t="s">
        <v>2097</v>
      </c>
      <c r="B4792">
        <v>0</v>
      </c>
      <c r="C4792">
        <v>0</v>
      </c>
      <c r="D4792">
        <v>0</v>
      </c>
      <c r="E4792">
        <v>0</v>
      </c>
      <c r="F4792">
        <v>0</v>
      </c>
      <c r="G4792">
        <v>0</v>
      </c>
    </row>
    <row r="4793" spans="1:7" x14ac:dyDescent="0.2">
      <c r="A4793" t="s">
        <v>2101</v>
      </c>
      <c r="B4793">
        <v>0</v>
      </c>
      <c r="C4793">
        <v>0</v>
      </c>
      <c r="D4793">
        <v>0</v>
      </c>
      <c r="E4793">
        <v>0</v>
      </c>
      <c r="F4793">
        <v>0</v>
      </c>
      <c r="G4793">
        <v>0</v>
      </c>
    </row>
    <row r="4794" spans="1:7" x14ac:dyDescent="0.2">
      <c r="A4794" t="s">
        <v>2104</v>
      </c>
      <c r="B4794">
        <v>0</v>
      </c>
      <c r="C4794">
        <v>0</v>
      </c>
      <c r="D4794">
        <v>0</v>
      </c>
      <c r="E4794">
        <v>0</v>
      </c>
      <c r="F4794">
        <v>0</v>
      </c>
      <c r="G4794">
        <v>0</v>
      </c>
    </row>
    <row r="4795" spans="1:7" x14ac:dyDescent="0.2">
      <c r="A4795" t="s">
        <v>2107</v>
      </c>
      <c r="B4795">
        <v>0</v>
      </c>
      <c r="C4795">
        <v>0</v>
      </c>
      <c r="D4795">
        <v>0</v>
      </c>
      <c r="E4795">
        <v>0</v>
      </c>
      <c r="F4795">
        <v>0</v>
      </c>
      <c r="G4795">
        <v>0</v>
      </c>
    </row>
    <row r="4796" spans="1:7" x14ac:dyDescent="0.2">
      <c r="A4796" t="s">
        <v>2110</v>
      </c>
      <c r="B4796">
        <v>0</v>
      </c>
      <c r="C4796">
        <v>0</v>
      </c>
      <c r="D4796">
        <v>0</v>
      </c>
      <c r="E4796">
        <v>0</v>
      </c>
      <c r="F4796">
        <v>0</v>
      </c>
      <c r="G4796">
        <v>0</v>
      </c>
    </row>
    <row r="4797" spans="1:7" x14ac:dyDescent="0.2">
      <c r="A4797" t="s">
        <v>2113</v>
      </c>
      <c r="B4797">
        <v>0</v>
      </c>
      <c r="C4797">
        <v>0</v>
      </c>
      <c r="D4797">
        <v>0</v>
      </c>
      <c r="E4797">
        <v>0</v>
      </c>
      <c r="F4797">
        <v>0</v>
      </c>
      <c r="G4797">
        <v>0</v>
      </c>
    </row>
    <row r="4798" spans="1:7" x14ac:dyDescent="0.2">
      <c r="A4798" t="s">
        <v>4346</v>
      </c>
      <c r="B4798">
        <v>0</v>
      </c>
      <c r="C4798">
        <v>0</v>
      </c>
      <c r="D4798">
        <v>0</v>
      </c>
      <c r="E4798">
        <v>0</v>
      </c>
      <c r="F4798">
        <v>0</v>
      </c>
      <c r="G4798">
        <v>0</v>
      </c>
    </row>
    <row r="4799" spans="1:7" x14ac:dyDescent="0.2">
      <c r="A4799" t="s">
        <v>4347</v>
      </c>
      <c r="B4799">
        <v>0</v>
      </c>
      <c r="C4799">
        <v>0</v>
      </c>
      <c r="D4799">
        <v>0</v>
      </c>
      <c r="E4799">
        <v>0</v>
      </c>
      <c r="F4799">
        <v>0</v>
      </c>
      <c r="G4799">
        <v>0</v>
      </c>
    </row>
    <row r="4800" spans="1:7" x14ac:dyDescent="0.2">
      <c r="A4800" t="s">
        <v>4348</v>
      </c>
      <c r="B4800">
        <v>0</v>
      </c>
      <c r="C4800">
        <v>0</v>
      </c>
      <c r="D4800">
        <v>0</v>
      </c>
      <c r="E4800">
        <v>0</v>
      </c>
      <c r="F4800">
        <v>0</v>
      </c>
      <c r="G4800">
        <v>0</v>
      </c>
    </row>
    <row r="4801" spans="1:7" x14ac:dyDescent="0.2">
      <c r="A4801" t="s">
        <v>4349</v>
      </c>
      <c r="B4801">
        <v>0</v>
      </c>
      <c r="C4801">
        <v>0</v>
      </c>
      <c r="D4801">
        <v>0</v>
      </c>
      <c r="E4801">
        <v>0</v>
      </c>
      <c r="F4801">
        <v>0</v>
      </c>
      <c r="G4801">
        <v>0</v>
      </c>
    </row>
    <row r="4802" spans="1:7" x14ac:dyDescent="0.2">
      <c r="A4802" t="s">
        <v>4350</v>
      </c>
      <c r="B4802">
        <v>0</v>
      </c>
      <c r="C4802">
        <v>29</v>
      </c>
      <c r="D4802">
        <v>400</v>
      </c>
      <c r="E4802">
        <v>10</v>
      </c>
      <c r="F4802">
        <v>0</v>
      </c>
      <c r="G4802">
        <v>438</v>
      </c>
    </row>
    <row r="4803" spans="1:7" x14ac:dyDescent="0.2">
      <c r="A4803" t="s">
        <v>4351</v>
      </c>
      <c r="B4803">
        <v>0</v>
      </c>
      <c r="C4803">
        <v>0</v>
      </c>
      <c r="D4803">
        <v>0</v>
      </c>
      <c r="E4803">
        <v>0</v>
      </c>
      <c r="F4803">
        <v>0</v>
      </c>
      <c r="G4803">
        <v>0</v>
      </c>
    </row>
    <row r="4804" spans="1:7" x14ac:dyDescent="0.2">
      <c r="A4804" t="s">
        <v>4352</v>
      </c>
      <c r="B4804">
        <v>0</v>
      </c>
      <c r="C4804">
        <v>0</v>
      </c>
      <c r="D4804">
        <v>0</v>
      </c>
      <c r="E4804">
        <v>0</v>
      </c>
      <c r="F4804">
        <v>0</v>
      </c>
      <c r="G4804">
        <v>0</v>
      </c>
    </row>
    <row r="4805" spans="1:7" x14ac:dyDescent="0.2">
      <c r="A4805" t="s">
        <v>4353</v>
      </c>
      <c r="B4805">
        <v>3</v>
      </c>
      <c r="C4805">
        <v>166</v>
      </c>
      <c r="D4805">
        <v>144</v>
      </c>
      <c r="E4805">
        <v>12</v>
      </c>
      <c r="F4805">
        <v>0</v>
      </c>
      <c r="G4805">
        <v>326</v>
      </c>
    </row>
    <row r="4806" spans="1:7" x14ac:dyDescent="0.2">
      <c r="A4806" t="s">
        <v>4354</v>
      </c>
      <c r="B4806">
        <v>10</v>
      </c>
      <c r="C4806">
        <v>96</v>
      </c>
      <c r="D4806">
        <v>39</v>
      </c>
      <c r="E4806">
        <v>1</v>
      </c>
      <c r="F4806">
        <v>0</v>
      </c>
      <c r="G4806">
        <v>145</v>
      </c>
    </row>
    <row r="4807" spans="1:7" x14ac:dyDescent="0.2">
      <c r="A4807" t="s">
        <v>4355</v>
      </c>
      <c r="B4807">
        <v>0</v>
      </c>
      <c r="C4807">
        <v>0</v>
      </c>
      <c r="D4807">
        <v>0</v>
      </c>
      <c r="E4807">
        <v>0</v>
      </c>
      <c r="F4807">
        <v>0</v>
      </c>
      <c r="G4807">
        <v>0</v>
      </c>
    </row>
    <row r="4808" spans="1:7" x14ac:dyDescent="0.2">
      <c r="A4808" t="s">
        <v>4356</v>
      </c>
      <c r="B4808">
        <v>0</v>
      </c>
      <c r="C4808">
        <v>0</v>
      </c>
      <c r="D4808">
        <v>0</v>
      </c>
      <c r="E4808">
        <v>0</v>
      </c>
      <c r="F4808">
        <v>0</v>
      </c>
      <c r="G4808">
        <v>0</v>
      </c>
    </row>
    <row r="4809" spans="1:7" x14ac:dyDescent="0.2">
      <c r="A4809" t="s">
        <v>4357</v>
      </c>
      <c r="B4809">
        <v>0</v>
      </c>
      <c r="C4809">
        <v>22</v>
      </c>
      <c r="D4809">
        <v>8</v>
      </c>
      <c r="E4809">
        <v>0</v>
      </c>
      <c r="F4809">
        <v>0</v>
      </c>
      <c r="G4809">
        <v>30</v>
      </c>
    </row>
    <row r="4810" spans="1:7" x14ac:dyDescent="0.2">
      <c r="A4810" t="s">
        <v>4358</v>
      </c>
      <c r="B4810">
        <v>0</v>
      </c>
      <c r="C4810">
        <v>7</v>
      </c>
      <c r="D4810">
        <v>0</v>
      </c>
      <c r="E4810">
        <v>0</v>
      </c>
      <c r="F4810">
        <v>0</v>
      </c>
      <c r="G4810">
        <v>7</v>
      </c>
    </row>
    <row r="4811" spans="1:7" x14ac:dyDescent="0.2">
      <c r="A4811" t="s">
        <v>4359</v>
      </c>
      <c r="B4811">
        <v>0</v>
      </c>
      <c r="C4811">
        <v>0</v>
      </c>
      <c r="D4811">
        <v>0</v>
      </c>
      <c r="E4811">
        <v>0</v>
      </c>
      <c r="F4811">
        <v>0</v>
      </c>
      <c r="G4811">
        <v>0</v>
      </c>
    </row>
    <row r="4812" spans="1:7" x14ac:dyDescent="0.2">
      <c r="A4812" t="s">
        <v>4360</v>
      </c>
      <c r="B4812">
        <v>0</v>
      </c>
      <c r="C4812">
        <v>0</v>
      </c>
      <c r="D4812">
        <v>0</v>
      </c>
      <c r="E4812">
        <v>2</v>
      </c>
      <c r="F4812">
        <v>0</v>
      </c>
      <c r="G4812">
        <v>2</v>
      </c>
    </row>
    <row r="4813" spans="1:7" x14ac:dyDescent="0.2">
      <c r="A4813" t="s">
        <v>4361</v>
      </c>
      <c r="B4813">
        <v>0</v>
      </c>
      <c r="C4813">
        <v>0</v>
      </c>
      <c r="D4813">
        <v>57</v>
      </c>
      <c r="E4813">
        <v>1</v>
      </c>
      <c r="F4813">
        <v>0</v>
      </c>
      <c r="G4813">
        <v>58</v>
      </c>
    </row>
    <row r="4814" spans="1:7" x14ac:dyDescent="0.2">
      <c r="A4814" t="s">
        <v>4362</v>
      </c>
      <c r="B4814">
        <v>0</v>
      </c>
      <c r="C4814">
        <v>0</v>
      </c>
      <c r="D4814">
        <v>0</v>
      </c>
      <c r="E4814">
        <v>0</v>
      </c>
      <c r="F4814">
        <v>0</v>
      </c>
      <c r="G4814">
        <v>0</v>
      </c>
    </row>
    <row r="4815" spans="1:7" x14ac:dyDescent="0.2">
      <c r="A4815" t="s">
        <v>4363</v>
      </c>
      <c r="B4815">
        <v>0</v>
      </c>
      <c r="C4815">
        <v>0</v>
      </c>
      <c r="D4815">
        <v>0</v>
      </c>
      <c r="E4815">
        <v>0</v>
      </c>
      <c r="F4815">
        <v>0</v>
      </c>
      <c r="G4815">
        <v>0</v>
      </c>
    </row>
    <row r="4816" spans="1:7" x14ac:dyDescent="0.2">
      <c r="A4816" t="s">
        <v>4364</v>
      </c>
      <c r="B4816">
        <v>0</v>
      </c>
      <c r="C4816">
        <v>0</v>
      </c>
      <c r="D4816">
        <v>0</v>
      </c>
      <c r="E4816">
        <v>0</v>
      </c>
      <c r="F4816">
        <v>0</v>
      </c>
      <c r="G4816">
        <v>0</v>
      </c>
    </row>
    <row r="4817" spans="1:10" x14ac:dyDescent="0.2">
      <c r="A4817" t="s">
        <v>4365</v>
      </c>
      <c r="B4817">
        <v>0</v>
      </c>
      <c r="C4817">
        <v>6</v>
      </c>
      <c r="D4817">
        <v>12</v>
      </c>
      <c r="E4817">
        <v>0</v>
      </c>
      <c r="F4817">
        <v>0</v>
      </c>
      <c r="G4817">
        <v>18</v>
      </c>
    </row>
    <row r="4818" spans="1:10" x14ac:dyDescent="0.2">
      <c r="A4818" t="s">
        <v>4366</v>
      </c>
      <c r="B4818">
        <v>0</v>
      </c>
      <c r="C4818">
        <v>0</v>
      </c>
      <c r="D4818">
        <v>73</v>
      </c>
      <c r="E4818">
        <v>5</v>
      </c>
      <c r="F4818">
        <v>0</v>
      </c>
      <c r="G4818">
        <v>78</v>
      </c>
    </row>
    <row r="4819" spans="1:10" x14ac:dyDescent="0.2">
      <c r="A4819" t="s">
        <v>4367</v>
      </c>
      <c r="B4819">
        <v>0</v>
      </c>
      <c r="C4819">
        <v>0</v>
      </c>
      <c r="D4819">
        <v>6</v>
      </c>
      <c r="E4819">
        <v>0</v>
      </c>
      <c r="F4819">
        <v>0</v>
      </c>
      <c r="G4819">
        <v>6</v>
      </c>
    </row>
    <row r="4820" spans="1:10" x14ac:dyDescent="0.2">
      <c r="A4820" t="s">
        <v>4368</v>
      </c>
      <c r="B4820">
        <v>0</v>
      </c>
      <c r="C4820">
        <v>0</v>
      </c>
      <c r="D4820">
        <v>8</v>
      </c>
      <c r="E4820">
        <v>12</v>
      </c>
      <c r="F4820">
        <v>10</v>
      </c>
      <c r="G4820">
        <v>29</v>
      </c>
    </row>
    <row r="4821" spans="1:10" x14ac:dyDescent="0.2">
      <c r="A4821" t="s">
        <v>4369</v>
      </c>
      <c r="B4821">
        <v>140</v>
      </c>
      <c r="C4821">
        <v>44</v>
      </c>
      <c r="D4821">
        <v>85</v>
      </c>
      <c r="E4821">
        <v>54</v>
      </c>
      <c r="F4821">
        <v>0</v>
      </c>
      <c r="G4821">
        <v>323</v>
      </c>
    </row>
    <row r="4822" spans="1:10" x14ac:dyDescent="0.2">
      <c r="A4822" t="s">
        <v>4370</v>
      </c>
      <c r="B4822">
        <v>0</v>
      </c>
      <c r="C4822">
        <v>0</v>
      </c>
      <c r="D4822">
        <v>0</v>
      </c>
      <c r="E4822">
        <v>0</v>
      </c>
      <c r="F4822">
        <v>0</v>
      </c>
      <c r="G4822">
        <v>1</v>
      </c>
    </row>
    <row r="4823" spans="1:10" x14ac:dyDescent="0.2">
      <c r="A4823" t="s">
        <v>4371</v>
      </c>
      <c r="B4823">
        <v>0</v>
      </c>
      <c r="C4823">
        <v>1</v>
      </c>
      <c r="D4823">
        <v>0</v>
      </c>
      <c r="E4823">
        <v>0</v>
      </c>
      <c r="F4823">
        <v>0</v>
      </c>
      <c r="G4823">
        <v>1</v>
      </c>
    </row>
    <row r="4824" spans="1:10" x14ac:dyDescent="0.2">
      <c r="A4824" t="s">
        <v>4372</v>
      </c>
      <c r="B4824">
        <v>0</v>
      </c>
      <c r="C4824">
        <v>0</v>
      </c>
      <c r="D4824">
        <v>0</v>
      </c>
      <c r="E4824">
        <v>0</v>
      </c>
      <c r="F4824">
        <v>0</v>
      </c>
      <c r="G4824">
        <v>0</v>
      </c>
    </row>
    <row r="4825" spans="1:10" x14ac:dyDescent="0.2">
      <c r="A4825" t="s">
        <v>4373</v>
      </c>
      <c r="B4825">
        <v>0</v>
      </c>
      <c r="C4825">
        <v>17</v>
      </c>
      <c r="D4825">
        <v>75</v>
      </c>
      <c r="E4825">
        <v>5</v>
      </c>
      <c r="F4825">
        <v>0</v>
      </c>
      <c r="G4825">
        <v>97</v>
      </c>
    </row>
    <row r="4826" spans="1:10" x14ac:dyDescent="0.2">
      <c r="A4826" t="s">
        <v>4374</v>
      </c>
      <c r="B4826">
        <v>0</v>
      </c>
      <c r="C4826">
        <v>7</v>
      </c>
      <c r="D4826">
        <v>33</v>
      </c>
      <c r="E4826">
        <v>0</v>
      </c>
      <c r="F4826">
        <v>0</v>
      </c>
      <c r="G4826">
        <v>40</v>
      </c>
    </row>
    <row r="4827" spans="1:10" x14ac:dyDescent="0.2">
      <c r="A4827" t="s">
        <v>4375</v>
      </c>
      <c r="B4827">
        <v>0</v>
      </c>
      <c r="C4827">
        <v>22</v>
      </c>
      <c r="D4827">
        <v>140</v>
      </c>
      <c r="E4827">
        <v>70</v>
      </c>
      <c r="F4827">
        <v>0</v>
      </c>
      <c r="G4827">
        <v>232</v>
      </c>
    </row>
    <row r="4828" spans="1:10" x14ac:dyDescent="0.2">
      <c r="A4828" t="s">
        <v>4376</v>
      </c>
      <c r="B4828">
        <v>0</v>
      </c>
      <c r="C4828">
        <v>0</v>
      </c>
      <c r="D4828">
        <v>11</v>
      </c>
      <c r="E4828">
        <v>0</v>
      </c>
      <c r="F4828">
        <v>0</v>
      </c>
      <c r="G4828">
        <v>11</v>
      </c>
    </row>
    <row r="4829" spans="1:10" x14ac:dyDescent="0.2">
      <c r="A4829" t="s">
        <v>4377</v>
      </c>
      <c r="B4829">
        <v>0</v>
      </c>
      <c r="C4829">
        <v>13</v>
      </c>
      <c r="D4829">
        <v>137</v>
      </c>
      <c r="E4829">
        <v>0</v>
      </c>
      <c r="F4829">
        <v>0</v>
      </c>
      <c r="G4829">
        <v>150</v>
      </c>
    </row>
    <row r="4830" spans="1:10" x14ac:dyDescent="0.2">
      <c r="A4830" t="s">
        <v>2318</v>
      </c>
      <c r="B4830" t="s">
        <v>2319</v>
      </c>
      <c r="C4830" t="s">
        <v>2319</v>
      </c>
      <c r="D4830" t="s">
        <v>2319</v>
      </c>
      <c r="E4830" t="s">
        <v>2319</v>
      </c>
      <c r="F4830" t="s">
        <v>2319</v>
      </c>
      <c r="G4830" t="s">
        <v>2319</v>
      </c>
    </row>
    <row r="4831" spans="1:10" x14ac:dyDescent="0.2">
      <c r="A4831" t="s">
        <v>4248</v>
      </c>
    </row>
    <row r="4832" spans="1:10" x14ac:dyDescent="0.2">
      <c r="A4832" t="s">
        <v>4250</v>
      </c>
      <c r="C4832" t="s">
        <v>4251</v>
      </c>
      <c r="G4832" t="s">
        <v>7531</v>
      </c>
      <c r="J4832"/>
    </row>
    <row r="4833" spans="1:10" x14ac:dyDescent="0.2">
      <c r="A4833" t="s">
        <v>4925</v>
      </c>
      <c r="G4833" t="s">
        <v>7540</v>
      </c>
      <c r="J4833"/>
    </row>
    <row r="4834" spans="1:10" x14ac:dyDescent="0.2">
      <c r="A4834" t="s">
        <v>7530</v>
      </c>
      <c r="J4834"/>
    </row>
    <row r="4835" spans="1:10" x14ac:dyDescent="0.2">
      <c r="A4835" t="s">
        <v>4995</v>
      </c>
      <c r="J4835"/>
    </row>
    <row r="4836" spans="1:10" x14ac:dyDescent="0.2">
      <c r="J4836"/>
    </row>
    <row r="4837" spans="1:10" x14ac:dyDescent="0.2">
      <c r="A4837" t="s">
        <v>4259</v>
      </c>
      <c r="J4837"/>
    </row>
    <row r="4838" spans="1:10" x14ac:dyDescent="0.2">
      <c r="A4838" t="s">
        <v>2318</v>
      </c>
      <c r="B4838" t="s">
        <v>2319</v>
      </c>
      <c r="C4838" t="s">
        <v>2319</v>
      </c>
      <c r="D4838" t="s">
        <v>2319</v>
      </c>
      <c r="E4838" t="s">
        <v>2319</v>
      </c>
      <c r="F4838" t="s">
        <v>2319</v>
      </c>
      <c r="G4838" t="s">
        <v>2319</v>
      </c>
    </row>
    <row r="4839" spans="1:10" x14ac:dyDescent="0.2">
      <c r="A4839" t="s">
        <v>174</v>
      </c>
      <c r="B4839" t="s">
        <v>4945</v>
      </c>
      <c r="C4839" t="s">
        <v>4946</v>
      </c>
      <c r="D4839" t="s">
        <v>4947</v>
      </c>
      <c r="E4839" t="s">
        <v>4948</v>
      </c>
      <c r="F4839" t="s">
        <v>4949</v>
      </c>
    </row>
    <row r="4840" spans="1:10" x14ac:dyDescent="0.2">
      <c r="A4840" t="s">
        <v>126</v>
      </c>
      <c r="B4840" t="s">
        <v>4262</v>
      </c>
      <c r="C4840" t="s">
        <v>4263</v>
      </c>
      <c r="D4840" t="s">
        <v>4264</v>
      </c>
      <c r="E4840" t="s">
        <v>2308</v>
      </c>
      <c r="F4840" t="s">
        <v>615</v>
      </c>
      <c r="G4840" t="s">
        <v>236</v>
      </c>
    </row>
    <row r="4841" spans="1:10" x14ac:dyDescent="0.2">
      <c r="A4841" t="s">
        <v>2318</v>
      </c>
      <c r="B4841" t="s">
        <v>2319</v>
      </c>
      <c r="C4841" t="s">
        <v>2319</v>
      </c>
      <c r="D4841" t="s">
        <v>2319</v>
      </c>
      <c r="E4841" t="s">
        <v>2319</v>
      </c>
      <c r="F4841" t="s">
        <v>2319</v>
      </c>
      <c r="G4841" t="s">
        <v>2319</v>
      </c>
    </row>
    <row r="4842" spans="1:10" x14ac:dyDescent="0.2">
      <c r="A4842" t="s">
        <v>4265</v>
      </c>
      <c r="B4842">
        <v>0</v>
      </c>
      <c r="C4842">
        <v>0</v>
      </c>
      <c r="D4842">
        <v>0</v>
      </c>
      <c r="E4842">
        <v>0</v>
      </c>
      <c r="F4842">
        <v>0</v>
      </c>
      <c r="G4842">
        <v>0</v>
      </c>
    </row>
    <row r="4843" spans="1:10" x14ac:dyDescent="0.2">
      <c r="A4843" t="s">
        <v>4266</v>
      </c>
      <c r="B4843">
        <v>0</v>
      </c>
      <c r="C4843">
        <v>0</v>
      </c>
      <c r="D4843">
        <v>0</v>
      </c>
      <c r="E4843">
        <v>0</v>
      </c>
      <c r="F4843">
        <v>0</v>
      </c>
      <c r="G4843">
        <v>0</v>
      </c>
    </row>
    <row r="4844" spans="1:10" x14ac:dyDescent="0.2">
      <c r="A4844" t="s">
        <v>4267</v>
      </c>
      <c r="B4844">
        <v>0</v>
      </c>
      <c r="C4844">
        <v>0</v>
      </c>
      <c r="D4844">
        <v>0</v>
      </c>
      <c r="E4844">
        <v>0</v>
      </c>
      <c r="F4844">
        <v>0</v>
      </c>
      <c r="G4844">
        <v>0</v>
      </c>
    </row>
    <row r="4845" spans="1:10" x14ac:dyDescent="0.2">
      <c r="A4845" t="s">
        <v>4268</v>
      </c>
      <c r="B4845">
        <v>0</v>
      </c>
      <c r="C4845">
        <v>0</v>
      </c>
      <c r="D4845">
        <v>0</v>
      </c>
      <c r="E4845">
        <v>0</v>
      </c>
      <c r="F4845">
        <v>0</v>
      </c>
      <c r="G4845">
        <v>0</v>
      </c>
    </row>
    <row r="4846" spans="1:10" x14ac:dyDescent="0.2">
      <c r="A4846" t="s">
        <v>4269</v>
      </c>
      <c r="B4846">
        <v>0</v>
      </c>
      <c r="C4846">
        <v>0</v>
      </c>
      <c r="D4846">
        <v>0</v>
      </c>
      <c r="E4846">
        <v>0</v>
      </c>
      <c r="F4846">
        <v>0</v>
      </c>
      <c r="G4846">
        <v>0</v>
      </c>
    </row>
    <row r="4847" spans="1:10" x14ac:dyDescent="0.2">
      <c r="A4847" t="s">
        <v>4270</v>
      </c>
      <c r="B4847">
        <v>0</v>
      </c>
      <c r="C4847">
        <v>0</v>
      </c>
      <c r="D4847">
        <v>0</v>
      </c>
      <c r="E4847">
        <v>0</v>
      </c>
      <c r="F4847">
        <v>0</v>
      </c>
      <c r="G4847">
        <v>0</v>
      </c>
    </row>
    <row r="4848" spans="1:10" x14ac:dyDescent="0.2">
      <c r="A4848" t="s">
        <v>4271</v>
      </c>
      <c r="B4848">
        <v>0</v>
      </c>
      <c r="C4848">
        <v>0</v>
      </c>
      <c r="D4848">
        <v>0</v>
      </c>
      <c r="E4848">
        <v>0</v>
      </c>
      <c r="F4848">
        <v>0</v>
      </c>
      <c r="G4848">
        <v>0</v>
      </c>
    </row>
    <row r="4849" spans="1:7" x14ac:dyDescent="0.2">
      <c r="A4849" t="s">
        <v>4272</v>
      </c>
      <c r="B4849">
        <v>0</v>
      </c>
      <c r="C4849">
        <v>0</v>
      </c>
      <c r="D4849">
        <v>0</v>
      </c>
      <c r="E4849">
        <v>0</v>
      </c>
      <c r="F4849">
        <v>0</v>
      </c>
      <c r="G4849">
        <v>0</v>
      </c>
    </row>
    <row r="4850" spans="1:7" x14ac:dyDescent="0.2">
      <c r="A4850" t="s">
        <v>4273</v>
      </c>
      <c r="B4850">
        <v>0</v>
      </c>
      <c r="C4850">
        <v>0</v>
      </c>
      <c r="D4850">
        <v>0</v>
      </c>
      <c r="E4850">
        <v>0</v>
      </c>
      <c r="F4850">
        <v>0</v>
      </c>
      <c r="G4850">
        <v>0</v>
      </c>
    </row>
    <row r="4851" spans="1:7" x14ac:dyDescent="0.2">
      <c r="A4851" t="s">
        <v>4274</v>
      </c>
      <c r="B4851">
        <v>0</v>
      </c>
      <c r="C4851">
        <v>0</v>
      </c>
      <c r="D4851">
        <v>0</v>
      </c>
      <c r="E4851">
        <v>0</v>
      </c>
      <c r="F4851">
        <v>0</v>
      </c>
      <c r="G4851">
        <v>0</v>
      </c>
    </row>
    <row r="4852" spans="1:7" x14ac:dyDescent="0.2">
      <c r="A4852" t="s">
        <v>4275</v>
      </c>
      <c r="B4852">
        <v>0</v>
      </c>
      <c r="C4852">
        <v>0</v>
      </c>
      <c r="D4852">
        <v>0</v>
      </c>
      <c r="E4852">
        <v>0</v>
      </c>
      <c r="F4852">
        <v>0</v>
      </c>
      <c r="G4852">
        <v>0</v>
      </c>
    </row>
    <row r="4853" spans="1:7" x14ac:dyDescent="0.2">
      <c r="A4853" t="s">
        <v>4276</v>
      </c>
      <c r="B4853">
        <v>0</v>
      </c>
      <c r="C4853">
        <v>0</v>
      </c>
      <c r="D4853">
        <v>0</v>
      </c>
      <c r="E4853">
        <v>0</v>
      </c>
      <c r="F4853">
        <v>0</v>
      </c>
      <c r="G4853">
        <v>0</v>
      </c>
    </row>
    <row r="4854" spans="1:7" x14ac:dyDescent="0.2">
      <c r="A4854" t="s">
        <v>4277</v>
      </c>
      <c r="B4854">
        <v>0</v>
      </c>
      <c r="C4854">
        <v>0</v>
      </c>
      <c r="D4854">
        <v>0</v>
      </c>
      <c r="E4854">
        <v>0</v>
      </c>
      <c r="F4854">
        <v>0</v>
      </c>
      <c r="G4854">
        <v>0</v>
      </c>
    </row>
    <row r="4855" spans="1:7" x14ac:dyDescent="0.2">
      <c r="A4855" t="s">
        <v>4278</v>
      </c>
      <c r="B4855">
        <v>0</v>
      </c>
      <c r="C4855">
        <v>0</v>
      </c>
      <c r="D4855">
        <v>0</v>
      </c>
      <c r="E4855">
        <v>0</v>
      </c>
      <c r="F4855">
        <v>0</v>
      </c>
      <c r="G4855">
        <v>0</v>
      </c>
    </row>
    <row r="4856" spans="1:7" x14ac:dyDescent="0.2">
      <c r="A4856" t="s">
        <v>4279</v>
      </c>
      <c r="B4856">
        <v>0</v>
      </c>
      <c r="C4856">
        <v>0</v>
      </c>
      <c r="D4856">
        <v>1</v>
      </c>
      <c r="E4856">
        <v>0</v>
      </c>
      <c r="F4856">
        <v>0</v>
      </c>
      <c r="G4856">
        <v>1</v>
      </c>
    </row>
    <row r="4857" spans="1:7" x14ac:dyDescent="0.2">
      <c r="A4857" t="s">
        <v>4280</v>
      </c>
      <c r="B4857">
        <v>0</v>
      </c>
      <c r="C4857">
        <v>1</v>
      </c>
      <c r="D4857">
        <v>0</v>
      </c>
      <c r="E4857">
        <v>0</v>
      </c>
      <c r="F4857">
        <v>0</v>
      </c>
      <c r="G4857">
        <v>1</v>
      </c>
    </row>
    <row r="4858" spans="1:7" x14ac:dyDescent="0.2">
      <c r="A4858" t="s">
        <v>4281</v>
      </c>
      <c r="B4858">
        <v>45</v>
      </c>
      <c r="C4858">
        <v>44</v>
      </c>
      <c r="D4858">
        <v>149</v>
      </c>
      <c r="E4858">
        <v>81</v>
      </c>
      <c r="F4858">
        <v>0</v>
      </c>
      <c r="G4858">
        <v>319</v>
      </c>
    </row>
    <row r="4859" spans="1:7" x14ac:dyDescent="0.2">
      <c r="A4859" t="s">
        <v>4282</v>
      </c>
      <c r="B4859">
        <v>28</v>
      </c>
      <c r="C4859">
        <v>35</v>
      </c>
      <c r="D4859">
        <v>40</v>
      </c>
      <c r="E4859">
        <v>2</v>
      </c>
      <c r="F4859">
        <v>0</v>
      </c>
      <c r="G4859">
        <v>105</v>
      </c>
    </row>
    <row r="4860" spans="1:7" x14ac:dyDescent="0.2">
      <c r="A4860" t="s">
        <v>4283</v>
      </c>
      <c r="B4860">
        <v>5</v>
      </c>
      <c r="C4860">
        <v>15</v>
      </c>
      <c r="D4860">
        <v>16</v>
      </c>
      <c r="E4860">
        <v>42</v>
      </c>
      <c r="F4860">
        <v>0</v>
      </c>
      <c r="G4860">
        <v>77</v>
      </c>
    </row>
    <row r="4861" spans="1:7" x14ac:dyDescent="0.2">
      <c r="A4861" t="s">
        <v>4284</v>
      </c>
      <c r="B4861">
        <v>2</v>
      </c>
      <c r="C4861">
        <v>0</v>
      </c>
      <c r="D4861">
        <v>3</v>
      </c>
      <c r="E4861">
        <v>1</v>
      </c>
      <c r="F4861">
        <v>0</v>
      </c>
      <c r="G4861">
        <v>6</v>
      </c>
    </row>
    <row r="4862" spans="1:7" x14ac:dyDescent="0.2">
      <c r="A4862" t="s">
        <v>4285</v>
      </c>
      <c r="B4862">
        <v>25</v>
      </c>
      <c r="C4862">
        <v>46</v>
      </c>
      <c r="D4862">
        <v>88</v>
      </c>
      <c r="E4862">
        <v>202</v>
      </c>
      <c r="F4862">
        <v>0</v>
      </c>
      <c r="G4862">
        <v>361</v>
      </c>
    </row>
    <row r="4863" spans="1:7" x14ac:dyDescent="0.2">
      <c r="A4863" t="s">
        <v>4286</v>
      </c>
      <c r="B4863">
        <v>13</v>
      </c>
      <c r="C4863">
        <v>2</v>
      </c>
      <c r="D4863">
        <v>7</v>
      </c>
      <c r="E4863">
        <v>2</v>
      </c>
      <c r="F4863">
        <v>0</v>
      </c>
      <c r="G4863">
        <v>24</v>
      </c>
    </row>
    <row r="4864" spans="1:7" x14ac:dyDescent="0.2">
      <c r="A4864" t="s">
        <v>4287</v>
      </c>
      <c r="B4864">
        <v>0</v>
      </c>
      <c r="C4864">
        <v>0</v>
      </c>
      <c r="D4864">
        <v>0</v>
      </c>
      <c r="E4864">
        <v>62</v>
      </c>
      <c r="F4864">
        <v>0</v>
      </c>
      <c r="G4864">
        <v>62</v>
      </c>
    </row>
    <row r="4865" spans="1:7" x14ac:dyDescent="0.2">
      <c r="A4865" t="s">
        <v>4288</v>
      </c>
      <c r="B4865">
        <v>0</v>
      </c>
      <c r="C4865">
        <v>0</v>
      </c>
      <c r="D4865">
        <v>0</v>
      </c>
      <c r="E4865">
        <v>0</v>
      </c>
      <c r="F4865">
        <v>0</v>
      </c>
      <c r="G4865">
        <v>0</v>
      </c>
    </row>
    <row r="4866" spans="1:7" x14ac:dyDescent="0.2">
      <c r="A4866" t="s">
        <v>4289</v>
      </c>
      <c r="B4866">
        <v>0</v>
      </c>
      <c r="C4866">
        <v>0</v>
      </c>
      <c r="D4866">
        <v>0</v>
      </c>
      <c r="E4866">
        <v>0</v>
      </c>
      <c r="F4866">
        <v>0</v>
      </c>
      <c r="G4866">
        <v>0</v>
      </c>
    </row>
    <row r="4867" spans="1:7" x14ac:dyDescent="0.2">
      <c r="A4867" t="s">
        <v>4290</v>
      </c>
      <c r="B4867">
        <v>0</v>
      </c>
      <c r="C4867">
        <v>0</v>
      </c>
      <c r="D4867">
        <v>0</v>
      </c>
      <c r="E4867">
        <v>0</v>
      </c>
      <c r="F4867">
        <v>0</v>
      </c>
      <c r="G4867">
        <v>0</v>
      </c>
    </row>
    <row r="4868" spans="1:7" x14ac:dyDescent="0.2">
      <c r="A4868" t="s">
        <v>4291</v>
      </c>
      <c r="B4868">
        <v>0</v>
      </c>
      <c r="C4868">
        <v>0</v>
      </c>
      <c r="D4868">
        <v>0</v>
      </c>
      <c r="E4868">
        <v>0</v>
      </c>
      <c r="F4868">
        <v>0</v>
      </c>
      <c r="G4868">
        <v>0</v>
      </c>
    </row>
    <row r="4869" spans="1:7" x14ac:dyDescent="0.2">
      <c r="A4869" t="s">
        <v>4292</v>
      </c>
      <c r="B4869">
        <v>0</v>
      </c>
      <c r="C4869">
        <v>0</v>
      </c>
      <c r="D4869">
        <v>0</v>
      </c>
      <c r="E4869">
        <v>0</v>
      </c>
      <c r="F4869">
        <v>0</v>
      </c>
      <c r="G4869">
        <v>0</v>
      </c>
    </row>
    <row r="4870" spans="1:7" x14ac:dyDescent="0.2">
      <c r="A4870" t="s">
        <v>4293</v>
      </c>
      <c r="B4870">
        <v>0</v>
      </c>
      <c r="C4870">
        <v>0</v>
      </c>
      <c r="D4870">
        <v>0</v>
      </c>
      <c r="E4870">
        <v>0</v>
      </c>
      <c r="F4870">
        <v>0</v>
      </c>
      <c r="G4870">
        <v>0</v>
      </c>
    </row>
    <row r="4871" spans="1:7" x14ac:dyDescent="0.2">
      <c r="A4871" t="s">
        <v>4294</v>
      </c>
      <c r="B4871">
        <v>0</v>
      </c>
      <c r="C4871">
        <v>0</v>
      </c>
      <c r="D4871">
        <v>0</v>
      </c>
      <c r="E4871">
        <v>0</v>
      </c>
      <c r="F4871">
        <v>0</v>
      </c>
      <c r="G4871">
        <v>0</v>
      </c>
    </row>
    <row r="4872" spans="1:7" x14ac:dyDescent="0.2">
      <c r="A4872" t="s">
        <v>4295</v>
      </c>
      <c r="B4872">
        <v>0</v>
      </c>
      <c r="C4872">
        <v>0</v>
      </c>
      <c r="D4872">
        <v>0</v>
      </c>
      <c r="E4872">
        <v>0</v>
      </c>
      <c r="F4872">
        <v>0</v>
      </c>
      <c r="G4872">
        <v>0</v>
      </c>
    </row>
    <row r="4873" spans="1:7" x14ac:dyDescent="0.2">
      <c r="A4873" t="s">
        <v>4296</v>
      </c>
      <c r="B4873">
        <v>0</v>
      </c>
      <c r="C4873">
        <v>0</v>
      </c>
      <c r="D4873">
        <v>0</v>
      </c>
      <c r="E4873">
        <v>0</v>
      </c>
      <c r="F4873">
        <v>0</v>
      </c>
      <c r="G4873">
        <v>0</v>
      </c>
    </row>
    <row r="4874" spans="1:7" x14ac:dyDescent="0.2">
      <c r="A4874" t="s">
        <v>4297</v>
      </c>
      <c r="B4874">
        <v>3</v>
      </c>
      <c r="C4874">
        <v>44</v>
      </c>
      <c r="D4874">
        <v>202</v>
      </c>
      <c r="E4874">
        <v>69</v>
      </c>
      <c r="F4874">
        <v>0</v>
      </c>
      <c r="G4874">
        <v>319</v>
      </c>
    </row>
    <row r="4875" spans="1:7" x14ac:dyDescent="0.2">
      <c r="A4875" t="s">
        <v>4298</v>
      </c>
      <c r="B4875">
        <v>36</v>
      </c>
      <c r="C4875">
        <v>29</v>
      </c>
      <c r="D4875">
        <v>46</v>
      </c>
      <c r="E4875">
        <v>136</v>
      </c>
      <c r="F4875">
        <v>0</v>
      </c>
      <c r="G4875">
        <v>248</v>
      </c>
    </row>
    <row r="4876" spans="1:7" x14ac:dyDescent="0.2">
      <c r="A4876" t="s">
        <v>4299</v>
      </c>
      <c r="B4876">
        <v>24</v>
      </c>
      <c r="C4876">
        <v>57</v>
      </c>
      <c r="D4876">
        <v>132</v>
      </c>
      <c r="E4876">
        <v>236</v>
      </c>
      <c r="F4876">
        <v>0</v>
      </c>
      <c r="G4876">
        <v>449</v>
      </c>
    </row>
    <row r="4877" spans="1:7" x14ac:dyDescent="0.2">
      <c r="A4877" t="s">
        <v>4300</v>
      </c>
      <c r="B4877">
        <v>0</v>
      </c>
      <c r="C4877">
        <v>4</v>
      </c>
      <c r="D4877">
        <v>11</v>
      </c>
      <c r="E4877">
        <v>14</v>
      </c>
      <c r="F4877">
        <v>0</v>
      </c>
      <c r="G4877">
        <v>29</v>
      </c>
    </row>
    <row r="4878" spans="1:7" x14ac:dyDescent="0.2">
      <c r="A4878" t="s">
        <v>4301</v>
      </c>
      <c r="B4878">
        <v>0</v>
      </c>
      <c r="C4878">
        <v>66</v>
      </c>
      <c r="D4878">
        <v>493</v>
      </c>
      <c r="E4878">
        <v>1055</v>
      </c>
      <c r="F4878">
        <v>0</v>
      </c>
      <c r="G4878">
        <v>1614</v>
      </c>
    </row>
    <row r="4879" spans="1:7" x14ac:dyDescent="0.2">
      <c r="A4879" t="s">
        <v>4302</v>
      </c>
      <c r="B4879">
        <v>6</v>
      </c>
      <c r="C4879">
        <v>19</v>
      </c>
      <c r="D4879">
        <v>98</v>
      </c>
      <c r="E4879">
        <v>50</v>
      </c>
      <c r="F4879">
        <v>0</v>
      </c>
      <c r="G4879">
        <v>173</v>
      </c>
    </row>
    <row r="4880" spans="1:7" x14ac:dyDescent="0.2">
      <c r="A4880" t="s">
        <v>4303</v>
      </c>
      <c r="B4880">
        <v>6</v>
      </c>
      <c r="C4880">
        <v>54</v>
      </c>
      <c r="D4880">
        <v>396</v>
      </c>
      <c r="E4880">
        <v>127</v>
      </c>
      <c r="F4880">
        <v>0</v>
      </c>
      <c r="G4880">
        <v>583</v>
      </c>
    </row>
    <row r="4881" spans="1:7" x14ac:dyDescent="0.2">
      <c r="A4881" t="s">
        <v>4304</v>
      </c>
      <c r="B4881">
        <v>0</v>
      </c>
      <c r="C4881">
        <v>2</v>
      </c>
      <c r="D4881">
        <v>37</v>
      </c>
      <c r="E4881">
        <v>13</v>
      </c>
      <c r="F4881">
        <v>0</v>
      </c>
      <c r="G4881">
        <v>53</v>
      </c>
    </row>
    <row r="4882" spans="1:7" x14ac:dyDescent="0.2">
      <c r="A4882" t="s">
        <v>4305</v>
      </c>
      <c r="B4882">
        <v>0</v>
      </c>
      <c r="C4882">
        <v>28</v>
      </c>
      <c r="D4882">
        <v>68</v>
      </c>
      <c r="E4882">
        <v>28</v>
      </c>
      <c r="F4882">
        <v>0</v>
      </c>
      <c r="G4882">
        <v>124</v>
      </c>
    </row>
    <row r="4883" spans="1:7" x14ac:dyDescent="0.2">
      <c r="A4883" t="s">
        <v>4306</v>
      </c>
      <c r="B4883">
        <v>2</v>
      </c>
      <c r="C4883">
        <v>18</v>
      </c>
      <c r="D4883">
        <v>8</v>
      </c>
      <c r="E4883">
        <v>22</v>
      </c>
      <c r="F4883">
        <v>0</v>
      </c>
      <c r="G4883">
        <v>51</v>
      </c>
    </row>
    <row r="4884" spans="1:7" x14ac:dyDescent="0.2">
      <c r="A4884" t="s">
        <v>4307</v>
      </c>
      <c r="B4884">
        <v>15</v>
      </c>
      <c r="C4884">
        <v>174</v>
      </c>
      <c r="D4884">
        <v>1050</v>
      </c>
      <c r="E4884">
        <v>1040</v>
      </c>
      <c r="F4884">
        <v>0</v>
      </c>
      <c r="G4884">
        <v>2279</v>
      </c>
    </row>
    <row r="4885" spans="1:7" x14ac:dyDescent="0.2">
      <c r="A4885" t="s">
        <v>4308</v>
      </c>
      <c r="B4885">
        <v>0</v>
      </c>
      <c r="C4885">
        <v>0</v>
      </c>
      <c r="D4885">
        <v>1</v>
      </c>
      <c r="E4885">
        <v>1</v>
      </c>
      <c r="F4885">
        <v>0</v>
      </c>
      <c r="G4885">
        <v>3</v>
      </c>
    </row>
    <row r="4886" spans="1:7" x14ac:dyDescent="0.2">
      <c r="A4886" t="s">
        <v>4309</v>
      </c>
      <c r="B4886">
        <v>0</v>
      </c>
      <c r="C4886">
        <v>0</v>
      </c>
      <c r="D4886">
        <v>0</v>
      </c>
      <c r="E4886">
        <v>0</v>
      </c>
      <c r="F4886">
        <v>0</v>
      </c>
      <c r="G4886">
        <v>0</v>
      </c>
    </row>
    <row r="4887" spans="1:7" x14ac:dyDescent="0.2">
      <c r="A4887" t="s">
        <v>4310</v>
      </c>
      <c r="B4887">
        <v>0</v>
      </c>
      <c r="C4887">
        <v>0</v>
      </c>
      <c r="D4887">
        <v>0</v>
      </c>
      <c r="E4887">
        <v>0</v>
      </c>
      <c r="F4887">
        <v>0</v>
      </c>
      <c r="G4887">
        <v>0</v>
      </c>
    </row>
    <row r="4888" spans="1:7" x14ac:dyDescent="0.2">
      <c r="A4888" t="s">
        <v>4311</v>
      </c>
      <c r="B4888">
        <v>0</v>
      </c>
      <c r="C4888">
        <v>0</v>
      </c>
      <c r="D4888">
        <v>0</v>
      </c>
      <c r="E4888">
        <v>453</v>
      </c>
      <c r="F4888">
        <v>291</v>
      </c>
      <c r="G4888">
        <v>744</v>
      </c>
    </row>
    <row r="4889" spans="1:7" x14ac:dyDescent="0.2">
      <c r="A4889" t="s">
        <v>4312</v>
      </c>
      <c r="B4889">
        <v>0</v>
      </c>
      <c r="C4889">
        <v>0</v>
      </c>
      <c r="D4889">
        <v>0</v>
      </c>
      <c r="E4889">
        <v>2010</v>
      </c>
      <c r="F4889">
        <v>888</v>
      </c>
      <c r="G4889">
        <v>2898</v>
      </c>
    </row>
    <row r="4890" spans="1:7" x14ac:dyDescent="0.2">
      <c r="A4890" t="s">
        <v>4313</v>
      </c>
      <c r="B4890">
        <v>0</v>
      </c>
      <c r="C4890">
        <v>0</v>
      </c>
      <c r="D4890">
        <v>0</v>
      </c>
      <c r="E4890">
        <v>0</v>
      </c>
      <c r="F4890">
        <v>0</v>
      </c>
      <c r="G4890">
        <v>0</v>
      </c>
    </row>
    <row r="4891" spans="1:7" x14ac:dyDescent="0.2">
      <c r="A4891" t="s">
        <v>4314</v>
      </c>
      <c r="B4891">
        <v>0</v>
      </c>
      <c r="C4891">
        <v>0</v>
      </c>
      <c r="D4891">
        <v>0</v>
      </c>
      <c r="E4891">
        <v>0</v>
      </c>
      <c r="F4891">
        <v>4269</v>
      </c>
      <c r="G4891">
        <v>4269</v>
      </c>
    </row>
    <row r="4892" spans="1:7" x14ac:dyDescent="0.2">
      <c r="A4892" t="s">
        <v>4315</v>
      </c>
      <c r="B4892">
        <v>0</v>
      </c>
      <c r="C4892">
        <v>0</v>
      </c>
      <c r="D4892">
        <v>0</v>
      </c>
      <c r="E4892">
        <v>0</v>
      </c>
      <c r="F4892">
        <v>1204</v>
      </c>
      <c r="G4892">
        <v>1204</v>
      </c>
    </row>
    <row r="4893" spans="1:7" x14ac:dyDescent="0.2">
      <c r="A4893" t="s">
        <v>4316</v>
      </c>
      <c r="B4893">
        <v>0</v>
      </c>
      <c r="C4893">
        <v>0</v>
      </c>
      <c r="D4893">
        <v>0</v>
      </c>
      <c r="E4893">
        <v>3357</v>
      </c>
      <c r="F4893">
        <v>18069</v>
      </c>
      <c r="G4893">
        <v>21426</v>
      </c>
    </row>
    <row r="4894" spans="1:7" x14ac:dyDescent="0.2">
      <c r="A4894" t="s">
        <v>4317</v>
      </c>
      <c r="B4894">
        <v>0</v>
      </c>
      <c r="C4894">
        <v>0</v>
      </c>
      <c r="D4894">
        <v>0</v>
      </c>
      <c r="E4894">
        <v>0</v>
      </c>
      <c r="F4894">
        <v>0</v>
      </c>
      <c r="G4894">
        <v>0</v>
      </c>
    </row>
    <row r="4895" spans="1:7" x14ac:dyDescent="0.2">
      <c r="A4895" t="s">
        <v>4318</v>
      </c>
      <c r="B4895">
        <v>0</v>
      </c>
      <c r="C4895">
        <v>0</v>
      </c>
      <c r="D4895">
        <v>0</v>
      </c>
      <c r="E4895">
        <v>0</v>
      </c>
      <c r="F4895">
        <v>11962</v>
      </c>
      <c r="G4895">
        <v>11962</v>
      </c>
    </row>
    <row r="4896" spans="1:7" x14ac:dyDescent="0.2">
      <c r="A4896" t="s">
        <v>4319</v>
      </c>
      <c r="B4896">
        <v>0</v>
      </c>
      <c r="C4896">
        <v>0</v>
      </c>
      <c r="D4896">
        <v>0</v>
      </c>
      <c r="E4896">
        <v>0</v>
      </c>
      <c r="F4896">
        <v>1267</v>
      </c>
      <c r="G4896">
        <v>1267</v>
      </c>
    </row>
    <row r="4897" spans="1:7" x14ac:dyDescent="0.2">
      <c r="A4897" t="s">
        <v>4320</v>
      </c>
      <c r="B4897">
        <v>0</v>
      </c>
      <c r="C4897">
        <v>0</v>
      </c>
      <c r="D4897">
        <v>0</v>
      </c>
      <c r="E4897">
        <v>0</v>
      </c>
      <c r="F4897">
        <v>4383</v>
      </c>
      <c r="G4897">
        <v>4383</v>
      </c>
    </row>
    <row r="4898" spans="1:7" x14ac:dyDescent="0.2">
      <c r="A4898" t="s">
        <v>4321</v>
      </c>
      <c r="B4898">
        <v>0</v>
      </c>
      <c r="C4898">
        <v>0</v>
      </c>
      <c r="D4898">
        <v>0</v>
      </c>
      <c r="E4898">
        <v>0</v>
      </c>
      <c r="F4898">
        <v>0</v>
      </c>
      <c r="G4898">
        <v>0</v>
      </c>
    </row>
    <row r="4899" spans="1:7" x14ac:dyDescent="0.2">
      <c r="A4899" t="s">
        <v>4322</v>
      </c>
      <c r="B4899">
        <v>0</v>
      </c>
      <c r="C4899">
        <v>0</v>
      </c>
      <c r="D4899">
        <v>0</v>
      </c>
      <c r="E4899">
        <v>0</v>
      </c>
      <c r="F4899">
        <v>0</v>
      </c>
      <c r="G4899">
        <v>0</v>
      </c>
    </row>
    <row r="4900" spans="1:7" x14ac:dyDescent="0.2">
      <c r="A4900" t="s">
        <v>4323</v>
      </c>
      <c r="B4900">
        <v>0</v>
      </c>
      <c r="C4900">
        <v>0</v>
      </c>
      <c r="D4900">
        <v>0</v>
      </c>
      <c r="E4900">
        <v>0</v>
      </c>
      <c r="F4900">
        <v>0</v>
      </c>
      <c r="G4900">
        <v>0</v>
      </c>
    </row>
    <row r="4901" spans="1:7" x14ac:dyDescent="0.2">
      <c r="A4901" t="s">
        <v>4324</v>
      </c>
      <c r="B4901">
        <v>0</v>
      </c>
      <c r="C4901">
        <v>0</v>
      </c>
      <c r="D4901">
        <v>0</v>
      </c>
      <c r="E4901">
        <v>0</v>
      </c>
      <c r="F4901">
        <v>0</v>
      </c>
      <c r="G4901">
        <v>0</v>
      </c>
    </row>
    <row r="4902" spans="1:7" x14ac:dyDescent="0.2">
      <c r="A4902" t="s">
        <v>4325</v>
      </c>
      <c r="B4902">
        <v>0</v>
      </c>
      <c r="C4902">
        <v>0</v>
      </c>
      <c r="D4902">
        <v>0</v>
      </c>
      <c r="E4902">
        <v>0</v>
      </c>
      <c r="F4902">
        <v>0</v>
      </c>
      <c r="G4902">
        <v>0</v>
      </c>
    </row>
    <row r="4903" spans="1:7" x14ac:dyDescent="0.2">
      <c r="A4903" t="s">
        <v>4326</v>
      </c>
      <c r="B4903">
        <v>0</v>
      </c>
      <c r="C4903">
        <v>0</v>
      </c>
      <c r="D4903">
        <v>0</v>
      </c>
      <c r="E4903">
        <v>0</v>
      </c>
      <c r="F4903">
        <v>0</v>
      </c>
      <c r="G4903">
        <v>0</v>
      </c>
    </row>
    <row r="4904" spans="1:7" x14ac:dyDescent="0.2">
      <c r="A4904" t="s">
        <v>4327</v>
      </c>
      <c r="B4904">
        <v>0</v>
      </c>
      <c r="C4904">
        <v>0</v>
      </c>
      <c r="D4904">
        <v>0</v>
      </c>
      <c r="E4904">
        <v>18</v>
      </c>
      <c r="F4904">
        <v>50</v>
      </c>
      <c r="G4904">
        <v>68</v>
      </c>
    </row>
    <row r="4905" spans="1:7" x14ac:dyDescent="0.2">
      <c r="A4905" t="s">
        <v>4328</v>
      </c>
      <c r="B4905">
        <v>0</v>
      </c>
      <c r="C4905">
        <v>0</v>
      </c>
      <c r="D4905">
        <v>0</v>
      </c>
      <c r="E4905">
        <v>0</v>
      </c>
      <c r="F4905">
        <v>0</v>
      </c>
      <c r="G4905">
        <v>0</v>
      </c>
    </row>
    <row r="4906" spans="1:7" x14ac:dyDescent="0.2">
      <c r="A4906" t="s">
        <v>4329</v>
      </c>
      <c r="B4906">
        <v>0</v>
      </c>
      <c r="C4906">
        <v>0</v>
      </c>
      <c r="D4906">
        <v>0</v>
      </c>
      <c r="E4906">
        <v>0</v>
      </c>
      <c r="F4906">
        <v>0</v>
      </c>
      <c r="G4906">
        <v>0</v>
      </c>
    </row>
    <row r="4907" spans="1:7" x14ac:dyDescent="0.2">
      <c r="A4907" t="s">
        <v>4330</v>
      </c>
      <c r="B4907">
        <v>0</v>
      </c>
      <c r="C4907">
        <v>0</v>
      </c>
      <c r="D4907">
        <v>0</v>
      </c>
      <c r="E4907">
        <v>0</v>
      </c>
      <c r="F4907">
        <v>0</v>
      </c>
      <c r="G4907">
        <v>0</v>
      </c>
    </row>
    <row r="4908" spans="1:7" x14ac:dyDescent="0.2">
      <c r="A4908" t="s">
        <v>4331</v>
      </c>
      <c r="B4908">
        <v>0</v>
      </c>
      <c r="C4908">
        <v>0</v>
      </c>
      <c r="D4908">
        <v>0</v>
      </c>
      <c r="E4908">
        <v>0</v>
      </c>
      <c r="F4908">
        <v>0</v>
      </c>
      <c r="G4908">
        <v>0</v>
      </c>
    </row>
    <row r="4909" spans="1:7" x14ac:dyDescent="0.2">
      <c r="A4909" t="s">
        <v>4332</v>
      </c>
      <c r="B4909">
        <v>0</v>
      </c>
      <c r="C4909">
        <v>0</v>
      </c>
      <c r="D4909">
        <v>0</v>
      </c>
      <c r="E4909">
        <v>10</v>
      </c>
      <c r="F4909">
        <v>2</v>
      </c>
      <c r="G4909">
        <v>12</v>
      </c>
    </row>
    <row r="4910" spans="1:7" x14ac:dyDescent="0.2">
      <c r="A4910" t="s">
        <v>4333</v>
      </c>
      <c r="B4910">
        <v>0</v>
      </c>
      <c r="C4910">
        <v>0</v>
      </c>
      <c r="D4910">
        <v>0</v>
      </c>
      <c r="E4910">
        <v>0</v>
      </c>
      <c r="F4910">
        <v>0</v>
      </c>
      <c r="G4910">
        <v>0</v>
      </c>
    </row>
    <row r="4911" spans="1:7" x14ac:dyDescent="0.2">
      <c r="A4911" t="s">
        <v>4334</v>
      </c>
      <c r="B4911">
        <v>0</v>
      </c>
      <c r="C4911">
        <v>0</v>
      </c>
      <c r="D4911">
        <v>0</v>
      </c>
      <c r="E4911">
        <v>0</v>
      </c>
      <c r="F4911">
        <v>0</v>
      </c>
      <c r="G4911">
        <v>0</v>
      </c>
    </row>
    <row r="4912" spans="1:7" x14ac:dyDescent="0.2">
      <c r="A4912" t="s">
        <v>4335</v>
      </c>
      <c r="B4912">
        <v>0</v>
      </c>
      <c r="C4912">
        <v>0</v>
      </c>
      <c r="D4912">
        <v>0</v>
      </c>
      <c r="E4912">
        <v>0</v>
      </c>
      <c r="F4912">
        <v>0</v>
      </c>
      <c r="G4912">
        <v>0</v>
      </c>
    </row>
    <row r="4913" spans="1:7" x14ac:dyDescent="0.2">
      <c r="A4913" t="s">
        <v>4336</v>
      </c>
      <c r="B4913">
        <v>0</v>
      </c>
      <c r="C4913">
        <v>0</v>
      </c>
      <c r="D4913">
        <v>0</v>
      </c>
      <c r="E4913">
        <v>0</v>
      </c>
      <c r="F4913">
        <v>0</v>
      </c>
      <c r="G4913">
        <v>0</v>
      </c>
    </row>
    <row r="4914" spans="1:7" x14ac:dyDescent="0.2">
      <c r="A4914" t="s">
        <v>4337</v>
      </c>
      <c r="B4914">
        <v>0</v>
      </c>
      <c r="C4914">
        <v>0</v>
      </c>
      <c r="D4914">
        <v>0</v>
      </c>
      <c r="E4914">
        <v>0</v>
      </c>
      <c r="F4914">
        <v>0</v>
      </c>
      <c r="G4914">
        <v>0</v>
      </c>
    </row>
    <row r="4915" spans="1:7" x14ac:dyDescent="0.2">
      <c r="A4915" t="s">
        <v>4338</v>
      </c>
      <c r="B4915">
        <v>0</v>
      </c>
      <c r="C4915">
        <v>0</v>
      </c>
      <c r="D4915">
        <v>0</v>
      </c>
      <c r="E4915">
        <v>1</v>
      </c>
      <c r="F4915">
        <v>0</v>
      </c>
      <c r="G4915">
        <v>1</v>
      </c>
    </row>
    <row r="4916" spans="1:7" x14ac:dyDescent="0.2">
      <c r="A4916" t="s">
        <v>4339</v>
      </c>
      <c r="B4916">
        <v>0</v>
      </c>
      <c r="C4916">
        <v>0</v>
      </c>
      <c r="D4916">
        <v>0</v>
      </c>
      <c r="E4916">
        <v>0</v>
      </c>
      <c r="F4916">
        <v>0</v>
      </c>
      <c r="G4916">
        <v>0</v>
      </c>
    </row>
    <row r="4917" spans="1:7" x14ac:dyDescent="0.2">
      <c r="A4917" t="s">
        <v>4340</v>
      </c>
      <c r="B4917">
        <v>0</v>
      </c>
      <c r="C4917">
        <v>0</v>
      </c>
      <c r="D4917">
        <v>0</v>
      </c>
      <c r="E4917">
        <v>0</v>
      </c>
      <c r="F4917">
        <v>0</v>
      </c>
      <c r="G4917">
        <v>0</v>
      </c>
    </row>
    <row r="4918" spans="1:7" x14ac:dyDescent="0.2">
      <c r="A4918" t="s">
        <v>4341</v>
      </c>
      <c r="B4918">
        <v>0</v>
      </c>
      <c r="C4918">
        <v>0</v>
      </c>
      <c r="D4918">
        <v>0</v>
      </c>
      <c r="E4918">
        <v>0</v>
      </c>
      <c r="F4918">
        <v>0</v>
      </c>
      <c r="G4918">
        <v>0</v>
      </c>
    </row>
    <row r="4919" spans="1:7" x14ac:dyDescent="0.2">
      <c r="A4919" t="s">
        <v>4342</v>
      </c>
      <c r="B4919">
        <v>0</v>
      </c>
      <c r="C4919">
        <v>0</v>
      </c>
      <c r="D4919">
        <v>0</v>
      </c>
      <c r="E4919">
        <v>0</v>
      </c>
      <c r="F4919">
        <v>0</v>
      </c>
      <c r="G4919">
        <v>0</v>
      </c>
    </row>
    <row r="4920" spans="1:7" x14ac:dyDescent="0.2">
      <c r="A4920" t="s">
        <v>4343</v>
      </c>
      <c r="B4920">
        <v>0</v>
      </c>
      <c r="C4920">
        <v>0</v>
      </c>
      <c r="D4920">
        <v>0</v>
      </c>
      <c r="E4920">
        <v>0</v>
      </c>
      <c r="F4920">
        <v>0</v>
      </c>
      <c r="G4920">
        <v>0</v>
      </c>
    </row>
    <row r="4921" spans="1:7" x14ac:dyDescent="0.2">
      <c r="A4921" t="s">
        <v>1728</v>
      </c>
      <c r="B4921">
        <v>0</v>
      </c>
      <c r="C4921">
        <v>0</v>
      </c>
      <c r="D4921">
        <v>0</v>
      </c>
      <c r="E4921">
        <v>0</v>
      </c>
      <c r="F4921">
        <v>0</v>
      </c>
      <c r="G4921">
        <v>0</v>
      </c>
    </row>
    <row r="4922" spans="1:7" x14ac:dyDescent="0.2">
      <c r="A4922" t="s">
        <v>1730</v>
      </c>
      <c r="B4922">
        <v>0</v>
      </c>
      <c r="C4922">
        <v>1</v>
      </c>
      <c r="D4922">
        <v>4</v>
      </c>
      <c r="E4922">
        <v>0</v>
      </c>
      <c r="F4922">
        <v>84</v>
      </c>
      <c r="G4922">
        <v>90</v>
      </c>
    </row>
    <row r="4923" spans="1:7" x14ac:dyDescent="0.2">
      <c r="A4923" t="s">
        <v>1733</v>
      </c>
      <c r="B4923">
        <v>0</v>
      </c>
      <c r="C4923">
        <v>0</v>
      </c>
      <c r="D4923">
        <v>0</v>
      </c>
      <c r="E4923">
        <v>0</v>
      </c>
      <c r="F4923">
        <v>0</v>
      </c>
      <c r="G4923">
        <v>0</v>
      </c>
    </row>
    <row r="4924" spans="1:7" x14ac:dyDescent="0.2">
      <c r="A4924" t="s">
        <v>1738</v>
      </c>
      <c r="B4924">
        <v>0</v>
      </c>
      <c r="C4924">
        <v>0</v>
      </c>
      <c r="D4924">
        <v>0</v>
      </c>
      <c r="E4924">
        <v>0</v>
      </c>
      <c r="F4924">
        <v>0</v>
      </c>
      <c r="G4924">
        <v>0</v>
      </c>
    </row>
    <row r="4925" spans="1:7" x14ac:dyDescent="0.2">
      <c r="A4925" t="s">
        <v>1744</v>
      </c>
      <c r="B4925">
        <v>0</v>
      </c>
      <c r="C4925">
        <v>0</v>
      </c>
      <c r="D4925">
        <v>0</v>
      </c>
      <c r="E4925">
        <v>0</v>
      </c>
      <c r="F4925">
        <v>0</v>
      </c>
      <c r="G4925">
        <v>0</v>
      </c>
    </row>
    <row r="4926" spans="1:7" x14ac:dyDescent="0.2">
      <c r="A4926" t="s">
        <v>1747</v>
      </c>
      <c r="B4926">
        <v>0</v>
      </c>
      <c r="C4926">
        <v>0</v>
      </c>
      <c r="D4926">
        <v>0</v>
      </c>
      <c r="E4926">
        <v>0</v>
      </c>
      <c r="F4926">
        <v>0</v>
      </c>
      <c r="G4926">
        <v>0</v>
      </c>
    </row>
    <row r="4927" spans="1:7" x14ac:dyDescent="0.2">
      <c r="A4927" t="s">
        <v>1751</v>
      </c>
      <c r="B4927">
        <v>0</v>
      </c>
      <c r="C4927">
        <v>0</v>
      </c>
      <c r="D4927">
        <v>0</v>
      </c>
      <c r="E4927">
        <v>0</v>
      </c>
      <c r="F4927">
        <v>0</v>
      </c>
      <c r="G4927">
        <v>0</v>
      </c>
    </row>
    <row r="4928" spans="1:7" x14ac:dyDescent="0.2">
      <c r="A4928" t="s">
        <v>1755</v>
      </c>
      <c r="B4928">
        <v>0</v>
      </c>
      <c r="C4928">
        <v>0</v>
      </c>
      <c r="D4928">
        <v>0</v>
      </c>
      <c r="E4928">
        <v>1</v>
      </c>
      <c r="F4928">
        <v>8</v>
      </c>
      <c r="G4928">
        <v>10</v>
      </c>
    </row>
    <row r="4929" spans="1:7" x14ac:dyDescent="0.2">
      <c r="A4929" t="s">
        <v>1757</v>
      </c>
      <c r="B4929">
        <v>0</v>
      </c>
      <c r="C4929">
        <v>0</v>
      </c>
      <c r="D4929">
        <v>0</v>
      </c>
      <c r="E4929">
        <v>1</v>
      </c>
      <c r="F4929">
        <v>9</v>
      </c>
      <c r="G4929">
        <v>10</v>
      </c>
    </row>
    <row r="4930" spans="1:7" x14ac:dyDescent="0.2">
      <c r="A4930" t="s">
        <v>1761</v>
      </c>
      <c r="B4930">
        <v>0</v>
      </c>
      <c r="C4930">
        <v>0</v>
      </c>
      <c r="D4930">
        <v>0</v>
      </c>
      <c r="E4930">
        <v>0</v>
      </c>
      <c r="F4930">
        <v>0</v>
      </c>
      <c r="G4930">
        <v>0</v>
      </c>
    </row>
    <row r="4931" spans="1:7" x14ac:dyDescent="0.2">
      <c r="A4931" t="s">
        <v>1764</v>
      </c>
      <c r="B4931">
        <v>0</v>
      </c>
      <c r="C4931">
        <v>0</v>
      </c>
      <c r="D4931">
        <v>0</v>
      </c>
      <c r="E4931">
        <v>0</v>
      </c>
      <c r="F4931">
        <v>0</v>
      </c>
      <c r="G4931">
        <v>0</v>
      </c>
    </row>
    <row r="4932" spans="1:7" x14ac:dyDescent="0.2">
      <c r="A4932" t="s">
        <v>1770</v>
      </c>
      <c r="B4932">
        <v>0</v>
      </c>
      <c r="C4932">
        <v>0</v>
      </c>
      <c r="D4932">
        <v>13</v>
      </c>
      <c r="E4932">
        <v>68</v>
      </c>
      <c r="F4932">
        <v>0</v>
      </c>
      <c r="G4932">
        <v>81</v>
      </c>
    </row>
    <row r="4933" spans="1:7" x14ac:dyDescent="0.2">
      <c r="A4933" t="s">
        <v>1772</v>
      </c>
      <c r="B4933">
        <v>0</v>
      </c>
      <c r="C4933">
        <v>0</v>
      </c>
      <c r="D4933">
        <v>1</v>
      </c>
      <c r="E4933">
        <v>1</v>
      </c>
      <c r="F4933">
        <v>0</v>
      </c>
      <c r="G4933">
        <v>2</v>
      </c>
    </row>
    <row r="4934" spans="1:7" x14ac:dyDescent="0.2">
      <c r="A4934" t="s">
        <v>1774</v>
      </c>
      <c r="B4934">
        <v>0</v>
      </c>
      <c r="C4934">
        <v>0</v>
      </c>
      <c r="D4934">
        <v>0</v>
      </c>
      <c r="E4934">
        <v>0</v>
      </c>
      <c r="F4934">
        <v>0</v>
      </c>
      <c r="G4934">
        <v>0</v>
      </c>
    </row>
    <row r="4935" spans="1:7" x14ac:dyDescent="0.2">
      <c r="A4935" t="s">
        <v>1777</v>
      </c>
      <c r="B4935">
        <v>0</v>
      </c>
      <c r="C4935">
        <v>0</v>
      </c>
      <c r="D4935">
        <v>0</v>
      </c>
      <c r="E4935">
        <v>0</v>
      </c>
      <c r="F4935">
        <v>0</v>
      </c>
      <c r="G4935">
        <v>0</v>
      </c>
    </row>
    <row r="4936" spans="1:7" x14ac:dyDescent="0.2">
      <c r="A4936" t="s">
        <v>1782</v>
      </c>
      <c r="B4936">
        <v>0</v>
      </c>
      <c r="C4936">
        <v>0</v>
      </c>
      <c r="D4936">
        <v>0</v>
      </c>
      <c r="E4936">
        <v>0</v>
      </c>
      <c r="F4936">
        <v>0</v>
      </c>
      <c r="G4936">
        <v>0</v>
      </c>
    </row>
    <row r="4937" spans="1:7" x14ac:dyDescent="0.2">
      <c r="A4937" t="s">
        <v>1274</v>
      </c>
      <c r="B4937">
        <v>0</v>
      </c>
      <c r="C4937">
        <v>0</v>
      </c>
      <c r="D4937">
        <v>0</v>
      </c>
      <c r="E4937">
        <v>0</v>
      </c>
      <c r="F4937">
        <v>0</v>
      </c>
      <c r="G4937">
        <v>0</v>
      </c>
    </row>
    <row r="4938" spans="1:7" x14ac:dyDescent="0.2">
      <c r="A4938" t="s">
        <v>1277</v>
      </c>
      <c r="B4938">
        <v>0</v>
      </c>
      <c r="C4938">
        <v>0</v>
      </c>
      <c r="D4938">
        <v>0</v>
      </c>
      <c r="E4938">
        <v>0</v>
      </c>
      <c r="F4938">
        <v>0</v>
      </c>
      <c r="G4938">
        <v>0</v>
      </c>
    </row>
    <row r="4939" spans="1:7" x14ac:dyDescent="0.2">
      <c r="A4939" t="s">
        <v>1798</v>
      </c>
      <c r="B4939">
        <v>0</v>
      </c>
      <c r="C4939">
        <v>0</v>
      </c>
      <c r="D4939">
        <v>0</v>
      </c>
      <c r="E4939">
        <v>0</v>
      </c>
      <c r="F4939">
        <v>0</v>
      </c>
      <c r="G4939">
        <v>0</v>
      </c>
    </row>
    <row r="4940" spans="1:7" x14ac:dyDescent="0.2">
      <c r="A4940" t="s">
        <v>1803</v>
      </c>
      <c r="B4940">
        <v>0</v>
      </c>
      <c r="C4940">
        <v>0</v>
      </c>
      <c r="D4940">
        <v>0</v>
      </c>
      <c r="E4940">
        <v>0</v>
      </c>
      <c r="F4940">
        <v>0</v>
      </c>
      <c r="G4940">
        <v>0</v>
      </c>
    </row>
    <row r="4941" spans="1:7" x14ac:dyDescent="0.2">
      <c r="A4941" t="s">
        <v>1808</v>
      </c>
      <c r="B4941">
        <v>0</v>
      </c>
      <c r="C4941">
        <v>0</v>
      </c>
      <c r="D4941">
        <v>0</v>
      </c>
      <c r="E4941">
        <v>0</v>
      </c>
      <c r="F4941">
        <v>0</v>
      </c>
      <c r="G4941">
        <v>0</v>
      </c>
    </row>
    <row r="4942" spans="1:7" x14ac:dyDescent="0.2">
      <c r="A4942" t="s">
        <v>1813</v>
      </c>
      <c r="B4942">
        <v>0</v>
      </c>
      <c r="C4942">
        <v>0</v>
      </c>
      <c r="D4942">
        <v>0</v>
      </c>
      <c r="E4942">
        <v>0</v>
      </c>
      <c r="F4942">
        <v>0</v>
      </c>
      <c r="G4942">
        <v>0</v>
      </c>
    </row>
    <row r="4943" spans="1:7" x14ac:dyDescent="0.2">
      <c r="A4943" t="s">
        <v>1819</v>
      </c>
      <c r="B4943">
        <v>0</v>
      </c>
      <c r="C4943">
        <v>0</v>
      </c>
      <c r="D4943">
        <v>0</v>
      </c>
      <c r="E4943">
        <v>0</v>
      </c>
      <c r="F4943">
        <v>0</v>
      </c>
      <c r="G4943">
        <v>0</v>
      </c>
    </row>
    <row r="4944" spans="1:7" x14ac:dyDescent="0.2">
      <c r="A4944" t="s">
        <v>1826</v>
      </c>
      <c r="B4944">
        <v>0</v>
      </c>
      <c r="C4944">
        <v>0</v>
      </c>
      <c r="D4944">
        <v>0</v>
      </c>
      <c r="E4944">
        <v>0</v>
      </c>
      <c r="F4944">
        <v>0</v>
      </c>
      <c r="G4944">
        <v>0</v>
      </c>
    </row>
    <row r="4945" spans="1:7" x14ac:dyDescent="0.2">
      <c r="A4945" t="s">
        <v>1830</v>
      </c>
      <c r="B4945">
        <v>0</v>
      </c>
      <c r="C4945">
        <v>0</v>
      </c>
      <c r="D4945">
        <v>0</v>
      </c>
      <c r="E4945">
        <v>0</v>
      </c>
      <c r="F4945">
        <v>0</v>
      </c>
      <c r="G4945">
        <v>0</v>
      </c>
    </row>
    <row r="4946" spans="1:7" x14ac:dyDescent="0.2">
      <c r="A4946" t="s">
        <v>1836</v>
      </c>
      <c r="B4946">
        <v>0</v>
      </c>
      <c r="C4946">
        <v>0</v>
      </c>
      <c r="D4946">
        <v>0</v>
      </c>
      <c r="E4946">
        <v>0</v>
      </c>
      <c r="F4946">
        <v>0</v>
      </c>
      <c r="G4946">
        <v>0</v>
      </c>
    </row>
    <row r="4947" spans="1:7" x14ac:dyDescent="0.2">
      <c r="A4947" t="s">
        <v>1841</v>
      </c>
      <c r="B4947">
        <v>0</v>
      </c>
      <c r="C4947">
        <v>0</v>
      </c>
      <c r="D4947">
        <v>0</v>
      </c>
      <c r="E4947">
        <v>0</v>
      </c>
      <c r="F4947">
        <v>0</v>
      </c>
      <c r="G4947">
        <v>0</v>
      </c>
    </row>
    <row r="4948" spans="1:7" x14ac:dyDescent="0.2">
      <c r="A4948" t="s">
        <v>1842</v>
      </c>
      <c r="B4948">
        <v>0</v>
      </c>
      <c r="C4948">
        <v>0</v>
      </c>
      <c r="D4948">
        <v>0</v>
      </c>
      <c r="E4948">
        <v>0</v>
      </c>
      <c r="F4948">
        <v>0</v>
      </c>
      <c r="G4948">
        <v>0</v>
      </c>
    </row>
    <row r="4949" spans="1:7" x14ac:dyDescent="0.2">
      <c r="A4949" t="s">
        <v>1843</v>
      </c>
      <c r="B4949">
        <v>0</v>
      </c>
      <c r="C4949">
        <v>0</v>
      </c>
      <c r="D4949">
        <v>0</v>
      </c>
      <c r="E4949">
        <v>0</v>
      </c>
      <c r="F4949">
        <v>0</v>
      </c>
      <c r="G4949">
        <v>0</v>
      </c>
    </row>
    <row r="4950" spans="1:7" x14ac:dyDescent="0.2">
      <c r="A4950" t="s">
        <v>1846</v>
      </c>
      <c r="B4950">
        <v>0</v>
      </c>
      <c r="C4950">
        <v>0</v>
      </c>
      <c r="D4950">
        <v>0</v>
      </c>
      <c r="E4950">
        <v>0</v>
      </c>
      <c r="F4950">
        <v>0</v>
      </c>
      <c r="G4950">
        <v>0</v>
      </c>
    </row>
    <row r="4951" spans="1:7" x14ac:dyDescent="0.2">
      <c r="A4951" t="s">
        <v>1851</v>
      </c>
      <c r="B4951">
        <v>0</v>
      </c>
      <c r="C4951">
        <v>0</v>
      </c>
      <c r="D4951">
        <v>0</v>
      </c>
      <c r="E4951">
        <v>0</v>
      </c>
      <c r="F4951">
        <v>0</v>
      </c>
      <c r="G4951">
        <v>0</v>
      </c>
    </row>
    <row r="4952" spans="1:7" x14ac:dyDescent="0.2">
      <c r="A4952" t="s">
        <v>1857</v>
      </c>
      <c r="B4952">
        <v>0</v>
      </c>
      <c r="C4952">
        <v>0</v>
      </c>
      <c r="D4952">
        <v>0</v>
      </c>
      <c r="E4952">
        <v>0</v>
      </c>
      <c r="F4952">
        <v>0</v>
      </c>
      <c r="G4952">
        <v>0</v>
      </c>
    </row>
    <row r="4953" spans="1:7" x14ac:dyDescent="0.2">
      <c r="A4953" t="s">
        <v>1862</v>
      </c>
      <c r="B4953">
        <v>0</v>
      </c>
      <c r="C4953">
        <v>0</v>
      </c>
      <c r="D4953">
        <v>0</v>
      </c>
      <c r="E4953">
        <v>0</v>
      </c>
      <c r="F4953">
        <v>0</v>
      </c>
      <c r="G4953">
        <v>0</v>
      </c>
    </row>
    <row r="4954" spans="1:7" x14ac:dyDescent="0.2">
      <c r="A4954" t="s">
        <v>1867</v>
      </c>
      <c r="B4954">
        <v>0</v>
      </c>
      <c r="C4954">
        <v>0</v>
      </c>
      <c r="D4954">
        <v>0</v>
      </c>
      <c r="E4954">
        <v>0</v>
      </c>
      <c r="F4954">
        <v>0</v>
      </c>
      <c r="G4954">
        <v>0</v>
      </c>
    </row>
    <row r="4955" spans="1:7" x14ac:dyDescent="0.2">
      <c r="A4955" t="s">
        <v>1870</v>
      </c>
      <c r="B4955">
        <v>0</v>
      </c>
      <c r="C4955">
        <v>0</v>
      </c>
      <c r="D4955">
        <v>0</v>
      </c>
      <c r="E4955">
        <v>0</v>
      </c>
      <c r="F4955">
        <v>0</v>
      </c>
      <c r="G4955">
        <v>0</v>
      </c>
    </row>
    <row r="4956" spans="1:7" x14ac:dyDescent="0.2">
      <c r="A4956" t="s">
        <v>1874</v>
      </c>
      <c r="B4956">
        <v>0</v>
      </c>
      <c r="C4956">
        <v>0</v>
      </c>
      <c r="D4956">
        <v>0</v>
      </c>
      <c r="E4956">
        <v>0</v>
      </c>
      <c r="F4956">
        <v>0</v>
      </c>
      <c r="G4956">
        <v>0</v>
      </c>
    </row>
    <row r="4957" spans="1:7" x14ac:dyDescent="0.2">
      <c r="A4957" t="s">
        <v>1876</v>
      </c>
      <c r="B4957">
        <v>0</v>
      </c>
      <c r="C4957">
        <v>0</v>
      </c>
      <c r="D4957">
        <v>0</v>
      </c>
      <c r="E4957">
        <v>0</v>
      </c>
      <c r="F4957">
        <v>0</v>
      </c>
      <c r="G4957">
        <v>0</v>
      </c>
    </row>
    <row r="4958" spans="1:7" x14ac:dyDescent="0.2">
      <c r="A4958" t="s">
        <v>1881</v>
      </c>
      <c r="B4958">
        <v>0</v>
      </c>
      <c r="C4958">
        <v>0</v>
      </c>
      <c r="D4958">
        <v>0</v>
      </c>
      <c r="E4958">
        <v>0</v>
      </c>
      <c r="F4958">
        <v>0</v>
      </c>
      <c r="G4958">
        <v>0</v>
      </c>
    </row>
    <row r="4959" spans="1:7" x14ac:dyDescent="0.2">
      <c r="A4959" t="s">
        <v>1885</v>
      </c>
      <c r="B4959">
        <v>0</v>
      </c>
      <c r="C4959">
        <v>0</v>
      </c>
      <c r="D4959">
        <v>0</v>
      </c>
      <c r="E4959">
        <v>0</v>
      </c>
      <c r="F4959">
        <v>0</v>
      </c>
      <c r="G4959">
        <v>0</v>
      </c>
    </row>
    <row r="4960" spans="1:7" x14ac:dyDescent="0.2">
      <c r="A4960" t="s">
        <v>1887</v>
      </c>
      <c r="B4960">
        <v>0</v>
      </c>
      <c r="C4960">
        <v>0</v>
      </c>
      <c r="D4960">
        <v>0</v>
      </c>
      <c r="E4960">
        <v>0</v>
      </c>
      <c r="F4960">
        <v>0</v>
      </c>
      <c r="G4960">
        <v>0</v>
      </c>
    </row>
    <row r="4961" spans="1:7" x14ac:dyDescent="0.2">
      <c r="A4961" t="s">
        <v>1893</v>
      </c>
      <c r="B4961">
        <v>0</v>
      </c>
      <c r="C4961">
        <v>0</v>
      </c>
      <c r="D4961">
        <v>0</v>
      </c>
      <c r="E4961">
        <v>2</v>
      </c>
      <c r="F4961">
        <v>0</v>
      </c>
      <c r="G4961">
        <v>2</v>
      </c>
    </row>
    <row r="4962" spans="1:7" x14ac:dyDescent="0.2">
      <c r="A4962" t="s">
        <v>1899</v>
      </c>
      <c r="B4962">
        <v>0</v>
      </c>
      <c r="C4962">
        <v>0</v>
      </c>
      <c r="D4962">
        <v>0</v>
      </c>
      <c r="E4962">
        <v>0</v>
      </c>
      <c r="F4962">
        <v>0</v>
      </c>
      <c r="G4962">
        <v>0</v>
      </c>
    </row>
    <row r="4963" spans="1:7" x14ac:dyDescent="0.2">
      <c r="A4963" t="s">
        <v>1906</v>
      </c>
      <c r="B4963">
        <v>0</v>
      </c>
      <c r="C4963">
        <v>0</v>
      </c>
      <c r="D4963">
        <v>0</v>
      </c>
      <c r="E4963">
        <v>0</v>
      </c>
      <c r="F4963">
        <v>0</v>
      </c>
      <c r="G4963">
        <v>0</v>
      </c>
    </row>
    <row r="4964" spans="1:7" x14ac:dyDescent="0.2">
      <c r="A4964" t="s">
        <v>1911</v>
      </c>
      <c r="B4964">
        <v>0</v>
      </c>
      <c r="C4964">
        <v>0</v>
      </c>
      <c r="D4964">
        <v>0</v>
      </c>
      <c r="E4964">
        <v>0</v>
      </c>
      <c r="F4964">
        <v>0</v>
      </c>
      <c r="G4964">
        <v>0</v>
      </c>
    </row>
    <row r="4965" spans="1:7" x14ac:dyDescent="0.2">
      <c r="A4965" t="s">
        <v>1917</v>
      </c>
      <c r="B4965">
        <v>0</v>
      </c>
      <c r="C4965">
        <v>0</v>
      </c>
      <c r="D4965">
        <v>0</v>
      </c>
      <c r="E4965">
        <v>0</v>
      </c>
      <c r="F4965">
        <v>0</v>
      </c>
      <c r="G4965">
        <v>0</v>
      </c>
    </row>
    <row r="4966" spans="1:7" x14ac:dyDescent="0.2">
      <c r="A4966" t="s">
        <v>1922</v>
      </c>
      <c r="B4966">
        <v>0</v>
      </c>
      <c r="C4966">
        <v>0</v>
      </c>
      <c r="D4966">
        <v>0</v>
      </c>
      <c r="E4966">
        <v>0</v>
      </c>
      <c r="F4966">
        <v>0</v>
      </c>
      <c r="G4966">
        <v>0</v>
      </c>
    </row>
    <row r="4967" spans="1:7" x14ac:dyDescent="0.2">
      <c r="A4967" t="s">
        <v>1928</v>
      </c>
      <c r="B4967">
        <v>0</v>
      </c>
      <c r="C4967">
        <v>0</v>
      </c>
      <c r="D4967">
        <v>0</v>
      </c>
      <c r="E4967">
        <v>0</v>
      </c>
      <c r="F4967">
        <v>0</v>
      </c>
      <c r="G4967">
        <v>0</v>
      </c>
    </row>
    <row r="4968" spans="1:7" x14ac:dyDescent="0.2">
      <c r="A4968" t="s">
        <v>1932</v>
      </c>
      <c r="B4968">
        <v>0</v>
      </c>
      <c r="C4968">
        <v>0</v>
      </c>
      <c r="D4968">
        <v>0</v>
      </c>
      <c r="E4968">
        <v>0</v>
      </c>
      <c r="F4968">
        <v>0</v>
      </c>
      <c r="G4968">
        <v>0</v>
      </c>
    </row>
    <row r="4969" spans="1:7" x14ac:dyDescent="0.2">
      <c r="A4969" t="s">
        <v>1938</v>
      </c>
      <c r="B4969">
        <v>0</v>
      </c>
      <c r="C4969">
        <v>0</v>
      </c>
      <c r="D4969">
        <v>0</v>
      </c>
      <c r="E4969">
        <v>0</v>
      </c>
      <c r="F4969">
        <v>0</v>
      </c>
      <c r="G4969">
        <v>0</v>
      </c>
    </row>
    <row r="4970" spans="1:7" x14ac:dyDescent="0.2">
      <c r="A4970" t="s">
        <v>1944</v>
      </c>
      <c r="B4970">
        <v>0</v>
      </c>
      <c r="C4970">
        <v>0</v>
      </c>
      <c r="D4970">
        <v>0</v>
      </c>
      <c r="E4970">
        <v>0</v>
      </c>
      <c r="F4970">
        <v>0</v>
      </c>
      <c r="G4970">
        <v>0</v>
      </c>
    </row>
    <row r="4971" spans="1:7" x14ac:dyDescent="0.2">
      <c r="A4971" t="s">
        <v>1947</v>
      </c>
      <c r="B4971">
        <v>0</v>
      </c>
      <c r="C4971">
        <v>0</v>
      </c>
      <c r="D4971">
        <v>0</v>
      </c>
      <c r="E4971">
        <v>0</v>
      </c>
      <c r="F4971">
        <v>0</v>
      </c>
      <c r="G4971">
        <v>0</v>
      </c>
    </row>
    <row r="4972" spans="1:7" x14ac:dyDescent="0.2">
      <c r="A4972" t="s">
        <v>1953</v>
      </c>
      <c r="B4972">
        <v>0</v>
      </c>
      <c r="C4972">
        <v>0</v>
      </c>
      <c r="D4972">
        <v>0</v>
      </c>
      <c r="E4972">
        <v>0</v>
      </c>
      <c r="F4972">
        <v>0</v>
      </c>
      <c r="G4972">
        <v>0</v>
      </c>
    </row>
    <row r="4973" spans="1:7" x14ac:dyDescent="0.2">
      <c r="A4973" t="s">
        <v>1958</v>
      </c>
      <c r="B4973">
        <v>0</v>
      </c>
      <c r="C4973">
        <v>0</v>
      </c>
      <c r="D4973">
        <v>0</v>
      </c>
      <c r="E4973">
        <v>0</v>
      </c>
      <c r="F4973">
        <v>0</v>
      </c>
      <c r="G4973">
        <v>0</v>
      </c>
    </row>
    <row r="4974" spans="1:7" x14ac:dyDescent="0.2">
      <c r="A4974" t="s">
        <v>1964</v>
      </c>
      <c r="B4974">
        <v>0</v>
      </c>
      <c r="C4974">
        <v>0</v>
      </c>
      <c r="D4974">
        <v>0</v>
      </c>
      <c r="E4974">
        <v>0</v>
      </c>
      <c r="F4974">
        <v>0</v>
      </c>
      <c r="G4974">
        <v>0</v>
      </c>
    </row>
    <row r="4975" spans="1:7" x14ac:dyDescent="0.2">
      <c r="A4975" t="s">
        <v>1973</v>
      </c>
      <c r="B4975">
        <v>0</v>
      </c>
      <c r="C4975">
        <v>0</v>
      </c>
      <c r="D4975">
        <v>0</v>
      </c>
      <c r="E4975">
        <v>0</v>
      </c>
      <c r="F4975">
        <v>0</v>
      </c>
      <c r="G4975">
        <v>0</v>
      </c>
    </row>
    <row r="4976" spans="1:7" x14ac:dyDescent="0.2">
      <c r="A4976" t="s">
        <v>1978</v>
      </c>
      <c r="B4976">
        <v>0</v>
      </c>
      <c r="C4976">
        <v>0</v>
      </c>
      <c r="D4976">
        <v>0</v>
      </c>
      <c r="E4976">
        <v>0</v>
      </c>
      <c r="F4976">
        <v>0</v>
      </c>
      <c r="G4976">
        <v>0</v>
      </c>
    </row>
    <row r="4977" spans="1:7" x14ac:dyDescent="0.2">
      <c r="A4977" t="s">
        <v>1983</v>
      </c>
      <c r="B4977">
        <v>0</v>
      </c>
      <c r="C4977">
        <v>0</v>
      </c>
      <c r="D4977">
        <v>0</v>
      </c>
      <c r="E4977">
        <v>0</v>
      </c>
      <c r="F4977">
        <v>0</v>
      </c>
      <c r="G4977">
        <v>0</v>
      </c>
    </row>
    <row r="4978" spans="1:7" x14ac:dyDescent="0.2">
      <c r="A4978" t="s">
        <v>1984</v>
      </c>
      <c r="B4978">
        <v>0</v>
      </c>
      <c r="C4978">
        <v>0</v>
      </c>
      <c r="D4978">
        <v>0</v>
      </c>
      <c r="E4978">
        <v>0</v>
      </c>
      <c r="F4978">
        <v>0</v>
      </c>
      <c r="G4978">
        <v>0</v>
      </c>
    </row>
    <row r="4979" spans="1:7" x14ac:dyDescent="0.2">
      <c r="A4979" t="s">
        <v>1990</v>
      </c>
      <c r="B4979">
        <v>0</v>
      </c>
      <c r="C4979">
        <v>0</v>
      </c>
      <c r="D4979">
        <v>0</v>
      </c>
      <c r="E4979">
        <v>0</v>
      </c>
      <c r="F4979">
        <v>0</v>
      </c>
      <c r="G4979">
        <v>0</v>
      </c>
    </row>
    <row r="4980" spans="1:7" x14ac:dyDescent="0.2">
      <c r="A4980" t="s">
        <v>1996</v>
      </c>
      <c r="B4980">
        <v>0</v>
      </c>
      <c r="C4980">
        <v>0</v>
      </c>
      <c r="D4980">
        <v>0</v>
      </c>
      <c r="E4980">
        <v>0</v>
      </c>
      <c r="F4980">
        <v>0</v>
      </c>
      <c r="G4980">
        <v>0</v>
      </c>
    </row>
    <row r="4981" spans="1:7" x14ac:dyDescent="0.2">
      <c r="A4981" t="s">
        <v>1998</v>
      </c>
      <c r="B4981">
        <v>0</v>
      </c>
      <c r="C4981">
        <v>0</v>
      </c>
      <c r="D4981">
        <v>0</v>
      </c>
      <c r="E4981">
        <v>0</v>
      </c>
      <c r="F4981">
        <v>0</v>
      </c>
      <c r="G4981">
        <v>0</v>
      </c>
    </row>
    <row r="4982" spans="1:7" x14ac:dyDescent="0.2">
      <c r="A4982" t="s">
        <v>1999</v>
      </c>
      <c r="B4982">
        <v>0</v>
      </c>
      <c r="C4982">
        <v>0</v>
      </c>
      <c r="D4982">
        <v>0</v>
      </c>
      <c r="E4982">
        <v>0</v>
      </c>
      <c r="F4982">
        <v>0</v>
      </c>
      <c r="G4982">
        <v>0</v>
      </c>
    </row>
    <row r="4983" spans="1:7" x14ac:dyDescent="0.2">
      <c r="A4983" t="s">
        <v>2004</v>
      </c>
      <c r="B4983">
        <v>0</v>
      </c>
      <c r="C4983">
        <v>0</v>
      </c>
      <c r="D4983">
        <v>0</v>
      </c>
      <c r="E4983">
        <v>0</v>
      </c>
      <c r="F4983">
        <v>0</v>
      </c>
      <c r="G4983">
        <v>0</v>
      </c>
    </row>
    <row r="4984" spans="1:7" x14ac:dyDescent="0.2">
      <c r="A4984" t="s">
        <v>2009</v>
      </c>
      <c r="B4984">
        <v>0</v>
      </c>
      <c r="C4984">
        <v>0</v>
      </c>
      <c r="D4984">
        <v>0</v>
      </c>
      <c r="E4984">
        <v>0</v>
      </c>
      <c r="F4984">
        <v>0</v>
      </c>
      <c r="G4984">
        <v>0</v>
      </c>
    </row>
    <row r="4985" spans="1:7" x14ac:dyDescent="0.2">
      <c r="A4985" t="s">
        <v>2014</v>
      </c>
      <c r="B4985">
        <v>0</v>
      </c>
      <c r="C4985">
        <v>0</v>
      </c>
      <c r="D4985">
        <v>0</v>
      </c>
      <c r="E4985">
        <v>0</v>
      </c>
      <c r="F4985">
        <v>0</v>
      </c>
      <c r="G4985">
        <v>0</v>
      </c>
    </row>
    <row r="4986" spans="1:7" x14ac:dyDescent="0.2">
      <c r="A4986" t="s">
        <v>2019</v>
      </c>
      <c r="B4986">
        <v>0</v>
      </c>
      <c r="C4986">
        <v>0</v>
      </c>
      <c r="D4986">
        <v>0</v>
      </c>
      <c r="E4986">
        <v>0</v>
      </c>
      <c r="F4986">
        <v>0</v>
      </c>
      <c r="G4986">
        <v>0</v>
      </c>
    </row>
    <row r="4987" spans="1:7" x14ac:dyDescent="0.2">
      <c r="A4987" t="s">
        <v>2023</v>
      </c>
      <c r="B4987">
        <v>0</v>
      </c>
      <c r="C4987">
        <v>0</v>
      </c>
      <c r="D4987">
        <v>0</v>
      </c>
      <c r="E4987">
        <v>0</v>
      </c>
      <c r="F4987">
        <v>0</v>
      </c>
      <c r="G4987">
        <v>0</v>
      </c>
    </row>
    <row r="4988" spans="1:7" x14ac:dyDescent="0.2">
      <c r="A4988" t="s">
        <v>2026</v>
      </c>
      <c r="B4988">
        <v>0</v>
      </c>
      <c r="C4988">
        <v>0</v>
      </c>
      <c r="D4988">
        <v>0</v>
      </c>
      <c r="E4988">
        <v>0</v>
      </c>
      <c r="F4988">
        <v>0</v>
      </c>
      <c r="G4988">
        <v>0</v>
      </c>
    </row>
    <row r="4989" spans="1:7" x14ac:dyDescent="0.2">
      <c r="A4989" t="s">
        <v>2030</v>
      </c>
      <c r="B4989">
        <v>0</v>
      </c>
      <c r="C4989">
        <v>0</v>
      </c>
      <c r="D4989">
        <v>0</v>
      </c>
      <c r="E4989">
        <v>0</v>
      </c>
      <c r="F4989">
        <v>0</v>
      </c>
      <c r="G4989">
        <v>0</v>
      </c>
    </row>
    <row r="4990" spans="1:7" x14ac:dyDescent="0.2">
      <c r="A4990" t="s">
        <v>2035</v>
      </c>
      <c r="B4990">
        <v>0</v>
      </c>
      <c r="C4990">
        <v>0</v>
      </c>
      <c r="D4990">
        <v>0</v>
      </c>
      <c r="E4990">
        <v>0</v>
      </c>
      <c r="F4990">
        <v>0</v>
      </c>
      <c r="G4990">
        <v>0</v>
      </c>
    </row>
    <row r="4991" spans="1:7" x14ac:dyDescent="0.2">
      <c r="A4991" t="s">
        <v>2040</v>
      </c>
      <c r="B4991">
        <v>0</v>
      </c>
      <c r="C4991">
        <v>0</v>
      </c>
      <c r="D4991">
        <v>0</v>
      </c>
      <c r="E4991">
        <v>0</v>
      </c>
      <c r="F4991">
        <v>0</v>
      </c>
      <c r="G4991">
        <v>0</v>
      </c>
    </row>
    <row r="4992" spans="1:7" x14ac:dyDescent="0.2">
      <c r="A4992" t="s">
        <v>2045</v>
      </c>
      <c r="B4992">
        <v>0</v>
      </c>
      <c r="C4992">
        <v>0</v>
      </c>
      <c r="D4992">
        <v>0</v>
      </c>
      <c r="E4992">
        <v>0</v>
      </c>
      <c r="F4992">
        <v>0</v>
      </c>
      <c r="G4992">
        <v>0</v>
      </c>
    </row>
    <row r="4993" spans="1:7" x14ac:dyDescent="0.2">
      <c r="A4993" t="s">
        <v>2049</v>
      </c>
      <c r="B4993">
        <v>0</v>
      </c>
      <c r="C4993">
        <v>0</v>
      </c>
      <c r="D4993">
        <v>0</v>
      </c>
      <c r="E4993">
        <v>0</v>
      </c>
      <c r="F4993">
        <v>0</v>
      </c>
      <c r="G4993">
        <v>0</v>
      </c>
    </row>
    <row r="4994" spans="1:7" x14ac:dyDescent="0.2">
      <c r="A4994" t="s">
        <v>2051</v>
      </c>
      <c r="B4994">
        <v>0</v>
      </c>
      <c r="C4994">
        <v>0</v>
      </c>
      <c r="D4994">
        <v>0</v>
      </c>
      <c r="E4994">
        <v>0</v>
      </c>
      <c r="F4994">
        <v>0</v>
      </c>
      <c r="G4994">
        <v>0</v>
      </c>
    </row>
    <row r="4995" spans="1:7" x14ac:dyDescent="0.2">
      <c r="A4995" t="s">
        <v>2057</v>
      </c>
      <c r="B4995">
        <v>0</v>
      </c>
      <c r="C4995">
        <v>0</v>
      </c>
      <c r="D4995">
        <v>0</v>
      </c>
      <c r="E4995">
        <v>0</v>
      </c>
      <c r="F4995">
        <v>0</v>
      </c>
      <c r="G4995">
        <v>0</v>
      </c>
    </row>
    <row r="4996" spans="1:7" x14ac:dyDescent="0.2">
      <c r="A4996" t="s">
        <v>4344</v>
      </c>
      <c r="B4996">
        <v>0</v>
      </c>
      <c r="C4996">
        <v>0</v>
      </c>
      <c r="D4996">
        <v>0</v>
      </c>
      <c r="E4996">
        <v>0</v>
      </c>
      <c r="F4996">
        <v>0</v>
      </c>
      <c r="G4996">
        <v>0</v>
      </c>
    </row>
    <row r="4997" spans="1:7" x14ac:dyDescent="0.2">
      <c r="A4997" t="s">
        <v>4345</v>
      </c>
      <c r="B4997">
        <v>0</v>
      </c>
      <c r="C4997">
        <v>0</v>
      </c>
      <c r="D4997">
        <v>0</v>
      </c>
      <c r="E4997">
        <v>0</v>
      </c>
      <c r="F4997">
        <v>0</v>
      </c>
      <c r="G4997">
        <v>0</v>
      </c>
    </row>
    <row r="4998" spans="1:7" x14ac:dyDescent="0.2">
      <c r="A4998" t="s">
        <v>2074</v>
      </c>
      <c r="B4998">
        <v>0</v>
      </c>
      <c r="C4998">
        <v>0</v>
      </c>
      <c r="D4998">
        <v>0</v>
      </c>
      <c r="E4998">
        <v>0</v>
      </c>
      <c r="F4998">
        <v>0</v>
      </c>
      <c r="G4998">
        <v>0</v>
      </c>
    </row>
    <row r="4999" spans="1:7" x14ac:dyDescent="0.2">
      <c r="A4999" t="s">
        <v>2079</v>
      </c>
      <c r="B4999">
        <v>0</v>
      </c>
      <c r="C4999">
        <v>0</v>
      </c>
      <c r="D4999">
        <v>0</v>
      </c>
      <c r="E4999">
        <v>0</v>
      </c>
      <c r="F4999">
        <v>0</v>
      </c>
      <c r="G4999">
        <v>0</v>
      </c>
    </row>
    <row r="5000" spans="1:7" x14ac:dyDescent="0.2">
      <c r="A5000" t="s">
        <v>2085</v>
      </c>
      <c r="B5000">
        <v>0</v>
      </c>
      <c r="C5000">
        <v>0</v>
      </c>
      <c r="D5000">
        <v>0</v>
      </c>
      <c r="E5000">
        <v>0</v>
      </c>
      <c r="F5000">
        <v>0</v>
      </c>
      <c r="G5000">
        <v>0</v>
      </c>
    </row>
    <row r="5001" spans="1:7" x14ac:dyDescent="0.2">
      <c r="A5001" t="s">
        <v>2091</v>
      </c>
      <c r="B5001">
        <v>0</v>
      </c>
      <c r="C5001">
        <v>0</v>
      </c>
      <c r="D5001">
        <v>0</v>
      </c>
      <c r="E5001">
        <v>0</v>
      </c>
      <c r="F5001">
        <v>0</v>
      </c>
      <c r="G5001">
        <v>0</v>
      </c>
    </row>
    <row r="5002" spans="1:7" x14ac:dyDescent="0.2">
      <c r="A5002" t="s">
        <v>2097</v>
      </c>
      <c r="B5002">
        <v>0</v>
      </c>
      <c r="C5002">
        <v>0</v>
      </c>
      <c r="D5002">
        <v>0</v>
      </c>
      <c r="E5002">
        <v>0</v>
      </c>
      <c r="F5002">
        <v>0</v>
      </c>
      <c r="G5002">
        <v>0</v>
      </c>
    </row>
    <row r="5003" spans="1:7" x14ac:dyDescent="0.2">
      <c r="A5003" t="s">
        <v>2101</v>
      </c>
      <c r="B5003">
        <v>0</v>
      </c>
      <c r="C5003">
        <v>0</v>
      </c>
      <c r="D5003">
        <v>0</v>
      </c>
      <c r="E5003">
        <v>0</v>
      </c>
      <c r="F5003">
        <v>0</v>
      </c>
      <c r="G5003">
        <v>0</v>
      </c>
    </row>
    <row r="5004" spans="1:7" x14ac:dyDescent="0.2">
      <c r="A5004" t="s">
        <v>2104</v>
      </c>
      <c r="B5004">
        <v>0</v>
      </c>
      <c r="C5004">
        <v>0</v>
      </c>
      <c r="D5004">
        <v>0</v>
      </c>
      <c r="E5004">
        <v>0</v>
      </c>
      <c r="F5004">
        <v>0</v>
      </c>
      <c r="G5004">
        <v>0</v>
      </c>
    </row>
    <row r="5005" spans="1:7" x14ac:dyDescent="0.2">
      <c r="A5005" t="s">
        <v>2107</v>
      </c>
      <c r="B5005">
        <v>0</v>
      </c>
      <c r="C5005">
        <v>0</v>
      </c>
      <c r="D5005">
        <v>0</v>
      </c>
      <c r="E5005">
        <v>0</v>
      </c>
      <c r="F5005">
        <v>0</v>
      </c>
      <c r="G5005">
        <v>0</v>
      </c>
    </row>
    <row r="5006" spans="1:7" x14ac:dyDescent="0.2">
      <c r="A5006" t="s">
        <v>2110</v>
      </c>
      <c r="B5006">
        <v>0</v>
      </c>
      <c r="C5006">
        <v>0</v>
      </c>
      <c r="D5006">
        <v>0</v>
      </c>
      <c r="E5006">
        <v>0</v>
      </c>
      <c r="F5006">
        <v>0</v>
      </c>
      <c r="G5006">
        <v>0</v>
      </c>
    </row>
    <row r="5007" spans="1:7" x14ac:dyDescent="0.2">
      <c r="A5007" t="s">
        <v>2113</v>
      </c>
      <c r="B5007">
        <v>0</v>
      </c>
      <c r="C5007">
        <v>0</v>
      </c>
      <c r="D5007">
        <v>0</v>
      </c>
      <c r="E5007">
        <v>0</v>
      </c>
      <c r="F5007">
        <v>0</v>
      </c>
      <c r="G5007">
        <v>0</v>
      </c>
    </row>
    <row r="5008" spans="1:7" x14ac:dyDescent="0.2">
      <c r="A5008" t="s">
        <v>4346</v>
      </c>
      <c r="B5008">
        <v>0</v>
      </c>
      <c r="C5008">
        <v>0</v>
      </c>
      <c r="D5008">
        <v>0</v>
      </c>
      <c r="E5008">
        <v>0</v>
      </c>
      <c r="F5008">
        <v>0</v>
      </c>
      <c r="G5008">
        <v>0</v>
      </c>
    </row>
    <row r="5009" spans="1:7" x14ac:dyDescent="0.2">
      <c r="A5009" t="s">
        <v>4347</v>
      </c>
      <c r="B5009">
        <v>0</v>
      </c>
      <c r="C5009">
        <v>0</v>
      </c>
      <c r="D5009">
        <v>0</v>
      </c>
      <c r="E5009">
        <v>0</v>
      </c>
      <c r="F5009">
        <v>0</v>
      </c>
      <c r="G5009">
        <v>0</v>
      </c>
    </row>
    <row r="5010" spans="1:7" x14ac:dyDescent="0.2">
      <c r="A5010" t="s">
        <v>4348</v>
      </c>
      <c r="B5010">
        <v>0</v>
      </c>
      <c r="C5010">
        <v>0</v>
      </c>
      <c r="D5010">
        <v>0</v>
      </c>
      <c r="E5010">
        <v>0</v>
      </c>
      <c r="F5010">
        <v>0</v>
      </c>
      <c r="G5010">
        <v>0</v>
      </c>
    </row>
    <row r="5011" spans="1:7" x14ac:dyDescent="0.2">
      <c r="A5011" t="s">
        <v>4349</v>
      </c>
      <c r="B5011">
        <v>0</v>
      </c>
      <c r="C5011">
        <v>0</v>
      </c>
      <c r="D5011">
        <v>0</v>
      </c>
      <c r="E5011">
        <v>0</v>
      </c>
      <c r="F5011">
        <v>0</v>
      </c>
      <c r="G5011">
        <v>0</v>
      </c>
    </row>
    <row r="5012" spans="1:7" x14ac:dyDescent="0.2">
      <c r="A5012" t="s">
        <v>4350</v>
      </c>
      <c r="B5012">
        <v>0</v>
      </c>
      <c r="C5012">
        <v>30</v>
      </c>
      <c r="D5012">
        <v>408</v>
      </c>
      <c r="E5012">
        <v>10</v>
      </c>
      <c r="F5012">
        <v>0</v>
      </c>
      <c r="G5012">
        <v>448</v>
      </c>
    </row>
    <row r="5013" spans="1:7" x14ac:dyDescent="0.2">
      <c r="A5013" t="s">
        <v>4351</v>
      </c>
      <c r="B5013">
        <v>0</v>
      </c>
      <c r="C5013">
        <v>0</v>
      </c>
      <c r="D5013">
        <v>0</v>
      </c>
      <c r="E5013">
        <v>0</v>
      </c>
      <c r="F5013">
        <v>0</v>
      </c>
      <c r="G5013">
        <v>0</v>
      </c>
    </row>
    <row r="5014" spans="1:7" x14ac:dyDescent="0.2">
      <c r="A5014" t="s">
        <v>4352</v>
      </c>
      <c r="B5014">
        <v>0</v>
      </c>
      <c r="C5014">
        <v>0</v>
      </c>
      <c r="D5014">
        <v>0</v>
      </c>
      <c r="E5014">
        <v>0</v>
      </c>
      <c r="F5014">
        <v>0</v>
      </c>
      <c r="G5014">
        <v>0</v>
      </c>
    </row>
    <row r="5015" spans="1:7" x14ac:dyDescent="0.2">
      <c r="A5015" t="s">
        <v>4353</v>
      </c>
      <c r="B5015">
        <v>3</v>
      </c>
      <c r="C5015">
        <v>170</v>
      </c>
      <c r="D5015">
        <v>148</v>
      </c>
      <c r="E5015">
        <v>12</v>
      </c>
      <c r="F5015">
        <v>0</v>
      </c>
      <c r="G5015">
        <v>333</v>
      </c>
    </row>
    <row r="5016" spans="1:7" x14ac:dyDescent="0.2">
      <c r="A5016" t="s">
        <v>4354</v>
      </c>
      <c r="B5016">
        <v>10</v>
      </c>
      <c r="C5016">
        <v>98</v>
      </c>
      <c r="D5016">
        <v>39</v>
      </c>
      <c r="E5016">
        <v>1</v>
      </c>
      <c r="F5016">
        <v>0</v>
      </c>
      <c r="G5016">
        <v>149</v>
      </c>
    </row>
    <row r="5017" spans="1:7" x14ac:dyDescent="0.2">
      <c r="A5017" t="s">
        <v>4355</v>
      </c>
      <c r="B5017">
        <v>0</v>
      </c>
      <c r="C5017">
        <v>0</v>
      </c>
      <c r="D5017">
        <v>0</v>
      </c>
      <c r="E5017">
        <v>0</v>
      </c>
      <c r="F5017">
        <v>0</v>
      </c>
      <c r="G5017">
        <v>0</v>
      </c>
    </row>
    <row r="5018" spans="1:7" x14ac:dyDescent="0.2">
      <c r="A5018" t="s">
        <v>4356</v>
      </c>
      <c r="B5018">
        <v>0</v>
      </c>
      <c r="C5018">
        <v>0</v>
      </c>
      <c r="D5018">
        <v>0</v>
      </c>
      <c r="E5018">
        <v>0</v>
      </c>
      <c r="F5018">
        <v>0</v>
      </c>
      <c r="G5018">
        <v>0</v>
      </c>
    </row>
    <row r="5019" spans="1:7" x14ac:dyDescent="0.2">
      <c r="A5019" t="s">
        <v>4357</v>
      </c>
      <c r="B5019">
        <v>0</v>
      </c>
      <c r="C5019">
        <v>23</v>
      </c>
      <c r="D5019">
        <v>8</v>
      </c>
      <c r="E5019">
        <v>0</v>
      </c>
      <c r="F5019">
        <v>0</v>
      </c>
      <c r="G5019">
        <v>31</v>
      </c>
    </row>
    <row r="5020" spans="1:7" x14ac:dyDescent="0.2">
      <c r="A5020" t="s">
        <v>4358</v>
      </c>
      <c r="B5020">
        <v>0</v>
      </c>
      <c r="C5020">
        <v>8</v>
      </c>
      <c r="D5020">
        <v>0</v>
      </c>
      <c r="E5020">
        <v>0</v>
      </c>
      <c r="F5020">
        <v>0</v>
      </c>
      <c r="G5020">
        <v>8</v>
      </c>
    </row>
    <row r="5021" spans="1:7" x14ac:dyDescent="0.2">
      <c r="A5021" t="s">
        <v>4359</v>
      </c>
      <c r="B5021">
        <v>0</v>
      </c>
      <c r="C5021">
        <v>0</v>
      </c>
      <c r="D5021">
        <v>0</v>
      </c>
      <c r="E5021">
        <v>0</v>
      </c>
      <c r="F5021">
        <v>0</v>
      </c>
      <c r="G5021">
        <v>0</v>
      </c>
    </row>
    <row r="5022" spans="1:7" x14ac:dyDescent="0.2">
      <c r="A5022" t="s">
        <v>4360</v>
      </c>
      <c r="B5022">
        <v>0</v>
      </c>
      <c r="C5022">
        <v>0</v>
      </c>
      <c r="D5022">
        <v>0</v>
      </c>
      <c r="E5022">
        <v>2</v>
      </c>
      <c r="F5022">
        <v>0</v>
      </c>
      <c r="G5022">
        <v>2</v>
      </c>
    </row>
    <row r="5023" spans="1:7" x14ac:dyDescent="0.2">
      <c r="A5023" t="s">
        <v>4361</v>
      </c>
      <c r="B5023">
        <v>0</v>
      </c>
      <c r="C5023">
        <v>0</v>
      </c>
      <c r="D5023">
        <v>58</v>
      </c>
      <c r="E5023">
        <v>1</v>
      </c>
      <c r="F5023">
        <v>0</v>
      </c>
      <c r="G5023">
        <v>59</v>
      </c>
    </row>
    <row r="5024" spans="1:7" x14ac:dyDescent="0.2">
      <c r="A5024" t="s">
        <v>4362</v>
      </c>
      <c r="B5024">
        <v>0</v>
      </c>
      <c r="C5024">
        <v>0</v>
      </c>
      <c r="D5024">
        <v>0</v>
      </c>
      <c r="E5024">
        <v>0</v>
      </c>
      <c r="F5024">
        <v>0</v>
      </c>
      <c r="G5024">
        <v>0</v>
      </c>
    </row>
    <row r="5025" spans="1:7" x14ac:dyDescent="0.2">
      <c r="A5025" t="s">
        <v>4363</v>
      </c>
      <c r="B5025">
        <v>0</v>
      </c>
      <c r="C5025">
        <v>0</v>
      </c>
      <c r="D5025">
        <v>0</v>
      </c>
      <c r="E5025">
        <v>0</v>
      </c>
      <c r="F5025">
        <v>0</v>
      </c>
      <c r="G5025">
        <v>0</v>
      </c>
    </row>
    <row r="5026" spans="1:7" x14ac:dyDescent="0.2">
      <c r="A5026" t="s">
        <v>4364</v>
      </c>
      <c r="B5026">
        <v>0</v>
      </c>
      <c r="C5026">
        <v>0</v>
      </c>
      <c r="D5026">
        <v>0</v>
      </c>
      <c r="E5026">
        <v>0</v>
      </c>
      <c r="F5026">
        <v>0</v>
      </c>
      <c r="G5026">
        <v>0</v>
      </c>
    </row>
    <row r="5027" spans="1:7" x14ac:dyDescent="0.2">
      <c r="A5027" t="s">
        <v>4365</v>
      </c>
      <c r="B5027">
        <v>0</v>
      </c>
      <c r="C5027">
        <v>6</v>
      </c>
      <c r="D5027">
        <v>12</v>
      </c>
      <c r="E5027">
        <v>0</v>
      </c>
      <c r="F5027">
        <v>0</v>
      </c>
      <c r="G5027">
        <v>18</v>
      </c>
    </row>
    <row r="5028" spans="1:7" x14ac:dyDescent="0.2">
      <c r="A5028" t="s">
        <v>4366</v>
      </c>
      <c r="B5028">
        <v>0</v>
      </c>
      <c r="C5028">
        <v>0</v>
      </c>
      <c r="D5028">
        <v>74</v>
      </c>
      <c r="E5028">
        <v>5</v>
      </c>
      <c r="F5028">
        <v>0</v>
      </c>
      <c r="G5028">
        <v>80</v>
      </c>
    </row>
    <row r="5029" spans="1:7" x14ac:dyDescent="0.2">
      <c r="A5029" t="s">
        <v>4367</v>
      </c>
      <c r="B5029">
        <v>0</v>
      </c>
      <c r="C5029">
        <v>0</v>
      </c>
      <c r="D5029">
        <v>6</v>
      </c>
      <c r="E5029">
        <v>0</v>
      </c>
      <c r="F5029">
        <v>0</v>
      </c>
      <c r="G5029">
        <v>6</v>
      </c>
    </row>
    <row r="5030" spans="1:7" x14ac:dyDescent="0.2">
      <c r="A5030" t="s">
        <v>4368</v>
      </c>
      <c r="B5030">
        <v>0</v>
      </c>
      <c r="C5030">
        <v>0</v>
      </c>
      <c r="D5030">
        <v>8</v>
      </c>
      <c r="E5030">
        <v>12</v>
      </c>
      <c r="F5030">
        <v>10</v>
      </c>
      <c r="G5030">
        <v>30</v>
      </c>
    </row>
    <row r="5031" spans="1:7" x14ac:dyDescent="0.2">
      <c r="A5031" t="s">
        <v>4369</v>
      </c>
      <c r="B5031">
        <v>143</v>
      </c>
      <c r="C5031">
        <v>45</v>
      </c>
      <c r="D5031">
        <v>87</v>
      </c>
      <c r="E5031">
        <v>55</v>
      </c>
      <c r="F5031">
        <v>0</v>
      </c>
      <c r="G5031">
        <v>330</v>
      </c>
    </row>
    <row r="5032" spans="1:7" x14ac:dyDescent="0.2">
      <c r="A5032" t="s">
        <v>4370</v>
      </c>
      <c r="B5032">
        <v>0</v>
      </c>
      <c r="C5032">
        <v>0</v>
      </c>
      <c r="D5032">
        <v>0</v>
      </c>
      <c r="E5032">
        <v>0</v>
      </c>
      <c r="F5032">
        <v>0</v>
      </c>
      <c r="G5032">
        <v>1</v>
      </c>
    </row>
    <row r="5033" spans="1:7" x14ac:dyDescent="0.2">
      <c r="A5033" t="s">
        <v>4371</v>
      </c>
      <c r="B5033">
        <v>0</v>
      </c>
      <c r="C5033">
        <v>1</v>
      </c>
      <c r="D5033">
        <v>0</v>
      </c>
      <c r="E5033">
        <v>0</v>
      </c>
      <c r="F5033">
        <v>0</v>
      </c>
      <c r="G5033">
        <v>1</v>
      </c>
    </row>
    <row r="5034" spans="1:7" x14ac:dyDescent="0.2">
      <c r="A5034" t="s">
        <v>4372</v>
      </c>
      <c r="B5034">
        <v>0</v>
      </c>
      <c r="C5034">
        <v>0</v>
      </c>
      <c r="D5034">
        <v>0</v>
      </c>
      <c r="E5034">
        <v>0</v>
      </c>
      <c r="F5034">
        <v>0</v>
      </c>
      <c r="G5034">
        <v>0</v>
      </c>
    </row>
    <row r="5035" spans="1:7" x14ac:dyDescent="0.2">
      <c r="A5035" t="s">
        <v>4373</v>
      </c>
      <c r="B5035">
        <v>0</v>
      </c>
      <c r="C5035">
        <v>17</v>
      </c>
      <c r="D5035">
        <v>77</v>
      </c>
      <c r="E5035">
        <v>5</v>
      </c>
      <c r="F5035">
        <v>0</v>
      </c>
      <c r="G5035">
        <v>99</v>
      </c>
    </row>
    <row r="5036" spans="1:7" x14ac:dyDescent="0.2">
      <c r="A5036" t="s">
        <v>4374</v>
      </c>
      <c r="B5036">
        <v>0</v>
      </c>
      <c r="C5036">
        <v>7</v>
      </c>
      <c r="D5036">
        <v>34</v>
      </c>
      <c r="E5036">
        <v>0</v>
      </c>
      <c r="F5036">
        <v>0</v>
      </c>
      <c r="G5036">
        <v>40</v>
      </c>
    </row>
    <row r="5037" spans="1:7" x14ac:dyDescent="0.2">
      <c r="A5037" t="s">
        <v>4375</v>
      </c>
      <c r="B5037">
        <v>0</v>
      </c>
      <c r="C5037">
        <v>23</v>
      </c>
      <c r="D5037">
        <v>143</v>
      </c>
      <c r="E5037">
        <v>71</v>
      </c>
      <c r="F5037">
        <v>0</v>
      </c>
      <c r="G5037">
        <v>237</v>
      </c>
    </row>
    <row r="5038" spans="1:7" x14ac:dyDescent="0.2">
      <c r="A5038" t="s">
        <v>4376</v>
      </c>
      <c r="B5038">
        <v>0</v>
      </c>
      <c r="C5038">
        <v>0</v>
      </c>
      <c r="D5038">
        <v>11</v>
      </c>
      <c r="E5038">
        <v>0</v>
      </c>
      <c r="F5038">
        <v>0</v>
      </c>
      <c r="G5038">
        <v>11</v>
      </c>
    </row>
    <row r="5039" spans="1:7" x14ac:dyDescent="0.2">
      <c r="A5039" t="s">
        <v>4377</v>
      </c>
      <c r="B5039">
        <v>0</v>
      </c>
      <c r="C5039">
        <v>14</v>
      </c>
      <c r="D5039">
        <v>140</v>
      </c>
      <c r="E5039">
        <v>0</v>
      </c>
      <c r="F5039">
        <v>0</v>
      </c>
      <c r="G5039">
        <v>154</v>
      </c>
    </row>
    <row r="5040" spans="1:7" x14ac:dyDescent="0.2">
      <c r="A5040" t="s">
        <v>2318</v>
      </c>
      <c r="B5040" t="s">
        <v>2319</v>
      </c>
      <c r="C5040" t="s">
        <v>2319</v>
      </c>
      <c r="D5040" t="s">
        <v>2319</v>
      </c>
      <c r="E5040" t="s">
        <v>2319</v>
      </c>
      <c r="F5040" t="s">
        <v>2319</v>
      </c>
      <c r="G5040" t="s">
        <v>2319</v>
      </c>
    </row>
    <row r="5041" spans="1:10" x14ac:dyDescent="0.2">
      <c r="A5041" t="s">
        <v>4248</v>
      </c>
    </row>
    <row r="5042" spans="1:10" x14ac:dyDescent="0.2">
      <c r="A5042" t="s">
        <v>4250</v>
      </c>
      <c r="C5042" t="s">
        <v>4251</v>
      </c>
      <c r="G5042" t="s">
        <v>7531</v>
      </c>
      <c r="J5042"/>
    </row>
    <row r="5043" spans="1:10" x14ac:dyDescent="0.2">
      <c r="A5043" t="s">
        <v>4925</v>
      </c>
      <c r="G5043" t="s">
        <v>7540</v>
      </c>
      <c r="J5043"/>
    </row>
    <row r="5044" spans="1:10" x14ac:dyDescent="0.2">
      <c r="A5044" t="s">
        <v>7530</v>
      </c>
      <c r="J5044"/>
    </row>
    <row r="5045" spans="1:10" x14ac:dyDescent="0.2">
      <c r="A5045" t="s">
        <v>4998</v>
      </c>
      <c r="J5045"/>
    </row>
    <row r="5046" spans="1:10" x14ac:dyDescent="0.2">
      <c r="J5046"/>
    </row>
    <row r="5047" spans="1:10" x14ac:dyDescent="0.2">
      <c r="A5047" t="s">
        <v>4259</v>
      </c>
      <c r="J5047"/>
    </row>
    <row r="5048" spans="1:10" x14ac:dyDescent="0.2">
      <c r="A5048" t="s">
        <v>2318</v>
      </c>
      <c r="B5048" t="s">
        <v>2319</v>
      </c>
      <c r="C5048" t="s">
        <v>2319</v>
      </c>
      <c r="D5048" t="s">
        <v>2319</v>
      </c>
      <c r="E5048" t="s">
        <v>2319</v>
      </c>
      <c r="F5048" t="s">
        <v>2319</v>
      </c>
      <c r="G5048" t="s">
        <v>2319</v>
      </c>
    </row>
    <row r="5049" spans="1:10" x14ac:dyDescent="0.2">
      <c r="A5049" t="s">
        <v>174</v>
      </c>
      <c r="B5049" t="s">
        <v>4945</v>
      </c>
      <c r="C5049" t="s">
        <v>4946</v>
      </c>
      <c r="D5049" t="s">
        <v>4947</v>
      </c>
      <c r="E5049" t="s">
        <v>4948</v>
      </c>
      <c r="F5049" t="s">
        <v>4949</v>
      </c>
    </row>
    <row r="5050" spans="1:10" x14ac:dyDescent="0.2">
      <c r="A5050" t="s">
        <v>126</v>
      </c>
      <c r="B5050" t="s">
        <v>4262</v>
      </c>
      <c r="C5050" t="s">
        <v>4263</v>
      </c>
      <c r="D5050" t="s">
        <v>4264</v>
      </c>
      <c r="E5050" t="s">
        <v>2308</v>
      </c>
      <c r="F5050" t="s">
        <v>615</v>
      </c>
      <c r="G5050" t="s">
        <v>236</v>
      </c>
    </row>
    <row r="5051" spans="1:10" x14ac:dyDescent="0.2">
      <c r="A5051" t="s">
        <v>2318</v>
      </c>
      <c r="B5051" t="s">
        <v>2319</v>
      </c>
      <c r="C5051" t="s">
        <v>2319</v>
      </c>
      <c r="D5051" t="s">
        <v>2319</v>
      </c>
      <c r="E5051" t="s">
        <v>2319</v>
      </c>
      <c r="F5051" t="s">
        <v>2319</v>
      </c>
      <c r="G5051" t="s">
        <v>2319</v>
      </c>
    </row>
    <row r="5052" spans="1:10" x14ac:dyDescent="0.2">
      <c r="A5052" t="s">
        <v>4265</v>
      </c>
      <c r="B5052">
        <v>0</v>
      </c>
      <c r="C5052">
        <v>0</v>
      </c>
      <c r="D5052">
        <v>0</v>
      </c>
      <c r="E5052">
        <v>0</v>
      </c>
      <c r="F5052">
        <v>0</v>
      </c>
      <c r="G5052">
        <v>0</v>
      </c>
    </row>
    <row r="5053" spans="1:10" x14ac:dyDescent="0.2">
      <c r="A5053" t="s">
        <v>4266</v>
      </c>
      <c r="B5053">
        <v>0</v>
      </c>
      <c r="C5053">
        <v>0</v>
      </c>
      <c r="D5053">
        <v>0</v>
      </c>
      <c r="E5053">
        <v>0</v>
      </c>
      <c r="F5053">
        <v>0</v>
      </c>
      <c r="G5053">
        <v>0</v>
      </c>
    </row>
    <row r="5054" spans="1:10" x14ac:dyDescent="0.2">
      <c r="A5054" t="s">
        <v>4267</v>
      </c>
      <c r="B5054">
        <v>0</v>
      </c>
      <c r="C5054">
        <v>0</v>
      </c>
      <c r="D5054">
        <v>0</v>
      </c>
      <c r="E5054">
        <v>0</v>
      </c>
      <c r="F5054">
        <v>0</v>
      </c>
      <c r="G5054">
        <v>0</v>
      </c>
    </row>
    <row r="5055" spans="1:10" x14ac:dyDescent="0.2">
      <c r="A5055" t="s">
        <v>4268</v>
      </c>
      <c r="B5055">
        <v>0</v>
      </c>
      <c r="C5055">
        <v>0</v>
      </c>
      <c r="D5055">
        <v>0</v>
      </c>
      <c r="E5055">
        <v>0</v>
      </c>
      <c r="F5055">
        <v>0</v>
      </c>
      <c r="G5055">
        <v>0</v>
      </c>
    </row>
    <row r="5056" spans="1:10" x14ac:dyDescent="0.2">
      <c r="A5056" t="s">
        <v>4269</v>
      </c>
      <c r="B5056">
        <v>0</v>
      </c>
      <c r="C5056">
        <v>0</v>
      </c>
      <c r="D5056">
        <v>0</v>
      </c>
      <c r="E5056">
        <v>0</v>
      </c>
      <c r="F5056">
        <v>0</v>
      </c>
      <c r="G5056">
        <v>0</v>
      </c>
    </row>
    <row r="5057" spans="1:7" x14ac:dyDescent="0.2">
      <c r="A5057" t="s">
        <v>4270</v>
      </c>
      <c r="B5057">
        <v>0</v>
      </c>
      <c r="C5057">
        <v>0</v>
      </c>
      <c r="D5057">
        <v>0</v>
      </c>
      <c r="E5057">
        <v>0</v>
      </c>
      <c r="F5057">
        <v>0</v>
      </c>
      <c r="G5057">
        <v>0</v>
      </c>
    </row>
    <row r="5058" spans="1:7" x14ac:dyDescent="0.2">
      <c r="A5058" t="s">
        <v>4271</v>
      </c>
      <c r="B5058">
        <v>0</v>
      </c>
      <c r="C5058">
        <v>0</v>
      </c>
      <c r="D5058">
        <v>0</v>
      </c>
      <c r="E5058">
        <v>0</v>
      </c>
      <c r="F5058">
        <v>0</v>
      </c>
      <c r="G5058">
        <v>0</v>
      </c>
    </row>
    <row r="5059" spans="1:7" x14ac:dyDescent="0.2">
      <c r="A5059" t="s">
        <v>4272</v>
      </c>
      <c r="B5059">
        <v>0</v>
      </c>
      <c r="C5059">
        <v>0</v>
      </c>
      <c r="D5059">
        <v>0</v>
      </c>
      <c r="E5059">
        <v>0</v>
      </c>
      <c r="F5059">
        <v>0</v>
      </c>
      <c r="G5059">
        <v>0</v>
      </c>
    </row>
    <row r="5060" spans="1:7" x14ac:dyDescent="0.2">
      <c r="A5060" t="s">
        <v>4273</v>
      </c>
      <c r="B5060">
        <v>0</v>
      </c>
      <c r="C5060">
        <v>0</v>
      </c>
      <c r="D5060">
        <v>0</v>
      </c>
      <c r="E5060">
        <v>0</v>
      </c>
      <c r="F5060">
        <v>0</v>
      </c>
      <c r="G5060">
        <v>0</v>
      </c>
    </row>
    <row r="5061" spans="1:7" x14ac:dyDescent="0.2">
      <c r="A5061" t="s">
        <v>4274</v>
      </c>
      <c r="B5061">
        <v>0</v>
      </c>
      <c r="C5061">
        <v>0</v>
      </c>
      <c r="D5061">
        <v>0</v>
      </c>
      <c r="E5061">
        <v>0</v>
      </c>
      <c r="F5061">
        <v>0</v>
      </c>
      <c r="G5061">
        <v>0</v>
      </c>
    </row>
    <row r="5062" spans="1:7" x14ac:dyDescent="0.2">
      <c r="A5062" t="s">
        <v>4275</v>
      </c>
      <c r="B5062">
        <v>0</v>
      </c>
      <c r="C5062">
        <v>0</v>
      </c>
      <c r="D5062">
        <v>0</v>
      </c>
      <c r="E5062">
        <v>0</v>
      </c>
      <c r="F5062">
        <v>0</v>
      </c>
      <c r="G5062">
        <v>0</v>
      </c>
    </row>
    <row r="5063" spans="1:7" x14ac:dyDescent="0.2">
      <c r="A5063" t="s">
        <v>4276</v>
      </c>
      <c r="B5063">
        <v>0</v>
      </c>
      <c r="C5063">
        <v>0</v>
      </c>
      <c r="D5063">
        <v>0</v>
      </c>
      <c r="E5063">
        <v>0</v>
      </c>
      <c r="F5063">
        <v>0</v>
      </c>
      <c r="G5063">
        <v>0</v>
      </c>
    </row>
    <row r="5064" spans="1:7" x14ac:dyDescent="0.2">
      <c r="A5064" t="s">
        <v>4277</v>
      </c>
      <c r="B5064">
        <v>0</v>
      </c>
      <c r="C5064">
        <v>0</v>
      </c>
      <c r="D5064">
        <v>0</v>
      </c>
      <c r="E5064">
        <v>0</v>
      </c>
      <c r="F5064">
        <v>0</v>
      </c>
      <c r="G5064">
        <v>0</v>
      </c>
    </row>
    <row r="5065" spans="1:7" x14ac:dyDescent="0.2">
      <c r="A5065" t="s">
        <v>4278</v>
      </c>
      <c r="B5065">
        <v>0</v>
      </c>
      <c r="C5065">
        <v>0</v>
      </c>
      <c r="D5065">
        <v>0</v>
      </c>
      <c r="E5065">
        <v>0</v>
      </c>
      <c r="F5065">
        <v>0</v>
      </c>
      <c r="G5065">
        <v>0</v>
      </c>
    </row>
    <row r="5066" spans="1:7" x14ac:dyDescent="0.2">
      <c r="A5066" t="s">
        <v>4279</v>
      </c>
      <c r="B5066">
        <v>1</v>
      </c>
      <c r="C5066">
        <v>0</v>
      </c>
      <c r="D5066">
        <v>3</v>
      </c>
      <c r="E5066">
        <v>0</v>
      </c>
      <c r="F5066">
        <v>0</v>
      </c>
      <c r="G5066">
        <v>4</v>
      </c>
    </row>
    <row r="5067" spans="1:7" x14ac:dyDescent="0.2">
      <c r="A5067" t="s">
        <v>4280</v>
      </c>
      <c r="B5067">
        <v>0</v>
      </c>
      <c r="C5067">
        <v>0</v>
      </c>
      <c r="D5067">
        <v>0</v>
      </c>
      <c r="E5067">
        <v>0</v>
      </c>
      <c r="F5067">
        <v>0</v>
      </c>
      <c r="G5067">
        <v>0</v>
      </c>
    </row>
    <row r="5068" spans="1:7" x14ac:dyDescent="0.2">
      <c r="A5068" t="s">
        <v>4281</v>
      </c>
      <c r="B5068">
        <v>131</v>
      </c>
      <c r="C5068">
        <v>129</v>
      </c>
      <c r="D5068">
        <v>412</v>
      </c>
      <c r="E5068">
        <v>45</v>
      </c>
      <c r="F5068">
        <v>0</v>
      </c>
      <c r="G5068">
        <v>717</v>
      </c>
    </row>
    <row r="5069" spans="1:7" x14ac:dyDescent="0.2">
      <c r="A5069" t="s">
        <v>4282</v>
      </c>
      <c r="B5069">
        <v>17</v>
      </c>
      <c r="C5069">
        <v>66</v>
      </c>
      <c r="D5069">
        <v>71</v>
      </c>
      <c r="E5069">
        <v>1</v>
      </c>
      <c r="F5069">
        <v>0</v>
      </c>
      <c r="G5069">
        <v>156</v>
      </c>
    </row>
    <row r="5070" spans="1:7" x14ac:dyDescent="0.2">
      <c r="A5070" t="s">
        <v>4283</v>
      </c>
      <c r="B5070">
        <v>15</v>
      </c>
      <c r="C5070">
        <v>44</v>
      </c>
      <c r="D5070">
        <v>39</v>
      </c>
      <c r="E5070">
        <v>23</v>
      </c>
      <c r="F5070">
        <v>0</v>
      </c>
      <c r="G5070">
        <v>121</v>
      </c>
    </row>
    <row r="5071" spans="1:7" x14ac:dyDescent="0.2">
      <c r="A5071" t="s">
        <v>4284</v>
      </c>
      <c r="B5071">
        <v>1</v>
      </c>
      <c r="C5071">
        <v>0</v>
      </c>
      <c r="D5071">
        <v>5</v>
      </c>
      <c r="E5071">
        <v>0</v>
      </c>
      <c r="F5071">
        <v>0</v>
      </c>
      <c r="G5071">
        <v>6</v>
      </c>
    </row>
    <row r="5072" spans="1:7" x14ac:dyDescent="0.2">
      <c r="A5072" t="s">
        <v>4285</v>
      </c>
      <c r="B5072">
        <v>72</v>
      </c>
      <c r="C5072">
        <v>134</v>
      </c>
      <c r="D5072">
        <v>246</v>
      </c>
      <c r="E5072">
        <v>112</v>
      </c>
      <c r="F5072">
        <v>0</v>
      </c>
      <c r="G5072">
        <v>564</v>
      </c>
    </row>
    <row r="5073" spans="1:7" x14ac:dyDescent="0.2">
      <c r="A5073" t="s">
        <v>4286</v>
      </c>
      <c r="B5073">
        <v>8</v>
      </c>
      <c r="C5073">
        <v>4</v>
      </c>
      <c r="D5073">
        <v>12</v>
      </c>
      <c r="E5073">
        <v>1</v>
      </c>
      <c r="F5073">
        <v>0</v>
      </c>
      <c r="G5073">
        <v>25</v>
      </c>
    </row>
    <row r="5074" spans="1:7" x14ac:dyDescent="0.2">
      <c r="A5074" t="s">
        <v>4287</v>
      </c>
      <c r="B5074">
        <v>0</v>
      </c>
      <c r="C5074">
        <v>0</v>
      </c>
      <c r="D5074">
        <v>0</v>
      </c>
      <c r="E5074">
        <v>166</v>
      </c>
      <c r="F5074">
        <v>0</v>
      </c>
      <c r="G5074">
        <v>166</v>
      </c>
    </row>
    <row r="5075" spans="1:7" x14ac:dyDescent="0.2">
      <c r="A5075" t="s">
        <v>4288</v>
      </c>
      <c r="B5075">
        <v>0</v>
      </c>
      <c r="C5075">
        <v>0</v>
      </c>
      <c r="D5075">
        <v>0</v>
      </c>
      <c r="E5075">
        <v>0</v>
      </c>
      <c r="F5075">
        <v>0</v>
      </c>
      <c r="G5075">
        <v>0</v>
      </c>
    </row>
    <row r="5076" spans="1:7" x14ac:dyDescent="0.2">
      <c r="A5076" t="s">
        <v>4289</v>
      </c>
      <c r="B5076">
        <v>0</v>
      </c>
      <c r="C5076">
        <v>0</v>
      </c>
      <c r="D5076">
        <v>0</v>
      </c>
      <c r="E5076">
        <v>0</v>
      </c>
      <c r="F5076">
        <v>0</v>
      </c>
      <c r="G5076">
        <v>0</v>
      </c>
    </row>
    <row r="5077" spans="1:7" x14ac:dyDescent="0.2">
      <c r="A5077" t="s">
        <v>4290</v>
      </c>
      <c r="B5077">
        <v>0</v>
      </c>
      <c r="C5077">
        <v>0</v>
      </c>
      <c r="D5077">
        <v>0</v>
      </c>
      <c r="E5077">
        <v>0</v>
      </c>
      <c r="F5077">
        <v>0</v>
      </c>
      <c r="G5077">
        <v>0</v>
      </c>
    </row>
    <row r="5078" spans="1:7" x14ac:dyDescent="0.2">
      <c r="A5078" t="s">
        <v>4291</v>
      </c>
      <c r="B5078">
        <v>0</v>
      </c>
      <c r="C5078">
        <v>0</v>
      </c>
      <c r="D5078">
        <v>0</v>
      </c>
      <c r="E5078">
        <v>0</v>
      </c>
      <c r="F5078">
        <v>0</v>
      </c>
      <c r="G5078">
        <v>0</v>
      </c>
    </row>
    <row r="5079" spans="1:7" x14ac:dyDescent="0.2">
      <c r="A5079" t="s">
        <v>4292</v>
      </c>
      <c r="B5079">
        <v>0</v>
      </c>
      <c r="C5079">
        <v>0</v>
      </c>
      <c r="D5079">
        <v>0</v>
      </c>
      <c r="E5079">
        <v>0</v>
      </c>
      <c r="F5079">
        <v>0</v>
      </c>
      <c r="G5079">
        <v>0</v>
      </c>
    </row>
    <row r="5080" spans="1:7" x14ac:dyDescent="0.2">
      <c r="A5080" t="s">
        <v>4293</v>
      </c>
      <c r="B5080">
        <v>0</v>
      </c>
      <c r="C5080">
        <v>0</v>
      </c>
      <c r="D5080">
        <v>0</v>
      </c>
      <c r="E5080">
        <v>0</v>
      </c>
      <c r="F5080">
        <v>0</v>
      </c>
      <c r="G5080">
        <v>0</v>
      </c>
    </row>
    <row r="5081" spans="1:7" x14ac:dyDescent="0.2">
      <c r="A5081" t="s">
        <v>4294</v>
      </c>
      <c r="B5081">
        <v>0</v>
      </c>
      <c r="C5081">
        <v>0</v>
      </c>
      <c r="D5081">
        <v>0</v>
      </c>
      <c r="E5081">
        <v>0</v>
      </c>
      <c r="F5081">
        <v>0</v>
      </c>
      <c r="G5081">
        <v>0</v>
      </c>
    </row>
    <row r="5082" spans="1:7" x14ac:dyDescent="0.2">
      <c r="A5082" t="s">
        <v>4295</v>
      </c>
      <c r="B5082">
        <v>0</v>
      </c>
      <c r="C5082">
        <v>0</v>
      </c>
      <c r="D5082">
        <v>0</v>
      </c>
      <c r="E5082">
        <v>0</v>
      </c>
      <c r="F5082">
        <v>0</v>
      </c>
      <c r="G5082">
        <v>0</v>
      </c>
    </row>
    <row r="5083" spans="1:7" x14ac:dyDescent="0.2">
      <c r="A5083" t="s">
        <v>4296</v>
      </c>
      <c r="B5083">
        <v>0</v>
      </c>
      <c r="C5083">
        <v>0</v>
      </c>
      <c r="D5083">
        <v>0</v>
      </c>
      <c r="E5083">
        <v>0</v>
      </c>
      <c r="F5083">
        <v>0</v>
      </c>
      <c r="G5083">
        <v>0</v>
      </c>
    </row>
    <row r="5084" spans="1:7" x14ac:dyDescent="0.2">
      <c r="A5084" t="s">
        <v>4297</v>
      </c>
      <c r="B5084">
        <v>9</v>
      </c>
      <c r="C5084">
        <v>128</v>
      </c>
      <c r="D5084">
        <v>578</v>
      </c>
      <c r="E5084">
        <v>184</v>
      </c>
      <c r="F5084">
        <v>0</v>
      </c>
      <c r="G5084">
        <v>899</v>
      </c>
    </row>
    <row r="5085" spans="1:7" x14ac:dyDescent="0.2">
      <c r="A5085" t="s">
        <v>4298</v>
      </c>
      <c r="B5085">
        <v>22</v>
      </c>
      <c r="C5085">
        <v>55</v>
      </c>
      <c r="D5085">
        <v>86</v>
      </c>
      <c r="E5085">
        <v>240</v>
      </c>
      <c r="F5085">
        <v>0</v>
      </c>
      <c r="G5085">
        <v>403</v>
      </c>
    </row>
    <row r="5086" spans="1:7" x14ac:dyDescent="0.2">
      <c r="A5086" t="s">
        <v>4299</v>
      </c>
      <c r="B5086">
        <v>15</v>
      </c>
      <c r="C5086">
        <v>107</v>
      </c>
      <c r="D5086">
        <v>240</v>
      </c>
      <c r="E5086">
        <v>411</v>
      </c>
      <c r="F5086">
        <v>0</v>
      </c>
      <c r="G5086">
        <v>774</v>
      </c>
    </row>
    <row r="5087" spans="1:7" x14ac:dyDescent="0.2">
      <c r="A5087" t="s">
        <v>4300</v>
      </c>
      <c r="B5087">
        <v>0</v>
      </c>
      <c r="C5087">
        <v>2</v>
      </c>
      <c r="D5087">
        <v>6</v>
      </c>
      <c r="E5087">
        <v>8</v>
      </c>
      <c r="F5087">
        <v>0</v>
      </c>
      <c r="G5087">
        <v>17</v>
      </c>
    </row>
    <row r="5088" spans="1:7" x14ac:dyDescent="0.2">
      <c r="A5088" t="s">
        <v>4301</v>
      </c>
      <c r="B5088">
        <v>0</v>
      </c>
      <c r="C5088">
        <v>192</v>
      </c>
      <c r="D5088">
        <v>1386</v>
      </c>
      <c r="E5088">
        <v>2837</v>
      </c>
      <c r="F5088">
        <v>0</v>
      </c>
      <c r="G5088">
        <v>4415</v>
      </c>
    </row>
    <row r="5089" spans="1:7" x14ac:dyDescent="0.2">
      <c r="A5089" t="s">
        <v>4302</v>
      </c>
      <c r="B5089">
        <v>4</v>
      </c>
      <c r="C5089">
        <v>36</v>
      </c>
      <c r="D5089">
        <v>179</v>
      </c>
      <c r="E5089">
        <v>88</v>
      </c>
      <c r="F5089">
        <v>0</v>
      </c>
      <c r="G5089">
        <v>306</v>
      </c>
    </row>
    <row r="5090" spans="1:7" x14ac:dyDescent="0.2">
      <c r="A5090" t="s">
        <v>4303</v>
      </c>
      <c r="B5090">
        <v>4</v>
      </c>
      <c r="C5090">
        <v>33</v>
      </c>
      <c r="D5090">
        <v>233</v>
      </c>
      <c r="E5090">
        <v>72</v>
      </c>
      <c r="F5090">
        <v>0</v>
      </c>
      <c r="G5090">
        <v>342</v>
      </c>
    </row>
    <row r="5091" spans="1:7" x14ac:dyDescent="0.2">
      <c r="A5091" t="s">
        <v>4304</v>
      </c>
      <c r="B5091">
        <v>0</v>
      </c>
      <c r="C5091">
        <v>6</v>
      </c>
      <c r="D5091">
        <v>105</v>
      </c>
      <c r="E5091">
        <v>35</v>
      </c>
      <c r="F5091">
        <v>0</v>
      </c>
      <c r="G5091">
        <v>147</v>
      </c>
    </row>
    <row r="5092" spans="1:7" x14ac:dyDescent="0.2">
      <c r="A5092" t="s">
        <v>4305</v>
      </c>
      <c r="B5092">
        <v>0</v>
      </c>
      <c r="C5092">
        <v>82</v>
      </c>
      <c r="D5092">
        <v>194</v>
      </c>
      <c r="E5092">
        <v>75</v>
      </c>
      <c r="F5092">
        <v>0</v>
      </c>
      <c r="G5092">
        <v>350</v>
      </c>
    </row>
    <row r="5093" spans="1:7" x14ac:dyDescent="0.2">
      <c r="A5093" t="s">
        <v>4306</v>
      </c>
      <c r="B5093">
        <v>1</v>
      </c>
      <c r="C5093">
        <v>34</v>
      </c>
      <c r="D5093">
        <v>14</v>
      </c>
      <c r="E5093">
        <v>39</v>
      </c>
      <c r="F5093">
        <v>0</v>
      </c>
      <c r="G5093">
        <v>88</v>
      </c>
    </row>
    <row r="5094" spans="1:7" x14ac:dyDescent="0.2">
      <c r="A5094" t="s">
        <v>4307</v>
      </c>
      <c r="B5094">
        <v>9</v>
      </c>
      <c r="C5094">
        <v>105</v>
      </c>
      <c r="D5094">
        <v>620</v>
      </c>
      <c r="E5094">
        <v>589</v>
      </c>
      <c r="F5094">
        <v>0</v>
      </c>
      <c r="G5094">
        <v>1323</v>
      </c>
    </row>
    <row r="5095" spans="1:7" x14ac:dyDescent="0.2">
      <c r="A5095" t="s">
        <v>4308</v>
      </c>
      <c r="B5095">
        <v>0</v>
      </c>
      <c r="C5095">
        <v>0</v>
      </c>
      <c r="D5095">
        <v>1</v>
      </c>
      <c r="E5095">
        <v>1</v>
      </c>
      <c r="F5095">
        <v>0</v>
      </c>
      <c r="G5095">
        <v>2</v>
      </c>
    </row>
    <row r="5096" spans="1:7" x14ac:dyDescent="0.2">
      <c r="A5096" t="s">
        <v>4309</v>
      </c>
      <c r="B5096">
        <v>0</v>
      </c>
      <c r="C5096">
        <v>0</v>
      </c>
      <c r="D5096">
        <v>0</v>
      </c>
      <c r="E5096">
        <v>0</v>
      </c>
      <c r="F5096">
        <v>0</v>
      </c>
      <c r="G5096">
        <v>0</v>
      </c>
    </row>
    <row r="5097" spans="1:7" x14ac:dyDescent="0.2">
      <c r="A5097" t="s">
        <v>4310</v>
      </c>
      <c r="B5097">
        <v>0</v>
      </c>
      <c r="C5097">
        <v>0</v>
      </c>
      <c r="D5097">
        <v>0</v>
      </c>
      <c r="E5097">
        <v>0</v>
      </c>
      <c r="F5097">
        <v>0</v>
      </c>
      <c r="G5097">
        <v>0</v>
      </c>
    </row>
    <row r="5098" spans="1:7" x14ac:dyDescent="0.2">
      <c r="A5098" t="s">
        <v>4311</v>
      </c>
      <c r="B5098">
        <v>0</v>
      </c>
      <c r="C5098">
        <v>0</v>
      </c>
      <c r="D5098">
        <v>0</v>
      </c>
      <c r="E5098">
        <v>252</v>
      </c>
      <c r="F5098">
        <v>162</v>
      </c>
      <c r="G5098">
        <v>414</v>
      </c>
    </row>
    <row r="5099" spans="1:7" x14ac:dyDescent="0.2">
      <c r="A5099" t="s">
        <v>4312</v>
      </c>
      <c r="B5099">
        <v>0</v>
      </c>
      <c r="C5099">
        <v>0</v>
      </c>
      <c r="D5099">
        <v>0</v>
      </c>
      <c r="E5099">
        <v>1252</v>
      </c>
      <c r="F5099">
        <v>542</v>
      </c>
      <c r="G5099">
        <v>1794</v>
      </c>
    </row>
    <row r="5100" spans="1:7" x14ac:dyDescent="0.2">
      <c r="A5100" t="s">
        <v>4313</v>
      </c>
      <c r="B5100">
        <v>0</v>
      </c>
      <c r="C5100">
        <v>0</v>
      </c>
      <c r="D5100">
        <v>0</v>
      </c>
      <c r="E5100">
        <v>0</v>
      </c>
      <c r="F5100">
        <v>81</v>
      </c>
      <c r="G5100">
        <v>81</v>
      </c>
    </row>
    <row r="5101" spans="1:7" x14ac:dyDescent="0.2">
      <c r="A5101" t="s">
        <v>4314</v>
      </c>
      <c r="B5101">
        <v>0</v>
      </c>
      <c r="C5101">
        <v>0</v>
      </c>
      <c r="D5101">
        <v>0</v>
      </c>
      <c r="E5101">
        <v>0</v>
      </c>
      <c r="F5101">
        <v>2044</v>
      </c>
      <c r="G5101">
        <v>2044</v>
      </c>
    </row>
    <row r="5102" spans="1:7" x14ac:dyDescent="0.2">
      <c r="A5102" t="s">
        <v>4315</v>
      </c>
      <c r="B5102">
        <v>0</v>
      </c>
      <c r="C5102">
        <v>0</v>
      </c>
      <c r="D5102">
        <v>0</v>
      </c>
      <c r="E5102">
        <v>0</v>
      </c>
      <c r="F5102">
        <v>3080</v>
      </c>
      <c r="G5102">
        <v>3080</v>
      </c>
    </row>
    <row r="5103" spans="1:7" x14ac:dyDescent="0.2">
      <c r="A5103" t="s">
        <v>4316</v>
      </c>
      <c r="B5103">
        <v>0</v>
      </c>
      <c r="C5103">
        <v>0</v>
      </c>
      <c r="D5103">
        <v>0</v>
      </c>
      <c r="E5103">
        <v>1175</v>
      </c>
      <c r="F5103">
        <v>5233</v>
      </c>
      <c r="G5103">
        <v>6409</v>
      </c>
    </row>
    <row r="5104" spans="1:7" x14ac:dyDescent="0.2">
      <c r="A5104" t="s">
        <v>4317</v>
      </c>
      <c r="B5104">
        <v>0</v>
      </c>
      <c r="C5104">
        <v>0</v>
      </c>
      <c r="D5104">
        <v>0</v>
      </c>
      <c r="E5104">
        <v>0</v>
      </c>
      <c r="F5104">
        <v>0</v>
      </c>
      <c r="G5104">
        <v>0</v>
      </c>
    </row>
    <row r="5105" spans="1:7" x14ac:dyDescent="0.2">
      <c r="A5105" t="s">
        <v>4318</v>
      </c>
      <c r="B5105">
        <v>0</v>
      </c>
      <c r="C5105">
        <v>0</v>
      </c>
      <c r="D5105">
        <v>0</v>
      </c>
      <c r="E5105">
        <v>0</v>
      </c>
      <c r="F5105">
        <v>5224</v>
      </c>
      <c r="G5105">
        <v>5224</v>
      </c>
    </row>
    <row r="5106" spans="1:7" x14ac:dyDescent="0.2">
      <c r="A5106" t="s">
        <v>4319</v>
      </c>
      <c r="B5106">
        <v>0</v>
      </c>
      <c r="C5106">
        <v>0</v>
      </c>
      <c r="D5106">
        <v>0</v>
      </c>
      <c r="E5106">
        <v>0</v>
      </c>
      <c r="F5106">
        <v>6051</v>
      </c>
      <c r="G5106">
        <v>6051</v>
      </c>
    </row>
    <row r="5107" spans="1:7" x14ac:dyDescent="0.2">
      <c r="A5107" t="s">
        <v>4320</v>
      </c>
      <c r="B5107">
        <v>0</v>
      </c>
      <c r="C5107">
        <v>0</v>
      </c>
      <c r="D5107">
        <v>0</v>
      </c>
      <c r="E5107">
        <v>0</v>
      </c>
      <c r="F5107">
        <v>1925</v>
      </c>
      <c r="G5107">
        <v>1925</v>
      </c>
    </row>
    <row r="5108" spans="1:7" x14ac:dyDescent="0.2">
      <c r="A5108" t="s">
        <v>4321</v>
      </c>
      <c r="B5108">
        <v>0</v>
      </c>
      <c r="C5108">
        <v>0</v>
      </c>
      <c r="D5108">
        <v>0</v>
      </c>
      <c r="E5108">
        <v>0</v>
      </c>
      <c r="F5108">
        <v>0</v>
      </c>
      <c r="G5108">
        <v>0</v>
      </c>
    </row>
    <row r="5109" spans="1:7" x14ac:dyDescent="0.2">
      <c r="A5109" t="s">
        <v>4322</v>
      </c>
      <c r="B5109">
        <v>0</v>
      </c>
      <c r="C5109">
        <v>0</v>
      </c>
      <c r="D5109">
        <v>0</v>
      </c>
      <c r="E5109">
        <v>0</v>
      </c>
      <c r="F5109">
        <v>0</v>
      </c>
      <c r="G5109">
        <v>0</v>
      </c>
    </row>
    <row r="5110" spans="1:7" x14ac:dyDescent="0.2">
      <c r="A5110" t="s">
        <v>4323</v>
      </c>
      <c r="B5110">
        <v>0</v>
      </c>
      <c r="C5110">
        <v>0</v>
      </c>
      <c r="D5110">
        <v>0</v>
      </c>
      <c r="E5110">
        <v>0</v>
      </c>
      <c r="F5110">
        <v>0</v>
      </c>
      <c r="G5110">
        <v>0</v>
      </c>
    </row>
    <row r="5111" spans="1:7" x14ac:dyDescent="0.2">
      <c r="A5111" t="s">
        <v>4324</v>
      </c>
      <c r="B5111">
        <v>0</v>
      </c>
      <c r="C5111">
        <v>0</v>
      </c>
      <c r="D5111">
        <v>0</v>
      </c>
      <c r="E5111">
        <v>0</v>
      </c>
      <c r="F5111">
        <v>0</v>
      </c>
      <c r="G5111">
        <v>0</v>
      </c>
    </row>
    <row r="5112" spans="1:7" x14ac:dyDescent="0.2">
      <c r="A5112" t="s">
        <v>4325</v>
      </c>
      <c r="B5112">
        <v>0</v>
      </c>
      <c r="C5112">
        <v>0</v>
      </c>
      <c r="D5112">
        <v>0</v>
      </c>
      <c r="E5112">
        <v>0</v>
      </c>
      <c r="F5112">
        <v>0</v>
      </c>
      <c r="G5112">
        <v>0</v>
      </c>
    </row>
    <row r="5113" spans="1:7" x14ac:dyDescent="0.2">
      <c r="A5113" t="s">
        <v>4326</v>
      </c>
      <c r="B5113">
        <v>0</v>
      </c>
      <c r="C5113">
        <v>0</v>
      </c>
      <c r="D5113">
        <v>0</v>
      </c>
      <c r="E5113">
        <v>0</v>
      </c>
      <c r="F5113">
        <v>0</v>
      </c>
      <c r="G5113">
        <v>0</v>
      </c>
    </row>
    <row r="5114" spans="1:7" x14ac:dyDescent="0.2">
      <c r="A5114" t="s">
        <v>4327</v>
      </c>
      <c r="B5114">
        <v>0</v>
      </c>
      <c r="C5114">
        <v>0</v>
      </c>
      <c r="D5114">
        <v>0</v>
      </c>
      <c r="E5114">
        <v>10</v>
      </c>
      <c r="F5114">
        <v>27</v>
      </c>
      <c r="G5114">
        <v>37</v>
      </c>
    </row>
    <row r="5115" spans="1:7" x14ac:dyDescent="0.2">
      <c r="A5115" t="s">
        <v>4328</v>
      </c>
      <c r="B5115">
        <v>0</v>
      </c>
      <c r="C5115">
        <v>0</v>
      </c>
      <c r="D5115">
        <v>0</v>
      </c>
      <c r="E5115">
        <v>0</v>
      </c>
      <c r="F5115">
        <v>0</v>
      </c>
      <c r="G5115">
        <v>0</v>
      </c>
    </row>
    <row r="5116" spans="1:7" x14ac:dyDescent="0.2">
      <c r="A5116" t="s">
        <v>4329</v>
      </c>
      <c r="B5116">
        <v>0</v>
      </c>
      <c r="C5116">
        <v>0</v>
      </c>
      <c r="D5116">
        <v>0</v>
      </c>
      <c r="E5116">
        <v>0</v>
      </c>
      <c r="F5116">
        <v>0</v>
      </c>
      <c r="G5116">
        <v>0</v>
      </c>
    </row>
    <row r="5117" spans="1:7" x14ac:dyDescent="0.2">
      <c r="A5117" t="s">
        <v>4330</v>
      </c>
      <c r="B5117">
        <v>0</v>
      </c>
      <c r="C5117">
        <v>0</v>
      </c>
      <c r="D5117">
        <v>0</v>
      </c>
      <c r="E5117">
        <v>0</v>
      </c>
      <c r="F5117">
        <v>0</v>
      </c>
      <c r="G5117">
        <v>0</v>
      </c>
    </row>
    <row r="5118" spans="1:7" x14ac:dyDescent="0.2">
      <c r="A5118" t="s">
        <v>4331</v>
      </c>
      <c r="B5118">
        <v>0</v>
      </c>
      <c r="C5118">
        <v>0</v>
      </c>
      <c r="D5118">
        <v>0</v>
      </c>
      <c r="E5118">
        <v>0</v>
      </c>
      <c r="F5118">
        <v>0</v>
      </c>
      <c r="G5118">
        <v>0</v>
      </c>
    </row>
    <row r="5119" spans="1:7" x14ac:dyDescent="0.2">
      <c r="A5119" t="s">
        <v>4332</v>
      </c>
      <c r="B5119">
        <v>0</v>
      </c>
      <c r="C5119">
        <v>0</v>
      </c>
      <c r="D5119">
        <v>0</v>
      </c>
      <c r="E5119">
        <v>5</v>
      </c>
      <c r="F5119">
        <v>1</v>
      </c>
      <c r="G5119">
        <v>7</v>
      </c>
    </row>
    <row r="5120" spans="1:7" x14ac:dyDescent="0.2">
      <c r="A5120" t="s">
        <v>4333</v>
      </c>
      <c r="B5120">
        <v>0</v>
      </c>
      <c r="C5120">
        <v>0</v>
      </c>
      <c r="D5120">
        <v>0</v>
      </c>
      <c r="E5120">
        <v>0</v>
      </c>
      <c r="F5120">
        <v>0</v>
      </c>
      <c r="G5120">
        <v>0</v>
      </c>
    </row>
    <row r="5121" spans="1:7" x14ac:dyDescent="0.2">
      <c r="A5121" t="s">
        <v>4334</v>
      </c>
      <c r="B5121">
        <v>0</v>
      </c>
      <c r="C5121">
        <v>0</v>
      </c>
      <c r="D5121">
        <v>0</v>
      </c>
      <c r="E5121">
        <v>0</v>
      </c>
      <c r="F5121">
        <v>0</v>
      </c>
      <c r="G5121">
        <v>0</v>
      </c>
    </row>
    <row r="5122" spans="1:7" x14ac:dyDescent="0.2">
      <c r="A5122" t="s">
        <v>4335</v>
      </c>
      <c r="B5122">
        <v>0</v>
      </c>
      <c r="C5122">
        <v>0</v>
      </c>
      <c r="D5122">
        <v>0</v>
      </c>
      <c r="E5122">
        <v>0</v>
      </c>
      <c r="F5122">
        <v>0</v>
      </c>
      <c r="G5122">
        <v>0</v>
      </c>
    </row>
    <row r="5123" spans="1:7" x14ac:dyDescent="0.2">
      <c r="A5123" t="s">
        <v>4336</v>
      </c>
      <c r="B5123">
        <v>0</v>
      </c>
      <c r="C5123">
        <v>0</v>
      </c>
      <c r="D5123">
        <v>0</v>
      </c>
      <c r="E5123">
        <v>0</v>
      </c>
      <c r="F5123">
        <v>0</v>
      </c>
      <c r="G5123">
        <v>0</v>
      </c>
    </row>
    <row r="5124" spans="1:7" x14ac:dyDescent="0.2">
      <c r="A5124" t="s">
        <v>4337</v>
      </c>
      <c r="B5124">
        <v>0</v>
      </c>
      <c r="C5124">
        <v>0</v>
      </c>
      <c r="D5124">
        <v>0</v>
      </c>
      <c r="E5124">
        <v>0</v>
      </c>
      <c r="F5124">
        <v>0</v>
      </c>
      <c r="G5124">
        <v>0</v>
      </c>
    </row>
    <row r="5125" spans="1:7" x14ac:dyDescent="0.2">
      <c r="A5125" t="s">
        <v>4338</v>
      </c>
      <c r="B5125">
        <v>0</v>
      </c>
      <c r="C5125">
        <v>0</v>
      </c>
      <c r="D5125">
        <v>0</v>
      </c>
      <c r="E5125">
        <v>1</v>
      </c>
      <c r="F5125">
        <v>0</v>
      </c>
      <c r="G5125">
        <v>1</v>
      </c>
    </row>
    <row r="5126" spans="1:7" x14ac:dyDescent="0.2">
      <c r="A5126" t="s">
        <v>4339</v>
      </c>
      <c r="B5126">
        <v>0</v>
      </c>
      <c r="C5126">
        <v>0</v>
      </c>
      <c r="D5126">
        <v>0</v>
      </c>
      <c r="E5126">
        <v>0</v>
      </c>
      <c r="F5126">
        <v>0</v>
      </c>
      <c r="G5126">
        <v>0</v>
      </c>
    </row>
    <row r="5127" spans="1:7" x14ac:dyDescent="0.2">
      <c r="A5127" t="s">
        <v>4340</v>
      </c>
      <c r="B5127">
        <v>0</v>
      </c>
      <c r="C5127">
        <v>0</v>
      </c>
      <c r="D5127">
        <v>0</v>
      </c>
      <c r="E5127">
        <v>0</v>
      </c>
      <c r="F5127">
        <v>0</v>
      </c>
      <c r="G5127">
        <v>0</v>
      </c>
    </row>
    <row r="5128" spans="1:7" x14ac:dyDescent="0.2">
      <c r="A5128" t="s">
        <v>4341</v>
      </c>
      <c r="B5128">
        <v>0</v>
      </c>
      <c r="C5128">
        <v>0</v>
      </c>
      <c r="D5128">
        <v>0</v>
      </c>
      <c r="E5128">
        <v>0</v>
      </c>
      <c r="F5128">
        <v>0</v>
      </c>
      <c r="G5128">
        <v>0</v>
      </c>
    </row>
    <row r="5129" spans="1:7" x14ac:dyDescent="0.2">
      <c r="A5129" t="s">
        <v>4342</v>
      </c>
      <c r="B5129">
        <v>0</v>
      </c>
      <c r="C5129">
        <v>0</v>
      </c>
      <c r="D5129">
        <v>0</v>
      </c>
      <c r="E5129">
        <v>0</v>
      </c>
      <c r="F5129">
        <v>0</v>
      </c>
      <c r="G5129">
        <v>0</v>
      </c>
    </row>
    <row r="5130" spans="1:7" x14ac:dyDescent="0.2">
      <c r="A5130" t="s">
        <v>4343</v>
      </c>
      <c r="B5130">
        <v>0</v>
      </c>
      <c r="C5130">
        <v>0</v>
      </c>
      <c r="D5130">
        <v>0</v>
      </c>
      <c r="E5130">
        <v>0</v>
      </c>
      <c r="F5130">
        <v>0</v>
      </c>
      <c r="G5130">
        <v>0</v>
      </c>
    </row>
    <row r="5131" spans="1:7" x14ac:dyDescent="0.2">
      <c r="A5131" t="s">
        <v>1728</v>
      </c>
      <c r="B5131">
        <v>0</v>
      </c>
      <c r="C5131">
        <v>0</v>
      </c>
      <c r="D5131">
        <v>0</v>
      </c>
      <c r="E5131">
        <v>0</v>
      </c>
      <c r="F5131">
        <v>0</v>
      </c>
      <c r="G5131">
        <v>0</v>
      </c>
    </row>
    <row r="5132" spans="1:7" x14ac:dyDescent="0.2">
      <c r="A5132" t="s">
        <v>1730</v>
      </c>
      <c r="B5132">
        <v>0</v>
      </c>
      <c r="C5132">
        <v>1</v>
      </c>
      <c r="D5132">
        <v>3</v>
      </c>
      <c r="E5132">
        <v>0</v>
      </c>
      <c r="F5132">
        <v>47</v>
      </c>
      <c r="G5132">
        <v>50</v>
      </c>
    </row>
    <row r="5133" spans="1:7" x14ac:dyDescent="0.2">
      <c r="A5133" t="s">
        <v>1733</v>
      </c>
      <c r="B5133">
        <v>0</v>
      </c>
      <c r="C5133">
        <v>0</v>
      </c>
      <c r="D5133">
        <v>0</v>
      </c>
      <c r="E5133">
        <v>0</v>
      </c>
      <c r="F5133">
        <v>0</v>
      </c>
      <c r="G5133">
        <v>0</v>
      </c>
    </row>
    <row r="5134" spans="1:7" x14ac:dyDescent="0.2">
      <c r="A5134" t="s">
        <v>1738</v>
      </c>
      <c r="B5134">
        <v>0</v>
      </c>
      <c r="C5134">
        <v>0</v>
      </c>
      <c r="D5134">
        <v>0</v>
      </c>
      <c r="E5134">
        <v>0</v>
      </c>
      <c r="F5134">
        <v>0</v>
      </c>
      <c r="G5134">
        <v>0</v>
      </c>
    </row>
    <row r="5135" spans="1:7" x14ac:dyDescent="0.2">
      <c r="A5135" t="s">
        <v>1744</v>
      </c>
      <c r="B5135">
        <v>0</v>
      </c>
      <c r="C5135">
        <v>0</v>
      </c>
      <c r="D5135">
        <v>0</v>
      </c>
      <c r="E5135">
        <v>0</v>
      </c>
      <c r="F5135">
        <v>0</v>
      </c>
      <c r="G5135">
        <v>0</v>
      </c>
    </row>
    <row r="5136" spans="1:7" x14ac:dyDescent="0.2">
      <c r="A5136" t="s">
        <v>1747</v>
      </c>
      <c r="B5136">
        <v>0</v>
      </c>
      <c r="C5136">
        <v>0</v>
      </c>
      <c r="D5136">
        <v>0</v>
      </c>
      <c r="E5136">
        <v>0</v>
      </c>
      <c r="F5136">
        <v>0</v>
      </c>
      <c r="G5136">
        <v>0</v>
      </c>
    </row>
    <row r="5137" spans="1:7" x14ac:dyDescent="0.2">
      <c r="A5137" t="s">
        <v>1751</v>
      </c>
      <c r="B5137">
        <v>0</v>
      </c>
      <c r="C5137">
        <v>0</v>
      </c>
      <c r="D5137">
        <v>0</v>
      </c>
      <c r="E5137">
        <v>0</v>
      </c>
      <c r="F5137">
        <v>0</v>
      </c>
      <c r="G5137">
        <v>0</v>
      </c>
    </row>
    <row r="5138" spans="1:7" x14ac:dyDescent="0.2">
      <c r="A5138" t="s">
        <v>1755</v>
      </c>
      <c r="B5138">
        <v>0</v>
      </c>
      <c r="C5138">
        <v>0</v>
      </c>
      <c r="D5138">
        <v>0</v>
      </c>
      <c r="E5138">
        <v>2</v>
      </c>
      <c r="F5138">
        <v>6</v>
      </c>
      <c r="G5138">
        <v>7</v>
      </c>
    </row>
    <row r="5139" spans="1:7" x14ac:dyDescent="0.2">
      <c r="A5139" t="s">
        <v>1757</v>
      </c>
      <c r="B5139">
        <v>0</v>
      </c>
      <c r="C5139">
        <v>0</v>
      </c>
      <c r="D5139">
        <v>0</v>
      </c>
      <c r="E5139">
        <v>1</v>
      </c>
      <c r="F5139">
        <v>5</v>
      </c>
      <c r="G5139">
        <v>6</v>
      </c>
    </row>
    <row r="5140" spans="1:7" x14ac:dyDescent="0.2">
      <c r="A5140" t="s">
        <v>1761</v>
      </c>
      <c r="B5140">
        <v>0</v>
      </c>
      <c r="C5140">
        <v>0</v>
      </c>
      <c r="D5140">
        <v>0</v>
      </c>
      <c r="E5140">
        <v>0</v>
      </c>
      <c r="F5140">
        <v>0</v>
      </c>
      <c r="G5140">
        <v>0</v>
      </c>
    </row>
    <row r="5141" spans="1:7" x14ac:dyDescent="0.2">
      <c r="A5141" t="s">
        <v>1764</v>
      </c>
      <c r="B5141">
        <v>0</v>
      </c>
      <c r="C5141">
        <v>0</v>
      </c>
      <c r="D5141">
        <v>0</v>
      </c>
      <c r="E5141">
        <v>0</v>
      </c>
      <c r="F5141">
        <v>0</v>
      </c>
      <c r="G5141">
        <v>0</v>
      </c>
    </row>
    <row r="5142" spans="1:7" x14ac:dyDescent="0.2">
      <c r="A5142" t="s">
        <v>1770</v>
      </c>
      <c r="B5142">
        <v>0</v>
      </c>
      <c r="C5142">
        <v>2</v>
      </c>
      <c r="D5142">
        <v>55</v>
      </c>
      <c r="E5142">
        <v>272</v>
      </c>
      <c r="F5142">
        <v>0</v>
      </c>
      <c r="G5142">
        <v>330</v>
      </c>
    </row>
    <row r="5143" spans="1:7" x14ac:dyDescent="0.2">
      <c r="A5143" t="s">
        <v>1772</v>
      </c>
      <c r="B5143">
        <v>0</v>
      </c>
      <c r="C5143">
        <v>0</v>
      </c>
      <c r="D5143">
        <v>3</v>
      </c>
      <c r="E5143">
        <v>5</v>
      </c>
      <c r="F5143">
        <v>0</v>
      </c>
      <c r="G5143">
        <v>8</v>
      </c>
    </row>
    <row r="5144" spans="1:7" x14ac:dyDescent="0.2">
      <c r="A5144" t="s">
        <v>1774</v>
      </c>
      <c r="B5144">
        <v>0</v>
      </c>
      <c r="C5144">
        <v>0</v>
      </c>
      <c r="D5144">
        <v>0</v>
      </c>
      <c r="E5144">
        <v>0</v>
      </c>
      <c r="F5144">
        <v>0</v>
      </c>
      <c r="G5144">
        <v>0</v>
      </c>
    </row>
    <row r="5145" spans="1:7" x14ac:dyDescent="0.2">
      <c r="A5145" t="s">
        <v>1777</v>
      </c>
      <c r="B5145">
        <v>0</v>
      </c>
      <c r="C5145">
        <v>0</v>
      </c>
      <c r="D5145">
        <v>0</v>
      </c>
      <c r="E5145">
        <v>0</v>
      </c>
      <c r="F5145">
        <v>0</v>
      </c>
      <c r="G5145">
        <v>0</v>
      </c>
    </row>
    <row r="5146" spans="1:7" x14ac:dyDescent="0.2">
      <c r="A5146" t="s">
        <v>1782</v>
      </c>
      <c r="B5146">
        <v>0</v>
      </c>
      <c r="C5146">
        <v>0</v>
      </c>
      <c r="D5146">
        <v>0</v>
      </c>
      <c r="E5146">
        <v>0</v>
      </c>
      <c r="F5146">
        <v>0</v>
      </c>
      <c r="G5146">
        <v>0</v>
      </c>
    </row>
    <row r="5147" spans="1:7" x14ac:dyDescent="0.2">
      <c r="A5147" t="s">
        <v>1274</v>
      </c>
      <c r="B5147">
        <v>0</v>
      </c>
      <c r="C5147">
        <v>0</v>
      </c>
      <c r="D5147">
        <v>0</v>
      </c>
      <c r="E5147">
        <v>0</v>
      </c>
      <c r="F5147">
        <v>0</v>
      </c>
      <c r="G5147">
        <v>0</v>
      </c>
    </row>
    <row r="5148" spans="1:7" x14ac:dyDescent="0.2">
      <c r="A5148" t="s">
        <v>1277</v>
      </c>
      <c r="B5148">
        <v>0</v>
      </c>
      <c r="C5148">
        <v>0</v>
      </c>
      <c r="D5148">
        <v>0</v>
      </c>
      <c r="E5148">
        <v>0</v>
      </c>
      <c r="F5148">
        <v>0</v>
      </c>
      <c r="G5148">
        <v>0</v>
      </c>
    </row>
    <row r="5149" spans="1:7" x14ac:dyDescent="0.2">
      <c r="A5149" t="s">
        <v>1798</v>
      </c>
      <c r="B5149">
        <v>0</v>
      </c>
      <c r="C5149">
        <v>0</v>
      </c>
      <c r="D5149">
        <v>0</v>
      </c>
      <c r="E5149">
        <v>0</v>
      </c>
      <c r="F5149">
        <v>0</v>
      </c>
      <c r="G5149">
        <v>0</v>
      </c>
    </row>
    <row r="5150" spans="1:7" x14ac:dyDescent="0.2">
      <c r="A5150" t="s">
        <v>1803</v>
      </c>
      <c r="B5150">
        <v>0</v>
      </c>
      <c r="C5150">
        <v>0</v>
      </c>
      <c r="D5150">
        <v>0</v>
      </c>
      <c r="E5150">
        <v>0</v>
      </c>
      <c r="F5150">
        <v>0</v>
      </c>
      <c r="G5150">
        <v>0</v>
      </c>
    </row>
    <row r="5151" spans="1:7" x14ac:dyDescent="0.2">
      <c r="A5151" t="s">
        <v>1808</v>
      </c>
      <c r="B5151">
        <v>0</v>
      </c>
      <c r="C5151">
        <v>0</v>
      </c>
      <c r="D5151">
        <v>0</v>
      </c>
      <c r="E5151">
        <v>0</v>
      </c>
      <c r="F5151">
        <v>0</v>
      </c>
      <c r="G5151">
        <v>0</v>
      </c>
    </row>
    <row r="5152" spans="1:7" x14ac:dyDescent="0.2">
      <c r="A5152" t="s">
        <v>1813</v>
      </c>
      <c r="B5152">
        <v>0</v>
      </c>
      <c r="C5152">
        <v>0</v>
      </c>
      <c r="D5152">
        <v>0</v>
      </c>
      <c r="E5152">
        <v>0</v>
      </c>
      <c r="F5152">
        <v>0</v>
      </c>
      <c r="G5152">
        <v>0</v>
      </c>
    </row>
    <row r="5153" spans="1:7" x14ac:dyDescent="0.2">
      <c r="A5153" t="s">
        <v>1819</v>
      </c>
      <c r="B5153">
        <v>0</v>
      </c>
      <c r="C5153">
        <v>0</v>
      </c>
      <c r="D5153">
        <v>0</v>
      </c>
      <c r="E5153">
        <v>0</v>
      </c>
      <c r="F5153">
        <v>0</v>
      </c>
      <c r="G5153">
        <v>0</v>
      </c>
    </row>
    <row r="5154" spans="1:7" x14ac:dyDescent="0.2">
      <c r="A5154" t="s">
        <v>1826</v>
      </c>
      <c r="B5154">
        <v>0</v>
      </c>
      <c r="C5154">
        <v>0</v>
      </c>
      <c r="D5154">
        <v>0</v>
      </c>
      <c r="E5154">
        <v>0</v>
      </c>
      <c r="F5154">
        <v>0</v>
      </c>
      <c r="G5154">
        <v>0</v>
      </c>
    </row>
    <row r="5155" spans="1:7" x14ac:dyDescent="0.2">
      <c r="A5155" t="s">
        <v>1830</v>
      </c>
      <c r="B5155">
        <v>0</v>
      </c>
      <c r="C5155">
        <v>0</v>
      </c>
      <c r="D5155">
        <v>0</v>
      </c>
      <c r="E5155">
        <v>0</v>
      </c>
      <c r="F5155">
        <v>0</v>
      </c>
      <c r="G5155">
        <v>0</v>
      </c>
    </row>
    <row r="5156" spans="1:7" x14ac:dyDescent="0.2">
      <c r="A5156" t="s">
        <v>1836</v>
      </c>
      <c r="B5156">
        <v>0</v>
      </c>
      <c r="C5156">
        <v>0</v>
      </c>
      <c r="D5156">
        <v>0</v>
      </c>
      <c r="E5156">
        <v>0</v>
      </c>
      <c r="F5156">
        <v>0</v>
      </c>
      <c r="G5156">
        <v>0</v>
      </c>
    </row>
    <row r="5157" spans="1:7" x14ac:dyDescent="0.2">
      <c r="A5157" t="s">
        <v>1841</v>
      </c>
      <c r="B5157">
        <v>0</v>
      </c>
      <c r="C5157">
        <v>0</v>
      </c>
      <c r="D5157">
        <v>0</v>
      </c>
      <c r="E5157">
        <v>0</v>
      </c>
      <c r="F5157">
        <v>0</v>
      </c>
      <c r="G5157">
        <v>0</v>
      </c>
    </row>
    <row r="5158" spans="1:7" x14ac:dyDescent="0.2">
      <c r="A5158" t="s">
        <v>1842</v>
      </c>
      <c r="B5158">
        <v>0</v>
      </c>
      <c r="C5158">
        <v>0</v>
      </c>
      <c r="D5158">
        <v>0</v>
      </c>
      <c r="E5158">
        <v>0</v>
      </c>
      <c r="F5158">
        <v>0</v>
      </c>
      <c r="G5158">
        <v>0</v>
      </c>
    </row>
    <row r="5159" spans="1:7" x14ac:dyDescent="0.2">
      <c r="A5159" t="s">
        <v>1843</v>
      </c>
      <c r="B5159">
        <v>0</v>
      </c>
      <c r="C5159">
        <v>0</v>
      </c>
      <c r="D5159">
        <v>0</v>
      </c>
      <c r="E5159">
        <v>0</v>
      </c>
      <c r="F5159">
        <v>0</v>
      </c>
      <c r="G5159">
        <v>0</v>
      </c>
    </row>
    <row r="5160" spans="1:7" x14ac:dyDescent="0.2">
      <c r="A5160" t="s">
        <v>1846</v>
      </c>
      <c r="B5160">
        <v>0</v>
      </c>
      <c r="C5160">
        <v>0</v>
      </c>
      <c r="D5160">
        <v>0</v>
      </c>
      <c r="E5160">
        <v>0</v>
      </c>
      <c r="F5160">
        <v>0</v>
      </c>
      <c r="G5160">
        <v>0</v>
      </c>
    </row>
    <row r="5161" spans="1:7" x14ac:dyDescent="0.2">
      <c r="A5161" t="s">
        <v>1851</v>
      </c>
      <c r="B5161">
        <v>0</v>
      </c>
      <c r="C5161">
        <v>0</v>
      </c>
      <c r="D5161">
        <v>0</v>
      </c>
      <c r="E5161">
        <v>0</v>
      </c>
      <c r="F5161">
        <v>0</v>
      </c>
      <c r="G5161">
        <v>0</v>
      </c>
    </row>
    <row r="5162" spans="1:7" x14ac:dyDescent="0.2">
      <c r="A5162" t="s">
        <v>1857</v>
      </c>
      <c r="B5162">
        <v>0</v>
      </c>
      <c r="C5162">
        <v>0</v>
      </c>
      <c r="D5162">
        <v>0</v>
      </c>
      <c r="E5162">
        <v>0</v>
      </c>
      <c r="F5162">
        <v>0</v>
      </c>
      <c r="G5162">
        <v>0</v>
      </c>
    </row>
    <row r="5163" spans="1:7" x14ac:dyDescent="0.2">
      <c r="A5163" t="s">
        <v>1862</v>
      </c>
      <c r="B5163">
        <v>0</v>
      </c>
      <c r="C5163">
        <v>0</v>
      </c>
      <c r="D5163">
        <v>0</v>
      </c>
      <c r="E5163">
        <v>0</v>
      </c>
      <c r="F5163">
        <v>0</v>
      </c>
      <c r="G5163">
        <v>0</v>
      </c>
    </row>
    <row r="5164" spans="1:7" x14ac:dyDescent="0.2">
      <c r="A5164" t="s">
        <v>1867</v>
      </c>
      <c r="B5164">
        <v>0</v>
      </c>
      <c r="C5164">
        <v>0</v>
      </c>
      <c r="D5164">
        <v>0</v>
      </c>
      <c r="E5164">
        <v>0</v>
      </c>
      <c r="F5164">
        <v>0</v>
      </c>
      <c r="G5164">
        <v>0</v>
      </c>
    </row>
    <row r="5165" spans="1:7" x14ac:dyDescent="0.2">
      <c r="A5165" t="s">
        <v>1870</v>
      </c>
      <c r="B5165">
        <v>0</v>
      </c>
      <c r="C5165">
        <v>0</v>
      </c>
      <c r="D5165">
        <v>0</v>
      </c>
      <c r="E5165">
        <v>0</v>
      </c>
      <c r="F5165">
        <v>0</v>
      </c>
      <c r="G5165">
        <v>0</v>
      </c>
    </row>
    <row r="5166" spans="1:7" x14ac:dyDescent="0.2">
      <c r="A5166" t="s">
        <v>1874</v>
      </c>
      <c r="B5166">
        <v>0</v>
      </c>
      <c r="C5166">
        <v>0</v>
      </c>
      <c r="D5166">
        <v>0</v>
      </c>
      <c r="E5166">
        <v>0</v>
      </c>
      <c r="F5166">
        <v>0</v>
      </c>
      <c r="G5166">
        <v>0</v>
      </c>
    </row>
    <row r="5167" spans="1:7" x14ac:dyDescent="0.2">
      <c r="A5167" t="s">
        <v>1876</v>
      </c>
      <c r="B5167">
        <v>0</v>
      </c>
      <c r="C5167">
        <v>0</v>
      </c>
      <c r="D5167">
        <v>0</v>
      </c>
      <c r="E5167">
        <v>0</v>
      </c>
      <c r="F5167">
        <v>0</v>
      </c>
      <c r="G5167">
        <v>0</v>
      </c>
    </row>
    <row r="5168" spans="1:7" x14ac:dyDescent="0.2">
      <c r="A5168" t="s">
        <v>1881</v>
      </c>
      <c r="B5168">
        <v>0</v>
      </c>
      <c r="C5168">
        <v>0</v>
      </c>
      <c r="D5168">
        <v>0</v>
      </c>
      <c r="E5168">
        <v>0</v>
      </c>
      <c r="F5168">
        <v>0</v>
      </c>
      <c r="G5168">
        <v>0</v>
      </c>
    </row>
    <row r="5169" spans="1:7" x14ac:dyDescent="0.2">
      <c r="A5169" t="s">
        <v>1885</v>
      </c>
      <c r="B5169">
        <v>0</v>
      </c>
      <c r="C5169">
        <v>0</v>
      </c>
      <c r="D5169">
        <v>0</v>
      </c>
      <c r="E5169">
        <v>0</v>
      </c>
      <c r="F5169">
        <v>0</v>
      </c>
      <c r="G5169">
        <v>0</v>
      </c>
    </row>
    <row r="5170" spans="1:7" x14ac:dyDescent="0.2">
      <c r="A5170" t="s">
        <v>1887</v>
      </c>
      <c r="B5170">
        <v>0</v>
      </c>
      <c r="C5170">
        <v>0</v>
      </c>
      <c r="D5170">
        <v>0</v>
      </c>
      <c r="E5170">
        <v>0</v>
      </c>
      <c r="F5170">
        <v>0</v>
      </c>
      <c r="G5170">
        <v>0</v>
      </c>
    </row>
    <row r="5171" spans="1:7" x14ac:dyDescent="0.2">
      <c r="A5171" t="s">
        <v>1893</v>
      </c>
      <c r="B5171">
        <v>0</v>
      </c>
      <c r="C5171">
        <v>0</v>
      </c>
      <c r="D5171">
        <v>0</v>
      </c>
      <c r="E5171">
        <v>1</v>
      </c>
      <c r="F5171">
        <v>0</v>
      </c>
      <c r="G5171">
        <v>1</v>
      </c>
    </row>
    <row r="5172" spans="1:7" x14ac:dyDescent="0.2">
      <c r="A5172" t="s">
        <v>1899</v>
      </c>
      <c r="B5172">
        <v>0</v>
      </c>
      <c r="C5172">
        <v>0</v>
      </c>
      <c r="D5172">
        <v>0</v>
      </c>
      <c r="E5172">
        <v>0</v>
      </c>
      <c r="F5172">
        <v>0</v>
      </c>
      <c r="G5172">
        <v>0</v>
      </c>
    </row>
    <row r="5173" spans="1:7" x14ac:dyDescent="0.2">
      <c r="A5173" t="s">
        <v>1906</v>
      </c>
      <c r="B5173">
        <v>0</v>
      </c>
      <c r="C5173">
        <v>0</v>
      </c>
      <c r="D5173">
        <v>0</v>
      </c>
      <c r="E5173">
        <v>0</v>
      </c>
      <c r="F5173">
        <v>0</v>
      </c>
      <c r="G5173">
        <v>0</v>
      </c>
    </row>
    <row r="5174" spans="1:7" x14ac:dyDescent="0.2">
      <c r="A5174" t="s">
        <v>1911</v>
      </c>
      <c r="B5174">
        <v>0</v>
      </c>
      <c r="C5174">
        <v>0</v>
      </c>
      <c r="D5174">
        <v>0</v>
      </c>
      <c r="E5174">
        <v>0</v>
      </c>
      <c r="F5174">
        <v>0</v>
      </c>
      <c r="G5174">
        <v>0</v>
      </c>
    </row>
    <row r="5175" spans="1:7" x14ac:dyDescent="0.2">
      <c r="A5175" t="s">
        <v>1917</v>
      </c>
      <c r="B5175">
        <v>0</v>
      </c>
      <c r="C5175">
        <v>0</v>
      </c>
      <c r="D5175">
        <v>0</v>
      </c>
      <c r="E5175">
        <v>0</v>
      </c>
      <c r="F5175">
        <v>0</v>
      </c>
      <c r="G5175">
        <v>0</v>
      </c>
    </row>
    <row r="5176" spans="1:7" x14ac:dyDescent="0.2">
      <c r="A5176" t="s">
        <v>1922</v>
      </c>
      <c r="B5176">
        <v>0</v>
      </c>
      <c r="C5176">
        <v>0</v>
      </c>
      <c r="D5176">
        <v>0</v>
      </c>
      <c r="E5176">
        <v>0</v>
      </c>
      <c r="F5176">
        <v>0</v>
      </c>
      <c r="G5176">
        <v>0</v>
      </c>
    </row>
    <row r="5177" spans="1:7" x14ac:dyDescent="0.2">
      <c r="A5177" t="s">
        <v>1928</v>
      </c>
      <c r="B5177">
        <v>0</v>
      </c>
      <c r="C5177">
        <v>0</v>
      </c>
      <c r="D5177">
        <v>0</v>
      </c>
      <c r="E5177">
        <v>0</v>
      </c>
      <c r="F5177">
        <v>0</v>
      </c>
      <c r="G5177">
        <v>0</v>
      </c>
    </row>
    <row r="5178" spans="1:7" x14ac:dyDescent="0.2">
      <c r="A5178" t="s">
        <v>1932</v>
      </c>
      <c r="B5178">
        <v>0</v>
      </c>
      <c r="C5178">
        <v>0</v>
      </c>
      <c r="D5178">
        <v>0</v>
      </c>
      <c r="E5178">
        <v>0</v>
      </c>
      <c r="F5178">
        <v>0</v>
      </c>
      <c r="G5178">
        <v>0</v>
      </c>
    </row>
    <row r="5179" spans="1:7" x14ac:dyDescent="0.2">
      <c r="A5179" t="s">
        <v>1938</v>
      </c>
      <c r="B5179">
        <v>0</v>
      </c>
      <c r="C5179">
        <v>0</v>
      </c>
      <c r="D5179">
        <v>0</v>
      </c>
      <c r="E5179">
        <v>0</v>
      </c>
      <c r="F5179">
        <v>0</v>
      </c>
      <c r="G5179">
        <v>0</v>
      </c>
    </row>
    <row r="5180" spans="1:7" x14ac:dyDescent="0.2">
      <c r="A5180" t="s">
        <v>1944</v>
      </c>
      <c r="B5180">
        <v>0</v>
      </c>
      <c r="C5180">
        <v>0</v>
      </c>
      <c r="D5180">
        <v>0</v>
      </c>
      <c r="E5180">
        <v>0</v>
      </c>
      <c r="F5180">
        <v>0</v>
      </c>
      <c r="G5180">
        <v>0</v>
      </c>
    </row>
    <row r="5181" spans="1:7" x14ac:dyDescent="0.2">
      <c r="A5181" t="s">
        <v>1947</v>
      </c>
      <c r="B5181">
        <v>0</v>
      </c>
      <c r="C5181">
        <v>0</v>
      </c>
      <c r="D5181">
        <v>0</v>
      </c>
      <c r="E5181">
        <v>0</v>
      </c>
      <c r="F5181">
        <v>0</v>
      </c>
      <c r="G5181">
        <v>0</v>
      </c>
    </row>
    <row r="5182" spans="1:7" x14ac:dyDescent="0.2">
      <c r="A5182" t="s">
        <v>1953</v>
      </c>
      <c r="B5182">
        <v>0</v>
      </c>
      <c r="C5182">
        <v>0</v>
      </c>
      <c r="D5182">
        <v>0</v>
      </c>
      <c r="E5182">
        <v>0</v>
      </c>
      <c r="F5182">
        <v>0</v>
      </c>
      <c r="G5182">
        <v>0</v>
      </c>
    </row>
    <row r="5183" spans="1:7" x14ac:dyDescent="0.2">
      <c r="A5183" t="s">
        <v>1958</v>
      </c>
      <c r="B5183">
        <v>0</v>
      </c>
      <c r="C5183">
        <v>0</v>
      </c>
      <c r="D5183">
        <v>0</v>
      </c>
      <c r="E5183">
        <v>0</v>
      </c>
      <c r="F5183">
        <v>0</v>
      </c>
      <c r="G5183">
        <v>0</v>
      </c>
    </row>
    <row r="5184" spans="1:7" x14ac:dyDescent="0.2">
      <c r="A5184" t="s">
        <v>1964</v>
      </c>
      <c r="B5184">
        <v>0</v>
      </c>
      <c r="C5184">
        <v>0</v>
      </c>
      <c r="D5184">
        <v>0</v>
      </c>
      <c r="E5184">
        <v>0</v>
      </c>
      <c r="F5184">
        <v>0</v>
      </c>
      <c r="G5184">
        <v>0</v>
      </c>
    </row>
    <row r="5185" spans="1:7" x14ac:dyDescent="0.2">
      <c r="A5185" t="s">
        <v>1973</v>
      </c>
      <c r="B5185">
        <v>0</v>
      </c>
      <c r="C5185">
        <v>0</v>
      </c>
      <c r="D5185">
        <v>0</v>
      </c>
      <c r="E5185">
        <v>0</v>
      </c>
      <c r="F5185">
        <v>0</v>
      </c>
      <c r="G5185">
        <v>0</v>
      </c>
    </row>
    <row r="5186" spans="1:7" x14ac:dyDescent="0.2">
      <c r="A5186" t="s">
        <v>1978</v>
      </c>
      <c r="B5186">
        <v>0</v>
      </c>
      <c r="C5186">
        <v>0</v>
      </c>
      <c r="D5186">
        <v>0</v>
      </c>
      <c r="E5186">
        <v>0</v>
      </c>
      <c r="F5186">
        <v>0</v>
      </c>
      <c r="G5186">
        <v>0</v>
      </c>
    </row>
    <row r="5187" spans="1:7" x14ac:dyDescent="0.2">
      <c r="A5187" t="s">
        <v>1983</v>
      </c>
      <c r="B5187">
        <v>0</v>
      </c>
      <c r="C5187">
        <v>0</v>
      </c>
      <c r="D5187">
        <v>0</v>
      </c>
      <c r="E5187">
        <v>0</v>
      </c>
      <c r="F5187">
        <v>0</v>
      </c>
      <c r="G5187">
        <v>0</v>
      </c>
    </row>
    <row r="5188" spans="1:7" x14ac:dyDescent="0.2">
      <c r="A5188" t="s">
        <v>1984</v>
      </c>
      <c r="B5188">
        <v>0</v>
      </c>
      <c r="C5188">
        <v>0</v>
      </c>
      <c r="D5188">
        <v>0</v>
      </c>
      <c r="E5188">
        <v>0</v>
      </c>
      <c r="F5188">
        <v>0</v>
      </c>
      <c r="G5188">
        <v>0</v>
      </c>
    </row>
    <row r="5189" spans="1:7" x14ac:dyDescent="0.2">
      <c r="A5189" t="s">
        <v>1990</v>
      </c>
      <c r="B5189">
        <v>0</v>
      </c>
      <c r="C5189">
        <v>0</v>
      </c>
      <c r="D5189">
        <v>0</v>
      </c>
      <c r="E5189">
        <v>0</v>
      </c>
      <c r="F5189">
        <v>0</v>
      </c>
      <c r="G5189">
        <v>0</v>
      </c>
    </row>
    <row r="5190" spans="1:7" x14ac:dyDescent="0.2">
      <c r="A5190" t="s">
        <v>1996</v>
      </c>
      <c r="B5190">
        <v>0</v>
      </c>
      <c r="C5190">
        <v>0</v>
      </c>
      <c r="D5190">
        <v>0</v>
      </c>
      <c r="E5190">
        <v>0</v>
      </c>
      <c r="F5190">
        <v>0</v>
      </c>
      <c r="G5190">
        <v>0</v>
      </c>
    </row>
    <row r="5191" spans="1:7" x14ac:dyDescent="0.2">
      <c r="A5191" t="s">
        <v>1998</v>
      </c>
      <c r="B5191">
        <v>0</v>
      </c>
      <c r="C5191">
        <v>0</v>
      </c>
      <c r="D5191">
        <v>0</v>
      </c>
      <c r="E5191">
        <v>0</v>
      </c>
      <c r="F5191">
        <v>0</v>
      </c>
      <c r="G5191">
        <v>0</v>
      </c>
    </row>
    <row r="5192" spans="1:7" x14ac:dyDescent="0.2">
      <c r="A5192" t="s">
        <v>1999</v>
      </c>
      <c r="B5192">
        <v>0</v>
      </c>
      <c r="C5192">
        <v>0</v>
      </c>
      <c r="D5192">
        <v>0</v>
      </c>
      <c r="E5192">
        <v>0</v>
      </c>
      <c r="F5192">
        <v>0</v>
      </c>
      <c r="G5192">
        <v>0</v>
      </c>
    </row>
    <row r="5193" spans="1:7" x14ac:dyDescent="0.2">
      <c r="A5193" t="s">
        <v>2004</v>
      </c>
      <c r="B5193">
        <v>0</v>
      </c>
      <c r="C5193">
        <v>0</v>
      </c>
      <c r="D5193">
        <v>0</v>
      </c>
      <c r="E5193">
        <v>0</v>
      </c>
      <c r="F5193">
        <v>0</v>
      </c>
      <c r="G5193">
        <v>0</v>
      </c>
    </row>
    <row r="5194" spans="1:7" x14ac:dyDescent="0.2">
      <c r="A5194" t="s">
        <v>2009</v>
      </c>
      <c r="B5194">
        <v>0</v>
      </c>
      <c r="C5194">
        <v>0</v>
      </c>
      <c r="D5194">
        <v>0</v>
      </c>
      <c r="E5194">
        <v>0</v>
      </c>
      <c r="F5194">
        <v>0</v>
      </c>
      <c r="G5194">
        <v>0</v>
      </c>
    </row>
    <row r="5195" spans="1:7" x14ac:dyDescent="0.2">
      <c r="A5195" t="s">
        <v>2014</v>
      </c>
      <c r="B5195">
        <v>0</v>
      </c>
      <c r="C5195">
        <v>0</v>
      </c>
      <c r="D5195">
        <v>0</v>
      </c>
      <c r="E5195">
        <v>0</v>
      </c>
      <c r="F5195">
        <v>0</v>
      </c>
      <c r="G5195">
        <v>0</v>
      </c>
    </row>
    <row r="5196" spans="1:7" x14ac:dyDescent="0.2">
      <c r="A5196" t="s">
        <v>2019</v>
      </c>
      <c r="B5196">
        <v>0</v>
      </c>
      <c r="C5196">
        <v>0</v>
      </c>
      <c r="D5196">
        <v>0</v>
      </c>
      <c r="E5196">
        <v>0</v>
      </c>
      <c r="F5196">
        <v>0</v>
      </c>
      <c r="G5196">
        <v>0</v>
      </c>
    </row>
    <row r="5197" spans="1:7" x14ac:dyDescent="0.2">
      <c r="A5197" t="s">
        <v>2023</v>
      </c>
      <c r="B5197">
        <v>0</v>
      </c>
      <c r="C5197">
        <v>0</v>
      </c>
      <c r="D5197">
        <v>0</v>
      </c>
      <c r="E5197">
        <v>0</v>
      </c>
      <c r="F5197">
        <v>0</v>
      </c>
      <c r="G5197">
        <v>0</v>
      </c>
    </row>
    <row r="5198" spans="1:7" x14ac:dyDescent="0.2">
      <c r="A5198" t="s">
        <v>2026</v>
      </c>
      <c r="B5198">
        <v>0</v>
      </c>
      <c r="C5198">
        <v>0</v>
      </c>
      <c r="D5198">
        <v>0</v>
      </c>
      <c r="E5198">
        <v>0</v>
      </c>
      <c r="F5198">
        <v>0</v>
      </c>
      <c r="G5198">
        <v>0</v>
      </c>
    </row>
    <row r="5199" spans="1:7" x14ac:dyDescent="0.2">
      <c r="A5199" t="s">
        <v>2030</v>
      </c>
      <c r="B5199">
        <v>0</v>
      </c>
      <c r="C5199">
        <v>0</v>
      </c>
      <c r="D5199">
        <v>0</v>
      </c>
      <c r="E5199">
        <v>0</v>
      </c>
      <c r="F5199">
        <v>0</v>
      </c>
      <c r="G5199">
        <v>0</v>
      </c>
    </row>
    <row r="5200" spans="1:7" x14ac:dyDescent="0.2">
      <c r="A5200" t="s">
        <v>2035</v>
      </c>
      <c r="B5200">
        <v>0</v>
      </c>
      <c r="C5200">
        <v>0</v>
      </c>
      <c r="D5200">
        <v>0</v>
      </c>
      <c r="E5200">
        <v>0</v>
      </c>
      <c r="F5200">
        <v>0</v>
      </c>
      <c r="G5200">
        <v>0</v>
      </c>
    </row>
    <row r="5201" spans="1:7" x14ac:dyDescent="0.2">
      <c r="A5201" t="s">
        <v>2040</v>
      </c>
      <c r="B5201">
        <v>0</v>
      </c>
      <c r="C5201">
        <v>0</v>
      </c>
      <c r="D5201">
        <v>0</v>
      </c>
      <c r="E5201">
        <v>0</v>
      </c>
      <c r="F5201">
        <v>0</v>
      </c>
      <c r="G5201">
        <v>0</v>
      </c>
    </row>
    <row r="5202" spans="1:7" x14ac:dyDescent="0.2">
      <c r="A5202" t="s">
        <v>2045</v>
      </c>
      <c r="B5202">
        <v>0</v>
      </c>
      <c r="C5202">
        <v>0</v>
      </c>
      <c r="D5202">
        <v>0</v>
      </c>
      <c r="E5202">
        <v>0</v>
      </c>
      <c r="F5202">
        <v>0</v>
      </c>
      <c r="G5202">
        <v>0</v>
      </c>
    </row>
    <row r="5203" spans="1:7" x14ac:dyDescent="0.2">
      <c r="A5203" t="s">
        <v>2049</v>
      </c>
      <c r="B5203">
        <v>0</v>
      </c>
      <c r="C5203">
        <v>0</v>
      </c>
      <c r="D5203">
        <v>0</v>
      </c>
      <c r="E5203">
        <v>0</v>
      </c>
      <c r="F5203">
        <v>0</v>
      </c>
      <c r="G5203">
        <v>0</v>
      </c>
    </row>
    <row r="5204" spans="1:7" x14ac:dyDescent="0.2">
      <c r="A5204" t="s">
        <v>2051</v>
      </c>
      <c r="B5204">
        <v>0</v>
      </c>
      <c r="C5204">
        <v>0</v>
      </c>
      <c r="D5204">
        <v>0</v>
      </c>
      <c r="E5204">
        <v>0</v>
      </c>
      <c r="F5204">
        <v>0</v>
      </c>
      <c r="G5204">
        <v>0</v>
      </c>
    </row>
    <row r="5205" spans="1:7" x14ac:dyDescent="0.2">
      <c r="A5205" t="s">
        <v>2057</v>
      </c>
      <c r="B5205">
        <v>0</v>
      </c>
      <c r="C5205">
        <v>0</v>
      </c>
      <c r="D5205">
        <v>0</v>
      </c>
      <c r="E5205">
        <v>0</v>
      </c>
      <c r="F5205">
        <v>0</v>
      </c>
      <c r="G5205">
        <v>0</v>
      </c>
    </row>
    <row r="5206" spans="1:7" x14ac:dyDescent="0.2">
      <c r="A5206" t="s">
        <v>4344</v>
      </c>
      <c r="B5206">
        <v>0</v>
      </c>
      <c r="C5206">
        <v>0</v>
      </c>
      <c r="D5206">
        <v>0</v>
      </c>
      <c r="E5206">
        <v>0</v>
      </c>
      <c r="F5206">
        <v>0</v>
      </c>
      <c r="G5206">
        <v>0</v>
      </c>
    </row>
    <row r="5207" spans="1:7" x14ac:dyDescent="0.2">
      <c r="A5207" t="s">
        <v>4345</v>
      </c>
      <c r="B5207">
        <v>0</v>
      </c>
      <c r="C5207">
        <v>0</v>
      </c>
      <c r="D5207">
        <v>0</v>
      </c>
      <c r="E5207">
        <v>0</v>
      </c>
      <c r="F5207">
        <v>0</v>
      </c>
      <c r="G5207">
        <v>0</v>
      </c>
    </row>
    <row r="5208" spans="1:7" x14ac:dyDescent="0.2">
      <c r="A5208" t="s">
        <v>2074</v>
      </c>
      <c r="B5208">
        <v>0</v>
      </c>
      <c r="C5208">
        <v>0</v>
      </c>
      <c r="D5208">
        <v>0</v>
      </c>
      <c r="E5208">
        <v>0</v>
      </c>
      <c r="F5208">
        <v>0</v>
      </c>
      <c r="G5208">
        <v>0</v>
      </c>
    </row>
    <row r="5209" spans="1:7" x14ac:dyDescent="0.2">
      <c r="A5209" t="s">
        <v>2079</v>
      </c>
      <c r="B5209">
        <v>0</v>
      </c>
      <c r="C5209">
        <v>0</v>
      </c>
      <c r="D5209">
        <v>0</v>
      </c>
      <c r="E5209">
        <v>0</v>
      </c>
      <c r="F5209">
        <v>0</v>
      </c>
      <c r="G5209">
        <v>0</v>
      </c>
    </row>
    <row r="5210" spans="1:7" x14ac:dyDescent="0.2">
      <c r="A5210" t="s">
        <v>2085</v>
      </c>
      <c r="B5210">
        <v>0</v>
      </c>
      <c r="C5210">
        <v>0</v>
      </c>
      <c r="D5210">
        <v>0</v>
      </c>
      <c r="E5210">
        <v>0</v>
      </c>
      <c r="F5210">
        <v>0</v>
      </c>
      <c r="G5210">
        <v>0</v>
      </c>
    </row>
    <row r="5211" spans="1:7" x14ac:dyDescent="0.2">
      <c r="A5211" t="s">
        <v>2091</v>
      </c>
      <c r="B5211">
        <v>0</v>
      </c>
      <c r="C5211">
        <v>0</v>
      </c>
      <c r="D5211">
        <v>0</v>
      </c>
      <c r="E5211">
        <v>0</v>
      </c>
      <c r="F5211">
        <v>0</v>
      </c>
      <c r="G5211">
        <v>0</v>
      </c>
    </row>
    <row r="5212" spans="1:7" x14ac:dyDescent="0.2">
      <c r="A5212" t="s">
        <v>2097</v>
      </c>
      <c r="B5212">
        <v>0</v>
      </c>
      <c r="C5212">
        <v>0</v>
      </c>
      <c r="D5212">
        <v>0</v>
      </c>
      <c r="E5212">
        <v>0</v>
      </c>
      <c r="F5212">
        <v>0</v>
      </c>
      <c r="G5212">
        <v>0</v>
      </c>
    </row>
    <row r="5213" spans="1:7" x14ac:dyDescent="0.2">
      <c r="A5213" t="s">
        <v>2101</v>
      </c>
      <c r="B5213">
        <v>0</v>
      </c>
      <c r="C5213">
        <v>0</v>
      </c>
      <c r="D5213">
        <v>0</v>
      </c>
      <c r="E5213">
        <v>0</v>
      </c>
      <c r="F5213">
        <v>0</v>
      </c>
      <c r="G5213">
        <v>0</v>
      </c>
    </row>
    <row r="5214" spans="1:7" x14ac:dyDescent="0.2">
      <c r="A5214" t="s">
        <v>2104</v>
      </c>
      <c r="B5214">
        <v>0</v>
      </c>
      <c r="C5214">
        <v>0</v>
      </c>
      <c r="D5214">
        <v>0</v>
      </c>
      <c r="E5214">
        <v>0</v>
      </c>
      <c r="F5214">
        <v>0</v>
      </c>
      <c r="G5214">
        <v>0</v>
      </c>
    </row>
    <row r="5215" spans="1:7" x14ac:dyDescent="0.2">
      <c r="A5215" t="s">
        <v>2107</v>
      </c>
      <c r="B5215">
        <v>0</v>
      </c>
      <c r="C5215">
        <v>0</v>
      </c>
      <c r="D5215">
        <v>0</v>
      </c>
      <c r="E5215">
        <v>0</v>
      </c>
      <c r="F5215">
        <v>0</v>
      </c>
      <c r="G5215">
        <v>0</v>
      </c>
    </row>
    <row r="5216" spans="1:7" x14ac:dyDescent="0.2">
      <c r="A5216" t="s">
        <v>2110</v>
      </c>
      <c r="B5216">
        <v>0</v>
      </c>
      <c r="C5216">
        <v>0</v>
      </c>
      <c r="D5216">
        <v>0</v>
      </c>
      <c r="E5216">
        <v>0</v>
      </c>
      <c r="F5216">
        <v>0</v>
      </c>
      <c r="G5216">
        <v>0</v>
      </c>
    </row>
    <row r="5217" spans="1:7" x14ac:dyDescent="0.2">
      <c r="A5217" t="s">
        <v>2113</v>
      </c>
      <c r="B5217">
        <v>0</v>
      </c>
      <c r="C5217">
        <v>0</v>
      </c>
      <c r="D5217">
        <v>0</v>
      </c>
      <c r="E5217">
        <v>0</v>
      </c>
      <c r="F5217">
        <v>0</v>
      </c>
      <c r="G5217">
        <v>0</v>
      </c>
    </row>
    <row r="5218" spans="1:7" x14ac:dyDescent="0.2">
      <c r="A5218" t="s">
        <v>4346</v>
      </c>
      <c r="B5218">
        <v>0</v>
      </c>
      <c r="C5218">
        <v>0</v>
      </c>
      <c r="D5218">
        <v>0</v>
      </c>
      <c r="E5218">
        <v>0</v>
      </c>
      <c r="F5218">
        <v>0</v>
      </c>
      <c r="G5218">
        <v>0</v>
      </c>
    </row>
    <row r="5219" spans="1:7" x14ac:dyDescent="0.2">
      <c r="A5219" t="s">
        <v>4347</v>
      </c>
      <c r="B5219">
        <v>0</v>
      </c>
      <c r="C5219">
        <v>0</v>
      </c>
      <c r="D5219">
        <v>0</v>
      </c>
      <c r="E5219">
        <v>0</v>
      </c>
      <c r="F5219">
        <v>0</v>
      </c>
      <c r="G5219">
        <v>0</v>
      </c>
    </row>
    <row r="5220" spans="1:7" x14ac:dyDescent="0.2">
      <c r="A5220" t="s">
        <v>4348</v>
      </c>
      <c r="B5220">
        <v>0</v>
      </c>
      <c r="C5220">
        <v>0</v>
      </c>
      <c r="D5220">
        <v>0</v>
      </c>
      <c r="E5220">
        <v>0</v>
      </c>
      <c r="F5220">
        <v>0</v>
      </c>
      <c r="G5220">
        <v>0</v>
      </c>
    </row>
    <row r="5221" spans="1:7" x14ac:dyDescent="0.2">
      <c r="A5221" t="s">
        <v>4349</v>
      </c>
      <c r="B5221">
        <v>0</v>
      </c>
      <c r="C5221">
        <v>0</v>
      </c>
      <c r="D5221">
        <v>0</v>
      </c>
      <c r="E5221">
        <v>0</v>
      </c>
      <c r="F5221">
        <v>0</v>
      </c>
      <c r="G5221">
        <v>0</v>
      </c>
    </row>
    <row r="5222" spans="1:7" x14ac:dyDescent="0.2">
      <c r="A5222" t="s">
        <v>4350</v>
      </c>
      <c r="B5222">
        <v>0</v>
      </c>
      <c r="C5222">
        <v>18</v>
      </c>
      <c r="D5222">
        <v>241</v>
      </c>
      <c r="E5222">
        <v>6</v>
      </c>
      <c r="F5222">
        <v>0</v>
      </c>
      <c r="G5222">
        <v>265</v>
      </c>
    </row>
    <row r="5223" spans="1:7" x14ac:dyDescent="0.2">
      <c r="A5223" t="s">
        <v>4351</v>
      </c>
      <c r="B5223">
        <v>0</v>
      </c>
      <c r="C5223">
        <v>0</v>
      </c>
      <c r="D5223">
        <v>0</v>
      </c>
      <c r="E5223">
        <v>0</v>
      </c>
      <c r="F5223">
        <v>0</v>
      </c>
      <c r="G5223">
        <v>0</v>
      </c>
    </row>
    <row r="5224" spans="1:7" x14ac:dyDescent="0.2">
      <c r="A5224" t="s">
        <v>4352</v>
      </c>
      <c r="B5224">
        <v>0</v>
      </c>
      <c r="C5224">
        <v>0</v>
      </c>
      <c r="D5224">
        <v>0</v>
      </c>
      <c r="E5224">
        <v>0</v>
      </c>
      <c r="F5224">
        <v>0</v>
      </c>
      <c r="G5224">
        <v>0</v>
      </c>
    </row>
    <row r="5225" spans="1:7" x14ac:dyDescent="0.2">
      <c r="A5225" t="s">
        <v>4353</v>
      </c>
      <c r="B5225">
        <v>2</v>
      </c>
      <c r="C5225">
        <v>103</v>
      </c>
      <c r="D5225">
        <v>88</v>
      </c>
      <c r="E5225">
        <v>7</v>
      </c>
      <c r="F5225">
        <v>0</v>
      </c>
      <c r="G5225">
        <v>199</v>
      </c>
    </row>
    <row r="5226" spans="1:7" x14ac:dyDescent="0.2">
      <c r="A5226" t="s">
        <v>4354</v>
      </c>
      <c r="B5226">
        <v>6</v>
      </c>
      <c r="C5226">
        <v>60</v>
      </c>
      <c r="D5226">
        <v>23</v>
      </c>
      <c r="E5226">
        <v>1</v>
      </c>
      <c r="F5226">
        <v>0</v>
      </c>
      <c r="G5226">
        <v>90</v>
      </c>
    </row>
    <row r="5227" spans="1:7" x14ac:dyDescent="0.2">
      <c r="A5227" t="s">
        <v>4355</v>
      </c>
      <c r="B5227">
        <v>0</v>
      </c>
      <c r="C5227">
        <v>0</v>
      </c>
      <c r="D5227">
        <v>0</v>
      </c>
      <c r="E5227">
        <v>0</v>
      </c>
      <c r="F5227">
        <v>0</v>
      </c>
      <c r="G5227">
        <v>0</v>
      </c>
    </row>
    <row r="5228" spans="1:7" x14ac:dyDescent="0.2">
      <c r="A5228" t="s">
        <v>4356</v>
      </c>
      <c r="B5228">
        <v>0</v>
      </c>
      <c r="C5228">
        <v>0</v>
      </c>
      <c r="D5228">
        <v>0</v>
      </c>
      <c r="E5228">
        <v>0</v>
      </c>
      <c r="F5228">
        <v>0</v>
      </c>
      <c r="G5228">
        <v>0</v>
      </c>
    </row>
    <row r="5229" spans="1:7" x14ac:dyDescent="0.2">
      <c r="A5229" t="s">
        <v>4357</v>
      </c>
      <c r="B5229">
        <v>0</v>
      </c>
      <c r="C5229">
        <v>14</v>
      </c>
      <c r="D5229">
        <v>5</v>
      </c>
      <c r="E5229">
        <v>0</v>
      </c>
      <c r="F5229">
        <v>0</v>
      </c>
      <c r="G5229">
        <v>19</v>
      </c>
    </row>
    <row r="5230" spans="1:7" x14ac:dyDescent="0.2">
      <c r="A5230" t="s">
        <v>4358</v>
      </c>
      <c r="B5230">
        <v>0</v>
      </c>
      <c r="C5230">
        <v>4</v>
      </c>
      <c r="D5230">
        <v>0</v>
      </c>
      <c r="E5230">
        <v>0</v>
      </c>
      <c r="F5230">
        <v>0</v>
      </c>
      <c r="G5230">
        <v>4</v>
      </c>
    </row>
    <row r="5231" spans="1:7" x14ac:dyDescent="0.2">
      <c r="A5231" t="s">
        <v>4359</v>
      </c>
      <c r="B5231">
        <v>0</v>
      </c>
      <c r="C5231">
        <v>0</v>
      </c>
      <c r="D5231">
        <v>0</v>
      </c>
      <c r="E5231">
        <v>0</v>
      </c>
      <c r="F5231">
        <v>0</v>
      </c>
      <c r="G5231">
        <v>0</v>
      </c>
    </row>
    <row r="5232" spans="1:7" x14ac:dyDescent="0.2">
      <c r="A5232" t="s">
        <v>4360</v>
      </c>
      <c r="B5232">
        <v>0</v>
      </c>
      <c r="C5232">
        <v>0</v>
      </c>
      <c r="D5232">
        <v>0</v>
      </c>
      <c r="E5232">
        <v>1</v>
      </c>
      <c r="F5232">
        <v>0</v>
      </c>
      <c r="G5232">
        <v>1</v>
      </c>
    </row>
    <row r="5233" spans="1:7" x14ac:dyDescent="0.2">
      <c r="A5233" t="s">
        <v>4361</v>
      </c>
      <c r="B5233">
        <v>0</v>
      </c>
      <c r="C5233">
        <v>0</v>
      </c>
      <c r="D5233">
        <v>35</v>
      </c>
      <c r="E5233">
        <v>0</v>
      </c>
      <c r="F5233">
        <v>0</v>
      </c>
      <c r="G5233">
        <v>35</v>
      </c>
    </row>
    <row r="5234" spans="1:7" x14ac:dyDescent="0.2">
      <c r="A5234" t="s">
        <v>4362</v>
      </c>
      <c r="B5234">
        <v>0</v>
      </c>
      <c r="C5234">
        <v>0</v>
      </c>
      <c r="D5234">
        <v>0</v>
      </c>
      <c r="E5234">
        <v>0</v>
      </c>
      <c r="F5234">
        <v>0</v>
      </c>
      <c r="G5234">
        <v>0</v>
      </c>
    </row>
    <row r="5235" spans="1:7" x14ac:dyDescent="0.2">
      <c r="A5235" t="s">
        <v>4363</v>
      </c>
      <c r="B5235">
        <v>0</v>
      </c>
      <c r="C5235">
        <v>0</v>
      </c>
      <c r="D5235">
        <v>0</v>
      </c>
      <c r="E5235">
        <v>0</v>
      </c>
      <c r="F5235">
        <v>0</v>
      </c>
      <c r="G5235">
        <v>0</v>
      </c>
    </row>
    <row r="5236" spans="1:7" x14ac:dyDescent="0.2">
      <c r="A5236" t="s">
        <v>4364</v>
      </c>
      <c r="B5236">
        <v>0</v>
      </c>
      <c r="C5236">
        <v>0</v>
      </c>
      <c r="D5236">
        <v>0</v>
      </c>
      <c r="E5236">
        <v>0</v>
      </c>
      <c r="F5236">
        <v>0</v>
      </c>
      <c r="G5236">
        <v>0</v>
      </c>
    </row>
    <row r="5237" spans="1:7" x14ac:dyDescent="0.2">
      <c r="A5237" t="s">
        <v>4365</v>
      </c>
      <c r="B5237">
        <v>0</v>
      </c>
      <c r="C5237">
        <v>31</v>
      </c>
      <c r="D5237">
        <v>60</v>
      </c>
      <c r="E5237">
        <v>0</v>
      </c>
      <c r="F5237">
        <v>0</v>
      </c>
      <c r="G5237">
        <v>91</v>
      </c>
    </row>
    <row r="5238" spans="1:7" x14ac:dyDescent="0.2">
      <c r="A5238" t="s">
        <v>4366</v>
      </c>
      <c r="B5238">
        <v>0</v>
      </c>
      <c r="C5238">
        <v>0</v>
      </c>
      <c r="D5238">
        <v>44</v>
      </c>
      <c r="E5238">
        <v>3</v>
      </c>
      <c r="F5238">
        <v>0</v>
      </c>
      <c r="G5238">
        <v>47</v>
      </c>
    </row>
    <row r="5239" spans="1:7" x14ac:dyDescent="0.2">
      <c r="A5239" t="s">
        <v>4367</v>
      </c>
      <c r="B5239">
        <v>0</v>
      </c>
      <c r="C5239">
        <v>0</v>
      </c>
      <c r="D5239">
        <v>4</v>
      </c>
      <c r="E5239">
        <v>0</v>
      </c>
      <c r="F5239">
        <v>0</v>
      </c>
      <c r="G5239">
        <v>4</v>
      </c>
    </row>
    <row r="5240" spans="1:7" x14ac:dyDescent="0.2">
      <c r="A5240" t="s">
        <v>4368</v>
      </c>
      <c r="B5240">
        <v>0</v>
      </c>
      <c r="C5240">
        <v>0</v>
      </c>
      <c r="D5240">
        <v>41</v>
      </c>
      <c r="E5240">
        <v>59</v>
      </c>
      <c r="F5240">
        <v>47</v>
      </c>
      <c r="G5240">
        <v>147</v>
      </c>
    </row>
    <row r="5241" spans="1:7" x14ac:dyDescent="0.2">
      <c r="A5241" t="s">
        <v>4369</v>
      </c>
      <c r="B5241">
        <v>107</v>
      </c>
      <c r="C5241">
        <v>89</v>
      </c>
      <c r="D5241">
        <v>126</v>
      </c>
      <c r="E5241">
        <v>66</v>
      </c>
      <c r="F5241">
        <v>0</v>
      </c>
      <c r="G5241">
        <v>388</v>
      </c>
    </row>
    <row r="5242" spans="1:7" x14ac:dyDescent="0.2">
      <c r="A5242" t="s">
        <v>4370</v>
      </c>
      <c r="B5242">
        <v>1</v>
      </c>
      <c r="C5242">
        <v>0</v>
      </c>
      <c r="D5242">
        <v>0</v>
      </c>
      <c r="E5242">
        <v>2</v>
      </c>
      <c r="F5242">
        <v>0</v>
      </c>
      <c r="G5242">
        <v>3</v>
      </c>
    </row>
    <row r="5243" spans="1:7" x14ac:dyDescent="0.2">
      <c r="A5243" t="s">
        <v>4371</v>
      </c>
      <c r="B5243">
        <v>0</v>
      </c>
      <c r="C5243">
        <v>5</v>
      </c>
      <c r="D5243">
        <v>0</v>
      </c>
      <c r="E5243">
        <v>0</v>
      </c>
      <c r="F5243">
        <v>0</v>
      </c>
      <c r="G5243">
        <v>5</v>
      </c>
    </row>
    <row r="5244" spans="1:7" x14ac:dyDescent="0.2">
      <c r="A5244" t="s">
        <v>4372</v>
      </c>
      <c r="B5244">
        <v>0</v>
      </c>
      <c r="C5244">
        <v>0</v>
      </c>
      <c r="D5244">
        <v>0</v>
      </c>
      <c r="E5244">
        <v>0</v>
      </c>
      <c r="F5244">
        <v>0</v>
      </c>
      <c r="G5244">
        <v>0</v>
      </c>
    </row>
    <row r="5245" spans="1:7" x14ac:dyDescent="0.2">
      <c r="A5245" t="s">
        <v>4373</v>
      </c>
      <c r="B5245">
        <v>0</v>
      </c>
      <c r="C5245">
        <v>10</v>
      </c>
      <c r="D5245">
        <v>45</v>
      </c>
      <c r="E5245">
        <v>3</v>
      </c>
      <c r="F5245">
        <v>0</v>
      </c>
      <c r="G5245">
        <v>59</v>
      </c>
    </row>
    <row r="5246" spans="1:7" x14ac:dyDescent="0.2">
      <c r="A5246" t="s">
        <v>4374</v>
      </c>
      <c r="B5246">
        <v>0</v>
      </c>
      <c r="C5246">
        <v>4</v>
      </c>
      <c r="D5246">
        <v>20</v>
      </c>
      <c r="E5246">
        <v>0</v>
      </c>
      <c r="F5246">
        <v>0</v>
      </c>
      <c r="G5246">
        <v>24</v>
      </c>
    </row>
    <row r="5247" spans="1:7" x14ac:dyDescent="0.2">
      <c r="A5247" t="s">
        <v>4375</v>
      </c>
      <c r="B5247">
        <v>0</v>
      </c>
      <c r="C5247">
        <v>13</v>
      </c>
      <c r="D5247">
        <v>84</v>
      </c>
      <c r="E5247">
        <v>40</v>
      </c>
      <c r="F5247">
        <v>0</v>
      </c>
      <c r="G5247">
        <v>137</v>
      </c>
    </row>
    <row r="5248" spans="1:7" x14ac:dyDescent="0.2">
      <c r="A5248" t="s">
        <v>4376</v>
      </c>
      <c r="B5248">
        <v>0</v>
      </c>
      <c r="C5248">
        <v>0</v>
      </c>
      <c r="D5248">
        <v>6</v>
      </c>
      <c r="E5248">
        <v>0</v>
      </c>
      <c r="F5248">
        <v>0</v>
      </c>
      <c r="G5248">
        <v>6</v>
      </c>
    </row>
    <row r="5249" spans="1:10" x14ac:dyDescent="0.2">
      <c r="A5249" t="s">
        <v>4377</v>
      </c>
      <c r="B5249">
        <v>0</v>
      </c>
      <c r="C5249">
        <v>8</v>
      </c>
      <c r="D5249">
        <v>81</v>
      </c>
      <c r="E5249">
        <v>0</v>
      </c>
      <c r="F5249">
        <v>0</v>
      </c>
      <c r="G5249">
        <v>90</v>
      </c>
    </row>
    <row r="5250" spans="1:10" x14ac:dyDescent="0.2">
      <c r="A5250" t="s">
        <v>2318</v>
      </c>
      <c r="B5250" t="s">
        <v>2319</v>
      </c>
      <c r="C5250" t="s">
        <v>2319</v>
      </c>
      <c r="D5250" t="s">
        <v>2319</v>
      </c>
      <c r="E5250" t="s">
        <v>2319</v>
      </c>
      <c r="F5250" t="s">
        <v>2319</v>
      </c>
      <c r="G5250" t="s">
        <v>2319</v>
      </c>
    </row>
    <row r="5251" spans="1:10" x14ac:dyDescent="0.2">
      <c r="A5251" t="s">
        <v>4248</v>
      </c>
    </row>
    <row r="5252" spans="1:10" x14ac:dyDescent="0.2">
      <c r="A5252" t="s">
        <v>4250</v>
      </c>
      <c r="C5252" t="s">
        <v>4251</v>
      </c>
      <c r="G5252" t="s">
        <v>7531</v>
      </c>
      <c r="J5252"/>
    </row>
    <row r="5253" spans="1:10" x14ac:dyDescent="0.2">
      <c r="A5253" t="s">
        <v>4925</v>
      </c>
      <c r="G5253" t="s">
        <v>7540</v>
      </c>
      <c r="J5253"/>
    </row>
    <row r="5254" spans="1:10" x14ac:dyDescent="0.2">
      <c r="A5254" t="s">
        <v>7530</v>
      </c>
      <c r="J5254"/>
    </row>
    <row r="5255" spans="1:10" x14ac:dyDescent="0.2">
      <c r="A5255" t="s">
        <v>5001</v>
      </c>
      <c r="J5255"/>
    </row>
    <row r="5256" spans="1:10" x14ac:dyDescent="0.2">
      <c r="J5256"/>
    </row>
    <row r="5257" spans="1:10" x14ac:dyDescent="0.2">
      <c r="A5257" t="s">
        <v>4259</v>
      </c>
      <c r="J5257"/>
    </row>
    <row r="5258" spans="1:10" x14ac:dyDescent="0.2">
      <c r="A5258" t="s">
        <v>2318</v>
      </c>
      <c r="B5258" t="s">
        <v>2319</v>
      </c>
      <c r="C5258" t="s">
        <v>2319</v>
      </c>
      <c r="D5258" t="s">
        <v>2319</v>
      </c>
      <c r="E5258" t="s">
        <v>2319</v>
      </c>
      <c r="F5258" t="s">
        <v>2319</v>
      </c>
      <c r="G5258" t="s">
        <v>2319</v>
      </c>
    </row>
    <row r="5259" spans="1:10" x14ac:dyDescent="0.2">
      <c r="A5259" t="s">
        <v>174</v>
      </c>
      <c r="B5259" t="s">
        <v>4945</v>
      </c>
      <c r="C5259" t="s">
        <v>4946</v>
      </c>
      <c r="D5259" t="s">
        <v>4947</v>
      </c>
      <c r="E5259" t="s">
        <v>4948</v>
      </c>
      <c r="F5259" t="s">
        <v>4949</v>
      </c>
    </row>
    <row r="5260" spans="1:10" x14ac:dyDescent="0.2">
      <c r="A5260" t="s">
        <v>126</v>
      </c>
      <c r="B5260" t="s">
        <v>4262</v>
      </c>
      <c r="C5260" t="s">
        <v>4263</v>
      </c>
      <c r="D5260" t="s">
        <v>4264</v>
      </c>
      <c r="E5260" t="s">
        <v>2308</v>
      </c>
      <c r="F5260" t="s">
        <v>615</v>
      </c>
      <c r="G5260" t="s">
        <v>236</v>
      </c>
    </row>
    <row r="5261" spans="1:10" x14ac:dyDescent="0.2">
      <c r="A5261" t="s">
        <v>2318</v>
      </c>
      <c r="B5261" t="s">
        <v>2319</v>
      </c>
      <c r="C5261" t="s">
        <v>2319</v>
      </c>
      <c r="D5261" t="s">
        <v>2319</v>
      </c>
      <c r="E5261" t="s">
        <v>2319</v>
      </c>
      <c r="F5261" t="s">
        <v>2319</v>
      </c>
      <c r="G5261" t="s">
        <v>2319</v>
      </c>
    </row>
    <row r="5262" spans="1:10" x14ac:dyDescent="0.2">
      <c r="A5262" t="s">
        <v>4265</v>
      </c>
      <c r="B5262">
        <v>0</v>
      </c>
      <c r="C5262">
        <v>0</v>
      </c>
      <c r="D5262">
        <v>0</v>
      </c>
      <c r="E5262">
        <v>0</v>
      </c>
      <c r="F5262">
        <v>0</v>
      </c>
      <c r="G5262">
        <v>0</v>
      </c>
    </row>
    <row r="5263" spans="1:10" x14ac:dyDescent="0.2">
      <c r="A5263" t="s">
        <v>4266</v>
      </c>
      <c r="B5263">
        <v>0</v>
      </c>
      <c r="C5263">
        <v>0</v>
      </c>
      <c r="D5263">
        <v>0</v>
      </c>
      <c r="E5263">
        <v>0</v>
      </c>
      <c r="F5263">
        <v>0</v>
      </c>
      <c r="G5263">
        <v>0</v>
      </c>
    </row>
    <row r="5264" spans="1:10" x14ac:dyDescent="0.2">
      <c r="A5264" t="s">
        <v>4267</v>
      </c>
      <c r="B5264">
        <v>0</v>
      </c>
      <c r="C5264">
        <v>0</v>
      </c>
      <c r="D5264">
        <v>0</v>
      </c>
      <c r="E5264">
        <v>0</v>
      </c>
      <c r="F5264">
        <v>0</v>
      </c>
      <c r="G5264">
        <v>0</v>
      </c>
    </row>
    <row r="5265" spans="1:7" x14ac:dyDescent="0.2">
      <c r="A5265" t="s">
        <v>4268</v>
      </c>
      <c r="B5265">
        <v>0</v>
      </c>
      <c r="C5265">
        <v>0</v>
      </c>
      <c r="D5265">
        <v>0</v>
      </c>
      <c r="E5265">
        <v>0</v>
      </c>
      <c r="F5265">
        <v>0</v>
      </c>
      <c r="G5265">
        <v>0</v>
      </c>
    </row>
    <row r="5266" spans="1:7" x14ac:dyDescent="0.2">
      <c r="A5266" t="s">
        <v>4269</v>
      </c>
      <c r="B5266">
        <v>0</v>
      </c>
      <c r="C5266">
        <v>0</v>
      </c>
      <c r="D5266">
        <v>0</v>
      </c>
      <c r="E5266">
        <v>0</v>
      </c>
      <c r="F5266">
        <v>0</v>
      </c>
      <c r="G5266">
        <v>0</v>
      </c>
    </row>
    <row r="5267" spans="1:7" x14ac:dyDescent="0.2">
      <c r="A5267" t="s">
        <v>4270</v>
      </c>
      <c r="B5267">
        <v>0</v>
      </c>
      <c r="C5267">
        <v>0</v>
      </c>
      <c r="D5267">
        <v>0</v>
      </c>
      <c r="E5267">
        <v>0</v>
      </c>
      <c r="F5267">
        <v>0</v>
      </c>
      <c r="G5267">
        <v>0</v>
      </c>
    </row>
    <row r="5268" spans="1:7" x14ac:dyDescent="0.2">
      <c r="A5268" t="s">
        <v>4271</v>
      </c>
      <c r="B5268">
        <v>0</v>
      </c>
      <c r="C5268">
        <v>0</v>
      </c>
      <c r="D5268">
        <v>0</v>
      </c>
      <c r="E5268">
        <v>0</v>
      </c>
      <c r="F5268">
        <v>0</v>
      </c>
      <c r="G5268">
        <v>0</v>
      </c>
    </row>
    <row r="5269" spans="1:7" x14ac:dyDescent="0.2">
      <c r="A5269" t="s">
        <v>4272</v>
      </c>
      <c r="B5269">
        <v>0</v>
      </c>
      <c r="C5269">
        <v>0</v>
      </c>
      <c r="D5269">
        <v>0</v>
      </c>
      <c r="E5269">
        <v>0</v>
      </c>
      <c r="F5269">
        <v>0</v>
      </c>
      <c r="G5269">
        <v>0</v>
      </c>
    </row>
    <row r="5270" spans="1:7" x14ac:dyDescent="0.2">
      <c r="A5270" t="s">
        <v>4273</v>
      </c>
      <c r="B5270">
        <v>0</v>
      </c>
      <c r="C5270">
        <v>0</v>
      </c>
      <c r="D5270">
        <v>0</v>
      </c>
      <c r="E5270">
        <v>0</v>
      </c>
      <c r="F5270">
        <v>0</v>
      </c>
      <c r="G5270">
        <v>0</v>
      </c>
    </row>
    <row r="5271" spans="1:7" x14ac:dyDescent="0.2">
      <c r="A5271" t="s">
        <v>4274</v>
      </c>
      <c r="B5271">
        <v>0</v>
      </c>
      <c r="C5271">
        <v>0</v>
      </c>
      <c r="D5271">
        <v>0</v>
      </c>
      <c r="E5271">
        <v>0</v>
      </c>
      <c r="F5271">
        <v>0</v>
      </c>
      <c r="G5271">
        <v>0</v>
      </c>
    </row>
    <row r="5272" spans="1:7" x14ac:dyDescent="0.2">
      <c r="A5272" t="s">
        <v>4275</v>
      </c>
      <c r="B5272">
        <v>0</v>
      </c>
      <c r="C5272">
        <v>0</v>
      </c>
      <c r="D5272">
        <v>0</v>
      </c>
      <c r="E5272">
        <v>0</v>
      </c>
      <c r="F5272">
        <v>0</v>
      </c>
      <c r="G5272">
        <v>0</v>
      </c>
    </row>
    <row r="5273" spans="1:7" x14ac:dyDescent="0.2">
      <c r="A5273" t="s">
        <v>4276</v>
      </c>
      <c r="B5273">
        <v>0</v>
      </c>
      <c r="C5273">
        <v>0</v>
      </c>
      <c r="D5273">
        <v>0</v>
      </c>
      <c r="E5273">
        <v>0</v>
      </c>
      <c r="F5273">
        <v>0</v>
      </c>
      <c r="G5273">
        <v>0</v>
      </c>
    </row>
    <row r="5274" spans="1:7" x14ac:dyDescent="0.2">
      <c r="A5274" t="s">
        <v>4277</v>
      </c>
      <c r="B5274">
        <v>0</v>
      </c>
      <c r="C5274">
        <v>0</v>
      </c>
      <c r="D5274">
        <v>0</v>
      </c>
      <c r="E5274">
        <v>0</v>
      </c>
      <c r="F5274">
        <v>0</v>
      </c>
      <c r="G5274">
        <v>0</v>
      </c>
    </row>
    <row r="5275" spans="1:7" x14ac:dyDescent="0.2">
      <c r="A5275" t="s">
        <v>4278</v>
      </c>
      <c r="B5275">
        <v>0</v>
      </c>
      <c r="C5275">
        <v>0</v>
      </c>
      <c r="D5275">
        <v>0</v>
      </c>
      <c r="E5275">
        <v>0</v>
      </c>
      <c r="F5275">
        <v>0</v>
      </c>
      <c r="G5275">
        <v>0</v>
      </c>
    </row>
    <row r="5276" spans="1:7" x14ac:dyDescent="0.2">
      <c r="A5276" t="s">
        <v>4279</v>
      </c>
      <c r="B5276">
        <v>0</v>
      </c>
      <c r="C5276">
        <v>0</v>
      </c>
      <c r="D5276">
        <v>0</v>
      </c>
      <c r="E5276">
        <v>0</v>
      </c>
      <c r="F5276">
        <v>0</v>
      </c>
      <c r="G5276">
        <v>0</v>
      </c>
    </row>
    <row r="5277" spans="1:7" x14ac:dyDescent="0.2">
      <c r="A5277" t="s">
        <v>4280</v>
      </c>
      <c r="B5277">
        <v>0</v>
      </c>
      <c r="C5277">
        <v>0</v>
      </c>
      <c r="D5277">
        <v>0</v>
      </c>
      <c r="E5277">
        <v>0</v>
      </c>
      <c r="F5277">
        <v>0</v>
      </c>
      <c r="G5277">
        <v>0</v>
      </c>
    </row>
    <row r="5278" spans="1:7" x14ac:dyDescent="0.2">
      <c r="A5278" t="s">
        <v>4281</v>
      </c>
      <c r="B5278">
        <v>5</v>
      </c>
      <c r="C5278">
        <v>3</v>
      </c>
      <c r="D5278">
        <v>3</v>
      </c>
      <c r="E5278">
        <v>3</v>
      </c>
      <c r="F5278">
        <v>0</v>
      </c>
      <c r="G5278">
        <v>14</v>
      </c>
    </row>
    <row r="5279" spans="1:7" x14ac:dyDescent="0.2">
      <c r="A5279" t="s">
        <v>4282</v>
      </c>
      <c r="B5279">
        <v>4</v>
      </c>
      <c r="C5279">
        <v>3</v>
      </c>
      <c r="D5279">
        <v>3</v>
      </c>
      <c r="E5279">
        <v>0</v>
      </c>
      <c r="F5279">
        <v>0</v>
      </c>
      <c r="G5279">
        <v>10</v>
      </c>
    </row>
    <row r="5280" spans="1:7" x14ac:dyDescent="0.2">
      <c r="A5280" t="s">
        <v>4283</v>
      </c>
      <c r="B5280">
        <v>1</v>
      </c>
      <c r="C5280">
        <v>1</v>
      </c>
      <c r="D5280">
        <v>0</v>
      </c>
      <c r="E5280">
        <v>2</v>
      </c>
      <c r="F5280">
        <v>0</v>
      </c>
      <c r="G5280">
        <v>4</v>
      </c>
    </row>
    <row r="5281" spans="1:7" x14ac:dyDescent="0.2">
      <c r="A5281" t="s">
        <v>4284</v>
      </c>
      <c r="B5281">
        <v>0</v>
      </c>
      <c r="C5281">
        <v>0</v>
      </c>
      <c r="D5281">
        <v>0</v>
      </c>
      <c r="E5281">
        <v>0</v>
      </c>
      <c r="F5281">
        <v>0</v>
      </c>
      <c r="G5281">
        <v>0</v>
      </c>
    </row>
    <row r="5282" spans="1:7" x14ac:dyDescent="0.2">
      <c r="A5282" t="s">
        <v>4285</v>
      </c>
      <c r="B5282">
        <v>3</v>
      </c>
      <c r="C5282">
        <v>3</v>
      </c>
      <c r="D5282">
        <v>2</v>
      </c>
      <c r="E5282">
        <v>2</v>
      </c>
      <c r="F5282">
        <v>0</v>
      </c>
      <c r="G5282">
        <v>11</v>
      </c>
    </row>
    <row r="5283" spans="1:7" x14ac:dyDescent="0.2">
      <c r="A5283" t="s">
        <v>4286</v>
      </c>
      <c r="B5283">
        <v>4</v>
      </c>
      <c r="C5283">
        <v>0</v>
      </c>
      <c r="D5283">
        <v>0</v>
      </c>
      <c r="E5283">
        <v>0</v>
      </c>
      <c r="F5283">
        <v>0</v>
      </c>
      <c r="G5283">
        <v>4</v>
      </c>
    </row>
    <row r="5284" spans="1:7" x14ac:dyDescent="0.2">
      <c r="A5284" t="s">
        <v>4287</v>
      </c>
      <c r="B5284">
        <v>0</v>
      </c>
      <c r="C5284">
        <v>0</v>
      </c>
      <c r="D5284">
        <v>0</v>
      </c>
      <c r="E5284">
        <v>0</v>
      </c>
      <c r="F5284">
        <v>0</v>
      </c>
      <c r="G5284">
        <v>0</v>
      </c>
    </row>
    <row r="5285" spans="1:7" x14ac:dyDescent="0.2">
      <c r="A5285" t="s">
        <v>4288</v>
      </c>
      <c r="B5285">
        <v>0</v>
      </c>
      <c r="C5285">
        <v>0</v>
      </c>
      <c r="D5285">
        <v>0</v>
      </c>
      <c r="E5285">
        <v>0</v>
      </c>
      <c r="F5285">
        <v>0</v>
      </c>
      <c r="G5285">
        <v>0</v>
      </c>
    </row>
    <row r="5286" spans="1:7" x14ac:dyDescent="0.2">
      <c r="A5286" t="s">
        <v>4289</v>
      </c>
      <c r="B5286">
        <v>0</v>
      </c>
      <c r="C5286">
        <v>0</v>
      </c>
      <c r="D5286">
        <v>0</v>
      </c>
      <c r="E5286">
        <v>0</v>
      </c>
      <c r="F5286">
        <v>0</v>
      </c>
      <c r="G5286">
        <v>0</v>
      </c>
    </row>
    <row r="5287" spans="1:7" x14ac:dyDescent="0.2">
      <c r="A5287" t="s">
        <v>4290</v>
      </c>
      <c r="B5287">
        <v>0</v>
      </c>
      <c r="C5287">
        <v>0</v>
      </c>
      <c r="D5287">
        <v>0</v>
      </c>
      <c r="E5287">
        <v>0</v>
      </c>
      <c r="F5287">
        <v>0</v>
      </c>
      <c r="G5287">
        <v>0</v>
      </c>
    </row>
    <row r="5288" spans="1:7" x14ac:dyDescent="0.2">
      <c r="A5288" t="s">
        <v>4291</v>
      </c>
      <c r="B5288">
        <v>0</v>
      </c>
      <c r="C5288">
        <v>0</v>
      </c>
      <c r="D5288">
        <v>0</v>
      </c>
      <c r="E5288">
        <v>0</v>
      </c>
      <c r="F5288">
        <v>0</v>
      </c>
      <c r="G5288">
        <v>0</v>
      </c>
    </row>
    <row r="5289" spans="1:7" x14ac:dyDescent="0.2">
      <c r="A5289" t="s">
        <v>4292</v>
      </c>
      <c r="B5289">
        <v>0</v>
      </c>
      <c r="C5289">
        <v>0</v>
      </c>
      <c r="D5289">
        <v>0</v>
      </c>
      <c r="E5289">
        <v>0</v>
      </c>
      <c r="F5289">
        <v>0</v>
      </c>
      <c r="G5289">
        <v>0</v>
      </c>
    </row>
    <row r="5290" spans="1:7" x14ac:dyDescent="0.2">
      <c r="A5290" t="s">
        <v>4293</v>
      </c>
      <c r="B5290">
        <v>0</v>
      </c>
      <c r="C5290">
        <v>0</v>
      </c>
      <c r="D5290">
        <v>0</v>
      </c>
      <c r="E5290">
        <v>0</v>
      </c>
      <c r="F5290">
        <v>0</v>
      </c>
      <c r="G5290">
        <v>0</v>
      </c>
    </row>
    <row r="5291" spans="1:7" x14ac:dyDescent="0.2">
      <c r="A5291" t="s">
        <v>4294</v>
      </c>
      <c r="B5291">
        <v>0</v>
      </c>
      <c r="C5291">
        <v>0</v>
      </c>
      <c r="D5291">
        <v>0</v>
      </c>
      <c r="E5291">
        <v>0</v>
      </c>
      <c r="F5291">
        <v>0</v>
      </c>
      <c r="G5291">
        <v>0</v>
      </c>
    </row>
    <row r="5292" spans="1:7" x14ac:dyDescent="0.2">
      <c r="A5292" t="s">
        <v>4295</v>
      </c>
      <c r="B5292">
        <v>0</v>
      </c>
      <c r="C5292">
        <v>0</v>
      </c>
      <c r="D5292">
        <v>0</v>
      </c>
      <c r="E5292">
        <v>0</v>
      </c>
      <c r="F5292">
        <v>0</v>
      </c>
      <c r="G5292">
        <v>0</v>
      </c>
    </row>
    <row r="5293" spans="1:7" x14ac:dyDescent="0.2">
      <c r="A5293" t="s">
        <v>4296</v>
      </c>
      <c r="B5293">
        <v>0</v>
      </c>
      <c r="C5293">
        <v>0</v>
      </c>
      <c r="D5293">
        <v>0</v>
      </c>
      <c r="E5293">
        <v>0</v>
      </c>
      <c r="F5293">
        <v>0</v>
      </c>
      <c r="G5293">
        <v>0</v>
      </c>
    </row>
    <row r="5294" spans="1:7" x14ac:dyDescent="0.2">
      <c r="A5294" t="s">
        <v>4297</v>
      </c>
      <c r="B5294">
        <v>0</v>
      </c>
      <c r="C5294">
        <v>4</v>
      </c>
      <c r="D5294">
        <v>8</v>
      </c>
      <c r="E5294">
        <v>1</v>
      </c>
      <c r="F5294">
        <v>0</v>
      </c>
      <c r="G5294">
        <v>14</v>
      </c>
    </row>
    <row r="5295" spans="1:7" x14ac:dyDescent="0.2">
      <c r="A5295" t="s">
        <v>4298</v>
      </c>
      <c r="B5295">
        <v>4</v>
      </c>
      <c r="C5295">
        <v>6</v>
      </c>
      <c r="D5295">
        <v>3</v>
      </c>
      <c r="E5295">
        <v>1</v>
      </c>
      <c r="F5295">
        <v>0</v>
      </c>
      <c r="G5295">
        <v>13</v>
      </c>
    </row>
    <row r="5296" spans="1:7" x14ac:dyDescent="0.2">
      <c r="A5296" t="s">
        <v>4299</v>
      </c>
      <c r="B5296">
        <v>4</v>
      </c>
      <c r="C5296">
        <v>13</v>
      </c>
      <c r="D5296">
        <v>12</v>
      </c>
      <c r="E5296">
        <v>9</v>
      </c>
      <c r="F5296">
        <v>0</v>
      </c>
      <c r="G5296">
        <v>38</v>
      </c>
    </row>
    <row r="5297" spans="1:7" x14ac:dyDescent="0.2">
      <c r="A5297" t="s">
        <v>4300</v>
      </c>
      <c r="B5297">
        <v>0</v>
      </c>
      <c r="C5297">
        <v>1</v>
      </c>
      <c r="D5297">
        <v>1</v>
      </c>
      <c r="E5297">
        <v>1</v>
      </c>
      <c r="F5297">
        <v>0</v>
      </c>
      <c r="G5297">
        <v>2</v>
      </c>
    </row>
    <row r="5298" spans="1:7" x14ac:dyDescent="0.2">
      <c r="A5298" t="s">
        <v>4301</v>
      </c>
      <c r="B5298">
        <v>0</v>
      </c>
      <c r="C5298">
        <v>22</v>
      </c>
      <c r="D5298">
        <v>25</v>
      </c>
      <c r="E5298">
        <v>6</v>
      </c>
      <c r="F5298">
        <v>0</v>
      </c>
      <c r="G5298">
        <v>53</v>
      </c>
    </row>
    <row r="5299" spans="1:7" x14ac:dyDescent="0.2">
      <c r="A5299" t="s">
        <v>4302</v>
      </c>
      <c r="B5299">
        <v>2</v>
      </c>
      <c r="C5299">
        <v>16</v>
      </c>
      <c r="D5299">
        <v>33</v>
      </c>
      <c r="E5299">
        <v>8</v>
      </c>
      <c r="F5299">
        <v>0</v>
      </c>
      <c r="G5299">
        <v>59</v>
      </c>
    </row>
    <row r="5300" spans="1:7" x14ac:dyDescent="0.2">
      <c r="A5300" t="s">
        <v>4303</v>
      </c>
      <c r="B5300">
        <v>2</v>
      </c>
      <c r="C5300">
        <v>45</v>
      </c>
      <c r="D5300">
        <v>135</v>
      </c>
      <c r="E5300">
        <v>20</v>
      </c>
      <c r="F5300">
        <v>0</v>
      </c>
      <c r="G5300">
        <v>202</v>
      </c>
    </row>
    <row r="5301" spans="1:7" x14ac:dyDescent="0.2">
      <c r="A5301" t="s">
        <v>4304</v>
      </c>
      <c r="B5301">
        <v>0</v>
      </c>
      <c r="C5301">
        <v>3</v>
      </c>
      <c r="D5301">
        <v>6</v>
      </c>
      <c r="E5301">
        <v>1</v>
      </c>
      <c r="F5301">
        <v>0</v>
      </c>
      <c r="G5301">
        <v>10</v>
      </c>
    </row>
    <row r="5302" spans="1:7" x14ac:dyDescent="0.2">
      <c r="A5302" t="s">
        <v>4305</v>
      </c>
      <c r="B5302">
        <v>26</v>
      </c>
      <c r="C5302">
        <v>51</v>
      </c>
      <c r="D5302">
        <v>70</v>
      </c>
      <c r="E5302">
        <v>17</v>
      </c>
      <c r="F5302">
        <v>0</v>
      </c>
      <c r="G5302">
        <v>164</v>
      </c>
    </row>
    <row r="5303" spans="1:7" x14ac:dyDescent="0.2">
      <c r="A5303" t="s">
        <v>4306</v>
      </c>
      <c r="B5303">
        <v>2</v>
      </c>
      <c r="C5303">
        <v>16</v>
      </c>
      <c r="D5303">
        <v>3</v>
      </c>
      <c r="E5303">
        <v>2</v>
      </c>
      <c r="F5303">
        <v>0</v>
      </c>
      <c r="G5303">
        <v>22</v>
      </c>
    </row>
    <row r="5304" spans="1:7" x14ac:dyDescent="0.2">
      <c r="A5304" t="s">
        <v>4307</v>
      </c>
      <c r="B5304">
        <v>11</v>
      </c>
      <c r="C5304">
        <v>150</v>
      </c>
      <c r="D5304">
        <v>471</v>
      </c>
      <c r="E5304">
        <v>72</v>
      </c>
      <c r="F5304">
        <v>0</v>
      </c>
      <c r="G5304">
        <v>704</v>
      </c>
    </row>
    <row r="5305" spans="1:7" x14ac:dyDescent="0.2">
      <c r="A5305" t="s">
        <v>4308</v>
      </c>
      <c r="B5305">
        <v>0</v>
      </c>
      <c r="C5305">
        <v>0</v>
      </c>
      <c r="D5305">
        <v>6</v>
      </c>
      <c r="E5305">
        <v>8</v>
      </c>
      <c r="F5305">
        <v>0</v>
      </c>
      <c r="G5305">
        <v>13</v>
      </c>
    </row>
    <row r="5306" spans="1:7" x14ac:dyDescent="0.2">
      <c r="A5306" t="s">
        <v>4309</v>
      </c>
      <c r="B5306">
        <v>0</v>
      </c>
      <c r="C5306">
        <v>0</v>
      </c>
      <c r="D5306">
        <v>0</v>
      </c>
      <c r="E5306">
        <v>0</v>
      </c>
      <c r="F5306">
        <v>0</v>
      </c>
      <c r="G5306">
        <v>0</v>
      </c>
    </row>
    <row r="5307" spans="1:7" x14ac:dyDescent="0.2">
      <c r="A5307" t="s">
        <v>4310</v>
      </c>
      <c r="B5307">
        <v>0</v>
      </c>
      <c r="C5307">
        <v>0</v>
      </c>
      <c r="D5307">
        <v>0</v>
      </c>
      <c r="E5307">
        <v>0</v>
      </c>
      <c r="F5307">
        <v>0</v>
      </c>
      <c r="G5307">
        <v>0</v>
      </c>
    </row>
    <row r="5308" spans="1:7" x14ac:dyDescent="0.2">
      <c r="A5308" t="s">
        <v>4311</v>
      </c>
      <c r="B5308">
        <v>0</v>
      </c>
      <c r="C5308">
        <v>0</v>
      </c>
      <c r="D5308">
        <v>0</v>
      </c>
      <c r="E5308">
        <v>1</v>
      </c>
      <c r="F5308">
        <v>0</v>
      </c>
      <c r="G5308">
        <v>1</v>
      </c>
    </row>
    <row r="5309" spans="1:7" x14ac:dyDescent="0.2">
      <c r="A5309" t="s">
        <v>4312</v>
      </c>
      <c r="B5309">
        <v>0</v>
      </c>
      <c r="C5309">
        <v>0</v>
      </c>
      <c r="D5309">
        <v>0</v>
      </c>
      <c r="E5309">
        <v>0</v>
      </c>
      <c r="F5309">
        <v>0</v>
      </c>
      <c r="G5309">
        <v>0</v>
      </c>
    </row>
    <row r="5310" spans="1:7" x14ac:dyDescent="0.2">
      <c r="A5310" t="s">
        <v>4313</v>
      </c>
      <c r="B5310">
        <v>0</v>
      </c>
      <c r="C5310">
        <v>0</v>
      </c>
      <c r="D5310">
        <v>0</v>
      </c>
      <c r="E5310">
        <v>0</v>
      </c>
      <c r="F5310">
        <v>0</v>
      </c>
      <c r="G5310">
        <v>0</v>
      </c>
    </row>
    <row r="5311" spans="1:7" x14ac:dyDescent="0.2">
      <c r="A5311" t="s">
        <v>4314</v>
      </c>
      <c r="B5311">
        <v>0</v>
      </c>
      <c r="C5311">
        <v>0</v>
      </c>
      <c r="D5311">
        <v>0</v>
      </c>
      <c r="E5311">
        <v>0</v>
      </c>
      <c r="F5311">
        <v>0</v>
      </c>
      <c r="G5311">
        <v>0</v>
      </c>
    </row>
    <row r="5312" spans="1:7" x14ac:dyDescent="0.2">
      <c r="A5312" t="s">
        <v>4315</v>
      </c>
      <c r="B5312">
        <v>0</v>
      </c>
      <c r="C5312">
        <v>0</v>
      </c>
      <c r="D5312">
        <v>0</v>
      </c>
      <c r="E5312">
        <v>0</v>
      </c>
      <c r="F5312">
        <v>0</v>
      </c>
      <c r="G5312">
        <v>0</v>
      </c>
    </row>
    <row r="5313" spans="1:7" x14ac:dyDescent="0.2">
      <c r="A5313" t="s">
        <v>4316</v>
      </c>
      <c r="B5313">
        <v>0</v>
      </c>
      <c r="C5313">
        <v>0</v>
      </c>
      <c r="D5313">
        <v>0</v>
      </c>
      <c r="E5313">
        <v>0</v>
      </c>
      <c r="F5313">
        <v>0</v>
      </c>
      <c r="G5313">
        <v>0</v>
      </c>
    </row>
    <row r="5314" spans="1:7" x14ac:dyDescent="0.2">
      <c r="A5314" t="s">
        <v>4317</v>
      </c>
      <c r="B5314">
        <v>0</v>
      </c>
      <c r="C5314">
        <v>0</v>
      </c>
      <c r="D5314">
        <v>0</v>
      </c>
      <c r="E5314">
        <v>0</v>
      </c>
      <c r="F5314">
        <v>0</v>
      </c>
      <c r="G5314">
        <v>0</v>
      </c>
    </row>
    <row r="5315" spans="1:7" x14ac:dyDescent="0.2">
      <c r="A5315" t="s">
        <v>4318</v>
      </c>
      <c r="B5315">
        <v>0</v>
      </c>
      <c r="C5315">
        <v>0</v>
      </c>
      <c r="D5315">
        <v>0</v>
      </c>
      <c r="E5315">
        <v>0</v>
      </c>
      <c r="F5315">
        <v>0</v>
      </c>
      <c r="G5315">
        <v>0</v>
      </c>
    </row>
    <row r="5316" spans="1:7" x14ac:dyDescent="0.2">
      <c r="A5316" t="s">
        <v>4319</v>
      </c>
      <c r="B5316">
        <v>0</v>
      </c>
      <c r="C5316">
        <v>0</v>
      </c>
      <c r="D5316">
        <v>0</v>
      </c>
      <c r="E5316">
        <v>0</v>
      </c>
      <c r="F5316">
        <v>0</v>
      </c>
      <c r="G5316">
        <v>0</v>
      </c>
    </row>
    <row r="5317" spans="1:7" x14ac:dyDescent="0.2">
      <c r="A5317" t="s">
        <v>4320</v>
      </c>
      <c r="B5317">
        <v>0</v>
      </c>
      <c r="C5317">
        <v>0</v>
      </c>
      <c r="D5317">
        <v>0</v>
      </c>
      <c r="E5317">
        <v>0</v>
      </c>
      <c r="F5317">
        <v>0</v>
      </c>
      <c r="G5317">
        <v>0</v>
      </c>
    </row>
    <row r="5318" spans="1:7" x14ac:dyDescent="0.2">
      <c r="A5318" t="s">
        <v>4321</v>
      </c>
      <c r="B5318">
        <v>0</v>
      </c>
      <c r="C5318">
        <v>0</v>
      </c>
      <c r="D5318">
        <v>0</v>
      </c>
      <c r="E5318">
        <v>0</v>
      </c>
      <c r="F5318">
        <v>0</v>
      </c>
      <c r="G5318">
        <v>0</v>
      </c>
    </row>
    <row r="5319" spans="1:7" x14ac:dyDescent="0.2">
      <c r="A5319" t="s">
        <v>4322</v>
      </c>
      <c r="B5319">
        <v>0</v>
      </c>
      <c r="C5319">
        <v>0</v>
      </c>
      <c r="D5319">
        <v>0</v>
      </c>
      <c r="E5319">
        <v>0</v>
      </c>
      <c r="F5319">
        <v>0</v>
      </c>
      <c r="G5319">
        <v>0</v>
      </c>
    </row>
    <row r="5320" spans="1:7" x14ac:dyDescent="0.2">
      <c r="A5320" t="s">
        <v>4323</v>
      </c>
      <c r="B5320">
        <v>0</v>
      </c>
      <c r="C5320">
        <v>0</v>
      </c>
      <c r="D5320">
        <v>0</v>
      </c>
      <c r="E5320">
        <v>0</v>
      </c>
      <c r="F5320">
        <v>0</v>
      </c>
      <c r="G5320">
        <v>0</v>
      </c>
    </row>
    <row r="5321" spans="1:7" x14ac:dyDescent="0.2">
      <c r="A5321" t="s">
        <v>4324</v>
      </c>
      <c r="B5321">
        <v>0</v>
      </c>
      <c r="C5321">
        <v>0</v>
      </c>
      <c r="D5321">
        <v>0</v>
      </c>
      <c r="E5321">
        <v>0</v>
      </c>
      <c r="F5321">
        <v>0</v>
      </c>
      <c r="G5321">
        <v>0</v>
      </c>
    </row>
    <row r="5322" spans="1:7" x14ac:dyDescent="0.2">
      <c r="A5322" t="s">
        <v>4325</v>
      </c>
      <c r="B5322">
        <v>0</v>
      </c>
      <c r="C5322">
        <v>0</v>
      </c>
      <c r="D5322">
        <v>0</v>
      </c>
      <c r="E5322">
        <v>0</v>
      </c>
      <c r="F5322">
        <v>0</v>
      </c>
      <c r="G5322">
        <v>0</v>
      </c>
    </row>
    <row r="5323" spans="1:7" x14ac:dyDescent="0.2">
      <c r="A5323" t="s">
        <v>4326</v>
      </c>
      <c r="B5323">
        <v>0</v>
      </c>
      <c r="C5323">
        <v>0</v>
      </c>
      <c r="D5323">
        <v>0</v>
      </c>
      <c r="E5323">
        <v>0</v>
      </c>
      <c r="F5323">
        <v>0</v>
      </c>
      <c r="G5323">
        <v>0</v>
      </c>
    </row>
    <row r="5324" spans="1:7" x14ac:dyDescent="0.2">
      <c r="A5324" t="s">
        <v>4327</v>
      </c>
      <c r="B5324">
        <v>0</v>
      </c>
      <c r="C5324">
        <v>0</v>
      </c>
      <c r="D5324">
        <v>0</v>
      </c>
      <c r="E5324">
        <v>0</v>
      </c>
      <c r="F5324">
        <v>0</v>
      </c>
      <c r="G5324">
        <v>0</v>
      </c>
    </row>
    <row r="5325" spans="1:7" x14ac:dyDescent="0.2">
      <c r="A5325" t="s">
        <v>4328</v>
      </c>
      <c r="B5325">
        <v>0</v>
      </c>
      <c r="C5325">
        <v>0</v>
      </c>
      <c r="D5325">
        <v>0</v>
      </c>
      <c r="E5325">
        <v>0</v>
      </c>
      <c r="F5325">
        <v>0</v>
      </c>
      <c r="G5325">
        <v>0</v>
      </c>
    </row>
    <row r="5326" spans="1:7" x14ac:dyDescent="0.2">
      <c r="A5326" t="s">
        <v>4329</v>
      </c>
      <c r="B5326">
        <v>0</v>
      </c>
      <c r="C5326">
        <v>0</v>
      </c>
      <c r="D5326">
        <v>0</v>
      </c>
      <c r="E5326">
        <v>0</v>
      </c>
      <c r="F5326">
        <v>0</v>
      </c>
      <c r="G5326">
        <v>0</v>
      </c>
    </row>
    <row r="5327" spans="1:7" x14ac:dyDescent="0.2">
      <c r="A5327" t="s">
        <v>4330</v>
      </c>
      <c r="B5327">
        <v>0</v>
      </c>
      <c r="C5327">
        <v>0</v>
      </c>
      <c r="D5327">
        <v>0</v>
      </c>
      <c r="E5327">
        <v>0</v>
      </c>
      <c r="F5327">
        <v>0</v>
      </c>
      <c r="G5327">
        <v>0</v>
      </c>
    </row>
    <row r="5328" spans="1:7" x14ac:dyDescent="0.2">
      <c r="A5328" t="s">
        <v>4331</v>
      </c>
      <c r="B5328">
        <v>0</v>
      </c>
      <c r="C5328">
        <v>0</v>
      </c>
      <c r="D5328">
        <v>0</v>
      </c>
      <c r="E5328">
        <v>0</v>
      </c>
      <c r="F5328">
        <v>0</v>
      </c>
      <c r="G5328">
        <v>0</v>
      </c>
    </row>
    <row r="5329" spans="1:7" x14ac:dyDescent="0.2">
      <c r="A5329" t="s">
        <v>4332</v>
      </c>
      <c r="B5329">
        <v>0</v>
      </c>
      <c r="C5329">
        <v>0</v>
      </c>
      <c r="D5329">
        <v>0</v>
      </c>
      <c r="E5329">
        <v>0</v>
      </c>
      <c r="F5329">
        <v>0</v>
      </c>
      <c r="G5329">
        <v>0</v>
      </c>
    </row>
    <row r="5330" spans="1:7" x14ac:dyDescent="0.2">
      <c r="A5330" t="s">
        <v>4333</v>
      </c>
      <c r="B5330">
        <v>0</v>
      </c>
      <c r="C5330">
        <v>0</v>
      </c>
      <c r="D5330">
        <v>0</v>
      </c>
      <c r="E5330">
        <v>0</v>
      </c>
      <c r="F5330">
        <v>0</v>
      </c>
      <c r="G5330">
        <v>0</v>
      </c>
    </row>
    <row r="5331" spans="1:7" x14ac:dyDescent="0.2">
      <c r="A5331" t="s">
        <v>4334</v>
      </c>
      <c r="B5331">
        <v>0</v>
      </c>
      <c r="C5331">
        <v>0</v>
      </c>
      <c r="D5331">
        <v>0</v>
      </c>
      <c r="E5331">
        <v>0</v>
      </c>
      <c r="F5331">
        <v>0</v>
      </c>
      <c r="G5331">
        <v>0</v>
      </c>
    </row>
    <row r="5332" spans="1:7" x14ac:dyDescent="0.2">
      <c r="A5332" t="s">
        <v>4335</v>
      </c>
      <c r="B5332">
        <v>0</v>
      </c>
      <c r="C5332">
        <v>0</v>
      </c>
      <c r="D5332">
        <v>0</v>
      </c>
      <c r="E5332">
        <v>0</v>
      </c>
      <c r="F5332">
        <v>0</v>
      </c>
      <c r="G5332">
        <v>0</v>
      </c>
    </row>
    <row r="5333" spans="1:7" x14ac:dyDescent="0.2">
      <c r="A5333" t="s">
        <v>4336</v>
      </c>
      <c r="B5333">
        <v>0</v>
      </c>
      <c r="C5333">
        <v>0</v>
      </c>
      <c r="D5333">
        <v>0</v>
      </c>
      <c r="E5333">
        <v>0</v>
      </c>
      <c r="F5333">
        <v>0</v>
      </c>
      <c r="G5333">
        <v>0</v>
      </c>
    </row>
    <row r="5334" spans="1:7" x14ac:dyDescent="0.2">
      <c r="A5334" t="s">
        <v>4337</v>
      </c>
      <c r="B5334">
        <v>0</v>
      </c>
      <c r="C5334">
        <v>0</v>
      </c>
      <c r="D5334">
        <v>0</v>
      </c>
      <c r="E5334">
        <v>0</v>
      </c>
      <c r="F5334">
        <v>0</v>
      </c>
      <c r="G5334">
        <v>0</v>
      </c>
    </row>
    <row r="5335" spans="1:7" x14ac:dyDescent="0.2">
      <c r="A5335" t="s">
        <v>4338</v>
      </c>
      <c r="B5335">
        <v>0</v>
      </c>
      <c r="C5335">
        <v>0</v>
      </c>
      <c r="D5335">
        <v>0</v>
      </c>
      <c r="E5335">
        <v>0</v>
      </c>
      <c r="F5335">
        <v>0</v>
      </c>
      <c r="G5335">
        <v>0</v>
      </c>
    </row>
    <row r="5336" spans="1:7" x14ac:dyDescent="0.2">
      <c r="A5336" t="s">
        <v>4339</v>
      </c>
      <c r="B5336">
        <v>0</v>
      </c>
      <c r="C5336">
        <v>0</v>
      </c>
      <c r="D5336">
        <v>0</v>
      </c>
      <c r="E5336">
        <v>0</v>
      </c>
      <c r="F5336">
        <v>0</v>
      </c>
      <c r="G5336">
        <v>0</v>
      </c>
    </row>
    <row r="5337" spans="1:7" x14ac:dyDescent="0.2">
      <c r="A5337" t="s">
        <v>4340</v>
      </c>
      <c r="B5337">
        <v>0</v>
      </c>
      <c r="C5337">
        <v>0</v>
      </c>
      <c r="D5337">
        <v>0</v>
      </c>
      <c r="E5337">
        <v>0</v>
      </c>
      <c r="F5337">
        <v>0</v>
      </c>
      <c r="G5337">
        <v>0</v>
      </c>
    </row>
    <row r="5338" spans="1:7" x14ac:dyDescent="0.2">
      <c r="A5338" t="s">
        <v>4341</v>
      </c>
      <c r="B5338">
        <v>0</v>
      </c>
      <c r="C5338">
        <v>0</v>
      </c>
      <c r="D5338">
        <v>0</v>
      </c>
      <c r="E5338">
        <v>0</v>
      </c>
      <c r="F5338">
        <v>0</v>
      </c>
      <c r="G5338">
        <v>0</v>
      </c>
    </row>
    <row r="5339" spans="1:7" x14ac:dyDescent="0.2">
      <c r="A5339" t="s">
        <v>4342</v>
      </c>
      <c r="B5339">
        <v>0</v>
      </c>
      <c r="C5339">
        <v>0</v>
      </c>
      <c r="D5339">
        <v>0</v>
      </c>
      <c r="E5339">
        <v>0</v>
      </c>
      <c r="F5339">
        <v>0</v>
      </c>
      <c r="G5339">
        <v>0</v>
      </c>
    </row>
    <row r="5340" spans="1:7" x14ac:dyDescent="0.2">
      <c r="A5340" t="s">
        <v>4343</v>
      </c>
      <c r="B5340">
        <v>0</v>
      </c>
      <c r="C5340">
        <v>0</v>
      </c>
      <c r="D5340">
        <v>0</v>
      </c>
      <c r="E5340">
        <v>0</v>
      </c>
      <c r="F5340">
        <v>0</v>
      </c>
      <c r="G5340">
        <v>0</v>
      </c>
    </row>
    <row r="5341" spans="1:7" x14ac:dyDescent="0.2">
      <c r="A5341" t="s">
        <v>1728</v>
      </c>
      <c r="B5341">
        <v>0</v>
      </c>
      <c r="C5341">
        <v>0</v>
      </c>
      <c r="D5341">
        <v>0</v>
      </c>
      <c r="E5341">
        <v>0</v>
      </c>
      <c r="F5341">
        <v>0</v>
      </c>
      <c r="G5341">
        <v>0</v>
      </c>
    </row>
    <row r="5342" spans="1:7" x14ac:dyDescent="0.2">
      <c r="A5342" t="s">
        <v>1730</v>
      </c>
      <c r="B5342">
        <v>0</v>
      </c>
      <c r="C5342">
        <v>1</v>
      </c>
      <c r="D5342">
        <v>14</v>
      </c>
      <c r="E5342">
        <v>8</v>
      </c>
      <c r="F5342">
        <v>36</v>
      </c>
      <c r="G5342">
        <v>60</v>
      </c>
    </row>
    <row r="5343" spans="1:7" x14ac:dyDescent="0.2">
      <c r="A5343" t="s">
        <v>1733</v>
      </c>
      <c r="B5343">
        <v>0</v>
      </c>
      <c r="C5343">
        <v>0</v>
      </c>
      <c r="D5343">
        <v>0</v>
      </c>
      <c r="E5343">
        <v>0</v>
      </c>
      <c r="F5343">
        <v>0</v>
      </c>
      <c r="G5343">
        <v>0</v>
      </c>
    </row>
    <row r="5344" spans="1:7" x14ac:dyDescent="0.2">
      <c r="A5344" t="s">
        <v>1738</v>
      </c>
      <c r="B5344">
        <v>0</v>
      </c>
      <c r="C5344">
        <v>0</v>
      </c>
      <c r="D5344">
        <v>0</v>
      </c>
      <c r="E5344">
        <v>0</v>
      </c>
      <c r="F5344">
        <v>0</v>
      </c>
      <c r="G5344">
        <v>0</v>
      </c>
    </row>
    <row r="5345" spans="1:7" x14ac:dyDescent="0.2">
      <c r="A5345" t="s">
        <v>1744</v>
      </c>
      <c r="B5345">
        <v>0</v>
      </c>
      <c r="C5345">
        <v>0</v>
      </c>
      <c r="D5345">
        <v>0</v>
      </c>
      <c r="E5345">
        <v>0</v>
      </c>
      <c r="F5345">
        <v>0</v>
      </c>
      <c r="G5345">
        <v>0</v>
      </c>
    </row>
    <row r="5346" spans="1:7" x14ac:dyDescent="0.2">
      <c r="A5346" t="s">
        <v>1747</v>
      </c>
      <c r="B5346">
        <v>0</v>
      </c>
      <c r="C5346">
        <v>0</v>
      </c>
      <c r="D5346">
        <v>0</v>
      </c>
      <c r="E5346">
        <v>0</v>
      </c>
      <c r="F5346">
        <v>0</v>
      </c>
      <c r="G5346">
        <v>0</v>
      </c>
    </row>
    <row r="5347" spans="1:7" x14ac:dyDescent="0.2">
      <c r="A5347" t="s">
        <v>1751</v>
      </c>
      <c r="B5347">
        <v>0</v>
      </c>
      <c r="C5347">
        <v>0</v>
      </c>
      <c r="D5347">
        <v>0</v>
      </c>
      <c r="E5347">
        <v>0</v>
      </c>
      <c r="F5347">
        <v>0</v>
      </c>
      <c r="G5347">
        <v>0</v>
      </c>
    </row>
    <row r="5348" spans="1:7" x14ac:dyDescent="0.2">
      <c r="A5348" t="s">
        <v>1755</v>
      </c>
      <c r="B5348">
        <v>0</v>
      </c>
      <c r="C5348">
        <v>0</v>
      </c>
      <c r="D5348">
        <v>1</v>
      </c>
      <c r="E5348">
        <v>15</v>
      </c>
      <c r="F5348">
        <v>11</v>
      </c>
      <c r="G5348">
        <v>28</v>
      </c>
    </row>
    <row r="5349" spans="1:7" x14ac:dyDescent="0.2">
      <c r="A5349" t="s">
        <v>1757</v>
      </c>
      <c r="B5349">
        <v>0</v>
      </c>
      <c r="C5349">
        <v>0</v>
      </c>
      <c r="D5349">
        <v>2</v>
      </c>
      <c r="E5349">
        <v>14</v>
      </c>
      <c r="F5349">
        <v>12</v>
      </c>
      <c r="G5349">
        <v>29</v>
      </c>
    </row>
    <row r="5350" spans="1:7" x14ac:dyDescent="0.2">
      <c r="A5350" t="s">
        <v>1761</v>
      </c>
      <c r="B5350">
        <v>0</v>
      </c>
      <c r="C5350">
        <v>0</v>
      </c>
      <c r="D5350">
        <v>0</v>
      </c>
      <c r="E5350">
        <v>0</v>
      </c>
      <c r="F5350">
        <v>0</v>
      </c>
      <c r="G5350">
        <v>0</v>
      </c>
    </row>
    <row r="5351" spans="1:7" x14ac:dyDescent="0.2">
      <c r="A5351" t="s">
        <v>1764</v>
      </c>
      <c r="B5351">
        <v>0</v>
      </c>
      <c r="C5351">
        <v>0</v>
      </c>
      <c r="D5351">
        <v>0</v>
      </c>
      <c r="E5351">
        <v>0</v>
      </c>
      <c r="F5351">
        <v>0</v>
      </c>
      <c r="G5351">
        <v>0</v>
      </c>
    </row>
    <row r="5352" spans="1:7" x14ac:dyDescent="0.2">
      <c r="A5352" t="s">
        <v>1770</v>
      </c>
      <c r="B5352">
        <v>1</v>
      </c>
      <c r="C5352">
        <v>5</v>
      </c>
      <c r="D5352">
        <v>26</v>
      </c>
      <c r="E5352">
        <v>221</v>
      </c>
      <c r="F5352">
        <v>0</v>
      </c>
      <c r="G5352">
        <v>252</v>
      </c>
    </row>
    <row r="5353" spans="1:7" x14ac:dyDescent="0.2">
      <c r="A5353" t="s">
        <v>1772</v>
      </c>
      <c r="B5353">
        <v>0</v>
      </c>
      <c r="C5353">
        <v>1</v>
      </c>
      <c r="D5353">
        <v>8</v>
      </c>
      <c r="E5353">
        <v>92</v>
      </c>
      <c r="F5353">
        <v>0</v>
      </c>
      <c r="G5353">
        <v>101</v>
      </c>
    </row>
    <row r="5354" spans="1:7" x14ac:dyDescent="0.2">
      <c r="A5354" t="s">
        <v>1774</v>
      </c>
      <c r="B5354">
        <v>0</v>
      </c>
      <c r="C5354">
        <v>0</v>
      </c>
      <c r="D5354">
        <v>2</v>
      </c>
      <c r="E5354">
        <v>18</v>
      </c>
      <c r="F5354">
        <v>0</v>
      </c>
      <c r="G5354">
        <v>21</v>
      </c>
    </row>
    <row r="5355" spans="1:7" x14ac:dyDescent="0.2">
      <c r="A5355" t="s">
        <v>1777</v>
      </c>
      <c r="B5355">
        <v>0</v>
      </c>
      <c r="C5355">
        <v>0</v>
      </c>
      <c r="D5355">
        <v>0</v>
      </c>
      <c r="E5355">
        <v>0</v>
      </c>
      <c r="F5355">
        <v>0</v>
      </c>
      <c r="G5355">
        <v>0</v>
      </c>
    </row>
    <row r="5356" spans="1:7" x14ac:dyDescent="0.2">
      <c r="A5356" t="s">
        <v>1782</v>
      </c>
      <c r="B5356">
        <v>0</v>
      </c>
      <c r="C5356">
        <v>0</v>
      </c>
      <c r="D5356">
        <v>0</v>
      </c>
      <c r="E5356">
        <v>0</v>
      </c>
      <c r="F5356">
        <v>0</v>
      </c>
      <c r="G5356">
        <v>0</v>
      </c>
    </row>
    <row r="5357" spans="1:7" x14ac:dyDescent="0.2">
      <c r="A5357" t="s">
        <v>1274</v>
      </c>
      <c r="B5357">
        <v>0</v>
      </c>
      <c r="C5357">
        <v>0</v>
      </c>
      <c r="D5357">
        <v>0</v>
      </c>
      <c r="E5357">
        <v>4</v>
      </c>
      <c r="F5357">
        <v>0</v>
      </c>
      <c r="G5357">
        <v>4</v>
      </c>
    </row>
    <row r="5358" spans="1:7" x14ac:dyDescent="0.2">
      <c r="A5358" t="s">
        <v>1277</v>
      </c>
      <c r="B5358">
        <v>0</v>
      </c>
      <c r="C5358">
        <v>0</v>
      </c>
      <c r="D5358">
        <v>0</v>
      </c>
      <c r="E5358">
        <v>32</v>
      </c>
      <c r="F5358">
        <v>1</v>
      </c>
      <c r="G5358">
        <v>32</v>
      </c>
    </row>
    <row r="5359" spans="1:7" x14ac:dyDescent="0.2">
      <c r="A5359" t="s">
        <v>1798</v>
      </c>
      <c r="B5359">
        <v>0</v>
      </c>
      <c r="C5359">
        <v>0</v>
      </c>
      <c r="D5359">
        <v>0</v>
      </c>
      <c r="E5359">
        <v>0</v>
      </c>
      <c r="F5359">
        <v>0</v>
      </c>
      <c r="G5359">
        <v>0</v>
      </c>
    </row>
    <row r="5360" spans="1:7" x14ac:dyDescent="0.2">
      <c r="A5360" t="s">
        <v>1803</v>
      </c>
      <c r="B5360">
        <v>0</v>
      </c>
      <c r="C5360">
        <v>0</v>
      </c>
      <c r="D5360">
        <v>0</v>
      </c>
      <c r="E5360">
        <v>0</v>
      </c>
      <c r="F5360">
        <v>0</v>
      </c>
      <c r="G5360">
        <v>0</v>
      </c>
    </row>
    <row r="5361" spans="1:7" x14ac:dyDescent="0.2">
      <c r="A5361" t="s">
        <v>1808</v>
      </c>
      <c r="B5361">
        <v>0</v>
      </c>
      <c r="C5361">
        <v>0</v>
      </c>
      <c r="D5361">
        <v>0</v>
      </c>
      <c r="E5361">
        <v>0</v>
      </c>
      <c r="F5361">
        <v>0</v>
      </c>
      <c r="G5361">
        <v>0</v>
      </c>
    </row>
    <row r="5362" spans="1:7" x14ac:dyDescent="0.2">
      <c r="A5362" t="s">
        <v>1813</v>
      </c>
      <c r="B5362">
        <v>0</v>
      </c>
      <c r="C5362">
        <v>0</v>
      </c>
      <c r="D5362">
        <v>0</v>
      </c>
      <c r="E5362">
        <v>0</v>
      </c>
      <c r="F5362">
        <v>0</v>
      </c>
      <c r="G5362">
        <v>0</v>
      </c>
    </row>
    <row r="5363" spans="1:7" x14ac:dyDescent="0.2">
      <c r="A5363" t="s">
        <v>1819</v>
      </c>
      <c r="B5363">
        <v>0</v>
      </c>
      <c r="C5363">
        <v>0</v>
      </c>
      <c r="D5363">
        <v>0</v>
      </c>
      <c r="E5363">
        <v>0</v>
      </c>
      <c r="F5363">
        <v>0</v>
      </c>
      <c r="G5363">
        <v>0</v>
      </c>
    </row>
    <row r="5364" spans="1:7" x14ac:dyDescent="0.2">
      <c r="A5364" t="s">
        <v>1826</v>
      </c>
      <c r="B5364">
        <v>0</v>
      </c>
      <c r="C5364">
        <v>0</v>
      </c>
      <c r="D5364">
        <v>0</v>
      </c>
      <c r="E5364">
        <v>0</v>
      </c>
      <c r="F5364">
        <v>0</v>
      </c>
      <c r="G5364">
        <v>0</v>
      </c>
    </row>
    <row r="5365" spans="1:7" x14ac:dyDescent="0.2">
      <c r="A5365" t="s">
        <v>1830</v>
      </c>
      <c r="B5365">
        <v>0</v>
      </c>
      <c r="C5365">
        <v>0</v>
      </c>
      <c r="D5365">
        <v>0</v>
      </c>
      <c r="E5365">
        <v>0</v>
      </c>
      <c r="F5365">
        <v>0</v>
      </c>
      <c r="G5365">
        <v>0</v>
      </c>
    </row>
    <row r="5366" spans="1:7" x14ac:dyDescent="0.2">
      <c r="A5366" t="s">
        <v>1836</v>
      </c>
      <c r="B5366">
        <v>0</v>
      </c>
      <c r="C5366">
        <v>0</v>
      </c>
      <c r="D5366">
        <v>0</v>
      </c>
      <c r="E5366">
        <v>0</v>
      </c>
      <c r="F5366">
        <v>0</v>
      </c>
      <c r="G5366">
        <v>0</v>
      </c>
    </row>
    <row r="5367" spans="1:7" x14ac:dyDescent="0.2">
      <c r="A5367" t="s">
        <v>1841</v>
      </c>
      <c r="B5367">
        <v>0</v>
      </c>
      <c r="C5367">
        <v>0</v>
      </c>
      <c r="D5367">
        <v>0</v>
      </c>
      <c r="E5367">
        <v>0</v>
      </c>
      <c r="F5367">
        <v>0</v>
      </c>
      <c r="G5367">
        <v>0</v>
      </c>
    </row>
    <row r="5368" spans="1:7" x14ac:dyDescent="0.2">
      <c r="A5368" t="s">
        <v>1842</v>
      </c>
      <c r="B5368">
        <v>0</v>
      </c>
      <c r="C5368">
        <v>50</v>
      </c>
      <c r="D5368">
        <v>99</v>
      </c>
      <c r="E5368">
        <v>190</v>
      </c>
      <c r="F5368">
        <v>0</v>
      </c>
      <c r="G5368">
        <v>339</v>
      </c>
    </row>
    <row r="5369" spans="1:7" x14ac:dyDescent="0.2">
      <c r="A5369" t="s">
        <v>1843</v>
      </c>
      <c r="B5369">
        <v>0</v>
      </c>
      <c r="C5369">
        <v>0</v>
      </c>
      <c r="D5369">
        <v>0</v>
      </c>
      <c r="E5369">
        <v>0</v>
      </c>
      <c r="F5369">
        <v>0</v>
      </c>
      <c r="G5369">
        <v>0</v>
      </c>
    </row>
    <row r="5370" spans="1:7" x14ac:dyDescent="0.2">
      <c r="A5370" t="s">
        <v>1846</v>
      </c>
      <c r="B5370">
        <v>0</v>
      </c>
      <c r="C5370">
        <v>0</v>
      </c>
      <c r="D5370">
        <v>0</v>
      </c>
      <c r="E5370">
        <v>0</v>
      </c>
      <c r="F5370">
        <v>0</v>
      </c>
      <c r="G5370">
        <v>0</v>
      </c>
    </row>
    <row r="5371" spans="1:7" x14ac:dyDescent="0.2">
      <c r="A5371" t="s">
        <v>1851</v>
      </c>
      <c r="B5371">
        <v>0</v>
      </c>
      <c r="C5371">
        <v>0</v>
      </c>
      <c r="D5371">
        <v>0</v>
      </c>
      <c r="E5371">
        <v>73</v>
      </c>
      <c r="F5371">
        <v>8</v>
      </c>
      <c r="G5371">
        <v>81</v>
      </c>
    </row>
    <row r="5372" spans="1:7" x14ac:dyDescent="0.2">
      <c r="A5372" t="s">
        <v>1857</v>
      </c>
      <c r="B5372">
        <v>0</v>
      </c>
      <c r="C5372">
        <v>0</v>
      </c>
      <c r="D5372">
        <v>0</v>
      </c>
      <c r="E5372">
        <v>0</v>
      </c>
      <c r="F5372">
        <v>0</v>
      </c>
      <c r="G5372">
        <v>0</v>
      </c>
    </row>
    <row r="5373" spans="1:7" x14ac:dyDescent="0.2">
      <c r="A5373" t="s">
        <v>1862</v>
      </c>
      <c r="B5373">
        <v>0</v>
      </c>
      <c r="C5373">
        <v>0</v>
      </c>
      <c r="D5373">
        <v>0</v>
      </c>
      <c r="E5373">
        <v>0</v>
      </c>
      <c r="F5373">
        <v>0</v>
      </c>
      <c r="G5373">
        <v>0</v>
      </c>
    </row>
    <row r="5374" spans="1:7" x14ac:dyDescent="0.2">
      <c r="A5374" t="s">
        <v>1867</v>
      </c>
      <c r="B5374">
        <v>0</v>
      </c>
      <c r="C5374">
        <v>0</v>
      </c>
      <c r="D5374">
        <v>0</v>
      </c>
      <c r="E5374">
        <v>0</v>
      </c>
      <c r="F5374">
        <v>0</v>
      </c>
      <c r="G5374">
        <v>0</v>
      </c>
    </row>
    <row r="5375" spans="1:7" x14ac:dyDescent="0.2">
      <c r="A5375" t="s">
        <v>1870</v>
      </c>
      <c r="B5375">
        <v>0</v>
      </c>
      <c r="C5375">
        <v>0</v>
      </c>
      <c r="D5375">
        <v>0</v>
      </c>
      <c r="E5375">
        <v>0</v>
      </c>
      <c r="F5375">
        <v>0</v>
      </c>
      <c r="G5375">
        <v>0</v>
      </c>
    </row>
    <row r="5376" spans="1:7" x14ac:dyDescent="0.2">
      <c r="A5376" t="s">
        <v>1874</v>
      </c>
      <c r="B5376">
        <v>0</v>
      </c>
      <c r="C5376">
        <v>0</v>
      </c>
      <c r="D5376">
        <v>10</v>
      </c>
      <c r="E5376">
        <v>23</v>
      </c>
      <c r="F5376">
        <v>0</v>
      </c>
      <c r="G5376">
        <v>33</v>
      </c>
    </row>
    <row r="5377" spans="1:7" x14ac:dyDescent="0.2">
      <c r="A5377" t="s">
        <v>1876</v>
      </c>
      <c r="B5377">
        <v>0</v>
      </c>
      <c r="C5377">
        <v>0</v>
      </c>
      <c r="D5377">
        <v>0</v>
      </c>
      <c r="E5377">
        <v>0</v>
      </c>
      <c r="F5377">
        <v>0</v>
      </c>
      <c r="G5377">
        <v>0</v>
      </c>
    </row>
    <row r="5378" spans="1:7" x14ac:dyDescent="0.2">
      <c r="A5378" t="s">
        <v>1881</v>
      </c>
      <c r="B5378">
        <v>0</v>
      </c>
      <c r="C5378">
        <v>0</v>
      </c>
      <c r="D5378">
        <v>0</v>
      </c>
      <c r="E5378">
        <v>0</v>
      </c>
      <c r="F5378">
        <v>0</v>
      </c>
      <c r="G5378">
        <v>0</v>
      </c>
    </row>
    <row r="5379" spans="1:7" x14ac:dyDescent="0.2">
      <c r="A5379" t="s">
        <v>1885</v>
      </c>
      <c r="B5379">
        <v>310</v>
      </c>
      <c r="C5379">
        <v>407</v>
      </c>
      <c r="D5379">
        <v>603</v>
      </c>
      <c r="E5379">
        <v>1437</v>
      </c>
      <c r="F5379">
        <v>56</v>
      </c>
      <c r="G5379">
        <v>2813</v>
      </c>
    </row>
    <row r="5380" spans="1:7" x14ac:dyDescent="0.2">
      <c r="A5380" t="s">
        <v>1887</v>
      </c>
      <c r="B5380">
        <v>0</v>
      </c>
      <c r="C5380">
        <v>0</v>
      </c>
      <c r="D5380">
        <v>0</v>
      </c>
      <c r="E5380">
        <v>3</v>
      </c>
      <c r="F5380">
        <v>33</v>
      </c>
      <c r="G5380">
        <v>36</v>
      </c>
    </row>
    <row r="5381" spans="1:7" x14ac:dyDescent="0.2">
      <c r="A5381" t="s">
        <v>1893</v>
      </c>
      <c r="B5381">
        <v>0</v>
      </c>
      <c r="C5381">
        <v>0</v>
      </c>
      <c r="D5381">
        <v>0</v>
      </c>
      <c r="E5381">
        <v>181</v>
      </c>
      <c r="F5381">
        <v>65</v>
      </c>
      <c r="G5381">
        <v>245</v>
      </c>
    </row>
    <row r="5382" spans="1:7" x14ac:dyDescent="0.2">
      <c r="A5382" t="s">
        <v>1899</v>
      </c>
      <c r="B5382">
        <v>0</v>
      </c>
      <c r="C5382">
        <v>0</v>
      </c>
      <c r="D5382">
        <v>0</v>
      </c>
      <c r="E5382">
        <v>0</v>
      </c>
      <c r="F5382">
        <v>0</v>
      </c>
      <c r="G5382">
        <v>0</v>
      </c>
    </row>
    <row r="5383" spans="1:7" x14ac:dyDescent="0.2">
      <c r="A5383" t="s">
        <v>1906</v>
      </c>
      <c r="B5383">
        <v>0</v>
      </c>
      <c r="C5383">
        <v>0</v>
      </c>
      <c r="D5383">
        <v>0</v>
      </c>
      <c r="E5383">
        <v>201</v>
      </c>
      <c r="F5383">
        <v>2</v>
      </c>
      <c r="G5383">
        <v>203</v>
      </c>
    </row>
    <row r="5384" spans="1:7" x14ac:dyDescent="0.2">
      <c r="A5384" t="s">
        <v>1911</v>
      </c>
      <c r="B5384">
        <v>0</v>
      </c>
      <c r="C5384">
        <v>0</v>
      </c>
      <c r="D5384">
        <v>0</v>
      </c>
      <c r="E5384">
        <v>0</v>
      </c>
      <c r="F5384">
        <v>0</v>
      </c>
      <c r="G5384">
        <v>0</v>
      </c>
    </row>
    <row r="5385" spans="1:7" x14ac:dyDescent="0.2">
      <c r="A5385" t="s">
        <v>1917</v>
      </c>
      <c r="B5385">
        <v>0</v>
      </c>
      <c r="C5385">
        <v>0</v>
      </c>
      <c r="D5385">
        <v>0</v>
      </c>
      <c r="E5385">
        <v>175</v>
      </c>
      <c r="F5385">
        <v>164</v>
      </c>
      <c r="G5385">
        <v>339</v>
      </c>
    </row>
    <row r="5386" spans="1:7" x14ac:dyDescent="0.2">
      <c r="A5386" t="s">
        <v>1922</v>
      </c>
      <c r="B5386">
        <v>0</v>
      </c>
      <c r="C5386">
        <v>0</v>
      </c>
      <c r="D5386">
        <v>0</v>
      </c>
      <c r="E5386">
        <v>197</v>
      </c>
      <c r="F5386">
        <v>107</v>
      </c>
      <c r="G5386">
        <v>304</v>
      </c>
    </row>
    <row r="5387" spans="1:7" x14ac:dyDescent="0.2">
      <c r="A5387" t="s">
        <v>1928</v>
      </c>
      <c r="B5387">
        <v>0</v>
      </c>
      <c r="C5387">
        <v>0</v>
      </c>
      <c r="D5387">
        <v>0</v>
      </c>
      <c r="E5387">
        <v>0</v>
      </c>
      <c r="F5387">
        <v>1313</v>
      </c>
      <c r="G5387">
        <v>1313</v>
      </c>
    </row>
    <row r="5388" spans="1:7" x14ac:dyDescent="0.2">
      <c r="A5388" t="s">
        <v>1932</v>
      </c>
      <c r="B5388">
        <v>0</v>
      </c>
      <c r="C5388">
        <v>0</v>
      </c>
      <c r="D5388">
        <v>0</v>
      </c>
      <c r="E5388">
        <v>0</v>
      </c>
      <c r="F5388">
        <v>88</v>
      </c>
      <c r="G5388">
        <v>88</v>
      </c>
    </row>
    <row r="5389" spans="1:7" x14ac:dyDescent="0.2">
      <c r="A5389" t="s">
        <v>1938</v>
      </c>
      <c r="B5389">
        <v>0</v>
      </c>
      <c r="C5389">
        <v>0</v>
      </c>
      <c r="D5389">
        <v>0</v>
      </c>
      <c r="E5389">
        <v>0</v>
      </c>
      <c r="F5389">
        <v>52</v>
      </c>
      <c r="G5389">
        <v>52</v>
      </c>
    </row>
    <row r="5390" spans="1:7" x14ac:dyDescent="0.2">
      <c r="A5390" t="s">
        <v>1944</v>
      </c>
      <c r="B5390">
        <v>1</v>
      </c>
      <c r="C5390">
        <v>42</v>
      </c>
      <c r="D5390">
        <v>137</v>
      </c>
      <c r="E5390">
        <v>726</v>
      </c>
      <c r="F5390">
        <v>25</v>
      </c>
      <c r="G5390">
        <v>930</v>
      </c>
    </row>
    <row r="5391" spans="1:7" x14ac:dyDescent="0.2">
      <c r="A5391" t="s">
        <v>1947</v>
      </c>
      <c r="B5391">
        <v>0</v>
      </c>
      <c r="C5391">
        <v>0</v>
      </c>
      <c r="D5391">
        <v>0</v>
      </c>
      <c r="E5391">
        <v>0</v>
      </c>
      <c r="F5391">
        <v>17</v>
      </c>
      <c r="G5391">
        <v>17</v>
      </c>
    </row>
    <row r="5392" spans="1:7" x14ac:dyDescent="0.2">
      <c r="A5392" t="s">
        <v>1953</v>
      </c>
      <c r="B5392">
        <v>0</v>
      </c>
      <c r="C5392">
        <v>0</v>
      </c>
      <c r="D5392">
        <v>0</v>
      </c>
      <c r="E5392">
        <v>10</v>
      </c>
      <c r="F5392">
        <v>39</v>
      </c>
      <c r="G5392">
        <v>49</v>
      </c>
    </row>
    <row r="5393" spans="1:7" x14ac:dyDescent="0.2">
      <c r="A5393" t="s">
        <v>1958</v>
      </c>
      <c r="B5393">
        <v>0</v>
      </c>
      <c r="C5393">
        <v>0</v>
      </c>
      <c r="D5393">
        <v>0</v>
      </c>
      <c r="E5393">
        <v>0</v>
      </c>
      <c r="F5393">
        <v>0</v>
      </c>
      <c r="G5393">
        <v>0</v>
      </c>
    </row>
    <row r="5394" spans="1:7" x14ac:dyDescent="0.2">
      <c r="A5394" t="s">
        <v>1964</v>
      </c>
      <c r="B5394">
        <v>0</v>
      </c>
      <c r="C5394">
        <v>0</v>
      </c>
      <c r="D5394">
        <v>0</v>
      </c>
      <c r="E5394">
        <v>2</v>
      </c>
      <c r="F5394">
        <v>24</v>
      </c>
      <c r="G5394">
        <v>27</v>
      </c>
    </row>
    <row r="5395" spans="1:7" x14ac:dyDescent="0.2">
      <c r="A5395" t="s">
        <v>1973</v>
      </c>
      <c r="B5395">
        <v>0</v>
      </c>
      <c r="C5395">
        <v>0</v>
      </c>
      <c r="D5395">
        <v>0</v>
      </c>
      <c r="E5395">
        <v>0</v>
      </c>
      <c r="F5395">
        <v>936</v>
      </c>
      <c r="G5395">
        <v>936</v>
      </c>
    </row>
    <row r="5396" spans="1:7" x14ac:dyDescent="0.2">
      <c r="A5396" t="s">
        <v>1978</v>
      </c>
      <c r="B5396">
        <v>0</v>
      </c>
      <c r="C5396">
        <v>0</v>
      </c>
      <c r="D5396">
        <v>0</v>
      </c>
      <c r="E5396">
        <v>0</v>
      </c>
      <c r="F5396">
        <v>418</v>
      </c>
      <c r="G5396">
        <v>418</v>
      </c>
    </row>
    <row r="5397" spans="1:7" x14ac:dyDescent="0.2">
      <c r="A5397" t="s">
        <v>1983</v>
      </c>
      <c r="B5397">
        <v>26</v>
      </c>
      <c r="C5397">
        <v>2</v>
      </c>
      <c r="D5397">
        <v>5</v>
      </c>
      <c r="E5397">
        <v>71</v>
      </c>
      <c r="F5397">
        <v>16</v>
      </c>
      <c r="G5397">
        <v>119</v>
      </c>
    </row>
    <row r="5398" spans="1:7" x14ac:dyDescent="0.2">
      <c r="A5398" t="s">
        <v>1984</v>
      </c>
      <c r="B5398">
        <v>0</v>
      </c>
      <c r="C5398">
        <v>0</v>
      </c>
      <c r="D5398">
        <v>0</v>
      </c>
      <c r="E5398">
        <v>0</v>
      </c>
      <c r="F5398">
        <v>0</v>
      </c>
      <c r="G5398">
        <v>0</v>
      </c>
    </row>
    <row r="5399" spans="1:7" x14ac:dyDescent="0.2">
      <c r="A5399" t="s">
        <v>1990</v>
      </c>
      <c r="B5399">
        <v>0</v>
      </c>
      <c r="C5399">
        <v>0</v>
      </c>
      <c r="D5399">
        <v>0</v>
      </c>
      <c r="E5399">
        <v>15</v>
      </c>
      <c r="F5399">
        <v>34</v>
      </c>
      <c r="G5399">
        <v>49</v>
      </c>
    </row>
    <row r="5400" spans="1:7" x14ac:dyDescent="0.2">
      <c r="A5400" t="s">
        <v>1996</v>
      </c>
      <c r="B5400">
        <v>0</v>
      </c>
      <c r="C5400">
        <v>0</v>
      </c>
      <c r="D5400">
        <v>0</v>
      </c>
      <c r="E5400">
        <v>0</v>
      </c>
      <c r="F5400">
        <v>0</v>
      </c>
      <c r="G5400">
        <v>0</v>
      </c>
    </row>
    <row r="5401" spans="1:7" x14ac:dyDescent="0.2">
      <c r="A5401" t="s">
        <v>1998</v>
      </c>
      <c r="B5401">
        <v>0</v>
      </c>
      <c r="C5401">
        <v>0</v>
      </c>
      <c r="D5401">
        <v>0</v>
      </c>
      <c r="E5401">
        <v>0</v>
      </c>
      <c r="F5401">
        <v>0</v>
      </c>
      <c r="G5401">
        <v>0</v>
      </c>
    </row>
    <row r="5402" spans="1:7" x14ac:dyDescent="0.2">
      <c r="A5402" t="s">
        <v>1999</v>
      </c>
      <c r="B5402">
        <v>0</v>
      </c>
      <c r="C5402">
        <v>0</v>
      </c>
      <c r="D5402">
        <v>0</v>
      </c>
      <c r="E5402">
        <v>0</v>
      </c>
      <c r="F5402">
        <v>29</v>
      </c>
      <c r="G5402">
        <v>29</v>
      </c>
    </row>
    <row r="5403" spans="1:7" x14ac:dyDescent="0.2">
      <c r="A5403" t="s">
        <v>2004</v>
      </c>
      <c r="B5403">
        <v>0</v>
      </c>
      <c r="C5403">
        <v>0</v>
      </c>
      <c r="D5403">
        <v>0</v>
      </c>
      <c r="E5403">
        <v>20</v>
      </c>
      <c r="F5403">
        <v>35</v>
      </c>
      <c r="G5403">
        <v>55</v>
      </c>
    </row>
    <row r="5404" spans="1:7" x14ac:dyDescent="0.2">
      <c r="A5404" t="s">
        <v>2009</v>
      </c>
      <c r="B5404">
        <v>0</v>
      </c>
      <c r="C5404">
        <v>0</v>
      </c>
      <c r="D5404">
        <v>0</v>
      </c>
      <c r="E5404">
        <v>0</v>
      </c>
      <c r="F5404">
        <v>0</v>
      </c>
      <c r="G5404">
        <v>0</v>
      </c>
    </row>
    <row r="5405" spans="1:7" x14ac:dyDescent="0.2">
      <c r="A5405" t="s">
        <v>2014</v>
      </c>
      <c r="B5405">
        <v>0</v>
      </c>
      <c r="C5405">
        <v>0</v>
      </c>
      <c r="D5405">
        <v>0</v>
      </c>
      <c r="E5405">
        <v>2212</v>
      </c>
      <c r="F5405">
        <v>1248</v>
      </c>
      <c r="G5405">
        <v>3461</v>
      </c>
    </row>
    <row r="5406" spans="1:7" x14ac:dyDescent="0.2">
      <c r="A5406" t="s">
        <v>2019</v>
      </c>
      <c r="B5406">
        <v>0</v>
      </c>
      <c r="C5406">
        <v>0</v>
      </c>
      <c r="D5406">
        <v>0</v>
      </c>
      <c r="E5406">
        <v>0</v>
      </c>
      <c r="F5406">
        <v>0</v>
      </c>
      <c r="G5406">
        <v>0</v>
      </c>
    </row>
    <row r="5407" spans="1:7" x14ac:dyDescent="0.2">
      <c r="A5407" t="s">
        <v>2023</v>
      </c>
      <c r="B5407">
        <v>0</v>
      </c>
      <c r="C5407">
        <v>0</v>
      </c>
      <c r="D5407">
        <v>0</v>
      </c>
      <c r="E5407">
        <v>0</v>
      </c>
      <c r="F5407">
        <v>113</v>
      </c>
      <c r="G5407">
        <v>113</v>
      </c>
    </row>
    <row r="5408" spans="1:7" x14ac:dyDescent="0.2">
      <c r="A5408" t="s">
        <v>2026</v>
      </c>
      <c r="B5408">
        <v>0</v>
      </c>
      <c r="C5408">
        <v>0</v>
      </c>
      <c r="D5408">
        <v>0</v>
      </c>
      <c r="E5408">
        <v>0</v>
      </c>
      <c r="F5408">
        <v>867</v>
      </c>
      <c r="G5408">
        <v>867</v>
      </c>
    </row>
    <row r="5409" spans="1:7" x14ac:dyDescent="0.2">
      <c r="A5409" t="s">
        <v>2030</v>
      </c>
      <c r="B5409">
        <v>0</v>
      </c>
      <c r="C5409">
        <v>0</v>
      </c>
      <c r="D5409">
        <v>0</v>
      </c>
      <c r="E5409">
        <v>0</v>
      </c>
      <c r="F5409">
        <v>1</v>
      </c>
      <c r="G5409">
        <v>1</v>
      </c>
    </row>
    <row r="5410" spans="1:7" x14ac:dyDescent="0.2">
      <c r="A5410" t="s">
        <v>2035</v>
      </c>
      <c r="B5410">
        <v>0</v>
      </c>
      <c r="C5410">
        <v>0</v>
      </c>
      <c r="D5410">
        <v>0</v>
      </c>
      <c r="E5410">
        <v>0</v>
      </c>
      <c r="F5410">
        <v>0</v>
      </c>
      <c r="G5410">
        <v>0</v>
      </c>
    </row>
    <row r="5411" spans="1:7" x14ac:dyDescent="0.2">
      <c r="A5411" t="s">
        <v>2040</v>
      </c>
      <c r="B5411">
        <v>0</v>
      </c>
      <c r="C5411">
        <v>0</v>
      </c>
      <c r="D5411">
        <v>0</v>
      </c>
      <c r="E5411">
        <v>0</v>
      </c>
      <c r="F5411">
        <v>116</v>
      </c>
      <c r="G5411">
        <v>116</v>
      </c>
    </row>
    <row r="5412" spans="1:7" x14ac:dyDescent="0.2">
      <c r="A5412" t="s">
        <v>2045</v>
      </c>
      <c r="B5412">
        <v>0</v>
      </c>
      <c r="C5412">
        <v>0</v>
      </c>
      <c r="D5412">
        <v>0</v>
      </c>
      <c r="E5412">
        <v>0</v>
      </c>
      <c r="F5412">
        <v>5</v>
      </c>
      <c r="G5412">
        <v>5</v>
      </c>
    </row>
    <row r="5413" spans="1:7" x14ac:dyDescent="0.2">
      <c r="A5413" t="s">
        <v>2049</v>
      </c>
      <c r="B5413">
        <v>0</v>
      </c>
      <c r="C5413">
        <v>0</v>
      </c>
      <c r="D5413">
        <v>0</v>
      </c>
      <c r="E5413">
        <v>0</v>
      </c>
      <c r="F5413">
        <v>0</v>
      </c>
      <c r="G5413">
        <v>0</v>
      </c>
    </row>
    <row r="5414" spans="1:7" x14ac:dyDescent="0.2">
      <c r="A5414" t="s">
        <v>2051</v>
      </c>
      <c r="B5414">
        <v>0</v>
      </c>
      <c r="C5414">
        <v>0</v>
      </c>
      <c r="D5414">
        <v>0</v>
      </c>
      <c r="E5414">
        <v>0</v>
      </c>
      <c r="F5414">
        <v>19</v>
      </c>
      <c r="G5414">
        <v>19</v>
      </c>
    </row>
    <row r="5415" spans="1:7" x14ac:dyDescent="0.2">
      <c r="A5415" t="s">
        <v>2057</v>
      </c>
      <c r="B5415">
        <v>0</v>
      </c>
      <c r="C5415">
        <v>0</v>
      </c>
      <c r="D5415">
        <v>0</v>
      </c>
      <c r="E5415">
        <v>2</v>
      </c>
      <c r="F5415">
        <v>32</v>
      </c>
      <c r="G5415">
        <v>33</v>
      </c>
    </row>
    <row r="5416" spans="1:7" x14ac:dyDescent="0.2">
      <c r="A5416" t="s">
        <v>4344</v>
      </c>
      <c r="B5416">
        <v>0</v>
      </c>
      <c r="C5416">
        <v>0</v>
      </c>
      <c r="D5416">
        <v>0</v>
      </c>
      <c r="E5416">
        <v>9</v>
      </c>
      <c r="F5416">
        <v>1</v>
      </c>
      <c r="G5416">
        <v>10</v>
      </c>
    </row>
    <row r="5417" spans="1:7" x14ac:dyDescent="0.2">
      <c r="A5417" t="s">
        <v>4345</v>
      </c>
      <c r="B5417">
        <v>0</v>
      </c>
      <c r="C5417">
        <v>0</v>
      </c>
      <c r="D5417">
        <v>0</v>
      </c>
      <c r="E5417">
        <v>36</v>
      </c>
      <c r="F5417">
        <v>23</v>
      </c>
      <c r="G5417">
        <v>60</v>
      </c>
    </row>
    <row r="5418" spans="1:7" x14ac:dyDescent="0.2">
      <c r="A5418" t="s">
        <v>2074</v>
      </c>
      <c r="B5418">
        <v>0</v>
      </c>
      <c r="C5418">
        <v>0</v>
      </c>
      <c r="D5418">
        <v>0</v>
      </c>
      <c r="E5418">
        <v>0</v>
      </c>
      <c r="F5418">
        <v>0</v>
      </c>
      <c r="G5418">
        <v>0</v>
      </c>
    </row>
    <row r="5419" spans="1:7" x14ac:dyDescent="0.2">
      <c r="A5419" t="s">
        <v>2079</v>
      </c>
      <c r="B5419">
        <v>0</v>
      </c>
      <c r="C5419">
        <v>0</v>
      </c>
      <c r="D5419">
        <v>0</v>
      </c>
      <c r="E5419">
        <v>0</v>
      </c>
      <c r="F5419">
        <v>0</v>
      </c>
      <c r="G5419">
        <v>0</v>
      </c>
    </row>
    <row r="5420" spans="1:7" x14ac:dyDescent="0.2">
      <c r="A5420" t="s">
        <v>2085</v>
      </c>
      <c r="B5420">
        <v>0</v>
      </c>
      <c r="C5420">
        <v>0</v>
      </c>
      <c r="D5420">
        <v>0</v>
      </c>
      <c r="E5420">
        <v>0</v>
      </c>
      <c r="F5420">
        <v>0</v>
      </c>
      <c r="G5420">
        <v>0</v>
      </c>
    </row>
    <row r="5421" spans="1:7" x14ac:dyDescent="0.2">
      <c r="A5421" t="s">
        <v>2091</v>
      </c>
      <c r="B5421">
        <v>0</v>
      </c>
      <c r="C5421">
        <v>0</v>
      </c>
      <c r="D5421">
        <v>0</v>
      </c>
      <c r="E5421">
        <v>0</v>
      </c>
      <c r="F5421">
        <v>0</v>
      </c>
      <c r="G5421">
        <v>0</v>
      </c>
    </row>
    <row r="5422" spans="1:7" x14ac:dyDescent="0.2">
      <c r="A5422" t="s">
        <v>2097</v>
      </c>
      <c r="B5422">
        <v>0</v>
      </c>
      <c r="C5422">
        <v>0</v>
      </c>
      <c r="D5422">
        <v>0</v>
      </c>
      <c r="E5422">
        <v>0</v>
      </c>
      <c r="F5422">
        <v>0</v>
      </c>
      <c r="G5422">
        <v>0</v>
      </c>
    </row>
    <row r="5423" spans="1:7" x14ac:dyDescent="0.2">
      <c r="A5423" t="s">
        <v>2101</v>
      </c>
      <c r="B5423">
        <v>0</v>
      </c>
      <c r="C5423">
        <v>0</v>
      </c>
      <c r="D5423">
        <v>0</v>
      </c>
      <c r="E5423">
        <v>0</v>
      </c>
      <c r="F5423">
        <v>0</v>
      </c>
      <c r="G5423">
        <v>0</v>
      </c>
    </row>
    <row r="5424" spans="1:7" x14ac:dyDescent="0.2">
      <c r="A5424" t="s">
        <v>2104</v>
      </c>
      <c r="B5424">
        <v>0</v>
      </c>
      <c r="C5424">
        <v>0</v>
      </c>
      <c r="D5424">
        <v>0</v>
      </c>
      <c r="E5424">
        <v>0</v>
      </c>
      <c r="F5424">
        <v>0</v>
      </c>
      <c r="G5424">
        <v>0</v>
      </c>
    </row>
    <row r="5425" spans="1:7" x14ac:dyDescent="0.2">
      <c r="A5425" t="s">
        <v>2107</v>
      </c>
      <c r="B5425">
        <v>0</v>
      </c>
      <c r="C5425">
        <v>0</v>
      </c>
      <c r="D5425">
        <v>0</v>
      </c>
      <c r="E5425">
        <v>0</v>
      </c>
      <c r="F5425">
        <v>0</v>
      </c>
      <c r="G5425">
        <v>0</v>
      </c>
    </row>
    <row r="5426" spans="1:7" x14ac:dyDescent="0.2">
      <c r="A5426" t="s">
        <v>2110</v>
      </c>
      <c r="B5426">
        <v>0</v>
      </c>
      <c r="C5426">
        <v>0</v>
      </c>
      <c r="D5426">
        <v>0</v>
      </c>
      <c r="E5426">
        <v>0</v>
      </c>
      <c r="F5426">
        <v>0</v>
      </c>
      <c r="G5426">
        <v>0</v>
      </c>
    </row>
    <row r="5427" spans="1:7" x14ac:dyDescent="0.2">
      <c r="A5427" t="s">
        <v>2113</v>
      </c>
      <c r="B5427">
        <v>0</v>
      </c>
      <c r="C5427">
        <v>0</v>
      </c>
      <c r="D5427">
        <v>0</v>
      </c>
      <c r="E5427">
        <v>0</v>
      </c>
      <c r="F5427">
        <v>0</v>
      </c>
      <c r="G5427">
        <v>0</v>
      </c>
    </row>
    <row r="5428" spans="1:7" x14ac:dyDescent="0.2">
      <c r="A5428" t="s">
        <v>4346</v>
      </c>
      <c r="B5428">
        <v>0</v>
      </c>
      <c r="C5428">
        <v>0</v>
      </c>
      <c r="D5428">
        <v>0</v>
      </c>
      <c r="E5428">
        <v>0</v>
      </c>
      <c r="F5428">
        <v>0</v>
      </c>
      <c r="G5428">
        <v>0</v>
      </c>
    </row>
    <row r="5429" spans="1:7" x14ac:dyDescent="0.2">
      <c r="A5429" t="s">
        <v>4347</v>
      </c>
      <c r="B5429">
        <v>0</v>
      </c>
      <c r="C5429">
        <v>0</v>
      </c>
      <c r="D5429">
        <v>0</v>
      </c>
      <c r="E5429">
        <v>0</v>
      </c>
      <c r="F5429">
        <v>0</v>
      </c>
      <c r="G5429">
        <v>0</v>
      </c>
    </row>
    <row r="5430" spans="1:7" x14ac:dyDescent="0.2">
      <c r="A5430" t="s">
        <v>4348</v>
      </c>
      <c r="B5430">
        <v>0</v>
      </c>
      <c r="C5430">
        <v>0</v>
      </c>
      <c r="D5430">
        <v>0</v>
      </c>
      <c r="E5430">
        <v>0</v>
      </c>
      <c r="F5430">
        <v>0</v>
      </c>
      <c r="G5430">
        <v>0</v>
      </c>
    </row>
    <row r="5431" spans="1:7" x14ac:dyDescent="0.2">
      <c r="A5431" t="s">
        <v>4349</v>
      </c>
      <c r="B5431">
        <v>0</v>
      </c>
      <c r="C5431">
        <v>0</v>
      </c>
      <c r="D5431">
        <v>0</v>
      </c>
      <c r="E5431">
        <v>0</v>
      </c>
      <c r="F5431">
        <v>0</v>
      </c>
      <c r="G5431">
        <v>0</v>
      </c>
    </row>
    <row r="5432" spans="1:7" x14ac:dyDescent="0.2">
      <c r="A5432" t="s">
        <v>4350</v>
      </c>
      <c r="B5432">
        <v>0</v>
      </c>
      <c r="C5432">
        <v>1</v>
      </c>
      <c r="D5432">
        <v>3</v>
      </c>
      <c r="E5432">
        <v>0</v>
      </c>
      <c r="F5432">
        <v>0</v>
      </c>
      <c r="G5432">
        <v>4</v>
      </c>
    </row>
    <row r="5433" spans="1:7" x14ac:dyDescent="0.2">
      <c r="A5433" t="s">
        <v>4351</v>
      </c>
      <c r="B5433">
        <v>0</v>
      </c>
      <c r="C5433">
        <v>0</v>
      </c>
      <c r="D5433">
        <v>0</v>
      </c>
      <c r="E5433">
        <v>0</v>
      </c>
      <c r="F5433">
        <v>0</v>
      </c>
      <c r="G5433">
        <v>0</v>
      </c>
    </row>
    <row r="5434" spans="1:7" x14ac:dyDescent="0.2">
      <c r="A5434" t="s">
        <v>4352</v>
      </c>
      <c r="B5434">
        <v>0</v>
      </c>
      <c r="C5434">
        <v>0</v>
      </c>
      <c r="D5434">
        <v>0</v>
      </c>
      <c r="E5434">
        <v>0</v>
      </c>
      <c r="F5434">
        <v>0</v>
      </c>
      <c r="G5434">
        <v>0</v>
      </c>
    </row>
    <row r="5435" spans="1:7" x14ac:dyDescent="0.2">
      <c r="A5435" t="s">
        <v>4353</v>
      </c>
      <c r="B5435">
        <v>1</v>
      </c>
      <c r="C5435">
        <v>63</v>
      </c>
      <c r="D5435">
        <v>19</v>
      </c>
      <c r="E5435">
        <v>1</v>
      </c>
      <c r="F5435">
        <v>0</v>
      </c>
      <c r="G5435">
        <v>83</v>
      </c>
    </row>
    <row r="5436" spans="1:7" x14ac:dyDescent="0.2">
      <c r="A5436" t="s">
        <v>4354</v>
      </c>
      <c r="B5436">
        <v>4</v>
      </c>
      <c r="C5436">
        <v>49</v>
      </c>
      <c r="D5436">
        <v>16</v>
      </c>
      <c r="E5436">
        <v>0</v>
      </c>
      <c r="F5436">
        <v>0</v>
      </c>
      <c r="G5436">
        <v>70</v>
      </c>
    </row>
    <row r="5437" spans="1:7" x14ac:dyDescent="0.2">
      <c r="A5437" t="s">
        <v>4355</v>
      </c>
      <c r="B5437">
        <v>0</v>
      </c>
      <c r="C5437">
        <v>0</v>
      </c>
      <c r="D5437">
        <v>0</v>
      </c>
      <c r="E5437">
        <v>0</v>
      </c>
      <c r="F5437">
        <v>0</v>
      </c>
      <c r="G5437">
        <v>0</v>
      </c>
    </row>
    <row r="5438" spans="1:7" x14ac:dyDescent="0.2">
      <c r="A5438" t="s">
        <v>4356</v>
      </c>
      <c r="B5438">
        <v>0</v>
      </c>
      <c r="C5438">
        <v>0</v>
      </c>
      <c r="D5438">
        <v>0</v>
      </c>
      <c r="E5438">
        <v>0</v>
      </c>
      <c r="F5438">
        <v>0</v>
      </c>
      <c r="G5438">
        <v>0</v>
      </c>
    </row>
    <row r="5439" spans="1:7" x14ac:dyDescent="0.2">
      <c r="A5439" t="s">
        <v>4357</v>
      </c>
      <c r="B5439">
        <v>0</v>
      </c>
      <c r="C5439">
        <v>0</v>
      </c>
      <c r="D5439">
        <v>0</v>
      </c>
      <c r="E5439">
        <v>0</v>
      </c>
      <c r="F5439">
        <v>0</v>
      </c>
      <c r="G5439">
        <v>0</v>
      </c>
    </row>
    <row r="5440" spans="1:7" x14ac:dyDescent="0.2">
      <c r="A5440" t="s">
        <v>4358</v>
      </c>
      <c r="B5440">
        <v>0</v>
      </c>
      <c r="C5440">
        <v>0</v>
      </c>
      <c r="D5440">
        <v>0</v>
      </c>
      <c r="E5440">
        <v>0</v>
      </c>
      <c r="F5440">
        <v>0</v>
      </c>
      <c r="G5440">
        <v>0</v>
      </c>
    </row>
    <row r="5441" spans="1:7" x14ac:dyDescent="0.2">
      <c r="A5441" t="s">
        <v>4359</v>
      </c>
      <c r="B5441">
        <v>0</v>
      </c>
      <c r="C5441">
        <v>0</v>
      </c>
      <c r="D5441">
        <v>0</v>
      </c>
      <c r="E5441">
        <v>0</v>
      </c>
      <c r="F5441">
        <v>0</v>
      </c>
      <c r="G5441">
        <v>0</v>
      </c>
    </row>
    <row r="5442" spans="1:7" x14ac:dyDescent="0.2">
      <c r="A5442" t="s">
        <v>4360</v>
      </c>
      <c r="B5442">
        <v>0</v>
      </c>
      <c r="C5442">
        <v>0</v>
      </c>
      <c r="D5442">
        <v>2</v>
      </c>
      <c r="E5442">
        <v>6</v>
      </c>
      <c r="F5442">
        <v>0</v>
      </c>
      <c r="G5442">
        <v>8</v>
      </c>
    </row>
    <row r="5443" spans="1:7" x14ac:dyDescent="0.2">
      <c r="A5443" t="s">
        <v>4361</v>
      </c>
      <c r="B5443">
        <v>0</v>
      </c>
      <c r="C5443">
        <v>0</v>
      </c>
      <c r="D5443">
        <v>4</v>
      </c>
      <c r="E5443">
        <v>0</v>
      </c>
      <c r="F5443">
        <v>0</v>
      </c>
      <c r="G5443">
        <v>4</v>
      </c>
    </row>
    <row r="5444" spans="1:7" x14ac:dyDescent="0.2">
      <c r="A5444" t="s">
        <v>4362</v>
      </c>
      <c r="B5444">
        <v>0</v>
      </c>
      <c r="C5444">
        <v>0</v>
      </c>
      <c r="D5444">
        <v>0</v>
      </c>
      <c r="E5444">
        <v>0</v>
      </c>
      <c r="F5444">
        <v>0</v>
      </c>
      <c r="G5444">
        <v>0</v>
      </c>
    </row>
    <row r="5445" spans="1:7" x14ac:dyDescent="0.2">
      <c r="A5445" t="s">
        <v>4363</v>
      </c>
      <c r="B5445">
        <v>0</v>
      </c>
      <c r="C5445">
        <v>0</v>
      </c>
      <c r="D5445">
        <v>0</v>
      </c>
      <c r="E5445">
        <v>0</v>
      </c>
      <c r="F5445">
        <v>0</v>
      </c>
      <c r="G5445">
        <v>0</v>
      </c>
    </row>
    <row r="5446" spans="1:7" x14ac:dyDescent="0.2">
      <c r="A5446" t="s">
        <v>4364</v>
      </c>
      <c r="B5446">
        <v>0</v>
      </c>
      <c r="C5446">
        <v>0</v>
      </c>
      <c r="D5446">
        <v>0</v>
      </c>
      <c r="E5446">
        <v>0</v>
      </c>
      <c r="F5446">
        <v>0</v>
      </c>
      <c r="G5446">
        <v>0</v>
      </c>
    </row>
    <row r="5447" spans="1:7" x14ac:dyDescent="0.2">
      <c r="A5447" t="s">
        <v>4365</v>
      </c>
      <c r="B5447">
        <v>0</v>
      </c>
      <c r="C5447">
        <v>1</v>
      </c>
      <c r="D5447">
        <v>1</v>
      </c>
      <c r="E5447">
        <v>0</v>
      </c>
      <c r="F5447">
        <v>0</v>
      </c>
      <c r="G5447">
        <v>1</v>
      </c>
    </row>
    <row r="5448" spans="1:7" x14ac:dyDescent="0.2">
      <c r="A5448" t="s">
        <v>4366</v>
      </c>
      <c r="B5448">
        <v>0</v>
      </c>
      <c r="C5448">
        <v>0</v>
      </c>
      <c r="D5448">
        <v>0</v>
      </c>
      <c r="E5448">
        <v>0</v>
      </c>
      <c r="F5448">
        <v>0</v>
      </c>
      <c r="G5448">
        <v>0</v>
      </c>
    </row>
    <row r="5449" spans="1:7" x14ac:dyDescent="0.2">
      <c r="A5449" t="s">
        <v>4367</v>
      </c>
      <c r="B5449">
        <v>0</v>
      </c>
      <c r="C5449">
        <v>0</v>
      </c>
      <c r="D5449">
        <v>0</v>
      </c>
      <c r="E5449">
        <v>0</v>
      </c>
      <c r="F5449">
        <v>0</v>
      </c>
      <c r="G5449">
        <v>0</v>
      </c>
    </row>
    <row r="5450" spans="1:7" x14ac:dyDescent="0.2">
      <c r="A5450" t="s">
        <v>4368</v>
      </c>
      <c r="B5450">
        <v>4</v>
      </c>
      <c r="C5450">
        <v>18</v>
      </c>
      <c r="D5450">
        <v>32</v>
      </c>
      <c r="E5450">
        <v>28</v>
      </c>
      <c r="F5450">
        <v>3</v>
      </c>
      <c r="G5450">
        <v>86</v>
      </c>
    </row>
    <row r="5451" spans="1:7" x14ac:dyDescent="0.2">
      <c r="A5451" t="s">
        <v>4369</v>
      </c>
      <c r="B5451">
        <v>0</v>
      </c>
      <c r="C5451">
        <v>34</v>
      </c>
      <c r="D5451">
        <v>59</v>
      </c>
      <c r="E5451">
        <v>16</v>
      </c>
      <c r="F5451">
        <v>0</v>
      </c>
      <c r="G5451">
        <v>109</v>
      </c>
    </row>
    <row r="5452" spans="1:7" x14ac:dyDescent="0.2">
      <c r="A5452" t="s">
        <v>4370</v>
      </c>
      <c r="B5452">
        <v>0</v>
      </c>
      <c r="C5452">
        <v>0</v>
      </c>
      <c r="D5452">
        <v>0</v>
      </c>
      <c r="E5452">
        <v>0</v>
      </c>
      <c r="F5452">
        <v>0</v>
      </c>
      <c r="G5452">
        <v>1</v>
      </c>
    </row>
    <row r="5453" spans="1:7" x14ac:dyDescent="0.2">
      <c r="A5453" t="s">
        <v>4371</v>
      </c>
      <c r="B5453">
        <v>0</v>
      </c>
      <c r="C5453">
        <v>0</v>
      </c>
      <c r="D5453">
        <v>0</v>
      </c>
      <c r="E5453">
        <v>0</v>
      </c>
      <c r="F5453">
        <v>0</v>
      </c>
      <c r="G5453">
        <v>1</v>
      </c>
    </row>
    <row r="5454" spans="1:7" x14ac:dyDescent="0.2">
      <c r="A5454" t="s">
        <v>4372</v>
      </c>
      <c r="B5454">
        <v>0</v>
      </c>
      <c r="C5454">
        <v>0</v>
      </c>
      <c r="D5454">
        <v>0</v>
      </c>
      <c r="E5454">
        <v>0</v>
      </c>
      <c r="F5454">
        <v>0</v>
      </c>
      <c r="G5454">
        <v>0</v>
      </c>
    </row>
    <row r="5455" spans="1:7" x14ac:dyDescent="0.2">
      <c r="A5455" t="s">
        <v>4373</v>
      </c>
      <c r="B5455">
        <v>0</v>
      </c>
      <c r="C5455">
        <v>0</v>
      </c>
      <c r="D5455">
        <v>0</v>
      </c>
      <c r="E5455">
        <v>0</v>
      </c>
      <c r="F5455">
        <v>0</v>
      </c>
      <c r="G5455">
        <v>0</v>
      </c>
    </row>
    <row r="5456" spans="1:7" x14ac:dyDescent="0.2">
      <c r="A5456" t="s">
        <v>4374</v>
      </c>
      <c r="B5456">
        <v>0</v>
      </c>
      <c r="C5456">
        <v>0</v>
      </c>
      <c r="D5456">
        <v>0</v>
      </c>
      <c r="E5456">
        <v>0</v>
      </c>
      <c r="F5456">
        <v>0</v>
      </c>
      <c r="G5456">
        <v>0</v>
      </c>
    </row>
    <row r="5457" spans="1:10" x14ac:dyDescent="0.2">
      <c r="A5457" t="s">
        <v>4375</v>
      </c>
      <c r="B5457">
        <v>1</v>
      </c>
      <c r="C5457">
        <v>0</v>
      </c>
      <c r="D5457">
        <v>0</v>
      </c>
      <c r="E5457">
        <v>0</v>
      </c>
      <c r="F5457">
        <v>0</v>
      </c>
      <c r="G5457">
        <v>1</v>
      </c>
    </row>
    <row r="5458" spans="1:10" x14ac:dyDescent="0.2">
      <c r="A5458" t="s">
        <v>4376</v>
      </c>
      <c r="B5458">
        <v>0</v>
      </c>
      <c r="C5458">
        <v>0</v>
      </c>
      <c r="D5458">
        <v>0</v>
      </c>
      <c r="E5458">
        <v>0</v>
      </c>
      <c r="F5458">
        <v>0</v>
      </c>
      <c r="G5458">
        <v>0</v>
      </c>
    </row>
    <row r="5459" spans="1:10" x14ac:dyDescent="0.2">
      <c r="A5459" t="s">
        <v>4377</v>
      </c>
      <c r="B5459">
        <v>0</v>
      </c>
      <c r="C5459">
        <v>0</v>
      </c>
      <c r="D5459">
        <v>1</v>
      </c>
      <c r="E5459">
        <v>0</v>
      </c>
      <c r="F5459">
        <v>0</v>
      </c>
      <c r="G5459">
        <v>1</v>
      </c>
    </row>
    <row r="5460" spans="1:10" x14ac:dyDescent="0.2">
      <c r="A5460" t="s">
        <v>2318</v>
      </c>
      <c r="B5460" t="s">
        <v>2319</v>
      </c>
      <c r="C5460" t="s">
        <v>2319</v>
      </c>
      <c r="D5460" t="s">
        <v>2319</v>
      </c>
      <c r="E5460" t="s">
        <v>2319</v>
      </c>
      <c r="F5460" t="s">
        <v>2319</v>
      </c>
      <c r="G5460" t="s">
        <v>2319</v>
      </c>
    </row>
    <row r="5461" spans="1:10" x14ac:dyDescent="0.2">
      <c r="A5461" t="s">
        <v>4248</v>
      </c>
    </row>
    <row r="5462" spans="1:10" x14ac:dyDescent="0.2">
      <c r="A5462" t="s">
        <v>4250</v>
      </c>
      <c r="C5462" t="s">
        <v>4251</v>
      </c>
      <c r="G5462" t="s">
        <v>7531</v>
      </c>
      <c r="J5462"/>
    </row>
    <row r="5463" spans="1:10" x14ac:dyDescent="0.2">
      <c r="A5463" t="s">
        <v>4925</v>
      </c>
      <c r="G5463" t="s">
        <v>7540</v>
      </c>
      <c r="J5463"/>
    </row>
    <row r="5464" spans="1:10" x14ac:dyDescent="0.2">
      <c r="A5464" t="s">
        <v>7530</v>
      </c>
      <c r="J5464"/>
    </row>
    <row r="5465" spans="1:10" x14ac:dyDescent="0.2">
      <c r="A5465" t="s">
        <v>5004</v>
      </c>
      <c r="J5465"/>
    </row>
    <row r="5466" spans="1:10" x14ac:dyDescent="0.2">
      <c r="J5466"/>
    </row>
    <row r="5467" spans="1:10" x14ac:dyDescent="0.2">
      <c r="A5467" t="s">
        <v>4259</v>
      </c>
      <c r="J5467"/>
    </row>
    <row r="5468" spans="1:10" x14ac:dyDescent="0.2">
      <c r="A5468" t="s">
        <v>2318</v>
      </c>
      <c r="B5468" t="s">
        <v>2319</v>
      </c>
      <c r="C5468" t="s">
        <v>2319</v>
      </c>
      <c r="D5468" t="s">
        <v>2319</v>
      </c>
      <c r="E5468" t="s">
        <v>2319</v>
      </c>
      <c r="F5468" t="s">
        <v>2319</v>
      </c>
      <c r="G5468" t="s">
        <v>2319</v>
      </c>
    </row>
    <row r="5469" spans="1:10" x14ac:dyDescent="0.2">
      <c r="A5469" t="s">
        <v>174</v>
      </c>
      <c r="B5469" t="s">
        <v>4945</v>
      </c>
      <c r="C5469" t="s">
        <v>4946</v>
      </c>
      <c r="D5469" t="s">
        <v>4947</v>
      </c>
      <c r="E5469" t="s">
        <v>4948</v>
      </c>
      <c r="F5469" t="s">
        <v>4949</v>
      </c>
    </row>
    <row r="5470" spans="1:10" x14ac:dyDescent="0.2">
      <c r="A5470" t="s">
        <v>126</v>
      </c>
      <c r="B5470" t="s">
        <v>4262</v>
      </c>
      <c r="C5470" t="s">
        <v>4263</v>
      </c>
      <c r="D5470" t="s">
        <v>4264</v>
      </c>
      <c r="E5470" t="s">
        <v>2308</v>
      </c>
      <c r="F5470" t="s">
        <v>615</v>
      </c>
      <c r="G5470" t="s">
        <v>236</v>
      </c>
    </row>
    <row r="5471" spans="1:10" x14ac:dyDescent="0.2">
      <c r="A5471" t="s">
        <v>2318</v>
      </c>
      <c r="B5471" t="s">
        <v>2319</v>
      </c>
      <c r="C5471" t="s">
        <v>2319</v>
      </c>
      <c r="D5471" t="s">
        <v>2319</v>
      </c>
      <c r="E5471" t="s">
        <v>2319</v>
      </c>
      <c r="F5471" t="s">
        <v>2319</v>
      </c>
      <c r="G5471" t="s">
        <v>2319</v>
      </c>
    </row>
    <row r="5472" spans="1:10" x14ac:dyDescent="0.2">
      <c r="A5472" t="s">
        <v>4265</v>
      </c>
      <c r="B5472">
        <v>0</v>
      </c>
      <c r="C5472">
        <v>0</v>
      </c>
      <c r="D5472">
        <v>0</v>
      </c>
      <c r="E5472">
        <v>0</v>
      </c>
      <c r="F5472">
        <v>0</v>
      </c>
      <c r="G5472">
        <v>0</v>
      </c>
    </row>
    <row r="5473" spans="1:7" x14ac:dyDescent="0.2">
      <c r="A5473" t="s">
        <v>4266</v>
      </c>
      <c r="B5473">
        <v>0</v>
      </c>
      <c r="C5473">
        <v>0</v>
      </c>
      <c r="D5473">
        <v>0</v>
      </c>
      <c r="E5473">
        <v>0</v>
      </c>
      <c r="F5473">
        <v>0</v>
      </c>
      <c r="G5473">
        <v>0</v>
      </c>
    </row>
    <row r="5474" spans="1:7" x14ac:dyDescent="0.2">
      <c r="A5474" t="s">
        <v>4267</v>
      </c>
      <c r="B5474">
        <v>0</v>
      </c>
      <c r="C5474">
        <v>0</v>
      </c>
      <c r="D5474">
        <v>0</v>
      </c>
      <c r="E5474">
        <v>0</v>
      </c>
      <c r="F5474">
        <v>0</v>
      </c>
      <c r="G5474">
        <v>0</v>
      </c>
    </row>
    <row r="5475" spans="1:7" x14ac:dyDescent="0.2">
      <c r="A5475" t="s">
        <v>4268</v>
      </c>
      <c r="B5475">
        <v>0</v>
      </c>
      <c r="C5475">
        <v>0</v>
      </c>
      <c r="D5475">
        <v>0</v>
      </c>
      <c r="E5475">
        <v>0</v>
      </c>
      <c r="F5475">
        <v>0</v>
      </c>
      <c r="G5475">
        <v>0</v>
      </c>
    </row>
    <row r="5476" spans="1:7" x14ac:dyDescent="0.2">
      <c r="A5476" t="s">
        <v>4269</v>
      </c>
      <c r="B5476">
        <v>0</v>
      </c>
      <c r="C5476">
        <v>0</v>
      </c>
      <c r="D5476">
        <v>0</v>
      </c>
      <c r="E5476">
        <v>0</v>
      </c>
      <c r="F5476">
        <v>0</v>
      </c>
      <c r="G5476">
        <v>0</v>
      </c>
    </row>
    <row r="5477" spans="1:7" x14ac:dyDescent="0.2">
      <c r="A5477" t="s">
        <v>4270</v>
      </c>
      <c r="B5477">
        <v>0</v>
      </c>
      <c r="C5477">
        <v>0</v>
      </c>
      <c r="D5477">
        <v>0</v>
      </c>
      <c r="E5477">
        <v>0</v>
      </c>
      <c r="F5477">
        <v>0</v>
      </c>
      <c r="G5477">
        <v>0</v>
      </c>
    </row>
    <row r="5478" spans="1:7" x14ac:dyDescent="0.2">
      <c r="A5478" t="s">
        <v>4271</v>
      </c>
      <c r="B5478">
        <v>0</v>
      </c>
      <c r="C5478">
        <v>0</v>
      </c>
      <c r="D5478">
        <v>0</v>
      </c>
      <c r="E5478">
        <v>0</v>
      </c>
      <c r="F5478">
        <v>0</v>
      </c>
      <c r="G5478">
        <v>0</v>
      </c>
    </row>
    <row r="5479" spans="1:7" x14ac:dyDescent="0.2">
      <c r="A5479" t="s">
        <v>4272</v>
      </c>
      <c r="B5479">
        <v>0</v>
      </c>
      <c r="C5479">
        <v>0</v>
      </c>
      <c r="D5479">
        <v>0</v>
      </c>
      <c r="E5479">
        <v>0</v>
      </c>
      <c r="F5479">
        <v>0</v>
      </c>
      <c r="G5479">
        <v>0</v>
      </c>
    </row>
    <row r="5480" spans="1:7" x14ac:dyDescent="0.2">
      <c r="A5480" t="s">
        <v>4273</v>
      </c>
      <c r="B5480">
        <v>0</v>
      </c>
      <c r="C5480">
        <v>0</v>
      </c>
      <c r="D5480">
        <v>0</v>
      </c>
      <c r="E5480">
        <v>0</v>
      </c>
      <c r="F5480">
        <v>0</v>
      </c>
      <c r="G5480">
        <v>0</v>
      </c>
    </row>
    <row r="5481" spans="1:7" x14ac:dyDescent="0.2">
      <c r="A5481" t="s">
        <v>4274</v>
      </c>
      <c r="B5481">
        <v>0</v>
      </c>
      <c r="C5481">
        <v>0</v>
      </c>
      <c r="D5481">
        <v>0</v>
      </c>
      <c r="E5481">
        <v>0</v>
      </c>
      <c r="F5481">
        <v>0</v>
      </c>
      <c r="G5481">
        <v>0</v>
      </c>
    </row>
    <row r="5482" spans="1:7" x14ac:dyDescent="0.2">
      <c r="A5482" t="s">
        <v>4275</v>
      </c>
      <c r="B5482">
        <v>0</v>
      </c>
      <c r="C5482">
        <v>0</v>
      </c>
      <c r="D5482">
        <v>0</v>
      </c>
      <c r="E5482">
        <v>0</v>
      </c>
      <c r="F5482">
        <v>0</v>
      </c>
      <c r="G5482">
        <v>0</v>
      </c>
    </row>
    <row r="5483" spans="1:7" x14ac:dyDescent="0.2">
      <c r="A5483" t="s">
        <v>4276</v>
      </c>
      <c r="B5483">
        <v>0</v>
      </c>
      <c r="C5483">
        <v>0</v>
      </c>
      <c r="D5483">
        <v>0</v>
      </c>
      <c r="E5483">
        <v>0</v>
      </c>
      <c r="F5483">
        <v>0</v>
      </c>
      <c r="G5483">
        <v>0</v>
      </c>
    </row>
    <row r="5484" spans="1:7" x14ac:dyDescent="0.2">
      <c r="A5484" t="s">
        <v>4277</v>
      </c>
      <c r="B5484">
        <v>0</v>
      </c>
      <c r="C5484">
        <v>0</v>
      </c>
      <c r="D5484">
        <v>0</v>
      </c>
      <c r="E5484">
        <v>0</v>
      </c>
      <c r="F5484">
        <v>0</v>
      </c>
      <c r="G5484">
        <v>0</v>
      </c>
    </row>
    <row r="5485" spans="1:7" x14ac:dyDescent="0.2">
      <c r="A5485" t="s">
        <v>4278</v>
      </c>
      <c r="B5485">
        <v>0</v>
      </c>
      <c r="C5485">
        <v>0</v>
      </c>
      <c r="D5485">
        <v>0</v>
      </c>
      <c r="E5485">
        <v>0</v>
      </c>
      <c r="F5485">
        <v>0</v>
      </c>
      <c r="G5485">
        <v>0</v>
      </c>
    </row>
    <row r="5486" spans="1:7" x14ac:dyDescent="0.2">
      <c r="A5486" t="s">
        <v>4279</v>
      </c>
      <c r="B5486">
        <v>0</v>
      </c>
      <c r="C5486">
        <v>0</v>
      </c>
      <c r="D5486">
        <v>0</v>
      </c>
      <c r="E5486">
        <v>0</v>
      </c>
      <c r="F5486">
        <v>0</v>
      </c>
      <c r="G5486">
        <v>0</v>
      </c>
    </row>
    <row r="5487" spans="1:7" x14ac:dyDescent="0.2">
      <c r="A5487" t="s">
        <v>4280</v>
      </c>
      <c r="B5487">
        <v>0</v>
      </c>
      <c r="C5487">
        <v>0</v>
      </c>
      <c r="D5487">
        <v>0</v>
      </c>
      <c r="E5487">
        <v>0</v>
      </c>
      <c r="F5487">
        <v>0</v>
      </c>
      <c r="G5487">
        <v>0</v>
      </c>
    </row>
    <row r="5488" spans="1:7" x14ac:dyDescent="0.2">
      <c r="A5488" t="s">
        <v>4281</v>
      </c>
      <c r="B5488">
        <v>14</v>
      </c>
      <c r="C5488">
        <v>10</v>
      </c>
      <c r="D5488">
        <v>9</v>
      </c>
      <c r="E5488">
        <v>7</v>
      </c>
      <c r="F5488">
        <v>0</v>
      </c>
      <c r="G5488">
        <v>40</v>
      </c>
    </row>
    <row r="5489" spans="1:7" x14ac:dyDescent="0.2">
      <c r="A5489" t="s">
        <v>4282</v>
      </c>
      <c r="B5489">
        <v>12</v>
      </c>
      <c r="C5489">
        <v>9</v>
      </c>
      <c r="D5489">
        <v>8</v>
      </c>
      <c r="E5489">
        <v>0</v>
      </c>
      <c r="F5489">
        <v>0</v>
      </c>
      <c r="G5489">
        <v>30</v>
      </c>
    </row>
    <row r="5490" spans="1:7" x14ac:dyDescent="0.2">
      <c r="A5490" t="s">
        <v>4283</v>
      </c>
      <c r="B5490">
        <v>3</v>
      </c>
      <c r="C5490">
        <v>2</v>
      </c>
      <c r="D5490">
        <v>1</v>
      </c>
      <c r="E5490">
        <v>7</v>
      </c>
      <c r="F5490">
        <v>0</v>
      </c>
      <c r="G5490">
        <v>13</v>
      </c>
    </row>
    <row r="5491" spans="1:7" x14ac:dyDescent="0.2">
      <c r="A5491" t="s">
        <v>4284</v>
      </c>
      <c r="B5491">
        <v>0</v>
      </c>
      <c r="C5491">
        <v>0</v>
      </c>
      <c r="D5491">
        <v>0</v>
      </c>
      <c r="E5491">
        <v>0</v>
      </c>
      <c r="F5491">
        <v>0</v>
      </c>
      <c r="G5491">
        <v>1</v>
      </c>
    </row>
    <row r="5492" spans="1:7" x14ac:dyDescent="0.2">
      <c r="A5492" t="s">
        <v>4285</v>
      </c>
      <c r="B5492">
        <v>10</v>
      </c>
      <c r="C5492">
        <v>9</v>
      </c>
      <c r="D5492">
        <v>6</v>
      </c>
      <c r="E5492">
        <v>6</v>
      </c>
      <c r="F5492">
        <v>0</v>
      </c>
      <c r="G5492">
        <v>31</v>
      </c>
    </row>
    <row r="5493" spans="1:7" x14ac:dyDescent="0.2">
      <c r="A5493" t="s">
        <v>4286</v>
      </c>
      <c r="B5493">
        <v>11</v>
      </c>
      <c r="C5493">
        <v>1</v>
      </c>
      <c r="D5493">
        <v>1</v>
      </c>
      <c r="E5493">
        <v>0</v>
      </c>
      <c r="F5493">
        <v>0</v>
      </c>
      <c r="G5493">
        <v>12</v>
      </c>
    </row>
    <row r="5494" spans="1:7" x14ac:dyDescent="0.2">
      <c r="A5494" t="s">
        <v>4287</v>
      </c>
      <c r="B5494">
        <v>0</v>
      </c>
      <c r="C5494">
        <v>0</v>
      </c>
      <c r="D5494">
        <v>0</v>
      </c>
      <c r="E5494">
        <v>1</v>
      </c>
      <c r="F5494">
        <v>0</v>
      </c>
      <c r="G5494">
        <v>1</v>
      </c>
    </row>
    <row r="5495" spans="1:7" x14ac:dyDescent="0.2">
      <c r="A5495" t="s">
        <v>4288</v>
      </c>
      <c r="B5495">
        <v>0</v>
      </c>
      <c r="C5495">
        <v>0</v>
      </c>
      <c r="D5495">
        <v>0</v>
      </c>
      <c r="E5495">
        <v>0</v>
      </c>
      <c r="F5495">
        <v>0</v>
      </c>
      <c r="G5495">
        <v>0</v>
      </c>
    </row>
    <row r="5496" spans="1:7" x14ac:dyDescent="0.2">
      <c r="A5496" t="s">
        <v>4289</v>
      </c>
      <c r="B5496">
        <v>0</v>
      </c>
      <c r="C5496">
        <v>0</v>
      </c>
      <c r="D5496">
        <v>0</v>
      </c>
      <c r="E5496">
        <v>0</v>
      </c>
      <c r="F5496">
        <v>0</v>
      </c>
      <c r="G5496">
        <v>0</v>
      </c>
    </row>
    <row r="5497" spans="1:7" x14ac:dyDescent="0.2">
      <c r="A5497" t="s">
        <v>4290</v>
      </c>
      <c r="B5497">
        <v>0</v>
      </c>
      <c r="C5497">
        <v>0</v>
      </c>
      <c r="D5497">
        <v>0</v>
      </c>
      <c r="E5497">
        <v>0</v>
      </c>
      <c r="F5497">
        <v>0</v>
      </c>
      <c r="G5497">
        <v>0</v>
      </c>
    </row>
    <row r="5498" spans="1:7" x14ac:dyDescent="0.2">
      <c r="A5498" t="s">
        <v>4291</v>
      </c>
      <c r="B5498">
        <v>0</v>
      </c>
      <c r="C5498">
        <v>0</v>
      </c>
      <c r="D5498">
        <v>0</v>
      </c>
      <c r="E5498">
        <v>0</v>
      </c>
      <c r="F5498">
        <v>0</v>
      </c>
      <c r="G5498">
        <v>0</v>
      </c>
    </row>
    <row r="5499" spans="1:7" x14ac:dyDescent="0.2">
      <c r="A5499" t="s">
        <v>4292</v>
      </c>
      <c r="B5499">
        <v>0</v>
      </c>
      <c r="C5499">
        <v>0</v>
      </c>
      <c r="D5499">
        <v>0</v>
      </c>
      <c r="E5499">
        <v>0</v>
      </c>
      <c r="F5499">
        <v>0</v>
      </c>
      <c r="G5499">
        <v>0</v>
      </c>
    </row>
    <row r="5500" spans="1:7" x14ac:dyDescent="0.2">
      <c r="A5500" t="s">
        <v>4293</v>
      </c>
      <c r="B5500">
        <v>0</v>
      </c>
      <c r="C5500">
        <v>0</v>
      </c>
      <c r="D5500">
        <v>0</v>
      </c>
      <c r="E5500">
        <v>0</v>
      </c>
      <c r="F5500">
        <v>0</v>
      </c>
      <c r="G5500">
        <v>0</v>
      </c>
    </row>
    <row r="5501" spans="1:7" x14ac:dyDescent="0.2">
      <c r="A5501" t="s">
        <v>4294</v>
      </c>
      <c r="B5501">
        <v>0</v>
      </c>
      <c r="C5501">
        <v>0</v>
      </c>
      <c r="D5501">
        <v>0</v>
      </c>
      <c r="E5501">
        <v>0</v>
      </c>
      <c r="F5501">
        <v>0</v>
      </c>
      <c r="G5501">
        <v>0</v>
      </c>
    </row>
    <row r="5502" spans="1:7" x14ac:dyDescent="0.2">
      <c r="A5502" t="s">
        <v>4295</v>
      </c>
      <c r="B5502">
        <v>0</v>
      </c>
      <c r="C5502">
        <v>0</v>
      </c>
      <c r="D5502">
        <v>0</v>
      </c>
      <c r="E5502">
        <v>0</v>
      </c>
      <c r="F5502">
        <v>0</v>
      </c>
      <c r="G5502">
        <v>0</v>
      </c>
    </row>
    <row r="5503" spans="1:7" x14ac:dyDescent="0.2">
      <c r="A5503" t="s">
        <v>4296</v>
      </c>
      <c r="B5503">
        <v>0</v>
      </c>
      <c r="C5503">
        <v>0</v>
      </c>
      <c r="D5503">
        <v>0</v>
      </c>
      <c r="E5503">
        <v>0</v>
      </c>
      <c r="F5503">
        <v>0</v>
      </c>
      <c r="G5503">
        <v>0</v>
      </c>
    </row>
    <row r="5504" spans="1:7" x14ac:dyDescent="0.2">
      <c r="A5504" t="s">
        <v>4297</v>
      </c>
      <c r="B5504">
        <v>1</v>
      </c>
      <c r="C5504">
        <v>11</v>
      </c>
      <c r="D5504">
        <v>24</v>
      </c>
      <c r="E5504">
        <v>3</v>
      </c>
      <c r="F5504">
        <v>0</v>
      </c>
      <c r="G5504">
        <v>39</v>
      </c>
    </row>
    <row r="5505" spans="1:7" x14ac:dyDescent="0.2">
      <c r="A5505" t="s">
        <v>4298</v>
      </c>
      <c r="B5505">
        <v>10</v>
      </c>
      <c r="C5505">
        <v>17</v>
      </c>
      <c r="D5505">
        <v>8</v>
      </c>
      <c r="E5505">
        <v>2</v>
      </c>
      <c r="F5505">
        <v>0</v>
      </c>
      <c r="G5505">
        <v>37</v>
      </c>
    </row>
    <row r="5506" spans="1:7" x14ac:dyDescent="0.2">
      <c r="A5506" t="s">
        <v>4299</v>
      </c>
      <c r="B5506">
        <v>11</v>
      </c>
      <c r="C5506">
        <v>36</v>
      </c>
      <c r="D5506">
        <v>34</v>
      </c>
      <c r="E5506">
        <v>26</v>
      </c>
      <c r="F5506">
        <v>0</v>
      </c>
      <c r="G5506">
        <v>108</v>
      </c>
    </row>
    <row r="5507" spans="1:7" x14ac:dyDescent="0.2">
      <c r="A5507" t="s">
        <v>4300</v>
      </c>
      <c r="B5507">
        <v>0</v>
      </c>
      <c r="C5507">
        <v>2</v>
      </c>
      <c r="D5507">
        <v>3</v>
      </c>
      <c r="E5507">
        <v>2</v>
      </c>
      <c r="F5507">
        <v>0</v>
      </c>
      <c r="G5507">
        <v>7</v>
      </c>
    </row>
    <row r="5508" spans="1:7" x14ac:dyDescent="0.2">
      <c r="A5508" t="s">
        <v>4301</v>
      </c>
      <c r="B5508">
        <v>0</v>
      </c>
      <c r="C5508">
        <v>62</v>
      </c>
      <c r="D5508">
        <v>71</v>
      </c>
      <c r="E5508">
        <v>18</v>
      </c>
      <c r="F5508">
        <v>0</v>
      </c>
      <c r="G5508">
        <v>151</v>
      </c>
    </row>
    <row r="5509" spans="1:7" x14ac:dyDescent="0.2">
      <c r="A5509" t="s">
        <v>4302</v>
      </c>
      <c r="B5509">
        <v>6</v>
      </c>
      <c r="C5509">
        <v>46</v>
      </c>
      <c r="D5509">
        <v>95</v>
      </c>
      <c r="E5509">
        <v>23</v>
      </c>
      <c r="F5509">
        <v>0</v>
      </c>
      <c r="G5509">
        <v>170</v>
      </c>
    </row>
    <row r="5510" spans="1:7" x14ac:dyDescent="0.2">
      <c r="A5510" t="s">
        <v>4303</v>
      </c>
      <c r="B5510">
        <v>6</v>
      </c>
      <c r="C5510">
        <v>128</v>
      </c>
      <c r="D5510">
        <v>385</v>
      </c>
      <c r="E5510">
        <v>57</v>
      </c>
      <c r="F5510">
        <v>0</v>
      </c>
      <c r="G5510">
        <v>577</v>
      </c>
    </row>
    <row r="5511" spans="1:7" x14ac:dyDescent="0.2">
      <c r="A5511" t="s">
        <v>4304</v>
      </c>
      <c r="B5511">
        <v>1</v>
      </c>
      <c r="C5511">
        <v>8</v>
      </c>
      <c r="D5511">
        <v>18</v>
      </c>
      <c r="E5511">
        <v>2</v>
      </c>
      <c r="F5511">
        <v>0</v>
      </c>
      <c r="G5511">
        <v>29</v>
      </c>
    </row>
    <row r="5512" spans="1:7" x14ac:dyDescent="0.2">
      <c r="A5512" t="s">
        <v>4305</v>
      </c>
      <c r="B5512">
        <v>73</v>
      </c>
      <c r="C5512">
        <v>146</v>
      </c>
      <c r="D5512">
        <v>200</v>
      </c>
      <c r="E5512">
        <v>50</v>
      </c>
      <c r="F5512">
        <v>0</v>
      </c>
      <c r="G5512">
        <v>469</v>
      </c>
    </row>
    <row r="5513" spans="1:7" x14ac:dyDescent="0.2">
      <c r="A5513" t="s">
        <v>4306</v>
      </c>
      <c r="B5513">
        <v>5</v>
      </c>
      <c r="C5513">
        <v>45</v>
      </c>
      <c r="D5513">
        <v>10</v>
      </c>
      <c r="E5513">
        <v>4</v>
      </c>
      <c r="F5513">
        <v>0</v>
      </c>
      <c r="G5513">
        <v>64</v>
      </c>
    </row>
    <row r="5514" spans="1:7" x14ac:dyDescent="0.2">
      <c r="A5514" t="s">
        <v>4307</v>
      </c>
      <c r="B5514">
        <v>32</v>
      </c>
      <c r="C5514">
        <v>429</v>
      </c>
      <c r="D5514">
        <v>1349</v>
      </c>
      <c r="E5514">
        <v>204</v>
      </c>
      <c r="F5514">
        <v>0</v>
      </c>
      <c r="G5514">
        <v>2015</v>
      </c>
    </row>
    <row r="5515" spans="1:7" x14ac:dyDescent="0.2">
      <c r="A5515" t="s">
        <v>4308</v>
      </c>
      <c r="B5515">
        <v>0</v>
      </c>
      <c r="C5515">
        <v>0</v>
      </c>
      <c r="D5515">
        <v>17</v>
      </c>
      <c r="E5515">
        <v>22</v>
      </c>
      <c r="F5515">
        <v>0</v>
      </c>
      <c r="G5515">
        <v>38</v>
      </c>
    </row>
    <row r="5516" spans="1:7" x14ac:dyDescent="0.2">
      <c r="A5516" t="s">
        <v>4309</v>
      </c>
      <c r="B5516">
        <v>0</v>
      </c>
      <c r="C5516">
        <v>0</v>
      </c>
      <c r="D5516">
        <v>0</v>
      </c>
      <c r="E5516">
        <v>0</v>
      </c>
      <c r="F5516">
        <v>0</v>
      </c>
      <c r="G5516">
        <v>0</v>
      </c>
    </row>
    <row r="5517" spans="1:7" x14ac:dyDescent="0.2">
      <c r="A5517" t="s">
        <v>4310</v>
      </c>
      <c r="B5517">
        <v>0</v>
      </c>
      <c r="C5517">
        <v>0</v>
      </c>
      <c r="D5517">
        <v>0</v>
      </c>
      <c r="E5517">
        <v>0</v>
      </c>
      <c r="F5517">
        <v>0</v>
      </c>
      <c r="G5517">
        <v>0</v>
      </c>
    </row>
    <row r="5518" spans="1:7" x14ac:dyDescent="0.2">
      <c r="A5518" t="s">
        <v>4311</v>
      </c>
      <c r="B5518">
        <v>0</v>
      </c>
      <c r="C5518">
        <v>0</v>
      </c>
      <c r="D5518">
        <v>0</v>
      </c>
      <c r="E5518">
        <v>3</v>
      </c>
      <c r="F5518">
        <v>0</v>
      </c>
      <c r="G5518">
        <v>3</v>
      </c>
    </row>
    <row r="5519" spans="1:7" x14ac:dyDescent="0.2">
      <c r="A5519" t="s">
        <v>4312</v>
      </c>
      <c r="B5519">
        <v>0</v>
      </c>
      <c r="C5519">
        <v>0</v>
      </c>
      <c r="D5519">
        <v>0</v>
      </c>
      <c r="E5519">
        <v>0</v>
      </c>
      <c r="F5519">
        <v>0</v>
      </c>
      <c r="G5519">
        <v>0</v>
      </c>
    </row>
    <row r="5520" spans="1:7" x14ac:dyDescent="0.2">
      <c r="A5520" t="s">
        <v>4313</v>
      </c>
      <c r="B5520">
        <v>0</v>
      </c>
      <c r="C5520">
        <v>0</v>
      </c>
      <c r="D5520">
        <v>0</v>
      </c>
      <c r="E5520">
        <v>0</v>
      </c>
      <c r="F5520">
        <v>0</v>
      </c>
      <c r="G5520">
        <v>0</v>
      </c>
    </row>
    <row r="5521" spans="1:7" x14ac:dyDescent="0.2">
      <c r="A5521" t="s">
        <v>4314</v>
      </c>
      <c r="B5521">
        <v>0</v>
      </c>
      <c r="C5521">
        <v>0</v>
      </c>
      <c r="D5521">
        <v>0</v>
      </c>
      <c r="E5521">
        <v>0</v>
      </c>
      <c r="F5521">
        <v>0</v>
      </c>
      <c r="G5521">
        <v>0</v>
      </c>
    </row>
    <row r="5522" spans="1:7" x14ac:dyDescent="0.2">
      <c r="A5522" t="s">
        <v>4315</v>
      </c>
      <c r="B5522">
        <v>0</v>
      </c>
      <c r="C5522">
        <v>0</v>
      </c>
      <c r="D5522">
        <v>0</v>
      </c>
      <c r="E5522">
        <v>0</v>
      </c>
      <c r="F5522">
        <v>0</v>
      </c>
      <c r="G5522">
        <v>0</v>
      </c>
    </row>
    <row r="5523" spans="1:7" x14ac:dyDescent="0.2">
      <c r="A5523" t="s">
        <v>4316</v>
      </c>
      <c r="B5523">
        <v>0</v>
      </c>
      <c r="C5523">
        <v>0</v>
      </c>
      <c r="D5523">
        <v>0</v>
      </c>
      <c r="E5523">
        <v>0</v>
      </c>
      <c r="F5523">
        <v>0</v>
      </c>
      <c r="G5523">
        <v>0</v>
      </c>
    </row>
    <row r="5524" spans="1:7" x14ac:dyDescent="0.2">
      <c r="A5524" t="s">
        <v>4317</v>
      </c>
      <c r="B5524">
        <v>0</v>
      </c>
      <c r="C5524">
        <v>0</v>
      </c>
      <c r="D5524">
        <v>0</v>
      </c>
      <c r="E5524">
        <v>0</v>
      </c>
      <c r="F5524">
        <v>0</v>
      </c>
      <c r="G5524">
        <v>0</v>
      </c>
    </row>
    <row r="5525" spans="1:7" x14ac:dyDescent="0.2">
      <c r="A5525" t="s">
        <v>4318</v>
      </c>
      <c r="B5525">
        <v>0</v>
      </c>
      <c r="C5525">
        <v>0</v>
      </c>
      <c r="D5525">
        <v>0</v>
      </c>
      <c r="E5525">
        <v>0</v>
      </c>
      <c r="F5525">
        <v>0</v>
      </c>
      <c r="G5525">
        <v>0</v>
      </c>
    </row>
    <row r="5526" spans="1:7" x14ac:dyDescent="0.2">
      <c r="A5526" t="s">
        <v>4319</v>
      </c>
      <c r="B5526">
        <v>0</v>
      </c>
      <c r="C5526">
        <v>0</v>
      </c>
      <c r="D5526">
        <v>0</v>
      </c>
      <c r="E5526">
        <v>0</v>
      </c>
      <c r="F5526">
        <v>0</v>
      </c>
      <c r="G5526">
        <v>0</v>
      </c>
    </row>
    <row r="5527" spans="1:7" x14ac:dyDescent="0.2">
      <c r="A5527" t="s">
        <v>4320</v>
      </c>
      <c r="B5527">
        <v>0</v>
      </c>
      <c r="C5527">
        <v>0</v>
      </c>
      <c r="D5527">
        <v>0</v>
      </c>
      <c r="E5527">
        <v>0</v>
      </c>
      <c r="F5527">
        <v>0</v>
      </c>
      <c r="G5527">
        <v>0</v>
      </c>
    </row>
    <row r="5528" spans="1:7" x14ac:dyDescent="0.2">
      <c r="A5528" t="s">
        <v>4321</v>
      </c>
      <c r="B5528">
        <v>0</v>
      </c>
      <c r="C5528">
        <v>0</v>
      </c>
      <c r="D5528">
        <v>0</v>
      </c>
      <c r="E5528">
        <v>0</v>
      </c>
      <c r="F5528">
        <v>0</v>
      </c>
      <c r="G5528">
        <v>0</v>
      </c>
    </row>
    <row r="5529" spans="1:7" x14ac:dyDescent="0.2">
      <c r="A5529" t="s">
        <v>4322</v>
      </c>
      <c r="B5529">
        <v>0</v>
      </c>
      <c r="C5529">
        <v>0</v>
      </c>
      <c r="D5529">
        <v>0</v>
      </c>
      <c r="E5529">
        <v>0</v>
      </c>
      <c r="F5529">
        <v>0</v>
      </c>
      <c r="G5529">
        <v>0</v>
      </c>
    </row>
    <row r="5530" spans="1:7" x14ac:dyDescent="0.2">
      <c r="A5530" t="s">
        <v>4323</v>
      </c>
      <c r="B5530">
        <v>0</v>
      </c>
      <c r="C5530">
        <v>0</v>
      </c>
      <c r="D5530">
        <v>0</v>
      </c>
      <c r="E5530">
        <v>0</v>
      </c>
      <c r="F5530">
        <v>0</v>
      </c>
      <c r="G5530">
        <v>0</v>
      </c>
    </row>
    <row r="5531" spans="1:7" x14ac:dyDescent="0.2">
      <c r="A5531" t="s">
        <v>4324</v>
      </c>
      <c r="B5531">
        <v>0</v>
      </c>
      <c r="C5531">
        <v>0</v>
      </c>
      <c r="D5531">
        <v>0</v>
      </c>
      <c r="E5531">
        <v>0</v>
      </c>
      <c r="F5531">
        <v>0</v>
      </c>
      <c r="G5531">
        <v>0</v>
      </c>
    </row>
    <row r="5532" spans="1:7" x14ac:dyDescent="0.2">
      <c r="A5532" t="s">
        <v>4325</v>
      </c>
      <c r="B5532">
        <v>0</v>
      </c>
      <c r="C5532">
        <v>0</v>
      </c>
      <c r="D5532">
        <v>0</v>
      </c>
      <c r="E5532">
        <v>0</v>
      </c>
      <c r="F5532">
        <v>0</v>
      </c>
      <c r="G5532">
        <v>0</v>
      </c>
    </row>
    <row r="5533" spans="1:7" x14ac:dyDescent="0.2">
      <c r="A5533" t="s">
        <v>4326</v>
      </c>
      <c r="B5533">
        <v>0</v>
      </c>
      <c r="C5533">
        <v>0</v>
      </c>
      <c r="D5533">
        <v>0</v>
      </c>
      <c r="E5533">
        <v>0</v>
      </c>
      <c r="F5533">
        <v>0</v>
      </c>
      <c r="G5533">
        <v>0</v>
      </c>
    </row>
    <row r="5534" spans="1:7" x14ac:dyDescent="0.2">
      <c r="A5534" t="s">
        <v>4327</v>
      </c>
      <c r="B5534">
        <v>0</v>
      </c>
      <c r="C5534">
        <v>0</v>
      </c>
      <c r="D5534">
        <v>0</v>
      </c>
      <c r="E5534">
        <v>0</v>
      </c>
      <c r="F5534">
        <v>0</v>
      </c>
      <c r="G5534">
        <v>0</v>
      </c>
    </row>
    <row r="5535" spans="1:7" x14ac:dyDescent="0.2">
      <c r="A5535" t="s">
        <v>4328</v>
      </c>
      <c r="B5535">
        <v>0</v>
      </c>
      <c r="C5535">
        <v>0</v>
      </c>
      <c r="D5535">
        <v>0</v>
      </c>
      <c r="E5535">
        <v>0</v>
      </c>
      <c r="F5535">
        <v>0</v>
      </c>
      <c r="G5535">
        <v>0</v>
      </c>
    </row>
    <row r="5536" spans="1:7" x14ac:dyDescent="0.2">
      <c r="A5536" t="s">
        <v>4329</v>
      </c>
      <c r="B5536">
        <v>0</v>
      </c>
      <c r="C5536">
        <v>0</v>
      </c>
      <c r="D5536">
        <v>0</v>
      </c>
      <c r="E5536">
        <v>0</v>
      </c>
      <c r="F5536">
        <v>0</v>
      </c>
      <c r="G5536">
        <v>0</v>
      </c>
    </row>
    <row r="5537" spans="1:7" x14ac:dyDescent="0.2">
      <c r="A5537" t="s">
        <v>4330</v>
      </c>
      <c r="B5537">
        <v>0</v>
      </c>
      <c r="C5537">
        <v>0</v>
      </c>
      <c r="D5537">
        <v>0</v>
      </c>
      <c r="E5537">
        <v>0</v>
      </c>
      <c r="F5537">
        <v>0</v>
      </c>
      <c r="G5537">
        <v>0</v>
      </c>
    </row>
    <row r="5538" spans="1:7" x14ac:dyDescent="0.2">
      <c r="A5538" t="s">
        <v>4331</v>
      </c>
      <c r="B5538">
        <v>0</v>
      </c>
      <c r="C5538">
        <v>0</v>
      </c>
      <c r="D5538">
        <v>0</v>
      </c>
      <c r="E5538">
        <v>0</v>
      </c>
      <c r="F5538">
        <v>0</v>
      </c>
      <c r="G5538">
        <v>0</v>
      </c>
    </row>
    <row r="5539" spans="1:7" x14ac:dyDescent="0.2">
      <c r="A5539" t="s">
        <v>4332</v>
      </c>
      <c r="B5539">
        <v>0</v>
      </c>
      <c r="C5539">
        <v>0</v>
      </c>
      <c r="D5539">
        <v>0</v>
      </c>
      <c r="E5539">
        <v>0</v>
      </c>
      <c r="F5539">
        <v>0</v>
      </c>
      <c r="G5539">
        <v>0</v>
      </c>
    </row>
    <row r="5540" spans="1:7" x14ac:dyDescent="0.2">
      <c r="A5540" t="s">
        <v>4333</v>
      </c>
      <c r="B5540">
        <v>0</v>
      </c>
      <c r="C5540">
        <v>0</v>
      </c>
      <c r="D5540">
        <v>0</v>
      </c>
      <c r="E5540">
        <v>0</v>
      </c>
      <c r="F5540">
        <v>0</v>
      </c>
      <c r="G5540">
        <v>0</v>
      </c>
    </row>
    <row r="5541" spans="1:7" x14ac:dyDescent="0.2">
      <c r="A5541" t="s">
        <v>4334</v>
      </c>
      <c r="B5541">
        <v>0</v>
      </c>
      <c r="C5541">
        <v>0</v>
      </c>
      <c r="D5541">
        <v>0</v>
      </c>
      <c r="E5541">
        <v>0</v>
      </c>
      <c r="F5541">
        <v>0</v>
      </c>
      <c r="G5541">
        <v>0</v>
      </c>
    </row>
    <row r="5542" spans="1:7" x14ac:dyDescent="0.2">
      <c r="A5542" t="s">
        <v>4335</v>
      </c>
      <c r="B5542">
        <v>0</v>
      </c>
      <c r="C5542">
        <v>0</v>
      </c>
      <c r="D5542">
        <v>0</v>
      </c>
      <c r="E5542">
        <v>0</v>
      </c>
      <c r="F5542">
        <v>0</v>
      </c>
      <c r="G5542">
        <v>0</v>
      </c>
    </row>
    <row r="5543" spans="1:7" x14ac:dyDescent="0.2">
      <c r="A5543" t="s">
        <v>4336</v>
      </c>
      <c r="B5543">
        <v>0</v>
      </c>
      <c r="C5543">
        <v>0</v>
      </c>
      <c r="D5543">
        <v>0</v>
      </c>
      <c r="E5543">
        <v>0</v>
      </c>
      <c r="F5543">
        <v>0</v>
      </c>
      <c r="G5543">
        <v>0</v>
      </c>
    </row>
    <row r="5544" spans="1:7" x14ac:dyDescent="0.2">
      <c r="A5544" t="s">
        <v>4337</v>
      </c>
      <c r="B5544">
        <v>0</v>
      </c>
      <c r="C5544">
        <v>0</v>
      </c>
      <c r="D5544">
        <v>0</v>
      </c>
      <c r="E5544">
        <v>0</v>
      </c>
      <c r="F5544">
        <v>0</v>
      </c>
      <c r="G5544">
        <v>0</v>
      </c>
    </row>
    <row r="5545" spans="1:7" x14ac:dyDescent="0.2">
      <c r="A5545" t="s">
        <v>4338</v>
      </c>
      <c r="B5545">
        <v>0</v>
      </c>
      <c r="C5545">
        <v>0</v>
      </c>
      <c r="D5545">
        <v>0</v>
      </c>
      <c r="E5545">
        <v>1</v>
      </c>
      <c r="F5545">
        <v>0</v>
      </c>
      <c r="G5545">
        <v>1</v>
      </c>
    </row>
    <row r="5546" spans="1:7" x14ac:dyDescent="0.2">
      <c r="A5546" t="s">
        <v>4339</v>
      </c>
      <c r="B5546">
        <v>0</v>
      </c>
      <c r="C5546">
        <v>0</v>
      </c>
      <c r="D5546">
        <v>0</v>
      </c>
      <c r="E5546">
        <v>0</v>
      </c>
      <c r="F5546">
        <v>0</v>
      </c>
      <c r="G5546">
        <v>0</v>
      </c>
    </row>
    <row r="5547" spans="1:7" x14ac:dyDescent="0.2">
      <c r="A5547" t="s">
        <v>4340</v>
      </c>
      <c r="B5547">
        <v>0</v>
      </c>
      <c r="C5547">
        <v>0</v>
      </c>
      <c r="D5547">
        <v>0</v>
      </c>
      <c r="E5547">
        <v>0</v>
      </c>
      <c r="F5547">
        <v>0</v>
      </c>
      <c r="G5547">
        <v>0</v>
      </c>
    </row>
    <row r="5548" spans="1:7" x14ac:dyDescent="0.2">
      <c r="A5548" t="s">
        <v>4341</v>
      </c>
      <c r="B5548">
        <v>0</v>
      </c>
      <c r="C5548">
        <v>0</v>
      </c>
      <c r="D5548">
        <v>0</v>
      </c>
      <c r="E5548">
        <v>0</v>
      </c>
      <c r="F5548">
        <v>0</v>
      </c>
      <c r="G5548">
        <v>0</v>
      </c>
    </row>
    <row r="5549" spans="1:7" x14ac:dyDescent="0.2">
      <c r="A5549" t="s">
        <v>4342</v>
      </c>
      <c r="B5549">
        <v>0</v>
      </c>
      <c r="C5549">
        <v>0</v>
      </c>
      <c r="D5549">
        <v>0</v>
      </c>
      <c r="E5549">
        <v>0</v>
      </c>
      <c r="F5549">
        <v>0</v>
      </c>
      <c r="G5549">
        <v>0</v>
      </c>
    </row>
    <row r="5550" spans="1:7" x14ac:dyDescent="0.2">
      <c r="A5550" t="s">
        <v>4343</v>
      </c>
      <c r="B5550">
        <v>0</v>
      </c>
      <c r="C5550">
        <v>0</v>
      </c>
      <c r="D5550">
        <v>0</v>
      </c>
      <c r="E5550">
        <v>0</v>
      </c>
      <c r="F5550">
        <v>0</v>
      </c>
      <c r="G5550">
        <v>0</v>
      </c>
    </row>
    <row r="5551" spans="1:7" x14ac:dyDescent="0.2">
      <c r="A5551" t="s">
        <v>1728</v>
      </c>
      <c r="B5551">
        <v>0</v>
      </c>
      <c r="C5551">
        <v>0</v>
      </c>
      <c r="D5551">
        <v>0</v>
      </c>
      <c r="E5551">
        <v>0</v>
      </c>
      <c r="F5551">
        <v>0</v>
      </c>
      <c r="G5551">
        <v>0</v>
      </c>
    </row>
    <row r="5552" spans="1:7" x14ac:dyDescent="0.2">
      <c r="A5552" t="s">
        <v>1730</v>
      </c>
      <c r="B5552">
        <v>0</v>
      </c>
      <c r="C5552">
        <v>4</v>
      </c>
      <c r="D5552">
        <v>41</v>
      </c>
      <c r="E5552">
        <v>23</v>
      </c>
      <c r="F5552">
        <v>118</v>
      </c>
      <c r="G5552">
        <v>186</v>
      </c>
    </row>
    <row r="5553" spans="1:7" x14ac:dyDescent="0.2">
      <c r="A5553" t="s">
        <v>1733</v>
      </c>
      <c r="B5553">
        <v>0</v>
      </c>
      <c r="C5553">
        <v>0</v>
      </c>
      <c r="D5553">
        <v>0</v>
      </c>
      <c r="E5553">
        <v>0</v>
      </c>
      <c r="F5553">
        <v>0</v>
      </c>
      <c r="G5553">
        <v>0</v>
      </c>
    </row>
    <row r="5554" spans="1:7" x14ac:dyDescent="0.2">
      <c r="A5554" t="s">
        <v>1738</v>
      </c>
      <c r="B5554">
        <v>0</v>
      </c>
      <c r="C5554">
        <v>0</v>
      </c>
      <c r="D5554">
        <v>0</v>
      </c>
      <c r="E5554">
        <v>0</v>
      </c>
      <c r="F5554">
        <v>0</v>
      </c>
      <c r="G5554">
        <v>0</v>
      </c>
    </row>
    <row r="5555" spans="1:7" x14ac:dyDescent="0.2">
      <c r="A5555" t="s">
        <v>1744</v>
      </c>
      <c r="B5555">
        <v>0</v>
      </c>
      <c r="C5555">
        <v>0</v>
      </c>
      <c r="D5555">
        <v>0</v>
      </c>
      <c r="E5555">
        <v>0</v>
      </c>
      <c r="F5555">
        <v>0</v>
      </c>
      <c r="G5555">
        <v>0</v>
      </c>
    </row>
    <row r="5556" spans="1:7" x14ac:dyDescent="0.2">
      <c r="A5556" t="s">
        <v>1747</v>
      </c>
      <c r="B5556">
        <v>0</v>
      </c>
      <c r="C5556">
        <v>0</v>
      </c>
      <c r="D5556">
        <v>0</v>
      </c>
      <c r="E5556">
        <v>0</v>
      </c>
      <c r="F5556">
        <v>0</v>
      </c>
      <c r="G5556">
        <v>0</v>
      </c>
    </row>
    <row r="5557" spans="1:7" x14ac:dyDescent="0.2">
      <c r="A5557" t="s">
        <v>1751</v>
      </c>
      <c r="B5557">
        <v>0</v>
      </c>
      <c r="C5557">
        <v>0</v>
      </c>
      <c r="D5557">
        <v>0</v>
      </c>
      <c r="E5557">
        <v>0</v>
      </c>
      <c r="F5557">
        <v>0</v>
      </c>
      <c r="G5557">
        <v>0</v>
      </c>
    </row>
    <row r="5558" spans="1:7" x14ac:dyDescent="0.2">
      <c r="A5558" t="s">
        <v>1755</v>
      </c>
      <c r="B5558">
        <v>0</v>
      </c>
      <c r="C5558">
        <v>0</v>
      </c>
      <c r="D5558">
        <v>3</v>
      </c>
      <c r="E5558">
        <v>43</v>
      </c>
      <c r="F5558">
        <v>33</v>
      </c>
      <c r="G5558">
        <v>79</v>
      </c>
    </row>
    <row r="5559" spans="1:7" x14ac:dyDescent="0.2">
      <c r="A5559" t="s">
        <v>1757</v>
      </c>
      <c r="B5559">
        <v>0</v>
      </c>
      <c r="C5559">
        <v>0</v>
      </c>
      <c r="D5559">
        <v>6</v>
      </c>
      <c r="E5559">
        <v>41</v>
      </c>
      <c r="F5559">
        <v>35</v>
      </c>
      <c r="G5559">
        <v>82</v>
      </c>
    </row>
    <row r="5560" spans="1:7" x14ac:dyDescent="0.2">
      <c r="A5560" t="s">
        <v>1761</v>
      </c>
      <c r="B5560">
        <v>0</v>
      </c>
      <c r="C5560">
        <v>0</v>
      </c>
      <c r="D5560">
        <v>0</v>
      </c>
      <c r="E5560">
        <v>0</v>
      </c>
      <c r="F5560">
        <v>0</v>
      </c>
      <c r="G5560">
        <v>0</v>
      </c>
    </row>
    <row r="5561" spans="1:7" x14ac:dyDescent="0.2">
      <c r="A5561" t="s">
        <v>1764</v>
      </c>
      <c r="B5561">
        <v>0</v>
      </c>
      <c r="C5561">
        <v>0</v>
      </c>
      <c r="D5561">
        <v>0</v>
      </c>
      <c r="E5561">
        <v>0</v>
      </c>
      <c r="F5561">
        <v>0</v>
      </c>
      <c r="G5561">
        <v>0</v>
      </c>
    </row>
    <row r="5562" spans="1:7" x14ac:dyDescent="0.2">
      <c r="A5562" t="s">
        <v>1770</v>
      </c>
      <c r="B5562">
        <v>2</v>
      </c>
      <c r="C5562">
        <v>14</v>
      </c>
      <c r="D5562">
        <v>74</v>
      </c>
      <c r="E5562">
        <v>628</v>
      </c>
      <c r="F5562">
        <v>0</v>
      </c>
      <c r="G5562">
        <v>717</v>
      </c>
    </row>
    <row r="5563" spans="1:7" x14ac:dyDescent="0.2">
      <c r="A5563" t="s">
        <v>1772</v>
      </c>
      <c r="B5563">
        <v>0</v>
      </c>
      <c r="C5563">
        <v>2</v>
      </c>
      <c r="D5563">
        <v>23</v>
      </c>
      <c r="E5563">
        <v>262</v>
      </c>
      <c r="F5563">
        <v>0</v>
      </c>
      <c r="G5563">
        <v>287</v>
      </c>
    </row>
    <row r="5564" spans="1:7" x14ac:dyDescent="0.2">
      <c r="A5564" t="s">
        <v>1774</v>
      </c>
      <c r="B5564">
        <v>0</v>
      </c>
      <c r="C5564">
        <v>1</v>
      </c>
      <c r="D5564">
        <v>7</v>
      </c>
      <c r="E5564">
        <v>51</v>
      </c>
      <c r="F5564">
        <v>0</v>
      </c>
      <c r="G5564">
        <v>58</v>
      </c>
    </row>
    <row r="5565" spans="1:7" x14ac:dyDescent="0.2">
      <c r="A5565" t="s">
        <v>1777</v>
      </c>
      <c r="B5565">
        <v>0</v>
      </c>
      <c r="C5565">
        <v>0</v>
      </c>
      <c r="D5565">
        <v>0</v>
      </c>
      <c r="E5565">
        <v>0</v>
      </c>
      <c r="F5565">
        <v>0</v>
      </c>
      <c r="G5565">
        <v>0</v>
      </c>
    </row>
    <row r="5566" spans="1:7" x14ac:dyDescent="0.2">
      <c r="A5566" t="s">
        <v>1782</v>
      </c>
      <c r="B5566">
        <v>0</v>
      </c>
      <c r="C5566">
        <v>0</v>
      </c>
      <c r="D5566">
        <v>0</v>
      </c>
      <c r="E5566">
        <v>0</v>
      </c>
      <c r="F5566">
        <v>0</v>
      </c>
      <c r="G5566">
        <v>0</v>
      </c>
    </row>
    <row r="5567" spans="1:7" x14ac:dyDescent="0.2">
      <c r="A5567" t="s">
        <v>1274</v>
      </c>
      <c r="B5567">
        <v>0</v>
      </c>
      <c r="C5567">
        <v>0</v>
      </c>
      <c r="D5567">
        <v>0</v>
      </c>
      <c r="E5567">
        <v>11</v>
      </c>
      <c r="F5567">
        <v>0</v>
      </c>
      <c r="G5567">
        <v>11</v>
      </c>
    </row>
    <row r="5568" spans="1:7" x14ac:dyDescent="0.2">
      <c r="A5568" t="s">
        <v>1277</v>
      </c>
      <c r="B5568">
        <v>0</v>
      </c>
      <c r="C5568">
        <v>0</v>
      </c>
      <c r="D5568">
        <v>0</v>
      </c>
      <c r="E5568">
        <v>91</v>
      </c>
      <c r="F5568">
        <v>2</v>
      </c>
      <c r="G5568">
        <v>92</v>
      </c>
    </row>
    <row r="5569" spans="1:7" x14ac:dyDescent="0.2">
      <c r="A5569" t="s">
        <v>1798</v>
      </c>
      <c r="B5569">
        <v>0</v>
      </c>
      <c r="C5569">
        <v>0</v>
      </c>
      <c r="D5569">
        <v>0</v>
      </c>
      <c r="E5569">
        <v>0</v>
      </c>
      <c r="F5569">
        <v>0</v>
      </c>
      <c r="G5569">
        <v>0</v>
      </c>
    </row>
    <row r="5570" spans="1:7" x14ac:dyDescent="0.2">
      <c r="A5570" t="s">
        <v>1803</v>
      </c>
      <c r="B5570">
        <v>0</v>
      </c>
      <c r="C5570">
        <v>0</v>
      </c>
      <c r="D5570">
        <v>0</v>
      </c>
      <c r="E5570">
        <v>0</v>
      </c>
      <c r="F5570">
        <v>0</v>
      </c>
      <c r="G5570">
        <v>0</v>
      </c>
    </row>
    <row r="5571" spans="1:7" x14ac:dyDescent="0.2">
      <c r="A5571" t="s">
        <v>1808</v>
      </c>
      <c r="B5571">
        <v>0</v>
      </c>
      <c r="C5571">
        <v>0</v>
      </c>
      <c r="D5571">
        <v>0</v>
      </c>
      <c r="E5571">
        <v>0</v>
      </c>
      <c r="F5571">
        <v>0</v>
      </c>
      <c r="G5571">
        <v>0</v>
      </c>
    </row>
    <row r="5572" spans="1:7" x14ac:dyDescent="0.2">
      <c r="A5572" t="s">
        <v>1813</v>
      </c>
      <c r="B5572">
        <v>0</v>
      </c>
      <c r="C5572">
        <v>0</v>
      </c>
      <c r="D5572">
        <v>0</v>
      </c>
      <c r="E5572">
        <v>0</v>
      </c>
      <c r="F5572">
        <v>0</v>
      </c>
      <c r="G5572">
        <v>0</v>
      </c>
    </row>
    <row r="5573" spans="1:7" x14ac:dyDescent="0.2">
      <c r="A5573" t="s">
        <v>1819</v>
      </c>
      <c r="B5573">
        <v>0</v>
      </c>
      <c r="C5573">
        <v>0</v>
      </c>
      <c r="D5573">
        <v>0</v>
      </c>
      <c r="E5573">
        <v>0</v>
      </c>
      <c r="F5573">
        <v>0</v>
      </c>
      <c r="G5573">
        <v>0</v>
      </c>
    </row>
    <row r="5574" spans="1:7" x14ac:dyDescent="0.2">
      <c r="A5574" t="s">
        <v>1826</v>
      </c>
      <c r="B5574">
        <v>0</v>
      </c>
      <c r="C5574">
        <v>0</v>
      </c>
      <c r="D5574">
        <v>0</v>
      </c>
      <c r="E5574">
        <v>0</v>
      </c>
      <c r="F5574">
        <v>0</v>
      </c>
      <c r="G5574">
        <v>0</v>
      </c>
    </row>
    <row r="5575" spans="1:7" x14ac:dyDescent="0.2">
      <c r="A5575" t="s">
        <v>1830</v>
      </c>
      <c r="B5575">
        <v>0</v>
      </c>
      <c r="C5575">
        <v>0</v>
      </c>
      <c r="D5575">
        <v>0</v>
      </c>
      <c r="E5575">
        <v>0</v>
      </c>
      <c r="F5575">
        <v>0</v>
      </c>
      <c r="G5575">
        <v>0</v>
      </c>
    </row>
    <row r="5576" spans="1:7" x14ac:dyDescent="0.2">
      <c r="A5576" t="s">
        <v>1836</v>
      </c>
      <c r="B5576">
        <v>0</v>
      </c>
      <c r="C5576">
        <v>0</v>
      </c>
      <c r="D5576">
        <v>0</v>
      </c>
      <c r="E5576">
        <v>0</v>
      </c>
      <c r="F5576">
        <v>0</v>
      </c>
      <c r="G5576">
        <v>0</v>
      </c>
    </row>
    <row r="5577" spans="1:7" x14ac:dyDescent="0.2">
      <c r="A5577" t="s">
        <v>1841</v>
      </c>
      <c r="B5577">
        <v>0</v>
      </c>
      <c r="C5577">
        <v>0</v>
      </c>
      <c r="D5577">
        <v>0</v>
      </c>
      <c r="E5577">
        <v>0</v>
      </c>
      <c r="F5577">
        <v>0</v>
      </c>
      <c r="G5577">
        <v>0</v>
      </c>
    </row>
    <row r="5578" spans="1:7" x14ac:dyDescent="0.2">
      <c r="A5578" t="s">
        <v>1842</v>
      </c>
      <c r="B5578">
        <v>0</v>
      </c>
      <c r="C5578">
        <v>142</v>
      </c>
      <c r="D5578">
        <v>284</v>
      </c>
      <c r="E5578">
        <v>541</v>
      </c>
      <c r="F5578">
        <v>0</v>
      </c>
      <c r="G5578">
        <v>968</v>
      </c>
    </row>
    <row r="5579" spans="1:7" x14ac:dyDescent="0.2">
      <c r="A5579" t="s">
        <v>1843</v>
      </c>
      <c r="B5579">
        <v>0</v>
      </c>
      <c r="C5579">
        <v>0</v>
      </c>
      <c r="D5579">
        <v>0</v>
      </c>
      <c r="E5579">
        <v>0</v>
      </c>
      <c r="F5579">
        <v>0</v>
      </c>
      <c r="G5579">
        <v>0</v>
      </c>
    </row>
    <row r="5580" spans="1:7" x14ac:dyDescent="0.2">
      <c r="A5580" t="s">
        <v>1846</v>
      </c>
      <c r="B5580">
        <v>0</v>
      </c>
      <c r="C5580">
        <v>0</v>
      </c>
      <c r="D5580">
        <v>0</v>
      </c>
      <c r="E5580">
        <v>0</v>
      </c>
      <c r="F5580">
        <v>0</v>
      </c>
      <c r="G5580">
        <v>0</v>
      </c>
    </row>
    <row r="5581" spans="1:7" x14ac:dyDescent="0.2">
      <c r="A5581" t="s">
        <v>1851</v>
      </c>
      <c r="B5581">
        <v>0</v>
      </c>
      <c r="C5581">
        <v>0</v>
      </c>
      <c r="D5581">
        <v>0</v>
      </c>
      <c r="E5581">
        <v>207</v>
      </c>
      <c r="F5581">
        <v>26</v>
      </c>
      <c r="G5581">
        <v>232</v>
      </c>
    </row>
    <row r="5582" spans="1:7" x14ac:dyDescent="0.2">
      <c r="A5582" t="s">
        <v>1857</v>
      </c>
      <c r="B5582">
        <v>0</v>
      </c>
      <c r="C5582">
        <v>0</v>
      </c>
      <c r="D5582">
        <v>0</v>
      </c>
      <c r="E5582">
        <v>0</v>
      </c>
      <c r="F5582">
        <v>0</v>
      </c>
      <c r="G5582">
        <v>0</v>
      </c>
    </row>
    <row r="5583" spans="1:7" x14ac:dyDescent="0.2">
      <c r="A5583" t="s">
        <v>1862</v>
      </c>
      <c r="B5583">
        <v>0</v>
      </c>
      <c r="C5583">
        <v>0</v>
      </c>
      <c r="D5583">
        <v>0</v>
      </c>
      <c r="E5583">
        <v>0</v>
      </c>
      <c r="F5583">
        <v>0</v>
      </c>
      <c r="G5583">
        <v>0</v>
      </c>
    </row>
    <row r="5584" spans="1:7" x14ac:dyDescent="0.2">
      <c r="A5584" t="s">
        <v>1867</v>
      </c>
      <c r="B5584">
        <v>0</v>
      </c>
      <c r="C5584">
        <v>0</v>
      </c>
      <c r="D5584">
        <v>0</v>
      </c>
      <c r="E5584">
        <v>0</v>
      </c>
      <c r="F5584">
        <v>0</v>
      </c>
      <c r="G5584">
        <v>0</v>
      </c>
    </row>
    <row r="5585" spans="1:7" x14ac:dyDescent="0.2">
      <c r="A5585" t="s">
        <v>1870</v>
      </c>
      <c r="B5585">
        <v>0</v>
      </c>
      <c r="C5585">
        <v>0</v>
      </c>
      <c r="D5585">
        <v>0</v>
      </c>
      <c r="E5585">
        <v>0</v>
      </c>
      <c r="F5585">
        <v>0</v>
      </c>
      <c r="G5585">
        <v>0</v>
      </c>
    </row>
    <row r="5586" spans="1:7" x14ac:dyDescent="0.2">
      <c r="A5586" t="s">
        <v>1874</v>
      </c>
      <c r="B5586">
        <v>0</v>
      </c>
      <c r="C5586">
        <v>0</v>
      </c>
      <c r="D5586">
        <v>30</v>
      </c>
      <c r="E5586">
        <v>65</v>
      </c>
      <c r="F5586">
        <v>0</v>
      </c>
      <c r="G5586">
        <v>95</v>
      </c>
    </row>
    <row r="5587" spans="1:7" x14ac:dyDescent="0.2">
      <c r="A5587" t="s">
        <v>1876</v>
      </c>
      <c r="B5587">
        <v>0</v>
      </c>
      <c r="C5587">
        <v>0</v>
      </c>
      <c r="D5587">
        <v>0</v>
      </c>
      <c r="E5587">
        <v>0</v>
      </c>
      <c r="F5587">
        <v>0</v>
      </c>
      <c r="G5587">
        <v>0</v>
      </c>
    </row>
    <row r="5588" spans="1:7" x14ac:dyDescent="0.2">
      <c r="A5588" t="s">
        <v>1881</v>
      </c>
      <c r="B5588">
        <v>0</v>
      </c>
      <c r="C5588">
        <v>0</v>
      </c>
      <c r="D5588">
        <v>0</v>
      </c>
      <c r="E5588">
        <v>0</v>
      </c>
      <c r="F5588">
        <v>0</v>
      </c>
      <c r="G5588">
        <v>0</v>
      </c>
    </row>
    <row r="5589" spans="1:7" x14ac:dyDescent="0.2">
      <c r="A5589" t="s">
        <v>1885</v>
      </c>
      <c r="B5589">
        <v>887</v>
      </c>
      <c r="C5589">
        <v>1164</v>
      </c>
      <c r="D5589">
        <v>1727</v>
      </c>
      <c r="E5589">
        <v>4021</v>
      </c>
      <c r="F5589">
        <v>188</v>
      </c>
      <c r="G5589">
        <v>7987</v>
      </c>
    </row>
    <row r="5590" spans="1:7" x14ac:dyDescent="0.2">
      <c r="A5590" t="s">
        <v>1887</v>
      </c>
      <c r="B5590">
        <v>0</v>
      </c>
      <c r="C5590">
        <v>0</v>
      </c>
      <c r="D5590">
        <v>0</v>
      </c>
      <c r="E5590">
        <v>10</v>
      </c>
      <c r="F5590">
        <v>105</v>
      </c>
      <c r="G5590">
        <v>115</v>
      </c>
    </row>
    <row r="5591" spans="1:7" x14ac:dyDescent="0.2">
      <c r="A5591" t="s">
        <v>1893</v>
      </c>
      <c r="B5591">
        <v>0</v>
      </c>
      <c r="C5591">
        <v>0</v>
      </c>
      <c r="D5591">
        <v>0</v>
      </c>
      <c r="E5591">
        <v>541</v>
      </c>
      <c r="F5591">
        <v>206</v>
      </c>
      <c r="G5591">
        <v>747</v>
      </c>
    </row>
    <row r="5592" spans="1:7" x14ac:dyDescent="0.2">
      <c r="A5592" t="s">
        <v>1899</v>
      </c>
      <c r="B5592">
        <v>0</v>
      </c>
      <c r="C5592">
        <v>0</v>
      </c>
      <c r="D5592">
        <v>0</v>
      </c>
      <c r="E5592">
        <v>0</v>
      </c>
      <c r="F5592">
        <v>0</v>
      </c>
      <c r="G5592">
        <v>0</v>
      </c>
    </row>
    <row r="5593" spans="1:7" x14ac:dyDescent="0.2">
      <c r="A5593" t="s">
        <v>1906</v>
      </c>
      <c r="B5593">
        <v>0</v>
      </c>
      <c r="C5593">
        <v>0</v>
      </c>
      <c r="D5593">
        <v>0</v>
      </c>
      <c r="E5593">
        <v>1901</v>
      </c>
      <c r="F5593">
        <v>23</v>
      </c>
      <c r="G5593">
        <v>1923</v>
      </c>
    </row>
    <row r="5594" spans="1:7" x14ac:dyDescent="0.2">
      <c r="A5594" t="s">
        <v>1911</v>
      </c>
      <c r="B5594">
        <v>0</v>
      </c>
      <c r="C5594">
        <v>0</v>
      </c>
      <c r="D5594">
        <v>0</v>
      </c>
      <c r="E5594">
        <v>0</v>
      </c>
      <c r="F5594">
        <v>0</v>
      </c>
      <c r="G5594">
        <v>0</v>
      </c>
    </row>
    <row r="5595" spans="1:7" x14ac:dyDescent="0.2">
      <c r="A5595" t="s">
        <v>1917</v>
      </c>
      <c r="B5595">
        <v>0</v>
      </c>
      <c r="C5595">
        <v>0</v>
      </c>
      <c r="D5595">
        <v>0</v>
      </c>
      <c r="E5595">
        <v>192</v>
      </c>
      <c r="F5595">
        <v>191</v>
      </c>
      <c r="G5595">
        <v>383</v>
      </c>
    </row>
    <row r="5596" spans="1:7" x14ac:dyDescent="0.2">
      <c r="A5596" t="s">
        <v>1922</v>
      </c>
      <c r="B5596">
        <v>0</v>
      </c>
      <c r="C5596">
        <v>0</v>
      </c>
      <c r="D5596">
        <v>0</v>
      </c>
      <c r="E5596">
        <v>218</v>
      </c>
      <c r="F5596">
        <v>169</v>
      </c>
      <c r="G5596">
        <v>387</v>
      </c>
    </row>
    <row r="5597" spans="1:7" x14ac:dyDescent="0.2">
      <c r="A5597" t="s">
        <v>1928</v>
      </c>
      <c r="B5597">
        <v>0</v>
      </c>
      <c r="C5597">
        <v>0</v>
      </c>
      <c r="D5597">
        <v>0</v>
      </c>
      <c r="E5597">
        <v>0</v>
      </c>
      <c r="F5597">
        <v>15828</v>
      </c>
      <c r="G5597">
        <v>15828</v>
      </c>
    </row>
    <row r="5598" spans="1:7" x14ac:dyDescent="0.2">
      <c r="A5598" t="s">
        <v>1932</v>
      </c>
      <c r="B5598">
        <v>0</v>
      </c>
      <c r="C5598">
        <v>0</v>
      </c>
      <c r="D5598">
        <v>0</v>
      </c>
      <c r="E5598">
        <v>0</v>
      </c>
      <c r="F5598">
        <v>1667</v>
      </c>
      <c r="G5598">
        <v>1667</v>
      </c>
    </row>
    <row r="5599" spans="1:7" x14ac:dyDescent="0.2">
      <c r="A5599" t="s">
        <v>1938</v>
      </c>
      <c r="B5599">
        <v>0</v>
      </c>
      <c r="C5599">
        <v>0</v>
      </c>
      <c r="D5599">
        <v>0</v>
      </c>
      <c r="E5599">
        <v>0</v>
      </c>
      <c r="F5599">
        <v>57</v>
      </c>
      <c r="G5599">
        <v>57</v>
      </c>
    </row>
    <row r="5600" spans="1:7" x14ac:dyDescent="0.2">
      <c r="A5600" t="s">
        <v>1944</v>
      </c>
      <c r="B5600">
        <v>2</v>
      </c>
      <c r="C5600">
        <v>120</v>
      </c>
      <c r="D5600">
        <v>393</v>
      </c>
      <c r="E5600">
        <v>918</v>
      </c>
      <c r="F5600">
        <v>31</v>
      </c>
      <c r="G5600">
        <v>1464</v>
      </c>
    </row>
    <row r="5601" spans="1:7" x14ac:dyDescent="0.2">
      <c r="A5601" t="s">
        <v>1947</v>
      </c>
      <c r="B5601">
        <v>0</v>
      </c>
      <c r="C5601">
        <v>0</v>
      </c>
      <c r="D5601">
        <v>0</v>
      </c>
      <c r="E5601">
        <v>0</v>
      </c>
      <c r="F5601">
        <v>28</v>
      </c>
      <c r="G5601">
        <v>28</v>
      </c>
    </row>
    <row r="5602" spans="1:7" x14ac:dyDescent="0.2">
      <c r="A5602" t="s">
        <v>1953</v>
      </c>
      <c r="B5602">
        <v>0</v>
      </c>
      <c r="C5602">
        <v>0</v>
      </c>
      <c r="D5602">
        <v>0</v>
      </c>
      <c r="E5602">
        <v>16</v>
      </c>
      <c r="F5602">
        <v>64</v>
      </c>
      <c r="G5602">
        <v>80</v>
      </c>
    </row>
    <row r="5603" spans="1:7" x14ac:dyDescent="0.2">
      <c r="A5603" t="s">
        <v>1958</v>
      </c>
      <c r="B5603">
        <v>0</v>
      </c>
      <c r="C5603">
        <v>0</v>
      </c>
      <c r="D5603">
        <v>0</v>
      </c>
      <c r="E5603">
        <v>0</v>
      </c>
      <c r="F5603">
        <v>0</v>
      </c>
      <c r="G5603">
        <v>0</v>
      </c>
    </row>
    <row r="5604" spans="1:7" x14ac:dyDescent="0.2">
      <c r="A5604" t="s">
        <v>1964</v>
      </c>
      <c r="B5604">
        <v>0</v>
      </c>
      <c r="C5604">
        <v>0</v>
      </c>
      <c r="D5604">
        <v>0</v>
      </c>
      <c r="E5604">
        <v>5</v>
      </c>
      <c r="F5604">
        <v>48</v>
      </c>
      <c r="G5604">
        <v>53</v>
      </c>
    </row>
    <row r="5605" spans="1:7" x14ac:dyDescent="0.2">
      <c r="A5605" t="s">
        <v>1973</v>
      </c>
      <c r="B5605">
        <v>0</v>
      </c>
      <c r="C5605">
        <v>0</v>
      </c>
      <c r="D5605">
        <v>0</v>
      </c>
      <c r="E5605">
        <v>0</v>
      </c>
      <c r="F5605">
        <v>1907</v>
      </c>
      <c r="G5605">
        <v>1907</v>
      </c>
    </row>
    <row r="5606" spans="1:7" x14ac:dyDescent="0.2">
      <c r="A5606" t="s">
        <v>1978</v>
      </c>
      <c r="B5606">
        <v>0</v>
      </c>
      <c r="C5606">
        <v>0</v>
      </c>
      <c r="D5606">
        <v>0</v>
      </c>
      <c r="E5606">
        <v>0</v>
      </c>
      <c r="F5606">
        <v>1075</v>
      </c>
      <c r="G5606">
        <v>1075</v>
      </c>
    </row>
    <row r="5607" spans="1:7" x14ac:dyDescent="0.2">
      <c r="A5607" t="s">
        <v>1983</v>
      </c>
      <c r="B5607">
        <v>74</v>
      </c>
      <c r="C5607">
        <v>6</v>
      </c>
      <c r="D5607">
        <v>14</v>
      </c>
      <c r="E5607">
        <v>73</v>
      </c>
      <c r="F5607">
        <v>16</v>
      </c>
      <c r="G5607">
        <v>183</v>
      </c>
    </row>
    <row r="5608" spans="1:7" x14ac:dyDescent="0.2">
      <c r="A5608" t="s">
        <v>1984</v>
      </c>
      <c r="B5608">
        <v>0</v>
      </c>
      <c r="C5608">
        <v>0</v>
      </c>
      <c r="D5608">
        <v>0</v>
      </c>
      <c r="E5608">
        <v>0</v>
      </c>
      <c r="F5608">
        <v>0</v>
      </c>
      <c r="G5608">
        <v>0</v>
      </c>
    </row>
    <row r="5609" spans="1:7" x14ac:dyDescent="0.2">
      <c r="A5609" t="s">
        <v>1990</v>
      </c>
      <c r="B5609">
        <v>0</v>
      </c>
      <c r="C5609">
        <v>0</v>
      </c>
      <c r="D5609">
        <v>0</v>
      </c>
      <c r="E5609">
        <v>16</v>
      </c>
      <c r="F5609">
        <v>37</v>
      </c>
      <c r="G5609">
        <v>53</v>
      </c>
    </row>
    <row r="5610" spans="1:7" x14ac:dyDescent="0.2">
      <c r="A5610" t="s">
        <v>1996</v>
      </c>
      <c r="B5610">
        <v>0</v>
      </c>
      <c r="C5610">
        <v>0</v>
      </c>
      <c r="D5610">
        <v>0</v>
      </c>
      <c r="E5610">
        <v>0</v>
      </c>
      <c r="F5610">
        <v>0</v>
      </c>
      <c r="G5610">
        <v>0</v>
      </c>
    </row>
    <row r="5611" spans="1:7" x14ac:dyDescent="0.2">
      <c r="A5611" t="s">
        <v>1998</v>
      </c>
      <c r="B5611">
        <v>0</v>
      </c>
      <c r="C5611">
        <v>0</v>
      </c>
      <c r="D5611">
        <v>0</v>
      </c>
      <c r="E5611">
        <v>0</v>
      </c>
      <c r="F5611">
        <v>0</v>
      </c>
      <c r="G5611">
        <v>0</v>
      </c>
    </row>
    <row r="5612" spans="1:7" x14ac:dyDescent="0.2">
      <c r="A5612" t="s">
        <v>1999</v>
      </c>
      <c r="B5612">
        <v>0</v>
      </c>
      <c r="C5612">
        <v>0</v>
      </c>
      <c r="D5612">
        <v>0</v>
      </c>
      <c r="E5612">
        <v>0</v>
      </c>
      <c r="F5612">
        <v>46</v>
      </c>
      <c r="G5612">
        <v>46</v>
      </c>
    </row>
    <row r="5613" spans="1:7" x14ac:dyDescent="0.2">
      <c r="A5613" t="s">
        <v>2004</v>
      </c>
      <c r="B5613">
        <v>0</v>
      </c>
      <c r="C5613">
        <v>0</v>
      </c>
      <c r="D5613">
        <v>0</v>
      </c>
      <c r="E5613">
        <v>33</v>
      </c>
      <c r="F5613">
        <v>55</v>
      </c>
      <c r="G5613">
        <v>88</v>
      </c>
    </row>
    <row r="5614" spans="1:7" x14ac:dyDescent="0.2">
      <c r="A5614" t="s">
        <v>2009</v>
      </c>
      <c r="B5614">
        <v>0</v>
      </c>
      <c r="C5614">
        <v>0</v>
      </c>
      <c r="D5614">
        <v>0</v>
      </c>
      <c r="E5614">
        <v>0</v>
      </c>
      <c r="F5614">
        <v>0</v>
      </c>
      <c r="G5614">
        <v>0</v>
      </c>
    </row>
    <row r="5615" spans="1:7" x14ac:dyDescent="0.2">
      <c r="A5615" t="s">
        <v>2014</v>
      </c>
      <c r="B5615">
        <v>0</v>
      </c>
      <c r="C5615">
        <v>0</v>
      </c>
      <c r="D5615">
        <v>0</v>
      </c>
      <c r="E5615">
        <v>2454</v>
      </c>
      <c r="F5615">
        <v>1398</v>
      </c>
      <c r="G5615">
        <v>3852</v>
      </c>
    </row>
    <row r="5616" spans="1:7" x14ac:dyDescent="0.2">
      <c r="A5616" t="s">
        <v>2019</v>
      </c>
      <c r="B5616">
        <v>0</v>
      </c>
      <c r="C5616">
        <v>0</v>
      </c>
      <c r="D5616">
        <v>0</v>
      </c>
      <c r="E5616">
        <v>0</v>
      </c>
      <c r="F5616">
        <v>0</v>
      </c>
      <c r="G5616">
        <v>0</v>
      </c>
    </row>
    <row r="5617" spans="1:7" x14ac:dyDescent="0.2">
      <c r="A5617" t="s">
        <v>2023</v>
      </c>
      <c r="B5617">
        <v>0</v>
      </c>
      <c r="C5617">
        <v>0</v>
      </c>
      <c r="D5617">
        <v>0</v>
      </c>
      <c r="E5617">
        <v>0</v>
      </c>
      <c r="F5617">
        <v>113</v>
      </c>
      <c r="G5617">
        <v>113</v>
      </c>
    </row>
    <row r="5618" spans="1:7" x14ac:dyDescent="0.2">
      <c r="A5618" t="s">
        <v>2026</v>
      </c>
      <c r="B5618">
        <v>0</v>
      </c>
      <c r="C5618">
        <v>0</v>
      </c>
      <c r="D5618">
        <v>0</v>
      </c>
      <c r="E5618">
        <v>0</v>
      </c>
      <c r="F5618">
        <v>870</v>
      </c>
      <c r="G5618">
        <v>870</v>
      </c>
    </row>
    <row r="5619" spans="1:7" x14ac:dyDescent="0.2">
      <c r="A5619" t="s">
        <v>2030</v>
      </c>
      <c r="B5619">
        <v>0</v>
      </c>
      <c r="C5619">
        <v>0</v>
      </c>
      <c r="D5619">
        <v>0</v>
      </c>
      <c r="E5619">
        <v>0</v>
      </c>
      <c r="F5619">
        <v>1</v>
      </c>
      <c r="G5619">
        <v>1</v>
      </c>
    </row>
    <row r="5620" spans="1:7" x14ac:dyDescent="0.2">
      <c r="A5620" t="s">
        <v>2035</v>
      </c>
      <c r="B5620">
        <v>0</v>
      </c>
      <c r="C5620">
        <v>0</v>
      </c>
      <c r="D5620">
        <v>0</v>
      </c>
      <c r="E5620">
        <v>0</v>
      </c>
      <c r="F5620">
        <v>0</v>
      </c>
      <c r="G5620">
        <v>0</v>
      </c>
    </row>
    <row r="5621" spans="1:7" x14ac:dyDescent="0.2">
      <c r="A5621" t="s">
        <v>2040</v>
      </c>
      <c r="B5621">
        <v>0</v>
      </c>
      <c r="C5621">
        <v>0</v>
      </c>
      <c r="D5621">
        <v>0</v>
      </c>
      <c r="E5621">
        <v>0</v>
      </c>
      <c r="F5621">
        <v>117</v>
      </c>
      <c r="G5621">
        <v>117</v>
      </c>
    </row>
    <row r="5622" spans="1:7" x14ac:dyDescent="0.2">
      <c r="A5622" t="s">
        <v>2045</v>
      </c>
      <c r="B5622">
        <v>0</v>
      </c>
      <c r="C5622">
        <v>0</v>
      </c>
      <c r="D5622">
        <v>0</v>
      </c>
      <c r="E5622">
        <v>0</v>
      </c>
      <c r="F5622">
        <v>5</v>
      </c>
      <c r="G5622">
        <v>5</v>
      </c>
    </row>
    <row r="5623" spans="1:7" x14ac:dyDescent="0.2">
      <c r="A5623" t="s">
        <v>2049</v>
      </c>
      <c r="B5623">
        <v>0</v>
      </c>
      <c r="C5623">
        <v>0</v>
      </c>
      <c r="D5623">
        <v>0</v>
      </c>
      <c r="E5623">
        <v>0</v>
      </c>
      <c r="F5623">
        <v>0</v>
      </c>
      <c r="G5623">
        <v>0</v>
      </c>
    </row>
    <row r="5624" spans="1:7" x14ac:dyDescent="0.2">
      <c r="A5624" t="s">
        <v>2051</v>
      </c>
      <c r="B5624">
        <v>0</v>
      </c>
      <c r="C5624">
        <v>0</v>
      </c>
      <c r="D5624">
        <v>0</v>
      </c>
      <c r="E5624">
        <v>0</v>
      </c>
      <c r="F5624">
        <v>62</v>
      </c>
      <c r="G5624">
        <v>62</v>
      </c>
    </row>
    <row r="5625" spans="1:7" x14ac:dyDescent="0.2">
      <c r="A5625" t="s">
        <v>2057</v>
      </c>
      <c r="B5625">
        <v>0</v>
      </c>
      <c r="C5625">
        <v>0</v>
      </c>
      <c r="D5625">
        <v>0</v>
      </c>
      <c r="E5625">
        <v>5</v>
      </c>
      <c r="F5625">
        <v>103</v>
      </c>
      <c r="G5625">
        <v>108</v>
      </c>
    </row>
    <row r="5626" spans="1:7" x14ac:dyDescent="0.2">
      <c r="A5626" t="s">
        <v>4344</v>
      </c>
      <c r="B5626">
        <v>0</v>
      </c>
      <c r="C5626">
        <v>0</v>
      </c>
      <c r="D5626">
        <v>0</v>
      </c>
      <c r="E5626">
        <v>26</v>
      </c>
      <c r="F5626">
        <v>3</v>
      </c>
      <c r="G5626">
        <v>29</v>
      </c>
    </row>
    <row r="5627" spans="1:7" x14ac:dyDescent="0.2">
      <c r="A5627" t="s">
        <v>4345</v>
      </c>
      <c r="B5627">
        <v>0</v>
      </c>
      <c r="C5627">
        <v>0</v>
      </c>
      <c r="D5627">
        <v>0</v>
      </c>
      <c r="E5627">
        <v>103</v>
      </c>
      <c r="F5627">
        <v>73</v>
      </c>
      <c r="G5627">
        <v>176</v>
      </c>
    </row>
    <row r="5628" spans="1:7" x14ac:dyDescent="0.2">
      <c r="A5628" t="s">
        <v>2074</v>
      </c>
      <c r="B5628">
        <v>0</v>
      </c>
      <c r="C5628">
        <v>0</v>
      </c>
      <c r="D5628">
        <v>0</v>
      </c>
      <c r="E5628">
        <v>0</v>
      </c>
      <c r="F5628">
        <v>0</v>
      </c>
      <c r="G5628">
        <v>0</v>
      </c>
    </row>
    <row r="5629" spans="1:7" x14ac:dyDescent="0.2">
      <c r="A5629" t="s">
        <v>2079</v>
      </c>
      <c r="B5629">
        <v>0</v>
      </c>
      <c r="C5629">
        <v>0</v>
      </c>
      <c r="D5629">
        <v>0</v>
      </c>
      <c r="E5629">
        <v>0</v>
      </c>
      <c r="F5629">
        <v>0</v>
      </c>
      <c r="G5629">
        <v>0</v>
      </c>
    </row>
    <row r="5630" spans="1:7" x14ac:dyDescent="0.2">
      <c r="A5630" t="s">
        <v>2085</v>
      </c>
      <c r="B5630">
        <v>0</v>
      </c>
      <c r="C5630">
        <v>0</v>
      </c>
      <c r="D5630">
        <v>0</v>
      </c>
      <c r="E5630">
        <v>0</v>
      </c>
      <c r="F5630">
        <v>0</v>
      </c>
      <c r="G5630">
        <v>0</v>
      </c>
    </row>
    <row r="5631" spans="1:7" x14ac:dyDescent="0.2">
      <c r="A5631" t="s">
        <v>2091</v>
      </c>
      <c r="B5631">
        <v>0</v>
      </c>
      <c r="C5631">
        <v>0</v>
      </c>
      <c r="D5631">
        <v>0</v>
      </c>
      <c r="E5631">
        <v>0</v>
      </c>
      <c r="F5631">
        <v>0</v>
      </c>
      <c r="G5631">
        <v>0</v>
      </c>
    </row>
    <row r="5632" spans="1:7" x14ac:dyDescent="0.2">
      <c r="A5632" t="s">
        <v>2097</v>
      </c>
      <c r="B5632">
        <v>0</v>
      </c>
      <c r="C5632">
        <v>0</v>
      </c>
      <c r="D5632">
        <v>0</v>
      </c>
      <c r="E5632">
        <v>0</v>
      </c>
      <c r="F5632">
        <v>0</v>
      </c>
      <c r="G5632">
        <v>0</v>
      </c>
    </row>
    <row r="5633" spans="1:7" x14ac:dyDescent="0.2">
      <c r="A5633" t="s">
        <v>2101</v>
      </c>
      <c r="B5633">
        <v>0</v>
      </c>
      <c r="C5633">
        <v>0</v>
      </c>
      <c r="D5633">
        <v>0</v>
      </c>
      <c r="E5633">
        <v>0</v>
      </c>
      <c r="F5633">
        <v>0</v>
      </c>
      <c r="G5633">
        <v>0</v>
      </c>
    </row>
    <row r="5634" spans="1:7" x14ac:dyDescent="0.2">
      <c r="A5634" t="s">
        <v>2104</v>
      </c>
      <c r="B5634">
        <v>0</v>
      </c>
      <c r="C5634">
        <v>0</v>
      </c>
      <c r="D5634">
        <v>0</v>
      </c>
      <c r="E5634">
        <v>0</v>
      </c>
      <c r="F5634">
        <v>0</v>
      </c>
      <c r="G5634">
        <v>0</v>
      </c>
    </row>
    <row r="5635" spans="1:7" x14ac:dyDescent="0.2">
      <c r="A5635" t="s">
        <v>2107</v>
      </c>
      <c r="B5635">
        <v>0</v>
      </c>
      <c r="C5635">
        <v>0</v>
      </c>
      <c r="D5635">
        <v>0</v>
      </c>
      <c r="E5635">
        <v>0</v>
      </c>
      <c r="F5635">
        <v>0</v>
      </c>
      <c r="G5635">
        <v>0</v>
      </c>
    </row>
    <row r="5636" spans="1:7" x14ac:dyDescent="0.2">
      <c r="A5636" t="s">
        <v>2110</v>
      </c>
      <c r="B5636">
        <v>0</v>
      </c>
      <c r="C5636">
        <v>0</v>
      </c>
      <c r="D5636">
        <v>0</v>
      </c>
      <c r="E5636">
        <v>0</v>
      </c>
      <c r="F5636">
        <v>0</v>
      </c>
      <c r="G5636">
        <v>0</v>
      </c>
    </row>
    <row r="5637" spans="1:7" x14ac:dyDescent="0.2">
      <c r="A5637" t="s">
        <v>2113</v>
      </c>
      <c r="B5637">
        <v>0</v>
      </c>
      <c r="C5637">
        <v>0</v>
      </c>
      <c r="D5637">
        <v>0</v>
      </c>
      <c r="E5637">
        <v>0</v>
      </c>
      <c r="F5637">
        <v>0</v>
      </c>
      <c r="G5637">
        <v>0</v>
      </c>
    </row>
    <row r="5638" spans="1:7" x14ac:dyDescent="0.2">
      <c r="A5638" t="s">
        <v>4346</v>
      </c>
      <c r="B5638">
        <v>0</v>
      </c>
      <c r="C5638">
        <v>0</v>
      </c>
      <c r="D5638">
        <v>0</v>
      </c>
      <c r="E5638">
        <v>0</v>
      </c>
      <c r="F5638">
        <v>0</v>
      </c>
      <c r="G5638">
        <v>0</v>
      </c>
    </row>
    <row r="5639" spans="1:7" x14ac:dyDescent="0.2">
      <c r="A5639" t="s">
        <v>4347</v>
      </c>
      <c r="B5639">
        <v>0</v>
      </c>
      <c r="C5639">
        <v>0</v>
      </c>
      <c r="D5639">
        <v>0</v>
      </c>
      <c r="E5639">
        <v>0</v>
      </c>
      <c r="F5639">
        <v>0</v>
      </c>
      <c r="G5639">
        <v>0</v>
      </c>
    </row>
    <row r="5640" spans="1:7" x14ac:dyDescent="0.2">
      <c r="A5640" t="s">
        <v>4348</v>
      </c>
      <c r="B5640">
        <v>0</v>
      </c>
      <c r="C5640">
        <v>0</v>
      </c>
      <c r="D5640">
        <v>0</v>
      </c>
      <c r="E5640">
        <v>0</v>
      </c>
      <c r="F5640">
        <v>0</v>
      </c>
      <c r="G5640">
        <v>0</v>
      </c>
    </row>
    <row r="5641" spans="1:7" x14ac:dyDescent="0.2">
      <c r="A5641" t="s">
        <v>4349</v>
      </c>
      <c r="B5641">
        <v>0</v>
      </c>
      <c r="C5641">
        <v>0</v>
      </c>
      <c r="D5641">
        <v>0</v>
      </c>
      <c r="E5641">
        <v>0</v>
      </c>
      <c r="F5641">
        <v>0</v>
      </c>
      <c r="G5641">
        <v>0</v>
      </c>
    </row>
    <row r="5642" spans="1:7" x14ac:dyDescent="0.2">
      <c r="A5642" t="s">
        <v>4350</v>
      </c>
      <c r="B5642">
        <v>0</v>
      </c>
      <c r="C5642">
        <v>3</v>
      </c>
      <c r="D5642">
        <v>8</v>
      </c>
      <c r="E5642">
        <v>0</v>
      </c>
      <c r="F5642">
        <v>0</v>
      </c>
      <c r="G5642">
        <v>11</v>
      </c>
    </row>
    <row r="5643" spans="1:7" x14ac:dyDescent="0.2">
      <c r="A5643" t="s">
        <v>4351</v>
      </c>
      <c r="B5643">
        <v>0</v>
      </c>
      <c r="C5643">
        <v>0</v>
      </c>
      <c r="D5643">
        <v>0</v>
      </c>
      <c r="E5643">
        <v>0</v>
      </c>
      <c r="F5643">
        <v>0</v>
      </c>
      <c r="G5643">
        <v>0</v>
      </c>
    </row>
    <row r="5644" spans="1:7" x14ac:dyDescent="0.2">
      <c r="A5644" t="s">
        <v>4352</v>
      </c>
      <c r="B5644">
        <v>0</v>
      </c>
      <c r="C5644">
        <v>0</v>
      </c>
      <c r="D5644">
        <v>0</v>
      </c>
      <c r="E5644">
        <v>0</v>
      </c>
      <c r="F5644">
        <v>0</v>
      </c>
      <c r="G5644">
        <v>0</v>
      </c>
    </row>
    <row r="5645" spans="1:7" x14ac:dyDescent="0.2">
      <c r="A5645" t="s">
        <v>4353</v>
      </c>
      <c r="B5645">
        <v>2</v>
      </c>
      <c r="C5645">
        <v>179</v>
      </c>
      <c r="D5645">
        <v>54</v>
      </c>
      <c r="E5645">
        <v>3</v>
      </c>
      <c r="F5645">
        <v>0</v>
      </c>
      <c r="G5645">
        <v>239</v>
      </c>
    </row>
    <row r="5646" spans="1:7" x14ac:dyDescent="0.2">
      <c r="A5646" t="s">
        <v>4354</v>
      </c>
      <c r="B5646">
        <v>11</v>
      </c>
      <c r="C5646">
        <v>141</v>
      </c>
      <c r="D5646">
        <v>46</v>
      </c>
      <c r="E5646">
        <v>1</v>
      </c>
      <c r="F5646">
        <v>0</v>
      </c>
      <c r="G5646">
        <v>200</v>
      </c>
    </row>
    <row r="5647" spans="1:7" x14ac:dyDescent="0.2">
      <c r="A5647" t="s">
        <v>4355</v>
      </c>
      <c r="B5647">
        <v>0</v>
      </c>
      <c r="C5647">
        <v>0</v>
      </c>
      <c r="D5647">
        <v>0</v>
      </c>
      <c r="E5647">
        <v>0</v>
      </c>
      <c r="F5647">
        <v>0</v>
      </c>
      <c r="G5647">
        <v>0</v>
      </c>
    </row>
    <row r="5648" spans="1:7" x14ac:dyDescent="0.2">
      <c r="A5648" t="s">
        <v>4356</v>
      </c>
      <c r="B5648">
        <v>0</v>
      </c>
      <c r="C5648">
        <v>0</v>
      </c>
      <c r="D5648">
        <v>0</v>
      </c>
      <c r="E5648">
        <v>0</v>
      </c>
      <c r="F5648">
        <v>0</v>
      </c>
      <c r="G5648">
        <v>0</v>
      </c>
    </row>
    <row r="5649" spans="1:7" x14ac:dyDescent="0.2">
      <c r="A5649" t="s">
        <v>4357</v>
      </c>
      <c r="B5649">
        <v>0</v>
      </c>
      <c r="C5649">
        <v>0</v>
      </c>
      <c r="D5649">
        <v>1</v>
      </c>
      <c r="E5649">
        <v>0</v>
      </c>
      <c r="F5649">
        <v>0</v>
      </c>
      <c r="G5649">
        <v>1</v>
      </c>
    </row>
    <row r="5650" spans="1:7" x14ac:dyDescent="0.2">
      <c r="A5650" t="s">
        <v>4358</v>
      </c>
      <c r="B5650">
        <v>0</v>
      </c>
      <c r="C5650">
        <v>0</v>
      </c>
      <c r="D5650">
        <v>0</v>
      </c>
      <c r="E5650">
        <v>0</v>
      </c>
      <c r="F5650">
        <v>0</v>
      </c>
      <c r="G5650">
        <v>0</v>
      </c>
    </row>
    <row r="5651" spans="1:7" x14ac:dyDescent="0.2">
      <c r="A5651" t="s">
        <v>4359</v>
      </c>
      <c r="B5651">
        <v>0</v>
      </c>
      <c r="C5651">
        <v>0</v>
      </c>
      <c r="D5651">
        <v>0</v>
      </c>
      <c r="E5651">
        <v>0</v>
      </c>
      <c r="F5651">
        <v>0</v>
      </c>
      <c r="G5651">
        <v>0</v>
      </c>
    </row>
    <row r="5652" spans="1:7" x14ac:dyDescent="0.2">
      <c r="A5652" t="s">
        <v>4360</v>
      </c>
      <c r="B5652">
        <v>0</v>
      </c>
      <c r="C5652">
        <v>0</v>
      </c>
      <c r="D5652">
        <v>7</v>
      </c>
      <c r="E5652">
        <v>17</v>
      </c>
      <c r="F5652">
        <v>0</v>
      </c>
      <c r="G5652">
        <v>24</v>
      </c>
    </row>
    <row r="5653" spans="1:7" x14ac:dyDescent="0.2">
      <c r="A5653" t="s">
        <v>4361</v>
      </c>
      <c r="B5653">
        <v>0</v>
      </c>
      <c r="C5653">
        <v>0</v>
      </c>
      <c r="D5653">
        <v>10</v>
      </c>
      <c r="E5653">
        <v>0</v>
      </c>
      <c r="F5653">
        <v>0</v>
      </c>
      <c r="G5653">
        <v>10</v>
      </c>
    </row>
    <row r="5654" spans="1:7" x14ac:dyDescent="0.2">
      <c r="A5654" t="s">
        <v>4362</v>
      </c>
      <c r="B5654">
        <v>0</v>
      </c>
      <c r="C5654">
        <v>0</v>
      </c>
      <c r="D5654">
        <v>0</v>
      </c>
      <c r="E5654">
        <v>0</v>
      </c>
      <c r="F5654">
        <v>0</v>
      </c>
      <c r="G5654">
        <v>0</v>
      </c>
    </row>
    <row r="5655" spans="1:7" x14ac:dyDescent="0.2">
      <c r="A5655" t="s">
        <v>4363</v>
      </c>
      <c r="B5655">
        <v>0</v>
      </c>
      <c r="C5655">
        <v>0</v>
      </c>
      <c r="D5655">
        <v>0</v>
      </c>
      <c r="E5655">
        <v>0</v>
      </c>
      <c r="F5655">
        <v>0</v>
      </c>
      <c r="G5655">
        <v>0</v>
      </c>
    </row>
    <row r="5656" spans="1:7" x14ac:dyDescent="0.2">
      <c r="A5656" t="s">
        <v>4364</v>
      </c>
      <c r="B5656">
        <v>0</v>
      </c>
      <c r="C5656">
        <v>0</v>
      </c>
      <c r="D5656">
        <v>0</v>
      </c>
      <c r="E5656">
        <v>0</v>
      </c>
      <c r="F5656">
        <v>0</v>
      </c>
      <c r="G5656">
        <v>0</v>
      </c>
    </row>
    <row r="5657" spans="1:7" x14ac:dyDescent="0.2">
      <c r="A5657" t="s">
        <v>4365</v>
      </c>
      <c r="B5657">
        <v>0</v>
      </c>
      <c r="C5657">
        <v>2</v>
      </c>
      <c r="D5657">
        <v>2</v>
      </c>
      <c r="E5657">
        <v>0</v>
      </c>
      <c r="F5657">
        <v>0</v>
      </c>
      <c r="G5657">
        <v>4</v>
      </c>
    </row>
    <row r="5658" spans="1:7" x14ac:dyDescent="0.2">
      <c r="A5658" t="s">
        <v>4366</v>
      </c>
      <c r="B5658">
        <v>0</v>
      </c>
      <c r="C5658">
        <v>0</v>
      </c>
      <c r="D5658">
        <v>0</v>
      </c>
      <c r="E5658">
        <v>0</v>
      </c>
      <c r="F5658">
        <v>0</v>
      </c>
      <c r="G5658">
        <v>0</v>
      </c>
    </row>
    <row r="5659" spans="1:7" x14ac:dyDescent="0.2">
      <c r="A5659" t="s">
        <v>4367</v>
      </c>
      <c r="B5659">
        <v>0</v>
      </c>
      <c r="C5659">
        <v>0</v>
      </c>
      <c r="D5659">
        <v>0</v>
      </c>
      <c r="E5659">
        <v>0</v>
      </c>
      <c r="F5659">
        <v>0</v>
      </c>
      <c r="G5659">
        <v>0</v>
      </c>
    </row>
    <row r="5660" spans="1:7" x14ac:dyDescent="0.2">
      <c r="A5660" t="s">
        <v>4368</v>
      </c>
      <c r="B5660">
        <v>13</v>
      </c>
      <c r="C5660">
        <v>52</v>
      </c>
      <c r="D5660">
        <v>93</v>
      </c>
      <c r="E5660">
        <v>80</v>
      </c>
      <c r="F5660">
        <v>10</v>
      </c>
      <c r="G5660">
        <v>247</v>
      </c>
    </row>
    <row r="5661" spans="1:7" x14ac:dyDescent="0.2">
      <c r="A5661" t="s">
        <v>4369</v>
      </c>
      <c r="B5661">
        <v>0</v>
      </c>
      <c r="C5661">
        <v>97</v>
      </c>
      <c r="D5661">
        <v>170</v>
      </c>
      <c r="E5661">
        <v>45</v>
      </c>
      <c r="F5661">
        <v>0</v>
      </c>
      <c r="G5661">
        <v>313</v>
      </c>
    </row>
    <row r="5662" spans="1:7" x14ac:dyDescent="0.2">
      <c r="A5662" t="s">
        <v>4370</v>
      </c>
      <c r="B5662">
        <v>1</v>
      </c>
      <c r="C5662">
        <v>0</v>
      </c>
      <c r="D5662">
        <v>0</v>
      </c>
      <c r="E5662">
        <v>0</v>
      </c>
      <c r="F5662">
        <v>0</v>
      </c>
      <c r="G5662">
        <v>2</v>
      </c>
    </row>
    <row r="5663" spans="1:7" x14ac:dyDescent="0.2">
      <c r="A5663" t="s">
        <v>4371</v>
      </c>
      <c r="B5663">
        <v>0</v>
      </c>
      <c r="C5663">
        <v>0</v>
      </c>
      <c r="D5663">
        <v>0</v>
      </c>
      <c r="E5663">
        <v>1</v>
      </c>
      <c r="F5663">
        <v>0</v>
      </c>
      <c r="G5663">
        <v>2</v>
      </c>
    </row>
    <row r="5664" spans="1:7" x14ac:dyDescent="0.2">
      <c r="A5664" t="s">
        <v>4372</v>
      </c>
      <c r="B5664">
        <v>0</v>
      </c>
      <c r="C5664">
        <v>0</v>
      </c>
      <c r="D5664">
        <v>0</v>
      </c>
      <c r="E5664">
        <v>0</v>
      </c>
      <c r="F5664">
        <v>0</v>
      </c>
      <c r="G5664">
        <v>0</v>
      </c>
    </row>
    <row r="5665" spans="1:10" x14ac:dyDescent="0.2">
      <c r="A5665" t="s">
        <v>4373</v>
      </c>
      <c r="B5665">
        <v>0</v>
      </c>
      <c r="C5665">
        <v>0</v>
      </c>
      <c r="D5665">
        <v>0</v>
      </c>
      <c r="E5665">
        <v>0</v>
      </c>
      <c r="F5665">
        <v>0</v>
      </c>
      <c r="G5665">
        <v>0</v>
      </c>
    </row>
    <row r="5666" spans="1:10" x14ac:dyDescent="0.2">
      <c r="A5666" t="s">
        <v>4374</v>
      </c>
      <c r="B5666">
        <v>0</v>
      </c>
      <c r="C5666">
        <v>0</v>
      </c>
      <c r="D5666">
        <v>0</v>
      </c>
      <c r="E5666">
        <v>0</v>
      </c>
      <c r="F5666">
        <v>0</v>
      </c>
      <c r="G5666">
        <v>0</v>
      </c>
    </row>
    <row r="5667" spans="1:10" x14ac:dyDescent="0.2">
      <c r="A5667" t="s">
        <v>4375</v>
      </c>
      <c r="B5667">
        <v>2</v>
      </c>
      <c r="C5667">
        <v>0</v>
      </c>
      <c r="D5667">
        <v>0</v>
      </c>
      <c r="E5667">
        <v>0</v>
      </c>
      <c r="F5667">
        <v>0</v>
      </c>
      <c r="G5667">
        <v>2</v>
      </c>
    </row>
    <row r="5668" spans="1:10" x14ac:dyDescent="0.2">
      <c r="A5668" t="s">
        <v>4376</v>
      </c>
      <c r="B5668">
        <v>0</v>
      </c>
      <c r="C5668">
        <v>0</v>
      </c>
      <c r="D5668">
        <v>0</v>
      </c>
      <c r="E5668">
        <v>0</v>
      </c>
      <c r="F5668">
        <v>0</v>
      </c>
      <c r="G5668">
        <v>0</v>
      </c>
    </row>
    <row r="5669" spans="1:10" x14ac:dyDescent="0.2">
      <c r="A5669" t="s">
        <v>4377</v>
      </c>
      <c r="B5669">
        <v>0</v>
      </c>
      <c r="C5669">
        <v>0</v>
      </c>
      <c r="D5669">
        <v>4</v>
      </c>
      <c r="E5669">
        <v>0</v>
      </c>
      <c r="F5669">
        <v>0</v>
      </c>
      <c r="G5669">
        <v>4</v>
      </c>
    </row>
    <row r="5670" spans="1:10" x14ac:dyDescent="0.2">
      <c r="A5670" t="s">
        <v>2318</v>
      </c>
      <c r="B5670" t="s">
        <v>2319</v>
      </c>
      <c r="C5670" t="s">
        <v>2319</v>
      </c>
      <c r="D5670" t="s">
        <v>2319</v>
      </c>
      <c r="E5670" t="s">
        <v>2319</v>
      </c>
      <c r="F5670" t="s">
        <v>2319</v>
      </c>
      <c r="G5670" t="s">
        <v>2319</v>
      </c>
    </row>
    <row r="5671" spans="1:10" x14ac:dyDescent="0.2">
      <c r="A5671" t="s">
        <v>4248</v>
      </c>
    </row>
    <row r="5672" spans="1:10" x14ac:dyDescent="0.2">
      <c r="A5672" t="s">
        <v>4250</v>
      </c>
      <c r="C5672" t="s">
        <v>4251</v>
      </c>
      <c r="G5672" t="s">
        <v>7531</v>
      </c>
      <c r="J5672"/>
    </row>
    <row r="5673" spans="1:10" x14ac:dyDescent="0.2">
      <c r="A5673" t="s">
        <v>4925</v>
      </c>
      <c r="G5673" t="s">
        <v>7540</v>
      </c>
      <c r="J5673"/>
    </row>
    <row r="5674" spans="1:10" x14ac:dyDescent="0.2">
      <c r="A5674" t="s">
        <v>7530</v>
      </c>
      <c r="J5674"/>
    </row>
    <row r="5675" spans="1:10" x14ac:dyDescent="0.2">
      <c r="A5675" t="s">
        <v>5007</v>
      </c>
      <c r="J5675"/>
    </row>
    <row r="5676" spans="1:10" x14ac:dyDescent="0.2">
      <c r="J5676"/>
    </row>
    <row r="5677" spans="1:10" x14ac:dyDescent="0.2">
      <c r="A5677" t="s">
        <v>4259</v>
      </c>
      <c r="J5677"/>
    </row>
    <row r="5678" spans="1:10" x14ac:dyDescent="0.2">
      <c r="A5678" t="s">
        <v>2318</v>
      </c>
      <c r="B5678" t="s">
        <v>2319</v>
      </c>
      <c r="C5678" t="s">
        <v>2319</v>
      </c>
      <c r="D5678" t="s">
        <v>2319</v>
      </c>
      <c r="E5678" t="s">
        <v>2319</v>
      </c>
      <c r="F5678" t="s">
        <v>2319</v>
      </c>
      <c r="G5678" t="s">
        <v>2319</v>
      </c>
    </row>
    <row r="5679" spans="1:10" x14ac:dyDescent="0.2">
      <c r="A5679" t="s">
        <v>174</v>
      </c>
      <c r="B5679" t="s">
        <v>4945</v>
      </c>
      <c r="C5679" t="s">
        <v>4946</v>
      </c>
      <c r="D5679" t="s">
        <v>4947</v>
      </c>
      <c r="E5679" t="s">
        <v>4948</v>
      </c>
      <c r="F5679" t="s">
        <v>4949</v>
      </c>
    </row>
    <row r="5680" spans="1:10" x14ac:dyDescent="0.2">
      <c r="A5680" t="s">
        <v>126</v>
      </c>
      <c r="B5680" t="s">
        <v>4262</v>
      </c>
      <c r="C5680" t="s">
        <v>4263</v>
      </c>
      <c r="D5680" t="s">
        <v>4264</v>
      </c>
      <c r="E5680" t="s">
        <v>2308</v>
      </c>
      <c r="F5680" t="s">
        <v>615</v>
      </c>
      <c r="G5680" t="s">
        <v>236</v>
      </c>
    </row>
    <row r="5681" spans="1:7" x14ac:dyDescent="0.2">
      <c r="A5681" t="s">
        <v>2318</v>
      </c>
      <c r="B5681" t="s">
        <v>2319</v>
      </c>
      <c r="C5681" t="s">
        <v>2319</v>
      </c>
      <c r="D5681" t="s">
        <v>2319</v>
      </c>
      <c r="E5681" t="s">
        <v>2319</v>
      </c>
      <c r="F5681" t="s">
        <v>2319</v>
      </c>
      <c r="G5681" t="s">
        <v>2319</v>
      </c>
    </row>
    <row r="5682" spans="1:7" x14ac:dyDescent="0.2">
      <c r="A5682" t="s">
        <v>4265</v>
      </c>
      <c r="B5682">
        <v>0</v>
      </c>
      <c r="C5682">
        <v>0</v>
      </c>
      <c r="D5682">
        <v>0</v>
      </c>
      <c r="E5682">
        <v>0</v>
      </c>
      <c r="F5682">
        <v>0</v>
      </c>
      <c r="G5682">
        <v>0</v>
      </c>
    </row>
    <row r="5683" spans="1:7" x14ac:dyDescent="0.2">
      <c r="A5683" t="s">
        <v>4266</v>
      </c>
      <c r="B5683">
        <v>0</v>
      </c>
      <c r="C5683">
        <v>0</v>
      </c>
      <c r="D5683">
        <v>0</v>
      </c>
      <c r="E5683">
        <v>0</v>
      </c>
      <c r="F5683">
        <v>0</v>
      </c>
      <c r="G5683">
        <v>0</v>
      </c>
    </row>
    <row r="5684" spans="1:7" x14ac:dyDescent="0.2">
      <c r="A5684" t="s">
        <v>4267</v>
      </c>
      <c r="B5684">
        <v>0</v>
      </c>
      <c r="C5684">
        <v>0</v>
      </c>
      <c r="D5684">
        <v>0</v>
      </c>
      <c r="E5684">
        <v>0</v>
      </c>
      <c r="F5684">
        <v>0</v>
      </c>
      <c r="G5684">
        <v>0</v>
      </c>
    </row>
    <row r="5685" spans="1:7" x14ac:dyDescent="0.2">
      <c r="A5685" t="s">
        <v>4268</v>
      </c>
      <c r="B5685">
        <v>0</v>
      </c>
      <c r="C5685">
        <v>0</v>
      </c>
      <c r="D5685">
        <v>0</v>
      </c>
      <c r="E5685">
        <v>0</v>
      </c>
      <c r="F5685">
        <v>0</v>
      </c>
      <c r="G5685">
        <v>0</v>
      </c>
    </row>
    <row r="5686" spans="1:7" x14ac:dyDescent="0.2">
      <c r="A5686" t="s">
        <v>4269</v>
      </c>
      <c r="B5686">
        <v>0</v>
      </c>
      <c r="C5686">
        <v>0</v>
      </c>
      <c r="D5686">
        <v>0</v>
      </c>
      <c r="E5686">
        <v>0</v>
      </c>
      <c r="F5686">
        <v>0</v>
      </c>
      <c r="G5686">
        <v>0</v>
      </c>
    </row>
    <row r="5687" spans="1:7" x14ac:dyDescent="0.2">
      <c r="A5687" t="s">
        <v>4270</v>
      </c>
      <c r="B5687">
        <v>0</v>
      </c>
      <c r="C5687">
        <v>0</v>
      </c>
      <c r="D5687">
        <v>0</v>
      </c>
      <c r="E5687">
        <v>0</v>
      </c>
      <c r="F5687">
        <v>0</v>
      </c>
      <c r="G5687">
        <v>0</v>
      </c>
    </row>
    <row r="5688" spans="1:7" x14ac:dyDescent="0.2">
      <c r="A5688" t="s">
        <v>4271</v>
      </c>
      <c r="B5688">
        <v>0</v>
      </c>
      <c r="C5688">
        <v>0</v>
      </c>
      <c r="D5688">
        <v>0</v>
      </c>
      <c r="E5688">
        <v>0</v>
      </c>
      <c r="F5688">
        <v>0</v>
      </c>
      <c r="G5688">
        <v>0</v>
      </c>
    </row>
    <row r="5689" spans="1:7" x14ac:dyDescent="0.2">
      <c r="A5689" t="s">
        <v>4272</v>
      </c>
      <c r="B5689">
        <v>0</v>
      </c>
      <c r="C5689">
        <v>0</v>
      </c>
      <c r="D5689">
        <v>0</v>
      </c>
      <c r="E5689">
        <v>0</v>
      </c>
      <c r="F5689">
        <v>0</v>
      </c>
      <c r="G5689">
        <v>0</v>
      </c>
    </row>
    <row r="5690" spans="1:7" x14ac:dyDescent="0.2">
      <c r="A5690" t="s">
        <v>4273</v>
      </c>
      <c r="B5690">
        <v>0</v>
      </c>
      <c r="C5690">
        <v>0</v>
      </c>
      <c r="D5690">
        <v>0</v>
      </c>
      <c r="E5690">
        <v>0</v>
      </c>
      <c r="F5690">
        <v>0</v>
      </c>
      <c r="G5690">
        <v>0</v>
      </c>
    </row>
    <row r="5691" spans="1:7" x14ac:dyDescent="0.2">
      <c r="A5691" t="s">
        <v>4274</v>
      </c>
      <c r="B5691">
        <v>0</v>
      </c>
      <c r="C5691">
        <v>0</v>
      </c>
      <c r="D5691">
        <v>0</v>
      </c>
      <c r="E5691">
        <v>0</v>
      </c>
      <c r="F5691">
        <v>0</v>
      </c>
      <c r="G5691">
        <v>0</v>
      </c>
    </row>
    <row r="5692" spans="1:7" x14ac:dyDescent="0.2">
      <c r="A5692" t="s">
        <v>4275</v>
      </c>
      <c r="B5692">
        <v>0</v>
      </c>
      <c r="C5692">
        <v>0</v>
      </c>
      <c r="D5692">
        <v>0</v>
      </c>
      <c r="E5692">
        <v>0</v>
      </c>
      <c r="F5692">
        <v>0</v>
      </c>
      <c r="G5692">
        <v>0</v>
      </c>
    </row>
    <row r="5693" spans="1:7" x14ac:dyDescent="0.2">
      <c r="A5693" t="s">
        <v>4276</v>
      </c>
      <c r="B5693">
        <v>0</v>
      </c>
      <c r="C5693">
        <v>0</v>
      </c>
      <c r="D5693">
        <v>0</v>
      </c>
      <c r="E5693">
        <v>0</v>
      </c>
      <c r="F5693">
        <v>0</v>
      </c>
      <c r="G5693">
        <v>0</v>
      </c>
    </row>
    <row r="5694" spans="1:7" x14ac:dyDescent="0.2">
      <c r="A5694" t="s">
        <v>4277</v>
      </c>
      <c r="B5694">
        <v>0</v>
      </c>
      <c r="C5694">
        <v>0</v>
      </c>
      <c r="D5694">
        <v>0</v>
      </c>
      <c r="E5694">
        <v>0</v>
      </c>
      <c r="F5694">
        <v>0</v>
      </c>
      <c r="G5694">
        <v>0</v>
      </c>
    </row>
    <row r="5695" spans="1:7" x14ac:dyDescent="0.2">
      <c r="A5695" t="s">
        <v>4278</v>
      </c>
      <c r="B5695">
        <v>0</v>
      </c>
      <c r="C5695">
        <v>0</v>
      </c>
      <c r="D5695">
        <v>0</v>
      </c>
      <c r="E5695">
        <v>0</v>
      </c>
      <c r="F5695">
        <v>0</v>
      </c>
      <c r="G5695">
        <v>0</v>
      </c>
    </row>
    <row r="5696" spans="1:7" x14ac:dyDescent="0.2">
      <c r="A5696" t="s">
        <v>4279</v>
      </c>
      <c r="B5696">
        <v>1</v>
      </c>
      <c r="C5696">
        <v>0</v>
      </c>
      <c r="D5696">
        <v>0</v>
      </c>
      <c r="E5696">
        <v>0</v>
      </c>
      <c r="F5696">
        <v>0</v>
      </c>
      <c r="G5696">
        <v>1</v>
      </c>
    </row>
    <row r="5697" spans="1:7" x14ac:dyDescent="0.2">
      <c r="A5697" t="s">
        <v>4280</v>
      </c>
      <c r="B5697">
        <v>0</v>
      </c>
      <c r="C5697">
        <v>0</v>
      </c>
      <c r="D5697">
        <v>0</v>
      </c>
      <c r="E5697">
        <v>0</v>
      </c>
      <c r="F5697">
        <v>0</v>
      </c>
      <c r="G5697">
        <v>0</v>
      </c>
    </row>
    <row r="5698" spans="1:7" x14ac:dyDescent="0.2">
      <c r="A5698" t="s">
        <v>4281</v>
      </c>
      <c r="B5698">
        <v>111</v>
      </c>
      <c r="C5698">
        <v>77</v>
      </c>
      <c r="D5698">
        <v>71</v>
      </c>
      <c r="E5698">
        <v>11</v>
      </c>
      <c r="F5698">
        <v>0</v>
      </c>
      <c r="G5698">
        <v>269</v>
      </c>
    </row>
    <row r="5699" spans="1:7" x14ac:dyDescent="0.2">
      <c r="A5699" t="s">
        <v>4282</v>
      </c>
      <c r="B5699">
        <v>21</v>
      </c>
      <c r="C5699">
        <v>48</v>
      </c>
      <c r="D5699">
        <v>40</v>
      </c>
      <c r="E5699">
        <v>0</v>
      </c>
      <c r="F5699">
        <v>0</v>
      </c>
      <c r="G5699">
        <v>109</v>
      </c>
    </row>
    <row r="5700" spans="1:7" x14ac:dyDescent="0.2">
      <c r="A5700" t="s">
        <v>4283</v>
      </c>
      <c r="B5700">
        <v>21</v>
      </c>
      <c r="C5700">
        <v>18</v>
      </c>
      <c r="D5700">
        <v>9</v>
      </c>
      <c r="E5700">
        <v>10</v>
      </c>
      <c r="F5700">
        <v>0</v>
      </c>
      <c r="G5700">
        <v>57</v>
      </c>
    </row>
    <row r="5701" spans="1:7" x14ac:dyDescent="0.2">
      <c r="A5701" t="s">
        <v>4284</v>
      </c>
      <c r="B5701">
        <v>1</v>
      </c>
      <c r="C5701">
        <v>0</v>
      </c>
      <c r="D5701">
        <v>1</v>
      </c>
      <c r="E5701">
        <v>0</v>
      </c>
      <c r="F5701">
        <v>0</v>
      </c>
      <c r="G5701">
        <v>1</v>
      </c>
    </row>
    <row r="5702" spans="1:7" x14ac:dyDescent="0.2">
      <c r="A5702" t="s">
        <v>4285</v>
      </c>
      <c r="B5702">
        <v>78</v>
      </c>
      <c r="C5702">
        <v>70</v>
      </c>
      <c r="D5702">
        <v>46</v>
      </c>
      <c r="E5702">
        <v>9</v>
      </c>
      <c r="F5702">
        <v>0</v>
      </c>
      <c r="G5702">
        <v>203</v>
      </c>
    </row>
    <row r="5703" spans="1:7" x14ac:dyDescent="0.2">
      <c r="A5703" t="s">
        <v>4286</v>
      </c>
      <c r="B5703">
        <v>18</v>
      </c>
      <c r="C5703">
        <v>3</v>
      </c>
      <c r="D5703">
        <v>3</v>
      </c>
      <c r="E5703">
        <v>0</v>
      </c>
      <c r="F5703">
        <v>0</v>
      </c>
      <c r="G5703">
        <v>25</v>
      </c>
    </row>
    <row r="5704" spans="1:7" x14ac:dyDescent="0.2">
      <c r="A5704" t="s">
        <v>4287</v>
      </c>
      <c r="B5704">
        <v>0</v>
      </c>
      <c r="C5704">
        <v>0</v>
      </c>
      <c r="D5704">
        <v>0</v>
      </c>
      <c r="E5704">
        <v>7</v>
      </c>
      <c r="F5704">
        <v>0</v>
      </c>
      <c r="G5704">
        <v>7</v>
      </c>
    </row>
    <row r="5705" spans="1:7" x14ac:dyDescent="0.2">
      <c r="A5705" t="s">
        <v>4288</v>
      </c>
      <c r="B5705">
        <v>0</v>
      </c>
      <c r="C5705">
        <v>0</v>
      </c>
      <c r="D5705">
        <v>0</v>
      </c>
      <c r="E5705">
        <v>0</v>
      </c>
      <c r="F5705">
        <v>0</v>
      </c>
      <c r="G5705">
        <v>0</v>
      </c>
    </row>
    <row r="5706" spans="1:7" x14ac:dyDescent="0.2">
      <c r="A5706" t="s">
        <v>4289</v>
      </c>
      <c r="B5706">
        <v>0</v>
      </c>
      <c r="C5706">
        <v>0</v>
      </c>
      <c r="D5706">
        <v>0</v>
      </c>
      <c r="E5706">
        <v>0</v>
      </c>
      <c r="F5706">
        <v>0</v>
      </c>
      <c r="G5706">
        <v>0</v>
      </c>
    </row>
    <row r="5707" spans="1:7" x14ac:dyDescent="0.2">
      <c r="A5707" t="s">
        <v>4290</v>
      </c>
      <c r="B5707">
        <v>0</v>
      </c>
      <c r="C5707">
        <v>0</v>
      </c>
      <c r="D5707">
        <v>0</v>
      </c>
      <c r="E5707">
        <v>0</v>
      </c>
      <c r="F5707">
        <v>0</v>
      </c>
      <c r="G5707">
        <v>0</v>
      </c>
    </row>
    <row r="5708" spans="1:7" x14ac:dyDescent="0.2">
      <c r="A5708" t="s">
        <v>4291</v>
      </c>
      <c r="B5708">
        <v>0</v>
      </c>
      <c r="C5708">
        <v>0</v>
      </c>
      <c r="D5708">
        <v>0</v>
      </c>
      <c r="E5708">
        <v>0</v>
      </c>
      <c r="F5708">
        <v>0</v>
      </c>
      <c r="G5708">
        <v>0</v>
      </c>
    </row>
    <row r="5709" spans="1:7" x14ac:dyDescent="0.2">
      <c r="A5709" t="s">
        <v>4292</v>
      </c>
      <c r="B5709">
        <v>0</v>
      </c>
      <c r="C5709">
        <v>0</v>
      </c>
      <c r="D5709">
        <v>0</v>
      </c>
      <c r="E5709">
        <v>0</v>
      </c>
      <c r="F5709">
        <v>0</v>
      </c>
      <c r="G5709">
        <v>0</v>
      </c>
    </row>
    <row r="5710" spans="1:7" x14ac:dyDescent="0.2">
      <c r="A5710" t="s">
        <v>4293</v>
      </c>
      <c r="B5710">
        <v>0</v>
      </c>
      <c r="C5710">
        <v>0</v>
      </c>
      <c r="D5710">
        <v>0</v>
      </c>
      <c r="E5710">
        <v>0</v>
      </c>
      <c r="F5710">
        <v>0</v>
      </c>
      <c r="G5710">
        <v>0</v>
      </c>
    </row>
    <row r="5711" spans="1:7" x14ac:dyDescent="0.2">
      <c r="A5711" t="s">
        <v>4294</v>
      </c>
      <c r="B5711">
        <v>0</v>
      </c>
      <c r="C5711">
        <v>0</v>
      </c>
      <c r="D5711">
        <v>0</v>
      </c>
      <c r="E5711">
        <v>0</v>
      </c>
      <c r="F5711">
        <v>0</v>
      </c>
      <c r="G5711">
        <v>0</v>
      </c>
    </row>
    <row r="5712" spans="1:7" x14ac:dyDescent="0.2">
      <c r="A5712" t="s">
        <v>4295</v>
      </c>
      <c r="B5712">
        <v>0</v>
      </c>
      <c r="C5712">
        <v>0</v>
      </c>
      <c r="D5712">
        <v>0</v>
      </c>
      <c r="E5712">
        <v>0</v>
      </c>
      <c r="F5712">
        <v>0</v>
      </c>
      <c r="G5712">
        <v>0</v>
      </c>
    </row>
    <row r="5713" spans="1:7" x14ac:dyDescent="0.2">
      <c r="A5713" t="s">
        <v>4296</v>
      </c>
      <c r="B5713">
        <v>0</v>
      </c>
      <c r="C5713">
        <v>0</v>
      </c>
      <c r="D5713">
        <v>0</v>
      </c>
      <c r="E5713">
        <v>0</v>
      </c>
      <c r="F5713">
        <v>0</v>
      </c>
      <c r="G5713">
        <v>0</v>
      </c>
    </row>
    <row r="5714" spans="1:7" x14ac:dyDescent="0.2">
      <c r="A5714" t="s">
        <v>4297</v>
      </c>
      <c r="B5714">
        <v>7</v>
      </c>
      <c r="C5714">
        <v>90</v>
      </c>
      <c r="D5714">
        <v>183</v>
      </c>
      <c r="E5714">
        <v>22</v>
      </c>
      <c r="F5714">
        <v>0</v>
      </c>
      <c r="G5714">
        <v>301</v>
      </c>
    </row>
    <row r="5715" spans="1:7" x14ac:dyDescent="0.2">
      <c r="A5715" t="s">
        <v>4298</v>
      </c>
      <c r="B5715">
        <v>18</v>
      </c>
      <c r="C5715">
        <v>87</v>
      </c>
      <c r="D5715">
        <v>39</v>
      </c>
      <c r="E5715">
        <v>9</v>
      </c>
      <c r="F5715">
        <v>0</v>
      </c>
      <c r="G5715">
        <v>152</v>
      </c>
    </row>
    <row r="5716" spans="1:7" x14ac:dyDescent="0.2">
      <c r="A5716" t="s">
        <v>4299</v>
      </c>
      <c r="B5716">
        <v>19</v>
      </c>
      <c r="C5716">
        <v>187</v>
      </c>
      <c r="D5716">
        <v>168</v>
      </c>
      <c r="E5716">
        <v>121</v>
      </c>
      <c r="F5716">
        <v>0</v>
      </c>
      <c r="G5716">
        <v>496</v>
      </c>
    </row>
    <row r="5717" spans="1:7" x14ac:dyDescent="0.2">
      <c r="A5717" t="s">
        <v>4300</v>
      </c>
      <c r="B5717">
        <v>0</v>
      </c>
      <c r="C5717">
        <v>4</v>
      </c>
      <c r="D5717">
        <v>4</v>
      </c>
      <c r="E5717">
        <v>2</v>
      </c>
      <c r="F5717">
        <v>0</v>
      </c>
      <c r="G5717">
        <v>11</v>
      </c>
    </row>
    <row r="5718" spans="1:7" x14ac:dyDescent="0.2">
      <c r="A5718" t="s">
        <v>4301</v>
      </c>
      <c r="B5718">
        <v>0</v>
      </c>
      <c r="C5718">
        <v>496</v>
      </c>
      <c r="D5718">
        <v>548</v>
      </c>
      <c r="E5718">
        <v>129</v>
      </c>
      <c r="F5718">
        <v>0</v>
      </c>
      <c r="G5718">
        <v>1173</v>
      </c>
    </row>
    <row r="5719" spans="1:7" x14ac:dyDescent="0.2">
      <c r="A5719" t="s">
        <v>4302</v>
      </c>
      <c r="B5719">
        <v>11</v>
      </c>
      <c r="C5719">
        <v>235</v>
      </c>
      <c r="D5719">
        <v>473</v>
      </c>
      <c r="E5719">
        <v>103</v>
      </c>
      <c r="F5719">
        <v>0</v>
      </c>
      <c r="G5719">
        <v>823</v>
      </c>
    </row>
    <row r="5720" spans="1:7" x14ac:dyDescent="0.2">
      <c r="A5720" t="s">
        <v>4303</v>
      </c>
      <c r="B5720">
        <v>11</v>
      </c>
      <c r="C5720">
        <v>213</v>
      </c>
      <c r="D5720">
        <v>618</v>
      </c>
      <c r="E5720">
        <v>85</v>
      </c>
      <c r="F5720">
        <v>0</v>
      </c>
      <c r="G5720">
        <v>927</v>
      </c>
    </row>
    <row r="5721" spans="1:7" x14ac:dyDescent="0.2">
      <c r="A5721" t="s">
        <v>4304</v>
      </c>
      <c r="B5721">
        <v>6</v>
      </c>
      <c r="C5721">
        <v>63</v>
      </c>
      <c r="D5721">
        <v>137</v>
      </c>
      <c r="E5721">
        <v>16</v>
      </c>
      <c r="F5721">
        <v>0</v>
      </c>
      <c r="G5721">
        <v>222</v>
      </c>
    </row>
    <row r="5722" spans="1:7" x14ac:dyDescent="0.2">
      <c r="A5722" t="s">
        <v>4305</v>
      </c>
      <c r="B5722">
        <v>597</v>
      </c>
      <c r="C5722">
        <v>1173</v>
      </c>
      <c r="D5722">
        <v>1544</v>
      </c>
      <c r="E5722">
        <v>354</v>
      </c>
      <c r="F5722">
        <v>0</v>
      </c>
      <c r="G5722">
        <v>3668</v>
      </c>
    </row>
    <row r="5723" spans="1:7" x14ac:dyDescent="0.2">
      <c r="A5723" t="s">
        <v>4306</v>
      </c>
      <c r="B5723">
        <v>9</v>
      </c>
      <c r="C5723">
        <v>233</v>
      </c>
      <c r="D5723">
        <v>48</v>
      </c>
      <c r="E5723">
        <v>20</v>
      </c>
      <c r="F5723">
        <v>0</v>
      </c>
      <c r="G5723">
        <v>310</v>
      </c>
    </row>
    <row r="5724" spans="1:7" x14ac:dyDescent="0.2">
      <c r="A5724" t="s">
        <v>4307</v>
      </c>
      <c r="B5724">
        <v>55</v>
      </c>
      <c r="C5724">
        <v>715</v>
      </c>
      <c r="D5724">
        <v>2165</v>
      </c>
      <c r="E5724">
        <v>302</v>
      </c>
      <c r="F5724">
        <v>0</v>
      </c>
      <c r="G5724">
        <v>3237</v>
      </c>
    </row>
    <row r="5725" spans="1:7" x14ac:dyDescent="0.2">
      <c r="A5725" t="s">
        <v>4308</v>
      </c>
      <c r="B5725">
        <v>0</v>
      </c>
      <c r="C5725">
        <v>0</v>
      </c>
      <c r="D5725">
        <v>27</v>
      </c>
      <c r="E5725">
        <v>32</v>
      </c>
      <c r="F5725">
        <v>0</v>
      </c>
      <c r="G5725">
        <v>59</v>
      </c>
    </row>
    <row r="5726" spans="1:7" x14ac:dyDescent="0.2">
      <c r="A5726" t="s">
        <v>4309</v>
      </c>
      <c r="B5726">
        <v>0</v>
      </c>
      <c r="C5726">
        <v>0</v>
      </c>
      <c r="D5726">
        <v>0</v>
      </c>
      <c r="E5726">
        <v>0</v>
      </c>
      <c r="F5726">
        <v>0</v>
      </c>
      <c r="G5726">
        <v>0</v>
      </c>
    </row>
    <row r="5727" spans="1:7" x14ac:dyDescent="0.2">
      <c r="A5727" t="s">
        <v>4310</v>
      </c>
      <c r="B5727">
        <v>0</v>
      </c>
      <c r="C5727">
        <v>0</v>
      </c>
      <c r="D5727">
        <v>0</v>
      </c>
      <c r="E5727">
        <v>0</v>
      </c>
      <c r="F5727">
        <v>0</v>
      </c>
      <c r="G5727">
        <v>0</v>
      </c>
    </row>
    <row r="5728" spans="1:7" x14ac:dyDescent="0.2">
      <c r="A5728" t="s">
        <v>4311</v>
      </c>
      <c r="B5728">
        <v>0</v>
      </c>
      <c r="C5728">
        <v>0</v>
      </c>
      <c r="D5728">
        <v>0</v>
      </c>
      <c r="E5728">
        <v>4</v>
      </c>
      <c r="F5728">
        <v>0</v>
      </c>
      <c r="G5728">
        <v>4</v>
      </c>
    </row>
    <row r="5729" spans="1:7" x14ac:dyDescent="0.2">
      <c r="A5729" t="s">
        <v>4312</v>
      </c>
      <c r="B5729">
        <v>0</v>
      </c>
      <c r="C5729">
        <v>0</v>
      </c>
      <c r="D5729">
        <v>0</v>
      </c>
      <c r="E5729">
        <v>0</v>
      </c>
      <c r="F5729">
        <v>0</v>
      </c>
      <c r="G5729">
        <v>0</v>
      </c>
    </row>
    <row r="5730" spans="1:7" x14ac:dyDescent="0.2">
      <c r="A5730" t="s">
        <v>4313</v>
      </c>
      <c r="B5730">
        <v>0</v>
      </c>
      <c r="C5730">
        <v>0</v>
      </c>
      <c r="D5730">
        <v>0</v>
      </c>
      <c r="E5730">
        <v>0</v>
      </c>
      <c r="F5730">
        <v>0</v>
      </c>
      <c r="G5730">
        <v>0</v>
      </c>
    </row>
    <row r="5731" spans="1:7" x14ac:dyDescent="0.2">
      <c r="A5731" t="s">
        <v>4314</v>
      </c>
      <c r="B5731">
        <v>0</v>
      </c>
      <c r="C5731">
        <v>0</v>
      </c>
      <c r="D5731">
        <v>0</v>
      </c>
      <c r="E5731">
        <v>0</v>
      </c>
      <c r="F5731">
        <v>0</v>
      </c>
      <c r="G5731">
        <v>0</v>
      </c>
    </row>
    <row r="5732" spans="1:7" x14ac:dyDescent="0.2">
      <c r="A5732" t="s">
        <v>4315</v>
      </c>
      <c r="B5732">
        <v>0</v>
      </c>
      <c r="C5732">
        <v>0</v>
      </c>
      <c r="D5732">
        <v>0</v>
      </c>
      <c r="E5732">
        <v>0</v>
      </c>
      <c r="F5732">
        <v>0</v>
      </c>
      <c r="G5732">
        <v>0</v>
      </c>
    </row>
    <row r="5733" spans="1:7" x14ac:dyDescent="0.2">
      <c r="A5733" t="s">
        <v>4316</v>
      </c>
      <c r="B5733">
        <v>0</v>
      </c>
      <c r="C5733">
        <v>0</v>
      </c>
      <c r="D5733">
        <v>0</v>
      </c>
      <c r="E5733">
        <v>0</v>
      </c>
      <c r="F5733">
        <v>0</v>
      </c>
      <c r="G5733">
        <v>0</v>
      </c>
    </row>
    <row r="5734" spans="1:7" x14ac:dyDescent="0.2">
      <c r="A5734" t="s">
        <v>4317</v>
      </c>
      <c r="B5734">
        <v>0</v>
      </c>
      <c r="C5734">
        <v>0</v>
      </c>
      <c r="D5734">
        <v>0</v>
      </c>
      <c r="E5734">
        <v>0</v>
      </c>
      <c r="F5734">
        <v>0</v>
      </c>
      <c r="G5734">
        <v>0</v>
      </c>
    </row>
    <row r="5735" spans="1:7" x14ac:dyDescent="0.2">
      <c r="A5735" t="s">
        <v>4318</v>
      </c>
      <c r="B5735">
        <v>0</v>
      </c>
      <c r="C5735">
        <v>0</v>
      </c>
      <c r="D5735">
        <v>0</v>
      </c>
      <c r="E5735">
        <v>0</v>
      </c>
      <c r="F5735">
        <v>0</v>
      </c>
      <c r="G5735">
        <v>0</v>
      </c>
    </row>
    <row r="5736" spans="1:7" x14ac:dyDescent="0.2">
      <c r="A5736" t="s">
        <v>4319</v>
      </c>
      <c r="B5736">
        <v>0</v>
      </c>
      <c r="C5736">
        <v>0</v>
      </c>
      <c r="D5736">
        <v>0</v>
      </c>
      <c r="E5736">
        <v>0</v>
      </c>
      <c r="F5736">
        <v>0</v>
      </c>
      <c r="G5736">
        <v>0</v>
      </c>
    </row>
    <row r="5737" spans="1:7" x14ac:dyDescent="0.2">
      <c r="A5737" t="s">
        <v>4320</v>
      </c>
      <c r="B5737">
        <v>0</v>
      </c>
      <c r="C5737">
        <v>0</v>
      </c>
      <c r="D5737">
        <v>0</v>
      </c>
      <c r="E5737">
        <v>0</v>
      </c>
      <c r="F5737">
        <v>0</v>
      </c>
      <c r="G5737">
        <v>0</v>
      </c>
    </row>
    <row r="5738" spans="1:7" x14ac:dyDescent="0.2">
      <c r="A5738" t="s">
        <v>4321</v>
      </c>
      <c r="B5738">
        <v>0</v>
      </c>
      <c r="C5738">
        <v>0</v>
      </c>
      <c r="D5738">
        <v>0</v>
      </c>
      <c r="E5738">
        <v>0</v>
      </c>
      <c r="F5738">
        <v>0</v>
      </c>
      <c r="G5738">
        <v>0</v>
      </c>
    </row>
    <row r="5739" spans="1:7" x14ac:dyDescent="0.2">
      <c r="A5739" t="s">
        <v>4322</v>
      </c>
      <c r="B5739">
        <v>0</v>
      </c>
      <c r="C5739">
        <v>0</v>
      </c>
      <c r="D5739">
        <v>0</v>
      </c>
      <c r="E5739">
        <v>0</v>
      </c>
      <c r="F5739">
        <v>0</v>
      </c>
      <c r="G5739">
        <v>0</v>
      </c>
    </row>
    <row r="5740" spans="1:7" x14ac:dyDescent="0.2">
      <c r="A5740" t="s">
        <v>4323</v>
      </c>
      <c r="B5740">
        <v>0</v>
      </c>
      <c r="C5740">
        <v>0</v>
      </c>
      <c r="D5740">
        <v>0</v>
      </c>
      <c r="E5740">
        <v>0</v>
      </c>
      <c r="F5740">
        <v>0</v>
      </c>
      <c r="G5740">
        <v>0</v>
      </c>
    </row>
    <row r="5741" spans="1:7" x14ac:dyDescent="0.2">
      <c r="A5741" t="s">
        <v>4324</v>
      </c>
      <c r="B5741">
        <v>0</v>
      </c>
      <c r="C5741">
        <v>0</v>
      </c>
      <c r="D5741">
        <v>0</v>
      </c>
      <c r="E5741">
        <v>0</v>
      </c>
      <c r="F5741">
        <v>0</v>
      </c>
      <c r="G5741">
        <v>0</v>
      </c>
    </row>
    <row r="5742" spans="1:7" x14ac:dyDescent="0.2">
      <c r="A5742" t="s">
        <v>4325</v>
      </c>
      <c r="B5742">
        <v>0</v>
      </c>
      <c r="C5742">
        <v>0</v>
      </c>
      <c r="D5742">
        <v>0</v>
      </c>
      <c r="E5742">
        <v>0</v>
      </c>
      <c r="F5742">
        <v>0</v>
      </c>
      <c r="G5742">
        <v>0</v>
      </c>
    </row>
    <row r="5743" spans="1:7" x14ac:dyDescent="0.2">
      <c r="A5743" t="s">
        <v>4326</v>
      </c>
      <c r="B5743">
        <v>0</v>
      </c>
      <c r="C5743">
        <v>0</v>
      </c>
      <c r="D5743">
        <v>0</v>
      </c>
      <c r="E5743">
        <v>0</v>
      </c>
      <c r="F5743">
        <v>0</v>
      </c>
      <c r="G5743">
        <v>0</v>
      </c>
    </row>
    <row r="5744" spans="1:7" x14ac:dyDescent="0.2">
      <c r="A5744" t="s">
        <v>4327</v>
      </c>
      <c r="B5744">
        <v>0</v>
      </c>
      <c r="C5744">
        <v>0</v>
      </c>
      <c r="D5744">
        <v>0</v>
      </c>
      <c r="E5744">
        <v>0</v>
      </c>
      <c r="F5744">
        <v>0</v>
      </c>
      <c r="G5744">
        <v>0</v>
      </c>
    </row>
    <row r="5745" spans="1:7" x14ac:dyDescent="0.2">
      <c r="A5745" t="s">
        <v>4328</v>
      </c>
      <c r="B5745">
        <v>0</v>
      </c>
      <c r="C5745">
        <v>0</v>
      </c>
      <c r="D5745">
        <v>0</v>
      </c>
      <c r="E5745">
        <v>0</v>
      </c>
      <c r="F5745">
        <v>0</v>
      </c>
      <c r="G5745">
        <v>0</v>
      </c>
    </row>
    <row r="5746" spans="1:7" x14ac:dyDescent="0.2">
      <c r="A5746" t="s">
        <v>4329</v>
      </c>
      <c r="B5746">
        <v>0</v>
      </c>
      <c r="C5746">
        <v>0</v>
      </c>
      <c r="D5746">
        <v>0</v>
      </c>
      <c r="E5746">
        <v>0</v>
      </c>
      <c r="F5746">
        <v>0</v>
      </c>
      <c r="G5746">
        <v>0</v>
      </c>
    </row>
    <row r="5747" spans="1:7" x14ac:dyDescent="0.2">
      <c r="A5747" t="s">
        <v>4330</v>
      </c>
      <c r="B5747">
        <v>0</v>
      </c>
      <c r="C5747">
        <v>0</v>
      </c>
      <c r="D5747">
        <v>0</v>
      </c>
      <c r="E5747">
        <v>0</v>
      </c>
      <c r="F5747">
        <v>0</v>
      </c>
      <c r="G5747">
        <v>0</v>
      </c>
    </row>
    <row r="5748" spans="1:7" x14ac:dyDescent="0.2">
      <c r="A5748" t="s">
        <v>4331</v>
      </c>
      <c r="B5748">
        <v>0</v>
      </c>
      <c r="C5748">
        <v>0</v>
      </c>
      <c r="D5748">
        <v>0</v>
      </c>
      <c r="E5748">
        <v>0</v>
      </c>
      <c r="F5748">
        <v>0</v>
      </c>
      <c r="G5748">
        <v>0</v>
      </c>
    </row>
    <row r="5749" spans="1:7" x14ac:dyDescent="0.2">
      <c r="A5749" t="s">
        <v>4332</v>
      </c>
      <c r="B5749">
        <v>0</v>
      </c>
      <c r="C5749">
        <v>0</v>
      </c>
      <c r="D5749">
        <v>0</v>
      </c>
      <c r="E5749">
        <v>0</v>
      </c>
      <c r="F5749">
        <v>0</v>
      </c>
      <c r="G5749">
        <v>0</v>
      </c>
    </row>
    <row r="5750" spans="1:7" x14ac:dyDescent="0.2">
      <c r="A5750" t="s">
        <v>4333</v>
      </c>
      <c r="B5750">
        <v>0</v>
      </c>
      <c r="C5750">
        <v>0</v>
      </c>
      <c r="D5750">
        <v>0</v>
      </c>
      <c r="E5750">
        <v>0</v>
      </c>
      <c r="F5750">
        <v>0</v>
      </c>
      <c r="G5750">
        <v>0</v>
      </c>
    </row>
    <row r="5751" spans="1:7" x14ac:dyDescent="0.2">
      <c r="A5751" t="s">
        <v>4334</v>
      </c>
      <c r="B5751">
        <v>0</v>
      </c>
      <c r="C5751">
        <v>0</v>
      </c>
      <c r="D5751">
        <v>0</v>
      </c>
      <c r="E5751">
        <v>0</v>
      </c>
      <c r="F5751">
        <v>0</v>
      </c>
      <c r="G5751">
        <v>0</v>
      </c>
    </row>
    <row r="5752" spans="1:7" x14ac:dyDescent="0.2">
      <c r="A5752" t="s">
        <v>4335</v>
      </c>
      <c r="B5752">
        <v>0</v>
      </c>
      <c r="C5752">
        <v>0</v>
      </c>
      <c r="D5752">
        <v>0</v>
      </c>
      <c r="E5752">
        <v>0</v>
      </c>
      <c r="F5752">
        <v>0</v>
      </c>
      <c r="G5752">
        <v>0</v>
      </c>
    </row>
    <row r="5753" spans="1:7" x14ac:dyDescent="0.2">
      <c r="A5753" t="s">
        <v>4336</v>
      </c>
      <c r="B5753">
        <v>0</v>
      </c>
      <c r="C5753">
        <v>0</v>
      </c>
      <c r="D5753">
        <v>0</v>
      </c>
      <c r="E5753">
        <v>0</v>
      </c>
      <c r="F5753">
        <v>0</v>
      </c>
      <c r="G5753">
        <v>0</v>
      </c>
    </row>
    <row r="5754" spans="1:7" x14ac:dyDescent="0.2">
      <c r="A5754" t="s">
        <v>4337</v>
      </c>
      <c r="B5754">
        <v>0</v>
      </c>
      <c r="C5754">
        <v>0</v>
      </c>
      <c r="D5754">
        <v>0</v>
      </c>
      <c r="E5754">
        <v>0</v>
      </c>
      <c r="F5754">
        <v>0</v>
      </c>
      <c r="G5754">
        <v>0</v>
      </c>
    </row>
    <row r="5755" spans="1:7" x14ac:dyDescent="0.2">
      <c r="A5755" t="s">
        <v>4338</v>
      </c>
      <c r="B5755">
        <v>0</v>
      </c>
      <c r="C5755">
        <v>0</v>
      </c>
      <c r="D5755">
        <v>0</v>
      </c>
      <c r="E5755">
        <v>1</v>
      </c>
      <c r="F5755">
        <v>0</v>
      </c>
      <c r="G5755">
        <v>1</v>
      </c>
    </row>
    <row r="5756" spans="1:7" x14ac:dyDescent="0.2">
      <c r="A5756" t="s">
        <v>4339</v>
      </c>
      <c r="B5756">
        <v>0</v>
      </c>
      <c r="C5756">
        <v>0</v>
      </c>
      <c r="D5756">
        <v>0</v>
      </c>
      <c r="E5756">
        <v>0</v>
      </c>
      <c r="F5756">
        <v>0</v>
      </c>
      <c r="G5756">
        <v>0</v>
      </c>
    </row>
    <row r="5757" spans="1:7" x14ac:dyDescent="0.2">
      <c r="A5757" t="s">
        <v>4340</v>
      </c>
      <c r="B5757">
        <v>0</v>
      </c>
      <c r="C5757">
        <v>0</v>
      </c>
      <c r="D5757">
        <v>0</v>
      </c>
      <c r="E5757">
        <v>0</v>
      </c>
      <c r="F5757">
        <v>0</v>
      </c>
      <c r="G5757">
        <v>0</v>
      </c>
    </row>
    <row r="5758" spans="1:7" x14ac:dyDescent="0.2">
      <c r="A5758" t="s">
        <v>4341</v>
      </c>
      <c r="B5758">
        <v>0</v>
      </c>
      <c r="C5758">
        <v>0</v>
      </c>
      <c r="D5758">
        <v>0</v>
      </c>
      <c r="E5758">
        <v>0</v>
      </c>
      <c r="F5758">
        <v>0</v>
      </c>
      <c r="G5758">
        <v>0</v>
      </c>
    </row>
    <row r="5759" spans="1:7" x14ac:dyDescent="0.2">
      <c r="A5759" t="s">
        <v>4342</v>
      </c>
      <c r="B5759">
        <v>0</v>
      </c>
      <c r="C5759">
        <v>0</v>
      </c>
      <c r="D5759">
        <v>0</v>
      </c>
      <c r="E5759">
        <v>0</v>
      </c>
      <c r="F5759">
        <v>0</v>
      </c>
      <c r="G5759">
        <v>0</v>
      </c>
    </row>
    <row r="5760" spans="1:7" x14ac:dyDescent="0.2">
      <c r="A5760" t="s">
        <v>4343</v>
      </c>
      <c r="B5760">
        <v>0</v>
      </c>
      <c r="C5760">
        <v>0</v>
      </c>
      <c r="D5760">
        <v>0</v>
      </c>
      <c r="E5760">
        <v>0</v>
      </c>
      <c r="F5760">
        <v>0</v>
      </c>
      <c r="G5760">
        <v>0</v>
      </c>
    </row>
    <row r="5761" spans="1:7" x14ac:dyDescent="0.2">
      <c r="A5761" t="s">
        <v>1728</v>
      </c>
      <c r="B5761">
        <v>0</v>
      </c>
      <c r="C5761">
        <v>0</v>
      </c>
      <c r="D5761">
        <v>0</v>
      </c>
      <c r="E5761">
        <v>0</v>
      </c>
      <c r="F5761">
        <v>0</v>
      </c>
      <c r="G5761">
        <v>0</v>
      </c>
    </row>
    <row r="5762" spans="1:7" x14ac:dyDescent="0.2">
      <c r="A5762" t="s">
        <v>1730</v>
      </c>
      <c r="B5762">
        <v>0</v>
      </c>
      <c r="C5762">
        <v>6</v>
      </c>
      <c r="D5762">
        <v>65</v>
      </c>
      <c r="E5762">
        <v>34</v>
      </c>
      <c r="F5762">
        <v>132</v>
      </c>
      <c r="G5762">
        <v>237</v>
      </c>
    </row>
    <row r="5763" spans="1:7" x14ac:dyDescent="0.2">
      <c r="A5763" t="s">
        <v>1733</v>
      </c>
      <c r="B5763">
        <v>0</v>
      </c>
      <c r="C5763">
        <v>0</v>
      </c>
      <c r="D5763">
        <v>0</v>
      </c>
      <c r="E5763">
        <v>0</v>
      </c>
      <c r="F5763">
        <v>0</v>
      </c>
      <c r="G5763">
        <v>0</v>
      </c>
    </row>
    <row r="5764" spans="1:7" x14ac:dyDescent="0.2">
      <c r="A5764" t="s">
        <v>1738</v>
      </c>
      <c r="B5764">
        <v>0</v>
      </c>
      <c r="C5764">
        <v>0</v>
      </c>
      <c r="D5764">
        <v>0</v>
      </c>
      <c r="E5764">
        <v>0</v>
      </c>
      <c r="F5764">
        <v>0</v>
      </c>
      <c r="G5764">
        <v>0</v>
      </c>
    </row>
    <row r="5765" spans="1:7" x14ac:dyDescent="0.2">
      <c r="A5765" t="s">
        <v>1744</v>
      </c>
      <c r="B5765">
        <v>0</v>
      </c>
      <c r="C5765">
        <v>0</v>
      </c>
      <c r="D5765">
        <v>0</v>
      </c>
      <c r="E5765">
        <v>0</v>
      </c>
      <c r="F5765">
        <v>0</v>
      </c>
      <c r="G5765">
        <v>0</v>
      </c>
    </row>
    <row r="5766" spans="1:7" x14ac:dyDescent="0.2">
      <c r="A5766" t="s">
        <v>1747</v>
      </c>
      <c r="B5766">
        <v>0</v>
      </c>
      <c r="C5766">
        <v>0</v>
      </c>
      <c r="D5766">
        <v>0</v>
      </c>
      <c r="E5766">
        <v>0</v>
      </c>
      <c r="F5766">
        <v>0</v>
      </c>
      <c r="G5766">
        <v>0</v>
      </c>
    </row>
    <row r="5767" spans="1:7" x14ac:dyDescent="0.2">
      <c r="A5767" t="s">
        <v>1751</v>
      </c>
      <c r="B5767">
        <v>0</v>
      </c>
      <c r="C5767">
        <v>0</v>
      </c>
      <c r="D5767">
        <v>0</v>
      </c>
      <c r="E5767">
        <v>0</v>
      </c>
      <c r="F5767">
        <v>0</v>
      </c>
      <c r="G5767">
        <v>0</v>
      </c>
    </row>
    <row r="5768" spans="1:7" x14ac:dyDescent="0.2">
      <c r="A5768" t="s">
        <v>1755</v>
      </c>
      <c r="B5768">
        <v>0</v>
      </c>
      <c r="C5768">
        <v>0</v>
      </c>
      <c r="D5768">
        <v>5</v>
      </c>
      <c r="E5768">
        <v>146</v>
      </c>
      <c r="F5768">
        <v>48</v>
      </c>
      <c r="G5768">
        <v>200</v>
      </c>
    </row>
    <row r="5769" spans="1:7" x14ac:dyDescent="0.2">
      <c r="A5769" t="s">
        <v>1757</v>
      </c>
      <c r="B5769">
        <v>0</v>
      </c>
      <c r="C5769">
        <v>0</v>
      </c>
      <c r="D5769">
        <v>10</v>
      </c>
      <c r="E5769">
        <v>61</v>
      </c>
      <c r="F5769">
        <v>42</v>
      </c>
      <c r="G5769">
        <v>113</v>
      </c>
    </row>
    <row r="5770" spans="1:7" x14ac:dyDescent="0.2">
      <c r="A5770" t="s">
        <v>1761</v>
      </c>
      <c r="B5770">
        <v>0</v>
      </c>
      <c r="C5770">
        <v>0</v>
      </c>
      <c r="D5770">
        <v>0</v>
      </c>
      <c r="E5770">
        <v>0</v>
      </c>
      <c r="F5770">
        <v>0</v>
      </c>
      <c r="G5770">
        <v>0</v>
      </c>
    </row>
    <row r="5771" spans="1:7" x14ac:dyDescent="0.2">
      <c r="A5771" t="s">
        <v>1764</v>
      </c>
      <c r="B5771">
        <v>0</v>
      </c>
      <c r="C5771">
        <v>0</v>
      </c>
      <c r="D5771">
        <v>0</v>
      </c>
      <c r="E5771">
        <v>0</v>
      </c>
      <c r="F5771">
        <v>0</v>
      </c>
      <c r="G5771">
        <v>0</v>
      </c>
    </row>
    <row r="5772" spans="1:7" x14ac:dyDescent="0.2">
      <c r="A5772" t="s">
        <v>1770</v>
      </c>
      <c r="B5772">
        <v>3</v>
      </c>
      <c r="C5772">
        <v>167</v>
      </c>
      <c r="D5772">
        <v>841</v>
      </c>
      <c r="E5772">
        <v>6619</v>
      </c>
      <c r="F5772">
        <v>0</v>
      </c>
      <c r="G5772">
        <v>7630</v>
      </c>
    </row>
    <row r="5773" spans="1:7" x14ac:dyDescent="0.2">
      <c r="A5773" t="s">
        <v>1772</v>
      </c>
      <c r="B5773">
        <v>0</v>
      </c>
      <c r="C5773">
        <v>19</v>
      </c>
      <c r="D5773">
        <v>262</v>
      </c>
      <c r="E5773">
        <v>2767</v>
      </c>
      <c r="F5773">
        <v>0</v>
      </c>
      <c r="G5773">
        <v>3048</v>
      </c>
    </row>
    <row r="5774" spans="1:7" x14ac:dyDescent="0.2">
      <c r="A5774" t="s">
        <v>1774</v>
      </c>
      <c r="B5774">
        <v>0</v>
      </c>
      <c r="C5774">
        <v>5</v>
      </c>
      <c r="D5774">
        <v>72</v>
      </c>
      <c r="E5774">
        <v>476</v>
      </c>
      <c r="F5774">
        <v>0</v>
      </c>
      <c r="G5774">
        <v>554</v>
      </c>
    </row>
    <row r="5775" spans="1:7" x14ac:dyDescent="0.2">
      <c r="A5775" t="s">
        <v>1777</v>
      </c>
      <c r="B5775">
        <v>0</v>
      </c>
      <c r="C5775">
        <v>0</v>
      </c>
      <c r="D5775">
        <v>0</v>
      </c>
      <c r="E5775">
        <v>0</v>
      </c>
      <c r="F5775">
        <v>0</v>
      </c>
      <c r="G5775">
        <v>0</v>
      </c>
    </row>
    <row r="5776" spans="1:7" x14ac:dyDescent="0.2">
      <c r="A5776" t="s">
        <v>1782</v>
      </c>
      <c r="B5776">
        <v>0</v>
      </c>
      <c r="C5776">
        <v>0</v>
      </c>
      <c r="D5776">
        <v>0</v>
      </c>
      <c r="E5776">
        <v>0</v>
      </c>
      <c r="F5776">
        <v>0</v>
      </c>
      <c r="G5776">
        <v>0</v>
      </c>
    </row>
    <row r="5777" spans="1:7" x14ac:dyDescent="0.2">
      <c r="A5777" t="s">
        <v>1274</v>
      </c>
      <c r="B5777">
        <v>0</v>
      </c>
      <c r="C5777">
        <v>0</v>
      </c>
      <c r="D5777">
        <v>0</v>
      </c>
      <c r="E5777">
        <v>16</v>
      </c>
      <c r="F5777">
        <v>0</v>
      </c>
      <c r="G5777">
        <v>16</v>
      </c>
    </row>
    <row r="5778" spans="1:7" x14ac:dyDescent="0.2">
      <c r="A5778" t="s">
        <v>1277</v>
      </c>
      <c r="B5778">
        <v>0</v>
      </c>
      <c r="C5778">
        <v>0</v>
      </c>
      <c r="D5778">
        <v>0</v>
      </c>
      <c r="E5778">
        <v>135</v>
      </c>
      <c r="F5778">
        <v>2</v>
      </c>
      <c r="G5778">
        <v>136</v>
      </c>
    </row>
    <row r="5779" spans="1:7" x14ac:dyDescent="0.2">
      <c r="A5779" t="s">
        <v>1798</v>
      </c>
      <c r="B5779">
        <v>0</v>
      </c>
      <c r="C5779">
        <v>0</v>
      </c>
      <c r="D5779">
        <v>0</v>
      </c>
      <c r="E5779">
        <v>0</v>
      </c>
      <c r="F5779">
        <v>0</v>
      </c>
      <c r="G5779">
        <v>0</v>
      </c>
    </row>
    <row r="5780" spans="1:7" x14ac:dyDescent="0.2">
      <c r="A5780" t="s">
        <v>1803</v>
      </c>
      <c r="B5780">
        <v>0</v>
      </c>
      <c r="C5780">
        <v>0</v>
      </c>
      <c r="D5780">
        <v>0</v>
      </c>
      <c r="E5780">
        <v>0</v>
      </c>
      <c r="F5780">
        <v>0</v>
      </c>
      <c r="G5780">
        <v>0</v>
      </c>
    </row>
    <row r="5781" spans="1:7" x14ac:dyDescent="0.2">
      <c r="A5781" t="s">
        <v>1808</v>
      </c>
      <c r="B5781">
        <v>0</v>
      </c>
      <c r="C5781">
        <v>0</v>
      </c>
      <c r="D5781">
        <v>0</v>
      </c>
      <c r="E5781">
        <v>0</v>
      </c>
      <c r="F5781">
        <v>0</v>
      </c>
      <c r="G5781">
        <v>0</v>
      </c>
    </row>
    <row r="5782" spans="1:7" x14ac:dyDescent="0.2">
      <c r="A5782" t="s">
        <v>1813</v>
      </c>
      <c r="B5782">
        <v>0</v>
      </c>
      <c r="C5782">
        <v>0</v>
      </c>
      <c r="D5782">
        <v>0</v>
      </c>
      <c r="E5782">
        <v>0</v>
      </c>
      <c r="F5782">
        <v>0</v>
      </c>
      <c r="G5782">
        <v>0</v>
      </c>
    </row>
    <row r="5783" spans="1:7" x14ac:dyDescent="0.2">
      <c r="A5783" t="s">
        <v>1819</v>
      </c>
      <c r="B5783">
        <v>0</v>
      </c>
      <c r="C5783">
        <v>0</v>
      </c>
      <c r="D5783">
        <v>0</v>
      </c>
      <c r="E5783">
        <v>0</v>
      </c>
      <c r="F5783">
        <v>0</v>
      </c>
      <c r="G5783">
        <v>0</v>
      </c>
    </row>
    <row r="5784" spans="1:7" x14ac:dyDescent="0.2">
      <c r="A5784" t="s">
        <v>1826</v>
      </c>
      <c r="B5784">
        <v>0</v>
      </c>
      <c r="C5784">
        <v>0</v>
      </c>
      <c r="D5784">
        <v>0</v>
      </c>
      <c r="E5784">
        <v>0</v>
      </c>
      <c r="F5784">
        <v>0</v>
      </c>
      <c r="G5784">
        <v>0</v>
      </c>
    </row>
    <row r="5785" spans="1:7" x14ac:dyDescent="0.2">
      <c r="A5785" t="s">
        <v>1830</v>
      </c>
      <c r="B5785">
        <v>0</v>
      </c>
      <c r="C5785">
        <v>0</v>
      </c>
      <c r="D5785">
        <v>0</v>
      </c>
      <c r="E5785">
        <v>0</v>
      </c>
      <c r="F5785">
        <v>0</v>
      </c>
      <c r="G5785">
        <v>0</v>
      </c>
    </row>
    <row r="5786" spans="1:7" x14ac:dyDescent="0.2">
      <c r="A5786" t="s">
        <v>1836</v>
      </c>
      <c r="B5786">
        <v>0</v>
      </c>
      <c r="C5786">
        <v>0</v>
      </c>
      <c r="D5786">
        <v>0</v>
      </c>
      <c r="E5786">
        <v>0</v>
      </c>
      <c r="F5786">
        <v>0</v>
      </c>
      <c r="G5786">
        <v>0</v>
      </c>
    </row>
    <row r="5787" spans="1:7" x14ac:dyDescent="0.2">
      <c r="A5787" t="s">
        <v>1841</v>
      </c>
      <c r="B5787">
        <v>0</v>
      </c>
      <c r="C5787">
        <v>0</v>
      </c>
      <c r="D5787">
        <v>0</v>
      </c>
      <c r="E5787">
        <v>0</v>
      </c>
      <c r="F5787">
        <v>0</v>
      </c>
      <c r="G5787">
        <v>0</v>
      </c>
    </row>
    <row r="5788" spans="1:7" x14ac:dyDescent="0.2">
      <c r="A5788" t="s">
        <v>1842</v>
      </c>
      <c r="B5788">
        <v>0</v>
      </c>
      <c r="C5788">
        <v>964</v>
      </c>
      <c r="D5788">
        <v>1855</v>
      </c>
      <c r="E5788">
        <v>3268</v>
      </c>
      <c r="F5788">
        <v>0</v>
      </c>
      <c r="G5788">
        <v>6087</v>
      </c>
    </row>
    <row r="5789" spans="1:7" x14ac:dyDescent="0.2">
      <c r="A5789" t="s">
        <v>1843</v>
      </c>
      <c r="B5789">
        <v>0</v>
      </c>
      <c r="C5789">
        <v>0</v>
      </c>
      <c r="D5789">
        <v>0</v>
      </c>
      <c r="E5789">
        <v>0</v>
      </c>
      <c r="F5789">
        <v>0</v>
      </c>
      <c r="G5789">
        <v>0</v>
      </c>
    </row>
    <row r="5790" spans="1:7" x14ac:dyDescent="0.2">
      <c r="A5790" t="s">
        <v>1846</v>
      </c>
      <c r="B5790">
        <v>0</v>
      </c>
      <c r="C5790">
        <v>0</v>
      </c>
      <c r="D5790">
        <v>0</v>
      </c>
      <c r="E5790">
        <v>0</v>
      </c>
      <c r="F5790">
        <v>0</v>
      </c>
      <c r="G5790">
        <v>0</v>
      </c>
    </row>
    <row r="5791" spans="1:7" x14ac:dyDescent="0.2">
      <c r="A5791" t="s">
        <v>1851</v>
      </c>
      <c r="B5791">
        <v>0</v>
      </c>
      <c r="C5791">
        <v>0</v>
      </c>
      <c r="D5791">
        <v>0</v>
      </c>
      <c r="E5791">
        <v>306</v>
      </c>
      <c r="F5791">
        <v>32</v>
      </c>
      <c r="G5791">
        <v>339</v>
      </c>
    </row>
    <row r="5792" spans="1:7" x14ac:dyDescent="0.2">
      <c r="A5792" t="s">
        <v>1857</v>
      </c>
      <c r="B5792">
        <v>0</v>
      </c>
      <c r="C5792">
        <v>0</v>
      </c>
      <c r="D5792">
        <v>0</v>
      </c>
      <c r="E5792">
        <v>0</v>
      </c>
      <c r="F5792">
        <v>0</v>
      </c>
      <c r="G5792">
        <v>0</v>
      </c>
    </row>
    <row r="5793" spans="1:7" x14ac:dyDescent="0.2">
      <c r="A5793" t="s">
        <v>1862</v>
      </c>
      <c r="B5793">
        <v>0</v>
      </c>
      <c r="C5793">
        <v>0</v>
      </c>
      <c r="D5793">
        <v>0</v>
      </c>
      <c r="E5793">
        <v>0</v>
      </c>
      <c r="F5793">
        <v>0</v>
      </c>
      <c r="G5793">
        <v>0</v>
      </c>
    </row>
    <row r="5794" spans="1:7" x14ac:dyDescent="0.2">
      <c r="A5794" t="s">
        <v>1867</v>
      </c>
      <c r="B5794">
        <v>0</v>
      </c>
      <c r="C5794">
        <v>0</v>
      </c>
      <c r="D5794">
        <v>0</v>
      </c>
      <c r="E5794">
        <v>0</v>
      </c>
      <c r="F5794">
        <v>0</v>
      </c>
      <c r="G5794">
        <v>0</v>
      </c>
    </row>
    <row r="5795" spans="1:7" x14ac:dyDescent="0.2">
      <c r="A5795" t="s">
        <v>1870</v>
      </c>
      <c r="B5795">
        <v>0</v>
      </c>
      <c r="C5795">
        <v>0</v>
      </c>
      <c r="D5795">
        <v>0</v>
      </c>
      <c r="E5795">
        <v>0</v>
      </c>
      <c r="F5795">
        <v>0</v>
      </c>
      <c r="G5795">
        <v>0</v>
      </c>
    </row>
    <row r="5796" spans="1:7" x14ac:dyDescent="0.2">
      <c r="A5796" t="s">
        <v>1874</v>
      </c>
      <c r="B5796">
        <v>0</v>
      </c>
      <c r="C5796">
        <v>0</v>
      </c>
      <c r="D5796">
        <v>185</v>
      </c>
      <c r="E5796">
        <v>374</v>
      </c>
      <c r="F5796">
        <v>0</v>
      </c>
      <c r="G5796">
        <v>559</v>
      </c>
    </row>
    <row r="5797" spans="1:7" x14ac:dyDescent="0.2">
      <c r="A5797" t="s">
        <v>1876</v>
      </c>
      <c r="B5797">
        <v>0</v>
      </c>
      <c r="C5797">
        <v>0</v>
      </c>
      <c r="D5797">
        <v>0</v>
      </c>
      <c r="E5797">
        <v>0</v>
      </c>
      <c r="F5797">
        <v>0</v>
      </c>
      <c r="G5797">
        <v>0</v>
      </c>
    </row>
    <row r="5798" spans="1:7" x14ac:dyDescent="0.2">
      <c r="A5798" t="s">
        <v>1881</v>
      </c>
      <c r="B5798">
        <v>0</v>
      </c>
      <c r="C5798">
        <v>0</v>
      </c>
      <c r="D5798">
        <v>0</v>
      </c>
      <c r="E5798">
        <v>0</v>
      </c>
      <c r="F5798">
        <v>0</v>
      </c>
      <c r="G5798">
        <v>0</v>
      </c>
    </row>
    <row r="5799" spans="1:7" x14ac:dyDescent="0.2">
      <c r="A5799" t="s">
        <v>1885</v>
      </c>
      <c r="B5799">
        <v>1502</v>
      </c>
      <c r="C5799">
        <v>1940</v>
      </c>
      <c r="D5799">
        <v>2772</v>
      </c>
      <c r="E5799">
        <v>5665</v>
      </c>
      <c r="F5799">
        <v>225</v>
      </c>
      <c r="G5799">
        <v>12104</v>
      </c>
    </row>
    <row r="5800" spans="1:7" x14ac:dyDescent="0.2">
      <c r="A5800" t="s">
        <v>1887</v>
      </c>
      <c r="B5800">
        <v>0</v>
      </c>
      <c r="C5800">
        <v>0</v>
      </c>
      <c r="D5800">
        <v>0</v>
      </c>
      <c r="E5800">
        <v>18</v>
      </c>
      <c r="F5800">
        <v>143</v>
      </c>
      <c r="G5800">
        <v>161</v>
      </c>
    </row>
    <row r="5801" spans="1:7" x14ac:dyDescent="0.2">
      <c r="A5801" t="s">
        <v>1893</v>
      </c>
      <c r="B5801">
        <v>0</v>
      </c>
      <c r="C5801">
        <v>0</v>
      </c>
      <c r="D5801">
        <v>0</v>
      </c>
      <c r="E5801">
        <v>974</v>
      </c>
      <c r="F5801">
        <v>280</v>
      </c>
      <c r="G5801">
        <v>1254</v>
      </c>
    </row>
    <row r="5802" spans="1:7" x14ac:dyDescent="0.2">
      <c r="A5802" t="s">
        <v>1899</v>
      </c>
      <c r="B5802">
        <v>0</v>
      </c>
      <c r="C5802">
        <v>0</v>
      </c>
      <c r="D5802">
        <v>0</v>
      </c>
      <c r="E5802">
        <v>0</v>
      </c>
      <c r="F5802">
        <v>0</v>
      </c>
      <c r="G5802">
        <v>0</v>
      </c>
    </row>
    <row r="5803" spans="1:7" x14ac:dyDescent="0.2">
      <c r="A5803" t="s">
        <v>1906</v>
      </c>
      <c r="B5803">
        <v>0</v>
      </c>
      <c r="C5803">
        <v>0</v>
      </c>
      <c r="D5803">
        <v>0</v>
      </c>
      <c r="E5803">
        <v>677</v>
      </c>
      <c r="F5803">
        <v>8</v>
      </c>
      <c r="G5803">
        <v>685</v>
      </c>
    </row>
    <row r="5804" spans="1:7" x14ac:dyDescent="0.2">
      <c r="A5804" t="s">
        <v>1911</v>
      </c>
      <c r="B5804">
        <v>0</v>
      </c>
      <c r="C5804">
        <v>0</v>
      </c>
      <c r="D5804">
        <v>0</v>
      </c>
      <c r="E5804">
        <v>0</v>
      </c>
      <c r="F5804">
        <v>0</v>
      </c>
      <c r="G5804">
        <v>0</v>
      </c>
    </row>
    <row r="5805" spans="1:7" x14ac:dyDescent="0.2">
      <c r="A5805" t="s">
        <v>1917</v>
      </c>
      <c r="B5805">
        <v>0</v>
      </c>
      <c r="C5805">
        <v>0</v>
      </c>
      <c r="D5805">
        <v>0</v>
      </c>
      <c r="E5805">
        <v>1027</v>
      </c>
      <c r="F5805">
        <v>1959</v>
      </c>
      <c r="G5805">
        <v>2987</v>
      </c>
    </row>
    <row r="5806" spans="1:7" x14ac:dyDescent="0.2">
      <c r="A5806" t="s">
        <v>1922</v>
      </c>
      <c r="B5806">
        <v>0</v>
      </c>
      <c r="C5806">
        <v>0</v>
      </c>
      <c r="D5806">
        <v>0</v>
      </c>
      <c r="E5806">
        <v>1705</v>
      </c>
      <c r="F5806">
        <v>884</v>
      </c>
      <c r="G5806">
        <v>2589</v>
      </c>
    </row>
    <row r="5807" spans="1:7" x14ac:dyDescent="0.2">
      <c r="A5807" t="s">
        <v>1928</v>
      </c>
      <c r="B5807">
        <v>0</v>
      </c>
      <c r="C5807">
        <v>0</v>
      </c>
      <c r="D5807">
        <v>0</v>
      </c>
      <c r="E5807">
        <v>0</v>
      </c>
      <c r="F5807">
        <v>5502</v>
      </c>
      <c r="G5807">
        <v>5502</v>
      </c>
    </row>
    <row r="5808" spans="1:7" x14ac:dyDescent="0.2">
      <c r="A5808" t="s">
        <v>1932</v>
      </c>
      <c r="B5808">
        <v>0</v>
      </c>
      <c r="C5808">
        <v>0</v>
      </c>
      <c r="D5808">
        <v>0</v>
      </c>
      <c r="E5808">
        <v>0</v>
      </c>
      <c r="F5808">
        <v>593</v>
      </c>
      <c r="G5808">
        <v>593</v>
      </c>
    </row>
    <row r="5809" spans="1:7" x14ac:dyDescent="0.2">
      <c r="A5809" t="s">
        <v>1938</v>
      </c>
      <c r="B5809">
        <v>0</v>
      </c>
      <c r="C5809">
        <v>0</v>
      </c>
      <c r="D5809">
        <v>0</v>
      </c>
      <c r="E5809">
        <v>0</v>
      </c>
      <c r="F5809">
        <v>419</v>
      </c>
      <c r="G5809">
        <v>419</v>
      </c>
    </row>
    <row r="5810" spans="1:7" x14ac:dyDescent="0.2">
      <c r="A5810" t="s">
        <v>1944</v>
      </c>
      <c r="B5810">
        <v>4</v>
      </c>
      <c r="C5810">
        <v>199</v>
      </c>
      <c r="D5810">
        <v>630</v>
      </c>
      <c r="E5810">
        <v>2028</v>
      </c>
      <c r="F5810">
        <v>63</v>
      </c>
      <c r="G5810">
        <v>2925</v>
      </c>
    </row>
    <row r="5811" spans="1:7" x14ac:dyDescent="0.2">
      <c r="A5811" t="s">
        <v>1947</v>
      </c>
      <c r="B5811">
        <v>0</v>
      </c>
      <c r="C5811">
        <v>0</v>
      </c>
      <c r="D5811">
        <v>0</v>
      </c>
      <c r="E5811">
        <v>0</v>
      </c>
      <c r="F5811">
        <v>56</v>
      </c>
      <c r="G5811">
        <v>56</v>
      </c>
    </row>
    <row r="5812" spans="1:7" x14ac:dyDescent="0.2">
      <c r="A5812" t="s">
        <v>1953</v>
      </c>
      <c r="B5812">
        <v>0</v>
      </c>
      <c r="C5812">
        <v>0</v>
      </c>
      <c r="D5812">
        <v>0</v>
      </c>
      <c r="E5812">
        <v>40</v>
      </c>
      <c r="F5812">
        <v>128</v>
      </c>
      <c r="G5812">
        <v>169</v>
      </c>
    </row>
    <row r="5813" spans="1:7" x14ac:dyDescent="0.2">
      <c r="A5813" t="s">
        <v>1958</v>
      </c>
      <c r="B5813">
        <v>0</v>
      </c>
      <c r="C5813">
        <v>0</v>
      </c>
      <c r="D5813">
        <v>0</v>
      </c>
      <c r="E5813">
        <v>0</v>
      </c>
      <c r="F5813">
        <v>0</v>
      </c>
      <c r="G5813">
        <v>0</v>
      </c>
    </row>
    <row r="5814" spans="1:7" x14ac:dyDescent="0.2">
      <c r="A5814" t="s">
        <v>1964</v>
      </c>
      <c r="B5814">
        <v>0</v>
      </c>
      <c r="C5814">
        <v>0</v>
      </c>
      <c r="D5814">
        <v>0</v>
      </c>
      <c r="E5814">
        <v>12</v>
      </c>
      <c r="F5814">
        <v>100</v>
      </c>
      <c r="G5814">
        <v>112</v>
      </c>
    </row>
    <row r="5815" spans="1:7" x14ac:dyDescent="0.2">
      <c r="A5815" t="s">
        <v>1973</v>
      </c>
      <c r="B5815">
        <v>0</v>
      </c>
      <c r="C5815">
        <v>0</v>
      </c>
      <c r="D5815">
        <v>0</v>
      </c>
      <c r="E5815">
        <v>0</v>
      </c>
      <c r="F5815">
        <v>4012</v>
      </c>
      <c r="G5815">
        <v>4012</v>
      </c>
    </row>
    <row r="5816" spans="1:7" x14ac:dyDescent="0.2">
      <c r="A5816" t="s">
        <v>1978</v>
      </c>
      <c r="B5816">
        <v>0</v>
      </c>
      <c r="C5816">
        <v>0</v>
      </c>
      <c r="D5816">
        <v>0</v>
      </c>
      <c r="E5816">
        <v>0</v>
      </c>
      <c r="F5816">
        <v>2756</v>
      </c>
      <c r="G5816">
        <v>2756</v>
      </c>
    </row>
    <row r="5817" spans="1:7" x14ac:dyDescent="0.2">
      <c r="A5817" t="s">
        <v>1983</v>
      </c>
      <c r="B5817">
        <v>313</v>
      </c>
      <c r="C5817">
        <v>24</v>
      </c>
      <c r="D5817">
        <v>55</v>
      </c>
      <c r="E5817">
        <v>369</v>
      </c>
      <c r="F5817">
        <v>75</v>
      </c>
      <c r="G5817">
        <v>836</v>
      </c>
    </row>
    <row r="5818" spans="1:7" x14ac:dyDescent="0.2">
      <c r="A5818" t="s">
        <v>1984</v>
      </c>
      <c r="B5818">
        <v>0</v>
      </c>
      <c r="C5818">
        <v>0</v>
      </c>
      <c r="D5818">
        <v>0</v>
      </c>
      <c r="E5818">
        <v>0</v>
      </c>
      <c r="F5818">
        <v>0</v>
      </c>
      <c r="G5818">
        <v>0</v>
      </c>
    </row>
    <row r="5819" spans="1:7" x14ac:dyDescent="0.2">
      <c r="A5819" t="s">
        <v>1990</v>
      </c>
      <c r="B5819">
        <v>0</v>
      </c>
      <c r="C5819">
        <v>0</v>
      </c>
      <c r="D5819">
        <v>0</v>
      </c>
      <c r="E5819">
        <v>69</v>
      </c>
      <c r="F5819">
        <v>93</v>
      </c>
      <c r="G5819">
        <v>162</v>
      </c>
    </row>
    <row r="5820" spans="1:7" x14ac:dyDescent="0.2">
      <c r="A5820" t="s">
        <v>1996</v>
      </c>
      <c r="B5820">
        <v>0</v>
      </c>
      <c r="C5820">
        <v>0</v>
      </c>
      <c r="D5820">
        <v>0</v>
      </c>
      <c r="E5820">
        <v>0</v>
      </c>
      <c r="F5820">
        <v>0</v>
      </c>
      <c r="G5820">
        <v>0</v>
      </c>
    </row>
    <row r="5821" spans="1:7" x14ac:dyDescent="0.2">
      <c r="A5821" t="s">
        <v>1998</v>
      </c>
      <c r="B5821">
        <v>0</v>
      </c>
      <c r="C5821">
        <v>0</v>
      </c>
      <c r="D5821">
        <v>0</v>
      </c>
      <c r="E5821">
        <v>0</v>
      </c>
      <c r="F5821">
        <v>0</v>
      </c>
      <c r="G5821">
        <v>0</v>
      </c>
    </row>
    <row r="5822" spans="1:7" x14ac:dyDescent="0.2">
      <c r="A5822" t="s">
        <v>1999</v>
      </c>
      <c r="B5822">
        <v>0</v>
      </c>
      <c r="C5822">
        <v>0</v>
      </c>
      <c r="D5822">
        <v>0</v>
      </c>
      <c r="E5822">
        <v>0</v>
      </c>
      <c r="F5822">
        <v>516</v>
      </c>
      <c r="G5822">
        <v>516</v>
      </c>
    </row>
    <row r="5823" spans="1:7" x14ac:dyDescent="0.2">
      <c r="A5823" t="s">
        <v>2004</v>
      </c>
      <c r="B5823">
        <v>0</v>
      </c>
      <c r="C5823">
        <v>0</v>
      </c>
      <c r="D5823">
        <v>0</v>
      </c>
      <c r="E5823">
        <v>450</v>
      </c>
      <c r="F5823">
        <v>620</v>
      </c>
      <c r="G5823">
        <v>1071</v>
      </c>
    </row>
    <row r="5824" spans="1:7" x14ac:dyDescent="0.2">
      <c r="A5824" t="s">
        <v>2009</v>
      </c>
      <c r="B5824">
        <v>0</v>
      </c>
      <c r="C5824">
        <v>0</v>
      </c>
      <c r="D5824">
        <v>0</v>
      </c>
      <c r="E5824">
        <v>0</v>
      </c>
      <c r="F5824">
        <v>0</v>
      </c>
      <c r="G5824">
        <v>0</v>
      </c>
    </row>
    <row r="5825" spans="1:7" x14ac:dyDescent="0.2">
      <c r="A5825" t="s">
        <v>2014</v>
      </c>
      <c r="B5825">
        <v>0</v>
      </c>
      <c r="C5825">
        <v>0</v>
      </c>
      <c r="D5825">
        <v>0</v>
      </c>
      <c r="E5825">
        <v>19684</v>
      </c>
      <c r="F5825">
        <v>10995</v>
      </c>
      <c r="G5825">
        <v>30679</v>
      </c>
    </row>
    <row r="5826" spans="1:7" x14ac:dyDescent="0.2">
      <c r="A5826" t="s">
        <v>2019</v>
      </c>
      <c r="B5826">
        <v>0</v>
      </c>
      <c r="C5826">
        <v>0</v>
      </c>
      <c r="D5826">
        <v>0</v>
      </c>
      <c r="E5826">
        <v>0</v>
      </c>
      <c r="F5826">
        <v>0</v>
      </c>
      <c r="G5826">
        <v>0</v>
      </c>
    </row>
    <row r="5827" spans="1:7" x14ac:dyDescent="0.2">
      <c r="A5827" t="s">
        <v>2023</v>
      </c>
      <c r="B5827">
        <v>0</v>
      </c>
      <c r="C5827">
        <v>0</v>
      </c>
      <c r="D5827">
        <v>0</v>
      </c>
      <c r="E5827">
        <v>0</v>
      </c>
      <c r="F5827">
        <v>3</v>
      </c>
      <c r="G5827">
        <v>3</v>
      </c>
    </row>
    <row r="5828" spans="1:7" x14ac:dyDescent="0.2">
      <c r="A5828" t="s">
        <v>2026</v>
      </c>
      <c r="B5828">
        <v>0</v>
      </c>
      <c r="C5828">
        <v>0</v>
      </c>
      <c r="D5828">
        <v>0</v>
      </c>
      <c r="E5828">
        <v>0</v>
      </c>
      <c r="F5828">
        <v>1602</v>
      </c>
      <c r="G5828">
        <v>1602</v>
      </c>
    </row>
    <row r="5829" spans="1:7" x14ac:dyDescent="0.2">
      <c r="A5829" t="s">
        <v>2030</v>
      </c>
      <c r="B5829">
        <v>0</v>
      </c>
      <c r="C5829">
        <v>0</v>
      </c>
      <c r="D5829">
        <v>0</v>
      </c>
      <c r="E5829">
        <v>0</v>
      </c>
      <c r="F5829">
        <v>0</v>
      </c>
      <c r="G5829">
        <v>0</v>
      </c>
    </row>
    <row r="5830" spans="1:7" x14ac:dyDescent="0.2">
      <c r="A5830" t="s">
        <v>2035</v>
      </c>
      <c r="B5830">
        <v>0</v>
      </c>
      <c r="C5830">
        <v>0</v>
      </c>
      <c r="D5830">
        <v>0</v>
      </c>
      <c r="E5830">
        <v>0</v>
      </c>
      <c r="F5830">
        <v>0</v>
      </c>
      <c r="G5830">
        <v>0</v>
      </c>
    </row>
    <row r="5831" spans="1:7" x14ac:dyDescent="0.2">
      <c r="A5831" t="s">
        <v>2040</v>
      </c>
      <c r="B5831">
        <v>0</v>
      </c>
      <c r="C5831">
        <v>0</v>
      </c>
      <c r="D5831">
        <v>0</v>
      </c>
      <c r="E5831">
        <v>0</v>
      </c>
      <c r="F5831">
        <v>1817</v>
      </c>
      <c r="G5831">
        <v>1817</v>
      </c>
    </row>
    <row r="5832" spans="1:7" x14ac:dyDescent="0.2">
      <c r="A5832" t="s">
        <v>2045</v>
      </c>
      <c r="B5832">
        <v>0</v>
      </c>
      <c r="C5832">
        <v>0</v>
      </c>
      <c r="D5832">
        <v>0</v>
      </c>
      <c r="E5832">
        <v>0</v>
      </c>
      <c r="F5832">
        <v>0</v>
      </c>
      <c r="G5832">
        <v>0</v>
      </c>
    </row>
    <row r="5833" spans="1:7" x14ac:dyDescent="0.2">
      <c r="A5833" t="s">
        <v>2049</v>
      </c>
      <c r="B5833">
        <v>0</v>
      </c>
      <c r="C5833">
        <v>0</v>
      </c>
      <c r="D5833">
        <v>0</v>
      </c>
      <c r="E5833">
        <v>0</v>
      </c>
      <c r="F5833">
        <v>0</v>
      </c>
      <c r="G5833">
        <v>0</v>
      </c>
    </row>
    <row r="5834" spans="1:7" x14ac:dyDescent="0.2">
      <c r="A5834" t="s">
        <v>2051</v>
      </c>
      <c r="B5834">
        <v>0</v>
      </c>
      <c r="C5834">
        <v>0</v>
      </c>
      <c r="D5834">
        <v>0</v>
      </c>
      <c r="E5834">
        <v>0</v>
      </c>
      <c r="F5834">
        <v>69</v>
      </c>
      <c r="G5834">
        <v>69</v>
      </c>
    </row>
    <row r="5835" spans="1:7" x14ac:dyDescent="0.2">
      <c r="A5835" t="s">
        <v>2057</v>
      </c>
      <c r="B5835">
        <v>0</v>
      </c>
      <c r="C5835">
        <v>0</v>
      </c>
      <c r="D5835">
        <v>0</v>
      </c>
      <c r="E5835">
        <v>7</v>
      </c>
      <c r="F5835">
        <v>114</v>
      </c>
      <c r="G5835">
        <v>121</v>
      </c>
    </row>
    <row r="5836" spans="1:7" x14ac:dyDescent="0.2">
      <c r="A5836" t="s">
        <v>4344</v>
      </c>
      <c r="B5836">
        <v>0</v>
      </c>
      <c r="C5836">
        <v>0</v>
      </c>
      <c r="D5836">
        <v>0</v>
      </c>
      <c r="E5836">
        <v>39</v>
      </c>
      <c r="F5836">
        <v>3</v>
      </c>
      <c r="G5836">
        <v>42</v>
      </c>
    </row>
    <row r="5837" spans="1:7" x14ac:dyDescent="0.2">
      <c r="A5837" t="s">
        <v>4345</v>
      </c>
      <c r="B5837">
        <v>0</v>
      </c>
      <c r="C5837">
        <v>0</v>
      </c>
      <c r="D5837">
        <v>0</v>
      </c>
      <c r="E5837">
        <v>153</v>
      </c>
      <c r="F5837">
        <v>85</v>
      </c>
      <c r="G5837">
        <v>237</v>
      </c>
    </row>
    <row r="5838" spans="1:7" x14ac:dyDescent="0.2">
      <c r="A5838" t="s">
        <v>2074</v>
      </c>
      <c r="B5838">
        <v>0</v>
      </c>
      <c r="C5838">
        <v>0</v>
      </c>
      <c r="D5838">
        <v>0</v>
      </c>
      <c r="E5838">
        <v>0</v>
      </c>
      <c r="F5838">
        <v>0</v>
      </c>
      <c r="G5838">
        <v>0</v>
      </c>
    </row>
    <row r="5839" spans="1:7" x14ac:dyDescent="0.2">
      <c r="A5839" t="s">
        <v>2079</v>
      </c>
      <c r="B5839">
        <v>0</v>
      </c>
      <c r="C5839">
        <v>0</v>
      </c>
      <c r="D5839">
        <v>0</v>
      </c>
      <c r="E5839">
        <v>0</v>
      </c>
      <c r="F5839">
        <v>0</v>
      </c>
      <c r="G5839">
        <v>0</v>
      </c>
    </row>
    <row r="5840" spans="1:7" x14ac:dyDescent="0.2">
      <c r="A5840" t="s">
        <v>2085</v>
      </c>
      <c r="B5840">
        <v>0</v>
      </c>
      <c r="C5840">
        <v>0</v>
      </c>
      <c r="D5840">
        <v>0</v>
      </c>
      <c r="E5840">
        <v>0</v>
      </c>
      <c r="F5840">
        <v>0</v>
      </c>
      <c r="G5840">
        <v>0</v>
      </c>
    </row>
    <row r="5841" spans="1:7" x14ac:dyDescent="0.2">
      <c r="A5841" t="s">
        <v>2091</v>
      </c>
      <c r="B5841">
        <v>0</v>
      </c>
      <c r="C5841">
        <v>0</v>
      </c>
      <c r="D5841">
        <v>0</v>
      </c>
      <c r="E5841">
        <v>0</v>
      </c>
      <c r="F5841">
        <v>0</v>
      </c>
      <c r="G5841">
        <v>0</v>
      </c>
    </row>
    <row r="5842" spans="1:7" x14ac:dyDescent="0.2">
      <c r="A5842" t="s">
        <v>2097</v>
      </c>
      <c r="B5842">
        <v>0</v>
      </c>
      <c r="C5842">
        <v>0</v>
      </c>
      <c r="D5842">
        <v>0</v>
      </c>
      <c r="E5842">
        <v>0</v>
      </c>
      <c r="F5842">
        <v>0</v>
      </c>
      <c r="G5842">
        <v>0</v>
      </c>
    </row>
    <row r="5843" spans="1:7" x14ac:dyDescent="0.2">
      <c r="A5843" t="s">
        <v>2101</v>
      </c>
      <c r="B5843">
        <v>0</v>
      </c>
      <c r="C5843">
        <v>0</v>
      </c>
      <c r="D5843">
        <v>0</v>
      </c>
      <c r="E5843">
        <v>0</v>
      </c>
      <c r="F5843">
        <v>0</v>
      </c>
      <c r="G5843">
        <v>0</v>
      </c>
    </row>
    <row r="5844" spans="1:7" x14ac:dyDescent="0.2">
      <c r="A5844" t="s">
        <v>2104</v>
      </c>
      <c r="B5844">
        <v>0</v>
      </c>
      <c r="C5844">
        <v>0</v>
      </c>
      <c r="D5844">
        <v>0</v>
      </c>
      <c r="E5844">
        <v>0</v>
      </c>
      <c r="F5844">
        <v>0</v>
      </c>
      <c r="G5844">
        <v>0</v>
      </c>
    </row>
    <row r="5845" spans="1:7" x14ac:dyDescent="0.2">
      <c r="A5845" t="s">
        <v>2107</v>
      </c>
      <c r="B5845">
        <v>0</v>
      </c>
      <c r="C5845">
        <v>0</v>
      </c>
      <c r="D5845">
        <v>0</v>
      </c>
      <c r="E5845">
        <v>0</v>
      </c>
      <c r="F5845">
        <v>0</v>
      </c>
      <c r="G5845">
        <v>0</v>
      </c>
    </row>
    <row r="5846" spans="1:7" x14ac:dyDescent="0.2">
      <c r="A5846" t="s">
        <v>2110</v>
      </c>
      <c r="B5846">
        <v>0</v>
      </c>
      <c r="C5846">
        <v>0</v>
      </c>
      <c r="D5846">
        <v>0</v>
      </c>
      <c r="E5846">
        <v>0</v>
      </c>
      <c r="F5846">
        <v>0</v>
      </c>
      <c r="G5846">
        <v>0</v>
      </c>
    </row>
    <row r="5847" spans="1:7" x14ac:dyDescent="0.2">
      <c r="A5847" t="s">
        <v>2113</v>
      </c>
      <c r="B5847">
        <v>0</v>
      </c>
      <c r="C5847">
        <v>0</v>
      </c>
      <c r="D5847">
        <v>0</v>
      </c>
      <c r="E5847">
        <v>0</v>
      </c>
      <c r="F5847">
        <v>0</v>
      </c>
      <c r="G5847">
        <v>0</v>
      </c>
    </row>
    <row r="5848" spans="1:7" x14ac:dyDescent="0.2">
      <c r="A5848" t="s">
        <v>4346</v>
      </c>
      <c r="B5848">
        <v>0</v>
      </c>
      <c r="C5848">
        <v>0</v>
      </c>
      <c r="D5848">
        <v>0</v>
      </c>
      <c r="E5848">
        <v>0</v>
      </c>
      <c r="F5848">
        <v>0</v>
      </c>
      <c r="G5848">
        <v>0</v>
      </c>
    </row>
    <row r="5849" spans="1:7" x14ac:dyDescent="0.2">
      <c r="A5849" t="s">
        <v>4347</v>
      </c>
      <c r="B5849">
        <v>0</v>
      </c>
      <c r="C5849">
        <v>0</v>
      </c>
      <c r="D5849">
        <v>0</v>
      </c>
      <c r="E5849">
        <v>0</v>
      </c>
      <c r="F5849">
        <v>0</v>
      </c>
      <c r="G5849">
        <v>0</v>
      </c>
    </row>
    <row r="5850" spans="1:7" x14ac:dyDescent="0.2">
      <c r="A5850" t="s">
        <v>4348</v>
      </c>
      <c r="B5850">
        <v>0</v>
      </c>
      <c r="C5850">
        <v>0</v>
      </c>
      <c r="D5850">
        <v>0</v>
      </c>
      <c r="E5850">
        <v>0</v>
      </c>
      <c r="F5850">
        <v>0</v>
      </c>
      <c r="G5850">
        <v>0</v>
      </c>
    </row>
    <row r="5851" spans="1:7" x14ac:dyDescent="0.2">
      <c r="A5851" t="s">
        <v>4349</v>
      </c>
      <c r="B5851">
        <v>0</v>
      </c>
      <c r="C5851">
        <v>0</v>
      </c>
      <c r="D5851">
        <v>0</v>
      </c>
      <c r="E5851">
        <v>0</v>
      </c>
      <c r="F5851">
        <v>0</v>
      </c>
      <c r="G5851">
        <v>0</v>
      </c>
    </row>
    <row r="5852" spans="1:7" x14ac:dyDescent="0.2">
      <c r="A5852" t="s">
        <v>4350</v>
      </c>
      <c r="B5852">
        <v>0</v>
      </c>
      <c r="C5852">
        <v>4</v>
      </c>
      <c r="D5852">
        <v>13</v>
      </c>
      <c r="E5852">
        <v>0</v>
      </c>
      <c r="F5852">
        <v>0</v>
      </c>
      <c r="G5852">
        <v>17</v>
      </c>
    </row>
    <row r="5853" spans="1:7" x14ac:dyDescent="0.2">
      <c r="A5853" t="s">
        <v>4351</v>
      </c>
      <c r="B5853">
        <v>0</v>
      </c>
      <c r="C5853">
        <v>0</v>
      </c>
      <c r="D5853">
        <v>0</v>
      </c>
      <c r="E5853">
        <v>0</v>
      </c>
      <c r="F5853">
        <v>0</v>
      </c>
      <c r="G5853">
        <v>0</v>
      </c>
    </row>
    <row r="5854" spans="1:7" x14ac:dyDescent="0.2">
      <c r="A5854" t="s">
        <v>4352</v>
      </c>
      <c r="B5854">
        <v>0</v>
      </c>
      <c r="C5854">
        <v>0</v>
      </c>
      <c r="D5854">
        <v>0</v>
      </c>
      <c r="E5854">
        <v>0</v>
      </c>
      <c r="F5854">
        <v>0</v>
      </c>
      <c r="G5854">
        <v>0</v>
      </c>
    </row>
    <row r="5855" spans="1:7" x14ac:dyDescent="0.2">
      <c r="A5855" t="s">
        <v>4353</v>
      </c>
      <c r="B5855">
        <v>4</v>
      </c>
      <c r="C5855">
        <v>299</v>
      </c>
      <c r="D5855">
        <v>87</v>
      </c>
      <c r="E5855">
        <v>5</v>
      </c>
      <c r="F5855">
        <v>0</v>
      </c>
      <c r="G5855">
        <v>395</v>
      </c>
    </row>
    <row r="5856" spans="1:7" x14ac:dyDescent="0.2">
      <c r="A5856" t="s">
        <v>4354</v>
      </c>
      <c r="B5856">
        <v>19</v>
      </c>
      <c r="C5856">
        <v>235</v>
      </c>
      <c r="D5856">
        <v>74</v>
      </c>
      <c r="E5856">
        <v>2</v>
      </c>
      <c r="F5856">
        <v>0</v>
      </c>
      <c r="G5856">
        <v>330</v>
      </c>
    </row>
    <row r="5857" spans="1:7" x14ac:dyDescent="0.2">
      <c r="A5857" t="s">
        <v>4355</v>
      </c>
      <c r="B5857">
        <v>0</v>
      </c>
      <c r="C5857">
        <v>0</v>
      </c>
      <c r="D5857">
        <v>0</v>
      </c>
      <c r="E5857">
        <v>0</v>
      </c>
      <c r="F5857">
        <v>0</v>
      </c>
      <c r="G5857">
        <v>0</v>
      </c>
    </row>
    <row r="5858" spans="1:7" x14ac:dyDescent="0.2">
      <c r="A5858" t="s">
        <v>4356</v>
      </c>
      <c r="B5858">
        <v>0</v>
      </c>
      <c r="C5858">
        <v>0</v>
      </c>
      <c r="D5858">
        <v>0</v>
      </c>
      <c r="E5858">
        <v>0</v>
      </c>
      <c r="F5858">
        <v>0</v>
      </c>
      <c r="G5858">
        <v>0</v>
      </c>
    </row>
    <row r="5859" spans="1:7" x14ac:dyDescent="0.2">
      <c r="A5859" t="s">
        <v>4357</v>
      </c>
      <c r="B5859">
        <v>0</v>
      </c>
      <c r="C5859">
        <v>0</v>
      </c>
      <c r="D5859">
        <v>1</v>
      </c>
      <c r="E5859">
        <v>0</v>
      </c>
      <c r="F5859">
        <v>0</v>
      </c>
      <c r="G5859">
        <v>1</v>
      </c>
    </row>
    <row r="5860" spans="1:7" x14ac:dyDescent="0.2">
      <c r="A5860" t="s">
        <v>4358</v>
      </c>
      <c r="B5860">
        <v>0</v>
      </c>
      <c r="C5860">
        <v>0</v>
      </c>
      <c r="D5860">
        <v>0</v>
      </c>
      <c r="E5860">
        <v>0</v>
      </c>
      <c r="F5860">
        <v>0</v>
      </c>
      <c r="G5860">
        <v>0</v>
      </c>
    </row>
    <row r="5861" spans="1:7" x14ac:dyDescent="0.2">
      <c r="A5861" t="s">
        <v>4359</v>
      </c>
      <c r="B5861">
        <v>0</v>
      </c>
      <c r="C5861">
        <v>0</v>
      </c>
      <c r="D5861">
        <v>0</v>
      </c>
      <c r="E5861">
        <v>0</v>
      </c>
      <c r="F5861">
        <v>0</v>
      </c>
      <c r="G5861">
        <v>0</v>
      </c>
    </row>
    <row r="5862" spans="1:7" x14ac:dyDescent="0.2">
      <c r="A5862" t="s">
        <v>4360</v>
      </c>
      <c r="B5862">
        <v>0</v>
      </c>
      <c r="C5862">
        <v>1</v>
      </c>
      <c r="D5862">
        <v>11</v>
      </c>
      <c r="E5862">
        <v>25</v>
      </c>
      <c r="F5862">
        <v>0</v>
      </c>
      <c r="G5862">
        <v>37</v>
      </c>
    </row>
    <row r="5863" spans="1:7" x14ac:dyDescent="0.2">
      <c r="A5863" t="s">
        <v>4361</v>
      </c>
      <c r="B5863">
        <v>0</v>
      </c>
      <c r="C5863">
        <v>0</v>
      </c>
      <c r="D5863">
        <v>17</v>
      </c>
      <c r="E5863">
        <v>0</v>
      </c>
      <c r="F5863">
        <v>0</v>
      </c>
      <c r="G5863">
        <v>17</v>
      </c>
    </row>
    <row r="5864" spans="1:7" x14ac:dyDescent="0.2">
      <c r="A5864" t="s">
        <v>4362</v>
      </c>
      <c r="B5864">
        <v>0</v>
      </c>
      <c r="C5864">
        <v>0</v>
      </c>
      <c r="D5864">
        <v>0</v>
      </c>
      <c r="E5864">
        <v>0</v>
      </c>
      <c r="F5864">
        <v>0</v>
      </c>
      <c r="G5864">
        <v>0</v>
      </c>
    </row>
    <row r="5865" spans="1:7" x14ac:dyDescent="0.2">
      <c r="A5865" t="s">
        <v>4363</v>
      </c>
      <c r="B5865">
        <v>0</v>
      </c>
      <c r="C5865">
        <v>0</v>
      </c>
      <c r="D5865">
        <v>0</v>
      </c>
      <c r="E5865">
        <v>0</v>
      </c>
      <c r="F5865">
        <v>0</v>
      </c>
      <c r="G5865">
        <v>0</v>
      </c>
    </row>
    <row r="5866" spans="1:7" x14ac:dyDescent="0.2">
      <c r="A5866" t="s">
        <v>4364</v>
      </c>
      <c r="B5866">
        <v>0</v>
      </c>
      <c r="C5866">
        <v>0</v>
      </c>
      <c r="D5866">
        <v>0</v>
      </c>
      <c r="E5866">
        <v>0</v>
      </c>
      <c r="F5866">
        <v>0</v>
      </c>
      <c r="G5866">
        <v>0</v>
      </c>
    </row>
    <row r="5867" spans="1:7" x14ac:dyDescent="0.2">
      <c r="A5867" t="s">
        <v>4365</v>
      </c>
      <c r="B5867">
        <v>1</v>
      </c>
      <c r="C5867">
        <v>33</v>
      </c>
      <c r="D5867">
        <v>24</v>
      </c>
      <c r="E5867">
        <v>0</v>
      </c>
      <c r="F5867">
        <v>0</v>
      </c>
      <c r="G5867">
        <v>57</v>
      </c>
    </row>
    <row r="5868" spans="1:7" x14ac:dyDescent="0.2">
      <c r="A5868" t="s">
        <v>4366</v>
      </c>
      <c r="B5868">
        <v>0</v>
      </c>
      <c r="C5868">
        <v>0</v>
      </c>
      <c r="D5868">
        <v>0</v>
      </c>
      <c r="E5868">
        <v>0</v>
      </c>
      <c r="F5868">
        <v>0</v>
      </c>
      <c r="G5868">
        <v>0</v>
      </c>
    </row>
    <row r="5869" spans="1:7" x14ac:dyDescent="0.2">
      <c r="A5869" t="s">
        <v>4367</v>
      </c>
      <c r="B5869">
        <v>0</v>
      </c>
      <c r="C5869">
        <v>0</v>
      </c>
      <c r="D5869">
        <v>0</v>
      </c>
      <c r="E5869">
        <v>0</v>
      </c>
      <c r="F5869">
        <v>0</v>
      </c>
      <c r="G5869">
        <v>0</v>
      </c>
    </row>
    <row r="5870" spans="1:7" x14ac:dyDescent="0.2">
      <c r="A5870" t="s">
        <v>4368</v>
      </c>
      <c r="B5870">
        <v>182</v>
      </c>
      <c r="C5870">
        <v>747</v>
      </c>
      <c r="D5870">
        <v>1279</v>
      </c>
      <c r="E5870">
        <v>1015</v>
      </c>
      <c r="F5870">
        <v>114</v>
      </c>
      <c r="G5870">
        <v>3337</v>
      </c>
    </row>
    <row r="5871" spans="1:7" x14ac:dyDescent="0.2">
      <c r="A5871" t="s">
        <v>4369</v>
      </c>
      <c r="B5871">
        <v>0</v>
      </c>
      <c r="C5871">
        <v>533</v>
      </c>
      <c r="D5871">
        <v>665</v>
      </c>
      <c r="E5871">
        <v>141</v>
      </c>
      <c r="F5871">
        <v>0</v>
      </c>
      <c r="G5871">
        <v>1340</v>
      </c>
    </row>
    <row r="5872" spans="1:7" x14ac:dyDescent="0.2">
      <c r="A5872" t="s">
        <v>4370</v>
      </c>
      <c r="B5872">
        <v>14</v>
      </c>
      <c r="C5872">
        <v>7</v>
      </c>
      <c r="D5872">
        <v>6</v>
      </c>
      <c r="E5872">
        <v>0</v>
      </c>
      <c r="F5872">
        <v>0</v>
      </c>
      <c r="G5872">
        <v>26</v>
      </c>
    </row>
    <row r="5873" spans="1:10" x14ac:dyDescent="0.2">
      <c r="A5873" t="s">
        <v>4371</v>
      </c>
      <c r="B5873">
        <v>5</v>
      </c>
      <c r="C5873">
        <v>2</v>
      </c>
      <c r="D5873">
        <v>7</v>
      </c>
      <c r="E5873">
        <v>7</v>
      </c>
      <c r="F5873">
        <v>0</v>
      </c>
      <c r="G5873">
        <v>22</v>
      </c>
    </row>
    <row r="5874" spans="1:10" x14ac:dyDescent="0.2">
      <c r="A5874" t="s">
        <v>4372</v>
      </c>
      <c r="B5874">
        <v>0</v>
      </c>
      <c r="C5874">
        <v>0</v>
      </c>
      <c r="D5874">
        <v>0</v>
      </c>
      <c r="E5874">
        <v>0</v>
      </c>
      <c r="F5874">
        <v>0</v>
      </c>
      <c r="G5874">
        <v>0</v>
      </c>
    </row>
    <row r="5875" spans="1:10" x14ac:dyDescent="0.2">
      <c r="A5875" t="s">
        <v>4373</v>
      </c>
      <c r="B5875">
        <v>0</v>
      </c>
      <c r="C5875">
        <v>0</v>
      </c>
      <c r="D5875">
        <v>0</v>
      </c>
      <c r="E5875">
        <v>0</v>
      </c>
      <c r="F5875">
        <v>0</v>
      </c>
      <c r="G5875">
        <v>0</v>
      </c>
    </row>
    <row r="5876" spans="1:10" x14ac:dyDescent="0.2">
      <c r="A5876" t="s">
        <v>4374</v>
      </c>
      <c r="B5876">
        <v>0</v>
      </c>
      <c r="C5876">
        <v>0</v>
      </c>
      <c r="D5876">
        <v>0</v>
      </c>
      <c r="E5876">
        <v>0</v>
      </c>
      <c r="F5876">
        <v>0</v>
      </c>
      <c r="G5876">
        <v>0</v>
      </c>
    </row>
    <row r="5877" spans="1:10" x14ac:dyDescent="0.2">
      <c r="A5877" t="s">
        <v>4375</v>
      </c>
      <c r="B5877">
        <v>3</v>
      </c>
      <c r="C5877">
        <v>0</v>
      </c>
      <c r="D5877">
        <v>0</v>
      </c>
      <c r="E5877">
        <v>0</v>
      </c>
      <c r="F5877">
        <v>0</v>
      </c>
      <c r="G5877">
        <v>3</v>
      </c>
    </row>
    <row r="5878" spans="1:10" x14ac:dyDescent="0.2">
      <c r="A5878" t="s">
        <v>4376</v>
      </c>
      <c r="B5878">
        <v>0</v>
      </c>
      <c r="C5878">
        <v>0</v>
      </c>
      <c r="D5878">
        <v>0</v>
      </c>
      <c r="E5878">
        <v>0</v>
      </c>
      <c r="F5878">
        <v>0</v>
      </c>
      <c r="G5878">
        <v>0</v>
      </c>
    </row>
    <row r="5879" spans="1:10" x14ac:dyDescent="0.2">
      <c r="A5879" t="s">
        <v>4377</v>
      </c>
      <c r="B5879">
        <v>0</v>
      </c>
      <c r="C5879">
        <v>0</v>
      </c>
      <c r="D5879">
        <v>6</v>
      </c>
      <c r="E5879">
        <v>0</v>
      </c>
      <c r="F5879">
        <v>0</v>
      </c>
      <c r="G5879">
        <v>6</v>
      </c>
    </row>
    <row r="5880" spans="1:10" x14ac:dyDescent="0.2">
      <c r="A5880" t="s">
        <v>2318</v>
      </c>
      <c r="B5880" t="s">
        <v>2319</v>
      </c>
      <c r="C5880" t="s">
        <v>2319</v>
      </c>
      <c r="D5880" t="s">
        <v>2319</v>
      </c>
      <c r="E5880" t="s">
        <v>2319</v>
      </c>
      <c r="F5880" t="s">
        <v>2319</v>
      </c>
      <c r="G5880" t="s">
        <v>2319</v>
      </c>
    </row>
    <row r="5881" spans="1:10" x14ac:dyDescent="0.2">
      <c r="A5881" t="s">
        <v>4248</v>
      </c>
    </row>
    <row r="5882" spans="1:10" x14ac:dyDescent="0.2">
      <c r="A5882" t="s">
        <v>4250</v>
      </c>
      <c r="C5882" t="s">
        <v>4251</v>
      </c>
      <c r="G5882" t="s">
        <v>7531</v>
      </c>
      <c r="J5882"/>
    </row>
    <row r="5883" spans="1:10" x14ac:dyDescent="0.2">
      <c r="A5883" t="s">
        <v>4925</v>
      </c>
      <c r="G5883" t="s">
        <v>7540</v>
      </c>
      <c r="J5883"/>
    </row>
    <row r="5884" spans="1:10" x14ac:dyDescent="0.2">
      <c r="A5884" t="s">
        <v>7530</v>
      </c>
      <c r="J5884"/>
    </row>
    <row r="5885" spans="1:10" x14ac:dyDescent="0.2">
      <c r="A5885" t="s">
        <v>5010</v>
      </c>
      <c r="J5885"/>
    </row>
    <row r="5886" spans="1:10" x14ac:dyDescent="0.2">
      <c r="J5886"/>
    </row>
    <row r="5887" spans="1:10" x14ac:dyDescent="0.2">
      <c r="A5887" t="s">
        <v>4259</v>
      </c>
      <c r="J5887"/>
    </row>
    <row r="5888" spans="1:10" x14ac:dyDescent="0.2">
      <c r="A5888" t="s">
        <v>2318</v>
      </c>
      <c r="B5888" t="s">
        <v>2319</v>
      </c>
      <c r="C5888" t="s">
        <v>2319</v>
      </c>
      <c r="D5888" t="s">
        <v>2319</v>
      </c>
      <c r="E5888" t="s">
        <v>2319</v>
      </c>
      <c r="F5888" t="s">
        <v>2319</v>
      </c>
      <c r="G5888" t="s">
        <v>2319</v>
      </c>
    </row>
    <row r="5889" spans="1:7" x14ac:dyDescent="0.2">
      <c r="A5889" t="s">
        <v>174</v>
      </c>
      <c r="B5889" t="s">
        <v>4945</v>
      </c>
      <c r="C5889" t="s">
        <v>4946</v>
      </c>
      <c r="D5889" t="s">
        <v>4947</v>
      </c>
      <c r="E5889" t="s">
        <v>4948</v>
      </c>
      <c r="F5889" t="s">
        <v>4949</v>
      </c>
    </row>
    <row r="5890" spans="1:7" x14ac:dyDescent="0.2">
      <c r="A5890" t="s">
        <v>126</v>
      </c>
      <c r="B5890" t="s">
        <v>4262</v>
      </c>
      <c r="C5890" t="s">
        <v>4263</v>
      </c>
      <c r="D5890" t="s">
        <v>4264</v>
      </c>
      <c r="E5890" t="s">
        <v>2308</v>
      </c>
      <c r="F5890" t="s">
        <v>615</v>
      </c>
      <c r="G5890" t="s">
        <v>236</v>
      </c>
    </row>
    <row r="5891" spans="1:7" x14ac:dyDescent="0.2">
      <c r="A5891" t="s">
        <v>2318</v>
      </c>
      <c r="B5891" t="s">
        <v>2319</v>
      </c>
      <c r="C5891" t="s">
        <v>2319</v>
      </c>
      <c r="D5891" t="s">
        <v>2319</v>
      </c>
      <c r="E5891" t="s">
        <v>2319</v>
      </c>
      <c r="F5891" t="s">
        <v>2319</v>
      </c>
      <c r="G5891" t="s">
        <v>2319</v>
      </c>
    </row>
    <row r="5892" spans="1:7" x14ac:dyDescent="0.2">
      <c r="A5892" t="s">
        <v>4265</v>
      </c>
      <c r="B5892">
        <v>0</v>
      </c>
      <c r="C5892">
        <v>0</v>
      </c>
      <c r="D5892">
        <v>0</v>
      </c>
      <c r="E5892">
        <v>0</v>
      </c>
      <c r="F5892">
        <v>0</v>
      </c>
      <c r="G5892">
        <v>0</v>
      </c>
    </row>
    <row r="5893" spans="1:7" x14ac:dyDescent="0.2">
      <c r="A5893" t="s">
        <v>4266</v>
      </c>
      <c r="B5893">
        <v>0</v>
      </c>
      <c r="C5893">
        <v>0</v>
      </c>
      <c r="D5893">
        <v>0</v>
      </c>
      <c r="E5893">
        <v>0</v>
      </c>
      <c r="F5893">
        <v>0</v>
      </c>
      <c r="G5893">
        <v>0</v>
      </c>
    </row>
    <row r="5894" spans="1:7" x14ac:dyDescent="0.2">
      <c r="A5894" t="s">
        <v>4267</v>
      </c>
      <c r="B5894">
        <v>0</v>
      </c>
      <c r="C5894">
        <v>0</v>
      </c>
      <c r="D5894">
        <v>0</v>
      </c>
      <c r="E5894">
        <v>0</v>
      </c>
      <c r="F5894">
        <v>0</v>
      </c>
      <c r="G5894">
        <v>0</v>
      </c>
    </row>
    <row r="5895" spans="1:7" x14ac:dyDescent="0.2">
      <c r="A5895" t="s">
        <v>4268</v>
      </c>
      <c r="B5895">
        <v>0</v>
      </c>
      <c r="C5895">
        <v>0</v>
      </c>
      <c r="D5895">
        <v>0</v>
      </c>
      <c r="E5895">
        <v>0</v>
      </c>
      <c r="F5895">
        <v>0</v>
      </c>
      <c r="G5895">
        <v>0</v>
      </c>
    </row>
    <row r="5896" spans="1:7" x14ac:dyDescent="0.2">
      <c r="A5896" t="s">
        <v>4269</v>
      </c>
      <c r="B5896">
        <v>0</v>
      </c>
      <c r="C5896">
        <v>0</v>
      </c>
      <c r="D5896">
        <v>0</v>
      </c>
      <c r="E5896">
        <v>0</v>
      </c>
      <c r="F5896">
        <v>0</v>
      </c>
      <c r="G5896">
        <v>0</v>
      </c>
    </row>
    <row r="5897" spans="1:7" x14ac:dyDescent="0.2">
      <c r="A5897" t="s">
        <v>4270</v>
      </c>
      <c r="B5897">
        <v>0</v>
      </c>
      <c r="C5897">
        <v>0</v>
      </c>
      <c r="D5897">
        <v>0</v>
      </c>
      <c r="E5897">
        <v>0</v>
      </c>
      <c r="F5897">
        <v>0</v>
      </c>
      <c r="G5897">
        <v>0</v>
      </c>
    </row>
    <row r="5898" spans="1:7" x14ac:dyDescent="0.2">
      <c r="A5898" t="s">
        <v>4271</v>
      </c>
      <c r="B5898">
        <v>0</v>
      </c>
      <c r="C5898">
        <v>0</v>
      </c>
      <c r="D5898">
        <v>0</v>
      </c>
      <c r="E5898">
        <v>0</v>
      </c>
      <c r="F5898">
        <v>0</v>
      </c>
      <c r="G5898">
        <v>0</v>
      </c>
    </row>
    <row r="5899" spans="1:7" x14ac:dyDescent="0.2">
      <c r="A5899" t="s">
        <v>4272</v>
      </c>
      <c r="B5899">
        <v>0</v>
      </c>
      <c r="C5899">
        <v>0</v>
      </c>
      <c r="D5899">
        <v>0</v>
      </c>
      <c r="E5899">
        <v>0</v>
      </c>
      <c r="F5899">
        <v>0</v>
      </c>
      <c r="G5899">
        <v>0</v>
      </c>
    </row>
    <row r="5900" spans="1:7" x14ac:dyDescent="0.2">
      <c r="A5900" t="s">
        <v>4273</v>
      </c>
      <c r="B5900">
        <v>0</v>
      </c>
      <c r="C5900">
        <v>0</v>
      </c>
      <c r="D5900">
        <v>0</v>
      </c>
      <c r="E5900">
        <v>0</v>
      </c>
      <c r="F5900">
        <v>0</v>
      </c>
      <c r="G5900">
        <v>0</v>
      </c>
    </row>
    <row r="5901" spans="1:7" x14ac:dyDescent="0.2">
      <c r="A5901" t="s">
        <v>4274</v>
      </c>
      <c r="B5901">
        <v>0</v>
      </c>
      <c r="C5901">
        <v>0</v>
      </c>
      <c r="D5901">
        <v>0</v>
      </c>
      <c r="E5901">
        <v>0</v>
      </c>
      <c r="F5901">
        <v>0</v>
      </c>
      <c r="G5901">
        <v>0</v>
      </c>
    </row>
    <row r="5902" spans="1:7" x14ac:dyDescent="0.2">
      <c r="A5902" t="s">
        <v>4275</v>
      </c>
      <c r="B5902">
        <v>0</v>
      </c>
      <c r="C5902">
        <v>0</v>
      </c>
      <c r="D5902">
        <v>0</v>
      </c>
      <c r="E5902">
        <v>0</v>
      </c>
      <c r="F5902">
        <v>0</v>
      </c>
      <c r="G5902">
        <v>0</v>
      </c>
    </row>
    <row r="5903" spans="1:7" x14ac:dyDescent="0.2">
      <c r="A5903" t="s">
        <v>4276</v>
      </c>
      <c r="B5903">
        <v>0</v>
      </c>
      <c r="C5903">
        <v>0</v>
      </c>
      <c r="D5903">
        <v>0</v>
      </c>
      <c r="E5903">
        <v>0</v>
      </c>
      <c r="F5903">
        <v>0</v>
      </c>
      <c r="G5903">
        <v>0</v>
      </c>
    </row>
    <row r="5904" spans="1:7" x14ac:dyDescent="0.2">
      <c r="A5904" t="s">
        <v>4277</v>
      </c>
      <c r="B5904">
        <v>0</v>
      </c>
      <c r="C5904">
        <v>0</v>
      </c>
      <c r="D5904">
        <v>0</v>
      </c>
      <c r="E5904">
        <v>0</v>
      </c>
      <c r="F5904">
        <v>0</v>
      </c>
      <c r="G5904">
        <v>0</v>
      </c>
    </row>
    <row r="5905" spans="1:7" x14ac:dyDescent="0.2">
      <c r="A5905" t="s">
        <v>4278</v>
      </c>
      <c r="B5905">
        <v>0</v>
      </c>
      <c r="C5905">
        <v>0</v>
      </c>
      <c r="D5905">
        <v>0</v>
      </c>
      <c r="E5905">
        <v>0</v>
      </c>
      <c r="F5905">
        <v>0</v>
      </c>
      <c r="G5905">
        <v>0</v>
      </c>
    </row>
    <row r="5906" spans="1:7" x14ac:dyDescent="0.2">
      <c r="A5906" t="s">
        <v>4279</v>
      </c>
      <c r="B5906">
        <v>0</v>
      </c>
      <c r="C5906">
        <v>0</v>
      </c>
      <c r="D5906">
        <v>0</v>
      </c>
      <c r="E5906">
        <v>0</v>
      </c>
      <c r="F5906">
        <v>0</v>
      </c>
      <c r="G5906">
        <v>0</v>
      </c>
    </row>
    <row r="5907" spans="1:7" x14ac:dyDescent="0.2">
      <c r="A5907" t="s">
        <v>4280</v>
      </c>
      <c r="B5907">
        <v>0</v>
      </c>
      <c r="C5907">
        <v>0</v>
      </c>
      <c r="D5907">
        <v>0</v>
      </c>
      <c r="E5907">
        <v>0</v>
      </c>
      <c r="F5907">
        <v>0</v>
      </c>
      <c r="G5907">
        <v>0</v>
      </c>
    </row>
    <row r="5908" spans="1:7" x14ac:dyDescent="0.2">
      <c r="A5908" t="s">
        <v>4281</v>
      </c>
      <c r="B5908">
        <v>4</v>
      </c>
      <c r="C5908">
        <v>3</v>
      </c>
      <c r="D5908">
        <v>5</v>
      </c>
      <c r="E5908">
        <v>0</v>
      </c>
      <c r="F5908">
        <v>0</v>
      </c>
      <c r="G5908">
        <v>12</v>
      </c>
    </row>
    <row r="5909" spans="1:7" x14ac:dyDescent="0.2">
      <c r="A5909" t="s">
        <v>4282</v>
      </c>
      <c r="B5909">
        <v>6</v>
      </c>
      <c r="C5909">
        <v>3</v>
      </c>
      <c r="D5909">
        <v>1</v>
      </c>
      <c r="E5909">
        <v>0</v>
      </c>
      <c r="F5909">
        <v>0</v>
      </c>
      <c r="G5909">
        <v>10</v>
      </c>
    </row>
    <row r="5910" spans="1:7" x14ac:dyDescent="0.2">
      <c r="A5910" t="s">
        <v>4283</v>
      </c>
      <c r="B5910">
        <v>1</v>
      </c>
      <c r="C5910">
        <v>0</v>
      </c>
      <c r="D5910">
        <v>0</v>
      </c>
      <c r="E5910">
        <v>0</v>
      </c>
      <c r="F5910">
        <v>0</v>
      </c>
      <c r="G5910">
        <v>1</v>
      </c>
    </row>
    <row r="5911" spans="1:7" x14ac:dyDescent="0.2">
      <c r="A5911" t="s">
        <v>4284</v>
      </c>
      <c r="B5911">
        <v>0</v>
      </c>
      <c r="C5911">
        <v>0</v>
      </c>
      <c r="D5911">
        <v>0</v>
      </c>
      <c r="E5911">
        <v>0</v>
      </c>
      <c r="F5911">
        <v>0</v>
      </c>
      <c r="G5911">
        <v>0</v>
      </c>
    </row>
    <row r="5912" spans="1:7" x14ac:dyDescent="0.2">
      <c r="A5912" t="s">
        <v>4285</v>
      </c>
      <c r="B5912">
        <v>7</v>
      </c>
      <c r="C5912">
        <v>5</v>
      </c>
      <c r="D5912">
        <v>2</v>
      </c>
      <c r="E5912">
        <v>0</v>
      </c>
      <c r="F5912">
        <v>0</v>
      </c>
      <c r="G5912">
        <v>14</v>
      </c>
    </row>
    <row r="5913" spans="1:7" x14ac:dyDescent="0.2">
      <c r="A5913" t="s">
        <v>4286</v>
      </c>
      <c r="B5913">
        <v>1</v>
      </c>
      <c r="C5913">
        <v>0</v>
      </c>
      <c r="D5913">
        <v>0</v>
      </c>
      <c r="E5913">
        <v>0</v>
      </c>
      <c r="F5913">
        <v>0</v>
      </c>
      <c r="G5913">
        <v>1</v>
      </c>
    </row>
    <row r="5914" spans="1:7" x14ac:dyDescent="0.2">
      <c r="A5914" t="s">
        <v>4287</v>
      </c>
      <c r="B5914">
        <v>0</v>
      </c>
      <c r="C5914">
        <v>0</v>
      </c>
      <c r="D5914">
        <v>0</v>
      </c>
      <c r="E5914">
        <v>1</v>
      </c>
      <c r="F5914">
        <v>0</v>
      </c>
      <c r="G5914">
        <v>1</v>
      </c>
    </row>
    <row r="5915" spans="1:7" x14ac:dyDescent="0.2">
      <c r="A5915" t="s">
        <v>4288</v>
      </c>
      <c r="B5915">
        <v>0</v>
      </c>
      <c r="C5915">
        <v>0</v>
      </c>
      <c r="D5915">
        <v>0</v>
      </c>
      <c r="E5915">
        <v>0</v>
      </c>
      <c r="F5915">
        <v>0</v>
      </c>
      <c r="G5915">
        <v>0</v>
      </c>
    </row>
    <row r="5916" spans="1:7" x14ac:dyDescent="0.2">
      <c r="A5916" t="s">
        <v>4289</v>
      </c>
      <c r="B5916">
        <v>0</v>
      </c>
      <c r="C5916">
        <v>0</v>
      </c>
      <c r="D5916">
        <v>0</v>
      </c>
      <c r="E5916">
        <v>0</v>
      </c>
      <c r="F5916">
        <v>0</v>
      </c>
      <c r="G5916">
        <v>0</v>
      </c>
    </row>
    <row r="5917" spans="1:7" x14ac:dyDescent="0.2">
      <c r="A5917" t="s">
        <v>4290</v>
      </c>
      <c r="B5917">
        <v>0</v>
      </c>
      <c r="C5917">
        <v>0</v>
      </c>
      <c r="D5917">
        <v>0</v>
      </c>
      <c r="E5917">
        <v>0</v>
      </c>
      <c r="F5917">
        <v>0</v>
      </c>
      <c r="G5917">
        <v>0</v>
      </c>
    </row>
    <row r="5918" spans="1:7" x14ac:dyDescent="0.2">
      <c r="A5918" t="s">
        <v>4291</v>
      </c>
      <c r="B5918">
        <v>0</v>
      </c>
      <c r="C5918">
        <v>0</v>
      </c>
      <c r="D5918">
        <v>0</v>
      </c>
      <c r="E5918">
        <v>0</v>
      </c>
      <c r="F5918">
        <v>0</v>
      </c>
      <c r="G5918">
        <v>0</v>
      </c>
    </row>
    <row r="5919" spans="1:7" x14ac:dyDescent="0.2">
      <c r="A5919" t="s">
        <v>4292</v>
      </c>
      <c r="B5919">
        <v>0</v>
      </c>
      <c r="C5919">
        <v>0</v>
      </c>
      <c r="D5919">
        <v>0</v>
      </c>
      <c r="E5919">
        <v>0</v>
      </c>
      <c r="F5919">
        <v>0</v>
      </c>
      <c r="G5919">
        <v>0</v>
      </c>
    </row>
    <row r="5920" spans="1:7" x14ac:dyDescent="0.2">
      <c r="A5920" t="s">
        <v>4293</v>
      </c>
      <c r="B5920">
        <v>0</v>
      </c>
      <c r="C5920">
        <v>0</v>
      </c>
      <c r="D5920">
        <v>0</v>
      </c>
      <c r="E5920">
        <v>0</v>
      </c>
      <c r="F5920">
        <v>0</v>
      </c>
      <c r="G5920">
        <v>0</v>
      </c>
    </row>
    <row r="5921" spans="1:7" x14ac:dyDescent="0.2">
      <c r="A5921" t="s">
        <v>4294</v>
      </c>
      <c r="B5921">
        <v>0</v>
      </c>
      <c r="C5921">
        <v>0</v>
      </c>
      <c r="D5921">
        <v>0</v>
      </c>
      <c r="E5921">
        <v>0</v>
      </c>
      <c r="F5921">
        <v>0</v>
      </c>
      <c r="G5921">
        <v>0</v>
      </c>
    </row>
    <row r="5922" spans="1:7" x14ac:dyDescent="0.2">
      <c r="A5922" t="s">
        <v>4295</v>
      </c>
      <c r="B5922">
        <v>0</v>
      </c>
      <c r="C5922">
        <v>0</v>
      </c>
      <c r="D5922">
        <v>0</v>
      </c>
      <c r="E5922">
        <v>0</v>
      </c>
      <c r="F5922">
        <v>0</v>
      </c>
      <c r="G5922">
        <v>0</v>
      </c>
    </row>
    <row r="5923" spans="1:7" x14ac:dyDescent="0.2">
      <c r="A5923" t="s">
        <v>4296</v>
      </c>
      <c r="B5923">
        <v>0</v>
      </c>
      <c r="C5923">
        <v>0</v>
      </c>
      <c r="D5923">
        <v>0</v>
      </c>
      <c r="E5923">
        <v>0</v>
      </c>
      <c r="F5923">
        <v>0</v>
      </c>
      <c r="G5923">
        <v>0</v>
      </c>
    </row>
    <row r="5924" spans="1:7" x14ac:dyDescent="0.2">
      <c r="A5924" t="s">
        <v>4297</v>
      </c>
      <c r="B5924">
        <v>0</v>
      </c>
      <c r="C5924">
        <v>3</v>
      </c>
      <c r="D5924">
        <v>7</v>
      </c>
      <c r="E5924">
        <v>0</v>
      </c>
      <c r="F5924">
        <v>0</v>
      </c>
      <c r="G5924">
        <v>10</v>
      </c>
    </row>
    <row r="5925" spans="1:7" x14ac:dyDescent="0.2">
      <c r="A5925" t="s">
        <v>4298</v>
      </c>
      <c r="B5925">
        <v>1</v>
      </c>
      <c r="C5925">
        <v>4</v>
      </c>
      <c r="D5925">
        <v>2</v>
      </c>
      <c r="E5925">
        <v>0</v>
      </c>
      <c r="F5925">
        <v>0</v>
      </c>
      <c r="G5925">
        <v>7</v>
      </c>
    </row>
    <row r="5926" spans="1:7" x14ac:dyDescent="0.2">
      <c r="A5926" t="s">
        <v>4299</v>
      </c>
      <c r="B5926">
        <v>3</v>
      </c>
      <c r="C5926">
        <v>10</v>
      </c>
      <c r="D5926">
        <v>9</v>
      </c>
      <c r="E5926">
        <v>1</v>
      </c>
      <c r="F5926">
        <v>0</v>
      </c>
      <c r="G5926">
        <v>23</v>
      </c>
    </row>
    <row r="5927" spans="1:7" x14ac:dyDescent="0.2">
      <c r="A5927" t="s">
        <v>4300</v>
      </c>
      <c r="B5927">
        <v>0</v>
      </c>
      <c r="C5927">
        <v>1</v>
      </c>
      <c r="D5927">
        <v>1</v>
      </c>
      <c r="E5927">
        <v>0</v>
      </c>
      <c r="F5927">
        <v>0</v>
      </c>
      <c r="G5927" s="1259">
        <v>1</v>
      </c>
    </row>
    <row r="5928" spans="1:7" x14ac:dyDescent="0.2">
      <c r="A5928" t="s">
        <v>4301</v>
      </c>
      <c r="B5928">
        <v>0</v>
      </c>
      <c r="C5928">
        <v>24</v>
      </c>
      <c r="D5928">
        <v>26</v>
      </c>
      <c r="E5928">
        <v>3</v>
      </c>
      <c r="F5928">
        <v>0</v>
      </c>
      <c r="G5928">
        <v>53</v>
      </c>
    </row>
    <row r="5929" spans="1:7" x14ac:dyDescent="0.2">
      <c r="A5929" t="s">
        <v>4302</v>
      </c>
      <c r="B5929">
        <v>1</v>
      </c>
      <c r="C5929">
        <v>10</v>
      </c>
      <c r="D5929">
        <v>25</v>
      </c>
      <c r="E5929">
        <v>1</v>
      </c>
      <c r="F5929">
        <v>0</v>
      </c>
      <c r="G5929">
        <v>37</v>
      </c>
    </row>
    <row r="5930" spans="1:7" x14ac:dyDescent="0.2">
      <c r="A5930" t="s">
        <v>4303</v>
      </c>
      <c r="B5930">
        <v>1</v>
      </c>
      <c r="C5930">
        <v>29</v>
      </c>
      <c r="D5930">
        <v>100</v>
      </c>
      <c r="E5930">
        <v>4</v>
      </c>
      <c r="F5930">
        <v>0</v>
      </c>
      <c r="G5930" s="1259">
        <v>134</v>
      </c>
    </row>
    <row r="5931" spans="1:7" x14ac:dyDescent="0.2">
      <c r="A5931" t="s">
        <v>4304</v>
      </c>
      <c r="B5931">
        <v>0</v>
      </c>
      <c r="C5931">
        <v>2</v>
      </c>
      <c r="D5931">
        <v>13</v>
      </c>
      <c r="E5931">
        <v>0</v>
      </c>
      <c r="F5931">
        <v>0</v>
      </c>
      <c r="G5931">
        <v>15</v>
      </c>
    </row>
    <row r="5932" spans="1:7" x14ac:dyDescent="0.2">
      <c r="A5932" t="s">
        <v>4305</v>
      </c>
      <c r="B5932">
        <v>88</v>
      </c>
      <c r="C5932">
        <v>59</v>
      </c>
      <c r="D5932">
        <v>84</v>
      </c>
      <c r="E5932">
        <v>41</v>
      </c>
      <c r="F5932">
        <v>0</v>
      </c>
      <c r="G5932">
        <v>272</v>
      </c>
    </row>
    <row r="5933" spans="1:7" x14ac:dyDescent="0.2">
      <c r="A5933" t="s">
        <v>4306</v>
      </c>
      <c r="B5933">
        <v>2</v>
      </c>
      <c r="C5933">
        <v>18</v>
      </c>
      <c r="D5933">
        <v>5</v>
      </c>
      <c r="E5933">
        <v>3</v>
      </c>
      <c r="F5933">
        <v>0</v>
      </c>
      <c r="G5933">
        <v>28</v>
      </c>
    </row>
    <row r="5934" spans="1:7" x14ac:dyDescent="0.2">
      <c r="A5934" t="s">
        <v>4307</v>
      </c>
      <c r="B5934">
        <v>15</v>
      </c>
      <c r="C5934">
        <v>174</v>
      </c>
      <c r="D5934">
        <v>642</v>
      </c>
      <c r="E5934">
        <v>138</v>
      </c>
      <c r="F5934">
        <v>0</v>
      </c>
      <c r="G5934" s="1259">
        <v>970</v>
      </c>
    </row>
    <row r="5935" spans="1:7" x14ac:dyDescent="0.2">
      <c r="A5935" t="s">
        <v>4308</v>
      </c>
      <c r="B5935">
        <v>0</v>
      </c>
      <c r="C5935">
        <v>0</v>
      </c>
      <c r="D5935">
        <v>1</v>
      </c>
      <c r="E5935">
        <v>2</v>
      </c>
      <c r="F5935">
        <v>0</v>
      </c>
      <c r="G5935">
        <v>3</v>
      </c>
    </row>
    <row r="5936" spans="1:7" x14ac:dyDescent="0.2">
      <c r="A5936" t="s">
        <v>4309</v>
      </c>
      <c r="B5936">
        <v>0</v>
      </c>
      <c r="C5936">
        <v>0</v>
      </c>
      <c r="D5936">
        <v>0</v>
      </c>
      <c r="E5936">
        <v>0</v>
      </c>
      <c r="F5936">
        <v>0</v>
      </c>
      <c r="G5936">
        <v>0</v>
      </c>
    </row>
    <row r="5937" spans="1:7" x14ac:dyDescent="0.2">
      <c r="A5937" t="s">
        <v>4310</v>
      </c>
      <c r="B5937">
        <v>0</v>
      </c>
      <c r="C5937">
        <v>0</v>
      </c>
      <c r="D5937">
        <v>0</v>
      </c>
      <c r="E5937">
        <v>0</v>
      </c>
      <c r="F5937">
        <v>0</v>
      </c>
      <c r="G5937">
        <v>0</v>
      </c>
    </row>
    <row r="5938" spans="1:7" x14ac:dyDescent="0.2">
      <c r="A5938" t="s">
        <v>4311</v>
      </c>
      <c r="B5938">
        <v>0</v>
      </c>
      <c r="C5938">
        <v>0</v>
      </c>
      <c r="D5938">
        <v>0</v>
      </c>
      <c r="E5938">
        <v>0</v>
      </c>
      <c r="F5938">
        <v>0</v>
      </c>
      <c r="G5938">
        <v>0</v>
      </c>
    </row>
    <row r="5939" spans="1:7" x14ac:dyDescent="0.2">
      <c r="A5939" t="s">
        <v>4312</v>
      </c>
      <c r="B5939">
        <v>0</v>
      </c>
      <c r="C5939">
        <v>0</v>
      </c>
      <c r="D5939">
        <v>0</v>
      </c>
      <c r="E5939">
        <v>0</v>
      </c>
      <c r="F5939">
        <v>0</v>
      </c>
      <c r="G5939">
        <v>0</v>
      </c>
    </row>
    <row r="5940" spans="1:7" x14ac:dyDescent="0.2">
      <c r="A5940" t="s">
        <v>4313</v>
      </c>
      <c r="B5940">
        <v>0</v>
      </c>
      <c r="C5940">
        <v>0</v>
      </c>
      <c r="D5940">
        <v>0</v>
      </c>
      <c r="E5940">
        <v>0</v>
      </c>
      <c r="F5940">
        <v>0</v>
      </c>
      <c r="G5940">
        <v>0</v>
      </c>
    </row>
    <row r="5941" spans="1:7" x14ac:dyDescent="0.2">
      <c r="A5941" t="s">
        <v>4314</v>
      </c>
      <c r="B5941">
        <v>0</v>
      </c>
      <c r="C5941">
        <v>0</v>
      </c>
      <c r="D5941">
        <v>0</v>
      </c>
      <c r="E5941">
        <v>0</v>
      </c>
      <c r="F5941">
        <v>0</v>
      </c>
      <c r="G5941">
        <v>0</v>
      </c>
    </row>
    <row r="5942" spans="1:7" x14ac:dyDescent="0.2">
      <c r="A5942" t="s">
        <v>4315</v>
      </c>
      <c r="B5942">
        <v>0</v>
      </c>
      <c r="C5942">
        <v>0</v>
      </c>
      <c r="D5942">
        <v>0</v>
      </c>
      <c r="E5942">
        <v>0</v>
      </c>
      <c r="F5942">
        <v>0</v>
      </c>
      <c r="G5942">
        <v>0</v>
      </c>
    </row>
    <row r="5943" spans="1:7" x14ac:dyDescent="0.2">
      <c r="A5943" t="s">
        <v>4316</v>
      </c>
      <c r="B5943">
        <v>0</v>
      </c>
      <c r="C5943">
        <v>0</v>
      </c>
      <c r="D5943">
        <v>0</v>
      </c>
      <c r="E5943">
        <v>0</v>
      </c>
      <c r="F5943">
        <v>0</v>
      </c>
      <c r="G5943">
        <v>0</v>
      </c>
    </row>
    <row r="5944" spans="1:7" x14ac:dyDescent="0.2">
      <c r="A5944" t="s">
        <v>4317</v>
      </c>
      <c r="B5944">
        <v>0</v>
      </c>
      <c r="C5944">
        <v>0</v>
      </c>
      <c r="D5944">
        <v>0</v>
      </c>
      <c r="E5944">
        <v>0</v>
      </c>
      <c r="F5944">
        <v>0</v>
      </c>
      <c r="G5944">
        <v>0</v>
      </c>
    </row>
    <row r="5945" spans="1:7" x14ac:dyDescent="0.2">
      <c r="A5945" t="s">
        <v>4318</v>
      </c>
      <c r="B5945">
        <v>0</v>
      </c>
      <c r="C5945">
        <v>0</v>
      </c>
      <c r="D5945">
        <v>0</v>
      </c>
      <c r="E5945">
        <v>0</v>
      </c>
      <c r="F5945">
        <v>0</v>
      </c>
      <c r="G5945">
        <v>0</v>
      </c>
    </row>
    <row r="5946" spans="1:7" x14ac:dyDescent="0.2">
      <c r="A5946" t="s">
        <v>4319</v>
      </c>
      <c r="B5946">
        <v>0</v>
      </c>
      <c r="C5946">
        <v>0</v>
      </c>
      <c r="D5946">
        <v>0</v>
      </c>
      <c r="E5946">
        <v>0</v>
      </c>
      <c r="F5946">
        <v>0</v>
      </c>
      <c r="G5946">
        <v>0</v>
      </c>
    </row>
    <row r="5947" spans="1:7" x14ac:dyDescent="0.2">
      <c r="A5947" t="s">
        <v>4320</v>
      </c>
      <c r="B5947">
        <v>0</v>
      </c>
      <c r="C5947">
        <v>0</v>
      </c>
      <c r="D5947">
        <v>0</v>
      </c>
      <c r="E5947">
        <v>0</v>
      </c>
      <c r="F5947">
        <v>0</v>
      </c>
      <c r="G5947">
        <v>0</v>
      </c>
    </row>
    <row r="5948" spans="1:7" x14ac:dyDescent="0.2">
      <c r="A5948" t="s">
        <v>4321</v>
      </c>
      <c r="B5948">
        <v>0</v>
      </c>
      <c r="C5948">
        <v>0</v>
      </c>
      <c r="D5948">
        <v>0</v>
      </c>
      <c r="E5948">
        <v>0</v>
      </c>
      <c r="F5948">
        <v>0</v>
      </c>
      <c r="G5948">
        <v>0</v>
      </c>
    </row>
    <row r="5949" spans="1:7" x14ac:dyDescent="0.2">
      <c r="A5949" t="s">
        <v>4322</v>
      </c>
      <c r="B5949">
        <v>0</v>
      </c>
      <c r="C5949">
        <v>0</v>
      </c>
      <c r="D5949">
        <v>0</v>
      </c>
      <c r="E5949">
        <v>0</v>
      </c>
      <c r="F5949">
        <v>0</v>
      </c>
      <c r="G5949">
        <v>0</v>
      </c>
    </row>
    <row r="5950" spans="1:7" x14ac:dyDescent="0.2">
      <c r="A5950" t="s">
        <v>4323</v>
      </c>
      <c r="B5950">
        <v>0</v>
      </c>
      <c r="C5950">
        <v>0</v>
      </c>
      <c r="D5950">
        <v>0</v>
      </c>
      <c r="E5950">
        <v>0</v>
      </c>
      <c r="F5950">
        <v>0</v>
      </c>
      <c r="G5950">
        <v>0</v>
      </c>
    </row>
    <row r="5951" spans="1:7" x14ac:dyDescent="0.2">
      <c r="A5951" t="s">
        <v>4324</v>
      </c>
      <c r="B5951">
        <v>0</v>
      </c>
      <c r="C5951">
        <v>0</v>
      </c>
      <c r="D5951">
        <v>0</v>
      </c>
      <c r="E5951">
        <v>0</v>
      </c>
      <c r="F5951">
        <v>0</v>
      </c>
      <c r="G5951">
        <v>0</v>
      </c>
    </row>
    <row r="5952" spans="1:7" x14ac:dyDescent="0.2">
      <c r="A5952" t="s">
        <v>4325</v>
      </c>
      <c r="B5952">
        <v>0</v>
      </c>
      <c r="C5952">
        <v>0</v>
      </c>
      <c r="D5952">
        <v>0</v>
      </c>
      <c r="E5952">
        <v>0</v>
      </c>
      <c r="F5952">
        <v>0</v>
      </c>
      <c r="G5952">
        <v>0</v>
      </c>
    </row>
    <row r="5953" spans="1:7" x14ac:dyDescent="0.2">
      <c r="A5953" t="s">
        <v>4326</v>
      </c>
      <c r="B5953">
        <v>0</v>
      </c>
      <c r="C5953">
        <v>0</v>
      </c>
      <c r="D5953">
        <v>0</v>
      </c>
      <c r="E5953">
        <v>0</v>
      </c>
      <c r="F5953">
        <v>0</v>
      </c>
      <c r="G5953">
        <v>0</v>
      </c>
    </row>
    <row r="5954" spans="1:7" x14ac:dyDescent="0.2">
      <c r="A5954" t="s">
        <v>4327</v>
      </c>
      <c r="B5954">
        <v>0</v>
      </c>
      <c r="C5954">
        <v>0</v>
      </c>
      <c r="D5954">
        <v>0</v>
      </c>
      <c r="E5954">
        <v>0</v>
      </c>
      <c r="F5954">
        <v>0</v>
      </c>
      <c r="G5954">
        <v>0</v>
      </c>
    </row>
    <row r="5955" spans="1:7" x14ac:dyDescent="0.2">
      <c r="A5955" t="s">
        <v>4328</v>
      </c>
      <c r="B5955">
        <v>0</v>
      </c>
      <c r="C5955">
        <v>0</v>
      </c>
      <c r="D5955">
        <v>0</v>
      </c>
      <c r="E5955">
        <v>0</v>
      </c>
      <c r="F5955">
        <v>0</v>
      </c>
      <c r="G5955">
        <v>0</v>
      </c>
    </row>
    <row r="5956" spans="1:7" x14ac:dyDescent="0.2">
      <c r="A5956" t="s">
        <v>4329</v>
      </c>
      <c r="B5956">
        <v>0</v>
      </c>
      <c r="C5956">
        <v>0</v>
      </c>
      <c r="D5956">
        <v>0</v>
      </c>
      <c r="E5956">
        <v>0</v>
      </c>
      <c r="F5956">
        <v>0</v>
      </c>
      <c r="G5956">
        <v>0</v>
      </c>
    </row>
    <row r="5957" spans="1:7" x14ac:dyDescent="0.2">
      <c r="A5957" t="s">
        <v>4330</v>
      </c>
      <c r="B5957">
        <v>0</v>
      </c>
      <c r="C5957">
        <v>0</v>
      </c>
      <c r="D5957">
        <v>0</v>
      </c>
      <c r="E5957">
        <v>0</v>
      </c>
      <c r="F5957">
        <v>0</v>
      </c>
      <c r="G5957">
        <v>0</v>
      </c>
    </row>
    <row r="5958" spans="1:7" x14ac:dyDescent="0.2">
      <c r="A5958" t="s">
        <v>4331</v>
      </c>
      <c r="B5958">
        <v>0</v>
      </c>
      <c r="C5958">
        <v>0</v>
      </c>
      <c r="D5958">
        <v>0</v>
      </c>
      <c r="E5958">
        <v>0</v>
      </c>
      <c r="F5958">
        <v>0</v>
      </c>
      <c r="G5958">
        <v>0</v>
      </c>
    </row>
    <row r="5959" spans="1:7" x14ac:dyDescent="0.2">
      <c r="A5959" t="s">
        <v>4332</v>
      </c>
      <c r="B5959">
        <v>0</v>
      </c>
      <c r="C5959">
        <v>0</v>
      </c>
      <c r="D5959">
        <v>0</v>
      </c>
      <c r="E5959">
        <v>0</v>
      </c>
      <c r="F5959">
        <v>0</v>
      </c>
      <c r="G5959">
        <v>0</v>
      </c>
    </row>
    <row r="5960" spans="1:7" x14ac:dyDescent="0.2">
      <c r="A5960" t="s">
        <v>4333</v>
      </c>
      <c r="B5960">
        <v>0</v>
      </c>
      <c r="C5960">
        <v>0</v>
      </c>
      <c r="D5960">
        <v>0</v>
      </c>
      <c r="E5960">
        <v>0</v>
      </c>
      <c r="F5960">
        <v>0</v>
      </c>
      <c r="G5960">
        <v>0</v>
      </c>
    </row>
    <row r="5961" spans="1:7" x14ac:dyDescent="0.2">
      <c r="A5961" t="s">
        <v>4334</v>
      </c>
      <c r="B5961">
        <v>0</v>
      </c>
      <c r="C5961">
        <v>0</v>
      </c>
      <c r="D5961">
        <v>0</v>
      </c>
      <c r="E5961">
        <v>0</v>
      </c>
      <c r="F5961">
        <v>0</v>
      </c>
      <c r="G5961">
        <v>0</v>
      </c>
    </row>
    <row r="5962" spans="1:7" x14ac:dyDescent="0.2">
      <c r="A5962" t="s">
        <v>4335</v>
      </c>
      <c r="B5962">
        <v>0</v>
      </c>
      <c r="C5962">
        <v>0</v>
      </c>
      <c r="D5962">
        <v>0</v>
      </c>
      <c r="E5962">
        <v>0</v>
      </c>
      <c r="F5962">
        <v>0</v>
      </c>
      <c r="G5962">
        <v>0</v>
      </c>
    </row>
    <row r="5963" spans="1:7" x14ac:dyDescent="0.2">
      <c r="A5963" t="s">
        <v>4336</v>
      </c>
      <c r="B5963">
        <v>0</v>
      </c>
      <c r="C5963">
        <v>0</v>
      </c>
      <c r="D5963">
        <v>0</v>
      </c>
      <c r="E5963">
        <v>0</v>
      </c>
      <c r="F5963">
        <v>0</v>
      </c>
      <c r="G5963">
        <v>0</v>
      </c>
    </row>
    <row r="5964" spans="1:7" x14ac:dyDescent="0.2">
      <c r="A5964" t="s">
        <v>4337</v>
      </c>
      <c r="B5964">
        <v>0</v>
      </c>
      <c r="C5964">
        <v>0</v>
      </c>
      <c r="D5964">
        <v>0</v>
      </c>
      <c r="E5964">
        <v>0</v>
      </c>
      <c r="F5964">
        <v>0</v>
      </c>
      <c r="G5964">
        <v>0</v>
      </c>
    </row>
    <row r="5965" spans="1:7" x14ac:dyDescent="0.2">
      <c r="A5965" t="s">
        <v>4338</v>
      </c>
      <c r="B5965">
        <v>0</v>
      </c>
      <c r="C5965">
        <v>0</v>
      </c>
      <c r="D5965">
        <v>0</v>
      </c>
      <c r="E5965">
        <v>0</v>
      </c>
      <c r="F5965">
        <v>0</v>
      </c>
      <c r="G5965">
        <v>0</v>
      </c>
    </row>
    <row r="5966" spans="1:7" x14ac:dyDescent="0.2">
      <c r="A5966" t="s">
        <v>4339</v>
      </c>
      <c r="B5966">
        <v>0</v>
      </c>
      <c r="C5966">
        <v>0</v>
      </c>
      <c r="D5966">
        <v>0</v>
      </c>
      <c r="E5966">
        <v>0</v>
      </c>
      <c r="F5966">
        <v>0</v>
      </c>
      <c r="G5966">
        <v>0</v>
      </c>
    </row>
    <row r="5967" spans="1:7" x14ac:dyDescent="0.2">
      <c r="A5967" t="s">
        <v>4340</v>
      </c>
      <c r="B5967">
        <v>0</v>
      </c>
      <c r="C5967">
        <v>0</v>
      </c>
      <c r="D5967">
        <v>0</v>
      </c>
      <c r="E5967">
        <v>0</v>
      </c>
      <c r="F5967">
        <v>0</v>
      </c>
      <c r="G5967">
        <v>0</v>
      </c>
    </row>
    <row r="5968" spans="1:7" x14ac:dyDescent="0.2">
      <c r="A5968" t="s">
        <v>4341</v>
      </c>
      <c r="B5968">
        <v>0</v>
      </c>
      <c r="C5968">
        <v>0</v>
      </c>
      <c r="D5968">
        <v>0</v>
      </c>
      <c r="E5968">
        <v>0</v>
      </c>
      <c r="F5968">
        <v>0</v>
      </c>
      <c r="G5968">
        <v>0</v>
      </c>
    </row>
    <row r="5969" spans="1:7" x14ac:dyDescent="0.2">
      <c r="A5969" t="s">
        <v>4342</v>
      </c>
      <c r="B5969">
        <v>0</v>
      </c>
      <c r="C5969">
        <v>0</v>
      </c>
      <c r="D5969">
        <v>0</v>
      </c>
      <c r="E5969">
        <v>0</v>
      </c>
      <c r="F5969">
        <v>0</v>
      </c>
      <c r="G5969">
        <v>0</v>
      </c>
    </row>
    <row r="5970" spans="1:7" x14ac:dyDescent="0.2">
      <c r="A5970" t="s">
        <v>4343</v>
      </c>
      <c r="B5970">
        <v>0</v>
      </c>
      <c r="C5970">
        <v>0</v>
      </c>
      <c r="D5970">
        <v>0</v>
      </c>
      <c r="E5970">
        <v>0</v>
      </c>
      <c r="F5970">
        <v>0</v>
      </c>
      <c r="G5970">
        <v>0</v>
      </c>
    </row>
    <row r="5971" spans="1:7" x14ac:dyDescent="0.2">
      <c r="A5971" t="s">
        <v>1728</v>
      </c>
      <c r="B5971">
        <v>0</v>
      </c>
      <c r="C5971">
        <v>0</v>
      </c>
      <c r="D5971">
        <v>0</v>
      </c>
      <c r="E5971">
        <v>0</v>
      </c>
      <c r="F5971">
        <v>0</v>
      </c>
      <c r="G5971">
        <v>0</v>
      </c>
    </row>
    <row r="5972" spans="1:7" x14ac:dyDescent="0.2">
      <c r="A5972" t="s">
        <v>1730</v>
      </c>
      <c r="B5972">
        <v>0</v>
      </c>
      <c r="C5972">
        <v>0</v>
      </c>
      <c r="D5972">
        <v>9</v>
      </c>
      <c r="E5972">
        <v>6</v>
      </c>
      <c r="F5972">
        <v>20</v>
      </c>
      <c r="G5972">
        <v>36</v>
      </c>
    </row>
    <row r="5973" spans="1:7" x14ac:dyDescent="0.2">
      <c r="A5973" t="s">
        <v>1733</v>
      </c>
      <c r="B5973">
        <v>0</v>
      </c>
      <c r="C5973">
        <v>0</v>
      </c>
      <c r="D5973">
        <v>0</v>
      </c>
      <c r="E5973">
        <v>0</v>
      </c>
      <c r="F5973">
        <v>0</v>
      </c>
      <c r="G5973">
        <v>0</v>
      </c>
    </row>
    <row r="5974" spans="1:7" x14ac:dyDescent="0.2">
      <c r="A5974" t="s">
        <v>1738</v>
      </c>
      <c r="B5974">
        <v>0</v>
      </c>
      <c r="C5974">
        <v>0</v>
      </c>
      <c r="D5974">
        <v>0</v>
      </c>
      <c r="E5974">
        <v>0</v>
      </c>
      <c r="F5974">
        <v>0</v>
      </c>
      <c r="G5974">
        <v>0</v>
      </c>
    </row>
    <row r="5975" spans="1:7" x14ac:dyDescent="0.2">
      <c r="A5975" t="s">
        <v>1744</v>
      </c>
      <c r="B5975">
        <v>0</v>
      </c>
      <c r="C5975">
        <v>0</v>
      </c>
      <c r="D5975">
        <v>0</v>
      </c>
      <c r="E5975">
        <v>0</v>
      </c>
      <c r="F5975">
        <v>0</v>
      </c>
      <c r="G5975">
        <v>0</v>
      </c>
    </row>
    <row r="5976" spans="1:7" x14ac:dyDescent="0.2">
      <c r="A5976" t="s">
        <v>1747</v>
      </c>
      <c r="B5976">
        <v>0</v>
      </c>
      <c r="C5976">
        <v>0</v>
      </c>
      <c r="D5976">
        <v>0</v>
      </c>
      <c r="E5976">
        <v>0</v>
      </c>
      <c r="F5976">
        <v>0</v>
      </c>
      <c r="G5976">
        <v>0</v>
      </c>
    </row>
    <row r="5977" spans="1:7" x14ac:dyDescent="0.2">
      <c r="A5977" t="s">
        <v>1751</v>
      </c>
      <c r="B5977">
        <v>0</v>
      </c>
      <c r="C5977">
        <v>0</v>
      </c>
      <c r="D5977">
        <v>0</v>
      </c>
      <c r="E5977">
        <v>0</v>
      </c>
      <c r="F5977">
        <v>0</v>
      </c>
      <c r="G5977">
        <v>0</v>
      </c>
    </row>
    <row r="5978" spans="1:7" x14ac:dyDescent="0.2">
      <c r="A5978" t="s">
        <v>1755</v>
      </c>
      <c r="B5978">
        <v>0</v>
      </c>
      <c r="C5978">
        <v>0</v>
      </c>
      <c r="D5978">
        <v>19</v>
      </c>
      <c r="E5978">
        <v>130</v>
      </c>
      <c r="F5978">
        <v>416</v>
      </c>
      <c r="G5978">
        <v>565</v>
      </c>
    </row>
    <row r="5979" spans="1:7" x14ac:dyDescent="0.2">
      <c r="A5979" t="s">
        <v>1757</v>
      </c>
      <c r="B5979">
        <v>0</v>
      </c>
      <c r="C5979">
        <v>0</v>
      </c>
      <c r="D5979">
        <v>37</v>
      </c>
      <c r="E5979">
        <v>123</v>
      </c>
      <c r="F5979">
        <v>458</v>
      </c>
      <c r="G5979">
        <v>618</v>
      </c>
    </row>
    <row r="5980" spans="1:7" x14ac:dyDescent="0.2">
      <c r="A5980" t="s">
        <v>1761</v>
      </c>
      <c r="B5980">
        <v>0</v>
      </c>
      <c r="C5980">
        <v>0</v>
      </c>
      <c r="D5980">
        <v>0</v>
      </c>
      <c r="E5980">
        <v>0</v>
      </c>
      <c r="F5980">
        <v>0</v>
      </c>
      <c r="G5980">
        <v>0</v>
      </c>
    </row>
    <row r="5981" spans="1:7" x14ac:dyDescent="0.2">
      <c r="A5981" t="s">
        <v>1764</v>
      </c>
      <c r="B5981">
        <v>0</v>
      </c>
      <c r="C5981">
        <v>0</v>
      </c>
      <c r="D5981">
        <v>0</v>
      </c>
      <c r="E5981">
        <v>0</v>
      </c>
      <c r="F5981">
        <v>0</v>
      </c>
      <c r="G5981">
        <v>0</v>
      </c>
    </row>
    <row r="5982" spans="1:7" x14ac:dyDescent="0.2">
      <c r="A5982" t="s">
        <v>1770</v>
      </c>
      <c r="B5982">
        <v>0</v>
      </c>
      <c r="C5982">
        <v>3</v>
      </c>
      <c r="D5982">
        <v>29</v>
      </c>
      <c r="E5982">
        <v>115</v>
      </c>
      <c r="F5982">
        <v>0</v>
      </c>
      <c r="G5982">
        <v>148</v>
      </c>
    </row>
    <row r="5983" spans="1:7" x14ac:dyDescent="0.2">
      <c r="A5983" t="s">
        <v>1772</v>
      </c>
      <c r="B5983">
        <v>0</v>
      </c>
      <c r="C5983">
        <v>0</v>
      </c>
      <c r="D5983">
        <v>10</v>
      </c>
      <c r="E5983">
        <v>51</v>
      </c>
      <c r="F5983">
        <v>0</v>
      </c>
      <c r="G5983">
        <v>61</v>
      </c>
    </row>
    <row r="5984" spans="1:7" x14ac:dyDescent="0.2">
      <c r="A5984" t="s">
        <v>1774</v>
      </c>
      <c r="B5984">
        <v>0</v>
      </c>
      <c r="C5984">
        <v>3</v>
      </c>
      <c r="D5984">
        <v>16</v>
      </c>
      <c r="E5984">
        <v>147</v>
      </c>
      <c r="F5984">
        <v>0</v>
      </c>
      <c r="G5984">
        <v>166</v>
      </c>
    </row>
    <row r="5985" spans="1:7" x14ac:dyDescent="0.2">
      <c r="A5985" t="s">
        <v>1777</v>
      </c>
      <c r="B5985">
        <v>0</v>
      </c>
      <c r="C5985">
        <v>0</v>
      </c>
      <c r="D5985">
        <v>0</v>
      </c>
      <c r="E5985">
        <v>0</v>
      </c>
      <c r="F5985">
        <v>0</v>
      </c>
      <c r="G5985">
        <v>0</v>
      </c>
    </row>
    <row r="5986" spans="1:7" x14ac:dyDescent="0.2">
      <c r="A5986" t="s">
        <v>1782</v>
      </c>
      <c r="B5986">
        <v>0</v>
      </c>
      <c r="C5986">
        <v>0</v>
      </c>
      <c r="D5986">
        <v>0</v>
      </c>
      <c r="E5986">
        <v>0</v>
      </c>
      <c r="F5986">
        <v>0</v>
      </c>
      <c r="G5986">
        <v>0</v>
      </c>
    </row>
    <row r="5987" spans="1:7" x14ac:dyDescent="0.2">
      <c r="A5987" t="s">
        <v>1274</v>
      </c>
      <c r="B5987">
        <v>0</v>
      </c>
      <c r="C5987">
        <v>0</v>
      </c>
      <c r="D5987">
        <v>0</v>
      </c>
      <c r="E5987">
        <v>889</v>
      </c>
      <c r="F5987">
        <v>14</v>
      </c>
      <c r="G5987">
        <v>903</v>
      </c>
    </row>
    <row r="5988" spans="1:7" x14ac:dyDescent="0.2">
      <c r="A5988" t="s">
        <v>1277</v>
      </c>
      <c r="B5988">
        <v>0</v>
      </c>
      <c r="C5988">
        <v>0</v>
      </c>
      <c r="D5988">
        <v>0</v>
      </c>
      <c r="E5988">
        <v>7338</v>
      </c>
      <c r="F5988">
        <v>412</v>
      </c>
      <c r="G5988">
        <v>7750</v>
      </c>
    </row>
    <row r="5989" spans="1:7" x14ac:dyDescent="0.2">
      <c r="A5989" t="s">
        <v>1798</v>
      </c>
      <c r="B5989">
        <v>0</v>
      </c>
      <c r="C5989">
        <v>0</v>
      </c>
      <c r="D5989">
        <v>0</v>
      </c>
      <c r="E5989">
        <v>0</v>
      </c>
      <c r="F5989">
        <v>6054</v>
      </c>
      <c r="G5989">
        <v>6054</v>
      </c>
    </row>
    <row r="5990" spans="1:7" x14ac:dyDescent="0.2">
      <c r="A5990" t="s">
        <v>1803</v>
      </c>
      <c r="B5990">
        <v>0</v>
      </c>
      <c r="C5990">
        <v>0</v>
      </c>
      <c r="D5990">
        <v>0</v>
      </c>
      <c r="E5990">
        <v>0</v>
      </c>
      <c r="F5990">
        <v>489</v>
      </c>
      <c r="G5990">
        <v>489</v>
      </c>
    </row>
    <row r="5991" spans="1:7" x14ac:dyDescent="0.2">
      <c r="A5991" t="s">
        <v>1808</v>
      </c>
      <c r="B5991">
        <v>0</v>
      </c>
      <c r="C5991">
        <v>0</v>
      </c>
      <c r="D5991">
        <v>0</v>
      </c>
      <c r="E5991">
        <v>0</v>
      </c>
      <c r="F5991">
        <v>425</v>
      </c>
      <c r="G5991">
        <v>425</v>
      </c>
    </row>
    <row r="5992" spans="1:7" x14ac:dyDescent="0.2">
      <c r="A5992" t="s">
        <v>1813</v>
      </c>
      <c r="B5992">
        <v>0</v>
      </c>
      <c r="C5992">
        <v>0</v>
      </c>
      <c r="D5992">
        <v>0</v>
      </c>
      <c r="E5992">
        <v>0</v>
      </c>
      <c r="F5992">
        <v>0</v>
      </c>
      <c r="G5992">
        <v>0</v>
      </c>
    </row>
    <row r="5993" spans="1:7" x14ac:dyDescent="0.2">
      <c r="A5993" t="s">
        <v>1819</v>
      </c>
      <c r="B5993">
        <v>0</v>
      </c>
      <c r="C5993">
        <v>0</v>
      </c>
      <c r="D5993">
        <v>0</v>
      </c>
      <c r="E5993">
        <v>2</v>
      </c>
      <c r="F5993">
        <v>0</v>
      </c>
      <c r="G5993">
        <v>2</v>
      </c>
    </row>
    <row r="5994" spans="1:7" x14ac:dyDescent="0.2">
      <c r="A5994" t="s">
        <v>1826</v>
      </c>
      <c r="B5994">
        <v>0</v>
      </c>
      <c r="C5994">
        <v>0</v>
      </c>
      <c r="D5994">
        <v>0</v>
      </c>
      <c r="E5994">
        <v>0</v>
      </c>
      <c r="F5994">
        <v>0</v>
      </c>
      <c r="G5994">
        <v>0</v>
      </c>
    </row>
    <row r="5995" spans="1:7" x14ac:dyDescent="0.2">
      <c r="A5995" t="s">
        <v>1830</v>
      </c>
      <c r="B5995">
        <v>0</v>
      </c>
      <c r="C5995">
        <v>0</v>
      </c>
      <c r="D5995">
        <v>0</v>
      </c>
      <c r="E5995">
        <v>0</v>
      </c>
      <c r="F5995">
        <v>0</v>
      </c>
      <c r="G5995">
        <v>0</v>
      </c>
    </row>
    <row r="5996" spans="1:7" x14ac:dyDescent="0.2">
      <c r="A5996" t="s">
        <v>1836</v>
      </c>
      <c r="B5996">
        <v>0</v>
      </c>
      <c r="C5996">
        <v>0</v>
      </c>
      <c r="D5996">
        <v>0</v>
      </c>
      <c r="E5996">
        <v>0</v>
      </c>
      <c r="F5996">
        <v>0</v>
      </c>
      <c r="G5996">
        <v>0</v>
      </c>
    </row>
    <row r="5997" spans="1:7" x14ac:dyDescent="0.2">
      <c r="A5997" t="s">
        <v>1841</v>
      </c>
      <c r="B5997">
        <v>0</v>
      </c>
      <c r="C5997">
        <v>0</v>
      </c>
      <c r="D5997">
        <v>29</v>
      </c>
      <c r="E5997">
        <v>521</v>
      </c>
      <c r="F5997">
        <v>0</v>
      </c>
      <c r="G5997">
        <v>549</v>
      </c>
    </row>
    <row r="5998" spans="1:7" x14ac:dyDescent="0.2">
      <c r="A5998" t="s">
        <v>1842</v>
      </c>
      <c r="B5998">
        <v>0</v>
      </c>
      <c r="C5998">
        <v>1</v>
      </c>
      <c r="D5998">
        <v>0</v>
      </c>
      <c r="E5998">
        <v>18</v>
      </c>
      <c r="F5998">
        <v>0</v>
      </c>
      <c r="G5998">
        <v>18</v>
      </c>
    </row>
    <row r="5999" spans="1:7" x14ac:dyDescent="0.2">
      <c r="A5999" t="s">
        <v>1843</v>
      </c>
      <c r="B5999">
        <v>0</v>
      </c>
      <c r="C5999">
        <v>0</v>
      </c>
      <c r="D5999">
        <v>0</v>
      </c>
      <c r="E5999">
        <v>0</v>
      </c>
      <c r="F5999">
        <v>0</v>
      </c>
      <c r="G5999">
        <v>0</v>
      </c>
    </row>
    <row r="6000" spans="1:7" x14ac:dyDescent="0.2">
      <c r="A6000" t="s">
        <v>1846</v>
      </c>
      <c r="B6000">
        <v>0</v>
      </c>
      <c r="C6000">
        <v>0</v>
      </c>
      <c r="D6000">
        <v>0</v>
      </c>
      <c r="E6000">
        <v>0</v>
      </c>
      <c r="F6000">
        <v>0</v>
      </c>
      <c r="G6000">
        <v>0</v>
      </c>
    </row>
    <row r="6001" spans="1:7" x14ac:dyDescent="0.2">
      <c r="A6001" t="s">
        <v>1851</v>
      </c>
      <c r="B6001">
        <v>0</v>
      </c>
      <c r="C6001">
        <v>0</v>
      </c>
      <c r="D6001">
        <v>0</v>
      </c>
      <c r="E6001">
        <v>6</v>
      </c>
      <c r="F6001">
        <v>1</v>
      </c>
      <c r="G6001">
        <v>7</v>
      </c>
    </row>
    <row r="6002" spans="1:7" x14ac:dyDescent="0.2">
      <c r="A6002" t="s">
        <v>1857</v>
      </c>
      <c r="B6002">
        <v>0</v>
      </c>
      <c r="C6002">
        <v>0</v>
      </c>
      <c r="D6002">
        <v>0</v>
      </c>
      <c r="E6002">
        <v>0</v>
      </c>
      <c r="F6002">
        <v>0</v>
      </c>
      <c r="G6002">
        <v>0</v>
      </c>
    </row>
    <row r="6003" spans="1:7" x14ac:dyDescent="0.2">
      <c r="A6003" t="s">
        <v>1862</v>
      </c>
      <c r="B6003">
        <v>0</v>
      </c>
      <c r="C6003">
        <v>0</v>
      </c>
      <c r="D6003">
        <v>0</v>
      </c>
      <c r="E6003">
        <v>0</v>
      </c>
      <c r="F6003">
        <v>0</v>
      </c>
      <c r="G6003">
        <v>0</v>
      </c>
    </row>
    <row r="6004" spans="1:7" x14ac:dyDescent="0.2">
      <c r="A6004" t="s">
        <v>1867</v>
      </c>
      <c r="B6004">
        <v>0</v>
      </c>
      <c r="C6004">
        <v>0</v>
      </c>
      <c r="D6004">
        <v>0</v>
      </c>
      <c r="E6004">
        <v>0</v>
      </c>
      <c r="F6004">
        <v>0</v>
      </c>
      <c r="G6004">
        <v>0</v>
      </c>
    </row>
    <row r="6005" spans="1:7" x14ac:dyDescent="0.2">
      <c r="A6005" t="s">
        <v>1870</v>
      </c>
      <c r="B6005">
        <v>0</v>
      </c>
      <c r="C6005">
        <v>0</v>
      </c>
      <c r="D6005">
        <v>0</v>
      </c>
      <c r="E6005">
        <v>0</v>
      </c>
      <c r="F6005">
        <v>0</v>
      </c>
      <c r="G6005">
        <v>0</v>
      </c>
    </row>
    <row r="6006" spans="1:7" x14ac:dyDescent="0.2">
      <c r="A6006" t="s">
        <v>1874</v>
      </c>
      <c r="B6006">
        <v>0</v>
      </c>
      <c r="C6006">
        <v>0</v>
      </c>
      <c r="D6006">
        <v>0</v>
      </c>
      <c r="E6006">
        <v>0</v>
      </c>
      <c r="F6006">
        <v>0</v>
      </c>
      <c r="G6006">
        <v>0</v>
      </c>
    </row>
    <row r="6007" spans="1:7" x14ac:dyDescent="0.2">
      <c r="A6007" t="s">
        <v>1876</v>
      </c>
      <c r="B6007">
        <v>0</v>
      </c>
      <c r="C6007">
        <v>0</v>
      </c>
      <c r="D6007">
        <v>0</v>
      </c>
      <c r="E6007">
        <v>0</v>
      </c>
      <c r="F6007">
        <v>0</v>
      </c>
      <c r="G6007">
        <v>0</v>
      </c>
    </row>
    <row r="6008" spans="1:7" x14ac:dyDescent="0.2">
      <c r="A6008" t="s">
        <v>1881</v>
      </c>
      <c r="B6008">
        <v>0</v>
      </c>
      <c r="C6008">
        <v>0</v>
      </c>
      <c r="D6008">
        <v>0</v>
      </c>
      <c r="E6008">
        <v>0</v>
      </c>
      <c r="F6008">
        <v>0</v>
      </c>
      <c r="G6008">
        <v>0</v>
      </c>
    </row>
    <row r="6009" spans="1:7" x14ac:dyDescent="0.2">
      <c r="A6009" t="s">
        <v>1885</v>
      </c>
      <c r="B6009">
        <v>0</v>
      </c>
      <c r="C6009">
        <v>10</v>
      </c>
      <c r="D6009">
        <v>0</v>
      </c>
      <c r="E6009">
        <v>33</v>
      </c>
      <c r="F6009">
        <v>1</v>
      </c>
      <c r="G6009">
        <v>44</v>
      </c>
    </row>
    <row r="6010" spans="1:7" x14ac:dyDescent="0.2">
      <c r="A6010" t="s">
        <v>1887</v>
      </c>
      <c r="B6010">
        <v>0</v>
      </c>
      <c r="C6010">
        <v>0</v>
      </c>
      <c r="D6010">
        <v>0</v>
      </c>
      <c r="E6010">
        <v>0</v>
      </c>
      <c r="F6010">
        <v>2</v>
      </c>
      <c r="G6010">
        <v>2</v>
      </c>
    </row>
    <row r="6011" spans="1:7" x14ac:dyDescent="0.2">
      <c r="A6011" t="s">
        <v>1893</v>
      </c>
      <c r="B6011">
        <v>0</v>
      </c>
      <c r="C6011">
        <v>0</v>
      </c>
      <c r="D6011">
        <v>0</v>
      </c>
      <c r="E6011">
        <v>17</v>
      </c>
      <c r="F6011">
        <v>4</v>
      </c>
      <c r="G6011">
        <v>22</v>
      </c>
    </row>
    <row r="6012" spans="1:7" x14ac:dyDescent="0.2">
      <c r="A6012" t="s">
        <v>1899</v>
      </c>
      <c r="B6012">
        <v>0</v>
      </c>
      <c r="C6012">
        <v>0</v>
      </c>
      <c r="D6012">
        <v>0</v>
      </c>
      <c r="E6012">
        <v>0</v>
      </c>
      <c r="F6012">
        <v>0</v>
      </c>
      <c r="G6012">
        <v>0</v>
      </c>
    </row>
    <row r="6013" spans="1:7" x14ac:dyDescent="0.2">
      <c r="A6013" t="s">
        <v>1906</v>
      </c>
      <c r="B6013">
        <v>0</v>
      </c>
      <c r="C6013">
        <v>0</v>
      </c>
      <c r="D6013">
        <v>0</v>
      </c>
      <c r="E6013">
        <v>0</v>
      </c>
      <c r="F6013">
        <v>0</v>
      </c>
      <c r="G6013">
        <v>0</v>
      </c>
    </row>
    <row r="6014" spans="1:7" x14ac:dyDescent="0.2">
      <c r="A6014" t="s">
        <v>1911</v>
      </c>
      <c r="B6014">
        <v>0</v>
      </c>
      <c r="C6014">
        <v>0</v>
      </c>
      <c r="D6014">
        <v>0</v>
      </c>
      <c r="E6014">
        <v>0</v>
      </c>
      <c r="F6014">
        <v>0</v>
      </c>
      <c r="G6014">
        <v>0</v>
      </c>
    </row>
    <row r="6015" spans="1:7" x14ac:dyDescent="0.2">
      <c r="A6015" t="s">
        <v>1917</v>
      </c>
      <c r="B6015">
        <v>0</v>
      </c>
      <c r="C6015">
        <v>0</v>
      </c>
      <c r="D6015">
        <v>0</v>
      </c>
      <c r="E6015">
        <v>0</v>
      </c>
      <c r="F6015">
        <v>0</v>
      </c>
      <c r="G6015">
        <v>0</v>
      </c>
    </row>
    <row r="6016" spans="1:7" x14ac:dyDescent="0.2">
      <c r="A6016" t="s">
        <v>1922</v>
      </c>
      <c r="B6016">
        <v>0</v>
      </c>
      <c r="C6016">
        <v>0</v>
      </c>
      <c r="D6016">
        <v>0</v>
      </c>
      <c r="E6016">
        <v>0</v>
      </c>
      <c r="F6016">
        <v>0</v>
      </c>
      <c r="G6016">
        <v>0</v>
      </c>
    </row>
    <row r="6017" spans="1:7" x14ac:dyDescent="0.2">
      <c r="A6017" t="s">
        <v>1928</v>
      </c>
      <c r="B6017">
        <v>0</v>
      </c>
      <c r="C6017">
        <v>0</v>
      </c>
      <c r="D6017">
        <v>0</v>
      </c>
      <c r="E6017">
        <v>0</v>
      </c>
      <c r="F6017">
        <v>0</v>
      </c>
      <c r="G6017">
        <v>0</v>
      </c>
    </row>
    <row r="6018" spans="1:7" x14ac:dyDescent="0.2">
      <c r="A6018" t="s">
        <v>1932</v>
      </c>
      <c r="B6018">
        <v>0</v>
      </c>
      <c r="C6018">
        <v>0</v>
      </c>
      <c r="D6018">
        <v>0</v>
      </c>
      <c r="E6018">
        <v>0</v>
      </c>
      <c r="F6018">
        <v>0</v>
      </c>
      <c r="G6018">
        <v>0</v>
      </c>
    </row>
    <row r="6019" spans="1:7" x14ac:dyDescent="0.2">
      <c r="A6019" t="s">
        <v>1938</v>
      </c>
      <c r="B6019">
        <v>0</v>
      </c>
      <c r="C6019">
        <v>0</v>
      </c>
      <c r="D6019">
        <v>0</v>
      </c>
      <c r="E6019">
        <v>0</v>
      </c>
      <c r="F6019">
        <v>0</v>
      </c>
      <c r="G6019">
        <v>0</v>
      </c>
    </row>
    <row r="6020" spans="1:7" x14ac:dyDescent="0.2">
      <c r="A6020" t="s">
        <v>1944</v>
      </c>
      <c r="B6020">
        <v>0</v>
      </c>
      <c r="C6020">
        <v>0</v>
      </c>
      <c r="D6020">
        <v>0</v>
      </c>
      <c r="E6020">
        <v>0</v>
      </c>
      <c r="F6020">
        <v>0</v>
      </c>
      <c r="G6020">
        <v>0</v>
      </c>
    </row>
    <row r="6021" spans="1:7" x14ac:dyDescent="0.2">
      <c r="A6021" t="s">
        <v>1947</v>
      </c>
      <c r="B6021">
        <v>0</v>
      </c>
      <c r="C6021">
        <v>0</v>
      </c>
      <c r="D6021">
        <v>0</v>
      </c>
      <c r="E6021">
        <v>0</v>
      </c>
      <c r="F6021">
        <v>0</v>
      </c>
      <c r="G6021">
        <v>0</v>
      </c>
    </row>
    <row r="6022" spans="1:7" x14ac:dyDescent="0.2">
      <c r="A6022" t="s">
        <v>1953</v>
      </c>
      <c r="B6022">
        <v>0</v>
      </c>
      <c r="C6022">
        <v>0</v>
      </c>
      <c r="D6022">
        <v>0</v>
      </c>
      <c r="E6022">
        <v>0</v>
      </c>
      <c r="F6022">
        <v>0</v>
      </c>
      <c r="G6022">
        <v>0</v>
      </c>
    </row>
    <row r="6023" spans="1:7" x14ac:dyDescent="0.2">
      <c r="A6023" t="s">
        <v>1958</v>
      </c>
      <c r="B6023">
        <v>0</v>
      </c>
      <c r="C6023">
        <v>0</v>
      </c>
      <c r="D6023">
        <v>0</v>
      </c>
      <c r="E6023">
        <v>0</v>
      </c>
      <c r="F6023">
        <v>0</v>
      </c>
      <c r="G6023">
        <v>0</v>
      </c>
    </row>
    <row r="6024" spans="1:7" x14ac:dyDescent="0.2">
      <c r="A6024" t="s">
        <v>1964</v>
      </c>
      <c r="B6024">
        <v>0</v>
      </c>
      <c r="C6024">
        <v>0</v>
      </c>
      <c r="D6024">
        <v>0</v>
      </c>
      <c r="E6024">
        <v>0</v>
      </c>
      <c r="F6024">
        <v>0</v>
      </c>
      <c r="G6024">
        <v>0</v>
      </c>
    </row>
    <row r="6025" spans="1:7" x14ac:dyDescent="0.2">
      <c r="A6025" t="s">
        <v>1973</v>
      </c>
      <c r="B6025">
        <v>0</v>
      </c>
      <c r="C6025">
        <v>0</v>
      </c>
      <c r="D6025">
        <v>0</v>
      </c>
      <c r="E6025">
        <v>0</v>
      </c>
      <c r="F6025">
        <v>0</v>
      </c>
      <c r="G6025">
        <v>0</v>
      </c>
    </row>
    <row r="6026" spans="1:7" x14ac:dyDescent="0.2">
      <c r="A6026" t="s">
        <v>1978</v>
      </c>
      <c r="B6026">
        <v>0</v>
      </c>
      <c r="C6026">
        <v>0</v>
      </c>
      <c r="D6026">
        <v>0</v>
      </c>
      <c r="E6026">
        <v>0</v>
      </c>
      <c r="F6026">
        <v>0</v>
      </c>
      <c r="G6026">
        <v>0</v>
      </c>
    </row>
    <row r="6027" spans="1:7" x14ac:dyDescent="0.2">
      <c r="A6027" t="s">
        <v>1983</v>
      </c>
      <c r="B6027">
        <v>0</v>
      </c>
      <c r="C6027">
        <v>0</v>
      </c>
      <c r="D6027">
        <v>0</v>
      </c>
      <c r="E6027">
        <v>0</v>
      </c>
      <c r="F6027">
        <v>0</v>
      </c>
      <c r="G6027">
        <v>0</v>
      </c>
    </row>
    <row r="6028" spans="1:7" x14ac:dyDescent="0.2">
      <c r="A6028" t="s">
        <v>1984</v>
      </c>
      <c r="B6028">
        <v>0</v>
      </c>
      <c r="C6028">
        <v>0</v>
      </c>
      <c r="D6028">
        <v>0</v>
      </c>
      <c r="E6028">
        <v>0</v>
      </c>
      <c r="F6028">
        <v>0</v>
      </c>
      <c r="G6028">
        <v>0</v>
      </c>
    </row>
    <row r="6029" spans="1:7" x14ac:dyDescent="0.2">
      <c r="A6029" t="s">
        <v>1990</v>
      </c>
      <c r="B6029">
        <v>0</v>
      </c>
      <c r="C6029">
        <v>0</v>
      </c>
      <c r="D6029">
        <v>0</v>
      </c>
      <c r="E6029">
        <v>0</v>
      </c>
      <c r="F6029">
        <v>0</v>
      </c>
      <c r="G6029">
        <v>0</v>
      </c>
    </row>
    <row r="6030" spans="1:7" x14ac:dyDescent="0.2">
      <c r="A6030" t="s">
        <v>1996</v>
      </c>
      <c r="B6030">
        <v>0</v>
      </c>
      <c r="C6030">
        <v>0</v>
      </c>
      <c r="D6030">
        <v>0</v>
      </c>
      <c r="E6030">
        <v>0</v>
      </c>
      <c r="F6030">
        <v>0</v>
      </c>
      <c r="G6030">
        <v>0</v>
      </c>
    </row>
    <row r="6031" spans="1:7" x14ac:dyDescent="0.2">
      <c r="A6031" t="s">
        <v>1998</v>
      </c>
      <c r="B6031">
        <v>0</v>
      </c>
      <c r="C6031">
        <v>0</v>
      </c>
      <c r="D6031">
        <v>0</v>
      </c>
      <c r="E6031">
        <v>0</v>
      </c>
      <c r="F6031">
        <v>0</v>
      </c>
      <c r="G6031">
        <v>0</v>
      </c>
    </row>
    <row r="6032" spans="1:7" x14ac:dyDescent="0.2">
      <c r="A6032" t="s">
        <v>1999</v>
      </c>
      <c r="B6032">
        <v>0</v>
      </c>
      <c r="C6032">
        <v>0</v>
      </c>
      <c r="D6032">
        <v>0</v>
      </c>
      <c r="E6032">
        <v>0</v>
      </c>
      <c r="F6032">
        <v>0</v>
      </c>
      <c r="G6032">
        <v>0</v>
      </c>
    </row>
    <row r="6033" spans="1:7" x14ac:dyDescent="0.2">
      <c r="A6033" t="s">
        <v>2004</v>
      </c>
      <c r="B6033">
        <v>0</v>
      </c>
      <c r="C6033">
        <v>0</v>
      </c>
      <c r="D6033">
        <v>0</v>
      </c>
      <c r="E6033">
        <v>0</v>
      </c>
      <c r="F6033">
        <v>0</v>
      </c>
      <c r="G6033">
        <v>0</v>
      </c>
    </row>
    <row r="6034" spans="1:7" x14ac:dyDescent="0.2">
      <c r="A6034" t="s">
        <v>2009</v>
      </c>
      <c r="B6034">
        <v>0</v>
      </c>
      <c r="C6034">
        <v>0</v>
      </c>
      <c r="D6034">
        <v>0</v>
      </c>
      <c r="E6034">
        <v>0</v>
      </c>
      <c r="F6034">
        <v>0</v>
      </c>
      <c r="G6034">
        <v>0</v>
      </c>
    </row>
    <row r="6035" spans="1:7" x14ac:dyDescent="0.2">
      <c r="A6035" t="s">
        <v>2014</v>
      </c>
      <c r="B6035">
        <v>0</v>
      </c>
      <c r="C6035">
        <v>0</v>
      </c>
      <c r="D6035">
        <v>0</v>
      </c>
      <c r="E6035">
        <v>0</v>
      </c>
      <c r="F6035">
        <v>0</v>
      </c>
      <c r="G6035">
        <v>0</v>
      </c>
    </row>
    <row r="6036" spans="1:7" x14ac:dyDescent="0.2">
      <c r="A6036" t="s">
        <v>2019</v>
      </c>
      <c r="B6036">
        <v>0</v>
      </c>
      <c r="C6036">
        <v>0</v>
      </c>
      <c r="D6036">
        <v>0</v>
      </c>
      <c r="E6036">
        <v>0</v>
      </c>
      <c r="F6036">
        <v>0</v>
      </c>
      <c r="G6036">
        <v>0</v>
      </c>
    </row>
    <row r="6037" spans="1:7" x14ac:dyDescent="0.2">
      <c r="A6037" t="s">
        <v>2023</v>
      </c>
      <c r="B6037">
        <v>0</v>
      </c>
      <c r="C6037">
        <v>0</v>
      </c>
      <c r="D6037">
        <v>0</v>
      </c>
      <c r="E6037">
        <v>0</v>
      </c>
      <c r="F6037">
        <v>0</v>
      </c>
      <c r="G6037">
        <v>0</v>
      </c>
    </row>
    <row r="6038" spans="1:7" x14ac:dyDescent="0.2">
      <c r="A6038" t="s">
        <v>2026</v>
      </c>
      <c r="B6038">
        <v>0</v>
      </c>
      <c r="C6038">
        <v>0</v>
      </c>
      <c r="D6038">
        <v>0</v>
      </c>
      <c r="E6038">
        <v>0</v>
      </c>
      <c r="F6038">
        <v>0</v>
      </c>
      <c r="G6038">
        <v>0</v>
      </c>
    </row>
    <row r="6039" spans="1:7" x14ac:dyDescent="0.2">
      <c r="A6039" t="s">
        <v>2030</v>
      </c>
      <c r="B6039">
        <v>0</v>
      </c>
      <c r="C6039">
        <v>0</v>
      </c>
      <c r="D6039">
        <v>0</v>
      </c>
      <c r="E6039">
        <v>0</v>
      </c>
      <c r="F6039">
        <v>0</v>
      </c>
      <c r="G6039">
        <v>0</v>
      </c>
    </row>
    <row r="6040" spans="1:7" x14ac:dyDescent="0.2">
      <c r="A6040" t="s">
        <v>2035</v>
      </c>
      <c r="B6040">
        <v>0</v>
      </c>
      <c r="C6040">
        <v>0</v>
      </c>
      <c r="D6040">
        <v>0</v>
      </c>
      <c r="E6040">
        <v>0</v>
      </c>
      <c r="F6040">
        <v>0</v>
      </c>
      <c r="G6040">
        <v>0</v>
      </c>
    </row>
    <row r="6041" spans="1:7" x14ac:dyDescent="0.2">
      <c r="A6041" t="s">
        <v>2040</v>
      </c>
      <c r="B6041">
        <v>0</v>
      </c>
      <c r="C6041">
        <v>0</v>
      </c>
      <c r="D6041">
        <v>0</v>
      </c>
      <c r="E6041">
        <v>0</v>
      </c>
      <c r="F6041">
        <v>0</v>
      </c>
      <c r="G6041">
        <v>0</v>
      </c>
    </row>
    <row r="6042" spans="1:7" x14ac:dyDescent="0.2">
      <c r="A6042" t="s">
        <v>2045</v>
      </c>
      <c r="B6042">
        <v>0</v>
      </c>
      <c r="C6042">
        <v>0</v>
      </c>
      <c r="D6042">
        <v>0</v>
      </c>
      <c r="E6042">
        <v>0</v>
      </c>
      <c r="F6042">
        <v>0</v>
      </c>
      <c r="G6042">
        <v>0</v>
      </c>
    </row>
    <row r="6043" spans="1:7" x14ac:dyDescent="0.2">
      <c r="A6043" t="s">
        <v>2049</v>
      </c>
      <c r="B6043">
        <v>0</v>
      </c>
      <c r="C6043">
        <v>0</v>
      </c>
      <c r="D6043">
        <v>483</v>
      </c>
      <c r="E6043">
        <v>0</v>
      </c>
      <c r="F6043">
        <v>0</v>
      </c>
      <c r="G6043">
        <v>483</v>
      </c>
    </row>
    <row r="6044" spans="1:7" x14ac:dyDescent="0.2">
      <c r="A6044" t="s">
        <v>2051</v>
      </c>
      <c r="B6044">
        <v>0</v>
      </c>
      <c r="C6044">
        <v>0</v>
      </c>
      <c r="D6044">
        <v>0</v>
      </c>
      <c r="E6044">
        <v>0</v>
      </c>
      <c r="F6044">
        <v>5</v>
      </c>
      <c r="G6044">
        <v>5</v>
      </c>
    </row>
    <row r="6045" spans="1:7" x14ac:dyDescent="0.2">
      <c r="A6045" t="s">
        <v>2057</v>
      </c>
      <c r="B6045">
        <v>0</v>
      </c>
      <c r="C6045">
        <v>0</v>
      </c>
      <c r="D6045">
        <v>0</v>
      </c>
      <c r="E6045">
        <v>0</v>
      </c>
      <c r="F6045">
        <v>9</v>
      </c>
      <c r="G6045">
        <v>9</v>
      </c>
    </row>
    <row r="6046" spans="1:7" x14ac:dyDescent="0.2">
      <c r="A6046" t="s">
        <v>4344</v>
      </c>
      <c r="B6046">
        <v>0</v>
      </c>
      <c r="C6046">
        <v>0</v>
      </c>
      <c r="D6046">
        <v>0</v>
      </c>
      <c r="E6046">
        <v>0</v>
      </c>
      <c r="F6046">
        <v>0</v>
      </c>
      <c r="G6046">
        <v>0</v>
      </c>
    </row>
    <row r="6047" spans="1:7" x14ac:dyDescent="0.2">
      <c r="A6047" t="s">
        <v>4345</v>
      </c>
      <c r="B6047">
        <v>0</v>
      </c>
      <c r="C6047">
        <v>0</v>
      </c>
      <c r="D6047">
        <v>0</v>
      </c>
      <c r="E6047">
        <v>1</v>
      </c>
      <c r="F6047">
        <v>7</v>
      </c>
      <c r="G6047">
        <v>8</v>
      </c>
    </row>
    <row r="6048" spans="1:7" x14ac:dyDescent="0.2">
      <c r="A6048" t="s">
        <v>2074</v>
      </c>
      <c r="B6048">
        <v>0</v>
      </c>
      <c r="C6048">
        <v>0</v>
      </c>
      <c r="D6048">
        <v>0</v>
      </c>
      <c r="E6048">
        <v>0</v>
      </c>
      <c r="F6048">
        <v>0</v>
      </c>
      <c r="G6048">
        <v>0</v>
      </c>
    </row>
    <row r="6049" spans="1:7" x14ac:dyDescent="0.2">
      <c r="A6049" t="s">
        <v>2079</v>
      </c>
      <c r="B6049">
        <v>0</v>
      </c>
      <c r="C6049">
        <v>0</v>
      </c>
      <c r="D6049">
        <v>0</v>
      </c>
      <c r="E6049">
        <v>0</v>
      </c>
      <c r="F6049">
        <v>0</v>
      </c>
      <c r="G6049">
        <v>0</v>
      </c>
    </row>
    <row r="6050" spans="1:7" x14ac:dyDescent="0.2">
      <c r="A6050" t="s">
        <v>2085</v>
      </c>
      <c r="B6050">
        <v>0</v>
      </c>
      <c r="C6050">
        <v>0</v>
      </c>
      <c r="D6050">
        <v>0</v>
      </c>
      <c r="E6050">
        <v>0</v>
      </c>
      <c r="F6050">
        <v>0</v>
      </c>
      <c r="G6050">
        <v>0</v>
      </c>
    </row>
    <row r="6051" spans="1:7" x14ac:dyDescent="0.2">
      <c r="A6051" t="s">
        <v>2091</v>
      </c>
      <c r="B6051">
        <v>0</v>
      </c>
      <c r="C6051">
        <v>0</v>
      </c>
      <c r="D6051">
        <v>0</v>
      </c>
      <c r="E6051">
        <v>0</v>
      </c>
      <c r="F6051">
        <v>0</v>
      </c>
      <c r="G6051">
        <v>0</v>
      </c>
    </row>
    <row r="6052" spans="1:7" x14ac:dyDescent="0.2">
      <c r="A6052" t="s">
        <v>2097</v>
      </c>
      <c r="B6052">
        <v>0</v>
      </c>
      <c r="C6052">
        <v>0</v>
      </c>
      <c r="D6052">
        <v>0</v>
      </c>
      <c r="E6052">
        <v>0</v>
      </c>
      <c r="F6052">
        <v>0</v>
      </c>
      <c r="G6052">
        <v>0</v>
      </c>
    </row>
    <row r="6053" spans="1:7" x14ac:dyDescent="0.2">
      <c r="A6053" t="s">
        <v>2101</v>
      </c>
      <c r="B6053">
        <v>0</v>
      </c>
      <c r="C6053">
        <v>0</v>
      </c>
      <c r="D6053">
        <v>0</v>
      </c>
      <c r="E6053">
        <v>0</v>
      </c>
      <c r="F6053">
        <v>0</v>
      </c>
      <c r="G6053">
        <v>0</v>
      </c>
    </row>
    <row r="6054" spans="1:7" x14ac:dyDescent="0.2">
      <c r="A6054" t="s">
        <v>2104</v>
      </c>
      <c r="B6054">
        <v>0</v>
      </c>
      <c r="C6054">
        <v>0</v>
      </c>
      <c r="D6054">
        <v>0</v>
      </c>
      <c r="E6054">
        <v>0</v>
      </c>
      <c r="F6054">
        <v>0</v>
      </c>
      <c r="G6054">
        <v>0</v>
      </c>
    </row>
    <row r="6055" spans="1:7" x14ac:dyDescent="0.2">
      <c r="A6055" t="s">
        <v>2107</v>
      </c>
      <c r="B6055">
        <v>0</v>
      </c>
      <c r="C6055">
        <v>0</v>
      </c>
      <c r="D6055">
        <v>0</v>
      </c>
      <c r="E6055">
        <v>0</v>
      </c>
      <c r="F6055">
        <v>0</v>
      </c>
      <c r="G6055">
        <v>0</v>
      </c>
    </row>
    <row r="6056" spans="1:7" x14ac:dyDescent="0.2">
      <c r="A6056" t="s">
        <v>2110</v>
      </c>
      <c r="B6056">
        <v>0</v>
      </c>
      <c r="C6056">
        <v>0</v>
      </c>
      <c r="D6056">
        <v>0</v>
      </c>
      <c r="E6056">
        <v>0</v>
      </c>
      <c r="F6056">
        <v>0</v>
      </c>
      <c r="G6056">
        <v>0</v>
      </c>
    </row>
    <row r="6057" spans="1:7" x14ac:dyDescent="0.2">
      <c r="A6057" t="s">
        <v>2113</v>
      </c>
      <c r="B6057">
        <v>0</v>
      </c>
      <c r="C6057">
        <v>0</v>
      </c>
      <c r="D6057">
        <v>0</v>
      </c>
      <c r="E6057">
        <v>0</v>
      </c>
      <c r="F6057">
        <v>0</v>
      </c>
      <c r="G6057">
        <v>0</v>
      </c>
    </row>
    <row r="6058" spans="1:7" x14ac:dyDescent="0.2">
      <c r="A6058" t="s">
        <v>4346</v>
      </c>
      <c r="B6058">
        <v>0</v>
      </c>
      <c r="C6058">
        <v>0</v>
      </c>
      <c r="D6058">
        <v>0</v>
      </c>
      <c r="E6058">
        <v>0</v>
      </c>
      <c r="F6058">
        <v>0</v>
      </c>
      <c r="G6058">
        <v>0</v>
      </c>
    </row>
    <row r="6059" spans="1:7" x14ac:dyDescent="0.2">
      <c r="A6059" t="s">
        <v>4347</v>
      </c>
      <c r="B6059">
        <v>0</v>
      </c>
      <c r="C6059">
        <v>0</v>
      </c>
      <c r="D6059">
        <v>0</v>
      </c>
      <c r="E6059">
        <v>0</v>
      </c>
      <c r="F6059">
        <v>0</v>
      </c>
      <c r="G6059">
        <v>0</v>
      </c>
    </row>
    <row r="6060" spans="1:7" x14ac:dyDescent="0.2">
      <c r="A6060" t="s">
        <v>4348</v>
      </c>
      <c r="B6060">
        <v>0</v>
      </c>
      <c r="C6060">
        <v>0</v>
      </c>
      <c r="D6060">
        <v>0</v>
      </c>
      <c r="E6060">
        <v>0</v>
      </c>
      <c r="F6060">
        <v>0</v>
      </c>
      <c r="G6060">
        <v>0</v>
      </c>
    </row>
    <row r="6061" spans="1:7" x14ac:dyDescent="0.2">
      <c r="A6061" t="s">
        <v>4349</v>
      </c>
      <c r="B6061">
        <v>0</v>
      </c>
      <c r="C6061">
        <v>0</v>
      </c>
      <c r="D6061">
        <v>0</v>
      </c>
      <c r="E6061">
        <v>0</v>
      </c>
      <c r="F6061">
        <v>0</v>
      </c>
      <c r="G6061">
        <v>0</v>
      </c>
    </row>
    <row r="6062" spans="1:7" x14ac:dyDescent="0.2">
      <c r="A6062" t="s">
        <v>4350</v>
      </c>
      <c r="B6062">
        <v>0</v>
      </c>
      <c r="C6062">
        <v>2</v>
      </c>
      <c r="D6062">
        <v>9</v>
      </c>
      <c r="E6062">
        <v>0</v>
      </c>
      <c r="F6062">
        <v>0</v>
      </c>
      <c r="G6062">
        <v>11</v>
      </c>
    </row>
    <row r="6063" spans="1:7" x14ac:dyDescent="0.2">
      <c r="A6063" t="s">
        <v>4351</v>
      </c>
      <c r="B6063">
        <v>0</v>
      </c>
      <c r="C6063">
        <v>0</v>
      </c>
      <c r="D6063">
        <v>0</v>
      </c>
      <c r="E6063">
        <v>0</v>
      </c>
      <c r="F6063">
        <v>0</v>
      </c>
      <c r="G6063">
        <v>0</v>
      </c>
    </row>
    <row r="6064" spans="1:7" x14ac:dyDescent="0.2">
      <c r="A6064" t="s">
        <v>4352</v>
      </c>
      <c r="B6064">
        <v>0</v>
      </c>
      <c r="C6064">
        <v>0</v>
      </c>
      <c r="D6064">
        <v>0</v>
      </c>
      <c r="E6064">
        <v>0</v>
      </c>
      <c r="F6064">
        <v>0</v>
      </c>
      <c r="G6064">
        <v>0</v>
      </c>
    </row>
    <row r="6065" spans="1:7" x14ac:dyDescent="0.2">
      <c r="A6065" t="s">
        <v>4353</v>
      </c>
      <c r="B6065">
        <v>1</v>
      </c>
      <c r="C6065">
        <v>68</v>
      </c>
      <c r="D6065">
        <v>23</v>
      </c>
      <c r="E6065">
        <v>3</v>
      </c>
      <c r="F6065">
        <v>0</v>
      </c>
      <c r="G6065">
        <v>94</v>
      </c>
    </row>
    <row r="6066" spans="1:7" x14ac:dyDescent="0.2">
      <c r="A6066" t="s">
        <v>4354</v>
      </c>
      <c r="B6066">
        <v>5</v>
      </c>
      <c r="C6066">
        <v>61</v>
      </c>
      <c r="D6066">
        <v>20</v>
      </c>
      <c r="E6066">
        <v>1</v>
      </c>
      <c r="F6066">
        <v>0</v>
      </c>
      <c r="G6066">
        <v>88</v>
      </c>
    </row>
    <row r="6067" spans="1:7" x14ac:dyDescent="0.2">
      <c r="A6067" t="s">
        <v>4355</v>
      </c>
      <c r="B6067">
        <v>0</v>
      </c>
      <c r="C6067">
        <v>0</v>
      </c>
      <c r="D6067">
        <v>0</v>
      </c>
      <c r="E6067">
        <v>0</v>
      </c>
      <c r="F6067">
        <v>0</v>
      </c>
      <c r="G6067">
        <v>0</v>
      </c>
    </row>
    <row r="6068" spans="1:7" x14ac:dyDescent="0.2">
      <c r="A6068" t="s">
        <v>4356</v>
      </c>
      <c r="B6068">
        <v>0</v>
      </c>
      <c r="C6068">
        <v>0</v>
      </c>
      <c r="D6068">
        <v>0</v>
      </c>
      <c r="E6068">
        <v>0</v>
      </c>
      <c r="F6068">
        <v>0</v>
      </c>
      <c r="G6068">
        <v>0</v>
      </c>
    </row>
    <row r="6069" spans="1:7" x14ac:dyDescent="0.2">
      <c r="A6069" t="s">
        <v>4357</v>
      </c>
      <c r="B6069">
        <v>0</v>
      </c>
      <c r="C6069">
        <v>0</v>
      </c>
      <c r="D6069">
        <v>0</v>
      </c>
      <c r="E6069">
        <v>0</v>
      </c>
      <c r="F6069">
        <v>0</v>
      </c>
      <c r="G6069">
        <v>0</v>
      </c>
    </row>
    <row r="6070" spans="1:7" x14ac:dyDescent="0.2">
      <c r="A6070" t="s">
        <v>4358</v>
      </c>
      <c r="B6070">
        <v>0</v>
      </c>
      <c r="C6070">
        <v>0</v>
      </c>
      <c r="D6070">
        <v>1</v>
      </c>
      <c r="E6070">
        <v>0</v>
      </c>
      <c r="F6070">
        <v>0</v>
      </c>
      <c r="G6070">
        <v>1</v>
      </c>
    </row>
    <row r="6071" spans="1:7" x14ac:dyDescent="0.2">
      <c r="A6071" t="s">
        <v>4359</v>
      </c>
      <c r="B6071">
        <v>0</v>
      </c>
      <c r="C6071">
        <v>0</v>
      </c>
      <c r="D6071">
        <v>0</v>
      </c>
      <c r="E6071">
        <v>0</v>
      </c>
      <c r="F6071">
        <v>0</v>
      </c>
      <c r="G6071">
        <v>0</v>
      </c>
    </row>
    <row r="6072" spans="1:7" x14ac:dyDescent="0.2">
      <c r="A6072" t="s">
        <v>4360</v>
      </c>
      <c r="B6072">
        <v>0</v>
      </c>
      <c r="C6072">
        <v>0</v>
      </c>
      <c r="D6072">
        <v>0</v>
      </c>
      <c r="E6072">
        <v>9</v>
      </c>
      <c r="F6072">
        <v>0</v>
      </c>
      <c r="G6072">
        <v>9</v>
      </c>
    </row>
    <row r="6073" spans="1:7" x14ac:dyDescent="0.2">
      <c r="A6073" t="s">
        <v>4361</v>
      </c>
      <c r="B6073">
        <v>0</v>
      </c>
      <c r="C6073">
        <v>0</v>
      </c>
      <c r="D6073">
        <v>79</v>
      </c>
      <c r="E6073">
        <v>2</v>
      </c>
      <c r="F6073">
        <v>0</v>
      </c>
      <c r="G6073">
        <v>81</v>
      </c>
    </row>
    <row r="6074" spans="1:7" x14ac:dyDescent="0.2">
      <c r="A6074" t="s">
        <v>4362</v>
      </c>
      <c r="B6074">
        <v>0</v>
      </c>
      <c r="C6074">
        <v>0</v>
      </c>
      <c r="D6074">
        <v>0</v>
      </c>
      <c r="E6074">
        <v>6</v>
      </c>
      <c r="F6074">
        <v>0</v>
      </c>
      <c r="G6074">
        <v>6</v>
      </c>
    </row>
    <row r="6075" spans="1:7" x14ac:dyDescent="0.2">
      <c r="A6075" t="s">
        <v>4363</v>
      </c>
      <c r="B6075">
        <v>0</v>
      </c>
      <c r="C6075">
        <v>0</v>
      </c>
      <c r="D6075">
        <v>0</v>
      </c>
      <c r="E6075">
        <v>0</v>
      </c>
      <c r="F6075">
        <v>0</v>
      </c>
      <c r="G6075">
        <v>0</v>
      </c>
    </row>
    <row r="6076" spans="1:7" x14ac:dyDescent="0.2">
      <c r="A6076" t="s">
        <v>4364</v>
      </c>
      <c r="B6076">
        <v>0</v>
      </c>
      <c r="C6076">
        <v>0</v>
      </c>
      <c r="D6076">
        <v>0</v>
      </c>
      <c r="E6076">
        <v>0</v>
      </c>
      <c r="F6076">
        <v>0</v>
      </c>
      <c r="G6076">
        <v>0</v>
      </c>
    </row>
    <row r="6077" spans="1:7" x14ac:dyDescent="0.2">
      <c r="A6077" t="s">
        <v>4365</v>
      </c>
      <c r="B6077">
        <v>0</v>
      </c>
      <c r="C6077">
        <v>23</v>
      </c>
      <c r="D6077">
        <v>13</v>
      </c>
      <c r="E6077">
        <v>0</v>
      </c>
      <c r="F6077">
        <v>0</v>
      </c>
      <c r="G6077">
        <v>36</v>
      </c>
    </row>
    <row r="6078" spans="1:7" x14ac:dyDescent="0.2">
      <c r="A6078" t="s">
        <v>4366</v>
      </c>
      <c r="B6078">
        <v>0</v>
      </c>
      <c r="C6078">
        <v>0</v>
      </c>
      <c r="D6078">
        <v>0</v>
      </c>
      <c r="E6078">
        <v>0</v>
      </c>
      <c r="F6078">
        <v>0</v>
      </c>
      <c r="G6078">
        <v>0</v>
      </c>
    </row>
    <row r="6079" spans="1:7" x14ac:dyDescent="0.2">
      <c r="A6079" t="s">
        <v>4367</v>
      </c>
      <c r="B6079">
        <v>0</v>
      </c>
      <c r="C6079">
        <v>0</v>
      </c>
      <c r="D6079">
        <v>0</v>
      </c>
      <c r="E6079">
        <v>0</v>
      </c>
      <c r="F6079">
        <v>0</v>
      </c>
      <c r="G6079">
        <v>0</v>
      </c>
    </row>
    <row r="6080" spans="1:7" x14ac:dyDescent="0.2">
      <c r="A6080" t="s">
        <v>4368</v>
      </c>
      <c r="B6080">
        <v>8</v>
      </c>
      <c r="C6080">
        <v>13</v>
      </c>
      <c r="D6080">
        <v>30</v>
      </c>
      <c r="E6080">
        <v>111</v>
      </c>
      <c r="F6080">
        <v>6</v>
      </c>
      <c r="G6080">
        <v>168</v>
      </c>
    </row>
    <row r="6081" spans="1:10" x14ac:dyDescent="0.2">
      <c r="A6081" t="s">
        <v>4369</v>
      </c>
      <c r="B6081">
        <v>5</v>
      </c>
      <c r="C6081">
        <v>64</v>
      </c>
      <c r="D6081">
        <v>104</v>
      </c>
      <c r="E6081">
        <v>68</v>
      </c>
      <c r="F6081">
        <v>0</v>
      </c>
      <c r="G6081">
        <v>242</v>
      </c>
    </row>
    <row r="6082" spans="1:10" x14ac:dyDescent="0.2">
      <c r="A6082" t="s">
        <v>4370</v>
      </c>
      <c r="B6082">
        <v>45</v>
      </c>
      <c r="C6082">
        <v>43</v>
      </c>
      <c r="D6082">
        <v>38</v>
      </c>
      <c r="E6082">
        <v>4</v>
      </c>
      <c r="F6082">
        <v>0</v>
      </c>
      <c r="G6082">
        <v>129</v>
      </c>
    </row>
    <row r="6083" spans="1:10" x14ac:dyDescent="0.2">
      <c r="A6083" t="s">
        <v>4371</v>
      </c>
      <c r="B6083">
        <v>10</v>
      </c>
      <c r="C6083">
        <v>14</v>
      </c>
      <c r="D6083">
        <v>20</v>
      </c>
      <c r="E6083">
        <v>3</v>
      </c>
      <c r="F6083">
        <v>0</v>
      </c>
      <c r="G6083">
        <v>47</v>
      </c>
    </row>
    <row r="6084" spans="1:10" x14ac:dyDescent="0.2">
      <c r="A6084" t="s">
        <v>4372</v>
      </c>
      <c r="B6084">
        <v>0</v>
      </c>
      <c r="C6084">
        <v>0</v>
      </c>
      <c r="D6084">
        <v>0</v>
      </c>
      <c r="E6084">
        <v>0</v>
      </c>
      <c r="F6084">
        <v>0</v>
      </c>
      <c r="G6084">
        <v>0</v>
      </c>
    </row>
    <row r="6085" spans="1:10" x14ac:dyDescent="0.2">
      <c r="A6085" t="s">
        <v>4373</v>
      </c>
      <c r="B6085">
        <v>0</v>
      </c>
      <c r="C6085">
        <v>2</v>
      </c>
      <c r="D6085">
        <v>0</v>
      </c>
      <c r="E6085">
        <v>0</v>
      </c>
      <c r="F6085">
        <v>0</v>
      </c>
      <c r="G6085">
        <v>2</v>
      </c>
    </row>
    <row r="6086" spans="1:10" x14ac:dyDescent="0.2">
      <c r="A6086" t="s">
        <v>4374</v>
      </c>
      <c r="B6086">
        <v>0</v>
      </c>
      <c r="C6086">
        <v>0</v>
      </c>
      <c r="D6086">
        <v>0</v>
      </c>
      <c r="E6086">
        <v>0</v>
      </c>
      <c r="F6086">
        <v>0</v>
      </c>
      <c r="G6086">
        <v>0</v>
      </c>
    </row>
    <row r="6087" spans="1:10" x14ac:dyDescent="0.2">
      <c r="A6087" t="s">
        <v>4375</v>
      </c>
      <c r="B6087">
        <v>1</v>
      </c>
      <c r="C6087">
        <v>0</v>
      </c>
      <c r="D6087">
        <v>3</v>
      </c>
      <c r="E6087">
        <v>0</v>
      </c>
      <c r="F6087">
        <v>0</v>
      </c>
      <c r="G6087">
        <v>4</v>
      </c>
    </row>
    <row r="6088" spans="1:10" x14ac:dyDescent="0.2">
      <c r="A6088" t="s">
        <v>4376</v>
      </c>
      <c r="B6088">
        <v>0</v>
      </c>
      <c r="C6088">
        <v>0</v>
      </c>
      <c r="D6088">
        <v>0</v>
      </c>
      <c r="E6088">
        <v>0</v>
      </c>
      <c r="F6088">
        <v>0</v>
      </c>
      <c r="G6088">
        <v>0</v>
      </c>
    </row>
    <row r="6089" spans="1:10" x14ac:dyDescent="0.2">
      <c r="A6089" t="s">
        <v>4377</v>
      </c>
      <c r="B6089">
        <v>0</v>
      </c>
      <c r="C6089">
        <v>0</v>
      </c>
      <c r="D6089">
        <v>0</v>
      </c>
      <c r="E6089">
        <v>0</v>
      </c>
      <c r="F6089">
        <v>0</v>
      </c>
      <c r="G6089">
        <v>0</v>
      </c>
    </row>
    <row r="6090" spans="1:10" x14ac:dyDescent="0.2">
      <c r="A6090" t="s">
        <v>2318</v>
      </c>
      <c r="B6090" t="s">
        <v>2319</v>
      </c>
      <c r="C6090" t="s">
        <v>2319</v>
      </c>
      <c r="D6090" t="s">
        <v>2319</v>
      </c>
      <c r="E6090" t="s">
        <v>2319</v>
      </c>
      <c r="F6090" t="s">
        <v>2319</v>
      </c>
      <c r="G6090" t="s">
        <v>2319</v>
      </c>
    </row>
    <row r="6091" spans="1:10" x14ac:dyDescent="0.2">
      <c r="A6091" t="s">
        <v>4248</v>
      </c>
      <c r="G6091">
        <f>SUM(G5892:G6089)</f>
        <v>20874</v>
      </c>
    </row>
    <row r="6092" spans="1:10" x14ac:dyDescent="0.2">
      <c r="A6092" t="s">
        <v>4250</v>
      </c>
      <c r="C6092" t="s">
        <v>4251</v>
      </c>
      <c r="G6092" t="s">
        <v>7531</v>
      </c>
      <c r="J6092"/>
    </row>
    <row r="6093" spans="1:10" x14ac:dyDescent="0.2">
      <c r="A6093" t="s">
        <v>4925</v>
      </c>
      <c r="G6093" t="s">
        <v>7541</v>
      </c>
      <c r="J6093"/>
    </row>
    <row r="6094" spans="1:10" x14ac:dyDescent="0.2">
      <c r="A6094" t="s">
        <v>7530</v>
      </c>
      <c r="J6094"/>
    </row>
    <row r="6095" spans="1:10" x14ac:dyDescent="0.2">
      <c r="A6095" t="s">
        <v>5013</v>
      </c>
      <c r="J6095"/>
    </row>
    <row r="6096" spans="1:10" x14ac:dyDescent="0.2">
      <c r="J6096"/>
    </row>
    <row r="6097" spans="1:10" x14ac:dyDescent="0.2">
      <c r="A6097" t="s">
        <v>4259</v>
      </c>
      <c r="J6097"/>
    </row>
    <row r="6098" spans="1:10" x14ac:dyDescent="0.2">
      <c r="A6098" t="s">
        <v>2318</v>
      </c>
      <c r="B6098" t="s">
        <v>2319</v>
      </c>
      <c r="C6098" t="s">
        <v>2319</v>
      </c>
      <c r="D6098" t="s">
        <v>2319</v>
      </c>
      <c r="E6098" t="s">
        <v>2319</v>
      </c>
      <c r="F6098" t="s">
        <v>2319</v>
      </c>
      <c r="G6098" t="s">
        <v>2319</v>
      </c>
    </row>
    <row r="6099" spans="1:10" x14ac:dyDescent="0.2">
      <c r="A6099" t="s">
        <v>174</v>
      </c>
      <c r="B6099" t="s">
        <v>4945</v>
      </c>
      <c r="C6099" t="s">
        <v>4946</v>
      </c>
      <c r="D6099" t="s">
        <v>4947</v>
      </c>
      <c r="E6099" t="s">
        <v>4948</v>
      </c>
      <c r="F6099" t="s">
        <v>4949</v>
      </c>
    </row>
    <row r="6100" spans="1:10" x14ac:dyDescent="0.2">
      <c r="A6100" t="s">
        <v>126</v>
      </c>
      <c r="B6100" t="s">
        <v>4262</v>
      </c>
      <c r="C6100" t="s">
        <v>4263</v>
      </c>
      <c r="D6100" t="s">
        <v>4264</v>
      </c>
      <c r="E6100" t="s">
        <v>2308</v>
      </c>
      <c r="F6100" t="s">
        <v>615</v>
      </c>
      <c r="G6100" t="s">
        <v>236</v>
      </c>
    </row>
    <row r="6101" spans="1:10" x14ac:dyDescent="0.2">
      <c r="A6101" t="s">
        <v>2318</v>
      </c>
      <c r="B6101" t="s">
        <v>2319</v>
      </c>
      <c r="C6101" t="s">
        <v>2319</v>
      </c>
      <c r="D6101" t="s">
        <v>2319</v>
      </c>
      <c r="E6101" t="s">
        <v>2319</v>
      </c>
      <c r="F6101" t="s">
        <v>2319</v>
      </c>
      <c r="G6101" t="s">
        <v>2319</v>
      </c>
    </row>
    <row r="6102" spans="1:10" x14ac:dyDescent="0.2">
      <c r="A6102" t="s">
        <v>4265</v>
      </c>
      <c r="B6102">
        <v>0</v>
      </c>
      <c r="C6102">
        <v>0</v>
      </c>
      <c r="D6102">
        <v>0</v>
      </c>
      <c r="E6102">
        <v>0</v>
      </c>
      <c r="F6102">
        <v>0</v>
      </c>
      <c r="G6102">
        <v>0</v>
      </c>
    </row>
    <row r="6103" spans="1:10" x14ac:dyDescent="0.2">
      <c r="A6103" t="s">
        <v>4266</v>
      </c>
      <c r="B6103">
        <v>0</v>
      </c>
      <c r="C6103">
        <v>0</v>
      </c>
      <c r="D6103">
        <v>0</v>
      </c>
      <c r="E6103">
        <v>0</v>
      </c>
      <c r="F6103">
        <v>0</v>
      </c>
      <c r="G6103">
        <v>0</v>
      </c>
    </row>
    <row r="6104" spans="1:10" x14ac:dyDescent="0.2">
      <c r="A6104" t="s">
        <v>4267</v>
      </c>
      <c r="B6104">
        <v>0</v>
      </c>
      <c r="C6104">
        <v>0</v>
      </c>
      <c r="D6104">
        <v>0</v>
      </c>
      <c r="E6104">
        <v>0</v>
      </c>
      <c r="F6104">
        <v>0</v>
      </c>
      <c r="G6104">
        <v>0</v>
      </c>
    </row>
    <row r="6105" spans="1:10" x14ac:dyDescent="0.2">
      <c r="A6105" t="s">
        <v>4268</v>
      </c>
      <c r="B6105">
        <v>0</v>
      </c>
      <c r="C6105">
        <v>0</v>
      </c>
      <c r="D6105">
        <v>0</v>
      </c>
      <c r="E6105">
        <v>0</v>
      </c>
      <c r="F6105">
        <v>0</v>
      </c>
      <c r="G6105">
        <v>0</v>
      </c>
    </row>
    <row r="6106" spans="1:10" x14ac:dyDescent="0.2">
      <c r="A6106" t="s">
        <v>4269</v>
      </c>
      <c r="B6106">
        <v>0</v>
      </c>
      <c r="C6106">
        <v>0</v>
      </c>
      <c r="D6106">
        <v>0</v>
      </c>
      <c r="E6106">
        <v>0</v>
      </c>
      <c r="F6106">
        <v>0</v>
      </c>
      <c r="G6106">
        <v>0</v>
      </c>
    </row>
    <row r="6107" spans="1:10" x14ac:dyDescent="0.2">
      <c r="A6107" t="s">
        <v>4270</v>
      </c>
      <c r="B6107">
        <v>0</v>
      </c>
      <c r="C6107">
        <v>0</v>
      </c>
      <c r="D6107">
        <v>0</v>
      </c>
      <c r="E6107">
        <v>0</v>
      </c>
      <c r="F6107">
        <v>0</v>
      </c>
      <c r="G6107">
        <v>0</v>
      </c>
    </row>
    <row r="6108" spans="1:10" x14ac:dyDescent="0.2">
      <c r="A6108" t="s">
        <v>4271</v>
      </c>
      <c r="B6108">
        <v>0</v>
      </c>
      <c r="C6108">
        <v>0</v>
      </c>
      <c r="D6108">
        <v>0</v>
      </c>
      <c r="E6108">
        <v>0</v>
      </c>
      <c r="F6108">
        <v>0</v>
      </c>
      <c r="G6108">
        <v>0</v>
      </c>
    </row>
    <row r="6109" spans="1:10" x14ac:dyDescent="0.2">
      <c r="A6109" t="s">
        <v>4272</v>
      </c>
      <c r="B6109">
        <v>0</v>
      </c>
      <c r="C6109">
        <v>0</v>
      </c>
      <c r="D6109">
        <v>0</v>
      </c>
      <c r="E6109">
        <v>0</v>
      </c>
      <c r="F6109">
        <v>0</v>
      </c>
      <c r="G6109">
        <v>0</v>
      </c>
    </row>
    <row r="6110" spans="1:10" x14ac:dyDescent="0.2">
      <c r="A6110" t="s">
        <v>4273</v>
      </c>
      <c r="B6110">
        <v>0</v>
      </c>
      <c r="C6110">
        <v>0</v>
      </c>
      <c r="D6110">
        <v>0</v>
      </c>
      <c r="E6110">
        <v>0</v>
      </c>
      <c r="F6110">
        <v>0</v>
      </c>
      <c r="G6110">
        <v>0</v>
      </c>
    </row>
    <row r="6111" spans="1:10" x14ac:dyDescent="0.2">
      <c r="A6111" t="s">
        <v>4274</v>
      </c>
      <c r="B6111">
        <v>0</v>
      </c>
      <c r="C6111">
        <v>0</v>
      </c>
      <c r="D6111">
        <v>0</v>
      </c>
      <c r="E6111">
        <v>0</v>
      </c>
      <c r="F6111">
        <v>0</v>
      </c>
      <c r="G6111">
        <v>0</v>
      </c>
    </row>
    <row r="6112" spans="1:10" x14ac:dyDescent="0.2">
      <c r="A6112" t="s">
        <v>4275</v>
      </c>
      <c r="B6112">
        <v>0</v>
      </c>
      <c r="C6112">
        <v>0</v>
      </c>
      <c r="D6112">
        <v>0</v>
      </c>
      <c r="E6112">
        <v>0</v>
      </c>
      <c r="F6112">
        <v>0</v>
      </c>
      <c r="G6112">
        <v>0</v>
      </c>
    </row>
    <row r="6113" spans="1:7" x14ac:dyDescent="0.2">
      <c r="A6113" t="s">
        <v>4276</v>
      </c>
      <c r="B6113">
        <v>0</v>
      </c>
      <c r="C6113">
        <v>0</v>
      </c>
      <c r="D6113">
        <v>0</v>
      </c>
      <c r="E6113">
        <v>0</v>
      </c>
      <c r="F6113">
        <v>0</v>
      </c>
      <c r="G6113">
        <v>0</v>
      </c>
    </row>
    <row r="6114" spans="1:7" x14ac:dyDescent="0.2">
      <c r="A6114" t="s">
        <v>4277</v>
      </c>
      <c r="B6114">
        <v>0</v>
      </c>
      <c r="C6114">
        <v>0</v>
      </c>
      <c r="D6114">
        <v>0</v>
      </c>
      <c r="E6114">
        <v>0</v>
      </c>
      <c r="F6114">
        <v>0</v>
      </c>
      <c r="G6114">
        <v>0</v>
      </c>
    </row>
    <row r="6115" spans="1:7" x14ac:dyDescent="0.2">
      <c r="A6115" t="s">
        <v>4278</v>
      </c>
      <c r="B6115">
        <v>0</v>
      </c>
      <c r="C6115">
        <v>0</v>
      </c>
      <c r="D6115">
        <v>0</v>
      </c>
      <c r="E6115">
        <v>0</v>
      </c>
      <c r="F6115">
        <v>0</v>
      </c>
      <c r="G6115">
        <v>0</v>
      </c>
    </row>
    <row r="6116" spans="1:7" x14ac:dyDescent="0.2">
      <c r="A6116" t="s">
        <v>4279</v>
      </c>
      <c r="B6116">
        <v>0</v>
      </c>
      <c r="C6116">
        <v>0</v>
      </c>
      <c r="D6116">
        <v>0</v>
      </c>
      <c r="E6116">
        <v>0</v>
      </c>
      <c r="F6116">
        <v>0</v>
      </c>
      <c r="G6116">
        <v>0</v>
      </c>
    </row>
    <row r="6117" spans="1:7" x14ac:dyDescent="0.2">
      <c r="A6117" t="s">
        <v>4280</v>
      </c>
      <c r="B6117">
        <v>0</v>
      </c>
      <c r="C6117">
        <v>0</v>
      </c>
      <c r="D6117">
        <v>0</v>
      </c>
      <c r="E6117">
        <v>0</v>
      </c>
      <c r="F6117">
        <v>0</v>
      </c>
      <c r="G6117">
        <v>0</v>
      </c>
    </row>
    <row r="6118" spans="1:7" x14ac:dyDescent="0.2">
      <c r="A6118" t="s">
        <v>4281</v>
      </c>
      <c r="B6118">
        <v>4</v>
      </c>
      <c r="C6118">
        <v>3</v>
      </c>
      <c r="D6118">
        <v>5</v>
      </c>
      <c r="E6118">
        <v>0</v>
      </c>
      <c r="F6118">
        <v>0</v>
      </c>
      <c r="G6118">
        <v>12</v>
      </c>
    </row>
    <row r="6119" spans="1:7" x14ac:dyDescent="0.2">
      <c r="A6119" t="s">
        <v>4282</v>
      </c>
      <c r="B6119">
        <v>6</v>
      </c>
      <c r="C6119">
        <v>3</v>
      </c>
      <c r="D6119">
        <v>1</v>
      </c>
      <c r="E6119">
        <v>0</v>
      </c>
      <c r="F6119">
        <v>0</v>
      </c>
      <c r="G6119">
        <v>10</v>
      </c>
    </row>
    <row r="6120" spans="1:7" x14ac:dyDescent="0.2">
      <c r="A6120" t="s">
        <v>4283</v>
      </c>
      <c r="B6120">
        <v>1</v>
      </c>
      <c r="C6120">
        <v>0</v>
      </c>
      <c r="D6120">
        <v>0</v>
      </c>
      <c r="E6120">
        <v>0</v>
      </c>
      <c r="F6120">
        <v>0</v>
      </c>
      <c r="G6120">
        <v>1</v>
      </c>
    </row>
    <row r="6121" spans="1:7" x14ac:dyDescent="0.2">
      <c r="A6121" t="s">
        <v>4284</v>
      </c>
      <c r="B6121">
        <v>0</v>
      </c>
      <c r="C6121">
        <v>0</v>
      </c>
      <c r="D6121">
        <v>0</v>
      </c>
      <c r="E6121">
        <v>0</v>
      </c>
      <c r="F6121">
        <v>0</v>
      </c>
      <c r="G6121">
        <v>0</v>
      </c>
    </row>
    <row r="6122" spans="1:7" x14ac:dyDescent="0.2">
      <c r="A6122" t="s">
        <v>4285</v>
      </c>
      <c r="B6122">
        <v>7</v>
      </c>
      <c r="C6122">
        <v>5</v>
      </c>
      <c r="D6122">
        <v>2</v>
      </c>
      <c r="E6122">
        <v>0</v>
      </c>
      <c r="F6122">
        <v>0</v>
      </c>
      <c r="G6122">
        <v>15</v>
      </c>
    </row>
    <row r="6123" spans="1:7" x14ac:dyDescent="0.2">
      <c r="A6123" t="s">
        <v>4286</v>
      </c>
      <c r="B6123">
        <v>1</v>
      </c>
      <c r="C6123">
        <v>0</v>
      </c>
      <c r="D6123">
        <v>0</v>
      </c>
      <c r="E6123">
        <v>0</v>
      </c>
      <c r="F6123">
        <v>0</v>
      </c>
      <c r="G6123">
        <v>1</v>
      </c>
    </row>
    <row r="6124" spans="1:7" x14ac:dyDescent="0.2">
      <c r="A6124" t="s">
        <v>4287</v>
      </c>
      <c r="B6124">
        <v>0</v>
      </c>
      <c r="C6124">
        <v>0</v>
      </c>
      <c r="D6124">
        <v>0</v>
      </c>
      <c r="E6124">
        <v>1</v>
      </c>
      <c r="F6124">
        <v>0</v>
      </c>
      <c r="G6124">
        <v>1</v>
      </c>
    </row>
    <row r="6125" spans="1:7" x14ac:dyDescent="0.2">
      <c r="A6125" t="s">
        <v>4288</v>
      </c>
      <c r="B6125">
        <v>0</v>
      </c>
      <c r="C6125">
        <v>0</v>
      </c>
      <c r="D6125">
        <v>0</v>
      </c>
      <c r="E6125">
        <v>0</v>
      </c>
      <c r="F6125">
        <v>0</v>
      </c>
      <c r="G6125">
        <v>0</v>
      </c>
    </row>
    <row r="6126" spans="1:7" x14ac:dyDescent="0.2">
      <c r="A6126" t="s">
        <v>4289</v>
      </c>
      <c r="B6126">
        <v>0</v>
      </c>
      <c r="C6126">
        <v>0</v>
      </c>
      <c r="D6126">
        <v>0</v>
      </c>
      <c r="E6126">
        <v>0</v>
      </c>
      <c r="F6126">
        <v>0</v>
      </c>
      <c r="G6126">
        <v>0</v>
      </c>
    </row>
    <row r="6127" spans="1:7" x14ac:dyDescent="0.2">
      <c r="A6127" t="s">
        <v>4290</v>
      </c>
      <c r="B6127">
        <v>0</v>
      </c>
      <c r="C6127">
        <v>0</v>
      </c>
      <c r="D6127">
        <v>0</v>
      </c>
      <c r="E6127">
        <v>0</v>
      </c>
      <c r="F6127">
        <v>0</v>
      </c>
      <c r="G6127">
        <v>0</v>
      </c>
    </row>
    <row r="6128" spans="1:7" x14ac:dyDescent="0.2">
      <c r="A6128" t="s">
        <v>4291</v>
      </c>
      <c r="B6128">
        <v>0</v>
      </c>
      <c r="C6128">
        <v>0</v>
      </c>
      <c r="D6128">
        <v>0</v>
      </c>
      <c r="E6128">
        <v>0</v>
      </c>
      <c r="F6128">
        <v>0</v>
      </c>
      <c r="G6128">
        <v>0</v>
      </c>
    </row>
    <row r="6129" spans="1:7" x14ac:dyDescent="0.2">
      <c r="A6129" t="s">
        <v>4292</v>
      </c>
      <c r="B6129">
        <v>0</v>
      </c>
      <c r="C6129">
        <v>0</v>
      </c>
      <c r="D6129">
        <v>0</v>
      </c>
      <c r="E6129">
        <v>0</v>
      </c>
      <c r="F6129">
        <v>0</v>
      </c>
      <c r="G6129">
        <v>0</v>
      </c>
    </row>
    <row r="6130" spans="1:7" x14ac:dyDescent="0.2">
      <c r="A6130" t="s">
        <v>4293</v>
      </c>
      <c r="B6130">
        <v>0</v>
      </c>
      <c r="C6130">
        <v>0</v>
      </c>
      <c r="D6130">
        <v>0</v>
      </c>
      <c r="E6130">
        <v>0</v>
      </c>
      <c r="F6130">
        <v>0</v>
      </c>
      <c r="G6130">
        <v>0</v>
      </c>
    </row>
    <row r="6131" spans="1:7" x14ac:dyDescent="0.2">
      <c r="A6131" t="s">
        <v>4294</v>
      </c>
      <c r="B6131">
        <v>0</v>
      </c>
      <c r="C6131">
        <v>0</v>
      </c>
      <c r="D6131">
        <v>0</v>
      </c>
      <c r="E6131">
        <v>0</v>
      </c>
      <c r="F6131">
        <v>0</v>
      </c>
      <c r="G6131">
        <v>0</v>
      </c>
    </row>
    <row r="6132" spans="1:7" x14ac:dyDescent="0.2">
      <c r="A6132" t="s">
        <v>4295</v>
      </c>
      <c r="B6132">
        <v>0</v>
      </c>
      <c r="C6132">
        <v>0</v>
      </c>
      <c r="D6132">
        <v>0</v>
      </c>
      <c r="E6132">
        <v>0</v>
      </c>
      <c r="F6132">
        <v>0</v>
      </c>
      <c r="G6132">
        <v>0</v>
      </c>
    </row>
    <row r="6133" spans="1:7" x14ac:dyDescent="0.2">
      <c r="A6133" t="s">
        <v>4296</v>
      </c>
      <c r="B6133">
        <v>0</v>
      </c>
      <c r="C6133">
        <v>0</v>
      </c>
      <c r="D6133">
        <v>0</v>
      </c>
      <c r="E6133">
        <v>0</v>
      </c>
      <c r="F6133">
        <v>0</v>
      </c>
      <c r="G6133">
        <v>0</v>
      </c>
    </row>
    <row r="6134" spans="1:7" x14ac:dyDescent="0.2">
      <c r="A6134" t="s">
        <v>4297</v>
      </c>
      <c r="B6134">
        <v>0</v>
      </c>
      <c r="C6134">
        <v>3</v>
      </c>
      <c r="D6134">
        <v>7</v>
      </c>
      <c r="E6134">
        <v>0</v>
      </c>
      <c r="F6134">
        <v>0</v>
      </c>
      <c r="G6134">
        <v>10</v>
      </c>
    </row>
    <row r="6135" spans="1:7" x14ac:dyDescent="0.2">
      <c r="A6135" t="s">
        <v>4298</v>
      </c>
      <c r="B6135">
        <v>1</v>
      </c>
      <c r="C6135">
        <v>4</v>
      </c>
      <c r="D6135">
        <v>2</v>
      </c>
      <c r="E6135">
        <v>0</v>
      </c>
      <c r="F6135">
        <v>0</v>
      </c>
      <c r="G6135">
        <v>7</v>
      </c>
    </row>
    <row r="6136" spans="1:7" x14ac:dyDescent="0.2">
      <c r="A6136" t="s">
        <v>4299</v>
      </c>
      <c r="B6136">
        <v>3</v>
      </c>
      <c r="C6136">
        <v>10</v>
      </c>
      <c r="D6136">
        <v>9</v>
      </c>
      <c r="E6136">
        <v>1</v>
      </c>
      <c r="F6136">
        <v>0</v>
      </c>
      <c r="G6136">
        <v>23</v>
      </c>
    </row>
    <row r="6137" spans="1:7" x14ac:dyDescent="0.2">
      <c r="A6137" t="s">
        <v>4300</v>
      </c>
      <c r="B6137">
        <v>0</v>
      </c>
      <c r="C6137">
        <v>1</v>
      </c>
      <c r="D6137">
        <v>1</v>
      </c>
      <c r="E6137">
        <v>0</v>
      </c>
      <c r="F6137">
        <v>0</v>
      </c>
      <c r="G6137" s="1259">
        <v>1</v>
      </c>
    </row>
    <row r="6138" spans="1:7" x14ac:dyDescent="0.2">
      <c r="A6138" t="s">
        <v>4301</v>
      </c>
      <c r="B6138">
        <v>0</v>
      </c>
      <c r="C6138">
        <v>24</v>
      </c>
      <c r="D6138">
        <v>26</v>
      </c>
      <c r="E6138">
        <v>3</v>
      </c>
      <c r="F6138">
        <v>0</v>
      </c>
      <c r="G6138">
        <v>53</v>
      </c>
    </row>
    <row r="6139" spans="1:7" x14ac:dyDescent="0.2">
      <c r="A6139" t="s">
        <v>4302</v>
      </c>
      <c r="B6139">
        <v>1</v>
      </c>
      <c r="C6139">
        <v>10</v>
      </c>
      <c r="D6139">
        <v>25</v>
      </c>
      <c r="E6139">
        <v>1</v>
      </c>
      <c r="F6139">
        <v>0</v>
      </c>
      <c r="G6139">
        <v>38</v>
      </c>
    </row>
    <row r="6140" spans="1:7" x14ac:dyDescent="0.2">
      <c r="A6140" t="s">
        <v>4303</v>
      </c>
      <c r="B6140">
        <v>1</v>
      </c>
      <c r="C6140">
        <v>29</v>
      </c>
      <c r="D6140">
        <v>100</v>
      </c>
      <c r="E6140">
        <v>4</v>
      </c>
      <c r="F6140">
        <v>0</v>
      </c>
      <c r="G6140" s="1259">
        <v>134</v>
      </c>
    </row>
    <row r="6141" spans="1:7" x14ac:dyDescent="0.2">
      <c r="A6141" t="s">
        <v>4304</v>
      </c>
      <c r="B6141">
        <v>0</v>
      </c>
      <c r="C6141">
        <v>2</v>
      </c>
      <c r="D6141">
        <v>13</v>
      </c>
      <c r="E6141">
        <v>0</v>
      </c>
      <c r="F6141">
        <v>0</v>
      </c>
      <c r="G6141">
        <v>15</v>
      </c>
    </row>
    <row r="6142" spans="1:7" x14ac:dyDescent="0.2">
      <c r="A6142" t="s">
        <v>4305</v>
      </c>
      <c r="B6142">
        <v>88</v>
      </c>
      <c r="C6142">
        <v>59</v>
      </c>
      <c r="D6142">
        <v>84</v>
      </c>
      <c r="E6142">
        <v>41</v>
      </c>
      <c r="F6142">
        <v>0</v>
      </c>
      <c r="G6142">
        <v>273</v>
      </c>
    </row>
    <row r="6143" spans="1:7" x14ac:dyDescent="0.2">
      <c r="A6143" t="s">
        <v>4306</v>
      </c>
      <c r="B6143">
        <v>3</v>
      </c>
      <c r="C6143">
        <v>18</v>
      </c>
      <c r="D6143">
        <v>5</v>
      </c>
      <c r="E6143">
        <v>3</v>
      </c>
      <c r="F6143">
        <v>0</v>
      </c>
      <c r="G6143">
        <v>28</v>
      </c>
    </row>
    <row r="6144" spans="1:7" x14ac:dyDescent="0.2">
      <c r="A6144" t="s">
        <v>4307</v>
      </c>
      <c r="B6144">
        <v>16</v>
      </c>
      <c r="C6144">
        <v>174</v>
      </c>
      <c r="D6144">
        <v>644</v>
      </c>
      <c r="E6144">
        <v>139</v>
      </c>
      <c r="F6144">
        <v>0</v>
      </c>
      <c r="G6144" s="1259">
        <v>972</v>
      </c>
    </row>
    <row r="6145" spans="1:7" x14ac:dyDescent="0.2">
      <c r="A6145" t="s">
        <v>4308</v>
      </c>
      <c r="B6145">
        <v>0</v>
      </c>
      <c r="C6145">
        <v>0</v>
      </c>
      <c r="D6145">
        <v>1</v>
      </c>
      <c r="E6145">
        <v>2</v>
      </c>
      <c r="F6145">
        <v>0</v>
      </c>
      <c r="G6145">
        <v>3</v>
      </c>
    </row>
    <row r="6146" spans="1:7" x14ac:dyDescent="0.2">
      <c r="A6146" t="s">
        <v>4309</v>
      </c>
      <c r="B6146">
        <v>0</v>
      </c>
      <c r="C6146">
        <v>0</v>
      </c>
      <c r="D6146">
        <v>0</v>
      </c>
      <c r="E6146">
        <v>0</v>
      </c>
      <c r="F6146">
        <v>0</v>
      </c>
      <c r="G6146">
        <v>0</v>
      </c>
    </row>
    <row r="6147" spans="1:7" x14ac:dyDescent="0.2">
      <c r="A6147" t="s">
        <v>4310</v>
      </c>
      <c r="B6147">
        <v>0</v>
      </c>
      <c r="C6147">
        <v>0</v>
      </c>
      <c r="D6147">
        <v>0</v>
      </c>
      <c r="E6147">
        <v>0</v>
      </c>
      <c r="F6147">
        <v>0</v>
      </c>
      <c r="G6147">
        <v>0</v>
      </c>
    </row>
    <row r="6148" spans="1:7" x14ac:dyDescent="0.2">
      <c r="A6148" t="s">
        <v>4311</v>
      </c>
      <c r="B6148">
        <v>0</v>
      </c>
      <c r="C6148">
        <v>0</v>
      </c>
      <c r="D6148">
        <v>0</v>
      </c>
      <c r="E6148">
        <v>0</v>
      </c>
      <c r="F6148">
        <v>0</v>
      </c>
      <c r="G6148">
        <v>0</v>
      </c>
    </row>
    <row r="6149" spans="1:7" x14ac:dyDescent="0.2">
      <c r="A6149" t="s">
        <v>4312</v>
      </c>
      <c r="B6149">
        <v>0</v>
      </c>
      <c r="C6149">
        <v>0</v>
      </c>
      <c r="D6149">
        <v>0</v>
      </c>
      <c r="E6149">
        <v>0</v>
      </c>
      <c r="F6149">
        <v>0</v>
      </c>
      <c r="G6149">
        <v>0</v>
      </c>
    </row>
    <row r="6150" spans="1:7" x14ac:dyDescent="0.2">
      <c r="A6150" t="s">
        <v>4313</v>
      </c>
      <c r="B6150">
        <v>0</v>
      </c>
      <c r="C6150">
        <v>0</v>
      </c>
      <c r="D6150">
        <v>0</v>
      </c>
      <c r="E6150">
        <v>0</v>
      </c>
      <c r="F6150">
        <v>0</v>
      </c>
      <c r="G6150">
        <v>0</v>
      </c>
    </row>
    <row r="6151" spans="1:7" x14ac:dyDescent="0.2">
      <c r="A6151" t="s">
        <v>4314</v>
      </c>
      <c r="B6151">
        <v>0</v>
      </c>
      <c r="C6151">
        <v>0</v>
      </c>
      <c r="D6151">
        <v>0</v>
      </c>
      <c r="E6151">
        <v>0</v>
      </c>
      <c r="F6151">
        <v>0</v>
      </c>
      <c r="G6151">
        <v>0</v>
      </c>
    </row>
    <row r="6152" spans="1:7" x14ac:dyDescent="0.2">
      <c r="A6152" t="s">
        <v>4315</v>
      </c>
      <c r="B6152">
        <v>0</v>
      </c>
      <c r="C6152">
        <v>0</v>
      </c>
      <c r="D6152">
        <v>0</v>
      </c>
      <c r="E6152">
        <v>0</v>
      </c>
      <c r="F6152">
        <v>0</v>
      </c>
      <c r="G6152">
        <v>0</v>
      </c>
    </row>
    <row r="6153" spans="1:7" x14ac:dyDescent="0.2">
      <c r="A6153" t="s">
        <v>4316</v>
      </c>
      <c r="B6153">
        <v>0</v>
      </c>
      <c r="C6153">
        <v>0</v>
      </c>
      <c r="D6153">
        <v>0</v>
      </c>
      <c r="E6153">
        <v>0</v>
      </c>
      <c r="F6153">
        <v>0</v>
      </c>
      <c r="G6153">
        <v>0</v>
      </c>
    </row>
    <row r="6154" spans="1:7" x14ac:dyDescent="0.2">
      <c r="A6154" t="s">
        <v>4317</v>
      </c>
      <c r="B6154">
        <v>0</v>
      </c>
      <c r="C6154">
        <v>0</v>
      </c>
      <c r="D6154">
        <v>0</v>
      </c>
      <c r="E6154">
        <v>0</v>
      </c>
      <c r="F6154">
        <v>0</v>
      </c>
      <c r="G6154">
        <v>0</v>
      </c>
    </row>
    <row r="6155" spans="1:7" x14ac:dyDescent="0.2">
      <c r="A6155" t="s">
        <v>4318</v>
      </c>
      <c r="B6155">
        <v>0</v>
      </c>
      <c r="C6155">
        <v>0</v>
      </c>
      <c r="D6155">
        <v>0</v>
      </c>
      <c r="E6155">
        <v>0</v>
      </c>
      <c r="F6155">
        <v>0</v>
      </c>
      <c r="G6155">
        <v>0</v>
      </c>
    </row>
    <row r="6156" spans="1:7" x14ac:dyDescent="0.2">
      <c r="A6156" t="s">
        <v>4319</v>
      </c>
      <c r="B6156">
        <v>0</v>
      </c>
      <c r="C6156">
        <v>0</v>
      </c>
      <c r="D6156">
        <v>0</v>
      </c>
      <c r="E6156">
        <v>0</v>
      </c>
      <c r="F6156">
        <v>0</v>
      </c>
      <c r="G6156">
        <v>0</v>
      </c>
    </row>
    <row r="6157" spans="1:7" x14ac:dyDescent="0.2">
      <c r="A6157" t="s">
        <v>4320</v>
      </c>
      <c r="B6157">
        <v>0</v>
      </c>
      <c r="C6157">
        <v>0</v>
      </c>
      <c r="D6157">
        <v>0</v>
      </c>
      <c r="E6157">
        <v>0</v>
      </c>
      <c r="F6157">
        <v>0</v>
      </c>
      <c r="G6157">
        <v>0</v>
      </c>
    </row>
    <row r="6158" spans="1:7" x14ac:dyDescent="0.2">
      <c r="A6158" t="s">
        <v>4321</v>
      </c>
      <c r="B6158">
        <v>0</v>
      </c>
      <c r="C6158">
        <v>0</v>
      </c>
      <c r="D6158">
        <v>0</v>
      </c>
      <c r="E6158">
        <v>0</v>
      </c>
      <c r="F6158">
        <v>0</v>
      </c>
      <c r="G6158">
        <v>0</v>
      </c>
    </row>
    <row r="6159" spans="1:7" x14ac:dyDescent="0.2">
      <c r="A6159" t="s">
        <v>4322</v>
      </c>
      <c r="B6159">
        <v>0</v>
      </c>
      <c r="C6159">
        <v>0</v>
      </c>
      <c r="D6159">
        <v>0</v>
      </c>
      <c r="E6159">
        <v>0</v>
      </c>
      <c r="F6159">
        <v>0</v>
      </c>
      <c r="G6159">
        <v>0</v>
      </c>
    </row>
    <row r="6160" spans="1:7" x14ac:dyDescent="0.2">
      <c r="A6160" t="s">
        <v>4323</v>
      </c>
      <c r="B6160">
        <v>0</v>
      </c>
      <c r="C6160">
        <v>0</v>
      </c>
      <c r="D6160">
        <v>0</v>
      </c>
      <c r="E6160">
        <v>0</v>
      </c>
      <c r="F6160">
        <v>0</v>
      </c>
      <c r="G6160">
        <v>0</v>
      </c>
    </row>
    <row r="6161" spans="1:7" x14ac:dyDescent="0.2">
      <c r="A6161" t="s">
        <v>4324</v>
      </c>
      <c r="B6161">
        <v>0</v>
      </c>
      <c r="C6161">
        <v>0</v>
      </c>
      <c r="D6161">
        <v>0</v>
      </c>
      <c r="E6161">
        <v>0</v>
      </c>
      <c r="F6161">
        <v>0</v>
      </c>
      <c r="G6161">
        <v>0</v>
      </c>
    </row>
    <row r="6162" spans="1:7" x14ac:dyDescent="0.2">
      <c r="A6162" t="s">
        <v>4325</v>
      </c>
      <c r="B6162">
        <v>0</v>
      </c>
      <c r="C6162">
        <v>0</v>
      </c>
      <c r="D6162">
        <v>0</v>
      </c>
      <c r="E6162">
        <v>0</v>
      </c>
      <c r="F6162">
        <v>0</v>
      </c>
      <c r="G6162">
        <v>0</v>
      </c>
    </row>
    <row r="6163" spans="1:7" x14ac:dyDescent="0.2">
      <c r="A6163" t="s">
        <v>4326</v>
      </c>
      <c r="B6163">
        <v>0</v>
      </c>
      <c r="C6163">
        <v>0</v>
      </c>
      <c r="D6163">
        <v>0</v>
      </c>
      <c r="E6163">
        <v>0</v>
      </c>
      <c r="F6163">
        <v>0</v>
      </c>
      <c r="G6163">
        <v>0</v>
      </c>
    </row>
    <row r="6164" spans="1:7" x14ac:dyDescent="0.2">
      <c r="A6164" t="s">
        <v>4327</v>
      </c>
      <c r="B6164">
        <v>0</v>
      </c>
      <c r="C6164">
        <v>0</v>
      </c>
      <c r="D6164">
        <v>0</v>
      </c>
      <c r="E6164">
        <v>0</v>
      </c>
      <c r="F6164">
        <v>0</v>
      </c>
      <c r="G6164">
        <v>0</v>
      </c>
    </row>
    <row r="6165" spans="1:7" x14ac:dyDescent="0.2">
      <c r="A6165" t="s">
        <v>4328</v>
      </c>
      <c r="B6165">
        <v>0</v>
      </c>
      <c r="C6165">
        <v>0</v>
      </c>
      <c r="D6165">
        <v>0</v>
      </c>
      <c r="E6165">
        <v>0</v>
      </c>
      <c r="F6165">
        <v>0</v>
      </c>
      <c r="G6165">
        <v>0</v>
      </c>
    </row>
    <row r="6166" spans="1:7" x14ac:dyDescent="0.2">
      <c r="A6166" t="s">
        <v>4329</v>
      </c>
      <c r="B6166">
        <v>0</v>
      </c>
      <c r="C6166">
        <v>0</v>
      </c>
      <c r="D6166">
        <v>0</v>
      </c>
      <c r="E6166">
        <v>0</v>
      </c>
      <c r="F6166">
        <v>0</v>
      </c>
      <c r="G6166">
        <v>0</v>
      </c>
    </row>
    <row r="6167" spans="1:7" x14ac:dyDescent="0.2">
      <c r="A6167" t="s">
        <v>4330</v>
      </c>
      <c r="B6167">
        <v>0</v>
      </c>
      <c r="C6167">
        <v>0</v>
      </c>
      <c r="D6167">
        <v>0</v>
      </c>
      <c r="E6167">
        <v>0</v>
      </c>
      <c r="F6167">
        <v>0</v>
      </c>
      <c r="G6167">
        <v>0</v>
      </c>
    </row>
    <row r="6168" spans="1:7" x14ac:dyDescent="0.2">
      <c r="A6168" t="s">
        <v>4331</v>
      </c>
      <c r="B6168">
        <v>0</v>
      </c>
      <c r="C6168">
        <v>0</v>
      </c>
      <c r="D6168">
        <v>0</v>
      </c>
      <c r="E6168">
        <v>0</v>
      </c>
      <c r="F6168">
        <v>0</v>
      </c>
      <c r="G6168">
        <v>0</v>
      </c>
    </row>
    <row r="6169" spans="1:7" x14ac:dyDescent="0.2">
      <c r="A6169" t="s">
        <v>4332</v>
      </c>
      <c r="B6169">
        <v>0</v>
      </c>
      <c r="C6169">
        <v>0</v>
      </c>
      <c r="D6169">
        <v>0</v>
      </c>
      <c r="E6169">
        <v>0</v>
      </c>
      <c r="F6169">
        <v>0</v>
      </c>
      <c r="G6169">
        <v>0</v>
      </c>
    </row>
    <row r="6170" spans="1:7" x14ac:dyDescent="0.2">
      <c r="A6170" t="s">
        <v>4333</v>
      </c>
      <c r="B6170">
        <v>0</v>
      </c>
      <c r="C6170">
        <v>0</v>
      </c>
      <c r="D6170">
        <v>0</v>
      </c>
      <c r="E6170">
        <v>0</v>
      </c>
      <c r="F6170">
        <v>0</v>
      </c>
      <c r="G6170">
        <v>0</v>
      </c>
    </row>
    <row r="6171" spans="1:7" x14ac:dyDescent="0.2">
      <c r="A6171" t="s">
        <v>4334</v>
      </c>
      <c r="B6171">
        <v>0</v>
      </c>
      <c r="C6171">
        <v>0</v>
      </c>
      <c r="D6171">
        <v>0</v>
      </c>
      <c r="E6171">
        <v>0</v>
      </c>
      <c r="F6171">
        <v>0</v>
      </c>
      <c r="G6171">
        <v>0</v>
      </c>
    </row>
    <row r="6172" spans="1:7" x14ac:dyDescent="0.2">
      <c r="A6172" t="s">
        <v>4335</v>
      </c>
      <c r="B6172">
        <v>0</v>
      </c>
      <c r="C6172">
        <v>0</v>
      </c>
      <c r="D6172">
        <v>0</v>
      </c>
      <c r="E6172">
        <v>0</v>
      </c>
      <c r="F6172">
        <v>0</v>
      </c>
      <c r="G6172">
        <v>0</v>
      </c>
    </row>
    <row r="6173" spans="1:7" x14ac:dyDescent="0.2">
      <c r="A6173" t="s">
        <v>4336</v>
      </c>
      <c r="B6173">
        <v>0</v>
      </c>
      <c r="C6173">
        <v>0</v>
      </c>
      <c r="D6173">
        <v>0</v>
      </c>
      <c r="E6173">
        <v>0</v>
      </c>
      <c r="F6173">
        <v>0</v>
      </c>
      <c r="G6173">
        <v>0</v>
      </c>
    </row>
    <row r="6174" spans="1:7" x14ac:dyDescent="0.2">
      <c r="A6174" t="s">
        <v>4337</v>
      </c>
      <c r="B6174">
        <v>0</v>
      </c>
      <c r="C6174">
        <v>0</v>
      </c>
      <c r="D6174">
        <v>0</v>
      </c>
      <c r="E6174">
        <v>0</v>
      </c>
      <c r="F6174">
        <v>0</v>
      </c>
      <c r="G6174">
        <v>0</v>
      </c>
    </row>
    <row r="6175" spans="1:7" x14ac:dyDescent="0.2">
      <c r="A6175" t="s">
        <v>4338</v>
      </c>
      <c r="B6175">
        <v>0</v>
      </c>
      <c r="C6175">
        <v>0</v>
      </c>
      <c r="D6175">
        <v>0</v>
      </c>
      <c r="E6175">
        <v>0</v>
      </c>
      <c r="F6175">
        <v>0</v>
      </c>
      <c r="G6175">
        <v>0</v>
      </c>
    </row>
    <row r="6176" spans="1:7" x14ac:dyDescent="0.2">
      <c r="A6176" t="s">
        <v>4339</v>
      </c>
      <c r="B6176">
        <v>0</v>
      </c>
      <c r="C6176">
        <v>0</v>
      </c>
      <c r="D6176">
        <v>0</v>
      </c>
      <c r="E6176">
        <v>0</v>
      </c>
      <c r="F6176">
        <v>0</v>
      </c>
      <c r="G6176">
        <v>0</v>
      </c>
    </row>
    <row r="6177" spans="1:7" x14ac:dyDescent="0.2">
      <c r="A6177" t="s">
        <v>4340</v>
      </c>
      <c r="B6177">
        <v>0</v>
      </c>
      <c r="C6177">
        <v>0</v>
      </c>
      <c r="D6177">
        <v>0</v>
      </c>
      <c r="E6177">
        <v>0</v>
      </c>
      <c r="F6177">
        <v>0</v>
      </c>
      <c r="G6177">
        <v>0</v>
      </c>
    </row>
    <row r="6178" spans="1:7" x14ac:dyDescent="0.2">
      <c r="A6178" t="s">
        <v>4341</v>
      </c>
      <c r="B6178">
        <v>0</v>
      </c>
      <c r="C6178">
        <v>0</v>
      </c>
      <c r="D6178">
        <v>0</v>
      </c>
      <c r="E6178">
        <v>0</v>
      </c>
      <c r="F6178">
        <v>0</v>
      </c>
      <c r="G6178">
        <v>0</v>
      </c>
    </row>
    <row r="6179" spans="1:7" x14ac:dyDescent="0.2">
      <c r="A6179" t="s">
        <v>4342</v>
      </c>
      <c r="B6179">
        <v>0</v>
      </c>
      <c r="C6179">
        <v>0</v>
      </c>
      <c r="D6179">
        <v>0</v>
      </c>
      <c r="E6179">
        <v>0</v>
      </c>
      <c r="F6179">
        <v>0</v>
      </c>
      <c r="G6179">
        <v>0</v>
      </c>
    </row>
    <row r="6180" spans="1:7" x14ac:dyDescent="0.2">
      <c r="A6180" t="s">
        <v>4343</v>
      </c>
      <c r="B6180">
        <v>0</v>
      </c>
      <c r="C6180">
        <v>0</v>
      </c>
      <c r="D6180">
        <v>0</v>
      </c>
      <c r="E6180">
        <v>0</v>
      </c>
      <c r="F6180">
        <v>0</v>
      </c>
      <c r="G6180">
        <v>0</v>
      </c>
    </row>
    <row r="6181" spans="1:7" x14ac:dyDescent="0.2">
      <c r="A6181" t="s">
        <v>1728</v>
      </c>
      <c r="B6181">
        <v>0</v>
      </c>
      <c r="C6181">
        <v>0</v>
      </c>
      <c r="D6181">
        <v>0</v>
      </c>
      <c r="E6181">
        <v>0</v>
      </c>
      <c r="F6181">
        <v>0</v>
      </c>
      <c r="G6181">
        <v>0</v>
      </c>
    </row>
    <row r="6182" spans="1:7" x14ac:dyDescent="0.2">
      <c r="A6182" t="s">
        <v>1730</v>
      </c>
      <c r="B6182">
        <v>0</v>
      </c>
      <c r="C6182">
        <v>0</v>
      </c>
      <c r="D6182">
        <v>9</v>
      </c>
      <c r="E6182">
        <v>6</v>
      </c>
      <c r="F6182">
        <v>20</v>
      </c>
      <c r="G6182">
        <v>36</v>
      </c>
    </row>
    <row r="6183" spans="1:7" x14ac:dyDescent="0.2">
      <c r="A6183" t="s">
        <v>1733</v>
      </c>
      <c r="B6183">
        <v>0</v>
      </c>
      <c r="C6183">
        <v>0</v>
      </c>
      <c r="D6183">
        <v>0</v>
      </c>
      <c r="E6183">
        <v>0</v>
      </c>
      <c r="F6183">
        <v>0</v>
      </c>
      <c r="G6183">
        <v>0</v>
      </c>
    </row>
    <row r="6184" spans="1:7" x14ac:dyDescent="0.2">
      <c r="A6184" t="s">
        <v>1738</v>
      </c>
      <c r="B6184">
        <v>0</v>
      </c>
      <c r="C6184">
        <v>0</v>
      </c>
      <c r="D6184">
        <v>0</v>
      </c>
      <c r="E6184">
        <v>0</v>
      </c>
      <c r="F6184">
        <v>0</v>
      </c>
      <c r="G6184">
        <v>0</v>
      </c>
    </row>
    <row r="6185" spans="1:7" x14ac:dyDescent="0.2">
      <c r="A6185" t="s">
        <v>1744</v>
      </c>
      <c r="B6185">
        <v>0</v>
      </c>
      <c r="C6185">
        <v>0</v>
      </c>
      <c r="D6185">
        <v>0</v>
      </c>
      <c r="E6185">
        <v>0</v>
      </c>
      <c r="F6185">
        <v>0</v>
      </c>
      <c r="G6185">
        <v>0</v>
      </c>
    </row>
    <row r="6186" spans="1:7" x14ac:dyDescent="0.2">
      <c r="A6186" t="s">
        <v>1747</v>
      </c>
      <c r="B6186">
        <v>0</v>
      </c>
      <c r="C6186">
        <v>0</v>
      </c>
      <c r="D6186">
        <v>0</v>
      </c>
      <c r="E6186">
        <v>0</v>
      </c>
      <c r="F6186">
        <v>0</v>
      </c>
      <c r="G6186">
        <v>0</v>
      </c>
    </row>
    <row r="6187" spans="1:7" x14ac:dyDescent="0.2">
      <c r="A6187" t="s">
        <v>1751</v>
      </c>
      <c r="B6187">
        <v>0</v>
      </c>
      <c r="C6187">
        <v>0</v>
      </c>
      <c r="D6187">
        <v>0</v>
      </c>
      <c r="E6187">
        <v>0</v>
      </c>
      <c r="F6187">
        <v>0</v>
      </c>
      <c r="G6187">
        <v>0</v>
      </c>
    </row>
    <row r="6188" spans="1:7" x14ac:dyDescent="0.2">
      <c r="A6188" t="s">
        <v>1755</v>
      </c>
      <c r="B6188">
        <v>0</v>
      </c>
      <c r="C6188">
        <v>0</v>
      </c>
      <c r="D6188">
        <v>19</v>
      </c>
      <c r="E6188">
        <v>131</v>
      </c>
      <c r="F6188">
        <v>416</v>
      </c>
      <c r="G6188">
        <v>566</v>
      </c>
    </row>
    <row r="6189" spans="1:7" x14ac:dyDescent="0.2">
      <c r="A6189" t="s">
        <v>1757</v>
      </c>
      <c r="B6189">
        <v>0</v>
      </c>
      <c r="C6189">
        <v>0</v>
      </c>
      <c r="D6189">
        <v>37</v>
      </c>
      <c r="E6189">
        <v>123</v>
      </c>
      <c r="F6189">
        <v>459</v>
      </c>
      <c r="G6189">
        <v>619</v>
      </c>
    </row>
    <row r="6190" spans="1:7" x14ac:dyDescent="0.2">
      <c r="A6190" t="s">
        <v>1761</v>
      </c>
      <c r="B6190">
        <v>0</v>
      </c>
      <c r="C6190">
        <v>0</v>
      </c>
      <c r="D6190">
        <v>0</v>
      </c>
      <c r="E6190">
        <v>0</v>
      </c>
      <c r="F6190">
        <v>0</v>
      </c>
      <c r="G6190">
        <v>0</v>
      </c>
    </row>
    <row r="6191" spans="1:7" x14ac:dyDescent="0.2">
      <c r="A6191" t="s">
        <v>1764</v>
      </c>
      <c r="B6191">
        <v>0</v>
      </c>
      <c r="C6191">
        <v>0</v>
      </c>
      <c r="D6191">
        <v>0</v>
      </c>
      <c r="E6191">
        <v>0</v>
      </c>
      <c r="F6191">
        <v>0</v>
      </c>
      <c r="G6191">
        <v>0</v>
      </c>
    </row>
    <row r="6192" spans="1:7" x14ac:dyDescent="0.2">
      <c r="A6192" t="s">
        <v>1770</v>
      </c>
      <c r="B6192">
        <v>0</v>
      </c>
      <c r="C6192">
        <v>3</v>
      </c>
      <c r="D6192">
        <v>29</v>
      </c>
      <c r="E6192">
        <v>115</v>
      </c>
      <c r="F6192">
        <v>0</v>
      </c>
      <c r="G6192">
        <v>148</v>
      </c>
    </row>
    <row r="6193" spans="1:7" x14ac:dyDescent="0.2">
      <c r="A6193" t="s">
        <v>1772</v>
      </c>
      <c r="B6193">
        <v>0</v>
      </c>
      <c r="C6193">
        <v>0</v>
      </c>
      <c r="D6193">
        <v>10</v>
      </c>
      <c r="E6193">
        <v>51</v>
      </c>
      <c r="F6193">
        <v>0</v>
      </c>
      <c r="G6193">
        <v>61</v>
      </c>
    </row>
    <row r="6194" spans="1:7" x14ac:dyDescent="0.2">
      <c r="A6194" t="s">
        <v>1774</v>
      </c>
      <c r="B6194">
        <v>0</v>
      </c>
      <c r="C6194">
        <v>3</v>
      </c>
      <c r="D6194">
        <v>16</v>
      </c>
      <c r="E6194">
        <v>147</v>
      </c>
      <c r="F6194">
        <v>0</v>
      </c>
      <c r="G6194">
        <v>166</v>
      </c>
    </row>
    <row r="6195" spans="1:7" x14ac:dyDescent="0.2">
      <c r="A6195" t="s">
        <v>1777</v>
      </c>
      <c r="B6195">
        <v>0</v>
      </c>
      <c r="C6195">
        <v>0</v>
      </c>
      <c r="D6195">
        <v>0</v>
      </c>
      <c r="E6195">
        <v>0</v>
      </c>
      <c r="F6195">
        <v>0</v>
      </c>
      <c r="G6195">
        <v>0</v>
      </c>
    </row>
    <row r="6196" spans="1:7" x14ac:dyDescent="0.2">
      <c r="A6196" t="s">
        <v>1782</v>
      </c>
      <c r="B6196">
        <v>0</v>
      </c>
      <c r="C6196">
        <v>0</v>
      </c>
      <c r="D6196">
        <v>0</v>
      </c>
      <c r="E6196">
        <v>0</v>
      </c>
      <c r="F6196">
        <v>0</v>
      </c>
      <c r="G6196">
        <v>0</v>
      </c>
    </row>
    <row r="6197" spans="1:7" x14ac:dyDescent="0.2">
      <c r="A6197" t="s">
        <v>1274</v>
      </c>
      <c r="B6197">
        <v>0</v>
      </c>
      <c r="C6197">
        <v>0</v>
      </c>
      <c r="D6197">
        <v>0</v>
      </c>
      <c r="E6197">
        <v>891</v>
      </c>
      <c r="F6197">
        <v>14</v>
      </c>
      <c r="G6197">
        <v>905</v>
      </c>
    </row>
    <row r="6198" spans="1:7" x14ac:dyDescent="0.2">
      <c r="A6198" t="s">
        <v>1277</v>
      </c>
      <c r="B6198">
        <v>0</v>
      </c>
      <c r="C6198">
        <v>0</v>
      </c>
      <c r="D6198">
        <v>0</v>
      </c>
      <c r="E6198">
        <v>7355</v>
      </c>
      <c r="F6198">
        <v>413</v>
      </c>
      <c r="G6198">
        <v>7768</v>
      </c>
    </row>
    <row r="6199" spans="1:7" x14ac:dyDescent="0.2">
      <c r="A6199" t="s">
        <v>1798</v>
      </c>
      <c r="B6199">
        <v>0</v>
      </c>
      <c r="C6199">
        <v>0</v>
      </c>
      <c r="D6199">
        <v>0</v>
      </c>
      <c r="E6199">
        <v>0</v>
      </c>
      <c r="F6199">
        <v>6080</v>
      </c>
      <c r="G6199">
        <v>6080</v>
      </c>
    </row>
    <row r="6200" spans="1:7" x14ac:dyDescent="0.2">
      <c r="A6200" t="s">
        <v>1803</v>
      </c>
      <c r="B6200">
        <v>0</v>
      </c>
      <c r="C6200">
        <v>0</v>
      </c>
      <c r="D6200">
        <v>0</v>
      </c>
      <c r="E6200">
        <v>0</v>
      </c>
      <c r="F6200">
        <v>491</v>
      </c>
      <c r="G6200">
        <v>491</v>
      </c>
    </row>
    <row r="6201" spans="1:7" x14ac:dyDescent="0.2">
      <c r="A6201" t="s">
        <v>1808</v>
      </c>
      <c r="B6201">
        <v>0</v>
      </c>
      <c r="C6201">
        <v>0</v>
      </c>
      <c r="D6201">
        <v>0</v>
      </c>
      <c r="E6201">
        <v>0</v>
      </c>
      <c r="F6201">
        <v>425</v>
      </c>
      <c r="G6201">
        <v>425</v>
      </c>
    </row>
    <row r="6202" spans="1:7" x14ac:dyDescent="0.2">
      <c r="A6202" t="s">
        <v>1813</v>
      </c>
      <c r="B6202">
        <v>0</v>
      </c>
      <c r="C6202">
        <v>0</v>
      </c>
      <c r="D6202">
        <v>0</v>
      </c>
      <c r="E6202">
        <v>0</v>
      </c>
      <c r="F6202">
        <v>0</v>
      </c>
      <c r="G6202">
        <v>0</v>
      </c>
    </row>
    <row r="6203" spans="1:7" x14ac:dyDescent="0.2">
      <c r="A6203" t="s">
        <v>1819</v>
      </c>
      <c r="B6203">
        <v>0</v>
      </c>
      <c r="C6203">
        <v>0</v>
      </c>
      <c r="D6203">
        <v>0</v>
      </c>
      <c r="E6203">
        <v>2</v>
      </c>
      <c r="F6203">
        <v>0</v>
      </c>
      <c r="G6203">
        <v>2</v>
      </c>
    </row>
    <row r="6204" spans="1:7" x14ac:dyDescent="0.2">
      <c r="A6204" t="s">
        <v>1826</v>
      </c>
      <c r="B6204">
        <v>0</v>
      </c>
      <c r="C6204">
        <v>0</v>
      </c>
      <c r="D6204">
        <v>0</v>
      </c>
      <c r="E6204">
        <v>0</v>
      </c>
      <c r="F6204">
        <v>0</v>
      </c>
      <c r="G6204">
        <v>0</v>
      </c>
    </row>
    <row r="6205" spans="1:7" x14ac:dyDescent="0.2">
      <c r="A6205" t="s">
        <v>1830</v>
      </c>
      <c r="B6205">
        <v>0</v>
      </c>
      <c r="C6205">
        <v>0</v>
      </c>
      <c r="D6205">
        <v>0</v>
      </c>
      <c r="E6205">
        <v>0</v>
      </c>
      <c r="F6205">
        <v>0</v>
      </c>
      <c r="G6205">
        <v>0</v>
      </c>
    </row>
    <row r="6206" spans="1:7" x14ac:dyDescent="0.2">
      <c r="A6206" t="s">
        <v>1836</v>
      </c>
      <c r="B6206">
        <v>0</v>
      </c>
      <c r="C6206">
        <v>0</v>
      </c>
      <c r="D6206">
        <v>0</v>
      </c>
      <c r="E6206">
        <v>0</v>
      </c>
      <c r="F6206">
        <v>0</v>
      </c>
      <c r="G6206">
        <v>0</v>
      </c>
    </row>
    <row r="6207" spans="1:7" x14ac:dyDescent="0.2">
      <c r="A6207" t="s">
        <v>1841</v>
      </c>
      <c r="B6207">
        <v>0</v>
      </c>
      <c r="C6207">
        <v>0</v>
      </c>
      <c r="D6207">
        <v>29</v>
      </c>
      <c r="E6207">
        <v>522</v>
      </c>
      <c r="F6207">
        <v>0</v>
      </c>
      <c r="G6207">
        <v>550</v>
      </c>
    </row>
    <row r="6208" spans="1:7" x14ac:dyDescent="0.2">
      <c r="A6208" t="s">
        <v>1842</v>
      </c>
      <c r="B6208">
        <v>0</v>
      </c>
      <c r="C6208">
        <v>1</v>
      </c>
      <c r="D6208">
        <v>0</v>
      </c>
      <c r="E6208">
        <v>18</v>
      </c>
      <c r="F6208">
        <v>0</v>
      </c>
      <c r="G6208">
        <v>18</v>
      </c>
    </row>
    <row r="6209" spans="1:7" x14ac:dyDescent="0.2">
      <c r="A6209" t="s">
        <v>1843</v>
      </c>
      <c r="B6209">
        <v>0</v>
      </c>
      <c r="C6209">
        <v>0</v>
      </c>
      <c r="D6209">
        <v>0</v>
      </c>
      <c r="E6209">
        <v>0</v>
      </c>
      <c r="F6209">
        <v>0</v>
      </c>
      <c r="G6209">
        <v>0</v>
      </c>
    </row>
    <row r="6210" spans="1:7" x14ac:dyDescent="0.2">
      <c r="A6210" t="s">
        <v>1846</v>
      </c>
      <c r="B6210">
        <v>0</v>
      </c>
      <c r="C6210">
        <v>0</v>
      </c>
      <c r="D6210">
        <v>0</v>
      </c>
      <c r="E6210">
        <v>0</v>
      </c>
      <c r="F6210">
        <v>0</v>
      </c>
      <c r="G6210">
        <v>0</v>
      </c>
    </row>
    <row r="6211" spans="1:7" x14ac:dyDescent="0.2">
      <c r="A6211" t="s">
        <v>1851</v>
      </c>
      <c r="B6211">
        <v>0</v>
      </c>
      <c r="C6211">
        <v>0</v>
      </c>
      <c r="D6211">
        <v>0</v>
      </c>
      <c r="E6211">
        <v>6</v>
      </c>
      <c r="F6211">
        <v>1</v>
      </c>
      <c r="G6211">
        <v>7</v>
      </c>
    </row>
    <row r="6212" spans="1:7" x14ac:dyDescent="0.2">
      <c r="A6212" t="s">
        <v>1857</v>
      </c>
      <c r="B6212">
        <v>0</v>
      </c>
      <c r="C6212">
        <v>0</v>
      </c>
      <c r="D6212">
        <v>0</v>
      </c>
      <c r="E6212">
        <v>0</v>
      </c>
      <c r="F6212">
        <v>0</v>
      </c>
      <c r="G6212">
        <v>0</v>
      </c>
    </row>
    <row r="6213" spans="1:7" x14ac:dyDescent="0.2">
      <c r="A6213" t="s">
        <v>1862</v>
      </c>
      <c r="B6213">
        <v>0</v>
      </c>
      <c r="C6213">
        <v>0</v>
      </c>
      <c r="D6213">
        <v>0</v>
      </c>
      <c r="E6213">
        <v>0</v>
      </c>
      <c r="F6213">
        <v>0</v>
      </c>
      <c r="G6213">
        <v>0</v>
      </c>
    </row>
    <row r="6214" spans="1:7" x14ac:dyDescent="0.2">
      <c r="A6214" t="s">
        <v>1867</v>
      </c>
      <c r="B6214">
        <v>0</v>
      </c>
      <c r="C6214">
        <v>0</v>
      </c>
      <c r="D6214">
        <v>0</v>
      </c>
      <c r="E6214">
        <v>0</v>
      </c>
      <c r="F6214">
        <v>0</v>
      </c>
      <c r="G6214">
        <v>0</v>
      </c>
    </row>
    <row r="6215" spans="1:7" x14ac:dyDescent="0.2">
      <c r="A6215" t="s">
        <v>1870</v>
      </c>
      <c r="B6215">
        <v>0</v>
      </c>
      <c r="C6215">
        <v>0</v>
      </c>
      <c r="D6215">
        <v>0</v>
      </c>
      <c r="E6215">
        <v>0</v>
      </c>
      <c r="F6215">
        <v>0</v>
      </c>
      <c r="G6215">
        <v>0</v>
      </c>
    </row>
    <row r="6216" spans="1:7" x14ac:dyDescent="0.2">
      <c r="A6216" t="s">
        <v>1874</v>
      </c>
      <c r="B6216">
        <v>0</v>
      </c>
      <c r="C6216">
        <v>0</v>
      </c>
      <c r="D6216">
        <v>0</v>
      </c>
      <c r="E6216">
        <v>0</v>
      </c>
      <c r="F6216">
        <v>0</v>
      </c>
      <c r="G6216">
        <v>0</v>
      </c>
    </row>
    <row r="6217" spans="1:7" x14ac:dyDescent="0.2">
      <c r="A6217" t="s">
        <v>1876</v>
      </c>
      <c r="B6217">
        <v>0</v>
      </c>
      <c r="C6217">
        <v>0</v>
      </c>
      <c r="D6217">
        <v>0</v>
      </c>
      <c r="E6217">
        <v>0</v>
      </c>
      <c r="F6217">
        <v>0</v>
      </c>
      <c r="G6217">
        <v>0</v>
      </c>
    </row>
    <row r="6218" spans="1:7" x14ac:dyDescent="0.2">
      <c r="A6218" t="s">
        <v>1881</v>
      </c>
      <c r="B6218">
        <v>0</v>
      </c>
      <c r="C6218">
        <v>0</v>
      </c>
      <c r="D6218">
        <v>0</v>
      </c>
      <c r="E6218">
        <v>0</v>
      </c>
      <c r="F6218">
        <v>0</v>
      </c>
      <c r="G6218">
        <v>0</v>
      </c>
    </row>
    <row r="6219" spans="1:7" x14ac:dyDescent="0.2">
      <c r="A6219" t="s">
        <v>1885</v>
      </c>
      <c r="B6219">
        <v>0</v>
      </c>
      <c r="C6219">
        <v>10</v>
      </c>
      <c r="D6219">
        <v>0</v>
      </c>
      <c r="E6219">
        <v>33</v>
      </c>
      <c r="F6219">
        <v>1</v>
      </c>
      <c r="G6219">
        <v>44</v>
      </c>
    </row>
    <row r="6220" spans="1:7" x14ac:dyDescent="0.2">
      <c r="A6220" t="s">
        <v>1887</v>
      </c>
      <c r="B6220">
        <v>0</v>
      </c>
      <c r="C6220">
        <v>0</v>
      </c>
      <c r="D6220">
        <v>0</v>
      </c>
      <c r="E6220">
        <v>0</v>
      </c>
      <c r="F6220">
        <v>2</v>
      </c>
      <c r="G6220">
        <v>2</v>
      </c>
    </row>
    <row r="6221" spans="1:7" x14ac:dyDescent="0.2">
      <c r="A6221" t="s">
        <v>1893</v>
      </c>
      <c r="B6221">
        <v>0</v>
      </c>
      <c r="C6221">
        <v>0</v>
      </c>
      <c r="D6221">
        <v>0</v>
      </c>
      <c r="E6221">
        <v>17</v>
      </c>
      <c r="F6221">
        <v>4</v>
      </c>
      <c r="G6221">
        <v>22</v>
      </c>
    </row>
    <row r="6222" spans="1:7" x14ac:dyDescent="0.2">
      <c r="A6222" t="s">
        <v>1899</v>
      </c>
      <c r="B6222">
        <v>0</v>
      </c>
      <c r="C6222">
        <v>0</v>
      </c>
      <c r="D6222">
        <v>0</v>
      </c>
      <c r="E6222">
        <v>0</v>
      </c>
      <c r="F6222">
        <v>0</v>
      </c>
      <c r="G6222">
        <v>0</v>
      </c>
    </row>
    <row r="6223" spans="1:7" x14ac:dyDescent="0.2">
      <c r="A6223" t="s">
        <v>1906</v>
      </c>
      <c r="B6223">
        <v>0</v>
      </c>
      <c r="C6223">
        <v>0</v>
      </c>
      <c r="D6223">
        <v>0</v>
      </c>
      <c r="E6223">
        <v>0</v>
      </c>
      <c r="F6223">
        <v>0</v>
      </c>
      <c r="G6223">
        <v>0</v>
      </c>
    </row>
    <row r="6224" spans="1:7" x14ac:dyDescent="0.2">
      <c r="A6224" t="s">
        <v>1911</v>
      </c>
      <c r="B6224">
        <v>0</v>
      </c>
      <c r="C6224">
        <v>0</v>
      </c>
      <c r="D6224">
        <v>0</v>
      </c>
      <c r="E6224">
        <v>0</v>
      </c>
      <c r="F6224">
        <v>0</v>
      </c>
      <c r="G6224">
        <v>0</v>
      </c>
    </row>
    <row r="6225" spans="1:7" x14ac:dyDescent="0.2">
      <c r="A6225" t="s">
        <v>1917</v>
      </c>
      <c r="B6225">
        <v>0</v>
      </c>
      <c r="C6225">
        <v>0</v>
      </c>
      <c r="D6225">
        <v>0</v>
      </c>
      <c r="E6225">
        <v>0</v>
      </c>
      <c r="F6225">
        <v>0</v>
      </c>
      <c r="G6225">
        <v>0</v>
      </c>
    </row>
    <row r="6226" spans="1:7" x14ac:dyDescent="0.2">
      <c r="A6226" t="s">
        <v>1922</v>
      </c>
      <c r="B6226">
        <v>0</v>
      </c>
      <c r="C6226">
        <v>0</v>
      </c>
      <c r="D6226">
        <v>0</v>
      </c>
      <c r="E6226">
        <v>0</v>
      </c>
      <c r="F6226">
        <v>0</v>
      </c>
      <c r="G6226">
        <v>0</v>
      </c>
    </row>
    <row r="6227" spans="1:7" x14ac:dyDescent="0.2">
      <c r="A6227" t="s">
        <v>1928</v>
      </c>
      <c r="B6227">
        <v>0</v>
      </c>
      <c r="C6227">
        <v>0</v>
      </c>
      <c r="D6227">
        <v>0</v>
      </c>
      <c r="E6227">
        <v>0</v>
      </c>
      <c r="F6227">
        <v>0</v>
      </c>
      <c r="G6227">
        <v>0</v>
      </c>
    </row>
    <row r="6228" spans="1:7" x14ac:dyDescent="0.2">
      <c r="A6228" t="s">
        <v>1932</v>
      </c>
      <c r="B6228">
        <v>0</v>
      </c>
      <c r="C6228">
        <v>0</v>
      </c>
      <c r="D6228">
        <v>0</v>
      </c>
      <c r="E6228">
        <v>0</v>
      </c>
      <c r="F6228">
        <v>0</v>
      </c>
      <c r="G6228">
        <v>0</v>
      </c>
    </row>
    <row r="6229" spans="1:7" x14ac:dyDescent="0.2">
      <c r="A6229" t="s">
        <v>1938</v>
      </c>
      <c r="B6229">
        <v>0</v>
      </c>
      <c r="C6229">
        <v>0</v>
      </c>
      <c r="D6229">
        <v>0</v>
      </c>
      <c r="E6229">
        <v>0</v>
      </c>
      <c r="F6229">
        <v>0</v>
      </c>
      <c r="G6229">
        <v>0</v>
      </c>
    </row>
    <row r="6230" spans="1:7" x14ac:dyDescent="0.2">
      <c r="A6230" t="s">
        <v>1944</v>
      </c>
      <c r="B6230">
        <v>0</v>
      </c>
      <c r="C6230">
        <v>0</v>
      </c>
      <c r="D6230">
        <v>0</v>
      </c>
      <c r="E6230">
        <v>0</v>
      </c>
      <c r="F6230">
        <v>0</v>
      </c>
      <c r="G6230">
        <v>0</v>
      </c>
    </row>
    <row r="6231" spans="1:7" x14ac:dyDescent="0.2">
      <c r="A6231" t="s">
        <v>1947</v>
      </c>
      <c r="B6231">
        <v>0</v>
      </c>
      <c r="C6231">
        <v>0</v>
      </c>
      <c r="D6231">
        <v>0</v>
      </c>
      <c r="E6231">
        <v>0</v>
      </c>
      <c r="F6231">
        <v>0</v>
      </c>
      <c r="G6231">
        <v>0</v>
      </c>
    </row>
    <row r="6232" spans="1:7" x14ac:dyDescent="0.2">
      <c r="A6232" t="s">
        <v>1953</v>
      </c>
      <c r="B6232">
        <v>0</v>
      </c>
      <c r="C6232">
        <v>0</v>
      </c>
      <c r="D6232">
        <v>0</v>
      </c>
      <c r="E6232">
        <v>0</v>
      </c>
      <c r="F6232">
        <v>0</v>
      </c>
      <c r="G6232">
        <v>0</v>
      </c>
    </row>
    <row r="6233" spans="1:7" x14ac:dyDescent="0.2">
      <c r="A6233" t="s">
        <v>1958</v>
      </c>
      <c r="B6233">
        <v>0</v>
      </c>
      <c r="C6233">
        <v>0</v>
      </c>
      <c r="D6233">
        <v>0</v>
      </c>
      <c r="E6233">
        <v>0</v>
      </c>
      <c r="F6233">
        <v>0</v>
      </c>
      <c r="G6233">
        <v>0</v>
      </c>
    </row>
    <row r="6234" spans="1:7" x14ac:dyDescent="0.2">
      <c r="A6234" t="s">
        <v>1964</v>
      </c>
      <c r="B6234">
        <v>0</v>
      </c>
      <c r="C6234">
        <v>0</v>
      </c>
      <c r="D6234">
        <v>0</v>
      </c>
      <c r="E6234">
        <v>0</v>
      </c>
      <c r="F6234">
        <v>0</v>
      </c>
      <c r="G6234">
        <v>0</v>
      </c>
    </row>
    <row r="6235" spans="1:7" x14ac:dyDescent="0.2">
      <c r="A6235" t="s">
        <v>1973</v>
      </c>
      <c r="B6235">
        <v>0</v>
      </c>
      <c r="C6235">
        <v>0</v>
      </c>
      <c r="D6235">
        <v>0</v>
      </c>
      <c r="E6235">
        <v>0</v>
      </c>
      <c r="F6235">
        <v>0</v>
      </c>
      <c r="G6235">
        <v>0</v>
      </c>
    </row>
    <row r="6236" spans="1:7" x14ac:dyDescent="0.2">
      <c r="A6236" t="s">
        <v>1978</v>
      </c>
      <c r="B6236">
        <v>0</v>
      </c>
      <c r="C6236">
        <v>0</v>
      </c>
      <c r="D6236">
        <v>0</v>
      </c>
      <c r="E6236">
        <v>0</v>
      </c>
      <c r="F6236">
        <v>0</v>
      </c>
      <c r="G6236">
        <v>0</v>
      </c>
    </row>
    <row r="6237" spans="1:7" x14ac:dyDescent="0.2">
      <c r="A6237" t="s">
        <v>1983</v>
      </c>
      <c r="B6237">
        <v>0</v>
      </c>
      <c r="C6237">
        <v>0</v>
      </c>
      <c r="D6237">
        <v>0</v>
      </c>
      <c r="E6237">
        <v>0</v>
      </c>
      <c r="F6237">
        <v>0</v>
      </c>
      <c r="G6237">
        <v>0</v>
      </c>
    </row>
    <row r="6238" spans="1:7" x14ac:dyDescent="0.2">
      <c r="A6238" t="s">
        <v>1984</v>
      </c>
      <c r="B6238">
        <v>0</v>
      </c>
      <c r="C6238">
        <v>0</v>
      </c>
      <c r="D6238">
        <v>0</v>
      </c>
      <c r="E6238">
        <v>0</v>
      </c>
      <c r="F6238">
        <v>0</v>
      </c>
      <c r="G6238">
        <v>0</v>
      </c>
    </row>
    <row r="6239" spans="1:7" x14ac:dyDescent="0.2">
      <c r="A6239" t="s">
        <v>1990</v>
      </c>
      <c r="B6239">
        <v>0</v>
      </c>
      <c r="C6239">
        <v>0</v>
      </c>
      <c r="D6239">
        <v>0</v>
      </c>
      <c r="E6239">
        <v>0</v>
      </c>
      <c r="F6239">
        <v>0</v>
      </c>
      <c r="G6239">
        <v>0</v>
      </c>
    </row>
    <row r="6240" spans="1:7" x14ac:dyDescent="0.2">
      <c r="A6240" t="s">
        <v>1996</v>
      </c>
      <c r="B6240">
        <v>0</v>
      </c>
      <c r="C6240">
        <v>0</v>
      </c>
      <c r="D6240">
        <v>0</v>
      </c>
      <c r="E6240">
        <v>0</v>
      </c>
      <c r="F6240">
        <v>0</v>
      </c>
      <c r="G6240">
        <v>0</v>
      </c>
    </row>
    <row r="6241" spans="1:7" x14ac:dyDescent="0.2">
      <c r="A6241" t="s">
        <v>1998</v>
      </c>
      <c r="B6241">
        <v>0</v>
      </c>
      <c r="C6241">
        <v>0</v>
      </c>
      <c r="D6241">
        <v>0</v>
      </c>
      <c r="E6241">
        <v>0</v>
      </c>
      <c r="F6241">
        <v>0</v>
      </c>
      <c r="G6241">
        <v>0</v>
      </c>
    </row>
    <row r="6242" spans="1:7" x14ac:dyDescent="0.2">
      <c r="A6242" t="s">
        <v>1999</v>
      </c>
      <c r="B6242">
        <v>0</v>
      </c>
      <c r="C6242">
        <v>0</v>
      </c>
      <c r="D6242">
        <v>0</v>
      </c>
      <c r="E6242">
        <v>0</v>
      </c>
      <c r="F6242">
        <v>0</v>
      </c>
      <c r="G6242">
        <v>0</v>
      </c>
    </row>
    <row r="6243" spans="1:7" x14ac:dyDescent="0.2">
      <c r="A6243" t="s">
        <v>2004</v>
      </c>
      <c r="B6243">
        <v>0</v>
      </c>
      <c r="C6243">
        <v>0</v>
      </c>
      <c r="D6243">
        <v>0</v>
      </c>
      <c r="E6243">
        <v>0</v>
      </c>
      <c r="F6243">
        <v>0</v>
      </c>
      <c r="G6243">
        <v>0</v>
      </c>
    </row>
    <row r="6244" spans="1:7" x14ac:dyDescent="0.2">
      <c r="A6244" t="s">
        <v>2009</v>
      </c>
      <c r="B6244">
        <v>0</v>
      </c>
      <c r="C6244">
        <v>0</v>
      </c>
      <c r="D6244">
        <v>0</v>
      </c>
      <c r="E6244">
        <v>0</v>
      </c>
      <c r="F6244">
        <v>0</v>
      </c>
      <c r="G6244">
        <v>0</v>
      </c>
    </row>
    <row r="6245" spans="1:7" x14ac:dyDescent="0.2">
      <c r="A6245" t="s">
        <v>2014</v>
      </c>
      <c r="B6245">
        <v>0</v>
      </c>
      <c r="C6245">
        <v>0</v>
      </c>
      <c r="D6245">
        <v>0</v>
      </c>
      <c r="E6245">
        <v>0</v>
      </c>
      <c r="F6245">
        <v>0</v>
      </c>
      <c r="G6245">
        <v>0</v>
      </c>
    </row>
    <row r="6246" spans="1:7" x14ac:dyDescent="0.2">
      <c r="A6246" t="s">
        <v>2019</v>
      </c>
      <c r="B6246">
        <v>0</v>
      </c>
      <c r="C6246">
        <v>0</v>
      </c>
      <c r="D6246">
        <v>0</v>
      </c>
      <c r="E6246">
        <v>0</v>
      </c>
      <c r="F6246">
        <v>0</v>
      </c>
      <c r="G6246">
        <v>0</v>
      </c>
    </row>
    <row r="6247" spans="1:7" x14ac:dyDescent="0.2">
      <c r="A6247" t="s">
        <v>2023</v>
      </c>
      <c r="B6247">
        <v>0</v>
      </c>
      <c r="C6247">
        <v>0</v>
      </c>
      <c r="D6247">
        <v>0</v>
      </c>
      <c r="E6247">
        <v>0</v>
      </c>
      <c r="F6247">
        <v>0</v>
      </c>
      <c r="G6247">
        <v>0</v>
      </c>
    </row>
    <row r="6248" spans="1:7" x14ac:dyDescent="0.2">
      <c r="A6248" t="s">
        <v>2026</v>
      </c>
      <c r="B6248">
        <v>0</v>
      </c>
      <c r="C6248">
        <v>0</v>
      </c>
      <c r="D6248">
        <v>0</v>
      </c>
      <c r="E6248">
        <v>0</v>
      </c>
      <c r="F6248">
        <v>0</v>
      </c>
      <c r="G6248">
        <v>0</v>
      </c>
    </row>
    <row r="6249" spans="1:7" x14ac:dyDescent="0.2">
      <c r="A6249" t="s">
        <v>2030</v>
      </c>
      <c r="B6249">
        <v>0</v>
      </c>
      <c r="C6249">
        <v>0</v>
      </c>
      <c r="D6249">
        <v>0</v>
      </c>
      <c r="E6249">
        <v>0</v>
      </c>
      <c r="F6249">
        <v>0</v>
      </c>
      <c r="G6249">
        <v>0</v>
      </c>
    </row>
    <row r="6250" spans="1:7" x14ac:dyDescent="0.2">
      <c r="A6250" t="s">
        <v>2035</v>
      </c>
      <c r="B6250">
        <v>0</v>
      </c>
      <c r="C6250">
        <v>0</v>
      </c>
      <c r="D6250">
        <v>0</v>
      </c>
      <c r="E6250">
        <v>0</v>
      </c>
      <c r="F6250">
        <v>0</v>
      </c>
      <c r="G6250">
        <v>0</v>
      </c>
    </row>
    <row r="6251" spans="1:7" x14ac:dyDescent="0.2">
      <c r="A6251" t="s">
        <v>2040</v>
      </c>
      <c r="B6251">
        <v>0</v>
      </c>
      <c r="C6251">
        <v>0</v>
      </c>
      <c r="D6251">
        <v>0</v>
      </c>
      <c r="E6251">
        <v>0</v>
      </c>
      <c r="F6251">
        <v>0</v>
      </c>
      <c r="G6251">
        <v>0</v>
      </c>
    </row>
    <row r="6252" spans="1:7" x14ac:dyDescent="0.2">
      <c r="A6252" t="s">
        <v>2045</v>
      </c>
      <c r="B6252">
        <v>0</v>
      </c>
      <c r="C6252">
        <v>0</v>
      </c>
      <c r="D6252">
        <v>0</v>
      </c>
      <c r="E6252">
        <v>0</v>
      </c>
      <c r="F6252">
        <v>0</v>
      </c>
      <c r="G6252">
        <v>0</v>
      </c>
    </row>
    <row r="6253" spans="1:7" x14ac:dyDescent="0.2">
      <c r="A6253" t="s">
        <v>2049</v>
      </c>
      <c r="B6253">
        <v>0</v>
      </c>
      <c r="C6253">
        <v>0</v>
      </c>
      <c r="D6253">
        <v>484</v>
      </c>
      <c r="E6253">
        <v>0</v>
      </c>
      <c r="F6253">
        <v>0</v>
      </c>
      <c r="G6253">
        <v>484</v>
      </c>
    </row>
    <row r="6254" spans="1:7" x14ac:dyDescent="0.2">
      <c r="A6254" t="s">
        <v>2051</v>
      </c>
      <c r="B6254">
        <v>0</v>
      </c>
      <c r="C6254">
        <v>0</v>
      </c>
      <c r="D6254">
        <v>0</v>
      </c>
      <c r="E6254">
        <v>0</v>
      </c>
      <c r="F6254">
        <v>5</v>
      </c>
      <c r="G6254">
        <v>5</v>
      </c>
    </row>
    <row r="6255" spans="1:7" x14ac:dyDescent="0.2">
      <c r="A6255" t="s">
        <v>2057</v>
      </c>
      <c r="B6255">
        <v>0</v>
      </c>
      <c r="C6255">
        <v>0</v>
      </c>
      <c r="D6255">
        <v>0</v>
      </c>
      <c r="E6255">
        <v>0</v>
      </c>
      <c r="F6255">
        <v>9</v>
      </c>
      <c r="G6255">
        <v>9</v>
      </c>
    </row>
    <row r="6256" spans="1:7" x14ac:dyDescent="0.2">
      <c r="A6256" t="s">
        <v>4344</v>
      </c>
      <c r="B6256">
        <v>0</v>
      </c>
      <c r="C6256">
        <v>0</v>
      </c>
      <c r="D6256">
        <v>0</v>
      </c>
      <c r="E6256">
        <v>0</v>
      </c>
      <c r="F6256">
        <v>0</v>
      </c>
      <c r="G6256">
        <v>0</v>
      </c>
    </row>
    <row r="6257" spans="1:7" x14ac:dyDescent="0.2">
      <c r="A6257" t="s">
        <v>4345</v>
      </c>
      <c r="B6257">
        <v>0</v>
      </c>
      <c r="C6257">
        <v>0</v>
      </c>
      <c r="D6257">
        <v>0</v>
      </c>
      <c r="E6257">
        <v>1</v>
      </c>
      <c r="F6257">
        <v>7</v>
      </c>
      <c r="G6257">
        <v>8</v>
      </c>
    </row>
    <row r="6258" spans="1:7" x14ac:dyDescent="0.2">
      <c r="A6258" t="s">
        <v>2074</v>
      </c>
      <c r="B6258">
        <v>0</v>
      </c>
      <c r="C6258">
        <v>0</v>
      </c>
      <c r="D6258">
        <v>0</v>
      </c>
      <c r="E6258">
        <v>0</v>
      </c>
      <c r="F6258">
        <v>0</v>
      </c>
      <c r="G6258">
        <v>0</v>
      </c>
    </row>
    <row r="6259" spans="1:7" x14ac:dyDescent="0.2">
      <c r="A6259" t="s">
        <v>2079</v>
      </c>
      <c r="B6259">
        <v>0</v>
      </c>
      <c r="C6259">
        <v>0</v>
      </c>
      <c r="D6259">
        <v>0</v>
      </c>
      <c r="E6259">
        <v>0</v>
      </c>
      <c r="F6259">
        <v>0</v>
      </c>
      <c r="G6259">
        <v>0</v>
      </c>
    </row>
    <row r="6260" spans="1:7" x14ac:dyDescent="0.2">
      <c r="A6260" t="s">
        <v>2085</v>
      </c>
      <c r="B6260">
        <v>0</v>
      </c>
      <c r="C6260">
        <v>0</v>
      </c>
      <c r="D6260">
        <v>0</v>
      </c>
      <c r="E6260">
        <v>0</v>
      </c>
      <c r="F6260">
        <v>0</v>
      </c>
      <c r="G6260">
        <v>0</v>
      </c>
    </row>
    <row r="6261" spans="1:7" x14ac:dyDescent="0.2">
      <c r="A6261" t="s">
        <v>2091</v>
      </c>
      <c r="B6261">
        <v>0</v>
      </c>
      <c r="C6261">
        <v>0</v>
      </c>
      <c r="D6261">
        <v>0</v>
      </c>
      <c r="E6261">
        <v>0</v>
      </c>
      <c r="F6261">
        <v>0</v>
      </c>
      <c r="G6261">
        <v>0</v>
      </c>
    </row>
    <row r="6262" spans="1:7" x14ac:dyDescent="0.2">
      <c r="A6262" t="s">
        <v>2097</v>
      </c>
      <c r="B6262">
        <v>0</v>
      </c>
      <c r="C6262">
        <v>0</v>
      </c>
      <c r="D6262">
        <v>0</v>
      </c>
      <c r="E6262">
        <v>0</v>
      </c>
      <c r="F6262">
        <v>0</v>
      </c>
      <c r="G6262">
        <v>0</v>
      </c>
    </row>
    <row r="6263" spans="1:7" x14ac:dyDescent="0.2">
      <c r="A6263" t="s">
        <v>2101</v>
      </c>
      <c r="B6263">
        <v>0</v>
      </c>
      <c r="C6263">
        <v>0</v>
      </c>
      <c r="D6263">
        <v>0</v>
      </c>
      <c r="E6263">
        <v>0</v>
      </c>
      <c r="F6263">
        <v>0</v>
      </c>
      <c r="G6263">
        <v>0</v>
      </c>
    </row>
    <row r="6264" spans="1:7" x14ac:dyDescent="0.2">
      <c r="A6264" t="s">
        <v>2104</v>
      </c>
      <c r="B6264">
        <v>0</v>
      </c>
      <c r="C6264">
        <v>0</v>
      </c>
      <c r="D6264">
        <v>0</v>
      </c>
      <c r="E6264">
        <v>0</v>
      </c>
      <c r="F6264">
        <v>0</v>
      </c>
      <c r="G6264">
        <v>0</v>
      </c>
    </row>
    <row r="6265" spans="1:7" x14ac:dyDescent="0.2">
      <c r="A6265" t="s">
        <v>2107</v>
      </c>
      <c r="B6265">
        <v>0</v>
      </c>
      <c r="C6265">
        <v>0</v>
      </c>
      <c r="D6265">
        <v>0</v>
      </c>
      <c r="E6265">
        <v>0</v>
      </c>
      <c r="F6265">
        <v>0</v>
      </c>
      <c r="G6265">
        <v>0</v>
      </c>
    </row>
    <row r="6266" spans="1:7" x14ac:dyDescent="0.2">
      <c r="A6266" t="s">
        <v>2110</v>
      </c>
      <c r="B6266">
        <v>0</v>
      </c>
      <c r="C6266">
        <v>0</v>
      </c>
      <c r="D6266">
        <v>0</v>
      </c>
      <c r="E6266">
        <v>0</v>
      </c>
      <c r="F6266">
        <v>0</v>
      </c>
      <c r="G6266">
        <v>0</v>
      </c>
    </row>
    <row r="6267" spans="1:7" x14ac:dyDescent="0.2">
      <c r="A6267" t="s">
        <v>2113</v>
      </c>
      <c r="B6267">
        <v>0</v>
      </c>
      <c r="C6267">
        <v>0</v>
      </c>
      <c r="D6267">
        <v>0</v>
      </c>
      <c r="E6267">
        <v>0</v>
      </c>
      <c r="F6267">
        <v>0</v>
      </c>
      <c r="G6267">
        <v>0</v>
      </c>
    </row>
    <row r="6268" spans="1:7" x14ac:dyDescent="0.2">
      <c r="A6268" t="s">
        <v>4346</v>
      </c>
      <c r="B6268">
        <v>0</v>
      </c>
      <c r="C6268">
        <v>0</v>
      </c>
      <c r="D6268">
        <v>0</v>
      </c>
      <c r="E6268">
        <v>0</v>
      </c>
      <c r="F6268">
        <v>0</v>
      </c>
      <c r="G6268">
        <v>0</v>
      </c>
    </row>
    <row r="6269" spans="1:7" x14ac:dyDescent="0.2">
      <c r="A6269" t="s">
        <v>4347</v>
      </c>
      <c r="B6269">
        <v>0</v>
      </c>
      <c r="C6269">
        <v>0</v>
      </c>
      <c r="D6269">
        <v>0</v>
      </c>
      <c r="E6269">
        <v>0</v>
      </c>
      <c r="F6269">
        <v>0</v>
      </c>
      <c r="G6269">
        <v>0</v>
      </c>
    </row>
    <row r="6270" spans="1:7" x14ac:dyDescent="0.2">
      <c r="A6270" t="s">
        <v>4348</v>
      </c>
      <c r="B6270">
        <v>0</v>
      </c>
      <c r="C6270">
        <v>0</v>
      </c>
      <c r="D6270">
        <v>0</v>
      </c>
      <c r="E6270">
        <v>0</v>
      </c>
      <c r="F6270">
        <v>0</v>
      </c>
      <c r="G6270">
        <v>0</v>
      </c>
    </row>
    <row r="6271" spans="1:7" x14ac:dyDescent="0.2">
      <c r="A6271" t="s">
        <v>4349</v>
      </c>
      <c r="B6271">
        <v>0</v>
      </c>
      <c r="C6271">
        <v>0</v>
      </c>
      <c r="D6271">
        <v>0</v>
      </c>
      <c r="E6271">
        <v>0</v>
      </c>
      <c r="F6271">
        <v>0</v>
      </c>
      <c r="G6271">
        <v>0</v>
      </c>
    </row>
    <row r="6272" spans="1:7" x14ac:dyDescent="0.2">
      <c r="A6272" t="s">
        <v>4350</v>
      </c>
      <c r="B6272">
        <v>0</v>
      </c>
      <c r="C6272">
        <v>2</v>
      </c>
      <c r="D6272">
        <v>9</v>
      </c>
      <c r="E6272">
        <v>0</v>
      </c>
      <c r="F6272">
        <v>0</v>
      </c>
      <c r="G6272">
        <v>11</v>
      </c>
    </row>
    <row r="6273" spans="1:7" x14ac:dyDescent="0.2">
      <c r="A6273" t="s">
        <v>4351</v>
      </c>
      <c r="B6273">
        <v>0</v>
      </c>
      <c r="C6273">
        <v>0</v>
      </c>
      <c r="D6273">
        <v>0</v>
      </c>
      <c r="E6273">
        <v>0</v>
      </c>
      <c r="F6273">
        <v>0</v>
      </c>
      <c r="G6273">
        <v>0</v>
      </c>
    </row>
    <row r="6274" spans="1:7" x14ac:dyDescent="0.2">
      <c r="A6274" t="s">
        <v>4352</v>
      </c>
      <c r="B6274">
        <v>0</v>
      </c>
      <c r="C6274">
        <v>0</v>
      </c>
      <c r="D6274">
        <v>0</v>
      </c>
      <c r="E6274">
        <v>0</v>
      </c>
      <c r="F6274">
        <v>0</v>
      </c>
      <c r="G6274">
        <v>0</v>
      </c>
    </row>
    <row r="6275" spans="1:7" x14ac:dyDescent="0.2">
      <c r="A6275" t="s">
        <v>4353</v>
      </c>
      <c r="B6275">
        <v>1</v>
      </c>
      <c r="C6275">
        <v>68</v>
      </c>
      <c r="D6275">
        <v>23</v>
      </c>
      <c r="E6275">
        <v>3</v>
      </c>
      <c r="F6275">
        <v>0</v>
      </c>
      <c r="G6275">
        <v>94</v>
      </c>
    </row>
    <row r="6276" spans="1:7" x14ac:dyDescent="0.2">
      <c r="A6276" t="s">
        <v>4354</v>
      </c>
      <c r="B6276">
        <v>5</v>
      </c>
      <c r="C6276">
        <v>61</v>
      </c>
      <c r="D6276">
        <v>20</v>
      </c>
      <c r="E6276">
        <v>1</v>
      </c>
      <c r="F6276">
        <v>0</v>
      </c>
      <c r="G6276">
        <v>88</v>
      </c>
    </row>
    <row r="6277" spans="1:7" x14ac:dyDescent="0.2">
      <c r="A6277" t="s">
        <v>4355</v>
      </c>
      <c r="B6277">
        <v>0</v>
      </c>
      <c r="C6277">
        <v>0</v>
      </c>
      <c r="D6277">
        <v>0</v>
      </c>
      <c r="E6277">
        <v>0</v>
      </c>
      <c r="F6277">
        <v>0</v>
      </c>
      <c r="G6277">
        <v>0</v>
      </c>
    </row>
    <row r="6278" spans="1:7" x14ac:dyDescent="0.2">
      <c r="A6278" t="s">
        <v>4356</v>
      </c>
      <c r="B6278">
        <v>0</v>
      </c>
      <c r="C6278">
        <v>0</v>
      </c>
      <c r="D6278">
        <v>0</v>
      </c>
      <c r="E6278">
        <v>0</v>
      </c>
      <c r="F6278">
        <v>0</v>
      </c>
      <c r="G6278">
        <v>0</v>
      </c>
    </row>
    <row r="6279" spans="1:7" x14ac:dyDescent="0.2">
      <c r="A6279" t="s">
        <v>4357</v>
      </c>
      <c r="B6279">
        <v>0</v>
      </c>
      <c r="C6279">
        <v>0</v>
      </c>
      <c r="D6279">
        <v>0</v>
      </c>
      <c r="E6279">
        <v>0</v>
      </c>
      <c r="F6279">
        <v>0</v>
      </c>
      <c r="G6279">
        <v>0</v>
      </c>
    </row>
    <row r="6280" spans="1:7" x14ac:dyDescent="0.2">
      <c r="A6280" t="s">
        <v>4358</v>
      </c>
      <c r="B6280">
        <v>0</v>
      </c>
      <c r="C6280">
        <v>0</v>
      </c>
      <c r="D6280">
        <v>1</v>
      </c>
      <c r="E6280">
        <v>0</v>
      </c>
      <c r="F6280">
        <v>0</v>
      </c>
      <c r="G6280">
        <v>1</v>
      </c>
    </row>
    <row r="6281" spans="1:7" x14ac:dyDescent="0.2">
      <c r="A6281" t="s">
        <v>4359</v>
      </c>
      <c r="B6281">
        <v>0</v>
      </c>
      <c r="C6281">
        <v>0</v>
      </c>
      <c r="D6281">
        <v>0</v>
      </c>
      <c r="E6281">
        <v>0</v>
      </c>
      <c r="F6281">
        <v>0</v>
      </c>
      <c r="G6281">
        <v>0</v>
      </c>
    </row>
    <row r="6282" spans="1:7" x14ac:dyDescent="0.2">
      <c r="A6282" t="s">
        <v>4360</v>
      </c>
      <c r="B6282">
        <v>0</v>
      </c>
      <c r="C6282">
        <v>0</v>
      </c>
      <c r="D6282">
        <v>0</v>
      </c>
      <c r="E6282">
        <v>9</v>
      </c>
      <c r="F6282">
        <v>0</v>
      </c>
      <c r="G6282">
        <v>9</v>
      </c>
    </row>
    <row r="6283" spans="1:7" x14ac:dyDescent="0.2">
      <c r="A6283" t="s">
        <v>4361</v>
      </c>
      <c r="B6283">
        <v>0</v>
      </c>
      <c r="C6283">
        <v>0</v>
      </c>
      <c r="D6283">
        <v>79</v>
      </c>
      <c r="E6283">
        <v>2</v>
      </c>
      <c r="F6283">
        <v>0</v>
      </c>
      <c r="G6283">
        <v>81</v>
      </c>
    </row>
    <row r="6284" spans="1:7" x14ac:dyDescent="0.2">
      <c r="A6284" t="s">
        <v>4362</v>
      </c>
      <c r="B6284">
        <v>0</v>
      </c>
      <c r="C6284">
        <v>0</v>
      </c>
      <c r="D6284">
        <v>0</v>
      </c>
      <c r="E6284">
        <v>6</v>
      </c>
      <c r="F6284">
        <v>0</v>
      </c>
      <c r="G6284">
        <v>6</v>
      </c>
    </row>
    <row r="6285" spans="1:7" x14ac:dyDescent="0.2">
      <c r="A6285" t="s">
        <v>4363</v>
      </c>
      <c r="B6285">
        <v>0</v>
      </c>
      <c r="C6285">
        <v>0</v>
      </c>
      <c r="D6285">
        <v>0</v>
      </c>
      <c r="E6285">
        <v>0</v>
      </c>
      <c r="F6285">
        <v>0</v>
      </c>
      <c r="G6285">
        <v>0</v>
      </c>
    </row>
    <row r="6286" spans="1:7" x14ac:dyDescent="0.2">
      <c r="A6286" t="s">
        <v>4364</v>
      </c>
      <c r="B6286">
        <v>0</v>
      </c>
      <c r="C6286">
        <v>0</v>
      </c>
      <c r="D6286">
        <v>0</v>
      </c>
      <c r="E6286">
        <v>0</v>
      </c>
      <c r="F6286">
        <v>0</v>
      </c>
      <c r="G6286">
        <v>0</v>
      </c>
    </row>
    <row r="6287" spans="1:7" x14ac:dyDescent="0.2">
      <c r="A6287" t="s">
        <v>4365</v>
      </c>
      <c r="B6287">
        <v>0</v>
      </c>
      <c r="C6287">
        <v>23</v>
      </c>
      <c r="D6287">
        <v>13</v>
      </c>
      <c r="E6287">
        <v>0</v>
      </c>
      <c r="F6287">
        <v>0</v>
      </c>
      <c r="G6287">
        <v>36</v>
      </c>
    </row>
    <row r="6288" spans="1:7" x14ac:dyDescent="0.2">
      <c r="A6288" t="s">
        <v>4366</v>
      </c>
      <c r="B6288">
        <v>0</v>
      </c>
      <c r="C6288">
        <v>0</v>
      </c>
      <c r="D6288">
        <v>0</v>
      </c>
      <c r="E6288">
        <v>0</v>
      </c>
      <c r="F6288">
        <v>0</v>
      </c>
      <c r="G6288">
        <v>0</v>
      </c>
    </row>
    <row r="6289" spans="1:10" x14ac:dyDescent="0.2">
      <c r="A6289" t="s">
        <v>4367</v>
      </c>
      <c r="B6289">
        <v>0</v>
      </c>
      <c r="C6289">
        <v>0</v>
      </c>
      <c r="D6289">
        <v>0</v>
      </c>
      <c r="E6289">
        <v>0</v>
      </c>
      <c r="F6289">
        <v>0</v>
      </c>
      <c r="G6289">
        <v>0</v>
      </c>
    </row>
    <row r="6290" spans="1:10" x14ac:dyDescent="0.2">
      <c r="A6290" t="s">
        <v>4368</v>
      </c>
      <c r="B6290">
        <v>8</v>
      </c>
      <c r="C6290">
        <v>13</v>
      </c>
      <c r="D6290">
        <v>30</v>
      </c>
      <c r="E6290">
        <v>111</v>
      </c>
      <c r="F6290">
        <v>6</v>
      </c>
      <c r="G6290">
        <v>168</v>
      </c>
    </row>
    <row r="6291" spans="1:10" x14ac:dyDescent="0.2">
      <c r="A6291" t="s">
        <v>4369</v>
      </c>
      <c r="B6291">
        <v>5</v>
      </c>
      <c r="C6291">
        <v>64</v>
      </c>
      <c r="D6291">
        <v>104</v>
      </c>
      <c r="E6291">
        <v>69</v>
      </c>
      <c r="F6291">
        <v>0</v>
      </c>
      <c r="G6291">
        <v>242</v>
      </c>
    </row>
    <row r="6292" spans="1:10" x14ac:dyDescent="0.2">
      <c r="A6292" t="s">
        <v>4370</v>
      </c>
      <c r="B6292">
        <v>45</v>
      </c>
      <c r="C6292">
        <v>43</v>
      </c>
      <c r="D6292">
        <v>38</v>
      </c>
      <c r="E6292">
        <v>4</v>
      </c>
      <c r="F6292">
        <v>0</v>
      </c>
      <c r="G6292">
        <v>129</v>
      </c>
    </row>
    <row r="6293" spans="1:10" x14ac:dyDescent="0.2">
      <c r="A6293" t="s">
        <v>4371</v>
      </c>
      <c r="B6293">
        <v>10</v>
      </c>
      <c r="C6293">
        <v>14</v>
      </c>
      <c r="D6293">
        <v>20</v>
      </c>
      <c r="E6293">
        <v>3</v>
      </c>
      <c r="F6293">
        <v>0</v>
      </c>
      <c r="G6293">
        <v>47</v>
      </c>
    </row>
    <row r="6294" spans="1:10" x14ac:dyDescent="0.2">
      <c r="A6294" t="s">
        <v>4372</v>
      </c>
      <c r="B6294">
        <v>0</v>
      </c>
      <c r="C6294">
        <v>0</v>
      </c>
      <c r="D6294">
        <v>0</v>
      </c>
      <c r="E6294">
        <v>0</v>
      </c>
      <c r="F6294">
        <v>0</v>
      </c>
      <c r="G6294">
        <v>0</v>
      </c>
    </row>
    <row r="6295" spans="1:10" x14ac:dyDescent="0.2">
      <c r="A6295" t="s">
        <v>4373</v>
      </c>
      <c r="B6295">
        <v>0</v>
      </c>
      <c r="C6295">
        <v>2</v>
      </c>
      <c r="D6295">
        <v>0</v>
      </c>
      <c r="E6295">
        <v>0</v>
      </c>
      <c r="F6295">
        <v>0</v>
      </c>
      <c r="G6295">
        <v>2</v>
      </c>
    </row>
    <row r="6296" spans="1:10" x14ac:dyDescent="0.2">
      <c r="A6296" t="s">
        <v>4374</v>
      </c>
      <c r="B6296">
        <v>0</v>
      </c>
      <c r="C6296">
        <v>0</v>
      </c>
      <c r="D6296">
        <v>0</v>
      </c>
      <c r="E6296">
        <v>0</v>
      </c>
      <c r="F6296">
        <v>0</v>
      </c>
      <c r="G6296">
        <v>0</v>
      </c>
    </row>
    <row r="6297" spans="1:10" x14ac:dyDescent="0.2">
      <c r="A6297" t="s">
        <v>4375</v>
      </c>
      <c r="B6297">
        <v>1</v>
      </c>
      <c r="C6297">
        <v>0</v>
      </c>
      <c r="D6297">
        <v>3</v>
      </c>
      <c r="E6297">
        <v>0</v>
      </c>
      <c r="F6297">
        <v>0</v>
      </c>
      <c r="G6297">
        <v>4</v>
      </c>
    </row>
    <row r="6298" spans="1:10" x14ac:dyDescent="0.2">
      <c r="A6298" t="s">
        <v>4376</v>
      </c>
      <c r="B6298">
        <v>0</v>
      </c>
      <c r="C6298">
        <v>0</v>
      </c>
      <c r="D6298">
        <v>0</v>
      </c>
      <c r="E6298">
        <v>0</v>
      </c>
      <c r="F6298">
        <v>0</v>
      </c>
      <c r="G6298">
        <v>0</v>
      </c>
    </row>
    <row r="6299" spans="1:10" x14ac:dyDescent="0.2">
      <c r="A6299" t="s">
        <v>4377</v>
      </c>
      <c r="B6299">
        <v>0</v>
      </c>
      <c r="C6299">
        <v>0</v>
      </c>
      <c r="D6299">
        <v>0</v>
      </c>
      <c r="E6299">
        <v>0</v>
      </c>
      <c r="F6299">
        <v>0</v>
      </c>
      <c r="G6299">
        <v>0</v>
      </c>
    </row>
    <row r="6300" spans="1:10" x14ac:dyDescent="0.2">
      <c r="A6300" t="s">
        <v>2318</v>
      </c>
      <c r="B6300" t="s">
        <v>2319</v>
      </c>
      <c r="C6300" t="s">
        <v>2319</v>
      </c>
      <c r="D6300" t="s">
        <v>2319</v>
      </c>
      <c r="E6300" t="s">
        <v>2319</v>
      </c>
      <c r="F6300" t="s">
        <v>2319</v>
      </c>
      <c r="G6300" t="s">
        <v>2319</v>
      </c>
    </row>
    <row r="6301" spans="1:10" x14ac:dyDescent="0.2">
      <c r="A6301" t="s">
        <v>4248</v>
      </c>
      <c r="G6301">
        <f>SUM(G6102:G6299)</f>
        <v>20931</v>
      </c>
    </row>
    <row r="6302" spans="1:10" x14ac:dyDescent="0.2">
      <c r="A6302" t="s">
        <v>4250</v>
      </c>
      <c r="C6302" t="s">
        <v>4251</v>
      </c>
      <c r="G6302" t="s">
        <v>7531</v>
      </c>
      <c r="J6302"/>
    </row>
    <row r="6303" spans="1:10" x14ac:dyDescent="0.2">
      <c r="A6303" t="s">
        <v>4925</v>
      </c>
      <c r="G6303" t="s">
        <v>7541</v>
      </c>
      <c r="J6303"/>
    </row>
    <row r="6304" spans="1:10" x14ac:dyDescent="0.2">
      <c r="A6304" t="s">
        <v>7530</v>
      </c>
      <c r="J6304"/>
    </row>
    <row r="6305" spans="1:10" x14ac:dyDescent="0.2">
      <c r="A6305" t="s">
        <v>5016</v>
      </c>
      <c r="J6305"/>
    </row>
    <row r="6306" spans="1:10" x14ac:dyDescent="0.2">
      <c r="J6306"/>
    </row>
    <row r="6307" spans="1:10" x14ac:dyDescent="0.2">
      <c r="A6307" t="s">
        <v>4259</v>
      </c>
      <c r="J6307"/>
    </row>
    <row r="6308" spans="1:10" x14ac:dyDescent="0.2">
      <c r="A6308" t="s">
        <v>2318</v>
      </c>
      <c r="B6308" t="s">
        <v>2319</v>
      </c>
      <c r="C6308" t="s">
        <v>2319</v>
      </c>
      <c r="D6308" t="s">
        <v>2319</v>
      </c>
      <c r="E6308" t="s">
        <v>2319</v>
      </c>
      <c r="F6308" t="s">
        <v>2319</v>
      </c>
      <c r="G6308" t="s">
        <v>2319</v>
      </c>
    </row>
    <row r="6309" spans="1:10" x14ac:dyDescent="0.2">
      <c r="A6309" t="s">
        <v>174</v>
      </c>
      <c r="B6309" t="s">
        <v>4945</v>
      </c>
      <c r="C6309" t="s">
        <v>4946</v>
      </c>
      <c r="D6309" t="s">
        <v>4947</v>
      </c>
      <c r="E6309" t="s">
        <v>4948</v>
      </c>
      <c r="F6309" t="s">
        <v>4949</v>
      </c>
    </row>
    <row r="6310" spans="1:10" x14ac:dyDescent="0.2">
      <c r="A6310" t="s">
        <v>126</v>
      </c>
      <c r="B6310" t="s">
        <v>4262</v>
      </c>
      <c r="C6310" t="s">
        <v>4263</v>
      </c>
      <c r="D6310" t="s">
        <v>4264</v>
      </c>
      <c r="E6310" t="s">
        <v>2308</v>
      </c>
      <c r="F6310" t="s">
        <v>615</v>
      </c>
      <c r="G6310" t="s">
        <v>236</v>
      </c>
    </row>
    <row r="6311" spans="1:10" x14ac:dyDescent="0.2">
      <c r="A6311" t="s">
        <v>2318</v>
      </c>
      <c r="B6311" t="s">
        <v>2319</v>
      </c>
      <c r="C6311" t="s">
        <v>2319</v>
      </c>
      <c r="D6311" t="s">
        <v>2319</v>
      </c>
      <c r="E6311" t="s">
        <v>2319</v>
      </c>
      <c r="F6311" t="s">
        <v>2319</v>
      </c>
      <c r="G6311" t="s">
        <v>2319</v>
      </c>
    </row>
    <row r="6312" spans="1:10" x14ac:dyDescent="0.2">
      <c r="A6312" t="s">
        <v>4265</v>
      </c>
      <c r="B6312">
        <v>0</v>
      </c>
      <c r="C6312">
        <v>0</v>
      </c>
      <c r="D6312">
        <v>0</v>
      </c>
      <c r="E6312">
        <v>0</v>
      </c>
      <c r="F6312">
        <v>0</v>
      </c>
      <c r="G6312">
        <v>0</v>
      </c>
    </row>
    <row r="6313" spans="1:10" x14ac:dyDescent="0.2">
      <c r="A6313" t="s">
        <v>4266</v>
      </c>
      <c r="B6313">
        <v>0</v>
      </c>
      <c r="C6313">
        <v>0</v>
      </c>
      <c r="D6313">
        <v>0</v>
      </c>
      <c r="E6313">
        <v>0</v>
      </c>
      <c r="F6313">
        <v>0</v>
      </c>
      <c r="G6313">
        <v>0</v>
      </c>
    </row>
    <row r="6314" spans="1:10" x14ac:dyDescent="0.2">
      <c r="A6314" t="s">
        <v>4267</v>
      </c>
      <c r="B6314">
        <v>0</v>
      </c>
      <c r="C6314">
        <v>0</v>
      </c>
      <c r="D6314">
        <v>0</v>
      </c>
      <c r="E6314">
        <v>0</v>
      </c>
      <c r="F6314">
        <v>0</v>
      </c>
      <c r="G6314">
        <v>0</v>
      </c>
    </row>
    <row r="6315" spans="1:10" x14ac:dyDescent="0.2">
      <c r="A6315" t="s">
        <v>4268</v>
      </c>
      <c r="B6315">
        <v>0</v>
      </c>
      <c r="C6315">
        <v>0</v>
      </c>
      <c r="D6315">
        <v>0</v>
      </c>
      <c r="E6315">
        <v>0</v>
      </c>
      <c r="F6315">
        <v>0</v>
      </c>
      <c r="G6315">
        <v>0</v>
      </c>
    </row>
    <row r="6316" spans="1:10" x14ac:dyDescent="0.2">
      <c r="A6316" t="s">
        <v>4269</v>
      </c>
      <c r="B6316">
        <v>0</v>
      </c>
      <c r="C6316">
        <v>0</v>
      </c>
      <c r="D6316">
        <v>0</v>
      </c>
      <c r="E6316">
        <v>0</v>
      </c>
      <c r="F6316">
        <v>0</v>
      </c>
      <c r="G6316">
        <v>0</v>
      </c>
    </row>
    <row r="6317" spans="1:10" x14ac:dyDescent="0.2">
      <c r="A6317" t="s">
        <v>4270</v>
      </c>
      <c r="B6317">
        <v>0</v>
      </c>
      <c r="C6317">
        <v>0</v>
      </c>
      <c r="D6317">
        <v>0</v>
      </c>
      <c r="E6317">
        <v>0</v>
      </c>
      <c r="F6317">
        <v>0</v>
      </c>
      <c r="G6317">
        <v>0</v>
      </c>
    </row>
    <row r="6318" spans="1:10" x14ac:dyDescent="0.2">
      <c r="A6318" t="s">
        <v>4271</v>
      </c>
      <c r="B6318">
        <v>0</v>
      </c>
      <c r="C6318">
        <v>0</v>
      </c>
      <c r="D6318">
        <v>0</v>
      </c>
      <c r="E6318">
        <v>0</v>
      </c>
      <c r="F6318">
        <v>0</v>
      </c>
      <c r="G6318">
        <v>0</v>
      </c>
    </row>
    <row r="6319" spans="1:10" x14ac:dyDescent="0.2">
      <c r="A6319" t="s">
        <v>4272</v>
      </c>
      <c r="B6319">
        <v>0</v>
      </c>
      <c r="C6319">
        <v>0</v>
      </c>
      <c r="D6319">
        <v>0</v>
      </c>
      <c r="E6319">
        <v>0</v>
      </c>
      <c r="F6319">
        <v>0</v>
      </c>
      <c r="G6319">
        <v>0</v>
      </c>
    </row>
    <row r="6320" spans="1:10" x14ac:dyDescent="0.2">
      <c r="A6320" t="s">
        <v>4273</v>
      </c>
      <c r="B6320">
        <v>0</v>
      </c>
      <c r="C6320">
        <v>0</v>
      </c>
      <c r="D6320">
        <v>0</v>
      </c>
      <c r="E6320">
        <v>0</v>
      </c>
      <c r="F6320">
        <v>0</v>
      </c>
      <c r="G6320">
        <v>0</v>
      </c>
    </row>
    <row r="6321" spans="1:7" x14ac:dyDescent="0.2">
      <c r="A6321" t="s">
        <v>4274</v>
      </c>
      <c r="B6321">
        <v>0</v>
      </c>
      <c r="C6321">
        <v>0</v>
      </c>
      <c r="D6321">
        <v>0</v>
      </c>
      <c r="E6321">
        <v>0</v>
      </c>
      <c r="F6321">
        <v>0</v>
      </c>
      <c r="G6321">
        <v>0</v>
      </c>
    </row>
    <row r="6322" spans="1:7" x14ac:dyDescent="0.2">
      <c r="A6322" t="s">
        <v>4275</v>
      </c>
      <c r="B6322">
        <v>0</v>
      </c>
      <c r="C6322">
        <v>0</v>
      </c>
      <c r="D6322">
        <v>0</v>
      </c>
      <c r="E6322">
        <v>0</v>
      </c>
      <c r="F6322">
        <v>0</v>
      </c>
      <c r="G6322">
        <v>0</v>
      </c>
    </row>
    <row r="6323" spans="1:7" x14ac:dyDescent="0.2">
      <c r="A6323" t="s">
        <v>4276</v>
      </c>
      <c r="B6323">
        <v>0</v>
      </c>
      <c r="C6323">
        <v>0</v>
      </c>
      <c r="D6323">
        <v>0</v>
      </c>
      <c r="E6323">
        <v>0</v>
      </c>
      <c r="F6323">
        <v>0</v>
      </c>
      <c r="G6323">
        <v>0</v>
      </c>
    </row>
    <row r="6324" spans="1:7" x14ac:dyDescent="0.2">
      <c r="A6324" t="s">
        <v>4277</v>
      </c>
      <c r="B6324">
        <v>0</v>
      </c>
      <c r="C6324">
        <v>0</v>
      </c>
      <c r="D6324">
        <v>0</v>
      </c>
      <c r="E6324">
        <v>0</v>
      </c>
      <c r="F6324">
        <v>0</v>
      </c>
      <c r="G6324">
        <v>0</v>
      </c>
    </row>
    <row r="6325" spans="1:7" x14ac:dyDescent="0.2">
      <c r="A6325" t="s">
        <v>4278</v>
      </c>
      <c r="B6325">
        <v>0</v>
      </c>
      <c r="C6325">
        <v>0</v>
      </c>
      <c r="D6325">
        <v>0</v>
      </c>
      <c r="E6325">
        <v>0</v>
      </c>
      <c r="F6325">
        <v>0</v>
      </c>
      <c r="G6325">
        <v>0</v>
      </c>
    </row>
    <row r="6326" spans="1:7" x14ac:dyDescent="0.2">
      <c r="A6326" t="s">
        <v>4279</v>
      </c>
      <c r="B6326">
        <v>3</v>
      </c>
      <c r="C6326">
        <v>0</v>
      </c>
      <c r="D6326">
        <v>0</v>
      </c>
      <c r="E6326">
        <v>0</v>
      </c>
      <c r="F6326">
        <v>0</v>
      </c>
      <c r="G6326">
        <v>3</v>
      </c>
    </row>
    <row r="6327" spans="1:7" x14ac:dyDescent="0.2">
      <c r="A6327" t="s">
        <v>4280</v>
      </c>
      <c r="B6327">
        <v>0</v>
      </c>
      <c r="C6327">
        <v>0</v>
      </c>
      <c r="D6327">
        <v>0</v>
      </c>
      <c r="E6327">
        <v>0</v>
      </c>
      <c r="F6327">
        <v>0</v>
      </c>
      <c r="G6327">
        <v>0</v>
      </c>
    </row>
    <row r="6328" spans="1:7" x14ac:dyDescent="0.2">
      <c r="A6328" t="s">
        <v>4281</v>
      </c>
      <c r="B6328">
        <v>38</v>
      </c>
      <c r="C6328">
        <v>30</v>
      </c>
      <c r="D6328">
        <v>40</v>
      </c>
      <c r="E6328">
        <v>0</v>
      </c>
      <c r="F6328">
        <v>0</v>
      </c>
      <c r="G6328">
        <v>108</v>
      </c>
    </row>
    <row r="6329" spans="1:7" x14ac:dyDescent="0.2">
      <c r="A6329" t="s">
        <v>4282</v>
      </c>
      <c r="B6329">
        <v>12</v>
      </c>
      <c r="C6329">
        <v>16</v>
      </c>
      <c r="D6329">
        <v>5</v>
      </c>
      <c r="E6329">
        <v>0</v>
      </c>
      <c r="F6329">
        <v>0</v>
      </c>
      <c r="G6329">
        <v>34</v>
      </c>
    </row>
    <row r="6330" spans="1:7" x14ac:dyDescent="0.2">
      <c r="A6330" t="s">
        <v>4283</v>
      </c>
      <c r="B6330">
        <v>6</v>
      </c>
      <c r="C6330">
        <v>4</v>
      </c>
      <c r="D6330">
        <v>3</v>
      </c>
      <c r="E6330">
        <v>0</v>
      </c>
      <c r="F6330">
        <v>0</v>
      </c>
      <c r="G6330">
        <v>13</v>
      </c>
    </row>
    <row r="6331" spans="1:7" x14ac:dyDescent="0.2">
      <c r="A6331" t="s">
        <v>4284</v>
      </c>
      <c r="B6331">
        <v>0</v>
      </c>
      <c r="C6331">
        <v>0</v>
      </c>
      <c r="D6331">
        <v>0</v>
      </c>
      <c r="E6331">
        <v>0</v>
      </c>
      <c r="F6331">
        <v>0</v>
      </c>
      <c r="G6331">
        <v>0</v>
      </c>
    </row>
    <row r="6332" spans="1:7" x14ac:dyDescent="0.2">
      <c r="A6332" t="s">
        <v>4285</v>
      </c>
      <c r="B6332">
        <v>69</v>
      </c>
      <c r="C6332">
        <v>47</v>
      </c>
      <c r="D6332">
        <v>21</v>
      </c>
      <c r="E6332">
        <v>0</v>
      </c>
      <c r="F6332">
        <v>0</v>
      </c>
      <c r="G6332">
        <v>137</v>
      </c>
    </row>
    <row r="6333" spans="1:7" x14ac:dyDescent="0.2">
      <c r="A6333" t="s">
        <v>4286</v>
      </c>
      <c r="B6333">
        <v>2</v>
      </c>
      <c r="C6333">
        <v>1</v>
      </c>
      <c r="D6333">
        <v>1</v>
      </c>
      <c r="E6333">
        <v>0</v>
      </c>
      <c r="F6333">
        <v>0</v>
      </c>
      <c r="G6333">
        <v>4</v>
      </c>
    </row>
    <row r="6334" spans="1:7" x14ac:dyDescent="0.2">
      <c r="A6334" t="s">
        <v>4287</v>
      </c>
      <c r="B6334">
        <v>0</v>
      </c>
      <c r="C6334">
        <v>0</v>
      </c>
      <c r="D6334">
        <v>0</v>
      </c>
      <c r="E6334">
        <v>5</v>
      </c>
      <c r="F6334">
        <v>0</v>
      </c>
      <c r="G6334">
        <v>5</v>
      </c>
    </row>
    <row r="6335" spans="1:7" x14ac:dyDescent="0.2">
      <c r="A6335" t="s">
        <v>4288</v>
      </c>
      <c r="B6335">
        <v>0</v>
      </c>
      <c r="C6335">
        <v>0</v>
      </c>
      <c r="D6335">
        <v>0</v>
      </c>
      <c r="E6335">
        <v>0</v>
      </c>
      <c r="F6335">
        <v>0</v>
      </c>
      <c r="G6335">
        <v>0</v>
      </c>
    </row>
    <row r="6336" spans="1:7" x14ac:dyDescent="0.2">
      <c r="A6336" t="s">
        <v>4289</v>
      </c>
      <c r="B6336">
        <v>0</v>
      </c>
      <c r="C6336">
        <v>0</v>
      </c>
      <c r="D6336">
        <v>0</v>
      </c>
      <c r="E6336">
        <v>0</v>
      </c>
      <c r="F6336">
        <v>0</v>
      </c>
      <c r="G6336">
        <v>0</v>
      </c>
    </row>
    <row r="6337" spans="1:7" x14ac:dyDescent="0.2">
      <c r="A6337" t="s">
        <v>4290</v>
      </c>
      <c r="B6337">
        <v>0</v>
      </c>
      <c r="C6337">
        <v>0</v>
      </c>
      <c r="D6337">
        <v>0</v>
      </c>
      <c r="E6337">
        <v>0</v>
      </c>
      <c r="F6337">
        <v>0</v>
      </c>
      <c r="G6337">
        <v>0</v>
      </c>
    </row>
    <row r="6338" spans="1:7" x14ac:dyDescent="0.2">
      <c r="A6338" t="s">
        <v>4291</v>
      </c>
      <c r="B6338">
        <v>0</v>
      </c>
      <c r="C6338">
        <v>0</v>
      </c>
      <c r="D6338">
        <v>0</v>
      </c>
      <c r="E6338">
        <v>0</v>
      </c>
      <c r="F6338">
        <v>0</v>
      </c>
      <c r="G6338">
        <v>0</v>
      </c>
    </row>
    <row r="6339" spans="1:7" x14ac:dyDescent="0.2">
      <c r="A6339" t="s">
        <v>4292</v>
      </c>
      <c r="B6339">
        <v>0</v>
      </c>
      <c r="C6339">
        <v>0</v>
      </c>
      <c r="D6339">
        <v>0</v>
      </c>
      <c r="E6339">
        <v>0</v>
      </c>
      <c r="F6339">
        <v>0</v>
      </c>
      <c r="G6339">
        <v>0</v>
      </c>
    </row>
    <row r="6340" spans="1:7" x14ac:dyDescent="0.2">
      <c r="A6340" t="s">
        <v>4293</v>
      </c>
      <c r="B6340">
        <v>0</v>
      </c>
      <c r="C6340">
        <v>0</v>
      </c>
      <c r="D6340">
        <v>0</v>
      </c>
      <c r="E6340">
        <v>0</v>
      </c>
      <c r="F6340">
        <v>0</v>
      </c>
      <c r="G6340">
        <v>0</v>
      </c>
    </row>
    <row r="6341" spans="1:7" x14ac:dyDescent="0.2">
      <c r="A6341" t="s">
        <v>4294</v>
      </c>
      <c r="B6341">
        <v>0</v>
      </c>
      <c r="C6341">
        <v>0</v>
      </c>
      <c r="D6341">
        <v>0</v>
      </c>
      <c r="E6341">
        <v>0</v>
      </c>
      <c r="F6341">
        <v>0</v>
      </c>
      <c r="G6341">
        <v>0</v>
      </c>
    </row>
    <row r="6342" spans="1:7" x14ac:dyDescent="0.2">
      <c r="A6342" t="s">
        <v>4295</v>
      </c>
      <c r="B6342">
        <v>0</v>
      </c>
      <c r="C6342">
        <v>0</v>
      </c>
      <c r="D6342">
        <v>0</v>
      </c>
      <c r="E6342">
        <v>0</v>
      </c>
      <c r="F6342">
        <v>0</v>
      </c>
      <c r="G6342">
        <v>0</v>
      </c>
    </row>
    <row r="6343" spans="1:7" x14ac:dyDescent="0.2">
      <c r="A6343" t="s">
        <v>4296</v>
      </c>
      <c r="B6343">
        <v>0</v>
      </c>
      <c r="C6343">
        <v>0</v>
      </c>
      <c r="D6343">
        <v>0</v>
      </c>
      <c r="E6343">
        <v>0</v>
      </c>
      <c r="F6343">
        <v>0</v>
      </c>
      <c r="G6343">
        <v>0</v>
      </c>
    </row>
    <row r="6344" spans="1:7" x14ac:dyDescent="0.2">
      <c r="A6344" t="s">
        <v>4297</v>
      </c>
      <c r="B6344">
        <v>3</v>
      </c>
      <c r="C6344">
        <v>29</v>
      </c>
      <c r="D6344">
        <v>60</v>
      </c>
      <c r="E6344">
        <v>0</v>
      </c>
      <c r="F6344">
        <v>0</v>
      </c>
      <c r="G6344">
        <v>91</v>
      </c>
    </row>
    <row r="6345" spans="1:7" x14ac:dyDescent="0.2">
      <c r="A6345" t="s">
        <v>4298</v>
      </c>
      <c r="B6345">
        <v>3</v>
      </c>
      <c r="C6345">
        <v>22</v>
      </c>
      <c r="D6345">
        <v>10</v>
      </c>
      <c r="E6345">
        <v>0</v>
      </c>
      <c r="F6345">
        <v>0</v>
      </c>
      <c r="G6345">
        <v>35</v>
      </c>
    </row>
    <row r="6346" spans="1:7" x14ac:dyDescent="0.2">
      <c r="A6346" t="s">
        <v>4299</v>
      </c>
      <c r="B6346">
        <v>7</v>
      </c>
      <c r="C6346">
        <v>59</v>
      </c>
      <c r="D6346">
        <v>54</v>
      </c>
      <c r="E6346">
        <v>3</v>
      </c>
      <c r="F6346">
        <v>0</v>
      </c>
      <c r="G6346">
        <v>123</v>
      </c>
    </row>
    <row r="6347" spans="1:7" x14ac:dyDescent="0.2">
      <c r="A6347" t="s">
        <v>4300</v>
      </c>
      <c r="B6347">
        <v>0</v>
      </c>
      <c r="C6347">
        <v>1</v>
      </c>
      <c r="D6347">
        <v>1</v>
      </c>
      <c r="E6347">
        <v>0</v>
      </c>
      <c r="F6347">
        <v>0</v>
      </c>
      <c r="G6347" s="1259">
        <v>3</v>
      </c>
    </row>
    <row r="6348" spans="1:7" x14ac:dyDescent="0.2">
      <c r="A6348" t="s">
        <v>4301</v>
      </c>
      <c r="B6348">
        <v>0</v>
      </c>
      <c r="C6348">
        <v>224</v>
      </c>
      <c r="D6348">
        <v>235</v>
      </c>
      <c r="E6348">
        <v>25</v>
      </c>
      <c r="F6348">
        <v>0</v>
      </c>
      <c r="G6348">
        <v>484</v>
      </c>
    </row>
    <row r="6349" spans="1:7" x14ac:dyDescent="0.2">
      <c r="A6349" t="s">
        <v>4302</v>
      </c>
      <c r="B6349">
        <v>2</v>
      </c>
      <c r="C6349">
        <v>63</v>
      </c>
      <c r="D6349">
        <v>144</v>
      </c>
      <c r="E6349">
        <v>8</v>
      </c>
      <c r="F6349">
        <v>0</v>
      </c>
      <c r="G6349">
        <v>217</v>
      </c>
    </row>
    <row r="6350" spans="1:7" x14ac:dyDescent="0.2">
      <c r="A6350" t="s">
        <v>4303</v>
      </c>
      <c r="B6350">
        <v>2</v>
      </c>
      <c r="C6350">
        <v>57</v>
      </c>
      <c r="D6350">
        <v>188</v>
      </c>
      <c r="E6350">
        <v>6</v>
      </c>
      <c r="F6350">
        <v>0</v>
      </c>
      <c r="G6350" s="1259">
        <v>253</v>
      </c>
    </row>
    <row r="6351" spans="1:7" x14ac:dyDescent="0.2">
      <c r="A6351" t="s">
        <v>4304</v>
      </c>
      <c r="B6351">
        <v>0</v>
      </c>
      <c r="C6351">
        <v>21</v>
      </c>
      <c r="D6351">
        <v>119</v>
      </c>
      <c r="E6351">
        <v>0</v>
      </c>
      <c r="F6351">
        <v>0</v>
      </c>
      <c r="G6351">
        <v>140</v>
      </c>
    </row>
    <row r="6352" spans="1:7" x14ac:dyDescent="0.2">
      <c r="A6352" t="s">
        <v>4305</v>
      </c>
      <c r="B6352">
        <v>855</v>
      </c>
      <c r="C6352">
        <v>560</v>
      </c>
      <c r="D6352">
        <v>760</v>
      </c>
      <c r="E6352">
        <v>345</v>
      </c>
      <c r="F6352">
        <v>0</v>
      </c>
      <c r="G6352">
        <v>2520</v>
      </c>
    </row>
    <row r="6353" spans="1:7" x14ac:dyDescent="0.2">
      <c r="A6353" t="s">
        <v>4306</v>
      </c>
      <c r="B6353">
        <v>5</v>
      </c>
      <c r="C6353">
        <v>111</v>
      </c>
      <c r="D6353">
        <v>27</v>
      </c>
      <c r="E6353">
        <v>16</v>
      </c>
      <c r="F6353">
        <v>0</v>
      </c>
      <c r="G6353">
        <v>159</v>
      </c>
    </row>
    <row r="6354" spans="1:7" x14ac:dyDescent="0.2">
      <c r="A6354" t="s">
        <v>4307</v>
      </c>
      <c r="B6354">
        <v>32</v>
      </c>
      <c r="C6354">
        <v>341</v>
      </c>
      <c r="D6354">
        <v>1207</v>
      </c>
      <c r="E6354">
        <v>241</v>
      </c>
      <c r="F6354">
        <v>0</v>
      </c>
      <c r="G6354" s="1259">
        <v>1821</v>
      </c>
    </row>
    <row r="6355" spans="1:7" x14ac:dyDescent="0.2">
      <c r="A6355" t="s">
        <v>4308</v>
      </c>
      <c r="B6355">
        <v>0</v>
      </c>
      <c r="C6355">
        <v>0</v>
      </c>
      <c r="D6355">
        <v>3</v>
      </c>
      <c r="E6355">
        <v>3</v>
      </c>
      <c r="F6355">
        <v>0</v>
      </c>
      <c r="G6355">
        <v>6</v>
      </c>
    </row>
    <row r="6356" spans="1:7" x14ac:dyDescent="0.2">
      <c r="A6356" t="s">
        <v>4309</v>
      </c>
      <c r="B6356">
        <v>0</v>
      </c>
      <c r="C6356">
        <v>0</v>
      </c>
      <c r="D6356">
        <v>0</v>
      </c>
      <c r="E6356">
        <v>0</v>
      </c>
      <c r="F6356">
        <v>0</v>
      </c>
      <c r="G6356">
        <v>0</v>
      </c>
    </row>
    <row r="6357" spans="1:7" x14ac:dyDescent="0.2">
      <c r="A6357" t="s">
        <v>4310</v>
      </c>
      <c r="B6357">
        <v>0</v>
      </c>
      <c r="C6357">
        <v>0</v>
      </c>
      <c r="D6357">
        <v>0</v>
      </c>
      <c r="E6357">
        <v>0</v>
      </c>
      <c r="F6357">
        <v>0</v>
      </c>
      <c r="G6357">
        <v>0</v>
      </c>
    </row>
    <row r="6358" spans="1:7" x14ac:dyDescent="0.2">
      <c r="A6358" t="s">
        <v>4311</v>
      </c>
      <c r="B6358">
        <v>0</v>
      </c>
      <c r="C6358">
        <v>0</v>
      </c>
      <c r="D6358">
        <v>0</v>
      </c>
      <c r="E6358">
        <v>0</v>
      </c>
      <c r="F6358">
        <v>0</v>
      </c>
      <c r="G6358">
        <v>0</v>
      </c>
    </row>
    <row r="6359" spans="1:7" x14ac:dyDescent="0.2">
      <c r="A6359" t="s">
        <v>4312</v>
      </c>
      <c r="B6359">
        <v>0</v>
      </c>
      <c r="C6359">
        <v>0</v>
      </c>
      <c r="D6359">
        <v>0</v>
      </c>
      <c r="E6359">
        <v>0</v>
      </c>
      <c r="F6359">
        <v>0</v>
      </c>
      <c r="G6359">
        <v>0</v>
      </c>
    </row>
    <row r="6360" spans="1:7" x14ac:dyDescent="0.2">
      <c r="A6360" t="s">
        <v>4313</v>
      </c>
      <c r="B6360">
        <v>0</v>
      </c>
      <c r="C6360">
        <v>0</v>
      </c>
      <c r="D6360">
        <v>0</v>
      </c>
      <c r="E6360">
        <v>0</v>
      </c>
      <c r="F6360">
        <v>0</v>
      </c>
      <c r="G6360">
        <v>0</v>
      </c>
    </row>
    <row r="6361" spans="1:7" x14ac:dyDescent="0.2">
      <c r="A6361" t="s">
        <v>4314</v>
      </c>
      <c r="B6361">
        <v>0</v>
      </c>
      <c r="C6361">
        <v>0</v>
      </c>
      <c r="D6361">
        <v>0</v>
      </c>
      <c r="E6361">
        <v>0</v>
      </c>
      <c r="F6361">
        <v>0</v>
      </c>
      <c r="G6361">
        <v>0</v>
      </c>
    </row>
    <row r="6362" spans="1:7" x14ac:dyDescent="0.2">
      <c r="A6362" t="s">
        <v>4315</v>
      </c>
      <c r="B6362">
        <v>0</v>
      </c>
      <c r="C6362">
        <v>0</v>
      </c>
      <c r="D6362">
        <v>0</v>
      </c>
      <c r="E6362">
        <v>0</v>
      </c>
      <c r="F6362">
        <v>0</v>
      </c>
      <c r="G6362">
        <v>0</v>
      </c>
    </row>
    <row r="6363" spans="1:7" x14ac:dyDescent="0.2">
      <c r="A6363" t="s">
        <v>4316</v>
      </c>
      <c r="B6363">
        <v>0</v>
      </c>
      <c r="C6363">
        <v>0</v>
      </c>
      <c r="D6363">
        <v>0</v>
      </c>
      <c r="E6363">
        <v>0</v>
      </c>
      <c r="F6363">
        <v>0</v>
      </c>
      <c r="G6363">
        <v>0</v>
      </c>
    </row>
    <row r="6364" spans="1:7" x14ac:dyDescent="0.2">
      <c r="A6364" t="s">
        <v>4317</v>
      </c>
      <c r="B6364">
        <v>0</v>
      </c>
      <c r="C6364">
        <v>0</v>
      </c>
      <c r="D6364">
        <v>0</v>
      </c>
      <c r="E6364">
        <v>0</v>
      </c>
      <c r="F6364">
        <v>0</v>
      </c>
      <c r="G6364">
        <v>0</v>
      </c>
    </row>
    <row r="6365" spans="1:7" x14ac:dyDescent="0.2">
      <c r="A6365" t="s">
        <v>4318</v>
      </c>
      <c r="B6365">
        <v>0</v>
      </c>
      <c r="C6365">
        <v>0</v>
      </c>
      <c r="D6365">
        <v>0</v>
      </c>
      <c r="E6365">
        <v>0</v>
      </c>
      <c r="F6365">
        <v>0</v>
      </c>
      <c r="G6365">
        <v>0</v>
      </c>
    </row>
    <row r="6366" spans="1:7" x14ac:dyDescent="0.2">
      <c r="A6366" t="s">
        <v>4319</v>
      </c>
      <c r="B6366">
        <v>0</v>
      </c>
      <c r="C6366">
        <v>0</v>
      </c>
      <c r="D6366">
        <v>0</v>
      </c>
      <c r="E6366">
        <v>0</v>
      </c>
      <c r="F6366">
        <v>0</v>
      </c>
      <c r="G6366">
        <v>0</v>
      </c>
    </row>
    <row r="6367" spans="1:7" x14ac:dyDescent="0.2">
      <c r="A6367" t="s">
        <v>4320</v>
      </c>
      <c r="B6367">
        <v>0</v>
      </c>
      <c r="C6367">
        <v>0</v>
      </c>
      <c r="D6367">
        <v>0</v>
      </c>
      <c r="E6367">
        <v>0</v>
      </c>
      <c r="F6367">
        <v>0</v>
      </c>
      <c r="G6367">
        <v>0</v>
      </c>
    </row>
    <row r="6368" spans="1:7" x14ac:dyDescent="0.2">
      <c r="A6368" t="s">
        <v>4321</v>
      </c>
      <c r="B6368">
        <v>0</v>
      </c>
      <c r="C6368">
        <v>0</v>
      </c>
      <c r="D6368">
        <v>0</v>
      </c>
      <c r="E6368">
        <v>0</v>
      </c>
      <c r="F6368">
        <v>0</v>
      </c>
      <c r="G6368">
        <v>0</v>
      </c>
    </row>
    <row r="6369" spans="1:7" x14ac:dyDescent="0.2">
      <c r="A6369" t="s">
        <v>4322</v>
      </c>
      <c r="B6369">
        <v>0</v>
      </c>
      <c r="C6369">
        <v>0</v>
      </c>
      <c r="D6369">
        <v>0</v>
      </c>
      <c r="E6369">
        <v>0</v>
      </c>
      <c r="F6369">
        <v>0</v>
      </c>
      <c r="G6369">
        <v>0</v>
      </c>
    </row>
    <row r="6370" spans="1:7" x14ac:dyDescent="0.2">
      <c r="A6370" t="s">
        <v>4323</v>
      </c>
      <c r="B6370">
        <v>0</v>
      </c>
      <c r="C6370">
        <v>0</v>
      </c>
      <c r="D6370">
        <v>0</v>
      </c>
      <c r="E6370">
        <v>0</v>
      </c>
      <c r="F6370">
        <v>0</v>
      </c>
      <c r="G6370">
        <v>0</v>
      </c>
    </row>
    <row r="6371" spans="1:7" x14ac:dyDescent="0.2">
      <c r="A6371" t="s">
        <v>4324</v>
      </c>
      <c r="B6371">
        <v>0</v>
      </c>
      <c r="C6371">
        <v>0</v>
      </c>
      <c r="D6371">
        <v>0</v>
      </c>
      <c r="E6371">
        <v>0</v>
      </c>
      <c r="F6371">
        <v>0</v>
      </c>
      <c r="G6371">
        <v>0</v>
      </c>
    </row>
    <row r="6372" spans="1:7" x14ac:dyDescent="0.2">
      <c r="A6372" t="s">
        <v>4325</v>
      </c>
      <c r="B6372">
        <v>0</v>
      </c>
      <c r="C6372">
        <v>0</v>
      </c>
      <c r="D6372">
        <v>0</v>
      </c>
      <c r="E6372">
        <v>0</v>
      </c>
      <c r="F6372">
        <v>0</v>
      </c>
      <c r="G6372">
        <v>0</v>
      </c>
    </row>
    <row r="6373" spans="1:7" x14ac:dyDescent="0.2">
      <c r="A6373" t="s">
        <v>4326</v>
      </c>
      <c r="B6373">
        <v>0</v>
      </c>
      <c r="C6373">
        <v>0</v>
      </c>
      <c r="D6373">
        <v>0</v>
      </c>
      <c r="E6373">
        <v>0</v>
      </c>
      <c r="F6373">
        <v>0</v>
      </c>
      <c r="G6373">
        <v>0</v>
      </c>
    </row>
    <row r="6374" spans="1:7" x14ac:dyDescent="0.2">
      <c r="A6374" t="s">
        <v>4327</v>
      </c>
      <c r="B6374">
        <v>0</v>
      </c>
      <c r="C6374">
        <v>0</v>
      </c>
      <c r="D6374">
        <v>0</v>
      </c>
      <c r="E6374">
        <v>0</v>
      </c>
      <c r="F6374">
        <v>0</v>
      </c>
      <c r="G6374">
        <v>0</v>
      </c>
    </row>
    <row r="6375" spans="1:7" x14ac:dyDescent="0.2">
      <c r="A6375" t="s">
        <v>4328</v>
      </c>
      <c r="B6375">
        <v>0</v>
      </c>
      <c r="C6375">
        <v>0</v>
      </c>
      <c r="D6375">
        <v>0</v>
      </c>
      <c r="E6375">
        <v>0</v>
      </c>
      <c r="F6375">
        <v>0</v>
      </c>
      <c r="G6375">
        <v>0</v>
      </c>
    </row>
    <row r="6376" spans="1:7" x14ac:dyDescent="0.2">
      <c r="A6376" t="s">
        <v>4329</v>
      </c>
      <c r="B6376">
        <v>0</v>
      </c>
      <c r="C6376">
        <v>0</v>
      </c>
      <c r="D6376">
        <v>0</v>
      </c>
      <c r="E6376">
        <v>0</v>
      </c>
      <c r="F6376">
        <v>0</v>
      </c>
      <c r="G6376">
        <v>0</v>
      </c>
    </row>
    <row r="6377" spans="1:7" x14ac:dyDescent="0.2">
      <c r="A6377" t="s">
        <v>4330</v>
      </c>
      <c r="B6377">
        <v>0</v>
      </c>
      <c r="C6377">
        <v>0</v>
      </c>
      <c r="D6377">
        <v>0</v>
      </c>
      <c r="E6377">
        <v>0</v>
      </c>
      <c r="F6377">
        <v>0</v>
      </c>
      <c r="G6377">
        <v>0</v>
      </c>
    </row>
    <row r="6378" spans="1:7" x14ac:dyDescent="0.2">
      <c r="A6378" t="s">
        <v>4331</v>
      </c>
      <c r="B6378">
        <v>0</v>
      </c>
      <c r="C6378">
        <v>0</v>
      </c>
      <c r="D6378">
        <v>0</v>
      </c>
      <c r="E6378">
        <v>0</v>
      </c>
      <c r="F6378">
        <v>0</v>
      </c>
      <c r="G6378">
        <v>0</v>
      </c>
    </row>
    <row r="6379" spans="1:7" x14ac:dyDescent="0.2">
      <c r="A6379" t="s">
        <v>4332</v>
      </c>
      <c r="B6379">
        <v>0</v>
      </c>
      <c r="C6379">
        <v>0</v>
      </c>
      <c r="D6379">
        <v>0</v>
      </c>
      <c r="E6379">
        <v>0</v>
      </c>
      <c r="F6379">
        <v>0</v>
      </c>
      <c r="G6379">
        <v>0</v>
      </c>
    </row>
    <row r="6380" spans="1:7" x14ac:dyDescent="0.2">
      <c r="A6380" t="s">
        <v>4333</v>
      </c>
      <c r="B6380">
        <v>0</v>
      </c>
      <c r="C6380">
        <v>0</v>
      </c>
      <c r="D6380">
        <v>0</v>
      </c>
      <c r="E6380">
        <v>0</v>
      </c>
      <c r="F6380">
        <v>0</v>
      </c>
      <c r="G6380">
        <v>0</v>
      </c>
    </row>
    <row r="6381" spans="1:7" x14ac:dyDescent="0.2">
      <c r="A6381" t="s">
        <v>4334</v>
      </c>
      <c r="B6381">
        <v>0</v>
      </c>
      <c r="C6381">
        <v>0</v>
      </c>
      <c r="D6381">
        <v>0</v>
      </c>
      <c r="E6381">
        <v>0</v>
      </c>
      <c r="F6381">
        <v>0</v>
      </c>
      <c r="G6381">
        <v>0</v>
      </c>
    </row>
    <row r="6382" spans="1:7" x14ac:dyDescent="0.2">
      <c r="A6382" t="s">
        <v>4335</v>
      </c>
      <c r="B6382">
        <v>0</v>
      </c>
      <c r="C6382">
        <v>0</v>
      </c>
      <c r="D6382">
        <v>0</v>
      </c>
      <c r="E6382">
        <v>0</v>
      </c>
      <c r="F6382">
        <v>0</v>
      </c>
      <c r="G6382">
        <v>0</v>
      </c>
    </row>
    <row r="6383" spans="1:7" x14ac:dyDescent="0.2">
      <c r="A6383" t="s">
        <v>4336</v>
      </c>
      <c r="B6383">
        <v>0</v>
      </c>
      <c r="C6383">
        <v>0</v>
      </c>
      <c r="D6383">
        <v>0</v>
      </c>
      <c r="E6383">
        <v>0</v>
      </c>
      <c r="F6383">
        <v>0</v>
      </c>
      <c r="G6383">
        <v>0</v>
      </c>
    </row>
    <row r="6384" spans="1:7" x14ac:dyDescent="0.2">
      <c r="A6384" t="s">
        <v>4337</v>
      </c>
      <c r="B6384">
        <v>0</v>
      </c>
      <c r="C6384">
        <v>0</v>
      </c>
      <c r="D6384">
        <v>0</v>
      </c>
      <c r="E6384">
        <v>0</v>
      </c>
      <c r="F6384">
        <v>0</v>
      </c>
      <c r="G6384">
        <v>0</v>
      </c>
    </row>
    <row r="6385" spans="1:7" x14ac:dyDescent="0.2">
      <c r="A6385" t="s">
        <v>4338</v>
      </c>
      <c r="B6385">
        <v>0</v>
      </c>
      <c r="C6385">
        <v>0</v>
      </c>
      <c r="D6385">
        <v>0</v>
      </c>
      <c r="E6385">
        <v>0</v>
      </c>
      <c r="F6385">
        <v>0</v>
      </c>
      <c r="G6385">
        <v>0</v>
      </c>
    </row>
    <row r="6386" spans="1:7" x14ac:dyDescent="0.2">
      <c r="A6386" t="s">
        <v>4339</v>
      </c>
      <c r="B6386">
        <v>0</v>
      </c>
      <c r="C6386">
        <v>0</v>
      </c>
      <c r="D6386">
        <v>0</v>
      </c>
      <c r="E6386">
        <v>0</v>
      </c>
      <c r="F6386">
        <v>0</v>
      </c>
      <c r="G6386">
        <v>0</v>
      </c>
    </row>
    <row r="6387" spans="1:7" x14ac:dyDescent="0.2">
      <c r="A6387" t="s">
        <v>4340</v>
      </c>
      <c r="B6387">
        <v>0</v>
      </c>
      <c r="C6387">
        <v>0</v>
      </c>
      <c r="D6387">
        <v>0</v>
      </c>
      <c r="E6387">
        <v>0</v>
      </c>
      <c r="F6387">
        <v>0</v>
      </c>
      <c r="G6387">
        <v>0</v>
      </c>
    </row>
    <row r="6388" spans="1:7" x14ac:dyDescent="0.2">
      <c r="A6388" t="s">
        <v>4341</v>
      </c>
      <c r="B6388">
        <v>0</v>
      </c>
      <c r="C6388">
        <v>0</v>
      </c>
      <c r="D6388">
        <v>0</v>
      </c>
      <c r="E6388">
        <v>0</v>
      </c>
      <c r="F6388">
        <v>0</v>
      </c>
      <c r="G6388">
        <v>0</v>
      </c>
    </row>
    <row r="6389" spans="1:7" x14ac:dyDescent="0.2">
      <c r="A6389" t="s">
        <v>4342</v>
      </c>
      <c r="B6389">
        <v>0</v>
      </c>
      <c r="C6389">
        <v>0</v>
      </c>
      <c r="D6389">
        <v>0</v>
      </c>
      <c r="E6389">
        <v>0</v>
      </c>
      <c r="F6389">
        <v>0</v>
      </c>
      <c r="G6389">
        <v>0</v>
      </c>
    </row>
    <row r="6390" spans="1:7" x14ac:dyDescent="0.2">
      <c r="A6390" t="s">
        <v>4343</v>
      </c>
      <c r="B6390">
        <v>0</v>
      </c>
      <c r="C6390">
        <v>0</v>
      </c>
      <c r="D6390">
        <v>0</v>
      </c>
      <c r="E6390">
        <v>0</v>
      </c>
      <c r="F6390">
        <v>0</v>
      </c>
      <c r="G6390">
        <v>0</v>
      </c>
    </row>
    <row r="6391" spans="1:7" x14ac:dyDescent="0.2">
      <c r="A6391" t="s">
        <v>1728</v>
      </c>
      <c r="B6391">
        <v>0</v>
      </c>
      <c r="C6391">
        <v>0</v>
      </c>
      <c r="D6391">
        <v>0</v>
      </c>
      <c r="E6391">
        <v>0</v>
      </c>
      <c r="F6391">
        <v>0</v>
      </c>
      <c r="G6391">
        <v>0</v>
      </c>
    </row>
    <row r="6392" spans="1:7" x14ac:dyDescent="0.2">
      <c r="A6392" t="s">
        <v>1730</v>
      </c>
      <c r="B6392">
        <v>0</v>
      </c>
      <c r="C6392">
        <v>1</v>
      </c>
      <c r="D6392">
        <v>17</v>
      </c>
      <c r="E6392">
        <v>10</v>
      </c>
      <c r="F6392">
        <v>31</v>
      </c>
      <c r="G6392">
        <v>60</v>
      </c>
    </row>
    <row r="6393" spans="1:7" x14ac:dyDescent="0.2">
      <c r="A6393" t="s">
        <v>1733</v>
      </c>
      <c r="B6393">
        <v>0</v>
      </c>
      <c r="C6393">
        <v>0</v>
      </c>
      <c r="D6393">
        <v>0</v>
      </c>
      <c r="E6393">
        <v>0</v>
      </c>
      <c r="F6393">
        <v>0</v>
      </c>
      <c r="G6393">
        <v>0</v>
      </c>
    </row>
    <row r="6394" spans="1:7" x14ac:dyDescent="0.2">
      <c r="A6394" t="s">
        <v>1738</v>
      </c>
      <c r="B6394">
        <v>0</v>
      </c>
      <c r="C6394">
        <v>0</v>
      </c>
      <c r="D6394">
        <v>0</v>
      </c>
      <c r="E6394">
        <v>0</v>
      </c>
      <c r="F6394">
        <v>0</v>
      </c>
      <c r="G6394">
        <v>0</v>
      </c>
    </row>
    <row r="6395" spans="1:7" x14ac:dyDescent="0.2">
      <c r="A6395" t="s">
        <v>1744</v>
      </c>
      <c r="B6395">
        <v>0</v>
      </c>
      <c r="C6395">
        <v>0</v>
      </c>
      <c r="D6395">
        <v>0</v>
      </c>
      <c r="E6395">
        <v>0</v>
      </c>
      <c r="F6395">
        <v>0</v>
      </c>
      <c r="G6395">
        <v>0</v>
      </c>
    </row>
    <row r="6396" spans="1:7" x14ac:dyDescent="0.2">
      <c r="A6396" t="s">
        <v>1747</v>
      </c>
      <c r="B6396">
        <v>0</v>
      </c>
      <c r="C6396">
        <v>0</v>
      </c>
      <c r="D6396">
        <v>0</v>
      </c>
      <c r="E6396">
        <v>0</v>
      </c>
      <c r="F6396">
        <v>0</v>
      </c>
      <c r="G6396">
        <v>0</v>
      </c>
    </row>
    <row r="6397" spans="1:7" x14ac:dyDescent="0.2">
      <c r="A6397" t="s">
        <v>1751</v>
      </c>
      <c r="B6397">
        <v>0</v>
      </c>
      <c r="C6397">
        <v>0</v>
      </c>
      <c r="D6397">
        <v>0</v>
      </c>
      <c r="E6397">
        <v>0</v>
      </c>
      <c r="F6397">
        <v>0</v>
      </c>
      <c r="G6397">
        <v>0</v>
      </c>
    </row>
    <row r="6398" spans="1:7" x14ac:dyDescent="0.2">
      <c r="A6398" t="s">
        <v>1755</v>
      </c>
      <c r="B6398">
        <v>0</v>
      </c>
      <c r="C6398">
        <v>0</v>
      </c>
      <c r="D6398">
        <v>38</v>
      </c>
      <c r="E6398">
        <v>519</v>
      </c>
      <c r="F6398">
        <v>813</v>
      </c>
      <c r="G6398">
        <v>1369</v>
      </c>
    </row>
    <row r="6399" spans="1:7" x14ac:dyDescent="0.2">
      <c r="A6399" t="s">
        <v>1757</v>
      </c>
      <c r="B6399">
        <v>0</v>
      </c>
      <c r="C6399">
        <v>0</v>
      </c>
      <c r="D6399">
        <v>70</v>
      </c>
      <c r="E6399">
        <v>214</v>
      </c>
      <c r="F6399">
        <v>713</v>
      </c>
      <c r="G6399">
        <v>996</v>
      </c>
    </row>
    <row r="6400" spans="1:7" x14ac:dyDescent="0.2">
      <c r="A6400" t="s">
        <v>1761</v>
      </c>
      <c r="B6400">
        <v>0</v>
      </c>
      <c r="C6400">
        <v>0</v>
      </c>
      <c r="D6400">
        <v>0</v>
      </c>
      <c r="E6400">
        <v>0</v>
      </c>
      <c r="F6400">
        <v>0</v>
      </c>
      <c r="G6400">
        <v>0</v>
      </c>
    </row>
    <row r="6401" spans="1:7" x14ac:dyDescent="0.2">
      <c r="A6401" t="s">
        <v>1764</v>
      </c>
      <c r="B6401">
        <v>0</v>
      </c>
      <c r="C6401">
        <v>0</v>
      </c>
      <c r="D6401">
        <v>0</v>
      </c>
      <c r="E6401">
        <v>0</v>
      </c>
      <c r="F6401">
        <v>0</v>
      </c>
      <c r="G6401">
        <v>0</v>
      </c>
    </row>
    <row r="6402" spans="1:7" x14ac:dyDescent="0.2">
      <c r="A6402" t="s">
        <v>1770</v>
      </c>
      <c r="B6402">
        <v>1</v>
      </c>
      <c r="C6402">
        <v>48</v>
      </c>
      <c r="D6402">
        <v>384</v>
      </c>
      <c r="E6402">
        <v>1422</v>
      </c>
      <c r="F6402">
        <v>0</v>
      </c>
      <c r="G6402">
        <v>1855</v>
      </c>
    </row>
    <row r="6403" spans="1:7" x14ac:dyDescent="0.2">
      <c r="A6403" t="s">
        <v>1772</v>
      </c>
      <c r="B6403">
        <v>0</v>
      </c>
      <c r="C6403">
        <v>5</v>
      </c>
      <c r="D6403">
        <v>128</v>
      </c>
      <c r="E6403">
        <v>635</v>
      </c>
      <c r="F6403">
        <v>0</v>
      </c>
      <c r="G6403">
        <v>769</v>
      </c>
    </row>
    <row r="6404" spans="1:7" x14ac:dyDescent="0.2">
      <c r="A6404" t="s">
        <v>1774</v>
      </c>
      <c r="B6404">
        <v>0</v>
      </c>
      <c r="C6404">
        <v>40</v>
      </c>
      <c r="D6404">
        <v>191</v>
      </c>
      <c r="E6404">
        <v>1612</v>
      </c>
      <c r="F6404">
        <v>0</v>
      </c>
      <c r="G6404">
        <v>1843</v>
      </c>
    </row>
    <row r="6405" spans="1:7" x14ac:dyDescent="0.2">
      <c r="A6405" t="s">
        <v>1777</v>
      </c>
      <c r="B6405">
        <v>0</v>
      </c>
      <c r="C6405">
        <v>0</v>
      </c>
      <c r="D6405">
        <v>0</v>
      </c>
      <c r="E6405">
        <v>0</v>
      </c>
      <c r="F6405">
        <v>0</v>
      </c>
      <c r="G6405">
        <v>0</v>
      </c>
    </row>
    <row r="6406" spans="1:7" x14ac:dyDescent="0.2">
      <c r="A6406" t="s">
        <v>1782</v>
      </c>
      <c r="B6406">
        <v>0</v>
      </c>
      <c r="C6406">
        <v>0</v>
      </c>
      <c r="D6406">
        <v>0</v>
      </c>
      <c r="E6406">
        <v>0</v>
      </c>
      <c r="F6406">
        <v>0</v>
      </c>
      <c r="G6406">
        <v>0</v>
      </c>
    </row>
    <row r="6407" spans="1:7" x14ac:dyDescent="0.2">
      <c r="A6407" t="s">
        <v>1274</v>
      </c>
      <c r="B6407">
        <v>0</v>
      </c>
      <c r="C6407">
        <v>0</v>
      </c>
      <c r="D6407">
        <v>0</v>
      </c>
      <c r="E6407">
        <v>1697</v>
      </c>
      <c r="F6407">
        <v>24</v>
      </c>
      <c r="G6407">
        <v>1721</v>
      </c>
    </row>
    <row r="6408" spans="1:7" x14ac:dyDescent="0.2">
      <c r="A6408" t="s">
        <v>1277</v>
      </c>
      <c r="B6408">
        <v>0</v>
      </c>
      <c r="C6408">
        <v>0</v>
      </c>
      <c r="D6408">
        <v>0</v>
      </c>
      <c r="E6408">
        <v>14002</v>
      </c>
      <c r="F6408">
        <v>708</v>
      </c>
      <c r="G6408">
        <v>14710</v>
      </c>
    </row>
    <row r="6409" spans="1:7" x14ac:dyDescent="0.2">
      <c r="A6409" t="s">
        <v>1798</v>
      </c>
      <c r="B6409">
        <v>0</v>
      </c>
      <c r="C6409">
        <v>0</v>
      </c>
      <c r="D6409">
        <v>0</v>
      </c>
      <c r="E6409">
        <v>0</v>
      </c>
      <c r="F6409">
        <v>18313</v>
      </c>
      <c r="G6409">
        <v>18313</v>
      </c>
    </row>
    <row r="6410" spans="1:7" x14ac:dyDescent="0.2">
      <c r="A6410" t="s">
        <v>1803</v>
      </c>
      <c r="B6410">
        <v>0</v>
      </c>
      <c r="C6410">
        <v>0</v>
      </c>
      <c r="D6410">
        <v>0</v>
      </c>
      <c r="E6410">
        <v>0</v>
      </c>
      <c r="F6410">
        <v>1461</v>
      </c>
      <c r="G6410">
        <v>1461</v>
      </c>
    </row>
    <row r="6411" spans="1:7" x14ac:dyDescent="0.2">
      <c r="A6411" t="s">
        <v>1808</v>
      </c>
      <c r="B6411">
        <v>0</v>
      </c>
      <c r="C6411">
        <v>0</v>
      </c>
      <c r="D6411">
        <v>0</v>
      </c>
      <c r="E6411">
        <v>0</v>
      </c>
      <c r="F6411">
        <v>0</v>
      </c>
      <c r="G6411">
        <v>0</v>
      </c>
    </row>
    <row r="6412" spans="1:7" x14ac:dyDescent="0.2">
      <c r="A6412" t="s">
        <v>1813</v>
      </c>
      <c r="B6412">
        <v>0</v>
      </c>
      <c r="C6412">
        <v>0</v>
      </c>
      <c r="D6412">
        <v>0</v>
      </c>
      <c r="E6412">
        <v>0</v>
      </c>
      <c r="F6412">
        <v>0</v>
      </c>
      <c r="G6412">
        <v>0</v>
      </c>
    </row>
    <row r="6413" spans="1:7" x14ac:dyDescent="0.2">
      <c r="A6413" t="s">
        <v>1819</v>
      </c>
      <c r="B6413">
        <v>0</v>
      </c>
      <c r="C6413">
        <v>0</v>
      </c>
      <c r="D6413">
        <v>0</v>
      </c>
      <c r="E6413">
        <v>3</v>
      </c>
      <c r="F6413">
        <v>0</v>
      </c>
      <c r="G6413">
        <v>4</v>
      </c>
    </row>
    <row r="6414" spans="1:7" x14ac:dyDescent="0.2">
      <c r="A6414" t="s">
        <v>1826</v>
      </c>
      <c r="B6414">
        <v>0</v>
      </c>
      <c r="C6414">
        <v>0</v>
      </c>
      <c r="D6414">
        <v>0</v>
      </c>
      <c r="E6414">
        <v>0</v>
      </c>
      <c r="F6414">
        <v>0</v>
      </c>
      <c r="G6414">
        <v>0</v>
      </c>
    </row>
    <row r="6415" spans="1:7" x14ac:dyDescent="0.2">
      <c r="A6415" t="s">
        <v>1830</v>
      </c>
      <c r="B6415">
        <v>0</v>
      </c>
      <c r="C6415">
        <v>0</v>
      </c>
      <c r="D6415">
        <v>0</v>
      </c>
      <c r="E6415">
        <v>0</v>
      </c>
      <c r="F6415">
        <v>0</v>
      </c>
      <c r="G6415">
        <v>0</v>
      </c>
    </row>
    <row r="6416" spans="1:7" x14ac:dyDescent="0.2">
      <c r="A6416" t="s">
        <v>1836</v>
      </c>
      <c r="B6416">
        <v>0</v>
      </c>
      <c r="C6416">
        <v>0</v>
      </c>
      <c r="D6416">
        <v>0</v>
      </c>
      <c r="E6416">
        <v>0</v>
      </c>
      <c r="F6416">
        <v>0</v>
      </c>
      <c r="G6416">
        <v>0</v>
      </c>
    </row>
    <row r="6417" spans="1:7" x14ac:dyDescent="0.2">
      <c r="A6417" t="s">
        <v>1841</v>
      </c>
      <c r="B6417">
        <v>0</v>
      </c>
      <c r="C6417">
        <v>0</v>
      </c>
      <c r="D6417">
        <v>54</v>
      </c>
      <c r="E6417">
        <v>905</v>
      </c>
      <c r="F6417">
        <v>0</v>
      </c>
      <c r="G6417">
        <v>958</v>
      </c>
    </row>
    <row r="6418" spans="1:7" x14ac:dyDescent="0.2">
      <c r="A6418" t="s">
        <v>1842</v>
      </c>
      <c r="B6418">
        <v>0</v>
      </c>
      <c r="C6418">
        <v>4</v>
      </c>
      <c r="D6418">
        <v>0</v>
      </c>
      <c r="E6418">
        <v>124</v>
      </c>
      <c r="F6418">
        <v>0</v>
      </c>
      <c r="G6418">
        <v>128</v>
      </c>
    </row>
    <row r="6419" spans="1:7" x14ac:dyDescent="0.2">
      <c r="A6419" t="s">
        <v>1843</v>
      </c>
      <c r="B6419">
        <v>0</v>
      </c>
      <c r="C6419">
        <v>0</v>
      </c>
      <c r="D6419">
        <v>0</v>
      </c>
      <c r="E6419">
        <v>0</v>
      </c>
      <c r="F6419">
        <v>0</v>
      </c>
      <c r="G6419">
        <v>0</v>
      </c>
    </row>
    <row r="6420" spans="1:7" x14ac:dyDescent="0.2">
      <c r="A6420" t="s">
        <v>1846</v>
      </c>
      <c r="B6420">
        <v>0</v>
      </c>
      <c r="C6420">
        <v>0</v>
      </c>
      <c r="D6420">
        <v>0</v>
      </c>
      <c r="E6420">
        <v>0</v>
      </c>
      <c r="F6420">
        <v>0</v>
      </c>
      <c r="G6420">
        <v>0</v>
      </c>
    </row>
    <row r="6421" spans="1:7" x14ac:dyDescent="0.2">
      <c r="A6421" t="s">
        <v>1851</v>
      </c>
      <c r="B6421">
        <v>0</v>
      </c>
      <c r="C6421">
        <v>0</v>
      </c>
      <c r="D6421">
        <v>0</v>
      </c>
      <c r="E6421">
        <v>10</v>
      </c>
      <c r="F6421">
        <v>1</v>
      </c>
      <c r="G6421">
        <v>11</v>
      </c>
    </row>
    <row r="6422" spans="1:7" x14ac:dyDescent="0.2">
      <c r="A6422" t="s">
        <v>1857</v>
      </c>
      <c r="B6422">
        <v>0</v>
      </c>
      <c r="C6422">
        <v>0</v>
      </c>
      <c r="D6422">
        <v>0</v>
      </c>
      <c r="E6422">
        <v>0</v>
      </c>
      <c r="F6422">
        <v>0</v>
      </c>
      <c r="G6422">
        <v>0</v>
      </c>
    </row>
    <row r="6423" spans="1:7" x14ac:dyDescent="0.2">
      <c r="A6423" t="s">
        <v>1862</v>
      </c>
      <c r="B6423">
        <v>0</v>
      </c>
      <c r="C6423">
        <v>0</v>
      </c>
      <c r="D6423">
        <v>0</v>
      </c>
      <c r="E6423">
        <v>0</v>
      </c>
      <c r="F6423">
        <v>0</v>
      </c>
      <c r="G6423">
        <v>0</v>
      </c>
    </row>
    <row r="6424" spans="1:7" x14ac:dyDescent="0.2">
      <c r="A6424" t="s">
        <v>1867</v>
      </c>
      <c r="B6424">
        <v>0</v>
      </c>
      <c r="C6424">
        <v>0</v>
      </c>
      <c r="D6424">
        <v>0</v>
      </c>
      <c r="E6424">
        <v>0</v>
      </c>
      <c r="F6424">
        <v>0</v>
      </c>
      <c r="G6424">
        <v>0</v>
      </c>
    </row>
    <row r="6425" spans="1:7" x14ac:dyDescent="0.2">
      <c r="A6425" t="s">
        <v>1870</v>
      </c>
      <c r="B6425">
        <v>0</v>
      </c>
      <c r="C6425">
        <v>0</v>
      </c>
      <c r="D6425">
        <v>0</v>
      </c>
      <c r="E6425">
        <v>0</v>
      </c>
      <c r="F6425">
        <v>0</v>
      </c>
      <c r="G6425">
        <v>0</v>
      </c>
    </row>
    <row r="6426" spans="1:7" x14ac:dyDescent="0.2">
      <c r="A6426" t="s">
        <v>1874</v>
      </c>
      <c r="B6426">
        <v>0</v>
      </c>
      <c r="C6426">
        <v>0</v>
      </c>
      <c r="D6426">
        <v>0</v>
      </c>
      <c r="E6426">
        <v>0</v>
      </c>
      <c r="F6426">
        <v>0</v>
      </c>
      <c r="G6426">
        <v>0</v>
      </c>
    </row>
    <row r="6427" spans="1:7" x14ac:dyDescent="0.2">
      <c r="A6427" t="s">
        <v>1876</v>
      </c>
      <c r="B6427">
        <v>0</v>
      </c>
      <c r="C6427">
        <v>0</v>
      </c>
      <c r="D6427">
        <v>0</v>
      </c>
      <c r="E6427">
        <v>0</v>
      </c>
      <c r="F6427">
        <v>0</v>
      </c>
      <c r="G6427">
        <v>0</v>
      </c>
    </row>
    <row r="6428" spans="1:7" x14ac:dyDescent="0.2">
      <c r="A6428" t="s">
        <v>1881</v>
      </c>
      <c r="B6428">
        <v>0</v>
      </c>
      <c r="C6428">
        <v>0</v>
      </c>
      <c r="D6428">
        <v>0</v>
      </c>
      <c r="E6428">
        <v>0</v>
      </c>
      <c r="F6428">
        <v>0</v>
      </c>
      <c r="G6428">
        <v>0</v>
      </c>
    </row>
    <row r="6429" spans="1:7" x14ac:dyDescent="0.2">
      <c r="A6429" t="s">
        <v>1885</v>
      </c>
      <c r="B6429">
        <v>0</v>
      </c>
      <c r="C6429">
        <v>19</v>
      </c>
      <c r="D6429">
        <v>0</v>
      </c>
      <c r="E6429">
        <v>58</v>
      </c>
      <c r="F6429">
        <v>2</v>
      </c>
      <c r="G6429">
        <v>79</v>
      </c>
    </row>
    <row r="6430" spans="1:7" x14ac:dyDescent="0.2">
      <c r="A6430" t="s">
        <v>1887</v>
      </c>
      <c r="B6430">
        <v>0</v>
      </c>
      <c r="C6430">
        <v>0</v>
      </c>
      <c r="D6430">
        <v>0</v>
      </c>
      <c r="E6430">
        <v>1</v>
      </c>
      <c r="F6430">
        <v>3</v>
      </c>
      <c r="G6430">
        <v>4</v>
      </c>
    </row>
    <row r="6431" spans="1:7" x14ac:dyDescent="0.2">
      <c r="A6431" t="s">
        <v>1893</v>
      </c>
      <c r="B6431">
        <v>0</v>
      </c>
      <c r="C6431">
        <v>0</v>
      </c>
      <c r="D6431">
        <v>0</v>
      </c>
      <c r="E6431">
        <v>30</v>
      </c>
      <c r="F6431">
        <v>7</v>
      </c>
      <c r="G6431">
        <v>37</v>
      </c>
    </row>
    <row r="6432" spans="1:7" x14ac:dyDescent="0.2">
      <c r="A6432" t="s">
        <v>1899</v>
      </c>
      <c r="B6432">
        <v>0</v>
      </c>
      <c r="C6432">
        <v>0</v>
      </c>
      <c r="D6432">
        <v>0</v>
      </c>
      <c r="E6432">
        <v>0</v>
      </c>
      <c r="F6432">
        <v>0</v>
      </c>
      <c r="G6432">
        <v>0</v>
      </c>
    </row>
    <row r="6433" spans="1:7" x14ac:dyDescent="0.2">
      <c r="A6433" t="s">
        <v>1906</v>
      </c>
      <c r="B6433">
        <v>0</v>
      </c>
      <c r="C6433">
        <v>0</v>
      </c>
      <c r="D6433">
        <v>0</v>
      </c>
      <c r="E6433">
        <v>0</v>
      </c>
      <c r="F6433">
        <v>0</v>
      </c>
      <c r="G6433">
        <v>0</v>
      </c>
    </row>
    <row r="6434" spans="1:7" x14ac:dyDescent="0.2">
      <c r="A6434" t="s">
        <v>1911</v>
      </c>
      <c r="B6434">
        <v>0</v>
      </c>
      <c r="C6434">
        <v>0</v>
      </c>
      <c r="D6434">
        <v>0</v>
      </c>
      <c r="E6434">
        <v>0</v>
      </c>
      <c r="F6434">
        <v>0</v>
      </c>
      <c r="G6434">
        <v>0</v>
      </c>
    </row>
    <row r="6435" spans="1:7" x14ac:dyDescent="0.2">
      <c r="A6435" t="s">
        <v>1917</v>
      </c>
      <c r="B6435">
        <v>0</v>
      </c>
      <c r="C6435">
        <v>0</v>
      </c>
      <c r="D6435">
        <v>0</v>
      </c>
      <c r="E6435">
        <v>0</v>
      </c>
      <c r="F6435">
        <v>0</v>
      </c>
      <c r="G6435">
        <v>0</v>
      </c>
    </row>
    <row r="6436" spans="1:7" x14ac:dyDescent="0.2">
      <c r="A6436" t="s">
        <v>1922</v>
      </c>
      <c r="B6436">
        <v>0</v>
      </c>
      <c r="C6436">
        <v>0</v>
      </c>
      <c r="D6436">
        <v>0</v>
      </c>
      <c r="E6436">
        <v>0</v>
      </c>
      <c r="F6436">
        <v>0</v>
      </c>
      <c r="G6436">
        <v>0</v>
      </c>
    </row>
    <row r="6437" spans="1:7" x14ac:dyDescent="0.2">
      <c r="A6437" t="s">
        <v>1928</v>
      </c>
      <c r="B6437">
        <v>0</v>
      </c>
      <c r="C6437">
        <v>0</v>
      </c>
      <c r="D6437">
        <v>0</v>
      </c>
      <c r="E6437">
        <v>0</v>
      </c>
      <c r="F6437">
        <v>0</v>
      </c>
      <c r="G6437">
        <v>0</v>
      </c>
    </row>
    <row r="6438" spans="1:7" x14ac:dyDescent="0.2">
      <c r="A6438" t="s">
        <v>1932</v>
      </c>
      <c r="B6438">
        <v>0</v>
      </c>
      <c r="C6438">
        <v>0</v>
      </c>
      <c r="D6438">
        <v>0</v>
      </c>
      <c r="E6438">
        <v>0</v>
      </c>
      <c r="F6438">
        <v>0</v>
      </c>
      <c r="G6438">
        <v>0</v>
      </c>
    </row>
    <row r="6439" spans="1:7" x14ac:dyDescent="0.2">
      <c r="A6439" t="s">
        <v>1938</v>
      </c>
      <c r="B6439">
        <v>0</v>
      </c>
      <c r="C6439">
        <v>0</v>
      </c>
      <c r="D6439">
        <v>0</v>
      </c>
      <c r="E6439">
        <v>0</v>
      </c>
      <c r="F6439">
        <v>0</v>
      </c>
      <c r="G6439">
        <v>0</v>
      </c>
    </row>
    <row r="6440" spans="1:7" x14ac:dyDescent="0.2">
      <c r="A6440" t="s">
        <v>1944</v>
      </c>
      <c r="B6440">
        <v>0</v>
      </c>
      <c r="C6440">
        <v>0</v>
      </c>
      <c r="D6440">
        <v>0</v>
      </c>
      <c r="E6440">
        <v>0</v>
      </c>
      <c r="F6440">
        <v>0</v>
      </c>
      <c r="G6440">
        <v>0</v>
      </c>
    </row>
    <row r="6441" spans="1:7" x14ac:dyDescent="0.2">
      <c r="A6441" t="s">
        <v>1947</v>
      </c>
      <c r="B6441">
        <v>0</v>
      </c>
      <c r="C6441">
        <v>0</v>
      </c>
      <c r="D6441">
        <v>0</v>
      </c>
      <c r="E6441">
        <v>0</v>
      </c>
      <c r="F6441">
        <v>0</v>
      </c>
      <c r="G6441">
        <v>0</v>
      </c>
    </row>
    <row r="6442" spans="1:7" x14ac:dyDescent="0.2">
      <c r="A6442" t="s">
        <v>1953</v>
      </c>
      <c r="B6442">
        <v>0</v>
      </c>
      <c r="C6442">
        <v>0</v>
      </c>
      <c r="D6442">
        <v>0</v>
      </c>
      <c r="E6442">
        <v>0</v>
      </c>
      <c r="F6442">
        <v>0</v>
      </c>
      <c r="G6442">
        <v>0</v>
      </c>
    </row>
    <row r="6443" spans="1:7" x14ac:dyDescent="0.2">
      <c r="A6443" t="s">
        <v>1958</v>
      </c>
      <c r="B6443">
        <v>0</v>
      </c>
      <c r="C6443">
        <v>0</v>
      </c>
      <c r="D6443">
        <v>0</v>
      </c>
      <c r="E6443">
        <v>0</v>
      </c>
      <c r="F6443">
        <v>0</v>
      </c>
      <c r="G6443">
        <v>0</v>
      </c>
    </row>
    <row r="6444" spans="1:7" x14ac:dyDescent="0.2">
      <c r="A6444" t="s">
        <v>1964</v>
      </c>
      <c r="B6444">
        <v>0</v>
      </c>
      <c r="C6444">
        <v>0</v>
      </c>
      <c r="D6444">
        <v>0</v>
      </c>
      <c r="E6444">
        <v>0</v>
      </c>
      <c r="F6444">
        <v>0</v>
      </c>
      <c r="G6444">
        <v>0</v>
      </c>
    </row>
    <row r="6445" spans="1:7" x14ac:dyDescent="0.2">
      <c r="A6445" t="s">
        <v>1973</v>
      </c>
      <c r="B6445">
        <v>0</v>
      </c>
      <c r="C6445">
        <v>0</v>
      </c>
      <c r="D6445">
        <v>0</v>
      </c>
      <c r="E6445">
        <v>0</v>
      </c>
      <c r="F6445">
        <v>0</v>
      </c>
      <c r="G6445">
        <v>0</v>
      </c>
    </row>
    <row r="6446" spans="1:7" x14ac:dyDescent="0.2">
      <c r="A6446" t="s">
        <v>1978</v>
      </c>
      <c r="B6446">
        <v>0</v>
      </c>
      <c r="C6446">
        <v>0</v>
      </c>
      <c r="D6446">
        <v>0</v>
      </c>
      <c r="E6446">
        <v>0</v>
      </c>
      <c r="F6446">
        <v>0</v>
      </c>
      <c r="G6446">
        <v>0</v>
      </c>
    </row>
    <row r="6447" spans="1:7" x14ac:dyDescent="0.2">
      <c r="A6447" t="s">
        <v>1983</v>
      </c>
      <c r="B6447">
        <v>0</v>
      </c>
      <c r="C6447">
        <v>0</v>
      </c>
      <c r="D6447">
        <v>0</v>
      </c>
      <c r="E6447">
        <v>0</v>
      </c>
      <c r="F6447">
        <v>0</v>
      </c>
      <c r="G6447">
        <v>0</v>
      </c>
    </row>
    <row r="6448" spans="1:7" x14ac:dyDescent="0.2">
      <c r="A6448" t="s">
        <v>1984</v>
      </c>
      <c r="B6448">
        <v>0</v>
      </c>
      <c r="C6448">
        <v>0</v>
      </c>
      <c r="D6448">
        <v>0</v>
      </c>
      <c r="E6448">
        <v>0</v>
      </c>
      <c r="F6448">
        <v>0</v>
      </c>
      <c r="G6448">
        <v>0</v>
      </c>
    </row>
    <row r="6449" spans="1:7" x14ac:dyDescent="0.2">
      <c r="A6449" t="s">
        <v>1990</v>
      </c>
      <c r="B6449">
        <v>0</v>
      </c>
      <c r="C6449">
        <v>0</v>
      </c>
      <c r="D6449">
        <v>0</v>
      </c>
      <c r="E6449">
        <v>0</v>
      </c>
      <c r="F6449">
        <v>0</v>
      </c>
      <c r="G6449">
        <v>0</v>
      </c>
    </row>
    <row r="6450" spans="1:7" x14ac:dyDescent="0.2">
      <c r="A6450" t="s">
        <v>1996</v>
      </c>
      <c r="B6450">
        <v>0</v>
      </c>
      <c r="C6450">
        <v>0</v>
      </c>
      <c r="D6450">
        <v>0</v>
      </c>
      <c r="E6450">
        <v>0</v>
      </c>
      <c r="F6450">
        <v>0</v>
      </c>
      <c r="G6450">
        <v>0</v>
      </c>
    </row>
    <row r="6451" spans="1:7" x14ac:dyDescent="0.2">
      <c r="A6451" t="s">
        <v>1998</v>
      </c>
      <c r="B6451">
        <v>0</v>
      </c>
      <c r="C6451">
        <v>0</v>
      </c>
      <c r="D6451">
        <v>0</v>
      </c>
      <c r="E6451">
        <v>0</v>
      </c>
      <c r="F6451">
        <v>0</v>
      </c>
      <c r="G6451">
        <v>0</v>
      </c>
    </row>
    <row r="6452" spans="1:7" x14ac:dyDescent="0.2">
      <c r="A6452" t="s">
        <v>1999</v>
      </c>
      <c r="B6452">
        <v>0</v>
      </c>
      <c r="C6452">
        <v>0</v>
      </c>
      <c r="D6452">
        <v>0</v>
      </c>
      <c r="E6452">
        <v>0</v>
      </c>
      <c r="F6452">
        <v>0</v>
      </c>
      <c r="G6452">
        <v>0</v>
      </c>
    </row>
    <row r="6453" spans="1:7" x14ac:dyDescent="0.2">
      <c r="A6453" t="s">
        <v>2004</v>
      </c>
      <c r="B6453">
        <v>0</v>
      </c>
      <c r="C6453">
        <v>0</v>
      </c>
      <c r="D6453">
        <v>0</v>
      </c>
      <c r="E6453">
        <v>0</v>
      </c>
      <c r="F6453">
        <v>0</v>
      </c>
      <c r="G6453">
        <v>0</v>
      </c>
    </row>
    <row r="6454" spans="1:7" x14ac:dyDescent="0.2">
      <c r="A6454" t="s">
        <v>2009</v>
      </c>
      <c r="B6454">
        <v>0</v>
      </c>
      <c r="C6454">
        <v>0</v>
      </c>
      <c r="D6454">
        <v>0</v>
      </c>
      <c r="E6454">
        <v>0</v>
      </c>
      <c r="F6454">
        <v>0</v>
      </c>
      <c r="G6454">
        <v>0</v>
      </c>
    </row>
    <row r="6455" spans="1:7" x14ac:dyDescent="0.2">
      <c r="A6455" t="s">
        <v>2014</v>
      </c>
      <c r="B6455">
        <v>0</v>
      </c>
      <c r="C6455">
        <v>0</v>
      </c>
      <c r="D6455">
        <v>0</v>
      </c>
      <c r="E6455">
        <v>0</v>
      </c>
      <c r="F6455">
        <v>0</v>
      </c>
      <c r="G6455">
        <v>0</v>
      </c>
    </row>
    <row r="6456" spans="1:7" x14ac:dyDescent="0.2">
      <c r="A6456" t="s">
        <v>2019</v>
      </c>
      <c r="B6456">
        <v>0</v>
      </c>
      <c r="C6456">
        <v>0</v>
      </c>
      <c r="D6456">
        <v>0</v>
      </c>
      <c r="E6456">
        <v>0</v>
      </c>
      <c r="F6456">
        <v>0</v>
      </c>
      <c r="G6456">
        <v>0</v>
      </c>
    </row>
    <row r="6457" spans="1:7" x14ac:dyDescent="0.2">
      <c r="A6457" t="s">
        <v>2023</v>
      </c>
      <c r="B6457">
        <v>0</v>
      </c>
      <c r="C6457">
        <v>0</v>
      </c>
      <c r="D6457">
        <v>0</v>
      </c>
      <c r="E6457">
        <v>0</v>
      </c>
      <c r="F6457">
        <v>0</v>
      </c>
      <c r="G6457">
        <v>0</v>
      </c>
    </row>
    <row r="6458" spans="1:7" x14ac:dyDescent="0.2">
      <c r="A6458" t="s">
        <v>2026</v>
      </c>
      <c r="B6458">
        <v>0</v>
      </c>
      <c r="C6458">
        <v>0</v>
      </c>
      <c r="D6458">
        <v>0</v>
      </c>
      <c r="E6458">
        <v>0</v>
      </c>
      <c r="F6458">
        <v>0</v>
      </c>
      <c r="G6458">
        <v>0</v>
      </c>
    </row>
    <row r="6459" spans="1:7" x14ac:dyDescent="0.2">
      <c r="A6459" t="s">
        <v>2030</v>
      </c>
      <c r="B6459">
        <v>0</v>
      </c>
      <c r="C6459">
        <v>0</v>
      </c>
      <c r="D6459">
        <v>0</v>
      </c>
      <c r="E6459">
        <v>0</v>
      </c>
      <c r="F6459">
        <v>0</v>
      </c>
      <c r="G6459">
        <v>0</v>
      </c>
    </row>
    <row r="6460" spans="1:7" x14ac:dyDescent="0.2">
      <c r="A6460" t="s">
        <v>2035</v>
      </c>
      <c r="B6460">
        <v>0</v>
      </c>
      <c r="C6460">
        <v>0</v>
      </c>
      <c r="D6460">
        <v>0</v>
      </c>
      <c r="E6460">
        <v>0</v>
      </c>
      <c r="F6460">
        <v>0</v>
      </c>
      <c r="G6460">
        <v>0</v>
      </c>
    </row>
    <row r="6461" spans="1:7" x14ac:dyDescent="0.2">
      <c r="A6461" t="s">
        <v>2040</v>
      </c>
      <c r="B6461">
        <v>0</v>
      </c>
      <c r="C6461">
        <v>0</v>
      </c>
      <c r="D6461">
        <v>0</v>
      </c>
      <c r="E6461">
        <v>0</v>
      </c>
      <c r="F6461">
        <v>0</v>
      </c>
      <c r="G6461">
        <v>0</v>
      </c>
    </row>
    <row r="6462" spans="1:7" x14ac:dyDescent="0.2">
      <c r="A6462" t="s">
        <v>2045</v>
      </c>
      <c r="B6462">
        <v>0</v>
      </c>
      <c r="C6462">
        <v>0</v>
      </c>
      <c r="D6462">
        <v>0</v>
      </c>
      <c r="E6462">
        <v>0</v>
      </c>
      <c r="F6462">
        <v>0</v>
      </c>
      <c r="G6462">
        <v>0</v>
      </c>
    </row>
    <row r="6463" spans="1:7" x14ac:dyDescent="0.2">
      <c r="A6463" t="s">
        <v>2049</v>
      </c>
      <c r="B6463">
        <v>0</v>
      </c>
      <c r="C6463">
        <v>0</v>
      </c>
      <c r="D6463">
        <v>908</v>
      </c>
      <c r="E6463">
        <v>0</v>
      </c>
      <c r="F6463">
        <v>0</v>
      </c>
      <c r="G6463">
        <v>908</v>
      </c>
    </row>
    <row r="6464" spans="1:7" x14ac:dyDescent="0.2">
      <c r="A6464" t="s">
        <v>2051</v>
      </c>
      <c r="B6464">
        <v>0</v>
      </c>
      <c r="C6464">
        <v>0</v>
      </c>
      <c r="D6464">
        <v>0</v>
      </c>
      <c r="E6464">
        <v>0</v>
      </c>
      <c r="F6464">
        <v>8</v>
      </c>
      <c r="G6464">
        <v>8</v>
      </c>
    </row>
    <row r="6465" spans="1:7" x14ac:dyDescent="0.2">
      <c r="A6465" t="s">
        <v>2057</v>
      </c>
      <c r="B6465">
        <v>0</v>
      </c>
      <c r="C6465">
        <v>0</v>
      </c>
      <c r="D6465">
        <v>0</v>
      </c>
      <c r="E6465">
        <v>0</v>
      </c>
      <c r="F6465">
        <v>14</v>
      </c>
      <c r="G6465">
        <v>14</v>
      </c>
    </row>
    <row r="6466" spans="1:7" x14ac:dyDescent="0.2">
      <c r="A6466" t="s">
        <v>4344</v>
      </c>
      <c r="B6466">
        <v>0</v>
      </c>
      <c r="C6466">
        <v>0</v>
      </c>
      <c r="D6466">
        <v>0</v>
      </c>
      <c r="E6466">
        <v>0</v>
      </c>
      <c r="F6466">
        <v>0</v>
      </c>
      <c r="G6466">
        <v>1</v>
      </c>
    </row>
    <row r="6467" spans="1:7" x14ac:dyDescent="0.2">
      <c r="A6467" t="s">
        <v>4345</v>
      </c>
      <c r="B6467">
        <v>0</v>
      </c>
      <c r="C6467">
        <v>0</v>
      </c>
      <c r="D6467">
        <v>0</v>
      </c>
      <c r="E6467">
        <v>1</v>
      </c>
      <c r="F6467">
        <v>11</v>
      </c>
      <c r="G6467">
        <v>12</v>
      </c>
    </row>
    <row r="6468" spans="1:7" x14ac:dyDescent="0.2">
      <c r="A6468" t="s">
        <v>2074</v>
      </c>
      <c r="B6468">
        <v>0</v>
      </c>
      <c r="C6468">
        <v>0</v>
      </c>
      <c r="D6468">
        <v>0</v>
      </c>
      <c r="E6468">
        <v>0</v>
      </c>
      <c r="F6468">
        <v>0</v>
      </c>
      <c r="G6468">
        <v>0</v>
      </c>
    </row>
    <row r="6469" spans="1:7" x14ac:dyDescent="0.2">
      <c r="A6469" t="s">
        <v>2079</v>
      </c>
      <c r="B6469">
        <v>0</v>
      </c>
      <c r="C6469">
        <v>0</v>
      </c>
      <c r="D6469">
        <v>0</v>
      </c>
      <c r="E6469">
        <v>0</v>
      </c>
      <c r="F6469">
        <v>0</v>
      </c>
      <c r="G6469">
        <v>0</v>
      </c>
    </row>
    <row r="6470" spans="1:7" x14ac:dyDescent="0.2">
      <c r="A6470" t="s">
        <v>2085</v>
      </c>
      <c r="B6470">
        <v>0</v>
      </c>
      <c r="C6470">
        <v>0</v>
      </c>
      <c r="D6470">
        <v>0</v>
      </c>
      <c r="E6470">
        <v>0</v>
      </c>
      <c r="F6470">
        <v>0</v>
      </c>
      <c r="G6470">
        <v>0</v>
      </c>
    </row>
    <row r="6471" spans="1:7" x14ac:dyDescent="0.2">
      <c r="A6471" t="s">
        <v>2091</v>
      </c>
      <c r="B6471">
        <v>0</v>
      </c>
      <c r="C6471">
        <v>0</v>
      </c>
      <c r="D6471">
        <v>0</v>
      </c>
      <c r="E6471">
        <v>0</v>
      </c>
      <c r="F6471">
        <v>0</v>
      </c>
      <c r="G6471">
        <v>0</v>
      </c>
    </row>
    <row r="6472" spans="1:7" x14ac:dyDescent="0.2">
      <c r="A6472" t="s">
        <v>2097</v>
      </c>
      <c r="B6472">
        <v>0</v>
      </c>
      <c r="C6472">
        <v>0</v>
      </c>
      <c r="D6472">
        <v>0</v>
      </c>
      <c r="E6472">
        <v>0</v>
      </c>
      <c r="F6472">
        <v>0</v>
      </c>
      <c r="G6472">
        <v>0</v>
      </c>
    </row>
    <row r="6473" spans="1:7" x14ac:dyDescent="0.2">
      <c r="A6473" t="s">
        <v>2101</v>
      </c>
      <c r="B6473">
        <v>0</v>
      </c>
      <c r="C6473">
        <v>0</v>
      </c>
      <c r="D6473">
        <v>0</v>
      </c>
      <c r="E6473">
        <v>0</v>
      </c>
      <c r="F6473">
        <v>0</v>
      </c>
      <c r="G6473">
        <v>0</v>
      </c>
    </row>
    <row r="6474" spans="1:7" x14ac:dyDescent="0.2">
      <c r="A6474" t="s">
        <v>2104</v>
      </c>
      <c r="B6474">
        <v>0</v>
      </c>
      <c r="C6474">
        <v>0</v>
      </c>
      <c r="D6474">
        <v>0</v>
      </c>
      <c r="E6474">
        <v>0</v>
      </c>
      <c r="F6474">
        <v>0</v>
      </c>
      <c r="G6474">
        <v>0</v>
      </c>
    </row>
    <row r="6475" spans="1:7" x14ac:dyDescent="0.2">
      <c r="A6475" t="s">
        <v>2107</v>
      </c>
      <c r="B6475">
        <v>0</v>
      </c>
      <c r="C6475">
        <v>0</v>
      </c>
      <c r="D6475">
        <v>0</v>
      </c>
      <c r="E6475">
        <v>0</v>
      </c>
      <c r="F6475">
        <v>0</v>
      </c>
      <c r="G6475">
        <v>0</v>
      </c>
    </row>
    <row r="6476" spans="1:7" x14ac:dyDescent="0.2">
      <c r="A6476" t="s">
        <v>2110</v>
      </c>
      <c r="B6476">
        <v>0</v>
      </c>
      <c r="C6476">
        <v>0</v>
      </c>
      <c r="D6476">
        <v>0</v>
      </c>
      <c r="E6476">
        <v>0</v>
      </c>
      <c r="F6476">
        <v>0</v>
      </c>
      <c r="G6476">
        <v>0</v>
      </c>
    </row>
    <row r="6477" spans="1:7" x14ac:dyDescent="0.2">
      <c r="A6477" t="s">
        <v>2113</v>
      </c>
      <c r="B6477">
        <v>0</v>
      </c>
      <c r="C6477">
        <v>0</v>
      </c>
      <c r="D6477">
        <v>0</v>
      </c>
      <c r="E6477">
        <v>0</v>
      </c>
      <c r="F6477">
        <v>0</v>
      </c>
      <c r="G6477">
        <v>0</v>
      </c>
    </row>
    <row r="6478" spans="1:7" x14ac:dyDescent="0.2">
      <c r="A6478" t="s">
        <v>4346</v>
      </c>
      <c r="B6478">
        <v>0</v>
      </c>
      <c r="C6478">
        <v>0</v>
      </c>
      <c r="D6478">
        <v>0</v>
      </c>
      <c r="E6478">
        <v>0</v>
      </c>
      <c r="F6478">
        <v>0</v>
      </c>
      <c r="G6478">
        <v>0</v>
      </c>
    </row>
    <row r="6479" spans="1:7" x14ac:dyDescent="0.2">
      <c r="A6479" t="s">
        <v>4347</v>
      </c>
      <c r="B6479">
        <v>0</v>
      </c>
      <c r="C6479">
        <v>0</v>
      </c>
      <c r="D6479">
        <v>0</v>
      </c>
      <c r="E6479">
        <v>0</v>
      </c>
      <c r="F6479">
        <v>0</v>
      </c>
      <c r="G6479">
        <v>0</v>
      </c>
    </row>
    <row r="6480" spans="1:7" x14ac:dyDescent="0.2">
      <c r="A6480" t="s">
        <v>4348</v>
      </c>
      <c r="B6480">
        <v>0</v>
      </c>
      <c r="C6480">
        <v>0</v>
      </c>
      <c r="D6480">
        <v>0</v>
      </c>
      <c r="E6480">
        <v>0</v>
      </c>
      <c r="F6480">
        <v>0</v>
      </c>
      <c r="G6480">
        <v>0</v>
      </c>
    </row>
    <row r="6481" spans="1:7" x14ac:dyDescent="0.2">
      <c r="A6481" t="s">
        <v>4349</v>
      </c>
      <c r="B6481">
        <v>0</v>
      </c>
      <c r="C6481">
        <v>0</v>
      </c>
      <c r="D6481">
        <v>0</v>
      </c>
      <c r="E6481">
        <v>0</v>
      </c>
      <c r="F6481">
        <v>0</v>
      </c>
      <c r="G6481">
        <v>0</v>
      </c>
    </row>
    <row r="6482" spans="1:7" x14ac:dyDescent="0.2">
      <c r="A6482" t="s">
        <v>4350</v>
      </c>
      <c r="B6482">
        <v>0</v>
      </c>
      <c r="C6482">
        <v>4</v>
      </c>
      <c r="D6482">
        <v>16</v>
      </c>
      <c r="E6482">
        <v>0</v>
      </c>
      <c r="F6482">
        <v>0</v>
      </c>
      <c r="G6482">
        <v>20</v>
      </c>
    </row>
    <row r="6483" spans="1:7" x14ac:dyDescent="0.2">
      <c r="A6483" t="s">
        <v>4351</v>
      </c>
      <c r="B6483">
        <v>0</v>
      </c>
      <c r="C6483">
        <v>0</v>
      </c>
      <c r="D6483">
        <v>0</v>
      </c>
      <c r="E6483">
        <v>0</v>
      </c>
      <c r="F6483">
        <v>0</v>
      </c>
      <c r="G6483">
        <v>0</v>
      </c>
    </row>
    <row r="6484" spans="1:7" x14ac:dyDescent="0.2">
      <c r="A6484" t="s">
        <v>4352</v>
      </c>
      <c r="B6484">
        <v>0</v>
      </c>
      <c r="C6484">
        <v>0</v>
      </c>
      <c r="D6484">
        <v>0</v>
      </c>
      <c r="E6484">
        <v>0</v>
      </c>
      <c r="F6484">
        <v>0</v>
      </c>
      <c r="G6484">
        <v>0</v>
      </c>
    </row>
    <row r="6485" spans="1:7" x14ac:dyDescent="0.2">
      <c r="A6485" t="s">
        <v>4353</v>
      </c>
      <c r="B6485">
        <v>1</v>
      </c>
      <c r="C6485">
        <v>133</v>
      </c>
      <c r="D6485">
        <v>43</v>
      </c>
      <c r="E6485">
        <v>5</v>
      </c>
      <c r="F6485">
        <v>0</v>
      </c>
      <c r="G6485">
        <v>182</v>
      </c>
    </row>
    <row r="6486" spans="1:7" x14ac:dyDescent="0.2">
      <c r="A6486" t="s">
        <v>4354</v>
      </c>
      <c r="B6486">
        <v>11</v>
      </c>
      <c r="C6486">
        <v>120</v>
      </c>
      <c r="D6486">
        <v>38</v>
      </c>
      <c r="E6486">
        <v>2</v>
      </c>
      <c r="F6486">
        <v>0</v>
      </c>
      <c r="G6486">
        <v>170</v>
      </c>
    </row>
    <row r="6487" spans="1:7" x14ac:dyDescent="0.2">
      <c r="A6487" t="s">
        <v>4355</v>
      </c>
      <c r="B6487">
        <v>0</v>
      </c>
      <c r="C6487">
        <v>0</v>
      </c>
      <c r="D6487">
        <v>0</v>
      </c>
      <c r="E6487">
        <v>0</v>
      </c>
      <c r="F6487">
        <v>0</v>
      </c>
      <c r="G6487">
        <v>0</v>
      </c>
    </row>
    <row r="6488" spans="1:7" x14ac:dyDescent="0.2">
      <c r="A6488" t="s">
        <v>4356</v>
      </c>
      <c r="B6488">
        <v>0</v>
      </c>
      <c r="C6488">
        <v>0</v>
      </c>
      <c r="D6488">
        <v>0</v>
      </c>
      <c r="E6488">
        <v>0</v>
      </c>
      <c r="F6488">
        <v>0</v>
      </c>
      <c r="G6488">
        <v>0</v>
      </c>
    </row>
    <row r="6489" spans="1:7" x14ac:dyDescent="0.2">
      <c r="A6489" t="s">
        <v>4357</v>
      </c>
      <c r="B6489">
        <v>0</v>
      </c>
      <c r="C6489">
        <v>0</v>
      </c>
      <c r="D6489">
        <v>0</v>
      </c>
      <c r="E6489">
        <v>0</v>
      </c>
      <c r="F6489">
        <v>0</v>
      </c>
      <c r="G6489">
        <v>0</v>
      </c>
    </row>
    <row r="6490" spans="1:7" x14ac:dyDescent="0.2">
      <c r="A6490" t="s">
        <v>4358</v>
      </c>
      <c r="B6490">
        <v>0</v>
      </c>
      <c r="C6490">
        <v>1</v>
      </c>
      <c r="D6490">
        <v>1</v>
      </c>
      <c r="E6490">
        <v>0</v>
      </c>
      <c r="F6490">
        <v>0</v>
      </c>
      <c r="G6490">
        <v>2</v>
      </c>
    </row>
    <row r="6491" spans="1:7" x14ac:dyDescent="0.2">
      <c r="A6491" t="s">
        <v>4359</v>
      </c>
      <c r="B6491">
        <v>0</v>
      </c>
      <c r="C6491">
        <v>0</v>
      </c>
      <c r="D6491">
        <v>0</v>
      </c>
      <c r="E6491">
        <v>0</v>
      </c>
      <c r="F6491">
        <v>0</v>
      </c>
      <c r="G6491">
        <v>0</v>
      </c>
    </row>
    <row r="6492" spans="1:7" x14ac:dyDescent="0.2">
      <c r="A6492" t="s">
        <v>4360</v>
      </c>
      <c r="B6492">
        <v>0</v>
      </c>
      <c r="C6492">
        <v>0</v>
      </c>
      <c r="D6492">
        <v>0</v>
      </c>
      <c r="E6492">
        <v>16</v>
      </c>
      <c r="F6492">
        <v>0</v>
      </c>
      <c r="G6492">
        <v>16</v>
      </c>
    </row>
    <row r="6493" spans="1:7" x14ac:dyDescent="0.2">
      <c r="A6493" t="s">
        <v>4361</v>
      </c>
      <c r="B6493">
        <v>0</v>
      </c>
      <c r="C6493">
        <v>0</v>
      </c>
      <c r="D6493">
        <v>152</v>
      </c>
      <c r="E6493">
        <v>4</v>
      </c>
      <c r="F6493">
        <v>0</v>
      </c>
      <c r="G6493">
        <v>156</v>
      </c>
    </row>
    <row r="6494" spans="1:7" x14ac:dyDescent="0.2">
      <c r="A6494" t="s">
        <v>4362</v>
      </c>
      <c r="B6494">
        <v>0</v>
      </c>
      <c r="C6494">
        <v>0</v>
      </c>
      <c r="D6494">
        <v>0</v>
      </c>
      <c r="E6494">
        <v>11</v>
      </c>
      <c r="F6494">
        <v>0</v>
      </c>
      <c r="G6494">
        <v>12</v>
      </c>
    </row>
    <row r="6495" spans="1:7" x14ac:dyDescent="0.2">
      <c r="A6495" t="s">
        <v>4363</v>
      </c>
      <c r="B6495">
        <v>0</v>
      </c>
      <c r="C6495">
        <v>0</v>
      </c>
      <c r="D6495">
        <v>0</v>
      </c>
      <c r="E6495">
        <v>0</v>
      </c>
      <c r="F6495">
        <v>0</v>
      </c>
      <c r="G6495">
        <v>0</v>
      </c>
    </row>
    <row r="6496" spans="1:7" x14ac:dyDescent="0.2">
      <c r="A6496" t="s">
        <v>4364</v>
      </c>
      <c r="B6496">
        <v>0</v>
      </c>
      <c r="C6496">
        <v>0</v>
      </c>
      <c r="D6496">
        <v>0</v>
      </c>
      <c r="E6496">
        <v>0</v>
      </c>
      <c r="F6496">
        <v>0</v>
      </c>
      <c r="G6496">
        <v>0</v>
      </c>
    </row>
    <row r="6497" spans="1:10" x14ac:dyDescent="0.2">
      <c r="A6497" t="s">
        <v>4365</v>
      </c>
      <c r="B6497">
        <v>9</v>
      </c>
      <c r="C6497">
        <v>383</v>
      </c>
      <c r="D6497">
        <v>211</v>
      </c>
      <c r="E6497">
        <v>0</v>
      </c>
      <c r="F6497">
        <v>0</v>
      </c>
      <c r="G6497">
        <v>602</v>
      </c>
    </row>
    <row r="6498" spans="1:10" x14ac:dyDescent="0.2">
      <c r="A6498" t="s">
        <v>4366</v>
      </c>
      <c r="B6498">
        <v>0</v>
      </c>
      <c r="C6498">
        <v>0</v>
      </c>
      <c r="D6498">
        <v>0</v>
      </c>
      <c r="E6498">
        <v>0</v>
      </c>
      <c r="F6498">
        <v>0</v>
      </c>
      <c r="G6498">
        <v>0</v>
      </c>
    </row>
    <row r="6499" spans="1:10" x14ac:dyDescent="0.2">
      <c r="A6499" t="s">
        <v>4367</v>
      </c>
      <c r="B6499">
        <v>0</v>
      </c>
      <c r="C6499">
        <v>0</v>
      </c>
      <c r="D6499">
        <v>0</v>
      </c>
      <c r="E6499">
        <v>0</v>
      </c>
      <c r="F6499">
        <v>0</v>
      </c>
      <c r="G6499">
        <v>0</v>
      </c>
    </row>
    <row r="6500" spans="1:10" x14ac:dyDescent="0.2">
      <c r="A6500" t="s">
        <v>4368</v>
      </c>
      <c r="B6500">
        <v>139</v>
      </c>
      <c r="C6500">
        <v>225</v>
      </c>
      <c r="D6500">
        <v>483</v>
      </c>
      <c r="E6500">
        <v>1656</v>
      </c>
      <c r="F6500">
        <v>79</v>
      </c>
      <c r="G6500">
        <v>2581</v>
      </c>
    </row>
    <row r="6501" spans="1:10" x14ac:dyDescent="0.2">
      <c r="A6501" t="s">
        <v>4369</v>
      </c>
      <c r="B6501">
        <v>12</v>
      </c>
      <c r="C6501">
        <v>414</v>
      </c>
      <c r="D6501">
        <v>477</v>
      </c>
      <c r="E6501">
        <v>252</v>
      </c>
      <c r="F6501">
        <v>0</v>
      </c>
      <c r="G6501">
        <v>1155</v>
      </c>
    </row>
    <row r="6502" spans="1:10" x14ac:dyDescent="0.2">
      <c r="A6502" t="s">
        <v>4370</v>
      </c>
      <c r="B6502">
        <v>780</v>
      </c>
      <c r="C6502">
        <v>721</v>
      </c>
      <c r="D6502">
        <v>605</v>
      </c>
      <c r="E6502">
        <v>57</v>
      </c>
      <c r="F6502">
        <v>0</v>
      </c>
      <c r="G6502">
        <v>2163</v>
      </c>
    </row>
    <row r="6503" spans="1:10" x14ac:dyDescent="0.2">
      <c r="A6503" t="s">
        <v>4371</v>
      </c>
      <c r="B6503">
        <v>170</v>
      </c>
      <c r="C6503">
        <v>235</v>
      </c>
      <c r="D6503">
        <v>318</v>
      </c>
      <c r="E6503">
        <v>49</v>
      </c>
      <c r="F6503">
        <v>0</v>
      </c>
      <c r="G6503">
        <v>771</v>
      </c>
    </row>
    <row r="6504" spans="1:10" x14ac:dyDescent="0.2">
      <c r="A6504" t="s">
        <v>4372</v>
      </c>
      <c r="B6504">
        <v>0</v>
      </c>
      <c r="C6504">
        <v>0</v>
      </c>
      <c r="D6504">
        <v>0</v>
      </c>
      <c r="E6504">
        <v>0</v>
      </c>
      <c r="F6504">
        <v>0</v>
      </c>
      <c r="G6504">
        <v>0</v>
      </c>
    </row>
    <row r="6505" spans="1:10" x14ac:dyDescent="0.2">
      <c r="A6505" t="s">
        <v>4373</v>
      </c>
      <c r="B6505">
        <v>0</v>
      </c>
      <c r="C6505">
        <v>3</v>
      </c>
      <c r="D6505">
        <v>0</v>
      </c>
      <c r="E6505">
        <v>0</v>
      </c>
      <c r="F6505">
        <v>0</v>
      </c>
      <c r="G6505">
        <v>3</v>
      </c>
    </row>
    <row r="6506" spans="1:10" x14ac:dyDescent="0.2">
      <c r="A6506" t="s">
        <v>4374</v>
      </c>
      <c r="B6506">
        <v>0</v>
      </c>
      <c r="C6506">
        <v>0</v>
      </c>
      <c r="D6506">
        <v>0</v>
      </c>
      <c r="E6506">
        <v>0</v>
      </c>
      <c r="F6506">
        <v>0</v>
      </c>
      <c r="G6506">
        <v>0</v>
      </c>
    </row>
    <row r="6507" spans="1:10" x14ac:dyDescent="0.2">
      <c r="A6507" t="s">
        <v>4375</v>
      </c>
      <c r="B6507">
        <v>3</v>
      </c>
      <c r="C6507">
        <v>0</v>
      </c>
      <c r="D6507">
        <v>5</v>
      </c>
      <c r="E6507">
        <v>0</v>
      </c>
      <c r="F6507">
        <v>0</v>
      </c>
      <c r="G6507">
        <v>8</v>
      </c>
    </row>
    <row r="6508" spans="1:10" x14ac:dyDescent="0.2">
      <c r="A6508" t="s">
        <v>4376</v>
      </c>
      <c r="B6508">
        <v>0</v>
      </c>
      <c r="C6508">
        <v>0</v>
      </c>
      <c r="D6508">
        <v>0</v>
      </c>
      <c r="E6508">
        <v>0</v>
      </c>
      <c r="F6508">
        <v>0</v>
      </c>
      <c r="G6508">
        <v>0</v>
      </c>
    </row>
    <row r="6509" spans="1:10" x14ac:dyDescent="0.2">
      <c r="A6509" t="s">
        <v>4377</v>
      </c>
      <c r="B6509">
        <v>0</v>
      </c>
      <c r="C6509">
        <v>0</v>
      </c>
      <c r="D6509">
        <v>0</v>
      </c>
      <c r="E6509">
        <v>0</v>
      </c>
      <c r="F6509">
        <v>0</v>
      </c>
      <c r="G6509">
        <v>0</v>
      </c>
    </row>
    <row r="6510" spans="1:10" x14ac:dyDescent="0.2">
      <c r="A6510" t="s">
        <v>2318</v>
      </c>
      <c r="B6510" t="s">
        <v>2319</v>
      </c>
      <c r="C6510" t="s">
        <v>2319</v>
      </c>
      <c r="D6510" t="s">
        <v>2319</v>
      </c>
      <c r="E6510" t="s">
        <v>2319</v>
      </c>
      <c r="F6510" t="s">
        <v>2319</v>
      </c>
      <c r="G6510" t="s">
        <v>2319</v>
      </c>
    </row>
    <row r="6511" spans="1:10" x14ac:dyDescent="0.2">
      <c r="A6511" t="s">
        <v>4248</v>
      </c>
      <c r="G6511">
        <f>SUM(G6312:G6509)</f>
        <v>59258</v>
      </c>
    </row>
    <row r="6512" spans="1:10" x14ac:dyDescent="0.2">
      <c r="A6512" t="s">
        <v>4250</v>
      </c>
      <c r="C6512" t="s">
        <v>4251</v>
      </c>
      <c r="G6512" t="s">
        <v>7531</v>
      </c>
      <c r="J6512"/>
    </row>
    <row r="6513" spans="1:10" x14ac:dyDescent="0.2">
      <c r="A6513" t="s">
        <v>4925</v>
      </c>
      <c r="G6513" t="s">
        <v>7541</v>
      </c>
      <c r="J6513"/>
    </row>
    <row r="6514" spans="1:10" x14ac:dyDescent="0.2">
      <c r="A6514" t="s">
        <v>7530</v>
      </c>
      <c r="J6514"/>
    </row>
    <row r="6515" spans="1:10" x14ac:dyDescent="0.2">
      <c r="A6515" t="s">
        <v>5019</v>
      </c>
      <c r="J6515"/>
    </row>
    <row r="6516" spans="1:10" x14ac:dyDescent="0.2">
      <c r="J6516"/>
    </row>
    <row r="6517" spans="1:10" x14ac:dyDescent="0.2">
      <c r="A6517" t="s">
        <v>4259</v>
      </c>
      <c r="J6517"/>
    </row>
    <row r="6518" spans="1:10" x14ac:dyDescent="0.2">
      <c r="A6518" t="s">
        <v>2318</v>
      </c>
      <c r="B6518" t="s">
        <v>2319</v>
      </c>
      <c r="C6518" t="s">
        <v>2319</v>
      </c>
      <c r="D6518" t="s">
        <v>2319</v>
      </c>
      <c r="E6518" t="s">
        <v>2319</v>
      </c>
      <c r="F6518" t="s">
        <v>2319</v>
      </c>
      <c r="G6518" t="s">
        <v>2319</v>
      </c>
    </row>
    <row r="6519" spans="1:10" x14ac:dyDescent="0.2">
      <c r="A6519" t="s">
        <v>174</v>
      </c>
      <c r="B6519" t="s">
        <v>4945</v>
      </c>
      <c r="C6519" t="s">
        <v>4946</v>
      </c>
      <c r="D6519" t="s">
        <v>4947</v>
      </c>
      <c r="E6519" t="s">
        <v>4948</v>
      </c>
      <c r="F6519" t="s">
        <v>4949</v>
      </c>
    </row>
    <row r="6520" spans="1:10" x14ac:dyDescent="0.2">
      <c r="A6520" t="s">
        <v>126</v>
      </c>
      <c r="B6520" t="s">
        <v>4262</v>
      </c>
      <c r="C6520" t="s">
        <v>4263</v>
      </c>
      <c r="D6520" t="s">
        <v>4264</v>
      </c>
      <c r="E6520" t="s">
        <v>2308</v>
      </c>
      <c r="F6520" t="s">
        <v>615</v>
      </c>
      <c r="G6520" t="s">
        <v>236</v>
      </c>
    </row>
    <row r="6521" spans="1:10" x14ac:dyDescent="0.2">
      <c r="A6521" t="s">
        <v>2318</v>
      </c>
      <c r="B6521" t="s">
        <v>2319</v>
      </c>
      <c r="C6521" t="s">
        <v>2319</v>
      </c>
      <c r="D6521" t="s">
        <v>2319</v>
      </c>
      <c r="E6521" t="s">
        <v>2319</v>
      </c>
      <c r="F6521" t="s">
        <v>2319</v>
      </c>
      <c r="G6521" t="s">
        <v>2319</v>
      </c>
    </row>
    <row r="6522" spans="1:10" x14ac:dyDescent="0.2">
      <c r="A6522" t="s">
        <v>4265</v>
      </c>
      <c r="B6522">
        <v>0</v>
      </c>
      <c r="C6522">
        <v>0</v>
      </c>
      <c r="D6522">
        <v>0</v>
      </c>
      <c r="E6522">
        <v>0</v>
      </c>
      <c r="F6522">
        <v>19</v>
      </c>
      <c r="G6522">
        <v>19</v>
      </c>
    </row>
    <row r="6523" spans="1:10" x14ac:dyDescent="0.2">
      <c r="A6523" t="s">
        <v>4266</v>
      </c>
      <c r="B6523">
        <v>0</v>
      </c>
      <c r="C6523">
        <v>0</v>
      </c>
      <c r="D6523">
        <v>0</v>
      </c>
      <c r="E6523">
        <v>0</v>
      </c>
      <c r="F6523">
        <v>0</v>
      </c>
      <c r="G6523">
        <v>0</v>
      </c>
    </row>
    <row r="6524" spans="1:10" x14ac:dyDescent="0.2">
      <c r="A6524" t="s">
        <v>4267</v>
      </c>
      <c r="B6524">
        <v>422</v>
      </c>
      <c r="C6524">
        <v>75</v>
      </c>
      <c r="D6524">
        <v>43</v>
      </c>
      <c r="E6524">
        <v>1</v>
      </c>
      <c r="F6524">
        <v>0</v>
      </c>
      <c r="G6524">
        <v>542</v>
      </c>
    </row>
    <row r="6525" spans="1:10" x14ac:dyDescent="0.2">
      <c r="A6525" t="s">
        <v>4268</v>
      </c>
      <c r="B6525">
        <v>0</v>
      </c>
      <c r="C6525">
        <v>212</v>
      </c>
      <c r="D6525">
        <v>47</v>
      </c>
      <c r="E6525">
        <v>0</v>
      </c>
      <c r="F6525">
        <v>0</v>
      </c>
      <c r="G6525">
        <v>259</v>
      </c>
    </row>
    <row r="6526" spans="1:10" x14ac:dyDescent="0.2">
      <c r="A6526" t="s">
        <v>4269</v>
      </c>
      <c r="B6526">
        <v>420</v>
      </c>
      <c r="C6526">
        <v>0</v>
      </c>
      <c r="D6526">
        <v>112</v>
      </c>
      <c r="E6526">
        <v>2</v>
      </c>
      <c r="F6526">
        <v>0</v>
      </c>
      <c r="G6526">
        <v>535</v>
      </c>
    </row>
    <row r="6527" spans="1:10" x14ac:dyDescent="0.2">
      <c r="A6527" t="s">
        <v>4270</v>
      </c>
      <c r="B6527">
        <v>0</v>
      </c>
      <c r="C6527">
        <v>0</v>
      </c>
      <c r="D6527">
        <v>0</v>
      </c>
      <c r="E6527">
        <v>0</v>
      </c>
      <c r="F6527">
        <v>0</v>
      </c>
      <c r="G6527">
        <v>0</v>
      </c>
    </row>
    <row r="6528" spans="1:10" x14ac:dyDescent="0.2">
      <c r="A6528" t="s">
        <v>4271</v>
      </c>
      <c r="B6528">
        <v>121</v>
      </c>
      <c r="C6528">
        <v>123</v>
      </c>
      <c r="D6528">
        <v>18</v>
      </c>
      <c r="E6528">
        <v>9</v>
      </c>
      <c r="F6528">
        <v>0</v>
      </c>
      <c r="G6528">
        <v>271</v>
      </c>
    </row>
    <row r="6529" spans="1:7" x14ac:dyDescent="0.2">
      <c r="A6529" t="s">
        <v>4272</v>
      </c>
      <c r="B6529">
        <v>279</v>
      </c>
      <c r="C6529">
        <v>45</v>
      </c>
      <c r="D6529">
        <v>14</v>
      </c>
      <c r="E6529">
        <v>23</v>
      </c>
      <c r="F6529">
        <v>0</v>
      </c>
      <c r="G6529">
        <v>361</v>
      </c>
    </row>
    <row r="6530" spans="1:7" x14ac:dyDescent="0.2">
      <c r="A6530" t="s">
        <v>4273</v>
      </c>
      <c r="B6530">
        <v>0</v>
      </c>
      <c r="C6530">
        <v>0</v>
      </c>
      <c r="D6530">
        <v>0</v>
      </c>
      <c r="E6530">
        <v>0</v>
      </c>
      <c r="F6530">
        <v>13</v>
      </c>
      <c r="G6530">
        <v>13</v>
      </c>
    </row>
    <row r="6531" spans="1:7" x14ac:dyDescent="0.2">
      <c r="A6531" t="s">
        <v>4274</v>
      </c>
      <c r="B6531">
        <v>0</v>
      </c>
      <c r="C6531">
        <v>0</v>
      </c>
      <c r="D6531">
        <v>0</v>
      </c>
      <c r="E6531">
        <v>0</v>
      </c>
      <c r="F6531">
        <v>0</v>
      </c>
      <c r="G6531">
        <v>0</v>
      </c>
    </row>
    <row r="6532" spans="1:7" x14ac:dyDescent="0.2">
      <c r="A6532" t="s">
        <v>4275</v>
      </c>
      <c r="B6532">
        <v>0</v>
      </c>
      <c r="C6532">
        <v>0</v>
      </c>
      <c r="D6532">
        <v>0</v>
      </c>
      <c r="E6532">
        <v>0</v>
      </c>
      <c r="F6532">
        <v>4093</v>
      </c>
      <c r="G6532">
        <v>4093</v>
      </c>
    </row>
    <row r="6533" spans="1:7" x14ac:dyDescent="0.2">
      <c r="A6533" t="s">
        <v>4276</v>
      </c>
      <c r="B6533">
        <v>0</v>
      </c>
      <c r="C6533">
        <v>0</v>
      </c>
      <c r="D6533">
        <v>0</v>
      </c>
      <c r="E6533">
        <v>0</v>
      </c>
      <c r="F6533">
        <v>2375</v>
      </c>
      <c r="G6533">
        <v>2375</v>
      </c>
    </row>
    <row r="6534" spans="1:7" x14ac:dyDescent="0.2">
      <c r="A6534" t="s">
        <v>4277</v>
      </c>
      <c r="B6534">
        <v>0</v>
      </c>
      <c r="C6534">
        <v>0</v>
      </c>
      <c r="D6534">
        <v>0</v>
      </c>
      <c r="E6534">
        <v>0</v>
      </c>
      <c r="F6534">
        <v>1137</v>
      </c>
      <c r="G6534">
        <v>1137</v>
      </c>
    </row>
    <row r="6535" spans="1:7" x14ac:dyDescent="0.2">
      <c r="A6535" t="s">
        <v>4278</v>
      </c>
      <c r="B6535">
        <v>0</v>
      </c>
      <c r="C6535">
        <v>0</v>
      </c>
      <c r="D6535">
        <v>0</v>
      </c>
      <c r="E6535">
        <v>0</v>
      </c>
      <c r="F6535">
        <v>0</v>
      </c>
      <c r="G6535">
        <v>0</v>
      </c>
    </row>
    <row r="6536" spans="1:7" x14ac:dyDescent="0.2">
      <c r="A6536" t="s">
        <v>4279</v>
      </c>
      <c r="B6536">
        <v>247</v>
      </c>
      <c r="C6536">
        <v>160</v>
      </c>
      <c r="D6536">
        <v>166</v>
      </c>
      <c r="E6536">
        <v>0</v>
      </c>
      <c r="F6536">
        <v>0</v>
      </c>
      <c r="G6536">
        <v>573</v>
      </c>
    </row>
    <row r="6537" spans="1:7" x14ac:dyDescent="0.2">
      <c r="A6537" t="s">
        <v>4280</v>
      </c>
      <c r="B6537">
        <v>19</v>
      </c>
      <c r="C6537">
        <v>46</v>
      </c>
      <c r="D6537">
        <v>2</v>
      </c>
      <c r="E6537">
        <v>0</v>
      </c>
      <c r="F6537">
        <v>0</v>
      </c>
      <c r="G6537">
        <v>66</v>
      </c>
    </row>
    <row r="6538" spans="1:7" x14ac:dyDescent="0.2">
      <c r="A6538" t="s">
        <v>4281</v>
      </c>
      <c r="B6538">
        <v>2168</v>
      </c>
      <c r="C6538">
        <v>2830</v>
      </c>
      <c r="D6538">
        <v>4950</v>
      </c>
      <c r="E6538">
        <v>6144</v>
      </c>
      <c r="F6538">
        <v>0</v>
      </c>
      <c r="G6538">
        <v>16092</v>
      </c>
    </row>
    <row r="6539" spans="1:7" x14ac:dyDescent="0.2">
      <c r="A6539" t="s">
        <v>4282</v>
      </c>
      <c r="B6539">
        <v>1453</v>
      </c>
      <c r="C6539">
        <v>1188</v>
      </c>
      <c r="D6539">
        <v>1634</v>
      </c>
      <c r="E6539">
        <v>68</v>
      </c>
      <c r="F6539">
        <v>0</v>
      </c>
      <c r="G6539">
        <v>4342</v>
      </c>
    </row>
    <row r="6540" spans="1:7" x14ac:dyDescent="0.2">
      <c r="A6540" t="s">
        <v>4283</v>
      </c>
      <c r="B6540">
        <v>1445</v>
      </c>
      <c r="C6540">
        <v>1662</v>
      </c>
      <c r="D6540">
        <v>1660</v>
      </c>
      <c r="E6540">
        <v>3564</v>
      </c>
      <c r="F6540">
        <v>0</v>
      </c>
      <c r="G6540">
        <v>8332</v>
      </c>
    </row>
    <row r="6541" spans="1:7" x14ac:dyDescent="0.2">
      <c r="A6541" t="s">
        <v>4284</v>
      </c>
      <c r="B6541">
        <v>217</v>
      </c>
      <c r="C6541">
        <v>0</v>
      </c>
      <c r="D6541">
        <v>312</v>
      </c>
      <c r="E6541">
        <v>55</v>
      </c>
      <c r="F6541">
        <v>0</v>
      </c>
      <c r="G6541">
        <v>584</v>
      </c>
    </row>
    <row r="6542" spans="1:7" x14ac:dyDescent="0.2">
      <c r="A6542" t="s">
        <v>4285</v>
      </c>
      <c r="B6542">
        <v>1019</v>
      </c>
      <c r="C6542">
        <v>1479</v>
      </c>
      <c r="D6542">
        <v>1801</v>
      </c>
      <c r="E6542">
        <v>2877</v>
      </c>
      <c r="F6542">
        <v>0</v>
      </c>
      <c r="G6542">
        <v>7176</v>
      </c>
    </row>
    <row r="6543" spans="1:7" x14ac:dyDescent="0.2">
      <c r="A6543" t="s">
        <v>4286</v>
      </c>
      <c r="B6543">
        <v>408</v>
      </c>
      <c r="C6543">
        <v>50</v>
      </c>
      <c r="D6543">
        <v>100</v>
      </c>
      <c r="E6543">
        <v>34</v>
      </c>
      <c r="F6543">
        <v>0</v>
      </c>
      <c r="G6543">
        <v>592</v>
      </c>
    </row>
    <row r="6544" spans="1:7" x14ac:dyDescent="0.2">
      <c r="A6544" t="s">
        <v>4287</v>
      </c>
      <c r="B6544">
        <v>0</v>
      </c>
      <c r="C6544">
        <v>0</v>
      </c>
      <c r="D6544">
        <v>0</v>
      </c>
      <c r="E6544">
        <v>8005</v>
      </c>
      <c r="F6544">
        <v>0</v>
      </c>
      <c r="G6544">
        <v>8005</v>
      </c>
    </row>
    <row r="6545" spans="1:7" x14ac:dyDescent="0.2">
      <c r="A6545" t="s">
        <v>4288</v>
      </c>
      <c r="B6545">
        <v>0</v>
      </c>
      <c r="C6545">
        <v>0</v>
      </c>
      <c r="D6545">
        <v>0</v>
      </c>
      <c r="E6545">
        <v>0</v>
      </c>
      <c r="F6545">
        <v>800</v>
      </c>
      <c r="G6545">
        <v>800</v>
      </c>
    </row>
    <row r="6546" spans="1:7" x14ac:dyDescent="0.2">
      <c r="A6546" t="s">
        <v>4289</v>
      </c>
      <c r="B6546">
        <v>0</v>
      </c>
      <c r="C6546">
        <v>0</v>
      </c>
      <c r="D6546">
        <v>0</v>
      </c>
      <c r="E6546">
        <v>0</v>
      </c>
      <c r="F6546">
        <v>84655</v>
      </c>
      <c r="G6546">
        <v>84655</v>
      </c>
    </row>
    <row r="6547" spans="1:7" x14ac:dyDescent="0.2">
      <c r="A6547" t="s">
        <v>4290</v>
      </c>
      <c r="B6547">
        <v>0</v>
      </c>
      <c r="C6547">
        <v>0</v>
      </c>
      <c r="D6547">
        <v>0</v>
      </c>
      <c r="E6547">
        <v>0</v>
      </c>
      <c r="F6547">
        <v>6956</v>
      </c>
      <c r="G6547">
        <v>6956</v>
      </c>
    </row>
    <row r="6548" spans="1:7" x14ac:dyDescent="0.2">
      <c r="A6548" t="s">
        <v>4291</v>
      </c>
      <c r="B6548">
        <v>0</v>
      </c>
      <c r="C6548">
        <v>0</v>
      </c>
      <c r="D6548">
        <v>0</v>
      </c>
      <c r="E6548">
        <v>0</v>
      </c>
      <c r="F6548">
        <v>2993</v>
      </c>
      <c r="G6548">
        <v>2993</v>
      </c>
    </row>
    <row r="6549" spans="1:7" x14ac:dyDescent="0.2">
      <c r="A6549" t="s">
        <v>4292</v>
      </c>
      <c r="B6549">
        <v>0</v>
      </c>
      <c r="C6549">
        <v>0</v>
      </c>
      <c r="D6549">
        <v>0</v>
      </c>
      <c r="E6549">
        <v>0</v>
      </c>
      <c r="F6549">
        <v>979</v>
      </c>
      <c r="G6549">
        <v>979</v>
      </c>
    </row>
    <row r="6550" spans="1:7" x14ac:dyDescent="0.2">
      <c r="A6550" t="s">
        <v>4293</v>
      </c>
      <c r="B6550">
        <v>0</v>
      </c>
      <c r="C6550">
        <v>0</v>
      </c>
      <c r="D6550">
        <v>0</v>
      </c>
      <c r="E6550">
        <v>0</v>
      </c>
      <c r="F6550">
        <v>1529</v>
      </c>
      <c r="G6550">
        <v>1529</v>
      </c>
    </row>
    <row r="6551" spans="1:7" x14ac:dyDescent="0.2">
      <c r="A6551" t="s">
        <v>4294</v>
      </c>
      <c r="B6551">
        <v>0</v>
      </c>
      <c r="C6551">
        <v>0</v>
      </c>
      <c r="D6551">
        <v>0</v>
      </c>
      <c r="E6551">
        <v>0</v>
      </c>
      <c r="F6551">
        <v>3792</v>
      </c>
      <c r="G6551">
        <v>3792</v>
      </c>
    </row>
    <row r="6552" spans="1:7" x14ac:dyDescent="0.2">
      <c r="A6552" t="s">
        <v>4295</v>
      </c>
      <c r="B6552">
        <v>0</v>
      </c>
      <c r="C6552">
        <v>0</v>
      </c>
      <c r="D6552">
        <v>0</v>
      </c>
      <c r="E6552">
        <v>0</v>
      </c>
      <c r="F6552">
        <v>0</v>
      </c>
      <c r="G6552">
        <v>0</v>
      </c>
    </row>
    <row r="6553" spans="1:7" x14ac:dyDescent="0.2">
      <c r="A6553" t="s">
        <v>4296</v>
      </c>
      <c r="B6553">
        <v>0</v>
      </c>
      <c r="C6553">
        <v>0</v>
      </c>
      <c r="D6553">
        <v>0</v>
      </c>
      <c r="E6553">
        <v>0</v>
      </c>
      <c r="F6553">
        <v>0</v>
      </c>
      <c r="G6553">
        <v>0</v>
      </c>
    </row>
    <row r="6554" spans="1:7" x14ac:dyDescent="0.2">
      <c r="A6554" t="s">
        <v>4297</v>
      </c>
      <c r="B6554">
        <v>292</v>
      </c>
      <c r="C6554">
        <v>1655</v>
      </c>
      <c r="D6554">
        <v>5883</v>
      </c>
      <c r="E6554">
        <v>1627</v>
      </c>
      <c r="F6554">
        <v>0</v>
      </c>
      <c r="G6554">
        <v>9457</v>
      </c>
    </row>
    <row r="6555" spans="1:7" x14ac:dyDescent="0.2">
      <c r="A6555" t="s">
        <v>4298</v>
      </c>
      <c r="B6555">
        <v>450</v>
      </c>
      <c r="C6555">
        <v>552</v>
      </c>
      <c r="D6555">
        <v>602</v>
      </c>
      <c r="E6555">
        <v>1858</v>
      </c>
      <c r="F6555">
        <v>0</v>
      </c>
      <c r="G6555">
        <v>3462</v>
      </c>
    </row>
    <row r="6556" spans="1:7" x14ac:dyDescent="0.2">
      <c r="A6556" t="s">
        <v>4299</v>
      </c>
      <c r="B6556">
        <v>358</v>
      </c>
      <c r="C6556">
        <v>552</v>
      </c>
      <c r="D6556">
        <v>995</v>
      </c>
      <c r="E6556">
        <v>1330</v>
      </c>
      <c r="F6556">
        <v>0</v>
      </c>
      <c r="G6556">
        <v>3234</v>
      </c>
    </row>
    <row r="6557" spans="1:7" x14ac:dyDescent="0.2">
      <c r="A6557" t="s">
        <v>4300</v>
      </c>
      <c r="B6557">
        <v>7</v>
      </c>
      <c r="C6557">
        <v>35</v>
      </c>
      <c r="D6557">
        <v>80</v>
      </c>
      <c r="E6557">
        <v>78</v>
      </c>
      <c r="F6557">
        <v>0</v>
      </c>
      <c r="G6557">
        <v>200</v>
      </c>
    </row>
    <row r="6558" spans="1:7" x14ac:dyDescent="0.2">
      <c r="A6558" t="s">
        <v>4301</v>
      </c>
      <c r="B6558">
        <v>0</v>
      </c>
      <c r="C6558">
        <v>1456</v>
      </c>
      <c r="D6558">
        <v>4316</v>
      </c>
      <c r="E6558">
        <v>2983</v>
      </c>
      <c r="F6558">
        <v>0</v>
      </c>
      <c r="G6558">
        <v>8755</v>
      </c>
    </row>
    <row r="6559" spans="1:7" x14ac:dyDescent="0.2">
      <c r="A6559" t="s">
        <v>4302</v>
      </c>
      <c r="B6559">
        <v>81</v>
      </c>
      <c r="C6559">
        <v>382</v>
      </c>
      <c r="D6559">
        <v>1167</v>
      </c>
      <c r="E6559">
        <v>386</v>
      </c>
      <c r="F6559">
        <v>0</v>
      </c>
      <c r="G6559">
        <v>2016</v>
      </c>
    </row>
    <row r="6560" spans="1:7" x14ac:dyDescent="0.2">
      <c r="A6560" t="s">
        <v>4303</v>
      </c>
      <c r="B6560">
        <v>80</v>
      </c>
      <c r="C6560">
        <v>1070</v>
      </c>
      <c r="D6560">
        <v>4721</v>
      </c>
      <c r="E6560">
        <v>980</v>
      </c>
      <c r="F6560">
        <v>0</v>
      </c>
      <c r="G6560">
        <v>6850</v>
      </c>
    </row>
    <row r="6561" spans="1:7" x14ac:dyDescent="0.2">
      <c r="A6561" t="s">
        <v>4304</v>
      </c>
      <c r="B6561">
        <v>26</v>
      </c>
      <c r="C6561">
        <v>83</v>
      </c>
      <c r="D6561">
        <v>320</v>
      </c>
      <c r="E6561">
        <v>276</v>
      </c>
      <c r="F6561">
        <v>0</v>
      </c>
      <c r="G6561">
        <v>704</v>
      </c>
    </row>
    <row r="6562" spans="1:7" x14ac:dyDescent="0.2">
      <c r="A6562" t="s">
        <v>4305</v>
      </c>
      <c r="B6562">
        <v>582</v>
      </c>
      <c r="C6562">
        <v>1004</v>
      </c>
      <c r="D6562">
        <v>1556</v>
      </c>
      <c r="E6562">
        <v>536</v>
      </c>
      <c r="F6562">
        <v>0</v>
      </c>
      <c r="G6562">
        <v>3678</v>
      </c>
    </row>
    <row r="6563" spans="1:7" x14ac:dyDescent="0.2">
      <c r="A6563" t="s">
        <v>4306</v>
      </c>
      <c r="B6563">
        <v>43</v>
      </c>
      <c r="C6563">
        <v>312</v>
      </c>
      <c r="D6563">
        <v>86</v>
      </c>
      <c r="E6563">
        <v>104</v>
      </c>
      <c r="F6563">
        <v>0</v>
      </c>
      <c r="G6563">
        <v>546</v>
      </c>
    </row>
    <row r="6564" spans="1:7" x14ac:dyDescent="0.2">
      <c r="A6564" t="s">
        <v>4307</v>
      </c>
      <c r="B6564">
        <v>269</v>
      </c>
      <c r="C6564">
        <v>2964</v>
      </c>
      <c r="D6564">
        <v>12035</v>
      </c>
      <c r="E6564">
        <v>4880</v>
      </c>
      <c r="F6564">
        <v>1</v>
      </c>
      <c r="G6564">
        <v>20148</v>
      </c>
    </row>
    <row r="6565" spans="1:7" x14ac:dyDescent="0.2">
      <c r="A6565" t="s">
        <v>4308</v>
      </c>
      <c r="B6565">
        <v>0</v>
      </c>
      <c r="C6565">
        <v>0</v>
      </c>
      <c r="D6565">
        <v>126</v>
      </c>
      <c r="E6565">
        <v>97</v>
      </c>
      <c r="F6565">
        <v>1</v>
      </c>
      <c r="G6565">
        <v>224</v>
      </c>
    </row>
    <row r="6566" spans="1:7" x14ac:dyDescent="0.2">
      <c r="A6566" t="s">
        <v>4309</v>
      </c>
      <c r="B6566">
        <v>0</v>
      </c>
      <c r="C6566">
        <v>0</v>
      </c>
      <c r="D6566">
        <v>0</v>
      </c>
      <c r="E6566">
        <v>0</v>
      </c>
      <c r="F6566">
        <v>402</v>
      </c>
      <c r="G6566">
        <v>402</v>
      </c>
    </row>
    <row r="6567" spans="1:7" x14ac:dyDescent="0.2">
      <c r="A6567" t="s">
        <v>4310</v>
      </c>
      <c r="B6567">
        <v>0</v>
      </c>
      <c r="C6567">
        <v>0</v>
      </c>
      <c r="D6567">
        <v>0</v>
      </c>
      <c r="E6567">
        <v>0</v>
      </c>
      <c r="F6567">
        <v>1834</v>
      </c>
      <c r="G6567">
        <v>1834</v>
      </c>
    </row>
    <row r="6568" spans="1:7" x14ac:dyDescent="0.2">
      <c r="A6568" t="s">
        <v>4311</v>
      </c>
      <c r="B6568">
        <v>0</v>
      </c>
      <c r="C6568">
        <v>0</v>
      </c>
      <c r="D6568">
        <v>0</v>
      </c>
      <c r="E6568">
        <v>9228</v>
      </c>
      <c r="F6568">
        <v>4813</v>
      </c>
      <c r="G6568">
        <v>14041</v>
      </c>
    </row>
    <row r="6569" spans="1:7" x14ac:dyDescent="0.2">
      <c r="A6569" t="s">
        <v>4312</v>
      </c>
      <c r="B6569">
        <v>0</v>
      </c>
      <c r="C6569">
        <v>0</v>
      </c>
      <c r="D6569">
        <v>0</v>
      </c>
      <c r="E6569">
        <v>2145</v>
      </c>
      <c r="F6569">
        <v>888</v>
      </c>
      <c r="G6569">
        <v>3033</v>
      </c>
    </row>
    <row r="6570" spans="1:7" x14ac:dyDescent="0.2">
      <c r="A6570" t="s">
        <v>4313</v>
      </c>
      <c r="B6570">
        <v>0</v>
      </c>
      <c r="C6570">
        <v>0</v>
      </c>
      <c r="D6570">
        <v>0</v>
      </c>
      <c r="E6570">
        <v>0</v>
      </c>
      <c r="F6570">
        <v>0</v>
      </c>
      <c r="G6570">
        <v>0</v>
      </c>
    </row>
    <row r="6571" spans="1:7" x14ac:dyDescent="0.2">
      <c r="A6571" t="s">
        <v>4314</v>
      </c>
      <c r="B6571">
        <v>0</v>
      </c>
      <c r="C6571">
        <v>0</v>
      </c>
      <c r="D6571">
        <v>0</v>
      </c>
      <c r="E6571">
        <v>0</v>
      </c>
      <c r="F6571">
        <v>4316</v>
      </c>
      <c r="G6571">
        <v>4316</v>
      </c>
    </row>
    <row r="6572" spans="1:7" x14ac:dyDescent="0.2">
      <c r="A6572" t="s">
        <v>4315</v>
      </c>
      <c r="B6572">
        <v>0</v>
      </c>
      <c r="C6572">
        <v>0</v>
      </c>
      <c r="D6572">
        <v>0</v>
      </c>
      <c r="E6572">
        <v>0</v>
      </c>
      <c r="F6572">
        <v>1204</v>
      </c>
      <c r="G6572">
        <v>1204</v>
      </c>
    </row>
    <row r="6573" spans="1:7" x14ac:dyDescent="0.2">
      <c r="A6573" t="s">
        <v>4316</v>
      </c>
      <c r="B6573">
        <v>0</v>
      </c>
      <c r="C6573">
        <v>0</v>
      </c>
      <c r="D6573">
        <v>0</v>
      </c>
      <c r="E6573">
        <v>3357</v>
      </c>
      <c r="F6573">
        <v>18069</v>
      </c>
      <c r="G6573">
        <v>21426</v>
      </c>
    </row>
    <row r="6574" spans="1:7" x14ac:dyDescent="0.2">
      <c r="A6574" t="s">
        <v>4317</v>
      </c>
      <c r="B6574">
        <v>0</v>
      </c>
      <c r="C6574">
        <v>0</v>
      </c>
      <c r="D6574">
        <v>0</v>
      </c>
      <c r="E6574">
        <v>0</v>
      </c>
      <c r="F6574">
        <v>0</v>
      </c>
      <c r="G6574">
        <v>0</v>
      </c>
    </row>
    <row r="6575" spans="1:7" x14ac:dyDescent="0.2">
      <c r="A6575" t="s">
        <v>4318</v>
      </c>
      <c r="B6575">
        <v>0</v>
      </c>
      <c r="C6575">
        <v>0</v>
      </c>
      <c r="D6575">
        <v>0</v>
      </c>
      <c r="E6575">
        <v>0</v>
      </c>
      <c r="F6575">
        <v>11962</v>
      </c>
      <c r="G6575">
        <v>11962</v>
      </c>
    </row>
    <row r="6576" spans="1:7" x14ac:dyDescent="0.2">
      <c r="A6576" t="s">
        <v>4319</v>
      </c>
      <c r="B6576">
        <v>0</v>
      </c>
      <c r="C6576">
        <v>0</v>
      </c>
      <c r="D6576">
        <v>0</v>
      </c>
      <c r="E6576">
        <v>0</v>
      </c>
      <c r="F6576">
        <v>1267</v>
      </c>
      <c r="G6576">
        <v>1267</v>
      </c>
    </row>
    <row r="6577" spans="1:7" x14ac:dyDescent="0.2">
      <c r="A6577" t="s">
        <v>4320</v>
      </c>
      <c r="B6577">
        <v>0</v>
      </c>
      <c r="C6577">
        <v>0</v>
      </c>
      <c r="D6577">
        <v>0</v>
      </c>
      <c r="E6577">
        <v>0</v>
      </c>
      <c r="F6577">
        <v>4383</v>
      </c>
      <c r="G6577">
        <v>4383</v>
      </c>
    </row>
    <row r="6578" spans="1:7" x14ac:dyDescent="0.2">
      <c r="A6578" t="s">
        <v>4321</v>
      </c>
      <c r="B6578">
        <v>0</v>
      </c>
      <c r="C6578">
        <v>0</v>
      </c>
      <c r="D6578">
        <v>0</v>
      </c>
      <c r="E6578">
        <v>0</v>
      </c>
      <c r="F6578">
        <v>0</v>
      </c>
      <c r="G6578">
        <v>0</v>
      </c>
    </row>
    <row r="6579" spans="1:7" x14ac:dyDescent="0.2">
      <c r="A6579" t="s">
        <v>4322</v>
      </c>
      <c r="B6579">
        <v>0</v>
      </c>
      <c r="C6579">
        <v>0</v>
      </c>
      <c r="D6579">
        <v>0</v>
      </c>
      <c r="E6579">
        <v>0</v>
      </c>
      <c r="F6579">
        <v>0</v>
      </c>
      <c r="G6579">
        <v>0</v>
      </c>
    </row>
    <row r="6580" spans="1:7" x14ac:dyDescent="0.2">
      <c r="A6580" t="s">
        <v>4323</v>
      </c>
      <c r="B6580">
        <v>0</v>
      </c>
      <c r="C6580">
        <v>0</v>
      </c>
      <c r="D6580">
        <v>0</v>
      </c>
      <c r="E6580">
        <v>0</v>
      </c>
      <c r="F6580">
        <v>0</v>
      </c>
      <c r="G6580">
        <v>0</v>
      </c>
    </row>
    <row r="6581" spans="1:7" x14ac:dyDescent="0.2">
      <c r="A6581" t="s">
        <v>4324</v>
      </c>
      <c r="B6581">
        <v>0</v>
      </c>
      <c r="C6581">
        <v>0</v>
      </c>
      <c r="D6581">
        <v>0</v>
      </c>
      <c r="E6581">
        <v>0</v>
      </c>
      <c r="F6581">
        <v>0</v>
      </c>
      <c r="G6581">
        <v>0</v>
      </c>
    </row>
    <row r="6582" spans="1:7" x14ac:dyDescent="0.2">
      <c r="A6582" t="s">
        <v>4325</v>
      </c>
      <c r="B6582">
        <v>0</v>
      </c>
      <c r="C6582">
        <v>0</v>
      </c>
      <c r="D6582">
        <v>0</v>
      </c>
      <c r="E6582">
        <v>0</v>
      </c>
      <c r="F6582">
        <v>0</v>
      </c>
      <c r="G6582">
        <v>0</v>
      </c>
    </row>
    <row r="6583" spans="1:7" x14ac:dyDescent="0.2">
      <c r="A6583" t="s">
        <v>4326</v>
      </c>
      <c r="B6583">
        <v>0</v>
      </c>
      <c r="C6583">
        <v>0</v>
      </c>
      <c r="D6583">
        <v>0</v>
      </c>
      <c r="E6583">
        <v>0</v>
      </c>
      <c r="F6583">
        <v>0</v>
      </c>
      <c r="G6583">
        <v>0</v>
      </c>
    </row>
    <row r="6584" spans="1:7" x14ac:dyDescent="0.2">
      <c r="A6584" t="s">
        <v>4327</v>
      </c>
      <c r="B6584">
        <v>0</v>
      </c>
      <c r="C6584">
        <v>0</v>
      </c>
      <c r="D6584">
        <v>0</v>
      </c>
      <c r="E6584">
        <v>3386</v>
      </c>
      <c r="F6584">
        <v>1642</v>
      </c>
      <c r="G6584">
        <v>5028</v>
      </c>
    </row>
    <row r="6585" spans="1:7" x14ac:dyDescent="0.2">
      <c r="A6585" t="s">
        <v>4328</v>
      </c>
      <c r="B6585">
        <v>0</v>
      </c>
      <c r="C6585">
        <v>0</v>
      </c>
      <c r="D6585">
        <v>0</v>
      </c>
      <c r="E6585">
        <v>0</v>
      </c>
      <c r="F6585">
        <v>0</v>
      </c>
      <c r="G6585">
        <v>0</v>
      </c>
    </row>
    <row r="6586" spans="1:7" x14ac:dyDescent="0.2">
      <c r="A6586" t="s">
        <v>4329</v>
      </c>
      <c r="B6586">
        <v>0</v>
      </c>
      <c r="C6586">
        <v>0</v>
      </c>
      <c r="D6586">
        <v>0</v>
      </c>
      <c r="E6586">
        <v>0</v>
      </c>
      <c r="F6586">
        <v>1982</v>
      </c>
      <c r="G6586">
        <v>1982</v>
      </c>
    </row>
    <row r="6587" spans="1:7" x14ac:dyDescent="0.2">
      <c r="A6587" t="s">
        <v>4330</v>
      </c>
      <c r="B6587">
        <v>0</v>
      </c>
      <c r="C6587">
        <v>0</v>
      </c>
      <c r="D6587">
        <v>0</v>
      </c>
      <c r="E6587">
        <v>0</v>
      </c>
      <c r="F6587">
        <v>0</v>
      </c>
      <c r="G6587">
        <v>0</v>
      </c>
    </row>
    <row r="6588" spans="1:7" x14ac:dyDescent="0.2">
      <c r="A6588" t="s">
        <v>4331</v>
      </c>
      <c r="B6588">
        <v>0</v>
      </c>
      <c r="C6588">
        <v>0</v>
      </c>
      <c r="D6588">
        <v>0</v>
      </c>
      <c r="E6588">
        <v>0</v>
      </c>
      <c r="F6588">
        <v>0</v>
      </c>
      <c r="G6588">
        <v>0</v>
      </c>
    </row>
    <row r="6589" spans="1:7" x14ac:dyDescent="0.2">
      <c r="A6589" t="s">
        <v>4332</v>
      </c>
      <c r="B6589">
        <v>0</v>
      </c>
      <c r="C6589">
        <v>0</v>
      </c>
      <c r="D6589">
        <v>0</v>
      </c>
      <c r="E6589">
        <v>3328</v>
      </c>
      <c r="F6589">
        <v>844</v>
      </c>
      <c r="G6589">
        <v>4171</v>
      </c>
    </row>
    <row r="6590" spans="1:7" x14ac:dyDescent="0.2">
      <c r="A6590" t="s">
        <v>4333</v>
      </c>
      <c r="B6590">
        <v>0</v>
      </c>
      <c r="C6590">
        <v>0</v>
      </c>
      <c r="D6590">
        <v>0</v>
      </c>
      <c r="E6590">
        <v>0</v>
      </c>
      <c r="F6590">
        <v>0</v>
      </c>
      <c r="G6590">
        <v>0</v>
      </c>
    </row>
    <row r="6591" spans="1:7" x14ac:dyDescent="0.2">
      <c r="A6591" t="s">
        <v>4334</v>
      </c>
      <c r="B6591">
        <v>0</v>
      </c>
      <c r="C6591">
        <v>0</v>
      </c>
      <c r="D6591">
        <v>0</v>
      </c>
      <c r="E6591">
        <v>0</v>
      </c>
      <c r="F6591">
        <v>1887</v>
      </c>
      <c r="G6591">
        <v>1887</v>
      </c>
    </row>
    <row r="6592" spans="1:7" x14ac:dyDescent="0.2">
      <c r="A6592" t="s">
        <v>4335</v>
      </c>
      <c r="B6592">
        <v>0</v>
      </c>
      <c r="C6592">
        <v>0</v>
      </c>
      <c r="D6592">
        <v>0</v>
      </c>
      <c r="E6592">
        <v>550</v>
      </c>
      <c r="F6592">
        <v>1298</v>
      </c>
      <c r="G6592">
        <v>1848</v>
      </c>
    </row>
    <row r="6593" spans="1:7" x14ac:dyDescent="0.2">
      <c r="A6593" t="s">
        <v>4336</v>
      </c>
      <c r="B6593">
        <v>0</v>
      </c>
      <c r="C6593">
        <v>0</v>
      </c>
      <c r="D6593">
        <v>0</v>
      </c>
      <c r="E6593">
        <v>0</v>
      </c>
      <c r="F6593">
        <v>0</v>
      </c>
      <c r="G6593">
        <v>0</v>
      </c>
    </row>
    <row r="6594" spans="1:7" x14ac:dyDescent="0.2">
      <c r="A6594" t="s">
        <v>4337</v>
      </c>
      <c r="B6594">
        <v>0</v>
      </c>
      <c r="C6594">
        <v>0</v>
      </c>
      <c r="D6594">
        <v>0</v>
      </c>
      <c r="E6594">
        <v>0</v>
      </c>
      <c r="F6594">
        <v>568</v>
      </c>
      <c r="G6594">
        <v>568</v>
      </c>
    </row>
    <row r="6595" spans="1:7" x14ac:dyDescent="0.2">
      <c r="A6595" t="s">
        <v>4338</v>
      </c>
      <c r="B6595">
        <v>0</v>
      </c>
      <c r="C6595">
        <v>0</v>
      </c>
      <c r="D6595">
        <v>0</v>
      </c>
      <c r="E6595">
        <v>171</v>
      </c>
      <c r="F6595">
        <v>1365</v>
      </c>
      <c r="G6595">
        <v>1536</v>
      </c>
    </row>
    <row r="6596" spans="1:7" x14ac:dyDescent="0.2">
      <c r="A6596" t="s">
        <v>4339</v>
      </c>
      <c r="B6596">
        <v>0</v>
      </c>
      <c r="C6596">
        <v>0</v>
      </c>
      <c r="D6596">
        <v>0</v>
      </c>
      <c r="E6596">
        <v>0</v>
      </c>
      <c r="F6596">
        <v>0</v>
      </c>
      <c r="G6596">
        <v>0</v>
      </c>
    </row>
    <row r="6597" spans="1:7" x14ac:dyDescent="0.2">
      <c r="A6597" t="s">
        <v>4340</v>
      </c>
      <c r="B6597">
        <v>0</v>
      </c>
      <c r="C6597">
        <v>0</v>
      </c>
      <c r="D6597">
        <v>0</v>
      </c>
      <c r="E6597">
        <v>0</v>
      </c>
      <c r="F6597">
        <v>0</v>
      </c>
      <c r="G6597">
        <v>0</v>
      </c>
    </row>
    <row r="6598" spans="1:7" x14ac:dyDescent="0.2">
      <c r="A6598" t="s">
        <v>4341</v>
      </c>
      <c r="B6598">
        <v>0</v>
      </c>
      <c r="C6598">
        <v>0</v>
      </c>
      <c r="D6598">
        <v>0</v>
      </c>
      <c r="E6598">
        <v>0</v>
      </c>
      <c r="F6598">
        <v>0</v>
      </c>
      <c r="G6598">
        <v>0</v>
      </c>
    </row>
    <row r="6599" spans="1:7" x14ac:dyDescent="0.2">
      <c r="A6599" t="s">
        <v>4342</v>
      </c>
      <c r="B6599">
        <v>0</v>
      </c>
      <c r="C6599">
        <v>0</v>
      </c>
      <c r="D6599">
        <v>0</v>
      </c>
      <c r="E6599">
        <v>0</v>
      </c>
      <c r="F6599">
        <v>0</v>
      </c>
      <c r="G6599">
        <v>0</v>
      </c>
    </row>
    <row r="6600" spans="1:7" x14ac:dyDescent="0.2">
      <c r="A6600" t="s">
        <v>4343</v>
      </c>
      <c r="B6600">
        <v>0</v>
      </c>
      <c r="C6600">
        <v>0</v>
      </c>
      <c r="D6600">
        <v>0</v>
      </c>
      <c r="E6600">
        <v>0</v>
      </c>
      <c r="F6600">
        <v>0</v>
      </c>
      <c r="G6600">
        <v>0</v>
      </c>
    </row>
    <row r="6601" spans="1:7" x14ac:dyDescent="0.2">
      <c r="A6601" t="s">
        <v>1728</v>
      </c>
      <c r="B6601">
        <v>0</v>
      </c>
      <c r="C6601">
        <v>0</v>
      </c>
      <c r="D6601">
        <v>0</v>
      </c>
      <c r="E6601">
        <v>0</v>
      </c>
      <c r="F6601">
        <v>0</v>
      </c>
      <c r="G6601">
        <v>0</v>
      </c>
    </row>
    <row r="6602" spans="1:7" x14ac:dyDescent="0.2">
      <c r="A6602" t="s">
        <v>1730</v>
      </c>
      <c r="B6602">
        <v>0</v>
      </c>
      <c r="C6602">
        <v>18</v>
      </c>
      <c r="D6602">
        <v>195</v>
      </c>
      <c r="E6602">
        <v>122</v>
      </c>
      <c r="F6602">
        <v>1261</v>
      </c>
      <c r="G6602">
        <v>1595</v>
      </c>
    </row>
    <row r="6603" spans="1:7" x14ac:dyDescent="0.2">
      <c r="A6603" t="s">
        <v>1733</v>
      </c>
      <c r="B6603">
        <v>0</v>
      </c>
      <c r="C6603">
        <v>0</v>
      </c>
      <c r="D6603">
        <v>0</v>
      </c>
      <c r="E6603">
        <v>28</v>
      </c>
      <c r="F6603">
        <v>165</v>
      </c>
      <c r="G6603">
        <v>193</v>
      </c>
    </row>
    <row r="6604" spans="1:7" x14ac:dyDescent="0.2">
      <c r="A6604" t="s">
        <v>1738</v>
      </c>
      <c r="B6604">
        <v>0</v>
      </c>
      <c r="C6604">
        <v>0</v>
      </c>
      <c r="D6604">
        <v>0</v>
      </c>
      <c r="E6604">
        <v>33</v>
      </c>
      <c r="F6604">
        <v>33</v>
      </c>
      <c r="G6604">
        <v>67</v>
      </c>
    </row>
    <row r="6605" spans="1:7" x14ac:dyDescent="0.2">
      <c r="A6605" t="s">
        <v>1744</v>
      </c>
      <c r="B6605">
        <v>0</v>
      </c>
      <c r="C6605">
        <v>0</v>
      </c>
      <c r="D6605">
        <v>0</v>
      </c>
      <c r="E6605">
        <v>0</v>
      </c>
      <c r="F6605">
        <v>0</v>
      </c>
      <c r="G6605">
        <v>0</v>
      </c>
    </row>
    <row r="6606" spans="1:7" x14ac:dyDescent="0.2">
      <c r="A6606" t="s">
        <v>1747</v>
      </c>
      <c r="B6606">
        <v>0</v>
      </c>
      <c r="C6606">
        <v>0</v>
      </c>
      <c r="D6606">
        <v>0</v>
      </c>
      <c r="E6606">
        <v>0</v>
      </c>
      <c r="F6606">
        <v>0</v>
      </c>
      <c r="G6606">
        <v>0</v>
      </c>
    </row>
    <row r="6607" spans="1:7" x14ac:dyDescent="0.2">
      <c r="A6607" t="s">
        <v>1751</v>
      </c>
      <c r="B6607">
        <v>0</v>
      </c>
      <c r="C6607">
        <v>0</v>
      </c>
      <c r="D6607">
        <v>0</v>
      </c>
      <c r="E6607">
        <v>0</v>
      </c>
      <c r="F6607">
        <v>0</v>
      </c>
      <c r="G6607">
        <v>0</v>
      </c>
    </row>
    <row r="6608" spans="1:7" x14ac:dyDescent="0.2">
      <c r="A6608" t="s">
        <v>1755</v>
      </c>
      <c r="B6608">
        <v>0</v>
      </c>
      <c r="C6608">
        <v>0</v>
      </c>
      <c r="D6608">
        <v>115</v>
      </c>
      <c r="E6608">
        <v>1166</v>
      </c>
      <c r="F6608">
        <v>2180</v>
      </c>
      <c r="G6608">
        <v>3461</v>
      </c>
    </row>
    <row r="6609" spans="1:7" x14ac:dyDescent="0.2">
      <c r="A6609" t="s">
        <v>1757</v>
      </c>
      <c r="B6609">
        <v>0</v>
      </c>
      <c r="C6609">
        <v>0</v>
      </c>
      <c r="D6609">
        <v>227</v>
      </c>
      <c r="E6609">
        <v>1106</v>
      </c>
      <c r="F6609">
        <v>2348</v>
      </c>
      <c r="G6609">
        <v>3681</v>
      </c>
    </row>
    <row r="6610" spans="1:7" x14ac:dyDescent="0.2">
      <c r="A6610" t="s">
        <v>1761</v>
      </c>
      <c r="B6610">
        <v>0</v>
      </c>
      <c r="C6610">
        <v>0</v>
      </c>
      <c r="D6610">
        <v>0</v>
      </c>
      <c r="E6610">
        <v>0</v>
      </c>
      <c r="F6610">
        <v>0</v>
      </c>
      <c r="G6610">
        <v>0</v>
      </c>
    </row>
    <row r="6611" spans="1:7" x14ac:dyDescent="0.2">
      <c r="A6611" t="s">
        <v>1764</v>
      </c>
      <c r="B6611">
        <v>0</v>
      </c>
      <c r="C6611">
        <v>0</v>
      </c>
      <c r="D6611">
        <v>0</v>
      </c>
      <c r="E6611">
        <v>0</v>
      </c>
      <c r="F6611">
        <v>0</v>
      </c>
      <c r="G6611">
        <v>0</v>
      </c>
    </row>
    <row r="6612" spans="1:7" x14ac:dyDescent="0.2">
      <c r="A6612" t="s">
        <v>1770</v>
      </c>
      <c r="B6612">
        <v>11</v>
      </c>
      <c r="C6612">
        <v>64</v>
      </c>
      <c r="D6612">
        <v>471</v>
      </c>
      <c r="E6612">
        <v>2902</v>
      </c>
      <c r="F6612">
        <v>0</v>
      </c>
      <c r="G6612">
        <v>3448</v>
      </c>
    </row>
    <row r="6613" spans="1:7" x14ac:dyDescent="0.2">
      <c r="A6613" t="s">
        <v>1772</v>
      </c>
      <c r="B6613">
        <v>0</v>
      </c>
      <c r="C6613">
        <v>7</v>
      </c>
      <c r="D6613">
        <v>108</v>
      </c>
      <c r="E6613">
        <v>1229</v>
      </c>
      <c r="F6613">
        <v>0</v>
      </c>
      <c r="G6613">
        <v>1344</v>
      </c>
    </row>
    <row r="6614" spans="1:7" x14ac:dyDescent="0.2">
      <c r="A6614" t="s">
        <v>1774</v>
      </c>
      <c r="B6614">
        <v>0</v>
      </c>
      <c r="C6614">
        <v>14</v>
      </c>
      <c r="D6614">
        <v>101</v>
      </c>
      <c r="E6614">
        <v>1463</v>
      </c>
      <c r="F6614">
        <v>0</v>
      </c>
      <c r="G6614">
        <v>1578</v>
      </c>
    </row>
    <row r="6615" spans="1:7" x14ac:dyDescent="0.2">
      <c r="A6615" t="s">
        <v>1777</v>
      </c>
      <c r="B6615">
        <v>0</v>
      </c>
      <c r="C6615">
        <v>0</v>
      </c>
      <c r="D6615">
        <v>0</v>
      </c>
      <c r="E6615">
        <v>0</v>
      </c>
      <c r="F6615">
        <v>14</v>
      </c>
      <c r="G6615">
        <v>14</v>
      </c>
    </row>
    <row r="6616" spans="1:7" x14ac:dyDescent="0.2">
      <c r="A6616" t="s">
        <v>1782</v>
      </c>
      <c r="B6616">
        <v>0</v>
      </c>
      <c r="C6616">
        <v>0</v>
      </c>
      <c r="D6616">
        <v>0</v>
      </c>
      <c r="E6616">
        <v>0</v>
      </c>
      <c r="F6616">
        <v>0</v>
      </c>
      <c r="G6616">
        <v>0</v>
      </c>
    </row>
    <row r="6617" spans="1:7" x14ac:dyDescent="0.2">
      <c r="A6617" t="s">
        <v>1274</v>
      </c>
      <c r="B6617">
        <v>0</v>
      </c>
      <c r="C6617">
        <v>0</v>
      </c>
      <c r="D6617">
        <v>0</v>
      </c>
      <c r="E6617">
        <v>1112</v>
      </c>
      <c r="F6617">
        <v>15</v>
      </c>
      <c r="G6617">
        <v>1127</v>
      </c>
    </row>
    <row r="6618" spans="1:7" x14ac:dyDescent="0.2">
      <c r="A6618" t="s">
        <v>1277</v>
      </c>
      <c r="B6618">
        <v>0</v>
      </c>
      <c r="C6618">
        <v>0</v>
      </c>
      <c r="D6618">
        <v>0</v>
      </c>
      <c r="E6618">
        <v>9178</v>
      </c>
      <c r="F6618">
        <v>445</v>
      </c>
      <c r="G6618">
        <v>9623</v>
      </c>
    </row>
    <row r="6619" spans="1:7" x14ac:dyDescent="0.2">
      <c r="A6619" t="s">
        <v>1798</v>
      </c>
      <c r="B6619">
        <v>0</v>
      </c>
      <c r="C6619">
        <v>0</v>
      </c>
      <c r="D6619">
        <v>0</v>
      </c>
      <c r="E6619">
        <v>0</v>
      </c>
      <c r="F6619">
        <v>6080</v>
      </c>
      <c r="G6619">
        <v>6080</v>
      </c>
    </row>
    <row r="6620" spans="1:7" x14ac:dyDescent="0.2">
      <c r="A6620" t="s">
        <v>1803</v>
      </c>
      <c r="B6620">
        <v>0</v>
      </c>
      <c r="C6620">
        <v>0</v>
      </c>
      <c r="D6620">
        <v>0</v>
      </c>
      <c r="E6620">
        <v>0</v>
      </c>
      <c r="F6620">
        <v>491</v>
      </c>
      <c r="G6620">
        <v>491</v>
      </c>
    </row>
    <row r="6621" spans="1:7" x14ac:dyDescent="0.2">
      <c r="A6621" t="s">
        <v>1808</v>
      </c>
      <c r="B6621">
        <v>0</v>
      </c>
      <c r="C6621">
        <v>0</v>
      </c>
      <c r="D6621">
        <v>0</v>
      </c>
      <c r="E6621">
        <v>0</v>
      </c>
      <c r="F6621">
        <v>425</v>
      </c>
      <c r="G6621">
        <v>425</v>
      </c>
    </row>
    <row r="6622" spans="1:7" x14ac:dyDescent="0.2">
      <c r="A6622" t="s">
        <v>1813</v>
      </c>
      <c r="B6622">
        <v>0</v>
      </c>
      <c r="C6622">
        <v>0</v>
      </c>
      <c r="D6622">
        <v>0</v>
      </c>
      <c r="E6622">
        <v>0</v>
      </c>
      <c r="F6622">
        <v>0</v>
      </c>
      <c r="G6622">
        <v>0</v>
      </c>
    </row>
    <row r="6623" spans="1:7" x14ac:dyDescent="0.2">
      <c r="A6623" t="s">
        <v>1819</v>
      </c>
      <c r="B6623">
        <v>0</v>
      </c>
      <c r="C6623">
        <v>0</v>
      </c>
      <c r="D6623">
        <v>0</v>
      </c>
      <c r="E6623">
        <v>355</v>
      </c>
      <c r="F6623">
        <v>165</v>
      </c>
      <c r="G6623">
        <v>520</v>
      </c>
    </row>
    <row r="6624" spans="1:7" x14ac:dyDescent="0.2">
      <c r="A6624" t="s">
        <v>1826</v>
      </c>
      <c r="B6624">
        <v>0</v>
      </c>
      <c r="C6624">
        <v>0</v>
      </c>
      <c r="D6624">
        <v>0</v>
      </c>
      <c r="E6624">
        <v>0</v>
      </c>
      <c r="F6624">
        <v>13586</v>
      </c>
      <c r="G6624">
        <v>13586</v>
      </c>
    </row>
    <row r="6625" spans="1:15" x14ac:dyDescent="0.2">
      <c r="A6625" t="s">
        <v>1830</v>
      </c>
      <c r="B6625">
        <v>0</v>
      </c>
      <c r="C6625">
        <v>0</v>
      </c>
      <c r="D6625">
        <v>0</v>
      </c>
      <c r="E6625">
        <v>0</v>
      </c>
      <c r="F6625">
        <v>1567</v>
      </c>
      <c r="G6625">
        <v>1567</v>
      </c>
    </row>
    <row r="6626" spans="1:15" x14ac:dyDescent="0.2">
      <c r="A6626" t="s">
        <v>1836</v>
      </c>
      <c r="B6626">
        <v>0</v>
      </c>
      <c r="C6626">
        <v>0</v>
      </c>
      <c r="D6626">
        <v>0</v>
      </c>
      <c r="E6626">
        <v>0</v>
      </c>
      <c r="F6626">
        <v>0</v>
      </c>
      <c r="G6626">
        <v>0</v>
      </c>
    </row>
    <row r="6627" spans="1:15" x14ac:dyDescent="0.2">
      <c r="A6627" t="s">
        <v>1841</v>
      </c>
      <c r="B6627">
        <v>0</v>
      </c>
      <c r="C6627">
        <v>0</v>
      </c>
      <c r="D6627">
        <v>210</v>
      </c>
      <c r="E6627">
        <v>1525</v>
      </c>
      <c r="F6627">
        <v>57</v>
      </c>
      <c r="G6627">
        <v>1791</v>
      </c>
    </row>
    <row r="6628" spans="1:15" x14ac:dyDescent="0.2">
      <c r="A6628" t="s">
        <v>1842</v>
      </c>
      <c r="B6628">
        <v>0</v>
      </c>
      <c r="C6628">
        <v>287</v>
      </c>
      <c r="D6628">
        <v>639</v>
      </c>
      <c r="E6628">
        <v>1692</v>
      </c>
      <c r="F6628">
        <v>0</v>
      </c>
      <c r="G6628">
        <v>2618</v>
      </c>
    </row>
    <row r="6629" spans="1:15" x14ac:dyDescent="0.2">
      <c r="A6629" t="s">
        <v>1843</v>
      </c>
      <c r="B6629">
        <v>0</v>
      </c>
      <c r="C6629">
        <v>0</v>
      </c>
      <c r="D6629">
        <v>0</v>
      </c>
      <c r="E6629">
        <v>0</v>
      </c>
      <c r="F6629">
        <v>5048</v>
      </c>
      <c r="G6629">
        <v>5048</v>
      </c>
      <c r="J6629" s="2147"/>
      <c r="K6629" s="2155"/>
      <c r="L6629" s="2155"/>
      <c r="M6629" s="2155"/>
      <c r="N6629" s="2155"/>
      <c r="O6629" s="2026"/>
    </row>
    <row r="6630" spans="1:15" x14ac:dyDescent="0.2">
      <c r="A6630" t="s">
        <v>1846</v>
      </c>
      <c r="B6630">
        <v>0</v>
      </c>
      <c r="C6630">
        <v>0</v>
      </c>
      <c r="D6630">
        <v>0</v>
      </c>
      <c r="E6630">
        <v>0</v>
      </c>
      <c r="F6630">
        <v>0</v>
      </c>
      <c r="G6630">
        <v>0</v>
      </c>
      <c r="J6630" s="202"/>
      <c r="M6630" s="180" t="s">
        <v>5062</v>
      </c>
      <c r="O6630" s="47"/>
    </row>
    <row r="6631" spans="1:15" x14ac:dyDescent="0.2">
      <c r="A6631" t="s">
        <v>1851</v>
      </c>
      <c r="B6631">
        <v>0</v>
      </c>
      <c r="C6631">
        <v>0</v>
      </c>
      <c r="D6631">
        <v>0</v>
      </c>
      <c r="E6631">
        <v>3614</v>
      </c>
      <c r="F6631">
        <v>839</v>
      </c>
      <c r="G6631">
        <v>4453</v>
      </c>
      <c r="J6631" s="202" t="s">
        <v>126</v>
      </c>
      <c r="K6631" s="180" t="s">
        <v>1520</v>
      </c>
      <c r="L6631" t="s">
        <v>4264</v>
      </c>
      <c r="M6631" t="s">
        <v>2308</v>
      </c>
      <c r="N6631" t="s">
        <v>615</v>
      </c>
      <c r="O6631" s="47" t="s">
        <v>236</v>
      </c>
    </row>
    <row r="6632" spans="1:15" x14ac:dyDescent="0.2">
      <c r="A6632" t="s">
        <v>1857</v>
      </c>
      <c r="B6632">
        <v>0</v>
      </c>
      <c r="C6632">
        <v>0</v>
      </c>
      <c r="D6632">
        <v>0</v>
      </c>
      <c r="E6632">
        <v>16</v>
      </c>
      <c r="F6632">
        <v>0</v>
      </c>
      <c r="G6632">
        <v>16</v>
      </c>
      <c r="J6632" s="202" t="s">
        <v>5063</v>
      </c>
      <c r="K6632" s="550" t="s">
        <v>2328</v>
      </c>
      <c r="L6632">
        <f>D6633</f>
        <v>0</v>
      </c>
      <c r="M6632">
        <f>E6633</f>
        <v>11564</v>
      </c>
      <c r="N6632">
        <f>F6633</f>
        <v>7018</v>
      </c>
      <c r="O6632" s="47">
        <f>G6633</f>
        <v>18583</v>
      </c>
    </row>
    <row r="6633" spans="1:15" x14ac:dyDescent="0.2">
      <c r="A6633" t="s">
        <v>1862</v>
      </c>
      <c r="B6633">
        <v>0</v>
      </c>
      <c r="C6633">
        <v>0</v>
      </c>
      <c r="D6633">
        <v>0</v>
      </c>
      <c r="E6633">
        <v>11564</v>
      </c>
      <c r="F6633">
        <v>7018</v>
      </c>
      <c r="G6633">
        <v>18583</v>
      </c>
      <c r="J6633" s="202" t="s">
        <v>5063</v>
      </c>
      <c r="K6633" s="180" t="s">
        <v>234</v>
      </c>
      <c r="L6633">
        <f>D6843</f>
        <v>0</v>
      </c>
      <c r="M6633">
        <f>E6843</f>
        <v>4162</v>
      </c>
      <c r="N6633">
        <f>F6843</f>
        <v>987</v>
      </c>
      <c r="O6633" s="47">
        <f>G6843</f>
        <v>5149</v>
      </c>
    </row>
    <row r="6634" spans="1:15" x14ac:dyDescent="0.2">
      <c r="A6634" t="s">
        <v>1867</v>
      </c>
      <c r="B6634">
        <v>0</v>
      </c>
      <c r="C6634">
        <v>0</v>
      </c>
      <c r="D6634">
        <v>0</v>
      </c>
      <c r="E6634">
        <v>0</v>
      </c>
      <c r="F6634">
        <v>203</v>
      </c>
      <c r="G6634">
        <v>203</v>
      </c>
      <c r="J6634" s="202" t="s">
        <v>5063</v>
      </c>
      <c r="K6634" s="180" t="s">
        <v>236</v>
      </c>
      <c r="L6634">
        <f>SUM(L6632:L6633)</f>
        <v>0</v>
      </c>
      <c r="M6634">
        <f>SUM(M6632:M6633)</f>
        <v>15726</v>
      </c>
      <c r="N6634">
        <f>SUM(N6632:N6633)</f>
        <v>8005</v>
      </c>
      <c r="O6634" s="47">
        <f>SUM(O6632:O6633)</f>
        <v>23732</v>
      </c>
    </row>
    <row r="6635" spans="1:15" x14ac:dyDescent="0.2">
      <c r="A6635" t="s">
        <v>1870</v>
      </c>
      <c r="B6635">
        <v>0</v>
      </c>
      <c r="C6635">
        <v>0</v>
      </c>
      <c r="D6635">
        <v>0</v>
      </c>
      <c r="E6635">
        <v>0</v>
      </c>
      <c r="F6635">
        <v>0</v>
      </c>
      <c r="G6635">
        <v>0</v>
      </c>
      <c r="J6635" s="202"/>
      <c r="O6635" s="47"/>
    </row>
    <row r="6636" spans="1:15" x14ac:dyDescent="0.2">
      <c r="A6636" t="s">
        <v>1874</v>
      </c>
      <c r="B6636">
        <v>0</v>
      </c>
      <c r="C6636">
        <v>0</v>
      </c>
      <c r="D6636">
        <v>47</v>
      </c>
      <c r="E6636">
        <v>2253</v>
      </c>
      <c r="F6636">
        <v>0</v>
      </c>
      <c r="G6636">
        <v>2299</v>
      </c>
      <c r="J6636" s="202" t="s">
        <v>5063</v>
      </c>
      <c r="K6636" s="550" t="s">
        <v>2328</v>
      </c>
      <c r="M6636" s="951">
        <f>M6632/M6634</f>
        <v>0.73534274449955483</v>
      </c>
      <c r="N6636" s="951">
        <f>N6632/N6634</f>
        <v>0.87670206121174266</v>
      </c>
      <c r="O6636" s="952">
        <f>O6632/O6634</f>
        <v>0.78303556379571881</v>
      </c>
    </row>
    <row r="6637" spans="1:15" x14ac:dyDescent="0.2">
      <c r="A6637" t="s">
        <v>1876</v>
      </c>
      <c r="B6637">
        <v>0</v>
      </c>
      <c r="C6637">
        <v>0</v>
      </c>
      <c r="D6637">
        <v>0</v>
      </c>
      <c r="E6637">
        <v>0</v>
      </c>
      <c r="F6637">
        <v>653</v>
      </c>
      <c r="G6637">
        <v>653</v>
      </c>
      <c r="J6637" s="202" t="s">
        <v>5063</v>
      </c>
      <c r="K6637" s="37" t="s">
        <v>234</v>
      </c>
      <c r="M6637" s="953">
        <f>M6633/M6634</f>
        <v>0.26465725550044511</v>
      </c>
      <c r="N6637" s="953">
        <f>N6633/N6634</f>
        <v>0.12329793878825734</v>
      </c>
      <c r="O6637" s="952">
        <f>O6633/O6634</f>
        <v>0.21696443620428113</v>
      </c>
    </row>
    <row r="6638" spans="1:15" x14ac:dyDescent="0.2">
      <c r="A6638" t="s">
        <v>1881</v>
      </c>
      <c r="B6638">
        <v>0</v>
      </c>
      <c r="C6638">
        <v>0</v>
      </c>
      <c r="D6638">
        <v>0</v>
      </c>
      <c r="E6638">
        <v>0</v>
      </c>
      <c r="F6638">
        <v>160</v>
      </c>
      <c r="G6638">
        <v>160</v>
      </c>
      <c r="J6638" s="202" t="s">
        <v>5063</v>
      </c>
      <c r="K6638" s="180" t="s">
        <v>236</v>
      </c>
      <c r="O6638" s="47"/>
    </row>
    <row r="6639" spans="1:15" x14ac:dyDescent="0.2">
      <c r="A6639" t="s">
        <v>1885</v>
      </c>
      <c r="B6639">
        <v>1667</v>
      </c>
      <c r="C6639">
        <v>1634</v>
      </c>
      <c r="D6639">
        <v>2319</v>
      </c>
      <c r="E6639">
        <v>5329</v>
      </c>
      <c r="F6639">
        <v>276</v>
      </c>
      <c r="G6639">
        <v>11226</v>
      </c>
      <c r="J6639" s="202"/>
      <c r="M6639" s="1185">
        <v>0.85</v>
      </c>
      <c r="N6639" s="1185">
        <v>0.85</v>
      </c>
      <c r="O6639" s="120" t="s">
        <v>5064</v>
      </c>
    </row>
    <row r="6640" spans="1:15" x14ac:dyDescent="0.2">
      <c r="A6640" t="s">
        <v>1887</v>
      </c>
      <c r="B6640">
        <v>0</v>
      </c>
      <c r="C6640">
        <v>0</v>
      </c>
      <c r="D6640">
        <v>0</v>
      </c>
      <c r="E6640">
        <v>15</v>
      </c>
      <c r="F6640">
        <v>128</v>
      </c>
      <c r="G6640">
        <v>143</v>
      </c>
      <c r="J6640" s="202"/>
      <c r="O6640" s="47"/>
    </row>
    <row r="6641" spans="1:15" x14ac:dyDescent="0.2">
      <c r="A6641" t="s">
        <v>1893</v>
      </c>
      <c r="B6641">
        <v>0</v>
      </c>
      <c r="C6641">
        <v>0</v>
      </c>
      <c r="D6641">
        <v>0</v>
      </c>
      <c r="E6641">
        <v>823</v>
      </c>
      <c r="F6641">
        <v>251</v>
      </c>
      <c r="G6641">
        <v>1075</v>
      </c>
      <c r="J6641" s="202"/>
      <c r="M6641" s="180" t="s">
        <v>5062</v>
      </c>
      <c r="O6641" s="47"/>
    </row>
    <row r="6642" spans="1:15" x14ac:dyDescent="0.2">
      <c r="A6642" t="s">
        <v>1899</v>
      </c>
      <c r="B6642">
        <v>0</v>
      </c>
      <c r="C6642">
        <v>0</v>
      </c>
      <c r="D6642">
        <v>0</v>
      </c>
      <c r="E6642">
        <v>0</v>
      </c>
      <c r="F6642">
        <v>0</v>
      </c>
      <c r="G6642">
        <v>0</v>
      </c>
      <c r="J6642" s="202" t="s">
        <v>126</v>
      </c>
      <c r="K6642" s="180" t="s">
        <v>1520</v>
      </c>
      <c r="L6642" t="s">
        <v>4264</v>
      </c>
      <c r="M6642" t="s">
        <v>2308</v>
      </c>
      <c r="N6642" t="s">
        <v>615</v>
      </c>
      <c r="O6642" s="47" t="s">
        <v>236</v>
      </c>
    </row>
    <row r="6643" spans="1:15" x14ac:dyDescent="0.2">
      <c r="A6643" t="s">
        <v>1906</v>
      </c>
      <c r="B6643">
        <v>0</v>
      </c>
      <c r="C6643">
        <v>0</v>
      </c>
      <c r="D6643">
        <v>0</v>
      </c>
      <c r="E6643">
        <v>1901</v>
      </c>
      <c r="F6643">
        <v>23</v>
      </c>
      <c r="G6643">
        <v>1923</v>
      </c>
      <c r="J6643" s="202" t="s">
        <v>5065</v>
      </c>
      <c r="K6643" s="550" t="s">
        <v>2328</v>
      </c>
      <c r="L6643">
        <f>D6632</f>
        <v>0</v>
      </c>
      <c r="M6643">
        <f>E6632</f>
        <v>16</v>
      </c>
      <c r="N6643">
        <f>F6632</f>
        <v>0</v>
      </c>
      <c r="O6643" s="47">
        <f>G6632</f>
        <v>16</v>
      </c>
    </row>
    <row r="6644" spans="1:15" x14ac:dyDescent="0.2">
      <c r="A6644" t="s">
        <v>1911</v>
      </c>
      <c r="B6644">
        <v>0</v>
      </c>
      <c r="C6644">
        <v>0</v>
      </c>
      <c r="D6644">
        <v>0</v>
      </c>
      <c r="E6644">
        <v>0</v>
      </c>
      <c r="F6644">
        <v>0</v>
      </c>
      <c r="G6644">
        <v>0</v>
      </c>
      <c r="J6644" s="202" t="s">
        <v>5065</v>
      </c>
      <c r="K6644" s="180" t="s">
        <v>234</v>
      </c>
      <c r="L6644">
        <f>D6842</f>
        <v>0</v>
      </c>
      <c r="M6644">
        <f>E6842</f>
        <v>5</v>
      </c>
      <c r="N6644">
        <f>F6842</f>
        <v>0</v>
      </c>
      <c r="O6644" s="47">
        <f>G6842</f>
        <v>5</v>
      </c>
    </row>
    <row r="6645" spans="1:15" x14ac:dyDescent="0.2">
      <c r="A6645" t="s">
        <v>1917</v>
      </c>
      <c r="B6645">
        <v>0</v>
      </c>
      <c r="C6645">
        <v>0</v>
      </c>
      <c r="D6645">
        <v>0</v>
      </c>
      <c r="E6645">
        <v>306</v>
      </c>
      <c r="F6645">
        <v>255</v>
      </c>
      <c r="G6645">
        <v>561</v>
      </c>
      <c r="J6645" s="202" t="s">
        <v>5065</v>
      </c>
      <c r="K6645" s="180" t="s">
        <v>236</v>
      </c>
      <c r="L6645">
        <f>SUM(L6643:L6644)</f>
        <v>0</v>
      </c>
      <c r="M6645">
        <f>SUM(M6643:M6644)</f>
        <v>21</v>
      </c>
      <c r="N6645">
        <f>SUM(N6643:N6644)</f>
        <v>0</v>
      </c>
      <c r="O6645" s="47">
        <f>SUM(O6643:O6644)</f>
        <v>21</v>
      </c>
    </row>
    <row r="6646" spans="1:15" x14ac:dyDescent="0.2">
      <c r="A6646" t="s">
        <v>1922</v>
      </c>
      <c r="B6646">
        <v>0</v>
      </c>
      <c r="C6646">
        <v>0</v>
      </c>
      <c r="D6646">
        <v>0</v>
      </c>
      <c r="E6646">
        <v>506</v>
      </c>
      <c r="F6646">
        <v>173</v>
      </c>
      <c r="G6646">
        <v>679</v>
      </c>
      <c r="J6646" s="202"/>
      <c r="O6646" s="47"/>
    </row>
    <row r="6647" spans="1:15" x14ac:dyDescent="0.2">
      <c r="A6647" t="s">
        <v>1928</v>
      </c>
      <c r="B6647">
        <v>0</v>
      </c>
      <c r="C6647">
        <v>0</v>
      </c>
      <c r="D6647">
        <v>0</v>
      </c>
      <c r="E6647">
        <v>0</v>
      </c>
      <c r="F6647">
        <v>15828</v>
      </c>
      <c r="G6647">
        <v>15828</v>
      </c>
      <c r="J6647" s="202" t="s">
        <v>5065</v>
      </c>
      <c r="K6647" s="550" t="s">
        <v>2328</v>
      </c>
      <c r="M6647" s="951">
        <f>M6643/M6645</f>
        <v>0.76190476190476186</v>
      </c>
      <c r="N6647" s="951" t="e">
        <f>N6643/N6645</f>
        <v>#DIV/0!</v>
      </c>
      <c r="O6647" s="952">
        <f>O6643/O6645</f>
        <v>0.76190476190476186</v>
      </c>
    </row>
    <row r="6648" spans="1:15" x14ac:dyDescent="0.2">
      <c r="A6648" t="s">
        <v>1932</v>
      </c>
      <c r="B6648">
        <v>0</v>
      </c>
      <c r="C6648">
        <v>0</v>
      </c>
      <c r="D6648">
        <v>0</v>
      </c>
      <c r="E6648">
        <v>0</v>
      </c>
      <c r="F6648">
        <v>1667</v>
      </c>
      <c r="G6648">
        <v>1667</v>
      </c>
      <c r="J6648" s="202" t="s">
        <v>5065</v>
      </c>
      <c r="K6648" s="37" t="s">
        <v>234</v>
      </c>
      <c r="M6648" s="953">
        <f>M6644/M6645</f>
        <v>0.23809523809523808</v>
      </c>
      <c r="N6648" s="953" t="e">
        <f>N6644/N6645</f>
        <v>#DIV/0!</v>
      </c>
      <c r="O6648" s="952">
        <f>O6644/O6645</f>
        <v>0.23809523809523808</v>
      </c>
    </row>
    <row r="6649" spans="1:15" x14ac:dyDescent="0.2">
      <c r="A6649" t="s">
        <v>1938</v>
      </c>
      <c r="B6649">
        <v>0</v>
      </c>
      <c r="C6649">
        <v>0</v>
      </c>
      <c r="D6649">
        <v>0</v>
      </c>
      <c r="E6649">
        <v>0</v>
      </c>
      <c r="F6649">
        <v>57</v>
      </c>
      <c r="G6649">
        <v>57</v>
      </c>
      <c r="J6649" s="202" t="s">
        <v>5065</v>
      </c>
      <c r="K6649" s="180" t="s">
        <v>236</v>
      </c>
      <c r="O6649" s="47"/>
    </row>
    <row r="6650" spans="1:15" x14ac:dyDescent="0.2">
      <c r="A6650" t="s">
        <v>1944</v>
      </c>
      <c r="B6650">
        <v>3</v>
      </c>
      <c r="C6650">
        <v>148</v>
      </c>
      <c r="D6650">
        <v>539</v>
      </c>
      <c r="E6650">
        <v>1000</v>
      </c>
      <c r="F6650">
        <v>36</v>
      </c>
      <c r="G6650">
        <v>1726</v>
      </c>
      <c r="J6650" s="1610"/>
      <c r="K6650" s="1596"/>
      <c r="L6650" s="1596"/>
      <c r="M6650" s="1720">
        <v>0.75</v>
      </c>
      <c r="N6650" s="1720">
        <v>0.7</v>
      </c>
      <c r="O6650" s="1638" t="s">
        <v>5066</v>
      </c>
    </row>
    <row r="6651" spans="1:15" x14ac:dyDescent="0.2">
      <c r="A6651" t="s">
        <v>1947</v>
      </c>
      <c r="B6651">
        <v>0</v>
      </c>
      <c r="C6651">
        <v>0</v>
      </c>
      <c r="D6651">
        <v>0</v>
      </c>
      <c r="E6651">
        <v>0</v>
      </c>
      <c r="F6651">
        <v>31</v>
      </c>
      <c r="G6651">
        <v>31</v>
      </c>
    </row>
    <row r="6652" spans="1:15" x14ac:dyDescent="0.2">
      <c r="A6652" t="s">
        <v>1953</v>
      </c>
      <c r="B6652">
        <v>0</v>
      </c>
      <c r="C6652">
        <v>0</v>
      </c>
      <c r="D6652">
        <v>0</v>
      </c>
      <c r="E6652">
        <v>20</v>
      </c>
      <c r="F6652">
        <v>70</v>
      </c>
      <c r="G6652">
        <v>90</v>
      </c>
    </row>
    <row r="6653" spans="1:15" x14ac:dyDescent="0.2">
      <c r="A6653" t="s">
        <v>1958</v>
      </c>
      <c r="B6653">
        <v>0</v>
      </c>
      <c r="C6653">
        <v>0</v>
      </c>
      <c r="D6653">
        <v>0</v>
      </c>
      <c r="E6653">
        <v>0</v>
      </c>
      <c r="F6653">
        <v>0</v>
      </c>
      <c r="G6653">
        <v>0</v>
      </c>
    </row>
    <row r="6654" spans="1:15" x14ac:dyDescent="0.2">
      <c r="A6654" t="s">
        <v>1964</v>
      </c>
      <c r="B6654">
        <v>0</v>
      </c>
      <c r="C6654">
        <v>0</v>
      </c>
      <c r="D6654">
        <v>0</v>
      </c>
      <c r="E6654">
        <v>5</v>
      </c>
      <c r="F6654">
        <v>48</v>
      </c>
      <c r="G6654">
        <v>53</v>
      </c>
    </row>
    <row r="6655" spans="1:15" x14ac:dyDescent="0.2">
      <c r="A6655" t="s">
        <v>1973</v>
      </c>
      <c r="B6655">
        <v>0</v>
      </c>
      <c r="C6655">
        <v>0</v>
      </c>
      <c r="D6655">
        <v>0</v>
      </c>
      <c r="E6655">
        <v>0</v>
      </c>
      <c r="F6655">
        <v>1907</v>
      </c>
      <c r="G6655">
        <v>1907</v>
      </c>
    </row>
    <row r="6656" spans="1:15" x14ac:dyDescent="0.2">
      <c r="A6656" t="s">
        <v>1978</v>
      </c>
      <c r="B6656">
        <v>0</v>
      </c>
      <c r="C6656">
        <v>0</v>
      </c>
      <c r="D6656">
        <v>0</v>
      </c>
      <c r="E6656">
        <v>0</v>
      </c>
      <c r="F6656">
        <v>1075</v>
      </c>
      <c r="G6656">
        <v>1075</v>
      </c>
    </row>
    <row r="6657" spans="1:7" x14ac:dyDescent="0.2">
      <c r="A6657" t="s">
        <v>1983</v>
      </c>
      <c r="B6657">
        <v>89</v>
      </c>
      <c r="C6657">
        <v>6</v>
      </c>
      <c r="D6657">
        <v>15</v>
      </c>
      <c r="E6657">
        <v>77</v>
      </c>
      <c r="F6657">
        <v>18</v>
      </c>
      <c r="G6657">
        <v>205</v>
      </c>
    </row>
    <row r="6658" spans="1:7" x14ac:dyDescent="0.2">
      <c r="A6658" t="s">
        <v>1984</v>
      </c>
      <c r="B6658">
        <v>0</v>
      </c>
      <c r="C6658">
        <v>0</v>
      </c>
      <c r="D6658">
        <v>0</v>
      </c>
      <c r="E6658">
        <v>0</v>
      </c>
      <c r="F6658">
        <v>0</v>
      </c>
      <c r="G6658">
        <v>0</v>
      </c>
    </row>
    <row r="6659" spans="1:7" x14ac:dyDescent="0.2">
      <c r="A6659" t="s">
        <v>1990</v>
      </c>
      <c r="B6659">
        <v>0</v>
      </c>
      <c r="C6659">
        <v>0</v>
      </c>
      <c r="D6659">
        <v>0</v>
      </c>
      <c r="E6659">
        <v>16</v>
      </c>
      <c r="F6659">
        <v>38</v>
      </c>
      <c r="G6659">
        <v>54</v>
      </c>
    </row>
    <row r="6660" spans="1:7" x14ac:dyDescent="0.2">
      <c r="A6660" t="s">
        <v>1996</v>
      </c>
      <c r="B6660">
        <v>0</v>
      </c>
      <c r="C6660">
        <v>0</v>
      </c>
      <c r="D6660">
        <v>0</v>
      </c>
      <c r="E6660">
        <v>0</v>
      </c>
      <c r="F6660">
        <v>0</v>
      </c>
      <c r="G6660">
        <v>0</v>
      </c>
    </row>
    <row r="6661" spans="1:7" x14ac:dyDescent="0.2">
      <c r="A6661" t="s">
        <v>1998</v>
      </c>
      <c r="B6661">
        <v>0</v>
      </c>
      <c r="C6661">
        <v>0</v>
      </c>
      <c r="D6661">
        <v>0</v>
      </c>
      <c r="E6661">
        <v>0</v>
      </c>
      <c r="F6661">
        <v>0</v>
      </c>
      <c r="G6661">
        <v>0</v>
      </c>
    </row>
    <row r="6662" spans="1:7" x14ac:dyDescent="0.2">
      <c r="A6662" t="s">
        <v>1999</v>
      </c>
      <c r="B6662">
        <v>0</v>
      </c>
      <c r="C6662">
        <v>0</v>
      </c>
      <c r="D6662">
        <v>0</v>
      </c>
      <c r="E6662">
        <v>0</v>
      </c>
      <c r="F6662">
        <v>46</v>
      </c>
      <c r="G6662">
        <v>46</v>
      </c>
    </row>
    <row r="6663" spans="1:7" x14ac:dyDescent="0.2">
      <c r="A6663" t="s">
        <v>2004</v>
      </c>
      <c r="B6663">
        <v>0</v>
      </c>
      <c r="C6663">
        <v>0</v>
      </c>
      <c r="D6663">
        <v>0</v>
      </c>
      <c r="E6663">
        <v>33</v>
      </c>
      <c r="F6663">
        <v>55</v>
      </c>
      <c r="G6663">
        <v>88</v>
      </c>
    </row>
    <row r="6664" spans="1:7" x14ac:dyDescent="0.2">
      <c r="A6664" t="s">
        <v>2009</v>
      </c>
      <c r="B6664">
        <v>0</v>
      </c>
      <c r="C6664">
        <v>0</v>
      </c>
      <c r="D6664">
        <v>0</v>
      </c>
      <c r="E6664">
        <v>0</v>
      </c>
      <c r="F6664">
        <v>0</v>
      </c>
      <c r="G6664">
        <v>0</v>
      </c>
    </row>
    <row r="6665" spans="1:7" x14ac:dyDescent="0.2">
      <c r="A6665" t="s">
        <v>2014</v>
      </c>
      <c r="B6665">
        <v>0</v>
      </c>
      <c r="C6665">
        <v>0</v>
      </c>
      <c r="D6665">
        <v>0</v>
      </c>
      <c r="E6665">
        <v>2454</v>
      </c>
      <c r="F6665">
        <v>1398</v>
      </c>
      <c r="G6665">
        <v>3852</v>
      </c>
    </row>
    <row r="6666" spans="1:7" x14ac:dyDescent="0.2">
      <c r="A6666" t="s">
        <v>2019</v>
      </c>
      <c r="B6666">
        <v>0</v>
      </c>
      <c r="C6666">
        <v>0</v>
      </c>
      <c r="D6666">
        <v>0</v>
      </c>
      <c r="E6666">
        <v>0</v>
      </c>
      <c r="F6666">
        <v>0</v>
      </c>
      <c r="G6666">
        <v>0</v>
      </c>
    </row>
    <row r="6667" spans="1:7" x14ac:dyDescent="0.2">
      <c r="A6667" t="s">
        <v>2023</v>
      </c>
      <c r="B6667">
        <v>0</v>
      </c>
      <c r="C6667">
        <v>0</v>
      </c>
      <c r="D6667">
        <v>0</v>
      </c>
      <c r="E6667">
        <v>0</v>
      </c>
      <c r="F6667">
        <v>113</v>
      </c>
      <c r="G6667">
        <v>113</v>
      </c>
    </row>
    <row r="6668" spans="1:7" x14ac:dyDescent="0.2">
      <c r="A6668" t="s">
        <v>2026</v>
      </c>
      <c r="B6668">
        <v>0</v>
      </c>
      <c r="C6668">
        <v>0</v>
      </c>
      <c r="D6668">
        <v>0</v>
      </c>
      <c r="E6668">
        <v>0</v>
      </c>
      <c r="F6668">
        <v>870</v>
      </c>
      <c r="G6668">
        <v>870</v>
      </c>
    </row>
    <row r="6669" spans="1:7" x14ac:dyDescent="0.2">
      <c r="A6669" t="s">
        <v>2030</v>
      </c>
      <c r="B6669">
        <v>0</v>
      </c>
      <c r="C6669">
        <v>0</v>
      </c>
      <c r="D6669">
        <v>0</v>
      </c>
      <c r="E6669">
        <v>0</v>
      </c>
      <c r="F6669">
        <v>1</v>
      </c>
      <c r="G6669">
        <v>1</v>
      </c>
    </row>
    <row r="6670" spans="1:7" x14ac:dyDescent="0.2">
      <c r="A6670" t="s">
        <v>2035</v>
      </c>
      <c r="B6670">
        <v>0</v>
      </c>
      <c r="C6670">
        <v>0</v>
      </c>
      <c r="D6670">
        <v>0</v>
      </c>
      <c r="E6670">
        <v>0</v>
      </c>
      <c r="F6670">
        <v>0</v>
      </c>
      <c r="G6670">
        <v>0</v>
      </c>
    </row>
    <row r="6671" spans="1:7" x14ac:dyDescent="0.2">
      <c r="A6671" t="s">
        <v>2040</v>
      </c>
      <c r="B6671">
        <v>0</v>
      </c>
      <c r="C6671">
        <v>0</v>
      </c>
      <c r="D6671">
        <v>0</v>
      </c>
      <c r="E6671">
        <v>0</v>
      </c>
      <c r="F6671">
        <v>117</v>
      </c>
      <c r="G6671">
        <v>117</v>
      </c>
    </row>
    <row r="6672" spans="1:7" x14ac:dyDescent="0.2">
      <c r="A6672" t="s">
        <v>2045</v>
      </c>
      <c r="B6672">
        <v>0</v>
      </c>
      <c r="C6672">
        <v>0</v>
      </c>
      <c r="D6672">
        <v>0</v>
      </c>
      <c r="E6672">
        <v>0</v>
      </c>
      <c r="F6672">
        <v>5</v>
      </c>
      <c r="G6672">
        <v>5</v>
      </c>
    </row>
    <row r="6673" spans="1:7" x14ac:dyDescent="0.2">
      <c r="A6673" t="s">
        <v>2049</v>
      </c>
      <c r="B6673">
        <v>0</v>
      </c>
      <c r="C6673">
        <v>0</v>
      </c>
      <c r="D6673">
        <v>723</v>
      </c>
      <c r="E6673">
        <v>1911</v>
      </c>
      <c r="F6673">
        <v>349</v>
      </c>
      <c r="G6673">
        <v>2984</v>
      </c>
    </row>
    <row r="6674" spans="1:7" x14ac:dyDescent="0.2">
      <c r="A6674" t="s">
        <v>2051</v>
      </c>
      <c r="B6674">
        <v>0</v>
      </c>
      <c r="C6674">
        <v>0</v>
      </c>
      <c r="D6674">
        <v>0</v>
      </c>
      <c r="E6674">
        <v>0</v>
      </c>
      <c r="F6674">
        <v>745</v>
      </c>
      <c r="G6674">
        <v>745</v>
      </c>
    </row>
    <row r="6675" spans="1:7" x14ac:dyDescent="0.2">
      <c r="A6675" t="s">
        <v>2057</v>
      </c>
      <c r="B6675">
        <v>0</v>
      </c>
      <c r="C6675">
        <v>0</v>
      </c>
      <c r="D6675">
        <v>3</v>
      </c>
      <c r="E6675">
        <v>46</v>
      </c>
      <c r="F6675">
        <v>1233</v>
      </c>
      <c r="G6675">
        <v>1282</v>
      </c>
    </row>
    <row r="6676" spans="1:7" x14ac:dyDescent="0.2">
      <c r="A6676" t="s">
        <v>4344</v>
      </c>
      <c r="B6676">
        <v>0</v>
      </c>
      <c r="C6676">
        <v>0</v>
      </c>
      <c r="D6676">
        <v>0</v>
      </c>
      <c r="E6676">
        <v>279</v>
      </c>
      <c r="F6676">
        <v>24</v>
      </c>
      <c r="G6676">
        <v>303</v>
      </c>
    </row>
    <row r="6677" spans="1:7" x14ac:dyDescent="0.2">
      <c r="A6677" t="s">
        <v>4345</v>
      </c>
      <c r="B6677">
        <v>0</v>
      </c>
      <c r="C6677">
        <v>0</v>
      </c>
      <c r="D6677">
        <v>0</v>
      </c>
      <c r="E6677">
        <v>1087</v>
      </c>
      <c r="F6677">
        <v>662</v>
      </c>
      <c r="G6677">
        <v>1749</v>
      </c>
    </row>
    <row r="6678" spans="1:7" x14ac:dyDescent="0.2">
      <c r="A6678" t="s">
        <v>2074</v>
      </c>
      <c r="B6678">
        <v>0</v>
      </c>
      <c r="C6678">
        <v>0</v>
      </c>
      <c r="D6678">
        <v>0</v>
      </c>
      <c r="E6678">
        <v>216</v>
      </c>
      <c r="F6678">
        <v>0</v>
      </c>
      <c r="G6678">
        <v>216</v>
      </c>
    </row>
    <row r="6679" spans="1:7" x14ac:dyDescent="0.2">
      <c r="A6679" t="s">
        <v>2079</v>
      </c>
      <c r="B6679">
        <v>0</v>
      </c>
      <c r="C6679">
        <v>0</v>
      </c>
      <c r="D6679">
        <v>0</v>
      </c>
      <c r="E6679">
        <v>605</v>
      </c>
      <c r="F6679">
        <v>73</v>
      </c>
      <c r="G6679">
        <v>678</v>
      </c>
    </row>
    <row r="6680" spans="1:7" x14ac:dyDescent="0.2">
      <c r="A6680" t="s">
        <v>2085</v>
      </c>
      <c r="B6680">
        <v>0</v>
      </c>
      <c r="C6680">
        <v>0</v>
      </c>
      <c r="D6680">
        <v>0</v>
      </c>
      <c r="E6680">
        <v>6</v>
      </c>
      <c r="F6680">
        <v>1</v>
      </c>
      <c r="G6680">
        <v>7</v>
      </c>
    </row>
    <row r="6681" spans="1:7" x14ac:dyDescent="0.2">
      <c r="A6681" t="s">
        <v>2091</v>
      </c>
      <c r="B6681">
        <v>0</v>
      </c>
      <c r="C6681">
        <v>0</v>
      </c>
      <c r="D6681">
        <v>0</v>
      </c>
      <c r="E6681">
        <v>707</v>
      </c>
      <c r="F6681">
        <v>526</v>
      </c>
      <c r="G6681">
        <v>1234</v>
      </c>
    </row>
    <row r="6682" spans="1:7" x14ac:dyDescent="0.2">
      <c r="A6682" t="s">
        <v>2097</v>
      </c>
      <c r="B6682">
        <v>0</v>
      </c>
      <c r="C6682">
        <v>0</v>
      </c>
      <c r="D6682">
        <v>0</v>
      </c>
      <c r="E6682">
        <v>0</v>
      </c>
      <c r="F6682">
        <v>270</v>
      </c>
      <c r="G6682">
        <v>270</v>
      </c>
    </row>
    <row r="6683" spans="1:7" x14ac:dyDescent="0.2">
      <c r="A6683" t="s">
        <v>2101</v>
      </c>
      <c r="B6683">
        <v>0</v>
      </c>
      <c r="C6683">
        <v>0</v>
      </c>
      <c r="D6683">
        <v>0</v>
      </c>
      <c r="E6683">
        <v>0</v>
      </c>
      <c r="F6683">
        <v>213</v>
      </c>
      <c r="G6683">
        <v>213</v>
      </c>
    </row>
    <row r="6684" spans="1:7" x14ac:dyDescent="0.2">
      <c r="A6684" t="s">
        <v>2104</v>
      </c>
      <c r="B6684">
        <v>0</v>
      </c>
      <c r="C6684">
        <v>0</v>
      </c>
      <c r="D6684">
        <v>0</v>
      </c>
      <c r="E6684">
        <v>0</v>
      </c>
      <c r="F6684">
        <v>0</v>
      </c>
      <c r="G6684">
        <v>0</v>
      </c>
    </row>
    <row r="6685" spans="1:7" x14ac:dyDescent="0.2">
      <c r="A6685" t="s">
        <v>2107</v>
      </c>
      <c r="B6685">
        <v>0</v>
      </c>
      <c r="C6685">
        <v>0</v>
      </c>
      <c r="D6685">
        <v>0</v>
      </c>
      <c r="E6685">
        <v>0</v>
      </c>
      <c r="F6685">
        <v>353</v>
      </c>
      <c r="G6685">
        <v>353</v>
      </c>
    </row>
    <row r="6686" spans="1:7" x14ac:dyDescent="0.2">
      <c r="A6686" t="s">
        <v>2110</v>
      </c>
      <c r="B6686">
        <v>0</v>
      </c>
      <c r="C6686">
        <v>0</v>
      </c>
      <c r="D6686">
        <v>0</v>
      </c>
      <c r="E6686">
        <v>0</v>
      </c>
      <c r="F6686">
        <v>0</v>
      </c>
      <c r="G6686">
        <v>0</v>
      </c>
    </row>
    <row r="6687" spans="1:7" x14ac:dyDescent="0.2">
      <c r="A6687" t="s">
        <v>2113</v>
      </c>
      <c r="B6687">
        <v>0</v>
      </c>
      <c r="C6687">
        <v>0</v>
      </c>
      <c r="D6687">
        <v>0</v>
      </c>
      <c r="E6687">
        <v>0</v>
      </c>
      <c r="F6687">
        <v>0</v>
      </c>
      <c r="G6687">
        <v>0</v>
      </c>
    </row>
    <row r="6688" spans="1:7" x14ac:dyDescent="0.2">
      <c r="A6688" t="s">
        <v>4346</v>
      </c>
      <c r="B6688">
        <v>0</v>
      </c>
      <c r="C6688">
        <v>0</v>
      </c>
      <c r="D6688">
        <v>0</v>
      </c>
      <c r="E6688">
        <v>0</v>
      </c>
      <c r="F6688">
        <v>460</v>
      </c>
      <c r="G6688">
        <v>460</v>
      </c>
    </row>
    <row r="6689" spans="1:7" x14ac:dyDescent="0.2">
      <c r="A6689" t="s">
        <v>4347</v>
      </c>
      <c r="B6689">
        <v>0</v>
      </c>
      <c r="C6689">
        <v>0</v>
      </c>
      <c r="D6689">
        <v>0</v>
      </c>
      <c r="E6689">
        <v>0</v>
      </c>
      <c r="F6689">
        <v>998</v>
      </c>
      <c r="G6689">
        <v>998</v>
      </c>
    </row>
    <row r="6690" spans="1:7" x14ac:dyDescent="0.2">
      <c r="A6690" t="s">
        <v>4348</v>
      </c>
      <c r="B6690">
        <v>0</v>
      </c>
      <c r="C6690">
        <v>0</v>
      </c>
      <c r="D6690">
        <v>0</v>
      </c>
      <c r="E6690">
        <v>0</v>
      </c>
      <c r="F6690">
        <v>0</v>
      </c>
      <c r="G6690">
        <v>0</v>
      </c>
    </row>
    <row r="6691" spans="1:7" x14ac:dyDescent="0.2">
      <c r="A6691" t="s">
        <v>4349</v>
      </c>
      <c r="B6691">
        <v>0</v>
      </c>
      <c r="C6691">
        <v>0</v>
      </c>
      <c r="D6691">
        <v>0</v>
      </c>
      <c r="E6691">
        <v>0</v>
      </c>
      <c r="F6691">
        <v>0</v>
      </c>
      <c r="G6691">
        <v>0</v>
      </c>
    </row>
    <row r="6692" spans="1:7" x14ac:dyDescent="0.2">
      <c r="A6692" t="s">
        <v>4350</v>
      </c>
      <c r="B6692">
        <v>0</v>
      </c>
      <c r="C6692">
        <v>15580</v>
      </c>
      <c r="D6692">
        <v>63106</v>
      </c>
      <c r="E6692">
        <v>1491</v>
      </c>
      <c r="F6692">
        <v>0</v>
      </c>
      <c r="G6692">
        <v>80176</v>
      </c>
    </row>
    <row r="6693" spans="1:7" x14ac:dyDescent="0.2">
      <c r="A6693" t="s">
        <v>4351</v>
      </c>
      <c r="B6693">
        <v>0</v>
      </c>
      <c r="C6693">
        <v>0</v>
      </c>
      <c r="D6693">
        <v>0</v>
      </c>
      <c r="E6693">
        <v>2</v>
      </c>
      <c r="F6693">
        <v>0</v>
      </c>
      <c r="G6693">
        <v>2</v>
      </c>
    </row>
    <row r="6694" spans="1:7" x14ac:dyDescent="0.2">
      <c r="A6694" t="s">
        <v>4352</v>
      </c>
      <c r="B6694">
        <v>0</v>
      </c>
      <c r="C6694">
        <v>0</v>
      </c>
      <c r="D6694">
        <v>0</v>
      </c>
      <c r="E6694">
        <v>0</v>
      </c>
      <c r="F6694">
        <v>0</v>
      </c>
      <c r="G6694">
        <v>0</v>
      </c>
    </row>
    <row r="6695" spans="1:7" x14ac:dyDescent="0.2">
      <c r="A6695" t="s">
        <v>4353</v>
      </c>
      <c r="B6695">
        <v>27</v>
      </c>
      <c r="C6695">
        <v>2864</v>
      </c>
      <c r="D6695">
        <v>1410</v>
      </c>
      <c r="E6695">
        <v>97</v>
      </c>
      <c r="F6695">
        <v>0</v>
      </c>
      <c r="G6695">
        <v>4398</v>
      </c>
    </row>
    <row r="6696" spans="1:7" x14ac:dyDescent="0.2">
      <c r="A6696" t="s">
        <v>4354</v>
      </c>
      <c r="B6696">
        <v>100</v>
      </c>
      <c r="C6696">
        <v>1300</v>
      </c>
      <c r="D6696">
        <v>467</v>
      </c>
      <c r="E6696">
        <v>13</v>
      </c>
      <c r="F6696">
        <v>0</v>
      </c>
      <c r="G6696">
        <v>1881</v>
      </c>
    </row>
    <row r="6697" spans="1:7" x14ac:dyDescent="0.2">
      <c r="A6697" t="s">
        <v>4355</v>
      </c>
      <c r="B6697">
        <v>0</v>
      </c>
      <c r="C6697">
        <v>0</v>
      </c>
      <c r="D6697">
        <v>0</v>
      </c>
      <c r="E6697">
        <v>0</v>
      </c>
      <c r="F6697">
        <v>0</v>
      </c>
      <c r="G6697">
        <v>0</v>
      </c>
    </row>
    <row r="6698" spans="1:7" x14ac:dyDescent="0.2">
      <c r="A6698" t="s">
        <v>4356</v>
      </c>
      <c r="B6698">
        <v>0</v>
      </c>
      <c r="C6698">
        <v>0</v>
      </c>
      <c r="D6698">
        <v>0</v>
      </c>
      <c r="E6698">
        <v>0</v>
      </c>
      <c r="F6698">
        <v>0</v>
      </c>
      <c r="G6698">
        <v>0</v>
      </c>
    </row>
    <row r="6699" spans="1:7" x14ac:dyDescent="0.2">
      <c r="A6699" t="s">
        <v>4357</v>
      </c>
      <c r="B6699">
        <v>112</v>
      </c>
      <c r="C6699">
        <v>8847</v>
      </c>
      <c r="D6699">
        <v>6262</v>
      </c>
      <c r="E6699">
        <v>0</v>
      </c>
      <c r="F6699">
        <v>0</v>
      </c>
      <c r="G6699">
        <v>15221</v>
      </c>
    </row>
    <row r="6700" spans="1:7" x14ac:dyDescent="0.2">
      <c r="A6700" t="s">
        <v>4358</v>
      </c>
      <c r="B6700">
        <v>0</v>
      </c>
      <c r="C6700">
        <v>838</v>
      </c>
      <c r="D6700">
        <v>1554</v>
      </c>
      <c r="E6700">
        <v>0</v>
      </c>
      <c r="F6700">
        <v>0</v>
      </c>
      <c r="G6700">
        <v>2392</v>
      </c>
    </row>
    <row r="6701" spans="1:7" x14ac:dyDescent="0.2">
      <c r="A6701" t="s">
        <v>4359</v>
      </c>
      <c r="B6701">
        <v>0</v>
      </c>
      <c r="C6701">
        <v>0</v>
      </c>
      <c r="D6701">
        <v>0</v>
      </c>
      <c r="E6701">
        <v>0</v>
      </c>
      <c r="F6701">
        <v>0</v>
      </c>
      <c r="G6701">
        <v>0</v>
      </c>
    </row>
    <row r="6702" spans="1:7" x14ac:dyDescent="0.2">
      <c r="A6702" t="s">
        <v>4360</v>
      </c>
      <c r="B6702">
        <v>2</v>
      </c>
      <c r="C6702">
        <v>3</v>
      </c>
      <c r="D6702">
        <v>283</v>
      </c>
      <c r="E6702">
        <v>172</v>
      </c>
      <c r="F6702">
        <v>6</v>
      </c>
      <c r="G6702">
        <v>466</v>
      </c>
    </row>
    <row r="6703" spans="1:7" x14ac:dyDescent="0.2">
      <c r="A6703" t="s">
        <v>4361</v>
      </c>
      <c r="B6703">
        <v>0</v>
      </c>
      <c r="C6703">
        <v>0</v>
      </c>
      <c r="D6703">
        <v>2959</v>
      </c>
      <c r="E6703">
        <v>146</v>
      </c>
      <c r="F6703">
        <v>26</v>
      </c>
      <c r="G6703">
        <v>3131</v>
      </c>
    </row>
    <row r="6704" spans="1:7" x14ac:dyDescent="0.2">
      <c r="A6704" t="s">
        <v>4362</v>
      </c>
      <c r="B6704">
        <v>0</v>
      </c>
      <c r="C6704">
        <v>0</v>
      </c>
      <c r="D6704">
        <v>0</v>
      </c>
      <c r="E6704">
        <v>185</v>
      </c>
      <c r="F6704">
        <v>38</v>
      </c>
      <c r="G6704">
        <v>223</v>
      </c>
    </row>
    <row r="6705" spans="1:7" x14ac:dyDescent="0.2">
      <c r="A6705" t="s">
        <v>4363</v>
      </c>
      <c r="B6705">
        <v>0</v>
      </c>
      <c r="C6705">
        <v>0</v>
      </c>
      <c r="D6705">
        <v>0</v>
      </c>
      <c r="E6705">
        <v>0</v>
      </c>
      <c r="F6705">
        <v>0</v>
      </c>
      <c r="G6705">
        <v>0</v>
      </c>
    </row>
    <row r="6706" spans="1:7" x14ac:dyDescent="0.2">
      <c r="A6706" t="s">
        <v>4364</v>
      </c>
      <c r="B6706">
        <v>0</v>
      </c>
      <c r="C6706">
        <v>0</v>
      </c>
      <c r="D6706">
        <v>0</v>
      </c>
      <c r="E6706">
        <v>0</v>
      </c>
      <c r="F6706">
        <v>0</v>
      </c>
      <c r="G6706">
        <v>0</v>
      </c>
    </row>
    <row r="6707" spans="1:7" x14ac:dyDescent="0.2">
      <c r="A6707" t="s">
        <v>4365</v>
      </c>
      <c r="B6707">
        <v>16</v>
      </c>
      <c r="C6707">
        <v>714</v>
      </c>
      <c r="D6707">
        <v>615</v>
      </c>
      <c r="E6707">
        <v>0</v>
      </c>
      <c r="F6707">
        <v>0</v>
      </c>
      <c r="G6707">
        <v>1346</v>
      </c>
    </row>
    <row r="6708" spans="1:7" x14ac:dyDescent="0.2">
      <c r="A6708" t="s">
        <v>4366</v>
      </c>
      <c r="B6708">
        <v>2120</v>
      </c>
      <c r="C6708">
        <v>32143</v>
      </c>
      <c r="D6708">
        <v>16479</v>
      </c>
      <c r="E6708">
        <v>1790</v>
      </c>
      <c r="F6708">
        <v>0</v>
      </c>
      <c r="G6708">
        <v>52531</v>
      </c>
    </row>
    <row r="6709" spans="1:7" x14ac:dyDescent="0.2">
      <c r="A6709" t="s">
        <v>4367</v>
      </c>
      <c r="B6709">
        <v>70</v>
      </c>
      <c r="C6709">
        <v>1308</v>
      </c>
      <c r="D6709">
        <v>3768</v>
      </c>
      <c r="E6709">
        <v>297</v>
      </c>
      <c r="F6709">
        <v>0</v>
      </c>
      <c r="G6709">
        <v>5443</v>
      </c>
    </row>
    <row r="6710" spans="1:7" x14ac:dyDescent="0.2">
      <c r="A6710" t="s">
        <v>4368</v>
      </c>
      <c r="B6710">
        <v>88</v>
      </c>
      <c r="C6710">
        <v>311</v>
      </c>
      <c r="D6710">
        <v>557</v>
      </c>
      <c r="E6710">
        <v>1217</v>
      </c>
      <c r="F6710">
        <v>240</v>
      </c>
      <c r="G6710">
        <v>2413</v>
      </c>
    </row>
    <row r="6711" spans="1:7" x14ac:dyDescent="0.2">
      <c r="A6711" t="s">
        <v>4369</v>
      </c>
      <c r="B6711">
        <v>443</v>
      </c>
      <c r="C6711">
        <v>1783</v>
      </c>
      <c r="D6711">
        <v>7413</v>
      </c>
      <c r="E6711">
        <v>2123</v>
      </c>
      <c r="F6711">
        <v>0</v>
      </c>
      <c r="G6711">
        <v>11762</v>
      </c>
    </row>
    <row r="6712" spans="1:7" x14ac:dyDescent="0.2">
      <c r="A6712" t="s">
        <v>4370</v>
      </c>
      <c r="B6712">
        <v>510</v>
      </c>
      <c r="C6712">
        <v>490</v>
      </c>
      <c r="D6712">
        <v>476</v>
      </c>
      <c r="E6712">
        <v>75</v>
      </c>
      <c r="F6712">
        <v>0</v>
      </c>
      <c r="G6712">
        <v>1552</v>
      </c>
    </row>
    <row r="6713" spans="1:7" x14ac:dyDescent="0.2">
      <c r="A6713" t="s">
        <v>4371</v>
      </c>
      <c r="B6713">
        <v>94</v>
      </c>
      <c r="C6713">
        <v>106</v>
      </c>
      <c r="D6713">
        <v>235</v>
      </c>
      <c r="E6713">
        <v>106</v>
      </c>
      <c r="F6713">
        <v>0</v>
      </c>
      <c r="G6713">
        <v>542</v>
      </c>
    </row>
    <row r="6714" spans="1:7" x14ac:dyDescent="0.2">
      <c r="A6714" t="s">
        <v>4372</v>
      </c>
      <c r="B6714">
        <v>0</v>
      </c>
      <c r="C6714">
        <v>0</v>
      </c>
      <c r="D6714">
        <v>0</v>
      </c>
      <c r="E6714">
        <v>0</v>
      </c>
      <c r="F6714">
        <v>0</v>
      </c>
      <c r="G6714">
        <v>0</v>
      </c>
    </row>
    <row r="6715" spans="1:7" x14ac:dyDescent="0.2">
      <c r="A6715" t="s">
        <v>4373</v>
      </c>
      <c r="B6715">
        <v>3070</v>
      </c>
      <c r="C6715">
        <v>109469</v>
      </c>
      <c r="D6715">
        <v>92322</v>
      </c>
      <c r="E6715">
        <v>9832</v>
      </c>
      <c r="F6715">
        <v>0</v>
      </c>
      <c r="G6715">
        <v>214693</v>
      </c>
    </row>
    <row r="6716" spans="1:7" x14ac:dyDescent="0.2">
      <c r="A6716" t="s">
        <v>4374</v>
      </c>
      <c r="B6716">
        <v>1262</v>
      </c>
      <c r="C6716">
        <v>21833</v>
      </c>
      <c r="D6716">
        <v>44453</v>
      </c>
      <c r="E6716">
        <v>41979</v>
      </c>
      <c r="F6716">
        <v>0</v>
      </c>
      <c r="G6716">
        <v>109527</v>
      </c>
    </row>
    <row r="6717" spans="1:7" x14ac:dyDescent="0.2">
      <c r="A6717" t="s">
        <v>4375</v>
      </c>
      <c r="B6717">
        <v>9320</v>
      </c>
      <c r="C6717">
        <v>265361</v>
      </c>
      <c r="D6717">
        <v>360261</v>
      </c>
      <c r="E6717">
        <v>140696</v>
      </c>
      <c r="F6717">
        <v>0</v>
      </c>
      <c r="G6717">
        <v>775638</v>
      </c>
    </row>
    <row r="6718" spans="1:7" x14ac:dyDescent="0.2">
      <c r="A6718" t="s">
        <v>4376</v>
      </c>
      <c r="B6718">
        <v>488</v>
      </c>
      <c r="C6718">
        <v>42388</v>
      </c>
      <c r="D6718">
        <v>49904</v>
      </c>
      <c r="E6718">
        <v>11678</v>
      </c>
      <c r="F6718">
        <v>0</v>
      </c>
      <c r="G6718">
        <v>104458</v>
      </c>
    </row>
    <row r="6719" spans="1:7" x14ac:dyDescent="0.2">
      <c r="A6719" t="s">
        <v>4377</v>
      </c>
      <c r="B6719">
        <v>2485</v>
      </c>
      <c r="C6719">
        <v>77462</v>
      </c>
      <c r="D6719">
        <v>306700</v>
      </c>
      <c r="E6719">
        <v>365280</v>
      </c>
      <c r="F6719">
        <v>0</v>
      </c>
      <c r="G6719">
        <v>751927</v>
      </c>
    </row>
    <row r="6720" spans="1:7" x14ac:dyDescent="0.2">
      <c r="A6720" t="s">
        <v>2318</v>
      </c>
      <c r="B6720" t="s">
        <v>2319</v>
      </c>
      <c r="C6720" t="s">
        <v>2319</v>
      </c>
      <c r="D6720" t="s">
        <v>2319</v>
      </c>
      <c r="E6720" t="s">
        <v>2319</v>
      </c>
      <c r="F6720" t="s">
        <v>2319</v>
      </c>
      <c r="G6720" t="s">
        <v>2319</v>
      </c>
    </row>
    <row r="6721" spans="1:10" x14ac:dyDescent="0.2">
      <c r="A6721" t="s">
        <v>4248</v>
      </c>
    </row>
    <row r="6722" spans="1:10" x14ac:dyDescent="0.2">
      <c r="A6722" t="s">
        <v>4250</v>
      </c>
      <c r="C6722" t="s">
        <v>4251</v>
      </c>
      <c r="G6722" t="s">
        <v>7531</v>
      </c>
      <c r="J6722"/>
    </row>
    <row r="6723" spans="1:10" x14ac:dyDescent="0.2">
      <c r="A6723" t="s">
        <v>4925</v>
      </c>
      <c r="G6723" t="s">
        <v>7541</v>
      </c>
      <c r="J6723"/>
    </row>
    <row r="6724" spans="1:10" x14ac:dyDescent="0.2">
      <c r="A6724" t="s">
        <v>7530</v>
      </c>
      <c r="J6724"/>
    </row>
    <row r="6725" spans="1:10" x14ac:dyDescent="0.2">
      <c r="A6725" t="s">
        <v>5022</v>
      </c>
      <c r="J6725"/>
    </row>
    <row r="6726" spans="1:10" x14ac:dyDescent="0.2">
      <c r="J6726"/>
    </row>
    <row r="6727" spans="1:10" x14ac:dyDescent="0.2">
      <c r="A6727" t="s">
        <v>4259</v>
      </c>
      <c r="J6727"/>
    </row>
    <row r="6728" spans="1:10" x14ac:dyDescent="0.2">
      <c r="A6728" t="s">
        <v>2318</v>
      </c>
      <c r="B6728" t="s">
        <v>2319</v>
      </c>
      <c r="C6728" t="s">
        <v>2319</v>
      </c>
      <c r="D6728" t="s">
        <v>2319</v>
      </c>
      <c r="E6728" t="s">
        <v>2319</v>
      </c>
      <c r="F6728" t="s">
        <v>2319</v>
      </c>
      <c r="G6728" t="s">
        <v>2319</v>
      </c>
    </row>
    <row r="6729" spans="1:10" x14ac:dyDescent="0.2">
      <c r="A6729" t="s">
        <v>174</v>
      </c>
      <c r="B6729" t="s">
        <v>4945</v>
      </c>
      <c r="C6729" t="s">
        <v>4946</v>
      </c>
      <c r="D6729" t="s">
        <v>4947</v>
      </c>
      <c r="E6729" t="s">
        <v>4948</v>
      </c>
      <c r="F6729" t="s">
        <v>4949</v>
      </c>
    </row>
    <row r="6730" spans="1:10" x14ac:dyDescent="0.2">
      <c r="A6730" t="s">
        <v>126</v>
      </c>
      <c r="B6730" t="s">
        <v>4262</v>
      </c>
      <c r="C6730" t="s">
        <v>4263</v>
      </c>
      <c r="D6730" t="s">
        <v>4264</v>
      </c>
      <c r="E6730" t="s">
        <v>2308</v>
      </c>
      <c r="F6730" t="s">
        <v>615</v>
      </c>
      <c r="G6730" t="s">
        <v>236</v>
      </c>
    </row>
    <row r="6731" spans="1:10" x14ac:dyDescent="0.2">
      <c r="A6731" t="s">
        <v>2318</v>
      </c>
      <c r="B6731" t="s">
        <v>2319</v>
      </c>
      <c r="C6731" t="s">
        <v>2319</v>
      </c>
      <c r="D6731" t="s">
        <v>2319</v>
      </c>
      <c r="E6731" t="s">
        <v>2319</v>
      </c>
      <c r="F6731" t="s">
        <v>2319</v>
      </c>
      <c r="G6731" t="s">
        <v>2319</v>
      </c>
    </row>
    <row r="6732" spans="1:10" x14ac:dyDescent="0.2">
      <c r="A6732" t="s">
        <v>4265</v>
      </c>
      <c r="B6732">
        <v>0</v>
      </c>
      <c r="C6732">
        <v>0</v>
      </c>
      <c r="D6732">
        <v>0</v>
      </c>
      <c r="E6732">
        <v>0</v>
      </c>
      <c r="F6732">
        <v>2</v>
      </c>
      <c r="G6732">
        <v>2</v>
      </c>
    </row>
    <row r="6733" spans="1:10" x14ac:dyDescent="0.2">
      <c r="A6733" t="s">
        <v>4266</v>
      </c>
      <c r="B6733">
        <v>0</v>
      </c>
      <c r="C6733">
        <v>0</v>
      </c>
      <c r="D6733">
        <v>0</v>
      </c>
      <c r="E6733">
        <v>0</v>
      </c>
      <c r="F6733">
        <v>0</v>
      </c>
      <c r="G6733">
        <v>0</v>
      </c>
    </row>
    <row r="6734" spans="1:10" x14ac:dyDescent="0.2">
      <c r="A6734" t="s">
        <v>4267</v>
      </c>
      <c r="B6734">
        <v>187</v>
      </c>
      <c r="C6734">
        <v>21</v>
      </c>
      <c r="D6734">
        <v>4</v>
      </c>
      <c r="E6734">
        <v>0</v>
      </c>
      <c r="F6734">
        <v>0</v>
      </c>
      <c r="G6734">
        <v>212</v>
      </c>
    </row>
    <row r="6735" spans="1:10" x14ac:dyDescent="0.2">
      <c r="A6735" t="s">
        <v>4268</v>
      </c>
      <c r="B6735">
        <v>0</v>
      </c>
      <c r="C6735">
        <v>37</v>
      </c>
      <c r="D6735">
        <v>7</v>
      </c>
      <c r="E6735">
        <v>0</v>
      </c>
      <c r="F6735">
        <v>0</v>
      </c>
      <c r="G6735">
        <v>43</v>
      </c>
    </row>
    <row r="6736" spans="1:10" x14ac:dyDescent="0.2">
      <c r="A6736" t="s">
        <v>4269</v>
      </c>
      <c r="B6736">
        <v>265</v>
      </c>
      <c r="C6736">
        <v>0</v>
      </c>
      <c r="D6736">
        <v>12</v>
      </c>
      <c r="E6736">
        <v>0</v>
      </c>
      <c r="F6736">
        <v>0</v>
      </c>
      <c r="G6736">
        <v>277</v>
      </c>
    </row>
    <row r="6737" spans="1:7" x14ac:dyDescent="0.2">
      <c r="A6737" t="s">
        <v>4270</v>
      </c>
      <c r="B6737">
        <v>0</v>
      </c>
      <c r="C6737">
        <v>0</v>
      </c>
      <c r="D6737">
        <v>0</v>
      </c>
      <c r="E6737">
        <v>0</v>
      </c>
      <c r="F6737">
        <v>0</v>
      </c>
      <c r="G6737">
        <v>0</v>
      </c>
    </row>
    <row r="6738" spans="1:7" x14ac:dyDescent="0.2">
      <c r="A6738" t="s">
        <v>4271</v>
      </c>
      <c r="B6738">
        <v>55</v>
      </c>
      <c r="C6738">
        <v>17</v>
      </c>
      <c r="D6738">
        <v>2</v>
      </c>
      <c r="E6738">
        <v>2</v>
      </c>
      <c r="F6738">
        <v>0</v>
      </c>
      <c r="G6738">
        <v>76</v>
      </c>
    </row>
    <row r="6739" spans="1:7" x14ac:dyDescent="0.2">
      <c r="A6739" t="s">
        <v>4272</v>
      </c>
      <c r="B6739">
        <v>130</v>
      </c>
      <c r="C6739">
        <v>6</v>
      </c>
      <c r="D6739">
        <v>0</v>
      </c>
      <c r="E6739">
        <v>0</v>
      </c>
      <c r="F6739">
        <v>0</v>
      </c>
      <c r="G6739">
        <v>136</v>
      </c>
    </row>
    <row r="6740" spans="1:7" x14ac:dyDescent="0.2">
      <c r="A6740" t="s">
        <v>4273</v>
      </c>
      <c r="B6740">
        <v>0</v>
      </c>
      <c r="C6740">
        <v>0</v>
      </c>
      <c r="D6740">
        <v>0</v>
      </c>
      <c r="E6740">
        <v>0</v>
      </c>
      <c r="F6740">
        <v>2</v>
      </c>
      <c r="G6740">
        <v>2</v>
      </c>
    </row>
    <row r="6741" spans="1:7" x14ac:dyDescent="0.2">
      <c r="A6741" t="s">
        <v>4274</v>
      </c>
      <c r="B6741">
        <v>0</v>
      </c>
      <c r="C6741">
        <v>0</v>
      </c>
      <c r="D6741">
        <v>0</v>
      </c>
      <c r="E6741">
        <v>0</v>
      </c>
      <c r="F6741">
        <v>0</v>
      </c>
      <c r="G6741">
        <v>0</v>
      </c>
    </row>
    <row r="6742" spans="1:7" x14ac:dyDescent="0.2">
      <c r="A6742" t="s">
        <v>4275</v>
      </c>
      <c r="B6742">
        <v>0</v>
      </c>
      <c r="C6742">
        <v>0</v>
      </c>
      <c r="D6742">
        <v>0</v>
      </c>
      <c r="E6742">
        <v>0</v>
      </c>
      <c r="F6742">
        <v>0</v>
      </c>
      <c r="G6742">
        <v>0</v>
      </c>
    </row>
    <row r="6743" spans="1:7" x14ac:dyDescent="0.2">
      <c r="A6743" t="s">
        <v>4276</v>
      </c>
      <c r="B6743">
        <v>0</v>
      </c>
      <c r="C6743">
        <v>0</v>
      </c>
      <c r="D6743">
        <v>0</v>
      </c>
      <c r="E6743">
        <v>0</v>
      </c>
      <c r="F6743">
        <v>0</v>
      </c>
      <c r="G6743">
        <v>0</v>
      </c>
    </row>
    <row r="6744" spans="1:7" x14ac:dyDescent="0.2">
      <c r="A6744" t="s">
        <v>4277</v>
      </c>
      <c r="B6744">
        <v>0</v>
      </c>
      <c r="C6744">
        <v>0</v>
      </c>
      <c r="D6744">
        <v>0</v>
      </c>
      <c r="E6744">
        <v>0</v>
      </c>
      <c r="F6744">
        <v>0</v>
      </c>
      <c r="G6744">
        <v>0</v>
      </c>
    </row>
    <row r="6745" spans="1:7" x14ac:dyDescent="0.2">
      <c r="A6745" t="s">
        <v>4278</v>
      </c>
      <c r="B6745">
        <v>0</v>
      </c>
      <c r="C6745">
        <v>0</v>
      </c>
      <c r="D6745">
        <v>0</v>
      </c>
      <c r="E6745">
        <v>0</v>
      </c>
      <c r="F6745">
        <v>0</v>
      </c>
      <c r="G6745">
        <v>0</v>
      </c>
    </row>
    <row r="6746" spans="1:7" x14ac:dyDescent="0.2">
      <c r="A6746" t="s">
        <v>4279</v>
      </c>
      <c r="B6746">
        <v>1097</v>
      </c>
      <c r="C6746">
        <v>387</v>
      </c>
      <c r="D6746">
        <v>304</v>
      </c>
      <c r="E6746">
        <v>0</v>
      </c>
      <c r="F6746">
        <v>0</v>
      </c>
      <c r="G6746">
        <v>1788</v>
      </c>
    </row>
    <row r="6747" spans="1:7" x14ac:dyDescent="0.2">
      <c r="A6747" t="s">
        <v>4280</v>
      </c>
      <c r="B6747">
        <v>15</v>
      </c>
      <c r="C6747">
        <v>33</v>
      </c>
      <c r="D6747">
        <v>1</v>
      </c>
      <c r="E6747">
        <v>0</v>
      </c>
      <c r="F6747">
        <v>0</v>
      </c>
      <c r="G6747">
        <v>49</v>
      </c>
    </row>
    <row r="6748" spans="1:7" x14ac:dyDescent="0.2">
      <c r="A6748" t="s">
        <v>4281</v>
      </c>
      <c r="B6748">
        <v>16231</v>
      </c>
      <c r="C6748">
        <v>16667</v>
      </c>
      <c r="D6748">
        <v>22784</v>
      </c>
      <c r="E6748">
        <v>3086</v>
      </c>
      <c r="F6748">
        <v>0</v>
      </c>
      <c r="G6748">
        <v>58768</v>
      </c>
    </row>
    <row r="6749" spans="1:7" x14ac:dyDescent="0.2">
      <c r="A6749" t="s">
        <v>4282</v>
      </c>
      <c r="B6749">
        <v>2178</v>
      </c>
      <c r="C6749">
        <v>4643</v>
      </c>
      <c r="D6749">
        <v>4643</v>
      </c>
      <c r="E6749">
        <v>55</v>
      </c>
      <c r="F6749">
        <v>0</v>
      </c>
      <c r="G6749">
        <v>11520</v>
      </c>
    </row>
    <row r="6750" spans="1:7" x14ac:dyDescent="0.2">
      <c r="A6750" t="s">
        <v>4283</v>
      </c>
      <c r="B6750">
        <v>7419</v>
      </c>
      <c r="C6750">
        <v>7001</v>
      </c>
      <c r="D6750">
        <v>3503</v>
      </c>
      <c r="E6750">
        <v>687</v>
      </c>
      <c r="F6750">
        <v>0</v>
      </c>
      <c r="G6750">
        <v>18610</v>
      </c>
    </row>
    <row r="6751" spans="1:7" x14ac:dyDescent="0.2">
      <c r="A6751" t="s">
        <v>4284</v>
      </c>
      <c r="B6751">
        <v>233</v>
      </c>
      <c r="C6751">
        <v>0</v>
      </c>
      <c r="D6751">
        <v>583</v>
      </c>
      <c r="E6751">
        <v>15</v>
      </c>
      <c r="F6751">
        <v>0</v>
      </c>
      <c r="G6751">
        <v>831</v>
      </c>
    </row>
    <row r="6752" spans="1:7" x14ac:dyDescent="0.2">
      <c r="A6752" t="s">
        <v>4285</v>
      </c>
      <c r="B6752">
        <v>9746</v>
      </c>
      <c r="C6752">
        <v>10533</v>
      </c>
      <c r="D6752">
        <v>8921</v>
      </c>
      <c r="E6752">
        <v>1659</v>
      </c>
      <c r="F6752">
        <v>0</v>
      </c>
      <c r="G6752">
        <v>30860</v>
      </c>
    </row>
    <row r="6753" spans="1:7" x14ac:dyDescent="0.2">
      <c r="A6753" t="s">
        <v>4286</v>
      </c>
      <c r="B6753">
        <v>689</v>
      </c>
      <c r="C6753">
        <v>221</v>
      </c>
      <c r="D6753">
        <v>390</v>
      </c>
      <c r="E6753">
        <v>36</v>
      </c>
      <c r="F6753">
        <v>0</v>
      </c>
      <c r="G6753">
        <v>1336</v>
      </c>
    </row>
    <row r="6754" spans="1:7" x14ac:dyDescent="0.2">
      <c r="A6754" t="s">
        <v>4287</v>
      </c>
      <c r="B6754">
        <v>0</v>
      </c>
      <c r="C6754">
        <v>0</v>
      </c>
      <c r="D6754">
        <v>0</v>
      </c>
      <c r="E6754">
        <v>57596</v>
      </c>
      <c r="F6754">
        <v>0</v>
      </c>
      <c r="G6754">
        <v>57596</v>
      </c>
    </row>
    <row r="6755" spans="1:7" x14ac:dyDescent="0.2">
      <c r="A6755" t="s">
        <v>4288</v>
      </c>
      <c r="B6755">
        <v>0</v>
      </c>
      <c r="C6755">
        <v>0</v>
      </c>
      <c r="D6755">
        <v>0</v>
      </c>
      <c r="E6755">
        <v>0</v>
      </c>
      <c r="F6755">
        <v>724</v>
      </c>
      <c r="G6755">
        <v>724</v>
      </c>
    </row>
    <row r="6756" spans="1:7" x14ac:dyDescent="0.2">
      <c r="A6756" t="s">
        <v>4289</v>
      </c>
      <c r="B6756">
        <v>0</v>
      </c>
      <c r="C6756">
        <v>0</v>
      </c>
      <c r="D6756">
        <v>0</v>
      </c>
      <c r="E6756">
        <v>0</v>
      </c>
      <c r="F6756">
        <v>163084</v>
      </c>
      <c r="G6756">
        <v>163084</v>
      </c>
    </row>
    <row r="6757" spans="1:7" x14ac:dyDescent="0.2">
      <c r="A6757" t="s">
        <v>4290</v>
      </c>
      <c r="B6757">
        <v>0</v>
      </c>
      <c r="C6757">
        <v>0</v>
      </c>
      <c r="D6757">
        <v>0</v>
      </c>
      <c r="E6757">
        <v>0</v>
      </c>
      <c r="F6757">
        <v>42137</v>
      </c>
      <c r="G6757">
        <v>42137</v>
      </c>
    </row>
    <row r="6758" spans="1:7" x14ac:dyDescent="0.2">
      <c r="A6758" t="s">
        <v>4291</v>
      </c>
      <c r="B6758">
        <v>0</v>
      </c>
      <c r="C6758">
        <v>0</v>
      </c>
      <c r="D6758">
        <v>0</v>
      </c>
      <c r="E6758">
        <v>0</v>
      </c>
      <c r="F6758">
        <v>2345</v>
      </c>
      <c r="G6758">
        <v>2345</v>
      </c>
    </row>
    <row r="6759" spans="1:7" x14ac:dyDescent="0.2">
      <c r="A6759" t="s">
        <v>4292</v>
      </c>
      <c r="B6759">
        <v>0</v>
      </c>
      <c r="C6759">
        <v>0</v>
      </c>
      <c r="D6759">
        <v>0</v>
      </c>
      <c r="E6759">
        <v>0</v>
      </c>
      <c r="F6759">
        <v>533</v>
      </c>
      <c r="G6759">
        <v>533</v>
      </c>
    </row>
    <row r="6760" spans="1:7" x14ac:dyDescent="0.2">
      <c r="A6760" t="s">
        <v>4293</v>
      </c>
      <c r="B6760">
        <v>0</v>
      </c>
      <c r="C6760">
        <v>0</v>
      </c>
      <c r="D6760">
        <v>0</v>
      </c>
      <c r="E6760">
        <v>0</v>
      </c>
      <c r="F6760">
        <v>991</v>
      </c>
      <c r="G6760">
        <v>991</v>
      </c>
    </row>
    <row r="6761" spans="1:7" x14ac:dyDescent="0.2">
      <c r="A6761" t="s">
        <v>4294</v>
      </c>
      <c r="B6761">
        <v>0</v>
      </c>
      <c r="C6761">
        <v>0</v>
      </c>
      <c r="D6761">
        <v>0</v>
      </c>
      <c r="E6761">
        <v>0</v>
      </c>
      <c r="F6761">
        <v>7650</v>
      </c>
      <c r="G6761">
        <v>7650</v>
      </c>
    </row>
    <row r="6762" spans="1:7" x14ac:dyDescent="0.2">
      <c r="A6762" t="s">
        <v>4295</v>
      </c>
      <c r="B6762">
        <v>0</v>
      </c>
      <c r="C6762">
        <v>0</v>
      </c>
      <c r="D6762">
        <v>0</v>
      </c>
      <c r="E6762">
        <v>0</v>
      </c>
      <c r="F6762">
        <v>0</v>
      </c>
      <c r="G6762">
        <v>0</v>
      </c>
    </row>
    <row r="6763" spans="1:7" x14ac:dyDescent="0.2">
      <c r="A6763" t="s">
        <v>4296</v>
      </c>
      <c r="B6763">
        <v>0</v>
      </c>
      <c r="C6763">
        <v>0</v>
      </c>
      <c r="D6763">
        <v>0</v>
      </c>
      <c r="E6763">
        <v>0</v>
      </c>
      <c r="F6763">
        <v>0</v>
      </c>
      <c r="G6763">
        <v>0</v>
      </c>
    </row>
    <row r="6764" spans="1:7" x14ac:dyDescent="0.2">
      <c r="A6764" t="s">
        <v>4297</v>
      </c>
      <c r="B6764">
        <v>3831</v>
      </c>
      <c r="C6764">
        <v>21759</v>
      </c>
      <c r="D6764">
        <v>49780</v>
      </c>
      <c r="E6764">
        <v>12879</v>
      </c>
      <c r="F6764">
        <v>0</v>
      </c>
      <c r="G6764">
        <v>88249</v>
      </c>
    </row>
    <row r="6765" spans="1:7" x14ac:dyDescent="0.2">
      <c r="A6765" t="s">
        <v>4298</v>
      </c>
      <c r="B6765">
        <v>1128</v>
      </c>
      <c r="C6765">
        <v>3922</v>
      </c>
      <c r="D6765">
        <v>3254</v>
      </c>
      <c r="E6765">
        <v>5787</v>
      </c>
      <c r="F6765">
        <v>0</v>
      </c>
      <c r="G6765">
        <v>14091</v>
      </c>
    </row>
    <row r="6766" spans="1:7" x14ac:dyDescent="0.2">
      <c r="A6766" t="s">
        <v>4299</v>
      </c>
      <c r="B6766">
        <v>540</v>
      </c>
      <c r="C6766">
        <v>2718</v>
      </c>
      <c r="D6766">
        <v>4651</v>
      </c>
      <c r="E6766">
        <v>5466</v>
      </c>
      <c r="F6766">
        <v>0</v>
      </c>
      <c r="G6766">
        <v>13376</v>
      </c>
    </row>
    <row r="6767" spans="1:7" x14ac:dyDescent="0.2">
      <c r="A6767" t="s">
        <v>4300</v>
      </c>
      <c r="B6767">
        <v>11</v>
      </c>
      <c r="C6767">
        <v>55</v>
      </c>
      <c r="D6767">
        <v>121</v>
      </c>
      <c r="E6767">
        <v>104</v>
      </c>
      <c r="F6767">
        <v>0</v>
      </c>
      <c r="G6767">
        <v>291</v>
      </c>
    </row>
    <row r="6768" spans="1:7" x14ac:dyDescent="0.2">
      <c r="A6768" t="s">
        <v>4301</v>
      </c>
      <c r="B6768">
        <v>0</v>
      </c>
      <c r="C6768">
        <v>14680</v>
      </c>
      <c r="D6768">
        <v>33625</v>
      </c>
      <c r="E6768">
        <v>16819</v>
      </c>
      <c r="F6768">
        <v>0</v>
      </c>
      <c r="G6768">
        <v>65124</v>
      </c>
    </row>
    <row r="6769" spans="1:7" x14ac:dyDescent="0.2">
      <c r="A6769" t="s">
        <v>4302</v>
      </c>
      <c r="B6769">
        <v>91</v>
      </c>
      <c r="C6769">
        <v>1444</v>
      </c>
      <c r="D6769">
        <v>3708</v>
      </c>
      <c r="E6769">
        <v>1093</v>
      </c>
      <c r="F6769">
        <v>0</v>
      </c>
      <c r="G6769">
        <v>6335</v>
      </c>
    </row>
    <row r="6770" spans="1:7" x14ac:dyDescent="0.2">
      <c r="A6770" t="s">
        <v>4303</v>
      </c>
      <c r="B6770">
        <v>91</v>
      </c>
      <c r="C6770">
        <v>1307</v>
      </c>
      <c r="D6770">
        <v>4843</v>
      </c>
      <c r="E6770">
        <v>896</v>
      </c>
      <c r="F6770">
        <v>0</v>
      </c>
      <c r="G6770">
        <v>7136</v>
      </c>
    </row>
    <row r="6771" spans="1:7" x14ac:dyDescent="0.2">
      <c r="A6771" t="s">
        <v>4304</v>
      </c>
      <c r="B6771">
        <v>164</v>
      </c>
      <c r="C6771">
        <v>602</v>
      </c>
      <c r="D6771">
        <v>2540</v>
      </c>
      <c r="E6771">
        <v>1263</v>
      </c>
      <c r="F6771">
        <v>0</v>
      </c>
      <c r="G6771">
        <v>4569</v>
      </c>
    </row>
    <row r="6772" spans="1:7" x14ac:dyDescent="0.2">
      <c r="A6772" t="s">
        <v>4305</v>
      </c>
      <c r="B6772">
        <v>2172</v>
      </c>
      <c r="C6772">
        <v>6156</v>
      </c>
      <c r="D6772">
        <v>7165</v>
      </c>
      <c r="E6772">
        <v>2686</v>
      </c>
      <c r="F6772">
        <v>0</v>
      </c>
      <c r="G6772">
        <v>18179</v>
      </c>
    </row>
    <row r="6773" spans="1:7" x14ac:dyDescent="0.2">
      <c r="A6773" t="s">
        <v>4306</v>
      </c>
      <c r="B6773">
        <v>52</v>
      </c>
      <c r="C6773">
        <v>1063</v>
      </c>
      <c r="D6773">
        <v>280</v>
      </c>
      <c r="E6773">
        <v>300</v>
      </c>
      <c r="F6773">
        <v>0</v>
      </c>
      <c r="G6773">
        <v>1695</v>
      </c>
    </row>
    <row r="6774" spans="1:7" x14ac:dyDescent="0.2">
      <c r="A6774" t="s">
        <v>4307</v>
      </c>
      <c r="B6774">
        <v>320</v>
      </c>
      <c r="C6774">
        <v>3265</v>
      </c>
      <c r="D6774">
        <v>12639</v>
      </c>
      <c r="E6774">
        <v>4528</v>
      </c>
      <c r="F6774">
        <v>1</v>
      </c>
      <c r="G6774">
        <v>20753</v>
      </c>
    </row>
    <row r="6775" spans="1:7" x14ac:dyDescent="0.2">
      <c r="A6775" t="s">
        <v>4308</v>
      </c>
      <c r="B6775">
        <v>0</v>
      </c>
      <c r="C6775">
        <v>0</v>
      </c>
      <c r="D6775">
        <v>103</v>
      </c>
      <c r="E6775">
        <v>83</v>
      </c>
      <c r="F6775">
        <v>0</v>
      </c>
      <c r="G6775">
        <v>186</v>
      </c>
    </row>
    <row r="6776" spans="1:7" x14ac:dyDescent="0.2">
      <c r="A6776" t="s">
        <v>4309</v>
      </c>
      <c r="B6776">
        <v>0</v>
      </c>
      <c r="C6776">
        <v>0</v>
      </c>
      <c r="D6776">
        <v>0</v>
      </c>
      <c r="E6776">
        <v>0</v>
      </c>
      <c r="F6776">
        <v>406</v>
      </c>
      <c r="G6776">
        <v>406</v>
      </c>
    </row>
    <row r="6777" spans="1:7" x14ac:dyDescent="0.2">
      <c r="A6777" t="s">
        <v>4310</v>
      </c>
      <c r="B6777">
        <v>0</v>
      </c>
      <c r="C6777">
        <v>0</v>
      </c>
      <c r="D6777">
        <v>0</v>
      </c>
      <c r="E6777">
        <v>0</v>
      </c>
      <c r="F6777">
        <v>2522</v>
      </c>
      <c r="G6777">
        <v>2522</v>
      </c>
    </row>
    <row r="6778" spans="1:7" x14ac:dyDescent="0.2">
      <c r="A6778" t="s">
        <v>4311</v>
      </c>
      <c r="B6778">
        <v>0</v>
      </c>
      <c r="C6778">
        <v>0</v>
      </c>
      <c r="D6778">
        <v>0</v>
      </c>
      <c r="E6778">
        <v>12837</v>
      </c>
      <c r="F6778">
        <v>6672</v>
      </c>
      <c r="G6778">
        <v>19510</v>
      </c>
    </row>
    <row r="6779" spans="1:7" x14ac:dyDescent="0.2">
      <c r="A6779" t="s">
        <v>4312</v>
      </c>
      <c r="B6779">
        <v>0</v>
      </c>
      <c r="C6779">
        <v>0</v>
      </c>
      <c r="D6779">
        <v>0</v>
      </c>
      <c r="E6779">
        <v>1552</v>
      </c>
      <c r="F6779">
        <v>542</v>
      </c>
      <c r="G6779">
        <v>2094</v>
      </c>
    </row>
    <row r="6780" spans="1:7" x14ac:dyDescent="0.2">
      <c r="A6780" t="s">
        <v>4313</v>
      </c>
      <c r="B6780">
        <v>0</v>
      </c>
      <c r="C6780">
        <v>0</v>
      </c>
      <c r="D6780">
        <v>0</v>
      </c>
      <c r="E6780">
        <v>0</v>
      </c>
      <c r="F6780">
        <v>81</v>
      </c>
      <c r="G6780">
        <v>81</v>
      </c>
    </row>
    <row r="6781" spans="1:7" x14ac:dyDescent="0.2">
      <c r="A6781" t="s">
        <v>4314</v>
      </c>
      <c r="B6781">
        <v>0</v>
      </c>
      <c r="C6781">
        <v>0</v>
      </c>
      <c r="D6781">
        <v>0</v>
      </c>
      <c r="E6781">
        <v>0</v>
      </c>
      <c r="F6781">
        <v>2082</v>
      </c>
      <c r="G6781">
        <v>2082</v>
      </c>
    </row>
    <row r="6782" spans="1:7" x14ac:dyDescent="0.2">
      <c r="A6782" t="s">
        <v>4315</v>
      </c>
      <c r="B6782">
        <v>0</v>
      </c>
      <c r="C6782">
        <v>0</v>
      </c>
      <c r="D6782">
        <v>0</v>
      </c>
      <c r="E6782">
        <v>0</v>
      </c>
      <c r="F6782">
        <v>3080</v>
      </c>
      <c r="G6782">
        <v>3080</v>
      </c>
    </row>
    <row r="6783" spans="1:7" x14ac:dyDescent="0.2">
      <c r="A6783" t="s">
        <v>4316</v>
      </c>
      <c r="B6783">
        <v>0</v>
      </c>
      <c r="C6783">
        <v>0</v>
      </c>
      <c r="D6783">
        <v>0</v>
      </c>
      <c r="E6783">
        <v>1175</v>
      </c>
      <c r="F6783">
        <v>5233</v>
      </c>
      <c r="G6783">
        <v>6409</v>
      </c>
    </row>
    <row r="6784" spans="1:7" x14ac:dyDescent="0.2">
      <c r="A6784" t="s">
        <v>4317</v>
      </c>
      <c r="B6784">
        <v>0</v>
      </c>
      <c r="C6784">
        <v>0</v>
      </c>
      <c r="D6784">
        <v>0</v>
      </c>
      <c r="E6784">
        <v>0</v>
      </c>
      <c r="F6784">
        <v>0</v>
      </c>
      <c r="G6784">
        <v>0</v>
      </c>
    </row>
    <row r="6785" spans="1:7" x14ac:dyDescent="0.2">
      <c r="A6785" t="s">
        <v>4318</v>
      </c>
      <c r="B6785">
        <v>0</v>
      </c>
      <c r="C6785">
        <v>0</v>
      </c>
      <c r="D6785">
        <v>0</v>
      </c>
      <c r="E6785">
        <v>0</v>
      </c>
      <c r="F6785">
        <v>5224</v>
      </c>
      <c r="G6785">
        <v>5224</v>
      </c>
    </row>
    <row r="6786" spans="1:7" x14ac:dyDescent="0.2">
      <c r="A6786" t="s">
        <v>4319</v>
      </c>
      <c r="B6786">
        <v>0</v>
      </c>
      <c r="C6786">
        <v>0</v>
      </c>
      <c r="D6786">
        <v>0</v>
      </c>
      <c r="E6786">
        <v>0</v>
      </c>
      <c r="F6786">
        <v>6051</v>
      </c>
      <c r="G6786">
        <v>6051</v>
      </c>
    </row>
    <row r="6787" spans="1:7" x14ac:dyDescent="0.2">
      <c r="A6787" t="s">
        <v>4320</v>
      </c>
      <c r="B6787">
        <v>0</v>
      </c>
      <c r="C6787">
        <v>0</v>
      </c>
      <c r="D6787">
        <v>0</v>
      </c>
      <c r="E6787">
        <v>0</v>
      </c>
      <c r="F6787">
        <v>1925</v>
      </c>
      <c r="G6787">
        <v>1925</v>
      </c>
    </row>
    <row r="6788" spans="1:7" x14ac:dyDescent="0.2">
      <c r="A6788" t="s">
        <v>4321</v>
      </c>
      <c r="B6788">
        <v>0</v>
      </c>
      <c r="C6788">
        <v>0</v>
      </c>
      <c r="D6788">
        <v>0</v>
      </c>
      <c r="E6788">
        <v>0</v>
      </c>
      <c r="F6788">
        <v>0</v>
      </c>
      <c r="G6788">
        <v>0</v>
      </c>
    </row>
    <row r="6789" spans="1:7" x14ac:dyDescent="0.2">
      <c r="A6789" t="s">
        <v>4322</v>
      </c>
      <c r="B6789">
        <v>0</v>
      </c>
      <c r="C6789">
        <v>0</v>
      </c>
      <c r="D6789">
        <v>0</v>
      </c>
      <c r="E6789">
        <v>0</v>
      </c>
      <c r="F6789">
        <v>0</v>
      </c>
      <c r="G6789">
        <v>0</v>
      </c>
    </row>
    <row r="6790" spans="1:7" x14ac:dyDescent="0.2">
      <c r="A6790" t="s">
        <v>4323</v>
      </c>
      <c r="B6790">
        <v>0</v>
      </c>
      <c r="C6790">
        <v>0</v>
      </c>
      <c r="D6790">
        <v>0</v>
      </c>
      <c r="E6790">
        <v>0</v>
      </c>
      <c r="F6790">
        <v>0</v>
      </c>
      <c r="G6790">
        <v>0</v>
      </c>
    </row>
    <row r="6791" spans="1:7" x14ac:dyDescent="0.2">
      <c r="A6791" t="s">
        <v>4324</v>
      </c>
      <c r="B6791">
        <v>0</v>
      </c>
      <c r="C6791">
        <v>0</v>
      </c>
      <c r="D6791">
        <v>0</v>
      </c>
      <c r="E6791">
        <v>0</v>
      </c>
      <c r="F6791">
        <v>0</v>
      </c>
      <c r="G6791">
        <v>0</v>
      </c>
    </row>
    <row r="6792" spans="1:7" x14ac:dyDescent="0.2">
      <c r="A6792" t="s">
        <v>4325</v>
      </c>
      <c r="B6792">
        <v>0</v>
      </c>
      <c r="C6792">
        <v>0</v>
      </c>
      <c r="D6792">
        <v>0</v>
      </c>
      <c r="E6792">
        <v>0</v>
      </c>
      <c r="F6792">
        <v>0</v>
      </c>
      <c r="G6792">
        <v>0</v>
      </c>
    </row>
    <row r="6793" spans="1:7" x14ac:dyDescent="0.2">
      <c r="A6793" t="s">
        <v>4326</v>
      </c>
      <c r="B6793">
        <v>0</v>
      </c>
      <c r="C6793">
        <v>0</v>
      </c>
      <c r="D6793">
        <v>0</v>
      </c>
      <c r="E6793">
        <v>0</v>
      </c>
      <c r="F6793">
        <v>0</v>
      </c>
      <c r="G6793">
        <v>0</v>
      </c>
    </row>
    <row r="6794" spans="1:7" x14ac:dyDescent="0.2">
      <c r="A6794" t="s">
        <v>4327</v>
      </c>
      <c r="B6794">
        <v>0</v>
      </c>
      <c r="C6794">
        <v>0</v>
      </c>
      <c r="D6794">
        <v>0</v>
      </c>
      <c r="E6794">
        <v>8064</v>
      </c>
      <c r="F6794">
        <v>3697</v>
      </c>
      <c r="G6794">
        <v>11760</v>
      </c>
    </row>
    <row r="6795" spans="1:7" x14ac:dyDescent="0.2">
      <c r="A6795" t="s">
        <v>4328</v>
      </c>
      <c r="B6795">
        <v>0</v>
      </c>
      <c r="C6795">
        <v>0</v>
      </c>
      <c r="D6795">
        <v>0</v>
      </c>
      <c r="E6795">
        <v>0</v>
      </c>
      <c r="F6795">
        <v>0</v>
      </c>
      <c r="G6795">
        <v>0</v>
      </c>
    </row>
    <row r="6796" spans="1:7" x14ac:dyDescent="0.2">
      <c r="A6796" t="s">
        <v>4329</v>
      </c>
      <c r="B6796">
        <v>0</v>
      </c>
      <c r="C6796">
        <v>0</v>
      </c>
      <c r="D6796">
        <v>0</v>
      </c>
      <c r="E6796">
        <v>0</v>
      </c>
      <c r="F6796">
        <v>198</v>
      </c>
      <c r="G6796">
        <v>198</v>
      </c>
    </row>
    <row r="6797" spans="1:7" x14ac:dyDescent="0.2">
      <c r="A6797" t="s">
        <v>4330</v>
      </c>
      <c r="B6797">
        <v>0</v>
      </c>
      <c r="C6797">
        <v>0</v>
      </c>
      <c r="D6797">
        <v>0</v>
      </c>
      <c r="E6797">
        <v>0</v>
      </c>
      <c r="F6797">
        <v>0</v>
      </c>
      <c r="G6797">
        <v>0</v>
      </c>
    </row>
    <row r="6798" spans="1:7" x14ac:dyDescent="0.2">
      <c r="A6798" t="s">
        <v>4331</v>
      </c>
      <c r="B6798">
        <v>0</v>
      </c>
      <c r="C6798">
        <v>0</v>
      </c>
      <c r="D6798">
        <v>0</v>
      </c>
      <c r="E6798">
        <v>0</v>
      </c>
      <c r="F6798">
        <v>0</v>
      </c>
      <c r="G6798">
        <v>0</v>
      </c>
    </row>
    <row r="6799" spans="1:7" x14ac:dyDescent="0.2">
      <c r="A6799" t="s">
        <v>4332</v>
      </c>
      <c r="B6799">
        <v>0</v>
      </c>
      <c r="C6799">
        <v>0</v>
      </c>
      <c r="D6799">
        <v>0</v>
      </c>
      <c r="E6799">
        <v>6137</v>
      </c>
      <c r="F6799">
        <v>960</v>
      </c>
      <c r="G6799">
        <v>7097</v>
      </c>
    </row>
    <row r="6800" spans="1:7" x14ac:dyDescent="0.2">
      <c r="A6800" t="s">
        <v>4333</v>
      </c>
      <c r="B6800">
        <v>0</v>
      </c>
      <c r="C6800">
        <v>0</v>
      </c>
      <c r="D6800">
        <v>0</v>
      </c>
      <c r="E6800">
        <v>0</v>
      </c>
      <c r="F6800">
        <v>0</v>
      </c>
      <c r="G6800">
        <v>0</v>
      </c>
    </row>
    <row r="6801" spans="1:7" x14ac:dyDescent="0.2">
      <c r="A6801" t="s">
        <v>4334</v>
      </c>
      <c r="B6801">
        <v>0</v>
      </c>
      <c r="C6801">
        <v>0</v>
      </c>
      <c r="D6801">
        <v>0</v>
      </c>
      <c r="E6801">
        <v>0</v>
      </c>
      <c r="F6801">
        <v>2290</v>
      </c>
      <c r="G6801">
        <v>2290</v>
      </c>
    </row>
    <row r="6802" spans="1:7" x14ac:dyDescent="0.2">
      <c r="A6802" t="s">
        <v>4335</v>
      </c>
      <c r="B6802">
        <v>0</v>
      </c>
      <c r="C6802">
        <v>0</v>
      </c>
      <c r="D6802">
        <v>0</v>
      </c>
      <c r="E6802">
        <v>913</v>
      </c>
      <c r="F6802">
        <v>1855</v>
      </c>
      <c r="G6802">
        <v>2768</v>
      </c>
    </row>
    <row r="6803" spans="1:7" x14ac:dyDescent="0.2">
      <c r="A6803" t="s">
        <v>4336</v>
      </c>
      <c r="B6803">
        <v>0</v>
      </c>
      <c r="C6803">
        <v>0</v>
      </c>
      <c r="D6803">
        <v>0</v>
      </c>
      <c r="E6803">
        <v>0</v>
      </c>
      <c r="F6803">
        <v>0</v>
      </c>
      <c r="G6803">
        <v>0</v>
      </c>
    </row>
    <row r="6804" spans="1:7" x14ac:dyDescent="0.2">
      <c r="A6804" t="s">
        <v>4337</v>
      </c>
      <c r="B6804">
        <v>0</v>
      </c>
      <c r="C6804">
        <v>0</v>
      </c>
      <c r="D6804">
        <v>0</v>
      </c>
      <c r="E6804">
        <v>0</v>
      </c>
      <c r="F6804">
        <v>0</v>
      </c>
      <c r="G6804">
        <v>0</v>
      </c>
    </row>
    <row r="6805" spans="1:7" x14ac:dyDescent="0.2">
      <c r="A6805" t="s">
        <v>4338</v>
      </c>
      <c r="B6805">
        <v>0</v>
      </c>
      <c r="C6805">
        <v>0</v>
      </c>
      <c r="D6805">
        <v>0</v>
      </c>
      <c r="E6805">
        <v>90</v>
      </c>
      <c r="F6805">
        <v>214</v>
      </c>
      <c r="G6805">
        <v>304</v>
      </c>
    </row>
    <row r="6806" spans="1:7" x14ac:dyDescent="0.2">
      <c r="A6806" t="s">
        <v>4339</v>
      </c>
      <c r="B6806">
        <v>0</v>
      </c>
      <c r="C6806">
        <v>0</v>
      </c>
      <c r="D6806">
        <v>0</v>
      </c>
      <c r="E6806">
        <v>0</v>
      </c>
      <c r="F6806">
        <v>0</v>
      </c>
      <c r="G6806">
        <v>0</v>
      </c>
    </row>
    <row r="6807" spans="1:7" x14ac:dyDescent="0.2">
      <c r="A6807" t="s">
        <v>4340</v>
      </c>
      <c r="B6807">
        <v>0</v>
      </c>
      <c r="C6807">
        <v>0</v>
      </c>
      <c r="D6807">
        <v>0</v>
      </c>
      <c r="E6807">
        <v>0</v>
      </c>
      <c r="F6807">
        <v>0</v>
      </c>
      <c r="G6807">
        <v>0</v>
      </c>
    </row>
    <row r="6808" spans="1:7" x14ac:dyDescent="0.2">
      <c r="A6808" t="s">
        <v>4341</v>
      </c>
      <c r="B6808">
        <v>0</v>
      </c>
      <c r="C6808">
        <v>0</v>
      </c>
      <c r="D6808">
        <v>0</v>
      </c>
      <c r="E6808">
        <v>0</v>
      </c>
      <c r="F6808">
        <v>53</v>
      </c>
      <c r="G6808">
        <v>53</v>
      </c>
    </row>
    <row r="6809" spans="1:7" x14ac:dyDescent="0.2">
      <c r="A6809" t="s">
        <v>4342</v>
      </c>
      <c r="B6809">
        <v>0</v>
      </c>
      <c r="C6809">
        <v>0</v>
      </c>
      <c r="D6809">
        <v>0</v>
      </c>
      <c r="E6809">
        <v>0</v>
      </c>
      <c r="F6809">
        <v>0</v>
      </c>
      <c r="G6809">
        <v>0</v>
      </c>
    </row>
    <row r="6810" spans="1:7" x14ac:dyDescent="0.2">
      <c r="A6810" t="s">
        <v>4343</v>
      </c>
      <c r="B6810">
        <v>0</v>
      </c>
      <c r="C6810">
        <v>0</v>
      </c>
      <c r="D6810">
        <v>0</v>
      </c>
      <c r="E6810">
        <v>0</v>
      </c>
      <c r="F6810">
        <v>0</v>
      </c>
      <c r="G6810">
        <v>0</v>
      </c>
    </row>
    <row r="6811" spans="1:7" x14ac:dyDescent="0.2">
      <c r="A6811" t="s">
        <v>1728</v>
      </c>
      <c r="B6811">
        <v>0</v>
      </c>
      <c r="C6811">
        <v>0</v>
      </c>
      <c r="D6811">
        <v>0</v>
      </c>
      <c r="E6811">
        <v>0</v>
      </c>
      <c r="F6811">
        <v>0</v>
      </c>
      <c r="G6811">
        <v>0</v>
      </c>
    </row>
    <row r="6812" spans="1:7" x14ac:dyDescent="0.2">
      <c r="A6812" t="s">
        <v>1730</v>
      </c>
      <c r="B6812">
        <v>0</v>
      </c>
      <c r="C6812">
        <v>17</v>
      </c>
      <c r="D6812">
        <v>172</v>
      </c>
      <c r="E6812">
        <v>91</v>
      </c>
      <c r="F6812">
        <v>1009</v>
      </c>
      <c r="G6812">
        <v>1290</v>
      </c>
    </row>
    <row r="6813" spans="1:7" x14ac:dyDescent="0.2">
      <c r="A6813" t="s">
        <v>1733</v>
      </c>
      <c r="B6813">
        <v>0</v>
      </c>
      <c r="C6813">
        <v>0</v>
      </c>
      <c r="D6813">
        <v>0</v>
      </c>
      <c r="E6813">
        <v>326</v>
      </c>
      <c r="F6813">
        <v>1736</v>
      </c>
      <c r="G6813">
        <v>2061</v>
      </c>
    </row>
    <row r="6814" spans="1:7" x14ac:dyDescent="0.2">
      <c r="A6814" t="s">
        <v>1738</v>
      </c>
      <c r="B6814">
        <v>0</v>
      </c>
      <c r="C6814">
        <v>0</v>
      </c>
      <c r="D6814">
        <v>0</v>
      </c>
      <c r="E6814">
        <v>391</v>
      </c>
      <c r="F6814">
        <v>347</v>
      </c>
      <c r="G6814">
        <v>738</v>
      </c>
    </row>
    <row r="6815" spans="1:7" x14ac:dyDescent="0.2">
      <c r="A6815" t="s">
        <v>1744</v>
      </c>
      <c r="B6815">
        <v>0</v>
      </c>
      <c r="C6815">
        <v>0</v>
      </c>
      <c r="D6815">
        <v>0</v>
      </c>
      <c r="E6815">
        <v>0</v>
      </c>
      <c r="F6815">
        <v>0</v>
      </c>
      <c r="G6815">
        <v>0</v>
      </c>
    </row>
    <row r="6816" spans="1:7" x14ac:dyDescent="0.2">
      <c r="A6816" t="s">
        <v>1747</v>
      </c>
      <c r="B6816">
        <v>0</v>
      </c>
      <c r="C6816">
        <v>0</v>
      </c>
      <c r="D6816">
        <v>0</v>
      </c>
      <c r="E6816">
        <v>0</v>
      </c>
      <c r="F6816">
        <v>0</v>
      </c>
      <c r="G6816">
        <v>0</v>
      </c>
    </row>
    <row r="6817" spans="1:7" x14ac:dyDescent="0.2">
      <c r="A6817" t="s">
        <v>1751</v>
      </c>
      <c r="B6817">
        <v>0</v>
      </c>
      <c r="C6817">
        <v>0</v>
      </c>
      <c r="D6817">
        <v>0</v>
      </c>
      <c r="E6817">
        <v>0</v>
      </c>
      <c r="F6817">
        <v>0</v>
      </c>
      <c r="G6817">
        <v>0</v>
      </c>
    </row>
    <row r="6818" spans="1:7" x14ac:dyDescent="0.2">
      <c r="A6818" t="s">
        <v>1755</v>
      </c>
      <c r="B6818">
        <v>0</v>
      </c>
      <c r="C6818">
        <v>0</v>
      </c>
      <c r="D6818">
        <v>107</v>
      </c>
      <c r="E6818">
        <v>1178</v>
      </c>
      <c r="F6818">
        <v>2818</v>
      </c>
      <c r="G6818">
        <v>4103</v>
      </c>
    </row>
    <row r="6819" spans="1:7" x14ac:dyDescent="0.2">
      <c r="A6819" t="s">
        <v>1757</v>
      </c>
      <c r="B6819">
        <v>0</v>
      </c>
      <c r="C6819">
        <v>0</v>
      </c>
      <c r="D6819">
        <v>199</v>
      </c>
      <c r="E6819">
        <v>486</v>
      </c>
      <c r="F6819">
        <v>2471</v>
      </c>
      <c r="G6819">
        <v>3155</v>
      </c>
    </row>
    <row r="6820" spans="1:7" x14ac:dyDescent="0.2">
      <c r="A6820" t="s">
        <v>1761</v>
      </c>
      <c r="B6820">
        <v>0</v>
      </c>
      <c r="C6820">
        <v>0</v>
      </c>
      <c r="D6820">
        <v>0</v>
      </c>
      <c r="E6820">
        <v>0</v>
      </c>
      <c r="F6820">
        <v>0</v>
      </c>
      <c r="G6820">
        <v>0</v>
      </c>
    </row>
    <row r="6821" spans="1:7" x14ac:dyDescent="0.2">
      <c r="A6821" t="s">
        <v>1764</v>
      </c>
      <c r="B6821">
        <v>0</v>
      </c>
      <c r="C6821">
        <v>0</v>
      </c>
      <c r="D6821">
        <v>0</v>
      </c>
      <c r="E6821">
        <v>0</v>
      </c>
      <c r="F6821">
        <v>0</v>
      </c>
      <c r="G6821">
        <v>0</v>
      </c>
    </row>
    <row r="6822" spans="1:7" x14ac:dyDescent="0.2">
      <c r="A6822" t="s">
        <v>1770</v>
      </c>
      <c r="B6822">
        <v>16</v>
      </c>
      <c r="C6822">
        <v>458</v>
      </c>
      <c r="D6822">
        <v>3042</v>
      </c>
      <c r="E6822">
        <v>16068</v>
      </c>
      <c r="F6822">
        <v>0</v>
      </c>
      <c r="G6822">
        <v>19585</v>
      </c>
    </row>
    <row r="6823" spans="1:7" x14ac:dyDescent="0.2">
      <c r="A6823" t="s">
        <v>1772</v>
      </c>
      <c r="B6823">
        <v>0</v>
      </c>
      <c r="C6823">
        <v>46</v>
      </c>
      <c r="D6823">
        <v>758</v>
      </c>
      <c r="E6823">
        <v>6225</v>
      </c>
      <c r="F6823">
        <v>0</v>
      </c>
      <c r="G6823">
        <v>7029</v>
      </c>
    </row>
    <row r="6824" spans="1:7" x14ac:dyDescent="0.2">
      <c r="A6824" t="s">
        <v>1774</v>
      </c>
      <c r="B6824">
        <v>0</v>
      </c>
      <c r="C6824">
        <v>93</v>
      </c>
      <c r="D6824">
        <v>489</v>
      </c>
      <c r="E6824">
        <v>3561</v>
      </c>
      <c r="F6824">
        <v>0</v>
      </c>
      <c r="G6824">
        <v>4142</v>
      </c>
    </row>
    <row r="6825" spans="1:7" x14ac:dyDescent="0.2">
      <c r="A6825" t="s">
        <v>1777</v>
      </c>
      <c r="B6825">
        <v>0</v>
      </c>
      <c r="C6825">
        <v>0</v>
      </c>
      <c r="D6825">
        <v>0</v>
      </c>
      <c r="E6825">
        <v>0</v>
      </c>
      <c r="F6825">
        <v>600</v>
      </c>
      <c r="G6825">
        <v>600</v>
      </c>
    </row>
    <row r="6826" spans="1:7" x14ac:dyDescent="0.2">
      <c r="A6826" t="s">
        <v>1782</v>
      </c>
      <c r="B6826">
        <v>0</v>
      </c>
      <c r="C6826">
        <v>0</v>
      </c>
      <c r="D6826">
        <v>0</v>
      </c>
      <c r="E6826">
        <v>0</v>
      </c>
      <c r="F6826">
        <v>0</v>
      </c>
      <c r="G6826">
        <v>0</v>
      </c>
    </row>
    <row r="6827" spans="1:7" x14ac:dyDescent="0.2">
      <c r="A6827" t="s">
        <v>1274</v>
      </c>
      <c r="B6827">
        <v>0</v>
      </c>
      <c r="C6827">
        <v>0</v>
      </c>
      <c r="D6827">
        <v>0</v>
      </c>
      <c r="E6827">
        <v>1759</v>
      </c>
      <c r="F6827">
        <v>24</v>
      </c>
      <c r="G6827">
        <v>1784</v>
      </c>
    </row>
    <row r="6828" spans="1:7" x14ac:dyDescent="0.2">
      <c r="A6828" t="s">
        <v>1277</v>
      </c>
      <c r="B6828">
        <v>0</v>
      </c>
      <c r="C6828">
        <v>0</v>
      </c>
      <c r="D6828">
        <v>0</v>
      </c>
      <c r="E6828">
        <v>14519</v>
      </c>
      <c r="F6828">
        <v>722</v>
      </c>
      <c r="G6828">
        <v>15241</v>
      </c>
    </row>
    <row r="6829" spans="1:7" x14ac:dyDescent="0.2">
      <c r="A6829" t="s">
        <v>1798</v>
      </c>
      <c r="B6829">
        <v>0</v>
      </c>
      <c r="C6829">
        <v>0</v>
      </c>
      <c r="D6829">
        <v>0</v>
      </c>
      <c r="E6829">
        <v>0</v>
      </c>
      <c r="F6829">
        <v>18313</v>
      </c>
      <c r="G6829">
        <v>18313</v>
      </c>
    </row>
    <row r="6830" spans="1:7" x14ac:dyDescent="0.2">
      <c r="A6830" t="s">
        <v>1803</v>
      </c>
      <c r="B6830">
        <v>0</v>
      </c>
      <c r="C6830">
        <v>0</v>
      </c>
      <c r="D6830">
        <v>0</v>
      </c>
      <c r="E6830">
        <v>0</v>
      </c>
      <c r="F6830">
        <v>1461</v>
      </c>
      <c r="G6830">
        <v>1461</v>
      </c>
    </row>
    <row r="6831" spans="1:7" x14ac:dyDescent="0.2">
      <c r="A6831" t="s">
        <v>1808</v>
      </c>
      <c r="B6831">
        <v>0</v>
      </c>
      <c r="C6831">
        <v>0</v>
      </c>
      <c r="D6831">
        <v>0</v>
      </c>
      <c r="E6831">
        <v>0</v>
      </c>
      <c r="F6831">
        <v>0</v>
      </c>
      <c r="G6831">
        <v>0</v>
      </c>
    </row>
    <row r="6832" spans="1:7" x14ac:dyDescent="0.2">
      <c r="A6832" t="s">
        <v>1813</v>
      </c>
      <c r="B6832">
        <v>0</v>
      </c>
      <c r="C6832">
        <v>0</v>
      </c>
      <c r="D6832">
        <v>0</v>
      </c>
      <c r="E6832">
        <v>0</v>
      </c>
      <c r="F6832">
        <v>0</v>
      </c>
      <c r="G6832">
        <v>0</v>
      </c>
    </row>
    <row r="6833" spans="1:7" x14ac:dyDescent="0.2">
      <c r="A6833" t="s">
        <v>1819</v>
      </c>
      <c r="B6833">
        <v>0</v>
      </c>
      <c r="C6833">
        <v>0</v>
      </c>
      <c r="D6833">
        <v>0</v>
      </c>
      <c r="E6833">
        <v>87</v>
      </c>
      <c r="F6833">
        <v>40</v>
      </c>
      <c r="G6833">
        <v>127</v>
      </c>
    </row>
    <row r="6834" spans="1:7" x14ac:dyDescent="0.2">
      <c r="A6834" t="s">
        <v>1826</v>
      </c>
      <c r="B6834">
        <v>0</v>
      </c>
      <c r="C6834">
        <v>0</v>
      </c>
      <c r="D6834">
        <v>0</v>
      </c>
      <c r="E6834">
        <v>0</v>
      </c>
      <c r="F6834">
        <v>1979</v>
      </c>
      <c r="G6834">
        <v>1979</v>
      </c>
    </row>
    <row r="6835" spans="1:7" x14ac:dyDescent="0.2">
      <c r="A6835" t="s">
        <v>1830</v>
      </c>
      <c r="B6835">
        <v>0</v>
      </c>
      <c r="C6835">
        <v>0</v>
      </c>
      <c r="D6835">
        <v>0</v>
      </c>
      <c r="E6835">
        <v>0</v>
      </c>
      <c r="F6835">
        <v>428</v>
      </c>
      <c r="G6835">
        <v>428</v>
      </c>
    </row>
    <row r="6836" spans="1:7" x14ac:dyDescent="0.2">
      <c r="A6836" t="s">
        <v>1836</v>
      </c>
      <c r="B6836">
        <v>0</v>
      </c>
      <c r="C6836">
        <v>0</v>
      </c>
      <c r="D6836">
        <v>0</v>
      </c>
      <c r="E6836">
        <v>0</v>
      </c>
      <c r="F6836">
        <v>0</v>
      </c>
      <c r="G6836">
        <v>0</v>
      </c>
    </row>
    <row r="6837" spans="1:7" x14ac:dyDescent="0.2">
      <c r="A6837" t="s">
        <v>1841</v>
      </c>
      <c r="B6837">
        <v>0</v>
      </c>
      <c r="C6837">
        <v>0</v>
      </c>
      <c r="D6837">
        <v>94</v>
      </c>
      <c r="E6837">
        <v>1119</v>
      </c>
      <c r="F6837">
        <v>11</v>
      </c>
      <c r="G6837">
        <v>1224</v>
      </c>
    </row>
    <row r="6838" spans="1:7" x14ac:dyDescent="0.2">
      <c r="A6838" t="s">
        <v>1842</v>
      </c>
      <c r="B6838">
        <v>0</v>
      </c>
      <c r="C6838">
        <v>1286</v>
      </c>
      <c r="D6838">
        <v>2854</v>
      </c>
      <c r="E6838">
        <v>6062</v>
      </c>
      <c r="F6838">
        <v>0</v>
      </c>
      <c r="G6838">
        <v>10202</v>
      </c>
    </row>
    <row r="6839" spans="1:7" x14ac:dyDescent="0.2">
      <c r="A6839" t="s">
        <v>1843</v>
      </c>
      <c r="B6839">
        <v>0</v>
      </c>
      <c r="C6839">
        <v>0</v>
      </c>
      <c r="D6839">
        <v>0</v>
      </c>
      <c r="E6839">
        <v>0</v>
      </c>
      <c r="F6839">
        <v>951</v>
      </c>
      <c r="G6839">
        <v>951</v>
      </c>
    </row>
    <row r="6840" spans="1:7" x14ac:dyDescent="0.2">
      <c r="A6840" t="s">
        <v>1846</v>
      </c>
      <c r="B6840">
        <v>0</v>
      </c>
      <c r="C6840">
        <v>0</v>
      </c>
      <c r="D6840">
        <v>0</v>
      </c>
      <c r="E6840">
        <v>0</v>
      </c>
      <c r="F6840">
        <v>0</v>
      </c>
      <c r="G6840">
        <v>0</v>
      </c>
    </row>
    <row r="6841" spans="1:7" x14ac:dyDescent="0.2">
      <c r="A6841" t="s">
        <v>1851</v>
      </c>
      <c r="B6841">
        <v>0</v>
      </c>
      <c r="C6841">
        <v>0</v>
      </c>
      <c r="D6841">
        <v>0</v>
      </c>
      <c r="E6841">
        <v>1118</v>
      </c>
      <c r="F6841">
        <v>177</v>
      </c>
      <c r="G6841">
        <v>1295</v>
      </c>
    </row>
    <row r="6842" spans="1:7" x14ac:dyDescent="0.2">
      <c r="A6842" t="s">
        <v>1857</v>
      </c>
      <c r="B6842">
        <v>0</v>
      </c>
      <c r="C6842">
        <v>0</v>
      </c>
      <c r="D6842">
        <v>0</v>
      </c>
      <c r="E6842">
        <v>5</v>
      </c>
      <c r="F6842">
        <v>0</v>
      </c>
      <c r="G6842">
        <v>5</v>
      </c>
    </row>
    <row r="6843" spans="1:7" x14ac:dyDescent="0.2">
      <c r="A6843" t="s">
        <v>1862</v>
      </c>
      <c r="B6843">
        <v>0</v>
      </c>
      <c r="C6843">
        <v>0</v>
      </c>
      <c r="D6843">
        <v>0</v>
      </c>
      <c r="E6843">
        <v>4162</v>
      </c>
      <c r="F6843">
        <v>987</v>
      </c>
      <c r="G6843">
        <v>5149</v>
      </c>
    </row>
    <row r="6844" spans="1:7" x14ac:dyDescent="0.2">
      <c r="A6844" t="s">
        <v>1867</v>
      </c>
      <c r="B6844">
        <v>0</v>
      </c>
      <c r="C6844">
        <v>0</v>
      </c>
      <c r="D6844">
        <v>0</v>
      </c>
      <c r="E6844">
        <v>0</v>
      </c>
      <c r="F6844">
        <v>3</v>
      </c>
      <c r="G6844">
        <v>3</v>
      </c>
    </row>
    <row r="6845" spans="1:7" x14ac:dyDescent="0.2">
      <c r="A6845" t="s">
        <v>1870</v>
      </c>
      <c r="B6845">
        <v>0</v>
      </c>
      <c r="C6845">
        <v>0</v>
      </c>
      <c r="D6845">
        <v>0</v>
      </c>
      <c r="E6845">
        <v>0</v>
      </c>
      <c r="F6845">
        <v>0</v>
      </c>
      <c r="G6845">
        <v>0</v>
      </c>
    </row>
    <row r="6846" spans="1:7" x14ac:dyDescent="0.2">
      <c r="A6846" t="s">
        <v>1874</v>
      </c>
      <c r="B6846">
        <v>0</v>
      </c>
      <c r="C6846">
        <v>0</v>
      </c>
      <c r="D6846">
        <v>259</v>
      </c>
      <c r="E6846">
        <v>2123</v>
      </c>
      <c r="F6846">
        <v>0</v>
      </c>
      <c r="G6846">
        <v>2382</v>
      </c>
    </row>
    <row r="6847" spans="1:7" x14ac:dyDescent="0.2">
      <c r="A6847" t="s">
        <v>1876</v>
      </c>
      <c r="B6847">
        <v>0</v>
      </c>
      <c r="C6847">
        <v>0</v>
      </c>
      <c r="D6847">
        <v>0</v>
      </c>
      <c r="E6847">
        <v>0</v>
      </c>
      <c r="F6847">
        <v>10</v>
      </c>
      <c r="G6847">
        <v>10</v>
      </c>
    </row>
    <row r="6848" spans="1:7" x14ac:dyDescent="0.2">
      <c r="A6848" t="s">
        <v>1881</v>
      </c>
      <c r="B6848">
        <v>0</v>
      </c>
      <c r="C6848">
        <v>0</v>
      </c>
      <c r="D6848">
        <v>0</v>
      </c>
      <c r="E6848">
        <v>0</v>
      </c>
      <c r="F6848">
        <v>1788</v>
      </c>
      <c r="G6848">
        <v>1788</v>
      </c>
    </row>
    <row r="6849" spans="1:7" x14ac:dyDescent="0.2">
      <c r="A6849" t="s">
        <v>1885</v>
      </c>
      <c r="B6849">
        <v>1756</v>
      </c>
      <c r="C6849">
        <v>2206</v>
      </c>
      <c r="D6849">
        <v>3287</v>
      </c>
      <c r="E6849">
        <v>7100</v>
      </c>
      <c r="F6849">
        <v>319</v>
      </c>
      <c r="G6849">
        <v>14668</v>
      </c>
    </row>
    <row r="6850" spans="1:7" x14ac:dyDescent="0.2">
      <c r="A6850" t="s">
        <v>1887</v>
      </c>
      <c r="B6850">
        <v>0</v>
      </c>
      <c r="C6850">
        <v>0</v>
      </c>
      <c r="D6850">
        <v>0</v>
      </c>
      <c r="E6850">
        <v>23</v>
      </c>
      <c r="F6850">
        <v>167</v>
      </c>
      <c r="G6850">
        <v>190</v>
      </c>
    </row>
    <row r="6851" spans="1:7" x14ac:dyDescent="0.2">
      <c r="A6851" t="s">
        <v>1893</v>
      </c>
      <c r="B6851">
        <v>0</v>
      </c>
      <c r="C6851">
        <v>0</v>
      </c>
      <c r="D6851">
        <v>0</v>
      </c>
      <c r="E6851">
        <v>1255</v>
      </c>
      <c r="F6851">
        <v>327</v>
      </c>
      <c r="G6851">
        <v>1582</v>
      </c>
    </row>
    <row r="6852" spans="1:7" x14ac:dyDescent="0.2">
      <c r="A6852" t="s">
        <v>1899</v>
      </c>
      <c r="B6852">
        <v>0</v>
      </c>
      <c r="C6852">
        <v>0</v>
      </c>
      <c r="D6852">
        <v>0</v>
      </c>
      <c r="E6852">
        <v>0</v>
      </c>
      <c r="F6852">
        <v>0</v>
      </c>
      <c r="G6852">
        <v>0</v>
      </c>
    </row>
    <row r="6853" spans="1:7" x14ac:dyDescent="0.2">
      <c r="A6853" t="s">
        <v>1906</v>
      </c>
      <c r="B6853">
        <v>0</v>
      </c>
      <c r="C6853">
        <v>0</v>
      </c>
      <c r="D6853">
        <v>0</v>
      </c>
      <c r="E6853">
        <v>677</v>
      </c>
      <c r="F6853">
        <v>8</v>
      </c>
      <c r="G6853">
        <v>685</v>
      </c>
    </row>
    <row r="6854" spans="1:7" x14ac:dyDescent="0.2">
      <c r="A6854" t="s">
        <v>1911</v>
      </c>
      <c r="B6854">
        <v>0</v>
      </c>
      <c r="C6854">
        <v>0</v>
      </c>
      <c r="D6854">
        <v>0</v>
      </c>
      <c r="E6854">
        <v>0</v>
      </c>
      <c r="F6854">
        <v>0</v>
      </c>
      <c r="G6854">
        <v>0</v>
      </c>
    </row>
    <row r="6855" spans="1:7" x14ac:dyDescent="0.2">
      <c r="A6855" t="s">
        <v>1917</v>
      </c>
      <c r="B6855">
        <v>0</v>
      </c>
      <c r="C6855">
        <v>0</v>
      </c>
      <c r="D6855">
        <v>0</v>
      </c>
      <c r="E6855">
        <v>1206</v>
      </c>
      <c r="F6855">
        <v>2039</v>
      </c>
      <c r="G6855">
        <v>3245</v>
      </c>
    </row>
    <row r="6856" spans="1:7" x14ac:dyDescent="0.2">
      <c r="A6856" t="s">
        <v>1922</v>
      </c>
      <c r="B6856">
        <v>0</v>
      </c>
      <c r="C6856">
        <v>0</v>
      </c>
      <c r="D6856">
        <v>0</v>
      </c>
      <c r="E6856">
        <v>1899</v>
      </c>
      <c r="F6856">
        <v>887</v>
      </c>
      <c r="G6856">
        <v>2786</v>
      </c>
    </row>
    <row r="6857" spans="1:7" x14ac:dyDescent="0.2">
      <c r="A6857" t="s">
        <v>1928</v>
      </c>
      <c r="B6857">
        <v>0</v>
      </c>
      <c r="C6857">
        <v>0</v>
      </c>
      <c r="D6857">
        <v>0</v>
      </c>
      <c r="E6857">
        <v>0</v>
      </c>
      <c r="F6857">
        <v>5502</v>
      </c>
      <c r="G6857">
        <v>5502</v>
      </c>
    </row>
    <row r="6858" spans="1:7" x14ac:dyDescent="0.2">
      <c r="A6858" t="s">
        <v>1932</v>
      </c>
      <c r="B6858">
        <v>0</v>
      </c>
      <c r="C6858">
        <v>0</v>
      </c>
      <c r="D6858">
        <v>0</v>
      </c>
      <c r="E6858">
        <v>0</v>
      </c>
      <c r="F6858">
        <v>593</v>
      </c>
      <c r="G6858">
        <v>593</v>
      </c>
    </row>
    <row r="6859" spans="1:7" x14ac:dyDescent="0.2">
      <c r="A6859" t="s">
        <v>1938</v>
      </c>
      <c r="B6859">
        <v>0</v>
      </c>
      <c r="C6859">
        <v>0</v>
      </c>
      <c r="D6859">
        <v>0</v>
      </c>
      <c r="E6859">
        <v>0</v>
      </c>
      <c r="F6859">
        <v>419</v>
      </c>
      <c r="G6859">
        <v>419</v>
      </c>
    </row>
    <row r="6860" spans="1:7" x14ac:dyDescent="0.2">
      <c r="A6860" t="s">
        <v>1944</v>
      </c>
      <c r="B6860">
        <v>4</v>
      </c>
      <c r="C6860">
        <v>206</v>
      </c>
      <c r="D6860">
        <v>682</v>
      </c>
      <c r="E6860">
        <v>2108</v>
      </c>
      <c r="F6860">
        <v>66</v>
      </c>
      <c r="G6860">
        <v>3066</v>
      </c>
    </row>
    <row r="6861" spans="1:7" x14ac:dyDescent="0.2">
      <c r="A6861" t="s">
        <v>1947</v>
      </c>
      <c r="B6861">
        <v>0</v>
      </c>
      <c r="C6861">
        <v>0</v>
      </c>
      <c r="D6861">
        <v>0</v>
      </c>
      <c r="E6861">
        <v>0</v>
      </c>
      <c r="F6861">
        <v>59</v>
      </c>
      <c r="G6861">
        <v>59</v>
      </c>
    </row>
    <row r="6862" spans="1:7" x14ac:dyDescent="0.2">
      <c r="A6862" t="s">
        <v>1953</v>
      </c>
      <c r="B6862">
        <v>0</v>
      </c>
      <c r="C6862">
        <v>0</v>
      </c>
      <c r="D6862">
        <v>0</v>
      </c>
      <c r="E6862">
        <v>43</v>
      </c>
      <c r="F6862">
        <v>134</v>
      </c>
      <c r="G6862">
        <v>177</v>
      </c>
    </row>
    <row r="6863" spans="1:7" x14ac:dyDescent="0.2">
      <c r="A6863" t="s">
        <v>1958</v>
      </c>
      <c r="B6863">
        <v>0</v>
      </c>
      <c r="C6863">
        <v>0</v>
      </c>
      <c r="D6863">
        <v>0</v>
      </c>
      <c r="E6863">
        <v>0</v>
      </c>
      <c r="F6863">
        <v>0</v>
      </c>
      <c r="G6863">
        <v>0</v>
      </c>
    </row>
    <row r="6864" spans="1:7" x14ac:dyDescent="0.2">
      <c r="A6864" t="s">
        <v>1964</v>
      </c>
      <c r="B6864">
        <v>0</v>
      </c>
      <c r="C6864">
        <v>0</v>
      </c>
      <c r="D6864">
        <v>0</v>
      </c>
      <c r="E6864">
        <v>12</v>
      </c>
      <c r="F6864">
        <v>100</v>
      </c>
      <c r="G6864">
        <v>112</v>
      </c>
    </row>
    <row r="6865" spans="1:7" x14ac:dyDescent="0.2">
      <c r="A6865" t="s">
        <v>1973</v>
      </c>
      <c r="B6865">
        <v>0</v>
      </c>
      <c r="C6865">
        <v>0</v>
      </c>
      <c r="D6865">
        <v>0</v>
      </c>
      <c r="E6865">
        <v>0</v>
      </c>
      <c r="F6865">
        <v>4012</v>
      </c>
      <c r="G6865">
        <v>4012</v>
      </c>
    </row>
    <row r="6866" spans="1:7" x14ac:dyDescent="0.2">
      <c r="A6866" t="s">
        <v>1978</v>
      </c>
      <c r="B6866">
        <v>0</v>
      </c>
      <c r="C6866">
        <v>0</v>
      </c>
      <c r="D6866">
        <v>0</v>
      </c>
      <c r="E6866">
        <v>0</v>
      </c>
      <c r="F6866">
        <v>2756</v>
      </c>
      <c r="G6866">
        <v>2756</v>
      </c>
    </row>
    <row r="6867" spans="1:7" x14ac:dyDescent="0.2">
      <c r="A6867" t="s">
        <v>1983</v>
      </c>
      <c r="B6867">
        <v>322</v>
      </c>
      <c r="C6867">
        <v>25</v>
      </c>
      <c r="D6867">
        <v>56</v>
      </c>
      <c r="E6867">
        <v>371</v>
      </c>
      <c r="F6867">
        <v>80</v>
      </c>
      <c r="G6867">
        <v>854</v>
      </c>
    </row>
    <row r="6868" spans="1:7" x14ac:dyDescent="0.2">
      <c r="A6868" t="s">
        <v>1984</v>
      </c>
      <c r="B6868">
        <v>0</v>
      </c>
      <c r="C6868">
        <v>0</v>
      </c>
      <c r="D6868">
        <v>0</v>
      </c>
      <c r="E6868">
        <v>0</v>
      </c>
      <c r="F6868">
        <v>0</v>
      </c>
      <c r="G6868">
        <v>0</v>
      </c>
    </row>
    <row r="6869" spans="1:7" x14ac:dyDescent="0.2">
      <c r="A6869" t="s">
        <v>1990</v>
      </c>
      <c r="B6869">
        <v>0</v>
      </c>
      <c r="C6869">
        <v>0</v>
      </c>
      <c r="D6869">
        <v>0</v>
      </c>
      <c r="E6869">
        <v>69</v>
      </c>
      <c r="F6869">
        <v>95</v>
      </c>
      <c r="G6869">
        <v>163</v>
      </c>
    </row>
    <row r="6870" spans="1:7" x14ac:dyDescent="0.2">
      <c r="A6870" t="s">
        <v>1996</v>
      </c>
      <c r="B6870">
        <v>0</v>
      </c>
      <c r="C6870">
        <v>0</v>
      </c>
      <c r="D6870">
        <v>0</v>
      </c>
      <c r="E6870">
        <v>0</v>
      </c>
      <c r="F6870">
        <v>0</v>
      </c>
      <c r="G6870">
        <v>0</v>
      </c>
    </row>
    <row r="6871" spans="1:7" x14ac:dyDescent="0.2">
      <c r="A6871" t="s">
        <v>1998</v>
      </c>
      <c r="B6871">
        <v>0</v>
      </c>
      <c r="C6871">
        <v>0</v>
      </c>
      <c r="D6871">
        <v>0</v>
      </c>
      <c r="E6871">
        <v>0</v>
      </c>
      <c r="F6871">
        <v>0</v>
      </c>
      <c r="G6871">
        <v>0</v>
      </c>
    </row>
    <row r="6872" spans="1:7" x14ac:dyDescent="0.2">
      <c r="A6872" t="s">
        <v>1999</v>
      </c>
      <c r="B6872">
        <v>0</v>
      </c>
      <c r="C6872">
        <v>0</v>
      </c>
      <c r="D6872">
        <v>0</v>
      </c>
      <c r="E6872">
        <v>0</v>
      </c>
      <c r="F6872">
        <v>516</v>
      </c>
      <c r="G6872">
        <v>516</v>
      </c>
    </row>
    <row r="6873" spans="1:7" x14ac:dyDescent="0.2">
      <c r="A6873" t="s">
        <v>2004</v>
      </c>
      <c r="B6873">
        <v>0</v>
      </c>
      <c r="C6873">
        <v>0</v>
      </c>
      <c r="D6873">
        <v>0</v>
      </c>
      <c r="E6873">
        <v>450</v>
      </c>
      <c r="F6873">
        <v>620</v>
      </c>
      <c r="G6873">
        <v>1071</v>
      </c>
    </row>
    <row r="6874" spans="1:7" x14ac:dyDescent="0.2">
      <c r="A6874" t="s">
        <v>2009</v>
      </c>
      <c r="B6874">
        <v>0</v>
      </c>
      <c r="C6874">
        <v>0</v>
      </c>
      <c r="D6874">
        <v>0</v>
      </c>
      <c r="E6874">
        <v>0</v>
      </c>
      <c r="F6874">
        <v>0</v>
      </c>
      <c r="G6874">
        <v>0</v>
      </c>
    </row>
    <row r="6875" spans="1:7" x14ac:dyDescent="0.2">
      <c r="A6875" t="s">
        <v>2014</v>
      </c>
      <c r="B6875">
        <v>0</v>
      </c>
      <c r="C6875">
        <v>0</v>
      </c>
      <c r="D6875">
        <v>0</v>
      </c>
      <c r="E6875">
        <v>19684</v>
      </c>
      <c r="F6875">
        <v>10995</v>
      </c>
      <c r="G6875">
        <v>30679</v>
      </c>
    </row>
    <row r="6876" spans="1:7" x14ac:dyDescent="0.2">
      <c r="A6876" t="s">
        <v>2019</v>
      </c>
      <c r="B6876">
        <v>0</v>
      </c>
      <c r="C6876">
        <v>0</v>
      </c>
      <c r="D6876">
        <v>0</v>
      </c>
      <c r="E6876">
        <v>0</v>
      </c>
      <c r="F6876">
        <v>0</v>
      </c>
      <c r="G6876">
        <v>0</v>
      </c>
    </row>
    <row r="6877" spans="1:7" x14ac:dyDescent="0.2">
      <c r="A6877" t="s">
        <v>2023</v>
      </c>
      <c r="B6877">
        <v>0</v>
      </c>
      <c r="C6877">
        <v>0</v>
      </c>
      <c r="D6877">
        <v>0</v>
      </c>
      <c r="E6877">
        <v>0</v>
      </c>
      <c r="F6877">
        <v>3</v>
      </c>
      <c r="G6877">
        <v>3</v>
      </c>
    </row>
    <row r="6878" spans="1:7" x14ac:dyDescent="0.2">
      <c r="A6878" t="s">
        <v>2026</v>
      </c>
      <c r="B6878">
        <v>0</v>
      </c>
      <c r="C6878">
        <v>0</v>
      </c>
      <c r="D6878">
        <v>0</v>
      </c>
      <c r="E6878">
        <v>0</v>
      </c>
      <c r="F6878">
        <v>1602</v>
      </c>
      <c r="G6878">
        <v>1602</v>
      </c>
    </row>
    <row r="6879" spans="1:7" x14ac:dyDescent="0.2">
      <c r="A6879" t="s">
        <v>2030</v>
      </c>
      <c r="B6879">
        <v>0</v>
      </c>
      <c r="C6879">
        <v>0</v>
      </c>
      <c r="D6879">
        <v>0</v>
      </c>
      <c r="E6879">
        <v>0</v>
      </c>
      <c r="F6879">
        <v>0</v>
      </c>
      <c r="G6879">
        <v>0</v>
      </c>
    </row>
    <row r="6880" spans="1:7" x14ac:dyDescent="0.2">
      <c r="A6880" t="s">
        <v>2035</v>
      </c>
      <c r="B6880">
        <v>0</v>
      </c>
      <c r="C6880">
        <v>0</v>
      </c>
      <c r="D6880">
        <v>0</v>
      </c>
      <c r="E6880">
        <v>0</v>
      </c>
      <c r="F6880">
        <v>0</v>
      </c>
      <c r="G6880">
        <v>0</v>
      </c>
    </row>
    <row r="6881" spans="1:7" x14ac:dyDescent="0.2">
      <c r="A6881" t="s">
        <v>2040</v>
      </c>
      <c r="B6881">
        <v>0</v>
      </c>
      <c r="C6881">
        <v>0</v>
      </c>
      <c r="D6881">
        <v>0</v>
      </c>
      <c r="E6881">
        <v>0</v>
      </c>
      <c r="F6881">
        <v>1817</v>
      </c>
      <c r="G6881">
        <v>1817</v>
      </c>
    </row>
    <row r="6882" spans="1:7" x14ac:dyDescent="0.2">
      <c r="A6882" t="s">
        <v>2045</v>
      </c>
      <c r="B6882">
        <v>0</v>
      </c>
      <c r="C6882">
        <v>0</v>
      </c>
      <c r="D6882">
        <v>0</v>
      </c>
      <c r="E6882">
        <v>0</v>
      </c>
      <c r="F6882">
        <v>0</v>
      </c>
      <c r="G6882">
        <v>0</v>
      </c>
    </row>
    <row r="6883" spans="1:7" x14ac:dyDescent="0.2">
      <c r="A6883" t="s">
        <v>2049</v>
      </c>
      <c r="B6883">
        <v>0</v>
      </c>
      <c r="C6883">
        <v>0</v>
      </c>
      <c r="D6883">
        <v>1357</v>
      </c>
      <c r="E6883">
        <v>3168</v>
      </c>
      <c r="F6883">
        <v>494</v>
      </c>
      <c r="G6883">
        <v>5018</v>
      </c>
    </row>
    <row r="6884" spans="1:7" x14ac:dyDescent="0.2">
      <c r="A6884" t="s">
        <v>2051</v>
      </c>
      <c r="B6884">
        <v>0</v>
      </c>
      <c r="C6884">
        <v>0</v>
      </c>
      <c r="D6884">
        <v>0</v>
      </c>
      <c r="E6884">
        <v>0</v>
      </c>
      <c r="F6884">
        <v>623</v>
      </c>
      <c r="G6884">
        <v>623</v>
      </c>
    </row>
    <row r="6885" spans="1:7" x14ac:dyDescent="0.2">
      <c r="A6885" t="s">
        <v>2057</v>
      </c>
      <c r="B6885">
        <v>0</v>
      </c>
      <c r="C6885">
        <v>0</v>
      </c>
      <c r="D6885">
        <v>7</v>
      </c>
      <c r="E6885">
        <v>42</v>
      </c>
      <c r="F6885">
        <v>1031</v>
      </c>
      <c r="G6885">
        <v>1080</v>
      </c>
    </row>
    <row r="6886" spans="1:7" x14ac:dyDescent="0.2">
      <c r="A6886" t="s">
        <v>4344</v>
      </c>
      <c r="B6886">
        <v>0</v>
      </c>
      <c r="C6886">
        <v>0</v>
      </c>
      <c r="D6886">
        <v>0</v>
      </c>
      <c r="E6886">
        <v>1014</v>
      </c>
      <c r="F6886">
        <v>17</v>
      </c>
      <c r="G6886">
        <v>1031</v>
      </c>
    </row>
    <row r="6887" spans="1:7" x14ac:dyDescent="0.2">
      <c r="A6887" t="s">
        <v>4345</v>
      </c>
      <c r="B6887">
        <v>0</v>
      </c>
      <c r="C6887">
        <v>0</v>
      </c>
      <c r="D6887">
        <v>0</v>
      </c>
      <c r="E6887">
        <v>3956</v>
      </c>
      <c r="F6887">
        <v>460</v>
      </c>
      <c r="G6887">
        <v>4416</v>
      </c>
    </row>
    <row r="6888" spans="1:7" x14ac:dyDescent="0.2">
      <c r="A6888" t="s">
        <v>2074</v>
      </c>
      <c r="B6888">
        <v>0</v>
      </c>
      <c r="C6888">
        <v>0</v>
      </c>
      <c r="D6888">
        <v>0</v>
      </c>
      <c r="E6888">
        <v>1068</v>
      </c>
      <c r="F6888">
        <v>0</v>
      </c>
      <c r="G6888">
        <v>1068</v>
      </c>
    </row>
    <row r="6889" spans="1:7" x14ac:dyDescent="0.2">
      <c r="A6889" t="s">
        <v>2079</v>
      </c>
      <c r="B6889">
        <v>0</v>
      </c>
      <c r="C6889">
        <v>0</v>
      </c>
      <c r="D6889">
        <v>0</v>
      </c>
      <c r="E6889">
        <v>3001</v>
      </c>
      <c r="F6889">
        <v>314</v>
      </c>
      <c r="G6889">
        <v>3315</v>
      </c>
    </row>
    <row r="6890" spans="1:7" x14ac:dyDescent="0.2">
      <c r="A6890" t="s">
        <v>2085</v>
      </c>
      <c r="B6890">
        <v>0</v>
      </c>
      <c r="C6890">
        <v>0</v>
      </c>
      <c r="D6890">
        <v>0</v>
      </c>
      <c r="E6890">
        <v>0</v>
      </c>
      <c r="F6890">
        <v>1</v>
      </c>
      <c r="G6890">
        <v>1</v>
      </c>
    </row>
    <row r="6891" spans="1:7" x14ac:dyDescent="0.2">
      <c r="A6891" t="s">
        <v>2091</v>
      </c>
      <c r="B6891">
        <v>0</v>
      </c>
      <c r="C6891">
        <v>0</v>
      </c>
      <c r="D6891">
        <v>0</v>
      </c>
      <c r="E6891">
        <v>682</v>
      </c>
      <c r="F6891">
        <v>326</v>
      </c>
      <c r="G6891">
        <v>1008</v>
      </c>
    </row>
    <row r="6892" spans="1:7" x14ac:dyDescent="0.2">
      <c r="A6892" t="s">
        <v>2097</v>
      </c>
      <c r="B6892">
        <v>0</v>
      </c>
      <c r="C6892">
        <v>0</v>
      </c>
      <c r="D6892">
        <v>0</v>
      </c>
      <c r="E6892">
        <v>0</v>
      </c>
      <c r="F6892">
        <v>1224</v>
      </c>
      <c r="G6892">
        <v>1224</v>
      </c>
    </row>
    <row r="6893" spans="1:7" x14ac:dyDescent="0.2">
      <c r="A6893" t="s">
        <v>2101</v>
      </c>
      <c r="B6893">
        <v>0</v>
      </c>
      <c r="C6893">
        <v>0</v>
      </c>
      <c r="D6893">
        <v>0</v>
      </c>
      <c r="E6893">
        <v>0</v>
      </c>
      <c r="F6893">
        <v>1011</v>
      </c>
      <c r="G6893">
        <v>1011</v>
      </c>
    </row>
    <row r="6894" spans="1:7" x14ac:dyDescent="0.2">
      <c r="A6894" t="s">
        <v>2104</v>
      </c>
      <c r="B6894">
        <v>0</v>
      </c>
      <c r="C6894">
        <v>0</v>
      </c>
      <c r="D6894">
        <v>0</v>
      </c>
      <c r="E6894">
        <v>0</v>
      </c>
      <c r="F6894">
        <v>0</v>
      </c>
      <c r="G6894">
        <v>0</v>
      </c>
    </row>
    <row r="6895" spans="1:7" x14ac:dyDescent="0.2">
      <c r="A6895" t="s">
        <v>2107</v>
      </c>
      <c r="B6895">
        <v>0</v>
      </c>
      <c r="C6895">
        <v>0</v>
      </c>
      <c r="D6895">
        <v>0</v>
      </c>
      <c r="E6895">
        <v>0</v>
      </c>
      <c r="F6895">
        <v>1683</v>
      </c>
      <c r="G6895">
        <v>1683</v>
      </c>
    </row>
    <row r="6896" spans="1:7" x14ac:dyDescent="0.2">
      <c r="A6896" t="s">
        <v>2110</v>
      </c>
      <c r="B6896">
        <v>0</v>
      </c>
      <c r="C6896">
        <v>0</v>
      </c>
      <c r="D6896">
        <v>0</v>
      </c>
      <c r="E6896">
        <v>0</v>
      </c>
      <c r="F6896">
        <v>0</v>
      </c>
      <c r="G6896">
        <v>0</v>
      </c>
    </row>
    <row r="6897" spans="1:7" x14ac:dyDescent="0.2">
      <c r="A6897" t="s">
        <v>2113</v>
      </c>
      <c r="B6897">
        <v>0</v>
      </c>
      <c r="C6897">
        <v>0</v>
      </c>
      <c r="D6897">
        <v>0</v>
      </c>
      <c r="E6897">
        <v>0</v>
      </c>
      <c r="F6897">
        <v>0</v>
      </c>
      <c r="G6897">
        <v>0</v>
      </c>
    </row>
    <row r="6898" spans="1:7" x14ac:dyDescent="0.2">
      <c r="A6898" t="s">
        <v>4346</v>
      </c>
      <c r="B6898">
        <v>0</v>
      </c>
      <c r="C6898">
        <v>0</v>
      </c>
      <c r="D6898">
        <v>0</v>
      </c>
      <c r="E6898">
        <v>0</v>
      </c>
      <c r="F6898">
        <v>623</v>
      </c>
      <c r="G6898">
        <v>623</v>
      </c>
    </row>
    <row r="6899" spans="1:7" x14ac:dyDescent="0.2">
      <c r="A6899" t="s">
        <v>4347</v>
      </c>
      <c r="B6899">
        <v>0</v>
      </c>
      <c r="C6899">
        <v>0</v>
      </c>
      <c r="D6899">
        <v>0</v>
      </c>
      <c r="E6899">
        <v>0</v>
      </c>
      <c r="F6899">
        <v>12</v>
      </c>
      <c r="G6899">
        <v>12</v>
      </c>
    </row>
    <row r="6900" spans="1:7" x14ac:dyDescent="0.2">
      <c r="A6900" t="s">
        <v>4348</v>
      </c>
      <c r="B6900">
        <v>0</v>
      </c>
      <c r="C6900">
        <v>0</v>
      </c>
      <c r="D6900">
        <v>0</v>
      </c>
      <c r="E6900">
        <v>0</v>
      </c>
      <c r="F6900">
        <v>0</v>
      </c>
      <c r="G6900">
        <v>0</v>
      </c>
    </row>
    <row r="6901" spans="1:7" x14ac:dyDescent="0.2">
      <c r="A6901" t="s">
        <v>4349</v>
      </c>
      <c r="B6901">
        <v>0</v>
      </c>
      <c r="C6901">
        <v>0</v>
      </c>
      <c r="D6901">
        <v>0</v>
      </c>
      <c r="E6901">
        <v>0</v>
      </c>
      <c r="F6901">
        <v>0</v>
      </c>
      <c r="G6901">
        <v>0</v>
      </c>
    </row>
    <row r="6902" spans="1:7" x14ac:dyDescent="0.2">
      <c r="A6902" t="s">
        <v>4350</v>
      </c>
      <c r="B6902">
        <v>0</v>
      </c>
      <c r="C6902">
        <v>656</v>
      </c>
      <c r="D6902">
        <v>3339</v>
      </c>
      <c r="E6902">
        <v>83</v>
      </c>
      <c r="F6902">
        <v>0</v>
      </c>
      <c r="G6902">
        <v>4078</v>
      </c>
    </row>
    <row r="6903" spans="1:7" x14ac:dyDescent="0.2">
      <c r="A6903" t="s">
        <v>4351</v>
      </c>
      <c r="B6903">
        <v>0</v>
      </c>
      <c r="C6903">
        <v>0</v>
      </c>
      <c r="D6903">
        <v>0</v>
      </c>
      <c r="E6903">
        <v>0</v>
      </c>
      <c r="F6903">
        <v>0</v>
      </c>
      <c r="G6903">
        <v>0</v>
      </c>
    </row>
    <row r="6904" spans="1:7" x14ac:dyDescent="0.2">
      <c r="A6904" t="s">
        <v>4352</v>
      </c>
      <c r="B6904">
        <v>0</v>
      </c>
      <c r="C6904">
        <v>0</v>
      </c>
      <c r="D6904">
        <v>0</v>
      </c>
      <c r="E6904">
        <v>0</v>
      </c>
      <c r="F6904">
        <v>0</v>
      </c>
      <c r="G6904">
        <v>0</v>
      </c>
    </row>
    <row r="6905" spans="1:7" x14ac:dyDescent="0.2">
      <c r="A6905" t="s">
        <v>4353</v>
      </c>
      <c r="B6905">
        <v>19</v>
      </c>
      <c r="C6905">
        <v>1635</v>
      </c>
      <c r="D6905">
        <v>751</v>
      </c>
      <c r="E6905">
        <v>52</v>
      </c>
      <c r="F6905">
        <v>0</v>
      </c>
      <c r="G6905">
        <v>2457</v>
      </c>
    </row>
    <row r="6906" spans="1:7" x14ac:dyDescent="0.2">
      <c r="A6906" t="s">
        <v>4354</v>
      </c>
      <c r="B6906">
        <v>110</v>
      </c>
      <c r="C6906">
        <v>1093</v>
      </c>
      <c r="D6906">
        <v>380</v>
      </c>
      <c r="E6906">
        <v>11</v>
      </c>
      <c r="F6906">
        <v>0</v>
      </c>
      <c r="G6906">
        <v>1594</v>
      </c>
    </row>
    <row r="6907" spans="1:7" x14ac:dyDescent="0.2">
      <c r="A6907" t="s">
        <v>4355</v>
      </c>
      <c r="B6907">
        <v>0</v>
      </c>
      <c r="C6907">
        <v>0</v>
      </c>
      <c r="D6907">
        <v>0</v>
      </c>
      <c r="E6907">
        <v>0</v>
      </c>
      <c r="F6907">
        <v>0</v>
      </c>
      <c r="G6907">
        <v>0</v>
      </c>
    </row>
    <row r="6908" spans="1:7" x14ac:dyDescent="0.2">
      <c r="A6908" t="s">
        <v>4356</v>
      </c>
      <c r="B6908">
        <v>0</v>
      </c>
      <c r="C6908">
        <v>0</v>
      </c>
      <c r="D6908">
        <v>0</v>
      </c>
      <c r="E6908">
        <v>0</v>
      </c>
      <c r="F6908">
        <v>0</v>
      </c>
      <c r="G6908">
        <v>0</v>
      </c>
    </row>
    <row r="6909" spans="1:7" x14ac:dyDescent="0.2">
      <c r="A6909" t="s">
        <v>4357</v>
      </c>
      <c r="B6909">
        <v>4</v>
      </c>
      <c r="C6909">
        <v>316</v>
      </c>
      <c r="D6909">
        <v>290</v>
      </c>
      <c r="E6909">
        <v>0</v>
      </c>
      <c r="F6909">
        <v>0</v>
      </c>
      <c r="G6909">
        <v>610</v>
      </c>
    </row>
    <row r="6910" spans="1:7" x14ac:dyDescent="0.2">
      <c r="A6910" t="s">
        <v>4358</v>
      </c>
      <c r="B6910">
        <v>0</v>
      </c>
      <c r="C6910">
        <v>36</v>
      </c>
      <c r="D6910">
        <v>20</v>
      </c>
      <c r="E6910">
        <v>0</v>
      </c>
      <c r="F6910">
        <v>0</v>
      </c>
      <c r="G6910">
        <v>56</v>
      </c>
    </row>
    <row r="6911" spans="1:7" x14ac:dyDescent="0.2">
      <c r="A6911" t="s">
        <v>4359</v>
      </c>
      <c r="B6911">
        <v>0</v>
      </c>
      <c r="C6911">
        <v>0</v>
      </c>
      <c r="D6911">
        <v>0</v>
      </c>
      <c r="E6911">
        <v>0</v>
      </c>
      <c r="F6911">
        <v>0</v>
      </c>
      <c r="G6911">
        <v>0</v>
      </c>
    </row>
    <row r="6912" spans="1:7" x14ac:dyDescent="0.2">
      <c r="A6912" t="s">
        <v>4360</v>
      </c>
      <c r="B6912">
        <v>0</v>
      </c>
      <c r="C6912">
        <v>1</v>
      </c>
      <c r="D6912">
        <v>54</v>
      </c>
      <c r="E6912">
        <v>93</v>
      </c>
      <c r="F6912">
        <v>2</v>
      </c>
      <c r="G6912">
        <v>150</v>
      </c>
    </row>
    <row r="6913" spans="1:7" x14ac:dyDescent="0.2">
      <c r="A6913" t="s">
        <v>4361</v>
      </c>
      <c r="B6913">
        <v>0</v>
      </c>
      <c r="C6913">
        <v>0</v>
      </c>
      <c r="D6913">
        <v>952</v>
      </c>
      <c r="E6913">
        <v>36</v>
      </c>
      <c r="F6913">
        <v>9</v>
      </c>
      <c r="G6913">
        <v>997</v>
      </c>
    </row>
    <row r="6914" spans="1:7" x14ac:dyDescent="0.2">
      <c r="A6914" t="s">
        <v>4362</v>
      </c>
      <c r="B6914">
        <v>0</v>
      </c>
      <c r="C6914">
        <v>0</v>
      </c>
      <c r="D6914">
        <v>0</v>
      </c>
      <c r="E6914">
        <v>84</v>
      </c>
      <c r="F6914">
        <v>7</v>
      </c>
      <c r="G6914">
        <v>91</v>
      </c>
    </row>
    <row r="6915" spans="1:7" x14ac:dyDescent="0.2">
      <c r="A6915" t="s">
        <v>4363</v>
      </c>
      <c r="B6915">
        <v>0</v>
      </c>
      <c r="C6915">
        <v>0</v>
      </c>
      <c r="D6915">
        <v>0</v>
      </c>
      <c r="E6915">
        <v>0</v>
      </c>
      <c r="F6915">
        <v>0</v>
      </c>
      <c r="G6915">
        <v>0</v>
      </c>
    </row>
    <row r="6916" spans="1:7" x14ac:dyDescent="0.2">
      <c r="A6916" t="s">
        <v>4364</v>
      </c>
      <c r="B6916">
        <v>0</v>
      </c>
      <c r="C6916">
        <v>0</v>
      </c>
      <c r="D6916">
        <v>0</v>
      </c>
      <c r="E6916">
        <v>0</v>
      </c>
      <c r="F6916">
        <v>0</v>
      </c>
      <c r="G6916">
        <v>0</v>
      </c>
    </row>
    <row r="6917" spans="1:7" x14ac:dyDescent="0.2">
      <c r="A6917" t="s">
        <v>4365</v>
      </c>
      <c r="B6917">
        <v>57</v>
      </c>
      <c r="C6917">
        <v>2105</v>
      </c>
      <c r="D6917">
        <v>1377</v>
      </c>
      <c r="E6917">
        <v>0</v>
      </c>
      <c r="F6917">
        <v>0</v>
      </c>
      <c r="G6917">
        <v>3539</v>
      </c>
    </row>
    <row r="6918" spans="1:7" x14ac:dyDescent="0.2">
      <c r="A6918" t="s">
        <v>4366</v>
      </c>
      <c r="B6918">
        <v>110</v>
      </c>
      <c r="C6918">
        <v>1501</v>
      </c>
      <c r="D6918">
        <v>850</v>
      </c>
      <c r="E6918">
        <v>95</v>
      </c>
      <c r="F6918">
        <v>0</v>
      </c>
      <c r="G6918">
        <v>2555</v>
      </c>
    </row>
    <row r="6919" spans="1:7" x14ac:dyDescent="0.2">
      <c r="A6919" t="s">
        <v>4367</v>
      </c>
      <c r="B6919">
        <v>12</v>
      </c>
      <c r="C6919">
        <v>176</v>
      </c>
      <c r="D6919">
        <v>251</v>
      </c>
      <c r="E6919">
        <v>20</v>
      </c>
      <c r="F6919">
        <v>0</v>
      </c>
      <c r="G6919">
        <v>459</v>
      </c>
    </row>
    <row r="6920" spans="1:7" x14ac:dyDescent="0.2">
      <c r="A6920" t="s">
        <v>4368</v>
      </c>
      <c r="B6920">
        <v>630</v>
      </c>
      <c r="C6920">
        <v>2094</v>
      </c>
      <c r="D6920">
        <v>3851</v>
      </c>
      <c r="E6920">
        <v>5938</v>
      </c>
      <c r="F6920">
        <v>1243</v>
      </c>
      <c r="G6920">
        <v>13756</v>
      </c>
    </row>
    <row r="6921" spans="1:7" x14ac:dyDescent="0.2">
      <c r="A6921" t="s">
        <v>4369</v>
      </c>
      <c r="B6921">
        <v>397</v>
      </c>
      <c r="C6921">
        <v>2863</v>
      </c>
      <c r="D6921">
        <v>6309</v>
      </c>
      <c r="E6921">
        <v>1497</v>
      </c>
      <c r="F6921">
        <v>0</v>
      </c>
      <c r="G6921">
        <v>11067</v>
      </c>
    </row>
    <row r="6922" spans="1:7" x14ac:dyDescent="0.2">
      <c r="A6922" t="s">
        <v>4370</v>
      </c>
      <c r="B6922">
        <v>2844</v>
      </c>
      <c r="C6922">
        <v>2762</v>
      </c>
      <c r="D6922">
        <v>2461</v>
      </c>
      <c r="E6922">
        <v>285</v>
      </c>
      <c r="F6922">
        <v>0</v>
      </c>
      <c r="G6922">
        <v>8352</v>
      </c>
    </row>
    <row r="6923" spans="1:7" x14ac:dyDescent="0.2">
      <c r="A6923" t="s">
        <v>4371</v>
      </c>
      <c r="B6923">
        <v>553</v>
      </c>
      <c r="C6923">
        <v>766</v>
      </c>
      <c r="D6923">
        <v>1384</v>
      </c>
      <c r="E6923">
        <v>559</v>
      </c>
      <c r="F6923">
        <v>0</v>
      </c>
      <c r="G6923">
        <v>3262</v>
      </c>
    </row>
    <row r="6924" spans="1:7" x14ac:dyDescent="0.2">
      <c r="A6924" t="s">
        <v>4372</v>
      </c>
      <c r="B6924">
        <v>0</v>
      </c>
      <c r="C6924">
        <v>0</v>
      </c>
      <c r="D6924">
        <v>0</v>
      </c>
      <c r="E6924">
        <v>0</v>
      </c>
      <c r="F6924">
        <v>0</v>
      </c>
      <c r="G6924">
        <v>0</v>
      </c>
    </row>
    <row r="6925" spans="1:7" x14ac:dyDescent="0.2">
      <c r="A6925" t="s">
        <v>4373</v>
      </c>
      <c r="B6925">
        <v>133</v>
      </c>
      <c r="C6925">
        <v>5481</v>
      </c>
      <c r="D6925">
        <v>4734</v>
      </c>
      <c r="E6925">
        <v>504</v>
      </c>
      <c r="F6925">
        <v>0</v>
      </c>
      <c r="G6925">
        <v>10851</v>
      </c>
    </row>
    <row r="6926" spans="1:7" x14ac:dyDescent="0.2">
      <c r="A6926" t="s">
        <v>4374</v>
      </c>
      <c r="B6926">
        <v>64</v>
      </c>
      <c r="C6926">
        <v>949</v>
      </c>
      <c r="D6926">
        <v>2127</v>
      </c>
      <c r="E6926">
        <v>2181</v>
      </c>
      <c r="F6926">
        <v>0</v>
      </c>
      <c r="G6926">
        <v>5321</v>
      </c>
    </row>
    <row r="6927" spans="1:7" x14ac:dyDescent="0.2">
      <c r="A6927" t="s">
        <v>4375</v>
      </c>
      <c r="B6927">
        <v>471</v>
      </c>
      <c r="C6927">
        <v>13282</v>
      </c>
      <c r="D6927">
        <v>18583</v>
      </c>
      <c r="E6927">
        <v>7339</v>
      </c>
      <c r="F6927">
        <v>0</v>
      </c>
      <c r="G6927">
        <v>39675</v>
      </c>
    </row>
    <row r="6928" spans="1:7" x14ac:dyDescent="0.2">
      <c r="A6928" t="s">
        <v>4376</v>
      </c>
      <c r="B6928">
        <v>24</v>
      </c>
      <c r="C6928">
        <v>2131</v>
      </c>
      <c r="D6928">
        <v>2572</v>
      </c>
      <c r="E6928">
        <v>614</v>
      </c>
      <c r="F6928">
        <v>0</v>
      </c>
      <c r="G6928">
        <v>5341</v>
      </c>
    </row>
    <row r="6929" spans="1:10" x14ac:dyDescent="0.2">
      <c r="A6929" t="s">
        <v>4377</v>
      </c>
      <c r="B6929">
        <v>117</v>
      </c>
      <c r="C6929">
        <v>3898</v>
      </c>
      <c r="D6929">
        <v>15431</v>
      </c>
      <c r="E6929">
        <v>19148</v>
      </c>
      <c r="F6929">
        <v>0</v>
      </c>
      <c r="G6929">
        <v>38594</v>
      </c>
    </row>
    <row r="6930" spans="1:10" x14ac:dyDescent="0.2">
      <c r="A6930" t="s">
        <v>2318</v>
      </c>
      <c r="B6930" t="s">
        <v>2319</v>
      </c>
      <c r="C6930" t="s">
        <v>2319</v>
      </c>
      <c r="D6930" t="s">
        <v>2319</v>
      </c>
      <c r="E6930" t="s">
        <v>2319</v>
      </c>
      <c r="F6930" t="s">
        <v>2319</v>
      </c>
      <c r="G6930" t="s">
        <v>2319</v>
      </c>
    </row>
    <row r="6931" spans="1:10" x14ac:dyDescent="0.2">
      <c r="A6931" t="s">
        <v>4248</v>
      </c>
    </row>
    <row r="6932" spans="1:10" x14ac:dyDescent="0.2">
      <c r="A6932" t="s">
        <v>4250</v>
      </c>
      <c r="C6932" t="s">
        <v>4251</v>
      </c>
      <c r="G6932" t="s">
        <v>7531</v>
      </c>
      <c r="J6932"/>
    </row>
    <row r="6933" spans="1:10" x14ac:dyDescent="0.2">
      <c r="A6933" t="s">
        <v>4925</v>
      </c>
      <c r="G6933" t="s">
        <v>7541</v>
      </c>
      <c r="J6933"/>
    </row>
    <row r="6934" spans="1:10" x14ac:dyDescent="0.2">
      <c r="A6934" t="s">
        <v>7530</v>
      </c>
      <c r="J6934"/>
    </row>
    <row r="6935" spans="1:10" x14ac:dyDescent="0.2">
      <c r="A6935" t="s">
        <v>5025</v>
      </c>
      <c r="J6935"/>
    </row>
    <row r="6936" spans="1:10" x14ac:dyDescent="0.2">
      <c r="J6936"/>
    </row>
    <row r="6937" spans="1:10" x14ac:dyDescent="0.2">
      <c r="A6937" t="s">
        <v>4259</v>
      </c>
      <c r="J6937"/>
    </row>
    <row r="6938" spans="1:10" x14ac:dyDescent="0.2">
      <c r="A6938" t="s">
        <v>2318</v>
      </c>
      <c r="B6938" t="s">
        <v>2319</v>
      </c>
      <c r="C6938" t="s">
        <v>2319</v>
      </c>
      <c r="D6938" t="s">
        <v>2319</v>
      </c>
      <c r="E6938" t="s">
        <v>2319</v>
      </c>
      <c r="F6938" t="s">
        <v>2319</v>
      </c>
      <c r="G6938" t="s">
        <v>2319</v>
      </c>
    </row>
    <row r="6939" spans="1:10" x14ac:dyDescent="0.2">
      <c r="A6939" t="s">
        <v>174</v>
      </c>
      <c r="B6939" t="s">
        <v>4945</v>
      </c>
      <c r="C6939" t="s">
        <v>4946</v>
      </c>
      <c r="D6939" t="s">
        <v>4947</v>
      </c>
      <c r="E6939" t="s">
        <v>4948</v>
      </c>
      <c r="F6939" t="s">
        <v>4949</v>
      </c>
    </row>
    <row r="6940" spans="1:10" x14ac:dyDescent="0.2">
      <c r="A6940" t="s">
        <v>126</v>
      </c>
      <c r="B6940" t="s">
        <v>4262</v>
      </c>
      <c r="C6940" t="s">
        <v>4263</v>
      </c>
      <c r="D6940" t="s">
        <v>4264</v>
      </c>
      <c r="E6940" t="s">
        <v>2308</v>
      </c>
      <c r="F6940" t="s">
        <v>615</v>
      </c>
      <c r="G6940" t="s">
        <v>236</v>
      </c>
    </row>
    <row r="6941" spans="1:10" x14ac:dyDescent="0.2">
      <c r="A6941" t="s">
        <v>2318</v>
      </c>
      <c r="B6941" t="s">
        <v>2319</v>
      </c>
      <c r="C6941" t="s">
        <v>2319</v>
      </c>
      <c r="D6941" t="s">
        <v>2319</v>
      </c>
      <c r="E6941" t="s">
        <v>2319</v>
      </c>
      <c r="F6941" t="s">
        <v>2319</v>
      </c>
      <c r="G6941" t="s">
        <v>2319</v>
      </c>
    </row>
    <row r="6942" spans="1:10" x14ac:dyDescent="0.2">
      <c r="A6942" t="s">
        <v>4265</v>
      </c>
      <c r="B6942">
        <v>0</v>
      </c>
      <c r="C6942">
        <v>0</v>
      </c>
      <c r="D6942">
        <v>0</v>
      </c>
      <c r="E6942">
        <v>0</v>
      </c>
      <c r="F6942">
        <v>0</v>
      </c>
      <c r="G6942">
        <v>0</v>
      </c>
    </row>
    <row r="6943" spans="1:10" x14ac:dyDescent="0.2">
      <c r="A6943" t="s">
        <v>4266</v>
      </c>
      <c r="B6943">
        <v>0</v>
      </c>
      <c r="C6943">
        <v>0</v>
      </c>
      <c r="D6943">
        <v>0</v>
      </c>
      <c r="E6943">
        <v>0</v>
      </c>
      <c r="F6943">
        <v>0</v>
      </c>
      <c r="G6943">
        <v>0</v>
      </c>
    </row>
    <row r="6944" spans="1:10" x14ac:dyDescent="0.2">
      <c r="A6944" t="s">
        <v>4267</v>
      </c>
      <c r="B6944">
        <v>76</v>
      </c>
      <c r="C6944">
        <v>6</v>
      </c>
      <c r="D6944">
        <v>1</v>
      </c>
      <c r="E6944">
        <v>0</v>
      </c>
      <c r="F6944">
        <v>0</v>
      </c>
      <c r="G6944">
        <v>83</v>
      </c>
    </row>
    <row r="6945" spans="1:7" x14ac:dyDescent="0.2">
      <c r="A6945" t="s">
        <v>4268</v>
      </c>
      <c r="B6945">
        <v>0</v>
      </c>
      <c r="C6945">
        <v>14</v>
      </c>
      <c r="D6945">
        <v>3</v>
      </c>
      <c r="E6945">
        <v>0</v>
      </c>
      <c r="F6945">
        <v>0</v>
      </c>
      <c r="G6945">
        <v>17</v>
      </c>
    </row>
    <row r="6946" spans="1:7" x14ac:dyDescent="0.2">
      <c r="A6946" t="s">
        <v>4269</v>
      </c>
      <c r="B6946">
        <v>96</v>
      </c>
      <c r="C6946">
        <v>0</v>
      </c>
      <c r="D6946">
        <v>4</v>
      </c>
      <c r="E6946">
        <v>0</v>
      </c>
      <c r="F6946">
        <v>0</v>
      </c>
      <c r="G6946">
        <v>101</v>
      </c>
    </row>
    <row r="6947" spans="1:7" x14ac:dyDescent="0.2">
      <c r="A6947" t="s">
        <v>4270</v>
      </c>
      <c r="B6947">
        <v>0</v>
      </c>
      <c r="C6947">
        <v>0</v>
      </c>
      <c r="D6947">
        <v>0</v>
      </c>
      <c r="E6947">
        <v>0</v>
      </c>
      <c r="F6947">
        <v>0</v>
      </c>
      <c r="G6947">
        <v>0</v>
      </c>
    </row>
    <row r="6948" spans="1:7" x14ac:dyDescent="0.2">
      <c r="A6948" t="s">
        <v>4271</v>
      </c>
      <c r="B6948">
        <v>22</v>
      </c>
      <c r="C6948">
        <v>3</v>
      </c>
      <c r="D6948">
        <v>0</v>
      </c>
      <c r="E6948">
        <v>1</v>
      </c>
      <c r="F6948">
        <v>0</v>
      </c>
      <c r="G6948">
        <v>26</v>
      </c>
    </row>
    <row r="6949" spans="1:7" x14ac:dyDescent="0.2">
      <c r="A6949" t="s">
        <v>4272</v>
      </c>
      <c r="B6949">
        <v>48</v>
      </c>
      <c r="C6949">
        <v>1</v>
      </c>
      <c r="D6949">
        <v>0</v>
      </c>
      <c r="E6949">
        <v>0</v>
      </c>
      <c r="F6949">
        <v>0</v>
      </c>
      <c r="G6949">
        <v>49</v>
      </c>
    </row>
    <row r="6950" spans="1:7" x14ac:dyDescent="0.2">
      <c r="A6950" t="s">
        <v>4273</v>
      </c>
      <c r="B6950">
        <v>0</v>
      </c>
      <c r="C6950">
        <v>0</v>
      </c>
      <c r="D6950">
        <v>0</v>
      </c>
      <c r="E6950">
        <v>0</v>
      </c>
      <c r="F6950">
        <v>0</v>
      </c>
      <c r="G6950">
        <v>0</v>
      </c>
    </row>
    <row r="6951" spans="1:7" x14ac:dyDescent="0.2">
      <c r="A6951" t="s">
        <v>4274</v>
      </c>
      <c r="B6951">
        <v>0</v>
      </c>
      <c r="C6951">
        <v>0</v>
      </c>
      <c r="D6951">
        <v>0</v>
      </c>
      <c r="E6951">
        <v>0</v>
      </c>
      <c r="F6951">
        <v>0</v>
      </c>
      <c r="G6951">
        <v>0</v>
      </c>
    </row>
    <row r="6952" spans="1:7" x14ac:dyDescent="0.2">
      <c r="A6952" t="s">
        <v>4275</v>
      </c>
      <c r="B6952">
        <v>0</v>
      </c>
      <c r="C6952">
        <v>0</v>
      </c>
      <c r="D6952">
        <v>0</v>
      </c>
      <c r="E6952">
        <v>0</v>
      </c>
      <c r="F6952">
        <v>0</v>
      </c>
      <c r="G6952">
        <v>0</v>
      </c>
    </row>
    <row r="6953" spans="1:7" x14ac:dyDescent="0.2">
      <c r="A6953" t="s">
        <v>4276</v>
      </c>
      <c r="B6953">
        <v>0</v>
      </c>
      <c r="C6953">
        <v>0</v>
      </c>
      <c r="D6953">
        <v>0</v>
      </c>
      <c r="E6953">
        <v>0</v>
      </c>
      <c r="F6953">
        <v>0</v>
      </c>
      <c r="G6953">
        <v>0</v>
      </c>
    </row>
    <row r="6954" spans="1:7" x14ac:dyDescent="0.2">
      <c r="A6954" t="s">
        <v>4277</v>
      </c>
      <c r="B6954">
        <v>0</v>
      </c>
      <c r="C6954">
        <v>0</v>
      </c>
      <c r="D6954">
        <v>0</v>
      </c>
      <c r="E6954">
        <v>0</v>
      </c>
      <c r="F6954">
        <v>0</v>
      </c>
      <c r="G6954">
        <v>0</v>
      </c>
    </row>
    <row r="6955" spans="1:7" x14ac:dyDescent="0.2">
      <c r="A6955" t="s">
        <v>4278</v>
      </c>
      <c r="B6955">
        <v>0</v>
      </c>
      <c r="C6955">
        <v>0</v>
      </c>
      <c r="D6955">
        <v>0</v>
      </c>
      <c r="E6955">
        <v>0</v>
      </c>
      <c r="F6955">
        <v>0</v>
      </c>
      <c r="G6955">
        <v>0</v>
      </c>
    </row>
    <row r="6956" spans="1:7" x14ac:dyDescent="0.2">
      <c r="A6956" t="s">
        <v>4279</v>
      </c>
      <c r="B6956">
        <v>86</v>
      </c>
      <c r="C6956">
        <v>36</v>
      </c>
      <c r="D6956">
        <v>29</v>
      </c>
      <c r="E6956">
        <v>0</v>
      </c>
      <c r="F6956">
        <v>0</v>
      </c>
      <c r="G6956">
        <v>152</v>
      </c>
    </row>
    <row r="6957" spans="1:7" x14ac:dyDescent="0.2">
      <c r="A6957" t="s">
        <v>4280</v>
      </c>
      <c r="B6957">
        <v>5</v>
      </c>
      <c r="C6957">
        <v>15</v>
      </c>
      <c r="D6957">
        <v>1</v>
      </c>
      <c r="E6957">
        <v>0</v>
      </c>
      <c r="F6957">
        <v>0</v>
      </c>
      <c r="G6957">
        <v>21</v>
      </c>
    </row>
    <row r="6958" spans="1:7" x14ac:dyDescent="0.2">
      <c r="A6958" t="s">
        <v>4281</v>
      </c>
      <c r="B6958">
        <v>1056</v>
      </c>
      <c r="C6958">
        <v>1333</v>
      </c>
      <c r="D6958">
        <v>2071</v>
      </c>
      <c r="E6958">
        <v>1273</v>
      </c>
      <c r="F6958">
        <v>0</v>
      </c>
      <c r="G6958">
        <v>5732</v>
      </c>
    </row>
    <row r="6959" spans="1:7" x14ac:dyDescent="0.2">
      <c r="A6959" t="s">
        <v>4282</v>
      </c>
      <c r="B6959">
        <v>652</v>
      </c>
      <c r="C6959">
        <v>558</v>
      </c>
      <c r="D6959">
        <v>725</v>
      </c>
      <c r="E6959">
        <v>26</v>
      </c>
      <c r="F6959">
        <v>0</v>
      </c>
      <c r="G6959">
        <v>1962</v>
      </c>
    </row>
    <row r="6960" spans="1:7" x14ac:dyDescent="0.2">
      <c r="A6960" t="s">
        <v>4283</v>
      </c>
      <c r="B6960">
        <v>625</v>
      </c>
      <c r="C6960">
        <v>611</v>
      </c>
      <c r="D6960">
        <v>375</v>
      </c>
      <c r="E6960">
        <v>409</v>
      </c>
      <c r="F6960">
        <v>0</v>
      </c>
      <c r="G6960">
        <v>2020</v>
      </c>
    </row>
    <row r="6961" spans="1:7" x14ac:dyDescent="0.2">
      <c r="A6961" t="s">
        <v>4284</v>
      </c>
      <c r="B6961">
        <v>93</v>
      </c>
      <c r="C6961">
        <v>0</v>
      </c>
      <c r="D6961">
        <v>98</v>
      </c>
      <c r="E6961">
        <v>10</v>
      </c>
      <c r="F6961">
        <v>0</v>
      </c>
      <c r="G6961">
        <v>201</v>
      </c>
    </row>
    <row r="6962" spans="1:7" x14ac:dyDescent="0.2">
      <c r="A6962" t="s">
        <v>4285</v>
      </c>
      <c r="B6962">
        <v>485</v>
      </c>
      <c r="C6962">
        <v>693</v>
      </c>
      <c r="D6962">
        <v>786</v>
      </c>
      <c r="E6962">
        <v>548</v>
      </c>
      <c r="F6962">
        <v>0</v>
      </c>
      <c r="G6962">
        <v>2511</v>
      </c>
    </row>
    <row r="6963" spans="1:7" x14ac:dyDescent="0.2">
      <c r="A6963" t="s">
        <v>4286</v>
      </c>
      <c r="B6963">
        <v>176</v>
      </c>
      <c r="C6963">
        <v>21</v>
      </c>
      <c r="D6963">
        <v>49</v>
      </c>
      <c r="E6963">
        <v>13</v>
      </c>
      <c r="F6963">
        <v>0</v>
      </c>
      <c r="G6963">
        <v>259</v>
      </c>
    </row>
    <row r="6964" spans="1:7" x14ac:dyDescent="0.2">
      <c r="A6964" t="s">
        <v>4287</v>
      </c>
      <c r="B6964">
        <v>0</v>
      </c>
      <c r="C6964">
        <v>0</v>
      </c>
      <c r="D6964">
        <v>0</v>
      </c>
      <c r="E6964">
        <v>6963</v>
      </c>
      <c r="F6964">
        <v>0</v>
      </c>
      <c r="G6964">
        <v>6963</v>
      </c>
    </row>
    <row r="6965" spans="1:7" x14ac:dyDescent="0.2">
      <c r="A6965" t="s">
        <v>4288</v>
      </c>
      <c r="B6965">
        <v>0</v>
      </c>
      <c r="C6965">
        <v>0</v>
      </c>
      <c r="D6965">
        <v>0</v>
      </c>
      <c r="E6965">
        <v>0</v>
      </c>
      <c r="F6965">
        <v>770</v>
      </c>
      <c r="G6965">
        <v>770</v>
      </c>
    </row>
    <row r="6966" spans="1:7" x14ac:dyDescent="0.2">
      <c r="A6966" t="s">
        <v>4289</v>
      </c>
      <c r="B6966">
        <v>0</v>
      </c>
      <c r="C6966">
        <v>0</v>
      </c>
      <c r="D6966">
        <v>0</v>
      </c>
      <c r="E6966">
        <v>0</v>
      </c>
      <c r="F6966">
        <v>58197</v>
      </c>
      <c r="G6966">
        <v>58197</v>
      </c>
    </row>
    <row r="6967" spans="1:7" x14ac:dyDescent="0.2">
      <c r="A6967" t="s">
        <v>4290</v>
      </c>
      <c r="B6967">
        <v>0</v>
      </c>
      <c r="C6967">
        <v>0</v>
      </c>
      <c r="D6967">
        <v>0</v>
      </c>
      <c r="E6967">
        <v>0</v>
      </c>
      <c r="F6967">
        <v>6740</v>
      </c>
      <c r="G6967">
        <v>6740</v>
      </c>
    </row>
    <row r="6968" spans="1:7" x14ac:dyDescent="0.2">
      <c r="A6968" t="s">
        <v>4291</v>
      </c>
      <c r="B6968">
        <v>0</v>
      </c>
      <c r="C6968">
        <v>0</v>
      </c>
      <c r="D6968">
        <v>0</v>
      </c>
      <c r="E6968">
        <v>0</v>
      </c>
      <c r="F6968">
        <v>2993</v>
      </c>
      <c r="G6968">
        <v>2993</v>
      </c>
    </row>
    <row r="6969" spans="1:7" x14ac:dyDescent="0.2">
      <c r="A6969" t="s">
        <v>4292</v>
      </c>
      <c r="B6969">
        <v>0</v>
      </c>
      <c r="C6969">
        <v>0</v>
      </c>
      <c r="D6969">
        <v>0</v>
      </c>
      <c r="E6969">
        <v>0</v>
      </c>
      <c r="F6969">
        <v>818</v>
      </c>
      <c r="G6969">
        <v>818</v>
      </c>
    </row>
    <row r="6970" spans="1:7" x14ac:dyDescent="0.2">
      <c r="A6970" t="s">
        <v>4293</v>
      </c>
      <c r="B6970">
        <v>0</v>
      </c>
      <c r="C6970">
        <v>0</v>
      </c>
      <c r="D6970">
        <v>0</v>
      </c>
      <c r="E6970">
        <v>0</v>
      </c>
      <c r="F6970">
        <v>1529</v>
      </c>
      <c r="G6970">
        <v>1529</v>
      </c>
    </row>
    <row r="6971" spans="1:7" x14ac:dyDescent="0.2">
      <c r="A6971" t="s">
        <v>4294</v>
      </c>
      <c r="B6971">
        <v>0</v>
      </c>
      <c r="C6971">
        <v>0</v>
      </c>
      <c r="D6971">
        <v>0</v>
      </c>
      <c r="E6971">
        <v>0</v>
      </c>
      <c r="F6971">
        <v>3342</v>
      </c>
      <c r="G6971">
        <v>3342</v>
      </c>
    </row>
    <row r="6972" spans="1:7" x14ac:dyDescent="0.2">
      <c r="A6972" t="s">
        <v>4295</v>
      </c>
      <c r="B6972">
        <v>0</v>
      </c>
      <c r="C6972">
        <v>0</v>
      </c>
      <c r="D6972">
        <v>0</v>
      </c>
      <c r="E6972">
        <v>0</v>
      </c>
      <c r="F6972">
        <v>0</v>
      </c>
      <c r="G6972">
        <v>0</v>
      </c>
    </row>
    <row r="6973" spans="1:7" x14ac:dyDescent="0.2">
      <c r="A6973" t="s">
        <v>4296</v>
      </c>
      <c r="B6973">
        <v>0</v>
      </c>
      <c r="C6973">
        <v>0</v>
      </c>
      <c r="D6973">
        <v>0</v>
      </c>
      <c r="E6973">
        <v>0</v>
      </c>
      <c r="F6973">
        <v>0</v>
      </c>
      <c r="G6973">
        <v>0</v>
      </c>
    </row>
    <row r="6974" spans="1:7" x14ac:dyDescent="0.2">
      <c r="A6974" t="s">
        <v>4297</v>
      </c>
      <c r="B6974">
        <v>159</v>
      </c>
      <c r="C6974">
        <v>696</v>
      </c>
      <c r="D6974">
        <v>3482</v>
      </c>
      <c r="E6974">
        <v>1009</v>
      </c>
      <c r="F6974">
        <v>0</v>
      </c>
      <c r="G6974">
        <v>5347</v>
      </c>
    </row>
    <row r="6975" spans="1:7" x14ac:dyDescent="0.2">
      <c r="A6975" t="s">
        <v>4298</v>
      </c>
      <c r="B6975">
        <v>155</v>
      </c>
      <c r="C6975">
        <v>161</v>
      </c>
      <c r="D6975">
        <v>207</v>
      </c>
      <c r="E6975">
        <v>1420</v>
      </c>
      <c r="F6975">
        <v>0</v>
      </c>
      <c r="G6975">
        <v>1943</v>
      </c>
    </row>
    <row r="6976" spans="1:7" x14ac:dyDescent="0.2">
      <c r="A6976" t="s">
        <v>4299</v>
      </c>
      <c r="B6976">
        <v>46</v>
      </c>
      <c r="C6976">
        <v>92</v>
      </c>
      <c r="D6976">
        <v>329</v>
      </c>
      <c r="E6976">
        <v>418</v>
      </c>
      <c r="F6976">
        <v>0</v>
      </c>
      <c r="G6976">
        <v>885</v>
      </c>
    </row>
    <row r="6977" spans="1:7" x14ac:dyDescent="0.2">
      <c r="A6977" t="s">
        <v>4300</v>
      </c>
      <c r="B6977">
        <v>1</v>
      </c>
      <c r="C6977">
        <v>6</v>
      </c>
      <c r="D6977">
        <v>26</v>
      </c>
      <c r="E6977">
        <v>25</v>
      </c>
      <c r="F6977">
        <v>0</v>
      </c>
      <c r="G6977">
        <v>58</v>
      </c>
    </row>
    <row r="6978" spans="1:7" x14ac:dyDescent="0.2">
      <c r="A6978" t="s">
        <v>4301</v>
      </c>
      <c r="B6978">
        <v>0</v>
      </c>
      <c r="C6978">
        <v>454</v>
      </c>
      <c r="D6978">
        <v>1677</v>
      </c>
      <c r="E6978">
        <v>1060</v>
      </c>
      <c r="F6978">
        <v>0</v>
      </c>
      <c r="G6978">
        <v>3191</v>
      </c>
    </row>
    <row r="6979" spans="1:7" x14ac:dyDescent="0.2">
      <c r="A6979" t="s">
        <v>4302</v>
      </c>
      <c r="B6979">
        <v>21</v>
      </c>
      <c r="C6979">
        <v>121</v>
      </c>
      <c r="D6979">
        <v>307</v>
      </c>
      <c r="E6979">
        <v>155</v>
      </c>
      <c r="F6979">
        <v>0</v>
      </c>
      <c r="G6979">
        <v>604</v>
      </c>
    </row>
    <row r="6980" spans="1:7" x14ac:dyDescent="0.2">
      <c r="A6980" t="s">
        <v>4303</v>
      </c>
      <c r="B6980">
        <v>21</v>
      </c>
      <c r="C6980">
        <v>338</v>
      </c>
      <c r="D6980">
        <v>1242</v>
      </c>
      <c r="E6980">
        <v>394</v>
      </c>
      <c r="F6980">
        <v>0</v>
      </c>
      <c r="G6980">
        <v>1995</v>
      </c>
    </row>
    <row r="6981" spans="1:7" x14ac:dyDescent="0.2">
      <c r="A6981" t="s">
        <v>4304</v>
      </c>
      <c r="B6981">
        <v>15</v>
      </c>
      <c r="C6981">
        <v>22</v>
      </c>
      <c r="D6981">
        <v>100</v>
      </c>
      <c r="E6981">
        <v>0</v>
      </c>
      <c r="F6981">
        <v>0</v>
      </c>
      <c r="G6981">
        <v>137</v>
      </c>
    </row>
    <row r="6982" spans="1:7" x14ac:dyDescent="0.2">
      <c r="A6982" t="s">
        <v>4305</v>
      </c>
      <c r="B6982">
        <v>30</v>
      </c>
      <c r="C6982">
        <v>75</v>
      </c>
      <c r="D6982">
        <v>126</v>
      </c>
      <c r="E6982">
        <v>56</v>
      </c>
      <c r="F6982">
        <v>0</v>
      </c>
      <c r="G6982">
        <v>287</v>
      </c>
    </row>
    <row r="6983" spans="1:7" x14ac:dyDescent="0.2">
      <c r="A6983" t="s">
        <v>4306</v>
      </c>
      <c r="B6983">
        <v>4</v>
      </c>
      <c r="C6983">
        <v>18</v>
      </c>
      <c r="D6983">
        <v>10</v>
      </c>
      <c r="E6983">
        <v>21</v>
      </c>
      <c r="F6983">
        <v>0</v>
      </c>
      <c r="G6983">
        <v>53</v>
      </c>
    </row>
    <row r="6984" spans="1:7" x14ac:dyDescent="0.2">
      <c r="A6984" t="s">
        <v>4307</v>
      </c>
      <c r="B6984">
        <v>22</v>
      </c>
      <c r="C6984">
        <v>173</v>
      </c>
      <c r="D6984">
        <v>1414</v>
      </c>
      <c r="E6984">
        <v>997</v>
      </c>
      <c r="F6984">
        <v>0</v>
      </c>
      <c r="G6984">
        <v>2607</v>
      </c>
    </row>
    <row r="6985" spans="1:7" x14ac:dyDescent="0.2">
      <c r="A6985" t="s">
        <v>4308</v>
      </c>
      <c r="B6985">
        <v>0</v>
      </c>
      <c r="C6985">
        <v>0</v>
      </c>
      <c r="D6985">
        <v>3</v>
      </c>
      <c r="E6985">
        <v>0</v>
      </c>
      <c r="F6985">
        <v>0</v>
      </c>
      <c r="G6985">
        <v>3</v>
      </c>
    </row>
    <row r="6986" spans="1:7" x14ac:dyDescent="0.2">
      <c r="A6986" t="s">
        <v>4309</v>
      </c>
      <c r="B6986">
        <v>0</v>
      </c>
      <c r="C6986">
        <v>0</v>
      </c>
      <c r="D6986">
        <v>0</v>
      </c>
      <c r="E6986">
        <v>0</v>
      </c>
      <c r="F6986">
        <v>0</v>
      </c>
      <c r="G6986">
        <v>0</v>
      </c>
    </row>
    <row r="6987" spans="1:7" x14ac:dyDescent="0.2">
      <c r="A6987" t="s">
        <v>4310</v>
      </c>
      <c r="B6987">
        <v>0</v>
      </c>
      <c r="C6987">
        <v>0</v>
      </c>
      <c r="D6987">
        <v>0</v>
      </c>
      <c r="E6987">
        <v>0</v>
      </c>
      <c r="F6987">
        <v>0</v>
      </c>
      <c r="G6987">
        <v>0</v>
      </c>
    </row>
    <row r="6988" spans="1:7" x14ac:dyDescent="0.2">
      <c r="A6988" t="s">
        <v>4311</v>
      </c>
      <c r="B6988">
        <v>0</v>
      </c>
      <c r="C6988">
        <v>0</v>
      </c>
      <c r="D6988">
        <v>0</v>
      </c>
      <c r="E6988">
        <v>83</v>
      </c>
      <c r="F6988">
        <v>6</v>
      </c>
      <c r="G6988">
        <v>88</v>
      </c>
    </row>
    <row r="6989" spans="1:7" x14ac:dyDescent="0.2">
      <c r="A6989" t="s">
        <v>4312</v>
      </c>
      <c r="B6989">
        <v>0</v>
      </c>
      <c r="C6989">
        <v>0</v>
      </c>
      <c r="D6989">
        <v>0</v>
      </c>
      <c r="E6989">
        <v>56</v>
      </c>
      <c r="F6989">
        <v>0</v>
      </c>
      <c r="G6989">
        <v>56</v>
      </c>
    </row>
    <row r="6990" spans="1:7" x14ac:dyDescent="0.2">
      <c r="A6990" t="s">
        <v>4313</v>
      </c>
      <c r="B6990">
        <v>0</v>
      </c>
      <c r="C6990">
        <v>0</v>
      </c>
      <c r="D6990">
        <v>0</v>
      </c>
      <c r="E6990">
        <v>0</v>
      </c>
      <c r="F6990">
        <v>0</v>
      </c>
      <c r="G6990">
        <v>0</v>
      </c>
    </row>
    <row r="6991" spans="1:7" x14ac:dyDescent="0.2">
      <c r="A6991" t="s">
        <v>4314</v>
      </c>
      <c r="B6991">
        <v>0</v>
      </c>
      <c r="C6991">
        <v>0</v>
      </c>
      <c r="D6991">
        <v>0</v>
      </c>
      <c r="E6991">
        <v>0</v>
      </c>
      <c r="F6991">
        <v>0</v>
      </c>
      <c r="G6991">
        <v>0</v>
      </c>
    </row>
    <row r="6992" spans="1:7" x14ac:dyDescent="0.2">
      <c r="A6992" t="s">
        <v>4315</v>
      </c>
      <c r="B6992">
        <v>0</v>
      </c>
      <c r="C6992">
        <v>0</v>
      </c>
      <c r="D6992">
        <v>0</v>
      </c>
      <c r="E6992">
        <v>0</v>
      </c>
      <c r="F6992">
        <v>0</v>
      </c>
      <c r="G6992">
        <v>0</v>
      </c>
    </row>
    <row r="6993" spans="1:7" x14ac:dyDescent="0.2">
      <c r="A6993" t="s">
        <v>4316</v>
      </c>
      <c r="B6993">
        <v>0</v>
      </c>
      <c r="C6993">
        <v>0</v>
      </c>
      <c r="D6993">
        <v>0</v>
      </c>
      <c r="E6993">
        <v>0</v>
      </c>
      <c r="F6993">
        <v>0</v>
      </c>
      <c r="G6993">
        <v>0</v>
      </c>
    </row>
    <row r="6994" spans="1:7" x14ac:dyDescent="0.2">
      <c r="A6994" t="s">
        <v>4317</v>
      </c>
      <c r="B6994">
        <v>0</v>
      </c>
      <c r="C6994">
        <v>0</v>
      </c>
      <c r="D6994">
        <v>0</v>
      </c>
      <c r="E6994">
        <v>0</v>
      </c>
      <c r="F6994">
        <v>0</v>
      </c>
      <c r="G6994">
        <v>0</v>
      </c>
    </row>
    <row r="6995" spans="1:7" x14ac:dyDescent="0.2">
      <c r="A6995" t="s">
        <v>4318</v>
      </c>
      <c r="B6995">
        <v>0</v>
      </c>
      <c r="C6995">
        <v>0</v>
      </c>
      <c r="D6995">
        <v>0</v>
      </c>
      <c r="E6995">
        <v>0</v>
      </c>
      <c r="F6995">
        <v>0</v>
      </c>
      <c r="G6995">
        <v>0</v>
      </c>
    </row>
    <row r="6996" spans="1:7" x14ac:dyDescent="0.2">
      <c r="A6996" t="s">
        <v>4319</v>
      </c>
      <c r="B6996">
        <v>0</v>
      </c>
      <c r="C6996">
        <v>0</v>
      </c>
      <c r="D6996">
        <v>0</v>
      </c>
      <c r="E6996">
        <v>0</v>
      </c>
      <c r="F6996">
        <v>0</v>
      </c>
      <c r="G6996">
        <v>0</v>
      </c>
    </row>
    <row r="6997" spans="1:7" x14ac:dyDescent="0.2">
      <c r="A6997" t="s">
        <v>4320</v>
      </c>
      <c r="B6997">
        <v>0</v>
      </c>
      <c r="C6997">
        <v>0</v>
      </c>
      <c r="D6997">
        <v>0</v>
      </c>
      <c r="E6997">
        <v>0</v>
      </c>
      <c r="F6997">
        <v>0</v>
      </c>
      <c r="G6997">
        <v>0</v>
      </c>
    </row>
    <row r="6998" spans="1:7" x14ac:dyDescent="0.2">
      <c r="A6998" t="s">
        <v>4321</v>
      </c>
      <c r="B6998">
        <v>0</v>
      </c>
      <c r="C6998">
        <v>0</v>
      </c>
      <c r="D6998">
        <v>0</v>
      </c>
      <c r="E6998">
        <v>0</v>
      </c>
      <c r="F6998">
        <v>0</v>
      </c>
      <c r="G6998">
        <v>0</v>
      </c>
    </row>
    <row r="6999" spans="1:7" x14ac:dyDescent="0.2">
      <c r="A6999" t="s">
        <v>4322</v>
      </c>
      <c r="B6999">
        <v>0</v>
      </c>
      <c r="C6999">
        <v>0</v>
      </c>
      <c r="D6999">
        <v>0</v>
      </c>
      <c r="E6999">
        <v>0</v>
      </c>
      <c r="F6999">
        <v>0</v>
      </c>
      <c r="G6999">
        <v>0</v>
      </c>
    </row>
    <row r="7000" spans="1:7" x14ac:dyDescent="0.2">
      <c r="A7000" t="s">
        <v>4323</v>
      </c>
      <c r="B7000">
        <v>0</v>
      </c>
      <c r="C7000">
        <v>0</v>
      </c>
      <c r="D7000">
        <v>0</v>
      </c>
      <c r="E7000">
        <v>0</v>
      </c>
      <c r="F7000">
        <v>0</v>
      </c>
      <c r="G7000">
        <v>0</v>
      </c>
    </row>
    <row r="7001" spans="1:7" x14ac:dyDescent="0.2">
      <c r="A7001" t="s">
        <v>4324</v>
      </c>
      <c r="B7001">
        <v>0</v>
      </c>
      <c r="C7001">
        <v>0</v>
      </c>
      <c r="D7001">
        <v>0</v>
      </c>
      <c r="E7001">
        <v>0</v>
      </c>
      <c r="F7001">
        <v>0</v>
      </c>
      <c r="G7001">
        <v>0</v>
      </c>
    </row>
    <row r="7002" spans="1:7" x14ac:dyDescent="0.2">
      <c r="A7002" t="s">
        <v>4325</v>
      </c>
      <c r="B7002">
        <v>0</v>
      </c>
      <c r="C7002">
        <v>0</v>
      </c>
      <c r="D7002">
        <v>0</v>
      </c>
      <c r="E7002">
        <v>0</v>
      </c>
      <c r="F7002">
        <v>0</v>
      </c>
      <c r="G7002">
        <v>0</v>
      </c>
    </row>
    <row r="7003" spans="1:7" x14ac:dyDescent="0.2">
      <c r="A7003" t="s">
        <v>4326</v>
      </c>
      <c r="B7003">
        <v>0</v>
      </c>
      <c r="C7003">
        <v>0</v>
      </c>
      <c r="D7003">
        <v>0</v>
      </c>
      <c r="E7003">
        <v>0</v>
      </c>
      <c r="F7003">
        <v>0</v>
      </c>
      <c r="G7003">
        <v>0</v>
      </c>
    </row>
    <row r="7004" spans="1:7" x14ac:dyDescent="0.2">
      <c r="A7004" t="s">
        <v>4327</v>
      </c>
      <c r="B7004">
        <v>0</v>
      </c>
      <c r="C7004">
        <v>0</v>
      </c>
      <c r="D7004">
        <v>0</v>
      </c>
      <c r="E7004">
        <v>0</v>
      </c>
      <c r="F7004">
        <v>0</v>
      </c>
      <c r="G7004">
        <v>0</v>
      </c>
    </row>
    <row r="7005" spans="1:7" x14ac:dyDescent="0.2">
      <c r="A7005" t="s">
        <v>4328</v>
      </c>
      <c r="B7005">
        <v>0</v>
      </c>
      <c r="C7005">
        <v>0</v>
      </c>
      <c r="D7005">
        <v>0</v>
      </c>
      <c r="E7005">
        <v>0</v>
      </c>
      <c r="F7005">
        <v>0</v>
      </c>
      <c r="G7005">
        <v>0</v>
      </c>
    </row>
    <row r="7006" spans="1:7" x14ac:dyDescent="0.2">
      <c r="A7006" t="s">
        <v>4329</v>
      </c>
      <c r="B7006">
        <v>0</v>
      </c>
      <c r="C7006">
        <v>0</v>
      </c>
      <c r="D7006">
        <v>0</v>
      </c>
      <c r="E7006">
        <v>0</v>
      </c>
      <c r="F7006">
        <v>0</v>
      </c>
      <c r="G7006">
        <v>0</v>
      </c>
    </row>
    <row r="7007" spans="1:7" x14ac:dyDescent="0.2">
      <c r="A7007" t="s">
        <v>4330</v>
      </c>
      <c r="B7007">
        <v>0</v>
      </c>
      <c r="C7007">
        <v>0</v>
      </c>
      <c r="D7007">
        <v>0</v>
      </c>
      <c r="E7007">
        <v>0</v>
      </c>
      <c r="F7007">
        <v>0</v>
      </c>
      <c r="G7007">
        <v>0</v>
      </c>
    </row>
    <row r="7008" spans="1:7" x14ac:dyDescent="0.2">
      <c r="A7008" t="s">
        <v>4331</v>
      </c>
      <c r="B7008">
        <v>0</v>
      </c>
      <c r="C7008">
        <v>0</v>
      </c>
      <c r="D7008">
        <v>0</v>
      </c>
      <c r="E7008">
        <v>0</v>
      </c>
      <c r="F7008">
        <v>0</v>
      </c>
      <c r="G7008">
        <v>0</v>
      </c>
    </row>
    <row r="7009" spans="1:7" x14ac:dyDescent="0.2">
      <c r="A7009" t="s">
        <v>4332</v>
      </c>
      <c r="B7009">
        <v>0</v>
      </c>
      <c r="C7009">
        <v>0</v>
      </c>
      <c r="D7009">
        <v>0</v>
      </c>
      <c r="E7009">
        <v>0</v>
      </c>
      <c r="F7009">
        <v>0</v>
      </c>
      <c r="G7009">
        <v>0</v>
      </c>
    </row>
    <row r="7010" spans="1:7" x14ac:dyDescent="0.2">
      <c r="A7010" t="s">
        <v>4333</v>
      </c>
      <c r="B7010">
        <v>0</v>
      </c>
      <c r="C7010">
        <v>0</v>
      </c>
      <c r="D7010">
        <v>0</v>
      </c>
      <c r="E7010">
        <v>0</v>
      </c>
      <c r="F7010">
        <v>0</v>
      </c>
      <c r="G7010">
        <v>0</v>
      </c>
    </row>
    <row r="7011" spans="1:7" x14ac:dyDescent="0.2">
      <c r="A7011" t="s">
        <v>4334</v>
      </c>
      <c r="B7011">
        <v>0</v>
      </c>
      <c r="C7011">
        <v>0</v>
      </c>
      <c r="D7011">
        <v>0</v>
      </c>
      <c r="E7011">
        <v>0</v>
      </c>
      <c r="F7011">
        <v>0</v>
      </c>
      <c r="G7011">
        <v>0</v>
      </c>
    </row>
    <row r="7012" spans="1:7" x14ac:dyDescent="0.2">
      <c r="A7012" t="s">
        <v>4335</v>
      </c>
      <c r="B7012">
        <v>0</v>
      </c>
      <c r="C7012">
        <v>0</v>
      </c>
      <c r="D7012">
        <v>0</v>
      </c>
      <c r="E7012">
        <v>0</v>
      </c>
      <c r="F7012">
        <v>0</v>
      </c>
      <c r="G7012">
        <v>0</v>
      </c>
    </row>
    <row r="7013" spans="1:7" x14ac:dyDescent="0.2">
      <c r="A7013" t="s">
        <v>4336</v>
      </c>
      <c r="B7013">
        <v>0</v>
      </c>
      <c r="C7013">
        <v>0</v>
      </c>
      <c r="D7013">
        <v>0</v>
      </c>
      <c r="E7013">
        <v>0</v>
      </c>
      <c r="F7013">
        <v>0</v>
      </c>
      <c r="G7013">
        <v>0</v>
      </c>
    </row>
    <row r="7014" spans="1:7" x14ac:dyDescent="0.2">
      <c r="A7014" t="s">
        <v>4337</v>
      </c>
      <c r="B7014">
        <v>0</v>
      </c>
      <c r="C7014">
        <v>0</v>
      </c>
      <c r="D7014">
        <v>0</v>
      </c>
      <c r="E7014">
        <v>0</v>
      </c>
      <c r="F7014">
        <v>0</v>
      </c>
      <c r="G7014">
        <v>0</v>
      </c>
    </row>
    <row r="7015" spans="1:7" x14ac:dyDescent="0.2">
      <c r="A7015" t="s">
        <v>4338</v>
      </c>
      <c r="B7015">
        <v>0</v>
      </c>
      <c r="C7015">
        <v>0</v>
      </c>
      <c r="D7015">
        <v>0</v>
      </c>
      <c r="E7015">
        <v>0</v>
      </c>
      <c r="F7015">
        <v>0</v>
      </c>
      <c r="G7015">
        <v>0</v>
      </c>
    </row>
    <row r="7016" spans="1:7" x14ac:dyDescent="0.2">
      <c r="A7016" t="s">
        <v>4339</v>
      </c>
      <c r="B7016">
        <v>0</v>
      </c>
      <c r="C7016">
        <v>0</v>
      </c>
      <c r="D7016">
        <v>0</v>
      </c>
      <c r="E7016">
        <v>0</v>
      </c>
      <c r="F7016">
        <v>0</v>
      </c>
      <c r="G7016">
        <v>0</v>
      </c>
    </row>
    <row r="7017" spans="1:7" x14ac:dyDescent="0.2">
      <c r="A7017" t="s">
        <v>4340</v>
      </c>
      <c r="B7017">
        <v>0</v>
      </c>
      <c r="C7017">
        <v>0</v>
      </c>
      <c r="D7017">
        <v>0</v>
      </c>
      <c r="E7017">
        <v>0</v>
      </c>
      <c r="F7017">
        <v>0</v>
      </c>
      <c r="G7017">
        <v>0</v>
      </c>
    </row>
    <row r="7018" spans="1:7" x14ac:dyDescent="0.2">
      <c r="A7018" t="s">
        <v>4341</v>
      </c>
      <c r="B7018">
        <v>0</v>
      </c>
      <c r="C7018">
        <v>0</v>
      </c>
      <c r="D7018">
        <v>0</v>
      </c>
      <c r="E7018">
        <v>0</v>
      </c>
      <c r="F7018">
        <v>0</v>
      </c>
      <c r="G7018">
        <v>0</v>
      </c>
    </row>
    <row r="7019" spans="1:7" x14ac:dyDescent="0.2">
      <c r="A7019" t="s">
        <v>4342</v>
      </c>
      <c r="B7019">
        <v>0</v>
      </c>
      <c r="C7019">
        <v>0</v>
      </c>
      <c r="D7019">
        <v>0</v>
      </c>
      <c r="E7019">
        <v>0</v>
      </c>
      <c r="F7019">
        <v>0</v>
      </c>
      <c r="G7019">
        <v>0</v>
      </c>
    </row>
    <row r="7020" spans="1:7" x14ac:dyDescent="0.2">
      <c r="A7020" t="s">
        <v>4343</v>
      </c>
      <c r="B7020">
        <v>0</v>
      </c>
      <c r="C7020">
        <v>0</v>
      </c>
      <c r="D7020">
        <v>0</v>
      </c>
      <c r="E7020">
        <v>0</v>
      </c>
      <c r="F7020">
        <v>0</v>
      </c>
      <c r="G7020">
        <v>0</v>
      </c>
    </row>
    <row r="7021" spans="1:7" x14ac:dyDescent="0.2">
      <c r="A7021" t="s">
        <v>1728</v>
      </c>
      <c r="B7021">
        <v>0</v>
      </c>
      <c r="C7021">
        <v>0</v>
      </c>
      <c r="D7021">
        <v>0</v>
      </c>
      <c r="E7021">
        <v>0</v>
      </c>
      <c r="F7021">
        <v>0</v>
      </c>
      <c r="G7021">
        <v>0</v>
      </c>
    </row>
    <row r="7022" spans="1:7" x14ac:dyDescent="0.2">
      <c r="A7022" t="s">
        <v>1730</v>
      </c>
      <c r="B7022">
        <v>0</v>
      </c>
      <c r="C7022">
        <v>1</v>
      </c>
      <c r="D7022">
        <v>2</v>
      </c>
      <c r="E7022">
        <v>0</v>
      </c>
      <c r="F7022">
        <v>0</v>
      </c>
      <c r="G7022">
        <v>4</v>
      </c>
    </row>
    <row r="7023" spans="1:7" x14ac:dyDescent="0.2">
      <c r="A7023" t="s">
        <v>1733</v>
      </c>
      <c r="B7023">
        <v>0</v>
      </c>
      <c r="C7023">
        <v>0</v>
      </c>
      <c r="D7023">
        <v>0</v>
      </c>
      <c r="E7023">
        <v>0</v>
      </c>
      <c r="F7023">
        <v>0</v>
      </c>
      <c r="G7023">
        <v>0</v>
      </c>
    </row>
    <row r="7024" spans="1:7" x14ac:dyDescent="0.2">
      <c r="A7024" t="s">
        <v>1738</v>
      </c>
      <c r="B7024">
        <v>0</v>
      </c>
      <c r="C7024">
        <v>0</v>
      </c>
      <c r="D7024">
        <v>0</v>
      </c>
      <c r="E7024">
        <v>0</v>
      </c>
      <c r="F7024">
        <v>0</v>
      </c>
      <c r="G7024">
        <v>0</v>
      </c>
    </row>
    <row r="7025" spans="1:7" x14ac:dyDescent="0.2">
      <c r="A7025" t="s">
        <v>1744</v>
      </c>
      <c r="B7025">
        <v>0</v>
      </c>
      <c r="C7025">
        <v>0</v>
      </c>
      <c r="D7025">
        <v>0</v>
      </c>
      <c r="E7025">
        <v>0</v>
      </c>
      <c r="F7025">
        <v>0</v>
      </c>
      <c r="G7025">
        <v>0</v>
      </c>
    </row>
    <row r="7026" spans="1:7" x14ac:dyDescent="0.2">
      <c r="A7026" t="s">
        <v>1747</v>
      </c>
      <c r="B7026">
        <v>0</v>
      </c>
      <c r="C7026">
        <v>0</v>
      </c>
      <c r="D7026">
        <v>0</v>
      </c>
      <c r="E7026">
        <v>0</v>
      </c>
      <c r="F7026">
        <v>0</v>
      </c>
      <c r="G7026">
        <v>0</v>
      </c>
    </row>
    <row r="7027" spans="1:7" x14ac:dyDescent="0.2">
      <c r="A7027" t="s">
        <v>1751</v>
      </c>
      <c r="B7027">
        <v>0</v>
      </c>
      <c r="C7027">
        <v>0</v>
      </c>
      <c r="D7027">
        <v>0</v>
      </c>
      <c r="E7027">
        <v>0</v>
      </c>
      <c r="F7027">
        <v>0</v>
      </c>
      <c r="G7027">
        <v>0</v>
      </c>
    </row>
    <row r="7028" spans="1:7" x14ac:dyDescent="0.2">
      <c r="A7028" t="s">
        <v>1755</v>
      </c>
      <c r="B7028">
        <v>0</v>
      </c>
      <c r="C7028">
        <v>0</v>
      </c>
      <c r="D7028">
        <v>0</v>
      </c>
      <c r="E7028">
        <v>0</v>
      </c>
      <c r="F7028">
        <v>0</v>
      </c>
      <c r="G7028">
        <v>0</v>
      </c>
    </row>
    <row r="7029" spans="1:7" x14ac:dyDescent="0.2">
      <c r="A7029" t="s">
        <v>1757</v>
      </c>
      <c r="B7029">
        <v>0</v>
      </c>
      <c r="C7029">
        <v>0</v>
      </c>
      <c r="D7029">
        <v>0</v>
      </c>
      <c r="E7029">
        <v>0</v>
      </c>
      <c r="F7029">
        <v>0</v>
      </c>
      <c r="G7029">
        <v>0</v>
      </c>
    </row>
    <row r="7030" spans="1:7" x14ac:dyDescent="0.2">
      <c r="A7030" t="s">
        <v>1761</v>
      </c>
      <c r="B7030">
        <v>0</v>
      </c>
      <c r="C7030">
        <v>0</v>
      </c>
      <c r="D7030">
        <v>0</v>
      </c>
      <c r="E7030">
        <v>0</v>
      </c>
      <c r="F7030">
        <v>0</v>
      </c>
      <c r="G7030">
        <v>0</v>
      </c>
    </row>
    <row r="7031" spans="1:7" x14ac:dyDescent="0.2">
      <c r="A7031" t="s">
        <v>1764</v>
      </c>
      <c r="B7031">
        <v>0</v>
      </c>
      <c r="C7031">
        <v>0</v>
      </c>
      <c r="D7031">
        <v>0</v>
      </c>
      <c r="E7031">
        <v>0</v>
      </c>
      <c r="F7031">
        <v>0</v>
      </c>
      <c r="G7031">
        <v>0</v>
      </c>
    </row>
    <row r="7032" spans="1:7" x14ac:dyDescent="0.2">
      <c r="A7032" t="s">
        <v>1770</v>
      </c>
      <c r="B7032">
        <v>0</v>
      </c>
      <c r="C7032">
        <v>1</v>
      </c>
      <c r="D7032">
        <v>23</v>
      </c>
      <c r="E7032">
        <v>27</v>
      </c>
      <c r="F7032">
        <v>0</v>
      </c>
      <c r="G7032">
        <v>52</v>
      </c>
    </row>
    <row r="7033" spans="1:7" x14ac:dyDescent="0.2">
      <c r="A7033" t="s">
        <v>1772</v>
      </c>
      <c r="B7033">
        <v>0</v>
      </c>
      <c r="C7033">
        <v>0</v>
      </c>
      <c r="D7033">
        <v>0</v>
      </c>
      <c r="E7033">
        <v>9</v>
      </c>
      <c r="F7033">
        <v>0</v>
      </c>
      <c r="G7033">
        <v>9</v>
      </c>
    </row>
    <row r="7034" spans="1:7" x14ac:dyDescent="0.2">
      <c r="A7034" t="s">
        <v>1774</v>
      </c>
      <c r="B7034">
        <v>0</v>
      </c>
      <c r="C7034">
        <v>0</v>
      </c>
      <c r="D7034">
        <v>0</v>
      </c>
      <c r="E7034">
        <v>0</v>
      </c>
      <c r="F7034">
        <v>0</v>
      </c>
      <c r="G7034">
        <v>0</v>
      </c>
    </row>
    <row r="7035" spans="1:7" x14ac:dyDescent="0.2">
      <c r="A7035" t="s">
        <v>1777</v>
      </c>
      <c r="B7035">
        <v>0</v>
      </c>
      <c r="C7035">
        <v>0</v>
      </c>
      <c r="D7035">
        <v>0</v>
      </c>
      <c r="E7035">
        <v>0</v>
      </c>
      <c r="F7035">
        <v>0</v>
      </c>
      <c r="G7035">
        <v>0</v>
      </c>
    </row>
    <row r="7036" spans="1:7" x14ac:dyDescent="0.2">
      <c r="A7036" t="s">
        <v>1782</v>
      </c>
      <c r="B7036">
        <v>0</v>
      </c>
      <c r="C7036">
        <v>0</v>
      </c>
      <c r="D7036">
        <v>0</v>
      </c>
      <c r="E7036">
        <v>0</v>
      </c>
      <c r="F7036">
        <v>0</v>
      </c>
      <c r="G7036">
        <v>0</v>
      </c>
    </row>
    <row r="7037" spans="1:7" x14ac:dyDescent="0.2">
      <c r="A7037" t="s">
        <v>1274</v>
      </c>
      <c r="B7037">
        <v>0</v>
      </c>
      <c r="C7037">
        <v>0</v>
      </c>
      <c r="D7037">
        <v>0</v>
      </c>
      <c r="E7037">
        <v>0</v>
      </c>
      <c r="F7037">
        <v>0</v>
      </c>
      <c r="G7037">
        <v>0</v>
      </c>
    </row>
    <row r="7038" spans="1:7" x14ac:dyDescent="0.2">
      <c r="A7038" t="s">
        <v>1277</v>
      </c>
      <c r="B7038">
        <v>0</v>
      </c>
      <c r="C7038">
        <v>0</v>
      </c>
      <c r="D7038">
        <v>0</v>
      </c>
      <c r="E7038">
        <v>0</v>
      </c>
      <c r="F7038">
        <v>0</v>
      </c>
      <c r="G7038">
        <v>0</v>
      </c>
    </row>
    <row r="7039" spans="1:7" x14ac:dyDescent="0.2">
      <c r="A7039" t="s">
        <v>1798</v>
      </c>
      <c r="B7039">
        <v>0</v>
      </c>
      <c r="C7039">
        <v>0</v>
      </c>
      <c r="D7039">
        <v>0</v>
      </c>
      <c r="E7039">
        <v>0</v>
      </c>
      <c r="F7039">
        <v>0</v>
      </c>
      <c r="G7039">
        <v>0</v>
      </c>
    </row>
    <row r="7040" spans="1:7" x14ac:dyDescent="0.2">
      <c r="A7040" t="s">
        <v>1803</v>
      </c>
      <c r="B7040">
        <v>0</v>
      </c>
      <c r="C7040">
        <v>0</v>
      </c>
      <c r="D7040">
        <v>0</v>
      </c>
      <c r="E7040">
        <v>0</v>
      </c>
      <c r="F7040">
        <v>0</v>
      </c>
      <c r="G7040">
        <v>0</v>
      </c>
    </row>
    <row r="7041" spans="1:7" x14ac:dyDescent="0.2">
      <c r="A7041" t="s">
        <v>1808</v>
      </c>
      <c r="B7041">
        <v>0</v>
      </c>
      <c r="C7041">
        <v>0</v>
      </c>
      <c r="D7041">
        <v>0</v>
      </c>
      <c r="E7041">
        <v>0</v>
      </c>
      <c r="F7041">
        <v>0</v>
      </c>
      <c r="G7041">
        <v>0</v>
      </c>
    </row>
    <row r="7042" spans="1:7" x14ac:dyDescent="0.2">
      <c r="A7042" t="s">
        <v>1813</v>
      </c>
      <c r="B7042">
        <v>0</v>
      </c>
      <c r="C7042">
        <v>0</v>
      </c>
      <c r="D7042">
        <v>0</v>
      </c>
      <c r="E7042">
        <v>0</v>
      </c>
      <c r="F7042">
        <v>0</v>
      </c>
      <c r="G7042">
        <v>0</v>
      </c>
    </row>
    <row r="7043" spans="1:7" x14ac:dyDescent="0.2">
      <c r="A7043" t="s">
        <v>1819</v>
      </c>
      <c r="B7043">
        <v>0</v>
      </c>
      <c r="C7043">
        <v>0</v>
      </c>
      <c r="D7043">
        <v>0</v>
      </c>
      <c r="E7043">
        <v>0</v>
      </c>
      <c r="F7043">
        <v>0</v>
      </c>
      <c r="G7043">
        <v>0</v>
      </c>
    </row>
    <row r="7044" spans="1:7" x14ac:dyDescent="0.2">
      <c r="A7044" t="s">
        <v>1826</v>
      </c>
      <c r="B7044">
        <v>0</v>
      </c>
      <c r="C7044">
        <v>0</v>
      </c>
      <c r="D7044">
        <v>0</v>
      </c>
      <c r="E7044">
        <v>0</v>
      </c>
      <c r="F7044">
        <v>0</v>
      </c>
      <c r="G7044">
        <v>0</v>
      </c>
    </row>
    <row r="7045" spans="1:7" x14ac:dyDescent="0.2">
      <c r="A7045" t="s">
        <v>1830</v>
      </c>
      <c r="B7045">
        <v>0</v>
      </c>
      <c r="C7045">
        <v>0</v>
      </c>
      <c r="D7045">
        <v>0</v>
      </c>
      <c r="E7045">
        <v>0</v>
      </c>
      <c r="F7045">
        <v>0</v>
      </c>
      <c r="G7045">
        <v>0</v>
      </c>
    </row>
    <row r="7046" spans="1:7" x14ac:dyDescent="0.2">
      <c r="A7046" t="s">
        <v>1836</v>
      </c>
      <c r="B7046">
        <v>0</v>
      </c>
      <c r="C7046">
        <v>0</v>
      </c>
      <c r="D7046">
        <v>0</v>
      </c>
      <c r="E7046">
        <v>0</v>
      </c>
      <c r="F7046">
        <v>0</v>
      </c>
      <c r="G7046">
        <v>0</v>
      </c>
    </row>
    <row r="7047" spans="1:7" x14ac:dyDescent="0.2">
      <c r="A7047" t="s">
        <v>1841</v>
      </c>
      <c r="B7047">
        <v>0</v>
      </c>
      <c r="C7047">
        <v>0</v>
      </c>
      <c r="D7047">
        <v>0</v>
      </c>
      <c r="E7047">
        <v>0</v>
      </c>
      <c r="F7047">
        <v>0</v>
      </c>
      <c r="G7047">
        <v>0</v>
      </c>
    </row>
    <row r="7048" spans="1:7" x14ac:dyDescent="0.2">
      <c r="A7048" t="s">
        <v>1842</v>
      </c>
      <c r="B7048">
        <v>0</v>
      </c>
      <c r="C7048">
        <v>0</v>
      </c>
      <c r="D7048">
        <v>0</v>
      </c>
      <c r="E7048">
        <v>0</v>
      </c>
      <c r="F7048">
        <v>0</v>
      </c>
      <c r="G7048">
        <v>0</v>
      </c>
    </row>
    <row r="7049" spans="1:7" x14ac:dyDescent="0.2">
      <c r="A7049" t="s">
        <v>1843</v>
      </c>
      <c r="B7049">
        <v>0</v>
      </c>
      <c r="C7049">
        <v>0</v>
      </c>
      <c r="D7049">
        <v>0</v>
      </c>
      <c r="E7049">
        <v>0</v>
      </c>
      <c r="F7049">
        <v>0</v>
      </c>
      <c r="G7049">
        <v>0</v>
      </c>
    </row>
    <row r="7050" spans="1:7" x14ac:dyDescent="0.2">
      <c r="A7050" t="s">
        <v>1846</v>
      </c>
      <c r="B7050">
        <v>0</v>
      </c>
      <c r="C7050">
        <v>0</v>
      </c>
      <c r="D7050">
        <v>0</v>
      </c>
      <c r="E7050">
        <v>0</v>
      </c>
      <c r="F7050">
        <v>0</v>
      </c>
      <c r="G7050">
        <v>0</v>
      </c>
    </row>
    <row r="7051" spans="1:7" x14ac:dyDescent="0.2">
      <c r="A7051" t="s">
        <v>1851</v>
      </c>
      <c r="B7051">
        <v>0</v>
      </c>
      <c r="C7051">
        <v>0</v>
      </c>
      <c r="D7051">
        <v>0</v>
      </c>
      <c r="E7051">
        <v>0</v>
      </c>
      <c r="F7051">
        <v>0</v>
      </c>
      <c r="G7051">
        <v>0</v>
      </c>
    </row>
    <row r="7052" spans="1:7" x14ac:dyDescent="0.2">
      <c r="A7052" t="s">
        <v>1857</v>
      </c>
      <c r="B7052">
        <v>0</v>
      </c>
      <c r="C7052">
        <v>0</v>
      </c>
      <c r="D7052">
        <v>0</v>
      </c>
      <c r="E7052">
        <v>0</v>
      </c>
      <c r="F7052">
        <v>0</v>
      </c>
      <c r="G7052">
        <v>0</v>
      </c>
    </row>
    <row r="7053" spans="1:7" x14ac:dyDescent="0.2">
      <c r="A7053" t="s">
        <v>1862</v>
      </c>
      <c r="B7053">
        <v>0</v>
      </c>
      <c r="C7053">
        <v>0</v>
      </c>
      <c r="D7053">
        <v>0</v>
      </c>
      <c r="E7053">
        <v>0</v>
      </c>
      <c r="F7053">
        <v>0</v>
      </c>
      <c r="G7053">
        <v>0</v>
      </c>
    </row>
    <row r="7054" spans="1:7" x14ac:dyDescent="0.2">
      <c r="A7054" t="s">
        <v>1867</v>
      </c>
      <c r="B7054">
        <v>0</v>
      </c>
      <c r="C7054">
        <v>0</v>
      </c>
      <c r="D7054">
        <v>0</v>
      </c>
      <c r="E7054">
        <v>0</v>
      </c>
      <c r="F7054">
        <v>0</v>
      </c>
      <c r="G7054">
        <v>0</v>
      </c>
    </row>
    <row r="7055" spans="1:7" x14ac:dyDescent="0.2">
      <c r="A7055" t="s">
        <v>1870</v>
      </c>
      <c r="B7055">
        <v>0</v>
      </c>
      <c r="C7055">
        <v>0</v>
      </c>
      <c r="D7055">
        <v>0</v>
      </c>
      <c r="E7055">
        <v>0</v>
      </c>
      <c r="F7055">
        <v>0</v>
      </c>
      <c r="G7055">
        <v>0</v>
      </c>
    </row>
    <row r="7056" spans="1:7" x14ac:dyDescent="0.2">
      <c r="A7056" t="s">
        <v>1874</v>
      </c>
      <c r="B7056">
        <v>0</v>
      </c>
      <c r="C7056">
        <v>0</v>
      </c>
      <c r="D7056">
        <v>0</v>
      </c>
      <c r="E7056">
        <v>0</v>
      </c>
      <c r="F7056">
        <v>0</v>
      </c>
      <c r="G7056">
        <v>0</v>
      </c>
    </row>
    <row r="7057" spans="1:7" x14ac:dyDescent="0.2">
      <c r="A7057" t="s">
        <v>1876</v>
      </c>
      <c r="B7057">
        <v>0</v>
      </c>
      <c r="C7057">
        <v>0</v>
      </c>
      <c r="D7057">
        <v>0</v>
      </c>
      <c r="E7057">
        <v>0</v>
      </c>
      <c r="F7057">
        <v>0</v>
      </c>
      <c r="G7057">
        <v>0</v>
      </c>
    </row>
    <row r="7058" spans="1:7" x14ac:dyDescent="0.2">
      <c r="A7058" t="s">
        <v>1881</v>
      </c>
      <c r="B7058">
        <v>0</v>
      </c>
      <c r="C7058">
        <v>0</v>
      </c>
      <c r="D7058">
        <v>0</v>
      </c>
      <c r="E7058">
        <v>0</v>
      </c>
      <c r="F7058">
        <v>0</v>
      </c>
      <c r="G7058">
        <v>0</v>
      </c>
    </row>
    <row r="7059" spans="1:7" x14ac:dyDescent="0.2">
      <c r="A7059" t="s">
        <v>1885</v>
      </c>
      <c r="B7059">
        <v>0</v>
      </c>
      <c r="C7059">
        <v>0</v>
      </c>
      <c r="D7059">
        <v>0</v>
      </c>
      <c r="E7059">
        <v>24</v>
      </c>
      <c r="F7059">
        <v>0</v>
      </c>
      <c r="G7059">
        <v>24</v>
      </c>
    </row>
    <row r="7060" spans="1:7" x14ac:dyDescent="0.2">
      <c r="A7060" t="s">
        <v>1887</v>
      </c>
      <c r="B7060">
        <v>0</v>
      </c>
      <c r="C7060">
        <v>0</v>
      </c>
      <c r="D7060">
        <v>0</v>
      </c>
      <c r="E7060">
        <v>0</v>
      </c>
      <c r="F7060">
        <v>0</v>
      </c>
      <c r="G7060">
        <v>0</v>
      </c>
    </row>
    <row r="7061" spans="1:7" x14ac:dyDescent="0.2">
      <c r="A7061" t="s">
        <v>1893</v>
      </c>
      <c r="B7061">
        <v>0</v>
      </c>
      <c r="C7061">
        <v>0</v>
      </c>
      <c r="D7061">
        <v>0</v>
      </c>
      <c r="E7061">
        <v>1</v>
      </c>
      <c r="F7061">
        <v>0</v>
      </c>
      <c r="G7061">
        <v>1</v>
      </c>
    </row>
    <row r="7062" spans="1:7" x14ac:dyDescent="0.2">
      <c r="A7062" t="s">
        <v>1899</v>
      </c>
      <c r="B7062">
        <v>0</v>
      </c>
      <c r="C7062">
        <v>0</v>
      </c>
      <c r="D7062">
        <v>0</v>
      </c>
      <c r="E7062">
        <v>0</v>
      </c>
      <c r="F7062">
        <v>0</v>
      </c>
      <c r="G7062">
        <v>0</v>
      </c>
    </row>
    <row r="7063" spans="1:7" x14ac:dyDescent="0.2">
      <c r="A7063" t="s">
        <v>1906</v>
      </c>
      <c r="B7063">
        <v>0</v>
      </c>
      <c r="C7063">
        <v>0</v>
      </c>
      <c r="D7063">
        <v>0</v>
      </c>
      <c r="E7063">
        <v>0</v>
      </c>
      <c r="F7063">
        <v>0</v>
      </c>
      <c r="G7063">
        <v>0</v>
      </c>
    </row>
    <row r="7064" spans="1:7" x14ac:dyDescent="0.2">
      <c r="A7064" t="s">
        <v>1911</v>
      </c>
      <c r="B7064">
        <v>0</v>
      </c>
      <c r="C7064">
        <v>0</v>
      </c>
      <c r="D7064">
        <v>0</v>
      </c>
      <c r="E7064">
        <v>0</v>
      </c>
      <c r="F7064">
        <v>0</v>
      </c>
      <c r="G7064">
        <v>0</v>
      </c>
    </row>
    <row r="7065" spans="1:7" x14ac:dyDescent="0.2">
      <c r="A7065" t="s">
        <v>1917</v>
      </c>
      <c r="B7065">
        <v>0</v>
      </c>
      <c r="C7065">
        <v>0</v>
      </c>
      <c r="D7065">
        <v>0</v>
      </c>
      <c r="E7065">
        <v>0</v>
      </c>
      <c r="F7065">
        <v>0</v>
      </c>
      <c r="G7065">
        <v>0</v>
      </c>
    </row>
    <row r="7066" spans="1:7" x14ac:dyDescent="0.2">
      <c r="A7066" t="s">
        <v>1922</v>
      </c>
      <c r="B7066">
        <v>0</v>
      </c>
      <c r="C7066">
        <v>0</v>
      </c>
      <c r="D7066">
        <v>0</v>
      </c>
      <c r="E7066">
        <v>0</v>
      </c>
      <c r="F7066">
        <v>0</v>
      </c>
      <c r="G7066">
        <v>0</v>
      </c>
    </row>
    <row r="7067" spans="1:7" x14ac:dyDescent="0.2">
      <c r="A7067" t="s">
        <v>1928</v>
      </c>
      <c r="B7067">
        <v>0</v>
      </c>
      <c r="C7067">
        <v>0</v>
      </c>
      <c r="D7067">
        <v>0</v>
      </c>
      <c r="E7067">
        <v>0</v>
      </c>
      <c r="F7067">
        <v>0</v>
      </c>
      <c r="G7067">
        <v>0</v>
      </c>
    </row>
    <row r="7068" spans="1:7" x14ac:dyDescent="0.2">
      <c r="A7068" t="s">
        <v>1932</v>
      </c>
      <c r="B7068">
        <v>0</v>
      </c>
      <c r="C7068">
        <v>0</v>
      </c>
      <c r="D7068">
        <v>0</v>
      </c>
      <c r="E7068">
        <v>0</v>
      </c>
      <c r="F7068">
        <v>0</v>
      </c>
      <c r="G7068">
        <v>0</v>
      </c>
    </row>
    <row r="7069" spans="1:7" x14ac:dyDescent="0.2">
      <c r="A7069" t="s">
        <v>1938</v>
      </c>
      <c r="B7069">
        <v>0</v>
      </c>
      <c r="C7069">
        <v>0</v>
      </c>
      <c r="D7069">
        <v>0</v>
      </c>
      <c r="E7069">
        <v>0</v>
      </c>
      <c r="F7069">
        <v>0</v>
      </c>
      <c r="G7069">
        <v>0</v>
      </c>
    </row>
    <row r="7070" spans="1:7" x14ac:dyDescent="0.2">
      <c r="A7070" t="s">
        <v>1944</v>
      </c>
      <c r="B7070">
        <v>0</v>
      </c>
      <c r="C7070">
        <v>0</v>
      </c>
      <c r="D7070">
        <v>0</v>
      </c>
      <c r="E7070">
        <v>0</v>
      </c>
      <c r="F7070">
        <v>0</v>
      </c>
      <c r="G7070">
        <v>0</v>
      </c>
    </row>
    <row r="7071" spans="1:7" x14ac:dyDescent="0.2">
      <c r="A7071" t="s">
        <v>1947</v>
      </c>
      <c r="B7071">
        <v>0</v>
      </c>
      <c r="C7071">
        <v>0</v>
      </c>
      <c r="D7071">
        <v>0</v>
      </c>
      <c r="E7071">
        <v>0</v>
      </c>
      <c r="F7071">
        <v>0</v>
      </c>
      <c r="G7071">
        <v>0</v>
      </c>
    </row>
    <row r="7072" spans="1:7" x14ac:dyDescent="0.2">
      <c r="A7072" t="s">
        <v>1953</v>
      </c>
      <c r="B7072">
        <v>0</v>
      </c>
      <c r="C7072">
        <v>0</v>
      </c>
      <c r="D7072">
        <v>0</v>
      </c>
      <c r="E7072">
        <v>0</v>
      </c>
      <c r="F7072">
        <v>0</v>
      </c>
      <c r="G7072">
        <v>0</v>
      </c>
    </row>
    <row r="7073" spans="1:7" x14ac:dyDescent="0.2">
      <c r="A7073" t="s">
        <v>1958</v>
      </c>
      <c r="B7073">
        <v>0</v>
      </c>
      <c r="C7073">
        <v>0</v>
      </c>
      <c r="D7073">
        <v>0</v>
      </c>
      <c r="E7073">
        <v>0</v>
      </c>
      <c r="F7073">
        <v>0</v>
      </c>
      <c r="G7073">
        <v>0</v>
      </c>
    </row>
    <row r="7074" spans="1:7" x14ac:dyDescent="0.2">
      <c r="A7074" t="s">
        <v>1964</v>
      </c>
      <c r="B7074">
        <v>0</v>
      </c>
      <c r="C7074">
        <v>0</v>
      </c>
      <c r="D7074">
        <v>0</v>
      </c>
      <c r="E7074">
        <v>0</v>
      </c>
      <c r="F7074">
        <v>0</v>
      </c>
      <c r="G7074">
        <v>0</v>
      </c>
    </row>
    <row r="7075" spans="1:7" x14ac:dyDescent="0.2">
      <c r="A7075" t="s">
        <v>1973</v>
      </c>
      <c r="B7075">
        <v>0</v>
      </c>
      <c r="C7075">
        <v>0</v>
      </c>
      <c r="D7075">
        <v>0</v>
      </c>
      <c r="E7075">
        <v>0</v>
      </c>
      <c r="F7075">
        <v>0</v>
      </c>
      <c r="G7075">
        <v>0</v>
      </c>
    </row>
    <row r="7076" spans="1:7" x14ac:dyDescent="0.2">
      <c r="A7076" t="s">
        <v>1978</v>
      </c>
      <c r="B7076">
        <v>0</v>
      </c>
      <c r="C7076">
        <v>0</v>
      </c>
      <c r="D7076">
        <v>0</v>
      </c>
      <c r="E7076">
        <v>0</v>
      </c>
      <c r="F7076">
        <v>0</v>
      </c>
      <c r="G7076">
        <v>0</v>
      </c>
    </row>
    <row r="7077" spans="1:7" x14ac:dyDescent="0.2">
      <c r="A7077" t="s">
        <v>1983</v>
      </c>
      <c r="B7077">
        <v>0</v>
      </c>
      <c r="C7077">
        <v>0</v>
      </c>
      <c r="D7077">
        <v>0</v>
      </c>
      <c r="E7077">
        <v>0</v>
      </c>
      <c r="F7077">
        <v>0</v>
      </c>
      <c r="G7077">
        <v>0</v>
      </c>
    </row>
    <row r="7078" spans="1:7" x14ac:dyDescent="0.2">
      <c r="A7078" t="s">
        <v>1984</v>
      </c>
      <c r="B7078">
        <v>0</v>
      </c>
      <c r="C7078">
        <v>0</v>
      </c>
      <c r="D7078">
        <v>0</v>
      </c>
      <c r="E7078">
        <v>0</v>
      </c>
      <c r="F7078">
        <v>0</v>
      </c>
      <c r="G7078">
        <v>0</v>
      </c>
    </row>
    <row r="7079" spans="1:7" x14ac:dyDescent="0.2">
      <c r="A7079" t="s">
        <v>1990</v>
      </c>
      <c r="B7079">
        <v>0</v>
      </c>
      <c r="C7079">
        <v>0</v>
      </c>
      <c r="D7079">
        <v>0</v>
      </c>
      <c r="E7079">
        <v>0</v>
      </c>
      <c r="F7079">
        <v>0</v>
      </c>
      <c r="G7079">
        <v>0</v>
      </c>
    </row>
    <row r="7080" spans="1:7" x14ac:dyDescent="0.2">
      <c r="A7080" t="s">
        <v>1996</v>
      </c>
      <c r="B7080">
        <v>0</v>
      </c>
      <c r="C7080">
        <v>0</v>
      </c>
      <c r="D7080">
        <v>0</v>
      </c>
      <c r="E7080">
        <v>0</v>
      </c>
      <c r="F7080">
        <v>0</v>
      </c>
      <c r="G7080">
        <v>0</v>
      </c>
    </row>
    <row r="7081" spans="1:7" x14ac:dyDescent="0.2">
      <c r="A7081" t="s">
        <v>1998</v>
      </c>
      <c r="B7081">
        <v>0</v>
      </c>
      <c r="C7081">
        <v>0</v>
      </c>
      <c r="D7081">
        <v>0</v>
      </c>
      <c r="E7081">
        <v>0</v>
      </c>
      <c r="F7081">
        <v>0</v>
      </c>
      <c r="G7081">
        <v>0</v>
      </c>
    </row>
    <row r="7082" spans="1:7" x14ac:dyDescent="0.2">
      <c r="A7082" t="s">
        <v>1999</v>
      </c>
      <c r="B7082">
        <v>0</v>
      </c>
      <c r="C7082">
        <v>0</v>
      </c>
      <c r="D7082">
        <v>0</v>
      </c>
      <c r="E7082">
        <v>0</v>
      </c>
      <c r="F7082">
        <v>0</v>
      </c>
      <c r="G7082">
        <v>0</v>
      </c>
    </row>
    <row r="7083" spans="1:7" x14ac:dyDescent="0.2">
      <c r="A7083" t="s">
        <v>2004</v>
      </c>
      <c r="B7083">
        <v>0</v>
      </c>
      <c r="C7083">
        <v>0</v>
      </c>
      <c r="D7083">
        <v>0</v>
      </c>
      <c r="E7083">
        <v>0</v>
      </c>
      <c r="F7083">
        <v>0</v>
      </c>
      <c r="G7083">
        <v>0</v>
      </c>
    </row>
    <row r="7084" spans="1:7" x14ac:dyDescent="0.2">
      <c r="A7084" t="s">
        <v>2009</v>
      </c>
      <c r="B7084">
        <v>0</v>
      </c>
      <c r="C7084">
        <v>0</v>
      </c>
      <c r="D7084">
        <v>0</v>
      </c>
      <c r="E7084">
        <v>0</v>
      </c>
      <c r="F7084">
        <v>0</v>
      </c>
      <c r="G7084">
        <v>0</v>
      </c>
    </row>
    <row r="7085" spans="1:7" x14ac:dyDescent="0.2">
      <c r="A7085" t="s">
        <v>2014</v>
      </c>
      <c r="B7085">
        <v>0</v>
      </c>
      <c r="C7085">
        <v>0</v>
      </c>
      <c r="D7085">
        <v>0</v>
      </c>
      <c r="E7085">
        <v>0</v>
      </c>
      <c r="F7085">
        <v>0</v>
      </c>
      <c r="G7085">
        <v>0</v>
      </c>
    </row>
    <row r="7086" spans="1:7" x14ac:dyDescent="0.2">
      <c r="A7086" t="s">
        <v>2019</v>
      </c>
      <c r="B7086">
        <v>0</v>
      </c>
      <c r="C7086">
        <v>0</v>
      </c>
      <c r="D7086">
        <v>0</v>
      </c>
      <c r="E7086">
        <v>0</v>
      </c>
      <c r="F7086">
        <v>0</v>
      </c>
      <c r="G7086">
        <v>0</v>
      </c>
    </row>
    <row r="7087" spans="1:7" x14ac:dyDescent="0.2">
      <c r="A7087" t="s">
        <v>2023</v>
      </c>
      <c r="B7087">
        <v>0</v>
      </c>
      <c r="C7087">
        <v>0</v>
      </c>
      <c r="D7087">
        <v>0</v>
      </c>
      <c r="E7087">
        <v>0</v>
      </c>
      <c r="F7087">
        <v>0</v>
      </c>
      <c r="G7087">
        <v>0</v>
      </c>
    </row>
    <row r="7088" spans="1:7" x14ac:dyDescent="0.2">
      <c r="A7088" t="s">
        <v>2026</v>
      </c>
      <c r="B7088">
        <v>0</v>
      </c>
      <c r="C7088">
        <v>0</v>
      </c>
      <c r="D7088">
        <v>0</v>
      </c>
      <c r="E7088">
        <v>0</v>
      </c>
      <c r="F7088">
        <v>0</v>
      </c>
      <c r="G7088">
        <v>0</v>
      </c>
    </row>
    <row r="7089" spans="1:7" x14ac:dyDescent="0.2">
      <c r="A7089" t="s">
        <v>2030</v>
      </c>
      <c r="B7089">
        <v>0</v>
      </c>
      <c r="C7089">
        <v>0</v>
      </c>
      <c r="D7089">
        <v>0</v>
      </c>
      <c r="E7089">
        <v>0</v>
      </c>
      <c r="F7089">
        <v>0</v>
      </c>
      <c r="G7089">
        <v>0</v>
      </c>
    </row>
    <row r="7090" spans="1:7" x14ac:dyDescent="0.2">
      <c r="A7090" t="s">
        <v>2035</v>
      </c>
      <c r="B7090">
        <v>0</v>
      </c>
      <c r="C7090">
        <v>0</v>
      </c>
      <c r="D7090">
        <v>0</v>
      </c>
      <c r="E7090">
        <v>0</v>
      </c>
      <c r="F7090">
        <v>0</v>
      </c>
      <c r="G7090">
        <v>0</v>
      </c>
    </row>
    <row r="7091" spans="1:7" x14ac:dyDescent="0.2">
      <c r="A7091" t="s">
        <v>2040</v>
      </c>
      <c r="B7091">
        <v>0</v>
      </c>
      <c r="C7091">
        <v>0</v>
      </c>
      <c r="D7091">
        <v>0</v>
      </c>
      <c r="E7091">
        <v>0</v>
      </c>
      <c r="F7091">
        <v>0</v>
      </c>
      <c r="G7091">
        <v>0</v>
      </c>
    </row>
    <row r="7092" spans="1:7" x14ac:dyDescent="0.2">
      <c r="A7092" t="s">
        <v>2045</v>
      </c>
      <c r="B7092">
        <v>0</v>
      </c>
      <c r="C7092">
        <v>0</v>
      </c>
      <c r="D7092">
        <v>0</v>
      </c>
      <c r="E7092">
        <v>0</v>
      </c>
      <c r="F7092">
        <v>0</v>
      </c>
      <c r="G7092">
        <v>0</v>
      </c>
    </row>
    <row r="7093" spans="1:7" x14ac:dyDescent="0.2">
      <c r="A7093" t="s">
        <v>2049</v>
      </c>
      <c r="B7093">
        <v>0</v>
      </c>
      <c r="C7093">
        <v>0</v>
      </c>
      <c r="D7093">
        <v>0</v>
      </c>
      <c r="E7093">
        <v>0</v>
      </c>
      <c r="F7093">
        <v>0</v>
      </c>
      <c r="G7093">
        <v>0</v>
      </c>
    </row>
    <row r="7094" spans="1:7" x14ac:dyDescent="0.2">
      <c r="A7094" t="s">
        <v>2051</v>
      </c>
      <c r="B7094">
        <v>0</v>
      </c>
      <c r="C7094">
        <v>0</v>
      </c>
      <c r="D7094">
        <v>0</v>
      </c>
      <c r="E7094">
        <v>0</v>
      </c>
      <c r="F7094">
        <v>0</v>
      </c>
      <c r="G7094">
        <v>0</v>
      </c>
    </row>
    <row r="7095" spans="1:7" x14ac:dyDescent="0.2">
      <c r="A7095" t="s">
        <v>2057</v>
      </c>
      <c r="B7095">
        <v>0</v>
      </c>
      <c r="C7095">
        <v>0</v>
      </c>
      <c r="D7095">
        <v>0</v>
      </c>
      <c r="E7095">
        <v>0</v>
      </c>
      <c r="F7095">
        <v>0</v>
      </c>
      <c r="G7095">
        <v>0</v>
      </c>
    </row>
    <row r="7096" spans="1:7" x14ac:dyDescent="0.2">
      <c r="A7096" t="s">
        <v>4344</v>
      </c>
      <c r="B7096">
        <v>0</v>
      </c>
      <c r="C7096">
        <v>0</v>
      </c>
      <c r="D7096">
        <v>0</v>
      </c>
      <c r="E7096">
        <v>0</v>
      </c>
      <c r="F7096">
        <v>0</v>
      </c>
      <c r="G7096">
        <v>0</v>
      </c>
    </row>
    <row r="7097" spans="1:7" x14ac:dyDescent="0.2">
      <c r="A7097" t="s">
        <v>4345</v>
      </c>
      <c r="B7097">
        <v>0</v>
      </c>
      <c r="C7097">
        <v>0</v>
      </c>
      <c r="D7097">
        <v>0</v>
      </c>
      <c r="E7097">
        <v>0</v>
      </c>
      <c r="F7097">
        <v>0</v>
      </c>
      <c r="G7097">
        <v>0</v>
      </c>
    </row>
    <row r="7098" spans="1:7" x14ac:dyDescent="0.2">
      <c r="A7098" t="s">
        <v>2074</v>
      </c>
      <c r="B7098">
        <v>0</v>
      </c>
      <c r="C7098">
        <v>0</v>
      </c>
      <c r="D7098">
        <v>0</v>
      </c>
      <c r="E7098">
        <v>0</v>
      </c>
      <c r="F7098">
        <v>0</v>
      </c>
      <c r="G7098">
        <v>0</v>
      </c>
    </row>
    <row r="7099" spans="1:7" x14ac:dyDescent="0.2">
      <c r="A7099" t="s">
        <v>2079</v>
      </c>
      <c r="B7099">
        <v>0</v>
      </c>
      <c r="C7099">
        <v>0</v>
      </c>
      <c r="D7099">
        <v>0</v>
      </c>
      <c r="E7099">
        <v>0</v>
      </c>
      <c r="F7099">
        <v>0</v>
      </c>
      <c r="G7099">
        <v>0</v>
      </c>
    </row>
    <row r="7100" spans="1:7" x14ac:dyDescent="0.2">
      <c r="A7100" t="s">
        <v>2085</v>
      </c>
      <c r="B7100">
        <v>0</v>
      </c>
      <c r="C7100">
        <v>0</v>
      </c>
      <c r="D7100">
        <v>0</v>
      </c>
      <c r="E7100">
        <v>0</v>
      </c>
      <c r="F7100">
        <v>0</v>
      </c>
      <c r="G7100">
        <v>0</v>
      </c>
    </row>
    <row r="7101" spans="1:7" x14ac:dyDescent="0.2">
      <c r="A7101" t="s">
        <v>2091</v>
      </c>
      <c r="B7101">
        <v>0</v>
      </c>
      <c r="C7101">
        <v>0</v>
      </c>
      <c r="D7101">
        <v>0</v>
      </c>
      <c r="E7101">
        <v>0</v>
      </c>
      <c r="F7101">
        <v>0</v>
      </c>
      <c r="G7101">
        <v>0</v>
      </c>
    </row>
    <row r="7102" spans="1:7" x14ac:dyDescent="0.2">
      <c r="A7102" t="s">
        <v>2097</v>
      </c>
      <c r="B7102">
        <v>0</v>
      </c>
      <c r="C7102">
        <v>0</v>
      </c>
      <c r="D7102">
        <v>0</v>
      </c>
      <c r="E7102">
        <v>0</v>
      </c>
      <c r="F7102">
        <v>0</v>
      </c>
      <c r="G7102">
        <v>0</v>
      </c>
    </row>
    <row r="7103" spans="1:7" x14ac:dyDescent="0.2">
      <c r="A7103" t="s">
        <v>2101</v>
      </c>
      <c r="B7103">
        <v>0</v>
      </c>
      <c r="C7103">
        <v>0</v>
      </c>
      <c r="D7103">
        <v>0</v>
      </c>
      <c r="E7103">
        <v>0</v>
      </c>
      <c r="F7103">
        <v>0</v>
      </c>
      <c r="G7103">
        <v>0</v>
      </c>
    </row>
    <row r="7104" spans="1:7" x14ac:dyDescent="0.2">
      <c r="A7104" t="s">
        <v>2104</v>
      </c>
      <c r="B7104">
        <v>0</v>
      </c>
      <c r="C7104">
        <v>0</v>
      </c>
      <c r="D7104">
        <v>0</v>
      </c>
      <c r="E7104">
        <v>0</v>
      </c>
      <c r="F7104">
        <v>0</v>
      </c>
      <c r="G7104">
        <v>0</v>
      </c>
    </row>
    <row r="7105" spans="1:7" x14ac:dyDescent="0.2">
      <c r="A7105" t="s">
        <v>2107</v>
      </c>
      <c r="B7105">
        <v>0</v>
      </c>
      <c r="C7105">
        <v>0</v>
      </c>
      <c r="D7105">
        <v>0</v>
      </c>
      <c r="E7105">
        <v>0</v>
      </c>
      <c r="F7105">
        <v>0</v>
      </c>
      <c r="G7105">
        <v>0</v>
      </c>
    </row>
    <row r="7106" spans="1:7" x14ac:dyDescent="0.2">
      <c r="A7106" t="s">
        <v>2110</v>
      </c>
      <c r="B7106">
        <v>0</v>
      </c>
      <c r="C7106">
        <v>0</v>
      </c>
      <c r="D7106">
        <v>0</v>
      </c>
      <c r="E7106">
        <v>0</v>
      </c>
      <c r="F7106">
        <v>0</v>
      </c>
      <c r="G7106">
        <v>0</v>
      </c>
    </row>
    <row r="7107" spans="1:7" x14ac:dyDescent="0.2">
      <c r="A7107" t="s">
        <v>2113</v>
      </c>
      <c r="B7107">
        <v>0</v>
      </c>
      <c r="C7107">
        <v>0</v>
      </c>
      <c r="D7107">
        <v>0</v>
      </c>
      <c r="E7107">
        <v>0</v>
      </c>
      <c r="F7107">
        <v>0</v>
      </c>
      <c r="G7107">
        <v>0</v>
      </c>
    </row>
    <row r="7108" spans="1:7" x14ac:dyDescent="0.2">
      <c r="A7108" t="s">
        <v>4346</v>
      </c>
      <c r="B7108">
        <v>0</v>
      </c>
      <c r="C7108">
        <v>0</v>
      </c>
      <c r="D7108">
        <v>0</v>
      </c>
      <c r="E7108">
        <v>0</v>
      </c>
      <c r="F7108">
        <v>0</v>
      </c>
      <c r="G7108">
        <v>0</v>
      </c>
    </row>
    <row r="7109" spans="1:7" x14ac:dyDescent="0.2">
      <c r="A7109" t="s">
        <v>4347</v>
      </c>
      <c r="B7109">
        <v>0</v>
      </c>
      <c r="C7109">
        <v>0</v>
      </c>
      <c r="D7109">
        <v>0</v>
      </c>
      <c r="E7109">
        <v>0</v>
      </c>
      <c r="F7109">
        <v>0</v>
      </c>
      <c r="G7109">
        <v>0</v>
      </c>
    </row>
    <row r="7110" spans="1:7" x14ac:dyDescent="0.2">
      <c r="A7110" t="s">
        <v>4348</v>
      </c>
      <c r="B7110">
        <v>0</v>
      </c>
      <c r="C7110">
        <v>0</v>
      </c>
      <c r="D7110">
        <v>0</v>
      </c>
      <c r="E7110">
        <v>0</v>
      </c>
      <c r="F7110">
        <v>0</v>
      </c>
      <c r="G7110">
        <v>0</v>
      </c>
    </row>
    <row r="7111" spans="1:7" x14ac:dyDescent="0.2">
      <c r="A7111" t="s">
        <v>4349</v>
      </c>
      <c r="B7111">
        <v>0</v>
      </c>
      <c r="C7111">
        <v>0</v>
      </c>
      <c r="D7111">
        <v>0</v>
      </c>
      <c r="E7111">
        <v>0</v>
      </c>
      <c r="F7111">
        <v>0</v>
      </c>
      <c r="G7111">
        <v>0</v>
      </c>
    </row>
    <row r="7112" spans="1:7" x14ac:dyDescent="0.2">
      <c r="A7112" t="s">
        <v>4350</v>
      </c>
      <c r="B7112">
        <v>0</v>
      </c>
      <c r="C7112">
        <v>1</v>
      </c>
      <c r="D7112">
        <v>4</v>
      </c>
      <c r="E7112">
        <v>0</v>
      </c>
      <c r="F7112">
        <v>0</v>
      </c>
      <c r="G7112">
        <v>4</v>
      </c>
    </row>
    <row r="7113" spans="1:7" x14ac:dyDescent="0.2">
      <c r="A7113" t="s">
        <v>4351</v>
      </c>
      <c r="B7113">
        <v>0</v>
      </c>
      <c r="C7113">
        <v>0</v>
      </c>
      <c r="D7113">
        <v>0</v>
      </c>
      <c r="E7113">
        <v>0</v>
      </c>
      <c r="F7113">
        <v>0</v>
      </c>
      <c r="G7113">
        <v>0</v>
      </c>
    </row>
    <row r="7114" spans="1:7" x14ac:dyDescent="0.2">
      <c r="A7114" t="s">
        <v>4352</v>
      </c>
      <c r="B7114">
        <v>0</v>
      </c>
      <c r="C7114">
        <v>0</v>
      </c>
      <c r="D7114">
        <v>0</v>
      </c>
      <c r="E7114">
        <v>0</v>
      </c>
      <c r="F7114">
        <v>0</v>
      </c>
      <c r="G7114">
        <v>0</v>
      </c>
    </row>
    <row r="7115" spans="1:7" x14ac:dyDescent="0.2">
      <c r="A7115" t="s">
        <v>4353</v>
      </c>
      <c r="B7115">
        <v>0</v>
      </c>
      <c r="C7115">
        <v>37</v>
      </c>
      <c r="D7115">
        <v>17</v>
      </c>
      <c r="E7115">
        <v>3</v>
      </c>
      <c r="F7115">
        <v>0</v>
      </c>
      <c r="G7115">
        <v>57</v>
      </c>
    </row>
    <row r="7116" spans="1:7" x14ac:dyDescent="0.2">
      <c r="A7116" t="s">
        <v>4354</v>
      </c>
      <c r="B7116">
        <v>2</v>
      </c>
      <c r="C7116">
        <v>41</v>
      </c>
      <c r="D7116">
        <v>14</v>
      </c>
      <c r="E7116">
        <v>0</v>
      </c>
      <c r="F7116">
        <v>0</v>
      </c>
      <c r="G7116">
        <v>57</v>
      </c>
    </row>
    <row r="7117" spans="1:7" x14ac:dyDescent="0.2">
      <c r="A7117" t="s">
        <v>4355</v>
      </c>
      <c r="B7117">
        <v>0</v>
      </c>
      <c r="C7117">
        <v>0</v>
      </c>
      <c r="D7117">
        <v>0</v>
      </c>
      <c r="E7117">
        <v>0</v>
      </c>
      <c r="F7117">
        <v>0</v>
      </c>
      <c r="G7117">
        <v>0</v>
      </c>
    </row>
    <row r="7118" spans="1:7" x14ac:dyDescent="0.2">
      <c r="A7118" t="s">
        <v>4356</v>
      </c>
      <c r="B7118">
        <v>0</v>
      </c>
      <c r="C7118">
        <v>0</v>
      </c>
      <c r="D7118">
        <v>0</v>
      </c>
      <c r="E7118">
        <v>0</v>
      </c>
      <c r="F7118">
        <v>0</v>
      </c>
      <c r="G7118">
        <v>0</v>
      </c>
    </row>
    <row r="7119" spans="1:7" x14ac:dyDescent="0.2">
      <c r="A7119" t="s">
        <v>4357</v>
      </c>
      <c r="B7119">
        <v>0</v>
      </c>
      <c r="C7119">
        <v>0</v>
      </c>
      <c r="D7119">
        <v>2</v>
      </c>
      <c r="E7119">
        <v>0</v>
      </c>
      <c r="F7119">
        <v>0</v>
      </c>
      <c r="G7119">
        <v>2</v>
      </c>
    </row>
    <row r="7120" spans="1:7" x14ac:dyDescent="0.2">
      <c r="A7120" t="s">
        <v>4358</v>
      </c>
      <c r="B7120">
        <v>0</v>
      </c>
      <c r="C7120">
        <v>0</v>
      </c>
      <c r="D7120">
        <v>0</v>
      </c>
      <c r="E7120">
        <v>0</v>
      </c>
      <c r="F7120">
        <v>0</v>
      </c>
      <c r="G7120">
        <v>0</v>
      </c>
    </row>
    <row r="7121" spans="1:7" x14ac:dyDescent="0.2">
      <c r="A7121" t="s">
        <v>4359</v>
      </c>
      <c r="B7121">
        <v>0</v>
      </c>
      <c r="C7121">
        <v>0</v>
      </c>
      <c r="D7121">
        <v>0</v>
      </c>
      <c r="E7121">
        <v>0</v>
      </c>
      <c r="F7121">
        <v>0</v>
      </c>
      <c r="G7121">
        <v>0</v>
      </c>
    </row>
    <row r="7122" spans="1:7" x14ac:dyDescent="0.2">
      <c r="A7122" t="s">
        <v>4360</v>
      </c>
      <c r="B7122">
        <v>0</v>
      </c>
      <c r="C7122">
        <v>0</v>
      </c>
      <c r="D7122">
        <v>0</v>
      </c>
      <c r="E7122">
        <v>0</v>
      </c>
      <c r="F7122">
        <v>0</v>
      </c>
      <c r="G7122">
        <v>0</v>
      </c>
    </row>
    <row r="7123" spans="1:7" x14ac:dyDescent="0.2">
      <c r="A7123" t="s">
        <v>4361</v>
      </c>
      <c r="B7123">
        <v>0</v>
      </c>
      <c r="C7123">
        <v>0</v>
      </c>
      <c r="D7123">
        <v>5</v>
      </c>
      <c r="E7123">
        <v>0</v>
      </c>
      <c r="F7123">
        <v>0</v>
      </c>
      <c r="G7123">
        <v>5</v>
      </c>
    </row>
    <row r="7124" spans="1:7" x14ac:dyDescent="0.2">
      <c r="A7124" t="s">
        <v>4362</v>
      </c>
      <c r="B7124">
        <v>0</v>
      </c>
      <c r="C7124">
        <v>0</v>
      </c>
      <c r="D7124">
        <v>0</v>
      </c>
      <c r="E7124">
        <v>0</v>
      </c>
      <c r="F7124">
        <v>0</v>
      </c>
      <c r="G7124">
        <v>0</v>
      </c>
    </row>
    <row r="7125" spans="1:7" x14ac:dyDescent="0.2">
      <c r="A7125" t="s">
        <v>4363</v>
      </c>
      <c r="B7125">
        <v>0</v>
      </c>
      <c r="C7125">
        <v>0</v>
      </c>
      <c r="D7125">
        <v>0</v>
      </c>
      <c r="E7125">
        <v>0</v>
      </c>
      <c r="F7125">
        <v>0</v>
      </c>
      <c r="G7125">
        <v>0</v>
      </c>
    </row>
    <row r="7126" spans="1:7" x14ac:dyDescent="0.2">
      <c r="A7126" t="s">
        <v>4364</v>
      </c>
      <c r="B7126">
        <v>0</v>
      </c>
      <c r="C7126">
        <v>0</v>
      </c>
      <c r="D7126">
        <v>0</v>
      </c>
      <c r="E7126">
        <v>0</v>
      </c>
      <c r="F7126">
        <v>0</v>
      </c>
      <c r="G7126">
        <v>0</v>
      </c>
    </row>
    <row r="7127" spans="1:7" x14ac:dyDescent="0.2">
      <c r="A7127" t="s">
        <v>4365</v>
      </c>
      <c r="B7127">
        <v>0</v>
      </c>
      <c r="C7127">
        <v>0</v>
      </c>
      <c r="D7127">
        <v>0</v>
      </c>
      <c r="E7127">
        <v>0</v>
      </c>
      <c r="F7127">
        <v>0</v>
      </c>
      <c r="G7127">
        <v>0</v>
      </c>
    </row>
    <row r="7128" spans="1:7" x14ac:dyDescent="0.2">
      <c r="A7128" t="s">
        <v>4366</v>
      </c>
      <c r="B7128">
        <v>0</v>
      </c>
      <c r="C7128">
        <v>0</v>
      </c>
      <c r="D7128">
        <v>0</v>
      </c>
      <c r="E7128">
        <v>0</v>
      </c>
      <c r="F7128">
        <v>0</v>
      </c>
      <c r="G7128">
        <v>0</v>
      </c>
    </row>
    <row r="7129" spans="1:7" x14ac:dyDescent="0.2">
      <c r="A7129" t="s">
        <v>4367</v>
      </c>
      <c r="B7129">
        <v>0</v>
      </c>
      <c r="C7129">
        <v>0</v>
      </c>
      <c r="D7129">
        <v>0</v>
      </c>
      <c r="E7129">
        <v>0</v>
      </c>
      <c r="F7129">
        <v>0</v>
      </c>
      <c r="G7129">
        <v>0</v>
      </c>
    </row>
    <row r="7130" spans="1:7" x14ac:dyDescent="0.2">
      <c r="A7130" t="s">
        <v>4368</v>
      </c>
      <c r="B7130">
        <v>0</v>
      </c>
      <c r="C7130">
        <v>4</v>
      </c>
      <c r="D7130">
        <v>8</v>
      </c>
      <c r="E7130">
        <v>0</v>
      </c>
      <c r="F7130">
        <v>0</v>
      </c>
      <c r="G7130">
        <v>12</v>
      </c>
    </row>
    <row r="7131" spans="1:7" x14ac:dyDescent="0.2">
      <c r="A7131" t="s">
        <v>4369</v>
      </c>
      <c r="B7131">
        <v>52</v>
      </c>
      <c r="C7131">
        <v>0</v>
      </c>
      <c r="D7131">
        <v>5</v>
      </c>
      <c r="E7131">
        <v>60</v>
      </c>
      <c r="F7131">
        <v>0</v>
      </c>
      <c r="G7131">
        <v>117</v>
      </c>
    </row>
    <row r="7132" spans="1:7" x14ac:dyDescent="0.2">
      <c r="A7132" t="s">
        <v>4370</v>
      </c>
      <c r="B7132">
        <v>0</v>
      </c>
      <c r="C7132">
        <v>0</v>
      </c>
      <c r="D7132">
        <v>0</v>
      </c>
      <c r="E7132">
        <v>0</v>
      </c>
      <c r="F7132">
        <v>0</v>
      </c>
      <c r="G7132">
        <v>0</v>
      </c>
    </row>
    <row r="7133" spans="1:7" x14ac:dyDescent="0.2">
      <c r="A7133" t="s">
        <v>4371</v>
      </c>
      <c r="B7133">
        <v>0</v>
      </c>
      <c r="C7133">
        <v>0</v>
      </c>
      <c r="D7133">
        <v>0</v>
      </c>
      <c r="E7133">
        <v>0</v>
      </c>
      <c r="F7133">
        <v>0</v>
      </c>
      <c r="G7133">
        <v>0</v>
      </c>
    </row>
    <row r="7134" spans="1:7" x14ac:dyDescent="0.2">
      <c r="A7134" t="s">
        <v>4372</v>
      </c>
      <c r="B7134">
        <v>0</v>
      </c>
      <c r="C7134">
        <v>0</v>
      </c>
      <c r="D7134">
        <v>0</v>
      </c>
      <c r="E7134">
        <v>0</v>
      </c>
      <c r="F7134">
        <v>0</v>
      </c>
      <c r="G7134">
        <v>0</v>
      </c>
    </row>
    <row r="7135" spans="1:7" x14ac:dyDescent="0.2">
      <c r="A7135" t="s">
        <v>4373</v>
      </c>
      <c r="B7135">
        <v>0</v>
      </c>
      <c r="C7135">
        <v>3</v>
      </c>
      <c r="D7135">
        <v>0</v>
      </c>
      <c r="E7135">
        <v>0</v>
      </c>
      <c r="F7135">
        <v>0</v>
      </c>
      <c r="G7135">
        <v>3</v>
      </c>
    </row>
    <row r="7136" spans="1:7" x14ac:dyDescent="0.2">
      <c r="A7136" t="s">
        <v>4374</v>
      </c>
      <c r="B7136">
        <v>0</v>
      </c>
      <c r="C7136">
        <v>0</v>
      </c>
      <c r="D7136">
        <v>0</v>
      </c>
      <c r="E7136">
        <v>0</v>
      </c>
      <c r="F7136">
        <v>0</v>
      </c>
      <c r="G7136">
        <v>0</v>
      </c>
    </row>
    <row r="7137" spans="1:10" x14ac:dyDescent="0.2">
      <c r="A7137" t="s">
        <v>4375</v>
      </c>
      <c r="B7137">
        <v>0</v>
      </c>
      <c r="C7137">
        <v>0</v>
      </c>
      <c r="D7137">
        <v>0</v>
      </c>
      <c r="E7137">
        <v>0</v>
      </c>
      <c r="F7137">
        <v>0</v>
      </c>
      <c r="G7137">
        <v>0</v>
      </c>
    </row>
    <row r="7138" spans="1:10" x14ac:dyDescent="0.2">
      <c r="A7138" t="s">
        <v>4376</v>
      </c>
      <c r="B7138">
        <v>0</v>
      </c>
      <c r="C7138">
        <v>0</v>
      </c>
      <c r="D7138">
        <v>0</v>
      </c>
      <c r="E7138">
        <v>0</v>
      </c>
      <c r="F7138">
        <v>0</v>
      </c>
      <c r="G7138">
        <v>0</v>
      </c>
    </row>
    <row r="7139" spans="1:10" x14ac:dyDescent="0.2">
      <c r="A7139" t="s">
        <v>4377</v>
      </c>
      <c r="B7139">
        <v>0</v>
      </c>
      <c r="C7139">
        <v>0</v>
      </c>
      <c r="D7139">
        <v>0</v>
      </c>
      <c r="E7139">
        <v>0</v>
      </c>
      <c r="F7139">
        <v>0</v>
      </c>
      <c r="G7139">
        <v>0</v>
      </c>
    </row>
    <row r="7140" spans="1:10" x14ac:dyDescent="0.2">
      <c r="A7140" t="s">
        <v>2318</v>
      </c>
      <c r="B7140" t="s">
        <v>2319</v>
      </c>
      <c r="C7140" t="s">
        <v>2319</v>
      </c>
      <c r="D7140" t="s">
        <v>2319</v>
      </c>
      <c r="E7140" t="s">
        <v>2319</v>
      </c>
      <c r="F7140" t="s">
        <v>2319</v>
      </c>
      <c r="G7140" t="s">
        <v>2319</v>
      </c>
    </row>
    <row r="7141" spans="1:10" x14ac:dyDescent="0.2">
      <c r="A7141" t="s">
        <v>4248</v>
      </c>
    </row>
    <row r="7142" spans="1:10" x14ac:dyDescent="0.2">
      <c r="A7142" t="s">
        <v>4250</v>
      </c>
      <c r="C7142" t="s">
        <v>4251</v>
      </c>
      <c r="G7142" t="s">
        <v>7531</v>
      </c>
      <c r="J7142"/>
    </row>
    <row r="7143" spans="1:10" x14ac:dyDescent="0.2">
      <c r="A7143" t="s">
        <v>4925</v>
      </c>
      <c r="G7143" t="s">
        <v>7541</v>
      </c>
      <c r="J7143"/>
    </row>
    <row r="7144" spans="1:10" x14ac:dyDescent="0.2">
      <c r="A7144" t="s">
        <v>7530</v>
      </c>
      <c r="J7144"/>
    </row>
    <row r="7145" spans="1:10" x14ac:dyDescent="0.2">
      <c r="A7145" t="s">
        <v>5028</v>
      </c>
      <c r="J7145"/>
    </row>
    <row r="7146" spans="1:10" x14ac:dyDescent="0.2">
      <c r="J7146"/>
    </row>
    <row r="7147" spans="1:10" x14ac:dyDescent="0.2">
      <c r="A7147" t="s">
        <v>4259</v>
      </c>
      <c r="J7147"/>
    </row>
    <row r="7148" spans="1:10" x14ac:dyDescent="0.2">
      <c r="A7148" t="s">
        <v>2318</v>
      </c>
      <c r="B7148" t="s">
        <v>2319</v>
      </c>
      <c r="C7148" t="s">
        <v>2319</v>
      </c>
      <c r="D7148" t="s">
        <v>2319</v>
      </c>
      <c r="E7148" t="s">
        <v>2319</v>
      </c>
      <c r="F7148" t="s">
        <v>2319</v>
      </c>
      <c r="G7148" t="s">
        <v>2319</v>
      </c>
    </row>
    <row r="7149" spans="1:10" x14ac:dyDescent="0.2">
      <c r="A7149" t="s">
        <v>174</v>
      </c>
      <c r="B7149" t="s">
        <v>4945</v>
      </c>
      <c r="C7149" t="s">
        <v>4946</v>
      </c>
      <c r="D7149" t="s">
        <v>4947</v>
      </c>
      <c r="E7149" t="s">
        <v>4948</v>
      </c>
      <c r="F7149" t="s">
        <v>4949</v>
      </c>
    </row>
    <row r="7150" spans="1:10" x14ac:dyDescent="0.2">
      <c r="A7150" t="s">
        <v>126</v>
      </c>
      <c r="B7150" t="s">
        <v>4262</v>
      </c>
      <c r="C7150" t="s">
        <v>4263</v>
      </c>
      <c r="D7150" t="s">
        <v>4264</v>
      </c>
      <c r="E7150" t="s">
        <v>2308</v>
      </c>
      <c r="F7150" t="s">
        <v>615</v>
      </c>
      <c r="G7150" t="s">
        <v>236</v>
      </c>
    </row>
    <row r="7151" spans="1:10" x14ac:dyDescent="0.2">
      <c r="A7151" t="s">
        <v>2318</v>
      </c>
      <c r="B7151" t="s">
        <v>2319</v>
      </c>
      <c r="C7151" t="s">
        <v>2319</v>
      </c>
      <c r="D7151" t="s">
        <v>2319</v>
      </c>
      <c r="E7151" t="s">
        <v>2319</v>
      </c>
      <c r="F7151" t="s">
        <v>2319</v>
      </c>
      <c r="G7151" t="s">
        <v>2319</v>
      </c>
    </row>
    <row r="7152" spans="1:10" x14ac:dyDescent="0.2">
      <c r="A7152" t="s">
        <v>4265</v>
      </c>
      <c r="B7152">
        <v>0</v>
      </c>
      <c r="C7152">
        <v>0</v>
      </c>
      <c r="D7152">
        <v>0</v>
      </c>
      <c r="E7152">
        <v>0</v>
      </c>
      <c r="F7152">
        <v>0</v>
      </c>
      <c r="G7152">
        <v>0</v>
      </c>
    </row>
    <row r="7153" spans="1:7" x14ac:dyDescent="0.2">
      <c r="A7153" t="s">
        <v>4266</v>
      </c>
      <c r="B7153">
        <v>0</v>
      </c>
      <c r="C7153">
        <v>0</v>
      </c>
      <c r="D7153">
        <v>0</v>
      </c>
      <c r="E7153">
        <v>0</v>
      </c>
      <c r="F7153">
        <v>0</v>
      </c>
      <c r="G7153">
        <v>0</v>
      </c>
    </row>
    <row r="7154" spans="1:7" x14ac:dyDescent="0.2">
      <c r="A7154" t="s">
        <v>4267</v>
      </c>
      <c r="B7154">
        <v>140</v>
      </c>
      <c r="C7154">
        <v>12</v>
      </c>
      <c r="D7154">
        <v>2</v>
      </c>
      <c r="E7154">
        <v>0</v>
      </c>
      <c r="F7154">
        <v>0</v>
      </c>
      <c r="G7154">
        <v>154</v>
      </c>
    </row>
    <row r="7155" spans="1:7" x14ac:dyDescent="0.2">
      <c r="A7155" t="s">
        <v>4268</v>
      </c>
      <c r="B7155">
        <v>0</v>
      </c>
      <c r="C7155">
        <v>26</v>
      </c>
      <c r="D7155">
        <v>6</v>
      </c>
      <c r="E7155">
        <v>0</v>
      </c>
      <c r="F7155">
        <v>0</v>
      </c>
      <c r="G7155">
        <v>32</v>
      </c>
    </row>
    <row r="7156" spans="1:7" x14ac:dyDescent="0.2">
      <c r="A7156" t="s">
        <v>4269</v>
      </c>
      <c r="B7156">
        <v>188</v>
      </c>
      <c r="C7156">
        <v>0</v>
      </c>
      <c r="D7156">
        <v>6</v>
      </c>
      <c r="E7156">
        <v>0</v>
      </c>
      <c r="F7156">
        <v>0</v>
      </c>
      <c r="G7156">
        <v>194</v>
      </c>
    </row>
    <row r="7157" spans="1:7" x14ac:dyDescent="0.2">
      <c r="A7157" t="s">
        <v>4270</v>
      </c>
      <c r="B7157">
        <v>0</v>
      </c>
      <c r="C7157">
        <v>0</v>
      </c>
      <c r="D7157">
        <v>0</v>
      </c>
      <c r="E7157">
        <v>0</v>
      </c>
      <c r="F7157">
        <v>0</v>
      </c>
      <c r="G7157">
        <v>0</v>
      </c>
    </row>
    <row r="7158" spans="1:7" x14ac:dyDescent="0.2">
      <c r="A7158" t="s">
        <v>4271</v>
      </c>
      <c r="B7158">
        <v>38</v>
      </c>
      <c r="C7158">
        <v>9</v>
      </c>
      <c r="D7158">
        <v>1</v>
      </c>
      <c r="E7158">
        <v>2</v>
      </c>
      <c r="F7158">
        <v>0</v>
      </c>
      <c r="G7158">
        <v>50</v>
      </c>
    </row>
    <row r="7159" spans="1:7" x14ac:dyDescent="0.2">
      <c r="A7159" t="s">
        <v>4272</v>
      </c>
      <c r="B7159">
        <v>94</v>
      </c>
      <c r="C7159">
        <v>4</v>
      </c>
      <c r="D7159">
        <v>0</v>
      </c>
      <c r="E7159">
        <v>0</v>
      </c>
      <c r="F7159">
        <v>0</v>
      </c>
      <c r="G7159">
        <v>98</v>
      </c>
    </row>
    <row r="7160" spans="1:7" x14ac:dyDescent="0.2">
      <c r="A7160" t="s">
        <v>4273</v>
      </c>
      <c r="B7160">
        <v>0</v>
      </c>
      <c r="C7160">
        <v>0</v>
      </c>
      <c r="D7160">
        <v>0</v>
      </c>
      <c r="E7160">
        <v>0</v>
      </c>
      <c r="F7160">
        <v>0</v>
      </c>
      <c r="G7160">
        <v>0</v>
      </c>
    </row>
    <row r="7161" spans="1:7" x14ac:dyDescent="0.2">
      <c r="A7161" t="s">
        <v>4274</v>
      </c>
      <c r="B7161">
        <v>0</v>
      </c>
      <c r="C7161">
        <v>0</v>
      </c>
      <c r="D7161">
        <v>0</v>
      </c>
      <c r="E7161">
        <v>0</v>
      </c>
      <c r="F7161">
        <v>0</v>
      </c>
      <c r="G7161">
        <v>0</v>
      </c>
    </row>
    <row r="7162" spans="1:7" x14ac:dyDescent="0.2">
      <c r="A7162" t="s">
        <v>4275</v>
      </c>
      <c r="B7162">
        <v>0</v>
      </c>
      <c r="C7162">
        <v>0</v>
      </c>
      <c r="D7162">
        <v>0</v>
      </c>
      <c r="E7162">
        <v>0</v>
      </c>
      <c r="F7162">
        <v>0</v>
      </c>
      <c r="G7162">
        <v>0</v>
      </c>
    </row>
    <row r="7163" spans="1:7" x14ac:dyDescent="0.2">
      <c r="A7163" t="s">
        <v>4276</v>
      </c>
      <c r="B7163">
        <v>0</v>
      </c>
      <c r="C7163">
        <v>0</v>
      </c>
      <c r="D7163">
        <v>0</v>
      </c>
      <c r="E7163">
        <v>0</v>
      </c>
      <c r="F7163">
        <v>0</v>
      </c>
      <c r="G7163">
        <v>0</v>
      </c>
    </row>
    <row r="7164" spans="1:7" x14ac:dyDescent="0.2">
      <c r="A7164" t="s">
        <v>4277</v>
      </c>
      <c r="B7164">
        <v>0</v>
      </c>
      <c r="C7164">
        <v>0</v>
      </c>
      <c r="D7164">
        <v>0</v>
      </c>
      <c r="E7164">
        <v>0</v>
      </c>
      <c r="F7164">
        <v>0</v>
      </c>
      <c r="G7164">
        <v>0</v>
      </c>
    </row>
    <row r="7165" spans="1:7" x14ac:dyDescent="0.2">
      <c r="A7165" t="s">
        <v>4278</v>
      </c>
      <c r="B7165">
        <v>0</v>
      </c>
      <c r="C7165">
        <v>0</v>
      </c>
      <c r="D7165">
        <v>0</v>
      </c>
      <c r="E7165">
        <v>0</v>
      </c>
      <c r="F7165">
        <v>0</v>
      </c>
      <c r="G7165">
        <v>0</v>
      </c>
    </row>
    <row r="7166" spans="1:7" x14ac:dyDescent="0.2">
      <c r="A7166" t="s">
        <v>4279</v>
      </c>
      <c r="B7166">
        <v>702</v>
      </c>
      <c r="C7166">
        <v>312</v>
      </c>
      <c r="D7166">
        <v>254</v>
      </c>
      <c r="E7166">
        <v>0</v>
      </c>
      <c r="F7166">
        <v>0</v>
      </c>
      <c r="G7166">
        <v>1268</v>
      </c>
    </row>
    <row r="7167" spans="1:7" x14ac:dyDescent="0.2">
      <c r="A7167" t="s">
        <v>4280</v>
      </c>
      <c r="B7167">
        <v>13</v>
      </c>
      <c r="C7167">
        <v>29</v>
      </c>
      <c r="D7167">
        <v>1</v>
      </c>
      <c r="E7167">
        <v>0</v>
      </c>
      <c r="F7167">
        <v>0</v>
      </c>
      <c r="G7167">
        <v>43</v>
      </c>
    </row>
    <row r="7168" spans="1:7" x14ac:dyDescent="0.2">
      <c r="A7168" t="s">
        <v>4281</v>
      </c>
      <c r="B7168">
        <v>7120</v>
      </c>
      <c r="C7168">
        <v>10068</v>
      </c>
      <c r="D7168">
        <v>14040</v>
      </c>
      <c r="E7168">
        <v>1798</v>
      </c>
      <c r="F7168">
        <v>0</v>
      </c>
      <c r="G7168">
        <v>33026</v>
      </c>
    </row>
    <row r="7169" spans="1:7" x14ac:dyDescent="0.2">
      <c r="A7169" t="s">
        <v>4282</v>
      </c>
      <c r="B7169">
        <v>1041</v>
      </c>
      <c r="C7169">
        <v>2717</v>
      </c>
      <c r="D7169">
        <v>2888</v>
      </c>
      <c r="E7169">
        <v>37</v>
      </c>
      <c r="F7169">
        <v>0</v>
      </c>
      <c r="G7169">
        <v>6684</v>
      </c>
    </row>
    <row r="7170" spans="1:7" x14ac:dyDescent="0.2">
      <c r="A7170" t="s">
        <v>4283</v>
      </c>
      <c r="B7170">
        <v>4652</v>
      </c>
      <c r="C7170">
        <v>4891</v>
      </c>
      <c r="D7170">
        <v>2336</v>
      </c>
      <c r="E7170">
        <v>356</v>
      </c>
      <c r="F7170">
        <v>0</v>
      </c>
      <c r="G7170">
        <v>12234</v>
      </c>
    </row>
    <row r="7171" spans="1:7" x14ac:dyDescent="0.2">
      <c r="A7171" t="s">
        <v>4284</v>
      </c>
      <c r="B7171">
        <v>148</v>
      </c>
      <c r="C7171">
        <v>0</v>
      </c>
      <c r="D7171">
        <v>409</v>
      </c>
      <c r="E7171">
        <v>11</v>
      </c>
      <c r="F7171">
        <v>0</v>
      </c>
      <c r="G7171">
        <v>568</v>
      </c>
    </row>
    <row r="7172" spans="1:7" x14ac:dyDescent="0.2">
      <c r="A7172" t="s">
        <v>4285</v>
      </c>
      <c r="B7172">
        <v>3648</v>
      </c>
      <c r="C7172">
        <v>4880</v>
      </c>
      <c r="D7172">
        <v>5364</v>
      </c>
      <c r="E7172">
        <v>692</v>
      </c>
      <c r="F7172">
        <v>0</v>
      </c>
      <c r="G7172">
        <v>14583</v>
      </c>
    </row>
    <row r="7173" spans="1:7" x14ac:dyDescent="0.2">
      <c r="A7173" t="s">
        <v>4286</v>
      </c>
      <c r="B7173">
        <v>281</v>
      </c>
      <c r="C7173">
        <v>96</v>
      </c>
      <c r="D7173">
        <v>224</v>
      </c>
      <c r="E7173">
        <v>20</v>
      </c>
      <c r="F7173">
        <v>0</v>
      </c>
      <c r="G7173">
        <v>622</v>
      </c>
    </row>
    <row r="7174" spans="1:7" x14ac:dyDescent="0.2">
      <c r="A7174" t="s">
        <v>4287</v>
      </c>
      <c r="B7174">
        <v>0</v>
      </c>
      <c r="C7174">
        <v>0</v>
      </c>
      <c r="D7174">
        <v>0</v>
      </c>
      <c r="E7174">
        <v>45213</v>
      </c>
      <c r="F7174">
        <v>0</v>
      </c>
      <c r="G7174">
        <v>45213</v>
      </c>
    </row>
    <row r="7175" spans="1:7" x14ac:dyDescent="0.2">
      <c r="A7175" t="s">
        <v>4288</v>
      </c>
      <c r="B7175">
        <v>0</v>
      </c>
      <c r="C7175">
        <v>0</v>
      </c>
      <c r="D7175">
        <v>0</v>
      </c>
      <c r="E7175">
        <v>0</v>
      </c>
      <c r="F7175">
        <v>592</v>
      </c>
      <c r="G7175">
        <v>592</v>
      </c>
    </row>
    <row r="7176" spans="1:7" x14ac:dyDescent="0.2">
      <c r="A7176" t="s">
        <v>4289</v>
      </c>
      <c r="B7176">
        <v>0</v>
      </c>
      <c r="C7176">
        <v>0</v>
      </c>
      <c r="D7176">
        <v>0</v>
      </c>
      <c r="E7176">
        <v>0</v>
      </c>
      <c r="F7176">
        <v>47839</v>
      </c>
      <c r="G7176">
        <v>47839</v>
      </c>
    </row>
    <row r="7177" spans="1:7" x14ac:dyDescent="0.2">
      <c r="A7177" t="s">
        <v>4290</v>
      </c>
      <c r="B7177">
        <v>0</v>
      </c>
      <c r="C7177">
        <v>0</v>
      </c>
      <c r="D7177">
        <v>0</v>
      </c>
      <c r="E7177">
        <v>0</v>
      </c>
      <c r="F7177">
        <v>39732</v>
      </c>
      <c r="G7177">
        <v>39732</v>
      </c>
    </row>
    <row r="7178" spans="1:7" x14ac:dyDescent="0.2">
      <c r="A7178" t="s">
        <v>4291</v>
      </c>
      <c r="B7178">
        <v>0</v>
      </c>
      <c r="C7178">
        <v>0</v>
      </c>
      <c r="D7178">
        <v>0</v>
      </c>
      <c r="E7178">
        <v>0</v>
      </c>
      <c r="F7178">
        <v>2345</v>
      </c>
      <c r="G7178">
        <v>2345</v>
      </c>
    </row>
    <row r="7179" spans="1:7" x14ac:dyDescent="0.2">
      <c r="A7179" t="s">
        <v>4292</v>
      </c>
      <c r="B7179">
        <v>0</v>
      </c>
      <c r="C7179">
        <v>0</v>
      </c>
      <c r="D7179">
        <v>0</v>
      </c>
      <c r="E7179">
        <v>0</v>
      </c>
      <c r="F7179">
        <v>533</v>
      </c>
      <c r="G7179">
        <v>533</v>
      </c>
    </row>
    <row r="7180" spans="1:7" x14ac:dyDescent="0.2">
      <c r="A7180" t="s">
        <v>4293</v>
      </c>
      <c r="B7180">
        <v>0</v>
      </c>
      <c r="C7180">
        <v>0</v>
      </c>
      <c r="D7180">
        <v>0</v>
      </c>
      <c r="E7180">
        <v>0</v>
      </c>
      <c r="F7180">
        <v>991</v>
      </c>
      <c r="G7180">
        <v>991</v>
      </c>
    </row>
    <row r="7181" spans="1:7" x14ac:dyDescent="0.2">
      <c r="A7181" t="s">
        <v>4294</v>
      </c>
      <c r="B7181">
        <v>0</v>
      </c>
      <c r="C7181">
        <v>0</v>
      </c>
      <c r="D7181">
        <v>0</v>
      </c>
      <c r="E7181">
        <v>0</v>
      </c>
      <c r="F7181">
        <v>2619</v>
      </c>
      <c r="G7181">
        <v>2619</v>
      </c>
    </row>
    <row r="7182" spans="1:7" x14ac:dyDescent="0.2">
      <c r="A7182" t="s">
        <v>4295</v>
      </c>
      <c r="B7182">
        <v>0</v>
      </c>
      <c r="C7182">
        <v>0</v>
      </c>
      <c r="D7182">
        <v>0</v>
      </c>
      <c r="E7182">
        <v>0</v>
      </c>
      <c r="F7182">
        <v>0</v>
      </c>
      <c r="G7182">
        <v>0</v>
      </c>
    </row>
    <row r="7183" spans="1:7" x14ac:dyDescent="0.2">
      <c r="A7183" t="s">
        <v>4296</v>
      </c>
      <c r="B7183">
        <v>0</v>
      </c>
      <c r="C7183">
        <v>0</v>
      </c>
      <c r="D7183">
        <v>0</v>
      </c>
      <c r="E7183">
        <v>0</v>
      </c>
      <c r="F7183">
        <v>0</v>
      </c>
      <c r="G7183">
        <v>0</v>
      </c>
    </row>
    <row r="7184" spans="1:7" x14ac:dyDescent="0.2">
      <c r="A7184" t="s">
        <v>4297</v>
      </c>
      <c r="B7184">
        <v>953</v>
      </c>
      <c r="C7184">
        <v>4753</v>
      </c>
      <c r="D7184">
        <v>21373</v>
      </c>
      <c r="E7184">
        <v>5564</v>
      </c>
      <c r="F7184">
        <v>0</v>
      </c>
      <c r="G7184">
        <v>32643</v>
      </c>
    </row>
    <row r="7185" spans="1:7" x14ac:dyDescent="0.2">
      <c r="A7185" t="s">
        <v>4298</v>
      </c>
      <c r="B7185">
        <v>237</v>
      </c>
      <c r="C7185">
        <v>694</v>
      </c>
      <c r="D7185">
        <v>903</v>
      </c>
      <c r="E7185">
        <v>4102</v>
      </c>
      <c r="F7185">
        <v>0</v>
      </c>
      <c r="G7185">
        <v>5936</v>
      </c>
    </row>
    <row r="7186" spans="1:7" x14ac:dyDescent="0.2">
      <c r="A7186" t="s">
        <v>4299</v>
      </c>
      <c r="B7186">
        <v>62</v>
      </c>
      <c r="C7186">
        <v>429</v>
      </c>
      <c r="D7186">
        <v>1261</v>
      </c>
      <c r="E7186">
        <v>1498</v>
      </c>
      <c r="F7186">
        <v>0</v>
      </c>
      <c r="G7186">
        <v>3250</v>
      </c>
    </row>
    <row r="7187" spans="1:7" x14ac:dyDescent="0.2">
      <c r="A7187" t="s">
        <v>4300</v>
      </c>
      <c r="B7187">
        <v>1</v>
      </c>
      <c r="C7187">
        <v>9</v>
      </c>
      <c r="D7187">
        <v>33</v>
      </c>
      <c r="E7187">
        <v>29</v>
      </c>
      <c r="F7187">
        <v>0</v>
      </c>
      <c r="G7187">
        <v>71</v>
      </c>
    </row>
    <row r="7188" spans="1:7" x14ac:dyDescent="0.2">
      <c r="A7188" t="s">
        <v>4301</v>
      </c>
      <c r="B7188">
        <v>0</v>
      </c>
      <c r="C7188">
        <v>2962</v>
      </c>
      <c r="D7188">
        <v>11119</v>
      </c>
      <c r="E7188">
        <v>5756</v>
      </c>
      <c r="F7188">
        <v>0</v>
      </c>
      <c r="G7188">
        <v>19837</v>
      </c>
    </row>
    <row r="7189" spans="1:7" x14ac:dyDescent="0.2">
      <c r="A7189" t="s">
        <v>4302</v>
      </c>
      <c r="B7189">
        <v>24</v>
      </c>
      <c r="C7189">
        <v>384</v>
      </c>
      <c r="D7189">
        <v>959</v>
      </c>
      <c r="E7189">
        <v>356</v>
      </c>
      <c r="F7189">
        <v>0</v>
      </c>
      <c r="G7189">
        <v>1722</v>
      </c>
    </row>
    <row r="7190" spans="1:7" x14ac:dyDescent="0.2">
      <c r="A7190" t="s">
        <v>4303</v>
      </c>
      <c r="B7190">
        <v>24</v>
      </c>
      <c r="C7190">
        <v>347</v>
      </c>
      <c r="D7190">
        <v>1252</v>
      </c>
      <c r="E7190">
        <v>292</v>
      </c>
      <c r="F7190">
        <v>0</v>
      </c>
      <c r="G7190">
        <v>1915</v>
      </c>
    </row>
    <row r="7191" spans="1:7" x14ac:dyDescent="0.2">
      <c r="A7191" t="s">
        <v>4304</v>
      </c>
      <c r="B7191">
        <v>75</v>
      </c>
      <c r="C7191">
        <v>156</v>
      </c>
      <c r="D7191">
        <v>469</v>
      </c>
      <c r="E7191">
        <v>0</v>
      </c>
      <c r="F7191">
        <v>0</v>
      </c>
      <c r="G7191">
        <v>700</v>
      </c>
    </row>
    <row r="7192" spans="1:7" x14ac:dyDescent="0.2">
      <c r="A7192" t="s">
        <v>4305</v>
      </c>
      <c r="B7192">
        <v>150</v>
      </c>
      <c r="C7192">
        <v>380</v>
      </c>
      <c r="D7192">
        <v>602</v>
      </c>
      <c r="E7192">
        <v>200</v>
      </c>
      <c r="F7192">
        <v>0</v>
      </c>
      <c r="G7192">
        <v>1331</v>
      </c>
    </row>
    <row r="7193" spans="1:7" x14ac:dyDescent="0.2">
      <c r="A7193" t="s">
        <v>4306</v>
      </c>
      <c r="B7193">
        <v>4</v>
      </c>
      <c r="C7193">
        <v>66</v>
      </c>
      <c r="D7193">
        <v>37</v>
      </c>
      <c r="E7193">
        <v>62</v>
      </c>
      <c r="F7193">
        <v>0</v>
      </c>
      <c r="G7193">
        <v>170</v>
      </c>
    </row>
    <row r="7194" spans="1:7" x14ac:dyDescent="0.2">
      <c r="A7194" t="s">
        <v>4307</v>
      </c>
      <c r="B7194">
        <v>28</v>
      </c>
      <c r="C7194">
        <v>203</v>
      </c>
      <c r="D7194">
        <v>1682</v>
      </c>
      <c r="E7194">
        <v>929</v>
      </c>
      <c r="F7194">
        <v>0</v>
      </c>
      <c r="G7194">
        <v>2842</v>
      </c>
    </row>
    <row r="7195" spans="1:7" x14ac:dyDescent="0.2">
      <c r="A7195" t="s">
        <v>4308</v>
      </c>
      <c r="B7195">
        <v>0</v>
      </c>
      <c r="C7195">
        <v>0</v>
      </c>
      <c r="D7195">
        <v>3</v>
      </c>
      <c r="E7195">
        <v>0</v>
      </c>
      <c r="F7195">
        <v>0</v>
      </c>
      <c r="G7195">
        <v>3</v>
      </c>
    </row>
    <row r="7196" spans="1:7" x14ac:dyDescent="0.2">
      <c r="A7196" t="s">
        <v>4309</v>
      </c>
      <c r="B7196">
        <v>0</v>
      </c>
      <c r="C7196">
        <v>0</v>
      </c>
      <c r="D7196">
        <v>0</v>
      </c>
      <c r="E7196">
        <v>0</v>
      </c>
      <c r="F7196">
        <v>0</v>
      </c>
      <c r="G7196">
        <v>0</v>
      </c>
    </row>
    <row r="7197" spans="1:7" x14ac:dyDescent="0.2">
      <c r="A7197" t="s">
        <v>4310</v>
      </c>
      <c r="B7197">
        <v>0</v>
      </c>
      <c r="C7197">
        <v>0</v>
      </c>
      <c r="D7197">
        <v>0</v>
      </c>
      <c r="E7197">
        <v>0</v>
      </c>
      <c r="F7197">
        <v>0</v>
      </c>
      <c r="G7197">
        <v>0</v>
      </c>
    </row>
    <row r="7198" spans="1:7" x14ac:dyDescent="0.2">
      <c r="A7198" t="s">
        <v>4311</v>
      </c>
      <c r="B7198">
        <v>0</v>
      </c>
      <c r="C7198">
        <v>0</v>
      </c>
      <c r="D7198">
        <v>0</v>
      </c>
      <c r="E7198">
        <v>61</v>
      </c>
      <c r="F7198">
        <v>11</v>
      </c>
      <c r="G7198">
        <v>72</v>
      </c>
    </row>
    <row r="7199" spans="1:7" x14ac:dyDescent="0.2">
      <c r="A7199" t="s">
        <v>4312</v>
      </c>
      <c r="B7199">
        <v>0</v>
      </c>
      <c r="C7199">
        <v>0</v>
      </c>
      <c r="D7199">
        <v>0</v>
      </c>
      <c r="E7199">
        <v>59</v>
      </c>
      <c r="F7199">
        <v>0</v>
      </c>
      <c r="G7199">
        <v>59</v>
      </c>
    </row>
    <row r="7200" spans="1:7" x14ac:dyDescent="0.2">
      <c r="A7200" t="s">
        <v>4313</v>
      </c>
      <c r="B7200">
        <v>0</v>
      </c>
      <c r="C7200">
        <v>0</v>
      </c>
      <c r="D7200">
        <v>0</v>
      </c>
      <c r="E7200">
        <v>0</v>
      </c>
      <c r="F7200">
        <v>0</v>
      </c>
      <c r="G7200">
        <v>0</v>
      </c>
    </row>
    <row r="7201" spans="1:7" x14ac:dyDescent="0.2">
      <c r="A7201" t="s">
        <v>4314</v>
      </c>
      <c r="B7201">
        <v>0</v>
      </c>
      <c r="C7201">
        <v>0</v>
      </c>
      <c r="D7201">
        <v>0</v>
      </c>
      <c r="E7201">
        <v>0</v>
      </c>
      <c r="F7201">
        <v>0</v>
      </c>
      <c r="G7201">
        <v>0</v>
      </c>
    </row>
    <row r="7202" spans="1:7" x14ac:dyDescent="0.2">
      <c r="A7202" t="s">
        <v>4315</v>
      </c>
      <c r="B7202">
        <v>0</v>
      </c>
      <c r="C7202">
        <v>0</v>
      </c>
      <c r="D7202">
        <v>0</v>
      </c>
      <c r="E7202">
        <v>0</v>
      </c>
      <c r="F7202">
        <v>0</v>
      </c>
      <c r="G7202">
        <v>0</v>
      </c>
    </row>
    <row r="7203" spans="1:7" x14ac:dyDescent="0.2">
      <c r="A7203" t="s">
        <v>4316</v>
      </c>
      <c r="B7203">
        <v>0</v>
      </c>
      <c r="C7203">
        <v>0</v>
      </c>
      <c r="D7203">
        <v>0</v>
      </c>
      <c r="E7203">
        <v>0</v>
      </c>
      <c r="F7203">
        <v>0</v>
      </c>
      <c r="G7203">
        <v>0</v>
      </c>
    </row>
    <row r="7204" spans="1:7" x14ac:dyDescent="0.2">
      <c r="A7204" t="s">
        <v>4317</v>
      </c>
      <c r="B7204">
        <v>0</v>
      </c>
      <c r="C7204">
        <v>0</v>
      </c>
      <c r="D7204">
        <v>0</v>
      </c>
      <c r="E7204">
        <v>0</v>
      </c>
      <c r="F7204">
        <v>0</v>
      </c>
      <c r="G7204">
        <v>0</v>
      </c>
    </row>
    <row r="7205" spans="1:7" x14ac:dyDescent="0.2">
      <c r="A7205" t="s">
        <v>4318</v>
      </c>
      <c r="B7205">
        <v>0</v>
      </c>
      <c r="C7205">
        <v>0</v>
      </c>
      <c r="D7205">
        <v>0</v>
      </c>
      <c r="E7205">
        <v>0</v>
      </c>
      <c r="F7205">
        <v>0</v>
      </c>
      <c r="G7205">
        <v>0</v>
      </c>
    </row>
    <row r="7206" spans="1:7" x14ac:dyDescent="0.2">
      <c r="A7206" t="s">
        <v>4319</v>
      </c>
      <c r="B7206">
        <v>0</v>
      </c>
      <c r="C7206">
        <v>0</v>
      </c>
      <c r="D7206">
        <v>0</v>
      </c>
      <c r="E7206">
        <v>0</v>
      </c>
      <c r="F7206">
        <v>0</v>
      </c>
      <c r="G7206">
        <v>0</v>
      </c>
    </row>
    <row r="7207" spans="1:7" x14ac:dyDescent="0.2">
      <c r="A7207" t="s">
        <v>4320</v>
      </c>
      <c r="B7207">
        <v>0</v>
      </c>
      <c r="C7207">
        <v>0</v>
      </c>
      <c r="D7207">
        <v>0</v>
      </c>
      <c r="E7207">
        <v>0</v>
      </c>
      <c r="F7207">
        <v>0</v>
      </c>
      <c r="G7207">
        <v>0</v>
      </c>
    </row>
    <row r="7208" spans="1:7" x14ac:dyDescent="0.2">
      <c r="A7208" t="s">
        <v>4321</v>
      </c>
      <c r="B7208">
        <v>0</v>
      </c>
      <c r="C7208">
        <v>0</v>
      </c>
      <c r="D7208">
        <v>0</v>
      </c>
      <c r="E7208">
        <v>0</v>
      </c>
      <c r="F7208">
        <v>0</v>
      </c>
      <c r="G7208">
        <v>0</v>
      </c>
    </row>
    <row r="7209" spans="1:7" x14ac:dyDescent="0.2">
      <c r="A7209" t="s">
        <v>4322</v>
      </c>
      <c r="B7209">
        <v>0</v>
      </c>
      <c r="C7209">
        <v>0</v>
      </c>
      <c r="D7209">
        <v>0</v>
      </c>
      <c r="E7209">
        <v>0</v>
      </c>
      <c r="F7209">
        <v>0</v>
      </c>
      <c r="G7209">
        <v>0</v>
      </c>
    </row>
    <row r="7210" spans="1:7" x14ac:dyDescent="0.2">
      <c r="A7210" t="s">
        <v>4323</v>
      </c>
      <c r="B7210">
        <v>0</v>
      </c>
      <c r="C7210">
        <v>0</v>
      </c>
      <c r="D7210">
        <v>0</v>
      </c>
      <c r="E7210">
        <v>0</v>
      </c>
      <c r="F7210">
        <v>0</v>
      </c>
      <c r="G7210">
        <v>0</v>
      </c>
    </row>
    <row r="7211" spans="1:7" x14ac:dyDescent="0.2">
      <c r="A7211" t="s">
        <v>4324</v>
      </c>
      <c r="B7211">
        <v>0</v>
      </c>
      <c r="C7211">
        <v>0</v>
      </c>
      <c r="D7211">
        <v>0</v>
      </c>
      <c r="E7211">
        <v>0</v>
      </c>
      <c r="F7211">
        <v>0</v>
      </c>
      <c r="G7211">
        <v>0</v>
      </c>
    </row>
    <row r="7212" spans="1:7" x14ac:dyDescent="0.2">
      <c r="A7212" t="s">
        <v>4325</v>
      </c>
      <c r="B7212">
        <v>0</v>
      </c>
      <c r="C7212">
        <v>0</v>
      </c>
      <c r="D7212">
        <v>0</v>
      </c>
      <c r="E7212">
        <v>0</v>
      </c>
      <c r="F7212">
        <v>0</v>
      </c>
      <c r="G7212">
        <v>0</v>
      </c>
    </row>
    <row r="7213" spans="1:7" x14ac:dyDescent="0.2">
      <c r="A7213" t="s">
        <v>4326</v>
      </c>
      <c r="B7213">
        <v>0</v>
      </c>
      <c r="C7213">
        <v>0</v>
      </c>
      <c r="D7213">
        <v>0</v>
      </c>
      <c r="E7213">
        <v>0</v>
      </c>
      <c r="F7213">
        <v>0</v>
      </c>
      <c r="G7213">
        <v>0</v>
      </c>
    </row>
    <row r="7214" spans="1:7" x14ac:dyDescent="0.2">
      <c r="A7214" t="s">
        <v>4327</v>
      </c>
      <c r="B7214">
        <v>0</v>
      </c>
      <c r="C7214">
        <v>0</v>
      </c>
      <c r="D7214">
        <v>0</v>
      </c>
      <c r="E7214">
        <v>0</v>
      </c>
      <c r="F7214">
        <v>0</v>
      </c>
      <c r="G7214">
        <v>0</v>
      </c>
    </row>
    <row r="7215" spans="1:7" x14ac:dyDescent="0.2">
      <c r="A7215" t="s">
        <v>4328</v>
      </c>
      <c r="B7215">
        <v>0</v>
      </c>
      <c r="C7215">
        <v>0</v>
      </c>
      <c r="D7215">
        <v>0</v>
      </c>
      <c r="E7215">
        <v>0</v>
      </c>
      <c r="F7215">
        <v>0</v>
      </c>
      <c r="G7215">
        <v>0</v>
      </c>
    </row>
    <row r="7216" spans="1:7" x14ac:dyDescent="0.2">
      <c r="A7216" t="s">
        <v>4329</v>
      </c>
      <c r="B7216">
        <v>0</v>
      </c>
      <c r="C7216">
        <v>0</v>
      </c>
      <c r="D7216">
        <v>0</v>
      </c>
      <c r="E7216">
        <v>0</v>
      </c>
      <c r="F7216">
        <v>0</v>
      </c>
      <c r="G7216">
        <v>0</v>
      </c>
    </row>
    <row r="7217" spans="1:7" x14ac:dyDescent="0.2">
      <c r="A7217" t="s">
        <v>4330</v>
      </c>
      <c r="B7217">
        <v>0</v>
      </c>
      <c r="C7217">
        <v>0</v>
      </c>
      <c r="D7217">
        <v>0</v>
      </c>
      <c r="E7217">
        <v>0</v>
      </c>
      <c r="F7217">
        <v>0</v>
      </c>
      <c r="G7217">
        <v>0</v>
      </c>
    </row>
    <row r="7218" spans="1:7" x14ac:dyDescent="0.2">
      <c r="A7218" t="s">
        <v>4331</v>
      </c>
      <c r="B7218">
        <v>0</v>
      </c>
      <c r="C7218">
        <v>0</v>
      </c>
      <c r="D7218">
        <v>0</v>
      </c>
      <c r="E7218">
        <v>0</v>
      </c>
      <c r="F7218">
        <v>0</v>
      </c>
      <c r="G7218">
        <v>0</v>
      </c>
    </row>
    <row r="7219" spans="1:7" x14ac:dyDescent="0.2">
      <c r="A7219" t="s">
        <v>4332</v>
      </c>
      <c r="B7219">
        <v>0</v>
      </c>
      <c r="C7219">
        <v>0</v>
      </c>
      <c r="D7219">
        <v>0</v>
      </c>
      <c r="E7219">
        <v>0</v>
      </c>
      <c r="F7219">
        <v>0</v>
      </c>
      <c r="G7219">
        <v>0</v>
      </c>
    </row>
    <row r="7220" spans="1:7" x14ac:dyDescent="0.2">
      <c r="A7220" t="s">
        <v>4333</v>
      </c>
      <c r="B7220">
        <v>0</v>
      </c>
      <c r="C7220">
        <v>0</v>
      </c>
      <c r="D7220">
        <v>0</v>
      </c>
      <c r="E7220">
        <v>0</v>
      </c>
      <c r="F7220">
        <v>0</v>
      </c>
      <c r="G7220">
        <v>0</v>
      </c>
    </row>
    <row r="7221" spans="1:7" x14ac:dyDescent="0.2">
      <c r="A7221" t="s">
        <v>4334</v>
      </c>
      <c r="B7221">
        <v>0</v>
      </c>
      <c r="C7221">
        <v>0</v>
      </c>
      <c r="D7221">
        <v>0</v>
      </c>
      <c r="E7221">
        <v>0</v>
      </c>
      <c r="F7221">
        <v>0</v>
      </c>
      <c r="G7221">
        <v>0</v>
      </c>
    </row>
    <row r="7222" spans="1:7" x14ac:dyDescent="0.2">
      <c r="A7222" t="s">
        <v>4335</v>
      </c>
      <c r="B7222">
        <v>0</v>
      </c>
      <c r="C7222">
        <v>0</v>
      </c>
      <c r="D7222">
        <v>0</v>
      </c>
      <c r="E7222">
        <v>0</v>
      </c>
      <c r="F7222">
        <v>0</v>
      </c>
      <c r="G7222">
        <v>0</v>
      </c>
    </row>
    <row r="7223" spans="1:7" x14ac:dyDescent="0.2">
      <c r="A7223" t="s">
        <v>4336</v>
      </c>
      <c r="B7223">
        <v>0</v>
      </c>
      <c r="C7223">
        <v>0</v>
      </c>
      <c r="D7223">
        <v>0</v>
      </c>
      <c r="E7223">
        <v>0</v>
      </c>
      <c r="F7223">
        <v>0</v>
      </c>
      <c r="G7223">
        <v>0</v>
      </c>
    </row>
    <row r="7224" spans="1:7" x14ac:dyDescent="0.2">
      <c r="A7224" t="s">
        <v>4337</v>
      </c>
      <c r="B7224">
        <v>0</v>
      </c>
      <c r="C7224">
        <v>0</v>
      </c>
      <c r="D7224">
        <v>0</v>
      </c>
      <c r="E7224">
        <v>0</v>
      </c>
      <c r="F7224">
        <v>0</v>
      </c>
      <c r="G7224">
        <v>0</v>
      </c>
    </row>
    <row r="7225" spans="1:7" x14ac:dyDescent="0.2">
      <c r="A7225" t="s">
        <v>4338</v>
      </c>
      <c r="B7225">
        <v>0</v>
      </c>
      <c r="C7225">
        <v>0</v>
      </c>
      <c r="D7225">
        <v>0</v>
      </c>
      <c r="E7225">
        <v>0</v>
      </c>
      <c r="F7225">
        <v>0</v>
      </c>
      <c r="G7225">
        <v>0</v>
      </c>
    </row>
    <row r="7226" spans="1:7" x14ac:dyDescent="0.2">
      <c r="A7226" t="s">
        <v>4339</v>
      </c>
      <c r="B7226">
        <v>0</v>
      </c>
      <c r="C7226">
        <v>0</v>
      </c>
      <c r="D7226">
        <v>0</v>
      </c>
      <c r="E7226">
        <v>0</v>
      </c>
      <c r="F7226">
        <v>0</v>
      </c>
      <c r="G7226">
        <v>0</v>
      </c>
    </row>
    <row r="7227" spans="1:7" x14ac:dyDescent="0.2">
      <c r="A7227" t="s">
        <v>4340</v>
      </c>
      <c r="B7227">
        <v>0</v>
      </c>
      <c r="C7227">
        <v>0</v>
      </c>
      <c r="D7227">
        <v>0</v>
      </c>
      <c r="E7227">
        <v>0</v>
      </c>
      <c r="F7227">
        <v>0</v>
      </c>
      <c r="G7227">
        <v>0</v>
      </c>
    </row>
    <row r="7228" spans="1:7" x14ac:dyDescent="0.2">
      <c r="A7228" t="s">
        <v>4341</v>
      </c>
      <c r="B7228">
        <v>0</v>
      </c>
      <c r="C7228">
        <v>0</v>
      </c>
      <c r="D7228">
        <v>0</v>
      </c>
      <c r="E7228">
        <v>0</v>
      </c>
      <c r="F7228">
        <v>0</v>
      </c>
      <c r="G7228">
        <v>0</v>
      </c>
    </row>
    <row r="7229" spans="1:7" x14ac:dyDescent="0.2">
      <c r="A7229" t="s">
        <v>4342</v>
      </c>
      <c r="B7229">
        <v>0</v>
      </c>
      <c r="C7229">
        <v>0</v>
      </c>
      <c r="D7229">
        <v>0</v>
      </c>
      <c r="E7229">
        <v>0</v>
      </c>
      <c r="F7229">
        <v>0</v>
      </c>
      <c r="G7229">
        <v>0</v>
      </c>
    </row>
    <row r="7230" spans="1:7" x14ac:dyDescent="0.2">
      <c r="A7230" t="s">
        <v>4343</v>
      </c>
      <c r="B7230">
        <v>0</v>
      </c>
      <c r="C7230">
        <v>0</v>
      </c>
      <c r="D7230">
        <v>0</v>
      </c>
      <c r="E7230">
        <v>0</v>
      </c>
      <c r="F7230">
        <v>0</v>
      </c>
      <c r="G7230">
        <v>0</v>
      </c>
    </row>
    <row r="7231" spans="1:7" x14ac:dyDescent="0.2">
      <c r="A7231" t="s">
        <v>1728</v>
      </c>
      <c r="B7231">
        <v>0</v>
      </c>
      <c r="C7231">
        <v>0</v>
      </c>
      <c r="D7231">
        <v>0</v>
      </c>
      <c r="E7231">
        <v>0</v>
      </c>
      <c r="F7231">
        <v>0</v>
      </c>
      <c r="G7231">
        <v>0</v>
      </c>
    </row>
    <row r="7232" spans="1:7" x14ac:dyDescent="0.2">
      <c r="A7232" t="s">
        <v>1730</v>
      </c>
      <c r="B7232">
        <v>0</v>
      </c>
      <c r="C7232">
        <v>1</v>
      </c>
      <c r="D7232">
        <v>2</v>
      </c>
      <c r="E7232">
        <v>0</v>
      </c>
      <c r="F7232">
        <v>0</v>
      </c>
      <c r="G7232">
        <v>4</v>
      </c>
    </row>
    <row r="7233" spans="1:7" x14ac:dyDescent="0.2">
      <c r="A7233" t="s">
        <v>1733</v>
      </c>
      <c r="B7233">
        <v>0</v>
      </c>
      <c r="C7233">
        <v>0</v>
      </c>
      <c r="D7233">
        <v>0</v>
      </c>
      <c r="E7233">
        <v>0</v>
      </c>
      <c r="F7233">
        <v>0</v>
      </c>
      <c r="G7233">
        <v>0</v>
      </c>
    </row>
    <row r="7234" spans="1:7" x14ac:dyDescent="0.2">
      <c r="A7234" t="s">
        <v>1738</v>
      </c>
      <c r="B7234">
        <v>0</v>
      </c>
      <c r="C7234">
        <v>0</v>
      </c>
      <c r="D7234">
        <v>0</v>
      </c>
      <c r="E7234">
        <v>0</v>
      </c>
      <c r="F7234">
        <v>0</v>
      </c>
      <c r="G7234">
        <v>0</v>
      </c>
    </row>
    <row r="7235" spans="1:7" x14ac:dyDescent="0.2">
      <c r="A7235" t="s">
        <v>1744</v>
      </c>
      <c r="B7235">
        <v>0</v>
      </c>
      <c r="C7235">
        <v>0</v>
      </c>
      <c r="D7235">
        <v>0</v>
      </c>
      <c r="E7235">
        <v>0</v>
      </c>
      <c r="F7235">
        <v>0</v>
      </c>
      <c r="G7235">
        <v>0</v>
      </c>
    </row>
    <row r="7236" spans="1:7" x14ac:dyDescent="0.2">
      <c r="A7236" t="s">
        <v>1747</v>
      </c>
      <c r="B7236">
        <v>0</v>
      </c>
      <c r="C7236">
        <v>0</v>
      </c>
      <c r="D7236">
        <v>0</v>
      </c>
      <c r="E7236">
        <v>0</v>
      </c>
      <c r="F7236">
        <v>0</v>
      </c>
      <c r="G7236">
        <v>0</v>
      </c>
    </row>
    <row r="7237" spans="1:7" x14ac:dyDescent="0.2">
      <c r="A7237" t="s">
        <v>1751</v>
      </c>
      <c r="B7237">
        <v>0</v>
      </c>
      <c r="C7237">
        <v>0</v>
      </c>
      <c r="D7237">
        <v>0</v>
      </c>
      <c r="E7237">
        <v>0</v>
      </c>
      <c r="F7237">
        <v>0</v>
      </c>
      <c r="G7237">
        <v>0</v>
      </c>
    </row>
    <row r="7238" spans="1:7" x14ac:dyDescent="0.2">
      <c r="A7238" t="s">
        <v>1755</v>
      </c>
      <c r="B7238">
        <v>0</v>
      </c>
      <c r="C7238">
        <v>0</v>
      </c>
      <c r="D7238">
        <v>0</v>
      </c>
      <c r="E7238">
        <v>0</v>
      </c>
      <c r="F7238">
        <v>0</v>
      </c>
      <c r="G7238">
        <v>0</v>
      </c>
    </row>
    <row r="7239" spans="1:7" x14ac:dyDescent="0.2">
      <c r="A7239" t="s">
        <v>1757</v>
      </c>
      <c r="B7239">
        <v>0</v>
      </c>
      <c r="C7239">
        <v>0</v>
      </c>
      <c r="D7239">
        <v>0</v>
      </c>
      <c r="E7239">
        <v>0</v>
      </c>
      <c r="F7239">
        <v>0</v>
      </c>
      <c r="G7239">
        <v>0</v>
      </c>
    </row>
    <row r="7240" spans="1:7" x14ac:dyDescent="0.2">
      <c r="A7240" t="s">
        <v>1761</v>
      </c>
      <c r="B7240">
        <v>0</v>
      </c>
      <c r="C7240">
        <v>0</v>
      </c>
      <c r="D7240">
        <v>0</v>
      </c>
      <c r="E7240">
        <v>0</v>
      </c>
      <c r="F7240">
        <v>0</v>
      </c>
      <c r="G7240">
        <v>0</v>
      </c>
    </row>
    <row r="7241" spans="1:7" x14ac:dyDescent="0.2">
      <c r="A7241" t="s">
        <v>1764</v>
      </c>
      <c r="B7241">
        <v>0</v>
      </c>
      <c r="C7241">
        <v>0</v>
      </c>
      <c r="D7241">
        <v>0</v>
      </c>
      <c r="E7241">
        <v>0</v>
      </c>
      <c r="F7241">
        <v>0</v>
      </c>
      <c r="G7241">
        <v>0</v>
      </c>
    </row>
    <row r="7242" spans="1:7" x14ac:dyDescent="0.2">
      <c r="A7242" t="s">
        <v>1770</v>
      </c>
      <c r="B7242">
        <v>0</v>
      </c>
      <c r="C7242">
        <v>18</v>
      </c>
      <c r="D7242">
        <v>187</v>
      </c>
      <c r="E7242">
        <v>144</v>
      </c>
      <c r="F7242">
        <v>0</v>
      </c>
      <c r="G7242">
        <v>350</v>
      </c>
    </row>
    <row r="7243" spans="1:7" x14ac:dyDescent="0.2">
      <c r="A7243" t="s">
        <v>1772</v>
      </c>
      <c r="B7243">
        <v>0</v>
      </c>
      <c r="C7243">
        <v>0</v>
      </c>
      <c r="D7243">
        <v>0</v>
      </c>
      <c r="E7243">
        <v>87</v>
      </c>
      <c r="F7243">
        <v>0</v>
      </c>
      <c r="G7243">
        <v>87</v>
      </c>
    </row>
    <row r="7244" spans="1:7" x14ac:dyDescent="0.2">
      <c r="A7244" t="s">
        <v>1774</v>
      </c>
      <c r="B7244">
        <v>0</v>
      </c>
      <c r="C7244">
        <v>0</v>
      </c>
      <c r="D7244">
        <v>0</v>
      </c>
      <c r="E7244">
        <v>0</v>
      </c>
      <c r="F7244">
        <v>0</v>
      </c>
      <c r="G7244">
        <v>0</v>
      </c>
    </row>
    <row r="7245" spans="1:7" x14ac:dyDescent="0.2">
      <c r="A7245" t="s">
        <v>1777</v>
      </c>
      <c r="B7245">
        <v>0</v>
      </c>
      <c r="C7245">
        <v>0</v>
      </c>
      <c r="D7245">
        <v>0</v>
      </c>
      <c r="E7245">
        <v>0</v>
      </c>
      <c r="F7245">
        <v>0</v>
      </c>
      <c r="G7245">
        <v>0</v>
      </c>
    </row>
    <row r="7246" spans="1:7" x14ac:dyDescent="0.2">
      <c r="A7246" t="s">
        <v>1782</v>
      </c>
      <c r="B7246">
        <v>0</v>
      </c>
      <c r="C7246">
        <v>0</v>
      </c>
      <c r="D7246">
        <v>0</v>
      </c>
      <c r="E7246">
        <v>0</v>
      </c>
      <c r="F7246">
        <v>0</v>
      </c>
      <c r="G7246">
        <v>0</v>
      </c>
    </row>
    <row r="7247" spans="1:7" x14ac:dyDescent="0.2">
      <c r="A7247" t="s">
        <v>1274</v>
      </c>
      <c r="B7247">
        <v>0</v>
      </c>
      <c r="C7247">
        <v>0</v>
      </c>
      <c r="D7247">
        <v>0</v>
      </c>
      <c r="E7247">
        <v>0</v>
      </c>
      <c r="F7247">
        <v>0</v>
      </c>
      <c r="G7247">
        <v>0</v>
      </c>
    </row>
    <row r="7248" spans="1:7" x14ac:dyDescent="0.2">
      <c r="A7248" t="s">
        <v>1277</v>
      </c>
      <c r="B7248">
        <v>0</v>
      </c>
      <c r="C7248">
        <v>0</v>
      </c>
      <c r="D7248">
        <v>0</v>
      </c>
      <c r="E7248">
        <v>0</v>
      </c>
      <c r="F7248">
        <v>0</v>
      </c>
      <c r="G7248">
        <v>0</v>
      </c>
    </row>
    <row r="7249" spans="1:7" x14ac:dyDescent="0.2">
      <c r="A7249" t="s">
        <v>1798</v>
      </c>
      <c r="B7249">
        <v>0</v>
      </c>
      <c r="C7249">
        <v>0</v>
      </c>
      <c r="D7249">
        <v>0</v>
      </c>
      <c r="E7249">
        <v>0</v>
      </c>
      <c r="F7249">
        <v>0</v>
      </c>
      <c r="G7249">
        <v>0</v>
      </c>
    </row>
    <row r="7250" spans="1:7" x14ac:dyDescent="0.2">
      <c r="A7250" t="s">
        <v>1803</v>
      </c>
      <c r="B7250">
        <v>0</v>
      </c>
      <c r="C7250">
        <v>0</v>
      </c>
      <c r="D7250">
        <v>0</v>
      </c>
      <c r="E7250">
        <v>0</v>
      </c>
      <c r="F7250">
        <v>0</v>
      </c>
      <c r="G7250">
        <v>0</v>
      </c>
    </row>
    <row r="7251" spans="1:7" x14ac:dyDescent="0.2">
      <c r="A7251" t="s">
        <v>1808</v>
      </c>
      <c r="B7251">
        <v>0</v>
      </c>
      <c r="C7251">
        <v>0</v>
      </c>
      <c r="D7251">
        <v>0</v>
      </c>
      <c r="E7251">
        <v>0</v>
      </c>
      <c r="F7251">
        <v>0</v>
      </c>
      <c r="G7251">
        <v>0</v>
      </c>
    </row>
    <row r="7252" spans="1:7" x14ac:dyDescent="0.2">
      <c r="A7252" t="s">
        <v>1813</v>
      </c>
      <c r="B7252">
        <v>0</v>
      </c>
      <c r="C7252">
        <v>0</v>
      </c>
      <c r="D7252">
        <v>0</v>
      </c>
      <c r="E7252">
        <v>0</v>
      </c>
      <c r="F7252">
        <v>0</v>
      </c>
      <c r="G7252">
        <v>0</v>
      </c>
    </row>
    <row r="7253" spans="1:7" x14ac:dyDescent="0.2">
      <c r="A7253" t="s">
        <v>1819</v>
      </c>
      <c r="B7253">
        <v>0</v>
      </c>
      <c r="C7253">
        <v>0</v>
      </c>
      <c r="D7253">
        <v>0</v>
      </c>
      <c r="E7253">
        <v>0</v>
      </c>
      <c r="F7253">
        <v>0</v>
      </c>
      <c r="G7253">
        <v>0</v>
      </c>
    </row>
    <row r="7254" spans="1:7" x14ac:dyDescent="0.2">
      <c r="A7254" t="s">
        <v>1826</v>
      </c>
      <c r="B7254">
        <v>0</v>
      </c>
      <c r="C7254">
        <v>0</v>
      </c>
      <c r="D7254">
        <v>0</v>
      </c>
      <c r="E7254">
        <v>0</v>
      </c>
      <c r="F7254">
        <v>0</v>
      </c>
      <c r="G7254">
        <v>0</v>
      </c>
    </row>
    <row r="7255" spans="1:7" x14ac:dyDescent="0.2">
      <c r="A7255" t="s">
        <v>1830</v>
      </c>
      <c r="B7255">
        <v>0</v>
      </c>
      <c r="C7255">
        <v>0</v>
      </c>
      <c r="D7255">
        <v>0</v>
      </c>
      <c r="E7255">
        <v>0</v>
      </c>
      <c r="F7255">
        <v>0</v>
      </c>
      <c r="G7255">
        <v>0</v>
      </c>
    </row>
    <row r="7256" spans="1:7" x14ac:dyDescent="0.2">
      <c r="A7256" t="s">
        <v>1836</v>
      </c>
      <c r="B7256">
        <v>0</v>
      </c>
      <c r="C7256">
        <v>0</v>
      </c>
      <c r="D7256">
        <v>0</v>
      </c>
      <c r="E7256">
        <v>0</v>
      </c>
      <c r="F7256">
        <v>0</v>
      </c>
      <c r="G7256">
        <v>0</v>
      </c>
    </row>
    <row r="7257" spans="1:7" x14ac:dyDescent="0.2">
      <c r="A7257" t="s">
        <v>1841</v>
      </c>
      <c r="B7257">
        <v>0</v>
      </c>
      <c r="C7257">
        <v>0</v>
      </c>
      <c r="D7257">
        <v>0</v>
      </c>
      <c r="E7257">
        <v>0</v>
      </c>
      <c r="F7257">
        <v>0</v>
      </c>
      <c r="G7257">
        <v>0</v>
      </c>
    </row>
    <row r="7258" spans="1:7" x14ac:dyDescent="0.2">
      <c r="A7258" t="s">
        <v>1842</v>
      </c>
      <c r="B7258">
        <v>0</v>
      </c>
      <c r="C7258">
        <v>0</v>
      </c>
      <c r="D7258">
        <v>0</v>
      </c>
      <c r="E7258">
        <v>0</v>
      </c>
      <c r="F7258">
        <v>0</v>
      </c>
      <c r="G7258">
        <v>0</v>
      </c>
    </row>
    <row r="7259" spans="1:7" x14ac:dyDescent="0.2">
      <c r="A7259" t="s">
        <v>1843</v>
      </c>
      <c r="B7259">
        <v>0</v>
      </c>
      <c r="C7259">
        <v>0</v>
      </c>
      <c r="D7259">
        <v>0</v>
      </c>
      <c r="E7259">
        <v>0</v>
      </c>
      <c r="F7259">
        <v>0</v>
      </c>
      <c r="G7259">
        <v>0</v>
      </c>
    </row>
    <row r="7260" spans="1:7" x14ac:dyDescent="0.2">
      <c r="A7260" t="s">
        <v>1846</v>
      </c>
      <c r="B7260">
        <v>0</v>
      </c>
      <c r="C7260">
        <v>0</v>
      </c>
      <c r="D7260">
        <v>0</v>
      </c>
      <c r="E7260">
        <v>0</v>
      </c>
      <c r="F7260">
        <v>0</v>
      </c>
      <c r="G7260">
        <v>0</v>
      </c>
    </row>
    <row r="7261" spans="1:7" x14ac:dyDescent="0.2">
      <c r="A7261" t="s">
        <v>1851</v>
      </c>
      <c r="B7261">
        <v>0</v>
      </c>
      <c r="C7261">
        <v>0</v>
      </c>
      <c r="D7261">
        <v>0</v>
      </c>
      <c r="E7261">
        <v>0</v>
      </c>
      <c r="F7261">
        <v>0</v>
      </c>
      <c r="G7261">
        <v>0</v>
      </c>
    </row>
    <row r="7262" spans="1:7" x14ac:dyDescent="0.2">
      <c r="A7262" t="s">
        <v>1857</v>
      </c>
      <c r="B7262">
        <v>0</v>
      </c>
      <c r="C7262">
        <v>0</v>
      </c>
      <c r="D7262">
        <v>0</v>
      </c>
      <c r="E7262">
        <v>0</v>
      </c>
      <c r="F7262">
        <v>0</v>
      </c>
      <c r="G7262">
        <v>0</v>
      </c>
    </row>
    <row r="7263" spans="1:7" x14ac:dyDescent="0.2">
      <c r="A7263" t="s">
        <v>1862</v>
      </c>
      <c r="B7263">
        <v>0</v>
      </c>
      <c r="C7263">
        <v>0</v>
      </c>
      <c r="D7263">
        <v>0</v>
      </c>
      <c r="E7263">
        <v>0</v>
      </c>
      <c r="F7263">
        <v>0</v>
      </c>
      <c r="G7263">
        <v>0</v>
      </c>
    </row>
    <row r="7264" spans="1:7" x14ac:dyDescent="0.2">
      <c r="A7264" t="s">
        <v>1867</v>
      </c>
      <c r="B7264">
        <v>0</v>
      </c>
      <c r="C7264">
        <v>0</v>
      </c>
      <c r="D7264">
        <v>0</v>
      </c>
      <c r="E7264">
        <v>0</v>
      </c>
      <c r="F7264">
        <v>0</v>
      </c>
      <c r="G7264">
        <v>0</v>
      </c>
    </row>
    <row r="7265" spans="1:7" x14ac:dyDescent="0.2">
      <c r="A7265" t="s">
        <v>1870</v>
      </c>
      <c r="B7265">
        <v>0</v>
      </c>
      <c r="C7265">
        <v>0</v>
      </c>
      <c r="D7265">
        <v>0</v>
      </c>
      <c r="E7265">
        <v>0</v>
      </c>
      <c r="F7265">
        <v>0</v>
      </c>
      <c r="G7265">
        <v>0</v>
      </c>
    </row>
    <row r="7266" spans="1:7" x14ac:dyDescent="0.2">
      <c r="A7266" t="s">
        <v>1874</v>
      </c>
      <c r="B7266">
        <v>0</v>
      </c>
      <c r="C7266">
        <v>0</v>
      </c>
      <c r="D7266">
        <v>0</v>
      </c>
      <c r="E7266">
        <v>0</v>
      </c>
      <c r="F7266">
        <v>0</v>
      </c>
      <c r="G7266">
        <v>0</v>
      </c>
    </row>
    <row r="7267" spans="1:7" x14ac:dyDescent="0.2">
      <c r="A7267" t="s">
        <v>1876</v>
      </c>
      <c r="B7267">
        <v>0</v>
      </c>
      <c r="C7267">
        <v>0</v>
      </c>
      <c r="D7267">
        <v>0</v>
      </c>
      <c r="E7267">
        <v>0</v>
      </c>
      <c r="F7267">
        <v>0</v>
      </c>
      <c r="G7267">
        <v>0</v>
      </c>
    </row>
    <row r="7268" spans="1:7" x14ac:dyDescent="0.2">
      <c r="A7268" t="s">
        <v>1881</v>
      </c>
      <c r="B7268">
        <v>0</v>
      </c>
      <c r="C7268">
        <v>0</v>
      </c>
      <c r="D7268">
        <v>0</v>
      </c>
      <c r="E7268">
        <v>0</v>
      </c>
      <c r="F7268">
        <v>0</v>
      </c>
      <c r="G7268">
        <v>0</v>
      </c>
    </row>
    <row r="7269" spans="1:7" x14ac:dyDescent="0.2">
      <c r="A7269" t="s">
        <v>1885</v>
      </c>
      <c r="B7269">
        <v>0</v>
      </c>
      <c r="C7269">
        <v>0</v>
      </c>
      <c r="D7269">
        <v>0</v>
      </c>
      <c r="E7269">
        <v>18</v>
      </c>
      <c r="F7269">
        <v>0</v>
      </c>
      <c r="G7269">
        <v>18</v>
      </c>
    </row>
    <row r="7270" spans="1:7" x14ac:dyDescent="0.2">
      <c r="A7270" t="s">
        <v>1887</v>
      </c>
      <c r="B7270">
        <v>0</v>
      </c>
      <c r="C7270">
        <v>0</v>
      </c>
      <c r="D7270">
        <v>0</v>
      </c>
      <c r="E7270">
        <v>0</v>
      </c>
      <c r="F7270">
        <v>0</v>
      </c>
      <c r="G7270">
        <v>0</v>
      </c>
    </row>
    <row r="7271" spans="1:7" x14ac:dyDescent="0.2">
      <c r="A7271" t="s">
        <v>1893</v>
      </c>
      <c r="B7271">
        <v>0</v>
      </c>
      <c r="C7271">
        <v>0</v>
      </c>
      <c r="D7271">
        <v>0</v>
      </c>
      <c r="E7271">
        <v>1</v>
      </c>
      <c r="F7271">
        <v>0</v>
      </c>
      <c r="G7271">
        <v>1</v>
      </c>
    </row>
    <row r="7272" spans="1:7" x14ac:dyDescent="0.2">
      <c r="A7272" t="s">
        <v>1899</v>
      </c>
      <c r="B7272">
        <v>0</v>
      </c>
      <c r="C7272">
        <v>0</v>
      </c>
      <c r="D7272">
        <v>0</v>
      </c>
      <c r="E7272">
        <v>0</v>
      </c>
      <c r="F7272">
        <v>0</v>
      </c>
      <c r="G7272">
        <v>0</v>
      </c>
    </row>
    <row r="7273" spans="1:7" x14ac:dyDescent="0.2">
      <c r="A7273" t="s">
        <v>1906</v>
      </c>
      <c r="B7273">
        <v>0</v>
      </c>
      <c r="C7273">
        <v>0</v>
      </c>
      <c r="D7273">
        <v>0</v>
      </c>
      <c r="E7273">
        <v>0</v>
      </c>
      <c r="F7273">
        <v>0</v>
      </c>
      <c r="G7273">
        <v>0</v>
      </c>
    </row>
    <row r="7274" spans="1:7" x14ac:dyDescent="0.2">
      <c r="A7274" t="s">
        <v>1911</v>
      </c>
      <c r="B7274">
        <v>0</v>
      </c>
      <c r="C7274">
        <v>0</v>
      </c>
      <c r="D7274">
        <v>0</v>
      </c>
      <c r="E7274">
        <v>0</v>
      </c>
      <c r="F7274">
        <v>0</v>
      </c>
      <c r="G7274">
        <v>0</v>
      </c>
    </row>
    <row r="7275" spans="1:7" x14ac:dyDescent="0.2">
      <c r="A7275" t="s">
        <v>1917</v>
      </c>
      <c r="B7275">
        <v>0</v>
      </c>
      <c r="C7275">
        <v>0</v>
      </c>
      <c r="D7275">
        <v>0</v>
      </c>
      <c r="E7275">
        <v>0</v>
      </c>
      <c r="F7275">
        <v>0</v>
      </c>
      <c r="G7275">
        <v>0</v>
      </c>
    </row>
    <row r="7276" spans="1:7" x14ac:dyDescent="0.2">
      <c r="A7276" t="s">
        <v>1922</v>
      </c>
      <c r="B7276">
        <v>0</v>
      </c>
      <c r="C7276">
        <v>0</v>
      </c>
      <c r="D7276">
        <v>0</v>
      </c>
      <c r="E7276">
        <v>0</v>
      </c>
      <c r="F7276">
        <v>0</v>
      </c>
      <c r="G7276">
        <v>0</v>
      </c>
    </row>
    <row r="7277" spans="1:7" x14ac:dyDescent="0.2">
      <c r="A7277" t="s">
        <v>1928</v>
      </c>
      <c r="B7277">
        <v>0</v>
      </c>
      <c r="C7277">
        <v>0</v>
      </c>
      <c r="D7277">
        <v>0</v>
      </c>
      <c r="E7277">
        <v>0</v>
      </c>
      <c r="F7277">
        <v>0</v>
      </c>
      <c r="G7277">
        <v>0</v>
      </c>
    </row>
    <row r="7278" spans="1:7" x14ac:dyDescent="0.2">
      <c r="A7278" t="s">
        <v>1932</v>
      </c>
      <c r="B7278">
        <v>0</v>
      </c>
      <c r="C7278">
        <v>0</v>
      </c>
      <c r="D7278">
        <v>0</v>
      </c>
      <c r="E7278">
        <v>0</v>
      </c>
      <c r="F7278">
        <v>0</v>
      </c>
      <c r="G7278">
        <v>0</v>
      </c>
    </row>
    <row r="7279" spans="1:7" x14ac:dyDescent="0.2">
      <c r="A7279" t="s">
        <v>1938</v>
      </c>
      <c r="B7279">
        <v>0</v>
      </c>
      <c r="C7279">
        <v>0</v>
      </c>
      <c r="D7279">
        <v>0</v>
      </c>
      <c r="E7279">
        <v>0</v>
      </c>
      <c r="F7279">
        <v>0</v>
      </c>
      <c r="G7279">
        <v>0</v>
      </c>
    </row>
    <row r="7280" spans="1:7" x14ac:dyDescent="0.2">
      <c r="A7280" t="s">
        <v>1944</v>
      </c>
      <c r="B7280">
        <v>0</v>
      </c>
      <c r="C7280">
        <v>0</v>
      </c>
      <c r="D7280">
        <v>0</v>
      </c>
      <c r="E7280">
        <v>0</v>
      </c>
      <c r="F7280">
        <v>0</v>
      </c>
      <c r="G7280">
        <v>0</v>
      </c>
    </row>
    <row r="7281" spans="1:7" x14ac:dyDescent="0.2">
      <c r="A7281" t="s">
        <v>1947</v>
      </c>
      <c r="B7281">
        <v>0</v>
      </c>
      <c r="C7281">
        <v>0</v>
      </c>
      <c r="D7281">
        <v>0</v>
      </c>
      <c r="E7281">
        <v>0</v>
      </c>
      <c r="F7281">
        <v>0</v>
      </c>
      <c r="G7281">
        <v>0</v>
      </c>
    </row>
    <row r="7282" spans="1:7" x14ac:dyDescent="0.2">
      <c r="A7282" t="s">
        <v>1953</v>
      </c>
      <c r="B7282">
        <v>0</v>
      </c>
      <c r="C7282">
        <v>0</v>
      </c>
      <c r="D7282">
        <v>0</v>
      </c>
      <c r="E7282">
        <v>0</v>
      </c>
      <c r="F7282">
        <v>0</v>
      </c>
      <c r="G7282">
        <v>0</v>
      </c>
    </row>
    <row r="7283" spans="1:7" x14ac:dyDescent="0.2">
      <c r="A7283" t="s">
        <v>1958</v>
      </c>
      <c r="B7283">
        <v>0</v>
      </c>
      <c r="C7283">
        <v>0</v>
      </c>
      <c r="D7283">
        <v>0</v>
      </c>
      <c r="E7283">
        <v>0</v>
      </c>
      <c r="F7283">
        <v>0</v>
      </c>
      <c r="G7283">
        <v>0</v>
      </c>
    </row>
    <row r="7284" spans="1:7" x14ac:dyDescent="0.2">
      <c r="A7284" t="s">
        <v>1964</v>
      </c>
      <c r="B7284">
        <v>0</v>
      </c>
      <c r="C7284">
        <v>0</v>
      </c>
      <c r="D7284">
        <v>0</v>
      </c>
      <c r="E7284">
        <v>0</v>
      </c>
      <c r="F7284">
        <v>0</v>
      </c>
      <c r="G7284">
        <v>0</v>
      </c>
    </row>
    <row r="7285" spans="1:7" x14ac:dyDescent="0.2">
      <c r="A7285" t="s">
        <v>1973</v>
      </c>
      <c r="B7285">
        <v>0</v>
      </c>
      <c r="C7285">
        <v>0</v>
      </c>
      <c r="D7285">
        <v>0</v>
      </c>
      <c r="E7285">
        <v>0</v>
      </c>
      <c r="F7285">
        <v>0</v>
      </c>
      <c r="G7285">
        <v>0</v>
      </c>
    </row>
    <row r="7286" spans="1:7" x14ac:dyDescent="0.2">
      <c r="A7286" t="s">
        <v>1978</v>
      </c>
      <c r="B7286">
        <v>0</v>
      </c>
      <c r="C7286">
        <v>0</v>
      </c>
      <c r="D7286">
        <v>0</v>
      </c>
      <c r="E7286">
        <v>0</v>
      </c>
      <c r="F7286">
        <v>0</v>
      </c>
      <c r="G7286">
        <v>0</v>
      </c>
    </row>
    <row r="7287" spans="1:7" x14ac:dyDescent="0.2">
      <c r="A7287" t="s">
        <v>1983</v>
      </c>
      <c r="B7287">
        <v>0</v>
      </c>
      <c r="C7287">
        <v>0</v>
      </c>
      <c r="D7287">
        <v>0</v>
      </c>
      <c r="E7287">
        <v>0</v>
      </c>
      <c r="F7287">
        <v>0</v>
      </c>
      <c r="G7287">
        <v>0</v>
      </c>
    </row>
    <row r="7288" spans="1:7" x14ac:dyDescent="0.2">
      <c r="A7288" t="s">
        <v>1984</v>
      </c>
      <c r="B7288">
        <v>0</v>
      </c>
      <c r="C7288">
        <v>0</v>
      </c>
      <c r="D7288">
        <v>0</v>
      </c>
      <c r="E7288">
        <v>0</v>
      </c>
      <c r="F7288">
        <v>0</v>
      </c>
      <c r="G7288">
        <v>0</v>
      </c>
    </row>
    <row r="7289" spans="1:7" x14ac:dyDescent="0.2">
      <c r="A7289" t="s">
        <v>1990</v>
      </c>
      <c r="B7289">
        <v>0</v>
      </c>
      <c r="C7289">
        <v>0</v>
      </c>
      <c r="D7289">
        <v>0</v>
      </c>
      <c r="E7289">
        <v>0</v>
      </c>
      <c r="F7289">
        <v>0</v>
      </c>
      <c r="G7289">
        <v>0</v>
      </c>
    </row>
    <row r="7290" spans="1:7" x14ac:dyDescent="0.2">
      <c r="A7290" t="s">
        <v>1996</v>
      </c>
      <c r="B7290">
        <v>0</v>
      </c>
      <c r="C7290">
        <v>0</v>
      </c>
      <c r="D7290">
        <v>0</v>
      </c>
      <c r="E7290">
        <v>0</v>
      </c>
      <c r="F7290">
        <v>0</v>
      </c>
      <c r="G7290">
        <v>0</v>
      </c>
    </row>
    <row r="7291" spans="1:7" x14ac:dyDescent="0.2">
      <c r="A7291" t="s">
        <v>1998</v>
      </c>
      <c r="B7291">
        <v>0</v>
      </c>
      <c r="C7291">
        <v>0</v>
      </c>
      <c r="D7291">
        <v>0</v>
      </c>
      <c r="E7291">
        <v>0</v>
      </c>
      <c r="F7291">
        <v>0</v>
      </c>
      <c r="G7291">
        <v>0</v>
      </c>
    </row>
    <row r="7292" spans="1:7" x14ac:dyDescent="0.2">
      <c r="A7292" t="s">
        <v>1999</v>
      </c>
      <c r="B7292">
        <v>0</v>
      </c>
      <c r="C7292">
        <v>0</v>
      </c>
      <c r="D7292">
        <v>0</v>
      </c>
      <c r="E7292">
        <v>0</v>
      </c>
      <c r="F7292">
        <v>0</v>
      </c>
      <c r="G7292">
        <v>0</v>
      </c>
    </row>
    <row r="7293" spans="1:7" x14ac:dyDescent="0.2">
      <c r="A7293" t="s">
        <v>2004</v>
      </c>
      <c r="B7293">
        <v>0</v>
      </c>
      <c r="C7293">
        <v>0</v>
      </c>
      <c r="D7293">
        <v>0</v>
      </c>
      <c r="E7293">
        <v>0</v>
      </c>
      <c r="F7293">
        <v>0</v>
      </c>
      <c r="G7293">
        <v>0</v>
      </c>
    </row>
    <row r="7294" spans="1:7" x14ac:dyDescent="0.2">
      <c r="A7294" t="s">
        <v>2009</v>
      </c>
      <c r="B7294">
        <v>0</v>
      </c>
      <c r="C7294">
        <v>0</v>
      </c>
      <c r="D7294">
        <v>0</v>
      </c>
      <c r="E7294">
        <v>0</v>
      </c>
      <c r="F7294">
        <v>0</v>
      </c>
      <c r="G7294">
        <v>0</v>
      </c>
    </row>
    <row r="7295" spans="1:7" x14ac:dyDescent="0.2">
      <c r="A7295" t="s">
        <v>2014</v>
      </c>
      <c r="B7295">
        <v>0</v>
      </c>
      <c r="C7295">
        <v>0</v>
      </c>
      <c r="D7295">
        <v>0</v>
      </c>
      <c r="E7295">
        <v>0</v>
      </c>
      <c r="F7295">
        <v>0</v>
      </c>
      <c r="G7295">
        <v>0</v>
      </c>
    </row>
    <row r="7296" spans="1:7" x14ac:dyDescent="0.2">
      <c r="A7296" t="s">
        <v>2019</v>
      </c>
      <c r="B7296">
        <v>0</v>
      </c>
      <c r="C7296">
        <v>0</v>
      </c>
      <c r="D7296">
        <v>0</v>
      </c>
      <c r="E7296">
        <v>0</v>
      </c>
      <c r="F7296">
        <v>0</v>
      </c>
      <c r="G7296">
        <v>0</v>
      </c>
    </row>
    <row r="7297" spans="1:7" x14ac:dyDescent="0.2">
      <c r="A7297" t="s">
        <v>2023</v>
      </c>
      <c r="B7297">
        <v>0</v>
      </c>
      <c r="C7297">
        <v>0</v>
      </c>
      <c r="D7297">
        <v>0</v>
      </c>
      <c r="E7297">
        <v>0</v>
      </c>
      <c r="F7297">
        <v>0</v>
      </c>
      <c r="G7297">
        <v>0</v>
      </c>
    </row>
    <row r="7298" spans="1:7" x14ac:dyDescent="0.2">
      <c r="A7298" t="s">
        <v>2026</v>
      </c>
      <c r="B7298">
        <v>0</v>
      </c>
      <c r="C7298">
        <v>0</v>
      </c>
      <c r="D7298">
        <v>0</v>
      </c>
      <c r="E7298">
        <v>0</v>
      </c>
      <c r="F7298">
        <v>0</v>
      </c>
      <c r="G7298">
        <v>0</v>
      </c>
    </row>
    <row r="7299" spans="1:7" x14ac:dyDescent="0.2">
      <c r="A7299" t="s">
        <v>2030</v>
      </c>
      <c r="B7299">
        <v>0</v>
      </c>
      <c r="C7299">
        <v>0</v>
      </c>
      <c r="D7299">
        <v>0</v>
      </c>
      <c r="E7299">
        <v>0</v>
      </c>
      <c r="F7299">
        <v>0</v>
      </c>
      <c r="G7299">
        <v>0</v>
      </c>
    </row>
    <row r="7300" spans="1:7" x14ac:dyDescent="0.2">
      <c r="A7300" t="s">
        <v>2035</v>
      </c>
      <c r="B7300">
        <v>0</v>
      </c>
      <c r="C7300">
        <v>0</v>
      </c>
      <c r="D7300">
        <v>0</v>
      </c>
      <c r="E7300">
        <v>0</v>
      </c>
      <c r="F7300">
        <v>0</v>
      </c>
      <c r="G7300">
        <v>0</v>
      </c>
    </row>
    <row r="7301" spans="1:7" x14ac:dyDescent="0.2">
      <c r="A7301" t="s">
        <v>2040</v>
      </c>
      <c r="B7301">
        <v>0</v>
      </c>
      <c r="C7301">
        <v>0</v>
      </c>
      <c r="D7301">
        <v>0</v>
      </c>
      <c r="E7301">
        <v>0</v>
      </c>
      <c r="F7301">
        <v>0</v>
      </c>
      <c r="G7301">
        <v>0</v>
      </c>
    </row>
    <row r="7302" spans="1:7" x14ac:dyDescent="0.2">
      <c r="A7302" t="s">
        <v>2045</v>
      </c>
      <c r="B7302">
        <v>0</v>
      </c>
      <c r="C7302">
        <v>0</v>
      </c>
      <c r="D7302">
        <v>0</v>
      </c>
      <c r="E7302">
        <v>0</v>
      </c>
      <c r="F7302">
        <v>0</v>
      </c>
      <c r="G7302">
        <v>0</v>
      </c>
    </row>
    <row r="7303" spans="1:7" x14ac:dyDescent="0.2">
      <c r="A7303" t="s">
        <v>2049</v>
      </c>
      <c r="B7303">
        <v>0</v>
      </c>
      <c r="C7303">
        <v>0</v>
      </c>
      <c r="D7303">
        <v>0</v>
      </c>
      <c r="E7303">
        <v>0</v>
      </c>
      <c r="F7303">
        <v>0</v>
      </c>
      <c r="G7303">
        <v>0</v>
      </c>
    </row>
    <row r="7304" spans="1:7" x14ac:dyDescent="0.2">
      <c r="A7304" t="s">
        <v>2051</v>
      </c>
      <c r="B7304">
        <v>0</v>
      </c>
      <c r="C7304">
        <v>0</v>
      </c>
      <c r="D7304">
        <v>0</v>
      </c>
      <c r="E7304">
        <v>0</v>
      </c>
      <c r="F7304">
        <v>0</v>
      </c>
      <c r="G7304">
        <v>0</v>
      </c>
    </row>
    <row r="7305" spans="1:7" x14ac:dyDescent="0.2">
      <c r="A7305" t="s">
        <v>2057</v>
      </c>
      <c r="B7305">
        <v>0</v>
      </c>
      <c r="C7305">
        <v>0</v>
      </c>
      <c r="D7305">
        <v>0</v>
      </c>
      <c r="E7305">
        <v>0</v>
      </c>
      <c r="F7305">
        <v>0</v>
      </c>
      <c r="G7305">
        <v>0</v>
      </c>
    </row>
    <row r="7306" spans="1:7" x14ac:dyDescent="0.2">
      <c r="A7306" t="s">
        <v>4344</v>
      </c>
      <c r="B7306">
        <v>0</v>
      </c>
      <c r="C7306">
        <v>0</v>
      </c>
      <c r="D7306">
        <v>0</v>
      </c>
      <c r="E7306">
        <v>0</v>
      </c>
      <c r="F7306">
        <v>0</v>
      </c>
      <c r="G7306">
        <v>0</v>
      </c>
    </row>
    <row r="7307" spans="1:7" x14ac:dyDescent="0.2">
      <c r="A7307" t="s">
        <v>4345</v>
      </c>
      <c r="B7307">
        <v>0</v>
      </c>
      <c r="C7307">
        <v>0</v>
      </c>
      <c r="D7307">
        <v>0</v>
      </c>
      <c r="E7307">
        <v>0</v>
      </c>
      <c r="F7307">
        <v>0</v>
      </c>
      <c r="G7307">
        <v>0</v>
      </c>
    </row>
    <row r="7308" spans="1:7" x14ac:dyDescent="0.2">
      <c r="A7308" t="s">
        <v>2074</v>
      </c>
      <c r="B7308">
        <v>0</v>
      </c>
      <c r="C7308">
        <v>0</v>
      </c>
      <c r="D7308">
        <v>0</v>
      </c>
      <c r="E7308">
        <v>0</v>
      </c>
      <c r="F7308">
        <v>0</v>
      </c>
      <c r="G7308">
        <v>0</v>
      </c>
    </row>
    <row r="7309" spans="1:7" x14ac:dyDescent="0.2">
      <c r="A7309" t="s">
        <v>2079</v>
      </c>
      <c r="B7309">
        <v>0</v>
      </c>
      <c r="C7309">
        <v>0</v>
      </c>
      <c r="D7309">
        <v>0</v>
      </c>
      <c r="E7309">
        <v>0</v>
      </c>
      <c r="F7309">
        <v>0</v>
      </c>
      <c r="G7309">
        <v>0</v>
      </c>
    </row>
    <row r="7310" spans="1:7" x14ac:dyDescent="0.2">
      <c r="A7310" t="s">
        <v>2085</v>
      </c>
      <c r="B7310">
        <v>0</v>
      </c>
      <c r="C7310">
        <v>0</v>
      </c>
      <c r="D7310">
        <v>0</v>
      </c>
      <c r="E7310">
        <v>0</v>
      </c>
      <c r="F7310">
        <v>0</v>
      </c>
      <c r="G7310">
        <v>0</v>
      </c>
    </row>
    <row r="7311" spans="1:7" x14ac:dyDescent="0.2">
      <c r="A7311" t="s">
        <v>2091</v>
      </c>
      <c r="B7311">
        <v>0</v>
      </c>
      <c r="C7311">
        <v>0</v>
      </c>
      <c r="D7311">
        <v>0</v>
      </c>
      <c r="E7311">
        <v>0</v>
      </c>
      <c r="F7311">
        <v>0</v>
      </c>
      <c r="G7311">
        <v>0</v>
      </c>
    </row>
    <row r="7312" spans="1:7" x14ac:dyDescent="0.2">
      <c r="A7312" t="s">
        <v>2097</v>
      </c>
      <c r="B7312">
        <v>0</v>
      </c>
      <c r="C7312">
        <v>0</v>
      </c>
      <c r="D7312">
        <v>0</v>
      </c>
      <c r="E7312">
        <v>0</v>
      </c>
      <c r="F7312">
        <v>0</v>
      </c>
      <c r="G7312">
        <v>0</v>
      </c>
    </row>
    <row r="7313" spans="1:7" x14ac:dyDescent="0.2">
      <c r="A7313" t="s">
        <v>2101</v>
      </c>
      <c r="B7313">
        <v>0</v>
      </c>
      <c r="C7313">
        <v>0</v>
      </c>
      <c r="D7313">
        <v>0</v>
      </c>
      <c r="E7313">
        <v>0</v>
      </c>
      <c r="F7313">
        <v>0</v>
      </c>
      <c r="G7313">
        <v>0</v>
      </c>
    </row>
    <row r="7314" spans="1:7" x14ac:dyDescent="0.2">
      <c r="A7314" t="s">
        <v>2104</v>
      </c>
      <c r="B7314">
        <v>0</v>
      </c>
      <c r="C7314">
        <v>0</v>
      </c>
      <c r="D7314">
        <v>0</v>
      </c>
      <c r="E7314">
        <v>0</v>
      </c>
      <c r="F7314">
        <v>0</v>
      </c>
      <c r="G7314">
        <v>0</v>
      </c>
    </row>
    <row r="7315" spans="1:7" x14ac:dyDescent="0.2">
      <c r="A7315" t="s">
        <v>2107</v>
      </c>
      <c r="B7315">
        <v>0</v>
      </c>
      <c r="C7315">
        <v>0</v>
      </c>
      <c r="D7315">
        <v>0</v>
      </c>
      <c r="E7315">
        <v>0</v>
      </c>
      <c r="F7315">
        <v>0</v>
      </c>
      <c r="G7315">
        <v>0</v>
      </c>
    </row>
    <row r="7316" spans="1:7" x14ac:dyDescent="0.2">
      <c r="A7316" t="s">
        <v>2110</v>
      </c>
      <c r="B7316">
        <v>0</v>
      </c>
      <c r="C7316">
        <v>0</v>
      </c>
      <c r="D7316">
        <v>0</v>
      </c>
      <c r="E7316">
        <v>0</v>
      </c>
      <c r="F7316">
        <v>0</v>
      </c>
      <c r="G7316">
        <v>0</v>
      </c>
    </row>
    <row r="7317" spans="1:7" x14ac:dyDescent="0.2">
      <c r="A7317" t="s">
        <v>2113</v>
      </c>
      <c r="B7317">
        <v>0</v>
      </c>
      <c r="C7317">
        <v>0</v>
      </c>
      <c r="D7317">
        <v>0</v>
      </c>
      <c r="E7317">
        <v>0</v>
      </c>
      <c r="F7317">
        <v>0</v>
      </c>
      <c r="G7317">
        <v>0</v>
      </c>
    </row>
    <row r="7318" spans="1:7" x14ac:dyDescent="0.2">
      <c r="A7318" t="s">
        <v>4346</v>
      </c>
      <c r="B7318">
        <v>0</v>
      </c>
      <c r="C7318">
        <v>0</v>
      </c>
      <c r="D7318">
        <v>0</v>
      </c>
      <c r="E7318">
        <v>0</v>
      </c>
      <c r="F7318">
        <v>0</v>
      </c>
      <c r="G7318">
        <v>0</v>
      </c>
    </row>
    <row r="7319" spans="1:7" x14ac:dyDescent="0.2">
      <c r="A7319" t="s">
        <v>4347</v>
      </c>
      <c r="B7319">
        <v>0</v>
      </c>
      <c r="C7319">
        <v>0</v>
      </c>
      <c r="D7319">
        <v>0</v>
      </c>
      <c r="E7319">
        <v>0</v>
      </c>
      <c r="F7319">
        <v>0</v>
      </c>
      <c r="G7319">
        <v>0</v>
      </c>
    </row>
    <row r="7320" spans="1:7" x14ac:dyDescent="0.2">
      <c r="A7320" t="s">
        <v>4348</v>
      </c>
      <c r="B7320">
        <v>0</v>
      </c>
      <c r="C7320">
        <v>0</v>
      </c>
      <c r="D7320">
        <v>0</v>
      </c>
      <c r="E7320">
        <v>0</v>
      </c>
      <c r="F7320">
        <v>0</v>
      </c>
      <c r="G7320">
        <v>0</v>
      </c>
    </row>
    <row r="7321" spans="1:7" x14ac:dyDescent="0.2">
      <c r="A7321" t="s">
        <v>4349</v>
      </c>
      <c r="B7321">
        <v>0</v>
      </c>
      <c r="C7321">
        <v>0</v>
      </c>
      <c r="D7321">
        <v>0</v>
      </c>
      <c r="E7321">
        <v>0</v>
      </c>
      <c r="F7321">
        <v>0</v>
      </c>
      <c r="G7321">
        <v>0</v>
      </c>
    </row>
    <row r="7322" spans="1:7" x14ac:dyDescent="0.2">
      <c r="A7322" t="s">
        <v>4350</v>
      </c>
      <c r="B7322">
        <v>0</v>
      </c>
      <c r="C7322">
        <v>1</v>
      </c>
      <c r="D7322">
        <v>3</v>
      </c>
      <c r="E7322">
        <v>0</v>
      </c>
      <c r="F7322">
        <v>0</v>
      </c>
      <c r="G7322">
        <v>4</v>
      </c>
    </row>
    <row r="7323" spans="1:7" x14ac:dyDescent="0.2">
      <c r="A7323" t="s">
        <v>4351</v>
      </c>
      <c r="B7323">
        <v>0</v>
      </c>
      <c r="C7323">
        <v>0</v>
      </c>
      <c r="D7323">
        <v>0</v>
      </c>
      <c r="E7323">
        <v>0</v>
      </c>
      <c r="F7323">
        <v>0</v>
      </c>
      <c r="G7323">
        <v>0</v>
      </c>
    </row>
    <row r="7324" spans="1:7" x14ac:dyDescent="0.2">
      <c r="A7324" t="s">
        <v>4352</v>
      </c>
      <c r="B7324">
        <v>0</v>
      </c>
      <c r="C7324">
        <v>0</v>
      </c>
      <c r="D7324">
        <v>0</v>
      </c>
      <c r="E7324">
        <v>0</v>
      </c>
      <c r="F7324">
        <v>0</v>
      </c>
      <c r="G7324">
        <v>0</v>
      </c>
    </row>
    <row r="7325" spans="1:7" x14ac:dyDescent="0.2">
      <c r="A7325" t="s">
        <v>4353</v>
      </c>
      <c r="B7325">
        <v>0</v>
      </c>
      <c r="C7325">
        <v>47</v>
      </c>
      <c r="D7325">
        <v>19</v>
      </c>
      <c r="E7325">
        <v>3</v>
      </c>
      <c r="F7325">
        <v>0</v>
      </c>
      <c r="G7325">
        <v>70</v>
      </c>
    </row>
    <row r="7326" spans="1:7" x14ac:dyDescent="0.2">
      <c r="A7326" t="s">
        <v>4354</v>
      </c>
      <c r="B7326">
        <v>3</v>
      </c>
      <c r="C7326">
        <v>55</v>
      </c>
      <c r="D7326">
        <v>22</v>
      </c>
      <c r="E7326">
        <v>0</v>
      </c>
      <c r="F7326">
        <v>0</v>
      </c>
      <c r="G7326">
        <v>81</v>
      </c>
    </row>
    <row r="7327" spans="1:7" x14ac:dyDescent="0.2">
      <c r="A7327" t="s">
        <v>4355</v>
      </c>
      <c r="B7327">
        <v>0</v>
      </c>
      <c r="C7327">
        <v>0</v>
      </c>
      <c r="D7327">
        <v>0</v>
      </c>
      <c r="E7327">
        <v>0</v>
      </c>
      <c r="F7327">
        <v>0</v>
      </c>
      <c r="G7327">
        <v>0</v>
      </c>
    </row>
    <row r="7328" spans="1:7" x14ac:dyDescent="0.2">
      <c r="A7328" t="s">
        <v>4356</v>
      </c>
      <c r="B7328">
        <v>0</v>
      </c>
      <c r="C7328">
        <v>0</v>
      </c>
      <c r="D7328">
        <v>0</v>
      </c>
      <c r="E7328">
        <v>0</v>
      </c>
      <c r="F7328">
        <v>0</v>
      </c>
      <c r="G7328">
        <v>0</v>
      </c>
    </row>
    <row r="7329" spans="1:7" x14ac:dyDescent="0.2">
      <c r="A7329" t="s">
        <v>4357</v>
      </c>
      <c r="B7329">
        <v>0</v>
      </c>
      <c r="C7329">
        <v>0</v>
      </c>
      <c r="D7329">
        <v>1</v>
      </c>
      <c r="E7329">
        <v>0</v>
      </c>
      <c r="F7329">
        <v>0</v>
      </c>
      <c r="G7329">
        <v>1</v>
      </c>
    </row>
    <row r="7330" spans="1:7" x14ac:dyDescent="0.2">
      <c r="A7330" t="s">
        <v>4358</v>
      </c>
      <c r="B7330">
        <v>0</v>
      </c>
      <c r="C7330">
        <v>0</v>
      </c>
      <c r="D7330">
        <v>0</v>
      </c>
      <c r="E7330">
        <v>0</v>
      </c>
      <c r="F7330">
        <v>0</v>
      </c>
      <c r="G7330">
        <v>0</v>
      </c>
    </row>
    <row r="7331" spans="1:7" x14ac:dyDescent="0.2">
      <c r="A7331" t="s">
        <v>4359</v>
      </c>
      <c r="B7331">
        <v>0</v>
      </c>
      <c r="C7331">
        <v>0</v>
      </c>
      <c r="D7331">
        <v>0</v>
      </c>
      <c r="E7331">
        <v>0</v>
      </c>
      <c r="F7331">
        <v>0</v>
      </c>
      <c r="G7331">
        <v>0</v>
      </c>
    </row>
    <row r="7332" spans="1:7" x14ac:dyDescent="0.2">
      <c r="A7332" t="s">
        <v>4360</v>
      </c>
      <c r="B7332">
        <v>0</v>
      </c>
      <c r="C7332">
        <v>0</v>
      </c>
      <c r="D7332">
        <v>0</v>
      </c>
      <c r="E7332">
        <v>0</v>
      </c>
      <c r="F7332">
        <v>0</v>
      </c>
      <c r="G7332">
        <v>0</v>
      </c>
    </row>
    <row r="7333" spans="1:7" x14ac:dyDescent="0.2">
      <c r="A7333" t="s">
        <v>4361</v>
      </c>
      <c r="B7333">
        <v>0</v>
      </c>
      <c r="C7333">
        <v>0</v>
      </c>
      <c r="D7333">
        <v>12</v>
      </c>
      <c r="E7333">
        <v>0</v>
      </c>
      <c r="F7333">
        <v>0</v>
      </c>
      <c r="G7333">
        <v>12</v>
      </c>
    </row>
    <row r="7334" spans="1:7" x14ac:dyDescent="0.2">
      <c r="A7334" t="s">
        <v>4362</v>
      </c>
      <c r="B7334">
        <v>0</v>
      </c>
      <c r="C7334">
        <v>0</v>
      </c>
      <c r="D7334">
        <v>0</v>
      </c>
      <c r="E7334">
        <v>0</v>
      </c>
      <c r="F7334">
        <v>0</v>
      </c>
      <c r="G7334">
        <v>0</v>
      </c>
    </row>
    <row r="7335" spans="1:7" x14ac:dyDescent="0.2">
      <c r="A7335" t="s">
        <v>4363</v>
      </c>
      <c r="B7335">
        <v>0</v>
      </c>
      <c r="C7335">
        <v>0</v>
      </c>
      <c r="D7335">
        <v>0</v>
      </c>
      <c r="E7335">
        <v>0</v>
      </c>
      <c r="F7335">
        <v>0</v>
      </c>
      <c r="G7335">
        <v>0</v>
      </c>
    </row>
    <row r="7336" spans="1:7" x14ac:dyDescent="0.2">
      <c r="A7336" t="s">
        <v>4364</v>
      </c>
      <c r="B7336">
        <v>0</v>
      </c>
      <c r="C7336">
        <v>0</v>
      </c>
      <c r="D7336">
        <v>0</v>
      </c>
      <c r="E7336">
        <v>0</v>
      </c>
      <c r="F7336">
        <v>0</v>
      </c>
      <c r="G7336">
        <v>0</v>
      </c>
    </row>
    <row r="7337" spans="1:7" x14ac:dyDescent="0.2">
      <c r="A7337" t="s">
        <v>4365</v>
      </c>
      <c r="B7337">
        <v>0</v>
      </c>
      <c r="C7337">
        <v>0</v>
      </c>
      <c r="D7337">
        <v>0</v>
      </c>
      <c r="E7337">
        <v>0</v>
      </c>
      <c r="F7337">
        <v>0</v>
      </c>
      <c r="G7337">
        <v>0</v>
      </c>
    </row>
    <row r="7338" spans="1:7" x14ac:dyDescent="0.2">
      <c r="A7338" t="s">
        <v>4366</v>
      </c>
      <c r="B7338">
        <v>0</v>
      </c>
      <c r="C7338">
        <v>0</v>
      </c>
      <c r="D7338">
        <v>0</v>
      </c>
      <c r="E7338">
        <v>0</v>
      </c>
      <c r="F7338">
        <v>0</v>
      </c>
      <c r="G7338">
        <v>0</v>
      </c>
    </row>
    <row r="7339" spans="1:7" x14ac:dyDescent="0.2">
      <c r="A7339" t="s">
        <v>4367</v>
      </c>
      <c r="B7339">
        <v>0</v>
      </c>
      <c r="C7339">
        <v>0</v>
      </c>
      <c r="D7339">
        <v>0</v>
      </c>
      <c r="E7339">
        <v>0</v>
      </c>
      <c r="F7339">
        <v>0</v>
      </c>
      <c r="G7339">
        <v>0</v>
      </c>
    </row>
    <row r="7340" spans="1:7" x14ac:dyDescent="0.2">
      <c r="A7340" t="s">
        <v>4368</v>
      </c>
      <c r="B7340">
        <v>1</v>
      </c>
      <c r="C7340">
        <v>42</v>
      </c>
      <c r="D7340">
        <v>191</v>
      </c>
      <c r="E7340">
        <v>0</v>
      </c>
      <c r="F7340">
        <v>0</v>
      </c>
      <c r="G7340">
        <v>233</v>
      </c>
    </row>
    <row r="7341" spans="1:7" x14ac:dyDescent="0.2">
      <c r="A7341" t="s">
        <v>4369</v>
      </c>
      <c r="B7341">
        <v>66</v>
      </c>
      <c r="C7341">
        <v>0</v>
      </c>
      <c r="D7341">
        <v>695</v>
      </c>
      <c r="E7341">
        <v>258</v>
      </c>
      <c r="F7341">
        <v>0</v>
      </c>
      <c r="G7341">
        <v>1020</v>
      </c>
    </row>
    <row r="7342" spans="1:7" x14ac:dyDescent="0.2">
      <c r="A7342" t="s">
        <v>4370</v>
      </c>
      <c r="B7342">
        <v>0</v>
      </c>
      <c r="C7342">
        <v>0</v>
      </c>
      <c r="D7342">
        <v>0</v>
      </c>
      <c r="E7342">
        <v>0</v>
      </c>
      <c r="F7342">
        <v>0</v>
      </c>
      <c r="G7342">
        <v>0</v>
      </c>
    </row>
    <row r="7343" spans="1:7" x14ac:dyDescent="0.2">
      <c r="A7343" t="s">
        <v>4371</v>
      </c>
      <c r="B7343">
        <v>0</v>
      </c>
      <c r="C7343">
        <v>0</v>
      </c>
      <c r="D7343">
        <v>0</v>
      </c>
      <c r="E7343">
        <v>0</v>
      </c>
      <c r="F7343">
        <v>0</v>
      </c>
      <c r="G7343">
        <v>0</v>
      </c>
    </row>
    <row r="7344" spans="1:7" x14ac:dyDescent="0.2">
      <c r="A7344" t="s">
        <v>4372</v>
      </c>
      <c r="B7344">
        <v>0</v>
      </c>
      <c r="C7344">
        <v>0</v>
      </c>
      <c r="D7344">
        <v>0</v>
      </c>
      <c r="E7344">
        <v>0</v>
      </c>
      <c r="F7344">
        <v>0</v>
      </c>
      <c r="G7344">
        <v>0</v>
      </c>
    </row>
    <row r="7345" spans="1:10" x14ac:dyDescent="0.2">
      <c r="A7345" t="s">
        <v>4373</v>
      </c>
      <c r="B7345">
        <v>0</v>
      </c>
      <c r="C7345">
        <v>3</v>
      </c>
      <c r="D7345">
        <v>0</v>
      </c>
      <c r="E7345">
        <v>0</v>
      </c>
      <c r="F7345">
        <v>0</v>
      </c>
      <c r="G7345">
        <v>3</v>
      </c>
    </row>
    <row r="7346" spans="1:10" x14ac:dyDescent="0.2">
      <c r="A7346" t="s">
        <v>4374</v>
      </c>
      <c r="B7346">
        <v>0</v>
      </c>
      <c r="C7346">
        <v>0</v>
      </c>
      <c r="D7346">
        <v>0</v>
      </c>
      <c r="E7346">
        <v>0</v>
      </c>
      <c r="F7346">
        <v>0</v>
      </c>
      <c r="G7346">
        <v>0</v>
      </c>
    </row>
    <row r="7347" spans="1:10" x14ac:dyDescent="0.2">
      <c r="A7347" t="s">
        <v>4375</v>
      </c>
      <c r="B7347">
        <v>0</v>
      </c>
      <c r="C7347">
        <v>0</v>
      </c>
      <c r="D7347">
        <v>0</v>
      </c>
      <c r="E7347">
        <v>0</v>
      </c>
      <c r="F7347">
        <v>0</v>
      </c>
      <c r="G7347">
        <v>0</v>
      </c>
    </row>
    <row r="7348" spans="1:10" x14ac:dyDescent="0.2">
      <c r="A7348" t="s">
        <v>4376</v>
      </c>
      <c r="B7348">
        <v>0</v>
      </c>
      <c r="C7348">
        <v>0</v>
      </c>
      <c r="D7348">
        <v>0</v>
      </c>
      <c r="E7348">
        <v>0</v>
      </c>
      <c r="F7348">
        <v>0</v>
      </c>
      <c r="G7348">
        <v>0</v>
      </c>
    </row>
    <row r="7349" spans="1:10" x14ac:dyDescent="0.2">
      <c r="A7349" t="s">
        <v>4377</v>
      </c>
      <c r="B7349">
        <v>0</v>
      </c>
      <c r="C7349">
        <v>0</v>
      </c>
      <c r="D7349">
        <v>0</v>
      </c>
      <c r="E7349">
        <v>0</v>
      </c>
      <c r="F7349">
        <v>0</v>
      </c>
      <c r="G7349">
        <v>0</v>
      </c>
    </row>
    <row r="7350" spans="1:10" x14ac:dyDescent="0.2">
      <c r="A7350" t="s">
        <v>2318</v>
      </c>
      <c r="B7350" t="s">
        <v>2319</v>
      </c>
      <c r="C7350" t="s">
        <v>2319</v>
      </c>
      <c r="D7350" t="s">
        <v>2319</v>
      </c>
      <c r="E7350" t="s">
        <v>2319</v>
      </c>
      <c r="F7350" t="s">
        <v>2319</v>
      </c>
      <c r="G7350" t="s">
        <v>2319</v>
      </c>
    </row>
    <row r="7351" spans="1:10" x14ac:dyDescent="0.2">
      <c r="A7351" t="s">
        <v>4248</v>
      </c>
    </row>
    <row r="7352" spans="1:10" x14ac:dyDescent="0.2">
      <c r="A7352" t="s">
        <v>4250</v>
      </c>
      <c r="C7352" t="s">
        <v>4251</v>
      </c>
      <c r="G7352" t="s">
        <v>7531</v>
      </c>
      <c r="J7352"/>
    </row>
    <row r="7353" spans="1:10" x14ac:dyDescent="0.2">
      <c r="A7353" t="s">
        <v>4925</v>
      </c>
      <c r="G7353" t="s">
        <v>7541</v>
      </c>
      <c r="J7353"/>
    </row>
    <row r="7354" spans="1:10" x14ac:dyDescent="0.2">
      <c r="A7354" t="s">
        <v>7530</v>
      </c>
      <c r="J7354"/>
    </row>
    <row r="7355" spans="1:10" x14ac:dyDescent="0.2">
      <c r="A7355" t="s">
        <v>5031</v>
      </c>
      <c r="J7355"/>
    </row>
    <row r="7356" spans="1:10" x14ac:dyDescent="0.2">
      <c r="J7356"/>
    </row>
    <row r="7357" spans="1:10" x14ac:dyDescent="0.2">
      <c r="A7357" t="s">
        <v>4259</v>
      </c>
      <c r="J7357"/>
    </row>
    <row r="7358" spans="1:10" x14ac:dyDescent="0.2">
      <c r="A7358" t="s">
        <v>2318</v>
      </c>
      <c r="B7358" t="s">
        <v>2319</v>
      </c>
      <c r="C7358" t="s">
        <v>2319</v>
      </c>
      <c r="D7358" t="s">
        <v>2319</v>
      </c>
      <c r="E7358" t="s">
        <v>2319</v>
      </c>
      <c r="F7358" t="s">
        <v>2319</v>
      </c>
      <c r="G7358" t="s">
        <v>2319</v>
      </c>
    </row>
    <row r="7359" spans="1:10" x14ac:dyDescent="0.2">
      <c r="A7359" t="s">
        <v>174</v>
      </c>
      <c r="B7359" t="s">
        <v>4945</v>
      </c>
      <c r="C7359" t="s">
        <v>4946</v>
      </c>
      <c r="D7359" t="s">
        <v>4947</v>
      </c>
      <c r="E7359" t="s">
        <v>4948</v>
      </c>
      <c r="F7359" t="s">
        <v>4949</v>
      </c>
    </row>
    <row r="7360" spans="1:10" x14ac:dyDescent="0.2">
      <c r="A7360" t="s">
        <v>126</v>
      </c>
      <c r="B7360" t="s">
        <v>4262</v>
      </c>
      <c r="C7360" t="s">
        <v>4263</v>
      </c>
      <c r="D7360" t="s">
        <v>4264</v>
      </c>
      <c r="E7360" t="s">
        <v>2308</v>
      </c>
      <c r="F7360" t="s">
        <v>615</v>
      </c>
      <c r="G7360" t="s">
        <v>236</v>
      </c>
    </row>
    <row r="7361" spans="1:7" x14ac:dyDescent="0.2">
      <c r="A7361" t="s">
        <v>2318</v>
      </c>
      <c r="B7361" t="s">
        <v>2319</v>
      </c>
      <c r="C7361" t="s">
        <v>2319</v>
      </c>
      <c r="D7361" t="s">
        <v>2319</v>
      </c>
      <c r="E7361" t="s">
        <v>2319</v>
      </c>
      <c r="F7361" t="s">
        <v>2319</v>
      </c>
      <c r="G7361" t="s">
        <v>2319</v>
      </c>
    </row>
    <row r="7362" spans="1:7" x14ac:dyDescent="0.2">
      <c r="A7362" t="s">
        <v>4265</v>
      </c>
      <c r="B7362">
        <v>0</v>
      </c>
      <c r="C7362">
        <v>0</v>
      </c>
      <c r="D7362">
        <v>0</v>
      </c>
      <c r="E7362">
        <v>0</v>
      </c>
      <c r="F7362">
        <v>0</v>
      </c>
      <c r="G7362">
        <v>0</v>
      </c>
    </row>
    <row r="7363" spans="1:7" x14ac:dyDescent="0.2">
      <c r="A7363" t="s">
        <v>4266</v>
      </c>
      <c r="B7363">
        <v>0</v>
      </c>
      <c r="C7363">
        <v>0</v>
      </c>
      <c r="D7363">
        <v>0</v>
      </c>
      <c r="E7363">
        <v>0</v>
      </c>
      <c r="F7363">
        <v>0</v>
      </c>
      <c r="G7363">
        <v>0</v>
      </c>
    </row>
    <row r="7364" spans="1:7" x14ac:dyDescent="0.2">
      <c r="A7364" t="s">
        <v>4267</v>
      </c>
      <c r="B7364">
        <v>6</v>
      </c>
      <c r="C7364">
        <v>1</v>
      </c>
      <c r="D7364">
        <v>0</v>
      </c>
      <c r="E7364">
        <v>0</v>
      </c>
      <c r="F7364">
        <v>0</v>
      </c>
      <c r="G7364">
        <v>7</v>
      </c>
    </row>
    <row r="7365" spans="1:7" x14ac:dyDescent="0.2">
      <c r="A7365" t="s">
        <v>4268</v>
      </c>
      <c r="B7365">
        <v>0</v>
      </c>
      <c r="C7365">
        <v>1</v>
      </c>
      <c r="D7365">
        <v>0</v>
      </c>
      <c r="E7365">
        <v>0</v>
      </c>
      <c r="F7365">
        <v>0</v>
      </c>
      <c r="G7365">
        <v>1</v>
      </c>
    </row>
    <row r="7366" spans="1:7" x14ac:dyDescent="0.2">
      <c r="A7366" t="s">
        <v>4269</v>
      </c>
      <c r="B7366">
        <v>10</v>
      </c>
      <c r="C7366">
        <v>0</v>
      </c>
      <c r="D7366">
        <v>0</v>
      </c>
      <c r="E7366">
        <v>0</v>
      </c>
      <c r="F7366">
        <v>0</v>
      </c>
      <c r="G7366">
        <v>10</v>
      </c>
    </row>
    <row r="7367" spans="1:7" x14ac:dyDescent="0.2">
      <c r="A7367" t="s">
        <v>4270</v>
      </c>
      <c r="B7367">
        <v>0</v>
      </c>
      <c r="C7367">
        <v>0</v>
      </c>
      <c r="D7367">
        <v>0</v>
      </c>
      <c r="E7367">
        <v>0</v>
      </c>
      <c r="F7367">
        <v>0</v>
      </c>
      <c r="G7367">
        <v>0</v>
      </c>
    </row>
    <row r="7368" spans="1:7" x14ac:dyDescent="0.2">
      <c r="A7368" t="s">
        <v>4271</v>
      </c>
      <c r="B7368">
        <v>2</v>
      </c>
      <c r="C7368">
        <v>1</v>
      </c>
      <c r="D7368">
        <v>0</v>
      </c>
      <c r="E7368">
        <v>0</v>
      </c>
      <c r="F7368">
        <v>0</v>
      </c>
      <c r="G7368">
        <v>3</v>
      </c>
    </row>
    <row r="7369" spans="1:7" x14ac:dyDescent="0.2">
      <c r="A7369" t="s">
        <v>4272</v>
      </c>
      <c r="B7369">
        <v>5</v>
      </c>
      <c r="C7369">
        <v>0</v>
      </c>
      <c r="D7369">
        <v>0</v>
      </c>
      <c r="E7369">
        <v>0</v>
      </c>
      <c r="F7369">
        <v>0</v>
      </c>
      <c r="G7369">
        <v>5</v>
      </c>
    </row>
    <row r="7370" spans="1:7" x14ac:dyDescent="0.2">
      <c r="A7370" t="s">
        <v>4273</v>
      </c>
      <c r="B7370">
        <v>0</v>
      </c>
      <c r="C7370">
        <v>0</v>
      </c>
      <c r="D7370">
        <v>0</v>
      </c>
      <c r="E7370">
        <v>0</v>
      </c>
      <c r="F7370">
        <v>0</v>
      </c>
      <c r="G7370">
        <v>0</v>
      </c>
    </row>
    <row r="7371" spans="1:7" x14ac:dyDescent="0.2">
      <c r="A7371" t="s">
        <v>4274</v>
      </c>
      <c r="B7371">
        <v>0</v>
      </c>
      <c r="C7371">
        <v>0</v>
      </c>
      <c r="D7371">
        <v>0</v>
      </c>
      <c r="E7371">
        <v>0</v>
      </c>
      <c r="F7371">
        <v>0</v>
      </c>
      <c r="G7371">
        <v>0</v>
      </c>
    </row>
    <row r="7372" spans="1:7" x14ac:dyDescent="0.2">
      <c r="A7372" t="s">
        <v>4275</v>
      </c>
      <c r="B7372">
        <v>0</v>
      </c>
      <c r="C7372">
        <v>0</v>
      </c>
      <c r="D7372">
        <v>0</v>
      </c>
      <c r="E7372">
        <v>0</v>
      </c>
      <c r="F7372">
        <v>0</v>
      </c>
      <c r="G7372">
        <v>0</v>
      </c>
    </row>
    <row r="7373" spans="1:7" x14ac:dyDescent="0.2">
      <c r="A7373" t="s">
        <v>4276</v>
      </c>
      <c r="B7373">
        <v>0</v>
      </c>
      <c r="C7373">
        <v>0</v>
      </c>
      <c r="D7373">
        <v>0</v>
      </c>
      <c r="E7373">
        <v>0</v>
      </c>
      <c r="F7373">
        <v>0</v>
      </c>
      <c r="G7373">
        <v>0</v>
      </c>
    </row>
    <row r="7374" spans="1:7" x14ac:dyDescent="0.2">
      <c r="A7374" t="s">
        <v>4277</v>
      </c>
      <c r="B7374">
        <v>0</v>
      </c>
      <c r="C7374">
        <v>0</v>
      </c>
      <c r="D7374">
        <v>0</v>
      </c>
      <c r="E7374">
        <v>0</v>
      </c>
      <c r="F7374">
        <v>0</v>
      </c>
      <c r="G7374">
        <v>0</v>
      </c>
    </row>
    <row r="7375" spans="1:7" x14ac:dyDescent="0.2">
      <c r="A7375" t="s">
        <v>4278</v>
      </c>
      <c r="B7375">
        <v>0</v>
      </c>
      <c r="C7375">
        <v>0</v>
      </c>
      <c r="D7375">
        <v>0</v>
      </c>
      <c r="E7375">
        <v>0</v>
      </c>
      <c r="F7375">
        <v>0</v>
      </c>
      <c r="G7375">
        <v>0</v>
      </c>
    </row>
    <row r="7376" spans="1:7" x14ac:dyDescent="0.2">
      <c r="A7376" t="s">
        <v>4279</v>
      </c>
      <c r="B7376">
        <v>12</v>
      </c>
      <c r="C7376">
        <v>2</v>
      </c>
      <c r="D7376">
        <v>1</v>
      </c>
      <c r="E7376">
        <v>0</v>
      </c>
      <c r="F7376">
        <v>0</v>
      </c>
      <c r="G7376">
        <v>15</v>
      </c>
    </row>
    <row r="7377" spans="1:7" x14ac:dyDescent="0.2">
      <c r="A7377" t="s">
        <v>4280</v>
      </c>
      <c r="B7377">
        <v>0</v>
      </c>
      <c r="C7377">
        <v>0</v>
      </c>
      <c r="D7377">
        <v>0</v>
      </c>
      <c r="E7377">
        <v>0</v>
      </c>
      <c r="F7377">
        <v>0</v>
      </c>
      <c r="G7377">
        <v>1</v>
      </c>
    </row>
    <row r="7378" spans="1:7" x14ac:dyDescent="0.2">
      <c r="A7378" t="s">
        <v>4281</v>
      </c>
      <c r="B7378">
        <v>235</v>
      </c>
      <c r="C7378">
        <v>169</v>
      </c>
      <c r="D7378">
        <v>249</v>
      </c>
      <c r="E7378">
        <v>180</v>
      </c>
      <c r="F7378">
        <v>0</v>
      </c>
      <c r="G7378">
        <v>833</v>
      </c>
    </row>
    <row r="7379" spans="1:7" x14ac:dyDescent="0.2">
      <c r="A7379" t="s">
        <v>4282</v>
      </c>
      <c r="B7379">
        <v>118</v>
      </c>
      <c r="C7379">
        <v>69</v>
      </c>
      <c r="D7379">
        <v>72</v>
      </c>
      <c r="E7379">
        <v>3</v>
      </c>
      <c r="F7379">
        <v>0</v>
      </c>
      <c r="G7379">
        <v>262</v>
      </c>
    </row>
    <row r="7380" spans="1:7" x14ac:dyDescent="0.2">
      <c r="A7380" t="s">
        <v>4283</v>
      </c>
      <c r="B7380">
        <v>81</v>
      </c>
      <c r="C7380">
        <v>58</v>
      </c>
      <c r="D7380">
        <v>41</v>
      </c>
      <c r="E7380">
        <v>60</v>
      </c>
      <c r="F7380">
        <v>0</v>
      </c>
      <c r="G7380">
        <v>240</v>
      </c>
    </row>
    <row r="7381" spans="1:7" x14ac:dyDescent="0.2">
      <c r="A7381" t="s">
        <v>4284</v>
      </c>
      <c r="B7381">
        <v>11</v>
      </c>
      <c r="C7381">
        <v>0</v>
      </c>
      <c r="D7381">
        <v>8</v>
      </c>
      <c r="E7381">
        <v>0</v>
      </c>
      <c r="F7381">
        <v>0</v>
      </c>
      <c r="G7381">
        <v>19</v>
      </c>
    </row>
    <row r="7382" spans="1:7" x14ac:dyDescent="0.2">
      <c r="A7382" t="s">
        <v>4285</v>
      </c>
      <c r="B7382">
        <v>165</v>
      </c>
      <c r="C7382">
        <v>144</v>
      </c>
      <c r="D7382">
        <v>97</v>
      </c>
      <c r="E7382">
        <v>165</v>
      </c>
      <c r="F7382">
        <v>0</v>
      </c>
      <c r="G7382">
        <v>571</v>
      </c>
    </row>
    <row r="7383" spans="1:7" x14ac:dyDescent="0.2">
      <c r="A7383" t="s">
        <v>4286</v>
      </c>
      <c r="B7383">
        <v>41</v>
      </c>
      <c r="C7383">
        <v>4</v>
      </c>
      <c r="D7383">
        <v>7</v>
      </c>
      <c r="E7383">
        <v>2</v>
      </c>
      <c r="F7383">
        <v>0</v>
      </c>
      <c r="G7383">
        <v>54</v>
      </c>
    </row>
    <row r="7384" spans="1:7" x14ac:dyDescent="0.2">
      <c r="A7384" t="s">
        <v>4287</v>
      </c>
      <c r="B7384">
        <v>0</v>
      </c>
      <c r="C7384">
        <v>0</v>
      </c>
      <c r="D7384">
        <v>0</v>
      </c>
      <c r="E7384">
        <v>488</v>
      </c>
      <c r="F7384">
        <v>0</v>
      </c>
      <c r="G7384">
        <v>488</v>
      </c>
    </row>
    <row r="7385" spans="1:7" x14ac:dyDescent="0.2">
      <c r="A7385" t="s">
        <v>4288</v>
      </c>
      <c r="B7385">
        <v>0</v>
      </c>
      <c r="C7385">
        <v>0</v>
      </c>
      <c r="D7385">
        <v>0</v>
      </c>
      <c r="E7385">
        <v>0</v>
      </c>
      <c r="F7385">
        <v>30</v>
      </c>
      <c r="G7385">
        <v>30</v>
      </c>
    </row>
    <row r="7386" spans="1:7" x14ac:dyDescent="0.2">
      <c r="A7386" t="s">
        <v>4289</v>
      </c>
      <c r="B7386">
        <v>0</v>
      </c>
      <c r="C7386">
        <v>0</v>
      </c>
      <c r="D7386">
        <v>0</v>
      </c>
      <c r="E7386">
        <v>0</v>
      </c>
      <c r="F7386">
        <v>26458</v>
      </c>
      <c r="G7386">
        <v>26458</v>
      </c>
    </row>
    <row r="7387" spans="1:7" x14ac:dyDescent="0.2">
      <c r="A7387" t="s">
        <v>4290</v>
      </c>
      <c r="B7387">
        <v>0</v>
      </c>
      <c r="C7387">
        <v>0</v>
      </c>
      <c r="D7387">
        <v>0</v>
      </c>
      <c r="E7387">
        <v>0</v>
      </c>
      <c r="F7387">
        <v>215</v>
      </c>
      <c r="G7387">
        <v>215</v>
      </c>
    </row>
    <row r="7388" spans="1:7" x14ac:dyDescent="0.2">
      <c r="A7388" t="s">
        <v>4291</v>
      </c>
      <c r="B7388">
        <v>0</v>
      </c>
      <c r="C7388">
        <v>0</v>
      </c>
      <c r="D7388">
        <v>0</v>
      </c>
      <c r="E7388">
        <v>0</v>
      </c>
      <c r="F7388">
        <v>0</v>
      </c>
      <c r="G7388">
        <v>0</v>
      </c>
    </row>
    <row r="7389" spans="1:7" x14ac:dyDescent="0.2">
      <c r="A7389" t="s">
        <v>4292</v>
      </c>
      <c r="B7389">
        <v>0</v>
      </c>
      <c r="C7389">
        <v>0</v>
      </c>
      <c r="D7389">
        <v>0</v>
      </c>
      <c r="E7389">
        <v>0</v>
      </c>
      <c r="F7389">
        <v>161</v>
      </c>
      <c r="G7389">
        <v>161</v>
      </c>
    </row>
    <row r="7390" spans="1:7" x14ac:dyDescent="0.2">
      <c r="A7390" t="s">
        <v>4293</v>
      </c>
      <c r="B7390">
        <v>0</v>
      </c>
      <c r="C7390">
        <v>0</v>
      </c>
      <c r="D7390">
        <v>0</v>
      </c>
      <c r="E7390">
        <v>0</v>
      </c>
      <c r="F7390">
        <v>0</v>
      </c>
      <c r="G7390">
        <v>0</v>
      </c>
    </row>
    <row r="7391" spans="1:7" x14ac:dyDescent="0.2">
      <c r="A7391" t="s">
        <v>4294</v>
      </c>
      <c r="B7391">
        <v>0</v>
      </c>
      <c r="C7391">
        <v>0</v>
      </c>
      <c r="D7391">
        <v>0</v>
      </c>
      <c r="E7391">
        <v>0</v>
      </c>
      <c r="F7391">
        <v>450</v>
      </c>
      <c r="G7391">
        <v>450</v>
      </c>
    </row>
    <row r="7392" spans="1:7" x14ac:dyDescent="0.2">
      <c r="A7392" t="s">
        <v>4295</v>
      </c>
      <c r="B7392">
        <v>0</v>
      </c>
      <c r="C7392">
        <v>0</v>
      </c>
      <c r="D7392">
        <v>0</v>
      </c>
      <c r="E7392">
        <v>0</v>
      </c>
      <c r="F7392">
        <v>0</v>
      </c>
      <c r="G7392">
        <v>0</v>
      </c>
    </row>
    <row r="7393" spans="1:7" x14ac:dyDescent="0.2">
      <c r="A7393" t="s">
        <v>4296</v>
      </c>
      <c r="B7393">
        <v>0</v>
      </c>
      <c r="C7393">
        <v>0</v>
      </c>
      <c r="D7393">
        <v>0</v>
      </c>
      <c r="E7393">
        <v>0</v>
      </c>
      <c r="F7393">
        <v>0</v>
      </c>
      <c r="G7393">
        <v>0</v>
      </c>
    </row>
    <row r="7394" spans="1:7" x14ac:dyDescent="0.2">
      <c r="A7394" t="s">
        <v>4297</v>
      </c>
      <c r="B7394">
        <v>88</v>
      </c>
      <c r="C7394">
        <v>546</v>
      </c>
      <c r="D7394">
        <v>972</v>
      </c>
      <c r="E7394">
        <v>304</v>
      </c>
      <c r="F7394">
        <v>0</v>
      </c>
      <c r="G7394">
        <v>1910</v>
      </c>
    </row>
    <row r="7395" spans="1:7" x14ac:dyDescent="0.2">
      <c r="A7395" t="s">
        <v>4298</v>
      </c>
      <c r="B7395">
        <v>116</v>
      </c>
      <c r="C7395">
        <v>144</v>
      </c>
      <c r="D7395">
        <v>114</v>
      </c>
      <c r="E7395">
        <v>69</v>
      </c>
      <c r="F7395">
        <v>0</v>
      </c>
      <c r="G7395">
        <v>442</v>
      </c>
    </row>
    <row r="7396" spans="1:7" x14ac:dyDescent="0.2">
      <c r="A7396" t="s">
        <v>4299</v>
      </c>
      <c r="B7396">
        <v>33</v>
      </c>
      <c r="C7396">
        <v>67</v>
      </c>
      <c r="D7396">
        <v>133</v>
      </c>
      <c r="E7396">
        <v>115</v>
      </c>
      <c r="F7396">
        <v>0</v>
      </c>
      <c r="G7396">
        <v>349</v>
      </c>
    </row>
    <row r="7397" spans="1:7" x14ac:dyDescent="0.2">
      <c r="A7397" t="s">
        <v>4300</v>
      </c>
      <c r="B7397">
        <v>1</v>
      </c>
      <c r="C7397">
        <v>4</v>
      </c>
      <c r="D7397">
        <v>11</v>
      </c>
      <c r="E7397">
        <v>7</v>
      </c>
      <c r="F7397">
        <v>0</v>
      </c>
      <c r="G7397">
        <v>22</v>
      </c>
    </row>
    <row r="7398" spans="1:7" x14ac:dyDescent="0.2">
      <c r="A7398" t="s">
        <v>4301</v>
      </c>
      <c r="B7398">
        <v>0</v>
      </c>
      <c r="C7398">
        <v>301</v>
      </c>
      <c r="D7398">
        <v>603</v>
      </c>
      <c r="E7398">
        <v>280</v>
      </c>
      <c r="F7398">
        <v>0</v>
      </c>
      <c r="G7398">
        <v>1184</v>
      </c>
    </row>
    <row r="7399" spans="1:7" x14ac:dyDescent="0.2">
      <c r="A7399" t="s">
        <v>4302</v>
      </c>
      <c r="B7399">
        <v>1</v>
      </c>
      <c r="C7399">
        <v>13</v>
      </c>
      <c r="D7399">
        <v>41</v>
      </c>
      <c r="E7399">
        <v>13</v>
      </c>
      <c r="F7399">
        <v>0</v>
      </c>
      <c r="G7399">
        <v>69</v>
      </c>
    </row>
    <row r="7400" spans="1:7" x14ac:dyDescent="0.2">
      <c r="A7400" t="s">
        <v>4303</v>
      </c>
      <c r="B7400">
        <v>1</v>
      </c>
      <c r="C7400">
        <v>36</v>
      </c>
      <c r="D7400">
        <v>168</v>
      </c>
      <c r="E7400">
        <v>34</v>
      </c>
      <c r="F7400">
        <v>0</v>
      </c>
      <c r="G7400">
        <v>239</v>
      </c>
    </row>
    <row r="7401" spans="1:7" x14ac:dyDescent="0.2">
      <c r="A7401" t="s">
        <v>4304</v>
      </c>
      <c r="B7401">
        <v>2</v>
      </c>
      <c r="C7401">
        <v>7</v>
      </c>
      <c r="D7401">
        <v>48</v>
      </c>
      <c r="E7401">
        <v>0</v>
      </c>
      <c r="F7401">
        <v>0</v>
      </c>
      <c r="G7401">
        <v>58</v>
      </c>
    </row>
    <row r="7402" spans="1:7" x14ac:dyDescent="0.2">
      <c r="A7402" t="s">
        <v>4305</v>
      </c>
      <c r="B7402">
        <v>0</v>
      </c>
      <c r="C7402">
        <v>74</v>
      </c>
      <c r="D7402">
        <v>47</v>
      </c>
      <c r="E7402">
        <v>39</v>
      </c>
      <c r="F7402">
        <v>0</v>
      </c>
      <c r="G7402">
        <v>160</v>
      </c>
    </row>
    <row r="7403" spans="1:7" x14ac:dyDescent="0.2">
      <c r="A7403" t="s">
        <v>4306</v>
      </c>
      <c r="B7403">
        <v>1</v>
      </c>
      <c r="C7403">
        <v>10</v>
      </c>
      <c r="D7403">
        <v>4</v>
      </c>
      <c r="E7403">
        <v>7</v>
      </c>
      <c r="F7403">
        <v>0</v>
      </c>
      <c r="G7403">
        <v>22</v>
      </c>
    </row>
    <row r="7404" spans="1:7" x14ac:dyDescent="0.2">
      <c r="A7404" t="s">
        <v>4307</v>
      </c>
      <c r="B7404">
        <v>9</v>
      </c>
      <c r="C7404">
        <v>91</v>
      </c>
      <c r="D7404">
        <v>507</v>
      </c>
      <c r="E7404">
        <v>341</v>
      </c>
      <c r="F7404">
        <v>0</v>
      </c>
      <c r="G7404">
        <v>948</v>
      </c>
    </row>
    <row r="7405" spans="1:7" x14ac:dyDescent="0.2">
      <c r="A7405" t="s">
        <v>4308</v>
      </c>
      <c r="B7405">
        <v>0</v>
      </c>
      <c r="C7405">
        <v>0</v>
      </c>
      <c r="D7405">
        <v>2</v>
      </c>
      <c r="E7405">
        <v>3</v>
      </c>
      <c r="F7405">
        <v>0</v>
      </c>
      <c r="G7405">
        <v>5</v>
      </c>
    </row>
    <row r="7406" spans="1:7" x14ac:dyDescent="0.2">
      <c r="A7406" t="s">
        <v>4309</v>
      </c>
      <c r="B7406">
        <v>0</v>
      </c>
      <c r="C7406">
        <v>0</v>
      </c>
      <c r="D7406">
        <v>0</v>
      </c>
      <c r="E7406">
        <v>0</v>
      </c>
      <c r="F7406">
        <v>0</v>
      </c>
      <c r="G7406">
        <v>0</v>
      </c>
    </row>
    <row r="7407" spans="1:7" x14ac:dyDescent="0.2">
      <c r="A7407" t="s">
        <v>4310</v>
      </c>
      <c r="B7407">
        <v>0</v>
      </c>
      <c r="C7407">
        <v>0</v>
      </c>
      <c r="D7407">
        <v>0</v>
      </c>
      <c r="E7407">
        <v>0</v>
      </c>
      <c r="F7407">
        <v>0</v>
      </c>
      <c r="G7407">
        <v>0</v>
      </c>
    </row>
    <row r="7408" spans="1:7" x14ac:dyDescent="0.2">
      <c r="A7408" t="s">
        <v>4311</v>
      </c>
      <c r="B7408">
        <v>0</v>
      </c>
      <c r="C7408">
        <v>0</v>
      </c>
      <c r="D7408">
        <v>0</v>
      </c>
      <c r="E7408">
        <v>54</v>
      </c>
      <c r="F7408">
        <v>2</v>
      </c>
      <c r="G7408">
        <v>56</v>
      </c>
    </row>
    <row r="7409" spans="1:7" x14ac:dyDescent="0.2">
      <c r="A7409" t="s">
        <v>4312</v>
      </c>
      <c r="B7409">
        <v>0</v>
      </c>
      <c r="C7409">
        <v>0</v>
      </c>
      <c r="D7409">
        <v>0</v>
      </c>
      <c r="E7409">
        <v>44</v>
      </c>
      <c r="F7409">
        <v>0</v>
      </c>
      <c r="G7409">
        <v>44</v>
      </c>
    </row>
    <row r="7410" spans="1:7" x14ac:dyDescent="0.2">
      <c r="A7410" t="s">
        <v>4313</v>
      </c>
      <c r="B7410">
        <v>0</v>
      </c>
      <c r="C7410">
        <v>0</v>
      </c>
      <c r="D7410">
        <v>0</v>
      </c>
      <c r="E7410">
        <v>0</v>
      </c>
      <c r="F7410">
        <v>0</v>
      </c>
      <c r="G7410">
        <v>0</v>
      </c>
    </row>
    <row r="7411" spans="1:7" x14ac:dyDescent="0.2">
      <c r="A7411" t="s">
        <v>4314</v>
      </c>
      <c r="B7411">
        <v>0</v>
      </c>
      <c r="C7411">
        <v>0</v>
      </c>
      <c r="D7411">
        <v>0</v>
      </c>
      <c r="E7411">
        <v>0</v>
      </c>
      <c r="F7411">
        <v>0</v>
      </c>
      <c r="G7411">
        <v>0</v>
      </c>
    </row>
    <row r="7412" spans="1:7" x14ac:dyDescent="0.2">
      <c r="A7412" t="s">
        <v>4315</v>
      </c>
      <c r="B7412">
        <v>0</v>
      </c>
      <c r="C7412">
        <v>0</v>
      </c>
      <c r="D7412">
        <v>0</v>
      </c>
      <c r="E7412">
        <v>0</v>
      </c>
      <c r="F7412">
        <v>0</v>
      </c>
      <c r="G7412">
        <v>0</v>
      </c>
    </row>
    <row r="7413" spans="1:7" x14ac:dyDescent="0.2">
      <c r="A7413" t="s">
        <v>4316</v>
      </c>
      <c r="B7413">
        <v>0</v>
      </c>
      <c r="C7413">
        <v>0</v>
      </c>
      <c r="D7413">
        <v>0</v>
      </c>
      <c r="E7413">
        <v>0</v>
      </c>
      <c r="F7413">
        <v>0</v>
      </c>
      <c r="G7413">
        <v>0</v>
      </c>
    </row>
    <row r="7414" spans="1:7" x14ac:dyDescent="0.2">
      <c r="A7414" t="s">
        <v>4317</v>
      </c>
      <c r="B7414">
        <v>0</v>
      </c>
      <c r="C7414">
        <v>0</v>
      </c>
      <c r="D7414">
        <v>0</v>
      </c>
      <c r="E7414">
        <v>0</v>
      </c>
      <c r="F7414">
        <v>0</v>
      </c>
      <c r="G7414">
        <v>0</v>
      </c>
    </row>
    <row r="7415" spans="1:7" x14ac:dyDescent="0.2">
      <c r="A7415" t="s">
        <v>4318</v>
      </c>
      <c r="B7415">
        <v>0</v>
      </c>
      <c r="C7415">
        <v>0</v>
      </c>
      <c r="D7415">
        <v>0</v>
      </c>
      <c r="E7415">
        <v>0</v>
      </c>
      <c r="F7415">
        <v>0</v>
      </c>
      <c r="G7415">
        <v>0</v>
      </c>
    </row>
    <row r="7416" spans="1:7" x14ac:dyDescent="0.2">
      <c r="A7416" t="s">
        <v>4319</v>
      </c>
      <c r="B7416">
        <v>0</v>
      </c>
      <c r="C7416">
        <v>0</v>
      </c>
      <c r="D7416">
        <v>0</v>
      </c>
      <c r="E7416">
        <v>0</v>
      </c>
      <c r="F7416">
        <v>0</v>
      </c>
      <c r="G7416">
        <v>0</v>
      </c>
    </row>
    <row r="7417" spans="1:7" x14ac:dyDescent="0.2">
      <c r="A7417" t="s">
        <v>4320</v>
      </c>
      <c r="B7417">
        <v>0</v>
      </c>
      <c r="C7417">
        <v>0</v>
      </c>
      <c r="D7417">
        <v>0</v>
      </c>
      <c r="E7417">
        <v>0</v>
      </c>
      <c r="F7417">
        <v>0</v>
      </c>
      <c r="G7417">
        <v>0</v>
      </c>
    </row>
    <row r="7418" spans="1:7" x14ac:dyDescent="0.2">
      <c r="A7418" t="s">
        <v>4321</v>
      </c>
      <c r="B7418">
        <v>0</v>
      </c>
      <c r="C7418">
        <v>0</v>
      </c>
      <c r="D7418">
        <v>0</v>
      </c>
      <c r="E7418">
        <v>0</v>
      </c>
      <c r="F7418">
        <v>0</v>
      </c>
      <c r="G7418">
        <v>0</v>
      </c>
    </row>
    <row r="7419" spans="1:7" x14ac:dyDescent="0.2">
      <c r="A7419" t="s">
        <v>4322</v>
      </c>
      <c r="B7419">
        <v>0</v>
      </c>
      <c r="C7419">
        <v>0</v>
      </c>
      <c r="D7419">
        <v>0</v>
      </c>
      <c r="E7419">
        <v>0</v>
      </c>
      <c r="F7419">
        <v>0</v>
      </c>
      <c r="G7419">
        <v>0</v>
      </c>
    </row>
    <row r="7420" spans="1:7" x14ac:dyDescent="0.2">
      <c r="A7420" t="s">
        <v>4323</v>
      </c>
      <c r="B7420">
        <v>0</v>
      </c>
      <c r="C7420">
        <v>0</v>
      </c>
      <c r="D7420">
        <v>0</v>
      </c>
      <c r="E7420">
        <v>0</v>
      </c>
      <c r="F7420">
        <v>0</v>
      </c>
      <c r="G7420">
        <v>0</v>
      </c>
    </row>
    <row r="7421" spans="1:7" x14ac:dyDescent="0.2">
      <c r="A7421" t="s">
        <v>4324</v>
      </c>
      <c r="B7421">
        <v>0</v>
      </c>
      <c r="C7421">
        <v>0</v>
      </c>
      <c r="D7421">
        <v>0</v>
      </c>
      <c r="E7421">
        <v>0</v>
      </c>
      <c r="F7421">
        <v>0</v>
      </c>
      <c r="G7421">
        <v>0</v>
      </c>
    </row>
    <row r="7422" spans="1:7" x14ac:dyDescent="0.2">
      <c r="A7422" t="s">
        <v>4325</v>
      </c>
      <c r="B7422">
        <v>0</v>
      </c>
      <c r="C7422">
        <v>0</v>
      </c>
      <c r="D7422">
        <v>0</v>
      </c>
      <c r="E7422">
        <v>0</v>
      </c>
      <c r="F7422">
        <v>0</v>
      </c>
      <c r="G7422">
        <v>0</v>
      </c>
    </row>
    <row r="7423" spans="1:7" x14ac:dyDescent="0.2">
      <c r="A7423" t="s">
        <v>4326</v>
      </c>
      <c r="B7423">
        <v>0</v>
      </c>
      <c r="C7423">
        <v>0</v>
      </c>
      <c r="D7423">
        <v>0</v>
      </c>
      <c r="E7423">
        <v>0</v>
      </c>
      <c r="F7423">
        <v>0</v>
      </c>
      <c r="G7423">
        <v>0</v>
      </c>
    </row>
    <row r="7424" spans="1:7" x14ac:dyDescent="0.2">
      <c r="A7424" t="s">
        <v>4327</v>
      </c>
      <c r="B7424">
        <v>0</v>
      </c>
      <c r="C7424">
        <v>0</v>
      </c>
      <c r="D7424">
        <v>0</v>
      </c>
      <c r="E7424">
        <v>0</v>
      </c>
      <c r="F7424">
        <v>0</v>
      </c>
      <c r="G7424">
        <v>0</v>
      </c>
    </row>
    <row r="7425" spans="1:7" x14ac:dyDescent="0.2">
      <c r="A7425" t="s">
        <v>4328</v>
      </c>
      <c r="B7425">
        <v>0</v>
      </c>
      <c r="C7425">
        <v>0</v>
      </c>
      <c r="D7425">
        <v>0</v>
      </c>
      <c r="E7425">
        <v>0</v>
      </c>
      <c r="F7425">
        <v>0</v>
      </c>
      <c r="G7425">
        <v>0</v>
      </c>
    </row>
    <row r="7426" spans="1:7" x14ac:dyDescent="0.2">
      <c r="A7426" t="s">
        <v>4329</v>
      </c>
      <c r="B7426">
        <v>0</v>
      </c>
      <c r="C7426">
        <v>0</v>
      </c>
      <c r="D7426">
        <v>0</v>
      </c>
      <c r="E7426">
        <v>0</v>
      </c>
      <c r="F7426">
        <v>0</v>
      </c>
      <c r="G7426">
        <v>0</v>
      </c>
    </row>
    <row r="7427" spans="1:7" x14ac:dyDescent="0.2">
      <c r="A7427" t="s">
        <v>4330</v>
      </c>
      <c r="B7427">
        <v>0</v>
      </c>
      <c r="C7427">
        <v>0</v>
      </c>
      <c r="D7427">
        <v>0</v>
      </c>
      <c r="E7427">
        <v>0</v>
      </c>
      <c r="F7427">
        <v>0</v>
      </c>
      <c r="G7427">
        <v>0</v>
      </c>
    </row>
    <row r="7428" spans="1:7" x14ac:dyDescent="0.2">
      <c r="A7428" t="s">
        <v>4331</v>
      </c>
      <c r="B7428">
        <v>0</v>
      </c>
      <c r="C7428">
        <v>0</v>
      </c>
      <c r="D7428">
        <v>0</v>
      </c>
      <c r="E7428">
        <v>0</v>
      </c>
      <c r="F7428">
        <v>0</v>
      </c>
      <c r="G7428">
        <v>0</v>
      </c>
    </row>
    <row r="7429" spans="1:7" x14ac:dyDescent="0.2">
      <c r="A7429" t="s">
        <v>4332</v>
      </c>
      <c r="B7429">
        <v>0</v>
      </c>
      <c r="C7429">
        <v>0</v>
      </c>
      <c r="D7429">
        <v>0</v>
      </c>
      <c r="E7429">
        <v>0</v>
      </c>
      <c r="F7429">
        <v>0</v>
      </c>
      <c r="G7429">
        <v>0</v>
      </c>
    </row>
    <row r="7430" spans="1:7" x14ac:dyDescent="0.2">
      <c r="A7430" t="s">
        <v>4333</v>
      </c>
      <c r="B7430">
        <v>0</v>
      </c>
      <c r="C7430">
        <v>0</v>
      </c>
      <c r="D7430">
        <v>0</v>
      </c>
      <c r="E7430">
        <v>0</v>
      </c>
      <c r="F7430">
        <v>0</v>
      </c>
      <c r="G7430">
        <v>0</v>
      </c>
    </row>
    <row r="7431" spans="1:7" x14ac:dyDescent="0.2">
      <c r="A7431" t="s">
        <v>4334</v>
      </c>
      <c r="B7431">
        <v>0</v>
      </c>
      <c r="C7431">
        <v>0</v>
      </c>
      <c r="D7431">
        <v>0</v>
      </c>
      <c r="E7431">
        <v>0</v>
      </c>
      <c r="F7431">
        <v>0</v>
      </c>
      <c r="G7431">
        <v>0</v>
      </c>
    </row>
    <row r="7432" spans="1:7" x14ac:dyDescent="0.2">
      <c r="A7432" t="s">
        <v>4335</v>
      </c>
      <c r="B7432">
        <v>0</v>
      </c>
      <c r="C7432">
        <v>0</v>
      </c>
      <c r="D7432">
        <v>0</v>
      </c>
      <c r="E7432">
        <v>0</v>
      </c>
      <c r="F7432">
        <v>0</v>
      </c>
      <c r="G7432">
        <v>0</v>
      </c>
    </row>
    <row r="7433" spans="1:7" x14ac:dyDescent="0.2">
      <c r="A7433" t="s">
        <v>4336</v>
      </c>
      <c r="B7433">
        <v>0</v>
      </c>
      <c r="C7433">
        <v>0</v>
      </c>
      <c r="D7433">
        <v>0</v>
      </c>
      <c r="E7433">
        <v>0</v>
      </c>
      <c r="F7433">
        <v>0</v>
      </c>
      <c r="G7433">
        <v>0</v>
      </c>
    </row>
    <row r="7434" spans="1:7" x14ac:dyDescent="0.2">
      <c r="A7434" t="s">
        <v>4337</v>
      </c>
      <c r="B7434">
        <v>0</v>
      </c>
      <c r="C7434">
        <v>0</v>
      </c>
      <c r="D7434">
        <v>0</v>
      </c>
      <c r="E7434">
        <v>0</v>
      </c>
      <c r="F7434">
        <v>0</v>
      </c>
      <c r="G7434">
        <v>0</v>
      </c>
    </row>
    <row r="7435" spans="1:7" x14ac:dyDescent="0.2">
      <c r="A7435" t="s">
        <v>4338</v>
      </c>
      <c r="B7435">
        <v>0</v>
      </c>
      <c r="C7435">
        <v>0</v>
      </c>
      <c r="D7435">
        <v>0</v>
      </c>
      <c r="E7435">
        <v>0</v>
      </c>
      <c r="F7435">
        <v>0</v>
      </c>
      <c r="G7435">
        <v>0</v>
      </c>
    </row>
    <row r="7436" spans="1:7" x14ac:dyDescent="0.2">
      <c r="A7436" t="s">
        <v>4339</v>
      </c>
      <c r="B7436">
        <v>0</v>
      </c>
      <c r="C7436">
        <v>0</v>
      </c>
      <c r="D7436">
        <v>0</v>
      </c>
      <c r="E7436">
        <v>0</v>
      </c>
      <c r="F7436">
        <v>0</v>
      </c>
      <c r="G7436">
        <v>0</v>
      </c>
    </row>
    <row r="7437" spans="1:7" x14ac:dyDescent="0.2">
      <c r="A7437" t="s">
        <v>4340</v>
      </c>
      <c r="B7437">
        <v>0</v>
      </c>
      <c r="C7437">
        <v>0</v>
      </c>
      <c r="D7437">
        <v>0</v>
      </c>
      <c r="E7437">
        <v>0</v>
      </c>
      <c r="F7437">
        <v>0</v>
      </c>
      <c r="G7437">
        <v>0</v>
      </c>
    </row>
    <row r="7438" spans="1:7" x14ac:dyDescent="0.2">
      <c r="A7438" t="s">
        <v>4341</v>
      </c>
      <c r="B7438">
        <v>0</v>
      </c>
      <c r="C7438">
        <v>0</v>
      </c>
      <c r="D7438">
        <v>0</v>
      </c>
      <c r="E7438">
        <v>0</v>
      </c>
      <c r="F7438">
        <v>0</v>
      </c>
      <c r="G7438">
        <v>0</v>
      </c>
    </row>
    <row r="7439" spans="1:7" x14ac:dyDescent="0.2">
      <c r="A7439" t="s">
        <v>4342</v>
      </c>
      <c r="B7439">
        <v>0</v>
      </c>
      <c r="C7439">
        <v>0</v>
      </c>
      <c r="D7439">
        <v>0</v>
      </c>
      <c r="E7439">
        <v>0</v>
      </c>
      <c r="F7439">
        <v>0</v>
      </c>
      <c r="G7439">
        <v>0</v>
      </c>
    </row>
    <row r="7440" spans="1:7" x14ac:dyDescent="0.2">
      <c r="A7440" t="s">
        <v>4343</v>
      </c>
      <c r="B7440">
        <v>0</v>
      </c>
      <c r="C7440">
        <v>0</v>
      </c>
      <c r="D7440">
        <v>0</v>
      </c>
      <c r="E7440">
        <v>0</v>
      </c>
      <c r="F7440">
        <v>0</v>
      </c>
      <c r="G7440">
        <v>0</v>
      </c>
    </row>
    <row r="7441" spans="1:7" x14ac:dyDescent="0.2">
      <c r="A7441" t="s">
        <v>1728</v>
      </c>
      <c r="B7441">
        <v>0</v>
      </c>
      <c r="C7441">
        <v>0</v>
      </c>
      <c r="D7441">
        <v>0</v>
      </c>
      <c r="E7441">
        <v>0</v>
      </c>
      <c r="F7441">
        <v>0</v>
      </c>
      <c r="G7441">
        <v>0</v>
      </c>
    </row>
    <row r="7442" spans="1:7" x14ac:dyDescent="0.2">
      <c r="A7442" t="s">
        <v>1730</v>
      </c>
      <c r="B7442">
        <v>0</v>
      </c>
      <c r="C7442">
        <v>0</v>
      </c>
      <c r="D7442">
        <v>1</v>
      </c>
      <c r="E7442">
        <v>0</v>
      </c>
      <c r="F7442">
        <v>1</v>
      </c>
      <c r="G7442">
        <v>3</v>
      </c>
    </row>
    <row r="7443" spans="1:7" x14ac:dyDescent="0.2">
      <c r="A7443" t="s">
        <v>1733</v>
      </c>
      <c r="B7443">
        <v>0</v>
      </c>
      <c r="C7443">
        <v>0</v>
      </c>
      <c r="D7443">
        <v>0</v>
      </c>
      <c r="E7443">
        <v>0</v>
      </c>
      <c r="F7443">
        <v>0</v>
      </c>
      <c r="G7443">
        <v>0</v>
      </c>
    </row>
    <row r="7444" spans="1:7" x14ac:dyDescent="0.2">
      <c r="A7444" t="s">
        <v>1738</v>
      </c>
      <c r="B7444">
        <v>0</v>
      </c>
      <c r="C7444">
        <v>0</v>
      </c>
      <c r="D7444">
        <v>0</v>
      </c>
      <c r="E7444">
        <v>0</v>
      </c>
      <c r="F7444">
        <v>0</v>
      </c>
      <c r="G7444">
        <v>0</v>
      </c>
    </row>
    <row r="7445" spans="1:7" x14ac:dyDescent="0.2">
      <c r="A7445" t="s">
        <v>1744</v>
      </c>
      <c r="B7445">
        <v>0</v>
      </c>
      <c r="C7445">
        <v>0</v>
      </c>
      <c r="D7445">
        <v>0</v>
      </c>
      <c r="E7445">
        <v>0</v>
      </c>
      <c r="F7445">
        <v>0</v>
      </c>
      <c r="G7445">
        <v>0</v>
      </c>
    </row>
    <row r="7446" spans="1:7" x14ac:dyDescent="0.2">
      <c r="A7446" t="s">
        <v>1747</v>
      </c>
      <c r="B7446">
        <v>0</v>
      </c>
      <c r="C7446">
        <v>0</v>
      </c>
      <c r="D7446">
        <v>0</v>
      </c>
      <c r="E7446">
        <v>0</v>
      </c>
      <c r="F7446">
        <v>0</v>
      </c>
      <c r="G7446">
        <v>0</v>
      </c>
    </row>
    <row r="7447" spans="1:7" x14ac:dyDescent="0.2">
      <c r="A7447" t="s">
        <v>1751</v>
      </c>
      <c r="B7447">
        <v>0</v>
      </c>
      <c r="C7447">
        <v>0</v>
      </c>
      <c r="D7447">
        <v>0</v>
      </c>
      <c r="E7447">
        <v>0</v>
      </c>
      <c r="F7447">
        <v>0</v>
      </c>
      <c r="G7447">
        <v>0</v>
      </c>
    </row>
    <row r="7448" spans="1:7" x14ac:dyDescent="0.2">
      <c r="A7448" t="s">
        <v>1755</v>
      </c>
      <c r="B7448">
        <v>0</v>
      </c>
      <c r="C7448">
        <v>0</v>
      </c>
      <c r="D7448">
        <v>0</v>
      </c>
      <c r="E7448">
        <v>0</v>
      </c>
      <c r="F7448">
        <v>0</v>
      </c>
      <c r="G7448">
        <v>0</v>
      </c>
    </row>
    <row r="7449" spans="1:7" x14ac:dyDescent="0.2">
      <c r="A7449" t="s">
        <v>1757</v>
      </c>
      <c r="B7449">
        <v>0</v>
      </c>
      <c r="C7449">
        <v>0</v>
      </c>
      <c r="D7449">
        <v>0</v>
      </c>
      <c r="E7449">
        <v>0</v>
      </c>
      <c r="F7449">
        <v>0</v>
      </c>
      <c r="G7449">
        <v>0</v>
      </c>
    </row>
    <row r="7450" spans="1:7" x14ac:dyDescent="0.2">
      <c r="A7450" t="s">
        <v>1761</v>
      </c>
      <c r="B7450">
        <v>0</v>
      </c>
      <c r="C7450">
        <v>0</v>
      </c>
      <c r="D7450">
        <v>0</v>
      </c>
      <c r="E7450">
        <v>0</v>
      </c>
      <c r="F7450">
        <v>0</v>
      </c>
      <c r="G7450">
        <v>0</v>
      </c>
    </row>
    <row r="7451" spans="1:7" x14ac:dyDescent="0.2">
      <c r="A7451" t="s">
        <v>1764</v>
      </c>
      <c r="B7451">
        <v>0</v>
      </c>
      <c r="C7451">
        <v>0</v>
      </c>
      <c r="D7451">
        <v>0</v>
      </c>
      <c r="E7451">
        <v>0</v>
      </c>
      <c r="F7451">
        <v>0</v>
      </c>
      <c r="G7451">
        <v>0</v>
      </c>
    </row>
    <row r="7452" spans="1:7" x14ac:dyDescent="0.2">
      <c r="A7452" t="s">
        <v>1770</v>
      </c>
      <c r="B7452">
        <v>1</v>
      </c>
      <c r="C7452">
        <v>1</v>
      </c>
      <c r="D7452">
        <v>8</v>
      </c>
      <c r="E7452">
        <v>17</v>
      </c>
      <c r="F7452">
        <v>0</v>
      </c>
      <c r="G7452">
        <v>28</v>
      </c>
    </row>
    <row r="7453" spans="1:7" x14ac:dyDescent="0.2">
      <c r="A7453" t="s">
        <v>1772</v>
      </c>
      <c r="B7453">
        <v>0</v>
      </c>
      <c r="C7453">
        <v>0</v>
      </c>
      <c r="D7453">
        <v>0</v>
      </c>
      <c r="E7453">
        <v>0</v>
      </c>
      <c r="F7453">
        <v>0</v>
      </c>
      <c r="G7453">
        <v>0</v>
      </c>
    </row>
    <row r="7454" spans="1:7" x14ac:dyDescent="0.2">
      <c r="A7454" t="s">
        <v>1774</v>
      </c>
      <c r="B7454">
        <v>0</v>
      </c>
      <c r="C7454">
        <v>0</v>
      </c>
      <c r="D7454">
        <v>0</v>
      </c>
      <c r="E7454">
        <v>0</v>
      </c>
      <c r="F7454">
        <v>0</v>
      </c>
      <c r="G7454">
        <v>0</v>
      </c>
    </row>
    <row r="7455" spans="1:7" x14ac:dyDescent="0.2">
      <c r="A7455" t="s">
        <v>1777</v>
      </c>
      <c r="B7455">
        <v>0</v>
      </c>
      <c r="C7455">
        <v>0</v>
      </c>
      <c r="D7455">
        <v>0</v>
      </c>
      <c r="E7455">
        <v>0</v>
      </c>
      <c r="F7455">
        <v>0</v>
      </c>
      <c r="G7455">
        <v>0</v>
      </c>
    </row>
    <row r="7456" spans="1:7" x14ac:dyDescent="0.2">
      <c r="A7456" t="s">
        <v>1782</v>
      </c>
      <c r="B7456">
        <v>0</v>
      </c>
      <c r="C7456">
        <v>0</v>
      </c>
      <c r="D7456">
        <v>0</v>
      </c>
      <c r="E7456">
        <v>0</v>
      </c>
      <c r="F7456">
        <v>0</v>
      </c>
      <c r="G7456">
        <v>0</v>
      </c>
    </row>
    <row r="7457" spans="1:7" x14ac:dyDescent="0.2">
      <c r="A7457" t="s">
        <v>1274</v>
      </c>
      <c r="B7457">
        <v>0</v>
      </c>
      <c r="C7457">
        <v>0</v>
      </c>
      <c r="D7457">
        <v>0</v>
      </c>
      <c r="E7457">
        <v>0</v>
      </c>
      <c r="F7457">
        <v>0</v>
      </c>
      <c r="G7457">
        <v>0</v>
      </c>
    </row>
    <row r="7458" spans="1:7" x14ac:dyDescent="0.2">
      <c r="A7458" t="s">
        <v>1277</v>
      </c>
      <c r="B7458">
        <v>0</v>
      </c>
      <c r="C7458">
        <v>0</v>
      </c>
      <c r="D7458">
        <v>0</v>
      </c>
      <c r="E7458">
        <v>0</v>
      </c>
      <c r="F7458">
        <v>0</v>
      </c>
      <c r="G7458">
        <v>0</v>
      </c>
    </row>
    <row r="7459" spans="1:7" x14ac:dyDescent="0.2">
      <c r="A7459" t="s">
        <v>1798</v>
      </c>
      <c r="B7459">
        <v>0</v>
      </c>
      <c r="C7459">
        <v>0</v>
      </c>
      <c r="D7459">
        <v>0</v>
      </c>
      <c r="E7459">
        <v>0</v>
      </c>
      <c r="F7459">
        <v>0</v>
      </c>
      <c r="G7459">
        <v>0</v>
      </c>
    </row>
    <row r="7460" spans="1:7" x14ac:dyDescent="0.2">
      <c r="A7460" t="s">
        <v>1803</v>
      </c>
      <c r="B7460">
        <v>0</v>
      </c>
      <c r="C7460">
        <v>0</v>
      </c>
      <c r="D7460">
        <v>0</v>
      </c>
      <c r="E7460">
        <v>0</v>
      </c>
      <c r="F7460">
        <v>0</v>
      </c>
      <c r="G7460">
        <v>0</v>
      </c>
    </row>
    <row r="7461" spans="1:7" x14ac:dyDescent="0.2">
      <c r="A7461" t="s">
        <v>1808</v>
      </c>
      <c r="B7461">
        <v>0</v>
      </c>
      <c r="C7461">
        <v>0</v>
      </c>
      <c r="D7461">
        <v>0</v>
      </c>
      <c r="E7461">
        <v>0</v>
      </c>
      <c r="F7461">
        <v>0</v>
      </c>
      <c r="G7461">
        <v>0</v>
      </c>
    </row>
    <row r="7462" spans="1:7" x14ac:dyDescent="0.2">
      <c r="A7462" t="s">
        <v>1813</v>
      </c>
      <c r="B7462">
        <v>0</v>
      </c>
      <c r="C7462">
        <v>0</v>
      </c>
      <c r="D7462">
        <v>0</v>
      </c>
      <c r="E7462">
        <v>0</v>
      </c>
      <c r="F7462">
        <v>0</v>
      </c>
      <c r="G7462">
        <v>0</v>
      </c>
    </row>
    <row r="7463" spans="1:7" x14ac:dyDescent="0.2">
      <c r="A7463" t="s">
        <v>1819</v>
      </c>
      <c r="B7463">
        <v>0</v>
      </c>
      <c r="C7463">
        <v>0</v>
      </c>
      <c r="D7463">
        <v>0</v>
      </c>
      <c r="E7463">
        <v>0</v>
      </c>
      <c r="F7463">
        <v>0</v>
      </c>
      <c r="G7463">
        <v>0</v>
      </c>
    </row>
    <row r="7464" spans="1:7" x14ac:dyDescent="0.2">
      <c r="A7464" t="s">
        <v>1826</v>
      </c>
      <c r="B7464">
        <v>0</v>
      </c>
      <c r="C7464">
        <v>0</v>
      </c>
      <c r="D7464">
        <v>0</v>
      </c>
      <c r="E7464">
        <v>0</v>
      </c>
      <c r="F7464">
        <v>0</v>
      </c>
      <c r="G7464">
        <v>0</v>
      </c>
    </row>
    <row r="7465" spans="1:7" x14ac:dyDescent="0.2">
      <c r="A7465" t="s">
        <v>1830</v>
      </c>
      <c r="B7465">
        <v>0</v>
      </c>
      <c r="C7465">
        <v>0</v>
      </c>
      <c r="D7465">
        <v>0</v>
      </c>
      <c r="E7465">
        <v>0</v>
      </c>
      <c r="F7465">
        <v>0</v>
      </c>
      <c r="G7465">
        <v>0</v>
      </c>
    </row>
    <row r="7466" spans="1:7" x14ac:dyDescent="0.2">
      <c r="A7466" t="s">
        <v>1836</v>
      </c>
      <c r="B7466">
        <v>0</v>
      </c>
      <c r="C7466">
        <v>0</v>
      </c>
      <c r="D7466">
        <v>0</v>
      </c>
      <c r="E7466">
        <v>0</v>
      </c>
      <c r="F7466">
        <v>0</v>
      </c>
      <c r="G7466">
        <v>0</v>
      </c>
    </row>
    <row r="7467" spans="1:7" x14ac:dyDescent="0.2">
      <c r="A7467" t="s">
        <v>1841</v>
      </c>
      <c r="B7467">
        <v>0</v>
      </c>
      <c r="C7467">
        <v>0</v>
      </c>
      <c r="D7467">
        <v>0</v>
      </c>
      <c r="E7467">
        <v>0</v>
      </c>
      <c r="F7467">
        <v>0</v>
      </c>
      <c r="G7467">
        <v>0</v>
      </c>
    </row>
    <row r="7468" spans="1:7" x14ac:dyDescent="0.2">
      <c r="A7468" t="s">
        <v>1842</v>
      </c>
      <c r="B7468">
        <v>0</v>
      </c>
      <c r="C7468">
        <v>0</v>
      </c>
      <c r="D7468">
        <v>5</v>
      </c>
      <c r="E7468">
        <v>0</v>
      </c>
      <c r="F7468">
        <v>0</v>
      </c>
      <c r="G7468">
        <v>5</v>
      </c>
    </row>
    <row r="7469" spans="1:7" x14ac:dyDescent="0.2">
      <c r="A7469" t="s">
        <v>1843</v>
      </c>
      <c r="B7469">
        <v>0</v>
      </c>
      <c r="C7469">
        <v>0</v>
      </c>
      <c r="D7469">
        <v>0</v>
      </c>
      <c r="E7469">
        <v>0</v>
      </c>
      <c r="F7469">
        <v>0</v>
      </c>
      <c r="G7469">
        <v>0</v>
      </c>
    </row>
    <row r="7470" spans="1:7" x14ac:dyDescent="0.2">
      <c r="A7470" t="s">
        <v>1846</v>
      </c>
      <c r="B7470">
        <v>0</v>
      </c>
      <c r="C7470">
        <v>0</v>
      </c>
      <c r="D7470">
        <v>0</v>
      </c>
      <c r="E7470">
        <v>0</v>
      </c>
      <c r="F7470">
        <v>0</v>
      </c>
      <c r="G7470">
        <v>0</v>
      </c>
    </row>
    <row r="7471" spans="1:7" x14ac:dyDescent="0.2">
      <c r="A7471" t="s">
        <v>1851</v>
      </c>
      <c r="B7471">
        <v>0</v>
      </c>
      <c r="C7471">
        <v>0</v>
      </c>
      <c r="D7471">
        <v>0</v>
      </c>
      <c r="E7471">
        <v>0</v>
      </c>
      <c r="F7471">
        <v>0</v>
      </c>
      <c r="G7471">
        <v>0</v>
      </c>
    </row>
    <row r="7472" spans="1:7" x14ac:dyDescent="0.2">
      <c r="A7472" t="s">
        <v>1857</v>
      </c>
      <c r="B7472">
        <v>0</v>
      </c>
      <c r="C7472">
        <v>0</v>
      </c>
      <c r="D7472">
        <v>0</v>
      </c>
      <c r="E7472">
        <v>0</v>
      </c>
      <c r="F7472">
        <v>0</v>
      </c>
      <c r="G7472">
        <v>0</v>
      </c>
    </row>
    <row r="7473" spans="1:7" x14ac:dyDescent="0.2">
      <c r="A7473" t="s">
        <v>1862</v>
      </c>
      <c r="B7473">
        <v>0</v>
      </c>
      <c r="C7473">
        <v>0</v>
      </c>
      <c r="D7473">
        <v>0</v>
      </c>
      <c r="E7473">
        <v>0</v>
      </c>
      <c r="F7473">
        <v>0</v>
      </c>
      <c r="G7473">
        <v>0</v>
      </c>
    </row>
    <row r="7474" spans="1:7" x14ac:dyDescent="0.2">
      <c r="A7474" t="s">
        <v>1867</v>
      </c>
      <c r="B7474">
        <v>0</v>
      </c>
      <c r="C7474">
        <v>0</v>
      </c>
      <c r="D7474">
        <v>0</v>
      </c>
      <c r="E7474">
        <v>0</v>
      </c>
      <c r="F7474">
        <v>0</v>
      </c>
      <c r="G7474">
        <v>0</v>
      </c>
    </row>
    <row r="7475" spans="1:7" x14ac:dyDescent="0.2">
      <c r="A7475" t="s">
        <v>1870</v>
      </c>
      <c r="B7475">
        <v>0</v>
      </c>
      <c r="C7475">
        <v>0</v>
      </c>
      <c r="D7475">
        <v>0</v>
      </c>
      <c r="E7475">
        <v>0</v>
      </c>
      <c r="F7475">
        <v>0</v>
      </c>
      <c r="G7475">
        <v>0</v>
      </c>
    </row>
    <row r="7476" spans="1:7" x14ac:dyDescent="0.2">
      <c r="A7476" t="s">
        <v>1874</v>
      </c>
      <c r="B7476">
        <v>0</v>
      </c>
      <c r="C7476">
        <v>0</v>
      </c>
      <c r="D7476">
        <v>0</v>
      </c>
      <c r="E7476">
        <v>0</v>
      </c>
      <c r="F7476">
        <v>0</v>
      </c>
      <c r="G7476">
        <v>0</v>
      </c>
    </row>
    <row r="7477" spans="1:7" x14ac:dyDescent="0.2">
      <c r="A7477" t="s">
        <v>1876</v>
      </c>
      <c r="B7477">
        <v>0</v>
      </c>
      <c r="C7477">
        <v>0</v>
      </c>
      <c r="D7477">
        <v>0</v>
      </c>
      <c r="E7477">
        <v>0</v>
      </c>
      <c r="F7477">
        <v>0</v>
      </c>
      <c r="G7477">
        <v>0</v>
      </c>
    </row>
    <row r="7478" spans="1:7" x14ac:dyDescent="0.2">
      <c r="A7478" t="s">
        <v>1881</v>
      </c>
      <c r="B7478">
        <v>0</v>
      </c>
      <c r="C7478">
        <v>0</v>
      </c>
      <c r="D7478">
        <v>0</v>
      </c>
      <c r="E7478">
        <v>0</v>
      </c>
      <c r="F7478">
        <v>0</v>
      </c>
      <c r="G7478">
        <v>0</v>
      </c>
    </row>
    <row r="7479" spans="1:7" x14ac:dyDescent="0.2">
      <c r="A7479" t="s">
        <v>1885</v>
      </c>
      <c r="B7479">
        <v>0</v>
      </c>
      <c r="C7479">
        <v>10</v>
      </c>
      <c r="D7479">
        <v>0</v>
      </c>
      <c r="E7479">
        <v>0</v>
      </c>
      <c r="F7479">
        <v>0</v>
      </c>
      <c r="G7479">
        <v>10</v>
      </c>
    </row>
    <row r="7480" spans="1:7" x14ac:dyDescent="0.2">
      <c r="A7480" t="s">
        <v>1887</v>
      </c>
      <c r="B7480">
        <v>0</v>
      </c>
      <c r="C7480">
        <v>0</v>
      </c>
      <c r="D7480">
        <v>0</v>
      </c>
      <c r="E7480">
        <v>0</v>
      </c>
      <c r="F7480">
        <v>0</v>
      </c>
      <c r="G7480">
        <v>0</v>
      </c>
    </row>
    <row r="7481" spans="1:7" x14ac:dyDescent="0.2">
      <c r="A7481" t="s">
        <v>1893</v>
      </c>
      <c r="B7481">
        <v>0</v>
      </c>
      <c r="C7481">
        <v>0</v>
      </c>
      <c r="D7481">
        <v>0</v>
      </c>
      <c r="E7481">
        <v>0</v>
      </c>
      <c r="F7481">
        <v>0</v>
      </c>
      <c r="G7481">
        <v>0</v>
      </c>
    </row>
    <row r="7482" spans="1:7" x14ac:dyDescent="0.2">
      <c r="A7482" t="s">
        <v>1899</v>
      </c>
      <c r="B7482">
        <v>0</v>
      </c>
      <c r="C7482">
        <v>0</v>
      </c>
      <c r="D7482">
        <v>0</v>
      </c>
      <c r="E7482">
        <v>0</v>
      </c>
      <c r="F7482">
        <v>0</v>
      </c>
      <c r="G7482">
        <v>0</v>
      </c>
    </row>
    <row r="7483" spans="1:7" x14ac:dyDescent="0.2">
      <c r="A7483" t="s">
        <v>1906</v>
      </c>
      <c r="B7483">
        <v>0</v>
      </c>
      <c r="C7483">
        <v>0</v>
      </c>
      <c r="D7483">
        <v>0</v>
      </c>
      <c r="E7483">
        <v>0</v>
      </c>
      <c r="F7483">
        <v>0</v>
      </c>
      <c r="G7483">
        <v>0</v>
      </c>
    </row>
    <row r="7484" spans="1:7" x14ac:dyDescent="0.2">
      <c r="A7484" t="s">
        <v>1911</v>
      </c>
      <c r="B7484">
        <v>0</v>
      </c>
      <c r="C7484">
        <v>0</v>
      </c>
      <c r="D7484">
        <v>0</v>
      </c>
      <c r="E7484">
        <v>0</v>
      </c>
      <c r="F7484">
        <v>0</v>
      </c>
      <c r="G7484">
        <v>0</v>
      </c>
    </row>
    <row r="7485" spans="1:7" x14ac:dyDescent="0.2">
      <c r="A7485" t="s">
        <v>1917</v>
      </c>
      <c r="B7485">
        <v>0</v>
      </c>
      <c r="C7485">
        <v>0</v>
      </c>
      <c r="D7485">
        <v>0</v>
      </c>
      <c r="E7485">
        <v>0</v>
      </c>
      <c r="F7485">
        <v>0</v>
      </c>
      <c r="G7485">
        <v>0</v>
      </c>
    </row>
    <row r="7486" spans="1:7" x14ac:dyDescent="0.2">
      <c r="A7486" t="s">
        <v>1922</v>
      </c>
      <c r="B7486">
        <v>0</v>
      </c>
      <c r="C7486">
        <v>0</v>
      </c>
      <c r="D7486">
        <v>0</v>
      </c>
      <c r="E7486">
        <v>0</v>
      </c>
      <c r="F7486">
        <v>0</v>
      </c>
      <c r="G7486">
        <v>0</v>
      </c>
    </row>
    <row r="7487" spans="1:7" x14ac:dyDescent="0.2">
      <c r="A7487" t="s">
        <v>1928</v>
      </c>
      <c r="B7487">
        <v>0</v>
      </c>
      <c r="C7487">
        <v>0</v>
      </c>
      <c r="D7487">
        <v>0</v>
      </c>
      <c r="E7487">
        <v>0</v>
      </c>
      <c r="F7487">
        <v>0</v>
      </c>
      <c r="G7487">
        <v>0</v>
      </c>
    </row>
    <row r="7488" spans="1:7" x14ac:dyDescent="0.2">
      <c r="A7488" t="s">
        <v>1932</v>
      </c>
      <c r="B7488">
        <v>0</v>
      </c>
      <c r="C7488">
        <v>0</v>
      </c>
      <c r="D7488">
        <v>0</v>
      </c>
      <c r="E7488">
        <v>0</v>
      </c>
      <c r="F7488">
        <v>0</v>
      </c>
      <c r="G7488">
        <v>0</v>
      </c>
    </row>
    <row r="7489" spans="1:7" x14ac:dyDescent="0.2">
      <c r="A7489" t="s">
        <v>1938</v>
      </c>
      <c r="B7489">
        <v>0</v>
      </c>
      <c r="C7489">
        <v>0</v>
      </c>
      <c r="D7489">
        <v>0</v>
      </c>
      <c r="E7489">
        <v>0</v>
      </c>
      <c r="F7489">
        <v>0</v>
      </c>
      <c r="G7489">
        <v>0</v>
      </c>
    </row>
    <row r="7490" spans="1:7" x14ac:dyDescent="0.2">
      <c r="A7490" t="s">
        <v>1944</v>
      </c>
      <c r="B7490">
        <v>0</v>
      </c>
      <c r="C7490">
        <v>0</v>
      </c>
      <c r="D7490">
        <v>0</v>
      </c>
      <c r="E7490">
        <v>0</v>
      </c>
      <c r="F7490">
        <v>0</v>
      </c>
      <c r="G7490">
        <v>0</v>
      </c>
    </row>
    <row r="7491" spans="1:7" x14ac:dyDescent="0.2">
      <c r="A7491" t="s">
        <v>1947</v>
      </c>
      <c r="B7491">
        <v>0</v>
      </c>
      <c r="C7491">
        <v>0</v>
      </c>
      <c r="D7491">
        <v>0</v>
      </c>
      <c r="E7491">
        <v>0</v>
      </c>
      <c r="F7491">
        <v>0</v>
      </c>
      <c r="G7491">
        <v>0</v>
      </c>
    </row>
    <row r="7492" spans="1:7" x14ac:dyDescent="0.2">
      <c r="A7492" t="s">
        <v>1953</v>
      </c>
      <c r="B7492">
        <v>0</v>
      </c>
      <c r="C7492">
        <v>0</v>
      </c>
      <c r="D7492">
        <v>0</v>
      </c>
      <c r="E7492">
        <v>0</v>
      </c>
      <c r="F7492">
        <v>0</v>
      </c>
      <c r="G7492">
        <v>0</v>
      </c>
    </row>
    <row r="7493" spans="1:7" x14ac:dyDescent="0.2">
      <c r="A7493" t="s">
        <v>1958</v>
      </c>
      <c r="B7493">
        <v>0</v>
      </c>
      <c r="C7493">
        <v>0</v>
      </c>
      <c r="D7493">
        <v>0</v>
      </c>
      <c r="E7493">
        <v>0</v>
      </c>
      <c r="F7493">
        <v>0</v>
      </c>
      <c r="G7493">
        <v>0</v>
      </c>
    </row>
    <row r="7494" spans="1:7" x14ac:dyDescent="0.2">
      <c r="A7494" t="s">
        <v>1964</v>
      </c>
      <c r="B7494">
        <v>0</v>
      </c>
      <c r="C7494">
        <v>0</v>
      </c>
      <c r="D7494">
        <v>0</v>
      </c>
      <c r="E7494">
        <v>0</v>
      </c>
      <c r="F7494">
        <v>0</v>
      </c>
      <c r="G7494">
        <v>0</v>
      </c>
    </row>
    <row r="7495" spans="1:7" x14ac:dyDescent="0.2">
      <c r="A7495" t="s">
        <v>1973</v>
      </c>
      <c r="B7495">
        <v>0</v>
      </c>
      <c r="C7495">
        <v>0</v>
      </c>
      <c r="D7495">
        <v>0</v>
      </c>
      <c r="E7495">
        <v>0</v>
      </c>
      <c r="F7495">
        <v>0</v>
      </c>
      <c r="G7495">
        <v>0</v>
      </c>
    </row>
    <row r="7496" spans="1:7" x14ac:dyDescent="0.2">
      <c r="A7496" t="s">
        <v>1978</v>
      </c>
      <c r="B7496">
        <v>0</v>
      </c>
      <c r="C7496">
        <v>0</v>
      </c>
      <c r="D7496">
        <v>0</v>
      </c>
      <c r="E7496">
        <v>0</v>
      </c>
      <c r="F7496">
        <v>0</v>
      </c>
      <c r="G7496">
        <v>0</v>
      </c>
    </row>
    <row r="7497" spans="1:7" x14ac:dyDescent="0.2">
      <c r="A7497" t="s">
        <v>1983</v>
      </c>
      <c r="B7497">
        <v>0</v>
      </c>
      <c r="C7497">
        <v>0</v>
      </c>
      <c r="D7497">
        <v>0</v>
      </c>
      <c r="E7497">
        <v>0</v>
      </c>
      <c r="F7497">
        <v>0</v>
      </c>
      <c r="G7497">
        <v>0</v>
      </c>
    </row>
    <row r="7498" spans="1:7" x14ac:dyDescent="0.2">
      <c r="A7498" t="s">
        <v>1984</v>
      </c>
      <c r="B7498">
        <v>0</v>
      </c>
      <c r="C7498">
        <v>0</v>
      </c>
      <c r="D7498">
        <v>0</v>
      </c>
      <c r="E7498">
        <v>0</v>
      </c>
      <c r="F7498">
        <v>0</v>
      </c>
      <c r="G7498">
        <v>0</v>
      </c>
    </row>
    <row r="7499" spans="1:7" x14ac:dyDescent="0.2">
      <c r="A7499" t="s">
        <v>1990</v>
      </c>
      <c r="B7499">
        <v>0</v>
      </c>
      <c r="C7499">
        <v>0</v>
      </c>
      <c r="D7499">
        <v>0</v>
      </c>
      <c r="E7499">
        <v>0</v>
      </c>
      <c r="F7499">
        <v>0</v>
      </c>
      <c r="G7499">
        <v>0</v>
      </c>
    </row>
    <row r="7500" spans="1:7" x14ac:dyDescent="0.2">
      <c r="A7500" t="s">
        <v>1996</v>
      </c>
      <c r="B7500">
        <v>0</v>
      </c>
      <c r="C7500">
        <v>0</v>
      </c>
      <c r="D7500">
        <v>0</v>
      </c>
      <c r="E7500">
        <v>0</v>
      </c>
      <c r="F7500">
        <v>0</v>
      </c>
      <c r="G7500">
        <v>0</v>
      </c>
    </row>
    <row r="7501" spans="1:7" x14ac:dyDescent="0.2">
      <c r="A7501" t="s">
        <v>1998</v>
      </c>
      <c r="B7501">
        <v>0</v>
      </c>
      <c r="C7501">
        <v>0</v>
      </c>
      <c r="D7501">
        <v>0</v>
      </c>
      <c r="E7501">
        <v>0</v>
      </c>
      <c r="F7501">
        <v>0</v>
      </c>
      <c r="G7501">
        <v>0</v>
      </c>
    </row>
    <row r="7502" spans="1:7" x14ac:dyDescent="0.2">
      <c r="A7502" t="s">
        <v>1999</v>
      </c>
      <c r="B7502">
        <v>0</v>
      </c>
      <c r="C7502">
        <v>0</v>
      </c>
      <c r="D7502">
        <v>0</v>
      </c>
      <c r="E7502">
        <v>0</v>
      </c>
      <c r="F7502">
        <v>0</v>
      </c>
      <c r="G7502">
        <v>0</v>
      </c>
    </row>
    <row r="7503" spans="1:7" x14ac:dyDescent="0.2">
      <c r="A7503" t="s">
        <v>2004</v>
      </c>
      <c r="B7503">
        <v>0</v>
      </c>
      <c r="C7503">
        <v>0</v>
      </c>
      <c r="D7503">
        <v>0</v>
      </c>
      <c r="E7503">
        <v>0</v>
      </c>
      <c r="F7503">
        <v>0</v>
      </c>
      <c r="G7503">
        <v>0</v>
      </c>
    </row>
    <row r="7504" spans="1:7" x14ac:dyDescent="0.2">
      <c r="A7504" t="s">
        <v>2009</v>
      </c>
      <c r="B7504">
        <v>0</v>
      </c>
      <c r="C7504">
        <v>0</v>
      </c>
      <c r="D7504">
        <v>0</v>
      </c>
      <c r="E7504">
        <v>0</v>
      </c>
      <c r="F7504">
        <v>0</v>
      </c>
      <c r="G7504">
        <v>0</v>
      </c>
    </row>
    <row r="7505" spans="1:7" x14ac:dyDescent="0.2">
      <c r="A7505" t="s">
        <v>2014</v>
      </c>
      <c r="B7505">
        <v>0</v>
      </c>
      <c r="C7505">
        <v>0</v>
      </c>
      <c r="D7505">
        <v>0</v>
      </c>
      <c r="E7505">
        <v>0</v>
      </c>
      <c r="F7505">
        <v>0</v>
      </c>
      <c r="G7505">
        <v>0</v>
      </c>
    </row>
    <row r="7506" spans="1:7" x14ac:dyDescent="0.2">
      <c r="A7506" t="s">
        <v>2019</v>
      </c>
      <c r="B7506">
        <v>0</v>
      </c>
      <c r="C7506">
        <v>0</v>
      </c>
      <c r="D7506">
        <v>0</v>
      </c>
      <c r="E7506">
        <v>0</v>
      </c>
      <c r="F7506">
        <v>0</v>
      </c>
      <c r="G7506">
        <v>0</v>
      </c>
    </row>
    <row r="7507" spans="1:7" x14ac:dyDescent="0.2">
      <c r="A7507" t="s">
        <v>2023</v>
      </c>
      <c r="B7507">
        <v>0</v>
      </c>
      <c r="C7507">
        <v>0</v>
      </c>
      <c r="D7507">
        <v>0</v>
      </c>
      <c r="E7507">
        <v>0</v>
      </c>
      <c r="F7507">
        <v>0</v>
      </c>
      <c r="G7507">
        <v>0</v>
      </c>
    </row>
    <row r="7508" spans="1:7" x14ac:dyDescent="0.2">
      <c r="A7508" t="s">
        <v>2026</v>
      </c>
      <c r="B7508">
        <v>0</v>
      </c>
      <c r="C7508">
        <v>0</v>
      </c>
      <c r="D7508">
        <v>0</v>
      </c>
      <c r="E7508">
        <v>0</v>
      </c>
      <c r="F7508">
        <v>0</v>
      </c>
      <c r="G7508">
        <v>0</v>
      </c>
    </row>
    <row r="7509" spans="1:7" x14ac:dyDescent="0.2">
      <c r="A7509" t="s">
        <v>2030</v>
      </c>
      <c r="B7509">
        <v>0</v>
      </c>
      <c r="C7509">
        <v>0</v>
      </c>
      <c r="D7509">
        <v>0</v>
      </c>
      <c r="E7509">
        <v>0</v>
      </c>
      <c r="F7509">
        <v>0</v>
      </c>
      <c r="G7509">
        <v>0</v>
      </c>
    </row>
    <row r="7510" spans="1:7" x14ac:dyDescent="0.2">
      <c r="A7510" t="s">
        <v>2035</v>
      </c>
      <c r="B7510">
        <v>0</v>
      </c>
      <c r="C7510">
        <v>0</v>
      </c>
      <c r="D7510">
        <v>0</v>
      </c>
      <c r="E7510">
        <v>0</v>
      </c>
      <c r="F7510">
        <v>0</v>
      </c>
      <c r="G7510">
        <v>0</v>
      </c>
    </row>
    <row r="7511" spans="1:7" x14ac:dyDescent="0.2">
      <c r="A7511" t="s">
        <v>2040</v>
      </c>
      <c r="B7511">
        <v>0</v>
      </c>
      <c r="C7511">
        <v>0</v>
      </c>
      <c r="D7511">
        <v>0</v>
      </c>
      <c r="E7511">
        <v>0</v>
      </c>
      <c r="F7511">
        <v>0</v>
      </c>
      <c r="G7511">
        <v>0</v>
      </c>
    </row>
    <row r="7512" spans="1:7" x14ac:dyDescent="0.2">
      <c r="A7512" t="s">
        <v>2045</v>
      </c>
      <c r="B7512">
        <v>0</v>
      </c>
      <c r="C7512">
        <v>0</v>
      </c>
      <c r="D7512">
        <v>0</v>
      </c>
      <c r="E7512">
        <v>0</v>
      </c>
      <c r="F7512">
        <v>0</v>
      </c>
      <c r="G7512">
        <v>0</v>
      </c>
    </row>
    <row r="7513" spans="1:7" x14ac:dyDescent="0.2">
      <c r="A7513" t="s">
        <v>2049</v>
      </c>
      <c r="B7513">
        <v>0</v>
      </c>
      <c r="C7513">
        <v>0</v>
      </c>
      <c r="D7513">
        <v>0</v>
      </c>
      <c r="E7513">
        <v>0</v>
      </c>
      <c r="F7513">
        <v>0</v>
      </c>
      <c r="G7513">
        <v>0</v>
      </c>
    </row>
    <row r="7514" spans="1:7" x14ac:dyDescent="0.2">
      <c r="A7514" t="s">
        <v>2051</v>
      </c>
      <c r="B7514">
        <v>0</v>
      </c>
      <c r="C7514">
        <v>0</v>
      </c>
      <c r="D7514">
        <v>0</v>
      </c>
      <c r="E7514">
        <v>0</v>
      </c>
      <c r="F7514">
        <v>0</v>
      </c>
      <c r="G7514">
        <v>0</v>
      </c>
    </row>
    <row r="7515" spans="1:7" x14ac:dyDescent="0.2">
      <c r="A7515" t="s">
        <v>2057</v>
      </c>
      <c r="B7515">
        <v>0</v>
      </c>
      <c r="C7515">
        <v>0</v>
      </c>
      <c r="D7515">
        <v>0</v>
      </c>
      <c r="E7515">
        <v>0</v>
      </c>
      <c r="F7515">
        <v>0</v>
      </c>
      <c r="G7515">
        <v>0</v>
      </c>
    </row>
    <row r="7516" spans="1:7" x14ac:dyDescent="0.2">
      <c r="A7516" t="s">
        <v>4344</v>
      </c>
      <c r="B7516">
        <v>0</v>
      </c>
      <c r="C7516">
        <v>0</v>
      </c>
      <c r="D7516">
        <v>0</v>
      </c>
      <c r="E7516">
        <v>0</v>
      </c>
      <c r="F7516">
        <v>0</v>
      </c>
      <c r="G7516">
        <v>0</v>
      </c>
    </row>
    <row r="7517" spans="1:7" x14ac:dyDescent="0.2">
      <c r="A7517" t="s">
        <v>4345</v>
      </c>
      <c r="B7517">
        <v>0</v>
      </c>
      <c r="C7517">
        <v>0</v>
      </c>
      <c r="D7517">
        <v>0</v>
      </c>
      <c r="E7517">
        <v>0</v>
      </c>
      <c r="F7517">
        <v>0</v>
      </c>
      <c r="G7517">
        <v>0</v>
      </c>
    </row>
    <row r="7518" spans="1:7" x14ac:dyDescent="0.2">
      <c r="A7518" t="s">
        <v>2074</v>
      </c>
      <c r="B7518">
        <v>0</v>
      </c>
      <c r="C7518">
        <v>0</v>
      </c>
      <c r="D7518">
        <v>0</v>
      </c>
      <c r="E7518">
        <v>0</v>
      </c>
      <c r="F7518">
        <v>0</v>
      </c>
      <c r="G7518">
        <v>0</v>
      </c>
    </row>
    <row r="7519" spans="1:7" x14ac:dyDescent="0.2">
      <c r="A7519" t="s">
        <v>2079</v>
      </c>
      <c r="B7519">
        <v>0</v>
      </c>
      <c r="C7519">
        <v>0</v>
      </c>
      <c r="D7519">
        <v>0</v>
      </c>
      <c r="E7519">
        <v>0</v>
      </c>
      <c r="F7519">
        <v>0</v>
      </c>
      <c r="G7519">
        <v>0</v>
      </c>
    </row>
    <row r="7520" spans="1:7" x14ac:dyDescent="0.2">
      <c r="A7520" t="s">
        <v>2085</v>
      </c>
      <c r="B7520">
        <v>0</v>
      </c>
      <c r="C7520">
        <v>0</v>
      </c>
      <c r="D7520">
        <v>0</v>
      </c>
      <c r="E7520">
        <v>0</v>
      </c>
      <c r="F7520">
        <v>0</v>
      </c>
      <c r="G7520">
        <v>0</v>
      </c>
    </row>
    <row r="7521" spans="1:7" x14ac:dyDescent="0.2">
      <c r="A7521" t="s">
        <v>2091</v>
      </c>
      <c r="B7521">
        <v>0</v>
      </c>
      <c r="C7521">
        <v>0</v>
      </c>
      <c r="D7521">
        <v>0</v>
      </c>
      <c r="E7521">
        <v>0</v>
      </c>
      <c r="F7521">
        <v>0</v>
      </c>
      <c r="G7521">
        <v>0</v>
      </c>
    </row>
    <row r="7522" spans="1:7" x14ac:dyDescent="0.2">
      <c r="A7522" t="s">
        <v>2097</v>
      </c>
      <c r="B7522">
        <v>0</v>
      </c>
      <c r="C7522">
        <v>0</v>
      </c>
      <c r="D7522">
        <v>0</v>
      </c>
      <c r="E7522">
        <v>0</v>
      </c>
      <c r="F7522">
        <v>0</v>
      </c>
      <c r="G7522">
        <v>0</v>
      </c>
    </row>
    <row r="7523" spans="1:7" x14ac:dyDescent="0.2">
      <c r="A7523" t="s">
        <v>2101</v>
      </c>
      <c r="B7523">
        <v>0</v>
      </c>
      <c r="C7523">
        <v>0</v>
      </c>
      <c r="D7523">
        <v>0</v>
      </c>
      <c r="E7523">
        <v>0</v>
      </c>
      <c r="F7523">
        <v>0</v>
      </c>
      <c r="G7523">
        <v>0</v>
      </c>
    </row>
    <row r="7524" spans="1:7" x14ac:dyDescent="0.2">
      <c r="A7524" t="s">
        <v>2104</v>
      </c>
      <c r="B7524">
        <v>0</v>
      </c>
      <c r="C7524">
        <v>0</v>
      </c>
      <c r="D7524">
        <v>0</v>
      </c>
      <c r="E7524">
        <v>0</v>
      </c>
      <c r="F7524">
        <v>0</v>
      </c>
      <c r="G7524">
        <v>0</v>
      </c>
    </row>
    <row r="7525" spans="1:7" x14ac:dyDescent="0.2">
      <c r="A7525" t="s">
        <v>2107</v>
      </c>
      <c r="B7525">
        <v>0</v>
      </c>
      <c r="C7525">
        <v>0</v>
      </c>
      <c r="D7525">
        <v>0</v>
      </c>
      <c r="E7525">
        <v>0</v>
      </c>
      <c r="F7525">
        <v>0</v>
      </c>
      <c r="G7525">
        <v>0</v>
      </c>
    </row>
    <row r="7526" spans="1:7" x14ac:dyDescent="0.2">
      <c r="A7526" t="s">
        <v>2110</v>
      </c>
      <c r="B7526">
        <v>0</v>
      </c>
      <c r="C7526">
        <v>0</v>
      </c>
      <c r="D7526">
        <v>0</v>
      </c>
      <c r="E7526">
        <v>0</v>
      </c>
      <c r="F7526">
        <v>0</v>
      </c>
      <c r="G7526">
        <v>0</v>
      </c>
    </row>
    <row r="7527" spans="1:7" x14ac:dyDescent="0.2">
      <c r="A7527" t="s">
        <v>2113</v>
      </c>
      <c r="B7527">
        <v>0</v>
      </c>
      <c r="C7527">
        <v>0</v>
      </c>
      <c r="D7527">
        <v>0</v>
      </c>
      <c r="E7527">
        <v>0</v>
      </c>
      <c r="F7527">
        <v>0</v>
      </c>
      <c r="G7527">
        <v>0</v>
      </c>
    </row>
    <row r="7528" spans="1:7" x14ac:dyDescent="0.2">
      <c r="A7528" t="s">
        <v>4346</v>
      </c>
      <c r="B7528">
        <v>0</v>
      </c>
      <c r="C7528">
        <v>0</v>
      </c>
      <c r="D7528">
        <v>0</v>
      </c>
      <c r="E7528">
        <v>0</v>
      </c>
      <c r="F7528">
        <v>0</v>
      </c>
      <c r="G7528">
        <v>0</v>
      </c>
    </row>
    <row r="7529" spans="1:7" x14ac:dyDescent="0.2">
      <c r="A7529" t="s">
        <v>4347</v>
      </c>
      <c r="B7529">
        <v>0</v>
      </c>
      <c r="C7529">
        <v>0</v>
      </c>
      <c r="D7529">
        <v>0</v>
      </c>
      <c r="E7529">
        <v>0</v>
      </c>
      <c r="F7529">
        <v>0</v>
      </c>
      <c r="G7529">
        <v>0</v>
      </c>
    </row>
    <row r="7530" spans="1:7" x14ac:dyDescent="0.2">
      <c r="A7530" t="s">
        <v>4348</v>
      </c>
      <c r="B7530">
        <v>0</v>
      </c>
      <c r="C7530">
        <v>0</v>
      </c>
      <c r="D7530">
        <v>0</v>
      </c>
      <c r="E7530">
        <v>0</v>
      </c>
      <c r="F7530">
        <v>0</v>
      </c>
      <c r="G7530">
        <v>0</v>
      </c>
    </row>
    <row r="7531" spans="1:7" x14ac:dyDescent="0.2">
      <c r="A7531" t="s">
        <v>4349</v>
      </c>
      <c r="B7531">
        <v>0</v>
      </c>
      <c r="C7531">
        <v>0</v>
      </c>
      <c r="D7531">
        <v>0</v>
      </c>
      <c r="E7531">
        <v>0</v>
      </c>
      <c r="F7531">
        <v>0</v>
      </c>
      <c r="G7531">
        <v>0</v>
      </c>
    </row>
    <row r="7532" spans="1:7" x14ac:dyDescent="0.2">
      <c r="A7532" t="s">
        <v>4350</v>
      </c>
      <c r="B7532">
        <v>0</v>
      </c>
      <c r="C7532">
        <v>0</v>
      </c>
      <c r="D7532">
        <v>2</v>
      </c>
      <c r="E7532">
        <v>0</v>
      </c>
      <c r="F7532">
        <v>0</v>
      </c>
      <c r="G7532">
        <v>2</v>
      </c>
    </row>
    <row r="7533" spans="1:7" x14ac:dyDescent="0.2">
      <c r="A7533" t="s">
        <v>4351</v>
      </c>
      <c r="B7533">
        <v>0</v>
      </c>
      <c r="C7533">
        <v>0</v>
      </c>
      <c r="D7533">
        <v>0</v>
      </c>
      <c r="E7533">
        <v>0</v>
      </c>
      <c r="F7533">
        <v>0</v>
      </c>
      <c r="G7533">
        <v>0</v>
      </c>
    </row>
    <row r="7534" spans="1:7" x14ac:dyDescent="0.2">
      <c r="A7534" t="s">
        <v>4352</v>
      </c>
      <c r="B7534">
        <v>0</v>
      </c>
      <c r="C7534">
        <v>0</v>
      </c>
      <c r="D7534">
        <v>0</v>
      </c>
      <c r="E7534">
        <v>0</v>
      </c>
      <c r="F7534">
        <v>0</v>
      </c>
      <c r="G7534">
        <v>0</v>
      </c>
    </row>
    <row r="7535" spans="1:7" x14ac:dyDescent="0.2">
      <c r="A7535" t="s">
        <v>4353</v>
      </c>
      <c r="B7535">
        <v>0</v>
      </c>
      <c r="C7535">
        <v>12</v>
      </c>
      <c r="D7535">
        <v>7</v>
      </c>
      <c r="E7535">
        <v>0</v>
      </c>
      <c r="F7535">
        <v>0</v>
      </c>
      <c r="G7535">
        <v>20</v>
      </c>
    </row>
    <row r="7536" spans="1:7" x14ac:dyDescent="0.2">
      <c r="A7536" t="s">
        <v>4354</v>
      </c>
      <c r="B7536">
        <v>3</v>
      </c>
      <c r="C7536">
        <v>13</v>
      </c>
      <c r="D7536">
        <v>6</v>
      </c>
      <c r="E7536">
        <v>0</v>
      </c>
      <c r="F7536">
        <v>0</v>
      </c>
      <c r="G7536">
        <v>22</v>
      </c>
    </row>
    <row r="7537" spans="1:7" x14ac:dyDescent="0.2">
      <c r="A7537" t="s">
        <v>4355</v>
      </c>
      <c r="B7537">
        <v>0</v>
      </c>
      <c r="C7537">
        <v>0</v>
      </c>
      <c r="D7537">
        <v>0</v>
      </c>
      <c r="E7537">
        <v>0</v>
      </c>
      <c r="F7537">
        <v>0</v>
      </c>
      <c r="G7537">
        <v>0</v>
      </c>
    </row>
    <row r="7538" spans="1:7" x14ac:dyDescent="0.2">
      <c r="A7538" t="s">
        <v>4356</v>
      </c>
      <c r="B7538">
        <v>0</v>
      </c>
      <c r="C7538">
        <v>0</v>
      </c>
      <c r="D7538">
        <v>0</v>
      </c>
      <c r="E7538">
        <v>0</v>
      </c>
      <c r="F7538">
        <v>0</v>
      </c>
      <c r="G7538">
        <v>0</v>
      </c>
    </row>
    <row r="7539" spans="1:7" x14ac:dyDescent="0.2">
      <c r="A7539" t="s">
        <v>4357</v>
      </c>
      <c r="B7539">
        <v>0</v>
      </c>
      <c r="C7539">
        <v>0</v>
      </c>
      <c r="D7539">
        <v>0</v>
      </c>
      <c r="E7539">
        <v>0</v>
      </c>
      <c r="F7539">
        <v>0</v>
      </c>
      <c r="G7539">
        <v>0</v>
      </c>
    </row>
    <row r="7540" spans="1:7" x14ac:dyDescent="0.2">
      <c r="A7540" t="s">
        <v>4358</v>
      </c>
      <c r="B7540">
        <v>0</v>
      </c>
      <c r="C7540">
        <v>0</v>
      </c>
      <c r="D7540">
        <v>0</v>
      </c>
      <c r="E7540">
        <v>0</v>
      </c>
      <c r="F7540">
        <v>0</v>
      </c>
      <c r="G7540">
        <v>0</v>
      </c>
    </row>
    <row r="7541" spans="1:7" x14ac:dyDescent="0.2">
      <c r="A7541" t="s">
        <v>4359</v>
      </c>
      <c r="B7541">
        <v>0</v>
      </c>
      <c r="C7541">
        <v>0</v>
      </c>
      <c r="D7541">
        <v>0</v>
      </c>
      <c r="E7541">
        <v>0</v>
      </c>
      <c r="F7541">
        <v>0</v>
      </c>
      <c r="G7541">
        <v>0</v>
      </c>
    </row>
    <row r="7542" spans="1:7" x14ac:dyDescent="0.2">
      <c r="A7542" t="s">
        <v>4360</v>
      </c>
      <c r="B7542">
        <v>0</v>
      </c>
      <c r="C7542">
        <v>0</v>
      </c>
      <c r="D7542">
        <v>0</v>
      </c>
      <c r="E7542">
        <v>0</v>
      </c>
      <c r="F7542">
        <v>0</v>
      </c>
      <c r="G7542">
        <v>0</v>
      </c>
    </row>
    <row r="7543" spans="1:7" x14ac:dyDescent="0.2">
      <c r="A7543" t="s">
        <v>4361</v>
      </c>
      <c r="B7543">
        <v>0</v>
      </c>
      <c r="C7543">
        <v>0</v>
      </c>
      <c r="D7543">
        <v>1</v>
      </c>
      <c r="E7543">
        <v>0</v>
      </c>
      <c r="F7543">
        <v>0</v>
      </c>
      <c r="G7543">
        <v>1</v>
      </c>
    </row>
    <row r="7544" spans="1:7" x14ac:dyDescent="0.2">
      <c r="A7544" t="s">
        <v>4362</v>
      </c>
      <c r="B7544">
        <v>0</v>
      </c>
      <c r="C7544">
        <v>0</v>
      </c>
      <c r="D7544">
        <v>0</v>
      </c>
      <c r="E7544">
        <v>0</v>
      </c>
      <c r="F7544">
        <v>0</v>
      </c>
      <c r="G7544">
        <v>0</v>
      </c>
    </row>
    <row r="7545" spans="1:7" x14ac:dyDescent="0.2">
      <c r="A7545" t="s">
        <v>4363</v>
      </c>
      <c r="B7545">
        <v>0</v>
      </c>
      <c r="C7545">
        <v>0</v>
      </c>
      <c r="D7545">
        <v>0</v>
      </c>
      <c r="E7545">
        <v>0</v>
      </c>
      <c r="F7545">
        <v>0</v>
      </c>
      <c r="G7545">
        <v>0</v>
      </c>
    </row>
    <row r="7546" spans="1:7" x14ac:dyDescent="0.2">
      <c r="A7546" t="s">
        <v>4364</v>
      </c>
      <c r="B7546">
        <v>0</v>
      </c>
      <c r="C7546">
        <v>0</v>
      </c>
      <c r="D7546">
        <v>0</v>
      </c>
      <c r="E7546">
        <v>0</v>
      </c>
      <c r="F7546">
        <v>0</v>
      </c>
      <c r="G7546">
        <v>0</v>
      </c>
    </row>
    <row r="7547" spans="1:7" x14ac:dyDescent="0.2">
      <c r="A7547" t="s">
        <v>4365</v>
      </c>
      <c r="B7547">
        <v>0</v>
      </c>
      <c r="C7547">
        <v>4</v>
      </c>
      <c r="D7547">
        <v>0</v>
      </c>
      <c r="E7547">
        <v>0</v>
      </c>
      <c r="F7547">
        <v>0</v>
      </c>
      <c r="G7547">
        <v>4</v>
      </c>
    </row>
    <row r="7548" spans="1:7" x14ac:dyDescent="0.2">
      <c r="A7548" t="s">
        <v>4366</v>
      </c>
      <c r="B7548">
        <v>0</v>
      </c>
      <c r="C7548">
        <v>0</v>
      </c>
      <c r="D7548">
        <v>0</v>
      </c>
      <c r="E7548">
        <v>0</v>
      </c>
      <c r="F7548">
        <v>0</v>
      </c>
      <c r="G7548">
        <v>0</v>
      </c>
    </row>
    <row r="7549" spans="1:7" x14ac:dyDescent="0.2">
      <c r="A7549" t="s">
        <v>4367</v>
      </c>
      <c r="B7549">
        <v>0</v>
      </c>
      <c r="C7549">
        <v>0</v>
      </c>
      <c r="D7549">
        <v>0</v>
      </c>
      <c r="E7549">
        <v>0</v>
      </c>
      <c r="F7549">
        <v>0</v>
      </c>
      <c r="G7549">
        <v>0</v>
      </c>
    </row>
    <row r="7550" spans="1:7" x14ac:dyDescent="0.2">
      <c r="A7550" t="s">
        <v>4368</v>
      </c>
      <c r="B7550">
        <v>1</v>
      </c>
      <c r="C7550">
        <v>1</v>
      </c>
      <c r="D7550">
        <v>4</v>
      </c>
      <c r="E7550">
        <v>5</v>
      </c>
      <c r="F7550">
        <v>1</v>
      </c>
      <c r="G7550">
        <v>11</v>
      </c>
    </row>
    <row r="7551" spans="1:7" x14ac:dyDescent="0.2">
      <c r="A7551" t="s">
        <v>4369</v>
      </c>
      <c r="B7551">
        <v>0</v>
      </c>
      <c r="C7551">
        <v>0</v>
      </c>
      <c r="D7551">
        <v>46</v>
      </c>
      <c r="E7551">
        <v>0</v>
      </c>
      <c r="F7551">
        <v>0</v>
      </c>
      <c r="G7551">
        <v>46</v>
      </c>
    </row>
    <row r="7552" spans="1:7" x14ac:dyDescent="0.2">
      <c r="A7552" t="s">
        <v>4370</v>
      </c>
      <c r="B7552">
        <v>0</v>
      </c>
      <c r="C7552">
        <v>0</v>
      </c>
      <c r="D7552">
        <v>0</v>
      </c>
      <c r="E7552">
        <v>0</v>
      </c>
      <c r="F7552">
        <v>0</v>
      </c>
      <c r="G7552">
        <v>0</v>
      </c>
    </row>
    <row r="7553" spans="1:10" x14ac:dyDescent="0.2">
      <c r="A7553" t="s">
        <v>4371</v>
      </c>
      <c r="B7553">
        <v>0</v>
      </c>
      <c r="C7553">
        <v>0</v>
      </c>
      <c r="D7553">
        <v>0</v>
      </c>
      <c r="E7553">
        <v>0</v>
      </c>
      <c r="F7553">
        <v>0</v>
      </c>
      <c r="G7553">
        <v>0</v>
      </c>
    </row>
    <row r="7554" spans="1:10" x14ac:dyDescent="0.2">
      <c r="A7554" t="s">
        <v>4372</v>
      </c>
      <c r="B7554">
        <v>0</v>
      </c>
      <c r="C7554">
        <v>0</v>
      </c>
      <c r="D7554">
        <v>0</v>
      </c>
      <c r="E7554">
        <v>0</v>
      </c>
      <c r="F7554">
        <v>0</v>
      </c>
      <c r="G7554">
        <v>0</v>
      </c>
    </row>
    <row r="7555" spans="1:10" x14ac:dyDescent="0.2">
      <c r="A7555" t="s">
        <v>4373</v>
      </c>
      <c r="B7555">
        <v>0</v>
      </c>
      <c r="C7555">
        <v>0</v>
      </c>
      <c r="D7555">
        <v>0</v>
      </c>
      <c r="E7555">
        <v>0</v>
      </c>
      <c r="F7555">
        <v>0</v>
      </c>
      <c r="G7555">
        <v>0</v>
      </c>
    </row>
    <row r="7556" spans="1:10" x14ac:dyDescent="0.2">
      <c r="A7556" t="s">
        <v>4374</v>
      </c>
      <c r="B7556">
        <v>0</v>
      </c>
      <c r="C7556">
        <v>0</v>
      </c>
      <c r="D7556">
        <v>0</v>
      </c>
      <c r="E7556">
        <v>0</v>
      </c>
      <c r="F7556">
        <v>0</v>
      </c>
      <c r="G7556">
        <v>0</v>
      </c>
    </row>
    <row r="7557" spans="1:10" x14ac:dyDescent="0.2">
      <c r="A7557" t="s">
        <v>4375</v>
      </c>
      <c r="B7557">
        <v>0</v>
      </c>
      <c r="C7557">
        <v>0</v>
      </c>
      <c r="D7557">
        <v>0</v>
      </c>
      <c r="E7557">
        <v>0</v>
      </c>
      <c r="F7557">
        <v>0</v>
      </c>
      <c r="G7557">
        <v>0</v>
      </c>
    </row>
    <row r="7558" spans="1:10" x14ac:dyDescent="0.2">
      <c r="A7558" t="s">
        <v>4376</v>
      </c>
      <c r="B7558">
        <v>0</v>
      </c>
      <c r="C7558">
        <v>0</v>
      </c>
      <c r="D7558">
        <v>0</v>
      </c>
      <c r="E7558">
        <v>0</v>
      </c>
      <c r="F7558">
        <v>0</v>
      </c>
      <c r="G7558">
        <v>0</v>
      </c>
    </row>
    <row r="7559" spans="1:10" x14ac:dyDescent="0.2">
      <c r="A7559" t="s">
        <v>4377</v>
      </c>
      <c r="B7559">
        <v>0</v>
      </c>
      <c r="C7559">
        <v>0</v>
      </c>
      <c r="D7559">
        <v>0</v>
      </c>
      <c r="E7559">
        <v>0</v>
      </c>
      <c r="F7559">
        <v>0</v>
      </c>
      <c r="G7559">
        <v>0</v>
      </c>
    </row>
    <row r="7560" spans="1:10" x14ac:dyDescent="0.2">
      <c r="A7560" t="s">
        <v>2318</v>
      </c>
      <c r="B7560" t="s">
        <v>2319</v>
      </c>
      <c r="C7560" t="s">
        <v>2319</v>
      </c>
      <c r="D7560" t="s">
        <v>2319</v>
      </c>
      <c r="E7560" t="s">
        <v>2319</v>
      </c>
      <c r="F7560" t="s">
        <v>2319</v>
      </c>
      <c r="G7560" t="s">
        <v>2319</v>
      </c>
    </row>
    <row r="7561" spans="1:10" x14ac:dyDescent="0.2">
      <c r="A7561" t="s">
        <v>4248</v>
      </c>
    </row>
    <row r="7562" spans="1:10" x14ac:dyDescent="0.2">
      <c r="A7562" t="s">
        <v>4250</v>
      </c>
      <c r="C7562" t="s">
        <v>4251</v>
      </c>
      <c r="G7562" t="s">
        <v>7531</v>
      </c>
      <c r="J7562"/>
    </row>
    <row r="7563" spans="1:10" x14ac:dyDescent="0.2">
      <c r="A7563" t="s">
        <v>4925</v>
      </c>
      <c r="G7563" t="s">
        <v>7542</v>
      </c>
      <c r="J7563"/>
    </row>
    <row r="7564" spans="1:10" x14ac:dyDescent="0.2">
      <c r="A7564" t="s">
        <v>7530</v>
      </c>
      <c r="J7564"/>
    </row>
    <row r="7565" spans="1:10" x14ac:dyDescent="0.2">
      <c r="A7565" t="s">
        <v>5034</v>
      </c>
      <c r="J7565"/>
    </row>
    <row r="7566" spans="1:10" x14ac:dyDescent="0.2">
      <c r="J7566"/>
    </row>
    <row r="7567" spans="1:10" x14ac:dyDescent="0.2">
      <c r="A7567" t="s">
        <v>4259</v>
      </c>
      <c r="J7567"/>
    </row>
    <row r="7568" spans="1:10" x14ac:dyDescent="0.2">
      <c r="A7568" t="s">
        <v>2318</v>
      </c>
      <c r="B7568" t="s">
        <v>2319</v>
      </c>
      <c r="C7568" t="s">
        <v>2319</v>
      </c>
      <c r="D7568" t="s">
        <v>2319</v>
      </c>
      <c r="E7568" t="s">
        <v>2319</v>
      </c>
      <c r="F7568" t="s">
        <v>2319</v>
      </c>
      <c r="G7568" t="s">
        <v>2319</v>
      </c>
    </row>
    <row r="7569" spans="1:7" x14ac:dyDescent="0.2">
      <c r="A7569" t="s">
        <v>174</v>
      </c>
      <c r="B7569" t="s">
        <v>4945</v>
      </c>
      <c r="C7569" t="s">
        <v>4946</v>
      </c>
      <c r="D7569" t="s">
        <v>4947</v>
      </c>
      <c r="E7569" t="s">
        <v>4948</v>
      </c>
      <c r="F7569" t="s">
        <v>4949</v>
      </c>
    </row>
    <row r="7570" spans="1:7" x14ac:dyDescent="0.2">
      <c r="A7570" t="s">
        <v>126</v>
      </c>
      <c r="B7570" t="s">
        <v>4262</v>
      </c>
      <c r="C7570" t="s">
        <v>4263</v>
      </c>
      <c r="D7570" t="s">
        <v>4264</v>
      </c>
      <c r="E7570" t="s">
        <v>2308</v>
      </c>
      <c r="F7570" t="s">
        <v>615</v>
      </c>
      <c r="G7570" t="s">
        <v>236</v>
      </c>
    </row>
    <row r="7571" spans="1:7" x14ac:dyDescent="0.2">
      <c r="A7571" t="s">
        <v>2318</v>
      </c>
      <c r="B7571" t="s">
        <v>2319</v>
      </c>
      <c r="C7571" t="s">
        <v>2319</v>
      </c>
      <c r="D7571" t="s">
        <v>2319</v>
      </c>
      <c r="E7571" t="s">
        <v>2319</v>
      </c>
      <c r="F7571" t="s">
        <v>2319</v>
      </c>
      <c r="G7571" t="s">
        <v>2319</v>
      </c>
    </row>
    <row r="7572" spans="1:7" x14ac:dyDescent="0.2">
      <c r="A7572" t="s">
        <v>4265</v>
      </c>
      <c r="B7572">
        <v>0</v>
      </c>
      <c r="C7572">
        <v>0</v>
      </c>
      <c r="D7572">
        <v>0</v>
      </c>
      <c r="E7572">
        <v>0</v>
      </c>
      <c r="F7572">
        <v>0</v>
      </c>
      <c r="G7572">
        <v>0</v>
      </c>
    </row>
    <row r="7573" spans="1:7" x14ac:dyDescent="0.2">
      <c r="A7573" t="s">
        <v>4266</v>
      </c>
      <c r="B7573">
        <v>0</v>
      </c>
      <c r="C7573">
        <v>0</v>
      </c>
      <c r="D7573">
        <v>0</v>
      </c>
      <c r="E7573">
        <v>0</v>
      </c>
      <c r="F7573">
        <v>0</v>
      </c>
      <c r="G7573">
        <v>0</v>
      </c>
    </row>
    <row r="7574" spans="1:7" x14ac:dyDescent="0.2">
      <c r="A7574" t="s">
        <v>4267</v>
      </c>
      <c r="B7574">
        <v>40</v>
      </c>
      <c r="C7574">
        <v>6</v>
      </c>
      <c r="D7574">
        <v>1</v>
      </c>
      <c r="E7574">
        <v>0</v>
      </c>
      <c r="F7574">
        <v>0</v>
      </c>
      <c r="G7574">
        <v>47</v>
      </c>
    </row>
    <row r="7575" spans="1:7" x14ac:dyDescent="0.2">
      <c r="A7575" t="s">
        <v>4268</v>
      </c>
      <c r="B7575">
        <v>0</v>
      </c>
      <c r="C7575">
        <v>6</v>
      </c>
      <c r="D7575">
        <v>0</v>
      </c>
      <c r="E7575">
        <v>0</v>
      </c>
      <c r="F7575">
        <v>0</v>
      </c>
      <c r="G7575">
        <v>6</v>
      </c>
    </row>
    <row r="7576" spans="1:7" x14ac:dyDescent="0.2">
      <c r="A7576" t="s">
        <v>4269</v>
      </c>
      <c r="B7576">
        <v>67</v>
      </c>
      <c r="C7576">
        <v>0</v>
      </c>
      <c r="D7576">
        <v>1</v>
      </c>
      <c r="E7576">
        <v>0</v>
      </c>
      <c r="F7576">
        <v>0</v>
      </c>
      <c r="G7576">
        <v>69</v>
      </c>
    </row>
    <row r="7577" spans="1:7" x14ac:dyDescent="0.2">
      <c r="A7577" t="s">
        <v>4270</v>
      </c>
      <c r="B7577">
        <v>0</v>
      </c>
      <c r="C7577">
        <v>0</v>
      </c>
      <c r="D7577">
        <v>0</v>
      </c>
      <c r="E7577">
        <v>0</v>
      </c>
      <c r="F7577">
        <v>0</v>
      </c>
      <c r="G7577">
        <v>0</v>
      </c>
    </row>
    <row r="7578" spans="1:7" x14ac:dyDescent="0.2">
      <c r="A7578" t="s">
        <v>4271</v>
      </c>
      <c r="B7578">
        <v>16</v>
      </c>
      <c r="C7578">
        <v>5</v>
      </c>
      <c r="D7578">
        <v>0</v>
      </c>
      <c r="E7578">
        <v>1</v>
      </c>
      <c r="F7578">
        <v>0</v>
      </c>
      <c r="G7578">
        <v>22</v>
      </c>
    </row>
    <row r="7579" spans="1:7" x14ac:dyDescent="0.2">
      <c r="A7579" t="s">
        <v>4272</v>
      </c>
      <c r="B7579">
        <v>32</v>
      </c>
      <c r="C7579">
        <v>1</v>
      </c>
      <c r="D7579">
        <v>0</v>
      </c>
      <c r="E7579">
        <v>0</v>
      </c>
      <c r="F7579">
        <v>0</v>
      </c>
      <c r="G7579">
        <v>33</v>
      </c>
    </row>
    <row r="7580" spans="1:7" x14ac:dyDescent="0.2">
      <c r="A7580" t="s">
        <v>4273</v>
      </c>
      <c r="B7580">
        <v>0</v>
      </c>
      <c r="C7580">
        <v>0</v>
      </c>
      <c r="D7580">
        <v>0</v>
      </c>
      <c r="E7580">
        <v>0</v>
      </c>
      <c r="F7580">
        <v>0</v>
      </c>
      <c r="G7580">
        <v>0</v>
      </c>
    </row>
    <row r="7581" spans="1:7" x14ac:dyDescent="0.2">
      <c r="A7581" t="s">
        <v>4274</v>
      </c>
      <c r="B7581">
        <v>0</v>
      </c>
      <c r="C7581">
        <v>0</v>
      </c>
      <c r="D7581">
        <v>0</v>
      </c>
      <c r="E7581">
        <v>0</v>
      </c>
      <c r="F7581">
        <v>0</v>
      </c>
      <c r="G7581">
        <v>0</v>
      </c>
    </row>
    <row r="7582" spans="1:7" x14ac:dyDescent="0.2">
      <c r="A7582" t="s">
        <v>4275</v>
      </c>
      <c r="B7582">
        <v>0</v>
      </c>
      <c r="C7582">
        <v>0</v>
      </c>
      <c r="D7582">
        <v>0</v>
      </c>
      <c r="E7582">
        <v>0</v>
      </c>
      <c r="F7582">
        <v>0</v>
      </c>
      <c r="G7582">
        <v>0</v>
      </c>
    </row>
    <row r="7583" spans="1:7" x14ac:dyDescent="0.2">
      <c r="A7583" t="s">
        <v>4276</v>
      </c>
      <c r="B7583">
        <v>0</v>
      </c>
      <c r="C7583">
        <v>0</v>
      </c>
      <c r="D7583">
        <v>0</v>
      </c>
      <c r="E7583">
        <v>0</v>
      </c>
      <c r="F7583">
        <v>0</v>
      </c>
      <c r="G7583">
        <v>0</v>
      </c>
    </row>
    <row r="7584" spans="1:7" x14ac:dyDescent="0.2">
      <c r="A7584" t="s">
        <v>4277</v>
      </c>
      <c r="B7584">
        <v>0</v>
      </c>
      <c r="C7584">
        <v>0</v>
      </c>
      <c r="D7584">
        <v>0</v>
      </c>
      <c r="E7584">
        <v>0</v>
      </c>
      <c r="F7584">
        <v>0</v>
      </c>
      <c r="G7584">
        <v>0</v>
      </c>
    </row>
    <row r="7585" spans="1:7" x14ac:dyDescent="0.2">
      <c r="A7585" t="s">
        <v>4278</v>
      </c>
      <c r="B7585">
        <v>0</v>
      </c>
      <c r="C7585">
        <v>0</v>
      </c>
      <c r="D7585">
        <v>0</v>
      </c>
      <c r="E7585">
        <v>0</v>
      </c>
      <c r="F7585">
        <v>0</v>
      </c>
      <c r="G7585">
        <v>0</v>
      </c>
    </row>
    <row r="7586" spans="1:7" x14ac:dyDescent="0.2">
      <c r="A7586" t="s">
        <v>4279</v>
      </c>
      <c r="B7586">
        <v>362</v>
      </c>
      <c r="C7586">
        <v>62</v>
      </c>
      <c r="D7586">
        <v>29</v>
      </c>
      <c r="E7586">
        <v>0</v>
      </c>
      <c r="F7586">
        <v>0</v>
      </c>
      <c r="G7586">
        <v>453</v>
      </c>
    </row>
    <row r="7587" spans="1:7" x14ac:dyDescent="0.2">
      <c r="A7587" t="s">
        <v>4280</v>
      </c>
      <c r="B7587">
        <v>1</v>
      </c>
      <c r="C7587">
        <v>3</v>
      </c>
      <c r="D7587">
        <v>0</v>
      </c>
      <c r="E7587">
        <v>0</v>
      </c>
      <c r="F7587">
        <v>0</v>
      </c>
      <c r="G7587">
        <v>4</v>
      </c>
    </row>
    <row r="7588" spans="1:7" x14ac:dyDescent="0.2">
      <c r="A7588" t="s">
        <v>4281</v>
      </c>
      <c r="B7588">
        <v>7286</v>
      </c>
      <c r="C7588">
        <v>4938</v>
      </c>
      <c r="D7588">
        <v>6252</v>
      </c>
      <c r="E7588">
        <v>826</v>
      </c>
      <c r="F7588">
        <v>0</v>
      </c>
      <c r="G7588">
        <v>19301</v>
      </c>
    </row>
    <row r="7589" spans="1:7" x14ac:dyDescent="0.2">
      <c r="A7589" t="s">
        <v>4282</v>
      </c>
      <c r="B7589">
        <v>783</v>
      </c>
      <c r="C7589">
        <v>1286</v>
      </c>
      <c r="D7589">
        <v>1178</v>
      </c>
      <c r="E7589">
        <v>12</v>
      </c>
      <c r="F7589">
        <v>0</v>
      </c>
      <c r="G7589">
        <v>3259</v>
      </c>
    </row>
    <row r="7590" spans="1:7" x14ac:dyDescent="0.2">
      <c r="A7590" t="s">
        <v>4283</v>
      </c>
      <c r="B7590">
        <v>2446</v>
      </c>
      <c r="C7590">
        <v>1688</v>
      </c>
      <c r="D7590">
        <v>939</v>
      </c>
      <c r="E7590">
        <v>275</v>
      </c>
      <c r="F7590">
        <v>0</v>
      </c>
      <c r="G7590">
        <v>5349</v>
      </c>
    </row>
    <row r="7591" spans="1:7" x14ac:dyDescent="0.2">
      <c r="A7591" t="s">
        <v>4284</v>
      </c>
      <c r="B7591">
        <v>71</v>
      </c>
      <c r="C7591">
        <v>0</v>
      </c>
      <c r="D7591">
        <v>134</v>
      </c>
      <c r="E7591">
        <v>2</v>
      </c>
      <c r="F7591">
        <v>0</v>
      </c>
      <c r="G7591">
        <v>208</v>
      </c>
    </row>
    <row r="7592" spans="1:7" x14ac:dyDescent="0.2">
      <c r="A7592" t="s">
        <v>4285</v>
      </c>
      <c r="B7592">
        <v>5121</v>
      </c>
      <c r="C7592">
        <v>4198</v>
      </c>
      <c r="D7592">
        <v>2424</v>
      </c>
      <c r="E7592">
        <v>759</v>
      </c>
      <c r="F7592">
        <v>0</v>
      </c>
      <c r="G7592">
        <v>12502</v>
      </c>
    </row>
    <row r="7593" spans="1:7" x14ac:dyDescent="0.2">
      <c r="A7593" t="s">
        <v>4286</v>
      </c>
      <c r="B7593">
        <v>271</v>
      </c>
      <c r="C7593">
        <v>82</v>
      </c>
      <c r="D7593">
        <v>118</v>
      </c>
      <c r="E7593">
        <v>9</v>
      </c>
      <c r="F7593">
        <v>0</v>
      </c>
      <c r="G7593">
        <v>480</v>
      </c>
    </row>
    <row r="7594" spans="1:7" x14ac:dyDescent="0.2">
      <c r="A7594" t="s">
        <v>4287</v>
      </c>
      <c r="B7594">
        <v>0</v>
      </c>
      <c r="C7594">
        <v>0</v>
      </c>
      <c r="D7594">
        <v>0</v>
      </c>
      <c r="E7594">
        <v>10777</v>
      </c>
      <c r="F7594">
        <v>0</v>
      </c>
      <c r="G7594">
        <v>10777</v>
      </c>
    </row>
    <row r="7595" spans="1:7" x14ac:dyDescent="0.2">
      <c r="A7595" t="s">
        <v>4288</v>
      </c>
      <c r="B7595">
        <v>0</v>
      </c>
      <c r="C7595">
        <v>0</v>
      </c>
      <c r="D7595">
        <v>0</v>
      </c>
      <c r="E7595">
        <v>0</v>
      </c>
      <c r="F7595">
        <v>132</v>
      </c>
      <c r="G7595">
        <v>132</v>
      </c>
    </row>
    <row r="7596" spans="1:7" x14ac:dyDescent="0.2">
      <c r="A7596" t="s">
        <v>4289</v>
      </c>
      <c r="B7596">
        <v>0</v>
      </c>
      <c r="C7596">
        <v>0</v>
      </c>
      <c r="D7596">
        <v>0</v>
      </c>
      <c r="E7596">
        <v>0</v>
      </c>
      <c r="F7596">
        <v>115245</v>
      </c>
      <c r="G7596">
        <v>115245</v>
      </c>
    </row>
    <row r="7597" spans="1:7" x14ac:dyDescent="0.2">
      <c r="A7597" t="s">
        <v>4290</v>
      </c>
      <c r="B7597">
        <v>0</v>
      </c>
      <c r="C7597">
        <v>0</v>
      </c>
      <c r="D7597">
        <v>0</v>
      </c>
      <c r="E7597">
        <v>0</v>
      </c>
      <c r="F7597">
        <v>2405</v>
      </c>
      <c r="G7597">
        <v>2405</v>
      </c>
    </row>
    <row r="7598" spans="1:7" x14ac:dyDescent="0.2">
      <c r="A7598" t="s">
        <v>4291</v>
      </c>
      <c r="B7598">
        <v>0</v>
      </c>
      <c r="C7598">
        <v>0</v>
      </c>
      <c r="D7598">
        <v>0</v>
      </c>
      <c r="E7598">
        <v>0</v>
      </c>
      <c r="F7598">
        <v>0</v>
      </c>
      <c r="G7598">
        <v>0</v>
      </c>
    </row>
    <row r="7599" spans="1:7" x14ac:dyDescent="0.2">
      <c r="A7599" t="s">
        <v>4292</v>
      </c>
      <c r="B7599">
        <v>0</v>
      </c>
      <c r="C7599">
        <v>0</v>
      </c>
      <c r="D7599">
        <v>0</v>
      </c>
      <c r="E7599">
        <v>0</v>
      </c>
      <c r="F7599">
        <v>0</v>
      </c>
      <c r="G7599">
        <v>0</v>
      </c>
    </row>
    <row r="7600" spans="1:7" x14ac:dyDescent="0.2">
      <c r="A7600" t="s">
        <v>4293</v>
      </c>
      <c r="B7600">
        <v>0</v>
      </c>
      <c r="C7600">
        <v>0</v>
      </c>
      <c r="D7600">
        <v>0</v>
      </c>
      <c r="E7600">
        <v>0</v>
      </c>
      <c r="F7600">
        <v>0</v>
      </c>
      <c r="G7600">
        <v>0</v>
      </c>
    </row>
    <row r="7601" spans="1:7" x14ac:dyDescent="0.2">
      <c r="A7601" t="s">
        <v>4294</v>
      </c>
      <c r="B7601">
        <v>0</v>
      </c>
      <c r="C7601">
        <v>0</v>
      </c>
      <c r="D7601">
        <v>0</v>
      </c>
      <c r="E7601">
        <v>0</v>
      </c>
      <c r="F7601">
        <v>5031</v>
      </c>
      <c r="G7601">
        <v>5031</v>
      </c>
    </row>
    <row r="7602" spans="1:7" x14ac:dyDescent="0.2">
      <c r="A7602" t="s">
        <v>4295</v>
      </c>
      <c r="B7602">
        <v>0</v>
      </c>
      <c r="C7602">
        <v>0</v>
      </c>
      <c r="D7602">
        <v>0</v>
      </c>
      <c r="E7602">
        <v>0</v>
      </c>
      <c r="F7602">
        <v>0</v>
      </c>
      <c r="G7602">
        <v>0</v>
      </c>
    </row>
    <row r="7603" spans="1:7" x14ac:dyDescent="0.2">
      <c r="A7603" t="s">
        <v>4296</v>
      </c>
      <c r="B7603">
        <v>0</v>
      </c>
      <c r="C7603">
        <v>0</v>
      </c>
      <c r="D7603">
        <v>0</v>
      </c>
      <c r="E7603">
        <v>0</v>
      </c>
      <c r="F7603">
        <v>0</v>
      </c>
      <c r="G7603">
        <v>0</v>
      </c>
    </row>
    <row r="7604" spans="1:7" x14ac:dyDescent="0.2">
      <c r="A7604" t="s">
        <v>4297</v>
      </c>
      <c r="B7604">
        <v>2757</v>
      </c>
      <c r="C7604">
        <v>15922</v>
      </c>
      <c r="D7604">
        <v>24690</v>
      </c>
      <c r="E7604">
        <v>6717</v>
      </c>
      <c r="F7604">
        <v>0</v>
      </c>
      <c r="G7604">
        <v>50086</v>
      </c>
    </row>
    <row r="7605" spans="1:7" x14ac:dyDescent="0.2">
      <c r="A7605" t="s">
        <v>4298</v>
      </c>
      <c r="B7605">
        <v>770</v>
      </c>
      <c r="C7605">
        <v>2692</v>
      </c>
      <c r="D7605">
        <v>1858</v>
      </c>
      <c r="E7605">
        <v>974</v>
      </c>
      <c r="F7605">
        <v>0</v>
      </c>
      <c r="G7605">
        <v>6294</v>
      </c>
    </row>
    <row r="7606" spans="1:7" x14ac:dyDescent="0.2">
      <c r="A7606" t="s">
        <v>4299</v>
      </c>
      <c r="B7606">
        <v>220</v>
      </c>
      <c r="C7606">
        <v>1259</v>
      </c>
      <c r="D7606">
        <v>2179</v>
      </c>
      <c r="E7606">
        <v>1631</v>
      </c>
      <c r="F7606">
        <v>0</v>
      </c>
      <c r="G7606">
        <v>5288</v>
      </c>
    </row>
    <row r="7607" spans="1:7" x14ac:dyDescent="0.2">
      <c r="A7607" t="s">
        <v>4300</v>
      </c>
      <c r="B7607">
        <v>4</v>
      </c>
      <c r="C7607">
        <v>26</v>
      </c>
      <c r="D7607">
        <v>57</v>
      </c>
      <c r="E7607">
        <v>31</v>
      </c>
      <c r="F7607">
        <v>0</v>
      </c>
      <c r="G7607">
        <v>118</v>
      </c>
    </row>
    <row r="7608" spans="1:7" x14ac:dyDescent="0.2">
      <c r="A7608" t="s">
        <v>4301</v>
      </c>
      <c r="B7608">
        <v>0</v>
      </c>
      <c r="C7608">
        <v>8759</v>
      </c>
      <c r="D7608">
        <v>15329</v>
      </c>
      <c r="E7608">
        <v>6194</v>
      </c>
      <c r="F7608">
        <v>0</v>
      </c>
      <c r="G7608">
        <v>30282</v>
      </c>
    </row>
    <row r="7609" spans="1:7" x14ac:dyDescent="0.2">
      <c r="A7609" t="s">
        <v>4302</v>
      </c>
      <c r="B7609">
        <v>8</v>
      </c>
      <c r="C7609">
        <v>238</v>
      </c>
      <c r="D7609">
        <v>677</v>
      </c>
      <c r="E7609">
        <v>190</v>
      </c>
      <c r="F7609">
        <v>0</v>
      </c>
      <c r="G7609">
        <v>1114</v>
      </c>
    </row>
    <row r="7610" spans="1:7" x14ac:dyDescent="0.2">
      <c r="A7610" t="s">
        <v>4303</v>
      </c>
      <c r="B7610">
        <v>8</v>
      </c>
      <c r="C7610">
        <v>215</v>
      </c>
      <c r="D7610">
        <v>884</v>
      </c>
      <c r="E7610">
        <v>156</v>
      </c>
      <c r="F7610">
        <v>0</v>
      </c>
      <c r="G7610">
        <v>1264</v>
      </c>
    </row>
    <row r="7611" spans="1:7" x14ac:dyDescent="0.2">
      <c r="A7611" t="s">
        <v>4304</v>
      </c>
      <c r="B7611">
        <v>62</v>
      </c>
      <c r="C7611">
        <v>207</v>
      </c>
      <c r="D7611">
        <v>1231</v>
      </c>
      <c r="E7611">
        <v>0</v>
      </c>
      <c r="F7611">
        <v>0</v>
      </c>
      <c r="G7611">
        <v>1500</v>
      </c>
    </row>
    <row r="7612" spans="1:7" x14ac:dyDescent="0.2">
      <c r="A7612" t="s">
        <v>4305</v>
      </c>
      <c r="B7612">
        <v>0</v>
      </c>
      <c r="C7612">
        <v>2160</v>
      </c>
      <c r="D7612">
        <v>1194</v>
      </c>
      <c r="E7612">
        <v>862</v>
      </c>
      <c r="F7612">
        <v>0</v>
      </c>
      <c r="G7612">
        <v>4216</v>
      </c>
    </row>
    <row r="7613" spans="1:7" x14ac:dyDescent="0.2">
      <c r="A7613" t="s">
        <v>4306</v>
      </c>
      <c r="B7613">
        <v>10</v>
      </c>
      <c r="C7613">
        <v>180</v>
      </c>
      <c r="D7613">
        <v>59</v>
      </c>
      <c r="E7613">
        <v>104</v>
      </c>
      <c r="F7613">
        <v>0</v>
      </c>
      <c r="G7613">
        <v>353</v>
      </c>
    </row>
    <row r="7614" spans="1:7" x14ac:dyDescent="0.2">
      <c r="A7614" t="s">
        <v>4307</v>
      </c>
      <c r="B7614">
        <v>60</v>
      </c>
      <c r="C7614">
        <v>553</v>
      </c>
      <c r="D7614">
        <v>2672</v>
      </c>
      <c r="E7614">
        <v>1566</v>
      </c>
      <c r="F7614">
        <v>0</v>
      </c>
      <c r="G7614">
        <v>4851</v>
      </c>
    </row>
    <row r="7615" spans="1:7" x14ac:dyDescent="0.2">
      <c r="A7615" t="s">
        <v>4308</v>
      </c>
      <c r="B7615">
        <v>0</v>
      </c>
      <c r="C7615">
        <v>0</v>
      </c>
      <c r="D7615">
        <v>9</v>
      </c>
      <c r="E7615">
        <v>13</v>
      </c>
      <c r="F7615">
        <v>0</v>
      </c>
      <c r="G7615">
        <v>22</v>
      </c>
    </row>
    <row r="7616" spans="1:7" x14ac:dyDescent="0.2">
      <c r="A7616" t="s">
        <v>4309</v>
      </c>
      <c r="B7616">
        <v>0</v>
      </c>
      <c r="C7616">
        <v>0</v>
      </c>
      <c r="D7616">
        <v>0</v>
      </c>
      <c r="E7616">
        <v>0</v>
      </c>
      <c r="F7616">
        <v>0</v>
      </c>
      <c r="G7616">
        <v>0</v>
      </c>
    </row>
    <row r="7617" spans="1:7" x14ac:dyDescent="0.2">
      <c r="A7617" t="s">
        <v>4310</v>
      </c>
      <c r="B7617">
        <v>0</v>
      </c>
      <c r="C7617">
        <v>0</v>
      </c>
      <c r="D7617">
        <v>0</v>
      </c>
      <c r="E7617">
        <v>0</v>
      </c>
      <c r="F7617">
        <v>0</v>
      </c>
      <c r="G7617">
        <v>0</v>
      </c>
    </row>
    <row r="7618" spans="1:7" x14ac:dyDescent="0.2">
      <c r="A7618" t="s">
        <v>4311</v>
      </c>
      <c r="B7618">
        <v>0</v>
      </c>
      <c r="C7618">
        <v>0</v>
      </c>
      <c r="D7618">
        <v>0</v>
      </c>
      <c r="E7618">
        <v>247</v>
      </c>
      <c r="F7618">
        <v>10</v>
      </c>
      <c r="G7618">
        <v>257</v>
      </c>
    </row>
    <row r="7619" spans="1:7" x14ac:dyDescent="0.2">
      <c r="A7619" t="s">
        <v>4312</v>
      </c>
      <c r="B7619">
        <v>0</v>
      </c>
      <c r="C7619">
        <v>0</v>
      </c>
      <c r="D7619">
        <v>0</v>
      </c>
      <c r="E7619">
        <v>200</v>
      </c>
      <c r="F7619">
        <v>0</v>
      </c>
      <c r="G7619">
        <v>200</v>
      </c>
    </row>
    <row r="7620" spans="1:7" x14ac:dyDescent="0.2">
      <c r="A7620" t="s">
        <v>4313</v>
      </c>
      <c r="B7620">
        <v>0</v>
      </c>
      <c r="C7620">
        <v>0</v>
      </c>
      <c r="D7620">
        <v>0</v>
      </c>
      <c r="E7620">
        <v>0</v>
      </c>
      <c r="F7620">
        <v>0</v>
      </c>
      <c r="G7620">
        <v>0</v>
      </c>
    </row>
    <row r="7621" spans="1:7" x14ac:dyDescent="0.2">
      <c r="A7621" t="s">
        <v>4314</v>
      </c>
      <c r="B7621">
        <v>0</v>
      </c>
      <c r="C7621">
        <v>0</v>
      </c>
      <c r="D7621">
        <v>0</v>
      </c>
      <c r="E7621">
        <v>0</v>
      </c>
      <c r="F7621">
        <v>0</v>
      </c>
      <c r="G7621">
        <v>0</v>
      </c>
    </row>
    <row r="7622" spans="1:7" x14ac:dyDescent="0.2">
      <c r="A7622" t="s">
        <v>4315</v>
      </c>
      <c r="B7622">
        <v>0</v>
      </c>
      <c r="C7622">
        <v>0</v>
      </c>
      <c r="D7622">
        <v>0</v>
      </c>
      <c r="E7622">
        <v>0</v>
      </c>
      <c r="F7622">
        <v>0</v>
      </c>
      <c r="G7622">
        <v>0</v>
      </c>
    </row>
    <row r="7623" spans="1:7" x14ac:dyDescent="0.2">
      <c r="A7623" t="s">
        <v>4316</v>
      </c>
      <c r="B7623">
        <v>0</v>
      </c>
      <c r="C7623">
        <v>0</v>
      </c>
      <c r="D7623">
        <v>0</v>
      </c>
      <c r="E7623">
        <v>0</v>
      </c>
      <c r="F7623">
        <v>0</v>
      </c>
      <c r="G7623">
        <v>0</v>
      </c>
    </row>
    <row r="7624" spans="1:7" x14ac:dyDescent="0.2">
      <c r="A7624" t="s">
        <v>4317</v>
      </c>
      <c r="B7624">
        <v>0</v>
      </c>
      <c r="C7624">
        <v>0</v>
      </c>
      <c r="D7624">
        <v>0</v>
      </c>
      <c r="E7624">
        <v>0</v>
      </c>
      <c r="F7624">
        <v>0</v>
      </c>
      <c r="G7624">
        <v>0</v>
      </c>
    </row>
    <row r="7625" spans="1:7" x14ac:dyDescent="0.2">
      <c r="A7625" t="s">
        <v>4318</v>
      </c>
      <c r="B7625">
        <v>0</v>
      </c>
      <c r="C7625">
        <v>0</v>
      </c>
      <c r="D7625">
        <v>0</v>
      </c>
      <c r="E7625">
        <v>0</v>
      </c>
      <c r="F7625">
        <v>0</v>
      </c>
      <c r="G7625">
        <v>0</v>
      </c>
    </row>
    <row r="7626" spans="1:7" x14ac:dyDescent="0.2">
      <c r="A7626" t="s">
        <v>4319</v>
      </c>
      <c r="B7626">
        <v>0</v>
      </c>
      <c r="C7626">
        <v>0</v>
      </c>
      <c r="D7626">
        <v>0</v>
      </c>
      <c r="E7626">
        <v>0</v>
      </c>
      <c r="F7626">
        <v>0</v>
      </c>
      <c r="G7626">
        <v>0</v>
      </c>
    </row>
    <row r="7627" spans="1:7" x14ac:dyDescent="0.2">
      <c r="A7627" t="s">
        <v>4320</v>
      </c>
      <c r="B7627">
        <v>0</v>
      </c>
      <c r="C7627">
        <v>0</v>
      </c>
      <c r="D7627">
        <v>0</v>
      </c>
      <c r="E7627">
        <v>0</v>
      </c>
      <c r="F7627">
        <v>0</v>
      </c>
      <c r="G7627">
        <v>0</v>
      </c>
    </row>
    <row r="7628" spans="1:7" x14ac:dyDescent="0.2">
      <c r="A7628" t="s">
        <v>4321</v>
      </c>
      <c r="B7628">
        <v>0</v>
      </c>
      <c r="C7628">
        <v>0</v>
      </c>
      <c r="D7628">
        <v>0</v>
      </c>
      <c r="E7628">
        <v>0</v>
      </c>
      <c r="F7628">
        <v>0</v>
      </c>
      <c r="G7628">
        <v>0</v>
      </c>
    </row>
    <row r="7629" spans="1:7" x14ac:dyDescent="0.2">
      <c r="A7629" t="s">
        <v>4322</v>
      </c>
      <c r="B7629">
        <v>0</v>
      </c>
      <c r="C7629">
        <v>0</v>
      </c>
      <c r="D7629">
        <v>0</v>
      </c>
      <c r="E7629">
        <v>0</v>
      </c>
      <c r="F7629">
        <v>0</v>
      </c>
      <c r="G7629">
        <v>0</v>
      </c>
    </row>
    <row r="7630" spans="1:7" x14ac:dyDescent="0.2">
      <c r="A7630" t="s">
        <v>4323</v>
      </c>
      <c r="B7630">
        <v>0</v>
      </c>
      <c r="C7630">
        <v>0</v>
      </c>
      <c r="D7630">
        <v>0</v>
      </c>
      <c r="E7630">
        <v>0</v>
      </c>
      <c r="F7630">
        <v>0</v>
      </c>
      <c r="G7630">
        <v>0</v>
      </c>
    </row>
    <row r="7631" spans="1:7" x14ac:dyDescent="0.2">
      <c r="A7631" t="s">
        <v>4324</v>
      </c>
      <c r="B7631">
        <v>0</v>
      </c>
      <c r="C7631">
        <v>0</v>
      </c>
      <c r="D7631">
        <v>0</v>
      </c>
      <c r="E7631">
        <v>0</v>
      </c>
      <c r="F7631">
        <v>0</v>
      </c>
      <c r="G7631">
        <v>0</v>
      </c>
    </row>
    <row r="7632" spans="1:7" x14ac:dyDescent="0.2">
      <c r="A7632" t="s">
        <v>4325</v>
      </c>
      <c r="B7632">
        <v>0</v>
      </c>
      <c r="C7632">
        <v>0</v>
      </c>
      <c r="D7632">
        <v>0</v>
      </c>
      <c r="E7632">
        <v>0</v>
      </c>
      <c r="F7632">
        <v>0</v>
      </c>
      <c r="G7632">
        <v>0</v>
      </c>
    </row>
    <row r="7633" spans="1:7" x14ac:dyDescent="0.2">
      <c r="A7633" t="s">
        <v>4326</v>
      </c>
      <c r="B7633">
        <v>0</v>
      </c>
      <c r="C7633">
        <v>0</v>
      </c>
      <c r="D7633">
        <v>0</v>
      </c>
      <c r="E7633">
        <v>0</v>
      </c>
      <c r="F7633">
        <v>0</v>
      </c>
      <c r="G7633">
        <v>0</v>
      </c>
    </row>
    <row r="7634" spans="1:7" x14ac:dyDescent="0.2">
      <c r="A7634" t="s">
        <v>4327</v>
      </c>
      <c r="B7634">
        <v>0</v>
      </c>
      <c r="C7634">
        <v>0</v>
      </c>
      <c r="D7634">
        <v>0</v>
      </c>
      <c r="E7634">
        <v>0</v>
      </c>
      <c r="F7634">
        <v>0</v>
      </c>
      <c r="G7634">
        <v>0</v>
      </c>
    </row>
    <row r="7635" spans="1:7" x14ac:dyDescent="0.2">
      <c r="A7635" t="s">
        <v>4328</v>
      </c>
      <c r="B7635">
        <v>0</v>
      </c>
      <c r="C7635">
        <v>0</v>
      </c>
      <c r="D7635">
        <v>0</v>
      </c>
      <c r="E7635">
        <v>0</v>
      </c>
      <c r="F7635">
        <v>0</v>
      </c>
      <c r="G7635">
        <v>0</v>
      </c>
    </row>
    <row r="7636" spans="1:7" x14ac:dyDescent="0.2">
      <c r="A7636" t="s">
        <v>4329</v>
      </c>
      <c r="B7636">
        <v>0</v>
      </c>
      <c r="C7636">
        <v>0</v>
      </c>
      <c r="D7636">
        <v>0</v>
      </c>
      <c r="E7636">
        <v>0</v>
      </c>
      <c r="F7636">
        <v>0</v>
      </c>
      <c r="G7636">
        <v>0</v>
      </c>
    </row>
    <row r="7637" spans="1:7" x14ac:dyDescent="0.2">
      <c r="A7637" t="s">
        <v>4330</v>
      </c>
      <c r="B7637">
        <v>0</v>
      </c>
      <c r="C7637">
        <v>0</v>
      </c>
      <c r="D7637">
        <v>0</v>
      </c>
      <c r="E7637">
        <v>0</v>
      </c>
      <c r="F7637">
        <v>0</v>
      </c>
      <c r="G7637">
        <v>0</v>
      </c>
    </row>
    <row r="7638" spans="1:7" x14ac:dyDescent="0.2">
      <c r="A7638" t="s">
        <v>4331</v>
      </c>
      <c r="B7638">
        <v>0</v>
      </c>
      <c r="C7638">
        <v>0</v>
      </c>
      <c r="D7638">
        <v>0</v>
      </c>
      <c r="E7638">
        <v>0</v>
      </c>
      <c r="F7638">
        <v>0</v>
      </c>
      <c r="G7638">
        <v>0</v>
      </c>
    </row>
    <row r="7639" spans="1:7" x14ac:dyDescent="0.2">
      <c r="A7639" t="s">
        <v>4332</v>
      </c>
      <c r="B7639">
        <v>0</v>
      </c>
      <c r="C7639">
        <v>0</v>
      </c>
      <c r="D7639">
        <v>0</v>
      </c>
      <c r="E7639">
        <v>0</v>
      </c>
      <c r="F7639">
        <v>0</v>
      </c>
      <c r="G7639">
        <v>0</v>
      </c>
    </row>
    <row r="7640" spans="1:7" x14ac:dyDescent="0.2">
      <c r="A7640" t="s">
        <v>4333</v>
      </c>
      <c r="B7640">
        <v>0</v>
      </c>
      <c r="C7640">
        <v>0</v>
      </c>
      <c r="D7640">
        <v>0</v>
      </c>
      <c r="E7640">
        <v>0</v>
      </c>
      <c r="F7640">
        <v>0</v>
      </c>
      <c r="G7640">
        <v>0</v>
      </c>
    </row>
    <row r="7641" spans="1:7" x14ac:dyDescent="0.2">
      <c r="A7641" t="s">
        <v>4334</v>
      </c>
      <c r="B7641">
        <v>0</v>
      </c>
      <c r="C7641">
        <v>0</v>
      </c>
      <c r="D7641">
        <v>0</v>
      </c>
      <c r="E7641">
        <v>0</v>
      </c>
      <c r="F7641">
        <v>0</v>
      </c>
      <c r="G7641">
        <v>0</v>
      </c>
    </row>
    <row r="7642" spans="1:7" x14ac:dyDescent="0.2">
      <c r="A7642" t="s">
        <v>4335</v>
      </c>
      <c r="B7642">
        <v>0</v>
      </c>
      <c r="C7642">
        <v>0</v>
      </c>
      <c r="D7642">
        <v>0</v>
      </c>
      <c r="E7642">
        <v>0</v>
      </c>
      <c r="F7642">
        <v>0</v>
      </c>
      <c r="G7642">
        <v>0</v>
      </c>
    </row>
    <row r="7643" spans="1:7" x14ac:dyDescent="0.2">
      <c r="A7643" t="s">
        <v>4336</v>
      </c>
      <c r="B7643">
        <v>0</v>
      </c>
      <c r="C7643">
        <v>0</v>
      </c>
      <c r="D7643">
        <v>0</v>
      </c>
      <c r="E7643">
        <v>0</v>
      </c>
      <c r="F7643">
        <v>0</v>
      </c>
      <c r="G7643">
        <v>0</v>
      </c>
    </row>
    <row r="7644" spans="1:7" x14ac:dyDescent="0.2">
      <c r="A7644" t="s">
        <v>4337</v>
      </c>
      <c r="B7644">
        <v>0</v>
      </c>
      <c r="C7644">
        <v>0</v>
      </c>
      <c r="D7644">
        <v>0</v>
      </c>
      <c r="E7644">
        <v>0</v>
      </c>
      <c r="F7644">
        <v>0</v>
      </c>
      <c r="G7644">
        <v>0</v>
      </c>
    </row>
    <row r="7645" spans="1:7" x14ac:dyDescent="0.2">
      <c r="A7645" t="s">
        <v>4338</v>
      </c>
      <c r="B7645">
        <v>0</v>
      </c>
      <c r="C7645">
        <v>0</v>
      </c>
      <c r="D7645">
        <v>0</v>
      </c>
      <c r="E7645">
        <v>0</v>
      </c>
      <c r="F7645">
        <v>0</v>
      </c>
      <c r="G7645">
        <v>0</v>
      </c>
    </row>
    <row r="7646" spans="1:7" x14ac:dyDescent="0.2">
      <c r="A7646" t="s">
        <v>4339</v>
      </c>
      <c r="B7646">
        <v>0</v>
      </c>
      <c r="C7646">
        <v>0</v>
      </c>
      <c r="D7646">
        <v>0</v>
      </c>
      <c r="E7646">
        <v>0</v>
      </c>
      <c r="F7646">
        <v>0</v>
      </c>
      <c r="G7646">
        <v>0</v>
      </c>
    </row>
    <row r="7647" spans="1:7" x14ac:dyDescent="0.2">
      <c r="A7647" t="s">
        <v>4340</v>
      </c>
      <c r="B7647">
        <v>0</v>
      </c>
      <c r="C7647">
        <v>0</v>
      </c>
      <c r="D7647">
        <v>0</v>
      </c>
      <c r="E7647">
        <v>0</v>
      </c>
      <c r="F7647">
        <v>0</v>
      </c>
      <c r="G7647">
        <v>0</v>
      </c>
    </row>
    <row r="7648" spans="1:7" x14ac:dyDescent="0.2">
      <c r="A7648" t="s">
        <v>4341</v>
      </c>
      <c r="B7648">
        <v>0</v>
      </c>
      <c r="C7648">
        <v>0</v>
      </c>
      <c r="D7648">
        <v>0</v>
      </c>
      <c r="E7648">
        <v>0</v>
      </c>
      <c r="F7648">
        <v>0</v>
      </c>
      <c r="G7648">
        <v>0</v>
      </c>
    </row>
    <row r="7649" spans="1:7" x14ac:dyDescent="0.2">
      <c r="A7649" t="s">
        <v>4342</v>
      </c>
      <c r="B7649">
        <v>0</v>
      </c>
      <c r="C7649">
        <v>0</v>
      </c>
      <c r="D7649">
        <v>0</v>
      </c>
      <c r="E7649">
        <v>0</v>
      </c>
      <c r="F7649">
        <v>0</v>
      </c>
      <c r="G7649">
        <v>0</v>
      </c>
    </row>
    <row r="7650" spans="1:7" x14ac:dyDescent="0.2">
      <c r="A7650" t="s">
        <v>4343</v>
      </c>
      <c r="B7650">
        <v>0</v>
      </c>
      <c r="C7650">
        <v>0</v>
      </c>
      <c r="D7650">
        <v>0</v>
      </c>
      <c r="E7650">
        <v>0</v>
      </c>
      <c r="F7650">
        <v>0</v>
      </c>
      <c r="G7650">
        <v>0</v>
      </c>
    </row>
    <row r="7651" spans="1:7" x14ac:dyDescent="0.2">
      <c r="A7651" t="s">
        <v>1728</v>
      </c>
      <c r="B7651">
        <v>0</v>
      </c>
      <c r="C7651">
        <v>0</v>
      </c>
      <c r="D7651">
        <v>0</v>
      </c>
      <c r="E7651">
        <v>0</v>
      </c>
      <c r="F7651">
        <v>0</v>
      </c>
      <c r="G7651">
        <v>0</v>
      </c>
    </row>
    <row r="7652" spans="1:7" x14ac:dyDescent="0.2">
      <c r="A7652" t="s">
        <v>1730</v>
      </c>
      <c r="B7652">
        <v>0</v>
      </c>
      <c r="C7652">
        <v>1</v>
      </c>
      <c r="D7652">
        <v>6</v>
      </c>
      <c r="E7652">
        <v>1</v>
      </c>
      <c r="F7652">
        <v>5</v>
      </c>
      <c r="G7652">
        <v>13</v>
      </c>
    </row>
    <row r="7653" spans="1:7" x14ac:dyDescent="0.2">
      <c r="A7653" t="s">
        <v>1733</v>
      </c>
      <c r="B7653">
        <v>0</v>
      </c>
      <c r="C7653">
        <v>0</v>
      </c>
      <c r="D7653">
        <v>0</v>
      </c>
      <c r="E7653">
        <v>0</v>
      </c>
      <c r="F7653">
        <v>0</v>
      </c>
      <c r="G7653">
        <v>0</v>
      </c>
    </row>
    <row r="7654" spans="1:7" x14ac:dyDescent="0.2">
      <c r="A7654" t="s">
        <v>1738</v>
      </c>
      <c r="B7654">
        <v>0</v>
      </c>
      <c r="C7654">
        <v>0</v>
      </c>
      <c r="D7654">
        <v>0</v>
      </c>
      <c r="E7654">
        <v>0</v>
      </c>
      <c r="F7654">
        <v>0</v>
      </c>
      <c r="G7654">
        <v>0</v>
      </c>
    </row>
    <row r="7655" spans="1:7" x14ac:dyDescent="0.2">
      <c r="A7655" t="s">
        <v>1744</v>
      </c>
      <c r="B7655">
        <v>0</v>
      </c>
      <c r="C7655">
        <v>0</v>
      </c>
      <c r="D7655">
        <v>0</v>
      </c>
      <c r="E7655">
        <v>0</v>
      </c>
      <c r="F7655">
        <v>0</v>
      </c>
      <c r="G7655">
        <v>0</v>
      </c>
    </row>
    <row r="7656" spans="1:7" x14ac:dyDescent="0.2">
      <c r="A7656" t="s">
        <v>1747</v>
      </c>
      <c r="B7656">
        <v>0</v>
      </c>
      <c r="C7656">
        <v>0</v>
      </c>
      <c r="D7656">
        <v>0</v>
      </c>
      <c r="E7656">
        <v>0</v>
      </c>
      <c r="F7656">
        <v>0</v>
      </c>
      <c r="G7656">
        <v>0</v>
      </c>
    </row>
    <row r="7657" spans="1:7" x14ac:dyDescent="0.2">
      <c r="A7657" t="s">
        <v>1751</v>
      </c>
      <c r="B7657">
        <v>0</v>
      </c>
      <c r="C7657">
        <v>0</v>
      </c>
      <c r="D7657">
        <v>0</v>
      </c>
      <c r="E7657">
        <v>0</v>
      </c>
      <c r="F7657">
        <v>0</v>
      </c>
      <c r="G7657">
        <v>0</v>
      </c>
    </row>
    <row r="7658" spans="1:7" x14ac:dyDescent="0.2">
      <c r="A7658" t="s">
        <v>1755</v>
      </c>
      <c r="B7658">
        <v>0</v>
      </c>
      <c r="C7658">
        <v>0</v>
      </c>
      <c r="D7658">
        <v>0</v>
      </c>
      <c r="E7658">
        <v>2</v>
      </c>
      <c r="F7658">
        <v>0</v>
      </c>
      <c r="G7658">
        <v>2</v>
      </c>
    </row>
    <row r="7659" spans="1:7" x14ac:dyDescent="0.2">
      <c r="A7659" t="s">
        <v>1757</v>
      </c>
      <c r="B7659">
        <v>0</v>
      </c>
      <c r="C7659">
        <v>0</v>
      </c>
      <c r="D7659">
        <v>0</v>
      </c>
      <c r="E7659">
        <v>1</v>
      </c>
      <c r="F7659">
        <v>0</v>
      </c>
      <c r="G7659">
        <v>1</v>
      </c>
    </row>
    <row r="7660" spans="1:7" x14ac:dyDescent="0.2">
      <c r="A7660" t="s">
        <v>1761</v>
      </c>
      <c r="B7660">
        <v>0</v>
      </c>
      <c r="C7660">
        <v>0</v>
      </c>
      <c r="D7660">
        <v>0</v>
      </c>
      <c r="E7660">
        <v>0</v>
      </c>
      <c r="F7660">
        <v>0</v>
      </c>
      <c r="G7660">
        <v>0</v>
      </c>
    </row>
    <row r="7661" spans="1:7" x14ac:dyDescent="0.2">
      <c r="A7661" t="s">
        <v>1764</v>
      </c>
      <c r="B7661">
        <v>0</v>
      </c>
      <c r="C7661">
        <v>0</v>
      </c>
      <c r="D7661">
        <v>0</v>
      </c>
      <c r="E7661">
        <v>0</v>
      </c>
      <c r="F7661">
        <v>0</v>
      </c>
      <c r="G7661">
        <v>0</v>
      </c>
    </row>
    <row r="7662" spans="1:7" x14ac:dyDescent="0.2">
      <c r="A7662" t="s">
        <v>1770</v>
      </c>
      <c r="B7662">
        <v>8</v>
      </c>
      <c r="C7662">
        <v>46</v>
      </c>
      <c r="D7662">
        <v>300</v>
      </c>
      <c r="E7662">
        <v>561</v>
      </c>
      <c r="F7662">
        <v>0</v>
      </c>
      <c r="G7662">
        <v>916</v>
      </c>
    </row>
    <row r="7663" spans="1:7" x14ac:dyDescent="0.2">
      <c r="A7663" t="s">
        <v>1772</v>
      </c>
      <c r="B7663">
        <v>0</v>
      </c>
      <c r="C7663">
        <v>1</v>
      </c>
      <c r="D7663">
        <v>13</v>
      </c>
      <c r="E7663">
        <v>0</v>
      </c>
      <c r="F7663">
        <v>0</v>
      </c>
      <c r="G7663">
        <v>14</v>
      </c>
    </row>
    <row r="7664" spans="1:7" x14ac:dyDescent="0.2">
      <c r="A7664" t="s">
        <v>1774</v>
      </c>
      <c r="B7664">
        <v>0</v>
      </c>
      <c r="C7664">
        <v>0</v>
      </c>
      <c r="D7664">
        <v>0</v>
      </c>
      <c r="E7664">
        <v>0</v>
      </c>
      <c r="F7664">
        <v>0</v>
      </c>
      <c r="G7664">
        <v>0</v>
      </c>
    </row>
    <row r="7665" spans="1:7" x14ac:dyDescent="0.2">
      <c r="A7665" t="s">
        <v>1777</v>
      </c>
      <c r="B7665">
        <v>0</v>
      </c>
      <c r="C7665">
        <v>0</v>
      </c>
      <c r="D7665">
        <v>0</v>
      </c>
      <c r="E7665">
        <v>0</v>
      </c>
      <c r="F7665">
        <v>0</v>
      </c>
      <c r="G7665">
        <v>0</v>
      </c>
    </row>
    <row r="7666" spans="1:7" x14ac:dyDescent="0.2">
      <c r="A7666" t="s">
        <v>1782</v>
      </c>
      <c r="B7666">
        <v>0</v>
      </c>
      <c r="C7666">
        <v>0</v>
      </c>
      <c r="D7666">
        <v>0</v>
      </c>
      <c r="E7666">
        <v>0</v>
      </c>
      <c r="F7666">
        <v>0</v>
      </c>
      <c r="G7666">
        <v>0</v>
      </c>
    </row>
    <row r="7667" spans="1:7" x14ac:dyDescent="0.2">
      <c r="A7667" t="s">
        <v>1274</v>
      </c>
      <c r="B7667">
        <v>0</v>
      </c>
      <c r="C7667">
        <v>0</v>
      </c>
      <c r="D7667">
        <v>0</v>
      </c>
      <c r="E7667">
        <v>0</v>
      </c>
      <c r="F7667">
        <v>0</v>
      </c>
      <c r="G7667">
        <v>0</v>
      </c>
    </row>
    <row r="7668" spans="1:7" x14ac:dyDescent="0.2">
      <c r="A7668" t="s">
        <v>1277</v>
      </c>
      <c r="B7668">
        <v>0</v>
      </c>
      <c r="C7668">
        <v>0</v>
      </c>
      <c r="D7668">
        <v>0</v>
      </c>
      <c r="E7668">
        <v>0</v>
      </c>
      <c r="F7668">
        <v>0</v>
      </c>
      <c r="G7668">
        <v>0</v>
      </c>
    </row>
    <row r="7669" spans="1:7" x14ac:dyDescent="0.2">
      <c r="A7669" t="s">
        <v>1798</v>
      </c>
      <c r="B7669">
        <v>0</v>
      </c>
      <c r="C7669">
        <v>0</v>
      </c>
      <c r="D7669">
        <v>0</v>
      </c>
      <c r="E7669">
        <v>0</v>
      </c>
      <c r="F7669">
        <v>0</v>
      </c>
      <c r="G7669">
        <v>0</v>
      </c>
    </row>
    <row r="7670" spans="1:7" x14ac:dyDescent="0.2">
      <c r="A7670" t="s">
        <v>1803</v>
      </c>
      <c r="B7670">
        <v>0</v>
      </c>
      <c r="C7670">
        <v>0</v>
      </c>
      <c r="D7670">
        <v>0</v>
      </c>
      <c r="E7670">
        <v>0</v>
      </c>
      <c r="F7670">
        <v>0</v>
      </c>
      <c r="G7670">
        <v>0</v>
      </c>
    </row>
    <row r="7671" spans="1:7" x14ac:dyDescent="0.2">
      <c r="A7671" t="s">
        <v>1808</v>
      </c>
      <c r="B7671">
        <v>0</v>
      </c>
      <c r="C7671">
        <v>0</v>
      </c>
      <c r="D7671">
        <v>0</v>
      </c>
      <c r="E7671">
        <v>0</v>
      </c>
      <c r="F7671">
        <v>0</v>
      </c>
      <c r="G7671">
        <v>0</v>
      </c>
    </row>
    <row r="7672" spans="1:7" x14ac:dyDescent="0.2">
      <c r="A7672" t="s">
        <v>1813</v>
      </c>
      <c r="B7672">
        <v>0</v>
      </c>
      <c r="C7672">
        <v>0</v>
      </c>
      <c r="D7672">
        <v>0</v>
      </c>
      <c r="E7672">
        <v>0</v>
      </c>
      <c r="F7672">
        <v>0</v>
      </c>
      <c r="G7672">
        <v>0</v>
      </c>
    </row>
    <row r="7673" spans="1:7" x14ac:dyDescent="0.2">
      <c r="A7673" t="s">
        <v>1819</v>
      </c>
      <c r="B7673">
        <v>0</v>
      </c>
      <c r="C7673">
        <v>0</v>
      </c>
      <c r="D7673">
        <v>0</v>
      </c>
      <c r="E7673">
        <v>0</v>
      </c>
      <c r="F7673">
        <v>0</v>
      </c>
      <c r="G7673">
        <v>0</v>
      </c>
    </row>
    <row r="7674" spans="1:7" x14ac:dyDescent="0.2">
      <c r="A7674" t="s">
        <v>1826</v>
      </c>
      <c r="B7674">
        <v>0</v>
      </c>
      <c r="C7674">
        <v>0</v>
      </c>
      <c r="D7674">
        <v>0</v>
      </c>
      <c r="E7674">
        <v>0</v>
      </c>
      <c r="F7674">
        <v>0</v>
      </c>
      <c r="G7674">
        <v>0</v>
      </c>
    </row>
    <row r="7675" spans="1:7" x14ac:dyDescent="0.2">
      <c r="A7675" t="s">
        <v>1830</v>
      </c>
      <c r="B7675">
        <v>0</v>
      </c>
      <c r="C7675">
        <v>0</v>
      </c>
      <c r="D7675">
        <v>0</v>
      </c>
      <c r="E7675">
        <v>0</v>
      </c>
      <c r="F7675">
        <v>0</v>
      </c>
      <c r="G7675">
        <v>0</v>
      </c>
    </row>
    <row r="7676" spans="1:7" x14ac:dyDescent="0.2">
      <c r="A7676" t="s">
        <v>1836</v>
      </c>
      <c r="B7676">
        <v>0</v>
      </c>
      <c r="C7676">
        <v>0</v>
      </c>
      <c r="D7676">
        <v>0</v>
      </c>
      <c r="E7676">
        <v>0</v>
      </c>
      <c r="F7676">
        <v>0</v>
      </c>
      <c r="G7676">
        <v>0</v>
      </c>
    </row>
    <row r="7677" spans="1:7" x14ac:dyDescent="0.2">
      <c r="A7677" t="s">
        <v>1841</v>
      </c>
      <c r="B7677">
        <v>0</v>
      </c>
      <c r="C7677">
        <v>0</v>
      </c>
      <c r="D7677">
        <v>0</v>
      </c>
      <c r="E7677">
        <v>0</v>
      </c>
      <c r="F7677">
        <v>0</v>
      </c>
      <c r="G7677">
        <v>0</v>
      </c>
    </row>
    <row r="7678" spans="1:7" x14ac:dyDescent="0.2">
      <c r="A7678" t="s">
        <v>1842</v>
      </c>
      <c r="B7678">
        <v>0</v>
      </c>
      <c r="C7678">
        <v>0</v>
      </c>
      <c r="D7678">
        <v>105</v>
      </c>
      <c r="E7678">
        <v>0</v>
      </c>
      <c r="F7678">
        <v>0</v>
      </c>
      <c r="G7678">
        <v>105</v>
      </c>
    </row>
    <row r="7679" spans="1:7" x14ac:dyDescent="0.2">
      <c r="A7679" t="s">
        <v>1843</v>
      </c>
      <c r="B7679">
        <v>0</v>
      </c>
      <c r="C7679">
        <v>0</v>
      </c>
      <c r="D7679">
        <v>0</v>
      </c>
      <c r="E7679">
        <v>0</v>
      </c>
      <c r="F7679">
        <v>0</v>
      </c>
      <c r="G7679">
        <v>0</v>
      </c>
    </row>
    <row r="7680" spans="1:7" x14ac:dyDescent="0.2">
      <c r="A7680" t="s">
        <v>1846</v>
      </c>
      <c r="B7680">
        <v>0</v>
      </c>
      <c r="C7680">
        <v>0</v>
      </c>
      <c r="D7680">
        <v>0</v>
      </c>
      <c r="E7680">
        <v>0</v>
      </c>
      <c r="F7680">
        <v>0</v>
      </c>
      <c r="G7680">
        <v>0</v>
      </c>
    </row>
    <row r="7681" spans="1:7" x14ac:dyDescent="0.2">
      <c r="A7681" t="s">
        <v>1851</v>
      </c>
      <c r="B7681">
        <v>0</v>
      </c>
      <c r="C7681">
        <v>0</v>
      </c>
      <c r="D7681">
        <v>0</v>
      </c>
      <c r="E7681">
        <v>0</v>
      </c>
      <c r="F7681">
        <v>0</v>
      </c>
      <c r="G7681">
        <v>0</v>
      </c>
    </row>
    <row r="7682" spans="1:7" x14ac:dyDescent="0.2">
      <c r="A7682" t="s">
        <v>1857</v>
      </c>
      <c r="B7682">
        <v>0</v>
      </c>
      <c r="C7682">
        <v>0</v>
      </c>
      <c r="D7682">
        <v>0</v>
      </c>
      <c r="E7682">
        <v>0</v>
      </c>
      <c r="F7682">
        <v>0</v>
      </c>
      <c r="G7682">
        <v>0</v>
      </c>
    </row>
    <row r="7683" spans="1:7" x14ac:dyDescent="0.2">
      <c r="A7683" t="s">
        <v>1862</v>
      </c>
      <c r="B7683">
        <v>0</v>
      </c>
      <c r="C7683">
        <v>0</v>
      </c>
      <c r="D7683">
        <v>0</v>
      </c>
      <c r="E7683">
        <v>0</v>
      </c>
      <c r="F7683">
        <v>0</v>
      </c>
      <c r="G7683">
        <v>0</v>
      </c>
    </row>
    <row r="7684" spans="1:7" x14ac:dyDescent="0.2">
      <c r="A7684" t="s">
        <v>1867</v>
      </c>
      <c r="B7684">
        <v>0</v>
      </c>
      <c r="C7684">
        <v>0</v>
      </c>
      <c r="D7684">
        <v>0</v>
      </c>
      <c r="E7684">
        <v>0</v>
      </c>
      <c r="F7684">
        <v>0</v>
      </c>
      <c r="G7684">
        <v>0</v>
      </c>
    </row>
    <row r="7685" spans="1:7" x14ac:dyDescent="0.2">
      <c r="A7685" t="s">
        <v>1870</v>
      </c>
      <c r="B7685">
        <v>0</v>
      </c>
      <c r="C7685">
        <v>0</v>
      </c>
      <c r="D7685">
        <v>0</v>
      </c>
      <c r="E7685">
        <v>0</v>
      </c>
      <c r="F7685">
        <v>0</v>
      </c>
      <c r="G7685">
        <v>0</v>
      </c>
    </row>
    <row r="7686" spans="1:7" x14ac:dyDescent="0.2">
      <c r="A7686" t="s">
        <v>1874</v>
      </c>
      <c r="B7686">
        <v>0</v>
      </c>
      <c r="C7686">
        <v>0</v>
      </c>
      <c r="D7686">
        <v>0</v>
      </c>
      <c r="E7686">
        <v>0</v>
      </c>
      <c r="F7686">
        <v>0</v>
      </c>
      <c r="G7686">
        <v>0</v>
      </c>
    </row>
    <row r="7687" spans="1:7" x14ac:dyDescent="0.2">
      <c r="A7687" t="s">
        <v>1876</v>
      </c>
      <c r="B7687">
        <v>0</v>
      </c>
      <c r="C7687">
        <v>0</v>
      </c>
      <c r="D7687">
        <v>0</v>
      </c>
      <c r="E7687">
        <v>0</v>
      </c>
      <c r="F7687">
        <v>0</v>
      </c>
      <c r="G7687">
        <v>0</v>
      </c>
    </row>
    <row r="7688" spans="1:7" x14ac:dyDescent="0.2">
      <c r="A7688" t="s">
        <v>1881</v>
      </c>
      <c r="B7688">
        <v>0</v>
      </c>
      <c r="C7688">
        <v>0</v>
      </c>
      <c r="D7688">
        <v>0</v>
      </c>
      <c r="E7688">
        <v>0</v>
      </c>
      <c r="F7688">
        <v>0</v>
      </c>
      <c r="G7688">
        <v>0</v>
      </c>
    </row>
    <row r="7689" spans="1:7" x14ac:dyDescent="0.2">
      <c r="A7689" t="s">
        <v>1885</v>
      </c>
      <c r="B7689">
        <v>0</v>
      </c>
      <c r="C7689">
        <v>61</v>
      </c>
      <c r="D7689">
        <v>0</v>
      </c>
      <c r="E7689">
        <v>0</v>
      </c>
      <c r="F7689">
        <v>0</v>
      </c>
      <c r="G7689">
        <v>61</v>
      </c>
    </row>
    <row r="7690" spans="1:7" x14ac:dyDescent="0.2">
      <c r="A7690" t="s">
        <v>1887</v>
      </c>
      <c r="B7690">
        <v>0</v>
      </c>
      <c r="C7690">
        <v>0</v>
      </c>
      <c r="D7690">
        <v>0</v>
      </c>
      <c r="E7690">
        <v>0</v>
      </c>
      <c r="F7690">
        <v>0</v>
      </c>
      <c r="G7690">
        <v>0</v>
      </c>
    </row>
    <row r="7691" spans="1:7" x14ac:dyDescent="0.2">
      <c r="A7691" t="s">
        <v>1893</v>
      </c>
      <c r="B7691">
        <v>0</v>
      </c>
      <c r="C7691">
        <v>0</v>
      </c>
      <c r="D7691">
        <v>0</v>
      </c>
      <c r="E7691">
        <v>1</v>
      </c>
      <c r="F7691">
        <v>0</v>
      </c>
      <c r="G7691">
        <v>1</v>
      </c>
    </row>
    <row r="7692" spans="1:7" x14ac:dyDescent="0.2">
      <c r="A7692" t="s">
        <v>1899</v>
      </c>
      <c r="B7692">
        <v>0</v>
      </c>
      <c r="C7692">
        <v>0</v>
      </c>
      <c r="D7692">
        <v>0</v>
      </c>
      <c r="E7692">
        <v>0</v>
      </c>
      <c r="F7692">
        <v>0</v>
      </c>
      <c r="G7692">
        <v>0</v>
      </c>
    </row>
    <row r="7693" spans="1:7" x14ac:dyDescent="0.2">
      <c r="A7693" t="s">
        <v>1906</v>
      </c>
      <c r="B7693">
        <v>0</v>
      </c>
      <c r="C7693">
        <v>0</v>
      </c>
      <c r="D7693">
        <v>0</v>
      </c>
      <c r="E7693">
        <v>0</v>
      </c>
      <c r="F7693">
        <v>0</v>
      </c>
      <c r="G7693">
        <v>0</v>
      </c>
    </row>
    <row r="7694" spans="1:7" x14ac:dyDescent="0.2">
      <c r="A7694" t="s">
        <v>1911</v>
      </c>
      <c r="B7694">
        <v>0</v>
      </c>
      <c r="C7694">
        <v>0</v>
      </c>
      <c r="D7694">
        <v>0</v>
      </c>
      <c r="E7694">
        <v>0</v>
      </c>
      <c r="F7694">
        <v>0</v>
      </c>
      <c r="G7694">
        <v>0</v>
      </c>
    </row>
    <row r="7695" spans="1:7" x14ac:dyDescent="0.2">
      <c r="A7695" t="s">
        <v>1917</v>
      </c>
      <c r="B7695">
        <v>0</v>
      </c>
      <c r="C7695">
        <v>0</v>
      </c>
      <c r="D7695">
        <v>0</v>
      </c>
      <c r="E7695">
        <v>0</v>
      </c>
      <c r="F7695">
        <v>0</v>
      </c>
      <c r="G7695">
        <v>0</v>
      </c>
    </row>
    <row r="7696" spans="1:7" x14ac:dyDescent="0.2">
      <c r="A7696" t="s">
        <v>1922</v>
      </c>
      <c r="B7696">
        <v>0</v>
      </c>
      <c r="C7696">
        <v>0</v>
      </c>
      <c r="D7696">
        <v>0</v>
      </c>
      <c r="E7696">
        <v>0</v>
      </c>
      <c r="F7696">
        <v>0</v>
      </c>
      <c r="G7696">
        <v>0</v>
      </c>
    </row>
    <row r="7697" spans="1:7" x14ac:dyDescent="0.2">
      <c r="A7697" t="s">
        <v>1928</v>
      </c>
      <c r="B7697">
        <v>0</v>
      </c>
      <c r="C7697">
        <v>0</v>
      </c>
      <c r="D7697">
        <v>0</v>
      </c>
      <c r="E7697">
        <v>0</v>
      </c>
      <c r="F7697">
        <v>0</v>
      </c>
      <c r="G7697">
        <v>0</v>
      </c>
    </row>
    <row r="7698" spans="1:7" x14ac:dyDescent="0.2">
      <c r="A7698" t="s">
        <v>1932</v>
      </c>
      <c r="B7698">
        <v>0</v>
      </c>
      <c r="C7698">
        <v>0</v>
      </c>
      <c r="D7698">
        <v>0</v>
      </c>
      <c r="E7698">
        <v>0</v>
      </c>
      <c r="F7698">
        <v>0</v>
      </c>
      <c r="G7698">
        <v>0</v>
      </c>
    </row>
    <row r="7699" spans="1:7" x14ac:dyDescent="0.2">
      <c r="A7699" t="s">
        <v>1938</v>
      </c>
      <c r="B7699">
        <v>0</v>
      </c>
      <c r="C7699">
        <v>0</v>
      </c>
      <c r="D7699">
        <v>0</v>
      </c>
      <c r="E7699">
        <v>0</v>
      </c>
      <c r="F7699">
        <v>0</v>
      </c>
      <c r="G7699">
        <v>0</v>
      </c>
    </row>
    <row r="7700" spans="1:7" x14ac:dyDescent="0.2">
      <c r="A7700" t="s">
        <v>1944</v>
      </c>
      <c r="B7700">
        <v>0</v>
      </c>
      <c r="C7700">
        <v>0</v>
      </c>
      <c r="D7700">
        <v>0</v>
      </c>
      <c r="E7700">
        <v>0</v>
      </c>
      <c r="F7700">
        <v>0</v>
      </c>
      <c r="G7700">
        <v>0</v>
      </c>
    </row>
    <row r="7701" spans="1:7" x14ac:dyDescent="0.2">
      <c r="A7701" t="s">
        <v>1947</v>
      </c>
      <c r="B7701">
        <v>0</v>
      </c>
      <c r="C7701">
        <v>0</v>
      </c>
      <c r="D7701">
        <v>0</v>
      </c>
      <c r="E7701">
        <v>0</v>
      </c>
      <c r="F7701">
        <v>0</v>
      </c>
      <c r="G7701">
        <v>0</v>
      </c>
    </row>
    <row r="7702" spans="1:7" x14ac:dyDescent="0.2">
      <c r="A7702" t="s">
        <v>1953</v>
      </c>
      <c r="B7702">
        <v>0</v>
      </c>
      <c r="C7702">
        <v>0</v>
      </c>
      <c r="D7702">
        <v>0</v>
      </c>
      <c r="E7702">
        <v>0</v>
      </c>
      <c r="F7702">
        <v>0</v>
      </c>
      <c r="G7702">
        <v>0</v>
      </c>
    </row>
    <row r="7703" spans="1:7" x14ac:dyDescent="0.2">
      <c r="A7703" t="s">
        <v>1958</v>
      </c>
      <c r="B7703">
        <v>0</v>
      </c>
      <c r="C7703">
        <v>0</v>
      </c>
      <c r="D7703">
        <v>0</v>
      </c>
      <c r="E7703">
        <v>0</v>
      </c>
      <c r="F7703">
        <v>0</v>
      </c>
      <c r="G7703">
        <v>0</v>
      </c>
    </row>
    <row r="7704" spans="1:7" x14ac:dyDescent="0.2">
      <c r="A7704" t="s">
        <v>1964</v>
      </c>
      <c r="B7704">
        <v>0</v>
      </c>
      <c r="C7704">
        <v>0</v>
      </c>
      <c r="D7704">
        <v>0</v>
      </c>
      <c r="E7704">
        <v>0</v>
      </c>
      <c r="F7704">
        <v>0</v>
      </c>
      <c r="G7704">
        <v>0</v>
      </c>
    </row>
    <row r="7705" spans="1:7" x14ac:dyDescent="0.2">
      <c r="A7705" t="s">
        <v>1973</v>
      </c>
      <c r="B7705">
        <v>0</v>
      </c>
      <c r="C7705">
        <v>0</v>
      </c>
      <c r="D7705">
        <v>0</v>
      </c>
      <c r="E7705">
        <v>0</v>
      </c>
      <c r="F7705">
        <v>0</v>
      </c>
      <c r="G7705">
        <v>0</v>
      </c>
    </row>
    <row r="7706" spans="1:7" x14ac:dyDescent="0.2">
      <c r="A7706" t="s">
        <v>1978</v>
      </c>
      <c r="B7706">
        <v>0</v>
      </c>
      <c r="C7706">
        <v>0</v>
      </c>
      <c r="D7706">
        <v>0</v>
      </c>
      <c r="E7706">
        <v>0</v>
      </c>
      <c r="F7706">
        <v>0</v>
      </c>
      <c r="G7706">
        <v>0</v>
      </c>
    </row>
    <row r="7707" spans="1:7" x14ac:dyDescent="0.2">
      <c r="A7707" t="s">
        <v>1983</v>
      </c>
      <c r="B7707">
        <v>0</v>
      </c>
      <c r="C7707">
        <v>0</v>
      </c>
      <c r="D7707">
        <v>0</v>
      </c>
      <c r="E7707">
        <v>0</v>
      </c>
      <c r="F7707">
        <v>0</v>
      </c>
      <c r="G7707">
        <v>0</v>
      </c>
    </row>
    <row r="7708" spans="1:7" x14ac:dyDescent="0.2">
      <c r="A7708" t="s">
        <v>1984</v>
      </c>
      <c r="B7708">
        <v>0</v>
      </c>
      <c r="C7708">
        <v>0</v>
      </c>
      <c r="D7708">
        <v>0</v>
      </c>
      <c r="E7708">
        <v>0</v>
      </c>
      <c r="F7708">
        <v>0</v>
      </c>
      <c r="G7708">
        <v>0</v>
      </c>
    </row>
    <row r="7709" spans="1:7" x14ac:dyDescent="0.2">
      <c r="A7709" t="s">
        <v>1990</v>
      </c>
      <c r="B7709">
        <v>0</v>
      </c>
      <c r="C7709">
        <v>0</v>
      </c>
      <c r="D7709">
        <v>0</v>
      </c>
      <c r="E7709">
        <v>0</v>
      </c>
      <c r="F7709">
        <v>0</v>
      </c>
      <c r="G7709">
        <v>0</v>
      </c>
    </row>
    <row r="7710" spans="1:7" x14ac:dyDescent="0.2">
      <c r="A7710" t="s">
        <v>1996</v>
      </c>
      <c r="B7710">
        <v>0</v>
      </c>
      <c r="C7710">
        <v>0</v>
      </c>
      <c r="D7710">
        <v>0</v>
      </c>
      <c r="E7710">
        <v>0</v>
      </c>
      <c r="F7710">
        <v>0</v>
      </c>
      <c r="G7710">
        <v>0</v>
      </c>
    </row>
    <row r="7711" spans="1:7" x14ac:dyDescent="0.2">
      <c r="A7711" t="s">
        <v>1998</v>
      </c>
      <c r="B7711">
        <v>0</v>
      </c>
      <c r="C7711">
        <v>0</v>
      </c>
      <c r="D7711">
        <v>0</v>
      </c>
      <c r="E7711">
        <v>0</v>
      </c>
      <c r="F7711">
        <v>0</v>
      </c>
      <c r="G7711">
        <v>0</v>
      </c>
    </row>
    <row r="7712" spans="1:7" x14ac:dyDescent="0.2">
      <c r="A7712" t="s">
        <v>1999</v>
      </c>
      <c r="B7712">
        <v>0</v>
      </c>
      <c r="C7712">
        <v>0</v>
      </c>
      <c r="D7712">
        <v>0</v>
      </c>
      <c r="E7712">
        <v>0</v>
      </c>
      <c r="F7712">
        <v>0</v>
      </c>
      <c r="G7712">
        <v>0</v>
      </c>
    </row>
    <row r="7713" spans="1:7" x14ac:dyDescent="0.2">
      <c r="A7713" t="s">
        <v>2004</v>
      </c>
      <c r="B7713">
        <v>0</v>
      </c>
      <c r="C7713">
        <v>0</v>
      </c>
      <c r="D7713">
        <v>0</v>
      </c>
      <c r="E7713">
        <v>0</v>
      </c>
      <c r="F7713">
        <v>0</v>
      </c>
      <c r="G7713">
        <v>0</v>
      </c>
    </row>
    <row r="7714" spans="1:7" x14ac:dyDescent="0.2">
      <c r="A7714" t="s">
        <v>2009</v>
      </c>
      <c r="B7714">
        <v>0</v>
      </c>
      <c r="C7714">
        <v>0</v>
      </c>
      <c r="D7714">
        <v>0</v>
      </c>
      <c r="E7714">
        <v>0</v>
      </c>
      <c r="F7714">
        <v>0</v>
      </c>
      <c r="G7714">
        <v>0</v>
      </c>
    </row>
    <row r="7715" spans="1:7" x14ac:dyDescent="0.2">
      <c r="A7715" t="s">
        <v>2014</v>
      </c>
      <c r="B7715">
        <v>0</v>
      </c>
      <c r="C7715">
        <v>0</v>
      </c>
      <c r="D7715">
        <v>0</v>
      </c>
      <c r="E7715">
        <v>0</v>
      </c>
      <c r="F7715">
        <v>0</v>
      </c>
      <c r="G7715">
        <v>0</v>
      </c>
    </row>
    <row r="7716" spans="1:7" x14ac:dyDescent="0.2">
      <c r="A7716" t="s">
        <v>2019</v>
      </c>
      <c r="B7716">
        <v>0</v>
      </c>
      <c r="C7716">
        <v>0</v>
      </c>
      <c r="D7716">
        <v>0</v>
      </c>
      <c r="E7716">
        <v>0</v>
      </c>
      <c r="F7716">
        <v>0</v>
      </c>
      <c r="G7716">
        <v>0</v>
      </c>
    </row>
    <row r="7717" spans="1:7" x14ac:dyDescent="0.2">
      <c r="A7717" t="s">
        <v>2023</v>
      </c>
      <c r="B7717">
        <v>0</v>
      </c>
      <c r="C7717">
        <v>0</v>
      </c>
      <c r="D7717">
        <v>0</v>
      </c>
      <c r="E7717">
        <v>0</v>
      </c>
      <c r="F7717">
        <v>0</v>
      </c>
      <c r="G7717">
        <v>0</v>
      </c>
    </row>
    <row r="7718" spans="1:7" x14ac:dyDescent="0.2">
      <c r="A7718" t="s">
        <v>2026</v>
      </c>
      <c r="B7718">
        <v>0</v>
      </c>
      <c r="C7718">
        <v>0</v>
      </c>
      <c r="D7718">
        <v>0</v>
      </c>
      <c r="E7718">
        <v>0</v>
      </c>
      <c r="F7718">
        <v>0</v>
      </c>
      <c r="G7718">
        <v>0</v>
      </c>
    </row>
    <row r="7719" spans="1:7" x14ac:dyDescent="0.2">
      <c r="A7719" t="s">
        <v>2030</v>
      </c>
      <c r="B7719">
        <v>0</v>
      </c>
      <c r="C7719">
        <v>0</v>
      </c>
      <c r="D7719">
        <v>0</v>
      </c>
      <c r="E7719">
        <v>0</v>
      </c>
      <c r="F7719">
        <v>0</v>
      </c>
      <c r="G7719">
        <v>0</v>
      </c>
    </row>
    <row r="7720" spans="1:7" x14ac:dyDescent="0.2">
      <c r="A7720" t="s">
        <v>2035</v>
      </c>
      <c r="B7720">
        <v>0</v>
      </c>
      <c r="C7720">
        <v>0</v>
      </c>
      <c r="D7720">
        <v>0</v>
      </c>
      <c r="E7720">
        <v>0</v>
      </c>
      <c r="F7720">
        <v>0</v>
      </c>
      <c r="G7720">
        <v>0</v>
      </c>
    </row>
    <row r="7721" spans="1:7" x14ac:dyDescent="0.2">
      <c r="A7721" t="s">
        <v>2040</v>
      </c>
      <c r="B7721">
        <v>0</v>
      </c>
      <c r="C7721">
        <v>0</v>
      </c>
      <c r="D7721">
        <v>0</v>
      </c>
      <c r="E7721">
        <v>0</v>
      </c>
      <c r="F7721">
        <v>0</v>
      </c>
      <c r="G7721">
        <v>0</v>
      </c>
    </row>
    <row r="7722" spans="1:7" x14ac:dyDescent="0.2">
      <c r="A7722" t="s">
        <v>2045</v>
      </c>
      <c r="B7722">
        <v>0</v>
      </c>
      <c r="C7722">
        <v>0</v>
      </c>
      <c r="D7722">
        <v>0</v>
      </c>
      <c r="E7722">
        <v>0</v>
      </c>
      <c r="F7722">
        <v>0</v>
      </c>
      <c r="G7722">
        <v>0</v>
      </c>
    </row>
    <row r="7723" spans="1:7" x14ac:dyDescent="0.2">
      <c r="A7723" t="s">
        <v>2049</v>
      </c>
      <c r="B7723">
        <v>0</v>
      </c>
      <c r="C7723">
        <v>0</v>
      </c>
      <c r="D7723">
        <v>0</v>
      </c>
      <c r="E7723">
        <v>0</v>
      </c>
      <c r="F7723">
        <v>0</v>
      </c>
      <c r="G7723">
        <v>0</v>
      </c>
    </row>
    <row r="7724" spans="1:7" x14ac:dyDescent="0.2">
      <c r="A7724" t="s">
        <v>2051</v>
      </c>
      <c r="B7724">
        <v>0</v>
      </c>
      <c r="C7724">
        <v>0</v>
      </c>
      <c r="D7724">
        <v>0</v>
      </c>
      <c r="E7724">
        <v>0</v>
      </c>
      <c r="F7724">
        <v>0</v>
      </c>
      <c r="G7724">
        <v>0</v>
      </c>
    </row>
    <row r="7725" spans="1:7" x14ac:dyDescent="0.2">
      <c r="A7725" t="s">
        <v>2057</v>
      </c>
      <c r="B7725">
        <v>0</v>
      </c>
      <c r="C7725">
        <v>0</v>
      </c>
      <c r="D7725">
        <v>0</v>
      </c>
      <c r="E7725">
        <v>0</v>
      </c>
      <c r="F7725">
        <v>0</v>
      </c>
      <c r="G7725">
        <v>0</v>
      </c>
    </row>
    <row r="7726" spans="1:7" x14ac:dyDescent="0.2">
      <c r="A7726" t="s">
        <v>4344</v>
      </c>
      <c r="B7726">
        <v>0</v>
      </c>
      <c r="C7726">
        <v>0</v>
      </c>
      <c r="D7726">
        <v>0</v>
      </c>
      <c r="E7726">
        <v>0</v>
      </c>
      <c r="F7726">
        <v>0</v>
      </c>
      <c r="G7726">
        <v>0</v>
      </c>
    </row>
    <row r="7727" spans="1:7" x14ac:dyDescent="0.2">
      <c r="A7727" t="s">
        <v>4345</v>
      </c>
      <c r="B7727">
        <v>0</v>
      </c>
      <c r="C7727">
        <v>0</v>
      </c>
      <c r="D7727">
        <v>0</v>
      </c>
      <c r="E7727">
        <v>0</v>
      </c>
      <c r="F7727">
        <v>0</v>
      </c>
      <c r="G7727">
        <v>0</v>
      </c>
    </row>
    <row r="7728" spans="1:7" x14ac:dyDescent="0.2">
      <c r="A7728" t="s">
        <v>2074</v>
      </c>
      <c r="B7728">
        <v>0</v>
      </c>
      <c r="C7728">
        <v>0</v>
      </c>
      <c r="D7728">
        <v>0</v>
      </c>
      <c r="E7728">
        <v>0</v>
      </c>
      <c r="F7728">
        <v>0</v>
      </c>
      <c r="G7728">
        <v>0</v>
      </c>
    </row>
    <row r="7729" spans="1:7" x14ac:dyDescent="0.2">
      <c r="A7729" t="s">
        <v>2079</v>
      </c>
      <c r="B7729">
        <v>0</v>
      </c>
      <c r="C7729">
        <v>0</v>
      </c>
      <c r="D7729">
        <v>0</v>
      </c>
      <c r="E7729">
        <v>0</v>
      </c>
      <c r="F7729">
        <v>0</v>
      </c>
      <c r="G7729">
        <v>0</v>
      </c>
    </row>
    <row r="7730" spans="1:7" x14ac:dyDescent="0.2">
      <c r="A7730" t="s">
        <v>2085</v>
      </c>
      <c r="B7730">
        <v>0</v>
      </c>
      <c r="C7730">
        <v>0</v>
      </c>
      <c r="D7730">
        <v>0</v>
      </c>
      <c r="E7730">
        <v>0</v>
      </c>
      <c r="F7730">
        <v>0</v>
      </c>
      <c r="G7730">
        <v>0</v>
      </c>
    </row>
    <row r="7731" spans="1:7" x14ac:dyDescent="0.2">
      <c r="A7731" t="s">
        <v>2091</v>
      </c>
      <c r="B7731">
        <v>0</v>
      </c>
      <c r="C7731">
        <v>0</v>
      </c>
      <c r="D7731">
        <v>0</v>
      </c>
      <c r="E7731">
        <v>0</v>
      </c>
      <c r="F7731">
        <v>0</v>
      </c>
      <c r="G7731">
        <v>0</v>
      </c>
    </row>
    <row r="7732" spans="1:7" x14ac:dyDescent="0.2">
      <c r="A7732" t="s">
        <v>2097</v>
      </c>
      <c r="B7732">
        <v>0</v>
      </c>
      <c r="C7732">
        <v>0</v>
      </c>
      <c r="D7732">
        <v>0</v>
      </c>
      <c r="E7732">
        <v>0</v>
      </c>
      <c r="F7732">
        <v>0</v>
      </c>
      <c r="G7732">
        <v>0</v>
      </c>
    </row>
    <row r="7733" spans="1:7" x14ac:dyDescent="0.2">
      <c r="A7733" t="s">
        <v>2101</v>
      </c>
      <c r="B7733">
        <v>0</v>
      </c>
      <c r="C7733">
        <v>0</v>
      </c>
      <c r="D7733">
        <v>0</v>
      </c>
      <c r="E7733">
        <v>0</v>
      </c>
      <c r="F7733">
        <v>0</v>
      </c>
      <c r="G7733">
        <v>0</v>
      </c>
    </row>
    <row r="7734" spans="1:7" x14ac:dyDescent="0.2">
      <c r="A7734" t="s">
        <v>2104</v>
      </c>
      <c r="B7734">
        <v>0</v>
      </c>
      <c r="C7734">
        <v>0</v>
      </c>
      <c r="D7734">
        <v>0</v>
      </c>
      <c r="E7734">
        <v>0</v>
      </c>
      <c r="F7734">
        <v>0</v>
      </c>
      <c r="G7734">
        <v>0</v>
      </c>
    </row>
    <row r="7735" spans="1:7" x14ac:dyDescent="0.2">
      <c r="A7735" t="s">
        <v>2107</v>
      </c>
      <c r="B7735">
        <v>0</v>
      </c>
      <c r="C7735">
        <v>0</v>
      </c>
      <c r="D7735">
        <v>0</v>
      </c>
      <c r="E7735">
        <v>0</v>
      </c>
      <c r="F7735">
        <v>0</v>
      </c>
      <c r="G7735">
        <v>0</v>
      </c>
    </row>
    <row r="7736" spans="1:7" x14ac:dyDescent="0.2">
      <c r="A7736" t="s">
        <v>2110</v>
      </c>
      <c r="B7736">
        <v>0</v>
      </c>
      <c r="C7736">
        <v>0</v>
      </c>
      <c r="D7736">
        <v>0</v>
      </c>
      <c r="E7736">
        <v>0</v>
      </c>
      <c r="F7736">
        <v>0</v>
      </c>
      <c r="G7736">
        <v>0</v>
      </c>
    </row>
    <row r="7737" spans="1:7" x14ac:dyDescent="0.2">
      <c r="A7737" t="s">
        <v>2113</v>
      </c>
      <c r="B7737">
        <v>0</v>
      </c>
      <c r="C7737">
        <v>0</v>
      </c>
      <c r="D7737">
        <v>0</v>
      </c>
      <c r="E7737">
        <v>0</v>
      </c>
      <c r="F7737">
        <v>0</v>
      </c>
      <c r="G7737">
        <v>0</v>
      </c>
    </row>
    <row r="7738" spans="1:7" x14ac:dyDescent="0.2">
      <c r="A7738" t="s">
        <v>4346</v>
      </c>
      <c r="B7738">
        <v>0</v>
      </c>
      <c r="C7738">
        <v>0</v>
      </c>
      <c r="D7738">
        <v>0</v>
      </c>
      <c r="E7738">
        <v>0</v>
      </c>
      <c r="F7738">
        <v>0</v>
      </c>
      <c r="G7738">
        <v>0</v>
      </c>
    </row>
    <row r="7739" spans="1:7" x14ac:dyDescent="0.2">
      <c r="A7739" t="s">
        <v>4347</v>
      </c>
      <c r="B7739">
        <v>0</v>
      </c>
      <c r="C7739">
        <v>0</v>
      </c>
      <c r="D7739">
        <v>0</v>
      </c>
      <c r="E7739">
        <v>0</v>
      </c>
      <c r="F7739">
        <v>0</v>
      </c>
      <c r="G7739">
        <v>0</v>
      </c>
    </row>
    <row r="7740" spans="1:7" x14ac:dyDescent="0.2">
      <c r="A7740" t="s">
        <v>4348</v>
      </c>
      <c r="B7740">
        <v>0</v>
      </c>
      <c r="C7740">
        <v>0</v>
      </c>
      <c r="D7740">
        <v>0</v>
      </c>
      <c r="E7740">
        <v>0</v>
      </c>
      <c r="F7740">
        <v>0</v>
      </c>
      <c r="G7740">
        <v>0</v>
      </c>
    </row>
    <row r="7741" spans="1:7" x14ac:dyDescent="0.2">
      <c r="A7741" t="s">
        <v>4349</v>
      </c>
      <c r="B7741">
        <v>0</v>
      </c>
      <c r="C7741">
        <v>0</v>
      </c>
      <c r="D7741">
        <v>0</v>
      </c>
      <c r="E7741">
        <v>0</v>
      </c>
      <c r="F7741">
        <v>0</v>
      </c>
      <c r="G7741">
        <v>0</v>
      </c>
    </row>
    <row r="7742" spans="1:7" x14ac:dyDescent="0.2">
      <c r="A7742" t="s">
        <v>4350</v>
      </c>
      <c r="B7742">
        <v>0</v>
      </c>
      <c r="C7742">
        <v>0</v>
      </c>
      <c r="D7742">
        <v>9</v>
      </c>
      <c r="E7742">
        <v>0</v>
      </c>
      <c r="F7742">
        <v>0</v>
      </c>
      <c r="G7742">
        <v>9</v>
      </c>
    </row>
    <row r="7743" spans="1:7" x14ac:dyDescent="0.2">
      <c r="A7743" t="s">
        <v>4351</v>
      </c>
      <c r="B7743">
        <v>0</v>
      </c>
      <c r="C7743">
        <v>0</v>
      </c>
      <c r="D7743">
        <v>0</v>
      </c>
      <c r="E7743">
        <v>0</v>
      </c>
      <c r="F7743">
        <v>0</v>
      </c>
      <c r="G7743">
        <v>0</v>
      </c>
    </row>
    <row r="7744" spans="1:7" x14ac:dyDescent="0.2">
      <c r="A7744" t="s">
        <v>4352</v>
      </c>
      <c r="B7744">
        <v>0</v>
      </c>
      <c r="C7744">
        <v>0</v>
      </c>
      <c r="D7744">
        <v>0</v>
      </c>
      <c r="E7744">
        <v>0</v>
      </c>
      <c r="F7744">
        <v>0</v>
      </c>
      <c r="G7744">
        <v>0</v>
      </c>
    </row>
    <row r="7745" spans="1:7" x14ac:dyDescent="0.2">
      <c r="A7745" t="s">
        <v>4353</v>
      </c>
      <c r="B7745">
        <v>1</v>
      </c>
      <c r="C7745">
        <v>76</v>
      </c>
      <c r="D7745">
        <v>36</v>
      </c>
      <c r="E7745">
        <v>1</v>
      </c>
      <c r="F7745">
        <v>0</v>
      </c>
      <c r="G7745">
        <v>114</v>
      </c>
    </row>
    <row r="7746" spans="1:7" x14ac:dyDescent="0.2">
      <c r="A7746" t="s">
        <v>4354</v>
      </c>
      <c r="B7746">
        <v>18</v>
      </c>
      <c r="C7746">
        <v>79</v>
      </c>
      <c r="D7746">
        <v>32</v>
      </c>
      <c r="E7746">
        <v>1</v>
      </c>
      <c r="F7746">
        <v>0</v>
      </c>
      <c r="G7746">
        <v>128</v>
      </c>
    </row>
    <row r="7747" spans="1:7" x14ac:dyDescent="0.2">
      <c r="A7747" t="s">
        <v>4355</v>
      </c>
      <c r="B7747">
        <v>0</v>
      </c>
      <c r="C7747">
        <v>0</v>
      </c>
      <c r="D7747">
        <v>0</v>
      </c>
      <c r="E7747">
        <v>0</v>
      </c>
      <c r="F7747">
        <v>0</v>
      </c>
      <c r="G7747">
        <v>0</v>
      </c>
    </row>
    <row r="7748" spans="1:7" x14ac:dyDescent="0.2">
      <c r="A7748" t="s">
        <v>4356</v>
      </c>
      <c r="B7748">
        <v>0</v>
      </c>
      <c r="C7748">
        <v>0</v>
      </c>
      <c r="D7748">
        <v>0</v>
      </c>
      <c r="E7748">
        <v>0</v>
      </c>
      <c r="F7748">
        <v>0</v>
      </c>
      <c r="G7748">
        <v>0</v>
      </c>
    </row>
    <row r="7749" spans="1:7" x14ac:dyDescent="0.2">
      <c r="A7749" t="s">
        <v>4357</v>
      </c>
      <c r="B7749">
        <v>0</v>
      </c>
      <c r="C7749">
        <v>0</v>
      </c>
      <c r="D7749">
        <v>0</v>
      </c>
      <c r="E7749">
        <v>0</v>
      </c>
      <c r="F7749">
        <v>0</v>
      </c>
      <c r="G7749">
        <v>0</v>
      </c>
    </row>
    <row r="7750" spans="1:7" x14ac:dyDescent="0.2">
      <c r="A7750" t="s">
        <v>4358</v>
      </c>
      <c r="B7750">
        <v>0</v>
      </c>
      <c r="C7750">
        <v>0</v>
      </c>
      <c r="D7750">
        <v>0</v>
      </c>
      <c r="E7750">
        <v>0</v>
      </c>
      <c r="F7750">
        <v>0</v>
      </c>
      <c r="G7750">
        <v>0</v>
      </c>
    </row>
    <row r="7751" spans="1:7" x14ac:dyDescent="0.2">
      <c r="A7751" t="s">
        <v>4359</v>
      </c>
      <c r="B7751">
        <v>0</v>
      </c>
      <c r="C7751">
        <v>0</v>
      </c>
      <c r="D7751">
        <v>0</v>
      </c>
      <c r="E7751">
        <v>0</v>
      </c>
      <c r="F7751">
        <v>0</v>
      </c>
      <c r="G7751">
        <v>0</v>
      </c>
    </row>
    <row r="7752" spans="1:7" x14ac:dyDescent="0.2">
      <c r="A7752" t="s">
        <v>4360</v>
      </c>
      <c r="B7752">
        <v>0</v>
      </c>
      <c r="C7752">
        <v>0</v>
      </c>
      <c r="D7752">
        <v>0</v>
      </c>
      <c r="E7752">
        <v>0</v>
      </c>
      <c r="F7752">
        <v>0</v>
      </c>
      <c r="G7752">
        <v>0</v>
      </c>
    </row>
    <row r="7753" spans="1:7" x14ac:dyDescent="0.2">
      <c r="A7753" t="s">
        <v>4361</v>
      </c>
      <c r="B7753">
        <v>0</v>
      </c>
      <c r="C7753">
        <v>0</v>
      </c>
      <c r="D7753">
        <v>8</v>
      </c>
      <c r="E7753">
        <v>0</v>
      </c>
      <c r="F7753">
        <v>0</v>
      </c>
      <c r="G7753">
        <v>8</v>
      </c>
    </row>
    <row r="7754" spans="1:7" x14ac:dyDescent="0.2">
      <c r="A7754" t="s">
        <v>4362</v>
      </c>
      <c r="B7754">
        <v>0</v>
      </c>
      <c r="C7754">
        <v>0</v>
      </c>
      <c r="D7754">
        <v>0</v>
      </c>
      <c r="E7754">
        <v>0</v>
      </c>
      <c r="F7754">
        <v>0</v>
      </c>
      <c r="G7754">
        <v>0</v>
      </c>
    </row>
    <row r="7755" spans="1:7" x14ac:dyDescent="0.2">
      <c r="A7755" t="s">
        <v>4363</v>
      </c>
      <c r="B7755">
        <v>0</v>
      </c>
      <c r="C7755">
        <v>0</v>
      </c>
      <c r="D7755">
        <v>0</v>
      </c>
      <c r="E7755">
        <v>0</v>
      </c>
      <c r="F7755">
        <v>0</v>
      </c>
      <c r="G7755">
        <v>0</v>
      </c>
    </row>
    <row r="7756" spans="1:7" x14ac:dyDescent="0.2">
      <c r="A7756" t="s">
        <v>4364</v>
      </c>
      <c r="B7756">
        <v>0</v>
      </c>
      <c r="C7756">
        <v>0</v>
      </c>
      <c r="D7756">
        <v>0</v>
      </c>
      <c r="E7756">
        <v>0</v>
      </c>
      <c r="F7756">
        <v>0</v>
      </c>
      <c r="G7756">
        <v>0</v>
      </c>
    </row>
    <row r="7757" spans="1:7" x14ac:dyDescent="0.2">
      <c r="A7757" t="s">
        <v>4365</v>
      </c>
      <c r="B7757">
        <v>0</v>
      </c>
      <c r="C7757">
        <v>211</v>
      </c>
      <c r="D7757">
        <v>0</v>
      </c>
      <c r="E7757">
        <v>0</v>
      </c>
      <c r="F7757">
        <v>0</v>
      </c>
      <c r="G7757">
        <v>211</v>
      </c>
    </row>
    <row r="7758" spans="1:7" x14ac:dyDescent="0.2">
      <c r="A7758" t="s">
        <v>4366</v>
      </c>
      <c r="B7758">
        <v>0</v>
      </c>
      <c r="C7758">
        <v>0</v>
      </c>
      <c r="D7758">
        <v>0</v>
      </c>
      <c r="E7758">
        <v>0</v>
      </c>
      <c r="F7758">
        <v>0</v>
      </c>
      <c r="G7758">
        <v>0</v>
      </c>
    </row>
    <row r="7759" spans="1:7" x14ac:dyDescent="0.2">
      <c r="A7759" t="s">
        <v>4367</v>
      </c>
      <c r="B7759">
        <v>0</v>
      </c>
      <c r="C7759">
        <v>0</v>
      </c>
      <c r="D7759">
        <v>0</v>
      </c>
      <c r="E7759">
        <v>0</v>
      </c>
      <c r="F7759">
        <v>0</v>
      </c>
      <c r="G7759">
        <v>0</v>
      </c>
    </row>
    <row r="7760" spans="1:7" x14ac:dyDescent="0.2">
      <c r="A7760" t="s">
        <v>4368</v>
      </c>
      <c r="B7760">
        <v>58</v>
      </c>
      <c r="C7760">
        <v>50</v>
      </c>
      <c r="D7760">
        <v>168</v>
      </c>
      <c r="E7760">
        <v>185</v>
      </c>
      <c r="F7760">
        <v>27</v>
      </c>
      <c r="G7760">
        <v>488</v>
      </c>
    </row>
    <row r="7761" spans="1:10" x14ac:dyDescent="0.2">
      <c r="A7761" t="s">
        <v>4369</v>
      </c>
      <c r="B7761">
        <v>0</v>
      </c>
      <c r="C7761">
        <v>0</v>
      </c>
      <c r="D7761">
        <v>597</v>
      </c>
      <c r="E7761">
        <v>0</v>
      </c>
      <c r="F7761">
        <v>0</v>
      </c>
      <c r="G7761">
        <v>597</v>
      </c>
    </row>
    <row r="7762" spans="1:10" x14ac:dyDescent="0.2">
      <c r="A7762" t="s">
        <v>4370</v>
      </c>
      <c r="B7762">
        <v>9</v>
      </c>
      <c r="C7762">
        <v>1</v>
      </c>
      <c r="D7762">
        <v>0</v>
      </c>
      <c r="E7762">
        <v>0</v>
      </c>
      <c r="F7762">
        <v>0</v>
      </c>
      <c r="G7762">
        <v>11</v>
      </c>
    </row>
    <row r="7763" spans="1:10" x14ac:dyDescent="0.2">
      <c r="A7763" t="s">
        <v>4371</v>
      </c>
      <c r="B7763">
        <v>0</v>
      </c>
      <c r="C7763">
        <v>0</v>
      </c>
      <c r="D7763">
        <v>0</v>
      </c>
      <c r="E7763">
        <v>0</v>
      </c>
      <c r="F7763">
        <v>0</v>
      </c>
      <c r="G7763">
        <v>0</v>
      </c>
    </row>
    <row r="7764" spans="1:10" x14ac:dyDescent="0.2">
      <c r="A7764" t="s">
        <v>4372</v>
      </c>
      <c r="B7764">
        <v>0</v>
      </c>
      <c r="C7764">
        <v>0</v>
      </c>
      <c r="D7764">
        <v>0</v>
      </c>
      <c r="E7764">
        <v>0</v>
      </c>
      <c r="F7764">
        <v>0</v>
      </c>
      <c r="G7764">
        <v>0</v>
      </c>
    </row>
    <row r="7765" spans="1:10" x14ac:dyDescent="0.2">
      <c r="A7765" t="s">
        <v>4373</v>
      </c>
      <c r="B7765">
        <v>0</v>
      </c>
      <c r="C7765">
        <v>0</v>
      </c>
      <c r="D7765">
        <v>0</v>
      </c>
      <c r="E7765">
        <v>0</v>
      </c>
      <c r="F7765">
        <v>0</v>
      </c>
      <c r="G7765">
        <v>0</v>
      </c>
    </row>
    <row r="7766" spans="1:10" x14ac:dyDescent="0.2">
      <c r="A7766" t="s">
        <v>4374</v>
      </c>
      <c r="B7766">
        <v>0</v>
      </c>
      <c r="C7766">
        <v>0</v>
      </c>
      <c r="D7766">
        <v>0</v>
      </c>
      <c r="E7766">
        <v>0</v>
      </c>
      <c r="F7766">
        <v>0</v>
      </c>
      <c r="G7766">
        <v>0</v>
      </c>
    </row>
    <row r="7767" spans="1:10" x14ac:dyDescent="0.2">
      <c r="A7767" t="s">
        <v>4375</v>
      </c>
      <c r="B7767">
        <v>0</v>
      </c>
      <c r="C7767">
        <v>0</v>
      </c>
      <c r="D7767">
        <v>0</v>
      </c>
      <c r="E7767">
        <v>0</v>
      </c>
      <c r="F7767">
        <v>0</v>
      </c>
      <c r="G7767">
        <v>0</v>
      </c>
    </row>
    <row r="7768" spans="1:10" x14ac:dyDescent="0.2">
      <c r="A7768" t="s">
        <v>4376</v>
      </c>
      <c r="B7768">
        <v>0</v>
      </c>
      <c r="C7768">
        <v>0</v>
      </c>
      <c r="D7768">
        <v>0</v>
      </c>
      <c r="E7768">
        <v>0</v>
      </c>
      <c r="F7768">
        <v>0</v>
      </c>
      <c r="G7768">
        <v>0</v>
      </c>
    </row>
    <row r="7769" spans="1:10" x14ac:dyDescent="0.2">
      <c r="A7769" t="s">
        <v>4377</v>
      </c>
      <c r="B7769">
        <v>0</v>
      </c>
      <c r="C7769">
        <v>0</v>
      </c>
      <c r="D7769">
        <v>0</v>
      </c>
      <c r="E7769">
        <v>0</v>
      </c>
      <c r="F7769">
        <v>0</v>
      </c>
      <c r="G7769">
        <v>0</v>
      </c>
    </row>
    <row r="7770" spans="1:10" x14ac:dyDescent="0.2">
      <c r="A7770" t="s">
        <v>2318</v>
      </c>
      <c r="B7770" t="s">
        <v>2319</v>
      </c>
      <c r="C7770" t="s">
        <v>2319</v>
      </c>
      <c r="D7770" t="s">
        <v>2319</v>
      </c>
      <c r="E7770" t="s">
        <v>2319</v>
      </c>
      <c r="F7770" t="s">
        <v>2319</v>
      </c>
      <c r="G7770" t="s">
        <v>2319</v>
      </c>
    </row>
    <row r="7771" spans="1:10" x14ac:dyDescent="0.2">
      <c r="A7771" t="s">
        <v>4248</v>
      </c>
    </row>
    <row r="7772" spans="1:10" x14ac:dyDescent="0.2">
      <c r="A7772" t="s">
        <v>4250</v>
      </c>
      <c r="C7772" t="s">
        <v>4251</v>
      </c>
      <c r="G7772" t="s">
        <v>7531</v>
      </c>
      <c r="J7772"/>
    </row>
    <row r="7773" spans="1:10" x14ac:dyDescent="0.2">
      <c r="A7773" t="s">
        <v>4925</v>
      </c>
      <c r="G7773" t="s">
        <v>7542</v>
      </c>
      <c r="J7773"/>
    </row>
    <row r="7774" spans="1:10" x14ac:dyDescent="0.2">
      <c r="A7774" t="s">
        <v>7530</v>
      </c>
      <c r="J7774"/>
    </row>
    <row r="7775" spans="1:10" x14ac:dyDescent="0.2">
      <c r="A7775" t="s">
        <v>5036</v>
      </c>
      <c r="J7775"/>
    </row>
    <row r="7776" spans="1:10" x14ac:dyDescent="0.2">
      <c r="J7776"/>
    </row>
    <row r="7777" spans="1:10" x14ac:dyDescent="0.2">
      <c r="A7777" t="s">
        <v>4259</v>
      </c>
      <c r="J7777"/>
    </row>
    <row r="7778" spans="1:10" x14ac:dyDescent="0.2">
      <c r="A7778" t="s">
        <v>2318</v>
      </c>
      <c r="B7778" t="s">
        <v>2319</v>
      </c>
      <c r="C7778" t="s">
        <v>2319</v>
      </c>
      <c r="D7778" t="s">
        <v>2319</v>
      </c>
      <c r="E7778" t="s">
        <v>2319</v>
      </c>
      <c r="F7778" t="s">
        <v>2319</v>
      </c>
      <c r="G7778" t="s">
        <v>2319</v>
      </c>
    </row>
    <row r="7779" spans="1:10" x14ac:dyDescent="0.2">
      <c r="A7779" t="s">
        <v>174</v>
      </c>
      <c r="B7779" t="s">
        <v>4945</v>
      </c>
      <c r="C7779" t="s">
        <v>4946</v>
      </c>
      <c r="D7779" t="s">
        <v>4947</v>
      </c>
      <c r="E7779" t="s">
        <v>4948</v>
      </c>
      <c r="F7779" t="s">
        <v>4949</v>
      </c>
    </row>
    <row r="7780" spans="1:10" x14ac:dyDescent="0.2">
      <c r="A7780" t="s">
        <v>126</v>
      </c>
      <c r="B7780" t="s">
        <v>4262</v>
      </c>
      <c r="C7780" t="s">
        <v>4263</v>
      </c>
      <c r="D7780" t="s">
        <v>4264</v>
      </c>
      <c r="E7780" t="s">
        <v>2308</v>
      </c>
      <c r="F7780" t="s">
        <v>615</v>
      </c>
      <c r="G7780" t="s">
        <v>236</v>
      </c>
    </row>
    <row r="7781" spans="1:10" x14ac:dyDescent="0.2">
      <c r="A7781" t="s">
        <v>2318</v>
      </c>
      <c r="B7781" t="s">
        <v>2319</v>
      </c>
      <c r="C7781" t="s">
        <v>2319</v>
      </c>
      <c r="D7781" t="s">
        <v>2319</v>
      </c>
      <c r="E7781" t="s">
        <v>2319</v>
      </c>
      <c r="F7781" t="s">
        <v>2319</v>
      </c>
      <c r="G7781" t="s">
        <v>2319</v>
      </c>
    </row>
    <row r="7782" spans="1:10" x14ac:dyDescent="0.2">
      <c r="A7782" t="s">
        <v>4265</v>
      </c>
      <c r="B7782">
        <v>0</v>
      </c>
      <c r="C7782">
        <v>0</v>
      </c>
      <c r="D7782">
        <v>0</v>
      </c>
      <c r="E7782">
        <v>0</v>
      </c>
      <c r="F7782">
        <v>0</v>
      </c>
      <c r="G7782">
        <v>0</v>
      </c>
    </row>
    <row r="7783" spans="1:10" x14ac:dyDescent="0.2">
      <c r="A7783" t="s">
        <v>4266</v>
      </c>
      <c r="B7783">
        <v>0</v>
      </c>
      <c r="C7783">
        <v>0</v>
      </c>
      <c r="D7783">
        <v>0</v>
      </c>
      <c r="E7783">
        <v>0</v>
      </c>
      <c r="F7783">
        <v>0</v>
      </c>
      <c r="G7783">
        <v>0</v>
      </c>
    </row>
    <row r="7784" spans="1:10" x14ac:dyDescent="0.2">
      <c r="A7784" t="s">
        <v>4267</v>
      </c>
      <c r="B7784">
        <v>11</v>
      </c>
      <c r="C7784">
        <v>1</v>
      </c>
      <c r="D7784">
        <v>0</v>
      </c>
      <c r="E7784">
        <v>0</v>
      </c>
      <c r="F7784">
        <v>0</v>
      </c>
      <c r="G7784">
        <v>12</v>
      </c>
    </row>
    <row r="7785" spans="1:10" x14ac:dyDescent="0.2">
      <c r="A7785" t="s">
        <v>4268</v>
      </c>
      <c r="B7785">
        <v>0</v>
      </c>
      <c r="C7785">
        <v>2</v>
      </c>
      <c r="D7785">
        <v>0</v>
      </c>
      <c r="E7785">
        <v>0</v>
      </c>
      <c r="F7785">
        <v>0</v>
      </c>
      <c r="G7785">
        <v>2</v>
      </c>
    </row>
    <row r="7786" spans="1:10" x14ac:dyDescent="0.2">
      <c r="A7786" t="s">
        <v>4269</v>
      </c>
      <c r="B7786">
        <v>14</v>
      </c>
      <c r="C7786">
        <v>0</v>
      </c>
      <c r="D7786">
        <v>1</v>
      </c>
      <c r="E7786">
        <v>0</v>
      </c>
      <c r="F7786">
        <v>0</v>
      </c>
      <c r="G7786">
        <v>14</v>
      </c>
    </row>
    <row r="7787" spans="1:10" x14ac:dyDescent="0.2">
      <c r="A7787" t="s">
        <v>4270</v>
      </c>
      <c r="B7787">
        <v>0</v>
      </c>
      <c r="C7787">
        <v>0</v>
      </c>
      <c r="D7787">
        <v>0</v>
      </c>
      <c r="E7787">
        <v>0</v>
      </c>
      <c r="F7787">
        <v>0</v>
      </c>
      <c r="G7787">
        <v>0</v>
      </c>
    </row>
    <row r="7788" spans="1:10" x14ac:dyDescent="0.2">
      <c r="A7788" t="s">
        <v>4271</v>
      </c>
      <c r="B7788">
        <v>3</v>
      </c>
      <c r="C7788">
        <v>0</v>
      </c>
      <c r="D7788">
        <v>0</v>
      </c>
      <c r="E7788">
        <v>0</v>
      </c>
      <c r="F7788">
        <v>0</v>
      </c>
      <c r="G7788">
        <v>4</v>
      </c>
    </row>
    <row r="7789" spans="1:10" x14ac:dyDescent="0.2">
      <c r="A7789" t="s">
        <v>4272</v>
      </c>
      <c r="B7789">
        <v>7</v>
      </c>
      <c r="C7789">
        <v>0</v>
      </c>
      <c r="D7789">
        <v>0</v>
      </c>
      <c r="E7789">
        <v>0</v>
      </c>
      <c r="F7789">
        <v>0</v>
      </c>
      <c r="G7789">
        <v>7</v>
      </c>
    </row>
    <row r="7790" spans="1:10" x14ac:dyDescent="0.2">
      <c r="A7790" t="s">
        <v>4273</v>
      </c>
      <c r="B7790">
        <v>0</v>
      </c>
      <c r="C7790">
        <v>0</v>
      </c>
      <c r="D7790">
        <v>0</v>
      </c>
      <c r="E7790">
        <v>0</v>
      </c>
      <c r="F7790">
        <v>0</v>
      </c>
      <c r="G7790">
        <v>0</v>
      </c>
    </row>
    <row r="7791" spans="1:10" x14ac:dyDescent="0.2">
      <c r="A7791" t="s">
        <v>4274</v>
      </c>
      <c r="B7791">
        <v>0</v>
      </c>
      <c r="C7791">
        <v>0</v>
      </c>
      <c r="D7791">
        <v>0</v>
      </c>
      <c r="E7791">
        <v>0</v>
      </c>
      <c r="F7791">
        <v>0</v>
      </c>
      <c r="G7791">
        <v>0</v>
      </c>
    </row>
    <row r="7792" spans="1:10" x14ac:dyDescent="0.2">
      <c r="A7792" t="s">
        <v>4275</v>
      </c>
      <c r="B7792">
        <v>0</v>
      </c>
      <c r="C7792">
        <v>0</v>
      </c>
      <c r="D7792">
        <v>0</v>
      </c>
      <c r="E7792">
        <v>0</v>
      </c>
      <c r="F7792">
        <v>0</v>
      </c>
      <c r="G7792">
        <v>0</v>
      </c>
    </row>
    <row r="7793" spans="1:7" x14ac:dyDescent="0.2">
      <c r="A7793" t="s">
        <v>4276</v>
      </c>
      <c r="B7793">
        <v>0</v>
      </c>
      <c r="C7793">
        <v>0</v>
      </c>
      <c r="D7793">
        <v>0</v>
      </c>
      <c r="E7793">
        <v>0</v>
      </c>
      <c r="F7793">
        <v>0</v>
      </c>
      <c r="G7793">
        <v>0</v>
      </c>
    </row>
    <row r="7794" spans="1:7" x14ac:dyDescent="0.2">
      <c r="A7794" t="s">
        <v>4277</v>
      </c>
      <c r="B7794">
        <v>0</v>
      </c>
      <c r="C7794">
        <v>0</v>
      </c>
      <c r="D7794">
        <v>0</v>
      </c>
      <c r="E7794">
        <v>0</v>
      </c>
      <c r="F7794">
        <v>0</v>
      </c>
      <c r="G7794">
        <v>0</v>
      </c>
    </row>
    <row r="7795" spans="1:7" x14ac:dyDescent="0.2">
      <c r="A7795" t="s">
        <v>4278</v>
      </c>
      <c r="B7795">
        <v>0</v>
      </c>
      <c r="C7795">
        <v>0</v>
      </c>
      <c r="D7795">
        <v>0</v>
      </c>
      <c r="E7795">
        <v>0</v>
      </c>
      <c r="F7795">
        <v>0</v>
      </c>
      <c r="G7795">
        <v>0</v>
      </c>
    </row>
    <row r="7796" spans="1:7" x14ac:dyDescent="0.2">
      <c r="A7796" t="s">
        <v>4279</v>
      </c>
      <c r="B7796">
        <v>12</v>
      </c>
      <c r="C7796">
        <v>5</v>
      </c>
      <c r="D7796">
        <v>4</v>
      </c>
      <c r="E7796">
        <v>0</v>
      </c>
      <c r="F7796">
        <v>0</v>
      </c>
      <c r="G7796">
        <v>21</v>
      </c>
    </row>
    <row r="7797" spans="1:7" x14ac:dyDescent="0.2">
      <c r="A7797" t="s">
        <v>4280</v>
      </c>
      <c r="B7797">
        <v>1</v>
      </c>
      <c r="C7797">
        <v>2</v>
      </c>
      <c r="D7797">
        <v>0</v>
      </c>
      <c r="E7797">
        <v>0</v>
      </c>
      <c r="F7797">
        <v>0</v>
      </c>
      <c r="G7797">
        <v>3</v>
      </c>
    </row>
    <row r="7798" spans="1:7" x14ac:dyDescent="0.2">
      <c r="A7798" t="s">
        <v>4281</v>
      </c>
      <c r="B7798">
        <v>150</v>
      </c>
      <c r="C7798">
        <v>188</v>
      </c>
      <c r="D7798">
        <v>292</v>
      </c>
      <c r="E7798">
        <v>179</v>
      </c>
      <c r="F7798">
        <v>0</v>
      </c>
      <c r="G7798">
        <v>809</v>
      </c>
    </row>
    <row r="7799" spans="1:7" x14ac:dyDescent="0.2">
      <c r="A7799" t="s">
        <v>4282</v>
      </c>
      <c r="B7799">
        <v>92</v>
      </c>
      <c r="C7799">
        <v>79</v>
      </c>
      <c r="D7799">
        <v>103</v>
      </c>
      <c r="E7799">
        <v>4</v>
      </c>
      <c r="F7799">
        <v>0</v>
      </c>
      <c r="G7799">
        <v>277</v>
      </c>
    </row>
    <row r="7800" spans="1:7" x14ac:dyDescent="0.2">
      <c r="A7800" t="s">
        <v>4283</v>
      </c>
      <c r="B7800">
        <v>88</v>
      </c>
      <c r="C7800">
        <v>86</v>
      </c>
      <c r="D7800">
        <v>53</v>
      </c>
      <c r="E7800">
        <v>58</v>
      </c>
      <c r="F7800">
        <v>0</v>
      </c>
      <c r="G7800">
        <v>286</v>
      </c>
    </row>
    <row r="7801" spans="1:7" x14ac:dyDescent="0.2">
      <c r="A7801" t="s">
        <v>4284</v>
      </c>
      <c r="B7801">
        <v>13</v>
      </c>
      <c r="C7801">
        <v>0</v>
      </c>
      <c r="D7801">
        <v>14</v>
      </c>
      <c r="E7801">
        <v>1</v>
      </c>
      <c r="F7801">
        <v>0</v>
      </c>
      <c r="G7801">
        <v>28</v>
      </c>
    </row>
    <row r="7802" spans="1:7" x14ac:dyDescent="0.2">
      <c r="A7802" t="s">
        <v>4285</v>
      </c>
      <c r="B7802">
        <v>69</v>
      </c>
      <c r="C7802">
        <v>98</v>
      </c>
      <c r="D7802">
        <v>111</v>
      </c>
      <c r="E7802">
        <v>77</v>
      </c>
      <c r="F7802">
        <v>0</v>
      </c>
      <c r="G7802">
        <v>355</v>
      </c>
    </row>
    <row r="7803" spans="1:7" x14ac:dyDescent="0.2">
      <c r="A7803" t="s">
        <v>4286</v>
      </c>
      <c r="B7803">
        <v>25</v>
      </c>
      <c r="C7803">
        <v>3</v>
      </c>
      <c r="D7803">
        <v>7</v>
      </c>
      <c r="E7803">
        <v>2</v>
      </c>
      <c r="F7803">
        <v>0</v>
      </c>
      <c r="G7803">
        <v>37</v>
      </c>
    </row>
    <row r="7804" spans="1:7" x14ac:dyDescent="0.2">
      <c r="A7804" t="s">
        <v>4287</v>
      </c>
      <c r="B7804">
        <v>0</v>
      </c>
      <c r="C7804">
        <v>0</v>
      </c>
      <c r="D7804">
        <v>0</v>
      </c>
      <c r="E7804">
        <v>980</v>
      </c>
      <c r="F7804">
        <v>0</v>
      </c>
      <c r="G7804">
        <v>980</v>
      </c>
    </row>
    <row r="7805" spans="1:7" x14ac:dyDescent="0.2">
      <c r="A7805" t="s">
        <v>4288</v>
      </c>
      <c r="B7805">
        <v>0</v>
      </c>
      <c r="C7805">
        <v>0</v>
      </c>
      <c r="D7805">
        <v>0</v>
      </c>
      <c r="E7805">
        <v>0</v>
      </c>
      <c r="F7805">
        <v>109</v>
      </c>
      <c r="G7805">
        <v>109</v>
      </c>
    </row>
    <row r="7806" spans="1:7" x14ac:dyDescent="0.2">
      <c r="A7806" t="s">
        <v>4289</v>
      </c>
      <c r="B7806">
        <v>0</v>
      </c>
      <c r="C7806">
        <v>0</v>
      </c>
      <c r="D7806">
        <v>0</v>
      </c>
      <c r="E7806">
        <v>0</v>
      </c>
      <c r="F7806">
        <v>8261</v>
      </c>
      <c r="G7806">
        <v>8261</v>
      </c>
    </row>
    <row r="7807" spans="1:7" x14ac:dyDescent="0.2">
      <c r="A7807" t="s">
        <v>4290</v>
      </c>
      <c r="B7807">
        <v>0</v>
      </c>
      <c r="C7807">
        <v>0</v>
      </c>
      <c r="D7807">
        <v>0</v>
      </c>
      <c r="E7807">
        <v>0</v>
      </c>
      <c r="F7807">
        <v>0</v>
      </c>
      <c r="G7807">
        <v>0</v>
      </c>
    </row>
    <row r="7808" spans="1:7" x14ac:dyDescent="0.2">
      <c r="A7808" t="s">
        <v>4291</v>
      </c>
      <c r="B7808">
        <v>0</v>
      </c>
      <c r="C7808">
        <v>0</v>
      </c>
      <c r="D7808">
        <v>0</v>
      </c>
      <c r="E7808">
        <v>0</v>
      </c>
      <c r="F7808">
        <v>0</v>
      </c>
      <c r="G7808">
        <v>0</v>
      </c>
    </row>
    <row r="7809" spans="1:7" x14ac:dyDescent="0.2">
      <c r="A7809" t="s">
        <v>4292</v>
      </c>
      <c r="B7809">
        <v>0</v>
      </c>
      <c r="C7809">
        <v>0</v>
      </c>
      <c r="D7809">
        <v>0</v>
      </c>
      <c r="E7809">
        <v>0</v>
      </c>
      <c r="F7809">
        <v>138</v>
      </c>
      <c r="G7809">
        <v>138</v>
      </c>
    </row>
    <row r="7810" spans="1:7" x14ac:dyDescent="0.2">
      <c r="A7810" t="s">
        <v>4293</v>
      </c>
      <c r="B7810">
        <v>0</v>
      </c>
      <c r="C7810">
        <v>0</v>
      </c>
      <c r="D7810">
        <v>0</v>
      </c>
      <c r="E7810">
        <v>0</v>
      </c>
      <c r="F7810">
        <v>265</v>
      </c>
      <c r="G7810">
        <v>265</v>
      </c>
    </row>
    <row r="7811" spans="1:7" x14ac:dyDescent="0.2">
      <c r="A7811" t="s">
        <v>4294</v>
      </c>
      <c r="B7811">
        <v>0</v>
      </c>
      <c r="C7811">
        <v>0</v>
      </c>
      <c r="D7811">
        <v>0</v>
      </c>
      <c r="E7811">
        <v>0</v>
      </c>
      <c r="F7811">
        <v>0</v>
      </c>
      <c r="G7811">
        <v>0</v>
      </c>
    </row>
    <row r="7812" spans="1:7" x14ac:dyDescent="0.2">
      <c r="A7812" t="s">
        <v>4295</v>
      </c>
      <c r="B7812">
        <v>0</v>
      </c>
      <c r="C7812">
        <v>0</v>
      </c>
      <c r="D7812">
        <v>0</v>
      </c>
      <c r="E7812">
        <v>0</v>
      </c>
      <c r="F7812">
        <v>0</v>
      </c>
      <c r="G7812">
        <v>0</v>
      </c>
    </row>
    <row r="7813" spans="1:7" x14ac:dyDescent="0.2">
      <c r="A7813" t="s">
        <v>4296</v>
      </c>
      <c r="B7813">
        <v>0</v>
      </c>
      <c r="C7813">
        <v>0</v>
      </c>
      <c r="D7813">
        <v>0</v>
      </c>
      <c r="E7813">
        <v>0</v>
      </c>
      <c r="F7813">
        <v>0</v>
      </c>
      <c r="G7813">
        <v>0</v>
      </c>
    </row>
    <row r="7814" spans="1:7" x14ac:dyDescent="0.2">
      <c r="A7814" t="s">
        <v>4297</v>
      </c>
      <c r="B7814">
        <v>23</v>
      </c>
      <c r="C7814">
        <v>99</v>
      </c>
      <c r="D7814">
        <v>493</v>
      </c>
      <c r="E7814">
        <v>143</v>
      </c>
      <c r="F7814">
        <v>0</v>
      </c>
      <c r="G7814">
        <v>757</v>
      </c>
    </row>
    <row r="7815" spans="1:7" x14ac:dyDescent="0.2">
      <c r="A7815" t="s">
        <v>4298</v>
      </c>
      <c r="B7815">
        <v>22</v>
      </c>
      <c r="C7815">
        <v>23</v>
      </c>
      <c r="D7815">
        <v>29</v>
      </c>
      <c r="E7815">
        <v>202</v>
      </c>
      <c r="F7815">
        <v>0</v>
      </c>
      <c r="G7815">
        <v>275</v>
      </c>
    </row>
    <row r="7816" spans="1:7" x14ac:dyDescent="0.2">
      <c r="A7816" t="s">
        <v>4299</v>
      </c>
      <c r="B7816">
        <v>6</v>
      </c>
      <c r="C7816">
        <v>13</v>
      </c>
      <c r="D7816">
        <v>47</v>
      </c>
      <c r="E7816">
        <v>59</v>
      </c>
      <c r="F7816">
        <v>0</v>
      </c>
      <c r="G7816">
        <v>125</v>
      </c>
    </row>
    <row r="7817" spans="1:7" x14ac:dyDescent="0.2">
      <c r="A7817" t="s">
        <v>4300</v>
      </c>
      <c r="B7817">
        <v>0</v>
      </c>
      <c r="C7817">
        <v>1</v>
      </c>
      <c r="D7817">
        <v>4</v>
      </c>
      <c r="E7817">
        <v>3</v>
      </c>
      <c r="F7817">
        <v>0</v>
      </c>
      <c r="G7817">
        <v>8</v>
      </c>
    </row>
    <row r="7818" spans="1:7" x14ac:dyDescent="0.2">
      <c r="A7818" t="s">
        <v>4301</v>
      </c>
      <c r="B7818">
        <v>0</v>
      </c>
      <c r="C7818">
        <v>64</v>
      </c>
      <c r="D7818">
        <v>237</v>
      </c>
      <c r="E7818">
        <v>150</v>
      </c>
      <c r="F7818">
        <v>0</v>
      </c>
      <c r="G7818">
        <v>451</v>
      </c>
    </row>
    <row r="7819" spans="1:7" x14ac:dyDescent="0.2">
      <c r="A7819" t="s">
        <v>4302</v>
      </c>
      <c r="B7819">
        <v>3</v>
      </c>
      <c r="C7819">
        <v>17</v>
      </c>
      <c r="D7819">
        <v>44</v>
      </c>
      <c r="E7819">
        <v>22</v>
      </c>
      <c r="F7819">
        <v>0</v>
      </c>
      <c r="G7819">
        <v>86</v>
      </c>
    </row>
    <row r="7820" spans="1:7" x14ac:dyDescent="0.2">
      <c r="A7820" t="s">
        <v>4303</v>
      </c>
      <c r="B7820">
        <v>3</v>
      </c>
      <c r="C7820">
        <v>48</v>
      </c>
      <c r="D7820">
        <v>177</v>
      </c>
      <c r="E7820">
        <v>56</v>
      </c>
      <c r="F7820">
        <v>0</v>
      </c>
      <c r="G7820">
        <v>284</v>
      </c>
    </row>
    <row r="7821" spans="1:7" x14ac:dyDescent="0.2">
      <c r="A7821" t="s">
        <v>4304</v>
      </c>
      <c r="B7821">
        <v>2</v>
      </c>
      <c r="C7821">
        <v>3</v>
      </c>
      <c r="D7821">
        <v>14</v>
      </c>
      <c r="E7821">
        <v>0</v>
      </c>
      <c r="F7821">
        <v>0</v>
      </c>
      <c r="G7821">
        <v>19</v>
      </c>
    </row>
    <row r="7822" spans="1:7" x14ac:dyDescent="0.2">
      <c r="A7822" t="s">
        <v>4305</v>
      </c>
      <c r="B7822">
        <v>4</v>
      </c>
      <c r="C7822">
        <v>11</v>
      </c>
      <c r="D7822">
        <v>18</v>
      </c>
      <c r="E7822">
        <v>8</v>
      </c>
      <c r="F7822">
        <v>0</v>
      </c>
      <c r="G7822">
        <v>41</v>
      </c>
    </row>
    <row r="7823" spans="1:7" x14ac:dyDescent="0.2">
      <c r="A7823" t="s">
        <v>4306</v>
      </c>
      <c r="B7823">
        <v>0</v>
      </c>
      <c r="C7823">
        <v>3</v>
      </c>
      <c r="D7823">
        <v>1</v>
      </c>
      <c r="E7823">
        <v>3</v>
      </c>
      <c r="F7823">
        <v>0</v>
      </c>
      <c r="G7823">
        <v>8</v>
      </c>
    </row>
    <row r="7824" spans="1:7" x14ac:dyDescent="0.2">
      <c r="A7824" t="s">
        <v>4307</v>
      </c>
      <c r="B7824">
        <v>3</v>
      </c>
      <c r="C7824">
        <v>25</v>
      </c>
      <c r="D7824">
        <v>200</v>
      </c>
      <c r="E7824">
        <v>142</v>
      </c>
      <c r="F7824">
        <v>0</v>
      </c>
      <c r="G7824">
        <v>370</v>
      </c>
    </row>
    <row r="7825" spans="1:7" x14ac:dyDescent="0.2">
      <c r="A7825" t="s">
        <v>4308</v>
      </c>
      <c r="B7825">
        <v>0</v>
      </c>
      <c r="C7825">
        <v>0</v>
      </c>
      <c r="D7825">
        <v>0</v>
      </c>
      <c r="E7825">
        <v>0</v>
      </c>
      <c r="F7825">
        <v>0</v>
      </c>
      <c r="G7825">
        <v>0</v>
      </c>
    </row>
    <row r="7826" spans="1:7" x14ac:dyDescent="0.2">
      <c r="A7826" t="s">
        <v>4309</v>
      </c>
      <c r="B7826">
        <v>0</v>
      </c>
      <c r="C7826">
        <v>0</v>
      </c>
      <c r="D7826">
        <v>0</v>
      </c>
      <c r="E7826">
        <v>0</v>
      </c>
      <c r="F7826">
        <v>0</v>
      </c>
      <c r="G7826">
        <v>0</v>
      </c>
    </row>
    <row r="7827" spans="1:7" x14ac:dyDescent="0.2">
      <c r="A7827" t="s">
        <v>4310</v>
      </c>
      <c r="B7827">
        <v>0</v>
      </c>
      <c r="C7827">
        <v>0</v>
      </c>
      <c r="D7827">
        <v>0</v>
      </c>
      <c r="E7827">
        <v>0</v>
      </c>
      <c r="F7827">
        <v>0</v>
      </c>
      <c r="G7827">
        <v>0</v>
      </c>
    </row>
    <row r="7828" spans="1:7" x14ac:dyDescent="0.2">
      <c r="A7828" t="s">
        <v>4311</v>
      </c>
      <c r="B7828">
        <v>0</v>
      </c>
      <c r="C7828">
        <v>0</v>
      </c>
      <c r="D7828">
        <v>0</v>
      </c>
      <c r="E7828">
        <v>12</v>
      </c>
      <c r="F7828">
        <v>1</v>
      </c>
      <c r="G7828">
        <v>13</v>
      </c>
    </row>
    <row r="7829" spans="1:7" x14ac:dyDescent="0.2">
      <c r="A7829" t="s">
        <v>4312</v>
      </c>
      <c r="B7829">
        <v>0</v>
      </c>
      <c r="C7829">
        <v>0</v>
      </c>
      <c r="D7829">
        <v>0</v>
      </c>
      <c r="E7829">
        <v>8</v>
      </c>
      <c r="F7829">
        <v>0</v>
      </c>
      <c r="G7829">
        <v>8</v>
      </c>
    </row>
    <row r="7830" spans="1:7" x14ac:dyDescent="0.2">
      <c r="A7830" t="s">
        <v>4313</v>
      </c>
      <c r="B7830">
        <v>0</v>
      </c>
      <c r="C7830">
        <v>0</v>
      </c>
      <c r="D7830">
        <v>0</v>
      </c>
      <c r="E7830">
        <v>0</v>
      </c>
      <c r="F7830">
        <v>0</v>
      </c>
      <c r="G7830">
        <v>0</v>
      </c>
    </row>
    <row r="7831" spans="1:7" x14ac:dyDescent="0.2">
      <c r="A7831" t="s">
        <v>4314</v>
      </c>
      <c r="B7831">
        <v>0</v>
      </c>
      <c r="C7831">
        <v>0</v>
      </c>
      <c r="D7831">
        <v>0</v>
      </c>
      <c r="E7831">
        <v>0</v>
      </c>
      <c r="F7831">
        <v>0</v>
      </c>
      <c r="G7831">
        <v>0</v>
      </c>
    </row>
    <row r="7832" spans="1:7" x14ac:dyDescent="0.2">
      <c r="A7832" t="s">
        <v>4315</v>
      </c>
      <c r="B7832">
        <v>0</v>
      </c>
      <c r="C7832">
        <v>0</v>
      </c>
      <c r="D7832">
        <v>0</v>
      </c>
      <c r="E7832">
        <v>0</v>
      </c>
      <c r="F7832">
        <v>0</v>
      </c>
      <c r="G7832">
        <v>0</v>
      </c>
    </row>
    <row r="7833" spans="1:7" x14ac:dyDescent="0.2">
      <c r="A7833" t="s">
        <v>4316</v>
      </c>
      <c r="B7833">
        <v>0</v>
      </c>
      <c r="C7833">
        <v>0</v>
      </c>
      <c r="D7833">
        <v>0</v>
      </c>
      <c r="E7833">
        <v>0</v>
      </c>
      <c r="F7833">
        <v>0</v>
      </c>
      <c r="G7833">
        <v>0</v>
      </c>
    </row>
    <row r="7834" spans="1:7" x14ac:dyDescent="0.2">
      <c r="A7834" t="s">
        <v>4317</v>
      </c>
      <c r="B7834">
        <v>0</v>
      </c>
      <c r="C7834">
        <v>0</v>
      </c>
      <c r="D7834">
        <v>0</v>
      </c>
      <c r="E7834">
        <v>0</v>
      </c>
      <c r="F7834">
        <v>0</v>
      </c>
      <c r="G7834">
        <v>0</v>
      </c>
    </row>
    <row r="7835" spans="1:7" x14ac:dyDescent="0.2">
      <c r="A7835" t="s">
        <v>4318</v>
      </c>
      <c r="B7835">
        <v>0</v>
      </c>
      <c r="C7835">
        <v>0</v>
      </c>
      <c r="D7835">
        <v>0</v>
      </c>
      <c r="E7835">
        <v>0</v>
      </c>
      <c r="F7835">
        <v>0</v>
      </c>
      <c r="G7835">
        <v>0</v>
      </c>
    </row>
    <row r="7836" spans="1:7" x14ac:dyDescent="0.2">
      <c r="A7836" t="s">
        <v>4319</v>
      </c>
      <c r="B7836">
        <v>0</v>
      </c>
      <c r="C7836">
        <v>0</v>
      </c>
      <c r="D7836">
        <v>0</v>
      </c>
      <c r="E7836">
        <v>0</v>
      </c>
      <c r="F7836">
        <v>0</v>
      </c>
      <c r="G7836">
        <v>0</v>
      </c>
    </row>
    <row r="7837" spans="1:7" x14ac:dyDescent="0.2">
      <c r="A7837" t="s">
        <v>4320</v>
      </c>
      <c r="B7837">
        <v>0</v>
      </c>
      <c r="C7837">
        <v>0</v>
      </c>
      <c r="D7837">
        <v>0</v>
      </c>
      <c r="E7837">
        <v>0</v>
      </c>
      <c r="F7837">
        <v>0</v>
      </c>
      <c r="G7837">
        <v>0</v>
      </c>
    </row>
    <row r="7838" spans="1:7" x14ac:dyDescent="0.2">
      <c r="A7838" t="s">
        <v>4321</v>
      </c>
      <c r="B7838">
        <v>0</v>
      </c>
      <c r="C7838">
        <v>0</v>
      </c>
      <c r="D7838">
        <v>0</v>
      </c>
      <c r="E7838">
        <v>0</v>
      </c>
      <c r="F7838">
        <v>0</v>
      </c>
      <c r="G7838">
        <v>0</v>
      </c>
    </row>
    <row r="7839" spans="1:7" x14ac:dyDescent="0.2">
      <c r="A7839" t="s">
        <v>4322</v>
      </c>
      <c r="B7839">
        <v>0</v>
      </c>
      <c r="C7839">
        <v>0</v>
      </c>
      <c r="D7839">
        <v>0</v>
      </c>
      <c r="E7839">
        <v>0</v>
      </c>
      <c r="F7839">
        <v>0</v>
      </c>
      <c r="G7839">
        <v>0</v>
      </c>
    </row>
    <row r="7840" spans="1:7" x14ac:dyDescent="0.2">
      <c r="A7840" t="s">
        <v>4323</v>
      </c>
      <c r="B7840">
        <v>0</v>
      </c>
      <c r="C7840">
        <v>0</v>
      </c>
      <c r="D7840">
        <v>0</v>
      </c>
      <c r="E7840">
        <v>0</v>
      </c>
      <c r="F7840">
        <v>0</v>
      </c>
      <c r="G7840">
        <v>0</v>
      </c>
    </row>
    <row r="7841" spans="1:7" x14ac:dyDescent="0.2">
      <c r="A7841" t="s">
        <v>4324</v>
      </c>
      <c r="B7841">
        <v>0</v>
      </c>
      <c r="C7841">
        <v>0</v>
      </c>
      <c r="D7841">
        <v>0</v>
      </c>
      <c r="E7841">
        <v>0</v>
      </c>
      <c r="F7841">
        <v>0</v>
      </c>
      <c r="G7841">
        <v>0</v>
      </c>
    </row>
    <row r="7842" spans="1:7" x14ac:dyDescent="0.2">
      <c r="A7842" t="s">
        <v>4325</v>
      </c>
      <c r="B7842">
        <v>0</v>
      </c>
      <c r="C7842">
        <v>0</v>
      </c>
      <c r="D7842">
        <v>0</v>
      </c>
      <c r="E7842">
        <v>0</v>
      </c>
      <c r="F7842">
        <v>0</v>
      </c>
      <c r="G7842">
        <v>0</v>
      </c>
    </row>
    <row r="7843" spans="1:7" x14ac:dyDescent="0.2">
      <c r="A7843" t="s">
        <v>4326</v>
      </c>
      <c r="B7843">
        <v>0</v>
      </c>
      <c r="C7843">
        <v>0</v>
      </c>
      <c r="D7843">
        <v>0</v>
      </c>
      <c r="E7843">
        <v>0</v>
      </c>
      <c r="F7843">
        <v>0</v>
      </c>
      <c r="G7843">
        <v>0</v>
      </c>
    </row>
    <row r="7844" spans="1:7" x14ac:dyDescent="0.2">
      <c r="A7844" t="s">
        <v>4327</v>
      </c>
      <c r="B7844">
        <v>0</v>
      </c>
      <c r="C7844">
        <v>0</v>
      </c>
      <c r="D7844">
        <v>0</v>
      </c>
      <c r="E7844">
        <v>0</v>
      </c>
      <c r="F7844">
        <v>0</v>
      </c>
      <c r="G7844">
        <v>0</v>
      </c>
    </row>
    <row r="7845" spans="1:7" x14ac:dyDescent="0.2">
      <c r="A7845" t="s">
        <v>4328</v>
      </c>
      <c r="B7845">
        <v>0</v>
      </c>
      <c r="C7845">
        <v>0</v>
      </c>
      <c r="D7845">
        <v>0</v>
      </c>
      <c r="E7845">
        <v>0</v>
      </c>
      <c r="F7845">
        <v>0</v>
      </c>
      <c r="G7845">
        <v>0</v>
      </c>
    </row>
    <row r="7846" spans="1:7" x14ac:dyDescent="0.2">
      <c r="A7846" t="s">
        <v>4329</v>
      </c>
      <c r="B7846">
        <v>0</v>
      </c>
      <c r="C7846">
        <v>0</v>
      </c>
      <c r="D7846">
        <v>0</v>
      </c>
      <c r="E7846">
        <v>0</v>
      </c>
      <c r="F7846">
        <v>0</v>
      </c>
      <c r="G7846">
        <v>0</v>
      </c>
    </row>
    <row r="7847" spans="1:7" x14ac:dyDescent="0.2">
      <c r="A7847" t="s">
        <v>4330</v>
      </c>
      <c r="B7847">
        <v>0</v>
      </c>
      <c r="C7847">
        <v>0</v>
      </c>
      <c r="D7847">
        <v>0</v>
      </c>
      <c r="E7847">
        <v>0</v>
      </c>
      <c r="F7847">
        <v>0</v>
      </c>
      <c r="G7847">
        <v>0</v>
      </c>
    </row>
    <row r="7848" spans="1:7" x14ac:dyDescent="0.2">
      <c r="A7848" t="s">
        <v>4331</v>
      </c>
      <c r="B7848">
        <v>0</v>
      </c>
      <c r="C7848">
        <v>0</v>
      </c>
      <c r="D7848">
        <v>0</v>
      </c>
      <c r="E7848">
        <v>0</v>
      </c>
      <c r="F7848">
        <v>0</v>
      </c>
      <c r="G7848">
        <v>0</v>
      </c>
    </row>
    <row r="7849" spans="1:7" x14ac:dyDescent="0.2">
      <c r="A7849" t="s">
        <v>4332</v>
      </c>
      <c r="B7849">
        <v>0</v>
      </c>
      <c r="C7849">
        <v>0</v>
      </c>
      <c r="D7849">
        <v>0</v>
      </c>
      <c r="E7849">
        <v>0</v>
      </c>
      <c r="F7849">
        <v>0</v>
      </c>
      <c r="G7849">
        <v>0</v>
      </c>
    </row>
    <row r="7850" spans="1:7" x14ac:dyDescent="0.2">
      <c r="A7850" t="s">
        <v>4333</v>
      </c>
      <c r="B7850">
        <v>0</v>
      </c>
      <c r="C7850">
        <v>0</v>
      </c>
      <c r="D7850">
        <v>0</v>
      </c>
      <c r="E7850">
        <v>0</v>
      </c>
      <c r="F7850">
        <v>0</v>
      </c>
      <c r="G7850">
        <v>0</v>
      </c>
    </row>
    <row r="7851" spans="1:7" x14ac:dyDescent="0.2">
      <c r="A7851" t="s">
        <v>4334</v>
      </c>
      <c r="B7851">
        <v>0</v>
      </c>
      <c r="C7851">
        <v>0</v>
      </c>
      <c r="D7851">
        <v>0</v>
      </c>
      <c r="E7851">
        <v>0</v>
      </c>
      <c r="F7851">
        <v>0</v>
      </c>
      <c r="G7851">
        <v>0</v>
      </c>
    </row>
    <row r="7852" spans="1:7" x14ac:dyDescent="0.2">
      <c r="A7852" t="s">
        <v>4335</v>
      </c>
      <c r="B7852">
        <v>0</v>
      </c>
      <c r="C7852">
        <v>0</v>
      </c>
      <c r="D7852">
        <v>0</v>
      </c>
      <c r="E7852">
        <v>0</v>
      </c>
      <c r="F7852">
        <v>0</v>
      </c>
      <c r="G7852">
        <v>0</v>
      </c>
    </row>
    <row r="7853" spans="1:7" x14ac:dyDescent="0.2">
      <c r="A7853" t="s">
        <v>4336</v>
      </c>
      <c r="B7853">
        <v>0</v>
      </c>
      <c r="C7853">
        <v>0</v>
      </c>
      <c r="D7853">
        <v>0</v>
      </c>
      <c r="E7853">
        <v>0</v>
      </c>
      <c r="F7853">
        <v>0</v>
      </c>
      <c r="G7853">
        <v>0</v>
      </c>
    </row>
    <row r="7854" spans="1:7" x14ac:dyDescent="0.2">
      <c r="A7854" t="s">
        <v>4337</v>
      </c>
      <c r="B7854">
        <v>0</v>
      </c>
      <c r="C7854">
        <v>0</v>
      </c>
      <c r="D7854">
        <v>0</v>
      </c>
      <c r="E7854">
        <v>0</v>
      </c>
      <c r="F7854">
        <v>0</v>
      </c>
      <c r="G7854">
        <v>0</v>
      </c>
    </row>
    <row r="7855" spans="1:7" x14ac:dyDescent="0.2">
      <c r="A7855" t="s">
        <v>4338</v>
      </c>
      <c r="B7855">
        <v>0</v>
      </c>
      <c r="C7855">
        <v>0</v>
      </c>
      <c r="D7855">
        <v>0</v>
      </c>
      <c r="E7855">
        <v>0</v>
      </c>
      <c r="F7855">
        <v>0</v>
      </c>
      <c r="G7855">
        <v>0</v>
      </c>
    </row>
    <row r="7856" spans="1:7" x14ac:dyDescent="0.2">
      <c r="A7856" t="s">
        <v>4339</v>
      </c>
      <c r="B7856">
        <v>0</v>
      </c>
      <c r="C7856">
        <v>0</v>
      </c>
      <c r="D7856">
        <v>0</v>
      </c>
      <c r="E7856">
        <v>0</v>
      </c>
      <c r="F7856">
        <v>0</v>
      </c>
      <c r="G7856">
        <v>0</v>
      </c>
    </row>
    <row r="7857" spans="1:7" x14ac:dyDescent="0.2">
      <c r="A7857" t="s">
        <v>4340</v>
      </c>
      <c r="B7857">
        <v>0</v>
      </c>
      <c r="C7857">
        <v>0</v>
      </c>
      <c r="D7857">
        <v>0</v>
      </c>
      <c r="E7857">
        <v>0</v>
      </c>
      <c r="F7857">
        <v>0</v>
      </c>
      <c r="G7857">
        <v>0</v>
      </c>
    </row>
    <row r="7858" spans="1:7" x14ac:dyDescent="0.2">
      <c r="A7858" t="s">
        <v>4341</v>
      </c>
      <c r="B7858">
        <v>0</v>
      </c>
      <c r="C7858">
        <v>0</v>
      </c>
      <c r="D7858">
        <v>0</v>
      </c>
      <c r="E7858">
        <v>0</v>
      </c>
      <c r="F7858">
        <v>0</v>
      </c>
      <c r="G7858">
        <v>0</v>
      </c>
    </row>
    <row r="7859" spans="1:7" x14ac:dyDescent="0.2">
      <c r="A7859" t="s">
        <v>4342</v>
      </c>
      <c r="B7859">
        <v>0</v>
      </c>
      <c r="C7859">
        <v>0</v>
      </c>
      <c r="D7859">
        <v>0</v>
      </c>
      <c r="E7859">
        <v>0</v>
      </c>
      <c r="F7859">
        <v>0</v>
      </c>
      <c r="G7859">
        <v>0</v>
      </c>
    </row>
    <row r="7860" spans="1:7" x14ac:dyDescent="0.2">
      <c r="A7860" t="s">
        <v>4343</v>
      </c>
      <c r="B7860">
        <v>0</v>
      </c>
      <c r="C7860">
        <v>0</v>
      </c>
      <c r="D7860">
        <v>0</v>
      </c>
      <c r="E7860">
        <v>0</v>
      </c>
      <c r="F7860">
        <v>0</v>
      </c>
      <c r="G7860">
        <v>0</v>
      </c>
    </row>
    <row r="7861" spans="1:7" x14ac:dyDescent="0.2">
      <c r="A7861" t="s">
        <v>1728</v>
      </c>
      <c r="B7861">
        <v>0</v>
      </c>
      <c r="C7861">
        <v>0</v>
      </c>
      <c r="D7861">
        <v>0</v>
      </c>
      <c r="E7861">
        <v>0</v>
      </c>
      <c r="F7861">
        <v>0</v>
      </c>
      <c r="G7861">
        <v>0</v>
      </c>
    </row>
    <row r="7862" spans="1:7" x14ac:dyDescent="0.2">
      <c r="A7862" t="s">
        <v>1730</v>
      </c>
      <c r="B7862">
        <v>0</v>
      </c>
      <c r="C7862">
        <v>0</v>
      </c>
      <c r="D7862">
        <v>0</v>
      </c>
      <c r="E7862">
        <v>0</v>
      </c>
      <c r="F7862">
        <v>0</v>
      </c>
      <c r="G7862">
        <v>1</v>
      </c>
    </row>
    <row r="7863" spans="1:7" x14ac:dyDescent="0.2">
      <c r="A7863" t="s">
        <v>1733</v>
      </c>
      <c r="B7863">
        <v>0</v>
      </c>
      <c r="C7863">
        <v>0</v>
      </c>
      <c r="D7863">
        <v>0</v>
      </c>
      <c r="E7863">
        <v>0</v>
      </c>
      <c r="F7863">
        <v>0</v>
      </c>
      <c r="G7863">
        <v>0</v>
      </c>
    </row>
    <row r="7864" spans="1:7" x14ac:dyDescent="0.2">
      <c r="A7864" t="s">
        <v>1738</v>
      </c>
      <c r="B7864">
        <v>0</v>
      </c>
      <c r="C7864">
        <v>0</v>
      </c>
      <c r="D7864">
        <v>0</v>
      </c>
      <c r="E7864">
        <v>0</v>
      </c>
      <c r="F7864">
        <v>0</v>
      </c>
      <c r="G7864">
        <v>0</v>
      </c>
    </row>
    <row r="7865" spans="1:7" x14ac:dyDescent="0.2">
      <c r="A7865" t="s">
        <v>1744</v>
      </c>
      <c r="B7865">
        <v>0</v>
      </c>
      <c r="C7865">
        <v>0</v>
      </c>
      <c r="D7865">
        <v>0</v>
      </c>
      <c r="E7865">
        <v>0</v>
      </c>
      <c r="F7865">
        <v>0</v>
      </c>
      <c r="G7865">
        <v>0</v>
      </c>
    </row>
    <row r="7866" spans="1:7" x14ac:dyDescent="0.2">
      <c r="A7866" t="s">
        <v>1747</v>
      </c>
      <c r="B7866">
        <v>0</v>
      </c>
      <c r="C7866">
        <v>0</v>
      </c>
      <c r="D7866">
        <v>0</v>
      </c>
      <c r="E7866">
        <v>0</v>
      </c>
      <c r="F7866">
        <v>0</v>
      </c>
      <c r="G7866">
        <v>0</v>
      </c>
    </row>
    <row r="7867" spans="1:7" x14ac:dyDescent="0.2">
      <c r="A7867" t="s">
        <v>1751</v>
      </c>
      <c r="B7867">
        <v>0</v>
      </c>
      <c r="C7867">
        <v>0</v>
      </c>
      <c r="D7867">
        <v>0</v>
      </c>
      <c r="E7867">
        <v>0</v>
      </c>
      <c r="F7867">
        <v>0</v>
      </c>
      <c r="G7867">
        <v>0</v>
      </c>
    </row>
    <row r="7868" spans="1:7" x14ac:dyDescent="0.2">
      <c r="A7868" t="s">
        <v>1755</v>
      </c>
      <c r="B7868">
        <v>0</v>
      </c>
      <c r="C7868">
        <v>0</v>
      </c>
      <c r="D7868">
        <v>0</v>
      </c>
      <c r="E7868">
        <v>0</v>
      </c>
      <c r="F7868">
        <v>0</v>
      </c>
      <c r="G7868">
        <v>0</v>
      </c>
    </row>
    <row r="7869" spans="1:7" x14ac:dyDescent="0.2">
      <c r="A7869" t="s">
        <v>1757</v>
      </c>
      <c r="B7869">
        <v>0</v>
      </c>
      <c r="C7869">
        <v>0</v>
      </c>
      <c r="D7869">
        <v>0</v>
      </c>
      <c r="E7869">
        <v>0</v>
      </c>
      <c r="F7869">
        <v>0</v>
      </c>
      <c r="G7869">
        <v>0</v>
      </c>
    </row>
    <row r="7870" spans="1:7" x14ac:dyDescent="0.2">
      <c r="A7870" t="s">
        <v>1761</v>
      </c>
      <c r="B7870">
        <v>0</v>
      </c>
      <c r="C7870">
        <v>0</v>
      </c>
      <c r="D7870">
        <v>0</v>
      </c>
      <c r="E7870">
        <v>0</v>
      </c>
      <c r="F7870">
        <v>0</v>
      </c>
      <c r="G7870">
        <v>0</v>
      </c>
    </row>
    <row r="7871" spans="1:7" x14ac:dyDescent="0.2">
      <c r="A7871" t="s">
        <v>1764</v>
      </c>
      <c r="B7871">
        <v>0</v>
      </c>
      <c r="C7871">
        <v>0</v>
      </c>
      <c r="D7871">
        <v>0</v>
      </c>
      <c r="E7871">
        <v>0</v>
      </c>
      <c r="F7871">
        <v>0</v>
      </c>
      <c r="G7871">
        <v>0</v>
      </c>
    </row>
    <row r="7872" spans="1:7" x14ac:dyDescent="0.2">
      <c r="A7872" t="s">
        <v>1770</v>
      </c>
      <c r="B7872">
        <v>0</v>
      </c>
      <c r="C7872">
        <v>0</v>
      </c>
      <c r="D7872">
        <v>3</v>
      </c>
      <c r="E7872">
        <v>4</v>
      </c>
      <c r="F7872">
        <v>0</v>
      </c>
      <c r="G7872">
        <v>7</v>
      </c>
    </row>
    <row r="7873" spans="1:7" x14ac:dyDescent="0.2">
      <c r="A7873" t="s">
        <v>1772</v>
      </c>
      <c r="B7873">
        <v>0</v>
      </c>
      <c r="C7873">
        <v>0</v>
      </c>
      <c r="D7873">
        <v>0</v>
      </c>
      <c r="E7873">
        <v>1</v>
      </c>
      <c r="F7873">
        <v>0</v>
      </c>
      <c r="G7873">
        <v>1</v>
      </c>
    </row>
    <row r="7874" spans="1:7" x14ac:dyDescent="0.2">
      <c r="A7874" t="s">
        <v>1774</v>
      </c>
      <c r="B7874">
        <v>0</v>
      </c>
      <c r="C7874">
        <v>0</v>
      </c>
      <c r="D7874">
        <v>0</v>
      </c>
      <c r="E7874">
        <v>0</v>
      </c>
      <c r="F7874">
        <v>0</v>
      </c>
      <c r="G7874">
        <v>0</v>
      </c>
    </row>
    <row r="7875" spans="1:7" x14ac:dyDescent="0.2">
      <c r="A7875" t="s">
        <v>1777</v>
      </c>
      <c r="B7875">
        <v>0</v>
      </c>
      <c r="C7875">
        <v>0</v>
      </c>
      <c r="D7875">
        <v>0</v>
      </c>
      <c r="E7875">
        <v>0</v>
      </c>
      <c r="F7875">
        <v>0</v>
      </c>
      <c r="G7875">
        <v>0</v>
      </c>
    </row>
    <row r="7876" spans="1:7" x14ac:dyDescent="0.2">
      <c r="A7876" t="s">
        <v>1782</v>
      </c>
      <c r="B7876">
        <v>0</v>
      </c>
      <c r="C7876">
        <v>0</v>
      </c>
      <c r="D7876">
        <v>0</v>
      </c>
      <c r="E7876">
        <v>0</v>
      </c>
      <c r="F7876">
        <v>0</v>
      </c>
      <c r="G7876">
        <v>0</v>
      </c>
    </row>
    <row r="7877" spans="1:7" x14ac:dyDescent="0.2">
      <c r="A7877" t="s">
        <v>1274</v>
      </c>
      <c r="B7877">
        <v>0</v>
      </c>
      <c r="C7877">
        <v>0</v>
      </c>
      <c r="D7877">
        <v>0</v>
      </c>
      <c r="E7877">
        <v>0</v>
      </c>
      <c r="F7877">
        <v>0</v>
      </c>
      <c r="G7877">
        <v>0</v>
      </c>
    </row>
    <row r="7878" spans="1:7" x14ac:dyDescent="0.2">
      <c r="A7878" t="s">
        <v>1277</v>
      </c>
      <c r="B7878">
        <v>0</v>
      </c>
      <c r="C7878">
        <v>0</v>
      </c>
      <c r="D7878">
        <v>0</v>
      </c>
      <c r="E7878">
        <v>0</v>
      </c>
      <c r="F7878">
        <v>0</v>
      </c>
      <c r="G7878">
        <v>0</v>
      </c>
    </row>
    <row r="7879" spans="1:7" x14ac:dyDescent="0.2">
      <c r="A7879" t="s">
        <v>1798</v>
      </c>
      <c r="B7879">
        <v>0</v>
      </c>
      <c r="C7879">
        <v>0</v>
      </c>
      <c r="D7879">
        <v>0</v>
      </c>
      <c r="E7879">
        <v>0</v>
      </c>
      <c r="F7879">
        <v>0</v>
      </c>
      <c r="G7879">
        <v>0</v>
      </c>
    </row>
    <row r="7880" spans="1:7" x14ac:dyDescent="0.2">
      <c r="A7880" t="s">
        <v>1803</v>
      </c>
      <c r="B7880">
        <v>0</v>
      </c>
      <c r="C7880">
        <v>0</v>
      </c>
      <c r="D7880">
        <v>0</v>
      </c>
      <c r="E7880">
        <v>0</v>
      </c>
      <c r="F7880">
        <v>0</v>
      </c>
      <c r="G7880">
        <v>0</v>
      </c>
    </row>
    <row r="7881" spans="1:7" x14ac:dyDescent="0.2">
      <c r="A7881" t="s">
        <v>1808</v>
      </c>
      <c r="B7881">
        <v>0</v>
      </c>
      <c r="C7881">
        <v>0</v>
      </c>
      <c r="D7881">
        <v>0</v>
      </c>
      <c r="E7881">
        <v>0</v>
      </c>
      <c r="F7881">
        <v>0</v>
      </c>
      <c r="G7881">
        <v>0</v>
      </c>
    </row>
    <row r="7882" spans="1:7" x14ac:dyDescent="0.2">
      <c r="A7882" t="s">
        <v>1813</v>
      </c>
      <c r="B7882">
        <v>0</v>
      </c>
      <c r="C7882">
        <v>0</v>
      </c>
      <c r="D7882">
        <v>0</v>
      </c>
      <c r="E7882">
        <v>0</v>
      </c>
      <c r="F7882">
        <v>0</v>
      </c>
      <c r="G7882">
        <v>0</v>
      </c>
    </row>
    <row r="7883" spans="1:7" x14ac:dyDescent="0.2">
      <c r="A7883" t="s">
        <v>1819</v>
      </c>
      <c r="B7883">
        <v>0</v>
      </c>
      <c r="C7883">
        <v>0</v>
      </c>
      <c r="D7883">
        <v>0</v>
      </c>
      <c r="E7883">
        <v>0</v>
      </c>
      <c r="F7883">
        <v>0</v>
      </c>
      <c r="G7883">
        <v>0</v>
      </c>
    </row>
    <row r="7884" spans="1:7" x14ac:dyDescent="0.2">
      <c r="A7884" t="s">
        <v>1826</v>
      </c>
      <c r="B7884">
        <v>0</v>
      </c>
      <c r="C7884">
        <v>0</v>
      </c>
      <c r="D7884">
        <v>0</v>
      </c>
      <c r="E7884">
        <v>0</v>
      </c>
      <c r="F7884">
        <v>0</v>
      </c>
      <c r="G7884">
        <v>0</v>
      </c>
    </row>
    <row r="7885" spans="1:7" x14ac:dyDescent="0.2">
      <c r="A7885" t="s">
        <v>1830</v>
      </c>
      <c r="B7885">
        <v>0</v>
      </c>
      <c r="C7885">
        <v>0</v>
      </c>
      <c r="D7885">
        <v>0</v>
      </c>
      <c r="E7885">
        <v>0</v>
      </c>
      <c r="F7885">
        <v>0</v>
      </c>
      <c r="G7885">
        <v>0</v>
      </c>
    </row>
    <row r="7886" spans="1:7" x14ac:dyDescent="0.2">
      <c r="A7886" t="s">
        <v>1836</v>
      </c>
      <c r="B7886">
        <v>0</v>
      </c>
      <c r="C7886">
        <v>0</v>
      </c>
      <c r="D7886">
        <v>0</v>
      </c>
      <c r="E7886">
        <v>0</v>
      </c>
      <c r="F7886">
        <v>0</v>
      </c>
      <c r="G7886">
        <v>0</v>
      </c>
    </row>
    <row r="7887" spans="1:7" x14ac:dyDescent="0.2">
      <c r="A7887" t="s">
        <v>1841</v>
      </c>
      <c r="B7887">
        <v>0</v>
      </c>
      <c r="C7887">
        <v>0</v>
      </c>
      <c r="D7887">
        <v>0</v>
      </c>
      <c r="E7887">
        <v>0</v>
      </c>
      <c r="F7887">
        <v>0</v>
      </c>
      <c r="G7887">
        <v>0</v>
      </c>
    </row>
    <row r="7888" spans="1:7" x14ac:dyDescent="0.2">
      <c r="A7888" t="s">
        <v>1842</v>
      </c>
      <c r="B7888">
        <v>0</v>
      </c>
      <c r="C7888">
        <v>0</v>
      </c>
      <c r="D7888">
        <v>0</v>
      </c>
      <c r="E7888">
        <v>0</v>
      </c>
      <c r="F7888">
        <v>0</v>
      </c>
      <c r="G7888">
        <v>0</v>
      </c>
    </row>
    <row r="7889" spans="1:7" x14ac:dyDescent="0.2">
      <c r="A7889" t="s">
        <v>1843</v>
      </c>
      <c r="B7889">
        <v>0</v>
      </c>
      <c r="C7889">
        <v>0</v>
      </c>
      <c r="D7889">
        <v>0</v>
      </c>
      <c r="E7889">
        <v>0</v>
      </c>
      <c r="F7889">
        <v>0</v>
      </c>
      <c r="G7889">
        <v>0</v>
      </c>
    </row>
    <row r="7890" spans="1:7" x14ac:dyDescent="0.2">
      <c r="A7890" t="s">
        <v>1846</v>
      </c>
      <c r="B7890">
        <v>0</v>
      </c>
      <c r="C7890">
        <v>0</v>
      </c>
      <c r="D7890">
        <v>0</v>
      </c>
      <c r="E7890">
        <v>0</v>
      </c>
      <c r="F7890">
        <v>0</v>
      </c>
      <c r="G7890">
        <v>0</v>
      </c>
    </row>
    <row r="7891" spans="1:7" x14ac:dyDescent="0.2">
      <c r="A7891" t="s">
        <v>1851</v>
      </c>
      <c r="B7891">
        <v>0</v>
      </c>
      <c r="C7891">
        <v>0</v>
      </c>
      <c r="D7891">
        <v>0</v>
      </c>
      <c r="E7891">
        <v>0</v>
      </c>
      <c r="F7891">
        <v>0</v>
      </c>
      <c r="G7891">
        <v>0</v>
      </c>
    </row>
    <row r="7892" spans="1:7" x14ac:dyDescent="0.2">
      <c r="A7892" t="s">
        <v>1857</v>
      </c>
      <c r="B7892">
        <v>0</v>
      </c>
      <c r="C7892">
        <v>0</v>
      </c>
      <c r="D7892">
        <v>0</v>
      </c>
      <c r="E7892">
        <v>0</v>
      </c>
      <c r="F7892">
        <v>0</v>
      </c>
      <c r="G7892">
        <v>0</v>
      </c>
    </row>
    <row r="7893" spans="1:7" x14ac:dyDescent="0.2">
      <c r="A7893" t="s">
        <v>1862</v>
      </c>
      <c r="B7893">
        <v>0</v>
      </c>
      <c r="C7893">
        <v>0</v>
      </c>
      <c r="D7893">
        <v>0</v>
      </c>
      <c r="E7893">
        <v>0</v>
      </c>
      <c r="F7893">
        <v>0</v>
      </c>
      <c r="G7893">
        <v>0</v>
      </c>
    </row>
    <row r="7894" spans="1:7" x14ac:dyDescent="0.2">
      <c r="A7894" t="s">
        <v>1867</v>
      </c>
      <c r="B7894">
        <v>0</v>
      </c>
      <c r="C7894">
        <v>0</v>
      </c>
      <c r="D7894">
        <v>0</v>
      </c>
      <c r="E7894">
        <v>0</v>
      </c>
      <c r="F7894">
        <v>0</v>
      </c>
      <c r="G7894">
        <v>0</v>
      </c>
    </row>
    <row r="7895" spans="1:7" x14ac:dyDescent="0.2">
      <c r="A7895" t="s">
        <v>1870</v>
      </c>
      <c r="B7895">
        <v>0</v>
      </c>
      <c r="C7895">
        <v>0</v>
      </c>
      <c r="D7895">
        <v>0</v>
      </c>
      <c r="E7895">
        <v>0</v>
      </c>
      <c r="F7895">
        <v>0</v>
      </c>
      <c r="G7895">
        <v>0</v>
      </c>
    </row>
    <row r="7896" spans="1:7" x14ac:dyDescent="0.2">
      <c r="A7896" t="s">
        <v>1874</v>
      </c>
      <c r="B7896">
        <v>0</v>
      </c>
      <c r="C7896">
        <v>0</v>
      </c>
      <c r="D7896">
        <v>0</v>
      </c>
      <c r="E7896">
        <v>0</v>
      </c>
      <c r="F7896">
        <v>0</v>
      </c>
      <c r="G7896">
        <v>0</v>
      </c>
    </row>
    <row r="7897" spans="1:7" x14ac:dyDescent="0.2">
      <c r="A7897" t="s">
        <v>1876</v>
      </c>
      <c r="B7897">
        <v>0</v>
      </c>
      <c r="C7897">
        <v>0</v>
      </c>
      <c r="D7897">
        <v>0</v>
      </c>
      <c r="E7897">
        <v>0</v>
      </c>
      <c r="F7897">
        <v>0</v>
      </c>
      <c r="G7897">
        <v>0</v>
      </c>
    </row>
    <row r="7898" spans="1:7" x14ac:dyDescent="0.2">
      <c r="A7898" t="s">
        <v>1881</v>
      </c>
      <c r="B7898">
        <v>0</v>
      </c>
      <c r="C7898">
        <v>0</v>
      </c>
      <c r="D7898">
        <v>0</v>
      </c>
      <c r="E7898">
        <v>0</v>
      </c>
      <c r="F7898">
        <v>0</v>
      </c>
      <c r="G7898">
        <v>0</v>
      </c>
    </row>
    <row r="7899" spans="1:7" x14ac:dyDescent="0.2">
      <c r="A7899" t="s">
        <v>1885</v>
      </c>
      <c r="B7899">
        <v>0</v>
      </c>
      <c r="C7899">
        <v>0</v>
      </c>
      <c r="D7899">
        <v>0</v>
      </c>
      <c r="E7899">
        <v>3</v>
      </c>
      <c r="F7899">
        <v>0</v>
      </c>
      <c r="G7899">
        <v>3</v>
      </c>
    </row>
    <row r="7900" spans="1:7" x14ac:dyDescent="0.2">
      <c r="A7900" t="s">
        <v>1887</v>
      </c>
      <c r="B7900">
        <v>0</v>
      </c>
      <c r="C7900">
        <v>0</v>
      </c>
      <c r="D7900">
        <v>0</v>
      </c>
      <c r="E7900">
        <v>0</v>
      </c>
      <c r="F7900">
        <v>0</v>
      </c>
      <c r="G7900">
        <v>0</v>
      </c>
    </row>
    <row r="7901" spans="1:7" x14ac:dyDescent="0.2">
      <c r="A7901" t="s">
        <v>1893</v>
      </c>
      <c r="B7901">
        <v>0</v>
      </c>
      <c r="C7901">
        <v>0</v>
      </c>
      <c r="D7901">
        <v>0</v>
      </c>
      <c r="E7901">
        <v>0</v>
      </c>
      <c r="F7901">
        <v>0</v>
      </c>
      <c r="G7901">
        <v>0</v>
      </c>
    </row>
    <row r="7902" spans="1:7" x14ac:dyDescent="0.2">
      <c r="A7902" t="s">
        <v>1899</v>
      </c>
      <c r="B7902">
        <v>0</v>
      </c>
      <c r="C7902">
        <v>0</v>
      </c>
      <c r="D7902">
        <v>0</v>
      </c>
      <c r="E7902">
        <v>0</v>
      </c>
      <c r="F7902">
        <v>0</v>
      </c>
      <c r="G7902">
        <v>0</v>
      </c>
    </row>
    <row r="7903" spans="1:7" x14ac:dyDescent="0.2">
      <c r="A7903" t="s">
        <v>1906</v>
      </c>
      <c r="B7903">
        <v>0</v>
      </c>
      <c r="C7903">
        <v>0</v>
      </c>
      <c r="D7903">
        <v>0</v>
      </c>
      <c r="E7903">
        <v>0</v>
      </c>
      <c r="F7903">
        <v>0</v>
      </c>
      <c r="G7903">
        <v>0</v>
      </c>
    </row>
    <row r="7904" spans="1:7" x14ac:dyDescent="0.2">
      <c r="A7904" t="s">
        <v>1911</v>
      </c>
      <c r="B7904">
        <v>0</v>
      </c>
      <c r="C7904">
        <v>0</v>
      </c>
      <c r="D7904">
        <v>0</v>
      </c>
      <c r="E7904">
        <v>0</v>
      </c>
      <c r="F7904">
        <v>0</v>
      </c>
      <c r="G7904">
        <v>0</v>
      </c>
    </row>
    <row r="7905" spans="1:7" x14ac:dyDescent="0.2">
      <c r="A7905" t="s">
        <v>1917</v>
      </c>
      <c r="B7905">
        <v>0</v>
      </c>
      <c r="C7905">
        <v>0</v>
      </c>
      <c r="D7905">
        <v>0</v>
      </c>
      <c r="E7905">
        <v>0</v>
      </c>
      <c r="F7905">
        <v>0</v>
      </c>
      <c r="G7905">
        <v>0</v>
      </c>
    </row>
    <row r="7906" spans="1:7" x14ac:dyDescent="0.2">
      <c r="A7906" t="s">
        <v>1922</v>
      </c>
      <c r="B7906">
        <v>0</v>
      </c>
      <c r="C7906">
        <v>0</v>
      </c>
      <c r="D7906">
        <v>0</v>
      </c>
      <c r="E7906">
        <v>0</v>
      </c>
      <c r="F7906">
        <v>0</v>
      </c>
      <c r="G7906">
        <v>0</v>
      </c>
    </row>
    <row r="7907" spans="1:7" x14ac:dyDescent="0.2">
      <c r="A7907" t="s">
        <v>1928</v>
      </c>
      <c r="B7907">
        <v>0</v>
      </c>
      <c r="C7907">
        <v>0</v>
      </c>
      <c r="D7907">
        <v>0</v>
      </c>
      <c r="E7907">
        <v>0</v>
      </c>
      <c r="F7907">
        <v>0</v>
      </c>
      <c r="G7907">
        <v>0</v>
      </c>
    </row>
    <row r="7908" spans="1:7" x14ac:dyDescent="0.2">
      <c r="A7908" t="s">
        <v>1932</v>
      </c>
      <c r="B7908">
        <v>0</v>
      </c>
      <c r="C7908">
        <v>0</v>
      </c>
      <c r="D7908">
        <v>0</v>
      </c>
      <c r="E7908">
        <v>0</v>
      </c>
      <c r="F7908">
        <v>0</v>
      </c>
      <c r="G7908">
        <v>0</v>
      </c>
    </row>
    <row r="7909" spans="1:7" x14ac:dyDescent="0.2">
      <c r="A7909" t="s">
        <v>1938</v>
      </c>
      <c r="B7909">
        <v>0</v>
      </c>
      <c r="C7909">
        <v>0</v>
      </c>
      <c r="D7909">
        <v>0</v>
      </c>
      <c r="E7909">
        <v>0</v>
      </c>
      <c r="F7909">
        <v>0</v>
      </c>
      <c r="G7909">
        <v>0</v>
      </c>
    </row>
    <row r="7910" spans="1:7" x14ac:dyDescent="0.2">
      <c r="A7910" t="s">
        <v>1944</v>
      </c>
      <c r="B7910">
        <v>0</v>
      </c>
      <c r="C7910">
        <v>0</v>
      </c>
      <c r="D7910">
        <v>0</v>
      </c>
      <c r="E7910">
        <v>0</v>
      </c>
      <c r="F7910">
        <v>0</v>
      </c>
      <c r="G7910">
        <v>0</v>
      </c>
    </row>
    <row r="7911" spans="1:7" x14ac:dyDescent="0.2">
      <c r="A7911" t="s">
        <v>1947</v>
      </c>
      <c r="B7911">
        <v>0</v>
      </c>
      <c r="C7911">
        <v>0</v>
      </c>
      <c r="D7911">
        <v>0</v>
      </c>
      <c r="E7911">
        <v>0</v>
      </c>
      <c r="F7911">
        <v>0</v>
      </c>
      <c r="G7911">
        <v>0</v>
      </c>
    </row>
    <row r="7912" spans="1:7" x14ac:dyDescent="0.2">
      <c r="A7912" t="s">
        <v>1953</v>
      </c>
      <c r="B7912">
        <v>0</v>
      </c>
      <c r="C7912">
        <v>0</v>
      </c>
      <c r="D7912">
        <v>0</v>
      </c>
      <c r="E7912">
        <v>0</v>
      </c>
      <c r="F7912">
        <v>0</v>
      </c>
      <c r="G7912">
        <v>0</v>
      </c>
    </row>
    <row r="7913" spans="1:7" x14ac:dyDescent="0.2">
      <c r="A7913" t="s">
        <v>1958</v>
      </c>
      <c r="B7913">
        <v>0</v>
      </c>
      <c r="C7913">
        <v>0</v>
      </c>
      <c r="D7913">
        <v>0</v>
      </c>
      <c r="E7913">
        <v>0</v>
      </c>
      <c r="F7913">
        <v>0</v>
      </c>
      <c r="G7913">
        <v>0</v>
      </c>
    </row>
    <row r="7914" spans="1:7" x14ac:dyDescent="0.2">
      <c r="A7914" t="s">
        <v>1964</v>
      </c>
      <c r="B7914">
        <v>0</v>
      </c>
      <c r="C7914">
        <v>0</v>
      </c>
      <c r="D7914">
        <v>0</v>
      </c>
      <c r="E7914">
        <v>0</v>
      </c>
      <c r="F7914">
        <v>0</v>
      </c>
      <c r="G7914">
        <v>0</v>
      </c>
    </row>
    <row r="7915" spans="1:7" x14ac:dyDescent="0.2">
      <c r="A7915" t="s">
        <v>1973</v>
      </c>
      <c r="B7915">
        <v>0</v>
      </c>
      <c r="C7915">
        <v>0</v>
      </c>
      <c r="D7915">
        <v>0</v>
      </c>
      <c r="E7915">
        <v>0</v>
      </c>
      <c r="F7915">
        <v>0</v>
      </c>
      <c r="G7915">
        <v>0</v>
      </c>
    </row>
    <row r="7916" spans="1:7" x14ac:dyDescent="0.2">
      <c r="A7916" t="s">
        <v>1978</v>
      </c>
      <c r="B7916">
        <v>0</v>
      </c>
      <c r="C7916">
        <v>0</v>
      </c>
      <c r="D7916">
        <v>0</v>
      </c>
      <c r="E7916">
        <v>0</v>
      </c>
      <c r="F7916">
        <v>0</v>
      </c>
      <c r="G7916">
        <v>0</v>
      </c>
    </row>
    <row r="7917" spans="1:7" x14ac:dyDescent="0.2">
      <c r="A7917" t="s">
        <v>1983</v>
      </c>
      <c r="B7917">
        <v>0</v>
      </c>
      <c r="C7917">
        <v>0</v>
      </c>
      <c r="D7917">
        <v>0</v>
      </c>
      <c r="E7917">
        <v>0</v>
      </c>
      <c r="F7917">
        <v>0</v>
      </c>
      <c r="G7917">
        <v>0</v>
      </c>
    </row>
    <row r="7918" spans="1:7" x14ac:dyDescent="0.2">
      <c r="A7918" t="s">
        <v>1984</v>
      </c>
      <c r="B7918">
        <v>0</v>
      </c>
      <c r="C7918">
        <v>0</v>
      </c>
      <c r="D7918">
        <v>0</v>
      </c>
      <c r="E7918">
        <v>0</v>
      </c>
      <c r="F7918">
        <v>0</v>
      </c>
      <c r="G7918">
        <v>0</v>
      </c>
    </row>
    <row r="7919" spans="1:7" x14ac:dyDescent="0.2">
      <c r="A7919" t="s">
        <v>1990</v>
      </c>
      <c r="B7919">
        <v>0</v>
      </c>
      <c r="C7919">
        <v>0</v>
      </c>
      <c r="D7919">
        <v>0</v>
      </c>
      <c r="E7919">
        <v>0</v>
      </c>
      <c r="F7919">
        <v>0</v>
      </c>
      <c r="G7919">
        <v>0</v>
      </c>
    </row>
    <row r="7920" spans="1:7" x14ac:dyDescent="0.2">
      <c r="A7920" t="s">
        <v>1996</v>
      </c>
      <c r="B7920">
        <v>0</v>
      </c>
      <c r="C7920">
        <v>0</v>
      </c>
      <c r="D7920">
        <v>0</v>
      </c>
      <c r="E7920">
        <v>0</v>
      </c>
      <c r="F7920">
        <v>0</v>
      </c>
      <c r="G7920">
        <v>0</v>
      </c>
    </row>
    <row r="7921" spans="1:7" x14ac:dyDescent="0.2">
      <c r="A7921" t="s">
        <v>1998</v>
      </c>
      <c r="B7921">
        <v>0</v>
      </c>
      <c r="C7921">
        <v>0</v>
      </c>
      <c r="D7921">
        <v>0</v>
      </c>
      <c r="E7921">
        <v>0</v>
      </c>
      <c r="F7921">
        <v>0</v>
      </c>
      <c r="G7921">
        <v>0</v>
      </c>
    </row>
    <row r="7922" spans="1:7" x14ac:dyDescent="0.2">
      <c r="A7922" t="s">
        <v>1999</v>
      </c>
      <c r="B7922">
        <v>0</v>
      </c>
      <c r="C7922">
        <v>0</v>
      </c>
      <c r="D7922">
        <v>0</v>
      </c>
      <c r="E7922">
        <v>0</v>
      </c>
      <c r="F7922">
        <v>0</v>
      </c>
      <c r="G7922">
        <v>0</v>
      </c>
    </row>
    <row r="7923" spans="1:7" x14ac:dyDescent="0.2">
      <c r="A7923" t="s">
        <v>2004</v>
      </c>
      <c r="B7923">
        <v>0</v>
      </c>
      <c r="C7923">
        <v>0</v>
      </c>
      <c r="D7923">
        <v>0</v>
      </c>
      <c r="E7923">
        <v>0</v>
      </c>
      <c r="F7923">
        <v>0</v>
      </c>
      <c r="G7923">
        <v>0</v>
      </c>
    </row>
    <row r="7924" spans="1:7" x14ac:dyDescent="0.2">
      <c r="A7924" t="s">
        <v>2009</v>
      </c>
      <c r="B7924">
        <v>0</v>
      </c>
      <c r="C7924">
        <v>0</v>
      </c>
      <c r="D7924">
        <v>0</v>
      </c>
      <c r="E7924">
        <v>0</v>
      </c>
      <c r="F7924">
        <v>0</v>
      </c>
      <c r="G7924">
        <v>0</v>
      </c>
    </row>
    <row r="7925" spans="1:7" x14ac:dyDescent="0.2">
      <c r="A7925" t="s">
        <v>2014</v>
      </c>
      <c r="B7925">
        <v>0</v>
      </c>
      <c r="C7925">
        <v>0</v>
      </c>
      <c r="D7925">
        <v>0</v>
      </c>
      <c r="E7925">
        <v>0</v>
      </c>
      <c r="F7925">
        <v>0</v>
      </c>
      <c r="G7925">
        <v>0</v>
      </c>
    </row>
    <row r="7926" spans="1:7" x14ac:dyDescent="0.2">
      <c r="A7926" t="s">
        <v>2019</v>
      </c>
      <c r="B7926">
        <v>0</v>
      </c>
      <c r="C7926">
        <v>0</v>
      </c>
      <c r="D7926">
        <v>0</v>
      </c>
      <c r="E7926">
        <v>0</v>
      </c>
      <c r="F7926">
        <v>0</v>
      </c>
      <c r="G7926">
        <v>0</v>
      </c>
    </row>
    <row r="7927" spans="1:7" x14ac:dyDescent="0.2">
      <c r="A7927" t="s">
        <v>2023</v>
      </c>
      <c r="B7927">
        <v>0</v>
      </c>
      <c r="C7927">
        <v>0</v>
      </c>
      <c r="D7927">
        <v>0</v>
      </c>
      <c r="E7927">
        <v>0</v>
      </c>
      <c r="F7927">
        <v>0</v>
      </c>
      <c r="G7927">
        <v>0</v>
      </c>
    </row>
    <row r="7928" spans="1:7" x14ac:dyDescent="0.2">
      <c r="A7928" t="s">
        <v>2026</v>
      </c>
      <c r="B7928">
        <v>0</v>
      </c>
      <c r="C7928">
        <v>0</v>
      </c>
      <c r="D7928">
        <v>0</v>
      </c>
      <c r="E7928">
        <v>0</v>
      </c>
      <c r="F7928">
        <v>0</v>
      </c>
      <c r="G7928">
        <v>0</v>
      </c>
    </row>
    <row r="7929" spans="1:7" x14ac:dyDescent="0.2">
      <c r="A7929" t="s">
        <v>2030</v>
      </c>
      <c r="B7929">
        <v>0</v>
      </c>
      <c r="C7929">
        <v>0</v>
      </c>
      <c r="D7929">
        <v>0</v>
      </c>
      <c r="E7929">
        <v>0</v>
      </c>
      <c r="F7929">
        <v>0</v>
      </c>
      <c r="G7929">
        <v>0</v>
      </c>
    </row>
    <row r="7930" spans="1:7" x14ac:dyDescent="0.2">
      <c r="A7930" t="s">
        <v>2035</v>
      </c>
      <c r="B7930">
        <v>0</v>
      </c>
      <c r="C7930">
        <v>0</v>
      </c>
      <c r="D7930">
        <v>0</v>
      </c>
      <c r="E7930">
        <v>0</v>
      </c>
      <c r="F7930">
        <v>0</v>
      </c>
      <c r="G7930">
        <v>0</v>
      </c>
    </row>
    <row r="7931" spans="1:7" x14ac:dyDescent="0.2">
      <c r="A7931" t="s">
        <v>2040</v>
      </c>
      <c r="B7931">
        <v>0</v>
      </c>
      <c r="C7931">
        <v>0</v>
      </c>
      <c r="D7931">
        <v>0</v>
      </c>
      <c r="E7931">
        <v>0</v>
      </c>
      <c r="F7931">
        <v>0</v>
      </c>
      <c r="G7931">
        <v>0</v>
      </c>
    </row>
    <row r="7932" spans="1:7" x14ac:dyDescent="0.2">
      <c r="A7932" t="s">
        <v>2045</v>
      </c>
      <c r="B7932">
        <v>0</v>
      </c>
      <c r="C7932">
        <v>0</v>
      </c>
      <c r="D7932">
        <v>0</v>
      </c>
      <c r="E7932">
        <v>0</v>
      </c>
      <c r="F7932">
        <v>0</v>
      </c>
      <c r="G7932">
        <v>0</v>
      </c>
    </row>
    <row r="7933" spans="1:7" x14ac:dyDescent="0.2">
      <c r="A7933" t="s">
        <v>2049</v>
      </c>
      <c r="B7933">
        <v>0</v>
      </c>
      <c r="C7933">
        <v>0</v>
      </c>
      <c r="D7933">
        <v>0</v>
      </c>
      <c r="E7933">
        <v>0</v>
      </c>
      <c r="F7933">
        <v>0</v>
      </c>
      <c r="G7933">
        <v>0</v>
      </c>
    </row>
    <row r="7934" spans="1:7" x14ac:dyDescent="0.2">
      <c r="A7934" t="s">
        <v>2051</v>
      </c>
      <c r="B7934">
        <v>0</v>
      </c>
      <c r="C7934">
        <v>0</v>
      </c>
      <c r="D7934">
        <v>0</v>
      </c>
      <c r="E7934">
        <v>0</v>
      </c>
      <c r="F7934">
        <v>0</v>
      </c>
      <c r="G7934">
        <v>0</v>
      </c>
    </row>
    <row r="7935" spans="1:7" x14ac:dyDescent="0.2">
      <c r="A7935" t="s">
        <v>2057</v>
      </c>
      <c r="B7935">
        <v>0</v>
      </c>
      <c r="C7935">
        <v>0</v>
      </c>
      <c r="D7935">
        <v>0</v>
      </c>
      <c r="E7935">
        <v>0</v>
      </c>
      <c r="F7935">
        <v>0</v>
      </c>
      <c r="G7935">
        <v>0</v>
      </c>
    </row>
    <row r="7936" spans="1:7" x14ac:dyDescent="0.2">
      <c r="A7936" t="s">
        <v>4344</v>
      </c>
      <c r="B7936">
        <v>0</v>
      </c>
      <c r="C7936">
        <v>0</v>
      </c>
      <c r="D7936">
        <v>0</v>
      </c>
      <c r="E7936">
        <v>0</v>
      </c>
      <c r="F7936">
        <v>0</v>
      </c>
      <c r="G7936">
        <v>0</v>
      </c>
    </row>
    <row r="7937" spans="1:7" x14ac:dyDescent="0.2">
      <c r="A7937" t="s">
        <v>4345</v>
      </c>
      <c r="B7937">
        <v>0</v>
      </c>
      <c r="C7937">
        <v>0</v>
      </c>
      <c r="D7937">
        <v>0</v>
      </c>
      <c r="E7937">
        <v>0</v>
      </c>
      <c r="F7937">
        <v>0</v>
      </c>
      <c r="G7937">
        <v>0</v>
      </c>
    </row>
    <row r="7938" spans="1:7" x14ac:dyDescent="0.2">
      <c r="A7938" t="s">
        <v>2074</v>
      </c>
      <c r="B7938">
        <v>0</v>
      </c>
      <c r="C7938">
        <v>0</v>
      </c>
      <c r="D7938">
        <v>0</v>
      </c>
      <c r="E7938">
        <v>0</v>
      </c>
      <c r="F7938">
        <v>0</v>
      </c>
      <c r="G7938">
        <v>0</v>
      </c>
    </row>
    <row r="7939" spans="1:7" x14ac:dyDescent="0.2">
      <c r="A7939" t="s">
        <v>2079</v>
      </c>
      <c r="B7939">
        <v>0</v>
      </c>
      <c r="C7939">
        <v>0</v>
      </c>
      <c r="D7939">
        <v>0</v>
      </c>
      <c r="E7939">
        <v>0</v>
      </c>
      <c r="F7939">
        <v>0</v>
      </c>
      <c r="G7939">
        <v>0</v>
      </c>
    </row>
    <row r="7940" spans="1:7" x14ac:dyDescent="0.2">
      <c r="A7940" t="s">
        <v>2085</v>
      </c>
      <c r="B7940">
        <v>0</v>
      </c>
      <c r="C7940">
        <v>0</v>
      </c>
      <c r="D7940">
        <v>0</v>
      </c>
      <c r="E7940">
        <v>0</v>
      </c>
      <c r="F7940">
        <v>0</v>
      </c>
      <c r="G7940">
        <v>0</v>
      </c>
    </row>
    <row r="7941" spans="1:7" x14ac:dyDescent="0.2">
      <c r="A7941" t="s">
        <v>2091</v>
      </c>
      <c r="B7941">
        <v>0</v>
      </c>
      <c r="C7941">
        <v>0</v>
      </c>
      <c r="D7941">
        <v>0</v>
      </c>
      <c r="E7941">
        <v>0</v>
      </c>
      <c r="F7941">
        <v>0</v>
      </c>
      <c r="G7941">
        <v>0</v>
      </c>
    </row>
    <row r="7942" spans="1:7" x14ac:dyDescent="0.2">
      <c r="A7942" t="s">
        <v>2097</v>
      </c>
      <c r="B7942">
        <v>0</v>
      </c>
      <c r="C7942">
        <v>0</v>
      </c>
      <c r="D7942">
        <v>0</v>
      </c>
      <c r="E7942">
        <v>0</v>
      </c>
      <c r="F7942">
        <v>0</v>
      </c>
      <c r="G7942">
        <v>0</v>
      </c>
    </row>
    <row r="7943" spans="1:7" x14ac:dyDescent="0.2">
      <c r="A7943" t="s">
        <v>2101</v>
      </c>
      <c r="B7943">
        <v>0</v>
      </c>
      <c r="C7943">
        <v>0</v>
      </c>
      <c r="D7943">
        <v>0</v>
      </c>
      <c r="E7943">
        <v>0</v>
      </c>
      <c r="F7943">
        <v>0</v>
      </c>
      <c r="G7943">
        <v>0</v>
      </c>
    </row>
    <row r="7944" spans="1:7" x14ac:dyDescent="0.2">
      <c r="A7944" t="s">
        <v>2104</v>
      </c>
      <c r="B7944">
        <v>0</v>
      </c>
      <c r="C7944">
        <v>0</v>
      </c>
      <c r="D7944">
        <v>0</v>
      </c>
      <c r="E7944">
        <v>0</v>
      </c>
      <c r="F7944">
        <v>0</v>
      </c>
      <c r="G7944">
        <v>0</v>
      </c>
    </row>
    <row r="7945" spans="1:7" x14ac:dyDescent="0.2">
      <c r="A7945" t="s">
        <v>2107</v>
      </c>
      <c r="B7945">
        <v>0</v>
      </c>
      <c r="C7945">
        <v>0</v>
      </c>
      <c r="D7945">
        <v>0</v>
      </c>
      <c r="E7945">
        <v>0</v>
      </c>
      <c r="F7945">
        <v>0</v>
      </c>
      <c r="G7945">
        <v>0</v>
      </c>
    </row>
    <row r="7946" spans="1:7" x14ac:dyDescent="0.2">
      <c r="A7946" t="s">
        <v>2110</v>
      </c>
      <c r="B7946">
        <v>0</v>
      </c>
      <c r="C7946">
        <v>0</v>
      </c>
      <c r="D7946">
        <v>0</v>
      </c>
      <c r="E7946">
        <v>0</v>
      </c>
      <c r="F7946">
        <v>0</v>
      </c>
      <c r="G7946">
        <v>0</v>
      </c>
    </row>
    <row r="7947" spans="1:7" x14ac:dyDescent="0.2">
      <c r="A7947" t="s">
        <v>2113</v>
      </c>
      <c r="B7947">
        <v>0</v>
      </c>
      <c r="C7947">
        <v>0</v>
      </c>
      <c r="D7947">
        <v>0</v>
      </c>
      <c r="E7947">
        <v>0</v>
      </c>
      <c r="F7947">
        <v>0</v>
      </c>
      <c r="G7947">
        <v>0</v>
      </c>
    </row>
    <row r="7948" spans="1:7" x14ac:dyDescent="0.2">
      <c r="A7948" t="s">
        <v>4346</v>
      </c>
      <c r="B7948">
        <v>0</v>
      </c>
      <c r="C7948">
        <v>0</v>
      </c>
      <c r="D7948">
        <v>0</v>
      </c>
      <c r="E7948">
        <v>0</v>
      </c>
      <c r="F7948">
        <v>0</v>
      </c>
      <c r="G7948">
        <v>0</v>
      </c>
    </row>
    <row r="7949" spans="1:7" x14ac:dyDescent="0.2">
      <c r="A7949" t="s">
        <v>4347</v>
      </c>
      <c r="B7949">
        <v>0</v>
      </c>
      <c r="C7949">
        <v>0</v>
      </c>
      <c r="D7949">
        <v>0</v>
      </c>
      <c r="E7949">
        <v>0</v>
      </c>
      <c r="F7949">
        <v>0</v>
      </c>
      <c r="G7949">
        <v>0</v>
      </c>
    </row>
    <row r="7950" spans="1:7" x14ac:dyDescent="0.2">
      <c r="A7950" t="s">
        <v>4348</v>
      </c>
      <c r="B7950">
        <v>0</v>
      </c>
      <c r="C7950">
        <v>0</v>
      </c>
      <c r="D7950">
        <v>0</v>
      </c>
      <c r="E7950">
        <v>0</v>
      </c>
      <c r="F7950">
        <v>0</v>
      </c>
      <c r="G7950">
        <v>0</v>
      </c>
    </row>
    <row r="7951" spans="1:7" x14ac:dyDescent="0.2">
      <c r="A7951" t="s">
        <v>4349</v>
      </c>
      <c r="B7951">
        <v>0</v>
      </c>
      <c r="C7951">
        <v>0</v>
      </c>
      <c r="D7951">
        <v>0</v>
      </c>
      <c r="E7951">
        <v>0</v>
      </c>
      <c r="F7951">
        <v>0</v>
      </c>
      <c r="G7951">
        <v>0</v>
      </c>
    </row>
    <row r="7952" spans="1:7" x14ac:dyDescent="0.2">
      <c r="A7952" t="s">
        <v>4350</v>
      </c>
      <c r="B7952">
        <v>0</v>
      </c>
      <c r="C7952">
        <v>0</v>
      </c>
      <c r="D7952">
        <v>1</v>
      </c>
      <c r="E7952">
        <v>0</v>
      </c>
      <c r="F7952">
        <v>0</v>
      </c>
      <c r="G7952">
        <v>1</v>
      </c>
    </row>
    <row r="7953" spans="1:7" x14ac:dyDescent="0.2">
      <c r="A7953" t="s">
        <v>4351</v>
      </c>
      <c r="B7953">
        <v>0</v>
      </c>
      <c r="C7953">
        <v>0</v>
      </c>
      <c r="D7953">
        <v>0</v>
      </c>
      <c r="E7953">
        <v>0</v>
      </c>
      <c r="F7953">
        <v>0</v>
      </c>
      <c r="G7953">
        <v>0</v>
      </c>
    </row>
    <row r="7954" spans="1:7" x14ac:dyDescent="0.2">
      <c r="A7954" t="s">
        <v>4352</v>
      </c>
      <c r="B7954">
        <v>0</v>
      </c>
      <c r="C7954">
        <v>0</v>
      </c>
      <c r="D7954">
        <v>0</v>
      </c>
      <c r="E7954">
        <v>0</v>
      </c>
      <c r="F7954">
        <v>0</v>
      </c>
      <c r="G7954">
        <v>0</v>
      </c>
    </row>
    <row r="7955" spans="1:7" x14ac:dyDescent="0.2">
      <c r="A7955" t="s">
        <v>4353</v>
      </c>
      <c r="B7955">
        <v>0</v>
      </c>
      <c r="C7955">
        <v>5</v>
      </c>
      <c r="D7955">
        <v>2</v>
      </c>
      <c r="E7955">
        <v>0</v>
      </c>
      <c r="F7955">
        <v>0</v>
      </c>
      <c r="G7955">
        <v>8</v>
      </c>
    </row>
    <row r="7956" spans="1:7" x14ac:dyDescent="0.2">
      <c r="A7956" t="s">
        <v>4354</v>
      </c>
      <c r="B7956">
        <v>0</v>
      </c>
      <c r="C7956">
        <v>6</v>
      </c>
      <c r="D7956">
        <v>2</v>
      </c>
      <c r="E7956">
        <v>0</v>
      </c>
      <c r="F7956">
        <v>0</v>
      </c>
      <c r="G7956">
        <v>8</v>
      </c>
    </row>
    <row r="7957" spans="1:7" x14ac:dyDescent="0.2">
      <c r="A7957" t="s">
        <v>4355</v>
      </c>
      <c r="B7957">
        <v>0</v>
      </c>
      <c r="C7957">
        <v>0</v>
      </c>
      <c r="D7957">
        <v>0</v>
      </c>
      <c r="E7957">
        <v>0</v>
      </c>
      <c r="F7957">
        <v>0</v>
      </c>
      <c r="G7957">
        <v>0</v>
      </c>
    </row>
    <row r="7958" spans="1:7" x14ac:dyDescent="0.2">
      <c r="A7958" t="s">
        <v>4356</v>
      </c>
      <c r="B7958">
        <v>0</v>
      </c>
      <c r="C7958">
        <v>0</v>
      </c>
      <c r="D7958">
        <v>0</v>
      </c>
      <c r="E7958">
        <v>0</v>
      </c>
      <c r="F7958">
        <v>0</v>
      </c>
      <c r="G7958">
        <v>0</v>
      </c>
    </row>
    <row r="7959" spans="1:7" x14ac:dyDescent="0.2">
      <c r="A7959" t="s">
        <v>4357</v>
      </c>
      <c r="B7959">
        <v>0</v>
      </c>
      <c r="C7959">
        <v>0</v>
      </c>
      <c r="D7959">
        <v>0</v>
      </c>
      <c r="E7959">
        <v>0</v>
      </c>
      <c r="F7959">
        <v>0</v>
      </c>
      <c r="G7959">
        <v>0</v>
      </c>
    </row>
    <row r="7960" spans="1:7" x14ac:dyDescent="0.2">
      <c r="A7960" t="s">
        <v>4358</v>
      </c>
      <c r="B7960">
        <v>0</v>
      </c>
      <c r="C7960">
        <v>0</v>
      </c>
      <c r="D7960">
        <v>0</v>
      </c>
      <c r="E7960">
        <v>0</v>
      </c>
      <c r="F7960">
        <v>0</v>
      </c>
      <c r="G7960">
        <v>0</v>
      </c>
    </row>
    <row r="7961" spans="1:7" x14ac:dyDescent="0.2">
      <c r="A7961" t="s">
        <v>4359</v>
      </c>
      <c r="B7961">
        <v>0</v>
      </c>
      <c r="C7961">
        <v>0</v>
      </c>
      <c r="D7961">
        <v>0</v>
      </c>
      <c r="E7961">
        <v>0</v>
      </c>
      <c r="F7961">
        <v>0</v>
      </c>
      <c r="G7961">
        <v>0</v>
      </c>
    </row>
    <row r="7962" spans="1:7" x14ac:dyDescent="0.2">
      <c r="A7962" t="s">
        <v>4360</v>
      </c>
      <c r="B7962">
        <v>0</v>
      </c>
      <c r="C7962">
        <v>0</v>
      </c>
      <c r="D7962">
        <v>0</v>
      </c>
      <c r="E7962">
        <v>0</v>
      </c>
      <c r="F7962">
        <v>0</v>
      </c>
      <c r="G7962">
        <v>0</v>
      </c>
    </row>
    <row r="7963" spans="1:7" x14ac:dyDescent="0.2">
      <c r="A7963" t="s">
        <v>4361</v>
      </c>
      <c r="B7963">
        <v>0</v>
      </c>
      <c r="C7963">
        <v>0</v>
      </c>
      <c r="D7963">
        <v>1</v>
      </c>
      <c r="E7963">
        <v>0</v>
      </c>
      <c r="F7963">
        <v>0</v>
      </c>
      <c r="G7963">
        <v>1</v>
      </c>
    </row>
    <row r="7964" spans="1:7" x14ac:dyDescent="0.2">
      <c r="A7964" t="s">
        <v>4362</v>
      </c>
      <c r="B7964">
        <v>0</v>
      </c>
      <c r="C7964">
        <v>0</v>
      </c>
      <c r="D7964">
        <v>0</v>
      </c>
      <c r="E7964">
        <v>0</v>
      </c>
      <c r="F7964">
        <v>0</v>
      </c>
      <c r="G7964">
        <v>0</v>
      </c>
    </row>
    <row r="7965" spans="1:7" x14ac:dyDescent="0.2">
      <c r="A7965" t="s">
        <v>4363</v>
      </c>
      <c r="B7965">
        <v>0</v>
      </c>
      <c r="C7965">
        <v>0</v>
      </c>
      <c r="D7965">
        <v>0</v>
      </c>
      <c r="E7965">
        <v>0</v>
      </c>
      <c r="F7965">
        <v>0</v>
      </c>
      <c r="G7965">
        <v>0</v>
      </c>
    </row>
    <row r="7966" spans="1:7" x14ac:dyDescent="0.2">
      <c r="A7966" t="s">
        <v>4364</v>
      </c>
      <c r="B7966">
        <v>0</v>
      </c>
      <c r="C7966">
        <v>0</v>
      </c>
      <c r="D7966">
        <v>0</v>
      </c>
      <c r="E7966">
        <v>0</v>
      </c>
      <c r="F7966">
        <v>0</v>
      </c>
      <c r="G7966">
        <v>0</v>
      </c>
    </row>
    <row r="7967" spans="1:7" x14ac:dyDescent="0.2">
      <c r="A7967" t="s">
        <v>4365</v>
      </c>
      <c r="B7967">
        <v>0</v>
      </c>
      <c r="C7967">
        <v>0</v>
      </c>
      <c r="D7967">
        <v>0</v>
      </c>
      <c r="E7967">
        <v>0</v>
      </c>
      <c r="F7967">
        <v>0</v>
      </c>
      <c r="G7967">
        <v>0</v>
      </c>
    </row>
    <row r="7968" spans="1:7" x14ac:dyDescent="0.2">
      <c r="A7968" t="s">
        <v>4366</v>
      </c>
      <c r="B7968">
        <v>0</v>
      </c>
      <c r="C7968">
        <v>0</v>
      </c>
      <c r="D7968">
        <v>0</v>
      </c>
      <c r="E7968">
        <v>0</v>
      </c>
      <c r="F7968">
        <v>0</v>
      </c>
      <c r="G7968">
        <v>0</v>
      </c>
    </row>
    <row r="7969" spans="1:10" x14ac:dyDescent="0.2">
      <c r="A7969" t="s">
        <v>4367</v>
      </c>
      <c r="B7969">
        <v>0</v>
      </c>
      <c r="C7969">
        <v>0</v>
      </c>
      <c r="D7969">
        <v>0</v>
      </c>
      <c r="E7969">
        <v>0</v>
      </c>
      <c r="F7969">
        <v>0</v>
      </c>
      <c r="G7969">
        <v>0</v>
      </c>
    </row>
    <row r="7970" spans="1:10" x14ac:dyDescent="0.2">
      <c r="A7970" t="s">
        <v>4368</v>
      </c>
      <c r="B7970">
        <v>0</v>
      </c>
      <c r="C7970">
        <v>1</v>
      </c>
      <c r="D7970">
        <v>1</v>
      </c>
      <c r="E7970">
        <v>0</v>
      </c>
      <c r="F7970">
        <v>0</v>
      </c>
      <c r="G7970">
        <v>2</v>
      </c>
    </row>
    <row r="7971" spans="1:10" x14ac:dyDescent="0.2">
      <c r="A7971" t="s">
        <v>4369</v>
      </c>
      <c r="B7971">
        <v>7</v>
      </c>
      <c r="C7971">
        <v>0</v>
      </c>
      <c r="D7971">
        <v>0</v>
      </c>
      <c r="E7971">
        <v>8</v>
      </c>
      <c r="F7971">
        <v>0</v>
      </c>
      <c r="G7971">
        <v>16</v>
      </c>
    </row>
    <row r="7972" spans="1:10" x14ac:dyDescent="0.2">
      <c r="A7972" t="s">
        <v>4370</v>
      </c>
      <c r="B7972">
        <v>0</v>
      </c>
      <c r="C7972">
        <v>0</v>
      </c>
      <c r="D7972">
        <v>0</v>
      </c>
      <c r="E7972">
        <v>0</v>
      </c>
      <c r="F7972">
        <v>0</v>
      </c>
      <c r="G7972">
        <v>0</v>
      </c>
    </row>
    <row r="7973" spans="1:10" x14ac:dyDescent="0.2">
      <c r="A7973" t="s">
        <v>4371</v>
      </c>
      <c r="B7973">
        <v>0</v>
      </c>
      <c r="C7973">
        <v>0</v>
      </c>
      <c r="D7973">
        <v>0</v>
      </c>
      <c r="E7973">
        <v>0</v>
      </c>
      <c r="F7973">
        <v>0</v>
      </c>
      <c r="G7973">
        <v>0</v>
      </c>
    </row>
    <row r="7974" spans="1:10" x14ac:dyDescent="0.2">
      <c r="A7974" t="s">
        <v>4372</v>
      </c>
      <c r="B7974">
        <v>0</v>
      </c>
      <c r="C7974">
        <v>0</v>
      </c>
      <c r="D7974">
        <v>0</v>
      </c>
      <c r="E7974">
        <v>0</v>
      </c>
      <c r="F7974">
        <v>0</v>
      </c>
      <c r="G7974">
        <v>0</v>
      </c>
    </row>
    <row r="7975" spans="1:10" x14ac:dyDescent="0.2">
      <c r="A7975" t="s">
        <v>4373</v>
      </c>
      <c r="B7975">
        <v>0</v>
      </c>
      <c r="C7975">
        <v>0</v>
      </c>
      <c r="D7975">
        <v>0</v>
      </c>
      <c r="E7975">
        <v>0</v>
      </c>
      <c r="F7975">
        <v>0</v>
      </c>
      <c r="G7975">
        <v>0</v>
      </c>
    </row>
    <row r="7976" spans="1:10" x14ac:dyDescent="0.2">
      <c r="A7976" t="s">
        <v>4374</v>
      </c>
      <c r="B7976">
        <v>0</v>
      </c>
      <c r="C7976">
        <v>0</v>
      </c>
      <c r="D7976">
        <v>0</v>
      </c>
      <c r="E7976">
        <v>0</v>
      </c>
      <c r="F7976">
        <v>0</v>
      </c>
      <c r="G7976">
        <v>0</v>
      </c>
    </row>
    <row r="7977" spans="1:10" x14ac:dyDescent="0.2">
      <c r="A7977" t="s">
        <v>4375</v>
      </c>
      <c r="B7977">
        <v>0</v>
      </c>
      <c r="C7977">
        <v>0</v>
      </c>
      <c r="D7977">
        <v>0</v>
      </c>
      <c r="E7977">
        <v>0</v>
      </c>
      <c r="F7977">
        <v>0</v>
      </c>
      <c r="G7977">
        <v>0</v>
      </c>
    </row>
    <row r="7978" spans="1:10" x14ac:dyDescent="0.2">
      <c r="A7978" t="s">
        <v>4376</v>
      </c>
      <c r="B7978">
        <v>0</v>
      </c>
      <c r="C7978">
        <v>0</v>
      </c>
      <c r="D7978">
        <v>0</v>
      </c>
      <c r="E7978">
        <v>0</v>
      </c>
      <c r="F7978">
        <v>0</v>
      </c>
      <c r="G7978">
        <v>0</v>
      </c>
    </row>
    <row r="7979" spans="1:10" x14ac:dyDescent="0.2">
      <c r="A7979" t="s">
        <v>4377</v>
      </c>
      <c r="B7979">
        <v>0</v>
      </c>
      <c r="C7979">
        <v>0</v>
      </c>
      <c r="D7979">
        <v>0</v>
      </c>
      <c r="E7979">
        <v>0</v>
      </c>
      <c r="F7979">
        <v>0</v>
      </c>
      <c r="G7979">
        <v>0</v>
      </c>
    </row>
    <row r="7980" spans="1:10" x14ac:dyDescent="0.2">
      <c r="A7980" t="s">
        <v>2318</v>
      </c>
      <c r="B7980" t="s">
        <v>2319</v>
      </c>
      <c r="C7980" t="s">
        <v>2319</v>
      </c>
      <c r="D7980" t="s">
        <v>2319</v>
      </c>
      <c r="E7980" t="s">
        <v>2319</v>
      </c>
      <c r="F7980" t="s">
        <v>2319</v>
      </c>
      <c r="G7980" t="s">
        <v>2319</v>
      </c>
    </row>
    <row r="7981" spans="1:10" x14ac:dyDescent="0.2">
      <c r="A7981" t="s">
        <v>4248</v>
      </c>
    </row>
    <row r="7982" spans="1:10" x14ac:dyDescent="0.2">
      <c r="A7982" t="s">
        <v>4250</v>
      </c>
      <c r="C7982" t="s">
        <v>4251</v>
      </c>
      <c r="G7982" t="s">
        <v>7531</v>
      </c>
      <c r="J7982"/>
    </row>
    <row r="7983" spans="1:10" x14ac:dyDescent="0.2">
      <c r="A7983" t="s">
        <v>4925</v>
      </c>
      <c r="G7983" t="s">
        <v>7542</v>
      </c>
      <c r="J7983"/>
    </row>
    <row r="7984" spans="1:10" x14ac:dyDescent="0.2">
      <c r="A7984" t="s">
        <v>7530</v>
      </c>
      <c r="J7984"/>
    </row>
    <row r="7985" spans="1:10" x14ac:dyDescent="0.2">
      <c r="A7985" t="s">
        <v>5039</v>
      </c>
      <c r="J7985"/>
    </row>
    <row r="7986" spans="1:10" x14ac:dyDescent="0.2">
      <c r="J7986"/>
    </row>
    <row r="7987" spans="1:10" x14ac:dyDescent="0.2">
      <c r="A7987" t="s">
        <v>4259</v>
      </c>
      <c r="J7987"/>
    </row>
    <row r="7988" spans="1:10" x14ac:dyDescent="0.2">
      <c r="A7988" t="s">
        <v>2318</v>
      </c>
      <c r="B7988" t="s">
        <v>2319</v>
      </c>
      <c r="C7988" t="s">
        <v>2319</v>
      </c>
      <c r="D7988" t="s">
        <v>2319</v>
      </c>
      <c r="E7988" t="s">
        <v>2319</v>
      </c>
      <c r="F7988" t="s">
        <v>2319</v>
      </c>
      <c r="G7988" t="s">
        <v>2319</v>
      </c>
    </row>
    <row r="7989" spans="1:10" x14ac:dyDescent="0.2">
      <c r="A7989" t="s">
        <v>174</v>
      </c>
      <c r="B7989" t="s">
        <v>4945</v>
      </c>
      <c r="C7989" t="s">
        <v>4946</v>
      </c>
      <c r="D7989" t="s">
        <v>4947</v>
      </c>
      <c r="E7989" t="s">
        <v>4948</v>
      </c>
      <c r="F7989" t="s">
        <v>4949</v>
      </c>
    </row>
    <row r="7990" spans="1:10" x14ac:dyDescent="0.2">
      <c r="A7990" t="s">
        <v>126</v>
      </c>
      <c r="B7990" t="s">
        <v>4262</v>
      </c>
      <c r="C7990" t="s">
        <v>4263</v>
      </c>
      <c r="D7990" t="s">
        <v>4264</v>
      </c>
      <c r="E7990" t="s">
        <v>2308</v>
      </c>
      <c r="F7990" t="s">
        <v>615</v>
      </c>
      <c r="G7990" t="s">
        <v>236</v>
      </c>
    </row>
    <row r="7991" spans="1:10" x14ac:dyDescent="0.2">
      <c r="A7991" t="s">
        <v>2318</v>
      </c>
      <c r="B7991" t="s">
        <v>2319</v>
      </c>
      <c r="C7991" t="s">
        <v>2319</v>
      </c>
      <c r="D7991" t="s">
        <v>2319</v>
      </c>
      <c r="E7991" t="s">
        <v>2319</v>
      </c>
      <c r="F7991" t="s">
        <v>2319</v>
      </c>
      <c r="G7991" t="s">
        <v>2319</v>
      </c>
    </row>
    <row r="7992" spans="1:10" x14ac:dyDescent="0.2">
      <c r="A7992" t="s">
        <v>4265</v>
      </c>
      <c r="B7992">
        <v>0</v>
      </c>
      <c r="C7992">
        <v>0</v>
      </c>
      <c r="D7992">
        <v>0</v>
      </c>
      <c r="E7992">
        <v>0</v>
      </c>
      <c r="F7992">
        <v>0</v>
      </c>
      <c r="G7992">
        <v>0</v>
      </c>
    </row>
    <row r="7993" spans="1:10" x14ac:dyDescent="0.2">
      <c r="A7993" t="s">
        <v>4266</v>
      </c>
      <c r="B7993">
        <v>0</v>
      </c>
      <c r="C7993">
        <v>0</v>
      </c>
      <c r="D7993">
        <v>0</v>
      </c>
      <c r="E7993">
        <v>0</v>
      </c>
      <c r="F7993">
        <v>0</v>
      </c>
      <c r="G7993">
        <v>0</v>
      </c>
    </row>
    <row r="7994" spans="1:10" x14ac:dyDescent="0.2">
      <c r="A7994" t="s">
        <v>4267</v>
      </c>
      <c r="B7994">
        <v>4</v>
      </c>
      <c r="C7994">
        <v>1</v>
      </c>
      <c r="D7994">
        <v>0</v>
      </c>
      <c r="E7994">
        <v>0</v>
      </c>
      <c r="F7994">
        <v>0</v>
      </c>
      <c r="G7994">
        <v>4</v>
      </c>
    </row>
    <row r="7995" spans="1:10" x14ac:dyDescent="0.2">
      <c r="A7995" t="s">
        <v>4268</v>
      </c>
      <c r="B7995">
        <v>0</v>
      </c>
      <c r="C7995">
        <v>1</v>
      </c>
      <c r="D7995">
        <v>0</v>
      </c>
      <c r="E7995">
        <v>0</v>
      </c>
      <c r="F7995">
        <v>0</v>
      </c>
      <c r="G7995">
        <v>1</v>
      </c>
    </row>
    <row r="7996" spans="1:10" x14ac:dyDescent="0.2">
      <c r="A7996" t="s">
        <v>4269</v>
      </c>
      <c r="B7996">
        <v>6</v>
      </c>
      <c r="C7996">
        <v>0</v>
      </c>
      <c r="D7996">
        <v>0</v>
      </c>
      <c r="E7996">
        <v>0</v>
      </c>
      <c r="F7996">
        <v>0</v>
      </c>
      <c r="G7996">
        <v>6</v>
      </c>
    </row>
    <row r="7997" spans="1:10" x14ac:dyDescent="0.2">
      <c r="A7997" t="s">
        <v>4270</v>
      </c>
      <c r="B7997">
        <v>0</v>
      </c>
      <c r="C7997">
        <v>0</v>
      </c>
      <c r="D7997">
        <v>0</v>
      </c>
      <c r="E7997">
        <v>0</v>
      </c>
      <c r="F7997">
        <v>0</v>
      </c>
      <c r="G7997">
        <v>0</v>
      </c>
    </row>
    <row r="7998" spans="1:10" x14ac:dyDescent="0.2">
      <c r="A7998" t="s">
        <v>4271</v>
      </c>
      <c r="B7998">
        <v>1</v>
      </c>
      <c r="C7998">
        <v>0</v>
      </c>
      <c r="D7998">
        <v>0</v>
      </c>
      <c r="E7998">
        <v>0</v>
      </c>
      <c r="F7998">
        <v>0</v>
      </c>
      <c r="G7998">
        <v>2</v>
      </c>
    </row>
    <row r="7999" spans="1:10" x14ac:dyDescent="0.2">
      <c r="A7999" t="s">
        <v>4272</v>
      </c>
      <c r="B7999">
        <v>3</v>
      </c>
      <c r="C7999">
        <v>0</v>
      </c>
      <c r="D7999">
        <v>0</v>
      </c>
      <c r="E7999">
        <v>0</v>
      </c>
      <c r="F7999">
        <v>0</v>
      </c>
      <c r="G7999">
        <v>3</v>
      </c>
    </row>
    <row r="8000" spans="1:10" x14ac:dyDescent="0.2">
      <c r="A8000" t="s">
        <v>4273</v>
      </c>
      <c r="B8000">
        <v>0</v>
      </c>
      <c r="C8000">
        <v>0</v>
      </c>
      <c r="D8000">
        <v>0</v>
      </c>
      <c r="E8000">
        <v>0</v>
      </c>
      <c r="F8000">
        <v>0</v>
      </c>
      <c r="G8000">
        <v>0</v>
      </c>
    </row>
    <row r="8001" spans="1:7" x14ac:dyDescent="0.2">
      <c r="A8001" t="s">
        <v>4274</v>
      </c>
      <c r="B8001">
        <v>0</v>
      </c>
      <c r="C8001">
        <v>0</v>
      </c>
      <c r="D8001">
        <v>0</v>
      </c>
      <c r="E8001">
        <v>0</v>
      </c>
      <c r="F8001">
        <v>0</v>
      </c>
      <c r="G8001">
        <v>0</v>
      </c>
    </row>
    <row r="8002" spans="1:7" x14ac:dyDescent="0.2">
      <c r="A8002" t="s">
        <v>4275</v>
      </c>
      <c r="B8002">
        <v>0</v>
      </c>
      <c r="C8002">
        <v>0</v>
      </c>
      <c r="D8002">
        <v>0</v>
      </c>
      <c r="E8002">
        <v>0</v>
      </c>
      <c r="F8002">
        <v>0</v>
      </c>
      <c r="G8002">
        <v>0</v>
      </c>
    </row>
    <row r="8003" spans="1:7" x14ac:dyDescent="0.2">
      <c r="A8003" t="s">
        <v>4276</v>
      </c>
      <c r="B8003">
        <v>0</v>
      </c>
      <c r="C8003">
        <v>0</v>
      </c>
      <c r="D8003">
        <v>0</v>
      </c>
      <c r="E8003">
        <v>0</v>
      </c>
      <c r="F8003">
        <v>0</v>
      </c>
      <c r="G8003">
        <v>0</v>
      </c>
    </row>
    <row r="8004" spans="1:7" x14ac:dyDescent="0.2">
      <c r="A8004" t="s">
        <v>4277</v>
      </c>
      <c r="B8004">
        <v>0</v>
      </c>
      <c r="C8004">
        <v>0</v>
      </c>
      <c r="D8004">
        <v>0</v>
      </c>
      <c r="E8004">
        <v>0</v>
      </c>
      <c r="F8004">
        <v>0</v>
      </c>
      <c r="G8004">
        <v>0</v>
      </c>
    </row>
    <row r="8005" spans="1:7" x14ac:dyDescent="0.2">
      <c r="A8005" t="s">
        <v>4278</v>
      </c>
      <c r="B8005">
        <v>0</v>
      </c>
      <c r="C8005">
        <v>0</v>
      </c>
      <c r="D8005">
        <v>0</v>
      </c>
      <c r="E8005">
        <v>0</v>
      </c>
      <c r="F8005">
        <v>0</v>
      </c>
      <c r="G8005">
        <v>0</v>
      </c>
    </row>
    <row r="8006" spans="1:7" x14ac:dyDescent="0.2">
      <c r="A8006" t="s">
        <v>4279</v>
      </c>
      <c r="B8006">
        <v>7</v>
      </c>
      <c r="C8006">
        <v>1</v>
      </c>
      <c r="D8006">
        <v>1</v>
      </c>
      <c r="E8006">
        <v>0</v>
      </c>
      <c r="F8006">
        <v>0</v>
      </c>
      <c r="G8006">
        <v>9</v>
      </c>
    </row>
    <row r="8007" spans="1:7" x14ac:dyDescent="0.2">
      <c r="A8007" t="s">
        <v>4280</v>
      </c>
      <c r="B8007">
        <v>0</v>
      </c>
      <c r="C8007">
        <v>0</v>
      </c>
      <c r="D8007">
        <v>0</v>
      </c>
      <c r="E8007">
        <v>0</v>
      </c>
      <c r="F8007">
        <v>0</v>
      </c>
      <c r="G8007">
        <v>0</v>
      </c>
    </row>
    <row r="8008" spans="1:7" x14ac:dyDescent="0.2">
      <c r="A8008" t="s">
        <v>4281</v>
      </c>
      <c r="B8008">
        <v>143</v>
      </c>
      <c r="C8008">
        <v>103</v>
      </c>
      <c r="D8008">
        <v>152</v>
      </c>
      <c r="E8008">
        <v>110</v>
      </c>
      <c r="F8008">
        <v>0</v>
      </c>
      <c r="G8008">
        <v>508</v>
      </c>
    </row>
    <row r="8009" spans="1:7" x14ac:dyDescent="0.2">
      <c r="A8009" t="s">
        <v>4282</v>
      </c>
      <c r="B8009">
        <v>72</v>
      </c>
      <c r="C8009">
        <v>42</v>
      </c>
      <c r="D8009">
        <v>44</v>
      </c>
      <c r="E8009">
        <v>2</v>
      </c>
      <c r="F8009">
        <v>0</v>
      </c>
      <c r="G8009">
        <v>160</v>
      </c>
    </row>
    <row r="8010" spans="1:7" x14ac:dyDescent="0.2">
      <c r="A8010" t="s">
        <v>4283</v>
      </c>
      <c r="B8010">
        <v>50</v>
      </c>
      <c r="C8010">
        <v>35</v>
      </c>
      <c r="D8010">
        <v>25</v>
      </c>
      <c r="E8010">
        <v>37</v>
      </c>
      <c r="F8010">
        <v>0</v>
      </c>
      <c r="G8010">
        <v>146</v>
      </c>
    </row>
    <row r="8011" spans="1:7" x14ac:dyDescent="0.2">
      <c r="A8011" t="s">
        <v>4284</v>
      </c>
      <c r="B8011">
        <v>7</v>
      </c>
      <c r="C8011">
        <v>0</v>
      </c>
      <c r="D8011">
        <v>5</v>
      </c>
      <c r="E8011">
        <v>0</v>
      </c>
      <c r="F8011">
        <v>0</v>
      </c>
      <c r="G8011">
        <v>12</v>
      </c>
    </row>
    <row r="8012" spans="1:7" x14ac:dyDescent="0.2">
      <c r="A8012" t="s">
        <v>4285</v>
      </c>
      <c r="B8012">
        <v>101</v>
      </c>
      <c r="C8012">
        <v>88</v>
      </c>
      <c r="D8012">
        <v>59</v>
      </c>
      <c r="E8012">
        <v>101</v>
      </c>
      <c r="F8012">
        <v>0</v>
      </c>
      <c r="G8012">
        <v>349</v>
      </c>
    </row>
    <row r="8013" spans="1:7" x14ac:dyDescent="0.2">
      <c r="A8013" t="s">
        <v>4286</v>
      </c>
      <c r="B8013">
        <v>25</v>
      </c>
      <c r="C8013">
        <v>3</v>
      </c>
      <c r="D8013">
        <v>4</v>
      </c>
      <c r="E8013">
        <v>1</v>
      </c>
      <c r="F8013">
        <v>0</v>
      </c>
      <c r="G8013">
        <v>33</v>
      </c>
    </row>
    <row r="8014" spans="1:7" x14ac:dyDescent="0.2">
      <c r="A8014" t="s">
        <v>4287</v>
      </c>
      <c r="B8014">
        <v>0</v>
      </c>
      <c r="C8014">
        <v>0</v>
      </c>
      <c r="D8014">
        <v>0</v>
      </c>
      <c r="E8014">
        <v>297</v>
      </c>
      <c r="F8014">
        <v>0</v>
      </c>
      <c r="G8014">
        <v>297</v>
      </c>
    </row>
    <row r="8015" spans="1:7" x14ac:dyDescent="0.2">
      <c r="A8015" t="s">
        <v>4288</v>
      </c>
      <c r="B8015">
        <v>0</v>
      </c>
      <c r="C8015">
        <v>0</v>
      </c>
      <c r="D8015">
        <v>0</v>
      </c>
      <c r="E8015">
        <v>0</v>
      </c>
      <c r="F8015">
        <v>18</v>
      </c>
      <c r="G8015">
        <v>18</v>
      </c>
    </row>
    <row r="8016" spans="1:7" x14ac:dyDescent="0.2">
      <c r="A8016" t="s">
        <v>4289</v>
      </c>
      <c r="B8016">
        <v>0</v>
      </c>
      <c r="C8016">
        <v>0</v>
      </c>
      <c r="D8016">
        <v>0</v>
      </c>
      <c r="E8016">
        <v>0</v>
      </c>
      <c r="F8016">
        <v>16141</v>
      </c>
      <c r="G8016">
        <v>16141</v>
      </c>
    </row>
    <row r="8017" spans="1:7" x14ac:dyDescent="0.2">
      <c r="A8017" t="s">
        <v>4290</v>
      </c>
      <c r="B8017">
        <v>0</v>
      </c>
      <c r="C8017">
        <v>0</v>
      </c>
      <c r="D8017">
        <v>0</v>
      </c>
      <c r="E8017">
        <v>0</v>
      </c>
      <c r="F8017">
        <v>0</v>
      </c>
      <c r="G8017">
        <v>0</v>
      </c>
    </row>
    <row r="8018" spans="1:7" x14ac:dyDescent="0.2">
      <c r="A8018" t="s">
        <v>4291</v>
      </c>
      <c r="B8018">
        <v>0</v>
      </c>
      <c r="C8018">
        <v>0</v>
      </c>
      <c r="D8018">
        <v>0</v>
      </c>
      <c r="E8018">
        <v>0</v>
      </c>
      <c r="F8018">
        <v>0</v>
      </c>
      <c r="G8018">
        <v>0</v>
      </c>
    </row>
    <row r="8019" spans="1:7" x14ac:dyDescent="0.2">
      <c r="A8019" t="s">
        <v>4292</v>
      </c>
      <c r="B8019">
        <v>0</v>
      </c>
      <c r="C8019">
        <v>0</v>
      </c>
      <c r="D8019">
        <v>0</v>
      </c>
      <c r="E8019">
        <v>0</v>
      </c>
      <c r="F8019">
        <v>161</v>
      </c>
      <c r="G8019">
        <v>161</v>
      </c>
    </row>
    <row r="8020" spans="1:7" x14ac:dyDescent="0.2">
      <c r="A8020" t="s">
        <v>4293</v>
      </c>
      <c r="B8020">
        <v>0</v>
      </c>
      <c r="C8020">
        <v>0</v>
      </c>
      <c r="D8020">
        <v>0</v>
      </c>
      <c r="E8020">
        <v>0</v>
      </c>
      <c r="F8020">
        <v>0</v>
      </c>
      <c r="G8020">
        <v>0</v>
      </c>
    </row>
    <row r="8021" spans="1:7" x14ac:dyDescent="0.2">
      <c r="A8021" t="s">
        <v>4294</v>
      </c>
      <c r="B8021">
        <v>0</v>
      </c>
      <c r="C8021">
        <v>0</v>
      </c>
      <c r="D8021">
        <v>0</v>
      </c>
      <c r="E8021">
        <v>0</v>
      </c>
      <c r="F8021">
        <v>0</v>
      </c>
      <c r="G8021">
        <v>0</v>
      </c>
    </row>
    <row r="8022" spans="1:7" x14ac:dyDescent="0.2">
      <c r="A8022" t="s">
        <v>4295</v>
      </c>
      <c r="B8022">
        <v>0</v>
      </c>
      <c r="C8022">
        <v>0</v>
      </c>
      <c r="D8022">
        <v>0</v>
      </c>
      <c r="E8022">
        <v>0</v>
      </c>
      <c r="F8022">
        <v>0</v>
      </c>
      <c r="G8022">
        <v>0</v>
      </c>
    </row>
    <row r="8023" spans="1:7" x14ac:dyDescent="0.2">
      <c r="A8023" t="s">
        <v>4296</v>
      </c>
      <c r="B8023">
        <v>0</v>
      </c>
      <c r="C8023">
        <v>0</v>
      </c>
      <c r="D8023">
        <v>0</v>
      </c>
      <c r="E8023">
        <v>0</v>
      </c>
      <c r="F8023">
        <v>0</v>
      </c>
      <c r="G8023">
        <v>0</v>
      </c>
    </row>
    <row r="8024" spans="1:7" x14ac:dyDescent="0.2">
      <c r="A8024" t="s">
        <v>4297</v>
      </c>
      <c r="B8024">
        <v>54</v>
      </c>
      <c r="C8024">
        <v>333</v>
      </c>
      <c r="D8024">
        <v>593</v>
      </c>
      <c r="E8024">
        <v>185</v>
      </c>
      <c r="F8024">
        <v>0</v>
      </c>
      <c r="G8024">
        <v>1165</v>
      </c>
    </row>
    <row r="8025" spans="1:7" x14ac:dyDescent="0.2">
      <c r="A8025" t="s">
        <v>4298</v>
      </c>
      <c r="B8025">
        <v>71</v>
      </c>
      <c r="C8025">
        <v>88</v>
      </c>
      <c r="D8025">
        <v>69</v>
      </c>
      <c r="E8025">
        <v>42</v>
      </c>
      <c r="F8025">
        <v>0</v>
      </c>
      <c r="G8025">
        <v>270</v>
      </c>
    </row>
    <row r="8026" spans="1:7" x14ac:dyDescent="0.2">
      <c r="A8026" t="s">
        <v>4299</v>
      </c>
      <c r="B8026">
        <v>20</v>
      </c>
      <c r="C8026">
        <v>41</v>
      </c>
      <c r="D8026">
        <v>81</v>
      </c>
      <c r="E8026">
        <v>70</v>
      </c>
      <c r="F8026">
        <v>0</v>
      </c>
      <c r="G8026">
        <v>213</v>
      </c>
    </row>
    <row r="8027" spans="1:7" x14ac:dyDescent="0.2">
      <c r="A8027" t="s">
        <v>4300</v>
      </c>
      <c r="B8027">
        <v>0</v>
      </c>
      <c r="C8027">
        <v>3</v>
      </c>
      <c r="D8027">
        <v>7</v>
      </c>
      <c r="E8027">
        <v>4</v>
      </c>
      <c r="F8027">
        <v>0</v>
      </c>
      <c r="G8027">
        <v>14</v>
      </c>
    </row>
    <row r="8028" spans="1:7" x14ac:dyDescent="0.2">
      <c r="A8028" t="s">
        <v>4301</v>
      </c>
      <c r="B8028">
        <v>0</v>
      </c>
      <c r="C8028">
        <v>183</v>
      </c>
      <c r="D8028">
        <v>368</v>
      </c>
      <c r="E8028">
        <v>171</v>
      </c>
      <c r="F8028">
        <v>0</v>
      </c>
      <c r="G8028">
        <v>722</v>
      </c>
    </row>
    <row r="8029" spans="1:7" x14ac:dyDescent="0.2">
      <c r="A8029" t="s">
        <v>4302</v>
      </c>
      <c r="B8029">
        <v>1</v>
      </c>
      <c r="C8029">
        <v>8</v>
      </c>
      <c r="D8029">
        <v>25</v>
      </c>
      <c r="E8029">
        <v>8</v>
      </c>
      <c r="F8029">
        <v>0</v>
      </c>
      <c r="G8029">
        <v>42</v>
      </c>
    </row>
    <row r="8030" spans="1:7" x14ac:dyDescent="0.2">
      <c r="A8030" t="s">
        <v>4303</v>
      </c>
      <c r="B8030">
        <v>1</v>
      </c>
      <c r="C8030">
        <v>22</v>
      </c>
      <c r="D8030">
        <v>102</v>
      </c>
      <c r="E8030">
        <v>21</v>
      </c>
      <c r="F8030">
        <v>0</v>
      </c>
      <c r="G8030">
        <v>146</v>
      </c>
    </row>
    <row r="8031" spans="1:7" x14ac:dyDescent="0.2">
      <c r="A8031" t="s">
        <v>4304</v>
      </c>
      <c r="B8031">
        <v>1</v>
      </c>
      <c r="C8031">
        <v>4</v>
      </c>
      <c r="D8031">
        <v>30</v>
      </c>
      <c r="E8031">
        <v>0</v>
      </c>
      <c r="F8031">
        <v>0</v>
      </c>
      <c r="G8031">
        <v>35</v>
      </c>
    </row>
    <row r="8032" spans="1:7" x14ac:dyDescent="0.2">
      <c r="A8032" t="s">
        <v>4305</v>
      </c>
      <c r="B8032">
        <v>0</v>
      </c>
      <c r="C8032">
        <v>45</v>
      </c>
      <c r="D8032">
        <v>29</v>
      </c>
      <c r="E8032">
        <v>24</v>
      </c>
      <c r="F8032">
        <v>0</v>
      </c>
      <c r="G8032">
        <v>98</v>
      </c>
    </row>
    <row r="8033" spans="1:7" x14ac:dyDescent="0.2">
      <c r="A8033" t="s">
        <v>4306</v>
      </c>
      <c r="B8033">
        <v>1</v>
      </c>
      <c r="C8033">
        <v>6</v>
      </c>
      <c r="D8033">
        <v>2</v>
      </c>
      <c r="E8033">
        <v>4</v>
      </c>
      <c r="F8033">
        <v>0</v>
      </c>
      <c r="G8033">
        <v>13</v>
      </c>
    </row>
    <row r="8034" spans="1:7" x14ac:dyDescent="0.2">
      <c r="A8034" t="s">
        <v>4307</v>
      </c>
      <c r="B8034">
        <v>6</v>
      </c>
      <c r="C8034">
        <v>56</v>
      </c>
      <c r="D8034">
        <v>309</v>
      </c>
      <c r="E8034">
        <v>208</v>
      </c>
      <c r="F8034">
        <v>0</v>
      </c>
      <c r="G8034">
        <v>578</v>
      </c>
    </row>
    <row r="8035" spans="1:7" x14ac:dyDescent="0.2">
      <c r="A8035" t="s">
        <v>4308</v>
      </c>
      <c r="B8035">
        <v>0</v>
      </c>
      <c r="C8035">
        <v>0</v>
      </c>
      <c r="D8035">
        <v>1</v>
      </c>
      <c r="E8035">
        <v>2</v>
      </c>
      <c r="F8035">
        <v>0</v>
      </c>
      <c r="G8035">
        <v>3</v>
      </c>
    </row>
    <row r="8036" spans="1:7" x14ac:dyDescent="0.2">
      <c r="A8036" t="s">
        <v>4309</v>
      </c>
      <c r="B8036">
        <v>0</v>
      </c>
      <c r="C8036">
        <v>0</v>
      </c>
      <c r="D8036">
        <v>0</v>
      </c>
      <c r="E8036">
        <v>0</v>
      </c>
      <c r="F8036">
        <v>0</v>
      </c>
      <c r="G8036">
        <v>0</v>
      </c>
    </row>
    <row r="8037" spans="1:7" x14ac:dyDescent="0.2">
      <c r="A8037" t="s">
        <v>4310</v>
      </c>
      <c r="B8037">
        <v>0</v>
      </c>
      <c r="C8037">
        <v>0</v>
      </c>
      <c r="D8037">
        <v>0</v>
      </c>
      <c r="E8037">
        <v>0</v>
      </c>
      <c r="F8037">
        <v>0</v>
      </c>
      <c r="G8037">
        <v>0</v>
      </c>
    </row>
    <row r="8038" spans="1:7" x14ac:dyDescent="0.2">
      <c r="A8038" t="s">
        <v>4311</v>
      </c>
      <c r="B8038">
        <v>0</v>
      </c>
      <c r="C8038">
        <v>0</v>
      </c>
      <c r="D8038">
        <v>0</v>
      </c>
      <c r="E8038">
        <v>33</v>
      </c>
      <c r="F8038">
        <v>1</v>
      </c>
      <c r="G8038">
        <v>34</v>
      </c>
    </row>
    <row r="8039" spans="1:7" x14ac:dyDescent="0.2">
      <c r="A8039" t="s">
        <v>4312</v>
      </c>
      <c r="B8039">
        <v>0</v>
      </c>
      <c r="C8039">
        <v>0</v>
      </c>
      <c r="D8039">
        <v>0</v>
      </c>
      <c r="E8039">
        <v>27</v>
      </c>
      <c r="F8039">
        <v>0</v>
      </c>
      <c r="G8039">
        <v>27</v>
      </c>
    </row>
    <row r="8040" spans="1:7" x14ac:dyDescent="0.2">
      <c r="A8040" t="s">
        <v>4313</v>
      </c>
      <c r="B8040">
        <v>0</v>
      </c>
      <c r="C8040">
        <v>0</v>
      </c>
      <c r="D8040">
        <v>0</v>
      </c>
      <c r="E8040">
        <v>0</v>
      </c>
      <c r="F8040">
        <v>0</v>
      </c>
      <c r="G8040">
        <v>0</v>
      </c>
    </row>
    <row r="8041" spans="1:7" x14ac:dyDescent="0.2">
      <c r="A8041" t="s">
        <v>4314</v>
      </c>
      <c r="B8041">
        <v>0</v>
      </c>
      <c r="C8041">
        <v>0</v>
      </c>
      <c r="D8041">
        <v>0</v>
      </c>
      <c r="E8041">
        <v>0</v>
      </c>
      <c r="F8041">
        <v>0</v>
      </c>
      <c r="G8041">
        <v>0</v>
      </c>
    </row>
    <row r="8042" spans="1:7" x14ac:dyDescent="0.2">
      <c r="A8042" t="s">
        <v>4315</v>
      </c>
      <c r="B8042">
        <v>0</v>
      </c>
      <c r="C8042">
        <v>0</v>
      </c>
      <c r="D8042">
        <v>0</v>
      </c>
      <c r="E8042">
        <v>0</v>
      </c>
      <c r="F8042">
        <v>0</v>
      </c>
      <c r="G8042">
        <v>0</v>
      </c>
    </row>
    <row r="8043" spans="1:7" x14ac:dyDescent="0.2">
      <c r="A8043" t="s">
        <v>4316</v>
      </c>
      <c r="B8043">
        <v>0</v>
      </c>
      <c r="C8043">
        <v>0</v>
      </c>
      <c r="D8043">
        <v>0</v>
      </c>
      <c r="E8043">
        <v>0</v>
      </c>
      <c r="F8043">
        <v>0</v>
      </c>
      <c r="G8043">
        <v>0</v>
      </c>
    </row>
    <row r="8044" spans="1:7" x14ac:dyDescent="0.2">
      <c r="A8044" t="s">
        <v>4317</v>
      </c>
      <c r="B8044">
        <v>0</v>
      </c>
      <c r="C8044">
        <v>0</v>
      </c>
      <c r="D8044">
        <v>0</v>
      </c>
      <c r="E8044">
        <v>0</v>
      </c>
      <c r="F8044">
        <v>0</v>
      </c>
      <c r="G8044">
        <v>0</v>
      </c>
    </row>
    <row r="8045" spans="1:7" x14ac:dyDescent="0.2">
      <c r="A8045" t="s">
        <v>4318</v>
      </c>
      <c r="B8045">
        <v>0</v>
      </c>
      <c r="C8045">
        <v>0</v>
      </c>
      <c r="D8045">
        <v>0</v>
      </c>
      <c r="E8045">
        <v>0</v>
      </c>
      <c r="F8045">
        <v>0</v>
      </c>
      <c r="G8045">
        <v>0</v>
      </c>
    </row>
    <row r="8046" spans="1:7" x14ac:dyDescent="0.2">
      <c r="A8046" t="s">
        <v>4319</v>
      </c>
      <c r="B8046">
        <v>0</v>
      </c>
      <c r="C8046">
        <v>0</v>
      </c>
      <c r="D8046">
        <v>0</v>
      </c>
      <c r="E8046">
        <v>0</v>
      </c>
      <c r="F8046">
        <v>0</v>
      </c>
      <c r="G8046">
        <v>0</v>
      </c>
    </row>
    <row r="8047" spans="1:7" x14ac:dyDescent="0.2">
      <c r="A8047" t="s">
        <v>4320</v>
      </c>
      <c r="B8047">
        <v>0</v>
      </c>
      <c r="C8047">
        <v>0</v>
      </c>
      <c r="D8047">
        <v>0</v>
      </c>
      <c r="E8047">
        <v>0</v>
      </c>
      <c r="F8047">
        <v>0</v>
      </c>
      <c r="G8047">
        <v>0</v>
      </c>
    </row>
    <row r="8048" spans="1:7" x14ac:dyDescent="0.2">
      <c r="A8048" t="s">
        <v>4321</v>
      </c>
      <c r="B8048">
        <v>0</v>
      </c>
      <c r="C8048">
        <v>0</v>
      </c>
      <c r="D8048">
        <v>0</v>
      </c>
      <c r="E8048">
        <v>0</v>
      </c>
      <c r="F8048">
        <v>0</v>
      </c>
      <c r="G8048">
        <v>0</v>
      </c>
    </row>
    <row r="8049" spans="1:7" x14ac:dyDescent="0.2">
      <c r="A8049" t="s">
        <v>4322</v>
      </c>
      <c r="B8049">
        <v>0</v>
      </c>
      <c r="C8049">
        <v>0</v>
      </c>
      <c r="D8049">
        <v>0</v>
      </c>
      <c r="E8049">
        <v>0</v>
      </c>
      <c r="F8049">
        <v>0</v>
      </c>
      <c r="G8049">
        <v>0</v>
      </c>
    </row>
    <row r="8050" spans="1:7" x14ac:dyDescent="0.2">
      <c r="A8050" t="s">
        <v>4323</v>
      </c>
      <c r="B8050">
        <v>0</v>
      </c>
      <c r="C8050">
        <v>0</v>
      </c>
      <c r="D8050">
        <v>0</v>
      </c>
      <c r="E8050">
        <v>0</v>
      </c>
      <c r="F8050">
        <v>0</v>
      </c>
      <c r="G8050">
        <v>0</v>
      </c>
    </row>
    <row r="8051" spans="1:7" x14ac:dyDescent="0.2">
      <c r="A8051" t="s">
        <v>4324</v>
      </c>
      <c r="B8051">
        <v>0</v>
      </c>
      <c r="C8051">
        <v>0</v>
      </c>
      <c r="D8051">
        <v>0</v>
      </c>
      <c r="E8051">
        <v>0</v>
      </c>
      <c r="F8051">
        <v>0</v>
      </c>
      <c r="G8051">
        <v>0</v>
      </c>
    </row>
    <row r="8052" spans="1:7" x14ac:dyDescent="0.2">
      <c r="A8052" t="s">
        <v>4325</v>
      </c>
      <c r="B8052">
        <v>0</v>
      </c>
      <c r="C8052">
        <v>0</v>
      </c>
      <c r="D8052">
        <v>0</v>
      </c>
      <c r="E8052">
        <v>0</v>
      </c>
      <c r="F8052">
        <v>0</v>
      </c>
      <c r="G8052">
        <v>0</v>
      </c>
    </row>
    <row r="8053" spans="1:7" x14ac:dyDescent="0.2">
      <c r="A8053" t="s">
        <v>4326</v>
      </c>
      <c r="B8053">
        <v>0</v>
      </c>
      <c r="C8053">
        <v>0</v>
      </c>
      <c r="D8053">
        <v>0</v>
      </c>
      <c r="E8053">
        <v>0</v>
      </c>
      <c r="F8053">
        <v>0</v>
      </c>
      <c r="G8053">
        <v>0</v>
      </c>
    </row>
    <row r="8054" spans="1:7" x14ac:dyDescent="0.2">
      <c r="A8054" t="s">
        <v>4327</v>
      </c>
      <c r="B8054">
        <v>0</v>
      </c>
      <c r="C8054">
        <v>0</v>
      </c>
      <c r="D8054">
        <v>0</v>
      </c>
      <c r="E8054">
        <v>0</v>
      </c>
      <c r="F8054">
        <v>0</v>
      </c>
      <c r="G8054">
        <v>0</v>
      </c>
    </row>
    <row r="8055" spans="1:7" x14ac:dyDescent="0.2">
      <c r="A8055" t="s">
        <v>4328</v>
      </c>
      <c r="B8055">
        <v>0</v>
      </c>
      <c r="C8055">
        <v>0</v>
      </c>
      <c r="D8055">
        <v>0</v>
      </c>
      <c r="E8055">
        <v>0</v>
      </c>
      <c r="F8055">
        <v>0</v>
      </c>
      <c r="G8055">
        <v>0</v>
      </c>
    </row>
    <row r="8056" spans="1:7" x14ac:dyDescent="0.2">
      <c r="A8056" t="s">
        <v>4329</v>
      </c>
      <c r="B8056">
        <v>0</v>
      </c>
      <c r="C8056">
        <v>0</v>
      </c>
      <c r="D8056">
        <v>0</v>
      </c>
      <c r="E8056">
        <v>0</v>
      </c>
      <c r="F8056">
        <v>0</v>
      </c>
      <c r="G8056">
        <v>0</v>
      </c>
    </row>
    <row r="8057" spans="1:7" x14ac:dyDescent="0.2">
      <c r="A8057" t="s">
        <v>4330</v>
      </c>
      <c r="B8057">
        <v>0</v>
      </c>
      <c r="C8057">
        <v>0</v>
      </c>
      <c r="D8057">
        <v>0</v>
      </c>
      <c r="E8057">
        <v>0</v>
      </c>
      <c r="F8057">
        <v>0</v>
      </c>
      <c r="G8057">
        <v>0</v>
      </c>
    </row>
    <row r="8058" spans="1:7" x14ac:dyDescent="0.2">
      <c r="A8058" t="s">
        <v>4331</v>
      </c>
      <c r="B8058">
        <v>0</v>
      </c>
      <c r="C8058">
        <v>0</v>
      </c>
      <c r="D8058">
        <v>0</v>
      </c>
      <c r="E8058">
        <v>0</v>
      </c>
      <c r="F8058">
        <v>0</v>
      </c>
      <c r="G8058">
        <v>0</v>
      </c>
    </row>
    <row r="8059" spans="1:7" x14ac:dyDescent="0.2">
      <c r="A8059" t="s">
        <v>4332</v>
      </c>
      <c r="B8059">
        <v>0</v>
      </c>
      <c r="C8059">
        <v>0</v>
      </c>
      <c r="D8059">
        <v>0</v>
      </c>
      <c r="E8059">
        <v>0</v>
      </c>
      <c r="F8059">
        <v>0</v>
      </c>
      <c r="G8059">
        <v>0</v>
      </c>
    </row>
    <row r="8060" spans="1:7" x14ac:dyDescent="0.2">
      <c r="A8060" t="s">
        <v>4333</v>
      </c>
      <c r="B8060">
        <v>0</v>
      </c>
      <c r="C8060">
        <v>0</v>
      </c>
      <c r="D8060">
        <v>0</v>
      </c>
      <c r="E8060">
        <v>0</v>
      </c>
      <c r="F8060">
        <v>0</v>
      </c>
      <c r="G8060">
        <v>0</v>
      </c>
    </row>
    <row r="8061" spans="1:7" x14ac:dyDescent="0.2">
      <c r="A8061" t="s">
        <v>4334</v>
      </c>
      <c r="B8061">
        <v>0</v>
      </c>
      <c r="C8061">
        <v>0</v>
      </c>
      <c r="D8061">
        <v>0</v>
      </c>
      <c r="E8061">
        <v>0</v>
      </c>
      <c r="F8061">
        <v>0</v>
      </c>
      <c r="G8061">
        <v>0</v>
      </c>
    </row>
    <row r="8062" spans="1:7" x14ac:dyDescent="0.2">
      <c r="A8062" t="s">
        <v>4335</v>
      </c>
      <c r="B8062">
        <v>0</v>
      </c>
      <c r="C8062">
        <v>0</v>
      </c>
      <c r="D8062">
        <v>0</v>
      </c>
      <c r="E8062">
        <v>0</v>
      </c>
      <c r="F8062">
        <v>0</v>
      </c>
      <c r="G8062">
        <v>0</v>
      </c>
    </row>
    <row r="8063" spans="1:7" x14ac:dyDescent="0.2">
      <c r="A8063" t="s">
        <v>4336</v>
      </c>
      <c r="B8063">
        <v>0</v>
      </c>
      <c r="C8063">
        <v>0</v>
      </c>
      <c r="D8063">
        <v>0</v>
      </c>
      <c r="E8063">
        <v>0</v>
      </c>
      <c r="F8063">
        <v>0</v>
      </c>
      <c r="G8063">
        <v>0</v>
      </c>
    </row>
    <row r="8064" spans="1:7" x14ac:dyDescent="0.2">
      <c r="A8064" t="s">
        <v>4337</v>
      </c>
      <c r="B8064">
        <v>0</v>
      </c>
      <c r="C8064">
        <v>0</v>
      </c>
      <c r="D8064">
        <v>0</v>
      </c>
      <c r="E8064">
        <v>0</v>
      </c>
      <c r="F8064">
        <v>0</v>
      </c>
      <c r="G8064">
        <v>0</v>
      </c>
    </row>
    <row r="8065" spans="1:7" x14ac:dyDescent="0.2">
      <c r="A8065" t="s">
        <v>4338</v>
      </c>
      <c r="B8065">
        <v>0</v>
      </c>
      <c r="C8065">
        <v>0</v>
      </c>
      <c r="D8065">
        <v>0</v>
      </c>
      <c r="E8065">
        <v>0</v>
      </c>
      <c r="F8065">
        <v>0</v>
      </c>
      <c r="G8065">
        <v>0</v>
      </c>
    </row>
    <row r="8066" spans="1:7" x14ac:dyDescent="0.2">
      <c r="A8066" t="s">
        <v>4339</v>
      </c>
      <c r="B8066">
        <v>0</v>
      </c>
      <c r="C8066">
        <v>0</v>
      </c>
      <c r="D8066">
        <v>0</v>
      </c>
      <c r="E8066">
        <v>0</v>
      </c>
      <c r="F8066">
        <v>0</v>
      </c>
      <c r="G8066">
        <v>0</v>
      </c>
    </row>
    <row r="8067" spans="1:7" x14ac:dyDescent="0.2">
      <c r="A8067" t="s">
        <v>4340</v>
      </c>
      <c r="B8067">
        <v>0</v>
      </c>
      <c r="C8067">
        <v>0</v>
      </c>
      <c r="D8067">
        <v>0</v>
      </c>
      <c r="E8067">
        <v>0</v>
      </c>
      <c r="F8067">
        <v>0</v>
      </c>
      <c r="G8067">
        <v>0</v>
      </c>
    </row>
    <row r="8068" spans="1:7" x14ac:dyDescent="0.2">
      <c r="A8068" t="s">
        <v>4341</v>
      </c>
      <c r="B8068">
        <v>0</v>
      </c>
      <c r="C8068">
        <v>0</v>
      </c>
      <c r="D8068">
        <v>0</v>
      </c>
      <c r="E8068">
        <v>0</v>
      </c>
      <c r="F8068">
        <v>0</v>
      </c>
      <c r="G8068">
        <v>0</v>
      </c>
    </row>
    <row r="8069" spans="1:7" x14ac:dyDescent="0.2">
      <c r="A8069" t="s">
        <v>4342</v>
      </c>
      <c r="B8069">
        <v>0</v>
      </c>
      <c r="C8069">
        <v>0</v>
      </c>
      <c r="D8069">
        <v>0</v>
      </c>
      <c r="E8069">
        <v>0</v>
      </c>
      <c r="F8069">
        <v>0</v>
      </c>
      <c r="G8069">
        <v>0</v>
      </c>
    </row>
    <row r="8070" spans="1:7" x14ac:dyDescent="0.2">
      <c r="A8070" t="s">
        <v>4343</v>
      </c>
      <c r="B8070">
        <v>0</v>
      </c>
      <c r="C8070">
        <v>0</v>
      </c>
      <c r="D8070">
        <v>0</v>
      </c>
      <c r="E8070">
        <v>0</v>
      </c>
      <c r="F8070">
        <v>0</v>
      </c>
      <c r="G8070">
        <v>0</v>
      </c>
    </row>
    <row r="8071" spans="1:7" x14ac:dyDescent="0.2">
      <c r="A8071" t="s">
        <v>1728</v>
      </c>
      <c r="B8071">
        <v>0</v>
      </c>
      <c r="C8071">
        <v>0</v>
      </c>
      <c r="D8071">
        <v>0</v>
      </c>
      <c r="E8071">
        <v>0</v>
      </c>
      <c r="F8071">
        <v>0</v>
      </c>
      <c r="G8071">
        <v>0</v>
      </c>
    </row>
    <row r="8072" spans="1:7" x14ac:dyDescent="0.2">
      <c r="A8072" t="s">
        <v>1730</v>
      </c>
      <c r="B8072">
        <v>0</v>
      </c>
      <c r="C8072">
        <v>0</v>
      </c>
      <c r="D8072">
        <v>1</v>
      </c>
      <c r="E8072">
        <v>0</v>
      </c>
      <c r="F8072">
        <v>1</v>
      </c>
      <c r="G8072">
        <v>2</v>
      </c>
    </row>
    <row r="8073" spans="1:7" x14ac:dyDescent="0.2">
      <c r="A8073" t="s">
        <v>1733</v>
      </c>
      <c r="B8073">
        <v>0</v>
      </c>
      <c r="C8073">
        <v>0</v>
      </c>
      <c r="D8073">
        <v>0</v>
      </c>
      <c r="E8073">
        <v>0</v>
      </c>
      <c r="F8073">
        <v>0</v>
      </c>
      <c r="G8073">
        <v>0</v>
      </c>
    </row>
    <row r="8074" spans="1:7" x14ac:dyDescent="0.2">
      <c r="A8074" t="s">
        <v>1738</v>
      </c>
      <c r="B8074">
        <v>0</v>
      </c>
      <c r="C8074">
        <v>0</v>
      </c>
      <c r="D8074">
        <v>0</v>
      </c>
      <c r="E8074">
        <v>0</v>
      </c>
      <c r="F8074">
        <v>0</v>
      </c>
      <c r="G8074">
        <v>0</v>
      </c>
    </row>
    <row r="8075" spans="1:7" x14ac:dyDescent="0.2">
      <c r="A8075" t="s">
        <v>1744</v>
      </c>
      <c r="B8075">
        <v>0</v>
      </c>
      <c r="C8075">
        <v>0</v>
      </c>
      <c r="D8075">
        <v>0</v>
      </c>
      <c r="E8075">
        <v>0</v>
      </c>
      <c r="F8075">
        <v>0</v>
      </c>
      <c r="G8075">
        <v>0</v>
      </c>
    </row>
    <row r="8076" spans="1:7" x14ac:dyDescent="0.2">
      <c r="A8076" t="s">
        <v>1747</v>
      </c>
      <c r="B8076">
        <v>0</v>
      </c>
      <c r="C8076">
        <v>0</v>
      </c>
      <c r="D8076">
        <v>0</v>
      </c>
      <c r="E8076">
        <v>0</v>
      </c>
      <c r="F8076">
        <v>0</v>
      </c>
      <c r="G8076">
        <v>0</v>
      </c>
    </row>
    <row r="8077" spans="1:7" x14ac:dyDescent="0.2">
      <c r="A8077" t="s">
        <v>1751</v>
      </c>
      <c r="B8077">
        <v>0</v>
      </c>
      <c r="C8077">
        <v>0</v>
      </c>
      <c r="D8077">
        <v>0</v>
      </c>
      <c r="E8077">
        <v>0</v>
      </c>
      <c r="F8077">
        <v>0</v>
      </c>
      <c r="G8077">
        <v>0</v>
      </c>
    </row>
    <row r="8078" spans="1:7" x14ac:dyDescent="0.2">
      <c r="A8078" t="s">
        <v>1755</v>
      </c>
      <c r="B8078">
        <v>0</v>
      </c>
      <c r="C8078">
        <v>0</v>
      </c>
      <c r="D8078">
        <v>0</v>
      </c>
      <c r="E8078">
        <v>0</v>
      </c>
      <c r="F8078">
        <v>0</v>
      </c>
      <c r="G8078">
        <v>0</v>
      </c>
    </row>
    <row r="8079" spans="1:7" x14ac:dyDescent="0.2">
      <c r="A8079" t="s">
        <v>1757</v>
      </c>
      <c r="B8079">
        <v>0</v>
      </c>
      <c r="C8079">
        <v>0</v>
      </c>
      <c r="D8079">
        <v>0</v>
      </c>
      <c r="E8079">
        <v>0</v>
      </c>
      <c r="F8079">
        <v>0</v>
      </c>
      <c r="G8079">
        <v>0</v>
      </c>
    </row>
    <row r="8080" spans="1:7" x14ac:dyDescent="0.2">
      <c r="A8080" t="s">
        <v>1761</v>
      </c>
      <c r="B8080">
        <v>0</v>
      </c>
      <c r="C8080">
        <v>0</v>
      </c>
      <c r="D8080">
        <v>0</v>
      </c>
      <c r="E8080">
        <v>0</v>
      </c>
      <c r="F8080">
        <v>0</v>
      </c>
      <c r="G8080">
        <v>0</v>
      </c>
    </row>
    <row r="8081" spans="1:7" x14ac:dyDescent="0.2">
      <c r="A8081" t="s">
        <v>1764</v>
      </c>
      <c r="B8081">
        <v>0</v>
      </c>
      <c r="C8081">
        <v>0</v>
      </c>
      <c r="D8081">
        <v>0</v>
      </c>
      <c r="E8081">
        <v>0</v>
      </c>
      <c r="F8081">
        <v>0</v>
      </c>
      <c r="G8081">
        <v>0</v>
      </c>
    </row>
    <row r="8082" spans="1:7" x14ac:dyDescent="0.2">
      <c r="A8082" t="s">
        <v>1770</v>
      </c>
      <c r="B8082">
        <v>1</v>
      </c>
      <c r="C8082">
        <v>1</v>
      </c>
      <c r="D8082">
        <v>5</v>
      </c>
      <c r="E8082">
        <v>10</v>
      </c>
      <c r="F8082">
        <v>0</v>
      </c>
      <c r="G8082">
        <v>17</v>
      </c>
    </row>
    <row r="8083" spans="1:7" x14ac:dyDescent="0.2">
      <c r="A8083" t="s">
        <v>1772</v>
      </c>
      <c r="B8083">
        <v>0</v>
      </c>
      <c r="C8083">
        <v>0</v>
      </c>
      <c r="D8083">
        <v>0</v>
      </c>
      <c r="E8083">
        <v>0</v>
      </c>
      <c r="F8083">
        <v>0</v>
      </c>
      <c r="G8083">
        <v>0</v>
      </c>
    </row>
    <row r="8084" spans="1:7" x14ac:dyDescent="0.2">
      <c r="A8084" t="s">
        <v>1774</v>
      </c>
      <c r="B8084">
        <v>0</v>
      </c>
      <c r="C8084">
        <v>0</v>
      </c>
      <c r="D8084">
        <v>0</v>
      </c>
      <c r="E8084">
        <v>0</v>
      </c>
      <c r="F8084">
        <v>0</v>
      </c>
      <c r="G8084">
        <v>0</v>
      </c>
    </row>
    <row r="8085" spans="1:7" x14ac:dyDescent="0.2">
      <c r="A8085" t="s">
        <v>1777</v>
      </c>
      <c r="B8085">
        <v>0</v>
      </c>
      <c r="C8085">
        <v>0</v>
      </c>
      <c r="D8085">
        <v>0</v>
      </c>
      <c r="E8085">
        <v>0</v>
      </c>
      <c r="F8085">
        <v>0</v>
      </c>
      <c r="G8085">
        <v>0</v>
      </c>
    </row>
    <row r="8086" spans="1:7" x14ac:dyDescent="0.2">
      <c r="A8086" t="s">
        <v>1782</v>
      </c>
      <c r="B8086">
        <v>0</v>
      </c>
      <c r="C8086">
        <v>0</v>
      </c>
      <c r="D8086">
        <v>0</v>
      </c>
      <c r="E8086">
        <v>0</v>
      </c>
      <c r="F8086">
        <v>0</v>
      </c>
      <c r="G8086">
        <v>0</v>
      </c>
    </row>
    <row r="8087" spans="1:7" x14ac:dyDescent="0.2">
      <c r="A8087" t="s">
        <v>1274</v>
      </c>
      <c r="B8087">
        <v>0</v>
      </c>
      <c r="C8087">
        <v>0</v>
      </c>
      <c r="D8087">
        <v>0</v>
      </c>
      <c r="E8087">
        <v>0</v>
      </c>
      <c r="F8087">
        <v>0</v>
      </c>
      <c r="G8087">
        <v>0</v>
      </c>
    </row>
    <row r="8088" spans="1:7" x14ac:dyDescent="0.2">
      <c r="A8088" t="s">
        <v>1277</v>
      </c>
      <c r="B8088">
        <v>0</v>
      </c>
      <c r="C8088">
        <v>0</v>
      </c>
      <c r="D8088">
        <v>0</v>
      </c>
      <c r="E8088">
        <v>0</v>
      </c>
      <c r="F8088">
        <v>0</v>
      </c>
      <c r="G8088">
        <v>0</v>
      </c>
    </row>
    <row r="8089" spans="1:7" x14ac:dyDescent="0.2">
      <c r="A8089" t="s">
        <v>1798</v>
      </c>
      <c r="B8089">
        <v>0</v>
      </c>
      <c r="C8089">
        <v>0</v>
      </c>
      <c r="D8089">
        <v>0</v>
      </c>
      <c r="E8089">
        <v>0</v>
      </c>
      <c r="F8089">
        <v>0</v>
      </c>
      <c r="G8089">
        <v>0</v>
      </c>
    </row>
    <row r="8090" spans="1:7" x14ac:dyDescent="0.2">
      <c r="A8090" t="s">
        <v>1803</v>
      </c>
      <c r="B8090">
        <v>0</v>
      </c>
      <c r="C8090">
        <v>0</v>
      </c>
      <c r="D8090">
        <v>0</v>
      </c>
      <c r="E8090">
        <v>0</v>
      </c>
      <c r="F8090">
        <v>0</v>
      </c>
      <c r="G8090">
        <v>0</v>
      </c>
    </row>
    <row r="8091" spans="1:7" x14ac:dyDescent="0.2">
      <c r="A8091" t="s">
        <v>1808</v>
      </c>
      <c r="B8091">
        <v>0</v>
      </c>
      <c r="C8091">
        <v>0</v>
      </c>
      <c r="D8091">
        <v>0</v>
      </c>
      <c r="E8091">
        <v>0</v>
      </c>
      <c r="F8091">
        <v>0</v>
      </c>
      <c r="G8091">
        <v>0</v>
      </c>
    </row>
    <row r="8092" spans="1:7" x14ac:dyDescent="0.2">
      <c r="A8092" t="s">
        <v>1813</v>
      </c>
      <c r="B8092">
        <v>0</v>
      </c>
      <c r="C8092">
        <v>0</v>
      </c>
      <c r="D8092">
        <v>0</v>
      </c>
      <c r="E8092">
        <v>0</v>
      </c>
      <c r="F8092">
        <v>0</v>
      </c>
      <c r="G8092">
        <v>0</v>
      </c>
    </row>
    <row r="8093" spans="1:7" x14ac:dyDescent="0.2">
      <c r="A8093" t="s">
        <v>1819</v>
      </c>
      <c r="B8093">
        <v>0</v>
      </c>
      <c r="C8093">
        <v>0</v>
      </c>
      <c r="D8093">
        <v>0</v>
      </c>
      <c r="E8093">
        <v>0</v>
      </c>
      <c r="F8093">
        <v>0</v>
      </c>
      <c r="G8093">
        <v>0</v>
      </c>
    </row>
    <row r="8094" spans="1:7" x14ac:dyDescent="0.2">
      <c r="A8094" t="s">
        <v>1826</v>
      </c>
      <c r="B8094">
        <v>0</v>
      </c>
      <c r="C8094">
        <v>0</v>
      </c>
      <c r="D8094">
        <v>0</v>
      </c>
      <c r="E8094">
        <v>0</v>
      </c>
      <c r="F8094">
        <v>0</v>
      </c>
      <c r="G8094">
        <v>0</v>
      </c>
    </row>
    <row r="8095" spans="1:7" x14ac:dyDescent="0.2">
      <c r="A8095" t="s">
        <v>1830</v>
      </c>
      <c r="B8095">
        <v>0</v>
      </c>
      <c r="C8095">
        <v>0</v>
      </c>
      <c r="D8095">
        <v>0</v>
      </c>
      <c r="E8095">
        <v>0</v>
      </c>
      <c r="F8095">
        <v>0</v>
      </c>
      <c r="G8095">
        <v>0</v>
      </c>
    </row>
    <row r="8096" spans="1:7" x14ac:dyDescent="0.2">
      <c r="A8096" t="s">
        <v>1836</v>
      </c>
      <c r="B8096">
        <v>0</v>
      </c>
      <c r="C8096">
        <v>0</v>
      </c>
      <c r="D8096">
        <v>0</v>
      </c>
      <c r="E8096">
        <v>0</v>
      </c>
      <c r="F8096">
        <v>0</v>
      </c>
      <c r="G8096">
        <v>0</v>
      </c>
    </row>
    <row r="8097" spans="1:7" x14ac:dyDescent="0.2">
      <c r="A8097" t="s">
        <v>1841</v>
      </c>
      <c r="B8097">
        <v>0</v>
      </c>
      <c r="C8097">
        <v>0</v>
      </c>
      <c r="D8097">
        <v>0</v>
      </c>
      <c r="E8097">
        <v>0</v>
      </c>
      <c r="F8097">
        <v>0</v>
      </c>
      <c r="G8097">
        <v>0</v>
      </c>
    </row>
    <row r="8098" spans="1:7" x14ac:dyDescent="0.2">
      <c r="A8098" t="s">
        <v>1842</v>
      </c>
      <c r="B8098">
        <v>0</v>
      </c>
      <c r="C8098">
        <v>0</v>
      </c>
      <c r="D8098">
        <v>3</v>
      </c>
      <c r="E8098">
        <v>0</v>
      </c>
      <c r="F8098">
        <v>0</v>
      </c>
      <c r="G8098">
        <v>3</v>
      </c>
    </row>
    <row r="8099" spans="1:7" x14ac:dyDescent="0.2">
      <c r="A8099" t="s">
        <v>1843</v>
      </c>
      <c r="B8099">
        <v>0</v>
      </c>
      <c r="C8099">
        <v>0</v>
      </c>
      <c r="D8099">
        <v>0</v>
      </c>
      <c r="E8099">
        <v>0</v>
      </c>
      <c r="F8099">
        <v>0</v>
      </c>
      <c r="G8099">
        <v>0</v>
      </c>
    </row>
    <row r="8100" spans="1:7" x14ac:dyDescent="0.2">
      <c r="A8100" t="s">
        <v>1846</v>
      </c>
      <c r="B8100">
        <v>0</v>
      </c>
      <c r="C8100">
        <v>0</v>
      </c>
      <c r="D8100">
        <v>0</v>
      </c>
      <c r="E8100">
        <v>0</v>
      </c>
      <c r="F8100">
        <v>0</v>
      </c>
      <c r="G8100">
        <v>0</v>
      </c>
    </row>
    <row r="8101" spans="1:7" x14ac:dyDescent="0.2">
      <c r="A8101" t="s">
        <v>1851</v>
      </c>
      <c r="B8101">
        <v>0</v>
      </c>
      <c r="C8101">
        <v>0</v>
      </c>
      <c r="D8101">
        <v>0</v>
      </c>
      <c r="E8101">
        <v>0</v>
      </c>
      <c r="F8101">
        <v>0</v>
      </c>
      <c r="G8101">
        <v>0</v>
      </c>
    </row>
    <row r="8102" spans="1:7" x14ac:dyDescent="0.2">
      <c r="A8102" t="s">
        <v>1857</v>
      </c>
      <c r="B8102">
        <v>0</v>
      </c>
      <c r="C8102">
        <v>0</v>
      </c>
      <c r="D8102">
        <v>0</v>
      </c>
      <c r="E8102">
        <v>0</v>
      </c>
      <c r="F8102">
        <v>0</v>
      </c>
      <c r="G8102">
        <v>0</v>
      </c>
    </row>
    <row r="8103" spans="1:7" x14ac:dyDescent="0.2">
      <c r="A8103" t="s">
        <v>1862</v>
      </c>
      <c r="B8103">
        <v>0</v>
      </c>
      <c r="C8103">
        <v>0</v>
      </c>
      <c r="D8103">
        <v>0</v>
      </c>
      <c r="E8103">
        <v>0</v>
      </c>
      <c r="F8103">
        <v>0</v>
      </c>
      <c r="G8103">
        <v>0</v>
      </c>
    </row>
    <row r="8104" spans="1:7" x14ac:dyDescent="0.2">
      <c r="A8104" t="s">
        <v>1867</v>
      </c>
      <c r="B8104">
        <v>0</v>
      </c>
      <c r="C8104">
        <v>0</v>
      </c>
      <c r="D8104">
        <v>0</v>
      </c>
      <c r="E8104">
        <v>0</v>
      </c>
      <c r="F8104">
        <v>0</v>
      </c>
      <c r="G8104">
        <v>0</v>
      </c>
    </row>
    <row r="8105" spans="1:7" x14ac:dyDescent="0.2">
      <c r="A8105" t="s">
        <v>1870</v>
      </c>
      <c r="B8105">
        <v>0</v>
      </c>
      <c r="C8105">
        <v>0</v>
      </c>
      <c r="D8105">
        <v>0</v>
      </c>
      <c r="E8105">
        <v>0</v>
      </c>
      <c r="F8105">
        <v>0</v>
      </c>
      <c r="G8105">
        <v>0</v>
      </c>
    </row>
    <row r="8106" spans="1:7" x14ac:dyDescent="0.2">
      <c r="A8106" t="s">
        <v>1874</v>
      </c>
      <c r="B8106">
        <v>0</v>
      </c>
      <c r="C8106">
        <v>0</v>
      </c>
      <c r="D8106">
        <v>0</v>
      </c>
      <c r="E8106">
        <v>0</v>
      </c>
      <c r="F8106">
        <v>0</v>
      </c>
      <c r="G8106">
        <v>0</v>
      </c>
    </row>
    <row r="8107" spans="1:7" x14ac:dyDescent="0.2">
      <c r="A8107" t="s">
        <v>1876</v>
      </c>
      <c r="B8107">
        <v>0</v>
      </c>
      <c r="C8107">
        <v>0</v>
      </c>
      <c r="D8107">
        <v>0</v>
      </c>
      <c r="E8107">
        <v>0</v>
      </c>
      <c r="F8107">
        <v>0</v>
      </c>
      <c r="G8107">
        <v>0</v>
      </c>
    </row>
    <row r="8108" spans="1:7" x14ac:dyDescent="0.2">
      <c r="A8108" t="s">
        <v>1881</v>
      </c>
      <c r="B8108">
        <v>0</v>
      </c>
      <c r="C8108">
        <v>0</v>
      </c>
      <c r="D8108">
        <v>0</v>
      </c>
      <c r="E8108">
        <v>0</v>
      </c>
      <c r="F8108">
        <v>0</v>
      </c>
      <c r="G8108">
        <v>0</v>
      </c>
    </row>
    <row r="8109" spans="1:7" x14ac:dyDescent="0.2">
      <c r="A8109" t="s">
        <v>1885</v>
      </c>
      <c r="B8109">
        <v>0</v>
      </c>
      <c r="C8109">
        <v>6</v>
      </c>
      <c r="D8109">
        <v>0</v>
      </c>
      <c r="E8109">
        <v>0</v>
      </c>
      <c r="F8109">
        <v>0</v>
      </c>
      <c r="G8109">
        <v>6</v>
      </c>
    </row>
    <row r="8110" spans="1:7" x14ac:dyDescent="0.2">
      <c r="A8110" t="s">
        <v>1887</v>
      </c>
      <c r="B8110">
        <v>0</v>
      </c>
      <c r="C8110">
        <v>0</v>
      </c>
      <c r="D8110">
        <v>0</v>
      </c>
      <c r="E8110">
        <v>0</v>
      </c>
      <c r="F8110">
        <v>0</v>
      </c>
      <c r="G8110">
        <v>0</v>
      </c>
    </row>
    <row r="8111" spans="1:7" x14ac:dyDescent="0.2">
      <c r="A8111" t="s">
        <v>1893</v>
      </c>
      <c r="B8111">
        <v>0</v>
      </c>
      <c r="C8111">
        <v>0</v>
      </c>
      <c r="D8111">
        <v>0</v>
      </c>
      <c r="E8111">
        <v>0</v>
      </c>
      <c r="F8111">
        <v>0</v>
      </c>
      <c r="G8111">
        <v>0</v>
      </c>
    </row>
    <row r="8112" spans="1:7" x14ac:dyDescent="0.2">
      <c r="A8112" t="s">
        <v>1899</v>
      </c>
      <c r="B8112">
        <v>0</v>
      </c>
      <c r="C8112">
        <v>0</v>
      </c>
      <c r="D8112">
        <v>0</v>
      </c>
      <c r="E8112">
        <v>0</v>
      </c>
      <c r="F8112">
        <v>0</v>
      </c>
      <c r="G8112">
        <v>0</v>
      </c>
    </row>
    <row r="8113" spans="1:7" x14ac:dyDescent="0.2">
      <c r="A8113" t="s">
        <v>1906</v>
      </c>
      <c r="B8113">
        <v>0</v>
      </c>
      <c r="C8113">
        <v>0</v>
      </c>
      <c r="D8113">
        <v>0</v>
      </c>
      <c r="E8113">
        <v>0</v>
      </c>
      <c r="F8113">
        <v>0</v>
      </c>
      <c r="G8113">
        <v>0</v>
      </c>
    </row>
    <row r="8114" spans="1:7" x14ac:dyDescent="0.2">
      <c r="A8114" t="s">
        <v>1911</v>
      </c>
      <c r="B8114">
        <v>0</v>
      </c>
      <c r="C8114">
        <v>0</v>
      </c>
      <c r="D8114">
        <v>0</v>
      </c>
      <c r="E8114">
        <v>0</v>
      </c>
      <c r="F8114">
        <v>0</v>
      </c>
      <c r="G8114">
        <v>0</v>
      </c>
    </row>
    <row r="8115" spans="1:7" x14ac:dyDescent="0.2">
      <c r="A8115" t="s">
        <v>1917</v>
      </c>
      <c r="B8115">
        <v>0</v>
      </c>
      <c r="C8115">
        <v>0</v>
      </c>
      <c r="D8115">
        <v>0</v>
      </c>
      <c r="E8115">
        <v>0</v>
      </c>
      <c r="F8115">
        <v>0</v>
      </c>
      <c r="G8115">
        <v>0</v>
      </c>
    </row>
    <row r="8116" spans="1:7" x14ac:dyDescent="0.2">
      <c r="A8116" t="s">
        <v>1922</v>
      </c>
      <c r="B8116">
        <v>0</v>
      </c>
      <c r="C8116">
        <v>0</v>
      </c>
      <c r="D8116">
        <v>0</v>
      </c>
      <c r="E8116">
        <v>0</v>
      </c>
      <c r="F8116">
        <v>0</v>
      </c>
      <c r="G8116">
        <v>0</v>
      </c>
    </row>
    <row r="8117" spans="1:7" x14ac:dyDescent="0.2">
      <c r="A8117" t="s">
        <v>1928</v>
      </c>
      <c r="B8117">
        <v>0</v>
      </c>
      <c r="C8117">
        <v>0</v>
      </c>
      <c r="D8117">
        <v>0</v>
      </c>
      <c r="E8117">
        <v>0</v>
      </c>
      <c r="F8117">
        <v>0</v>
      </c>
      <c r="G8117">
        <v>0</v>
      </c>
    </row>
    <row r="8118" spans="1:7" x14ac:dyDescent="0.2">
      <c r="A8118" t="s">
        <v>1932</v>
      </c>
      <c r="B8118">
        <v>0</v>
      </c>
      <c r="C8118">
        <v>0</v>
      </c>
      <c r="D8118">
        <v>0</v>
      </c>
      <c r="E8118">
        <v>0</v>
      </c>
      <c r="F8118">
        <v>0</v>
      </c>
      <c r="G8118">
        <v>0</v>
      </c>
    </row>
    <row r="8119" spans="1:7" x14ac:dyDescent="0.2">
      <c r="A8119" t="s">
        <v>1938</v>
      </c>
      <c r="B8119">
        <v>0</v>
      </c>
      <c r="C8119">
        <v>0</v>
      </c>
      <c r="D8119">
        <v>0</v>
      </c>
      <c r="E8119">
        <v>0</v>
      </c>
      <c r="F8119">
        <v>0</v>
      </c>
      <c r="G8119">
        <v>0</v>
      </c>
    </row>
    <row r="8120" spans="1:7" x14ac:dyDescent="0.2">
      <c r="A8120" t="s">
        <v>1944</v>
      </c>
      <c r="B8120">
        <v>0</v>
      </c>
      <c r="C8120">
        <v>0</v>
      </c>
      <c r="D8120">
        <v>0</v>
      </c>
      <c r="E8120">
        <v>0</v>
      </c>
      <c r="F8120">
        <v>0</v>
      </c>
      <c r="G8120">
        <v>0</v>
      </c>
    </row>
    <row r="8121" spans="1:7" x14ac:dyDescent="0.2">
      <c r="A8121" t="s">
        <v>1947</v>
      </c>
      <c r="B8121">
        <v>0</v>
      </c>
      <c r="C8121">
        <v>0</v>
      </c>
      <c r="D8121">
        <v>0</v>
      </c>
      <c r="E8121">
        <v>0</v>
      </c>
      <c r="F8121">
        <v>0</v>
      </c>
      <c r="G8121">
        <v>0</v>
      </c>
    </row>
    <row r="8122" spans="1:7" x14ac:dyDescent="0.2">
      <c r="A8122" t="s">
        <v>1953</v>
      </c>
      <c r="B8122">
        <v>0</v>
      </c>
      <c r="C8122">
        <v>0</v>
      </c>
      <c r="D8122">
        <v>0</v>
      </c>
      <c r="E8122">
        <v>0</v>
      </c>
      <c r="F8122">
        <v>0</v>
      </c>
      <c r="G8122">
        <v>0</v>
      </c>
    </row>
    <row r="8123" spans="1:7" x14ac:dyDescent="0.2">
      <c r="A8123" t="s">
        <v>1958</v>
      </c>
      <c r="B8123">
        <v>0</v>
      </c>
      <c r="C8123">
        <v>0</v>
      </c>
      <c r="D8123">
        <v>0</v>
      </c>
      <c r="E8123">
        <v>0</v>
      </c>
      <c r="F8123">
        <v>0</v>
      </c>
      <c r="G8123">
        <v>0</v>
      </c>
    </row>
    <row r="8124" spans="1:7" x14ac:dyDescent="0.2">
      <c r="A8124" t="s">
        <v>1964</v>
      </c>
      <c r="B8124">
        <v>0</v>
      </c>
      <c r="C8124">
        <v>0</v>
      </c>
      <c r="D8124">
        <v>0</v>
      </c>
      <c r="E8124">
        <v>0</v>
      </c>
      <c r="F8124">
        <v>0</v>
      </c>
      <c r="G8124">
        <v>0</v>
      </c>
    </row>
    <row r="8125" spans="1:7" x14ac:dyDescent="0.2">
      <c r="A8125" t="s">
        <v>1973</v>
      </c>
      <c r="B8125">
        <v>0</v>
      </c>
      <c r="C8125">
        <v>0</v>
      </c>
      <c r="D8125">
        <v>0</v>
      </c>
      <c r="E8125">
        <v>0</v>
      </c>
      <c r="F8125">
        <v>0</v>
      </c>
      <c r="G8125">
        <v>0</v>
      </c>
    </row>
    <row r="8126" spans="1:7" x14ac:dyDescent="0.2">
      <c r="A8126" t="s">
        <v>1978</v>
      </c>
      <c r="B8126">
        <v>0</v>
      </c>
      <c r="C8126">
        <v>0</v>
      </c>
      <c r="D8126">
        <v>0</v>
      </c>
      <c r="E8126">
        <v>0</v>
      </c>
      <c r="F8126">
        <v>0</v>
      </c>
      <c r="G8126">
        <v>0</v>
      </c>
    </row>
    <row r="8127" spans="1:7" x14ac:dyDescent="0.2">
      <c r="A8127" t="s">
        <v>1983</v>
      </c>
      <c r="B8127">
        <v>0</v>
      </c>
      <c r="C8127">
        <v>0</v>
      </c>
      <c r="D8127">
        <v>0</v>
      </c>
      <c r="E8127">
        <v>0</v>
      </c>
      <c r="F8127">
        <v>0</v>
      </c>
      <c r="G8127">
        <v>0</v>
      </c>
    </row>
    <row r="8128" spans="1:7" x14ac:dyDescent="0.2">
      <c r="A8128" t="s">
        <v>1984</v>
      </c>
      <c r="B8128">
        <v>0</v>
      </c>
      <c r="C8128">
        <v>0</v>
      </c>
      <c r="D8128">
        <v>0</v>
      </c>
      <c r="E8128">
        <v>0</v>
      </c>
      <c r="F8128">
        <v>0</v>
      </c>
      <c r="G8128">
        <v>0</v>
      </c>
    </row>
    <row r="8129" spans="1:7" x14ac:dyDescent="0.2">
      <c r="A8129" t="s">
        <v>1990</v>
      </c>
      <c r="B8129">
        <v>0</v>
      </c>
      <c r="C8129">
        <v>0</v>
      </c>
      <c r="D8129">
        <v>0</v>
      </c>
      <c r="E8129">
        <v>0</v>
      </c>
      <c r="F8129">
        <v>0</v>
      </c>
      <c r="G8129">
        <v>0</v>
      </c>
    </row>
    <row r="8130" spans="1:7" x14ac:dyDescent="0.2">
      <c r="A8130" t="s">
        <v>1996</v>
      </c>
      <c r="B8130">
        <v>0</v>
      </c>
      <c r="C8130">
        <v>0</v>
      </c>
      <c r="D8130">
        <v>0</v>
      </c>
      <c r="E8130">
        <v>0</v>
      </c>
      <c r="F8130">
        <v>0</v>
      </c>
      <c r="G8130">
        <v>0</v>
      </c>
    </row>
    <row r="8131" spans="1:7" x14ac:dyDescent="0.2">
      <c r="A8131" t="s">
        <v>1998</v>
      </c>
      <c r="B8131">
        <v>0</v>
      </c>
      <c r="C8131">
        <v>0</v>
      </c>
      <c r="D8131">
        <v>0</v>
      </c>
      <c r="E8131">
        <v>0</v>
      </c>
      <c r="F8131">
        <v>0</v>
      </c>
      <c r="G8131">
        <v>0</v>
      </c>
    </row>
    <row r="8132" spans="1:7" x14ac:dyDescent="0.2">
      <c r="A8132" t="s">
        <v>1999</v>
      </c>
      <c r="B8132">
        <v>0</v>
      </c>
      <c r="C8132">
        <v>0</v>
      </c>
      <c r="D8132">
        <v>0</v>
      </c>
      <c r="E8132">
        <v>0</v>
      </c>
      <c r="F8132">
        <v>0</v>
      </c>
      <c r="G8132">
        <v>0</v>
      </c>
    </row>
    <row r="8133" spans="1:7" x14ac:dyDescent="0.2">
      <c r="A8133" t="s">
        <v>2004</v>
      </c>
      <c r="B8133">
        <v>0</v>
      </c>
      <c r="C8133">
        <v>0</v>
      </c>
      <c r="D8133">
        <v>0</v>
      </c>
      <c r="E8133">
        <v>0</v>
      </c>
      <c r="F8133">
        <v>0</v>
      </c>
      <c r="G8133">
        <v>0</v>
      </c>
    </row>
    <row r="8134" spans="1:7" x14ac:dyDescent="0.2">
      <c r="A8134" t="s">
        <v>2009</v>
      </c>
      <c r="B8134">
        <v>0</v>
      </c>
      <c r="C8134">
        <v>0</v>
      </c>
      <c r="D8134">
        <v>0</v>
      </c>
      <c r="E8134">
        <v>0</v>
      </c>
      <c r="F8134">
        <v>0</v>
      </c>
      <c r="G8134">
        <v>0</v>
      </c>
    </row>
    <row r="8135" spans="1:7" x14ac:dyDescent="0.2">
      <c r="A8135" t="s">
        <v>2014</v>
      </c>
      <c r="B8135">
        <v>0</v>
      </c>
      <c r="C8135">
        <v>0</v>
      </c>
      <c r="D8135">
        <v>0</v>
      </c>
      <c r="E8135">
        <v>0</v>
      </c>
      <c r="F8135">
        <v>0</v>
      </c>
      <c r="G8135">
        <v>0</v>
      </c>
    </row>
    <row r="8136" spans="1:7" x14ac:dyDescent="0.2">
      <c r="A8136" t="s">
        <v>2019</v>
      </c>
      <c r="B8136">
        <v>0</v>
      </c>
      <c r="C8136">
        <v>0</v>
      </c>
      <c r="D8136">
        <v>0</v>
      </c>
      <c r="E8136">
        <v>0</v>
      </c>
      <c r="F8136">
        <v>0</v>
      </c>
      <c r="G8136">
        <v>0</v>
      </c>
    </row>
    <row r="8137" spans="1:7" x14ac:dyDescent="0.2">
      <c r="A8137" t="s">
        <v>2023</v>
      </c>
      <c r="B8137">
        <v>0</v>
      </c>
      <c r="C8137">
        <v>0</v>
      </c>
      <c r="D8137">
        <v>0</v>
      </c>
      <c r="E8137">
        <v>0</v>
      </c>
      <c r="F8137">
        <v>0</v>
      </c>
      <c r="G8137">
        <v>0</v>
      </c>
    </row>
    <row r="8138" spans="1:7" x14ac:dyDescent="0.2">
      <c r="A8138" t="s">
        <v>2026</v>
      </c>
      <c r="B8138">
        <v>0</v>
      </c>
      <c r="C8138">
        <v>0</v>
      </c>
      <c r="D8138">
        <v>0</v>
      </c>
      <c r="E8138">
        <v>0</v>
      </c>
      <c r="F8138">
        <v>0</v>
      </c>
      <c r="G8138">
        <v>0</v>
      </c>
    </row>
    <row r="8139" spans="1:7" x14ac:dyDescent="0.2">
      <c r="A8139" t="s">
        <v>2030</v>
      </c>
      <c r="B8139">
        <v>0</v>
      </c>
      <c r="C8139">
        <v>0</v>
      </c>
      <c r="D8139">
        <v>0</v>
      </c>
      <c r="E8139">
        <v>0</v>
      </c>
      <c r="F8139">
        <v>0</v>
      </c>
      <c r="G8139">
        <v>0</v>
      </c>
    </row>
    <row r="8140" spans="1:7" x14ac:dyDescent="0.2">
      <c r="A8140" t="s">
        <v>2035</v>
      </c>
      <c r="B8140">
        <v>0</v>
      </c>
      <c r="C8140">
        <v>0</v>
      </c>
      <c r="D8140">
        <v>0</v>
      </c>
      <c r="E8140">
        <v>0</v>
      </c>
      <c r="F8140">
        <v>0</v>
      </c>
      <c r="G8140">
        <v>0</v>
      </c>
    </row>
    <row r="8141" spans="1:7" x14ac:dyDescent="0.2">
      <c r="A8141" t="s">
        <v>2040</v>
      </c>
      <c r="B8141">
        <v>0</v>
      </c>
      <c r="C8141">
        <v>0</v>
      </c>
      <c r="D8141">
        <v>0</v>
      </c>
      <c r="E8141">
        <v>0</v>
      </c>
      <c r="F8141">
        <v>0</v>
      </c>
      <c r="G8141">
        <v>0</v>
      </c>
    </row>
    <row r="8142" spans="1:7" x14ac:dyDescent="0.2">
      <c r="A8142" t="s">
        <v>2045</v>
      </c>
      <c r="B8142">
        <v>0</v>
      </c>
      <c r="C8142">
        <v>0</v>
      </c>
      <c r="D8142">
        <v>0</v>
      </c>
      <c r="E8142">
        <v>0</v>
      </c>
      <c r="F8142">
        <v>0</v>
      </c>
      <c r="G8142">
        <v>0</v>
      </c>
    </row>
    <row r="8143" spans="1:7" x14ac:dyDescent="0.2">
      <c r="A8143" t="s">
        <v>2049</v>
      </c>
      <c r="B8143">
        <v>0</v>
      </c>
      <c r="C8143">
        <v>0</v>
      </c>
      <c r="D8143">
        <v>0</v>
      </c>
      <c r="E8143">
        <v>0</v>
      </c>
      <c r="F8143">
        <v>0</v>
      </c>
      <c r="G8143">
        <v>0</v>
      </c>
    </row>
    <row r="8144" spans="1:7" x14ac:dyDescent="0.2">
      <c r="A8144" t="s">
        <v>2051</v>
      </c>
      <c r="B8144">
        <v>0</v>
      </c>
      <c r="C8144">
        <v>0</v>
      </c>
      <c r="D8144">
        <v>0</v>
      </c>
      <c r="E8144">
        <v>0</v>
      </c>
      <c r="F8144">
        <v>0</v>
      </c>
      <c r="G8144">
        <v>0</v>
      </c>
    </row>
    <row r="8145" spans="1:7" x14ac:dyDescent="0.2">
      <c r="A8145" t="s">
        <v>2057</v>
      </c>
      <c r="B8145">
        <v>0</v>
      </c>
      <c r="C8145">
        <v>0</v>
      </c>
      <c r="D8145">
        <v>0</v>
      </c>
      <c r="E8145">
        <v>0</v>
      </c>
      <c r="F8145">
        <v>0</v>
      </c>
      <c r="G8145">
        <v>0</v>
      </c>
    </row>
    <row r="8146" spans="1:7" x14ac:dyDescent="0.2">
      <c r="A8146" t="s">
        <v>4344</v>
      </c>
      <c r="B8146">
        <v>0</v>
      </c>
      <c r="C8146">
        <v>0</v>
      </c>
      <c r="D8146">
        <v>0</v>
      </c>
      <c r="E8146">
        <v>0</v>
      </c>
      <c r="F8146">
        <v>0</v>
      </c>
      <c r="G8146">
        <v>0</v>
      </c>
    </row>
    <row r="8147" spans="1:7" x14ac:dyDescent="0.2">
      <c r="A8147" t="s">
        <v>4345</v>
      </c>
      <c r="B8147">
        <v>0</v>
      </c>
      <c r="C8147">
        <v>0</v>
      </c>
      <c r="D8147">
        <v>0</v>
      </c>
      <c r="E8147">
        <v>0</v>
      </c>
      <c r="F8147">
        <v>0</v>
      </c>
      <c r="G8147">
        <v>0</v>
      </c>
    </row>
    <row r="8148" spans="1:7" x14ac:dyDescent="0.2">
      <c r="A8148" t="s">
        <v>2074</v>
      </c>
      <c r="B8148">
        <v>0</v>
      </c>
      <c r="C8148">
        <v>0</v>
      </c>
      <c r="D8148">
        <v>0</v>
      </c>
      <c r="E8148">
        <v>0</v>
      </c>
      <c r="F8148">
        <v>0</v>
      </c>
      <c r="G8148">
        <v>0</v>
      </c>
    </row>
    <row r="8149" spans="1:7" x14ac:dyDescent="0.2">
      <c r="A8149" t="s">
        <v>2079</v>
      </c>
      <c r="B8149">
        <v>0</v>
      </c>
      <c r="C8149">
        <v>0</v>
      </c>
      <c r="D8149">
        <v>0</v>
      </c>
      <c r="E8149">
        <v>0</v>
      </c>
      <c r="F8149">
        <v>0</v>
      </c>
      <c r="G8149">
        <v>0</v>
      </c>
    </row>
    <row r="8150" spans="1:7" x14ac:dyDescent="0.2">
      <c r="A8150" t="s">
        <v>2085</v>
      </c>
      <c r="B8150">
        <v>0</v>
      </c>
      <c r="C8150">
        <v>0</v>
      </c>
      <c r="D8150">
        <v>0</v>
      </c>
      <c r="E8150">
        <v>0</v>
      </c>
      <c r="F8150">
        <v>0</v>
      </c>
      <c r="G8150">
        <v>0</v>
      </c>
    </row>
    <row r="8151" spans="1:7" x14ac:dyDescent="0.2">
      <c r="A8151" t="s">
        <v>2091</v>
      </c>
      <c r="B8151">
        <v>0</v>
      </c>
      <c r="C8151">
        <v>0</v>
      </c>
      <c r="D8151">
        <v>0</v>
      </c>
      <c r="E8151">
        <v>0</v>
      </c>
      <c r="F8151">
        <v>0</v>
      </c>
      <c r="G8151">
        <v>0</v>
      </c>
    </row>
    <row r="8152" spans="1:7" x14ac:dyDescent="0.2">
      <c r="A8152" t="s">
        <v>2097</v>
      </c>
      <c r="B8152">
        <v>0</v>
      </c>
      <c r="C8152">
        <v>0</v>
      </c>
      <c r="D8152">
        <v>0</v>
      </c>
      <c r="E8152">
        <v>0</v>
      </c>
      <c r="F8152">
        <v>0</v>
      </c>
      <c r="G8152">
        <v>0</v>
      </c>
    </row>
    <row r="8153" spans="1:7" x14ac:dyDescent="0.2">
      <c r="A8153" t="s">
        <v>2101</v>
      </c>
      <c r="B8153">
        <v>0</v>
      </c>
      <c r="C8153">
        <v>0</v>
      </c>
      <c r="D8153">
        <v>0</v>
      </c>
      <c r="E8153">
        <v>0</v>
      </c>
      <c r="F8153">
        <v>0</v>
      </c>
      <c r="G8153">
        <v>0</v>
      </c>
    </row>
    <row r="8154" spans="1:7" x14ac:dyDescent="0.2">
      <c r="A8154" t="s">
        <v>2104</v>
      </c>
      <c r="B8154">
        <v>0</v>
      </c>
      <c r="C8154">
        <v>0</v>
      </c>
      <c r="D8154">
        <v>0</v>
      </c>
      <c r="E8154">
        <v>0</v>
      </c>
      <c r="F8154">
        <v>0</v>
      </c>
      <c r="G8154">
        <v>0</v>
      </c>
    </row>
    <row r="8155" spans="1:7" x14ac:dyDescent="0.2">
      <c r="A8155" t="s">
        <v>2107</v>
      </c>
      <c r="B8155">
        <v>0</v>
      </c>
      <c r="C8155">
        <v>0</v>
      </c>
      <c r="D8155">
        <v>0</v>
      </c>
      <c r="E8155">
        <v>0</v>
      </c>
      <c r="F8155">
        <v>0</v>
      </c>
      <c r="G8155">
        <v>0</v>
      </c>
    </row>
    <row r="8156" spans="1:7" x14ac:dyDescent="0.2">
      <c r="A8156" t="s">
        <v>2110</v>
      </c>
      <c r="B8156">
        <v>0</v>
      </c>
      <c r="C8156">
        <v>0</v>
      </c>
      <c r="D8156">
        <v>0</v>
      </c>
      <c r="E8156">
        <v>0</v>
      </c>
      <c r="F8156">
        <v>0</v>
      </c>
      <c r="G8156">
        <v>0</v>
      </c>
    </row>
    <row r="8157" spans="1:7" x14ac:dyDescent="0.2">
      <c r="A8157" t="s">
        <v>2113</v>
      </c>
      <c r="B8157">
        <v>0</v>
      </c>
      <c r="C8157">
        <v>0</v>
      </c>
      <c r="D8157">
        <v>0</v>
      </c>
      <c r="E8157">
        <v>0</v>
      </c>
      <c r="F8157">
        <v>0</v>
      </c>
      <c r="G8157">
        <v>0</v>
      </c>
    </row>
    <row r="8158" spans="1:7" x14ac:dyDescent="0.2">
      <c r="A8158" t="s">
        <v>4346</v>
      </c>
      <c r="B8158">
        <v>0</v>
      </c>
      <c r="C8158">
        <v>0</v>
      </c>
      <c r="D8158">
        <v>0</v>
      </c>
      <c r="E8158">
        <v>0</v>
      </c>
      <c r="F8158">
        <v>0</v>
      </c>
      <c r="G8158">
        <v>0</v>
      </c>
    </row>
    <row r="8159" spans="1:7" x14ac:dyDescent="0.2">
      <c r="A8159" t="s">
        <v>4347</v>
      </c>
      <c r="B8159">
        <v>0</v>
      </c>
      <c r="C8159">
        <v>0</v>
      </c>
      <c r="D8159">
        <v>0</v>
      </c>
      <c r="E8159">
        <v>0</v>
      </c>
      <c r="F8159">
        <v>0</v>
      </c>
      <c r="G8159">
        <v>0</v>
      </c>
    </row>
    <row r="8160" spans="1:7" x14ac:dyDescent="0.2">
      <c r="A8160" t="s">
        <v>4348</v>
      </c>
      <c r="B8160">
        <v>0</v>
      </c>
      <c r="C8160">
        <v>0</v>
      </c>
      <c r="D8160">
        <v>0</v>
      </c>
      <c r="E8160">
        <v>0</v>
      </c>
      <c r="F8160">
        <v>0</v>
      </c>
      <c r="G8160">
        <v>0</v>
      </c>
    </row>
    <row r="8161" spans="1:7" x14ac:dyDescent="0.2">
      <c r="A8161" t="s">
        <v>4349</v>
      </c>
      <c r="B8161">
        <v>0</v>
      </c>
      <c r="C8161">
        <v>0</v>
      </c>
      <c r="D8161">
        <v>0</v>
      </c>
      <c r="E8161">
        <v>0</v>
      </c>
      <c r="F8161">
        <v>0</v>
      </c>
      <c r="G8161">
        <v>0</v>
      </c>
    </row>
    <row r="8162" spans="1:7" x14ac:dyDescent="0.2">
      <c r="A8162" t="s">
        <v>4350</v>
      </c>
      <c r="B8162">
        <v>0</v>
      </c>
      <c r="C8162">
        <v>0</v>
      </c>
      <c r="D8162">
        <v>1</v>
      </c>
      <c r="E8162">
        <v>0</v>
      </c>
      <c r="F8162">
        <v>0</v>
      </c>
      <c r="G8162">
        <v>1</v>
      </c>
    </row>
    <row r="8163" spans="1:7" x14ac:dyDescent="0.2">
      <c r="A8163" t="s">
        <v>4351</v>
      </c>
      <c r="B8163">
        <v>0</v>
      </c>
      <c r="C8163">
        <v>0</v>
      </c>
      <c r="D8163">
        <v>0</v>
      </c>
      <c r="E8163">
        <v>0</v>
      </c>
      <c r="F8163">
        <v>0</v>
      </c>
      <c r="G8163">
        <v>0</v>
      </c>
    </row>
    <row r="8164" spans="1:7" x14ac:dyDescent="0.2">
      <c r="A8164" t="s">
        <v>4352</v>
      </c>
      <c r="B8164">
        <v>0</v>
      </c>
      <c r="C8164">
        <v>0</v>
      </c>
      <c r="D8164">
        <v>0</v>
      </c>
      <c r="E8164">
        <v>0</v>
      </c>
      <c r="F8164">
        <v>0</v>
      </c>
      <c r="G8164">
        <v>0</v>
      </c>
    </row>
    <row r="8165" spans="1:7" x14ac:dyDescent="0.2">
      <c r="A8165" t="s">
        <v>4353</v>
      </c>
      <c r="B8165">
        <v>0</v>
      </c>
      <c r="C8165">
        <v>8</v>
      </c>
      <c r="D8165">
        <v>4</v>
      </c>
      <c r="E8165">
        <v>0</v>
      </c>
      <c r="F8165">
        <v>0</v>
      </c>
      <c r="G8165">
        <v>12</v>
      </c>
    </row>
    <row r="8166" spans="1:7" x14ac:dyDescent="0.2">
      <c r="A8166" t="s">
        <v>4354</v>
      </c>
      <c r="B8166">
        <v>2</v>
      </c>
      <c r="C8166">
        <v>8</v>
      </c>
      <c r="D8166">
        <v>4</v>
      </c>
      <c r="E8166">
        <v>0</v>
      </c>
      <c r="F8166">
        <v>0</v>
      </c>
      <c r="G8166">
        <v>13</v>
      </c>
    </row>
    <row r="8167" spans="1:7" x14ac:dyDescent="0.2">
      <c r="A8167" t="s">
        <v>4355</v>
      </c>
      <c r="B8167">
        <v>0</v>
      </c>
      <c r="C8167">
        <v>0</v>
      </c>
      <c r="D8167">
        <v>0</v>
      </c>
      <c r="E8167">
        <v>0</v>
      </c>
      <c r="F8167">
        <v>0</v>
      </c>
      <c r="G8167">
        <v>0</v>
      </c>
    </row>
    <row r="8168" spans="1:7" x14ac:dyDescent="0.2">
      <c r="A8168" t="s">
        <v>4356</v>
      </c>
      <c r="B8168">
        <v>0</v>
      </c>
      <c r="C8168">
        <v>0</v>
      </c>
      <c r="D8168">
        <v>0</v>
      </c>
      <c r="E8168">
        <v>0</v>
      </c>
      <c r="F8168">
        <v>0</v>
      </c>
      <c r="G8168">
        <v>0</v>
      </c>
    </row>
    <row r="8169" spans="1:7" x14ac:dyDescent="0.2">
      <c r="A8169" t="s">
        <v>4357</v>
      </c>
      <c r="B8169">
        <v>0</v>
      </c>
      <c r="C8169">
        <v>0</v>
      </c>
      <c r="D8169">
        <v>0</v>
      </c>
      <c r="E8169">
        <v>0</v>
      </c>
      <c r="F8169">
        <v>0</v>
      </c>
      <c r="G8169">
        <v>0</v>
      </c>
    </row>
    <row r="8170" spans="1:7" x14ac:dyDescent="0.2">
      <c r="A8170" t="s">
        <v>4358</v>
      </c>
      <c r="B8170">
        <v>0</v>
      </c>
      <c r="C8170">
        <v>0</v>
      </c>
      <c r="D8170">
        <v>0</v>
      </c>
      <c r="E8170">
        <v>0</v>
      </c>
      <c r="F8170">
        <v>0</v>
      </c>
      <c r="G8170">
        <v>0</v>
      </c>
    </row>
    <row r="8171" spans="1:7" x14ac:dyDescent="0.2">
      <c r="A8171" t="s">
        <v>4359</v>
      </c>
      <c r="B8171">
        <v>0</v>
      </c>
      <c r="C8171">
        <v>0</v>
      </c>
      <c r="D8171">
        <v>0</v>
      </c>
      <c r="E8171">
        <v>0</v>
      </c>
      <c r="F8171">
        <v>0</v>
      </c>
      <c r="G8171">
        <v>0</v>
      </c>
    </row>
    <row r="8172" spans="1:7" x14ac:dyDescent="0.2">
      <c r="A8172" t="s">
        <v>4360</v>
      </c>
      <c r="B8172">
        <v>0</v>
      </c>
      <c r="C8172">
        <v>0</v>
      </c>
      <c r="D8172">
        <v>0</v>
      </c>
      <c r="E8172">
        <v>0</v>
      </c>
      <c r="F8172">
        <v>0</v>
      </c>
      <c r="G8172">
        <v>0</v>
      </c>
    </row>
    <row r="8173" spans="1:7" x14ac:dyDescent="0.2">
      <c r="A8173" t="s">
        <v>4361</v>
      </c>
      <c r="B8173">
        <v>0</v>
      </c>
      <c r="C8173">
        <v>0</v>
      </c>
      <c r="D8173">
        <v>1</v>
      </c>
      <c r="E8173">
        <v>0</v>
      </c>
      <c r="F8173">
        <v>0</v>
      </c>
      <c r="G8173">
        <v>1</v>
      </c>
    </row>
    <row r="8174" spans="1:7" x14ac:dyDescent="0.2">
      <c r="A8174" t="s">
        <v>4362</v>
      </c>
      <c r="B8174">
        <v>0</v>
      </c>
      <c r="C8174">
        <v>0</v>
      </c>
      <c r="D8174">
        <v>0</v>
      </c>
      <c r="E8174">
        <v>0</v>
      </c>
      <c r="F8174">
        <v>0</v>
      </c>
      <c r="G8174">
        <v>0</v>
      </c>
    </row>
    <row r="8175" spans="1:7" x14ac:dyDescent="0.2">
      <c r="A8175" t="s">
        <v>4363</v>
      </c>
      <c r="B8175">
        <v>0</v>
      </c>
      <c r="C8175">
        <v>0</v>
      </c>
      <c r="D8175">
        <v>0</v>
      </c>
      <c r="E8175">
        <v>0</v>
      </c>
      <c r="F8175">
        <v>0</v>
      </c>
      <c r="G8175">
        <v>0</v>
      </c>
    </row>
    <row r="8176" spans="1:7" x14ac:dyDescent="0.2">
      <c r="A8176" t="s">
        <v>4364</v>
      </c>
      <c r="B8176">
        <v>0</v>
      </c>
      <c r="C8176">
        <v>0</v>
      </c>
      <c r="D8176">
        <v>0</v>
      </c>
      <c r="E8176">
        <v>0</v>
      </c>
      <c r="F8176">
        <v>0</v>
      </c>
      <c r="G8176">
        <v>0</v>
      </c>
    </row>
    <row r="8177" spans="1:10" x14ac:dyDescent="0.2">
      <c r="A8177" t="s">
        <v>4365</v>
      </c>
      <c r="B8177">
        <v>0</v>
      </c>
      <c r="C8177">
        <v>2</v>
      </c>
      <c r="D8177">
        <v>0</v>
      </c>
      <c r="E8177">
        <v>0</v>
      </c>
      <c r="F8177">
        <v>0</v>
      </c>
      <c r="G8177">
        <v>2</v>
      </c>
    </row>
    <row r="8178" spans="1:10" x14ac:dyDescent="0.2">
      <c r="A8178" t="s">
        <v>4366</v>
      </c>
      <c r="B8178">
        <v>0</v>
      </c>
      <c r="C8178">
        <v>0</v>
      </c>
      <c r="D8178">
        <v>0</v>
      </c>
      <c r="E8178">
        <v>0</v>
      </c>
      <c r="F8178">
        <v>0</v>
      </c>
      <c r="G8178">
        <v>0</v>
      </c>
    </row>
    <row r="8179" spans="1:10" x14ac:dyDescent="0.2">
      <c r="A8179" t="s">
        <v>4367</v>
      </c>
      <c r="B8179">
        <v>0</v>
      </c>
      <c r="C8179">
        <v>0</v>
      </c>
      <c r="D8179">
        <v>0</v>
      </c>
      <c r="E8179">
        <v>0</v>
      </c>
      <c r="F8179">
        <v>0</v>
      </c>
      <c r="G8179">
        <v>0</v>
      </c>
    </row>
    <row r="8180" spans="1:10" x14ac:dyDescent="0.2">
      <c r="A8180" t="s">
        <v>4368</v>
      </c>
      <c r="B8180">
        <v>1</v>
      </c>
      <c r="C8180">
        <v>1</v>
      </c>
      <c r="D8180">
        <v>2</v>
      </c>
      <c r="E8180">
        <v>3</v>
      </c>
      <c r="F8180">
        <v>0</v>
      </c>
      <c r="G8180">
        <v>7</v>
      </c>
    </row>
    <row r="8181" spans="1:10" x14ac:dyDescent="0.2">
      <c r="A8181" t="s">
        <v>4369</v>
      </c>
      <c r="B8181">
        <v>0</v>
      </c>
      <c r="C8181">
        <v>0</v>
      </c>
      <c r="D8181">
        <v>28</v>
      </c>
      <c r="E8181">
        <v>0</v>
      </c>
      <c r="F8181">
        <v>0</v>
      </c>
      <c r="G8181">
        <v>28</v>
      </c>
    </row>
    <row r="8182" spans="1:10" x14ac:dyDescent="0.2">
      <c r="A8182" t="s">
        <v>4370</v>
      </c>
      <c r="B8182">
        <v>0</v>
      </c>
      <c r="C8182">
        <v>0</v>
      </c>
      <c r="D8182">
        <v>0</v>
      </c>
      <c r="E8182">
        <v>0</v>
      </c>
      <c r="F8182">
        <v>0</v>
      </c>
      <c r="G8182">
        <v>0</v>
      </c>
    </row>
    <row r="8183" spans="1:10" x14ac:dyDescent="0.2">
      <c r="A8183" t="s">
        <v>4371</v>
      </c>
      <c r="B8183">
        <v>0</v>
      </c>
      <c r="C8183">
        <v>0</v>
      </c>
      <c r="D8183">
        <v>0</v>
      </c>
      <c r="E8183">
        <v>0</v>
      </c>
      <c r="F8183">
        <v>0</v>
      </c>
      <c r="G8183">
        <v>0</v>
      </c>
    </row>
    <row r="8184" spans="1:10" x14ac:dyDescent="0.2">
      <c r="A8184" t="s">
        <v>4372</v>
      </c>
      <c r="B8184">
        <v>0</v>
      </c>
      <c r="C8184">
        <v>0</v>
      </c>
      <c r="D8184">
        <v>0</v>
      </c>
      <c r="E8184">
        <v>0</v>
      </c>
      <c r="F8184">
        <v>0</v>
      </c>
      <c r="G8184">
        <v>0</v>
      </c>
    </row>
    <row r="8185" spans="1:10" x14ac:dyDescent="0.2">
      <c r="A8185" t="s">
        <v>4373</v>
      </c>
      <c r="B8185">
        <v>0</v>
      </c>
      <c r="C8185">
        <v>0</v>
      </c>
      <c r="D8185">
        <v>0</v>
      </c>
      <c r="E8185">
        <v>0</v>
      </c>
      <c r="F8185">
        <v>0</v>
      </c>
      <c r="G8185">
        <v>0</v>
      </c>
    </row>
    <row r="8186" spans="1:10" x14ac:dyDescent="0.2">
      <c r="A8186" t="s">
        <v>4374</v>
      </c>
      <c r="B8186">
        <v>0</v>
      </c>
      <c r="C8186">
        <v>0</v>
      </c>
      <c r="D8186">
        <v>0</v>
      </c>
      <c r="E8186">
        <v>0</v>
      </c>
      <c r="F8186">
        <v>0</v>
      </c>
      <c r="G8186">
        <v>0</v>
      </c>
    </row>
    <row r="8187" spans="1:10" x14ac:dyDescent="0.2">
      <c r="A8187" t="s">
        <v>4375</v>
      </c>
      <c r="B8187">
        <v>0</v>
      </c>
      <c r="C8187">
        <v>0</v>
      </c>
      <c r="D8187">
        <v>0</v>
      </c>
      <c r="E8187">
        <v>0</v>
      </c>
      <c r="F8187">
        <v>0</v>
      </c>
      <c r="G8187">
        <v>0</v>
      </c>
    </row>
    <row r="8188" spans="1:10" x14ac:dyDescent="0.2">
      <c r="A8188" t="s">
        <v>4376</v>
      </c>
      <c r="B8188">
        <v>0</v>
      </c>
      <c r="C8188">
        <v>0</v>
      </c>
      <c r="D8188">
        <v>0</v>
      </c>
      <c r="E8188">
        <v>0</v>
      </c>
      <c r="F8188">
        <v>0</v>
      </c>
      <c r="G8188">
        <v>0</v>
      </c>
    </row>
    <row r="8189" spans="1:10" x14ac:dyDescent="0.2">
      <c r="A8189" t="s">
        <v>4377</v>
      </c>
      <c r="B8189">
        <v>0</v>
      </c>
      <c r="C8189">
        <v>0</v>
      </c>
      <c r="D8189">
        <v>0</v>
      </c>
      <c r="E8189">
        <v>0</v>
      </c>
      <c r="F8189">
        <v>0</v>
      </c>
      <c r="G8189">
        <v>0</v>
      </c>
    </row>
    <row r="8190" spans="1:10" x14ac:dyDescent="0.2">
      <c r="A8190" t="s">
        <v>2318</v>
      </c>
      <c r="B8190" t="s">
        <v>2319</v>
      </c>
      <c r="C8190" t="s">
        <v>2319</v>
      </c>
      <c r="D8190" t="s">
        <v>2319</v>
      </c>
      <c r="E8190" t="s">
        <v>2319</v>
      </c>
      <c r="F8190" t="s">
        <v>2319</v>
      </c>
      <c r="G8190" t="s">
        <v>2319</v>
      </c>
    </row>
    <row r="8191" spans="1:10" x14ac:dyDescent="0.2">
      <c r="A8191" t="s">
        <v>4248</v>
      </c>
    </row>
    <row r="8192" spans="1:10" x14ac:dyDescent="0.2">
      <c r="A8192" t="s">
        <v>4250</v>
      </c>
      <c r="C8192" t="s">
        <v>4251</v>
      </c>
      <c r="G8192" t="s">
        <v>7531</v>
      </c>
      <c r="J8192"/>
    </row>
    <row r="8193" spans="1:10" x14ac:dyDescent="0.2">
      <c r="A8193" t="s">
        <v>4925</v>
      </c>
      <c r="G8193" t="s">
        <v>7542</v>
      </c>
      <c r="J8193"/>
    </row>
    <row r="8194" spans="1:10" x14ac:dyDescent="0.2">
      <c r="A8194" t="s">
        <v>7530</v>
      </c>
      <c r="J8194"/>
    </row>
    <row r="8195" spans="1:10" x14ac:dyDescent="0.2">
      <c r="A8195" t="s">
        <v>5042</v>
      </c>
      <c r="J8195"/>
    </row>
    <row r="8196" spans="1:10" x14ac:dyDescent="0.2">
      <c r="J8196"/>
    </row>
    <row r="8197" spans="1:10" x14ac:dyDescent="0.2">
      <c r="A8197" t="s">
        <v>4259</v>
      </c>
      <c r="J8197"/>
    </row>
    <row r="8198" spans="1:10" x14ac:dyDescent="0.2">
      <c r="A8198" t="s">
        <v>2318</v>
      </c>
      <c r="B8198" t="s">
        <v>2319</v>
      </c>
      <c r="C8198" t="s">
        <v>2319</v>
      </c>
      <c r="D8198" t="s">
        <v>2319</v>
      </c>
      <c r="E8198" t="s">
        <v>2319</v>
      </c>
      <c r="F8198" t="s">
        <v>2319</v>
      </c>
      <c r="G8198" t="s">
        <v>2319</v>
      </c>
    </row>
    <row r="8199" spans="1:10" x14ac:dyDescent="0.2">
      <c r="A8199" t="s">
        <v>174</v>
      </c>
      <c r="B8199" t="s">
        <v>4945</v>
      </c>
      <c r="C8199" t="s">
        <v>4946</v>
      </c>
      <c r="D8199" t="s">
        <v>4947</v>
      </c>
      <c r="E8199" t="s">
        <v>4948</v>
      </c>
      <c r="F8199" t="s">
        <v>4949</v>
      </c>
    </row>
    <row r="8200" spans="1:10" x14ac:dyDescent="0.2">
      <c r="A8200" t="s">
        <v>126</v>
      </c>
      <c r="B8200" t="s">
        <v>4262</v>
      </c>
      <c r="C8200" t="s">
        <v>4263</v>
      </c>
      <c r="D8200" t="s">
        <v>4264</v>
      </c>
      <c r="E8200" t="s">
        <v>2308</v>
      </c>
      <c r="F8200" t="s">
        <v>615</v>
      </c>
      <c r="G8200" t="s">
        <v>236</v>
      </c>
    </row>
    <row r="8201" spans="1:10" x14ac:dyDescent="0.2">
      <c r="A8201" t="s">
        <v>2318</v>
      </c>
      <c r="B8201" t="s">
        <v>2319</v>
      </c>
      <c r="C8201" t="s">
        <v>2319</v>
      </c>
      <c r="D8201" t="s">
        <v>2319</v>
      </c>
      <c r="E8201" t="s">
        <v>2319</v>
      </c>
      <c r="F8201" t="s">
        <v>2319</v>
      </c>
      <c r="G8201" t="s">
        <v>2319</v>
      </c>
    </row>
    <row r="8202" spans="1:10" x14ac:dyDescent="0.2">
      <c r="A8202" t="s">
        <v>4265</v>
      </c>
      <c r="B8202">
        <v>0</v>
      </c>
      <c r="C8202">
        <v>0</v>
      </c>
      <c r="D8202">
        <v>0</v>
      </c>
      <c r="E8202">
        <v>0</v>
      </c>
      <c r="F8202">
        <v>0</v>
      </c>
      <c r="G8202">
        <v>0</v>
      </c>
    </row>
    <row r="8203" spans="1:10" x14ac:dyDescent="0.2">
      <c r="A8203" t="s">
        <v>4266</v>
      </c>
      <c r="B8203">
        <v>0</v>
      </c>
      <c r="C8203">
        <v>0</v>
      </c>
      <c r="D8203">
        <v>0</v>
      </c>
      <c r="E8203">
        <v>0</v>
      </c>
      <c r="F8203">
        <v>0</v>
      </c>
      <c r="G8203">
        <v>0</v>
      </c>
    </row>
    <row r="8204" spans="1:10" x14ac:dyDescent="0.2">
      <c r="A8204" t="s">
        <v>4267</v>
      </c>
      <c r="B8204">
        <v>322</v>
      </c>
      <c r="C8204">
        <v>63</v>
      </c>
      <c r="D8204">
        <v>38</v>
      </c>
      <c r="E8204">
        <v>0</v>
      </c>
      <c r="F8204">
        <v>0</v>
      </c>
      <c r="G8204">
        <v>424</v>
      </c>
    </row>
    <row r="8205" spans="1:10" x14ac:dyDescent="0.2">
      <c r="A8205" t="s">
        <v>4268</v>
      </c>
      <c r="B8205">
        <v>0</v>
      </c>
      <c r="C8205">
        <v>184</v>
      </c>
      <c r="D8205">
        <v>43</v>
      </c>
      <c r="E8205">
        <v>0</v>
      </c>
      <c r="F8205">
        <v>0</v>
      </c>
      <c r="G8205">
        <v>227</v>
      </c>
    </row>
    <row r="8206" spans="1:10" x14ac:dyDescent="0.2">
      <c r="A8206" t="s">
        <v>4269</v>
      </c>
      <c r="B8206">
        <v>288</v>
      </c>
      <c r="C8206">
        <v>0</v>
      </c>
      <c r="D8206">
        <v>92</v>
      </c>
      <c r="E8206">
        <v>1</v>
      </c>
      <c r="F8206">
        <v>0</v>
      </c>
      <c r="G8206">
        <v>381</v>
      </c>
    </row>
    <row r="8207" spans="1:10" x14ac:dyDescent="0.2">
      <c r="A8207" t="s">
        <v>4270</v>
      </c>
      <c r="B8207">
        <v>0</v>
      </c>
      <c r="C8207">
        <v>0</v>
      </c>
      <c r="D8207">
        <v>0</v>
      </c>
      <c r="E8207">
        <v>0</v>
      </c>
      <c r="F8207">
        <v>0</v>
      </c>
      <c r="G8207">
        <v>0</v>
      </c>
    </row>
    <row r="8208" spans="1:10" x14ac:dyDescent="0.2">
      <c r="A8208" t="s">
        <v>4271</v>
      </c>
      <c r="B8208">
        <v>93</v>
      </c>
      <c r="C8208">
        <v>110</v>
      </c>
      <c r="D8208">
        <v>15</v>
      </c>
      <c r="E8208">
        <v>9</v>
      </c>
      <c r="F8208">
        <v>0</v>
      </c>
      <c r="G8208">
        <v>227</v>
      </c>
    </row>
    <row r="8209" spans="1:7" x14ac:dyDescent="0.2">
      <c r="A8209" t="s">
        <v>4272</v>
      </c>
      <c r="B8209">
        <v>223</v>
      </c>
      <c r="C8209">
        <v>42</v>
      </c>
      <c r="D8209">
        <v>14</v>
      </c>
      <c r="E8209">
        <v>23</v>
      </c>
      <c r="F8209">
        <v>0</v>
      </c>
      <c r="G8209">
        <v>302</v>
      </c>
    </row>
    <row r="8210" spans="1:7" x14ac:dyDescent="0.2">
      <c r="A8210" t="s">
        <v>4273</v>
      </c>
      <c r="B8210">
        <v>0</v>
      </c>
      <c r="C8210">
        <v>0</v>
      </c>
      <c r="D8210">
        <v>0</v>
      </c>
      <c r="E8210">
        <v>0</v>
      </c>
      <c r="F8210">
        <v>0</v>
      </c>
      <c r="G8210">
        <v>0</v>
      </c>
    </row>
    <row r="8211" spans="1:7" x14ac:dyDescent="0.2">
      <c r="A8211" t="s">
        <v>4274</v>
      </c>
      <c r="B8211">
        <v>0</v>
      </c>
      <c r="C8211">
        <v>0</v>
      </c>
      <c r="D8211">
        <v>0</v>
      </c>
      <c r="E8211">
        <v>0</v>
      </c>
      <c r="F8211">
        <v>0</v>
      </c>
      <c r="G8211">
        <v>0</v>
      </c>
    </row>
    <row r="8212" spans="1:7" x14ac:dyDescent="0.2">
      <c r="A8212" t="s">
        <v>4275</v>
      </c>
      <c r="B8212">
        <v>0</v>
      </c>
      <c r="C8212">
        <v>0</v>
      </c>
      <c r="D8212">
        <v>0</v>
      </c>
      <c r="E8212">
        <v>0</v>
      </c>
      <c r="F8212">
        <v>4093</v>
      </c>
      <c r="G8212">
        <v>4093</v>
      </c>
    </row>
    <row r="8213" spans="1:7" x14ac:dyDescent="0.2">
      <c r="A8213" t="s">
        <v>4276</v>
      </c>
      <c r="B8213">
        <v>0</v>
      </c>
      <c r="C8213">
        <v>0</v>
      </c>
      <c r="D8213">
        <v>0</v>
      </c>
      <c r="E8213">
        <v>0</v>
      </c>
      <c r="F8213">
        <v>2375</v>
      </c>
      <c r="G8213">
        <v>2375</v>
      </c>
    </row>
    <row r="8214" spans="1:7" x14ac:dyDescent="0.2">
      <c r="A8214" t="s">
        <v>4277</v>
      </c>
      <c r="B8214">
        <v>0</v>
      </c>
      <c r="C8214">
        <v>0</v>
      </c>
      <c r="D8214">
        <v>0</v>
      </c>
      <c r="E8214">
        <v>0</v>
      </c>
      <c r="F8214">
        <v>1137</v>
      </c>
      <c r="G8214">
        <v>1137</v>
      </c>
    </row>
    <row r="8215" spans="1:7" x14ac:dyDescent="0.2">
      <c r="A8215" t="s">
        <v>4278</v>
      </c>
      <c r="B8215">
        <v>0</v>
      </c>
      <c r="C8215">
        <v>0</v>
      </c>
      <c r="D8215">
        <v>0</v>
      </c>
      <c r="E8215">
        <v>0</v>
      </c>
      <c r="F8215">
        <v>0</v>
      </c>
      <c r="G8215">
        <v>0</v>
      </c>
    </row>
    <row r="8216" spans="1:7" x14ac:dyDescent="0.2">
      <c r="A8216" t="s">
        <v>4279</v>
      </c>
      <c r="B8216">
        <v>141</v>
      </c>
      <c r="C8216">
        <v>116</v>
      </c>
      <c r="D8216">
        <v>126</v>
      </c>
      <c r="E8216">
        <v>0</v>
      </c>
      <c r="F8216">
        <v>0</v>
      </c>
      <c r="G8216">
        <v>382</v>
      </c>
    </row>
    <row r="8217" spans="1:7" x14ac:dyDescent="0.2">
      <c r="A8217" t="s">
        <v>4280</v>
      </c>
      <c r="B8217">
        <v>13</v>
      </c>
      <c r="C8217">
        <v>27</v>
      </c>
      <c r="D8217">
        <v>1</v>
      </c>
      <c r="E8217">
        <v>0</v>
      </c>
      <c r="F8217">
        <v>0</v>
      </c>
      <c r="G8217">
        <v>41</v>
      </c>
    </row>
    <row r="8218" spans="1:7" x14ac:dyDescent="0.2">
      <c r="A8218" t="s">
        <v>4281</v>
      </c>
      <c r="B8218">
        <v>584</v>
      </c>
      <c r="C8218">
        <v>1059</v>
      </c>
      <c r="D8218">
        <v>2153</v>
      </c>
      <c r="E8218">
        <v>4303</v>
      </c>
      <c r="F8218">
        <v>0</v>
      </c>
      <c r="G8218">
        <v>8099</v>
      </c>
    </row>
    <row r="8219" spans="1:7" x14ac:dyDescent="0.2">
      <c r="A8219" t="s">
        <v>4282</v>
      </c>
      <c r="B8219">
        <v>400</v>
      </c>
      <c r="C8219">
        <v>383</v>
      </c>
      <c r="D8219">
        <v>667</v>
      </c>
      <c r="E8219">
        <v>33</v>
      </c>
      <c r="F8219">
        <v>0</v>
      </c>
      <c r="G8219">
        <v>1483</v>
      </c>
    </row>
    <row r="8220" spans="1:7" x14ac:dyDescent="0.2">
      <c r="A8220" t="s">
        <v>4283</v>
      </c>
      <c r="B8220">
        <v>678</v>
      </c>
      <c r="C8220">
        <v>925</v>
      </c>
      <c r="D8220">
        <v>1189</v>
      </c>
      <c r="E8220">
        <v>3032</v>
      </c>
      <c r="F8220">
        <v>0</v>
      </c>
      <c r="G8220">
        <v>5825</v>
      </c>
    </row>
    <row r="8221" spans="1:7" x14ac:dyDescent="0.2">
      <c r="A8221" t="s">
        <v>4284</v>
      </c>
      <c r="B8221">
        <v>102</v>
      </c>
      <c r="C8221">
        <v>0</v>
      </c>
      <c r="D8221">
        <v>194</v>
      </c>
      <c r="E8221">
        <v>43</v>
      </c>
      <c r="F8221">
        <v>0</v>
      </c>
      <c r="G8221">
        <v>339</v>
      </c>
    </row>
    <row r="8222" spans="1:7" x14ac:dyDescent="0.2">
      <c r="A8222" t="s">
        <v>4285</v>
      </c>
      <c r="B8222">
        <v>199</v>
      </c>
      <c r="C8222">
        <v>401</v>
      </c>
      <c r="D8222">
        <v>678</v>
      </c>
      <c r="E8222">
        <v>1875</v>
      </c>
      <c r="F8222">
        <v>0</v>
      </c>
      <c r="G8222">
        <v>3153</v>
      </c>
    </row>
    <row r="8223" spans="1:7" x14ac:dyDescent="0.2">
      <c r="A8223" t="s">
        <v>4286</v>
      </c>
      <c r="B8223">
        <v>73</v>
      </c>
      <c r="C8223">
        <v>13</v>
      </c>
      <c r="D8223">
        <v>27</v>
      </c>
      <c r="E8223">
        <v>12</v>
      </c>
      <c r="F8223">
        <v>0</v>
      </c>
      <c r="G8223">
        <v>125</v>
      </c>
    </row>
    <row r="8224" spans="1:7" x14ac:dyDescent="0.2">
      <c r="A8224" t="s">
        <v>4287</v>
      </c>
      <c r="B8224">
        <v>0</v>
      </c>
      <c r="C8224">
        <v>0</v>
      </c>
      <c r="D8224">
        <v>0</v>
      </c>
      <c r="E8224">
        <v>285</v>
      </c>
      <c r="F8224">
        <v>0</v>
      </c>
      <c r="G8224">
        <v>285</v>
      </c>
    </row>
    <row r="8225" spans="1:7" x14ac:dyDescent="0.2">
      <c r="A8225" t="s">
        <v>4288</v>
      </c>
      <c r="B8225">
        <v>0</v>
      </c>
      <c r="C8225">
        <v>0</v>
      </c>
      <c r="D8225">
        <v>0</v>
      </c>
      <c r="E8225">
        <v>0</v>
      </c>
      <c r="F8225">
        <v>0</v>
      </c>
      <c r="G8225">
        <v>0</v>
      </c>
    </row>
    <row r="8226" spans="1:7" x14ac:dyDescent="0.2">
      <c r="A8226" t="s">
        <v>4289</v>
      </c>
      <c r="B8226">
        <v>0</v>
      </c>
      <c r="C8226">
        <v>0</v>
      </c>
      <c r="D8226">
        <v>0</v>
      </c>
      <c r="E8226">
        <v>0</v>
      </c>
      <c r="F8226">
        <v>0</v>
      </c>
      <c r="G8226">
        <v>0</v>
      </c>
    </row>
    <row r="8227" spans="1:7" x14ac:dyDescent="0.2">
      <c r="A8227" t="s">
        <v>4290</v>
      </c>
      <c r="B8227">
        <v>0</v>
      </c>
      <c r="C8227">
        <v>0</v>
      </c>
      <c r="D8227">
        <v>0</v>
      </c>
      <c r="E8227">
        <v>0</v>
      </c>
      <c r="F8227">
        <v>0</v>
      </c>
      <c r="G8227">
        <v>0</v>
      </c>
    </row>
    <row r="8228" spans="1:7" x14ac:dyDescent="0.2">
      <c r="A8228" t="s">
        <v>4291</v>
      </c>
      <c r="B8228">
        <v>0</v>
      </c>
      <c r="C8228">
        <v>0</v>
      </c>
      <c r="D8228">
        <v>0</v>
      </c>
      <c r="E8228">
        <v>0</v>
      </c>
      <c r="F8228">
        <v>0</v>
      </c>
      <c r="G8228">
        <v>0</v>
      </c>
    </row>
    <row r="8229" spans="1:7" x14ac:dyDescent="0.2">
      <c r="A8229" t="s">
        <v>4292</v>
      </c>
      <c r="B8229">
        <v>0</v>
      </c>
      <c r="C8229">
        <v>0</v>
      </c>
      <c r="D8229">
        <v>0</v>
      </c>
      <c r="E8229">
        <v>0</v>
      </c>
      <c r="F8229">
        <v>0</v>
      </c>
      <c r="G8229">
        <v>0</v>
      </c>
    </row>
    <row r="8230" spans="1:7" x14ac:dyDescent="0.2">
      <c r="A8230" t="s">
        <v>4293</v>
      </c>
      <c r="B8230">
        <v>0</v>
      </c>
      <c r="C8230">
        <v>0</v>
      </c>
      <c r="D8230">
        <v>0</v>
      </c>
      <c r="E8230">
        <v>0</v>
      </c>
      <c r="F8230">
        <v>0</v>
      </c>
      <c r="G8230">
        <v>0</v>
      </c>
    </row>
    <row r="8231" spans="1:7" x14ac:dyDescent="0.2">
      <c r="A8231" t="s">
        <v>4294</v>
      </c>
      <c r="B8231">
        <v>0</v>
      </c>
      <c r="C8231">
        <v>0</v>
      </c>
      <c r="D8231">
        <v>0</v>
      </c>
      <c r="E8231">
        <v>0</v>
      </c>
      <c r="F8231">
        <v>0</v>
      </c>
      <c r="G8231">
        <v>0</v>
      </c>
    </row>
    <row r="8232" spans="1:7" x14ac:dyDescent="0.2">
      <c r="A8232" t="s">
        <v>4295</v>
      </c>
      <c r="B8232">
        <v>0</v>
      </c>
      <c r="C8232">
        <v>0</v>
      </c>
      <c r="D8232">
        <v>0</v>
      </c>
      <c r="E8232">
        <v>0</v>
      </c>
      <c r="F8232">
        <v>0</v>
      </c>
      <c r="G8232">
        <v>0</v>
      </c>
    </row>
    <row r="8233" spans="1:7" x14ac:dyDescent="0.2">
      <c r="A8233" t="s">
        <v>4296</v>
      </c>
      <c r="B8233">
        <v>0</v>
      </c>
      <c r="C8233">
        <v>0</v>
      </c>
      <c r="D8233">
        <v>0</v>
      </c>
      <c r="E8233">
        <v>0</v>
      </c>
      <c r="F8233">
        <v>0</v>
      </c>
      <c r="G8233">
        <v>0</v>
      </c>
    </row>
    <row r="8234" spans="1:7" x14ac:dyDescent="0.2">
      <c r="A8234" t="s">
        <v>4297</v>
      </c>
      <c r="B8234">
        <v>22</v>
      </c>
      <c r="C8234">
        <v>214</v>
      </c>
      <c r="D8234">
        <v>705</v>
      </c>
      <c r="E8234">
        <v>180</v>
      </c>
      <c r="F8234">
        <v>0</v>
      </c>
      <c r="G8234">
        <v>1122</v>
      </c>
    </row>
    <row r="8235" spans="1:7" x14ac:dyDescent="0.2">
      <c r="A8235" t="s">
        <v>4298</v>
      </c>
      <c r="B8235">
        <v>50</v>
      </c>
      <c r="C8235">
        <v>70</v>
      </c>
      <c r="D8235">
        <v>133</v>
      </c>
      <c r="E8235">
        <v>117</v>
      </c>
      <c r="F8235">
        <v>0</v>
      </c>
      <c r="G8235">
        <v>370</v>
      </c>
    </row>
    <row r="8236" spans="1:7" x14ac:dyDescent="0.2">
      <c r="A8236" t="s">
        <v>4299</v>
      </c>
      <c r="B8236">
        <v>59</v>
      </c>
      <c r="C8236">
        <v>32</v>
      </c>
      <c r="D8236">
        <v>61</v>
      </c>
      <c r="E8236">
        <v>90</v>
      </c>
      <c r="F8236">
        <v>0</v>
      </c>
      <c r="G8236">
        <v>243</v>
      </c>
    </row>
    <row r="8237" spans="1:7" x14ac:dyDescent="0.2">
      <c r="A8237" t="s">
        <v>4300</v>
      </c>
      <c r="B8237">
        <v>1</v>
      </c>
      <c r="C8237">
        <v>2</v>
      </c>
      <c r="D8237">
        <v>5</v>
      </c>
      <c r="E8237">
        <v>5</v>
      </c>
      <c r="F8237">
        <v>0</v>
      </c>
      <c r="G8237">
        <v>13</v>
      </c>
    </row>
    <row r="8238" spans="1:7" x14ac:dyDescent="0.2">
      <c r="A8238" t="s">
        <v>4301</v>
      </c>
      <c r="B8238">
        <v>0</v>
      </c>
      <c r="C8238">
        <v>108</v>
      </c>
      <c r="D8238">
        <v>460</v>
      </c>
      <c r="E8238">
        <v>211</v>
      </c>
      <c r="F8238">
        <v>0</v>
      </c>
      <c r="G8238">
        <v>778</v>
      </c>
    </row>
    <row r="8239" spans="1:7" x14ac:dyDescent="0.2">
      <c r="A8239" t="s">
        <v>4302</v>
      </c>
      <c r="B8239">
        <v>0</v>
      </c>
      <c r="C8239">
        <v>0</v>
      </c>
      <c r="D8239">
        <v>83</v>
      </c>
      <c r="E8239">
        <v>12</v>
      </c>
      <c r="F8239">
        <v>0</v>
      </c>
      <c r="G8239">
        <v>95</v>
      </c>
    </row>
    <row r="8240" spans="1:7" x14ac:dyDescent="0.2">
      <c r="A8240" t="s">
        <v>4303</v>
      </c>
      <c r="B8240">
        <v>0</v>
      </c>
      <c r="C8240">
        <v>0</v>
      </c>
      <c r="D8240">
        <v>334</v>
      </c>
      <c r="E8240">
        <v>32</v>
      </c>
      <c r="F8240">
        <v>0</v>
      </c>
      <c r="G8240">
        <v>365</v>
      </c>
    </row>
    <row r="8241" spans="1:7" x14ac:dyDescent="0.2">
      <c r="A8241" t="s">
        <v>4304</v>
      </c>
      <c r="B8241">
        <v>0</v>
      </c>
      <c r="C8241">
        <v>1</v>
      </c>
      <c r="D8241">
        <v>0</v>
      </c>
      <c r="E8241">
        <v>0</v>
      </c>
      <c r="F8241">
        <v>0</v>
      </c>
      <c r="G8241">
        <v>1</v>
      </c>
    </row>
    <row r="8242" spans="1:7" x14ac:dyDescent="0.2">
      <c r="A8242" t="s">
        <v>4305</v>
      </c>
      <c r="B8242">
        <v>0</v>
      </c>
      <c r="C8242">
        <v>37</v>
      </c>
      <c r="D8242">
        <v>45</v>
      </c>
      <c r="E8242">
        <v>0</v>
      </c>
      <c r="F8242">
        <v>0</v>
      </c>
      <c r="G8242">
        <v>81</v>
      </c>
    </row>
    <row r="8243" spans="1:7" x14ac:dyDescent="0.2">
      <c r="A8243" t="s">
        <v>4306</v>
      </c>
      <c r="B8243">
        <v>0</v>
      </c>
      <c r="C8243">
        <v>3</v>
      </c>
      <c r="D8243">
        <v>2</v>
      </c>
      <c r="E8243">
        <v>8</v>
      </c>
      <c r="F8243">
        <v>0</v>
      </c>
      <c r="G8243">
        <v>14</v>
      </c>
    </row>
    <row r="8244" spans="1:7" x14ac:dyDescent="0.2">
      <c r="A8244" t="s">
        <v>4307</v>
      </c>
      <c r="B8244">
        <v>3</v>
      </c>
      <c r="C8244">
        <v>32</v>
      </c>
      <c r="D8244">
        <v>331</v>
      </c>
      <c r="E8244">
        <v>356</v>
      </c>
      <c r="F8244">
        <v>0</v>
      </c>
      <c r="G8244">
        <v>722</v>
      </c>
    </row>
    <row r="8245" spans="1:7" x14ac:dyDescent="0.2">
      <c r="A8245" t="s">
        <v>4308</v>
      </c>
      <c r="B8245">
        <v>0</v>
      </c>
      <c r="C8245">
        <v>0</v>
      </c>
      <c r="D8245">
        <v>1</v>
      </c>
      <c r="E8245">
        <v>0</v>
      </c>
      <c r="F8245">
        <v>0</v>
      </c>
      <c r="G8245">
        <v>1</v>
      </c>
    </row>
    <row r="8246" spans="1:7" x14ac:dyDescent="0.2">
      <c r="A8246" t="s">
        <v>4309</v>
      </c>
      <c r="B8246">
        <v>0</v>
      </c>
      <c r="C8246">
        <v>0</v>
      </c>
      <c r="D8246">
        <v>0</v>
      </c>
      <c r="E8246">
        <v>0</v>
      </c>
      <c r="F8246">
        <v>0</v>
      </c>
      <c r="G8246">
        <v>0</v>
      </c>
    </row>
    <row r="8247" spans="1:7" x14ac:dyDescent="0.2">
      <c r="A8247" t="s">
        <v>4310</v>
      </c>
      <c r="B8247">
        <v>0</v>
      </c>
      <c r="C8247">
        <v>0</v>
      </c>
      <c r="D8247">
        <v>0</v>
      </c>
      <c r="E8247">
        <v>0</v>
      </c>
      <c r="F8247">
        <v>0</v>
      </c>
      <c r="G8247">
        <v>0</v>
      </c>
    </row>
    <row r="8248" spans="1:7" x14ac:dyDescent="0.2">
      <c r="A8248" t="s">
        <v>4311</v>
      </c>
      <c r="B8248">
        <v>0</v>
      </c>
      <c r="C8248">
        <v>0</v>
      </c>
      <c r="D8248">
        <v>0</v>
      </c>
      <c r="E8248">
        <v>14</v>
      </c>
      <c r="F8248">
        <v>12</v>
      </c>
      <c r="G8248">
        <v>25</v>
      </c>
    </row>
    <row r="8249" spans="1:7" x14ac:dyDescent="0.2">
      <c r="A8249" t="s">
        <v>4312</v>
      </c>
      <c r="B8249">
        <v>0</v>
      </c>
      <c r="C8249">
        <v>0</v>
      </c>
      <c r="D8249">
        <v>0</v>
      </c>
      <c r="E8249">
        <v>0</v>
      </c>
      <c r="F8249">
        <v>0</v>
      </c>
      <c r="G8249">
        <v>0</v>
      </c>
    </row>
    <row r="8250" spans="1:7" x14ac:dyDescent="0.2">
      <c r="A8250" t="s">
        <v>4313</v>
      </c>
      <c r="B8250">
        <v>0</v>
      </c>
      <c r="C8250">
        <v>0</v>
      </c>
      <c r="D8250">
        <v>0</v>
      </c>
      <c r="E8250">
        <v>0</v>
      </c>
      <c r="F8250">
        <v>0</v>
      </c>
      <c r="G8250">
        <v>0</v>
      </c>
    </row>
    <row r="8251" spans="1:7" x14ac:dyDescent="0.2">
      <c r="A8251" t="s">
        <v>4314</v>
      </c>
      <c r="B8251">
        <v>0</v>
      </c>
      <c r="C8251">
        <v>0</v>
      </c>
      <c r="D8251">
        <v>0</v>
      </c>
      <c r="E8251">
        <v>0</v>
      </c>
      <c r="F8251">
        <v>2</v>
      </c>
      <c r="G8251">
        <v>2</v>
      </c>
    </row>
    <row r="8252" spans="1:7" x14ac:dyDescent="0.2">
      <c r="A8252" t="s">
        <v>4315</v>
      </c>
      <c r="B8252">
        <v>0</v>
      </c>
      <c r="C8252">
        <v>0</v>
      </c>
      <c r="D8252">
        <v>0</v>
      </c>
      <c r="E8252">
        <v>0</v>
      </c>
      <c r="F8252">
        <v>0</v>
      </c>
      <c r="G8252">
        <v>0</v>
      </c>
    </row>
    <row r="8253" spans="1:7" x14ac:dyDescent="0.2">
      <c r="A8253" t="s">
        <v>4316</v>
      </c>
      <c r="B8253">
        <v>0</v>
      </c>
      <c r="C8253">
        <v>0</v>
      </c>
      <c r="D8253">
        <v>0</v>
      </c>
      <c r="E8253">
        <v>0</v>
      </c>
      <c r="F8253">
        <v>0</v>
      </c>
      <c r="G8253">
        <v>0</v>
      </c>
    </row>
    <row r="8254" spans="1:7" x14ac:dyDescent="0.2">
      <c r="A8254" t="s">
        <v>4317</v>
      </c>
      <c r="B8254">
        <v>0</v>
      </c>
      <c r="C8254">
        <v>0</v>
      </c>
      <c r="D8254">
        <v>0</v>
      </c>
      <c r="E8254">
        <v>0</v>
      </c>
      <c r="F8254">
        <v>0</v>
      </c>
      <c r="G8254">
        <v>0</v>
      </c>
    </row>
    <row r="8255" spans="1:7" x14ac:dyDescent="0.2">
      <c r="A8255" t="s">
        <v>4318</v>
      </c>
      <c r="B8255">
        <v>0</v>
      </c>
      <c r="C8255">
        <v>0</v>
      </c>
      <c r="D8255">
        <v>0</v>
      </c>
      <c r="E8255">
        <v>0</v>
      </c>
      <c r="F8255">
        <v>0</v>
      </c>
      <c r="G8255">
        <v>0</v>
      </c>
    </row>
    <row r="8256" spans="1:7" x14ac:dyDescent="0.2">
      <c r="A8256" t="s">
        <v>4319</v>
      </c>
      <c r="B8256">
        <v>0</v>
      </c>
      <c r="C8256">
        <v>0</v>
      </c>
      <c r="D8256">
        <v>0</v>
      </c>
      <c r="E8256">
        <v>0</v>
      </c>
      <c r="F8256">
        <v>0</v>
      </c>
      <c r="G8256">
        <v>0</v>
      </c>
    </row>
    <row r="8257" spans="1:7" x14ac:dyDescent="0.2">
      <c r="A8257" t="s">
        <v>4320</v>
      </c>
      <c r="B8257">
        <v>0</v>
      </c>
      <c r="C8257">
        <v>0</v>
      </c>
      <c r="D8257">
        <v>0</v>
      </c>
      <c r="E8257">
        <v>0</v>
      </c>
      <c r="F8257">
        <v>0</v>
      </c>
      <c r="G8257">
        <v>0</v>
      </c>
    </row>
    <row r="8258" spans="1:7" x14ac:dyDescent="0.2">
      <c r="A8258" t="s">
        <v>4321</v>
      </c>
      <c r="B8258">
        <v>0</v>
      </c>
      <c r="C8258">
        <v>0</v>
      </c>
      <c r="D8258">
        <v>0</v>
      </c>
      <c r="E8258">
        <v>0</v>
      </c>
      <c r="F8258">
        <v>0</v>
      </c>
      <c r="G8258">
        <v>0</v>
      </c>
    </row>
    <row r="8259" spans="1:7" x14ac:dyDescent="0.2">
      <c r="A8259" t="s">
        <v>4322</v>
      </c>
      <c r="B8259">
        <v>0</v>
      </c>
      <c r="C8259">
        <v>0</v>
      </c>
      <c r="D8259">
        <v>0</v>
      </c>
      <c r="E8259">
        <v>0</v>
      </c>
      <c r="F8259">
        <v>0</v>
      </c>
      <c r="G8259">
        <v>0</v>
      </c>
    </row>
    <row r="8260" spans="1:7" x14ac:dyDescent="0.2">
      <c r="A8260" t="s">
        <v>4323</v>
      </c>
      <c r="B8260">
        <v>0</v>
      </c>
      <c r="C8260">
        <v>0</v>
      </c>
      <c r="D8260">
        <v>0</v>
      </c>
      <c r="E8260">
        <v>0</v>
      </c>
      <c r="F8260">
        <v>0</v>
      </c>
      <c r="G8260">
        <v>0</v>
      </c>
    </row>
    <row r="8261" spans="1:7" x14ac:dyDescent="0.2">
      <c r="A8261" t="s">
        <v>4324</v>
      </c>
      <c r="B8261">
        <v>0</v>
      </c>
      <c r="C8261">
        <v>0</v>
      </c>
      <c r="D8261">
        <v>0</v>
      </c>
      <c r="E8261">
        <v>0</v>
      </c>
      <c r="F8261">
        <v>0</v>
      </c>
      <c r="G8261">
        <v>0</v>
      </c>
    </row>
    <row r="8262" spans="1:7" x14ac:dyDescent="0.2">
      <c r="A8262" t="s">
        <v>4325</v>
      </c>
      <c r="B8262">
        <v>0</v>
      </c>
      <c r="C8262">
        <v>0</v>
      </c>
      <c r="D8262">
        <v>0</v>
      </c>
      <c r="E8262">
        <v>0</v>
      </c>
      <c r="F8262">
        <v>0</v>
      </c>
      <c r="G8262">
        <v>0</v>
      </c>
    </row>
    <row r="8263" spans="1:7" x14ac:dyDescent="0.2">
      <c r="A8263" t="s">
        <v>4326</v>
      </c>
      <c r="B8263">
        <v>0</v>
      </c>
      <c r="C8263">
        <v>0</v>
      </c>
      <c r="D8263">
        <v>0</v>
      </c>
      <c r="E8263">
        <v>0</v>
      </c>
      <c r="F8263">
        <v>0</v>
      </c>
      <c r="G8263">
        <v>0</v>
      </c>
    </row>
    <row r="8264" spans="1:7" x14ac:dyDescent="0.2">
      <c r="A8264" t="s">
        <v>4327</v>
      </c>
      <c r="B8264">
        <v>0</v>
      </c>
      <c r="C8264">
        <v>0</v>
      </c>
      <c r="D8264">
        <v>0</v>
      </c>
      <c r="E8264">
        <v>0</v>
      </c>
      <c r="F8264">
        <v>0</v>
      </c>
      <c r="G8264">
        <v>0</v>
      </c>
    </row>
    <row r="8265" spans="1:7" x14ac:dyDescent="0.2">
      <c r="A8265" t="s">
        <v>4328</v>
      </c>
      <c r="B8265">
        <v>0</v>
      </c>
      <c r="C8265">
        <v>0</v>
      </c>
      <c r="D8265">
        <v>0</v>
      </c>
      <c r="E8265">
        <v>0</v>
      </c>
      <c r="F8265">
        <v>0</v>
      </c>
      <c r="G8265">
        <v>0</v>
      </c>
    </row>
    <row r="8266" spans="1:7" x14ac:dyDescent="0.2">
      <c r="A8266" t="s">
        <v>4329</v>
      </c>
      <c r="B8266">
        <v>0</v>
      </c>
      <c r="C8266">
        <v>0</v>
      </c>
      <c r="D8266">
        <v>0</v>
      </c>
      <c r="E8266">
        <v>0</v>
      </c>
      <c r="F8266">
        <v>0</v>
      </c>
      <c r="G8266">
        <v>0</v>
      </c>
    </row>
    <row r="8267" spans="1:7" x14ac:dyDescent="0.2">
      <c r="A8267" t="s">
        <v>4330</v>
      </c>
      <c r="B8267">
        <v>0</v>
      </c>
      <c r="C8267">
        <v>0</v>
      </c>
      <c r="D8267">
        <v>0</v>
      </c>
      <c r="E8267">
        <v>0</v>
      </c>
      <c r="F8267">
        <v>0</v>
      </c>
      <c r="G8267">
        <v>0</v>
      </c>
    </row>
    <row r="8268" spans="1:7" x14ac:dyDescent="0.2">
      <c r="A8268" t="s">
        <v>4331</v>
      </c>
      <c r="B8268">
        <v>0</v>
      </c>
      <c r="C8268">
        <v>0</v>
      </c>
      <c r="D8268">
        <v>0</v>
      </c>
      <c r="E8268">
        <v>0</v>
      </c>
      <c r="F8268">
        <v>0</v>
      </c>
      <c r="G8268">
        <v>0</v>
      </c>
    </row>
    <row r="8269" spans="1:7" x14ac:dyDescent="0.2">
      <c r="A8269" t="s">
        <v>4332</v>
      </c>
      <c r="B8269">
        <v>0</v>
      </c>
      <c r="C8269">
        <v>0</v>
      </c>
      <c r="D8269">
        <v>0</v>
      </c>
      <c r="E8269">
        <v>0</v>
      </c>
      <c r="F8269">
        <v>0</v>
      </c>
      <c r="G8269">
        <v>0</v>
      </c>
    </row>
    <row r="8270" spans="1:7" x14ac:dyDescent="0.2">
      <c r="A8270" t="s">
        <v>4333</v>
      </c>
      <c r="B8270">
        <v>0</v>
      </c>
      <c r="C8270">
        <v>0</v>
      </c>
      <c r="D8270">
        <v>0</v>
      </c>
      <c r="E8270">
        <v>0</v>
      </c>
      <c r="F8270">
        <v>0</v>
      </c>
      <c r="G8270">
        <v>0</v>
      </c>
    </row>
    <row r="8271" spans="1:7" x14ac:dyDescent="0.2">
      <c r="A8271" t="s">
        <v>4334</v>
      </c>
      <c r="B8271">
        <v>0</v>
      </c>
      <c r="C8271">
        <v>0</v>
      </c>
      <c r="D8271">
        <v>0</v>
      </c>
      <c r="E8271">
        <v>0</v>
      </c>
      <c r="F8271">
        <v>0</v>
      </c>
      <c r="G8271">
        <v>0</v>
      </c>
    </row>
    <row r="8272" spans="1:7" x14ac:dyDescent="0.2">
      <c r="A8272" t="s">
        <v>4335</v>
      </c>
      <c r="B8272">
        <v>0</v>
      </c>
      <c r="C8272">
        <v>0</v>
      </c>
      <c r="D8272">
        <v>0</v>
      </c>
      <c r="E8272">
        <v>0</v>
      </c>
      <c r="F8272">
        <v>0</v>
      </c>
      <c r="G8272">
        <v>0</v>
      </c>
    </row>
    <row r="8273" spans="1:7" x14ac:dyDescent="0.2">
      <c r="A8273" t="s">
        <v>4336</v>
      </c>
      <c r="B8273">
        <v>0</v>
      </c>
      <c r="C8273">
        <v>0</v>
      </c>
      <c r="D8273">
        <v>0</v>
      </c>
      <c r="E8273">
        <v>0</v>
      </c>
      <c r="F8273">
        <v>0</v>
      </c>
      <c r="G8273">
        <v>0</v>
      </c>
    </row>
    <row r="8274" spans="1:7" x14ac:dyDescent="0.2">
      <c r="A8274" t="s">
        <v>4337</v>
      </c>
      <c r="B8274">
        <v>0</v>
      </c>
      <c r="C8274">
        <v>0</v>
      </c>
      <c r="D8274">
        <v>0</v>
      </c>
      <c r="E8274">
        <v>0</v>
      </c>
      <c r="F8274">
        <v>0</v>
      </c>
      <c r="G8274">
        <v>0</v>
      </c>
    </row>
    <row r="8275" spans="1:7" x14ac:dyDescent="0.2">
      <c r="A8275" t="s">
        <v>4338</v>
      </c>
      <c r="B8275">
        <v>0</v>
      </c>
      <c r="C8275">
        <v>0</v>
      </c>
      <c r="D8275">
        <v>0</v>
      </c>
      <c r="E8275">
        <v>0</v>
      </c>
      <c r="F8275">
        <v>0</v>
      </c>
      <c r="G8275">
        <v>0</v>
      </c>
    </row>
    <row r="8276" spans="1:7" x14ac:dyDescent="0.2">
      <c r="A8276" t="s">
        <v>4339</v>
      </c>
      <c r="B8276">
        <v>0</v>
      </c>
      <c r="C8276">
        <v>0</v>
      </c>
      <c r="D8276">
        <v>0</v>
      </c>
      <c r="E8276">
        <v>0</v>
      </c>
      <c r="F8276">
        <v>0</v>
      </c>
      <c r="G8276">
        <v>0</v>
      </c>
    </row>
    <row r="8277" spans="1:7" x14ac:dyDescent="0.2">
      <c r="A8277" t="s">
        <v>4340</v>
      </c>
      <c r="B8277">
        <v>0</v>
      </c>
      <c r="C8277">
        <v>0</v>
      </c>
      <c r="D8277">
        <v>0</v>
      </c>
      <c r="E8277">
        <v>0</v>
      </c>
      <c r="F8277">
        <v>0</v>
      </c>
      <c r="G8277">
        <v>0</v>
      </c>
    </row>
    <row r="8278" spans="1:7" x14ac:dyDescent="0.2">
      <c r="A8278" t="s">
        <v>4341</v>
      </c>
      <c r="B8278">
        <v>0</v>
      </c>
      <c r="C8278">
        <v>0</v>
      </c>
      <c r="D8278">
        <v>0</v>
      </c>
      <c r="E8278">
        <v>0</v>
      </c>
      <c r="F8278">
        <v>0</v>
      </c>
      <c r="G8278">
        <v>0</v>
      </c>
    </row>
    <row r="8279" spans="1:7" x14ac:dyDescent="0.2">
      <c r="A8279" t="s">
        <v>4342</v>
      </c>
      <c r="B8279">
        <v>0</v>
      </c>
      <c r="C8279">
        <v>0</v>
      </c>
      <c r="D8279">
        <v>0</v>
      </c>
      <c r="E8279">
        <v>0</v>
      </c>
      <c r="F8279">
        <v>0</v>
      </c>
      <c r="G8279">
        <v>0</v>
      </c>
    </row>
    <row r="8280" spans="1:7" x14ac:dyDescent="0.2">
      <c r="A8280" t="s">
        <v>4343</v>
      </c>
      <c r="B8280">
        <v>0</v>
      </c>
      <c r="C8280">
        <v>0</v>
      </c>
      <c r="D8280">
        <v>0</v>
      </c>
      <c r="E8280">
        <v>0</v>
      </c>
      <c r="F8280">
        <v>0</v>
      </c>
      <c r="G8280">
        <v>0</v>
      </c>
    </row>
    <row r="8281" spans="1:7" x14ac:dyDescent="0.2">
      <c r="A8281" t="s">
        <v>1728</v>
      </c>
      <c r="B8281">
        <v>0</v>
      </c>
      <c r="C8281">
        <v>0</v>
      </c>
      <c r="D8281">
        <v>0</v>
      </c>
      <c r="E8281">
        <v>0</v>
      </c>
      <c r="F8281">
        <v>0</v>
      </c>
      <c r="G8281">
        <v>0</v>
      </c>
    </row>
    <row r="8282" spans="1:7" x14ac:dyDescent="0.2">
      <c r="A8282" t="s">
        <v>1730</v>
      </c>
      <c r="B8282">
        <v>0</v>
      </c>
      <c r="C8282">
        <v>0</v>
      </c>
      <c r="D8282">
        <v>3</v>
      </c>
      <c r="E8282">
        <v>2</v>
      </c>
      <c r="F8282">
        <v>11</v>
      </c>
      <c r="G8282">
        <v>16</v>
      </c>
    </row>
    <row r="8283" spans="1:7" x14ac:dyDescent="0.2">
      <c r="A8283" t="s">
        <v>1733</v>
      </c>
      <c r="B8283">
        <v>0</v>
      </c>
      <c r="C8283">
        <v>0</v>
      </c>
      <c r="D8283">
        <v>0</v>
      </c>
      <c r="E8283">
        <v>0</v>
      </c>
      <c r="F8283">
        <v>0</v>
      </c>
      <c r="G8283">
        <v>0</v>
      </c>
    </row>
    <row r="8284" spans="1:7" x14ac:dyDescent="0.2">
      <c r="A8284" t="s">
        <v>1738</v>
      </c>
      <c r="B8284">
        <v>0</v>
      </c>
      <c r="C8284">
        <v>0</v>
      </c>
      <c r="D8284">
        <v>0</v>
      </c>
      <c r="E8284">
        <v>0</v>
      </c>
      <c r="F8284">
        <v>0</v>
      </c>
      <c r="G8284">
        <v>0</v>
      </c>
    </row>
    <row r="8285" spans="1:7" x14ac:dyDescent="0.2">
      <c r="A8285" t="s">
        <v>1744</v>
      </c>
      <c r="B8285">
        <v>0</v>
      </c>
      <c r="C8285">
        <v>0</v>
      </c>
      <c r="D8285">
        <v>0</v>
      </c>
      <c r="E8285">
        <v>0</v>
      </c>
      <c r="F8285">
        <v>0</v>
      </c>
      <c r="G8285">
        <v>0</v>
      </c>
    </row>
    <row r="8286" spans="1:7" x14ac:dyDescent="0.2">
      <c r="A8286" t="s">
        <v>1747</v>
      </c>
      <c r="B8286">
        <v>0</v>
      </c>
      <c r="C8286">
        <v>0</v>
      </c>
      <c r="D8286">
        <v>0</v>
      </c>
      <c r="E8286">
        <v>0</v>
      </c>
      <c r="F8286">
        <v>0</v>
      </c>
      <c r="G8286">
        <v>0</v>
      </c>
    </row>
    <row r="8287" spans="1:7" x14ac:dyDescent="0.2">
      <c r="A8287" t="s">
        <v>1751</v>
      </c>
      <c r="B8287">
        <v>0</v>
      </c>
      <c r="C8287">
        <v>0</v>
      </c>
      <c r="D8287">
        <v>0</v>
      </c>
      <c r="E8287">
        <v>0</v>
      </c>
      <c r="F8287">
        <v>0</v>
      </c>
      <c r="G8287">
        <v>0</v>
      </c>
    </row>
    <row r="8288" spans="1:7" x14ac:dyDescent="0.2">
      <c r="A8288" t="s">
        <v>1755</v>
      </c>
      <c r="B8288">
        <v>0</v>
      </c>
      <c r="C8288">
        <v>0</v>
      </c>
      <c r="D8288">
        <v>0</v>
      </c>
      <c r="E8288">
        <v>0</v>
      </c>
      <c r="F8288">
        <v>0</v>
      </c>
      <c r="G8288">
        <v>0</v>
      </c>
    </row>
    <row r="8289" spans="1:7" x14ac:dyDescent="0.2">
      <c r="A8289" t="s">
        <v>1757</v>
      </c>
      <c r="B8289">
        <v>0</v>
      </c>
      <c r="C8289">
        <v>0</v>
      </c>
      <c r="D8289">
        <v>0</v>
      </c>
      <c r="E8289">
        <v>0</v>
      </c>
      <c r="F8289">
        <v>0</v>
      </c>
      <c r="G8289">
        <v>0</v>
      </c>
    </row>
    <row r="8290" spans="1:7" x14ac:dyDescent="0.2">
      <c r="A8290" t="s">
        <v>1761</v>
      </c>
      <c r="B8290">
        <v>0</v>
      </c>
      <c r="C8290">
        <v>0</v>
      </c>
      <c r="D8290">
        <v>0</v>
      </c>
      <c r="E8290">
        <v>0</v>
      </c>
      <c r="F8290">
        <v>0</v>
      </c>
      <c r="G8290">
        <v>0</v>
      </c>
    </row>
    <row r="8291" spans="1:7" x14ac:dyDescent="0.2">
      <c r="A8291" t="s">
        <v>1764</v>
      </c>
      <c r="B8291">
        <v>0</v>
      </c>
      <c r="C8291">
        <v>0</v>
      </c>
      <c r="D8291">
        <v>0</v>
      </c>
      <c r="E8291">
        <v>0</v>
      </c>
      <c r="F8291">
        <v>0</v>
      </c>
      <c r="G8291">
        <v>0</v>
      </c>
    </row>
    <row r="8292" spans="1:7" x14ac:dyDescent="0.2">
      <c r="A8292" t="s">
        <v>1770</v>
      </c>
      <c r="B8292">
        <v>0</v>
      </c>
      <c r="C8292">
        <v>0</v>
      </c>
      <c r="D8292">
        <v>13</v>
      </c>
      <c r="E8292">
        <v>27</v>
      </c>
      <c r="F8292">
        <v>0</v>
      </c>
      <c r="G8292">
        <v>41</v>
      </c>
    </row>
    <row r="8293" spans="1:7" x14ac:dyDescent="0.2">
      <c r="A8293" t="s">
        <v>1772</v>
      </c>
      <c r="B8293">
        <v>0</v>
      </c>
      <c r="C8293">
        <v>0</v>
      </c>
      <c r="D8293">
        <v>0</v>
      </c>
      <c r="E8293">
        <v>0</v>
      </c>
      <c r="F8293">
        <v>0</v>
      </c>
      <c r="G8293">
        <v>0</v>
      </c>
    </row>
    <row r="8294" spans="1:7" x14ac:dyDescent="0.2">
      <c r="A8294" t="s">
        <v>1774</v>
      </c>
      <c r="B8294">
        <v>0</v>
      </c>
      <c r="C8294">
        <v>0</v>
      </c>
      <c r="D8294">
        <v>0</v>
      </c>
      <c r="E8294">
        <v>0</v>
      </c>
      <c r="F8294">
        <v>0</v>
      </c>
      <c r="G8294">
        <v>0</v>
      </c>
    </row>
    <row r="8295" spans="1:7" x14ac:dyDescent="0.2">
      <c r="A8295" t="s">
        <v>1777</v>
      </c>
      <c r="B8295">
        <v>0</v>
      </c>
      <c r="C8295">
        <v>0</v>
      </c>
      <c r="D8295">
        <v>0</v>
      </c>
      <c r="E8295">
        <v>0</v>
      </c>
      <c r="F8295">
        <v>0</v>
      </c>
      <c r="G8295">
        <v>0</v>
      </c>
    </row>
    <row r="8296" spans="1:7" x14ac:dyDescent="0.2">
      <c r="A8296" t="s">
        <v>1782</v>
      </c>
      <c r="B8296">
        <v>0</v>
      </c>
      <c r="C8296">
        <v>0</v>
      </c>
      <c r="D8296">
        <v>0</v>
      </c>
      <c r="E8296">
        <v>0</v>
      </c>
      <c r="F8296">
        <v>0</v>
      </c>
      <c r="G8296">
        <v>0</v>
      </c>
    </row>
    <row r="8297" spans="1:7" x14ac:dyDescent="0.2">
      <c r="A8297" t="s">
        <v>1274</v>
      </c>
      <c r="B8297">
        <v>0</v>
      </c>
      <c r="C8297">
        <v>0</v>
      </c>
      <c r="D8297">
        <v>0</v>
      </c>
      <c r="E8297">
        <v>0</v>
      </c>
      <c r="F8297">
        <v>0</v>
      </c>
      <c r="G8297">
        <v>0</v>
      </c>
    </row>
    <row r="8298" spans="1:7" x14ac:dyDescent="0.2">
      <c r="A8298" t="s">
        <v>1277</v>
      </c>
      <c r="B8298">
        <v>0</v>
      </c>
      <c r="C8298">
        <v>0</v>
      </c>
      <c r="D8298">
        <v>0</v>
      </c>
      <c r="E8298">
        <v>0</v>
      </c>
      <c r="F8298">
        <v>0</v>
      </c>
      <c r="G8298">
        <v>0</v>
      </c>
    </row>
    <row r="8299" spans="1:7" x14ac:dyDescent="0.2">
      <c r="A8299" t="s">
        <v>1798</v>
      </c>
      <c r="B8299">
        <v>0</v>
      </c>
      <c r="C8299">
        <v>0</v>
      </c>
      <c r="D8299">
        <v>0</v>
      </c>
      <c r="E8299">
        <v>0</v>
      </c>
      <c r="F8299">
        <v>0</v>
      </c>
      <c r="G8299">
        <v>0</v>
      </c>
    </row>
    <row r="8300" spans="1:7" x14ac:dyDescent="0.2">
      <c r="A8300" t="s">
        <v>1803</v>
      </c>
      <c r="B8300">
        <v>0</v>
      </c>
      <c r="C8300">
        <v>0</v>
      </c>
      <c r="D8300">
        <v>0</v>
      </c>
      <c r="E8300">
        <v>0</v>
      </c>
      <c r="F8300">
        <v>0</v>
      </c>
      <c r="G8300">
        <v>0</v>
      </c>
    </row>
    <row r="8301" spans="1:7" x14ac:dyDescent="0.2">
      <c r="A8301" t="s">
        <v>1808</v>
      </c>
      <c r="B8301">
        <v>0</v>
      </c>
      <c r="C8301">
        <v>0</v>
      </c>
      <c r="D8301">
        <v>0</v>
      </c>
      <c r="E8301">
        <v>0</v>
      </c>
      <c r="F8301">
        <v>0</v>
      </c>
      <c r="G8301">
        <v>0</v>
      </c>
    </row>
    <row r="8302" spans="1:7" x14ac:dyDescent="0.2">
      <c r="A8302" t="s">
        <v>1813</v>
      </c>
      <c r="B8302">
        <v>0</v>
      </c>
      <c r="C8302">
        <v>0</v>
      </c>
      <c r="D8302">
        <v>0</v>
      </c>
      <c r="E8302">
        <v>0</v>
      </c>
      <c r="F8302">
        <v>0</v>
      </c>
      <c r="G8302">
        <v>0</v>
      </c>
    </row>
    <row r="8303" spans="1:7" x14ac:dyDescent="0.2">
      <c r="A8303" t="s">
        <v>1819</v>
      </c>
      <c r="B8303">
        <v>0</v>
      </c>
      <c r="C8303">
        <v>0</v>
      </c>
      <c r="D8303">
        <v>0</v>
      </c>
      <c r="E8303">
        <v>0</v>
      </c>
      <c r="F8303">
        <v>0</v>
      </c>
      <c r="G8303">
        <v>0</v>
      </c>
    </row>
    <row r="8304" spans="1:7" x14ac:dyDescent="0.2">
      <c r="A8304" t="s">
        <v>1826</v>
      </c>
      <c r="B8304">
        <v>0</v>
      </c>
      <c r="C8304">
        <v>0</v>
      </c>
      <c r="D8304">
        <v>0</v>
      </c>
      <c r="E8304">
        <v>0</v>
      </c>
      <c r="F8304">
        <v>0</v>
      </c>
      <c r="G8304">
        <v>0</v>
      </c>
    </row>
    <row r="8305" spans="1:7" x14ac:dyDescent="0.2">
      <c r="A8305" t="s">
        <v>1830</v>
      </c>
      <c r="B8305">
        <v>0</v>
      </c>
      <c r="C8305">
        <v>0</v>
      </c>
      <c r="D8305">
        <v>0</v>
      </c>
      <c r="E8305">
        <v>0</v>
      </c>
      <c r="F8305">
        <v>0</v>
      </c>
      <c r="G8305">
        <v>0</v>
      </c>
    </row>
    <row r="8306" spans="1:7" x14ac:dyDescent="0.2">
      <c r="A8306" t="s">
        <v>1836</v>
      </c>
      <c r="B8306">
        <v>0</v>
      </c>
      <c r="C8306">
        <v>0</v>
      </c>
      <c r="D8306">
        <v>0</v>
      </c>
      <c r="E8306">
        <v>0</v>
      </c>
      <c r="F8306">
        <v>0</v>
      </c>
      <c r="G8306">
        <v>0</v>
      </c>
    </row>
    <row r="8307" spans="1:7" x14ac:dyDescent="0.2">
      <c r="A8307" t="s">
        <v>1841</v>
      </c>
      <c r="B8307">
        <v>0</v>
      </c>
      <c r="C8307">
        <v>0</v>
      </c>
      <c r="D8307">
        <v>0</v>
      </c>
      <c r="E8307">
        <v>0</v>
      </c>
      <c r="F8307">
        <v>0</v>
      </c>
      <c r="G8307">
        <v>0</v>
      </c>
    </row>
    <row r="8308" spans="1:7" x14ac:dyDescent="0.2">
      <c r="A8308" t="s">
        <v>1842</v>
      </c>
      <c r="B8308">
        <v>0</v>
      </c>
      <c r="C8308">
        <v>0</v>
      </c>
      <c r="D8308">
        <v>0</v>
      </c>
      <c r="E8308">
        <v>0</v>
      </c>
      <c r="F8308">
        <v>0</v>
      </c>
      <c r="G8308">
        <v>0</v>
      </c>
    </row>
    <row r="8309" spans="1:7" x14ac:dyDescent="0.2">
      <c r="A8309" t="s">
        <v>1843</v>
      </c>
      <c r="B8309">
        <v>0</v>
      </c>
      <c r="C8309">
        <v>0</v>
      </c>
      <c r="D8309">
        <v>0</v>
      </c>
      <c r="E8309">
        <v>0</v>
      </c>
      <c r="F8309">
        <v>0</v>
      </c>
      <c r="G8309">
        <v>0</v>
      </c>
    </row>
    <row r="8310" spans="1:7" x14ac:dyDescent="0.2">
      <c r="A8310" t="s">
        <v>1846</v>
      </c>
      <c r="B8310">
        <v>0</v>
      </c>
      <c r="C8310">
        <v>0</v>
      </c>
      <c r="D8310">
        <v>0</v>
      </c>
      <c r="E8310">
        <v>0</v>
      </c>
      <c r="F8310">
        <v>0</v>
      </c>
      <c r="G8310">
        <v>0</v>
      </c>
    </row>
    <row r="8311" spans="1:7" x14ac:dyDescent="0.2">
      <c r="A8311" t="s">
        <v>1851</v>
      </c>
      <c r="B8311">
        <v>0</v>
      </c>
      <c r="C8311">
        <v>0</v>
      </c>
      <c r="D8311">
        <v>0</v>
      </c>
      <c r="E8311">
        <v>0</v>
      </c>
      <c r="F8311">
        <v>0</v>
      </c>
      <c r="G8311">
        <v>0</v>
      </c>
    </row>
    <row r="8312" spans="1:7" x14ac:dyDescent="0.2">
      <c r="A8312" t="s">
        <v>1857</v>
      </c>
      <c r="B8312">
        <v>0</v>
      </c>
      <c r="C8312">
        <v>0</v>
      </c>
      <c r="D8312">
        <v>0</v>
      </c>
      <c r="E8312">
        <v>0</v>
      </c>
      <c r="F8312">
        <v>0</v>
      </c>
      <c r="G8312">
        <v>0</v>
      </c>
    </row>
    <row r="8313" spans="1:7" x14ac:dyDescent="0.2">
      <c r="A8313" t="s">
        <v>1862</v>
      </c>
      <c r="B8313">
        <v>0</v>
      </c>
      <c r="C8313">
        <v>0</v>
      </c>
      <c r="D8313">
        <v>0</v>
      </c>
      <c r="E8313">
        <v>0</v>
      </c>
      <c r="F8313">
        <v>0</v>
      </c>
      <c r="G8313">
        <v>0</v>
      </c>
    </row>
    <row r="8314" spans="1:7" x14ac:dyDescent="0.2">
      <c r="A8314" t="s">
        <v>1867</v>
      </c>
      <c r="B8314">
        <v>0</v>
      </c>
      <c r="C8314">
        <v>0</v>
      </c>
      <c r="D8314">
        <v>0</v>
      </c>
      <c r="E8314">
        <v>0</v>
      </c>
      <c r="F8314">
        <v>0</v>
      </c>
      <c r="G8314">
        <v>0</v>
      </c>
    </row>
    <row r="8315" spans="1:7" x14ac:dyDescent="0.2">
      <c r="A8315" t="s">
        <v>1870</v>
      </c>
      <c r="B8315">
        <v>0</v>
      </c>
      <c r="C8315">
        <v>0</v>
      </c>
      <c r="D8315">
        <v>0</v>
      </c>
      <c r="E8315">
        <v>0</v>
      </c>
      <c r="F8315">
        <v>0</v>
      </c>
      <c r="G8315">
        <v>0</v>
      </c>
    </row>
    <row r="8316" spans="1:7" x14ac:dyDescent="0.2">
      <c r="A8316" t="s">
        <v>1874</v>
      </c>
      <c r="B8316">
        <v>0</v>
      </c>
      <c r="C8316">
        <v>0</v>
      </c>
      <c r="D8316">
        <v>0</v>
      </c>
      <c r="E8316">
        <v>0</v>
      </c>
      <c r="F8316">
        <v>0</v>
      </c>
      <c r="G8316">
        <v>0</v>
      </c>
    </row>
    <row r="8317" spans="1:7" x14ac:dyDescent="0.2">
      <c r="A8317" t="s">
        <v>1876</v>
      </c>
      <c r="B8317">
        <v>0</v>
      </c>
      <c r="C8317">
        <v>0</v>
      </c>
      <c r="D8317">
        <v>0</v>
      </c>
      <c r="E8317">
        <v>0</v>
      </c>
      <c r="F8317">
        <v>0</v>
      </c>
      <c r="G8317">
        <v>0</v>
      </c>
    </row>
    <row r="8318" spans="1:7" x14ac:dyDescent="0.2">
      <c r="A8318" t="s">
        <v>1881</v>
      </c>
      <c r="B8318">
        <v>0</v>
      </c>
      <c r="C8318">
        <v>0</v>
      </c>
      <c r="D8318">
        <v>0</v>
      </c>
      <c r="E8318">
        <v>0</v>
      </c>
      <c r="F8318">
        <v>0</v>
      </c>
      <c r="G8318">
        <v>0</v>
      </c>
    </row>
    <row r="8319" spans="1:7" x14ac:dyDescent="0.2">
      <c r="A8319" t="s">
        <v>1885</v>
      </c>
      <c r="B8319">
        <v>0</v>
      </c>
      <c r="C8319">
        <v>0</v>
      </c>
      <c r="D8319">
        <v>0</v>
      </c>
      <c r="E8319">
        <v>0</v>
      </c>
      <c r="F8319">
        <v>0</v>
      </c>
      <c r="G8319">
        <v>0</v>
      </c>
    </row>
    <row r="8320" spans="1:7" x14ac:dyDescent="0.2">
      <c r="A8320" t="s">
        <v>1887</v>
      </c>
      <c r="B8320">
        <v>0</v>
      </c>
      <c r="C8320">
        <v>0</v>
      </c>
      <c r="D8320">
        <v>0</v>
      </c>
      <c r="E8320">
        <v>0</v>
      </c>
      <c r="F8320">
        <v>0</v>
      </c>
      <c r="G8320">
        <v>0</v>
      </c>
    </row>
    <row r="8321" spans="1:7" x14ac:dyDescent="0.2">
      <c r="A8321" t="s">
        <v>1893</v>
      </c>
      <c r="B8321">
        <v>0</v>
      </c>
      <c r="C8321">
        <v>0</v>
      </c>
      <c r="D8321">
        <v>0</v>
      </c>
      <c r="E8321">
        <v>3</v>
      </c>
      <c r="F8321">
        <v>0</v>
      </c>
      <c r="G8321">
        <v>3</v>
      </c>
    </row>
    <row r="8322" spans="1:7" x14ac:dyDescent="0.2">
      <c r="A8322" t="s">
        <v>1899</v>
      </c>
      <c r="B8322">
        <v>0</v>
      </c>
      <c r="C8322">
        <v>0</v>
      </c>
      <c r="D8322">
        <v>0</v>
      </c>
      <c r="E8322">
        <v>0</v>
      </c>
      <c r="F8322">
        <v>0</v>
      </c>
      <c r="G8322">
        <v>0</v>
      </c>
    </row>
    <row r="8323" spans="1:7" x14ac:dyDescent="0.2">
      <c r="A8323" t="s">
        <v>1906</v>
      </c>
      <c r="B8323">
        <v>0</v>
      </c>
      <c r="C8323">
        <v>0</v>
      </c>
      <c r="D8323">
        <v>0</v>
      </c>
      <c r="E8323">
        <v>0</v>
      </c>
      <c r="F8323">
        <v>0</v>
      </c>
      <c r="G8323">
        <v>0</v>
      </c>
    </row>
    <row r="8324" spans="1:7" x14ac:dyDescent="0.2">
      <c r="A8324" t="s">
        <v>1911</v>
      </c>
      <c r="B8324">
        <v>0</v>
      </c>
      <c r="C8324">
        <v>0</v>
      </c>
      <c r="D8324">
        <v>0</v>
      </c>
      <c r="E8324">
        <v>0</v>
      </c>
      <c r="F8324">
        <v>0</v>
      </c>
      <c r="G8324">
        <v>0</v>
      </c>
    </row>
    <row r="8325" spans="1:7" x14ac:dyDescent="0.2">
      <c r="A8325" t="s">
        <v>1917</v>
      </c>
      <c r="B8325">
        <v>0</v>
      </c>
      <c r="C8325">
        <v>0</v>
      </c>
      <c r="D8325">
        <v>0</v>
      </c>
      <c r="E8325">
        <v>0</v>
      </c>
      <c r="F8325">
        <v>0</v>
      </c>
      <c r="G8325">
        <v>0</v>
      </c>
    </row>
    <row r="8326" spans="1:7" x14ac:dyDescent="0.2">
      <c r="A8326" t="s">
        <v>1922</v>
      </c>
      <c r="B8326">
        <v>0</v>
      </c>
      <c r="C8326">
        <v>0</v>
      </c>
      <c r="D8326">
        <v>0</v>
      </c>
      <c r="E8326">
        <v>0</v>
      </c>
      <c r="F8326">
        <v>0</v>
      </c>
      <c r="G8326">
        <v>0</v>
      </c>
    </row>
    <row r="8327" spans="1:7" x14ac:dyDescent="0.2">
      <c r="A8327" t="s">
        <v>1928</v>
      </c>
      <c r="B8327">
        <v>0</v>
      </c>
      <c r="C8327">
        <v>0</v>
      </c>
      <c r="D8327">
        <v>0</v>
      </c>
      <c r="E8327">
        <v>0</v>
      </c>
      <c r="F8327">
        <v>0</v>
      </c>
      <c r="G8327">
        <v>0</v>
      </c>
    </row>
    <row r="8328" spans="1:7" x14ac:dyDescent="0.2">
      <c r="A8328" t="s">
        <v>1932</v>
      </c>
      <c r="B8328">
        <v>0</v>
      </c>
      <c r="C8328">
        <v>0</v>
      </c>
      <c r="D8328">
        <v>0</v>
      </c>
      <c r="E8328">
        <v>0</v>
      </c>
      <c r="F8328">
        <v>0</v>
      </c>
      <c r="G8328">
        <v>0</v>
      </c>
    </row>
    <row r="8329" spans="1:7" x14ac:dyDescent="0.2">
      <c r="A8329" t="s">
        <v>1938</v>
      </c>
      <c r="B8329">
        <v>0</v>
      </c>
      <c r="C8329">
        <v>0</v>
      </c>
      <c r="D8329">
        <v>0</v>
      </c>
      <c r="E8329">
        <v>0</v>
      </c>
      <c r="F8329">
        <v>0</v>
      </c>
      <c r="G8329">
        <v>0</v>
      </c>
    </row>
    <row r="8330" spans="1:7" x14ac:dyDescent="0.2">
      <c r="A8330" t="s">
        <v>1944</v>
      </c>
      <c r="B8330">
        <v>0</v>
      </c>
      <c r="C8330">
        <v>0</v>
      </c>
      <c r="D8330">
        <v>0</v>
      </c>
      <c r="E8330">
        <v>0</v>
      </c>
      <c r="F8330">
        <v>0</v>
      </c>
      <c r="G8330">
        <v>0</v>
      </c>
    </row>
    <row r="8331" spans="1:7" x14ac:dyDescent="0.2">
      <c r="A8331" t="s">
        <v>1947</v>
      </c>
      <c r="B8331">
        <v>0</v>
      </c>
      <c r="C8331">
        <v>0</v>
      </c>
      <c r="D8331">
        <v>0</v>
      </c>
      <c r="E8331">
        <v>0</v>
      </c>
      <c r="F8331">
        <v>0</v>
      </c>
      <c r="G8331">
        <v>0</v>
      </c>
    </row>
    <row r="8332" spans="1:7" x14ac:dyDescent="0.2">
      <c r="A8332" t="s">
        <v>1953</v>
      </c>
      <c r="B8332">
        <v>0</v>
      </c>
      <c r="C8332">
        <v>0</v>
      </c>
      <c r="D8332">
        <v>0</v>
      </c>
      <c r="E8332">
        <v>0</v>
      </c>
      <c r="F8332">
        <v>0</v>
      </c>
      <c r="G8332">
        <v>0</v>
      </c>
    </row>
    <row r="8333" spans="1:7" x14ac:dyDescent="0.2">
      <c r="A8333" t="s">
        <v>1958</v>
      </c>
      <c r="B8333">
        <v>0</v>
      </c>
      <c r="C8333">
        <v>0</v>
      </c>
      <c r="D8333">
        <v>0</v>
      </c>
      <c r="E8333">
        <v>0</v>
      </c>
      <c r="F8333">
        <v>0</v>
      </c>
      <c r="G8333">
        <v>0</v>
      </c>
    </row>
    <row r="8334" spans="1:7" x14ac:dyDescent="0.2">
      <c r="A8334" t="s">
        <v>1964</v>
      </c>
      <c r="B8334">
        <v>0</v>
      </c>
      <c r="C8334">
        <v>0</v>
      </c>
      <c r="D8334">
        <v>0</v>
      </c>
      <c r="E8334">
        <v>0</v>
      </c>
      <c r="F8334">
        <v>0</v>
      </c>
      <c r="G8334">
        <v>0</v>
      </c>
    </row>
    <row r="8335" spans="1:7" x14ac:dyDescent="0.2">
      <c r="A8335" t="s">
        <v>1973</v>
      </c>
      <c r="B8335">
        <v>0</v>
      </c>
      <c r="C8335">
        <v>0</v>
      </c>
      <c r="D8335">
        <v>0</v>
      </c>
      <c r="E8335">
        <v>0</v>
      </c>
      <c r="F8335">
        <v>0</v>
      </c>
      <c r="G8335">
        <v>0</v>
      </c>
    </row>
    <row r="8336" spans="1:7" x14ac:dyDescent="0.2">
      <c r="A8336" t="s">
        <v>1978</v>
      </c>
      <c r="B8336">
        <v>0</v>
      </c>
      <c r="C8336">
        <v>0</v>
      </c>
      <c r="D8336">
        <v>0</v>
      </c>
      <c r="E8336">
        <v>0</v>
      </c>
      <c r="F8336">
        <v>0</v>
      </c>
      <c r="G8336">
        <v>0</v>
      </c>
    </row>
    <row r="8337" spans="1:7" x14ac:dyDescent="0.2">
      <c r="A8337" t="s">
        <v>1983</v>
      </c>
      <c r="B8337">
        <v>0</v>
      </c>
      <c r="C8337">
        <v>0</v>
      </c>
      <c r="D8337">
        <v>0</v>
      </c>
      <c r="E8337">
        <v>0</v>
      </c>
      <c r="F8337">
        <v>0</v>
      </c>
      <c r="G8337">
        <v>0</v>
      </c>
    </row>
    <row r="8338" spans="1:7" x14ac:dyDescent="0.2">
      <c r="A8338" t="s">
        <v>1984</v>
      </c>
      <c r="B8338">
        <v>0</v>
      </c>
      <c r="C8338">
        <v>0</v>
      </c>
      <c r="D8338">
        <v>0</v>
      </c>
      <c r="E8338">
        <v>0</v>
      </c>
      <c r="F8338">
        <v>0</v>
      </c>
      <c r="G8338">
        <v>0</v>
      </c>
    </row>
    <row r="8339" spans="1:7" x14ac:dyDescent="0.2">
      <c r="A8339" t="s">
        <v>1990</v>
      </c>
      <c r="B8339">
        <v>0</v>
      </c>
      <c r="C8339">
        <v>0</v>
      </c>
      <c r="D8339">
        <v>0</v>
      </c>
      <c r="E8339">
        <v>0</v>
      </c>
      <c r="F8339">
        <v>0</v>
      </c>
      <c r="G8339">
        <v>0</v>
      </c>
    </row>
    <row r="8340" spans="1:7" x14ac:dyDescent="0.2">
      <c r="A8340" t="s">
        <v>1996</v>
      </c>
      <c r="B8340">
        <v>0</v>
      </c>
      <c r="C8340">
        <v>0</v>
      </c>
      <c r="D8340">
        <v>0</v>
      </c>
      <c r="E8340">
        <v>0</v>
      </c>
      <c r="F8340">
        <v>0</v>
      </c>
      <c r="G8340">
        <v>0</v>
      </c>
    </row>
    <row r="8341" spans="1:7" x14ac:dyDescent="0.2">
      <c r="A8341" t="s">
        <v>1998</v>
      </c>
      <c r="B8341">
        <v>0</v>
      </c>
      <c r="C8341">
        <v>0</v>
      </c>
      <c r="D8341">
        <v>0</v>
      </c>
      <c r="E8341">
        <v>0</v>
      </c>
      <c r="F8341">
        <v>0</v>
      </c>
      <c r="G8341">
        <v>0</v>
      </c>
    </row>
    <row r="8342" spans="1:7" x14ac:dyDescent="0.2">
      <c r="A8342" t="s">
        <v>1999</v>
      </c>
      <c r="B8342">
        <v>0</v>
      </c>
      <c r="C8342">
        <v>0</v>
      </c>
      <c r="D8342">
        <v>0</v>
      </c>
      <c r="E8342">
        <v>0</v>
      </c>
      <c r="F8342">
        <v>0</v>
      </c>
      <c r="G8342">
        <v>0</v>
      </c>
    </row>
    <row r="8343" spans="1:7" x14ac:dyDescent="0.2">
      <c r="A8343" t="s">
        <v>2004</v>
      </c>
      <c r="B8343">
        <v>0</v>
      </c>
      <c r="C8343">
        <v>0</v>
      </c>
      <c r="D8343">
        <v>0</v>
      </c>
      <c r="E8343">
        <v>0</v>
      </c>
      <c r="F8343">
        <v>0</v>
      </c>
      <c r="G8343">
        <v>0</v>
      </c>
    </row>
    <row r="8344" spans="1:7" x14ac:dyDescent="0.2">
      <c r="A8344" t="s">
        <v>2009</v>
      </c>
      <c r="B8344">
        <v>0</v>
      </c>
      <c r="C8344">
        <v>0</v>
      </c>
      <c r="D8344">
        <v>0</v>
      </c>
      <c r="E8344">
        <v>0</v>
      </c>
      <c r="F8344">
        <v>0</v>
      </c>
      <c r="G8344">
        <v>0</v>
      </c>
    </row>
    <row r="8345" spans="1:7" x14ac:dyDescent="0.2">
      <c r="A8345" t="s">
        <v>2014</v>
      </c>
      <c r="B8345">
        <v>0</v>
      </c>
      <c r="C8345">
        <v>0</v>
      </c>
      <c r="D8345">
        <v>0</v>
      </c>
      <c r="E8345">
        <v>0</v>
      </c>
      <c r="F8345">
        <v>0</v>
      </c>
      <c r="G8345">
        <v>0</v>
      </c>
    </row>
    <row r="8346" spans="1:7" x14ac:dyDescent="0.2">
      <c r="A8346" t="s">
        <v>2019</v>
      </c>
      <c r="B8346">
        <v>0</v>
      </c>
      <c r="C8346">
        <v>0</v>
      </c>
      <c r="D8346">
        <v>0</v>
      </c>
      <c r="E8346">
        <v>0</v>
      </c>
      <c r="F8346">
        <v>0</v>
      </c>
      <c r="G8346">
        <v>0</v>
      </c>
    </row>
    <row r="8347" spans="1:7" x14ac:dyDescent="0.2">
      <c r="A8347" t="s">
        <v>2023</v>
      </c>
      <c r="B8347">
        <v>0</v>
      </c>
      <c r="C8347">
        <v>0</v>
      </c>
      <c r="D8347">
        <v>0</v>
      </c>
      <c r="E8347">
        <v>0</v>
      </c>
      <c r="F8347">
        <v>0</v>
      </c>
      <c r="G8347">
        <v>0</v>
      </c>
    </row>
    <row r="8348" spans="1:7" x14ac:dyDescent="0.2">
      <c r="A8348" t="s">
        <v>2026</v>
      </c>
      <c r="B8348">
        <v>0</v>
      </c>
      <c r="C8348">
        <v>0</v>
      </c>
      <c r="D8348">
        <v>0</v>
      </c>
      <c r="E8348">
        <v>0</v>
      </c>
      <c r="F8348">
        <v>0</v>
      </c>
      <c r="G8348">
        <v>0</v>
      </c>
    </row>
    <row r="8349" spans="1:7" x14ac:dyDescent="0.2">
      <c r="A8349" t="s">
        <v>2030</v>
      </c>
      <c r="B8349">
        <v>0</v>
      </c>
      <c r="C8349">
        <v>0</v>
      </c>
      <c r="D8349">
        <v>0</v>
      </c>
      <c r="E8349">
        <v>0</v>
      </c>
      <c r="F8349">
        <v>0</v>
      </c>
      <c r="G8349">
        <v>0</v>
      </c>
    </row>
    <row r="8350" spans="1:7" x14ac:dyDescent="0.2">
      <c r="A8350" t="s">
        <v>2035</v>
      </c>
      <c r="B8350">
        <v>0</v>
      </c>
      <c r="C8350">
        <v>0</v>
      </c>
      <c r="D8350">
        <v>0</v>
      </c>
      <c r="E8350">
        <v>0</v>
      </c>
      <c r="F8350">
        <v>0</v>
      </c>
      <c r="G8350">
        <v>0</v>
      </c>
    </row>
    <row r="8351" spans="1:7" x14ac:dyDescent="0.2">
      <c r="A8351" t="s">
        <v>2040</v>
      </c>
      <c r="B8351">
        <v>0</v>
      </c>
      <c r="C8351">
        <v>0</v>
      </c>
      <c r="D8351">
        <v>0</v>
      </c>
      <c r="E8351">
        <v>0</v>
      </c>
      <c r="F8351">
        <v>0</v>
      </c>
      <c r="G8351">
        <v>0</v>
      </c>
    </row>
    <row r="8352" spans="1:7" x14ac:dyDescent="0.2">
      <c r="A8352" t="s">
        <v>2045</v>
      </c>
      <c r="B8352">
        <v>0</v>
      </c>
      <c r="C8352">
        <v>0</v>
      </c>
      <c r="D8352">
        <v>0</v>
      </c>
      <c r="E8352">
        <v>0</v>
      </c>
      <c r="F8352">
        <v>0</v>
      </c>
      <c r="G8352">
        <v>0</v>
      </c>
    </row>
    <row r="8353" spans="1:7" x14ac:dyDescent="0.2">
      <c r="A8353" t="s">
        <v>2049</v>
      </c>
      <c r="B8353">
        <v>0</v>
      </c>
      <c r="C8353">
        <v>0</v>
      </c>
      <c r="D8353">
        <v>0</v>
      </c>
      <c r="E8353">
        <v>0</v>
      </c>
      <c r="F8353">
        <v>0</v>
      </c>
      <c r="G8353">
        <v>0</v>
      </c>
    </row>
    <row r="8354" spans="1:7" x14ac:dyDescent="0.2">
      <c r="A8354" t="s">
        <v>2051</v>
      </c>
      <c r="B8354">
        <v>0</v>
      </c>
      <c r="C8354">
        <v>0</v>
      </c>
      <c r="D8354">
        <v>0</v>
      </c>
      <c r="E8354">
        <v>0</v>
      </c>
      <c r="F8354">
        <v>0</v>
      </c>
      <c r="G8354">
        <v>0</v>
      </c>
    </row>
    <row r="8355" spans="1:7" x14ac:dyDescent="0.2">
      <c r="A8355" t="s">
        <v>2057</v>
      </c>
      <c r="B8355">
        <v>0</v>
      </c>
      <c r="C8355">
        <v>0</v>
      </c>
      <c r="D8355">
        <v>0</v>
      </c>
      <c r="E8355">
        <v>0</v>
      </c>
      <c r="F8355">
        <v>0</v>
      </c>
      <c r="G8355">
        <v>0</v>
      </c>
    </row>
    <row r="8356" spans="1:7" x14ac:dyDescent="0.2">
      <c r="A8356" t="s">
        <v>4344</v>
      </c>
      <c r="B8356">
        <v>0</v>
      </c>
      <c r="C8356">
        <v>0</v>
      </c>
      <c r="D8356">
        <v>0</v>
      </c>
      <c r="E8356">
        <v>0</v>
      </c>
      <c r="F8356">
        <v>0</v>
      </c>
      <c r="G8356">
        <v>0</v>
      </c>
    </row>
    <row r="8357" spans="1:7" x14ac:dyDescent="0.2">
      <c r="A8357" t="s">
        <v>4345</v>
      </c>
      <c r="B8357">
        <v>0</v>
      </c>
      <c r="C8357">
        <v>0</v>
      </c>
      <c r="D8357">
        <v>0</v>
      </c>
      <c r="E8357">
        <v>0</v>
      </c>
      <c r="F8357">
        <v>0</v>
      </c>
      <c r="G8357">
        <v>0</v>
      </c>
    </row>
    <row r="8358" spans="1:7" x14ac:dyDescent="0.2">
      <c r="A8358" t="s">
        <v>2074</v>
      </c>
      <c r="B8358">
        <v>0</v>
      </c>
      <c r="C8358">
        <v>0</v>
      </c>
      <c r="D8358">
        <v>0</v>
      </c>
      <c r="E8358">
        <v>0</v>
      </c>
      <c r="F8358">
        <v>0</v>
      </c>
      <c r="G8358">
        <v>0</v>
      </c>
    </row>
    <row r="8359" spans="1:7" x14ac:dyDescent="0.2">
      <c r="A8359" t="s">
        <v>2079</v>
      </c>
      <c r="B8359">
        <v>0</v>
      </c>
      <c r="C8359">
        <v>0</v>
      </c>
      <c r="D8359">
        <v>0</v>
      </c>
      <c r="E8359">
        <v>0</v>
      </c>
      <c r="F8359">
        <v>0</v>
      </c>
      <c r="G8359">
        <v>0</v>
      </c>
    </row>
    <row r="8360" spans="1:7" x14ac:dyDescent="0.2">
      <c r="A8360" t="s">
        <v>2085</v>
      </c>
      <c r="B8360">
        <v>0</v>
      </c>
      <c r="C8360">
        <v>0</v>
      </c>
      <c r="D8360">
        <v>0</v>
      </c>
      <c r="E8360">
        <v>0</v>
      </c>
      <c r="F8360">
        <v>0</v>
      </c>
      <c r="G8360">
        <v>0</v>
      </c>
    </row>
    <row r="8361" spans="1:7" x14ac:dyDescent="0.2">
      <c r="A8361" t="s">
        <v>2091</v>
      </c>
      <c r="B8361">
        <v>0</v>
      </c>
      <c r="C8361">
        <v>0</v>
      </c>
      <c r="D8361">
        <v>0</v>
      </c>
      <c r="E8361">
        <v>0</v>
      </c>
      <c r="F8361">
        <v>0</v>
      </c>
      <c r="G8361">
        <v>0</v>
      </c>
    </row>
    <row r="8362" spans="1:7" x14ac:dyDescent="0.2">
      <c r="A8362" t="s">
        <v>2097</v>
      </c>
      <c r="B8362">
        <v>0</v>
      </c>
      <c r="C8362">
        <v>0</v>
      </c>
      <c r="D8362">
        <v>0</v>
      </c>
      <c r="E8362">
        <v>0</v>
      </c>
      <c r="F8362">
        <v>0</v>
      </c>
      <c r="G8362">
        <v>0</v>
      </c>
    </row>
    <row r="8363" spans="1:7" x14ac:dyDescent="0.2">
      <c r="A8363" t="s">
        <v>2101</v>
      </c>
      <c r="B8363">
        <v>0</v>
      </c>
      <c r="C8363">
        <v>0</v>
      </c>
      <c r="D8363">
        <v>0</v>
      </c>
      <c r="E8363">
        <v>0</v>
      </c>
      <c r="F8363">
        <v>0</v>
      </c>
      <c r="G8363">
        <v>0</v>
      </c>
    </row>
    <row r="8364" spans="1:7" x14ac:dyDescent="0.2">
      <c r="A8364" t="s">
        <v>2104</v>
      </c>
      <c r="B8364">
        <v>0</v>
      </c>
      <c r="C8364">
        <v>0</v>
      </c>
      <c r="D8364">
        <v>0</v>
      </c>
      <c r="E8364">
        <v>0</v>
      </c>
      <c r="F8364">
        <v>0</v>
      </c>
      <c r="G8364">
        <v>0</v>
      </c>
    </row>
    <row r="8365" spans="1:7" x14ac:dyDescent="0.2">
      <c r="A8365" t="s">
        <v>2107</v>
      </c>
      <c r="B8365">
        <v>0</v>
      </c>
      <c r="C8365">
        <v>0</v>
      </c>
      <c r="D8365">
        <v>0</v>
      </c>
      <c r="E8365">
        <v>0</v>
      </c>
      <c r="F8365">
        <v>0</v>
      </c>
      <c r="G8365">
        <v>0</v>
      </c>
    </row>
    <row r="8366" spans="1:7" x14ac:dyDescent="0.2">
      <c r="A8366" t="s">
        <v>2110</v>
      </c>
      <c r="B8366">
        <v>0</v>
      </c>
      <c r="C8366">
        <v>0</v>
      </c>
      <c r="D8366">
        <v>0</v>
      </c>
      <c r="E8366">
        <v>0</v>
      </c>
      <c r="F8366">
        <v>0</v>
      </c>
      <c r="G8366">
        <v>0</v>
      </c>
    </row>
    <row r="8367" spans="1:7" x14ac:dyDescent="0.2">
      <c r="A8367" t="s">
        <v>2113</v>
      </c>
      <c r="B8367">
        <v>0</v>
      </c>
      <c r="C8367">
        <v>0</v>
      </c>
      <c r="D8367">
        <v>0</v>
      </c>
      <c r="E8367">
        <v>0</v>
      </c>
      <c r="F8367">
        <v>0</v>
      </c>
      <c r="G8367">
        <v>0</v>
      </c>
    </row>
    <row r="8368" spans="1:7" x14ac:dyDescent="0.2">
      <c r="A8368" t="s">
        <v>4346</v>
      </c>
      <c r="B8368">
        <v>0</v>
      </c>
      <c r="C8368">
        <v>0</v>
      </c>
      <c r="D8368">
        <v>0</v>
      </c>
      <c r="E8368">
        <v>0</v>
      </c>
      <c r="F8368">
        <v>0</v>
      </c>
      <c r="G8368">
        <v>0</v>
      </c>
    </row>
    <row r="8369" spans="1:7" x14ac:dyDescent="0.2">
      <c r="A8369" t="s">
        <v>4347</v>
      </c>
      <c r="B8369">
        <v>0</v>
      </c>
      <c r="C8369">
        <v>0</v>
      </c>
      <c r="D8369">
        <v>0</v>
      </c>
      <c r="E8369">
        <v>0</v>
      </c>
      <c r="F8369">
        <v>0</v>
      </c>
      <c r="G8369">
        <v>0</v>
      </c>
    </row>
    <row r="8370" spans="1:7" x14ac:dyDescent="0.2">
      <c r="A8370" t="s">
        <v>4348</v>
      </c>
      <c r="B8370">
        <v>0</v>
      </c>
      <c r="C8370">
        <v>0</v>
      </c>
      <c r="D8370">
        <v>0</v>
      </c>
      <c r="E8370">
        <v>0</v>
      </c>
      <c r="F8370">
        <v>0</v>
      </c>
      <c r="G8370">
        <v>0</v>
      </c>
    </row>
    <row r="8371" spans="1:7" x14ac:dyDescent="0.2">
      <c r="A8371" t="s">
        <v>4349</v>
      </c>
      <c r="B8371">
        <v>0</v>
      </c>
      <c r="C8371">
        <v>0</v>
      </c>
      <c r="D8371">
        <v>0</v>
      </c>
      <c r="E8371">
        <v>0</v>
      </c>
      <c r="F8371">
        <v>0</v>
      </c>
      <c r="G8371">
        <v>0</v>
      </c>
    </row>
    <row r="8372" spans="1:7" x14ac:dyDescent="0.2">
      <c r="A8372" t="s">
        <v>4350</v>
      </c>
      <c r="B8372">
        <v>0</v>
      </c>
      <c r="C8372">
        <v>5</v>
      </c>
      <c r="D8372">
        <v>95</v>
      </c>
      <c r="E8372">
        <v>0</v>
      </c>
      <c r="F8372">
        <v>0</v>
      </c>
      <c r="G8372">
        <v>99</v>
      </c>
    </row>
    <row r="8373" spans="1:7" x14ac:dyDescent="0.2">
      <c r="A8373" t="s">
        <v>4351</v>
      </c>
      <c r="B8373">
        <v>0</v>
      </c>
      <c r="C8373">
        <v>0</v>
      </c>
      <c r="D8373">
        <v>0</v>
      </c>
      <c r="E8373">
        <v>0</v>
      </c>
      <c r="F8373">
        <v>0</v>
      </c>
      <c r="G8373">
        <v>0</v>
      </c>
    </row>
    <row r="8374" spans="1:7" x14ac:dyDescent="0.2">
      <c r="A8374" t="s">
        <v>4352</v>
      </c>
      <c r="B8374">
        <v>0</v>
      </c>
      <c r="C8374">
        <v>0</v>
      </c>
      <c r="D8374">
        <v>0</v>
      </c>
      <c r="E8374">
        <v>0</v>
      </c>
      <c r="F8374">
        <v>0</v>
      </c>
      <c r="G8374">
        <v>0</v>
      </c>
    </row>
    <row r="8375" spans="1:7" x14ac:dyDescent="0.2">
      <c r="A8375" t="s">
        <v>4353</v>
      </c>
      <c r="B8375">
        <v>0</v>
      </c>
      <c r="C8375">
        <v>27</v>
      </c>
      <c r="D8375">
        <v>20</v>
      </c>
      <c r="E8375">
        <v>1</v>
      </c>
      <c r="F8375">
        <v>0</v>
      </c>
      <c r="G8375">
        <v>49</v>
      </c>
    </row>
    <row r="8376" spans="1:7" x14ac:dyDescent="0.2">
      <c r="A8376" t="s">
        <v>4354</v>
      </c>
      <c r="B8376">
        <v>0</v>
      </c>
      <c r="C8376">
        <v>22</v>
      </c>
      <c r="D8376">
        <v>9</v>
      </c>
      <c r="E8376">
        <v>0</v>
      </c>
      <c r="F8376">
        <v>0</v>
      </c>
      <c r="G8376">
        <v>31</v>
      </c>
    </row>
    <row r="8377" spans="1:7" x14ac:dyDescent="0.2">
      <c r="A8377" t="s">
        <v>4355</v>
      </c>
      <c r="B8377">
        <v>0</v>
      </c>
      <c r="C8377">
        <v>0</v>
      </c>
      <c r="D8377">
        <v>0</v>
      </c>
      <c r="E8377">
        <v>0</v>
      </c>
      <c r="F8377">
        <v>0</v>
      </c>
      <c r="G8377">
        <v>0</v>
      </c>
    </row>
    <row r="8378" spans="1:7" x14ac:dyDescent="0.2">
      <c r="A8378" t="s">
        <v>4356</v>
      </c>
      <c r="B8378">
        <v>0</v>
      </c>
      <c r="C8378">
        <v>0</v>
      </c>
      <c r="D8378">
        <v>0</v>
      </c>
      <c r="E8378">
        <v>0</v>
      </c>
      <c r="F8378">
        <v>0</v>
      </c>
      <c r="G8378">
        <v>0</v>
      </c>
    </row>
    <row r="8379" spans="1:7" x14ac:dyDescent="0.2">
      <c r="A8379" t="s">
        <v>4357</v>
      </c>
      <c r="B8379">
        <v>0</v>
      </c>
      <c r="C8379">
        <v>8</v>
      </c>
      <c r="D8379">
        <v>2</v>
      </c>
      <c r="E8379">
        <v>0</v>
      </c>
      <c r="F8379">
        <v>0</v>
      </c>
      <c r="G8379">
        <v>10</v>
      </c>
    </row>
    <row r="8380" spans="1:7" x14ac:dyDescent="0.2">
      <c r="A8380" t="s">
        <v>4358</v>
      </c>
      <c r="B8380">
        <v>0</v>
      </c>
      <c r="C8380">
        <v>0</v>
      </c>
      <c r="D8380">
        <v>0</v>
      </c>
      <c r="E8380">
        <v>0</v>
      </c>
      <c r="F8380">
        <v>0</v>
      </c>
      <c r="G8380">
        <v>0</v>
      </c>
    </row>
    <row r="8381" spans="1:7" x14ac:dyDescent="0.2">
      <c r="A8381" t="s">
        <v>4359</v>
      </c>
      <c r="B8381">
        <v>0</v>
      </c>
      <c r="C8381">
        <v>0</v>
      </c>
      <c r="D8381">
        <v>0</v>
      </c>
      <c r="E8381">
        <v>0</v>
      </c>
      <c r="F8381">
        <v>0</v>
      </c>
      <c r="G8381">
        <v>0</v>
      </c>
    </row>
    <row r="8382" spans="1:7" x14ac:dyDescent="0.2">
      <c r="A8382" t="s">
        <v>4360</v>
      </c>
      <c r="B8382">
        <v>0</v>
      </c>
      <c r="C8382">
        <v>0</v>
      </c>
      <c r="D8382">
        <v>0</v>
      </c>
      <c r="E8382">
        <v>4</v>
      </c>
      <c r="F8382">
        <v>0</v>
      </c>
      <c r="G8382">
        <v>4</v>
      </c>
    </row>
    <row r="8383" spans="1:7" x14ac:dyDescent="0.2">
      <c r="A8383" t="s">
        <v>4361</v>
      </c>
      <c r="B8383">
        <v>0</v>
      </c>
      <c r="C8383">
        <v>0</v>
      </c>
      <c r="D8383">
        <v>3</v>
      </c>
      <c r="E8383">
        <v>0</v>
      </c>
      <c r="F8383">
        <v>0</v>
      </c>
      <c r="G8383">
        <v>3</v>
      </c>
    </row>
    <row r="8384" spans="1:7" x14ac:dyDescent="0.2">
      <c r="A8384" t="s">
        <v>4362</v>
      </c>
      <c r="B8384">
        <v>0</v>
      </c>
      <c r="C8384">
        <v>0</v>
      </c>
      <c r="D8384">
        <v>0</v>
      </c>
      <c r="E8384">
        <v>0</v>
      </c>
      <c r="F8384">
        <v>0</v>
      </c>
      <c r="G8384">
        <v>0</v>
      </c>
    </row>
    <row r="8385" spans="1:7" x14ac:dyDescent="0.2">
      <c r="A8385" t="s">
        <v>4363</v>
      </c>
      <c r="B8385">
        <v>0</v>
      </c>
      <c r="C8385">
        <v>0</v>
      </c>
      <c r="D8385">
        <v>0</v>
      </c>
      <c r="E8385">
        <v>0</v>
      </c>
      <c r="F8385">
        <v>0</v>
      </c>
      <c r="G8385">
        <v>0</v>
      </c>
    </row>
    <row r="8386" spans="1:7" x14ac:dyDescent="0.2">
      <c r="A8386" t="s">
        <v>4364</v>
      </c>
      <c r="B8386">
        <v>0</v>
      </c>
      <c r="C8386">
        <v>0</v>
      </c>
      <c r="D8386">
        <v>0</v>
      </c>
      <c r="E8386">
        <v>0</v>
      </c>
      <c r="F8386">
        <v>0</v>
      </c>
      <c r="G8386">
        <v>0</v>
      </c>
    </row>
    <row r="8387" spans="1:7" x14ac:dyDescent="0.2">
      <c r="A8387" t="s">
        <v>4365</v>
      </c>
      <c r="B8387">
        <v>0</v>
      </c>
      <c r="C8387">
        <v>15</v>
      </c>
      <c r="D8387">
        <v>0</v>
      </c>
      <c r="E8387">
        <v>0</v>
      </c>
      <c r="F8387">
        <v>0</v>
      </c>
      <c r="G8387">
        <v>15</v>
      </c>
    </row>
    <row r="8388" spans="1:7" x14ac:dyDescent="0.2">
      <c r="A8388" t="s">
        <v>4366</v>
      </c>
      <c r="B8388">
        <v>0</v>
      </c>
      <c r="C8388">
        <v>0</v>
      </c>
      <c r="D8388">
        <v>0</v>
      </c>
      <c r="E8388">
        <v>0</v>
      </c>
      <c r="F8388">
        <v>0</v>
      </c>
      <c r="G8388">
        <v>0</v>
      </c>
    </row>
    <row r="8389" spans="1:7" x14ac:dyDescent="0.2">
      <c r="A8389" t="s">
        <v>4367</v>
      </c>
      <c r="B8389">
        <v>0</v>
      </c>
      <c r="C8389">
        <v>0</v>
      </c>
      <c r="D8389">
        <v>0</v>
      </c>
      <c r="E8389">
        <v>0</v>
      </c>
      <c r="F8389">
        <v>0</v>
      </c>
      <c r="G8389">
        <v>0</v>
      </c>
    </row>
    <row r="8390" spans="1:7" x14ac:dyDescent="0.2">
      <c r="A8390" t="s">
        <v>4368</v>
      </c>
      <c r="B8390">
        <v>2</v>
      </c>
      <c r="C8390">
        <v>3</v>
      </c>
      <c r="D8390">
        <v>42</v>
      </c>
      <c r="E8390">
        <v>0</v>
      </c>
      <c r="F8390">
        <v>21</v>
      </c>
      <c r="G8390">
        <v>67</v>
      </c>
    </row>
    <row r="8391" spans="1:7" x14ac:dyDescent="0.2">
      <c r="A8391" t="s">
        <v>4369</v>
      </c>
      <c r="B8391">
        <v>0</v>
      </c>
      <c r="C8391">
        <v>24</v>
      </c>
      <c r="D8391">
        <v>211</v>
      </c>
      <c r="E8391">
        <v>136</v>
      </c>
      <c r="F8391">
        <v>0</v>
      </c>
      <c r="G8391">
        <v>371</v>
      </c>
    </row>
    <row r="8392" spans="1:7" x14ac:dyDescent="0.2">
      <c r="A8392" t="s">
        <v>4370</v>
      </c>
      <c r="B8392">
        <v>1</v>
      </c>
      <c r="C8392">
        <v>0</v>
      </c>
      <c r="D8392">
        <v>0</v>
      </c>
      <c r="E8392">
        <v>0</v>
      </c>
      <c r="F8392">
        <v>0</v>
      </c>
      <c r="G8392">
        <v>1</v>
      </c>
    </row>
    <row r="8393" spans="1:7" x14ac:dyDescent="0.2">
      <c r="A8393" t="s">
        <v>4371</v>
      </c>
      <c r="B8393">
        <v>0</v>
      </c>
      <c r="C8393">
        <v>0</v>
      </c>
      <c r="D8393">
        <v>0</v>
      </c>
      <c r="E8393">
        <v>0</v>
      </c>
      <c r="F8393">
        <v>0</v>
      </c>
      <c r="G8393">
        <v>0</v>
      </c>
    </row>
    <row r="8394" spans="1:7" x14ac:dyDescent="0.2">
      <c r="A8394" t="s">
        <v>4372</v>
      </c>
      <c r="B8394">
        <v>0</v>
      </c>
      <c r="C8394">
        <v>0</v>
      </c>
      <c r="D8394">
        <v>0</v>
      </c>
      <c r="E8394">
        <v>0</v>
      </c>
      <c r="F8394">
        <v>0</v>
      </c>
      <c r="G8394">
        <v>0</v>
      </c>
    </row>
    <row r="8395" spans="1:7" x14ac:dyDescent="0.2">
      <c r="A8395" t="s">
        <v>4373</v>
      </c>
      <c r="B8395">
        <v>0</v>
      </c>
      <c r="C8395">
        <v>0</v>
      </c>
      <c r="D8395">
        <v>0</v>
      </c>
      <c r="E8395">
        <v>0</v>
      </c>
      <c r="F8395">
        <v>0</v>
      </c>
      <c r="G8395">
        <v>0</v>
      </c>
    </row>
    <row r="8396" spans="1:7" x14ac:dyDescent="0.2">
      <c r="A8396" t="s">
        <v>4374</v>
      </c>
      <c r="B8396">
        <v>0</v>
      </c>
      <c r="C8396">
        <v>0</v>
      </c>
      <c r="D8396">
        <v>0</v>
      </c>
      <c r="E8396">
        <v>0</v>
      </c>
      <c r="F8396">
        <v>0</v>
      </c>
      <c r="G8396">
        <v>0</v>
      </c>
    </row>
    <row r="8397" spans="1:7" x14ac:dyDescent="0.2">
      <c r="A8397" t="s">
        <v>4375</v>
      </c>
      <c r="B8397">
        <v>0</v>
      </c>
      <c r="C8397">
        <v>0</v>
      </c>
      <c r="D8397">
        <v>0</v>
      </c>
      <c r="E8397">
        <v>0</v>
      </c>
      <c r="F8397">
        <v>0</v>
      </c>
      <c r="G8397">
        <v>0</v>
      </c>
    </row>
    <row r="8398" spans="1:7" x14ac:dyDescent="0.2">
      <c r="A8398" t="s">
        <v>4376</v>
      </c>
      <c r="B8398">
        <v>0</v>
      </c>
      <c r="C8398">
        <v>0</v>
      </c>
      <c r="D8398">
        <v>0</v>
      </c>
      <c r="E8398">
        <v>0</v>
      </c>
      <c r="F8398">
        <v>0</v>
      </c>
      <c r="G8398">
        <v>0</v>
      </c>
    </row>
    <row r="8399" spans="1:7" x14ac:dyDescent="0.2">
      <c r="A8399" t="s">
        <v>4377</v>
      </c>
      <c r="B8399">
        <v>0</v>
      </c>
      <c r="C8399">
        <v>0</v>
      </c>
      <c r="D8399">
        <v>0</v>
      </c>
      <c r="E8399">
        <v>0</v>
      </c>
      <c r="F8399">
        <v>0</v>
      </c>
      <c r="G8399">
        <v>0</v>
      </c>
    </row>
    <row r="8400" spans="1:7" x14ac:dyDescent="0.2">
      <c r="A8400" t="s">
        <v>2318</v>
      </c>
      <c r="B8400" t="s">
        <v>2319</v>
      </c>
      <c r="C8400" t="s">
        <v>2319</v>
      </c>
      <c r="D8400" t="s">
        <v>2319</v>
      </c>
      <c r="E8400" t="s">
        <v>2319</v>
      </c>
      <c r="F8400" t="s">
        <v>2319</v>
      </c>
      <c r="G8400" t="s">
        <v>2319</v>
      </c>
    </row>
    <row r="8401" spans="1:10" x14ac:dyDescent="0.2">
      <c r="A8401" t="s">
        <v>4248</v>
      </c>
    </row>
    <row r="8402" spans="1:10" x14ac:dyDescent="0.2">
      <c r="A8402" t="s">
        <v>4250</v>
      </c>
      <c r="C8402" t="s">
        <v>4251</v>
      </c>
      <c r="G8402" t="s">
        <v>7531</v>
      </c>
      <c r="J8402"/>
    </row>
    <row r="8403" spans="1:10" x14ac:dyDescent="0.2">
      <c r="A8403" t="s">
        <v>4925</v>
      </c>
      <c r="G8403" t="s">
        <v>7542</v>
      </c>
      <c r="J8403"/>
    </row>
    <row r="8404" spans="1:10" x14ac:dyDescent="0.2">
      <c r="A8404" t="s">
        <v>7530</v>
      </c>
      <c r="J8404"/>
    </row>
    <row r="8405" spans="1:10" x14ac:dyDescent="0.2">
      <c r="A8405" t="s">
        <v>5045</v>
      </c>
      <c r="J8405"/>
    </row>
    <row r="8406" spans="1:10" x14ac:dyDescent="0.2">
      <c r="J8406"/>
    </row>
    <row r="8407" spans="1:10" x14ac:dyDescent="0.2">
      <c r="A8407" t="s">
        <v>4259</v>
      </c>
      <c r="J8407"/>
    </row>
    <row r="8408" spans="1:10" x14ac:dyDescent="0.2">
      <c r="A8408" t="s">
        <v>2318</v>
      </c>
      <c r="B8408" t="s">
        <v>2319</v>
      </c>
      <c r="C8408" t="s">
        <v>2319</v>
      </c>
      <c r="D8408" t="s">
        <v>2319</v>
      </c>
      <c r="E8408" t="s">
        <v>2319</v>
      </c>
      <c r="F8408" t="s">
        <v>2319</v>
      </c>
      <c r="G8408" t="s">
        <v>2319</v>
      </c>
    </row>
    <row r="8409" spans="1:10" x14ac:dyDescent="0.2">
      <c r="A8409" t="s">
        <v>174</v>
      </c>
      <c r="B8409" t="s">
        <v>4945</v>
      </c>
      <c r="C8409" t="s">
        <v>4946</v>
      </c>
      <c r="D8409" t="s">
        <v>4947</v>
      </c>
      <c r="E8409" t="s">
        <v>4948</v>
      </c>
      <c r="F8409" t="s">
        <v>4949</v>
      </c>
    </row>
    <row r="8410" spans="1:10" x14ac:dyDescent="0.2">
      <c r="A8410" t="s">
        <v>126</v>
      </c>
      <c r="B8410" t="s">
        <v>4262</v>
      </c>
      <c r="C8410" t="s">
        <v>4263</v>
      </c>
      <c r="D8410" t="s">
        <v>4264</v>
      </c>
      <c r="E8410" t="s">
        <v>2308</v>
      </c>
      <c r="F8410" t="s">
        <v>615</v>
      </c>
      <c r="G8410" t="s">
        <v>236</v>
      </c>
    </row>
    <row r="8411" spans="1:10" x14ac:dyDescent="0.2">
      <c r="A8411" t="s">
        <v>2318</v>
      </c>
      <c r="B8411" t="s">
        <v>2319</v>
      </c>
      <c r="C8411" t="s">
        <v>2319</v>
      </c>
      <c r="D8411" t="s">
        <v>2319</v>
      </c>
      <c r="E8411" t="s">
        <v>2319</v>
      </c>
      <c r="F8411" t="s">
        <v>2319</v>
      </c>
      <c r="G8411" t="s">
        <v>2319</v>
      </c>
    </row>
    <row r="8412" spans="1:10" x14ac:dyDescent="0.2">
      <c r="A8412" t="s">
        <v>4265</v>
      </c>
      <c r="B8412">
        <v>0</v>
      </c>
      <c r="C8412">
        <v>0</v>
      </c>
      <c r="D8412">
        <v>0</v>
      </c>
      <c r="E8412">
        <v>0</v>
      </c>
      <c r="F8412">
        <v>12</v>
      </c>
      <c r="G8412">
        <v>12</v>
      </c>
    </row>
    <row r="8413" spans="1:10" x14ac:dyDescent="0.2">
      <c r="A8413" t="s">
        <v>4266</v>
      </c>
      <c r="B8413">
        <v>0</v>
      </c>
      <c r="C8413">
        <v>0</v>
      </c>
      <c r="D8413">
        <v>0</v>
      </c>
      <c r="E8413">
        <v>0</v>
      </c>
      <c r="F8413">
        <v>0</v>
      </c>
      <c r="G8413">
        <v>0</v>
      </c>
    </row>
    <row r="8414" spans="1:10" x14ac:dyDescent="0.2">
      <c r="A8414" t="s">
        <v>4267</v>
      </c>
      <c r="B8414">
        <v>11</v>
      </c>
      <c r="C8414">
        <v>2</v>
      </c>
      <c r="D8414">
        <v>2</v>
      </c>
      <c r="E8414">
        <v>1</v>
      </c>
      <c r="F8414">
        <v>0</v>
      </c>
      <c r="G8414">
        <v>16</v>
      </c>
    </row>
    <row r="8415" spans="1:10" x14ac:dyDescent="0.2">
      <c r="A8415" t="s">
        <v>4268</v>
      </c>
      <c r="B8415">
        <v>0</v>
      </c>
      <c r="C8415">
        <v>8</v>
      </c>
      <c r="D8415">
        <v>1</v>
      </c>
      <c r="E8415">
        <v>0</v>
      </c>
      <c r="F8415">
        <v>0</v>
      </c>
      <c r="G8415">
        <v>9</v>
      </c>
    </row>
    <row r="8416" spans="1:10" x14ac:dyDescent="0.2">
      <c r="A8416" t="s">
        <v>4269</v>
      </c>
      <c r="B8416">
        <v>16</v>
      </c>
      <c r="C8416">
        <v>0</v>
      </c>
      <c r="D8416">
        <v>10</v>
      </c>
      <c r="E8416">
        <v>0</v>
      </c>
      <c r="F8416">
        <v>0</v>
      </c>
      <c r="G8416">
        <v>26</v>
      </c>
    </row>
    <row r="8417" spans="1:7" x14ac:dyDescent="0.2">
      <c r="A8417" t="s">
        <v>4270</v>
      </c>
      <c r="B8417">
        <v>0</v>
      </c>
      <c r="C8417">
        <v>0</v>
      </c>
      <c r="D8417">
        <v>0</v>
      </c>
      <c r="E8417">
        <v>0</v>
      </c>
      <c r="F8417">
        <v>0</v>
      </c>
      <c r="G8417">
        <v>0</v>
      </c>
    </row>
    <row r="8418" spans="1:7" x14ac:dyDescent="0.2">
      <c r="A8418" t="s">
        <v>4271</v>
      </c>
      <c r="B8418">
        <v>2</v>
      </c>
      <c r="C8418">
        <v>6</v>
      </c>
      <c r="D8418">
        <v>1</v>
      </c>
      <c r="E8418">
        <v>0</v>
      </c>
      <c r="F8418">
        <v>0</v>
      </c>
      <c r="G8418">
        <v>9</v>
      </c>
    </row>
    <row r="8419" spans="1:7" x14ac:dyDescent="0.2">
      <c r="A8419" t="s">
        <v>4272</v>
      </c>
      <c r="B8419">
        <v>2</v>
      </c>
      <c r="C8419">
        <v>1</v>
      </c>
      <c r="D8419">
        <v>0</v>
      </c>
      <c r="E8419">
        <v>0</v>
      </c>
      <c r="F8419">
        <v>0</v>
      </c>
      <c r="G8419">
        <v>3</v>
      </c>
    </row>
    <row r="8420" spans="1:7" x14ac:dyDescent="0.2">
      <c r="A8420" t="s">
        <v>4273</v>
      </c>
      <c r="B8420">
        <v>0</v>
      </c>
      <c r="C8420">
        <v>0</v>
      </c>
      <c r="D8420">
        <v>0</v>
      </c>
      <c r="E8420">
        <v>0</v>
      </c>
      <c r="F8420">
        <v>9</v>
      </c>
      <c r="G8420">
        <v>9</v>
      </c>
    </row>
    <row r="8421" spans="1:7" x14ac:dyDescent="0.2">
      <c r="A8421" t="s">
        <v>4274</v>
      </c>
      <c r="B8421">
        <v>0</v>
      </c>
      <c r="C8421">
        <v>0</v>
      </c>
      <c r="D8421">
        <v>0</v>
      </c>
      <c r="E8421">
        <v>0</v>
      </c>
      <c r="F8421">
        <v>0</v>
      </c>
      <c r="G8421">
        <v>0</v>
      </c>
    </row>
    <row r="8422" spans="1:7" x14ac:dyDescent="0.2">
      <c r="A8422" t="s">
        <v>4275</v>
      </c>
      <c r="B8422">
        <v>0</v>
      </c>
      <c r="C8422">
        <v>0</v>
      </c>
      <c r="D8422">
        <v>0</v>
      </c>
      <c r="E8422">
        <v>0</v>
      </c>
      <c r="F8422">
        <v>0</v>
      </c>
      <c r="G8422">
        <v>0</v>
      </c>
    </row>
    <row r="8423" spans="1:7" x14ac:dyDescent="0.2">
      <c r="A8423" t="s">
        <v>4276</v>
      </c>
      <c r="B8423">
        <v>0</v>
      </c>
      <c r="C8423">
        <v>0</v>
      </c>
      <c r="D8423">
        <v>0</v>
      </c>
      <c r="E8423">
        <v>0</v>
      </c>
      <c r="F8423">
        <v>0</v>
      </c>
      <c r="G8423">
        <v>0</v>
      </c>
    </row>
    <row r="8424" spans="1:7" x14ac:dyDescent="0.2">
      <c r="A8424" t="s">
        <v>4277</v>
      </c>
      <c r="B8424">
        <v>0</v>
      </c>
      <c r="C8424">
        <v>0</v>
      </c>
      <c r="D8424">
        <v>0</v>
      </c>
      <c r="E8424">
        <v>0</v>
      </c>
      <c r="F8424">
        <v>0</v>
      </c>
      <c r="G8424">
        <v>0</v>
      </c>
    </row>
    <row r="8425" spans="1:7" x14ac:dyDescent="0.2">
      <c r="A8425" t="s">
        <v>4278</v>
      </c>
      <c r="B8425">
        <v>0</v>
      </c>
      <c r="C8425">
        <v>0</v>
      </c>
      <c r="D8425">
        <v>0</v>
      </c>
      <c r="E8425">
        <v>0</v>
      </c>
      <c r="F8425">
        <v>0</v>
      </c>
      <c r="G8425">
        <v>0</v>
      </c>
    </row>
    <row r="8426" spans="1:7" x14ac:dyDescent="0.2">
      <c r="A8426" t="s">
        <v>4279</v>
      </c>
      <c r="B8426">
        <v>3</v>
      </c>
      <c r="C8426">
        <v>4</v>
      </c>
      <c r="D8426">
        <v>5</v>
      </c>
      <c r="E8426">
        <v>0</v>
      </c>
      <c r="F8426">
        <v>0</v>
      </c>
      <c r="G8426">
        <v>12</v>
      </c>
    </row>
    <row r="8427" spans="1:7" x14ac:dyDescent="0.2">
      <c r="A8427" t="s">
        <v>4280</v>
      </c>
      <c r="B8427">
        <v>0</v>
      </c>
      <c r="C8427">
        <v>1</v>
      </c>
      <c r="D8427">
        <v>0</v>
      </c>
      <c r="E8427">
        <v>0</v>
      </c>
      <c r="F8427">
        <v>0</v>
      </c>
      <c r="G8427">
        <v>2</v>
      </c>
    </row>
    <row r="8428" spans="1:7" x14ac:dyDescent="0.2">
      <c r="A8428" t="s">
        <v>4281</v>
      </c>
      <c r="B8428">
        <v>1</v>
      </c>
      <c r="C8428">
        <v>1</v>
      </c>
      <c r="D8428">
        <v>1</v>
      </c>
      <c r="E8428">
        <v>1</v>
      </c>
      <c r="F8428">
        <v>0</v>
      </c>
      <c r="G8428">
        <v>3</v>
      </c>
    </row>
    <row r="8429" spans="1:7" x14ac:dyDescent="0.2">
      <c r="A8429" t="s">
        <v>4282</v>
      </c>
      <c r="B8429">
        <v>0</v>
      </c>
      <c r="C8429">
        <v>1</v>
      </c>
      <c r="D8429">
        <v>1</v>
      </c>
      <c r="E8429">
        <v>0</v>
      </c>
      <c r="F8429">
        <v>0</v>
      </c>
      <c r="G8429">
        <v>2</v>
      </c>
    </row>
    <row r="8430" spans="1:7" x14ac:dyDescent="0.2">
      <c r="A8430" t="s">
        <v>4283</v>
      </c>
      <c r="B8430">
        <v>5</v>
      </c>
      <c r="C8430">
        <v>2</v>
      </c>
      <c r="D8430">
        <v>5</v>
      </c>
      <c r="E8430">
        <v>1</v>
      </c>
      <c r="F8430">
        <v>0</v>
      </c>
      <c r="G8430">
        <v>13</v>
      </c>
    </row>
    <row r="8431" spans="1:7" x14ac:dyDescent="0.2">
      <c r="A8431" t="s">
        <v>4284</v>
      </c>
      <c r="B8431">
        <v>0</v>
      </c>
      <c r="C8431">
        <v>0</v>
      </c>
      <c r="D8431">
        <v>1</v>
      </c>
      <c r="E8431">
        <v>0</v>
      </c>
      <c r="F8431">
        <v>0</v>
      </c>
      <c r="G8431">
        <v>2</v>
      </c>
    </row>
    <row r="8432" spans="1:7" x14ac:dyDescent="0.2">
      <c r="A8432" t="s">
        <v>4285</v>
      </c>
      <c r="B8432">
        <v>1</v>
      </c>
      <c r="C8432">
        <v>1</v>
      </c>
      <c r="D8432">
        <v>0</v>
      </c>
      <c r="E8432">
        <v>1</v>
      </c>
      <c r="F8432">
        <v>0</v>
      </c>
      <c r="G8432">
        <v>3</v>
      </c>
    </row>
    <row r="8433" spans="1:7" x14ac:dyDescent="0.2">
      <c r="A8433" t="s">
        <v>4286</v>
      </c>
      <c r="B8433">
        <v>0</v>
      </c>
      <c r="C8433">
        <v>0</v>
      </c>
      <c r="D8433">
        <v>0</v>
      </c>
      <c r="E8433">
        <v>0</v>
      </c>
      <c r="F8433">
        <v>0</v>
      </c>
      <c r="G8433">
        <v>0</v>
      </c>
    </row>
    <row r="8434" spans="1:7" x14ac:dyDescent="0.2">
      <c r="A8434" t="s">
        <v>4287</v>
      </c>
      <c r="B8434">
        <v>0</v>
      </c>
      <c r="C8434">
        <v>0</v>
      </c>
      <c r="D8434">
        <v>0</v>
      </c>
      <c r="E8434">
        <v>0</v>
      </c>
      <c r="F8434">
        <v>0</v>
      </c>
      <c r="G8434">
        <v>0</v>
      </c>
    </row>
    <row r="8435" spans="1:7" x14ac:dyDescent="0.2">
      <c r="A8435" t="s">
        <v>4288</v>
      </c>
      <c r="B8435">
        <v>0</v>
      </c>
      <c r="C8435">
        <v>0</v>
      </c>
      <c r="D8435">
        <v>0</v>
      </c>
      <c r="E8435">
        <v>0</v>
      </c>
      <c r="F8435">
        <v>0</v>
      </c>
      <c r="G8435">
        <v>0</v>
      </c>
    </row>
    <row r="8436" spans="1:7" x14ac:dyDescent="0.2">
      <c r="A8436" t="s">
        <v>4289</v>
      </c>
      <c r="B8436">
        <v>0</v>
      </c>
      <c r="C8436">
        <v>0</v>
      </c>
      <c r="D8436">
        <v>0</v>
      </c>
      <c r="E8436">
        <v>0</v>
      </c>
      <c r="F8436">
        <v>0</v>
      </c>
      <c r="G8436">
        <v>0</v>
      </c>
    </row>
    <row r="8437" spans="1:7" x14ac:dyDescent="0.2">
      <c r="A8437" t="s">
        <v>4290</v>
      </c>
      <c r="B8437">
        <v>0</v>
      </c>
      <c r="C8437">
        <v>0</v>
      </c>
      <c r="D8437">
        <v>0</v>
      </c>
      <c r="E8437">
        <v>0</v>
      </c>
      <c r="F8437">
        <v>0</v>
      </c>
      <c r="G8437">
        <v>0</v>
      </c>
    </row>
    <row r="8438" spans="1:7" x14ac:dyDescent="0.2">
      <c r="A8438" t="s">
        <v>4291</v>
      </c>
      <c r="B8438">
        <v>0</v>
      </c>
      <c r="C8438">
        <v>0</v>
      </c>
      <c r="D8438">
        <v>0</v>
      </c>
      <c r="E8438">
        <v>0</v>
      </c>
      <c r="F8438">
        <v>0</v>
      </c>
      <c r="G8438">
        <v>0</v>
      </c>
    </row>
    <row r="8439" spans="1:7" x14ac:dyDescent="0.2">
      <c r="A8439" t="s">
        <v>4292</v>
      </c>
      <c r="B8439">
        <v>0</v>
      </c>
      <c r="C8439">
        <v>0</v>
      </c>
      <c r="D8439">
        <v>0</v>
      </c>
      <c r="E8439">
        <v>0</v>
      </c>
      <c r="F8439">
        <v>0</v>
      </c>
      <c r="G8439">
        <v>0</v>
      </c>
    </row>
    <row r="8440" spans="1:7" x14ac:dyDescent="0.2">
      <c r="A8440" t="s">
        <v>4293</v>
      </c>
      <c r="B8440">
        <v>0</v>
      </c>
      <c r="C8440">
        <v>0</v>
      </c>
      <c r="D8440">
        <v>0</v>
      </c>
      <c r="E8440">
        <v>0</v>
      </c>
      <c r="F8440">
        <v>0</v>
      </c>
      <c r="G8440">
        <v>0</v>
      </c>
    </row>
    <row r="8441" spans="1:7" x14ac:dyDescent="0.2">
      <c r="A8441" t="s">
        <v>4294</v>
      </c>
      <c r="B8441">
        <v>0</v>
      </c>
      <c r="C8441">
        <v>0</v>
      </c>
      <c r="D8441">
        <v>0</v>
      </c>
      <c r="E8441">
        <v>0</v>
      </c>
      <c r="F8441">
        <v>0</v>
      </c>
      <c r="G8441">
        <v>0</v>
      </c>
    </row>
    <row r="8442" spans="1:7" x14ac:dyDescent="0.2">
      <c r="A8442" t="s">
        <v>4295</v>
      </c>
      <c r="B8442">
        <v>0</v>
      </c>
      <c r="C8442">
        <v>0</v>
      </c>
      <c r="D8442">
        <v>0</v>
      </c>
      <c r="E8442">
        <v>0</v>
      </c>
      <c r="F8442">
        <v>0</v>
      </c>
      <c r="G8442">
        <v>0</v>
      </c>
    </row>
    <row r="8443" spans="1:7" x14ac:dyDescent="0.2">
      <c r="A8443" t="s">
        <v>4296</v>
      </c>
      <c r="B8443">
        <v>0</v>
      </c>
      <c r="C8443">
        <v>0</v>
      </c>
      <c r="D8443">
        <v>0</v>
      </c>
      <c r="E8443">
        <v>0</v>
      </c>
      <c r="F8443">
        <v>0</v>
      </c>
      <c r="G8443">
        <v>0</v>
      </c>
    </row>
    <row r="8444" spans="1:7" x14ac:dyDescent="0.2">
      <c r="A8444" t="s">
        <v>4297</v>
      </c>
      <c r="B8444">
        <v>0</v>
      </c>
      <c r="C8444">
        <v>1</v>
      </c>
      <c r="D8444">
        <v>0</v>
      </c>
      <c r="E8444">
        <v>0</v>
      </c>
      <c r="F8444">
        <v>0</v>
      </c>
      <c r="G8444">
        <v>1</v>
      </c>
    </row>
    <row r="8445" spans="1:7" x14ac:dyDescent="0.2">
      <c r="A8445" t="s">
        <v>4298</v>
      </c>
      <c r="B8445">
        <v>0</v>
      </c>
      <c r="C8445">
        <v>0</v>
      </c>
      <c r="D8445">
        <v>0</v>
      </c>
      <c r="E8445">
        <v>0</v>
      </c>
      <c r="F8445">
        <v>0</v>
      </c>
      <c r="G8445">
        <v>0</v>
      </c>
    </row>
    <row r="8446" spans="1:7" x14ac:dyDescent="0.2">
      <c r="A8446" t="s">
        <v>4299</v>
      </c>
      <c r="B8446">
        <v>0</v>
      </c>
      <c r="C8446">
        <v>0</v>
      </c>
      <c r="D8446">
        <v>0</v>
      </c>
      <c r="E8446">
        <v>0</v>
      </c>
      <c r="F8446">
        <v>0</v>
      </c>
      <c r="G8446">
        <v>0</v>
      </c>
    </row>
    <row r="8447" spans="1:7" x14ac:dyDescent="0.2">
      <c r="A8447" t="s">
        <v>4300</v>
      </c>
      <c r="B8447">
        <v>0</v>
      </c>
      <c r="C8447">
        <v>0</v>
      </c>
      <c r="D8447">
        <v>0</v>
      </c>
      <c r="E8447">
        <v>0</v>
      </c>
      <c r="F8447">
        <v>0</v>
      </c>
      <c r="G8447">
        <v>0</v>
      </c>
    </row>
    <row r="8448" spans="1:7" x14ac:dyDescent="0.2">
      <c r="A8448" t="s">
        <v>4301</v>
      </c>
      <c r="B8448">
        <v>0</v>
      </c>
      <c r="C8448">
        <v>1</v>
      </c>
      <c r="D8448">
        <v>0</v>
      </c>
      <c r="E8448">
        <v>0</v>
      </c>
      <c r="F8448">
        <v>0</v>
      </c>
      <c r="G8448">
        <v>1</v>
      </c>
    </row>
    <row r="8449" spans="1:7" x14ac:dyDescent="0.2">
      <c r="A8449" t="s">
        <v>4302</v>
      </c>
      <c r="B8449">
        <v>0</v>
      </c>
      <c r="C8449">
        <v>0</v>
      </c>
      <c r="D8449">
        <v>0</v>
      </c>
      <c r="E8449">
        <v>0</v>
      </c>
      <c r="F8449">
        <v>0</v>
      </c>
      <c r="G8449">
        <v>0</v>
      </c>
    </row>
    <row r="8450" spans="1:7" x14ac:dyDescent="0.2">
      <c r="A8450" t="s">
        <v>4303</v>
      </c>
      <c r="B8450">
        <v>0</v>
      </c>
      <c r="C8450">
        <v>0</v>
      </c>
      <c r="D8450">
        <v>0</v>
      </c>
      <c r="E8450">
        <v>0</v>
      </c>
      <c r="F8450">
        <v>0</v>
      </c>
      <c r="G8450">
        <v>0</v>
      </c>
    </row>
    <row r="8451" spans="1:7" x14ac:dyDescent="0.2">
      <c r="A8451" t="s">
        <v>4304</v>
      </c>
      <c r="B8451">
        <v>0</v>
      </c>
      <c r="C8451">
        <v>0</v>
      </c>
      <c r="D8451">
        <v>0</v>
      </c>
      <c r="E8451">
        <v>0</v>
      </c>
      <c r="F8451">
        <v>0</v>
      </c>
      <c r="G8451">
        <v>0</v>
      </c>
    </row>
    <row r="8452" spans="1:7" x14ac:dyDescent="0.2">
      <c r="A8452" t="s">
        <v>4305</v>
      </c>
      <c r="B8452">
        <v>0</v>
      </c>
      <c r="C8452">
        <v>0</v>
      </c>
      <c r="D8452">
        <v>0</v>
      </c>
      <c r="E8452">
        <v>0</v>
      </c>
      <c r="F8452">
        <v>0</v>
      </c>
      <c r="G8452">
        <v>0</v>
      </c>
    </row>
    <row r="8453" spans="1:7" x14ac:dyDescent="0.2">
      <c r="A8453" t="s">
        <v>4306</v>
      </c>
      <c r="B8453">
        <v>0</v>
      </c>
      <c r="C8453">
        <v>0</v>
      </c>
      <c r="D8453">
        <v>0</v>
      </c>
      <c r="E8453">
        <v>0</v>
      </c>
      <c r="F8453">
        <v>0</v>
      </c>
      <c r="G8453">
        <v>0</v>
      </c>
    </row>
    <row r="8454" spans="1:7" x14ac:dyDescent="0.2">
      <c r="A8454" t="s">
        <v>4307</v>
      </c>
      <c r="B8454">
        <v>0</v>
      </c>
      <c r="C8454">
        <v>0</v>
      </c>
      <c r="D8454">
        <v>0</v>
      </c>
      <c r="E8454">
        <v>0</v>
      </c>
      <c r="F8454">
        <v>0</v>
      </c>
      <c r="G8454">
        <v>0</v>
      </c>
    </row>
    <row r="8455" spans="1:7" x14ac:dyDescent="0.2">
      <c r="A8455" t="s">
        <v>4308</v>
      </c>
      <c r="B8455">
        <v>0</v>
      </c>
      <c r="C8455">
        <v>0</v>
      </c>
      <c r="D8455">
        <v>0</v>
      </c>
      <c r="E8455">
        <v>0</v>
      </c>
      <c r="F8455">
        <v>0</v>
      </c>
      <c r="G8455">
        <v>0</v>
      </c>
    </row>
    <row r="8456" spans="1:7" x14ac:dyDescent="0.2">
      <c r="A8456" t="s">
        <v>4309</v>
      </c>
      <c r="B8456">
        <v>0</v>
      </c>
      <c r="C8456">
        <v>0</v>
      </c>
      <c r="D8456">
        <v>0</v>
      </c>
      <c r="E8456">
        <v>0</v>
      </c>
      <c r="F8456">
        <v>0</v>
      </c>
      <c r="G8456">
        <v>0</v>
      </c>
    </row>
    <row r="8457" spans="1:7" x14ac:dyDescent="0.2">
      <c r="A8457" t="s">
        <v>4310</v>
      </c>
      <c r="B8457">
        <v>0</v>
      </c>
      <c r="C8457">
        <v>0</v>
      </c>
      <c r="D8457">
        <v>0</v>
      </c>
      <c r="E8457">
        <v>0</v>
      </c>
      <c r="F8457">
        <v>0</v>
      </c>
      <c r="G8457">
        <v>0</v>
      </c>
    </row>
    <row r="8458" spans="1:7" x14ac:dyDescent="0.2">
      <c r="A8458" t="s">
        <v>4311</v>
      </c>
      <c r="B8458">
        <v>0</v>
      </c>
      <c r="C8458">
        <v>0</v>
      </c>
      <c r="D8458">
        <v>0</v>
      </c>
      <c r="E8458">
        <v>0</v>
      </c>
      <c r="F8458">
        <v>0</v>
      </c>
      <c r="G8458">
        <v>0</v>
      </c>
    </row>
    <row r="8459" spans="1:7" x14ac:dyDescent="0.2">
      <c r="A8459" t="s">
        <v>4312</v>
      </c>
      <c r="B8459">
        <v>0</v>
      </c>
      <c r="C8459">
        <v>0</v>
      </c>
      <c r="D8459">
        <v>0</v>
      </c>
      <c r="E8459">
        <v>0</v>
      </c>
      <c r="F8459">
        <v>0</v>
      </c>
      <c r="G8459">
        <v>0</v>
      </c>
    </row>
    <row r="8460" spans="1:7" x14ac:dyDescent="0.2">
      <c r="A8460" t="s">
        <v>4313</v>
      </c>
      <c r="B8460">
        <v>0</v>
      </c>
      <c r="C8460">
        <v>0</v>
      </c>
      <c r="D8460">
        <v>0</v>
      </c>
      <c r="E8460">
        <v>0</v>
      </c>
      <c r="F8460">
        <v>0</v>
      </c>
      <c r="G8460">
        <v>0</v>
      </c>
    </row>
    <row r="8461" spans="1:7" x14ac:dyDescent="0.2">
      <c r="A8461" t="s">
        <v>4314</v>
      </c>
      <c r="B8461">
        <v>0</v>
      </c>
      <c r="C8461">
        <v>0</v>
      </c>
      <c r="D8461">
        <v>0</v>
      </c>
      <c r="E8461">
        <v>0</v>
      </c>
      <c r="F8461">
        <v>0</v>
      </c>
      <c r="G8461">
        <v>0</v>
      </c>
    </row>
    <row r="8462" spans="1:7" x14ac:dyDescent="0.2">
      <c r="A8462" t="s">
        <v>4315</v>
      </c>
      <c r="B8462">
        <v>0</v>
      </c>
      <c r="C8462">
        <v>0</v>
      </c>
      <c r="D8462">
        <v>0</v>
      </c>
      <c r="E8462">
        <v>0</v>
      </c>
      <c r="F8462">
        <v>0</v>
      </c>
      <c r="G8462">
        <v>0</v>
      </c>
    </row>
    <row r="8463" spans="1:7" x14ac:dyDescent="0.2">
      <c r="A8463" t="s">
        <v>4316</v>
      </c>
      <c r="B8463">
        <v>0</v>
      </c>
      <c r="C8463">
        <v>0</v>
      </c>
      <c r="D8463">
        <v>0</v>
      </c>
      <c r="E8463">
        <v>0</v>
      </c>
      <c r="F8463">
        <v>0</v>
      </c>
      <c r="G8463">
        <v>0</v>
      </c>
    </row>
    <row r="8464" spans="1:7" x14ac:dyDescent="0.2">
      <c r="A8464" t="s">
        <v>4317</v>
      </c>
      <c r="B8464">
        <v>0</v>
      </c>
      <c r="C8464">
        <v>0</v>
      </c>
      <c r="D8464">
        <v>0</v>
      </c>
      <c r="E8464">
        <v>0</v>
      </c>
      <c r="F8464">
        <v>0</v>
      </c>
      <c r="G8464">
        <v>0</v>
      </c>
    </row>
    <row r="8465" spans="1:7" x14ac:dyDescent="0.2">
      <c r="A8465" t="s">
        <v>4318</v>
      </c>
      <c r="B8465">
        <v>0</v>
      </c>
      <c r="C8465">
        <v>0</v>
      </c>
      <c r="D8465">
        <v>0</v>
      </c>
      <c r="E8465">
        <v>0</v>
      </c>
      <c r="F8465">
        <v>0</v>
      </c>
      <c r="G8465">
        <v>0</v>
      </c>
    </row>
    <row r="8466" spans="1:7" x14ac:dyDescent="0.2">
      <c r="A8466" t="s">
        <v>4319</v>
      </c>
      <c r="B8466">
        <v>0</v>
      </c>
      <c r="C8466">
        <v>0</v>
      </c>
      <c r="D8466">
        <v>0</v>
      </c>
      <c r="E8466">
        <v>0</v>
      </c>
      <c r="F8466">
        <v>0</v>
      </c>
      <c r="G8466">
        <v>0</v>
      </c>
    </row>
    <row r="8467" spans="1:7" x14ac:dyDescent="0.2">
      <c r="A8467" t="s">
        <v>4320</v>
      </c>
      <c r="B8467">
        <v>0</v>
      </c>
      <c r="C8467">
        <v>0</v>
      </c>
      <c r="D8467">
        <v>0</v>
      </c>
      <c r="E8467">
        <v>0</v>
      </c>
      <c r="F8467">
        <v>0</v>
      </c>
      <c r="G8467">
        <v>0</v>
      </c>
    </row>
    <row r="8468" spans="1:7" x14ac:dyDescent="0.2">
      <c r="A8468" t="s">
        <v>4321</v>
      </c>
      <c r="B8468">
        <v>0</v>
      </c>
      <c r="C8468">
        <v>0</v>
      </c>
      <c r="D8468">
        <v>0</v>
      </c>
      <c r="E8468">
        <v>0</v>
      </c>
      <c r="F8468">
        <v>0</v>
      </c>
      <c r="G8468">
        <v>0</v>
      </c>
    </row>
    <row r="8469" spans="1:7" x14ac:dyDescent="0.2">
      <c r="A8469" t="s">
        <v>4322</v>
      </c>
      <c r="B8469">
        <v>0</v>
      </c>
      <c r="C8469">
        <v>0</v>
      </c>
      <c r="D8469">
        <v>0</v>
      </c>
      <c r="E8469">
        <v>0</v>
      </c>
      <c r="F8469">
        <v>0</v>
      </c>
      <c r="G8469">
        <v>0</v>
      </c>
    </row>
    <row r="8470" spans="1:7" x14ac:dyDescent="0.2">
      <c r="A8470" t="s">
        <v>4323</v>
      </c>
      <c r="B8470">
        <v>0</v>
      </c>
      <c r="C8470">
        <v>0</v>
      </c>
      <c r="D8470">
        <v>0</v>
      </c>
      <c r="E8470">
        <v>0</v>
      </c>
      <c r="F8470">
        <v>0</v>
      </c>
      <c r="G8470">
        <v>0</v>
      </c>
    </row>
    <row r="8471" spans="1:7" x14ac:dyDescent="0.2">
      <c r="A8471" t="s">
        <v>4324</v>
      </c>
      <c r="B8471">
        <v>0</v>
      </c>
      <c r="C8471">
        <v>0</v>
      </c>
      <c r="D8471">
        <v>0</v>
      </c>
      <c r="E8471">
        <v>0</v>
      </c>
      <c r="F8471">
        <v>0</v>
      </c>
      <c r="G8471">
        <v>0</v>
      </c>
    </row>
    <row r="8472" spans="1:7" x14ac:dyDescent="0.2">
      <c r="A8472" t="s">
        <v>4325</v>
      </c>
      <c r="B8472">
        <v>0</v>
      </c>
      <c r="C8472">
        <v>0</v>
      </c>
      <c r="D8472">
        <v>0</v>
      </c>
      <c r="E8472">
        <v>0</v>
      </c>
      <c r="F8472">
        <v>0</v>
      </c>
      <c r="G8472">
        <v>0</v>
      </c>
    </row>
    <row r="8473" spans="1:7" x14ac:dyDescent="0.2">
      <c r="A8473" t="s">
        <v>4326</v>
      </c>
      <c r="B8473">
        <v>0</v>
      </c>
      <c r="C8473">
        <v>0</v>
      </c>
      <c r="D8473">
        <v>0</v>
      </c>
      <c r="E8473">
        <v>0</v>
      </c>
      <c r="F8473">
        <v>0</v>
      </c>
      <c r="G8473">
        <v>0</v>
      </c>
    </row>
    <row r="8474" spans="1:7" x14ac:dyDescent="0.2">
      <c r="A8474" t="s">
        <v>4327</v>
      </c>
      <c r="B8474">
        <v>0</v>
      </c>
      <c r="C8474">
        <v>0</v>
      </c>
      <c r="D8474">
        <v>0</v>
      </c>
      <c r="E8474">
        <v>0</v>
      </c>
      <c r="F8474">
        <v>0</v>
      </c>
      <c r="G8474">
        <v>0</v>
      </c>
    </row>
    <row r="8475" spans="1:7" x14ac:dyDescent="0.2">
      <c r="A8475" t="s">
        <v>4328</v>
      </c>
      <c r="B8475">
        <v>0</v>
      </c>
      <c r="C8475">
        <v>0</v>
      </c>
      <c r="D8475">
        <v>0</v>
      </c>
      <c r="E8475">
        <v>0</v>
      </c>
      <c r="F8475">
        <v>0</v>
      </c>
      <c r="G8475">
        <v>0</v>
      </c>
    </row>
    <row r="8476" spans="1:7" x14ac:dyDescent="0.2">
      <c r="A8476" t="s">
        <v>4329</v>
      </c>
      <c r="B8476">
        <v>0</v>
      </c>
      <c r="C8476">
        <v>0</v>
      </c>
      <c r="D8476">
        <v>0</v>
      </c>
      <c r="E8476">
        <v>0</v>
      </c>
      <c r="F8476">
        <v>0</v>
      </c>
      <c r="G8476">
        <v>0</v>
      </c>
    </row>
    <row r="8477" spans="1:7" x14ac:dyDescent="0.2">
      <c r="A8477" t="s">
        <v>4330</v>
      </c>
      <c r="B8477">
        <v>0</v>
      </c>
      <c r="C8477">
        <v>0</v>
      </c>
      <c r="D8477">
        <v>0</v>
      </c>
      <c r="E8477">
        <v>0</v>
      </c>
      <c r="F8477">
        <v>0</v>
      </c>
      <c r="G8477">
        <v>0</v>
      </c>
    </row>
    <row r="8478" spans="1:7" x14ac:dyDescent="0.2">
      <c r="A8478" t="s">
        <v>4331</v>
      </c>
      <c r="B8478">
        <v>0</v>
      </c>
      <c r="C8478">
        <v>0</v>
      </c>
      <c r="D8478">
        <v>0</v>
      </c>
      <c r="E8478">
        <v>0</v>
      </c>
      <c r="F8478">
        <v>0</v>
      </c>
      <c r="G8478">
        <v>0</v>
      </c>
    </row>
    <row r="8479" spans="1:7" x14ac:dyDescent="0.2">
      <c r="A8479" t="s">
        <v>4332</v>
      </c>
      <c r="B8479">
        <v>0</v>
      </c>
      <c r="C8479">
        <v>0</v>
      </c>
      <c r="D8479">
        <v>0</v>
      </c>
      <c r="E8479">
        <v>0</v>
      </c>
      <c r="F8479">
        <v>0</v>
      </c>
      <c r="G8479">
        <v>0</v>
      </c>
    </row>
    <row r="8480" spans="1:7" x14ac:dyDescent="0.2">
      <c r="A8480" t="s">
        <v>4333</v>
      </c>
      <c r="B8480">
        <v>0</v>
      </c>
      <c r="C8480">
        <v>0</v>
      </c>
      <c r="D8480">
        <v>0</v>
      </c>
      <c r="E8480">
        <v>0</v>
      </c>
      <c r="F8480">
        <v>0</v>
      </c>
      <c r="G8480">
        <v>0</v>
      </c>
    </row>
    <row r="8481" spans="1:7" x14ac:dyDescent="0.2">
      <c r="A8481" t="s">
        <v>4334</v>
      </c>
      <c r="B8481">
        <v>0</v>
      </c>
      <c r="C8481">
        <v>0</v>
      </c>
      <c r="D8481">
        <v>0</v>
      </c>
      <c r="E8481">
        <v>0</v>
      </c>
      <c r="F8481">
        <v>0</v>
      </c>
      <c r="G8481">
        <v>0</v>
      </c>
    </row>
    <row r="8482" spans="1:7" x14ac:dyDescent="0.2">
      <c r="A8482" t="s">
        <v>4335</v>
      </c>
      <c r="B8482">
        <v>0</v>
      </c>
      <c r="C8482">
        <v>0</v>
      </c>
      <c r="D8482">
        <v>0</v>
      </c>
      <c r="E8482">
        <v>0</v>
      </c>
      <c r="F8482">
        <v>0</v>
      </c>
      <c r="G8482">
        <v>0</v>
      </c>
    </row>
    <row r="8483" spans="1:7" x14ac:dyDescent="0.2">
      <c r="A8483" t="s">
        <v>4336</v>
      </c>
      <c r="B8483">
        <v>0</v>
      </c>
      <c r="C8483">
        <v>0</v>
      </c>
      <c r="D8483">
        <v>0</v>
      </c>
      <c r="E8483">
        <v>0</v>
      </c>
      <c r="F8483">
        <v>0</v>
      </c>
      <c r="G8483">
        <v>0</v>
      </c>
    </row>
    <row r="8484" spans="1:7" x14ac:dyDescent="0.2">
      <c r="A8484" t="s">
        <v>4337</v>
      </c>
      <c r="B8484">
        <v>0</v>
      </c>
      <c r="C8484">
        <v>0</v>
      </c>
      <c r="D8484">
        <v>0</v>
      </c>
      <c r="E8484">
        <v>0</v>
      </c>
      <c r="F8484">
        <v>0</v>
      </c>
      <c r="G8484">
        <v>0</v>
      </c>
    </row>
    <row r="8485" spans="1:7" x14ac:dyDescent="0.2">
      <c r="A8485" t="s">
        <v>4338</v>
      </c>
      <c r="B8485">
        <v>0</v>
      </c>
      <c r="C8485">
        <v>0</v>
      </c>
      <c r="D8485">
        <v>0</v>
      </c>
      <c r="E8485">
        <v>0</v>
      </c>
      <c r="F8485">
        <v>0</v>
      </c>
      <c r="G8485">
        <v>0</v>
      </c>
    </row>
    <row r="8486" spans="1:7" x14ac:dyDescent="0.2">
      <c r="A8486" t="s">
        <v>4339</v>
      </c>
      <c r="B8486">
        <v>0</v>
      </c>
      <c r="C8486">
        <v>0</v>
      </c>
      <c r="D8486">
        <v>0</v>
      </c>
      <c r="E8486">
        <v>0</v>
      </c>
      <c r="F8486">
        <v>0</v>
      </c>
      <c r="G8486">
        <v>0</v>
      </c>
    </row>
    <row r="8487" spans="1:7" x14ac:dyDescent="0.2">
      <c r="A8487" t="s">
        <v>4340</v>
      </c>
      <c r="B8487">
        <v>0</v>
      </c>
      <c r="C8487">
        <v>0</v>
      </c>
      <c r="D8487">
        <v>0</v>
      </c>
      <c r="E8487">
        <v>0</v>
      </c>
      <c r="F8487">
        <v>0</v>
      </c>
      <c r="G8487">
        <v>0</v>
      </c>
    </row>
    <row r="8488" spans="1:7" x14ac:dyDescent="0.2">
      <c r="A8488" t="s">
        <v>4341</v>
      </c>
      <c r="B8488">
        <v>0</v>
      </c>
      <c r="C8488">
        <v>0</v>
      </c>
      <c r="D8488">
        <v>0</v>
      </c>
      <c r="E8488">
        <v>0</v>
      </c>
      <c r="F8488">
        <v>0</v>
      </c>
      <c r="G8488">
        <v>0</v>
      </c>
    </row>
    <row r="8489" spans="1:7" x14ac:dyDescent="0.2">
      <c r="A8489" t="s">
        <v>4342</v>
      </c>
      <c r="B8489">
        <v>0</v>
      </c>
      <c r="C8489">
        <v>0</v>
      </c>
      <c r="D8489">
        <v>0</v>
      </c>
      <c r="E8489">
        <v>0</v>
      </c>
      <c r="F8489">
        <v>0</v>
      </c>
      <c r="G8489">
        <v>0</v>
      </c>
    </row>
    <row r="8490" spans="1:7" x14ac:dyDescent="0.2">
      <c r="A8490" t="s">
        <v>4343</v>
      </c>
      <c r="B8490">
        <v>0</v>
      </c>
      <c r="C8490">
        <v>0</v>
      </c>
      <c r="D8490">
        <v>0</v>
      </c>
      <c r="E8490">
        <v>0</v>
      </c>
      <c r="F8490">
        <v>0</v>
      </c>
      <c r="G8490">
        <v>0</v>
      </c>
    </row>
    <row r="8491" spans="1:7" x14ac:dyDescent="0.2">
      <c r="A8491" t="s">
        <v>1728</v>
      </c>
      <c r="B8491">
        <v>0</v>
      </c>
      <c r="C8491">
        <v>0</v>
      </c>
      <c r="D8491">
        <v>0</v>
      </c>
      <c r="E8491">
        <v>0</v>
      </c>
      <c r="F8491">
        <v>0</v>
      </c>
      <c r="G8491">
        <v>0</v>
      </c>
    </row>
    <row r="8492" spans="1:7" x14ac:dyDescent="0.2">
      <c r="A8492" t="s">
        <v>1730</v>
      </c>
      <c r="B8492">
        <v>0</v>
      </c>
      <c r="C8492">
        <v>0</v>
      </c>
      <c r="D8492">
        <v>0</v>
      </c>
      <c r="E8492">
        <v>0</v>
      </c>
      <c r="F8492">
        <v>0</v>
      </c>
      <c r="G8492">
        <v>0</v>
      </c>
    </row>
    <row r="8493" spans="1:7" x14ac:dyDescent="0.2">
      <c r="A8493" t="s">
        <v>1733</v>
      </c>
      <c r="B8493">
        <v>0</v>
      </c>
      <c r="C8493">
        <v>0</v>
      </c>
      <c r="D8493">
        <v>0</v>
      </c>
      <c r="E8493">
        <v>0</v>
      </c>
      <c r="F8493">
        <v>0</v>
      </c>
      <c r="G8493">
        <v>0</v>
      </c>
    </row>
    <row r="8494" spans="1:7" x14ac:dyDescent="0.2">
      <c r="A8494" t="s">
        <v>1738</v>
      </c>
      <c r="B8494">
        <v>0</v>
      </c>
      <c r="C8494">
        <v>0</v>
      </c>
      <c r="D8494">
        <v>0</v>
      </c>
      <c r="E8494">
        <v>0</v>
      </c>
      <c r="F8494">
        <v>0</v>
      </c>
      <c r="G8494">
        <v>0</v>
      </c>
    </row>
    <row r="8495" spans="1:7" x14ac:dyDescent="0.2">
      <c r="A8495" t="s">
        <v>1744</v>
      </c>
      <c r="B8495">
        <v>0</v>
      </c>
      <c r="C8495">
        <v>0</v>
      </c>
      <c r="D8495">
        <v>0</v>
      </c>
      <c r="E8495">
        <v>0</v>
      </c>
      <c r="F8495">
        <v>0</v>
      </c>
      <c r="G8495">
        <v>0</v>
      </c>
    </row>
    <row r="8496" spans="1:7" x14ac:dyDescent="0.2">
      <c r="A8496" t="s">
        <v>1747</v>
      </c>
      <c r="B8496">
        <v>0</v>
      </c>
      <c r="C8496">
        <v>0</v>
      </c>
      <c r="D8496">
        <v>0</v>
      </c>
      <c r="E8496">
        <v>0</v>
      </c>
      <c r="F8496">
        <v>0</v>
      </c>
      <c r="G8496">
        <v>0</v>
      </c>
    </row>
    <row r="8497" spans="1:7" x14ac:dyDescent="0.2">
      <c r="A8497" t="s">
        <v>1751</v>
      </c>
      <c r="B8497">
        <v>0</v>
      </c>
      <c r="C8497">
        <v>0</v>
      </c>
      <c r="D8497">
        <v>0</v>
      </c>
      <c r="E8497">
        <v>0</v>
      </c>
      <c r="F8497">
        <v>0</v>
      </c>
      <c r="G8497">
        <v>0</v>
      </c>
    </row>
    <row r="8498" spans="1:7" x14ac:dyDescent="0.2">
      <c r="A8498" t="s">
        <v>1755</v>
      </c>
      <c r="B8498">
        <v>0</v>
      </c>
      <c r="C8498">
        <v>0</v>
      </c>
      <c r="D8498">
        <v>0</v>
      </c>
      <c r="E8498">
        <v>0</v>
      </c>
      <c r="F8498">
        <v>0</v>
      </c>
      <c r="G8498">
        <v>0</v>
      </c>
    </row>
    <row r="8499" spans="1:7" x14ac:dyDescent="0.2">
      <c r="A8499" t="s">
        <v>1757</v>
      </c>
      <c r="B8499">
        <v>0</v>
      </c>
      <c r="C8499">
        <v>0</v>
      </c>
      <c r="D8499">
        <v>0</v>
      </c>
      <c r="E8499">
        <v>0</v>
      </c>
      <c r="F8499">
        <v>0</v>
      </c>
      <c r="G8499">
        <v>0</v>
      </c>
    </row>
    <row r="8500" spans="1:7" x14ac:dyDescent="0.2">
      <c r="A8500" t="s">
        <v>1761</v>
      </c>
      <c r="B8500">
        <v>0</v>
      </c>
      <c r="C8500">
        <v>0</v>
      </c>
      <c r="D8500">
        <v>0</v>
      </c>
      <c r="E8500">
        <v>0</v>
      </c>
      <c r="F8500">
        <v>0</v>
      </c>
      <c r="G8500">
        <v>0</v>
      </c>
    </row>
    <row r="8501" spans="1:7" x14ac:dyDescent="0.2">
      <c r="A8501" t="s">
        <v>1764</v>
      </c>
      <c r="B8501">
        <v>0</v>
      </c>
      <c r="C8501">
        <v>0</v>
      </c>
      <c r="D8501">
        <v>0</v>
      </c>
      <c r="E8501">
        <v>0</v>
      </c>
      <c r="F8501">
        <v>0</v>
      </c>
      <c r="G8501">
        <v>0</v>
      </c>
    </row>
    <row r="8502" spans="1:7" x14ac:dyDescent="0.2">
      <c r="A8502" t="s">
        <v>1770</v>
      </c>
      <c r="B8502">
        <v>0</v>
      </c>
      <c r="C8502">
        <v>0</v>
      </c>
      <c r="D8502">
        <v>0</v>
      </c>
      <c r="E8502">
        <v>0</v>
      </c>
      <c r="F8502">
        <v>0</v>
      </c>
      <c r="G8502">
        <v>0</v>
      </c>
    </row>
    <row r="8503" spans="1:7" x14ac:dyDescent="0.2">
      <c r="A8503" t="s">
        <v>1772</v>
      </c>
      <c r="B8503">
        <v>0</v>
      </c>
      <c r="C8503">
        <v>0</v>
      </c>
      <c r="D8503">
        <v>0</v>
      </c>
      <c r="E8503">
        <v>0</v>
      </c>
      <c r="F8503">
        <v>0</v>
      </c>
      <c r="G8503">
        <v>0</v>
      </c>
    </row>
    <row r="8504" spans="1:7" x14ac:dyDescent="0.2">
      <c r="A8504" t="s">
        <v>1774</v>
      </c>
      <c r="B8504">
        <v>0</v>
      </c>
      <c r="C8504">
        <v>0</v>
      </c>
      <c r="D8504">
        <v>0</v>
      </c>
      <c r="E8504">
        <v>0</v>
      </c>
      <c r="F8504">
        <v>0</v>
      </c>
      <c r="G8504">
        <v>0</v>
      </c>
    </row>
    <row r="8505" spans="1:7" x14ac:dyDescent="0.2">
      <c r="A8505" t="s">
        <v>1777</v>
      </c>
      <c r="B8505">
        <v>0</v>
      </c>
      <c r="C8505">
        <v>0</v>
      </c>
      <c r="D8505">
        <v>0</v>
      </c>
      <c r="E8505">
        <v>0</v>
      </c>
      <c r="F8505">
        <v>0</v>
      </c>
      <c r="G8505">
        <v>0</v>
      </c>
    </row>
    <row r="8506" spans="1:7" x14ac:dyDescent="0.2">
      <c r="A8506" t="s">
        <v>1782</v>
      </c>
      <c r="B8506">
        <v>0</v>
      </c>
      <c r="C8506">
        <v>0</v>
      </c>
      <c r="D8506">
        <v>0</v>
      </c>
      <c r="E8506">
        <v>0</v>
      </c>
      <c r="F8506">
        <v>0</v>
      </c>
      <c r="G8506">
        <v>0</v>
      </c>
    </row>
    <row r="8507" spans="1:7" x14ac:dyDescent="0.2">
      <c r="A8507" t="s">
        <v>1274</v>
      </c>
      <c r="B8507">
        <v>0</v>
      </c>
      <c r="C8507">
        <v>0</v>
      </c>
      <c r="D8507">
        <v>0</v>
      </c>
      <c r="E8507">
        <v>0</v>
      </c>
      <c r="F8507">
        <v>0</v>
      </c>
      <c r="G8507">
        <v>0</v>
      </c>
    </row>
    <row r="8508" spans="1:7" x14ac:dyDescent="0.2">
      <c r="A8508" t="s">
        <v>1277</v>
      </c>
      <c r="B8508">
        <v>0</v>
      </c>
      <c r="C8508">
        <v>0</v>
      </c>
      <c r="D8508">
        <v>0</v>
      </c>
      <c r="E8508">
        <v>0</v>
      </c>
      <c r="F8508">
        <v>0</v>
      </c>
      <c r="G8508">
        <v>0</v>
      </c>
    </row>
    <row r="8509" spans="1:7" x14ac:dyDescent="0.2">
      <c r="A8509" t="s">
        <v>1798</v>
      </c>
      <c r="B8509">
        <v>0</v>
      </c>
      <c r="C8509">
        <v>0</v>
      </c>
      <c r="D8509">
        <v>0</v>
      </c>
      <c r="E8509">
        <v>0</v>
      </c>
      <c r="F8509">
        <v>0</v>
      </c>
      <c r="G8509">
        <v>0</v>
      </c>
    </row>
    <row r="8510" spans="1:7" x14ac:dyDescent="0.2">
      <c r="A8510" t="s">
        <v>1803</v>
      </c>
      <c r="B8510">
        <v>0</v>
      </c>
      <c r="C8510">
        <v>0</v>
      </c>
      <c r="D8510">
        <v>0</v>
      </c>
      <c r="E8510">
        <v>0</v>
      </c>
      <c r="F8510">
        <v>0</v>
      </c>
      <c r="G8510">
        <v>0</v>
      </c>
    </row>
    <row r="8511" spans="1:7" x14ac:dyDescent="0.2">
      <c r="A8511" t="s">
        <v>1808</v>
      </c>
      <c r="B8511">
        <v>0</v>
      </c>
      <c r="C8511">
        <v>0</v>
      </c>
      <c r="D8511">
        <v>0</v>
      </c>
      <c r="E8511">
        <v>0</v>
      </c>
      <c r="F8511">
        <v>0</v>
      </c>
      <c r="G8511">
        <v>0</v>
      </c>
    </row>
    <row r="8512" spans="1:7" x14ac:dyDescent="0.2">
      <c r="A8512" t="s">
        <v>1813</v>
      </c>
      <c r="B8512">
        <v>0</v>
      </c>
      <c r="C8512">
        <v>0</v>
      </c>
      <c r="D8512">
        <v>0</v>
      </c>
      <c r="E8512">
        <v>0</v>
      </c>
      <c r="F8512">
        <v>0</v>
      </c>
      <c r="G8512">
        <v>0</v>
      </c>
    </row>
    <row r="8513" spans="1:7" x14ac:dyDescent="0.2">
      <c r="A8513" t="s">
        <v>1819</v>
      </c>
      <c r="B8513">
        <v>0</v>
      </c>
      <c r="C8513">
        <v>0</v>
      </c>
      <c r="D8513">
        <v>0</v>
      </c>
      <c r="E8513">
        <v>0</v>
      </c>
      <c r="F8513">
        <v>0</v>
      </c>
      <c r="G8513">
        <v>0</v>
      </c>
    </row>
    <row r="8514" spans="1:7" x14ac:dyDescent="0.2">
      <c r="A8514" t="s">
        <v>1826</v>
      </c>
      <c r="B8514">
        <v>0</v>
      </c>
      <c r="C8514">
        <v>0</v>
      </c>
      <c r="D8514">
        <v>0</v>
      </c>
      <c r="E8514">
        <v>0</v>
      </c>
      <c r="F8514">
        <v>0</v>
      </c>
      <c r="G8514">
        <v>0</v>
      </c>
    </row>
    <row r="8515" spans="1:7" x14ac:dyDescent="0.2">
      <c r="A8515" t="s">
        <v>1830</v>
      </c>
      <c r="B8515">
        <v>0</v>
      </c>
      <c r="C8515">
        <v>0</v>
      </c>
      <c r="D8515">
        <v>0</v>
      </c>
      <c r="E8515">
        <v>0</v>
      </c>
      <c r="F8515">
        <v>0</v>
      </c>
      <c r="G8515">
        <v>0</v>
      </c>
    </row>
    <row r="8516" spans="1:7" x14ac:dyDescent="0.2">
      <c r="A8516" t="s">
        <v>1836</v>
      </c>
      <c r="B8516">
        <v>0</v>
      </c>
      <c r="C8516">
        <v>0</v>
      </c>
      <c r="D8516">
        <v>0</v>
      </c>
      <c r="E8516">
        <v>0</v>
      </c>
      <c r="F8516">
        <v>0</v>
      </c>
      <c r="G8516">
        <v>0</v>
      </c>
    </row>
    <row r="8517" spans="1:7" x14ac:dyDescent="0.2">
      <c r="A8517" t="s">
        <v>1841</v>
      </c>
      <c r="B8517">
        <v>0</v>
      </c>
      <c r="C8517">
        <v>0</v>
      </c>
      <c r="D8517">
        <v>0</v>
      </c>
      <c r="E8517">
        <v>0</v>
      </c>
      <c r="F8517">
        <v>0</v>
      </c>
      <c r="G8517">
        <v>0</v>
      </c>
    </row>
    <row r="8518" spans="1:7" x14ac:dyDescent="0.2">
      <c r="A8518" t="s">
        <v>1842</v>
      </c>
      <c r="B8518">
        <v>0</v>
      </c>
      <c r="C8518">
        <v>0</v>
      </c>
      <c r="D8518">
        <v>0</v>
      </c>
      <c r="E8518">
        <v>0</v>
      </c>
      <c r="F8518">
        <v>0</v>
      </c>
      <c r="G8518">
        <v>0</v>
      </c>
    </row>
    <row r="8519" spans="1:7" x14ac:dyDescent="0.2">
      <c r="A8519" t="s">
        <v>1843</v>
      </c>
      <c r="B8519">
        <v>0</v>
      </c>
      <c r="C8519">
        <v>0</v>
      </c>
      <c r="D8519">
        <v>0</v>
      </c>
      <c r="E8519">
        <v>0</v>
      </c>
      <c r="F8519">
        <v>0</v>
      </c>
      <c r="G8519">
        <v>0</v>
      </c>
    </row>
    <row r="8520" spans="1:7" x14ac:dyDescent="0.2">
      <c r="A8520" t="s">
        <v>1846</v>
      </c>
      <c r="B8520">
        <v>0</v>
      </c>
      <c r="C8520">
        <v>0</v>
      </c>
      <c r="D8520">
        <v>0</v>
      </c>
      <c r="E8520">
        <v>0</v>
      </c>
      <c r="F8520">
        <v>0</v>
      </c>
      <c r="G8520">
        <v>0</v>
      </c>
    </row>
    <row r="8521" spans="1:7" x14ac:dyDescent="0.2">
      <c r="A8521" t="s">
        <v>1851</v>
      </c>
      <c r="B8521">
        <v>0</v>
      </c>
      <c r="C8521">
        <v>0</v>
      </c>
      <c r="D8521">
        <v>0</v>
      </c>
      <c r="E8521">
        <v>0</v>
      </c>
      <c r="F8521">
        <v>0</v>
      </c>
      <c r="G8521">
        <v>0</v>
      </c>
    </row>
    <row r="8522" spans="1:7" x14ac:dyDescent="0.2">
      <c r="A8522" t="s">
        <v>1857</v>
      </c>
      <c r="B8522">
        <v>0</v>
      </c>
      <c r="C8522">
        <v>0</v>
      </c>
      <c r="D8522">
        <v>0</v>
      </c>
      <c r="E8522">
        <v>0</v>
      </c>
      <c r="F8522">
        <v>0</v>
      </c>
      <c r="G8522">
        <v>0</v>
      </c>
    </row>
    <row r="8523" spans="1:7" x14ac:dyDescent="0.2">
      <c r="A8523" t="s">
        <v>1862</v>
      </c>
      <c r="B8523">
        <v>0</v>
      </c>
      <c r="C8523">
        <v>0</v>
      </c>
      <c r="D8523">
        <v>0</v>
      </c>
      <c r="E8523">
        <v>0</v>
      </c>
      <c r="F8523">
        <v>0</v>
      </c>
      <c r="G8523">
        <v>0</v>
      </c>
    </row>
    <row r="8524" spans="1:7" x14ac:dyDescent="0.2">
      <c r="A8524" t="s">
        <v>1867</v>
      </c>
      <c r="B8524">
        <v>0</v>
      </c>
      <c r="C8524">
        <v>0</v>
      </c>
      <c r="D8524">
        <v>0</v>
      </c>
      <c r="E8524">
        <v>0</v>
      </c>
      <c r="F8524">
        <v>0</v>
      </c>
      <c r="G8524">
        <v>0</v>
      </c>
    </row>
    <row r="8525" spans="1:7" x14ac:dyDescent="0.2">
      <c r="A8525" t="s">
        <v>1870</v>
      </c>
      <c r="B8525">
        <v>0</v>
      </c>
      <c r="C8525">
        <v>0</v>
      </c>
      <c r="D8525">
        <v>0</v>
      </c>
      <c r="E8525">
        <v>0</v>
      </c>
      <c r="F8525">
        <v>0</v>
      </c>
      <c r="G8525">
        <v>0</v>
      </c>
    </row>
    <row r="8526" spans="1:7" x14ac:dyDescent="0.2">
      <c r="A8526" t="s">
        <v>1874</v>
      </c>
      <c r="B8526">
        <v>0</v>
      </c>
      <c r="C8526">
        <v>0</v>
      </c>
      <c r="D8526">
        <v>0</v>
      </c>
      <c r="E8526">
        <v>0</v>
      </c>
      <c r="F8526">
        <v>0</v>
      </c>
      <c r="G8526">
        <v>0</v>
      </c>
    </row>
    <row r="8527" spans="1:7" x14ac:dyDescent="0.2">
      <c r="A8527" t="s">
        <v>1876</v>
      </c>
      <c r="B8527">
        <v>0</v>
      </c>
      <c r="C8527">
        <v>0</v>
      </c>
      <c r="D8527">
        <v>0</v>
      </c>
      <c r="E8527">
        <v>0</v>
      </c>
      <c r="F8527">
        <v>0</v>
      </c>
      <c r="G8527">
        <v>0</v>
      </c>
    </row>
    <row r="8528" spans="1:7" x14ac:dyDescent="0.2">
      <c r="A8528" t="s">
        <v>1881</v>
      </c>
      <c r="B8528">
        <v>0</v>
      </c>
      <c r="C8528">
        <v>0</v>
      </c>
      <c r="D8528">
        <v>0</v>
      </c>
      <c r="E8528">
        <v>0</v>
      </c>
      <c r="F8528">
        <v>0</v>
      </c>
      <c r="G8528">
        <v>0</v>
      </c>
    </row>
    <row r="8529" spans="1:7" x14ac:dyDescent="0.2">
      <c r="A8529" t="s">
        <v>1885</v>
      </c>
      <c r="B8529">
        <v>0</v>
      </c>
      <c r="C8529">
        <v>0</v>
      </c>
      <c r="D8529">
        <v>0</v>
      </c>
      <c r="E8529">
        <v>0</v>
      </c>
      <c r="F8529">
        <v>0</v>
      </c>
      <c r="G8529">
        <v>0</v>
      </c>
    </row>
    <row r="8530" spans="1:7" x14ac:dyDescent="0.2">
      <c r="A8530" t="s">
        <v>1887</v>
      </c>
      <c r="B8530">
        <v>0</v>
      </c>
      <c r="C8530">
        <v>0</v>
      </c>
      <c r="D8530">
        <v>0</v>
      </c>
      <c r="E8530">
        <v>0</v>
      </c>
      <c r="F8530">
        <v>0</v>
      </c>
      <c r="G8530">
        <v>0</v>
      </c>
    </row>
    <row r="8531" spans="1:7" x14ac:dyDescent="0.2">
      <c r="A8531" t="s">
        <v>1893</v>
      </c>
      <c r="B8531">
        <v>0</v>
      </c>
      <c r="C8531">
        <v>0</v>
      </c>
      <c r="D8531">
        <v>0</v>
      </c>
      <c r="E8531">
        <v>0</v>
      </c>
      <c r="F8531">
        <v>0</v>
      </c>
      <c r="G8531">
        <v>0</v>
      </c>
    </row>
    <row r="8532" spans="1:7" x14ac:dyDescent="0.2">
      <c r="A8532" t="s">
        <v>1899</v>
      </c>
      <c r="B8532">
        <v>0</v>
      </c>
      <c r="C8532">
        <v>0</v>
      </c>
      <c r="D8532">
        <v>0</v>
      </c>
      <c r="E8532">
        <v>0</v>
      </c>
      <c r="F8532">
        <v>0</v>
      </c>
      <c r="G8532">
        <v>0</v>
      </c>
    </row>
    <row r="8533" spans="1:7" x14ac:dyDescent="0.2">
      <c r="A8533" t="s">
        <v>1906</v>
      </c>
      <c r="B8533">
        <v>0</v>
      </c>
      <c r="C8533">
        <v>0</v>
      </c>
      <c r="D8533">
        <v>0</v>
      </c>
      <c r="E8533">
        <v>0</v>
      </c>
      <c r="F8533">
        <v>0</v>
      </c>
      <c r="G8533">
        <v>0</v>
      </c>
    </row>
    <row r="8534" spans="1:7" x14ac:dyDescent="0.2">
      <c r="A8534" t="s">
        <v>1911</v>
      </c>
      <c r="B8534">
        <v>0</v>
      </c>
      <c r="C8534">
        <v>0</v>
      </c>
      <c r="D8534">
        <v>0</v>
      </c>
      <c r="E8534">
        <v>0</v>
      </c>
      <c r="F8534">
        <v>0</v>
      </c>
      <c r="G8534">
        <v>0</v>
      </c>
    </row>
    <row r="8535" spans="1:7" x14ac:dyDescent="0.2">
      <c r="A8535" t="s">
        <v>1917</v>
      </c>
      <c r="B8535">
        <v>0</v>
      </c>
      <c r="C8535">
        <v>0</v>
      </c>
      <c r="D8535">
        <v>0</v>
      </c>
      <c r="E8535">
        <v>0</v>
      </c>
      <c r="F8535">
        <v>0</v>
      </c>
      <c r="G8535">
        <v>0</v>
      </c>
    </row>
    <row r="8536" spans="1:7" x14ac:dyDescent="0.2">
      <c r="A8536" t="s">
        <v>1922</v>
      </c>
      <c r="B8536">
        <v>0</v>
      </c>
      <c r="C8536">
        <v>0</v>
      </c>
      <c r="D8536">
        <v>0</v>
      </c>
      <c r="E8536">
        <v>0</v>
      </c>
      <c r="F8536">
        <v>0</v>
      </c>
      <c r="G8536">
        <v>0</v>
      </c>
    </row>
    <row r="8537" spans="1:7" x14ac:dyDescent="0.2">
      <c r="A8537" t="s">
        <v>1928</v>
      </c>
      <c r="B8537">
        <v>0</v>
      </c>
      <c r="C8537">
        <v>0</v>
      </c>
      <c r="D8537">
        <v>0</v>
      </c>
      <c r="E8537">
        <v>0</v>
      </c>
      <c r="F8537">
        <v>0</v>
      </c>
      <c r="G8537">
        <v>0</v>
      </c>
    </row>
    <row r="8538" spans="1:7" x14ac:dyDescent="0.2">
      <c r="A8538" t="s">
        <v>1932</v>
      </c>
      <c r="B8538">
        <v>0</v>
      </c>
      <c r="C8538">
        <v>0</v>
      </c>
      <c r="D8538">
        <v>0</v>
      </c>
      <c r="E8538">
        <v>0</v>
      </c>
      <c r="F8538">
        <v>0</v>
      </c>
      <c r="G8538">
        <v>0</v>
      </c>
    </row>
    <row r="8539" spans="1:7" x14ac:dyDescent="0.2">
      <c r="A8539" t="s">
        <v>1938</v>
      </c>
      <c r="B8539">
        <v>0</v>
      </c>
      <c r="C8539">
        <v>0</v>
      </c>
      <c r="D8539">
        <v>0</v>
      </c>
      <c r="E8539">
        <v>0</v>
      </c>
      <c r="F8539">
        <v>0</v>
      </c>
      <c r="G8539">
        <v>0</v>
      </c>
    </row>
    <row r="8540" spans="1:7" x14ac:dyDescent="0.2">
      <c r="A8540" t="s">
        <v>1944</v>
      </c>
      <c r="B8540">
        <v>0</v>
      </c>
      <c r="C8540">
        <v>0</v>
      </c>
      <c r="D8540">
        <v>0</v>
      </c>
      <c r="E8540">
        <v>0</v>
      </c>
      <c r="F8540">
        <v>0</v>
      </c>
      <c r="G8540">
        <v>0</v>
      </c>
    </row>
    <row r="8541" spans="1:7" x14ac:dyDescent="0.2">
      <c r="A8541" t="s">
        <v>1947</v>
      </c>
      <c r="B8541">
        <v>0</v>
      </c>
      <c r="C8541">
        <v>0</v>
      </c>
      <c r="D8541">
        <v>0</v>
      </c>
      <c r="E8541">
        <v>0</v>
      </c>
      <c r="F8541">
        <v>0</v>
      </c>
      <c r="G8541">
        <v>0</v>
      </c>
    </row>
    <row r="8542" spans="1:7" x14ac:dyDescent="0.2">
      <c r="A8542" t="s">
        <v>1953</v>
      </c>
      <c r="B8542">
        <v>0</v>
      </c>
      <c r="C8542">
        <v>0</v>
      </c>
      <c r="D8542">
        <v>0</v>
      </c>
      <c r="E8542">
        <v>0</v>
      </c>
      <c r="F8542">
        <v>0</v>
      </c>
      <c r="G8542">
        <v>0</v>
      </c>
    </row>
    <row r="8543" spans="1:7" x14ac:dyDescent="0.2">
      <c r="A8543" t="s">
        <v>1958</v>
      </c>
      <c r="B8543">
        <v>0</v>
      </c>
      <c r="C8543">
        <v>0</v>
      </c>
      <c r="D8543">
        <v>0</v>
      </c>
      <c r="E8543">
        <v>0</v>
      </c>
      <c r="F8543">
        <v>0</v>
      </c>
      <c r="G8543">
        <v>0</v>
      </c>
    </row>
    <row r="8544" spans="1:7" x14ac:dyDescent="0.2">
      <c r="A8544" t="s">
        <v>1964</v>
      </c>
      <c r="B8544">
        <v>0</v>
      </c>
      <c r="C8544">
        <v>0</v>
      </c>
      <c r="D8544">
        <v>0</v>
      </c>
      <c r="E8544">
        <v>0</v>
      </c>
      <c r="F8544">
        <v>0</v>
      </c>
      <c r="G8544">
        <v>0</v>
      </c>
    </row>
    <row r="8545" spans="1:7" x14ac:dyDescent="0.2">
      <c r="A8545" t="s">
        <v>1973</v>
      </c>
      <c r="B8545">
        <v>0</v>
      </c>
      <c r="C8545">
        <v>0</v>
      </c>
      <c r="D8545">
        <v>0</v>
      </c>
      <c r="E8545">
        <v>0</v>
      </c>
      <c r="F8545">
        <v>0</v>
      </c>
      <c r="G8545">
        <v>0</v>
      </c>
    </row>
    <row r="8546" spans="1:7" x14ac:dyDescent="0.2">
      <c r="A8546" t="s">
        <v>1978</v>
      </c>
      <c r="B8546">
        <v>0</v>
      </c>
      <c r="C8546">
        <v>0</v>
      </c>
      <c r="D8546">
        <v>0</v>
      </c>
      <c r="E8546">
        <v>0</v>
      </c>
      <c r="F8546">
        <v>0</v>
      </c>
      <c r="G8546">
        <v>0</v>
      </c>
    </row>
    <row r="8547" spans="1:7" x14ac:dyDescent="0.2">
      <c r="A8547" t="s">
        <v>1983</v>
      </c>
      <c r="B8547">
        <v>0</v>
      </c>
      <c r="C8547">
        <v>0</v>
      </c>
      <c r="D8547">
        <v>0</v>
      </c>
      <c r="E8547">
        <v>0</v>
      </c>
      <c r="F8547">
        <v>0</v>
      </c>
      <c r="G8547">
        <v>0</v>
      </c>
    </row>
    <row r="8548" spans="1:7" x14ac:dyDescent="0.2">
      <c r="A8548" t="s">
        <v>1984</v>
      </c>
      <c r="B8548">
        <v>0</v>
      </c>
      <c r="C8548">
        <v>0</v>
      </c>
      <c r="D8548">
        <v>0</v>
      </c>
      <c r="E8548">
        <v>0</v>
      </c>
      <c r="F8548">
        <v>0</v>
      </c>
      <c r="G8548">
        <v>0</v>
      </c>
    </row>
    <row r="8549" spans="1:7" x14ac:dyDescent="0.2">
      <c r="A8549" t="s">
        <v>1990</v>
      </c>
      <c r="B8549">
        <v>0</v>
      </c>
      <c r="C8549">
        <v>0</v>
      </c>
      <c r="D8549">
        <v>0</v>
      </c>
      <c r="E8549">
        <v>0</v>
      </c>
      <c r="F8549">
        <v>0</v>
      </c>
      <c r="G8549">
        <v>0</v>
      </c>
    </row>
    <row r="8550" spans="1:7" x14ac:dyDescent="0.2">
      <c r="A8550" t="s">
        <v>1996</v>
      </c>
      <c r="B8550">
        <v>0</v>
      </c>
      <c r="C8550">
        <v>0</v>
      </c>
      <c r="D8550">
        <v>0</v>
      </c>
      <c r="E8550">
        <v>0</v>
      </c>
      <c r="F8550">
        <v>0</v>
      </c>
      <c r="G8550">
        <v>0</v>
      </c>
    </row>
    <row r="8551" spans="1:7" x14ac:dyDescent="0.2">
      <c r="A8551" t="s">
        <v>1998</v>
      </c>
      <c r="B8551">
        <v>0</v>
      </c>
      <c r="C8551">
        <v>0</v>
      </c>
      <c r="D8551">
        <v>0</v>
      </c>
      <c r="E8551">
        <v>0</v>
      </c>
      <c r="F8551">
        <v>0</v>
      </c>
      <c r="G8551">
        <v>0</v>
      </c>
    </row>
    <row r="8552" spans="1:7" x14ac:dyDescent="0.2">
      <c r="A8552" t="s">
        <v>1999</v>
      </c>
      <c r="B8552">
        <v>0</v>
      </c>
      <c r="C8552">
        <v>0</v>
      </c>
      <c r="D8552">
        <v>0</v>
      </c>
      <c r="E8552">
        <v>0</v>
      </c>
      <c r="F8552">
        <v>0</v>
      </c>
      <c r="G8552">
        <v>0</v>
      </c>
    </row>
    <row r="8553" spans="1:7" x14ac:dyDescent="0.2">
      <c r="A8553" t="s">
        <v>2004</v>
      </c>
      <c r="B8553">
        <v>0</v>
      </c>
      <c r="C8553">
        <v>0</v>
      </c>
      <c r="D8553">
        <v>0</v>
      </c>
      <c r="E8553">
        <v>0</v>
      </c>
      <c r="F8553">
        <v>0</v>
      </c>
      <c r="G8553">
        <v>0</v>
      </c>
    </row>
    <row r="8554" spans="1:7" x14ac:dyDescent="0.2">
      <c r="A8554" t="s">
        <v>2009</v>
      </c>
      <c r="B8554">
        <v>0</v>
      </c>
      <c r="C8554">
        <v>0</v>
      </c>
      <c r="D8554">
        <v>0</v>
      </c>
      <c r="E8554">
        <v>0</v>
      </c>
      <c r="F8554">
        <v>0</v>
      </c>
      <c r="G8554">
        <v>0</v>
      </c>
    </row>
    <row r="8555" spans="1:7" x14ac:dyDescent="0.2">
      <c r="A8555" t="s">
        <v>2014</v>
      </c>
      <c r="B8555">
        <v>0</v>
      </c>
      <c r="C8555">
        <v>0</v>
      </c>
      <c r="D8555">
        <v>0</v>
      </c>
      <c r="E8555">
        <v>0</v>
      </c>
      <c r="F8555">
        <v>0</v>
      </c>
      <c r="G8555">
        <v>0</v>
      </c>
    </row>
    <row r="8556" spans="1:7" x14ac:dyDescent="0.2">
      <c r="A8556" t="s">
        <v>2019</v>
      </c>
      <c r="B8556">
        <v>0</v>
      </c>
      <c r="C8556">
        <v>0</v>
      </c>
      <c r="D8556">
        <v>0</v>
      </c>
      <c r="E8556">
        <v>0</v>
      </c>
      <c r="F8556">
        <v>0</v>
      </c>
      <c r="G8556">
        <v>0</v>
      </c>
    </row>
    <row r="8557" spans="1:7" x14ac:dyDescent="0.2">
      <c r="A8557" t="s">
        <v>2023</v>
      </c>
      <c r="B8557">
        <v>0</v>
      </c>
      <c r="C8557">
        <v>0</v>
      </c>
      <c r="D8557">
        <v>0</v>
      </c>
      <c r="E8557">
        <v>0</v>
      </c>
      <c r="F8557">
        <v>0</v>
      </c>
      <c r="G8557">
        <v>0</v>
      </c>
    </row>
    <row r="8558" spans="1:7" x14ac:dyDescent="0.2">
      <c r="A8558" t="s">
        <v>2026</v>
      </c>
      <c r="B8558">
        <v>0</v>
      </c>
      <c r="C8558">
        <v>0</v>
      </c>
      <c r="D8558">
        <v>0</v>
      </c>
      <c r="E8558">
        <v>0</v>
      </c>
      <c r="F8558">
        <v>0</v>
      </c>
      <c r="G8558">
        <v>0</v>
      </c>
    </row>
    <row r="8559" spans="1:7" x14ac:dyDescent="0.2">
      <c r="A8559" t="s">
        <v>2030</v>
      </c>
      <c r="B8559">
        <v>0</v>
      </c>
      <c r="C8559">
        <v>0</v>
      </c>
      <c r="D8559">
        <v>0</v>
      </c>
      <c r="E8559">
        <v>0</v>
      </c>
      <c r="F8559">
        <v>0</v>
      </c>
      <c r="G8559">
        <v>0</v>
      </c>
    </row>
    <row r="8560" spans="1:7" x14ac:dyDescent="0.2">
      <c r="A8560" t="s">
        <v>2035</v>
      </c>
      <c r="B8560">
        <v>0</v>
      </c>
      <c r="C8560">
        <v>0</v>
      </c>
      <c r="D8560">
        <v>0</v>
      </c>
      <c r="E8560">
        <v>0</v>
      </c>
      <c r="F8560">
        <v>0</v>
      </c>
      <c r="G8560">
        <v>0</v>
      </c>
    </row>
    <row r="8561" spans="1:7" x14ac:dyDescent="0.2">
      <c r="A8561" t="s">
        <v>2040</v>
      </c>
      <c r="B8561">
        <v>0</v>
      </c>
      <c r="C8561">
        <v>0</v>
      </c>
      <c r="D8561">
        <v>0</v>
      </c>
      <c r="E8561">
        <v>0</v>
      </c>
      <c r="F8561">
        <v>0</v>
      </c>
      <c r="G8561">
        <v>0</v>
      </c>
    </row>
    <row r="8562" spans="1:7" x14ac:dyDescent="0.2">
      <c r="A8562" t="s">
        <v>2045</v>
      </c>
      <c r="B8562">
        <v>0</v>
      </c>
      <c r="C8562">
        <v>0</v>
      </c>
      <c r="D8562">
        <v>0</v>
      </c>
      <c r="E8562">
        <v>0</v>
      </c>
      <c r="F8562">
        <v>0</v>
      </c>
      <c r="G8562">
        <v>0</v>
      </c>
    </row>
    <row r="8563" spans="1:7" x14ac:dyDescent="0.2">
      <c r="A8563" t="s">
        <v>2049</v>
      </c>
      <c r="B8563">
        <v>0</v>
      </c>
      <c r="C8563">
        <v>0</v>
      </c>
      <c r="D8563">
        <v>0</v>
      </c>
      <c r="E8563">
        <v>0</v>
      </c>
      <c r="F8563">
        <v>0</v>
      </c>
      <c r="G8563">
        <v>0</v>
      </c>
    </row>
    <row r="8564" spans="1:7" x14ac:dyDescent="0.2">
      <c r="A8564" t="s">
        <v>2051</v>
      </c>
      <c r="B8564">
        <v>0</v>
      </c>
      <c r="C8564">
        <v>0</v>
      </c>
      <c r="D8564">
        <v>0</v>
      </c>
      <c r="E8564">
        <v>0</v>
      </c>
      <c r="F8564">
        <v>0</v>
      </c>
      <c r="G8564">
        <v>0</v>
      </c>
    </row>
    <row r="8565" spans="1:7" x14ac:dyDescent="0.2">
      <c r="A8565" t="s">
        <v>2057</v>
      </c>
      <c r="B8565">
        <v>0</v>
      </c>
      <c r="C8565">
        <v>0</v>
      </c>
      <c r="D8565">
        <v>0</v>
      </c>
      <c r="E8565">
        <v>0</v>
      </c>
      <c r="F8565">
        <v>0</v>
      </c>
      <c r="G8565">
        <v>0</v>
      </c>
    </row>
    <row r="8566" spans="1:7" x14ac:dyDescent="0.2">
      <c r="A8566" t="s">
        <v>4344</v>
      </c>
      <c r="B8566">
        <v>0</v>
      </c>
      <c r="C8566">
        <v>0</v>
      </c>
      <c r="D8566">
        <v>0</v>
      </c>
      <c r="E8566">
        <v>0</v>
      </c>
      <c r="F8566">
        <v>0</v>
      </c>
      <c r="G8566">
        <v>0</v>
      </c>
    </row>
    <row r="8567" spans="1:7" x14ac:dyDescent="0.2">
      <c r="A8567" t="s">
        <v>4345</v>
      </c>
      <c r="B8567">
        <v>0</v>
      </c>
      <c r="C8567">
        <v>0</v>
      </c>
      <c r="D8567">
        <v>0</v>
      </c>
      <c r="E8567">
        <v>0</v>
      </c>
      <c r="F8567">
        <v>0</v>
      </c>
      <c r="G8567">
        <v>0</v>
      </c>
    </row>
    <row r="8568" spans="1:7" x14ac:dyDescent="0.2">
      <c r="A8568" t="s">
        <v>2074</v>
      </c>
      <c r="B8568">
        <v>0</v>
      </c>
      <c r="C8568">
        <v>0</v>
      </c>
      <c r="D8568">
        <v>0</v>
      </c>
      <c r="E8568">
        <v>0</v>
      </c>
      <c r="F8568">
        <v>0</v>
      </c>
      <c r="G8568">
        <v>0</v>
      </c>
    </row>
    <row r="8569" spans="1:7" x14ac:dyDescent="0.2">
      <c r="A8569" t="s">
        <v>2079</v>
      </c>
      <c r="B8569">
        <v>0</v>
      </c>
      <c r="C8569">
        <v>0</v>
      </c>
      <c r="D8569">
        <v>0</v>
      </c>
      <c r="E8569">
        <v>0</v>
      </c>
      <c r="F8569">
        <v>0</v>
      </c>
      <c r="G8569">
        <v>0</v>
      </c>
    </row>
    <row r="8570" spans="1:7" x14ac:dyDescent="0.2">
      <c r="A8570" t="s">
        <v>2085</v>
      </c>
      <c r="B8570">
        <v>0</v>
      </c>
      <c r="C8570">
        <v>0</v>
      </c>
      <c r="D8570">
        <v>0</v>
      </c>
      <c r="E8570">
        <v>0</v>
      </c>
      <c r="F8570">
        <v>0</v>
      </c>
      <c r="G8570">
        <v>0</v>
      </c>
    </row>
    <row r="8571" spans="1:7" x14ac:dyDescent="0.2">
      <c r="A8571" t="s">
        <v>2091</v>
      </c>
      <c r="B8571">
        <v>0</v>
      </c>
      <c r="C8571">
        <v>0</v>
      </c>
      <c r="D8571">
        <v>0</v>
      </c>
      <c r="E8571">
        <v>0</v>
      </c>
      <c r="F8571">
        <v>0</v>
      </c>
      <c r="G8571">
        <v>0</v>
      </c>
    </row>
    <row r="8572" spans="1:7" x14ac:dyDescent="0.2">
      <c r="A8572" t="s">
        <v>2097</v>
      </c>
      <c r="B8572">
        <v>0</v>
      </c>
      <c r="C8572">
        <v>0</v>
      </c>
      <c r="D8572">
        <v>0</v>
      </c>
      <c r="E8572">
        <v>0</v>
      </c>
      <c r="F8572">
        <v>0</v>
      </c>
      <c r="G8572">
        <v>0</v>
      </c>
    </row>
    <row r="8573" spans="1:7" x14ac:dyDescent="0.2">
      <c r="A8573" t="s">
        <v>2101</v>
      </c>
      <c r="B8573">
        <v>0</v>
      </c>
      <c r="C8573">
        <v>0</v>
      </c>
      <c r="D8573">
        <v>0</v>
      </c>
      <c r="E8573">
        <v>0</v>
      </c>
      <c r="F8573">
        <v>0</v>
      </c>
      <c r="G8573">
        <v>0</v>
      </c>
    </row>
    <row r="8574" spans="1:7" x14ac:dyDescent="0.2">
      <c r="A8574" t="s">
        <v>2104</v>
      </c>
      <c r="B8574">
        <v>0</v>
      </c>
      <c r="C8574">
        <v>0</v>
      </c>
      <c r="D8574">
        <v>0</v>
      </c>
      <c r="E8574">
        <v>0</v>
      </c>
      <c r="F8574">
        <v>0</v>
      </c>
      <c r="G8574">
        <v>0</v>
      </c>
    </row>
    <row r="8575" spans="1:7" x14ac:dyDescent="0.2">
      <c r="A8575" t="s">
        <v>2107</v>
      </c>
      <c r="B8575">
        <v>0</v>
      </c>
      <c r="C8575">
        <v>0</v>
      </c>
      <c r="D8575">
        <v>0</v>
      </c>
      <c r="E8575">
        <v>0</v>
      </c>
      <c r="F8575">
        <v>0</v>
      </c>
      <c r="G8575">
        <v>0</v>
      </c>
    </row>
    <row r="8576" spans="1:7" x14ac:dyDescent="0.2">
      <c r="A8576" t="s">
        <v>2110</v>
      </c>
      <c r="B8576">
        <v>0</v>
      </c>
      <c r="C8576">
        <v>0</v>
      </c>
      <c r="D8576">
        <v>0</v>
      </c>
      <c r="E8576">
        <v>0</v>
      </c>
      <c r="F8576">
        <v>0</v>
      </c>
      <c r="G8576">
        <v>0</v>
      </c>
    </row>
    <row r="8577" spans="1:7" x14ac:dyDescent="0.2">
      <c r="A8577" t="s">
        <v>2113</v>
      </c>
      <c r="B8577">
        <v>0</v>
      </c>
      <c r="C8577">
        <v>0</v>
      </c>
      <c r="D8577">
        <v>0</v>
      </c>
      <c r="E8577">
        <v>0</v>
      </c>
      <c r="F8577">
        <v>0</v>
      </c>
      <c r="G8577">
        <v>0</v>
      </c>
    </row>
    <row r="8578" spans="1:7" x14ac:dyDescent="0.2">
      <c r="A8578" t="s">
        <v>4346</v>
      </c>
      <c r="B8578">
        <v>0</v>
      </c>
      <c r="C8578">
        <v>0</v>
      </c>
      <c r="D8578">
        <v>0</v>
      </c>
      <c r="E8578">
        <v>0</v>
      </c>
      <c r="F8578">
        <v>0</v>
      </c>
      <c r="G8578">
        <v>0</v>
      </c>
    </row>
    <row r="8579" spans="1:7" x14ac:dyDescent="0.2">
      <c r="A8579" t="s">
        <v>4347</v>
      </c>
      <c r="B8579">
        <v>0</v>
      </c>
      <c r="C8579">
        <v>0</v>
      </c>
      <c r="D8579">
        <v>0</v>
      </c>
      <c r="E8579">
        <v>0</v>
      </c>
      <c r="F8579">
        <v>0</v>
      </c>
      <c r="G8579">
        <v>0</v>
      </c>
    </row>
    <row r="8580" spans="1:7" x14ac:dyDescent="0.2">
      <c r="A8580" t="s">
        <v>4348</v>
      </c>
      <c r="B8580">
        <v>0</v>
      </c>
      <c r="C8580">
        <v>0</v>
      </c>
      <c r="D8580">
        <v>0</v>
      </c>
      <c r="E8580">
        <v>0</v>
      </c>
      <c r="F8580">
        <v>0</v>
      </c>
      <c r="G8580">
        <v>0</v>
      </c>
    </row>
    <row r="8581" spans="1:7" x14ac:dyDescent="0.2">
      <c r="A8581" t="s">
        <v>4349</v>
      </c>
      <c r="B8581">
        <v>0</v>
      </c>
      <c r="C8581">
        <v>0</v>
      </c>
      <c r="D8581">
        <v>0</v>
      </c>
      <c r="E8581">
        <v>0</v>
      </c>
      <c r="F8581">
        <v>0</v>
      </c>
      <c r="G8581">
        <v>0</v>
      </c>
    </row>
    <row r="8582" spans="1:7" x14ac:dyDescent="0.2">
      <c r="A8582" t="s">
        <v>4350</v>
      </c>
      <c r="B8582">
        <v>0</v>
      </c>
      <c r="C8582">
        <v>0</v>
      </c>
      <c r="D8582">
        <v>0</v>
      </c>
      <c r="E8582">
        <v>0</v>
      </c>
      <c r="F8582">
        <v>0</v>
      </c>
      <c r="G8582">
        <v>0</v>
      </c>
    </row>
    <row r="8583" spans="1:7" x14ac:dyDescent="0.2">
      <c r="A8583" t="s">
        <v>4351</v>
      </c>
      <c r="B8583">
        <v>0</v>
      </c>
      <c r="C8583">
        <v>0</v>
      </c>
      <c r="D8583">
        <v>0</v>
      </c>
      <c r="E8583">
        <v>0</v>
      </c>
      <c r="F8583">
        <v>0</v>
      </c>
      <c r="G8583">
        <v>0</v>
      </c>
    </row>
    <row r="8584" spans="1:7" x14ac:dyDescent="0.2">
      <c r="A8584" t="s">
        <v>4352</v>
      </c>
      <c r="B8584">
        <v>0</v>
      </c>
      <c r="C8584">
        <v>0</v>
      </c>
      <c r="D8584">
        <v>0</v>
      </c>
      <c r="E8584">
        <v>0</v>
      </c>
      <c r="F8584">
        <v>0</v>
      </c>
      <c r="G8584">
        <v>0</v>
      </c>
    </row>
    <row r="8585" spans="1:7" x14ac:dyDescent="0.2">
      <c r="A8585" t="s">
        <v>4353</v>
      </c>
      <c r="B8585">
        <v>0</v>
      </c>
      <c r="C8585">
        <v>0</v>
      </c>
      <c r="D8585">
        <v>0</v>
      </c>
      <c r="E8585">
        <v>0</v>
      </c>
      <c r="F8585">
        <v>0</v>
      </c>
      <c r="G8585">
        <v>0</v>
      </c>
    </row>
    <row r="8586" spans="1:7" x14ac:dyDescent="0.2">
      <c r="A8586" t="s">
        <v>4354</v>
      </c>
      <c r="B8586">
        <v>0</v>
      </c>
      <c r="C8586">
        <v>0</v>
      </c>
      <c r="D8586">
        <v>0</v>
      </c>
      <c r="E8586">
        <v>0</v>
      </c>
      <c r="F8586">
        <v>0</v>
      </c>
      <c r="G8586">
        <v>0</v>
      </c>
    </row>
    <row r="8587" spans="1:7" x14ac:dyDescent="0.2">
      <c r="A8587" t="s">
        <v>4355</v>
      </c>
      <c r="B8587">
        <v>0</v>
      </c>
      <c r="C8587">
        <v>0</v>
      </c>
      <c r="D8587">
        <v>0</v>
      </c>
      <c r="E8587">
        <v>0</v>
      </c>
      <c r="F8587">
        <v>0</v>
      </c>
      <c r="G8587">
        <v>0</v>
      </c>
    </row>
    <row r="8588" spans="1:7" x14ac:dyDescent="0.2">
      <c r="A8588" t="s">
        <v>4356</v>
      </c>
      <c r="B8588">
        <v>0</v>
      </c>
      <c r="C8588">
        <v>0</v>
      </c>
      <c r="D8588">
        <v>0</v>
      </c>
      <c r="E8588">
        <v>0</v>
      </c>
      <c r="F8588">
        <v>0</v>
      </c>
      <c r="G8588">
        <v>0</v>
      </c>
    </row>
    <row r="8589" spans="1:7" x14ac:dyDescent="0.2">
      <c r="A8589" t="s">
        <v>4357</v>
      </c>
      <c r="B8589">
        <v>0</v>
      </c>
      <c r="C8589">
        <v>0</v>
      </c>
      <c r="D8589">
        <v>0</v>
      </c>
      <c r="E8589">
        <v>0</v>
      </c>
      <c r="F8589">
        <v>0</v>
      </c>
      <c r="G8589">
        <v>0</v>
      </c>
    </row>
    <row r="8590" spans="1:7" x14ac:dyDescent="0.2">
      <c r="A8590" t="s">
        <v>4358</v>
      </c>
      <c r="B8590">
        <v>0</v>
      </c>
      <c r="C8590">
        <v>0</v>
      </c>
      <c r="D8590">
        <v>0</v>
      </c>
      <c r="E8590">
        <v>0</v>
      </c>
      <c r="F8590">
        <v>0</v>
      </c>
      <c r="G8590">
        <v>0</v>
      </c>
    </row>
    <row r="8591" spans="1:7" x14ac:dyDescent="0.2">
      <c r="A8591" t="s">
        <v>4359</v>
      </c>
      <c r="B8591">
        <v>0</v>
      </c>
      <c r="C8591">
        <v>0</v>
      </c>
      <c r="D8591">
        <v>0</v>
      </c>
      <c r="E8591">
        <v>0</v>
      </c>
      <c r="F8591">
        <v>0</v>
      </c>
      <c r="G8591">
        <v>0</v>
      </c>
    </row>
    <row r="8592" spans="1:7" x14ac:dyDescent="0.2">
      <c r="A8592" t="s">
        <v>4360</v>
      </c>
      <c r="B8592">
        <v>0</v>
      </c>
      <c r="C8592">
        <v>0</v>
      </c>
      <c r="D8592">
        <v>0</v>
      </c>
      <c r="E8592">
        <v>0</v>
      </c>
      <c r="F8592">
        <v>0</v>
      </c>
      <c r="G8592">
        <v>0</v>
      </c>
    </row>
    <row r="8593" spans="1:7" x14ac:dyDescent="0.2">
      <c r="A8593" t="s">
        <v>4361</v>
      </c>
      <c r="B8593">
        <v>0</v>
      </c>
      <c r="C8593">
        <v>0</v>
      </c>
      <c r="D8593">
        <v>0</v>
      </c>
      <c r="E8593">
        <v>0</v>
      </c>
      <c r="F8593">
        <v>0</v>
      </c>
      <c r="G8593">
        <v>0</v>
      </c>
    </row>
    <row r="8594" spans="1:7" x14ac:dyDescent="0.2">
      <c r="A8594" t="s">
        <v>4362</v>
      </c>
      <c r="B8594">
        <v>0</v>
      </c>
      <c r="C8594">
        <v>0</v>
      </c>
      <c r="D8594">
        <v>0</v>
      </c>
      <c r="E8594">
        <v>0</v>
      </c>
      <c r="F8594">
        <v>0</v>
      </c>
      <c r="G8594">
        <v>0</v>
      </c>
    </row>
    <row r="8595" spans="1:7" x14ac:dyDescent="0.2">
      <c r="A8595" t="s">
        <v>4363</v>
      </c>
      <c r="B8595">
        <v>0</v>
      </c>
      <c r="C8595">
        <v>0</v>
      </c>
      <c r="D8595">
        <v>0</v>
      </c>
      <c r="E8595">
        <v>0</v>
      </c>
      <c r="F8595">
        <v>0</v>
      </c>
      <c r="G8595">
        <v>0</v>
      </c>
    </row>
    <row r="8596" spans="1:7" x14ac:dyDescent="0.2">
      <c r="A8596" t="s">
        <v>4364</v>
      </c>
      <c r="B8596">
        <v>0</v>
      </c>
      <c r="C8596">
        <v>0</v>
      </c>
      <c r="D8596">
        <v>0</v>
      </c>
      <c r="E8596">
        <v>0</v>
      </c>
      <c r="F8596">
        <v>0</v>
      </c>
      <c r="G8596">
        <v>0</v>
      </c>
    </row>
    <row r="8597" spans="1:7" x14ac:dyDescent="0.2">
      <c r="A8597" t="s">
        <v>4365</v>
      </c>
      <c r="B8597">
        <v>0</v>
      </c>
      <c r="C8597">
        <v>0</v>
      </c>
      <c r="D8597">
        <v>0</v>
      </c>
      <c r="E8597">
        <v>0</v>
      </c>
      <c r="F8597">
        <v>0</v>
      </c>
      <c r="G8597">
        <v>0</v>
      </c>
    </row>
    <row r="8598" spans="1:7" x14ac:dyDescent="0.2">
      <c r="A8598" t="s">
        <v>4366</v>
      </c>
      <c r="B8598">
        <v>0</v>
      </c>
      <c r="C8598">
        <v>0</v>
      </c>
      <c r="D8598">
        <v>0</v>
      </c>
      <c r="E8598">
        <v>0</v>
      </c>
      <c r="F8598">
        <v>0</v>
      </c>
      <c r="G8598">
        <v>0</v>
      </c>
    </row>
    <row r="8599" spans="1:7" x14ac:dyDescent="0.2">
      <c r="A8599" t="s">
        <v>4367</v>
      </c>
      <c r="B8599">
        <v>0</v>
      </c>
      <c r="C8599">
        <v>0</v>
      </c>
      <c r="D8599">
        <v>0</v>
      </c>
      <c r="E8599">
        <v>0</v>
      </c>
      <c r="F8599">
        <v>0</v>
      </c>
      <c r="G8599">
        <v>0</v>
      </c>
    </row>
    <row r="8600" spans="1:7" x14ac:dyDescent="0.2">
      <c r="A8600" t="s">
        <v>4368</v>
      </c>
      <c r="B8600">
        <v>0</v>
      </c>
      <c r="C8600">
        <v>0</v>
      </c>
      <c r="D8600">
        <v>0</v>
      </c>
      <c r="E8600">
        <v>0</v>
      </c>
      <c r="F8600">
        <v>0</v>
      </c>
      <c r="G8600">
        <v>0</v>
      </c>
    </row>
    <row r="8601" spans="1:7" x14ac:dyDescent="0.2">
      <c r="A8601" t="s">
        <v>4369</v>
      </c>
      <c r="B8601">
        <v>0</v>
      </c>
      <c r="C8601">
        <v>3</v>
      </c>
      <c r="D8601">
        <v>0</v>
      </c>
      <c r="E8601">
        <v>0</v>
      </c>
      <c r="F8601">
        <v>0</v>
      </c>
      <c r="G8601">
        <v>3</v>
      </c>
    </row>
    <row r="8602" spans="1:7" x14ac:dyDescent="0.2">
      <c r="A8602" t="s">
        <v>4370</v>
      </c>
      <c r="B8602">
        <v>0</v>
      </c>
      <c r="C8602">
        <v>0</v>
      </c>
      <c r="D8602">
        <v>0</v>
      </c>
      <c r="E8602">
        <v>0</v>
      </c>
      <c r="F8602">
        <v>0</v>
      </c>
      <c r="G8602">
        <v>0</v>
      </c>
    </row>
    <row r="8603" spans="1:7" x14ac:dyDescent="0.2">
      <c r="A8603" t="s">
        <v>4371</v>
      </c>
      <c r="B8603">
        <v>0</v>
      </c>
      <c r="C8603">
        <v>0</v>
      </c>
      <c r="D8603">
        <v>0</v>
      </c>
      <c r="E8603">
        <v>0</v>
      </c>
      <c r="F8603">
        <v>0</v>
      </c>
      <c r="G8603">
        <v>0</v>
      </c>
    </row>
    <row r="8604" spans="1:7" x14ac:dyDescent="0.2">
      <c r="A8604" t="s">
        <v>4372</v>
      </c>
      <c r="B8604">
        <v>0</v>
      </c>
      <c r="C8604">
        <v>0</v>
      </c>
      <c r="D8604">
        <v>0</v>
      </c>
      <c r="E8604">
        <v>0</v>
      </c>
      <c r="F8604">
        <v>0</v>
      </c>
      <c r="G8604">
        <v>0</v>
      </c>
    </row>
    <row r="8605" spans="1:7" x14ac:dyDescent="0.2">
      <c r="A8605" t="s">
        <v>4373</v>
      </c>
      <c r="B8605">
        <v>0</v>
      </c>
      <c r="C8605">
        <v>0</v>
      </c>
      <c r="D8605">
        <v>0</v>
      </c>
      <c r="E8605">
        <v>0</v>
      </c>
      <c r="F8605">
        <v>0</v>
      </c>
      <c r="G8605">
        <v>0</v>
      </c>
    </row>
    <row r="8606" spans="1:7" x14ac:dyDescent="0.2">
      <c r="A8606" t="s">
        <v>4374</v>
      </c>
      <c r="B8606">
        <v>0</v>
      </c>
      <c r="C8606">
        <v>0</v>
      </c>
      <c r="D8606">
        <v>0</v>
      </c>
      <c r="E8606">
        <v>0</v>
      </c>
      <c r="F8606">
        <v>0</v>
      </c>
      <c r="G8606">
        <v>0</v>
      </c>
    </row>
    <row r="8607" spans="1:7" x14ac:dyDescent="0.2">
      <c r="A8607" t="s">
        <v>4375</v>
      </c>
      <c r="B8607">
        <v>0</v>
      </c>
      <c r="C8607">
        <v>0</v>
      </c>
      <c r="D8607">
        <v>0</v>
      </c>
      <c r="E8607">
        <v>0</v>
      </c>
      <c r="F8607">
        <v>0</v>
      </c>
      <c r="G8607">
        <v>0</v>
      </c>
    </row>
    <row r="8608" spans="1:7" x14ac:dyDescent="0.2">
      <c r="A8608" t="s">
        <v>4376</v>
      </c>
      <c r="B8608">
        <v>0</v>
      </c>
      <c r="C8608">
        <v>0</v>
      </c>
      <c r="D8608">
        <v>0</v>
      </c>
      <c r="E8608">
        <v>0</v>
      </c>
      <c r="F8608">
        <v>0</v>
      </c>
      <c r="G8608">
        <v>0</v>
      </c>
    </row>
    <row r="8609" spans="1:10" x14ac:dyDescent="0.2">
      <c r="A8609" t="s">
        <v>4377</v>
      </c>
      <c r="B8609">
        <v>0</v>
      </c>
      <c r="C8609">
        <v>0</v>
      </c>
      <c r="D8609">
        <v>0</v>
      </c>
      <c r="E8609">
        <v>0</v>
      </c>
      <c r="F8609">
        <v>0</v>
      </c>
      <c r="G8609">
        <v>0</v>
      </c>
    </row>
    <row r="8610" spans="1:10" x14ac:dyDescent="0.2">
      <c r="A8610" t="s">
        <v>2318</v>
      </c>
      <c r="B8610" t="s">
        <v>2319</v>
      </c>
      <c r="C8610" t="s">
        <v>2319</v>
      </c>
      <c r="D8610" t="s">
        <v>2319</v>
      </c>
      <c r="E8610" t="s">
        <v>2319</v>
      </c>
      <c r="F8610" t="s">
        <v>2319</v>
      </c>
      <c r="G8610" t="s">
        <v>2319</v>
      </c>
    </row>
    <row r="8611" spans="1:10" x14ac:dyDescent="0.2">
      <c r="A8611" t="s">
        <v>4248</v>
      </c>
    </row>
    <row r="8612" spans="1:10" x14ac:dyDescent="0.2">
      <c r="A8612" t="s">
        <v>4250</v>
      </c>
      <c r="C8612" t="s">
        <v>4251</v>
      </c>
      <c r="G8612" t="s">
        <v>7531</v>
      </c>
      <c r="J8612"/>
    </row>
    <row r="8613" spans="1:10" x14ac:dyDescent="0.2">
      <c r="A8613" t="s">
        <v>4925</v>
      </c>
      <c r="G8613" t="s">
        <v>7542</v>
      </c>
      <c r="J8613"/>
    </row>
    <row r="8614" spans="1:10" x14ac:dyDescent="0.2">
      <c r="A8614" t="s">
        <v>7530</v>
      </c>
      <c r="J8614"/>
    </row>
    <row r="8615" spans="1:10" x14ac:dyDescent="0.2">
      <c r="A8615" t="s">
        <v>5048</v>
      </c>
      <c r="J8615"/>
    </row>
    <row r="8616" spans="1:10" x14ac:dyDescent="0.2">
      <c r="J8616"/>
    </row>
    <row r="8617" spans="1:10" x14ac:dyDescent="0.2">
      <c r="A8617" t="s">
        <v>4259</v>
      </c>
      <c r="J8617"/>
    </row>
    <row r="8618" spans="1:10" x14ac:dyDescent="0.2">
      <c r="A8618" t="s">
        <v>2318</v>
      </c>
      <c r="B8618" t="s">
        <v>2319</v>
      </c>
      <c r="C8618" t="s">
        <v>2319</v>
      </c>
      <c r="D8618" t="s">
        <v>2319</v>
      </c>
      <c r="E8618" t="s">
        <v>2319</v>
      </c>
      <c r="F8618" t="s">
        <v>2319</v>
      </c>
      <c r="G8618" t="s">
        <v>2319</v>
      </c>
    </row>
    <row r="8619" spans="1:10" x14ac:dyDescent="0.2">
      <c r="A8619" t="s">
        <v>174</v>
      </c>
      <c r="B8619" t="s">
        <v>4945</v>
      </c>
      <c r="C8619" t="s">
        <v>4946</v>
      </c>
      <c r="D8619" t="s">
        <v>4947</v>
      </c>
      <c r="E8619" t="s">
        <v>4948</v>
      </c>
      <c r="F8619" t="s">
        <v>4949</v>
      </c>
    </row>
    <row r="8620" spans="1:10" x14ac:dyDescent="0.2">
      <c r="A8620" t="s">
        <v>126</v>
      </c>
      <c r="B8620" t="s">
        <v>4262</v>
      </c>
      <c r="C8620" t="s">
        <v>4263</v>
      </c>
      <c r="D8620" t="s">
        <v>4264</v>
      </c>
      <c r="E8620" t="s">
        <v>2308</v>
      </c>
      <c r="F8620" t="s">
        <v>615</v>
      </c>
      <c r="G8620" t="s">
        <v>236</v>
      </c>
    </row>
    <row r="8621" spans="1:10" x14ac:dyDescent="0.2">
      <c r="A8621" t="s">
        <v>2318</v>
      </c>
      <c r="B8621" t="s">
        <v>2319</v>
      </c>
      <c r="C8621" t="s">
        <v>2319</v>
      </c>
      <c r="D8621" t="s">
        <v>2319</v>
      </c>
      <c r="E8621" t="s">
        <v>2319</v>
      </c>
      <c r="F8621" t="s">
        <v>2319</v>
      </c>
      <c r="G8621" t="s">
        <v>2319</v>
      </c>
    </row>
    <row r="8622" spans="1:10" x14ac:dyDescent="0.2">
      <c r="A8622" t="s">
        <v>4265</v>
      </c>
      <c r="B8622">
        <v>0</v>
      </c>
      <c r="C8622">
        <v>0</v>
      </c>
      <c r="D8622">
        <v>0</v>
      </c>
      <c r="E8622">
        <v>0</v>
      </c>
      <c r="F8622">
        <v>0</v>
      </c>
      <c r="G8622">
        <v>0</v>
      </c>
    </row>
    <row r="8623" spans="1:10" x14ac:dyDescent="0.2">
      <c r="A8623" t="s">
        <v>4266</v>
      </c>
      <c r="B8623">
        <v>0</v>
      </c>
      <c r="C8623">
        <v>0</v>
      </c>
      <c r="D8623">
        <v>0</v>
      </c>
      <c r="E8623">
        <v>0</v>
      </c>
      <c r="F8623">
        <v>0</v>
      </c>
      <c r="G8623">
        <v>0</v>
      </c>
    </row>
    <row r="8624" spans="1:10" x14ac:dyDescent="0.2">
      <c r="A8624" t="s">
        <v>4267</v>
      </c>
      <c r="B8624">
        <v>0</v>
      </c>
      <c r="C8624">
        <v>0</v>
      </c>
      <c r="D8624">
        <v>0</v>
      </c>
      <c r="E8624">
        <v>0</v>
      </c>
      <c r="F8624">
        <v>0</v>
      </c>
      <c r="G8624">
        <v>0</v>
      </c>
    </row>
    <row r="8625" spans="1:7" x14ac:dyDescent="0.2">
      <c r="A8625" t="s">
        <v>4268</v>
      </c>
      <c r="B8625">
        <v>0</v>
      </c>
      <c r="C8625">
        <v>0</v>
      </c>
      <c r="D8625">
        <v>0</v>
      </c>
      <c r="E8625">
        <v>0</v>
      </c>
      <c r="F8625">
        <v>0</v>
      </c>
      <c r="G8625">
        <v>0</v>
      </c>
    </row>
    <row r="8626" spans="1:7" x14ac:dyDescent="0.2">
      <c r="A8626" t="s">
        <v>4269</v>
      </c>
      <c r="B8626">
        <v>0</v>
      </c>
      <c r="C8626">
        <v>0</v>
      </c>
      <c r="D8626">
        <v>0</v>
      </c>
      <c r="E8626">
        <v>0</v>
      </c>
      <c r="F8626">
        <v>0</v>
      </c>
      <c r="G8626">
        <v>0</v>
      </c>
    </row>
    <row r="8627" spans="1:7" x14ac:dyDescent="0.2">
      <c r="A8627" t="s">
        <v>4270</v>
      </c>
      <c r="B8627">
        <v>0</v>
      </c>
      <c r="C8627">
        <v>0</v>
      </c>
      <c r="D8627">
        <v>0</v>
      </c>
      <c r="E8627">
        <v>0</v>
      </c>
      <c r="F8627">
        <v>0</v>
      </c>
      <c r="G8627">
        <v>0</v>
      </c>
    </row>
    <row r="8628" spans="1:7" x14ac:dyDescent="0.2">
      <c r="A8628" t="s">
        <v>4271</v>
      </c>
      <c r="B8628">
        <v>0</v>
      </c>
      <c r="C8628">
        <v>0</v>
      </c>
      <c r="D8628">
        <v>0</v>
      </c>
      <c r="E8628">
        <v>0</v>
      </c>
      <c r="F8628">
        <v>0</v>
      </c>
      <c r="G8628">
        <v>0</v>
      </c>
    </row>
    <row r="8629" spans="1:7" x14ac:dyDescent="0.2">
      <c r="A8629" t="s">
        <v>4272</v>
      </c>
      <c r="B8629">
        <v>0</v>
      </c>
      <c r="C8629">
        <v>0</v>
      </c>
      <c r="D8629">
        <v>0</v>
      </c>
      <c r="E8629">
        <v>0</v>
      </c>
      <c r="F8629">
        <v>0</v>
      </c>
      <c r="G8629">
        <v>0</v>
      </c>
    </row>
    <row r="8630" spans="1:7" x14ac:dyDescent="0.2">
      <c r="A8630" t="s">
        <v>4273</v>
      </c>
      <c r="B8630">
        <v>0</v>
      </c>
      <c r="C8630">
        <v>0</v>
      </c>
      <c r="D8630">
        <v>0</v>
      </c>
      <c r="E8630">
        <v>0</v>
      </c>
      <c r="F8630">
        <v>0</v>
      </c>
      <c r="G8630">
        <v>0</v>
      </c>
    </row>
    <row r="8631" spans="1:7" x14ac:dyDescent="0.2">
      <c r="A8631" t="s">
        <v>4274</v>
      </c>
      <c r="B8631">
        <v>0</v>
      </c>
      <c r="C8631">
        <v>0</v>
      </c>
      <c r="D8631">
        <v>0</v>
      </c>
      <c r="E8631">
        <v>0</v>
      </c>
      <c r="F8631">
        <v>0</v>
      </c>
      <c r="G8631">
        <v>0</v>
      </c>
    </row>
    <row r="8632" spans="1:7" x14ac:dyDescent="0.2">
      <c r="A8632" t="s">
        <v>4275</v>
      </c>
      <c r="B8632">
        <v>0</v>
      </c>
      <c r="C8632">
        <v>0</v>
      </c>
      <c r="D8632">
        <v>0</v>
      </c>
      <c r="E8632">
        <v>0</v>
      </c>
      <c r="F8632">
        <v>0</v>
      </c>
      <c r="G8632">
        <v>0</v>
      </c>
    </row>
    <row r="8633" spans="1:7" x14ac:dyDescent="0.2">
      <c r="A8633" t="s">
        <v>4276</v>
      </c>
      <c r="B8633">
        <v>0</v>
      </c>
      <c r="C8633">
        <v>0</v>
      </c>
      <c r="D8633">
        <v>0</v>
      </c>
      <c r="E8633">
        <v>0</v>
      </c>
      <c r="F8633">
        <v>0</v>
      </c>
      <c r="G8633">
        <v>0</v>
      </c>
    </row>
    <row r="8634" spans="1:7" x14ac:dyDescent="0.2">
      <c r="A8634" t="s">
        <v>4277</v>
      </c>
      <c r="B8634">
        <v>0</v>
      </c>
      <c r="C8634">
        <v>0</v>
      </c>
      <c r="D8634">
        <v>0</v>
      </c>
      <c r="E8634">
        <v>0</v>
      </c>
      <c r="F8634">
        <v>0</v>
      </c>
      <c r="G8634">
        <v>0</v>
      </c>
    </row>
    <row r="8635" spans="1:7" x14ac:dyDescent="0.2">
      <c r="A8635" t="s">
        <v>4278</v>
      </c>
      <c r="B8635">
        <v>0</v>
      </c>
      <c r="C8635">
        <v>0</v>
      </c>
      <c r="D8635">
        <v>0</v>
      </c>
      <c r="E8635">
        <v>0</v>
      </c>
      <c r="F8635">
        <v>0</v>
      </c>
      <c r="G8635">
        <v>0</v>
      </c>
    </row>
    <row r="8636" spans="1:7" x14ac:dyDescent="0.2">
      <c r="A8636" t="s">
        <v>4279</v>
      </c>
      <c r="B8636">
        <v>0</v>
      </c>
      <c r="C8636">
        <v>0</v>
      </c>
      <c r="D8636">
        <v>0</v>
      </c>
      <c r="E8636">
        <v>0</v>
      </c>
      <c r="F8636">
        <v>0</v>
      </c>
      <c r="G8636">
        <v>0</v>
      </c>
    </row>
    <row r="8637" spans="1:7" x14ac:dyDescent="0.2">
      <c r="A8637" t="s">
        <v>4280</v>
      </c>
      <c r="B8637">
        <v>0</v>
      </c>
      <c r="C8637">
        <v>0</v>
      </c>
      <c r="D8637">
        <v>0</v>
      </c>
      <c r="E8637">
        <v>0</v>
      </c>
      <c r="F8637">
        <v>0</v>
      </c>
      <c r="G8637">
        <v>0</v>
      </c>
    </row>
    <row r="8638" spans="1:7" x14ac:dyDescent="0.2">
      <c r="A8638" t="s">
        <v>4281</v>
      </c>
      <c r="B8638">
        <v>4</v>
      </c>
      <c r="C8638">
        <v>3</v>
      </c>
      <c r="D8638">
        <v>4</v>
      </c>
      <c r="E8638">
        <v>0</v>
      </c>
      <c r="F8638">
        <v>0</v>
      </c>
      <c r="G8638">
        <v>11</v>
      </c>
    </row>
    <row r="8639" spans="1:7" x14ac:dyDescent="0.2">
      <c r="A8639" t="s">
        <v>4282</v>
      </c>
      <c r="B8639">
        <v>1</v>
      </c>
      <c r="C8639">
        <v>1</v>
      </c>
      <c r="D8639">
        <v>1</v>
      </c>
      <c r="E8639">
        <v>0</v>
      </c>
      <c r="F8639">
        <v>0</v>
      </c>
      <c r="G8639">
        <v>3</v>
      </c>
    </row>
    <row r="8640" spans="1:7" x14ac:dyDescent="0.2">
      <c r="A8640" t="s">
        <v>4283</v>
      </c>
      <c r="B8640">
        <v>0</v>
      </c>
      <c r="C8640">
        <v>1</v>
      </c>
      <c r="D8640">
        <v>0</v>
      </c>
      <c r="E8640">
        <v>0</v>
      </c>
      <c r="F8640">
        <v>0</v>
      </c>
      <c r="G8640">
        <v>1</v>
      </c>
    </row>
    <row r="8641" spans="1:7" x14ac:dyDescent="0.2">
      <c r="A8641" t="s">
        <v>4284</v>
      </c>
      <c r="B8641">
        <v>0</v>
      </c>
      <c r="C8641">
        <v>0</v>
      </c>
      <c r="D8641">
        <v>0</v>
      </c>
      <c r="E8641">
        <v>0</v>
      </c>
      <c r="F8641">
        <v>0</v>
      </c>
      <c r="G8641">
        <v>0</v>
      </c>
    </row>
    <row r="8642" spans="1:7" x14ac:dyDescent="0.2">
      <c r="A8642" t="s">
        <v>4285</v>
      </c>
      <c r="B8642">
        <v>3</v>
      </c>
      <c r="C8642">
        <v>4</v>
      </c>
      <c r="D8642">
        <v>2</v>
      </c>
      <c r="E8642">
        <v>1</v>
      </c>
      <c r="F8642">
        <v>0</v>
      </c>
      <c r="G8642">
        <v>9</v>
      </c>
    </row>
    <row r="8643" spans="1:7" x14ac:dyDescent="0.2">
      <c r="A8643" t="s">
        <v>4286</v>
      </c>
      <c r="B8643">
        <v>0</v>
      </c>
      <c r="C8643">
        <v>0</v>
      </c>
      <c r="D8643">
        <v>0</v>
      </c>
      <c r="E8643">
        <v>0</v>
      </c>
      <c r="F8643">
        <v>0</v>
      </c>
      <c r="G8643">
        <v>1</v>
      </c>
    </row>
    <row r="8644" spans="1:7" x14ac:dyDescent="0.2">
      <c r="A8644" t="s">
        <v>4287</v>
      </c>
      <c r="B8644">
        <v>0</v>
      </c>
      <c r="C8644">
        <v>0</v>
      </c>
      <c r="D8644">
        <v>0</v>
      </c>
      <c r="E8644">
        <v>0</v>
      </c>
      <c r="F8644">
        <v>0</v>
      </c>
      <c r="G8644">
        <v>0</v>
      </c>
    </row>
    <row r="8645" spans="1:7" x14ac:dyDescent="0.2">
      <c r="A8645" t="s">
        <v>4288</v>
      </c>
      <c r="B8645">
        <v>0</v>
      </c>
      <c r="C8645">
        <v>0</v>
      </c>
      <c r="D8645">
        <v>0</v>
      </c>
      <c r="E8645">
        <v>0</v>
      </c>
      <c r="F8645">
        <v>0</v>
      </c>
      <c r="G8645">
        <v>0</v>
      </c>
    </row>
    <row r="8646" spans="1:7" x14ac:dyDescent="0.2">
      <c r="A8646" t="s">
        <v>4289</v>
      </c>
      <c r="B8646">
        <v>0</v>
      </c>
      <c r="C8646">
        <v>0</v>
      </c>
      <c r="D8646">
        <v>0</v>
      </c>
      <c r="E8646">
        <v>0</v>
      </c>
      <c r="F8646">
        <v>0</v>
      </c>
      <c r="G8646">
        <v>0</v>
      </c>
    </row>
    <row r="8647" spans="1:7" x14ac:dyDescent="0.2">
      <c r="A8647" t="s">
        <v>4290</v>
      </c>
      <c r="B8647">
        <v>0</v>
      </c>
      <c r="C8647">
        <v>0</v>
      </c>
      <c r="D8647">
        <v>0</v>
      </c>
      <c r="E8647">
        <v>0</v>
      </c>
      <c r="F8647">
        <v>0</v>
      </c>
      <c r="G8647">
        <v>0</v>
      </c>
    </row>
    <row r="8648" spans="1:7" x14ac:dyDescent="0.2">
      <c r="A8648" t="s">
        <v>4291</v>
      </c>
      <c r="B8648">
        <v>0</v>
      </c>
      <c r="C8648">
        <v>0</v>
      </c>
      <c r="D8648">
        <v>0</v>
      </c>
      <c r="E8648">
        <v>0</v>
      </c>
      <c r="F8648">
        <v>0</v>
      </c>
      <c r="G8648">
        <v>0</v>
      </c>
    </row>
    <row r="8649" spans="1:7" x14ac:dyDescent="0.2">
      <c r="A8649" t="s">
        <v>4292</v>
      </c>
      <c r="B8649">
        <v>0</v>
      </c>
      <c r="C8649">
        <v>0</v>
      </c>
      <c r="D8649">
        <v>0</v>
      </c>
      <c r="E8649">
        <v>0</v>
      </c>
      <c r="F8649">
        <v>0</v>
      </c>
      <c r="G8649">
        <v>0</v>
      </c>
    </row>
    <row r="8650" spans="1:7" x14ac:dyDescent="0.2">
      <c r="A8650" t="s">
        <v>4293</v>
      </c>
      <c r="B8650">
        <v>0</v>
      </c>
      <c r="C8650">
        <v>0</v>
      </c>
      <c r="D8650">
        <v>0</v>
      </c>
      <c r="E8650">
        <v>0</v>
      </c>
      <c r="F8650">
        <v>0</v>
      </c>
      <c r="G8650">
        <v>0</v>
      </c>
    </row>
    <row r="8651" spans="1:7" x14ac:dyDescent="0.2">
      <c r="A8651" t="s">
        <v>4294</v>
      </c>
      <c r="B8651">
        <v>0</v>
      </c>
      <c r="C8651">
        <v>0</v>
      </c>
      <c r="D8651">
        <v>0</v>
      </c>
      <c r="E8651">
        <v>0</v>
      </c>
      <c r="F8651">
        <v>0</v>
      </c>
      <c r="G8651">
        <v>0</v>
      </c>
    </row>
    <row r="8652" spans="1:7" x14ac:dyDescent="0.2">
      <c r="A8652" t="s">
        <v>4295</v>
      </c>
      <c r="B8652">
        <v>0</v>
      </c>
      <c r="C8652">
        <v>0</v>
      </c>
      <c r="D8652">
        <v>0</v>
      </c>
      <c r="E8652">
        <v>0</v>
      </c>
      <c r="F8652">
        <v>0</v>
      </c>
      <c r="G8652">
        <v>0</v>
      </c>
    </row>
    <row r="8653" spans="1:7" x14ac:dyDescent="0.2">
      <c r="A8653" t="s">
        <v>4296</v>
      </c>
      <c r="B8653">
        <v>0</v>
      </c>
      <c r="C8653">
        <v>0</v>
      </c>
      <c r="D8653">
        <v>0</v>
      </c>
      <c r="E8653">
        <v>0</v>
      </c>
      <c r="F8653">
        <v>0</v>
      </c>
      <c r="G8653">
        <v>0</v>
      </c>
    </row>
    <row r="8654" spans="1:7" x14ac:dyDescent="0.2">
      <c r="A8654" t="s">
        <v>4297</v>
      </c>
      <c r="B8654">
        <v>0</v>
      </c>
      <c r="C8654">
        <v>3</v>
      </c>
      <c r="D8654">
        <v>4</v>
      </c>
      <c r="E8654">
        <v>0</v>
      </c>
      <c r="F8654">
        <v>0</v>
      </c>
      <c r="G8654">
        <v>7</v>
      </c>
    </row>
    <row r="8655" spans="1:7" x14ac:dyDescent="0.2">
      <c r="A8655" t="s">
        <v>4298</v>
      </c>
      <c r="B8655">
        <v>1</v>
      </c>
      <c r="C8655">
        <v>4</v>
      </c>
      <c r="D8655">
        <v>1</v>
      </c>
      <c r="E8655">
        <v>0</v>
      </c>
      <c r="F8655">
        <v>0</v>
      </c>
      <c r="G8655">
        <v>6</v>
      </c>
    </row>
    <row r="8656" spans="1:7" x14ac:dyDescent="0.2">
      <c r="A8656" t="s">
        <v>4299</v>
      </c>
      <c r="B8656">
        <v>2</v>
      </c>
      <c r="C8656">
        <v>7</v>
      </c>
      <c r="D8656">
        <v>5</v>
      </c>
      <c r="E8656">
        <v>2</v>
      </c>
      <c r="F8656">
        <v>0</v>
      </c>
      <c r="G8656">
        <v>15</v>
      </c>
    </row>
    <row r="8657" spans="1:7" x14ac:dyDescent="0.2">
      <c r="A8657" t="s">
        <v>4300</v>
      </c>
      <c r="B8657">
        <v>0</v>
      </c>
      <c r="C8657">
        <v>0</v>
      </c>
      <c r="D8657">
        <v>0</v>
      </c>
      <c r="E8657">
        <v>0</v>
      </c>
      <c r="F8657">
        <v>0</v>
      </c>
      <c r="G8657">
        <v>0</v>
      </c>
    </row>
    <row r="8658" spans="1:7" x14ac:dyDescent="0.2">
      <c r="A8658" t="s">
        <v>4301</v>
      </c>
      <c r="B8658">
        <v>0</v>
      </c>
      <c r="C8658">
        <v>15</v>
      </c>
      <c r="D8658">
        <v>15</v>
      </c>
      <c r="E8658">
        <v>5</v>
      </c>
      <c r="F8658">
        <v>0</v>
      </c>
      <c r="G8658">
        <v>34</v>
      </c>
    </row>
    <row r="8659" spans="1:7" x14ac:dyDescent="0.2">
      <c r="A8659" t="s">
        <v>4302</v>
      </c>
      <c r="B8659">
        <v>0</v>
      </c>
      <c r="C8659">
        <v>3</v>
      </c>
      <c r="D8659">
        <v>13</v>
      </c>
      <c r="E8659">
        <v>4</v>
      </c>
      <c r="F8659">
        <v>0</v>
      </c>
      <c r="G8659">
        <v>20</v>
      </c>
    </row>
    <row r="8660" spans="1:7" x14ac:dyDescent="0.2">
      <c r="A8660" t="s">
        <v>4303</v>
      </c>
      <c r="B8660">
        <v>0</v>
      </c>
      <c r="C8660">
        <v>3</v>
      </c>
      <c r="D8660">
        <v>17</v>
      </c>
      <c r="E8660">
        <v>3</v>
      </c>
      <c r="F8660">
        <v>0</v>
      </c>
      <c r="G8660">
        <v>23</v>
      </c>
    </row>
    <row r="8661" spans="1:7" x14ac:dyDescent="0.2">
      <c r="A8661" t="s">
        <v>4304</v>
      </c>
      <c r="B8661">
        <v>1</v>
      </c>
      <c r="C8661">
        <v>2</v>
      </c>
      <c r="D8661">
        <v>5</v>
      </c>
      <c r="E8661">
        <v>3</v>
      </c>
      <c r="F8661">
        <v>0</v>
      </c>
      <c r="G8661">
        <v>11</v>
      </c>
    </row>
    <row r="8662" spans="1:7" x14ac:dyDescent="0.2">
      <c r="A8662" t="s">
        <v>4305</v>
      </c>
      <c r="B8662">
        <v>63</v>
      </c>
      <c r="C8662">
        <v>25</v>
      </c>
      <c r="D8662">
        <v>33</v>
      </c>
      <c r="E8662">
        <v>10</v>
      </c>
      <c r="F8662">
        <v>0</v>
      </c>
      <c r="G8662">
        <v>131</v>
      </c>
    </row>
    <row r="8663" spans="1:7" x14ac:dyDescent="0.2">
      <c r="A8663" t="s">
        <v>4306</v>
      </c>
      <c r="B8663">
        <v>0</v>
      </c>
      <c r="C8663">
        <v>5</v>
      </c>
      <c r="D8663">
        <v>1</v>
      </c>
      <c r="E8663">
        <v>1</v>
      </c>
      <c r="F8663">
        <v>0</v>
      </c>
      <c r="G8663">
        <v>8</v>
      </c>
    </row>
    <row r="8664" spans="1:7" x14ac:dyDescent="0.2">
      <c r="A8664" t="s">
        <v>4307</v>
      </c>
      <c r="B8664">
        <v>1</v>
      </c>
      <c r="C8664">
        <v>16</v>
      </c>
      <c r="D8664">
        <v>54</v>
      </c>
      <c r="E8664">
        <v>16</v>
      </c>
      <c r="F8664">
        <v>0</v>
      </c>
      <c r="G8664">
        <v>87</v>
      </c>
    </row>
    <row r="8665" spans="1:7" x14ac:dyDescent="0.2">
      <c r="A8665" t="s">
        <v>4308</v>
      </c>
      <c r="B8665">
        <v>0</v>
      </c>
      <c r="C8665">
        <v>0</v>
      </c>
      <c r="D8665">
        <v>2</v>
      </c>
      <c r="E8665">
        <v>1</v>
      </c>
      <c r="F8665">
        <v>0</v>
      </c>
      <c r="G8665">
        <v>3</v>
      </c>
    </row>
    <row r="8666" spans="1:7" x14ac:dyDescent="0.2">
      <c r="A8666" t="s">
        <v>4309</v>
      </c>
      <c r="B8666">
        <v>0</v>
      </c>
      <c r="C8666">
        <v>0</v>
      </c>
      <c r="D8666">
        <v>0</v>
      </c>
      <c r="E8666">
        <v>0</v>
      </c>
      <c r="F8666">
        <v>0</v>
      </c>
      <c r="G8666">
        <v>0</v>
      </c>
    </row>
    <row r="8667" spans="1:7" x14ac:dyDescent="0.2">
      <c r="A8667" t="s">
        <v>4310</v>
      </c>
      <c r="B8667">
        <v>0</v>
      </c>
      <c r="C8667">
        <v>0</v>
      </c>
      <c r="D8667">
        <v>0</v>
      </c>
      <c r="E8667">
        <v>0</v>
      </c>
      <c r="F8667">
        <v>0</v>
      </c>
      <c r="G8667">
        <v>0</v>
      </c>
    </row>
    <row r="8668" spans="1:7" x14ac:dyDescent="0.2">
      <c r="A8668" t="s">
        <v>4311</v>
      </c>
      <c r="B8668">
        <v>0</v>
      </c>
      <c r="C8668">
        <v>0</v>
      </c>
      <c r="D8668">
        <v>0</v>
      </c>
      <c r="E8668">
        <v>0</v>
      </c>
      <c r="F8668">
        <v>0</v>
      </c>
      <c r="G8668">
        <v>0</v>
      </c>
    </row>
    <row r="8669" spans="1:7" x14ac:dyDescent="0.2">
      <c r="A8669" t="s">
        <v>4312</v>
      </c>
      <c r="B8669">
        <v>0</v>
      </c>
      <c r="C8669">
        <v>0</v>
      </c>
      <c r="D8669">
        <v>0</v>
      </c>
      <c r="E8669">
        <v>0</v>
      </c>
      <c r="F8669">
        <v>0</v>
      </c>
      <c r="G8669">
        <v>0</v>
      </c>
    </row>
    <row r="8670" spans="1:7" x14ac:dyDescent="0.2">
      <c r="A8670" t="s">
        <v>4313</v>
      </c>
      <c r="B8670">
        <v>0</v>
      </c>
      <c r="C8670">
        <v>0</v>
      </c>
      <c r="D8670">
        <v>0</v>
      </c>
      <c r="E8670">
        <v>0</v>
      </c>
      <c r="F8670">
        <v>0</v>
      </c>
      <c r="G8670">
        <v>0</v>
      </c>
    </row>
    <row r="8671" spans="1:7" x14ac:dyDescent="0.2">
      <c r="A8671" t="s">
        <v>4314</v>
      </c>
      <c r="B8671">
        <v>0</v>
      </c>
      <c r="C8671">
        <v>0</v>
      </c>
      <c r="D8671">
        <v>0</v>
      </c>
      <c r="E8671">
        <v>0</v>
      </c>
      <c r="F8671">
        <v>0</v>
      </c>
      <c r="G8671">
        <v>0</v>
      </c>
    </row>
    <row r="8672" spans="1:7" x14ac:dyDescent="0.2">
      <c r="A8672" t="s">
        <v>4315</v>
      </c>
      <c r="B8672">
        <v>0</v>
      </c>
      <c r="C8672">
        <v>0</v>
      </c>
      <c r="D8672">
        <v>0</v>
      </c>
      <c r="E8672">
        <v>0</v>
      </c>
      <c r="F8672">
        <v>0</v>
      </c>
      <c r="G8672">
        <v>0</v>
      </c>
    </row>
    <row r="8673" spans="1:7" x14ac:dyDescent="0.2">
      <c r="A8673" t="s">
        <v>4316</v>
      </c>
      <c r="B8673">
        <v>0</v>
      </c>
      <c r="C8673">
        <v>0</v>
      </c>
      <c r="D8673">
        <v>0</v>
      </c>
      <c r="E8673">
        <v>0</v>
      </c>
      <c r="F8673">
        <v>0</v>
      </c>
      <c r="G8673">
        <v>0</v>
      </c>
    </row>
    <row r="8674" spans="1:7" x14ac:dyDescent="0.2">
      <c r="A8674" t="s">
        <v>4317</v>
      </c>
      <c r="B8674">
        <v>0</v>
      </c>
      <c r="C8674">
        <v>0</v>
      </c>
      <c r="D8674">
        <v>0</v>
      </c>
      <c r="E8674">
        <v>0</v>
      </c>
      <c r="F8674">
        <v>0</v>
      </c>
      <c r="G8674">
        <v>0</v>
      </c>
    </row>
    <row r="8675" spans="1:7" x14ac:dyDescent="0.2">
      <c r="A8675" t="s">
        <v>4318</v>
      </c>
      <c r="B8675">
        <v>0</v>
      </c>
      <c r="C8675">
        <v>0</v>
      </c>
      <c r="D8675">
        <v>0</v>
      </c>
      <c r="E8675">
        <v>0</v>
      </c>
      <c r="F8675">
        <v>0</v>
      </c>
      <c r="G8675">
        <v>0</v>
      </c>
    </row>
    <row r="8676" spans="1:7" x14ac:dyDescent="0.2">
      <c r="A8676" t="s">
        <v>4319</v>
      </c>
      <c r="B8676">
        <v>0</v>
      </c>
      <c r="C8676">
        <v>0</v>
      </c>
      <c r="D8676">
        <v>0</v>
      </c>
      <c r="E8676">
        <v>0</v>
      </c>
      <c r="F8676">
        <v>0</v>
      </c>
      <c r="G8676">
        <v>0</v>
      </c>
    </row>
    <row r="8677" spans="1:7" x14ac:dyDescent="0.2">
      <c r="A8677" t="s">
        <v>4320</v>
      </c>
      <c r="B8677">
        <v>0</v>
      </c>
      <c r="C8677">
        <v>0</v>
      </c>
      <c r="D8677">
        <v>0</v>
      </c>
      <c r="E8677">
        <v>0</v>
      </c>
      <c r="F8677">
        <v>0</v>
      </c>
      <c r="G8677">
        <v>0</v>
      </c>
    </row>
    <row r="8678" spans="1:7" x14ac:dyDescent="0.2">
      <c r="A8678" t="s">
        <v>4321</v>
      </c>
      <c r="B8678">
        <v>0</v>
      </c>
      <c r="C8678">
        <v>0</v>
      </c>
      <c r="D8678">
        <v>0</v>
      </c>
      <c r="E8678">
        <v>0</v>
      </c>
      <c r="F8678">
        <v>0</v>
      </c>
      <c r="G8678">
        <v>0</v>
      </c>
    </row>
    <row r="8679" spans="1:7" x14ac:dyDescent="0.2">
      <c r="A8679" t="s">
        <v>4322</v>
      </c>
      <c r="B8679">
        <v>0</v>
      </c>
      <c r="C8679">
        <v>0</v>
      </c>
      <c r="D8679">
        <v>0</v>
      </c>
      <c r="E8679">
        <v>0</v>
      </c>
      <c r="F8679">
        <v>0</v>
      </c>
      <c r="G8679">
        <v>0</v>
      </c>
    </row>
    <row r="8680" spans="1:7" x14ac:dyDescent="0.2">
      <c r="A8680" t="s">
        <v>4323</v>
      </c>
      <c r="B8680">
        <v>0</v>
      </c>
      <c r="C8680">
        <v>0</v>
      </c>
      <c r="D8680">
        <v>0</v>
      </c>
      <c r="E8680">
        <v>0</v>
      </c>
      <c r="F8680">
        <v>0</v>
      </c>
      <c r="G8680">
        <v>0</v>
      </c>
    </row>
    <row r="8681" spans="1:7" x14ac:dyDescent="0.2">
      <c r="A8681" t="s">
        <v>4324</v>
      </c>
      <c r="B8681">
        <v>0</v>
      </c>
      <c r="C8681">
        <v>0</v>
      </c>
      <c r="D8681">
        <v>0</v>
      </c>
      <c r="E8681">
        <v>0</v>
      </c>
      <c r="F8681">
        <v>0</v>
      </c>
      <c r="G8681">
        <v>0</v>
      </c>
    </row>
    <row r="8682" spans="1:7" x14ac:dyDescent="0.2">
      <c r="A8682" t="s">
        <v>4325</v>
      </c>
      <c r="B8682">
        <v>0</v>
      </c>
      <c r="C8682">
        <v>0</v>
      </c>
      <c r="D8682">
        <v>0</v>
      </c>
      <c r="E8682">
        <v>0</v>
      </c>
      <c r="F8682">
        <v>0</v>
      </c>
      <c r="G8682">
        <v>0</v>
      </c>
    </row>
    <row r="8683" spans="1:7" x14ac:dyDescent="0.2">
      <c r="A8683" t="s">
        <v>4326</v>
      </c>
      <c r="B8683">
        <v>0</v>
      </c>
      <c r="C8683">
        <v>0</v>
      </c>
      <c r="D8683">
        <v>0</v>
      </c>
      <c r="E8683">
        <v>0</v>
      </c>
      <c r="F8683">
        <v>0</v>
      </c>
      <c r="G8683">
        <v>0</v>
      </c>
    </row>
    <row r="8684" spans="1:7" x14ac:dyDescent="0.2">
      <c r="A8684" t="s">
        <v>4327</v>
      </c>
      <c r="B8684">
        <v>0</v>
      </c>
      <c r="C8684">
        <v>0</v>
      </c>
      <c r="D8684">
        <v>0</v>
      </c>
      <c r="E8684">
        <v>0</v>
      </c>
      <c r="F8684">
        <v>0</v>
      </c>
      <c r="G8684">
        <v>0</v>
      </c>
    </row>
    <row r="8685" spans="1:7" x14ac:dyDescent="0.2">
      <c r="A8685" t="s">
        <v>4328</v>
      </c>
      <c r="B8685">
        <v>0</v>
      </c>
      <c r="C8685">
        <v>0</v>
      </c>
      <c r="D8685">
        <v>0</v>
      </c>
      <c r="E8685">
        <v>0</v>
      </c>
      <c r="F8685">
        <v>0</v>
      </c>
      <c r="G8685">
        <v>0</v>
      </c>
    </row>
    <row r="8686" spans="1:7" x14ac:dyDescent="0.2">
      <c r="A8686" t="s">
        <v>4329</v>
      </c>
      <c r="B8686">
        <v>0</v>
      </c>
      <c r="C8686">
        <v>0</v>
      </c>
      <c r="D8686">
        <v>0</v>
      </c>
      <c r="E8686">
        <v>0</v>
      </c>
      <c r="F8686">
        <v>0</v>
      </c>
      <c r="G8686">
        <v>0</v>
      </c>
    </row>
    <row r="8687" spans="1:7" x14ac:dyDescent="0.2">
      <c r="A8687" t="s">
        <v>4330</v>
      </c>
      <c r="B8687">
        <v>0</v>
      </c>
      <c r="C8687">
        <v>0</v>
      </c>
      <c r="D8687">
        <v>0</v>
      </c>
      <c r="E8687">
        <v>0</v>
      </c>
      <c r="F8687">
        <v>0</v>
      </c>
      <c r="G8687">
        <v>0</v>
      </c>
    </row>
    <row r="8688" spans="1:7" x14ac:dyDescent="0.2">
      <c r="A8688" t="s">
        <v>4331</v>
      </c>
      <c r="B8688">
        <v>0</v>
      </c>
      <c r="C8688">
        <v>0</v>
      </c>
      <c r="D8688">
        <v>0</v>
      </c>
      <c r="E8688">
        <v>0</v>
      </c>
      <c r="F8688">
        <v>0</v>
      </c>
      <c r="G8688">
        <v>0</v>
      </c>
    </row>
    <row r="8689" spans="1:7" x14ac:dyDescent="0.2">
      <c r="A8689" t="s">
        <v>4332</v>
      </c>
      <c r="B8689">
        <v>0</v>
      </c>
      <c r="C8689">
        <v>0</v>
      </c>
      <c r="D8689">
        <v>0</v>
      </c>
      <c r="E8689">
        <v>0</v>
      </c>
      <c r="F8689">
        <v>0</v>
      </c>
      <c r="G8689">
        <v>0</v>
      </c>
    </row>
    <row r="8690" spans="1:7" x14ac:dyDescent="0.2">
      <c r="A8690" t="s">
        <v>4333</v>
      </c>
      <c r="B8690">
        <v>0</v>
      </c>
      <c r="C8690">
        <v>0</v>
      </c>
      <c r="D8690">
        <v>0</v>
      </c>
      <c r="E8690">
        <v>0</v>
      </c>
      <c r="F8690">
        <v>0</v>
      </c>
      <c r="G8690">
        <v>0</v>
      </c>
    </row>
    <row r="8691" spans="1:7" x14ac:dyDescent="0.2">
      <c r="A8691" t="s">
        <v>4334</v>
      </c>
      <c r="B8691">
        <v>0</v>
      </c>
      <c r="C8691">
        <v>0</v>
      </c>
      <c r="D8691">
        <v>0</v>
      </c>
      <c r="E8691">
        <v>0</v>
      </c>
      <c r="F8691">
        <v>0</v>
      </c>
      <c r="G8691">
        <v>0</v>
      </c>
    </row>
    <row r="8692" spans="1:7" x14ac:dyDescent="0.2">
      <c r="A8692" t="s">
        <v>4335</v>
      </c>
      <c r="B8692">
        <v>0</v>
      </c>
      <c r="C8692">
        <v>0</v>
      </c>
      <c r="D8692">
        <v>0</v>
      </c>
      <c r="E8692">
        <v>0</v>
      </c>
      <c r="F8692">
        <v>0</v>
      </c>
      <c r="G8692">
        <v>0</v>
      </c>
    </row>
    <row r="8693" spans="1:7" x14ac:dyDescent="0.2">
      <c r="A8693" t="s">
        <v>4336</v>
      </c>
      <c r="B8693">
        <v>0</v>
      </c>
      <c r="C8693">
        <v>0</v>
      </c>
      <c r="D8693">
        <v>0</v>
      </c>
      <c r="E8693">
        <v>0</v>
      </c>
      <c r="F8693">
        <v>0</v>
      </c>
      <c r="G8693">
        <v>0</v>
      </c>
    </row>
    <row r="8694" spans="1:7" x14ac:dyDescent="0.2">
      <c r="A8694" t="s">
        <v>4337</v>
      </c>
      <c r="B8694">
        <v>0</v>
      </c>
      <c r="C8694">
        <v>0</v>
      </c>
      <c r="D8694">
        <v>0</v>
      </c>
      <c r="E8694">
        <v>0</v>
      </c>
      <c r="F8694">
        <v>0</v>
      </c>
      <c r="G8694">
        <v>0</v>
      </c>
    </row>
    <row r="8695" spans="1:7" x14ac:dyDescent="0.2">
      <c r="A8695" t="s">
        <v>4338</v>
      </c>
      <c r="B8695">
        <v>0</v>
      </c>
      <c r="C8695">
        <v>0</v>
      </c>
      <c r="D8695">
        <v>0</v>
      </c>
      <c r="E8695">
        <v>0</v>
      </c>
      <c r="F8695">
        <v>0</v>
      </c>
      <c r="G8695">
        <v>0</v>
      </c>
    </row>
    <row r="8696" spans="1:7" x14ac:dyDescent="0.2">
      <c r="A8696" t="s">
        <v>4339</v>
      </c>
      <c r="B8696">
        <v>0</v>
      </c>
      <c r="C8696">
        <v>0</v>
      </c>
      <c r="D8696">
        <v>0</v>
      </c>
      <c r="E8696">
        <v>0</v>
      </c>
      <c r="F8696">
        <v>0</v>
      </c>
      <c r="G8696">
        <v>0</v>
      </c>
    </row>
    <row r="8697" spans="1:7" x14ac:dyDescent="0.2">
      <c r="A8697" t="s">
        <v>4340</v>
      </c>
      <c r="B8697">
        <v>0</v>
      </c>
      <c r="C8697">
        <v>0</v>
      </c>
      <c r="D8697">
        <v>0</v>
      </c>
      <c r="E8697">
        <v>0</v>
      </c>
      <c r="F8697">
        <v>0</v>
      </c>
      <c r="G8697">
        <v>0</v>
      </c>
    </row>
    <row r="8698" spans="1:7" x14ac:dyDescent="0.2">
      <c r="A8698" t="s">
        <v>4341</v>
      </c>
      <c r="B8698">
        <v>0</v>
      </c>
      <c r="C8698">
        <v>0</v>
      </c>
      <c r="D8698">
        <v>0</v>
      </c>
      <c r="E8698">
        <v>0</v>
      </c>
      <c r="F8698">
        <v>0</v>
      </c>
      <c r="G8698">
        <v>0</v>
      </c>
    </row>
    <row r="8699" spans="1:7" x14ac:dyDescent="0.2">
      <c r="A8699" t="s">
        <v>4342</v>
      </c>
      <c r="B8699">
        <v>0</v>
      </c>
      <c r="C8699">
        <v>0</v>
      </c>
      <c r="D8699">
        <v>0</v>
      </c>
      <c r="E8699">
        <v>0</v>
      </c>
      <c r="F8699">
        <v>0</v>
      </c>
      <c r="G8699">
        <v>0</v>
      </c>
    </row>
    <row r="8700" spans="1:7" x14ac:dyDescent="0.2">
      <c r="A8700" t="s">
        <v>4343</v>
      </c>
      <c r="B8700">
        <v>0</v>
      </c>
      <c r="C8700">
        <v>0</v>
      </c>
      <c r="D8700">
        <v>0</v>
      </c>
      <c r="E8700">
        <v>0</v>
      </c>
      <c r="F8700">
        <v>0</v>
      </c>
      <c r="G8700">
        <v>0</v>
      </c>
    </row>
    <row r="8701" spans="1:7" x14ac:dyDescent="0.2">
      <c r="A8701" t="s">
        <v>1728</v>
      </c>
      <c r="B8701">
        <v>0</v>
      </c>
      <c r="C8701">
        <v>0</v>
      </c>
      <c r="D8701">
        <v>0</v>
      </c>
      <c r="E8701">
        <v>0</v>
      </c>
      <c r="F8701">
        <v>0</v>
      </c>
      <c r="G8701">
        <v>0</v>
      </c>
    </row>
    <row r="8702" spans="1:7" x14ac:dyDescent="0.2">
      <c r="A8702" t="s">
        <v>1730</v>
      </c>
      <c r="B8702">
        <v>0</v>
      </c>
      <c r="C8702">
        <v>0</v>
      </c>
      <c r="D8702">
        <v>2</v>
      </c>
      <c r="E8702">
        <v>1</v>
      </c>
      <c r="F8702">
        <v>1</v>
      </c>
      <c r="G8702">
        <v>4</v>
      </c>
    </row>
    <row r="8703" spans="1:7" x14ac:dyDescent="0.2">
      <c r="A8703" t="s">
        <v>1733</v>
      </c>
      <c r="B8703">
        <v>0</v>
      </c>
      <c r="C8703">
        <v>0</v>
      </c>
      <c r="D8703">
        <v>0</v>
      </c>
      <c r="E8703">
        <v>0</v>
      </c>
      <c r="F8703">
        <v>0</v>
      </c>
      <c r="G8703">
        <v>0</v>
      </c>
    </row>
    <row r="8704" spans="1:7" x14ac:dyDescent="0.2">
      <c r="A8704" t="s">
        <v>1738</v>
      </c>
      <c r="B8704">
        <v>0</v>
      </c>
      <c r="C8704">
        <v>0</v>
      </c>
      <c r="D8704">
        <v>0</v>
      </c>
      <c r="E8704">
        <v>0</v>
      </c>
      <c r="F8704">
        <v>0</v>
      </c>
      <c r="G8704">
        <v>0</v>
      </c>
    </row>
    <row r="8705" spans="1:7" x14ac:dyDescent="0.2">
      <c r="A8705" t="s">
        <v>1744</v>
      </c>
      <c r="B8705">
        <v>0</v>
      </c>
      <c r="C8705">
        <v>0</v>
      </c>
      <c r="D8705">
        <v>0</v>
      </c>
      <c r="E8705">
        <v>0</v>
      </c>
      <c r="F8705">
        <v>0</v>
      </c>
      <c r="G8705">
        <v>0</v>
      </c>
    </row>
    <row r="8706" spans="1:7" x14ac:dyDescent="0.2">
      <c r="A8706" t="s">
        <v>1747</v>
      </c>
      <c r="B8706">
        <v>0</v>
      </c>
      <c r="C8706">
        <v>0</v>
      </c>
      <c r="D8706">
        <v>0</v>
      </c>
      <c r="E8706">
        <v>0</v>
      </c>
      <c r="F8706">
        <v>0</v>
      </c>
      <c r="G8706">
        <v>0</v>
      </c>
    </row>
    <row r="8707" spans="1:7" x14ac:dyDescent="0.2">
      <c r="A8707" t="s">
        <v>1751</v>
      </c>
      <c r="B8707">
        <v>0</v>
      </c>
      <c r="C8707">
        <v>0</v>
      </c>
      <c r="D8707">
        <v>0</v>
      </c>
      <c r="E8707">
        <v>0</v>
      </c>
      <c r="F8707">
        <v>0</v>
      </c>
      <c r="G8707">
        <v>0</v>
      </c>
    </row>
    <row r="8708" spans="1:7" x14ac:dyDescent="0.2">
      <c r="A8708" t="s">
        <v>1755</v>
      </c>
      <c r="B8708">
        <v>0</v>
      </c>
      <c r="C8708">
        <v>0</v>
      </c>
      <c r="D8708">
        <v>0</v>
      </c>
      <c r="E8708">
        <v>2</v>
      </c>
      <c r="F8708">
        <v>0</v>
      </c>
      <c r="G8708">
        <v>2</v>
      </c>
    </row>
    <row r="8709" spans="1:7" x14ac:dyDescent="0.2">
      <c r="A8709" t="s">
        <v>1757</v>
      </c>
      <c r="B8709">
        <v>0</v>
      </c>
      <c r="C8709">
        <v>0</v>
      </c>
      <c r="D8709">
        <v>1</v>
      </c>
      <c r="E8709">
        <v>1</v>
      </c>
      <c r="F8709">
        <v>0</v>
      </c>
      <c r="G8709">
        <v>1</v>
      </c>
    </row>
    <row r="8710" spans="1:7" x14ac:dyDescent="0.2">
      <c r="A8710" t="s">
        <v>1761</v>
      </c>
      <c r="B8710">
        <v>0</v>
      </c>
      <c r="C8710">
        <v>0</v>
      </c>
      <c r="D8710">
        <v>0</v>
      </c>
      <c r="E8710">
        <v>0</v>
      </c>
      <c r="F8710">
        <v>0</v>
      </c>
      <c r="G8710">
        <v>0</v>
      </c>
    </row>
    <row r="8711" spans="1:7" x14ac:dyDescent="0.2">
      <c r="A8711" t="s">
        <v>1764</v>
      </c>
      <c r="B8711">
        <v>0</v>
      </c>
      <c r="C8711">
        <v>0</v>
      </c>
      <c r="D8711">
        <v>0</v>
      </c>
      <c r="E8711">
        <v>0</v>
      </c>
      <c r="F8711">
        <v>0</v>
      </c>
      <c r="G8711">
        <v>0</v>
      </c>
    </row>
    <row r="8712" spans="1:7" x14ac:dyDescent="0.2">
      <c r="A8712" t="s">
        <v>1770</v>
      </c>
      <c r="B8712">
        <v>0</v>
      </c>
      <c r="C8712">
        <v>3</v>
      </c>
      <c r="D8712">
        <v>19</v>
      </c>
      <c r="E8712">
        <v>164</v>
      </c>
      <c r="F8712">
        <v>0</v>
      </c>
      <c r="G8712">
        <v>186</v>
      </c>
    </row>
    <row r="8713" spans="1:7" x14ac:dyDescent="0.2">
      <c r="A8713" t="s">
        <v>1772</v>
      </c>
      <c r="B8713">
        <v>0</v>
      </c>
      <c r="C8713">
        <v>0</v>
      </c>
      <c r="D8713">
        <v>6</v>
      </c>
      <c r="E8713">
        <v>78</v>
      </c>
      <c r="F8713">
        <v>0</v>
      </c>
      <c r="G8713">
        <v>85</v>
      </c>
    </row>
    <row r="8714" spans="1:7" x14ac:dyDescent="0.2">
      <c r="A8714" t="s">
        <v>1774</v>
      </c>
      <c r="B8714">
        <v>0</v>
      </c>
      <c r="C8714">
        <v>0</v>
      </c>
      <c r="D8714">
        <v>0</v>
      </c>
      <c r="E8714">
        <v>23</v>
      </c>
      <c r="F8714">
        <v>0</v>
      </c>
      <c r="G8714">
        <v>23</v>
      </c>
    </row>
    <row r="8715" spans="1:7" x14ac:dyDescent="0.2">
      <c r="A8715" t="s">
        <v>1777</v>
      </c>
      <c r="B8715">
        <v>0</v>
      </c>
      <c r="C8715">
        <v>0</v>
      </c>
      <c r="D8715">
        <v>0</v>
      </c>
      <c r="E8715">
        <v>0</v>
      </c>
      <c r="F8715">
        <v>0</v>
      </c>
      <c r="G8715">
        <v>0</v>
      </c>
    </row>
    <row r="8716" spans="1:7" x14ac:dyDescent="0.2">
      <c r="A8716" t="s">
        <v>1782</v>
      </c>
      <c r="B8716">
        <v>0</v>
      </c>
      <c r="C8716">
        <v>0</v>
      </c>
      <c r="D8716">
        <v>0</v>
      </c>
      <c r="E8716">
        <v>0</v>
      </c>
      <c r="F8716">
        <v>0</v>
      </c>
      <c r="G8716">
        <v>0</v>
      </c>
    </row>
    <row r="8717" spans="1:7" x14ac:dyDescent="0.2">
      <c r="A8717" t="s">
        <v>1274</v>
      </c>
      <c r="B8717">
        <v>0</v>
      </c>
      <c r="C8717">
        <v>0</v>
      </c>
      <c r="D8717">
        <v>0</v>
      </c>
      <c r="E8717">
        <v>0</v>
      </c>
      <c r="F8717">
        <v>0</v>
      </c>
      <c r="G8717">
        <v>0</v>
      </c>
    </row>
    <row r="8718" spans="1:7" x14ac:dyDescent="0.2">
      <c r="A8718" t="s">
        <v>1277</v>
      </c>
      <c r="B8718">
        <v>0</v>
      </c>
      <c r="C8718">
        <v>0</v>
      </c>
      <c r="D8718">
        <v>0</v>
      </c>
      <c r="E8718">
        <v>2</v>
      </c>
      <c r="F8718">
        <v>0</v>
      </c>
      <c r="G8718">
        <v>2</v>
      </c>
    </row>
    <row r="8719" spans="1:7" x14ac:dyDescent="0.2">
      <c r="A8719" t="s">
        <v>1798</v>
      </c>
      <c r="B8719">
        <v>0</v>
      </c>
      <c r="C8719">
        <v>0</v>
      </c>
      <c r="D8719">
        <v>0</v>
      </c>
      <c r="E8719">
        <v>0</v>
      </c>
      <c r="F8719">
        <v>0</v>
      </c>
      <c r="G8719">
        <v>0</v>
      </c>
    </row>
    <row r="8720" spans="1:7" x14ac:dyDescent="0.2">
      <c r="A8720" t="s">
        <v>1803</v>
      </c>
      <c r="B8720">
        <v>0</v>
      </c>
      <c r="C8720">
        <v>0</v>
      </c>
      <c r="D8720">
        <v>0</v>
      </c>
      <c r="E8720">
        <v>0</v>
      </c>
      <c r="F8720">
        <v>0</v>
      </c>
      <c r="G8720">
        <v>0</v>
      </c>
    </row>
    <row r="8721" spans="1:7" x14ac:dyDescent="0.2">
      <c r="A8721" t="s">
        <v>1808</v>
      </c>
      <c r="B8721">
        <v>0</v>
      </c>
      <c r="C8721">
        <v>0</v>
      </c>
      <c r="D8721">
        <v>0</v>
      </c>
      <c r="E8721">
        <v>0</v>
      </c>
      <c r="F8721">
        <v>0</v>
      </c>
      <c r="G8721">
        <v>0</v>
      </c>
    </row>
    <row r="8722" spans="1:7" x14ac:dyDescent="0.2">
      <c r="A8722" t="s">
        <v>1813</v>
      </c>
      <c r="B8722">
        <v>0</v>
      </c>
      <c r="C8722">
        <v>0</v>
      </c>
      <c r="D8722">
        <v>0</v>
      </c>
      <c r="E8722">
        <v>0</v>
      </c>
      <c r="F8722">
        <v>0</v>
      </c>
      <c r="G8722">
        <v>0</v>
      </c>
    </row>
    <row r="8723" spans="1:7" x14ac:dyDescent="0.2">
      <c r="A8723" t="s">
        <v>1819</v>
      </c>
      <c r="B8723">
        <v>0</v>
      </c>
      <c r="C8723">
        <v>0</v>
      </c>
      <c r="D8723">
        <v>0</v>
      </c>
      <c r="E8723">
        <v>0</v>
      </c>
      <c r="F8723">
        <v>0</v>
      </c>
      <c r="G8723">
        <v>0</v>
      </c>
    </row>
    <row r="8724" spans="1:7" x14ac:dyDescent="0.2">
      <c r="A8724" t="s">
        <v>1826</v>
      </c>
      <c r="B8724">
        <v>0</v>
      </c>
      <c r="C8724">
        <v>0</v>
      </c>
      <c r="D8724">
        <v>0</v>
      </c>
      <c r="E8724">
        <v>0</v>
      </c>
      <c r="F8724">
        <v>0</v>
      </c>
      <c r="G8724">
        <v>0</v>
      </c>
    </row>
    <row r="8725" spans="1:7" x14ac:dyDescent="0.2">
      <c r="A8725" t="s">
        <v>1830</v>
      </c>
      <c r="B8725">
        <v>0</v>
      </c>
      <c r="C8725">
        <v>0</v>
      </c>
      <c r="D8725">
        <v>0</v>
      </c>
      <c r="E8725">
        <v>0</v>
      </c>
      <c r="F8725">
        <v>0</v>
      </c>
      <c r="G8725">
        <v>0</v>
      </c>
    </row>
    <row r="8726" spans="1:7" x14ac:dyDescent="0.2">
      <c r="A8726" t="s">
        <v>1836</v>
      </c>
      <c r="B8726">
        <v>0</v>
      </c>
      <c r="C8726">
        <v>0</v>
      </c>
      <c r="D8726">
        <v>0</v>
      </c>
      <c r="E8726">
        <v>0</v>
      </c>
      <c r="F8726">
        <v>0</v>
      </c>
      <c r="G8726">
        <v>0</v>
      </c>
    </row>
    <row r="8727" spans="1:7" x14ac:dyDescent="0.2">
      <c r="A8727" t="s">
        <v>1841</v>
      </c>
      <c r="B8727">
        <v>0</v>
      </c>
      <c r="C8727">
        <v>0</v>
      </c>
      <c r="D8727">
        <v>1</v>
      </c>
      <c r="E8727">
        <v>0</v>
      </c>
      <c r="F8727">
        <v>0</v>
      </c>
      <c r="G8727">
        <v>1</v>
      </c>
    </row>
    <row r="8728" spans="1:7" x14ac:dyDescent="0.2">
      <c r="A8728" t="s">
        <v>1842</v>
      </c>
      <c r="B8728">
        <v>0</v>
      </c>
      <c r="C8728">
        <v>8</v>
      </c>
      <c r="D8728">
        <v>21</v>
      </c>
      <c r="E8728">
        <v>100</v>
      </c>
      <c r="F8728">
        <v>0</v>
      </c>
      <c r="G8728">
        <v>129</v>
      </c>
    </row>
    <row r="8729" spans="1:7" x14ac:dyDescent="0.2">
      <c r="A8729" t="s">
        <v>1843</v>
      </c>
      <c r="B8729">
        <v>0</v>
      </c>
      <c r="C8729">
        <v>0</v>
      </c>
      <c r="D8729">
        <v>0</v>
      </c>
      <c r="E8729">
        <v>0</v>
      </c>
      <c r="F8729">
        <v>0</v>
      </c>
      <c r="G8729">
        <v>0</v>
      </c>
    </row>
    <row r="8730" spans="1:7" x14ac:dyDescent="0.2">
      <c r="A8730" t="s">
        <v>1846</v>
      </c>
      <c r="B8730">
        <v>0</v>
      </c>
      <c r="C8730">
        <v>0</v>
      </c>
      <c r="D8730">
        <v>0</v>
      </c>
      <c r="E8730">
        <v>0</v>
      </c>
      <c r="F8730">
        <v>0</v>
      </c>
      <c r="G8730">
        <v>0</v>
      </c>
    </row>
    <row r="8731" spans="1:7" x14ac:dyDescent="0.2">
      <c r="A8731" t="s">
        <v>1851</v>
      </c>
      <c r="B8731">
        <v>0</v>
      </c>
      <c r="C8731">
        <v>0</v>
      </c>
      <c r="D8731">
        <v>0</v>
      </c>
      <c r="E8731">
        <v>280</v>
      </c>
      <c r="F8731">
        <v>14</v>
      </c>
      <c r="G8731">
        <v>294</v>
      </c>
    </row>
    <row r="8732" spans="1:7" x14ac:dyDescent="0.2">
      <c r="A8732" t="s">
        <v>1857</v>
      </c>
      <c r="B8732">
        <v>0</v>
      </c>
      <c r="C8732">
        <v>0</v>
      </c>
      <c r="D8732">
        <v>0</v>
      </c>
      <c r="E8732">
        <v>4</v>
      </c>
      <c r="F8732">
        <v>0</v>
      </c>
      <c r="G8732">
        <v>4</v>
      </c>
    </row>
    <row r="8733" spans="1:7" x14ac:dyDescent="0.2">
      <c r="A8733" t="s">
        <v>1862</v>
      </c>
      <c r="B8733">
        <v>0</v>
      </c>
      <c r="C8733">
        <v>0</v>
      </c>
      <c r="D8733">
        <v>0</v>
      </c>
      <c r="E8733">
        <v>3737</v>
      </c>
      <c r="F8733">
        <v>508</v>
      </c>
      <c r="G8733">
        <v>4244</v>
      </c>
    </row>
    <row r="8734" spans="1:7" x14ac:dyDescent="0.2">
      <c r="A8734" t="s">
        <v>1867</v>
      </c>
      <c r="B8734">
        <v>0</v>
      </c>
      <c r="C8734">
        <v>0</v>
      </c>
      <c r="D8734">
        <v>0</v>
      </c>
      <c r="E8734">
        <v>0</v>
      </c>
      <c r="F8734">
        <v>0</v>
      </c>
      <c r="G8734">
        <v>0</v>
      </c>
    </row>
    <row r="8735" spans="1:7" x14ac:dyDescent="0.2">
      <c r="A8735" t="s">
        <v>1870</v>
      </c>
      <c r="B8735">
        <v>0</v>
      </c>
      <c r="C8735">
        <v>0</v>
      </c>
      <c r="D8735">
        <v>0</v>
      </c>
      <c r="E8735">
        <v>0</v>
      </c>
      <c r="F8735">
        <v>0</v>
      </c>
      <c r="G8735">
        <v>0</v>
      </c>
    </row>
    <row r="8736" spans="1:7" x14ac:dyDescent="0.2">
      <c r="A8736" t="s">
        <v>1874</v>
      </c>
      <c r="B8736">
        <v>0</v>
      </c>
      <c r="C8736">
        <v>0</v>
      </c>
      <c r="D8736">
        <v>0</v>
      </c>
      <c r="E8736">
        <v>173</v>
      </c>
      <c r="F8736">
        <v>0</v>
      </c>
      <c r="G8736">
        <v>173</v>
      </c>
    </row>
    <row r="8737" spans="1:7" x14ac:dyDescent="0.2">
      <c r="A8737" t="s">
        <v>1876</v>
      </c>
      <c r="B8737">
        <v>0</v>
      </c>
      <c r="C8737">
        <v>0</v>
      </c>
      <c r="D8737">
        <v>0</v>
      </c>
      <c r="E8737">
        <v>0</v>
      </c>
      <c r="F8737">
        <v>0</v>
      </c>
      <c r="G8737">
        <v>0</v>
      </c>
    </row>
    <row r="8738" spans="1:7" x14ac:dyDescent="0.2">
      <c r="A8738" t="s">
        <v>1881</v>
      </c>
      <c r="B8738">
        <v>0</v>
      </c>
      <c r="C8738">
        <v>0</v>
      </c>
      <c r="D8738">
        <v>0</v>
      </c>
      <c r="E8738">
        <v>0</v>
      </c>
      <c r="F8738">
        <v>0</v>
      </c>
      <c r="G8738">
        <v>0</v>
      </c>
    </row>
    <row r="8739" spans="1:7" x14ac:dyDescent="0.2">
      <c r="A8739" t="s">
        <v>1885</v>
      </c>
      <c r="B8739">
        <v>8</v>
      </c>
      <c r="C8739">
        <v>6</v>
      </c>
      <c r="D8739">
        <v>5</v>
      </c>
      <c r="E8739">
        <v>9</v>
      </c>
      <c r="F8739">
        <v>0</v>
      </c>
      <c r="G8739">
        <v>28</v>
      </c>
    </row>
    <row r="8740" spans="1:7" x14ac:dyDescent="0.2">
      <c r="A8740" t="s">
        <v>1887</v>
      </c>
      <c r="B8740">
        <v>0</v>
      </c>
      <c r="C8740">
        <v>0</v>
      </c>
      <c r="D8740">
        <v>0</v>
      </c>
      <c r="E8740">
        <v>0</v>
      </c>
      <c r="F8740">
        <v>0</v>
      </c>
      <c r="G8740">
        <v>0</v>
      </c>
    </row>
    <row r="8741" spans="1:7" x14ac:dyDescent="0.2">
      <c r="A8741" t="s">
        <v>1893</v>
      </c>
      <c r="B8741">
        <v>0</v>
      </c>
      <c r="C8741">
        <v>0</v>
      </c>
      <c r="D8741">
        <v>0</v>
      </c>
      <c r="E8741">
        <v>3</v>
      </c>
      <c r="F8741">
        <v>0</v>
      </c>
      <c r="G8741">
        <v>3</v>
      </c>
    </row>
    <row r="8742" spans="1:7" x14ac:dyDescent="0.2">
      <c r="A8742" t="s">
        <v>1899</v>
      </c>
      <c r="B8742">
        <v>0</v>
      </c>
      <c r="C8742">
        <v>0</v>
      </c>
      <c r="D8742">
        <v>0</v>
      </c>
      <c r="E8742">
        <v>0</v>
      </c>
      <c r="F8742">
        <v>0</v>
      </c>
      <c r="G8742">
        <v>0</v>
      </c>
    </row>
    <row r="8743" spans="1:7" x14ac:dyDescent="0.2">
      <c r="A8743" t="s">
        <v>1906</v>
      </c>
      <c r="B8743">
        <v>0</v>
      </c>
      <c r="C8743">
        <v>0</v>
      </c>
      <c r="D8743">
        <v>0</v>
      </c>
      <c r="E8743">
        <v>0</v>
      </c>
      <c r="F8743">
        <v>0</v>
      </c>
      <c r="G8743">
        <v>0</v>
      </c>
    </row>
    <row r="8744" spans="1:7" x14ac:dyDescent="0.2">
      <c r="A8744" t="s">
        <v>1911</v>
      </c>
      <c r="B8744">
        <v>0</v>
      </c>
      <c r="C8744">
        <v>0</v>
      </c>
      <c r="D8744">
        <v>0</v>
      </c>
      <c r="E8744">
        <v>0</v>
      </c>
      <c r="F8744">
        <v>0</v>
      </c>
      <c r="G8744">
        <v>0</v>
      </c>
    </row>
    <row r="8745" spans="1:7" x14ac:dyDescent="0.2">
      <c r="A8745" t="s">
        <v>1917</v>
      </c>
      <c r="B8745">
        <v>0</v>
      </c>
      <c r="C8745">
        <v>0</v>
      </c>
      <c r="D8745">
        <v>0</v>
      </c>
      <c r="E8745">
        <v>0</v>
      </c>
      <c r="F8745">
        <v>0</v>
      </c>
      <c r="G8745">
        <v>0</v>
      </c>
    </row>
    <row r="8746" spans="1:7" x14ac:dyDescent="0.2">
      <c r="A8746" t="s">
        <v>1922</v>
      </c>
      <c r="B8746">
        <v>0</v>
      </c>
      <c r="C8746">
        <v>0</v>
      </c>
      <c r="D8746">
        <v>0</v>
      </c>
      <c r="E8746">
        <v>11</v>
      </c>
      <c r="F8746">
        <v>0</v>
      </c>
      <c r="G8746">
        <v>11</v>
      </c>
    </row>
    <row r="8747" spans="1:7" x14ac:dyDescent="0.2">
      <c r="A8747" t="s">
        <v>1928</v>
      </c>
      <c r="B8747">
        <v>0</v>
      </c>
      <c r="C8747">
        <v>0</v>
      </c>
      <c r="D8747">
        <v>0</v>
      </c>
      <c r="E8747">
        <v>0</v>
      </c>
      <c r="F8747">
        <v>0</v>
      </c>
      <c r="G8747">
        <v>0</v>
      </c>
    </row>
    <row r="8748" spans="1:7" x14ac:dyDescent="0.2">
      <c r="A8748" t="s">
        <v>1932</v>
      </c>
      <c r="B8748">
        <v>0</v>
      </c>
      <c r="C8748">
        <v>0</v>
      </c>
      <c r="D8748">
        <v>0</v>
      </c>
      <c r="E8748">
        <v>0</v>
      </c>
      <c r="F8748">
        <v>0</v>
      </c>
      <c r="G8748">
        <v>0</v>
      </c>
    </row>
    <row r="8749" spans="1:7" x14ac:dyDescent="0.2">
      <c r="A8749" t="s">
        <v>1938</v>
      </c>
      <c r="B8749">
        <v>0</v>
      </c>
      <c r="C8749">
        <v>0</v>
      </c>
      <c r="D8749">
        <v>0</v>
      </c>
      <c r="E8749">
        <v>0</v>
      </c>
      <c r="F8749">
        <v>0</v>
      </c>
      <c r="G8749">
        <v>0</v>
      </c>
    </row>
    <row r="8750" spans="1:7" x14ac:dyDescent="0.2">
      <c r="A8750" t="s">
        <v>1944</v>
      </c>
      <c r="B8750">
        <v>0</v>
      </c>
      <c r="C8750">
        <v>1</v>
      </c>
      <c r="D8750">
        <v>1</v>
      </c>
      <c r="E8750">
        <v>1</v>
      </c>
      <c r="F8750">
        <v>0</v>
      </c>
      <c r="G8750">
        <v>3</v>
      </c>
    </row>
    <row r="8751" spans="1:7" x14ac:dyDescent="0.2">
      <c r="A8751" t="s">
        <v>1947</v>
      </c>
      <c r="B8751">
        <v>0</v>
      </c>
      <c r="C8751">
        <v>0</v>
      </c>
      <c r="D8751">
        <v>0</v>
      </c>
      <c r="E8751">
        <v>0</v>
      </c>
      <c r="F8751">
        <v>0</v>
      </c>
      <c r="G8751">
        <v>0</v>
      </c>
    </row>
    <row r="8752" spans="1:7" x14ac:dyDescent="0.2">
      <c r="A8752" t="s">
        <v>1953</v>
      </c>
      <c r="B8752">
        <v>0</v>
      </c>
      <c r="C8752">
        <v>0</v>
      </c>
      <c r="D8752">
        <v>0</v>
      </c>
      <c r="E8752">
        <v>0</v>
      </c>
      <c r="F8752">
        <v>0</v>
      </c>
      <c r="G8752">
        <v>0</v>
      </c>
    </row>
    <row r="8753" spans="1:7" x14ac:dyDescent="0.2">
      <c r="A8753" t="s">
        <v>1958</v>
      </c>
      <c r="B8753">
        <v>0</v>
      </c>
      <c r="C8753">
        <v>0</v>
      </c>
      <c r="D8753">
        <v>0</v>
      </c>
      <c r="E8753">
        <v>0</v>
      </c>
      <c r="F8753">
        <v>0</v>
      </c>
      <c r="G8753">
        <v>0</v>
      </c>
    </row>
    <row r="8754" spans="1:7" x14ac:dyDescent="0.2">
      <c r="A8754" t="s">
        <v>1964</v>
      </c>
      <c r="B8754">
        <v>0</v>
      </c>
      <c r="C8754">
        <v>0</v>
      </c>
      <c r="D8754">
        <v>0</v>
      </c>
      <c r="E8754">
        <v>0</v>
      </c>
      <c r="F8754">
        <v>0</v>
      </c>
      <c r="G8754">
        <v>0</v>
      </c>
    </row>
    <row r="8755" spans="1:7" x14ac:dyDescent="0.2">
      <c r="A8755" t="s">
        <v>1973</v>
      </c>
      <c r="B8755">
        <v>0</v>
      </c>
      <c r="C8755">
        <v>0</v>
      </c>
      <c r="D8755">
        <v>0</v>
      </c>
      <c r="E8755">
        <v>0</v>
      </c>
      <c r="F8755">
        <v>0</v>
      </c>
      <c r="G8755">
        <v>0</v>
      </c>
    </row>
    <row r="8756" spans="1:7" x14ac:dyDescent="0.2">
      <c r="A8756" t="s">
        <v>1978</v>
      </c>
      <c r="B8756">
        <v>0</v>
      </c>
      <c r="C8756">
        <v>0</v>
      </c>
      <c r="D8756">
        <v>0</v>
      </c>
      <c r="E8756">
        <v>0</v>
      </c>
      <c r="F8756">
        <v>0</v>
      </c>
      <c r="G8756">
        <v>0</v>
      </c>
    </row>
    <row r="8757" spans="1:7" x14ac:dyDescent="0.2">
      <c r="A8757" t="s">
        <v>1983</v>
      </c>
      <c r="B8757">
        <v>0</v>
      </c>
      <c r="C8757">
        <v>0</v>
      </c>
      <c r="D8757">
        <v>0</v>
      </c>
      <c r="E8757">
        <v>0</v>
      </c>
      <c r="F8757">
        <v>0</v>
      </c>
      <c r="G8757">
        <v>0</v>
      </c>
    </row>
    <row r="8758" spans="1:7" x14ac:dyDescent="0.2">
      <c r="A8758" t="s">
        <v>1984</v>
      </c>
      <c r="B8758">
        <v>0</v>
      </c>
      <c r="C8758">
        <v>0</v>
      </c>
      <c r="D8758">
        <v>0</v>
      </c>
      <c r="E8758">
        <v>0</v>
      </c>
      <c r="F8758">
        <v>0</v>
      </c>
      <c r="G8758">
        <v>0</v>
      </c>
    </row>
    <row r="8759" spans="1:7" x14ac:dyDescent="0.2">
      <c r="A8759" t="s">
        <v>1990</v>
      </c>
      <c r="B8759">
        <v>0</v>
      </c>
      <c r="C8759">
        <v>0</v>
      </c>
      <c r="D8759">
        <v>0</v>
      </c>
      <c r="E8759">
        <v>0</v>
      </c>
      <c r="F8759">
        <v>0</v>
      </c>
      <c r="G8759">
        <v>0</v>
      </c>
    </row>
    <row r="8760" spans="1:7" x14ac:dyDescent="0.2">
      <c r="A8760" t="s">
        <v>1996</v>
      </c>
      <c r="B8760">
        <v>0</v>
      </c>
      <c r="C8760">
        <v>0</v>
      </c>
      <c r="D8760">
        <v>0</v>
      </c>
      <c r="E8760">
        <v>0</v>
      </c>
      <c r="F8760">
        <v>0</v>
      </c>
      <c r="G8760">
        <v>0</v>
      </c>
    </row>
    <row r="8761" spans="1:7" x14ac:dyDescent="0.2">
      <c r="A8761" t="s">
        <v>1998</v>
      </c>
      <c r="B8761">
        <v>0</v>
      </c>
      <c r="C8761">
        <v>0</v>
      </c>
      <c r="D8761">
        <v>0</v>
      </c>
      <c r="E8761">
        <v>0</v>
      </c>
      <c r="F8761">
        <v>0</v>
      </c>
      <c r="G8761">
        <v>0</v>
      </c>
    </row>
    <row r="8762" spans="1:7" x14ac:dyDescent="0.2">
      <c r="A8762" t="s">
        <v>1999</v>
      </c>
      <c r="B8762">
        <v>0</v>
      </c>
      <c r="C8762">
        <v>0</v>
      </c>
      <c r="D8762">
        <v>0</v>
      </c>
      <c r="E8762">
        <v>0</v>
      </c>
      <c r="F8762">
        <v>0</v>
      </c>
      <c r="G8762">
        <v>0</v>
      </c>
    </row>
    <row r="8763" spans="1:7" x14ac:dyDescent="0.2">
      <c r="A8763" t="s">
        <v>2004</v>
      </c>
      <c r="B8763">
        <v>0</v>
      </c>
      <c r="C8763">
        <v>0</v>
      </c>
      <c r="D8763">
        <v>0</v>
      </c>
      <c r="E8763">
        <v>0</v>
      </c>
      <c r="F8763">
        <v>0</v>
      </c>
      <c r="G8763">
        <v>0</v>
      </c>
    </row>
    <row r="8764" spans="1:7" x14ac:dyDescent="0.2">
      <c r="A8764" t="s">
        <v>2009</v>
      </c>
      <c r="B8764">
        <v>0</v>
      </c>
      <c r="C8764">
        <v>0</v>
      </c>
      <c r="D8764">
        <v>0</v>
      </c>
      <c r="E8764">
        <v>0</v>
      </c>
      <c r="F8764">
        <v>0</v>
      </c>
      <c r="G8764">
        <v>0</v>
      </c>
    </row>
    <row r="8765" spans="1:7" x14ac:dyDescent="0.2">
      <c r="A8765" t="s">
        <v>2014</v>
      </c>
      <c r="B8765">
        <v>0</v>
      </c>
      <c r="C8765">
        <v>0</v>
      </c>
      <c r="D8765">
        <v>0</v>
      </c>
      <c r="E8765">
        <v>0</v>
      </c>
      <c r="F8765">
        <v>0</v>
      </c>
      <c r="G8765">
        <v>0</v>
      </c>
    </row>
    <row r="8766" spans="1:7" x14ac:dyDescent="0.2">
      <c r="A8766" t="s">
        <v>2019</v>
      </c>
      <c r="B8766">
        <v>0</v>
      </c>
      <c r="C8766">
        <v>0</v>
      </c>
      <c r="D8766">
        <v>0</v>
      </c>
      <c r="E8766">
        <v>0</v>
      </c>
      <c r="F8766">
        <v>0</v>
      </c>
      <c r="G8766">
        <v>0</v>
      </c>
    </row>
    <row r="8767" spans="1:7" x14ac:dyDescent="0.2">
      <c r="A8767" t="s">
        <v>2023</v>
      </c>
      <c r="B8767">
        <v>0</v>
      </c>
      <c r="C8767">
        <v>0</v>
      </c>
      <c r="D8767">
        <v>0</v>
      </c>
      <c r="E8767">
        <v>0</v>
      </c>
      <c r="F8767">
        <v>0</v>
      </c>
      <c r="G8767">
        <v>0</v>
      </c>
    </row>
    <row r="8768" spans="1:7" x14ac:dyDescent="0.2">
      <c r="A8768" t="s">
        <v>2026</v>
      </c>
      <c r="B8768">
        <v>0</v>
      </c>
      <c r="C8768">
        <v>0</v>
      </c>
      <c r="D8768">
        <v>0</v>
      </c>
      <c r="E8768">
        <v>0</v>
      </c>
      <c r="F8768">
        <v>0</v>
      </c>
      <c r="G8768">
        <v>0</v>
      </c>
    </row>
    <row r="8769" spans="1:7" x14ac:dyDescent="0.2">
      <c r="A8769" t="s">
        <v>2030</v>
      </c>
      <c r="B8769">
        <v>0</v>
      </c>
      <c r="C8769">
        <v>0</v>
      </c>
      <c r="D8769">
        <v>0</v>
      </c>
      <c r="E8769">
        <v>0</v>
      </c>
      <c r="F8769">
        <v>0</v>
      </c>
      <c r="G8769">
        <v>0</v>
      </c>
    </row>
    <row r="8770" spans="1:7" x14ac:dyDescent="0.2">
      <c r="A8770" t="s">
        <v>2035</v>
      </c>
      <c r="B8770">
        <v>0</v>
      </c>
      <c r="C8770">
        <v>0</v>
      </c>
      <c r="D8770">
        <v>0</v>
      </c>
      <c r="E8770">
        <v>0</v>
      </c>
      <c r="F8770">
        <v>0</v>
      </c>
      <c r="G8770">
        <v>0</v>
      </c>
    </row>
    <row r="8771" spans="1:7" x14ac:dyDescent="0.2">
      <c r="A8771" t="s">
        <v>2040</v>
      </c>
      <c r="B8771">
        <v>0</v>
      </c>
      <c r="C8771">
        <v>0</v>
      </c>
      <c r="D8771">
        <v>0</v>
      </c>
      <c r="E8771">
        <v>0</v>
      </c>
      <c r="F8771">
        <v>0</v>
      </c>
      <c r="G8771">
        <v>0</v>
      </c>
    </row>
    <row r="8772" spans="1:7" x14ac:dyDescent="0.2">
      <c r="A8772" t="s">
        <v>2045</v>
      </c>
      <c r="B8772">
        <v>0</v>
      </c>
      <c r="C8772">
        <v>0</v>
      </c>
      <c r="D8772">
        <v>0</v>
      </c>
      <c r="E8772">
        <v>0</v>
      </c>
      <c r="F8772">
        <v>0</v>
      </c>
      <c r="G8772">
        <v>0</v>
      </c>
    </row>
    <row r="8773" spans="1:7" x14ac:dyDescent="0.2">
      <c r="A8773" t="s">
        <v>2049</v>
      </c>
      <c r="B8773">
        <v>0</v>
      </c>
      <c r="C8773">
        <v>0</v>
      </c>
      <c r="D8773">
        <v>0</v>
      </c>
      <c r="E8773">
        <v>0</v>
      </c>
      <c r="F8773">
        <v>0</v>
      </c>
      <c r="G8773">
        <v>0</v>
      </c>
    </row>
    <row r="8774" spans="1:7" x14ac:dyDescent="0.2">
      <c r="A8774" t="s">
        <v>2051</v>
      </c>
      <c r="B8774">
        <v>0</v>
      </c>
      <c r="C8774">
        <v>0</v>
      </c>
      <c r="D8774">
        <v>0</v>
      </c>
      <c r="E8774">
        <v>0</v>
      </c>
      <c r="F8774">
        <v>0</v>
      </c>
      <c r="G8774">
        <v>0</v>
      </c>
    </row>
    <row r="8775" spans="1:7" x14ac:dyDescent="0.2">
      <c r="A8775" t="s">
        <v>2057</v>
      </c>
      <c r="B8775">
        <v>0</v>
      </c>
      <c r="C8775">
        <v>0</v>
      </c>
      <c r="D8775">
        <v>0</v>
      </c>
      <c r="E8775">
        <v>0</v>
      </c>
      <c r="F8775">
        <v>0</v>
      </c>
      <c r="G8775">
        <v>0</v>
      </c>
    </row>
    <row r="8776" spans="1:7" x14ac:dyDescent="0.2">
      <c r="A8776" t="s">
        <v>4344</v>
      </c>
      <c r="B8776">
        <v>0</v>
      </c>
      <c r="C8776">
        <v>0</v>
      </c>
      <c r="D8776">
        <v>0</v>
      </c>
      <c r="E8776">
        <v>0</v>
      </c>
      <c r="F8776">
        <v>0</v>
      </c>
      <c r="G8776">
        <v>0</v>
      </c>
    </row>
    <row r="8777" spans="1:7" x14ac:dyDescent="0.2">
      <c r="A8777" t="s">
        <v>4345</v>
      </c>
      <c r="B8777">
        <v>0</v>
      </c>
      <c r="C8777">
        <v>0</v>
      </c>
      <c r="D8777">
        <v>0</v>
      </c>
      <c r="E8777">
        <v>1</v>
      </c>
      <c r="F8777">
        <v>0</v>
      </c>
      <c r="G8777">
        <v>1</v>
      </c>
    </row>
    <row r="8778" spans="1:7" x14ac:dyDescent="0.2">
      <c r="A8778" t="s">
        <v>2074</v>
      </c>
      <c r="B8778">
        <v>0</v>
      </c>
      <c r="C8778">
        <v>0</v>
      </c>
      <c r="D8778">
        <v>0</v>
      </c>
      <c r="E8778">
        <v>0</v>
      </c>
      <c r="F8778">
        <v>0</v>
      </c>
      <c r="G8778">
        <v>0</v>
      </c>
    </row>
    <row r="8779" spans="1:7" x14ac:dyDescent="0.2">
      <c r="A8779" t="s">
        <v>2079</v>
      </c>
      <c r="B8779">
        <v>0</v>
      </c>
      <c r="C8779">
        <v>0</v>
      </c>
      <c r="D8779">
        <v>0</v>
      </c>
      <c r="E8779">
        <v>0</v>
      </c>
      <c r="F8779">
        <v>0</v>
      </c>
      <c r="G8779">
        <v>0</v>
      </c>
    </row>
    <row r="8780" spans="1:7" x14ac:dyDescent="0.2">
      <c r="A8780" t="s">
        <v>2085</v>
      </c>
      <c r="B8780">
        <v>0</v>
      </c>
      <c r="C8780">
        <v>0</v>
      </c>
      <c r="D8780">
        <v>0</v>
      </c>
      <c r="E8780">
        <v>0</v>
      </c>
      <c r="F8780">
        <v>0</v>
      </c>
      <c r="G8780">
        <v>0</v>
      </c>
    </row>
    <row r="8781" spans="1:7" x14ac:dyDescent="0.2">
      <c r="A8781" t="s">
        <v>2091</v>
      </c>
      <c r="B8781">
        <v>0</v>
      </c>
      <c r="C8781">
        <v>0</v>
      </c>
      <c r="D8781">
        <v>0</v>
      </c>
      <c r="E8781">
        <v>0</v>
      </c>
      <c r="F8781">
        <v>0</v>
      </c>
      <c r="G8781">
        <v>0</v>
      </c>
    </row>
    <row r="8782" spans="1:7" x14ac:dyDescent="0.2">
      <c r="A8782" t="s">
        <v>2097</v>
      </c>
      <c r="B8782">
        <v>0</v>
      </c>
      <c r="C8782">
        <v>0</v>
      </c>
      <c r="D8782">
        <v>0</v>
      </c>
      <c r="E8782">
        <v>0</v>
      </c>
      <c r="F8782">
        <v>0</v>
      </c>
      <c r="G8782">
        <v>0</v>
      </c>
    </row>
    <row r="8783" spans="1:7" x14ac:dyDescent="0.2">
      <c r="A8783" t="s">
        <v>2101</v>
      </c>
      <c r="B8783">
        <v>0</v>
      </c>
      <c r="C8783">
        <v>0</v>
      </c>
      <c r="D8783">
        <v>0</v>
      </c>
      <c r="E8783">
        <v>0</v>
      </c>
      <c r="F8783">
        <v>0</v>
      </c>
      <c r="G8783">
        <v>0</v>
      </c>
    </row>
    <row r="8784" spans="1:7" x14ac:dyDescent="0.2">
      <c r="A8784" t="s">
        <v>2104</v>
      </c>
      <c r="B8784">
        <v>0</v>
      </c>
      <c r="C8784">
        <v>0</v>
      </c>
      <c r="D8784">
        <v>0</v>
      </c>
      <c r="E8784">
        <v>0</v>
      </c>
      <c r="F8784">
        <v>0</v>
      </c>
      <c r="G8784">
        <v>0</v>
      </c>
    </row>
    <row r="8785" spans="1:7" x14ac:dyDescent="0.2">
      <c r="A8785" t="s">
        <v>2107</v>
      </c>
      <c r="B8785">
        <v>0</v>
      </c>
      <c r="C8785">
        <v>0</v>
      </c>
      <c r="D8785">
        <v>0</v>
      </c>
      <c r="E8785">
        <v>0</v>
      </c>
      <c r="F8785">
        <v>0</v>
      </c>
      <c r="G8785">
        <v>0</v>
      </c>
    </row>
    <row r="8786" spans="1:7" x14ac:dyDescent="0.2">
      <c r="A8786" t="s">
        <v>2110</v>
      </c>
      <c r="B8786">
        <v>0</v>
      </c>
      <c r="C8786">
        <v>0</v>
      </c>
      <c r="D8786">
        <v>0</v>
      </c>
      <c r="E8786">
        <v>0</v>
      </c>
      <c r="F8786">
        <v>0</v>
      </c>
      <c r="G8786">
        <v>0</v>
      </c>
    </row>
    <row r="8787" spans="1:7" x14ac:dyDescent="0.2">
      <c r="A8787" t="s">
        <v>2113</v>
      </c>
      <c r="B8787">
        <v>0</v>
      </c>
      <c r="C8787">
        <v>0</v>
      </c>
      <c r="D8787">
        <v>0</v>
      </c>
      <c r="E8787">
        <v>0</v>
      </c>
      <c r="F8787">
        <v>0</v>
      </c>
      <c r="G8787">
        <v>0</v>
      </c>
    </row>
    <row r="8788" spans="1:7" x14ac:dyDescent="0.2">
      <c r="A8788" t="s">
        <v>4346</v>
      </c>
      <c r="B8788">
        <v>0</v>
      </c>
      <c r="C8788">
        <v>0</v>
      </c>
      <c r="D8788">
        <v>0</v>
      </c>
      <c r="E8788">
        <v>0</v>
      </c>
      <c r="F8788">
        <v>0</v>
      </c>
      <c r="G8788">
        <v>0</v>
      </c>
    </row>
    <row r="8789" spans="1:7" x14ac:dyDescent="0.2">
      <c r="A8789" t="s">
        <v>4347</v>
      </c>
      <c r="B8789">
        <v>0</v>
      </c>
      <c r="C8789">
        <v>0</v>
      </c>
      <c r="D8789">
        <v>0</v>
      </c>
      <c r="E8789">
        <v>0</v>
      </c>
      <c r="F8789">
        <v>0</v>
      </c>
      <c r="G8789">
        <v>0</v>
      </c>
    </row>
    <row r="8790" spans="1:7" x14ac:dyDescent="0.2">
      <c r="A8790" t="s">
        <v>4348</v>
      </c>
      <c r="B8790">
        <v>0</v>
      </c>
      <c r="C8790">
        <v>0</v>
      </c>
      <c r="D8790">
        <v>0</v>
      </c>
      <c r="E8790">
        <v>0</v>
      </c>
      <c r="F8790">
        <v>0</v>
      </c>
      <c r="G8790">
        <v>0</v>
      </c>
    </row>
    <row r="8791" spans="1:7" x14ac:dyDescent="0.2">
      <c r="A8791" t="s">
        <v>4349</v>
      </c>
      <c r="B8791">
        <v>0</v>
      </c>
      <c r="C8791">
        <v>0</v>
      </c>
      <c r="D8791">
        <v>0</v>
      </c>
      <c r="E8791">
        <v>0</v>
      </c>
      <c r="F8791">
        <v>0</v>
      </c>
      <c r="G8791">
        <v>0</v>
      </c>
    </row>
    <row r="8792" spans="1:7" x14ac:dyDescent="0.2">
      <c r="A8792" t="s">
        <v>4350</v>
      </c>
      <c r="B8792">
        <v>0</v>
      </c>
      <c r="C8792">
        <v>0</v>
      </c>
      <c r="D8792">
        <v>0</v>
      </c>
      <c r="E8792">
        <v>0</v>
      </c>
      <c r="F8792">
        <v>0</v>
      </c>
      <c r="G8792">
        <v>0</v>
      </c>
    </row>
    <row r="8793" spans="1:7" x14ac:dyDescent="0.2">
      <c r="A8793" t="s">
        <v>4351</v>
      </c>
      <c r="B8793">
        <v>0</v>
      </c>
      <c r="C8793">
        <v>0</v>
      </c>
      <c r="D8793">
        <v>0</v>
      </c>
      <c r="E8793">
        <v>0</v>
      </c>
      <c r="F8793">
        <v>0</v>
      </c>
      <c r="G8793">
        <v>0</v>
      </c>
    </row>
    <row r="8794" spans="1:7" x14ac:dyDescent="0.2">
      <c r="A8794" t="s">
        <v>4352</v>
      </c>
      <c r="B8794">
        <v>0</v>
      </c>
      <c r="C8794">
        <v>0</v>
      </c>
      <c r="D8794">
        <v>0</v>
      </c>
      <c r="E8794">
        <v>0</v>
      </c>
      <c r="F8794">
        <v>0</v>
      </c>
      <c r="G8794">
        <v>0</v>
      </c>
    </row>
    <row r="8795" spans="1:7" x14ac:dyDescent="0.2">
      <c r="A8795" t="s">
        <v>4353</v>
      </c>
      <c r="B8795">
        <v>0</v>
      </c>
      <c r="C8795">
        <v>12</v>
      </c>
      <c r="D8795">
        <v>3</v>
      </c>
      <c r="E8795">
        <v>0</v>
      </c>
      <c r="F8795">
        <v>0</v>
      </c>
      <c r="G8795">
        <v>16</v>
      </c>
    </row>
    <row r="8796" spans="1:7" x14ac:dyDescent="0.2">
      <c r="A8796" t="s">
        <v>4354</v>
      </c>
      <c r="B8796">
        <v>1</v>
      </c>
      <c r="C8796">
        <v>7</v>
      </c>
      <c r="D8796">
        <v>2</v>
      </c>
      <c r="E8796">
        <v>0</v>
      </c>
      <c r="F8796">
        <v>0</v>
      </c>
      <c r="G8796">
        <v>10</v>
      </c>
    </row>
    <row r="8797" spans="1:7" x14ac:dyDescent="0.2">
      <c r="A8797" t="s">
        <v>4355</v>
      </c>
      <c r="B8797">
        <v>0</v>
      </c>
      <c r="C8797">
        <v>0</v>
      </c>
      <c r="D8797">
        <v>0</v>
      </c>
      <c r="E8797">
        <v>0</v>
      </c>
      <c r="F8797">
        <v>0</v>
      </c>
      <c r="G8797">
        <v>0</v>
      </c>
    </row>
    <row r="8798" spans="1:7" x14ac:dyDescent="0.2">
      <c r="A8798" t="s">
        <v>4356</v>
      </c>
      <c r="B8798">
        <v>0</v>
      </c>
      <c r="C8798">
        <v>0</v>
      </c>
      <c r="D8798">
        <v>0</v>
      </c>
      <c r="E8798">
        <v>0</v>
      </c>
      <c r="F8798">
        <v>0</v>
      </c>
      <c r="G8798">
        <v>0</v>
      </c>
    </row>
    <row r="8799" spans="1:7" x14ac:dyDescent="0.2">
      <c r="A8799" t="s">
        <v>4357</v>
      </c>
      <c r="B8799">
        <v>0</v>
      </c>
      <c r="C8799">
        <v>0</v>
      </c>
      <c r="D8799">
        <v>0</v>
      </c>
      <c r="E8799">
        <v>0</v>
      </c>
      <c r="F8799">
        <v>0</v>
      </c>
      <c r="G8799">
        <v>0</v>
      </c>
    </row>
    <row r="8800" spans="1:7" x14ac:dyDescent="0.2">
      <c r="A8800" t="s">
        <v>4358</v>
      </c>
      <c r="B8800">
        <v>0</v>
      </c>
      <c r="C8800">
        <v>0</v>
      </c>
      <c r="D8800">
        <v>0</v>
      </c>
      <c r="E8800">
        <v>0</v>
      </c>
      <c r="F8800">
        <v>0</v>
      </c>
      <c r="G8800">
        <v>0</v>
      </c>
    </row>
    <row r="8801" spans="1:7" x14ac:dyDescent="0.2">
      <c r="A8801" t="s">
        <v>4359</v>
      </c>
      <c r="B8801">
        <v>0</v>
      </c>
      <c r="C8801">
        <v>0</v>
      </c>
      <c r="D8801">
        <v>0</v>
      </c>
      <c r="E8801">
        <v>0</v>
      </c>
      <c r="F8801">
        <v>0</v>
      </c>
      <c r="G8801">
        <v>0</v>
      </c>
    </row>
    <row r="8802" spans="1:7" x14ac:dyDescent="0.2">
      <c r="A8802" t="s">
        <v>4360</v>
      </c>
      <c r="B8802">
        <v>0</v>
      </c>
      <c r="C8802">
        <v>0</v>
      </c>
      <c r="D8802">
        <v>0</v>
      </c>
      <c r="E8802">
        <v>1</v>
      </c>
      <c r="F8802">
        <v>0</v>
      </c>
      <c r="G8802">
        <v>1</v>
      </c>
    </row>
    <row r="8803" spans="1:7" x14ac:dyDescent="0.2">
      <c r="A8803" t="s">
        <v>4361</v>
      </c>
      <c r="B8803">
        <v>0</v>
      </c>
      <c r="C8803">
        <v>0</v>
      </c>
      <c r="D8803">
        <v>1</v>
      </c>
      <c r="E8803">
        <v>0</v>
      </c>
      <c r="F8803">
        <v>0</v>
      </c>
      <c r="G8803">
        <v>1</v>
      </c>
    </row>
    <row r="8804" spans="1:7" x14ac:dyDescent="0.2">
      <c r="A8804" t="s">
        <v>4362</v>
      </c>
      <c r="B8804">
        <v>0</v>
      </c>
      <c r="C8804">
        <v>0</v>
      </c>
      <c r="D8804">
        <v>0</v>
      </c>
      <c r="E8804">
        <v>0</v>
      </c>
      <c r="F8804">
        <v>0</v>
      </c>
      <c r="G8804">
        <v>0</v>
      </c>
    </row>
    <row r="8805" spans="1:7" x14ac:dyDescent="0.2">
      <c r="A8805" t="s">
        <v>4363</v>
      </c>
      <c r="B8805">
        <v>0</v>
      </c>
      <c r="C8805">
        <v>0</v>
      </c>
      <c r="D8805">
        <v>0</v>
      </c>
      <c r="E8805">
        <v>0</v>
      </c>
      <c r="F8805">
        <v>0</v>
      </c>
      <c r="G8805">
        <v>0</v>
      </c>
    </row>
    <row r="8806" spans="1:7" x14ac:dyDescent="0.2">
      <c r="A8806" t="s">
        <v>4364</v>
      </c>
      <c r="B8806">
        <v>0</v>
      </c>
      <c r="C8806">
        <v>0</v>
      </c>
      <c r="D8806">
        <v>0</v>
      </c>
      <c r="E8806">
        <v>0</v>
      </c>
      <c r="F8806">
        <v>0</v>
      </c>
      <c r="G8806">
        <v>0</v>
      </c>
    </row>
    <row r="8807" spans="1:7" x14ac:dyDescent="0.2">
      <c r="A8807" t="s">
        <v>4365</v>
      </c>
      <c r="B8807">
        <v>0</v>
      </c>
      <c r="C8807">
        <v>2</v>
      </c>
      <c r="D8807">
        <v>1</v>
      </c>
      <c r="E8807">
        <v>0</v>
      </c>
      <c r="F8807">
        <v>0</v>
      </c>
      <c r="G8807">
        <v>3</v>
      </c>
    </row>
    <row r="8808" spans="1:7" x14ac:dyDescent="0.2">
      <c r="A8808" t="s">
        <v>4366</v>
      </c>
      <c r="B8808">
        <v>0</v>
      </c>
      <c r="C8808">
        <v>0</v>
      </c>
      <c r="D8808">
        <v>0</v>
      </c>
      <c r="E8808">
        <v>0</v>
      </c>
      <c r="F8808">
        <v>0</v>
      </c>
      <c r="G8808">
        <v>0</v>
      </c>
    </row>
    <row r="8809" spans="1:7" x14ac:dyDescent="0.2">
      <c r="A8809" t="s">
        <v>4367</v>
      </c>
      <c r="B8809">
        <v>0</v>
      </c>
      <c r="C8809">
        <v>1</v>
      </c>
      <c r="D8809">
        <v>0</v>
      </c>
      <c r="E8809">
        <v>0</v>
      </c>
      <c r="F8809">
        <v>0</v>
      </c>
      <c r="G8809">
        <v>1</v>
      </c>
    </row>
    <row r="8810" spans="1:7" x14ac:dyDescent="0.2">
      <c r="A8810" t="s">
        <v>4368</v>
      </c>
      <c r="B8810">
        <v>3</v>
      </c>
      <c r="C8810">
        <v>14</v>
      </c>
      <c r="D8810">
        <v>18</v>
      </c>
      <c r="E8810">
        <v>21</v>
      </c>
      <c r="F8810">
        <v>0</v>
      </c>
      <c r="G8810">
        <v>57</v>
      </c>
    </row>
    <row r="8811" spans="1:7" x14ac:dyDescent="0.2">
      <c r="A8811" t="s">
        <v>4369</v>
      </c>
      <c r="B8811">
        <v>1</v>
      </c>
      <c r="C8811">
        <v>20</v>
      </c>
      <c r="D8811">
        <v>36</v>
      </c>
      <c r="E8811">
        <v>0</v>
      </c>
      <c r="F8811">
        <v>0</v>
      </c>
      <c r="G8811">
        <v>57</v>
      </c>
    </row>
    <row r="8812" spans="1:7" x14ac:dyDescent="0.2">
      <c r="A8812" t="s">
        <v>4370</v>
      </c>
      <c r="B8812">
        <v>1</v>
      </c>
      <c r="C8812">
        <v>1</v>
      </c>
      <c r="D8812">
        <v>0</v>
      </c>
      <c r="E8812">
        <v>0</v>
      </c>
      <c r="F8812">
        <v>0</v>
      </c>
      <c r="G8812">
        <v>2</v>
      </c>
    </row>
    <row r="8813" spans="1:7" x14ac:dyDescent="0.2">
      <c r="A8813" t="s">
        <v>4371</v>
      </c>
      <c r="B8813">
        <v>0</v>
      </c>
      <c r="C8813">
        <v>1</v>
      </c>
      <c r="D8813">
        <v>0</v>
      </c>
      <c r="E8813">
        <v>0</v>
      </c>
      <c r="F8813">
        <v>0</v>
      </c>
      <c r="G8813">
        <v>1</v>
      </c>
    </row>
    <row r="8814" spans="1:7" x14ac:dyDescent="0.2">
      <c r="A8814" t="s">
        <v>4372</v>
      </c>
      <c r="B8814">
        <v>0</v>
      </c>
      <c r="C8814">
        <v>0</v>
      </c>
      <c r="D8814">
        <v>0</v>
      </c>
      <c r="E8814">
        <v>0</v>
      </c>
      <c r="F8814">
        <v>0</v>
      </c>
      <c r="G8814">
        <v>0</v>
      </c>
    </row>
    <row r="8815" spans="1:7" x14ac:dyDescent="0.2">
      <c r="A8815" t="s">
        <v>4373</v>
      </c>
      <c r="B8815">
        <v>0</v>
      </c>
      <c r="C8815">
        <v>0</v>
      </c>
      <c r="D8815">
        <v>0</v>
      </c>
      <c r="E8815">
        <v>0</v>
      </c>
      <c r="F8815">
        <v>0</v>
      </c>
      <c r="G8815">
        <v>0</v>
      </c>
    </row>
    <row r="8816" spans="1:7" x14ac:dyDescent="0.2">
      <c r="A8816" t="s">
        <v>4374</v>
      </c>
      <c r="B8816">
        <v>0</v>
      </c>
      <c r="C8816">
        <v>0</v>
      </c>
      <c r="D8816">
        <v>0</v>
      </c>
      <c r="E8816">
        <v>0</v>
      </c>
      <c r="F8816">
        <v>0</v>
      </c>
      <c r="G8816">
        <v>0</v>
      </c>
    </row>
    <row r="8817" spans="1:10" x14ac:dyDescent="0.2">
      <c r="A8817" t="s">
        <v>4375</v>
      </c>
      <c r="B8817">
        <v>0</v>
      </c>
      <c r="C8817">
        <v>0</v>
      </c>
      <c r="D8817">
        <v>0</v>
      </c>
      <c r="E8817">
        <v>0</v>
      </c>
      <c r="F8817">
        <v>0</v>
      </c>
      <c r="G8817">
        <v>0</v>
      </c>
    </row>
    <row r="8818" spans="1:10" x14ac:dyDescent="0.2">
      <c r="A8818" t="s">
        <v>4376</v>
      </c>
      <c r="B8818">
        <v>0</v>
      </c>
      <c r="C8818">
        <v>0</v>
      </c>
      <c r="D8818">
        <v>0</v>
      </c>
      <c r="E8818">
        <v>0</v>
      </c>
      <c r="F8818">
        <v>0</v>
      </c>
      <c r="G8818">
        <v>0</v>
      </c>
    </row>
    <row r="8819" spans="1:10" x14ac:dyDescent="0.2">
      <c r="A8819" t="s">
        <v>4377</v>
      </c>
      <c r="B8819">
        <v>0</v>
      </c>
      <c r="C8819">
        <v>0</v>
      </c>
      <c r="D8819">
        <v>0</v>
      </c>
      <c r="E8819">
        <v>0</v>
      </c>
      <c r="F8819">
        <v>0</v>
      </c>
      <c r="G8819">
        <v>0</v>
      </c>
    </row>
    <row r="8820" spans="1:10" x14ac:dyDescent="0.2">
      <c r="A8820" t="s">
        <v>2318</v>
      </c>
      <c r="B8820" t="s">
        <v>2319</v>
      </c>
      <c r="C8820" t="s">
        <v>2319</v>
      </c>
      <c r="D8820" t="s">
        <v>2319</v>
      </c>
      <c r="E8820" t="s">
        <v>2319</v>
      </c>
      <c r="F8820" t="s">
        <v>2319</v>
      </c>
      <c r="G8820" t="s">
        <v>2319</v>
      </c>
    </row>
    <row r="8821" spans="1:10" x14ac:dyDescent="0.2">
      <c r="A8821" t="s">
        <v>4248</v>
      </c>
    </row>
    <row r="8822" spans="1:10" x14ac:dyDescent="0.2">
      <c r="A8822" t="s">
        <v>4250</v>
      </c>
      <c r="C8822" t="s">
        <v>4251</v>
      </c>
      <c r="G8822" t="s">
        <v>7531</v>
      </c>
      <c r="J8822"/>
    </row>
    <row r="8823" spans="1:10" x14ac:dyDescent="0.2">
      <c r="A8823" t="s">
        <v>4925</v>
      </c>
      <c r="G8823" t="s">
        <v>7542</v>
      </c>
      <c r="J8823"/>
    </row>
    <row r="8824" spans="1:10" x14ac:dyDescent="0.2">
      <c r="A8824" t="s">
        <v>7530</v>
      </c>
      <c r="J8824"/>
    </row>
    <row r="8825" spans="1:10" x14ac:dyDescent="0.2">
      <c r="A8825" t="s">
        <v>5050</v>
      </c>
      <c r="J8825"/>
    </row>
    <row r="8826" spans="1:10" x14ac:dyDescent="0.2">
      <c r="J8826"/>
    </row>
    <row r="8827" spans="1:10" x14ac:dyDescent="0.2">
      <c r="A8827" t="s">
        <v>4259</v>
      </c>
      <c r="J8827"/>
    </row>
    <row r="8828" spans="1:10" x14ac:dyDescent="0.2">
      <c r="A8828" t="s">
        <v>2318</v>
      </c>
      <c r="B8828" t="s">
        <v>2319</v>
      </c>
      <c r="C8828" t="s">
        <v>2319</v>
      </c>
      <c r="D8828" t="s">
        <v>2319</v>
      </c>
      <c r="E8828" t="s">
        <v>2319</v>
      </c>
      <c r="F8828" t="s">
        <v>2319</v>
      </c>
      <c r="G8828" t="s">
        <v>2319</v>
      </c>
    </row>
    <row r="8829" spans="1:10" x14ac:dyDescent="0.2">
      <c r="A8829" t="s">
        <v>174</v>
      </c>
      <c r="B8829" t="s">
        <v>4945</v>
      </c>
      <c r="C8829" t="s">
        <v>4946</v>
      </c>
      <c r="D8829" t="s">
        <v>4947</v>
      </c>
      <c r="E8829" t="s">
        <v>4948</v>
      </c>
      <c r="F8829" t="s">
        <v>4949</v>
      </c>
    </row>
    <row r="8830" spans="1:10" x14ac:dyDescent="0.2">
      <c r="A8830" t="s">
        <v>126</v>
      </c>
      <c r="B8830" t="s">
        <v>4262</v>
      </c>
      <c r="C8830" t="s">
        <v>4263</v>
      </c>
      <c r="D8830" t="s">
        <v>4264</v>
      </c>
      <c r="E8830" t="s">
        <v>2308</v>
      </c>
      <c r="F8830" t="s">
        <v>615</v>
      </c>
      <c r="G8830" t="s">
        <v>236</v>
      </c>
    </row>
    <row r="8831" spans="1:10" x14ac:dyDescent="0.2">
      <c r="A8831" t="s">
        <v>2318</v>
      </c>
      <c r="B8831" t="s">
        <v>2319</v>
      </c>
      <c r="C8831" t="s">
        <v>2319</v>
      </c>
      <c r="D8831" t="s">
        <v>2319</v>
      </c>
      <c r="E8831" t="s">
        <v>2319</v>
      </c>
      <c r="F8831" t="s">
        <v>2319</v>
      </c>
      <c r="G8831" t="s">
        <v>2319</v>
      </c>
    </row>
    <row r="8832" spans="1:10" x14ac:dyDescent="0.2">
      <c r="A8832" t="s">
        <v>4265</v>
      </c>
      <c r="B8832">
        <v>0</v>
      </c>
      <c r="C8832">
        <v>0</v>
      </c>
      <c r="D8832">
        <v>0</v>
      </c>
      <c r="E8832">
        <v>0</v>
      </c>
      <c r="F8832">
        <v>0</v>
      </c>
      <c r="G8832">
        <v>0</v>
      </c>
    </row>
    <row r="8833" spans="1:7" x14ac:dyDescent="0.2">
      <c r="A8833" t="s">
        <v>4266</v>
      </c>
      <c r="B8833">
        <v>0</v>
      </c>
      <c r="C8833">
        <v>0</v>
      </c>
      <c r="D8833">
        <v>0</v>
      </c>
      <c r="E8833">
        <v>0</v>
      </c>
      <c r="F8833">
        <v>0</v>
      </c>
      <c r="G8833">
        <v>0</v>
      </c>
    </row>
    <row r="8834" spans="1:7" x14ac:dyDescent="0.2">
      <c r="A8834" t="s">
        <v>4267</v>
      </c>
      <c r="B8834">
        <v>0</v>
      </c>
      <c r="C8834">
        <v>0</v>
      </c>
      <c r="D8834">
        <v>0</v>
      </c>
      <c r="E8834">
        <v>0</v>
      </c>
      <c r="F8834">
        <v>0</v>
      </c>
      <c r="G8834">
        <v>0</v>
      </c>
    </row>
    <row r="8835" spans="1:7" x14ac:dyDescent="0.2">
      <c r="A8835" t="s">
        <v>4268</v>
      </c>
      <c r="B8835">
        <v>0</v>
      </c>
      <c r="C8835">
        <v>0</v>
      </c>
      <c r="D8835">
        <v>0</v>
      </c>
      <c r="E8835">
        <v>0</v>
      </c>
      <c r="F8835">
        <v>0</v>
      </c>
      <c r="G8835">
        <v>0</v>
      </c>
    </row>
    <row r="8836" spans="1:7" x14ac:dyDescent="0.2">
      <c r="A8836" t="s">
        <v>4269</v>
      </c>
      <c r="B8836">
        <v>0</v>
      </c>
      <c r="C8836">
        <v>0</v>
      </c>
      <c r="D8836">
        <v>0</v>
      </c>
      <c r="E8836">
        <v>0</v>
      </c>
      <c r="F8836">
        <v>0</v>
      </c>
      <c r="G8836">
        <v>0</v>
      </c>
    </row>
    <row r="8837" spans="1:7" x14ac:dyDescent="0.2">
      <c r="A8837" t="s">
        <v>4270</v>
      </c>
      <c r="B8837">
        <v>0</v>
      </c>
      <c r="C8837">
        <v>0</v>
      </c>
      <c r="D8837">
        <v>0</v>
      </c>
      <c r="E8837">
        <v>0</v>
      </c>
      <c r="F8837">
        <v>0</v>
      </c>
      <c r="G8837">
        <v>0</v>
      </c>
    </row>
    <row r="8838" spans="1:7" x14ac:dyDescent="0.2">
      <c r="A8838" t="s">
        <v>4271</v>
      </c>
      <c r="B8838">
        <v>0</v>
      </c>
      <c r="C8838">
        <v>0</v>
      </c>
      <c r="D8838">
        <v>0</v>
      </c>
      <c r="E8838">
        <v>0</v>
      </c>
      <c r="F8838">
        <v>0</v>
      </c>
      <c r="G8838">
        <v>0</v>
      </c>
    </row>
    <row r="8839" spans="1:7" x14ac:dyDescent="0.2">
      <c r="A8839" t="s">
        <v>4272</v>
      </c>
      <c r="B8839">
        <v>0</v>
      </c>
      <c r="C8839">
        <v>0</v>
      </c>
      <c r="D8839">
        <v>0</v>
      </c>
      <c r="E8839">
        <v>0</v>
      </c>
      <c r="F8839">
        <v>0</v>
      </c>
      <c r="G8839">
        <v>0</v>
      </c>
    </row>
    <row r="8840" spans="1:7" x14ac:dyDescent="0.2">
      <c r="A8840" t="s">
        <v>4273</v>
      </c>
      <c r="B8840">
        <v>0</v>
      </c>
      <c r="C8840">
        <v>0</v>
      </c>
      <c r="D8840">
        <v>0</v>
      </c>
      <c r="E8840">
        <v>0</v>
      </c>
      <c r="F8840">
        <v>0</v>
      </c>
      <c r="G8840">
        <v>0</v>
      </c>
    </row>
    <row r="8841" spans="1:7" x14ac:dyDescent="0.2">
      <c r="A8841" t="s">
        <v>4274</v>
      </c>
      <c r="B8841">
        <v>0</v>
      </c>
      <c r="C8841">
        <v>0</v>
      </c>
      <c r="D8841">
        <v>0</v>
      </c>
      <c r="E8841">
        <v>0</v>
      </c>
      <c r="F8841">
        <v>0</v>
      </c>
      <c r="G8841">
        <v>0</v>
      </c>
    </row>
    <row r="8842" spans="1:7" x14ac:dyDescent="0.2">
      <c r="A8842" t="s">
        <v>4275</v>
      </c>
      <c r="B8842">
        <v>0</v>
      </c>
      <c r="C8842">
        <v>0</v>
      </c>
      <c r="D8842">
        <v>0</v>
      </c>
      <c r="E8842">
        <v>0</v>
      </c>
      <c r="F8842">
        <v>0</v>
      </c>
      <c r="G8842">
        <v>0</v>
      </c>
    </row>
    <row r="8843" spans="1:7" x14ac:dyDescent="0.2">
      <c r="A8843" t="s">
        <v>4276</v>
      </c>
      <c r="B8843">
        <v>0</v>
      </c>
      <c r="C8843">
        <v>0</v>
      </c>
      <c r="D8843">
        <v>0</v>
      </c>
      <c r="E8843">
        <v>0</v>
      </c>
      <c r="F8843">
        <v>0</v>
      </c>
      <c r="G8843">
        <v>0</v>
      </c>
    </row>
    <row r="8844" spans="1:7" x14ac:dyDescent="0.2">
      <c r="A8844" t="s">
        <v>4277</v>
      </c>
      <c r="B8844">
        <v>0</v>
      </c>
      <c r="C8844">
        <v>0</v>
      </c>
      <c r="D8844">
        <v>0</v>
      </c>
      <c r="E8844">
        <v>0</v>
      </c>
      <c r="F8844">
        <v>0</v>
      </c>
      <c r="G8844">
        <v>0</v>
      </c>
    </row>
    <row r="8845" spans="1:7" x14ac:dyDescent="0.2">
      <c r="A8845" t="s">
        <v>4278</v>
      </c>
      <c r="B8845">
        <v>0</v>
      </c>
      <c r="C8845">
        <v>0</v>
      </c>
      <c r="D8845">
        <v>0</v>
      </c>
      <c r="E8845">
        <v>0</v>
      </c>
      <c r="F8845">
        <v>0</v>
      </c>
      <c r="G8845">
        <v>0</v>
      </c>
    </row>
    <row r="8846" spans="1:7" x14ac:dyDescent="0.2">
      <c r="A8846" t="s">
        <v>4279</v>
      </c>
      <c r="B8846">
        <v>0</v>
      </c>
      <c r="C8846">
        <v>0</v>
      </c>
      <c r="D8846">
        <v>0</v>
      </c>
      <c r="E8846">
        <v>0</v>
      </c>
      <c r="F8846">
        <v>0</v>
      </c>
      <c r="G8846">
        <v>0</v>
      </c>
    </row>
    <row r="8847" spans="1:7" x14ac:dyDescent="0.2">
      <c r="A8847" t="s">
        <v>4280</v>
      </c>
      <c r="B8847">
        <v>0</v>
      </c>
      <c r="C8847">
        <v>0</v>
      </c>
      <c r="D8847">
        <v>0</v>
      </c>
      <c r="E8847">
        <v>0</v>
      </c>
      <c r="F8847">
        <v>0</v>
      </c>
      <c r="G8847">
        <v>0</v>
      </c>
    </row>
    <row r="8848" spans="1:7" x14ac:dyDescent="0.2">
      <c r="A8848" t="s">
        <v>4281</v>
      </c>
      <c r="B8848">
        <v>11</v>
      </c>
      <c r="C8848">
        <v>7</v>
      </c>
      <c r="D8848">
        <v>10</v>
      </c>
      <c r="E8848">
        <v>0</v>
      </c>
      <c r="F8848">
        <v>0</v>
      </c>
      <c r="G8848">
        <v>27</v>
      </c>
    </row>
    <row r="8849" spans="1:7" x14ac:dyDescent="0.2">
      <c r="A8849" t="s">
        <v>4282</v>
      </c>
      <c r="B8849">
        <v>2</v>
      </c>
      <c r="C8849">
        <v>4</v>
      </c>
      <c r="D8849">
        <v>2</v>
      </c>
      <c r="E8849">
        <v>0</v>
      </c>
      <c r="F8849">
        <v>0</v>
      </c>
      <c r="G8849">
        <v>7</v>
      </c>
    </row>
    <row r="8850" spans="1:7" x14ac:dyDescent="0.2">
      <c r="A8850" t="s">
        <v>4283</v>
      </c>
      <c r="B8850">
        <v>1</v>
      </c>
      <c r="C8850">
        <v>1</v>
      </c>
      <c r="D8850">
        <v>1</v>
      </c>
      <c r="E8850">
        <v>0</v>
      </c>
      <c r="F8850">
        <v>0</v>
      </c>
      <c r="G8850">
        <v>3</v>
      </c>
    </row>
    <row r="8851" spans="1:7" x14ac:dyDescent="0.2">
      <c r="A8851" t="s">
        <v>4284</v>
      </c>
      <c r="B8851">
        <v>0</v>
      </c>
      <c r="C8851">
        <v>0</v>
      </c>
      <c r="D8851">
        <v>0</v>
      </c>
      <c r="E8851">
        <v>0</v>
      </c>
      <c r="F8851">
        <v>0</v>
      </c>
      <c r="G8851">
        <v>0</v>
      </c>
    </row>
    <row r="8852" spans="1:7" x14ac:dyDescent="0.2">
      <c r="A8852" t="s">
        <v>4285</v>
      </c>
      <c r="B8852">
        <v>7</v>
      </c>
      <c r="C8852">
        <v>9</v>
      </c>
      <c r="D8852">
        <v>5</v>
      </c>
      <c r="E8852">
        <v>2</v>
      </c>
      <c r="F8852">
        <v>0</v>
      </c>
      <c r="G8852">
        <v>23</v>
      </c>
    </row>
    <row r="8853" spans="1:7" x14ac:dyDescent="0.2">
      <c r="A8853" t="s">
        <v>4286</v>
      </c>
      <c r="B8853">
        <v>1</v>
      </c>
      <c r="C8853">
        <v>0</v>
      </c>
      <c r="D8853">
        <v>0</v>
      </c>
      <c r="E8853">
        <v>0</v>
      </c>
      <c r="F8853">
        <v>0</v>
      </c>
      <c r="G8853">
        <v>2</v>
      </c>
    </row>
    <row r="8854" spans="1:7" x14ac:dyDescent="0.2">
      <c r="A8854" t="s">
        <v>4287</v>
      </c>
      <c r="B8854">
        <v>0</v>
      </c>
      <c r="C8854">
        <v>0</v>
      </c>
      <c r="D8854">
        <v>0</v>
      </c>
      <c r="E8854">
        <v>0</v>
      </c>
      <c r="F8854">
        <v>0</v>
      </c>
      <c r="G8854">
        <v>0</v>
      </c>
    </row>
    <row r="8855" spans="1:7" x14ac:dyDescent="0.2">
      <c r="A8855" t="s">
        <v>4288</v>
      </c>
      <c r="B8855">
        <v>0</v>
      </c>
      <c r="C8855">
        <v>0</v>
      </c>
      <c r="D8855">
        <v>0</v>
      </c>
      <c r="E8855">
        <v>0</v>
      </c>
      <c r="F8855">
        <v>0</v>
      </c>
      <c r="G8855">
        <v>0</v>
      </c>
    </row>
    <row r="8856" spans="1:7" x14ac:dyDescent="0.2">
      <c r="A8856" t="s">
        <v>4289</v>
      </c>
      <c r="B8856">
        <v>0</v>
      </c>
      <c r="C8856">
        <v>0</v>
      </c>
      <c r="D8856">
        <v>0</v>
      </c>
      <c r="E8856">
        <v>0</v>
      </c>
      <c r="F8856">
        <v>0</v>
      </c>
      <c r="G8856">
        <v>0</v>
      </c>
    </row>
    <row r="8857" spans="1:7" x14ac:dyDescent="0.2">
      <c r="A8857" t="s">
        <v>4290</v>
      </c>
      <c r="B8857">
        <v>0</v>
      </c>
      <c r="C8857">
        <v>0</v>
      </c>
      <c r="D8857">
        <v>0</v>
      </c>
      <c r="E8857">
        <v>0</v>
      </c>
      <c r="F8857">
        <v>0</v>
      </c>
      <c r="G8857">
        <v>0</v>
      </c>
    </row>
    <row r="8858" spans="1:7" x14ac:dyDescent="0.2">
      <c r="A8858" t="s">
        <v>4291</v>
      </c>
      <c r="B8858">
        <v>0</v>
      </c>
      <c r="C8858">
        <v>0</v>
      </c>
      <c r="D8858">
        <v>0</v>
      </c>
      <c r="E8858">
        <v>0</v>
      </c>
      <c r="F8858">
        <v>0</v>
      </c>
      <c r="G8858">
        <v>0</v>
      </c>
    </row>
    <row r="8859" spans="1:7" x14ac:dyDescent="0.2">
      <c r="A8859" t="s">
        <v>4292</v>
      </c>
      <c r="B8859">
        <v>0</v>
      </c>
      <c r="C8859">
        <v>0</v>
      </c>
      <c r="D8859">
        <v>0</v>
      </c>
      <c r="E8859">
        <v>0</v>
      </c>
      <c r="F8859">
        <v>0</v>
      </c>
      <c r="G8859">
        <v>0</v>
      </c>
    </row>
    <row r="8860" spans="1:7" x14ac:dyDescent="0.2">
      <c r="A8860" t="s">
        <v>4293</v>
      </c>
      <c r="B8860">
        <v>0</v>
      </c>
      <c r="C8860">
        <v>0</v>
      </c>
      <c r="D8860">
        <v>0</v>
      </c>
      <c r="E8860">
        <v>0</v>
      </c>
      <c r="F8860">
        <v>0</v>
      </c>
      <c r="G8860">
        <v>0</v>
      </c>
    </row>
    <row r="8861" spans="1:7" x14ac:dyDescent="0.2">
      <c r="A8861" t="s">
        <v>4294</v>
      </c>
      <c r="B8861">
        <v>0</v>
      </c>
      <c r="C8861">
        <v>0</v>
      </c>
      <c r="D8861">
        <v>0</v>
      </c>
      <c r="E8861">
        <v>0</v>
      </c>
      <c r="F8861">
        <v>0</v>
      </c>
      <c r="G8861">
        <v>0</v>
      </c>
    </row>
    <row r="8862" spans="1:7" x14ac:dyDescent="0.2">
      <c r="A8862" t="s">
        <v>4295</v>
      </c>
      <c r="B8862">
        <v>0</v>
      </c>
      <c r="C8862">
        <v>0</v>
      </c>
      <c r="D8862">
        <v>0</v>
      </c>
      <c r="E8862">
        <v>0</v>
      </c>
      <c r="F8862">
        <v>0</v>
      </c>
      <c r="G8862">
        <v>0</v>
      </c>
    </row>
    <row r="8863" spans="1:7" x14ac:dyDescent="0.2">
      <c r="A8863" t="s">
        <v>4296</v>
      </c>
      <c r="B8863">
        <v>0</v>
      </c>
      <c r="C8863">
        <v>0</v>
      </c>
      <c r="D8863">
        <v>0</v>
      </c>
      <c r="E8863">
        <v>0</v>
      </c>
      <c r="F8863">
        <v>0</v>
      </c>
      <c r="G8863">
        <v>0</v>
      </c>
    </row>
    <row r="8864" spans="1:7" x14ac:dyDescent="0.2">
      <c r="A8864" t="s">
        <v>4297</v>
      </c>
      <c r="B8864">
        <v>0</v>
      </c>
      <c r="C8864">
        <v>8</v>
      </c>
      <c r="D8864">
        <v>9</v>
      </c>
      <c r="E8864">
        <v>0</v>
      </c>
      <c r="F8864">
        <v>0</v>
      </c>
      <c r="G8864">
        <v>17</v>
      </c>
    </row>
    <row r="8865" spans="1:7" x14ac:dyDescent="0.2">
      <c r="A8865" t="s">
        <v>4298</v>
      </c>
      <c r="B8865">
        <v>2</v>
      </c>
      <c r="C8865">
        <v>9</v>
      </c>
      <c r="D8865">
        <v>1</v>
      </c>
      <c r="E8865">
        <v>1</v>
      </c>
      <c r="F8865">
        <v>0</v>
      </c>
      <c r="G8865">
        <v>14</v>
      </c>
    </row>
    <row r="8866" spans="1:7" x14ac:dyDescent="0.2">
      <c r="A8866" t="s">
        <v>4299</v>
      </c>
      <c r="B8866">
        <v>5</v>
      </c>
      <c r="C8866">
        <v>17</v>
      </c>
      <c r="D8866">
        <v>12</v>
      </c>
      <c r="E8866">
        <v>4</v>
      </c>
      <c r="F8866">
        <v>0</v>
      </c>
      <c r="G8866">
        <v>37</v>
      </c>
    </row>
    <row r="8867" spans="1:7" x14ac:dyDescent="0.2">
      <c r="A8867" t="s">
        <v>4300</v>
      </c>
      <c r="B8867">
        <v>0</v>
      </c>
      <c r="C8867">
        <v>0</v>
      </c>
      <c r="D8867">
        <v>0</v>
      </c>
      <c r="E8867">
        <v>0</v>
      </c>
      <c r="F8867">
        <v>0</v>
      </c>
      <c r="G8867">
        <v>1</v>
      </c>
    </row>
    <row r="8868" spans="1:7" x14ac:dyDescent="0.2">
      <c r="A8868" t="s">
        <v>4301</v>
      </c>
      <c r="B8868">
        <v>0</v>
      </c>
      <c r="C8868">
        <v>36</v>
      </c>
      <c r="D8868">
        <v>35</v>
      </c>
      <c r="E8868">
        <v>12</v>
      </c>
      <c r="F8868">
        <v>0</v>
      </c>
      <c r="G8868">
        <v>83</v>
      </c>
    </row>
    <row r="8869" spans="1:7" x14ac:dyDescent="0.2">
      <c r="A8869" t="s">
        <v>4302</v>
      </c>
      <c r="B8869">
        <v>1</v>
      </c>
      <c r="C8869">
        <v>7</v>
      </c>
      <c r="D8869">
        <v>32</v>
      </c>
      <c r="E8869">
        <v>9</v>
      </c>
      <c r="F8869">
        <v>0</v>
      </c>
      <c r="G8869">
        <v>49</v>
      </c>
    </row>
    <row r="8870" spans="1:7" x14ac:dyDescent="0.2">
      <c r="A8870" t="s">
        <v>4303</v>
      </c>
      <c r="B8870">
        <v>1</v>
      </c>
      <c r="C8870">
        <v>7</v>
      </c>
      <c r="D8870">
        <v>47</v>
      </c>
      <c r="E8870">
        <v>9</v>
      </c>
      <c r="F8870">
        <v>0</v>
      </c>
      <c r="G8870">
        <v>63</v>
      </c>
    </row>
    <row r="8871" spans="1:7" x14ac:dyDescent="0.2">
      <c r="A8871" t="s">
        <v>4304</v>
      </c>
      <c r="B8871">
        <v>2</v>
      </c>
      <c r="C8871">
        <v>6</v>
      </c>
      <c r="D8871">
        <v>11</v>
      </c>
      <c r="E8871">
        <v>8</v>
      </c>
      <c r="F8871">
        <v>0</v>
      </c>
      <c r="G8871">
        <v>27</v>
      </c>
    </row>
    <row r="8872" spans="1:7" x14ac:dyDescent="0.2">
      <c r="A8872" t="s">
        <v>4305</v>
      </c>
      <c r="B8872">
        <v>151</v>
      </c>
      <c r="C8872">
        <v>60</v>
      </c>
      <c r="D8872">
        <v>79</v>
      </c>
      <c r="E8872">
        <v>25</v>
      </c>
      <c r="F8872">
        <v>0</v>
      </c>
      <c r="G8872">
        <v>315</v>
      </c>
    </row>
    <row r="8873" spans="1:7" x14ac:dyDescent="0.2">
      <c r="A8873" t="s">
        <v>4306</v>
      </c>
      <c r="B8873">
        <v>1</v>
      </c>
      <c r="C8873">
        <v>13</v>
      </c>
      <c r="D8873">
        <v>3</v>
      </c>
      <c r="E8873">
        <v>3</v>
      </c>
      <c r="F8873">
        <v>0</v>
      </c>
      <c r="G8873">
        <v>19</v>
      </c>
    </row>
    <row r="8874" spans="1:7" x14ac:dyDescent="0.2">
      <c r="A8874" t="s">
        <v>4307</v>
      </c>
      <c r="B8874">
        <v>3</v>
      </c>
      <c r="C8874">
        <v>44</v>
      </c>
      <c r="D8874">
        <v>146</v>
      </c>
      <c r="E8874">
        <v>44</v>
      </c>
      <c r="F8874">
        <v>0</v>
      </c>
      <c r="G8874">
        <v>238</v>
      </c>
    </row>
    <row r="8875" spans="1:7" x14ac:dyDescent="0.2">
      <c r="A8875" t="s">
        <v>4308</v>
      </c>
      <c r="B8875">
        <v>0</v>
      </c>
      <c r="C8875">
        <v>0</v>
      </c>
      <c r="D8875">
        <v>6</v>
      </c>
      <c r="E8875">
        <v>2</v>
      </c>
      <c r="F8875">
        <v>0</v>
      </c>
      <c r="G8875">
        <v>8</v>
      </c>
    </row>
    <row r="8876" spans="1:7" x14ac:dyDescent="0.2">
      <c r="A8876" t="s">
        <v>4309</v>
      </c>
      <c r="B8876">
        <v>0</v>
      </c>
      <c r="C8876">
        <v>0</v>
      </c>
      <c r="D8876">
        <v>0</v>
      </c>
      <c r="E8876">
        <v>0</v>
      </c>
      <c r="F8876">
        <v>0</v>
      </c>
      <c r="G8876">
        <v>0</v>
      </c>
    </row>
    <row r="8877" spans="1:7" x14ac:dyDescent="0.2">
      <c r="A8877" t="s">
        <v>4310</v>
      </c>
      <c r="B8877">
        <v>0</v>
      </c>
      <c r="C8877">
        <v>0</v>
      </c>
      <c r="D8877">
        <v>0</v>
      </c>
      <c r="E8877">
        <v>0</v>
      </c>
      <c r="F8877">
        <v>0</v>
      </c>
      <c r="G8877">
        <v>0</v>
      </c>
    </row>
    <row r="8878" spans="1:7" x14ac:dyDescent="0.2">
      <c r="A8878" t="s">
        <v>4311</v>
      </c>
      <c r="B8878">
        <v>0</v>
      </c>
      <c r="C8878">
        <v>0</v>
      </c>
      <c r="D8878">
        <v>0</v>
      </c>
      <c r="E8878">
        <v>0</v>
      </c>
      <c r="F8878">
        <v>0</v>
      </c>
      <c r="G8878">
        <v>0</v>
      </c>
    </row>
    <row r="8879" spans="1:7" x14ac:dyDescent="0.2">
      <c r="A8879" t="s">
        <v>4312</v>
      </c>
      <c r="B8879">
        <v>0</v>
      </c>
      <c r="C8879">
        <v>0</v>
      </c>
      <c r="D8879">
        <v>0</v>
      </c>
      <c r="E8879">
        <v>0</v>
      </c>
      <c r="F8879">
        <v>0</v>
      </c>
      <c r="G8879">
        <v>0</v>
      </c>
    </row>
    <row r="8880" spans="1:7" x14ac:dyDescent="0.2">
      <c r="A8880" t="s">
        <v>4313</v>
      </c>
      <c r="B8880">
        <v>0</v>
      </c>
      <c r="C8880">
        <v>0</v>
      </c>
      <c r="D8880">
        <v>0</v>
      </c>
      <c r="E8880">
        <v>0</v>
      </c>
      <c r="F8880">
        <v>0</v>
      </c>
      <c r="G8880">
        <v>0</v>
      </c>
    </row>
    <row r="8881" spans="1:7" x14ac:dyDescent="0.2">
      <c r="A8881" t="s">
        <v>4314</v>
      </c>
      <c r="B8881">
        <v>0</v>
      </c>
      <c r="C8881">
        <v>0</v>
      </c>
      <c r="D8881">
        <v>0</v>
      </c>
      <c r="E8881">
        <v>0</v>
      </c>
      <c r="F8881">
        <v>0</v>
      </c>
      <c r="G8881">
        <v>0</v>
      </c>
    </row>
    <row r="8882" spans="1:7" x14ac:dyDescent="0.2">
      <c r="A8882" t="s">
        <v>4315</v>
      </c>
      <c r="B8882">
        <v>0</v>
      </c>
      <c r="C8882">
        <v>0</v>
      </c>
      <c r="D8882">
        <v>0</v>
      </c>
      <c r="E8882">
        <v>0</v>
      </c>
      <c r="F8882">
        <v>0</v>
      </c>
      <c r="G8882">
        <v>0</v>
      </c>
    </row>
    <row r="8883" spans="1:7" x14ac:dyDescent="0.2">
      <c r="A8883" t="s">
        <v>4316</v>
      </c>
      <c r="B8883">
        <v>0</v>
      </c>
      <c r="C8883">
        <v>0</v>
      </c>
      <c r="D8883">
        <v>0</v>
      </c>
      <c r="E8883">
        <v>0</v>
      </c>
      <c r="F8883">
        <v>0</v>
      </c>
      <c r="G8883">
        <v>0</v>
      </c>
    </row>
    <row r="8884" spans="1:7" x14ac:dyDescent="0.2">
      <c r="A8884" t="s">
        <v>4317</v>
      </c>
      <c r="B8884">
        <v>0</v>
      </c>
      <c r="C8884">
        <v>0</v>
      </c>
      <c r="D8884">
        <v>0</v>
      </c>
      <c r="E8884">
        <v>0</v>
      </c>
      <c r="F8884">
        <v>0</v>
      </c>
      <c r="G8884">
        <v>0</v>
      </c>
    </row>
    <row r="8885" spans="1:7" x14ac:dyDescent="0.2">
      <c r="A8885" t="s">
        <v>4318</v>
      </c>
      <c r="B8885">
        <v>0</v>
      </c>
      <c r="C8885">
        <v>0</v>
      </c>
      <c r="D8885">
        <v>0</v>
      </c>
      <c r="E8885">
        <v>0</v>
      </c>
      <c r="F8885">
        <v>0</v>
      </c>
      <c r="G8885">
        <v>0</v>
      </c>
    </row>
    <row r="8886" spans="1:7" x14ac:dyDescent="0.2">
      <c r="A8886" t="s">
        <v>4319</v>
      </c>
      <c r="B8886">
        <v>0</v>
      </c>
      <c r="C8886">
        <v>0</v>
      </c>
      <c r="D8886">
        <v>0</v>
      </c>
      <c r="E8886">
        <v>0</v>
      </c>
      <c r="F8886">
        <v>0</v>
      </c>
      <c r="G8886">
        <v>0</v>
      </c>
    </row>
    <row r="8887" spans="1:7" x14ac:dyDescent="0.2">
      <c r="A8887" t="s">
        <v>4320</v>
      </c>
      <c r="B8887">
        <v>0</v>
      </c>
      <c r="C8887">
        <v>0</v>
      </c>
      <c r="D8887">
        <v>0</v>
      </c>
      <c r="E8887">
        <v>0</v>
      </c>
      <c r="F8887">
        <v>0</v>
      </c>
      <c r="G8887">
        <v>0</v>
      </c>
    </row>
    <row r="8888" spans="1:7" x14ac:dyDescent="0.2">
      <c r="A8888" t="s">
        <v>4321</v>
      </c>
      <c r="B8888">
        <v>0</v>
      </c>
      <c r="C8888">
        <v>0</v>
      </c>
      <c r="D8888">
        <v>0</v>
      </c>
      <c r="E8888">
        <v>0</v>
      </c>
      <c r="F8888">
        <v>0</v>
      </c>
      <c r="G8888">
        <v>0</v>
      </c>
    </row>
    <row r="8889" spans="1:7" x14ac:dyDescent="0.2">
      <c r="A8889" t="s">
        <v>4322</v>
      </c>
      <c r="B8889">
        <v>0</v>
      </c>
      <c r="C8889">
        <v>0</v>
      </c>
      <c r="D8889">
        <v>0</v>
      </c>
      <c r="E8889">
        <v>0</v>
      </c>
      <c r="F8889">
        <v>0</v>
      </c>
      <c r="G8889">
        <v>0</v>
      </c>
    </row>
    <row r="8890" spans="1:7" x14ac:dyDescent="0.2">
      <c r="A8890" t="s">
        <v>4323</v>
      </c>
      <c r="B8890">
        <v>0</v>
      </c>
      <c r="C8890">
        <v>0</v>
      </c>
      <c r="D8890">
        <v>0</v>
      </c>
      <c r="E8890">
        <v>0</v>
      </c>
      <c r="F8890">
        <v>0</v>
      </c>
      <c r="G8890">
        <v>0</v>
      </c>
    </row>
    <row r="8891" spans="1:7" x14ac:dyDescent="0.2">
      <c r="A8891" t="s">
        <v>4324</v>
      </c>
      <c r="B8891">
        <v>0</v>
      </c>
      <c r="C8891">
        <v>0</v>
      </c>
      <c r="D8891">
        <v>0</v>
      </c>
      <c r="E8891">
        <v>0</v>
      </c>
      <c r="F8891">
        <v>0</v>
      </c>
      <c r="G8891">
        <v>0</v>
      </c>
    </row>
    <row r="8892" spans="1:7" x14ac:dyDescent="0.2">
      <c r="A8892" t="s">
        <v>4325</v>
      </c>
      <c r="B8892">
        <v>0</v>
      </c>
      <c r="C8892">
        <v>0</v>
      </c>
      <c r="D8892">
        <v>0</v>
      </c>
      <c r="E8892">
        <v>0</v>
      </c>
      <c r="F8892">
        <v>0</v>
      </c>
      <c r="G8892">
        <v>0</v>
      </c>
    </row>
    <row r="8893" spans="1:7" x14ac:dyDescent="0.2">
      <c r="A8893" t="s">
        <v>4326</v>
      </c>
      <c r="B8893">
        <v>0</v>
      </c>
      <c r="C8893">
        <v>0</v>
      </c>
      <c r="D8893">
        <v>0</v>
      </c>
      <c r="E8893">
        <v>0</v>
      </c>
      <c r="F8893">
        <v>0</v>
      </c>
      <c r="G8893">
        <v>0</v>
      </c>
    </row>
    <row r="8894" spans="1:7" x14ac:dyDescent="0.2">
      <c r="A8894" t="s">
        <v>4327</v>
      </c>
      <c r="B8894">
        <v>0</v>
      </c>
      <c r="C8894">
        <v>0</v>
      </c>
      <c r="D8894">
        <v>0</v>
      </c>
      <c r="E8894">
        <v>0</v>
      </c>
      <c r="F8894">
        <v>0</v>
      </c>
      <c r="G8894">
        <v>0</v>
      </c>
    </row>
    <row r="8895" spans="1:7" x14ac:dyDescent="0.2">
      <c r="A8895" t="s">
        <v>4328</v>
      </c>
      <c r="B8895">
        <v>0</v>
      </c>
      <c r="C8895">
        <v>0</v>
      </c>
      <c r="D8895">
        <v>0</v>
      </c>
      <c r="E8895">
        <v>0</v>
      </c>
      <c r="F8895">
        <v>0</v>
      </c>
      <c r="G8895">
        <v>0</v>
      </c>
    </row>
    <row r="8896" spans="1:7" x14ac:dyDescent="0.2">
      <c r="A8896" t="s">
        <v>4329</v>
      </c>
      <c r="B8896">
        <v>0</v>
      </c>
      <c r="C8896">
        <v>0</v>
      </c>
      <c r="D8896">
        <v>0</v>
      </c>
      <c r="E8896">
        <v>0</v>
      </c>
      <c r="F8896">
        <v>0</v>
      </c>
      <c r="G8896">
        <v>0</v>
      </c>
    </row>
    <row r="8897" spans="1:7" x14ac:dyDescent="0.2">
      <c r="A8897" t="s">
        <v>4330</v>
      </c>
      <c r="B8897">
        <v>0</v>
      </c>
      <c r="C8897">
        <v>0</v>
      </c>
      <c r="D8897">
        <v>0</v>
      </c>
      <c r="E8897">
        <v>0</v>
      </c>
      <c r="F8897">
        <v>0</v>
      </c>
      <c r="G8897">
        <v>0</v>
      </c>
    </row>
    <row r="8898" spans="1:7" x14ac:dyDescent="0.2">
      <c r="A8898" t="s">
        <v>4331</v>
      </c>
      <c r="B8898">
        <v>0</v>
      </c>
      <c r="C8898">
        <v>0</v>
      </c>
      <c r="D8898">
        <v>0</v>
      </c>
      <c r="E8898">
        <v>0</v>
      </c>
      <c r="F8898">
        <v>0</v>
      </c>
      <c r="G8898">
        <v>0</v>
      </c>
    </row>
    <row r="8899" spans="1:7" x14ac:dyDescent="0.2">
      <c r="A8899" t="s">
        <v>4332</v>
      </c>
      <c r="B8899">
        <v>0</v>
      </c>
      <c r="C8899">
        <v>0</v>
      </c>
      <c r="D8899">
        <v>0</v>
      </c>
      <c r="E8899">
        <v>0</v>
      </c>
      <c r="F8899">
        <v>0</v>
      </c>
      <c r="G8899">
        <v>0</v>
      </c>
    </row>
    <row r="8900" spans="1:7" x14ac:dyDescent="0.2">
      <c r="A8900" t="s">
        <v>4333</v>
      </c>
      <c r="B8900">
        <v>0</v>
      </c>
      <c r="C8900">
        <v>0</v>
      </c>
      <c r="D8900">
        <v>0</v>
      </c>
      <c r="E8900">
        <v>0</v>
      </c>
      <c r="F8900">
        <v>0</v>
      </c>
      <c r="G8900">
        <v>0</v>
      </c>
    </row>
    <row r="8901" spans="1:7" x14ac:dyDescent="0.2">
      <c r="A8901" t="s">
        <v>4334</v>
      </c>
      <c r="B8901">
        <v>0</v>
      </c>
      <c r="C8901">
        <v>0</v>
      </c>
      <c r="D8901">
        <v>0</v>
      </c>
      <c r="E8901">
        <v>0</v>
      </c>
      <c r="F8901">
        <v>0</v>
      </c>
      <c r="G8901">
        <v>0</v>
      </c>
    </row>
    <row r="8902" spans="1:7" x14ac:dyDescent="0.2">
      <c r="A8902" t="s">
        <v>4335</v>
      </c>
      <c r="B8902">
        <v>0</v>
      </c>
      <c r="C8902">
        <v>0</v>
      </c>
      <c r="D8902">
        <v>0</v>
      </c>
      <c r="E8902">
        <v>0</v>
      </c>
      <c r="F8902">
        <v>0</v>
      </c>
      <c r="G8902">
        <v>0</v>
      </c>
    </row>
    <row r="8903" spans="1:7" x14ac:dyDescent="0.2">
      <c r="A8903" t="s">
        <v>4336</v>
      </c>
      <c r="B8903">
        <v>0</v>
      </c>
      <c r="C8903">
        <v>0</v>
      </c>
      <c r="D8903">
        <v>0</v>
      </c>
      <c r="E8903">
        <v>0</v>
      </c>
      <c r="F8903">
        <v>0</v>
      </c>
      <c r="G8903">
        <v>0</v>
      </c>
    </row>
    <row r="8904" spans="1:7" x14ac:dyDescent="0.2">
      <c r="A8904" t="s">
        <v>4337</v>
      </c>
      <c r="B8904">
        <v>0</v>
      </c>
      <c r="C8904">
        <v>0</v>
      </c>
      <c r="D8904">
        <v>0</v>
      </c>
      <c r="E8904">
        <v>0</v>
      </c>
      <c r="F8904">
        <v>0</v>
      </c>
      <c r="G8904">
        <v>0</v>
      </c>
    </row>
    <row r="8905" spans="1:7" x14ac:dyDescent="0.2">
      <c r="A8905" t="s">
        <v>4338</v>
      </c>
      <c r="B8905">
        <v>0</v>
      </c>
      <c r="C8905">
        <v>0</v>
      </c>
      <c r="D8905">
        <v>0</v>
      </c>
      <c r="E8905">
        <v>0</v>
      </c>
      <c r="F8905">
        <v>0</v>
      </c>
      <c r="G8905">
        <v>0</v>
      </c>
    </row>
    <row r="8906" spans="1:7" x14ac:dyDescent="0.2">
      <c r="A8906" t="s">
        <v>4339</v>
      </c>
      <c r="B8906">
        <v>0</v>
      </c>
      <c r="C8906">
        <v>0</v>
      </c>
      <c r="D8906">
        <v>0</v>
      </c>
      <c r="E8906">
        <v>0</v>
      </c>
      <c r="F8906">
        <v>0</v>
      </c>
      <c r="G8906">
        <v>0</v>
      </c>
    </row>
    <row r="8907" spans="1:7" x14ac:dyDescent="0.2">
      <c r="A8907" t="s">
        <v>4340</v>
      </c>
      <c r="B8907">
        <v>0</v>
      </c>
      <c r="C8907">
        <v>0</v>
      </c>
      <c r="D8907">
        <v>0</v>
      </c>
      <c r="E8907">
        <v>0</v>
      </c>
      <c r="F8907">
        <v>0</v>
      </c>
      <c r="G8907">
        <v>0</v>
      </c>
    </row>
    <row r="8908" spans="1:7" x14ac:dyDescent="0.2">
      <c r="A8908" t="s">
        <v>4341</v>
      </c>
      <c r="B8908">
        <v>0</v>
      </c>
      <c r="C8908">
        <v>0</v>
      </c>
      <c r="D8908">
        <v>0</v>
      </c>
      <c r="E8908">
        <v>0</v>
      </c>
      <c r="F8908">
        <v>0</v>
      </c>
      <c r="G8908">
        <v>0</v>
      </c>
    </row>
    <row r="8909" spans="1:7" x14ac:dyDescent="0.2">
      <c r="A8909" t="s">
        <v>4342</v>
      </c>
      <c r="B8909">
        <v>0</v>
      </c>
      <c r="C8909">
        <v>0</v>
      </c>
      <c r="D8909">
        <v>0</v>
      </c>
      <c r="E8909">
        <v>0</v>
      </c>
      <c r="F8909">
        <v>0</v>
      </c>
      <c r="G8909">
        <v>0</v>
      </c>
    </row>
    <row r="8910" spans="1:7" x14ac:dyDescent="0.2">
      <c r="A8910" t="s">
        <v>4343</v>
      </c>
      <c r="B8910">
        <v>0</v>
      </c>
      <c r="C8910">
        <v>0</v>
      </c>
      <c r="D8910">
        <v>0</v>
      </c>
      <c r="E8910">
        <v>0</v>
      </c>
      <c r="F8910">
        <v>0</v>
      </c>
      <c r="G8910">
        <v>0</v>
      </c>
    </row>
    <row r="8911" spans="1:7" x14ac:dyDescent="0.2">
      <c r="A8911" t="s">
        <v>1728</v>
      </c>
      <c r="B8911">
        <v>0</v>
      </c>
      <c r="C8911">
        <v>0</v>
      </c>
      <c r="D8911">
        <v>0</v>
      </c>
      <c r="E8911">
        <v>0</v>
      </c>
      <c r="F8911">
        <v>0</v>
      </c>
      <c r="G8911">
        <v>0</v>
      </c>
    </row>
    <row r="8912" spans="1:7" x14ac:dyDescent="0.2">
      <c r="A8912" t="s">
        <v>1730</v>
      </c>
      <c r="B8912">
        <v>0</v>
      </c>
      <c r="C8912">
        <v>0</v>
      </c>
      <c r="D8912">
        <v>5</v>
      </c>
      <c r="E8912">
        <v>3</v>
      </c>
      <c r="F8912">
        <v>12</v>
      </c>
      <c r="G8912">
        <v>21</v>
      </c>
    </row>
    <row r="8913" spans="1:7" x14ac:dyDescent="0.2">
      <c r="A8913" t="s">
        <v>1733</v>
      </c>
      <c r="B8913">
        <v>0</v>
      </c>
      <c r="C8913">
        <v>0</v>
      </c>
      <c r="D8913">
        <v>0</v>
      </c>
      <c r="E8913">
        <v>0</v>
      </c>
      <c r="F8913">
        <v>0</v>
      </c>
      <c r="G8913">
        <v>0</v>
      </c>
    </row>
    <row r="8914" spans="1:7" x14ac:dyDescent="0.2">
      <c r="A8914" t="s">
        <v>1738</v>
      </c>
      <c r="B8914">
        <v>0</v>
      </c>
      <c r="C8914">
        <v>0</v>
      </c>
      <c r="D8914">
        <v>0</v>
      </c>
      <c r="E8914">
        <v>0</v>
      </c>
      <c r="F8914">
        <v>0</v>
      </c>
      <c r="G8914">
        <v>0</v>
      </c>
    </row>
    <row r="8915" spans="1:7" x14ac:dyDescent="0.2">
      <c r="A8915" t="s">
        <v>1744</v>
      </c>
      <c r="B8915">
        <v>0</v>
      </c>
      <c r="C8915">
        <v>0</v>
      </c>
      <c r="D8915">
        <v>0</v>
      </c>
      <c r="E8915">
        <v>0</v>
      </c>
      <c r="F8915">
        <v>0</v>
      </c>
      <c r="G8915">
        <v>0</v>
      </c>
    </row>
    <row r="8916" spans="1:7" x14ac:dyDescent="0.2">
      <c r="A8916" t="s">
        <v>1747</v>
      </c>
      <c r="B8916">
        <v>0</v>
      </c>
      <c r="C8916">
        <v>0</v>
      </c>
      <c r="D8916">
        <v>0</v>
      </c>
      <c r="E8916">
        <v>0</v>
      </c>
      <c r="F8916">
        <v>0</v>
      </c>
      <c r="G8916">
        <v>0</v>
      </c>
    </row>
    <row r="8917" spans="1:7" x14ac:dyDescent="0.2">
      <c r="A8917" t="s">
        <v>1751</v>
      </c>
      <c r="B8917">
        <v>0</v>
      </c>
      <c r="C8917">
        <v>0</v>
      </c>
      <c r="D8917">
        <v>0</v>
      </c>
      <c r="E8917">
        <v>0</v>
      </c>
      <c r="F8917">
        <v>0</v>
      </c>
      <c r="G8917">
        <v>0</v>
      </c>
    </row>
    <row r="8918" spans="1:7" x14ac:dyDescent="0.2">
      <c r="A8918" t="s">
        <v>1755</v>
      </c>
      <c r="B8918">
        <v>0</v>
      </c>
      <c r="C8918">
        <v>0</v>
      </c>
      <c r="D8918">
        <v>1</v>
      </c>
      <c r="E8918">
        <v>5</v>
      </c>
      <c r="F8918">
        <v>1</v>
      </c>
      <c r="G8918">
        <v>6</v>
      </c>
    </row>
    <row r="8919" spans="1:7" x14ac:dyDescent="0.2">
      <c r="A8919" t="s">
        <v>1757</v>
      </c>
      <c r="B8919">
        <v>0</v>
      </c>
      <c r="C8919">
        <v>0</v>
      </c>
      <c r="D8919">
        <v>2</v>
      </c>
      <c r="E8919">
        <v>2</v>
      </c>
      <c r="F8919">
        <v>1</v>
      </c>
      <c r="G8919">
        <v>4</v>
      </c>
    </row>
    <row r="8920" spans="1:7" x14ac:dyDescent="0.2">
      <c r="A8920" t="s">
        <v>1761</v>
      </c>
      <c r="B8920">
        <v>0</v>
      </c>
      <c r="C8920">
        <v>0</v>
      </c>
      <c r="D8920">
        <v>0</v>
      </c>
      <c r="E8920">
        <v>0</v>
      </c>
      <c r="F8920">
        <v>0</v>
      </c>
      <c r="G8920">
        <v>0</v>
      </c>
    </row>
    <row r="8921" spans="1:7" x14ac:dyDescent="0.2">
      <c r="A8921" t="s">
        <v>1764</v>
      </c>
      <c r="B8921">
        <v>0</v>
      </c>
      <c r="C8921">
        <v>0</v>
      </c>
      <c r="D8921">
        <v>0</v>
      </c>
      <c r="E8921">
        <v>0</v>
      </c>
      <c r="F8921">
        <v>0</v>
      </c>
      <c r="G8921">
        <v>0</v>
      </c>
    </row>
    <row r="8922" spans="1:7" x14ac:dyDescent="0.2">
      <c r="A8922" t="s">
        <v>1770</v>
      </c>
      <c r="B8922">
        <v>0</v>
      </c>
      <c r="C8922">
        <v>6</v>
      </c>
      <c r="D8922">
        <v>46</v>
      </c>
      <c r="E8922">
        <v>396</v>
      </c>
      <c r="F8922">
        <v>0</v>
      </c>
      <c r="G8922">
        <v>448</v>
      </c>
    </row>
    <row r="8923" spans="1:7" x14ac:dyDescent="0.2">
      <c r="A8923" t="s">
        <v>1772</v>
      </c>
      <c r="B8923">
        <v>0</v>
      </c>
      <c r="C8923">
        <v>1</v>
      </c>
      <c r="D8923">
        <v>15</v>
      </c>
      <c r="E8923">
        <v>188</v>
      </c>
      <c r="F8923">
        <v>0</v>
      </c>
      <c r="G8923">
        <v>204</v>
      </c>
    </row>
    <row r="8924" spans="1:7" x14ac:dyDescent="0.2">
      <c r="A8924" t="s">
        <v>1774</v>
      </c>
      <c r="B8924">
        <v>0</v>
      </c>
      <c r="C8924">
        <v>1</v>
      </c>
      <c r="D8924">
        <v>0</v>
      </c>
      <c r="E8924">
        <v>56</v>
      </c>
      <c r="F8924">
        <v>0</v>
      </c>
      <c r="G8924">
        <v>57</v>
      </c>
    </row>
    <row r="8925" spans="1:7" x14ac:dyDescent="0.2">
      <c r="A8925" t="s">
        <v>1777</v>
      </c>
      <c r="B8925">
        <v>0</v>
      </c>
      <c r="C8925">
        <v>0</v>
      </c>
      <c r="D8925">
        <v>0</v>
      </c>
      <c r="E8925">
        <v>0</v>
      </c>
      <c r="F8925">
        <v>0</v>
      </c>
      <c r="G8925">
        <v>0</v>
      </c>
    </row>
    <row r="8926" spans="1:7" x14ac:dyDescent="0.2">
      <c r="A8926" t="s">
        <v>1782</v>
      </c>
      <c r="B8926">
        <v>0</v>
      </c>
      <c r="C8926">
        <v>0</v>
      </c>
      <c r="D8926">
        <v>0</v>
      </c>
      <c r="E8926">
        <v>0</v>
      </c>
      <c r="F8926">
        <v>0</v>
      </c>
      <c r="G8926">
        <v>0</v>
      </c>
    </row>
    <row r="8927" spans="1:7" x14ac:dyDescent="0.2">
      <c r="A8927" t="s">
        <v>1274</v>
      </c>
      <c r="B8927">
        <v>0</v>
      </c>
      <c r="C8927">
        <v>0</v>
      </c>
      <c r="D8927">
        <v>0</v>
      </c>
      <c r="E8927">
        <v>1</v>
      </c>
      <c r="F8927">
        <v>0</v>
      </c>
      <c r="G8927">
        <v>1</v>
      </c>
    </row>
    <row r="8928" spans="1:7" x14ac:dyDescent="0.2">
      <c r="A8928" t="s">
        <v>1277</v>
      </c>
      <c r="B8928">
        <v>0</v>
      </c>
      <c r="C8928">
        <v>0</v>
      </c>
      <c r="D8928">
        <v>0</v>
      </c>
      <c r="E8928">
        <v>7</v>
      </c>
      <c r="F8928">
        <v>0</v>
      </c>
      <c r="G8928">
        <v>7</v>
      </c>
    </row>
    <row r="8929" spans="1:7" x14ac:dyDescent="0.2">
      <c r="A8929" t="s">
        <v>1798</v>
      </c>
      <c r="B8929">
        <v>0</v>
      </c>
      <c r="C8929">
        <v>0</v>
      </c>
      <c r="D8929">
        <v>0</v>
      </c>
      <c r="E8929">
        <v>0</v>
      </c>
      <c r="F8929">
        <v>0</v>
      </c>
      <c r="G8929">
        <v>0</v>
      </c>
    </row>
    <row r="8930" spans="1:7" x14ac:dyDescent="0.2">
      <c r="A8930" t="s">
        <v>1803</v>
      </c>
      <c r="B8930">
        <v>0</v>
      </c>
      <c r="C8930">
        <v>0</v>
      </c>
      <c r="D8930">
        <v>0</v>
      </c>
      <c r="E8930">
        <v>0</v>
      </c>
      <c r="F8930">
        <v>0</v>
      </c>
      <c r="G8930">
        <v>0</v>
      </c>
    </row>
    <row r="8931" spans="1:7" x14ac:dyDescent="0.2">
      <c r="A8931" t="s">
        <v>1808</v>
      </c>
      <c r="B8931">
        <v>0</v>
      </c>
      <c r="C8931">
        <v>0</v>
      </c>
      <c r="D8931">
        <v>0</v>
      </c>
      <c r="E8931">
        <v>0</v>
      </c>
      <c r="F8931">
        <v>0</v>
      </c>
      <c r="G8931">
        <v>0</v>
      </c>
    </row>
    <row r="8932" spans="1:7" x14ac:dyDescent="0.2">
      <c r="A8932" t="s">
        <v>1813</v>
      </c>
      <c r="B8932">
        <v>0</v>
      </c>
      <c r="C8932">
        <v>0</v>
      </c>
      <c r="D8932">
        <v>0</v>
      </c>
      <c r="E8932">
        <v>0</v>
      </c>
      <c r="F8932">
        <v>0</v>
      </c>
      <c r="G8932">
        <v>0</v>
      </c>
    </row>
    <row r="8933" spans="1:7" x14ac:dyDescent="0.2">
      <c r="A8933" t="s">
        <v>1819</v>
      </c>
      <c r="B8933">
        <v>0</v>
      </c>
      <c r="C8933">
        <v>0</v>
      </c>
      <c r="D8933">
        <v>0</v>
      </c>
      <c r="E8933">
        <v>0</v>
      </c>
      <c r="F8933">
        <v>0</v>
      </c>
      <c r="G8933">
        <v>0</v>
      </c>
    </row>
    <row r="8934" spans="1:7" x14ac:dyDescent="0.2">
      <c r="A8934" t="s">
        <v>1826</v>
      </c>
      <c r="B8934">
        <v>0</v>
      </c>
      <c r="C8934">
        <v>0</v>
      </c>
      <c r="D8934">
        <v>0</v>
      </c>
      <c r="E8934">
        <v>0</v>
      </c>
      <c r="F8934">
        <v>0</v>
      </c>
      <c r="G8934">
        <v>0</v>
      </c>
    </row>
    <row r="8935" spans="1:7" x14ac:dyDescent="0.2">
      <c r="A8935" t="s">
        <v>1830</v>
      </c>
      <c r="B8935">
        <v>0</v>
      </c>
      <c r="C8935">
        <v>0</v>
      </c>
      <c r="D8935">
        <v>0</v>
      </c>
      <c r="E8935">
        <v>0</v>
      </c>
      <c r="F8935">
        <v>0</v>
      </c>
      <c r="G8935">
        <v>0</v>
      </c>
    </row>
    <row r="8936" spans="1:7" x14ac:dyDescent="0.2">
      <c r="A8936" t="s">
        <v>1836</v>
      </c>
      <c r="B8936">
        <v>0</v>
      </c>
      <c r="C8936">
        <v>0</v>
      </c>
      <c r="D8936">
        <v>0</v>
      </c>
      <c r="E8936">
        <v>0</v>
      </c>
      <c r="F8936">
        <v>0</v>
      </c>
      <c r="G8936">
        <v>0</v>
      </c>
    </row>
    <row r="8937" spans="1:7" x14ac:dyDescent="0.2">
      <c r="A8937" t="s">
        <v>1841</v>
      </c>
      <c r="B8937">
        <v>0</v>
      </c>
      <c r="C8937">
        <v>0</v>
      </c>
      <c r="D8937">
        <v>3</v>
      </c>
      <c r="E8937">
        <v>0</v>
      </c>
      <c r="F8937">
        <v>0</v>
      </c>
      <c r="G8937">
        <v>3</v>
      </c>
    </row>
    <row r="8938" spans="1:7" x14ac:dyDescent="0.2">
      <c r="A8938" t="s">
        <v>1842</v>
      </c>
      <c r="B8938">
        <v>0</v>
      </c>
      <c r="C8938">
        <v>20</v>
      </c>
      <c r="D8938">
        <v>51</v>
      </c>
      <c r="E8938">
        <v>245</v>
      </c>
      <c r="F8938">
        <v>0</v>
      </c>
      <c r="G8938">
        <v>316</v>
      </c>
    </row>
    <row r="8939" spans="1:7" x14ac:dyDescent="0.2">
      <c r="A8939" t="s">
        <v>1843</v>
      </c>
      <c r="B8939">
        <v>0</v>
      </c>
      <c r="C8939">
        <v>0</v>
      </c>
      <c r="D8939">
        <v>0</v>
      </c>
      <c r="E8939">
        <v>0</v>
      </c>
      <c r="F8939">
        <v>0</v>
      </c>
      <c r="G8939">
        <v>0</v>
      </c>
    </row>
    <row r="8940" spans="1:7" x14ac:dyDescent="0.2">
      <c r="A8940" t="s">
        <v>1846</v>
      </c>
      <c r="B8940">
        <v>0</v>
      </c>
      <c r="C8940">
        <v>0</v>
      </c>
      <c r="D8940">
        <v>0</v>
      </c>
      <c r="E8940">
        <v>0</v>
      </c>
      <c r="F8940">
        <v>0</v>
      </c>
      <c r="G8940">
        <v>0</v>
      </c>
    </row>
    <row r="8941" spans="1:7" x14ac:dyDescent="0.2">
      <c r="A8941" t="s">
        <v>1851</v>
      </c>
      <c r="B8941">
        <v>0</v>
      </c>
      <c r="C8941">
        <v>0</v>
      </c>
      <c r="D8941">
        <v>0</v>
      </c>
      <c r="E8941">
        <v>298</v>
      </c>
      <c r="F8941">
        <v>82</v>
      </c>
      <c r="G8941">
        <v>380</v>
      </c>
    </row>
    <row r="8942" spans="1:7" x14ac:dyDescent="0.2">
      <c r="A8942" t="s">
        <v>1857</v>
      </c>
      <c r="B8942">
        <v>0</v>
      </c>
      <c r="C8942">
        <v>0</v>
      </c>
      <c r="D8942">
        <v>0</v>
      </c>
      <c r="E8942">
        <v>0</v>
      </c>
      <c r="F8942">
        <v>0</v>
      </c>
      <c r="G8942">
        <v>0</v>
      </c>
    </row>
    <row r="8943" spans="1:7" x14ac:dyDescent="0.2">
      <c r="A8943" t="s">
        <v>1862</v>
      </c>
      <c r="B8943">
        <v>0</v>
      </c>
      <c r="C8943">
        <v>0</v>
      </c>
      <c r="D8943">
        <v>0</v>
      </c>
      <c r="E8943">
        <v>284</v>
      </c>
      <c r="F8943">
        <v>322</v>
      </c>
      <c r="G8943">
        <v>606</v>
      </c>
    </row>
    <row r="8944" spans="1:7" x14ac:dyDescent="0.2">
      <c r="A8944" t="s">
        <v>1867</v>
      </c>
      <c r="B8944">
        <v>0</v>
      </c>
      <c r="C8944">
        <v>0</v>
      </c>
      <c r="D8944">
        <v>0</v>
      </c>
      <c r="E8944">
        <v>0</v>
      </c>
      <c r="F8944">
        <v>0</v>
      </c>
      <c r="G8944">
        <v>0</v>
      </c>
    </row>
    <row r="8945" spans="1:7" x14ac:dyDescent="0.2">
      <c r="A8945" t="s">
        <v>1870</v>
      </c>
      <c r="B8945">
        <v>0</v>
      </c>
      <c r="C8945">
        <v>0</v>
      </c>
      <c r="D8945">
        <v>0</v>
      </c>
      <c r="E8945">
        <v>0</v>
      </c>
      <c r="F8945">
        <v>0</v>
      </c>
      <c r="G8945">
        <v>0</v>
      </c>
    </row>
    <row r="8946" spans="1:7" x14ac:dyDescent="0.2">
      <c r="A8946" t="s">
        <v>1874</v>
      </c>
      <c r="B8946">
        <v>0</v>
      </c>
      <c r="C8946">
        <v>0</v>
      </c>
      <c r="D8946">
        <v>0</v>
      </c>
      <c r="E8946">
        <v>1458</v>
      </c>
      <c r="F8946">
        <v>0</v>
      </c>
      <c r="G8946">
        <v>1458</v>
      </c>
    </row>
    <row r="8947" spans="1:7" x14ac:dyDescent="0.2">
      <c r="A8947" t="s">
        <v>1876</v>
      </c>
      <c r="B8947">
        <v>0</v>
      </c>
      <c r="C8947">
        <v>0</v>
      </c>
      <c r="D8947">
        <v>0</v>
      </c>
      <c r="E8947">
        <v>0</v>
      </c>
      <c r="F8947">
        <v>0</v>
      </c>
      <c r="G8947">
        <v>0</v>
      </c>
    </row>
    <row r="8948" spans="1:7" x14ac:dyDescent="0.2">
      <c r="A8948" t="s">
        <v>1881</v>
      </c>
      <c r="B8948">
        <v>0</v>
      </c>
      <c r="C8948">
        <v>0</v>
      </c>
      <c r="D8948">
        <v>0</v>
      </c>
      <c r="E8948">
        <v>0</v>
      </c>
      <c r="F8948">
        <v>1898</v>
      </c>
      <c r="G8948">
        <v>1898</v>
      </c>
    </row>
    <row r="8949" spans="1:7" x14ac:dyDescent="0.2">
      <c r="A8949" t="s">
        <v>1885</v>
      </c>
      <c r="B8949">
        <v>23</v>
      </c>
      <c r="C8949">
        <v>17</v>
      </c>
      <c r="D8949">
        <v>14</v>
      </c>
      <c r="E8949">
        <v>24</v>
      </c>
      <c r="F8949">
        <v>0</v>
      </c>
      <c r="G8949">
        <v>78</v>
      </c>
    </row>
    <row r="8950" spans="1:7" x14ac:dyDescent="0.2">
      <c r="A8950" t="s">
        <v>1887</v>
      </c>
      <c r="B8950">
        <v>0</v>
      </c>
      <c r="C8950">
        <v>0</v>
      </c>
      <c r="D8950">
        <v>0</v>
      </c>
      <c r="E8950">
        <v>0</v>
      </c>
      <c r="F8950">
        <v>0</v>
      </c>
      <c r="G8950">
        <v>1</v>
      </c>
    </row>
    <row r="8951" spans="1:7" x14ac:dyDescent="0.2">
      <c r="A8951" t="s">
        <v>1893</v>
      </c>
      <c r="B8951">
        <v>0</v>
      </c>
      <c r="C8951">
        <v>0</v>
      </c>
      <c r="D8951">
        <v>0</v>
      </c>
      <c r="E8951">
        <v>7</v>
      </c>
      <c r="F8951">
        <v>1</v>
      </c>
      <c r="G8951">
        <v>8</v>
      </c>
    </row>
    <row r="8952" spans="1:7" x14ac:dyDescent="0.2">
      <c r="A8952" t="s">
        <v>1899</v>
      </c>
      <c r="B8952">
        <v>0</v>
      </c>
      <c r="C8952">
        <v>0</v>
      </c>
      <c r="D8952">
        <v>0</v>
      </c>
      <c r="E8952">
        <v>0</v>
      </c>
      <c r="F8952">
        <v>0</v>
      </c>
      <c r="G8952">
        <v>0</v>
      </c>
    </row>
    <row r="8953" spans="1:7" x14ac:dyDescent="0.2">
      <c r="A8953" t="s">
        <v>1906</v>
      </c>
      <c r="B8953">
        <v>0</v>
      </c>
      <c r="C8953">
        <v>0</v>
      </c>
      <c r="D8953">
        <v>0</v>
      </c>
      <c r="E8953">
        <v>0</v>
      </c>
      <c r="F8953">
        <v>0</v>
      </c>
      <c r="G8953">
        <v>0</v>
      </c>
    </row>
    <row r="8954" spans="1:7" x14ac:dyDescent="0.2">
      <c r="A8954" t="s">
        <v>1911</v>
      </c>
      <c r="B8954">
        <v>0</v>
      </c>
      <c r="C8954">
        <v>0</v>
      </c>
      <c r="D8954">
        <v>0</v>
      </c>
      <c r="E8954">
        <v>0</v>
      </c>
      <c r="F8954">
        <v>0</v>
      </c>
      <c r="G8954">
        <v>0</v>
      </c>
    </row>
    <row r="8955" spans="1:7" x14ac:dyDescent="0.2">
      <c r="A8955" t="s">
        <v>1917</v>
      </c>
      <c r="B8955">
        <v>0</v>
      </c>
      <c r="C8955">
        <v>0</v>
      </c>
      <c r="D8955">
        <v>0</v>
      </c>
      <c r="E8955">
        <v>0</v>
      </c>
      <c r="F8955">
        <v>0</v>
      </c>
      <c r="G8955">
        <v>0</v>
      </c>
    </row>
    <row r="8956" spans="1:7" x14ac:dyDescent="0.2">
      <c r="A8956" t="s">
        <v>1922</v>
      </c>
      <c r="B8956">
        <v>0</v>
      </c>
      <c r="C8956">
        <v>0</v>
      </c>
      <c r="D8956">
        <v>0</v>
      </c>
      <c r="E8956">
        <v>30</v>
      </c>
      <c r="F8956">
        <v>0</v>
      </c>
      <c r="G8956">
        <v>30</v>
      </c>
    </row>
    <row r="8957" spans="1:7" x14ac:dyDescent="0.2">
      <c r="A8957" t="s">
        <v>1928</v>
      </c>
      <c r="B8957">
        <v>0</v>
      </c>
      <c r="C8957">
        <v>0</v>
      </c>
      <c r="D8957">
        <v>0</v>
      </c>
      <c r="E8957">
        <v>0</v>
      </c>
      <c r="F8957">
        <v>0</v>
      </c>
      <c r="G8957">
        <v>0</v>
      </c>
    </row>
    <row r="8958" spans="1:7" x14ac:dyDescent="0.2">
      <c r="A8958" t="s">
        <v>1932</v>
      </c>
      <c r="B8958">
        <v>0</v>
      </c>
      <c r="C8958">
        <v>0</v>
      </c>
      <c r="D8958">
        <v>0</v>
      </c>
      <c r="E8958">
        <v>0</v>
      </c>
      <c r="F8958">
        <v>0</v>
      </c>
      <c r="G8958">
        <v>0</v>
      </c>
    </row>
    <row r="8959" spans="1:7" x14ac:dyDescent="0.2">
      <c r="A8959" t="s">
        <v>1938</v>
      </c>
      <c r="B8959">
        <v>0</v>
      </c>
      <c r="C8959">
        <v>0</v>
      </c>
      <c r="D8959">
        <v>0</v>
      </c>
      <c r="E8959">
        <v>0</v>
      </c>
      <c r="F8959">
        <v>0</v>
      </c>
      <c r="G8959">
        <v>0</v>
      </c>
    </row>
    <row r="8960" spans="1:7" x14ac:dyDescent="0.2">
      <c r="A8960" t="s">
        <v>1944</v>
      </c>
      <c r="B8960">
        <v>0</v>
      </c>
      <c r="C8960">
        <v>2</v>
      </c>
      <c r="D8960">
        <v>3</v>
      </c>
      <c r="E8960">
        <v>3</v>
      </c>
      <c r="F8960">
        <v>0</v>
      </c>
      <c r="G8960">
        <v>7</v>
      </c>
    </row>
    <row r="8961" spans="1:7" x14ac:dyDescent="0.2">
      <c r="A8961" t="s">
        <v>1947</v>
      </c>
      <c r="B8961">
        <v>0</v>
      </c>
      <c r="C8961">
        <v>0</v>
      </c>
      <c r="D8961">
        <v>0</v>
      </c>
      <c r="E8961">
        <v>0</v>
      </c>
      <c r="F8961">
        <v>0</v>
      </c>
      <c r="G8961">
        <v>0</v>
      </c>
    </row>
    <row r="8962" spans="1:7" x14ac:dyDescent="0.2">
      <c r="A8962" t="s">
        <v>1953</v>
      </c>
      <c r="B8962">
        <v>0</v>
      </c>
      <c r="C8962">
        <v>0</v>
      </c>
      <c r="D8962">
        <v>0</v>
      </c>
      <c r="E8962">
        <v>0</v>
      </c>
      <c r="F8962">
        <v>0</v>
      </c>
      <c r="G8962">
        <v>0</v>
      </c>
    </row>
    <row r="8963" spans="1:7" x14ac:dyDescent="0.2">
      <c r="A8963" t="s">
        <v>1958</v>
      </c>
      <c r="B8963">
        <v>0</v>
      </c>
      <c r="C8963">
        <v>0</v>
      </c>
      <c r="D8963">
        <v>0</v>
      </c>
      <c r="E8963">
        <v>0</v>
      </c>
      <c r="F8963">
        <v>0</v>
      </c>
      <c r="G8963">
        <v>0</v>
      </c>
    </row>
    <row r="8964" spans="1:7" x14ac:dyDescent="0.2">
      <c r="A8964" t="s">
        <v>1964</v>
      </c>
      <c r="B8964">
        <v>0</v>
      </c>
      <c r="C8964">
        <v>0</v>
      </c>
      <c r="D8964">
        <v>0</v>
      </c>
      <c r="E8964">
        <v>0</v>
      </c>
      <c r="F8964">
        <v>0</v>
      </c>
      <c r="G8964">
        <v>0</v>
      </c>
    </row>
    <row r="8965" spans="1:7" x14ac:dyDescent="0.2">
      <c r="A8965" t="s">
        <v>1973</v>
      </c>
      <c r="B8965">
        <v>0</v>
      </c>
      <c r="C8965">
        <v>0</v>
      </c>
      <c r="D8965">
        <v>0</v>
      </c>
      <c r="E8965">
        <v>0</v>
      </c>
      <c r="F8965">
        <v>0</v>
      </c>
      <c r="G8965">
        <v>0</v>
      </c>
    </row>
    <row r="8966" spans="1:7" x14ac:dyDescent="0.2">
      <c r="A8966" t="s">
        <v>1978</v>
      </c>
      <c r="B8966">
        <v>0</v>
      </c>
      <c r="C8966">
        <v>0</v>
      </c>
      <c r="D8966">
        <v>0</v>
      </c>
      <c r="E8966">
        <v>0</v>
      </c>
      <c r="F8966">
        <v>0</v>
      </c>
      <c r="G8966">
        <v>0</v>
      </c>
    </row>
    <row r="8967" spans="1:7" x14ac:dyDescent="0.2">
      <c r="A8967" t="s">
        <v>1983</v>
      </c>
      <c r="B8967">
        <v>0</v>
      </c>
      <c r="C8967">
        <v>0</v>
      </c>
      <c r="D8967">
        <v>0</v>
      </c>
      <c r="E8967">
        <v>0</v>
      </c>
      <c r="F8967">
        <v>0</v>
      </c>
      <c r="G8967">
        <v>1</v>
      </c>
    </row>
    <row r="8968" spans="1:7" x14ac:dyDescent="0.2">
      <c r="A8968" t="s">
        <v>1984</v>
      </c>
      <c r="B8968">
        <v>0</v>
      </c>
      <c r="C8968">
        <v>0</v>
      </c>
      <c r="D8968">
        <v>0</v>
      </c>
      <c r="E8968">
        <v>0</v>
      </c>
      <c r="F8968">
        <v>0</v>
      </c>
      <c r="G8968">
        <v>0</v>
      </c>
    </row>
    <row r="8969" spans="1:7" x14ac:dyDescent="0.2">
      <c r="A8969" t="s">
        <v>1990</v>
      </c>
      <c r="B8969">
        <v>0</v>
      </c>
      <c r="C8969">
        <v>0</v>
      </c>
      <c r="D8969">
        <v>0</v>
      </c>
      <c r="E8969">
        <v>0</v>
      </c>
      <c r="F8969">
        <v>0</v>
      </c>
      <c r="G8969">
        <v>0</v>
      </c>
    </row>
    <row r="8970" spans="1:7" x14ac:dyDescent="0.2">
      <c r="A8970" t="s">
        <v>1996</v>
      </c>
      <c r="B8970">
        <v>0</v>
      </c>
      <c r="C8970">
        <v>0</v>
      </c>
      <c r="D8970">
        <v>0</v>
      </c>
      <c r="E8970">
        <v>0</v>
      </c>
      <c r="F8970">
        <v>0</v>
      </c>
      <c r="G8970">
        <v>0</v>
      </c>
    </row>
    <row r="8971" spans="1:7" x14ac:dyDescent="0.2">
      <c r="A8971" t="s">
        <v>1998</v>
      </c>
      <c r="B8971">
        <v>0</v>
      </c>
      <c r="C8971">
        <v>0</v>
      </c>
      <c r="D8971">
        <v>0</v>
      </c>
      <c r="E8971">
        <v>0</v>
      </c>
      <c r="F8971">
        <v>0</v>
      </c>
      <c r="G8971">
        <v>0</v>
      </c>
    </row>
    <row r="8972" spans="1:7" x14ac:dyDescent="0.2">
      <c r="A8972" t="s">
        <v>1999</v>
      </c>
      <c r="B8972">
        <v>0</v>
      </c>
      <c r="C8972">
        <v>0</v>
      </c>
      <c r="D8972">
        <v>0</v>
      </c>
      <c r="E8972">
        <v>0</v>
      </c>
      <c r="F8972">
        <v>0</v>
      </c>
      <c r="G8972">
        <v>0</v>
      </c>
    </row>
    <row r="8973" spans="1:7" x14ac:dyDescent="0.2">
      <c r="A8973" t="s">
        <v>2004</v>
      </c>
      <c r="B8973">
        <v>0</v>
      </c>
      <c r="C8973">
        <v>0</v>
      </c>
      <c r="D8973">
        <v>0</v>
      </c>
      <c r="E8973">
        <v>0</v>
      </c>
      <c r="F8973">
        <v>0</v>
      </c>
      <c r="G8973">
        <v>0</v>
      </c>
    </row>
    <row r="8974" spans="1:7" x14ac:dyDescent="0.2">
      <c r="A8974" t="s">
        <v>2009</v>
      </c>
      <c r="B8974">
        <v>0</v>
      </c>
      <c r="C8974">
        <v>0</v>
      </c>
      <c r="D8974">
        <v>0</v>
      </c>
      <c r="E8974">
        <v>0</v>
      </c>
      <c r="F8974">
        <v>0</v>
      </c>
      <c r="G8974">
        <v>0</v>
      </c>
    </row>
    <row r="8975" spans="1:7" x14ac:dyDescent="0.2">
      <c r="A8975" t="s">
        <v>2014</v>
      </c>
      <c r="B8975">
        <v>0</v>
      </c>
      <c r="C8975">
        <v>0</v>
      </c>
      <c r="D8975">
        <v>0</v>
      </c>
      <c r="E8975">
        <v>0</v>
      </c>
      <c r="F8975">
        <v>0</v>
      </c>
      <c r="G8975">
        <v>0</v>
      </c>
    </row>
    <row r="8976" spans="1:7" x14ac:dyDescent="0.2">
      <c r="A8976" t="s">
        <v>2019</v>
      </c>
      <c r="B8976">
        <v>0</v>
      </c>
      <c r="C8976">
        <v>0</v>
      </c>
      <c r="D8976">
        <v>0</v>
      </c>
      <c r="E8976">
        <v>0</v>
      </c>
      <c r="F8976">
        <v>0</v>
      </c>
      <c r="G8976">
        <v>0</v>
      </c>
    </row>
    <row r="8977" spans="1:7" x14ac:dyDescent="0.2">
      <c r="A8977" t="s">
        <v>2023</v>
      </c>
      <c r="B8977">
        <v>0</v>
      </c>
      <c r="C8977">
        <v>0</v>
      </c>
      <c r="D8977">
        <v>0</v>
      </c>
      <c r="E8977">
        <v>0</v>
      </c>
      <c r="F8977">
        <v>0</v>
      </c>
      <c r="G8977">
        <v>0</v>
      </c>
    </row>
    <row r="8978" spans="1:7" x14ac:dyDescent="0.2">
      <c r="A8978" t="s">
        <v>2026</v>
      </c>
      <c r="B8978">
        <v>0</v>
      </c>
      <c r="C8978">
        <v>0</v>
      </c>
      <c r="D8978">
        <v>0</v>
      </c>
      <c r="E8978">
        <v>0</v>
      </c>
      <c r="F8978">
        <v>0</v>
      </c>
      <c r="G8978">
        <v>0</v>
      </c>
    </row>
    <row r="8979" spans="1:7" x14ac:dyDescent="0.2">
      <c r="A8979" t="s">
        <v>2030</v>
      </c>
      <c r="B8979">
        <v>0</v>
      </c>
      <c r="C8979">
        <v>0</v>
      </c>
      <c r="D8979">
        <v>0</v>
      </c>
      <c r="E8979">
        <v>0</v>
      </c>
      <c r="F8979">
        <v>0</v>
      </c>
      <c r="G8979">
        <v>0</v>
      </c>
    </row>
    <row r="8980" spans="1:7" x14ac:dyDescent="0.2">
      <c r="A8980" t="s">
        <v>2035</v>
      </c>
      <c r="B8980">
        <v>0</v>
      </c>
      <c r="C8980">
        <v>0</v>
      </c>
      <c r="D8980">
        <v>0</v>
      </c>
      <c r="E8980">
        <v>0</v>
      </c>
      <c r="F8980">
        <v>0</v>
      </c>
      <c r="G8980">
        <v>0</v>
      </c>
    </row>
    <row r="8981" spans="1:7" x14ac:dyDescent="0.2">
      <c r="A8981" t="s">
        <v>2040</v>
      </c>
      <c r="B8981">
        <v>0</v>
      </c>
      <c r="C8981">
        <v>0</v>
      </c>
      <c r="D8981">
        <v>0</v>
      </c>
      <c r="E8981">
        <v>0</v>
      </c>
      <c r="F8981">
        <v>0</v>
      </c>
      <c r="G8981">
        <v>0</v>
      </c>
    </row>
    <row r="8982" spans="1:7" x14ac:dyDescent="0.2">
      <c r="A8982" t="s">
        <v>2045</v>
      </c>
      <c r="B8982">
        <v>0</v>
      </c>
      <c r="C8982">
        <v>0</v>
      </c>
      <c r="D8982">
        <v>0</v>
      </c>
      <c r="E8982">
        <v>0</v>
      </c>
      <c r="F8982">
        <v>0</v>
      </c>
      <c r="G8982">
        <v>0</v>
      </c>
    </row>
    <row r="8983" spans="1:7" x14ac:dyDescent="0.2">
      <c r="A8983" t="s">
        <v>2049</v>
      </c>
      <c r="B8983">
        <v>0</v>
      </c>
      <c r="C8983">
        <v>0</v>
      </c>
      <c r="D8983">
        <v>0</v>
      </c>
      <c r="E8983">
        <v>0</v>
      </c>
      <c r="F8983">
        <v>0</v>
      </c>
      <c r="G8983">
        <v>0</v>
      </c>
    </row>
    <row r="8984" spans="1:7" x14ac:dyDescent="0.2">
      <c r="A8984" t="s">
        <v>2051</v>
      </c>
      <c r="B8984">
        <v>0</v>
      </c>
      <c r="C8984">
        <v>0</v>
      </c>
      <c r="D8984">
        <v>0</v>
      </c>
      <c r="E8984">
        <v>0</v>
      </c>
      <c r="F8984">
        <v>1</v>
      </c>
      <c r="G8984">
        <v>1</v>
      </c>
    </row>
    <row r="8985" spans="1:7" x14ac:dyDescent="0.2">
      <c r="A8985" t="s">
        <v>2057</v>
      </c>
      <c r="B8985">
        <v>0</v>
      </c>
      <c r="C8985">
        <v>0</v>
      </c>
      <c r="D8985">
        <v>0</v>
      </c>
      <c r="E8985">
        <v>0</v>
      </c>
      <c r="F8985">
        <v>2</v>
      </c>
      <c r="G8985">
        <v>2</v>
      </c>
    </row>
    <row r="8986" spans="1:7" x14ac:dyDescent="0.2">
      <c r="A8986" t="s">
        <v>4344</v>
      </c>
      <c r="B8986">
        <v>0</v>
      </c>
      <c r="C8986">
        <v>0</v>
      </c>
      <c r="D8986">
        <v>0</v>
      </c>
      <c r="E8986">
        <v>0</v>
      </c>
      <c r="F8986">
        <v>0</v>
      </c>
      <c r="G8986">
        <v>0</v>
      </c>
    </row>
    <row r="8987" spans="1:7" x14ac:dyDescent="0.2">
      <c r="A8987" t="s">
        <v>4345</v>
      </c>
      <c r="B8987">
        <v>0</v>
      </c>
      <c r="C8987">
        <v>0</v>
      </c>
      <c r="D8987">
        <v>0</v>
      </c>
      <c r="E8987">
        <v>2</v>
      </c>
      <c r="F8987">
        <v>3</v>
      </c>
      <c r="G8987">
        <v>4</v>
      </c>
    </row>
    <row r="8988" spans="1:7" x14ac:dyDescent="0.2">
      <c r="A8988" t="s">
        <v>2074</v>
      </c>
      <c r="B8988">
        <v>0</v>
      </c>
      <c r="C8988">
        <v>0</v>
      </c>
      <c r="D8988">
        <v>0</v>
      </c>
      <c r="E8988">
        <v>0</v>
      </c>
      <c r="F8988">
        <v>0</v>
      </c>
      <c r="G8988">
        <v>0</v>
      </c>
    </row>
    <row r="8989" spans="1:7" x14ac:dyDescent="0.2">
      <c r="A8989" t="s">
        <v>2079</v>
      </c>
      <c r="B8989">
        <v>0</v>
      </c>
      <c r="C8989">
        <v>0</v>
      </c>
      <c r="D8989">
        <v>0</v>
      </c>
      <c r="E8989">
        <v>0</v>
      </c>
      <c r="F8989">
        <v>0</v>
      </c>
      <c r="G8989">
        <v>0</v>
      </c>
    </row>
    <row r="8990" spans="1:7" x14ac:dyDescent="0.2">
      <c r="A8990" t="s">
        <v>2085</v>
      </c>
      <c r="B8990">
        <v>0</v>
      </c>
      <c r="C8990">
        <v>0</v>
      </c>
      <c r="D8990">
        <v>0</v>
      </c>
      <c r="E8990">
        <v>0</v>
      </c>
      <c r="F8990">
        <v>0</v>
      </c>
      <c r="G8990">
        <v>0</v>
      </c>
    </row>
    <row r="8991" spans="1:7" x14ac:dyDescent="0.2">
      <c r="A8991" t="s">
        <v>2091</v>
      </c>
      <c r="B8991">
        <v>0</v>
      </c>
      <c r="C8991">
        <v>0</v>
      </c>
      <c r="D8991">
        <v>0</v>
      </c>
      <c r="E8991">
        <v>0</v>
      </c>
      <c r="F8991">
        <v>0</v>
      </c>
      <c r="G8991">
        <v>0</v>
      </c>
    </row>
    <row r="8992" spans="1:7" x14ac:dyDescent="0.2">
      <c r="A8992" t="s">
        <v>2097</v>
      </c>
      <c r="B8992">
        <v>0</v>
      </c>
      <c r="C8992">
        <v>0</v>
      </c>
      <c r="D8992">
        <v>0</v>
      </c>
      <c r="E8992">
        <v>0</v>
      </c>
      <c r="F8992">
        <v>0</v>
      </c>
      <c r="G8992">
        <v>0</v>
      </c>
    </row>
    <row r="8993" spans="1:7" x14ac:dyDescent="0.2">
      <c r="A8993" t="s">
        <v>2101</v>
      </c>
      <c r="B8993">
        <v>0</v>
      </c>
      <c r="C8993">
        <v>0</v>
      </c>
      <c r="D8993">
        <v>0</v>
      </c>
      <c r="E8993">
        <v>0</v>
      </c>
      <c r="F8993">
        <v>0</v>
      </c>
      <c r="G8993">
        <v>0</v>
      </c>
    </row>
    <row r="8994" spans="1:7" x14ac:dyDescent="0.2">
      <c r="A8994" t="s">
        <v>2104</v>
      </c>
      <c r="B8994">
        <v>0</v>
      </c>
      <c r="C8994">
        <v>0</v>
      </c>
      <c r="D8994">
        <v>0</v>
      </c>
      <c r="E8994">
        <v>0</v>
      </c>
      <c r="F8994">
        <v>0</v>
      </c>
      <c r="G8994">
        <v>0</v>
      </c>
    </row>
    <row r="8995" spans="1:7" x14ac:dyDescent="0.2">
      <c r="A8995" t="s">
        <v>2107</v>
      </c>
      <c r="B8995">
        <v>0</v>
      </c>
      <c r="C8995">
        <v>0</v>
      </c>
      <c r="D8995">
        <v>0</v>
      </c>
      <c r="E8995">
        <v>0</v>
      </c>
      <c r="F8995">
        <v>0</v>
      </c>
      <c r="G8995">
        <v>0</v>
      </c>
    </row>
    <row r="8996" spans="1:7" x14ac:dyDescent="0.2">
      <c r="A8996" t="s">
        <v>2110</v>
      </c>
      <c r="B8996">
        <v>0</v>
      </c>
      <c r="C8996">
        <v>0</v>
      </c>
      <c r="D8996">
        <v>0</v>
      </c>
      <c r="E8996">
        <v>0</v>
      </c>
      <c r="F8996">
        <v>0</v>
      </c>
      <c r="G8996">
        <v>0</v>
      </c>
    </row>
    <row r="8997" spans="1:7" x14ac:dyDescent="0.2">
      <c r="A8997" t="s">
        <v>2113</v>
      </c>
      <c r="B8997">
        <v>0</v>
      </c>
      <c r="C8997">
        <v>0</v>
      </c>
      <c r="D8997">
        <v>0</v>
      </c>
      <c r="E8997">
        <v>0</v>
      </c>
      <c r="F8997">
        <v>0</v>
      </c>
      <c r="G8997">
        <v>0</v>
      </c>
    </row>
    <row r="8998" spans="1:7" x14ac:dyDescent="0.2">
      <c r="A8998" t="s">
        <v>4346</v>
      </c>
      <c r="B8998">
        <v>0</v>
      </c>
      <c r="C8998">
        <v>0</v>
      </c>
      <c r="D8998">
        <v>0</v>
      </c>
      <c r="E8998">
        <v>0</v>
      </c>
      <c r="F8998">
        <v>0</v>
      </c>
      <c r="G8998">
        <v>0</v>
      </c>
    </row>
    <row r="8999" spans="1:7" x14ac:dyDescent="0.2">
      <c r="A8999" t="s">
        <v>4347</v>
      </c>
      <c r="B8999">
        <v>0</v>
      </c>
      <c r="C8999">
        <v>0</v>
      </c>
      <c r="D8999">
        <v>0</v>
      </c>
      <c r="E8999">
        <v>0</v>
      </c>
      <c r="F8999">
        <v>0</v>
      </c>
      <c r="G8999">
        <v>0</v>
      </c>
    </row>
    <row r="9000" spans="1:7" x14ac:dyDescent="0.2">
      <c r="A9000" t="s">
        <v>4348</v>
      </c>
      <c r="B9000">
        <v>0</v>
      </c>
      <c r="C9000">
        <v>0</v>
      </c>
      <c r="D9000">
        <v>0</v>
      </c>
      <c r="E9000">
        <v>0</v>
      </c>
      <c r="F9000">
        <v>0</v>
      </c>
      <c r="G9000">
        <v>0</v>
      </c>
    </row>
    <row r="9001" spans="1:7" x14ac:dyDescent="0.2">
      <c r="A9001" t="s">
        <v>4349</v>
      </c>
      <c r="B9001">
        <v>0</v>
      </c>
      <c r="C9001">
        <v>0</v>
      </c>
      <c r="D9001">
        <v>0</v>
      </c>
      <c r="E9001">
        <v>0</v>
      </c>
      <c r="F9001">
        <v>0</v>
      </c>
      <c r="G9001">
        <v>0</v>
      </c>
    </row>
    <row r="9002" spans="1:7" x14ac:dyDescent="0.2">
      <c r="A9002" t="s">
        <v>4350</v>
      </c>
      <c r="B9002">
        <v>0</v>
      </c>
      <c r="C9002">
        <v>0</v>
      </c>
      <c r="D9002">
        <v>1</v>
      </c>
      <c r="E9002">
        <v>0</v>
      </c>
      <c r="F9002">
        <v>0</v>
      </c>
      <c r="G9002">
        <v>1</v>
      </c>
    </row>
    <row r="9003" spans="1:7" x14ac:dyDescent="0.2">
      <c r="A9003" t="s">
        <v>4351</v>
      </c>
      <c r="B9003">
        <v>0</v>
      </c>
      <c r="C9003">
        <v>0</v>
      </c>
      <c r="D9003">
        <v>0</v>
      </c>
      <c r="E9003">
        <v>0</v>
      </c>
      <c r="F9003">
        <v>0</v>
      </c>
      <c r="G9003">
        <v>0</v>
      </c>
    </row>
    <row r="9004" spans="1:7" x14ac:dyDescent="0.2">
      <c r="A9004" t="s">
        <v>4352</v>
      </c>
      <c r="B9004">
        <v>0</v>
      </c>
      <c r="C9004">
        <v>0</v>
      </c>
      <c r="D9004">
        <v>0</v>
      </c>
      <c r="E9004">
        <v>0</v>
      </c>
      <c r="F9004">
        <v>0</v>
      </c>
      <c r="G9004">
        <v>0</v>
      </c>
    </row>
    <row r="9005" spans="1:7" x14ac:dyDescent="0.2">
      <c r="A9005" t="s">
        <v>4353</v>
      </c>
      <c r="B9005">
        <v>0</v>
      </c>
      <c r="C9005">
        <v>33</v>
      </c>
      <c r="D9005">
        <v>9</v>
      </c>
      <c r="E9005">
        <v>1</v>
      </c>
      <c r="F9005">
        <v>0</v>
      </c>
      <c r="G9005">
        <v>43</v>
      </c>
    </row>
    <row r="9006" spans="1:7" x14ac:dyDescent="0.2">
      <c r="A9006" t="s">
        <v>4354</v>
      </c>
      <c r="B9006">
        <v>1</v>
      </c>
      <c r="C9006">
        <v>19</v>
      </c>
      <c r="D9006">
        <v>6</v>
      </c>
      <c r="E9006">
        <v>0</v>
      </c>
      <c r="F9006">
        <v>0</v>
      </c>
      <c r="G9006">
        <v>27</v>
      </c>
    </row>
    <row r="9007" spans="1:7" x14ac:dyDescent="0.2">
      <c r="A9007" t="s">
        <v>4355</v>
      </c>
      <c r="B9007">
        <v>0</v>
      </c>
      <c r="C9007">
        <v>0</v>
      </c>
      <c r="D9007">
        <v>0</v>
      </c>
      <c r="E9007">
        <v>0</v>
      </c>
      <c r="F9007">
        <v>0</v>
      </c>
      <c r="G9007">
        <v>0</v>
      </c>
    </row>
    <row r="9008" spans="1:7" x14ac:dyDescent="0.2">
      <c r="A9008" t="s">
        <v>4356</v>
      </c>
      <c r="B9008">
        <v>0</v>
      </c>
      <c r="C9008">
        <v>0</v>
      </c>
      <c r="D9008">
        <v>0</v>
      </c>
      <c r="E9008">
        <v>0</v>
      </c>
      <c r="F9008">
        <v>0</v>
      </c>
      <c r="G9008">
        <v>0</v>
      </c>
    </row>
    <row r="9009" spans="1:7" x14ac:dyDescent="0.2">
      <c r="A9009" t="s">
        <v>4357</v>
      </c>
      <c r="B9009">
        <v>0</v>
      </c>
      <c r="C9009">
        <v>0</v>
      </c>
      <c r="D9009">
        <v>0</v>
      </c>
      <c r="E9009">
        <v>0</v>
      </c>
      <c r="F9009">
        <v>0</v>
      </c>
      <c r="G9009">
        <v>0</v>
      </c>
    </row>
    <row r="9010" spans="1:7" x14ac:dyDescent="0.2">
      <c r="A9010" t="s">
        <v>4358</v>
      </c>
      <c r="B9010">
        <v>0</v>
      </c>
      <c r="C9010">
        <v>0</v>
      </c>
      <c r="D9010">
        <v>0</v>
      </c>
      <c r="E9010">
        <v>0</v>
      </c>
      <c r="F9010">
        <v>0</v>
      </c>
      <c r="G9010">
        <v>0</v>
      </c>
    </row>
    <row r="9011" spans="1:7" x14ac:dyDescent="0.2">
      <c r="A9011" t="s">
        <v>4359</v>
      </c>
      <c r="B9011">
        <v>0</v>
      </c>
      <c r="C9011">
        <v>0</v>
      </c>
      <c r="D9011">
        <v>0</v>
      </c>
      <c r="E9011">
        <v>0</v>
      </c>
      <c r="F9011">
        <v>0</v>
      </c>
      <c r="G9011">
        <v>0</v>
      </c>
    </row>
    <row r="9012" spans="1:7" x14ac:dyDescent="0.2">
      <c r="A9012" t="s">
        <v>4360</v>
      </c>
      <c r="B9012">
        <v>0</v>
      </c>
      <c r="C9012">
        <v>0</v>
      </c>
      <c r="D9012">
        <v>0</v>
      </c>
      <c r="E9012">
        <v>3</v>
      </c>
      <c r="F9012">
        <v>0</v>
      </c>
      <c r="G9012">
        <v>3</v>
      </c>
    </row>
    <row r="9013" spans="1:7" x14ac:dyDescent="0.2">
      <c r="A9013" t="s">
        <v>4361</v>
      </c>
      <c r="B9013">
        <v>0</v>
      </c>
      <c r="C9013">
        <v>0</v>
      </c>
      <c r="D9013">
        <v>2</v>
      </c>
      <c r="E9013">
        <v>0</v>
      </c>
      <c r="F9013">
        <v>0</v>
      </c>
      <c r="G9013">
        <v>2</v>
      </c>
    </row>
    <row r="9014" spans="1:7" x14ac:dyDescent="0.2">
      <c r="A9014" t="s">
        <v>4362</v>
      </c>
      <c r="B9014">
        <v>0</v>
      </c>
      <c r="C9014">
        <v>0</v>
      </c>
      <c r="D9014">
        <v>0</v>
      </c>
      <c r="E9014">
        <v>0</v>
      </c>
      <c r="F9014">
        <v>0</v>
      </c>
      <c r="G9014">
        <v>0</v>
      </c>
    </row>
    <row r="9015" spans="1:7" x14ac:dyDescent="0.2">
      <c r="A9015" t="s">
        <v>4363</v>
      </c>
      <c r="B9015">
        <v>0</v>
      </c>
      <c r="C9015">
        <v>0</v>
      </c>
      <c r="D9015">
        <v>0</v>
      </c>
      <c r="E9015">
        <v>0</v>
      </c>
      <c r="F9015">
        <v>0</v>
      </c>
      <c r="G9015">
        <v>0</v>
      </c>
    </row>
    <row r="9016" spans="1:7" x14ac:dyDescent="0.2">
      <c r="A9016" t="s">
        <v>4364</v>
      </c>
      <c r="B9016">
        <v>0</v>
      </c>
      <c r="C9016">
        <v>0</v>
      </c>
      <c r="D9016">
        <v>0</v>
      </c>
      <c r="E9016">
        <v>0</v>
      </c>
      <c r="F9016">
        <v>0</v>
      </c>
      <c r="G9016">
        <v>0</v>
      </c>
    </row>
    <row r="9017" spans="1:7" x14ac:dyDescent="0.2">
      <c r="A9017" t="s">
        <v>4365</v>
      </c>
      <c r="B9017">
        <v>0</v>
      </c>
      <c r="C9017">
        <v>4</v>
      </c>
      <c r="D9017">
        <v>3</v>
      </c>
      <c r="E9017">
        <v>0</v>
      </c>
      <c r="F9017">
        <v>0</v>
      </c>
      <c r="G9017">
        <v>7</v>
      </c>
    </row>
    <row r="9018" spans="1:7" x14ac:dyDescent="0.2">
      <c r="A9018" t="s">
        <v>4366</v>
      </c>
      <c r="B9018">
        <v>0</v>
      </c>
      <c r="C9018">
        <v>0</v>
      </c>
      <c r="D9018">
        <v>0</v>
      </c>
      <c r="E9018">
        <v>0</v>
      </c>
      <c r="F9018">
        <v>0</v>
      </c>
      <c r="G9018">
        <v>0</v>
      </c>
    </row>
    <row r="9019" spans="1:7" x14ac:dyDescent="0.2">
      <c r="A9019" t="s">
        <v>4367</v>
      </c>
      <c r="B9019">
        <v>0</v>
      </c>
      <c r="C9019">
        <v>1</v>
      </c>
      <c r="D9019">
        <v>0</v>
      </c>
      <c r="E9019">
        <v>0</v>
      </c>
      <c r="F9019">
        <v>0</v>
      </c>
      <c r="G9019">
        <v>1</v>
      </c>
    </row>
    <row r="9020" spans="1:7" x14ac:dyDescent="0.2">
      <c r="A9020" t="s">
        <v>4368</v>
      </c>
      <c r="B9020">
        <v>7</v>
      </c>
      <c r="C9020">
        <v>34</v>
      </c>
      <c r="D9020">
        <v>43</v>
      </c>
      <c r="E9020">
        <v>51</v>
      </c>
      <c r="F9020">
        <v>4</v>
      </c>
      <c r="G9020">
        <v>139</v>
      </c>
    </row>
    <row r="9021" spans="1:7" x14ac:dyDescent="0.2">
      <c r="A9021" t="s">
        <v>4369</v>
      </c>
      <c r="B9021">
        <v>2</v>
      </c>
      <c r="C9021">
        <v>49</v>
      </c>
      <c r="D9021">
        <v>89</v>
      </c>
      <c r="E9021">
        <v>1</v>
      </c>
      <c r="F9021">
        <v>0</v>
      </c>
      <c r="G9021">
        <v>141</v>
      </c>
    </row>
    <row r="9022" spans="1:7" x14ac:dyDescent="0.2">
      <c r="A9022" t="s">
        <v>4370</v>
      </c>
      <c r="B9022">
        <v>3</v>
      </c>
      <c r="C9022">
        <v>2</v>
      </c>
      <c r="D9022">
        <v>1</v>
      </c>
      <c r="E9022">
        <v>0</v>
      </c>
      <c r="F9022">
        <v>0</v>
      </c>
      <c r="G9022">
        <v>5</v>
      </c>
    </row>
    <row r="9023" spans="1:7" x14ac:dyDescent="0.2">
      <c r="A9023" t="s">
        <v>4371</v>
      </c>
      <c r="B9023">
        <v>1</v>
      </c>
      <c r="C9023">
        <v>1</v>
      </c>
      <c r="D9023">
        <v>1</v>
      </c>
      <c r="E9023">
        <v>1</v>
      </c>
      <c r="F9023">
        <v>0</v>
      </c>
      <c r="G9023">
        <v>3</v>
      </c>
    </row>
    <row r="9024" spans="1:7" x14ac:dyDescent="0.2">
      <c r="A9024" t="s">
        <v>4372</v>
      </c>
      <c r="B9024">
        <v>0</v>
      </c>
      <c r="C9024">
        <v>0</v>
      </c>
      <c r="D9024">
        <v>0</v>
      </c>
      <c r="E9024">
        <v>0</v>
      </c>
      <c r="F9024">
        <v>0</v>
      </c>
      <c r="G9024">
        <v>0</v>
      </c>
    </row>
    <row r="9025" spans="1:10" x14ac:dyDescent="0.2">
      <c r="A9025" t="s">
        <v>4373</v>
      </c>
      <c r="B9025">
        <v>0</v>
      </c>
      <c r="C9025">
        <v>0</v>
      </c>
      <c r="D9025">
        <v>0</v>
      </c>
      <c r="E9025">
        <v>0</v>
      </c>
      <c r="F9025">
        <v>0</v>
      </c>
      <c r="G9025">
        <v>0</v>
      </c>
    </row>
    <row r="9026" spans="1:10" x14ac:dyDescent="0.2">
      <c r="A9026" t="s">
        <v>4374</v>
      </c>
      <c r="B9026">
        <v>0</v>
      </c>
      <c r="C9026">
        <v>0</v>
      </c>
      <c r="D9026">
        <v>0</v>
      </c>
      <c r="E9026">
        <v>0</v>
      </c>
      <c r="F9026">
        <v>0</v>
      </c>
      <c r="G9026">
        <v>0</v>
      </c>
    </row>
    <row r="9027" spans="1:10" x14ac:dyDescent="0.2">
      <c r="A9027" t="s">
        <v>4375</v>
      </c>
      <c r="B9027">
        <v>0</v>
      </c>
      <c r="C9027">
        <v>0</v>
      </c>
      <c r="D9027">
        <v>0</v>
      </c>
      <c r="E9027">
        <v>0</v>
      </c>
      <c r="F9027">
        <v>0</v>
      </c>
      <c r="G9027">
        <v>0</v>
      </c>
    </row>
    <row r="9028" spans="1:10" x14ac:dyDescent="0.2">
      <c r="A9028" t="s">
        <v>4376</v>
      </c>
      <c r="B9028">
        <v>0</v>
      </c>
      <c r="C9028">
        <v>0</v>
      </c>
      <c r="D9028">
        <v>0</v>
      </c>
      <c r="E9028">
        <v>0</v>
      </c>
      <c r="F9028">
        <v>0</v>
      </c>
      <c r="G9028">
        <v>0</v>
      </c>
    </row>
    <row r="9029" spans="1:10" x14ac:dyDescent="0.2">
      <c r="A9029" t="s">
        <v>4377</v>
      </c>
      <c r="B9029">
        <v>0</v>
      </c>
      <c r="C9029">
        <v>0</v>
      </c>
      <c r="D9029">
        <v>0</v>
      </c>
      <c r="E9029">
        <v>0</v>
      </c>
      <c r="F9029">
        <v>0</v>
      </c>
      <c r="G9029">
        <v>0</v>
      </c>
    </row>
    <row r="9030" spans="1:10" x14ac:dyDescent="0.2">
      <c r="A9030" t="s">
        <v>2318</v>
      </c>
      <c r="B9030" t="s">
        <v>2319</v>
      </c>
      <c r="C9030" t="s">
        <v>2319</v>
      </c>
      <c r="D9030" t="s">
        <v>2319</v>
      </c>
      <c r="E9030" t="s">
        <v>2319</v>
      </c>
      <c r="F9030" t="s">
        <v>2319</v>
      </c>
      <c r="G9030" t="s">
        <v>2319</v>
      </c>
    </row>
    <row r="9031" spans="1:10" x14ac:dyDescent="0.2">
      <c r="A9031" t="s">
        <v>4248</v>
      </c>
    </row>
    <row r="9032" spans="1:10" x14ac:dyDescent="0.2">
      <c r="A9032" t="s">
        <v>4250</v>
      </c>
      <c r="C9032" t="s">
        <v>4251</v>
      </c>
      <c r="G9032" t="s">
        <v>7531</v>
      </c>
      <c r="J9032"/>
    </row>
    <row r="9033" spans="1:10" x14ac:dyDescent="0.2">
      <c r="A9033" t="s">
        <v>4925</v>
      </c>
      <c r="G9033" t="s">
        <v>7542</v>
      </c>
      <c r="J9033"/>
    </row>
    <row r="9034" spans="1:10" x14ac:dyDescent="0.2">
      <c r="A9034" t="s">
        <v>7530</v>
      </c>
      <c r="J9034"/>
    </row>
    <row r="9035" spans="1:10" x14ac:dyDescent="0.2">
      <c r="A9035" t="s">
        <v>5051</v>
      </c>
      <c r="J9035"/>
    </row>
    <row r="9036" spans="1:10" x14ac:dyDescent="0.2">
      <c r="J9036"/>
    </row>
    <row r="9037" spans="1:10" x14ac:dyDescent="0.2">
      <c r="A9037" t="s">
        <v>4259</v>
      </c>
      <c r="J9037"/>
    </row>
    <row r="9038" spans="1:10" x14ac:dyDescent="0.2">
      <c r="A9038" t="s">
        <v>2318</v>
      </c>
      <c r="B9038" t="s">
        <v>2319</v>
      </c>
      <c r="C9038" t="s">
        <v>2319</v>
      </c>
      <c r="D9038" t="s">
        <v>2319</v>
      </c>
      <c r="E9038" t="s">
        <v>2319</v>
      </c>
      <c r="F9038" t="s">
        <v>2319</v>
      </c>
      <c r="G9038" t="s">
        <v>2319</v>
      </c>
    </row>
    <row r="9039" spans="1:10" x14ac:dyDescent="0.2">
      <c r="A9039" t="s">
        <v>174</v>
      </c>
      <c r="B9039" t="s">
        <v>4945</v>
      </c>
      <c r="C9039" t="s">
        <v>4946</v>
      </c>
      <c r="D9039" t="s">
        <v>4947</v>
      </c>
      <c r="E9039" t="s">
        <v>4948</v>
      </c>
      <c r="F9039" t="s">
        <v>4949</v>
      </c>
    </row>
    <row r="9040" spans="1:10" x14ac:dyDescent="0.2">
      <c r="A9040" t="s">
        <v>126</v>
      </c>
      <c r="B9040" t="s">
        <v>4262</v>
      </c>
      <c r="C9040" t="s">
        <v>4263</v>
      </c>
      <c r="D9040" t="s">
        <v>4264</v>
      </c>
      <c r="E9040" t="s">
        <v>2308</v>
      </c>
      <c r="F9040" t="s">
        <v>615</v>
      </c>
      <c r="G9040" t="s">
        <v>236</v>
      </c>
    </row>
    <row r="9041" spans="1:7" x14ac:dyDescent="0.2">
      <c r="A9041" t="s">
        <v>2318</v>
      </c>
      <c r="B9041" t="s">
        <v>2319</v>
      </c>
      <c r="C9041" t="s">
        <v>2319</v>
      </c>
      <c r="D9041" t="s">
        <v>2319</v>
      </c>
      <c r="E9041" t="s">
        <v>2319</v>
      </c>
      <c r="F9041" t="s">
        <v>2319</v>
      </c>
      <c r="G9041" t="s">
        <v>2319</v>
      </c>
    </row>
    <row r="9042" spans="1:7" x14ac:dyDescent="0.2">
      <c r="A9042" t="s">
        <v>4265</v>
      </c>
      <c r="B9042">
        <v>0</v>
      </c>
      <c r="C9042">
        <v>0</v>
      </c>
      <c r="D9042">
        <v>0</v>
      </c>
      <c r="E9042">
        <v>0</v>
      </c>
      <c r="F9042">
        <v>0</v>
      </c>
      <c r="G9042">
        <v>0</v>
      </c>
    </row>
    <row r="9043" spans="1:7" x14ac:dyDescent="0.2">
      <c r="A9043" t="s">
        <v>4266</v>
      </c>
      <c r="B9043">
        <v>0</v>
      </c>
      <c r="C9043">
        <v>0</v>
      </c>
      <c r="D9043">
        <v>0</v>
      </c>
      <c r="E9043">
        <v>0</v>
      </c>
      <c r="F9043">
        <v>0</v>
      </c>
      <c r="G9043">
        <v>0</v>
      </c>
    </row>
    <row r="9044" spans="1:7" x14ac:dyDescent="0.2">
      <c r="A9044" t="s">
        <v>4267</v>
      </c>
      <c r="B9044">
        <v>5</v>
      </c>
      <c r="C9044">
        <v>0</v>
      </c>
      <c r="D9044">
        <v>0</v>
      </c>
      <c r="E9044">
        <v>0</v>
      </c>
      <c r="F9044">
        <v>0</v>
      </c>
      <c r="G9044">
        <v>6</v>
      </c>
    </row>
    <row r="9045" spans="1:7" x14ac:dyDescent="0.2">
      <c r="A9045" t="s">
        <v>4268</v>
      </c>
      <c r="B9045">
        <v>0</v>
      </c>
      <c r="C9045">
        <v>1</v>
      </c>
      <c r="D9045">
        <v>0</v>
      </c>
      <c r="E9045">
        <v>0</v>
      </c>
      <c r="F9045">
        <v>0</v>
      </c>
      <c r="G9045">
        <v>1</v>
      </c>
    </row>
    <row r="9046" spans="1:7" x14ac:dyDescent="0.2">
      <c r="A9046" t="s">
        <v>4269</v>
      </c>
      <c r="B9046">
        <v>6</v>
      </c>
      <c r="C9046">
        <v>0</v>
      </c>
      <c r="D9046">
        <v>0</v>
      </c>
      <c r="E9046">
        <v>0</v>
      </c>
      <c r="F9046">
        <v>0</v>
      </c>
      <c r="G9046">
        <v>7</v>
      </c>
    </row>
    <row r="9047" spans="1:7" x14ac:dyDescent="0.2">
      <c r="A9047" t="s">
        <v>4270</v>
      </c>
      <c r="B9047">
        <v>0</v>
      </c>
      <c r="C9047">
        <v>0</v>
      </c>
      <c r="D9047">
        <v>0</v>
      </c>
      <c r="E9047">
        <v>0</v>
      </c>
      <c r="F9047">
        <v>0</v>
      </c>
      <c r="G9047">
        <v>0</v>
      </c>
    </row>
    <row r="9048" spans="1:7" x14ac:dyDescent="0.2">
      <c r="A9048" t="s">
        <v>4271</v>
      </c>
      <c r="B9048">
        <v>1</v>
      </c>
      <c r="C9048">
        <v>0</v>
      </c>
      <c r="D9048">
        <v>0</v>
      </c>
      <c r="E9048">
        <v>0</v>
      </c>
      <c r="F9048">
        <v>0</v>
      </c>
      <c r="G9048">
        <v>2</v>
      </c>
    </row>
    <row r="9049" spans="1:7" x14ac:dyDescent="0.2">
      <c r="A9049" t="s">
        <v>4272</v>
      </c>
      <c r="B9049">
        <v>3</v>
      </c>
      <c r="C9049">
        <v>0</v>
      </c>
      <c r="D9049">
        <v>0</v>
      </c>
      <c r="E9049">
        <v>0</v>
      </c>
      <c r="F9049">
        <v>0</v>
      </c>
      <c r="G9049">
        <v>3</v>
      </c>
    </row>
    <row r="9050" spans="1:7" x14ac:dyDescent="0.2">
      <c r="A9050" t="s">
        <v>4273</v>
      </c>
      <c r="B9050">
        <v>0</v>
      </c>
      <c r="C9050">
        <v>0</v>
      </c>
      <c r="D9050">
        <v>0</v>
      </c>
      <c r="E9050">
        <v>0</v>
      </c>
      <c r="F9050">
        <v>0</v>
      </c>
      <c r="G9050">
        <v>0</v>
      </c>
    </row>
    <row r="9051" spans="1:7" x14ac:dyDescent="0.2">
      <c r="A9051" t="s">
        <v>4274</v>
      </c>
      <c r="B9051">
        <v>0</v>
      </c>
      <c r="C9051">
        <v>0</v>
      </c>
      <c r="D9051">
        <v>0</v>
      </c>
      <c r="E9051">
        <v>0</v>
      </c>
      <c r="F9051">
        <v>0</v>
      </c>
      <c r="G9051">
        <v>0</v>
      </c>
    </row>
    <row r="9052" spans="1:7" x14ac:dyDescent="0.2">
      <c r="A9052" t="s">
        <v>4275</v>
      </c>
      <c r="B9052">
        <v>0</v>
      </c>
      <c r="C9052">
        <v>0</v>
      </c>
      <c r="D9052">
        <v>0</v>
      </c>
      <c r="E9052">
        <v>0</v>
      </c>
      <c r="F9052">
        <v>0</v>
      </c>
      <c r="G9052">
        <v>0</v>
      </c>
    </row>
    <row r="9053" spans="1:7" x14ac:dyDescent="0.2">
      <c r="A9053" t="s">
        <v>4276</v>
      </c>
      <c r="B9053">
        <v>0</v>
      </c>
      <c r="C9053">
        <v>0</v>
      </c>
      <c r="D9053">
        <v>0</v>
      </c>
      <c r="E9053">
        <v>0</v>
      </c>
      <c r="F9053">
        <v>0</v>
      </c>
      <c r="G9053">
        <v>0</v>
      </c>
    </row>
    <row r="9054" spans="1:7" x14ac:dyDescent="0.2">
      <c r="A9054" t="s">
        <v>4277</v>
      </c>
      <c r="B9054">
        <v>0</v>
      </c>
      <c r="C9054">
        <v>0</v>
      </c>
      <c r="D9054">
        <v>0</v>
      </c>
      <c r="E9054">
        <v>0</v>
      </c>
      <c r="F9054">
        <v>0</v>
      </c>
      <c r="G9054">
        <v>0</v>
      </c>
    </row>
    <row r="9055" spans="1:7" x14ac:dyDescent="0.2">
      <c r="A9055" t="s">
        <v>4278</v>
      </c>
      <c r="B9055">
        <v>0</v>
      </c>
      <c r="C9055">
        <v>0</v>
      </c>
      <c r="D9055">
        <v>0</v>
      </c>
      <c r="E9055">
        <v>0</v>
      </c>
      <c r="F9055">
        <v>0</v>
      </c>
      <c r="G9055">
        <v>0</v>
      </c>
    </row>
    <row r="9056" spans="1:7" x14ac:dyDescent="0.2">
      <c r="A9056" t="s">
        <v>4279</v>
      </c>
      <c r="B9056">
        <v>6</v>
      </c>
      <c r="C9056">
        <v>2</v>
      </c>
      <c r="D9056">
        <v>2</v>
      </c>
      <c r="E9056">
        <v>0</v>
      </c>
      <c r="F9056">
        <v>0</v>
      </c>
      <c r="G9056">
        <v>10</v>
      </c>
    </row>
    <row r="9057" spans="1:7" x14ac:dyDescent="0.2">
      <c r="A9057" t="s">
        <v>4280</v>
      </c>
      <c r="B9057">
        <v>0</v>
      </c>
      <c r="C9057">
        <v>1</v>
      </c>
      <c r="D9057">
        <v>0</v>
      </c>
      <c r="E9057">
        <v>0</v>
      </c>
      <c r="F9057">
        <v>0</v>
      </c>
      <c r="G9057">
        <v>1</v>
      </c>
    </row>
    <row r="9058" spans="1:7" x14ac:dyDescent="0.2">
      <c r="A9058" t="s">
        <v>4281</v>
      </c>
      <c r="B9058">
        <v>70</v>
      </c>
      <c r="C9058">
        <v>89</v>
      </c>
      <c r="D9058">
        <v>138</v>
      </c>
      <c r="E9058">
        <v>84</v>
      </c>
      <c r="F9058">
        <v>0</v>
      </c>
      <c r="G9058">
        <v>381</v>
      </c>
    </row>
    <row r="9059" spans="1:7" x14ac:dyDescent="0.2">
      <c r="A9059" t="s">
        <v>4282</v>
      </c>
      <c r="B9059">
        <v>43</v>
      </c>
      <c r="C9059">
        <v>37</v>
      </c>
      <c r="D9059">
        <v>48</v>
      </c>
      <c r="E9059">
        <v>2</v>
      </c>
      <c r="F9059">
        <v>0</v>
      </c>
      <c r="G9059">
        <v>131</v>
      </c>
    </row>
    <row r="9060" spans="1:7" x14ac:dyDescent="0.2">
      <c r="A9060" t="s">
        <v>4283</v>
      </c>
      <c r="B9060">
        <v>42</v>
      </c>
      <c r="C9060">
        <v>41</v>
      </c>
      <c r="D9060">
        <v>25</v>
      </c>
      <c r="E9060">
        <v>27</v>
      </c>
      <c r="F9060">
        <v>0</v>
      </c>
      <c r="G9060">
        <v>134</v>
      </c>
    </row>
    <row r="9061" spans="1:7" x14ac:dyDescent="0.2">
      <c r="A9061" t="s">
        <v>4284</v>
      </c>
      <c r="B9061">
        <v>6</v>
      </c>
      <c r="C9061">
        <v>0</v>
      </c>
      <c r="D9061">
        <v>7</v>
      </c>
      <c r="E9061">
        <v>1</v>
      </c>
      <c r="F9061">
        <v>0</v>
      </c>
      <c r="G9061">
        <v>13</v>
      </c>
    </row>
    <row r="9062" spans="1:7" x14ac:dyDescent="0.2">
      <c r="A9062" t="s">
        <v>4285</v>
      </c>
      <c r="B9062">
        <v>32</v>
      </c>
      <c r="C9062">
        <v>46</v>
      </c>
      <c r="D9062">
        <v>52</v>
      </c>
      <c r="E9062">
        <v>36</v>
      </c>
      <c r="F9062">
        <v>0</v>
      </c>
      <c r="G9062">
        <v>167</v>
      </c>
    </row>
    <row r="9063" spans="1:7" x14ac:dyDescent="0.2">
      <c r="A9063" t="s">
        <v>4286</v>
      </c>
      <c r="B9063">
        <v>12</v>
      </c>
      <c r="C9063">
        <v>1</v>
      </c>
      <c r="D9063">
        <v>3</v>
      </c>
      <c r="E9063">
        <v>1</v>
      </c>
      <c r="F9063">
        <v>0</v>
      </c>
      <c r="G9063">
        <v>17</v>
      </c>
    </row>
    <row r="9064" spans="1:7" x14ac:dyDescent="0.2">
      <c r="A9064" t="s">
        <v>4287</v>
      </c>
      <c r="B9064">
        <v>0</v>
      </c>
      <c r="C9064">
        <v>0</v>
      </c>
      <c r="D9064">
        <v>0</v>
      </c>
      <c r="E9064">
        <v>461</v>
      </c>
      <c r="F9064">
        <v>0</v>
      </c>
      <c r="G9064">
        <v>461</v>
      </c>
    </row>
    <row r="9065" spans="1:7" x14ac:dyDescent="0.2">
      <c r="A9065" t="s">
        <v>4288</v>
      </c>
      <c r="B9065">
        <v>0</v>
      </c>
      <c r="C9065">
        <v>0</v>
      </c>
      <c r="D9065">
        <v>0</v>
      </c>
      <c r="E9065">
        <v>0</v>
      </c>
      <c r="F9065">
        <v>51</v>
      </c>
      <c r="G9065">
        <v>51</v>
      </c>
    </row>
    <row r="9066" spans="1:7" x14ac:dyDescent="0.2">
      <c r="A9066" t="s">
        <v>4289</v>
      </c>
      <c r="B9066">
        <v>0</v>
      </c>
      <c r="C9066">
        <v>0</v>
      </c>
      <c r="D9066">
        <v>0</v>
      </c>
      <c r="E9066">
        <v>0</v>
      </c>
      <c r="F9066">
        <v>3890</v>
      </c>
      <c r="G9066">
        <v>3890</v>
      </c>
    </row>
    <row r="9067" spans="1:7" x14ac:dyDescent="0.2">
      <c r="A9067" t="s">
        <v>4290</v>
      </c>
      <c r="B9067">
        <v>0</v>
      </c>
      <c r="C9067">
        <v>0</v>
      </c>
      <c r="D9067">
        <v>0</v>
      </c>
      <c r="E9067">
        <v>0</v>
      </c>
      <c r="F9067">
        <v>0</v>
      </c>
      <c r="G9067">
        <v>0</v>
      </c>
    </row>
    <row r="9068" spans="1:7" x14ac:dyDescent="0.2">
      <c r="A9068" t="s">
        <v>4291</v>
      </c>
      <c r="B9068">
        <v>0</v>
      </c>
      <c r="C9068">
        <v>0</v>
      </c>
      <c r="D9068">
        <v>0</v>
      </c>
      <c r="E9068">
        <v>0</v>
      </c>
      <c r="F9068">
        <v>0</v>
      </c>
      <c r="G9068">
        <v>0</v>
      </c>
    </row>
    <row r="9069" spans="1:7" x14ac:dyDescent="0.2">
      <c r="A9069" t="s">
        <v>4292</v>
      </c>
      <c r="B9069">
        <v>0</v>
      </c>
      <c r="C9069">
        <v>0</v>
      </c>
      <c r="D9069">
        <v>0</v>
      </c>
      <c r="E9069">
        <v>0</v>
      </c>
      <c r="F9069">
        <v>0</v>
      </c>
      <c r="G9069">
        <v>0</v>
      </c>
    </row>
    <row r="9070" spans="1:7" x14ac:dyDescent="0.2">
      <c r="A9070" t="s">
        <v>4293</v>
      </c>
      <c r="B9070">
        <v>0</v>
      </c>
      <c r="C9070">
        <v>0</v>
      </c>
      <c r="D9070">
        <v>0</v>
      </c>
      <c r="E9070">
        <v>0</v>
      </c>
      <c r="F9070">
        <v>265</v>
      </c>
      <c r="G9070">
        <v>265</v>
      </c>
    </row>
    <row r="9071" spans="1:7" x14ac:dyDescent="0.2">
      <c r="A9071" t="s">
        <v>4294</v>
      </c>
      <c r="B9071">
        <v>0</v>
      </c>
      <c r="C9071">
        <v>0</v>
      </c>
      <c r="D9071">
        <v>0</v>
      </c>
      <c r="E9071">
        <v>0</v>
      </c>
      <c r="F9071">
        <v>0</v>
      </c>
      <c r="G9071">
        <v>0</v>
      </c>
    </row>
    <row r="9072" spans="1:7" x14ac:dyDescent="0.2">
      <c r="A9072" t="s">
        <v>4295</v>
      </c>
      <c r="B9072">
        <v>0</v>
      </c>
      <c r="C9072">
        <v>0</v>
      </c>
      <c r="D9072">
        <v>0</v>
      </c>
      <c r="E9072">
        <v>0</v>
      </c>
      <c r="F9072">
        <v>0</v>
      </c>
      <c r="G9072">
        <v>0</v>
      </c>
    </row>
    <row r="9073" spans="1:7" x14ac:dyDescent="0.2">
      <c r="A9073" t="s">
        <v>4296</v>
      </c>
      <c r="B9073">
        <v>0</v>
      </c>
      <c r="C9073">
        <v>0</v>
      </c>
      <c r="D9073">
        <v>0</v>
      </c>
      <c r="E9073">
        <v>0</v>
      </c>
      <c r="F9073">
        <v>0</v>
      </c>
      <c r="G9073">
        <v>0</v>
      </c>
    </row>
    <row r="9074" spans="1:7" x14ac:dyDescent="0.2">
      <c r="A9074" t="s">
        <v>4297</v>
      </c>
      <c r="B9074">
        <v>11</v>
      </c>
      <c r="C9074">
        <v>46</v>
      </c>
      <c r="D9074">
        <v>232</v>
      </c>
      <c r="E9074">
        <v>67</v>
      </c>
      <c r="F9074">
        <v>0</v>
      </c>
      <c r="G9074">
        <v>356</v>
      </c>
    </row>
    <row r="9075" spans="1:7" x14ac:dyDescent="0.2">
      <c r="A9075" t="s">
        <v>4298</v>
      </c>
      <c r="B9075">
        <v>10</v>
      </c>
      <c r="C9075">
        <v>11</v>
      </c>
      <c r="D9075">
        <v>14</v>
      </c>
      <c r="E9075">
        <v>95</v>
      </c>
      <c r="F9075">
        <v>0</v>
      </c>
      <c r="G9075">
        <v>130</v>
      </c>
    </row>
    <row r="9076" spans="1:7" x14ac:dyDescent="0.2">
      <c r="A9076" t="s">
        <v>4299</v>
      </c>
      <c r="B9076">
        <v>3</v>
      </c>
      <c r="C9076">
        <v>6</v>
      </c>
      <c r="D9076">
        <v>22</v>
      </c>
      <c r="E9076">
        <v>28</v>
      </c>
      <c r="F9076">
        <v>0</v>
      </c>
      <c r="G9076">
        <v>59</v>
      </c>
    </row>
    <row r="9077" spans="1:7" x14ac:dyDescent="0.2">
      <c r="A9077" t="s">
        <v>4300</v>
      </c>
      <c r="B9077">
        <v>0</v>
      </c>
      <c r="C9077">
        <v>0</v>
      </c>
      <c r="D9077">
        <v>2</v>
      </c>
      <c r="E9077">
        <v>2</v>
      </c>
      <c r="F9077">
        <v>0</v>
      </c>
      <c r="G9077">
        <v>4</v>
      </c>
    </row>
    <row r="9078" spans="1:7" x14ac:dyDescent="0.2">
      <c r="A9078" t="s">
        <v>4301</v>
      </c>
      <c r="B9078">
        <v>0</v>
      </c>
      <c r="C9078">
        <v>30</v>
      </c>
      <c r="D9078">
        <v>112</v>
      </c>
      <c r="E9078">
        <v>70</v>
      </c>
      <c r="F9078">
        <v>0</v>
      </c>
      <c r="G9078">
        <v>212</v>
      </c>
    </row>
    <row r="9079" spans="1:7" x14ac:dyDescent="0.2">
      <c r="A9079" t="s">
        <v>4302</v>
      </c>
      <c r="B9079">
        <v>1</v>
      </c>
      <c r="C9079">
        <v>8</v>
      </c>
      <c r="D9079">
        <v>21</v>
      </c>
      <c r="E9079">
        <v>10</v>
      </c>
      <c r="F9079">
        <v>0</v>
      </c>
      <c r="G9079">
        <v>40</v>
      </c>
    </row>
    <row r="9080" spans="1:7" x14ac:dyDescent="0.2">
      <c r="A9080" t="s">
        <v>4303</v>
      </c>
      <c r="B9080">
        <v>1</v>
      </c>
      <c r="C9080">
        <v>23</v>
      </c>
      <c r="D9080">
        <v>83</v>
      </c>
      <c r="E9080">
        <v>26</v>
      </c>
      <c r="F9080">
        <v>0</v>
      </c>
      <c r="G9080">
        <v>134</v>
      </c>
    </row>
    <row r="9081" spans="1:7" x14ac:dyDescent="0.2">
      <c r="A9081" t="s">
        <v>4304</v>
      </c>
      <c r="B9081">
        <v>1</v>
      </c>
      <c r="C9081">
        <v>1</v>
      </c>
      <c r="D9081">
        <v>7</v>
      </c>
      <c r="E9081">
        <v>0</v>
      </c>
      <c r="F9081">
        <v>0</v>
      </c>
      <c r="G9081">
        <v>9</v>
      </c>
    </row>
    <row r="9082" spans="1:7" x14ac:dyDescent="0.2">
      <c r="A9082" t="s">
        <v>4305</v>
      </c>
      <c r="B9082">
        <v>2</v>
      </c>
      <c r="C9082">
        <v>5</v>
      </c>
      <c r="D9082">
        <v>8</v>
      </c>
      <c r="E9082">
        <v>4</v>
      </c>
      <c r="F9082">
        <v>0</v>
      </c>
      <c r="G9082">
        <v>19</v>
      </c>
    </row>
    <row r="9083" spans="1:7" x14ac:dyDescent="0.2">
      <c r="A9083" t="s">
        <v>4306</v>
      </c>
      <c r="B9083">
        <v>0</v>
      </c>
      <c r="C9083">
        <v>1</v>
      </c>
      <c r="D9083">
        <v>1</v>
      </c>
      <c r="E9083">
        <v>1</v>
      </c>
      <c r="F9083">
        <v>0</v>
      </c>
      <c r="G9083">
        <v>4</v>
      </c>
    </row>
    <row r="9084" spans="1:7" x14ac:dyDescent="0.2">
      <c r="A9084" t="s">
        <v>4307</v>
      </c>
      <c r="B9084">
        <v>1</v>
      </c>
      <c r="C9084">
        <v>12</v>
      </c>
      <c r="D9084">
        <v>94</v>
      </c>
      <c r="E9084">
        <v>67</v>
      </c>
      <c r="F9084">
        <v>0</v>
      </c>
      <c r="G9084">
        <v>174</v>
      </c>
    </row>
    <row r="9085" spans="1:7" x14ac:dyDescent="0.2">
      <c r="A9085" t="s">
        <v>4308</v>
      </c>
      <c r="B9085">
        <v>0</v>
      </c>
      <c r="C9085">
        <v>0</v>
      </c>
      <c r="D9085">
        <v>0</v>
      </c>
      <c r="E9085">
        <v>0</v>
      </c>
      <c r="F9085">
        <v>0</v>
      </c>
      <c r="G9085">
        <v>0</v>
      </c>
    </row>
    <row r="9086" spans="1:7" x14ac:dyDescent="0.2">
      <c r="A9086" t="s">
        <v>4309</v>
      </c>
      <c r="B9086">
        <v>0</v>
      </c>
      <c r="C9086">
        <v>0</v>
      </c>
      <c r="D9086">
        <v>0</v>
      </c>
      <c r="E9086">
        <v>0</v>
      </c>
      <c r="F9086">
        <v>0</v>
      </c>
      <c r="G9086">
        <v>0</v>
      </c>
    </row>
    <row r="9087" spans="1:7" x14ac:dyDescent="0.2">
      <c r="A9087" t="s">
        <v>4310</v>
      </c>
      <c r="B9087">
        <v>0</v>
      </c>
      <c r="C9087">
        <v>0</v>
      </c>
      <c r="D9087">
        <v>0</v>
      </c>
      <c r="E9087">
        <v>0</v>
      </c>
      <c r="F9087">
        <v>0</v>
      </c>
      <c r="G9087">
        <v>0</v>
      </c>
    </row>
    <row r="9088" spans="1:7" x14ac:dyDescent="0.2">
      <c r="A9088" t="s">
        <v>4311</v>
      </c>
      <c r="B9088">
        <v>0</v>
      </c>
      <c r="C9088">
        <v>0</v>
      </c>
      <c r="D9088">
        <v>0</v>
      </c>
      <c r="E9088">
        <v>6</v>
      </c>
      <c r="F9088">
        <v>0</v>
      </c>
      <c r="G9088">
        <v>6</v>
      </c>
    </row>
    <row r="9089" spans="1:7" x14ac:dyDescent="0.2">
      <c r="A9089" t="s">
        <v>4312</v>
      </c>
      <c r="B9089">
        <v>0</v>
      </c>
      <c r="C9089">
        <v>0</v>
      </c>
      <c r="D9089">
        <v>0</v>
      </c>
      <c r="E9089">
        <v>4</v>
      </c>
      <c r="F9089">
        <v>0</v>
      </c>
      <c r="G9089">
        <v>4</v>
      </c>
    </row>
    <row r="9090" spans="1:7" x14ac:dyDescent="0.2">
      <c r="A9090" t="s">
        <v>4313</v>
      </c>
      <c r="B9090">
        <v>0</v>
      </c>
      <c r="C9090">
        <v>0</v>
      </c>
      <c r="D9090">
        <v>0</v>
      </c>
      <c r="E9090">
        <v>0</v>
      </c>
      <c r="F9090">
        <v>0</v>
      </c>
      <c r="G9090">
        <v>0</v>
      </c>
    </row>
    <row r="9091" spans="1:7" x14ac:dyDescent="0.2">
      <c r="A9091" t="s">
        <v>4314</v>
      </c>
      <c r="B9091">
        <v>0</v>
      </c>
      <c r="C9091">
        <v>0</v>
      </c>
      <c r="D9091">
        <v>0</v>
      </c>
      <c r="E9091">
        <v>0</v>
      </c>
      <c r="F9091">
        <v>0</v>
      </c>
      <c r="G9091">
        <v>0</v>
      </c>
    </row>
    <row r="9092" spans="1:7" x14ac:dyDescent="0.2">
      <c r="A9092" t="s">
        <v>4315</v>
      </c>
      <c r="B9092">
        <v>0</v>
      </c>
      <c r="C9092">
        <v>0</v>
      </c>
      <c r="D9092">
        <v>0</v>
      </c>
      <c r="E9092">
        <v>0</v>
      </c>
      <c r="F9092">
        <v>0</v>
      </c>
      <c r="G9092">
        <v>0</v>
      </c>
    </row>
    <row r="9093" spans="1:7" x14ac:dyDescent="0.2">
      <c r="A9093" t="s">
        <v>4316</v>
      </c>
      <c r="B9093">
        <v>0</v>
      </c>
      <c r="C9093">
        <v>0</v>
      </c>
      <c r="D9093">
        <v>0</v>
      </c>
      <c r="E9093">
        <v>0</v>
      </c>
      <c r="F9093">
        <v>0</v>
      </c>
      <c r="G9093">
        <v>0</v>
      </c>
    </row>
    <row r="9094" spans="1:7" x14ac:dyDescent="0.2">
      <c r="A9094" t="s">
        <v>4317</v>
      </c>
      <c r="B9094">
        <v>0</v>
      </c>
      <c r="C9094">
        <v>0</v>
      </c>
      <c r="D9094">
        <v>0</v>
      </c>
      <c r="E9094">
        <v>0</v>
      </c>
      <c r="F9094">
        <v>0</v>
      </c>
      <c r="G9094">
        <v>0</v>
      </c>
    </row>
    <row r="9095" spans="1:7" x14ac:dyDescent="0.2">
      <c r="A9095" t="s">
        <v>4318</v>
      </c>
      <c r="B9095">
        <v>0</v>
      </c>
      <c r="C9095">
        <v>0</v>
      </c>
      <c r="D9095">
        <v>0</v>
      </c>
      <c r="E9095">
        <v>0</v>
      </c>
      <c r="F9095">
        <v>0</v>
      </c>
      <c r="G9095">
        <v>0</v>
      </c>
    </row>
    <row r="9096" spans="1:7" x14ac:dyDescent="0.2">
      <c r="A9096" t="s">
        <v>4319</v>
      </c>
      <c r="B9096">
        <v>0</v>
      </c>
      <c r="C9096">
        <v>0</v>
      </c>
      <c r="D9096">
        <v>0</v>
      </c>
      <c r="E9096">
        <v>0</v>
      </c>
      <c r="F9096">
        <v>0</v>
      </c>
      <c r="G9096">
        <v>0</v>
      </c>
    </row>
    <row r="9097" spans="1:7" x14ac:dyDescent="0.2">
      <c r="A9097" t="s">
        <v>4320</v>
      </c>
      <c r="B9097">
        <v>0</v>
      </c>
      <c r="C9097">
        <v>0</v>
      </c>
      <c r="D9097">
        <v>0</v>
      </c>
      <c r="E9097">
        <v>0</v>
      </c>
      <c r="F9097">
        <v>0</v>
      </c>
      <c r="G9097">
        <v>0</v>
      </c>
    </row>
    <row r="9098" spans="1:7" x14ac:dyDescent="0.2">
      <c r="A9098" t="s">
        <v>4321</v>
      </c>
      <c r="B9098">
        <v>0</v>
      </c>
      <c r="C9098">
        <v>0</v>
      </c>
      <c r="D9098">
        <v>0</v>
      </c>
      <c r="E9098">
        <v>0</v>
      </c>
      <c r="F9098">
        <v>0</v>
      </c>
      <c r="G9098">
        <v>0</v>
      </c>
    </row>
    <row r="9099" spans="1:7" x14ac:dyDescent="0.2">
      <c r="A9099" t="s">
        <v>4322</v>
      </c>
      <c r="B9099">
        <v>0</v>
      </c>
      <c r="C9099">
        <v>0</v>
      </c>
      <c r="D9099">
        <v>0</v>
      </c>
      <c r="E9099">
        <v>0</v>
      </c>
      <c r="F9099">
        <v>0</v>
      </c>
      <c r="G9099">
        <v>0</v>
      </c>
    </row>
    <row r="9100" spans="1:7" x14ac:dyDescent="0.2">
      <c r="A9100" t="s">
        <v>4323</v>
      </c>
      <c r="B9100">
        <v>0</v>
      </c>
      <c r="C9100">
        <v>0</v>
      </c>
      <c r="D9100">
        <v>0</v>
      </c>
      <c r="E9100">
        <v>0</v>
      </c>
      <c r="F9100">
        <v>0</v>
      </c>
      <c r="G9100">
        <v>0</v>
      </c>
    </row>
    <row r="9101" spans="1:7" x14ac:dyDescent="0.2">
      <c r="A9101" t="s">
        <v>4324</v>
      </c>
      <c r="B9101">
        <v>0</v>
      </c>
      <c r="C9101">
        <v>0</v>
      </c>
      <c r="D9101">
        <v>0</v>
      </c>
      <c r="E9101">
        <v>0</v>
      </c>
      <c r="F9101">
        <v>0</v>
      </c>
      <c r="G9101">
        <v>0</v>
      </c>
    </row>
    <row r="9102" spans="1:7" x14ac:dyDescent="0.2">
      <c r="A9102" t="s">
        <v>4325</v>
      </c>
      <c r="B9102">
        <v>0</v>
      </c>
      <c r="C9102">
        <v>0</v>
      </c>
      <c r="D9102">
        <v>0</v>
      </c>
      <c r="E9102">
        <v>0</v>
      </c>
      <c r="F9102">
        <v>0</v>
      </c>
      <c r="G9102">
        <v>0</v>
      </c>
    </row>
    <row r="9103" spans="1:7" x14ac:dyDescent="0.2">
      <c r="A9103" t="s">
        <v>4326</v>
      </c>
      <c r="B9103">
        <v>0</v>
      </c>
      <c r="C9103">
        <v>0</v>
      </c>
      <c r="D9103">
        <v>0</v>
      </c>
      <c r="E9103">
        <v>0</v>
      </c>
      <c r="F9103">
        <v>0</v>
      </c>
      <c r="G9103">
        <v>0</v>
      </c>
    </row>
    <row r="9104" spans="1:7" x14ac:dyDescent="0.2">
      <c r="A9104" t="s">
        <v>4327</v>
      </c>
      <c r="B9104">
        <v>0</v>
      </c>
      <c r="C9104">
        <v>0</v>
      </c>
      <c r="D9104">
        <v>0</v>
      </c>
      <c r="E9104">
        <v>0</v>
      </c>
      <c r="F9104">
        <v>0</v>
      </c>
      <c r="G9104">
        <v>0</v>
      </c>
    </row>
    <row r="9105" spans="1:7" x14ac:dyDescent="0.2">
      <c r="A9105" t="s">
        <v>4328</v>
      </c>
      <c r="B9105">
        <v>0</v>
      </c>
      <c r="C9105">
        <v>0</v>
      </c>
      <c r="D9105">
        <v>0</v>
      </c>
      <c r="E9105">
        <v>0</v>
      </c>
      <c r="F9105">
        <v>0</v>
      </c>
      <c r="G9105">
        <v>0</v>
      </c>
    </row>
    <row r="9106" spans="1:7" x14ac:dyDescent="0.2">
      <c r="A9106" t="s">
        <v>4329</v>
      </c>
      <c r="B9106">
        <v>0</v>
      </c>
      <c r="C9106">
        <v>0</v>
      </c>
      <c r="D9106">
        <v>0</v>
      </c>
      <c r="E9106">
        <v>0</v>
      </c>
      <c r="F9106">
        <v>0</v>
      </c>
      <c r="G9106">
        <v>0</v>
      </c>
    </row>
    <row r="9107" spans="1:7" x14ac:dyDescent="0.2">
      <c r="A9107" t="s">
        <v>4330</v>
      </c>
      <c r="B9107">
        <v>0</v>
      </c>
      <c r="C9107">
        <v>0</v>
      </c>
      <c r="D9107">
        <v>0</v>
      </c>
      <c r="E9107">
        <v>0</v>
      </c>
      <c r="F9107">
        <v>0</v>
      </c>
      <c r="G9107">
        <v>0</v>
      </c>
    </row>
    <row r="9108" spans="1:7" x14ac:dyDescent="0.2">
      <c r="A9108" t="s">
        <v>4331</v>
      </c>
      <c r="B9108">
        <v>0</v>
      </c>
      <c r="C9108">
        <v>0</v>
      </c>
      <c r="D9108">
        <v>0</v>
      </c>
      <c r="E9108">
        <v>0</v>
      </c>
      <c r="F9108">
        <v>0</v>
      </c>
      <c r="G9108">
        <v>0</v>
      </c>
    </row>
    <row r="9109" spans="1:7" x14ac:dyDescent="0.2">
      <c r="A9109" t="s">
        <v>4332</v>
      </c>
      <c r="B9109">
        <v>0</v>
      </c>
      <c r="C9109">
        <v>0</v>
      </c>
      <c r="D9109">
        <v>0</v>
      </c>
      <c r="E9109">
        <v>0</v>
      </c>
      <c r="F9109">
        <v>0</v>
      </c>
      <c r="G9109">
        <v>0</v>
      </c>
    </row>
    <row r="9110" spans="1:7" x14ac:dyDescent="0.2">
      <c r="A9110" t="s">
        <v>4333</v>
      </c>
      <c r="B9110">
        <v>0</v>
      </c>
      <c r="C9110">
        <v>0</v>
      </c>
      <c r="D9110">
        <v>0</v>
      </c>
      <c r="E9110">
        <v>0</v>
      </c>
      <c r="F9110">
        <v>0</v>
      </c>
      <c r="G9110">
        <v>0</v>
      </c>
    </row>
    <row r="9111" spans="1:7" x14ac:dyDescent="0.2">
      <c r="A9111" t="s">
        <v>4334</v>
      </c>
      <c r="B9111">
        <v>0</v>
      </c>
      <c r="C9111">
        <v>0</v>
      </c>
      <c r="D9111">
        <v>0</v>
      </c>
      <c r="E9111">
        <v>0</v>
      </c>
      <c r="F9111">
        <v>0</v>
      </c>
      <c r="G9111">
        <v>0</v>
      </c>
    </row>
    <row r="9112" spans="1:7" x14ac:dyDescent="0.2">
      <c r="A9112" t="s">
        <v>4335</v>
      </c>
      <c r="B9112">
        <v>0</v>
      </c>
      <c r="C9112">
        <v>0</v>
      </c>
      <c r="D9112">
        <v>0</v>
      </c>
      <c r="E9112">
        <v>0</v>
      </c>
      <c r="F9112">
        <v>0</v>
      </c>
      <c r="G9112">
        <v>0</v>
      </c>
    </row>
    <row r="9113" spans="1:7" x14ac:dyDescent="0.2">
      <c r="A9113" t="s">
        <v>4336</v>
      </c>
      <c r="B9113">
        <v>0</v>
      </c>
      <c r="C9113">
        <v>0</v>
      </c>
      <c r="D9113">
        <v>0</v>
      </c>
      <c r="E9113">
        <v>0</v>
      </c>
      <c r="F9113">
        <v>0</v>
      </c>
      <c r="G9113">
        <v>0</v>
      </c>
    </row>
    <row r="9114" spans="1:7" x14ac:dyDescent="0.2">
      <c r="A9114" t="s">
        <v>4337</v>
      </c>
      <c r="B9114">
        <v>0</v>
      </c>
      <c r="C9114">
        <v>0</v>
      </c>
      <c r="D9114">
        <v>0</v>
      </c>
      <c r="E9114">
        <v>0</v>
      </c>
      <c r="F9114">
        <v>0</v>
      </c>
      <c r="G9114">
        <v>0</v>
      </c>
    </row>
    <row r="9115" spans="1:7" x14ac:dyDescent="0.2">
      <c r="A9115" t="s">
        <v>4338</v>
      </c>
      <c r="B9115">
        <v>0</v>
      </c>
      <c r="C9115">
        <v>0</v>
      </c>
      <c r="D9115">
        <v>0</v>
      </c>
      <c r="E9115">
        <v>0</v>
      </c>
      <c r="F9115">
        <v>0</v>
      </c>
      <c r="G9115">
        <v>0</v>
      </c>
    </row>
    <row r="9116" spans="1:7" x14ac:dyDescent="0.2">
      <c r="A9116" t="s">
        <v>4339</v>
      </c>
      <c r="B9116">
        <v>0</v>
      </c>
      <c r="C9116">
        <v>0</v>
      </c>
      <c r="D9116">
        <v>0</v>
      </c>
      <c r="E9116">
        <v>0</v>
      </c>
      <c r="F9116">
        <v>0</v>
      </c>
      <c r="G9116">
        <v>0</v>
      </c>
    </row>
    <row r="9117" spans="1:7" x14ac:dyDescent="0.2">
      <c r="A9117" t="s">
        <v>4340</v>
      </c>
      <c r="B9117">
        <v>0</v>
      </c>
      <c r="C9117">
        <v>0</v>
      </c>
      <c r="D9117">
        <v>0</v>
      </c>
      <c r="E9117">
        <v>0</v>
      </c>
      <c r="F9117">
        <v>0</v>
      </c>
      <c r="G9117">
        <v>0</v>
      </c>
    </row>
    <row r="9118" spans="1:7" x14ac:dyDescent="0.2">
      <c r="A9118" t="s">
        <v>4341</v>
      </c>
      <c r="B9118">
        <v>0</v>
      </c>
      <c r="C9118">
        <v>0</v>
      </c>
      <c r="D9118">
        <v>0</v>
      </c>
      <c r="E9118">
        <v>0</v>
      </c>
      <c r="F9118">
        <v>0</v>
      </c>
      <c r="G9118">
        <v>0</v>
      </c>
    </row>
    <row r="9119" spans="1:7" x14ac:dyDescent="0.2">
      <c r="A9119" t="s">
        <v>4342</v>
      </c>
      <c r="B9119">
        <v>0</v>
      </c>
      <c r="C9119">
        <v>0</v>
      </c>
      <c r="D9119">
        <v>0</v>
      </c>
      <c r="E9119">
        <v>0</v>
      </c>
      <c r="F9119">
        <v>0</v>
      </c>
      <c r="G9119">
        <v>0</v>
      </c>
    </row>
    <row r="9120" spans="1:7" x14ac:dyDescent="0.2">
      <c r="A9120" t="s">
        <v>4343</v>
      </c>
      <c r="B9120">
        <v>0</v>
      </c>
      <c r="C9120">
        <v>0</v>
      </c>
      <c r="D9120">
        <v>0</v>
      </c>
      <c r="E9120">
        <v>0</v>
      </c>
      <c r="F9120">
        <v>0</v>
      </c>
      <c r="G9120">
        <v>0</v>
      </c>
    </row>
    <row r="9121" spans="1:7" x14ac:dyDescent="0.2">
      <c r="A9121" t="s">
        <v>1728</v>
      </c>
      <c r="B9121">
        <v>0</v>
      </c>
      <c r="C9121">
        <v>0</v>
      </c>
      <c r="D9121">
        <v>0</v>
      </c>
      <c r="E9121">
        <v>0</v>
      </c>
      <c r="F9121">
        <v>0</v>
      </c>
      <c r="G9121">
        <v>0</v>
      </c>
    </row>
    <row r="9122" spans="1:7" x14ac:dyDescent="0.2">
      <c r="A9122" t="s">
        <v>1730</v>
      </c>
      <c r="B9122">
        <v>0</v>
      </c>
      <c r="C9122">
        <v>0</v>
      </c>
      <c r="D9122">
        <v>0</v>
      </c>
      <c r="E9122">
        <v>0</v>
      </c>
      <c r="F9122">
        <v>0</v>
      </c>
      <c r="G9122">
        <v>0</v>
      </c>
    </row>
    <row r="9123" spans="1:7" x14ac:dyDescent="0.2">
      <c r="A9123" t="s">
        <v>1733</v>
      </c>
      <c r="B9123">
        <v>0</v>
      </c>
      <c r="C9123">
        <v>0</v>
      </c>
      <c r="D9123">
        <v>0</v>
      </c>
      <c r="E9123">
        <v>0</v>
      </c>
      <c r="F9123">
        <v>0</v>
      </c>
      <c r="G9123">
        <v>0</v>
      </c>
    </row>
    <row r="9124" spans="1:7" x14ac:dyDescent="0.2">
      <c r="A9124" t="s">
        <v>1738</v>
      </c>
      <c r="B9124">
        <v>0</v>
      </c>
      <c r="C9124">
        <v>0</v>
      </c>
      <c r="D9124">
        <v>0</v>
      </c>
      <c r="E9124">
        <v>0</v>
      </c>
      <c r="F9124">
        <v>0</v>
      </c>
      <c r="G9124">
        <v>0</v>
      </c>
    </row>
    <row r="9125" spans="1:7" x14ac:dyDescent="0.2">
      <c r="A9125" t="s">
        <v>1744</v>
      </c>
      <c r="B9125">
        <v>0</v>
      </c>
      <c r="C9125">
        <v>0</v>
      </c>
      <c r="D9125">
        <v>0</v>
      </c>
      <c r="E9125">
        <v>0</v>
      </c>
      <c r="F9125">
        <v>0</v>
      </c>
      <c r="G9125">
        <v>0</v>
      </c>
    </row>
    <row r="9126" spans="1:7" x14ac:dyDescent="0.2">
      <c r="A9126" t="s">
        <v>1747</v>
      </c>
      <c r="B9126">
        <v>0</v>
      </c>
      <c r="C9126">
        <v>0</v>
      </c>
      <c r="D9126">
        <v>0</v>
      </c>
      <c r="E9126">
        <v>0</v>
      </c>
      <c r="F9126">
        <v>0</v>
      </c>
      <c r="G9126">
        <v>0</v>
      </c>
    </row>
    <row r="9127" spans="1:7" x14ac:dyDescent="0.2">
      <c r="A9127" t="s">
        <v>1751</v>
      </c>
      <c r="B9127">
        <v>0</v>
      </c>
      <c r="C9127">
        <v>0</v>
      </c>
      <c r="D9127">
        <v>0</v>
      </c>
      <c r="E9127">
        <v>0</v>
      </c>
      <c r="F9127">
        <v>0</v>
      </c>
      <c r="G9127">
        <v>0</v>
      </c>
    </row>
    <row r="9128" spans="1:7" x14ac:dyDescent="0.2">
      <c r="A9128" t="s">
        <v>1755</v>
      </c>
      <c r="B9128">
        <v>0</v>
      </c>
      <c r="C9128">
        <v>0</v>
      </c>
      <c r="D9128">
        <v>0</v>
      </c>
      <c r="E9128">
        <v>0</v>
      </c>
      <c r="F9128">
        <v>0</v>
      </c>
      <c r="G9128">
        <v>0</v>
      </c>
    </row>
    <row r="9129" spans="1:7" x14ac:dyDescent="0.2">
      <c r="A9129" t="s">
        <v>1757</v>
      </c>
      <c r="B9129">
        <v>0</v>
      </c>
      <c r="C9129">
        <v>0</v>
      </c>
      <c r="D9129">
        <v>0</v>
      </c>
      <c r="E9129">
        <v>0</v>
      </c>
      <c r="F9129">
        <v>0</v>
      </c>
      <c r="G9129">
        <v>0</v>
      </c>
    </row>
    <row r="9130" spans="1:7" x14ac:dyDescent="0.2">
      <c r="A9130" t="s">
        <v>1761</v>
      </c>
      <c r="B9130">
        <v>0</v>
      </c>
      <c r="C9130">
        <v>0</v>
      </c>
      <c r="D9130">
        <v>0</v>
      </c>
      <c r="E9130">
        <v>0</v>
      </c>
      <c r="F9130">
        <v>0</v>
      </c>
      <c r="G9130">
        <v>0</v>
      </c>
    </row>
    <row r="9131" spans="1:7" x14ac:dyDescent="0.2">
      <c r="A9131" t="s">
        <v>1764</v>
      </c>
      <c r="B9131">
        <v>0</v>
      </c>
      <c r="C9131">
        <v>0</v>
      </c>
      <c r="D9131">
        <v>0</v>
      </c>
      <c r="E9131">
        <v>0</v>
      </c>
      <c r="F9131">
        <v>0</v>
      </c>
      <c r="G9131">
        <v>0</v>
      </c>
    </row>
    <row r="9132" spans="1:7" x14ac:dyDescent="0.2">
      <c r="A9132" t="s">
        <v>1770</v>
      </c>
      <c r="B9132">
        <v>0</v>
      </c>
      <c r="C9132">
        <v>0</v>
      </c>
      <c r="D9132">
        <v>2</v>
      </c>
      <c r="E9132">
        <v>2</v>
      </c>
      <c r="F9132">
        <v>0</v>
      </c>
      <c r="G9132">
        <v>3</v>
      </c>
    </row>
    <row r="9133" spans="1:7" x14ac:dyDescent="0.2">
      <c r="A9133" t="s">
        <v>1772</v>
      </c>
      <c r="B9133">
        <v>0</v>
      </c>
      <c r="C9133">
        <v>0</v>
      </c>
      <c r="D9133">
        <v>0</v>
      </c>
      <c r="E9133">
        <v>1</v>
      </c>
      <c r="F9133">
        <v>0</v>
      </c>
      <c r="G9133">
        <v>1</v>
      </c>
    </row>
    <row r="9134" spans="1:7" x14ac:dyDescent="0.2">
      <c r="A9134" t="s">
        <v>1774</v>
      </c>
      <c r="B9134">
        <v>0</v>
      </c>
      <c r="C9134">
        <v>0</v>
      </c>
      <c r="D9134">
        <v>0</v>
      </c>
      <c r="E9134">
        <v>0</v>
      </c>
      <c r="F9134">
        <v>0</v>
      </c>
      <c r="G9134">
        <v>0</v>
      </c>
    </row>
    <row r="9135" spans="1:7" x14ac:dyDescent="0.2">
      <c r="A9135" t="s">
        <v>1777</v>
      </c>
      <c r="B9135">
        <v>0</v>
      </c>
      <c r="C9135">
        <v>0</v>
      </c>
      <c r="D9135">
        <v>0</v>
      </c>
      <c r="E9135">
        <v>0</v>
      </c>
      <c r="F9135">
        <v>0</v>
      </c>
      <c r="G9135">
        <v>0</v>
      </c>
    </row>
    <row r="9136" spans="1:7" x14ac:dyDescent="0.2">
      <c r="A9136" t="s">
        <v>1782</v>
      </c>
      <c r="B9136">
        <v>0</v>
      </c>
      <c r="C9136">
        <v>0</v>
      </c>
      <c r="D9136">
        <v>0</v>
      </c>
      <c r="E9136">
        <v>0</v>
      </c>
      <c r="F9136">
        <v>0</v>
      </c>
      <c r="G9136">
        <v>0</v>
      </c>
    </row>
    <row r="9137" spans="1:7" x14ac:dyDescent="0.2">
      <c r="A9137" t="s">
        <v>1274</v>
      </c>
      <c r="B9137">
        <v>0</v>
      </c>
      <c r="C9137">
        <v>0</v>
      </c>
      <c r="D9137">
        <v>0</v>
      </c>
      <c r="E9137">
        <v>0</v>
      </c>
      <c r="F9137">
        <v>0</v>
      </c>
      <c r="G9137">
        <v>0</v>
      </c>
    </row>
    <row r="9138" spans="1:7" x14ac:dyDescent="0.2">
      <c r="A9138" t="s">
        <v>1277</v>
      </c>
      <c r="B9138">
        <v>0</v>
      </c>
      <c r="C9138">
        <v>0</v>
      </c>
      <c r="D9138">
        <v>0</v>
      </c>
      <c r="E9138">
        <v>0</v>
      </c>
      <c r="F9138">
        <v>0</v>
      </c>
      <c r="G9138">
        <v>0</v>
      </c>
    </row>
    <row r="9139" spans="1:7" x14ac:dyDescent="0.2">
      <c r="A9139" t="s">
        <v>1798</v>
      </c>
      <c r="B9139">
        <v>0</v>
      </c>
      <c r="C9139">
        <v>0</v>
      </c>
      <c r="D9139">
        <v>0</v>
      </c>
      <c r="E9139">
        <v>0</v>
      </c>
      <c r="F9139">
        <v>0</v>
      </c>
      <c r="G9139">
        <v>0</v>
      </c>
    </row>
    <row r="9140" spans="1:7" x14ac:dyDescent="0.2">
      <c r="A9140" t="s">
        <v>1803</v>
      </c>
      <c r="B9140">
        <v>0</v>
      </c>
      <c r="C9140">
        <v>0</v>
      </c>
      <c r="D9140">
        <v>0</v>
      </c>
      <c r="E9140">
        <v>0</v>
      </c>
      <c r="F9140">
        <v>0</v>
      </c>
      <c r="G9140">
        <v>0</v>
      </c>
    </row>
    <row r="9141" spans="1:7" x14ac:dyDescent="0.2">
      <c r="A9141" t="s">
        <v>1808</v>
      </c>
      <c r="B9141">
        <v>0</v>
      </c>
      <c r="C9141">
        <v>0</v>
      </c>
      <c r="D9141">
        <v>0</v>
      </c>
      <c r="E9141">
        <v>0</v>
      </c>
      <c r="F9141">
        <v>0</v>
      </c>
      <c r="G9141">
        <v>0</v>
      </c>
    </row>
    <row r="9142" spans="1:7" x14ac:dyDescent="0.2">
      <c r="A9142" t="s">
        <v>1813</v>
      </c>
      <c r="B9142">
        <v>0</v>
      </c>
      <c r="C9142">
        <v>0</v>
      </c>
      <c r="D9142">
        <v>0</v>
      </c>
      <c r="E9142">
        <v>0</v>
      </c>
      <c r="F9142">
        <v>0</v>
      </c>
      <c r="G9142">
        <v>0</v>
      </c>
    </row>
    <row r="9143" spans="1:7" x14ac:dyDescent="0.2">
      <c r="A9143" t="s">
        <v>1819</v>
      </c>
      <c r="B9143">
        <v>0</v>
      </c>
      <c r="C9143">
        <v>0</v>
      </c>
      <c r="D9143">
        <v>0</v>
      </c>
      <c r="E9143">
        <v>0</v>
      </c>
      <c r="F9143">
        <v>0</v>
      </c>
      <c r="G9143">
        <v>0</v>
      </c>
    </row>
    <row r="9144" spans="1:7" x14ac:dyDescent="0.2">
      <c r="A9144" t="s">
        <v>1826</v>
      </c>
      <c r="B9144">
        <v>0</v>
      </c>
      <c r="C9144">
        <v>0</v>
      </c>
      <c r="D9144">
        <v>0</v>
      </c>
      <c r="E9144">
        <v>0</v>
      </c>
      <c r="F9144">
        <v>0</v>
      </c>
      <c r="G9144">
        <v>0</v>
      </c>
    </row>
    <row r="9145" spans="1:7" x14ac:dyDescent="0.2">
      <c r="A9145" t="s">
        <v>1830</v>
      </c>
      <c r="B9145">
        <v>0</v>
      </c>
      <c r="C9145">
        <v>0</v>
      </c>
      <c r="D9145">
        <v>0</v>
      </c>
      <c r="E9145">
        <v>0</v>
      </c>
      <c r="F9145">
        <v>0</v>
      </c>
      <c r="G9145">
        <v>0</v>
      </c>
    </row>
    <row r="9146" spans="1:7" x14ac:dyDescent="0.2">
      <c r="A9146" t="s">
        <v>1836</v>
      </c>
      <c r="B9146">
        <v>0</v>
      </c>
      <c r="C9146">
        <v>0</v>
      </c>
      <c r="D9146">
        <v>0</v>
      </c>
      <c r="E9146">
        <v>0</v>
      </c>
      <c r="F9146">
        <v>0</v>
      </c>
      <c r="G9146">
        <v>0</v>
      </c>
    </row>
    <row r="9147" spans="1:7" x14ac:dyDescent="0.2">
      <c r="A9147" t="s">
        <v>1841</v>
      </c>
      <c r="B9147">
        <v>0</v>
      </c>
      <c r="C9147">
        <v>0</v>
      </c>
      <c r="D9147">
        <v>0</v>
      </c>
      <c r="E9147">
        <v>0</v>
      </c>
      <c r="F9147">
        <v>0</v>
      </c>
      <c r="G9147">
        <v>0</v>
      </c>
    </row>
    <row r="9148" spans="1:7" x14ac:dyDescent="0.2">
      <c r="A9148" t="s">
        <v>1842</v>
      </c>
      <c r="B9148">
        <v>0</v>
      </c>
      <c r="C9148">
        <v>0</v>
      </c>
      <c r="D9148">
        <v>0</v>
      </c>
      <c r="E9148">
        <v>0</v>
      </c>
      <c r="F9148">
        <v>0</v>
      </c>
      <c r="G9148">
        <v>0</v>
      </c>
    </row>
    <row r="9149" spans="1:7" x14ac:dyDescent="0.2">
      <c r="A9149" t="s">
        <v>1843</v>
      </c>
      <c r="B9149">
        <v>0</v>
      </c>
      <c r="C9149">
        <v>0</v>
      </c>
      <c r="D9149">
        <v>0</v>
      </c>
      <c r="E9149">
        <v>0</v>
      </c>
      <c r="F9149">
        <v>0</v>
      </c>
      <c r="G9149">
        <v>0</v>
      </c>
    </row>
    <row r="9150" spans="1:7" x14ac:dyDescent="0.2">
      <c r="A9150" t="s">
        <v>1846</v>
      </c>
      <c r="B9150">
        <v>0</v>
      </c>
      <c r="C9150">
        <v>0</v>
      </c>
      <c r="D9150">
        <v>0</v>
      </c>
      <c r="E9150">
        <v>0</v>
      </c>
      <c r="F9150">
        <v>0</v>
      </c>
      <c r="G9150">
        <v>0</v>
      </c>
    </row>
    <row r="9151" spans="1:7" x14ac:dyDescent="0.2">
      <c r="A9151" t="s">
        <v>1851</v>
      </c>
      <c r="B9151">
        <v>0</v>
      </c>
      <c r="C9151">
        <v>0</v>
      </c>
      <c r="D9151">
        <v>0</v>
      </c>
      <c r="E9151">
        <v>0</v>
      </c>
      <c r="F9151">
        <v>0</v>
      </c>
      <c r="G9151">
        <v>0</v>
      </c>
    </row>
    <row r="9152" spans="1:7" x14ac:dyDescent="0.2">
      <c r="A9152" t="s">
        <v>1857</v>
      </c>
      <c r="B9152">
        <v>0</v>
      </c>
      <c r="C9152">
        <v>0</v>
      </c>
      <c r="D9152">
        <v>0</v>
      </c>
      <c r="E9152">
        <v>0</v>
      </c>
      <c r="F9152">
        <v>0</v>
      </c>
      <c r="G9152">
        <v>0</v>
      </c>
    </row>
    <row r="9153" spans="1:7" x14ac:dyDescent="0.2">
      <c r="A9153" t="s">
        <v>1862</v>
      </c>
      <c r="B9153">
        <v>0</v>
      </c>
      <c r="C9153">
        <v>0</v>
      </c>
      <c r="D9153">
        <v>0</v>
      </c>
      <c r="E9153">
        <v>0</v>
      </c>
      <c r="F9153">
        <v>0</v>
      </c>
      <c r="G9153">
        <v>0</v>
      </c>
    </row>
    <row r="9154" spans="1:7" x14ac:dyDescent="0.2">
      <c r="A9154" t="s">
        <v>1867</v>
      </c>
      <c r="B9154">
        <v>0</v>
      </c>
      <c r="C9154">
        <v>0</v>
      </c>
      <c r="D9154">
        <v>0</v>
      </c>
      <c r="E9154">
        <v>0</v>
      </c>
      <c r="F9154">
        <v>0</v>
      </c>
      <c r="G9154">
        <v>0</v>
      </c>
    </row>
    <row r="9155" spans="1:7" x14ac:dyDescent="0.2">
      <c r="A9155" t="s">
        <v>1870</v>
      </c>
      <c r="B9155">
        <v>0</v>
      </c>
      <c r="C9155">
        <v>0</v>
      </c>
      <c r="D9155">
        <v>0</v>
      </c>
      <c r="E9155">
        <v>0</v>
      </c>
      <c r="F9155">
        <v>0</v>
      </c>
      <c r="G9155">
        <v>0</v>
      </c>
    </row>
    <row r="9156" spans="1:7" x14ac:dyDescent="0.2">
      <c r="A9156" t="s">
        <v>1874</v>
      </c>
      <c r="B9156">
        <v>0</v>
      </c>
      <c r="C9156">
        <v>0</v>
      </c>
      <c r="D9156">
        <v>0</v>
      </c>
      <c r="E9156">
        <v>0</v>
      </c>
      <c r="F9156">
        <v>0</v>
      </c>
      <c r="G9156">
        <v>0</v>
      </c>
    </row>
    <row r="9157" spans="1:7" x14ac:dyDescent="0.2">
      <c r="A9157" t="s">
        <v>1876</v>
      </c>
      <c r="B9157">
        <v>0</v>
      </c>
      <c r="C9157">
        <v>0</v>
      </c>
      <c r="D9157">
        <v>0</v>
      </c>
      <c r="E9157">
        <v>0</v>
      </c>
      <c r="F9157">
        <v>0</v>
      </c>
      <c r="G9157">
        <v>0</v>
      </c>
    </row>
    <row r="9158" spans="1:7" x14ac:dyDescent="0.2">
      <c r="A9158" t="s">
        <v>1881</v>
      </c>
      <c r="B9158">
        <v>0</v>
      </c>
      <c r="C9158">
        <v>0</v>
      </c>
      <c r="D9158">
        <v>0</v>
      </c>
      <c r="E9158">
        <v>0</v>
      </c>
      <c r="F9158">
        <v>0</v>
      </c>
      <c r="G9158">
        <v>0</v>
      </c>
    </row>
    <row r="9159" spans="1:7" x14ac:dyDescent="0.2">
      <c r="A9159" t="s">
        <v>1885</v>
      </c>
      <c r="B9159">
        <v>0</v>
      </c>
      <c r="C9159">
        <v>0</v>
      </c>
      <c r="D9159">
        <v>0</v>
      </c>
      <c r="E9159">
        <v>2</v>
      </c>
      <c r="F9159">
        <v>0</v>
      </c>
      <c r="G9159">
        <v>2</v>
      </c>
    </row>
    <row r="9160" spans="1:7" x14ac:dyDescent="0.2">
      <c r="A9160" t="s">
        <v>1887</v>
      </c>
      <c r="B9160">
        <v>0</v>
      </c>
      <c r="C9160">
        <v>0</v>
      </c>
      <c r="D9160">
        <v>0</v>
      </c>
      <c r="E9160">
        <v>0</v>
      </c>
      <c r="F9160">
        <v>0</v>
      </c>
      <c r="G9160">
        <v>0</v>
      </c>
    </row>
    <row r="9161" spans="1:7" x14ac:dyDescent="0.2">
      <c r="A9161" t="s">
        <v>1893</v>
      </c>
      <c r="B9161">
        <v>0</v>
      </c>
      <c r="C9161">
        <v>0</v>
      </c>
      <c r="D9161">
        <v>0</v>
      </c>
      <c r="E9161">
        <v>0</v>
      </c>
      <c r="F9161">
        <v>0</v>
      </c>
      <c r="G9161">
        <v>0</v>
      </c>
    </row>
    <row r="9162" spans="1:7" x14ac:dyDescent="0.2">
      <c r="A9162" t="s">
        <v>1899</v>
      </c>
      <c r="B9162">
        <v>0</v>
      </c>
      <c r="C9162">
        <v>0</v>
      </c>
      <c r="D9162">
        <v>0</v>
      </c>
      <c r="E9162">
        <v>0</v>
      </c>
      <c r="F9162">
        <v>0</v>
      </c>
      <c r="G9162">
        <v>0</v>
      </c>
    </row>
    <row r="9163" spans="1:7" x14ac:dyDescent="0.2">
      <c r="A9163" t="s">
        <v>1906</v>
      </c>
      <c r="B9163">
        <v>0</v>
      </c>
      <c r="C9163">
        <v>0</v>
      </c>
      <c r="D9163">
        <v>0</v>
      </c>
      <c r="E9163">
        <v>0</v>
      </c>
      <c r="F9163">
        <v>0</v>
      </c>
      <c r="G9163">
        <v>0</v>
      </c>
    </row>
    <row r="9164" spans="1:7" x14ac:dyDescent="0.2">
      <c r="A9164" t="s">
        <v>1911</v>
      </c>
      <c r="B9164">
        <v>0</v>
      </c>
      <c r="C9164">
        <v>0</v>
      </c>
      <c r="D9164">
        <v>0</v>
      </c>
      <c r="E9164">
        <v>0</v>
      </c>
      <c r="F9164">
        <v>0</v>
      </c>
      <c r="G9164">
        <v>0</v>
      </c>
    </row>
    <row r="9165" spans="1:7" x14ac:dyDescent="0.2">
      <c r="A9165" t="s">
        <v>1917</v>
      </c>
      <c r="B9165">
        <v>0</v>
      </c>
      <c r="C9165">
        <v>0</v>
      </c>
      <c r="D9165">
        <v>0</v>
      </c>
      <c r="E9165">
        <v>0</v>
      </c>
      <c r="F9165">
        <v>0</v>
      </c>
      <c r="G9165">
        <v>0</v>
      </c>
    </row>
    <row r="9166" spans="1:7" x14ac:dyDescent="0.2">
      <c r="A9166" t="s">
        <v>1922</v>
      </c>
      <c r="B9166">
        <v>0</v>
      </c>
      <c r="C9166">
        <v>0</v>
      </c>
      <c r="D9166">
        <v>0</v>
      </c>
      <c r="E9166">
        <v>0</v>
      </c>
      <c r="F9166">
        <v>0</v>
      </c>
      <c r="G9166">
        <v>0</v>
      </c>
    </row>
    <row r="9167" spans="1:7" x14ac:dyDescent="0.2">
      <c r="A9167" t="s">
        <v>1928</v>
      </c>
      <c r="B9167">
        <v>0</v>
      </c>
      <c r="C9167">
        <v>0</v>
      </c>
      <c r="D9167">
        <v>0</v>
      </c>
      <c r="E9167">
        <v>0</v>
      </c>
      <c r="F9167">
        <v>0</v>
      </c>
      <c r="G9167">
        <v>0</v>
      </c>
    </row>
    <row r="9168" spans="1:7" x14ac:dyDescent="0.2">
      <c r="A9168" t="s">
        <v>1932</v>
      </c>
      <c r="B9168">
        <v>0</v>
      </c>
      <c r="C9168">
        <v>0</v>
      </c>
      <c r="D9168">
        <v>0</v>
      </c>
      <c r="E9168">
        <v>0</v>
      </c>
      <c r="F9168">
        <v>0</v>
      </c>
      <c r="G9168">
        <v>0</v>
      </c>
    </row>
    <row r="9169" spans="1:7" x14ac:dyDescent="0.2">
      <c r="A9169" t="s">
        <v>1938</v>
      </c>
      <c r="B9169">
        <v>0</v>
      </c>
      <c r="C9169">
        <v>0</v>
      </c>
      <c r="D9169">
        <v>0</v>
      </c>
      <c r="E9169">
        <v>0</v>
      </c>
      <c r="F9169">
        <v>0</v>
      </c>
      <c r="G9169">
        <v>0</v>
      </c>
    </row>
    <row r="9170" spans="1:7" x14ac:dyDescent="0.2">
      <c r="A9170" t="s">
        <v>1944</v>
      </c>
      <c r="B9170">
        <v>0</v>
      </c>
      <c r="C9170">
        <v>0</v>
      </c>
      <c r="D9170">
        <v>0</v>
      </c>
      <c r="E9170">
        <v>0</v>
      </c>
      <c r="F9170">
        <v>0</v>
      </c>
      <c r="G9170">
        <v>0</v>
      </c>
    </row>
    <row r="9171" spans="1:7" x14ac:dyDescent="0.2">
      <c r="A9171" t="s">
        <v>1947</v>
      </c>
      <c r="B9171">
        <v>0</v>
      </c>
      <c r="C9171">
        <v>0</v>
      </c>
      <c r="D9171">
        <v>0</v>
      </c>
      <c r="E9171">
        <v>0</v>
      </c>
      <c r="F9171">
        <v>0</v>
      </c>
      <c r="G9171">
        <v>0</v>
      </c>
    </row>
    <row r="9172" spans="1:7" x14ac:dyDescent="0.2">
      <c r="A9172" t="s">
        <v>1953</v>
      </c>
      <c r="B9172">
        <v>0</v>
      </c>
      <c r="C9172">
        <v>0</v>
      </c>
      <c r="D9172">
        <v>0</v>
      </c>
      <c r="E9172">
        <v>0</v>
      </c>
      <c r="F9172">
        <v>0</v>
      </c>
      <c r="G9172">
        <v>0</v>
      </c>
    </row>
    <row r="9173" spans="1:7" x14ac:dyDescent="0.2">
      <c r="A9173" t="s">
        <v>1958</v>
      </c>
      <c r="B9173">
        <v>0</v>
      </c>
      <c r="C9173">
        <v>0</v>
      </c>
      <c r="D9173">
        <v>0</v>
      </c>
      <c r="E9173">
        <v>0</v>
      </c>
      <c r="F9173">
        <v>0</v>
      </c>
      <c r="G9173">
        <v>0</v>
      </c>
    </row>
    <row r="9174" spans="1:7" x14ac:dyDescent="0.2">
      <c r="A9174" t="s">
        <v>1964</v>
      </c>
      <c r="B9174">
        <v>0</v>
      </c>
      <c r="C9174">
        <v>0</v>
      </c>
      <c r="D9174">
        <v>0</v>
      </c>
      <c r="E9174">
        <v>0</v>
      </c>
      <c r="F9174">
        <v>0</v>
      </c>
      <c r="G9174">
        <v>0</v>
      </c>
    </row>
    <row r="9175" spans="1:7" x14ac:dyDescent="0.2">
      <c r="A9175" t="s">
        <v>1973</v>
      </c>
      <c r="B9175">
        <v>0</v>
      </c>
      <c r="C9175">
        <v>0</v>
      </c>
      <c r="D9175">
        <v>0</v>
      </c>
      <c r="E9175">
        <v>0</v>
      </c>
      <c r="F9175">
        <v>0</v>
      </c>
      <c r="G9175">
        <v>0</v>
      </c>
    </row>
    <row r="9176" spans="1:7" x14ac:dyDescent="0.2">
      <c r="A9176" t="s">
        <v>1978</v>
      </c>
      <c r="B9176">
        <v>0</v>
      </c>
      <c r="C9176">
        <v>0</v>
      </c>
      <c r="D9176">
        <v>0</v>
      </c>
      <c r="E9176">
        <v>0</v>
      </c>
      <c r="F9176">
        <v>0</v>
      </c>
      <c r="G9176">
        <v>0</v>
      </c>
    </row>
    <row r="9177" spans="1:7" x14ac:dyDescent="0.2">
      <c r="A9177" t="s">
        <v>1983</v>
      </c>
      <c r="B9177">
        <v>0</v>
      </c>
      <c r="C9177">
        <v>0</v>
      </c>
      <c r="D9177">
        <v>0</v>
      </c>
      <c r="E9177">
        <v>0</v>
      </c>
      <c r="F9177">
        <v>0</v>
      </c>
      <c r="G9177">
        <v>0</v>
      </c>
    </row>
    <row r="9178" spans="1:7" x14ac:dyDescent="0.2">
      <c r="A9178" t="s">
        <v>1984</v>
      </c>
      <c r="B9178">
        <v>0</v>
      </c>
      <c r="C9178">
        <v>0</v>
      </c>
      <c r="D9178">
        <v>0</v>
      </c>
      <c r="E9178">
        <v>0</v>
      </c>
      <c r="F9178">
        <v>0</v>
      </c>
      <c r="G9178">
        <v>0</v>
      </c>
    </row>
    <row r="9179" spans="1:7" x14ac:dyDescent="0.2">
      <c r="A9179" t="s">
        <v>1990</v>
      </c>
      <c r="B9179">
        <v>0</v>
      </c>
      <c r="C9179">
        <v>0</v>
      </c>
      <c r="D9179">
        <v>0</v>
      </c>
      <c r="E9179">
        <v>0</v>
      </c>
      <c r="F9179">
        <v>0</v>
      </c>
      <c r="G9179">
        <v>0</v>
      </c>
    </row>
    <row r="9180" spans="1:7" x14ac:dyDescent="0.2">
      <c r="A9180" t="s">
        <v>1996</v>
      </c>
      <c r="B9180">
        <v>0</v>
      </c>
      <c r="C9180">
        <v>0</v>
      </c>
      <c r="D9180">
        <v>0</v>
      </c>
      <c r="E9180">
        <v>0</v>
      </c>
      <c r="F9180">
        <v>0</v>
      </c>
      <c r="G9180">
        <v>0</v>
      </c>
    </row>
    <row r="9181" spans="1:7" x14ac:dyDescent="0.2">
      <c r="A9181" t="s">
        <v>1998</v>
      </c>
      <c r="B9181">
        <v>0</v>
      </c>
      <c r="C9181">
        <v>0</v>
      </c>
      <c r="D9181">
        <v>0</v>
      </c>
      <c r="E9181">
        <v>0</v>
      </c>
      <c r="F9181">
        <v>0</v>
      </c>
      <c r="G9181">
        <v>0</v>
      </c>
    </row>
    <row r="9182" spans="1:7" x14ac:dyDescent="0.2">
      <c r="A9182" t="s">
        <v>1999</v>
      </c>
      <c r="B9182">
        <v>0</v>
      </c>
      <c r="C9182">
        <v>0</v>
      </c>
      <c r="D9182">
        <v>0</v>
      </c>
      <c r="E9182">
        <v>0</v>
      </c>
      <c r="F9182">
        <v>0</v>
      </c>
      <c r="G9182">
        <v>0</v>
      </c>
    </row>
    <row r="9183" spans="1:7" x14ac:dyDescent="0.2">
      <c r="A9183" t="s">
        <v>2004</v>
      </c>
      <c r="B9183">
        <v>0</v>
      </c>
      <c r="C9183">
        <v>0</v>
      </c>
      <c r="D9183">
        <v>0</v>
      </c>
      <c r="E9183">
        <v>0</v>
      </c>
      <c r="F9183">
        <v>0</v>
      </c>
      <c r="G9183">
        <v>0</v>
      </c>
    </row>
    <row r="9184" spans="1:7" x14ac:dyDescent="0.2">
      <c r="A9184" t="s">
        <v>2009</v>
      </c>
      <c r="B9184">
        <v>0</v>
      </c>
      <c r="C9184">
        <v>0</v>
      </c>
      <c r="D9184">
        <v>0</v>
      </c>
      <c r="E9184">
        <v>0</v>
      </c>
      <c r="F9184">
        <v>0</v>
      </c>
      <c r="G9184">
        <v>0</v>
      </c>
    </row>
    <row r="9185" spans="1:7" x14ac:dyDescent="0.2">
      <c r="A9185" t="s">
        <v>2014</v>
      </c>
      <c r="B9185">
        <v>0</v>
      </c>
      <c r="C9185">
        <v>0</v>
      </c>
      <c r="D9185">
        <v>0</v>
      </c>
      <c r="E9185">
        <v>0</v>
      </c>
      <c r="F9185">
        <v>0</v>
      </c>
      <c r="G9185">
        <v>0</v>
      </c>
    </row>
    <row r="9186" spans="1:7" x14ac:dyDescent="0.2">
      <c r="A9186" t="s">
        <v>2019</v>
      </c>
      <c r="B9186">
        <v>0</v>
      </c>
      <c r="C9186">
        <v>0</v>
      </c>
      <c r="D9186">
        <v>0</v>
      </c>
      <c r="E9186">
        <v>0</v>
      </c>
      <c r="F9186">
        <v>0</v>
      </c>
      <c r="G9186">
        <v>0</v>
      </c>
    </row>
    <row r="9187" spans="1:7" x14ac:dyDescent="0.2">
      <c r="A9187" t="s">
        <v>2023</v>
      </c>
      <c r="B9187">
        <v>0</v>
      </c>
      <c r="C9187">
        <v>0</v>
      </c>
      <c r="D9187">
        <v>0</v>
      </c>
      <c r="E9187">
        <v>0</v>
      </c>
      <c r="F9187">
        <v>0</v>
      </c>
      <c r="G9187">
        <v>0</v>
      </c>
    </row>
    <row r="9188" spans="1:7" x14ac:dyDescent="0.2">
      <c r="A9188" t="s">
        <v>2026</v>
      </c>
      <c r="B9188">
        <v>0</v>
      </c>
      <c r="C9188">
        <v>0</v>
      </c>
      <c r="D9188">
        <v>0</v>
      </c>
      <c r="E9188">
        <v>0</v>
      </c>
      <c r="F9188">
        <v>0</v>
      </c>
      <c r="G9188">
        <v>0</v>
      </c>
    </row>
    <row r="9189" spans="1:7" x14ac:dyDescent="0.2">
      <c r="A9189" t="s">
        <v>2030</v>
      </c>
      <c r="B9189">
        <v>0</v>
      </c>
      <c r="C9189">
        <v>0</v>
      </c>
      <c r="D9189">
        <v>0</v>
      </c>
      <c r="E9189">
        <v>0</v>
      </c>
      <c r="F9189">
        <v>0</v>
      </c>
      <c r="G9189">
        <v>0</v>
      </c>
    </row>
    <row r="9190" spans="1:7" x14ac:dyDescent="0.2">
      <c r="A9190" t="s">
        <v>2035</v>
      </c>
      <c r="B9190">
        <v>0</v>
      </c>
      <c r="C9190">
        <v>0</v>
      </c>
      <c r="D9190">
        <v>0</v>
      </c>
      <c r="E9190">
        <v>0</v>
      </c>
      <c r="F9190">
        <v>0</v>
      </c>
      <c r="G9190">
        <v>0</v>
      </c>
    </row>
    <row r="9191" spans="1:7" x14ac:dyDescent="0.2">
      <c r="A9191" t="s">
        <v>2040</v>
      </c>
      <c r="B9191">
        <v>0</v>
      </c>
      <c r="C9191">
        <v>0</v>
      </c>
      <c r="D9191">
        <v>0</v>
      </c>
      <c r="E9191">
        <v>0</v>
      </c>
      <c r="F9191">
        <v>0</v>
      </c>
      <c r="G9191">
        <v>0</v>
      </c>
    </row>
    <row r="9192" spans="1:7" x14ac:dyDescent="0.2">
      <c r="A9192" t="s">
        <v>2045</v>
      </c>
      <c r="B9192">
        <v>0</v>
      </c>
      <c r="C9192">
        <v>0</v>
      </c>
      <c r="D9192">
        <v>0</v>
      </c>
      <c r="E9192">
        <v>0</v>
      </c>
      <c r="F9192">
        <v>0</v>
      </c>
      <c r="G9192">
        <v>0</v>
      </c>
    </row>
    <row r="9193" spans="1:7" x14ac:dyDescent="0.2">
      <c r="A9193" t="s">
        <v>2049</v>
      </c>
      <c r="B9193">
        <v>0</v>
      </c>
      <c r="C9193">
        <v>0</v>
      </c>
      <c r="D9193">
        <v>0</v>
      </c>
      <c r="E9193">
        <v>0</v>
      </c>
      <c r="F9193">
        <v>0</v>
      </c>
      <c r="G9193">
        <v>0</v>
      </c>
    </row>
    <row r="9194" spans="1:7" x14ac:dyDescent="0.2">
      <c r="A9194" t="s">
        <v>2051</v>
      </c>
      <c r="B9194">
        <v>0</v>
      </c>
      <c r="C9194">
        <v>0</v>
      </c>
      <c r="D9194">
        <v>0</v>
      </c>
      <c r="E9194">
        <v>0</v>
      </c>
      <c r="F9194">
        <v>0</v>
      </c>
      <c r="G9194">
        <v>0</v>
      </c>
    </row>
    <row r="9195" spans="1:7" x14ac:dyDescent="0.2">
      <c r="A9195" t="s">
        <v>2057</v>
      </c>
      <c r="B9195">
        <v>0</v>
      </c>
      <c r="C9195">
        <v>0</v>
      </c>
      <c r="D9195">
        <v>0</v>
      </c>
      <c r="E9195">
        <v>0</v>
      </c>
      <c r="F9195">
        <v>0</v>
      </c>
      <c r="G9195">
        <v>0</v>
      </c>
    </row>
    <row r="9196" spans="1:7" x14ac:dyDescent="0.2">
      <c r="A9196" t="s">
        <v>4344</v>
      </c>
      <c r="B9196">
        <v>0</v>
      </c>
      <c r="C9196">
        <v>0</v>
      </c>
      <c r="D9196">
        <v>0</v>
      </c>
      <c r="E9196">
        <v>0</v>
      </c>
      <c r="F9196">
        <v>0</v>
      </c>
      <c r="G9196">
        <v>0</v>
      </c>
    </row>
    <row r="9197" spans="1:7" x14ac:dyDescent="0.2">
      <c r="A9197" t="s">
        <v>4345</v>
      </c>
      <c r="B9197">
        <v>0</v>
      </c>
      <c r="C9197">
        <v>0</v>
      </c>
      <c r="D9197">
        <v>0</v>
      </c>
      <c r="E9197">
        <v>0</v>
      </c>
      <c r="F9197">
        <v>0</v>
      </c>
      <c r="G9197">
        <v>0</v>
      </c>
    </row>
    <row r="9198" spans="1:7" x14ac:dyDescent="0.2">
      <c r="A9198" t="s">
        <v>2074</v>
      </c>
      <c r="B9198">
        <v>0</v>
      </c>
      <c r="C9198">
        <v>0</v>
      </c>
      <c r="D9198">
        <v>0</v>
      </c>
      <c r="E9198">
        <v>0</v>
      </c>
      <c r="F9198">
        <v>0</v>
      </c>
      <c r="G9198">
        <v>0</v>
      </c>
    </row>
    <row r="9199" spans="1:7" x14ac:dyDescent="0.2">
      <c r="A9199" t="s">
        <v>2079</v>
      </c>
      <c r="B9199">
        <v>0</v>
      </c>
      <c r="C9199">
        <v>0</v>
      </c>
      <c r="D9199">
        <v>0</v>
      </c>
      <c r="E9199">
        <v>0</v>
      </c>
      <c r="F9199">
        <v>0</v>
      </c>
      <c r="G9199">
        <v>0</v>
      </c>
    </row>
    <row r="9200" spans="1:7" x14ac:dyDescent="0.2">
      <c r="A9200" t="s">
        <v>2085</v>
      </c>
      <c r="B9200">
        <v>0</v>
      </c>
      <c r="C9200">
        <v>0</v>
      </c>
      <c r="D9200">
        <v>0</v>
      </c>
      <c r="E9200">
        <v>0</v>
      </c>
      <c r="F9200">
        <v>0</v>
      </c>
      <c r="G9200">
        <v>0</v>
      </c>
    </row>
    <row r="9201" spans="1:7" x14ac:dyDescent="0.2">
      <c r="A9201" t="s">
        <v>2091</v>
      </c>
      <c r="B9201">
        <v>0</v>
      </c>
      <c r="C9201">
        <v>0</v>
      </c>
      <c r="D9201">
        <v>0</v>
      </c>
      <c r="E9201">
        <v>0</v>
      </c>
      <c r="F9201">
        <v>0</v>
      </c>
      <c r="G9201">
        <v>0</v>
      </c>
    </row>
    <row r="9202" spans="1:7" x14ac:dyDescent="0.2">
      <c r="A9202" t="s">
        <v>2097</v>
      </c>
      <c r="B9202">
        <v>0</v>
      </c>
      <c r="C9202">
        <v>0</v>
      </c>
      <c r="D9202">
        <v>0</v>
      </c>
      <c r="E9202">
        <v>0</v>
      </c>
      <c r="F9202">
        <v>0</v>
      </c>
      <c r="G9202">
        <v>0</v>
      </c>
    </row>
    <row r="9203" spans="1:7" x14ac:dyDescent="0.2">
      <c r="A9203" t="s">
        <v>2101</v>
      </c>
      <c r="B9203">
        <v>0</v>
      </c>
      <c r="C9203">
        <v>0</v>
      </c>
      <c r="D9203">
        <v>0</v>
      </c>
      <c r="E9203">
        <v>0</v>
      </c>
      <c r="F9203">
        <v>0</v>
      </c>
      <c r="G9203">
        <v>0</v>
      </c>
    </row>
    <row r="9204" spans="1:7" x14ac:dyDescent="0.2">
      <c r="A9204" t="s">
        <v>2104</v>
      </c>
      <c r="B9204">
        <v>0</v>
      </c>
      <c r="C9204">
        <v>0</v>
      </c>
      <c r="D9204">
        <v>0</v>
      </c>
      <c r="E9204">
        <v>0</v>
      </c>
      <c r="F9204">
        <v>0</v>
      </c>
      <c r="G9204">
        <v>0</v>
      </c>
    </row>
    <row r="9205" spans="1:7" x14ac:dyDescent="0.2">
      <c r="A9205" t="s">
        <v>2107</v>
      </c>
      <c r="B9205">
        <v>0</v>
      </c>
      <c r="C9205">
        <v>0</v>
      </c>
      <c r="D9205">
        <v>0</v>
      </c>
      <c r="E9205">
        <v>0</v>
      </c>
      <c r="F9205">
        <v>0</v>
      </c>
      <c r="G9205">
        <v>0</v>
      </c>
    </row>
    <row r="9206" spans="1:7" x14ac:dyDescent="0.2">
      <c r="A9206" t="s">
        <v>2110</v>
      </c>
      <c r="B9206">
        <v>0</v>
      </c>
      <c r="C9206">
        <v>0</v>
      </c>
      <c r="D9206">
        <v>0</v>
      </c>
      <c r="E9206">
        <v>0</v>
      </c>
      <c r="F9206">
        <v>0</v>
      </c>
      <c r="G9206">
        <v>0</v>
      </c>
    </row>
    <row r="9207" spans="1:7" x14ac:dyDescent="0.2">
      <c r="A9207" t="s">
        <v>2113</v>
      </c>
      <c r="B9207">
        <v>0</v>
      </c>
      <c r="C9207">
        <v>0</v>
      </c>
      <c r="D9207">
        <v>0</v>
      </c>
      <c r="E9207">
        <v>0</v>
      </c>
      <c r="F9207">
        <v>0</v>
      </c>
      <c r="G9207">
        <v>0</v>
      </c>
    </row>
    <row r="9208" spans="1:7" x14ac:dyDescent="0.2">
      <c r="A9208" t="s">
        <v>4346</v>
      </c>
      <c r="B9208">
        <v>0</v>
      </c>
      <c r="C9208">
        <v>0</v>
      </c>
      <c r="D9208">
        <v>0</v>
      </c>
      <c r="E9208">
        <v>0</v>
      </c>
      <c r="F9208">
        <v>0</v>
      </c>
      <c r="G9208">
        <v>0</v>
      </c>
    </row>
    <row r="9209" spans="1:7" x14ac:dyDescent="0.2">
      <c r="A9209" t="s">
        <v>4347</v>
      </c>
      <c r="B9209">
        <v>0</v>
      </c>
      <c r="C9209">
        <v>0</v>
      </c>
      <c r="D9209">
        <v>0</v>
      </c>
      <c r="E9209">
        <v>0</v>
      </c>
      <c r="F9209">
        <v>0</v>
      </c>
      <c r="G9209">
        <v>0</v>
      </c>
    </row>
    <row r="9210" spans="1:7" x14ac:dyDescent="0.2">
      <c r="A9210" t="s">
        <v>4348</v>
      </c>
      <c r="B9210">
        <v>0</v>
      </c>
      <c r="C9210">
        <v>0</v>
      </c>
      <c r="D9210">
        <v>0</v>
      </c>
      <c r="E9210">
        <v>0</v>
      </c>
      <c r="F9210">
        <v>0</v>
      </c>
      <c r="G9210">
        <v>0</v>
      </c>
    </row>
    <row r="9211" spans="1:7" x14ac:dyDescent="0.2">
      <c r="A9211" t="s">
        <v>4349</v>
      </c>
      <c r="B9211">
        <v>0</v>
      </c>
      <c r="C9211">
        <v>0</v>
      </c>
      <c r="D9211">
        <v>0</v>
      </c>
      <c r="E9211">
        <v>0</v>
      </c>
      <c r="F9211">
        <v>0</v>
      </c>
      <c r="G9211">
        <v>0</v>
      </c>
    </row>
    <row r="9212" spans="1:7" x14ac:dyDescent="0.2">
      <c r="A9212" t="s">
        <v>4350</v>
      </c>
      <c r="B9212">
        <v>0</v>
      </c>
      <c r="C9212">
        <v>0</v>
      </c>
      <c r="D9212">
        <v>0</v>
      </c>
      <c r="E9212">
        <v>0</v>
      </c>
      <c r="F9212">
        <v>0</v>
      </c>
      <c r="G9212">
        <v>0</v>
      </c>
    </row>
    <row r="9213" spans="1:7" x14ac:dyDescent="0.2">
      <c r="A9213" t="s">
        <v>4351</v>
      </c>
      <c r="B9213">
        <v>0</v>
      </c>
      <c r="C9213">
        <v>0</v>
      </c>
      <c r="D9213">
        <v>0</v>
      </c>
      <c r="E9213">
        <v>0</v>
      </c>
      <c r="F9213">
        <v>0</v>
      </c>
      <c r="G9213">
        <v>0</v>
      </c>
    </row>
    <row r="9214" spans="1:7" x14ac:dyDescent="0.2">
      <c r="A9214" t="s">
        <v>4352</v>
      </c>
      <c r="B9214">
        <v>0</v>
      </c>
      <c r="C9214">
        <v>0</v>
      </c>
      <c r="D9214">
        <v>0</v>
      </c>
      <c r="E9214">
        <v>0</v>
      </c>
      <c r="F9214">
        <v>0</v>
      </c>
      <c r="G9214">
        <v>0</v>
      </c>
    </row>
    <row r="9215" spans="1:7" x14ac:dyDescent="0.2">
      <c r="A9215" t="s">
        <v>4353</v>
      </c>
      <c r="B9215">
        <v>0</v>
      </c>
      <c r="C9215">
        <v>2</v>
      </c>
      <c r="D9215">
        <v>1</v>
      </c>
      <c r="E9215">
        <v>0</v>
      </c>
      <c r="F9215">
        <v>0</v>
      </c>
      <c r="G9215">
        <v>4</v>
      </c>
    </row>
    <row r="9216" spans="1:7" x14ac:dyDescent="0.2">
      <c r="A9216" t="s">
        <v>4354</v>
      </c>
      <c r="B9216">
        <v>0</v>
      </c>
      <c r="C9216">
        <v>3</v>
      </c>
      <c r="D9216">
        <v>1</v>
      </c>
      <c r="E9216">
        <v>0</v>
      </c>
      <c r="F9216">
        <v>0</v>
      </c>
      <c r="G9216">
        <v>4</v>
      </c>
    </row>
    <row r="9217" spans="1:7" x14ac:dyDescent="0.2">
      <c r="A9217" t="s">
        <v>4355</v>
      </c>
      <c r="B9217">
        <v>0</v>
      </c>
      <c r="C9217">
        <v>0</v>
      </c>
      <c r="D9217">
        <v>0</v>
      </c>
      <c r="E9217">
        <v>0</v>
      </c>
      <c r="F9217">
        <v>0</v>
      </c>
      <c r="G9217">
        <v>0</v>
      </c>
    </row>
    <row r="9218" spans="1:7" x14ac:dyDescent="0.2">
      <c r="A9218" t="s">
        <v>4356</v>
      </c>
      <c r="B9218">
        <v>0</v>
      </c>
      <c r="C9218">
        <v>0</v>
      </c>
      <c r="D9218">
        <v>0</v>
      </c>
      <c r="E9218">
        <v>0</v>
      </c>
      <c r="F9218">
        <v>0</v>
      </c>
      <c r="G9218">
        <v>0</v>
      </c>
    </row>
    <row r="9219" spans="1:7" x14ac:dyDescent="0.2">
      <c r="A9219" t="s">
        <v>4357</v>
      </c>
      <c r="B9219">
        <v>0</v>
      </c>
      <c r="C9219">
        <v>0</v>
      </c>
      <c r="D9219">
        <v>0</v>
      </c>
      <c r="E9219">
        <v>0</v>
      </c>
      <c r="F9219">
        <v>0</v>
      </c>
      <c r="G9219">
        <v>0</v>
      </c>
    </row>
    <row r="9220" spans="1:7" x14ac:dyDescent="0.2">
      <c r="A9220" t="s">
        <v>4358</v>
      </c>
      <c r="B9220">
        <v>0</v>
      </c>
      <c r="C9220">
        <v>0</v>
      </c>
      <c r="D9220">
        <v>0</v>
      </c>
      <c r="E9220">
        <v>0</v>
      </c>
      <c r="F9220">
        <v>0</v>
      </c>
      <c r="G9220">
        <v>0</v>
      </c>
    </row>
    <row r="9221" spans="1:7" x14ac:dyDescent="0.2">
      <c r="A9221" t="s">
        <v>4359</v>
      </c>
      <c r="B9221">
        <v>0</v>
      </c>
      <c r="C9221">
        <v>0</v>
      </c>
      <c r="D9221">
        <v>0</v>
      </c>
      <c r="E9221">
        <v>0</v>
      </c>
      <c r="F9221">
        <v>0</v>
      </c>
      <c r="G9221">
        <v>0</v>
      </c>
    </row>
    <row r="9222" spans="1:7" x14ac:dyDescent="0.2">
      <c r="A9222" t="s">
        <v>4360</v>
      </c>
      <c r="B9222">
        <v>0</v>
      </c>
      <c r="C9222">
        <v>0</v>
      </c>
      <c r="D9222">
        <v>0</v>
      </c>
      <c r="E9222">
        <v>0</v>
      </c>
      <c r="F9222">
        <v>0</v>
      </c>
      <c r="G9222">
        <v>0</v>
      </c>
    </row>
    <row r="9223" spans="1:7" x14ac:dyDescent="0.2">
      <c r="A9223" t="s">
        <v>4361</v>
      </c>
      <c r="B9223">
        <v>0</v>
      </c>
      <c r="C9223">
        <v>0</v>
      </c>
      <c r="D9223">
        <v>0</v>
      </c>
      <c r="E9223">
        <v>0</v>
      </c>
      <c r="F9223">
        <v>0</v>
      </c>
      <c r="G9223">
        <v>0</v>
      </c>
    </row>
    <row r="9224" spans="1:7" x14ac:dyDescent="0.2">
      <c r="A9224" t="s">
        <v>4362</v>
      </c>
      <c r="B9224">
        <v>0</v>
      </c>
      <c r="C9224">
        <v>0</v>
      </c>
      <c r="D9224">
        <v>0</v>
      </c>
      <c r="E9224">
        <v>0</v>
      </c>
      <c r="F9224">
        <v>0</v>
      </c>
      <c r="G9224">
        <v>0</v>
      </c>
    </row>
    <row r="9225" spans="1:7" x14ac:dyDescent="0.2">
      <c r="A9225" t="s">
        <v>4363</v>
      </c>
      <c r="B9225">
        <v>0</v>
      </c>
      <c r="C9225">
        <v>0</v>
      </c>
      <c r="D9225">
        <v>0</v>
      </c>
      <c r="E9225">
        <v>0</v>
      </c>
      <c r="F9225">
        <v>0</v>
      </c>
      <c r="G9225">
        <v>0</v>
      </c>
    </row>
    <row r="9226" spans="1:7" x14ac:dyDescent="0.2">
      <c r="A9226" t="s">
        <v>4364</v>
      </c>
      <c r="B9226">
        <v>0</v>
      </c>
      <c r="C9226">
        <v>0</v>
      </c>
      <c r="D9226">
        <v>0</v>
      </c>
      <c r="E9226">
        <v>0</v>
      </c>
      <c r="F9226">
        <v>0</v>
      </c>
      <c r="G9226">
        <v>0</v>
      </c>
    </row>
    <row r="9227" spans="1:7" x14ac:dyDescent="0.2">
      <c r="A9227" t="s">
        <v>4365</v>
      </c>
      <c r="B9227">
        <v>0</v>
      </c>
      <c r="C9227">
        <v>0</v>
      </c>
      <c r="D9227">
        <v>0</v>
      </c>
      <c r="E9227">
        <v>0</v>
      </c>
      <c r="F9227">
        <v>0</v>
      </c>
      <c r="G9227">
        <v>0</v>
      </c>
    </row>
    <row r="9228" spans="1:7" x14ac:dyDescent="0.2">
      <c r="A9228" t="s">
        <v>4366</v>
      </c>
      <c r="B9228">
        <v>0</v>
      </c>
      <c r="C9228">
        <v>0</v>
      </c>
      <c r="D9228">
        <v>0</v>
      </c>
      <c r="E9228">
        <v>0</v>
      </c>
      <c r="F9228">
        <v>0</v>
      </c>
      <c r="G9228">
        <v>0</v>
      </c>
    </row>
    <row r="9229" spans="1:7" x14ac:dyDescent="0.2">
      <c r="A9229" t="s">
        <v>4367</v>
      </c>
      <c r="B9229">
        <v>0</v>
      </c>
      <c r="C9229">
        <v>0</v>
      </c>
      <c r="D9229">
        <v>0</v>
      </c>
      <c r="E9229">
        <v>0</v>
      </c>
      <c r="F9229">
        <v>0</v>
      </c>
      <c r="G9229">
        <v>0</v>
      </c>
    </row>
    <row r="9230" spans="1:7" x14ac:dyDescent="0.2">
      <c r="A9230" t="s">
        <v>4368</v>
      </c>
      <c r="B9230">
        <v>0</v>
      </c>
      <c r="C9230">
        <v>0</v>
      </c>
      <c r="D9230">
        <v>1</v>
      </c>
      <c r="E9230">
        <v>0</v>
      </c>
      <c r="F9230">
        <v>0</v>
      </c>
      <c r="G9230">
        <v>1</v>
      </c>
    </row>
    <row r="9231" spans="1:7" x14ac:dyDescent="0.2">
      <c r="A9231" t="s">
        <v>4369</v>
      </c>
      <c r="B9231">
        <v>3</v>
      </c>
      <c r="C9231">
        <v>0</v>
      </c>
      <c r="D9231">
        <v>0</v>
      </c>
      <c r="E9231">
        <v>4</v>
      </c>
      <c r="F9231">
        <v>0</v>
      </c>
      <c r="G9231">
        <v>7</v>
      </c>
    </row>
    <row r="9232" spans="1:7" x14ac:dyDescent="0.2">
      <c r="A9232" t="s">
        <v>4370</v>
      </c>
      <c r="B9232">
        <v>0</v>
      </c>
      <c r="C9232">
        <v>0</v>
      </c>
      <c r="D9232">
        <v>0</v>
      </c>
      <c r="E9232">
        <v>0</v>
      </c>
      <c r="F9232">
        <v>0</v>
      </c>
      <c r="G9232">
        <v>0</v>
      </c>
    </row>
    <row r="9233" spans="1:10" x14ac:dyDescent="0.2">
      <c r="A9233" t="s">
        <v>4371</v>
      </c>
      <c r="B9233">
        <v>0</v>
      </c>
      <c r="C9233">
        <v>0</v>
      </c>
      <c r="D9233">
        <v>0</v>
      </c>
      <c r="E9233">
        <v>0</v>
      </c>
      <c r="F9233">
        <v>0</v>
      </c>
      <c r="G9233">
        <v>0</v>
      </c>
    </row>
    <row r="9234" spans="1:10" x14ac:dyDescent="0.2">
      <c r="A9234" t="s">
        <v>4372</v>
      </c>
      <c r="B9234">
        <v>0</v>
      </c>
      <c r="C9234">
        <v>0</v>
      </c>
      <c r="D9234">
        <v>0</v>
      </c>
      <c r="E9234">
        <v>0</v>
      </c>
      <c r="F9234">
        <v>0</v>
      </c>
      <c r="G9234">
        <v>0</v>
      </c>
    </row>
    <row r="9235" spans="1:10" x14ac:dyDescent="0.2">
      <c r="A9235" t="s">
        <v>4373</v>
      </c>
      <c r="B9235">
        <v>0</v>
      </c>
      <c r="C9235">
        <v>0</v>
      </c>
      <c r="D9235">
        <v>0</v>
      </c>
      <c r="E9235">
        <v>0</v>
      </c>
      <c r="F9235">
        <v>0</v>
      </c>
      <c r="G9235">
        <v>0</v>
      </c>
    </row>
    <row r="9236" spans="1:10" x14ac:dyDescent="0.2">
      <c r="A9236" t="s">
        <v>4374</v>
      </c>
      <c r="B9236">
        <v>0</v>
      </c>
      <c r="C9236">
        <v>0</v>
      </c>
      <c r="D9236">
        <v>0</v>
      </c>
      <c r="E9236">
        <v>0</v>
      </c>
      <c r="F9236">
        <v>0</v>
      </c>
      <c r="G9236">
        <v>0</v>
      </c>
    </row>
    <row r="9237" spans="1:10" x14ac:dyDescent="0.2">
      <c r="A9237" t="s">
        <v>4375</v>
      </c>
      <c r="B9237">
        <v>0</v>
      </c>
      <c r="C9237">
        <v>0</v>
      </c>
      <c r="D9237">
        <v>0</v>
      </c>
      <c r="E9237">
        <v>0</v>
      </c>
      <c r="F9237">
        <v>0</v>
      </c>
      <c r="G9237">
        <v>0</v>
      </c>
    </row>
    <row r="9238" spans="1:10" x14ac:dyDescent="0.2">
      <c r="A9238" t="s">
        <v>4376</v>
      </c>
      <c r="B9238">
        <v>0</v>
      </c>
      <c r="C9238">
        <v>0</v>
      </c>
      <c r="D9238">
        <v>0</v>
      </c>
      <c r="E9238">
        <v>0</v>
      </c>
      <c r="F9238">
        <v>0</v>
      </c>
      <c r="G9238">
        <v>0</v>
      </c>
    </row>
    <row r="9239" spans="1:10" x14ac:dyDescent="0.2">
      <c r="A9239" t="s">
        <v>4377</v>
      </c>
      <c r="B9239">
        <v>0</v>
      </c>
      <c r="C9239">
        <v>0</v>
      </c>
      <c r="D9239">
        <v>0</v>
      </c>
      <c r="E9239">
        <v>0</v>
      </c>
      <c r="F9239">
        <v>0</v>
      </c>
      <c r="G9239">
        <v>0</v>
      </c>
    </row>
    <row r="9240" spans="1:10" x14ac:dyDescent="0.2">
      <c r="A9240" t="s">
        <v>2318</v>
      </c>
      <c r="B9240" t="s">
        <v>2319</v>
      </c>
      <c r="C9240" t="s">
        <v>2319</v>
      </c>
      <c r="D9240" t="s">
        <v>2319</v>
      </c>
      <c r="E9240" t="s">
        <v>2319</v>
      </c>
      <c r="F9240" t="s">
        <v>2319</v>
      </c>
      <c r="G9240" t="s">
        <v>2319</v>
      </c>
    </row>
    <row r="9241" spans="1:10" x14ac:dyDescent="0.2">
      <c r="A9241" t="s">
        <v>4248</v>
      </c>
    </row>
    <row r="9242" spans="1:10" x14ac:dyDescent="0.2">
      <c r="A9242" t="s">
        <v>4250</v>
      </c>
      <c r="C9242" t="s">
        <v>4251</v>
      </c>
      <c r="G9242" t="s">
        <v>7531</v>
      </c>
      <c r="J9242"/>
    </row>
    <row r="9243" spans="1:10" x14ac:dyDescent="0.2">
      <c r="A9243" t="s">
        <v>4925</v>
      </c>
      <c r="G9243" t="s">
        <v>7543</v>
      </c>
      <c r="J9243"/>
    </row>
    <row r="9244" spans="1:10" x14ac:dyDescent="0.2">
      <c r="A9244" t="s">
        <v>7530</v>
      </c>
      <c r="J9244"/>
    </row>
    <row r="9245" spans="1:10" x14ac:dyDescent="0.2">
      <c r="A9245" t="s">
        <v>5054</v>
      </c>
      <c r="J9245"/>
    </row>
    <row r="9246" spans="1:10" x14ac:dyDescent="0.2">
      <c r="J9246"/>
    </row>
    <row r="9247" spans="1:10" x14ac:dyDescent="0.2">
      <c r="A9247" t="s">
        <v>4259</v>
      </c>
      <c r="J9247"/>
    </row>
    <row r="9248" spans="1:10" x14ac:dyDescent="0.2">
      <c r="A9248" t="s">
        <v>2318</v>
      </c>
      <c r="B9248" t="s">
        <v>2319</v>
      </c>
      <c r="C9248" t="s">
        <v>2319</v>
      </c>
      <c r="D9248" t="s">
        <v>2319</v>
      </c>
      <c r="E9248" t="s">
        <v>2319</v>
      </c>
      <c r="F9248" t="s">
        <v>2319</v>
      </c>
      <c r="G9248" t="s">
        <v>2319</v>
      </c>
    </row>
    <row r="9249" spans="1:7" x14ac:dyDescent="0.2">
      <c r="A9249" t="s">
        <v>174</v>
      </c>
      <c r="B9249" t="s">
        <v>4945</v>
      </c>
      <c r="C9249" t="s">
        <v>4946</v>
      </c>
      <c r="D9249" t="s">
        <v>4947</v>
      </c>
      <c r="E9249" t="s">
        <v>4948</v>
      </c>
      <c r="F9249" t="s">
        <v>4949</v>
      </c>
    </row>
    <row r="9250" spans="1:7" x14ac:dyDescent="0.2">
      <c r="A9250" t="s">
        <v>126</v>
      </c>
      <c r="B9250" t="s">
        <v>4262</v>
      </c>
      <c r="C9250" t="s">
        <v>4263</v>
      </c>
      <c r="D9250" t="s">
        <v>4264</v>
      </c>
      <c r="E9250" t="s">
        <v>2308</v>
      </c>
      <c r="F9250" t="s">
        <v>615</v>
      </c>
      <c r="G9250" t="s">
        <v>236</v>
      </c>
    </row>
    <row r="9251" spans="1:7" x14ac:dyDescent="0.2">
      <c r="A9251" t="s">
        <v>2318</v>
      </c>
      <c r="B9251" t="s">
        <v>2319</v>
      </c>
      <c r="C9251" t="s">
        <v>2319</v>
      </c>
      <c r="D9251" t="s">
        <v>2319</v>
      </c>
      <c r="E9251" t="s">
        <v>2319</v>
      </c>
      <c r="F9251" t="s">
        <v>2319</v>
      </c>
      <c r="G9251" t="s">
        <v>2319</v>
      </c>
    </row>
    <row r="9252" spans="1:7" x14ac:dyDescent="0.2">
      <c r="A9252" t="s">
        <v>4265</v>
      </c>
      <c r="B9252">
        <v>0</v>
      </c>
      <c r="C9252">
        <v>0</v>
      </c>
      <c r="D9252">
        <v>0</v>
      </c>
      <c r="E9252">
        <v>0</v>
      </c>
      <c r="F9252">
        <v>0</v>
      </c>
      <c r="G9252">
        <v>0</v>
      </c>
    </row>
    <row r="9253" spans="1:7" x14ac:dyDescent="0.2">
      <c r="A9253" t="s">
        <v>4266</v>
      </c>
      <c r="B9253">
        <v>0</v>
      </c>
      <c r="C9253">
        <v>0</v>
      </c>
      <c r="D9253">
        <v>0</v>
      </c>
      <c r="E9253">
        <v>0</v>
      </c>
      <c r="F9253">
        <v>0</v>
      </c>
      <c r="G9253">
        <v>0</v>
      </c>
    </row>
    <row r="9254" spans="1:7" x14ac:dyDescent="0.2">
      <c r="A9254" t="s">
        <v>4267</v>
      </c>
      <c r="B9254">
        <v>6</v>
      </c>
      <c r="C9254">
        <v>0</v>
      </c>
      <c r="D9254">
        <v>0</v>
      </c>
      <c r="E9254">
        <v>0</v>
      </c>
      <c r="F9254">
        <v>0</v>
      </c>
      <c r="G9254">
        <v>6</v>
      </c>
    </row>
    <row r="9255" spans="1:7" x14ac:dyDescent="0.2">
      <c r="A9255" t="s">
        <v>4268</v>
      </c>
      <c r="B9255">
        <v>0</v>
      </c>
      <c r="C9255">
        <v>1</v>
      </c>
      <c r="D9255">
        <v>0</v>
      </c>
      <c r="E9255">
        <v>0</v>
      </c>
      <c r="F9255">
        <v>0</v>
      </c>
      <c r="G9255">
        <v>1</v>
      </c>
    </row>
    <row r="9256" spans="1:7" x14ac:dyDescent="0.2">
      <c r="A9256" t="s">
        <v>4269</v>
      </c>
      <c r="B9256">
        <v>7</v>
      </c>
      <c r="C9256">
        <v>0</v>
      </c>
      <c r="D9256">
        <v>0</v>
      </c>
      <c r="E9256">
        <v>0</v>
      </c>
      <c r="F9256">
        <v>0</v>
      </c>
      <c r="G9256">
        <v>8</v>
      </c>
    </row>
    <row r="9257" spans="1:7" x14ac:dyDescent="0.2">
      <c r="A9257" t="s">
        <v>4270</v>
      </c>
      <c r="B9257">
        <v>0</v>
      </c>
      <c r="C9257">
        <v>0</v>
      </c>
      <c r="D9257">
        <v>0</v>
      </c>
      <c r="E9257">
        <v>0</v>
      </c>
      <c r="F9257">
        <v>0</v>
      </c>
      <c r="G9257">
        <v>0</v>
      </c>
    </row>
    <row r="9258" spans="1:7" x14ac:dyDescent="0.2">
      <c r="A9258" t="s">
        <v>4271</v>
      </c>
      <c r="B9258">
        <v>2</v>
      </c>
      <c r="C9258">
        <v>0</v>
      </c>
      <c r="D9258">
        <v>0</v>
      </c>
      <c r="E9258">
        <v>0</v>
      </c>
      <c r="F9258">
        <v>0</v>
      </c>
      <c r="G9258">
        <v>2</v>
      </c>
    </row>
    <row r="9259" spans="1:7" x14ac:dyDescent="0.2">
      <c r="A9259" t="s">
        <v>4272</v>
      </c>
      <c r="B9259">
        <v>4</v>
      </c>
      <c r="C9259">
        <v>0</v>
      </c>
      <c r="D9259">
        <v>0</v>
      </c>
      <c r="E9259">
        <v>0</v>
      </c>
      <c r="F9259">
        <v>0</v>
      </c>
      <c r="G9259">
        <v>4</v>
      </c>
    </row>
    <row r="9260" spans="1:7" x14ac:dyDescent="0.2">
      <c r="A9260" t="s">
        <v>4273</v>
      </c>
      <c r="B9260">
        <v>0</v>
      </c>
      <c r="C9260">
        <v>0</v>
      </c>
      <c r="D9260">
        <v>0</v>
      </c>
      <c r="E9260">
        <v>0</v>
      </c>
      <c r="F9260">
        <v>0</v>
      </c>
      <c r="G9260">
        <v>0</v>
      </c>
    </row>
    <row r="9261" spans="1:7" x14ac:dyDescent="0.2">
      <c r="A9261" t="s">
        <v>4274</v>
      </c>
      <c r="B9261">
        <v>0</v>
      </c>
      <c r="C9261">
        <v>0</v>
      </c>
      <c r="D9261">
        <v>0</v>
      </c>
      <c r="E9261">
        <v>0</v>
      </c>
      <c r="F9261">
        <v>0</v>
      </c>
      <c r="G9261">
        <v>0</v>
      </c>
    </row>
    <row r="9262" spans="1:7" x14ac:dyDescent="0.2">
      <c r="A9262" t="s">
        <v>4275</v>
      </c>
      <c r="B9262">
        <v>0</v>
      </c>
      <c r="C9262">
        <v>0</v>
      </c>
      <c r="D9262">
        <v>0</v>
      </c>
      <c r="E9262">
        <v>0</v>
      </c>
      <c r="F9262">
        <v>0</v>
      </c>
      <c r="G9262">
        <v>0</v>
      </c>
    </row>
    <row r="9263" spans="1:7" x14ac:dyDescent="0.2">
      <c r="A9263" t="s">
        <v>4276</v>
      </c>
      <c r="B9263">
        <v>0</v>
      </c>
      <c r="C9263">
        <v>0</v>
      </c>
      <c r="D9263">
        <v>0</v>
      </c>
      <c r="E9263">
        <v>0</v>
      </c>
      <c r="F9263">
        <v>0</v>
      </c>
      <c r="G9263">
        <v>0</v>
      </c>
    </row>
    <row r="9264" spans="1:7" x14ac:dyDescent="0.2">
      <c r="A9264" t="s">
        <v>4277</v>
      </c>
      <c r="B9264">
        <v>0</v>
      </c>
      <c r="C9264">
        <v>0</v>
      </c>
      <c r="D9264">
        <v>0</v>
      </c>
      <c r="E9264">
        <v>0</v>
      </c>
      <c r="F9264">
        <v>0</v>
      </c>
      <c r="G9264">
        <v>0</v>
      </c>
    </row>
    <row r="9265" spans="1:7" x14ac:dyDescent="0.2">
      <c r="A9265" t="s">
        <v>4278</v>
      </c>
      <c r="B9265">
        <v>0</v>
      </c>
      <c r="C9265">
        <v>0</v>
      </c>
      <c r="D9265">
        <v>0</v>
      </c>
      <c r="E9265">
        <v>0</v>
      </c>
      <c r="F9265">
        <v>0</v>
      </c>
      <c r="G9265">
        <v>0</v>
      </c>
    </row>
    <row r="9266" spans="1:7" x14ac:dyDescent="0.2">
      <c r="A9266" t="s">
        <v>4279</v>
      </c>
      <c r="B9266">
        <v>6</v>
      </c>
      <c r="C9266">
        <v>3</v>
      </c>
      <c r="D9266">
        <v>2</v>
      </c>
      <c r="E9266">
        <v>0</v>
      </c>
      <c r="F9266">
        <v>0</v>
      </c>
      <c r="G9266">
        <v>11</v>
      </c>
    </row>
    <row r="9267" spans="1:7" x14ac:dyDescent="0.2">
      <c r="A9267" t="s">
        <v>4280</v>
      </c>
      <c r="B9267">
        <v>0</v>
      </c>
      <c r="C9267">
        <v>1</v>
      </c>
      <c r="D9267">
        <v>0</v>
      </c>
      <c r="E9267">
        <v>0</v>
      </c>
      <c r="F9267">
        <v>0</v>
      </c>
      <c r="G9267">
        <v>2</v>
      </c>
    </row>
    <row r="9268" spans="1:7" x14ac:dyDescent="0.2">
      <c r="A9268" t="s">
        <v>4281</v>
      </c>
      <c r="B9268">
        <v>79</v>
      </c>
      <c r="C9268">
        <v>100</v>
      </c>
      <c r="D9268">
        <v>155</v>
      </c>
      <c r="E9268">
        <v>95</v>
      </c>
      <c r="F9268">
        <v>0</v>
      </c>
      <c r="G9268">
        <v>428</v>
      </c>
    </row>
    <row r="9269" spans="1:7" x14ac:dyDescent="0.2">
      <c r="A9269" t="s">
        <v>4282</v>
      </c>
      <c r="B9269">
        <v>49</v>
      </c>
      <c r="C9269">
        <v>42</v>
      </c>
      <c r="D9269">
        <v>54</v>
      </c>
      <c r="E9269">
        <v>2</v>
      </c>
      <c r="F9269">
        <v>0</v>
      </c>
      <c r="G9269">
        <v>147</v>
      </c>
    </row>
    <row r="9270" spans="1:7" x14ac:dyDescent="0.2">
      <c r="A9270" t="s">
        <v>4283</v>
      </c>
      <c r="B9270">
        <v>47</v>
      </c>
      <c r="C9270">
        <v>46</v>
      </c>
      <c r="D9270">
        <v>28</v>
      </c>
      <c r="E9270">
        <v>31</v>
      </c>
      <c r="F9270">
        <v>0</v>
      </c>
      <c r="G9270">
        <v>151</v>
      </c>
    </row>
    <row r="9271" spans="1:7" x14ac:dyDescent="0.2">
      <c r="A9271" t="s">
        <v>4284</v>
      </c>
      <c r="B9271">
        <v>7</v>
      </c>
      <c r="C9271">
        <v>0</v>
      </c>
      <c r="D9271">
        <v>7</v>
      </c>
      <c r="E9271">
        <v>1</v>
      </c>
      <c r="F9271">
        <v>0</v>
      </c>
      <c r="G9271">
        <v>15</v>
      </c>
    </row>
    <row r="9272" spans="1:7" x14ac:dyDescent="0.2">
      <c r="A9272" t="s">
        <v>4285</v>
      </c>
      <c r="B9272">
        <v>36</v>
      </c>
      <c r="C9272">
        <v>52</v>
      </c>
      <c r="D9272">
        <v>59</v>
      </c>
      <c r="E9272">
        <v>41</v>
      </c>
      <c r="F9272">
        <v>0</v>
      </c>
      <c r="G9272">
        <v>188</v>
      </c>
    </row>
    <row r="9273" spans="1:7" x14ac:dyDescent="0.2">
      <c r="A9273" t="s">
        <v>4286</v>
      </c>
      <c r="B9273">
        <v>13</v>
      </c>
      <c r="C9273">
        <v>2</v>
      </c>
      <c r="D9273">
        <v>4</v>
      </c>
      <c r="E9273">
        <v>1</v>
      </c>
      <c r="F9273">
        <v>0</v>
      </c>
      <c r="G9273">
        <v>19</v>
      </c>
    </row>
    <row r="9274" spans="1:7" x14ac:dyDescent="0.2">
      <c r="A9274" t="s">
        <v>4287</v>
      </c>
      <c r="B9274">
        <v>0</v>
      </c>
      <c r="C9274">
        <v>0</v>
      </c>
      <c r="D9274">
        <v>0</v>
      </c>
      <c r="E9274">
        <v>518</v>
      </c>
      <c r="F9274">
        <v>0</v>
      </c>
      <c r="G9274">
        <v>518</v>
      </c>
    </row>
    <row r="9275" spans="1:7" x14ac:dyDescent="0.2">
      <c r="A9275" t="s">
        <v>4288</v>
      </c>
      <c r="B9275">
        <v>0</v>
      </c>
      <c r="C9275">
        <v>0</v>
      </c>
      <c r="D9275">
        <v>0</v>
      </c>
      <c r="E9275">
        <v>0</v>
      </c>
      <c r="F9275">
        <v>58</v>
      </c>
      <c r="G9275">
        <v>58</v>
      </c>
    </row>
    <row r="9276" spans="1:7" x14ac:dyDescent="0.2">
      <c r="A9276" t="s">
        <v>4289</v>
      </c>
      <c r="B9276">
        <v>0</v>
      </c>
      <c r="C9276">
        <v>0</v>
      </c>
      <c r="D9276">
        <v>0</v>
      </c>
      <c r="E9276">
        <v>0</v>
      </c>
      <c r="F9276">
        <v>4371</v>
      </c>
      <c r="G9276">
        <v>4371</v>
      </c>
    </row>
    <row r="9277" spans="1:7" x14ac:dyDescent="0.2">
      <c r="A9277" t="s">
        <v>4290</v>
      </c>
      <c r="B9277">
        <v>0</v>
      </c>
      <c r="C9277">
        <v>0</v>
      </c>
      <c r="D9277">
        <v>0</v>
      </c>
      <c r="E9277">
        <v>0</v>
      </c>
      <c r="F9277">
        <v>0</v>
      </c>
      <c r="G9277">
        <v>0</v>
      </c>
    </row>
    <row r="9278" spans="1:7" x14ac:dyDescent="0.2">
      <c r="A9278" t="s">
        <v>4291</v>
      </c>
      <c r="B9278">
        <v>0</v>
      </c>
      <c r="C9278">
        <v>0</v>
      </c>
      <c r="D9278">
        <v>0</v>
      </c>
      <c r="E9278">
        <v>0</v>
      </c>
      <c r="F9278">
        <v>0</v>
      </c>
      <c r="G9278">
        <v>0</v>
      </c>
    </row>
    <row r="9279" spans="1:7" x14ac:dyDescent="0.2">
      <c r="A9279" t="s">
        <v>4292</v>
      </c>
      <c r="B9279">
        <v>0</v>
      </c>
      <c r="C9279">
        <v>0</v>
      </c>
      <c r="D9279">
        <v>0</v>
      </c>
      <c r="E9279">
        <v>0</v>
      </c>
      <c r="F9279">
        <v>138</v>
      </c>
      <c r="G9279">
        <v>138</v>
      </c>
    </row>
    <row r="9280" spans="1:7" x14ac:dyDescent="0.2">
      <c r="A9280" t="s">
        <v>4293</v>
      </c>
      <c r="B9280">
        <v>0</v>
      </c>
      <c r="C9280">
        <v>0</v>
      </c>
      <c r="D9280">
        <v>0</v>
      </c>
      <c r="E9280">
        <v>0</v>
      </c>
      <c r="F9280">
        <v>0</v>
      </c>
      <c r="G9280">
        <v>0</v>
      </c>
    </row>
    <row r="9281" spans="1:7" x14ac:dyDescent="0.2">
      <c r="A9281" t="s">
        <v>4294</v>
      </c>
      <c r="B9281">
        <v>0</v>
      </c>
      <c r="C9281">
        <v>0</v>
      </c>
      <c r="D9281">
        <v>0</v>
      </c>
      <c r="E9281">
        <v>0</v>
      </c>
      <c r="F9281">
        <v>0</v>
      </c>
      <c r="G9281">
        <v>0</v>
      </c>
    </row>
    <row r="9282" spans="1:7" x14ac:dyDescent="0.2">
      <c r="A9282" t="s">
        <v>4295</v>
      </c>
      <c r="B9282">
        <v>0</v>
      </c>
      <c r="C9282">
        <v>0</v>
      </c>
      <c r="D9282">
        <v>0</v>
      </c>
      <c r="E9282">
        <v>0</v>
      </c>
      <c r="F9282">
        <v>0</v>
      </c>
      <c r="G9282">
        <v>0</v>
      </c>
    </row>
    <row r="9283" spans="1:7" x14ac:dyDescent="0.2">
      <c r="A9283" t="s">
        <v>4296</v>
      </c>
      <c r="B9283">
        <v>0</v>
      </c>
      <c r="C9283">
        <v>0</v>
      </c>
      <c r="D9283">
        <v>0</v>
      </c>
      <c r="E9283">
        <v>0</v>
      </c>
      <c r="F9283">
        <v>0</v>
      </c>
      <c r="G9283">
        <v>0</v>
      </c>
    </row>
    <row r="9284" spans="1:7" x14ac:dyDescent="0.2">
      <c r="A9284" t="s">
        <v>4297</v>
      </c>
      <c r="B9284">
        <v>12</v>
      </c>
      <c r="C9284">
        <v>52</v>
      </c>
      <c r="D9284">
        <v>261</v>
      </c>
      <c r="E9284">
        <v>76</v>
      </c>
      <c r="F9284">
        <v>0</v>
      </c>
      <c r="G9284">
        <v>400</v>
      </c>
    </row>
    <row r="9285" spans="1:7" x14ac:dyDescent="0.2">
      <c r="A9285" t="s">
        <v>4298</v>
      </c>
      <c r="B9285">
        <v>12</v>
      </c>
      <c r="C9285">
        <v>12</v>
      </c>
      <c r="D9285">
        <v>15</v>
      </c>
      <c r="E9285">
        <v>107</v>
      </c>
      <c r="F9285">
        <v>0</v>
      </c>
      <c r="G9285">
        <v>146</v>
      </c>
    </row>
    <row r="9286" spans="1:7" x14ac:dyDescent="0.2">
      <c r="A9286" t="s">
        <v>4299</v>
      </c>
      <c r="B9286">
        <v>3</v>
      </c>
      <c r="C9286">
        <v>7</v>
      </c>
      <c r="D9286">
        <v>25</v>
      </c>
      <c r="E9286">
        <v>31</v>
      </c>
      <c r="F9286">
        <v>0</v>
      </c>
      <c r="G9286">
        <v>66</v>
      </c>
    </row>
    <row r="9287" spans="1:7" x14ac:dyDescent="0.2">
      <c r="A9287" t="s">
        <v>4300</v>
      </c>
      <c r="B9287">
        <v>0</v>
      </c>
      <c r="C9287">
        <v>0</v>
      </c>
      <c r="D9287">
        <v>2</v>
      </c>
      <c r="E9287">
        <v>2</v>
      </c>
      <c r="F9287">
        <v>0</v>
      </c>
      <c r="G9287">
        <v>4</v>
      </c>
    </row>
    <row r="9288" spans="1:7" x14ac:dyDescent="0.2">
      <c r="A9288" t="s">
        <v>4301</v>
      </c>
      <c r="B9288">
        <v>0</v>
      </c>
      <c r="C9288">
        <v>34</v>
      </c>
      <c r="D9288">
        <v>125</v>
      </c>
      <c r="E9288">
        <v>79</v>
      </c>
      <c r="F9288">
        <v>0</v>
      </c>
      <c r="G9288">
        <v>239</v>
      </c>
    </row>
    <row r="9289" spans="1:7" x14ac:dyDescent="0.2">
      <c r="A9289" t="s">
        <v>4302</v>
      </c>
      <c r="B9289">
        <v>2</v>
      </c>
      <c r="C9289">
        <v>9</v>
      </c>
      <c r="D9289">
        <v>23</v>
      </c>
      <c r="E9289">
        <v>12</v>
      </c>
      <c r="F9289">
        <v>0</v>
      </c>
      <c r="G9289">
        <v>46</v>
      </c>
    </row>
    <row r="9290" spans="1:7" x14ac:dyDescent="0.2">
      <c r="A9290" t="s">
        <v>4303</v>
      </c>
      <c r="B9290">
        <v>2</v>
      </c>
      <c r="C9290">
        <v>25</v>
      </c>
      <c r="D9290">
        <v>93</v>
      </c>
      <c r="E9290">
        <v>30</v>
      </c>
      <c r="F9290">
        <v>0</v>
      </c>
      <c r="G9290">
        <v>150</v>
      </c>
    </row>
    <row r="9291" spans="1:7" x14ac:dyDescent="0.2">
      <c r="A9291" t="s">
        <v>4304</v>
      </c>
      <c r="B9291">
        <v>1</v>
      </c>
      <c r="C9291">
        <v>2</v>
      </c>
      <c r="D9291">
        <v>8</v>
      </c>
      <c r="E9291">
        <v>0</v>
      </c>
      <c r="F9291">
        <v>0</v>
      </c>
      <c r="G9291">
        <v>10</v>
      </c>
    </row>
    <row r="9292" spans="1:7" x14ac:dyDescent="0.2">
      <c r="A9292" t="s">
        <v>4305</v>
      </c>
      <c r="B9292">
        <v>2</v>
      </c>
      <c r="C9292">
        <v>6</v>
      </c>
      <c r="D9292">
        <v>9</v>
      </c>
      <c r="E9292">
        <v>4</v>
      </c>
      <c r="F9292">
        <v>0</v>
      </c>
      <c r="G9292">
        <v>22</v>
      </c>
    </row>
    <row r="9293" spans="1:7" x14ac:dyDescent="0.2">
      <c r="A9293" t="s">
        <v>4306</v>
      </c>
      <c r="B9293">
        <v>0</v>
      </c>
      <c r="C9293">
        <v>1</v>
      </c>
      <c r="D9293">
        <v>1</v>
      </c>
      <c r="E9293">
        <v>2</v>
      </c>
      <c r="F9293">
        <v>0</v>
      </c>
      <c r="G9293">
        <v>4</v>
      </c>
    </row>
    <row r="9294" spans="1:7" x14ac:dyDescent="0.2">
      <c r="A9294" t="s">
        <v>4307</v>
      </c>
      <c r="B9294">
        <v>2</v>
      </c>
      <c r="C9294">
        <v>13</v>
      </c>
      <c r="D9294">
        <v>106</v>
      </c>
      <c r="E9294">
        <v>75</v>
      </c>
      <c r="F9294">
        <v>0</v>
      </c>
      <c r="G9294">
        <v>196</v>
      </c>
    </row>
    <row r="9295" spans="1:7" x14ac:dyDescent="0.2">
      <c r="A9295" t="s">
        <v>4308</v>
      </c>
      <c r="B9295">
        <v>0</v>
      </c>
      <c r="C9295">
        <v>0</v>
      </c>
      <c r="D9295">
        <v>0</v>
      </c>
      <c r="E9295">
        <v>0</v>
      </c>
      <c r="F9295">
        <v>0</v>
      </c>
      <c r="G9295">
        <v>0</v>
      </c>
    </row>
    <row r="9296" spans="1:7" x14ac:dyDescent="0.2">
      <c r="A9296" t="s">
        <v>4309</v>
      </c>
      <c r="B9296">
        <v>0</v>
      </c>
      <c r="C9296">
        <v>0</v>
      </c>
      <c r="D9296">
        <v>0</v>
      </c>
      <c r="E9296">
        <v>0</v>
      </c>
      <c r="F9296">
        <v>0</v>
      </c>
      <c r="G9296">
        <v>0</v>
      </c>
    </row>
    <row r="9297" spans="1:7" x14ac:dyDescent="0.2">
      <c r="A9297" t="s">
        <v>4310</v>
      </c>
      <c r="B9297">
        <v>0</v>
      </c>
      <c r="C9297">
        <v>0</v>
      </c>
      <c r="D9297">
        <v>0</v>
      </c>
      <c r="E9297">
        <v>0</v>
      </c>
      <c r="F9297">
        <v>0</v>
      </c>
      <c r="G9297">
        <v>0</v>
      </c>
    </row>
    <row r="9298" spans="1:7" x14ac:dyDescent="0.2">
      <c r="A9298" t="s">
        <v>4311</v>
      </c>
      <c r="B9298">
        <v>0</v>
      </c>
      <c r="C9298">
        <v>0</v>
      </c>
      <c r="D9298">
        <v>0</v>
      </c>
      <c r="E9298">
        <v>6</v>
      </c>
      <c r="F9298">
        <v>0</v>
      </c>
      <c r="G9298">
        <v>7</v>
      </c>
    </row>
    <row r="9299" spans="1:7" x14ac:dyDescent="0.2">
      <c r="A9299" t="s">
        <v>4312</v>
      </c>
      <c r="B9299">
        <v>0</v>
      </c>
      <c r="C9299">
        <v>0</v>
      </c>
      <c r="D9299">
        <v>0</v>
      </c>
      <c r="E9299">
        <v>4</v>
      </c>
      <c r="F9299">
        <v>0</v>
      </c>
      <c r="G9299">
        <v>4</v>
      </c>
    </row>
    <row r="9300" spans="1:7" x14ac:dyDescent="0.2">
      <c r="A9300" t="s">
        <v>4313</v>
      </c>
      <c r="B9300">
        <v>0</v>
      </c>
      <c r="C9300">
        <v>0</v>
      </c>
      <c r="D9300">
        <v>0</v>
      </c>
      <c r="E9300">
        <v>0</v>
      </c>
      <c r="F9300">
        <v>0</v>
      </c>
      <c r="G9300">
        <v>0</v>
      </c>
    </row>
    <row r="9301" spans="1:7" x14ac:dyDescent="0.2">
      <c r="A9301" t="s">
        <v>4314</v>
      </c>
      <c r="B9301">
        <v>0</v>
      </c>
      <c r="C9301">
        <v>0</v>
      </c>
      <c r="D9301">
        <v>0</v>
      </c>
      <c r="E9301">
        <v>0</v>
      </c>
      <c r="F9301">
        <v>0</v>
      </c>
      <c r="G9301">
        <v>0</v>
      </c>
    </row>
    <row r="9302" spans="1:7" x14ac:dyDescent="0.2">
      <c r="A9302" t="s">
        <v>4315</v>
      </c>
      <c r="B9302">
        <v>0</v>
      </c>
      <c r="C9302">
        <v>0</v>
      </c>
      <c r="D9302">
        <v>0</v>
      </c>
      <c r="E9302">
        <v>0</v>
      </c>
      <c r="F9302">
        <v>0</v>
      </c>
      <c r="G9302">
        <v>0</v>
      </c>
    </row>
    <row r="9303" spans="1:7" x14ac:dyDescent="0.2">
      <c r="A9303" t="s">
        <v>4316</v>
      </c>
      <c r="B9303">
        <v>0</v>
      </c>
      <c r="C9303">
        <v>0</v>
      </c>
      <c r="D9303">
        <v>0</v>
      </c>
      <c r="E9303">
        <v>0</v>
      </c>
      <c r="F9303">
        <v>0</v>
      </c>
      <c r="G9303">
        <v>0</v>
      </c>
    </row>
    <row r="9304" spans="1:7" x14ac:dyDescent="0.2">
      <c r="A9304" t="s">
        <v>4317</v>
      </c>
      <c r="B9304">
        <v>0</v>
      </c>
      <c r="C9304">
        <v>0</v>
      </c>
      <c r="D9304">
        <v>0</v>
      </c>
      <c r="E9304">
        <v>0</v>
      </c>
      <c r="F9304">
        <v>0</v>
      </c>
      <c r="G9304">
        <v>0</v>
      </c>
    </row>
    <row r="9305" spans="1:7" x14ac:dyDescent="0.2">
      <c r="A9305" t="s">
        <v>4318</v>
      </c>
      <c r="B9305">
        <v>0</v>
      </c>
      <c r="C9305">
        <v>0</v>
      </c>
      <c r="D9305">
        <v>0</v>
      </c>
      <c r="E9305">
        <v>0</v>
      </c>
      <c r="F9305">
        <v>0</v>
      </c>
      <c r="G9305">
        <v>0</v>
      </c>
    </row>
    <row r="9306" spans="1:7" x14ac:dyDescent="0.2">
      <c r="A9306" t="s">
        <v>4319</v>
      </c>
      <c r="B9306">
        <v>0</v>
      </c>
      <c r="C9306">
        <v>0</v>
      </c>
      <c r="D9306">
        <v>0</v>
      </c>
      <c r="E9306">
        <v>0</v>
      </c>
      <c r="F9306">
        <v>0</v>
      </c>
      <c r="G9306">
        <v>0</v>
      </c>
    </row>
    <row r="9307" spans="1:7" x14ac:dyDescent="0.2">
      <c r="A9307" t="s">
        <v>4320</v>
      </c>
      <c r="B9307">
        <v>0</v>
      </c>
      <c r="C9307">
        <v>0</v>
      </c>
      <c r="D9307">
        <v>0</v>
      </c>
      <c r="E9307">
        <v>0</v>
      </c>
      <c r="F9307">
        <v>0</v>
      </c>
      <c r="G9307">
        <v>0</v>
      </c>
    </row>
    <row r="9308" spans="1:7" x14ac:dyDescent="0.2">
      <c r="A9308" t="s">
        <v>4321</v>
      </c>
      <c r="B9308">
        <v>0</v>
      </c>
      <c r="C9308">
        <v>0</v>
      </c>
      <c r="D9308">
        <v>0</v>
      </c>
      <c r="E9308">
        <v>0</v>
      </c>
      <c r="F9308">
        <v>0</v>
      </c>
      <c r="G9308">
        <v>0</v>
      </c>
    </row>
    <row r="9309" spans="1:7" x14ac:dyDescent="0.2">
      <c r="A9309" t="s">
        <v>4322</v>
      </c>
      <c r="B9309">
        <v>0</v>
      </c>
      <c r="C9309">
        <v>0</v>
      </c>
      <c r="D9309">
        <v>0</v>
      </c>
      <c r="E9309">
        <v>0</v>
      </c>
      <c r="F9309">
        <v>0</v>
      </c>
      <c r="G9309">
        <v>0</v>
      </c>
    </row>
    <row r="9310" spans="1:7" x14ac:dyDescent="0.2">
      <c r="A9310" t="s">
        <v>4323</v>
      </c>
      <c r="B9310">
        <v>0</v>
      </c>
      <c r="C9310">
        <v>0</v>
      </c>
      <c r="D9310">
        <v>0</v>
      </c>
      <c r="E9310">
        <v>0</v>
      </c>
      <c r="F9310">
        <v>0</v>
      </c>
      <c r="G9310">
        <v>0</v>
      </c>
    </row>
    <row r="9311" spans="1:7" x14ac:dyDescent="0.2">
      <c r="A9311" t="s">
        <v>4324</v>
      </c>
      <c r="B9311">
        <v>0</v>
      </c>
      <c r="C9311">
        <v>0</v>
      </c>
      <c r="D9311">
        <v>0</v>
      </c>
      <c r="E9311">
        <v>0</v>
      </c>
      <c r="F9311">
        <v>0</v>
      </c>
      <c r="G9311">
        <v>0</v>
      </c>
    </row>
    <row r="9312" spans="1:7" x14ac:dyDescent="0.2">
      <c r="A9312" t="s">
        <v>4325</v>
      </c>
      <c r="B9312">
        <v>0</v>
      </c>
      <c r="C9312">
        <v>0</v>
      </c>
      <c r="D9312">
        <v>0</v>
      </c>
      <c r="E9312">
        <v>0</v>
      </c>
      <c r="F9312">
        <v>0</v>
      </c>
      <c r="G9312">
        <v>0</v>
      </c>
    </row>
    <row r="9313" spans="1:7" x14ac:dyDescent="0.2">
      <c r="A9313" t="s">
        <v>4326</v>
      </c>
      <c r="B9313">
        <v>0</v>
      </c>
      <c r="C9313">
        <v>0</v>
      </c>
      <c r="D9313">
        <v>0</v>
      </c>
      <c r="E9313">
        <v>0</v>
      </c>
      <c r="F9313">
        <v>0</v>
      </c>
      <c r="G9313">
        <v>0</v>
      </c>
    </row>
    <row r="9314" spans="1:7" x14ac:dyDescent="0.2">
      <c r="A9314" t="s">
        <v>4327</v>
      </c>
      <c r="B9314">
        <v>0</v>
      </c>
      <c r="C9314">
        <v>0</v>
      </c>
      <c r="D9314">
        <v>0</v>
      </c>
      <c r="E9314">
        <v>0</v>
      </c>
      <c r="F9314">
        <v>0</v>
      </c>
      <c r="G9314">
        <v>0</v>
      </c>
    </row>
    <row r="9315" spans="1:7" x14ac:dyDescent="0.2">
      <c r="A9315" t="s">
        <v>4328</v>
      </c>
      <c r="B9315">
        <v>0</v>
      </c>
      <c r="C9315">
        <v>0</v>
      </c>
      <c r="D9315">
        <v>0</v>
      </c>
      <c r="E9315">
        <v>0</v>
      </c>
      <c r="F9315">
        <v>0</v>
      </c>
      <c r="G9315">
        <v>0</v>
      </c>
    </row>
    <row r="9316" spans="1:7" x14ac:dyDescent="0.2">
      <c r="A9316" t="s">
        <v>4329</v>
      </c>
      <c r="B9316">
        <v>0</v>
      </c>
      <c r="C9316">
        <v>0</v>
      </c>
      <c r="D9316">
        <v>0</v>
      </c>
      <c r="E9316">
        <v>0</v>
      </c>
      <c r="F9316">
        <v>0</v>
      </c>
      <c r="G9316">
        <v>0</v>
      </c>
    </row>
    <row r="9317" spans="1:7" x14ac:dyDescent="0.2">
      <c r="A9317" t="s">
        <v>4330</v>
      </c>
      <c r="B9317">
        <v>0</v>
      </c>
      <c r="C9317">
        <v>0</v>
      </c>
      <c r="D9317">
        <v>0</v>
      </c>
      <c r="E9317">
        <v>0</v>
      </c>
      <c r="F9317">
        <v>0</v>
      </c>
      <c r="G9317">
        <v>0</v>
      </c>
    </row>
    <row r="9318" spans="1:7" x14ac:dyDescent="0.2">
      <c r="A9318" t="s">
        <v>4331</v>
      </c>
      <c r="B9318">
        <v>0</v>
      </c>
      <c r="C9318">
        <v>0</v>
      </c>
      <c r="D9318">
        <v>0</v>
      </c>
      <c r="E9318">
        <v>0</v>
      </c>
      <c r="F9318">
        <v>0</v>
      </c>
      <c r="G9318">
        <v>0</v>
      </c>
    </row>
    <row r="9319" spans="1:7" x14ac:dyDescent="0.2">
      <c r="A9319" t="s">
        <v>4332</v>
      </c>
      <c r="B9319">
        <v>0</v>
      </c>
      <c r="C9319">
        <v>0</v>
      </c>
      <c r="D9319">
        <v>0</v>
      </c>
      <c r="E9319">
        <v>0</v>
      </c>
      <c r="F9319">
        <v>0</v>
      </c>
      <c r="G9319">
        <v>0</v>
      </c>
    </row>
    <row r="9320" spans="1:7" x14ac:dyDescent="0.2">
      <c r="A9320" t="s">
        <v>4333</v>
      </c>
      <c r="B9320">
        <v>0</v>
      </c>
      <c r="C9320">
        <v>0</v>
      </c>
      <c r="D9320">
        <v>0</v>
      </c>
      <c r="E9320">
        <v>0</v>
      </c>
      <c r="F9320">
        <v>0</v>
      </c>
      <c r="G9320">
        <v>0</v>
      </c>
    </row>
    <row r="9321" spans="1:7" x14ac:dyDescent="0.2">
      <c r="A9321" t="s">
        <v>4334</v>
      </c>
      <c r="B9321">
        <v>0</v>
      </c>
      <c r="C9321">
        <v>0</v>
      </c>
      <c r="D9321">
        <v>0</v>
      </c>
      <c r="E9321">
        <v>0</v>
      </c>
      <c r="F9321">
        <v>0</v>
      </c>
      <c r="G9321">
        <v>0</v>
      </c>
    </row>
    <row r="9322" spans="1:7" x14ac:dyDescent="0.2">
      <c r="A9322" t="s">
        <v>4335</v>
      </c>
      <c r="B9322">
        <v>0</v>
      </c>
      <c r="C9322">
        <v>0</v>
      </c>
      <c r="D9322">
        <v>0</v>
      </c>
      <c r="E9322">
        <v>0</v>
      </c>
      <c r="F9322">
        <v>0</v>
      </c>
      <c r="G9322">
        <v>0</v>
      </c>
    </row>
    <row r="9323" spans="1:7" x14ac:dyDescent="0.2">
      <c r="A9323" t="s">
        <v>4336</v>
      </c>
      <c r="B9323">
        <v>0</v>
      </c>
      <c r="C9323">
        <v>0</v>
      </c>
      <c r="D9323">
        <v>0</v>
      </c>
      <c r="E9323">
        <v>0</v>
      </c>
      <c r="F9323">
        <v>0</v>
      </c>
      <c r="G9323">
        <v>0</v>
      </c>
    </row>
    <row r="9324" spans="1:7" x14ac:dyDescent="0.2">
      <c r="A9324" t="s">
        <v>4337</v>
      </c>
      <c r="B9324">
        <v>0</v>
      </c>
      <c r="C9324">
        <v>0</v>
      </c>
      <c r="D9324">
        <v>0</v>
      </c>
      <c r="E9324">
        <v>0</v>
      </c>
      <c r="F9324">
        <v>0</v>
      </c>
      <c r="G9324">
        <v>0</v>
      </c>
    </row>
    <row r="9325" spans="1:7" x14ac:dyDescent="0.2">
      <c r="A9325" t="s">
        <v>4338</v>
      </c>
      <c r="B9325">
        <v>0</v>
      </c>
      <c r="C9325">
        <v>0</v>
      </c>
      <c r="D9325">
        <v>0</v>
      </c>
      <c r="E9325">
        <v>0</v>
      </c>
      <c r="F9325">
        <v>0</v>
      </c>
      <c r="G9325">
        <v>0</v>
      </c>
    </row>
    <row r="9326" spans="1:7" x14ac:dyDescent="0.2">
      <c r="A9326" t="s">
        <v>4339</v>
      </c>
      <c r="B9326">
        <v>0</v>
      </c>
      <c r="C9326">
        <v>0</v>
      </c>
      <c r="D9326">
        <v>0</v>
      </c>
      <c r="E9326">
        <v>0</v>
      </c>
      <c r="F9326">
        <v>0</v>
      </c>
      <c r="G9326">
        <v>0</v>
      </c>
    </row>
    <row r="9327" spans="1:7" x14ac:dyDescent="0.2">
      <c r="A9327" t="s">
        <v>4340</v>
      </c>
      <c r="B9327">
        <v>0</v>
      </c>
      <c r="C9327">
        <v>0</v>
      </c>
      <c r="D9327">
        <v>0</v>
      </c>
      <c r="E9327">
        <v>0</v>
      </c>
      <c r="F9327">
        <v>0</v>
      </c>
      <c r="G9327">
        <v>0</v>
      </c>
    </row>
    <row r="9328" spans="1:7" x14ac:dyDescent="0.2">
      <c r="A9328" t="s">
        <v>4341</v>
      </c>
      <c r="B9328">
        <v>0</v>
      </c>
      <c r="C9328">
        <v>0</v>
      </c>
      <c r="D9328">
        <v>0</v>
      </c>
      <c r="E9328">
        <v>0</v>
      </c>
      <c r="F9328">
        <v>0</v>
      </c>
      <c r="G9328">
        <v>0</v>
      </c>
    </row>
    <row r="9329" spans="1:7" x14ac:dyDescent="0.2">
      <c r="A9329" t="s">
        <v>4342</v>
      </c>
      <c r="B9329">
        <v>0</v>
      </c>
      <c r="C9329">
        <v>0</v>
      </c>
      <c r="D9329">
        <v>0</v>
      </c>
      <c r="E9329">
        <v>0</v>
      </c>
      <c r="F9329">
        <v>0</v>
      </c>
      <c r="G9329">
        <v>0</v>
      </c>
    </row>
    <row r="9330" spans="1:7" x14ac:dyDescent="0.2">
      <c r="A9330" t="s">
        <v>4343</v>
      </c>
      <c r="B9330">
        <v>0</v>
      </c>
      <c r="C9330">
        <v>0</v>
      </c>
      <c r="D9330">
        <v>0</v>
      </c>
      <c r="E9330">
        <v>0</v>
      </c>
      <c r="F9330">
        <v>0</v>
      </c>
      <c r="G9330">
        <v>0</v>
      </c>
    </row>
    <row r="9331" spans="1:7" x14ac:dyDescent="0.2">
      <c r="A9331" t="s">
        <v>1728</v>
      </c>
      <c r="B9331">
        <v>0</v>
      </c>
      <c r="C9331">
        <v>0</v>
      </c>
      <c r="D9331">
        <v>0</v>
      </c>
      <c r="E9331">
        <v>0</v>
      </c>
      <c r="F9331">
        <v>0</v>
      </c>
      <c r="G9331">
        <v>0</v>
      </c>
    </row>
    <row r="9332" spans="1:7" x14ac:dyDescent="0.2">
      <c r="A9332" t="s">
        <v>1730</v>
      </c>
      <c r="B9332">
        <v>0</v>
      </c>
      <c r="C9332">
        <v>0</v>
      </c>
      <c r="D9332">
        <v>0</v>
      </c>
      <c r="E9332">
        <v>0</v>
      </c>
      <c r="F9332">
        <v>0</v>
      </c>
      <c r="G9332">
        <v>0</v>
      </c>
    </row>
    <row r="9333" spans="1:7" x14ac:dyDescent="0.2">
      <c r="A9333" t="s">
        <v>1733</v>
      </c>
      <c r="B9333">
        <v>0</v>
      </c>
      <c r="C9333">
        <v>0</v>
      </c>
      <c r="D9333">
        <v>0</v>
      </c>
      <c r="E9333">
        <v>0</v>
      </c>
      <c r="F9333">
        <v>0</v>
      </c>
      <c r="G9333">
        <v>0</v>
      </c>
    </row>
    <row r="9334" spans="1:7" x14ac:dyDescent="0.2">
      <c r="A9334" t="s">
        <v>1738</v>
      </c>
      <c r="B9334">
        <v>0</v>
      </c>
      <c r="C9334">
        <v>0</v>
      </c>
      <c r="D9334">
        <v>0</v>
      </c>
      <c r="E9334">
        <v>0</v>
      </c>
      <c r="F9334">
        <v>0</v>
      </c>
      <c r="G9334">
        <v>0</v>
      </c>
    </row>
    <row r="9335" spans="1:7" x14ac:dyDescent="0.2">
      <c r="A9335" t="s">
        <v>1744</v>
      </c>
      <c r="B9335">
        <v>0</v>
      </c>
      <c r="C9335">
        <v>0</v>
      </c>
      <c r="D9335">
        <v>0</v>
      </c>
      <c r="E9335">
        <v>0</v>
      </c>
      <c r="F9335">
        <v>0</v>
      </c>
      <c r="G9335">
        <v>0</v>
      </c>
    </row>
    <row r="9336" spans="1:7" x14ac:dyDescent="0.2">
      <c r="A9336" t="s">
        <v>1747</v>
      </c>
      <c r="B9336">
        <v>0</v>
      </c>
      <c r="C9336">
        <v>0</v>
      </c>
      <c r="D9336">
        <v>0</v>
      </c>
      <c r="E9336">
        <v>0</v>
      </c>
      <c r="F9336">
        <v>0</v>
      </c>
      <c r="G9336">
        <v>0</v>
      </c>
    </row>
    <row r="9337" spans="1:7" x14ac:dyDescent="0.2">
      <c r="A9337" t="s">
        <v>1751</v>
      </c>
      <c r="B9337">
        <v>0</v>
      </c>
      <c r="C9337">
        <v>0</v>
      </c>
      <c r="D9337">
        <v>0</v>
      </c>
      <c r="E9337">
        <v>0</v>
      </c>
      <c r="F9337">
        <v>0</v>
      </c>
      <c r="G9337">
        <v>0</v>
      </c>
    </row>
    <row r="9338" spans="1:7" x14ac:dyDescent="0.2">
      <c r="A9338" t="s">
        <v>1755</v>
      </c>
      <c r="B9338">
        <v>0</v>
      </c>
      <c r="C9338">
        <v>0</v>
      </c>
      <c r="D9338">
        <v>0</v>
      </c>
      <c r="E9338">
        <v>0</v>
      </c>
      <c r="F9338">
        <v>0</v>
      </c>
      <c r="G9338">
        <v>0</v>
      </c>
    </row>
    <row r="9339" spans="1:7" x14ac:dyDescent="0.2">
      <c r="A9339" t="s">
        <v>1757</v>
      </c>
      <c r="B9339">
        <v>0</v>
      </c>
      <c r="C9339">
        <v>0</v>
      </c>
      <c r="D9339">
        <v>0</v>
      </c>
      <c r="E9339">
        <v>0</v>
      </c>
      <c r="F9339">
        <v>0</v>
      </c>
      <c r="G9339">
        <v>0</v>
      </c>
    </row>
    <row r="9340" spans="1:7" x14ac:dyDescent="0.2">
      <c r="A9340" t="s">
        <v>1761</v>
      </c>
      <c r="B9340">
        <v>0</v>
      </c>
      <c r="C9340">
        <v>0</v>
      </c>
      <c r="D9340">
        <v>0</v>
      </c>
      <c r="E9340">
        <v>0</v>
      </c>
      <c r="F9340">
        <v>0</v>
      </c>
      <c r="G9340">
        <v>0</v>
      </c>
    </row>
    <row r="9341" spans="1:7" x14ac:dyDescent="0.2">
      <c r="A9341" t="s">
        <v>1764</v>
      </c>
      <c r="B9341">
        <v>0</v>
      </c>
      <c r="C9341">
        <v>0</v>
      </c>
      <c r="D9341">
        <v>0</v>
      </c>
      <c r="E9341">
        <v>0</v>
      </c>
      <c r="F9341">
        <v>0</v>
      </c>
      <c r="G9341">
        <v>0</v>
      </c>
    </row>
    <row r="9342" spans="1:7" x14ac:dyDescent="0.2">
      <c r="A9342" t="s">
        <v>1770</v>
      </c>
      <c r="B9342">
        <v>0</v>
      </c>
      <c r="C9342">
        <v>0</v>
      </c>
      <c r="D9342">
        <v>2</v>
      </c>
      <c r="E9342">
        <v>2</v>
      </c>
      <c r="F9342">
        <v>0</v>
      </c>
      <c r="G9342">
        <v>4</v>
      </c>
    </row>
    <row r="9343" spans="1:7" x14ac:dyDescent="0.2">
      <c r="A9343" t="s">
        <v>1772</v>
      </c>
      <c r="B9343">
        <v>0</v>
      </c>
      <c r="C9343">
        <v>0</v>
      </c>
      <c r="D9343">
        <v>0</v>
      </c>
      <c r="E9343">
        <v>1</v>
      </c>
      <c r="F9343">
        <v>0</v>
      </c>
      <c r="G9343">
        <v>1</v>
      </c>
    </row>
    <row r="9344" spans="1:7" x14ac:dyDescent="0.2">
      <c r="A9344" t="s">
        <v>1774</v>
      </c>
      <c r="B9344">
        <v>0</v>
      </c>
      <c r="C9344">
        <v>0</v>
      </c>
      <c r="D9344">
        <v>0</v>
      </c>
      <c r="E9344">
        <v>0</v>
      </c>
      <c r="F9344">
        <v>0</v>
      </c>
      <c r="G9344">
        <v>0</v>
      </c>
    </row>
    <row r="9345" spans="1:7" x14ac:dyDescent="0.2">
      <c r="A9345" t="s">
        <v>1777</v>
      </c>
      <c r="B9345">
        <v>0</v>
      </c>
      <c r="C9345">
        <v>0</v>
      </c>
      <c r="D9345">
        <v>0</v>
      </c>
      <c r="E9345">
        <v>0</v>
      </c>
      <c r="F9345">
        <v>0</v>
      </c>
      <c r="G9345">
        <v>0</v>
      </c>
    </row>
    <row r="9346" spans="1:7" x14ac:dyDescent="0.2">
      <c r="A9346" t="s">
        <v>1782</v>
      </c>
      <c r="B9346">
        <v>0</v>
      </c>
      <c r="C9346">
        <v>0</v>
      </c>
      <c r="D9346">
        <v>0</v>
      </c>
      <c r="E9346">
        <v>0</v>
      </c>
      <c r="F9346">
        <v>0</v>
      </c>
      <c r="G9346">
        <v>0</v>
      </c>
    </row>
    <row r="9347" spans="1:7" x14ac:dyDescent="0.2">
      <c r="A9347" t="s">
        <v>1274</v>
      </c>
      <c r="B9347">
        <v>0</v>
      </c>
      <c r="C9347">
        <v>0</v>
      </c>
      <c r="D9347">
        <v>0</v>
      </c>
      <c r="E9347">
        <v>0</v>
      </c>
      <c r="F9347">
        <v>0</v>
      </c>
      <c r="G9347">
        <v>0</v>
      </c>
    </row>
    <row r="9348" spans="1:7" x14ac:dyDescent="0.2">
      <c r="A9348" t="s">
        <v>1277</v>
      </c>
      <c r="B9348">
        <v>0</v>
      </c>
      <c r="C9348">
        <v>0</v>
      </c>
      <c r="D9348">
        <v>0</v>
      </c>
      <c r="E9348">
        <v>0</v>
      </c>
      <c r="F9348">
        <v>0</v>
      </c>
      <c r="G9348">
        <v>0</v>
      </c>
    </row>
    <row r="9349" spans="1:7" x14ac:dyDescent="0.2">
      <c r="A9349" t="s">
        <v>1798</v>
      </c>
      <c r="B9349">
        <v>0</v>
      </c>
      <c r="C9349">
        <v>0</v>
      </c>
      <c r="D9349">
        <v>0</v>
      </c>
      <c r="E9349">
        <v>0</v>
      </c>
      <c r="F9349">
        <v>0</v>
      </c>
      <c r="G9349">
        <v>0</v>
      </c>
    </row>
    <row r="9350" spans="1:7" x14ac:dyDescent="0.2">
      <c r="A9350" t="s">
        <v>1803</v>
      </c>
      <c r="B9350">
        <v>0</v>
      </c>
      <c r="C9350">
        <v>0</v>
      </c>
      <c r="D9350">
        <v>0</v>
      </c>
      <c r="E9350">
        <v>0</v>
      </c>
      <c r="F9350">
        <v>0</v>
      </c>
      <c r="G9350">
        <v>0</v>
      </c>
    </row>
    <row r="9351" spans="1:7" x14ac:dyDescent="0.2">
      <c r="A9351" t="s">
        <v>1808</v>
      </c>
      <c r="B9351">
        <v>0</v>
      </c>
      <c r="C9351">
        <v>0</v>
      </c>
      <c r="D9351">
        <v>0</v>
      </c>
      <c r="E9351">
        <v>0</v>
      </c>
      <c r="F9351">
        <v>0</v>
      </c>
      <c r="G9351">
        <v>0</v>
      </c>
    </row>
    <row r="9352" spans="1:7" x14ac:dyDescent="0.2">
      <c r="A9352" t="s">
        <v>1813</v>
      </c>
      <c r="B9352">
        <v>0</v>
      </c>
      <c r="C9352">
        <v>0</v>
      </c>
      <c r="D9352">
        <v>0</v>
      </c>
      <c r="E9352">
        <v>0</v>
      </c>
      <c r="F9352">
        <v>0</v>
      </c>
      <c r="G9352">
        <v>0</v>
      </c>
    </row>
    <row r="9353" spans="1:7" x14ac:dyDescent="0.2">
      <c r="A9353" t="s">
        <v>1819</v>
      </c>
      <c r="B9353">
        <v>0</v>
      </c>
      <c r="C9353">
        <v>0</v>
      </c>
      <c r="D9353">
        <v>0</v>
      </c>
      <c r="E9353">
        <v>0</v>
      </c>
      <c r="F9353">
        <v>0</v>
      </c>
      <c r="G9353">
        <v>0</v>
      </c>
    </row>
    <row r="9354" spans="1:7" x14ac:dyDescent="0.2">
      <c r="A9354" t="s">
        <v>1826</v>
      </c>
      <c r="B9354">
        <v>0</v>
      </c>
      <c r="C9354">
        <v>0</v>
      </c>
      <c r="D9354">
        <v>0</v>
      </c>
      <c r="E9354">
        <v>0</v>
      </c>
      <c r="F9354">
        <v>0</v>
      </c>
      <c r="G9354">
        <v>0</v>
      </c>
    </row>
    <row r="9355" spans="1:7" x14ac:dyDescent="0.2">
      <c r="A9355" t="s">
        <v>1830</v>
      </c>
      <c r="B9355">
        <v>0</v>
      </c>
      <c r="C9355">
        <v>0</v>
      </c>
      <c r="D9355">
        <v>0</v>
      </c>
      <c r="E9355">
        <v>0</v>
      </c>
      <c r="F9355">
        <v>0</v>
      </c>
      <c r="G9355">
        <v>0</v>
      </c>
    </row>
    <row r="9356" spans="1:7" x14ac:dyDescent="0.2">
      <c r="A9356" t="s">
        <v>1836</v>
      </c>
      <c r="B9356">
        <v>0</v>
      </c>
      <c r="C9356">
        <v>0</v>
      </c>
      <c r="D9356">
        <v>0</v>
      </c>
      <c r="E9356">
        <v>0</v>
      </c>
      <c r="F9356">
        <v>0</v>
      </c>
      <c r="G9356">
        <v>0</v>
      </c>
    </row>
    <row r="9357" spans="1:7" x14ac:dyDescent="0.2">
      <c r="A9357" t="s">
        <v>1841</v>
      </c>
      <c r="B9357">
        <v>0</v>
      </c>
      <c r="C9357">
        <v>0</v>
      </c>
      <c r="D9357">
        <v>0</v>
      </c>
      <c r="E9357">
        <v>0</v>
      </c>
      <c r="F9357">
        <v>0</v>
      </c>
      <c r="G9357">
        <v>0</v>
      </c>
    </row>
    <row r="9358" spans="1:7" x14ac:dyDescent="0.2">
      <c r="A9358" t="s">
        <v>1842</v>
      </c>
      <c r="B9358">
        <v>0</v>
      </c>
      <c r="C9358">
        <v>0</v>
      </c>
      <c r="D9358">
        <v>0</v>
      </c>
      <c r="E9358">
        <v>0</v>
      </c>
      <c r="F9358">
        <v>0</v>
      </c>
      <c r="G9358">
        <v>0</v>
      </c>
    </row>
    <row r="9359" spans="1:7" x14ac:dyDescent="0.2">
      <c r="A9359" t="s">
        <v>1843</v>
      </c>
      <c r="B9359">
        <v>0</v>
      </c>
      <c r="C9359">
        <v>0</v>
      </c>
      <c r="D9359">
        <v>0</v>
      </c>
      <c r="E9359">
        <v>0</v>
      </c>
      <c r="F9359">
        <v>0</v>
      </c>
      <c r="G9359">
        <v>0</v>
      </c>
    </row>
    <row r="9360" spans="1:7" x14ac:dyDescent="0.2">
      <c r="A9360" t="s">
        <v>1846</v>
      </c>
      <c r="B9360">
        <v>0</v>
      </c>
      <c r="C9360">
        <v>0</v>
      </c>
      <c r="D9360">
        <v>0</v>
      </c>
      <c r="E9360">
        <v>0</v>
      </c>
      <c r="F9360">
        <v>0</v>
      </c>
      <c r="G9360">
        <v>0</v>
      </c>
    </row>
    <row r="9361" spans="1:7" x14ac:dyDescent="0.2">
      <c r="A9361" t="s">
        <v>1851</v>
      </c>
      <c r="B9361">
        <v>0</v>
      </c>
      <c r="C9361">
        <v>0</v>
      </c>
      <c r="D9361">
        <v>0</v>
      </c>
      <c r="E9361">
        <v>0</v>
      </c>
      <c r="F9361">
        <v>0</v>
      </c>
      <c r="G9361">
        <v>0</v>
      </c>
    </row>
    <row r="9362" spans="1:7" x14ac:dyDescent="0.2">
      <c r="A9362" t="s">
        <v>1857</v>
      </c>
      <c r="B9362">
        <v>0</v>
      </c>
      <c r="C9362">
        <v>0</v>
      </c>
      <c r="D9362">
        <v>0</v>
      </c>
      <c r="E9362">
        <v>0</v>
      </c>
      <c r="F9362">
        <v>0</v>
      </c>
      <c r="G9362">
        <v>0</v>
      </c>
    </row>
    <row r="9363" spans="1:7" x14ac:dyDescent="0.2">
      <c r="A9363" t="s">
        <v>1862</v>
      </c>
      <c r="B9363">
        <v>0</v>
      </c>
      <c r="C9363">
        <v>0</v>
      </c>
      <c r="D9363">
        <v>0</v>
      </c>
      <c r="E9363">
        <v>0</v>
      </c>
      <c r="F9363">
        <v>0</v>
      </c>
      <c r="G9363">
        <v>0</v>
      </c>
    </row>
    <row r="9364" spans="1:7" x14ac:dyDescent="0.2">
      <c r="A9364" t="s">
        <v>1867</v>
      </c>
      <c r="B9364">
        <v>0</v>
      </c>
      <c r="C9364">
        <v>0</v>
      </c>
      <c r="D9364">
        <v>0</v>
      </c>
      <c r="E9364">
        <v>0</v>
      </c>
      <c r="F9364">
        <v>0</v>
      </c>
      <c r="G9364">
        <v>0</v>
      </c>
    </row>
    <row r="9365" spans="1:7" x14ac:dyDescent="0.2">
      <c r="A9365" t="s">
        <v>1870</v>
      </c>
      <c r="B9365">
        <v>0</v>
      </c>
      <c r="C9365">
        <v>0</v>
      </c>
      <c r="D9365">
        <v>0</v>
      </c>
      <c r="E9365">
        <v>0</v>
      </c>
      <c r="F9365">
        <v>0</v>
      </c>
      <c r="G9365">
        <v>0</v>
      </c>
    </row>
    <row r="9366" spans="1:7" x14ac:dyDescent="0.2">
      <c r="A9366" t="s">
        <v>1874</v>
      </c>
      <c r="B9366">
        <v>0</v>
      </c>
      <c r="C9366">
        <v>0</v>
      </c>
      <c r="D9366">
        <v>0</v>
      </c>
      <c r="E9366">
        <v>0</v>
      </c>
      <c r="F9366">
        <v>0</v>
      </c>
      <c r="G9366">
        <v>0</v>
      </c>
    </row>
    <row r="9367" spans="1:7" x14ac:dyDescent="0.2">
      <c r="A9367" t="s">
        <v>1876</v>
      </c>
      <c r="B9367">
        <v>0</v>
      </c>
      <c r="C9367">
        <v>0</v>
      </c>
      <c r="D9367">
        <v>0</v>
      </c>
      <c r="E9367">
        <v>0</v>
      </c>
      <c r="F9367">
        <v>0</v>
      </c>
      <c r="G9367">
        <v>0</v>
      </c>
    </row>
    <row r="9368" spans="1:7" x14ac:dyDescent="0.2">
      <c r="A9368" t="s">
        <v>1881</v>
      </c>
      <c r="B9368">
        <v>0</v>
      </c>
      <c r="C9368">
        <v>0</v>
      </c>
      <c r="D9368">
        <v>0</v>
      </c>
      <c r="E9368">
        <v>0</v>
      </c>
      <c r="F9368">
        <v>0</v>
      </c>
      <c r="G9368">
        <v>0</v>
      </c>
    </row>
    <row r="9369" spans="1:7" x14ac:dyDescent="0.2">
      <c r="A9369" t="s">
        <v>1885</v>
      </c>
      <c r="B9369">
        <v>0</v>
      </c>
      <c r="C9369">
        <v>0</v>
      </c>
      <c r="D9369">
        <v>0</v>
      </c>
      <c r="E9369">
        <v>2</v>
      </c>
      <c r="F9369">
        <v>0</v>
      </c>
      <c r="G9369">
        <v>2</v>
      </c>
    </row>
    <row r="9370" spans="1:7" x14ac:dyDescent="0.2">
      <c r="A9370" t="s">
        <v>1887</v>
      </c>
      <c r="B9370">
        <v>0</v>
      </c>
      <c r="C9370">
        <v>0</v>
      </c>
      <c r="D9370">
        <v>0</v>
      </c>
      <c r="E9370">
        <v>0</v>
      </c>
      <c r="F9370">
        <v>0</v>
      </c>
      <c r="G9370">
        <v>0</v>
      </c>
    </row>
    <row r="9371" spans="1:7" x14ac:dyDescent="0.2">
      <c r="A9371" t="s">
        <v>1893</v>
      </c>
      <c r="B9371">
        <v>0</v>
      </c>
      <c r="C9371">
        <v>0</v>
      </c>
      <c r="D9371">
        <v>0</v>
      </c>
      <c r="E9371">
        <v>0</v>
      </c>
      <c r="F9371">
        <v>0</v>
      </c>
      <c r="G9371">
        <v>0</v>
      </c>
    </row>
    <row r="9372" spans="1:7" x14ac:dyDescent="0.2">
      <c r="A9372" t="s">
        <v>1899</v>
      </c>
      <c r="B9372">
        <v>0</v>
      </c>
      <c r="C9372">
        <v>0</v>
      </c>
      <c r="D9372">
        <v>0</v>
      </c>
      <c r="E9372">
        <v>0</v>
      </c>
      <c r="F9372">
        <v>0</v>
      </c>
      <c r="G9372">
        <v>0</v>
      </c>
    </row>
    <row r="9373" spans="1:7" x14ac:dyDescent="0.2">
      <c r="A9373" t="s">
        <v>1906</v>
      </c>
      <c r="B9373">
        <v>0</v>
      </c>
      <c r="C9373">
        <v>0</v>
      </c>
      <c r="D9373">
        <v>0</v>
      </c>
      <c r="E9373">
        <v>0</v>
      </c>
      <c r="F9373">
        <v>0</v>
      </c>
      <c r="G9373">
        <v>0</v>
      </c>
    </row>
    <row r="9374" spans="1:7" x14ac:dyDescent="0.2">
      <c r="A9374" t="s">
        <v>1911</v>
      </c>
      <c r="B9374">
        <v>0</v>
      </c>
      <c r="C9374">
        <v>0</v>
      </c>
      <c r="D9374">
        <v>0</v>
      </c>
      <c r="E9374">
        <v>0</v>
      </c>
      <c r="F9374">
        <v>0</v>
      </c>
      <c r="G9374">
        <v>0</v>
      </c>
    </row>
    <row r="9375" spans="1:7" x14ac:dyDescent="0.2">
      <c r="A9375" t="s">
        <v>1917</v>
      </c>
      <c r="B9375">
        <v>0</v>
      </c>
      <c r="C9375">
        <v>0</v>
      </c>
      <c r="D9375">
        <v>0</v>
      </c>
      <c r="E9375">
        <v>0</v>
      </c>
      <c r="F9375">
        <v>0</v>
      </c>
      <c r="G9375">
        <v>0</v>
      </c>
    </row>
    <row r="9376" spans="1:7" x14ac:dyDescent="0.2">
      <c r="A9376" t="s">
        <v>1922</v>
      </c>
      <c r="B9376">
        <v>0</v>
      </c>
      <c r="C9376">
        <v>0</v>
      </c>
      <c r="D9376">
        <v>0</v>
      </c>
      <c r="E9376">
        <v>0</v>
      </c>
      <c r="F9376">
        <v>0</v>
      </c>
      <c r="G9376">
        <v>0</v>
      </c>
    </row>
    <row r="9377" spans="1:7" x14ac:dyDescent="0.2">
      <c r="A9377" t="s">
        <v>1928</v>
      </c>
      <c r="B9377">
        <v>0</v>
      </c>
      <c r="C9377">
        <v>0</v>
      </c>
      <c r="D9377">
        <v>0</v>
      </c>
      <c r="E9377">
        <v>0</v>
      </c>
      <c r="F9377">
        <v>0</v>
      </c>
      <c r="G9377">
        <v>0</v>
      </c>
    </row>
    <row r="9378" spans="1:7" x14ac:dyDescent="0.2">
      <c r="A9378" t="s">
        <v>1932</v>
      </c>
      <c r="B9378">
        <v>0</v>
      </c>
      <c r="C9378">
        <v>0</v>
      </c>
      <c r="D9378">
        <v>0</v>
      </c>
      <c r="E9378">
        <v>0</v>
      </c>
      <c r="F9378">
        <v>0</v>
      </c>
      <c r="G9378">
        <v>0</v>
      </c>
    </row>
    <row r="9379" spans="1:7" x14ac:dyDescent="0.2">
      <c r="A9379" t="s">
        <v>1938</v>
      </c>
      <c r="B9379">
        <v>0</v>
      </c>
      <c r="C9379">
        <v>0</v>
      </c>
      <c r="D9379">
        <v>0</v>
      </c>
      <c r="E9379">
        <v>0</v>
      </c>
      <c r="F9379">
        <v>0</v>
      </c>
      <c r="G9379">
        <v>0</v>
      </c>
    </row>
    <row r="9380" spans="1:7" x14ac:dyDescent="0.2">
      <c r="A9380" t="s">
        <v>1944</v>
      </c>
      <c r="B9380">
        <v>0</v>
      </c>
      <c r="C9380">
        <v>0</v>
      </c>
      <c r="D9380">
        <v>0</v>
      </c>
      <c r="E9380">
        <v>0</v>
      </c>
      <c r="F9380">
        <v>0</v>
      </c>
      <c r="G9380">
        <v>0</v>
      </c>
    </row>
    <row r="9381" spans="1:7" x14ac:dyDescent="0.2">
      <c r="A9381" t="s">
        <v>1947</v>
      </c>
      <c r="B9381">
        <v>0</v>
      </c>
      <c r="C9381">
        <v>0</v>
      </c>
      <c r="D9381">
        <v>0</v>
      </c>
      <c r="E9381">
        <v>0</v>
      </c>
      <c r="F9381">
        <v>0</v>
      </c>
      <c r="G9381">
        <v>0</v>
      </c>
    </row>
    <row r="9382" spans="1:7" x14ac:dyDescent="0.2">
      <c r="A9382" t="s">
        <v>1953</v>
      </c>
      <c r="B9382">
        <v>0</v>
      </c>
      <c r="C9382">
        <v>0</v>
      </c>
      <c r="D9382">
        <v>0</v>
      </c>
      <c r="E9382">
        <v>0</v>
      </c>
      <c r="F9382">
        <v>0</v>
      </c>
      <c r="G9382">
        <v>0</v>
      </c>
    </row>
    <row r="9383" spans="1:7" x14ac:dyDescent="0.2">
      <c r="A9383" t="s">
        <v>1958</v>
      </c>
      <c r="B9383">
        <v>0</v>
      </c>
      <c r="C9383">
        <v>0</v>
      </c>
      <c r="D9383">
        <v>0</v>
      </c>
      <c r="E9383">
        <v>0</v>
      </c>
      <c r="F9383">
        <v>0</v>
      </c>
      <c r="G9383">
        <v>0</v>
      </c>
    </row>
    <row r="9384" spans="1:7" x14ac:dyDescent="0.2">
      <c r="A9384" t="s">
        <v>1964</v>
      </c>
      <c r="B9384">
        <v>0</v>
      </c>
      <c r="C9384">
        <v>0</v>
      </c>
      <c r="D9384">
        <v>0</v>
      </c>
      <c r="E9384">
        <v>0</v>
      </c>
      <c r="F9384">
        <v>0</v>
      </c>
      <c r="G9384">
        <v>0</v>
      </c>
    </row>
    <row r="9385" spans="1:7" x14ac:dyDescent="0.2">
      <c r="A9385" t="s">
        <v>1973</v>
      </c>
      <c r="B9385">
        <v>0</v>
      </c>
      <c r="C9385">
        <v>0</v>
      </c>
      <c r="D9385">
        <v>0</v>
      </c>
      <c r="E9385">
        <v>0</v>
      </c>
      <c r="F9385">
        <v>0</v>
      </c>
      <c r="G9385">
        <v>0</v>
      </c>
    </row>
    <row r="9386" spans="1:7" x14ac:dyDescent="0.2">
      <c r="A9386" t="s">
        <v>1978</v>
      </c>
      <c r="B9386">
        <v>0</v>
      </c>
      <c r="C9386">
        <v>0</v>
      </c>
      <c r="D9386">
        <v>0</v>
      </c>
      <c r="E9386">
        <v>0</v>
      </c>
      <c r="F9386">
        <v>0</v>
      </c>
      <c r="G9386">
        <v>0</v>
      </c>
    </row>
    <row r="9387" spans="1:7" x14ac:dyDescent="0.2">
      <c r="A9387" t="s">
        <v>1983</v>
      </c>
      <c r="B9387">
        <v>0</v>
      </c>
      <c r="C9387">
        <v>0</v>
      </c>
      <c r="D9387">
        <v>0</v>
      </c>
      <c r="E9387">
        <v>0</v>
      </c>
      <c r="F9387">
        <v>0</v>
      </c>
      <c r="G9387">
        <v>0</v>
      </c>
    </row>
    <row r="9388" spans="1:7" x14ac:dyDescent="0.2">
      <c r="A9388" t="s">
        <v>1984</v>
      </c>
      <c r="B9388">
        <v>0</v>
      </c>
      <c r="C9388">
        <v>0</v>
      </c>
      <c r="D9388">
        <v>0</v>
      </c>
      <c r="E9388">
        <v>0</v>
      </c>
      <c r="F9388">
        <v>0</v>
      </c>
      <c r="G9388">
        <v>0</v>
      </c>
    </row>
    <row r="9389" spans="1:7" x14ac:dyDescent="0.2">
      <c r="A9389" t="s">
        <v>1990</v>
      </c>
      <c r="B9389">
        <v>0</v>
      </c>
      <c r="C9389">
        <v>0</v>
      </c>
      <c r="D9389">
        <v>0</v>
      </c>
      <c r="E9389">
        <v>0</v>
      </c>
      <c r="F9389">
        <v>0</v>
      </c>
      <c r="G9389">
        <v>0</v>
      </c>
    </row>
    <row r="9390" spans="1:7" x14ac:dyDescent="0.2">
      <c r="A9390" t="s">
        <v>1996</v>
      </c>
      <c r="B9390">
        <v>0</v>
      </c>
      <c r="C9390">
        <v>0</v>
      </c>
      <c r="D9390">
        <v>0</v>
      </c>
      <c r="E9390">
        <v>0</v>
      </c>
      <c r="F9390">
        <v>0</v>
      </c>
      <c r="G9390">
        <v>0</v>
      </c>
    </row>
    <row r="9391" spans="1:7" x14ac:dyDescent="0.2">
      <c r="A9391" t="s">
        <v>1998</v>
      </c>
      <c r="B9391">
        <v>0</v>
      </c>
      <c r="C9391">
        <v>0</v>
      </c>
      <c r="D9391">
        <v>0</v>
      </c>
      <c r="E9391">
        <v>0</v>
      </c>
      <c r="F9391">
        <v>0</v>
      </c>
      <c r="G9391">
        <v>0</v>
      </c>
    </row>
    <row r="9392" spans="1:7" x14ac:dyDescent="0.2">
      <c r="A9392" t="s">
        <v>1999</v>
      </c>
      <c r="B9392">
        <v>0</v>
      </c>
      <c r="C9392">
        <v>0</v>
      </c>
      <c r="D9392">
        <v>0</v>
      </c>
      <c r="E9392">
        <v>0</v>
      </c>
      <c r="F9392">
        <v>0</v>
      </c>
      <c r="G9392">
        <v>0</v>
      </c>
    </row>
    <row r="9393" spans="1:7" x14ac:dyDescent="0.2">
      <c r="A9393" t="s">
        <v>2004</v>
      </c>
      <c r="B9393">
        <v>0</v>
      </c>
      <c r="C9393">
        <v>0</v>
      </c>
      <c r="D9393">
        <v>0</v>
      </c>
      <c r="E9393">
        <v>0</v>
      </c>
      <c r="F9393">
        <v>0</v>
      </c>
      <c r="G9393">
        <v>0</v>
      </c>
    </row>
    <row r="9394" spans="1:7" x14ac:dyDescent="0.2">
      <c r="A9394" t="s">
        <v>2009</v>
      </c>
      <c r="B9394">
        <v>0</v>
      </c>
      <c r="C9394">
        <v>0</v>
      </c>
      <c r="D9394">
        <v>0</v>
      </c>
      <c r="E9394">
        <v>0</v>
      </c>
      <c r="F9394">
        <v>0</v>
      </c>
      <c r="G9394">
        <v>0</v>
      </c>
    </row>
    <row r="9395" spans="1:7" x14ac:dyDescent="0.2">
      <c r="A9395" t="s">
        <v>2014</v>
      </c>
      <c r="B9395">
        <v>0</v>
      </c>
      <c r="C9395">
        <v>0</v>
      </c>
      <c r="D9395">
        <v>0</v>
      </c>
      <c r="E9395">
        <v>0</v>
      </c>
      <c r="F9395">
        <v>0</v>
      </c>
      <c r="G9395">
        <v>0</v>
      </c>
    </row>
    <row r="9396" spans="1:7" x14ac:dyDescent="0.2">
      <c r="A9396" t="s">
        <v>2019</v>
      </c>
      <c r="B9396">
        <v>0</v>
      </c>
      <c r="C9396">
        <v>0</v>
      </c>
      <c r="D9396">
        <v>0</v>
      </c>
      <c r="E9396">
        <v>0</v>
      </c>
      <c r="F9396">
        <v>0</v>
      </c>
      <c r="G9396">
        <v>0</v>
      </c>
    </row>
    <row r="9397" spans="1:7" x14ac:dyDescent="0.2">
      <c r="A9397" t="s">
        <v>2023</v>
      </c>
      <c r="B9397">
        <v>0</v>
      </c>
      <c r="C9397">
        <v>0</v>
      </c>
      <c r="D9397">
        <v>0</v>
      </c>
      <c r="E9397">
        <v>0</v>
      </c>
      <c r="F9397">
        <v>0</v>
      </c>
      <c r="G9397">
        <v>0</v>
      </c>
    </row>
    <row r="9398" spans="1:7" x14ac:dyDescent="0.2">
      <c r="A9398" t="s">
        <v>2026</v>
      </c>
      <c r="B9398">
        <v>0</v>
      </c>
      <c r="C9398">
        <v>0</v>
      </c>
      <c r="D9398">
        <v>0</v>
      </c>
      <c r="E9398">
        <v>0</v>
      </c>
      <c r="F9398">
        <v>0</v>
      </c>
      <c r="G9398">
        <v>0</v>
      </c>
    </row>
    <row r="9399" spans="1:7" x14ac:dyDescent="0.2">
      <c r="A9399" t="s">
        <v>2030</v>
      </c>
      <c r="B9399">
        <v>0</v>
      </c>
      <c r="C9399">
        <v>0</v>
      </c>
      <c r="D9399">
        <v>0</v>
      </c>
      <c r="E9399">
        <v>0</v>
      </c>
      <c r="F9399">
        <v>0</v>
      </c>
      <c r="G9399">
        <v>0</v>
      </c>
    </row>
    <row r="9400" spans="1:7" x14ac:dyDescent="0.2">
      <c r="A9400" t="s">
        <v>2035</v>
      </c>
      <c r="B9400">
        <v>0</v>
      </c>
      <c r="C9400">
        <v>0</v>
      </c>
      <c r="D9400">
        <v>0</v>
      </c>
      <c r="E9400">
        <v>0</v>
      </c>
      <c r="F9400">
        <v>0</v>
      </c>
      <c r="G9400">
        <v>0</v>
      </c>
    </row>
    <row r="9401" spans="1:7" x14ac:dyDescent="0.2">
      <c r="A9401" t="s">
        <v>2040</v>
      </c>
      <c r="B9401">
        <v>0</v>
      </c>
      <c r="C9401">
        <v>0</v>
      </c>
      <c r="D9401">
        <v>0</v>
      </c>
      <c r="E9401">
        <v>0</v>
      </c>
      <c r="F9401">
        <v>0</v>
      </c>
      <c r="G9401">
        <v>0</v>
      </c>
    </row>
    <row r="9402" spans="1:7" x14ac:dyDescent="0.2">
      <c r="A9402" t="s">
        <v>2045</v>
      </c>
      <c r="B9402">
        <v>0</v>
      </c>
      <c r="C9402">
        <v>0</v>
      </c>
      <c r="D9402">
        <v>0</v>
      </c>
      <c r="E9402">
        <v>0</v>
      </c>
      <c r="F9402">
        <v>0</v>
      </c>
      <c r="G9402">
        <v>0</v>
      </c>
    </row>
    <row r="9403" spans="1:7" x14ac:dyDescent="0.2">
      <c r="A9403" t="s">
        <v>2049</v>
      </c>
      <c r="B9403">
        <v>0</v>
      </c>
      <c r="C9403">
        <v>0</v>
      </c>
      <c r="D9403">
        <v>0</v>
      </c>
      <c r="E9403">
        <v>0</v>
      </c>
      <c r="F9403">
        <v>0</v>
      </c>
      <c r="G9403">
        <v>0</v>
      </c>
    </row>
    <row r="9404" spans="1:7" x14ac:dyDescent="0.2">
      <c r="A9404" t="s">
        <v>2051</v>
      </c>
      <c r="B9404">
        <v>0</v>
      </c>
      <c r="C9404">
        <v>0</v>
      </c>
      <c r="D9404">
        <v>0</v>
      </c>
      <c r="E9404">
        <v>0</v>
      </c>
      <c r="F9404">
        <v>0</v>
      </c>
      <c r="G9404">
        <v>0</v>
      </c>
    </row>
    <row r="9405" spans="1:7" x14ac:dyDescent="0.2">
      <c r="A9405" t="s">
        <v>2057</v>
      </c>
      <c r="B9405">
        <v>0</v>
      </c>
      <c r="C9405">
        <v>0</v>
      </c>
      <c r="D9405">
        <v>0</v>
      </c>
      <c r="E9405">
        <v>0</v>
      </c>
      <c r="F9405">
        <v>0</v>
      </c>
      <c r="G9405">
        <v>0</v>
      </c>
    </row>
    <row r="9406" spans="1:7" x14ac:dyDescent="0.2">
      <c r="A9406" t="s">
        <v>4344</v>
      </c>
      <c r="B9406">
        <v>0</v>
      </c>
      <c r="C9406">
        <v>0</v>
      </c>
      <c r="D9406">
        <v>0</v>
      </c>
      <c r="E9406">
        <v>0</v>
      </c>
      <c r="F9406">
        <v>0</v>
      </c>
      <c r="G9406">
        <v>0</v>
      </c>
    </row>
    <row r="9407" spans="1:7" x14ac:dyDescent="0.2">
      <c r="A9407" t="s">
        <v>4345</v>
      </c>
      <c r="B9407">
        <v>0</v>
      </c>
      <c r="C9407">
        <v>0</v>
      </c>
      <c r="D9407">
        <v>0</v>
      </c>
      <c r="E9407">
        <v>0</v>
      </c>
      <c r="F9407">
        <v>0</v>
      </c>
      <c r="G9407">
        <v>0</v>
      </c>
    </row>
    <row r="9408" spans="1:7" x14ac:dyDescent="0.2">
      <c r="A9408" t="s">
        <v>2074</v>
      </c>
      <c r="B9408">
        <v>0</v>
      </c>
      <c r="C9408">
        <v>0</v>
      </c>
      <c r="D9408">
        <v>0</v>
      </c>
      <c r="E9408">
        <v>0</v>
      </c>
      <c r="F9408">
        <v>0</v>
      </c>
      <c r="G9408">
        <v>0</v>
      </c>
    </row>
    <row r="9409" spans="1:7" x14ac:dyDescent="0.2">
      <c r="A9409" t="s">
        <v>2079</v>
      </c>
      <c r="B9409">
        <v>0</v>
      </c>
      <c r="C9409">
        <v>0</v>
      </c>
      <c r="D9409">
        <v>0</v>
      </c>
      <c r="E9409">
        <v>0</v>
      </c>
      <c r="F9409">
        <v>0</v>
      </c>
      <c r="G9409">
        <v>0</v>
      </c>
    </row>
    <row r="9410" spans="1:7" x14ac:dyDescent="0.2">
      <c r="A9410" t="s">
        <v>2085</v>
      </c>
      <c r="B9410">
        <v>0</v>
      </c>
      <c r="C9410">
        <v>0</v>
      </c>
      <c r="D9410">
        <v>0</v>
      </c>
      <c r="E9410">
        <v>0</v>
      </c>
      <c r="F9410">
        <v>0</v>
      </c>
      <c r="G9410">
        <v>0</v>
      </c>
    </row>
    <row r="9411" spans="1:7" x14ac:dyDescent="0.2">
      <c r="A9411" t="s">
        <v>2091</v>
      </c>
      <c r="B9411">
        <v>0</v>
      </c>
      <c r="C9411">
        <v>0</v>
      </c>
      <c r="D9411">
        <v>0</v>
      </c>
      <c r="E9411">
        <v>0</v>
      </c>
      <c r="F9411">
        <v>0</v>
      </c>
      <c r="G9411">
        <v>0</v>
      </c>
    </row>
    <row r="9412" spans="1:7" x14ac:dyDescent="0.2">
      <c r="A9412" t="s">
        <v>2097</v>
      </c>
      <c r="B9412">
        <v>0</v>
      </c>
      <c r="C9412">
        <v>0</v>
      </c>
      <c r="D9412">
        <v>0</v>
      </c>
      <c r="E9412">
        <v>0</v>
      </c>
      <c r="F9412">
        <v>0</v>
      </c>
      <c r="G9412">
        <v>0</v>
      </c>
    </row>
    <row r="9413" spans="1:7" x14ac:dyDescent="0.2">
      <c r="A9413" t="s">
        <v>2101</v>
      </c>
      <c r="B9413">
        <v>0</v>
      </c>
      <c r="C9413">
        <v>0</v>
      </c>
      <c r="D9413">
        <v>0</v>
      </c>
      <c r="E9413">
        <v>0</v>
      </c>
      <c r="F9413">
        <v>0</v>
      </c>
      <c r="G9413">
        <v>0</v>
      </c>
    </row>
    <row r="9414" spans="1:7" x14ac:dyDescent="0.2">
      <c r="A9414" t="s">
        <v>2104</v>
      </c>
      <c r="B9414">
        <v>0</v>
      </c>
      <c r="C9414">
        <v>0</v>
      </c>
      <c r="D9414">
        <v>0</v>
      </c>
      <c r="E9414">
        <v>0</v>
      </c>
      <c r="F9414">
        <v>0</v>
      </c>
      <c r="G9414">
        <v>0</v>
      </c>
    </row>
    <row r="9415" spans="1:7" x14ac:dyDescent="0.2">
      <c r="A9415" t="s">
        <v>2107</v>
      </c>
      <c r="B9415">
        <v>0</v>
      </c>
      <c r="C9415">
        <v>0</v>
      </c>
      <c r="D9415">
        <v>0</v>
      </c>
      <c r="E9415">
        <v>0</v>
      </c>
      <c r="F9415">
        <v>0</v>
      </c>
      <c r="G9415">
        <v>0</v>
      </c>
    </row>
    <row r="9416" spans="1:7" x14ac:dyDescent="0.2">
      <c r="A9416" t="s">
        <v>2110</v>
      </c>
      <c r="B9416">
        <v>0</v>
      </c>
      <c r="C9416">
        <v>0</v>
      </c>
      <c r="D9416">
        <v>0</v>
      </c>
      <c r="E9416">
        <v>0</v>
      </c>
      <c r="F9416">
        <v>0</v>
      </c>
      <c r="G9416">
        <v>0</v>
      </c>
    </row>
    <row r="9417" spans="1:7" x14ac:dyDescent="0.2">
      <c r="A9417" t="s">
        <v>2113</v>
      </c>
      <c r="B9417">
        <v>0</v>
      </c>
      <c r="C9417">
        <v>0</v>
      </c>
      <c r="D9417">
        <v>0</v>
      </c>
      <c r="E9417">
        <v>0</v>
      </c>
      <c r="F9417">
        <v>0</v>
      </c>
      <c r="G9417">
        <v>0</v>
      </c>
    </row>
    <row r="9418" spans="1:7" x14ac:dyDescent="0.2">
      <c r="A9418" t="s">
        <v>4346</v>
      </c>
      <c r="B9418">
        <v>0</v>
      </c>
      <c r="C9418">
        <v>0</v>
      </c>
      <c r="D9418">
        <v>0</v>
      </c>
      <c r="E9418">
        <v>0</v>
      </c>
      <c r="F9418">
        <v>0</v>
      </c>
      <c r="G9418">
        <v>0</v>
      </c>
    </row>
    <row r="9419" spans="1:7" x14ac:dyDescent="0.2">
      <c r="A9419" t="s">
        <v>4347</v>
      </c>
      <c r="B9419">
        <v>0</v>
      </c>
      <c r="C9419">
        <v>0</v>
      </c>
      <c r="D9419">
        <v>0</v>
      </c>
      <c r="E9419">
        <v>0</v>
      </c>
      <c r="F9419">
        <v>0</v>
      </c>
      <c r="G9419">
        <v>0</v>
      </c>
    </row>
    <row r="9420" spans="1:7" x14ac:dyDescent="0.2">
      <c r="A9420" t="s">
        <v>4348</v>
      </c>
      <c r="B9420">
        <v>0</v>
      </c>
      <c r="C9420">
        <v>0</v>
      </c>
      <c r="D9420">
        <v>0</v>
      </c>
      <c r="E9420">
        <v>0</v>
      </c>
      <c r="F9420">
        <v>0</v>
      </c>
      <c r="G9420">
        <v>0</v>
      </c>
    </row>
    <row r="9421" spans="1:7" x14ac:dyDescent="0.2">
      <c r="A9421" t="s">
        <v>4349</v>
      </c>
      <c r="B9421">
        <v>0</v>
      </c>
      <c r="C9421">
        <v>0</v>
      </c>
      <c r="D9421">
        <v>0</v>
      </c>
      <c r="E9421">
        <v>0</v>
      </c>
      <c r="F9421">
        <v>0</v>
      </c>
      <c r="G9421">
        <v>0</v>
      </c>
    </row>
    <row r="9422" spans="1:7" x14ac:dyDescent="0.2">
      <c r="A9422" t="s">
        <v>4350</v>
      </c>
      <c r="B9422">
        <v>0</v>
      </c>
      <c r="C9422">
        <v>0</v>
      </c>
      <c r="D9422">
        <v>0</v>
      </c>
      <c r="E9422">
        <v>0</v>
      </c>
      <c r="F9422">
        <v>0</v>
      </c>
      <c r="G9422">
        <v>0</v>
      </c>
    </row>
    <row r="9423" spans="1:7" x14ac:dyDescent="0.2">
      <c r="A9423" t="s">
        <v>4351</v>
      </c>
      <c r="B9423">
        <v>0</v>
      </c>
      <c r="C9423">
        <v>0</v>
      </c>
      <c r="D9423">
        <v>0</v>
      </c>
      <c r="E9423">
        <v>0</v>
      </c>
      <c r="F9423">
        <v>0</v>
      </c>
      <c r="G9423">
        <v>0</v>
      </c>
    </row>
    <row r="9424" spans="1:7" x14ac:dyDescent="0.2">
      <c r="A9424" t="s">
        <v>4352</v>
      </c>
      <c r="B9424">
        <v>0</v>
      </c>
      <c r="C9424">
        <v>0</v>
      </c>
      <c r="D9424">
        <v>0</v>
      </c>
      <c r="E9424">
        <v>0</v>
      </c>
      <c r="F9424">
        <v>0</v>
      </c>
      <c r="G9424">
        <v>0</v>
      </c>
    </row>
    <row r="9425" spans="1:7" x14ac:dyDescent="0.2">
      <c r="A9425" t="s">
        <v>4353</v>
      </c>
      <c r="B9425">
        <v>0</v>
      </c>
      <c r="C9425">
        <v>3</v>
      </c>
      <c r="D9425">
        <v>1</v>
      </c>
      <c r="E9425">
        <v>0</v>
      </c>
      <c r="F9425">
        <v>0</v>
      </c>
      <c r="G9425">
        <v>4</v>
      </c>
    </row>
    <row r="9426" spans="1:7" x14ac:dyDescent="0.2">
      <c r="A9426" t="s">
        <v>4354</v>
      </c>
      <c r="B9426">
        <v>0</v>
      </c>
      <c r="C9426">
        <v>3</v>
      </c>
      <c r="D9426">
        <v>1</v>
      </c>
      <c r="E9426">
        <v>0</v>
      </c>
      <c r="F9426">
        <v>0</v>
      </c>
      <c r="G9426">
        <v>4</v>
      </c>
    </row>
    <row r="9427" spans="1:7" x14ac:dyDescent="0.2">
      <c r="A9427" t="s">
        <v>4355</v>
      </c>
      <c r="B9427">
        <v>0</v>
      </c>
      <c r="C9427">
        <v>0</v>
      </c>
      <c r="D9427">
        <v>0</v>
      </c>
      <c r="E9427">
        <v>0</v>
      </c>
      <c r="F9427">
        <v>0</v>
      </c>
      <c r="G9427">
        <v>0</v>
      </c>
    </row>
    <row r="9428" spans="1:7" x14ac:dyDescent="0.2">
      <c r="A9428" t="s">
        <v>4356</v>
      </c>
      <c r="B9428">
        <v>0</v>
      </c>
      <c r="C9428">
        <v>0</v>
      </c>
      <c r="D9428">
        <v>0</v>
      </c>
      <c r="E9428">
        <v>0</v>
      </c>
      <c r="F9428">
        <v>0</v>
      </c>
      <c r="G9428">
        <v>0</v>
      </c>
    </row>
    <row r="9429" spans="1:7" x14ac:dyDescent="0.2">
      <c r="A9429" t="s">
        <v>4357</v>
      </c>
      <c r="B9429">
        <v>0</v>
      </c>
      <c r="C9429">
        <v>0</v>
      </c>
      <c r="D9429">
        <v>0</v>
      </c>
      <c r="E9429">
        <v>0</v>
      </c>
      <c r="F9429">
        <v>0</v>
      </c>
      <c r="G9429">
        <v>0</v>
      </c>
    </row>
    <row r="9430" spans="1:7" x14ac:dyDescent="0.2">
      <c r="A9430" t="s">
        <v>4358</v>
      </c>
      <c r="B9430">
        <v>0</v>
      </c>
      <c r="C9430">
        <v>0</v>
      </c>
      <c r="D9430">
        <v>0</v>
      </c>
      <c r="E9430">
        <v>0</v>
      </c>
      <c r="F9430">
        <v>0</v>
      </c>
      <c r="G9430">
        <v>0</v>
      </c>
    </row>
    <row r="9431" spans="1:7" x14ac:dyDescent="0.2">
      <c r="A9431" t="s">
        <v>4359</v>
      </c>
      <c r="B9431">
        <v>0</v>
      </c>
      <c r="C9431">
        <v>0</v>
      </c>
      <c r="D9431">
        <v>0</v>
      </c>
      <c r="E9431">
        <v>0</v>
      </c>
      <c r="F9431">
        <v>0</v>
      </c>
      <c r="G9431">
        <v>0</v>
      </c>
    </row>
    <row r="9432" spans="1:7" x14ac:dyDescent="0.2">
      <c r="A9432" t="s">
        <v>4360</v>
      </c>
      <c r="B9432">
        <v>0</v>
      </c>
      <c r="C9432">
        <v>0</v>
      </c>
      <c r="D9432">
        <v>0</v>
      </c>
      <c r="E9432">
        <v>0</v>
      </c>
      <c r="F9432">
        <v>0</v>
      </c>
      <c r="G9432">
        <v>0</v>
      </c>
    </row>
    <row r="9433" spans="1:7" x14ac:dyDescent="0.2">
      <c r="A9433" t="s">
        <v>4361</v>
      </c>
      <c r="B9433">
        <v>0</v>
      </c>
      <c r="C9433">
        <v>0</v>
      </c>
      <c r="D9433">
        <v>0</v>
      </c>
      <c r="E9433">
        <v>0</v>
      </c>
      <c r="F9433">
        <v>0</v>
      </c>
      <c r="G9433">
        <v>0</v>
      </c>
    </row>
    <row r="9434" spans="1:7" x14ac:dyDescent="0.2">
      <c r="A9434" t="s">
        <v>4362</v>
      </c>
      <c r="B9434">
        <v>0</v>
      </c>
      <c r="C9434">
        <v>0</v>
      </c>
      <c r="D9434">
        <v>0</v>
      </c>
      <c r="E9434">
        <v>0</v>
      </c>
      <c r="F9434">
        <v>0</v>
      </c>
      <c r="G9434">
        <v>0</v>
      </c>
    </row>
    <row r="9435" spans="1:7" x14ac:dyDescent="0.2">
      <c r="A9435" t="s">
        <v>4363</v>
      </c>
      <c r="B9435">
        <v>0</v>
      </c>
      <c r="C9435">
        <v>0</v>
      </c>
      <c r="D9435">
        <v>0</v>
      </c>
      <c r="E9435">
        <v>0</v>
      </c>
      <c r="F9435">
        <v>0</v>
      </c>
      <c r="G9435">
        <v>0</v>
      </c>
    </row>
    <row r="9436" spans="1:7" x14ac:dyDescent="0.2">
      <c r="A9436" t="s">
        <v>4364</v>
      </c>
      <c r="B9436">
        <v>0</v>
      </c>
      <c r="C9436">
        <v>0</v>
      </c>
      <c r="D9436">
        <v>0</v>
      </c>
      <c r="E9436">
        <v>0</v>
      </c>
      <c r="F9436">
        <v>0</v>
      </c>
      <c r="G9436">
        <v>0</v>
      </c>
    </row>
    <row r="9437" spans="1:7" x14ac:dyDescent="0.2">
      <c r="A9437" t="s">
        <v>4365</v>
      </c>
      <c r="B9437">
        <v>0</v>
      </c>
      <c r="C9437">
        <v>0</v>
      </c>
      <c r="D9437">
        <v>0</v>
      </c>
      <c r="E9437">
        <v>0</v>
      </c>
      <c r="F9437">
        <v>0</v>
      </c>
      <c r="G9437">
        <v>0</v>
      </c>
    </row>
    <row r="9438" spans="1:7" x14ac:dyDescent="0.2">
      <c r="A9438" t="s">
        <v>4366</v>
      </c>
      <c r="B9438">
        <v>0</v>
      </c>
      <c r="C9438">
        <v>0</v>
      </c>
      <c r="D9438">
        <v>0</v>
      </c>
      <c r="E9438">
        <v>0</v>
      </c>
      <c r="F9438">
        <v>0</v>
      </c>
      <c r="G9438">
        <v>0</v>
      </c>
    </row>
    <row r="9439" spans="1:7" x14ac:dyDescent="0.2">
      <c r="A9439" t="s">
        <v>4367</v>
      </c>
      <c r="B9439">
        <v>0</v>
      </c>
      <c r="C9439">
        <v>0</v>
      </c>
      <c r="D9439">
        <v>0</v>
      </c>
      <c r="E9439">
        <v>0</v>
      </c>
      <c r="F9439">
        <v>0</v>
      </c>
      <c r="G9439">
        <v>0</v>
      </c>
    </row>
    <row r="9440" spans="1:7" x14ac:dyDescent="0.2">
      <c r="A9440" t="s">
        <v>4368</v>
      </c>
      <c r="B9440">
        <v>0</v>
      </c>
      <c r="C9440">
        <v>0</v>
      </c>
      <c r="D9440">
        <v>1</v>
      </c>
      <c r="E9440">
        <v>0</v>
      </c>
      <c r="F9440">
        <v>0</v>
      </c>
      <c r="G9440">
        <v>1</v>
      </c>
    </row>
    <row r="9441" spans="1:10" x14ac:dyDescent="0.2">
      <c r="A9441" t="s">
        <v>4369</v>
      </c>
      <c r="B9441">
        <v>4</v>
      </c>
      <c r="C9441">
        <v>0</v>
      </c>
      <c r="D9441">
        <v>0</v>
      </c>
      <c r="E9441">
        <v>4</v>
      </c>
      <c r="F9441">
        <v>0</v>
      </c>
      <c r="G9441">
        <v>8</v>
      </c>
    </row>
    <row r="9442" spans="1:10" x14ac:dyDescent="0.2">
      <c r="A9442" t="s">
        <v>4370</v>
      </c>
      <c r="B9442">
        <v>0</v>
      </c>
      <c r="C9442">
        <v>0</v>
      </c>
      <c r="D9442">
        <v>0</v>
      </c>
      <c r="E9442">
        <v>0</v>
      </c>
      <c r="F9442">
        <v>0</v>
      </c>
      <c r="G9442">
        <v>0</v>
      </c>
    </row>
    <row r="9443" spans="1:10" x14ac:dyDescent="0.2">
      <c r="A9443" t="s">
        <v>4371</v>
      </c>
      <c r="B9443">
        <v>0</v>
      </c>
      <c r="C9443">
        <v>0</v>
      </c>
      <c r="D9443">
        <v>0</v>
      </c>
      <c r="E9443">
        <v>0</v>
      </c>
      <c r="F9443">
        <v>0</v>
      </c>
      <c r="G9443">
        <v>0</v>
      </c>
    </row>
    <row r="9444" spans="1:10" x14ac:dyDescent="0.2">
      <c r="A9444" t="s">
        <v>4372</v>
      </c>
      <c r="B9444">
        <v>0</v>
      </c>
      <c r="C9444">
        <v>0</v>
      </c>
      <c r="D9444">
        <v>0</v>
      </c>
      <c r="E9444">
        <v>0</v>
      </c>
      <c r="F9444">
        <v>0</v>
      </c>
      <c r="G9444">
        <v>0</v>
      </c>
    </row>
    <row r="9445" spans="1:10" x14ac:dyDescent="0.2">
      <c r="A9445" t="s">
        <v>4373</v>
      </c>
      <c r="B9445">
        <v>0</v>
      </c>
      <c r="C9445">
        <v>0</v>
      </c>
      <c r="D9445">
        <v>0</v>
      </c>
      <c r="E9445">
        <v>0</v>
      </c>
      <c r="F9445">
        <v>0</v>
      </c>
      <c r="G9445">
        <v>0</v>
      </c>
    </row>
    <row r="9446" spans="1:10" x14ac:dyDescent="0.2">
      <c r="A9446" t="s">
        <v>4374</v>
      </c>
      <c r="B9446">
        <v>0</v>
      </c>
      <c r="C9446">
        <v>0</v>
      </c>
      <c r="D9446">
        <v>0</v>
      </c>
      <c r="E9446">
        <v>0</v>
      </c>
      <c r="F9446">
        <v>0</v>
      </c>
      <c r="G9446">
        <v>0</v>
      </c>
    </row>
    <row r="9447" spans="1:10" x14ac:dyDescent="0.2">
      <c r="A9447" t="s">
        <v>4375</v>
      </c>
      <c r="B9447">
        <v>0</v>
      </c>
      <c r="C9447">
        <v>0</v>
      </c>
      <c r="D9447">
        <v>0</v>
      </c>
      <c r="E9447">
        <v>0</v>
      </c>
      <c r="F9447">
        <v>0</v>
      </c>
      <c r="G9447">
        <v>0</v>
      </c>
    </row>
    <row r="9448" spans="1:10" x14ac:dyDescent="0.2">
      <c r="A9448" t="s">
        <v>4376</v>
      </c>
      <c r="B9448">
        <v>0</v>
      </c>
      <c r="C9448">
        <v>0</v>
      </c>
      <c r="D9448">
        <v>0</v>
      </c>
      <c r="E9448">
        <v>0</v>
      </c>
      <c r="F9448">
        <v>0</v>
      </c>
      <c r="G9448">
        <v>0</v>
      </c>
    </row>
    <row r="9449" spans="1:10" x14ac:dyDescent="0.2">
      <c r="A9449" t="s">
        <v>4377</v>
      </c>
      <c r="B9449">
        <v>0</v>
      </c>
      <c r="C9449">
        <v>0</v>
      </c>
      <c r="D9449">
        <v>0</v>
      </c>
      <c r="E9449">
        <v>0</v>
      </c>
      <c r="F9449">
        <v>0</v>
      </c>
      <c r="G9449">
        <v>0</v>
      </c>
    </row>
    <row r="9450" spans="1:10" x14ac:dyDescent="0.2">
      <c r="A9450" t="s">
        <v>2318</v>
      </c>
      <c r="B9450" t="s">
        <v>2319</v>
      </c>
      <c r="C9450" t="s">
        <v>2319</v>
      </c>
      <c r="D9450" t="s">
        <v>2319</v>
      </c>
      <c r="E9450" t="s">
        <v>2319</v>
      </c>
      <c r="F9450" t="s">
        <v>2319</v>
      </c>
      <c r="G9450" t="s">
        <v>2319</v>
      </c>
    </row>
    <row r="9451" spans="1:10" x14ac:dyDescent="0.2">
      <c r="A9451" t="s">
        <v>4248</v>
      </c>
    </row>
    <row r="9452" spans="1:10" x14ac:dyDescent="0.2">
      <c r="A9452" t="s">
        <v>4250</v>
      </c>
      <c r="C9452" t="s">
        <v>4251</v>
      </c>
      <c r="G9452" t="s">
        <v>7531</v>
      </c>
      <c r="J9452"/>
    </row>
    <row r="9453" spans="1:10" x14ac:dyDescent="0.2">
      <c r="A9453" t="s">
        <v>4925</v>
      </c>
      <c r="G9453" t="s">
        <v>7543</v>
      </c>
      <c r="J9453"/>
    </row>
    <row r="9454" spans="1:10" x14ac:dyDescent="0.2">
      <c r="A9454" t="s">
        <v>7530</v>
      </c>
      <c r="J9454"/>
    </row>
    <row r="9455" spans="1:10" x14ac:dyDescent="0.2">
      <c r="A9455" t="s">
        <v>5057</v>
      </c>
      <c r="J9455"/>
    </row>
    <row r="9456" spans="1:10" x14ac:dyDescent="0.2">
      <c r="J9456"/>
    </row>
    <row r="9457" spans="1:10" x14ac:dyDescent="0.2">
      <c r="A9457" t="s">
        <v>4259</v>
      </c>
      <c r="J9457"/>
    </row>
    <row r="9458" spans="1:10" x14ac:dyDescent="0.2">
      <c r="A9458" t="s">
        <v>2318</v>
      </c>
      <c r="B9458" t="s">
        <v>2319</v>
      </c>
      <c r="C9458" t="s">
        <v>2319</v>
      </c>
      <c r="D9458" t="s">
        <v>2319</v>
      </c>
      <c r="E9458" t="s">
        <v>2319</v>
      </c>
      <c r="F9458" t="s">
        <v>2319</v>
      </c>
      <c r="G9458" t="s">
        <v>2319</v>
      </c>
    </row>
    <row r="9459" spans="1:10" x14ac:dyDescent="0.2">
      <c r="A9459" t="s">
        <v>174</v>
      </c>
      <c r="B9459" t="s">
        <v>4945</v>
      </c>
      <c r="C9459" t="s">
        <v>4946</v>
      </c>
      <c r="D9459" t="s">
        <v>4947</v>
      </c>
      <c r="E9459" t="s">
        <v>4948</v>
      </c>
      <c r="F9459" t="s">
        <v>4949</v>
      </c>
    </row>
    <row r="9460" spans="1:10" x14ac:dyDescent="0.2">
      <c r="A9460" t="s">
        <v>126</v>
      </c>
      <c r="B9460" t="s">
        <v>4262</v>
      </c>
      <c r="C9460" t="s">
        <v>4263</v>
      </c>
      <c r="D9460" t="s">
        <v>4264</v>
      </c>
      <c r="E9460" t="s">
        <v>2308</v>
      </c>
      <c r="F9460" t="s">
        <v>615</v>
      </c>
      <c r="G9460" t="s">
        <v>236</v>
      </c>
    </row>
    <row r="9461" spans="1:10" x14ac:dyDescent="0.2">
      <c r="A9461" t="s">
        <v>2318</v>
      </c>
      <c r="B9461" t="s">
        <v>2319</v>
      </c>
      <c r="C9461" t="s">
        <v>2319</v>
      </c>
      <c r="D9461" t="s">
        <v>2319</v>
      </c>
      <c r="E9461" t="s">
        <v>2319</v>
      </c>
      <c r="F9461" t="s">
        <v>2319</v>
      </c>
      <c r="G9461" t="s">
        <v>2319</v>
      </c>
    </row>
    <row r="9462" spans="1:10" x14ac:dyDescent="0.2">
      <c r="A9462" t="s">
        <v>4265</v>
      </c>
      <c r="B9462">
        <v>0</v>
      </c>
      <c r="C9462">
        <v>0</v>
      </c>
      <c r="D9462">
        <v>0</v>
      </c>
      <c r="E9462">
        <v>0</v>
      </c>
      <c r="F9462">
        <v>0</v>
      </c>
      <c r="G9462">
        <v>0</v>
      </c>
    </row>
    <row r="9463" spans="1:10" x14ac:dyDescent="0.2">
      <c r="A9463" t="s">
        <v>4266</v>
      </c>
      <c r="B9463">
        <v>0</v>
      </c>
      <c r="C9463">
        <v>0</v>
      </c>
      <c r="D9463">
        <v>0</v>
      </c>
      <c r="E9463">
        <v>0</v>
      </c>
      <c r="F9463">
        <v>0</v>
      </c>
      <c r="G9463">
        <v>0</v>
      </c>
    </row>
    <row r="9464" spans="1:10" x14ac:dyDescent="0.2">
      <c r="A9464" t="s">
        <v>4267</v>
      </c>
      <c r="B9464">
        <v>4</v>
      </c>
      <c r="C9464">
        <v>1</v>
      </c>
      <c r="D9464">
        <v>0</v>
      </c>
      <c r="E9464">
        <v>0</v>
      </c>
      <c r="F9464">
        <v>0</v>
      </c>
      <c r="G9464">
        <v>4</v>
      </c>
    </row>
    <row r="9465" spans="1:10" x14ac:dyDescent="0.2">
      <c r="A9465" t="s">
        <v>4268</v>
      </c>
      <c r="B9465">
        <v>0</v>
      </c>
      <c r="C9465">
        <v>1</v>
      </c>
      <c r="D9465">
        <v>0</v>
      </c>
      <c r="E9465">
        <v>0</v>
      </c>
      <c r="F9465">
        <v>0</v>
      </c>
      <c r="G9465">
        <v>1</v>
      </c>
    </row>
    <row r="9466" spans="1:10" x14ac:dyDescent="0.2">
      <c r="A9466" t="s">
        <v>4269</v>
      </c>
      <c r="B9466">
        <v>6</v>
      </c>
      <c r="C9466">
        <v>0</v>
      </c>
      <c r="D9466">
        <v>0</v>
      </c>
      <c r="E9466">
        <v>0</v>
      </c>
      <c r="F9466">
        <v>0</v>
      </c>
      <c r="G9466">
        <v>6</v>
      </c>
    </row>
    <row r="9467" spans="1:10" x14ac:dyDescent="0.2">
      <c r="A9467" t="s">
        <v>4270</v>
      </c>
      <c r="B9467">
        <v>0</v>
      </c>
      <c r="C9467">
        <v>0</v>
      </c>
      <c r="D9467">
        <v>0</v>
      </c>
      <c r="E9467">
        <v>0</v>
      </c>
      <c r="F9467">
        <v>0</v>
      </c>
      <c r="G9467">
        <v>0</v>
      </c>
    </row>
    <row r="9468" spans="1:10" x14ac:dyDescent="0.2">
      <c r="A9468" t="s">
        <v>4271</v>
      </c>
      <c r="B9468">
        <v>1</v>
      </c>
      <c r="C9468">
        <v>0</v>
      </c>
      <c r="D9468">
        <v>0</v>
      </c>
      <c r="E9468">
        <v>0</v>
      </c>
      <c r="F9468">
        <v>0</v>
      </c>
      <c r="G9468">
        <v>2</v>
      </c>
    </row>
    <row r="9469" spans="1:10" x14ac:dyDescent="0.2">
      <c r="A9469" t="s">
        <v>4272</v>
      </c>
      <c r="B9469">
        <v>3</v>
      </c>
      <c r="C9469">
        <v>0</v>
      </c>
      <c r="D9469">
        <v>0</v>
      </c>
      <c r="E9469">
        <v>0</v>
      </c>
      <c r="F9469">
        <v>0</v>
      </c>
      <c r="G9469">
        <v>3</v>
      </c>
    </row>
    <row r="9470" spans="1:10" x14ac:dyDescent="0.2">
      <c r="A9470" t="s">
        <v>4273</v>
      </c>
      <c r="B9470">
        <v>0</v>
      </c>
      <c r="C9470">
        <v>0</v>
      </c>
      <c r="D9470">
        <v>0</v>
      </c>
      <c r="E9470">
        <v>0</v>
      </c>
      <c r="F9470">
        <v>0</v>
      </c>
      <c r="G9470">
        <v>0</v>
      </c>
    </row>
    <row r="9471" spans="1:10" x14ac:dyDescent="0.2">
      <c r="A9471" t="s">
        <v>4274</v>
      </c>
      <c r="B9471">
        <v>0</v>
      </c>
      <c r="C9471">
        <v>0</v>
      </c>
      <c r="D9471">
        <v>0</v>
      </c>
      <c r="E9471">
        <v>0</v>
      </c>
      <c r="F9471">
        <v>0</v>
      </c>
      <c r="G9471">
        <v>0</v>
      </c>
    </row>
    <row r="9472" spans="1:10" x14ac:dyDescent="0.2">
      <c r="A9472" t="s">
        <v>4275</v>
      </c>
      <c r="B9472">
        <v>0</v>
      </c>
      <c r="C9472">
        <v>0</v>
      </c>
      <c r="D9472">
        <v>0</v>
      </c>
      <c r="E9472">
        <v>0</v>
      </c>
      <c r="F9472">
        <v>0</v>
      </c>
      <c r="G9472">
        <v>0</v>
      </c>
    </row>
    <row r="9473" spans="1:7" x14ac:dyDescent="0.2">
      <c r="A9473" t="s">
        <v>4276</v>
      </c>
      <c r="B9473">
        <v>0</v>
      </c>
      <c r="C9473">
        <v>0</v>
      </c>
      <c r="D9473">
        <v>0</v>
      </c>
      <c r="E9473">
        <v>0</v>
      </c>
      <c r="F9473">
        <v>0</v>
      </c>
      <c r="G9473">
        <v>0</v>
      </c>
    </row>
    <row r="9474" spans="1:7" x14ac:dyDescent="0.2">
      <c r="A9474" t="s">
        <v>4277</v>
      </c>
      <c r="B9474">
        <v>0</v>
      </c>
      <c r="C9474">
        <v>0</v>
      </c>
      <c r="D9474">
        <v>0</v>
      </c>
      <c r="E9474">
        <v>0</v>
      </c>
      <c r="F9474">
        <v>0</v>
      </c>
      <c r="G9474">
        <v>0</v>
      </c>
    </row>
    <row r="9475" spans="1:7" x14ac:dyDescent="0.2">
      <c r="A9475" t="s">
        <v>4278</v>
      </c>
      <c r="B9475">
        <v>0</v>
      </c>
      <c r="C9475">
        <v>0</v>
      </c>
      <c r="D9475">
        <v>0</v>
      </c>
      <c r="E9475">
        <v>0</v>
      </c>
      <c r="F9475">
        <v>0</v>
      </c>
      <c r="G9475">
        <v>0</v>
      </c>
    </row>
    <row r="9476" spans="1:7" x14ac:dyDescent="0.2">
      <c r="A9476" t="s">
        <v>4279</v>
      </c>
      <c r="B9476">
        <v>7</v>
      </c>
      <c r="C9476">
        <v>1</v>
      </c>
      <c r="D9476">
        <v>1</v>
      </c>
      <c r="E9476">
        <v>0</v>
      </c>
      <c r="F9476">
        <v>0</v>
      </c>
      <c r="G9476">
        <v>9</v>
      </c>
    </row>
    <row r="9477" spans="1:7" x14ac:dyDescent="0.2">
      <c r="A9477" t="s">
        <v>4280</v>
      </c>
      <c r="B9477">
        <v>0</v>
      </c>
      <c r="C9477">
        <v>0</v>
      </c>
      <c r="D9477">
        <v>0</v>
      </c>
      <c r="E9477">
        <v>0</v>
      </c>
      <c r="F9477">
        <v>0</v>
      </c>
      <c r="G9477">
        <v>0</v>
      </c>
    </row>
    <row r="9478" spans="1:7" x14ac:dyDescent="0.2">
      <c r="A9478" t="s">
        <v>4281</v>
      </c>
      <c r="B9478">
        <v>143</v>
      </c>
      <c r="C9478">
        <v>103</v>
      </c>
      <c r="D9478">
        <v>152</v>
      </c>
      <c r="E9478">
        <v>110</v>
      </c>
      <c r="F9478">
        <v>0</v>
      </c>
      <c r="G9478">
        <v>508</v>
      </c>
    </row>
    <row r="9479" spans="1:7" x14ac:dyDescent="0.2">
      <c r="A9479" t="s">
        <v>4282</v>
      </c>
      <c r="B9479">
        <v>72</v>
      </c>
      <c r="C9479">
        <v>42</v>
      </c>
      <c r="D9479">
        <v>44</v>
      </c>
      <c r="E9479">
        <v>2</v>
      </c>
      <c r="F9479">
        <v>0</v>
      </c>
      <c r="G9479">
        <v>160</v>
      </c>
    </row>
    <row r="9480" spans="1:7" x14ac:dyDescent="0.2">
      <c r="A9480" t="s">
        <v>4283</v>
      </c>
      <c r="B9480">
        <v>50</v>
      </c>
      <c r="C9480">
        <v>35</v>
      </c>
      <c r="D9480">
        <v>25</v>
      </c>
      <c r="E9480">
        <v>37</v>
      </c>
      <c r="F9480">
        <v>0</v>
      </c>
      <c r="G9480">
        <v>146</v>
      </c>
    </row>
    <row r="9481" spans="1:7" x14ac:dyDescent="0.2">
      <c r="A9481" t="s">
        <v>4284</v>
      </c>
      <c r="B9481">
        <v>7</v>
      </c>
      <c r="C9481">
        <v>0</v>
      </c>
      <c r="D9481">
        <v>5</v>
      </c>
      <c r="E9481">
        <v>0</v>
      </c>
      <c r="F9481">
        <v>0</v>
      </c>
      <c r="G9481">
        <v>12</v>
      </c>
    </row>
    <row r="9482" spans="1:7" x14ac:dyDescent="0.2">
      <c r="A9482" t="s">
        <v>4285</v>
      </c>
      <c r="B9482">
        <v>101</v>
      </c>
      <c r="C9482">
        <v>88</v>
      </c>
      <c r="D9482">
        <v>59</v>
      </c>
      <c r="E9482">
        <v>101</v>
      </c>
      <c r="F9482">
        <v>0</v>
      </c>
      <c r="G9482">
        <v>349</v>
      </c>
    </row>
    <row r="9483" spans="1:7" x14ac:dyDescent="0.2">
      <c r="A9483" t="s">
        <v>4286</v>
      </c>
      <c r="B9483">
        <v>25</v>
      </c>
      <c r="C9483">
        <v>3</v>
      </c>
      <c r="D9483">
        <v>4</v>
      </c>
      <c r="E9483">
        <v>1</v>
      </c>
      <c r="F9483">
        <v>0</v>
      </c>
      <c r="G9483">
        <v>33</v>
      </c>
    </row>
    <row r="9484" spans="1:7" x14ac:dyDescent="0.2">
      <c r="A9484" t="s">
        <v>4287</v>
      </c>
      <c r="B9484">
        <v>0</v>
      </c>
      <c r="C9484">
        <v>0</v>
      </c>
      <c r="D9484">
        <v>0</v>
      </c>
      <c r="E9484">
        <v>297</v>
      </c>
      <c r="F9484">
        <v>0</v>
      </c>
      <c r="G9484">
        <v>297</v>
      </c>
    </row>
    <row r="9485" spans="1:7" x14ac:dyDescent="0.2">
      <c r="A9485" t="s">
        <v>4288</v>
      </c>
      <c r="B9485">
        <v>0</v>
      </c>
      <c r="C9485">
        <v>0</v>
      </c>
      <c r="D9485">
        <v>0</v>
      </c>
      <c r="E9485">
        <v>0</v>
      </c>
      <c r="F9485">
        <v>18</v>
      </c>
      <c r="G9485">
        <v>18</v>
      </c>
    </row>
    <row r="9486" spans="1:7" x14ac:dyDescent="0.2">
      <c r="A9486" t="s">
        <v>4289</v>
      </c>
      <c r="B9486">
        <v>0</v>
      </c>
      <c r="C9486">
        <v>0</v>
      </c>
      <c r="D9486">
        <v>0</v>
      </c>
      <c r="E9486">
        <v>0</v>
      </c>
      <c r="F9486">
        <v>16141</v>
      </c>
      <c r="G9486">
        <v>16141</v>
      </c>
    </row>
    <row r="9487" spans="1:7" x14ac:dyDescent="0.2">
      <c r="A9487" t="s">
        <v>4290</v>
      </c>
      <c r="B9487">
        <v>0</v>
      </c>
      <c r="C9487">
        <v>0</v>
      </c>
      <c r="D9487">
        <v>0</v>
      </c>
      <c r="E9487">
        <v>0</v>
      </c>
      <c r="F9487">
        <v>0</v>
      </c>
      <c r="G9487">
        <v>0</v>
      </c>
    </row>
    <row r="9488" spans="1:7" x14ac:dyDescent="0.2">
      <c r="A9488" t="s">
        <v>4291</v>
      </c>
      <c r="B9488">
        <v>0</v>
      </c>
      <c r="C9488">
        <v>0</v>
      </c>
      <c r="D9488">
        <v>0</v>
      </c>
      <c r="E9488">
        <v>0</v>
      </c>
      <c r="F9488">
        <v>0</v>
      </c>
      <c r="G9488">
        <v>0</v>
      </c>
    </row>
    <row r="9489" spans="1:7" x14ac:dyDescent="0.2">
      <c r="A9489" t="s">
        <v>4292</v>
      </c>
      <c r="B9489">
        <v>0</v>
      </c>
      <c r="C9489">
        <v>0</v>
      </c>
      <c r="D9489">
        <v>0</v>
      </c>
      <c r="E9489">
        <v>0</v>
      </c>
      <c r="F9489">
        <v>161</v>
      </c>
      <c r="G9489">
        <v>161</v>
      </c>
    </row>
    <row r="9490" spans="1:7" x14ac:dyDescent="0.2">
      <c r="A9490" t="s">
        <v>4293</v>
      </c>
      <c r="B9490">
        <v>0</v>
      </c>
      <c r="C9490">
        <v>0</v>
      </c>
      <c r="D9490">
        <v>0</v>
      </c>
      <c r="E9490">
        <v>0</v>
      </c>
      <c r="F9490">
        <v>0</v>
      </c>
      <c r="G9490">
        <v>0</v>
      </c>
    </row>
    <row r="9491" spans="1:7" x14ac:dyDescent="0.2">
      <c r="A9491" t="s">
        <v>4294</v>
      </c>
      <c r="B9491">
        <v>0</v>
      </c>
      <c r="C9491">
        <v>0</v>
      </c>
      <c r="D9491">
        <v>0</v>
      </c>
      <c r="E9491">
        <v>0</v>
      </c>
      <c r="F9491">
        <v>0</v>
      </c>
      <c r="G9491">
        <v>0</v>
      </c>
    </row>
    <row r="9492" spans="1:7" x14ac:dyDescent="0.2">
      <c r="A9492" t="s">
        <v>4295</v>
      </c>
      <c r="B9492">
        <v>0</v>
      </c>
      <c r="C9492">
        <v>0</v>
      </c>
      <c r="D9492">
        <v>0</v>
      </c>
      <c r="E9492">
        <v>0</v>
      </c>
      <c r="F9492">
        <v>0</v>
      </c>
      <c r="G9492">
        <v>0</v>
      </c>
    </row>
    <row r="9493" spans="1:7" x14ac:dyDescent="0.2">
      <c r="A9493" t="s">
        <v>4296</v>
      </c>
      <c r="B9493">
        <v>0</v>
      </c>
      <c r="C9493">
        <v>0</v>
      </c>
      <c r="D9493">
        <v>0</v>
      </c>
      <c r="E9493">
        <v>0</v>
      </c>
      <c r="F9493">
        <v>0</v>
      </c>
      <c r="G9493">
        <v>0</v>
      </c>
    </row>
    <row r="9494" spans="1:7" x14ac:dyDescent="0.2">
      <c r="A9494" t="s">
        <v>4297</v>
      </c>
      <c r="B9494">
        <v>54</v>
      </c>
      <c r="C9494">
        <v>333</v>
      </c>
      <c r="D9494">
        <v>593</v>
      </c>
      <c r="E9494">
        <v>185</v>
      </c>
      <c r="F9494">
        <v>0</v>
      </c>
      <c r="G9494">
        <v>1165</v>
      </c>
    </row>
    <row r="9495" spans="1:7" x14ac:dyDescent="0.2">
      <c r="A9495" t="s">
        <v>4298</v>
      </c>
      <c r="B9495">
        <v>71</v>
      </c>
      <c r="C9495">
        <v>88</v>
      </c>
      <c r="D9495">
        <v>69</v>
      </c>
      <c r="E9495">
        <v>42</v>
      </c>
      <c r="F9495">
        <v>0</v>
      </c>
      <c r="G9495">
        <v>270</v>
      </c>
    </row>
    <row r="9496" spans="1:7" x14ac:dyDescent="0.2">
      <c r="A9496" t="s">
        <v>4299</v>
      </c>
      <c r="B9496">
        <v>20</v>
      </c>
      <c r="C9496">
        <v>41</v>
      </c>
      <c r="D9496">
        <v>81</v>
      </c>
      <c r="E9496">
        <v>70</v>
      </c>
      <c r="F9496">
        <v>0</v>
      </c>
      <c r="G9496">
        <v>213</v>
      </c>
    </row>
    <row r="9497" spans="1:7" x14ac:dyDescent="0.2">
      <c r="A9497" t="s">
        <v>4300</v>
      </c>
      <c r="B9497">
        <v>0</v>
      </c>
      <c r="C9497">
        <v>3</v>
      </c>
      <c r="D9497">
        <v>7</v>
      </c>
      <c r="E9497">
        <v>4</v>
      </c>
      <c r="F9497">
        <v>0</v>
      </c>
      <c r="G9497">
        <v>14</v>
      </c>
    </row>
    <row r="9498" spans="1:7" x14ac:dyDescent="0.2">
      <c r="A9498" t="s">
        <v>4301</v>
      </c>
      <c r="B9498">
        <v>0</v>
      </c>
      <c r="C9498">
        <v>183</v>
      </c>
      <c r="D9498">
        <v>368</v>
      </c>
      <c r="E9498">
        <v>171</v>
      </c>
      <c r="F9498">
        <v>0</v>
      </c>
      <c r="G9498">
        <v>722</v>
      </c>
    </row>
    <row r="9499" spans="1:7" x14ac:dyDescent="0.2">
      <c r="A9499" t="s">
        <v>4302</v>
      </c>
      <c r="B9499">
        <v>1</v>
      </c>
      <c r="C9499">
        <v>8</v>
      </c>
      <c r="D9499">
        <v>25</v>
      </c>
      <c r="E9499">
        <v>8</v>
      </c>
      <c r="F9499">
        <v>0</v>
      </c>
      <c r="G9499">
        <v>42</v>
      </c>
    </row>
    <row r="9500" spans="1:7" x14ac:dyDescent="0.2">
      <c r="A9500" t="s">
        <v>4303</v>
      </c>
      <c r="B9500">
        <v>1</v>
      </c>
      <c r="C9500">
        <v>22</v>
      </c>
      <c r="D9500">
        <v>102</v>
      </c>
      <c r="E9500">
        <v>21</v>
      </c>
      <c r="F9500">
        <v>0</v>
      </c>
      <c r="G9500">
        <v>146</v>
      </c>
    </row>
    <row r="9501" spans="1:7" x14ac:dyDescent="0.2">
      <c r="A9501" t="s">
        <v>4304</v>
      </c>
      <c r="B9501">
        <v>1</v>
      </c>
      <c r="C9501">
        <v>4</v>
      </c>
      <c r="D9501">
        <v>30</v>
      </c>
      <c r="E9501">
        <v>0</v>
      </c>
      <c r="F9501">
        <v>0</v>
      </c>
      <c r="G9501">
        <v>35</v>
      </c>
    </row>
    <row r="9502" spans="1:7" x14ac:dyDescent="0.2">
      <c r="A9502" t="s">
        <v>4305</v>
      </c>
      <c r="B9502">
        <v>0</v>
      </c>
      <c r="C9502">
        <v>45</v>
      </c>
      <c r="D9502">
        <v>29</v>
      </c>
      <c r="E9502">
        <v>24</v>
      </c>
      <c r="F9502">
        <v>0</v>
      </c>
      <c r="G9502">
        <v>98</v>
      </c>
    </row>
    <row r="9503" spans="1:7" x14ac:dyDescent="0.2">
      <c r="A9503" t="s">
        <v>4306</v>
      </c>
      <c r="B9503">
        <v>1</v>
      </c>
      <c r="C9503">
        <v>6</v>
      </c>
      <c r="D9503">
        <v>2</v>
      </c>
      <c r="E9503">
        <v>4</v>
      </c>
      <c r="F9503">
        <v>0</v>
      </c>
      <c r="G9503">
        <v>13</v>
      </c>
    </row>
    <row r="9504" spans="1:7" x14ac:dyDescent="0.2">
      <c r="A9504" t="s">
        <v>4307</v>
      </c>
      <c r="B9504">
        <v>6</v>
      </c>
      <c r="C9504">
        <v>56</v>
      </c>
      <c r="D9504">
        <v>309</v>
      </c>
      <c r="E9504">
        <v>208</v>
      </c>
      <c r="F9504">
        <v>0</v>
      </c>
      <c r="G9504">
        <v>578</v>
      </c>
    </row>
    <row r="9505" spans="1:7" x14ac:dyDescent="0.2">
      <c r="A9505" t="s">
        <v>4308</v>
      </c>
      <c r="B9505">
        <v>0</v>
      </c>
      <c r="C9505">
        <v>0</v>
      </c>
      <c r="D9505">
        <v>1</v>
      </c>
      <c r="E9505">
        <v>2</v>
      </c>
      <c r="F9505">
        <v>0</v>
      </c>
      <c r="G9505">
        <v>3</v>
      </c>
    </row>
    <row r="9506" spans="1:7" x14ac:dyDescent="0.2">
      <c r="A9506" t="s">
        <v>4309</v>
      </c>
      <c r="B9506">
        <v>0</v>
      </c>
      <c r="C9506">
        <v>0</v>
      </c>
      <c r="D9506">
        <v>0</v>
      </c>
      <c r="E9506">
        <v>0</v>
      </c>
      <c r="F9506">
        <v>0</v>
      </c>
      <c r="G9506">
        <v>0</v>
      </c>
    </row>
    <row r="9507" spans="1:7" x14ac:dyDescent="0.2">
      <c r="A9507" t="s">
        <v>4310</v>
      </c>
      <c r="B9507">
        <v>0</v>
      </c>
      <c r="C9507">
        <v>0</v>
      </c>
      <c r="D9507">
        <v>0</v>
      </c>
      <c r="E9507">
        <v>0</v>
      </c>
      <c r="F9507">
        <v>0</v>
      </c>
      <c r="G9507">
        <v>0</v>
      </c>
    </row>
    <row r="9508" spans="1:7" x14ac:dyDescent="0.2">
      <c r="A9508" t="s">
        <v>4311</v>
      </c>
      <c r="B9508">
        <v>0</v>
      </c>
      <c r="C9508">
        <v>0</v>
      </c>
      <c r="D9508">
        <v>0</v>
      </c>
      <c r="E9508">
        <v>33</v>
      </c>
      <c r="F9508">
        <v>1</v>
      </c>
      <c r="G9508">
        <v>34</v>
      </c>
    </row>
    <row r="9509" spans="1:7" x14ac:dyDescent="0.2">
      <c r="A9509" t="s">
        <v>4312</v>
      </c>
      <c r="B9509">
        <v>0</v>
      </c>
      <c r="C9509">
        <v>0</v>
      </c>
      <c r="D9509">
        <v>0</v>
      </c>
      <c r="E9509">
        <v>27</v>
      </c>
      <c r="F9509">
        <v>0</v>
      </c>
      <c r="G9509">
        <v>27</v>
      </c>
    </row>
    <row r="9510" spans="1:7" x14ac:dyDescent="0.2">
      <c r="A9510" t="s">
        <v>4313</v>
      </c>
      <c r="B9510">
        <v>0</v>
      </c>
      <c r="C9510">
        <v>0</v>
      </c>
      <c r="D9510">
        <v>0</v>
      </c>
      <c r="E9510">
        <v>0</v>
      </c>
      <c r="F9510">
        <v>0</v>
      </c>
      <c r="G9510">
        <v>0</v>
      </c>
    </row>
    <row r="9511" spans="1:7" x14ac:dyDescent="0.2">
      <c r="A9511" t="s">
        <v>4314</v>
      </c>
      <c r="B9511">
        <v>0</v>
      </c>
      <c r="C9511">
        <v>0</v>
      </c>
      <c r="D9511">
        <v>0</v>
      </c>
      <c r="E9511">
        <v>0</v>
      </c>
      <c r="F9511">
        <v>0</v>
      </c>
      <c r="G9511">
        <v>0</v>
      </c>
    </row>
    <row r="9512" spans="1:7" x14ac:dyDescent="0.2">
      <c r="A9512" t="s">
        <v>4315</v>
      </c>
      <c r="B9512">
        <v>0</v>
      </c>
      <c r="C9512">
        <v>0</v>
      </c>
      <c r="D9512">
        <v>0</v>
      </c>
      <c r="E9512">
        <v>0</v>
      </c>
      <c r="F9512">
        <v>0</v>
      </c>
      <c r="G9512">
        <v>0</v>
      </c>
    </row>
    <row r="9513" spans="1:7" x14ac:dyDescent="0.2">
      <c r="A9513" t="s">
        <v>4316</v>
      </c>
      <c r="B9513">
        <v>0</v>
      </c>
      <c r="C9513">
        <v>0</v>
      </c>
      <c r="D9513">
        <v>0</v>
      </c>
      <c r="E9513">
        <v>0</v>
      </c>
      <c r="F9513">
        <v>0</v>
      </c>
      <c r="G9513">
        <v>0</v>
      </c>
    </row>
    <row r="9514" spans="1:7" x14ac:dyDescent="0.2">
      <c r="A9514" t="s">
        <v>4317</v>
      </c>
      <c r="B9514">
        <v>0</v>
      </c>
      <c r="C9514">
        <v>0</v>
      </c>
      <c r="D9514">
        <v>0</v>
      </c>
      <c r="E9514">
        <v>0</v>
      </c>
      <c r="F9514">
        <v>0</v>
      </c>
      <c r="G9514">
        <v>0</v>
      </c>
    </row>
    <row r="9515" spans="1:7" x14ac:dyDescent="0.2">
      <c r="A9515" t="s">
        <v>4318</v>
      </c>
      <c r="B9515">
        <v>0</v>
      </c>
      <c r="C9515">
        <v>0</v>
      </c>
      <c r="D9515">
        <v>0</v>
      </c>
      <c r="E9515">
        <v>0</v>
      </c>
      <c r="F9515">
        <v>0</v>
      </c>
      <c r="G9515">
        <v>0</v>
      </c>
    </row>
    <row r="9516" spans="1:7" x14ac:dyDescent="0.2">
      <c r="A9516" t="s">
        <v>4319</v>
      </c>
      <c r="B9516">
        <v>0</v>
      </c>
      <c r="C9516">
        <v>0</v>
      </c>
      <c r="D9516">
        <v>0</v>
      </c>
      <c r="E9516">
        <v>0</v>
      </c>
      <c r="F9516">
        <v>0</v>
      </c>
      <c r="G9516">
        <v>0</v>
      </c>
    </row>
    <row r="9517" spans="1:7" x14ac:dyDescent="0.2">
      <c r="A9517" t="s">
        <v>4320</v>
      </c>
      <c r="B9517">
        <v>0</v>
      </c>
      <c r="C9517">
        <v>0</v>
      </c>
      <c r="D9517">
        <v>0</v>
      </c>
      <c r="E9517">
        <v>0</v>
      </c>
      <c r="F9517">
        <v>0</v>
      </c>
      <c r="G9517">
        <v>0</v>
      </c>
    </row>
    <row r="9518" spans="1:7" x14ac:dyDescent="0.2">
      <c r="A9518" t="s">
        <v>4321</v>
      </c>
      <c r="B9518">
        <v>0</v>
      </c>
      <c r="C9518">
        <v>0</v>
      </c>
      <c r="D9518">
        <v>0</v>
      </c>
      <c r="E9518">
        <v>0</v>
      </c>
      <c r="F9518">
        <v>0</v>
      </c>
      <c r="G9518">
        <v>0</v>
      </c>
    </row>
    <row r="9519" spans="1:7" x14ac:dyDescent="0.2">
      <c r="A9519" t="s">
        <v>4322</v>
      </c>
      <c r="B9519">
        <v>0</v>
      </c>
      <c r="C9519">
        <v>0</v>
      </c>
      <c r="D9519">
        <v>0</v>
      </c>
      <c r="E9519">
        <v>0</v>
      </c>
      <c r="F9519">
        <v>0</v>
      </c>
      <c r="G9519">
        <v>0</v>
      </c>
    </row>
    <row r="9520" spans="1:7" x14ac:dyDescent="0.2">
      <c r="A9520" t="s">
        <v>4323</v>
      </c>
      <c r="B9520">
        <v>0</v>
      </c>
      <c r="C9520">
        <v>0</v>
      </c>
      <c r="D9520">
        <v>0</v>
      </c>
      <c r="E9520">
        <v>0</v>
      </c>
      <c r="F9520">
        <v>0</v>
      </c>
      <c r="G9520">
        <v>0</v>
      </c>
    </row>
    <row r="9521" spans="1:7" x14ac:dyDescent="0.2">
      <c r="A9521" t="s">
        <v>4324</v>
      </c>
      <c r="B9521">
        <v>0</v>
      </c>
      <c r="C9521">
        <v>0</v>
      </c>
      <c r="D9521">
        <v>0</v>
      </c>
      <c r="E9521">
        <v>0</v>
      </c>
      <c r="F9521">
        <v>0</v>
      </c>
      <c r="G9521">
        <v>0</v>
      </c>
    </row>
    <row r="9522" spans="1:7" x14ac:dyDescent="0.2">
      <c r="A9522" t="s">
        <v>4325</v>
      </c>
      <c r="B9522">
        <v>0</v>
      </c>
      <c r="C9522">
        <v>0</v>
      </c>
      <c r="D9522">
        <v>0</v>
      </c>
      <c r="E9522">
        <v>0</v>
      </c>
      <c r="F9522">
        <v>0</v>
      </c>
      <c r="G9522">
        <v>0</v>
      </c>
    </row>
    <row r="9523" spans="1:7" x14ac:dyDescent="0.2">
      <c r="A9523" t="s">
        <v>4326</v>
      </c>
      <c r="B9523">
        <v>0</v>
      </c>
      <c r="C9523">
        <v>0</v>
      </c>
      <c r="D9523">
        <v>0</v>
      </c>
      <c r="E9523">
        <v>0</v>
      </c>
      <c r="F9523">
        <v>0</v>
      </c>
      <c r="G9523">
        <v>0</v>
      </c>
    </row>
    <row r="9524" spans="1:7" x14ac:dyDescent="0.2">
      <c r="A9524" t="s">
        <v>4327</v>
      </c>
      <c r="B9524">
        <v>0</v>
      </c>
      <c r="C9524">
        <v>0</v>
      </c>
      <c r="D9524">
        <v>0</v>
      </c>
      <c r="E9524">
        <v>0</v>
      </c>
      <c r="F9524">
        <v>0</v>
      </c>
      <c r="G9524">
        <v>0</v>
      </c>
    </row>
    <row r="9525" spans="1:7" x14ac:dyDescent="0.2">
      <c r="A9525" t="s">
        <v>4328</v>
      </c>
      <c r="B9525">
        <v>0</v>
      </c>
      <c r="C9525">
        <v>0</v>
      </c>
      <c r="D9525">
        <v>0</v>
      </c>
      <c r="E9525">
        <v>0</v>
      </c>
      <c r="F9525">
        <v>0</v>
      </c>
      <c r="G9525">
        <v>0</v>
      </c>
    </row>
    <row r="9526" spans="1:7" x14ac:dyDescent="0.2">
      <c r="A9526" t="s">
        <v>4329</v>
      </c>
      <c r="B9526">
        <v>0</v>
      </c>
      <c r="C9526">
        <v>0</v>
      </c>
      <c r="D9526">
        <v>0</v>
      </c>
      <c r="E9526">
        <v>0</v>
      </c>
      <c r="F9526">
        <v>0</v>
      </c>
      <c r="G9526">
        <v>0</v>
      </c>
    </row>
    <row r="9527" spans="1:7" x14ac:dyDescent="0.2">
      <c r="A9527" t="s">
        <v>4330</v>
      </c>
      <c r="B9527">
        <v>0</v>
      </c>
      <c r="C9527">
        <v>0</v>
      </c>
      <c r="D9527">
        <v>0</v>
      </c>
      <c r="E9527">
        <v>0</v>
      </c>
      <c r="F9527">
        <v>0</v>
      </c>
      <c r="G9527">
        <v>0</v>
      </c>
    </row>
    <row r="9528" spans="1:7" x14ac:dyDescent="0.2">
      <c r="A9528" t="s">
        <v>4331</v>
      </c>
      <c r="B9528">
        <v>0</v>
      </c>
      <c r="C9528">
        <v>0</v>
      </c>
      <c r="D9528">
        <v>0</v>
      </c>
      <c r="E9528">
        <v>0</v>
      </c>
      <c r="F9528">
        <v>0</v>
      </c>
      <c r="G9528">
        <v>0</v>
      </c>
    </row>
    <row r="9529" spans="1:7" x14ac:dyDescent="0.2">
      <c r="A9529" t="s">
        <v>4332</v>
      </c>
      <c r="B9529">
        <v>0</v>
      </c>
      <c r="C9529">
        <v>0</v>
      </c>
      <c r="D9529">
        <v>0</v>
      </c>
      <c r="E9529">
        <v>0</v>
      </c>
      <c r="F9529">
        <v>0</v>
      </c>
      <c r="G9529">
        <v>0</v>
      </c>
    </row>
    <row r="9530" spans="1:7" x14ac:dyDescent="0.2">
      <c r="A9530" t="s">
        <v>4333</v>
      </c>
      <c r="B9530">
        <v>0</v>
      </c>
      <c r="C9530">
        <v>0</v>
      </c>
      <c r="D9530">
        <v>0</v>
      </c>
      <c r="E9530">
        <v>0</v>
      </c>
      <c r="F9530">
        <v>0</v>
      </c>
      <c r="G9530">
        <v>0</v>
      </c>
    </row>
    <row r="9531" spans="1:7" x14ac:dyDescent="0.2">
      <c r="A9531" t="s">
        <v>4334</v>
      </c>
      <c r="B9531">
        <v>0</v>
      </c>
      <c r="C9531">
        <v>0</v>
      </c>
      <c r="D9531">
        <v>0</v>
      </c>
      <c r="E9531">
        <v>0</v>
      </c>
      <c r="F9531">
        <v>0</v>
      </c>
      <c r="G9531">
        <v>0</v>
      </c>
    </row>
    <row r="9532" spans="1:7" x14ac:dyDescent="0.2">
      <c r="A9532" t="s">
        <v>4335</v>
      </c>
      <c r="B9532">
        <v>0</v>
      </c>
      <c r="C9532">
        <v>0</v>
      </c>
      <c r="D9532">
        <v>0</v>
      </c>
      <c r="E9532">
        <v>0</v>
      </c>
      <c r="F9532">
        <v>0</v>
      </c>
      <c r="G9532">
        <v>0</v>
      </c>
    </row>
    <row r="9533" spans="1:7" x14ac:dyDescent="0.2">
      <c r="A9533" t="s">
        <v>4336</v>
      </c>
      <c r="B9533">
        <v>0</v>
      </c>
      <c r="C9533">
        <v>0</v>
      </c>
      <c r="D9533">
        <v>0</v>
      </c>
      <c r="E9533">
        <v>0</v>
      </c>
      <c r="F9533">
        <v>0</v>
      </c>
      <c r="G9533">
        <v>0</v>
      </c>
    </row>
    <row r="9534" spans="1:7" x14ac:dyDescent="0.2">
      <c r="A9534" t="s">
        <v>4337</v>
      </c>
      <c r="B9534">
        <v>0</v>
      </c>
      <c r="C9534">
        <v>0</v>
      </c>
      <c r="D9534">
        <v>0</v>
      </c>
      <c r="E9534">
        <v>0</v>
      </c>
      <c r="F9534">
        <v>0</v>
      </c>
      <c r="G9534">
        <v>0</v>
      </c>
    </row>
    <row r="9535" spans="1:7" x14ac:dyDescent="0.2">
      <c r="A9535" t="s">
        <v>4338</v>
      </c>
      <c r="B9535">
        <v>0</v>
      </c>
      <c r="C9535">
        <v>0</v>
      </c>
      <c r="D9535">
        <v>0</v>
      </c>
      <c r="E9535">
        <v>0</v>
      </c>
      <c r="F9535">
        <v>0</v>
      </c>
      <c r="G9535">
        <v>0</v>
      </c>
    </row>
    <row r="9536" spans="1:7" x14ac:dyDescent="0.2">
      <c r="A9536" t="s">
        <v>4339</v>
      </c>
      <c r="B9536">
        <v>0</v>
      </c>
      <c r="C9536">
        <v>0</v>
      </c>
      <c r="D9536">
        <v>0</v>
      </c>
      <c r="E9536">
        <v>0</v>
      </c>
      <c r="F9536">
        <v>0</v>
      </c>
      <c r="G9536">
        <v>0</v>
      </c>
    </row>
    <row r="9537" spans="1:7" x14ac:dyDescent="0.2">
      <c r="A9537" t="s">
        <v>4340</v>
      </c>
      <c r="B9537">
        <v>0</v>
      </c>
      <c r="C9537">
        <v>0</v>
      </c>
      <c r="D9537">
        <v>0</v>
      </c>
      <c r="E9537">
        <v>0</v>
      </c>
      <c r="F9537">
        <v>0</v>
      </c>
      <c r="G9537">
        <v>0</v>
      </c>
    </row>
    <row r="9538" spans="1:7" x14ac:dyDescent="0.2">
      <c r="A9538" t="s">
        <v>4341</v>
      </c>
      <c r="B9538">
        <v>0</v>
      </c>
      <c r="C9538">
        <v>0</v>
      </c>
      <c r="D9538">
        <v>0</v>
      </c>
      <c r="E9538">
        <v>0</v>
      </c>
      <c r="F9538">
        <v>0</v>
      </c>
      <c r="G9538">
        <v>0</v>
      </c>
    </row>
    <row r="9539" spans="1:7" x14ac:dyDescent="0.2">
      <c r="A9539" t="s">
        <v>4342</v>
      </c>
      <c r="B9539">
        <v>0</v>
      </c>
      <c r="C9539">
        <v>0</v>
      </c>
      <c r="D9539">
        <v>0</v>
      </c>
      <c r="E9539">
        <v>0</v>
      </c>
      <c r="F9539">
        <v>0</v>
      </c>
      <c r="G9539">
        <v>0</v>
      </c>
    </row>
    <row r="9540" spans="1:7" x14ac:dyDescent="0.2">
      <c r="A9540" t="s">
        <v>4343</v>
      </c>
      <c r="B9540">
        <v>0</v>
      </c>
      <c r="C9540">
        <v>0</v>
      </c>
      <c r="D9540">
        <v>0</v>
      </c>
      <c r="E9540">
        <v>0</v>
      </c>
      <c r="F9540">
        <v>0</v>
      </c>
      <c r="G9540">
        <v>0</v>
      </c>
    </row>
    <row r="9541" spans="1:7" x14ac:dyDescent="0.2">
      <c r="A9541" t="s">
        <v>1728</v>
      </c>
      <c r="B9541">
        <v>0</v>
      </c>
      <c r="C9541">
        <v>0</v>
      </c>
      <c r="D9541">
        <v>0</v>
      </c>
      <c r="E9541">
        <v>0</v>
      </c>
      <c r="F9541">
        <v>0</v>
      </c>
      <c r="G9541">
        <v>0</v>
      </c>
    </row>
    <row r="9542" spans="1:7" x14ac:dyDescent="0.2">
      <c r="A9542" t="s">
        <v>1730</v>
      </c>
      <c r="B9542">
        <v>0</v>
      </c>
      <c r="C9542">
        <v>0</v>
      </c>
      <c r="D9542">
        <v>1</v>
      </c>
      <c r="E9542">
        <v>0</v>
      </c>
      <c r="F9542">
        <v>1</v>
      </c>
      <c r="G9542">
        <v>2</v>
      </c>
    </row>
    <row r="9543" spans="1:7" x14ac:dyDescent="0.2">
      <c r="A9543" t="s">
        <v>1733</v>
      </c>
      <c r="B9543">
        <v>0</v>
      </c>
      <c r="C9543">
        <v>0</v>
      </c>
      <c r="D9543">
        <v>0</v>
      </c>
      <c r="E9543">
        <v>0</v>
      </c>
      <c r="F9543">
        <v>0</v>
      </c>
      <c r="G9543">
        <v>0</v>
      </c>
    </row>
    <row r="9544" spans="1:7" x14ac:dyDescent="0.2">
      <c r="A9544" t="s">
        <v>1738</v>
      </c>
      <c r="B9544">
        <v>0</v>
      </c>
      <c r="C9544">
        <v>0</v>
      </c>
      <c r="D9544">
        <v>0</v>
      </c>
      <c r="E9544">
        <v>0</v>
      </c>
      <c r="F9544">
        <v>0</v>
      </c>
      <c r="G9544">
        <v>0</v>
      </c>
    </row>
    <row r="9545" spans="1:7" x14ac:dyDescent="0.2">
      <c r="A9545" t="s">
        <v>1744</v>
      </c>
      <c r="B9545">
        <v>0</v>
      </c>
      <c r="C9545">
        <v>0</v>
      </c>
      <c r="D9545">
        <v>0</v>
      </c>
      <c r="E9545">
        <v>0</v>
      </c>
      <c r="F9545">
        <v>0</v>
      </c>
      <c r="G9545">
        <v>0</v>
      </c>
    </row>
    <row r="9546" spans="1:7" x14ac:dyDescent="0.2">
      <c r="A9546" t="s">
        <v>1747</v>
      </c>
      <c r="B9546">
        <v>0</v>
      </c>
      <c r="C9546">
        <v>0</v>
      </c>
      <c r="D9546">
        <v>0</v>
      </c>
      <c r="E9546">
        <v>0</v>
      </c>
      <c r="F9546">
        <v>0</v>
      </c>
      <c r="G9546">
        <v>0</v>
      </c>
    </row>
    <row r="9547" spans="1:7" x14ac:dyDescent="0.2">
      <c r="A9547" t="s">
        <v>1751</v>
      </c>
      <c r="B9547">
        <v>0</v>
      </c>
      <c r="C9547">
        <v>0</v>
      </c>
      <c r="D9547">
        <v>0</v>
      </c>
      <c r="E9547">
        <v>0</v>
      </c>
      <c r="F9547">
        <v>0</v>
      </c>
      <c r="G9547">
        <v>0</v>
      </c>
    </row>
    <row r="9548" spans="1:7" x14ac:dyDescent="0.2">
      <c r="A9548" t="s">
        <v>1755</v>
      </c>
      <c r="B9548">
        <v>0</v>
      </c>
      <c r="C9548">
        <v>0</v>
      </c>
      <c r="D9548">
        <v>0</v>
      </c>
      <c r="E9548">
        <v>0</v>
      </c>
      <c r="F9548">
        <v>0</v>
      </c>
      <c r="G9548">
        <v>0</v>
      </c>
    </row>
    <row r="9549" spans="1:7" x14ac:dyDescent="0.2">
      <c r="A9549" t="s">
        <v>1757</v>
      </c>
      <c r="B9549">
        <v>0</v>
      </c>
      <c r="C9549">
        <v>0</v>
      </c>
      <c r="D9549">
        <v>0</v>
      </c>
      <c r="E9549">
        <v>0</v>
      </c>
      <c r="F9549">
        <v>0</v>
      </c>
      <c r="G9549">
        <v>0</v>
      </c>
    </row>
    <row r="9550" spans="1:7" x14ac:dyDescent="0.2">
      <c r="A9550" t="s">
        <v>1761</v>
      </c>
      <c r="B9550">
        <v>0</v>
      </c>
      <c r="C9550">
        <v>0</v>
      </c>
      <c r="D9550">
        <v>0</v>
      </c>
      <c r="E9550">
        <v>0</v>
      </c>
      <c r="F9550">
        <v>0</v>
      </c>
      <c r="G9550">
        <v>0</v>
      </c>
    </row>
    <row r="9551" spans="1:7" x14ac:dyDescent="0.2">
      <c r="A9551" t="s">
        <v>1764</v>
      </c>
      <c r="B9551">
        <v>0</v>
      </c>
      <c r="C9551">
        <v>0</v>
      </c>
      <c r="D9551">
        <v>0</v>
      </c>
      <c r="E9551">
        <v>0</v>
      </c>
      <c r="F9551">
        <v>0</v>
      </c>
      <c r="G9551">
        <v>0</v>
      </c>
    </row>
    <row r="9552" spans="1:7" x14ac:dyDescent="0.2">
      <c r="A9552" t="s">
        <v>1770</v>
      </c>
      <c r="B9552">
        <v>1</v>
      </c>
      <c r="C9552">
        <v>1</v>
      </c>
      <c r="D9552">
        <v>5</v>
      </c>
      <c r="E9552">
        <v>10</v>
      </c>
      <c r="F9552">
        <v>0</v>
      </c>
      <c r="G9552">
        <v>17</v>
      </c>
    </row>
    <row r="9553" spans="1:7" x14ac:dyDescent="0.2">
      <c r="A9553" t="s">
        <v>1772</v>
      </c>
      <c r="B9553">
        <v>0</v>
      </c>
      <c r="C9553">
        <v>0</v>
      </c>
      <c r="D9553">
        <v>0</v>
      </c>
      <c r="E9553">
        <v>0</v>
      </c>
      <c r="F9553">
        <v>0</v>
      </c>
      <c r="G9553">
        <v>0</v>
      </c>
    </row>
    <row r="9554" spans="1:7" x14ac:dyDescent="0.2">
      <c r="A9554" t="s">
        <v>1774</v>
      </c>
      <c r="B9554">
        <v>0</v>
      </c>
      <c r="C9554">
        <v>0</v>
      </c>
      <c r="D9554">
        <v>0</v>
      </c>
      <c r="E9554">
        <v>0</v>
      </c>
      <c r="F9554">
        <v>0</v>
      </c>
      <c r="G9554">
        <v>0</v>
      </c>
    </row>
    <row r="9555" spans="1:7" x14ac:dyDescent="0.2">
      <c r="A9555" t="s">
        <v>1777</v>
      </c>
      <c r="B9555">
        <v>0</v>
      </c>
      <c r="C9555">
        <v>0</v>
      </c>
      <c r="D9555">
        <v>0</v>
      </c>
      <c r="E9555">
        <v>0</v>
      </c>
      <c r="F9555">
        <v>0</v>
      </c>
      <c r="G9555">
        <v>0</v>
      </c>
    </row>
    <row r="9556" spans="1:7" x14ac:dyDescent="0.2">
      <c r="A9556" t="s">
        <v>1782</v>
      </c>
      <c r="B9556">
        <v>0</v>
      </c>
      <c r="C9556">
        <v>0</v>
      </c>
      <c r="D9556">
        <v>0</v>
      </c>
      <c r="E9556">
        <v>0</v>
      </c>
      <c r="F9556">
        <v>0</v>
      </c>
      <c r="G9556">
        <v>0</v>
      </c>
    </row>
    <row r="9557" spans="1:7" x14ac:dyDescent="0.2">
      <c r="A9557" t="s">
        <v>1274</v>
      </c>
      <c r="B9557">
        <v>0</v>
      </c>
      <c r="C9557">
        <v>0</v>
      </c>
      <c r="D9557">
        <v>0</v>
      </c>
      <c r="E9557">
        <v>0</v>
      </c>
      <c r="F9557">
        <v>0</v>
      </c>
      <c r="G9557">
        <v>0</v>
      </c>
    </row>
    <row r="9558" spans="1:7" x14ac:dyDescent="0.2">
      <c r="A9558" t="s">
        <v>1277</v>
      </c>
      <c r="B9558">
        <v>0</v>
      </c>
      <c r="C9558">
        <v>0</v>
      </c>
      <c r="D9558">
        <v>0</v>
      </c>
      <c r="E9558">
        <v>0</v>
      </c>
      <c r="F9558">
        <v>0</v>
      </c>
      <c r="G9558">
        <v>0</v>
      </c>
    </row>
    <row r="9559" spans="1:7" x14ac:dyDescent="0.2">
      <c r="A9559" t="s">
        <v>1798</v>
      </c>
      <c r="B9559">
        <v>0</v>
      </c>
      <c r="C9559">
        <v>0</v>
      </c>
      <c r="D9559">
        <v>0</v>
      </c>
      <c r="E9559">
        <v>0</v>
      </c>
      <c r="F9559">
        <v>0</v>
      </c>
      <c r="G9559">
        <v>0</v>
      </c>
    </row>
    <row r="9560" spans="1:7" x14ac:dyDescent="0.2">
      <c r="A9560" t="s">
        <v>1803</v>
      </c>
      <c r="B9560">
        <v>0</v>
      </c>
      <c r="C9560">
        <v>0</v>
      </c>
      <c r="D9560">
        <v>0</v>
      </c>
      <c r="E9560">
        <v>0</v>
      </c>
      <c r="F9560">
        <v>0</v>
      </c>
      <c r="G9560">
        <v>0</v>
      </c>
    </row>
    <row r="9561" spans="1:7" x14ac:dyDescent="0.2">
      <c r="A9561" t="s">
        <v>1808</v>
      </c>
      <c r="B9561">
        <v>0</v>
      </c>
      <c r="C9561">
        <v>0</v>
      </c>
      <c r="D9561">
        <v>0</v>
      </c>
      <c r="E9561">
        <v>0</v>
      </c>
      <c r="F9561">
        <v>0</v>
      </c>
      <c r="G9561">
        <v>0</v>
      </c>
    </row>
    <row r="9562" spans="1:7" x14ac:dyDescent="0.2">
      <c r="A9562" t="s">
        <v>1813</v>
      </c>
      <c r="B9562">
        <v>0</v>
      </c>
      <c r="C9562">
        <v>0</v>
      </c>
      <c r="D9562">
        <v>0</v>
      </c>
      <c r="E9562">
        <v>0</v>
      </c>
      <c r="F9562">
        <v>0</v>
      </c>
      <c r="G9562">
        <v>0</v>
      </c>
    </row>
    <row r="9563" spans="1:7" x14ac:dyDescent="0.2">
      <c r="A9563" t="s">
        <v>1819</v>
      </c>
      <c r="B9563">
        <v>0</v>
      </c>
      <c r="C9563">
        <v>0</v>
      </c>
      <c r="D9563">
        <v>0</v>
      </c>
      <c r="E9563">
        <v>0</v>
      </c>
      <c r="F9563">
        <v>0</v>
      </c>
      <c r="G9563">
        <v>0</v>
      </c>
    </row>
    <row r="9564" spans="1:7" x14ac:dyDescent="0.2">
      <c r="A9564" t="s">
        <v>1826</v>
      </c>
      <c r="B9564">
        <v>0</v>
      </c>
      <c r="C9564">
        <v>0</v>
      </c>
      <c r="D9564">
        <v>0</v>
      </c>
      <c r="E9564">
        <v>0</v>
      </c>
      <c r="F9564">
        <v>0</v>
      </c>
      <c r="G9564">
        <v>0</v>
      </c>
    </row>
    <row r="9565" spans="1:7" x14ac:dyDescent="0.2">
      <c r="A9565" t="s">
        <v>1830</v>
      </c>
      <c r="B9565">
        <v>0</v>
      </c>
      <c r="C9565">
        <v>0</v>
      </c>
      <c r="D9565">
        <v>0</v>
      </c>
      <c r="E9565">
        <v>0</v>
      </c>
      <c r="F9565">
        <v>0</v>
      </c>
      <c r="G9565">
        <v>0</v>
      </c>
    </row>
    <row r="9566" spans="1:7" x14ac:dyDescent="0.2">
      <c r="A9566" t="s">
        <v>1836</v>
      </c>
      <c r="B9566">
        <v>0</v>
      </c>
      <c r="C9566">
        <v>0</v>
      </c>
      <c r="D9566">
        <v>0</v>
      </c>
      <c r="E9566">
        <v>0</v>
      </c>
      <c r="F9566">
        <v>0</v>
      </c>
      <c r="G9566">
        <v>0</v>
      </c>
    </row>
    <row r="9567" spans="1:7" x14ac:dyDescent="0.2">
      <c r="A9567" t="s">
        <v>1841</v>
      </c>
      <c r="B9567">
        <v>0</v>
      </c>
      <c r="C9567">
        <v>0</v>
      </c>
      <c r="D9567">
        <v>0</v>
      </c>
      <c r="E9567">
        <v>0</v>
      </c>
      <c r="F9567">
        <v>0</v>
      </c>
      <c r="G9567">
        <v>0</v>
      </c>
    </row>
    <row r="9568" spans="1:7" x14ac:dyDescent="0.2">
      <c r="A9568" t="s">
        <v>1842</v>
      </c>
      <c r="B9568">
        <v>0</v>
      </c>
      <c r="C9568">
        <v>0</v>
      </c>
      <c r="D9568">
        <v>3</v>
      </c>
      <c r="E9568">
        <v>0</v>
      </c>
      <c r="F9568">
        <v>0</v>
      </c>
      <c r="G9568">
        <v>3</v>
      </c>
    </row>
    <row r="9569" spans="1:7" x14ac:dyDescent="0.2">
      <c r="A9569" t="s">
        <v>1843</v>
      </c>
      <c r="B9569">
        <v>0</v>
      </c>
      <c r="C9569">
        <v>0</v>
      </c>
      <c r="D9569">
        <v>0</v>
      </c>
      <c r="E9569">
        <v>0</v>
      </c>
      <c r="F9569">
        <v>0</v>
      </c>
      <c r="G9569">
        <v>0</v>
      </c>
    </row>
    <row r="9570" spans="1:7" x14ac:dyDescent="0.2">
      <c r="A9570" t="s">
        <v>1846</v>
      </c>
      <c r="B9570">
        <v>0</v>
      </c>
      <c r="C9570">
        <v>0</v>
      </c>
      <c r="D9570">
        <v>0</v>
      </c>
      <c r="E9570">
        <v>0</v>
      </c>
      <c r="F9570">
        <v>0</v>
      </c>
      <c r="G9570">
        <v>0</v>
      </c>
    </row>
    <row r="9571" spans="1:7" x14ac:dyDescent="0.2">
      <c r="A9571" t="s">
        <v>1851</v>
      </c>
      <c r="B9571">
        <v>0</v>
      </c>
      <c r="C9571">
        <v>0</v>
      </c>
      <c r="D9571">
        <v>0</v>
      </c>
      <c r="E9571">
        <v>0</v>
      </c>
      <c r="F9571">
        <v>0</v>
      </c>
      <c r="G9571">
        <v>0</v>
      </c>
    </row>
    <row r="9572" spans="1:7" x14ac:dyDescent="0.2">
      <c r="A9572" t="s">
        <v>1857</v>
      </c>
      <c r="B9572">
        <v>0</v>
      </c>
      <c r="C9572">
        <v>0</v>
      </c>
      <c r="D9572">
        <v>0</v>
      </c>
      <c r="E9572">
        <v>0</v>
      </c>
      <c r="F9572">
        <v>0</v>
      </c>
      <c r="G9572">
        <v>0</v>
      </c>
    </row>
    <row r="9573" spans="1:7" x14ac:dyDescent="0.2">
      <c r="A9573" t="s">
        <v>1862</v>
      </c>
      <c r="B9573">
        <v>0</v>
      </c>
      <c r="C9573">
        <v>0</v>
      </c>
      <c r="D9573">
        <v>0</v>
      </c>
      <c r="E9573">
        <v>0</v>
      </c>
      <c r="F9573">
        <v>0</v>
      </c>
      <c r="G9573">
        <v>0</v>
      </c>
    </row>
    <row r="9574" spans="1:7" x14ac:dyDescent="0.2">
      <c r="A9574" t="s">
        <v>1867</v>
      </c>
      <c r="B9574">
        <v>0</v>
      </c>
      <c r="C9574">
        <v>0</v>
      </c>
      <c r="D9574">
        <v>0</v>
      </c>
      <c r="E9574">
        <v>0</v>
      </c>
      <c r="F9574">
        <v>0</v>
      </c>
      <c r="G9574">
        <v>0</v>
      </c>
    </row>
    <row r="9575" spans="1:7" x14ac:dyDescent="0.2">
      <c r="A9575" t="s">
        <v>1870</v>
      </c>
      <c r="B9575">
        <v>0</v>
      </c>
      <c r="C9575">
        <v>0</v>
      </c>
      <c r="D9575">
        <v>0</v>
      </c>
      <c r="E9575">
        <v>0</v>
      </c>
      <c r="F9575">
        <v>0</v>
      </c>
      <c r="G9575">
        <v>0</v>
      </c>
    </row>
    <row r="9576" spans="1:7" x14ac:dyDescent="0.2">
      <c r="A9576" t="s">
        <v>1874</v>
      </c>
      <c r="B9576">
        <v>0</v>
      </c>
      <c r="C9576">
        <v>0</v>
      </c>
      <c r="D9576">
        <v>0</v>
      </c>
      <c r="E9576">
        <v>0</v>
      </c>
      <c r="F9576">
        <v>0</v>
      </c>
      <c r="G9576">
        <v>0</v>
      </c>
    </row>
    <row r="9577" spans="1:7" x14ac:dyDescent="0.2">
      <c r="A9577" t="s">
        <v>1876</v>
      </c>
      <c r="B9577">
        <v>0</v>
      </c>
      <c r="C9577">
        <v>0</v>
      </c>
      <c r="D9577">
        <v>0</v>
      </c>
      <c r="E9577">
        <v>0</v>
      </c>
      <c r="F9577">
        <v>0</v>
      </c>
      <c r="G9577">
        <v>0</v>
      </c>
    </row>
    <row r="9578" spans="1:7" x14ac:dyDescent="0.2">
      <c r="A9578" t="s">
        <v>1881</v>
      </c>
      <c r="B9578">
        <v>0</v>
      </c>
      <c r="C9578">
        <v>0</v>
      </c>
      <c r="D9578">
        <v>0</v>
      </c>
      <c r="E9578">
        <v>0</v>
      </c>
      <c r="F9578">
        <v>0</v>
      </c>
      <c r="G9578">
        <v>0</v>
      </c>
    </row>
    <row r="9579" spans="1:7" x14ac:dyDescent="0.2">
      <c r="A9579" t="s">
        <v>1885</v>
      </c>
      <c r="B9579">
        <v>0</v>
      </c>
      <c r="C9579">
        <v>6</v>
      </c>
      <c r="D9579">
        <v>0</v>
      </c>
      <c r="E9579">
        <v>0</v>
      </c>
      <c r="F9579">
        <v>0</v>
      </c>
      <c r="G9579">
        <v>6</v>
      </c>
    </row>
    <row r="9580" spans="1:7" x14ac:dyDescent="0.2">
      <c r="A9580" t="s">
        <v>1887</v>
      </c>
      <c r="B9580">
        <v>0</v>
      </c>
      <c r="C9580">
        <v>0</v>
      </c>
      <c r="D9580">
        <v>0</v>
      </c>
      <c r="E9580">
        <v>0</v>
      </c>
      <c r="F9580">
        <v>0</v>
      </c>
      <c r="G9580">
        <v>0</v>
      </c>
    </row>
    <row r="9581" spans="1:7" x14ac:dyDescent="0.2">
      <c r="A9581" t="s">
        <v>1893</v>
      </c>
      <c r="B9581">
        <v>0</v>
      </c>
      <c r="C9581">
        <v>0</v>
      </c>
      <c r="D9581">
        <v>0</v>
      </c>
      <c r="E9581">
        <v>0</v>
      </c>
      <c r="F9581">
        <v>0</v>
      </c>
      <c r="G9581">
        <v>0</v>
      </c>
    </row>
    <row r="9582" spans="1:7" x14ac:dyDescent="0.2">
      <c r="A9582" t="s">
        <v>1899</v>
      </c>
      <c r="B9582">
        <v>0</v>
      </c>
      <c r="C9582">
        <v>0</v>
      </c>
      <c r="D9582">
        <v>0</v>
      </c>
      <c r="E9582">
        <v>0</v>
      </c>
      <c r="F9582">
        <v>0</v>
      </c>
      <c r="G9582">
        <v>0</v>
      </c>
    </row>
    <row r="9583" spans="1:7" x14ac:dyDescent="0.2">
      <c r="A9583" t="s">
        <v>1906</v>
      </c>
      <c r="B9583">
        <v>0</v>
      </c>
      <c r="C9583">
        <v>0</v>
      </c>
      <c r="D9583">
        <v>0</v>
      </c>
      <c r="E9583">
        <v>0</v>
      </c>
      <c r="F9583">
        <v>0</v>
      </c>
      <c r="G9583">
        <v>0</v>
      </c>
    </row>
    <row r="9584" spans="1:7" x14ac:dyDescent="0.2">
      <c r="A9584" t="s">
        <v>1911</v>
      </c>
      <c r="B9584">
        <v>0</v>
      </c>
      <c r="C9584">
        <v>0</v>
      </c>
      <c r="D9584">
        <v>0</v>
      </c>
      <c r="E9584">
        <v>0</v>
      </c>
      <c r="F9584">
        <v>0</v>
      </c>
      <c r="G9584">
        <v>0</v>
      </c>
    </row>
    <row r="9585" spans="1:7" x14ac:dyDescent="0.2">
      <c r="A9585" t="s">
        <v>1917</v>
      </c>
      <c r="B9585">
        <v>0</v>
      </c>
      <c r="C9585">
        <v>0</v>
      </c>
      <c r="D9585">
        <v>0</v>
      </c>
      <c r="E9585">
        <v>0</v>
      </c>
      <c r="F9585">
        <v>0</v>
      </c>
      <c r="G9585">
        <v>0</v>
      </c>
    </row>
    <row r="9586" spans="1:7" x14ac:dyDescent="0.2">
      <c r="A9586" t="s">
        <v>1922</v>
      </c>
      <c r="B9586">
        <v>0</v>
      </c>
      <c r="C9586">
        <v>0</v>
      </c>
      <c r="D9586">
        <v>0</v>
      </c>
      <c r="E9586">
        <v>0</v>
      </c>
      <c r="F9586">
        <v>0</v>
      </c>
      <c r="G9586">
        <v>0</v>
      </c>
    </row>
    <row r="9587" spans="1:7" x14ac:dyDescent="0.2">
      <c r="A9587" t="s">
        <v>1928</v>
      </c>
      <c r="B9587">
        <v>0</v>
      </c>
      <c r="C9587">
        <v>0</v>
      </c>
      <c r="D9587">
        <v>0</v>
      </c>
      <c r="E9587">
        <v>0</v>
      </c>
      <c r="F9587">
        <v>0</v>
      </c>
      <c r="G9587">
        <v>0</v>
      </c>
    </row>
    <row r="9588" spans="1:7" x14ac:dyDescent="0.2">
      <c r="A9588" t="s">
        <v>1932</v>
      </c>
      <c r="B9588">
        <v>0</v>
      </c>
      <c r="C9588">
        <v>0</v>
      </c>
      <c r="D9588">
        <v>0</v>
      </c>
      <c r="E9588">
        <v>0</v>
      </c>
      <c r="F9588">
        <v>0</v>
      </c>
      <c r="G9588">
        <v>0</v>
      </c>
    </row>
    <row r="9589" spans="1:7" x14ac:dyDescent="0.2">
      <c r="A9589" t="s">
        <v>1938</v>
      </c>
      <c r="B9589">
        <v>0</v>
      </c>
      <c r="C9589">
        <v>0</v>
      </c>
      <c r="D9589">
        <v>0</v>
      </c>
      <c r="E9589">
        <v>0</v>
      </c>
      <c r="F9589">
        <v>0</v>
      </c>
      <c r="G9589">
        <v>0</v>
      </c>
    </row>
    <row r="9590" spans="1:7" x14ac:dyDescent="0.2">
      <c r="A9590" t="s">
        <v>1944</v>
      </c>
      <c r="B9590">
        <v>0</v>
      </c>
      <c r="C9590">
        <v>0</v>
      </c>
      <c r="D9590">
        <v>0</v>
      </c>
      <c r="E9590">
        <v>0</v>
      </c>
      <c r="F9590">
        <v>0</v>
      </c>
      <c r="G9590">
        <v>0</v>
      </c>
    </row>
    <row r="9591" spans="1:7" x14ac:dyDescent="0.2">
      <c r="A9591" t="s">
        <v>1947</v>
      </c>
      <c r="B9591">
        <v>0</v>
      </c>
      <c r="C9591">
        <v>0</v>
      </c>
      <c r="D9591">
        <v>0</v>
      </c>
      <c r="E9591">
        <v>0</v>
      </c>
      <c r="F9591">
        <v>0</v>
      </c>
      <c r="G9591">
        <v>0</v>
      </c>
    </row>
    <row r="9592" spans="1:7" x14ac:dyDescent="0.2">
      <c r="A9592" t="s">
        <v>1953</v>
      </c>
      <c r="B9592">
        <v>0</v>
      </c>
      <c r="C9592">
        <v>0</v>
      </c>
      <c r="D9592">
        <v>0</v>
      </c>
      <c r="E9592">
        <v>0</v>
      </c>
      <c r="F9592">
        <v>0</v>
      </c>
      <c r="G9592">
        <v>0</v>
      </c>
    </row>
    <row r="9593" spans="1:7" x14ac:dyDescent="0.2">
      <c r="A9593" t="s">
        <v>1958</v>
      </c>
      <c r="B9593">
        <v>0</v>
      </c>
      <c r="C9593">
        <v>0</v>
      </c>
      <c r="D9593">
        <v>0</v>
      </c>
      <c r="E9593">
        <v>0</v>
      </c>
      <c r="F9593">
        <v>0</v>
      </c>
      <c r="G9593">
        <v>0</v>
      </c>
    </row>
    <row r="9594" spans="1:7" x14ac:dyDescent="0.2">
      <c r="A9594" t="s">
        <v>1964</v>
      </c>
      <c r="B9594">
        <v>0</v>
      </c>
      <c r="C9594">
        <v>0</v>
      </c>
      <c r="D9594">
        <v>0</v>
      </c>
      <c r="E9594">
        <v>0</v>
      </c>
      <c r="F9594">
        <v>0</v>
      </c>
      <c r="G9594">
        <v>0</v>
      </c>
    </row>
    <row r="9595" spans="1:7" x14ac:dyDescent="0.2">
      <c r="A9595" t="s">
        <v>1973</v>
      </c>
      <c r="B9595">
        <v>0</v>
      </c>
      <c r="C9595">
        <v>0</v>
      </c>
      <c r="D9595">
        <v>0</v>
      </c>
      <c r="E9595">
        <v>0</v>
      </c>
      <c r="F9595">
        <v>0</v>
      </c>
      <c r="G9595">
        <v>0</v>
      </c>
    </row>
    <row r="9596" spans="1:7" x14ac:dyDescent="0.2">
      <c r="A9596" t="s">
        <v>1978</v>
      </c>
      <c r="B9596">
        <v>0</v>
      </c>
      <c r="C9596">
        <v>0</v>
      </c>
      <c r="D9596">
        <v>0</v>
      </c>
      <c r="E9596">
        <v>0</v>
      </c>
      <c r="F9596">
        <v>0</v>
      </c>
      <c r="G9596">
        <v>0</v>
      </c>
    </row>
    <row r="9597" spans="1:7" x14ac:dyDescent="0.2">
      <c r="A9597" t="s">
        <v>1983</v>
      </c>
      <c r="B9597">
        <v>0</v>
      </c>
      <c r="C9597">
        <v>0</v>
      </c>
      <c r="D9597">
        <v>0</v>
      </c>
      <c r="E9597">
        <v>0</v>
      </c>
      <c r="F9597">
        <v>0</v>
      </c>
      <c r="G9597">
        <v>0</v>
      </c>
    </row>
    <row r="9598" spans="1:7" x14ac:dyDescent="0.2">
      <c r="A9598" t="s">
        <v>1984</v>
      </c>
      <c r="B9598">
        <v>0</v>
      </c>
      <c r="C9598">
        <v>0</v>
      </c>
      <c r="D9598">
        <v>0</v>
      </c>
      <c r="E9598">
        <v>0</v>
      </c>
      <c r="F9598">
        <v>0</v>
      </c>
      <c r="G9598">
        <v>0</v>
      </c>
    </row>
    <row r="9599" spans="1:7" x14ac:dyDescent="0.2">
      <c r="A9599" t="s">
        <v>1990</v>
      </c>
      <c r="B9599">
        <v>0</v>
      </c>
      <c r="C9599">
        <v>0</v>
      </c>
      <c r="D9599">
        <v>0</v>
      </c>
      <c r="E9599">
        <v>0</v>
      </c>
      <c r="F9599">
        <v>0</v>
      </c>
      <c r="G9599">
        <v>0</v>
      </c>
    </row>
    <row r="9600" spans="1:7" x14ac:dyDescent="0.2">
      <c r="A9600" t="s">
        <v>1996</v>
      </c>
      <c r="B9600">
        <v>0</v>
      </c>
      <c r="C9600">
        <v>0</v>
      </c>
      <c r="D9600">
        <v>0</v>
      </c>
      <c r="E9600">
        <v>0</v>
      </c>
      <c r="F9600">
        <v>0</v>
      </c>
      <c r="G9600">
        <v>0</v>
      </c>
    </row>
    <row r="9601" spans="1:7" x14ac:dyDescent="0.2">
      <c r="A9601" t="s">
        <v>1998</v>
      </c>
      <c r="B9601">
        <v>0</v>
      </c>
      <c r="C9601">
        <v>0</v>
      </c>
      <c r="D9601">
        <v>0</v>
      </c>
      <c r="E9601">
        <v>0</v>
      </c>
      <c r="F9601">
        <v>0</v>
      </c>
      <c r="G9601">
        <v>0</v>
      </c>
    </row>
    <row r="9602" spans="1:7" x14ac:dyDescent="0.2">
      <c r="A9602" t="s">
        <v>1999</v>
      </c>
      <c r="B9602">
        <v>0</v>
      </c>
      <c r="C9602">
        <v>0</v>
      </c>
      <c r="D9602">
        <v>0</v>
      </c>
      <c r="E9602">
        <v>0</v>
      </c>
      <c r="F9602">
        <v>0</v>
      </c>
      <c r="G9602">
        <v>0</v>
      </c>
    </row>
    <row r="9603" spans="1:7" x14ac:dyDescent="0.2">
      <c r="A9603" t="s">
        <v>2004</v>
      </c>
      <c r="B9603">
        <v>0</v>
      </c>
      <c r="C9603">
        <v>0</v>
      </c>
      <c r="D9603">
        <v>0</v>
      </c>
      <c r="E9603">
        <v>0</v>
      </c>
      <c r="F9603">
        <v>0</v>
      </c>
      <c r="G9603">
        <v>0</v>
      </c>
    </row>
    <row r="9604" spans="1:7" x14ac:dyDescent="0.2">
      <c r="A9604" t="s">
        <v>2009</v>
      </c>
      <c r="B9604">
        <v>0</v>
      </c>
      <c r="C9604">
        <v>0</v>
      </c>
      <c r="D9604">
        <v>0</v>
      </c>
      <c r="E9604">
        <v>0</v>
      </c>
      <c r="F9604">
        <v>0</v>
      </c>
      <c r="G9604">
        <v>0</v>
      </c>
    </row>
    <row r="9605" spans="1:7" x14ac:dyDescent="0.2">
      <c r="A9605" t="s">
        <v>2014</v>
      </c>
      <c r="B9605">
        <v>0</v>
      </c>
      <c r="C9605">
        <v>0</v>
      </c>
      <c r="D9605">
        <v>0</v>
      </c>
      <c r="E9605">
        <v>0</v>
      </c>
      <c r="F9605">
        <v>0</v>
      </c>
      <c r="G9605">
        <v>0</v>
      </c>
    </row>
    <row r="9606" spans="1:7" x14ac:dyDescent="0.2">
      <c r="A9606" t="s">
        <v>2019</v>
      </c>
      <c r="B9606">
        <v>0</v>
      </c>
      <c r="C9606">
        <v>0</v>
      </c>
      <c r="D9606">
        <v>0</v>
      </c>
      <c r="E9606">
        <v>0</v>
      </c>
      <c r="F9606">
        <v>0</v>
      </c>
      <c r="G9606">
        <v>0</v>
      </c>
    </row>
    <row r="9607" spans="1:7" x14ac:dyDescent="0.2">
      <c r="A9607" t="s">
        <v>2023</v>
      </c>
      <c r="B9607">
        <v>0</v>
      </c>
      <c r="C9607">
        <v>0</v>
      </c>
      <c r="D9607">
        <v>0</v>
      </c>
      <c r="E9607">
        <v>0</v>
      </c>
      <c r="F9607">
        <v>0</v>
      </c>
      <c r="G9607">
        <v>0</v>
      </c>
    </row>
    <row r="9608" spans="1:7" x14ac:dyDescent="0.2">
      <c r="A9608" t="s">
        <v>2026</v>
      </c>
      <c r="B9608">
        <v>0</v>
      </c>
      <c r="C9608">
        <v>0</v>
      </c>
      <c r="D9608">
        <v>0</v>
      </c>
      <c r="E9608">
        <v>0</v>
      </c>
      <c r="F9608">
        <v>0</v>
      </c>
      <c r="G9608">
        <v>0</v>
      </c>
    </row>
    <row r="9609" spans="1:7" x14ac:dyDescent="0.2">
      <c r="A9609" t="s">
        <v>2030</v>
      </c>
      <c r="B9609">
        <v>0</v>
      </c>
      <c r="C9609">
        <v>0</v>
      </c>
      <c r="D9609">
        <v>0</v>
      </c>
      <c r="E9609">
        <v>0</v>
      </c>
      <c r="F9609">
        <v>0</v>
      </c>
      <c r="G9609">
        <v>0</v>
      </c>
    </row>
    <row r="9610" spans="1:7" x14ac:dyDescent="0.2">
      <c r="A9610" t="s">
        <v>2035</v>
      </c>
      <c r="B9610">
        <v>0</v>
      </c>
      <c r="C9610">
        <v>0</v>
      </c>
      <c r="D9610">
        <v>0</v>
      </c>
      <c r="E9610">
        <v>0</v>
      </c>
      <c r="F9610">
        <v>0</v>
      </c>
      <c r="G9610">
        <v>0</v>
      </c>
    </row>
    <row r="9611" spans="1:7" x14ac:dyDescent="0.2">
      <c r="A9611" t="s">
        <v>2040</v>
      </c>
      <c r="B9611">
        <v>0</v>
      </c>
      <c r="C9611">
        <v>0</v>
      </c>
      <c r="D9611">
        <v>0</v>
      </c>
      <c r="E9611">
        <v>0</v>
      </c>
      <c r="F9611">
        <v>0</v>
      </c>
      <c r="G9611">
        <v>0</v>
      </c>
    </row>
    <row r="9612" spans="1:7" x14ac:dyDescent="0.2">
      <c r="A9612" t="s">
        <v>2045</v>
      </c>
      <c r="B9612">
        <v>0</v>
      </c>
      <c r="C9612">
        <v>0</v>
      </c>
      <c r="D9612">
        <v>0</v>
      </c>
      <c r="E9612">
        <v>0</v>
      </c>
      <c r="F9612">
        <v>0</v>
      </c>
      <c r="G9612">
        <v>0</v>
      </c>
    </row>
    <row r="9613" spans="1:7" x14ac:dyDescent="0.2">
      <c r="A9613" t="s">
        <v>2049</v>
      </c>
      <c r="B9613">
        <v>0</v>
      </c>
      <c r="C9613">
        <v>0</v>
      </c>
      <c r="D9613">
        <v>0</v>
      </c>
      <c r="E9613">
        <v>0</v>
      </c>
      <c r="F9613">
        <v>0</v>
      </c>
      <c r="G9613">
        <v>0</v>
      </c>
    </row>
    <row r="9614" spans="1:7" x14ac:dyDescent="0.2">
      <c r="A9614" t="s">
        <v>2051</v>
      </c>
      <c r="B9614">
        <v>0</v>
      </c>
      <c r="C9614">
        <v>0</v>
      </c>
      <c r="D9614">
        <v>0</v>
      </c>
      <c r="E9614">
        <v>0</v>
      </c>
      <c r="F9614">
        <v>0</v>
      </c>
      <c r="G9614">
        <v>0</v>
      </c>
    </row>
    <row r="9615" spans="1:7" x14ac:dyDescent="0.2">
      <c r="A9615" t="s">
        <v>2057</v>
      </c>
      <c r="B9615">
        <v>0</v>
      </c>
      <c r="C9615">
        <v>0</v>
      </c>
      <c r="D9615">
        <v>0</v>
      </c>
      <c r="E9615">
        <v>0</v>
      </c>
      <c r="F9615">
        <v>0</v>
      </c>
      <c r="G9615">
        <v>0</v>
      </c>
    </row>
    <row r="9616" spans="1:7" x14ac:dyDescent="0.2">
      <c r="A9616" t="s">
        <v>4344</v>
      </c>
      <c r="B9616">
        <v>0</v>
      </c>
      <c r="C9616">
        <v>0</v>
      </c>
      <c r="D9616">
        <v>0</v>
      </c>
      <c r="E9616">
        <v>0</v>
      </c>
      <c r="F9616">
        <v>0</v>
      </c>
      <c r="G9616">
        <v>0</v>
      </c>
    </row>
    <row r="9617" spans="1:7" x14ac:dyDescent="0.2">
      <c r="A9617" t="s">
        <v>4345</v>
      </c>
      <c r="B9617">
        <v>0</v>
      </c>
      <c r="C9617">
        <v>0</v>
      </c>
      <c r="D9617">
        <v>0</v>
      </c>
      <c r="E9617">
        <v>0</v>
      </c>
      <c r="F9617">
        <v>0</v>
      </c>
      <c r="G9617">
        <v>0</v>
      </c>
    </row>
    <row r="9618" spans="1:7" x14ac:dyDescent="0.2">
      <c r="A9618" t="s">
        <v>2074</v>
      </c>
      <c r="B9618">
        <v>0</v>
      </c>
      <c r="C9618">
        <v>0</v>
      </c>
      <c r="D9618">
        <v>0</v>
      </c>
      <c r="E9618">
        <v>0</v>
      </c>
      <c r="F9618">
        <v>0</v>
      </c>
      <c r="G9618">
        <v>0</v>
      </c>
    </row>
    <row r="9619" spans="1:7" x14ac:dyDescent="0.2">
      <c r="A9619" t="s">
        <v>2079</v>
      </c>
      <c r="B9619">
        <v>0</v>
      </c>
      <c r="C9619">
        <v>0</v>
      </c>
      <c r="D9619">
        <v>0</v>
      </c>
      <c r="E9619">
        <v>0</v>
      </c>
      <c r="F9619">
        <v>0</v>
      </c>
      <c r="G9619">
        <v>0</v>
      </c>
    </row>
    <row r="9620" spans="1:7" x14ac:dyDescent="0.2">
      <c r="A9620" t="s">
        <v>2085</v>
      </c>
      <c r="B9620">
        <v>0</v>
      </c>
      <c r="C9620">
        <v>0</v>
      </c>
      <c r="D9620">
        <v>0</v>
      </c>
      <c r="E9620">
        <v>0</v>
      </c>
      <c r="F9620">
        <v>0</v>
      </c>
      <c r="G9620">
        <v>0</v>
      </c>
    </row>
    <row r="9621" spans="1:7" x14ac:dyDescent="0.2">
      <c r="A9621" t="s">
        <v>2091</v>
      </c>
      <c r="B9621">
        <v>0</v>
      </c>
      <c r="C9621">
        <v>0</v>
      </c>
      <c r="D9621">
        <v>0</v>
      </c>
      <c r="E9621">
        <v>0</v>
      </c>
      <c r="F9621">
        <v>0</v>
      </c>
      <c r="G9621">
        <v>0</v>
      </c>
    </row>
    <row r="9622" spans="1:7" x14ac:dyDescent="0.2">
      <c r="A9622" t="s">
        <v>2097</v>
      </c>
      <c r="B9622">
        <v>0</v>
      </c>
      <c r="C9622">
        <v>0</v>
      </c>
      <c r="D9622">
        <v>0</v>
      </c>
      <c r="E9622">
        <v>0</v>
      </c>
      <c r="F9622">
        <v>0</v>
      </c>
      <c r="G9622">
        <v>0</v>
      </c>
    </row>
    <row r="9623" spans="1:7" x14ac:dyDescent="0.2">
      <c r="A9623" t="s">
        <v>2101</v>
      </c>
      <c r="B9623">
        <v>0</v>
      </c>
      <c r="C9623">
        <v>0</v>
      </c>
      <c r="D9623">
        <v>0</v>
      </c>
      <c r="E9623">
        <v>0</v>
      </c>
      <c r="F9623">
        <v>0</v>
      </c>
      <c r="G9623">
        <v>0</v>
      </c>
    </row>
    <row r="9624" spans="1:7" x14ac:dyDescent="0.2">
      <c r="A9624" t="s">
        <v>2104</v>
      </c>
      <c r="B9624">
        <v>0</v>
      </c>
      <c r="C9624">
        <v>0</v>
      </c>
      <c r="D9624">
        <v>0</v>
      </c>
      <c r="E9624">
        <v>0</v>
      </c>
      <c r="F9624">
        <v>0</v>
      </c>
      <c r="G9624">
        <v>0</v>
      </c>
    </row>
    <row r="9625" spans="1:7" x14ac:dyDescent="0.2">
      <c r="A9625" t="s">
        <v>2107</v>
      </c>
      <c r="B9625">
        <v>0</v>
      </c>
      <c r="C9625">
        <v>0</v>
      </c>
      <c r="D9625">
        <v>0</v>
      </c>
      <c r="E9625">
        <v>0</v>
      </c>
      <c r="F9625">
        <v>0</v>
      </c>
      <c r="G9625">
        <v>0</v>
      </c>
    </row>
    <row r="9626" spans="1:7" x14ac:dyDescent="0.2">
      <c r="A9626" t="s">
        <v>2110</v>
      </c>
      <c r="B9626">
        <v>0</v>
      </c>
      <c r="C9626">
        <v>0</v>
      </c>
      <c r="D9626">
        <v>0</v>
      </c>
      <c r="E9626">
        <v>0</v>
      </c>
      <c r="F9626">
        <v>0</v>
      </c>
      <c r="G9626">
        <v>0</v>
      </c>
    </row>
    <row r="9627" spans="1:7" x14ac:dyDescent="0.2">
      <c r="A9627" t="s">
        <v>2113</v>
      </c>
      <c r="B9627">
        <v>0</v>
      </c>
      <c r="C9627">
        <v>0</v>
      </c>
      <c r="D9627">
        <v>0</v>
      </c>
      <c r="E9627">
        <v>0</v>
      </c>
      <c r="F9627">
        <v>0</v>
      </c>
      <c r="G9627">
        <v>0</v>
      </c>
    </row>
    <row r="9628" spans="1:7" x14ac:dyDescent="0.2">
      <c r="A9628" t="s">
        <v>4346</v>
      </c>
      <c r="B9628">
        <v>0</v>
      </c>
      <c r="C9628">
        <v>0</v>
      </c>
      <c r="D9628">
        <v>0</v>
      </c>
      <c r="E9628">
        <v>0</v>
      </c>
      <c r="F9628">
        <v>0</v>
      </c>
      <c r="G9628">
        <v>0</v>
      </c>
    </row>
    <row r="9629" spans="1:7" x14ac:dyDescent="0.2">
      <c r="A9629" t="s">
        <v>4347</v>
      </c>
      <c r="B9629">
        <v>0</v>
      </c>
      <c r="C9629">
        <v>0</v>
      </c>
      <c r="D9629">
        <v>0</v>
      </c>
      <c r="E9629">
        <v>0</v>
      </c>
      <c r="F9629">
        <v>0</v>
      </c>
      <c r="G9629">
        <v>0</v>
      </c>
    </row>
    <row r="9630" spans="1:7" x14ac:dyDescent="0.2">
      <c r="A9630" t="s">
        <v>4348</v>
      </c>
      <c r="B9630">
        <v>0</v>
      </c>
      <c r="C9630">
        <v>0</v>
      </c>
      <c r="D9630">
        <v>0</v>
      </c>
      <c r="E9630">
        <v>0</v>
      </c>
      <c r="F9630">
        <v>0</v>
      </c>
      <c r="G9630">
        <v>0</v>
      </c>
    </row>
    <row r="9631" spans="1:7" x14ac:dyDescent="0.2">
      <c r="A9631" t="s">
        <v>4349</v>
      </c>
      <c r="B9631">
        <v>0</v>
      </c>
      <c r="C9631">
        <v>0</v>
      </c>
      <c r="D9631">
        <v>0</v>
      </c>
      <c r="E9631">
        <v>0</v>
      </c>
      <c r="F9631">
        <v>0</v>
      </c>
      <c r="G9631">
        <v>0</v>
      </c>
    </row>
    <row r="9632" spans="1:7" x14ac:dyDescent="0.2">
      <c r="A9632" t="s">
        <v>4350</v>
      </c>
      <c r="B9632">
        <v>0</v>
      </c>
      <c r="C9632">
        <v>0</v>
      </c>
      <c r="D9632">
        <v>1</v>
      </c>
      <c r="E9632">
        <v>0</v>
      </c>
      <c r="F9632">
        <v>0</v>
      </c>
      <c r="G9632">
        <v>1</v>
      </c>
    </row>
    <row r="9633" spans="1:7" x14ac:dyDescent="0.2">
      <c r="A9633" t="s">
        <v>4351</v>
      </c>
      <c r="B9633">
        <v>0</v>
      </c>
      <c r="C9633">
        <v>0</v>
      </c>
      <c r="D9633">
        <v>0</v>
      </c>
      <c r="E9633">
        <v>0</v>
      </c>
      <c r="F9633">
        <v>0</v>
      </c>
      <c r="G9633">
        <v>0</v>
      </c>
    </row>
    <row r="9634" spans="1:7" x14ac:dyDescent="0.2">
      <c r="A9634" t="s">
        <v>4352</v>
      </c>
      <c r="B9634">
        <v>0</v>
      </c>
      <c r="C9634">
        <v>0</v>
      </c>
      <c r="D9634">
        <v>0</v>
      </c>
      <c r="E9634">
        <v>0</v>
      </c>
      <c r="F9634">
        <v>0</v>
      </c>
      <c r="G9634">
        <v>0</v>
      </c>
    </row>
    <row r="9635" spans="1:7" x14ac:dyDescent="0.2">
      <c r="A9635" t="s">
        <v>4353</v>
      </c>
      <c r="B9635">
        <v>0</v>
      </c>
      <c r="C9635">
        <v>8</v>
      </c>
      <c r="D9635">
        <v>4</v>
      </c>
      <c r="E9635">
        <v>0</v>
      </c>
      <c r="F9635">
        <v>0</v>
      </c>
      <c r="G9635">
        <v>12</v>
      </c>
    </row>
    <row r="9636" spans="1:7" x14ac:dyDescent="0.2">
      <c r="A9636" t="s">
        <v>4354</v>
      </c>
      <c r="B9636">
        <v>2</v>
      </c>
      <c r="C9636">
        <v>8</v>
      </c>
      <c r="D9636">
        <v>4</v>
      </c>
      <c r="E9636">
        <v>0</v>
      </c>
      <c r="F9636">
        <v>0</v>
      </c>
      <c r="G9636">
        <v>13</v>
      </c>
    </row>
    <row r="9637" spans="1:7" x14ac:dyDescent="0.2">
      <c r="A9637" t="s">
        <v>4355</v>
      </c>
      <c r="B9637">
        <v>0</v>
      </c>
      <c r="C9637">
        <v>0</v>
      </c>
      <c r="D9637">
        <v>0</v>
      </c>
      <c r="E9637">
        <v>0</v>
      </c>
      <c r="F9637">
        <v>0</v>
      </c>
      <c r="G9637">
        <v>0</v>
      </c>
    </row>
    <row r="9638" spans="1:7" x14ac:dyDescent="0.2">
      <c r="A9638" t="s">
        <v>4356</v>
      </c>
      <c r="B9638">
        <v>0</v>
      </c>
      <c r="C9638">
        <v>0</v>
      </c>
      <c r="D9638">
        <v>0</v>
      </c>
      <c r="E9638">
        <v>0</v>
      </c>
      <c r="F9638">
        <v>0</v>
      </c>
      <c r="G9638">
        <v>0</v>
      </c>
    </row>
    <row r="9639" spans="1:7" x14ac:dyDescent="0.2">
      <c r="A9639" t="s">
        <v>4357</v>
      </c>
      <c r="B9639">
        <v>0</v>
      </c>
      <c r="C9639">
        <v>0</v>
      </c>
      <c r="D9639">
        <v>0</v>
      </c>
      <c r="E9639">
        <v>0</v>
      </c>
      <c r="F9639">
        <v>0</v>
      </c>
      <c r="G9639">
        <v>0</v>
      </c>
    </row>
    <row r="9640" spans="1:7" x14ac:dyDescent="0.2">
      <c r="A9640" t="s">
        <v>4358</v>
      </c>
      <c r="B9640">
        <v>0</v>
      </c>
      <c r="C9640">
        <v>0</v>
      </c>
      <c r="D9640">
        <v>0</v>
      </c>
      <c r="E9640">
        <v>0</v>
      </c>
      <c r="F9640">
        <v>0</v>
      </c>
      <c r="G9640">
        <v>0</v>
      </c>
    </row>
    <row r="9641" spans="1:7" x14ac:dyDescent="0.2">
      <c r="A9641" t="s">
        <v>4359</v>
      </c>
      <c r="B9641">
        <v>0</v>
      </c>
      <c r="C9641">
        <v>0</v>
      </c>
      <c r="D9641">
        <v>0</v>
      </c>
      <c r="E9641">
        <v>0</v>
      </c>
      <c r="F9641">
        <v>0</v>
      </c>
      <c r="G9641">
        <v>0</v>
      </c>
    </row>
    <row r="9642" spans="1:7" x14ac:dyDescent="0.2">
      <c r="A9642" t="s">
        <v>4360</v>
      </c>
      <c r="B9642">
        <v>0</v>
      </c>
      <c r="C9642">
        <v>0</v>
      </c>
      <c r="D9642">
        <v>0</v>
      </c>
      <c r="E9642">
        <v>0</v>
      </c>
      <c r="F9642">
        <v>0</v>
      </c>
      <c r="G9642">
        <v>0</v>
      </c>
    </row>
    <row r="9643" spans="1:7" x14ac:dyDescent="0.2">
      <c r="A9643" t="s">
        <v>4361</v>
      </c>
      <c r="B9643">
        <v>0</v>
      </c>
      <c r="C9643">
        <v>0</v>
      </c>
      <c r="D9643">
        <v>1</v>
      </c>
      <c r="E9643">
        <v>0</v>
      </c>
      <c r="F9643">
        <v>0</v>
      </c>
      <c r="G9643">
        <v>1</v>
      </c>
    </row>
    <row r="9644" spans="1:7" x14ac:dyDescent="0.2">
      <c r="A9644" t="s">
        <v>4362</v>
      </c>
      <c r="B9644">
        <v>0</v>
      </c>
      <c r="C9644">
        <v>0</v>
      </c>
      <c r="D9644">
        <v>0</v>
      </c>
      <c r="E9644">
        <v>0</v>
      </c>
      <c r="F9644">
        <v>0</v>
      </c>
      <c r="G9644">
        <v>0</v>
      </c>
    </row>
    <row r="9645" spans="1:7" x14ac:dyDescent="0.2">
      <c r="A9645" t="s">
        <v>4363</v>
      </c>
      <c r="B9645">
        <v>0</v>
      </c>
      <c r="C9645">
        <v>0</v>
      </c>
      <c r="D9645">
        <v>0</v>
      </c>
      <c r="E9645">
        <v>0</v>
      </c>
      <c r="F9645">
        <v>0</v>
      </c>
      <c r="G9645">
        <v>0</v>
      </c>
    </row>
    <row r="9646" spans="1:7" x14ac:dyDescent="0.2">
      <c r="A9646" t="s">
        <v>4364</v>
      </c>
      <c r="B9646">
        <v>0</v>
      </c>
      <c r="C9646">
        <v>0</v>
      </c>
      <c r="D9646">
        <v>0</v>
      </c>
      <c r="E9646">
        <v>0</v>
      </c>
      <c r="F9646">
        <v>0</v>
      </c>
      <c r="G9646">
        <v>0</v>
      </c>
    </row>
    <row r="9647" spans="1:7" x14ac:dyDescent="0.2">
      <c r="A9647" t="s">
        <v>4365</v>
      </c>
      <c r="B9647">
        <v>0</v>
      </c>
      <c r="C9647">
        <v>2</v>
      </c>
      <c r="D9647">
        <v>0</v>
      </c>
      <c r="E9647">
        <v>0</v>
      </c>
      <c r="F9647">
        <v>0</v>
      </c>
      <c r="G9647">
        <v>2</v>
      </c>
    </row>
    <row r="9648" spans="1:7" x14ac:dyDescent="0.2">
      <c r="A9648" t="s">
        <v>4366</v>
      </c>
      <c r="B9648">
        <v>0</v>
      </c>
      <c r="C9648">
        <v>0</v>
      </c>
      <c r="D9648">
        <v>0</v>
      </c>
      <c r="E9648">
        <v>0</v>
      </c>
      <c r="F9648">
        <v>0</v>
      </c>
      <c r="G9648">
        <v>0</v>
      </c>
    </row>
    <row r="9649" spans="1:10" x14ac:dyDescent="0.2">
      <c r="A9649" t="s">
        <v>4367</v>
      </c>
      <c r="B9649">
        <v>0</v>
      </c>
      <c r="C9649">
        <v>0</v>
      </c>
      <c r="D9649">
        <v>0</v>
      </c>
      <c r="E9649">
        <v>0</v>
      </c>
      <c r="F9649">
        <v>0</v>
      </c>
      <c r="G9649">
        <v>0</v>
      </c>
    </row>
    <row r="9650" spans="1:10" x14ac:dyDescent="0.2">
      <c r="A9650" t="s">
        <v>4368</v>
      </c>
      <c r="B9650">
        <v>1</v>
      </c>
      <c r="C9650">
        <v>1</v>
      </c>
      <c r="D9650">
        <v>2</v>
      </c>
      <c r="E9650">
        <v>3</v>
      </c>
      <c r="F9650">
        <v>0</v>
      </c>
      <c r="G9650">
        <v>7</v>
      </c>
    </row>
    <row r="9651" spans="1:10" x14ac:dyDescent="0.2">
      <c r="A9651" t="s">
        <v>4369</v>
      </c>
      <c r="B9651">
        <v>0</v>
      </c>
      <c r="C9651">
        <v>0</v>
      </c>
      <c r="D9651">
        <v>28</v>
      </c>
      <c r="E9651">
        <v>0</v>
      </c>
      <c r="F9651">
        <v>0</v>
      </c>
      <c r="G9651">
        <v>28</v>
      </c>
    </row>
    <row r="9652" spans="1:10" x14ac:dyDescent="0.2">
      <c r="A9652" t="s">
        <v>4370</v>
      </c>
      <c r="B9652">
        <v>0</v>
      </c>
      <c r="C9652">
        <v>0</v>
      </c>
      <c r="D9652">
        <v>0</v>
      </c>
      <c r="E9652">
        <v>0</v>
      </c>
      <c r="F9652">
        <v>0</v>
      </c>
      <c r="G9652">
        <v>0</v>
      </c>
    </row>
    <row r="9653" spans="1:10" x14ac:dyDescent="0.2">
      <c r="A9653" t="s">
        <v>4371</v>
      </c>
      <c r="B9653">
        <v>0</v>
      </c>
      <c r="C9653">
        <v>0</v>
      </c>
      <c r="D9653">
        <v>0</v>
      </c>
      <c r="E9653">
        <v>0</v>
      </c>
      <c r="F9653">
        <v>0</v>
      </c>
      <c r="G9653">
        <v>0</v>
      </c>
    </row>
    <row r="9654" spans="1:10" x14ac:dyDescent="0.2">
      <c r="A9654" t="s">
        <v>4372</v>
      </c>
      <c r="B9654">
        <v>0</v>
      </c>
      <c r="C9654">
        <v>0</v>
      </c>
      <c r="D9654">
        <v>0</v>
      </c>
      <c r="E9654">
        <v>0</v>
      </c>
      <c r="F9654">
        <v>0</v>
      </c>
      <c r="G9654">
        <v>0</v>
      </c>
    </row>
    <row r="9655" spans="1:10" x14ac:dyDescent="0.2">
      <c r="A9655" t="s">
        <v>4373</v>
      </c>
      <c r="B9655">
        <v>0</v>
      </c>
      <c r="C9655">
        <v>0</v>
      </c>
      <c r="D9655">
        <v>0</v>
      </c>
      <c r="E9655">
        <v>0</v>
      </c>
      <c r="F9655">
        <v>0</v>
      </c>
      <c r="G9655">
        <v>0</v>
      </c>
    </row>
    <row r="9656" spans="1:10" x14ac:dyDescent="0.2">
      <c r="A9656" t="s">
        <v>4374</v>
      </c>
      <c r="B9656">
        <v>0</v>
      </c>
      <c r="C9656">
        <v>0</v>
      </c>
      <c r="D9656">
        <v>0</v>
      </c>
      <c r="E9656">
        <v>0</v>
      </c>
      <c r="F9656">
        <v>0</v>
      </c>
      <c r="G9656">
        <v>0</v>
      </c>
    </row>
    <row r="9657" spans="1:10" x14ac:dyDescent="0.2">
      <c r="A9657" t="s">
        <v>4375</v>
      </c>
      <c r="B9657">
        <v>0</v>
      </c>
      <c r="C9657">
        <v>0</v>
      </c>
      <c r="D9657">
        <v>0</v>
      </c>
      <c r="E9657">
        <v>0</v>
      </c>
      <c r="F9657">
        <v>0</v>
      </c>
      <c r="G9657">
        <v>0</v>
      </c>
    </row>
    <row r="9658" spans="1:10" x14ac:dyDescent="0.2">
      <c r="A9658" t="s">
        <v>4376</v>
      </c>
      <c r="B9658">
        <v>0</v>
      </c>
      <c r="C9658">
        <v>0</v>
      </c>
      <c r="D9658">
        <v>0</v>
      </c>
      <c r="E9658">
        <v>0</v>
      </c>
      <c r="F9658">
        <v>0</v>
      </c>
      <c r="G9658">
        <v>0</v>
      </c>
    </row>
    <row r="9659" spans="1:10" x14ac:dyDescent="0.2">
      <c r="A9659" t="s">
        <v>4377</v>
      </c>
      <c r="B9659">
        <v>0</v>
      </c>
      <c r="C9659">
        <v>0</v>
      </c>
      <c r="D9659">
        <v>0</v>
      </c>
      <c r="E9659">
        <v>0</v>
      </c>
      <c r="F9659">
        <v>0</v>
      </c>
      <c r="G9659">
        <v>0</v>
      </c>
    </row>
    <row r="9660" spans="1:10" x14ac:dyDescent="0.2">
      <c r="A9660" t="s">
        <v>2318</v>
      </c>
      <c r="B9660" t="s">
        <v>2319</v>
      </c>
      <c r="C9660" t="s">
        <v>2319</v>
      </c>
      <c r="D9660" t="s">
        <v>2319</v>
      </c>
      <c r="E9660" t="s">
        <v>2319</v>
      </c>
      <c r="F9660" t="s">
        <v>2319</v>
      </c>
      <c r="G9660" t="s">
        <v>2319</v>
      </c>
    </row>
    <row r="9661" spans="1:10" x14ac:dyDescent="0.2">
      <c r="A9661" t="s">
        <v>4248</v>
      </c>
    </row>
    <row r="9662" spans="1:10" x14ac:dyDescent="0.2">
      <c r="A9662" t="s">
        <v>4250</v>
      </c>
      <c r="C9662" t="s">
        <v>4251</v>
      </c>
      <c r="G9662" t="s">
        <v>7531</v>
      </c>
      <c r="J9662"/>
    </row>
    <row r="9663" spans="1:10" x14ac:dyDescent="0.2">
      <c r="A9663" t="s">
        <v>4925</v>
      </c>
      <c r="G9663" t="s">
        <v>7543</v>
      </c>
      <c r="J9663"/>
    </row>
    <row r="9664" spans="1:10" x14ac:dyDescent="0.2">
      <c r="A9664" t="s">
        <v>7530</v>
      </c>
      <c r="J9664"/>
    </row>
    <row r="9665" spans="1:10" x14ac:dyDescent="0.2">
      <c r="A9665" t="s">
        <v>5059</v>
      </c>
      <c r="J9665"/>
    </row>
    <row r="9666" spans="1:10" x14ac:dyDescent="0.2">
      <c r="J9666"/>
    </row>
    <row r="9667" spans="1:10" x14ac:dyDescent="0.2">
      <c r="A9667" t="s">
        <v>4259</v>
      </c>
      <c r="J9667"/>
    </row>
    <row r="9668" spans="1:10" x14ac:dyDescent="0.2">
      <c r="A9668" t="s">
        <v>2318</v>
      </c>
      <c r="B9668" t="s">
        <v>2319</v>
      </c>
      <c r="C9668" t="s">
        <v>2319</v>
      </c>
      <c r="D9668" t="s">
        <v>2319</v>
      </c>
      <c r="E9668" t="s">
        <v>2319</v>
      </c>
      <c r="F9668" t="s">
        <v>2319</v>
      </c>
      <c r="G9668" t="s">
        <v>2319</v>
      </c>
    </row>
    <row r="9669" spans="1:10" x14ac:dyDescent="0.2">
      <c r="A9669" t="s">
        <v>174</v>
      </c>
      <c r="B9669" t="s">
        <v>4945</v>
      </c>
      <c r="C9669" t="s">
        <v>4946</v>
      </c>
      <c r="D9669" t="s">
        <v>4947</v>
      </c>
      <c r="E9669" t="s">
        <v>4948</v>
      </c>
      <c r="F9669" t="s">
        <v>4949</v>
      </c>
    </row>
    <row r="9670" spans="1:10" x14ac:dyDescent="0.2">
      <c r="A9670" t="s">
        <v>126</v>
      </c>
      <c r="B9670" t="s">
        <v>4262</v>
      </c>
      <c r="C9670" t="s">
        <v>4263</v>
      </c>
      <c r="D9670" t="s">
        <v>4264</v>
      </c>
      <c r="E9670" t="s">
        <v>2308</v>
      </c>
      <c r="F9670" t="s">
        <v>615</v>
      </c>
      <c r="G9670" t="s">
        <v>236</v>
      </c>
    </row>
    <row r="9671" spans="1:10" x14ac:dyDescent="0.2">
      <c r="A9671" t="s">
        <v>2318</v>
      </c>
      <c r="B9671" t="s">
        <v>2319</v>
      </c>
      <c r="C9671" t="s">
        <v>2319</v>
      </c>
      <c r="D9671" t="s">
        <v>2319</v>
      </c>
      <c r="E9671" t="s">
        <v>2319</v>
      </c>
      <c r="F9671" t="s">
        <v>2319</v>
      </c>
      <c r="G9671" t="s">
        <v>2319</v>
      </c>
    </row>
    <row r="9672" spans="1:10" x14ac:dyDescent="0.2">
      <c r="A9672" t="s">
        <v>4265</v>
      </c>
      <c r="B9672">
        <v>0</v>
      </c>
      <c r="C9672">
        <v>0</v>
      </c>
      <c r="D9672">
        <v>0</v>
      </c>
      <c r="E9672">
        <v>0</v>
      </c>
      <c r="F9672">
        <v>0</v>
      </c>
      <c r="G9672">
        <v>0</v>
      </c>
    </row>
    <row r="9673" spans="1:10" x14ac:dyDescent="0.2">
      <c r="A9673" t="s">
        <v>4266</v>
      </c>
      <c r="B9673">
        <v>0</v>
      </c>
      <c r="C9673">
        <v>0</v>
      </c>
      <c r="D9673">
        <v>0</v>
      </c>
      <c r="E9673">
        <v>0</v>
      </c>
      <c r="F9673">
        <v>0</v>
      </c>
      <c r="G9673">
        <v>0</v>
      </c>
    </row>
    <row r="9674" spans="1:10" x14ac:dyDescent="0.2">
      <c r="A9674" t="s">
        <v>4267</v>
      </c>
      <c r="B9674">
        <v>0</v>
      </c>
      <c r="C9674">
        <v>0</v>
      </c>
      <c r="D9674">
        <v>0</v>
      </c>
      <c r="E9674">
        <v>0</v>
      </c>
      <c r="F9674">
        <v>0</v>
      </c>
      <c r="G9674">
        <v>0</v>
      </c>
    </row>
    <row r="9675" spans="1:10" x14ac:dyDescent="0.2">
      <c r="A9675" t="s">
        <v>4268</v>
      </c>
      <c r="B9675">
        <v>0</v>
      </c>
      <c r="C9675">
        <v>0</v>
      </c>
      <c r="D9675">
        <v>0</v>
      </c>
      <c r="E9675">
        <v>0</v>
      </c>
      <c r="F9675">
        <v>0</v>
      </c>
      <c r="G9675">
        <v>0</v>
      </c>
    </row>
    <row r="9676" spans="1:10" x14ac:dyDescent="0.2">
      <c r="A9676" t="s">
        <v>4269</v>
      </c>
      <c r="B9676">
        <v>0</v>
      </c>
      <c r="C9676">
        <v>0</v>
      </c>
      <c r="D9676">
        <v>0</v>
      </c>
      <c r="E9676">
        <v>0</v>
      </c>
      <c r="F9676">
        <v>0</v>
      </c>
      <c r="G9676">
        <v>0</v>
      </c>
    </row>
    <row r="9677" spans="1:10" x14ac:dyDescent="0.2">
      <c r="A9677" t="s">
        <v>4270</v>
      </c>
      <c r="B9677">
        <v>0</v>
      </c>
      <c r="C9677">
        <v>0</v>
      </c>
      <c r="D9677">
        <v>0</v>
      </c>
      <c r="E9677">
        <v>0</v>
      </c>
      <c r="F9677">
        <v>0</v>
      </c>
      <c r="G9677">
        <v>0</v>
      </c>
    </row>
    <row r="9678" spans="1:10" x14ac:dyDescent="0.2">
      <c r="A9678" t="s">
        <v>4271</v>
      </c>
      <c r="B9678">
        <v>0</v>
      </c>
      <c r="C9678">
        <v>0</v>
      </c>
      <c r="D9678">
        <v>0</v>
      </c>
      <c r="E9678">
        <v>0</v>
      </c>
      <c r="F9678">
        <v>0</v>
      </c>
      <c r="G9678">
        <v>0</v>
      </c>
    </row>
    <row r="9679" spans="1:10" x14ac:dyDescent="0.2">
      <c r="A9679" t="s">
        <v>4272</v>
      </c>
      <c r="B9679">
        <v>0</v>
      </c>
      <c r="C9679">
        <v>0</v>
      </c>
      <c r="D9679">
        <v>0</v>
      </c>
      <c r="E9679">
        <v>0</v>
      </c>
      <c r="F9679">
        <v>0</v>
      </c>
      <c r="G9679">
        <v>0</v>
      </c>
    </row>
    <row r="9680" spans="1:10" x14ac:dyDescent="0.2">
      <c r="A9680" t="s">
        <v>4273</v>
      </c>
      <c r="B9680">
        <v>0</v>
      </c>
      <c r="C9680">
        <v>0</v>
      </c>
      <c r="D9680">
        <v>0</v>
      </c>
      <c r="E9680">
        <v>0</v>
      </c>
      <c r="F9680">
        <v>0</v>
      </c>
      <c r="G9680">
        <v>0</v>
      </c>
    </row>
    <row r="9681" spans="1:7" x14ac:dyDescent="0.2">
      <c r="A9681" t="s">
        <v>4274</v>
      </c>
      <c r="B9681">
        <v>0</v>
      </c>
      <c r="C9681">
        <v>0</v>
      </c>
      <c r="D9681">
        <v>0</v>
      </c>
      <c r="E9681">
        <v>0</v>
      </c>
      <c r="F9681">
        <v>0</v>
      </c>
      <c r="G9681">
        <v>0</v>
      </c>
    </row>
    <row r="9682" spans="1:7" x14ac:dyDescent="0.2">
      <c r="A9682" t="s">
        <v>4275</v>
      </c>
      <c r="B9682">
        <v>0</v>
      </c>
      <c r="C9682">
        <v>0</v>
      </c>
      <c r="D9682">
        <v>0</v>
      </c>
      <c r="E9682">
        <v>0</v>
      </c>
      <c r="F9682">
        <v>0</v>
      </c>
      <c r="G9682">
        <v>0</v>
      </c>
    </row>
    <row r="9683" spans="1:7" x14ac:dyDescent="0.2">
      <c r="A9683" t="s">
        <v>4276</v>
      </c>
      <c r="B9683">
        <v>0</v>
      </c>
      <c r="C9683">
        <v>0</v>
      </c>
      <c r="D9683">
        <v>0</v>
      </c>
      <c r="E9683">
        <v>0</v>
      </c>
      <c r="F9683">
        <v>0</v>
      </c>
      <c r="G9683">
        <v>0</v>
      </c>
    </row>
    <row r="9684" spans="1:7" x14ac:dyDescent="0.2">
      <c r="A9684" t="s">
        <v>4277</v>
      </c>
      <c r="B9684">
        <v>0</v>
      </c>
      <c r="C9684">
        <v>0</v>
      </c>
      <c r="D9684">
        <v>0</v>
      </c>
      <c r="E9684">
        <v>0</v>
      </c>
      <c r="F9684">
        <v>0</v>
      </c>
      <c r="G9684">
        <v>0</v>
      </c>
    </row>
    <row r="9685" spans="1:7" x14ac:dyDescent="0.2">
      <c r="A9685" t="s">
        <v>4278</v>
      </c>
      <c r="B9685">
        <v>0</v>
      </c>
      <c r="C9685">
        <v>0</v>
      </c>
      <c r="D9685">
        <v>0</v>
      </c>
      <c r="E9685">
        <v>0</v>
      </c>
      <c r="F9685">
        <v>0</v>
      </c>
      <c r="G9685">
        <v>0</v>
      </c>
    </row>
    <row r="9686" spans="1:7" x14ac:dyDescent="0.2">
      <c r="A9686" t="s">
        <v>4279</v>
      </c>
      <c r="B9686">
        <v>0</v>
      </c>
      <c r="C9686">
        <v>0</v>
      </c>
      <c r="D9686">
        <v>0</v>
      </c>
      <c r="E9686">
        <v>0</v>
      </c>
      <c r="F9686">
        <v>0</v>
      </c>
      <c r="G9686">
        <v>0</v>
      </c>
    </row>
    <row r="9687" spans="1:7" x14ac:dyDescent="0.2">
      <c r="A9687" t="s">
        <v>4280</v>
      </c>
      <c r="B9687">
        <v>0</v>
      </c>
      <c r="C9687">
        <v>0</v>
      </c>
      <c r="D9687">
        <v>0</v>
      </c>
      <c r="E9687">
        <v>0</v>
      </c>
      <c r="F9687">
        <v>0</v>
      </c>
      <c r="G9687">
        <v>0</v>
      </c>
    </row>
    <row r="9688" spans="1:7" x14ac:dyDescent="0.2">
      <c r="A9688" t="s">
        <v>4281</v>
      </c>
      <c r="B9688">
        <v>17</v>
      </c>
      <c r="C9688">
        <v>14</v>
      </c>
      <c r="D9688">
        <v>20</v>
      </c>
      <c r="E9688">
        <v>18</v>
      </c>
      <c r="F9688">
        <v>0</v>
      </c>
      <c r="G9688">
        <v>69</v>
      </c>
    </row>
    <row r="9689" spans="1:7" x14ac:dyDescent="0.2">
      <c r="A9689" t="s">
        <v>4282</v>
      </c>
      <c r="B9689">
        <v>23</v>
      </c>
      <c r="C9689">
        <v>11</v>
      </c>
      <c r="D9689">
        <v>9</v>
      </c>
      <c r="E9689">
        <v>0</v>
      </c>
      <c r="F9689">
        <v>0</v>
      </c>
      <c r="G9689">
        <v>43</v>
      </c>
    </row>
    <row r="9690" spans="1:7" x14ac:dyDescent="0.2">
      <c r="A9690" t="s">
        <v>4283</v>
      </c>
      <c r="B9690">
        <v>5</v>
      </c>
      <c r="C9690">
        <v>2</v>
      </c>
      <c r="D9690">
        <v>3</v>
      </c>
      <c r="E9690">
        <v>0</v>
      </c>
      <c r="F9690">
        <v>0</v>
      </c>
      <c r="G9690">
        <v>10</v>
      </c>
    </row>
    <row r="9691" spans="1:7" x14ac:dyDescent="0.2">
      <c r="A9691" t="s">
        <v>4284</v>
      </c>
      <c r="B9691">
        <v>1</v>
      </c>
      <c r="C9691">
        <v>0</v>
      </c>
      <c r="D9691">
        <v>0</v>
      </c>
      <c r="E9691">
        <v>0</v>
      </c>
      <c r="F9691">
        <v>0</v>
      </c>
      <c r="G9691">
        <v>1</v>
      </c>
    </row>
    <row r="9692" spans="1:7" x14ac:dyDescent="0.2">
      <c r="A9692" t="s">
        <v>4285</v>
      </c>
      <c r="B9692">
        <v>11</v>
      </c>
      <c r="C9692">
        <v>5</v>
      </c>
      <c r="D9692">
        <v>7</v>
      </c>
      <c r="E9692">
        <v>0</v>
      </c>
      <c r="F9692">
        <v>0</v>
      </c>
      <c r="G9692">
        <v>23</v>
      </c>
    </row>
    <row r="9693" spans="1:7" x14ac:dyDescent="0.2">
      <c r="A9693" t="s">
        <v>4286</v>
      </c>
      <c r="B9693">
        <v>15</v>
      </c>
      <c r="C9693">
        <v>1</v>
      </c>
      <c r="D9693">
        <v>1</v>
      </c>
      <c r="E9693">
        <v>0</v>
      </c>
      <c r="F9693">
        <v>0</v>
      </c>
      <c r="G9693">
        <v>17</v>
      </c>
    </row>
    <row r="9694" spans="1:7" x14ac:dyDescent="0.2">
      <c r="A9694" t="s">
        <v>4287</v>
      </c>
      <c r="B9694">
        <v>0</v>
      </c>
      <c r="C9694">
        <v>0</v>
      </c>
      <c r="D9694">
        <v>0</v>
      </c>
      <c r="E9694">
        <v>0</v>
      </c>
      <c r="F9694">
        <v>0</v>
      </c>
      <c r="G9694">
        <v>0</v>
      </c>
    </row>
    <row r="9695" spans="1:7" x14ac:dyDescent="0.2">
      <c r="A9695" t="s">
        <v>4288</v>
      </c>
      <c r="B9695">
        <v>0</v>
      </c>
      <c r="C9695">
        <v>0</v>
      </c>
      <c r="D9695">
        <v>0</v>
      </c>
      <c r="E9695">
        <v>0</v>
      </c>
      <c r="F9695">
        <v>0</v>
      </c>
      <c r="G9695">
        <v>0</v>
      </c>
    </row>
    <row r="9696" spans="1:7" x14ac:dyDescent="0.2">
      <c r="A9696" t="s">
        <v>4289</v>
      </c>
      <c r="B9696">
        <v>0</v>
      </c>
      <c r="C9696">
        <v>0</v>
      </c>
      <c r="D9696">
        <v>0</v>
      </c>
      <c r="E9696">
        <v>0</v>
      </c>
      <c r="F9696">
        <v>0</v>
      </c>
      <c r="G9696">
        <v>0</v>
      </c>
    </row>
    <row r="9697" spans="1:7" x14ac:dyDescent="0.2">
      <c r="A9697" t="s">
        <v>4290</v>
      </c>
      <c r="B9697">
        <v>0</v>
      </c>
      <c r="C9697">
        <v>0</v>
      </c>
      <c r="D9697">
        <v>0</v>
      </c>
      <c r="E9697">
        <v>0</v>
      </c>
      <c r="F9697">
        <v>0</v>
      </c>
      <c r="G9697">
        <v>0</v>
      </c>
    </row>
    <row r="9698" spans="1:7" x14ac:dyDescent="0.2">
      <c r="A9698" t="s">
        <v>4291</v>
      </c>
      <c r="B9698">
        <v>0</v>
      </c>
      <c r="C9698">
        <v>0</v>
      </c>
      <c r="D9698">
        <v>0</v>
      </c>
      <c r="E9698">
        <v>0</v>
      </c>
      <c r="F9698">
        <v>0</v>
      </c>
      <c r="G9698">
        <v>0</v>
      </c>
    </row>
    <row r="9699" spans="1:7" x14ac:dyDescent="0.2">
      <c r="A9699" t="s">
        <v>4292</v>
      </c>
      <c r="B9699">
        <v>0</v>
      </c>
      <c r="C9699">
        <v>0</v>
      </c>
      <c r="D9699">
        <v>0</v>
      </c>
      <c r="E9699">
        <v>0</v>
      </c>
      <c r="F9699">
        <v>0</v>
      </c>
      <c r="G9699">
        <v>0</v>
      </c>
    </row>
    <row r="9700" spans="1:7" x14ac:dyDescent="0.2">
      <c r="A9700" t="s">
        <v>4293</v>
      </c>
      <c r="B9700">
        <v>0</v>
      </c>
      <c r="C9700">
        <v>0</v>
      </c>
      <c r="D9700">
        <v>0</v>
      </c>
      <c r="E9700">
        <v>0</v>
      </c>
      <c r="F9700">
        <v>0</v>
      </c>
      <c r="G9700">
        <v>0</v>
      </c>
    </row>
    <row r="9701" spans="1:7" x14ac:dyDescent="0.2">
      <c r="A9701" t="s">
        <v>4294</v>
      </c>
      <c r="B9701">
        <v>0</v>
      </c>
      <c r="C9701">
        <v>0</v>
      </c>
      <c r="D9701">
        <v>0</v>
      </c>
      <c r="E9701">
        <v>0</v>
      </c>
      <c r="F9701">
        <v>0</v>
      </c>
      <c r="G9701">
        <v>0</v>
      </c>
    </row>
    <row r="9702" spans="1:7" x14ac:dyDescent="0.2">
      <c r="A9702" t="s">
        <v>4295</v>
      </c>
      <c r="B9702">
        <v>0</v>
      </c>
      <c r="C9702">
        <v>0</v>
      </c>
      <c r="D9702">
        <v>0</v>
      </c>
      <c r="E9702">
        <v>0</v>
      </c>
      <c r="F9702">
        <v>0</v>
      </c>
      <c r="G9702">
        <v>0</v>
      </c>
    </row>
    <row r="9703" spans="1:7" x14ac:dyDescent="0.2">
      <c r="A9703" t="s">
        <v>4296</v>
      </c>
      <c r="B9703">
        <v>0</v>
      </c>
      <c r="C9703">
        <v>0</v>
      </c>
      <c r="D9703">
        <v>0</v>
      </c>
      <c r="E9703">
        <v>0</v>
      </c>
      <c r="F9703">
        <v>0</v>
      </c>
      <c r="G9703">
        <v>0</v>
      </c>
    </row>
    <row r="9704" spans="1:7" x14ac:dyDescent="0.2">
      <c r="A9704" t="s">
        <v>4297</v>
      </c>
      <c r="B9704">
        <v>3</v>
      </c>
      <c r="C9704">
        <v>11</v>
      </c>
      <c r="D9704">
        <v>39</v>
      </c>
      <c r="E9704">
        <v>0</v>
      </c>
      <c r="F9704">
        <v>0</v>
      </c>
      <c r="G9704">
        <v>53</v>
      </c>
    </row>
    <row r="9705" spans="1:7" x14ac:dyDescent="0.2">
      <c r="A9705" t="s">
        <v>4298</v>
      </c>
      <c r="B9705">
        <v>3</v>
      </c>
      <c r="C9705">
        <v>7</v>
      </c>
      <c r="D9705">
        <v>0</v>
      </c>
      <c r="E9705">
        <v>0</v>
      </c>
      <c r="F9705">
        <v>0</v>
      </c>
      <c r="G9705">
        <v>11</v>
      </c>
    </row>
    <row r="9706" spans="1:7" x14ac:dyDescent="0.2">
      <c r="A9706" t="s">
        <v>4299</v>
      </c>
      <c r="B9706">
        <v>11</v>
      </c>
      <c r="C9706">
        <v>23</v>
      </c>
      <c r="D9706">
        <v>49</v>
      </c>
      <c r="E9706">
        <v>17</v>
      </c>
      <c r="F9706">
        <v>0</v>
      </c>
      <c r="G9706">
        <v>100</v>
      </c>
    </row>
    <row r="9707" spans="1:7" x14ac:dyDescent="0.2">
      <c r="A9707" t="s">
        <v>4300</v>
      </c>
      <c r="B9707">
        <v>0</v>
      </c>
      <c r="C9707">
        <v>1</v>
      </c>
      <c r="D9707">
        <v>4</v>
      </c>
      <c r="E9707">
        <v>1</v>
      </c>
      <c r="F9707">
        <v>0</v>
      </c>
      <c r="G9707">
        <v>7</v>
      </c>
    </row>
    <row r="9708" spans="1:7" x14ac:dyDescent="0.2">
      <c r="A9708" t="s">
        <v>4301</v>
      </c>
      <c r="B9708">
        <v>0</v>
      </c>
      <c r="C9708">
        <v>52</v>
      </c>
      <c r="D9708">
        <v>102</v>
      </c>
      <c r="E9708">
        <v>25</v>
      </c>
      <c r="F9708">
        <v>0</v>
      </c>
      <c r="G9708">
        <v>178</v>
      </c>
    </row>
    <row r="9709" spans="1:7" x14ac:dyDescent="0.2">
      <c r="A9709" t="s">
        <v>4302</v>
      </c>
      <c r="B9709">
        <v>7</v>
      </c>
      <c r="C9709">
        <v>21</v>
      </c>
      <c r="D9709">
        <v>74</v>
      </c>
      <c r="E9709">
        <v>7</v>
      </c>
      <c r="F9709">
        <v>0</v>
      </c>
      <c r="G9709">
        <v>110</v>
      </c>
    </row>
    <row r="9710" spans="1:7" x14ac:dyDescent="0.2">
      <c r="A9710" t="s">
        <v>4303</v>
      </c>
      <c r="B9710">
        <v>7</v>
      </c>
      <c r="C9710">
        <v>59</v>
      </c>
      <c r="D9710">
        <v>300</v>
      </c>
      <c r="E9710">
        <v>18</v>
      </c>
      <c r="F9710">
        <v>0</v>
      </c>
      <c r="G9710">
        <v>385</v>
      </c>
    </row>
    <row r="9711" spans="1:7" x14ac:dyDescent="0.2">
      <c r="A9711" t="s">
        <v>4304</v>
      </c>
      <c r="B9711">
        <v>0</v>
      </c>
      <c r="C9711">
        <v>5</v>
      </c>
      <c r="D9711">
        <v>2</v>
      </c>
      <c r="E9711">
        <v>56</v>
      </c>
      <c r="F9711">
        <v>0</v>
      </c>
      <c r="G9711">
        <v>63</v>
      </c>
    </row>
    <row r="9712" spans="1:7" x14ac:dyDescent="0.2">
      <c r="A9712" t="s">
        <v>4305</v>
      </c>
      <c r="B9712">
        <v>0</v>
      </c>
      <c r="C9712">
        <v>102</v>
      </c>
      <c r="D9712">
        <v>246</v>
      </c>
      <c r="E9712">
        <v>92</v>
      </c>
      <c r="F9712">
        <v>0</v>
      </c>
      <c r="G9712">
        <v>440</v>
      </c>
    </row>
    <row r="9713" spans="1:7" x14ac:dyDescent="0.2">
      <c r="A9713" t="s">
        <v>4306</v>
      </c>
      <c r="B9713">
        <v>5</v>
      </c>
      <c r="C9713">
        <v>29</v>
      </c>
      <c r="D9713">
        <v>11</v>
      </c>
      <c r="E9713">
        <v>11</v>
      </c>
      <c r="F9713">
        <v>0</v>
      </c>
      <c r="G9713">
        <v>57</v>
      </c>
    </row>
    <row r="9714" spans="1:7" x14ac:dyDescent="0.2">
      <c r="A9714" t="s">
        <v>4307</v>
      </c>
      <c r="B9714">
        <v>30</v>
      </c>
      <c r="C9714">
        <v>280</v>
      </c>
      <c r="D9714">
        <v>1594</v>
      </c>
      <c r="E9714">
        <v>531</v>
      </c>
      <c r="F9714">
        <v>0</v>
      </c>
      <c r="G9714">
        <v>2436</v>
      </c>
    </row>
    <row r="9715" spans="1:7" x14ac:dyDescent="0.2">
      <c r="A9715" t="s">
        <v>4308</v>
      </c>
      <c r="B9715">
        <v>0</v>
      </c>
      <c r="C9715">
        <v>0</v>
      </c>
      <c r="D9715">
        <v>17</v>
      </c>
      <c r="E9715">
        <v>5</v>
      </c>
      <c r="F9715">
        <v>0</v>
      </c>
      <c r="G9715">
        <v>23</v>
      </c>
    </row>
    <row r="9716" spans="1:7" x14ac:dyDescent="0.2">
      <c r="A9716" t="s">
        <v>4309</v>
      </c>
      <c r="B9716">
        <v>0</v>
      </c>
      <c r="C9716">
        <v>0</v>
      </c>
      <c r="D9716">
        <v>0</v>
      </c>
      <c r="E9716">
        <v>0</v>
      </c>
      <c r="F9716">
        <v>0</v>
      </c>
      <c r="G9716">
        <v>0</v>
      </c>
    </row>
    <row r="9717" spans="1:7" x14ac:dyDescent="0.2">
      <c r="A9717" t="s">
        <v>4310</v>
      </c>
      <c r="B9717">
        <v>0</v>
      </c>
      <c r="C9717">
        <v>0</v>
      </c>
      <c r="D9717">
        <v>0</v>
      </c>
      <c r="E9717">
        <v>0</v>
      </c>
      <c r="F9717">
        <v>0</v>
      </c>
      <c r="G9717">
        <v>0</v>
      </c>
    </row>
    <row r="9718" spans="1:7" x14ac:dyDescent="0.2">
      <c r="A9718" t="s">
        <v>4311</v>
      </c>
      <c r="B9718">
        <v>0</v>
      </c>
      <c r="C9718">
        <v>0</v>
      </c>
      <c r="D9718">
        <v>0</v>
      </c>
      <c r="E9718">
        <v>0</v>
      </c>
      <c r="F9718">
        <v>0</v>
      </c>
      <c r="G9718">
        <v>0</v>
      </c>
    </row>
    <row r="9719" spans="1:7" x14ac:dyDescent="0.2">
      <c r="A9719" t="s">
        <v>4312</v>
      </c>
      <c r="B9719">
        <v>0</v>
      </c>
      <c r="C9719">
        <v>0</v>
      </c>
      <c r="D9719">
        <v>0</v>
      </c>
      <c r="E9719">
        <v>0</v>
      </c>
      <c r="F9719">
        <v>0</v>
      </c>
      <c r="G9719">
        <v>0</v>
      </c>
    </row>
    <row r="9720" spans="1:7" x14ac:dyDescent="0.2">
      <c r="A9720" t="s">
        <v>4313</v>
      </c>
      <c r="B9720">
        <v>0</v>
      </c>
      <c r="C9720">
        <v>0</v>
      </c>
      <c r="D9720">
        <v>0</v>
      </c>
      <c r="E9720">
        <v>0</v>
      </c>
      <c r="F9720">
        <v>0</v>
      </c>
      <c r="G9720">
        <v>0</v>
      </c>
    </row>
    <row r="9721" spans="1:7" x14ac:dyDescent="0.2">
      <c r="A9721" t="s">
        <v>4314</v>
      </c>
      <c r="B9721">
        <v>0</v>
      </c>
      <c r="C9721">
        <v>0</v>
      </c>
      <c r="D9721">
        <v>0</v>
      </c>
      <c r="E9721">
        <v>0</v>
      </c>
      <c r="F9721">
        <v>0</v>
      </c>
      <c r="G9721">
        <v>0</v>
      </c>
    </row>
    <row r="9722" spans="1:7" x14ac:dyDescent="0.2">
      <c r="A9722" t="s">
        <v>4315</v>
      </c>
      <c r="B9722">
        <v>0</v>
      </c>
      <c r="C9722">
        <v>0</v>
      </c>
      <c r="D9722">
        <v>0</v>
      </c>
      <c r="E9722">
        <v>0</v>
      </c>
      <c r="F9722">
        <v>0</v>
      </c>
      <c r="G9722">
        <v>0</v>
      </c>
    </row>
    <row r="9723" spans="1:7" x14ac:dyDescent="0.2">
      <c r="A9723" t="s">
        <v>4316</v>
      </c>
      <c r="B9723">
        <v>0</v>
      </c>
      <c r="C9723">
        <v>0</v>
      </c>
      <c r="D9723">
        <v>0</v>
      </c>
      <c r="E9723">
        <v>0</v>
      </c>
      <c r="F9723">
        <v>0</v>
      </c>
      <c r="G9723">
        <v>0</v>
      </c>
    </row>
    <row r="9724" spans="1:7" x14ac:dyDescent="0.2">
      <c r="A9724" t="s">
        <v>4317</v>
      </c>
      <c r="B9724">
        <v>0</v>
      </c>
      <c r="C9724">
        <v>0</v>
      </c>
      <c r="D9724">
        <v>0</v>
      </c>
      <c r="E9724">
        <v>0</v>
      </c>
      <c r="F9724">
        <v>0</v>
      </c>
      <c r="G9724">
        <v>0</v>
      </c>
    </row>
    <row r="9725" spans="1:7" x14ac:dyDescent="0.2">
      <c r="A9725" t="s">
        <v>4318</v>
      </c>
      <c r="B9725">
        <v>0</v>
      </c>
      <c r="C9725">
        <v>0</v>
      </c>
      <c r="D9725">
        <v>0</v>
      </c>
      <c r="E9725">
        <v>0</v>
      </c>
      <c r="F9725">
        <v>0</v>
      </c>
      <c r="G9725">
        <v>0</v>
      </c>
    </row>
    <row r="9726" spans="1:7" x14ac:dyDescent="0.2">
      <c r="A9726" t="s">
        <v>4319</v>
      </c>
      <c r="B9726">
        <v>0</v>
      </c>
      <c r="C9726">
        <v>0</v>
      </c>
      <c r="D9726">
        <v>0</v>
      </c>
      <c r="E9726">
        <v>0</v>
      </c>
      <c r="F9726">
        <v>0</v>
      </c>
      <c r="G9726">
        <v>0</v>
      </c>
    </row>
    <row r="9727" spans="1:7" x14ac:dyDescent="0.2">
      <c r="A9727" t="s">
        <v>4320</v>
      </c>
      <c r="B9727">
        <v>0</v>
      </c>
      <c r="C9727">
        <v>0</v>
      </c>
      <c r="D9727">
        <v>0</v>
      </c>
      <c r="E9727">
        <v>0</v>
      </c>
      <c r="F9727">
        <v>0</v>
      </c>
      <c r="G9727">
        <v>0</v>
      </c>
    </row>
    <row r="9728" spans="1:7" x14ac:dyDescent="0.2">
      <c r="A9728" t="s">
        <v>4321</v>
      </c>
      <c r="B9728">
        <v>0</v>
      </c>
      <c r="C9728">
        <v>0</v>
      </c>
      <c r="D9728">
        <v>0</v>
      </c>
      <c r="E9728">
        <v>0</v>
      </c>
      <c r="F9728">
        <v>0</v>
      </c>
      <c r="G9728">
        <v>0</v>
      </c>
    </row>
    <row r="9729" spans="1:7" x14ac:dyDescent="0.2">
      <c r="A9729" t="s">
        <v>4322</v>
      </c>
      <c r="B9729">
        <v>0</v>
      </c>
      <c r="C9729">
        <v>0</v>
      </c>
      <c r="D9729">
        <v>0</v>
      </c>
      <c r="E9729">
        <v>0</v>
      </c>
      <c r="F9729">
        <v>0</v>
      </c>
      <c r="G9729">
        <v>0</v>
      </c>
    </row>
    <row r="9730" spans="1:7" x14ac:dyDescent="0.2">
      <c r="A9730" t="s">
        <v>4323</v>
      </c>
      <c r="B9730">
        <v>0</v>
      </c>
      <c r="C9730">
        <v>0</v>
      </c>
      <c r="D9730">
        <v>0</v>
      </c>
      <c r="E9730">
        <v>0</v>
      </c>
      <c r="F9730">
        <v>0</v>
      </c>
      <c r="G9730">
        <v>0</v>
      </c>
    </row>
    <row r="9731" spans="1:7" x14ac:dyDescent="0.2">
      <c r="A9731" t="s">
        <v>4324</v>
      </c>
      <c r="B9731">
        <v>0</v>
      </c>
      <c r="C9731">
        <v>0</v>
      </c>
      <c r="D9731">
        <v>0</v>
      </c>
      <c r="E9731">
        <v>0</v>
      </c>
      <c r="F9731">
        <v>0</v>
      </c>
      <c r="G9731">
        <v>0</v>
      </c>
    </row>
    <row r="9732" spans="1:7" x14ac:dyDescent="0.2">
      <c r="A9732" t="s">
        <v>4325</v>
      </c>
      <c r="B9732">
        <v>0</v>
      </c>
      <c r="C9732">
        <v>0</v>
      </c>
      <c r="D9732">
        <v>0</v>
      </c>
      <c r="E9732">
        <v>0</v>
      </c>
      <c r="F9732">
        <v>0</v>
      </c>
      <c r="G9732">
        <v>0</v>
      </c>
    </row>
    <row r="9733" spans="1:7" x14ac:dyDescent="0.2">
      <c r="A9733" t="s">
        <v>4326</v>
      </c>
      <c r="B9733">
        <v>0</v>
      </c>
      <c r="C9733">
        <v>0</v>
      </c>
      <c r="D9733">
        <v>0</v>
      </c>
      <c r="E9733">
        <v>0</v>
      </c>
      <c r="F9733">
        <v>0</v>
      </c>
      <c r="G9733">
        <v>0</v>
      </c>
    </row>
    <row r="9734" spans="1:7" x14ac:dyDescent="0.2">
      <c r="A9734" t="s">
        <v>4327</v>
      </c>
      <c r="B9734">
        <v>0</v>
      </c>
      <c r="C9734">
        <v>0</v>
      </c>
      <c r="D9734">
        <v>0</v>
      </c>
      <c r="E9734">
        <v>0</v>
      </c>
      <c r="F9734">
        <v>0</v>
      </c>
      <c r="G9734">
        <v>0</v>
      </c>
    </row>
    <row r="9735" spans="1:7" x14ac:dyDescent="0.2">
      <c r="A9735" t="s">
        <v>4328</v>
      </c>
      <c r="B9735">
        <v>0</v>
      </c>
      <c r="C9735">
        <v>0</v>
      </c>
      <c r="D9735">
        <v>0</v>
      </c>
      <c r="E9735">
        <v>0</v>
      </c>
      <c r="F9735">
        <v>0</v>
      </c>
      <c r="G9735">
        <v>0</v>
      </c>
    </row>
    <row r="9736" spans="1:7" x14ac:dyDescent="0.2">
      <c r="A9736" t="s">
        <v>4329</v>
      </c>
      <c r="B9736">
        <v>0</v>
      </c>
      <c r="C9736">
        <v>0</v>
      </c>
      <c r="D9736">
        <v>0</v>
      </c>
      <c r="E9736">
        <v>0</v>
      </c>
      <c r="F9736">
        <v>0</v>
      </c>
      <c r="G9736">
        <v>0</v>
      </c>
    </row>
    <row r="9737" spans="1:7" x14ac:dyDescent="0.2">
      <c r="A9737" t="s">
        <v>4330</v>
      </c>
      <c r="B9737">
        <v>0</v>
      </c>
      <c r="C9737">
        <v>0</v>
      </c>
      <c r="D9737">
        <v>0</v>
      </c>
      <c r="E9737">
        <v>0</v>
      </c>
      <c r="F9737">
        <v>0</v>
      </c>
      <c r="G9737">
        <v>0</v>
      </c>
    </row>
    <row r="9738" spans="1:7" x14ac:dyDescent="0.2">
      <c r="A9738" t="s">
        <v>4331</v>
      </c>
      <c r="B9738">
        <v>0</v>
      </c>
      <c r="C9738">
        <v>0</v>
      </c>
      <c r="D9738">
        <v>0</v>
      </c>
      <c r="E9738">
        <v>0</v>
      </c>
      <c r="F9738">
        <v>0</v>
      </c>
      <c r="G9738">
        <v>0</v>
      </c>
    </row>
    <row r="9739" spans="1:7" x14ac:dyDescent="0.2">
      <c r="A9739" t="s">
        <v>4332</v>
      </c>
      <c r="B9739">
        <v>0</v>
      </c>
      <c r="C9739">
        <v>0</v>
      </c>
      <c r="D9739">
        <v>0</v>
      </c>
      <c r="E9739">
        <v>0</v>
      </c>
      <c r="F9739">
        <v>0</v>
      </c>
      <c r="G9739">
        <v>0</v>
      </c>
    </row>
    <row r="9740" spans="1:7" x14ac:dyDescent="0.2">
      <c r="A9740" t="s">
        <v>4333</v>
      </c>
      <c r="B9740">
        <v>0</v>
      </c>
      <c r="C9740">
        <v>0</v>
      </c>
      <c r="D9740">
        <v>0</v>
      </c>
      <c r="E9740">
        <v>0</v>
      </c>
      <c r="F9740">
        <v>0</v>
      </c>
      <c r="G9740">
        <v>0</v>
      </c>
    </row>
    <row r="9741" spans="1:7" x14ac:dyDescent="0.2">
      <c r="A9741" t="s">
        <v>4334</v>
      </c>
      <c r="B9741">
        <v>0</v>
      </c>
      <c r="C9741">
        <v>0</v>
      </c>
      <c r="D9741">
        <v>0</v>
      </c>
      <c r="E9741">
        <v>0</v>
      </c>
      <c r="F9741">
        <v>0</v>
      </c>
      <c r="G9741">
        <v>0</v>
      </c>
    </row>
    <row r="9742" spans="1:7" x14ac:dyDescent="0.2">
      <c r="A9742" t="s">
        <v>4335</v>
      </c>
      <c r="B9742">
        <v>0</v>
      </c>
      <c r="C9742">
        <v>0</v>
      </c>
      <c r="D9742">
        <v>0</v>
      </c>
      <c r="E9742">
        <v>0</v>
      </c>
      <c r="F9742">
        <v>0</v>
      </c>
      <c r="G9742">
        <v>0</v>
      </c>
    </row>
    <row r="9743" spans="1:7" x14ac:dyDescent="0.2">
      <c r="A9743" t="s">
        <v>4336</v>
      </c>
      <c r="B9743">
        <v>0</v>
      </c>
      <c r="C9743">
        <v>0</v>
      </c>
      <c r="D9743">
        <v>0</v>
      </c>
      <c r="E9743">
        <v>0</v>
      </c>
      <c r="F9743">
        <v>0</v>
      </c>
      <c r="G9743">
        <v>0</v>
      </c>
    </row>
    <row r="9744" spans="1:7" x14ac:dyDescent="0.2">
      <c r="A9744" t="s">
        <v>4337</v>
      </c>
      <c r="B9744">
        <v>0</v>
      </c>
      <c r="C9744">
        <v>0</v>
      </c>
      <c r="D9744">
        <v>0</v>
      </c>
      <c r="E9744">
        <v>0</v>
      </c>
      <c r="F9744">
        <v>0</v>
      </c>
      <c r="G9744">
        <v>0</v>
      </c>
    </row>
    <row r="9745" spans="1:7" x14ac:dyDescent="0.2">
      <c r="A9745" t="s">
        <v>4338</v>
      </c>
      <c r="B9745">
        <v>0</v>
      </c>
      <c r="C9745">
        <v>0</v>
      </c>
      <c r="D9745">
        <v>0</v>
      </c>
      <c r="E9745">
        <v>0</v>
      </c>
      <c r="F9745">
        <v>0</v>
      </c>
      <c r="G9745">
        <v>0</v>
      </c>
    </row>
    <row r="9746" spans="1:7" x14ac:dyDescent="0.2">
      <c r="A9746" t="s">
        <v>4339</v>
      </c>
      <c r="B9746">
        <v>0</v>
      </c>
      <c r="C9746">
        <v>0</v>
      </c>
      <c r="D9746">
        <v>0</v>
      </c>
      <c r="E9746">
        <v>0</v>
      </c>
      <c r="F9746">
        <v>0</v>
      </c>
      <c r="G9746">
        <v>0</v>
      </c>
    </row>
    <row r="9747" spans="1:7" x14ac:dyDescent="0.2">
      <c r="A9747" t="s">
        <v>4340</v>
      </c>
      <c r="B9747">
        <v>0</v>
      </c>
      <c r="C9747">
        <v>0</v>
      </c>
      <c r="D9747">
        <v>0</v>
      </c>
      <c r="E9747">
        <v>0</v>
      </c>
      <c r="F9747">
        <v>0</v>
      </c>
      <c r="G9747">
        <v>0</v>
      </c>
    </row>
    <row r="9748" spans="1:7" x14ac:dyDescent="0.2">
      <c r="A9748" t="s">
        <v>4341</v>
      </c>
      <c r="B9748">
        <v>0</v>
      </c>
      <c r="C9748">
        <v>0</v>
      </c>
      <c r="D9748">
        <v>0</v>
      </c>
      <c r="E9748">
        <v>0</v>
      </c>
      <c r="F9748">
        <v>0</v>
      </c>
      <c r="G9748">
        <v>0</v>
      </c>
    </row>
    <row r="9749" spans="1:7" x14ac:dyDescent="0.2">
      <c r="A9749" t="s">
        <v>4342</v>
      </c>
      <c r="B9749">
        <v>0</v>
      </c>
      <c r="C9749">
        <v>0</v>
      </c>
      <c r="D9749">
        <v>0</v>
      </c>
      <c r="E9749">
        <v>0</v>
      </c>
      <c r="F9749">
        <v>0</v>
      </c>
      <c r="G9749">
        <v>0</v>
      </c>
    </row>
    <row r="9750" spans="1:7" x14ac:dyDescent="0.2">
      <c r="A9750" t="s">
        <v>4343</v>
      </c>
      <c r="B9750">
        <v>0</v>
      </c>
      <c r="C9750">
        <v>0</v>
      </c>
      <c r="D9750">
        <v>0</v>
      </c>
      <c r="E9750">
        <v>0</v>
      </c>
      <c r="F9750">
        <v>0</v>
      </c>
      <c r="G9750">
        <v>0</v>
      </c>
    </row>
    <row r="9751" spans="1:7" x14ac:dyDescent="0.2">
      <c r="A9751" t="s">
        <v>1728</v>
      </c>
      <c r="B9751">
        <v>0</v>
      </c>
      <c r="C9751">
        <v>0</v>
      </c>
      <c r="D9751">
        <v>0</v>
      </c>
      <c r="E9751">
        <v>0</v>
      </c>
      <c r="F9751">
        <v>0</v>
      </c>
      <c r="G9751">
        <v>0</v>
      </c>
    </row>
    <row r="9752" spans="1:7" x14ac:dyDescent="0.2">
      <c r="A9752" t="s">
        <v>1730</v>
      </c>
      <c r="B9752">
        <v>0</v>
      </c>
      <c r="C9752">
        <v>1</v>
      </c>
      <c r="D9752">
        <v>12</v>
      </c>
      <c r="E9752">
        <v>13</v>
      </c>
      <c r="F9752">
        <v>16</v>
      </c>
      <c r="G9752">
        <v>41</v>
      </c>
    </row>
    <row r="9753" spans="1:7" x14ac:dyDescent="0.2">
      <c r="A9753" t="s">
        <v>1733</v>
      </c>
      <c r="B9753">
        <v>0</v>
      </c>
      <c r="C9753">
        <v>0</v>
      </c>
      <c r="D9753">
        <v>0</v>
      </c>
      <c r="E9753">
        <v>0</v>
      </c>
      <c r="F9753">
        <v>0</v>
      </c>
      <c r="G9753">
        <v>0</v>
      </c>
    </row>
    <row r="9754" spans="1:7" x14ac:dyDescent="0.2">
      <c r="A9754" t="s">
        <v>1738</v>
      </c>
      <c r="B9754">
        <v>0</v>
      </c>
      <c r="C9754">
        <v>0</v>
      </c>
      <c r="D9754">
        <v>0</v>
      </c>
      <c r="E9754">
        <v>0</v>
      </c>
      <c r="F9754">
        <v>0</v>
      </c>
      <c r="G9754">
        <v>0</v>
      </c>
    </row>
    <row r="9755" spans="1:7" x14ac:dyDescent="0.2">
      <c r="A9755" t="s">
        <v>1744</v>
      </c>
      <c r="B9755">
        <v>0</v>
      </c>
      <c r="C9755">
        <v>0</v>
      </c>
      <c r="D9755">
        <v>0</v>
      </c>
      <c r="E9755">
        <v>0</v>
      </c>
      <c r="F9755">
        <v>0</v>
      </c>
      <c r="G9755">
        <v>0</v>
      </c>
    </row>
    <row r="9756" spans="1:7" x14ac:dyDescent="0.2">
      <c r="A9756" t="s">
        <v>1747</v>
      </c>
      <c r="B9756">
        <v>0</v>
      </c>
      <c r="C9756">
        <v>0</v>
      </c>
      <c r="D9756">
        <v>0</v>
      </c>
      <c r="E9756">
        <v>0</v>
      </c>
      <c r="F9756">
        <v>0</v>
      </c>
      <c r="G9756">
        <v>0</v>
      </c>
    </row>
    <row r="9757" spans="1:7" x14ac:dyDescent="0.2">
      <c r="A9757" t="s">
        <v>1751</v>
      </c>
      <c r="B9757">
        <v>0</v>
      </c>
      <c r="C9757">
        <v>0</v>
      </c>
      <c r="D9757">
        <v>0</v>
      </c>
      <c r="E9757">
        <v>0</v>
      </c>
      <c r="F9757">
        <v>0</v>
      </c>
      <c r="G9757">
        <v>0</v>
      </c>
    </row>
    <row r="9758" spans="1:7" x14ac:dyDescent="0.2">
      <c r="A9758" t="s">
        <v>1755</v>
      </c>
      <c r="B9758">
        <v>0</v>
      </c>
      <c r="C9758">
        <v>0</v>
      </c>
      <c r="D9758">
        <v>5</v>
      </c>
      <c r="E9758">
        <v>590</v>
      </c>
      <c r="F9758">
        <v>10</v>
      </c>
      <c r="G9758">
        <v>605</v>
      </c>
    </row>
    <row r="9759" spans="1:7" x14ac:dyDescent="0.2">
      <c r="A9759" t="s">
        <v>1757</v>
      </c>
      <c r="B9759">
        <v>0</v>
      </c>
      <c r="C9759">
        <v>0</v>
      </c>
      <c r="D9759">
        <v>9</v>
      </c>
      <c r="E9759">
        <v>565</v>
      </c>
      <c r="F9759">
        <v>11</v>
      </c>
      <c r="G9759">
        <v>585</v>
      </c>
    </row>
    <row r="9760" spans="1:7" x14ac:dyDescent="0.2">
      <c r="A9760" t="s">
        <v>1761</v>
      </c>
      <c r="B9760">
        <v>0</v>
      </c>
      <c r="C9760">
        <v>0</v>
      </c>
      <c r="D9760">
        <v>0</v>
      </c>
      <c r="E9760">
        <v>0</v>
      </c>
      <c r="F9760">
        <v>0</v>
      </c>
      <c r="G9760">
        <v>0</v>
      </c>
    </row>
    <row r="9761" spans="1:14" x14ac:dyDescent="0.2">
      <c r="A9761" t="s">
        <v>1764</v>
      </c>
      <c r="B9761">
        <v>0</v>
      </c>
      <c r="C9761">
        <v>0</v>
      </c>
      <c r="D9761">
        <v>0</v>
      </c>
      <c r="E9761">
        <v>0</v>
      </c>
      <c r="F9761">
        <v>0</v>
      </c>
      <c r="G9761">
        <v>0</v>
      </c>
    </row>
    <row r="9762" spans="1:14" x14ac:dyDescent="0.2">
      <c r="A9762" t="s">
        <v>1770</v>
      </c>
      <c r="B9762">
        <v>1</v>
      </c>
      <c r="C9762">
        <v>9</v>
      </c>
      <c r="D9762">
        <v>65</v>
      </c>
      <c r="E9762">
        <v>479</v>
      </c>
      <c r="F9762" s="37">
        <v>0</v>
      </c>
      <c r="G9762">
        <v>554</v>
      </c>
    </row>
    <row r="9763" spans="1:14" x14ac:dyDescent="0.2">
      <c r="A9763" t="s">
        <v>1772</v>
      </c>
      <c r="B9763">
        <v>0</v>
      </c>
      <c r="C9763">
        <v>1</v>
      </c>
      <c r="D9763">
        <v>6</v>
      </c>
      <c r="E9763">
        <v>216</v>
      </c>
      <c r="F9763" s="37">
        <v>0</v>
      </c>
      <c r="G9763">
        <v>223</v>
      </c>
      <c r="N9763" s="37"/>
    </row>
    <row r="9764" spans="1:14" x14ac:dyDescent="0.2">
      <c r="A9764" t="s">
        <v>1774</v>
      </c>
      <c r="B9764">
        <v>0</v>
      </c>
      <c r="C9764">
        <v>0</v>
      </c>
      <c r="D9764">
        <v>27</v>
      </c>
      <c r="E9764">
        <v>685</v>
      </c>
      <c r="F9764" s="180">
        <v>0</v>
      </c>
      <c r="G9764">
        <v>711</v>
      </c>
      <c r="N9764" s="37"/>
    </row>
    <row r="9765" spans="1:14" x14ac:dyDescent="0.2">
      <c r="A9765" t="s">
        <v>1777</v>
      </c>
      <c r="B9765">
        <v>0</v>
      </c>
      <c r="C9765">
        <v>0</v>
      </c>
      <c r="D9765">
        <v>0</v>
      </c>
      <c r="E9765">
        <v>0</v>
      </c>
      <c r="F9765">
        <v>0</v>
      </c>
      <c r="G9765">
        <v>0</v>
      </c>
    </row>
    <row r="9766" spans="1:14" x14ac:dyDescent="0.2">
      <c r="A9766" t="s">
        <v>1782</v>
      </c>
      <c r="B9766">
        <v>0</v>
      </c>
      <c r="C9766">
        <v>0</v>
      </c>
      <c r="D9766">
        <v>0</v>
      </c>
      <c r="E9766">
        <v>0</v>
      </c>
      <c r="F9766">
        <v>0</v>
      </c>
      <c r="G9766">
        <v>0</v>
      </c>
    </row>
    <row r="9767" spans="1:14" x14ac:dyDescent="0.2">
      <c r="A9767" t="s">
        <v>1274</v>
      </c>
      <c r="B9767">
        <v>0</v>
      </c>
      <c r="C9767">
        <v>0</v>
      </c>
      <c r="D9767">
        <v>0</v>
      </c>
      <c r="E9767">
        <v>122</v>
      </c>
      <c r="F9767">
        <v>0</v>
      </c>
      <c r="G9767">
        <v>122</v>
      </c>
    </row>
    <row r="9768" spans="1:14" x14ac:dyDescent="0.2">
      <c r="A9768" t="s">
        <v>1277</v>
      </c>
      <c r="B9768">
        <v>0</v>
      </c>
      <c r="C9768">
        <v>0</v>
      </c>
      <c r="D9768">
        <v>0</v>
      </c>
      <c r="E9768">
        <v>1008</v>
      </c>
      <c r="F9768">
        <v>7</v>
      </c>
      <c r="G9768">
        <v>1014</v>
      </c>
    </row>
    <row r="9769" spans="1:14" x14ac:dyDescent="0.2">
      <c r="A9769" t="s">
        <v>1798</v>
      </c>
      <c r="B9769">
        <v>0</v>
      </c>
      <c r="C9769">
        <v>0</v>
      </c>
      <c r="D9769">
        <v>0</v>
      </c>
      <c r="E9769">
        <v>0</v>
      </c>
      <c r="F9769">
        <v>0</v>
      </c>
      <c r="G9769">
        <v>0</v>
      </c>
    </row>
    <row r="9770" spans="1:14" x14ac:dyDescent="0.2">
      <c r="A9770" t="s">
        <v>1803</v>
      </c>
      <c r="B9770">
        <v>0</v>
      </c>
      <c r="C9770">
        <v>0</v>
      </c>
      <c r="D9770">
        <v>0</v>
      </c>
      <c r="E9770">
        <v>0</v>
      </c>
      <c r="F9770">
        <v>0</v>
      </c>
      <c r="G9770">
        <v>0</v>
      </c>
    </row>
    <row r="9771" spans="1:14" x14ac:dyDescent="0.2">
      <c r="A9771" t="s">
        <v>1808</v>
      </c>
      <c r="B9771">
        <v>0</v>
      </c>
      <c r="C9771">
        <v>0</v>
      </c>
      <c r="D9771">
        <v>0</v>
      </c>
      <c r="E9771">
        <v>0</v>
      </c>
      <c r="F9771">
        <v>0</v>
      </c>
      <c r="G9771">
        <v>0</v>
      </c>
    </row>
    <row r="9772" spans="1:14" x14ac:dyDescent="0.2">
      <c r="A9772" t="s">
        <v>1813</v>
      </c>
      <c r="B9772">
        <v>0</v>
      </c>
      <c r="C9772">
        <v>0</v>
      </c>
      <c r="D9772">
        <v>0</v>
      </c>
      <c r="E9772">
        <v>0</v>
      </c>
      <c r="F9772">
        <v>0</v>
      </c>
      <c r="G9772">
        <v>0</v>
      </c>
    </row>
    <row r="9773" spans="1:14" x14ac:dyDescent="0.2">
      <c r="A9773" t="s">
        <v>1819</v>
      </c>
      <c r="B9773">
        <v>0</v>
      </c>
      <c r="C9773">
        <v>0</v>
      </c>
      <c r="D9773">
        <v>0</v>
      </c>
      <c r="E9773">
        <v>2</v>
      </c>
      <c r="F9773">
        <v>0</v>
      </c>
      <c r="G9773">
        <v>2</v>
      </c>
    </row>
    <row r="9774" spans="1:14" x14ac:dyDescent="0.2">
      <c r="A9774" t="s">
        <v>1826</v>
      </c>
      <c r="B9774">
        <v>0</v>
      </c>
      <c r="C9774">
        <v>0</v>
      </c>
      <c r="D9774">
        <v>0</v>
      </c>
      <c r="E9774">
        <v>0</v>
      </c>
      <c r="F9774">
        <v>0</v>
      </c>
      <c r="G9774">
        <v>0</v>
      </c>
    </row>
    <row r="9775" spans="1:14" x14ac:dyDescent="0.2">
      <c r="A9775" t="s">
        <v>1830</v>
      </c>
      <c r="B9775">
        <v>0</v>
      </c>
      <c r="C9775">
        <v>0</v>
      </c>
      <c r="D9775">
        <v>0</v>
      </c>
      <c r="E9775">
        <v>0</v>
      </c>
      <c r="F9775">
        <v>0</v>
      </c>
      <c r="G9775">
        <v>0</v>
      </c>
    </row>
    <row r="9776" spans="1:14" x14ac:dyDescent="0.2">
      <c r="A9776" t="s">
        <v>1836</v>
      </c>
      <c r="B9776">
        <v>0</v>
      </c>
      <c r="C9776">
        <v>0</v>
      </c>
      <c r="D9776">
        <v>0</v>
      </c>
      <c r="E9776">
        <v>0</v>
      </c>
      <c r="F9776">
        <v>0</v>
      </c>
      <c r="G9776">
        <v>0</v>
      </c>
    </row>
    <row r="9777" spans="1:7" x14ac:dyDescent="0.2">
      <c r="A9777" t="s">
        <v>1841</v>
      </c>
      <c r="B9777">
        <v>0</v>
      </c>
      <c r="C9777">
        <v>0</v>
      </c>
      <c r="D9777">
        <v>0</v>
      </c>
      <c r="E9777">
        <v>0</v>
      </c>
      <c r="F9777">
        <v>0</v>
      </c>
      <c r="G9777">
        <v>0</v>
      </c>
    </row>
    <row r="9778" spans="1:7" x14ac:dyDescent="0.2">
      <c r="A9778" t="s">
        <v>1842</v>
      </c>
      <c r="B9778">
        <v>0</v>
      </c>
      <c r="C9778">
        <v>0</v>
      </c>
      <c r="D9778">
        <v>0</v>
      </c>
      <c r="E9778">
        <v>22</v>
      </c>
      <c r="F9778">
        <v>0</v>
      </c>
      <c r="G9778">
        <v>22</v>
      </c>
    </row>
    <row r="9779" spans="1:7" x14ac:dyDescent="0.2">
      <c r="A9779" t="s">
        <v>1843</v>
      </c>
      <c r="B9779">
        <v>0</v>
      </c>
      <c r="C9779">
        <v>0</v>
      </c>
      <c r="D9779">
        <v>0</v>
      </c>
      <c r="E9779">
        <v>0</v>
      </c>
      <c r="F9779">
        <v>0</v>
      </c>
      <c r="G9779">
        <v>0</v>
      </c>
    </row>
    <row r="9780" spans="1:7" x14ac:dyDescent="0.2">
      <c r="A9780" t="s">
        <v>1846</v>
      </c>
      <c r="B9780">
        <v>0</v>
      </c>
      <c r="C9780">
        <v>0</v>
      </c>
      <c r="D9780">
        <v>0</v>
      </c>
      <c r="E9780">
        <v>0</v>
      </c>
      <c r="F9780">
        <v>0</v>
      </c>
      <c r="G9780">
        <v>0</v>
      </c>
    </row>
    <row r="9781" spans="1:7" x14ac:dyDescent="0.2">
      <c r="A9781" t="s">
        <v>1851</v>
      </c>
      <c r="B9781">
        <v>0</v>
      </c>
      <c r="C9781">
        <v>0</v>
      </c>
      <c r="D9781">
        <v>0</v>
      </c>
      <c r="E9781">
        <v>6</v>
      </c>
      <c r="F9781">
        <v>2</v>
      </c>
      <c r="G9781">
        <v>8</v>
      </c>
    </row>
    <row r="9782" spans="1:7" x14ac:dyDescent="0.2">
      <c r="A9782" t="s">
        <v>1857</v>
      </c>
      <c r="B9782">
        <v>0</v>
      </c>
      <c r="C9782">
        <v>0</v>
      </c>
      <c r="D9782">
        <v>0</v>
      </c>
      <c r="E9782">
        <v>0</v>
      </c>
      <c r="F9782">
        <v>0</v>
      </c>
      <c r="G9782">
        <v>0</v>
      </c>
    </row>
    <row r="9783" spans="1:7" x14ac:dyDescent="0.2">
      <c r="A9783" t="s">
        <v>1862</v>
      </c>
      <c r="B9783">
        <v>0</v>
      </c>
      <c r="C9783">
        <v>0</v>
      </c>
      <c r="D9783">
        <v>0</v>
      </c>
      <c r="E9783">
        <v>0</v>
      </c>
      <c r="F9783">
        <v>0</v>
      </c>
      <c r="G9783">
        <v>0</v>
      </c>
    </row>
    <row r="9784" spans="1:7" x14ac:dyDescent="0.2">
      <c r="A9784" t="s">
        <v>1867</v>
      </c>
      <c r="B9784">
        <v>0</v>
      </c>
      <c r="C9784">
        <v>0</v>
      </c>
      <c r="D9784">
        <v>0</v>
      </c>
      <c r="E9784">
        <v>0</v>
      </c>
      <c r="F9784">
        <v>0</v>
      </c>
      <c r="G9784">
        <v>0</v>
      </c>
    </row>
    <row r="9785" spans="1:7" x14ac:dyDescent="0.2">
      <c r="A9785" t="s">
        <v>1870</v>
      </c>
      <c r="B9785">
        <v>0</v>
      </c>
      <c r="C9785">
        <v>0</v>
      </c>
      <c r="D9785">
        <v>0</v>
      </c>
      <c r="E9785">
        <v>0</v>
      </c>
      <c r="F9785">
        <v>0</v>
      </c>
      <c r="G9785">
        <v>0</v>
      </c>
    </row>
    <row r="9786" spans="1:7" x14ac:dyDescent="0.2">
      <c r="A9786" t="s">
        <v>1874</v>
      </c>
      <c r="B9786">
        <v>0</v>
      </c>
      <c r="C9786">
        <v>0</v>
      </c>
      <c r="D9786">
        <v>0</v>
      </c>
      <c r="E9786">
        <v>0</v>
      </c>
      <c r="F9786">
        <v>0</v>
      </c>
      <c r="G9786">
        <v>0</v>
      </c>
    </row>
    <row r="9787" spans="1:7" x14ac:dyDescent="0.2">
      <c r="A9787" t="s">
        <v>1876</v>
      </c>
      <c r="B9787">
        <v>0</v>
      </c>
      <c r="C9787">
        <v>0</v>
      </c>
      <c r="D9787">
        <v>0</v>
      </c>
      <c r="E9787">
        <v>0</v>
      </c>
      <c r="F9787">
        <v>0</v>
      </c>
      <c r="G9787">
        <v>0</v>
      </c>
    </row>
    <row r="9788" spans="1:7" x14ac:dyDescent="0.2">
      <c r="A9788" t="s">
        <v>1881</v>
      </c>
      <c r="B9788">
        <v>0</v>
      </c>
      <c r="C9788">
        <v>0</v>
      </c>
      <c r="D9788">
        <v>0</v>
      </c>
      <c r="E9788">
        <v>0</v>
      </c>
      <c r="F9788">
        <v>0</v>
      </c>
      <c r="G9788">
        <v>0</v>
      </c>
    </row>
    <row r="9789" spans="1:7" x14ac:dyDescent="0.2">
      <c r="A9789" t="s">
        <v>1885</v>
      </c>
      <c r="B9789">
        <v>0</v>
      </c>
      <c r="C9789">
        <v>0</v>
      </c>
      <c r="D9789">
        <v>0</v>
      </c>
      <c r="E9789">
        <v>34</v>
      </c>
      <c r="F9789">
        <v>5</v>
      </c>
      <c r="G9789">
        <v>39</v>
      </c>
    </row>
    <row r="9790" spans="1:7" x14ac:dyDescent="0.2">
      <c r="A9790" t="s">
        <v>1887</v>
      </c>
      <c r="B9790">
        <v>0</v>
      </c>
      <c r="C9790">
        <v>0</v>
      </c>
      <c r="D9790">
        <v>0</v>
      </c>
      <c r="E9790">
        <v>0</v>
      </c>
      <c r="F9790">
        <v>1</v>
      </c>
      <c r="G9790">
        <v>1</v>
      </c>
    </row>
    <row r="9791" spans="1:7" x14ac:dyDescent="0.2">
      <c r="A9791" t="s">
        <v>1893</v>
      </c>
      <c r="B9791">
        <v>0</v>
      </c>
      <c r="C9791">
        <v>0</v>
      </c>
      <c r="D9791">
        <v>0</v>
      </c>
      <c r="E9791">
        <v>23</v>
      </c>
      <c r="F9791">
        <v>2</v>
      </c>
      <c r="G9791">
        <v>25</v>
      </c>
    </row>
    <row r="9792" spans="1:7" x14ac:dyDescent="0.2">
      <c r="A9792" t="s">
        <v>1899</v>
      </c>
      <c r="B9792">
        <v>0</v>
      </c>
      <c r="C9792">
        <v>0</v>
      </c>
      <c r="D9792">
        <v>0</v>
      </c>
      <c r="E9792">
        <v>0</v>
      </c>
      <c r="F9792">
        <v>0</v>
      </c>
      <c r="G9792">
        <v>0</v>
      </c>
    </row>
    <row r="9793" spans="1:7" x14ac:dyDescent="0.2">
      <c r="A9793" t="s">
        <v>1906</v>
      </c>
      <c r="B9793">
        <v>0</v>
      </c>
      <c r="C9793">
        <v>0</v>
      </c>
      <c r="D9793">
        <v>0</v>
      </c>
      <c r="E9793">
        <v>0</v>
      </c>
      <c r="F9793">
        <v>0</v>
      </c>
      <c r="G9793">
        <v>0</v>
      </c>
    </row>
    <row r="9794" spans="1:7" x14ac:dyDescent="0.2">
      <c r="A9794" t="s">
        <v>1911</v>
      </c>
      <c r="B9794">
        <v>0</v>
      </c>
      <c r="C9794">
        <v>0</v>
      </c>
      <c r="D9794">
        <v>0</v>
      </c>
      <c r="E9794">
        <v>0</v>
      </c>
      <c r="F9794">
        <v>0</v>
      </c>
      <c r="G9794">
        <v>0</v>
      </c>
    </row>
    <row r="9795" spans="1:7" x14ac:dyDescent="0.2">
      <c r="A9795" t="s">
        <v>1917</v>
      </c>
      <c r="B9795">
        <v>0</v>
      </c>
      <c r="C9795">
        <v>0</v>
      </c>
      <c r="D9795">
        <v>0</v>
      </c>
      <c r="E9795">
        <v>0</v>
      </c>
      <c r="F9795">
        <v>7</v>
      </c>
      <c r="G9795">
        <v>7</v>
      </c>
    </row>
    <row r="9796" spans="1:7" x14ac:dyDescent="0.2">
      <c r="A9796" t="s">
        <v>1922</v>
      </c>
      <c r="B9796">
        <v>0</v>
      </c>
      <c r="C9796">
        <v>0</v>
      </c>
      <c r="D9796">
        <v>0</v>
      </c>
      <c r="E9796">
        <v>0</v>
      </c>
      <c r="F9796">
        <v>0</v>
      </c>
      <c r="G9796">
        <v>0</v>
      </c>
    </row>
    <row r="9797" spans="1:7" x14ac:dyDescent="0.2">
      <c r="A9797" t="s">
        <v>1928</v>
      </c>
      <c r="B9797">
        <v>0</v>
      </c>
      <c r="C9797">
        <v>0</v>
      </c>
      <c r="D9797">
        <v>0</v>
      </c>
      <c r="E9797">
        <v>0</v>
      </c>
      <c r="F9797">
        <v>0</v>
      </c>
      <c r="G9797">
        <v>0</v>
      </c>
    </row>
    <row r="9798" spans="1:7" x14ac:dyDescent="0.2">
      <c r="A9798" t="s">
        <v>1932</v>
      </c>
      <c r="B9798">
        <v>0</v>
      </c>
      <c r="C9798">
        <v>0</v>
      </c>
      <c r="D9798">
        <v>0</v>
      </c>
      <c r="E9798">
        <v>0</v>
      </c>
      <c r="F9798">
        <v>0</v>
      </c>
      <c r="G9798">
        <v>0</v>
      </c>
    </row>
    <row r="9799" spans="1:7" x14ac:dyDescent="0.2">
      <c r="A9799" t="s">
        <v>1938</v>
      </c>
      <c r="B9799">
        <v>0</v>
      </c>
      <c r="C9799">
        <v>0</v>
      </c>
      <c r="D9799">
        <v>0</v>
      </c>
      <c r="E9799">
        <v>0</v>
      </c>
      <c r="F9799">
        <v>0</v>
      </c>
      <c r="G9799">
        <v>0</v>
      </c>
    </row>
    <row r="9800" spans="1:7" x14ac:dyDescent="0.2">
      <c r="A9800" t="s">
        <v>1944</v>
      </c>
      <c r="B9800">
        <v>0</v>
      </c>
      <c r="C9800">
        <v>3</v>
      </c>
      <c r="D9800">
        <v>0</v>
      </c>
      <c r="E9800">
        <v>0</v>
      </c>
      <c r="F9800">
        <v>3</v>
      </c>
      <c r="G9800">
        <v>6</v>
      </c>
    </row>
    <row r="9801" spans="1:7" x14ac:dyDescent="0.2">
      <c r="A9801" t="s">
        <v>1947</v>
      </c>
      <c r="B9801">
        <v>0</v>
      </c>
      <c r="C9801">
        <v>0</v>
      </c>
      <c r="D9801">
        <v>0</v>
      </c>
      <c r="E9801">
        <v>0</v>
      </c>
      <c r="F9801">
        <v>0</v>
      </c>
      <c r="G9801">
        <v>0</v>
      </c>
    </row>
    <row r="9802" spans="1:7" x14ac:dyDescent="0.2">
      <c r="A9802" t="s">
        <v>1953</v>
      </c>
      <c r="B9802">
        <v>0</v>
      </c>
      <c r="C9802">
        <v>0</v>
      </c>
      <c r="D9802">
        <v>0</v>
      </c>
      <c r="E9802">
        <v>0</v>
      </c>
      <c r="F9802">
        <v>0</v>
      </c>
      <c r="G9802">
        <v>1</v>
      </c>
    </row>
    <row r="9803" spans="1:7" x14ac:dyDescent="0.2">
      <c r="A9803" t="s">
        <v>1958</v>
      </c>
      <c r="B9803">
        <v>0</v>
      </c>
      <c r="C9803">
        <v>0</v>
      </c>
      <c r="D9803">
        <v>0</v>
      </c>
      <c r="E9803">
        <v>0</v>
      </c>
      <c r="F9803">
        <v>0</v>
      </c>
      <c r="G9803">
        <v>0</v>
      </c>
    </row>
    <row r="9804" spans="1:7" x14ac:dyDescent="0.2">
      <c r="A9804" t="s">
        <v>1964</v>
      </c>
      <c r="B9804">
        <v>0</v>
      </c>
      <c r="C9804">
        <v>0</v>
      </c>
      <c r="D9804">
        <v>0</v>
      </c>
      <c r="E9804">
        <v>0</v>
      </c>
      <c r="F9804">
        <v>0</v>
      </c>
      <c r="G9804">
        <v>0</v>
      </c>
    </row>
    <row r="9805" spans="1:7" x14ac:dyDescent="0.2">
      <c r="A9805" t="s">
        <v>1973</v>
      </c>
      <c r="B9805">
        <v>0</v>
      </c>
      <c r="C9805">
        <v>0</v>
      </c>
      <c r="D9805">
        <v>0</v>
      </c>
      <c r="E9805">
        <v>0</v>
      </c>
      <c r="F9805">
        <v>0</v>
      </c>
      <c r="G9805">
        <v>0</v>
      </c>
    </row>
    <row r="9806" spans="1:7" x14ac:dyDescent="0.2">
      <c r="A9806" t="s">
        <v>1978</v>
      </c>
      <c r="B9806">
        <v>0</v>
      </c>
      <c r="C9806">
        <v>0</v>
      </c>
      <c r="D9806">
        <v>0</v>
      </c>
      <c r="E9806">
        <v>0</v>
      </c>
      <c r="F9806">
        <v>0</v>
      </c>
      <c r="G9806">
        <v>0</v>
      </c>
    </row>
    <row r="9807" spans="1:7" x14ac:dyDescent="0.2">
      <c r="A9807" t="s">
        <v>1983</v>
      </c>
      <c r="B9807">
        <v>0</v>
      </c>
      <c r="C9807">
        <v>0</v>
      </c>
      <c r="D9807">
        <v>0</v>
      </c>
      <c r="E9807">
        <v>0</v>
      </c>
      <c r="F9807">
        <v>0</v>
      </c>
      <c r="G9807">
        <v>0</v>
      </c>
    </row>
    <row r="9808" spans="1:7" x14ac:dyDescent="0.2">
      <c r="A9808" t="s">
        <v>1984</v>
      </c>
      <c r="B9808">
        <v>0</v>
      </c>
      <c r="C9808">
        <v>0</v>
      </c>
      <c r="D9808">
        <v>0</v>
      </c>
      <c r="E9808">
        <v>0</v>
      </c>
      <c r="F9808">
        <v>0</v>
      </c>
      <c r="G9808">
        <v>0</v>
      </c>
    </row>
    <row r="9809" spans="1:7" x14ac:dyDescent="0.2">
      <c r="A9809" t="s">
        <v>1990</v>
      </c>
      <c r="B9809">
        <v>0</v>
      </c>
      <c r="C9809">
        <v>0</v>
      </c>
      <c r="D9809">
        <v>0</v>
      </c>
      <c r="E9809">
        <v>0</v>
      </c>
      <c r="F9809">
        <v>0</v>
      </c>
      <c r="G9809">
        <v>0</v>
      </c>
    </row>
    <row r="9810" spans="1:7" x14ac:dyDescent="0.2">
      <c r="A9810" t="s">
        <v>1996</v>
      </c>
      <c r="B9810">
        <v>0</v>
      </c>
      <c r="C9810">
        <v>0</v>
      </c>
      <c r="D9810">
        <v>0</v>
      </c>
      <c r="E9810">
        <v>0</v>
      </c>
      <c r="F9810">
        <v>0</v>
      </c>
      <c r="G9810">
        <v>0</v>
      </c>
    </row>
    <row r="9811" spans="1:7" x14ac:dyDescent="0.2">
      <c r="A9811" t="s">
        <v>1998</v>
      </c>
      <c r="B9811">
        <v>0</v>
      </c>
      <c r="C9811">
        <v>0</v>
      </c>
      <c r="D9811">
        <v>0</v>
      </c>
      <c r="E9811">
        <v>0</v>
      </c>
      <c r="F9811">
        <v>0</v>
      </c>
      <c r="G9811">
        <v>0</v>
      </c>
    </row>
    <row r="9812" spans="1:7" x14ac:dyDescent="0.2">
      <c r="A9812" t="s">
        <v>1999</v>
      </c>
      <c r="B9812">
        <v>0</v>
      </c>
      <c r="C9812">
        <v>0</v>
      </c>
      <c r="D9812">
        <v>0</v>
      </c>
      <c r="E9812">
        <v>0</v>
      </c>
      <c r="F9812">
        <v>0</v>
      </c>
      <c r="G9812">
        <v>0</v>
      </c>
    </row>
    <row r="9813" spans="1:7" x14ac:dyDescent="0.2">
      <c r="A9813" t="s">
        <v>2004</v>
      </c>
      <c r="B9813">
        <v>0</v>
      </c>
      <c r="C9813">
        <v>0</v>
      </c>
      <c r="D9813">
        <v>0</v>
      </c>
      <c r="E9813">
        <v>0</v>
      </c>
      <c r="F9813">
        <v>0</v>
      </c>
      <c r="G9813">
        <v>0</v>
      </c>
    </row>
    <row r="9814" spans="1:7" x14ac:dyDescent="0.2">
      <c r="A9814" t="s">
        <v>2009</v>
      </c>
      <c r="B9814">
        <v>0</v>
      </c>
      <c r="C9814">
        <v>0</v>
      </c>
      <c r="D9814">
        <v>0</v>
      </c>
      <c r="E9814">
        <v>0</v>
      </c>
      <c r="F9814">
        <v>0</v>
      </c>
      <c r="G9814">
        <v>0</v>
      </c>
    </row>
    <row r="9815" spans="1:7" x14ac:dyDescent="0.2">
      <c r="A9815" t="s">
        <v>2014</v>
      </c>
      <c r="B9815">
        <v>0</v>
      </c>
      <c r="C9815">
        <v>0</v>
      </c>
      <c r="D9815">
        <v>0</v>
      </c>
      <c r="E9815">
        <v>0</v>
      </c>
      <c r="F9815">
        <v>0</v>
      </c>
      <c r="G9815">
        <v>0</v>
      </c>
    </row>
    <row r="9816" spans="1:7" x14ac:dyDescent="0.2">
      <c r="A9816" t="s">
        <v>2019</v>
      </c>
      <c r="B9816">
        <v>0</v>
      </c>
      <c r="C9816">
        <v>0</v>
      </c>
      <c r="D9816">
        <v>0</v>
      </c>
      <c r="E9816">
        <v>0</v>
      </c>
      <c r="F9816">
        <v>0</v>
      </c>
      <c r="G9816">
        <v>0</v>
      </c>
    </row>
    <row r="9817" spans="1:7" x14ac:dyDescent="0.2">
      <c r="A9817" t="s">
        <v>2023</v>
      </c>
      <c r="B9817">
        <v>0</v>
      </c>
      <c r="C9817">
        <v>0</v>
      </c>
      <c r="D9817">
        <v>0</v>
      </c>
      <c r="E9817">
        <v>0</v>
      </c>
      <c r="F9817">
        <v>0</v>
      </c>
      <c r="G9817">
        <v>0</v>
      </c>
    </row>
    <row r="9818" spans="1:7" x14ac:dyDescent="0.2">
      <c r="A9818" t="s">
        <v>2026</v>
      </c>
      <c r="B9818">
        <v>0</v>
      </c>
      <c r="C9818">
        <v>0</v>
      </c>
      <c r="D9818">
        <v>0</v>
      </c>
      <c r="E9818">
        <v>0</v>
      </c>
      <c r="F9818">
        <v>0</v>
      </c>
      <c r="G9818">
        <v>0</v>
      </c>
    </row>
    <row r="9819" spans="1:7" x14ac:dyDescent="0.2">
      <c r="A9819" t="s">
        <v>2030</v>
      </c>
      <c r="B9819">
        <v>0</v>
      </c>
      <c r="C9819">
        <v>0</v>
      </c>
      <c r="D9819">
        <v>0</v>
      </c>
      <c r="E9819">
        <v>0</v>
      </c>
      <c r="F9819">
        <v>0</v>
      </c>
      <c r="G9819">
        <v>0</v>
      </c>
    </row>
    <row r="9820" spans="1:7" x14ac:dyDescent="0.2">
      <c r="A9820" t="s">
        <v>2035</v>
      </c>
      <c r="B9820">
        <v>0</v>
      </c>
      <c r="C9820">
        <v>0</v>
      </c>
      <c r="D9820">
        <v>0</v>
      </c>
      <c r="E9820">
        <v>0</v>
      </c>
      <c r="F9820">
        <v>0</v>
      </c>
      <c r="G9820">
        <v>0</v>
      </c>
    </row>
    <row r="9821" spans="1:7" x14ac:dyDescent="0.2">
      <c r="A9821" t="s">
        <v>2040</v>
      </c>
      <c r="B9821">
        <v>0</v>
      </c>
      <c r="C9821">
        <v>0</v>
      </c>
      <c r="D9821">
        <v>0</v>
      </c>
      <c r="E9821">
        <v>0</v>
      </c>
      <c r="F9821">
        <v>0</v>
      </c>
      <c r="G9821">
        <v>0</v>
      </c>
    </row>
    <row r="9822" spans="1:7" x14ac:dyDescent="0.2">
      <c r="A9822" t="s">
        <v>2045</v>
      </c>
      <c r="B9822">
        <v>0</v>
      </c>
      <c r="C9822">
        <v>0</v>
      </c>
      <c r="D9822">
        <v>0</v>
      </c>
      <c r="E9822">
        <v>0</v>
      </c>
      <c r="F9822">
        <v>0</v>
      </c>
      <c r="G9822">
        <v>0</v>
      </c>
    </row>
    <row r="9823" spans="1:7" x14ac:dyDescent="0.2">
      <c r="A9823" t="s">
        <v>2049</v>
      </c>
      <c r="B9823">
        <v>0</v>
      </c>
      <c r="C9823">
        <v>0</v>
      </c>
      <c r="D9823">
        <v>0</v>
      </c>
      <c r="E9823">
        <v>0</v>
      </c>
      <c r="F9823">
        <v>0</v>
      </c>
      <c r="G9823">
        <v>0</v>
      </c>
    </row>
    <row r="9824" spans="1:7" x14ac:dyDescent="0.2">
      <c r="A9824" t="s">
        <v>2051</v>
      </c>
      <c r="B9824">
        <v>0</v>
      </c>
      <c r="C9824">
        <v>0</v>
      </c>
      <c r="D9824">
        <v>0</v>
      </c>
      <c r="E9824">
        <v>0</v>
      </c>
      <c r="F9824">
        <v>0</v>
      </c>
      <c r="G9824">
        <v>0</v>
      </c>
    </row>
    <row r="9825" spans="1:7" x14ac:dyDescent="0.2">
      <c r="A9825" t="s">
        <v>2057</v>
      </c>
      <c r="B9825">
        <v>0</v>
      </c>
      <c r="C9825">
        <v>0</v>
      </c>
      <c r="D9825">
        <v>0</v>
      </c>
      <c r="E9825">
        <v>0</v>
      </c>
      <c r="F9825">
        <v>0</v>
      </c>
      <c r="G9825">
        <v>0</v>
      </c>
    </row>
    <row r="9826" spans="1:7" x14ac:dyDescent="0.2">
      <c r="A9826" t="s">
        <v>4344</v>
      </c>
      <c r="B9826">
        <v>0</v>
      </c>
      <c r="C9826">
        <v>0</v>
      </c>
      <c r="D9826">
        <v>0</v>
      </c>
      <c r="E9826">
        <v>0</v>
      </c>
      <c r="F9826">
        <v>0</v>
      </c>
      <c r="G9826">
        <v>0</v>
      </c>
    </row>
    <row r="9827" spans="1:7" x14ac:dyDescent="0.2">
      <c r="A9827" t="s">
        <v>4345</v>
      </c>
      <c r="B9827">
        <v>0</v>
      </c>
      <c r="C9827">
        <v>0</v>
      </c>
      <c r="D9827">
        <v>0</v>
      </c>
      <c r="E9827">
        <v>0</v>
      </c>
      <c r="F9827">
        <v>0</v>
      </c>
      <c r="G9827">
        <v>0</v>
      </c>
    </row>
    <row r="9828" spans="1:7" x14ac:dyDescent="0.2">
      <c r="A9828" t="s">
        <v>2074</v>
      </c>
      <c r="B9828">
        <v>0</v>
      </c>
      <c r="C9828">
        <v>0</v>
      </c>
      <c r="D9828">
        <v>0</v>
      </c>
      <c r="E9828">
        <v>0</v>
      </c>
      <c r="F9828">
        <v>0</v>
      </c>
      <c r="G9828">
        <v>0</v>
      </c>
    </row>
    <row r="9829" spans="1:7" x14ac:dyDescent="0.2">
      <c r="A9829" t="s">
        <v>2079</v>
      </c>
      <c r="B9829">
        <v>0</v>
      </c>
      <c r="C9829">
        <v>0</v>
      </c>
      <c r="D9829">
        <v>0</v>
      </c>
      <c r="E9829">
        <v>0</v>
      </c>
      <c r="F9829">
        <v>0</v>
      </c>
      <c r="G9829">
        <v>0</v>
      </c>
    </row>
    <row r="9830" spans="1:7" x14ac:dyDescent="0.2">
      <c r="A9830" t="s">
        <v>2085</v>
      </c>
      <c r="B9830">
        <v>0</v>
      </c>
      <c r="C9830">
        <v>0</v>
      </c>
      <c r="D9830">
        <v>0</v>
      </c>
      <c r="E9830">
        <v>0</v>
      </c>
      <c r="F9830">
        <v>0</v>
      </c>
      <c r="G9830">
        <v>0</v>
      </c>
    </row>
    <row r="9831" spans="1:7" x14ac:dyDescent="0.2">
      <c r="A9831" t="s">
        <v>2091</v>
      </c>
      <c r="B9831">
        <v>0</v>
      </c>
      <c r="C9831">
        <v>0</v>
      </c>
      <c r="D9831">
        <v>0</v>
      </c>
      <c r="E9831">
        <v>0</v>
      </c>
      <c r="F9831">
        <v>0</v>
      </c>
      <c r="G9831">
        <v>0</v>
      </c>
    </row>
    <row r="9832" spans="1:7" x14ac:dyDescent="0.2">
      <c r="A9832" t="s">
        <v>2097</v>
      </c>
      <c r="B9832">
        <v>0</v>
      </c>
      <c r="C9832">
        <v>0</v>
      </c>
      <c r="D9832">
        <v>0</v>
      </c>
      <c r="E9832">
        <v>0</v>
      </c>
      <c r="F9832">
        <v>0</v>
      </c>
      <c r="G9832">
        <v>0</v>
      </c>
    </row>
    <row r="9833" spans="1:7" x14ac:dyDescent="0.2">
      <c r="A9833" t="s">
        <v>2101</v>
      </c>
      <c r="B9833">
        <v>0</v>
      </c>
      <c r="C9833">
        <v>0</v>
      </c>
      <c r="D9833">
        <v>0</v>
      </c>
      <c r="E9833">
        <v>0</v>
      </c>
      <c r="F9833">
        <v>0</v>
      </c>
      <c r="G9833">
        <v>0</v>
      </c>
    </row>
    <row r="9834" spans="1:7" x14ac:dyDescent="0.2">
      <c r="A9834" t="s">
        <v>2104</v>
      </c>
      <c r="B9834">
        <v>0</v>
      </c>
      <c r="C9834">
        <v>0</v>
      </c>
      <c r="D9834">
        <v>0</v>
      </c>
      <c r="E9834">
        <v>0</v>
      </c>
      <c r="F9834">
        <v>0</v>
      </c>
      <c r="G9834">
        <v>0</v>
      </c>
    </row>
    <row r="9835" spans="1:7" x14ac:dyDescent="0.2">
      <c r="A9835" t="s">
        <v>2107</v>
      </c>
      <c r="B9835">
        <v>0</v>
      </c>
      <c r="C9835">
        <v>0</v>
      </c>
      <c r="D9835">
        <v>0</v>
      </c>
      <c r="E9835">
        <v>0</v>
      </c>
      <c r="F9835">
        <v>0</v>
      </c>
      <c r="G9835">
        <v>0</v>
      </c>
    </row>
    <row r="9836" spans="1:7" x14ac:dyDescent="0.2">
      <c r="A9836" t="s">
        <v>2110</v>
      </c>
      <c r="B9836">
        <v>0</v>
      </c>
      <c r="C9836">
        <v>0</v>
      </c>
      <c r="D9836">
        <v>0</v>
      </c>
      <c r="E9836">
        <v>0</v>
      </c>
      <c r="F9836">
        <v>0</v>
      </c>
      <c r="G9836">
        <v>0</v>
      </c>
    </row>
    <row r="9837" spans="1:7" x14ac:dyDescent="0.2">
      <c r="A9837" t="s">
        <v>2113</v>
      </c>
      <c r="B9837">
        <v>0</v>
      </c>
      <c r="C9837">
        <v>0</v>
      </c>
      <c r="D9837">
        <v>0</v>
      </c>
      <c r="E9837">
        <v>0</v>
      </c>
      <c r="F9837">
        <v>0</v>
      </c>
      <c r="G9837">
        <v>0</v>
      </c>
    </row>
    <row r="9838" spans="1:7" x14ac:dyDescent="0.2">
      <c r="A9838" t="s">
        <v>4346</v>
      </c>
      <c r="B9838">
        <v>0</v>
      </c>
      <c r="C9838">
        <v>0</v>
      </c>
      <c r="D9838">
        <v>0</v>
      </c>
      <c r="E9838">
        <v>0</v>
      </c>
      <c r="F9838">
        <v>0</v>
      </c>
      <c r="G9838">
        <v>0</v>
      </c>
    </row>
    <row r="9839" spans="1:7" x14ac:dyDescent="0.2">
      <c r="A9839" t="s">
        <v>4347</v>
      </c>
      <c r="B9839">
        <v>0</v>
      </c>
      <c r="C9839">
        <v>0</v>
      </c>
      <c r="D9839">
        <v>0</v>
      </c>
      <c r="E9839">
        <v>0</v>
      </c>
      <c r="F9839">
        <v>993</v>
      </c>
      <c r="G9839">
        <v>993</v>
      </c>
    </row>
    <row r="9840" spans="1:7" x14ac:dyDescent="0.2">
      <c r="A9840" t="s">
        <v>4348</v>
      </c>
      <c r="B9840">
        <v>0</v>
      </c>
      <c r="C9840">
        <v>0</v>
      </c>
      <c r="D9840">
        <v>0</v>
      </c>
      <c r="E9840">
        <v>0</v>
      </c>
      <c r="F9840">
        <v>0</v>
      </c>
      <c r="G9840">
        <v>0</v>
      </c>
    </row>
    <row r="9841" spans="1:7" x14ac:dyDescent="0.2">
      <c r="A9841" t="s">
        <v>4349</v>
      </c>
      <c r="B9841">
        <v>0</v>
      </c>
      <c r="C9841">
        <v>0</v>
      </c>
      <c r="D9841">
        <v>0</v>
      </c>
      <c r="E9841">
        <v>0</v>
      </c>
      <c r="F9841">
        <v>0</v>
      </c>
      <c r="G9841">
        <v>0</v>
      </c>
    </row>
    <row r="9842" spans="1:7" x14ac:dyDescent="0.2">
      <c r="A9842" t="s">
        <v>4350</v>
      </c>
      <c r="B9842">
        <v>0</v>
      </c>
      <c r="C9842">
        <v>8</v>
      </c>
      <c r="D9842">
        <v>106</v>
      </c>
      <c r="E9842">
        <v>0</v>
      </c>
      <c r="F9842">
        <v>0</v>
      </c>
      <c r="G9842">
        <v>115</v>
      </c>
    </row>
    <row r="9843" spans="1:7" x14ac:dyDescent="0.2">
      <c r="A9843" t="s">
        <v>4351</v>
      </c>
      <c r="B9843">
        <v>0</v>
      </c>
      <c r="C9843">
        <v>0</v>
      </c>
      <c r="D9843">
        <v>0</v>
      </c>
      <c r="E9843">
        <v>0</v>
      </c>
      <c r="F9843">
        <v>0</v>
      </c>
      <c r="G9843">
        <v>0</v>
      </c>
    </row>
    <row r="9844" spans="1:7" x14ac:dyDescent="0.2">
      <c r="A9844" t="s">
        <v>4352</v>
      </c>
      <c r="B9844">
        <v>0</v>
      </c>
      <c r="C9844">
        <v>0</v>
      </c>
      <c r="D9844">
        <v>0</v>
      </c>
      <c r="E9844">
        <v>0</v>
      </c>
      <c r="F9844">
        <v>0</v>
      </c>
      <c r="G9844">
        <v>0</v>
      </c>
    </row>
    <row r="9845" spans="1:7" x14ac:dyDescent="0.2">
      <c r="A9845" t="s">
        <v>4353</v>
      </c>
      <c r="B9845">
        <v>1</v>
      </c>
      <c r="C9845">
        <v>290</v>
      </c>
      <c r="D9845">
        <v>114</v>
      </c>
      <c r="E9845">
        <v>9</v>
      </c>
      <c r="F9845">
        <v>0</v>
      </c>
      <c r="G9845">
        <v>414</v>
      </c>
    </row>
    <row r="9846" spans="1:7" x14ac:dyDescent="0.2">
      <c r="A9846" t="s">
        <v>4354</v>
      </c>
      <c r="B9846">
        <v>2</v>
      </c>
      <c r="C9846">
        <v>161</v>
      </c>
      <c r="D9846">
        <v>72</v>
      </c>
      <c r="E9846">
        <v>2</v>
      </c>
      <c r="F9846">
        <v>0</v>
      </c>
      <c r="G9846">
        <v>237</v>
      </c>
    </row>
    <row r="9847" spans="1:7" x14ac:dyDescent="0.2">
      <c r="A9847" t="s">
        <v>4355</v>
      </c>
      <c r="B9847">
        <v>0</v>
      </c>
      <c r="C9847">
        <v>0</v>
      </c>
      <c r="D9847">
        <v>0</v>
      </c>
      <c r="E9847">
        <v>0</v>
      </c>
      <c r="F9847">
        <v>0</v>
      </c>
      <c r="G9847">
        <v>0</v>
      </c>
    </row>
    <row r="9848" spans="1:7" x14ac:dyDescent="0.2">
      <c r="A9848" t="s">
        <v>4356</v>
      </c>
      <c r="B9848">
        <v>0</v>
      </c>
      <c r="C9848">
        <v>0</v>
      </c>
      <c r="D9848">
        <v>0</v>
      </c>
      <c r="E9848">
        <v>0</v>
      </c>
      <c r="F9848">
        <v>0</v>
      </c>
      <c r="G9848">
        <v>0</v>
      </c>
    </row>
    <row r="9849" spans="1:7" x14ac:dyDescent="0.2">
      <c r="A9849" t="s">
        <v>4357</v>
      </c>
      <c r="B9849">
        <v>0</v>
      </c>
      <c r="C9849">
        <v>11</v>
      </c>
      <c r="D9849">
        <v>15</v>
      </c>
      <c r="E9849">
        <v>0</v>
      </c>
      <c r="F9849">
        <v>0</v>
      </c>
      <c r="G9849">
        <v>25</v>
      </c>
    </row>
    <row r="9850" spans="1:7" x14ac:dyDescent="0.2">
      <c r="A9850" t="s">
        <v>4358</v>
      </c>
      <c r="B9850">
        <v>0</v>
      </c>
      <c r="C9850">
        <v>3</v>
      </c>
      <c r="D9850">
        <v>1</v>
      </c>
      <c r="E9850">
        <v>0</v>
      </c>
      <c r="F9850">
        <v>0</v>
      </c>
      <c r="G9850">
        <v>4</v>
      </c>
    </row>
    <row r="9851" spans="1:7" x14ac:dyDescent="0.2">
      <c r="A9851" t="s">
        <v>4359</v>
      </c>
      <c r="B9851">
        <v>0</v>
      </c>
      <c r="C9851">
        <v>0</v>
      </c>
      <c r="D9851">
        <v>0</v>
      </c>
      <c r="E9851">
        <v>0</v>
      </c>
      <c r="F9851">
        <v>0</v>
      </c>
      <c r="G9851">
        <v>0</v>
      </c>
    </row>
    <row r="9852" spans="1:7" x14ac:dyDescent="0.2">
      <c r="A9852" t="s">
        <v>4360</v>
      </c>
      <c r="B9852">
        <v>0</v>
      </c>
      <c r="C9852">
        <v>0</v>
      </c>
      <c r="D9852">
        <v>0</v>
      </c>
      <c r="E9852">
        <v>10</v>
      </c>
      <c r="F9852">
        <v>0</v>
      </c>
      <c r="G9852">
        <v>11</v>
      </c>
    </row>
    <row r="9853" spans="1:7" x14ac:dyDescent="0.2">
      <c r="A9853" t="s">
        <v>4361</v>
      </c>
      <c r="B9853">
        <v>0</v>
      </c>
      <c r="C9853">
        <v>0</v>
      </c>
      <c r="D9853">
        <v>304</v>
      </c>
      <c r="E9853">
        <v>14</v>
      </c>
      <c r="F9853">
        <v>0</v>
      </c>
      <c r="G9853">
        <v>319</v>
      </c>
    </row>
    <row r="9854" spans="1:7" x14ac:dyDescent="0.2">
      <c r="A9854" t="s">
        <v>4362</v>
      </c>
      <c r="B9854">
        <v>0</v>
      </c>
      <c r="C9854">
        <v>0</v>
      </c>
      <c r="D9854">
        <v>0</v>
      </c>
      <c r="E9854">
        <v>62</v>
      </c>
      <c r="F9854">
        <v>0</v>
      </c>
      <c r="G9854">
        <v>63</v>
      </c>
    </row>
    <row r="9855" spans="1:7" x14ac:dyDescent="0.2">
      <c r="A9855" t="s">
        <v>4363</v>
      </c>
      <c r="B9855">
        <v>0</v>
      </c>
      <c r="C9855">
        <v>0</v>
      </c>
      <c r="D9855">
        <v>0</v>
      </c>
      <c r="E9855">
        <v>0</v>
      </c>
      <c r="F9855">
        <v>0</v>
      </c>
      <c r="G9855">
        <v>0</v>
      </c>
    </row>
    <row r="9856" spans="1:7" x14ac:dyDescent="0.2">
      <c r="A9856" t="s">
        <v>4364</v>
      </c>
      <c r="B9856">
        <v>0</v>
      </c>
      <c r="C9856">
        <v>0</v>
      </c>
      <c r="D9856">
        <v>0</v>
      </c>
      <c r="E9856">
        <v>0</v>
      </c>
      <c r="F9856">
        <v>0</v>
      </c>
      <c r="G9856">
        <v>0</v>
      </c>
    </row>
    <row r="9857" spans="1:7" x14ac:dyDescent="0.2">
      <c r="A9857" t="s">
        <v>4365</v>
      </c>
      <c r="B9857">
        <v>1</v>
      </c>
      <c r="C9857">
        <v>126</v>
      </c>
      <c r="D9857">
        <v>82</v>
      </c>
      <c r="E9857">
        <v>0</v>
      </c>
      <c r="F9857">
        <v>0</v>
      </c>
      <c r="G9857">
        <v>210</v>
      </c>
    </row>
    <row r="9858" spans="1:7" x14ac:dyDescent="0.2">
      <c r="A9858" t="s">
        <v>4366</v>
      </c>
      <c r="B9858">
        <v>0</v>
      </c>
      <c r="C9858">
        <v>0</v>
      </c>
      <c r="D9858">
        <v>0</v>
      </c>
      <c r="E9858">
        <v>0</v>
      </c>
      <c r="F9858">
        <v>0</v>
      </c>
      <c r="G9858">
        <v>0</v>
      </c>
    </row>
    <row r="9859" spans="1:7" x14ac:dyDescent="0.2">
      <c r="A9859" t="s">
        <v>4367</v>
      </c>
      <c r="B9859">
        <v>0</v>
      </c>
      <c r="C9859">
        <v>96</v>
      </c>
      <c r="D9859">
        <v>0</v>
      </c>
      <c r="E9859">
        <v>0</v>
      </c>
      <c r="F9859">
        <v>0</v>
      </c>
      <c r="G9859">
        <v>96</v>
      </c>
    </row>
    <row r="9860" spans="1:7" x14ac:dyDescent="0.2">
      <c r="A9860" t="s">
        <v>4368</v>
      </c>
      <c r="B9860">
        <v>15</v>
      </c>
      <c r="C9860">
        <v>56</v>
      </c>
      <c r="D9860">
        <v>74</v>
      </c>
      <c r="E9860">
        <v>385</v>
      </c>
      <c r="F9860">
        <v>33</v>
      </c>
      <c r="G9860">
        <v>563</v>
      </c>
    </row>
    <row r="9861" spans="1:7" x14ac:dyDescent="0.2">
      <c r="A9861" t="s">
        <v>4369</v>
      </c>
      <c r="B9861">
        <v>0</v>
      </c>
      <c r="C9861">
        <v>56</v>
      </c>
      <c r="D9861">
        <v>356</v>
      </c>
      <c r="E9861">
        <v>96</v>
      </c>
      <c r="F9861">
        <v>0</v>
      </c>
      <c r="G9861">
        <v>508</v>
      </c>
    </row>
    <row r="9862" spans="1:7" x14ac:dyDescent="0.2">
      <c r="A9862" t="s">
        <v>4370</v>
      </c>
      <c r="B9862">
        <v>90</v>
      </c>
      <c r="C9862">
        <v>72</v>
      </c>
      <c r="D9862">
        <v>68</v>
      </c>
      <c r="E9862">
        <v>7</v>
      </c>
      <c r="F9862">
        <v>0</v>
      </c>
      <c r="G9862">
        <v>237</v>
      </c>
    </row>
    <row r="9863" spans="1:7" x14ac:dyDescent="0.2">
      <c r="A9863" t="s">
        <v>4371</v>
      </c>
      <c r="B9863">
        <v>24</v>
      </c>
      <c r="C9863">
        <v>23</v>
      </c>
      <c r="D9863">
        <v>39</v>
      </c>
      <c r="E9863">
        <v>21</v>
      </c>
      <c r="F9863">
        <v>0</v>
      </c>
      <c r="G9863">
        <v>107</v>
      </c>
    </row>
    <row r="9864" spans="1:7" x14ac:dyDescent="0.2">
      <c r="A9864" t="s">
        <v>4372</v>
      </c>
      <c r="B9864">
        <v>0</v>
      </c>
      <c r="C9864">
        <v>0</v>
      </c>
      <c r="D9864">
        <v>0</v>
      </c>
      <c r="E9864">
        <v>0</v>
      </c>
      <c r="F9864">
        <v>0</v>
      </c>
      <c r="G9864">
        <v>0</v>
      </c>
    </row>
    <row r="9865" spans="1:7" x14ac:dyDescent="0.2">
      <c r="A9865" t="s">
        <v>4373</v>
      </c>
      <c r="B9865">
        <v>0</v>
      </c>
      <c r="C9865">
        <v>0</v>
      </c>
      <c r="D9865">
        <v>19</v>
      </c>
      <c r="E9865">
        <v>15</v>
      </c>
      <c r="F9865">
        <v>0</v>
      </c>
      <c r="G9865">
        <v>34</v>
      </c>
    </row>
    <row r="9866" spans="1:7" x14ac:dyDescent="0.2">
      <c r="A9866" t="s">
        <v>4374</v>
      </c>
      <c r="B9866">
        <v>0</v>
      </c>
      <c r="C9866">
        <v>0</v>
      </c>
      <c r="D9866">
        <v>24</v>
      </c>
      <c r="E9866">
        <v>0</v>
      </c>
      <c r="F9866">
        <v>0</v>
      </c>
      <c r="G9866">
        <v>24</v>
      </c>
    </row>
    <row r="9867" spans="1:7" x14ac:dyDescent="0.2">
      <c r="A9867" t="s">
        <v>4375</v>
      </c>
      <c r="B9867">
        <v>0</v>
      </c>
      <c r="C9867">
        <v>15</v>
      </c>
      <c r="D9867">
        <v>69</v>
      </c>
      <c r="E9867">
        <v>5</v>
      </c>
      <c r="F9867">
        <v>0</v>
      </c>
      <c r="G9867">
        <v>88</v>
      </c>
    </row>
    <row r="9868" spans="1:7" x14ac:dyDescent="0.2">
      <c r="A9868" t="s">
        <v>4376</v>
      </c>
      <c r="B9868">
        <v>0</v>
      </c>
      <c r="C9868">
        <v>0</v>
      </c>
      <c r="D9868">
        <v>17</v>
      </c>
      <c r="E9868">
        <v>0</v>
      </c>
      <c r="F9868">
        <v>0</v>
      </c>
      <c r="G9868">
        <v>17</v>
      </c>
    </row>
    <row r="9869" spans="1:7" x14ac:dyDescent="0.2">
      <c r="A9869" t="s">
        <v>4377</v>
      </c>
      <c r="B9869">
        <v>0</v>
      </c>
      <c r="C9869">
        <v>0</v>
      </c>
      <c r="D9869">
        <v>23</v>
      </c>
      <c r="E9869">
        <v>0</v>
      </c>
      <c r="F9869">
        <v>0</v>
      </c>
      <c r="G9869">
        <v>23</v>
      </c>
    </row>
    <row r="9870" spans="1:7" x14ac:dyDescent="0.2">
      <c r="A9870" t="s">
        <v>2318</v>
      </c>
      <c r="B9870" t="s">
        <v>2319</v>
      </c>
      <c r="C9870" t="s">
        <v>2319</v>
      </c>
      <c r="D9870" t="s">
        <v>2319</v>
      </c>
      <c r="E9870" t="s">
        <v>2319</v>
      </c>
      <c r="F9870" t="s">
        <v>2319</v>
      </c>
      <c r="G9870" t="s">
        <v>2319</v>
      </c>
    </row>
  </sheetData>
  <phoneticPr fontId="0" type="noConversion"/>
  <hyperlinks>
    <hyperlink ref="K8" location="Table2PRN!A1055" display="Stock:StillySnoh Unmarked" xr:uid="{00000000-0004-0000-1500-000000000000}"/>
    <hyperlink ref="K9" location="Table2PRN!A1265" display="Stock:StillySnoh Marked" xr:uid="{00000000-0004-0000-1500-000001000000}"/>
    <hyperlink ref="K10" location="Table2PRN!A1475" display="Stock:HoodCanal Wild" xr:uid="{00000000-0004-0000-1500-000002000000}"/>
    <hyperlink ref="K11" location="Table2PRN!A1685" display="Stock:HoodCanal Unmarked" xr:uid="{00000000-0004-0000-1500-000003000000}"/>
    <hyperlink ref="K12" location="Table2PRN!A1895" display="Stock:HoodCanal Marked" xr:uid="{00000000-0004-0000-1500-000004000000}"/>
    <hyperlink ref="K13" location="Table2PRN!A2105" display="Stock:Straits Wild" xr:uid="{00000000-0004-0000-1500-000005000000}"/>
    <hyperlink ref="K14" location="Table2PRN!A2315" display="Stock:Straits Unmarked" xr:uid="{00000000-0004-0000-1500-000006000000}"/>
    <hyperlink ref="K15" location="Table2PRN!A2525" display="Stock:Straits Marked" xr:uid="{00000000-0004-0000-1500-000007000000}"/>
    <hyperlink ref="K16" location="Table2PRN!A2735" display="Stock:Quill Fall Wild" xr:uid="{00000000-0004-0000-1500-000008000000}"/>
    <hyperlink ref="K17" location="Table2PRN!A2945" display="Stock:Hoh Wild" xr:uid="{00000000-0004-0000-1500-000009000000}"/>
    <hyperlink ref="K18" location="Table2PRN!A3155" display="Stock:Quil F Unmarked" xr:uid="{00000000-0004-0000-1500-00000A000000}"/>
    <hyperlink ref="K19" location="Table2PRN!A3365" display="Stock:Quil F Marked" xr:uid="{00000000-0004-0000-1500-00000B000000}"/>
    <hyperlink ref="K20" location="Table2PRN!A3575" display="Stock:Queets Wild" xr:uid="{00000000-0004-0000-1500-00000C000000}"/>
    <hyperlink ref="K21" location="Table2PRN!A3785" display="Stock:Queets Supplemental" xr:uid="{00000000-0004-0000-1500-00000D000000}"/>
    <hyperlink ref="K22" location="Table2PRN!A3995" display="Stock:Queets Hatchery" xr:uid="{00000000-0004-0000-1500-00000E000000}"/>
    <hyperlink ref="K23" location="Table2PRN!A4205" display="Stock:Queets Unmarked" xr:uid="{00000000-0004-0000-1500-00000F000000}"/>
    <hyperlink ref="K24" location="Table2PRN!A4415" display="Stock:Queets Marked" xr:uid="{00000000-0004-0000-1500-000010000000}"/>
    <hyperlink ref="K25" location="Table2PRN!A4625" display="Stock:Grays Harbor Wild" xr:uid="{00000000-0004-0000-1500-000011000000}"/>
    <hyperlink ref="K26" location="Table2PRN!A4835" display="Stock:Grays Harbor Unmarked" xr:uid="{00000000-0004-0000-1500-000012000000}"/>
    <hyperlink ref="K27" location="Table2PRN!A5045" display="Stock:Grays Harbor Marked" xr:uid="{00000000-0004-0000-1500-000013000000}"/>
    <hyperlink ref="K28" location="Table2PRN!A5255" display="Stock:South Sound Wild" xr:uid="{00000000-0004-0000-1500-000014000000}"/>
    <hyperlink ref="K29" location="Table2PRN!A5465" display="Stock:South Sound Unmarked" xr:uid="{00000000-0004-0000-1500-000015000000}"/>
    <hyperlink ref="K30" location="Table2PRN!A5675" display="Stock:South Sound Marked" xr:uid="{00000000-0004-0000-1500-000016000000}"/>
    <hyperlink ref="K31" location="Table2PRN!A5885" display="Stock:Nook/Sam Wild" xr:uid="{00000000-0004-0000-1500-000017000000}"/>
    <hyperlink ref="K32" location="Table2PRN!A6095" display="Stock:Nook/Sam Unmarked" xr:uid="{00000000-0004-0000-1500-000018000000}"/>
    <hyperlink ref="K33" location="Table2PRN!A6305" display="Stock:Nook/Sam Marked" xr:uid="{00000000-0004-0000-1500-000019000000}"/>
    <hyperlink ref="K34" location="Table2PRN!A6515" display="Stock:All stocks Unmarked" xr:uid="{00000000-0004-0000-1500-00001A000000}"/>
    <hyperlink ref="K35" location="Table2PRN!A6725" display="Stock:All Stocks Marked" xr:uid="{00000000-0004-0000-1500-00001B000000}"/>
    <hyperlink ref="K36" location="Table2PRN!A6935" display="Stock:Col Early Unmarked" xr:uid="{00000000-0004-0000-1500-00001C000000}"/>
    <hyperlink ref="K37" location="Table2PRN!A7145" display="Stock:Col Early Marked" xr:uid="{00000000-0004-0000-1500-00001D000000}"/>
    <hyperlink ref="K38" location="Table2PRN!A7355" display="Stock:Col Late Unmarked" xr:uid="{00000000-0004-0000-1500-00001E000000}"/>
    <hyperlink ref="K39" location="Table2PRN!A7565" display="Stock:Col Late Marked" xr:uid="{00000000-0004-0000-1500-00001F000000}"/>
    <hyperlink ref="K40" location="Table2PRN!A7775" display="Stock:Col Early Wild (S&amp;C)" xr:uid="{00000000-0004-0000-1500-000020000000}"/>
    <hyperlink ref="K41" location="Table2PRN!A7985" display="Stock:Col Late Wild (Clkms)" xr:uid="{00000000-0004-0000-1500-000021000000}"/>
    <hyperlink ref="K42" location="Table2PRN!A8195" display="Stock:OR Coast Wild" xr:uid="{00000000-0004-0000-1500-000022000000}"/>
    <hyperlink ref="K43" location="Table2PRN!A8405" display="Stock:Rogue/Klamath Unm" xr:uid="{00000000-0004-0000-1500-000023000000}"/>
    <hyperlink ref="K44" location="Table2PRN!A8615" display="Stock:Tulalip Hatchery" xr:uid="{00000000-0004-0000-1500-000024000000}"/>
    <hyperlink ref="K45" location="Table2PRN!A8825" display="Stock:Snohomish Hatchery" xr:uid="{00000000-0004-0000-1500-000025000000}"/>
    <hyperlink ref="K46" location="Table2PRN!A9035" display="Stock:OR Col Wild" xr:uid="{00000000-0004-0000-1500-000026000000}"/>
    <hyperlink ref="K47" location="Table2PRN!A9245" display="Stock:WA Early Wild" xr:uid="{00000000-0004-0000-1500-000027000000}"/>
    <hyperlink ref="K48" location="Table2PRN!A9455" display="Stock:WA Late Wild" xr:uid="{00000000-0004-0000-1500-000028000000}"/>
    <hyperlink ref="K49" location="Table2PRN!A9665" display="Stock:Upper Fraser Wild" xr:uid="{00000000-0004-0000-1500-000029000000}"/>
    <hyperlink ref="K3" location="Table2PRN!A5" display="Stock:Skagit Wild" xr:uid="{00000000-0004-0000-1500-00002A000000}"/>
    <hyperlink ref="K4" location="Table2PRN!A215" display="Stock:Skagit Unmarked" xr:uid="{00000000-0004-0000-1500-00002B000000}"/>
    <hyperlink ref="K5" location="Table2PRN!A425" display="Stock:Skagit Marked" xr:uid="{00000000-0004-0000-1500-00002C000000}"/>
    <hyperlink ref="K6" location="Table2PRN!A635" display="Stock:Stilly Wild" xr:uid="{00000000-0004-0000-1500-00002D000000}"/>
    <hyperlink ref="K7" location="Table2PRN!A845" display="Stock:Snohomish Wild" xr:uid="{00000000-0004-0000-1500-00002E000000}"/>
    <hyperlink ref="K51" location="Table2PRN!J6629" display="Link to Area 8D fishery target harvest rates on marked stocks" xr:uid="{00000000-0004-0000-1500-00002F000000}"/>
  </hyperlinks>
  <pageMargins left="0.75" right="0.75" top="1" bottom="1" header="0.5" footer="0.5"/>
  <pageSetup orientation="portrait"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dimension ref="A1:S1387"/>
  <sheetViews>
    <sheetView topLeftCell="A7" zoomScaleNormal="100" workbookViewId="0">
      <selection activeCell="D20" sqref="D20"/>
    </sheetView>
  </sheetViews>
  <sheetFormatPr defaultRowHeight="12.75" x14ac:dyDescent="0.2"/>
  <cols>
    <col min="1" max="1" width="25.28515625" customWidth="1"/>
    <col min="2" max="2" width="12.85546875" customWidth="1"/>
    <col min="3" max="3" width="12.28515625" customWidth="1"/>
    <col min="4" max="4" width="19.5703125" customWidth="1"/>
    <col min="5" max="5" width="13.5703125" customWidth="1"/>
    <col min="6" max="10" width="9.140625" customWidth="1"/>
    <col min="11" max="11" width="14.5703125" customWidth="1"/>
    <col min="12" max="12" width="9.140625" customWidth="1"/>
    <col min="14" max="14" width="53.5703125" customWidth="1"/>
    <col min="15" max="15" width="63.5703125" customWidth="1"/>
    <col min="16" max="16" width="11.5703125" customWidth="1"/>
    <col min="17" max="17" width="31.28515625" customWidth="1"/>
    <col min="18" max="18" width="25.5703125" bestFit="1" customWidth="1"/>
    <col min="19" max="19" width="11.28515625" customWidth="1"/>
  </cols>
  <sheetData>
    <row r="1" spans="1:19" x14ac:dyDescent="0.2">
      <c r="A1" t="s">
        <v>4248</v>
      </c>
    </row>
    <row r="2" spans="1:19" x14ac:dyDescent="0.2">
      <c r="A2" t="s">
        <v>4250</v>
      </c>
      <c r="C2" t="s">
        <v>4251</v>
      </c>
      <c r="G2" t="s">
        <v>7535</v>
      </c>
    </row>
    <row r="3" spans="1:19" x14ac:dyDescent="0.2">
      <c r="A3" t="s">
        <v>5067</v>
      </c>
      <c r="G3" t="s">
        <v>7545</v>
      </c>
    </row>
    <row r="4" spans="1:19" x14ac:dyDescent="0.2">
      <c r="A4" t="s">
        <v>7530</v>
      </c>
    </row>
    <row r="7" spans="1:19" x14ac:dyDescent="0.2">
      <c r="A7" t="s">
        <v>2318</v>
      </c>
      <c r="B7" t="s">
        <v>2319</v>
      </c>
      <c r="C7" t="s">
        <v>2319</v>
      </c>
      <c r="D7" t="s">
        <v>2319</v>
      </c>
      <c r="K7" s="37" t="s">
        <v>5068</v>
      </c>
    </row>
    <row r="8" spans="1:19" x14ac:dyDescent="0.2">
      <c r="A8" t="s">
        <v>545</v>
      </c>
      <c r="B8" t="s">
        <v>2315</v>
      </c>
      <c r="C8" s="180" t="s">
        <v>444</v>
      </c>
      <c r="D8" s="550" t="s">
        <v>5069</v>
      </c>
    </row>
    <row r="9" spans="1:19" x14ac:dyDescent="0.2">
      <c r="A9" t="s">
        <v>2318</v>
      </c>
      <c r="B9" t="s">
        <v>2319</v>
      </c>
      <c r="C9" t="s">
        <v>2319</v>
      </c>
      <c r="D9" t="s">
        <v>2319</v>
      </c>
      <c r="K9" s="37" t="s">
        <v>4914</v>
      </c>
    </row>
    <row r="10" spans="1:19" ht="28.5" customHeight="1" x14ac:dyDescent="0.2">
      <c r="K10" s="180" t="s">
        <v>4916</v>
      </c>
      <c r="L10" s="180" t="s">
        <v>4917</v>
      </c>
      <c r="M10" s="180" t="s">
        <v>4918</v>
      </c>
      <c r="N10" s="954" t="s">
        <v>5070</v>
      </c>
      <c r="O10" s="954" t="s">
        <v>5071</v>
      </c>
      <c r="P10" s="1379" t="s">
        <v>5072</v>
      </c>
      <c r="Q10" s="956" t="s">
        <v>5073</v>
      </c>
      <c r="R10" s="180" t="s">
        <v>5074</v>
      </c>
      <c r="S10" s="1379" t="s">
        <v>5075</v>
      </c>
    </row>
    <row r="11" spans="1:19" x14ac:dyDescent="0.2">
      <c r="A11" t="s">
        <v>2325</v>
      </c>
      <c r="B11">
        <v>68671</v>
      </c>
      <c r="C11" s="1102">
        <v>48854</v>
      </c>
      <c r="D11" s="38">
        <v>69208.884197564505</v>
      </c>
      <c r="K11" s="180" t="s">
        <v>5076</v>
      </c>
      <c r="L11" s="180" t="s">
        <v>1367</v>
      </c>
      <c r="M11" s="180">
        <v>2</v>
      </c>
      <c r="N11" s="955" t="s">
        <v>4928</v>
      </c>
      <c r="O11" s="955" t="s">
        <v>5077</v>
      </c>
      <c r="P11" s="180" t="s">
        <v>5078</v>
      </c>
      <c r="Q11" s="955" t="s">
        <v>1181</v>
      </c>
      <c r="R11" s="180" t="s">
        <v>2325</v>
      </c>
      <c r="S11" s="180">
        <v>1</v>
      </c>
    </row>
    <row r="12" spans="1:19" x14ac:dyDescent="0.2">
      <c r="A12" t="s">
        <v>2331</v>
      </c>
      <c r="B12">
        <v>22640</v>
      </c>
      <c r="C12" s="1102">
        <v>16017</v>
      </c>
      <c r="D12" s="38">
        <v>22795.441970847802</v>
      </c>
      <c r="K12" s="180" t="s">
        <v>5076</v>
      </c>
      <c r="L12" s="180" t="s">
        <v>1367</v>
      </c>
      <c r="M12" s="180">
        <v>2</v>
      </c>
      <c r="N12" s="955" t="s">
        <v>4937</v>
      </c>
      <c r="O12" s="955" t="s">
        <v>5079</v>
      </c>
      <c r="P12" s="180" t="s">
        <v>5078</v>
      </c>
      <c r="Q12" s="955" t="s">
        <v>1181</v>
      </c>
      <c r="R12" s="180" t="s">
        <v>2331</v>
      </c>
      <c r="S12" s="180">
        <v>2</v>
      </c>
    </row>
    <row r="13" spans="1:19" x14ac:dyDescent="0.2">
      <c r="A13" t="s">
        <v>2332</v>
      </c>
      <c r="B13">
        <v>58157</v>
      </c>
      <c r="C13" s="1102">
        <v>42871</v>
      </c>
      <c r="D13" s="38">
        <v>58524.624540259996</v>
      </c>
      <c r="K13" s="180" t="s">
        <v>5076</v>
      </c>
      <c r="L13" s="180" t="s">
        <v>1367</v>
      </c>
      <c r="M13" s="180">
        <v>2</v>
      </c>
      <c r="N13" s="955" t="s">
        <v>4940</v>
      </c>
      <c r="O13" s="955" t="s">
        <v>5080</v>
      </c>
      <c r="P13" s="180" t="s">
        <v>5078</v>
      </c>
      <c r="Q13" s="955" t="s">
        <v>1181</v>
      </c>
      <c r="R13" s="180" t="s">
        <v>2332</v>
      </c>
      <c r="S13" s="180">
        <v>3</v>
      </c>
    </row>
    <row r="14" spans="1:19" x14ac:dyDescent="0.2">
      <c r="A14" t="s">
        <v>2335</v>
      </c>
      <c r="B14">
        <v>14946</v>
      </c>
      <c r="C14" s="1102">
        <v>11350</v>
      </c>
      <c r="D14" s="38">
        <v>15058.80879543998</v>
      </c>
      <c r="K14" s="180" t="s">
        <v>5076</v>
      </c>
      <c r="L14" s="180" t="s">
        <v>1367</v>
      </c>
      <c r="M14" s="180">
        <v>2</v>
      </c>
      <c r="N14" s="955" t="s">
        <v>4954</v>
      </c>
      <c r="O14" s="955" t="s">
        <v>5081</v>
      </c>
      <c r="P14" s="180" t="s">
        <v>5078</v>
      </c>
      <c r="Q14" s="955" t="s">
        <v>1181</v>
      </c>
      <c r="R14" s="180" t="s">
        <v>2335</v>
      </c>
      <c r="S14" s="180">
        <v>4</v>
      </c>
    </row>
    <row r="15" spans="1:19" x14ac:dyDescent="0.2">
      <c r="A15" t="s">
        <v>2339</v>
      </c>
      <c r="B15">
        <v>6519</v>
      </c>
      <c r="C15" s="1102">
        <v>6519</v>
      </c>
      <c r="D15" s="1103">
        <v>6519.3013150831666</v>
      </c>
      <c r="K15" s="180" t="s">
        <v>5076</v>
      </c>
      <c r="L15" s="180" t="s">
        <v>1367</v>
      </c>
      <c r="M15" s="180">
        <v>2</v>
      </c>
      <c r="N15" s="955" t="s">
        <v>4963</v>
      </c>
      <c r="O15" s="955" t="s">
        <v>5082</v>
      </c>
      <c r="P15" s="180" t="s">
        <v>5078</v>
      </c>
      <c r="Q15" s="955" t="s">
        <v>1181</v>
      </c>
      <c r="R15" s="180" t="s">
        <v>2339</v>
      </c>
      <c r="S15" s="180">
        <v>5</v>
      </c>
    </row>
    <row r="16" spans="1:19" x14ac:dyDescent="0.2">
      <c r="A16" t="s">
        <v>2341</v>
      </c>
      <c r="B16">
        <v>11540</v>
      </c>
      <c r="C16">
        <v>8845</v>
      </c>
      <c r="D16" s="1103">
        <v>11636.098053614196</v>
      </c>
      <c r="K16" s="180" t="s">
        <v>5076</v>
      </c>
      <c r="L16" s="180" t="s">
        <v>1367</v>
      </c>
      <c r="M16" s="180">
        <v>2</v>
      </c>
      <c r="N16" s="955" t="s">
        <v>4971</v>
      </c>
      <c r="O16" s="955" t="s">
        <v>5083</v>
      </c>
      <c r="P16" s="180" t="s">
        <v>5078</v>
      </c>
      <c r="Q16" s="955" t="s">
        <v>1181</v>
      </c>
      <c r="R16" s="180" t="s">
        <v>2341</v>
      </c>
      <c r="S16" s="180">
        <v>6</v>
      </c>
    </row>
    <row r="17" spans="1:19" x14ac:dyDescent="0.2">
      <c r="A17" t="s">
        <v>1448</v>
      </c>
      <c r="B17">
        <v>3872</v>
      </c>
      <c r="C17">
        <v>2188</v>
      </c>
      <c r="D17" s="1103">
        <v>3922.124919189815</v>
      </c>
      <c r="K17" s="180" t="s">
        <v>5076</v>
      </c>
      <c r="L17" s="180" t="s">
        <v>1367</v>
      </c>
      <c r="M17" s="180">
        <v>2</v>
      </c>
      <c r="N17" s="955" t="s">
        <v>4974</v>
      </c>
      <c r="O17" s="955" t="s">
        <v>5084</v>
      </c>
      <c r="P17" s="180" t="s">
        <v>5078</v>
      </c>
      <c r="Q17" s="955" t="s">
        <v>1181</v>
      </c>
      <c r="R17" s="180" t="s">
        <v>1448</v>
      </c>
      <c r="S17" s="180">
        <v>7</v>
      </c>
    </row>
    <row r="18" spans="1:19" x14ac:dyDescent="0.2">
      <c r="A18" t="s">
        <v>1385</v>
      </c>
      <c r="B18">
        <v>15069</v>
      </c>
      <c r="C18">
        <v>10630</v>
      </c>
      <c r="D18" s="1103">
        <v>15213.51862402221</v>
      </c>
      <c r="K18" s="180" t="s">
        <v>5076</v>
      </c>
      <c r="L18" s="180" t="s">
        <v>1367</v>
      </c>
      <c r="M18" s="180">
        <v>2</v>
      </c>
      <c r="N18" s="955" t="s">
        <v>4982</v>
      </c>
      <c r="O18" s="955" t="s">
        <v>5085</v>
      </c>
      <c r="P18" s="180" t="s">
        <v>5078</v>
      </c>
      <c r="Q18" s="955" t="s">
        <v>1181</v>
      </c>
      <c r="R18" s="180" t="s">
        <v>1385</v>
      </c>
      <c r="S18" s="180">
        <v>8</v>
      </c>
    </row>
    <row r="19" spans="1:19" x14ac:dyDescent="0.2">
      <c r="A19" t="s">
        <v>2346</v>
      </c>
      <c r="B19">
        <v>109762</v>
      </c>
      <c r="C19">
        <v>64760</v>
      </c>
      <c r="D19" s="1103">
        <v>111109.16480190745</v>
      </c>
      <c r="K19" s="180" t="s">
        <v>5076</v>
      </c>
      <c r="L19" s="180" t="s">
        <v>1367</v>
      </c>
      <c r="M19" s="180">
        <v>2</v>
      </c>
      <c r="N19" s="955" t="s">
        <v>4994</v>
      </c>
      <c r="O19" s="955" t="s">
        <v>5086</v>
      </c>
      <c r="P19" s="180" t="s">
        <v>5078</v>
      </c>
      <c r="Q19" s="955" t="s">
        <v>1181</v>
      </c>
      <c r="R19" s="180" t="s">
        <v>2346</v>
      </c>
      <c r="S19" s="180">
        <v>9</v>
      </c>
    </row>
    <row r="20" spans="1:19" x14ac:dyDescent="0.2">
      <c r="A20" s="180" t="s">
        <v>2348</v>
      </c>
      <c r="B20">
        <v>17474</v>
      </c>
      <c r="C20">
        <v>12576</v>
      </c>
      <c r="D20" s="1103">
        <v>17638.33465185219</v>
      </c>
      <c r="K20" s="180" t="s">
        <v>5076</v>
      </c>
      <c r="L20" s="180" t="s">
        <v>1367</v>
      </c>
      <c r="M20" s="180">
        <v>2</v>
      </c>
      <c r="N20" s="955" t="s">
        <v>5087</v>
      </c>
      <c r="O20" s="955" t="s">
        <v>5083</v>
      </c>
      <c r="P20" s="180" t="s">
        <v>5078</v>
      </c>
      <c r="Q20" s="955" t="s">
        <v>1181</v>
      </c>
      <c r="R20" s="180" t="s">
        <v>2348</v>
      </c>
      <c r="S20" s="180">
        <v>10</v>
      </c>
    </row>
    <row r="21" spans="1:19" x14ac:dyDescent="0.2">
      <c r="A21" t="s">
        <v>2349</v>
      </c>
      <c r="B21">
        <v>0</v>
      </c>
      <c r="C21">
        <v>0</v>
      </c>
      <c r="D21" s="1103">
        <v>0</v>
      </c>
      <c r="K21" s="180" t="s">
        <v>5076</v>
      </c>
      <c r="L21" s="180" t="s">
        <v>1367</v>
      </c>
      <c r="M21" s="180">
        <v>2</v>
      </c>
      <c r="N21" s="955" t="s">
        <v>5088</v>
      </c>
      <c r="O21" s="955" t="s">
        <v>5084</v>
      </c>
      <c r="P21" s="180" t="s">
        <v>5078</v>
      </c>
      <c r="Q21" s="955" t="s">
        <v>1181</v>
      </c>
      <c r="R21" s="180" t="s">
        <v>2349</v>
      </c>
      <c r="S21" s="180">
        <v>11</v>
      </c>
    </row>
    <row r="22" spans="1:19" x14ac:dyDescent="0.2">
      <c r="A22" t="s">
        <v>2351</v>
      </c>
      <c r="B22">
        <v>32664</v>
      </c>
      <c r="C22">
        <v>21355</v>
      </c>
      <c r="D22" s="1103">
        <v>32889.832026983167</v>
      </c>
      <c r="K22" s="180" t="s">
        <v>5076</v>
      </c>
      <c r="L22" s="180" t="s">
        <v>1367</v>
      </c>
      <c r="M22" s="180">
        <v>2</v>
      </c>
      <c r="N22" s="955" t="s">
        <v>5089</v>
      </c>
      <c r="O22" s="955" t="s">
        <v>5090</v>
      </c>
      <c r="P22" s="180" t="s">
        <v>5078</v>
      </c>
      <c r="Q22" s="955" t="s">
        <v>1181</v>
      </c>
      <c r="R22" s="180" t="s">
        <v>2351</v>
      </c>
      <c r="S22" s="180">
        <v>12</v>
      </c>
    </row>
    <row r="23" spans="1:19" x14ac:dyDescent="0.2">
      <c r="A23" t="s">
        <v>1612</v>
      </c>
      <c r="B23">
        <v>17290</v>
      </c>
      <c r="C23">
        <v>12575</v>
      </c>
      <c r="D23" s="1103">
        <v>17384.686175938234</v>
      </c>
      <c r="K23" s="180" t="s">
        <v>5076</v>
      </c>
      <c r="L23" s="180" t="s">
        <v>1367</v>
      </c>
      <c r="M23" s="180">
        <v>2</v>
      </c>
      <c r="N23" s="955" t="s">
        <v>5091</v>
      </c>
      <c r="O23" s="955" t="s">
        <v>5090</v>
      </c>
      <c r="P23" s="180" t="s">
        <v>5078</v>
      </c>
      <c r="Q23" s="955" t="s">
        <v>1181</v>
      </c>
      <c r="R23" s="180" t="s">
        <v>1612</v>
      </c>
      <c r="S23" s="180">
        <v>13</v>
      </c>
    </row>
    <row r="24" spans="1:19" x14ac:dyDescent="0.2">
      <c r="A24" t="s">
        <v>2354</v>
      </c>
      <c r="B24">
        <v>4961</v>
      </c>
      <c r="C24" s="1102">
        <v>2666</v>
      </c>
      <c r="D24" s="1103">
        <v>5010.6122936940455</v>
      </c>
      <c r="K24" s="180" t="s">
        <v>5076</v>
      </c>
      <c r="L24" s="180" t="s">
        <v>1367</v>
      </c>
      <c r="M24" s="180">
        <v>2</v>
      </c>
      <c r="N24" s="955" t="s">
        <v>5092</v>
      </c>
      <c r="O24" s="955" t="s">
        <v>5093</v>
      </c>
      <c r="P24" s="180" t="s">
        <v>5078</v>
      </c>
      <c r="Q24" s="955" t="s">
        <v>1181</v>
      </c>
      <c r="R24" s="180" t="s">
        <v>2354</v>
      </c>
      <c r="S24" s="180">
        <v>14</v>
      </c>
    </row>
    <row r="25" spans="1:19" x14ac:dyDescent="0.2">
      <c r="A25" t="s">
        <v>2355</v>
      </c>
      <c r="B25">
        <v>3031</v>
      </c>
      <c r="C25" s="1102">
        <v>1719</v>
      </c>
      <c r="D25" s="1103">
        <v>3068.8853663189448</v>
      </c>
      <c r="K25" s="180" t="s">
        <v>5076</v>
      </c>
      <c r="L25" s="180" t="s">
        <v>1367</v>
      </c>
      <c r="M25" s="180">
        <v>2</v>
      </c>
      <c r="N25" s="955" t="s">
        <v>5094</v>
      </c>
      <c r="O25" s="955" t="s">
        <v>5095</v>
      </c>
      <c r="P25" s="180" t="s">
        <v>5078</v>
      </c>
      <c r="Q25" s="955" t="s">
        <v>1181</v>
      </c>
      <c r="R25" s="180" t="s">
        <v>2355</v>
      </c>
      <c r="S25" s="180">
        <v>15</v>
      </c>
    </row>
    <row r="26" spans="1:19" x14ac:dyDescent="0.2">
      <c r="A26" t="s">
        <v>2357</v>
      </c>
      <c r="B26">
        <v>16050</v>
      </c>
      <c r="C26" s="1102">
        <v>11518</v>
      </c>
      <c r="D26" s="1103">
        <v>16213.90800182046</v>
      </c>
      <c r="K26" s="180" t="s">
        <v>5076</v>
      </c>
      <c r="L26" s="180" t="s">
        <v>1367</v>
      </c>
      <c r="M26" s="180">
        <v>2</v>
      </c>
      <c r="N26" s="955" t="s">
        <v>5096</v>
      </c>
      <c r="O26" s="955" t="s">
        <v>5097</v>
      </c>
      <c r="P26" s="180" t="s">
        <v>5078</v>
      </c>
      <c r="Q26" s="955" t="s">
        <v>1181</v>
      </c>
      <c r="R26" s="180" t="s">
        <v>2357</v>
      </c>
      <c r="S26" s="180">
        <v>16</v>
      </c>
    </row>
    <row r="27" spans="1:19" x14ac:dyDescent="0.2">
      <c r="A27" t="s">
        <v>2359</v>
      </c>
      <c r="B27">
        <v>30548</v>
      </c>
      <c r="C27" s="1102">
        <v>15511</v>
      </c>
      <c r="D27" s="38">
        <v>31131.513129867435</v>
      </c>
      <c r="K27" s="180" t="s">
        <v>5076</v>
      </c>
      <c r="L27" s="180" t="s">
        <v>1367</v>
      </c>
      <c r="M27" s="180">
        <v>2</v>
      </c>
      <c r="N27" s="955" t="s">
        <v>5011</v>
      </c>
      <c r="O27" s="955" t="s">
        <v>5098</v>
      </c>
      <c r="P27" s="180" t="s">
        <v>5078</v>
      </c>
      <c r="Q27" s="955" t="s">
        <v>1181</v>
      </c>
      <c r="R27" s="180" t="s">
        <v>2359</v>
      </c>
      <c r="S27" s="180">
        <v>17</v>
      </c>
    </row>
    <row r="28" spans="1:19" x14ac:dyDescent="0.2">
      <c r="A28" t="s">
        <v>2360</v>
      </c>
      <c r="B28">
        <v>64323</v>
      </c>
      <c r="C28">
        <v>48854</v>
      </c>
      <c r="D28" s="1103">
        <v>64753.501799152429</v>
      </c>
      <c r="K28" s="180" t="s">
        <v>5076</v>
      </c>
      <c r="L28" s="180" t="s">
        <v>1367</v>
      </c>
      <c r="M28" s="180">
        <v>2</v>
      </c>
      <c r="N28" s="955" t="s">
        <v>4928</v>
      </c>
      <c r="O28" s="955" t="s">
        <v>5099</v>
      </c>
      <c r="P28" s="180" t="s">
        <v>5078</v>
      </c>
      <c r="Q28" s="955" t="s">
        <v>1181</v>
      </c>
      <c r="R28" s="180" t="s">
        <v>2360</v>
      </c>
      <c r="S28" s="180">
        <v>18</v>
      </c>
    </row>
    <row r="29" spans="1:19" x14ac:dyDescent="0.2">
      <c r="A29" t="s">
        <v>2361</v>
      </c>
      <c r="B29">
        <v>17017</v>
      </c>
      <c r="C29">
        <v>16017</v>
      </c>
      <c r="D29" s="1103">
        <v>17039.650691565919</v>
      </c>
      <c r="K29" s="180" t="s">
        <v>5076</v>
      </c>
      <c r="L29" s="180" t="s">
        <v>1367</v>
      </c>
      <c r="M29" s="180">
        <v>2</v>
      </c>
      <c r="N29" s="955" t="s">
        <v>4937</v>
      </c>
      <c r="O29" s="955" t="s">
        <v>5100</v>
      </c>
      <c r="P29" s="180" t="s">
        <v>5078</v>
      </c>
      <c r="Q29" s="955" t="s">
        <v>1181</v>
      </c>
      <c r="R29" s="180" t="s">
        <v>2361</v>
      </c>
      <c r="S29" s="180">
        <v>19</v>
      </c>
    </row>
    <row r="30" spans="1:19" x14ac:dyDescent="0.2">
      <c r="A30" t="s">
        <v>2362</v>
      </c>
      <c r="B30">
        <v>45196</v>
      </c>
      <c r="C30">
        <v>42871</v>
      </c>
      <c r="D30" s="1103">
        <v>45249.823525973021</v>
      </c>
      <c r="K30" s="180" t="s">
        <v>5076</v>
      </c>
      <c r="L30" s="180" t="s">
        <v>1367</v>
      </c>
      <c r="M30" s="180">
        <v>2</v>
      </c>
      <c r="N30" s="955" t="s">
        <v>4940</v>
      </c>
      <c r="O30" s="955" t="s">
        <v>5101</v>
      </c>
      <c r="P30" s="180" t="s">
        <v>5078</v>
      </c>
      <c r="Q30" s="955" t="s">
        <v>1181</v>
      </c>
      <c r="R30" s="180" t="s">
        <v>2362</v>
      </c>
      <c r="S30" s="180">
        <v>20</v>
      </c>
    </row>
    <row r="31" spans="1:19" x14ac:dyDescent="0.2">
      <c r="A31" t="s">
        <v>2363</v>
      </c>
      <c r="B31">
        <v>15070</v>
      </c>
      <c r="C31" s="1102">
        <v>11350</v>
      </c>
      <c r="D31" s="1103">
        <v>15192.408753721775</v>
      </c>
      <c r="K31" s="180" t="s">
        <v>5076</v>
      </c>
      <c r="L31" s="180" t="s">
        <v>1367</v>
      </c>
      <c r="M31" s="180">
        <v>2</v>
      </c>
      <c r="N31" s="955" t="s">
        <v>4954</v>
      </c>
      <c r="O31" s="955" t="s">
        <v>5102</v>
      </c>
      <c r="P31" s="180" t="s">
        <v>5078</v>
      </c>
      <c r="Q31" s="955" t="s">
        <v>1181</v>
      </c>
      <c r="R31" s="180" t="s">
        <v>2363</v>
      </c>
      <c r="S31" s="180">
        <v>21</v>
      </c>
    </row>
    <row r="32" spans="1:19" x14ac:dyDescent="0.2">
      <c r="A32" t="s">
        <v>2365</v>
      </c>
      <c r="B32">
        <v>4843</v>
      </c>
      <c r="C32" s="1102">
        <v>2666</v>
      </c>
      <c r="D32" s="1103">
        <v>4890.6669742606919</v>
      </c>
      <c r="K32" s="180" t="s">
        <v>5076</v>
      </c>
      <c r="L32" s="180" t="s">
        <v>1367</v>
      </c>
      <c r="M32" s="180">
        <v>2</v>
      </c>
      <c r="N32" s="955" t="s">
        <v>5092</v>
      </c>
      <c r="O32" s="955" t="s">
        <v>5103</v>
      </c>
      <c r="P32" s="180" t="s">
        <v>5078</v>
      </c>
      <c r="Q32" s="955" t="s">
        <v>1181</v>
      </c>
      <c r="R32" s="180" t="s">
        <v>2365</v>
      </c>
      <c r="S32" s="180">
        <v>22</v>
      </c>
    </row>
    <row r="33" spans="1:19" x14ac:dyDescent="0.2">
      <c r="A33" t="s">
        <v>2366</v>
      </c>
      <c r="B33">
        <v>2681</v>
      </c>
      <c r="C33" s="1102">
        <v>1719</v>
      </c>
      <c r="D33" s="1103">
        <v>2702.2042983011715</v>
      </c>
      <c r="K33" s="180" t="s">
        <v>5076</v>
      </c>
      <c r="L33" s="180" t="s">
        <v>1367</v>
      </c>
      <c r="M33" s="180">
        <v>2</v>
      </c>
      <c r="N33" s="955" t="s">
        <v>5094</v>
      </c>
      <c r="O33" s="955" t="s">
        <v>5104</v>
      </c>
      <c r="P33" s="180" t="s">
        <v>5078</v>
      </c>
      <c r="Q33" s="955" t="s">
        <v>1181</v>
      </c>
      <c r="R33" s="180" t="s">
        <v>2366</v>
      </c>
      <c r="S33" s="180">
        <v>23</v>
      </c>
    </row>
    <row r="34" spans="1:19" x14ac:dyDescent="0.2">
      <c r="A34" t="s">
        <v>2367</v>
      </c>
      <c r="B34">
        <v>16054</v>
      </c>
      <c r="C34" s="1102">
        <v>11518</v>
      </c>
      <c r="D34" s="1103">
        <v>16156.611694189396</v>
      </c>
      <c r="K34" s="180" t="s">
        <v>5076</v>
      </c>
      <c r="L34" s="180" t="s">
        <v>1367</v>
      </c>
      <c r="M34" s="180">
        <v>2</v>
      </c>
      <c r="N34" s="955" t="s">
        <v>5096</v>
      </c>
      <c r="O34" s="955" t="s">
        <v>5105</v>
      </c>
      <c r="P34" s="180" t="s">
        <v>5078</v>
      </c>
      <c r="Q34" s="955" t="s">
        <v>1181</v>
      </c>
      <c r="R34" s="180" t="s">
        <v>2367</v>
      </c>
      <c r="S34" s="180">
        <v>24</v>
      </c>
    </row>
    <row r="35" spans="1:19" x14ac:dyDescent="0.2">
      <c r="A35" t="s">
        <v>2369</v>
      </c>
      <c r="B35">
        <v>30638</v>
      </c>
      <c r="C35" s="1102">
        <v>15511</v>
      </c>
      <c r="D35" s="1103">
        <v>31370.485906302085</v>
      </c>
      <c r="K35" s="180" t="s">
        <v>5076</v>
      </c>
      <c r="L35" s="180" t="s">
        <v>1367</v>
      </c>
      <c r="M35" s="180">
        <v>2</v>
      </c>
      <c r="N35" s="955" t="s">
        <v>5011</v>
      </c>
      <c r="O35" s="955" t="s">
        <v>5106</v>
      </c>
      <c r="P35" s="180" t="s">
        <v>5078</v>
      </c>
      <c r="Q35" s="955" t="s">
        <v>1181</v>
      </c>
      <c r="R35" s="180" t="s">
        <v>2369</v>
      </c>
      <c r="S35" s="180">
        <v>25</v>
      </c>
    </row>
    <row r="36" spans="1:19" x14ac:dyDescent="0.2">
      <c r="A36" t="s">
        <v>2371</v>
      </c>
      <c r="B36">
        <v>6718</v>
      </c>
      <c r="C36">
        <v>6519</v>
      </c>
      <c r="D36" s="1103">
        <v>6729.0097231197578</v>
      </c>
      <c r="K36" s="180" t="s">
        <v>5076</v>
      </c>
      <c r="L36" s="180" t="s">
        <v>1367</v>
      </c>
      <c r="M36" s="180">
        <v>2</v>
      </c>
      <c r="N36" s="955" t="s">
        <v>4963</v>
      </c>
      <c r="O36" s="955" t="s">
        <v>5107</v>
      </c>
      <c r="P36" s="180" t="s">
        <v>5078</v>
      </c>
      <c r="Q36" s="955" t="s">
        <v>1181</v>
      </c>
      <c r="R36" s="180" t="s">
        <v>2371</v>
      </c>
      <c r="S36" s="180">
        <v>26</v>
      </c>
    </row>
    <row r="37" spans="1:19" x14ac:dyDescent="0.2">
      <c r="A37" t="s">
        <v>2373</v>
      </c>
      <c r="B37" s="1102">
        <v>86262</v>
      </c>
      <c r="C37" s="1102">
        <v>60115</v>
      </c>
      <c r="D37" s="1103">
        <v>87033.365281564315</v>
      </c>
      <c r="K37" s="180" t="s">
        <v>5076</v>
      </c>
      <c r="L37" s="180" t="s">
        <v>1367</v>
      </c>
      <c r="M37" s="180">
        <v>2</v>
      </c>
      <c r="N37" s="1105" t="s">
        <v>5108</v>
      </c>
      <c r="O37" s="955" t="s">
        <v>5109</v>
      </c>
      <c r="P37" s="180" t="s">
        <v>5078</v>
      </c>
      <c r="Q37" s="955" t="s">
        <v>2654</v>
      </c>
      <c r="R37" s="180" t="s">
        <v>2373</v>
      </c>
      <c r="S37" s="180">
        <v>27</v>
      </c>
    </row>
    <row r="38" spans="1:19" x14ac:dyDescent="0.2">
      <c r="A38" t="s">
        <v>725</v>
      </c>
      <c r="B38" s="1102">
        <v>104171</v>
      </c>
      <c r="C38" s="1102">
        <v>70210</v>
      </c>
      <c r="D38" s="1103">
        <v>106903.2882742519</v>
      </c>
      <c r="K38" s="180" t="s">
        <v>5076</v>
      </c>
      <c r="L38" s="180" t="s">
        <v>1367</v>
      </c>
      <c r="M38" s="180">
        <v>2</v>
      </c>
      <c r="N38" s="1105" t="s">
        <v>5110</v>
      </c>
      <c r="O38" s="955" t="s">
        <v>5111</v>
      </c>
      <c r="P38" s="180" t="s">
        <v>5078</v>
      </c>
      <c r="Q38" s="955" t="s">
        <v>2654</v>
      </c>
      <c r="R38" s="180" t="s">
        <v>725</v>
      </c>
      <c r="S38" s="180">
        <v>28</v>
      </c>
    </row>
    <row r="39" spans="1:19" x14ac:dyDescent="0.2">
      <c r="A39" t="s">
        <v>2376</v>
      </c>
      <c r="B39" s="1102">
        <v>57775</v>
      </c>
      <c r="C39" s="1102">
        <v>29249</v>
      </c>
      <c r="D39" s="1103">
        <v>58669.705233521119</v>
      </c>
      <c r="K39" s="180" t="s">
        <v>5076</v>
      </c>
      <c r="L39" s="180" t="s">
        <v>1367</v>
      </c>
      <c r="M39" s="180">
        <v>2</v>
      </c>
      <c r="N39" s="1105" t="s">
        <v>5112</v>
      </c>
      <c r="O39" s="955" t="s">
        <v>5113</v>
      </c>
      <c r="P39" s="180" t="s">
        <v>5078</v>
      </c>
      <c r="Q39" s="955" t="s">
        <v>2654</v>
      </c>
      <c r="R39" s="180" t="s">
        <v>2376</v>
      </c>
      <c r="S39" s="180">
        <v>29</v>
      </c>
    </row>
    <row r="40" spans="1:19" ht="38.25" x14ac:dyDescent="0.2">
      <c r="A40" t="s">
        <v>2377</v>
      </c>
      <c r="B40" s="1102">
        <v>187553</v>
      </c>
      <c r="C40" s="1102">
        <v>85574</v>
      </c>
      <c r="D40" s="1103">
        <v>190560.59726172881</v>
      </c>
      <c r="K40" s="180" t="s">
        <v>5076</v>
      </c>
      <c r="L40" s="180" t="s">
        <v>1367</v>
      </c>
      <c r="M40" s="180">
        <v>2</v>
      </c>
      <c r="N40" s="1105" t="s">
        <v>5114</v>
      </c>
      <c r="O40" s="955" t="s">
        <v>5115</v>
      </c>
      <c r="P40" s="180" t="s">
        <v>5078</v>
      </c>
      <c r="Q40" s="955" t="s">
        <v>2654</v>
      </c>
      <c r="R40" s="180" t="s">
        <v>2377</v>
      </c>
      <c r="S40" s="180">
        <v>30</v>
      </c>
    </row>
    <row r="41" spans="1:19" x14ac:dyDescent="0.2">
      <c r="A41" t="s">
        <v>2379</v>
      </c>
      <c r="B41">
        <v>79923</v>
      </c>
      <c r="C41">
        <v>46394</v>
      </c>
      <c r="D41" s="1103">
        <v>80593.325702861926</v>
      </c>
      <c r="K41" s="180" t="s">
        <v>5076</v>
      </c>
      <c r="L41" s="180" t="s">
        <v>1367</v>
      </c>
      <c r="M41" s="180">
        <v>2</v>
      </c>
      <c r="N41" s="1105" t="s">
        <v>5116</v>
      </c>
      <c r="O41" s="955" t="s">
        <v>5117</v>
      </c>
      <c r="P41" s="180" t="s">
        <v>5078</v>
      </c>
      <c r="Q41" s="955" t="s">
        <v>2654</v>
      </c>
      <c r="R41" s="180" t="s">
        <v>2379</v>
      </c>
      <c r="S41" s="180">
        <v>31</v>
      </c>
    </row>
    <row r="42" spans="1:19" x14ac:dyDescent="0.2">
      <c r="A42" t="s">
        <v>2381</v>
      </c>
      <c r="B42">
        <v>17851</v>
      </c>
      <c r="C42">
        <v>11536</v>
      </c>
      <c r="D42" s="1103">
        <v>17976.834027142839</v>
      </c>
      <c r="K42" s="180" t="s">
        <v>5076</v>
      </c>
      <c r="L42" s="180" t="s">
        <v>1367</v>
      </c>
      <c r="M42" s="180">
        <v>2</v>
      </c>
      <c r="N42" s="1105" t="s">
        <v>5118</v>
      </c>
      <c r="O42" s="955" t="s">
        <v>5119</v>
      </c>
      <c r="P42" s="180" t="s">
        <v>5078</v>
      </c>
      <c r="Q42" s="955" t="s">
        <v>2654</v>
      </c>
      <c r="R42" s="180" t="s">
        <v>2381</v>
      </c>
      <c r="S42" s="180">
        <v>32</v>
      </c>
    </row>
    <row r="43" spans="1:19" ht="25.5" x14ac:dyDescent="0.2">
      <c r="A43" t="s">
        <v>2383</v>
      </c>
      <c r="B43">
        <v>65937</v>
      </c>
      <c r="C43">
        <v>27643</v>
      </c>
      <c r="D43" s="1103">
        <v>66702.381079433326</v>
      </c>
      <c r="K43" s="180" t="s">
        <v>5076</v>
      </c>
      <c r="L43" s="180" t="s">
        <v>1367</v>
      </c>
      <c r="M43" s="180">
        <v>2</v>
      </c>
      <c r="N43" s="1105" t="s">
        <v>5120</v>
      </c>
      <c r="O43" s="955" t="s">
        <v>5121</v>
      </c>
      <c r="P43" s="180" t="s">
        <v>5078</v>
      </c>
      <c r="Q43" s="955" t="s">
        <v>2654</v>
      </c>
      <c r="R43" s="180" t="s">
        <v>2383</v>
      </c>
      <c r="S43" s="180">
        <v>33</v>
      </c>
    </row>
    <row r="44" spans="1:19" x14ac:dyDescent="0.2">
      <c r="A44" t="s">
        <v>2384</v>
      </c>
      <c r="B44" s="1102">
        <v>84370</v>
      </c>
      <c r="C44" s="1102">
        <v>31212</v>
      </c>
      <c r="D44" s="1103">
        <v>85757.793082800665</v>
      </c>
      <c r="K44" s="180" t="s">
        <v>5076</v>
      </c>
      <c r="L44" s="180" t="s">
        <v>1367</v>
      </c>
      <c r="M44" s="180">
        <v>2</v>
      </c>
      <c r="N44" s="1105" t="s">
        <v>5122</v>
      </c>
      <c r="O44" s="955" t="s">
        <v>5098</v>
      </c>
      <c r="P44" s="180" t="s">
        <v>5078</v>
      </c>
      <c r="Q44" s="955" t="s">
        <v>2654</v>
      </c>
      <c r="R44" s="180" t="s">
        <v>2384</v>
      </c>
      <c r="S44" s="180">
        <v>34</v>
      </c>
    </row>
    <row r="45" spans="1:19" ht="25.5" x14ac:dyDescent="0.2">
      <c r="A45" t="s">
        <v>2385</v>
      </c>
      <c r="B45" s="1102">
        <v>16431</v>
      </c>
      <c r="C45" s="1102">
        <v>12869</v>
      </c>
      <c r="D45" s="38">
        <v>16542.105240065139</v>
      </c>
      <c r="K45" s="180" t="s">
        <v>5076</v>
      </c>
      <c r="L45" s="180" t="s">
        <v>1367</v>
      </c>
      <c r="M45" s="180">
        <v>2</v>
      </c>
      <c r="N45" s="1105" t="s">
        <v>5123</v>
      </c>
      <c r="O45" s="955" t="s">
        <v>5082</v>
      </c>
      <c r="P45" s="180" t="s">
        <v>5078</v>
      </c>
      <c r="Q45" s="955" t="s">
        <v>2654</v>
      </c>
      <c r="R45" s="180" t="s">
        <v>2385</v>
      </c>
      <c r="S45" s="180">
        <v>35</v>
      </c>
    </row>
    <row r="46" spans="1:19" x14ac:dyDescent="0.2">
      <c r="A46" t="s">
        <v>2387</v>
      </c>
      <c r="B46">
        <v>29996</v>
      </c>
      <c r="C46" s="1102">
        <v>15532</v>
      </c>
      <c r="D46" s="1103">
        <v>30285.685437454918</v>
      </c>
      <c r="K46" s="180" t="s">
        <v>5076</v>
      </c>
      <c r="L46" s="180" t="s">
        <v>1367</v>
      </c>
      <c r="M46" s="180">
        <v>2</v>
      </c>
      <c r="N46" s="955" t="s">
        <v>5014</v>
      </c>
      <c r="O46" s="955" t="s">
        <v>5124</v>
      </c>
      <c r="P46" s="180" t="s">
        <v>5078</v>
      </c>
      <c r="Q46" s="955" t="s">
        <v>1181</v>
      </c>
      <c r="R46" s="180" t="s">
        <v>2387</v>
      </c>
      <c r="S46" s="180">
        <v>36</v>
      </c>
    </row>
    <row r="47" spans="1:19" x14ac:dyDescent="0.2">
      <c r="A47" t="s">
        <v>2389</v>
      </c>
      <c r="B47">
        <v>49743</v>
      </c>
      <c r="C47" s="1102">
        <v>15680</v>
      </c>
      <c r="D47" s="1103">
        <v>50424.173406147864</v>
      </c>
      <c r="K47" s="180" t="s">
        <v>5076</v>
      </c>
      <c r="L47" s="180" t="s">
        <v>1367</v>
      </c>
      <c r="M47" s="180">
        <v>2</v>
      </c>
      <c r="N47" s="955" t="s">
        <v>5017</v>
      </c>
      <c r="O47" s="955" t="s">
        <v>5124</v>
      </c>
      <c r="P47" s="180" t="s">
        <v>5078</v>
      </c>
      <c r="Q47" s="955" t="s">
        <v>1181</v>
      </c>
      <c r="R47" s="180" t="s">
        <v>2389</v>
      </c>
      <c r="S47" s="180">
        <v>37</v>
      </c>
    </row>
    <row r="48" spans="1:19" x14ac:dyDescent="0.2">
      <c r="A48" t="s">
        <v>2390</v>
      </c>
      <c r="B48">
        <v>45637</v>
      </c>
      <c r="C48">
        <v>26923</v>
      </c>
      <c r="D48" s="1103">
        <v>46010.889763820385</v>
      </c>
      <c r="K48" s="180" t="s">
        <v>5076</v>
      </c>
      <c r="L48" s="180" t="s">
        <v>1367</v>
      </c>
      <c r="M48" s="180">
        <v>2</v>
      </c>
      <c r="N48" s="955" t="s">
        <v>5125</v>
      </c>
      <c r="O48" s="955" t="s">
        <v>5117</v>
      </c>
      <c r="P48" s="180" t="s">
        <v>5078</v>
      </c>
      <c r="Q48" s="955" t="s">
        <v>1181</v>
      </c>
      <c r="R48" s="180" t="s">
        <v>2390</v>
      </c>
      <c r="S48" s="180">
        <v>38</v>
      </c>
    </row>
    <row r="49" spans="1:19" x14ac:dyDescent="0.2">
      <c r="A49" t="s">
        <v>2391</v>
      </c>
      <c r="B49">
        <v>31353</v>
      </c>
      <c r="C49">
        <v>19471</v>
      </c>
      <c r="D49" s="1103">
        <v>31590.34189482854</v>
      </c>
      <c r="K49" s="180" t="s">
        <v>5076</v>
      </c>
      <c r="L49" s="180" t="s">
        <v>1367</v>
      </c>
      <c r="M49" s="180">
        <v>2</v>
      </c>
      <c r="N49" s="955" t="s">
        <v>5126</v>
      </c>
      <c r="O49" s="955" t="s">
        <v>5117</v>
      </c>
      <c r="P49" s="180" t="s">
        <v>5078</v>
      </c>
      <c r="Q49" s="955" t="s">
        <v>1181</v>
      </c>
      <c r="R49" s="180" t="s">
        <v>2391</v>
      </c>
      <c r="S49" s="180">
        <v>39</v>
      </c>
    </row>
    <row r="50" spans="1:19" x14ac:dyDescent="0.2">
      <c r="A50" t="s">
        <v>2392</v>
      </c>
      <c r="B50">
        <v>5529</v>
      </c>
      <c r="C50">
        <v>3611</v>
      </c>
      <c r="D50" s="1103">
        <v>5567.4001568554249</v>
      </c>
      <c r="K50" s="180" t="s">
        <v>5076</v>
      </c>
      <c r="L50" s="180" t="s">
        <v>1367</v>
      </c>
      <c r="M50" s="180">
        <v>2</v>
      </c>
      <c r="N50" s="955" t="s">
        <v>5127</v>
      </c>
      <c r="O50" s="955" t="s">
        <v>5119</v>
      </c>
      <c r="P50" s="180" t="s">
        <v>5078</v>
      </c>
      <c r="Q50" s="955" t="s">
        <v>1181</v>
      </c>
      <c r="R50" s="180" t="s">
        <v>2392</v>
      </c>
      <c r="S50" s="180">
        <v>40</v>
      </c>
    </row>
    <row r="51" spans="1:19" x14ac:dyDescent="0.2">
      <c r="A51" t="s">
        <v>2395</v>
      </c>
      <c r="B51">
        <v>11979</v>
      </c>
      <c r="C51">
        <v>7925</v>
      </c>
      <c r="D51" s="1103">
        <v>12060.539810051843</v>
      </c>
      <c r="K51" s="180" t="s">
        <v>5076</v>
      </c>
      <c r="L51" s="180" t="s">
        <v>1367</v>
      </c>
      <c r="M51" s="180">
        <v>2</v>
      </c>
      <c r="N51" s="955" t="s">
        <v>5128</v>
      </c>
      <c r="O51" s="955" t="s">
        <v>5119</v>
      </c>
      <c r="P51" s="180" t="s">
        <v>5078</v>
      </c>
      <c r="Q51" s="955" t="s">
        <v>1181</v>
      </c>
      <c r="R51" s="180" t="s">
        <v>2395</v>
      </c>
      <c r="S51" s="180">
        <v>41</v>
      </c>
    </row>
    <row r="52" spans="1:19" x14ac:dyDescent="0.2">
      <c r="A52" t="s">
        <v>2400</v>
      </c>
      <c r="B52">
        <v>16763</v>
      </c>
      <c r="C52">
        <v>11840</v>
      </c>
      <c r="D52" s="1103">
        <v>16861.070382026741</v>
      </c>
      <c r="K52" s="180" t="s">
        <v>5076</v>
      </c>
      <c r="L52" s="180" t="s">
        <v>1367</v>
      </c>
      <c r="M52" s="180">
        <v>2</v>
      </c>
      <c r="N52" s="955" t="s">
        <v>5129</v>
      </c>
      <c r="O52" s="955" t="s">
        <v>5121</v>
      </c>
      <c r="P52" s="180" t="s">
        <v>5078</v>
      </c>
      <c r="Q52" s="955" t="s">
        <v>1181</v>
      </c>
      <c r="R52" s="180" t="s">
        <v>2400</v>
      </c>
      <c r="S52" s="180">
        <v>42</v>
      </c>
    </row>
    <row r="53" spans="1:19" x14ac:dyDescent="0.2">
      <c r="A53" t="s">
        <v>2401</v>
      </c>
      <c r="B53">
        <v>49163</v>
      </c>
      <c r="C53">
        <v>15803</v>
      </c>
      <c r="D53" s="1103">
        <v>49830.086632256971</v>
      </c>
      <c r="K53" s="180" t="s">
        <v>5076</v>
      </c>
      <c r="L53" s="180" t="s">
        <v>1367</v>
      </c>
      <c r="M53" s="180">
        <v>2</v>
      </c>
      <c r="N53" s="955" t="s">
        <v>5130</v>
      </c>
      <c r="O53" s="955" t="s">
        <v>5121</v>
      </c>
      <c r="P53" s="180" t="s">
        <v>5078</v>
      </c>
      <c r="Q53" s="955" t="s">
        <v>1181</v>
      </c>
      <c r="R53" s="180" t="s">
        <v>2401</v>
      </c>
      <c r="S53" s="180">
        <v>43</v>
      </c>
    </row>
    <row r="54" spans="1:19" x14ac:dyDescent="0.2">
      <c r="A54" t="s">
        <v>2402</v>
      </c>
      <c r="B54">
        <v>14021</v>
      </c>
      <c r="C54">
        <v>10632</v>
      </c>
      <c r="D54" s="1103">
        <v>14140.363251378532</v>
      </c>
      <c r="K54" s="180" t="s">
        <v>5076</v>
      </c>
      <c r="L54" s="180" t="s">
        <v>1367</v>
      </c>
      <c r="M54" s="180">
        <v>2</v>
      </c>
      <c r="N54" s="955" t="s">
        <v>4976</v>
      </c>
      <c r="O54" s="955" t="s">
        <v>5083</v>
      </c>
      <c r="P54" s="180" t="s">
        <v>5078</v>
      </c>
      <c r="Q54" s="955" t="s">
        <v>1181</v>
      </c>
      <c r="R54" s="180" t="s">
        <v>2402</v>
      </c>
      <c r="S54" s="180">
        <v>44</v>
      </c>
    </row>
    <row r="55" spans="1:19" x14ac:dyDescent="0.2">
      <c r="A55" s="180" t="s">
        <v>2403</v>
      </c>
      <c r="B55">
        <v>14993</v>
      </c>
      <c r="C55">
        <v>10790</v>
      </c>
      <c r="D55" s="1103">
        <v>15134.069454087854</v>
      </c>
      <c r="E55" s="38"/>
      <c r="K55" s="180" t="s">
        <v>5076</v>
      </c>
      <c r="L55" s="180" t="s">
        <v>1367</v>
      </c>
      <c r="M55" s="180">
        <v>2</v>
      </c>
      <c r="N55" s="955" t="s">
        <v>4979</v>
      </c>
      <c r="O55" s="955" t="s">
        <v>5083</v>
      </c>
      <c r="P55" s="180" t="s">
        <v>5078</v>
      </c>
      <c r="Q55" s="955" t="s">
        <v>1181</v>
      </c>
      <c r="R55" s="180" t="s">
        <v>2403</v>
      </c>
      <c r="S55" s="180">
        <v>45</v>
      </c>
    </row>
    <row r="56" spans="1:19" x14ac:dyDescent="0.2">
      <c r="A56" t="s">
        <v>2404</v>
      </c>
      <c r="B56">
        <v>844</v>
      </c>
      <c r="C56">
        <v>640</v>
      </c>
      <c r="D56" s="1103">
        <v>849.82965175441086</v>
      </c>
      <c r="K56" s="180" t="s">
        <v>5076</v>
      </c>
      <c r="L56" s="180" t="s">
        <v>1367</v>
      </c>
      <c r="M56" s="180">
        <v>2</v>
      </c>
      <c r="N56" s="955" t="s">
        <v>5131</v>
      </c>
      <c r="O56" s="955" t="s">
        <v>5083</v>
      </c>
      <c r="P56" s="180" t="s">
        <v>5078</v>
      </c>
      <c r="Q56" s="955" t="s">
        <v>1181</v>
      </c>
      <c r="R56" s="180" t="s">
        <v>2404</v>
      </c>
      <c r="S56" s="180">
        <v>46</v>
      </c>
    </row>
    <row r="57" spans="1:19" x14ac:dyDescent="0.2">
      <c r="A57" t="s">
        <v>2406</v>
      </c>
      <c r="B57">
        <v>3947</v>
      </c>
      <c r="C57">
        <v>3239</v>
      </c>
      <c r="D57" s="1103">
        <v>3969.7234716660787</v>
      </c>
      <c r="K57" s="180" t="s">
        <v>5076</v>
      </c>
      <c r="L57" s="180" t="s">
        <v>1367</v>
      </c>
      <c r="M57" s="180">
        <v>2</v>
      </c>
      <c r="N57" s="955" t="s">
        <v>5132</v>
      </c>
      <c r="O57" s="955" t="s">
        <v>5083</v>
      </c>
      <c r="P57" s="180" t="s">
        <v>5078</v>
      </c>
      <c r="Q57" s="955" t="s">
        <v>1181</v>
      </c>
      <c r="R57" s="180" t="s">
        <v>2406</v>
      </c>
      <c r="S57" s="180">
        <v>47</v>
      </c>
    </row>
    <row r="58" spans="1:19" x14ac:dyDescent="0.2">
      <c r="A58" t="s">
        <v>2408</v>
      </c>
      <c r="B58">
        <v>17437</v>
      </c>
      <c r="C58">
        <v>11792</v>
      </c>
      <c r="D58" s="1103">
        <v>17606.412767594131</v>
      </c>
      <c r="K58" s="180" t="s">
        <v>5076</v>
      </c>
      <c r="L58" s="180" t="s">
        <v>1367</v>
      </c>
      <c r="M58" s="180">
        <v>2</v>
      </c>
      <c r="N58" s="955" t="s">
        <v>4990</v>
      </c>
      <c r="O58" s="955" t="s">
        <v>5085</v>
      </c>
      <c r="P58" s="180" t="s">
        <v>5078</v>
      </c>
      <c r="Q58" s="955" t="s">
        <v>1181</v>
      </c>
      <c r="R58" s="180" t="s">
        <v>2408</v>
      </c>
      <c r="S58" s="180">
        <v>48</v>
      </c>
    </row>
    <row r="59" spans="1:19" x14ac:dyDescent="0.2">
      <c r="A59" t="s">
        <v>2409</v>
      </c>
      <c r="B59">
        <v>12654</v>
      </c>
      <c r="C59">
        <v>6100</v>
      </c>
      <c r="D59" s="1103">
        <v>12790.25989967681</v>
      </c>
      <c r="K59" s="180" t="s">
        <v>5076</v>
      </c>
      <c r="L59" s="180" t="s">
        <v>1367</v>
      </c>
      <c r="M59" s="180">
        <v>2</v>
      </c>
      <c r="N59" s="955" t="s">
        <v>4992</v>
      </c>
      <c r="O59" s="955" t="s">
        <v>5085</v>
      </c>
      <c r="P59" s="180" t="s">
        <v>5078</v>
      </c>
      <c r="Q59" s="955" t="s">
        <v>1181</v>
      </c>
      <c r="R59" s="180" t="s">
        <v>2409</v>
      </c>
      <c r="S59" s="180">
        <v>49</v>
      </c>
    </row>
    <row r="60" spans="1:19" x14ac:dyDescent="0.2">
      <c r="A60" t="s">
        <v>2412</v>
      </c>
      <c r="B60">
        <v>112136</v>
      </c>
      <c r="C60">
        <v>66106</v>
      </c>
      <c r="D60" s="1103">
        <v>113515.74948590493</v>
      </c>
      <c r="K60" s="180" t="s">
        <v>5076</v>
      </c>
      <c r="L60" s="180" t="s">
        <v>1367</v>
      </c>
      <c r="M60" s="180">
        <v>2</v>
      </c>
      <c r="N60" s="955" t="s">
        <v>4996</v>
      </c>
      <c r="O60" s="955" t="s">
        <v>5086</v>
      </c>
      <c r="P60" s="180" t="s">
        <v>5078</v>
      </c>
      <c r="Q60" s="955" t="s">
        <v>1181</v>
      </c>
      <c r="R60" s="180" t="s">
        <v>2412</v>
      </c>
      <c r="S60" s="180">
        <v>50</v>
      </c>
    </row>
    <row r="61" spans="1:19" x14ac:dyDescent="0.2">
      <c r="A61" t="s">
        <v>2413</v>
      </c>
      <c r="B61">
        <v>62142</v>
      </c>
      <c r="C61">
        <v>36341</v>
      </c>
      <c r="D61" s="1103">
        <v>62948.375839769142</v>
      </c>
      <c r="K61" s="180" t="s">
        <v>5076</v>
      </c>
      <c r="L61" s="180" t="s">
        <v>1367</v>
      </c>
      <c r="M61" s="180">
        <v>2</v>
      </c>
      <c r="N61" s="955" t="s">
        <v>4999</v>
      </c>
      <c r="O61" s="955" t="s">
        <v>5086</v>
      </c>
      <c r="P61" s="180" t="s">
        <v>5078</v>
      </c>
      <c r="Q61" s="955" t="s">
        <v>1181</v>
      </c>
      <c r="R61" s="180" t="s">
        <v>2413</v>
      </c>
      <c r="S61" s="180">
        <v>51</v>
      </c>
    </row>
    <row r="62" spans="1:19" x14ac:dyDescent="0.2">
      <c r="A62" s="180" t="s">
        <v>2416</v>
      </c>
      <c r="B62">
        <v>193516</v>
      </c>
      <c r="C62">
        <v>120851</v>
      </c>
      <c r="D62" s="1103">
        <v>195239.78035896231</v>
      </c>
      <c r="K62" s="180" t="s">
        <v>5076</v>
      </c>
      <c r="L62" s="180" t="s">
        <v>1367</v>
      </c>
      <c r="M62" s="180">
        <v>2</v>
      </c>
      <c r="N62" s="955" t="s">
        <v>5026</v>
      </c>
      <c r="O62" s="955" t="s">
        <v>5133</v>
      </c>
      <c r="P62" s="180" t="s">
        <v>5078</v>
      </c>
      <c r="Q62" s="955" t="s">
        <v>1181</v>
      </c>
      <c r="R62" s="180" t="s">
        <v>2416</v>
      </c>
      <c r="S62" s="180">
        <v>52</v>
      </c>
    </row>
    <row r="63" spans="1:19" x14ac:dyDescent="0.2">
      <c r="A63" t="s">
        <v>2417</v>
      </c>
      <c r="B63">
        <v>181953</v>
      </c>
      <c r="C63">
        <v>89356</v>
      </c>
      <c r="D63" s="1103">
        <v>184007.42172373398</v>
      </c>
      <c r="K63" s="180" t="s">
        <v>5076</v>
      </c>
      <c r="L63" s="180" t="s">
        <v>1367</v>
      </c>
      <c r="M63" s="180">
        <v>2</v>
      </c>
      <c r="N63" s="955" t="s">
        <v>5029</v>
      </c>
      <c r="O63" s="955" t="s">
        <v>5133</v>
      </c>
      <c r="P63" s="180" t="s">
        <v>5078</v>
      </c>
      <c r="Q63" s="955" t="s">
        <v>1181</v>
      </c>
      <c r="R63" s="180" t="s">
        <v>2417</v>
      </c>
      <c r="S63" s="180">
        <v>53</v>
      </c>
    </row>
    <row r="64" spans="1:19" x14ac:dyDescent="0.2">
      <c r="A64" s="484" t="s">
        <v>2418</v>
      </c>
      <c r="B64">
        <v>27400</v>
      </c>
      <c r="C64">
        <v>18814</v>
      </c>
      <c r="D64" s="38">
        <v>27586.363320606892</v>
      </c>
      <c r="K64" s="180" t="s">
        <v>5076</v>
      </c>
      <c r="L64" s="180" t="s">
        <v>1367</v>
      </c>
      <c r="M64" s="180">
        <v>2</v>
      </c>
      <c r="N64" s="955" t="s">
        <v>5037</v>
      </c>
      <c r="O64" s="955" t="s">
        <v>5133</v>
      </c>
      <c r="P64" s="180" t="s">
        <v>5078</v>
      </c>
      <c r="Q64" s="955" t="s">
        <v>1181</v>
      </c>
      <c r="R64" s="858" t="s">
        <v>2418</v>
      </c>
      <c r="S64" s="180">
        <v>54</v>
      </c>
    </row>
    <row r="65" spans="1:19" x14ac:dyDescent="0.2">
      <c r="A65" t="s">
        <v>2420</v>
      </c>
      <c r="B65">
        <v>44439</v>
      </c>
      <c r="C65">
        <v>17677</v>
      </c>
      <c r="D65" s="1103">
        <v>44992.486870012232</v>
      </c>
      <c r="K65" s="180" t="s">
        <v>5076</v>
      </c>
      <c r="L65" s="180" t="s">
        <v>1367</v>
      </c>
      <c r="M65" s="180">
        <v>2</v>
      </c>
      <c r="N65" s="955" t="s">
        <v>5032</v>
      </c>
      <c r="O65" s="955" t="s">
        <v>5133</v>
      </c>
      <c r="P65" s="180" t="s">
        <v>5078</v>
      </c>
      <c r="Q65" s="955" t="s">
        <v>1181</v>
      </c>
      <c r="R65" s="180" t="s">
        <v>2420</v>
      </c>
      <c r="S65" s="180">
        <v>55</v>
      </c>
    </row>
    <row r="66" spans="1:19" x14ac:dyDescent="0.2">
      <c r="A66" t="s">
        <v>2421</v>
      </c>
      <c r="B66">
        <v>193539</v>
      </c>
      <c r="C66">
        <v>73279</v>
      </c>
      <c r="D66" s="1103">
        <v>196092.13483391071</v>
      </c>
      <c r="K66" s="180" t="s">
        <v>5076</v>
      </c>
      <c r="L66" s="180" t="s">
        <v>1367</v>
      </c>
      <c r="M66" s="180">
        <v>2</v>
      </c>
      <c r="N66" s="955" t="s">
        <v>5035</v>
      </c>
      <c r="O66" s="955" t="s">
        <v>5133</v>
      </c>
      <c r="P66" s="180" t="s">
        <v>5078</v>
      </c>
      <c r="Q66" s="955" t="s">
        <v>1181</v>
      </c>
      <c r="R66" s="180" t="s">
        <v>2421</v>
      </c>
      <c r="S66" s="180">
        <v>56</v>
      </c>
    </row>
    <row r="67" spans="1:19" x14ac:dyDescent="0.2">
      <c r="A67" s="484" t="s">
        <v>2422</v>
      </c>
      <c r="B67">
        <v>27112</v>
      </c>
      <c r="C67">
        <v>11116</v>
      </c>
      <c r="D67" s="38">
        <v>27437.367422636718</v>
      </c>
      <c r="K67" s="180" t="s">
        <v>5076</v>
      </c>
      <c r="L67" s="180" t="s">
        <v>1367</v>
      </c>
      <c r="M67" s="180">
        <v>2</v>
      </c>
      <c r="N67" s="955" t="s">
        <v>5040</v>
      </c>
      <c r="O67" s="955" t="s">
        <v>5133</v>
      </c>
      <c r="P67" s="180" t="s">
        <v>5078</v>
      </c>
      <c r="Q67" s="955" t="s">
        <v>1181</v>
      </c>
      <c r="R67" s="858" t="s">
        <v>2422</v>
      </c>
      <c r="S67" s="180">
        <v>57</v>
      </c>
    </row>
    <row r="68" spans="1:19" x14ac:dyDescent="0.2">
      <c r="A68" t="s">
        <v>2424</v>
      </c>
      <c r="B68">
        <v>34646</v>
      </c>
      <c r="C68">
        <v>19654</v>
      </c>
      <c r="D68" s="1103">
        <v>35009.924989794068</v>
      </c>
      <c r="K68" s="180" t="s">
        <v>5076</v>
      </c>
      <c r="L68" s="180" t="s">
        <v>1367</v>
      </c>
      <c r="M68" s="180">
        <v>2</v>
      </c>
      <c r="N68" s="955" t="s">
        <v>5134</v>
      </c>
      <c r="O68" s="955" t="s">
        <v>5135</v>
      </c>
      <c r="P68" s="180" t="s">
        <v>5078</v>
      </c>
      <c r="Q68" s="955" t="s">
        <v>1181</v>
      </c>
      <c r="R68" s="180" t="s">
        <v>2424</v>
      </c>
      <c r="S68" s="180">
        <v>58</v>
      </c>
    </row>
    <row r="69" spans="1:19" x14ac:dyDescent="0.2">
      <c r="A69" t="s">
        <v>2425</v>
      </c>
      <c r="B69">
        <v>50572</v>
      </c>
      <c r="C69">
        <v>29392</v>
      </c>
      <c r="D69" s="1103">
        <v>51079.041165031012</v>
      </c>
      <c r="K69" s="180" t="s">
        <v>5076</v>
      </c>
      <c r="L69" s="180" t="s">
        <v>1367</v>
      </c>
      <c r="M69" s="180">
        <v>2</v>
      </c>
      <c r="N69" s="955" t="s">
        <v>5136</v>
      </c>
      <c r="O69" s="955" t="s">
        <v>5135</v>
      </c>
      <c r="P69" s="180" t="s">
        <v>5078</v>
      </c>
      <c r="Q69" s="955" t="s">
        <v>1181</v>
      </c>
      <c r="R69" s="180" t="s">
        <v>2425</v>
      </c>
      <c r="S69" s="180">
        <v>59</v>
      </c>
    </row>
    <row r="70" spans="1:19" x14ac:dyDescent="0.2">
      <c r="A70" t="s">
        <v>2427</v>
      </c>
      <c r="B70">
        <v>31579</v>
      </c>
      <c r="C70">
        <v>17858</v>
      </c>
      <c r="D70" s="1103">
        <v>31911.866238441537</v>
      </c>
      <c r="K70" s="180" t="s">
        <v>5076</v>
      </c>
      <c r="L70" s="180" t="s">
        <v>1367</v>
      </c>
      <c r="M70" s="180">
        <v>2</v>
      </c>
      <c r="N70" s="955" t="s">
        <v>5137</v>
      </c>
      <c r="O70" s="955" t="s">
        <v>5135</v>
      </c>
      <c r="P70" s="180" t="s">
        <v>5078</v>
      </c>
      <c r="Q70" s="955" t="s">
        <v>1181</v>
      </c>
      <c r="R70" s="180" t="s">
        <v>2427</v>
      </c>
      <c r="S70" s="180">
        <v>60</v>
      </c>
    </row>
    <row r="71" spans="1:19" x14ac:dyDescent="0.2">
      <c r="A71" t="s">
        <v>2429</v>
      </c>
      <c r="B71">
        <v>29829</v>
      </c>
      <c r="C71" s="1102">
        <v>29378</v>
      </c>
      <c r="D71" s="1103">
        <v>30514.995169889942</v>
      </c>
      <c r="K71" s="180" t="s">
        <v>5076</v>
      </c>
      <c r="L71" s="180" t="s">
        <v>1367</v>
      </c>
      <c r="M71" s="180">
        <v>2</v>
      </c>
      <c r="N71" s="955" t="s">
        <v>5138</v>
      </c>
      <c r="O71" s="955" t="s">
        <v>5139</v>
      </c>
      <c r="P71" s="180" t="s">
        <v>5078</v>
      </c>
      <c r="Q71" s="955" t="s">
        <v>1181</v>
      </c>
      <c r="R71" s="180" t="s">
        <v>2429</v>
      </c>
      <c r="S71" s="180">
        <v>61</v>
      </c>
    </row>
    <row r="72" spans="1:19" x14ac:dyDescent="0.2">
      <c r="A72" t="s">
        <v>2430</v>
      </c>
      <c r="B72">
        <v>60323</v>
      </c>
      <c r="C72" s="1102">
        <v>59639</v>
      </c>
      <c r="D72" s="1103">
        <v>62014.123031332325</v>
      </c>
      <c r="K72" s="180" t="s">
        <v>5076</v>
      </c>
      <c r="L72" s="180" t="s">
        <v>1367</v>
      </c>
      <c r="M72" s="180">
        <v>2</v>
      </c>
      <c r="N72" s="955" t="s">
        <v>5140</v>
      </c>
      <c r="O72" s="955" t="s">
        <v>5141</v>
      </c>
      <c r="P72" s="180" t="s">
        <v>5078</v>
      </c>
      <c r="Q72" s="955" t="s">
        <v>1181</v>
      </c>
      <c r="R72" s="180" t="s">
        <v>2430</v>
      </c>
      <c r="S72" s="180">
        <v>62</v>
      </c>
    </row>
    <row r="73" spans="1:19" x14ac:dyDescent="0.2">
      <c r="A73" t="s">
        <v>2431</v>
      </c>
      <c r="B73">
        <v>102220</v>
      </c>
      <c r="C73" s="1102">
        <v>100995</v>
      </c>
      <c r="D73" s="1103">
        <v>105088.00510214591</v>
      </c>
      <c r="K73" s="180" t="s">
        <v>5076</v>
      </c>
      <c r="L73" s="180" t="s">
        <v>1367</v>
      </c>
      <c r="M73" s="180">
        <v>2</v>
      </c>
      <c r="N73" s="955" t="s">
        <v>5142</v>
      </c>
      <c r="O73" s="955" t="s">
        <v>5143</v>
      </c>
      <c r="P73" s="180" t="s">
        <v>5078</v>
      </c>
      <c r="Q73" s="955" t="s">
        <v>1181</v>
      </c>
      <c r="R73" s="180" t="s">
        <v>2431</v>
      </c>
      <c r="S73" s="180">
        <v>63</v>
      </c>
    </row>
    <row r="74" spans="1:19" x14ac:dyDescent="0.2">
      <c r="A74" t="s">
        <v>2432</v>
      </c>
      <c r="B74">
        <v>3502</v>
      </c>
      <c r="C74" s="1102">
        <v>3493</v>
      </c>
      <c r="D74" s="38">
        <v>3502.0856103192018</v>
      </c>
      <c r="K74" s="180" t="s">
        <v>5076</v>
      </c>
      <c r="L74" s="180" t="s">
        <v>1367</v>
      </c>
      <c r="M74" s="180">
        <v>2</v>
      </c>
      <c r="N74" s="955" t="s">
        <v>5046</v>
      </c>
      <c r="O74" s="955" t="s">
        <v>5144</v>
      </c>
      <c r="P74" s="180" t="s">
        <v>5078</v>
      </c>
      <c r="Q74" s="955" t="s">
        <v>1181</v>
      </c>
      <c r="R74" s="180" t="s">
        <v>2432</v>
      </c>
      <c r="S74" s="180">
        <v>64</v>
      </c>
    </row>
    <row r="75" spans="1:19" x14ac:dyDescent="0.2">
      <c r="A75" t="s">
        <v>2433</v>
      </c>
      <c r="B75">
        <v>68181</v>
      </c>
      <c r="C75">
        <v>48854</v>
      </c>
      <c r="D75" s="1103">
        <v>68709.240798400875</v>
      </c>
      <c r="K75" s="180" t="s">
        <v>5076</v>
      </c>
      <c r="L75" s="180" t="s">
        <v>1367</v>
      </c>
      <c r="M75" s="180">
        <v>2</v>
      </c>
      <c r="N75" s="955" t="s">
        <v>4928</v>
      </c>
      <c r="O75" s="955" t="s">
        <v>5145</v>
      </c>
      <c r="P75" s="180" t="s">
        <v>5078</v>
      </c>
      <c r="Q75" s="955" t="s">
        <v>1181</v>
      </c>
      <c r="R75" s="180" t="s">
        <v>2433</v>
      </c>
      <c r="S75" s="180">
        <v>65</v>
      </c>
    </row>
    <row r="76" spans="1:19" x14ac:dyDescent="0.2">
      <c r="A76" t="s">
        <v>2434</v>
      </c>
      <c r="B76">
        <v>69600</v>
      </c>
      <c r="C76" s="1102">
        <v>49937</v>
      </c>
      <c r="D76" s="1103">
        <v>70137.360638360464</v>
      </c>
      <c r="E76" t="s">
        <v>5146</v>
      </c>
      <c r="K76" s="180" t="s">
        <v>5076</v>
      </c>
      <c r="L76" s="180" t="s">
        <v>1367</v>
      </c>
      <c r="M76" s="180">
        <v>2</v>
      </c>
      <c r="N76" s="955" t="s">
        <v>5147</v>
      </c>
      <c r="O76" s="955" t="s">
        <v>5145</v>
      </c>
      <c r="P76" s="180" t="s">
        <v>5078</v>
      </c>
      <c r="Q76" s="955" t="s">
        <v>1181</v>
      </c>
      <c r="R76" s="180" t="s">
        <v>2434</v>
      </c>
      <c r="S76" s="180">
        <v>66</v>
      </c>
    </row>
    <row r="77" spans="1:19" x14ac:dyDescent="0.2">
      <c r="A77" t="s">
        <v>2436</v>
      </c>
      <c r="B77">
        <v>13444</v>
      </c>
      <c r="C77" s="1102">
        <v>10178</v>
      </c>
      <c r="D77" s="1103">
        <v>13536.844381418539</v>
      </c>
      <c r="E77" s="38">
        <f>D76+D77</f>
        <v>83674.205019779009</v>
      </c>
      <c r="F77">
        <f>E228</f>
        <v>83674.205019778994</v>
      </c>
      <c r="G77">
        <f>E77-F77</f>
        <v>0</v>
      </c>
      <c r="K77" s="180" t="s">
        <v>5076</v>
      </c>
      <c r="L77" s="180" t="s">
        <v>1367</v>
      </c>
      <c r="M77" s="180">
        <v>2</v>
      </c>
      <c r="N77" s="955" t="s">
        <v>5148</v>
      </c>
      <c r="O77" s="955" t="s">
        <v>5145</v>
      </c>
      <c r="P77" s="180" t="s">
        <v>5078</v>
      </c>
      <c r="Q77" s="955" t="s">
        <v>1181</v>
      </c>
      <c r="R77" s="180" t="s">
        <v>2436</v>
      </c>
      <c r="S77" s="180">
        <v>67</v>
      </c>
    </row>
    <row r="78" spans="1:19" x14ac:dyDescent="0.2">
      <c r="A78" t="s">
        <v>2437</v>
      </c>
      <c r="B78">
        <v>16837</v>
      </c>
      <c r="C78">
        <v>16017</v>
      </c>
      <c r="D78" s="1103">
        <v>16872.486111754235</v>
      </c>
      <c r="K78" s="180" t="s">
        <v>5076</v>
      </c>
      <c r="L78" s="180" t="s">
        <v>1367</v>
      </c>
      <c r="M78" s="180">
        <v>2</v>
      </c>
      <c r="N78" s="955" t="s">
        <v>4937</v>
      </c>
      <c r="O78" s="955" t="s">
        <v>5149</v>
      </c>
      <c r="P78" s="180" t="s">
        <v>5078</v>
      </c>
      <c r="Q78" s="955" t="s">
        <v>1181</v>
      </c>
      <c r="R78" s="180" t="s">
        <v>2437</v>
      </c>
      <c r="S78" s="180">
        <v>68</v>
      </c>
    </row>
    <row r="79" spans="1:19" x14ac:dyDescent="0.2">
      <c r="A79" s="484" t="s">
        <v>2439</v>
      </c>
      <c r="B79">
        <v>55913</v>
      </c>
      <c r="C79">
        <v>42871</v>
      </c>
      <c r="D79" s="38">
        <v>56236.321566150284</v>
      </c>
      <c r="K79" s="180" t="s">
        <v>5076</v>
      </c>
      <c r="L79" s="180" t="s">
        <v>1367</v>
      </c>
      <c r="M79" s="180">
        <v>2</v>
      </c>
      <c r="N79" s="955" t="s">
        <v>4940</v>
      </c>
      <c r="O79" s="955" t="s">
        <v>5150</v>
      </c>
      <c r="P79" s="180" t="s">
        <v>5078</v>
      </c>
      <c r="Q79" s="955" t="s">
        <v>1181</v>
      </c>
      <c r="R79" s="858" t="s">
        <v>2439</v>
      </c>
      <c r="S79" s="180">
        <v>69</v>
      </c>
    </row>
    <row r="80" spans="1:19" x14ac:dyDescent="0.2">
      <c r="A80" t="s">
        <v>2440</v>
      </c>
      <c r="B80">
        <v>79676</v>
      </c>
      <c r="C80" s="1102">
        <v>60637</v>
      </c>
      <c r="D80" s="1103">
        <v>80251.688588017321</v>
      </c>
      <c r="K80" s="180" t="s">
        <v>5076</v>
      </c>
      <c r="L80" s="180" t="s">
        <v>1367</v>
      </c>
      <c r="M80" s="180">
        <v>2</v>
      </c>
      <c r="N80" s="955" t="s">
        <v>4943</v>
      </c>
      <c r="O80" s="955" t="s">
        <v>5151</v>
      </c>
      <c r="P80" s="180" t="s">
        <v>5078</v>
      </c>
      <c r="Q80" s="955" t="s">
        <v>1181</v>
      </c>
      <c r="R80" s="180" t="s">
        <v>2440</v>
      </c>
      <c r="S80" s="180">
        <v>70</v>
      </c>
    </row>
    <row r="81" spans="1:19" x14ac:dyDescent="0.2">
      <c r="A81" t="s">
        <v>2442</v>
      </c>
      <c r="B81">
        <v>16108</v>
      </c>
      <c r="C81" s="1102">
        <v>9573</v>
      </c>
      <c r="D81" s="1103">
        <v>16527.162083430965</v>
      </c>
      <c r="K81" s="180" t="s">
        <v>5076</v>
      </c>
      <c r="L81" s="180" t="s">
        <v>1367</v>
      </c>
      <c r="M81" s="180">
        <v>2</v>
      </c>
      <c r="N81" s="955" t="s">
        <v>4951</v>
      </c>
      <c r="O81" s="955" t="s">
        <v>5151</v>
      </c>
      <c r="P81" s="180" t="s">
        <v>5078</v>
      </c>
      <c r="Q81" s="955" t="s">
        <v>1181</v>
      </c>
      <c r="R81" s="180" t="s">
        <v>2442</v>
      </c>
      <c r="S81" s="180">
        <v>71</v>
      </c>
    </row>
    <row r="82" spans="1:19" x14ac:dyDescent="0.2">
      <c r="A82" t="s">
        <v>2443</v>
      </c>
      <c r="B82">
        <v>12329</v>
      </c>
      <c r="C82">
        <v>11350</v>
      </c>
      <c r="D82" s="1103">
        <v>12376.223899088604</v>
      </c>
      <c r="K82" s="180" t="s">
        <v>5076</v>
      </c>
      <c r="L82" s="180" t="s">
        <v>1367</v>
      </c>
      <c r="M82" s="180">
        <v>2</v>
      </c>
      <c r="N82" s="955" t="s">
        <v>4954</v>
      </c>
      <c r="O82" s="955" t="s">
        <v>5152</v>
      </c>
      <c r="P82" s="180" t="s">
        <v>5078</v>
      </c>
      <c r="Q82" s="955" t="s">
        <v>1181</v>
      </c>
      <c r="R82" s="180" t="s">
        <v>2443</v>
      </c>
      <c r="S82" s="180">
        <v>72</v>
      </c>
    </row>
    <row r="83" spans="1:19" x14ac:dyDescent="0.2">
      <c r="A83" t="s">
        <v>2446</v>
      </c>
      <c r="B83">
        <v>17271</v>
      </c>
      <c r="C83" s="1102">
        <v>13866</v>
      </c>
      <c r="D83" s="1103">
        <v>17380.149185278635</v>
      </c>
      <c r="K83" s="180" t="s">
        <v>5076</v>
      </c>
      <c r="L83" s="180" t="s">
        <v>1367</v>
      </c>
      <c r="M83" s="180">
        <v>2</v>
      </c>
      <c r="N83" s="955" t="s">
        <v>4957</v>
      </c>
      <c r="O83" s="955" t="s">
        <v>5152</v>
      </c>
      <c r="P83" s="180" t="s">
        <v>5078</v>
      </c>
      <c r="Q83" s="955" t="s">
        <v>1181</v>
      </c>
      <c r="R83" s="180" t="s">
        <v>2446</v>
      </c>
      <c r="S83" s="180">
        <v>73</v>
      </c>
    </row>
    <row r="84" spans="1:19" x14ac:dyDescent="0.2">
      <c r="A84" t="s">
        <v>2447</v>
      </c>
      <c r="B84">
        <v>28490</v>
      </c>
      <c r="C84" s="1102">
        <v>15383</v>
      </c>
      <c r="D84" s="1103">
        <v>28820.917229241339</v>
      </c>
      <c r="K84" s="180" t="s">
        <v>5076</v>
      </c>
      <c r="L84" s="180" t="s">
        <v>1367</v>
      </c>
      <c r="M84" s="180">
        <v>2</v>
      </c>
      <c r="N84" s="955" t="s">
        <v>4960</v>
      </c>
      <c r="O84" s="955" t="s">
        <v>5152</v>
      </c>
      <c r="P84" s="180" t="s">
        <v>5078</v>
      </c>
      <c r="Q84" s="955" t="s">
        <v>1181</v>
      </c>
      <c r="R84" s="180" t="s">
        <v>2447</v>
      </c>
      <c r="S84" s="180">
        <v>74</v>
      </c>
    </row>
    <row r="85" spans="1:19" x14ac:dyDescent="0.2">
      <c r="A85" t="s">
        <v>2448</v>
      </c>
      <c r="B85">
        <v>4384</v>
      </c>
      <c r="C85">
        <v>2666</v>
      </c>
      <c r="D85" s="1103">
        <v>4422.2397112812578</v>
      </c>
      <c r="K85" s="180" t="s">
        <v>5076</v>
      </c>
      <c r="L85" s="180" t="s">
        <v>1367</v>
      </c>
      <c r="M85" s="180">
        <v>2</v>
      </c>
      <c r="N85" s="955" t="s">
        <v>5092</v>
      </c>
      <c r="O85" s="955" t="s">
        <v>5153</v>
      </c>
      <c r="P85" s="180" t="s">
        <v>5078</v>
      </c>
      <c r="Q85" s="955" t="s">
        <v>1181</v>
      </c>
      <c r="R85" s="180" t="s">
        <v>2448</v>
      </c>
      <c r="S85" s="180">
        <v>75</v>
      </c>
    </row>
    <row r="86" spans="1:19" x14ac:dyDescent="0.2">
      <c r="A86" t="s">
        <v>2449</v>
      </c>
      <c r="B86">
        <v>44459</v>
      </c>
      <c r="C86" s="1102">
        <v>26923</v>
      </c>
      <c r="D86" s="1103">
        <v>44859.013639696903</v>
      </c>
      <c r="K86" s="180" t="s">
        <v>5076</v>
      </c>
      <c r="L86" s="180" t="s">
        <v>1367</v>
      </c>
      <c r="M86" s="180">
        <v>2</v>
      </c>
      <c r="N86" s="955" t="s">
        <v>5125</v>
      </c>
      <c r="O86" s="955" t="s">
        <v>5153</v>
      </c>
      <c r="P86" s="180" t="s">
        <v>5078</v>
      </c>
      <c r="Q86" s="955" t="s">
        <v>1181</v>
      </c>
      <c r="R86" s="180" t="s">
        <v>2449</v>
      </c>
      <c r="S86" s="180">
        <v>76</v>
      </c>
    </row>
    <row r="87" spans="1:19" x14ac:dyDescent="0.2">
      <c r="A87" t="s">
        <v>2450</v>
      </c>
      <c r="B87">
        <v>28339</v>
      </c>
      <c r="C87" s="1102">
        <v>19471</v>
      </c>
      <c r="D87" s="1103">
        <v>28545.676937313183</v>
      </c>
      <c r="K87" s="180" t="s">
        <v>5076</v>
      </c>
      <c r="L87" s="180" t="s">
        <v>1367</v>
      </c>
      <c r="M87" s="180">
        <v>2</v>
      </c>
      <c r="N87" s="955" t="s">
        <v>5126</v>
      </c>
      <c r="O87" s="955" t="s">
        <v>5153</v>
      </c>
      <c r="P87" s="180" t="s">
        <v>5078</v>
      </c>
      <c r="Q87" s="955" t="s">
        <v>1181</v>
      </c>
      <c r="R87" s="180" t="s">
        <v>2450</v>
      </c>
      <c r="S87" s="180">
        <v>77</v>
      </c>
    </row>
    <row r="88" spans="1:19" x14ac:dyDescent="0.2">
      <c r="A88" t="s">
        <v>2452</v>
      </c>
      <c r="B88">
        <v>3031</v>
      </c>
      <c r="C88">
        <v>1719</v>
      </c>
      <c r="D88" s="1103">
        <v>3068.8853663189448</v>
      </c>
      <c r="K88" s="180" t="s">
        <v>5076</v>
      </c>
      <c r="L88" s="180" t="s">
        <v>1367</v>
      </c>
      <c r="M88" s="180">
        <v>2</v>
      </c>
      <c r="N88" s="955" t="s">
        <v>5094</v>
      </c>
      <c r="O88" s="955" t="s">
        <v>5095</v>
      </c>
      <c r="P88" s="180" t="s">
        <v>5078</v>
      </c>
      <c r="Q88" s="955" t="s">
        <v>1181</v>
      </c>
      <c r="R88" s="180" t="s">
        <v>2452</v>
      </c>
      <c r="S88" s="180">
        <v>78</v>
      </c>
    </row>
    <row r="89" spans="1:19" x14ac:dyDescent="0.2">
      <c r="A89" t="s">
        <v>2454</v>
      </c>
      <c r="B89">
        <v>6479</v>
      </c>
      <c r="C89" s="1102">
        <v>3611</v>
      </c>
      <c r="D89" s="1103">
        <v>6566.763462349285</v>
      </c>
      <c r="K89" s="180" t="s">
        <v>5076</v>
      </c>
      <c r="L89" s="180" t="s">
        <v>1367</v>
      </c>
      <c r="M89" s="180">
        <v>2</v>
      </c>
      <c r="N89" s="955" t="s">
        <v>5127</v>
      </c>
      <c r="O89" s="955" t="s">
        <v>5095</v>
      </c>
      <c r="P89" s="180" t="s">
        <v>5078</v>
      </c>
      <c r="Q89" s="955" t="s">
        <v>1181</v>
      </c>
      <c r="R89" s="180" t="s">
        <v>2454</v>
      </c>
      <c r="S89" s="180">
        <v>79</v>
      </c>
    </row>
    <row r="90" spans="1:19" x14ac:dyDescent="0.2">
      <c r="A90" t="s">
        <v>2455</v>
      </c>
      <c r="B90">
        <v>14448</v>
      </c>
      <c r="C90" s="1102">
        <v>7925</v>
      </c>
      <c r="D90" s="1103">
        <v>14656.846382903044</v>
      </c>
      <c r="K90" s="180" t="s">
        <v>5076</v>
      </c>
      <c r="L90" s="180" t="s">
        <v>1367</v>
      </c>
      <c r="M90" s="180">
        <v>2</v>
      </c>
      <c r="N90" s="955" t="s">
        <v>5128</v>
      </c>
      <c r="O90" s="955" t="s">
        <v>5095</v>
      </c>
      <c r="P90" s="180" t="s">
        <v>5078</v>
      </c>
      <c r="Q90" s="955" t="s">
        <v>1181</v>
      </c>
      <c r="R90" s="180" t="s">
        <v>2455</v>
      </c>
      <c r="S90" s="180">
        <v>80</v>
      </c>
    </row>
    <row r="91" spans="1:19" x14ac:dyDescent="0.2">
      <c r="A91" t="s">
        <v>2459</v>
      </c>
      <c r="B91">
        <v>12416</v>
      </c>
      <c r="C91">
        <v>11518</v>
      </c>
      <c r="D91" s="1103">
        <v>12507.466746387005</v>
      </c>
      <c r="K91" s="180" t="s">
        <v>5076</v>
      </c>
      <c r="L91" s="180" t="s">
        <v>1367</v>
      </c>
      <c r="M91" s="180">
        <v>2</v>
      </c>
      <c r="N91" s="955" t="s">
        <v>5096</v>
      </c>
      <c r="O91" s="955" t="s">
        <v>5154</v>
      </c>
      <c r="P91" s="180" t="s">
        <v>5078</v>
      </c>
      <c r="Q91" s="955" t="s">
        <v>1181</v>
      </c>
      <c r="R91" s="180" t="s">
        <v>2459</v>
      </c>
      <c r="S91" s="180">
        <v>81</v>
      </c>
    </row>
    <row r="92" spans="1:19" x14ac:dyDescent="0.2">
      <c r="A92" t="s">
        <v>2460</v>
      </c>
      <c r="B92">
        <v>12741</v>
      </c>
      <c r="C92" s="1102">
        <v>11840</v>
      </c>
      <c r="D92" s="1103">
        <v>12832.98508778466</v>
      </c>
      <c r="K92" s="180" t="s">
        <v>5076</v>
      </c>
      <c r="L92" s="180" t="s">
        <v>1367</v>
      </c>
      <c r="M92" s="180">
        <v>2</v>
      </c>
      <c r="N92" s="955" t="s">
        <v>5129</v>
      </c>
      <c r="O92" s="955" t="s">
        <v>5154</v>
      </c>
      <c r="P92" s="180" t="s">
        <v>5078</v>
      </c>
      <c r="Q92" s="955" t="s">
        <v>1181</v>
      </c>
      <c r="R92" s="180" t="s">
        <v>2460</v>
      </c>
      <c r="S92" s="180">
        <v>82</v>
      </c>
    </row>
    <row r="93" spans="1:19" x14ac:dyDescent="0.2">
      <c r="A93" t="s">
        <v>2463</v>
      </c>
      <c r="B93">
        <v>19061</v>
      </c>
      <c r="C93" s="1102">
        <v>15803</v>
      </c>
      <c r="D93" s="1103">
        <v>19221.956965560246</v>
      </c>
      <c r="K93" s="180" t="s">
        <v>5076</v>
      </c>
      <c r="L93" s="180" t="s">
        <v>1367</v>
      </c>
      <c r="M93" s="180">
        <v>2</v>
      </c>
      <c r="N93" s="955" t="s">
        <v>5130</v>
      </c>
      <c r="O93" s="955" t="s">
        <v>5154</v>
      </c>
      <c r="P93" s="180" t="s">
        <v>5078</v>
      </c>
      <c r="Q93" s="955" t="s">
        <v>1181</v>
      </c>
      <c r="R93" s="180" t="s">
        <v>2463</v>
      </c>
      <c r="S93" s="180">
        <v>83</v>
      </c>
    </row>
    <row r="94" spans="1:19" x14ac:dyDescent="0.2">
      <c r="A94" s="484" t="s">
        <v>2467</v>
      </c>
      <c r="B94">
        <v>11021</v>
      </c>
      <c r="C94">
        <v>6886</v>
      </c>
      <c r="D94" s="38">
        <v>11273.102489727577</v>
      </c>
      <c r="K94" s="180" t="s">
        <v>5076</v>
      </c>
      <c r="L94" s="180" t="s">
        <v>1367</v>
      </c>
      <c r="M94" s="180">
        <v>2</v>
      </c>
      <c r="N94" s="955" t="s">
        <v>5155</v>
      </c>
      <c r="O94" s="955" t="s">
        <v>5156</v>
      </c>
      <c r="P94" s="180" t="s">
        <v>5078</v>
      </c>
      <c r="Q94" s="955" t="s">
        <v>1181</v>
      </c>
      <c r="R94" s="858" t="s">
        <v>2467</v>
      </c>
      <c r="S94" s="180">
        <v>84</v>
      </c>
    </row>
    <row r="95" spans="1:19" x14ac:dyDescent="0.2">
      <c r="A95" t="s">
        <v>2470</v>
      </c>
      <c r="B95">
        <v>22065</v>
      </c>
      <c r="C95">
        <v>15511</v>
      </c>
      <c r="D95" s="1103">
        <v>22478.724507942563</v>
      </c>
      <c r="K95" s="180" t="s">
        <v>5076</v>
      </c>
      <c r="L95" s="180" t="s">
        <v>1367</v>
      </c>
      <c r="M95" s="180">
        <v>2</v>
      </c>
      <c r="N95" s="955" t="s">
        <v>5011</v>
      </c>
      <c r="O95" s="955" t="s">
        <v>5157</v>
      </c>
      <c r="P95" s="180" t="s">
        <v>5078</v>
      </c>
      <c r="Q95" s="955" t="s">
        <v>1181</v>
      </c>
      <c r="R95" s="180" t="s">
        <v>2470</v>
      </c>
      <c r="S95" s="180">
        <v>85</v>
      </c>
    </row>
    <row r="96" spans="1:19" x14ac:dyDescent="0.2">
      <c r="A96" t="s">
        <v>2472</v>
      </c>
      <c r="B96">
        <v>22113</v>
      </c>
      <c r="C96">
        <v>15532</v>
      </c>
      <c r="D96" s="1103">
        <v>22527.260917398555</v>
      </c>
      <c r="K96" s="180" t="s">
        <v>5076</v>
      </c>
      <c r="L96" s="180" t="s">
        <v>1367</v>
      </c>
      <c r="M96" s="180">
        <v>2</v>
      </c>
      <c r="N96" s="955" t="s">
        <v>5014</v>
      </c>
      <c r="O96" s="955" t="s">
        <v>5157</v>
      </c>
      <c r="P96" s="180" t="s">
        <v>5078</v>
      </c>
      <c r="Q96" s="955" t="s">
        <v>1181</v>
      </c>
      <c r="R96" s="180" t="s">
        <v>2472</v>
      </c>
      <c r="S96" s="180">
        <v>86</v>
      </c>
    </row>
    <row r="97" spans="1:19" x14ac:dyDescent="0.2">
      <c r="A97" t="s">
        <v>2474</v>
      </c>
      <c r="B97">
        <v>35026</v>
      </c>
      <c r="C97">
        <v>15680</v>
      </c>
      <c r="D97" s="1103">
        <v>35454.617313085662</v>
      </c>
      <c r="K97" s="180" t="s">
        <v>5076</v>
      </c>
      <c r="L97" s="180" t="s">
        <v>1367</v>
      </c>
      <c r="M97" s="180">
        <v>2</v>
      </c>
      <c r="N97" s="955" t="s">
        <v>5017</v>
      </c>
      <c r="O97" s="955" t="s">
        <v>5157</v>
      </c>
      <c r="P97" s="180" t="s">
        <v>5078</v>
      </c>
      <c r="Q97" s="955" t="s">
        <v>1181</v>
      </c>
      <c r="R97" s="180" t="s">
        <v>2474</v>
      </c>
      <c r="S97" s="180">
        <v>87</v>
      </c>
    </row>
    <row r="98" spans="1:19" x14ac:dyDescent="0.2">
      <c r="A98" s="484" t="s">
        <v>2477</v>
      </c>
      <c r="B98">
        <v>1258</v>
      </c>
      <c r="C98">
        <v>1258</v>
      </c>
      <c r="D98" s="38">
        <v>1257.8977768109314</v>
      </c>
      <c r="K98" s="180" t="s">
        <v>5076</v>
      </c>
      <c r="L98" s="180" t="s">
        <v>1367</v>
      </c>
      <c r="M98" s="180">
        <v>2</v>
      </c>
      <c r="N98" s="955" t="s">
        <v>5158</v>
      </c>
      <c r="O98" s="955" t="s">
        <v>5159</v>
      </c>
      <c r="P98" s="180" t="s">
        <v>5078</v>
      </c>
      <c r="Q98" s="955" t="s">
        <v>1181</v>
      </c>
      <c r="R98" s="858" t="s">
        <v>2477</v>
      </c>
      <c r="S98" s="180">
        <v>88</v>
      </c>
    </row>
    <row r="99" spans="1:19" x14ac:dyDescent="0.2">
      <c r="A99" t="s">
        <v>2479</v>
      </c>
      <c r="B99">
        <v>6947</v>
      </c>
      <c r="C99" s="1102">
        <v>3386</v>
      </c>
      <c r="D99" s="38">
        <v>7058.8531101847329</v>
      </c>
      <c r="K99" s="180" t="s">
        <v>5076</v>
      </c>
      <c r="L99" s="180" t="s">
        <v>1367</v>
      </c>
      <c r="M99" s="180">
        <v>2</v>
      </c>
      <c r="N99" s="955" t="s">
        <v>5160</v>
      </c>
      <c r="O99" s="955" t="s">
        <v>5161</v>
      </c>
      <c r="P99" s="180" t="s">
        <v>5078</v>
      </c>
      <c r="Q99" s="955" t="s">
        <v>1181</v>
      </c>
      <c r="R99" s="180" t="s">
        <v>2479</v>
      </c>
      <c r="S99" s="180">
        <v>89</v>
      </c>
    </row>
    <row r="100" spans="1:19" x14ac:dyDescent="0.2">
      <c r="A100" t="s">
        <v>2481</v>
      </c>
      <c r="B100">
        <v>2964</v>
      </c>
      <c r="C100" s="1102">
        <v>2964</v>
      </c>
      <c r="D100" s="38">
        <v>2963.9508147972365</v>
      </c>
      <c r="K100" s="180" t="s">
        <v>5076</v>
      </c>
      <c r="L100" s="180" t="s">
        <v>1367</v>
      </c>
      <c r="M100" s="180">
        <v>2</v>
      </c>
      <c r="N100" s="955" t="s">
        <v>5162</v>
      </c>
      <c r="O100" s="955" t="s">
        <v>5163</v>
      </c>
      <c r="P100" s="180" t="s">
        <v>5078</v>
      </c>
      <c r="Q100" s="955" t="s">
        <v>1181</v>
      </c>
      <c r="R100" s="180" t="s">
        <v>2481</v>
      </c>
      <c r="S100" s="180">
        <v>90</v>
      </c>
    </row>
    <row r="101" spans="1:19" x14ac:dyDescent="0.2">
      <c r="A101" t="s">
        <v>2483</v>
      </c>
      <c r="B101">
        <v>0</v>
      </c>
      <c r="C101" s="1102">
        <v>0</v>
      </c>
      <c r="D101" s="38">
        <v>0</v>
      </c>
      <c r="K101" s="180" t="s">
        <v>5076</v>
      </c>
      <c r="L101" s="180" t="s">
        <v>1367</v>
      </c>
      <c r="M101" s="180">
        <v>2</v>
      </c>
      <c r="N101" s="955" t="s">
        <v>5164</v>
      </c>
      <c r="O101" s="955" t="s">
        <v>1004</v>
      </c>
      <c r="P101" s="180" t="s">
        <v>5078</v>
      </c>
      <c r="Q101" s="955" t="s">
        <v>1181</v>
      </c>
      <c r="R101" s="180" t="s">
        <v>2483</v>
      </c>
      <c r="S101" s="180">
        <v>91</v>
      </c>
    </row>
    <row r="102" spans="1:19" x14ac:dyDescent="0.2">
      <c r="A102" t="s">
        <v>2487</v>
      </c>
      <c r="B102">
        <v>5261</v>
      </c>
      <c r="C102" s="1102">
        <v>5261</v>
      </c>
      <c r="D102" s="38">
        <v>5261.403538272235</v>
      </c>
      <c r="K102" s="180" t="s">
        <v>5076</v>
      </c>
      <c r="L102" s="180" t="s">
        <v>1367</v>
      </c>
      <c r="M102" s="180">
        <v>2</v>
      </c>
      <c r="N102" s="955" t="s">
        <v>5165</v>
      </c>
      <c r="O102" s="955" t="s">
        <v>5166</v>
      </c>
      <c r="P102" s="180" t="s">
        <v>5078</v>
      </c>
      <c r="Q102" s="955" t="s">
        <v>1181</v>
      </c>
      <c r="R102" s="180" t="s">
        <v>2487</v>
      </c>
      <c r="S102" s="180">
        <v>92</v>
      </c>
    </row>
    <row r="103" spans="1:19" x14ac:dyDescent="0.2">
      <c r="A103" s="484" t="s">
        <v>654</v>
      </c>
      <c r="B103">
        <v>46765</v>
      </c>
      <c r="C103">
        <v>46765</v>
      </c>
      <c r="D103" s="38">
        <v>46764.659341314851</v>
      </c>
      <c r="K103" s="180" t="s">
        <v>5076</v>
      </c>
      <c r="L103" s="180" t="s">
        <v>1367</v>
      </c>
      <c r="M103" s="180">
        <v>2</v>
      </c>
      <c r="N103" s="955" t="s">
        <v>5167</v>
      </c>
      <c r="O103" s="955" t="s">
        <v>1004</v>
      </c>
      <c r="P103" s="180" t="s">
        <v>5078</v>
      </c>
      <c r="Q103" s="955" t="s">
        <v>1181</v>
      </c>
      <c r="R103" s="858" t="s">
        <v>654</v>
      </c>
      <c r="S103" s="180">
        <v>93</v>
      </c>
    </row>
    <row r="104" spans="1:19" x14ac:dyDescent="0.2">
      <c r="A104" t="s">
        <v>2490</v>
      </c>
      <c r="B104">
        <v>11261</v>
      </c>
      <c r="C104">
        <v>11261</v>
      </c>
      <c r="D104" s="1103">
        <v>11260.895822534281</v>
      </c>
      <c r="K104" s="180" t="s">
        <v>5076</v>
      </c>
      <c r="L104" s="180" t="s">
        <v>1367</v>
      </c>
      <c r="M104" s="180">
        <v>2</v>
      </c>
      <c r="N104" s="955" t="s">
        <v>5168</v>
      </c>
      <c r="O104" s="955" t="s">
        <v>1004</v>
      </c>
      <c r="P104" s="180" t="s">
        <v>5078</v>
      </c>
      <c r="Q104" s="955" t="s">
        <v>1181</v>
      </c>
      <c r="R104" s="180" t="s">
        <v>2490</v>
      </c>
      <c r="S104" s="180">
        <v>94</v>
      </c>
    </row>
    <row r="105" spans="1:19" x14ac:dyDescent="0.2">
      <c r="A105" s="180" t="s">
        <v>2492</v>
      </c>
      <c r="B105">
        <v>22018</v>
      </c>
      <c r="C105" s="1102">
        <v>16017</v>
      </c>
      <c r="D105" s="1103">
        <v>22142.779595597447</v>
      </c>
      <c r="K105" s="180" t="s">
        <v>5076</v>
      </c>
      <c r="L105" s="180" t="s">
        <v>1367</v>
      </c>
      <c r="M105" s="180">
        <v>2</v>
      </c>
      <c r="N105" s="955" t="s">
        <v>4937</v>
      </c>
      <c r="O105" s="955" t="s">
        <v>5169</v>
      </c>
      <c r="P105" s="180" t="s">
        <v>5078</v>
      </c>
      <c r="Q105" s="955" t="s">
        <v>1181</v>
      </c>
      <c r="R105" s="180" t="s">
        <v>2492</v>
      </c>
      <c r="S105" s="180">
        <v>95</v>
      </c>
    </row>
    <row r="106" spans="1:19" x14ac:dyDescent="0.2">
      <c r="A106" s="180" t="s">
        <v>2494</v>
      </c>
      <c r="B106">
        <v>1714</v>
      </c>
      <c r="C106" s="1102">
        <v>1401</v>
      </c>
      <c r="D106" s="1103">
        <v>1720.109003057386</v>
      </c>
      <c r="K106" s="180" t="s">
        <v>5076</v>
      </c>
      <c r="L106" s="180" t="s">
        <v>1367</v>
      </c>
      <c r="M106" s="180">
        <v>2</v>
      </c>
      <c r="N106" s="955" t="s">
        <v>5170</v>
      </c>
      <c r="O106" s="955" t="s">
        <v>5169</v>
      </c>
      <c r="P106" s="180" t="s">
        <v>5078</v>
      </c>
      <c r="Q106" s="955" t="s">
        <v>1181</v>
      </c>
      <c r="R106" s="180" t="s">
        <v>2494</v>
      </c>
      <c r="S106" s="180">
        <v>96</v>
      </c>
    </row>
    <row r="107" spans="1:19" x14ac:dyDescent="0.2">
      <c r="A107" t="s">
        <v>2499</v>
      </c>
      <c r="B107">
        <v>4478</v>
      </c>
      <c r="C107" s="1102">
        <v>28</v>
      </c>
      <c r="D107" s="38">
        <v>4570.7393459532896</v>
      </c>
      <c r="K107" s="180" t="s">
        <v>5076</v>
      </c>
      <c r="L107" s="180" t="s">
        <v>1367</v>
      </c>
      <c r="M107" s="180">
        <v>2</v>
      </c>
      <c r="N107" s="955" t="s">
        <v>5049</v>
      </c>
      <c r="O107" s="955" t="s">
        <v>5171</v>
      </c>
      <c r="P107" s="180" t="s">
        <v>5078</v>
      </c>
      <c r="Q107" s="955" t="s">
        <v>1181</v>
      </c>
      <c r="R107" s="180" t="s">
        <v>2499</v>
      </c>
      <c r="S107" s="180">
        <v>97</v>
      </c>
    </row>
    <row r="108" spans="1:19" x14ac:dyDescent="0.2">
      <c r="A108" t="s">
        <v>2502</v>
      </c>
      <c r="B108">
        <v>58157</v>
      </c>
      <c r="C108" s="1102">
        <v>42871</v>
      </c>
      <c r="D108" s="38">
        <v>58474.256312579222</v>
      </c>
      <c r="K108" s="180" t="s">
        <v>5076</v>
      </c>
      <c r="L108" s="180" t="s">
        <v>1367</v>
      </c>
      <c r="M108" s="180">
        <v>2</v>
      </c>
      <c r="N108" s="955" t="s">
        <v>4940</v>
      </c>
      <c r="O108" s="955" t="s">
        <v>5172</v>
      </c>
      <c r="P108" s="180" t="s">
        <v>5078</v>
      </c>
      <c r="Q108" s="955" t="s">
        <v>1181</v>
      </c>
      <c r="R108" s="180" t="s">
        <v>2502</v>
      </c>
      <c r="S108" s="180">
        <v>98</v>
      </c>
    </row>
    <row r="109" spans="1:19" x14ac:dyDescent="0.2">
      <c r="A109" t="s">
        <v>2504</v>
      </c>
      <c r="B109">
        <v>9346</v>
      </c>
      <c r="C109" s="1102">
        <v>8379</v>
      </c>
      <c r="D109" s="38">
        <v>9366.0492437875164</v>
      </c>
      <c r="K109" s="180" t="s">
        <v>5076</v>
      </c>
      <c r="L109" s="180" t="s">
        <v>1367</v>
      </c>
      <c r="M109" s="180">
        <v>2</v>
      </c>
      <c r="N109" s="955" t="s">
        <v>374</v>
      </c>
      <c r="O109" s="955" t="s">
        <v>5172</v>
      </c>
      <c r="P109" s="180" t="s">
        <v>5078</v>
      </c>
      <c r="Q109" s="955" t="s">
        <v>1181</v>
      </c>
      <c r="R109" s="180" t="s">
        <v>2504</v>
      </c>
      <c r="S109" s="180">
        <v>99</v>
      </c>
    </row>
    <row r="110" spans="1:19" x14ac:dyDescent="0.2">
      <c r="A110" s="484" t="s">
        <v>2508</v>
      </c>
      <c r="B110">
        <v>5373</v>
      </c>
      <c r="C110">
        <v>5373</v>
      </c>
      <c r="D110" s="38">
        <v>5373.0606161271171</v>
      </c>
      <c r="K110" s="180" t="s">
        <v>5076</v>
      </c>
      <c r="L110" s="180" t="s">
        <v>1367</v>
      </c>
      <c r="M110" s="180">
        <v>2</v>
      </c>
      <c r="N110" s="955" t="s">
        <v>5173</v>
      </c>
      <c r="O110" s="955" t="s">
        <v>1004</v>
      </c>
      <c r="P110" s="180" t="s">
        <v>5078</v>
      </c>
      <c r="Q110" s="955" t="s">
        <v>1181</v>
      </c>
      <c r="R110" s="858" t="s">
        <v>2508</v>
      </c>
      <c r="S110" s="180">
        <v>100</v>
      </c>
    </row>
    <row r="111" spans="1:19" x14ac:dyDescent="0.2">
      <c r="A111" s="484" t="s">
        <v>2510</v>
      </c>
      <c r="B111">
        <v>5204</v>
      </c>
      <c r="C111">
        <v>5204</v>
      </c>
      <c r="D111" s="38">
        <v>5204.2327143919492</v>
      </c>
      <c r="K111" s="180" t="s">
        <v>5076</v>
      </c>
      <c r="L111" s="180" t="s">
        <v>1367</v>
      </c>
      <c r="M111" s="180">
        <v>2</v>
      </c>
      <c r="N111" s="955" t="s">
        <v>5174</v>
      </c>
      <c r="O111" s="955" t="s">
        <v>1004</v>
      </c>
      <c r="P111" s="180" t="s">
        <v>5078</v>
      </c>
      <c r="Q111" s="955" t="s">
        <v>1181</v>
      </c>
      <c r="R111" s="858" t="s">
        <v>2510</v>
      </c>
      <c r="S111" s="180">
        <v>101</v>
      </c>
    </row>
    <row r="112" spans="1:19" x14ac:dyDescent="0.2">
      <c r="A112" t="s">
        <v>2512</v>
      </c>
      <c r="B112">
        <v>11021</v>
      </c>
      <c r="C112" s="1102">
        <v>11021</v>
      </c>
      <c r="D112" s="38">
        <v>11020.874096780914</v>
      </c>
      <c r="K112" s="180" t="s">
        <v>5076</v>
      </c>
      <c r="L112" s="180" t="s">
        <v>1367</v>
      </c>
      <c r="M112" s="180">
        <v>2</v>
      </c>
      <c r="N112" s="955" t="s">
        <v>5175</v>
      </c>
      <c r="O112" s="955" t="s">
        <v>1004</v>
      </c>
      <c r="P112" s="180" t="s">
        <v>5078</v>
      </c>
      <c r="Q112" s="955" t="s">
        <v>1181</v>
      </c>
      <c r="R112" s="180" t="s">
        <v>2512</v>
      </c>
      <c r="S112" s="180">
        <v>102</v>
      </c>
    </row>
    <row r="113" spans="1:19" x14ac:dyDescent="0.2">
      <c r="A113" t="s">
        <v>2515</v>
      </c>
      <c r="B113">
        <v>456</v>
      </c>
      <c r="C113" s="1102">
        <v>456</v>
      </c>
      <c r="D113" s="38">
        <v>455.8684779490539</v>
      </c>
      <c r="K113" s="180" t="s">
        <v>5076</v>
      </c>
      <c r="L113" s="180" t="s">
        <v>1367</v>
      </c>
      <c r="M113" s="180">
        <v>2</v>
      </c>
      <c r="N113" s="955" t="s">
        <v>5176</v>
      </c>
      <c r="O113" s="955" t="s">
        <v>1004</v>
      </c>
      <c r="P113" s="180" t="s">
        <v>5078</v>
      </c>
      <c r="Q113" s="955" t="s">
        <v>1181</v>
      </c>
      <c r="R113" s="180" t="s">
        <v>2515</v>
      </c>
      <c r="S113" s="180">
        <v>103</v>
      </c>
    </row>
    <row r="114" spans="1:19" x14ac:dyDescent="0.2">
      <c r="A114" t="s">
        <v>2517</v>
      </c>
      <c r="B114">
        <v>6878</v>
      </c>
      <c r="C114" s="1102">
        <v>6878</v>
      </c>
      <c r="D114" s="38">
        <v>6877.7396616297738</v>
      </c>
      <c r="K114" s="180" t="s">
        <v>5076</v>
      </c>
      <c r="L114" s="180" t="s">
        <v>1367</v>
      </c>
      <c r="M114" s="180">
        <v>2</v>
      </c>
      <c r="N114" s="955" t="s">
        <v>5177</v>
      </c>
      <c r="O114" s="955" t="s">
        <v>1004</v>
      </c>
      <c r="P114" s="180" t="s">
        <v>5078</v>
      </c>
      <c r="Q114" s="955" t="s">
        <v>1181</v>
      </c>
      <c r="R114" s="180" t="s">
        <v>2517</v>
      </c>
      <c r="S114" s="180">
        <v>104</v>
      </c>
    </row>
    <row r="115" spans="1:19" x14ac:dyDescent="0.2">
      <c r="A115" s="484" t="s">
        <v>2519</v>
      </c>
      <c r="B115">
        <v>943</v>
      </c>
      <c r="C115">
        <v>773</v>
      </c>
      <c r="D115" s="38">
        <v>946.11571999759462</v>
      </c>
      <c r="K115" s="180" t="s">
        <v>5076</v>
      </c>
      <c r="L115" s="180" t="s">
        <v>1367</v>
      </c>
      <c r="M115" s="180">
        <v>2</v>
      </c>
      <c r="N115" s="955" t="s">
        <v>5178</v>
      </c>
      <c r="O115" s="955" t="s">
        <v>5179</v>
      </c>
      <c r="P115" s="180" t="s">
        <v>5078</v>
      </c>
      <c r="Q115" s="955" t="s">
        <v>1181</v>
      </c>
      <c r="R115" s="858" t="s">
        <v>2519</v>
      </c>
      <c r="S115" s="180">
        <v>105</v>
      </c>
    </row>
    <row r="116" spans="1:19" x14ac:dyDescent="0.2">
      <c r="A116" t="s">
        <v>2521</v>
      </c>
      <c r="B116">
        <v>58</v>
      </c>
      <c r="C116" s="1102">
        <v>58</v>
      </c>
      <c r="D116" s="38">
        <v>58.01932578810456</v>
      </c>
      <c r="K116" s="180" t="s">
        <v>5076</v>
      </c>
      <c r="L116" s="180" t="s">
        <v>1367</v>
      </c>
      <c r="M116" s="180">
        <v>2</v>
      </c>
      <c r="N116" s="955" t="s">
        <v>5180</v>
      </c>
      <c r="O116" s="955" t="s">
        <v>1004</v>
      </c>
      <c r="P116" s="180" t="s">
        <v>5078</v>
      </c>
      <c r="Q116" s="955" t="s">
        <v>1181</v>
      </c>
      <c r="R116" s="180" t="s">
        <v>2521</v>
      </c>
      <c r="S116" s="180">
        <v>106</v>
      </c>
    </row>
    <row r="117" spans="1:19" x14ac:dyDescent="0.2">
      <c r="A117" t="s">
        <v>2523</v>
      </c>
      <c r="B117">
        <v>0</v>
      </c>
      <c r="C117" s="1102">
        <v>0</v>
      </c>
      <c r="D117" s="38">
        <v>0</v>
      </c>
      <c r="K117" s="180" t="s">
        <v>5076</v>
      </c>
      <c r="L117" s="180" t="s">
        <v>1367</v>
      </c>
      <c r="M117" s="180">
        <v>2</v>
      </c>
      <c r="N117" s="955" t="s">
        <v>5181</v>
      </c>
      <c r="O117" s="955" t="s">
        <v>1004</v>
      </c>
      <c r="P117" s="180" t="s">
        <v>5078</v>
      </c>
      <c r="Q117" s="955" t="s">
        <v>1181</v>
      </c>
      <c r="R117" s="180" t="s">
        <v>2523</v>
      </c>
      <c r="S117" s="180">
        <v>107</v>
      </c>
    </row>
    <row r="118" spans="1:19" x14ac:dyDescent="0.2">
      <c r="A118" t="s">
        <v>2526</v>
      </c>
      <c r="B118">
        <v>1039</v>
      </c>
      <c r="C118" s="1102">
        <v>692</v>
      </c>
      <c r="D118" s="38">
        <v>1046.9317922069406</v>
      </c>
      <c r="K118" s="180" t="s">
        <v>5076</v>
      </c>
      <c r="L118" s="180" t="s">
        <v>1367</v>
      </c>
      <c r="M118" s="180">
        <v>2</v>
      </c>
      <c r="N118" s="955" t="s">
        <v>5182</v>
      </c>
      <c r="O118" s="955" t="s">
        <v>5183</v>
      </c>
      <c r="P118" s="180" t="s">
        <v>5078</v>
      </c>
      <c r="Q118" s="955" t="s">
        <v>1181</v>
      </c>
      <c r="R118" s="180" t="s">
        <v>2526</v>
      </c>
      <c r="S118" s="180">
        <v>108</v>
      </c>
    </row>
    <row r="119" spans="1:19" x14ac:dyDescent="0.2">
      <c r="A119" t="s">
        <v>2527</v>
      </c>
      <c r="B119">
        <v>8606</v>
      </c>
      <c r="C119" s="1102">
        <v>5662</v>
      </c>
      <c r="D119" s="38">
        <v>8676.5671559257571</v>
      </c>
      <c r="K119" s="180" t="s">
        <v>5076</v>
      </c>
      <c r="L119" s="180" t="s">
        <v>1367</v>
      </c>
      <c r="M119" s="180">
        <v>2</v>
      </c>
      <c r="N119" s="955" t="s">
        <v>5184</v>
      </c>
      <c r="O119" s="955" t="s">
        <v>5183</v>
      </c>
      <c r="P119" s="180" t="s">
        <v>5078</v>
      </c>
      <c r="Q119" s="955" t="s">
        <v>1181</v>
      </c>
      <c r="R119" s="180" t="s">
        <v>2527</v>
      </c>
      <c r="S119" s="180">
        <v>109</v>
      </c>
    </row>
    <row r="120" spans="1:19" x14ac:dyDescent="0.2">
      <c r="A120" t="s">
        <v>2529</v>
      </c>
      <c r="B120">
        <v>3022</v>
      </c>
      <c r="C120" s="1102">
        <v>1652</v>
      </c>
      <c r="D120" s="38">
        <v>3052.4071779981523</v>
      </c>
      <c r="K120" s="180" t="s">
        <v>5076</v>
      </c>
      <c r="L120" s="180" t="s">
        <v>1367</v>
      </c>
      <c r="M120" s="180">
        <v>2</v>
      </c>
      <c r="N120" s="955" t="s">
        <v>5185</v>
      </c>
      <c r="O120" s="955" t="s">
        <v>5186</v>
      </c>
      <c r="P120" s="180" t="s">
        <v>5078</v>
      </c>
      <c r="Q120" s="955" t="s">
        <v>1181</v>
      </c>
      <c r="R120" s="180" t="s">
        <v>2529</v>
      </c>
      <c r="S120" s="180">
        <v>110</v>
      </c>
    </row>
    <row r="121" spans="1:19" x14ac:dyDescent="0.2">
      <c r="A121" t="s">
        <v>2532</v>
      </c>
      <c r="B121">
        <v>54815</v>
      </c>
      <c r="C121" s="1102">
        <v>33177</v>
      </c>
      <c r="D121" s="38">
        <v>55309.425472057665</v>
      </c>
      <c r="K121" s="180" t="s">
        <v>5076</v>
      </c>
      <c r="L121" s="180" t="s">
        <v>1367</v>
      </c>
      <c r="M121" s="180">
        <v>2</v>
      </c>
      <c r="N121" s="955" t="s">
        <v>5187</v>
      </c>
      <c r="O121" s="955" t="s">
        <v>5186</v>
      </c>
      <c r="P121" s="180" t="s">
        <v>5078</v>
      </c>
      <c r="Q121" s="955" t="s">
        <v>1181</v>
      </c>
      <c r="R121" s="180" t="s">
        <v>2532</v>
      </c>
      <c r="S121" s="180">
        <v>111</v>
      </c>
    </row>
    <row r="122" spans="1:19" x14ac:dyDescent="0.2">
      <c r="A122" t="s">
        <v>2537</v>
      </c>
      <c r="B122">
        <v>264</v>
      </c>
      <c r="C122" s="1102">
        <v>264</v>
      </c>
      <c r="D122" s="38">
        <v>263.91526653156745</v>
      </c>
      <c r="K122" s="180" t="s">
        <v>5076</v>
      </c>
      <c r="L122" s="180" t="s">
        <v>1367</v>
      </c>
      <c r="M122" s="180">
        <v>2</v>
      </c>
      <c r="N122" s="955" t="s">
        <v>5188</v>
      </c>
      <c r="O122" s="955" t="s">
        <v>1004</v>
      </c>
      <c r="P122" s="180" t="s">
        <v>5078</v>
      </c>
      <c r="Q122" s="955" t="s">
        <v>1181</v>
      </c>
      <c r="R122" s="180" t="s">
        <v>2537</v>
      </c>
      <c r="S122" s="180">
        <v>112</v>
      </c>
    </row>
    <row r="123" spans="1:19" x14ac:dyDescent="0.2">
      <c r="A123" t="s">
        <v>2539</v>
      </c>
      <c r="B123">
        <v>4889</v>
      </c>
      <c r="C123" s="1102">
        <v>4889</v>
      </c>
      <c r="D123" s="38">
        <v>4889.2270659239066</v>
      </c>
      <c r="K123" s="180" t="s">
        <v>5076</v>
      </c>
      <c r="L123" s="180" t="s">
        <v>1367</v>
      </c>
      <c r="M123" s="180">
        <v>2</v>
      </c>
      <c r="N123" s="955" t="s">
        <v>5189</v>
      </c>
      <c r="O123" s="955" t="s">
        <v>1004</v>
      </c>
      <c r="P123" s="180" t="s">
        <v>5078</v>
      </c>
      <c r="Q123" s="955" t="s">
        <v>1181</v>
      </c>
      <c r="R123" s="180" t="s">
        <v>2539</v>
      </c>
      <c r="S123" s="180">
        <v>113</v>
      </c>
    </row>
    <row r="124" spans="1:19" x14ac:dyDescent="0.2">
      <c r="A124" t="s">
        <v>2541</v>
      </c>
      <c r="B124">
        <v>65</v>
      </c>
      <c r="C124" s="1102">
        <v>65</v>
      </c>
      <c r="D124" s="38">
        <v>64.609625481357284</v>
      </c>
      <c r="K124" s="180" t="s">
        <v>5076</v>
      </c>
      <c r="L124" s="180" t="s">
        <v>1367</v>
      </c>
      <c r="M124" s="180">
        <v>2</v>
      </c>
      <c r="N124" s="955" t="s">
        <v>5190</v>
      </c>
      <c r="O124" s="955" t="s">
        <v>1004</v>
      </c>
      <c r="P124" s="180" t="s">
        <v>5078</v>
      </c>
      <c r="Q124" s="955" t="s">
        <v>1181</v>
      </c>
      <c r="R124" s="180" t="s">
        <v>2541</v>
      </c>
      <c r="S124" s="180">
        <v>114</v>
      </c>
    </row>
    <row r="125" spans="1:19" x14ac:dyDescent="0.2">
      <c r="A125" t="s">
        <v>2544</v>
      </c>
      <c r="B125">
        <v>0</v>
      </c>
      <c r="C125" s="1102">
        <v>0</v>
      </c>
      <c r="D125" s="38">
        <v>0</v>
      </c>
      <c r="K125" s="180" t="s">
        <v>5076</v>
      </c>
      <c r="L125" s="180" t="s">
        <v>1367</v>
      </c>
      <c r="M125" s="180">
        <v>2</v>
      </c>
      <c r="N125" s="955" t="s">
        <v>5191</v>
      </c>
      <c r="O125" s="955" t="s">
        <v>1004</v>
      </c>
      <c r="P125" s="180" t="s">
        <v>5078</v>
      </c>
      <c r="Q125" s="955" t="s">
        <v>1181</v>
      </c>
      <c r="R125" s="180" t="s">
        <v>2544</v>
      </c>
      <c r="S125" s="180">
        <v>115</v>
      </c>
    </row>
    <row r="126" spans="1:19" x14ac:dyDescent="0.2">
      <c r="A126" t="s">
        <v>2546</v>
      </c>
      <c r="B126">
        <v>2966</v>
      </c>
      <c r="C126" s="1102">
        <v>1655</v>
      </c>
      <c r="D126" s="38">
        <v>3004.2757408375878</v>
      </c>
      <c r="K126" s="180" t="s">
        <v>5076</v>
      </c>
      <c r="L126" s="180" t="s">
        <v>1367</v>
      </c>
      <c r="M126" s="180">
        <v>2</v>
      </c>
      <c r="N126" s="955" t="s">
        <v>5192</v>
      </c>
      <c r="O126" s="955" t="s">
        <v>5095</v>
      </c>
      <c r="P126" s="180" t="s">
        <v>5078</v>
      </c>
      <c r="Q126" s="955" t="s">
        <v>1181</v>
      </c>
      <c r="R126" s="180" t="s">
        <v>2546</v>
      </c>
      <c r="S126" s="180">
        <v>116</v>
      </c>
    </row>
    <row r="127" spans="1:19" x14ac:dyDescent="0.2">
      <c r="A127" t="s">
        <v>2548</v>
      </c>
      <c r="B127">
        <v>17896</v>
      </c>
      <c r="C127" s="1102">
        <v>9817</v>
      </c>
      <c r="D127" s="38">
        <v>18154.724478933382</v>
      </c>
      <c r="K127" s="180" t="s">
        <v>5076</v>
      </c>
      <c r="L127" s="180" t="s">
        <v>1367</v>
      </c>
      <c r="M127" s="180">
        <v>2</v>
      </c>
      <c r="N127" s="955" t="s">
        <v>393</v>
      </c>
      <c r="O127" s="955" t="s">
        <v>5095</v>
      </c>
      <c r="P127" s="180" t="s">
        <v>5078</v>
      </c>
      <c r="Q127" s="955" t="s">
        <v>1181</v>
      </c>
      <c r="R127" s="180" t="s">
        <v>2548</v>
      </c>
      <c r="S127" s="180">
        <v>117</v>
      </c>
    </row>
    <row r="128" spans="1:19" x14ac:dyDescent="0.2">
      <c r="A128" t="s">
        <v>2550</v>
      </c>
      <c r="B128">
        <v>521</v>
      </c>
      <c r="C128" s="1102">
        <v>521</v>
      </c>
      <c r="D128" s="38">
        <v>520.64743318462899</v>
      </c>
      <c r="K128" s="180" t="s">
        <v>5076</v>
      </c>
      <c r="L128" s="180" t="s">
        <v>1367</v>
      </c>
      <c r="M128" s="180">
        <v>2</v>
      </c>
      <c r="N128" s="955" t="s">
        <v>5193</v>
      </c>
      <c r="O128" s="955" t="s">
        <v>1004</v>
      </c>
      <c r="P128" s="180" t="s">
        <v>5078</v>
      </c>
      <c r="Q128" s="955" t="s">
        <v>1181</v>
      </c>
      <c r="R128" s="180" t="s">
        <v>2550</v>
      </c>
      <c r="S128" s="180">
        <v>118</v>
      </c>
    </row>
    <row r="129" spans="1:19" x14ac:dyDescent="0.2">
      <c r="A129" s="484" t="s">
        <v>2552</v>
      </c>
      <c r="B129">
        <v>0</v>
      </c>
      <c r="C129">
        <v>0</v>
      </c>
      <c r="D129" s="38">
        <v>0</v>
      </c>
      <c r="K129" s="180" t="s">
        <v>5076</v>
      </c>
      <c r="L129" s="180" t="s">
        <v>1367</v>
      </c>
      <c r="M129" s="180">
        <v>2</v>
      </c>
      <c r="N129" s="955" t="s">
        <v>5194</v>
      </c>
      <c r="O129" s="955" t="s">
        <v>1004</v>
      </c>
      <c r="P129" s="180" t="s">
        <v>5078</v>
      </c>
      <c r="Q129" s="955" t="s">
        <v>1181</v>
      </c>
      <c r="R129" s="858" t="s">
        <v>2552</v>
      </c>
      <c r="S129" s="180">
        <v>119</v>
      </c>
    </row>
    <row r="130" spans="1:19" x14ac:dyDescent="0.2">
      <c r="A130" t="s">
        <v>2553</v>
      </c>
      <c r="B130">
        <v>0</v>
      </c>
      <c r="C130" s="1102">
        <v>0</v>
      </c>
      <c r="D130" s="38">
        <v>0</v>
      </c>
      <c r="K130" s="180" t="s">
        <v>5076</v>
      </c>
      <c r="L130" s="180" t="s">
        <v>1367</v>
      </c>
      <c r="M130" s="180">
        <v>2</v>
      </c>
      <c r="N130" s="955" t="s">
        <v>5195</v>
      </c>
      <c r="O130" s="955" t="s">
        <v>1004</v>
      </c>
      <c r="P130" s="180" t="s">
        <v>5078</v>
      </c>
      <c r="Q130" s="955" t="s">
        <v>1181</v>
      </c>
      <c r="R130" s="180" t="s">
        <v>2553</v>
      </c>
      <c r="S130" s="180">
        <v>120</v>
      </c>
    </row>
    <row r="131" spans="1:19" x14ac:dyDescent="0.2">
      <c r="A131" t="s">
        <v>2555</v>
      </c>
      <c r="B131">
        <v>1281</v>
      </c>
      <c r="C131" s="1102">
        <v>1281</v>
      </c>
      <c r="D131" s="38">
        <v>1281.1424854026945</v>
      </c>
      <c r="K131" s="180" t="s">
        <v>5076</v>
      </c>
      <c r="L131" s="180" t="s">
        <v>1367</v>
      </c>
      <c r="M131" s="180">
        <v>2</v>
      </c>
      <c r="N131" s="955" t="s">
        <v>5196</v>
      </c>
      <c r="O131" s="955" t="s">
        <v>1004</v>
      </c>
      <c r="P131" s="180" t="s">
        <v>5078</v>
      </c>
      <c r="Q131" s="955" t="s">
        <v>1181</v>
      </c>
      <c r="R131" s="180" t="s">
        <v>2555</v>
      </c>
      <c r="S131" s="180">
        <v>121</v>
      </c>
    </row>
    <row r="132" spans="1:19" x14ac:dyDescent="0.2">
      <c r="A132" t="s">
        <v>2558</v>
      </c>
      <c r="B132">
        <v>9187</v>
      </c>
      <c r="C132" s="1102">
        <v>9187</v>
      </c>
      <c r="D132" s="38">
        <v>9187.3724798703352</v>
      </c>
      <c r="K132" s="180" t="s">
        <v>5076</v>
      </c>
      <c r="L132" s="180" t="s">
        <v>1367</v>
      </c>
      <c r="M132" s="180">
        <v>2</v>
      </c>
      <c r="N132" s="955" t="s">
        <v>399</v>
      </c>
      <c r="O132" s="955" t="s">
        <v>1004</v>
      </c>
      <c r="P132" s="180" t="s">
        <v>5078</v>
      </c>
      <c r="Q132" s="955" t="s">
        <v>1181</v>
      </c>
      <c r="R132" s="180" t="s">
        <v>2558</v>
      </c>
      <c r="S132" s="180">
        <v>122</v>
      </c>
    </row>
    <row r="133" spans="1:19" x14ac:dyDescent="0.2">
      <c r="A133" t="s">
        <v>2560</v>
      </c>
      <c r="B133">
        <v>0</v>
      </c>
      <c r="C133" s="1102">
        <v>0</v>
      </c>
      <c r="D133" s="38">
        <v>0</v>
      </c>
      <c r="K133" s="180" t="s">
        <v>5076</v>
      </c>
      <c r="L133" s="180" t="s">
        <v>1367</v>
      </c>
      <c r="M133" s="180">
        <v>2</v>
      </c>
      <c r="N133" s="955" t="s">
        <v>5197</v>
      </c>
      <c r="O133" s="955" t="s">
        <v>1004</v>
      </c>
      <c r="P133" s="180" t="s">
        <v>5078</v>
      </c>
      <c r="Q133" s="955" t="s">
        <v>1181</v>
      </c>
      <c r="R133" s="180" t="s">
        <v>2560</v>
      </c>
      <c r="S133" s="180">
        <v>123</v>
      </c>
    </row>
    <row r="134" spans="1:19" x14ac:dyDescent="0.2">
      <c r="A134" t="s">
        <v>2562</v>
      </c>
      <c r="B134">
        <v>2883</v>
      </c>
      <c r="C134" s="1102">
        <v>1991</v>
      </c>
      <c r="D134" s="38">
        <v>2974.5926298865434</v>
      </c>
      <c r="K134" s="180" t="s">
        <v>5076</v>
      </c>
      <c r="L134" s="180" t="s">
        <v>1367</v>
      </c>
      <c r="M134" s="180">
        <v>2</v>
      </c>
      <c r="N134" s="955" t="s">
        <v>5198</v>
      </c>
      <c r="O134" s="955" t="s">
        <v>5199</v>
      </c>
      <c r="P134" s="180" t="s">
        <v>5078</v>
      </c>
      <c r="Q134" s="955" t="s">
        <v>1181</v>
      </c>
      <c r="R134" s="180" t="s">
        <v>2562</v>
      </c>
      <c r="S134" s="180">
        <v>124</v>
      </c>
    </row>
    <row r="135" spans="1:19" x14ac:dyDescent="0.2">
      <c r="A135" t="s">
        <v>2564</v>
      </c>
      <c r="B135">
        <v>8138</v>
      </c>
      <c r="C135" s="1102">
        <v>4895</v>
      </c>
      <c r="D135" s="38">
        <v>8299.0027329390596</v>
      </c>
      <c r="K135" s="180" t="s">
        <v>5076</v>
      </c>
      <c r="L135" s="180" t="s">
        <v>1367</v>
      </c>
      <c r="M135" s="180">
        <v>2</v>
      </c>
      <c r="N135" s="955" t="s">
        <v>404</v>
      </c>
      <c r="O135" s="955" t="s">
        <v>5199</v>
      </c>
      <c r="P135" s="180" t="s">
        <v>5078</v>
      </c>
      <c r="Q135" s="955" t="s">
        <v>1181</v>
      </c>
      <c r="R135" s="180" t="s">
        <v>2564</v>
      </c>
      <c r="S135" s="180">
        <v>125</v>
      </c>
    </row>
    <row r="136" spans="1:19" x14ac:dyDescent="0.2">
      <c r="A136" t="s">
        <v>2565</v>
      </c>
      <c r="B136">
        <v>2043</v>
      </c>
      <c r="C136" s="1102">
        <v>2043</v>
      </c>
      <c r="D136" s="38">
        <v>2042.6209683434515</v>
      </c>
      <c r="K136" s="180" t="s">
        <v>5076</v>
      </c>
      <c r="L136" s="180" t="s">
        <v>1367</v>
      </c>
      <c r="M136" s="180">
        <v>2</v>
      </c>
      <c r="N136" s="955" t="s">
        <v>5200</v>
      </c>
      <c r="O136" s="955" t="s">
        <v>1004</v>
      </c>
      <c r="P136" s="180" t="s">
        <v>5078</v>
      </c>
      <c r="Q136" s="955" t="s">
        <v>1181</v>
      </c>
      <c r="R136" s="180" t="s">
        <v>2565</v>
      </c>
      <c r="S136" s="180">
        <v>126</v>
      </c>
    </row>
    <row r="137" spans="1:19" x14ac:dyDescent="0.2">
      <c r="A137" t="s">
        <v>2567</v>
      </c>
      <c r="B137">
        <v>189</v>
      </c>
      <c r="C137" s="1102">
        <v>184</v>
      </c>
      <c r="D137" s="38">
        <v>189.0412002216498</v>
      </c>
      <c r="K137" s="180" t="s">
        <v>5076</v>
      </c>
      <c r="L137" s="180" t="s">
        <v>1367</v>
      </c>
      <c r="M137" s="180">
        <v>2</v>
      </c>
      <c r="N137" s="955" t="s">
        <v>5201</v>
      </c>
      <c r="O137" s="955" t="s">
        <v>5202</v>
      </c>
      <c r="P137" s="180" t="s">
        <v>5078</v>
      </c>
      <c r="Q137" s="955" t="s">
        <v>1181</v>
      </c>
      <c r="R137" s="180" t="s">
        <v>2567</v>
      </c>
      <c r="S137" s="180">
        <v>127</v>
      </c>
    </row>
    <row r="138" spans="1:19" x14ac:dyDescent="0.2">
      <c r="A138" t="s">
        <v>2573</v>
      </c>
      <c r="B138">
        <v>7541</v>
      </c>
      <c r="C138" s="1102">
        <v>7541</v>
      </c>
      <c r="D138" s="38">
        <v>7540.9837296733704</v>
      </c>
      <c r="K138" s="180" t="s">
        <v>5076</v>
      </c>
      <c r="L138" s="180" t="s">
        <v>1367</v>
      </c>
      <c r="M138" s="180">
        <v>2</v>
      </c>
      <c r="N138" s="955" t="s">
        <v>5203</v>
      </c>
      <c r="O138" s="955" t="s">
        <v>5204</v>
      </c>
      <c r="P138" s="180" t="s">
        <v>5078</v>
      </c>
      <c r="Q138" s="955" t="s">
        <v>1181</v>
      </c>
      <c r="R138" s="180" t="s">
        <v>2573</v>
      </c>
      <c r="S138" s="180">
        <v>128</v>
      </c>
    </row>
    <row r="139" spans="1:19" ht="25.5" x14ac:dyDescent="0.2">
      <c r="A139" t="s">
        <v>2574</v>
      </c>
      <c r="B139">
        <v>11151</v>
      </c>
      <c r="C139">
        <v>7541</v>
      </c>
      <c r="D139" s="1103">
        <v>11223.496116085011</v>
      </c>
      <c r="K139" s="180" t="s">
        <v>5076</v>
      </c>
      <c r="L139" s="180" t="s">
        <v>1367</v>
      </c>
      <c r="M139" s="180">
        <v>2</v>
      </c>
      <c r="N139" s="955" t="s">
        <v>5203</v>
      </c>
      <c r="O139" s="955" t="s">
        <v>5205</v>
      </c>
      <c r="P139" s="180" t="s">
        <v>5078</v>
      </c>
      <c r="Q139" s="955" t="s">
        <v>1181</v>
      </c>
      <c r="R139" s="180" t="s">
        <v>2574</v>
      </c>
      <c r="S139" s="180">
        <v>129</v>
      </c>
    </row>
    <row r="140" spans="1:19" ht="25.5" x14ac:dyDescent="0.2">
      <c r="A140" t="s">
        <v>2575</v>
      </c>
      <c r="B140">
        <v>270</v>
      </c>
      <c r="C140">
        <v>184</v>
      </c>
      <c r="D140" s="1103">
        <v>271.62658634445444</v>
      </c>
      <c r="K140" s="180" t="s">
        <v>5076</v>
      </c>
      <c r="L140" s="180" t="s">
        <v>1367</v>
      </c>
      <c r="M140" s="180">
        <v>2</v>
      </c>
      <c r="N140" s="955" t="s">
        <v>5201</v>
      </c>
      <c r="O140" s="955" t="s">
        <v>5205</v>
      </c>
      <c r="P140" s="180" t="s">
        <v>5078</v>
      </c>
      <c r="Q140" s="955" t="s">
        <v>1181</v>
      </c>
      <c r="R140" s="180" t="s">
        <v>2575</v>
      </c>
      <c r="S140" s="180">
        <v>130</v>
      </c>
    </row>
    <row r="141" spans="1:19" ht="25.5" x14ac:dyDescent="0.2">
      <c r="A141" t="s">
        <v>2576</v>
      </c>
      <c r="B141">
        <v>33326</v>
      </c>
      <c r="C141">
        <v>2043</v>
      </c>
      <c r="D141" s="1103">
        <v>33951.387170156748</v>
      </c>
      <c r="K141" s="180" t="s">
        <v>5076</v>
      </c>
      <c r="L141" s="180" t="s">
        <v>1367</v>
      </c>
      <c r="M141" s="180">
        <v>2</v>
      </c>
      <c r="N141" s="955" t="s">
        <v>5200</v>
      </c>
      <c r="O141" s="955" t="s">
        <v>5205</v>
      </c>
      <c r="P141" s="180" t="s">
        <v>5078</v>
      </c>
      <c r="Q141" s="955" t="s">
        <v>1181</v>
      </c>
      <c r="R141" s="180" t="s">
        <v>2576</v>
      </c>
      <c r="S141" s="180">
        <v>131</v>
      </c>
    </row>
    <row r="142" spans="1:19" ht="25.5" x14ac:dyDescent="0.2">
      <c r="A142" t="s">
        <v>2577</v>
      </c>
      <c r="B142">
        <v>6612</v>
      </c>
      <c r="C142">
        <v>4895</v>
      </c>
      <c r="D142" s="1103">
        <v>6646.7057553806226</v>
      </c>
      <c r="K142" s="180" t="s">
        <v>5076</v>
      </c>
      <c r="L142" s="180" t="s">
        <v>1367</v>
      </c>
      <c r="M142" s="180">
        <v>2</v>
      </c>
      <c r="N142" s="955" t="s">
        <v>404</v>
      </c>
      <c r="O142" s="955" t="s">
        <v>5205</v>
      </c>
      <c r="P142" s="180" t="s">
        <v>5078</v>
      </c>
      <c r="Q142" s="955" t="s">
        <v>1181</v>
      </c>
      <c r="R142" s="180" t="s">
        <v>2577</v>
      </c>
      <c r="S142" s="180">
        <v>132</v>
      </c>
    </row>
    <row r="143" spans="1:19" ht="25.5" x14ac:dyDescent="0.2">
      <c r="A143" t="s">
        <v>2578</v>
      </c>
      <c r="B143">
        <v>2902</v>
      </c>
      <c r="C143">
        <v>1991</v>
      </c>
      <c r="D143" s="1103">
        <v>2919.7466699598735</v>
      </c>
      <c r="K143" s="180" t="s">
        <v>5076</v>
      </c>
      <c r="L143" s="180" t="s">
        <v>1367</v>
      </c>
      <c r="M143" s="180">
        <v>2</v>
      </c>
      <c r="N143" s="955" t="s">
        <v>5198</v>
      </c>
      <c r="O143" s="955" t="s">
        <v>5205</v>
      </c>
      <c r="P143" s="180" t="s">
        <v>5078</v>
      </c>
      <c r="Q143" s="955" t="s">
        <v>1181</v>
      </c>
      <c r="R143" s="180" t="s">
        <v>2578</v>
      </c>
      <c r="S143" s="180">
        <v>133</v>
      </c>
    </row>
    <row r="144" spans="1:19" ht="25.5" x14ac:dyDescent="0.2">
      <c r="A144" t="s">
        <v>2579</v>
      </c>
      <c r="B144">
        <v>0</v>
      </c>
      <c r="C144">
        <v>0</v>
      </c>
      <c r="D144" s="1103">
        <v>0</v>
      </c>
      <c r="K144" s="180" t="s">
        <v>5076</v>
      </c>
      <c r="L144" s="180" t="s">
        <v>1367</v>
      </c>
      <c r="M144" s="180">
        <v>2</v>
      </c>
      <c r="N144" s="955" t="s">
        <v>5197</v>
      </c>
      <c r="O144" s="955" t="s">
        <v>5205</v>
      </c>
      <c r="P144" s="180" t="s">
        <v>5078</v>
      </c>
      <c r="Q144" s="955" t="s">
        <v>1181</v>
      </c>
      <c r="R144" s="180" t="s">
        <v>2579</v>
      </c>
      <c r="S144" s="180">
        <v>134</v>
      </c>
    </row>
    <row r="145" spans="1:19" ht="25.5" x14ac:dyDescent="0.2">
      <c r="A145" t="s">
        <v>2581</v>
      </c>
      <c r="B145">
        <v>10993</v>
      </c>
      <c r="C145">
        <v>9187</v>
      </c>
      <c r="D145" s="1103">
        <v>11029.387701157804</v>
      </c>
      <c r="K145" s="180" t="s">
        <v>5076</v>
      </c>
      <c r="L145" s="180" t="s">
        <v>1367</v>
      </c>
      <c r="M145" s="180">
        <v>2</v>
      </c>
      <c r="N145" s="955" t="s">
        <v>399</v>
      </c>
      <c r="O145" s="955" t="s">
        <v>5205</v>
      </c>
      <c r="P145" s="180" t="s">
        <v>5078</v>
      </c>
      <c r="Q145" s="955" t="s">
        <v>1181</v>
      </c>
      <c r="R145" s="180" t="s">
        <v>2581</v>
      </c>
      <c r="S145" s="180">
        <v>135</v>
      </c>
    </row>
    <row r="146" spans="1:19" ht="25.5" x14ac:dyDescent="0.2">
      <c r="A146" t="s">
        <v>2584</v>
      </c>
      <c r="B146">
        <v>1306</v>
      </c>
      <c r="C146">
        <v>1281</v>
      </c>
      <c r="D146" s="1103">
        <v>1306.1664165506859</v>
      </c>
      <c r="K146" s="180" t="s">
        <v>5076</v>
      </c>
      <c r="L146" s="180" t="s">
        <v>1367</v>
      </c>
      <c r="M146" s="180">
        <v>2</v>
      </c>
      <c r="N146" s="955" t="s">
        <v>5196</v>
      </c>
      <c r="O146" s="955" t="s">
        <v>5205</v>
      </c>
      <c r="P146" s="180" t="s">
        <v>5078</v>
      </c>
      <c r="Q146" s="955" t="s">
        <v>1181</v>
      </c>
      <c r="R146" s="180" t="s">
        <v>2584</v>
      </c>
      <c r="S146" s="180">
        <v>136</v>
      </c>
    </row>
    <row r="147" spans="1:19" ht="25.5" x14ac:dyDescent="0.2">
      <c r="A147" t="s">
        <v>2585</v>
      </c>
      <c r="B147">
        <v>0</v>
      </c>
      <c r="C147">
        <v>0</v>
      </c>
      <c r="D147" s="1103">
        <v>0</v>
      </c>
      <c r="K147" s="180" t="s">
        <v>5076</v>
      </c>
      <c r="L147" s="180" t="s">
        <v>1367</v>
      </c>
      <c r="M147" s="180">
        <v>2</v>
      </c>
      <c r="N147" s="955" t="s">
        <v>5195</v>
      </c>
      <c r="O147" s="955" t="s">
        <v>5205</v>
      </c>
      <c r="P147" s="180" t="s">
        <v>5078</v>
      </c>
      <c r="Q147" s="955" t="s">
        <v>1181</v>
      </c>
      <c r="R147" s="180" t="s">
        <v>2585</v>
      </c>
      <c r="S147" s="180">
        <v>137</v>
      </c>
    </row>
    <row r="148" spans="1:19" ht="25.5" x14ac:dyDescent="0.2">
      <c r="A148" t="s">
        <v>2586</v>
      </c>
      <c r="B148">
        <v>0</v>
      </c>
      <c r="C148">
        <v>0</v>
      </c>
      <c r="D148" s="1103">
        <v>0</v>
      </c>
      <c r="K148" s="180" t="s">
        <v>5076</v>
      </c>
      <c r="L148" s="180" t="s">
        <v>1367</v>
      </c>
      <c r="M148" s="180">
        <v>2</v>
      </c>
      <c r="N148" s="955" t="s">
        <v>5194</v>
      </c>
      <c r="O148" s="955" t="s">
        <v>5205</v>
      </c>
      <c r="P148" s="180" t="s">
        <v>5078</v>
      </c>
      <c r="Q148" s="955" t="s">
        <v>1181</v>
      </c>
      <c r="R148" s="180" t="s">
        <v>2586</v>
      </c>
      <c r="S148" s="180">
        <v>138</v>
      </c>
    </row>
    <row r="149" spans="1:19" ht="25.5" x14ac:dyDescent="0.2">
      <c r="A149" t="s">
        <v>2587</v>
      </c>
      <c r="B149">
        <v>614</v>
      </c>
      <c r="C149">
        <v>521</v>
      </c>
      <c r="D149" s="1103">
        <v>616.18926743107352</v>
      </c>
      <c r="K149" s="180" t="s">
        <v>5076</v>
      </c>
      <c r="L149" s="180" t="s">
        <v>1367</v>
      </c>
      <c r="M149" s="180">
        <v>2</v>
      </c>
      <c r="N149" s="955" t="s">
        <v>5193</v>
      </c>
      <c r="O149" s="955" t="s">
        <v>5205</v>
      </c>
      <c r="P149" s="180" t="s">
        <v>5078</v>
      </c>
      <c r="Q149" s="955" t="s">
        <v>1181</v>
      </c>
      <c r="R149" s="180" t="s">
        <v>2587</v>
      </c>
      <c r="S149" s="180">
        <v>139</v>
      </c>
    </row>
    <row r="150" spans="1:19" ht="25.5" x14ac:dyDescent="0.2">
      <c r="A150" t="s">
        <v>2588</v>
      </c>
      <c r="B150">
        <v>15101</v>
      </c>
      <c r="C150">
        <v>9817</v>
      </c>
      <c r="D150" s="1103">
        <v>15206.376009699303</v>
      </c>
      <c r="K150" s="180" t="s">
        <v>5076</v>
      </c>
      <c r="L150" s="180" t="s">
        <v>1367</v>
      </c>
      <c r="M150" s="180">
        <v>2</v>
      </c>
      <c r="N150" s="955" t="s">
        <v>393</v>
      </c>
      <c r="O150" s="955" t="s">
        <v>5205</v>
      </c>
      <c r="P150" s="180" t="s">
        <v>5078</v>
      </c>
      <c r="Q150" s="955" t="s">
        <v>1181</v>
      </c>
      <c r="R150" s="180" t="s">
        <v>2588</v>
      </c>
      <c r="S150" s="180">
        <v>140</v>
      </c>
    </row>
    <row r="151" spans="1:19" ht="25.5" x14ac:dyDescent="0.2">
      <c r="A151" t="s">
        <v>2590</v>
      </c>
      <c r="B151">
        <v>2652</v>
      </c>
      <c r="C151">
        <v>1655</v>
      </c>
      <c r="D151" s="1103">
        <v>2671.9727000692155</v>
      </c>
      <c r="K151" s="180" t="s">
        <v>5076</v>
      </c>
      <c r="L151" s="180" t="s">
        <v>1367</v>
      </c>
      <c r="M151" s="180">
        <v>2</v>
      </c>
      <c r="N151" s="955" t="s">
        <v>5192</v>
      </c>
      <c r="O151" s="955" t="s">
        <v>5205</v>
      </c>
      <c r="P151" s="180" t="s">
        <v>5078</v>
      </c>
      <c r="Q151" s="955" t="s">
        <v>1181</v>
      </c>
      <c r="R151" s="180" t="s">
        <v>2590</v>
      </c>
      <c r="S151" s="180">
        <v>141</v>
      </c>
    </row>
    <row r="152" spans="1:19" ht="25.5" x14ac:dyDescent="0.2">
      <c r="A152" t="s">
        <v>2592</v>
      </c>
      <c r="B152">
        <v>0</v>
      </c>
      <c r="C152">
        <v>0</v>
      </c>
      <c r="D152" s="1103">
        <v>0</v>
      </c>
      <c r="K152" s="180" t="s">
        <v>5076</v>
      </c>
      <c r="L152" s="180" t="s">
        <v>1367</v>
      </c>
      <c r="M152" s="180">
        <v>2</v>
      </c>
      <c r="N152" s="955" t="s">
        <v>5191</v>
      </c>
      <c r="O152" s="955" t="s">
        <v>5205</v>
      </c>
      <c r="P152" s="180" t="s">
        <v>5078</v>
      </c>
      <c r="Q152" s="955" t="s">
        <v>1181</v>
      </c>
      <c r="R152" s="180" t="s">
        <v>2592</v>
      </c>
      <c r="S152" s="180">
        <v>142</v>
      </c>
    </row>
    <row r="153" spans="1:19" ht="25.5" x14ac:dyDescent="0.2">
      <c r="A153" t="s">
        <v>2593</v>
      </c>
      <c r="B153">
        <v>66</v>
      </c>
      <c r="C153">
        <v>65</v>
      </c>
      <c r="D153" s="1103">
        <v>65.593347154003951</v>
      </c>
      <c r="K153" s="180" t="s">
        <v>5076</v>
      </c>
      <c r="L153" s="180" t="s">
        <v>1367</v>
      </c>
      <c r="M153" s="180">
        <v>2</v>
      </c>
      <c r="N153" s="955" t="s">
        <v>5190</v>
      </c>
      <c r="O153" s="955" t="s">
        <v>5205</v>
      </c>
      <c r="P153" s="180" t="s">
        <v>5078</v>
      </c>
      <c r="Q153" s="955" t="s">
        <v>1181</v>
      </c>
      <c r="R153" s="180" t="s">
        <v>2593</v>
      </c>
      <c r="S153" s="180">
        <v>143</v>
      </c>
    </row>
    <row r="154" spans="1:19" ht="25.5" x14ac:dyDescent="0.2">
      <c r="A154" t="s">
        <v>2594</v>
      </c>
      <c r="B154">
        <v>8001</v>
      </c>
      <c r="C154">
        <v>4889</v>
      </c>
      <c r="D154" s="1103">
        <v>8063.6927448655742</v>
      </c>
      <c r="K154" s="180" t="s">
        <v>5076</v>
      </c>
      <c r="L154" s="180" t="s">
        <v>1367</v>
      </c>
      <c r="M154" s="180">
        <v>2</v>
      </c>
      <c r="N154" s="955" t="s">
        <v>5189</v>
      </c>
      <c r="O154" s="955" t="s">
        <v>5205</v>
      </c>
      <c r="P154" s="180" t="s">
        <v>5078</v>
      </c>
      <c r="Q154" s="955" t="s">
        <v>1181</v>
      </c>
      <c r="R154" s="180" t="s">
        <v>2594</v>
      </c>
      <c r="S154" s="180">
        <v>144</v>
      </c>
    </row>
    <row r="155" spans="1:19" ht="25.5" x14ac:dyDescent="0.2">
      <c r="A155" t="s">
        <v>2595</v>
      </c>
      <c r="B155">
        <v>590</v>
      </c>
      <c r="C155">
        <v>264</v>
      </c>
      <c r="D155" s="1103">
        <v>596.49949099909725</v>
      </c>
      <c r="K155" s="180" t="s">
        <v>5076</v>
      </c>
      <c r="L155" s="180" t="s">
        <v>1367</v>
      </c>
      <c r="M155" s="180">
        <v>2</v>
      </c>
      <c r="N155" s="955" t="s">
        <v>5188</v>
      </c>
      <c r="O155" s="955" t="s">
        <v>5205</v>
      </c>
      <c r="P155" s="180" t="s">
        <v>5078</v>
      </c>
      <c r="Q155" s="955" t="s">
        <v>1181</v>
      </c>
      <c r="R155" s="180" t="s">
        <v>2595</v>
      </c>
      <c r="S155" s="180">
        <v>145</v>
      </c>
    </row>
    <row r="156" spans="1:19" ht="25.5" x14ac:dyDescent="0.2">
      <c r="A156" t="s">
        <v>2596</v>
      </c>
      <c r="B156">
        <v>55965</v>
      </c>
      <c r="C156">
        <v>33177</v>
      </c>
      <c r="D156" s="1103">
        <v>56420.437515696787</v>
      </c>
      <c r="K156" s="180" t="s">
        <v>5076</v>
      </c>
      <c r="L156" s="180" t="s">
        <v>1367</v>
      </c>
      <c r="M156" s="180">
        <v>2</v>
      </c>
      <c r="N156" s="955" t="s">
        <v>387</v>
      </c>
      <c r="O156" s="955" t="s">
        <v>5205</v>
      </c>
      <c r="P156" s="180" t="s">
        <v>5078</v>
      </c>
      <c r="Q156" s="955" t="s">
        <v>1181</v>
      </c>
      <c r="R156" s="180" t="s">
        <v>2596</v>
      </c>
      <c r="S156" s="180">
        <v>146</v>
      </c>
    </row>
    <row r="157" spans="1:19" ht="25.5" x14ac:dyDescent="0.2">
      <c r="A157" t="s">
        <v>2597</v>
      </c>
      <c r="B157">
        <v>3182</v>
      </c>
      <c r="C157">
        <v>1652</v>
      </c>
      <c r="D157" s="1103">
        <v>3212.4097814910965</v>
      </c>
      <c r="K157" s="180" t="s">
        <v>5076</v>
      </c>
      <c r="L157" s="180" t="s">
        <v>1367</v>
      </c>
      <c r="M157" s="180">
        <v>2</v>
      </c>
      <c r="N157" s="955" t="s">
        <v>5185</v>
      </c>
      <c r="O157" s="955" t="s">
        <v>5205</v>
      </c>
      <c r="P157" s="180" t="s">
        <v>5078</v>
      </c>
      <c r="Q157" s="955" t="s">
        <v>1181</v>
      </c>
      <c r="R157" s="180" t="s">
        <v>2597</v>
      </c>
      <c r="S157" s="180">
        <v>147</v>
      </c>
    </row>
    <row r="158" spans="1:19" ht="25.5" x14ac:dyDescent="0.2">
      <c r="A158" t="s">
        <v>2598</v>
      </c>
      <c r="B158">
        <v>8290</v>
      </c>
      <c r="C158">
        <v>5662</v>
      </c>
      <c r="D158" s="1103">
        <v>8342.3124624640932</v>
      </c>
      <c r="K158" s="180" t="s">
        <v>5076</v>
      </c>
      <c r="L158" s="180" t="s">
        <v>1367</v>
      </c>
      <c r="M158" s="180">
        <v>2</v>
      </c>
      <c r="N158" s="955" t="s">
        <v>5184</v>
      </c>
      <c r="O158" s="955" t="s">
        <v>5205</v>
      </c>
      <c r="P158" s="180" t="s">
        <v>5078</v>
      </c>
      <c r="Q158" s="955" t="s">
        <v>1181</v>
      </c>
      <c r="R158" s="180" t="s">
        <v>2598</v>
      </c>
      <c r="S158" s="180">
        <v>148</v>
      </c>
    </row>
    <row r="159" spans="1:19" ht="25.5" x14ac:dyDescent="0.2">
      <c r="A159" t="s">
        <v>2599</v>
      </c>
      <c r="B159">
        <v>999</v>
      </c>
      <c r="C159">
        <v>692</v>
      </c>
      <c r="D159" s="1103">
        <v>1005.6176333633431</v>
      </c>
      <c r="K159" s="180" t="s">
        <v>5076</v>
      </c>
      <c r="L159" s="180" t="s">
        <v>1367</v>
      </c>
      <c r="M159" s="180">
        <v>2</v>
      </c>
      <c r="N159" s="955" t="s">
        <v>5182</v>
      </c>
      <c r="O159" s="955" t="s">
        <v>5205</v>
      </c>
      <c r="P159" s="180" t="s">
        <v>5078</v>
      </c>
      <c r="Q159" s="955" t="s">
        <v>1181</v>
      </c>
      <c r="R159" s="180" t="s">
        <v>2599</v>
      </c>
      <c r="S159" s="180">
        <v>149</v>
      </c>
    </row>
    <row r="160" spans="1:19" ht="25.5" x14ac:dyDescent="0.2">
      <c r="A160" t="s">
        <v>2600</v>
      </c>
      <c r="B160">
        <v>0</v>
      </c>
      <c r="C160">
        <v>0</v>
      </c>
      <c r="D160" s="1103">
        <v>0</v>
      </c>
      <c r="K160" s="180" t="s">
        <v>5076</v>
      </c>
      <c r="L160" s="180" t="s">
        <v>1367</v>
      </c>
      <c r="M160" s="180">
        <v>2</v>
      </c>
      <c r="N160" s="955" t="s">
        <v>5181</v>
      </c>
      <c r="O160" s="955" t="s">
        <v>5205</v>
      </c>
      <c r="P160" s="180" t="s">
        <v>5078</v>
      </c>
      <c r="Q160" s="955" t="s">
        <v>1181</v>
      </c>
      <c r="R160" s="180" t="s">
        <v>2600</v>
      </c>
      <c r="S160" s="180">
        <v>150</v>
      </c>
    </row>
    <row r="161" spans="1:19" ht="25.5" x14ac:dyDescent="0.2">
      <c r="A161" t="s">
        <v>2601</v>
      </c>
      <c r="B161">
        <v>59</v>
      </c>
      <c r="C161">
        <v>58</v>
      </c>
      <c r="D161" s="1103">
        <v>58.651323922430649</v>
      </c>
      <c r="K161" s="180" t="s">
        <v>5076</v>
      </c>
      <c r="L161" s="180" t="s">
        <v>1367</v>
      </c>
      <c r="M161" s="180">
        <v>2</v>
      </c>
      <c r="N161" s="955" t="s">
        <v>5180</v>
      </c>
      <c r="O161" s="955" t="s">
        <v>5205</v>
      </c>
      <c r="P161" s="180" t="s">
        <v>5078</v>
      </c>
      <c r="Q161" s="955" t="s">
        <v>1181</v>
      </c>
      <c r="R161" s="180" t="s">
        <v>2601</v>
      </c>
      <c r="S161" s="180">
        <v>151</v>
      </c>
    </row>
    <row r="162" spans="1:19" x14ac:dyDescent="0.2">
      <c r="A162" t="s">
        <v>2602</v>
      </c>
      <c r="B162">
        <v>15713</v>
      </c>
      <c r="C162" s="1102">
        <v>4945</v>
      </c>
      <c r="D162" s="1103">
        <v>15928.614929616193</v>
      </c>
      <c r="K162" s="180" t="s">
        <v>5076</v>
      </c>
      <c r="L162" s="180" t="s">
        <v>1367</v>
      </c>
      <c r="M162" s="180">
        <v>2</v>
      </c>
      <c r="N162" s="955" t="s">
        <v>5206</v>
      </c>
      <c r="O162" s="955" t="s">
        <v>5124</v>
      </c>
      <c r="P162" s="180" t="s">
        <v>5078</v>
      </c>
      <c r="Q162" s="955" t="s">
        <v>1181</v>
      </c>
      <c r="R162" s="180" t="s">
        <v>2602</v>
      </c>
      <c r="S162" s="180">
        <v>152</v>
      </c>
    </row>
    <row r="163" spans="1:19" x14ac:dyDescent="0.2">
      <c r="A163" t="s">
        <v>2603</v>
      </c>
      <c r="B163">
        <v>9418</v>
      </c>
      <c r="C163" s="1102">
        <v>2905</v>
      </c>
      <c r="D163" s="1103">
        <v>9548.2415137327298</v>
      </c>
      <c r="K163" s="180" t="s">
        <v>5076</v>
      </c>
      <c r="L163" s="180" t="s">
        <v>1367</v>
      </c>
      <c r="M163" s="180">
        <v>2</v>
      </c>
      <c r="N163" s="955" t="s">
        <v>5207</v>
      </c>
      <c r="O163" s="955" t="s">
        <v>5124</v>
      </c>
      <c r="P163" s="180" t="s">
        <v>5078</v>
      </c>
      <c r="Q163" s="955" t="s">
        <v>1181</v>
      </c>
      <c r="R163" s="180" t="s">
        <v>2603</v>
      </c>
      <c r="S163" s="180">
        <v>153</v>
      </c>
    </row>
    <row r="164" spans="1:19" x14ac:dyDescent="0.2">
      <c r="A164" t="s">
        <v>2604</v>
      </c>
      <c r="B164">
        <v>39213</v>
      </c>
      <c r="C164" s="1102">
        <v>12067</v>
      </c>
      <c r="D164" s="1103">
        <v>39755.665202339718</v>
      </c>
      <c r="K164" s="180" t="s">
        <v>5076</v>
      </c>
      <c r="L164" s="180" t="s">
        <v>1367</v>
      </c>
      <c r="M164" s="180">
        <v>2</v>
      </c>
      <c r="N164" s="955" t="s">
        <v>360</v>
      </c>
      <c r="O164" s="955" t="s">
        <v>5124</v>
      </c>
      <c r="P164" s="180" t="s">
        <v>5078</v>
      </c>
      <c r="Q164" s="955" t="s">
        <v>1181</v>
      </c>
      <c r="R164" s="180" t="s">
        <v>2604</v>
      </c>
      <c r="S164" s="180">
        <v>154</v>
      </c>
    </row>
    <row r="165" spans="1:19" x14ac:dyDescent="0.2">
      <c r="A165" t="s">
        <v>2605</v>
      </c>
      <c r="B165">
        <v>1179</v>
      </c>
      <c r="C165" s="1102">
        <v>729</v>
      </c>
      <c r="D165" s="1103">
        <v>1187.7956433530069</v>
      </c>
      <c r="K165" s="180" t="s">
        <v>5076</v>
      </c>
      <c r="L165" s="180" t="s">
        <v>1367</v>
      </c>
      <c r="M165" s="180">
        <v>2</v>
      </c>
      <c r="N165" s="955" t="s">
        <v>352</v>
      </c>
      <c r="O165" s="955" t="s">
        <v>5124</v>
      </c>
      <c r="P165" s="180" t="s">
        <v>5078</v>
      </c>
      <c r="Q165" s="955" t="s">
        <v>1181</v>
      </c>
      <c r="R165" s="180" t="s">
        <v>2605</v>
      </c>
      <c r="S165" s="180">
        <v>155</v>
      </c>
    </row>
    <row r="166" spans="1:19" x14ac:dyDescent="0.2">
      <c r="A166" t="s">
        <v>2606</v>
      </c>
      <c r="B166">
        <v>0</v>
      </c>
      <c r="C166" s="1102">
        <v>0</v>
      </c>
      <c r="D166" s="1103">
        <v>0</v>
      </c>
      <c r="K166" s="180" t="s">
        <v>5076</v>
      </c>
      <c r="L166" s="180" t="s">
        <v>1367</v>
      </c>
      <c r="M166" s="180">
        <v>2</v>
      </c>
      <c r="N166" s="955" t="s">
        <v>5208</v>
      </c>
      <c r="O166" s="955" t="s">
        <v>5124</v>
      </c>
      <c r="P166" s="180" t="s">
        <v>5078</v>
      </c>
      <c r="Q166" s="955" t="s">
        <v>1181</v>
      </c>
      <c r="R166" s="180" t="s">
        <v>2606</v>
      </c>
      <c r="S166" s="180">
        <v>156</v>
      </c>
    </row>
    <row r="167" spans="1:19" x14ac:dyDescent="0.2">
      <c r="A167" t="s">
        <v>2607</v>
      </c>
      <c r="B167">
        <v>11772</v>
      </c>
      <c r="C167" s="1102">
        <v>8121</v>
      </c>
      <c r="D167" s="1103">
        <v>11844.525276363585</v>
      </c>
      <c r="K167" s="180" t="s">
        <v>5076</v>
      </c>
      <c r="L167" s="180" t="s">
        <v>1367</v>
      </c>
      <c r="M167" s="180">
        <v>2</v>
      </c>
      <c r="N167" s="955" t="s">
        <v>5209</v>
      </c>
      <c r="O167" s="955" t="s">
        <v>5124</v>
      </c>
      <c r="P167" s="180" t="s">
        <v>5078</v>
      </c>
      <c r="Q167" s="955" t="s">
        <v>1181</v>
      </c>
      <c r="R167" s="180" t="s">
        <v>2607</v>
      </c>
      <c r="S167" s="180">
        <v>157</v>
      </c>
    </row>
    <row r="168" spans="1:19" x14ac:dyDescent="0.2">
      <c r="A168" t="s">
        <v>2608</v>
      </c>
      <c r="B168">
        <v>2445</v>
      </c>
      <c r="C168" s="1102">
        <v>2445</v>
      </c>
      <c r="D168" s="1103">
        <v>2445.0162781975559</v>
      </c>
      <c r="K168" s="180" t="s">
        <v>5076</v>
      </c>
      <c r="L168" s="180" t="s">
        <v>1367</v>
      </c>
      <c r="M168" s="180">
        <v>2</v>
      </c>
      <c r="N168" s="955" t="s">
        <v>5210</v>
      </c>
      <c r="O168" s="955" t="s">
        <v>5124</v>
      </c>
      <c r="P168" s="180" t="s">
        <v>5078</v>
      </c>
      <c r="Q168" s="955" t="s">
        <v>1181</v>
      </c>
      <c r="R168" s="180" t="s">
        <v>2608</v>
      </c>
      <c r="S168" s="180">
        <v>158</v>
      </c>
    </row>
    <row r="169" spans="1:19" x14ac:dyDescent="0.2">
      <c r="A169" t="s">
        <v>2609</v>
      </c>
      <c r="B169">
        <v>0</v>
      </c>
      <c r="C169" s="1102">
        <v>0</v>
      </c>
      <c r="D169" s="1103">
        <v>0</v>
      </c>
      <c r="K169" s="180" t="s">
        <v>5076</v>
      </c>
      <c r="L169" s="180" t="s">
        <v>1367</v>
      </c>
      <c r="M169" s="180">
        <v>2</v>
      </c>
      <c r="N169" s="955" t="s">
        <v>5211</v>
      </c>
      <c r="O169" s="955" t="s">
        <v>5124</v>
      </c>
      <c r="P169" s="180" t="s">
        <v>5078</v>
      </c>
      <c r="Q169" s="955" t="s">
        <v>1181</v>
      </c>
      <c r="R169" s="180" t="s">
        <v>2609</v>
      </c>
      <c r="S169" s="180">
        <v>159</v>
      </c>
    </row>
    <row r="170" spans="1:19" x14ac:dyDescent="0.2">
      <c r="A170" t="s">
        <v>2610</v>
      </c>
      <c r="B170">
        <v>33805</v>
      </c>
      <c r="C170">
        <v>25301</v>
      </c>
      <c r="D170" s="1103">
        <v>34093.985828886871</v>
      </c>
      <c r="K170" s="180" t="s">
        <v>5076</v>
      </c>
      <c r="L170" s="180" t="s">
        <v>1367</v>
      </c>
      <c r="M170" s="180">
        <v>2</v>
      </c>
      <c r="N170" s="1105" t="s">
        <v>5212</v>
      </c>
      <c r="O170" s="955" t="s">
        <v>5083</v>
      </c>
      <c r="P170" s="180" t="s">
        <v>5078</v>
      </c>
      <c r="Q170" s="955" t="s">
        <v>2654</v>
      </c>
      <c r="R170" s="180" t="s">
        <v>2610</v>
      </c>
      <c r="S170" s="180">
        <v>160</v>
      </c>
    </row>
    <row r="171" spans="1:19" x14ac:dyDescent="0.2">
      <c r="A171" t="s">
        <v>2611</v>
      </c>
      <c r="B171">
        <v>4533</v>
      </c>
      <c r="C171">
        <v>2188</v>
      </c>
      <c r="D171" s="1103">
        <v>4595.9055366797966</v>
      </c>
      <c r="K171" s="180" t="s">
        <v>5076</v>
      </c>
      <c r="L171" s="180" t="s">
        <v>1367</v>
      </c>
      <c r="M171" s="180">
        <v>2</v>
      </c>
      <c r="N171" s="1105" t="s">
        <v>5213</v>
      </c>
      <c r="O171" s="955" t="s">
        <v>5084</v>
      </c>
      <c r="P171" s="180" t="s">
        <v>5078</v>
      </c>
      <c r="Q171" s="955" t="s">
        <v>2654</v>
      </c>
      <c r="R171" s="180" t="s">
        <v>2611</v>
      </c>
      <c r="S171" s="180">
        <v>161</v>
      </c>
    </row>
    <row r="172" spans="1:19" x14ac:dyDescent="0.2">
      <c r="A172" t="s">
        <v>2612</v>
      </c>
      <c r="B172">
        <v>31016</v>
      </c>
      <c r="C172">
        <v>17893</v>
      </c>
      <c r="D172" s="1103">
        <v>31340.422652877267</v>
      </c>
      <c r="K172" s="180" t="s">
        <v>5076</v>
      </c>
      <c r="L172" s="180" t="s">
        <v>1367</v>
      </c>
      <c r="M172" s="180">
        <v>2</v>
      </c>
      <c r="N172" s="1105" t="s">
        <v>5214</v>
      </c>
      <c r="O172" s="955" t="s">
        <v>5085</v>
      </c>
      <c r="P172" s="180" t="s">
        <v>5078</v>
      </c>
      <c r="Q172" s="955" t="s">
        <v>2654</v>
      </c>
      <c r="R172" s="180" t="s">
        <v>2612</v>
      </c>
      <c r="S172" s="180">
        <v>162</v>
      </c>
    </row>
    <row r="173" spans="1:19" x14ac:dyDescent="0.2">
      <c r="A173" t="s">
        <v>2613</v>
      </c>
      <c r="B173">
        <v>50388</v>
      </c>
      <c r="C173">
        <v>33929</v>
      </c>
      <c r="D173" s="1103">
        <v>50717.640570272044</v>
      </c>
      <c r="K173" s="180" t="s">
        <v>5076</v>
      </c>
      <c r="L173" s="180" t="s">
        <v>1367</v>
      </c>
      <c r="M173" s="180">
        <v>2</v>
      </c>
      <c r="N173" s="1105" t="s">
        <v>5215</v>
      </c>
      <c r="O173" s="955" t="s">
        <v>5090</v>
      </c>
      <c r="P173" s="180" t="s">
        <v>5078</v>
      </c>
      <c r="Q173" s="955" t="s">
        <v>2654</v>
      </c>
      <c r="R173" s="180" t="s">
        <v>2613</v>
      </c>
      <c r="S173" s="180">
        <v>163</v>
      </c>
    </row>
    <row r="174" spans="1:19" x14ac:dyDescent="0.2">
      <c r="A174" t="s">
        <v>2614</v>
      </c>
      <c r="B174">
        <v>174774</v>
      </c>
      <c r="C174">
        <v>102447</v>
      </c>
      <c r="D174" s="1103">
        <v>176983.07661545236</v>
      </c>
      <c r="K174" s="180" t="s">
        <v>5076</v>
      </c>
      <c r="L174" s="180" t="s">
        <v>1367</v>
      </c>
      <c r="M174" s="180">
        <v>2</v>
      </c>
      <c r="N174" s="1105" t="s">
        <v>5216</v>
      </c>
      <c r="O174" s="955" t="s">
        <v>5086</v>
      </c>
      <c r="P174" s="180" t="s">
        <v>5078</v>
      </c>
      <c r="Q174" s="955" t="s">
        <v>2654</v>
      </c>
      <c r="R174" s="180" t="s">
        <v>2614</v>
      </c>
      <c r="S174" s="180">
        <v>164</v>
      </c>
    </row>
    <row r="175" spans="1:19" x14ac:dyDescent="0.2">
      <c r="A175" t="s">
        <v>2615</v>
      </c>
      <c r="B175">
        <v>86857</v>
      </c>
      <c r="C175">
        <v>49046</v>
      </c>
      <c r="D175" s="1103">
        <v>87760.763230972909</v>
      </c>
      <c r="K175" s="180" t="s">
        <v>5076</v>
      </c>
      <c r="L175" s="180" t="s">
        <v>1367</v>
      </c>
      <c r="M175" s="180">
        <v>2</v>
      </c>
      <c r="N175" s="1105" t="s">
        <v>5217</v>
      </c>
      <c r="O175" s="955" t="s">
        <v>5135</v>
      </c>
      <c r="P175" s="180" t="s">
        <v>5078</v>
      </c>
      <c r="Q175" s="955" t="s">
        <v>2654</v>
      </c>
      <c r="R175" s="180" t="s">
        <v>2615</v>
      </c>
      <c r="S175" s="180">
        <v>165</v>
      </c>
    </row>
    <row r="176" spans="1:19" ht="38.25" x14ac:dyDescent="0.2">
      <c r="A176" t="s">
        <v>2616</v>
      </c>
      <c r="B176">
        <v>94014</v>
      </c>
      <c r="C176" s="1102">
        <v>94014</v>
      </c>
      <c r="D176" s="38">
        <v>94013.556578042757</v>
      </c>
      <c r="K176" s="180" t="s">
        <v>5076</v>
      </c>
      <c r="L176" s="180" t="s">
        <v>1367</v>
      </c>
      <c r="M176" s="180">
        <v>2</v>
      </c>
      <c r="N176" s="955" t="s">
        <v>5218</v>
      </c>
      <c r="O176" s="955" t="s">
        <v>1004</v>
      </c>
      <c r="P176" s="180" t="s">
        <v>5078</v>
      </c>
      <c r="Q176" s="955" t="s">
        <v>1181</v>
      </c>
      <c r="R176" s="180" t="s">
        <v>2616</v>
      </c>
      <c r="S176" s="180">
        <v>166</v>
      </c>
    </row>
    <row r="177" spans="1:19" ht="51" x14ac:dyDescent="0.2">
      <c r="A177" t="s">
        <v>2617</v>
      </c>
      <c r="B177">
        <v>276906</v>
      </c>
      <c r="C177" s="1102">
        <v>276906</v>
      </c>
      <c r="D177" s="38">
        <v>276906.37500413455</v>
      </c>
      <c r="K177" s="180" t="s">
        <v>5076</v>
      </c>
      <c r="L177" s="180" t="s">
        <v>1367</v>
      </c>
      <c r="M177" s="180">
        <v>2</v>
      </c>
      <c r="N177" s="955" t="s">
        <v>5219</v>
      </c>
      <c r="O177" s="955" t="s">
        <v>1004</v>
      </c>
      <c r="P177" s="180" t="s">
        <v>5078</v>
      </c>
      <c r="Q177" s="955" t="s">
        <v>1181</v>
      </c>
      <c r="R177" s="180" t="s">
        <v>2617</v>
      </c>
      <c r="S177" s="180">
        <v>167</v>
      </c>
    </row>
    <row r="178" spans="1:19" ht="25.5" x14ac:dyDescent="0.2">
      <c r="A178" t="s">
        <v>5220</v>
      </c>
      <c r="B178">
        <v>145884</v>
      </c>
      <c r="C178" s="1102">
        <v>145884</v>
      </c>
      <c r="D178" s="38">
        <v>145884.35490477653</v>
      </c>
      <c r="K178" s="180" t="s">
        <v>5076</v>
      </c>
      <c r="L178" s="180" t="s">
        <v>1367</v>
      </c>
      <c r="M178" s="180">
        <v>2</v>
      </c>
      <c r="N178" s="955" t="s">
        <v>5221</v>
      </c>
      <c r="O178" s="955" t="s">
        <v>1004</v>
      </c>
      <c r="P178" s="180" t="s">
        <v>5078</v>
      </c>
      <c r="Q178" s="955" t="s">
        <v>1181</v>
      </c>
      <c r="R178" s="180" t="s">
        <v>5220</v>
      </c>
      <c r="S178" s="180">
        <v>168</v>
      </c>
    </row>
    <row r="179" spans="1:19" ht="38.25" x14ac:dyDescent="0.2">
      <c r="A179" t="s">
        <v>2619</v>
      </c>
      <c r="B179">
        <v>182288</v>
      </c>
      <c r="C179" s="1102">
        <v>182288</v>
      </c>
      <c r="D179" s="38">
        <v>182288.02909216029</v>
      </c>
      <c r="K179" s="180" t="s">
        <v>5076</v>
      </c>
      <c r="L179" s="180" t="s">
        <v>1367</v>
      </c>
      <c r="M179" s="180">
        <v>2</v>
      </c>
      <c r="N179" s="955" t="s">
        <v>5222</v>
      </c>
      <c r="O179" s="955" t="s">
        <v>1004</v>
      </c>
      <c r="P179" s="180" t="s">
        <v>5078</v>
      </c>
      <c r="Q179" s="955" t="s">
        <v>1181</v>
      </c>
      <c r="R179" s="180" t="s">
        <v>2619</v>
      </c>
      <c r="S179" s="180">
        <v>169</v>
      </c>
    </row>
    <row r="180" spans="1:19" ht="51" x14ac:dyDescent="0.2">
      <c r="A180" t="s">
        <v>2620</v>
      </c>
      <c r="B180">
        <v>466255</v>
      </c>
      <c r="C180" s="1102">
        <v>466255</v>
      </c>
      <c r="D180" s="38">
        <v>466255.43559362722</v>
      </c>
      <c r="K180" s="180" t="s">
        <v>5076</v>
      </c>
      <c r="L180" s="180" t="s">
        <v>1367</v>
      </c>
      <c r="M180" s="180">
        <v>2</v>
      </c>
      <c r="N180" s="955" t="s">
        <v>5223</v>
      </c>
      <c r="O180" s="955" t="s">
        <v>1004</v>
      </c>
      <c r="P180" s="180" t="s">
        <v>5078</v>
      </c>
      <c r="Q180" s="955" t="s">
        <v>1181</v>
      </c>
      <c r="R180" s="180" t="s">
        <v>2620</v>
      </c>
      <c r="S180" s="180">
        <v>170</v>
      </c>
    </row>
    <row r="181" spans="1:19" ht="25.5" x14ac:dyDescent="0.2">
      <c r="A181" t="s">
        <v>5224</v>
      </c>
      <c r="B181">
        <v>1819712</v>
      </c>
      <c r="C181" s="1102">
        <v>1819712</v>
      </c>
      <c r="D181" s="38">
        <v>1819712.0252065514</v>
      </c>
      <c r="K181" s="180" t="s">
        <v>5076</v>
      </c>
      <c r="L181" s="180" t="s">
        <v>1367</v>
      </c>
      <c r="M181" s="180">
        <v>2</v>
      </c>
      <c r="N181" s="955" t="s">
        <v>5225</v>
      </c>
      <c r="O181" s="955" t="s">
        <v>1004</v>
      </c>
      <c r="P181" s="180" t="s">
        <v>5078</v>
      </c>
      <c r="Q181" s="955" t="s">
        <v>1181</v>
      </c>
      <c r="R181" s="180" t="s">
        <v>5224</v>
      </c>
      <c r="S181" s="180">
        <v>171</v>
      </c>
    </row>
    <row r="182" spans="1:19" x14ac:dyDescent="0.2">
      <c r="A182" t="s">
        <v>2622</v>
      </c>
      <c r="B182">
        <v>8334</v>
      </c>
      <c r="C182" s="1102">
        <v>8334</v>
      </c>
      <c r="D182" s="38">
        <v>8334.1347047322161</v>
      </c>
      <c r="K182" s="180" t="s">
        <v>5076</v>
      </c>
      <c r="L182" s="180" t="s">
        <v>1367</v>
      </c>
      <c r="M182" s="180">
        <v>2</v>
      </c>
      <c r="N182" s="955" t="s">
        <v>4965</v>
      </c>
      <c r="O182" s="955" t="s">
        <v>1004</v>
      </c>
      <c r="P182" s="180" t="s">
        <v>5078</v>
      </c>
      <c r="Q182" s="955" t="s">
        <v>1181</v>
      </c>
      <c r="R182" s="180" t="s">
        <v>2622</v>
      </c>
      <c r="S182" s="180">
        <v>172</v>
      </c>
    </row>
    <row r="183" spans="1:19" x14ac:dyDescent="0.2">
      <c r="A183" t="s">
        <v>2623</v>
      </c>
      <c r="B183">
        <v>4535</v>
      </c>
      <c r="C183" s="1102">
        <v>4535</v>
      </c>
      <c r="D183" s="38">
        <v>4535.0365199128573</v>
      </c>
      <c r="K183" s="180" t="s">
        <v>5076</v>
      </c>
      <c r="L183" s="180" t="s">
        <v>1367</v>
      </c>
      <c r="M183" s="180">
        <v>2</v>
      </c>
      <c r="N183" s="955" t="s">
        <v>4968</v>
      </c>
      <c r="O183" s="955" t="s">
        <v>1004</v>
      </c>
      <c r="P183" s="180" t="s">
        <v>5078</v>
      </c>
      <c r="Q183" s="955" t="s">
        <v>1181</v>
      </c>
      <c r="R183" s="180" t="s">
        <v>2623</v>
      </c>
      <c r="S183" s="180">
        <v>173</v>
      </c>
    </row>
    <row r="184" spans="1:19" x14ac:dyDescent="0.2">
      <c r="A184" t="s">
        <v>2624</v>
      </c>
      <c r="B184">
        <v>71943</v>
      </c>
      <c r="C184" s="1102">
        <v>71943</v>
      </c>
      <c r="D184" s="38">
        <v>71943.208513618665</v>
      </c>
      <c r="K184" s="180" t="s">
        <v>5076</v>
      </c>
      <c r="L184" s="180" t="s">
        <v>1367</v>
      </c>
      <c r="M184" s="180">
        <v>2</v>
      </c>
      <c r="N184" s="955" t="s">
        <v>5060</v>
      </c>
      <c r="O184" s="955" t="s">
        <v>1004</v>
      </c>
      <c r="P184" s="180" t="s">
        <v>5078</v>
      </c>
      <c r="Q184" s="955" t="s">
        <v>1181</v>
      </c>
      <c r="R184" s="180" t="s">
        <v>2624</v>
      </c>
      <c r="S184" s="180">
        <v>174</v>
      </c>
    </row>
    <row r="185" spans="1:19" x14ac:dyDescent="0.2">
      <c r="A185" s="484" t="s">
        <v>2626</v>
      </c>
      <c r="B185">
        <v>2905</v>
      </c>
      <c r="C185">
        <v>2905</v>
      </c>
      <c r="D185" s="38">
        <v>2904.7341477487403</v>
      </c>
      <c r="K185" s="180" t="s">
        <v>5076</v>
      </c>
      <c r="L185" s="180" t="s">
        <v>1367</v>
      </c>
      <c r="M185" s="180">
        <v>2</v>
      </c>
      <c r="N185" s="955" t="s">
        <v>5207</v>
      </c>
      <c r="O185" s="955" t="s">
        <v>1004</v>
      </c>
      <c r="P185" s="180" t="s">
        <v>5078</v>
      </c>
      <c r="Q185" s="955" t="s">
        <v>1181</v>
      </c>
      <c r="R185" s="858" t="s">
        <v>2626</v>
      </c>
      <c r="S185" s="180">
        <v>175</v>
      </c>
    </row>
    <row r="186" spans="1:19" x14ac:dyDescent="0.2">
      <c r="A186" t="s">
        <v>366</v>
      </c>
      <c r="B186">
        <v>10006</v>
      </c>
      <c r="C186" s="1102">
        <v>10006</v>
      </c>
      <c r="D186" s="38">
        <v>10006.339484106407</v>
      </c>
      <c r="K186" s="180" t="s">
        <v>5076</v>
      </c>
      <c r="L186" s="180" t="s">
        <v>1367</v>
      </c>
      <c r="M186" s="180">
        <v>2</v>
      </c>
      <c r="N186" s="955" t="s">
        <v>367</v>
      </c>
      <c r="O186" s="955" t="s">
        <v>1004</v>
      </c>
      <c r="P186" s="180" t="s">
        <v>5078</v>
      </c>
      <c r="Q186" s="955" t="s">
        <v>1181</v>
      </c>
      <c r="R186" s="180" t="s">
        <v>366</v>
      </c>
      <c r="S186" s="180">
        <v>176</v>
      </c>
    </row>
    <row r="187" spans="1:19" x14ac:dyDescent="0.2">
      <c r="A187" t="s">
        <v>373</v>
      </c>
      <c r="B187">
        <v>8379</v>
      </c>
      <c r="C187" s="1102">
        <v>8379</v>
      </c>
      <c r="D187" s="38">
        <v>8379.3569992172197</v>
      </c>
      <c r="K187" s="180" t="s">
        <v>5076</v>
      </c>
      <c r="L187" s="180" t="s">
        <v>1367</v>
      </c>
      <c r="M187" s="180">
        <v>2</v>
      </c>
      <c r="N187" s="955" t="s">
        <v>374</v>
      </c>
      <c r="O187" s="955" t="s">
        <v>1004</v>
      </c>
      <c r="P187" s="180" t="s">
        <v>5078</v>
      </c>
      <c r="Q187" s="955" t="s">
        <v>1181</v>
      </c>
      <c r="R187" s="180" t="s">
        <v>373</v>
      </c>
      <c r="S187" s="180">
        <v>177</v>
      </c>
    </row>
    <row r="188" spans="1:19" x14ac:dyDescent="0.2">
      <c r="A188" t="s">
        <v>2627</v>
      </c>
      <c r="B188">
        <v>5662</v>
      </c>
      <c r="C188" s="1102">
        <v>5662</v>
      </c>
      <c r="D188" s="38">
        <v>5661.5282047708606</v>
      </c>
      <c r="K188" s="180" t="s">
        <v>5076</v>
      </c>
      <c r="L188" s="180" t="s">
        <v>1367</v>
      </c>
      <c r="M188" s="180">
        <v>2</v>
      </c>
      <c r="N188" s="955" t="s">
        <v>5184</v>
      </c>
      <c r="O188" s="955" t="s">
        <v>1004</v>
      </c>
      <c r="P188" s="180" t="s">
        <v>5078</v>
      </c>
      <c r="Q188" s="955" t="s">
        <v>1181</v>
      </c>
      <c r="R188" s="180" t="s">
        <v>2627</v>
      </c>
      <c r="S188" s="180">
        <v>178</v>
      </c>
    </row>
    <row r="189" spans="1:19" x14ac:dyDescent="0.2">
      <c r="A189" t="s">
        <v>2628</v>
      </c>
      <c r="B189">
        <v>33177</v>
      </c>
      <c r="C189" s="1102">
        <v>33177</v>
      </c>
      <c r="D189" s="38">
        <v>33177.447953703668</v>
      </c>
      <c r="K189" s="180" t="s">
        <v>5076</v>
      </c>
      <c r="L189" s="180" t="s">
        <v>1367</v>
      </c>
      <c r="M189" s="180">
        <v>2</v>
      </c>
      <c r="N189" s="955" t="s">
        <v>387</v>
      </c>
      <c r="O189" s="955" t="s">
        <v>1004</v>
      </c>
      <c r="P189" s="180" t="s">
        <v>5078</v>
      </c>
      <c r="Q189" s="955" t="s">
        <v>1181</v>
      </c>
      <c r="R189" s="180" t="s">
        <v>2628</v>
      </c>
      <c r="S189" s="180">
        <v>179</v>
      </c>
    </row>
    <row r="190" spans="1:19" x14ac:dyDescent="0.2">
      <c r="A190" t="s">
        <v>392</v>
      </c>
      <c r="B190">
        <v>9817</v>
      </c>
      <c r="C190" s="1102">
        <v>9817</v>
      </c>
      <c r="D190" s="38">
        <v>9817.142096880074</v>
      </c>
      <c r="K190" s="180" t="s">
        <v>5076</v>
      </c>
      <c r="L190" s="180" t="s">
        <v>1367</v>
      </c>
      <c r="M190" s="180">
        <v>2</v>
      </c>
      <c r="N190" s="955" t="s">
        <v>393</v>
      </c>
      <c r="O190" s="955" t="s">
        <v>1004</v>
      </c>
      <c r="P190" s="180" t="s">
        <v>5078</v>
      </c>
      <c r="Q190" s="955" t="s">
        <v>1181</v>
      </c>
      <c r="R190" s="180" t="s">
        <v>392</v>
      </c>
      <c r="S190" s="180">
        <v>180</v>
      </c>
    </row>
    <row r="191" spans="1:19" x14ac:dyDescent="0.2">
      <c r="A191" t="s">
        <v>227</v>
      </c>
      <c r="B191">
        <v>9187</v>
      </c>
      <c r="C191" s="1102">
        <v>9187</v>
      </c>
      <c r="D191" s="38">
        <v>9187.3724798703352</v>
      </c>
      <c r="K191" s="180" t="s">
        <v>5076</v>
      </c>
      <c r="L191" s="180" t="s">
        <v>1367</v>
      </c>
      <c r="M191" s="180">
        <v>2</v>
      </c>
      <c r="N191" s="955" t="s">
        <v>399</v>
      </c>
      <c r="O191" s="955" t="s">
        <v>1004</v>
      </c>
      <c r="P191" s="180" t="s">
        <v>5078</v>
      </c>
      <c r="Q191" s="955" t="s">
        <v>1181</v>
      </c>
      <c r="R191" s="180" t="s">
        <v>227</v>
      </c>
      <c r="S191" s="180">
        <v>181</v>
      </c>
    </row>
    <row r="192" spans="1:19" x14ac:dyDescent="0.2">
      <c r="A192" t="s">
        <v>2629</v>
      </c>
      <c r="B192">
        <v>4895</v>
      </c>
      <c r="C192" s="1102">
        <v>4895</v>
      </c>
      <c r="D192" s="38">
        <v>4895.0400127964494</v>
      </c>
      <c r="K192" s="180" t="s">
        <v>5076</v>
      </c>
      <c r="L192" s="180" t="s">
        <v>1367</v>
      </c>
      <c r="M192" s="180">
        <v>2</v>
      </c>
      <c r="N192" s="955" t="s">
        <v>404</v>
      </c>
      <c r="O192" s="955" t="s">
        <v>1004</v>
      </c>
      <c r="P192" s="180" t="s">
        <v>5078</v>
      </c>
      <c r="Q192" s="955" t="s">
        <v>1181</v>
      </c>
      <c r="R192" s="180" t="s">
        <v>2629</v>
      </c>
      <c r="S192" s="180">
        <v>182</v>
      </c>
    </row>
    <row r="193" spans="1:19" x14ac:dyDescent="0.2">
      <c r="A193" t="s">
        <v>2630</v>
      </c>
      <c r="B193">
        <v>6878</v>
      </c>
      <c r="C193" s="1102">
        <v>6878</v>
      </c>
      <c r="D193" s="38">
        <v>6877.7396616297738</v>
      </c>
      <c r="K193" s="180" t="s">
        <v>5076</v>
      </c>
      <c r="L193" s="180" t="s">
        <v>1367</v>
      </c>
      <c r="M193" s="180">
        <v>2</v>
      </c>
      <c r="N193" s="955" t="s">
        <v>411</v>
      </c>
      <c r="O193" s="955" t="s">
        <v>1004</v>
      </c>
      <c r="P193" s="180" t="s">
        <v>5078</v>
      </c>
      <c r="Q193" s="955" t="s">
        <v>1181</v>
      </c>
      <c r="R193" s="180" t="s">
        <v>2630</v>
      </c>
      <c r="S193" s="180">
        <v>183</v>
      </c>
    </row>
    <row r="194" spans="1:19" x14ac:dyDescent="0.2">
      <c r="A194" t="s">
        <v>5226</v>
      </c>
      <c r="B194">
        <v>13602</v>
      </c>
      <c r="C194" s="1102">
        <v>10477</v>
      </c>
      <c r="D194" s="1103">
        <v>13722.459532229526</v>
      </c>
      <c r="K194" s="180" t="s">
        <v>5076</v>
      </c>
      <c r="L194" s="180" t="s">
        <v>1367</v>
      </c>
      <c r="M194" s="180">
        <v>2</v>
      </c>
      <c r="N194" s="955" t="s">
        <v>418</v>
      </c>
      <c r="O194" s="955" t="s">
        <v>5136</v>
      </c>
      <c r="P194" s="180" t="s">
        <v>5078</v>
      </c>
      <c r="Q194" s="955" t="s">
        <v>1181</v>
      </c>
      <c r="R194" s="180" t="s">
        <v>5226</v>
      </c>
      <c r="S194" s="180">
        <v>184</v>
      </c>
    </row>
    <row r="195" spans="1:19" x14ac:dyDescent="0.2">
      <c r="A195" t="s">
        <v>2632</v>
      </c>
      <c r="B195">
        <v>3108</v>
      </c>
      <c r="C195" s="1102">
        <v>3108</v>
      </c>
      <c r="D195" s="38">
        <v>3107.6607084979464</v>
      </c>
      <c r="K195" s="180" t="s">
        <v>5076</v>
      </c>
      <c r="L195" s="180" t="s">
        <v>1367</v>
      </c>
      <c r="M195" s="180">
        <v>2</v>
      </c>
      <c r="N195" s="955" t="s">
        <v>5227</v>
      </c>
      <c r="O195" s="955" t="s">
        <v>1004</v>
      </c>
      <c r="P195" s="180" t="s">
        <v>5078</v>
      </c>
      <c r="Q195" s="955" t="s">
        <v>1181</v>
      </c>
      <c r="R195" s="180" t="s">
        <v>2632</v>
      </c>
      <c r="S195" s="180">
        <v>185</v>
      </c>
    </row>
    <row r="196" spans="1:19" x14ac:dyDescent="0.2">
      <c r="A196" t="s">
        <v>2633</v>
      </c>
      <c r="B196">
        <v>1897</v>
      </c>
      <c r="C196" s="1102">
        <v>1897</v>
      </c>
      <c r="D196" s="38">
        <v>1897.0481709131225</v>
      </c>
      <c r="K196" s="180" t="s">
        <v>5076</v>
      </c>
      <c r="L196" s="180" t="s">
        <v>1367</v>
      </c>
      <c r="M196" s="180">
        <v>2</v>
      </c>
      <c r="N196" s="955" t="s">
        <v>5228</v>
      </c>
      <c r="O196" s="955" t="s">
        <v>1004</v>
      </c>
      <c r="P196" s="180" t="s">
        <v>5078</v>
      </c>
      <c r="Q196" s="955" t="s">
        <v>1181</v>
      </c>
      <c r="R196" s="180" t="s">
        <v>2633</v>
      </c>
      <c r="S196" s="180">
        <v>186</v>
      </c>
    </row>
    <row r="197" spans="1:19" x14ac:dyDescent="0.2">
      <c r="A197" t="s">
        <v>2634</v>
      </c>
      <c r="B197">
        <v>511</v>
      </c>
      <c r="C197" s="1102">
        <v>278</v>
      </c>
      <c r="D197" s="1103">
        <v>523.45665636524063</v>
      </c>
      <c r="K197" s="180" t="s">
        <v>5076</v>
      </c>
      <c r="L197" s="180" t="s">
        <v>1367</v>
      </c>
      <c r="M197" s="180">
        <v>2</v>
      </c>
      <c r="N197" s="955" t="s">
        <v>5229</v>
      </c>
      <c r="O197" s="955" t="s">
        <v>5161</v>
      </c>
      <c r="P197" s="180" t="s">
        <v>5078</v>
      </c>
      <c r="Q197" s="955" t="s">
        <v>1181</v>
      </c>
      <c r="R197" s="180" t="s">
        <v>2634</v>
      </c>
      <c r="S197" s="180">
        <v>187</v>
      </c>
    </row>
    <row r="198" spans="1:19" x14ac:dyDescent="0.2">
      <c r="A198" t="s">
        <v>2635</v>
      </c>
      <c r="B198">
        <v>6436</v>
      </c>
      <c r="C198" s="1102">
        <v>3108</v>
      </c>
      <c r="D198" s="1103">
        <v>6535.3964538194914</v>
      </c>
      <c r="K198" s="180" t="s">
        <v>5076</v>
      </c>
      <c r="L198" s="180" t="s">
        <v>1367</v>
      </c>
      <c r="M198" s="180">
        <v>2</v>
      </c>
      <c r="N198" s="955" t="s">
        <v>5227</v>
      </c>
      <c r="O198" s="955" t="s">
        <v>5161</v>
      </c>
      <c r="P198" s="180" t="s">
        <v>5078</v>
      </c>
      <c r="Q198" s="955" t="s">
        <v>1181</v>
      </c>
      <c r="R198" s="180" t="s">
        <v>2635</v>
      </c>
      <c r="S198" s="180">
        <v>188</v>
      </c>
    </row>
    <row r="199" spans="1:19" x14ac:dyDescent="0.2">
      <c r="A199" t="s">
        <v>2636</v>
      </c>
      <c r="B199">
        <v>1067</v>
      </c>
      <c r="C199" s="1102">
        <v>1067</v>
      </c>
      <c r="D199" s="1103">
        <v>1066.9026438841138</v>
      </c>
      <c r="K199" s="180" t="s">
        <v>5076</v>
      </c>
      <c r="L199" s="180" t="s">
        <v>1367</v>
      </c>
      <c r="M199" s="180">
        <v>2</v>
      </c>
      <c r="N199" s="955" t="s">
        <v>5230</v>
      </c>
      <c r="O199" s="955" t="s">
        <v>5163</v>
      </c>
      <c r="P199" s="180" t="s">
        <v>5078</v>
      </c>
      <c r="Q199" s="955" t="s">
        <v>1181</v>
      </c>
      <c r="R199" s="180" t="s">
        <v>2636</v>
      </c>
      <c r="S199" s="180">
        <v>189</v>
      </c>
    </row>
    <row r="200" spans="1:19" x14ac:dyDescent="0.2">
      <c r="A200" t="s">
        <v>2637</v>
      </c>
      <c r="B200">
        <v>1897</v>
      </c>
      <c r="C200" s="1102">
        <v>1897</v>
      </c>
      <c r="D200" s="1103">
        <v>1897.0481709131225</v>
      </c>
      <c r="K200" s="180" t="s">
        <v>5076</v>
      </c>
      <c r="L200" s="180" t="s">
        <v>1367</v>
      </c>
      <c r="M200" s="180">
        <v>2</v>
      </c>
      <c r="N200" s="955" t="s">
        <v>5228</v>
      </c>
      <c r="O200" s="955" t="s">
        <v>5163</v>
      </c>
      <c r="P200" s="180" t="s">
        <v>5078</v>
      </c>
      <c r="Q200" s="955" t="s">
        <v>1181</v>
      </c>
      <c r="R200" s="180" t="s">
        <v>2637</v>
      </c>
      <c r="S200" s="180">
        <v>190</v>
      </c>
    </row>
    <row r="201" spans="1:19" x14ac:dyDescent="0.2">
      <c r="A201" t="s">
        <v>2638</v>
      </c>
      <c r="B201">
        <v>209</v>
      </c>
      <c r="C201" s="1102">
        <v>88</v>
      </c>
      <c r="D201" s="1103">
        <v>212.32489131913445</v>
      </c>
      <c r="K201" s="180" t="s">
        <v>5076</v>
      </c>
      <c r="L201" s="180" t="s">
        <v>1367</v>
      </c>
      <c r="M201" s="180">
        <v>2</v>
      </c>
      <c r="N201" s="955" t="s">
        <v>5231</v>
      </c>
      <c r="O201" s="955" t="s">
        <v>5113</v>
      </c>
      <c r="P201" s="180" t="s">
        <v>5078</v>
      </c>
      <c r="Q201" s="955" t="s">
        <v>1181</v>
      </c>
      <c r="R201" s="180" t="s">
        <v>2638</v>
      </c>
      <c r="S201" s="180">
        <v>191</v>
      </c>
    </row>
    <row r="202" spans="1:19" x14ac:dyDescent="0.2">
      <c r="A202" t="s">
        <v>2639</v>
      </c>
      <c r="B202">
        <v>23092</v>
      </c>
      <c r="C202" s="1102">
        <v>10477</v>
      </c>
      <c r="D202" s="1103">
        <v>23495.805594701458</v>
      </c>
      <c r="K202" s="180" t="s">
        <v>5076</v>
      </c>
      <c r="L202" s="180" t="s">
        <v>1367</v>
      </c>
      <c r="M202" s="180">
        <v>2</v>
      </c>
      <c r="N202" s="955" t="s">
        <v>418</v>
      </c>
      <c r="O202" s="955" t="s">
        <v>5113</v>
      </c>
      <c r="P202" s="180" t="s">
        <v>5078</v>
      </c>
      <c r="Q202" s="955" t="s">
        <v>1181</v>
      </c>
      <c r="R202" s="180" t="s">
        <v>2639</v>
      </c>
      <c r="S202" s="180">
        <v>192</v>
      </c>
    </row>
    <row r="203" spans="1:19" x14ac:dyDescent="0.2">
      <c r="A203" t="s">
        <v>2640</v>
      </c>
      <c r="B203">
        <v>100866</v>
      </c>
      <c r="C203">
        <v>58749</v>
      </c>
      <c r="D203" s="1103">
        <v>102114.7736580018</v>
      </c>
      <c r="K203" s="180" t="s">
        <v>5076</v>
      </c>
      <c r="L203" s="180" t="s">
        <v>1367</v>
      </c>
      <c r="M203" s="180">
        <v>2</v>
      </c>
      <c r="N203" s="955" t="s">
        <v>5232</v>
      </c>
      <c r="O203" s="955" t="s">
        <v>5086</v>
      </c>
      <c r="P203" s="180" t="s">
        <v>5078</v>
      </c>
      <c r="Q203" s="955" t="s">
        <v>1181</v>
      </c>
      <c r="R203" s="180" t="s">
        <v>2640</v>
      </c>
      <c r="S203" s="180">
        <v>193</v>
      </c>
    </row>
    <row r="204" spans="1:19" x14ac:dyDescent="0.2">
      <c r="A204" t="s">
        <v>2641</v>
      </c>
      <c r="B204">
        <v>36406</v>
      </c>
      <c r="C204">
        <v>20535</v>
      </c>
      <c r="D204" s="1103">
        <v>36909.949326415299</v>
      </c>
      <c r="K204" s="180" t="s">
        <v>5076</v>
      </c>
      <c r="L204" s="180" t="s">
        <v>1367</v>
      </c>
      <c r="M204" s="180">
        <v>2</v>
      </c>
      <c r="N204" s="955" t="s">
        <v>5233</v>
      </c>
      <c r="O204" s="955" t="s">
        <v>5086</v>
      </c>
      <c r="P204" s="180" t="s">
        <v>5078</v>
      </c>
      <c r="Q204" s="955" t="s">
        <v>1181</v>
      </c>
      <c r="R204" s="180" t="s">
        <v>2641</v>
      </c>
      <c r="S204" s="180">
        <v>194</v>
      </c>
    </row>
    <row r="205" spans="1:19" x14ac:dyDescent="0.2">
      <c r="A205" t="s">
        <v>2642</v>
      </c>
      <c r="B205">
        <v>4271</v>
      </c>
      <c r="C205">
        <v>1676</v>
      </c>
      <c r="D205" s="1103">
        <v>4360.3247142515374</v>
      </c>
      <c r="K205" s="180" t="s">
        <v>5076</v>
      </c>
      <c r="L205" s="180" t="s">
        <v>1367</v>
      </c>
      <c r="M205" s="180">
        <v>2</v>
      </c>
      <c r="N205" s="955" t="s">
        <v>5234</v>
      </c>
      <c r="O205" s="955" t="s">
        <v>5086</v>
      </c>
      <c r="P205" s="180" t="s">
        <v>5078</v>
      </c>
      <c r="Q205" s="955" t="s">
        <v>1181</v>
      </c>
      <c r="R205" s="180" t="s">
        <v>2642</v>
      </c>
      <c r="S205" s="180">
        <v>195</v>
      </c>
    </row>
    <row r="206" spans="1:19" x14ac:dyDescent="0.2">
      <c r="A206" t="s">
        <v>2643</v>
      </c>
      <c r="B206">
        <v>25830</v>
      </c>
      <c r="C206">
        <v>15331</v>
      </c>
      <c r="D206" s="1103">
        <v>26148.086978674466</v>
      </c>
      <c r="K206" s="180" t="s">
        <v>5076</v>
      </c>
      <c r="L206" s="180" t="s">
        <v>1367</v>
      </c>
      <c r="M206" s="180">
        <v>2</v>
      </c>
      <c r="N206" s="955" t="s">
        <v>5235</v>
      </c>
      <c r="O206" s="955" t="s">
        <v>5086</v>
      </c>
      <c r="P206" s="180" t="s">
        <v>5078</v>
      </c>
      <c r="Q206" s="955" t="s">
        <v>1181</v>
      </c>
      <c r="R206" s="180" t="s">
        <v>2643</v>
      </c>
      <c r="S206" s="180">
        <v>196</v>
      </c>
    </row>
    <row r="207" spans="1:19" x14ac:dyDescent="0.2">
      <c r="A207" t="s">
        <v>2644</v>
      </c>
      <c r="B207">
        <v>4625</v>
      </c>
      <c r="C207">
        <v>4334</v>
      </c>
      <c r="D207" s="1103">
        <v>4634.0664296541354</v>
      </c>
      <c r="K207" s="180" t="s">
        <v>5076</v>
      </c>
      <c r="L207" s="180" t="s">
        <v>1367</v>
      </c>
      <c r="M207" s="180">
        <v>2</v>
      </c>
      <c r="N207" s="955" t="s">
        <v>5236</v>
      </c>
      <c r="O207" s="955" t="s">
        <v>5086</v>
      </c>
      <c r="P207" s="180" t="s">
        <v>5078</v>
      </c>
      <c r="Q207" s="955" t="s">
        <v>1181</v>
      </c>
      <c r="R207" s="180" t="s">
        <v>2644</v>
      </c>
      <c r="S207" s="180">
        <v>197</v>
      </c>
    </row>
    <row r="208" spans="1:19" x14ac:dyDescent="0.2">
      <c r="A208" t="s">
        <v>2645</v>
      </c>
      <c r="B208">
        <v>2279</v>
      </c>
      <c r="C208">
        <v>1822</v>
      </c>
      <c r="D208" s="1103">
        <v>2296.9242186768338</v>
      </c>
      <c r="K208" s="180" t="s">
        <v>5076</v>
      </c>
      <c r="L208" s="180" t="s">
        <v>1367</v>
      </c>
      <c r="M208" s="180">
        <v>2</v>
      </c>
      <c r="N208" s="955" t="s">
        <v>5237</v>
      </c>
      <c r="O208" s="955" t="s">
        <v>5086</v>
      </c>
      <c r="P208" s="180" t="s">
        <v>5078</v>
      </c>
      <c r="Q208" s="955" t="s">
        <v>1181</v>
      </c>
      <c r="R208" s="180" t="s">
        <v>2645</v>
      </c>
      <c r="S208" s="180">
        <v>198</v>
      </c>
    </row>
    <row r="209" spans="1:19" x14ac:dyDescent="0.2">
      <c r="A209" t="s">
        <v>5238</v>
      </c>
      <c r="B209">
        <v>15021</v>
      </c>
      <c r="C209">
        <v>7263</v>
      </c>
      <c r="D209" s="1103">
        <v>15183.154043248731</v>
      </c>
      <c r="K209" s="180" t="s">
        <v>5076</v>
      </c>
      <c r="L209" s="180" t="s">
        <v>1367</v>
      </c>
      <c r="M209" s="180">
        <v>2</v>
      </c>
      <c r="N209" s="955" t="s">
        <v>4987</v>
      </c>
      <c r="O209" s="955" t="s">
        <v>5085</v>
      </c>
      <c r="P209" s="180" t="s">
        <v>5078</v>
      </c>
      <c r="Q209" s="955" t="s">
        <v>1181</v>
      </c>
      <c r="R209" s="180" t="s">
        <v>5238</v>
      </c>
      <c r="S209" s="180">
        <v>199</v>
      </c>
    </row>
    <row r="210" spans="1:19" x14ac:dyDescent="0.2">
      <c r="A210" s="484" t="s">
        <v>5239</v>
      </c>
      <c r="B210">
        <v>45620</v>
      </c>
      <c r="C210">
        <v>19917</v>
      </c>
      <c r="D210" s="38">
        <v>46189.77337591489</v>
      </c>
      <c r="K210" s="180" t="s">
        <v>5076</v>
      </c>
      <c r="L210" s="180" t="s">
        <v>1367</v>
      </c>
      <c r="M210" s="180">
        <v>2</v>
      </c>
      <c r="N210" s="955" t="s">
        <v>5240</v>
      </c>
      <c r="O210" s="955" t="s">
        <v>5241</v>
      </c>
      <c r="P210" s="180" t="s">
        <v>5078</v>
      </c>
      <c r="Q210" s="955" t="s">
        <v>1181</v>
      </c>
      <c r="R210" s="858" t="s">
        <v>5239</v>
      </c>
      <c r="S210" s="180">
        <v>200</v>
      </c>
    </row>
    <row r="211" spans="1:19" x14ac:dyDescent="0.2">
      <c r="A211" s="484" t="s">
        <v>5242</v>
      </c>
      <c r="B211">
        <v>0</v>
      </c>
      <c r="C211">
        <v>0</v>
      </c>
      <c r="D211" s="38">
        <v>0</v>
      </c>
      <c r="K211" s="180" t="s">
        <v>5076</v>
      </c>
      <c r="L211" s="180" t="s">
        <v>1367</v>
      </c>
      <c r="M211" s="180">
        <v>2</v>
      </c>
      <c r="N211" s="955" t="s">
        <v>5181</v>
      </c>
      <c r="O211" s="955" t="s">
        <v>5186</v>
      </c>
      <c r="P211" s="180" t="s">
        <v>5078</v>
      </c>
      <c r="Q211" s="955" t="s">
        <v>1181</v>
      </c>
      <c r="R211" s="858" t="s">
        <v>5242</v>
      </c>
      <c r="S211" s="180">
        <v>201</v>
      </c>
    </row>
    <row r="212" spans="1:19" x14ac:dyDescent="0.2">
      <c r="A212" s="484" t="s">
        <v>5243</v>
      </c>
      <c r="B212">
        <v>7744</v>
      </c>
      <c r="C212">
        <v>456</v>
      </c>
      <c r="D212" s="38">
        <v>7953.6965059151198</v>
      </c>
      <c r="K212" s="180" t="s">
        <v>5076</v>
      </c>
      <c r="L212" s="180" t="s">
        <v>1367</v>
      </c>
      <c r="M212" s="180">
        <v>2</v>
      </c>
      <c r="N212" s="1105" t="s">
        <v>5176</v>
      </c>
      <c r="O212" s="955" t="s">
        <v>5235</v>
      </c>
      <c r="P212" s="180" t="s">
        <v>5078</v>
      </c>
      <c r="Q212" s="955" t="s">
        <v>2654</v>
      </c>
      <c r="R212" s="858" t="s">
        <v>5243</v>
      </c>
      <c r="S212" s="180">
        <v>202</v>
      </c>
    </row>
    <row r="213" spans="1:19" x14ac:dyDescent="0.2">
      <c r="A213" s="484" t="s">
        <v>5244</v>
      </c>
      <c r="B213">
        <v>57775</v>
      </c>
      <c r="C213">
        <v>29249</v>
      </c>
      <c r="D213" s="38">
        <v>58669.705233521119</v>
      </c>
      <c r="K213" s="180" t="s">
        <v>5076</v>
      </c>
      <c r="L213" s="180" t="s">
        <v>1367</v>
      </c>
      <c r="M213" s="180">
        <v>2</v>
      </c>
      <c r="N213" s="1105" t="s">
        <v>5112</v>
      </c>
      <c r="O213" s="955" t="s">
        <v>5113</v>
      </c>
      <c r="P213" s="180" t="s">
        <v>5078</v>
      </c>
      <c r="Q213" s="955" t="s">
        <v>2654</v>
      </c>
      <c r="R213" s="858" t="s">
        <v>5244</v>
      </c>
      <c r="S213" s="180">
        <v>203</v>
      </c>
    </row>
    <row r="214" spans="1:19" x14ac:dyDescent="0.2">
      <c r="A214" s="484" t="s">
        <v>5245</v>
      </c>
      <c r="B214">
        <v>5161</v>
      </c>
      <c r="C214">
        <v>456</v>
      </c>
      <c r="D214" s="38">
        <v>5258.7133104150871</v>
      </c>
      <c r="K214" s="180" t="s">
        <v>5076</v>
      </c>
      <c r="L214" s="180" t="s">
        <v>1367</v>
      </c>
      <c r="M214" s="180">
        <v>2</v>
      </c>
      <c r="N214" s="955" t="s">
        <v>5176</v>
      </c>
      <c r="O214" s="955" t="s">
        <v>5235</v>
      </c>
      <c r="P214" s="180" t="s">
        <v>5078</v>
      </c>
      <c r="Q214" s="955" t="s">
        <v>1181</v>
      </c>
      <c r="R214" s="858" t="s">
        <v>5245</v>
      </c>
      <c r="S214" s="180">
        <v>204</v>
      </c>
    </row>
    <row r="215" spans="1:19" x14ac:dyDescent="0.2">
      <c r="A215" t="s">
        <v>5246</v>
      </c>
      <c r="B215">
        <v>102</v>
      </c>
      <c r="C215">
        <v>88</v>
      </c>
      <c r="D215" s="1103">
        <v>102.74232520616935</v>
      </c>
      <c r="K215" s="180" t="s">
        <v>5076</v>
      </c>
      <c r="L215" s="180" t="s">
        <v>1367</v>
      </c>
      <c r="M215" s="180">
        <v>2</v>
      </c>
      <c r="N215" s="955" t="s">
        <v>5247</v>
      </c>
      <c r="O215" s="955" t="s">
        <v>5136</v>
      </c>
      <c r="P215" s="180" t="s">
        <v>5078</v>
      </c>
      <c r="Q215" s="955" t="s">
        <v>1181</v>
      </c>
      <c r="R215" s="180" t="s">
        <v>5246</v>
      </c>
      <c r="S215" s="180">
        <v>205</v>
      </c>
    </row>
    <row r="216" spans="1:19" x14ac:dyDescent="0.2">
      <c r="A216" t="s">
        <v>5248</v>
      </c>
      <c r="B216">
        <v>0</v>
      </c>
      <c r="C216">
        <v>0</v>
      </c>
      <c r="D216" s="1103">
        <v>0</v>
      </c>
      <c r="K216" s="180" t="s">
        <v>5076</v>
      </c>
      <c r="L216" s="180" t="s">
        <v>1367</v>
      </c>
      <c r="M216" s="180">
        <v>2</v>
      </c>
      <c r="N216" s="955" t="s">
        <v>5249</v>
      </c>
      <c r="O216" s="955" t="s">
        <v>5136</v>
      </c>
      <c r="P216" s="180" t="s">
        <v>5078</v>
      </c>
      <c r="Q216" s="955" t="s">
        <v>1181</v>
      </c>
      <c r="R216" s="180" t="s">
        <v>5248</v>
      </c>
      <c r="S216" s="180">
        <v>206</v>
      </c>
    </row>
    <row r="217" spans="1:19" x14ac:dyDescent="0.2">
      <c r="A217" s="484" t="s">
        <v>5250</v>
      </c>
      <c r="B217">
        <v>0</v>
      </c>
      <c r="C217">
        <v>0</v>
      </c>
      <c r="D217" s="38">
        <v>0</v>
      </c>
      <c r="K217" s="180" t="s">
        <v>5076</v>
      </c>
      <c r="L217" s="180" t="s">
        <v>1367</v>
      </c>
      <c r="M217" s="180">
        <v>2</v>
      </c>
      <c r="N217" s="955" t="s">
        <v>5249</v>
      </c>
      <c r="O217" s="955" t="s">
        <v>5113</v>
      </c>
      <c r="P217" s="180" t="s">
        <v>5078</v>
      </c>
      <c r="Q217" s="955" t="s">
        <v>1181</v>
      </c>
      <c r="R217" s="858" t="s">
        <v>5250</v>
      </c>
      <c r="S217" s="180">
        <v>207</v>
      </c>
    </row>
    <row r="218" spans="1:19" x14ac:dyDescent="0.2">
      <c r="A218" t="s">
        <v>5251</v>
      </c>
      <c r="B218">
        <v>1716</v>
      </c>
      <c r="C218" s="1102">
        <v>1513</v>
      </c>
      <c r="D218" s="38">
        <v>1720.1448806107294</v>
      </c>
      <c r="K218" s="180" t="s">
        <v>5076</v>
      </c>
      <c r="L218" s="180" t="s">
        <v>1367</v>
      </c>
      <c r="M218" s="180">
        <v>2</v>
      </c>
      <c r="N218" s="955" t="s">
        <v>5252</v>
      </c>
      <c r="O218" s="955" t="s">
        <v>5171</v>
      </c>
      <c r="P218" s="180" t="s">
        <v>5078</v>
      </c>
      <c r="Q218" s="955" t="s">
        <v>1181</v>
      </c>
      <c r="R218" s="180" t="s">
        <v>5251</v>
      </c>
      <c r="S218" s="180">
        <v>208</v>
      </c>
    </row>
    <row r="219" spans="1:19" x14ac:dyDescent="0.2">
      <c r="A219" t="s">
        <v>5253</v>
      </c>
      <c r="B219">
        <v>12901</v>
      </c>
      <c r="C219">
        <v>8786</v>
      </c>
      <c r="D219" s="1103">
        <v>12992.266968445121</v>
      </c>
      <c r="K219" s="180" t="s">
        <v>5076</v>
      </c>
      <c r="L219" s="180" t="s">
        <v>1367</v>
      </c>
      <c r="M219" s="180">
        <v>2</v>
      </c>
      <c r="N219" s="955" t="s">
        <v>5052</v>
      </c>
      <c r="O219" s="955" t="s">
        <v>5133</v>
      </c>
      <c r="P219" s="180" t="s">
        <v>5078</v>
      </c>
      <c r="Q219" s="955" t="s">
        <v>1181</v>
      </c>
      <c r="R219" s="180" t="s">
        <v>5253</v>
      </c>
      <c r="S219" s="180">
        <v>209</v>
      </c>
    </row>
    <row r="220" spans="1:19" x14ac:dyDescent="0.2">
      <c r="A220" t="s">
        <v>5056</v>
      </c>
      <c r="B220">
        <v>14499</v>
      </c>
      <c r="C220">
        <v>10028</v>
      </c>
      <c r="D220" s="1103">
        <v>14594.096352161767</v>
      </c>
      <c r="K220" s="180" t="s">
        <v>5076</v>
      </c>
      <c r="L220" s="180" t="s">
        <v>1367</v>
      </c>
      <c r="M220" s="180">
        <v>2</v>
      </c>
      <c r="N220" s="955" t="s">
        <v>5055</v>
      </c>
      <c r="O220" s="955" t="s">
        <v>5133</v>
      </c>
      <c r="P220" s="180" t="s">
        <v>5078</v>
      </c>
      <c r="Q220" s="955" t="s">
        <v>1181</v>
      </c>
      <c r="R220" s="180" t="s">
        <v>5056</v>
      </c>
      <c r="S220" s="180">
        <v>210</v>
      </c>
    </row>
    <row r="221" spans="1:19" x14ac:dyDescent="0.2">
      <c r="A221" t="s">
        <v>5058</v>
      </c>
      <c r="B221">
        <v>27112</v>
      </c>
      <c r="C221">
        <v>11116</v>
      </c>
      <c r="D221" s="1103">
        <v>27437.367422636718</v>
      </c>
      <c r="K221" s="180" t="s">
        <v>5076</v>
      </c>
      <c r="L221" s="180" t="s">
        <v>1367</v>
      </c>
      <c r="M221" s="180">
        <v>2</v>
      </c>
      <c r="N221" s="955" t="s">
        <v>5040</v>
      </c>
      <c r="O221" s="955" t="s">
        <v>5133</v>
      </c>
      <c r="P221" s="180" t="s">
        <v>5078</v>
      </c>
      <c r="Q221" s="955" t="s">
        <v>1181</v>
      </c>
      <c r="R221" s="180" t="s">
        <v>5058</v>
      </c>
      <c r="S221" s="180">
        <v>211</v>
      </c>
    </row>
    <row r="222" spans="1:19" x14ac:dyDescent="0.2">
      <c r="A222" t="s">
        <v>5254</v>
      </c>
      <c r="B222">
        <v>583</v>
      </c>
      <c r="C222">
        <v>583</v>
      </c>
      <c r="D222" s="1103">
        <v>583.01273440298053</v>
      </c>
      <c r="K222" s="180" t="s">
        <v>5076</v>
      </c>
      <c r="L222" s="180" t="s">
        <v>1367</v>
      </c>
      <c r="M222" s="180">
        <v>2</v>
      </c>
      <c r="N222" s="955" t="s">
        <v>5255</v>
      </c>
      <c r="O222" s="955" t="s">
        <v>5139</v>
      </c>
      <c r="P222" s="180" t="s">
        <v>5078</v>
      </c>
      <c r="Q222" s="955" t="s">
        <v>1181</v>
      </c>
      <c r="R222" s="180" t="s">
        <v>5254</v>
      </c>
      <c r="S222" s="180">
        <v>212</v>
      </c>
    </row>
    <row r="223" spans="1:19" x14ac:dyDescent="0.2">
      <c r="A223" t="s">
        <v>5256</v>
      </c>
      <c r="B223">
        <v>535</v>
      </c>
      <c r="C223">
        <v>535</v>
      </c>
      <c r="D223" s="1103">
        <v>534.8848246008755</v>
      </c>
      <c r="K223" s="180" t="s">
        <v>5076</v>
      </c>
      <c r="L223" s="180" t="s">
        <v>1367</v>
      </c>
      <c r="M223" s="180">
        <v>2</v>
      </c>
      <c r="N223" s="955" t="s">
        <v>5257</v>
      </c>
      <c r="O223" s="955" t="s">
        <v>5141</v>
      </c>
      <c r="P223" s="180" t="s">
        <v>5078</v>
      </c>
      <c r="Q223" s="955" t="s">
        <v>1181</v>
      </c>
      <c r="R223" s="180" t="s">
        <v>5256</v>
      </c>
      <c r="S223" s="180">
        <v>213</v>
      </c>
    </row>
    <row r="224" spans="1:19" x14ac:dyDescent="0.2">
      <c r="A224" t="s">
        <v>5258</v>
      </c>
      <c r="B224">
        <v>268</v>
      </c>
      <c r="C224">
        <v>268</v>
      </c>
      <c r="D224" s="1103">
        <v>267.96396789267789</v>
      </c>
      <c r="K224" s="180" t="s">
        <v>5076</v>
      </c>
      <c r="L224" s="180" t="s">
        <v>1367</v>
      </c>
      <c r="M224" s="180">
        <v>2</v>
      </c>
      <c r="N224" s="955" t="s">
        <v>5259</v>
      </c>
      <c r="O224" s="955" t="s">
        <v>5143</v>
      </c>
      <c r="P224" s="180" t="s">
        <v>5078</v>
      </c>
      <c r="Q224" s="955" t="s">
        <v>1181</v>
      </c>
      <c r="R224" s="180" t="s">
        <v>5258</v>
      </c>
      <c r="S224" s="180">
        <v>214</v>
      </c>
    </row>
    <row r="225" spans="1:19" x14ac:dyDescent="0.2">
      <c r="A225" t="s">
        <v>2439</v>
      </c>
      <c r="B225" s="1102">
        <v>42871</v>
      </c>
      <c r="C225">
        <v>42871</v>
      </c>
      <c r="D225" s="38">
        <v>42921.661918296646</v>
      </c>
      <c r="K225" s="180" t="s">
        <v>5076</v>
      </c>
      <c r="L225" s="180" t="s">
        <v>1367</v>
      </c>
      <c r="M225" s="180">
        <v>2</v>
      </c>
      <c r="N225" s="955" t="s">
        <v>4940</v>
      </c>
      <c r="O225" s="955" t="s">
        <v>5260</v>
      </c>
      <c r="P225" s="180" t="s">
        <v>5078</v>
      </c>
      <c r="Q225" s="955" t="s">
        <v>1181</v>
      </c>
      <c r="R225" s="180" t="s">
        <v>2439</v>
      </c>
      <c r="S225" s="180">
        <v>215</v>
      </c>
    </row>
    <row r="226" spans="1:19" x14ac:dyDescent="0.2">
      <c r="A226" t="s">
        <v>5261</v>
      </c>
      <c r="B226" s="1102">
        <v>9854</v>
      </c>
      <c r="C226">
        <v>8379</v>
      </c>
      <c r="D226" s="38">
        <v>10277.171431456434</v>
      </c>
      <c r="K226" s="180" t="s">
        <v>5076</v>
      </c>
      <c r="L226" s="180" t="s">
        <v>1367</v>
      </c>
      <c r="M226" s="180">
        <v>2</v>
      </c>
      <c r="N226" s="955" t="s">
        <v>374</v>
      </c>
      <c r="O226" s="955" t="s">
        <v>5260</v>
      </c>
      <c r="P226" s="180" t="s">
        <v>5078</v>
      </c>
      <c r="Q226" s="955" t="s">
        <v>1181</v>
      </c>
      <c r="R226" s="180" t="s">
        <v>5261</v>
      </c>
      <c r="S226" s="180">
        <v>216</v>
      </c>
    </row>
    <row r="227" spans="1:19" x14ac:dyDescent="0.2">
      <c r="A227" t="s">
        <v>2433</v>
      </c>
      <c r="B227">
        <v>68181</v>
      </c>
      <c r="C227">
        <v>48854</v>
      </c>
      <c r="D227" s="1103">
        <v>68709.240798400875</v>
      </c>
      <c r="K227" s="180" t="s">
        <v>5076</v>
      </c>
      <c r="L227" s="180" t="s">
        <v>1367</v>
      </c>
      <c r="M227" s="180">
        <v>2</v>
      </c>
      <c r="N227" s="955" t="s">
        <v>4928</v>
      </c>
      <c r="O227" s="955" t="s">
        <v>5262</v>
      </c>
      <c r="P227" s="180" t="s">
        <v>5078</v>
      </c>
      <c r="Q227" s="955" t="s">
        <v>1181</v>
      </c>
      <c r="R227" s="180" t="s">
        <v>2433</v>
      </c>
      <c r="S227" s="180">
        <v>217</v>
      </c>
    </row>
    <row r="228" spans="1:19" x14ac:dyDescent="0.2">
      <c r="A228" t="s">
        <v>5263</v>
      </c>
      <c r="B228">
        <v>14863</v>
      </c>
      <c r="C228">
        <v>11261</v>
      </c>
      <c r="D228" s="1103">
        <v>14964.964221378124</v>
      </c>
      <c r="E228" s="38">
        <f>D227+D228</f>
        <v>83674.205019778994</v>
      </c>
      <c r="K228" s="180" t="s">
        <v>5076</v>
      </c>
      <c r="L228" s="180" t="s">
        <v>1367</v>
      </c>
      <c r="M228" s="180">
        <v>2</v>
      </c>
      <c r="N228" s="955" t="s">
        <v>5264</v>
      </c>
      <c r="O228" s="955" t="s">
        <v>5262</v>
      </c>
      <c r="P228" s="180" t="s">
        <v>5078</v>
      </c>
      <c r="Q228" s="955" t="s">
        <v>1181</v>
      </c>
      <c r="R228" s="180" t="s">
        <v>5263</v>
      </c>
      <c r="S228" s="180">
        <v>218</v>
      </c>
    </row>
    <row r="229" spans="1:19" x14ac:dyDescent="0.2">
      <c r="A229" t="s">
        <v>5265</v>
      </c>
      <c r="B229">
        <v>1414</v>
      </c>
      <c r="C229">
        <v>1401</v>
      </c>
      <c r="D229" s="1103">
        <v>1414.1759408136097</v>
      </c>
      <c r="K229" s="180" t="s">
        <v>5076</v>
      </c>
      <c r="L229" s="180" t="s">
        <v>1367</v>
      </c>
      <c r="M229" s="180">
        <v>2</v>
      </c>
      <c r="N229" s="955" t="s">
        <v>5170</v>
      </c>
      <c r="O229" s="955" t="s">
        <v>5149</v>
      </c>
      <c r="P229" s="180" t="s">
        <v>5078</v>
      </c>
      <c r="Q229" s="955" t="s">
        <v>1181</v>
      </c>
      <c r="R229" s="180" t="s">
        <v>5265</v>
      </c>
      <c r="S229" s="180">
        <v>219</v>
      </c>
    </row>
    <row r="230" spans="1:19" x14ac:dyDescent="0.2">
      <c r="A230" s="484" t="s">
        <v>5266</v>
      </c>
      <c r="B230">
        <v>104</v>
      </c>
      <c r="C230">
        <v>52</v>
      </c>
      <c r="D230" s="38">
        <v>105.10388538175012</v>
      </c>
      <c r="K230" s="180" t="s">
        <v>5076</v>
      </c>
      <c r="L230" s="180" t="s">
        <v>1367</v>
      </c>
      <c r="M230" s="180">
        <v>2</v>
      </c>
      <c r="N230" s="955" t="s">
        <v>5267</v>
      </c>
      <c r="O230" s="955" t="s">
        <v>5268</v>
      </c>
      <c r="P230" s="180" t="s">
        <v>5078</v>
      </c>
      <c r="Q230" s="955" t="s">
        <v>1181</v>
      </c>
      <c r="R230" s="858" t="s">
        <v>5266</v>
      </c>
      <c r="S230" s="180">
        <v>220</v>
      </c>
    </row>
    <row r="231" spans="1:19" x14ac:dyDescent="0.2">
      <c r="A231" s="484" t="s">
        <v>5269</v>
      </c>
      <c r="B231">
        <v>83665</v>
      </c>
      <c r="C231">
        <v>60115</v>
      </c>
      <c r="D231" s="38">
        <v>84307.701224527336</v>
      </c>
      <c r="K231" s="180" t="s">
        <v>5076</v>
      </c>
      <c r="L231" s="180" t="s">
        <v>1367</v>
      </c>
      <c r="M231" s="180">
        <v>2</v>
      </c>
      <c r="N231" s="955" t="s">
        <v>5108</v>
      </c>
      <c r="O231" s="955" t="s">
        <v>5077</v>
      </c>
      <c r="P231" s="180" t="s">
        <v>5078</v>
      </c>
      <c r="Q231" s="955" t="s">
        <v>1181</v>
      </c>
      <c r="R231" s="858" t="s">
        <v>5269</v>
      </c>
      <c r="S231" s="180">
        <v>221</v>
      </c>
    </row>
    <row r="232" spans="1:19" x14ac:dyDescent="0.2">
      <c r="D232" s="38"/>
    </row>
    <row r="233" spans="1:19" x14ac:dyDescent="0.2">
      <c r="D233" s="38"/>
    </row>
    <row r="234" spans="1:19" x14ac:dyDescent="0.2">
      <c r="A234" t="s">
        <v>5270</v>
      </c>
      <c r="B234" t="s">
        <v>5271</v>
      </c>
      <c r="C234" t="s">
        <v>5272</v>
      </c>
      <c r="D234" t="s">
        <v>5273</v>
      </c>
    </row>
    <row r="235" spans="1:19" x14ac:dyDescent="0.2">
      <c r="A235" t="e">
        <f>- Time Periods</f>
        <v>#NAME?</v>
      </c>
      <c r="B235" t="s">
        <v>5274</v>
      </c>
      <c r="C235" t="s">
        <v>5275</v>
      </c>
    </row>
    <row r="237" spans="1:19" x14ac:dyDescent="0.2">
      <c r="A237" t="s">
        <v>2325</v>
      </c>
    </row>
    <row r="238" spans="1:19" x14ac:dyDescent="0.2">
      <c r="A238" t="s">
        <v>5276</v>
      </c>
      <c r="B238" t="s">
        <v>5277</v>
      </c>
      <c r="C238" t="s">
        <v>5278</v>
      </c>
      <c r="D238" t="s">
        <v>5279</v>
      </c>
    </row>
    <row r="239" spans="1:19" x14ac:dyDescent="0.2">
      <c r="A239" t="s">
        <v>5280</v>
      </c>
      <c r="B239" t="s">
        <v>5281</v>
      </c>
      <c r="C239" t="s">
        <v>129</v>
      </c>
      <c r="D239" t="s">
        <v>5282</v>
      </c>
    </row>
    <row r="240" spans="1:19" x14ac:dyDescent="0.2">
      <c r="A240" t="s">
        <v>5283</v>
      </c>
      <c r="B240" t="s">
        <v>5284</v>
      </c>
      <c r="C240" t="s">
        <v>129</v>
      </c>
      <c r="D240" t="s">
        <v>5285</v>
      </c>
    </row>
    <row r="241" spans="1:4" x14ac:dyDescent="0.2">
      <c r="A241" t="s">
        <v>5286</v>
      </c>
      <c r="B241" t="s">
        <v>5287</v>
      </c>
      <c r="C241" t="s">
        <v>129</v>
      </c>
      <c r="D241" t="s">
        <v>5288</v>
      </c>
    </row>
    <row r="242" spans="1:4" x14ac:dyDescent="0.2">
      <c r="A242" t="s">
        <v>2331</v>
      </c>
    </row>
    <row r="243" spans="1:4" x14ac:dyDescent="0.2">
      <c r="A243" t="s">
        <v>5276</v>
      </c>
      <c r="B243" t="s">
        <v>5277</v>
      </c>
      <c r="C243" t="s">
        <v>5278</v>
      </c>
      <c r="D243" t="s">
        <v>5279</v>
      </c>
    </row>
    <row r="244" spans="1:4" x14ac:dyDescent="0.2">
      <c r="A244" t="s">
        <v>5289</v>
      </c>
      <c r="B244" t="s">
        <v>5281</v>
      </c>
      <c r="C244" t="s">
        <v>129</v>
      </c>
      <c r="D244" t="s">
        <v>5290</v>
      </c>
    </row>
    <row r="245" spans="1:4" x14ac:dyDescent="0.2">
      <c r="A245" t="s">
        <v>5291</v>
      </c>
      <c r="B245" t="s">
        <v>5292</v>
      </c>
      <c r="C245" t="s">
        <v>129</v>
      </c>
      <c r="D245" t="s">
        <v>5293</v>
      </c>
    </row>
    <row r="246" spans="1:4" x14ac:dyDescent="0.2">
      <c r="A246" t="s">
        <v>5294</v>
      </c>
      <c r="B246" t="s">
        <v>5295</v>
      </c>
      <c r="C246" t="s">
        <v>129</v>
      </c>
      <c r="D246" t="s">
        <v>5296</v>
      </c>
    </row>
    <row r="247" spans="1:4" x14ac:dyDescent="0.2">
      <c r="A247" t="s">
        <v>2332</v>
      </c>
    </row>
    <row r="248" spans="1:4" x14ac:dyDescent="0.2">
      <c r="A248" t="s">
        <v>5276</v>
      </c>
      <c r="B248" t="s">
        <v>5277</v>
      </c>
      <c r="C248" t="s">
        <v>5278</v>
      </c>
      <c r="D248" t="s">
        <v>5279</v>
      </c>
    </row>
    <row r="249" spans="1:4" x14ac:dyDescent="0.2">
      <c r="A249" t="s">
        <v>5289</v>
      </c>
      <c r="B249" t="s">
        <v>5281</v>
      </c>
      <c r="C249" t="s">
        <v>129</v>
      </c>
      <c r="D249" t="s">
        <v>5290</v>
      </c>
    </row>
    <row r="250" spans="1:4" x14ac:dyDescent="0.2">
      <c r="A250" t="s">
        <v>5291</v>
      </c>
      <c r="B250" t="s">
        <v>5292</v>
      </c>
      <c r="C250" t="s">
        <v>129</v>
      </c>
      <c r="D250" t="s">
        <v>5293</v>
      </c>
    </row>
    <row r="251" spans="1:4" x14ac:dyDescent="0.2">
      <c r="A251" t="s">
        <v>5297</v>
      </c>
      <c r="B251" t="s">
        <v>5295</v>
      </c>
      <c r="C251" t="s">
        <v>129</v>
      </c>
      <c r="D251" t="s">
        <v>5298</v>
      </c>
    </row>
    <row r="252" spans="1:4" x14ac:dyDescent="0.2">
      <c r="A252" t="s">
        <v>2335</v>
      </c>
    </row>
    <row r="253" spans="1:4" x14ac:dyDescent="0.2">
      <c r="A253" t="s">
        <v>5276</v>
      </c>
      <c r="B253" t="s">
        <v>5277</v>
      </c>
      <c r="C253" t="s">
        <v>5278</v>
      </c>
      <c r="D253" t="s">
        <v>5279</v>
      </c>
    </row>
    <row r="254" spans="1:4" x14ac:dyDescent="0.2">
      <c r="A254" t="s">
        <v>5299</v>
      </c>
      <c r="B254" t="s">
        <v>5281</v>
      </c>
      <c r="C254" t="s">
        <v>129</v>
      </c>
      <c r="D254" t="s">
        <v>5300</v>
      </c>
    </row>
    <row r="255" spans="1:4" x14ac:dyDescent="0.2">
      <c r="A255" t="s">
        <v>5301</v>
      </c>
      <c r="B255" t="s">
        <v>5292</v>
      </c>
      <c r="C255" t="s">
        <v>129</v>
      </c>
      <c r="D255" t="s">
        <v>5302</v>
      </c>
    </row>
    <row r="256" spans="1:4" x14ac:dyDescent="0.2">
      <c r="A256" t="s">
        <v>5303</v>
      </c>
      <c r="B256" t="s">
        <v>5304</v>
      </c>
      <c r="C256" t="s">
        <v>129</v>
      </c>
      <c r="D256" t="s">
        <v>5305</v>
      </c>
    </row>
    <row r="257" spans="1:4" x14ac:dyDescent="0.2">
      <c r="A257" t="s">
        <v>5306</v>
      </c>
      <c r="B257" t="s">
        <v>5307</v>
      </c>
      <c r="C257" t="s">
        <v>129</v>
      </c>
      <c r="D257" t="s">
        <v>5308</v>
      </c>
    </row>
    <row r="258" spans="1:4" x14ac:dyDescent="0.2">
      <c r="A258" t="s">
        <v>5309</v>
      </c>
      <c r="B258" t="s">
        <v>5310</v>
      </c>
      <c r="C258" t="s">
        <v>5311</v>
      </c>
      <c r="D258" t="s">
        <v>5312</v>
      </c>
    </row>
    <row r="259" spans="1:4" x14ac:dyDescent="0.2">
      <c r="A259" t="s">
        <v>5313</v>
      </c>
      <c r="B259" t="s">
        <v>5314</v>
      </c>
      <c r="C259" t="s">
        <v>5315</v>
      </c>
      <c r="D259" t="s">
        <v>5316</v>
      </c>
    </row>
    <row r="260" spans="1:4" x14ac:dyDescent="0.2">
      <c r="A260" t="s">
        <v>5317</v>
      </c>
      <c r="B260" t="s">
        <v>5318</v>
      </c>
      <c r="C260" t="s">
        <v>5319</v>
      </c>
      <c r="D260" t="s">
        <v>5320</v>
      </c>
    </row>
    <row r="261" spans="1:4" x14ac:dyDescent="0.2">
      <c r="A261" t="s">
        <v>2339</v>
      </c>
    </row>
    <row r="262" spans="1:4" x14ac:dyDescent="0.2">
      <c r="A262" t="s">
        <v>5276</v>
      </c>
      <c r="B262" t="s">
        <v>5277</v>
      </c>
      <c r="C262" t="s">
        <v>5278</v>
      </c>
      <c r="D262" t="s">
        <v>5279</v>
      </c>
    </row>
    <row r="263" spans="1:4" x14ac:dyDescent="0.2">
      <c r="A263" t="s">
        <v>5321</v>
      </c>
      <c r="B263" t="s">
        <v>5281</v>
      </c>
      <c r="C263" t="s">
        <v>129</v>
      </c>
      <c r="D263" t="s">
        <v>5322</v>
      </c>
    </row>
    <row r="264" spans="1:4" x14ac:dyDescent="0.2">
      <c r="A264" t="s">
        <v>5323</v>
      </c>
      <c r="B264" t="s">
        <v>5324</v>
      </c>
      <c r="C264" t="s">
        <v>129</v>
      </c>
      <c r="D264" t="s">
        <v>5325</v>
      </c>
    </row>
    <row r="265" spans="1:4" x14ac:dyDescent="0.2">
      <c r="A265" t="s">
        <v>5326</v>
      </c>
      <c r="B265" t="s">
        <v>5327</v>
      </c>
      <c r="C265" t="s">
        <v>129</v>
      </c>
      <c r="D265" t="s">
        <v>5328</v>
      </c>
    </row>
    <row r="266" spans="1:4" x14ac:dyDescent="0.2">
      <c r="A266" t="s">
        <v>5329</v>
      </c>
      <c r="B266" t="s">
        <v>5330</v>
      </c>
      <c r="C266" t="s">
        <v>129</v>
      </c>
      <c r="D266" t="s">
        <v>5331</v>
      </c>
    </row>
    <row r="267" spans="1:4" x14ac:dyDescent="0.2">
      <c r="A267" t="s">
        <v>5332</v>
      </c>
      <c r="B267" t="s">
        <v>5333</v>
      </c>
    </row>
    <row r="268" spans="1:4" x14ac:dyDescent="0.2">
      <c r="A268" t="s">
        <v>2341</v>
      </c>
    </row>
    <row r="269" spans="1:4" x14ac:dyDescent="0.2">
      <c r="A269" t="s">
        <v>5276</v>
      </c>
      <c r="B269" t="s">
        <v>5277</v>
      </c>
      <c r="C269" t="s">
        <v>5278</v>
      </c>
      <c r="D269" t="s">
        <v>5279</v>
      </c>
    </row>
    <row r="270" spans="1:4" x14ac:dyDescent="0.2">
      <c r="A270" t="s">
        <v>5334</v>
      </c>
      <c r="B270" t="s">
        <v>5335</v>
      </c>
      <c r="C270" t="s">
        <v>129</v>
      </c>
      <c r="D270" t="s">
        <v>5336</v>
      </c>
    </row>
    <row r="271" spans="1:4" x14ac:dyDescent="0.2">
      <c r="A271" t="s">
        <v>5337</v>
      </c>
      <c r="B271" t="s">
        <v>5338</v>
      </c>
    </row>
    <row r="272" spans="1:4" x14ac:dyDescent="0.2">
      <c r="A272" t="s">
        <v>1448</v>
      </c>
    </row>
    <row r="273" spans="1:4" x14ac:dyDescent="0.2">
      <c r="A273" t="s">
        <v>5276</v>
      </c>
      <c r="B273" t="s">
        <v>5277</v>
      </c>
      <c r="C273" t="s">
        <v>5278</v>
      </c>
      <c r="D273" t="s">
        <v>5279</v>
      </c>
    </row>
    <row r="274" spans="1:4" x14ac:dyDescent="0.2">
      <c r="A274" t="s">
        <v>5339</v>
      </c>
      <c r="B274" t="s">
        <v>5340</v>
      </c>
      <c r="C274" t="s">
        <v>129</v>
      </c>
      <c r="D274" t="s">
        <v>5341</v>
      </c>
    </row>
    <row r="275" spans="1:4" x14ac:dyDescent="0.2">
      <c r="A275" t="s">
        <v>5342</v>
      </c>
      <c r="B275" t="s">
        <v>5343</v>
      </c>
    </row>
    <row r="276" spans="1:4" x14ac:dyDescent="0.2">
      <c r="A276" t="s">
        <v>1385</v>
      </c>
    </row>
    <row r="277" spans="1:4" x14ac:dyDescent="0.2">
      <c r="A277" t="s">
        <v>5276</v>
      </c>
      <c r="B277" t="s">
        <v>5277</v>
      </c>
      <c r="C277" t="s">
        <v>5278</v>
      </c>
      <c r="D277" t="s">
        <v>5279</v>
      </c>
    </row>
    <row r="278" spans="1:4" x14ac:dyDescent="0.2">
      <c r="A278" t="s">
        <v>5344</v>
      </c>
      <c r="B278" t="s">
        <v>5345</v>
      </c>
      <c r="C278" t="s">
        <v>129</v>
      </c>
      <c r="D278" t="s">
        <v>5346</v>
      </c>
    </row>
    <row r="279" spans="1:4" x14ac:dyDescent="0.2">
      <c r="A279" t="s">
        <v>5347</v>
      </c>
      <c r="B279" t="s">
        <v>5348</v>
      </c>
      <c r="C279" t="s">
        <v>129</v>
      </c>
      <c r="D279" t="s">
        <v>5349</v>
      </c>
    </row>
    <row r="280" spans="1:4" x14ac:dyDescent="0.2">
      <c r="A280" t="s">
        <v>5350</v>
      </c>
      <c r="B280" t="s">
        <v>5351</v>
      </c>
    </row>
    <row r="281" spans="1:4" x14ac:dyDescent="0.2">
      <c r="A281" t="s">
        <v>2346</v>
      </c>
    </row>
    <row r="282" spans="1:4" x14ac:dyDescent="0.2">
      <c r="A282" t="s">
        <v>5276</v>
      </c>
      <c r="B282" t="s">
        <v>5277</v>
      </c>
      <c r="C282" t="s">
        <v>5278</v>
      </c>
      <c r="D282" t="s">
        <v>5279</v>
      </c>
    </row>
    <row r="283" spans="1:4" x14ac:dyDescent="0.2">
      <c r="A283" t="s">
        <v>5352</v>
      </c>
      <c r="B283" t="s">
        <v>5353</v>
      </c>
      <c r="C283" t="s">
        <v>129</v>
      </c>
      <c r="D283" t="s">
        <v>5354</v>
      </c>
    </row>
    <row r="284" spans="1:4" x14ac:dyDescent="0.2">
      <c r="A284" t="s">
        <v>5355</v>
      </c>
      <c r="B284" t="s">
        <v>5356</v>
      </c>
      <c r="C284" t="s">
        <v>129</v>
      </c>
      <c r="D284" t="s">
        <v>5357</v>
      </c>
    </row>
    <row r="285" spans="1:4" x14ac:dyDescent="0.2">
      <c r="A285" t="s">
        <v>5358</v>
      </c>
      <c r="B285" t="s">
        <v>5287</v>
      </c>
      <c r="C285" t="s">
        <v>129</v>
      </c>
      <c r="D285" t="s">
        <v>5359</v>
      </c>
    </row>
    <row r="286" spans="1:4" x14ac:dyDescent="0.2">
      <c r="A286" t="s">
        <v>5360</v>
      </c>
      <c r="B286" t="s">
        <v>5361</v>
      </c>
      <c r="C286" t="s">
        <v>129</v>
      </c>
      <c r="D286" t="s">
        <v>5362</v>
      </c>
    </row>
    <row r="287" spans="1:4" x14ac:dyDescent="0.2">
      <c r="A287" t="s">
        <v>5363</v>
      </c>
      <c r="B287" t="s">
        <v>5364</v>
      </c>
      <c r="C287" t="s">
        <v>5311</v>
      </c>
      <c r="D287" t="s">
        <v>5365</v>
      </c>
    </row>
    <row r="288" spans="1:4" x14ac:dyDescent="0.2">
      <c r="A288" t="s">
        <v>5366</v>
      </c>
      <c r="B288" t="s">
        <v>5367</v>
      </c>
      <c r="C288" t="s">
        <v>5315</v>
      </c>
      <c r="D288" t="s">
        <v>5368</v>
      </c>
    </row>
    <row r="289" spans="1:4" x14ac:dyDescent="0.2">
      <c r="A289" t="s">
        <v>5369</v>
      </c>
      <c r="B289" t="s">
        <v>5370</v>
      </c>
      <c r="C289" t="s">
        <v>5319</v>
      </c>
      <c r="D289" t="s">
        <v>5371</v>
      </c>
    </row>
    <row r="290" spans="1:4" x14ac:dyDescent="0.2">
      <c r="A290" t="s">
        <v>2348</v>
      </c>
    </row>
    <row r="291" spans="1:4" x14ac:dyDescent="0.2">
      <c r="A291" t="s">
        <v>5276</v>
      </c>
      <c r="B291" t="s">
        <v>5277</v>
      </c>
      <c r="C291" t="s">
        <v>5278</v>
      </c>
      <c r="D291" t="s">
        <v>5279</v>
      </c>
    </row>
    <row r="292" spans="1:4" x14ac:dyDescent="0.2">
      <c r="A292" t="s">
        <v>5334</v>
      </c>
      <c r="B292" t="s">
        <v>5335</v>
      </c>
      <c r="C292" t="s">
        <v>129</v>
      </c>
      <c r="D292" t="s">
        <v>5336</v>
      </c>
    </row>
    <row r="293" spans="1:4" x14ac:dyDescent="0.2">
      <c r="A293" t="s">
        <v>5337</v>
      </c>
      <c r="B293" t="s">
        <v>5338</v>
      </c>
    </row>
    <row r="294" spans="1:4" x14ac:dyDescent="0.2">
      <c r="A294" t="s">
        <v>2349</v>
      </c>
    </row>
    <row r="295" spans="1:4" x14ac:dyDescent="0.2">
      <c r="A295" t="s">
        <v>5276</v>
      </c>
      <c r="B295" t="s">
        <v>5277</v>
      </c>
      <c r="C295" t="s">
        <v>5278</v>
      </c>
      <c r="D295" t="s">
        <v>5279</v>
      </c>
    </row>
    <row r="296" spans="1:4" x14ac:dyDescent="0.2">
      <c r="A296" t="s">
        <v>5339</v>
      </c>
      <c r="B296" t="s">
        <v>5340</v>
      </c>
      <c r="C296" t="s">
        <v>129</v>
      </c>
      <c r="D296" t="s">
        <v>5341</v>
      </c>
    </row>
    <row r="297" spans="1:4" x14ac:dyDescent="0.2">
      <c r="A297" t="s">
        <v>5342</v>
      </c>
      <c r="B297" t="s">
        <v>5343</v>
      </c>
    </row>
    <row r="298" spans="1:4" x14ac:dyDescent="0.2">
      <c r="A298" t="s">
        <v>2351</v>
      </c>
    </row>
    <row r="299" spans="1:4" x14ac:dyDescent="0.2">
      <c r="A299" t="s">
        <v>5276</v>
      </c>
      <c r="B299" t="s">
        <v>5277</v>
      </c>
      <c r="C299" t="s">
        <v>5278</v>
      </c>
      <c r="D299" t="s">
        <v>5279</v>
      </c>
    </row>
    <row r="300" spans="1:4" x14ac:dyDescent="0.2">
      <c r="A300" t="s">
        <v>5372</v>
      </c>
      <c r="B300" t="s">
        <v>5373</v>
      </c>
      <c r="C300" t="s">
        <v>129</v>
      </c>
      <c r="D300" t="s">
        <v>5374</v>
      </c>
    </row>
    <row r="301" spans="1:4" x14ac:dyDescent="0.2">
      <c r="A301" t="s">
        <v>5375</v>
      </c>
      <c r="B301" t="s">
        <v>5376</v>
      </c>
    </row>
    <row r="302" spans="1:4" x14ac:dyDescent="0.2">
      <c r="A302" t="s">
        <v>1612</v>
      </c>
    </row>
    <row r="303" spans="1:4" x14ac:dyDescent="0.2">
      <c r="A303" t="s">
        <v>5276</v>
      </c>
      <c r="B303" t="s">
        <v>5277</v>
      </c>
      <c r="C303" t="s">
        <v>5278</v>
      </c>
      <c r="D303" t="s">
        <v>5279</v>
      </c>
    </row>
    <row r="304" spans="1:4" x14ac:dyDescent="0.2">
      <c r="A304" t="s">
        <v>5372</v>
      </c>
      <c r="B304" t="s">
        <v>5373</v>
      </c>
      <c r="C304" t="s">
        <v>129</v>
      </c>
      <c r="D304" t="s">
        <v>5374</v>
      </c>
    </row>
    <row r="305" spans="1:4" x14ac:dyDescent="0.2">
      <c r="A305" t="s">
        <v>5375</v>
      </c>
      <c r="B305" t="s">
        <v>5376</v>
      </c>
    </row>
    <row r="306" spans="1:4" x14ac:dyDescent="0.2">
      <c r="A306" t="s">
        <v>2354</v>
      </c>
    </row>
    <row r="307" spans="1:4" x14ac:dyDescent="0.2">
      <c r="A307" t="s">
        <v>5276</v>
      </c>
      <c r="B307" t="s">
        <v>5277</v>
      </c>
      <c r="C307" t="s">
        <v>5278</v>
      </c>
      <c r="D307" t="s">
        <v>5279</v>
      </c>
    </row>
    <row r="308" spans="1:4" x14ac:dyDescent="0.2">
      <c r="A308" t="s">
        <v>5377</v>
      </c>
      <c r="B308" t="s">
        <v>5281</v>
      </c>
      <c r="C308" t="s">
        <v>129</v>
      </c>
      <c r="D308" t="s">
        <v>5378</v>
      </c>
    </row>
    <row r="309" spans="1:4" x14ac:dyDescent="0.2">
      <c r="A309" t="s">
        <v>5379</v>
      </c>
      <c r="B309" t="s">
        <v>5292</v>
      </c>
      <c r="C309" t="s">
        <v>129</v>
      </c>
      <c r="D309" t="s">
        <v>5380</v>
      </c>
    </row>
    <row r="310" spans="1:4" x14ac:dyDescent="0.2">
      <c r="A310" t="s">
        <v>5381</v>
      </c>
      <c r="B310" t="s">
        <v>5304</v>
      </c>
      <c r="C310" t="s">
        <v>129</v>
      </c>
      <c r="D310" t="s">
        <v>5382</v>
      </c>
    </row>
    <row r="311" spans="1:4" x14ac:dyDescent="0.2">
      <c r="A311" t="s">
        <v>5383</v>
      </c>
      <c r="B311" t="s">
        <v>5384</v>
      </c>
      <c r="C311" t="s">
        <v>129</v>
      </c>
      <c r="D311" t="s">
        <v>5385</v>
      </c>
    </row>
    <row r="312" spans="1:4" x14ac:dyDescent="0.2">
      <c r="A312" t="s">
        <v>5386</v>
      </c>
      <c r="B312" t="s">
        <v>5387</v>
      </c>
      <c r="C312" t="s">
        <v>5311</v>
      </c>
      <c r="D312" t="s">
        <v>5388</v>
      </c>
    </row>
    <row r="313" spans="1:4" x14ac:dyDescent="0.2">
      <c r="A313" t="s">
        <v>2355</v>
      </c>
    </row>
    <row r="314" spans="1:4" x14ac:dyDescent="0.2">
      <c r="A314" t="s">
        <v>5276</v>
      </c>
      <c r="B314" t="s">
        <v>5277</v>
      </c>
      <c r="C314" t="s">
        <v>5278</v>
      </c>
      <c r="D314" t="s">
        <v>5279</v>
      </c>
    </row>
    <row r="315" spans="1:4" x14ac:dyDescent="0.2">
      <c r="A315" t="s">
        <v>5389</v>
      </c>
      <c r="B315" t="s">
        <v>5390</v>
      </c>
      <c r="C315" t="s">
        <v>129</v>
      </c>
      <c r="D315" t="s">
        <v>5391</v>
      </c>
    </row>
    <row r="316" spans="1:4" x14ac:dyDescent="0.2">
      <c r="A316" t="s">
        <v>2357</v>
      </c>
    </row>
    <row r="317" spans="1:4" x14ac:dyDescent="0.2">
      <c r="A317" t="s">
        <v>5276</v>
      </c>
      <c r="B317" t="s">
        <v>5277</v>
      </c>
      <c r="C317" t="s">
        <v>5278</v>
      </c>
      <c r="D317" t="s">
        <v>5279</v>
      </c>
    </row>
    <row r="318" spans="1:4" x14ac:dyDescent="0.2">
      <c r="A318" t="s">
        <v>5392</v>
      </c>
      <c r="B318" t="s">
        <v>5281</v>
      </c>
      <c r="C318" t="s">
        <v>129</v>
      </c>
      <c r="D318" t="s">
        <v>5393</v>
      </c>
    </row>
    <row r="319" spans="1:4" x14ac:dyDescent="0.2">
      <c r="A319" t="s">
        <v>5394</v>
      </c>
      <c r="B319" t="s">
        <v>5292</v>
      </c>
      <c r="C319" t="s">
        <v>129</v>
      </c>
      <c r="D319" t="s">
        <v>5395</v>
      </c>
    </row>
    <row r="320" spans="1:4" x14ac:dyDescent="0.2">
      <c r="A320" t="s">
        <v>5396</v>
      </c>
      <c r="B320" t="s">
        <v>5304</v>
      </c>
      <c r="C320" t="s">
        <v>129</v>
      </c>
      <c r="D320" t="s">
        <v>5397</v>
      </c>
    </row>
    <row r="321" spans="1:4" x14ac:dyDescent="0.2">
      <c r="A321" t="s">
        <v>5398</v>
      </c>
      <c r="B321" t="s">
        <v>5307</v>
      </c>
      <c r="C321" t="s">
        <v>129</v>
      </c>
      <c r="D321" t="s">
        <v>5399</v>
      </c>
    </row>
    <row r="322" spans="1:4" x14ac:dyDescent="0.2">
      <c r="A322" t="s">
        <v>5400</v>
      </c>
      <c r="B322" t="s">
        <v>5401</v>
      </c>
      <c r="C322" t="s">
        <v>5311</v>
      </c>
      <c r="D322" t="s">
        <v>5402</v>
      </c>
    </row>
    <row r="323" spans="1:4" x14ac:dyDescent="0.2">
      <c r="A323" t="s">
        <v>5403</v>
      </c>
      <c r="B323" t="s">
        <v>5404</v>
      </c>
      <c r="C323" t="s">
        <v>5315</v>
      </c>
      <c r="D323" t="s">
        <v>5405</v>
      </c>
    </row>
    <row r="324" spans="1:4" x14ac:dyDescent="0.2">
      <c r="A324" t="s">
        <v>5406</v>
      </c>
      <c r="B324" t="s">
        <v>5407</v>
      </c>
      <c r="C324" t="s">
        <v>5319</v>
      </c>
      <c r="D324" t="s">
        <v>5408</v>
      </c>
    </row>
    <row r="325" spans="1:4" x14ac:dyDescent="0.2">
      <c r="A325" t="s">
        <v>5409</v>
      </c>
      <c r="B325" t="s">
        <v>5333</v>
      </c>
    </row>
    <row r="326" spans="1:4" x14ac:dyDescent="0.2">
      <c r="A326" t="s">
        <v>2359</v>
      </c>
    </row>
    <row r="327" spans="1:4" x14ac:dyDescent="0.2">
      <c r="A327" t="s">
        <v>5276</v>
      </c>
      <c r="B327" t="s">
        <v>5277</v>
      </c>
      <c r="C327" t="s">
        <v>5278</v>
      </c>
      <c r="D327" t="s">
        <v>5279</v>
      </c>
    </row>
    <row r="328" spans="1:4" x14ac:dyDescent="0.2">
      <c r="A328" t="s">
        <v>5410</v>
      </c>
      <c r="B328" t="s">
        <v>5281</v>
      </c>
      <c r="C328" t="s">
        <v>129</v>
      </c>
      <c r="D328" t="s">
        <v>5411</v>
      </c>
    </row>
    <row r="329" spans="1:4" x14ac:dyDescent="0.2">
      <c r="A329" t="s">
        <v>5412</v>
      </c>
      <c r="B329" t="s">
        <v>5284</v>
      </c>
      <c r="C329" t="s">
        <v>129</v>
      </c>
      <c r="D329" t="s">
        <v>5413</v>
      </c>
    </row>
    <row r="330" spans="1:4" x14ac:dyDescent="0.2">
      <c r="A330" t="s">
        <v>5414</v>
      </c>
      <c r="B330" t="s">
        <v>5333</v>
      </c>
    </row>
    <row r="331" spans="1:4" x14ac:dyDescent="0.2">
      <c r="A331" t="s">
        <v>2360</v>
      </c>
    </row>
    <row r="332" spans="1:4" x14ac:dyDescent="0.2">
      <c r="A332" t="s">
        <v>5276</v>
      </c>
      <c r="B332" t="s">
        <v>5277</v>
      </c>
      <c r="C332" t="s">
        <v>5278</v>
      </c>
      <c r="D332" t="s">
        <v>5279</v>
      </c>
    </row>
    <row r="333" spans="1:4" x14ac:dyDescent="0.2">
      <c r="A333" t="s">
        <v>5415</v>
      </c>
      <c r="B333" t="s">
        <v>5281</v>
      </c>
      <c r="C333" t="s">
        <v>129</v>
      </c>
      <c r="D333" t="s">
        <v>5416</v>
      </c>
    </row>
    <row r="334" spans="1:4" x14ac:dyDescent="0.2">
      <c r="A334" t="s">
        <v>5417</v>
      </c>
      <c r="B334" t="s">
        <v>5292</v>
      </c>
      <c r="C334" t="s">
        <v>129</v>
      </c>
      <c r="D334" t="s">
        <v>5418</v>
      </c>
    </row>
    <row r="335" spans="1:4" x14ac:dyDescent="0.2">
      <c r="A335" t="s">
        <v>5419</v>
      </c>
      <c r="B335" t="s">
        <v>5304</v>
      </c>
      <c r="C335" t="s">
        <v>129</v>
      </c>
      <c r="D335" t="s">
        <v>5282</v>
      </c>
    </row>
    <row r="336" spans="1:4" x14ac:dyDescent="0.2">
      <c r="A336" t="s">
        <v>5420</v>
      </c>
      <c r="B336" t="s">
        <v>5421</v>
      </c>
      <c r="C336" t="s">
        <v>129</v>
      </c>
      <c r="D336" t="s">
        <v>5285</v>
      </c>
    </row>
    <row r="337" spans="1:4" x14ac:dyDescent="0.2">
      <c r="A337" t="s">
        <v>5422</v>
      </c>
      <c r="B337" t="s">
        <v>5423</v>
      </c>
    </row>
    <row r="338" spans="1:4" x14ac:dyDescent="0.2">
      <c r="A338" t="s">
        <v>2361</v>
      </c>
    </row>
    <row r="339" spans="1:4" x14ac:dyDescent="0.2">
      <c r="A339" t="s">
        <v>5276</v>
      </c>
      <c r="B339" t="s">
        <v>5277</v>
      </c>
      <c r="C339" t="s">
        <v>5278</v>
      </c>
      <c r="D339" t="s">
        <v>5279</v>
      </c>
    </row>
    <row r="340" spans="1:4" x14ac:dyDescent="0.2">
      <c r="A340" t="s">
        <v>5415</v>
      </c>
      <c r="B340" t="s">
        <v>5281</v>
      </c>
      <c r="C340" t="s">
        <v>129</v>
      </c>
      <c r="D340" t="s">
        <v>5416</v>
      </c>
    </row>
    <row r="341" spans="1:4" x14ac:dyDescent="0.2">
      <c r="A341" t="s">
        <v>5417</v>
      </c>
      <c r="B341" t="s">
        <v>5292</v>
      </c>
      <c r="C341" t="s">
        <v>129</v>
      </c>
      <c r="D341" t="s">
        <v>5418</v>
      </c>
    </row>
    <row r="342" spans="1:4" x14ac:dyDescent="0.2">
      <c r="A342" t="s">
        <v>5424</v>
      </c>
      <c r="B342" t="s">
        <v>5304</v>
      </c>
      <c r="C342" t="s">
        <v>129</v>
      </c>
      <c r="D342" t="s">
        <v>5290</v>
      </c>
    </row>
    <row r="343" spans="1:4" x14ac:dyDescent="0.2">
      <c r="A343" t="s">
        <v>5425</v>
      </c>
      <c r="B343" t="s">
        <v>5404</v>
      </c>
    </row>
    <row r="344" spans="1:4" x14ac:dyDescent="0.2">
      <c r="A344" t="s">
        <v>2362</v>
      </c>
    </row>
    <row r="345" spans="1:4" x14ac:dyDescent="0.2">
      <c r="A345" t="s">
        <v>5276</v>
      </c>
      <c r="B345" t="s">
        <v>5277</v>
      </c>
      <c r="C345" t="s">
        <v>5278</v>
      </c>
      <c r="D345" t="s">
        <v>5279</v>
      </c>
    </row>
    <row r="346" spans="1:4" x14ac:dyDescent="0.2">
      <c r="A346" t="s">
        <v>5415</v>
      </c>
      <c r="B346" t="s">
        <v>5281</v>
      </c>
      <c r="C346" t="s">
        <v>129</v>
      </c>
      <c r="D346" t="s">
        <v>5416</v>
      </c>
    </row>
    <row r="347" spans="1:4" x14ac:dyDescent="0.2">
      <c r="A347" t="s">
        <v>5417</v>
      </c>
      <c r="B347" t="s">
        <v>5292</v>
      </c>
      <c r="C347" t="s">
        <v>129</v>
      </c>
      <c r="D347" t="s">
        <v>5418</v>
      </c>
    </row>
    <row r="348" spans="1:4" x14ac:dyDescent="0.2">
      <c r="A348" t="s">
        <v>5424</v>
      </c>
      <c r="B348" t="s">
        <v>5304</v>
      </c>
      <c r="C348" t="s">
        <v>129</v>
      </c>
      <c r="D348" t="s">
        <v>5290</v>
      </c>
    </row>
    <row r="349" spans="1:4" x14ac:dyDescent="0.2">
      <c r="A349" t="s">
        <v>5426</v>
      </c>
      <c r="B349" t="s">
        <v>5404</v>
      </c>
    </row>
    <row r="350" spans="1:4" x14ac:dyDescent="0.2">
      <c r="A350" t="s">
        <v>2363</v>
      </c>
    </row>
    <row r="351" spans="1:4" x14ac:dyDescent="0.2">
      <c r="A351" t="s">
        <v>5276</v>
      </c>
      <c r="B351" t="s">
        <v>5277</v>
      </c>
      <c r="C351" t="s">
        <v>5278</v>
      </c>
      <c r="D351" t="s">
        <v>5279</v>
      </c>
    </row>
    <row r="352" spans="1:4" x14ac:dyDescent="0.2">
      <c r="A352" t="s">
        <v>5415</v>
      </c>
      <c r="B352" t="s">
        <v>5281</v>
      </c>
      <c r="C352" t="s">
        <v>129</v>
      </c>
      <c r="D352" t="s">
        <v>5416</v>
      </c>
    </row>
    <row r="353" spans="1:4" x14ac:dyDescent="0.2">
      <c r="A353" t="s">
        <v>5417</v>
      </c>
      <c r="B353" t="s">
        <v>5292</v>
      </c>
      <c r="C353" t="s">
        <v>129</v>
      </c>
      <c r="D353" t="s">
        <v>5418</v>
      </c>
    </row>
    <row r="354" spans="1:4" x14ac:dyDescent="0.2">
      <c r="A354" t="s">
        <v>5427</v>
      </c>
      <c r="B354" t="s">
        <v>5304</v>
      </c>
      <c r="C354" t="s">
        <v>129</v>
      </c>
      <c r="D354" t="s">
        <v>5300</v>
      </c>
    </row>
    <row r="355" spans="1:4" x14ac:dyDescent="0.2">
      <c r="A355" t="s">
        <v>5428</v>
      </c>
      <c r="B355" t="s">
        <v>5307</v>
      </c>
      <c r="C355" t="s">
        <v>129</v>
      </c>
      <c r="D355" t="s">
        <v>5302</v>
      </c>
    </row>
    <row r="356" spans="1:4" x14ac:dyDescent="0.2">
      <c r="A356" t="s">
        <v>5429</v>
      </c>
      <c r="B356" t="s">
        <v>5401</v>
      </c>
      <c r="C356" t="s">
        <v>5311</v>
      </c>
      <c r="D356" t="s">
        <v>5305</v>
      </c>
    </row>
    <row r="357" spans="1:4" x14ac:dyDescent="0.2">
      <c r="A357" t="s">
        <v>5430</v>
      </c>
      <c r="B357" t="s">
        <v>5431</v>
      </c>
      <c r="C357" t="s">
        <v>5315</v>
      </c>
      <c r="D357" t="s">
        <v>5308</v>
      </c>
    </row>
    <row r="358" spans="1:4" x14ac:dyDescent="0.2">
      <c r="A358" t="s">
        <v>5432</v>
      </c>
      <c r="B358" t="s">
        <v>5404</v>
      </c>
      <c r="C358" t="s">
        <v>5319</v>
      </c>
      <c r="D358" t="s">
        <v>5312</v>
      </c>
    </row>
    <row r="359" spans="1:4" x14ac:dyDescent="0.2">
      <c r="A359" t="s">
        <v>2365</v>
      </c>
    </row>
    <row r="360" spans="1:4" x14ac:dyDescent="0.2">
      <c r="A360" t="s">
        <v>5276</v>
      </c>
      <c r="B360" t="s">
        <v>5277</v>
      </c>
      <c r="C360" t="s">
        <v>5278</v>
      </c>
      <c r="D360" t="s">
        <v>5279</v>
      </c>
    </row>
    <row r="361" spans="1:4" x14ac:dyDescent="0.2">
      <c r="A361" t="s">
        <v>5415</v>
      </c>
      <c r="B361" t="s">
        <v>5281</v>
      </c>
      <c r="C361" t="s">
        <v>129</v>
      </c>
      <c r="D361" t="s">
        <v>5416</v>
      </c>
    </row>
    <row r="362" spans="1:4" x14ac:dyDescent="0.2">
      <c r="A362" t="s">
        <v>5417</v>
      </c>
      <c r="B362" t="s">
        <v>5292</v>
      </c>
      <c r="C362" t="s">
        <v>129</v>
      </c>
      <c r="D362" t="s">
        <v>5418</v>
      </c>
    </row>
    <row r="363" spans="1:4" x14ac:dyDescent="0.2">
      <c r="A363" t="s">
        <v>5433</v>
      </c>
      <c r="B363" t="s">
        <v>5304</v>
      </c>
      <c r="C363" t="s">
        <v>129</v>
      </c>
      <c r="D363" t="s">
        <v>5378</v>
      </c>
    </row>
    <row r="364" spans="1:4" x14ac:dyDescent="0.2">
      <c r="A364" t="s">
        <v>5434</v>
      </c>
      <c r="B364" t="s">
        <v>5307</v>
      </c>
      <c r="C364" t="s">
        <v>129</v>
      </c>
      <c r="D364" t="s">
        <v>5380</v>
      </c>
    </row>
    <row r="365" spans="1:4" x14ac:dyDescent="0.2">
      <c r="A365" t="s">
        <v>5435</v>
      </c>
      <c r="B365" t="s">
        <v>5401</v>
      </c>
      <c r="C365" t="s">
        <v>5311</v>
      </c>
      <c r="D365" t="s">
        <v>5382</v>
      </c>
    </row>
    <row r="366" spans="1:4" x14ac:dyDescent="0.2">
      <c r="A366" t="s">
        <v>5436</v>
      </c>
      <c r="B366" t="s">
        <v>5437</v>
      </c>
      <c r="C366" t="s">
        <v>5315</v>
      </c>
      <c r="D366" t="s">
        <v>5385</v>
      </c>
    </row>
    <row r="367" spans="1:4" x14ac:dyDescent="0.2">
      <c r="A367" t="s">
        <v>2366</v>
      </c>
    </row>
    <row r="368" spans="1:4" x14ac:dyDescent="0.2">
      <c r="A368" t="s">
        <v>5276</v>
      </c>
      <c r="B368" t="s">
        <v>5277</v>
      </c>
      <c r="C368" t="s">
        <v>5278</v>
      </c>
      <c r="D368" t="s">
        <v>5279</v>
      </c>
    </row>
    <row r="369" spans="1:4" x14ac:dyDescent="0.2">
      <c r="A369" t="s">
        <v>5415</v>
      </c>
      <c r="B369" t="s">
        <v>5281</v>
      </c>
      <c r="C369" t="s">
        <v>129</v>
      </c>
      <c r="D369" t="s">
        <v>5416</v>
      </c>
    </row>
    <row r="370" spans="1:4" x14ac:dyDescent="0.2">
      <c r="A370" t="s">
        <v>5417</v>
      </c>
      <c r="B370" t="s">
        <v>5292</v>
      </c>
      <c r="C370" t="s">
        <v>129</v>
      </c>
      <c r="D370" t="s">
        <v>5418</v>
      </c>
    </row>
    <row r="371" spans="1:4" x14ac:dyDescent="0.2">
      <c r="A371" t="s">
        <v>5438</v>
      </c>
      <c r="B371" t="s">
        <v>5304</v>
      </c>
      <c r="C371" t="s">
        <v>129</v>
      </c>
      <c r="D371" t="s">
        <v>5439</v>
      </c>
    </row>
    <row r="372" spans="1:4" x14ac:dyDescent="0.2">
      <c r="A372" t="s">
        <v>5440</v>
      </c>
      <c r="B372" t="s">
        <v>5307</v>
      </c>
      <c r="C372" t="s">
        <v>129</v>
      </c>
      <c r="D372" t="s">
        <v>5441</v>
      </c>
    </row>
    <row r="373" spans="1:4" x14ac:dyDescent="0.2">
      <c r="A373" t="s">
        <v>5442</v>
      </c>
      <c r="B373" t="s">
        <v>5404</v>
      </c>
    </row>
    <row r="374" spans="1:4" x14ac:dyDescent="0.2">
      <c r="A374" t="s">
        <v>2367</v>
      </c>
    </row>
    <row r="375" spans="1:4" x14ac:dyDescent="0.2">
      <c r="A375" t="s">
        <v>5276</v>
      </c>
      <c r="B375" t="s">
        <v>5277</v>
      </c>
      <c r="C375" t="s">
        <v>5278</v>
      </c>
      <c r="D375" t="s">
        <v>5279</v>
      </c>
    </row>
    <row r="376" spans="1:4" x14ac:dyDescent="0.2">
      <c r="A376" t="s">
        <v>5415</v>
      </c>
      <c r="B376" t="s">
        <v>5281</v>
      </c>
      <c r="C376" t="s">
        <v>129</v>
      </c>
      <c r="D376" t="s">
        <v>5416</v>
      </c>
    </row>
    <row r="377" spans="1:4" x14ac:dyDescent="0.2">
      <c r="A377" t="s">
        <v>5417</v>
      </c>
      <c r="B377" t="s">
        <v>5292</v>
      </c>
      <c r="C377" t="s">
        <v>129</v>
      </c>
      <c r="D377" t="s">
        <v>5418</v>
      </c>
    </row>
    <row r="378" spans="1:4" x14ac:dyDescent="0.2">
      <c r="A378" t="s">
        <v>5443</v>
      </c>
      <c r="B378" t="s">
        <v>5304</v>
      </c>
      <c r="C378" t="s">
        <v>129</v>
      </c>
      <c r="D378" t="s">
        <v>5393</v>
      </c>
    </row>
    <row r="379" spans="1:4" x14ac:dyDescent="0.2">
      <c r="A379" t="s">
        <v>5444</v>
      </c>
      <c r="B379" t="s">
        <v>5307</v>
      </c>
      <c r="C379" t="s">
        <v>129</v>
      </c>
      <c r="D379" t="s">
        <v>5395</v>
      </c>
    </row>
    <row r="380" spans="1:4" x14ac:dyDescent="0.2">
      <c r="A380" t="s">
        <v>5445</v>
      </c>
      <c r="B380" t="s">
        <v>5401</v>
      </c>
      <c r="C380" t="s">
        <v>5311</v>
      </c>
      <c r="D380" t="s">
        <v>5397</v>
      </c>
    </row>
    <row r="381" spans="1:4" x14ac:dyDescent="0.2">
      <c r="A381" t="s">
        <v>5446</v>
      </c>
      <c r="B381" t="s">
        <v>5431</v>
      </c>
      <c r="C381" t="s">
        <v>5315</v>
      </c>
      <c r="D381" t="s">
        <v>5399</v>
      </c>
    </row>
    <row r="382" spans="1:4" x14ac:dyDescent="0.2">
      <c r="A382" t="s">
        <v>5447</v>
      </c>
      <c r="B382" t="s">
        <v>5448</v>
      </c>
      <c r="C382" t="s">
        <v>5319</v>
      </c>
      <c r="D382" t="s">
        <v>5402</v>
      </c>
    </row>
    <row r="383" spans="1:4" x14ac:dyDescent="0.2">
      <c r="A383" t="s">
        <v>5449</v>
      </c>
      <c r="B383" t="s">
        <v>5404</v>
      </c>
      <c r="C383" t="s">
        <v>5450</v>
      </c>
      <c r="D383" t="s">
        <v>5405</v>
      </c>
    </row>
    <row r="384" spans="1:4" x14ac:dyDescent="0.2">
      <c r="A384" t="s">
        <v>2369</v>
      </c>
    </row>
    <row r="385" spans="1:4" x14ac:dyDescent="0.2">
      <c r="A385" t="s">
        <v>5276</v>
      </c>
      <c r="B385" t="s">
        <v>5277</v>
      </c>
      <c r="C385" t="s">
        <v>5278</v>
      </c>
      <c r="D385" t="s">
        <v>5279</v>
      </c>
    </row>
    <row r="386" spans="1:4" x14ac:dyDescent="0.2">
      <c r="A386" t="s">
        <v>5415</v>
      </c>
      <c r="B386" t="s">
        <v>5281</v>
      </c>
      <c r="C386" t="s">
        <v>129</v>
      </c>
      <c r="D386" t="s">
        <v>5416</v>
      </c>
    </row>
    <row r="387" spans="1:4" x14ac:dyDescent="0.2">
      <c r="A387" t="s">
        <v>5417</v>
      </c>
      <c r="B387" t="s">
        <v>5292</v>
      </c>
      <c r="C387" t="s">
        <v>129</v>
      </c>
      <c r="D387" t="s">
        <v>5418</v>
      </c>
    </row>
    <row r="388" spans="1:4" x14ac:dyDescent="0.2">
      <c r="A388" t="s">
        <v>5451</v>
      </c>
      <c r="B388" t="s">
        <v>5304</v>
      </c>
      <c r="C388" t="s">
        <v>129</v>
      </c>
      <c r="D388" t="s">
        <v>5411</v>
      </c>
    </row>
    <row r="389" spans="1:4" x14ac:dyDescent="0.2">
      <c r="A389" t="s">
        <v>5452</v>
      </c>
      <c r="B389" t="s">
        <v>5404</v>
      </c>
    </row>
    <row r="390" spans="1:4" x14ac:dyDescent="0.2">
      <c r="A390" t="s">
        <v>2371</v>
      </c>
    </row>
    <row r="391" spans="1:4" x14ac:dyDescent="0.2">
      <c r="A391" t="s">
        <v>5276</v>
      </c>
      <c r="B391" t="s">
        <v>5277</v>
      </c>
      <c r="C391" t="s">
        <v>5278</v>
      </c>
      <c r="D391" t="s">
        <v>5279</v>
      </c>
    </row>
    <row r="392" spans="1:4" x14ac:dyDescent="0.2">
      <c r="A392" t="s">
        <v>5415</v>
      </c>
      <c r="B392" t="s">
        <v>5281</v>
      </c>
      <c r="C392" t="s">
        <v>129</v>
      </c>
      <c r="D392" t="s">
        <v>5416</v>
      </c>
    </row>
    <row r="393" spans="1:4" x14ac:dyDescent="0.2">
      <c r="A393" t="s">
        <v>5453</v>
      </c>
      <c r="B393" t="s">
        <v>5292</v>
      </c>
      <c r="C393" t="s">
        <v>129</v>
      </c>
      <c r="D393" t="s">
        <v>5322</v>
      </c>
    </row>
    <row r="394" spans="1:4" x14ac:dyDescent="0.2">
      <c r="A394" t="s">
        <v>5454</v>
      </c>
      <c r="B394" t="s">
        <v>5455</v>
      </c>
      <c r="C394" t="s">
        <v>129</v>
      </c>
      <c r="D394" t="s">
        <v>5325</v>
      </c>
    </row>
    <row r="395" spans="1:4" x14ac:dyDescent="0.2">
      <c r="A395" t="s">
        <v>5456</v>
      </c>
      <c r="B395" t="s">
        <v>5457</v>
      </c>
      <c r="C395" t="s">
        <v>129</v>
      </c>
      <c r="D395" t="s">
        <v>5458</v>
      </c>
    </row>
    <row r="396" spans="1:4" x14ac:dyDescent="0.2">
      <c r="A396" t="s">
        <v>5459</v>
      </c>
      <c r="B396" t="s">
        <v>5460</v>
      </c>
    </row>
    <row r="397" spans="1:4" x14ac:dyDescent="0.2">
      <c r="A397" t="s">
        <v>2373</v>
      </c>
    </row>
    <row r="398" spans="1:4" x14ac:dyDescent="0.2">
      <c r="A398" t="s">
        <v>5461</v>
      </c>
      <c r="B398" t="s">
        <v>5462</v>
      </c>
      <c r="C398" t="s">
        <v>5463</v>
      </c>
      <c r="D398" t="s">
        <v>5464</v>
      </c>
    </row>
    <row r="399" spans="1:4" x14ac:dyDescent="0.2">
      <c r="A399" t="s">
        <v>5280</v>
      </c>
      <c r="B399" t="s">
        <v>5281</v>
      </c>
      <c r="C399" t="s">
        <v>129</v>
      </c>
      <c r="D399" t="s">
        <v>5282</v>
      </c>
    </row>
    <row r="400" spans="1:4" x14ac:dyDescent="0.2">
      <c r="A400" t="s">
        <v>5283</v>
      </c>
      <c r="B400" t="s">
        <v>5284</v>
      </c>
      <c r="C400" t="s">
        <v>129</v>
      </c>
      <c r="D400" t="s">
        <v>5285</v>
      </c>
    </row>
    <row r="401" spans="1:4" x14ac:dyDescent="0.2">
      <c r="A401" t="s">
        <v>5286</v>
      </c>
      <c r="B401" t="s">
        <v>5287</v>
      </c>
      <c r="C401" t="s">
        <v>129</v>
      </c>
      <c r="D401" t="s">
        <v>5465</v>
      </c>
    </row>
    <row r="402" spans="1:4" x14ac:dyDescent="0.2">
      <c r="A402" t="s">
        <v>5420</v>
      </c>
      <c r="B402" t="s">
        <v>5333</v>
      </c>
    </row>
    <row r="403" spans="1:4" x14ac:dyDescent="0.2">
      <c r="A403" t="s">
        <v>725</v>
      </c>
    </row>
    <row r="404" spans="1:4" x14ac:dyDescent="0.2">
      <c r="A404" t="s">
        <v>5461</v>
      </c>
      <c r="B404" t="s">
        <v>5462</v>
      </c>
      <c r="C404" t="s">
        <v>5463</v>
      </c>
      <c r="D404" t="s">
        <v>5464</v>
      </c>
    </row>
    <row r="405" spans="1:4" x14ac:dyDescent="0.2">
      <c r="A405" t="s">
        <v>5289</v>
      </c>
      <c r="B405" t="s">
        <v>5281</v>
      </c>
      <c r="C405" t="s">
        <v>129</v>
      </c>
      <c r="D405" t="s">
        <v>5290</v>
      </c>
    </row>
    <row r="406" spans="1:4" x14ac:dyDescent="0.2">
      <c r="A406" t="s">
        <v>5291</v>
      </c>
      <c r="B406" t="s">
        <v>5292</v>
      </c>
      <c r="C406" t="s">
        <v>129</v>
      </c>
      <c r="D406" t="s">
        <v>5293</v>
      </c>
    </row>
    <row r="407" spans="1:4" x14ac:dyDescent="0.2">
      <c r="A407" t="s">
        <v>5294</v>
      </c>
      <c r="B407" t="s">
        <v>5295</v>
      </c>
      <c r="C407" t="s">
        <v>129</v>
      </c>
      <c r="D407" t="s">
        <v>5466</v>
      </c>
    </row>
    <row r="408" spans="1:4" x14ac:dyDescent="0.2">
      <c r="A408" t="s">
        <v>5467</v>
      </c>
      <c r="B408" t="s">
        <v>5468</v>
      </c>
      <c r="C408" t="s">
        <v>129</v>
      </c>
      <c r="D408" t="s">
        <v>5296</v>
      </c>
    </row>
    <row r="409" spans="1:4" x14ac:dyDescent="0.2">
      <c r="A409" t="s">
        <v>5469</v>
      </c>
      <c r="B409" t="s">
        <v>5333</v>
      </c>
    </row>
    <row r="410" spans="1:4" x14ac:dyDescent="0.2">
      <c r="A410" t="s">
        <v>2376</v>
      </c>
    </row>
    <row r="411" spans="1:4" x14ac:dyDescent="0.2">
      <c r="A411" t="s">
        <v>5461</v>
      </c>
      <c r="B411" t="s">
        <v>5462</v>
      </c>
      <c r="C411" t="s">
        <v>5463</v>
      </c>
      <c r="D411" t="s">
        <v>5464</v>
      </c>
    </row>
    <row r="412" spans="1:4" x14ac:dyDescent="0.2">
      <c r="A412" t="s">
        <v>5470</v>
      </c>
      <c r="B412" t="s">
        <v>5340</v>
      </c>
      <c r="C412" t="s">
        <v>129</v>
      </c>
      <c r="D412" t="s">
        <v>5471</v>
      </c>
    </row>
    <row r="413" spans="1:4" x14ac:dyDescent="0.2">
      <c r="A413" t="s">
        <v>5472</v>
      </c>
      <c r="B413" t="s">
        <v>5473</v>
      </c>
      <c r="C413" t="s">
        <v>129</v>
      </c>
      <c r="D413" t="s">
        <v>5474</v>
      </c>
    </row>
    <row r="414" spans="1:4" x14ac:dyDescent="0.2">
      <c r="A414" t="s">
        <v>5475</v>
      </c>
      <c r="B414" t="s">
        <v>5476</v>
      </c>
      <c r="C414" t="s">
        <v>129</v>
      </c>
      <c r="D414" t="s">
        <v>5477</v>
      </c>
    </row>
    <row r="415" spans="1:4" x14ac:dyDescent="0.2">
      <c r="A415" t="s">
        <v>5478</v>
      </c>
      <c r="B415" t="s">
        <v>5479</v>
      </c>
      <c r="C415" t="s">
        <v>129</v>
      </c>
      <c r="D415" t="s">
        <v>5480</v>
      </c>
    </row>
    <row r="416" spans="1:4" x14ac:dyDescent="0.2">
      <c r="A416" t="s">
        <v>5481</v>
      </c>
      <c r="B416" t="s">
        <v>5482</v>
      </c>
      <c r="C416" t="s">
        <v>5311</v>
      </c>
      <c r="D416" t="s">
        <v>5483</v>
      </c>
    </row>
    <row r="417" spans="1:4" x14ac:dyDescent="0.2">
      <c r="A417" t="s">
        <v>5484</v>
      </c>
      <c r="B417" t="s">
        <v>5485</v>
      </c>
      <c r="C417" t="s">
        <v>5315</v>
      </c>
      <c r="D417" t="s">
        <v>5486</v>
      </c>
    </row>
    <row r="418" spans="1:4" x14ac:dyDescent="0.2">
      <c r="A418" t="s">
        <v>5487</v>
      </c>
      <c r="B418" t="s">
        <v>5488</v>
      </c>
      <c r="C418" t="s">
        <v>5319</v>
      </c>
      <c r="D418" t="s">
        <v>5489</v>
      </c>
    </row>
    <row r="419" spans="1:4" x14ac:dyDescent="0.2">
      <c r="A419" t="s">
        <v>5490</v>
      </c>
      <c r="B419" t="s">
        <v>5333</v>
      </c>
    </row>
    <row r="420" spans="1:4" x14ac:dyDescent="0.2">
      <c r="A420" t="s">
        <v>2377</v>
      </c>
    </row>
    <row r="421" spans="1:4" x14ac:dyDescent="0.2">
      <c r="A421" t="s">
        <v>5461</v>
      </c>
      <c r="B421" t="s">
        <v>5462</v>
      </c>
      <c r="C421" t="s">
        <v>5463</v>
      </c>
      <c r="D421" t="s">
        <v>5464</v>
      </c>
    </row>
    <row r="422" spans="1:4" x14ac:dyDescent="0.2">
      <c r="A422" t="s">
        <v>5491</v>
      </c>
      <c r="B422" t="s">
        <v>5340</v>
      </c>
      <c r="C422" t="s">
        <v>129</v>
      </c>
      <c r="D422" t="s">
        <v>5492</v>
      </c>
    </row>
    <row r="423" spans="1:4" x14ac:dyDescent="0.2">
      <c r="A423" t="s">
        <v>5493</v>
      </c>
      <c r="B423" t="s">
        <v>5473</v>
      </c>
      <c r="C423" t="s">
        <v>129</v>
      </c>
      <c r="D423" t="s">
        <v>5494</v>
      </c>
    </row>
    <row r="424" spans="1:4" x14ac:dyDescent="0.2">
      <c r="A424" t="s">
        <v>5495</v>
      </c>
      <c r="B424" t="s">
        <v>5476</v>
      </c>
      <c r="C424" t="s">
        <v>129</v>
      </c>
      <c r="D424" t="s">
        <v>5496</v>
      </c>
    </row>
    <row r="425" spans="1:4" x14ac:dyDescent="0.2">
      <c r="A425" t="s">
        <v>5497</v>
      </c>
      <c r="B425" t="s">
        <v>5479</v>
      </c>
      <c r="C425" t="s">
        <v>129</v>
      </c>
      <c r="D425" t="s">
        <v>5498</v>
      </c>
    </row>
    <row r="426" spans="1:4" x14ac:dyDescent="0.2">
      <c r="A426" t="s">
        <v>5386</v>
      </c>
      <c r="B426" t="s">
        <v>5310</v>
      </c>
      <c r="C426" t="s">
        <v>5311</v>
      </c>
      <c r="D426" t="s">
        <v>5499</v>
      </c>
    </row>
    <row r="427" spans="1:4" x14ac:dyDescent="0.2">
      <c r="A427" t="s">
        <v>5500</v>
      </c>
      <c r="B427" t="s">
        <v>5501</v>
      </c>
      <c r="C427" t="s">
        <v>5315</v>
      </c>
      <c r="D427" t="s">
        <v>5502</v>
      </c>
    </row>
    <row r="428" spans="1:4" x14ac:dyDescent="0.2">
      <c r="A428" t="s">
        <v>5503</v>
      </c>
      <c r="B428" t="s">
        <v>5504</v>
      </c>
      <c r="C428" t="s">
        <v>5319</v>
      </c>
      <c r="D428" t="s">
        <v>5439</v>
      </c>
    </row>
    <row r="429" spans="1:4" x14ac:dyDescent="0.2">
      <c r="A429" t="s">
        <v>5505</v>
      </c>
      <c r="B429" t="s">
        <v>5506</v>
      </c>
      <c r="C429" t="s">
        <v>5450</v>
      </c>
      <c r="D429" t="s">
        <v>5441</v>
      </c>
    </row>
    <row r="430" spans="1:4" x14ac:dyDescent="0.2">
      <c r="A430" t="s">
        <v>5507</v>
      </c>
      <c r="B430" t="s">
        <v>5404</v>
      </c>
      <c r="C430" t="s">
        <v>5508</v>
      </c>
      <c r="D430" t="s">
        <v>5391</v>
      </c>
    </row>
    <row r="431" spans="1:4" x14ac:dyDescent="0.2">
      <c r="A431" t="s">
        <v>5509</v>
      </c>
      <c r="B431" t="s">
        <v>5510</v>
      </c>
      <c r="C431" t="s">
        <v>5511</v>
      </c>
      <c r="D431" t="s">
        <v>5512</v>
      </c>
    </row>
    <row r="432" spans="1:4" x14ac:dyDescent="0.2">
      <c r="A432" t="s">
        <v>5513</v>
      </c>
      <c r="B432" t="s">
        <v>5460</v>
      </c>
      <c r="C432" t="s">
        <v>5514</v>
      </c>
      <c r="D432" t="s">
        <v>5515</v>
      </c>
    </row>
    <row r="433" spans="1:4" x14ac:dyDescent="0.2">
      <c r="A433" t="s">
        <v>5516</v>
      </c>
      <c r="B433" t="s">
        <v>5517</v>
      </c>
      <c r="C433" t="s">
        <v>5518</v>
      </c>
      <c r="D433" t="s">
        <v>5519</v>
      </c>
    </row>
    <row r="434" spans="1:4" x14ac:dyDescent="0.2">
      <c r="A434" t="s">
        <v>5520</v>
      </c>
      <c r="B434" t="s">
        <v>5521</v>
      </c>
      <c r="C434" t="s">
        <v>5522</v>
      </c>
      <c r="D434" t="s">
        <v>5523</v>
      </c>
    </row>
    <row r="435" spans="1:4" x14ac:dyDescent="0.2">
      <c r="A435" t="s">
        <v>5524</v>
      </c>
      <c r="B435" t="s">
        <v>5525</v>
      </c>
      <c r="C435" t="s">
        <v>5526</v>
      </c>
      <c r="D435" t="s">
        <v>5527</v>
      </c>
    </row>
    <row r="436" spans="1:4" x14ac:dyDescent="0.2">
      <c r="A436" t="s">
        <v>5528</v>
      </c>
      <c r="B436" t="s">
        <v>5529</v>
      </c>
      <c r="C436" t="s">
        <v>5530</v>
      </c>
      <c r="D436" t="s">
        <v>5531</v>
      </c>
    </row>
    <row r="437" spans="1:4" x14ac:dyDescent="0.2">
      <c r="A437" t="s">
        <v>5532</v>
      </c>
      <c r="B437" t="s">
        <v>5533</v>
      </c>
      <c r="C437" t="s">
        <v>5534</v>
      </c>
      <c r="D437" t="s">
        <v>5535</v>
      </c>
    </row>
    <row r="438" spans="1:4" x14ac:dyDescent="0.2">
      <c r="A438" t="s">
        <v>5536</v>
      </c>
      <c r="B438" t="s">
        <v>5333</v>
      </c>
      <c r="C438" t="s">
        <v>5537</v>
      </c>
      <c r="D438" t="s">
        <v>5538</v>
      </c>
    </row>
    <row r="439" spans="1:4" x14ac:dyDescent="0.2">
      <c r="A439" t="s">
        <v>2379</v>
      </c>
    </row>
    <row r="440" spans="1:4" x14ac:dyDescent="0.2">
      <c r="A440" t="s">
        <v>5461</v>
      </c>
      <c r="B440" t="s">
        <v>5462</v>
      </c>
      <c r="C440" t="s">
        <v>5463</v>
      </c>
      <c r="D440" t="s">
        <v>5464</v>
      </c>
    </row>
    <row r="441" spans="1:4" x14ac:dyDescent="0.2">
      <c r="A441" t="s">
        <v>5377</v>
      </c>
      <c r="B441" t="s">
        <v>5281</v>
      </c>
      <c r="C441" t="s">
        <v>129</v>
      </c>
      <c r="D441" t="s">
        <v>5378</v>
      </c>
    </row>
    <row r="442" spans="1:4" x14ac:dyDescent="0.2">
      <c r="A442" t="s">
        <v>5379</v>
      </c>
      <c r="B442" t="s">
        <v>5292</v>
      </c>
      <c r="C442" t="s">
        <v>129</v>
      </c>
      <c r="D442" t="s">
        <v>5380</v>
      </c>
    </row>
    <row r="443" spans="1:4" x14ac:dyDescent="0.2">
      <c r="A443" t="s">
        <v>5381</v>
      </c>
      <c r="B443" t="s">
        <v>5304</v>
      </c>
      <c r="C443" t="s">
        <v>129</v>
      </c>
      <c r="D443" t="s">
        <v>5382</v>
      </c>
    </row>
    <row r="444" spans="1:4" x14ac:dyDescent="0.2">
      <c r="A444" t="s">
        <v>5383</v>
      </c>
      <c r="B444" t="s">
        <v>5384</v>
      </c>
      <c r="C444" t="s">
        <v>129</v>
      </c>
      <c r="D444" t="s">
        <v>5385</v>
      </c>
    </row>
    <row r="445" spans="1:4" x14ac:dyDescent="0.2">
      <c r="A445" t="s">
        <v>2381</v>
      </c>
    </row>
    <row r="446" spans="1:4" x14ac:dyDescent="0.2">
      <c r="A446" t="s">
        <v>5461</v>
      </c>
      <c r="B446" t="s">
        <v>5462</v>
      </c>
      <c r="C446" t="s">
        <v>5463</v>
      </c>
      <c r="D446" t="s">
        <v>5464</v>
      </c>
    </row>
    <row r="447" spans="1:4" x14ac:dyDescent="0.2">
      <c r="A447" t="s">
        <v>5539</v>
      </c>
      <c r="B447" t="s">
        <v>5281</v>
      </c>
      <c r="C447" t="s">
        <v>129</v>
      </c>
      <c r="D447" t="s">
        <v>5439</v>
      </c>
    </row>
    <row r="448" spans="1:4" x14ac:dyDescent="0.2">
      <c r="A448" t="s">
        <v>5540</v>
      </c>
      <c r="B448" t="s">
        <v>5292</v>
      </c>
      <c r="C448" t="s">
        <v>129</v>
      </c>
      <c r="D448" t="s">
        <v>5441</v>
      </c>
    </row>
    <row r="449" spans="1:4" x14ac:dyDescent="0.2">
      <c r="A449" t="s">
        <v>5541</v>
      </c>
      <c r="B449" t="s">
        <v>5404</v>
      </c>
    </row>
    <row r="450" spans="1:4" x14ac:dyDescent="0.2">
      <c r="A450" t="s">
        <v>2383</v>
      </c>
    </row>
    <row r="451" spans="1:4" x14ac:dyDescent="0.2">
      <c r="A451" t="s">
        <v>5461</v>
      </c>
      <c r="B451" t="s">
        <v>5462</v>
      </c>
      <c r="C451" t="s">
        <v>5463</v>
      </c>
      <c r="D451" t="s">
        <v>5464</v>
      </c>
    </row>
    <row r="452" spans="1:4" x14ac:dyDescent="0.2">
      <c r="A452" t="s">
        <v>5392</v>
      </c>
      <c r="B452" t="s">
        <v>5281</v>
      </c>
      <c r="C452" t="s">
        <v>129</v>
      </c>
      <c r="D452" t="s">
        <v>5393</v>
      </c>
    </row>
    <row r="453" spans="1:4" x14ac:dyDescent="0.2">
      <c r="A453" t="s">
        <v>5394</v>
      </c>
      <c r="B453" t="s">
        <v>5292</v>
      </c>
      <c r="C453" t="s">
        <v>129</v>
      </c>
      <c r="D453" t="s">
        <v>5395</v>
      </c>
    </row>
    <row r="454" spans="1:4" x14ac:dyDescent="0.2">
      <c r="A454" t="s">
        <v>5396</v>
      </c>
      <c r="B454" t="s">
        <v>5304</v>
      </c>
      <c r="C454" t="s">
        <v>129</v>
      </c>
      <c r="D454" t="s">
        <v>5397</v>
      </c>
    </row>
    <row r="455" spans="1:4" x14ac:dyDescent="0.2">
      <c r="A455" t="s">
        <v>5398</v>
      </c>
      <c r="B455" t="s">
        <v>5307</v>
      </c>
      <c r="C455" t="s">
        <v>129</v>
      </c>
      <c r="D455" t="s">
        <v>5399</v>
      </c>
    </row>
    <row r="456" spans="1:4" x14ac:dyDescent="0.2">
      <c r="A456" t="s">
        <v>5400</v>
      </c>
      <c r="B456" t="s">
        <v>5401</v>
      </c>
      <c r="C456" t="s">
        <v>5311</v>
      </c>
      <c r="D456" t="s">
        <v>5402</v>
      </c>
    </row>
    <row r="457" spans="1:4" x14ac:dyDescent="0.2">
      <c r="A457" t="s">
        <v>5403</v>
      </c>
      <c r="B457" t="s">
        <v>5404</v>
      </c>
      <c r="C457" t="s">
        <v>5315</v>
      </c>
      <c r="D457" t="s">
        <v>5405</v>
      </c>
    </row>
    <row r="458" spans="1:4" x14ac:dyDescent="0.2">
      <c r="A458" t="s">
        <v>2384</v>
      </c>
    </row>
    <row r="459" spans="1:4" x14ac:dyDescent="0.2">
      <c r="A459" t="s">
        <v>5461</v>
      </c>
      <c r="B459" t="s">
        <v>5462</v>
      </c>
      <c r="C459" t="s">
        <v>5463</v>
      </c>
      <c r="D459" t="s">
        <v>5464</v>
      </c>
    </row>
    <row r="460" spans="1:4" x14ac:dyDescent="0.2">
      <c r="A460" t="s">
        <v>5410</v>
      </c>
      <c r="B460" t="s">
        <v>5281</v>
      </c>
      <c r="C460" t="s">
        <v>129</v>
      </c>
      <c r="D460" t="s">
        <v>5411</v>
      </c>
    </row>
    <row r="461" spans="1:4" x14ac:dyDescent="0.2">
      <c r="A461" t="s">
        <v>5412</v>
      </c>
      <c r="B461" t="s">
        <v>5284</v>
      </c>
      <c r="C461" t="s">
        <v>129</v>
      </c>
      <c r="D461" t="s">
        <v>5413</v>
      </c>
    </row>
    <row r="462" spans="1:4" x14ac:dyDescent="0.2">
      <c r="A462" t="s">
        <v>5414</v>
      </c>
      <c r="B462" t="s">
        <v>5333</v>
      </c>
    </row>
    <row r="463" spans="1:4" x14ac:dyDescent="0.2">
      <c r="A463" t="s">
        <v>2385</v>
      </c>
    </row>
    <row r="464" spans="1:4" x14ac:dyDescent="0.2">
      <c r="A464" t="s">
        <v>5461</v>
      </c>
      <c r="B464" t="s">
        <v>5462</v>
      </c>
      <c r="C464" t="s">
        <v>5463</v>
      </c>
      <c r="D464" t="s">
        <v>5464</v>
      </c>
    </row>
    <row r="465" spans="1:4" x14ac:dyDescent="0.2">
      <c r="A465" t="s">
        <v>5321</v>
      </c>
      <c r="B465" t="s">
        <v>5281</v>
      </c>
      <c r="C465" t="s">
        <v>129</v>
      </c>
      <c r="D465" t="s">
        <v>5322</v>
      </c>
    </row>
    <row r="466" spans="1:4" x14ac:dyDescent="0.2">
      <c r="A466" t="s">
        <v>5323</v>
      </c>
      <c r="B466" t="s">
        <v>5324</v>
      </c>
      <c r="C466" t="s">
        <v>129</v>
      </c>
      <c r="D466" t="s">
        <v>5325</v>
      </c>
    </row>
    <row r="467" spans="1:4" x14ac:dyDescent="0.2">
      <c r="A467" t="s">
        <v>5326</v>
      </c>
      <c r="B467" t="s">
        <v>5327</v>
      </c>
      <c r="C467" t="s">
        <v>129</v>
      </c>
      <c r="D467" t="s">
        <v>5328</v>
      </c>
    </row>
    <row r="468" spans="1:4" x14ac:dyDescent="0.2">
      <c r="A468" t="s">
        <v>5329</v>
      </c>
      <c r="B468" t="s">
        <v>5330</v>
      </c>
      <c r="C468" t="s">
        <v>129</v>
      </c>
      <c r="D468" t="s">
        <v>5331</v>
      </c>
    </row>
    <row r="469" spans="1:4" x14ac:dyDescent="0.2">
      <c r="A469" t="s">
        <v>5332</v>
      </c>
      <c r="B469" t="s">
        <v>5333</v>
      </c>
    </row>
    <row r="470" spans="1:4" x14ac:dyDescent="0.2">
      <c r="A470" t="s">
        <v>2387</v>
      </c>
    </row>
    <row r="471" spans="1:4" x14ac:dyDescent="0.2">
      <c r="A471" t="s">
        <v>5276</v>
      </c>
      <c r="B471" t="s">
        <v>5277</v>
      </c>
      <c r="C471" t="s">
        <v>5278</v>
      </c>
      <c r="D471" t="s">
        <v>5279</v>
      </c>
    </row>
    <row r="472" spans="1:4" x14ac:dyDescent="0.2">
      <c r="A472" t="s">
        <v>5410</v>
      </c>
      <c r="B472" t="s">
        <v>5281</v>
      </c>
      <c r="C472" t="s">
        <v>129</v>
      </c>
      <c r="D472" t="s">
        <v>5411</v>
      </c>
    </row>
    <row r="473" spans="1:4" x14ac:dyDescent="0.2">
      <c r="A473" t="s">
        <v>5412</v>
      </c>
      <c r="B473" t="s">
        <v>5404</v>
      </c>
    </row>
    <row r="474" spans="1:4" x14ac:dyDescent="0.2">
      <c r="A474" t="s">
        <v>2389</v>
      </c>
    </row>
    <row r="475" spans="1:4" x14ac:dyDescent="0.2">
      <c r="A475" t="s">
        <v>5276</v>
      </c>
      <c r="B475" t="s">
        <v>5277</v>
      </c>
      <c r="C475" t="s">
        <v>5278</v>
      </c>
      <c r="D475" t="s">
        <v>5279</v>
      </c>
    </row>
    <row r="476" spans="1:4" x14ac:dyDescent="0.2">
      <c r="A476" t="s">
        <v>5410</v>
      </c>
      <c r="B476" t="s">
        <v>5281</v>
      </c>
      <c r="C476" t="s">
        <v>129</v>
      </c>
      <c r="D476" t="s">
        <v>5411</v>
      </c>
    </row>
    <row r="477" spans="1:4" x14ac:dyDescent="0.2">
      <c r="A477" t="s">
        <v>5412</v>
      </c>
      <c r="B477" t="s">
        <v>5404</v>
      </c>
    </row>
    <row r="478" spans="1:4" x14ac:dyDescent="0.2">
      <c r="A478" t="s">
        <v>2390</v>
      </c>
    </row>
    <row r="479" spans="1:4" x14ac:dyDescent="0.2">
      <c r="A479" t="s">
        <v>5276</v>
      </c>
      <c r="B479" t="s">
        <v>5277</v>
      </c>
      <c r="C479" t="s">
        <v>5278</v>
      </c>
      <c r="D479" t="s">
        <v>5279</v>
      </c>
    </row>
    <row r="480" spans="1:4" x14ac:dyDescent="0.2">
      <c r="A480" t="s">
        <v>5377</v>
      </c>
      <c r="B480" t="s">
        <v>5281</v>
      </c>
      <c r="C480" t="s">
        <v>129</v>
      </c>
      <c r="D480" t="s">
        <v>5378</v>
      </c>
    </row>
    <row r="481" spans="1:4" x14ac:dyDescent="0.2">
      <c r="A481" t="s">
        <v>5379</v>
      </c>
      <c r="B481" t="s">
        <v>5292</v>
      </c>
      <c r="C481" t="s">
        <v>129</v>
      </c>
      <c r="D481" t="s">
        <v>5380</v>
      </c>
    </row>
    <row r="482" spans="1:4" x14ac:dyDescent="0.2">
      <c r="A482" t="s">
        <v>5381</v>
      </c>
      <c r="B482" t="s">
        <v>5304</v>
      </c>
      <c r="C482" t="s">
        <v>129</v>
      </c>
      <c r="D482" t="s">
        <v>5382</v>
      </c>
    </row>
    <row r="483" spans="1:4" x14ac:dyDescent="0.2">
      <c r="A483" t="s">
        <v>5383</v>
      </c>
      <c r="B483" t="s">
        <v>5384</v>
      </c>
      <c r="C483" t="s">
        <v>129</v>
      </c>
      <c r="D483" t="s">
        <v>5385</v>
      </c>
    </row>
    <row r="484" spans="1:4" x14ac:dyDescent="0.2">
      <c r="A484" t="s">
        <v>2391</v>
      </c>
    </row>
    <row r="485" spans="1:4" x14ac:dyDescent="0.2">
      <c r="A485" t="s">
        <v>5276</v>
      </c>
      <c r="B485" t="s">
        <v>5277</v>
      </c>
      <c r="C485" t="s">
        <v>5278</v>
      </c>
      <c r="D485" t="s">
        <v>5279</v>
      </c>
    </row>
    <row r="486" spans="1:4" x14ac:dyDescent="0.2">
      <c r="A486" t="s">
        <v>5377</v>
      </c>
      <c r="B486" t="s">
        <v>5281</v>
      </c>
      <c r="C486" t="s">
        <v>129</v>
      </c>
      <c r="D486" t="s">
        <v>5378</v>
      </c>
    </row>
    <row r="487" spans="1:4" x14ac:dyDescent="0.2">
      <c r="A487" t="s">
        <v>5379</v>
      </c>
      <c r="B487" t="s">
        <v>5292</v>
      </c>
      <c r="C487" t="s">
        <v>129</v>
      </c>
      <c r="D487" t="s">
        <v>5380</v>
      </c>
    </row>
    <row r="488" spans="1:4" x14ac:dyDescent="0.2">
      <c r="A488" t="s">
        <v>5381</v>
      </c>
      <c r="B488" t="s">
        <v>5304</v>
      </c>
      <c r="C488" t="s">
        <v>129</v>
      </c>
      <c r="D488" t="s">
        <v>5382</v>
      </c>
    </row>
    <row r="489" spans="1:4" x14ac:dyDescent="0.2">
      <c r="A489" t="s">
        <v>5383</v>
      </c>
      <c r="B489" t="s">
        <v>5384</v>
      </c>
      <c r="C489" t="s">
        <v>129</v>
      </c>
      <c r="D489" t="s">
        <v>5385</v>
      </c>
    </row>
    <row r="490" spans="1:4" x14ac:dyDescent="0.2">
      <c r="A490" t="s">
        <v>2392</v>
      </c>
    </row>
    <row r="491" spans="1:4" x14ac:dyDescent="0.2">
      <c r="A491" t="s">
        <v>5276</v>
      </c>
      <c r="B491" t="s">
        <v>5277</v>
      </c>
      <c r="C491" t="s">
        <v>5278</v>
      </c>
      <c r="D491" t="s">
        <v>5279</v>
      </c>
    </row>
    <row r="492" spans="1:4" x14ac:dyDescent="0.2">
      <c r="A492" t="s">
        <v>5539</v>
      </c>
      <c r="B492" t="s">
        <v>5281</v>
      </c>
      <c r="C492" t="s">
        <v>129</v>
      </c>
      <c r="D492" t="s">
        <v>5439</v>
      </c>
    </row>
    <row r="493" spans="1:4" x14ac:dyDescent="0.2">
      <c r="A493" t="s">
        <v>5540</v>
      </c>
      <c r="B493" t="s">
        <v>5292</v>
      </c>
      <c r="C493" t="s">
        <v>129</v>
      </c>
      <c r="D493" t="s">
        <v>5441</v>
      </c>
    </row>
    <row r="494" spans="1:4" x14ac:dyDescent="0.2">
      <c r="A494" t="s">
        <v>5541</v>
      </c>
      <c r="B494" t="s">
        <v>5404</v>
      </c>
    </row>
    <row r="495" spans="1:4" x14ac:dyDescent="0.2">
      <c r="A495" t="s">
        <v>2395</v>
      </c>
    </row>
    <row r="496" spans="1:4" x14ac:dyDescent="0.2">
      <c r="A496" t="s">
        <v>5276</v>
      </c>
      <c r="B496" t="s">
        <v>5277</v>
      </c>
      <c r="C496" t="s">
        <v>5278</v>
      </c>
      <c r="D496" t="s">
        <v>5279</v>
      </c>
    </row>
    <row r="497" spans="1:4" x14ac:dyDescent="0.2">
      <c r="A497" t="s">
        <v>5539</v>
      </c>
      <c r="B497" t="s">
        <v>5281</v>
      </c>
      <c r="C497" t="s">
        <v>129</v>
      </c>
      <c r="D497" t="s">
        <v>5439</v>
      </c>
    </row>
    <row r="498" spans="1:4" x14ac:dyDescent="0.2">
      <c r="A498" t="s">
        <v>5540</v>
      </c>
      <c r="B498" t="s">
        <v>5292</v>
      </c>
      <c r="C498" t="s">
        <v>129</v>
      </c>
      <c r="D498" t="s">
        <v>5441</v>
      </c>
    </row>
    <row r="499" spans="1:4" x14ac:dyDescent="0.2">
      <c r="A499" t="s">
        <v>5541</v>
      </c>
      <c r="B499" t="s">
        <v>5404</v>
      </c>
    </row>
    <row r="500" spans="1:4" x14ac:dyDescent="0.2">
      <c r="A500" t="s">
        <v>2400</v>
      </c>
    </row>
    <row r="501" spans="1:4" x14ac:dyDescent="0.2">
      <c r="A501" t="s">
        <v>5276</v>
      </c>
      <c r="B501" t="s">
        <v>5277</v>
      </c>
      <c r="C501" t="s">
        <v>5278</v>
      </c>
      <c r="D501" t="s">
        <v>5279</v>
      </c>
    </row>
    <row r="502" spans="1:4" x14ac:dyDescent="0.2">
      <c r="A502" t="s">
        <v>5392</v>
      </c>
      <c r="B502" t="s">
        <v>5281</v>
      </c>
      <c r="C502" t="s">
        <v>129</v>
      </c>
      <c r="D502" t="s">
        <v>5393</v>
      </c>
    </row>
    <row r="503" spans="1:4" x14ac:dyDescent="0.2">
      <c r="A503" t="s">
        <v>5394</v>
      </c>
      <c r="B503" t="s">
        <v>5292</v>
      </c>
      <c r="C503" t="s">
        <v>129</v>
      </c>
      <c r="D503" t="s">
        <v>5395</v>
      </c>
    </row>
    <row r="504" spans="1:4" x14ac:dyDescent="0.2">
      <c r="A504" t="s">
        <v>5396</v>
      </c>
      <c r="B504" t="s">
        <v>5304</v>
      </c>
      <c r="C504" t="s">
        <v>129</v>
      </c>
      <c r="D504" t="s">
        <v>5397</v>
      </c>
    </row>
    <row r="505" spans="1:4" x14ac:dyDescent="0.2">
      <c r="A505" t="s">
        <v>5398</v>
      </c>
      <c r="B505" t="s">
        <v>5307</v>
      </c>
      <c r="C505" t="s">
        <v>129</v>
      </c>
      <c r="D505" t="s">
        <v>5399</v>
      </c>
    </row>
    <row r="506" spans="1:4" x14ac:dyDescent="0.2">
      <c r="A506" t="s">
        <v>5400</v>
      </c>
      <c r="B506" t="s">
        <v>5401</v>
      </c>
      <c r="C506" t="s">
        <v>5311</v>
      </c>
      <c r="D506" t="s">
        <v>5402</v>
      </c>
    </row>
    <row r="507" spans="1:4" x14ac:dyDescent="0.2">
      <c r="A507" t="s">
        <v>5403</v>
      </c>
      <c r="B507" t="s">
        <v>5404</v>
      </c>
      <c r="C507" t="s">
        <v>5315</v>
      </c>
      <c r="D507" t="s">
        <v>5405</v>
      </c>
    </row>
    <row r="508" spans="1:4" x14ac:dyDescent="0.2">
      <c r="A508" t="s">
        <v>2401</v>
      </c>
    </row>
    <row r="509" spans="1:4" x14ac:dyDescent="0.2">
      <c r="A509" t="s">
        <v>5276</v>
      </c>
      <c r="B509" t="s">
        <v>5277</v>
      </c>
      <c r="C509" t="s">
        <v>5278</v>
      </c>
      <c r="D509" t="s">
        <v>5279</v>
      </c>
    </row>
    <row r="510" spans="1:4" x14ac:dyDescent="0.2">
      <c r="A510" t="s">
        <v>5392</v>
      </c>
      <c r="B510" t="s">
        <v>5281</v>
      </c>
      <c r="C510" t="s">
        <v>129</v>
      </c>
      <c r="D510" t="s">
        <v>5393</v>
      </c>
    </row>
    <row r="511" spans="1:4" x14ac:dyDescent="0.2">
      <c r="A511" t="s">
        <v>5394</v>
      </c>
      <c r="B511" t="s">
        <v>5292</v>
      </c>
      <c r="C511" t="s">
        <v>129</v>
      </c>
      <c r="D511" t="s">
        <v>5395</v>
      </c>
    </row>
    <row r="512" spans="1:4" x14ac:dyDescent="0.2">
      <c r="A512" t="s">
        <v>5396</v>
      </c>
      <c r="B512" t="s">
        <v>5304</v>
      </c>
      <c r="C512" t="s">
        <v>129</v>
      </c>
      <c r="D512" t="s">
        <v>5397</v>
      </c>
    </row>
    <row r="513" spans="1:4" x14ac:dyDescent="0.2">
      <c r="A513" t="s">
        <v>5398</v>
      </c>
      <c r="B513" t="s">
        <v>5307</v>
      </c>
      <c r="C513" t="s">
        <v>129</v>
      </c>
      <c r="D513" t="s">
        <v>5399</v>
      </c>
    </row>
    <row r="514" spans="1:4" x14ac:dyDescent="0.2">
      <c r="A514" t="s">
        <v>5400</v>
      </c>
      <c r="B514" t="s">
        <v>5401</v>
      </c>
      <c r="C514" t="s">
        <v>5311</v>
      </c>
      <c r="D514" t="s">
        <v>5402</v>
      </c>
    </row>
    <row r="515" spans="1:4" x14ac:dyDescent="0.2">
      <c r="A515" t="s">
        <v>5403</v>
      </c>
      <c r="B515" t="s">
        <v>5404</v>
      </c>
      <c r="C515" t="s">
        <v>5315</v>
      </c>
      <c r="D515" t="s">
        <v>5405</v>
      </c>
    </row>
    <row r="516" spans="1:4" x14ac:dyDescent="0.2">
      <c r="A516" t="s">
        <v>2402</v>
      </c>
    </row>
    <row r="517" spans="1:4" x14ac:dyDescent="0.2">
      <c r="A517" t="s">
        <v>5276</v>
      </c>
      <c r="B517" t="s">
        <v>5277</v>
      </c>
      <c r="C517" t="s">
        <v>5278</v>
      </c>
      <c r="D517" t="s">
        <v>5279</v>
      </c>
    </row>
    <row r="518" spans="1:4" x14ac:dyDescent="0.2">
      <c r="A518" t="s">
        <v>5334</v>
      </c>
      <c r="B518" t="s">
        <v>5335</v>
      </c>
      <c r="C518" t="s">
        <v>129</v>
      </c>
      <c r="D518" t="s">
        <v>5336</v>
      </c>
    </row>
    <row r="519" spans="1:4" x14ac:dyDescent="0.2">
      <c r="A519" t="s">
        <v>5337</v>
      </c>
      <c r="B519" t="s">
        <v>5338</v>
      </c>
    </row>
    <row r="520" spans="1:4" x14ac:dyDescent="0.2">
      <c r="A520" t="s">
        <v>2403</v>
      </c>
    </row>
    <row r="521" spans="1:4" x14ac:dyDescent="0.2">
      <c r="A521" t="s">
        <v>5276</v>
      </c>
      <c r="B521" t="s">
        <v>5277</v>
      </c>
      <c r="C521" t="s">
        <v>5278</v>
      </c>
      <c r="D521" t="s">
        <v>5279</v>
      </c>
    </row>
    <row r="522" spans="1:4" x14ac:dyDescent="0.2">
      <c r="A522" t="s">
        <v>5334</v>
      </c>
      <c r="B522" t="s">
        <v>5335</v>
      </c>
      <c r="C522" t="s">
        <v>129</v>
      </c>
      <c r="D522" t="s">
        <v>5336</v>
      </c>
    </row>
    <row r="523" spans="1:4" x14ac:dyDescent="0.2">
      <c r="A523" t="s">
        <v>5337</v>
      </c>
      <c r="B523" t="s">
        <v>5338</v>
      </c>
    </row>
    <row r="524" spans="1:4" x14ac:dyDescent="0.2">
      <c r="A524" t="s">
        <v>2404</v>
      </c>
    </row>
    <row r="525" spans="1:4" x14ac:dyDescent="0.2">
      <c r="A525" t="s">
        <v>5276</v>
      </c>
      <c r="B525" t="s">
        <v>5277</v>
      </c>
      <c r="C525" t="s">
        <v>5278</v>
      </c>
      <c r="D525" t="s">
        <v>5279</v>
      </c>
    </row>
    <row r="526" spans="1:4" x14ac:dyDescent="0.2">
      <c r="A526" t="s">
        <v>5334</v>
      </c>
      <c r="B526" t="s">
        <v>5335</v>
      </c>
      <c r="C526" t="s">
        <v>129</v>
      </c>
      <c r="D526" t="s">
        <v>5336</v>
      </c>
    </row>
    <row r="527" spans="1:4" x14ac:dyDescent="0.2">
      <c r="A527" t="s">
        <v>5337</v>
      </c>
      <c r="B527" t="s">
        <v>5338</v>
      </c>
    </row>
    <row r="528" spans="1:4" x14ac:dyDescent="0.2">
      <c r="A528" t="s">
        <v>2406</v>
      </c>
    </row>
    <row r="529" spans="1:4" x14ac:dyDescent="0.2">
      <c r="A529" t="s">
        <v>5276</v>
      </c>
      <c r="B529" t="s">
        <v>5277</v>
      </c>
      <c r="C529" t="s">
        <v>5278</v>
      </c>
      <c r="D529" t="s">
        <v>5279</v>
      </c>
    </row>
    <row r="530" spans="1:4" x14ac:dyDescent="0.2">
      <c r="A530" t="s">
        <v>5334</v>
      </c>
      <c r="B530" t="s">
        <v>5335</v>
      </c>
      <c r="C530" t="s">
        <v>129</v>
      </c>
      <c r="D530" t="s">
        <v>5336</v>
      </c>
    </row>
    <row r="531" spans="1:4" x14ac:dyDescent="0.2">
      <c r="A531" t="s">
        <v>5337</v>
      </c>
      <c r="B531" t="s">
        <v>5338</v>
      </c>
    </row>
    <row r="532" spans="1:4" x14ac:dyDescent="0.2">
      <c r="A532" t="s">
        <v>2408</v>
      </c>
    </row>
    <row r="533" spans="1:4" x14ac:dyDescent="0.2">
      <c r="A533" t="s">
        <v>5276</v>
      </c>
      <c r="B533" t="s">
        <v>5277</v>
      </c>
      <c r="C533" t="s">
        <v>5278</v>
      </c>
      <c r="D533" t="s">
        <v>5279</v>
      </c>
    </row>
    <row r="534" spans="1:4" x14ac:dyDescent="0.2">
      <c r="A534" t="s">
        <v>5344</v>
      </c>
      <c r="B534" t="s">
        <v>5345</v>
      </c>
      <c r="C534" t="s">
        <v>129</v>
      </c>
      <c r="D534" t="s">
        <v>5346</v>
      </c>
    </row>
    <row r="535" spans="1:4" x14ac:dyDescent="0.2">
      <c r="A535" t="s">
        <v>5347</v>
      </c>
      <c r="B535" t="s">
        <v>5348</v>
      </c>
      <c r="C535" t="s">
        <v>129</v>
      </c>
      <c r="D535" t="s">
        <v>5349</v>
      </c>
    </row>
    <row r="536" spans="1:4" x14ac:dyDescent="0.2">
      <c r="A536" t="s">
        <v>5350</v>
      </c>
      <c r="B536" t="s">
        <v>5351</v>
      </c>
    </row>
    <row r="537" spans="1:4" x14ac:dyDescent="0.2">
      <c r="A537" t="s">
        <v>2409</v>
      </c>
    </row>
    <row r="538" spans="1:4" x14ac:dyDescent="0.2">
      <c r="A538" t="s">
        <v>5276</v>
      </c>
      <c r="B538" t="s">
        <v>5277</v>
      </c>
      <c r="C538" t="s">
        <v>5278</v>
      </c>
      <c r="D538" t="s">
        <v>5279</v>
      </c>
    </row>
    <row r="539" spans="1:4" x14ac:dyDescent="0.2">
      <c r="A539" t="s">
        <v>5344</v>
      </c>
      <c r="B539" t="s">
        <v>5345</v>
      </c>
      <c r="C539" t="s">
        <v>129</v>
      </c>
      <c r="D539" t="s">
        <v>5346</v>
      </c>
    </row>
    <row r="540" spans="1:4" x14ac:dyDescent="0.2">
      <c r="A540" t="s">
        <v>5347</v>
      </c>
      <c r="B540" t="s">
        <v>5348</v>
      </c>
      <c r="C540" t="s">
        <v>129</v>
      </c>
      <c r="D540" t="s">
        <v>5349</v>
      </c>
    </row>
    <row r="541" spans="1:4" x14ac:dyDescent="0.2">
      <c r="A541" t="s">
        <v>5350</v>
      </c>
      <c r="B541" t="s">
        <v>5351</v>
      </c>
    </row>
    <row r="542" spans="1:4" x14ac:dyDescent="0.2">
      <c r="A542" t="s">
        <v>2412</v>
      </c>
    </row>
    <row r="543" spans="1:4" x14ac:dyDescent="0.2">
      <c r="A543" t="s">
        <v>5276</v>
      </c>
      <c r="B543" t="s">
        <v>5277</v>
      </c>
      <c r="C543" t="s">
        <v>5278</v>
      </c>
      <c r="D543" t="s">
        <v>5279</v>
      </c>
    </row>
    <row r="544" spans="1:4" x14ac:dyDescent="0.2">
      <c r="A544" t="s">
        <v>5352</v>
      </c>
      <c r="B544" t="s">
        <v>5353</v>
      </c>
      <c r="C544" t="s">
        <v>129</v>
      </c>
      <c r="D544" t="s">
        <v>5354</v>
      </c>
    </row>
    <row r="545" spans="1:4" x14ac:dyDescent="0.2">
      <c r="A545" t="s">
        <v>5355</v>
      </c>
      <c r="B545" t="s">
        <v>5356</v>
      </c>
      <c r="C545" t="s">
        <v>129</v>
      </c>
      <c r="D545" t="s">
        <v>5357</v>
      </c>
    </row>
    <row r="546" spans="1:4" x14ac:dyDescent="0.2">
      <c r="A546" t="s">
        <v>5358</v>
      </c>
      <c r="B546" t="s">
        <v>5287</v>
      </c>
      <c r="C546" t="s">
        <v>129</v>
      </c>
      <c r="D546" t="s">
        <v>5359</v>
      </c>
    </row>
    <row r="547" spans="1:4" x14ac:dyDescent="0.2">
      <c r="A547" t="s">
        <v>5360</v>
      </c>
      <c r="B547" t="s">
        <v>5361</v>
      </c>
      <c r="C547" t="s">
        <v>129</v>
      </c>
      <c r="D547" t="s">
        <v>5362</v>
      </c>
    </row>
    <row r="548" spans="1:4" x14ac:dyDescent="0.2">
      <c r="A548" t="s">
        <v>5363</v>
      </c>
      <c r="B548" t="s">
        <v>5364</v>
      </c>
      <c r="C548" t="s">
        <v>5311</v>
      </c>
      <c r="D548" t="s">
        <v>5365</v>
      </c>
    </row>
    <row r="549" spans="1:4" x14ac:dyDescent="0.2">
      <c r="A549" t="s">
        <v>5366</v>
      </c>
      <c r="B549" t="s">
        <v>5367</v>
      </c>
      <c r="C549" t="s">
        <v>5315</v>
      </c>
      <c r="D549" t="s">
        <v>5368</v>
      </c>
    </row>
    <row r="550" spans="1:4" x14ac:dyDescent="0.2">
      <c r="A550" t="s">
        <v>5369</v>
      </c>
      <c r="B550" t="s">
        <v>5370</v>
      </c>
      <c r="C550" t="s">
        <v>5319</v>
      </c>
      <c r="D550" t="s">
        <v>5371</v>
      </c>
    </row>
    <row r="551" spans="1:4" x14ac:dyDescent="0.2">
      <c r="A551" t="s">
        <v>2413</v>
      </c>
    </row>
    <row r="552" spans="1:4" x14ac:dyDescent="0.2">
      <c r="A552" t="s">
        <v>5276</v>
      </c>
      <c r="B552" t="s">
        <v>5277</v>
      </c>
      <c r="C552" t="s">
        <v>5278</v>
      </c>
      <c r="D552" t="s">
        <v>5279</v>
      </c>
    </row>
    <row r="553" spans="1:4" x14ac:dyDescent="0.2">
      <c r="A553" t="s">
        <v>5352</v>
      </c>
      <c r="B553" t="s">
        <v>5353</v>
      </c>
      <c r="C553" t="s">
        <v>129</v>
      </c>
      <c r="D553" t="s">
        <v>5354</v>
      </c>
    </row>
    <row r="554" spans="1:4" x14ac:dyDescent="0.2">
      <c r="A554" t="s">
        <v>5355</v>
      </c>
      <c r="B554" t="s">
        <v>5356</v>
      </c>
      <c r="C554" t="s">
        <v>129</v>
      </c>
      <c r="D554" t="s">
        <v>5357</v>
      </c>
    </row>
    <row r="555" spans="1:4" x14ac:dyDescent="0.2">
      <c r="A555" t="s">
        <v>5358</v>
      </c>
      <c r="B555" t="s">
        <v>5287</v>
      </c>
      <c r="C555" t="s">
        <v>129</v>
      </c>
      <c r="D555" t="s">
        <v>5359</v>
      </c>
    </row>
    <row r="556" spans="1:4" x14ac:dyDescent="0.2">
      <c r="A556" t="s">
        <v>5360</v>
      </c>
      <c r="B556" t="s">
        <v>5361</v>
      </c>
      <c r="C556" t="s">
        <v>129</v>
      </c>
      <c r="D556" t="s">
        <v>5362</v>
      </c>
    </row>
    <row r="557" spans="1:4" x14ac:dyDescent="0.2">
      <c r="A557" t="s">
        <v>5363</v>
      </c>
      <c r="B557" t="s">
        <v>5364</v>
      </c>
      <c r="C557" t="s">
        <v>5311</v>
      </c>
      <c r="D557" t="s">
        <v>5365</v>
      </c>
    </row>
    <row r="558" spans="1:4" x14ac:dyDescent="0.2">
      <c r="A558" t="s">
        <v>5366</v>
      </c>
      <c r="B558" t="s">
        <v>5367</v>
      </c>
      <c r="C558" t="s">
        <v>5315</v>
      </c>
      <c r="D558" t="s">
        <v>5368</v>
      </c>
    </row>
    <row r="559" spans="1:4" x14ac:dyDescent="0.2">
      <c r="A559" t="s">
        <v>5369</v>
      </c>
      <c r="B559" t="s">
        <v>5370</v>
      </c>
      <c r="C559" t="s">
        <v>5319</v>
      </c>
      <c r="D559" t="s">
        <v>5371</v>
      </c>
    </row>
    <row r="560" spans="1:4" x14ac:dyDescent="0.2">
      <c r="A560" t="s">
        <v>2416</v>
      </c>
    </row>
    <row r="561" spans="1:4" x14ac:dyDescent="0.2">
      <c r="A561" t="s">
        <v>5276</v>
      </c>
      <c r="B561" t="s">
        <v>5277</v>
      </c>
      <c r="C561" t="s">
        <v>5278</v>
      </c>
      <c r="D561" t="s">
        <v>5279</v>
      </c>
    </row>
    <row r="562" spans="1:4" x14ac:dyDescent="0.2">
      <c r="A562" t="s">
        <v>5542</v>
      </c>
      <c r="B562" t="s">
        <v>5373</v>
      </c>
      <c r="C562" t="s">
        <v>129</v>
      </c>
      <c r="D562" t="s">
        <v>5543</v>
      </c>
    </row>
    <row r="563" spans="1:4" x14ac:dyDescent="0.2">
      <c r="A563" t="s">
        <v>5544</v>
      </c>
      <c r="B563" t="s">
        <v>5545</v>
      </c>
      <c r="C563" t="s">
        <v>129</v>
      </c>
      <c r="D563" t="s">
        <v>5546</v>
      </c>
    </row>
    <row r="564" spans="1:4" x14ac:dyDescent="0.2">
      <c r="A564" t="s">
        <v>5547</v>
      </c>
      <c r="B564" t="s">
        <v>5548</v>
      </c>
      <c r="C564" t="s">
        <v>129</v>
      </c>
      <c r="D564" t="s">
        <v>5549</v>
      </c>
    </row>
    <row r="565" spans="1:4" x14ac:dyDescent="0.2">
      <c r="A565" t="s">
        <v>5550</v>
      </c>
      <c r="B565" t="s">
        <v>5551</v>
      </c>
      <c r="C565" t="s">
        <v>129</v>
      </c>
      <c r="D565" t="s">
        <v>5552</v>
      </c>
    </row>
    <row r="566" spans="1:4" x14ac:dyDescent="0.2">
      <c r="A566" t="s">
        <v>5553</v>
      </c>
      <c r="B566" t="s">
        <v>5404</v>
      </c>
    </row>
    <row r="567" spans="1:4" x14ac:dyDescent="0.2">
      <c r="A567" t="s">
        <v>2417</v>
      </c>
    </row>
    <row r="568" spans="1:4" x14ac:dyDescent="0.2">
      <c r="A568" t="s">
        <v>5276</v>
      </c>
      <c r="B568" t="s">
        <v>5277</v>
      </c>
      <c r="C568" t="s">
        <v>5278</v>
      </c>
      <c r="D568" t="s">
        <v>5279</v>
      </c>
    </row>
    <row r="569" spans="1:4" x14ac:dyDescent="0.2">
      <c r="A569" t="s">
        <v>5542</v>
      </c>
      <c r="B569" t="s">
        <v>5373</v>
      </c>
      <c r="C569" t="s">
        <v>129</v>
      </c>
      <c r="D569" t="s">
        <v>5543</v>
      </c>
    </row>
    <row r="570" spans="1:4" x14ac:dyDescent="0.2">
      <c r="A570" t="s">
        <v>5544</v>
      </c>
      <c r="B570" t="s">
        <v>5545</v>
      </c>
      <c r="C570" t="s">
        <v>129</v>
      </c>
      <c r="D570" t="s">
        <v>5546</v>
      </c>
    </row>
    <row r="571" spans="1:4" x14ac:dyDescent="0.2">
      <c r="A571" t="s">
        <v>5547</v>
      </c>
      <c r="B571" t="s">
        <v>5548</v>
      </c>
      <c r="C571" t="s">
        <v>129</v>
      </c>
      <c r="D571" t="s">
        <v>5549</v>
      </c>
    </row>
    <row r="572" spans="1:4" x14ac:dyDescent="0.2">
      <c r="A572" t="s">
        <v>5550</v>
      </c>
      <c r="B572" t="s">
        <v>5551</v>
      </c>
      <c r="C572" t="s">
        <v>129</v>
      </c>
      <c r="D572" t="s">
        <v>5552</v>
      </c>
    </row>
    <row r="573" spans="1:4" x14ac:dyDescent="0.2">
      <c r="A573" t="s">
        <v>5553</v>
      </c>
      <c r="B573" t="s">
        <v>5404</v>
      </c>
    </row>
    <row r="574" spans="1:4" x14ac:dyDescent="0.2">
      <c r="A574" t="s">
        <v>2418</v>
      </c>
    </row>
    <row r="575" spans="1:4" x14ac:dyDescent="0.2">
      <c r="A575" t="s">
        <v>5276</v>
      </c>
      <c r="B575" t="s">
        <v>5277</v>
      </c>
      <c r="C575" t="s">
        <v>5278</v>
      </c>
      <c r="D575" t="s">
        <v>5279</v>
      </c>
    </row>
    <row r="576" spans="1:4" x14ac:dyDescent="0.2">
      <c r="A576" t="s">
        <v>5542</v>
      </c>
      <c r="B576" t="s">
        <v>5373</v>
      </c>
      <c r="C576" t="s">
        <v>129</v>
      </c>
      <c r="D576" t="s">
        <v>5543</v>
      </c>
    </row>
    <row r="577" spans="1:4" x14ac:dyDescent="0.2">
      <c r="A577" t="s">
        <v>5544</v>
      </c>
      <c r="B577" t="s">
        <v>5545</v>
      </c>
      <c r="C577" t="s">
        <v>129</v>
      </c>
      <c r="D577" t="s">
        <v>5546</v>
      </c>
    </row>
    <row r="578" spans="1:4" x14ac:dyDescent="0.2">
      <c r="A578" t="s">
        <v>5547</v>
      </c>
      <c r="B578" t="s">
        <v>5548</v>
      </c>
      <c r="C578" t="s">
        <v>129</v>
      </c>
      <c r="D578" t="s">
        <v>5549</v>
      </c>
    </row>
    <row r="579" spans="1:4" x14ac:dyDescent="0.2">
      <c r="A579" t="s">
        <v>5550</v>
      </c>
      <c r="B579" t="s">
        <v>5551</v>
      </c>
      <c r="C579" t="s">
        <v>129</v>
      </c>
      <c r="D579" t="s">
        <v>5552</v>
      </c>
    </row>
    <row r="580" spans="1:4" x14ac:dyDescent="0.2">
      <c r="A580" t="s">
        <v>5553</v>
      </c>
      <c r="B580" t="s">
        <v>5404</v>
      </c>
    </row>
    <row r="581" spans="1:4" x14ac:dyDescent="0.2">
      <c r="A581" t="s">
        <v>2420</v>
      </c>
    </row>
    <row r="582" spans="1:4" x14ac:dyDescent="0.2">
      <c r="A582" t="s">
        <v>5276</v>
      </c>
      <c r="B582" t="s">
        <v>5277</v>
      </c>
      <c r="C582" t="s">
        <v>5278</v>
      </c>
      <c r="D582" t="s">
        <v>5279</v>
      </c>
    </row>
    <row r="583" spans="1:4" x14ac:dyDescent="0.2">
      <c r="A583" t="s">
        <v>5542</v>
      </c>
      <c r="B583" t="s">
        <v>5373</v>
      </c>
      <c r="C583" t="s">
        <v>129</v>
      </c>
      <c r="D583" t="s">
        <v>5543</v>
      </c>
    </row>
    <row r="584" spans="1:4" x14ac:dyDescent="0.2">
      <c r="A584" t="s">
        <v>5544</v>
      </c>
      <c r="B584" t="s">
        <v>5545</v>
      </c>
      <c r="C584" t="s">
        <v>129</v>
      </c>
      <c r="D584" t="s">
        <v>5546</v>
      </c>
    </row>
    <row r="585" spans="1:4" x14ac:dyDescent="0.2">
      <c r="A585" t="s">
        <v>5547</v>
      </c>
      <c r="B585" t="s">
        <v>5548</v>
      </c>
      <c r="C585" t="s">
        <v>129</v>
      </c>
      <c r="D585" t="s">
        <v>5549</v>
      </c>
    </row>
    <row r="586" spans="1:4" x14ac:dyDescent="0.2">
      <c r="A586" t="s">
        <v>5550</v>
      </c>
      <c r="B586" t="s">
        <v>5551</v>
      </c>
      <c r="C586" t="s">
        <v>129</v>
      </c>
      <c r="D586" t="s">
        <v>5552</v>
      </c>
    </row>
    <row r="587" spans="1:4" x14ac:dyDescent="0.2">
      <c r="A587" t="s">
        <v>5553</v>
      </c>
      <c r="B587" t="s">
        <v>5404</v>
      </c>
    </row>
    <row r="588" spans="1:4" x14ac:dyDescent="0.2">
      <c r="A588" t="s">
        <v>2421</v>
      </c>
    </row>
    <row r="589" spans="1:4" x14ac:dyDescent="0.2">
      <c r="A589" t="s">
        <v>5276</v>
      </c>
      <c r="B589" t="s">
        <v>5277</v>
      </c>
      <c r="C589" t="s">
        <v>5278</v>
      </c>
      <c r="D589" t="s">
        <v>5279</v>
      </c>
    </row>
    <row r="590" spans="1:4" x14ac:dyDescent="0.2">
      <c r="A590" t="s">
        <v>5542</v>
      </c>
      <c r="B590" t="s">
        <v>5373</v>
      </c>
      <c r="C590" t="s">
        <v>129</v>
      </c>
      <c r="D590" t="s">
        <v>5543</v>
      </c>
    </row>
    <row r="591" spans="1:4" x14ac:dyDescent="0.2">
      <c r="A591" t="s">
        <v>5544</v>
      </c>
      <c r="B591" t="s">
        <v>5545</v>
      </c>
      <c r="C591" t="s">
        <v>129</v>
      </c>
      <c r="D591" t="s">
        <v>5546</v>
      </c>
    </row>
    <row r="592" spans="1:4" x14ac:dyDescent="0.2">
      <c r="A592" t="s">
        <v>5547</v>
      </c>
      <c r="B592" t="s">
        <v>5548</v>
      </c>
      <c r="C592" t="s">
        <v>129</v>
      </c>
      <c r="D592" t="s">
        <v>5549</v>
      </c>
    </row>
    <row r="593" spans="1:4" x14ac:dyDescent="0.2">
      <c r="A593" t="s">
        <v>5550</v>
      </c>
      <c r="B593" t="s">
        <v>5551</v>
      </c>
      <c r="C593" t="s">
        <v>129</v>
      </c>
      <c r="D593" t="s">
        <v>5552</v>
      </c>
    </row>
    <row r="594" spans="1:4" x14ac:dyDescent="0.2">
      <c r="A594" t="s">
        <v>5553</v>
      </c>
      <c r="B594" t="s">
        <v>5404</v>
      </c>
    </row>
    <row r="595" spans="1:4" x14ac:dyDescent="0.2">
      <c r="A595" t="s">
        <v>2422</v>
      </c>
    </row>
    <row r="596" spans="1:4" x14ac:dyDescent="0.2">
      <c r="A596" t="s">
        <v>5276</v>
      </c>
      <c r="B596" t="s">
        <v>5277</v>
      </c>
      <c r="C596" t="s">
        <v>5278</v>
      </c>
      <c r="D596" t="s">
        <v>5279</v>
      </c>
    </row>
    <row r="597" spans="1:4" x14ac:dyDescent="0.2">
      <c r="A597" t="s">
        <v>5542</v>
      </c>
      <c r="B597" t="s">
        <v>5373</v>
      </c>
      <c r="C597" t="s">
        <v>129</v>
      </c>
      <c r="D597" t="s">
        <v>5543</v>
      </c>
    </row>
    <row r="598" spans="1:4" x14ac:dyDescent="0.2">
      <c r="A598" t="s">
        <v>5544</v>
      </c>
      <c r="B598" t="s">
        <v>5545</v>
      </c>
      <c r="C598" t="s">
        <v>129</v>
      </c>
      <c r="D598" t="s">
        <v>5546</v>
      </c>
    </row>
    <row r="599" spans="1:4" x14ac:dyDescent="0.2">
      <c r="A599" t="s">
        <v>5547</v>
      </c>
      <c r="B599" t="s">
        <v>5548</v>
      </c>
      <c r="C599" t="s">
        <v>129</v>
      </c>
      <c r="D599" t="s">
        <v>5549</v>
      </c>
    </row>
    <row r="600" spans="1:4" x14ac:dyDescent="0.2">
      <c r="A600" t="s">
        <v>5550</v>
      </c>
      <c r="B600" t="s">
        <v>5551</v>
      </c>
      <c r="C600" t="s">
        <v>129</v>
      </c>
      <c r="D600" t="s">
        <v>5552</v>
      </c>
    </row>
    <row r="601" spans="1:4" x14ac:dyDescent="0.2">
      <c r="A601" t="s">
        <v>5553</v>
      </c>
      <c r="B601" t="s">
        <v>5404</v>
      </c>
    </row>
    <row r="602" spans="1:4" x14ac:dyDescent="0.2">
      <c r="A602" t="s">
        <v>2424</v>
      </c>
    </row>
    <row r="603" spans="1:4" x14ac:dyDescent="0.2">
      <c r="A603" t="s">
        <v>5276</v>
      </c>
      <c r="B603" t="s">
        <v>5277</v>
      </c>
      <c r="C603" t="s">
        <v>5278</v>
      </c>
      <c r="D603" t="s">
        <v>5279</v>
      </c>
    </row>
    <row r="604" spans="1:4" x14ac:dyDescent="0.2">
      <c r="A604" t="s">
        <v>5554</v>
      </c>
      <c r="B604" t="s">
        <v>5555</v>
      </c>
      <c r="C604" t="s">
        <v>129</v>
      </c>
      <c r="D604" t="s">
        <v>5556</v>
      </c>
    </row>
    <row r="605" spans="1:4" x14ac:dyDescent="0.2">
      <c r="A605" t="s">
        <v>5557</v>
      </c>
      <c r="B605" t="s">
        <v>5558</v>
      </c>
    </row>
    <row r="606" spans="1:4" x14ac:dyDescent="0.2">
      <c r="A606" t="s">
        <v>2425</v>
      </c>
    </row>
    <row r="607" spans="1:4" x14ac:dyDescent="0.2">
      <c r="A607" t="s">
        <v>5276</v>
      </c>
      <c r="B607" t="s">
        <v>5277</v>
      </c>
      <c r="C607" t="s">
        <v>5278</v>
      </c>
      <c r="D607" t="s">
        <v>5279</v>
      </c>
    </row>
    <row r="608" spans="1:4" x14ac:dyDescent="0.2">
      <c r="A608" t="s">
        <v>5554</v>
      </c>
      <c r="B608" t="s">
        <v>5555</v>
      </c>
      <c r="C608" t="s">
        <v>129</v>
      </c>
      <c r="D608" t="s">
        <v>5556</v>
      </c>
    </row>
    <row r="609" spans="1:4" x14ac:dyDescent="0.2">
      <c r="A609" t="s">
        <v>5557</v>
      </c>
      <c r="B609" t="s">
        <v>5558</v>
      </c>
    </row>
    <row r="610" spans="1:4" x14ac:dyDescent="0.2">
      <c r="A610" t="s">
        <v>2427</v>
      </c>
    </row>
    <row r="611" spans="1:4" x14ac:dyDescent="0.2">
      <c r="A611" t="s">
        <v>5276</v>
      </c>
      <c r="B611" t="s">
        <v>5277</v>
      </c>
      <c r="C611" t="s">
        <v>5278</v>
      </c>
      <c r="D611" t="s">
        <v>5279</v>
      </c>
    </row>
    <row r="612" spans="1:4" x14ac:dyDescent="0.2">
      <c r="A612" t="s">
        <v>5554</v>
      </c>
      <c r="B612" t="s">
        <v>5555</v>
      </c>
      <c r="C612" t="s">
        <v>129</v>
      </c>
      <c r="D612" t="s">
        <v>5556</v>
      </c>
    </row>
    <row r="613" spans="1:4" x14ac:dyDescent="0.2">
      <c r="A613" t="s">
        <v>5557</v>
      </c>
      <c r="B613" t="s">
        <v>5558</v>
      </c>
    </row>
    <row r="614" spans="1:4" x14ac:dyDescent="0.2">
      <c r="A614" t="s">
        <v>2429</v>
      </c>
    </row>
    <row r="615" spans="1:4" x14ac:dyDescent="0.2">
      <c r="A615" t="s">
        <v>5276</v>
      </c>
      <c r="B615" t="s">
        <v>5277</v>
      </c>
      <c r="C615" t="s">
        <v>5278</v>
      </c>
      <c r="D615" t="s">
        <v>5279</v>
      </c>
    </row>
    <row r="616" spans="1:4" x14ac:dyDescent="0.2">
      <c r="A616" t="s">
        <v>5559</v>
      </c>
      <c r="B616" t="s">
        <v>5560</v>
      </c>
    </row>
    <row r="617" spans="1:4" x14ac:dyDescent="0.2">
      <c r="A617" t="s">
        <v>2430</v>
      </c>
    </row>
    <row r="618" spans="1:4" x14ac:dyDescent="0.2">
      <c r="A618" t="s">
        <v>5276</v>
      </c>
      <c r="B618" t="s">
        <v>5277</v>
      </c>
      <c r="C618" t="s">
        <v>5278</v>
      </c>
      <c r="D618" t="s">
        <v>5279</v>
      </c>
    </row>
    <row r="619" spans="1:4" x14ac:dyDescent="0.2">
      <c r="A619" t="s">
        <v>5561</v>
      </c>
      <c r="B619" t="s">
        <v>5562</v>
      </c>
    </row>
    <row r="620" spans="1:4" x14ac:dyDescent="0.2">
      <c r="A620" t="s">
        <v>2431</v>
      </c>
    </row>
    <row r="621" spans="1:4" x14ac:dyDescent="0.2">
      <c r="A621" t="s">
        <v>5276</v>
      </c>
      <c r="B621" t="s">
        <v>5277</v>
      </c>
      <c r="C621" t="s">
        <v>5278</v>
      </c>
      <c r="D621" t="s">
        <v>5279</v>
      </c>
    </row>
    <row r="622" spans="1:4" x14ac:dyDescent="0.2">
      <c r="A622" t="s">
        <v>5563</v>
      </c>
      <c r="B622" t="s">
        <v>5562</v>
      </c>
    </row>
    <row r="623" spans="1:4" x14ac:dyDescent="0.2">
      <c r="A623" t="s">
        <v>2432</v>
      </c>
    </row>
    <row r="624" spans="1:4" x14ac:dyDescent="0.2">
      <c r="A624" t="s">
        <v>5276</v>
      </c>
      <c r="B624" t="s">
        <v>5277</v>
      </c>
      <c r="C624" t="s">
        <v>5278</v>
      </c>
      <c r="D624" t="s">
        <v>5279</v>
      </c>
    </row>
    <row r="625" spans="1:4" x14ac:dyDescent="0.2">
      <c r="A625" t="s">
        <v>5564</v>
      </c>
      <c r="B625" t="s">
        <v>5560</v>
      </c>
    </row>
    <row r="626" spans="1:4" x14ac:dyDescent="0.2">
      <c r="A626" t="s">
        <v>2433</v>
      </c>
    </row>
    <row r="627" spans="1:4" x14ac:dyDescent="0.2">
      <c r="A627" t="s">
        <v>5276</v>
      </c>
      <c r="B627" t="s">
        <v>5277</v>
      </c>
      <c r="C627" t="s">
        <v>5278</v>
      </c>
      <c r="D627" t="s">
        <v>5279</v>
      </c>
    </row>
    <row r="628" spans="1:4" x14ac:dyDescent="0.2">
      <c r="A628" t="s">
        <v>5565</v>
      </c>
      <c r="B628" t="s">
        <v>5390</v>
      </c>
      <c r="C628" t="s">
        <v>129</v>
      </c>
      <c r="D628" t="s">
        <v>5285</v>
      </c>
    </row>
    <row r="629" spans="1:4" x14ac:dyDescent="0.2">
      <c r="A629" t="s">
        <v>5566</v>
      </c>
      <c r="B629" t="s">
        <v>5567</v>
      </c>
      <c r="C629" t="s">
        <v>129</v>
      </c>
      <c r="D629" t="s">
        <v>5288</v>
      </c>
    </row>
    <row r="630" spans="1:4" x14ac:dyDescent="0.2">
      <c r="A630" t="s">
        <v>2434</v>
      </c>
    </row>
    <row r="631" spans="1:4" x14ac:dyDescent="0.2">
      <c r="A631" t="s">
        <v>5276</v>
      </c>
      <c r="B631" t="s">
        <v>5277</v>
      </c>
      <c r="C631" t="s">
        <v>5278</v>
      </c>
      <c r="D631" t="s">
        <v>5279</v>
      </c>
    </row>
    <row r="632" spans="1:4" x14ac:dyDescent="0.2">
      <c r="A632" t="s">
        <v>5565</v>
      </c>
      <c r="B632" t="s">
        <v>5390</v>
      </c>
      <c r="C632" t="s">
        <v>129</v>
      </c>
      <c r="D632" t="s">
        <v>5285</v>
      </c>
    </row>
    <row r="633" spans="1:4" x14ac:dyDescent="0.2">
      <c r="A633" t="s">
        <v>5566</v>
      </c>
      <c r="B633" t="s">
        <v>5567</v>
      </c>
      <c r="C633" t="s">
        <v>129</v>
      </c>
      <c r="D633" t="s">
        <v>5288</v>
      </c>
    </row>
    <row r="634" spans="1:4" x14ac:dyDescent="0.2">
      <c r="A634" t="s">
        <v>2436</v>
      </c>
    </row>
    <row r="635" spans="1:4" x14ac:dyDescent="0.2">
      <c r="A635" t="s">
        <v>5276</v>
      </c>
      <c r="B635" t="s">
        <v>5277</v>
      </c>
      <c r="C635" t="s">
        <v>5278</v>
      </c>
      <c r="D635" t="s">
        <v>5279</v>
      </c>
    </row>
    <row r="636" spans="1:4" x14ac:dyDescent="0.2">
      <c r="A636" t="s">
        <v>5565</v>
      </c>
      <c r="B636" t="s">
        <v>5390</v>
      </c>
      <c r="C636" t="s">
        <v>129</v>
      </c>
      <c r="D636" t="s">
        <v>5285</v>
      </c>
    </row>
    <row r="637" spans="1:4" x14ac:dyDescent="0.2">
      <c r="A637" t="s">
        <v>5566</v>
      </c>
      <c r="B637" t="s">
        <v>5567</v>
      </c>
      <c r="C637" t="s">
        <v>129</v>
      </c>
      <c r="D637" t="s">
        <v>5288</v>
      </c>
    </row>
    <row r="638" spans="1:4" x14ac:dyDescent="0.2">
      <c r="A638" t="s">
        <v>2437</v>
      </c>
    </row>
    <row r="639" spans="1:4" x14ac:dyDescent="0.2">
      <c r="A639" t="s">
        <v>5276</v>
      </c>
      <c r="B639" t="s">
        <v>5277</v>
      </c>
      <c r="C639" t="s">
        <v>5278</v>
      </c>
      <c r="D639" t="s">
        <v>5279</v>
      </c>
    </row>
    <row r="640" spans="1:4" x14ac:dyDescent="0.2">
      <c r="A640" t="s">
        <v>5568</v>
      </c>
      <c r="B640" t="s">
        <v>5390</v>
      </c>
      <c r="C640" t="s">
        <v>129</v>
      </c>
      <c r="D640" t="s">
        <v>5296</v>
      </c>
    </row>
    <row r="641" spans="1:4" x14ac:dyDescent="0.2">
      <c r="A641" t="s">
        <v>2439</v>
      </c>
    </row>
    <row r="642" spans="1:4" x14ac:dyDescent="0.2">
      <c r="A642" t="s">
        <v>5276</v>
      </c>
      <c r="B642" t="s">
        <v>5277</v>
      </c>
      <c r="C642" t="s">
        <v>5278</v>
      </c>
      <c r="D642" t="s">
        <v>5279</v>
      </c>
    </row>
    <row r="643" spans="1:4" x14ac:dyDescent="0.2">
      <c r="A643" t="s">
        <v>5569</v>
      </c>
      <c r="B643" t="s">
        <v>5281</v>
      </c>
      <c r="C643" t="s">
        <v>129</v>
      </c>
      <c r="D643" t="s">
        <v>5293</v>
      </c>
    </row>
    <row r="644" spans="1:4" x14ac:dyDescent="0.2">
      <c r="A644" t="s">
        <v>5570</v>
      </c>
      <c r="B644" t="s">
        <v>5284</v>
      </c>
      <c r="C644" t="s">
        <v>129</v>
      </c>
      <c r="D644" t="s">
        <v>5298</v>
      </c>
    </row>
    <row r="645" spans="1:4" x14ac:dyDescent="0.2">
      <c r="A645" t="s">
        <v>2440</v>
      </c>
    </row>
    <row r="646" spans="1:4" x14ac:dyDescent="0.2">
      <c r="A646" t="s">
        <v>5276</v>
      </c>
      <c r="B646" t="s">
        <v>5277</v>
      </c>
      <c r="C646" t="s">
        <v>5278</v>
      </c>
      <c r="D646" t="s">
        <v>5279</v>
      </c>
    </row>
    <row r="647" spans="1:4" x14ac:dyDescent="0.2">
      <c r="A647" t="s">
        <v>5569</v>
      </c>
      <c r="B647" t="s">
        <v>5281</v>
      </c>
      <c r="C647" t="s">
        <v>129</v>
      </c>
      <c r="D647" t="s">
        <v>5293</v>
      </c>
    </row>
    <row r="648" spans="1:4" x14ac:dyDescent="0.2">
      <c r="A648" t="s">
        <v>5571</v>
      </c>
      <c r="B648" t="s">
        <v>5284</v>
      </c>
      <c r="C648" t="s">
        <v>129</v>
      </c>
      <c r="D648" t="s">
        <v>5466</v>
      </c>
    </row>
    <row r="649" spans="1:4" x14ac:dyDescent="0.2">
      <c r="A649" t="s">
        <v>5294</v>
      </c>
      <c r="B649" t="s">
        <v>5572</v>
      </c>
      <c r="C649" t="s">
        <v>129</v>
      </c>
      <c r="D649" t="s">
        <v>5298</v>
      </c>
    </row>
    <row r="650" spans="1:4" x14ac:dyDescent="0.2">
      <c r="A650" t="s">
        <v>2442</v>
      </c>
    </row>
    <row r="651" spans="1:4" x14ac:dyDescent="0.2">
      <c r="A651" t="s">
        <v>5276</v>
      </c>
      <c r="B651" t="s">
        <v>5277</v>
      </c>
      <c r="C651" t="s">
        <v>5278</v>
      </c>
      <c r="D651" t="s">
        <v>5279</v>
      </c>
    </row>
    <row r="652" spans="1:4" x14ac:dyDescent="0.2">
      <c r="A652" t="s">
        <v>5569</v>
      </c>
      <c r="B652" t="s">
        <v>5281</v>
      </c>
      <c r="C652" t="s">
        <v>129</v>
      </c>
      <c r="D652" t="s">
        <v>5293</v>
      </c>
    </row>
    <row r="653" spans="1:4" x14ac:dyDescent="0.2">
      <c r="A653" t="s">
        <v>5571</v>
      </c>
      <c r="B653" t="s">
        <v>5284</v>
      </c>
      <c r="C653" t="s">
        <v>129</v>
      </c>
      <c r="D653" t="s">
        <v>5466</v>
      </c>
    </row>
    <row r="654" spans="1:4" x14ac:dyDescent="0.2">
      <c r="A654" t="s">
        <v>5294</v>
      </c>
      <c r="B654" t="s">
        <v>5572</v>
      </c>
      <c r="C654" t="s">
        <v>129</v>
      </c>
      <c r="D654" t="s">
        <v>5298</v>
      </c>
    </row>
    <row r="655" spans="1:4" x14ac:dyDescent="0.2">
      <c r="A655" t="s">
        <v>2443</v>
      </c>
    </row>
    <row r="656" spans="1:4" x14ac:dyDescent="0.2">
      <c r="A656" t="s">
        <v>5276</v>
      </c>
      <c r="B656" t="s">
        <v>5277</v>
      </c>
      <c r="C656" t="s">
        <v>5278</v>
      </c>
      <c r="D656" t="s">
        <v>5279</v>
      </c>
    </row>
    <row r="657" spans="1:4" x14ac:dyDescent="0.2">
      <c r="A657" t="s">
        <v>5573</v>
      </c>
      <c r="B657" t="s">
        <v>5281</v>
      </c>
      <c r="C657" t="s">
        <v>129</v>
      </c>
      <c r="D657" t="s">
        <v>5302</v>
      </c>
    </row>
    <row r="658" spans="1:4" x14ac:dyDescent="0.2">
      <c r="A658" t="s">
        <v>5574</v>
      </c>
      <c r="B658" t="s">
        <v>5292</v>
      </c>
      <c r="C658" t="s">
        <v>129</v>
      </c>
      <c r="D658" t="s">
        <v>5305</v>
      </c>
    </row>
    <row r="659" spans="1:4" x14ac:dyDescent="0.2">
      <c r="A659" t="s">
        <v>5575</v>
      </c>
      <c r="B659" t="s">
        <v>5295</v>
      </c>
      <c r="C659" t="s">
        <v>129</v>
      </c>
      <c r="D659" t="s">
        <v>5312</v>
      </c>
    </row>
    <row r="660" spans="1:4" x14ac:dyDescent="0.2">
      <c r="A660" t="s">
        <v>5576</v>
      </c>
      <c r="B660" t="s">
        <v>5577</v>
      </c>
      <c r="C660" t="s">
        <v>129</v>
      </c>
      <c r="D660" t="s">
        <v>5316</v>
      </c>
    </row>
    <row r="661" spans="1:4" x14ac:dyDescent="0.2">
      <c r="A661" t="s">
        <v>5578</v>
      </c>
      <c r="B661" t="s">
        <v>5579</v>
      </c>
      <c r="C661" t="s">
        <v>5311</v>
      </c>
      <c r="D661" t="s">
        <v>5320</v>
      </c>
    </row>
    <row r="662" spans="1:4" x14ac:dyDescent="0.2">
      <c r="A662" t="s">
        <v>2446</v>
      </c>
    </row>
    <row r="663" spans="1:4" x14ac:dyDescent="0.2">
      <c r="A663" t="s">
        <v>5276</v>
      </c>
      <c r="B663" t="s">
        <v>5277</v>
      </c>
      <c r="C663" t="s">
        <v>5278</v>
      </c>
      <c r="D663" t="s">
        <v>5279</v>
      </c>
    </row>
    <row r="664" spans="1:4" x14ac:dyDescent="0.2">
      <c r="A664" t="s">
        <v>5573</v>
      </c>
      <c r="B664" t="s">
        <v>5281</v>
      </c>
      <c r="C664" t="s">
        <v>129</v>
      </c>
      <c r="D664" t="s">
        <v>5302</v>
      </c>
    </row>
    <row r="665" spans="1:4" x14ac:dyDescent="0.2">
      <c r="A665" t="s">
        <v>5574</v>
      </c>
      <c r="B665" t="s">
        <v>5292</v>
      </c>
      <c r="C665" t="s">
        <v>129</v>
      </c>
      <c r="D665" t="s">
        <v>5305</v>
      </c>
    </row>
    <row r="666" spans="1:4" x14ac:dyDescent="0.2">
      <c r="A666" t="s">
        <v>5575</v>
      </c>
      <c r="B666" t="s">
        <v>5295</v>
      </c>
      <c r="C666" t="s">
        <v>129</v>
      </c>
      <c r="D666" t="s">
        <v>5312</v>
      </c>
    </row>
    <row r="667" spans="1:4" x14ac:dyDescent="0.2">
      <c r="A667" t="s">
        <v>5576</v>
      </c>
      <c r="B667" t="s">
        <v>5577</v>
      </c>
      <c r="C667" t="s">
        <v>129</v>
      </c>
      <c r="D667" t="s">
        <v>5316</v>
      </c>
    </row>
    <row r="668" spans="1:4" x14ac:dyDescent="0.2">
      <c r="A668" t="s">
        <v>5578</v>
      </c>
      <c r="B668" t="s">
        <v>5579</v>
      </c>
      <c r="C668" t="s">
        <v>5311</v>
      </c>
      <c r="D668" t="s">
        <v>5320</v>
      </c>
    </row>
    <row r="669" spans="1:4" x14ac:dyDescent="0.2">
      <c r="A669" t="s">
        <v>2447</v>
      </c>
    </row>
    <row r="670" spans="1:4" x14ac:dyDescent="0.2">
      <c r="A670" t="s">
        <v>5276</v>
      </c>
      <c r="B670" t="s">
        <v>5277</v>
      </c>
      <c r="C670" t="s">
        <v>5278</v>
      </c>
      <c r="D670" t="s">
        <v>5279</v>
      </c>
    </row>
    <row r="671" spans="1:4" x14ac:dyDescent="0.2">
      <c r="A671" t="s">
        <v>5573</v>
      </c>
      <c r="B671" t="s">
        <v>5281</v>
      </c>
      <c r="C671" t="s">
        <v>129</v>
      </c>
      <c r="D671" t="s">
        <v>5302</v>
      </c>
    </row>
    <row r="672" spans="1:4" x14ac:dyDescent="0.2">
      <c r="A672" t="s">
        <v>5574</v>
      </c>
      <c r="B672" t="s">
        <v>5292</v>
      </c>
      <c r="C672" t="s">
        <v>129</v>
      </c>
      <c r="D672" t="s">
        <v>5305</v>
      </c>
    </row>
    <row r="673" spans="1:4" x14ac:dyDescent="0.2">
      <c r="A673" t="s">
        <v>5575</v>
      </c>
      <c r="B673" t="s">
        <v>5295</v>
      </c>
      <c r="C673" t="s">
        <v>129</v>
      </c>
      <c r="D673" t="s">
        <v>5312</v>
      </c>
    </row>
    <row r="674" spans="1:4" x14ac:dyDescent="0.2">
      <c r="A674" t="s">
        <v>5576</v>
      </c>
      <c r="B674" t="s">
        <v>5577</v>
      </c>
      <c r="C674" t="s">
        <v>129</v>
      </c>
      <c r="D674" t="s">
        <v>5316</v>
      </c>
    </row>
    <row r="675" spans="1:4" x14ac:dyDescent="0.2">
      <c r="A675" t="s">
        <v>5578</v>
      </c>
      <c r="B675" t="s">
        <v>5579</v>
      </c>
      <c r="C675" t="s">
        <v>5311</v>
      </c>
      <c r="D675" t="s">
        <v>5320</v>
      </c>
    </row>
    <row r="676" spans="1:4" x14ac:dyDescent="0.2">
      <c r="A676" t="s">
        <v>2448</v>
      </c>
    </row>
    <row r="677" spans="1:4" x14ac:dyDescent="0.2">
      <c r="A677" t="s">
        <v>5276</v>
      </c>
      <c r="B677" t="s">
        <v>5277</v>
      </c>
      <c r="C677" t="s">
        <v>5278</v>
      </c>
      <c r="D677" t="s">
        <v>5279</v>
      </c>
    </row>
    <row r="678" spans="1:4" x14ac:dyDescent="0.2">
      <c r="A678" t="s">
        <v>5580</v>
      </c>
      <c r="B678" t="s">
        <v>5581</v>
      </c>
      <c r="C678" t="s">
        <v>129</v>
      </c>
      <c r="D678" t="s">
        <v>5385</v>
      </c>
    </row>
    <row r="679" spans="1:4" x14ac:dyDescent="0.2">
      <c r="A679" t="s">
        <v>5582</v>
      </c>
      <c r="B679" t="s">
        <v>5348</v>
      </c>
      <c r="C679" t="s">
        <v>129</v>
      </c>
      <c r="D679" t="s">
        <v>5388</v>
      </c>
    </row>
    <row r="680" spans="1:4" x14ac:dyDescent="0.2">
      <c r="A680" t="s">
        <v>2449</v>
      </c>
    </row>
    <row r="681" spans="1:4" x14ac:dyDescent="0.2">
      <c r="A681" t="s">
        <v>5276</v>
      </c>
      <c r="B681" t="s">
        <v>5277</v>
      </c>
      <c r="C681" t="s">
        <v>5278</v>
      </c>
      <c r="D681" t="s">
        <v>5279</v>
      </c>
    </row>
    <row r="682" spans="1:4" x14ac:dyDescent="0.2">
      <c r="A682" t="s">
        <v>5580</v>
      </c>
      <c r="B682" t="s">
        <v>5581</v>
      </c>
      <c r="C682" t="s">
        <v>129</v>
      </c>
      <c r="D682" t="s">
        <v>5385</v>
      </c>
    </row>
    <row r="683" spans="1:4" x14ac:dyDescent="0.2">
      <c r="A683" t="s">
        <v>5582</v>
      </c>
      <c r="B683" t="s">
        <v>5348</v>
      </c>
      <c r="C683" t="s">
        <v>129</v>
      </c>
      <c r="D683" t="s">
        <v>5388</v>
      </c>
    </row>
    <row r="684" spans="1:4" x14ac:dyDescent="0.2">
      <c r="A684" t="s">
        <v>2450</v>
      </c>
    </row>
    <row r="685" spans="1:4" x14ac:dyDescent="0.2">
      <c r="A685" t="s">
        <v>5276</v>
      </c>
      <c r="B685" t="s">
        <v>5277</v>
      </c>
      <c r="C685" t="s">
        <v>5278</v>
      </c>
      <c r="D685" t="s">
        <v>5279</v>
      </c>
    </row>
    <row r="686" spans="1:4" x14ac:dyDescent="0.2">
      <c r="A686" t="s">
        <v>5580</v>
      </c>
      <c r="B686" t="s">
        <v>5581</v>
      </c>
      <c r="C686" t="s">
        <v>129</v>
      </c>
      <c r="D686" t="s">
        <v>5385</v>
      </c>
    </row>
    <row r="687" spans="1:4" x14ac:dyDescent="0.2">
      <c r="A687" t="s">
        <v>5582</v>
      </c>
      <c r="B687" t="s">
        <v>5348</v>
      </c>
      <c r="C687" t="s">
        <v>129</v>
      </c>
      <c r="D687" t="s">
        <v>5388</v>
      </c>
    </row>
    <row r="688" spans="1:4" x14ac:dyDescent="0.2">
      <c r="A688" t="s">
        <v>2452</v>
      </c>
    </row>
    <row r="689" spans="1:4" x14ac:dyDescent="0.2">
      <c r="A689" t="s">
        <v>5276</v>
      </c>
      <c r="B689" t="s">
        <v>5277</v>
      </c>
      <c r="C689" t="s">
        <v>5278</v>
      </c>
      <c r="D689" t="s">
        <v>5279</v>
      </c>
    </row>
    <row r="690" spans="1:4" x14ac:dyDescent="0.2">
      <c r="A690" t="s">
        <v>5389</v>
      </c>
      <c r="B690" t="s">
        <v>5390</v>
      </c>
      <c r="C690" t="s">
        <v>129</v>
      </c>
      <c r="D690" t="s">
        <v>5391</v>
      </c>
    </row>
    <row r="691" spans="1:4" x14ac:dyDescent="0.2">
      <c r="A691" t="s">
        <v>2454</v>
      </c>
    </row>
    <row r="692" spans="1:4" x14ac:dyDescent="0.2">
      <c r="A692" t="s">
        <v>5276</v>
      </c>
      <c r="B692" t="s">
        <v>5277</v>
      </c>
      <c r="C692" t="s">
        <v>5278</v>
      </c>
      <c r="D692" t="s">
        <v>5279</v>
      </c>
    </row>
    <row r="693" spans="1:4" x14ac:dyDescent="0.2">
      <c r="A693" t="s">
        <v>5389</v>
      </c>
      <c r="B693" t="s">
        <v>5390</v>
      </c>
      <c r="C693" t="s">
        <v>129</v>
      </c>
      <c r="D693" t="s">
        <v>5391</v>
      </c>
    </row>
    <row r="694" spans="1:4" x14ac:dyDescent="0.2">
      <c r="A694" t="s">
        <v>2455</v>
      </c>
    </row>
    <row r="695" spans="1:4" x14ac:dyDescent="0.2">
      <c r="A695" t="s">
        <v>5276</v>
      </c>
      <c r="B695" t="s">
        <v>5277</v>
      </c>
      <c r="C695" t="s">
        <v>5278</v>
      </c>
      <c r="D695" t="s">
        <v>5279</v>
      </c>
    </row>
    <row r="696" spans="1:4" x14ac:dyDescent="0.2">
      <c r="A696" t="s">
        <v>5389</v>
      </c>
      <c r="B696" t="s">
        <v>5390</v>
      </c>
      <c r="C696" t="s">
        <v>129</v>
      </c>
      <c r="D696" t="s">
        <v>5391</v>
      </c>
    </row>
    <row r="697" spans="1:4" x14ac:dyDescent="0.2">
      <c r="A697" t="s">
        <v>2459</v>
      </c>
    </row>
    <row r="698" spans="1:4" x14ac:dyDescent="0.2">
      <c r="A698" t="s">
        <v>5276</v>
      </c>
      <c r="B698" t="s">
        <v>5277</v>
      </c>
      <c r="C698" t="s">
        <v>5278</v>
      </c>
      <c r="D698" t="s">
        <v>5279</v>
      </c>
    </row>
    <row r="699" spans="1:4" x14ac:dyDescent="0.2">
      <c r="A699" t="s">
        <v>5583</v>
      </c>
      <c r="B699" t="s">
        <v>5390</v>
      </c>
      <c r="C699" t="s">
        <v>129</v>
      </c>
      <c r="D699" t="s">
        <v>5405</v>
      </c>
    </row>
    <row r="700" spans="1:4" x14ac:dyDescent="0.2">
      <c r="A700" t="s">
        <v>5584</v>
      </c>
      <c r="B700" t="s">
        <v>5585</v>
      </c>
      <c r="C700" t="s">
        <v>129</v>
      </c>
      <c r="D700" t="s">
        <v>5408</v>
      </c>
    </row>
    <row r="701" spans="1:4" x14ac:dyDescent="0.2">
      <c r="A701" t="s">
        <v>5586</v>
      </c>
      <c r="B701" t="s">
        <v>5333</v>
      </c>
    </row>
    <row r="702" spans="1:4" x14ac:dyDescent="0.2">
      <c r="A702" t="s">
        <v>2460</v>
      </c>
    </row>
    <row r="703" spans="1:4" x14ac:dyDescent="0.2">
      <c r="A703" t="s">
        <v>5276</v>
      </c>
      <c r="B703" t="s">
        <v>5277</v>
      </c>
      <c r="C703" t="s">
        <v>5278</v>
      </c>
      <c r="D703" t="s">
        <v>5279</v>
      </c>
    </row>
    <row r="704" spans="1:4" x14ac:dyDescent="0.2">
      <c r="A704" t="s">
        <v>5583</v>
      </c>
      <c r="B704" t="s">
        <v>5390</v>
      </c>
      <c r="C704" t="s">
        <v>129</v>
      </c>
      <c r="D704" t="s">
        <v>5405</v>
      </c>
    </row>
    <row r="705" spans="1:4" x14ac:dyDescent="0.2">
      <c r="A705" t="s">
        <v>5584</v>
      </c>
      <c r="B705" t="s">
        <v>5585</v>
      </c>
      <c r="C705" t="s">
        <v>129</v>
      </c>
      <c r="D705" t="s">
        <v>5408</v>
      </c>
    </row>
    <row r="706" spans="1:4" x14ac:dyDescent="0.2">
      <c r="A706" t="s">
        <v>5586</v>
      </c>
      <c r="B706" t="s">
        <v>5333</v>
      </c>
    </row>
    <row r="707" spans="1:4" x14ac:dyDescent="0.2">
      <c r="A707" t="s">
        <v>2463</v>
      </c>
    </row>
    <row r="708" spans="1:4" x14ac:dyDescent="0.2">
      <c r="A708" t="s">
        <v>5276</v>
      </c>
      <c r="B708" t="s">
        <v>5277</v>
      </c>
      <c r="C708" t="s">
        <v>5278</v>
      </c>
      <c r="D708" t="s">
        <v>5279</v>
      </c>
    </row>
    <row r="709" spans="1:4" x14ac:dyDescent="0.2">
      <c r="A709" t="s">
        <v>5583</v>
      </c>
      <c r="B709" t="s">
        <v>5390</v>
      </c>
      <c r="C709" t="s">
        <v>129</v>
      </c>
      <c r="D709" t="s">
        <v>5405</v>
      </c>
    </row>
    <row r="710" spans="1:4" x14ac:dyDescent="0.2">
      <c r="A710" t="s">
        <v>5584</v>
      </c>
      <c r="B710" t="s">
        <v>5585</v>
      </c>
      <c r="C710" t="s">
        <v>129</v>
      </c>
      <c r="D710" t="s">
        <v>5408</v>
      </c>
    </row>
    <row r="711" spans="1:4" x14ac:dyDescent="0.2">
      <c r="A711" t="s">
        <v>5586</v>
      </c>
      <c r="B711" t="s">
        <v>5333</v>
      </c>
    </row>
    <row r="712" spans="1:4" x14ac:dyDescent="0.2">
      <c r="A712" t="s">
        <v>2467</v>
      </c>
    </row>
    <row r="713" spans="1:4" x14ac:dyDescent="0.2">
      <c r="A713" t="s">
        <v>5276</v>
      </c>
      <c r="B713" t="s">
        <v>5277</v>
      </c>
      <c r="C713" t="s">
        <v>5278</v>
      </c>
      <c r="D713" t="s">
        <v>5279</v>
      </c>
    </row>
    <row r="714" spans="1:4" x14ac:dyDescent="0.2">
      <c r="A714" t="s">
        <v>5583</v>
      </c>
      <c r="B714" t="s">
        <v>5390</v>
      </c>
      <c r="C714" t="s">
        <v>129</v>
      </c>
      <c r="D714" t="s">
        <v>5408</v>
      </c>
    </row>
    <row r="715" spans="1:4" x14ac:dyDescent="0.2">
      <c r="A715" t="s">
        <v>2470</v>
      </c>
    </row>
    <row r="716" spans="1:4" x14ac:dyDescent="0.2">
      <c r="A716" t="s">
        <v>5276</v>
      </c>
      <c r="B716" t="s">
        <v>5277</v>
      </c>
      <c r="C716" t="s">
        <v>5278</v>
      </c>
      <c r="D716" t="s">
        <v>5279</v>
      </c>
    </row>
    <row r="717" spans="1:4" x14ac:dyDescent="0.2">
      <c r="A717" t="s">
        <v>5587</v>
      </c>
      <c r="B717" t="s">
        <v>5390</v>
      </c>
      <c r="C717" t="s">
        <v>129</v>
      </c>
      <c r="D717" t="s">
        <v>5413</v>
      </c>
    </row>
    <row r="718" spans="1:4" x14ac:dyDescent="0.2">
      <c r="A718" t="s">
        <v>5588</v>
      </c>
      <c r="B718" t="s">
        <v>5333</v>
      </c>
    </row>
    <row r="719" spans="1:4" x14ac:dyDescent="0.2">
      <c r="A719" t="s">
        <v>2472</v>
      </c>
    </row>
    <row r="720" spans="1:4" x14ac:dyDescent="0.2">
      <c r="A720" t="s">
        <v>5276</v>
      </c>
      <c r="B720" t="s">
        <v>5277</v>
      </c>
      <c r="C720" t="s">
        <v>5278</v>
      </c>
      <c r="D720" t="s">
        <v>5279</v>
      </c>
    </row>
    <row r="721" spans="1:4" x14ac:dyDescent="0.2">
      <c r="A721" t="s">
        <v>5587</v>
      </c>
      <c r="B721" t="s">
        <v>5390</v>
      </c>
      <c r="C721" t="s">
        <v>129</v>
      </c>
      <c r="D721" t="s">
        <v>5413</v>
      </c>
    </row>
    <row r="722" spans="1:4" x14ac:dyDescent="0.2">
      <c r="A722" t="s">
        <v>5588</v>
      </c>
      <c r="B722" t="s">
        <v>5333</v>
      </c>
    </row>
    <row r="723" spans="1:4" x14ac:dyDescent="0.2">
      <c r="A723" t="s">
        <v>2474</v>
      </c>
    </row>
    <row r="724" spans="1:4" x14ac:dyDescent="0.2">
      <c r="A724" t="s">
        <v>5276</v>
      </c>
      <c r="B724" t="s">
        <v>5277</v>
      </c>
      <c r="C724" t="s">
        <v>5278</v>
      </c>
      <c r="D724" t="s">
        <v>5279</v>
      </c>
    </row>
    <row r="725" spans="1:4" x14ac:dyDescent="0.2">
      <c r="A725" t="s">
        <v>5587</v>
      </c>
      <c r="B725" t="s">
        <v>5390</v>
      </c>
      <c r="C725" t="s">
        <v>129</v>
      </c>
      <c r="D725" t="s">
        <v>5413</v>
      </c>
    </row>
    <row r="726" spans="1:4" x14ac:dyDescent="0.2">
      <c r="A726" t="s">
        <v>5588</v>
      </c>
      <c r="B726" t="s">
        <v>5333</v>
      </c>
    </row>
    <row r="727" spans="1:4" x14ac:dyDescent="0.2">
      <c r="A727" t="s">
        <v>2477</v>
      </c>
    </row>
    <row r="728" spans="1:4" x14ac:dyDescent="0.2">
      <c r="A728" t="s">
        <v>5276</v>
      </c>
      <c r="B728" t="s">
        <v>5277</v>
      </c>
      <c r="C728" t="s">
        <v>5278</v>
      </c>
      <c r="D728" t="s">
        <v>5279</v>
      </c>
    </row>
    <row r="729" spans="1:4" x14ac:dyDescent="0.2">
      <c r="A729" t="s">
        <v>5589</v>
      </c>
      <c r="B729" t="s">
        <v>5590</v>
      </c>
      <c r="C729" t="s">
        <v>129</v>
      </c>
      <c r="D729" t="s">
        <v>5328</v>
      </c>
    </row>
    <row r="730" spans="1:4" x14ac:dyDescent="0.2">
      <c r="A730" t="s">
        <v>2479</v>
      </c>
    </row>
    <row r="731" spans="1:4" x14ac:dyDescent="0.2">
      <c r="A731" t="s">
        <v>5276</v>
      </c>
      <c r="B731" t="s">
        <v>5277</v>
      </c>
      <c r="C731" t="s">
        <v>5278</v>
      </c>
      <c r="D731" t="s">
        <v>5279</v>
      </c>
    </row>
    <row r="732" spans="1:4" x14ac:dyDescent="0.2">
      <c r="A732" t="s">
        <v>5321</v>
      </c>
      <c r="B732" t="s">
        <v>5281</v>
      </c>
      <c r="C732" t="s">
        <v>129</v>
      </c>
      <c r="D732" t="s">
        <v>5322</v>
      </c>
    </row>
    <row r="733" spans="1:4" x14ac:dyDescent="0.2">
      <c r="A733" t="s">
        <v>5591</v>
      </c>
      <c r="B733" t="s">
        <v>5333</v>
      </c>
    </row>
    <row r="734" spans="1:4" x14ac:dyDescent="0.2">
      <c r="A734" t="s">
        <v>2481</v>
      </c>
    </row>
    <row r="735" spans="1:4" x14ac:dyDescent="0.2">
      <c r="A735" t="s">
        <v>5276</v>
      </c>
      <c r="B735" t="s">
        <v>5277</v>
      </c>
      <c r="C735" t="s">
        <v>5278</v>
      </c>
      <c r="D735" t="s">
        <v>5279</v>
      </c>
    </row>
    <row r="736" spans="1:4" x14ac:dyDescent="0.2">
      <c r="A736" t="s">
        <v>5592</v>
      </c>
      <c r="B736" t="s">
        <v>5581</v>
      </c>
      <c r="C736" t="s">
        <v>129</v>
      </c>
      <c r="D736" t="s">
        <v>5593</v>
      </c>
    </row>
    <row r="737" spans="1:4" x14ac:dyDescent="0.2">
      <c r="A737" t="s">
        <v>2487</v>
      </c>
    </row>
    <row r="738" spans="1:4" x14ac:dyDescent="0.2">
      <c r="A738" t="s">
        <v>5276</v>
      </c>
      <c r="B738" t="s">
        <v>5277</v>
      </c>
      <c r="C738" t="s">
        <v>5278</v>
      </c>
      <c r="D738" t="s">
        <v>5279</v>
      </c>
    </row>
    <row r="739" spans="1:4" x14ac:dyDescent="0.2">
      <c r="A739" t="s">
        <v>5594</v>
      </c>
      <c r="B739" t="s">
        <v>5590</v>
      </c>
      <c r="C739" t="s">
        <v>129</v>
      </c>
      <c r="D739" t="s">
        <v>5595</v>
      </c>
    </row>
    <row r="740" spans="1:4" x14ac:dyDescent="0.2">
      <c r="A740" t="s">
        <v>2492</v>
      </c>
    </row>
    <row r="741" spans="1:4" x14ac:dyDescent="0.2">
      <c r="A741" t="s">
        <v>5276</v>
      </c>
      <c r="B741" t="s">
        <v>5277</v>
      </c>
      <c r="C741" t="s">
        <v>5278</v>
      </c>
      <c r="D741" t="s">
        <v>5279</v>
      </c>
    </row>
    <row r="742" spans="1:4" x14ac:dyDescent="0.2">
      <c r="A742" t="s">
        <v>5289</v>
      </c>
      <c r="B742" t="s">
        <v>5281</v>
      </c>
      <c r="C742" t="s">
        <v>129</v>
      </c>
      <c r="D742" t="s">
        <v>5290</v>
      </c>
    </row>
    <row r="743" spans="1:4" x14ac:dyDescent="0.2">
      <c r="A743" t="s">
        <v>5291</v>
      </c>
      <c r="B743" t="s">
        <v>5292</v>
      </c>
      <c r="C743" t="s">
        <v>129</v>
      </c>
      <c r="D743" t="s">
        <v>5293</v>
      </c>
    </row>
    <row r="744" spans="1:4" x14ac:dyDescent="0.2">
      <c r="A744" t="s">
        <v>5294</v>
      </c>
      <c r="B744" t="s">
        <v>5404</v>
      </c>
    </row>
    <row r="745" spans="1:4" x14ac:dyDescent="0.2">
      <c r="A745" t="s">
        <v>2494</v>
      </c>
    </row>
    <row r="746" spans="1:4" x14ac:dyDescent="0.2">
      <c r="A746" t="s">
        <v>5276</v>
      </c>
      <c r="B746" t="s">
        <v>5277</v>
      </c>
      <c r="C746" t="s">
        <v>5278</v>
      </c>
      <c r="D746" t="s">
        <v>5279</v>
      </c>
    </row>
    <row r="747" spans="1:4" x14ac:dyDescent="0.2">
      <c r="A747" t="s">
        <v>5289</v>
      </c>
      <c r="B747" t="s">
        <v>5281</v>
      </c>
      <c r="C747" t="s">
        <v>129</v>
      </c>
      <c r="D747" t="s">
        <v>5290</v>
      </c>
    </row>
    <row r="748" spans="1:4" x14ac:dyDescent="0.2">
      <c r="A748" t="s">
        <v>5291</v>
      </c>
      <c r="B748" t="s">
        <v>5292</v>
      </c>
      <c r="C748" t="s">
        <v>129</v>
      </c>
      <c r="D748" t="s">
        <v>5293</v>
      </c>
    </row>
    <row r="749" spans="1:4" x14ac:dyDescent="0.2">
      <c r="A749" t="s">
        <v>5294</v>
      </c>
      <c r="B749" t="s">
        <v>5404</v>
      </c>
    </row>
    <row r="750" spans="1:4" x14ac:dyDescent="0.2">
      <c r="A750" t="s">
        <v>2499</v>
      </c>
    </row>
    <row r="751" spans="1:4" x14ac:dyDescent="0.2">
      <c r="A751" t="s">
        <v>5276</v>
      </c>
      <c r="B751" t="s">
        <v>5277</v>
      </c>
      <c r="C751" t="s">
        <v>5278</v>
      </c>
      <c r="D751" t="s">
        <v>5279</v>
      </c>
    </row>
    <row r="752" spans="1:4" x14ac:dyDescent="0.2">
      <c r="A752" t="s">
        <v>5289</v>
      </c>
      <c r="B752" t="s">
        <v>5281</v>
      </c>
      <c r="C752" t="s">
        <v>129</v>
      </c>
      <c r="D752" t="s">
        <v>5290</v>
      </c>
    </row>
    <row r="753" spans="1:4" x14ac:dyDescent="0.2">
      <c r="A753" t="s">
        <v>5291</v>
      </c>
      <c r="B753" t="s">
        <v>5292</v>
      </c>
      <c r="C753" t="s">
        <v>129</v>
      </c>
      <c r="D753" t="s">
        <v>5293</v>
      </c>
    </row>
    <row r="754" spans="1:4" x14ac:dyDescent="0.2">
      <c r="A754" t="s">
        <v>2502</v>
      </c>
    </row>
    <row r="755" spans="1:4" x14ac:dyDescent="0.2">
      <c r="A755" t="s">
        <v>5276</v>
      </c>
      <c r="B755" t="s">
        <v>5277</v>
      </c>
      <c r="C755" t="s">
        <v>5278</v>
      </c>
      <c r="D755" t="s">
        <v>5279</v>
      </c>
    </row>
    <row r="756" spans="1:4" x14ac:dyDescent="0.2">
      <c r="A756" t="s">
        <v>5289</v>
      </c>
      <c r="B756" t="s">
        <v>5281</v>
      </c>
      <c r="C756" t="s">
        <v>129</v>
      </c>
      <c r="D756" t="s">
        <v>5290</v>
      </c>
    </row>
    <row r="757" spans="1:4" x14ac:dyDescent="0.2">
      <c r="A757" t="s">
        <v>5291</v>
      </c>
      <c r="B757" t="s">
        <v>5292</v>
      </c>
      <c r="C757" t="s">
        <v>129</v>
      </c>
      <c r="D757" t="s">
        <v>5293</v>
      </c>
    </row>
    <row r="758" spans="1:4" x14ac:dyDescent="0.2">
      <c r="A758" t="s">
        <v>5297</v>
      </c>
      <c r="B758" t="s">
        <v>5404</v>
      </c>
    </row>
    <row r="759" spans="1:4" x14ac:dyDescent="0.2">
      <c r="A759" t="s">
        <v>2504</v>
      </c>
    </row>
    <row r="760" spans="1:4" x14ac:dyDescent="0.2">
      <c r="A760" t="s">
        <v>5276</v>
      </c>
      <c r="B760" t="s">
        <v>5277</v>
      </c>
      <c r="C760" t="s">
        <v>5278</v>
      </c>
      <c r="D760" t="s">
        <v>5279</v>
      </c>
    </row>
    <row r="761" spans="1:4" x14ac:dyDescent="0.2">
      <c r="A761" t="s">
        <v>5289</v>
      </c>
      <c r="B761" t="s">
        <v>5281</v>
      </c>
      <c r="C761" t="s">
        <v>129</v>
      </c>
      <c r="D761" t="s">
        <v>5290</v>
      </c>
    </row>
    <row r="762" spans="1:4" x14ac:dyDescent="0.2">
      <c r="A762" t="s">
        <v>5291</v>
      </c>
      <c r="B762" t="s">
        <v>5292</v>
      </c>
      <c r="C762" t="s">
        <v>129</v>
      </c>
      <c r="D762" t="s">
        <v>5293</v>
      </c>
    </row>
    <row r="763" spans="1:4" x14ac:dyDescent="0.2">
      <c r="A763" t="s">
        <v>5297</v>
      </c>
      <c r="B763" t="s">
        <v>5404</v>
      </c>
    </row>
    <row r="764" spans="1:4" x14ac:dyDescent="0.2">
      <c r="A764" t="s">
        <v>2519</v>
      </c>
    </row>
    <row r="765" spans="1:4" x14ac:dyDescent="0.2">
      <c r="A765" t="s">
        <v>5276</v>
      </c>
      <c r="B765" t="s">
        <v>5277</v>
      </c>
      <c r="C765" t="s">
        <v>5278</v>
      </c>
      <c r="D765" t="s">
        <v>5279</v>
      </c>
    </row>
    <row r="766" spans="1:4" x14ac:dyDescent="0.2">
      <c r="A766" t="s">
        <v>5596</v>
      </c>
      <c r="B766" t="s">
        <v>5390</v>
      </c>
      <c r="C766" t="s">
        <v>129</v>
      </c>
      <c r="D766" t="s">
        <v>5320</v>
      </c>
    </row>
    <row r="767" spans="1:4" x14ac:dyDescent="0.2">
      <c r="A767" t="s">
        <v>2526</v>
      </c>
    </row>
    <row r="768" spans="1:4" x14ac:dyDescent="0.2">
      <c r="A768" t="s">
        <v>5276</v>
      </c>
      <c r="B768" t="s">
        <v>5277</v>
      </c>
      <c r="C768" t="s">
        <v>5278</v>
      </c>
      <c r="D768" t="s">
        <v>5279</v>
      </c>
    </row>
    <row r="769" spans="1:4" x14ac:dyDescent="0.2">
      <c r="A769" t="s">
        <v>5580</v>
      </c>
      <c r="B769" t="s">
        <v>5581</v>
      </c>
      <c r="C769" t="s">
        <v>129</v>
      </c>
      <c r="D769" t="s">
        <v>5388</v>
      </c>
    </row>
    <row r="770" spans="1:4" x14ac:dyDescent="0.2">
      <c r="A770" t="s">
        <v>2527</v>
      </c>
    </row>
    <row r="771" spans="1:4" x14ac:dyDescent="0.2">
      <c r="A771" t="s">
        <v>5276</v>
      </c>
      <c r="B771" t="s">
        <v>5277</v>
      </c>
      <c r="C771" t="s">
        <v>5278</v>
      </c>
      <c r="D771" t="s">
        <v>5279</v>
      </c>
    </row>
    <row r="772" spans="1:4" x14ac:dyDescent="0.2">
      <c r="A772" t="s">
        <v>5580</v>
      </c>
      <c r="B772" t="s">
        <v>5581</v>
      </c>
      <c r="C772" t="s">
        <v>129</v>
      </c>
      <c r="D772" t="s">
        <v>5388</v>
      </c>
    </row>
    <row r="773" spans="1:4" x14ac:dyDescent="0.2">
      <c r="A773" t="s">
        <v>2529</v>
      </c>
    </row>
    <row r="774" spans="1:4" x14ac:dyDescent="0.2">
      <c r="A774" t="s">
        <v>5276</v>
      </c>
      <c r="B774" t="s">
        <v>5277</v>
      </c>
      <c r="C774" t="s">
        <v>5278</v>
      </c>
      <c r="D774" t="s">
        <v>5279</v>
      </c>
    </row>
    <row r="775" spans="1:4" x14ac:dyDescent="0.2">
      <c r="A775" t="s">
        <v>5597</v>
      </c>
      <c r="B775" t="s">
        <v>5390</v>
      </c>
      <c r="C775" t="s">
        <v>129</v>
      </c>
      <c r="D775" t="s">
        <v>5499</v>
      </c>
    </row>
    <row r="776" spans="1:4" x14ac:dyDescent="0.2">
      <c r="A776" t="s">
        <v>2532</v>
      </c>
    </row>
    <row r="777" spans="1:4" x14ac:dyDescent="0.2">
      <c r="A777" t="s">
        <v>5276</v>
      </c>
      <c r="B777" t="s">
        <v>5277</v>
      </c>
      <c r="C777" t="s">
        <v>5278</v>
      </c>
      <c r="D777" t="s">
        <v>5279</v>
      </c>
    </row>
    <row r="778" spans="1:4" x14ac:dyDescent="0.2">
      <c r="A778" t="s">
        <v>5597</v>
      </c>
      <c r="B778" t="s">
        <v>5390</v>
      </c>
      <c r="C778" t="s">
        <v>129</v>
      </c>
      <c r="D778" t="s">
        <v>5499</v>
      </c>
    </row>
    <row r="779" spans="1:4" x14ac:dyDescent="0.2">
      <c r="A779" t="s">
        <v>2546</v>
      </c>
    </row>
    <row r="780" spans="1:4" x14ac:dyDescent="0.2">
      <c r="A780" t="s">
        <v>5276</v>
      </c>
      <c r="B780" t="s">
        <v>5277</v>
      </c>
      <c r="C780" t="s">
        <v>5278</v>
      </c>
      <c r="D780" t="s">
        <v>5279</v>
      </c>
    </row>
    <row r="781" spans="1:4" x14ac:dyDescent="0.2">
      <c r="A781" t="s">
        <v>5389</v>
      </c>
      <c r="B781" t="s">
        <v>5390</v>
      </c>
      <c r="C781" t="s">
        <v>129</v>
      </c>
      <c r="D781" t="s">
        <v>5391</v>
      </c>
    </row>
    <row r="782" spans="1:4" x14ac:dyDescent="0.2">
      <c r="A782" t="s">
        <v>2548</v>
      </c>
    </row>
    <row r="783" spans="1:4" x14ac:dyDescent="0.2">
      <c r="A783" t="s">
        <v>5276</v>
      </c>
      <c r="B783" t="s">
        <v>5277</v>
      </c>
      <c r="C783" t="s">
        <v>5278</v>
      </c>
      <c r="D783" t="s">
        <v>5279</v>
      </c>
    </row>
    <row r="784" spans="1:4" x14ac:dyDescent="0.2">
      <c r="A784" t="s">
        <v>5389</v>
      </c>
      <c r="B784" t="s">
        <v>5390</v>
      </c>
      <c r="C784" t="s">
        <v>129</v>
      </c>
      <c r="D784" t="s">
        <v>5391</v>
      </c>
    </row>
    <row r="785" spans="1:4" x14ac:dyDescent="0.2">
      <c r="A785" t="s">
        <v>2562</v>
      </c>
    </row>
    <row r="786" spans="1:4" x14ac:dyDescent="0.2">
      <c r="A786" t="s">
        <v>5276</v>
      </c>
      <c r="B786" t="s">
        <v>5277</v>
      </c>
      <c r="C786" t="s">
        <v>5278</v>
      </c>
      <c r="D786" t="s">
        <v>5279</v>
      </c>
    </row>
    <row r="787" spans="1:4" x14ac:dyDescent="0.2">
      <c r="A787" t="s">
        <v>5583</v>
      </c>
      <c r="B787" t="s">
        <v>5390</v>
      </c>
      <c r="C787" t="s">
        <v>129</v>
      </c>
      <c r="D787" t="s">
        <v>5405</v>
      </c>
    </row>
    <row r="788" spans="1:4" x14ac:dyDescent="0.2">
      <c r="A788" t="s">
        <v>5598</v>
      </c>
      <c r="B788" t="s">
        <v>5333</v>
      </c>
    </row>
    <row r="789" spans="1:4" x14ac:dyDescent="0.2">
      <c r="A789" t="s">
        <v>2564</v>
      </c>
    </row>
    <row r="790" spans="1:4" x14ac:dyDescent="0.2">
      <c r="A790" t="s">
        <v>5276</v>
      </c>
      <c r="B790" t="s">
        <v>5277</v>
      </c>
      <c r="C790" t="s">
        <v>5278</v>
      </c>
      <c r="D790" t="s">
        <v>5279</v>
      </c>
    </row>
    <row r="791" spans="1:4" x14ac:dyDescent="0.2">
      <c r="A791" t="s">
        <v>5583</v>
      </c>
      <c r="B791" t="s">
        <v>5390</v>
      </c>
      <c r="C791" t="s">
        <v>129</v>
      </c>
      <c r="D791" t="s">
        <v>5405</v>
      </c>
    </row>
    <row r="792" spans="1:4" x14ac:dyDescent="0.2">
      <c r="A792" t="s">
        <v>5598</v>
      </c>
      <c r="B792" t="s">
        <v>5333</v>
      </c>
    </row>
    <row r="793" spans="1:4" x14ac:dyDescent="0.2">
      <c r="A793" t="s">
        <v>2567</v>
      </c>
    </row>
    <row r="794" spans="1:4" x14ac:dyDescent="0.2">
      <c r="A794" t="s">
        <v>5276</v>
      </c>
      <c r="B794" t="s">
        <v>5277</v>
      </c>
      <c r="C794" t="s">
        <v>5278</v>
      </c>
      <c r="D794" t="s">
        <v>5279</v>
      </c>
    </row>
    <row r="795" spans="1:4" x14ac:dyDescent="0.2">
      <c r="A795" t="s">
        <v>5599</v>
      </c>
      <c r="B795" t="s">
        <v>5333</v>
      </c>
    </row>
    <row r="796" spans="1:4" x14ac:dyDescent="0.2">
      <c r="A796" t="s">
        <v>2573</v>
      </c>
    </row>
    <row r="797" spans="1:4" x14ac:dyDescent="0.2">
      <c r="A797" t="s">
        <v>5276</v>
      </c>
      <c r="B797" t="s">
        <v>5277</v>
      </c>
      <c r="C797" t="s">
        <v>5278</v>
      </c>
      <c r="D797" t="s">
        <v>5279</v>
      </c>
    </row>
    <row r="798" spans="1:4" x14ac:dyDescent="0.2">
      <c r="A798" t="s">
        <v>5600</v>
      </c>
      <c r="B798" t="s">
        <v>5601</v>
      </c>
    </row>
    <row r="799" spans="1:4" x14ac:dyDescent="0.2">
      <c r="A799" t="s">
        <v>2574</v>
      </c>
    </row>
    <row r="800" spans="1:4" x14ac:dyDescent="0.2">
      <c r="A800" t="s">
        <v>5276</v>
      </c>
      <c r="B800" t="s">
        <v>5277</v>
      </c>
      <c r="C800" t="s">
        <v>5278</v>
      </c>
      <c r="D800" t="s">
        <v>5279</v>
      </c>
    </row>
    <row r="801" spans="1:4" x14ac:dyDescent="0.2">
      <c r="A801" t="s">
        <v>5377</v>
      </c>
      <c r="B801" t="s">
        <v>5281</v>
      </c>
      <c r="C801" t="s">
        <v>129</v>
      </c>
      <c r="D801" t="s">
        <v>5378</v>
      </c>
    </row>
    <row r="802" spans="1:4" x14ac:dyDescent="0.2">
      <c r="A802" t="s">
        <v>5379</v>
      </c>
      <c r="B802" t="s">
        <v>5292</v>
      </c>
      <c r="C802" t="s">
        <v>129</v>
      </c>
      <c r="D802" t="s">
        <v>5380</v>
      </c>
    </row>
    <row r="803" spans="1:4" x14ac:dyDescent="0.2">
      <c r="A803" t="s">
        <v>5381</v>
      </c>
      <c r="B803" t="s">
        <v>5304</v>
      </c>
      <c r="C803" t="s">
        <v>129</v>
      </c>
      <c r="D803" t="s">
        <v>5382</v>
      </c>
    </row>
    <row r="804" spans="1:4" x14ac:dyDescent="0.2">
      <c r="A804" t="s">
        <v>5383</v>
      </c>
      <c r="B804" t="s">
        <v>5384</v>
      </c>
      <c r="C804" t="s">
        <v>129</v>
      </c>
      <c r="D804" t="s">
        <v>5385</v>
      </c>
    </row>
    <row r="805" spans="1:4" x14ac:dyDescent="0.2">
      <c r="A805" t="s">
        <v>5602</v>
      </c>
      <c r="B805" t="s">
        <v>5401</v>
      </c>
      <c r="C805" t="s">
        <v>5311</v>
      </c>
      <c r="D805" t="s">
        <v>5439</v>
      </c>
    </row>
    <row r="806" spans="1:4" x14ac:dyDescent="0.2">
      <c r="A806" t="s">
        <v>5603</v>
      </c>
      <c r="B806" t="s">
        <v>5506</v>
      </c>
      <c r="C806" t="s">
        <v>5315</v>
      </c>
      <c r="D806" t="s">
        <v>5441</v>
      </c>
    </row>
    <row r="807" spans="1:4" x14ac:dyDescent="0.2">
      <c r="A807" t="s">
        <v>5604</v>
      </c>
      <c r="B807" t="s">
        <v>5404</v>
      </c>
      <c r="C807" t="s">
        <v>5319</v>
      </c>
      <c r="D807" t="s">
        <v>5512</v>
      </c>
    </row>
    <row r="808" spans="1:4" x14ac:dyDescent="0.2">
      <c r="A808" t="s">
        <v>5605</v>
      </c>
      <c r="B808" t="s">
        <v>5460</v>
      </c>
      <c r="C808" t="s">
        <v>5450</v>
      </c>
      <c r="D808" t="s">
        <v>5515</v>
      </c>
    </row>
    <row r="809" spans="1:4" x14ac:dyDescent="0.2">
      <c r="A809" t="s">
        <v>5606</v>
      </c>
      <c r="B809" t="s">
        <v>5517</v>
      </c>
      <c r="C809" t="s">
        <v>5508</v>
      </c>
      <c r="D809" t="s">
        <v>5519</v>
      </c>
    </row>
    <row r="810" spans="1:4" x14ac:dyDescent="0.2">
      <c r="A810" t="s">
        <v>5607</v>
      </c>
      <c r="B810" t="s">
        <v>5521</v>
      </c>
      <c r="C810" t="s">
        <v>5511</v>
      </c>
      <c r="D810" t="s">
        <v>5523</v>
      </c>
    </row>
    <row r="811" spans="1:4" x14ac:dyDescent="0.2">
      <c r="A811" t="s">
        <v>5513</v>
      </c>
      <c r="B811" t="s">
        <v>5525</v>
      </c>
      <c r="C811" t="s">
        <v>5514</v>
      </c>
      <c r="D811" t="s">
        <v>5527</v>
      </c>
    </row>
    <row r="812" spans="1:4" x14ac:dyDescent="0.2">
      <c r="A812" t="s">
        <v>5608</v>
      </c>
      <c r="B812" t="s">
        <v>5529</v>
      </c>
      <c r="C812" t="s">
        <v>5518</v>
      </c>
      <c r="D812" t="s">
        <v>5531</v>
      </c>
    </row>
    <row r="813" spans="1:4" x14ac:dyDescent="0.2">
      <c r="A813" t="s">
        <v>5609</v>
      </c>
      <c r="B813" t="s">
        <v>5533</v>
      </c>
    </row>
    <row r="814" spans="1:4" x14ac:dyDescent="0.2">
      <c r="A814" t="s">
        <v>2575</v>
      </c>
    </row>
    <row r="815" spans="1:4" x14ac:dyDescent="0.2">
      <c r="A815" t="s">
        <v>5276</v>
      </c>
      <c r="B815" t="s">
        <v>5277</v>
      </c>
      <c r="C815" t="s">
        <v>5278</v>
      </c>
      <c r="D815" t="s">
        <v>5279</v>
      </c>
    </row>
    <row r="816" spans="1:4" x14ac:dyDescent="0.2">
      <c r="A816" t="s">
        <v>5377</v>
      </c>
      <c r="B816" t="s">
        <v>5281</v>
      </c>
      <c r="C816" t="s">
        <v>129</v>
      </c>
      <c r="D816" t="s">
        <v>5378</v>
      </c>
    </row>
    <row r="817" spans="1:4" x14ac:dyDescent="0.2">
      <c r="A817" t="s">
        <v>5379</v>
      </c>
      <c r="B817" t="s">
        <v>5292</v>
      </c>
      <c r="C817" t="s">
        <v>129</v>
      </c>
      <c r="D817" t="s">
        <v>5380</v>
      </c>
    </row>
    <row r="818" spans="1:4" x14ac:dyDescent="0.2">
      <c r="A818" t="s">
        <v>5381</v>
      </c>
      <c r="B818" t="s">
        <v>5304</v>
      </c>
      <c r="C818" t="s">
        <v>129</v>
      </c>
      <c r="D818" t="s">
        <v>5382</v>
      </c>
    </row>
    <row r="819" spans="1:4" x14ac:dyDescent="0.2">
      <c r="A819" t="s">
        <v>5383</v>
      </c>
      <c r="B819" t="s">
        <v>5384</v>
      </c>
      <c r="C819" t="s">
        <v>129</v>
      </c>
      <c r="D819" t="s">
        <v>5385</v>
      </c>
    </row>
    <row r="820" spans="1:4" x14ac:dyDescent="0.2">
      <c r="A820" t="s">
        <v>5602</v>
      </c>
      <c r="B820" t="s">
        <v>5401</v>
      </c>
      <c r="C820" t="s">
        <v>5311</v>
      </c>
      <c r="D820" t="s">
        <v>5439</v>
      </c>
    </row>
    <row r="821" spans="1:4" x14ac:dyDescent="0.2">
      <c r="A821" t="s">
        <v>5603</v>
      </c>
      <c r="B821" t="s">
        <v>5506</v>
      </c>
      <c r="C821" t="s">
        <v>5315</v>
      </c>
      <c r="D821" t="s">
        <v>5441</v>
      </c>
    </row>
    <row r="822" spans="1:4" x14ac:dyDescent="0.2">
      <c r="A822" t="s">
        <v>5604</v>
      </c>
      <c r="B822" t="s">
        <v>5404</v>
      </c>
      <c r="C822" t="s">
        <v>5319</v>
      </c>
      <c r="D822" t="s">
        <v>5512</v>
      </c>
    </row>
    <row r="823" spans="1:4" x14ac:dyDescent="0.2">
      <c r="A823" t="s">
        <v>5605</v>
      </c>
      <c r="B823" t="s">
        <v>5460</v>
      </c>
      <c r="C823" t="s">
        <v>5450</v>
      </c>
      <c r="D823" t="s">
        <v>5515</v>
      </c>
    </row>
    <row r="824" spans="1:4" x14ac:dyDescent="0.2">
      <c r="A824" t="s">
        <v>5606</v>
      </c>
      <c r="B824" t="s">
        <v>5517</v>
      </c>
      <c r="C824" t="s">
        <v>5508</v>
      </c>
      <c r="D824" t="s">
        <v>5519</v>
      </c>
    </row>
    <row r="825" spans="1:4" x14ac:dyDescent="0.2">
      <c r="A825" t="s">
        <v>5607</v>
      </c>
      <c r="B825" t="s">
        <v>5521</v>
      </c>
      <c r="C825" t="s">
        <v>5511</v>
      </c>
      <c r="D825" t="s">
        <v>5523</v>
      </c>
    </row>
    <row r="826" spans="1:4" x14ac:dyDescent="0.2">
      <c r="A826" t="s">
        <v>5513</v>
      </c>
      <c r="B826" t="s">
        <v>5525</v>
      </c>
      <c r="C826" t="s">
        <v>5514</v>
      </c>
      <c r="D826" t="s">
        <v>5527</v>
      </c>
    </row>
    <row r="827" spans="1:4" x14ac:dyDescent="0.2">
      <c r="A827" t="s">
        <v>5608</v>
      </c>
      <c r="B827" t="s">
        <v>5529</v>
      </c>
      <c r="C827" t="s">
        <v>5518</v>
      </c>
      <c r="D827" t="s">
        <v>5531</v>
      </c>
    </row>
    <row r="828" spans="1:4" x14ac:dyDescent="0.2">
      <c r="A828" t="s">
        <v>5609</v>
      </c>
      <c r="B828" t="s">
        <v>5533</v>
      </c>
    </row>
    <row r="829" spans="1:4" x14ac:dyDescent="0.2">
      <c r="A829" t="s">
        <v>2576</v>
      </c>
    </row>
    <row r="830" spans="1:4" x14ac:dyDescent="0.2">
      <c r="A830" t="s">
        <v>5276</v>
      </c>
      <c r="B830" t="s">
        <v>5277</v>
      </c>
      <c r="C830" t="s">
        <v>5278</v>
      </c>
      <c r="D830" t="s">
        <v>5279</v>
      </c>
    </row>
    <row r="831" spans="1:4" x14ac:dyDescent="0.2">
      <c r="A831" t="s">
        <v>5377</v>
      </c>
      <c r="B831" t="s">
        <v>5281</v>
      </c>
      <c r="C831" t="s">
        <v>129</v>
      </c>
      <c r="D831" t="s">
        <v>5378</v>
      </c>
    </row>
    <row r="832" spans="1:4" x14ac:dyDescent="0.2">
      <c r="A832" t="s">
        <v>5379</v>
      </c>
      <c r="B832" t="s">
        <v>5292</v>
      </c>
      <c r="C832" t="s">
        <v>129</v>
      </c>
      <c r="D832" t="s">
        <v>5380</v>
      </c>
    </row>
    <row r="833" spans="1:4" x14ac:dyDescent="0.2">
      <c r="A833" t="s">
        <v>5381</v>
      </c>
      <c r="B833" t="s">
        <v>5304</v>
      </c>
      <c r="C833" t="s">
        <v>129</v>
      </c>
      <c r="D833" t="s">
        <v>5382</v>
      </c>
    </row>
    <row r="834" spans="1:4" x14ac:dyDescent="0.2">
      <c r="A834" t="s">
        <v>5383</v>
      </c>
      <c r="B834" t="s">
        <v>5384</v>
      </c>
      <c r="C834" t="s">
        <v>129</v>
      </c>
      <c r="D834" t="s">
        <v>5385</v>
      </c>
    </row>
    <row r="835" spans="1:4" x14ac:dyDescent="0.2">
      <c r="A835" t="s">
        <v>5602</v>
      </c>
      <c r="B835" t="s">
        <v>5401</v>
      </c>
      <c r="C835" t="s">
        <v>5311</v>
      </c>
      <c r="D835" t="s">
        <v>5439</v>
      </c>
    </row>
    <row r="836" spans="1:4" x14ac:dyDescent="0.2">
      <c r="A836" t="s">
        <v>5603</v>
      </c>
      <c r="B836" t="s">
        <v>5506</v>
      </c>
      <c r="C836" t="s">
        <v>5315</v>
      </c>
      <c r="D836" t="s">
        <v>5441</v>
      </c>
    </row>
    <row r="837" spans="1:4" x14ac:dyDescent="0.2">
      <c r="A837" t="s">
        <v>5604</v>
      </c>
      <c r="B837" t="s">
        <v>5404</v>
      </c>
      <c r="C837" t="s">
        <v>5319</v>
      </c>
      <c r="D837" t="s">
        <v>5512</v>
      </c>
    </row>
    <row r="838" spans="1:4" x14ac:dyDescent="0.2">
      <c r="A838" t="s">
        <v>5605</v>
      </c>
      <c r="B838" t="s">
        <v>5460</v>
      </c>
      <c r="C838" t="s">
        <v>5450</v>
      </c>
      <c r="D838" t="s">
        <v>5515</v>
      </c>
    </row>
    <row r="839" spans="1:4" x14ac:dyDescent="0.2">
      <c r="A839" t="s">
        <v>5606</v>
      </c>
      <c r="B839" t="s">
        <v>5517</v>
      </c>
      <c r="C839" t="s">
        <v>5508</v>
      </c>
      <c r="D839" t="s">
        <v>5519</v>
      </c>
    </row>
    <row r="840" spans="1:4" x14ac:dyDescent="0.2">
      <c r="A840" t="s">
        <v>5607</v>
      </c>
      <c r="B840" t="s">
        <v>5521</v>
      </c>
      <c r="C840" t="s">
        <v>5511</v>
      </c>
      <c r="D840" t="s">
        <v>5523</v>
      </c>
    </row>
    <row r="841" spans="1:4" x14ac:dyDescent="0.2">
      <c r="A841" t="s">
        <v>5513</v>
      </c>
      <c r="B841" t="s">
        <v>5525</v>
      </c>
      <c r="C841" t="s">
        <v>5514</v>
      </c>
      <c r="D841" t="s">
        <v>5527</v>
      </c>
    </row>
    <row r="842" spans="1:4" x14ac:dyDescent="0.2">
      <c r="A842" t="s">
        <v>5608</v>
      </c>
      <c r="B842" t="s">
        <v>5529</v>
      </c>
      <c r="C842" t="s">
        <v>5518</v>
      </c>
      <c r="D842" t="s">
        <v>5531</v>
      </c>
    </row>
    <row r="843" spans="1:4" x14ac:dyDescent="0.2">
      <c r="A843" t="s">
        <v>5609</v>
      </c>
      <c r="B843" t="s">
        <v>5533</v>
      </c>
    </row>
    <row r="844" spans="1:4" x14ac:dyDescent="0.2">
      <c r="A844" t="s">
        <v>2577</v>
      </c>
    </row>
    <row r="845" spans="1:4" x14ac:dyDescent="0.2">
      <c r="A845" t="s">
        <v>5276</v>
      </c>
      <c r="B845" t="s">
        <v>5277</v>
      </c>
      <c r="C845" t="s">
        <v>5278</v>
      </c>
      <c r="D845" t="s">
        <v>5279</v>
      </c>
    </row>
    <row r="846" spans="1:4" x14ac:dyDescent="0.2">
      <c r="A846" t="s">
        <v>5377</v>
      </c>
      <c r="B846" t="s">
        <v>5281</v>
      </c>
      <c r="C846" t="s">
        <v>129</v>
      </c>
      <c r="D846" t="s">
        <v>5378</v>
      </c>
    </row>
    <row r="847" spans="1:4" x14ac:dyDescent="0.2">
      <c r="A847" t="s">
        <v>5379</v>
      </c>
      <c r="B847" t="s">
        <v>5292</v>
      </c>
      <c r="C847" t="s">
        <v>129</v>
      </c>
      <c r="D847" t="s">
        <v>5380</v>
      </c>
    </row>
    <row r="848" spans="1:4" x14ac:dyDescent="0.2">
      <c r="A848" t="s">
        <v>5381</v>
      </c>
      <c r="B848" t="s">
        <v>5304</v>
      </c>
      <c r="C848" t="s">
        <v>129</v>
      </c>
      <c r="D848" t="s">
        <v>5382</v>
      </c>
    </row>
    <row r="849" spans="1:4" x14ac:dyDescent="0.2">
      <c r="A849" t="s">
        <v>5383</v>
      </c>
      <c r="B849" t="s">
        <v>5384</v>
      </c>
      <c r="C849" t="s">
        <v>129</v>
      </c>
      <c r="D849" t="s">
        <v>5385</v>
      </c>
    </row>
    <row r="850" spans="1:4" x14ac:dyDescent="0.2">
      <c r="A850" t="s">
        <v>5602</v>
      </c>
      <c r="B850" t="s">
        <v>5401</v>
      </c>
      <c r="C850" t="s">
        <v>5311</v>
      </c>
      <c r="D850" t="s">
        <v>5439</v>
      </c>
    </row>
    <row r="851" spans="1:4" x14ac:dyDescent="0.2">
      <c r="A851" t="s">
        <v>5603</v>
      </c>
      <c r="B851" t="s">
        <v>5506</v>
      </c>
      <c r="C851" t="s">
        <v>5315</v>
      </c>
      <c r="D851" t="s">
        <v>5441</v>
      </c>
    </row>
    <row r="852" spans="1:4" x14ac:dyDescent="0.2">
      <c r="A852" t="s">
        <v>5604</v>
      </c>
      <c r="B852" t="s">
        <v>5404</v>
      </c>
      <c r="C852" t="s">
        <v>5319</v>
      </c>
      <c r="D852" t="s">
        <v>5512</v>
      </c>
    </row>
    <row r="853" spans="1:4" x14ac:dyDescent="0.2">
      <c r="A853" t="s">
        <v>5605</v>
      </c>
      <c r="B853" t="s">
        <v>5460</v>
      </c>
      <c r="C853" t="s">
        <v>5450</v>
      </c>
      <c r="D853" t="s">
        <v>5515</v>
      </c>
    </row>
    <row r="854" spans="1:4" x14ac:dyDescent="0.2">
      <c r="A854" t="s">
        <v>5606</v>
      </c>
      <c r="B854" t="s">
        <v>5517</v>
      </c>
      <c r="C854" t="s">
        <v>5508</v>
      </c>
      <c r="D854" t="s">
        <v>5519</v>
      </c>
    </row>
    <row r="855" spans="1:4" x14ac:dyDescent="0.2">
      <c r="A855" t="s">
        <v>5607</v>
      </c>
      <c r="B855" t="s">
        <v>5521</v>
      </c>
      <c r="C855" t="s">
        <v>5511</v>
      </c>
      <c r="D855" t="s">
        <v>5523</v>
      </c>
    </row>
    <row r="856" spans="1:4" x14ac:dyDescent="0.2">
      <c r="A856" t="s">
        <v>5513</v>
      </c>
      <c r="B856" t="s">
        <v>5525</v>
      </c>
      <c r="C856" t="s">
        <v>5514</v>
      </c>
      <c r="D856" t="s">
        <v>5527</v>
      </c>
    </row>
    <row r="857" spans="1:4" x14ac:dyDescent="0.2">
      <c r="A857" t="s">
        <v>5608</v>
      </c>
      <c r="B857" t="s">
        <v>5529</v>
      </c>
      <c r="C857" t="s">
        <v>5518</v>
      </c>
      <c r="D857" t="s">
        <v>5531</v>
      </c>
    </row>
    <row r="858" spans="1:4" x14ac:dyDescent="0.2">
      <c r="A858" t="s">
        <v>5609</v>
      </c>
      <c r="B858" t="s">
        <v>5533</v>
      </c>
    </row>
    <row r="859" spans="1:4" x14ac:dyDescent="0.2">
      <c r="A859" t="s">
        <v>2578</v>
      </c>
    </row>
    <row r="860" spans="1:4" x14ac:dyDescent="0.2">
      <c r="A860" t="s">
        <v>5276</v>
      </c>
      <c r="B860" t="s">
        <v>5277</v>
      </c>
      <c r="C860" t="s">
        <v>5278</v>
      </c>
      <c r="D860" t="s">
        <v>5279</v>
      </c>
    </row>
    <row r="861" spans="1:4" x14ac:dyDescent="0.2">
      <c r="A861" t="s">
        <v>5377</v>
      </c>
      <c r="B861" t="s">
        <v>5281</v>
      </c>
      <c r="C861" t="s">
        <v>129</v>
      </c>
      <c r="D861" t="s">
        <v>5378</v>
      </c>
    </row>
    <row r="862" spans="1:4" x14ac:dyDescent="0.2">
      <c r="A862" t="s">
        <v>5379</v>
      </c>
      <c r="B862" t="s">
        <v>5292</v>
      </c>
      <c r="C862" t="s">
        <v>129</v>
      </c>
      <c r="D862" t="s">
        <v>5380</v>
      </c>
    </row>
    <row r="863" spans="1:4" x14ac:dyDescent="0.2">
      <c r="A863" t="s">
        <v>5381</v>
      </c>
      <c r="B863" t="s">
        <v>5304</v>
      </c>
      <c r="C863" t="s">
        <v>129</v>
      </c>
      <c r="D863" t="s">
        <v>5382</v>
      </c>
    </row>
    <row r="864" spans="1:4" x14ac:dyDescent="0.2">
      <c r="A864" t="s">
        <v>5383</v>
      </c>
      <c r="B864" t="s">
        <v>5384</v>
      </c>
      <c r="C864" t="s">
        <v>129</v>
      </c>
      <c r="D864" t="s">
        <v>5385</v>
      </c>
    </row>
    <row r="865" spans="1:4" x14ac:dyDescent="0.2">
      <c r="A865" t="s">
        <v>5602</v>
      </c>
      <c r="B865" t="s">
        <v>5401</v>
      </c>
      <c r="C865" t="s">
        <v>5311</v>
      </c>
      <c r="D865" t="s">
        <v>5439</v>
      </c>
    </row>
    <row r="866" spans="1:4" x14ac:dyDescent="0.2">
      <c r="A866" t="s">
        <v>5603</v>
      </c>
      <c r="B866" t="s">
        <v>5506</v>
      </c>
      <c r="C866" t="s">
        <v>5315</v>
      </c>
      <c r="D866" t="s">
        <v>5441</v>
      </c>
    </row>
    <row r="867" spans="1:4" x14ac:dyDescent="0.2">
      <c r="A867" t="s">
        <v>5604</v>
      </c>
      <c r="B867" t="s">
        <v>5404</v>
      </c>
      <c r="C867" t="s">
        <v>5319</v>
      </c>
      <c r="D867" t="s">
        <v>5512</v>
      </c>
    </row>
    <row r="868" spans="1:4" x14ac:dyDescent="0.2">
      <c r="A868" t="s">
        <v>5605</v>
      </c>
      <c r="B868" t="s">
        <v>5460</v>
      </c>
      <c r="C868" t="s">
        <v>5450</v>
      </c>
      <c r="D868" t="s">
        <v>5515</v>
      </c>
    </row>
    <row r="869" spans="1:4" x14ac:dyDescent="0.2">
      <c r="A869" t="s">
        <v>5606</v>
      </c>
      <c r="B869" t="s">
        <v>5517</v>
      </c>
      <c r="C869" t="s">
        <v>5508</v>
      </c>
      <c r="D869" t="s">
        <v>5519</v>
      </c>
    </row>
    <row r="870" spans="1:4" x14ac:dyDescent="0.2">
      <c r="A870" t="s">
        <v>5607</v>
      </c>
      <c r="B870" t="s">
        <v>5521</v>
      </c>
      <c r="C870" t="s">
        <v>5511</v>
      </c>
      <c r="D870" t="s">
        <v>5523</v>
      </c>
    </row>
    <row r="871" spans="1:4" x14ac:dyDescent="0.2">
      <c r="A871" t="s">
        <v>5513</v>
      </c>
      <c r="B871" t="s">
        <v>5525</v>
      </c>
      <c r="C871" t="s">
        <v>5514</v>
      </c>
      <c r="D871" t="s">
        <v>5527</v>
      </c>
    </row>
    <row r="872" spans="1:4" x14ac:dyDescent="0.2">
      <c r="A872" t="s">
        <v>5608</v>
      </c>
      <c r="B872" t="s">
        <v>5529</v>
      </c>
      <c r="C872" t="s">
        <v>5518</v>
      </c>
      <c r="D872" t="s">
        <v>5531</v>
      </c>
    </row>
    <row r="873" spans="1:4" x14ac:dyDescent="0.2">
      <c r="A873" t="s">
        <v>5609</v>
      </c>
      <c r="B873" t="s">
        <v>5533</v>
      </c>
    </row>
    <row r="874" spans="1:4" x14ac:dyDescent="0.2">
      <c r="A874" t="s">
        <v>2579</v>
      </c>
    </row>
    <row r="875" spans="1:4" x14ac:dyDescent="0.2">
      <c r="A875" t="s">
        <v>5276</v>
      </c>
      <c r="B875" t="s">
        <v>5277</v>
      </c>
      <c r="C875" t="s">
        <v>5278</v>
      </c>
      <c r="D875" t="s">
        <v>5279</v>
      </c>
    </row>
    <row r="876" spans="1:4" x14ac:dyDescent="0.2">
      <c r="A876" t="s">
        <v>5377</v>
      </c>
      <c r="B876" t="s">
        <v>5281</v>
      </c>
      <c r="C876" t="s">
        <v>129</v>
      </c>
      <c r="D876" t="s">
        <v>5378</v>
      </c>
    </row>
    <row r="877" spans="1:4" x14ac:dyDescent="0.2">
      <c r="A877" t="s">
        <v>5379</v>
      </c>
      <c r="B877" t="s">
        <v>5292</v>
      </c>
      <c r="C877" t="s">
        <v>129</v>
      </c>
      <c r="D877" t="s">
        <v>5380</v>
      </c>
    </row>
    <row r="878" spans="1:4" x14ac:dyDescent="0.2">
      <c r="A878" t="s">
        <v>5381</v>
      </c>
      <c r="B878" t="s">
        <v>5304</v>
      </c>
      <c r="C878" t="s">
        <v>129</v>
      </c>
      <c r="D878" t="s">
        <v>5382</v>
      </c>
    </row>
    <row r="879" spans="1:4" x14ac:dyDescent="0.2">
      <c r="A879" t="s">
        <v>5383</v>
      </c>
      <c r="B879" t="s">
        <v>5384</v>
      </c>
      <c r="C879" t="s">
        <v>129</v>
      </c>
      <c r="D879" t="s">
        <v>5385</v>
      </c>
    </row>
    <row r="880" spans="1:4" x14ac:dyDescent="0.2">
      <c r="A880" t="s">
        <v>5602</v>
      </c>
      <c r="B880" t="s">
        <v>5401</v>
      </c>
      <c r="C880" t="s">
        <v>5311</v>
      </c>
      <c r="D880" t="s">
        <v>5439</v>
      </c>
    </row>
    <row r="881" spans="1:4" x14ac:dyDescent="0.2">
      <c r="A881" t="s">
        <v>5603</v>
      </c>
      <c r="B881" t="s">
        <v>5506</v>
      </c>
      <c r="C881" t="s">
        <v>5315</v>
      </c>
      <c r="D881" t="s">
        <v>5441</v>
      </c>
    </row>
    <row r="882" spans="1:4" x14ac:dyDescent="0.2">
      <c r="A882" t="s">
        <v>5604</v>
      </c>
      <c r="B882" t="s">
        <v>5404</v>
      </c>
      <c r="C882" t="s">
        <v>5319</v>
      </c>
      <c r="D882" t="s">
        <v>5512</v>
      </c>
    </row>
    <row r="883" spans="1:4" x14ac:dyDescent="0.2">
      <c r="A883" t="s">
        <v>5605</v>
      </c>
      <c r="B883" t="s">
        <v>5460</v>
      </c>
      <c r="C883" t="s">
        <v>5450</v>
      </c>
      <c r="D883" t="s">
        <v>5515</v>
      </c>
    </row>
    <row r="884" spans="1:4" x14ac:dyDescent="0.2">
      <c r="A884" t="s">
        <v>5606</v>
      </c>
      <c r="B884" t="s">
        <v>5517</v>
      </c>
      <c r="C884" t="s">
        <v>5508</v>
      </c>
      <c r="D884" t="s">
        <v>5519</v>
      </c>
    </row>
    <row r="885" spans="1:4" x14ac:dyDescent="0.2">
      <c r="A885" t="s">
        <v>5607</v>
      </c>
      <c r="B885" t="s">
        <v>5521</v>
      </c>
      <c r="C885" t="s">
        <v>5511</v>
      </c>
      <c r="D885" t="s">
        <v>5523</v>
      </c>
    </row>
    <row r="886" spans="1:4" x14ac:dyDescent="0.2">
      <c r="A886" t="s">
        <v>5513</v>
      </c>
      <c r="B886" t="s">
        <v>5525</v>
      </c>
      <c r="C886" t="s">
        <v>5514</v>
      </c>
      <c r="D886" t="s">
        <v>5527</v>
      </c>
    </row>
    <row r="887" spans="1:4" x14ac:dyDescent="0.2">
      <c r="A887" t="s">
        <v>5608</v>
      </c>
      <c r="B887" t="s">
        <v>5529</v>
      </c>
      <c r="C887" t="s">
        <v>5518</v>
      </c>
      <c r="D887" t="s">
        <v>5531</v>
      </c>
    </row>
    <row r="888" spans="1:4" x14ac:dyDescent="0.2">
      <c r="A888" t="s">
        <v>5609</v>
      </c>
      <c r="B888" t="s">
        <v>5533</v>
      </c>
    </row>
    <row r="889" spans="1:4" x14ac:dyDescent="0.2">
      <c r="A889" t="s">
        <v>2581</v>
      </c>
    </row>
    <row r="890" spans="1:4" x14ac:dyDescent="0.2">
      <c r="A890" t="s">
        <v>5276</v>
      </c>
      <c r="B890" t="s">
        <v>5277</v>
      </c>
      <c r="C890" t="s">
        <v>5278</v>
      </c>
      <c r="D890" t="s">
        <v>5279</v>
      </c>
    </row>
    <row r="891" spans="1:4" x14ac:dyDescent="0.2">
      <c r="A891" t="s">
        <v>5377</v>
      </c>
      <c r="B891" t="s">
        <v>5281</v>
      </c>
      <c r="C891" t="s">
        <v>129</v>
      </c>
      <c r="D891" t="s">
        <v>5378</v>
      </c>
    </row>
    <row r="892" spans="1:4" x14ac:dyDescent="0.2">
      <c r="A892" t="s">
        <v>5379</v>
      </c>
      <c r="B892" t="s">
        <v>5292</v>
      </c>
      <c r="C892" t="s">
        <v>129</v>
      </c>
      <c r="D892" t="s">
        <v>5380</v>
      </c>
    </row>
    <row r="893" spans="1:4" x14ac:dyDescent="0.2">
      <c r="A893" t="s">
        <v>5381</v>
      </c>
      <c r="B893" t="s">
        <v>5304</v>
      </c>
      <c r="C893" t="s">
        <v>129</v>
      </c>
      <c r="D893" t="s">
        <v>5382</v>
      </c>
    </row>
    <row r="894" spans="1:4" x14ac:dyDescent="0.2">
      <c r="A894" t="s">
        <v>5383</v>
      </c>
      <c r="B894" t="s">
        <v>5384</v>
      </c>
      <c r="C894" t="s">
        <v>129</v>
      </c>
      <c r="D894" t="s">
        <v>5385</v>
      </c>
    </row>
    <row r="895" spans="1:4" x14ac:dyDescent="0.2">
      <c r="A895" t="s">
        <v>5602</v>
      </c>
      <c r="B895" t="s">
        <v>5401</v>
      </c>
      <c r="C895" t="s">
        <v>5311</v>
      </c>
      <c r="D895" t="s">
        <v>5439</v>
      </c>
    </row>
    <row r="896" spans="1:4" x14ac:dyDescent="0.2">
      <c r="A896" t="s">
        <v>5603</v>
      </c>
      <c r="B896" t="s">
        <v>5506</v>
      </c>
      <c r="C896" t="s">
        <v>5315</v>
      </c>
      <c r="D896" t="s">
        <v>5441</v>
      </c>
    </row>
    <row r="897" spans="1:4" x14ac:dyDescent="0.2">
      <c r="A897" t="s">
        <v>5604</v>
      </c>
      <c r="B897" t="s">
        <v>5404</v>
      </c>
      <c r="C897" t="s">
        <v>5319</v>
      </c>
      <c r="D897" t="s">
        <v>5512</v>
      </c>
    </row>
    <row r="898" spans="1:4" x14ac:dyDescent="0.2">
      <c r="A898" t="s">
        <v>5605</v>
      </c>
      <c r="B898" t="s">
        <v>5460</v>
      </c>
      <c r="C898" t="s">
        <v>5450</v>
      </c>
      <c r="D898" t="s">
        <v>5515</v>
      </c>
    </row>
    <row r="899" spans="1:4" x14ac:dyDescent="0.2">
      <c r="A899" t="s">
        <v>5606</v>
      </c>
      <c r="B899" t="s">
        <v>5517</v>
      </c>
      <c r="C899" t="s">
        <v>5508</v>
      </c>
      <c r="D899" t="s">
        <v>5519</v>
      </c>
    </row>
    <row r="900" spans="1:4" x14ac:dyDescent="0.2">
      <c r="A900" t="s">
        <v>5607</v>
      </c>
      <c r="B900" t="s">
        <v>5521</v>
      </c>
      <c r="C900" t="s">
        <v>5511</v>
      </c>
      <c r="D900" t="s">
        <v>5523</v>
      </c>
    </row>
    <row r="901" spans="1:4" x14ac:dyDescent="0.2">
      <c r="A901" t="s">
        <v>5513</v>
      </c>
      <c r="B901" t="s">
        <v>5525</v>
      </c>
      <c r="C901" t="s">
        <v>5514</v>
      </c>
      <c r="D901" t="s">
        <v>5527</v>
      </c>
    </row>
    <row r="902" spans="1:4" x14ac:dyDescent="0.2">
      <c r="A902" t="s">
        <v>5608</v>
      </c>
      <c r="B902" t="s">
        <v>5529</v>
      </c>
      <c r="C902" t="s">
        <v>5518</v>
      </c>
      <c r="D902" t="s">
        <v>5531</v>
      </c>
    </row>
    <row r="903" spans="1:4" x14ac:dyDescent="0.2">
      <c r="A903" t="s">
        <v>5609</v>
      </c>
      <c r="B903" t="s">
        <v>5533</v>
      </c>
    </row>
    <row r="904" spans="1:4" x14ac:dyDescent="0.2">
      <c r="A904" t="s">
        <v>2584</v>
      </c>
    </row>
    <row r="905" spans="1:4" x14ac:dyDescent="0.2">
      <c r="A905" t="s">
        <v>5276</v>
      </c>
      <c r="B905" t="s">
        <v>5277</v>
      </c>
      <c r="C905" t="s">
        <v>5278</v>
      </c>
      <c r="D905" t="s">
        <v>5279</v>
      </c>
    </row>
    <row r="906" spans="1:4" x14ac:dyDescent="0.2">
      <c r="A906" t="s">
        <v>5377</v>
      </c>
      <c r="B906" t="s">
        <v>5281</v>
      </c>
      <c r="C906" t="s">
        <v>129</v>
      </c>
      <c r="D906" t="s">
        <v>5378</v>
      </c>
    </row>
    <row r="907" spans="1:4" x14ac:dyDescent="0.2">
      <c r="A907" t="s">
        <v>5379</v>
      </c>
      <c r="B907" t="s">
        <v>5292</v>
      </c>
      <c r="C907" t="s">
        <v>129</v>
      </c>
      <c r="D907" t="s">
        <v>5380</v>
      </c>
    </row>
    <row r="908" spans="1:4" x14ac:dyDescent="0.2">
      <c r="A908" t="s">
        <v>5381</v>
      </c>
      <c r="B908" t="s">
        <v>5304</v>
      </c>
      <c r="C908" t="s">
        <v>129</v>
      </c>
      <c r="D908" t="s">
        <v>5382</v>
      </c>
    </row>
    <row r="909" spans="1:4" x14ac:dyDescent="0.2">
      <c r="A909" t="s">
        <v>5383</v>
      </c>
      <c r="B909" t="s">
        <v>5384</v>
      </c>
      <c r="C909" t="s">
        <v>129</v>
      </c>
      <c r="D909" t="s">
        <v>5385</v>
      </c>
    </row>
    <row r="910" spans="1:4" x14ac:dyDescent="0.2">
      <c r="A910" t="s">
        <v>5602</v>
      </c>
      <c r="B910" t="s">
        <v>5401</v>
      </c>
      <c r="C910" t="s">
        <v>5311</v>
      </c>
      <c r="D910" t="s">
        <v>5439</v>
      </c>
    </row>
    <row r="911" spans="1:4" x14ac:dyDescent="0.2">
      <c r="A911" t="s">
        <v>5603</v>
      </c>
      <c r="B911" t="s">
        <v>5506</v>
      </c>
      <c r="C911" t="s">
        <v>5315</v>
      </c>
      <c r="D911" t="s">
        <v>5441</v>
      </c>
    </row>
    <row r="912" spans="1:4" x14ac:dyDescent="0.2">
      <c r="A912" t="s">
        <v>5604</v>
      </c>
      <c r="B912" t="s">
        <v>5404</v>
      </c>
      <c r="C912" t="s">
        <v>5319</v>
      </c>
      <c r="D912" t="s">
        <v>5512</v>
      </c>
    </row>
    <row r="913" spans="1:4" x14ac:dyDescent="0.2">
      <c r="A913" t="s">
        <v>5605</v>
      </c>
      <c r="B913" t="s">
        <v>5460</v>
      </c>
      <c r="C913" t="s">
        <v>5450</v>
      </c>
      <c r="D913" t="s">
        <v>5515</v>
      </c>
    </row>
    <row r="914" spans="1:4" x14ac:dyDescent="0.2">
      <c r="A914" t="s">
        <v>5606</v>
      </c>
      <c r="B914" t="s">
        <v>5517</v>
      </c>
      <c r="C914" t="s">
        <v>5508</v>
      </c>
      <c r="D914" t="s">
        <v>5519</v>
      </c>
    </row>
    <row r="915" spans="1:4" x14ac:dyDescent="0.2">
      <c r="A915" t="s">
        <v>5607</v>
      </c>
      <c r="B915" t="s">
        <v>5521</v>
      </c>
      <c r="C915" t="s">
        <v>5511</v>
      </c>
      <c r="D915" t="s">
        <v>5523</v>
      </c>
    </row>
    <row r="916" spans="1:4" x14ac:dyDescent="0.2">
      <c r="A916" t="s">
        <v>5513</v>
      </c>
      <c r="B916" t="s">
        <v>5525</v>
      </c>
      <c r="C916" t="s">
        <v>5514</v>
      </c>
      <c r="D916" t="s">
        <v>5527</v>
      </c>
    </row>
    <row r="917" spans="1:4" x14ac:dyDescent="0.2">
      <c r="A917" t="s">
        <v>5608</v>
      </c>
      <c r="B917" t="s">
        <v>5529</v>
      </c>
      <c r="C917" t="s">
        <v>5518</v>
      </c>
      <c r="D917" t="s">
        <v>5531</v>
      </c>
    </row>
    <row r="918" spans="1:4" x14ac:dyDescent="0.2">
      <c r="A918" t="s">
        <v>5609</v>
      </c>
      <c r="B918" t="s">
        <v>5533</v>
      </c>
    </row>
    <row r="919" spans="1:4" x14ac:dyDescent="0.2">
      <c r="A919" t="s">
        <v>2585</v>
      </c>
    </row>
    <row r="920" spans="1:4" x14ac:dyDescent="0.2">
      <c r="A920" t="s">
        <v>5276</v>
      </c>
      <c r="B920" t="s">
        <v>5277</v>
      </c>
      <c r="C920" t="s">
        <v>5278</v>
      </c>
      <c r="D920" t="s">
        <v>5279</v>
      </c>
    </row>
    <row r="921" spans="1:4" x14ac:dyDescent="0.2">
      <c r="A921" t="s">
        <v>5377</v>
      </c>
      <c r="B921" t="s">
        <v>5281</v>
      </c>
      <c r="C921" t="s">
        <v>129</v>
      </c>
      <c r="D921" t="s">
        <v>5378</v>
      </c>
    </row>
    <row r="922" spans="1:4" x14ac:dyDescent="0.2">
      <c r="A922" t="s">
        <v>5379</v>
      </c>
      <c r="B922" t="s">
        <v>5292</v>
      </c>
      <c r="C922" t="s">
        <v>129</v>
      </c>
      <c r="D922" t="s">
        <v>5380</v>
      </c>
    </row>
    <row r="923" spans="1:4" x14ac:dyDescent="0.2">
      <c r="A923" t="s">
        <v>5381</v>
      </c>
      <c r="B923" t="s">
        <v>5304</v>
      </c>
      <c r="C923" t="s">
        <v>129</v>
      </c>
      <c r="D923" t="s">
        <v>5382</v>
      </c>
    </row>
    <row r="924" spans="1:4" x14ac:dyDescent="0.2">
      <c r="A924" t="s">
        <v>5383</v>
      </c>
      <c r="B924" t="s">
        <v>5384</v>
      </c>
      <c r="C924" t="s">
        <v>129</v>
      </c>
      <c r="D924" t="s">
        <v>5385</v>
      </c>
    </row>
    <row r="925" spans="1:4" x14ac:dyDescent="0.2">
      <c r="A925" t="s">
        <v>5602</v>
      </c>
      <c r="B925" t="s">
        <v>5401</v>
      </c>
      <c r="C925" t="s">
        <v>5311</v>
      </c>
      <c r="D925" t="s">
        <v>5439</v>
      </c>
    </row>
    <row r="926" spans="1:4" x14ac:dyDescent="0.2">
      <c r="A926" t="s">
        <v>5603</v>
      </c>
      <c r="B926" t="s">
        <v>5506</v>
      </c>
      <c r="C926" t="s">
        <v>5315</v>
      </c>
      <c r="D926" t="s">
        <v>5441</v>
      </c>
    </row>
    <row r="927" spans="1:4" x14ac:dyDescent="0.2">
      <c r="A927" t="s">
        <v>5604</v>
      </c>
      <c r="B927" t="s">
        <v>5404</v>
      </c>
      <c r="C927" t="s">
        <v>5319</v>
      </c>
      <c r="D927" t="s">
        <v>5512</v>
      </c>
    </row>
    <row r="928" spans="1:4" x14ac:dyDescent="0.2">
      <c r="A928" t="s">
        <v>5605</v>
      </c>
      <c r="B928" t="s">
        <v>5460</v>
      </c>
      <c r="C928" t="s">
        <v>5450</v>
      </c>
      <c r="D928" t="s">
        <v>5515</v>
      </c>
    </row>
    <row r="929" spans="1:4" x14ac:dyDescent="0.2">
      <c r="A929" t="s">
        <v>5606</v>
      </c>
      <c r="B929" t="s">
        <v>5517</v>
      </c>
      <c r="C929" t="s">
        <v>5508</v>
      </c>
      <c r="D929" t="s">
        <v>5519</v>
      </c>
    </row>
    <row r="930" spans="1:4" x14ac:dyDescent="0.2">
      <c r="A930" t="s">
        <v>5607</v>
      </c>
      <c r="B930" t="s">
        <v>5521</v>
      </c>
      <c r="C930" t="s">
        <v>5511</v>
      </c>
      <c r="D930" t="s">
        <v>5523</v>
      </c>
    </row>
    <row r="931" spans="1:4" x14ac:dyDescent="0.2">
      <c r="A931" t="s">
        <v>5513</v>
      </c>
      <c r="B931" t="s">
        <v>5525</v>
      </c>
      <c r="C931" t="s">
        <v>5514</v>
      </c>
      <c r="D931" t="s">
        <v>5527</v>
      </c>
    </row>
    <row r="932" spans="1:4" x14ac:dyDescent="0.2">
      <c r="A932" t="s">
        <v>5608</v>
      </c>
      <c r="B932" t="s">
        <v>5529</v>
      </c>
      <c r="C932" t="s">
        <v>5518</v>
      </c>
      <c r="D932" t="s">
        <v>5531</v>
      </c>
    </row>
    <row r="933" spans="1:4" x14ac:dyDescent="0.2">
      <c r="A933" t="s">
        <v>5609</v>
      </c>
      <c r="B933" t="s">
        <v>5533</v>
      </c>
    </row>
    <row r="934" spans="1:4" x14ac:dyDescent="0.2">
      <c r="A934" t="s">
        <v>2586</v>
      </c>
    </row>
    <row r="935" spans="1:4" x14ac:dyDescent="0.2">
      <c r="A935" t="s">
        <v>5276</v>
      </c>
      <c r="B935" t="s">
        <v>5277</v>
      </c>
      <c r="C935" t="s">
        <v>5278</v>
      </c>
      <c r="D935" t="s">
        <v>5279</v>
      </c>
    </row>
    <row r="936" spans="1:4" x14ac:dyDescent="0.2">
      <c r="A936" t="s">
        <v>5377</v>
      </c>
      <c r="B936" t="s">
        <v>5281</v>
      </c>
      <c r="C936" t="s">
        <v>129</v>
      </c>
      <c r="D936" t="s">
        <v>5378</v>
      </c>
    </row>
    <row r="937" spans="1:4" x14ac:dyDescent="0.2">
      <c r="A937" t="s">
        <v>5379</v>
      </c>
      <c r="B937" t="s">
        <v>5292</v>
      </c>
      <c r="C937" t="s">
        <v>129</v>
      </c>
      <c r="D937" t="s">
        <v>5380</v>
      </c>
    </row>
    <row r="938" spans="1:4" x14ac:dyDescent="0.2">
      <c r="A938" t="s">
        <v>5381</v>
      </c>
      <c r="B938" t="s">
        <v>5304</v>
      </c>
      <c r="C938" t="s">
        <v>129</v>
      </c>
      <c r="D938" t="s">
        <v>5382</v>
      </c>
    </row>
    <row r="939" spans="1:4" x14ac:dyDescent="0.2">
      <c r="A939" t="s">
        <v>5383</v>
      </c>
      <c r="B939" t="s">
        <v>5384</v>
      </c>
      <c r="C939" t="s">
        <v>129</v>
      </c>
      <c r="D939" t="s">
        <v>5385</v>
      </c>
    </row>
    <row r="940" spans="1:4" x14ac:dyDescent="0.2">
      <c r="A940" t="s">
        <v>5602</v>
      </c>
      <c r="B940" t="s">
        <v>5401</v>
      </c>
      <c r="C940" t="s">
        <v>5311</v>
      </c>
      <c r="D940" t="s">
        <v>5439</v>
      </c>
    </row>
    <row r="941" spans="1:4" x14ac:dyDescent="0.2">
      <c r="A941" t="s">
        <v>5603</v>
      </c>
      <c r="B941" t="s">
        <v>5506</v>
      </c>
      <c r="C941" t="s">
        <v>5315</v>
      </c>
      <c r="D941" t="s">
        <v>5441</v>
      </c>
    </row>
    <row r="942" spans="1:4" x14ac:dyDescent="0.2">
      <c r="A942" t="s">
        <v>5604</v>
      </c>
      <c r="B942" t="s">
        <v>5404</v>
      </c>
      <c r="C942" t="s">
        <v>5319</v>
      </c>
      <c r="D942" t="s">
        <v>5512</v>
      </c>
    </row>
    <row r="943" spans="1:4" x14ac:dyDescent="0.2">
      <c r="A943" t="s">
        <v>5605</v>
      </c>
      <c r="B943" t="s">
        <v>5460</v>
      </c>
      <c r="C943" t="s">
        <v>5450</v>
      </c>
      <c r="D943" t="s">
        <v>5515</v>
      </c>
    </row>
    <row r="944" spans="1:4" x14ac:dyDescent="0.2">
      <c r="A944" t="s">
        <v>5606</v>
      </c>
      <c r="B944" t="s">
        <v>5517</v>
      </c>
      <c r="C944" t="s">
        <v>5508</v>
      </c>
      <c r="D944" t="s">
        <v>5519</v>
      </c>
    </row>
    <row r="945" spans="1:4" x14ac:dyDescent="0.2">
      <c r="A945" t="s">
        <v>5607</v>
      </c>
      <c r="B945" t="s">
        <v>5521</v>
      </c>
      <c r="C945" t="s">
        <v>5511</v>
      </c>
      <c r="D945" t="s">
        <v>5523</v>
      </c>
    </row>
    <row r="946" spans="1:4" x14ac:dyDescent="0.2">
      <c r="A946" t="s">
        <v>5513</v>
      </c>
      <c r="B946" t="s">
        <v>5525</v>
      </c>
      <c r="C946" t="s">
        <v>5514</v>
      </c>
      <c r="D946" t="s">
        <v>5527</v>
      </c>
    </row>
    <row r="947" spans="1:4" x14ac:dyDescent="0.2">
      <c r="A947" t="s">
        <v>5608</v>
      </c>
      <c r="B947" t="s">
        <v>5529</v>
      </c>
      <c r="C947" t="s">
        <v>5518</v>
      </c>
      <c r="D947" t="s">
        <v>5531</v>
      </c>
    </row>
    <row r="948" spans="1:4" x14ac:dyDescent="0.2">
      <c r="A948" t="s">
        <v>5609</v>
      </c>
      <c r="B948" t="s">
        <v>5533</v>
      </c>
    </row>
    <row r="949" spans="1:4" x14ac:dyDescent="0.2">
      <c r="A949" t="s">
        <v>2587</v>
      </c>
    </row>
    <row r="950" spans="1:4" x14ac:dyDescent="0.2">
      <c r="A950" t="s">
        <v>5276</v>
      </c>
      <c r="B950" t="s">
        <v>5277</v>
      </c>
      <c r="C950" t="s">
        <v>5278</v>
      </c>
      <c r="D950" t="s">
        <v>5279</v>
      </c>
    </row>
    <row r="951" spans="1:4" x14ac:dyDescent="0.2">
      <c r="A951" t="s">
        <v>5377</v>
      </c>
      <c r="B951" t="s">
        <v>5281</v>
      </c>
      <c r="C951" t="s">
        <v>129</v>
      </c>
      <c r="D951" t="s">
        <v>5378</v>
      </c>
    </row>
    <row r="952" spans="1:4" x14ac:dyDescent="0.2">
      <c r="A952" t="s">
        <v>5379</v>
      </c>
      <c r="B952" t="s">
        <v>5292</v>
      </c>
      <c r="C952" t="s">
        <v>129</v>
      </c>
      <c r="D952" t="s">
        <v>5380</v>
      </c>
    </row>
    <row r="953" spans="1:4" x14ac:dyDescent="0.2">
      <c r="A953" t="s">
        <v>5381</v>
      </c>
      <c r="B953" t="s">
        <v>5304</v>
      </c>
      <c r="C953" t="s">
        <v>129</v>
      </c>
      <c r="D953" t="s">
        <v>5382</v>
      </c>
    </row>
    <row r="954" spans="1:4" x14ac:dyDescent="0.2">
      <c r="A954" t="s">
        <v>5383</v>
      </c>
      <c r="B954" t="s">
        <v>5384</v>
      </c>
      <c r="C954" t="s">
        <v>129</v>
      </c>
      <c r="D954" t="s">
        <v>5385</v>
      </c>
    </row>
    <row r="955" spans="1:4" x14ac:dyDescent="0.2">
      <c r="A955" t="s">
        <v>5602</v>
      </c>
      <c r="B955" t="s">
        <v>5401</v>
      </c>
      <c r="C955" t="s">
        <v>5311</v>
      </c>
      <c r="D955" t="s">
        <v>5439</v>
      </c>
    </row>
    <row r="956" spans="1:4" x14ac:dyDescent="0.2">
      <c r="A956" t="s">
        <v>5603</v>
      </c>
      <c r="B956" t="s">
        <v>5506</v>
      </c>
      <c r="C956" t="s">
        <v>5315</v>
      </c>
      <c r="D956" t="s">
        <v>5441</v>
      </c>
    </row>
    <row r="957" spans="1:4" x14ac:dyDescent="0.2">
      <c r="A957" t="s">
        <v>5604</v>
      </c>
      <c r="B957" t="s">
        <v>5404</v>
      </c>
      <c r="C957" t="s">
        <v>5319</v>
      </c>
      <c r="D957" t="s">
        <v>5512</v>
      </c>
    </row>
    <row r="958" spans="1:4" x14ac:dyDescent="0.2">
      <c r="A958" t="s">
        <v>5605</v>
      </c>
      <c r="B958" t="s">
        <v>5460</v>
      </c>
      <c r="C958" t="s">
        <v>5450</v>
      </c>
      <c r="D958" t="s">
        <v>5515</v>
      </c>
    </row>
    <row r="959" spans="1:4" x14ac:dyDescent="0.2">
      <c r="A959" t="s">
        <v>5606</v>
      </c>
      <c r="B959" t="s">
        <v>5517</v>
      </c>
      <c r="C959" t="s">
        <v>5508</v>
      </c>
      <c r="D959" t="s">
        <v>5519</v>
      </c>
    </row>
    <row r="960" spans="1:4" x14ac:dyDescent="0.2">
      <c r="A960" t="s">
        <v>5607</v>
      </c>
      <c r="B960" t="s">
        <v>5521</v>
      </c>
      <c r="C960" t="s">
        <v>5511</v>
      </c>
      <c r="D960" t="s">
        <v>5523</v>
      </c>
    </row>
    <row r="961" spans="1:4" x14ac:dyDescent="0.2">
      <c r="A961" t="s">
        <v>5513</v>
      </c>
      <c r="B961" t="s">
        <v>5525</v>
      </c>
      <c r="C961" t="s">
        <v>5514</v>
      </c>
      <c r="D961" t="s">
        <v>5527</v>
      </c>
    </row>
    <row r="962" spans="1:4" x14ac:dyDescent="0.2">
      <c r="A962" t="s">
        <v>5608</v>
      </c>
      <c r="B962" t="s">
        <v>5529</v>
      </c>
      <c r="C962" t="s">
        <v>5518</v>
      </c>
      <c r="D962" t="s">
        <v>5531</v>
      </c>
    </row>
    <row r="963" spans="1:4" x14ac:dyDescent="0.2">
      <c r="A963" t="s">
        <v>5609</v>
      </c>
      <c r="B963" t="s">
        <v>5533</v>
      </c>
    </row>
    <row r="964" spans="1:4" x14ac:dyDescent="0.2">
      <c r="A964" t="s">
        <v>2588</v>
      </c>
    </row>
    <row r="965" spans="1:4" x14ac:dyDescent="0.2">
      <c r="A965" t="s">
        <v>5276</v>
      </c>
      <c r="B965" t="s">
        <v>5277</v>
      </c>
      <c r="C965" t="s">
        <v>5278</v>
      </c>
      <c r="D965" t="s">
        <v>5279</v>
      </c>
    </row>
    <row r="966" spans="1:4" x14ac:dyDescent="0.2">
      <c r="A966" t="s">
        <v>5377</v>
      </c>
      <c r="B966" t="s">
        <v>5281</v>
      </c>
      <c r="C966" t="s">
        <v>129</v>
      </c>
      <c r="D966" t="s">
        <v>5378</v>
      </c>
    </row>
    <row r="967" spans="1:4" x14ac:dyDescent="0.2">
      <c r="A967" t="s">
        <v>5379</v>
      </c>
      <c r="B967" t="s">
        <v>5292</v>
      </c>
      <c r="C967" t="s">
        <v>129</v>
      </c>
      <c r="D967" t="s">
        <v>5380</v>
      </c>
    </row>
    <row r="968" spans="1:4" x14ac:dyDescent="0.2">
      <c r="A968" t="s">
        <v>5381</v>
      </c>
      <c r="B968" t="s">
        <v>5304</v>
      </c>
      <c r="C968" t="s">
        <v>129</v>
      </c>
      <c r="D968" t="s">
        <v>5382</v>
      </c>
    </row>
    <row r="969" spans="1:4" x14ac:dyDescent="0.2">
      <c r="A969" t="s">
        <v>5383</v>
      </c>
      <c r="B969" t="s">
        <v>5384</v>
      </c>
      <c r="C969" t="s">
        <v>129</v>
      </c>
      <c r="D969" t="s">
        <v>5385</v>
      </c>
    </row>
    <row r="970" spans="1:4" x14ac:dyDescent="0.2">
      <c r="A970" t="s">
        <v>5602</v>
      </c>
      <c r="B970" t="s">
        <v>5401</v>
      </c>
      <c r="C970" t="s">
        <v>5311</v>
      </c>
      <c r="D970" t="s">
        <v>5439</v>
      </c>
    </row>
    <row r="971" spans="1:4" x14ac:dyDescent="0.2">
      <c r="A971" t="s">
        <v>5603</v>
      </c>
      <c r="B971" t="s">
        <v>5506</v>
      </c>
      <c r="C971" t="s">
        <v>5315</v>
      </c>
      <c r="D971" t="s">
        <v>5441</v>
      </c>
    </row>
    <row r="972" spans="1:4" x14ac:dyDescent="0.2">
      <c r="A972" t="s">
        <v>5604</v>
      </c>
      <c r="B972" t="s">
        <v>5404</v>
      </c>
      <c r="C972" t="s">
        <v>5319</v>
      </c>
      <c r="D972" t="s">
        <v>5512</v>
      </c>
    </row>
    <row r="973" spans="1:4" x14ac:dyDescent="0.2">
      <c r="A973" t="s">
        <v>5605</v>
      </c>
      <c r="B973" t="s">
        <v>5460</v>
      </c>
      <c r="C973" t="s">
        <v>5450</v>
      </c>
      <c r="D973" t="s">
        <v>5515</v>
      </c>
    </row>
    <row r="974" spans="1:4" x14ac:dyDescent="0.2">
      <c r="A974" t="s">
        <v>5606</v>
      </c>
      <c r="B974" t="s">
        <v>5517</v>
      </c>
      <c r="C974" t="s">
        <v>5508</v>
      </c>
      <c r="D974" t="s">
        <v>5519</v>
      </c>
    </row>
    <row r="975" spans="1:4" x14ac:dyDescent="0.2">
      <c r="A975" t="s">
        <v>5607</v>
      </c>
      <c r="B975" t="s">
        <v>5521</v>
      </c>
      <c r="C975" t="s">
        <v>5511</v>
      </c>
      <c r="D975" t="s">
        <v>5523</v>
      </c>
    </row>
    <row r="976" spans="1:4" x14ac:dyDescent="0.2">
      <c r="A976" t="s">
        <v>5513</v>
      </c>
      <c r="B976" t="s">
        <v>5525</v>
      </c>
      <c r="C976" t="s">
        <v>5514</v>
      </c>
      <c r="D976" t="s">
        <v>5527</v>
      </c>
    </row>
    <row r="977" spans="1:4" x14ac:dyDescent="0.2">
      <c r="A977" t="s">
        <v>5608</v>
      </c>
      <c r="B977" t="s">
        <v>5529</v>
      </c>
      <c r="C977" t="s">
        <v>5518</v>
      </c>
      <c r="D977" t="s">
        <v>5531</v>
      </c>
    </row>
    <row r="978" spans="1:4" x14ac:dyDescent="0.2">
      <c r="A978" t="s">
        <v>5609</v>
      </c>
      <c r="B978" t="s">
        <v>5533</v>
      </c>
    </row>
    <row r="979" spans="1:4" x14ac:dyDescent="0.2">
      <c r="A979" t="s">
        <v>2590</v>
      </c>
    </row>
    <row r="980" spans="1:4" x14ac:dyDescent="0.2">
      <c r="A980" t="s">
        <v>5276</v>
      </c>
      <c r="B980" t="s">
        <v>5277</v>
      </c>
      <c r="C980" t="s">
        <v>5278</v>
      </c>
      <c r="D980" t="s">
        <v>5279</v>
      </c>
    </row>
    <row r="981" spans="1:4" x14ac:dyDescent="0.2">
      <c r="A981" t="s">
        <v>5377</v>
      </c>
      <c r="B981" t="s">
        <v>5281</v>
      </c>
      <c r="C981" t="s">
        <v>129</v>
      </c>
      <c r="D981" t="s">
        <v>5378</v>
      </c>
    </row>
    <row r="982" spans="1:4" x14ac:dyDescent="0.2">
      <c r="A982" t="s">
        <v>5379</v>
      </c>
      <c r="B982" t="s">
        <v>5292</v>
      </c>
      <c r="C982" t="s">
        <v>129</v>
      </c>
      <c r="D982" t="s">
        <v>5380</v>
      </c>
    </row>
    <row r="983" spans="1:4" x14ac:dyDescent="0.2">
      <c r="A983" t="s">
        <v>5381</v>
      </c>
      <c r="B983" t="s">
        <v>5304</v>
      </c>
      <c r="C983" t="s">
        <v>129</v>
      </c>
      <c r="D983" t="s">
        <v>5382</v>
      </c>
    </row>
    <row r="984" spans="1:4" x14ac:dyDescent="0.2">
      <c r="A984" t="s">
        <v>5383</v>
      </c>
      <c r="B984" t="s">
        <v>5384</v>
      </c>
      <c r="C984" t="s">
        <v>129</v>
      </c>
      <c r="D984" t="s">
        <v>5385</v>
      </c>
    </row>
    <row r="985" spans="1:4" x14ac:dyDescent="0.2">
      <c r="A985" t="s">
        <v>5602</v>
      </c>
      <c r="B985" t="s">
        <v>5401</v>
      </c>
      <c r="C985" t="s">
        <v>5311</v>
      </c>
      <c r="D985" t="s">
        <v>5439</v>
      </c>
    </row>
    <row r="986" spans="1:4" x14ac:dyDescent="0.2">
      <c r="A986" t="s">
        <v>5603</v>
      </c>
      <c r="B986" t="s">
        <v>5506</v>
      </c>
      <c r="C986" t="s">
        <v>5315</v>
      </c>
      <c r="D986" t="s">
        <v>5441</v>
      </c>
    </row>
    <row r="987" spans="1:4" x14ac:dyDescent="0.2">
      <c r="A987" t="s">
        <v>5604</v>
      </c>
      <c r="B987" t="s">
        <v>5404</v>
      </c>
      <c r="C987" t="s">
        <v>5319</v>
      </c>
      <c r="D987" t="s">
        <v>5512</v>
      </c>
    </row>
    <row r="988" spans="1:4" x14ac:dyDescent="0.2">
      <c r="A988" t="s">
        <v>5605</v>
      </c>
      <c r="B988" t="s">
        <v>5460</v>
      </c>
      <c r="C988" t="s">
        <v>5450</v>
      </c>
      <c r="D988" t="s">
        <v>5515</v>
      </c>
    </row>
    <row r="989" spans="1:4" x14ac:dyDescent="0.2">
      <c r="A989" t="s">
        <v>5606</v>
      </c>
      <c r="B989" t="s">
        <v>5517</v>
      </c>
      <c r="C989" t="s">
        <v>5508</v>
      </c>
      <c r="D989" t="s">
        <v>5519</v>
      </c>
    </row>
    <row r="990" spans="1:4" x14ac:dyDescent="0.2">
      <c r="A990" t="s">
        <v>5607</v>
      </c>
      <c r="B990" t="s">
        <v>5521</v>
      </c>
      <c r="C990" t="s">
        <v>5511</v>
      </c>
      <c r="D990" t="s">
        <v>5523</v>
      </c>
    </row>
    <row r="991" spans="1:4" x14ac:dyDescent="0.2">
      <c r="A991" t="s">
        <v>5513</v>
      </c>
      <c r="B991" t="s">
        <v>5525</v>
      </c>
      <c r="C991" t="s">
        <v>5514</v>
      </c>
      <c r="D991" t="s">
        <v>5527</v>
      </c>
    </row>
    <row r="992" spans="1:4" x14ac:dyDescent="0.2">
      <c r="A992" t="s">
        <v>5608</v>
      </c>
      <c r="B992" t="s">
        <v>5529</v>
      </c>
      <c r="C992" t="s">
        <v>5518</v>
      </c>
      <c r="D992" t="s">
        <v>5531</v>
      </c>
    </row>
    <row r="993" spans="1:4" x14ac:dyDescent="0.2">
      <c r="A993" t="s">
        <v>5609</v>
      </c>
      <c r="B993" t="s">
        <v>5533</v>
      </c>
    </row>
    <row r="994" spans="1:4" x14ac:dyDescent="0.2">
      <c r="A994" t="s">
        <v>2592</v>
      </c>
    </row>
    <row r="995" spans="1:4" x14ac:dyDescent="0.2">
      <c r="A995" t="s">
        <v>5276</v>
      </c>
      <c r="B995" t="s">
        <v>5277</v>
      </c>
      <c r="C995" t="s">
        <v>5278</v>
      </c>
      <c r="D995" t="s">
        <v>5279</v>
      </c>
    </row>
    <row r="996" spans="1:4" x14ac:dyDescent="0.2">
      <c r="A996" t="s">
        <v>5377</v>
      </c>
      <c r="B996" t="s">
        <v>5281</v>
      </c>
      <c r="C996" t="s">
        <v>129</v>
      </c>
      <c r="D996" t="s">
        <v>5378</v>
      </c>
    </row>
    <row r="997" spans="1:4" x14ac:dyDescent="0.2">
      <c r="A997" t="s">
        <v>5379</v>
      </c>
      <c r="B997" t="s">
        <v>5292</v>
      </c>
      <c r="C997" t="s">
        <v>129</v>
      </c>
      <c r="D997" t="s">
        <v>5380</v>
      </c>
    </row>
    <row r="998" spans="1:4" x14ac:dyDescent="0.2">
      <c r="A998" t="s">
        <v>5381</v>
      </c>
      <c r="B998" t="s">
        <v>5304</v>
      </c>
      <c r="C998" t="s">
        <v>129</v>
      </c>
      <c r="D998" t="s">
        <v>5382</v>
      </c>
    </row>
    <row r="999" spans="1:4" x14ac:dyDescent="0.2">
      <c r="A999" t="s">
        <v>5383</v>
      </c>
      <c r="B999" t="s">
        <v>5384</v>
      </c>
      <c r="C999" t="s">
        <v>129</v>
      </c>
      <c r="D999" t="s">
        <v>5385</v>
      </c>
    </row>
    <row r="1000" spans="1:4" x14ac:dyDescent="0.2">
      <c r="A1000" t="s">
        <v>5602</v>
      </c>
      <c r="B1000" t="s">
        <v>5401</v>
      </c>
      <c r="C1000" t="s">
        <v>5311</v>
      </c>
      <c r="D1000" t="s">
        <v>5439</v>
      </c>
    </row>
    <row r="1001" spans="1:4" x14ac:dyDescent="0.2">
      <c r="A1001" t="s">
        <v>5603</v>
      </c>
      <c r="B1001" t="s">
        <v>5506</v>
      </c>
      <c r="C1001" t="s">
        <v>5315</v>
      </c>
      <c r="D1001" t="s">
        <v>5441</v>
      </c>
    </row>
    <row r="1002" spans="1:4" x14ac:dyDescent="0.2">
      <c r="A1002" t="s">
        <v>5604</v>
      </c>
      <c r="B1002" t="s">
        <v>5404</v>
      </c>
      <c r="C1002" t="s">
        <v>5319</v>
      </c>
      <c r="D1002" t="s">
        <v>5512</v>
      </c>
    </row>
    <row r="1003" spans="1:4" x14ac:dyDescent="0.2">
      <c r="A1003" t="s">
        <v>5605</v>
      </c>
      <c r="B1003" t="s">
        <v>5460</v>
      </c>
      <c r="C1003" t="s">
        <v>5450</v>
      </c>
      <c r="D1003" t="s">
        <v>5515</v>
      </c>
    </row>
    <row r="1004" spans="1:4" x14ac:dyDescent="0.2">
      <c r="A1004" t="s">
        <v>5606</v>
      </c>
      <c r="B1004" t="s">
        <v>5517</v>
      </c>
      <c r="C1004" t="s">
        <v>5508</v>
      </c>
      <c r="D1004" t="s">
        <v>5519</v>
      </c>
    </row>
    <row r="1005" spans="1:4" x14ac:dyDescent="0.2">
      <c r="A1005" t="s">
        <v>5607</v>
      </c>
      <c r="B1005" t="s">
        <v>5521</v>
      </c>
      <c r="C1005" t="s">
        <v>5511</v>
      </c>
      <c r="D1005" t="s">
        <v>5523</v>
      </c>
    </row>
    <row r="1006" spans="1:4" x14ac:dyDescent="0.2">
      <c r="A1006" t="s">
        <v>5513</v>
      </c>
      <c r="B1006" t="s">
        <v>5525</v>
      </c>
      <c r="C1006" t="s">
        <v>5514</v>
      </c>
      <c r="D1006" t="s">
        <v>5527</v>
      </c>
    </row>
    <row r="1007" spans="1:4" x14ac:dyDescent="0.2">
      <c r="A1007" t="s">
        <v>5608</v>
      </c>
      <c r="B1007" t="s">
        <v>5529</v>
      </c>
      <c r="C1007" t="s">
        <v>5518</v>
      </c>
      <c r="D1007" t="s">
        <v>5531</v>
      </c>
    </row>
    <row r="1008" spans="1:4" x14ac:dyDescent="0.2">
      <c r="A1008" t="s">
        <v>5609</v>
      </c>
      <c r="B1008" t="s">
        <v>5533</v>
      </c>
    </row>
    <row r="1009" spans="1:4" x14ac:dyDescent="0.2">
      <c r="A1009" t="s">
        <v>2593</v>
      </c>
    </row>
    <row r="1010" spans="1:4" x14ac:dyDescent="0.2">
      <c r="A1010" t="s">
        <v>5276</v>
      </c>
      <c r="B1010" t="s">
        <v>5277</v>
      </c>
      <c r="C1010" t="s">
        <v>5278</v>
      </c>
      <c r="D1010" t="s">
        <v>5279</v>
      </c>
    </row>
    <row r="1011" spans="1:4" x14ac:dyDescent="0.2">
      <c r="A1011" t="s">
        <v>5377</v>
      </c>
      <c r="B1011" t="s">
        <v>5281</v>
      </c>
      <c r="C1011" t="s">
        <v>129</v>
      </c>
      <c r="D1011" t="s">
        <v>5378</v>
      </c>
    </row>
    <row r="1012" spans="1:4" x14ac:dyDescent="0.2">
      <c r="A1012" t="s">
        <v>5379</v>
      </c>
      <c r="B1012" t="s">
        <v>5292</v>
      </c>
      <c r="C1012" t="s">
        <v>129</v>
      </c>
      <c r="D1012" t="s">
        <v>5380</v>
      </c>
    </row>
    <row r="1013" spans="1:4" x14ac:dyDescent="0.2">
      <c r="A1013" t="s">
        <v>5381</v>
      </c>
      <c r="B1013" t="s">
        <v>5304</v>
      </c>
      <c r="C1013" t="s">
        <v>129</v>
      </c>
      <c r="D1013" t="s">
        <v>5382</v>
      </c>
    </row>
    <row r="1014" spans="1:4" x14ac:dyDescent="0.2">
      <c r="A1014" t="s">
        <v>5383</v>
      </c>
      <c r="B1014" t="s">
        <v>5384</v>
      </c>
      <c r="C1014" t="s">
        <v>129</v>
      </c>
      <c r="D1014" t="s">
        <v>5385</v>
      </c>
    </row>
    <row r="1015" spans="1:4" x14ac:dyDescent="0.2">
      <c r="A1015" t="s">
        <v>5602</v>
      </c>
      <c r="B1015" t="s">
        <v>5401</v>
      </c>
      <c r="C1015" t="s">
        <v>5311</v>
      </c>
      <c r="D1015" t="s">
        <v>5439</v>
      </c>
    </row>
    <row r="1016" spans="1:4" x14ac:dyDescent="0.2">
      <c r="A1016" t="s">
        <v>5603</v>
      </c>
      <c r="B1016" t="s">
        <v>5506</v>
      </c>
      <c r="C1016" t="s">
        <v>5315</v>
      </c>
      <c r="D1016" t="s">
        <v>5441</v>
      </c>
    </row>
    <row r="1017" spans="1:4" x14ac:dyDescent="0.2">
      <c r="A1017" t="s">
        <v>5604</v>
      </c>
      <c r="B1017" t="s">
        <v>5404</v>
      </c>
      <c r="C1017" t="s">
        <v>5319</v>
      </c>
      <c r="D1017" t="s">
        <v>5512</v>
      </c>
    </row>
    <row r="1018" spans="1:4" x14ac:dyDescent="0.2">
      <c r="A1018" t="s">
        <v>5605</v>
      </c>
      <c r="B1018" t="s">
        <v>5460</v>
      </c>
      <c r="C1018" t="s">
        <v>5450</v>
      </c>
      <c r="D1018" t="s">
        <v>5515</v>
      </c>
    </row>
    <row r="1019" spans="1:4" x14ac:dyDescent="0.2">
      <c r="A1019" t="s">
        <v>5606</v>
      </c>
      <c r="B1019" t="s">
        <v>5517</v>
      </c>
      <c r="C1019" t="s">
        <v>5508</v>
      </c>
      <c r="D1019" t="s">
        <v>5519</v>
      </c>
    </row>
    <row r="1020" spans="1:4" x14ac:dyDescent="0.2">
      <c r="A1020" t="s">
        <v>5607</v>
      </c>
      <c r="B1020" t="s">
        <v>5521</v>
      </c>
      <c r="C1020" t="s">
        <v>5511</v>
      </c>
      <c r="D1020" t="s">
        <v>5523</v>
      </c>
    </row>
    <row r="1021" spans="1:4" x14ac:dyDescent="0.2">
      <c r="A1021" t="s">
        <v>5513</v>
      </c>
      <c r="B1021" t="s">
        <v>5525</v>
      </c>
      <c r="C1021" t="s">
        <v>5514</v>
      </c>
      <c r="D1021" t="s">
        <v>5527</v>
      </c>
    </row>
    <row r="1022" spans="1:4" x14ac:dyDescent="0.2">
      <c r="A1022" t="s">
        <v>5608</v>
      </c>
      <c r="B1022" t="s">
        <v>5529</v>
      </c>
      <c r="C1022" t="s">
        <v>5518</v>
      </c>
      <c r="D1022" t="s">
        <v>5531</v>
      </c>
    </row>
    <row r="1023" spans="1:4" x14ac:dyDescent="0.2">
      <c r="A1023" t="s">
        <v>5609</v>
      </c>
      <c r="B1023" t="s">
        <v>5533</v>
      </c>
    </row>
    <row r="1024" spans="1:4" x14ac:dyDescent="0.2">
      <c r="A1024" t="s">
        <v>2594</v>
      </c>
    </row>
    <row r="1025" spans="1:4" x14ac:dyDescent="0.2">
      <c r="A1025" t="s">
        <v>5276</v>
      </c>
      <c r="B1025" t="s">
        <v>5277</v>
      </c>
      <c r="C1025" t="s">
        <v>5278</v>
      </c>
      <c r="D1025" t="s">
        <v>5279</v>
      </c>
    </row>
    <row r="1026" spans="1:4" x14ac:dyDescent="0.2">
      <c r="A1026" t="s">
        <v>5377</v>
      </c>
      <c r="B1026" t="s">
        <v>5281</v>
      </c>
      <c r="C1026" t="s">
        <v>129</v>
      </c>
      <c r="D1026" t="s">
        <v>5378</v>
      </c>
    </row>
    <row r="1027" spans="1:4" x14ac:dyDescent="0.2">
      <c r="A1027" t="s">
        <v>5379</v>
      </c>
      <c r="B1027" t="s">
        <v>5292</v>
      </c>
      <c r="C1027" t="s">
        <v>129</v>
      </c>
      <c r="D1027" t="s">
        <v>5380</v>
      </c>
    </row>
    <row r="1028" spans="1:4" x14ac:dyDescent="0.2">
      <c r="A1028" t="s">
        <v>5381</v>
      </c>
      <c r="B1028" t="s">
        <v>5304</v>
      </c>
      <c r="C1028" t="s">
        <v>129</v>
      </c>
      <c r="D1028" t="s">
        <v>5382</v>
      </c>
    </row>
    <row r="1029" spans="1:4" x14ac:dyDescent="0.2">
      <c r="A1029" t="s">
        <v>5383</v>
      </c>
      <c r="B1029" t="s">
        <v>5384</v>
      </c>
      <c r="C1029" t="s">
        <v>129</v>
      </c>
      <c r="D1029" t="s">
        <v>5385</v>
      </c>
    </row>
    <row r="1030" spans="1:4" x14ac:dyDescent="0.2">
      <c r="A1030" t="s">
        <v>5602</v>
      </c>
      <c r="B1030" t="s">
        <v>5401</v>
      </c>
      <c r="C1030" t="s">
        <v>5311</v>
      </c>
      <c r="D1030" t="s">
        <v>5439</v>
      </c>
    </row>
    <row r="1031" spans="1:4" x14ac:dyDescent="0.2">
      <c r="A1031" t="s">
        <v>5603</v>
      </c>
      <c r="B1031" t="s">
        <v>5506</v>
      </c>
      <c r="C1031" t="s">
        <v>5315</v>
      </c>
      <c r="D1031" t="s">
        <v>5441</v>
      </c>
    </row>
    <row r="1032" spans="1:4" x14ac:dyDescent="0.2">
      <c r="A1032" t="s">
        <v>5604</v>
      </c>
      <c r="B1032" t="s">
        <v>5404</v>
      </c>
      <c r="C1032" t="s">
        <v>5319</v>
      </c>
      <c r="D1032" t="s">
        <v>5512</v>
      </c>
    </row>
    <row r="1033" spans="1:4" x14ac:dyDescent="0.2">
      <c r="A1033" t="s">
        <v>5605</v>
      </c>
      <c r="B1033" t="s">
        <v>5460</v>
      </c>
      <c r="C1033" t="s">
        <v>5450</v>
      </c>
      <c r="D1033" t="s">
        <v>5515</v>
      </c>
    </row>
    <row r="1034" spans="1:4" x14ac:dyDescent="0.2">
      <c r="A1034" t="s">
        <v>5606</v>
      </c>
      <c r="B1034" t="s">
        <v>5517</v>
      </c>
      <c r="C1034" t="s">
        <v>5508</v>
      </c>
      <c r="D1034" t="s">
        <v>5519</v>
      </c>
    </row>
    <row r="1035" spans="1:4" x14ac:dyDescent="0.2">
      <c r="A1035" t="s">
        <v>5607</v>
      </c>
      <c r="B1035" t="s">
        <v>5521</v>
      </c>
      <c r="C1035" t="s">
        <v>5511</v>
      </c>
      <c r="D1035" t="s">
        <v>5523</v>
      </c>
    </row>
    <row r="1036" spans="1:4" x14ac:dyDescent="0.2">
      <c r="A1036" t="s">
        <v>5513</v>
      </c>
      <c r="B1036" t="s">
        <v>5525</v>
      </c>
      <c r="C1036" t="s">
        <v>5514</v>
      </c>
      <c r="D1036" t="s">
        <v>5527</v>
      </c>
    </row>
    <row r="1037" spans="1:4" x14ac:dyDescent="0.2">
      <c r="A1037" t="s">
        <v>5608</v>
      </c>
      <c r="B1037" t="s">
        <v>5529</v>
      </c>
      <c r="C1037" t="s">
        <v>5518</v>
      </c>
      <c r="D1037" t="s">
        <v>5531</v>
      </c>
    </row>
    <row r="1038" spans="1:4" x14ac:dyDescent="0.2">
      <c r="A1038" t="s">
        <v>5609</v>
      </c>
      <c r="B1038" t="s">
        <v>5533</v>
      </c>
    </row>
    <row r="1039" spans="1:4" x14ac:dyDescent="0.2">
      <c r="A1039" t="s">
        <v>2595</v>
      </c>
    </row>
    <row r="1040" spans="1:4" x14ac:dyDescent="0.2">
      <c r="A1040" t="s">
        <v>5276</v>
      </c>
      <c r="B1040" t="s">
        <v>5277</v>
      </c>
      <c r="C1040" t="s">
        <v>5278</v>
      </c>
      <c r="D1040" t="s">
        <v>5279</v>
      </c>
    </row>
    <row r="1041" spans="1:4" x14ac:dyDescent="0.2">
      <c r="A1041" t="s">
        <v>5377</v>
      </c>
      <c r="B1041" t="s">
        <v>5281</v>
      </c>
      <c r="C1041" t="s">
        <v>129</v>
      </c>
      <c r="D1041" t="s">
        <v>5378</v>
      </c>
    </row>
    <row r="1042" spans="1:4" x14ac:dyDescent="0.2">
      <c r="A1042" t="s">
        <v>5379</v>
      </c>
      <c r="B1042" t="s">
        <v>5292</v>
      </c>
      <c r="C1042" t="s">
        <v>129</v>
      </c>
      <c r="D1042" t="s">
        <v>5380</v>
      </c>
    </row>
    <row r="1043" spans="1:4" x14ac:dyDescent="0.2">
      <c r="A1043" t="s">
        <v>5381</v>
      </c>
      <c r="B1043" t="s">
        <v>5304</v>
      </c>
      <c r="C1043" t="s">
        <v>129</v>
      </c>
      <c r="D1043" t="s">
        <v>5382</v>
      </c>
    </row>
    <row r="1044" spans="1:4" x14ac:dyDescent="0.2">
      <c r="A1044" t="s">
        <v>5383</v>
      </c>
      <c r="B1044" t="s">
        <v>5384</v>
      </c>
      <c r="C1044" t="s">
        <v>129</v>
      </c>
      <c r="D1044" t="s">
        <v>5385</v>
      </c>
    </row>
    <row r="1045" spans="1:4" x14ac:dyDescent="0.2">
      <c r="A1045" t="s">
        <v>5602</v>
      </c>
      <c r="B1045" t="s">
        <v>5401</v>
      </c>
      <c r="C1045" t="s">
        <v>5311</v>
      </c>
      <c r="D1045" t="s">
        <v>5439</v>
      </c>
    </row>
    <row r="1046" spans="1:4" x14ac:dyDescent="0.2">
      <c r="A1046" t="s">
        <v>5603</v>
      </c>
      <c r="B1046" t="s">
        <v>5506</v>
      </c>
      <c r="C1046" t="s">
        <v>5315</v>
      </c>
      <c r="D1046" t="s">
        <v>5441</v>
      </c>
    </row>
    <row r="1047" spans="1:4" x14ac:dyDescent="0.2">
      <c r="A1047" t="s">
        <v>5604</v>
      </c>
      <c r="B1047" t="s">
        <v>5404</v>
      </c>
      <c r="C1047" t="s">
        <v>5319</v>
      </c>
      <c r="D1047" t="s">
        <v>5512</v>
      </c>
    </row>
    <row r="1048" spans="1:4" x14ac:dyDescent="0.2">
      <c r="A1048" t="s">
        <v>5605</v>
      </c>
      <c r="B1048" t="s">
        <v>5460</v>
      </c>
      <c r="C1048" t="s">
        <v>5450</v>
      </c>
      <c r="D1048" t="s">
        <v>5515</v>
      </c>
    </row>
    <row r="1049" spans="1:4" x14ac:dyDescent="0.2">
      <c r="A1049" t="s">
        <v>5606</v>
      </c>
      <c r="B1049" t="s">
        <v>5517</v>
      </c>
      <c r="C1049" t="s">
        <v>5508</v>
      </c>
      <c r="D1049" t="s">
        <v>5519</v>
      </c>
    </row>
    <row r="1050" spans="1:4" x14ac:dyDescent="0.2">
      <c r="A1050" t="s">
        <v>5607</v>
      </c>
      <c r="B1050" t="s">
        <v>5521</v>
      </c>
      <c r="C1050" t="s">
        <v>5511</v>
      </c>
      <c r="D1050" t="s">
        <v>5523</v>
      </c>
    </row>
    <row r="1051" spans="1:4" x14ac:dyDescent="0.2">
      <c r="A1051" t="s">
        <v>5513</v>
      </c>
      <c r="B1051" t="s">
        <v>5525</v>
      </c>
      <c r="C1051" t="s">
        <v>5514</v>
      </c>
      <c r="D1051" t="s">
        <v>5527</v>
      </c>
    </row>
    <row r="1052" spans="1:4" x14ac:dyDescent="0.2">
      <c r="A1052" t="s">
        <v>5608</v>
      </c>
      <c r="B1052" t="s">
        <v>5529</v>
      </c>
      <c r="C1052" t="s">
        <v>5518</v>
      </c>
      <c r="D1052" t="s">
        <v>5531</v>
      </c>
    </row>
    <row r="1053" spans="1:4" x14ac:dyDescent="0.2">
      <c r="A1053" t="s">
        <v>5609</v>
      </c>
      <c r="B1053" t="s">
        <v>5533</v>
      </c>
    </row>
    <row r="1054" spans="1:4" x14ac:dyDescent="0.2">
      <c r="A1054" t="s">
        <v>2596</v>
      </c>
    </row>
    <row r="1055" spans="1:4" x14ac:dyDescent="0.2">
      <c r="A1055" t="s">
        <v>5276</v>
      </c>
      <c r="B1055" t="s">
        <v>5277</v>
      </c>
      <c r="C1055" t="s">
        <v>5278</v>
      </c>
      <c r="D1055" t="s">
        <v>5279</v>
      </c>
    </row>
    <row r="1056" spans="1:4" x14ac:dyDescent="0.2">
      <c r="A1056" t="s">
        <v>5377</v>
      </c>
      <c r="B1056" t="s">
        <v>5281</v>
      </c>
      <c r="C1056" t="s">
        <v>129</v>
      </c>
      <c r="D1056" t="s">
        <v>5378</v>
      </c>
    </row>
    <row r="1057" spans="1:4" x14ac:dyDescent="0.2">
      <c r="A1057" t="s">
        <v>5379</v>
      </c>
      <c r="B1057" t="s">
        <v>5292</v>
      </c>
      <c r="C1057" t="s">
        <v>129</v>
      </c>
      <c r="D1057" t="s">
        <v>5380</v>
      </c>
    </row>
    <row r="1058" spans="1:4" x14ac:dyDescent="0.2">
      <c r="A1058" t="s">
        <v>5381</v>
      </c>
      <c r="B1058" t="s">
        <v>5304</v>
      </c>
      <c r="C1058" t="s">
        <v>129</v>
      </c>
      <c r="D1058" t="s">
        <v>5382</v>
      </c>
    </row>
    <row r="1059" spans="1:4" x14ac:dyDescent="0.2">
      <c r="A1059" t="s">
        <v>5383</v>
      </c>
      <c r="B1059" t="s">
        <v>5384</v>
      </c>
      <c r="C1059" t="s">
        <v>129</v>
      </c>
      <c r="D1059" t="s">
        <v>5385</v>
      </c>
    </row>
    <row r="1060" spans="1:4" x14ac:dyDescent="0.2">
      <c r="A1060" t="s">
        <v>5602</v>
      </c>
      <c r="B1060" t="s">
        <v>5401</v>
      </c>
      <c r="C1060" t="s">
        <v>5311</v>
      </c>
      <c r="D1060" t="s">
        <v>5439</v>
      </c>
    </row>
    <row r="1061" spans="1:4" x14ac:dyDescent="0.2">
      <c r="A1061" t="s">
        <v>5603</v>
      </c>
      <c r="B1061" t="s">
        <v>5506</v>
      </c>
      <c r="C1061" t="s">
        <v>5315</v>
      </c>
      <c r="D1061" t="s">
        <v>5441</v>
      </c>
    </row>
    <row r="1062" spans="1:4" x14ac:dyDescent="0.2">
      <c r="A1062" t="s">
        <v>5604</v>
      </c>
      <c r="B1062" t="s">
        <v>5404</v>
      </c>
      <c r="C1062" t="s">
        <v>5319</v>
      </c>
      <c r="D1062" t="s">
        <v>5512</v>
      </c>
    </row>
    <row r="1063" spans="1:4" x14ac:dyDescent="0.2">
      <c r="A1063" t="s">
        <v>5605</v>
      </c>
      <c r="B1063" t="s">
        <v>5460</v>
      </c>
      <c r="C1063" t="s">
        <v>5450</v>
      </c>
      <c r="D1063" t="s">
        <v>5515</v>
      </c>
    </row>
    <row r="1064" spans="1:4" x14ac:dyDescent="0.2">
      <c r="A1064" t="s">
        <v>5606</v>
      </c>
      <c r="B1064" t="s">
        <v>5517</v>
      </c>
      <c r="C1064" t="s">
        <v>5508</v>
      </c>
      <c r="D1064" t="s">
        <v>5519</v>
      </c>
    </row>
    <row r="1065" spans="1:4" x14ac:dyDescent="0.2">
      <c r="A1065" t="s">
        <v>5607</v>
      </c>
      <c r="B1065" t="s">
        <v>5521</v>
      </c>
      <c r="C1065" t="s">
        <v>5511</v>
      </c>
      <c r="D1065" t="s">
        <v>5523</v>
      </c>
    </row>
    <row r="1066" spans="1:4" x14ac:dyDescent="0.2">
      <c r="A1066" t="s">
        <v>5513</v>
      </c>
      <c r="B1066" t="s">
        <v>5525</v>
      </c>
      <c r="C1066" t="s">
        <v>5514</v>
      </c>
      <c r="D1066" t="s">
        <v>5527</v>
      </c>
    </row>
    <row r="1067" spans="1:4" x14ac:dyDescent="0.2">
      <c r="A1067" t="s">
        <v>5608</v>
      </c>
      <c r="B1067" t="s">
        <v>5529</v>
      </c>
      <c r="C1067" t="s">
        <v>5518</v>
      </c>
      <c r="D1067" t="s">
        <v>5531</v>
      </c>
    </row>
    <row r="1068" spans="1:4" x14ac:dyDescent="0.2">
      <c r="A1068" t="s">
        <v>5609</v>
      </c>
      <c r="B1068" t="s">
        <v>5533</v>
      </c>
    </row>
    <row r="1069" spans="1:4" x14ac:dyDescent="0.2">
      <c r="A1069" t="s">
        <v>2597</v>
      </c>
    </row>
    <row r="1070" spans="1:4" x14ac:dyDescent="0.2">
      <c r="A1070" t="s">
        <v>5276</v>
      </c>
      <c r="B1070" t="s">
        <v>5277</v>
      </c>
      <c r="C1070" t="s">
        <v>5278</v>
      </c>
      <c r="D1070" t="s">
        <v>5279</v>
      </c>
    </row>
    <row r="1071" spans="1:4" x14ac:dyDescent="0.2">
      <c r="A1071" t="s">
        <v>5377</v>
      </c>
      <c r="B1071" t="s">
        <v>5281</v>
      </c>
      <c r="C1071" t="s">
        <v>129</v>
      </c>
      <c r="D1071" t="s">
        <v>5378</v>
      </c>
    </row>
    <row r="1072" spans="1:4" x14ac:dyDescent="0.2">
      <c r="A1072" t="s">
        <v>5379</v>
      </c>
      <c r="B1072" t="s">
        <v>5292</v>
      </c>
      <c r="C1072" t="s">
        <v>129</v>
      </c>
      <c r="D1072" t="s">
        <v>5380</v>
      </c>
    </row>
    <row r="1073" spans="1:4" x14ac:dyDescent="0.2">
      <c r="A1073" t="s">
        <v>5381</v>
      </c>
      <c r="B1073" t="s">
        <v>5304</v>
      </c>
      <c r="C1073" t="s">
        <v>129</v>
      </c>
      <c r="D1073" t="s">
        <v>5382</v>
      </c>
    </row>
    <row r="1074" spans="1:4" x14ac:dyDescent="0.2">
      <c r="A1074" t="s">
        <v>5383</v>
      </c>
      <c r="B1074" t="s">
        <v>5384</v>
      </c>
      <c r="C1074" t="s">
        <v>129</v>
      </c>
      <c r="D1074" t="s">
        <v>5385</v>
      </c>
    </row>
    <row r="1075" spans="1:4" x14ac:dyDescent="0.2">
      <c r="A1075" t="s">
        <v>5602</v>
      </c>
      <c r="B1075" t="s">
        <v>5401</v>
      </c>
      <c r="C1075" t="s">
        <v>5311</v>
      </c>
      <c r="D1075" t="s">
        <v>5439</v>
      </c>
    </row>
    <row r="1076" spans="1:4" x14ac:dyDescent="0.2">
      <c r="A1076" t="s">
        <v>5603</v>
      </c>
      <c r="B1076" t="s">
        <v>5506</v>
      </c>
      <c r="C1076" t="s">
        <v>5315</v>
      </c>
      <c r="D1076" t="s">
        <v>5441</v>
      </c>
    </row>
    <row r="1077" spans="1:4" x14ac:dyDescent="0.2">
      <c r="A1077" t="s">
        <v>5604</v>
      </c>
      <c r="B1077" t="s">
        <v>5404</v>
      </c>
      <c r="C1077" t="s">
        <v>5319</v>
      </c>
      <c r="D1077" t="s">
        <v>5512</v>
      </c>
    </row>
    <row r="1078" spans="1:4" x14ac:dyDescent="0.2">
      <c r="A1078" t="s">
        <v>5605</v>
      </c>
      <c r="B1078" t="s">
        <v>5460</v>
      </c>
      <c r="C1078" t="s">
        <v>5450</v>
      </c>
      <c r="D1078" t="s">
        <v>5515</v>
      </c>
    </row>
    <row r="1079" spans="1:4" x14ac:dyDescent="0.2">
      <c r="A1079" t="s">
        <v>5606</v>
      </c>
      <c r="B1079" t="s">
        <v>5517</v>
      </c>
      <c r="C1079" t="s">
        <v>5508</v>
      </c>
      <c r="D1079" t="s">
        <v>5519</v>
      </c>
    </row>
    <row r="1080" spans="1:4" x14ac:dyDescent="0.2">
      <c r="A1080" t="s">
        <v>5607</v>
      </c>
      <c r="B1080" t="s">
        <v>5521</v>
      </c>
      <c r="C1080" t="s">
        <v>5511</v>
      </c>
      <c r="D1080" t="s">
        <v>5523</v>
      </c>
    </row>
    <row r="1081" spans="1:4" x14ac:dyDescent="0.2">
      <c r="A1081" t="s">
        <v>5513</v>
      </c>
      <c r="B1081" t="s">
        <v>5525</v>
      </c>
      <c r="C1081" t="s">
        <v>5514</v>
      </c>
      <c r="D1081" t="s">
        <v>5527</v>
      </c>
    </row>
    <row r="1082" spans="1:4" x14ac:dyDescent="0.2">
      <c r="A1082" t="s">
        <v>5608</v>
      </c>
      <c r="B1082" t="s">
        <v>5529</v>
      </c>
      <c r="C1082" t="s">
        <v>5518</v>
      </c>
      <c r="D1082" t="s">
        <v>5531</v>
      </c>
    </row>
    <row r="1083" spans="1:4" x14ac:dyDescent="0.2">
      <c r="A1083" t="s">
        <v>5609</v>
      </c>
      <c r="B1083" t="s">
        <v>5533</v>
      </c>
    </row>
    <row r="1084" spans="1:4" x14ac:dyDescent="0.2">
      <c r="A1084" t="s">
        <v>2598</v>
      </c>
    </row>
    <row r="1085" spans="1:4" x14ac:dyDescent="0.2">
      <c r="A1085" t="s">
        <v>5276</v>
      </c>
      <c r="B1085" t="s">
        <v>5277</v>
      </c>
      <c r="C1085" t="s">
        <v>5278</v>
      </c>
      <c r="D1085" t="s">
        <v>5279</v>
      </c>
    </row>
    <row r="1086" spans="1:4" x14ac:dyDescent="0.2">
      <c r="A1086" t="s">
        <v>5377</v>
      </c>
      <c r="B1086" t="s">
        <v>5281</v>
      </c>
      <c r="C1086" t="s">
        <v>129</v>
      </c>
      <c r="D1086" t="s">
        <v>5378</v>
      </c>
    </row>
    <row r="1087" spans="1:4" x14ac:dyDescent="0.2">
      <c r="A1087" t="s">
        <v>5379</v>
      </c>
      <c r="B1087" t="s">
        <v>5292</v>
      </c>
      <c r="C1087" t="s">
        <v>129</v>
      </c>
      <c r="D1087" t="s">
        <v>5380</v>
      </c>
    </row>
    <row r="1088" spans="1:4" x14ac:dyDescent="0.2">
      <c r="A1088" t="s">
        <v>5381</v>
      </c>
      <c r="B1088" t="s">
        <v>5304</v>
      </c>
      <c r="C1088" t="s">
        <v>129</v>
      </c>
      <c r="D1088" t="s">
        <v>5382</v>
      </c>
    </row>
    <row r="1089" spans="1:4" x14ac:dyDescent="0.2">
      <c r="A1089" t="s">
        <v>5383</v>
      </c>
      <c r="B1089" t="s">
        <v>5384</v>
      </c>
      <c r="C1089" t="s">
        <v>129</v>
      </c>
      <c r="D1089" t="s">
        <v>5385</v>
      </c>
    </row>
    <row r="1090" spans="1:4" x14ac:dyDescent="0.2">
      <c r="A1090" t="s">
        <v>5602</v>
      </c>
      <c r="B1090" t="s">
        <v>5401</v>
      </c>
      <c r="C1090" t="s">
        <v>5311</v>
      </c>
      <c r="D1090" t="s">
        <v>5439</v>
      </c>
    </row>
    <row r="1091" spans="1:4" x14ac:dyDescent="0.2">
      <c r="A1091" t="s">
        <v>5603</v>
      </c>
      <c r="B1091" t="s">
        <v>5506</v>
      </c>
      <c r="C1091" t="s">
        <v>5315</v>
      </c>
      <c r="D1091" t="s">
        <v>5441</v>
      </c>
    </row>
    <row r="1092" spans="1:4" x14ac:dyDescent="0.2">
      <c r="A1092" t="s">
        <v>5604</v>
      </c>
      <c r="B1092" t="s">
        <v>5404</v>
      </c>
      <c r="C1092" t="s">
        <v>5319</v>
      </c>
      <c r="D1092" t="s">
        <v>5512</v>
      </c>
    </row>
    <row r="1093" spans="1:4" x14ac:dyDescent="0.2">
      <c r="A1093" t="s">
        <v>5605</v>
      </c>
      <c r="B1093" t="s">
        <v>5460</v>
      </c>
      <c r="C1093" t="s">
        <v>5450</v>
      </c>
      <c r="D1093" t="s">
        <v>5515</v>
      </c>
    </row>
    <row r="1094" spans="1:4" x14ac:dyDescent="0.2">
      <c r="A1094" t="s">
        <v>5606</v>
      </c>
      <c r="B1094" t="s">
        <v>5517</v>
      </c>
      <c r="C1094" t="s">
        <v>5508</v>
      </c>
      <c r="D1094" t="s">
        <v>5519</v>
      </c>
    </row>
    <row r="1095" spans="1:4" x14ac:dyDescent="0.2">
      <c r="A1095" t="s">
        <v>5607</v>
      </c>
      <c r="B1095" t="s">
        <v>5521</v>
      </c>
      <c r="C1095" t="s">
        <v>5511</v>
      </c>
      <c r="D1095" t="s">
        <v>5523</v>
      </c>
    </row>
    <row r="1096" spans="1:4" x14ac:dyDescent="0.2">
      <c r="A1096" t="s">
        <v>5513</v>
      </c>
      <c r="B1096" t="s">
        <v>5525</v>
      </c>
      <c r="C1096" t="s">
        <v>5514</v>
      </c>
      <c r="D1096" t="s">
        <v>5527</v>
      </c>
    </row>
    <row r="1097" spans="1:4" x14ac:dyDescent="0.2">
      <c r="A1097" t="s">
        <v>5608</v>
      </c>
      <c r="B1097" t="s">
        <v>5529</v>
      </c>
      <c r="C1097" t="s">
        <v>5518</v>
      </c>
      <c r="D1097" t="s">
        <v>5531</v>
      </c>
    </row>
    <row r="1098" spans="1:4" x14ac:dyDescent="0.2">
      <c r="A1098" t="s">
        <v>5609</v>
      </c>
      <c r="B1098" t="s">
        <v>5533</v>
      </c>
    </row>
    <row r="1099" spans="1:4" x14ac:dyDescent="0.2">
      <c r="A1099" t="s">
        <v>2599</v>
      </c>
    </row>
    <row r="1100" spans="1:4" x14ac:dyDescent="0.2">
      <c r="A1100" t="s">
        <v>5276</v>
      </c>
      <c r="B1100" t="s">
        <v>5277</v>
      </c>
      <c r="C1100" t="s">
        <v>5278</v>
      </c>
      <c r="D1100" t="s">
        <v>5279</v>
      </c>
    </row>
    <row r="1101" spans="1:4" x14ac:dyDescent="0.2">
      <c r="A1101" t="s">
        <v>5377</v>
      </c>
      <c r="B1101" t="s">
        <v>5281</v>
      </c>
      <c r="C1101" t="s">
        <v>129</v>
      </c>
      <c r="D1101" t="s">
        <v>5378</v>
      </c>
    </row>
    <row r="1102" spans="1:4" x14ac:dyDescent="0.2">
      <c r="A1102" t="s">
        <v>5379</v>
      </c>
      <c r="B1102" t="s">
        <v>5292</v>
      </c>
      <c r="C1102" t="s">
        <v>129</v>
      </c>
      <c r="D1102" t="s">
        <v>5380</v>
      </c>
    </row>
    <row r="1103" spans="1:4" x14ac:dyDescent="0.2">
      <c r="A1103" t="s">
        <v>5381</v>
      </c>
      <c r="B1103" t="s">
        <v>5304</v>
      </c>
      <c r="C1103" t="s">
        <v>129</v>
      </c>
      <c r="D1103" t="s">
        <v>5382</v>
      </c>
    </row>
    <row r="1104" spans="1:4" x14ac:dyDescent="0.2">
      <c r="A1104" t="s">
        <v>5383</v>
      </c>
      <c r="B1104" t="s">
        <v>5384</v>
      </c>
      <c r="C1104" t="s">
        <v>129</v>
      </c>
      <c r="D1104" t="s">
        <v>5385</v>
      </c>
    </row>
    <row r="1105" spans="1:4" x14ac:dyDescent="0.2">
      <c r="A1105" t="s">
        <v>5602</v>
      </c>
      <c r="B1105" t="s">
        <v>5401</v>
      </c>
      <c r="C1105" t="s">
        <v>5311</v>
      </c>
      <c r="D1105" t="s">
        <v>5439</v>
      </c>
    </row>
    <row r="1106" spans="1:4" x14ac:dyDescent="0.2">
      <c r="A1106" t="s">
        <v>5603</v>
      </c>
      <c r="B1106" t="s">
        <v>5506</v>
      </c>
      <c r="C1106" t="s">
        <v>5315</v>
      </c>
      <c r="D1106" t="s">
        <v>5441</v>
      </c>
    </row>
    <row r="1107" spans="1:4" x14ac:dyDescent="0.2">
      <c r="A1107" t="s">
        <v>5604</v>
      </c>
      <c r="B1107" t="s">
        <v>5404</v>
      </c>
      <c r="C1107" t="s">
        <v>5319</v>
      </c>
      <c r="D1107" t="s">
        <v>5512</v>
      </c>
    </row>
    <row r="1108" spans="1:4" x14ac:dyDescent="0.2">
      <c r="A1108" t="s">
        <v>5605</v>
      </c>
      <c r="B1108" t="s">
        <v>5460</v>
      </c>
      <c r="C1108" t="s">
        <v>5450</v>
      </c>
      <c r="D1108" t="s">
        <v>5515</v>
      </c>
    </row>
    <row r="1109" spans="1:4" x14ac:dyDescent="0.2">
      <c r="A1109" t="s">
        <v>5606</v>
      </c>
      <c r="B1109" t="s">
        <v>5517</v>
      </c>
      <c r="C1109" t="s">
        <v>5508</v>
      </c>
      <c r="D1109" t="s">
        <v>5519</v>
      </c>
    </row>
    <row r="1110" spans="1:4" x14ac:dyDescent="0.2">
      <c r="A1110" t="s">
        <v>5607</v>
      </c>
      <c r="B1110" t="s">
        <v>5521</v>
      </c>
      <c r="C1110" t="s">
        <v>5511</v>
      </c>
      <c r="D1110" t="s">
        <v>5523</v>
      </c>
    </row>
    <row r="1111" spans="1:4" x14ac:dyDescent="0.2">
      <c r="A1111" t="s">
        <v>5513</v>
      </c>
      <c r="B1111" t="s">
        <v>5525</v>
      </c>
      <c r="C1111" t="s">
        <v>5514</v>
      </c>
      <c r="D1111" t="s">
        <v>5527</v>
      </c>
    </row>
    <row r="1112" spans="1:4" x14ac:dyDescent="0.2">
      <c r="A1112" t="s">
        <v>5608</v>
      </c>
      <c r="B1112" t="s">
        <v>5529</v>
      </c>
      <c r="C1112" t="s">
        <v>5518</v>
      </c>
      <c r="D1112" t="s">
        <v>5531</v>
      </c>
    </row>
    <row r="1113" spans="1:4" x14ac:dyDescent="0.2">
      <c r="A1113" t="s">
        <v>5609</v>
      </c>
      <c r="B1113" t="s">
        <v>5533</v>
      </c>
    </row>
    <row r="1114" spans="1:4" x14ac:dyDescent="0.2">
      <c r="A1114" t="s">
        <v>2600</v>
      </c>
    </row>
    <row r="1115" spans="1:4" x14ac:dyDescent="0.2">
      <c r="A1115" t="s">
        <v>5276</v>
      </c>
      <c r="B1115" t="s">
        <v>5277</v>
      </c>
      <c r="C1115" t="s">
        <v>5278</v>
      </c>
      <c r="D1115" t="s">
        <v>5279</v>
      </c>
    </row>
    <row r="1116" spans="1:4" x14ac:dyDescent="0.2">
      <c r="A1116" t="s">
        <v>5377</v>
      </c>
      <c r="B1116" t="s">
        <v>5281</v>
      </c>
      <c r="C1116" t="s">
        <v>129</v>
      </c>
      <c r="D1116" t="s">
        <v>5378</v>
      </c>
    </row>
    <row r="1117" spans="1:4" x14ac:dyDescent="0.2">
      <c r="A1117" t="s">
        <v>5379</v>
      </c>
      <c r="B1117" t="s">
        <v>5292</v>
      </c>
      <c r="C1117" t="s">
        <v>129</v>
      </c>
      <c r="D1117" t="s">
        <v>5380</v>
      </c>
    </row>
    <row r="1118" spans="1:4" x14ac:dyDescent="0.2">
      <c r="A1118" t="s">
        <v>5381</v>
      </c>
      <c r="B1118" t="s">
        <v>5304</v>
      </c>
      <c r="C1118" t="s">
        <v>129</v>
      </c>
      <c r="D1118" t="s">
        <v>5382</v>
      </c>
    </row>
    <row r="1119" spans="1:4" x14ac:dyDescent="0.2">
      <c r="A1119" t="s">
        <v>5383</v>
      </c>
      <c r="B1119" t="s">
        <v>5384</v>
      </c>
      <c r="C1119" t="s">
        <v>129</v>
      </c>
      <c r="D1119" t="s">
        <v>5385</v>
      </c>
    </row>
    <row r="1120" spans="1:4" x14ac:dyDescent="0.2">
      <c r="A1120" t="s">
        <v>5602</v>
      </c>
      <c r="B1120" t="s">
        <v>5401</v>
      </c>
      <c r="C1120" t="s">
        <v>5311</v>
      </c>
      <c r="D1120" t="s">
        <v>5439</v>
      </c>
    </row>
    <row r="1121" spans="1:4" x14ac:dyDescent="0.2">
      <c r="A1121" t="s">
        <v>5603</v>
      </c>
      <c r="B1121" t="s">
        <v>5506</v>
      </c>
      <c r="C1121" t="s">
        <v>5315</v>
      </c>
      <c r="D1121" t="s">
        <v>5441</v>
      </c>
    </row>
    <row r="1122" spans="1:4" x14ac:dyDescent="0.2">
      <c r="A1122" t="s">
        <v>5604</v>
      </c>
      <c r="B1122" t="s">
        <v>5404</v>
      </c>
      <c r="C1122" t="s">
        <v>5319</v>
      </c>
      <c r="D1122" t="s">
        <v>5512</v>
      </c>
    </row>
    <row r="1123" spans="1:4" x14ac:dyDescent="0.2">
      <c r="A1123" t="s">
        <v>5605</v>
      </c>
      <c r="B1123" t="s">
        <v>5460</v>
      </c>
      <c r="C1123" t="s">
        <v>5450</v>
      </c>
      <c r="D1123" t="s">
        <v>5515</v>
      </c>
    </row>
    <row r="1124" spans="1:4" x14ac:dyDescent="0.2">
      <c r="A1124" t="s">
        <v>5606</v>
      </c>
      <c r="B1124" t="s">
        <v>5517</v>
      </c>
      <c r="C1124" t="s">
        <v>5508</v>
      </c>
      <c r="D1124" t="s">
        <v>5519</v>
      </c>
    </row>
    <row r="1125" spans="1:4" x14ac:dyDescent="0.2">
      <c r="A1125" t="s">
        <v>5607</v>
      </c>
      <c r="B1125" t="s">
        <v>5521</v>
      </c>
      <c r="C1125" t="s">
        <v>5511</v>
      </c>
      <c r="D1125" t="s">
        <v>5523</v>
      </c>
    </row>
    <row r="1126" spans="1:4" x14ac:dyDescent="0.2">
      <c r="A1126" t="s">
        <v>5513</v>
      </c>
      <c r="B1126" t="s">
        <v>5525</v>
      </c>
      <c r="C1126" t="s">
        <v>5514</v>
      </c>
      <c r="D1126" t="s">
        <v>5527</v>
      </c>
    </row>
    <row r="1127" spans="1:4" x14ac:dyDescent="0.2">
      <c r="A1127" t="s">
        <v>5608</v>
      </c>
      <c r="B1127" t="s">
        <v>5529</v>
      </c>
      <c r="C1127" t="s">
        <v>5518</v>
      </c>
      <c r="D1127" t="s">
        <v>5531</v>
      </c>
    </row>
    <row r="1128" spans="1:4" x14ac:dyDescent="0.2">
      <c r="A1128" t="s">
        <v>5609</v>
      </c>
      <c r="B1128" t="s">
        <v>5533</v>
      </c>
    </row>
    <row r="1129" spans="1:4" x14ac:dyDescent="0.2">
      <c r="A1129" t="s">
        <v>2601</v>
      </c>
    </row>
    <row r="1130" spans="1:4" x14ac:dyDescent="0.2">
      <c r="A1130" t="s">
        <v>5276</v>
      </c>
      <c r="B1130" t="s">
        <v>5277</v>
      </c>
      <c r="C1130" t="s">
        <v>5278</v>
      </c>
      <c r="D1130" t="s">
        <v>5279</v>
      </c>
    </row>
    <row r="1131" spans="1:4" x14ac:dyDescent="0.2">
      <c r="A1131" t="s">
        <v>5377</v>
      </c>
      <c r="B1131" t="s">
        <v>5281</v>
      </c>
      <c r="C1131" t="s">
        <v>129</v>
      </c>
      <c r="D1131" t="s">
        <v>5378</v>
      </c>
    </row>
    <row r="1132" spans="1:4" x14ac:dyDescent="0.2">
      <c r="A1132" t="s">
        <v>5379</v>
      </c>
      <c r="B1132" t="s">
        <v>5292</v>
      </c>
      <c r="C1132" t="s">
        <v>129</v>
      </c>
      <c r="D1132" t="s">
        <v>5380</v>
      </c>
    </row>
    <row r="1133" spans="1:4" x14ac:dyDescent="0.2">
      <c r="A1133" t="s">
        <v>5381</v>
      </c>
      <c r="B1133" t="s">
        <v>5304</v>
      </c>
      <c r="C1133" t="s">
        <v>129</v>
      </c>
      <c r="D1133" t="s">
        <v>5382</v>
      </c>
    </row>
    <row r="1134" spans="1:4" x14ac:dyDescent="0.2">
      <c r="A1134" t="s">
        <v>5383</v>
      </c>
      <c r="B1134" t="s">
        <v>5384</v>
      </c>
      <c r="C1134" t="s">
        <v>129</v>
      </c>
      <c r="D1134" t="s">
        <v>5385</v>
      </c>
    </row>
    <row r="1135" spans="1:4" x14ac:dyDescent="0.2">
      <c r="A1135" t="s">
        <v>5602</v>
      </c>
      <c r="B1135" t="s">
        <v>5401</v>
      </c>
      <c r="C1135" t="s">
        <v>5311</v>
      </c>
      <c r="D1135" t="s">
        <v>5439</v>
      </c>
    </row>
    <row r="1136" spans="1:4" x14ac:dyDescent="0.2">
      <c r="A1136" t="s">
        <v>5603</v>
      </c>
      <c r="B1136" t="s">
        <v>5506</v>
      </c>
      <c r="C1136" t="s">
        <v>5315</v>
      </c>
      <c r="D1136" t="s">
        <v>5441</v>
      </c>
    </row>
    <row r="1137" spans="1:4" x14ac:dyDescent="0.2">
      <c r="A1137" t="s">
        <v>5604</v>
      </c>
      <c r="B1137" t="s">
        <v>5404</v>
      </c>
      <c r="C1137" t="s">
        <v>5319</v>
      </c>
      <c r="D1137" t="s">
        <v>5512</v>
      </c>
    </row>
    <row r="1138" spans="1:4" x14ac:dyDescent="0.2">
      <c r="A1138" t="s">
        <v>5605</v>
      </c>
      <c r="B1138" t="s">
        <v>5460</v>
      </c>
      <c r="C1138" t="s">
        <v>5450</v>
      </c>
      <c r="D1138" t="s">
        <v>5515</v>
      </c>
    </row>
    <row r="1139" spans="1:4" x14ac:dyDescent="0.2">
      <c r="A1139" t="s">
        <v>5606</v>
      </c>
      <c r="B1139" t="s">
        <v>5517</v>
      </c>
      <c r="C1139" t="s">
        <v>5508</v>
      </c>
      <c r="D1139" t="s">
        <v>5519</v>
      </c>
    </row>
    <row r="1140" spans="1:4" x14ac:dyDescent="0.2">
      <c r="A1140" t="s">
        <v>5607</v>
      </c>
      <c r="B1140" t="s">
        <v>5521</v>
      </c>
      <c r="C1140" t="s">
        <v>5511</v>
      </c>
      <c r="D1140" t="s">
        <v>5523</v>
      </c>
    </row>
    <row r="1141" spans="1:4" x14ac:dyDescent="0.2">
      <c r="A1141" t="s">
        <v>5513</v>
      </c>
      <c r="B1141" t="s">
        <v>5525</v>
      </c>
      <c r="C1141" t="s">
        <v>5514</v>
      </c>
      <c r="D1141" t="s">
        <v>5527</v>
      </c>
    </row>
    <row r="1142" spans="1:4" x14ac:dyDescent="0.2">
      <c r="A1142" t="s">
        <v>5608</v>
      </c>
      <c r="B1142" t="s">
        <v>5529</v>
      </c>
      <c r="C1142" t="s">
        <v>5518</v>
      </c>
      <c r="D1142" t="s">
        <v>5531</v>
      </c>
    </row>
    <row r="1143" spans="1:4" x14ac:dyDescent="0.2">
      <c r="A1143" t="s">
        <v>5609</v>
      </c>
      <c r="B1143" t="s">
        <v>5533</v>
      </c>
    </row>
    <row r="1144" spans="1:4" x14ac:dyDescent="0.2">
      <c r="A1144" t="s">
        <v>2602</v>
      </c>
    </row>
    <row r="1145" spans="1:4" x14ac:dyDescent="0.2">
      <c r="A1145" t="s">
        <v>5276</v>
      </c>
      <c r="B1145" t="s">
        <v>5277</v>
      </c>
      <c r="C1145" t="s">
        <v>5278</v>
      </c>
      <c r="D1145" t="s">
        <v>5279</v>
      </c>
    </row>
    <row r="1146" spans="1:4" x14ac:dyDescent="0.2">
      <c r="A1146" t="s">
        <v>5410</v>
      </c>
      <c r="B1146" t="s">
        <v>5281</v>
      </c>
      <c r="C1146" t="s">
        <v>129</v>
      </c>
      <c r="D1146" t="s">
        <v>5411</v>
      </c>
    </row>
    <row r="1147" spans="1:4" x14ac:dyDescent="0.2">
      <c r="A1147" t="s">
        <v>5412</v>
      </c>
      <c r="B1147" t="s">
        <v>5404</v>
      </c>
    </row>
    <row r="1148" spans="1:4" x14ac:dyDescent="0.2">
      <c r="A1148" t="s">
        <v>2603</v>
      </c>
    </row>
    <row r="1149" spans="1:4" x14ac:dyDescent="0.2">
      <c r="A1149" t="s">
        <v>5276</v>
      </c>
      <c r="B1149" t="s">
        <v>5277</v>
      </c>
      <c r="C1149" t="s">
        <v>5278</v>
      </c>
      <c r="D1149" t="s">
        <v>5279</v>
      </c>
    </row>
    <row r="1150" spans="1:4" x14ac:dyDescent="0.2">
      <c r="A1150" t="s">
        <v>5410</v>
      </c>
      <c r="B1150" t="s">
        <v>5281</v>
      </c>
      <c r="C1150" t="s">
        <v>129</v>
      </c>
      <c r="D1150" t="s">
        <v>5411</v>
      </c>
    </row>
    <row r="1151" spans="1:4" x14ac:dyDescent="0.2">
      <c r="A1151" t="s">
        <v>5412</v>
      </c>
      <c r="B1151" t="s">
        <v>5404</v>
      </c>
    </row>
    <row r="1152" spans="1:4" x14ac:dyDescent="0.2">
      <c r="A1152" t="s">
        <v>2604</v>
      </c>
    </row>
    <row r="1153" spans="1:4" x14ac:dyDescent="0.2">
      <c r="A1153" t="s">
        <v>5276</v>
      </c>
      <c r="B1153" t="s">
        <v>5277</v>
      </c>
      <c r="C1153" t="s">
        <v>5278</v>
      </c>
      <c r="D1153" t="s">
        <v>5279</v>
      </c>
    </row>
    <row r="1154" spans="1:4" x14ac:dyDescent="0.2">
      <c r="A1154" t="s">
        <v>5410</v>
      </c>
      <c r="B1154" t="s">
        <v>5281</v>
      </c>
      <c r="C1154" t="s">
        <v>129</v>
      </c>
      <c r="D1154" t="s">
        <v>5411</v>
      </c>
    </row>
    <row r="1155" spans="1:4" x14ac:dyDescent="0.2">
      <c r="A1155" t="s">
        <v>5412</v>
      </c>
      <c r="B1155" t="s">
        <v>5404</v>
      </c>
    </row>
    <row r="1156" spans="1:4" x14ac:dyDescent="0.2">
      <c r="A1156" t="s">
        <v>2605</v>
      </c>
    </row>
    <row r="1157" spans="1:4" x14ac:dyDescent="0.2">
      <c r="A1157" t="s">
        <v>5276</v>
      </c>
      <c r="B1157" t="s">
        <v>5277</v>
      </c>
      <c r="C1157" t="s">
        <v>5278</v>
      </c>
      <c r="D1157" t="s">
        <v>5279</v>
      </c>
    </row>
    <row r="1158" spans="1:4" x14ac:dyDescent="0.2">
      <c r="A1158" t="s">
        <v>5410</v>
      </c>
      <c r="B1158" t="s">
        <v>5281</v>
      </c>
      <c r="C1158" t="s">
        <v>129</v>
      </c>
      <c r="D1158" t="s">
        <v>5411</v>
      </c>
    </row>
    <row r="1159" spans="1:4" x14ac:dyDescent="0.2">
      <c r="A1159" t="s">
        <v>5412</v>
      </c>
      <c r="B1159" t="s">
        <v>5404</v>
      </c>
    </row>
    <row r="1160" spans="1:4" x14ac:dyDescent="0.2">
      <c r="A1160" t="s">
        <v>2606</v>
      </c>
    </row>
    <row r="1161" spans="1:4" x14ac:dyDescent="0.2">
      <c r="A1161" t="s">
        <v>5276</v>
      </c>
      <c r="B1161" t="s">
        <v>5277</v>
      </c>
      <c r="C1161" t="s">
        <v>5278</v>
      </c>
      <c r="D1161" t="s">
        <v>5279</v>
      </c>
    </row>
    <row r="1162" spans="1:4" x14ac:dyDescent="0.2">
      <c r="A1162" t="s">
        <v>5410</v>
      </c>
      <c r="B1162" t="s">
        <v>5281</v>
      </c>
      <c r="C1162" t="s">
        <v>129</v>
      </c>
      <c r="D1162" t="s">
        <v>5411</v>
      </c>
    </row>
    <row r="1163" spans="1:4" x14ac:dyDescent="0.2">
      <c r="A1163" t="s">
        <v>5412</v>
      </c>
      <c r="B1163" t="s">
        <v>5404</v>
      </c>
    </row>
    <row r="1164" spans="1:4" x14ac:dyDescent="0.2">
      <c r="A1164" t="s">
        <v>2607</v>
      </c>
    </row>
    <row r="1165" spans="1:4" x14ac:dyDescent="0.2">
      <c r="A1165" t="s">
        <v>5276</v>
      </c>
      <c r="B1165" t="s">
        <v>5277</v>
      </c>
      <c r="C1165" t="s">
        <v>5278</v>
      </c>
      <c r="D1165" t="s">
        <v>5279</v>
      </c>
    </row>
    <row r="1166" spans="1:4" x14ac:dyDescent="0.2">
      <c r="A1166" t="s">
        <v>5410</v>
      </c>
      <c r="B1166" t="s">
        <v>5281</v>
      </c>
      <c r="C1166" t="s">
        <v>129</v>
      </c>
      <c r="D1166" t="s">
        <v>5411</v>
      </c>
    </row>
    <row r="1167" spans="1:4" x14ac:dyDescent="0.2">
      <c r="A1167" t="s">
        <v>5412</v>
      </c>
      <c r="B1167" t="s">
        <v>5404</v>
      </c>
    </row>
    <row r="1168" spans="1:4" x14ac:dyDescent="0.2">
      <c r="A1168" t="s">
        <v>2608</v>
      </c>
    </row>
    <row r="1169" spans="1:4" x14ac:dyDescent="0.2">
      <c r="A1169" t="s">
        <v>5276</v>
      </c>
      <c r="B1169" t="s">
        <v>5277</v>
      </c>
      <c r="C1169" t="s">
        <v>5278</v>
      </c>
      <c r="D1169" t="s">
        <v>5279</v>
      </c>
    </row>
    <row r="1170" spans="1:4" x14ac:dyDescent="0.2">
      <c r="A1170" t="s">
        <v>5410</v>
      </c>
      <c r="B1170" t="s">
        <v>5281</v>
      </c>
      <c r="C1170" t="s">
        <v>129</v>
      </c>
      <c r="D1170" t="s">
        <v>5411</v>
      </c>
    </row>
    <row r="1171" spans="1:4" x14ac:dyDescent="0.2">
      <c r="A1171" t="s">
        <v>5412</v>
      </c>
      <c r="B1171" t="s">
        <v>5404</v>
      </c>
    </row>
    <row r="1172" spans="1:4" x14ac:dyDescent="0.2">
      <c r="A1172" t="s">
        <v>2609</v>
      </c>
    </row>
    <row r="1173" spans="1:4" x14ac:dyDescent="0.2">
      <c r="A1173" t="s">
        <v>5276</v>
      </c>
      <c r="B1173" t="s">
        <v>5277</v>
      </c>
      <c r="C1173" t="s">
        <v>5278</v>
      </c>
      <c r="D1173" t="s">
        <v>5279</v>
      </c>
    </row>
    <row r="1174" spans="1:4" x14ac:dyDescent="0.2">
      <c r="A1174" t="s">
        <v>5410</v>
      </c>
      <c r="B1174" t="s">
        <v>5281</v>
      </c>
      <c r="C1174" t="s">
        <v>129</v>
      </c>
      <c r="D1174" t="s">
        <v>5411</v>
      </c>
    </row>
    <row r="1175" spans="1:4" x14ac:dyDescent="0.2">
      <c r="A1175" t="s">
        <v>5412</v>
      </c>
      <c r="B1175" t="s">
        <v>5404</v>
      </c>
    </row>
    <row r="1176" spans="1:4" x14ac:dyDescent="0.2">
      <c r="A1176" t="s">
        <v>2610</v>
      </c>
    </row>
    <row r="1177" spans="1:4" x14ac:dyDescent="0.2">
      <c r="A1177" t="s">
        <v>5461</v>
      </c>
      <c r="B1177" t="s">
        <v>5462</v>
      </c>
      <c r="C1177" t="s">
        <v>5463</v>
      </c>
      <c r="D1177" t="s">
        <v>5464</v>
      </c>
    </row>
    <row r="1178" spans="1:4" x14ac:dyDescent="0.2">
      <c r="A1178" t="s">
        <v>5334</v>
      </c>
      <c r="B1178" t="s">
        <v>5335</v>
      </c>
      <c r="C1178" t="s">
        <v>129</v>
      </c>
      <c r="D1178" t="s">
        <v>5336</v>
      </c>
    </row>
    <row r="1179" spans="1:4" x14ac:dyDescent="0.2">
      <c r="A1179" t="s">
        <v>5337</v>
      </c>
      <c r="B1179" t="s">
        <v>5338</v>
      </c>
    </row>
    <row r="1180" spans="1:4" x14ac:dyDescent="0.2">
      <c r="A1180" t="s">
        <v>2611</v>
      </c>
    </row>
    <row r="1181" spans="1:4" x14ac:dyDescent="0.2">
      <c r="A1181" t="s">
        <v>5461</v>
      </c>
      <c r="B1181" t="s">
        <v>5462</v>
      </c>
      <c r="C1181" t="s">
        <v>5463</v>
      </c>
      <c r="D1181" t="s">
        <v>5464</v>
      </c>
    </row>
    <row r="1182" spans="1:4" x14ac:dyDescent="0.2">
      <c r="A1182" t="s">
        <v>5339</v>
      </c>
      <c r="B1182" t="s">
        <v>5340</v>
      </c>
      <c r="C1182" t="s">
        <v>129</v>
      </c>
      <c r="D1182" t="s">
        <v>5341</v>
      </c>
    </row>
    <row r="1183" spans="1:4" x14ac:dyDescent="0.2">
      <c r="A1183" t="s">
        <v>5342</v>
      </c>
      <c r="B1183" t="s">
        <v>5343</v>
      </c>
    </row>
    <row r="1184" spans="1:4" x14ac:dyDescent="0.2">
      <c r="A1184" t="s">
        <v>2612</v>
      </c>
    </row>
    <row r="1185" spans="1:4" x14ac:dyDescent="0.2">
      <c r="A1185" t="s">
        <v>5461</v>
      </c>
      <c r="B1185" t="s">
        <v>5462</v>
      </c>
      <c r="C1185" t="s">
        <v>5463</v>
      </c>
      <c r="D1185" t="s">
        <v>5464</v>
      </c>
    </row>
    <row r="1186" spans="1:4" x14ac:dyDescent="0.2">
      <c r="A1186" t="s">
        <v>5344</v>
      </c>
      <c r="B1186" t="s">
        <v>5345</v>
      </c>
      <c r="C1186" t="s">
        <v>129</v>
      </c>
      <c r="D1186" t="s">
        <v>5346</v>
      </c>
    </row>
    <row r="1187" spans="1:4" x14ac:dyDescent="0.2">
      <c r="A1187" t="s">
        <v>5347</v>
      </c>
      <c r="B1187" t="s">
        <v>5348</v>
      </c>
      <c r="C1187" t="s">
        <v>129</v>
      </c>
      <c r="D1187" t="s">
        <v>5349</v>
      </c>
    </row>
    <row r="1188" spans="1:4" x14ac:dyDescent="0.2">
      <c r="A1188" t="s">
        <v>5350</v>
      </c>
      <c r="B1188" t="s">
        <v>5351</v>
      </c>
    </row>
    <row r="1189" spans="1:4" x14ac:dyDescent="0.2">
      <c r="A1189" t="s">
        <v>2613</v>
      </c>
    </row>
    <row r="1190" spans="1:4" x14ac:dyDescent="0.2">
      <c r="A1190" t="s">
        <v>5461</v>
      </c>
      <c r="B1190" t="s">
        <v>5462</v>
      </c>
      <c r="C1190" t="s">
        <v>5463</v>
      </c>
      <c r="D1190" t="s">
        <v>5464</v>
      </c>
    </row>
    <row r="1191" spans="1:4" x14ac:dyDescent="0.2">
      <c r="A1191" t="s">
        <v>5372</v>
      </c>
      <c r="B1191" t="s">
        <v>5373</v>
      </c>
      <c r="C1191" t="s">
        <v>129</v>
      </c>
      <c r="D1191" t="s">
        <v>5374</v>
      </c>
    </row>
    <row r="1192" spans="1:4" x14ac:dyDescent="0.2">
      <c r="A1192" t="s">
        <v>5375</v>
      </c>
      <c r="B1192" t="s">
        <v>5376</v>
      </c>
    </row>
    <row r="1193" spans="1:4" x14ac:dyDescent="0.2">
      <c r="A1193" t="s">
        <v>2614</v>
      </c>
    </row>
    <row r="1194" spans="1:4" x14ac:dyDescent="0.2">
      <c r="A1194" t="s">
        <v>5461</v>
      </c>
      <c r="B1194" t="s">
        <v>5462</v>
      </c>
      <c r="C1194" t="s">
        <v>5463</v>
      </c>
      <c r="D1194" t="s">
        <v>5464</v>
      </c>
    </row>
    <row r="1195" spans="1:4" x14ac:dyDescent="0.2">
      <c r="A1195" t="s">
        <v>5352</v>
      </c>
      <c r="B1195" t="s">
        <v>5353</v>
      </c>
      <c r="C1195" t="s">
        <v>129</v>
      </c>
      <c r="D1195" t="s">
        <v>5354</v>
      </c>
    </row>
    <row r="1196" spans="1:4" x14ac:dyDescent="0.2">
      <c r="A1196" t="s">
        <v>5355</v>
      </c>
      <c r="B1196" t="s">
        <v>5356</v>
      </c>
      <c r="C1196" t="s">
        <v>129</v>
      </c>
      <c r="D1196" t="s">
        <v>5357</v>
      </c>
    </row>
    <row r="1197" spans="1:4" x14ac:dyDescent="0.2">
      <c r="A1197" t="s">
        <v>5358</v>
      </c>
      <c r="B1197" t="s">
        <v>5287</v>
      </c>
      <c r="C1197" t="s">
        <v>129</v>
      </c>
      <c r="D1197" t="s">
        <v>5359</v>
      </c>
    </row>
    <row r="1198" spans="1:4" x14ac:dyDescent="0.2">
      <c r="A1198" t="s">
        <v>5360</v>
      </c>
      <c r="B1198" t="s">
        <v>5361</v>
      </c>
      <c r="C1198" t="s">
        <v>129</v>
      </c>
      <c r="D1198" t="s">
        <v>5362</v>
      </c>
    </row>
    <row r="1199" spans="1:4" x14ac:dyDescent="0.2">
      <c r="A1199" t="s">
        <v>5363</v>
      </c>
      <c r="B1199" t="s">
        <v>5364</v>
      </c>
      <c r="C1199" t="s">
        <v>5311</v>
      </c>
      <c r="D1199" t="s">
        <v>5365</v>
      </c>
    </row>
    <row r="1200" spans="1:4" x14ac:dyDescent="0.2">
      <c r="A1200" t="s">
        <v>5366</v>
      </c>
      <c r="B1200" t="s">
        <v>5367</v>
      </c>
      <c r="C1200" t="s">
        <v>5315</v>
      </c>
      <c r="D1200" t="s">
        <v>5368</v>
      </c>
    </row>
    <row r="1201" spans="1:4" x14ac:dyDescent="0.2">
      <c r="A1201" t="s">
        <v>5369</v>
      </c>
      <c r="B1201" t="s">
        <v>5370</v>
      </c>
      <c r="C1201" t="s">
        <v>5319</v>
      </c>
      <c r="D1201" t="s">
        <v>5371</v>
      </c>
    </row>
    <row r="1202" spans="1:4" x14ac:dyDescent="0.2">
      <c r="A1202" t="s">
        <v>2615</v>
      </c>
    </row>
    <row r="1203" spans="1:4" x14ac:dyDescent="0.2">
      <c r="A1203" t="s">
        <v>5461</v>
      </c>
      <c r="B1203" t="s">
        <v>5462</v>
      </c>
      <c r="C1203" t="s">
        <v>5463</v>
      </c>
      <c r="D1203" t="s">
        <v>5464</v>
      </c>
    </row>
    <row r="1204" spans="1:4" x14ac:dyDescent="0.2">
      <c r="A1204" t="s">
        <v>5554</v>
      </c>
      <c r="B1204" t="s">
        <v>5555</v>
      </c>
      <c r="C1204" t="s">
        <v>129</v>
      </c>
      <c r="D1204" t="s">
        <v>5556</v>
      </c>
    </row>
    <row r="1205" spans="1:4" x14ac:dyDescent="0.2">
      <c r="A1205" t="s">
        <v>5557</v>
      </c>
      <c r="B1205" t="s">
        <v>5558</v>
      </c>
    </row>
    <row r="1206" spans="1:4" x14ac:dyDescent="0.2">
      <c r="A1206" t="s">
        <v>5226</v>
      </c>
    </row>
    <row r="1207" spans="1:4" x14ac:dyDescent="0.2">
      <c r="A1207" t="s">
        <v>5276</v>
      </c>
      <c r="B1207" t="s">
        <v>5277</v>
      </c>
      <c r="C1207" t="s">
        <v>5278</v>
      </c>
      <c r="D1207" t="s">
        <v>5279</v>
      </c>
    </row>
    <row r="1208" spans="1:4" x14ac:dyDescent="0.2">
      <c r="A1208" t="s">
        <v>5610</v>
      </c>
      <c r="B1208" t="s">
        <v>5611</v>
      </c>
      <c r="C1208" t="s">
        <v>129</v>
      </c>
      <c r="D1208" t="s">
        <v>5316</v>
      </c>
    </row>
    <row r="1209" spans="1:4" x14ac:dyDescent="0.2">
      <c r="A1209" t="s">
        <v>2634</v>
      </c>
    </row>
    <row r="1210" spans="1:4" x14ac:dyDescent="0.2">
      <c r="A1210" t="s">
        <v>5276</v>
      </c>
      <c r="B1210" t="s">
        <v>5277</v>
      </c>
      <c r="C1210" t="s">
        <v>5278</v>
      </c>
      <c r="D1210" t="s">
        <v>5279</v>
      </c>
    </row>
    <row r="1211" spans="1:4" x14ac:dyDescent="0.2">
      <c r="A1211" t="s">
        <v>5321</v>
      </c>
      <c r="B1211" t="s">
        <v>5281</v>
      </c>
      <c r="C1211" t="s">
        <v>129</v>
      </c>
      <c r="D1211" t="s">
        <v>5322</v>
      </c>
    </row>
    <row r="1212" spans="1:4" x14ac:dyDescent="0.2">
      <c r="A1212" t="s">
        <v>5591</v>
      </c>
      <c r="B1212" t="s">
        <v>5333</v>
      </c>
    </row>
    <row r="1213" spans="1:4" x14ac:dyDescent="0.2">
      <c r="A1213" t="s">
        <v>2635</v>
      </c>
    </row>
    <row r="1214" spans="1:4" x14ac:dyDescent="0.2">
      <c r="A1214" t="s">
        <v>5276</v>
      </c>
      <c r="B1214" t="s">
        <v>5277</v>
      </c>
      <c r="C1214" t="s">
        <v>5278</v>
      </c>
      <c r="D1214" t="s">
        <v>5279</v>
      </c>
    </row>
    <row r="1215" spans="1:4" x14ac:dyDescent="0.2">
      <c r="A1215" t="s">
        <v>5321</v>
      </c>
      <c r="B1215" t="s">
        <v>5281</v>
      </c>
      <c r="C1215" t="s">
        <v>129</v>
      </c>
      <c r="D1215" t="s">
        <v>5322</v>
      </c>
    </row>
    <row r="1216" spans="1:4" x14ac:dyDescent="0.2">
      <c r="A1216" t="s">
        <v>5591</v>
      </c>
      <c r="B1216" t="s">
        <v>5333</v>
      </c>
    </row>
    <row r="1217" spans="1:4" x14ac:dyDescent="0.2">
      <c r="A1217" t="s">
        <v>2636</v>
      </c>
    </row>
    <row r="1218" spans="1:4" x14ac:dyDescent="0.2">
      <c r="A1218" t="s">
        <v>5276</v>
      </c>
      <c r="B1218" t="s">
        <v>5277</v>
      </c>
      <c r="C1218" t="s">
        <v>5278</v>
      </c>
      <c r="D1218" t="s">
        <v>5279</v>
      </c>
    </row>
    <row r="1219" spans="1:4" x14ac:dyDescent="0.2">
      <c r="A1219" t="s">
        <v>5592</v>
      </c>
      <c r="B1219" t="s">
        <v>5581</v>
      </c>
      <c r="C1219" t="s">
        <v>129</v>
      </c>
      <c r="D1219" t="s">
        <v>5593</v>
      </c>
    </row>
    <row r="1220" spans="1:4" x14ac:dyDescent="0.2">
      <c r="A1220" t="s">
        <v>2637</v>
      </c>
    </row>
    <row r="1221" spans="1:4" x14ac:dyDescent="0.2">
      <c r="A1221" t="s">
        <v>5276</v>
      </c>
      <c r="B1221" t="s">
        <v>5277</v>
      </c>
      <c r="C1221" t="s">
        <v>5278</v>
      </c>
      <c r="D1221" t="s">
        <v>5279</v>
      </c>
    </row>
    <row r="1222" spans="1:4" x14ac:dyDescent="0.2">
      <c r="A1222" t="s">
        <v>5592</v>
      </c>
      <c r="B1222" t="s">
        <v>5581</v>
      </c>
      <c r="C1222" t="s">
        <v>129</v>
      </c>
      <c r="D1222" t="s">
        <v>5593</v>
      </c>
    </row>
    <row r="1223" spans="1:4" x14ac:dyDescent="0.2">
      <c r="A1223" t="s">
        <v>2638</v>
      </c>
    </row>
    <row r="1224" spans="1:4" x14ac:dyDescent="0.2">
      <c r="A1224" t="s">
        <v>5276</v>
      </c>
      <c r="B1224" t="s">
        <v>5277</v>
      </c>
      <c r="C1224" t="s">
        <v>5278</v>
      </c>
      <c r="D1224" t="s">
        <v>5279</v>
      </c>
    </row>
    <row r="1225" spans="1:4" x14ac:dyDescent="0.2">
      <c r="A1225" t="s">
        <v>5470</v>
      </c>
      <c r="B1225" t="s">
        <v>5340</v>
      </c>
      <c r="C1225" t="s">
        <v>129</v>
      </c>
      <c r="D1225" t="s">
        <v>5471</v>
      </c>
    </row>
    <row r="1226" spans="1:4" x14ac:dyDescent="0.2">
      <c r="A1226" t="s">
        <v>5472</v>
      </c>
      <c r="B1226" t="s">
        <v>5473</v>
      </c>
      <c r="C1226" t="s">
        <v>129</v>
      </c>
      <c r="D1226" t="s">
        <v>5474</v>
      </c>
    </row>
    <row r="1227" spans="1:4" x14ac:dyDescent="0.2">
      <c r="A1227" t="s">
        <v>5475</v>
      </c>
      <c r="B1227" t="s">
        <v>5476</v>
      </c>
      <c r="C1227" t="s">
        <v>129</v>
      </c>
      <c r="D1227" t="s">
        <v>5477</v>
      </c>
    </row>
    <row r="1228" spans="1:4" x14ac:dyDescent="0.2">
      <c r="A1228" t="s">
        <v>5478</v>
      </c>
      <c r="B1228" t="s">
        <v>5479</v>
      </c>
      <c r="C1228" t="s">
        <v>129</v>
      </c>
      <c r="D1228" t="s">
        <v>5480</v>
      </c>
    </row>
    <row r="1229" spans="1:4" x14ac:dyDescent="0.2">
      <c r="A1229" t="s">
        <v>5481</v>
      </c>
      <c r="B1229" t="s">
        <v>5482</v>
      </c>
      <c r="C1229" t="s">
        <v>5311</v>
      </c>
      <c r="D1229" t="s">
        <v>5483</v>
      </c>
    </row>
    <row r="1230" spans="1:4" x14ac:dyDescent="0.2">
      <c r="A1230" t="s">
        <v>5484</v>
      </c>
      <c r="B1230" t="s">
        <v>5485</v>
      </c>
      <c r="C1230" t="s">
        <v>5315</v>
      </c>
      <c r="D1230" t="s">
        <v>5486</v>
      </c>
    </row>
    <row r="1231" spans="1:4" x14ac:dyDescent="0.2">
      <c r="A1231" t="s">
        <v>5487</v>
      </c>
      <c r="B1231" t="s">
        <v>5488</v>
      </c>
      <c r="C1231" t="s">
        <v>5319</v>
      </c>
      <c r="D1231" t="s">
        <v>5489</v>
      </c>
    </row>
    <row r="1232" spans="1:4" x14ac:dyDescent="0.2">
      <c r="A1232" t="s">
        <v>5490</v>
      </c>
      <c r="B1232" t="s">
        <v>5333</v>
      </c>
    </row>
    <row r="1233" spans="1:4" x14ac:dyDescent="0.2">
      <c r="A1233" t="s">
        <v>2639</v>
      </c>
    </row>
    <row r="1234" spans="1:4" x14ac:dyDescent="0.2">
      <c r="A1234" t="s">
        <v>5276</v>
      </c>
      <c r="B1234" t="s">
        <v>5277</v>
      </c>
      <c r="C1234" t="s">
        <v>5278</v>
      </c>
      <c r="D1234" t="s">
        <v>5279</v>
      </c>
    </row>
    <row r="1235" spans="1:4" x14ac:dyDescent="0.2">
      <c r="A1235" t="s">
        <v>5470</v>
      </c>
      <c r="B1235" t="s">
        <v>5340</v>
      </c>
      <c r="C1235" t="s">
        <v>129</v>
      </c>
      <c r="D1235" t="s">
        <v>5471</v>
      </c>
    </row>
    <row r="1236" spans="1:4" x14ac:dyDescent="0.2">
      <c r="A1236" t="s">
        <v>5472</v>
      </c>
      <c r="B1236" t="s">
        <v>5473</v>
      </c>
      <c r="C1236" t="s">
        <v>129</v>
      </c>
      <c r="D1236" t="s">
        <v>5474</v>
      </c>
    </row>
    <row r="1237" spans="1:4" x14ac:dyDescent="0.2">
      <c r="A1237" t="s">
        <v>5475</v>
      </c>
      <c r="B1237" t="s">
        <v>5476</v>
      </c>
      <c r="C1237" t="s">
        <v>129</v>
      </c>
      <c r="D1237" t="s">
        <v>5477</v>
      </c>
    </row>
    <row r="1238" spans="1:4" x14ac:dyDescent="0.2">
      <c r="A1238" t="s">
        <v>5478</v>
      </c>
      <c r="B1238" t="s">
        <v>5479</v>
      </c>
      <c r="C1238" t="s">
        <v>129</v>
      </c>
      <c r="D1238" t="s">
        <v>5480</v>
      </c>
    </row>
    <row r="1239" spans="1:4" x14ac:dyDescent="0.2">
      <c r="A1239" t="s">
        <v>5481</v>
      </c>
      <c r="B1239" t="s">
        <v>5482</v>
      </c>
      <c r="C1239" t="s">
        <v>5311</v>
      </c>
      <c r="D1239" t="s">
        <v>5483</v>
      </c>
    </row>
    <row r="1240" spans="1:4" x14ac:dyDescent="0.2">
      <c r="A1240" t="s">
        <v>5484</v>
      </c>
      <c r="B1240" t="s">
        <v>5485</v>
      </c>
      <c r="C1240" t="s">
        <v>5315</v>
      </c>
      <c r="D1240" t="s">
        <v>5486</v>
      </c>
    </row>
    <row r="1241" spans="1:4" x14ac:dyDescent="0.2">
      <c r="A1241" t="s">
        <v>5487</v>
      </c>
      <c r="B1241" t="s">
        <v>5488</v>
      </c>
      <c r="C1241" t="s">
        <v>5319</v>
      </c>
      <c r="D1241" t="s">
        <v>5489</v>
      </c>
    </row>
    <row r="1242" spans="1:4" x14ac:dyDescent="0.2">
      <c r="A1242" t="s">
        <v>5490</v>
      </c>
      <c r="B1242" t="s">
        <v>5333</v>
      </c>
    </row>
    <row r="1243" spans="1:4" x14ac:dyDescent="0.2">
      <c r="A1243" t="s">
        <v>2640</v>
      </c>
    </row>
    <row r="1244" spans="1:4" x14ac:dyDescent="0.2">
      <c r="A1244" t="s">
        <v>5276</v>
      </c>
      <c r="B1244" t="s">
        <v>5277</v>
      </c>
      <c r="C1244" t="s">
        <v>5278</v>
      </c>
      <c r="D1244" t="s">
        <v>5279</v>
      </c>
    </row>
    <row r="1245" spans="1:4" x14ac:dyDescent="0.2">
      <c r="A1245" t="s">
        <v>5352</v>
      </c>
      <c r="B1245" t="s">
        <v>5353</v>
      </c>
      <c r="C1245" t="s">
        <v>129</v>
      </c>
      <c r="D1245" t="s">
        <v>5354</v>
      </c>
    </row>
    <row r="1246" spans="1:4" x14ac:dyDescent="0.2">
      <c r="A1246" t="s">
        <v>5355</v>
      </c>
      <c r="B1246" t="s">
        <v>5356</v>
      </c>
      <c r="C1246" t="s">
        <v>129</v>
      </c>
      <c r="D1246" t="s">
        <v>5357</v>
      </c>
    </row>
    <row r="1247" spans="1:4" x14ac:dyDescent="0.2">
      <c r="A1247" t="s">
        <v>5358</v>
      </c>
      <c r="B1247" t="s">
        <v>5287</v>
      </c>
      <c r="C1247" t="s">
        <v>129</v>
      </c>
      <c r="D1247" t="s">
        <v>5359</v>
      </c>
    </row>
    <row r="1248" spans="1:4" x14ac:dyDescent="0.2">
      <c r="A1248" t="s">
        <v>5360</v>
      </c>
      <c r="B1248" t="s">
        <v>5361</v>
      </c>
      <c r="C1248" t="s">
        <v>129</v>
      </c>
      <c r="D1248" t="s">
        <v>5362</v>
      </c>
    </row>
    <row r="1249" spans="1:4" x14ac:dyDescent="0.2">
      <c r="A1249" t="s">
        <v>5363</v>
      </c>
      <c r="B1249" t="s">
        <v>5364</v>
      </c>
      <c r="C1249" t="s">
        <v>5311</v>
      </c>
      <c r="D1249" t="s">
        <v>5365</v>
      </c>
    </row>
    <row r="1250" spans="1:4" x14ac:dyDescent="0.2">
      <c r="A1250" t="s">
        <v>5366</v>
      </c>
      <c r="B1250" t="s">
        <v>5367</v>
      </c>
      <c r="C1250" t="s">
        <v>5315</v>
      </c>
      <c r="D1250" t="s">
        <v>5368</v>
      </c>
    </row>
    <row r="1251" spans="1:4" x14ac:dyDescent="0.2">
      <c r="A1251" t="s">
        <v>5369</v>
      </c>
      <c r="B1251" t="s">
        <v>5370</v>
      </c>
      <c r="C1251" t="s">
        <v>5319</v>
      </c>
      <c r="D1251" t="s">
        <v>5371</v>
      </c>
    </row>
    <row r="1252" spans="1:4" x14ac:dyDescent="0.2">
      <c r="A1252" t="s">
        <v>2641</v>
      </c>
    </row>
    <row r="1253" spans="1:4" x14ac:dyDescent="0.2">
      <c r="A1253" t="s">
        <v>5276</v>
      </c>
      <c r="B1253" t="s">
        <v>5277</v>
      </c>
      <c r="C1253" t="s">
        <v>5278</v>
      </c>
      <c r="D1253" t="s">
        <v>5279</v>
      </c>
    </row>
    <row r="1254" spans="1:4" x14ac:dyDescent="0.2">
      <c r="A1254" t="s">
        <v>5352</v>
      </c>
      <c r="B1254" t="s">
        <v>5353</v>
      </c>
      <c r="C1254" t="s">
        <v>129</v>
      </c>
      <c r="D1254" t="s">
        <v>5354</v>
      </c>
    </row>
    <row r="1255" spans="1:4" x14ac:dyDescent="0.2">
      <c r="A1255" t="s">
        <v>5355</v>
      </c>
      <c r="B1255" t="s">
        <v>5356</v>
      </c>
      <c r="C1255" t="s">
        <v>129</v>
      </c>
      <c r="D1255" t="s">
        <v>5357</v>
      </c>
    </row>
    <row r="1256" spans="1:4" x14ac:dyDescent="0.2">
      <c r="A1256" t="s">
        <v>5358</v>
      </c>
      <c r="B1256" t="s">
        <v>5287</v>
      </c>
      <c r="C1256" t="s">
        <v>129</v>
      </c>
      <c r="D1256" t="s">
        <v>5359</v>
      </c>
    </row>
    <row r="1257" spans="1:4" x14ac:dyDescent="0.2">
      <c r="A1257" t="s">
        <v>5360</v>
      </c>
      <c r="B1257" t="s">
        <v>5361</v>
      </c>
      <c r="C1257" t="s">
        <v>129</v>
      </c>
      <c r="D1257" t="s">
        <v>5362</v>
      </c>
    </row>
    <row r="1258" spans="1:4" x14ac:dyDescent="0.2">
      <c r="A1258" t="s">
        <v>5363</v>
      </c>
      <c r="B1258" t="s">
        <v>5364</v>
      </c>
      <c r="C1258" t="s">
        <v>5311</v>
      </c>
      <c r="D1258" t="s">
        <v>5365</v>
      </c>
    </row>
    <row r="1259" spans="1:4" x14ac:dyDescent="0.2">
      <c r="A1259" t="s">
        <v>5366</v>
      </c>
      <c r="B1259" t="s">
        <v>5367</v>
      </c>
      <c r="C1259" t="s">
        <v>5315</v>
      </c>
      <c r="D1259" t="s">
        <v>5368</v>
      </c>
    </row>
    <row r="1260" spans="1:4" x14ac:dyDescent="0.2">
      <c r="A1260" t="s">
        <v>5369</v>
      </c>
      <c r="B1260" t="s">
        <v>5370</v>
      </c>
      <c r="C1260" t="s">
        <v>5319</v>
      </c>
      <c r="D1260" t="s">
        <v>5371</v>
      </c>
    </row>
    <row r="1261" spans="1:4" x14ac:dyDescent="0.2">
      <c r="A1261" t="s">
        <v>2642</v>
      </c>
    </row>
    <row r="1262" spans="1:4" x14ac:dyDescent="0.2">
      <c r="A1262" t="s">
        <v>5276</v>
      </c>
      <c r="B1262" t="s">
        <v>5277</v>
      </c>
      <c r="C1262" t="s">
        <v>5278</v>
      </c>
      <c r="D1262" t="s">
        <v>5279</v>
      </c>
    </row>
    <row r="1263" spans="1:4" x14ac:dyDescent="0.2">
      <c r="A1263" t="s">
        <v>5352</v>
      </c>
      <c r="B1263" t="s">
        <v>5353</v>
      </c>
      <c r="C1263" t="s">
        <v>129</v>
      </c>
      <c r="D1263" t="s">
        <v>5354</v>
      </c>
    </row>
    <row r="1264" spans="1:4" x14ac:dyDescent="0.2">
      <c r="A1264" t="s">
        <v>5355</v>
      </c>
      <c r="B1264" t="s">
        <v>5356</v>
      </c>
      <c r="C1264" t="s">
        <v>129</v>
      </c>
      <c r="D1264" t="s">
        <v>5357</v>
      </c>
    </row>
    <row r="1265" spans="1:4" x14ac:dyDescent="0.2">
      <c r="A1265" t="s">
        <v>5358</v>
      </c>
      <c r="B1265" t="s">
        <v>5287</v>
      </c>
      <c r="C1265" t="s">
        <v>129</v>
      </c>
      <c r="D1265" t="s">
        <v>5359</v>
      </c>
    </row>
    <row r="1266" spans="1:4" x14ac:dyDescent="0.2">
      <c r="A1266" t="s">
        <v>5360</v>
      </c>
      <c r="B1266" t="s">
        <v>5361</v>
      </c>
      <c r="C1266" t="s">
        <v>129</v>
      </c>
      <c r="D1266" t="s">
        <v>5362</v>
      </c>
    </row>
    <row r="1267" spans="1:4" x14ac:dyDescent="0.2">
      <c r="A1267" t="s">
        <v>5363</v>
      </c>
      <c r="B1267" t="s">
        <v>5364</v>
      </c>
      <c r="C1267" t="s">
        <v>5311</v>
      </c>
      <c r="D1267" t="s">
        <v>5365</v>
      </c>
    </row>
    <row r="1268" spans="1:4" x14ac:dyDescent="0.2">
      <c r="A1268" t="s">
        <v>5366</v>
      </c>
      <c r="B1268" t="s">
        <v>5367</v>
      </c>
      <c r="C1268" t="s">
        <v>5315</v>
      </c>
      <c r="D1268" t="s">
        <v>5368</v>
      </c>
    </row>
    <row r="1269" spans="1:4" x14ac:dyDescent="0.2">
      <c r="A1269" t="s">
        <v>5369</v>
      </c>
      <c r="B1269" t="s">
        <v>5370</v>
      </c>
      <c r="C1269" t="s">
        <v>5319</v>
      </c>
      <c r="D1269" t="s">
        <v>5371</v>
      </c>
    </row>
    <row r="1270" spans="1:4" x14ac:dyDescent="0.2">
      <c r="A1270" t="s">
        <v>2643</v>
      </c>
    </row>
    <row r="1271" spans="1:4" x14ac:dyDescent="0.2">
      <c r="A1271" t="s">
        <v>5276</v>
      </c>
      <c r="B1271" t="s">
        <v>5277</v>
      </c>
      <c r="C1271" t="s">
        <v>5278</v>
      </c>
      <c r="D1271" t="s">
        <v>5279</v>
      </c>
    </row>
    <row r="1272" spans="1:4" x14ac:dyDescent="0.2">
      <c r="A1272" t="s">
        <v>5352</v>
      </c>
      <c r="B1272" t="s">
        <v>5353</v>
      </c>
      <c r="C1272" t="s">
        <v>129</v>
      </c>
      <c r="D1272" t="s">
        <v>5354</v>
      </c>
    </row>
    <row r="1273" spans="1:4" x14ac:dyDescent="0.2">
      <c r="A1273" t="s">
        <v>5355</v>
      </c>
      <c r="B1273" t="s">
        <v>5356</v>
      </c>
      <c r="C1273" t="s">
        <v>129</v>
      </c>
      <c r="D1273" t="s">
        <v>5357</v>
      </c>
    </row>
    <row r="1274" spans="1:4" x14ac:dyDescent="0.2">
      <c r="A1274" t="s">
        <v>5358</v>
      </c>
      <c r="B1274" t="s">
        <v>5287</v>
      </c>
      <c r="C1274" t="s">
        <v>129</v>
      </c>
      <c r="D1274" t="s">
        <v>5359</v>
      </c>
    </row>
    <row r="1275" spans="1:4" x14ac:dyDescent="0.2">
      <c r="A1275" t="s">
        <v>5360</v>
      </c>
      <c r="B1275" t="s">
        <v>5361</v>
      </c>
      <c r="C1275" t="s">
        <v>129</v>
      </c>
      <c r="D1275" t="s">
        <v>5362</v>
      </c>
    </row>
    <row r="1276" spans="1:4" x14ac:dyDescent="0.2">
      <c r="A1276" t="s">
        <v>5363</v>
      </c>
      <c r="B1276" t="s">
        <v>5364</v>
      </c>
      <c r="C1276" t="s">
        <v>5311</v>
      </c>
      <c r="D1276" t="s">
        <v>5365</v>
      </c>
    </row>
    <row r="1277" spans="1:4" x14ac:dyDescent="0.2">
      <c r="A1277" t="s">
        <v>5366</v>
      </c>
      <c r="B1277" t="s">
        <v>5367</v>
      </c>
      <c r="C1277" t="s">
        <v>5315</v>
      </c>
      <c r="D1277" t="s">
        <v>5368</v>
      </c>
    </row>
    <row r="1278" spans="1:4" x14ac:dyDescent="0.2">
      <c r="A1278" t="s">
        <v>5369</v>
      </c>
      <c r="B1278" t="s">
        <v>5370</v>
      </c>
      <c r="C1278" t="s">
        <v>5319</v>
      </c>
      <c r="D1278" t="s">
        <v>5371</v>
      </c>
    </row>
    <row r="1279" spans="1:4" x14ac:dyDescent="0.2">
      <c r="A1279" t="s">
        <v>2644</v>
      </c>
    </row>
    <row r="1280" spans="1:4" x14ac:dyDescent="0.2">
      <c r="A1280" t="s">
        <v>5276</v>
      </c>
      <c r="B1280" t="s">
        <v>5277</v>
      </c>
      <c r="C1280" t="s">
        <v>5278</v>
      </c>
      <c r="D1280" t="s">
        <v>5279</v>
      </c>
    </row>
    <row r="1281" spans="1:4" x14ac:dyDescent="0.2">
      <c r="A1281" t="s">
        <v>5352</v>
      </c>
      <c r="B1281" t="s">
        <v>5353</v>
      </c>
      <c r="C1281" t="s">
        <v>129</v>
      </c>
      <c r="D1281" t="s">
        <v>5354</v>
      </c>
    </row>
    <row r="1282" spans="1:4" x14ac:dyDescent="0.2">
      <c r="A1282" t="s">
        <v>5355</v>
      </c>
      <c r="B1282" t="s">
        <v>5356</v>
      </c>
      <c r="C1282" t="s">
        <v>129</v>
      </c>
      <c r="D1282" t="s">
        <v>5357</v>
      </c>
    </row>
    <row r="1283" spans="1:4" x14ac:dyDescent="0.2">
      <c r="A1283" t="s">
        <v>5358</v>
      </c>
      <c r="B1283" t="s">
        <v>5287</v>
      </c>
      <c r="C1283" t="s">
        <v>129</v>
      </c>
      <c r="D1283" t="s">
        <v>5359</v>
      </c>
    </row>
    <row r="1284" spans="1:4" x14ac:dyDescent="0.2">
      <c r="A1284" t="s">
        <v>5360</v>
      </c>
      <c r="B1284" t="s">
        <v>5361</v>
      </c>
      <c r="C1284" t="s">
        <v>129</v>
      </c>
      <c r="D1284" t="s">
        <v>5362</v>
      </c>
    </row>
    <row r="1285" spans="1:4" x14ac:dyDescent="0.2">
      <c r="A1285" t="s">
        <v>5363</v>
      </c>
      <c r="B1285" t="s">
        <v>5364</v>
      </c>
      <c r="C1285" t="s">
        <v>5311</v>
      </c>
      <c r="D1285" t="s">
        <v>5365</v>
      </c>
    </row>
    <row r="1286" spans="1:4" x14ac:dyDescent="0.2">
      <c r="A1286" t="s">
        <v>5366</v>
      </c>
      <c r="B1286" t="s">
        <v>5367</v>
      </c>
      <c r="C1286" t="s">
        <v>5315</v>
      </c>
      <c r="D1286" t="s">
        <v>5368</v>
      </c>
    </row>
    <row r="1287" spans="1:4" x14ac:dyDescent="0.2">
      <c r="A1287" t="s">
        <v>5369</v>
      </c>
      <c r="B1287" t="s">
        <v>5370</v>
      </c>
      <c r="C1287" t="s">
        <v>5319</v>
      </c>
      <c r="D1287" t="s">
        <v>5371</v>
      </c>
    </row>
    <row r="1288" spans="1:4" x14ac:dyDescent="0.2">
      <c r="A1288" t="s">
        <v>2645</v>
      </c>
    </row>
    <row r="1289" spans="1:4" x14ac:dyDescent="0.2">
      <c r="A1289" t="s">
        <v>5276</v>
      </c>
      <c r="B1289" t="s">
        <v>5277</v>
      </c>
      <c r="C1289" t="s">
        <v>5278</v>
      </c>
      <c r="D1289" t="s">
        <v>5279</v>
      </c>
    </row>
    <row r="1290" spans="1:4" x14ac:dyDescent="0.2">
      <c r="A1290" t="s">
        <v>5352</v>
      </c>
      <c r="B1290" t="s">
        <v>5353</v>
      </c>
      <c r="C1290" t="s">
        <v>129</v>
      </c>
      <c r="D1290" t="s">
        <v>5354</v>
      </c>
    </row>
    <row r="1291" spans="1:4" x14ac:dyDescent="0.2">
      <c r="A1291" t="s">
        <v>5355</v>
      </c>
      <c r="B1291" t="s">
        <v>5356</v>
      </c>
      <c r="C1291" t="s">
        <v>129</v>
      </c>
      <c r="D1291" t="s">
        <v>5357</v>
      </c>
    </row>
    <row r="1292" spans="1:4" x14ac:dyDescent="0.2">
      <c r="A1292" t="s">
        <v>5358</v>
      </c>
      <c r="B1292" t="s">
        <v>5287</v>
      </c>
      <c r="C1292" t="s">
        <v>129</v>
      </c>
      <c r="D1292" t="s">
        <v>5359</v>
      </c>
    </row>
    <row r="1293" spans="1:4" x14ac:dyDescent="0.2">
      <c r="A1293" t="s">
        <v>5360</v>
      </c>
      <c r="B1293" t="s">
        <v>5361</v>
      </c>
      <c r="C1293" t="s">
        <v>129</v>
      </c>
      <c r="D1293" t="s">
        <v>5362</v>
      </c>
    </row>
    <row r="1294" spans="1:4" x14ac:dyDescent="0.2">
      <c r="A1294" t="s">
        <v>5363</v>
      </c>
      <c r="B1294" t="s">
        <v>5364</v>
      </c>
      <c r="C1294" t="s">
        <v>5311</v>
      </c>
      <c r="D1294" t="s">
        <v>5365</v>
      </c>
    </row>
    <row r="1295" spans="1:4" x14ac:dyDescent="0.2">
      <c r="A1295" t="s">
        <v>5366</v>
      </c>
      <c r="B1295" t="s">
        <v>5367</v>
      </c>
      <c r="C1295" t="s">
        <v>5315</v>
      </c>
      <c r="D1295" t="s">
        <v>5368</v>
      </c>
    </row>
    <row r="1296" spans="1:4" x14ac:dyDescent="0.2">
      <c r="A1296" t="s">
        <v>5369</v>
      </c>
      <c r="B1296" t="s">
        <v>5370</v>
      </c>
      <c r="C1296" t="s">
        <v>5319</v>
      </c>
      <c r="D1296" t="s">
        <v>5371</v>
      </c>
    </row>
    <row r="1297" spans="1:4" x14ac:dyDescent="0.2">
      <c r="A1297" t="s">
        <v>5238</v>
      </c>
    </row>
    <row r="1298" spans="1:4" x14ac:dyDescent="0.2">
      <c r="A1298" t="s">
        <v>5276</v>
      </c>
      <c r="B1298" t="s">
        <v>5277</v>
      </c>
      <c r="C1298" t="s">
        <v>5278</v>
      </c>
      <c r="D1298" t="s">
        <v>5279</v>
      </c>
    </row>
    <row r="1299" spans="1:4" x14ac:dyDescent="0.2">
      <c r="A1299" t="s">
        <v>5344</v>
      </c>
      <c r="B1299" t="s">
        <v>5345</v>
      </c>
      <c r="C1299" t="s">
        <v>129</v>
      </c>
      <c r="D1299" t="s">
        <v>5346</v>
      </c>
    </row>
    <row r="1300" spans="1:4" x14ac:dyDescent="0.2">
      <c r="A1300" t="s">
        <v>5347</v>
      </c>
      <c r="B1300" t="s">
        <v>5348</v>
      </c>
      <c r="C1300" t="s">
        <v>129</v>
      </c>
      <c r="D1300" t="s">
        <v>5349</v>
      </c>
    </row>
    <row r="1301" spans="1:4" x14ac:dyDescent="0.2">
      <c r="A1301" t="s">
        <v>5350</v>
      </c>
      <c r="B1301" t="s">
        <v>5351</v>
      </c>
    </row>
    <row r="1302" spans="1:4" x14ac:dyDescent="0.2">
      <c r="A1302" t="s">
        <v>5239</v>
      </c>
    </row>
    <row r="1303" spans="1:4" x14ac:dyDescent="0.2">
      <c r="A1303" t="s">
        <v>5276</v>
      </c>
      <c r="B1303" t="s">
        <v>5277</v>
      </c>
      <c r="C1303" t="s">
        <v>5278</v>
      </c>
      <c r="D1303" t="s">
        <v>5279</v>
      </c>
    </row>
    <row r="1304" spans="1:4" x14ac:dyDescent="0.2">
      <c r="A1304" t="s">
        <v>5587</v>
      </c>
      <c r="B1304" t="s">
        <v>5390</v>
      </c>
      <c r="C1304" t="s">
        <v>129</v>
      </c>
      <c r="D1304" t="s">
        <v>5413</v>
      </c>
    </row>
    <row r="1305" spans="1:4" x14ac:dyDescent="0.2">
      <c r="A1305" t="s">
        <v>5242</v>
      </c>
    </row>
    <row r="1306" spans="1:4" x14ac:dyDescent="0.2">
      <c r="A1306" t="s">
        <v>5276</v>
      </c>
      <c r="B1306" t="s">
        <v>5277</v>
      </c>
      <c r="C1306" t="s">
        <v>5278</v>
      </c>
      <c r="D1306" t="s">
        <v>5279</v>
      </c>
    </row>
    <row r="1307" spans="1:4" x14ac:dyDescent="0.2">
      <c r="A1307" t="s">
        <v>5597</v>
      </c>
      <c r="B1307" t="s">
        <v>5390</v>
      </c>
      <c r="C1307" t="s">
        <v>129</v>
      </c>
      <c r="D1307" t="s">
        <v>5499</v>
      </c>
    </row>
    <row r="1308" spans="1:4" x14ac:dyDescent="0.2">
      <c r="A1308" t="s">
        <v>5243</v>
      </c>
    </row>
    <row r="1309" spans="1:4" x14ac:dyDescent="0.2">
      <c r="A1309" t="s">
        <v>5461</v>
      </c>
      <c r="B1309" t="s">
        <v>5462</v>
      </c>
      <c r="C1309" t="s">
        <v>5463</v>
      </c>
      <c r="D1309" t="s">
        <v>5464</v>
      </c>
    </row>
    <row r="1310" spans="1:4" x14ac:dyDescent="0.2">
      <c r="A1310" t="s">
        <v>5573</v>
      </c>
      <c r="B1310" t="s">
        <v>5281</v>
      </c>
      <c r="C1310" t="s">
        <v>129</v>
      </c>
      <c r="D1310" t="s">
        <v>5302</v>
      </c>
    </row>
    <row r="1311" spans="1:4" x14ac:dyDescent="0.2">
      <c r="A1311" t="s">
        <v>5244</v>
      </c>
    </row>
    <row r="1312" spans="1:4" x14ac:dyDescent="0.2">
      <c r="A1312" t="s">
        <v>5461</v>
      </c>
      <c r="B1312" t="s">
        <v>5462</v>
      </c>
      <c r="C1312" t="s">
        <v>5463</v>
      </c>
      <c r="D1312" t="s">
        <v>5464</v>
      </c>
    </row>
    <row r="1313" spans="1:4" x14ac:dyDescent="0.2">
      <c r="A1313" t="s">
        <v>5470</v>
      </c>
      <c r="B1313" t="s">
        <v>5340</v>
      </c>
      <c r="C1313" t="s">
        <v>129</v>
      </c>
      <c r="D1313" t="s">
        <v>5471</v>
      </c>
    </row>
    <row r="1314" spans="1:4" x14ac:dyDescent="0.2">
      <c r="A1314" t="s">
        <v>5472</v>
      </c>
      <c r="B1314" t="s">
        <v>5473</v>
      </c>
      <c r="C1314" t="s">
        <v>129</v>
      </c>
      <c r="D1314" t="s">
        <v>5474</v>
      </c>
    </row>
    <row r="1315" spans="1:4" x14ac:dyDescent="0.2">
      <c r="A1315" t="s">
        <v>5475</v>
      </c>
      <c r="B1315" t="s">
        <v>5476</v>
      </c>
      <c r="C1315" t="s">
        <v>129</v>
      </c>
      <c r="D1315" t="s">
        <v>5477</v>
      </c>
    </row>
    <row r="1316" spans="1:4" x14ac:dyDescent="0.2">
      <c r="A1316" t="s">
        <v>5478</v>
      </c>
      <c r="B1316" t="s">
        <v>5479</v>
      </c>
      <c r="C1316" t="s">
        <v>129</v>
      </c>
      <c r="D1316" t="s">
        <v>5480</v>
      </c>
    </row>
    <row r="1317" spans="1:4" x14ac:dyDescent="0.2">
      <c r="A1317" t="s">
        <v>5481</v>
      </c>
      <c r="B1317" t="s">
        <v>5482</v>
      </c>
      <c r="C1317" t="s">
        <v>5311</v>
      </c>
      <c r="D1317" t="s">
        <v>5483</v>
      </c>
    </row>
    <row r="1318" spans="1:4" x14ac:dyDescent="0.2">
      <c r="A1318" t="s">
        <v>5484</v>
      </c>
      <c r="B1318" t="s">
        <v>5485</v>
      </c>
      <c r="C1318" t="s">
        <v>5315</v>
      </c>
      <c r="D1318" t="s">
        <v>5486</v>
      </c>
    </row>
    <row r="1319" spans="1:4" x14ac:dyDescent="0.2">
      <c r="A1319" t="s">
        <v>5487</v>
      </c>
      <c r="B1319" t="s">
        <v>5488</v>
      </c>
      <c r="C1319" t="s">
        <v>5319</v>
      </c>
      <c r="D1319" t="s">
        <v>5489</v>
      </c>
    </row>
    <row r="1320" spans="1:4" x14ac:dyDescent="0.2">
      <c r="A1320" t="s">
        <v>5490</v>
      </c>
      <c r="B1320" t="s">
        <v>5333</v>
      </c>
    </row>
    <row r="1321" spans="1:4" x14ac:dyDescent="0.2">
      <c r="A1321" t="s">
        <v>5245</v>
      </c>
    </row>
    <row r="1322" spans="1:4" x14ac:dyDescent="0.2">
      <c r="A1322" t="s">
        <v>5276</v>
      </c>
      <c r="B1322" t="s">
        <v>5277</v>
      </c>
      <c r="C1322" t="s">
        <v>5278</v>
      </c>
      <c r="D1322" t="s">
        <v>5279</v>
      </c>
    </row>
    <row r="1323" spans="1:4" x14ac:dyDescent="0.2">
      <c r="A1323" t="s">
        <v>5573</v>
      </c>
      <c r="B1323" t="s">
        <v>5281</v>
      </c>
      <c r="C1323" t="s">
        <v>129</v>
      </c>
      <c r="D1323" t="s">
        <v>5302</v>
      </c>
    </row>
    <row r="1324" spans="1:4" x14ac:dyDescent="0.2">
      <c r="A1324" t="s">
        <v>5246</v>
      </c>
    </row>
    <row r="1325" spans="1:4" x14ac:dyDescent="0.2">
      <c r="A1325" t="s">
        <v>5276</v>
      </c>
      <c r="B1325" t="s">
        <v>5277</v>
      </c>
      <c r="C1325" t="s">
        <v>5278</v>
      </c>
      <c r="D1325" t="s">
        <v>5279</v>
      </c>
    </row>
    <row r="1326" spans="1:4" x14ac:dyDescent="0.2">
      <c r="A1326" t="s">
        <v>5610</v>
      </c>
      <c r="B1326" t="s">
        <v>5611</v>
      </c>
      <c r="C1326" t="s">
        <v>129</v>
      </c>
      <c r="D1326" t="s">
        <v>5316</v>
      </c>
    </row>
    <row r="1327" spans="1:4" x14ac:dyDescent="0.2">
      <c r="A1327" t="s">
        <v>5248</v>
      </c>
    </row>
    <row r="1328" spans="1:4" x14ac:dyDescent="0.2">
      <c r="A1328" t="s">
        <v>5276</v>
      </c>
      <c r="B1328" t="s">
        <v>5277</v>
      </c>
      <c r="C1328" t="s">
        <v>5278</v>
      </c>
      <c r="D1328" t="s">
        <v>5279</v>
      </c>
    </row>
    <row r="1329" spans="1:4" x14ac:dyDescent="0.2">
      <c r="A1329" t="s">
        <v>5610</v>
      </c>
      <c r="B1329" t="s">
        <v>5611</v>
      </c>
      <c r="C1329" t="s">
        <v>129</v>
      </c>
      <c r="D1329" t="s">
        <v>5316</v>
      </c>
    </row>
    <row r="1330" spans="1:4" x14ac:dyDescent="0.2">
      <c r="A1330" t="s">
        <v>5250</v>
      </c>
    </row>
    <row r="1331" spans="1:4" x14ac:dyDescent="0.2">
      <c r="A1331" t="s">
        <v>5276</v>
      </c>
      <c r="B1331" t="s">
        <v>5277</v>
      </c>
      <c r="C1331" t="s">
        <v>5278</v>
      </c>
      <c r="D1331" t="s">
        <v>5279</v>
      </c>
    </row>
    <row r="1332" spans="1:4" x14ac:dyDescent="0.2">
      <c r="A1332" t="s">
        <v>5470</v>
      </c>
      <c r="B1332" t="s">
        <v>5340</v>
      </c>
      <c r="C1332" t="s">
        <v>129</v>
      </c>
      <c r="D1332" t="s">
        <v>5471</v>
      </c>
    </row>
    <row r="1333" spans="1:4" x14ac:dyDescent="0.2">
      <c r="A1333" t="s">
        <v>5472</v>
      </c>
      <c r="B1333" t="s">
        <v>5473</v>
      </c>
      <c r="C1333" t="s">
        <v>129</v>
      </c>
      <c r="D1333" t="s">
        <v>5474</v>
      </c>
    </row>
    <row r="1334" spans="1:4" x14ac:dyDescent="0.2">
      <c r="A1334" t="s">
        <v>5475</v>
      </c>
      <c r="B1334" t="s">
        <v>5476</v>
      </c>
      <c r="C1334" t="s">
        <v>129</v>
      </c>
      <c r="D1334" t="s">
        <v>5477</v>
      </c>
    </row>
    <row r="1335" spans="1:4" x14ac:dyDescent="0.2">
      <c r="A1335" t="s">
        <v>5478</v>
      </c>
      <c r="B1335" t="s">
        <v>5479</v>
      </c>
      <c r="C1335" t="s">
        <v>129</v>
      </c>
      <c r="D1335" t="s">
        <v>5480</v>
      </c>
    </row>
    <row r="1336" spans="1:4" x14ac:dyDescent="0.2">
      <c r="A1336" t="s">
        <v>5481</v>
      </c>
      <c r="B1336" t="s">
        <v>5482</v>
      </c>
      <c r="C1336" t="s">
        <v>5311</v>
      </c>
      <c r="D1336" t="s">
        <v>5483</v>
      </c>
    </row>
    <row r="1337" spans="1:4" x14ac:dyDescent="0.2">
      <c r="A1337" t="s">
        <v>5484</v>
      </c>
      <c r="B1337" t="s">
        <v>5485</v>
      </c>
      <c r="C1337" t="s">
        <v>5315</v>
      </c>
      <c r="D1337" t="s">
        <v>5486</v>
      </c>
    </row>
    <row r="1338" spans="1:4" x14ac:dyDescent="0.2">
      <c r="A1338" t="s">
        <v>5487</v>
      </c>
      <c r="B1338" t="s">
        <v>5488</v>
      </c>
      <c r="C1338" t="s">
        <v>5319</v>
      </c>
      <c r="D1338" t="s">
        <v>5489</v>
      </c>
    </row>
    <row r="1339" spans="1:4" x14ac:dyDescent="0.2">
      <c r="A1339" t="s">
        <v>5490</v>
      </c>
      <c r="B1339" t="s">
        <v>5333</v>
      </c>
    </row>
    <row r="1340" spans="1:4" x14ac:dyDescent="0.2">
      <c r="A1340" t="s">
        <v>5251</v>
      </c>
    </row>
    <row r="1341" spans="1:4" x14ac:dyDescent="0.2">
      <c r="A1341" t="s">
        <v>5276</v>
      </c>
      <c r="B1341" t="s">
        <v>5277</v>
      </c>
      <c r="C1341" t="s">
        <v>5278</v>
      </c>
      <c r="D1341" t="s">
        <v>5279</v>
      </c>
    </row>
    <row r="1342" spans="1:4" x14ac:dyDescent="0.2">
      <c r="A1342" t="s">
        <v>5289</v>
      </c>
      <c r="B1342" t="s">
        <v>5281</v>
      </c>
      <c r="C1342" t="s">
        <v>129</v>
      </c>
      <c r="D1342" t="s">
        <v>5290</v>
      </c>
    </row>
    <row r="1343" spans="1:4" x14ac:dyDescent="0.2">
      <c r="A1343" t="s">
        <v>5291</v>
      </c>
      <c r="B1343" t="s">
        <v>5292</v>
      </c>
      <c r="C1343" t="s">
        <v>129</v>
      </c>
      <c r="D1343" t="s">
        <v>5293</v>
      </c>
    </row>
    <row r="1344" spans="1:4" x14ac:dyDescent="0.2">
      <c r="A1344" t="s">
        <v>5053</v>
      </c>
    </row>
    <row r="1345" spans="1:4" x14ac:dyDescent="0.2">
      <c r="A1345" t="s">
        <v>5276</v>
      </c>
      <c r="B1345" t="s">
        <v>5277</v>
      </c>
      <c r="C1345" t="s">
        <v>5278</v>
      </c>
      <c r="D1345" t="s">
        <v>5279</v>
      </c>
    </row>
    <row r="1346" spans="1:4" x14ac:dyDescent="0.2">
      <c r="A1346" t="s">
        <v>5542</v>
      </c>
      <c r="B1346" t="s">
        <v>5373</v>
      </c>
      <c r="C1346" t="s">
        <v>129</v>
      </c>
      <c r="D1346" t="s">
        <v>5543</v>
      </c>
    </row>
    <row r="1347" spans="1:4" x14ac:dyDescent="0.2">
      <c r="A1347" t="s">
        <v>5544</v>
      </c>
      <c r="B1347" t="s">
        <v>5545</v>
      </c>
      <c r="C1347" t="s">
        <v>129</v>
      </c>
      <c r="D1347" t="s">
        <v>5546</v>
      </c>
    </row>
    <row r="1348" spans="1:4" x14ac:dyDescent="0.2">
      <c r="A1348" t="s">
        <v>5547</v>
      </c>
      <c r="B1348" t="s">
        <v>5548</v>
      </c>
      <c r="C1348" t="s">
        <v>129</v>
      </c>
      <c r="D1348" t="s">
        <v>5549</v>
      </c>
    </row>
    <row r="1349" spans="1:4" x14ac:dyDescent="0.2">
      <c r="A1349" t="s">
        <v>5550</v>
      </c>
      <c r="B1349" t="s">
        <v>5551</v>
      </c>
      <c r="C1349" t="s">
        <v>129</v>
      </c>
      <c r="D1349" t="s">
        <v>5552</v>
      </c>
    </row>
    <row r="1350" spans="1:4" x14ac:dyDescent="0.2">
      <c r="A1350" t="s">
        <v>5553</v>
      </c>
      <c r="B1350" t="s">
        <v>5404</v>
      </c>
    </row>
    <row r="1351" spans="1:4" x14ac:dyDescent="0.2">
      <c r="A1351" t="s">
        <v>5056</v>
      </c>
    </row>
    <row r="1352" spans="1:4" x14ac:dyDescent="0.2">
      <c r="A1352" t="s">
        <v>5276</v>
      </c>
      <c r="B1352" t="s">
        <v>5277</v>
      </c>
      <c r="C1352" t="s">
        <v>5278</v>
      </c>
      <c r="D1352" t="s">
        <v>5279</v>
      </c>
    </row>
    <row r="1353" spans="1:4" x14ac:dyDescent="0.2">
      <c r="A1353" t="s">
        <v>5542</v>
      </c>
      <c r="B1353" t="s">
        <v>5373</v>
      </c>
      <c r="C1353" t="s">
        <v>129</v>
      </c>
      <c r="D1353" t="s">
        <v>5543</v>
      </c>
    </row>
    <row r="1354" spans="1:4" x14ac:dyDescent="0.2">
      <c r="A1354" t="s">
        <v>5544</v>
      </c>
      <c r="B1354" t="s">
        <v>5545</v>
      </c>
      <c r="C1354" t="s">
        <v>129</v>
      </c>
      <c r="D1354" t="s">
        <v>5546</v>
      </c>
    </row>
    <row r="1355" spans="1:4" x14ac:dyDescent="0.2">
      <c r="A1355" t="s">
        <v>5547</v>
      </c>
      <c r="B1355" t="s">
        <v>5548</v>
      </c>
      <c r="C1355" t="s">
        <v>129</v>
      </c>
      <c r="D1355" t="s">
        <v>5549</v>
      </c>
    </row>
    <row r="1356" spans="1:4" x14ac:dyDescent="0.2">
      <c r="A1356" t="s">
        <v>5550</v>
      </c>
      <c r="B1356" t="s">
        <v>5551</v>
      </c>
      <c r="C1356" t="s">
        <v>129</v>
      </c>
      <c r="D1356" t="s">
        <v>5552</v>
      </c>
    </row>
    <row r="1357" spans="1:4" x14ac:dyDescent="0.2">
      <c r="A1357" t="s">
        <v>5553</v>
      </c>
      <c r="B1357" t="s">
        <v>5404</v>
      </c>
    </row>
    <row r="1358" spans="1:4" x14ac:dyDescent="0.2">
      <c r="A1358" t="s">
        <v>5058</v>
      </c>
    </row>
    <row r="1359" spans="1:4" x14ac:dyDescent="0.2">
      <c r="A1359" t="s">
        <v>5276</v>
      </c>
      <c r="B1359" t="s">
        <v>5277</v>
      </c>
      <c r="C1359" t="s">
        <v>5278</v>
      </c>
      <c r="D1359" t="s">
        <v>5279</v>
      </c>
    </row>
    <row r="1360" spans="1:4" x14ac:dyDescent="0.2">
      <c r="A1360" t="s">
        <v>5542</v>
      </c>
      <c r="B1360" t="s">
        <v>5373</v>
      </c>
      <c r="C1360" t="s">
        <v>129</v>
      </c>
      <c r="D1360" t="s">
        <v>5543</v>
      </c>
    </row>
    <row r="1361" spans="1:4" x14ac:dyDescent="0.2">
      <c r="A1361" t="s">
        <v>5544</v>
      </c>
      <c r="B1361" t="s">
        <v>5545</v>
      </c>
      <c r="C1361" t="s">
        <v>129</v>
      </c>
      <c r="D1361" t="s">
        <v>5546</v>
      </c>
    </row>
    <row r="1362" spans="1:4" x14ac:dyDescent="0.2">
      <c r="A1362" t="s">
        <v>5547</v>
      </c>
      <c r="B1362" t="s">
        <v>5548</v>
      </c>
      <c r="C1362" t="s">
        <v>129</v>
      </c>
      <c r="D1362" t="s">
        <v>5549</v>
      </c>
    </row>
    <row r="1363" spans="1:4" x14ac:dyDescent="0.2">
      <c r="A1363" t="s">
        <v>5550</v>
      </c>
      <c r="B1363" t="s">
        <v>5551</v>
      </c>
      <c r="C1363" t="s">
        <v>129</v>
      </c>
      <c r="D1363" t="s">
        <v>5552</v>
      </c>
    </row>
    <row r="1364" spans="1:4" x14ac:dyDescent="0.2">
      <c r="A1364" t="s">
        <v>5553</v>
      </c>
      <c r="B1364" t="s">
        <v>5404</v>
      </c>
    </row>
    <row r="1365" spans="1:4" x14ac:dyDescent="0.2">
      <c r="A1365" t="s">
        <v>5254</v>
      </c>
    </row>
    <row r="1366" spans="1:4" x14ac:dyDescent="0.2">
      <c r="A1366" t="s">
        <v>5276</v>
      </c>
      <c r="B1366" t="s">
        <v>5277</v>
      </c>
      <c r="C1366" t="s">
        <v>5278</v>
      </c>
      <c r="D1366" t="s">
        <v>5279</v>
      </c>
    </row>
    <row r="1367" spans="1:4" x14ac:dyDescent="0.2">
      <c r="A1367" t="s">
        <v>5559</v>
      </c>
      <c r="B1367" t="s">
        <v>5560</v>
      </c>
    </row>
    <row r="1368" spans="1:4" x14ac:dyDescent="0.2">
      <c r="A1368" t="s">
        <v>5256</v>
      </c>
    </row>
    <row r="1369" spans="1:4" x14ac:dyDescent="0.2">
      <c r="A1369" t="s">
        <v>5276</v>
      </c>
      <c r="B1369" t="s">
        <v>5277</v>
      </c>
      <c r="C1369" t="s">
        <v>5278</v>
      </c>
      <c r="D1369" t="s">
        <v>5279</v>
      </c>
    </row>
    <row r="1370" spans="1:4" x14ac:dyDescent="0.2">
      <c r="A1370" t="s">
        <v>5561</v>
      </c>
      <c r="B1370" t="s">
        <v>5562</v>
      </c>
    </row>
    <row r="1371" spans="1:4" x14ac:dyDescent="0.2">
      <c r="A1371" t="s">
        <v>5258</v>
      </c>
    </row>
    <row r="1372" spans="1:4" x14ac:dyDescent="0.2">
      <c r="A1372" t="s">
        <v>5276</v>
      </c>
      <c r="B1372" t="s">
        <v>5277</v>
      </c>
      <c r="C1372" t="s">
        <v>5278</v>
      </c>
      <c r="D1372" t="s">
        <v>5279</v>
      </c>
    </row>
    <row r="1373" spans="1:4" x14ac:dyDescent="0.2">
      <c r="A1373" t="s">
        <v>5563</v>
      </c>
      <c r="B1373" t="s">
        <v>5562</v>
      </c>
    </row>
    <row r="1374" spans="1:4" x14ac:dyDescent="0.2">
      <c r="A1374" t="s">
        <v>2439</v>
      </c>
    </row>
    <row r="1375" spans="1:4" x14ac:dyDescent="0.2">
      <c r="A1375" t="s">
        <v>5276</v>
      </c>
      <c r="B1375" t="s">
        <v>5277</v>
      </c>
      <c r="C1375" t="s">
        <v>5278</v>
      </c>
      <c r="D1375" t="s">
        <v>5279</v>
      </c>
    </row>
    <row r="1376" spans="1:4" x14ac:dyDescent="0.2">
      <c r="A1376" t="s">
        <v>5612</v>
      </c>
      <c r="B1376" t="s">
        <v>5390</v>
      </c>
      <c r="C1376" t="s">
        <v>129</v>
      </c>
      <c r="D1376" t="s">
        <v>5298</v>
      </c>
    </row>
    <row r="1377" spans="1:4" x14ac:dyDescent="0.2">
      <c r="A1377" t="s">
        <v>5261</v>
      </c>
    </row>
    <row r="1378" spans="1:4" x14ac:dyDescent="0.2">
      <c r="A1378" t="s">
        <v>5276</v>
      </c>
      <c r="B1378" t="s">
        <v>5277</v>
      </c>
      <c r="C1378" t="s">
        <v>5278</v>
      </c>
      <c r="D1378" t="s">
        <v>5279</v>
      </c>
    </row>
    <row r="1379" spans="1:4" x14ac:dyDescent="0.2">
      <c r="A1379" t="s">
        <v>5612</v>
      </c>
      <c r="B1379" t="s">
        <v>5390</v>
      </c>
      <c r="C1379" t="s">
        <v>129</v>
      </c>
      <c r="D1379" t="s">
        <v>5298</v>
      </c>
    </row>
    <row r="1380" spans="1:4" x14ac:dyDescent="0.2">
      <c r="A1380" t="s">
        <v>2433</v>
      </c>
    </row>
    <row r="1381" spans="1:4" x14ac:dyDescent="0.2">
      <c r="A1381" t="s">
        <v>5276</v>
      </c>
      <c r="B1381" t="s">
        <v>5277</v>
      </c>
      <c r="C1381" t="s">
        <v>5278</v>
      </c>
      <c r="D1381" t="s">
        <v>5279</v>
      </c>
    </row>
    <row r="1382" spans="1:4" x14ac:dyDescent="0.2">
      <c r="A1382" t="s">
        <v>5565</v>
      </c>
      <c r="B1382" t="s">
        <v>5390</v>
      </c>
      <c r="C1382" t="s">
        <v>129</v>
      </c>
      <c r="D1382" t="s">
        <v>5285</v>
      </c>
    </row>
    <row r="1383" spans="1:4" x14ac:dyDescent="0.2">
      <c r="A1383" t="s">
        <v>5283</v>
      </c>
      <c r="B1383" t="s">
        <v>5333</v>
      </c>
    </row>
    <row r="1384" spans="1:4" x14ac:dyDescent="0.2">
      <c r="A1384" t="s">
        <v>5263</v>
      </c>
    </row>
    <row r="1385" spans="1:4" x14ac:dyDescent="0.2">
      <c r="A1385" t="s">
        <v>5276</v>
      </c>
      <c r="B1385" t="s">
        <v>5277</v>
      </c>
      <c r="C1385" t="s">
        <v>5278</v>
      </c>
      <c r="D1385" t="s">
        <v>5279</v>
      </c>
    </row>
    <row r="1386" spans="1:4" x14ac:dyDescent="0.2">
      <c r="A1386" t="s">
        <v>5565</v>
      </c>
      <c r="B1386" t="s">
        <v>5390</v>
      </c>
      <c r="C1386" t="s">
        <v>129</v>
      </c>
      <c r="D1386" t="s">
        <v>5285</v>
      </c>
    </row>
    <row r="1387" spans="1:4" x14ac:dyDescent="0.2">
      <c r="A1387" t="s">
        <v>5283</v>
      </c>
      <c r="B1387" t="s">
        <v>5333</v>
      </c>
    </row>
  </sheetData>
  <phoneticPr fontId="0" type="noConversion"/>
  <pageMargins left="0.75" right="0.75" top="1" bottom="1" header="0.5" footer="0.5"/>
  <pageSetup scale="86"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A2:CP1071"/>
  <sheetViews>
    <sheetView topLeftCell="R4" zoomScale="98" zoomScaleNormal="98" workbookViewId="0">
      <selection activeCell="AS28" sqref="AS28"/>
    </sheetView>
  </sheetViews>
  <sheetFormatPr defaultRowHeight="12.75" x14ac:dyDescent="0.2"/>
  <cols>
    <col min="1" max="1" width="25.28515625" customWidth="1"/>
    <col min="2" max="2" width="13" customWidth="1"/>
    <col min="3" max="3" width="11.140625" customWidth="1"/>
    <col min="4" max="4" width="10.85546875" customWidth="1"/>
    <col min="5" max="5" width="12" customWidth="1"/>
    <col min="6" max="6" width="12.140625" customWidth="1"/>
    <col min="7" max="7" width="11.28515625" customWidth="1"/>
    <col min="8" max="8" width="7.28515625" customWidth="1"/>
    <col min="9" max="9" width="10.140625" customWidth="1"/>
    <col min="10" max="10" width="4" customWidth="1"/>
    <col min="11" max="11" width="17.5703125" customWidth="1"/>
    <col min="12" max="12" width="5.5703125" hidden="1" customWidth="1"/>
    <col min="13" max="13" width="8" hidden="1" customWidth="1"/>
    <col min="14" max="14" width="0.140625" hidden="1" customWidth="1"/>
    <col min="15" max="15" width="2" hidden="1" customWidth="1"/>
    <col min="16" max="16" width="3.28515625" hidden="1" customWidth="1"/>
    <col min="17" max="17" width="4.5703125" hidden="1" customWidth="1"/>
    <col min="21" max="21" width="9" customWidth="1"/>
    <col min="22" max="22" width="7.140625" customWidth="1"/>
    <col min="23" max="23" width="3.5703125" hidden="1" customWidth="1"/>
    <col min="24" max="24" width="4.28515625" hidden="1" customWidth="1"/>
    <col min="25" max="25" width="3" hidden="1" customWidth="1"/>
    <col min="26" max="26" width="10.140625" customWidth="1"/>
    <col min="27" max="27" width="4" customWidth="1"/>
    <col min="28" max="28" width="3.5703125" customWidth="1"/>
    <col min="29" max="29" width="16.5703125" customWidth="1"/>
    <col min="30" max="34" width="0" hidden="1" customWidth="1"/>
    <col min="35" max="35" width="3.28515625" hidden="1" customWidth="1"/>
    <col min="36" max="36" width="23.5703125" customWidth="1"/>
    <col min="37" max="37" width="16.28515625" customWidth="1"/>
    <col min="38" max="39" width="11.5703125" customWidth="1"/>
    <col min="41" max="41" width="9.28515625" customWidth="1"/>
    <col min="42" max="44" width="0" hidden="1" customWidth="1"/>
    <col min="45" max="45" width="10.28515625" customWidth="1"/>
    <col min="47" max="47" width="18.140625" customWidth="1"/>
    <col min="48" max="48" width="23.5703125" customWidth="1"/>
    <col min="49" max="54" width="11.5703125" customWidth="1"/>
    <col min="56" max="56" width="18.140625" customWidth="1"/>
    <col min="57" max="57" width="23.5703125" customWidth="1"/>
    <col min="58" max="63" width="11.5703125" customWidth="1"/>
    <col min="65" max="65" width="16.5703125" customWidth="1"/>
    <col min="66" max="66" width="14.28515625" customWidth="1"/>
    <col min="75" max="75" width="18.140625" customWidth="1"/>
    <col min="76" max="76" width="22.5703125" customWidth="1"/>
    <col min="77" max="82" width="11.5703125" customWidth="1"/>
    <col min="84" max="84" width="19.140625" customWidth="1"/>
  </cols>
  <sheetData>
    <row r="2" spans="1:94" x14ac:dyDescent="0.2">
      <c r="K2" s="37" t="s">
        <v>5613</v>
      </c>
    </row>
    <row r="3" spans="1:94" x14ac:dyDescent="0.2">
      <c r="W3">
        <f>G2</f>
        <v>0</v>
      </c>
      <c r="X3">
        <f>H2</f>
        <v>0</v>
      </c>
      <c r="Y3">
        <f>J2</f>
        <v>0</v>
      </c>
      <c r="BH3" s="494" t="s">
        <v>5614</v>
      </c>
    </row>
    <row r="4" spans="1:94" x14ac:dyDescent="0.2">
      <c r="BH4" s="1721" t="s">
        <v>5615</v>
      </c>
    </row>
    <row r="5" spans="1:94" ht="15.75" x14ac:dyDescent="0.25">
      <c r="A5" t="str">
        <f>FishSumAllPRN!A2</f>
        <v>Species: COHO</v>
      </c>
      <c r="B5" s="163">
        <f>FishSumAllPRN!B2</f>
        <v>0</v>
      </c>
      <c r="C5" s="86" t="str">
        <f>FishSumAllPRN!C2</f>
        <v>Ver:2.22 Feb 25</v>
      </c>
      <c r="D5">
        <f>FishSumAllPRN!D2</f>
        <v>0</v>
      </c>
      <c r="E5">
        <f>FishSumAllPRN!E2</f>
        <v>0</v>
      </c>
      <c r="G5" t="str">
        <f>FishSumAllPRN!G2</f>
        <v>RunDate:4/12/2022 2:12:39 PM</v>
      </c>
      <c r="K5" t="str">
        <f t="shared" ref="K5:Q7" si="0">A5</f>
        <v>Species: COHO</v>
      </c>
      <c r="L5">
        <f t="shared" si="0"/>
        <v>0</v>
      </c>
      <c r="M5" t="str">
        <f t="shared" si="0"/>
        <v>Ver:2.22 Feb 25</v>
      </c>
      <c r="N5">
        <f t="shared" si="0"/>
        <v>0</v>
      </c>
      <c r="O5">
        <f t="shared" si="0"/>
        <v>0</v>
      </c>
      <c r="P5">
        <f t="shared" si="0"/>
        <v>0</v>
      </c>
      <c r="Q5" t="str">
        <f t="shared" si="0"/>
        <v>RunDate:4/12/2022 2:12:39 PM</v>
      </c>
      <c r="R5">
        <f>B5</f>
        <v>0</v>
      </c>
      <c r="S5" s="86" t="str">
        <f>C5</f>
        <v>Ver:2.22 Feb 25</v>
      </c>
      <c r="T5">
        <f>D5</f>
        <v>0</v>
      </c>
      <c r="U5">
        <f>E5</f>
        <v>0</v>
      </c>
      <c r="Z5" t="str">
        <f>G5</f>
        <v>RunDate:4/12/2022 2:12:39 PM</v>
      </c>
      <c r="AC5" s="35" t="s">
        <v>5616</v>
      </c>
      <c r="AU5" s="35" t="s">
        <v>5617</v>
      </c>
      <c r="BD5" s="35" t="s">
        <v>5618</v>
      </c>
      <c r="BH5" s="1721">
        <f>AY18-AM18-BQ18</f>
        <v>1029</v>
      </c>
      <c r="BM5" s="35" t="s">
        <v>5619</v>
      </c>
      <c r="BW5" s="35" t="s">
        <v>5620</v>
      </c>
      <c r="CF5" s="1326"/>
    </row>
    <row r="6" spans="1:94" ht="13.5" thickBot="1" x14ac:dyDescent="0.25">
      <c r="A6" t="str">
        <f>FishSumAllPRN!A3</f>
        <v>Report: Fishery Summary</v>
      </c>
      <c r="B6">
        <f>FishSumAllPRN!B3</f>
        <v>0</v>
      </c>
      <c r="D6">
        <f>FishSumAllPRN!D3</f>
        <v>0</v>
      </c>
      <c r="E6">
        <f>FishSumAllPRN!E3</f>
        <v>0</v>
      </c>
      <c r="F6">
        <f>FishSumAllPRN!F3</f>
        <v>0</v>
      </c>
      <c r="G6" t="str">
        <f>FishSumAllPRN!G3</f>
        <v>RepDate:4/12/2022 2:12:40 PM</v>
      </c>
      <c r="K6" t="str">
        <f t="shared" si="0"/>
        <v>Report: Fishery Summary</v>
      </c>
      <c r="L6">
        <f t="shared" si="0"/>
        <v>0</v>
      </c>
      <c r="M6">
        <f t="shared" si="0"/>
        <v>0</v>
      </c>
      <c r="N6">
        <f t="shared" si="0"/>
        <v>0</v>
      </c>
      <c r="O6">
        <f t="shared" si="0"/>
        <v>0</v>
      </c>
      <c r="P6">
        <f t="shared" si="0"/>
        <v>0</v>
      </c>
      <c r="Q6" t="str">
        <f t="shared" si="0"/>
        <v>RepDate:4/12/2022 2:12:40 PM</v>
      </c>
      <c r="R6">
        <f>B6</f>
        <v>0</v>
      </c>
      <c r="T6">
        <f t="shared" ref="T6:Y6" si="1">D6</f>
        <v>0</v>
      </c>
      <c r="U6">
        <f t="shared" si="1"/>
        <v>0</v>
      </c>
      <c r="V6">
        <f t="shared" si="1"/>
        <v>0</v>
      </c>
      <c r="W6" t="str">
        <f t="shared" si="1"/>
        <v>RepDate:4/12/2022 2:12:40 PM</v>
      </c>
      <c r="X6">
        <f t="shared" si="1"/>
        <v>0</v>
      </c>
      <c r="Y6">
        <f t="shared" si="1"/>
        <v>0</v>
      </c>
      <c r="Z6" t="str">
        <f>G6</f>
        <v>RepDate:4/12/2022 2:12:40 PM</v>
      </c>
      <c r="AC6" s="37"/>
      <c r="AU6" s="37"/>
      <c r="BD6" s="37"/>
      <c r="BM6" s="37"/>
      <c r="BW6" s="37"/>
      <c r="CF6" s="1326"/>
    </row>
    <row r="7" spans="1:94" x14ac:dyDescent="0.2">
      <c r="A7" t="str">
        <f>FishSumAllPRN!A4</f>
        <v xml:space="preserve">Title:PFMC April 12 Final, TT 52K NT 200K </v>
      </c>
      <c r="B7">
        <f>FishSumAllPRN!B4</f>
        <v>0</v>
      </c>
      <c r="C7">
        <f>FishSumAllPRN!C4</f>
        <v>0</v>
      </c>
      <c r="D7">
        <f>FishSumAllPRN!D4</f>
        <v>0</v>
      </c>
      <c r="K7" t="str">
        <f t="shared" si="0"/>
        <v xml:space="preserve">Title:PFMC April 12 Final, TT 52K NT 200K </v>
      </c>
      <c r="L7">
        <f t="shared" si="0"/>
        <v>0</v>
      </c>
      <c r="M7">
        <f t="shared" si="0"/>
        <v>0</v>
      </c>
      <c r="N7">
        <f t="shared" si="0"/>
        <v>0</v>
      </c>
      <c r="O7">
        <f t="shared" si="0"/>
        <v>0</v>
      </c>
      <c r="P7">
        <f t="shared" si="0"/>
        <v>0</v>
      </c>
      <c r="Q7">
        <f t="shared" si="0"/>
        <v>0</v>
      </c>
      <c r="R7">
        <f>B7</f>
        <v>0</v>
      </c>
      <c r="S7">
        <f>C7</f>
        <v>0</v>
      </c>
      <c r="T7">
        <f>D7</f>
        <v>0</v>
      </c>
      <c r="AC7" s="48" t="s">
        <v>602</v>
      </c>
      <c r="AD7" s="49"/>
      <c r="AE7" s="49"/>
      <c r="AF7" s="49"/>
      <c r="AG7" s="49"/>
      <c r="AH7" s="49"/>
      <c r="AI7" s="49"/>
      <c r="AJ7" s="77">
        <f>'1'!F2</f>
        <v>0</v>
      </c>
      <c r="AK7" s="52"/>
      <c r="AL7" s="52"/>
      <c r="AM7" s="52"/>
      <c r="AN7" s="52"/>
      <c r="AO7" s="52"/>
      <c r="AP7" s="52"/>
      <c r="AQ7" s="52"/>
      <c r="AR7" s="52"/>
      <c r="AS7" s="53"/>
      <c r="AU7" s="48" t="s">
        <v>602</v>
      </c>
      <c r="AV7" s="49">
        <f>AJ7</f>
        <v>0</v>
      </c>
      <c r="AW7" s="49"/>
      <c r="AX7" s="49"/>
      <c r="AY7" s="49"/>
      <c r="AZ7" s="49"/>
      <c r="BA7" s="49"/>
      <c r="BB7" s="81"/>
      <c r="BD7" s="48" t="s">
        <v>602</v>
      </c>
      <c r="BE7" s="49">
        <f>$AV$7</f>
        <v>0</v>
      </c>
      <c r="BF7" s="49"/>
      <c r="BG7" s="49"/>
      <c r="BH7" s="49"/>
      <c r="BI7" s="49"/>
      <c r="BJ7" s="49"/>
      <c r="BK7" s="81"/>
      <c r="BM7" s="48" t="s">
        <v>602</v>
      </c>
      <c r="BN7" s="49">
        <f>$AV$7</f>
        <v>0</v>
      </c>
      <c r="BO7" s="49"/>
      <c r="BP7" s="49"/>
      <c r="BQ7" s="49"/>
      <c r="BR7" s="49"/>
      <c r="BS7" s="49"/>
      <c r="BT7" s="81"/>
      <c r="BW7" s="48" t="s">
        <v>602</v>
      </c>
      <c r="BX7" s="49">
        <f>AV7</f>
        <v>0</v>
      </c>
      <c r="BY7" s="49"/>
      <c r="BZ7" s="49"/>
      <c r="CA7" s="49"/>
      <c r="CB7" s="49"/>
      <c r="CC7" s="49"/>
      <c r="CD7" s="81"/>
      <c r="CF7" s="1326"/>
    </row>
    <row r="8" spans="1:94" ht="13.5" thickBot="1" x14ac:dyDescent="0.25">
      <c r="G8">
        <f>SUM(G12:G19,G26:G34,G44:G55,G90:G94,G98:G99,G102:G104,G107:G108,G112:G113,G117:G118,G120:G123,G129:G135,G140:G144,G147:G157,G163:G171,G182:G194,G196:G209)</f>
        <v>2840174</v>
      </c>
      <c r="AC8" s="74" t="s">
        <v>123</v>
      </c>
      <c r="AD8" s="56"/>
      <c r="AE8" s="56"/>
      <c r="AF8" s="56"/>
      <c r="AG8" s="56"/>
      <c r="AH8" s="56"/>
      <c r="AI8" s="56"/>
      <c r="AJ8" s="76">
        <f>'1'!B3</f>
        <v>0</v>
      </c>
      <c r="AK8" s="56"/>
      <c r="AL8" s="56"/>
      <c r="AM8" s="56"/>
      <c r="AN8" s="56"/>
      <c r="AO8" s="56"/>
      <c r="AP8" s="56"/>
      <c r="AQ8" s="56"/>
      <c r="AR8" s="56"/>
      <c r="AS8" s="75"/>
      <c r="AU8" s="74" t="s">
        <v>123</v>
      </c>
      <c r="AV8" s="56">
        <f>AJ8</f>
        <v>0</v>
      </c>
      <c r="AW8" s="56"/>
      <c r="AX8" s="56"/>
      <c r="AY8" s="56"/>
      <c r="AZ8" s="56"/>
      <c r="BA8" s="56"/>
      <c r="BB8" s="75"/>
      <c r="BC8" s="79"/>
      <c r="BD8" s="74" t="s">
        <v>123</v>
      </c>
      <c r="BE8" s="56">
        <f>$AV$8</f>
        <v>0</v>
      </c>
      <c r="BF8" s="56"/>
      <c r="BG8" s="56"/>
      <c r="BH8" s="56"/>
      <c r="BI8" s="56"/>
      <c r="BJ8" s="56"/>
      <c r="BK8" s="75"/>
      <c r="BM8" s="74" t="s">
        <v>123</v>
      </c>
      <c r="BN8" s="56">
        <f>$AV$8</f>
        <v>0</v>
      </c>
      <c r="BO8" s="56"/>
      <c r="BP8" s="56"/>
      <c r="BQ8" s="56"/>
      <c r="BR8" s="56"/>
      <c r="BS8" s="56"/>
      <c r="BT8" s="75"/>
      <c r="BU8" s="79"/>
      <c r="BV8" s="79"/>
      <c r="BW8" s="74" t="s">
        <v>123</v>
      </c>
      <c r="BX8" s="56">
        <f>AV8</f>
        <v>0</v>
      </c>
      <c r="BY8" s="56"/>
      <c r="BZ8" s="56"/>
      <c r="CA8" s="56"/>
      <c r="CB8" s="56"/>
      <c r="CC8" s="56"/>
      <c r="CD8" s="75"/>
      <c r="CF8" s="1326"/>
    </row>
    <row r="9" spans="1:94" ht="13.5" thickBot="1" x14ac:dyDescent="0.25">
      <c r="H9" t="s">
        <v>2319</v>
      </c>
      <c r="K9" t="s">
        <v>5621</v>
      </c>
      <c r="L9" t="s">
        <v>5622</v>
      </c>
      <c r="M9" t="s">
        <v>5622</v>
      </c>
      <c r="N9" t="s">
        <v>5622</v>
      </c>
      <c r="O9" t="s">
        <v>5622</v>
      </c>
      <c r="P9" t="s">
        <v>5622</v>
      </c>
      <c r="Q9" t="s">
        <v>5622</v>
      </c>
      <c r="R9" t="s">
        <v>5622</v>
      </c>
      <c r="S9" t="s">
        <v>5622</v>
      </c>
      <c r="T9" t="s">
        <v>5622</v>
      </c>
      <c r="U9" t="s">
        <v>5622</v>
      </c>
      <c r="V9" t="s">
        <v>5622</v>
      </c>
      <c r="W9" t="s">
        <v>5622</v>
      </c>
      <c r="X9" t="s">
        <v>5622</v>
      </c>
      <c r="Y9" t="s">
        <v>5622</v>
      </c>
      <c r="Z9" t="s">
        <v>5623</v>
      </c>
      <c r="AC9" s="50" t="s">
        <v>126</v>
      </c>
      <c r="AD9" s="73">
        <v>37227</v>
      </c>
      <c r="AE9" s="37" t="s">
        <v>5624</v>
      </c>
      <c r="AF9" s="37" t="s">
        <v>5625</v>
      </c>
      <c r="AG9" s="37" t="s">
        <v>5626</v>
      </c>
      <c r="AH9" s="37" t="s">
        <v>5627</v>
      </c>
      <c r="AI9" s="37" t="s">
        <v>5628</v>
      </c>
      <c r="AJ9" s="2121" t="s">
        <v>544</v>
      </c>
      <c r="AK9" s="67" t="s">
        <v>5629</v>
      </c>
      <c r="AL9" s="67" t="s">
        <v>5630</v>
      </c>
      <c r="AM9" s="67" t="s">
        <v>890</v>
      </c>
      <c r="AN9" s="67" t="s">
        <v>891</v>
      </c>
      <c r="AO9" s="67" t="s">
        <v>615</v>
      </c>
      <c r="AP9" s="67" t="s">
        <v>892</v>
      </c>
      <c r="AQ9" s="67" t="s">
        <v>893</v>
      </c>
      <c r="AR9" s="67" t="s">
        <v>5631</v>
      </c>
      <c r="AS9" s="68" t="s">
        <v>236</v>
      </c>
      <c r="AU9" s="50" t="s">
        <v>126</v>
      </c>
      <c r="AV9" s="73" t="str">
        <f>AJ848</f>
        <v>Area</v>
      </c>
      <c r="AW9" s="67" t="str">
        <f>AK848</f>
        <v>Jan-Jun</v>
      </c>
      <c r="AX9" s="67" t="str">
        <f>AL848</f>
        <v>Jul</v>
      </c>
      <c r="AY9" s="67" t="str">
        <f>AM848</f>
        <v>Aug</v>
      </c>
      <c r="AZ9" s="67" t="s">
        <v>891</v>
      </c>
      <c r="BA9" s="67" t="str">
        <f>AO848</f>
        <v>Oct-Dec</v>
      </c>
      <c r="BB9" s="68" t="s">
        <v>236</v>
      </c>
      <c r="BC9" s="79"/>
      <c r="BD9" s="50" t="s">
        <v>126</v>
      </c>
      <c r="BE9" s="73" t="s">
        <v>544</v>
      </c>
      <c r="BF9" s="67" t="s">
        <v>5629</v>
      </c>
      <c r="BG9" s="67" t="s">
        <v>5630</v>
      </c>
      <c r="BH9" s="67" t="s">
        <v>890</v>
      </c>
      <c r="BI9" s="67" t="s">
        <v>891</v>
      </c>
      <c r="BJ9" s="67" t="s">
        <v>615</v>
      </c>
      <c r="BK9" s="68" t="s">
        <v>236</v>
      </c>
      <c r="BL9" s="37"/>
      <c r="BM9" s="50" t="s">
        <v>126</v>
      </c>
      <c r="BN9" s="73" t="s">
        <v>544</v>
      </c>
      <c r="BO9" s="67" t="s">
        <v>5629</v>
      </c>
      <c r="BP9" s="67" t="s">
        <v>5630</v>
      </c>
      <c r="BQ9" s="67" t="s">
        <v>890</v>
      </c>
      <c r="BR9" s="67" t="s">
        <v>891</v>
      </c>
      <c r="BS9" s="67" t="s">
        <v>615</v>
      </c>
      <c r="BT9" s="68" t="s">
        <v>236</v>
      </c>
      <c r="BU9" s="79"/>
      <c r="BV9" s="79"/>
      <c r="BW9" s="50" t="s">
        <v>126</v>
      </c>
      <c r="BX9" s="73" t="str">
        <f>AV9</f>
        <v>Area</v>
      </c>
      <c r="BY9" s="67" t="str">
        <f>AW9</f>
        <v>Jan-Jun</v>
      </c>
      <c r="BZ9" s="67" t="str">
        <f>AX9</f>
        <v>Jul</v>
      </c>
      <c r="CA9" s="67" t="str">
        <f>AY9</f>
        <v>Aug</v>
      </c>
      <c r="CB9" s="67" t="s">
        <v>891</v>
      </c>
      <c r="CC9" s="67" t="str">
        <f>BA9</f>
        <v>Oct-Dec</v>
      </c>
      <c r="CD9" s="68" t="s">
        <v>236</v>
      </c>
      <c r="CE9" s="37"/>
      <c r="CF9" s="1326"/>
    </row>
    <row r="10" spans="1:94" x14ac:dyDescent="0.2">
      <c r="A10" t="str">
        <f>FishSumAllPRN!A7</f>
        <v>Landed Catch by Fishery</v>
      </c>
      <c r="B10" t="s">
        <v>4262</v>
      </c>
      <c r="C10" t="s">
        <v>4263</v>
      </c>
      <c r="D10" t="s">
        <v>4264</v>
      </c>
      <c r="E10" t="s">
        <v>2308</v>
      </c>
      <c r="F10" t="s">
        <v>615</v>
      </c>
      <c r="G10" t="s">
        <v>236</v>
      </c>
      <c r="H10" t="s">
        <v>5632</v>
      </c>
      <c r="K10" t="s">
        <v>126</v>
      </c>
      <c r="L10" s="51">
        <v>37227</v>
      </c>
      <c r="M10" t="s">
        <v>5624</v>
      </c>
      <c r="N10" t="s">
        <v>5625</v>
      </c>
      <c r="O10" t="s">
        <v>5626</v>
      </c>
      <c r="P10" t="s">
        <v>5627</v>
      </c>
      <c r="Q10" t="s">
        <v>5628</v>
      </c>
      <c r="R10" t="s">
        <v>5629</v>
      </c>
      <c r="S10" t="s">
        <v>5630</v>
      </c>
      <c r="T10" t="s">
        <v>890</v>
      </c>
      <c r="U10" t="s">
        <v>614</v>
      </c>
      <c r="V10" t="s">
        <v>615</v>
      </c>
      <c r="W10" t="s">
        <v>892</v>
      </c>
      <c r="X10" t="s">
        <v>893</v>
      </c>
      <c r="Y10" t="s">
        <v>5631</v>
      </c>
      <c r="Z10" t="s">
        <v>236</v>
      </c>
      <c r="AC10" s="48" t="s">
        <v>5633</v>
      </c>
      <c r="AD10" s="49"/>
      <c r="AE10" s="49"/>
      <c r="AF10" s="49"/>
      <c r="AG10" s="49"/>
      <c r="AH10" s="49"/>
      <c r="AI10" s="49"/>
      <c r="AJ10" s="49" t="s">
        <v>5634</v>
      </c>
      <c r="AK10" s="52">
        <f t="shared" ref="AK10:AR10" si="2">SUM(R12)</f>
        <v>4313</v>
      </c>
      <c r="AL10" s="52">
        <f t="shared" si="2"/>
        <v>131173</v>
      </c>
      <c r="AM10" s="52">
        <f t="shared" si="2"/>
        <v>136796</v>
      </c>
      <c r="AN10" s="52">
        <f t="shared" si="2"/>
        <v>51902</v>
      </c>
      <c r="AO10" s="52">
        <f t="shared" si="2"/>
        <v>0</v>
      </c>
      <c r="AP10" s="52">
        <f t="shared" si="2"/>
        <v>0</v>
      </c>
      <c r="AQ10" s="52">
        <f t="shared" si="2"/>
        <v>0</v>
      </c>
      <c r="AR10" s="52">
        <f t="shared" si="2"/>
        <v>0</v>
      </c>
      <c r="AS10" s="53">
        <f>SUM(AK10:AO10)</f>
        <v>324184</v>
      </c>
      <c r="AU10" s="48" t="s">
        <v>5633</v>
      </c>
      <c r="AV10" s="49" t="str">
        <f t="shared" ref="AV10:AV73" si="3">AJ849</f>
        <v>all</v>
      </c>
      <c r="AW10" s="669">
        <f t="shared" ref="AW10:AW73" si="4">AK849</f>
        <v>4529</v>
      </c>
      <c r="AX10" s="669">
        <f t="shared" ref="AX10:AX73" si="5">AL849</f>
        <v>137732</v>
      </c>
      <c r="AY10" s="669">
        <f t="shared" ref="AY10:AZ73" si="6">AM849</f>
        <v>143635</v>
      </c>
      <c r="AZ10" s="669">
        <f t="shared" si="6"/>
        <v>54497</v>
      </c>
      <c r="BA10" s="669">
        <f t="shared" ref="BA10:BA73" si="7">AO849</f>
        <v>0</v>
      </c>
      <c r="BB10" s="1722">
        <f>SUM(AW10:BA10)</f>
        <v>340393</v>
      </c>
      <c r="BC10" s="2121"/>
      <c r="BD10" s="48" t="s">
        <v>5633</v>
      </c>
      <c r="BE10" s="49" t="str">
        <f>AV10</f>
        <v>all</v>
      </c>
      <c r="BF10" s="495">
        <f>AW10-AK10-BO10</f>
        <v>216</v>
      </c>
      <c r="BG10" s="495">
        <f t="shared" ref="BG10:BJ11" si="8">AX10-AL10-BP10</f>
        <v>6559</v>
      </c>
      <c r="BH10" s="495">
        <f t="shared" si="8"/>
        <v>6839</v>
      </c>
      <c r="BI10" s="495">
        <f t="shared" si="8"/>
        <v>2595</v>
      </c>
      <c r="BJ10" s="495">
        <f t="shared" si="8"/>
        <v>0</v>
      </c>
      <c r="BK10" s="496">
        <f>SUM(BF10:BJ10)</f>
        <v>16209</v>
      </c>
      <c r="BL10" s="67"/>
      <c r="BM10" s="48" t="s">
        <v>5633</v>
      </c>
      <c r="BN10" s="49" t="str">
        <f>AV10</f>
        <v>all</v>
      </c>
      <c r="BO10" s="669">
        <f t="shared" ref="BO10:BS11" si="9">AK431</f>
        <v>0</v>
      </c>
      <c r="BP10" s="669">
        <f t="shared" si="9"/>
        <v>0</v>
      </c>
      <c r="BQ10" s="669">
        <f t="shared" si="9"/>
        <v>0</v>
      </c>
      <c r="BR10" s="669">
        <f t="shared" si="9"/>
        <v>0</v>
      </c>
      <c r="BS10" s="669">
        <f t="shared" si="9"/>
        <v>0</v>
      </c>
      <c r="BT10" s="1722">
        <f>SUM(BO10:BS10)</f>
        <v>0</v>
      </c>
      <c r="BU10" s="2121"/>
      <c r="BV10" s="2121"/>
      <c r="BW10" s="48" t="s">
        <v>5633</v>
      </c>
      <c r="BX10" s="49" t="str">
        <f>AV10</f>
        <v>all</v>
      </c>
      <c r="BY10" s="669">
        <f t="shared" ref="BY10:CC11" si="10">AW10-AK10</f>
        <v>216</v>
      </c>
      <c r="BZ10" s="669">
        <f t="shared" si="10"/>
        <v>6559</v>
      </c>
      <c r="CA10" s="669">
        <f t="shared" si="10"/>
        <v>6839</v>
      </c>
      <c r="CB10" s="669">
        <f t="shared" si="10"/>
        <v>2595</v>
      </c>
      <c r="CC10" s="669">
        <f t="shared" si="10"/>
        <v>0</v>
      </c>
      <c r="CD10" s="1722">
        <f>SUM(BY10:CC10)</f>
        <v>16209</v>
      </c>
      <c r="CE10" s="67"/>
      <c r="CF10" s="1326"/>
      <c r="CO10" s="180" t="s">
        <v>5635</v>
      </c>
    </row>
    <row r="11" spans="1:94" ht="13.5" thickBot="1" x14ac:dyDescent="0.25">
      <c r="A11" t="s">
        <v>2318</v>
      </c>
      <c r="B11" t="s">
        <v>2319</v>
      </c>
      <c r="C11" t="s">
        <v>2319</v>
      </c>
      <c r="D11" t="s">
        <v>2319</v>
      </c>
      <c r="E11" t="s">
        <v>2319</v>
      </c>
      <c r="F11" t="s">
        <v>2319</v>
      </c>
      <c r="G11" t="s">
        <v>2319</v>
      </c>
      <c r="H11" t="s">
        <v>2319</v>
      </c>
      <c r="K11" t="s">
        <v>5621</v>
      </c>
      <c r="L11" t="s">
        <v>5622</v>
      </c>
      <c r="M11" t="s">
        <v>5622</v>
      </c>
      <c r="N11" t="s">
        <v>5622</v>
      </c>
      <c r="O11" t="s">
        <v>5622</v>
      </c>
      <c r="P11" t="s">
        <v>5622</v>
      </c>
      <c r="Q11" t="s">
        <v>5622</v>
      </c>
      <c r="R11" t="s">
        <v>5622</v>
      </c>
      <c r="S11" t="s">
        <v>5622</v>
      </c>
      <c r="T11" t="s">
        <v>5622</v>
      </c>
      <c r="U11" t="s">
        <v>5622</v>
      </c>
      <c r="V11" t="s">
        <v>5622</v>
      </c>
      <c r="W11" t="s">
        <v>5622</v>
      </c>
      <c r="X11" t="s">
        <v>5622</v>
      </c>
      <c r="Y11" t="s">
        <v>5622</v>
      </c>
      <c r="Z11" t="s">
        <v>5622</v>
      </c>
      <c r="AC11" s="78" t="s">
        <v>5636</v>
      </c>
      <c r="AD11" s="1594"/>
      <c r="AE11" s="1594"/>
      <c r="AF11" s="1594"/>
      <c r="AG11" s="1594"/>
      <c r="AH11" s="1594"/>
      <c r="AI11" s="1594"/>
      <c r="AJ11" s="1594" t="s">
        <v>5634</v>
      </c>
      <c r="AK11" s="1723">
        <f>SUM(R48:R57,R74:R77,B204)</f>
        <v>7054</v>
      </c>
      <c r="AL11" s="1723">
        <f>SUM(S48:S57,S74:S77,C204)</f>
        <v>66442</v>
      </c>
      <c r="AM11" s="1723">
        <f>SUM(T48:T57,T74:T77,D204)</f>
        <v>106568</v>
      </c>
      <c r="AN11" s="1723">
        <f>SUM(U48:U57,U74:U77,E204)</f>
        <v>13515</v>
      </c>
      <c r="AO11" s="1723">
        <f>SUM(V48:V57,V74:V77,F204)</f>
        <v>1221</v>
      </c>
      <c r="AP11" s="1723">
        <f>SUM(W48:W57,W74:W77)</f>
        <v>0</v>
      </c>
      <c r="AQ11" s="1723">
        <f>SUM(X48:X57,X74:X77)</f>
        <v>0</v>
      </c>
      <c r="AR11" s="1723">
        <f>SUM(Y48:Y57,Y74:Y77)</f>
        <v>0</v>
      </c>
      <c r="AS11" s="1905">
        <f>SUM(AK11:AO11)</f>
        <v>194800</v>
      </c>
      <c r="AT11" s="38"/>
      <c r="AU11" s="78" t="s">
        <v>5636</v>
      </c>
      <c r="AV11" s="1594" t="str">
        <f t="shared" si="3"/>
        <v>all</v>
      </c>
      <c r="AW11" s="1611">
        <f t="shared" si="4"/>
        <v>8200</v>
      </c>
      <c r="AX11" s="1611">
        <f t="shared" si="5"/>
        <v>72256</v>
      </c>
      <c r="AY11" s="1611">
        <f t="shared" si="6"/>
        <v>119728</v>
      </c>
      <c r="AZ11" s="1611">
        <f t="shared" si="6"/>
        <v>16466</v>
      </c>
      <c r="BA11" s="1611">
        <f t="shared" si="7"/>
        <v>1572</v>
      </c>
      <c r="BB11" s="1906">
        <f>SUM(AW11:BA11)</f>
        <v>218222</v>
      </c>
      <c r="BC11" s="37"/>
      <c r="BD11" s="78" t="s">
        <v>5636</v>
      </c>
      <c r="BE11" s="1594" t="str">
        <f>AV11</f>
        <v>all</v>
      </c>
      <c r="BF11" s="1724">
        <f>AW11-AK11-BO11</f>
        <v>653</v>
      </c>
      <c r="BG11" s="1724">
        <f t="shared" si="8"/>
        <v>4227</v>
      </c>
      <c r="BH11" s="1724">
        <f t="shared" si="8"/>
        <v>6693</v>
      </c>
      <c r="BI11" s="1724">
        <f t="shared" si="8"/>
        <v>1388</v>
      </c>
      <c r="BJ11" s="1724">
        <f t="shared" si="8"/>
        <v>162</v>
      </c>
      <c r="BK11" s="1907">
        <f>SUM(BF11:BJ11)</f>
        <v>13123</v>
      </c>
      <c r="BM11" s="78" t="s">
        <v>5636</v>
      </c>
      <c r="BN11" s="1594" t="str">
        <f>AV11</f>
        <v>all</v>
      </c>
      <c r="BO11" s="1724">
        <f t="shared" si="9"/>
        <v>493</v>
      </c>
      <c r="BP11" s="1724">
        <f t="shared" si="9"/>
        <v>1587</v>
      </c>
      <c r="BQ11" s="1724">
        <f t="shared" si="9"/>
        <v>6467</v>
      </c>
      <c r="BR11" s="1724">
        <f t="shared" si="9"/>
        <v>1563</v>
      </c>
      <c r="BS11" s="1724">
        <f t="shared" si="9"/>
        <v>189</v>
      </c>
      <c r="BT11" s="1906">
        <f>SUM(BO11:BS11)</f>
        <v>10299</v>
      </c>
      <c r="BU11" s="37"/>
      <c r="BV11" s="37"/>
      <c r="BW11" s="78" t="s">
        <v>5636</v>
      </c>
      <c r="BX11" s="1594" t="str">
        <f>AV11</f>
        <v>all</v>
      </c>
      <c r="BY11" s="1724">
        <f t="shared" si="10"/>
        <v>1146</v>
      </c>
      <c r="BZ11" s="1724">
        <f t="shared" si="10"/>
        <v>5814</v>
      </c>
      <c r="CA11" s="1724">
        <f t="shared" si="10"/>
        <v>13160</v>
      </c>
      <c r="CB11" s="1724">
        <f t="shared" si="10"/>
        <v>2951</v>
      </c>
      <c r="CC11" s="1724">
        <f t="shared" si="10"/>
        <v>351</v>
      </c>
      <c r="CD11" s="1906">
        <f>SUM(BY11:CC11)</f>
        <v>23422</v>
      </c>
      <c r="CF11" s="1326"/>
      <c r="CN11" t="s">
        <v>4381</v>
      </c>
      <c r="CO11" s="180" t="s">
        <v>425</v>
      </c>
      <c r="CP11" s="37" t="s">
        <v>174</v>
      </c>
    </row>
    <row r="12" spans="1:94" x14ac:dyDescent="0.2">
      <c r="A12" t="s">
        <v>4265</v>
      </c>
      <c r="B12">
        <f>SUM(FishSumAllPRN!B12)</f>
        <v>0</v>
      </c>
      <c r="C12">
        <f>SUM(FishSumAllPRN!C12)</f>
        <v>0</v>
      </c>
      <c r="D12">
        <f>SUM(FishSumAllPRN!D12)</f>
        <v>0</v>
      </c>
      <c r="E12">
        <f>SUM(FishSumAllPRN!E12)</f>
        <v>0</v>
      </c>
      <c r="F12">
        <f>SUM(FishSumAllPRN!F12)</f>
        <v>20</v>
      </c>
      <c r="G12">
        <f>SUM(FishSumAllPRN!G12)</f>
        <v>20</v>
      </c>
      <c r="H12" s="54" t="s">
        <v>294</v>
      </c>
      <c r="I12" s="54"/>
      <c r="K12" t="s">
        <v>5637</v>
      </c>
      <c r="R12" s="151">
        <f>SUM(B205:B206)</f>
        <v>4313</v>
      </c>
      <c r="S12" s="38">
        <f>SUM(C205:C206)</f>
        <v>131173</v>
      </c>
      <c r="T12" s="38">
        <f>SUM(D205:D206)</f>
        <v>136796</v>
      </c>
      <c r="U12" s="38">
        <f>SUM(E205:E206)</f>
        <v>51902</v>
      </c>
      <c r="V12" s="38">
        <f>SUM(F205:F206)</f>
        <v>0</v>
      </c>
      <c r="Z12">
        <f t="shared" ref="Z12:Z43" si="11">SUM(R12:V12)</f>
        <v>324184</v>
      </c>
      <c r="AC12" s="50"/>
      <c r="AD12" s="37"/>
      <c r="AE12" s="37"/>
      <c r="AF12" s="37"/>
      <c r="AG12" s="37"/>
      <c r="AH12" s="37"/>
      <c r="AI12" s="37"/>
      <c r="AJ12" s="37"/>
      <c r="AS12" s="58"/>
      <c r="AT12" s="38"/>
      <c r="AU12" s="50"/>
      <c r="AV12" s="37"/>
      <c r="AW12" s="180"/>
      <c r="AX12" s="180"/>
      <c r="AY12" s="180"/>
      <c r="AZ12" s="180"/>
      <c r="BA12" s="180"/>
      <c r="BB12" s="1725"/>
      <c r="BC12" s="37"/>
      <c r="BD12" s="50"/>
      <c r="BE12" s="37"/>
      <c r="BF12" s="497"/>
      <c r="BG12" s="497"/>
      <c r="BH12" s="497"/>
      <c r="BI12" s="497"/>
      <c r="BJ12" s="497"/>
      <c r="BK12" s="498"/>
      <c r="BL12" s="42"/>
      <c r="BM12" s="50"/>
      <c r="BN12" s="37"/>
      <c r="BO12" s="180"/>
      <c r="BP12" s="180"/>
      <c r="BQ12" s="180"/>
      <c r="BR12" s="180"/>
      <c r="BS12" s="180"/>
      <c r="BT12" s="1725"/>
      <c r="BU12" s="37"/>
      <c r="BV12" s="37"/>
      <c r="BW12" s="50"/>
      <c r="BX12" s="37"/>
      <c r="BY12" s="180"/>
      <c r="BZ12" s="180"/>
      <c r="CA12" s="180"/>
      <c r="CB12" s="180"/>
      <c r="CC12" s="180"/>
      <c r="CD12" s="1725"/>
      <c r="CE12" s="346"/>
      <c r="CF12" s="347" t="s">
        <v>5638</v>
      </c>
      <c r="CN12" s="180" t="s">
        <v>5638</v>
      </c>
      <c r="CO12" s="180" t="s">
        <v>5639</v>
      </c>
      <c r="CP12" s="37" t="s">
        <v>5638</v>
      </c>
    </row>
    <row r="13" spans="1:94" ht="13.5" thickBot="1" x14ac:dyDescent="0.25">
      <c r="A13" t="s">
        <v>4266</v>
      </c>
      <c r="B13">
        <f>SUM(FishSumAllPRN!B13)</f>
        <v>0</v>
      </c>
      <c r="C13">
        <f>SUM(FishSumAllPRN!C13)</f>
        <v>0</v>
      </c>
      <c r="D13">
        <f>SUM(FishSumAllPRN!D13)</f>
        <v>0</v>
      </c>
      <c r="E13">
        <f>SUM(FishSumAllPRN!E13)</f>
        <v>0</v>
      </c>
      <c r="F13">
        <f>SUM(FishSumAllPRN!F13)</f>
        <v>0</v>
      </c>
      <c r="G13">
        <f>SUM(FishSumAllPRN!G13)</f>
        <v>0</v>
      </c>
      <c r="H13" s="54" t="s">
        <v>294</v>
      </c>
      <c r="I13" s="54"/>
      <c r="K13" t="s">
        <v>5640</v>
      </c>
      <c r="R13" s="38">
        <f t="shared" ref="R13:V14" si="12">B53</f>
        <v>0</v>
      </c>
      <c r="S13" s="38">
        <f t="shared" si="12"/>
        <v>1013</v>
      </c>
      <c r="T13" s="38">
        <f t="shared" si="12"/>
        <v>267</v>
      </c>
      <c r="U13" s="38">
        <f t="shared" si="12"/>
        <v>287</v>
      </c>
      <c r="V13" s="38">
        <f t="shared" si="12"/>
        <v>0</v>
      </c>
      <c r="Z13">
        <f t="shared" si="11"/>
        <v>1567</v>
      </c>
      <c r="AC13" s="50" t="s">
        <v>5641</v>
      </c>
      <c r="AD13" s="37"/>
      <c r="AE13" s="37"/>
      <c r="AF13" s="37"/>
      <c r="AG13" s="37"/>
      <c r="AH13" s="37"/>
      <c r="AI13" s="37"/>
      <c r="AJ13" s="37"/>
      <c r="AS13" s="58"/>
      <c r="AT13" s="38"/>
      <c r="AU13" s="50" t="s">
        <v>5641</v>
      </c>
      <c r="AV13" s="37"/>
      <c r="AW13" s="180"/>
      <c r="AX13" s="180"/>
      <c r="AY13" s="180"/>
      <c r="AZ13" s="180"/>
      <c r="BA13" s="180"/>
      <c r="BB13" s="1725"/>
      <c r="BC13" s="37"/>
      <c r="BD13" s="50" t="s">
        <v>5641</v>
      </c>
      <c r="BE13" s="37"/>
      <c r="BF13" s="497"/>
      <c r="BG13" s="497"/>
      <c r="BH13" s="497"/>
      <c r="BI13" s="497"/>
      <c r="BJ13" s="497"/>
      <c r="BK13" s="498"/>
      <c r="BM13" s="50" t="s">
        <v>5641</v>
      </c>
      <c r="BN13" s="37"/>
      <c r="BO13" s="180"/>
      <c r="BP13" s="180"/>
      <c r="BQ13" s="180"/>
      <c r="BR13" s="180"/>
      <c r="BS13" s="180"/>
      <c r="BT13" s="1725"/>
      <c r="BU13" s="37"/>
      <c r="BV13" s="37"/>
      <c r="BW13" s="50" t="s">
        <v>5641</v>
      </c>
      <c r="BX13" s="37"/>
      <c r="BY13" s="180"/>
      <c r="BZ13" s="180"/>
      <c r="CA13" s="180"/>
      <c r="CB13" s="180"/>
      <c r="CC13" s="180"/>
      <c r="CD13" s="1725"/>
      <c r="CE13" s="55" t="s">
        <v>126</v>
      </c>
      <c r="CF13" s="348" t="s">
        <v>5642</v>
      </c>
      <c r="CO13">
        <v>60000</v>
      </c>
    </row>
    <row r="14" spans="1:94" x14ac:dyDescent="0.2">
      <c r="A14" t="s">
        <v>4267</v>
      </c>
      <c r="B14">
        <f>SUM(FishSumAllPRN!B14)</f>
        <v>0</v>
      </c>
      <c r="C14">
        <f>SUM(FishSumAllPRN!C14)</f>
        <v>0</v>
      </c>
      <c r="D14">
        <f>SUM(FishSumAllPRN!D14)</f>
        <v>0</v>
      </c>
      <c r="E14">
        <f>SUM(FishSumAllPRN!E14)</f>
        <v>0</v>
      </c>
      <c r="F14">
        <f>SUM(FishSumAllPRN!F14)</f>
        <v>0</v>
      </c>
      <c r="G14">
        <f>SUM(FishSumAllPRN!G14)</f>
        <v>0</v>
      </c>
      <c r="H14" s="54" t="s">
        <v>294</v>
      </c>
      <c r="I14" s="54"/>
      <c r="K14" t="s">
        <v>5643</v>
      </c>
      <c r="R14" s="38">
        <f t="shared" si="12"/>
        <v>0</v>
      </c>
      <c r="S14" s="38">
        <f t="shared" si="12"/>
        <v>5932</v>
      </c>
      <c r="T14" s="38">
        <f t="shared" si="12"/>
        <v>23499</v>
      </c>
      <c r="U14" s="38">
        <f t="shared" si="12"/>
        <v>8960</v>
      </c>
      <c r="V14" s="38">
        <f t="shared" si="12"/>
        <v>0</v>
      </c>
      <c r="Z14">
        <f t="shared" si="11"/>
        <v>38391</v>
      </c>
      <c r="AC14" s="50" t="s">
        <v>5644</v>
      </c>
      <c r="AD14" s="37"/>
      <c r="AE14" s="37"/>
      <c r="AF14" s="37"/>
      <c r="AG14" s="37"/>
      <c r="AH14" s="37"/>
      <c r="AI14" s="37"/>
      <c r="AJ14" s="1594" t="s">
        <v>5645</v>
      </c>
      <c r="AK14" s="1723">
        <f t="shared" ref="AK14:AS14" si="13">SUM(R14,R16,R18)</f>
        <v>0</v>
      </c>
      <c r="AL14" s="1723">
        <f t="shared" si="13"/>
        <v>8281</v>
      </c>
      <c r="AM14" s="1723">
        <f t="shared" si="13"/>
        <v>32798</v>
      </c>
      <c r="AN14" s="1723">
        <f t="shared" si="13"/>
        <v>10920</v>
      </c>
      <c r="AO14" s="1723">
        <f t="shared" si="13"/>
        <v>0</v>
      </c>
      <c r="AP14" s="1723">
        <f t="shared" si="13"/>
        <v>0</v>
      </c>
      <c r="AQ14" s="1723">
        <f t="shared" si="13"/>
        <v>0</v>
      </c>
      <c r="AR14" s="1723">
        <f t="shared" si="13"/>
        <v>0</v>
      </c>
      <c r="AS14" s="1908">
        <f t="shared" si="13"/>
        <v>51999</v>
      </c>
      <c r="AU14" s="50" t="s">
        <v>5644</v>
      </c>
      <c r="AV14" s="1594" t="str">
        <f t="shared" si="3"/>
        <v>Treaty Total</v>
      </c>
      <c r="AW14" s="1724">
        <f t="shared" si="4"/>
        <v>778</v>
      </c>
      <c r="AX14" s="1724">
        <f t="shared" si="5"/>
        <v>8695</v>
      </c>
      <c r="AY14" s="1724">
        <f t="shared" si="6"/>
        <v>34438</v>
      </c>
      <c r="AZ14" s="1724">
        <f t="shared" si="6"/>
        <v>11466</v>
      </c>
      <c r="BA14" s="1724">
        <f t="shared" si="7"/>
        <v>2</v>
      </c>
      <c r="BB14" s="1906">
        <f t="shared" ref="BB14:BB29" si="14">SUM(AW14:BA14)</f>
        <v>55379</v>
      </c>
      <c r="BC14" s="37"/>
      <c r="BD14" s="50" t="s">
        <v>5644</v>
      </c>
      <c r="BE14" s="1594" t="str">
        <f t="shared" ref="BE14:BE22" si="15">AV14</f>
        <v>Treaty Total</v>
      </c>
      <c r="BF14" s="1724">
        <f t="shared" ref="BF14:BJ22" si="16">AW14-AK14-BO14</f>
        <v>0</v>
      </c>
      <c r="BG14" s="1724">
        <f t="shared" si="16"/>
        <v>414</v>
      </c>
      <c r="BH14" s="1724">
        <f t="shared" si="16"/>
        <v>1640</v>
      </c>
      <c r="BI14" s="1724">
        <f t="shared" si="16"/>
        <v>546</v>
      </c>
      <c r="BJ14" s="1724">
        <f t="shared" si="16"/>
        <v>0</v>
      </c>
      <c r="BK14" s="1909">
        <f t="shared" ref="BK14:BK29" si="17">SUM(BF14:BJ14)</f>
        <v>2600</v>
      </c>
      <c r="BM14" s="50" t="s">
        <v>5644</v>
      </c>
      <c r="BN14" s="1594" t="str">
        <f t="shared" ref="BN14:BN22" si="18">AV14</f>
        <v>Treaty Total</v>
      </c>
      <c r="BO14" s="1724">
        <f t="shared" ref="BO14:BS29" si="19">AK435</f>
        <v>778</v>
      </c>
      <c r="BP14" s="1724">
        <f t="shared" si="19"/>
        <v>0</v>
      </c>
      <c r="BQ14" s="1724">
        <f t="shared" si="19"/>
        <v>0</v>
      </c>
      <c r="BR14" s="1724">
        <f t="shared" si="19"/>
        <v>0</v>
      </c>
      <c r="BS14" s="1724">
        <f t="shared" si="19"/>
        <v>2</v>
      </c>
      <c r="BT14" s="1906">
        <f t="shared" ref="BT14:BT22" si="20">SUM(BO14:BS14)</f>
        <v>780</v>
      </c>
      <c r="BU14" s="37"/>
      <c r="BV14" s="37"/>
      <c r="BW14" s="50" t="s">
        <v>5644</v>
      </c>
      <c r="BX14" s="1594" t="str">
        <f t="shared" ref="BX14:BX22" si="21">AV14</f>
        <v>Treaty Total</v>
      </c>
      <c r="BY14" s="1724">
        <f t="shared" ref="BY14:CC22" si="22">AW14-AK14</f>
        <v>778</v>
      </c>
      <c r="BZ14" s="1724">
        <f t="shared" si="22"/>
        <v>414</v>
      </c>
      <c r="CA14" s="1724">
        <f t="shared" si="22"/>
        <v>1640</v>
      </c>
      <c r="CB14" s="1724">
        <f t="shared" si="22"/>
        <v>546</v>
      </c>
      <c r="CC14" s="1724">
        <f t="shared" si="22"/>
        <v>2</v>
      </c>
      <c r="CD14" s="1595">
        <f>SUM(BY14:CC14)</f>
        <v>3380</v>
      </c>
      <c r="CE14" s="349" t="s">
        <v>5646</v>
      </c>
      <c r="CF14" s="350">
        <f>(BT14/0.26)+BK14</f>
        <v>5600</v>
      </c>
      <c r="CN14" s="38">
        <f>BY14/0.31</f>
        <v>2509.6774193548385</v>
      </c>
      <c r="CO14">
        <f>0.05*CO13</f>
        <v>3000</v>
      </c>
      <c r="CP14" s="38">
        <f>CN14+CO14</f>
        <v>5509.677419354839</v>
      </c>
    </row>
    <row r="15" spans="1:94" x14ac:dyDescent="0.2">
      <c r="A15" t="s">
        <v>4268</v>
      </c>
      <c r="B15">
        <f>SUM(FishSumAllPRN!B15)</f>
        <v>0</v>
      </c>
      <c r="C15">
        <f>SUM(FishSumAllPRN!C15)</f>
        <v>0</v>
      </c>
      <c r="D15">
        <f>SUM(FishSumAllPRN!D15)</f>
        <v>0</v>
      </c>
      <c r="E15">
        <f>SUM(FishSumAllPRN!E15)</f>
        <v>0</v>
      </c>
      <c r="F15">
        <f>SUM(FishSumAllPRN!F15)</f>
        <v>0</v>
      </c>
      <c r="G15">
        <f>SUM(FishSumAllPRN!G15)</f>
        <v>0</v>
      </c>
      <c r="H15" s="54" t="s">
        <v>294</v>
      </c>
      <c r="I15" s="54"/>
      <c r="K15" t="s">
        <v>5647</v>
      </c>
      <c r="R15" s="38">
        <f t="shared" ref="R15:V16" si="23">B49</f>
        <v>0</v>
      </c>
      <c r="S15" s="38">
        <f t="shared" si="23"/>
        <v>1373</v>
      </c>
      <c r="T15" s="38">
        <f t="shared" si="23"/>
        <v>3538</v>
      </c>
      <c r="U15" s="38">
        <f t="shared" si="23"/>
        <v>1045</v>
      </c>
      <c r="V15" s="38">
        <f t="shared" si="23"/>
        <v>0</v>
      </c>
      <c r="Z15">
        <f t="shared" si="11"/>
        <v>5956</v>
      </c>
      <c r="AC15" s="50"/>
      <c r="AD15" s="37"/>
      <c r="AE15" s="37"/>
      <c r="AF15" s="37"/>
      <c r="AG15" s="37"/>
      <c r="AH15" s="37"/>
      <c r="AI15" s="37"/>
      <c r="AJ15" s="37" t="s">
        <v>5648</v>
      </c>
      <c r="AK15" s="38">
        <f t="shared" ref="AK15:AS15" si="24">SUM(R14)</f>
        <v>0</v>
      </c>
      <c r="AL15" s="38">
        <f t="shared" si="24"/>
        <v>5932</v>
      </c>
      <c r="AM15" s="38">
        <f t="shared" si="24"/>
        <v>23499</v>
      </c>
      <c r="AN15" s="38">
        <f t="shared" si="24"/>
        <v>8960</v>
      </c>
      <c r="AO15" s="38">
        <f t="shared" si="24"/>
        <v>0</v>
      </c>
      <c r="AP15" s="38">
        <f t="shared" si="24"/>
        <v>0</v>
      </c>
      <c r="AQ15" s="38">
        <f t="shared" si="24"/>
        <v>0</v>
      </c>
      <c r="AR15" s="38">
        <f t="shared" si="24"/>
        <v>0</v>
      </c>
      <c r="AS15" s="59">
        <f t="shared" si="24"/>
        <v>38391</v>
      </c>
      <c r="AU15" s="50"/>
      <c r="AV15" s="37" t="str">
        <f t="shared" si="3"/>
        <v xml:space="preserve">   Cape Flat</v>
      </c>
      <c r="AW15" s="497">
        <f t="shared" si="4"/>
        <v>589</v>
      </c>
      <c r="AX15" s="497">
        <f t="shared" si="5"/>
        <v>6229</v>
      </c>
      <c r="AY15" s="497">
        <f t="shared" si="6"/>
        <v>24674</v>
      </c>
      <c r="AZ15" s="497">
        <f t="shared" si="6"/>
        <v>9408</v>
      </c>
      <c r="BA15" s="497">
        <f t="shared" si="7"/>
        <v>2</v>
      </c>
      <c r="BB15" s="1725">
        <f t="shared" si="14"/>
        <v>40902</v>
      </c>
      <c r="BC15" s="38"/>
      <c r="BD15" s="50"/>
      <c r="BE15" s="37" t="str">
        <f t="shared" si="15"/>
        <v xml:space="preserve">   Cape Flat</v>
      </c>
      <c r="BF15" s="497">
        <f t="shared" si="16"/>
        <v>0</v>
      </c>
      <c r="BG15" s="497">
        <f t="shared" si="16"/>
        <v>297</v>
      </c>
      <c r="BH15" s="497">
        <f t="shared" si="16"/>
        <v>1175</v>
      </c>
      <c r="BI15" s="497">
        <f t="shared" si="16"/>
        <v>448</v>
      </c>
      <c r="BJ15" s="497">
        <f t="shared" si="16"/>
        <v>0</v>
      </c>
      <c r="BK15" s="498">
        <f t="shared" si="17"/>
        <v>1920</v>
      </c>
      <c r="BL15" s="38"/>
      <c r="BM15" s="50"/>
      <c r="BN15" s="37" t="str">
        <f t="shared" si="18"/>
        <v xml:space="preserve">   Cape Flat</v>
      </c>
      <c r="BO15" s="497">
        <f t="shared" si="19"/>
        <v>589</v>
      </c>
      <c r="BP15" s="497">
        <f t="shared" si="19"/>
        <v>0</v>
      </c>
      <c r="BQ15" s="497">
        <f t="shared" si="19"/>
        <v>0</v>
      </c>
      <c r="BR15" s="497">
        <f t="shared" si="19"/>
        <v>0</v>
      </c>
      <c r="BS15" s="497">
        <f t="shared" si="19"/>
        <v>2</v>
      </c>
      <c r="BT15" s="1725">
        <f t="shared" si="20"/>
        <v>591</v>
      </c>
      <c r="BU15" s="38"/>
      <c r="BV15" s="38"/>
      <c r="BW15" s="50"/>
      <c r="BX15" s="37" t="str">
        <f t="shared" si="21"/>
        <v xml:space="preserve">   Cape Flat</v>
      </c>
      <c r="BY15" s="497">
        <f t="shared" si="22"/>
        <v>589</v>
      </c>
      <c r="BZ15" s="497">
        <f t="shared" si="22"/>
        <v>297</v>
      </c>
      <c r="CA15" s="497">
        <f t="shared" si="22"/>
        <v>1175</v>
      </c>
      <c r="CB15" s="497">
        <f t="shared" si="22"/>
        <v>448</v>
      </c>
      <c r="CC15" s="497">
        <f t="shared" si="22"/>
        <v>2</v>
      </c>
      <c r="CD15" s="1725">
        <f t="shared" ref="CD15:CD22" si="25">SUM(BY15:CC15)</f>
        <v>2511</v>
      </c>
      <c r="CE15" s="322"/>
      <c r="CF15" s="351"/>
      <c r="CN15" s="38"/>
    </row>
    <row r="16" spans="1:94" x14ac:dyDescent="0.2">
      <c r="A16" t="s">
        <v>4269</v>
      </c>
      <c r="B16">
        <f>SUM(FishSumAllPRN!B16)</f>
        <v>0</v>
      </c>
      <c r="C16">
        <f>SUM(FishSumAllPRN!C16)</f>
        <v>0</v>
      </c>
      <c r="D16">
        <f>SUM(FishSumAllPRN!D16)</f>
        <v>0</v>
      </c>
      <c r="E16">
        <f>SUM(FishSumAllPRN!E16)</f>
        <v>0</v>
      </c>
      <c r="F16">
        <f>SUM(FishSumAllPRN!F16)</f>
        <v>0</v>
      </c>
      <c r="G16">
        <f>SUM(FishSumAllPRN!G16)</f>
        <v>0</v>
      </c>
      <c r="H16" s="54" t="s">
        <v>294</v>
      </c>
      <c r="I16" s="54"/>
      <c r="K16" t="s">
        <v>5649</v>
      </c>
      <c r="R16" s="38">
        <f t="shared" si="23"/>
        <v>0</v>
      </c>
      <c r="S16" s="38">
        <f t="shared" si="23"/>
        <v>2263</v>
      </c>
      <c r="T16" s="38">
        <f t="shared" si="23"/>
        <v>9108</v>
      </c>
      <c r="U16" s="38">
        <f t="shared" si="23"/>
        <v>1786</v>
      </c>
      <c r="V16" s="38">
        <f t="shared" si="23"/>
        <v>0</v>
      </c>
      <c r="Z16">
        <f t="shared" si="11"/>
        <v>13157</v>
      </c>
      <c r="AC16" s="50"/>
      <c r="AD16" s="37"/>
      <c r="AE16" s="37"/>
      <c r="AF16" s="37"/>
      <c r="AG16" s="37"/>
      <c r="AH16" s="37"/>
      <c r="AI16" s="37"/>
      <c r="AJ16" s="37" t="s">
        <v>5650</v>
      </c>
      <c r="AK16" s="38">
        <f t="shared" ref="AK16:AS16" si="26">SUM(R16)</f>
        <v>0</v>
      </c>
      <c r="AL16" s="38">
        <f t="shared" si="26"/>
        <v>2263</v>
      </c>
      <c r="AM16" s="38">
        <f t="shared" si="26"/>
        <v>9108</v>
      </c>
      <c r="AN16" s="38">
        <f t="shared" si="26"/>
        <v>1786</v>
      </c>
      <c r="AO16" s="38">
        <f t="shared" si="26"/>
        <v>0</v>
      </c>
      <c r="AP16" s="38">
        <f t="shared" si="26"/>
        <v>0</v>
      </c>
      <c r="AQ16" s="38">
        <f t="shared" si="26"/>
        <v>0</v>
      </c>
      <c r="AR16" s="38">
        <f t="shared" si="26"/>
        <v>0</v>
      </c>
      <c r="AS16" s="59">
        <f t="shared" si="26"/>
        <v>13157</v>
      </c>
      <c r="AU16" s="50"/>
      <c r="AV16" s="37" t="str">
        <f t="shared" si="3"/>
        <v xml:space="preserve">   Quillayut</v>
      </c>
      <c r="AW16" s="497">
        <f t="shared" si="4"/>
        <v>171</v>
      </c>
      <c r="AX16" s="497">
        <f t="shared" si="5"/>
        <v>2376</v>
      </c>
      <c r="AY16" s="497">
        <f t="shared" si="6"/>
        <v>9563</v>
      </c>
      <c r="AZ16" s="497">
        <f t="shared" si="6"/>
        <v>1875</v>
      </c>
      <c r="BA16" s="497">
        <f t="shared" si="7"/>
        <v>0</v>
      </c>
      <c r="BB16" s="1725">
        <f t="shared" si="14"/>
        <v>13985</v>
      </c>
      <c r="BC16" s="38"/>
      <c r="BD16" s="50"/>
      <c r="BE16" s="37" t="str">
        <f t="shared" si="15"/>
        <v xml:space="preserve">   Quillayut</v>
      </c>
      <c r="BF16" s="497">
        <f t="shared" si="16"/>
        <v>0</v>
      </c>
      <c r="BG16" s="497">
        <f t="shared" si="16"/>
        <v>113</v>
      </c>
      <c r="BH16" s="497">
        <f t="shared" si="16"/>
        <v>455</v>
      </c>
      <c r="BI16" s="497">
        <f t="shared" si="16"/>
        <v>89</v>
      </c>
      <c r="BJ16" s="497">
        <f t="shared" si="16"/>
        <v>0</v>
      </c>
      <c r="BK16" s="498">
        <f t="shared" si="17"/>
        <v>657</v>
      </c>
      <c r="BL16" s="38"/>
      <c r="BM16" s="50"/>
      <c r="BN16" s="37" t="str">
        <f t="shared" si="18"/>
        <v xml:space="preserve">   Quillayut</v>
      </c>
      <c r="BO16" s="497">
        <f t="shared" si="19"/>
        <v>171</v>
      </c>
      <c r="BP16" s="497">
        <f t="shared" si="19"/>
        <v>0</v>
      </c>
      <c r="BQ16" s="497">
        <f t="shared" si="19"/>
        <v>0</v>
      </c>
      <c r="BR16" s="497">
        <f t="shared" si="19"/>
        <v>0</v>
      </c>
      <c r="BS16" s="497">
        <f t="shared" si="19"/>
        <v>0</v>
      </c>
      <c r="BT16" s="1725">
        <f t="shared" si="20"/>
        <v>171</v>
      </c>
      <c r="BU16" s="38"/>
      <c r="BV16" s="38"/>
      <c r="BW16" s="50"/>
      <c r="BX16" s="37" t="str">
        <f t="shared" si="21"/>
        <v xml:space="preserve">   Quillayut</v>
      </c>
      <c r="BY16" s="497">
        <f t="shared" si="22"/>
        <v>171</v>
      </c>
      <c r="BZ16" s="497">
        <f t="shared" si="22"/>
        <v>113</v>
      </c>
      <c r="CA16" s="497">
        <f t="shared" si="22"/>
        <v>455</v>
      </c>
      <c r="CB16" s="497">
        <f t="shared" si="22"/>
        <v>89</v>
      </c>
      <c r="CC16" s="497">
        <f t="shared" si="22"/>
        <v>0</v>
      </c>
      <c r="CD16" s="1725">
        <f t="shared" si="25"/>
        <v>828</v>
      </c>
      <c r="CE16" s="322"/>
      <c r="CF16" s="351"/>
      <c r="CN16" s="38"/>
    </row>
    <row r="17" spans="1:93" x14ac:dyDescent="0.2">
      <c r="A17" t="s">
        <v>4270</v>
      </c>
      <c r="B17">
        <f>SUM(FishSumAllPRN!B17)</f>
        <v>0</v>
      </c>
      <c r="C17">
        <f>SUM(FishSumAllPRN!C17)</f>
        <v>0</v>
      </c>
      <c r="D17">
        <f>SUM(FishSumAllPRN!D17)</f>
        <v>0</v>
      </c>
      <c r="E17">
        <f>SUM(FishSumAllPRN!E17)</f>
        <v>0</v>
      </c>
      <c r="F17">
        <f>SUM(FishSumAllPRN!F17)</f>
        <v>0</v>
      </c>
      <c r="G17">
        <f>SUM(FishSumAllPRN!G17)</f>
        <v>0</v>
      </c>
      <c r="H17" s="54" t="s">
        <v>294</v>
      </c>
      <c r="I17" s="54"/>
      <c r="K17" t="s">
        <v>5651</v>
      </c>
      <c r="R17" s="38">
        <f t="shared" ref="R17:V18" si="27">SUM(B46)</f>
        <v>0</v>
      </c>
      <c r="S17" s="38">
        <f t="shared" si="27"/>
        <v>2575</v>
      </c>
      <c r="T17" s="38">
        <f t="shared" si="27"/>
        <v>4409</v>
      </c>
      <c r="U17" s="38">
        <f t="shared" si="27"/>
        <v>5191</v>
      </c>
      <c r="V17" s="38">
        <f t="shared" si="27"/>
        <v>0</v>
      </c>
      <c r="Z17">
        <f t="shared" si="11"/>
        <v>12175</v>
      </c>
      <c r="AC17" s="50"/>
      <c r="AD17" s="37"/>
      <c r="AE17" s="37"/>
      <c r="AF17" s="37"/>
      <c r="AG17" s="37"/>
      <c r="AH17" s="37"/>
      <c r="AI17" s="37"/>
      <c r="AJ17" s="37" t="s">
        <v>5652</v>
      </c>
      <c r="AK17" s="38">
        <f t="shared" ref="AK17:AS17" si="28">SUM(R18)</f>
        <v>0</v>
      </c>
      <c r="AL17" s="38">
        <f t="shared" si="28"/>
        <v>86</v>
      </c>
      <c r="AM17" s="38">
        <f t="shared" si="28"/>
        <v>191</v>
      </c>
      <c r="AN17" s="38">
        <f t="shared" si="28"/>
        <v>174</v>
      </c>
      <c r="AO17" s="38">
        <f t="shared" si="28"/>
        <v>0</v>
      </c>
      <c r="AP17" s="38">
        <f t="shared" si="28"/>
        <v>0</v>
      </c>
      <c r="AQ17" s="38">
        <f t="shared" si="28"/>
        <v>0</v>
      </c>
      <c r="AR17" s="38">
        <f t="shared" si="28"/>
        <v>0</v>
      </c>
      <c r="AS17" s="59">
        <f t="shared" si="28"/>
        <v>451</v>
      </c>
      <c r="AU17" s="50"/>
      <c r="AV17" s="37" t="str">
        <f t="shared" si="3"/>
        <v xml:space="preserve">   Grays H</v>
      </c>
      <c r="AW17" s="497">
        <f t="shared" si="4"/>
        <v>18</v>
      </c>
      <c r="AX17" s="497">
        <f t="shared" si="5"/>
        <v>90</v>
      </c>
      <c r="AY17" s="497">
        <f t="shared" si="6"/>
        <v>201</v>
      </c>
      <c r="AZ17" s="497">
        <f t="shared" si="6"/>
        <v>183</v>
      </c>
      <c r="BA17" s="497">
        <f t="shared" si="7"/>
        <v>0</v>
      </c>
      <c r="BB17" s="1725">
        <f t="shared" si="14"/>
        <v>492</v>
      </c>
      <c r="BC17" s="38"/>
      <c r="BD17" s="50"/>
      <c r="BE17" s="37" t="str">
        <f t="shared" si="15"/>
        <v xml:space="preserve">   Grays H</v>
      </c>
      <c r="BF17" s="497">
        <f t="shared" si="16"/>
        <v>0</v>
      </c>
      <c r="BG17" s="497">
        <f t="shared" si="16"/>
        <v>4</v>
      </c>
      <c r="BH17" s="497">
        <f t="shared" si="16"/>
        <v>10</v>
      </c>
      <c r="BI17" s="497">
        <f t="shared" si="16"/>
        <v>9</v>
      </c>
      <c r="BJ17" s="497">
        <f t="shared" si="16"/>
        <v>0</v>
      </c>
      <c r="BK17" s="498">
        <f t="shared" si="17"/>
        <v>23</v>
      </c>
      <c r="BL17" s="38"/>
      <c r="BM17" s="50"/>
      <c r="BN17" s="37" t="str">
        <f t="shared" si="18"/>
        <v xml:space="preserve">   Grays H</v>
      </c>
      <c r="BO17" s="497">
        <f t="shared" si="19"/>
        <v>18</v>
      </c>
      <c r="BP17" s="497">
        <f t="shared" si="19"/>
        <v>0</v>
      </c>
      <c r="BQ17" s="497">
        <f t="shared" si="19"/>
        <v>0</v>
      </c>
      <c r="BR17" s="497">
        <f t="shared" si="19"/>
        <v>0</v>
      </c>
      <c r="BS17" s="497">
        <f t="shared" si="19"/>
        <v>0</v>
      </c>
      <c r="BT17" s="1725">
        <f t="shared" si="20"/>
        <v>18</v>
      </c>
      <c r="BU17" s="38"/>
      <c r="BV17" s="38"/>
      <c r="BW17" s="50"/>
      <c r="BX17" s="37" t="str">
        <f t="shared" si="21"/>
        <v xml:space="preserve">   Grays H</v>
      </c>
      <c r="BY17" s="497">
        <f t="shared" si="22"/>
        <v>18</v>
      </c>
      <c r="BZ17" s="497">
        <f t="shared" si="22"/>
        <v>4</v>
      </c>
      <c r="CA17" s="497">
        <f t="shared" si="22"/>
        <v>10</v>
      </c>
      <c r="CB17" s="497">
        <f t="shared" si="22"/>
        <v>9</v>
      </c>
      <c r="CC17" s="497">
        <f t="shared" si="22"/>
        <v>0</v>
      </c>
      <c r="CD17" s="1725">
        <f t="shared" si="25"/>
        <v>41</v>
      </c>
      <c r="CE17" s="322"/>
      <c r="CF17" s="351"/>
      <c r="CN17" s="38"/>
      <c r="CO17">
        <v>4000</v>
      </c>
    </row>
    <row r="18" spans="1:93" x14ac:dyDescent="0.2">
      <c r="A18" t="s">
        <v>4271</v>
      </c>
      <c r="B18">
        <f>SUM(FishSumAllPRN!B18)</f>
        <v>0</v>
      </c>
      <c r="C18">
        <f>SUM(FishSumAllPRN!C18)</f>
        <v>0</v>
      </c>
      <c r="D18">
        <f>SUM(FishSumAllPRN!D18)</f>
        <v>0</v>
      </c>
      <c r="E18">
        <f>SUM(FishSumAllPRN!E18)</f>
        <v>0</v>
      </c>
      <c r="F18">
        <f>SUM(FishSumAllPRN!F18)</f>
        <v>0</v>
      </c>
      <c r="G18">
        <f>SUM(FishSumAllPRN!G18)</f>
        <v>0</v>
      </c>
      <c r="H18" s="54" t="s">
        <v>294</v>
      </c>
      <c r="I18" s="54"/>
      <c r="K18" t="s">
        <v>5653</v>
      </c>
      <c r="R18" s="38">
        <f t="shared" si="27"/>
        <v>0</v>
      </c>
      <c r="S18" s="38">
        <f t="shared" si="27"/>
        <v>86</v>
      </c>
      <c r="T18" s="38">
        <f t="shared" si="27"/>
        <v>191</v>
      </c>
      <c r="U18" s="38">
        <f t="shared" si="27"/>
        <v>174</v>
      </c>
      <c r="V18" s="38">
        <f t="shared" si="27"/>
        <v>0</v>
      </c>
      <c r="Z18">
        <f t="shared" si="11"/>
        <v>451</v>
      </c>
      <c r="AC18" s="50"/>
      <c r="AD18" s="37"/>
      <c r="AE18" s="37"/>
      <c r="AF18" s="37"/>
      <c r="AG18" s="37"/>
      <c r="AH18" s="37"/>
      <c r="AI18" s="37"/>
      <c r="AJ18" s="1594" t="s">
        <v>5654</v>
      </c>
      <c r="AK18" s="1723">
        <f t="shared" ref="AK18:AS18" si="29">SUM(R13,R15,R17,R19)</f>
        <v>0</v>
      </c>
      <c r="AL18" s="1723">
        <f t="shared" si="29"/>
        <v>8661</v>
      </c>
      <c r="AM18" s="1723">
        <f t="shared" si="29"/>
        <v>11293</v>
      </c>
      <c r="AN18" s="1723">
        <f t="shared" si="29"/>
        <v>12047</v>
      </c>
      <c r="AO18" s="1723">
        <f t="shared" si="29"/>
        <v>0</v>
      </c>
      <c r="AP18" s="1723">
        <f t="shared" si="29"/>
        <v>0</v>
      </c>
      <c r="AQ18" s="1723">
        <f t="shared" si="29"/>
        <v>0</v>
      </c>
      <c r="AR18" s="1723">
        <f t="shared" si="29"/>
        <v>0</v>
      </c>
      <c r="AS18" s="1908">
        <f t="shared" si="29"/>
        <v>32001</v>
      </c>
      <c r="AU18" s="50"/>
      <c r="AV18" s="1594" t="str">
        <f t="shared" si="3"/>
        <v>Nontreaty Total</v>
      </c>
      <c r="AW18" s="1724">
        <f t="shared" si="4"/>
        <v>2743</v>
      </c>
      <c r="AX18" s="1724">
        <f t="shared" si="5"/>
        <v>10944</v>
      </c>
      <c r="AY18" s="1724">
        <f t="shared" si="6"/>
        <v>14743</v>
      </c>
      <c r="AZ18" s="1724">
        <f t="shared" si="6"/>
        <v>16323</v>
      </c>
      <c r="BA18" s="1724">
        <f t="shared" si="7"/>
        <v>0</v>
      </c>
      <c r="BB18" s="1906">
        <f t="shared" si="14"/>
        <v>44753</v>
      </c>
      <c r="BC18" s="38"/>
      <c r="BD18" s="50"/>
      <c r="BE18" s="1594" t="str">
        <f t="shared" si="15"/>
        <v>Nontreaty Total</v>
      </c>
      <c r="BF18" s="1724">
        <f t="shared" si="16"/>
        <v>0</v>
      </c>
      <c r="BG18" s="1726">
        <f t="shared" si="16"/>
        <v>731</v>
      </c>
      <c r="BH18" s="1721">
        <f>AY18-AM18-BQ18</f>
        <v>1029</v>
      </c>
      <c r="BI18" s="1726">
        <f t="shared" si="16"/>
        <v>1194</v>
      </c>
      <c r="BJ18" s="1724">
        <f t="shared" si="16"/>
        <v>0</v>
      </c>
      <c r="BK18" s="1910">
        <f t="shared" si="17"/>
        <v>2954</v>
      </c>
      <c r="BL18" s="38"/>
      <c r="BM18" s="50"/>
      <c r="BN18" s="1594" t="str">
        <f t="shared" si="18"/>
        <v>Nontreaty Total</v>
      </c>
      <c r="BO18" s="1724">
        <f t="shared" si="19"/>
        <v>2743</v>
      </c>
      <c r="BP18" s="1724">
        <f t="shared" si="19"/>
        <v>1552</v>
      </c>
      <c r="BQ18" s="1724">
        <f t="shared" si="19"/>
        <v>2421</v>
      </c>
      <c r="BR18" s="1724">
        <f t="shared" si="19"/>
        <v>3082</v>
      </c>
      <c r="BS18" s="1724">
        <f t="shared" si="19"/>
        <v>0</v>
      </c>
      <c r="BT18" s="1906">
        <f t="shared" si="20"/>
        <v>9798</v>
      </c>
      <c r="BU18" s="38"/>
      <c r="BV18" s="38"/>
      <c r="BW18" s="50"/>
      <c r="BX18" s="1594" t="str">
        <f t="shared" si="21"/>
        <v>Nontreaty Total</v>
      </c>
      <c r="BY18" s="1724">
        <f t="shared" si="22"/>
        <v>2743</v>
      </c>
      <c r="BZ18" s="1724">
        <f t="shared" si="22"/>
        <v>2283</v>
      </c>
      <c r="CA18" s="1724">
        <f t="shared" si="22"/>
        <v>3450</v>
      </c>
      <c r="CB18" s="1724">
        <f t="shared" si="22"/>
        <v>4276</v>
      </c>
      <c r="CC18" s="1724">
        <f t="shared" si="22"/>
        <v>0</v>
      </c>
      <c r="CD18" s="1595">
        <f t="shared" si="25"/>
        <v>12752</v>
      </c>
      <c r="CE18" s="352" t="s">
        <v>5655</v>
      </c>
      <c r="CF18" s="350">
        <f>(BT18/0.26)+BK18</f>
        <v>40638.615384615383</v>
      </c>
      <c r="CN18" s="38">
        <f>BY18/0.31</f>
        <v>8848.3870967741932</v>
      </c>
      <c r="CO18">
        <f>0.05*CO17</f>
        <v>200</v>
      </c>
    </row>
    <row r="19" spans="1:93" x14ac:dyDescent="0.2">
      <c r="A19" t="s">
        <v>4272</v>
      </c>
      <c r="B19">
        <f>SUM(FishSumAllPRN!B19)</f>
        <v>0</v>
      </c>
      <c r="C19">
        <f>SUM(FishSumAllPRN!C19)</f>
        <v>0</v>
      </c>
      <c r="D19">
        <f>SUM(FishSumAllPRN!D19)</f>
        <v>0</v>
      </c>
      <c r="E19">
        <f>SUM(FishSumAllPRN!E19)</f>
        <v>0</v>
      </c>
      <c r="F19">
        <f>SUM(FishSumAllPRN!F19)</f>
        <v>0</v>
      </c>
      <c r="G19">
        <f>SUM(FishSumAllPRN!G19)</f>
        <v>0</v>
      </c>
      <c r="H19" s="54" t="s">
        <v>294</v>
      </c>
      <c r="I19" s="54"/>
      <c r="K19" t="s">
        <v>5656</v>
      </c>
      <c r="R19" s="38">
        <f>SUM(B45)</f>
        <v>0</v>
      </c>
      <c r="S19" s="38">
        <f>SUM(C45)</f>
        <v>3700</v>
      </c>
      <c r="T19" s="38">
        <f>SUM(D45)</f>
        <v>3079</v>
      </c>
      <c r="U19" s="38">
        <f>SUM(E45)</f>
        <v>5524</v>
      </c>
      <c r="V19" s="38">
        <f>SUM(F45)</f>
        <v>0</v>
      </c>
      <c r="Z19">
        <f t="shared" si="11"/>
        <v>12303</v>
      </c>
      <c r="AC19" s="50"/>
      <c r="AD19" s="37"/>
      <c r="AE19" s="37"/>
      <c r="AF19" s="37"/>
      <c r="AG19" s="37"/>
      <c r="AH19" s="37"/>
      <c r="AI19" s="37"/>
      <c r="AJ19" s="37" t="s">
        <v>5648</v>
      </c>
      <c r="AK19" s="38">
        <f t="shared" ref="AK19:AS19" si="30">SUM(R13)</f>
        <v>0</v>
      </c>
      <c r="AL19" s="38">
        <f t="shared" si="30"/>
        <v>1013</v>
      </c>
      <c r="AM19" s="38">
        <f t="shared" si="30"/>
        <v>267</v>
      </c>
      <c r="AN19" s="38">
        <f t="shared" si="30"/>
        <v>287</v>
      </c>
      <c r="AO19" s="38">
        <f t="shared" si="30"/>
        <v>0</v>
      </c>
      <c r="AP19" s="38">
        <f t="shared" si="30"/>
        <v>0</v>
      </c>
      <c r="AQ19" s="38">
        <f t="shared" si="30"/>
        <v>0</v>
      </c>
      <c r="AR19" s="38">
        <f t="shared" si="30"/>
        <v>0</v>
      </c>
      <c r="AS19" s="59">
        <f t="shared" si="30"/>
        <v>1567</v>
      </c>
      <c r="AU19" s="50"/>
      <c r="AV19" s="37" t="str">
        <f t="shared" si="3"/>
        <v xml:space="preserve">   Cape Flat</v>
      </c>
      <c r="AW19" s="180">
        <f t="shared" si="4"/>
        <v>95</v>
      </c>
      <c r="AX19" s="180">
        <f t="shared" si="5"/>
        <v>1375</v>
      </c>
      <c r="AY19" s="180">
        <f t="shared" si="6"/>
        <v>366</v>
      </c>
      <c r="AZ19" s="180">
        <f t="shared" si="6"/>
        <v>405</v>
      </c>
      <c r="BA19" s="180">
        <f t="shared" si="7"/>
        <v>0</v>
      </c>
      <c r="BB19" s="1725">
        <f t="shared" si="14"/>
        <v>2241</v>
      </c>
      <c r="BC19" s="38"/>
      <c r="BD19" s="50"/>
      <c r="BE19" s="37" t="str">
        <f t="shared" si="15"/>
        <v xml:space="preserve">   Cape Flat</v>
      </c>
      <c r="BF19" s="497">
        <f t="shared" si="16"/>
        <v>0</v>
      </c>
      <c r="BG19" s="497">
        <f t="shared" si="16"/>
        <v>101</v>
      </c>
      <c r="BH19" s="497">
        <f t="shared" si="16"/>
        <v>27</v>
      </c>
      <c r="BI19" s="497">
        <f t="shared" si="16"/>
        <v>31</v>
      </c>
      <c r="BJ19" s="497">
        <f t="shared" si="16"/>
        <v>0</v>
      </c>
      <c r="BK19" s="498">
        <f t="shared" si="17"/>
        <v>159</v>
      </c>
      <c r="BL19" s="38"/>
      <c r="BM19" s="50"/>
      <c r="BN19" s="37" t="str">
        <f t="shared" si="18"/>
        <v xml:space="preserve">   Cape Flat</v>
      </c>
      <c r="BO19" s="497">
        <f t="shared" si="19"/>
        <v>95</v>
      </c>
      <c r="BP19" s="497">
        <f t="shared" si="19"/>
        <v>261</v>
      </c>
      <c r="BQ19" s="497">
        <f t="shared" si="19"/>
        <v>72</v>
      </c>
      <c r="BR19" s="497">
        <f t="shared" si="19"/>
        <v>87</v>
      </c>
      <c r="BS19" s="497">
        <f t="shared" si="19"/>
        <v>0</v>
      </c>
      <c r="BT19" s="1725">
        <f t="shared" si="20"/>
        <v>515</v>
      </c>
      <c r="BU19" s="38"/>
      <c r="BV19" s="38"/>
      <c r="BW19" s="50"/>
      <c r="BX19" s="37" t="str">
        <f t="shared" si="21"/>
        <v xml:space="preserve">   Cape Flat</v>
      </c>
      <c r="BY19" s="497">
        <f t="shared" si="22"/>
        <v>95</v>
      </c>
      <c r="BZ19" s="497">
        <f t="shared" si="22"/>
        <v>362</v>
      </c>
      <c r="CA19" s="497">
        <f t="shared" si="22"/>
        <v>99</v>
      </c>
      <c r="CB19" s="497">
        <f t="shared" si="22"/>
        <v>118</v>
      </c>
      <c r="CC19" s="497">
        <f t="shared" si="22"/>
        <v>0</v>
      </c>
      <c r="CD19" s="1725">
        <f t="shared" si="25"/>
        <v>674</v>
      </c>
      <c r="CE19" s="322"/>
      <c r="CF19" s="351"/>
    </row>
    <row r="20" spans="1:93" x14ac:dyDescent="0.2">
      <c r="A20" t="s">
        <v>4273</v>
      </c>
      <c r="B20">
        <f>SUM(FishSumAllPRN!B20)</f>
        <v>0</v>
      </c>
      <c r="C20">
        <f>SUM(FishSumAllPRN!C20)</f>
        <v>0</v>
      </c>
      <c r="D20">
        <f>SUM(FishSumAllPRN!D20)</f>
        <v>0</v>
      </c>
      <c r="E20">
        <f>SUM(FishSumAllPRN!E20)</f>
        <v>0</v>
      </c>
      <c r="F20">
        <f>SUM(FishSumAllPRN!F20)</f>
        <v>14</v>
      </c>
      <c r="G20">
        <f>SUM(FishSumAllPRN!G20)</f>
        <v>14</v>
      </c>
      <c r="H20" s="54" t="s">
        <v>294</v>
      </c>
      <c r="I20" s="54"/>
      <c r="K20" t="s">
        <v>5657</v>
      </c>
      <c r="R20" s="38">
        <f>SUM(B33)</f>
        <v>0</v>
      </c>
      <c r="S20" s="38">
        <f>SUM(C33)</f>
        <v>210</v>
      </c>
      <c r="T20" s="38">
        <f>SUM(D33)</f>
        <v>371</v>
      </c>
      <c r="U20" s="38">
        <f>SUM(E33)</f>
        <v>0</v>
      </c>
      <c r="V20" s="38">
        <f>SUM(F33)</f>
        <v>0</v>
      </c>
      <c r="Z20">
        <f t="shared" si="11"/>
        <v>581</v>
      </c>
      <c r="AC20" s="50"/>
      <c r="AD20" s="37"/>
      <c r="AE20" s="37"/>
      <c r="AF20" s="37"/>
      <c r="AG20" s="37"/>
      <c r="AH20" s="37"/>
      <c r="AI20" s="37"/>
      <c r="AJ20" s="37" t="s">
        <v>5650</v>
      </c>
      <c r="AK20" s="38">
        <f t="shared" ref="AK20:AS20" si="31">SUM(R15)</f>
        <v>0</v>
      </c>
      <c r="AL20" s="38">
        <f t="shared" si="31"/>
        <v>1373</v>
      </c>
      <c r="AM20" s="38">
        <f t="shared" si="31"/>
        <v>3538</v>
      </c>
      <c r="AN20" s="38">
        <f t="shared" si="31"/>
        <v>1045</v>
      </c>
      <c r="AO20" s="38">
        <f t="shared" si="31"/>
        <v>0</v>
      </c>
      <c r="AP20" s="38">
        <f t="shared" si="31"/>
        <v>0</v>
      </c>
      <c r="AQ20" s="38">
        <f t="shared" si="31"/>
        <v>0</v>
      </c>
      <c r="AR20" s="38">
        <f t="shared" si="31"/>
        <v>0</v>
      </c>
      <c r="AS20" s="59">
        <f t="shared" si="31"/>
        <v>5956</v>
      </c>
      <c r="AU20" s="50"/>
      <c r="AV20" s="37" t="str">
        <f t="shared" si="3"/>
        <v xml:space="preserve">   Quillayut</v>
      </c>
      <c r="AW20" s="180">
        <f t="shared" si="4"/>
        <v>172</v>
      </c>
      <c r="AX20" s="180">
        <f t="shared" si="5"/>
        <v>1825</v>
      </c>
      <c r="AY20" s="180">
        <f t="shared" si="6"/>
        <v>4875</v>
      </c>
      <c r="AZ20" s="180">
        <f t="shared" si="6"/>
        <v>1478</v>
      </c>
      <c r="BA20" s="180">
        <f t="shared" si="7"/>
        <v>0</v>
      </c>
      <c r="BB20" s="1725">
        <f t="shared" si="14"/>
        <v>8350</v>
      </c>
      <c r="BC20" s="37"/>
      <c r="BD20" s="50"/>
      <c r="BE20" s="37" t="str">
        <f t="shared" si="15"/>
        <v xml:space="preserve">   Quillayut</v>
      </c>
      <c r="BF20" s="497">
        <f t="shared" si="16"/>
        <v>0</v>
      </c>
      <c r="BG20" s="497">
        <f t="shared" si="16"/>
        <v>130</v>
      </c>
      <c r="BH20" s="497">
        <f t="shared" si="16"/>
        <v>364</v>
      </c>
      <c r="BI20" s="497">
        <f t="shared" si="16"/>
        <v>113</v>
      </c>
      <c r="BJ20" s="497">
        <f t="shared" si="16"/>
        <v>0</v>
      </c>
      <c r="BK20" s="498">
        <f t="shared" si="17"/>
        <v>607</v>
      </c>
      <c r="BL20" s="38"/>
      <c r="BM20" s="50"/>
      <c r="BN20" s="37" t="str">
        <f t="shared" si="18"/>
        <v xml:space="preserve">   Quillayut</v>
      </c>
      <c r="BO20" s="497">
        <f t="shared" si="19"/>
        <v>172</v>
      </c>
      <c r="BP20" s="497">
        <f t="shared" si="19"/>
        <v>322</v>
      </c>
      <c r="BQ20" s="497">
        <f t="shared" si="19"/>
        <v>973</v>
      </c>
      <c r="BR20" s="497">
        <f t="shared" si="19"/>
        <v>320</v>
      </c>
      <c r="BS20" s="497">
        <f t="shared" si="19"/>
        <v>0</v>
      </c>
      <c r="BT20" s="1725">
        <f t="shared" si="20"/>
        <v>1787</v>
      </c>
      <c r="BU20" s="37"/>
      <c r="BV20" s="37"/>
      <c r="BW20" s="50"/>
      <c r="BX20" s="37" t="str">
        <f t="shared" si="21"/>
        <v xml:space="preserve">   Quillayut</v>
      </c>
      <c r="BY20" s="497">
        <f t="shared" si="22"/>
        <v>172</v>
      </c>
      <c r="BZ20" s="497">
        <f t="shared" si="22"/>
        <v>452</v>
      </c>
      <c r="CA20" s="497">
        <f t="shared" si="22"/>
        <v>1337</v>
      </c>
      <c r="CB20" s="497">
        <f t="shared" si="22"/>
        <v>433</v>
      </c>
      <c r="CC20" s="497">
        <f t="shared" si="22"/>
        <v>0</v>
      </c>
      <c r="CD20" s="1725">
        <f t="shared" si="25"/>
        <v>2394</v>
      </c>
      <c r="CE20" s="322"/>
      <c r="CF20" s="351"/>
    </row>
    <row r="21" spans="1:93" x14ac:dyDescent="0.2">
      <c r="A21" t="s">
        <v>4274</v>
      </c>
      <c r="B21">
        <f>SUM(FishSumAllPRN!B21)</f>
        <v>0</v>
      </c>
      <c r="C21">
        <f>SUM(FishSumAllPRN!C21)</f>
        <v>0</v>
      </c>
      <c r="D21">
        <f>SUM(FishSumAllPRN!D21)</f>
        <v>0</v>
      </c>
      <c r="E21">
        <f>SUM(FishSumAllPRN!E21)</f>
        <v>0</v>
      </c>
      <c r="F21">
        <f>SUM(FishSumAllPRN!F21)</f>
        <v>0</v>
      </c>
      <c r="G21">
        <f>SUM(FishSumAllPRN!G21)</f>
        <v>0</v>
      </c>
      <c r="H21" s="54" t="s">
        <v>294</v>
      </c>
      <c r="I21" s="54"/>
      <c r="K21" t="s">
        <v>5658</v>
      </c>
      <c r="R21" s="38">
        <f>SUM(B29)</f>
        <v>0</v>
      </c>
      <c r="S21" s="38">
        <f>SUM(C29)</f>
        <v>4413</v>
      </c>
      <c r="T21" s="38">
        <f>SUM(D29)</f>
        <v>4441</v>
      </c>
      <c r="U21" s="38">
        <f>SUM(E29)</f>
        <v>0</v>
      </c>
      <c r="V21" s="38">
        <f>SUM(F29)</f>
        <v>0</v>
      </c>
      <c r="Z21">
        <f t="shared" si="11"/>
        <v>8854</v>
      </c>
      <c r="AC21" s="50"/>
      <c r="AD21" s="37"/>
      <c r="AE21" s="37"/>
      <c r="AF21" s="37"/>
      <c r="AG21" s="37"/>
      <c r="AH21" s="37"/>
      <c r="AI21" s="37"/>
      <c r="AJ21" s="37" t="s">
        <v>5652</v>
      </c>
      <c r="AK21" s="38">
        <f t="shared" ref="AK21:AS21" si="32">SUM(R17)</f>
        <v>0</v>
      </c>
      <c r="AL21" s="38">
        <f t="shared" si="32"/>
        <v>2575</v>
      </c>
      <c r="AM21" s="38">
        <f t="shared" si="32"/>
        <v>4409</v>
      </c>
      <c r="AN21" s="38">
        <f t="shared" si="32"/>
        <v>5191</v>
      </c>
      <c r="AO21" s="38">
        <f t="shared" si="32"/>
        <v>0</v>
      </c>
      <c r="AP21" s="38">
        <f t="shared" si="32"/>
        <v>0</v>
      </c>
      <c r="AQ21" s="38">
        <f t="shared" si="32"/>
        <v>0</v>
      </c>
      <c r="AR21" s="38">
        <f t="shared" si="32"/>
        <v>0</v>
      </c>
      <c r="AS21" s="59">
        <f t="shared" si="32"/>
        <v>12175</v>
      </c>
      <c r="AU21" s="50"/>
      <c r="AV21" s="37" t="str">
        <f t="shared" si="3"/>
        <v xml:space="preserve">   Grays H</v>
      </c>
      <c r="AW21" s="180">
        <f t="shared" si="4"/>
        <v>898</v>
      </c>
      <c r="AX21" s="180">
        <f t="shared" si="5"/>
        <v>3270</v>
      </c>
      <c r="AY21" s="180">
        <f t="shared" si="6"/>
        <v>5646</v>
      </c>
      <c r="AZ21" s="180">
        <f t="shared" si="6"/>
        <v>6795</v>
      </c>
      <c r="BA21" s="180">
        <f t="shared" si="7"/>
        <v>0</v>
      </c>
      <c r="BB21" s="1725">
        <f t="shared" si="14"/>
        <v>16609</v>
      </c>
      <c r="BC21" s="37"/>
      <c r="BD21" s="50"/>
      <c r="BE21" s="37" t="str">
        <f t="shared" si="15"/>
        <v xml:space="preserve">   Grays H</v>
      </c>
      <c r="BF21" s="497">
        <f t="shared" si="16"/>
        <v>0</v>
      </c>
      <c r="BG21" s="497">
        <f t="shared" si="16"/>
        <v>220</v>
      </c>
      <c r="BH21" s="497">
        <f t="shared" si="16"/>
        <v>384</v>
      </c>
      <c r="BI21" s="497">
        <f t="shared" si="16"/>
        <v>476</v>
      </c>
      <c r="BJ21" s="497">
        <f t="shared" si="16"/>
        <v>0</v>
      </c>
      <c r="BK21" s="498">
        <f t="shared" si="17"/>
        <v>1080</v>
      </c>
      <c r="BL21" s="38"/>
      <c r="BM21" s="50"/>
      <c r="BN21" s="37" t="str">
        <f t="shared" si="18"/>
        <v xml:space="preserve">   Grays H</v>
      </c>
      <c r="BO21" s="497">
        <f t="shared" si="19"/>
        <v>898</v>
      </c>
      <c r="BP21" s="497">
        <f t="shared" si="19"/>
        <v>475</v>
      </c>
      <c r="BQ21" s="497">
        <f t="shared" si="19"/>
        <v>853</v>
      </c>
      <c r="BR21" s="497">
        <f t="shared" si="19"/>
        <v>1128</v>
      </c>
      <c r="BS21" s="497">
        <f t="shared" si="19"/>
        <v>0</v>
      </c>
      <c r="BT21" s="1725">
        <f t="shared" si="20"/>
        <v>3354</v>
      </c>
      <c r="BU21" s="37"/>
      <c r="BV21" s="37"/>
      <c r="BW21" s="50"/>
      <c r="BX21" s="37" t="str">
        <f t="shared" si="21"/>
        <v xml:space="preserve">   Grays H</v>
      </c>
      <c r="BY21" s="497">
        <f t="shared" si="22"/>
        <v>898</v>
      </c>
      <c r="BZ21" s="497">
        <f t="shared" si="22"/>
        <v>695</v>
      </c>
      <c r="CA21" s="497">
        <f t="shared" si="22"/>
        <v>1237</v>
      </c>
      <c r="CB21" s="497">
        <f t="shared" si="22"/>
        <v>1604</v>
      </c>
      <c r="CC21" s="497">
        <f t="shared" si="22"/>
        <v>0</v>
      </c>
      <c r="CD21" s="1725">
        <f t="shared" si="25"/>
        <v>4434</v>
      </c>
      <c r="CE21" s="322"/>
      <c r="CF21" s="351"/>
    </row>
    <row r="22" spans="1:93" x14ac:dyDescent="0.2">
      <c r="A22" t="s">
        <v>4275</v>
      </c>
      <c r="B22">
        <f>SUM(FishSumAllPRN!B22)</f>
        <v>0</v>
      </c>
      <c r="C22">
        <f>SUM(FishSumAllPRN!C22)</f>
        <v>0</v>
      </c>
      <c r="D22">
        <f>SUM(FishSumAllPRN!D22)</f>
        <v>0</v>
      </c>
      <c r="E22">
        <f>SUM(FishSumAllPRN!E22)</f>
        <v>0</v>
      </c>
      <c r="F22">
        <f>SUM(FishSumAllPRN!F22)</f>
        <v>1225</v>
      </c>
      <c r="G22">
        <f>SUM(FishSumAllPRN!G22)</f>
        <v>1225</v>
      </c>
      <c r="H22" s="54" t="s">
        <v>294</v>
      </c>
      <c r="I22" s="54"/>
      <c r="K22" t="s">
        <v>5659</v>
      </c>
      <c r="R22" s="38">
        <f>SUM(B31)</f>
        <v>0</v>
      </c>
      <c r="S22" s="38">
        <f>SUM(C31)</f>
        <v>0</v>
      </c>
      <c r="T22" s="38">
        <f>SUM(D31)</f>
        <v>564</v>
      </c>
      <c r="U22" s="38">
        <f>SUM(E31)</f>
        <v>0</v>
      </c>
      <c r="V22" s="38">
        <f>SUM(F31)</f>
        <v>0</v>
      </c>
      <c r="Z22">
        <f t="shared" si="11"/>
        <v>564</v>
      </c>
      <c r="AC22" s="50"/>
      <c r="AD22" s="37"/>
      <c r="AE22" s="37"/>
      <c r="AF22" s="37"/>
      <c r="AG22" s="37"/>
      <c r="AH22" s="37"/>
      <c r="AI22" s="37"/>
      <c r="AJ22" s="37" t="s">
        <v>5660</v>
      </c>
      <c r="AK22" s="38">
        <f t="shared" ref="AK22:AS22" si="33">SUM(R19)</f>
        <v>0</v>
      </c>
      <c r="AL22" s="38">
        <f t="shared" si="33"/>
        <v>3700</v>
      </c>
      <c r="AM22" s="38">
        <f t="shared" si="33"/>
        <v>3079</v>
      </c>
      <c r="AN22" s="38">
        <f t="shared" si="33"/>
        <v>5524</v>
      </c>
      <c r="AO22" s="38">
        <f t="shared" si="33"/>
        <v>0</v>
      </c>
      <c r="AP22" s="38">
        <f t="shared" si="33"/>
        <v>0</v>
      </c>
      <c r="AQ22" s="38">
        <f t="shared" si="33"/>
        <v>0</v>
      </c>
      <c r="AR22" s="38">
        <f t="shared" si="33"/>
        <v>0</v>
      </c>
      <c r="AS22" s="59">
        <f t="shared" si="33"/>
        <v>12303</v>
      </c>
      <c r="AU22" s="50"/>
      <c r="AV22" s="37" t="str">
        <f t="shared" si="3"/>
        <v xml:space="preserve">   Col River</v>
      </c>
      <c r="AW22" s="180">
        <f t="shared" si="4"/>
        <v>1578</v>
      </c>
      <c r="AX22" s="180">
        <f t="shared" si="5"/>
        <v>4474</v>
      </c>
      <c r="AY22" s="180">
        <f t="shared" si="6"/>
        <v>3856</v>
      </c>
      <c r="AZ22" s="180">
        <f t="shared" si="6"/>
        <v>7645</v>
      </c>
      <c r="BA22" s="180">
        <f t="shared" si="7"/>
        <v>0</v>
      </c>
      <c r="BB22" s="1725">
        <f t="shared" si="14"/>
        <v>17553</v>
      </c>
      <c r="BC22" s="37"/>
      <c r="BD22" s="50"/>
      <c r="BE22" s="37" t="str">
        <f t="shared" si="15"/>
        <v xml:space="preserve">   Col River</v>
      </c>
      <c r="BF22" s="497">
        <f t="shared" si="16"/>
        <v>0</v>
      </c>
      <c r="BG22" s="497">
        <f t="shared" si="16"/>
        <v>280</v>
      </c>
      <c r="BH22" s="497">
        <f t="shared" si="16"/>
        <v>254</v>
      </c>
      <c r="BI22" s="497">
        <f t="shared" si="16"/>
        <v>574</v>
      </c>
      <c r="BJ22" s="497">
        <f t="shared" si="16"/>
        <v>0</v>
      </c>
      <c r="BK22" s="498">
        <f t="shared" si="17"/>
        <v>1108</v>
      </c>
      <c r="BL22" s="38"/>
      <c r="BM22" s="50"/>
      <c r="BN22" s="37" t="str">
        <f t="shared" si="18"/>
        <v xml:space="preserve">   Col River</v>
      </c>
      <c r="BO22" s="497">
        <f t="shared" si="19"/>
        <v>1578</v>
      </c>
      <c r="BP22" s="497">
        <f t="shared" si="19"/>
        <v>494</v>
      </c>
      <c r="BQ22" s="497">
        <f t="shared" si="19"/>
        <v>523</v>
      </c>
      <c r="BR22" s="497">
        <f t="shared" si="19"/>
        <v>1547</v>
      </c>
      <c r="BS22" s="497">
        <f t="shared" si="19"/>
        <v>0</v>
      </c>
      <c r="BT22" s="1725">
        <f t="shared" si="20"/>
        <v>4142</v>
      </c>
      <c r="BU22" s="37"/>
      <c r="BV22" s="37"/>
      <c r="BW22" s="50"/>
      <c r="BX22" s="37" t="str">
        <f t="shared" si="21"/>
        <v xml:space="preserve">   Col River</v>
      </c>
      <c r="BY22" s="497">
        <f t="shared" si="22"/>
        <v>1578</v>
      </c>
      <c r="BZ22" s="497">
        <f t="shared" si="22"/>
        <v>774</v>
      </c>
      <c r="CA22" s="497">
        <f t="shared" si="22"/>
        <v>777</v>
      </c>
      <c r="CB22" s="497">
        <f t="shared" si="22"/>
        <v>2121</v>
      </c>
      <c r="CC22" s="497">
        <f t="shared" si="22"/>
        <v>0</v>
      </c>
      <c r="CD22" s="1725">
        <f t="shared" si="25"/>
        <v>5250</v>
      </c>
      <c r="CE22" s="50"/>
      <c r="CF22" s="351"/>
    </row>
    <row r="23" spans="1:93" x14ac:dyDescent="0.2">
      <c r="A23" t="s">
        <v>4276</v>
      </c>
      <c r="B23">
        <f>SUM(FishSumAllPRN!B23)</f>
        <v>0</v>
      </c>
      <c r="C23">
        <f>SUM(FishSumAllPRN!C23)</f>
        <v>0</v>
      </c>
      <c r="D23">
        <f>SUM(FishSumAllPRN!D23)</f>
        <v>0</v>
      </c>
      <c r="E23">
        <f>SUM(FishSumAllPRN!E23)</f>
        <v>0</v>
      </c>
      <c r="F23">
        <f>SUM(FishSumAllPRN!F23)</f>
        <v>684</v>
      </c>
      <c r="G23">
        <f>SUM(FishSumAllPRN!G23)</f>
        <v>684</v>
      </c>
      <c r="H23" s="54" t="s">
        <v>294</v>
      </c>
      <c r="I23" s="54"/>
      <c r="K23" t="s">
        <v>5661</v>
      </c>
      <c r="R23" s="38">
        <f>SUM(B27)</f>
        <v>0</v>
      </c>
      <c r="S23" s="38">
        <f>SUM(C27)</f>
        <v>0</v>
      </c>
      <c r="T23" s="38">
        <f>SUM(D27)</f>
        <v>0</v>
      </c>
      <c r="U23" s="38">
        <f>SUM(E27)</f>
        <v>0</v>
      </c>
      <c r="V23" s="38">
        <f>SUM(F27)</f>
        <v>0</v>
      </c>
      <c r="Z23">
        <f t="shared" si="11"/>
        <v>0</v>
      </c>
      <c r="AC23" s="50"/>
      <c r="AD23" s="37"/>
      <c r="AE23" s="37"/>
      <c r="AF23" s="37"/>
      <c r="AG23" s="37"/>
      <c r="AH23" s="37"/>
      <c r="AI23" s="37"/>
      <c r="AJ23" s="37"/>
      <c r="AK23" s="38"/>
      <c r="AL23" s="38"/>
      <c r="AM23" s="38"/>
      <c r="AN23" s="38"/>
      <c r="AO23" s="38"/>
      <c r="AP23" s="38"/>
      <c r="AQ23" s="38"/>
      <c r="AR23" s="38"/>
      <c r="AS23" s="59"/>
      <c r="AU23" s="50"/>
      <c r="AV23" s="37"/>
      <c r="AW23" s="180"/>
      <c r="AX23" s="180"/>
      <c r="AY23" s="180"/>
      <c r="AZ23" s="180"/>
      <c r="BA23" s="180"/>
      <c r="BB23" s="1725"/>
      <c r="BC23" s="37"/>
      <c r="BD23" s="50"/>
      <c r="BE23" s="37"/>
      <c r="BF23" s="497"/>
      <c r="BG23" s="497"/>
      <c r="BH23" s="497"/>
      <c r="BI23" s="497"/>
      <c r="BJ23" s="497"/>
      <c r="BK23" s="498"/>
      <c r="BL23" s="39"/>
      <c r="BM23" s="50"/>
      <c r="BN23" s="37"/>
      <c r="BO23" s="180">
        <f t="shared" si="19"/>
        <v>0</v>
      </c>
      <c r="BP23" s="180">
        <f t="shared" si="19"/>
        <v>0</v>
      </c>
      <c r="BQ23" s="180">
        <f t="shared" si="19"/>
        <v>0</v>
      </c>
      <c r="BR23" s="180">
        <f t="shared" si="19"/>
        <v>0</v>
      </c>
      <c r="BS23" s="180">
        <f t="shared" si="19"/>
        <v>0</v>
      </c>
      <c r="BT23" s="1725"/>
      <c r="BU23" s="37"/>
      <c r="BV23" s="37"/>
      <c r="BW23" s="50"/>
      <c r="BX23" s="37"/>
      <c r="BY23" s="180"/>
      <c r="BZ23" s="180"/>
      <c r="CA23" s="180"/>
      <c r="CB23" s="180"/>
      <c r="CC23" s="180"/>
      <c r="CD23" s="1725"/>
      <c r="CE23" s="322"/>
      <c r="CF23" s="351"/>
    </row>
    <row r="24" spans="1:93" x14ac:dyDescent="0.2">
      <c r="A24" t="s">
        <v>4277</v>
      </c>
      <c r="B24">
        <f>SUM(FishSumAllPRN!B24)</f>
        <v>0</v>
      </c>
      <c r="C24">
        <f>SUM(FishSumAllPRN!C24)</f>
        <v>0</v>
      </c>
      <c r="D24">
        <f>SUM(FishSumAllPRN!D24)</f>
        <v>0</v>
      </c>
      <c r="E24">
        <f>SUM(FishSumAllPRN!E24)</f>
        <v>0</v>
      </c>
      <c r="F24">
        <f>SUM(FishSumAllPRN!F24)</f>
        <v>451</v>
      </c>
      <c r="G24">
        <f>SUM(FishSumAllPRN!G24)</f>
        <v>451</v>
      </c>
      <c r="H24" s="54" t="s">
        <v>294</v>
      </c>
      <c r="I24" s="54"/>
      <c r="K24" t="s">
        <v>5662</v>
      </c>
      <c r="R24">
        <f>SUM(B17*0.5)</f>
        <v>0</v>
      </c>
      <c r="S24">
        <f>SUM(C17*0.5)</f>
        <v>0</v>
      </c>
      <c r="T24">
        <f>SUM(D17*0.5)</f>
        <v>0</v>
      </c>
      <c r="U24">
        <f>SUM(E17*0.5)</f>
        <v>0</v>
      </c>
      <c r="V24">
        <f>SUM(F17*0.5)</f>
        <v>0</v>
      </c>
      <c r="Z24">
        <f t="shared" si="11"/>
        <v>0</v>
      </c>
      <c r="AC24" s="50" t="s">
        <v>5663</v>
      </c>
      <c r="AD24" s="37"/>
      <c r="AE24" s="37"/>
      <c r="AF24" s="37"/>
      <c r="AG24" s="37"/>
      <c r="AH24" s="37"/>
      <c r="AI24" s="37"/>
      <c r="AJ24" s="37" t="s">
        <v>5664</v>
      </c>
      <c r="AK24">
        <f t="shared" ref="AK24:AN27" si="34">SUM(R29)</f>
        <v>2101</v>
      </c>
      <c r="AL24">
        <f t="shared" si="34"/>
        <v>5893</v>
      </c>
      <c r="AM24">
        <f t="shared" si="34"/>
        <v>6896</v>
      </c>
      <c r="AN24">
        <f t="shared" si="34"/>
        <v>2581</v>
      </c>
      <c r="AO24">
        <f t="shared" ref="AO24:AS27" si="35">SUM(V29)</f>
        <v>0</v>
      </c>
      <c r="AP24">
        <f t="shared" si="35"/>
        <v>0</v>
      </c>
      <c r="AQ24">
        <f t="shared" si="35"/>
        <v>0</v>
      </c>
      <c r="AR24">
        <f t="shared" si="35"/>
        <v>0</v>
      </c>
      <c r="AS24" s="58">
        <f t="shared" si="35"/>
        <v>17471</v>
      </c>
      <c r="AU24" s="50" t="s">
        <v>5663</v>
      </c>
      <c r="AV24" s="37" t="str">
        <f t="shared" si="3"/>
        <v>Cape Flat</v>
      </c>
      <c r="AW24" s="180">
        <f t="shared" si="4"/>
        <v>2754</v>
      </c>
      <c r="AX24" s="180">
        <f t="shared" si="5"/>
        <v>7161</v>
      </c>
      <c r="AY24" s="180">
        <f t="shared" si="6"/>
        <v>8720</v>
      </c>
      <c r="AZ24" s="180">
        <f t="shared" si="6"/>
        <v>3223</v>
      </c>
      <c r="BA24" s="180">
        <f t="shared" si="7"/>
        <v>0</v>
      </c>
      <c r="BB24" s="1725">
        <f t="shared" si="14"/>
        <v>21858</v>
      </c>
      <c r="BC24" s="37"/>
      <c r="BD24" s="50" t="s">
        <v>5663</v>
      </c>
      <c r="BE24" s="37" t="str">
        <f>AV24</f>
        <v>Cape Flat</v>
      </c>
      <c r="BF24" s="497">
        <f t="shared" ref="BF24:BJ29" si="36">AW24-AK24-BO24</f>
        <v>250</v>
      </c>
      <c r="BG24" s="497">
        <f t="shared" si="36"/>
        <v>551</v>
      </c>
      <c r="BH24" s="497">
        <f t="shared" si="36"/>
        <v>734</v>
      </c>
      <c r="BI24" s="497">
        <f t="shared" si="36"/>
        <v>264</v>
      </c>
      <c r="BJ24" s="497">
        <f t="shared" si="36"/>
        <v>0</v>
      </c>
      <c r="BK24" s="498">
        <f t="shared" si="17"/>
        <v>1799</v>
      </c>
      <c r="BL24" s="38"/>
      <c r="BM24" s="50" t="s">
        <v>5663</v>
      </c>
      <c r="BN24" s="37" t="str">
        <f>AV24</f>
        <v>Cape Flat</v>
      </c>
      <c r="BO24" s="180">
        <f t="shared" si="19"/>
        <v>403</v>
      </c>
      <c r="BP24" s="180">
        <f t="shared" si="19"/>
        <v>717</v>
      </c>
      <c r="BQ24" s="180">
        <f t="shared" si="19"/>
        <v>1090</v>
      </c>
      <c r="BR24" s="180">
        <f t="shared" si="19"/>
        <v>378</v>
      </c>
      <c r="BS24" s="180">
        <f t="shared" si="19"/>
        <v>0</v>
      </c>
      <c r="BT24" s="1725">
        <f t="shared" ref="BT24:BT29" si="37">SUM(BO24:BS24)</f>
        <v>2588</v>
      </c>
      <c r="BU24" s="37"/>
      <c r="BV24" s="37"/>
      <c r="BW24" s="50" t="s">
        <v>5663</v>
      </c>
      <c r="BX24" s="37" t="str">
        <f>AV24</f>
        <v>Cape Flat</v>
      </c>
      <c r="BY24" s="180">
        <f t="shared" ref="BY24:CC29" si="38">AW24-AK24</f>
        <v>653</v>
      </c>
      <c r="BZ24" s="180">
        <f t="shared" si="38"/>
        <v>1268</v>
      </c>
      <c r="CA24" s="180">
        <f t="shared" si="38"/>
        <v>1824</v>
      </c>
      <c r="CB24" s="180">
        <f t="shared" si="38"/>
        <v>642</v>
      </c>
      <c r="CC24" s="180">
        <f t="shared" si="38"/>
        <v>0</v>
      </c>
      <c r="CD24" s="1725">
        <f t="shared" ref="CD24:CD29" si="39">SUM(BY24:CC24)</f>
        <v>4387</v>
      </c>
      <c r="CE24" s="352" t="s">
        <v>5665</v>
      </c>
      <c r="CF24" s="1727" t="s">
        <v>5666</v>
      </c>
    </row>
    <row r="25" spans="1:93" x14ac:dyDescent="0.2">
      <c r="A25" t="s">
        <v>4278</v>
      </c>
      <c r="B25">
        <f>SUM(FishSumAllPRN!B25)</f>
        <v>0</v>
      </c>
      <c r="C25">
        <f>SUM(FishSumAllPRN!C25)</f>
        <v>0</v>
      </c>
      <c r="D25">
        <f>SUM(FishSumAllPRN!D25)</f>
        <v>0</v>
      </c>
      <c r="E25">
        <f>SUM(FishSumAllPRN!E25)</f>
        <v>0</v>
      </c>
      <c r="F25">
        <f>SUM(FishSumAllPRN!F25)</f>
        <v>0</v>
      </c>
      <c r="G25">
        <f>SUM(FishSumAllPRN!G25)</f>
        <v>0</v>
      </c>
      <c r="H25" s="54" t="s">
        <v>294</v>
      </c>
      <c r="I25" s="54"/>
      <c r="K25" t="s">
        <v>5667</v>
      </c>
      <c r="R25">
        <f>SUM(B17*0.5)</f>
        <v>0</v>
      </c>
      <c r="S25">
        <f>SUM(C17*0.5)</f>
        <v>0</v>
      </c>
      <c r="T25">
        <f>SUM(D17*0.5)</f>
        <v>0</v>
      </c>
      <c r="U25">
        <f>SUM(E17*0.5)</f>
        <v>0</v>
      </c>
      <c r="V25">
        <f>SUM(F17*0.5)</f>
        <v>0</v>
      </c>
      <c r="Z25">
        <f t="shared" si="11"/>
        <v>0</v>
      </c>
      <c r="AC25" s="50"/>
      <c r="AD25" s="37"/>
      <c r="AE25" s="37"/>
      <c r="AF25" s="37"/>
      <c r="AG25" s="37"/>
      <c r="AH25" s="37"/>
      <c r="AI25" s="37"/>
      <c r="AJ25" s="37" t="s">
        <v>5668</v>
      </c>
      <c r="AK25">
        <f t="shared" si="34"/>
        <v>157</v>
      </c>
      <c r="AL25">
        <f t="shared" si="34"/>
        <v>575</v>
      </c>
      <c r="AM25">
        <f t="shared" si="34"/>
        <v>2422</v>
      </c>
      <c r="AN25">
        <f t="shared" si="34"/>
        <v>1216</v>
      </c>
      <c r="AO25">
        <f t="shared" si="35"/>
        <v>0</v>
      </c>
      <c r="AP25">
        <f t="shared" si="35"/>
        <v>0</v>
      </c>
      <c r="AQ25">
        <f t="shared" si="35"/>
        <v>0</v>
      </c>
      <c r="AR25">
        <f t="shared" si="35"/>
        <v>0</v>
      </c>
      <c r="AS25" s="58">
        <f t="shared" si="35"/>
        <v>4370</v>
      </c>
      <c r="AU25" s="50"/>
      <c r="AV25" s="37" t="str">
        <f t="shared" si="3"/>
        <v>Quillayut</v>
      </c>
      <c r="AW25" s="180">
        <f t="shared" si="4"/>
        <v>190</v>
      </c>
      <c r="AX25" s="180">
        <f t="shared" si="5"/>
        <v>685</v>
      </c>
      <c r="AY25" s="180">
        <f t="shared" si="6"/>
        <v>2859</v>
      </c>
      <c r="AZ25" s="180">
        <f t="shared" si="6"/>
        <v>1539</v>
      </c>
      <c r="BA25" s="180">
        <f t="shared" si="7"/>
        <v>0</v>
      </c>
      <c r="BB25" s="1725">
        <f t="shared" si="14"/>
        <v>5273</v>
      </c>
      <c r="BC25" s="37"/>
      <c r="BD25" s="50"/>
      <c r="BE25" s="37" t="str">
        <f>AV25</f>
        <v>Quillayut</v>
      </c>
      <c r="BF25" s="497">
        <f t="shared" si="36"/>
        <v>15</v>
      </c>
      <c r="BG25" s="497">
        <f t="shared" si="36"/>
        <v>50</v>
      </c>
      <c r="BH25" s="497">
        <f t="shared" si="36"/>
        <v>204</v>
      </c>
      <c r="BI25" s="497">
        <f t="shared" si="36"/>
        <v>130</v>
      </c>
      <c r="BJ25" s="497">
        <f t="shared" si="36"/>
        <v>0</v>
      </c>
      <c r="BK25" s="498">
        <f t="shared" si="17"/>
        <v>399</v>
      </c>
      <c r="BM25" s="50"/>
      <c r="BN25" s="37" t="str">
        <f>AV25</f>
        <v>Quillayut</v>
      </c>
      <c r="BO25" s="180">
        <f t="shared" si="19"/>
        <v>18</v>
      </c>
      <c r="BP25" s="180">
        <f t="shared" si="19"/>
        <v>60</v>
      </c>
      <c r="BQ25" s="180">
        <f t="shared" si="19"/>
        <v>233</v>
      </c>
      <c r="BR25" s="180">
        <f t="shared" si="19"/>
        <v>193</v>
      </c>
      <c r="BS25" s="180">
        <f t="shared" si="19"/>
        <v>0</v>
      </c>
      <c r="BT25" s="1725">
        <f t="shared" si="37"/>
        <v>504</v>
      </c>
      <c r="BU25" s="37"/>
      <c r="BV25" s="37"/>
      <c r="BW25" s="50"/>
      <c r="BX25" s="37" t="str">
        <f>AV25</f>
        <v>Quillayut</v>
      </c>
      <c r="BY25" s="180">
        <f t="shared" si="38"/>
        <v>33</v>
      </c>
      <c r="BZ25" s="180">
        <f t="shared" si="38"/>
        <v>110</v>
      </c>
      <c r="CA25" s="180">
        <f t="shared" si="38"/>
        <v>437</v>
      </c>
      <c r="CB25" s="180">
        <f t="shared" si="38"/>
        <v>323</v>
      </c>
      <c r="CC25" s="180">
        <f t="shared" si="38"/>
        <v>0</v>
      </c>
      <c r="CD25" s="1725">
        <f t="shared" si="39"/>
        <v>903</v>
      </c>
      <c r="CE25" s="50"/>
      <c r="CF25" s="351"/>
    </row>
    <row r="26" spans="1:93" x14ac:dyDescent="0.2">
      <c r="A26" t="s">
        <v>4279</v>
      </c>
      <c r="B26">
        <f>SUM(FishSumAllPRN!B26)</f>
        <v>1057</v>
      </c>
      <c r="C26">
        <f>SUM(FishSumAllPRN!C26)</f>
        <v>380</v>
      </c>
      <c r="D26">
        <f>SUM(FishSumAllPRN!D26)</f>
        <v>302</v>
      </c>
      <c r="E26">
        <f>SUM(FishSumAllPRN!E26)</f>
        <v>0</v>
      </c>
      <c r="F26">
        <f>SUM(FishSumAllPRN!F26)</f>
        <v>0</v>
      </c>
      <c r="G26">
        <f>SUM(FishSumAllPRN!G26)</f>
        <v>1739</v>
      </c>
      <c r="H26" s="54" t="s">
        <v>294</v>
      </c>
      <c r="I26" s="54"/>
      <c r="K26" t="s">
        <v>5669</v>
      </c>
      <c r="R26" s="38">
        <f>SUM(B15)</f>
        <v>0</v>
      </c>
      <c r="S26" s="38">
        <f>SUM(C15)</f>
        <v>0</v>
      </c>
      <c r="T26" s="38">
        <f>SUM(D15)</f>
        <v>0</v>
      </c>
      <c r="U26" s="38">
        <f>SUM(E15)</f>
        <v>0</v>
      </c>
      <c r="V26" s="38">
        <f>SUM(F15)</f>
        <v>0</v>
      </c>
      <c r="Z26">
        <f t="shared" si="11"/>
        <v>0</v>
      </c>
      <c r="AC26" s="50"/>
      <c r="AD26" s="37"/>
      <c r="AE26" s="37"/>
      <c r="AF26" s="37"/>
      <c r="AG26" s="37"/>
      <c r="AH26" s="37"/>
      <c r="AI26" s="37"/>
      <c r="AJ26" s="37" t="s">
        <v>5670</v>
      </c>
      <c r="AK26">
        <f t="shared" si="34"/>
        <v>0</v>
      </c>
      <c r="AL26">
        <f t="shared" si="34"/>
        <v>13962</v>
      </c>
      <c r="AM26">
        <f t="shared" si="34"/>
        <v>32075</v>
      </c>
      <c r="AN26">
        <f t="shared" si="34"/>
        <v>16123</v>
      </c>
      <c r="AO26">
        <f t="shared" si="35"/>
        <v>0</v>
      </c>
      <c r="AP26">
        <f t="shared" si="35"/>
        <v>0</v>
      </c>
      <c r="AQ26">
        <f t="shared" si="35"/>
        <v>0</v>
      </c>
      <c r="AR26">
        <f t="shared" si="35"/>
        <v>0</v>
      </c>
      <c r="AS26" s="58">
        <f t="shared" si="35"/>
        <v>62160</v>
      </c>
      <c r="AU26" s="50"/>
      <c r="AV26" s="37" t="str">
        <f t="shared" si="3"/>
        <v>Gr Harbor</v>
      </c>
      <c r="AW26" s="180">
        <f t="shared" si="4"/>
        <v>0</v>
      </c>
      <c r="AX26" s="180">
        <f t="shared" si="5"/>
        <v>16136</v>
      </c>
      <c r="AY26" s="180">
        <f t="shared" si="6"/>
        <v>37941</v>
      </c>
      <c r="AZ26" s="180">
        <f t="shared" si="6"/>
        <v>19802</v>
      </c>
      <c r="BA26" s="180">
        <f t="shared" si="7"/>
        <v>0</v>
      </c>
      <c r="BB26" s="1725">
        <f t="shared" si="14"/>
        <v>73879</v>
      </c>
      <c r="BC26" s="37"/>
      <c r="BD26" s="50"/>
      <c r="BE26" s="37" t="str">
        <f>AV26</f>
        <v>Gr Harbor</v>
      </c>
      <c r="BF26" s="497">
        <f t="shared" si="36"/>
        <v>0</v>
      </c>
      <c r="BG26" s="497">
        <f t="shared" si="36"/>
        <v>1086</v>
      </c>
      <c r="BH26" s="497">
        <f t="shared" si="36"/>
        <v>2725</v>
      </c>
      <c r="BI26" s="497">
        <f t="shared" si="36"/>
        <v>1562</v>
      </c>
      <c r="BJ26" s="497">
        <f t="shared" si="36"/>
        <v>0</v>
      </c>
      <c r="BK26" s="498">
        <f t="shared" si="17"/>
        <v>5373</v>
      </c>
      <c r="BM26" s="50"/>
      <c r="BN26" s="37" t="str">
        <f>AV26</f>
        <v>Gr Harbor</v>
      </c>
      <c r="BO26" s="180">
        <f t="shared" si="19"/>
        <v>0</v>
      </c>
      <c r="BP26" s="180">
        <f t="shared" si="19"/>
        <v>1088</v>
      </c>
      <c r="BQ26" s="180">
        <f t="shared" si="19"/>
        <v>3141</v>
      </c>
      <c r="BR26" s="180">
        <f t="shared" si="19"/>
        <v>2117</v>
      </c>
      <c r="BS26" s="180">
        <f t="shared" si="19"/>
        <v>0</v>
      </c>
      <c r="BT26" s="1725">
        <f t="shared" si="37"/>
        <v>6346</v>
      </c>
      <c r="BU26" s="37"/>
      <c r="BV26" s="37"/>
      <c r="BW26" s="50"/>
      <c r="BX26" s="37" t="str">
        <f>AV26</f>
        <v>Gr Harbor</v>
      </c>
      <c r="BY26" s="180">
        <f t="shared" si="38"/>
        <v>0</v>
      </c>
      <c r="BZ26" s="180">
        <f t="shared" si="38"/>
        <v>2174</v>
      </c>
      <c r="CA26" s="180">
        <f t="shared" si="38"/>
        <v>5866</v>
      </c>
      <c r="CB26" s="180">
        <f t="shared" si="38"/>
        <v>3679</v>
      </c>
      <c r="CC26" s="180">
        <f t="shared" si="38"/>
        <v>0</v>
      </c>
      <c r="CD26" s="1725">
        <f t="shared" si="39"/>
        <v>11719</v>
      </c>
      <c r="CE26" s="50"/>
      <c r="CF26" s="351"/>
    </row>
    <row r="27" spans="1:93" x14ac:dyDescent="0.2">
      <c r="A27" t="s">
        <v>4280</v>
      </c>
      <c r="B27">
        <f>SUM(FishSumAllPRN!B27)</f>
        <v>0</v>
      </c>
      <c r="C27">
        <f>SUM(FishSumAllPRN!C27)</f>
        <v>0</v>
      </c>
      <c r="D27">
        <f>SUM(FishSumAllPRN!D27)</f>
        <v>0</v>
      </c>
      <c r="E27">
        <f>SUM(FishSumAllPRN!E27)</f>
        <v>0</v>
      </c>
      <c r="F27">
        <f>SUM(FishSumAllPRN!F27)</f>
        <v>0</v>
      </c>
      <c r="G27">
        <f>SUM(FishSumAllPRN!G27)</f>
        <v>0</v>
      </c>
      <c r="H27" s="54" t="s">
        <v>294</v>
      </c>
      <c r="I27" s="54"/>
      <c r="K27" t="s">
        <v>5671</v>
      </c>
      <c r="R27" s="38">
        <f>SUM(B19)</f>
        <v>0</v>
      </c>
      <c r="S27" s="38">
        <f>SUM(C19)</f>
        <v>0</v>
      </c>
      <c r="T27" s="38">
        <f>SUM(D19)</f>
        <v>0</v>
      </c>
      <c r="U27" s="38">
        <f>SUM(E19)</f>
        <v>0</v>
      </c>
      <c r="V27" s="38">
        <f>SUM(F19)</f>
        <v>0</v>
      </c>
      <c r="Z27">
        <f t="shared" si="11"/>
        <v>0</v>
      </c>
      <c r="AC27" s="50"/>
      <c r="AD27" s="37"/>
      <c r="AE27" s="37"/>
      <c r="AF27" s="37"/>
      <c r="AG27" s="37"/>
      <c r="AH27" s="37"/>
      <c r="AI27" s="37"/>
      <c r="AJ27" s="37" t="s">
        <v>5672</v>
      </c>
      <c r="AK27">
        <f t="shared" si="34"/>
        <v>3635</v>
      </c>
      <c r="AL27">
        <f t="shared" si="34"/>
        <v>20646</v>
      </c>
      <c r="AM27">
        <f t="shared" si="34"/>
        <v>47436</v>
      </c>
      <c r="AN27">
        <f t="shared" si="34"/>
        <v>12283</v>
      </c>
      <c r="AO27">
        <f t="shared" si="35"/>
        <v>0</v>
      </c>
      <c r="AP27">
        <f t="shared" si="35"/>
        <v>0</v>
      </c>
      <c r="AQ27">
        <f t="shared" si="35"/>
        <v>0</v>
      </c>
      <c r="AR27">
        <f t="shared" si="35"/>
        <v>0</v>
      </c>
      <c r="AS27" s="58">
        <f t="shared" si="35"/>
        <v>84000</v>
      </c>
      <c r="AU27" s="50"/>
      <c r="AV27" s="37" t="str">
        <f t="shared" si="3"/>
        <v>Col River</v>
      </c>
      <c r="AW27" s="180">
        <f t="shared" si="4"/>
        <v>4123</v>
      </c>
      <c r="AX27" s="180">
        <f t="shared" si="5"/>
        <v>23414</v>
      </c>
      <c r="AY27" s="180">
        <f t="shared" si="6"/>
        <v>55663</v>
      </c>
      <c r="AZ27" s="180">
        <f t="shared" si="6"/>
        <v>14507</v>
      </c>
      <c r="BA27" s="180">
        <f t="shared" si="7"/>
        <v>0</v>
      </c>
      <c r="BB27" s="1725">
        <f t="shared" si="14"/>
        <v>97707</v>
      </c>
      <c r="BC27" s="37"/>
      <c r="BD27" s="50"/>
      <c r="BE27" s="37" t="str">
        <f>AV27</f>
        <v>Col River</v>
      </c>
      <c r="BF27" s="497">
        <f t="shared" si="36"/>
        <v>263</v>
      </c>
      <c r="BG27" s="497">
        <f t="shared" si="36"/>
        <v>1489</v>
      </c>
      <c r="BH27" s="497">
        <f t="shared" si="36"/>
        <v>3913</v>
      </c>
      <c r="BI27" s="497">
        <f t="shared" si="36"/>
        <v>1038</v>
      </c>
      <c r="BJ27" s="497">
        <f t="shared" si="36"/>
        <v>0</v>
      </c>
      <c r="BK27" s="498">
        <f t="shared" si="17"/>
        <v>6703</v>
      </c>
      <c r="BL27" s="497"/>
      <c r="BM27" s="50"/>
      <c r="BN27" s="37" t="str">
        <f>AV27</f>
        <v>Col River</v>
      </c>
      <c r="BO27" s="180">
        <f t="shared" si="19"/>
        <v>225</v>
      </c>
      <c r="BP27" s="180">
        <f t="shared" si="19"/>
        <v>1279</v>
      </c>
      <c r="BQ27" s="180">
        <f t="shared" si="19"/>
        <v>4314</v>
      </c>
      <c r="BR27" s="180">
        <f t="shared" si="19"/>
        <v>1186</v>
      </c>
      <c r="BS27" s="180">
        <f t="shared" si="19"/>
        <v>0</v>
      </c>
      <c r="BT27" s="1725">
        <f t="shared" si="37"/>
        <v>7004</v>
      </c>
      <c r="BU27" s="37"/>
      <c r="BV27" s="37"/>
      <c r="BW27" s="50"/>
      <c r="BX27" s="37" t="str">
        <f>AV27</f>
        <v>Col River</v>
      </c>
      <c r="BY27" s="180">
        <f t="shared" si="38"/>
        <v>488</v>
      </c>
      <c r="BZ27" s="180">
        <f t="shared" si="38"/>
        <v>2768</v>
      </c>
      <c r="CA27" s="180">
        <f t="shared" si="38"/>
        <v>8227</v>
      </c>
      <c r="CB27" s="180">
        <f t="shared" si="38"/>
        <v>2224</v>
      </c>
      <c r="CC27" s="180">
        <f t="shared" si="38"/>
        <v>0</v>
      </c>
      <c r="CD27" s="1725">
        <f t="shared" si="39"/>
        <v>13707</v>
      </c>
      <c r="CE27" s="352" t="s">
        <v>5673</v>
      </c>
      <c r="CF27" s="350">
        <f>(BT24+BT25+BT26+BT27)/0.14+(BK24+BK25+BK26+BK27)</f>
        <v>131716.85714285713</v>
      </c>
    </row>
    <row r="28" spans="1:93" x14ac:dyDescent="0.2">
      <c r="A28" t="s">
        <v>4281</v>
      </c>
      <c r="B28">
        <f>SUM(FishSumAllPRN!B28)</f>
        <v>15461</v>
      </c>
      <c r="C28">
        <f>SUM(FishSumAllPRN!C28)</f>
        <v>15965</v>
      </c>
      <c r="D28">
        <f>SUM(FishSumAllPRN!D28)</f>
        <v>21857</v>
      </c>
      <c r="E28">
        <f>SUM(FishSumAllPRN!E28)</f>
        <v>8756</v>
      </c>
      <c r="F28">
        <f>SUM(FishSumAllPRN!F28)</f>
        <v>0</v>
      </c>
      <c r="G28">
        <f>SUM(FishSumAllPRN!G28)</f>
        <v>62039</v>
      </c>
      <c r="H28" s="54" t="s">
        <v>294</v>
      </c>
      <c r="I28" s="54"/>
      <c r="K28" t="s">
        <v>5674</v>
      </c>
      <c r="R28" s="38">
        <f>SUM(B18)</f>
        <v>0</v>
      </c>
      <c r="S28" s="38">
        <f>SUM(C18)</f>
        <v>0</v>
      </c>
      <c r="T28" s="38">
        <f>SUM(D18)</f>
        <v>0</v>
      </c>
      <c r="U28" s="38">
        <f>SUM(E18)</f>
        <v>0</v>
      </c>
      <c r="V28" s="38">
        <f>SUM(F18)</f>
        <v>0</v>
      </c>
      <c r="Z28">
        <f t="shared" si="11"/>
        <v>0</v>
      </c>
      <c r="AC28" s="50"/>
      <c r="AD28" s="37"/>
      <c r="AE28" s="37"/>
      <c r="AF28" s="37"/>
      <c r="AG28" s="37"/>
      <c r="AH28" s="37"/>
      <c r="AI28" s="37"/>
      <c r="AJ28" s="37" t="s">
        <v>145</v>
      </c>
      <c r="AK28">
        <v>0</v>
      </c>
      <c r="AL28">
        <v>0</v>
      </c>
      <c r="AM28">
        <f>SUM(T33)</f>
        <v>0</v>
      </c>
      <c r="AN28">
        <f>SUM(U33)</f>
        <v>55000</v>
      </c>
      <c r="AO28">
        <f>SUM(V33)</f>
        <v>0</v>
      </c>
      <c r="AS28" s="58">
        <f>SUM(AK28:AO28)</f>
        <v>55000</v>
      </c>
      <c r="AU28" s="50"/>
      <c r="AV28" s="1594" t="str">
        <f t="shared" si="3"/>
        <v>Buoy 10</v>
      </c>
      <c r="AW28" s="1611">
        <f t="shared" si="4"/>
        <v>0</v>
      </c>
      <c r="AX28" s="1611">
        <f t="shared" si="5"/>
        <v>0</v>
      </c>
      <c r="AY28" s="1611">
        <f t="shared" si="6"/>
        <v>0</v>
      </c>
      <c r="AZ28" s="1611">
        <f t="shared" si="6"/>
        <v>65601</v>
      </c>
      <c r="BA28" s="1611">
        <f t="shared" si="7"/>
        <v>0</v>
      </c>
      <c r="BB28" s="1906">
        <f t="shared" si="14"/>
        <v>65601</v>
      </c>
      <c r="BC28" s="37"/>
      <c r="BD28" s="50"/>
      <c r="BE28" s="1594" t="str">
        <f>AV28</f>
        <v>Buoy 10</v>
      </c>
      <c r="BF28" s="1724">
        <f t="shared" si="36"/>
        <v>0</v>
      </c>
      <c r="BG28" s="1724">
        <f t="shared" si="36"/>
        <v>0</v>
      </c>
      <c r="BH28" s="1724">
        <f t="shared" si="36"/>
        <v>0</v>
      </c>
      <c r="BI28" s="1724">
        <f t="shared" si="36"/>
        <v>4816</v>
      </c>
      <c r="BJ28" s="1724">
        <f t="shared" si="36"/>
        <v>0</v>
      </c>
      <c r="BK28" s="1907">
        <f t="shared" si="17"/>
        <v>4816</v>
      </c>
      <c r="BM28" s="50"/>
      <c r="BN28" s="1594" t="str">
        <f>AV28</f>
        <v>Buoy 10</v>
      </c>
      <c r="BO28" s="1611">
        <f t="shared" si="19"/>
        <v>0</v>
      </c>
      <c r="BP28" s="1611">
        <f t="shared" si="19"/>
        <v>0</v>
      </c>
      <c r="BQ28" s="1611">
        <f t="shared" si="19"/>
        <v>0</v>
      </c>
      <c r="BR28" s="1611">
        <f t="shared" si="19"/>
        <v>5785</v>
      </c>
      <c r="BS28" s="1611">
        <f t="shared" si="19"/>
        <v>0</v>
      </c>
      <c r="BT28" s="1906">
        <f t="shared" si="37"/>
        <v>5785</v>
      </c>
      <c r="BU28" s="37"/>
      <c r="BV28" s="37"/>
      <c r="BW28" s="50"/>
      <c r="BX28" s="1594" t="str">
        <f>AV28</f>
        <v>Buoy 10</v>
      </c>
      <c r="BY28" s="1611">
        <f t="shared" si="38"/>
        <v>0</v>
      </c>
      <c r="BZ28" s="1611">
        <f t="shared" si="38"/>
        <v>0</v>
      </c>
      <c r="CA28" s="1611">
        <f t="shared" si="38"/>
        <v>0</v>
      </c>
      <c r="CB28" s="1611">
        <f t="shared" si="38"/>
        <v>10601</v>
      </c>
      <c r="CC28" s="1611">
        <f t="shared" si="38"/>
        <v>0</v>
      </c>
      <c r="CD28" s="1906">
        <f t="shared" si="39"/>
        <v>10601</v>
      </c>
      <c r="CE28" s="349" t="s">
        <v>5675</v>
      </c>
      <c r="CF28" s="350">
        <f>BT28/0.16+BK28</f>
        <v>40972.25</v>
      </c>
    </row>
    <row r="29" spans="1:93" x14ac:dyDescent="0.2">
      <c r="A29" t="s">
        <v>4282</v>
      </c>
      <c r="B29">
        <f>SUM(FishSumAllPRN!B29)</f>
        <v>0</v>
      </c>
      <c r="C29">
        <f>SUM(FishSumAllPRN!C29)</f>
        <v>4413</v>
      </c>
      <c r="D29">
        <f>SUM(FishSumAllPRN!D29)</f>
        <v>4441</v>
      </c>
      <c r="E29">
        <f>SUM(FishSumAllPRN!E29)</f>
        <v>0</v>
      </c>
      <c r="F29">
        <f>SUM(FishSumAllPRN!F29)</f>
        <v>0</v>
      </c>
      <c r="G29">
        <f>SUM(FishSumAllPRN!G29)</f>
        <v>8854</v>
      </c>
      <c r="H29" s="54" t="s">
        <v>294</v>
      </c>
      <c r="I29" s="54"/>
      <c r="K29" t="s">
        <v>5676</v>
      </c>
      <c r="R29" s="38">
        <f>SUM(B52)</f>
        <v>2101</v>
      </c>
      <c r="S29" s="38">
        <f>SUM(C52)</f>
        <v>5893</v>
      </c>
      <c r="T29" s="38">
        <f>SUM(D52)</f>
        <v>6896</v>
      </c>
      <c r="U29" s="38">
        <f>SUM(E52)</f>
        <v>2581</v>
      </c>
      <c r="V29" s="38">
        <f>SUM(F52)</f>
        <v>0</v>
      </c>
      <c r="Z29">
        <f t="shared" si="11"/>
        <v>17471</v>
      </c>
      <c r="AC29" s="60" t="s">
        <v>5677</v>
      </c>
      <c r="AD29" s="1952"/>
      <c r="AE29" s="1952"/>
      <c r="AF29" s="1952"/>
      <c r="AG29" s="1952"/>
      <c r="AH29" s="1952"/>
      <c r="AI29" s="1952"/>
      <c r="AJ29" s="1952"/>
      <c r="AK29" s="1953">
        <f t="shared" ref="AK29:AS29" si="40">SUM(AK14,AK18,AK24:AK28)</f>
        <v>5893</v>
      </c>
      <c r="AL29" s="1953">
        <f t="shared" si="40"/>
        <v>58018</v>
      </c>
      <c r="AM29" s="1953">
        <f t="shared" si="40"/>
        <v>132920</v>
      </c>
      <c r="AN29" s="1953">
        <f t="shared" si="40"/>
        <v>110170</v>
      </c>
      <c r="AO29" s="1953">
        <f t="shared" si="40"/>
        <v>0</v>
      </c>
      <c r="AP29" s="1953">
        <f t="shared" si="40"/>
        <v>0</v>
      </c>
      <c r="AQ29" s="1953">
        <f t="shared" si="40"/>
        <v>0</v>
      </c>
      <c r="AR29" s="1953">
        <f t="shared" si="40"/>
        <v>0</v>
      </c>
      <c r="AS29" s="1954">
        <f t="shared" si="40"/>
        <v>307001</v>
      </c>
      <c r="AU29" s="60" t="s">
        <v>5677</v>
      </c>
      <c r="AV29" s="1952"/>
      <c r="AW29" s="1955">
        <f t="shared" si="4"/>
        <v>10588</v>
      </c>
      <c r="AX29" s="1955">
        <f t="shared" si="5"/>
        <v>67035</v>
      </c>
      <c r="AY29" s="1955">
        <f t="shared" si="6"/>
        <v>154364</v>
      </c>
      <c r="AZ29" s="1955">
        <f t="shared" si="6"/>
        <v>132461</v>
      </c>
      <c r="BA29" s="1955">
        <f t="shared" si="7"/>
        <v>2</v>
      </c>
      <c r="BB29" s="1956">
        <f t="shared" si="14"/>
        <v>364450</v>
      </c>
      <c r="BC29" s="37"/>
      <c r="BD29" s="60" t="s">
        <v>5677</v>
      </c>
      <c r="BE29" s="1952"/>
      <c r="BF29" s="1957">
        <f t="shared" si="36"/>
        <v>528</v>
      </c>
      <c r="BG29" s="1957">
        <f t="shared" si="36"/>
        <v>4321</v>
      </c>
      <c r="BH29" s="1957">
        <f t="shared" si="36"/>
        <v>10245</v>
      </c>
      <c r="BI29" s="1957">
        <f t="shared" si="36"/>
        <v>9550</v>
      </c>
      <c r="BJ29" s="1957">
        <f t="shared" si="36"/>
        <v>0</v>
      </c>
      <c r="BK29" s="1958">
        <f t="shared" si="17"/>
        <v>24644</v>
      </c>
      <c r="BM29" s="60" t="s">
        <v>5677</v>
      </c>
      <c r="BN29" s="1952"/>
      <c r="BO29" s="1957">
        <f t="shared" si="19"/>
        <v>4167</v>
      </c>
      <c r="BP29" s="1957">
        <f t="shared" si="19"/>
        <v>4696</v>
      </c>
      <c r="BQ29" s="1957">
        <f t="shared" si="19"/>
        <v>11199</v>
      </c>
      <c r="BR29" s="1957">
        <f t="shared" si="19"/>
        <v>12741</v>
      </c>
      <c r="BS29" s="1957">
        <f t="shared" si="19"/>
        <v>2</v>
      </c>
      <c r="BT29" s="1956">
        <f t="shared" si="37"/>
        <v>32805</v>
      </c>
      <c r="BU29" s="37"/>
      <c r="BV29" s="37"/>
      <c r="BW29" s="60" t="s">
        <v>5677</v>
      </c>
      <c r="BX29" s="1952"/>
      <c r="BY29" s="1957">
        <f t="shared" si="38"/>
        <v>4695</v>
      </c>
      <c r="BZ29" s="1957">
        <f t="shared" si="38"/>
        <v>9017</v>
      </c>
      <c r="CA29" s="1957">
        <f t="shared" si="38"/>
        <v>21444</v>
      </c>
      <c r="CB29" s="1957">
        <f t="shared" si="38"/>
        <v>22291</v>
      </c>
      <c r="CC29" s="1957">
        <f t="shared" si="38"/>
        <v>2</v>
      </c>
      <c r="CD29" s="1956">
        <f t="shared" si="39"/>
        <v>57449</v>
      </c>
      <c r="CE29" s="50"/>
      <c r="CF29" s="351"/>
    </row>
    <row r="30" spans="1:93" x14ac:dyDescent="0.2">
      <c r="A30" t="s">
        <v>4283</v>
      </c>
      <c r="B30">
        <f>SUM(FishSumAllPRN!B30)</f>
        <v>7043</v>
      </c>
      <c r="C30">
        <f>SUM(FishSumAllPRN!C30)</f>
        <v>6752</v>
      </c>
      <c r="D30">
        <f>SUM(FishSumAllPRN!D30)</f>
        <v>3333</v>
      </c>
      <c r="E30" s="123">
        <f>SUM(FishSumAllPRN!E30)</f>
        <v>4032</v>
      </c>
      <c r="F30">
        <f>SUM(FishSumAllPRN!F30)</f>
        <v>0</v>
      </c>
      <c r="G30">
        <f>SUM(FishSumAllPRN!G30)</f>
        <v>21160</v>
      </c>
      <c r="H30" s="54" t="s">
        <v>294</v>
      </c>
      <c r="I30" s="54"/>
      <c r="K30" t="s">
        <v>5678</v>
      </c>
      <c r="R30" s="38">
        <f>SUM(B51)</f>
        <v>157</v>
      </c>
      <c r="S30" s="38">
        <f>SUM(C51)</f>
        <v>575</v>
      </c>
      <c r="T30" s="38">
        <f>SUM(D51)</f>
        <v>2422</v>
      </c>
      <c r="U30" s="38">
        <f>SUM(E51)</f>
        <v>1216</v>
      </c>
      <c r="V30" s="38">
        <f>SUM(F51)</f>
        <v>0</v>
      </c>
      <c r="Z30">
        <f t="shared" si="11"/>
        <v>4370</v>
      </c>
      <c r="AC30" s="50"/>
      <c r="AD30" s="37"/>
      <c r="AE30" s="37"/>
      <c r="AF30" s="37"/>
      <c r="AG30" s="37"/>
      <c r="AH30" s="37"/>
      <c r="AI30" s="37"/>
      <c r="AJ30" s="37"/>
      <c r="AS30" s="58"/>
      <c r="AT30" s="38"/>
      <c r="AU30" s="50"/>
      <c r="AV30" s="37"/>
      <c r="AW30" s="180"/>
      <c r="AX30" s="180"/>
      <c r="AY30" s="180"/>
      <c r="AZ30" s="180"/>
      <c r="BA30" s="180"/>
      <c r="BB30" s="1725"/>
      <c r="BC30" s="37"/>
      <c r="BD30" s="50"/>
      <c r="BE30" s="37"/>
      <c r="BF30" s="497"/>
      <c r="BG30" s="497"/>
      <c r="BH30" s="497"/>
      <c r="BI30" s="497"/>
      <c r="BJ30" s="497"/>
      <c r="BK30" s="498"/>
      <c r="BL30" s="38"/>
      <c r="BM30" s="50"/>
      <c r="BN30" s="37"/>
      <c r="BO30" s="180"/>
      <c r="BP30" s="180"/>
      <c r="BQ30" s="180"/>
      <c r="BR30" s="180"/>
      <c r="BS30" s="180"/>
      <c r="BT30" s="1725"/>
      <c r="BU30" s="37"/>
      <c r="BV30" s="37"/>
      <c r="BW30" s="50"/>
      <c r="BX30" s="37"/>
      <c r="BY30" s="180"/>
      <c r="BZ30" s="180"/>
      <c r="CA30" s="180"/>
      <c r="CB30" s="180"/>
      <c r="CC30" s="180"/>
      <c r="CD30" s="1725"/>
      <c r="CE30" s="322"/>
      <c r="CF30" s="351"/>
    </row>
    <row r="31" spans="1:93" x14ac:dyDescent="0.2">
      <c r="A31" t="s">
        <v>4284</v>
      </c>
      <c r="B31">
        <f>SUM(FishSumAllPRN!B31)</f>
        <v>0</v>
      </c>
      <c r="C31">
        <f>SUM(FishSumAllPRN!C31)</f>
        <v>0</v>
      </c>
      <c r="D31">
        <f>SUM(FishSumAllPRN!D31)</f>
        <v>564</v>
      </c>
      <c r="E31">
        <f>SUM(FishSumAllPRN!E31)</f>
        <v>0</v>
      </c>
      <c r="F31">
        <f>SUM(FishSumAllPRN!F31)</f>
        <v>0</v>
      </c>
      <c r="G31">
        <f>SUM(FishSumAllPRN!G31)</f>
        <v>564</v>
      </c>
      <c r="H31" s="54" t="s">
        <v>294</v>
      </c>
      <c r="I31" s="54"/>
      <c r="K31" t="s">
        <v>5679</v>
      </c>
      <c r="R31" s="38">
        <f>SUM(B48)</f>
        <v>0</v>
      </c>
      <c r="S31" s="38">
        <f>SUM(C48)</f>
        <v>13962</v>
      </c>
      <c r="T31" s="38">
        <f>SUM(D48)</f>
        <v>32075</v>
      </c>
      <c r="U31" s="38">
        <f>SUM(E48)</f>
        <v>16123</v>
      </c>
      <c r="V31" s="38">
        <f>SUM(F48)</f>
        <v>0</v>
      </c>
      <c r="Z31">
        <f t="shared" si="11"/>
        <v>62160</v>
      </c>
      <c r="AC31" s="50" t="s">
        <v>5680</v>
      </c>
      <c r="AD31" s="37"/>
      <c r="AE31" s="37"/>
      <c r="AF31" s="37"/>
      <c r="AG31" s="37"/>
      <c r="AH31" s="37"/>
      <c r="AI31" s="37"/>
      <c r="AJ31" s="37"/>
      <c r="AS31" s="58"/>
      <c r="AU31" s="50" t="s">
        <v>5680</v>
      </c>
      <c r="AV31" s="37"/>
      <c r="AW31" s="180"/>
      <c r="AX31" s="180"/>
      <c r="AY31" s="180"/>
      <c r="AZ31" s="180"/>
      <c r="BA31" s="180"/>
      <c r="BB31" s="1725"/>
      <c r="BC31" s="37"/>
      <c r="BD31" s="50" t="s">
        <v>5680</v>
      </c>
      <c r="BE31" s="37"/>
      <c r="BF31" s="497"/>
      <c r="BG31" s="497"/>
      <c r="BH31" s="497"/>
      <c r="BI31" s="497"/>
      <c r="BJ31" s="497"/>
      <c r="BK31" s="498"/>
      <c r="BM31" s="50" t="s">
        <v>5680</v>
      </c>
      <c r="BN31" s="37"/>
      <c r="BO31" s="180"/>
      <c r="BP31" s="180"/>
      <c r="BQ31" s="180"/>
      <c r="BR31" s="180"/>
      <c r="BS31" s="180"/>
      <c r="BT31" s="1725"/>
      <c r="BU31" s="37"/>
      <c r="BV31" s="37"/>
      <c r="BW31" s="50" t="s">
        <v>5680</v>
      </c>
      <c r="BX31" s="37"/>
      <c r="BY31" s="180"/>
      <c r="BZ31" s="180"/>
      <c r="CA31" s="180"/>
      <c r="CB31" s="180"/>
      <c r="CC31" s="180"/>
      <c r="CD31" s="1725"/>
      <c r="CE31" s="50"/>
      <c r="CF31" s="351"/>
    </row>
    <row r="32" spans="1:93" x14ac:dyDescent="0.2">
      <c r="A32" t="s">
        <v>4285</v>
      </c>
      <c r="B32">
        <f>SUM(FishSumAllPRN!B32)</f>
        <v>9251</v>
      </c>
      <c r="C32">
        <f>SUM(FishSumAllPRN!C32)</f>
        <v>10060</v>
      </c>
      <c r="D32">
        <f>SUM(FishSumAllPRN!D32)</f>
        <v>8538</v>
      </c>
      <c r="E32">
        <f>SUM(FishSumAllPRN!E32)</f>
        <v>4212</v>
      </c>
      <c r="F32">
        <f>SUM(FishSumAllPRN!F32)</f>
        <v>0</v>
      </c>
      <c r="G32">
        <f>SUM(FishSumAllPRN!G32)</f>
        <v>32061</v>
      </c>
      <c r="H32" s="54" t="s">
        <v>294</v>
      </c>
      <c r="I32" s="54"/>
      <c r="K32" t="s">
        <v>5681</v>
      </c>
      <c r="R32" s="38">
        <f>SUM(B44)</f>
        <v>3635</v>
      </c>
      <c r="S32" s="38">
        <f>SUM(C44)</f>
        <v>20646</v>
      </c>
      <c r="T32" s="38">
        <f>SUM(D44)</f>
        <v>47436</v>
      </c>
      <c r="U32" s="38">
        <f>SUM(E44)</f>
        <v>12283</v>
      </c>
      <c r="V32" s="38">
        <f>SUM(F44)</f>
        <v>0</v>
      </c>
      <c r="Z32">
        <f t="shared" si="11"/>
        <v>84000</v>
      </c>
      <c r="AC32" s="50" t="s">
        <v>5644</v>
      </c>
      <c r="AD32" s="37"/>
      <c r="AE32" s="37"/>
      <c r="AF32" s="37"/>
      <c r="AG32" s="37"/>
      <c r="AH32" s="37"/>
      <c r="AI32" s="37"/>
      <c r="AJ32" s="37" t="s">
        <v>5682</v>
      </c>
      <c r="AK32">
        <f t="shared" ref="AK32:AN35" si="41">SUM(R20)</f>
        <v>0</v>
      </c>
      <c r="AL32">
        <f t="shared" si="41"/>
        <v>210</v>
      </c>
      <c r="AM32">
        <f t="shared" si="41"/>
        <v>371</v>
      </c>
      <c r="AN32">
        <f t="shared" si="41"/>
        <v>0</v>
      </c>
      <c r="AO32">
        <f t="shared" ref="AO32:AS35" si="42">SUM(V20)</f>
        <v>0</v>
      </c>
      <c r="AP32">
        <f t="shared" si="42"/>
        <v>0</v>
      </c>
      <c r="AQ32">
        <f t="shared" si="42"/>
        <v>0</v>
      </c>
      <c r="AR32">
        <f t="shared" si="42"/>
        <v>0</v>
      </c>
      <c r="AS32" s="58">
        <f t="shared" si="42"/>
        <v>581</v>
      </c>
      <c r="AU32" s="50" t="s">
        <v>5644</v>
      </c>
      <c r="AV32" s="37" t="str">
        <f t="shared" si="3"/>
        <v>Tillmk</v>
      </c>
      <c r="AW32" s="180">
        <f t="shared" si="4"/>
        <v>1097</v>
      </c>
      <c r="AX32" s="180">
        <f t="shared" si="5"/>
        <v>271</v>
      </c>
      <c r="AY32" s="180">
        <f t="shared" si="6"/>
        <v>490</v>
      </c>
      <c r="AZ32" s="180">
        <f t="shared" si="6"/>
        <v>70</v>
      </c>
      <c r="BA32" s="180">
        <f t="shared" si="7"/>
        <v>0</v>
      </c>
      <c r="BB32" s="1725">
        <f t="shared" ref="BB32:BB38" si="43">SUM(AW32:BA32)</f>
        <v>1928</v>
      </c>
      <c r="BC32" s="37"/>
      <c r="BD32" s="50" t="s">
        <v>5644</v>
      </c>
      <c r="BE32" s="37" t="str">
        <f t="shared" ref="BE32:BE38" si="44">AV32</f>
        <v>Tillmk</v>
      </c>
      <c r="BF32" s="497">
        <f t="shared" ref="BF32:BJ38" si="45">AW32-AK32-BO32</f>
        <v>0</v>
      </c>
      <c r="BG32" s="497">
        <f t="shared" si="45"/>
        <v>18</v>
      </c>
      <c r="BH32" s="497">
        <f t="shared" si="45"/>
        <v>34</v>
      </c>
      <c r="BI32" s="497">
        <f t="shared" si="45"/>
        <v>0</v>
      </c>
      <c r="BJ32" s="497">
        <f t="shared" si="45"/>
        <v>0</v>
      </c>
      <c r="BK32" s="498">
        <f t="shared" ref="BK32:BK38" si="46">SUM(BF32:BJ32)</f>
        <v>52</v>
      </c>
      <c r="BM32" s="50" t="s">
        <v>5644</v>
      </c>
      <c r="BN32" s="37" t="str">
        <f t="shared" ref="BN32:BN38" si="47">AV32</f>
        <v>Tillmk</v>
      </c>
      <c r="BO32" s="180">
        <f t="shared" ref="BO32:BS47" si="48">AK453</f>
        <v>1097</v>
      </c>
      <c r="BP32" s="180">
        <f t="shared" si="48"/>
        <v>43</v>
      </c>
      <c r="BQ32" s="180">
        <f t="shared" si="48"/>
        <v>85</v>
      </c>
      <c r="BR32" s="180">
        <f t="shared" si="48"/>
        <v>70</v>
      </c>
      <c r="BS32" s="180">
        <f t="shared" si="48"/>
        <v>0</v>
      </c>
      <c r="BT32" s="1725">
        <f t="shared" ref="BT32:BT38" si="49">SUM(BO32:BS32)</f>
        <v>1295</v>
      </c>
      <c r="BU32" s="37"/>
      <c r="BV32" s="37"/>
      <c r="BW32" s="50" t="s">
        <v>5644</v>
      </c>
      <c r="BX32" s="37" t="str">
        <f t="shared" ref="BX32:BX38" si="50">AV32</f>
        <v>Tillmk</v>
      </c>
      <c r="BY32" s="180">
        <f t="shared" ref="BY32:CC38" si="51">AW32-AK32</f>
        <v>1097</v>
      </c>
      <c r="BZ32" s="180">
        <f t="shared" si="51"/>
        <v>61</v>
      </c>
      <c r="CA32" s="180">
        <f t="shared" si="51"/>
        <v>119</v>
      </c>
      <c r="CB32" s="180">
        <f t="shared" si="51"/>
        <v>70</v>
      </c>
      <c r="CC32" s="180">
        <f t="shared" si="51"/>
        <v>0</v>
      </c>
      <c r="CD32" s="1725">
        <f t="shared" ref="CD32:CD38" si="52">SUM(BY32:CC32)</f>
        <v>1347</v>
      </c>
      <c r="CE32" s="50"/>
      <c r="CF32" s="351"/>
    </row>
    <row r="33" spans="1:84" x14ac:dyDescent="0.2">
      <c r="A33" t="s">
        <v>4286</v>
      </c>
      <c r="B33">
        <f>SUM(FishSumAllPRN!B33)</f>
        <v>0</v>
      </c>
      <c r="C33">
        <f>SUM(FishSumAllPRN!C33)</f>
        <v>210</v>
      </c>
      <c r="D33">
        <f>SUM(FishSumAllPRN!D33)</f>
        <v>371</v>
      </c>
      <c r="E33">
        <f>SUM(FishSumAllPRN!E33)</f>
        <v>0</v>
      </c>
      <c r="F33">
        <f>SUM(FishSumAllPRN!F33)</f>
        <v>0</v>
      </c>
      <c r="G33">
        <f>SUM(FishSumAllPRN!G33)</f>
        <v>581</v>
      </c>
      <c r="H33" s="54" t="s">
        <v>294</v>
      </c>
      <c r="I33" s="54"/>
      <c r="K33" t="s">
        <v>5683</v>
      </c>
      <c r="R33" s="38">
        <f>SUM(B34)</f>
        <v>0</v>
      </c>
      <c r="S33" s="38">
        <f>SUM(C34)</f>
        <v>0</v>
      </c>
      <c r="T33" s="38">
        <f>SUM(D34)</f>
        <v>0</v>
      </c>
      <c r="U33" s="38">
        <f>SUM(E34)</f>
        <v>55000</v>
      </c>
      <c r="V33" s="38">
        <f>SUM(F34)</f>
        <v>0</v>
      </c>
      <c r="Z33">
        <f t="shared" si="11"/>
        <v>55000</v>
      </c>
      <c r="AC33" s="50"/>
      <c r="AD33" s="37"/>
      <c r="AE33" s="37"/>
      <c r="AF33" s="37"/>
      <c r="AG33" s="37"/>
      <c r="AH33" s="37"/>
      <c r="AI33" s="37"/>
      <c r="AJ33" s="37" t="s">
        <v>5684</v>
      </c>
      <c r="AK33">
        <f t="shared" si="41"/>
        <v>0</v>
      </c>
      <c r="AL33">
        <f t="shared" si="41"/>
        <v>4413</v>
      </c>
      <c r="AM33">
        <f t="shared" si="41"/>
        <v>4441</v>
      </c>
      <c r="AN33">
        <f t="shared" si="41"/>
        <v>0</v>
      </c>
      <c r="AO33">
        <f t="shared" si="42"/>
        <v>0</v>
      </c>
      <c r="AP33">
        <f t="shared" si="42"/>
        <v>0</v>
      </c>
      <c r="AQ33">
        <f t="shared" si="42"/>
        <v>0</v>
      </c>
      <c r="AR33">
        <f t="shared" si="42"/>
        <v>0</v>
      </c>
      <c r="AS33" s="58">
        <f t="shared" si="42"/>
        <v>8854</v>
      </c>
      <c r="AU33" s="50"/>
      <c r="AV33" s="37" t="str">
        <f t="shared" si="3"/>
        <v>Newprt</v>
      </c>
      <c r="AW33" s="180">
        <f t="shared" si="4"/>
        <v>3631</v>
      </c>
      <c r="AX33" s="180">
        <f t="shared" si="5"/>
        <v>5831</v>
      </c>
      <c r="AY33" s="180">
        <f t="shared" si="6"/>
        <v>6277</v>
      </c>
      <c r="AZ33" s="180">
        <f t="shared" si="6"/>
        <v>123</v>
      </c>
      <c r="BA33" s="180">
        <f t="shared" si="7"/>
        <v>0</v>
      </c>
      <c r="BB33" s="1725">
        <f t="shared" si="43"/>
        <v>15862</v>
      </c>
      <c r="BC33" s="37"/>
      <c r="BD33" s="50"/>
      <c r="BE33" s="37" t="str">
        <f t="shared" si="44"/>
        <v>Newprt</v>
      </c>
      <c r="BF33" s="497">
        <f t="shared" si="45"/>
        <v>0</v>
      </c>
      <c r="BG33" s="497">
        <f t="shared" si="45"/>
        <v>414</v>
      </c>
      <c r="BH33" s="497">
        <f t="shared" si="45"/>
        <v>482</v>
      </c>
      <c r="BI33" s="497">
        <f t="shared" si="45"/>
        <v>0</v>
      </c>
      <c r="BJ33" s="497">
        <f t="shared" si="45"/>
        <v>0</v>
      </c>
      <c r="BK33" s="498">
        <f t="shared" si="46"/>
        <v>896</v>
      </c>
      <c r="BM33" s="50"/>
      <c r="BN33" s="37" t="str">
        <f t="shared" si="47"/>
        <v>Newprt</v>
      </c>
      <c r="BO33" s="180">
        <f t="shared" si="48"/>
        <v>3631</v>
      </c>
      <c r="BP33" s="180">
        <f t="shared" si="48"/>
        <v>1004</v>
      </c>
      <c r="BQ33" s="180">
        <f t="shared" si="48"/>
        <v>1354</v>
      </c>
      <c r="BR33" s="180">
        <f t="shared" si="48"/>
        <v>123</v>
      </c>
      <c r="BS33" s="180">
        <f t="shared" si="48"/>
        <v>0</v>
      </c>
      <c r="BT33" s="1725">
        <f t="shared" si="49"/>
        <v>6112</v>
      </c>
      <c r="BU33" s="37"/>
      <c r="BV33" s="37"/>
      <c r="BW33" s="50"/>
      <c r="BX33" s="37" t="str">
        <f t="shared" si="50"/>
        <v>Newprt</v>
      </c>
      <c r="BY33" s="180">
        <f t="shared" si="51"/>
        <v>3631</v>
      </c>
      <c r="BZ33" s="180">
        <f t="shared" si="51"/>
        <v>1418</v>
      </c>
      <c r="CA33" s="180">
        <f t="shared" si="51"/>
        <v>1836</v>
      </c>
      <c r="CB33" s="180">
        <f t="shared" si="51"/>
        <v>123</v>
      </c>
      <c r="CC33" s="180">
        <f t="shared" si="51"/>
        <v>0</v>
      </c>
      <c r="CD33" s="1725">
        <f t="shared" si="52"/>
        <v>7008</v>
      </c>
      <c r="CE33" s="50"/>
      <c r="CF33" s="351"/>
    </row>
    <row r="34" spans="1:84" x14ac:dyDescent="0.2">
      <c r="A34" t="s">
        <v>4287</v>
      </c>
      <c r="B34">
        <f>SUM(FishSumAllPRN!B34)</f>
        <v>0</v>
      </c>
      <c r="C34">
        <f>SUM(FishSumAllPRN!C34)</f>
        <v>0</v>
      </c>
      <c r="D34">
        <f>SUM(FishSumAllPRN!D34)</f>
        <v>0</v>
      </c>
      <c r="E34">
        <f>SUM(FishSumAllPRN!E34)</f>
        <v>55000</v>
      </c>
      <c r="F34">
        <f>SUM(FishSumAllPRN!F34)</f>
        <v>0</v>
      </c>
      <c r="G34">
        <f>SUM(FishSumAllPRN!G34)</f>
        <v>55000</v>
      </c>
      <c r="H34" s="54" t="s">
        <v>294</v>
      </c>
      <c r="I34" s="54"/>
      <c r="K34" t="s">
        <v>5685</v>
      </c>
      <c r="R34" s="38">
        <f>SUM(B32)</f>
        <v>9251</v>
      </c>
      <c r="S34" s="38">
        <f>SUM(C32)</f>
        <v>10060</v>
      </c>
      <c r="T34" s="38">
        <f>SUM(D32)</f>
        <v>8538</v>
      </c>
      <c r="U34" s="38">
        <f>SUM(E32)</f>
        <v>4212</v>
      </c>
      <c r="V34" s="38">
        <f>SUM(F32)</f>
        <v>0</v>
      </c>
      <c r="Z34">
        <f t="shared" si="11"/>
        <v>32061</v>
      </c>
      <c r="AC34" s="50"/>
      <c r="AD34" s="37"/>
      <c r="AE34" s="37"/>
      <c r="AF34" s="37"/>
      <c r="AG34" s="37"/>
      <c r="AH34" s="37"/>
      <c r="AI34" s="37"/>
      <c r="AJ34" s="37" t="s">
        <v>5686</v>
      </c>
      <c r="AK34">
        <f t="shared" si="41"/>
        <v>0</v>
      </c>
      <c r="AL34">
        <f t="shared" si="41"/>
        <v>0</v>
      </c>
      <c r="AM34">
        <f t="shared" si="41"/>
        <v>564</v>
      </c>
      <c r="AN34">
        <f t="shared" si="41"/>
        <v>0</v>
      </c>
      <c r="AO34">
        <f t="shared" si="42"/>
        <v>0</v>
      </c>
      <c r="AP34">
        <f t="shared" si="42"/>
        <v>0</v>
      </c>
      <c r="AQ34">
        <f t="shared" si="42"/>
        <v>0</v>
      </c>
      <c r="AR34">
        <f t="shared" si="42"/>
        <v>0</v>
      </c>
      <c r="AS34" s="58">
        <f t="shared" si="42"/>
        <v>564</v>
      </c>
      <c r="AU34" s="50"/>
      <c r="AV34" s="37" t="str">
        <f t="shared" si="3"/>
        <v>Coos B</v>
      </c>
      <c r="AW34" s="180">
        <f t="shared" si="4"/>
        <v>450</v>
      </c>
      <c r="AX34" s="180">
        <f t="shared" si="5"/>
        <v>0</v>
      </c>
      <c r="AY34" s="180">
        <f t="shared" si="6"/>
        <v>895</v>
      </c>
      <c r="AZ34" s="180">
        <f t="shared" si="6"/>
        <v>70</v>
      </c>
      <c r="BA34" s="180">
        <f t="shared" si="7"/>
        <v>0</v>
      </c>
      <c r="BB34" s="1725">
        <f t="shared" si="43"/>
        <v>1415</v>
      </c>
      <c r="BC34" s="37"/>
      <c r="BD34" s="50"/>
      <c r="BE34" s="37" t="str">
        <f t="shared" si="44"/>
        <v>Coos B</v>
      </c>
      <c r="BF34" s="497">
        <f t="shared" si="45"/>
        <v>0</v>
      </c>
      <c r="BG34" s="497">
        <f t="shared" si="45"/>
        <v>0</v>
      </c>
      <c r="BH34" s="497">
        <f t="shared" si="45"/>
        <v>77</v>
      </c>
      <c r="BI34" s="497">
        <f t="shared" si="45"/>
        <v>0</v>
      </c>
      <c r="BJ34" s="497">
        <f t="shared" si="45"/>
        <v>0</v>
      </c>
      <c r="BK34" s="498">
        <f t="shared" si="46"/>
        <v>77</v>
      </c>
      <c r="BM34" s="50"/>
      <c r="BN34" s="37" t="str">
        <f t="shared" si="47"/>
        <v>Coos B</v>
      </c>
      <c r="BO34" s="180">
        <f t="shared" si="48"/>
        <v>450</v>
      </c>
      <c r="BP34" s="180">
        <f t="shared" si="48"/>
        <v>0</v>
      </c>
      <c r="BQ34" s="180">
        <f t="shared" si="48"/>
        <v>254</v>
      </c>
      <c r="BR34" s="180">
        <f t="shared" si="48"/>
        <v>70</v>
      </c>
      <c r="BS34" s="180">
        <f t="shared" si="48"/>
        <v>0</v>
      </c>
      <c r="BT34" s="1725">
        <f t="shared" si="49"/>
        <v>774</v>
      </c>
      <c r="BU34" s="37"/>
      <c r="BV34" s="37"/>
      <c r="BW34" s="50"/>
      <c r="BX34" s="37" t="str">
        <f t="shared" si="50"/>
        <v>Coos B</v>
      </c>
      <c r="BY34" s="180">
        <f t="shared" si="51"/>
        <v>450</v>
      </c>
      <c r="BZ34" s="180">
        <f t="shared" si="51"/>
        <v>0</v>
      </c>
      <c r="CA34" s="180">
        <f t="shared" si="51"/>
        <v>331</v>
      </c>
      <c r="CB34" s="180">
        <f t="shared" si="51"/>
        <v>70</v>
      </c>
      <c r="CC34" s="180">
        <f t="shared" si="51"/>
        <v>0</v>
      </c>
      <c r="CD34" s="1725">
        <f t="shared" si="52"/>
        <v>851</v>
      </c>
      <c r="CE34" s="50"/>
      <c r="CF34" s="351"/>
    </row>
    <row r="35" spans="1:84" x14ac:dyDescent="0.2">
      <c r="A35" t="s">
        <v>4288</v>
      </c>
      <c r="B35">
        <f>SUM(FishSumAllPRN!B35)</f>
        <v>0</v>
      </c>
      <c r="C35">
        <f>SUM(FishSumAllPRN!C35)</f>
        <v>0</v>
      </c>
      <c r="D35">
        <f>SUM(FishSumAllPRN!D35)</f>
        <v>0</v>
      </c>
      <c r="E35">
        <f>SUM(FishSumAllPRN!E35)</f>
        <v>0</v>
      </c>
      <c r="F35">
        <f>SUM(FishSumAllPRN!F35)</f>
        <v>1452</v>
      </c>
      <c r="G35">
        <f>SUM(FishSumAllPRN!G35)</f>
        <v>1452</v>
      </c>
      <c r="H35" s="54" t="s">
        <v>294</v>
      </c>
      <c r="I35" s="54"/>
      <c r="K35" t="s">
        <v>5687</v>
      </c>
      <c r="R35" s="38">
        <f>SUM(B28)</f>
        <v>15461</v>
      </c>
      <c r="S35" s="38">
        <f>SUM(C28)</f>
        <v>15965</v>
      </c>
      <c r="T35" s="38">
        <f>SUM(D28)</f>
        <v>21857</v>
      </c>
      <c r="U35" s="38">
        <f>SUM(E28)</f>
        <v>8756</v>
      </c>
      <c r="V35" s="38">
        <f>SUM(F28)</f>
        <v>0</v>
      </c>
      <c r="Z35">
        <f t="shared" si="11"/>
        <v>62039</v>
      </c>
      <c r="AC35" s="50"/>
      <c r="AD35" s="37"/>
      <c r="AE35" s="37"/>
      <c r="AF35" s="37"/>
      <c r="AG35" s="37"/>
      <c r="AH35" s="37"/>
      <c r="AI35" s="37"/>
      <c r="AJ35" s="37" t="s">
        <v>5688</v>
      </c>
      <c r="AK35">
        <f t="shared" si="41"/>
        <v>0</v>
      </c>
      <c r="AL35">
        <f t="shared" si="41"/>
        <v>0</v>
      </c>
      <c r="AM35">
        <f t="shared" si="41"/>
        <v>0</v>
      </c>
      <c r="AN35">
        <f t="shared" si="41"/>
        <v>0</v>
      </c>
      <c r="AO35">
        <f t="shared" si="42"/>
        <v>0</v>
      </c>
      <c r="AP35">
        <f t="shared" si="42"/>
        <v>0</v>
      </c>
      <c r="AQ35">
        <f t="shared" si="42"/>
        <v>0</v>
      </c>
      <c r="AR35">
        <f t="shared" si="42"/>
        <v>0</v>
      </c>
      <c r="AS35" s="58">
        <f t="shared" si="42"/>
        <v>0</v>
      </c>
      <c r="AU35" s="50"/>
      <c r="AV35" s="37" t="str">
        <f t="shared" si="3"/>
        <v>Brookngs</v>
      </c>
      <c r="AW35" s="180">
        <f t="shared" si="4"/>
        <v>34</v>
      </c>
      <c r="AX35" s="180">
        <f t="shared" si="5"/>
        <v>79</v>
      </c>
      <c r="AY35" s="180">
        <f t="shared" si="6"/>
        <v>3</v>
      </c>
      <c r="AZ35" s="180">
        <f t="shared" si="6"/>
        <v>0</v>
      </c>
      <c r="BA35" s="180">
        <f t="shared" si="7"/>
        <v>0</v>
      </c>
      <c r="BB35" s="1725">
        <f t="shared" si="43"/>
        <v>116</v>
      </c>
      <c r="BC35" s="37"/>
      <c r="BD35" s="50"/>
      <c r="BE35" s="37" t="str">
        <f t="shared" si="44"/>
        <v>Brookngs</v>
      </c>
      <c r="BF35" s="497">
        <f t="shared" si="45"/>
        <v>0</v>
      </c>
      <c r="BG35" s="497">
        <f t="shared" si="45"/>
        <v>0</v>
      </c>
      <c r="BH35" s="497">
        <f t="shared" si="45"/>
        <v>0</v>
      </c>
      <c r="BI35" s="497">
        <f t="shared" si="45"/>
        <v>0</v>
      </c>
      <c r="BJ35" s="497">
        <f t="shared" si="45"/>
        <v>0</v>
      </c>
      <c r="BK35" s="498">
        <f t="shared" si="46"/>
        <v>0</v>
      </c>
      <c r="BM35" s="50"/>
      <c r="BN35" s="37" t="str">
        <f t="shared" si="47"/>
        <v>Brookngs</v>
      </c>
      <c r="BO35" s="180">
        <f t="shared" si="48"/>
        <v>34</v>
      </c>
      <c r="BP35" s="180">
        <f t="shared" si="48"/>
        <v>79</v>
      </c>
      <c r="BQ35" s="180">
        <f t="shared" si="48"/>
        <v>3</v>
      </c>
      <c r="BR35" s="180">
        <f t="shared" si="48"/>
        <v>0</v>
      </c>
      <c r="BS35" s="180">
        <f t="shared" si="48"/>
        <v>0</v>
      </c>
      <c r="BT35" s="1725">
        <f t="shared" si="49"/>
        <v>116</v>
      </c>
      <c r="BU35" s="37"/>
      <c r="BV35" s="37"/>
      <c r="BW35" s="50"/>
      <c r="BX35" s="37" t="str">
        <f t="shared" si="50"/>
        <v>Brookngs</v>
      </c>
      <c r="BY35" s="180">
        <f t="shared" si="51"/>
        <v>34</v>
      </c>
      <c r="BZ35" s="180">
        <f t="shared" si="51"/>
        <v>79</v>
      </c>
      <c r="CA35" s="180">
        <f t="shared" si="51"/>
        <v>3</v>
      </c>
      <c r="CB35" s="180">
        <f t="shared" si="51"/>
        <v>0</v>
      </c>
      <c r="CC35" s="180">
        <f t="shared" si="51"/>
        <v>0</v>
      </c>
      <c r="CD35" s="1725">
        <f t="shared" si="52"/>
        <v>116</v>
      </c>
      <c r="CE35" s="50"/>
      <c r="CF35" s="351"/>
    </row>
    <row r="36" spans="1:84" x14ac:dyDescent="0.2">
      <c r="A36" t="s">
        <v>4289</v>
      </c>
      <c r="B36">
        <f>SUM(FishSumAllPRN!B36)</f>
        <v>0</v>
      </c>
      <c r="C36">
        <f>SUM(FishSumAllPRN!C36)</f>
        <v>0</v>
      </c>
      <c r="D36">
        <f>SUM(FishSumAllPRN!D36)</f>
        <v>0</v>
      </c>
      <c r="E36">
        <f>SUM(FishSumAllPRN!E36)</f>
        <v>0</v>
      </c>
      <c r="F36">
        <f>SUM(FishSumAllPRN!F36)</f>
        <v>242881</v>
      </c>
      <c r="G36">
        <f>SUM(FishSumAllPRN!G36)</f>
        <v>242881</v>
      </c>
      <c r="H36" s="54" t="s">
        <v>294</v>
      </c>
      <c r="I36" s="54"/>
      <c r="K36" t="s">
        <v>5689</v>
      </c>
      <c r="R36" s="38">
        <f>SUM(B30)</f>
        <v>7043</v>
      </c>
      <c r="S36" s="38">
        <f>SUM(C30)</f>
        <v>6752</v>
      </c>
      <c r="T36" s="38">
        <f>SUM(D30)</f>
        <v>3333</v>
      </c>
      <c r="U36" s="38">
        <f>SUM(E30)</f>
        <v>4032</v>
      </c>
      <c r="V36" s="38">
        <f>SUM(F30)</f>
        <v>0</v>
      </c>
      <c r="Z36">
        <f t="shared" si="11"/>
        <v>21160</v>
      </c>
      <c r="AC36" s="50"/>
      <c r="AD36" s="37"/>
      <c r="AE36" s="37"/>
      <c r="AF36" s="37"/>
      <c r="AG36" s="37"/>
      <c r="AH36" s="37"/>
      <c r="AI36" s="37"/>
      <c r="AJ36" s="37" t="s">
        <v>5690</v>
      </c>
      <c r="AK36">
        <f>SUM(R24,R25)</f>
        <v>0</v>
      </c>
      <c r="AL36">
        <f>SUM(S24,S25)</f>
        <v>0</v>
      </c>
      <c r="AM36">
        <f>SUM(T24,T25)</f>
        <v>0</v>
      </c>
      <c r="AN36">
        <f>SUM(U24,U25)</f>
        <v>0</v>
      </c>
      <c r="AO36">
        <f>SUM(V24,V25)</f>
        <v>0</v>
      </c>
      <c r="AP36">
        <f>SUM(W24)</f>
        <v>0</v>
      </c>
      <c r="AQ36">
        <f>SUM(X24)</f>
        <v>0</v>
      </c>
      <c r="AR36">
        <f>SUM(Y24)</f>
        <v>0</v>
      </c>
      <c r="AS36" s="152">
        <f>SUM(Z24,Z25)</f>
        <v>0</v>
      </c>
      <c r="AU36" s="50"/>
      <c r="AV36" s="37" t="str">
        <f t="shared" si="3"/>
        <v>CaKMZ</v>
      </c>
      <c r="AW36" s="180">
        <f t="shared" si="4"/>
        <v>0</v>
      </c>
      <c r="AX36" s="180">
        <f t="shared" si="5"/>
        <v>0</v>
      </c>
      <c r="AY36" s="180">
        <f t="shared" si="6"/>
        <v>0</v>
      </c>
      <c r="AZ36" s="180">
        <f t="shared" si="6"/>
        <v>0</v>
      </c>
      <c r="BA36" s="180">
        <f t="shared" si="7"/>
        <v>0</v>
      </c>
      <c r="BB36" s="1725">
        <f t="shared" si="43"/>
        <v>0</v>
      </c>
      <c r="BC36" s="37"/>
      <c r="BD36" s="50"/>
      <c r="BE36" s="37" t="str">
        <f t="shared" si="44"/>
        <v>CaKMZ</v>
      </c>
      <c r="BF36" s="497">
        <f t="shared" si="45"/>
        <v>0</v>
      </c>
      <c r="BG36" s="497">
        <f t="shared" si="45"/>
        <v>0</v>
      </c>
      <c r="BH36" s="497">
        <f t="shared" si="45"/>
        <v>0</v>
      </c>
      <c r="BI36" s="497">
        <f t="shared" si="45"/>
        <v>0</v>
      </c>
      <c r="BJ36" s="497">
        <f t="shared" si="45"/>
        <v>0</v>
      </c>
      <c r="BK36" s="498">
        <f t="shared" si="46"/>
        <v>0</v>
      </c>
      <c r="BM36" s="50"/>
      <c r="BN36" s="37" t="str">
        <f t="shared" si="47"/>
        <v>CaKMZ</v>
      </c>
      <c r="BO36" s="180">
        <f t="shared" si="48"/>
        <v>0</v>
      </c>
      <c r="BP36" s="180">
        <f t="shared" si="48"/>
        <v>0</v>
      </c>
      <c r="BQ36" s="180">
        <f t="shared" si="48"/>
        <v>0</v>
      </c>
      <c r="BR36" s="180">
        <f t="shared" si="48"/>
        <v>0</v>
      </c>
      <c r="BS36" s="180">
        <f t="shared" si="48"/>
        <v>0</v>
      </c>
      <c r="BT36" s="1725">
        <f t="shared" si="49"/>
        <v>0</v>
      </c>
      <c r="BU36" s="37"/>
      <c r="BV36" s="37"/>
      <c r="BW36" s="50"/>
      <c r="BX36" s="37" t="str">
        <f t="shared" si="50"/>
        <v>CaKMZ</v>
      </c>
      <c r="BY36" s="180">
        <f t="shared" si="51"/>
        <v>0</v>
      </c>
      <c r="BZ36" s="180">
        <f t="shared" si="51"/>
        <v>0</v>
      </c>
      <c r="CA36" s="180">
        <f t="shared" si="51"/>
        <v>0</v>
      </c>
      <c r="CB36" s="180">
        <f t="shared" si="51"/>
        <v>0</v>
      </c>
      <c r="CC36" s="180">
        <f t="shared" si="51"/>
        <v>0</v>
      </c>
      <c r="CD36" s="1725">
        <f t="shared" si="52"/>
        <v>0</v>
      </c>
      <c r="CE36" s="50"/>
      <c r="CF36" s="351"/>
    </row>
    <row r="37" spans="1:84" x14ac:dyDescent="0.2">
      <c r="A37" t="s">
        <v>4290</v>
      </c>
      <c r="B37">
        <f>SUM(FishSumAllPRN!B37)</f>
        <v>0</v>
      </c>
      <c r="C37">
        <f>SUM(FishSumAllPRN!C37)</f>
        <v>0</v>
      </c>
      <c r="D37">
        <f>SUM(FishSumAllPRN!D37)</f>
        <v>0</v>
      </c>
      <c r="E37">
        <f>SUM(FishSumAllPRN!E37)</f>
        <v>0</v>
      </c>
      <c r="F37">
        <f>SUM(FishSumAllPRN!F37)</f>
        <v>48130</v>
      </c>
      <c r="G37">
        <f>SUM(FishSumAllPRN!G37)</f>
        <v>48130</v>
      </c>
      <c r="H37" s="54" t="s">
        <v>294</v>
      </c>
      <c r="I37" s="54"/>
      <c r="K37" t="s">
        <v>5691</v>
      </c>
      <c r="R37" s="38">
        <f>SUM(B26)</f>
        <v>1057</v>
      </c>
      <c r="S37" s="38">
        <f>SUM(C26)</f>
        <v>380</v>
      </c>
      <c r="T37" s="38">
        <f>SUM(D26)</f>
        <v>302</v>
      </c>
      <c r="U37" s="38">
        <f>SUM(E26)</f>
        <v>0</v>
      </c>
      <c r="V37" s="38">
        <f>SUM(F26)</f>
        <v>0</v>
      </c>
      <c r="Z37">
        <f t="shared" si="11"/>
        <v>1739</v>
      </c>
      <c r="AC37" s="50"/>
      <c r="AD37" s="37"/>
      <c r="AE37" s="37"/>
      <c r="AF37" s="37"/>
      <c r="AG37" s="37"/>
      <c r="AH37" s="37"/>
      <c r="AI37" s="37"/>
      <c r="AJ37" s="37" t="s">
        <v>5692</v>
      </c>
      <c r="AK37">
        <f t="shared" ref="AK37:AN38" si="53">SUM(R26)</f>
        <v>0</v>
      </c>
      <c r="AL37">
        <f t="shared" si="53"/>
        <v>0</v>
      </c>
      <c r="AM37">
        <f t="shared" si="53"/>
        <v>0</v>
      </c>
      <c r="AN37">
        <f t="shared" si="53"/>
        <v>0</v>
      </c>
      <c r="AO37">
        <f t="shared" ref="AO37:AS38" si="54">SUM(V26)</f>
        <v>0</v>
      </c>
      <c r="AP37">
        <f t="shared" si="54"/>
        <v>0</v>
      </c>
      <c r="AQ37">
        <f t="shared" si="54"/>
        <v>0</v>
      </c>
      <c r="AR37">
        <f t="shared" si="54"/>
        <v>0</v>
      </c>
      <c r="AS37" s="58">
        <f t="shared" si="54"/>
        <v>0</v>
      </c>
      <c r="AU37" s="50"/>
      <c r="AV37" s="37" t="str">
        <f t="shared" si="3"/>
        <v>Ft Bragg</v>
      </c>
      <c r="AW37" s="180">
        <f t="shared" si="4"/>
        <v>0</v>
      </c>
      <c r="AX37" s="180">
        <f t="shared" si="5"/>
        <v>249</v>
      </c>
      <c r="AY37" s="180">
        <f t="shared" si="6"/>
        <v>54</v>
      </c>
      <c r="AZ37" s="180">
        <f t="shared" si="6"/>
        <v>0</v>
      </c>
      <c r="BA37" s="180">
        <f t="shared" si="7"/>
        <v>0</v>
      </c>
      <c r="BB37" s="1725">
        <f t="shared" si="43"/>
        <v>303</v>
      </c>
      <c r="BC37" s="37"/>
      <c r="BD37" s="50"/>
      <c r="BE37" s="37" t="str">
        <f t="shared" si="44"/>
        <v>Ft Bragg</v>
      </c>
      <c r="BF37" s="497">
        <f t="shared" si="45"/>
        <v>0</v>
      </c>
      <c r="BG37" s="497">
        <f t="shared" si="45"/>
        <v>0</v>
      </c>
      <c r="BH37" s="497">
        <f t="shared" si="45"/>
        <v>0</v>
      </c>
      <c r="BI37" s="497">
        <f t="shared" si="45"/>
        <v>0</v>
      </c>
      <c r="BJ37" s="497">
        <f t="shared" si="45"/>
        <v>0</v>
      </c>
      <c r="BK37" s="498">
        <f t="shared" si="46"/>
        <v>0</v>
      </c>
      <c r="BM37" s="50"/>
      <c r="BN37" s="37" t="str">
        <f t="shared" si="47"/>
        <v>Ft Bragg</v>
      </c>
      <c r="BO37" s="180">
        <f t="shared" si="48"/>
        <v>0</v>
      </c>
      <c r="BP37" s="180">
        <f t="shared" si="48"/>
        <v>249</v>
      </c>
      <c r="BQ37" s="180">
        <f t="shared" si="48"/>
        <v>54</v>
      </c>
      <c r="BR37" s="180">
        <f t="shared" si="48"/>
        <v>0</v>
      </c>
      <c r="BS37" s="180">
        <f t="shared" si="48"/>
        <v>0</v>
      </c>
      <c r="BT37" s="1725">
        <f t="shared" si="49"/>
        <v>303</v>
      </c>
      <c r="BU37" s="37"/>
      <c r="BV37" s="37"/>
      <c r="BW37" s="50"/>
      <c r="BX37" s="37" t="str">
        <f t="shared" si="50"/>
        <v>Ft Bragg</v>
      </c>
      <c r="BY37" s="180">
        <f t="shared" si="51"/>
        <v>0</v>
      </c>
      <c r="BZ37" s="180">
        <f t="shared" si="51"/>
        <v>249</v>
      </c>
      <c r="CA37" s="180">
        <f t="shared" si="51"/>
        <v>54</v>
      </c>
      <c r="CB37" s="180">
        <f t="shared" si="51"/>
        <v>0</v>
      </c>
      <c r="CC37" s="180">
        <f t="shared" si="51"/>
        <v>0</v>
      </c>
      <c r="CD37" s="1725">
        <f t="shared" si="52"/>
        <v>303</v>
      </c>
      <c r="CE37" s="50"/>
      <c r="CF37" s="351"/>
    </row>
    <row r="38" spans="1:84" x14ac:dyDescent="0.2">
      <c r="A38" t="s">
        <v>4291</v>
      </c>
      <c r="B38">
        <f>SUM(FishSumAllPRN!B38)</f>
        <v>0</v>
      </c>
      <c r="C38">
        <f>SUM(FishSumAllPRN!C38)</f>
        <v>0</v>
      </c>
      <c r="D38">
        <f>SUM(FishSumAllPRN!D38)</f>
        <v>0</v>
      </c>
      <c r="E38">
        <f>SUM(FishSumAllPRN!E38)</f>
        <v>0</v>
      </c>
      <c r="F38">
        <f>SUM(FishSumAllPRN!F38)</f>
        <v>5084</v>
      </c>
      <c r="G38">
        <f>SUM(FishSumAllPRN!G38)</f>
        <v>5084</v>
      </c>
      <c r="H38" s="54" t="s">
        <v>294</v>
      </c>
      <c r="I38" s="54"/>
      <c r="K38" t="s">
        <v>5693</v>
      </c>
      <c r="R38">
        <f>SUM(B16*0.5)</f>
        <v>0</v>
      </c>
      <c r="S38">
        <f>SUM(C16*0.5)</f>
        <v>0</v>
      </c>
      <c r="T38">
        <f>SUM(D16*0.5)</f>
        <v>0</v>
      </c>
      <c r="U38">
        <f>SUM(E16*0.5)</f>
        <v>0</v>
      </c>
      <c r="V38">
        <f>SUM(F16*0.5)</f>
        <v>0</v>
      </c>
      <c r="Z38">
        <f t="shared" si="11"/>
        <v>0</v>
      </c>
      <c r="AC38" s="50"/>
      <c r="AD38" s="37"/>
      <c r="AE38" s="37"/>
      <c r="AF38" s="37"/>
      <c r="AG38" s="37"/>
      <c r="AH38" s="37"/>
      <c r="AI38" s="37"/>
      <c r="AJ38" s="37" t="s">
        <v>5694</v>
      </c>
      <c r="AK38">
        <f t="shared" si="53"/>
        <v>0</v>
      </c>
      <c r="AL38">
        <f t="shared" si="53"/>
        <v>0</v>
      </c>
      <c r="AM38">
        <f t="shared" si="53"/>
        <v>0</v>
      </c>
      <c r="AN38">
        <f t="shared" si="53"/>
        <v>0</v>
      </c>
      <c r="AO38">
        <f t="shared" si="54"/>
        <v>0</v>
      </c>
      <c r="AP38">
        <f t="shared" si="54"/>
        <v>0</v>
      </c>
      <c r="AQ38">
        <f t="shared" si="54"/>
        <v>0</v>
      </c>
      <c r="AR38">
        <f t="shared" si="54"/>
        <v>0</v>
      </c>
      <c r="AS38" s="58">
        <f t="shared" si="54"/>
        <v>0</v>
      </c>
      <c r="AU38" s="50"/>
      <c r="AV38" s="37" t="str">
        <f t="shared" si="3"/>
        <v>So. Calif</v>
      </c>
      <c r="AW38" s="180">
        <f t="shared" si="4"/>
        <v>409</v>
      </c>
      <c r="AX38" s="180">
        <f t="shared" si="5"/>
        <v>51</v>
      </c>
      <c r="AY38" s="180">
        <f t="shared" si="6"/>
        <v>14</v>
      </c>
      <c r="AZ38" s="180">
        <f t="shared" si="6"/>
        <v>23</v>
      </c>
      <c r="BA38" s="180">
        <f t="shared" si="7"/>
        <v>0</v>
      </c>
      <c r="BB38" s="1725">
        <f t="shared" si="43"/>
        <v>497</v>
      </c>
      <c r="BC38" s="37"/>
      <c r="BD38" s="50"/>
      <c r="BE38" s="37" t="str">
        <f t="shared" si="44"/>
        <v>So. Calif</v>
      </c>
      <c r="BF38" s="497">
        <f t="shared" si="45"/>
        <v>0</v>
      </c>
      <c r="BG38" s="497">
        <f t="shared" si="45"/>
        <v>0</v>
      </c>
      <c r="BH38" s="497">
        <f t="shared" si="45"/>
        <v>0</v>
      </c>
      <c r="BI38" s="497">
        <f t="shared" si="45"/>
        <v>0</v>
      </c>
      <c r="BJ38" s="497">
        <f t="shared" si="45"/>
        <v>0</v>
      </c>
      <c r="BK38" s="498">
        <f t="shared" si="46"/>
        <v>0</v>
      </c>
      <c r="BL38" s="180"/>
      <c r="BM38" s="50"/>
      <c r="BN38" s="37" t="str">
        <f t="shared" si="47"/>
        <v>So. Calif</v>
      </c>
      <c r="BO38" s="180">
        <f t="shared" si="48"/>
        <v>409</v>
      </c>
      <c r="BP38" s="180">
        <f t="shared" si="48"/>
        <v>51</v>
      </c>
      <c r="BQ38" s="180">
        <f t="shared" si="48"/>
        <v>14</v>
      </c>
      <c r="BR38" s="180">
        <f t="shared" si="48"/>
        <v>23</v>
      </c>
      <c r="BS38" s="180">
        <f t="shared" si="48"/>
        <v>0</v>
      </c>
      <c r="BT38" s="1725">
        <f t="shared" si="49"/>
        <v>497</v>
      </c>
      <c r="BU38" s="37"/>
      <c r="BV38" s="37"/>
      <c r="BW38" s="50"/>
      <c r="BX38" s="37" t="str">
        <f t="shared" si="50"/>
        <v>So. Calif</v>
      </c>
      <c r="BY38" s="180">
        <f t="shared" si="51"/>
        <v>409</v>
      </c>
      <c r="BZ38" s="180">
        <f t="shared" si="51"/>
        <v>51</v>
      </c>
      <c r="CA38" s="180">
        <f t="shared" si="51"/>
        <v>14</v>
      </c>
      <c r="CB38" s="180">
        <f t="shared" si="51"/>
        <v>23</v>
      </c>
      <c r="CC38" s="180">
        <f t="shared" si="51"/>
        <v>0</v>
      </c>
      <c r="CD38" s="1725">
        <f t="shared" si="52"/>
        <v>497</v>
      </c>
      <c r="CE38" s="349" t="s">
        <v>5695</v>
      </c>
      <c r="CF38" s="350">
        <f>SUM(BT32:BT38)/0.26+SUM(BK32:BK38)</f>
        <v>36013.461538461539</v>
      </c>
    </row>
    <row r="39" spans="1:84" x14ac:dyDescent="0.2">
      <c r="A39" t="s">
        <v>4292</v>
      </c>
      <c r="B39">
        <f>SUM(FishSumAllPRN!B39)</f>
        <v>0</v>
      </c>
      <c r="C39">
        <f>SUM(FishSumAllPRN!C39)</f>
        <v>0</v>
      </c>
      <c r="D39">
        <f>SUM(FishSumAllPRN!D39)</f>
        <v>0</v>
      </c>
      <c r="E39">
        <f>SUM(FishSumAllPRN!E39)</f>
        <v>0</v>
      </c>
      <c r="F39">
        <f>SUM(FishSumAllPRN!F39)</f>
        <v>1441</v>
      </c>
      <c r="G39">
        <f>SUM(FishSumAllPRN!G39)</f>
        <v>1441</v>
      </c>
      <c r="H39" s="54" t="s">
        <v>294</v>
      </c>
      <c r="I39" s="54"/>
      <c r="K39" t="s">
        <v>5696</v>
      </c>
      <c r="R39">
        <f>SUM(B16*0.5)</f>
        <v>0</v>
      </c>
      <c r="S39">
        <f>SUM(C16*0.5)</f>
        <v>0</v>
      </c>
      <c r="T39">
        <f>SUM(D16*0.5)</f>
        <v>0</v>
      </c>
      <c r="U39">
        <f>SUM(E16*0.5)</f>
        <v>0</v>
      </c>
      <c r="V39">
        <f>SUM(F16*0.5)</f>
        <v>0</v>
      </c>
      <c r="Z39">
        <f t="shared" si="11"/>
        <v>0</v>
      </c>
      <c r="AC39" s="50"/>
      <c r="AD39" s="37"/>
      <c r="AE39" s="37"/>
      <c r="AF39" s="37"/>
      <c r="AG39" s="37"/>
      <c r="AH39" s="37"/>
      <c r="AI39" s="37"/>
      <c r="AJ39" s="37"/>
      <c r="AS39" s="58"/>
      <c r="AU39" s="50"/>
      <c r="AV39" s="37"/>
      <c r="AW39" s="180"/>
      <c r="AX39" s="180"/>
      <c r="AY39" s="180"/>
      <c r="AZ39" s="180"/>
      <c r="BA39" s="180"/>
      <c r="BB39" s="1725"/>
      <c r="BC39" s="37"/>
      <c r="BD39" s="50"/>
      <c r="BE39" s="37"/>
      <c r="BF39" s="497"/>
      <c r="BG39" s="497"/>
      <c r="BH39" s="497"/>
      <c r="BI39" s="497"/>
      <c r="BJ39" s="497"/>
      <c r="BK39" s="498"/>
      <c r="BM39" s="50"/>
      <c r="BN39" s="37"/>
      <c r="BO39" s="180">
        <f t="shared" si="48"/>
        <v>0</v>
      </c>
      <c r="BP39" s="180">
        <f t="shared" si="48"/>
        <v>0</v>
      </c>
      <c r="BQ39" s="180">
        <f t="shared" si="48"/>
        <v>0</v>
      </c>
      <c r="BR39" s="180">
        <f t="shared" si="48"/>
        <v>0</v>
      </c>
      <c r="BS39" s="180">
        <f t="shared" si="48"/>
        <v>0</v>
      </c>
      <c r="BT39" s="1725"/>
      <c r="BU39" s="37"/>
      <c r="BV39" s="37"/>
      <c r="BW39" s="50"/>
      <c r="BX39" s="37"/>
      <c r="BY39" s="180"/>
      <c r="BZ39" s="180"/>
      <c r="CA39" s="180"/>
      <c r="CB39" s="180"/>
      <c r="CC39" s="180"/>
      <c r="CD39" s="1725"/>
      <c r="CE39" s="50"/>
      <c r="CF39" s="351"/>
    </row>
    <row r="40" spans="1:84" x14ac:dyDescent="0.2">
      <c r="A40" t="s">
        <v>4293</v>
      </c>
      <c r="B40">
        <f>SUM(FishSumAllPRN!B40)</f>
        <v>0</v>
      </c>
      <c r="C40">
        <f>SUM(FishSumAllPRN!C40)</f>
        <v>0</v>
      </c>
      <c r="D40">
        <f>SUM(FishSumAllPRN!D40)</f>
        <v>0</v>
      </c>
      <c r="E40">
        <f>SUM(FishSumAllPRN!E40)</f>
        <v>0</v>
      </c>
      <c r="F40">
        <f>SUM(FishSumAllPRN!F40)</f>
        <v>2399</v>
      </c>
      <c r="G40">
        <f>SUM(FishSumAllPRN!G40)</f>
        <v>2399</v>
      </c>
      <c r="H40" s="54" t="s">
        <v>294</v>
      </c>
      <c r="I40" s="54"/>
      <c r="K40" t="s">
        <v>5697</v>
      </c>
      <c r="R40" s="38">
        <f>SUM(B14)</f>
        <v>0</v>
      </c>
      <c r="S40" s="38">
        <f>SUM(C14)</f>
        <v>0</v>
      </c>
      <c r="T40" s="38">
        <f>SUM(D14)</f>
        <v>0</v>
      </c>
      <c r="U40" s="38">
        <f>SUM(E14)</f>
        <v>0</v>
      </c>
      <c r="V40" s="38">
        <f>SUM(F14)</f>
        <v>0</v>
      </c>
      <c r="Z40">
        <f t="shared" si="11"/>
        <v>0</v>
      </c>
      <c r="AC40" s="50" t="s">
        <v>5663</v>
      </c>
      <c r="AD40" s="37"/>
      <c r="AE40" s="37"/>
      <c r="AF40" s="37"/>
      <c r="AG40" s="37"/>
      <c r="AH40" s="37"/>
      <c r="AI40" s="37"/>
      <c r="AJ40" s="37" t="s">
        <v>5682</v>
      </c>
      <c r="AK40">
        <f t="shared" ref="AK40:AN43" si="55">SUM(R34)</f>
        <v>9251</v>
      </c>
      <c r="AL40">
        <f t="shared" si="55"/>
        <v>10060</v>
      </c>
      <c r="AM40">
        <f t="shared" si="55"/>
        <v>8538</v>
      </c>
      <c r="AN40">
        <f t="shared" si="55"/>
        <v>4212</v>
      </c>
      <c r="AO40">
        <f t="shared" ref="AO40:AS43" si="56">SUM(V34)</f>
        <v>0</v>
      </c>
      <c r="AP40">
        <f t="shared" si="56"/>
        <v>0</v>
      </c>
      <c r="AQ40">
        <f t="shared" si="56"/>
        <v>0</v>
      </c>
      <c r="AR40">
        <f t="shared" si="56"/>
        <v>0</v>
      </c>
      <c r="AS40" s="58">
        <f t="shared" si="56"/>
        <v>32061</v>
      </c>
      <c r="AU40" s="50" t="s">
        <v>5663</v>
      </c>
      <c r="AV40" s="37" t="str">
        <f t="shared" si="3"/>
        <v>Tillmk</v>
      </c>
      <c r="AW40" s="180">
        <f t="shared" si="4"/>
        <v>10765</v>
      </c>
      <c r="AX40" s="180">
        <f t="shared" si="5"/>
        <v>12012</v>
      </c>
      <c r="AY40" s="180">
        <f t="shared" si="6"/>
        <v>10723</v>
      </c>
      <c r="AZ40" s="180">
        <f t="shared" si="6"/>
        <v>4536</v>
      </c>
      <c r="BA40" s="180">
        <f t="shared" si="7"/>
        <v>0</v>
      </c>
      <c r="BB40" s="1725">
        <f t="shared" ref="BB40:BB47" si="57">SUM(AW40:BA40)</f>
        <v>38036</v>
      </c>
      <c r="BC40" s="37"/>
      <c r="BD40" s="50" t="s">
        <v>5663</v>
      </c>
      <c r="BE40" s="37" t="str">
        <f t="shared" ref="BE40:BE46" si="58">AV40</f>
        <v>Tillmk</v>
      </c>
      <c r="BF40" s="497">
        <f t="shared" ref="BF40:BJ47" si="59">AW40-AK40-BO40</f>
        <v>730</v>
      </c>
      <c r="BG40" s="497">
        <f t="shared" si="59"/>
        <v>884</v>
      </c>
      <c r="BH40" s="497">
        <f t="shared" si="59"/>
        <v>873</v>
      </c>
      <c r="BI40" s="497">
        <f t="shared" si="59"/>
        <v>211</v>
      </c>
      <c r="BJ40" s="497">
        <f t="shared" si="59"/>
        <v>0</v>
      </c>
      <c r="BK40" s="498">
        <f t="shared" ref="BK40:BK47" si="60">SUM(BF40:BJ40)</f>
        <v>2698</v>
      </c>
      <c r="BM40" s="50" t="s">
        <v>5663</v>
      </c>
      <c r="BN40" s="37" t="str">
        <f t="shared" ref="BN40:BN46" si="61">AV40</f>
        <v>Tillmk</v>
      </c>
      <c r="BO40" s="180">
        <f t="shared" si="48"/>
        <v>784</v>
      </c>
      <c r="BP40" s="180">
        <f t="shared" si="48"/>
        <v>1068</v>
      </c>
      <c r="BQ40" s="180">
        <f t="shared" si="48"/>
        <v>1312</v>
      </c>
      <c r="BR40" s="180">
        <f t="shared" si="48"/>
        <v>113</v>
      </c>
      <c r="BS40" s="180">
        <f t="shared" si="48"/>
        <v>0</v>
      </c>
      <c r="BT40" s="1725">
        <f t="shared" ref="BT40:BT47" si="62">SUM(BO40:BS40)</f>
        <v>3277</v>
      </c>
      <c r="BU40" s="37"/>
      <c r="BV40" s="37"/>
      <c r="BW40" s="50" t="s">
        <v>5663</v>
      </c>
      <c r="BX40" s="37" t="str">
        <f t="shared" ref="BX40:BX46" si="63">AV40</f>
        <v>Tillmk</v>
      </c>
      <c r="BY40" s="180">
        <f t="shared" ref="BY40:CC47" si="64">AW40-AK40</f>
        <v>1514</v>
      </c>
      <c r="BZ40" s="180">
        <f t="shared" si="64"/>
        <v>1952</v>
      </c>
      <c r="CA40" s="180">
        <f t="shared" si="64"/>
        <v>2185</v>
      </c>
      <c r="CB40" s="180">
        <f t="shared" si="64"/>
        <v>324</v>
      </c>
      <c r="CC40" s="180">
        <f t="shared" si="64"/>
        <v>0</v>
      </c>
      <c r="CD40" s="1725">
        <f t="shared" ref="CD40:CD47" si="65">SUM(BY40:CC40)</f>
        <v>5975</v>
      </c>
      <c r="CE40" s="50"/>
      <c r="CF40" s="351"/>
    </row>
    <row r="41" spans="1:84" x14ac:dyDescent="0.2">
      <c r="A41" t="s">
        <v>4294</v>
      </c>
      <c r="B41">
        <f>SUM(FishSumAllPRN!B41)</f>
        <v>0</v>
      </c>
      <c r="C41">
        <f>SUM(FishSumAllPRN!C41)</f>
        <v>0</v>
      </c>
      <c r="D41">
        <f>SUM(FishSumAllPRN!D41)</f>
        <v>0</v>
      </c>
      <c r="E41">
        <f>SUM(FishSumAllPRN!E41)</f>
        <v>0</v>
      </c>
      <c r="F41">
        <f>SUM(FishSumAllPRN!F41)</f>
        <v>10897</v>
      </c>
      <c r="G41">
        <f>SUM(FishSumAllPRN!G41)</f>
        <v>10897</v>
      </c>
      <c r="H41" s="54" t="s">
        <v>294</v>
      </c>
      <c r="I41" s="54"/>
      <c r="K41" t="s">
        <v>5698</v>
      </c>
      <c r="R41" s="38">
        <f>SUM(B55)</f>
        <v>0</v>
      </c>
      <c r="S41" s="38">
        <f>SUM(C55)</f>
        <v>0</v>
      </c>
      <c r="T41" s="38">
        <f>SUM(D55)</f>
        <v>218</v>
      </c>
      <c r="U41" s="38">
        <f>SUM(E55)</f>
        <v>172</v>
      </c>
      <c r="V41" s="38">
        <f>SUM(F55)</f>
        <v>0</v>
      </c>
      <c r="Z41">
        <f t="shared" si="11"/>
        <v>390</v>
      </c>
      <c r="AC41" s="50"/>
      <c r="AD41" s="37"/>
      <c r="AE41" s="37"/>
      <c r="AF41" s="37"/>
      <c r="AG41" s="37"/>
      <c r="AH41" s="37"/>
      <c r="AI41" s="37"/>
      <c r="AJ41" s="37" t="s">
        <v>5684</v>
      </c>
      <c r="AK41">
        <f t="shared" si="55"/>
        <v>15461</v>
      </c>
      <c r="AL41">
        <f t="shared" si="55"/>
        <v>15965</v>
      </c>
      <c r="AM41">
        <f t="shared" si="55"/>
        <v>21857</v>
      </c>
      <c r="AN41">
        <f t="shared" si="55"/>
        <v>8756</v>
      </c>
      <c r="AO41">
        <f t="shared" si="56"/>
        <v>0</v>
      </c>
      <c r="AP41">
        <f t="shared" si="56"/>
        <v>0</v>
      </c>
      <c r="AQ41">
        <f t="shared" si="56"/>
        <v>0</v>
      </c>
      <c r="AR41">
        <f t="shared" si="56"/>
        <v>0</v>
      </c>
      <c r="AS41" s="58">
        <f t="shared" si="56"/>
        <v>62039</v>
      </c>
      <c r="AU41" s="50"/>
      <c r="AV41" s="37" t="str">
        <f t="shared" si="3"/>
        <v>Newprt</v>
      </c>
      <c r="AW41" s="180">
        <f t="shared" si="4"/>
        <v>18399</v>
      </c>
      <c r="AX41" s="180">
        <f t="shared" si="5"/>
        <v>19497</v>
      </c>
      <c r="AY41" s="180">
        <f t="shared" si="6"/>
        <v>27734</v>
      </c>
      <c r="AZ41" s="180">
        <f t="shared" si="6"/>
        <v>9230</v>
      </c>
      <c r="BA41" s="180">
        <f t="shared" si="7"/>
        <v>0</v>
      </c>
      <c r="BB41" s="1725">
        <f t="shared" si="57"/>
        <v>74860</v>
      </c>
      <c r="BC41" s="37"/>
      <c r="BD41" s="50"/>
      <c r="BE41" s="37" t="str">
        <f t="shared" si="58"/>
        <v>Newprt</v>
      </c>
      <c r="BF41" s="497">
        <f t="shared" si="59"/>
        <v>1330</v>
      </c>
      <c r="BG41" s="497">
        <f t="shared" si="59"/>
        <v>1518</v>
      </c>
      <c r="BH41" s="497">
        <f t="shared" si="59"/>
        <v>2315</v>
      </c>
      <c r="BI41" s="497">
        <f t="shared" si="59"/>
        <v>438</v>
      </c>
      <c r="BJ41" s="497">
        <f t="shared" si="59"/>
        <v>0</v>
      </c>
      <c r="BK41" s="498">
        <f t="shared" si="60"/>
        <v>5601</v>
      </c>
      <c r="BM41" s="50"/>
      <c r="BN41" s="37" t="str">
        <f t="shared" si="61"/>
        <v>Newprt</v>
      </c>
      <c r="BO41" s="180">
        <f t="shared" si="48"/>
        <v>1608</v>
      </c>
      <c r="BP41" s="180">
        <f t="shared" si="48"/>
        <v>2014</v>
      </c>
      <c r="BQ41" s="180">
        <f t="shared" si="48"/>
        <v>3562</v>
      </c>
      <c r="BR41" s="180">
        <f t="shared" si="48"/>
        <v>36</v>
      </c>
      <c r="BS41" s="180">
        <f t="shared" si="48"/>
        <v>0</v>
      </c>
      <c r="BT41" s="1725">
        <f t="shared" si="62"/>
        <v>7220</v>
      </c>
      <c r="BU41" s="37"/>
      <c r="BV41" s="37"/>
      <c r="BW41" s="50"/>
      <c r="BX41" s="37" t="str">
        <f t="shared" si="63"/>
        <v>Newprt</v>
      </c>
      <c r="BY41" s="180">
        <f t="shared" si="64"/>
        <v>2938</v>
      </c>
      <c r="BZ41" s="180">
        <f t="shared" si="64"/>
        <v>3532</v>
      </c>
      <c r="CA41" s="180">
        <f t="shared" si="64"/>
        <v>5877</v>
      </c>
      <c r="CB41" s="180">
        <f t="shared" si="64"/>
        <v>474</v>
      </c>
      <c r="CC41" s="180">
        <f t="shared" si="64"/>
        <v>0</v>
      </c>
      <c r="CD41" s="1725">
        <f t="shared" si="65"/>
        <v>12821</v>
      </c>
      <c r="CE41" s="50"/>
      <c r="CF41" s="351"/>
    </row>
    <row r="42" spans="1:84" x14ac:dyDescent="0.2">
      <c r="A42" t="s">
        <v>4295</v>
      </c>
      <c r="B42">
        <f>SUM(FishSumAllPRN!B42)</f>
        <v>0</v>
      </c>
      <c r="C42">
        <f>SUM(FishSumAllPRN!C42)</f>
        <v>0</v>
      </c>
      <c r="D42">
        <f>SUM(FishSumAllPRN!D42)</f>
        <v>0</v>
      </c>
      <c r="E42">
        <f>SUM(FishSumAllPRN!E42)</f>
        <v>0</v>
      </c>
      <c r="F42">
        <f>SUM(FishSumAllPRN!F42)</f>
        <v>0</v>
      </c>
      <c r="G42">
        <f>SUM(FishSumAllPRN!G42)</f>
        <v>0</v>
      </c>
      <c r="H42" s="54" t="s">
        <v>294</v>
      </c>
      <c r="I42" s="54"/>
      <c r="K42" t="s">
        <v>5699</v>
      </c>
      <c r="R42" s="38">
        <f>SUM(B102:B103)</f>
        <v>0</v>
      </c>
      <c r="S42" s="38">
        <f>SUM(C102:C103)</f>
        <v>477</v>
      </c>
      <c r="T42" s="38">
        <f>SUM(D102:D103)</f>
        <v>3598</v>
      </c>
      <c r="U42" s="38">
        <f>SUM(E102:E103)</f>
        <v>21163</v>
      </c>
      <c r="V42" s="38">
        <f>SUM(F102:F103)</f>
        <v>0</v>
      </c>
      <c r="Z42">
        <f t="shared" si="11"/>
        <v>25238</v>
      </c>
      <c r="AC42" s="50"/>
      <c r="AD42" s="37"/>
      <c r="AE42" s="37"/>
      <c r="AF42" s="37"/>
      <c r="AG42" s="37"/>
      <c r="AH42" s="37"/>
      <c r="AI42" s="37"/>
      <c r="AJ42" s="37" t="s">
        <v>5686</v>
      </c>
      <c r="AK42">
        <f t="shared" si="55"/>
        <v>7043</v>
      </c>
      <c r="AL42">
        <f t="shared" si="55"/>
        <v>6752</v>
      </c>
      <c r="AM42">
        <f t="shared" si="55"/>
        <v>3333</v>
      </c>
      <c r="AN42">
        <f t="shared" si="55"/>
        <v>4032</v>
      </c>
      <c r="AO42">
        <f t="shared" si="56"/>
        <v>0</v>
      </c>
      <c r="AP42">
        <f t="shared" si="56"/>
        <v>0</v>
      </c>
      <c r="AQ42">
        <f t="shared" si="56"/>
        <v>0</v>
      </c>
      <c r="AR42">
        <f t="shared" si="56"/>
        <v>0</v>
      </c>
      <c r="AS42" s="58">
        <f t="shared" si="56"/>
        <v>21160</v>
      </c>
      <c r="AU42" s="50"/>
      <c r="AV42" s="37" t="str">
        <f t="shared" si="3"/>
        <v>Coos B</v>
      </c>
      <c r="AW42" s="180">
        <f t="shared" si="4"/>
        <v>8864</v>
      </c>
      <c r="AX42" s="180">
        <f t="shared" si="5"/>
        <v>8663</v>
      </c>
      <c r="AY42" s="180">
        <f t="shared" si="6"/>
        <v>5163</v>
      </c>
      <c r="AZ42" s="180">
        <f t="shared" si="6"/>
        <v>4252</v>
      </c>
      <c r="BA42" s="180">
        <f t="shared" si="7"/>
        <v>0</v>
      </c>
      <c r="BB42" s="1725">
        <f t="shared" si="57"/>
        <v>26942</v>
      </c>
      <c r="BC42" s="37"/>
      <c r="BD42" s="50"/>
      <c r="BE42" s="37" t="str">
        <f t="shared" si="58"/>
        <v>Coos B</v>
      </c>
      <c r="BF42" s="497">
        <f t="shared" si="59"/>
        <v>699</v>
      </c>
      <c r="BG42" s="497">
        <f t="shared" si="59"/>
        <v>751</v>
      </c>
      <c r="BH42" s="497">
        <f t="shared" si="59"/>
        <v>518</v>
      </c>
      <c r="BI42" s="497">
        <f t="shared" si="59"/>
        <v>202</v>
      </c>
      <c r="BJ42" s="497">
        <f t="shared" si="59"/>
        <v>0</v>
      </c>
      <c r="BK42" s="498">
        <f t="shared" si="60"/>
        <v>2170</v>
      </c>
      <c r="BM42" s="50"/>
      <c r="BN42" s="37" t="str">
        <f t="shared" si="61"/>
        <v>Coos B</v>
      </c>
      <c r="BO42" s="180">
        <f t="shared" si="48"/>
        <v>1122</v>
      </c>
      <c r="BP42" s="180">
        <f t="shared" si="48"/>
        <v>1160</v>
      </c>
      <c r="BQ42" s="180">
        <f t="shared" si="48"/>
        <v>1312</v>
      </c>
      <c r="BR42" s="180">
        <f t="shared" si="48"/>
        <v>18</v>
      </c>
      <c r="BS42" s="180">
        <f t="shared" si="48"/>
        <v>0</v>
      </c>
      <c r="BT42" s="1725">
        <f t="shared" si="62"/>
        <v>3612</v>
      </c>
      <c r="BU42" s="37"/>
      <c r="BV42" s="37"/>
      <c r="BW42" s="50"/>
      <c r="BX42" s="37" t="str">
        <f t="shared" si="63"/>
        <v>Coos B</v>
      </c>
      <c r="BY42" s="180">
        <f t="shared" si="64"/>
        <v>1821</v>
      </c>
      <c r="BZ42" s="180">
        <f t="shared" si="64"/>
        <v>1911</v>
      </c>
      <c r="CA42" s="180">
        <f t="shared" si="64"/>
        <v>1830</v>
      </c>
      <c r="CB42" s="180">
        <f t="shared" si="64"/>
        <v>220</v>
      </c>
      <c r="CC42" s="180">
        <f t="shared" si="64"/>
        <v>0</v>
      </c>
      <c r="CD42" s="1725">
        <f t="shared" si="65"/>
        <v>5782</v>
      </c>
      <c r="CE42" s="50"/>
      <c r="CF42" s="351"/>
    </row>
    <row r="43" spans="1:84" x14ac:dyDescent="0.2">
      <c r="A43" t="s">
        <v>4296</v>
      </c>
      <c r="B43">
        <f>SUM(FishSumAllPRN!B43)</f>
        <v>0</v>
      </c>
      <c r="C43">
        <f>SUM(FishSumAllPRN!C43)</f>
        <v>0</v>
      </c>
      <c r="D43">
        <f>SUM(FishSumAllPRN!D43)</f>
        <v>0</v>
      </c>
      <c r="E43">
        <f>SUM(FishSumAllPRN!E43)</f>
        <v>0</v>
      </c>
      <c r="F43">
        <f>SUM(FishSumAllPRN!F43)</f>
        <v>0</v>
      </c>
      <c r="G43">
        <f>SUM(FishSumAllPRN!G43)</f>
        <v>0</v>
      </c>
      <c r="H43" s="54" t="s">
        <v>294</v>
      </c>
      <c r="I43" s="54"/>
      <c r="K43" t="s">
        <v>5700</v>
      </c>
      <c r="R43" s="38">
        <f>SUM(B104)</f>
        <v>0</v>
      </c>
      <c r="S43" s="38">
        <f>SUM(C104)</f>
        <v>91</v>
      </c>
      <c r="T43" s="38">
        <f>SUM(D104)</f>
        <v>488</v>
      </c>
      <c r="U43" s="38">
        <f>SUM(E104)</f>
        <v>3739</v>
      </c>
      <c r="V43" s="38">
        <f>SUM(F104)</f>
        <v>0</v>
      </c>
      <c r="Z43">
        <f t="shared" si="11"/>
        <v>4318</v>
      </c>
      <c r="AC43" s="50"/>
      <c r="AD43" s="37"/>
      <c r="AE43" s="37"/>
      <c r="AF43" s="37"/>
      <c r="AG43" s="37"/>
      <c r="AH43" s="37"/>
      <c r="AI43" s="37"/>
      <c r="AJ43" s="37" t="s">
        <v>5688</v>
      </c>
      <c r="AK43">
        <f t="shared" si="55"/>
        <v>1057</v>
      </c>
      <c r="AL43">
        <f t="shared" si="55"/>
        <v>380</v>
      </c>
      <c r="AM43">
        <f t="shared" si="55"/>
        <v>302</v>
      </c>
      <c r="AN43">
        <f t="shared" si="55"/>
        <v>0</v>
      </c>
      <c r="AO43">
        <f t="shared" si="56"/>
        <v>0</v>
      </c>
      <c r="AP43">
        <f t="shared" si="56"/>
        <v>0</v>
      </c>
      <c r="AQ43">
        <f t="shared" si="56"/>
        <v>0</v>
      </c>
      <c r="AR43">
        <f t="shared" si="56"/>
        <v>0</v>
      </c>
      <c r="AS43" s="58">
        <f t="shared" si="56"/>
        <v>1739</v>
      </c>
      <c r="AU43" s="50"/>
      <c r="AV43" s="37" t="str">
        <f t="shared" si="3"/>
        <v>Brookngs</v>
      </c>
      <c r="AW43" s="180">
        <f t="shared" si="4"/>
        <v>1345</v>
      </c>
      <c r="AX43" s="180">
        <f t="shared" si="5"/>
        <v>547</v>
      </c>
      <c r="AY43" s="180">
        <f t="shared" si="6"/>
        <v>470</v>
      </c>
      <c r="AZ43" s="180">
        <f t="shared" si="6"/>
        <v>0</v>
      </c>
      <c r="BA43" s="180">
        <f t="shared" si="7"/>
        <v>0</v>
      </c>
      <c r="BB43" s="1725">
        <f t="shared" si="57"/>
        <v>2362</v>
      </c>
      <c r="BC43" s="37"/>
      <c r="BD43" s="50"/>
      <c r="BE43" s="37" t="str">
        <f t="shared" si="58"/>
        <v>Brookngs</v>
      </c>
      <c r="BF43" s="497">
        <f t="shared" si="59"/>
        <v>115</v>
      </c>
      <c r="BG43" s="497">
        <f t="shared" si="59"/>
        <v>58</v>
      </c>
      <c r="BH43" s="497">
        <f t="shared" si="59"/>
        <v>55</v>
      </c>
      <c r="BI43" s="497">
        <f t="shared" si="59"/>
        <v>0</v>
      </c>
      <c r="BJ43" s="497">
        <f t="shared" si="59"/>
        <v>0</v>
      </c>
      <c r="BK43" s="498">
        <f t="shared" si="60"/>
        <v>228</v>
      </c>
      <c r="BM43" s="50"/>
      <c r="BN43" s="37" t="str">
        <f t="shared" si="61"/>
        <v>Brookngs</v>
      </c>
      <c r="BO43" s="180">
        <f t="shared" si="48"/>
        <v>173</v>
      </c>
      <c r="BP43" s="180">
        <f t="shared" si="48"/>
        <v>109</v>
      </c>
      <c r="BQ43" s="180">
        <f t="shared" si="48"/>
        <v>113</v>
      </c>
      <c r="BR43" s="180">
        <f t="shared" si="48"/>
        <v>0</v>
      </c>
      <c r="BS43" s="180">
        <f t="shared" si="48"/>
        <v>0</v>
      </c>
      <c r="BT43" s="1725">
        <f t="shared" si="62"/>
        <v>395</v>
      </c>
      <c r="BU43" s="37"/>
      <c r="BV43" s="37"/>
      <c r="BW43" s="50"/>
      <c r="BX43" s="37" t="str">
        <f t="shared" si="63"/>
        <v>Brookngs</v>
      </c>
      <c r="BY43" s="180">
        <f t="shared" si="64"/>
        <v>288</v>
      </c>
      <c r="BZ43" s="180">
        <f t="shared" si="64"/>
        <v>167</v>
      </c>
      <c r="CA43" s="180">
        <f t="shared" si="64"/>
        <v>168</v>
      </c>
      <c r="CB43" s="180">
        <f t="shared" si="64"/>
        <v>0</v>
      </c>
      <c r="CC43" s="180">
        <f t="shared" si="64"/>
        <v>0</v>
      </c>
      <c r="CD43" s="1725">
        <f t="shared" si="65"/>
        <v>623</v>
      </c>
      <c r="CE43" s="50"/>
      <c r="CF43" s="351"/>
    </row>
    <row r="44" spans="1:84" x14ac:dyDescent="0.2">
      <c r="A44" t="s">
        <v>4297</v>
      </c>
      <c r="B44">
        <f>SUM(FishSumAllPRN!B44)</f>
        <v>3635</v>
      </c>
      <c r="C44">
        <f>SUM(FishSumAllPRN!C44)</f>
        <v>20646</v>
      </c>
      <c r="D44">
        <f>SUM(FishSumAllPRN!D44)</f>
        <v>47436</v>
      </c>
      <c r="E44">
        <f>SUM(FishSumAllPRN!E44)</f>
        <v>12283</v>
      </c>
      <c r="F44">
        <f>SUM(FishSumAllPRN!F44)</f>
        <v>0</v>
      </c>
      <c r="G44">
        <f>SUM(FishSumAllPRN!G44)</f>
        <v>84000</v>
      </c>
      <c r="H44" s="54" t="s">
        <v>294</v>
      </c>
      <c r="I44" s="54"/>
      <c r="K44" t="s">
        <v>5701</v>
      </c>
      <c r="R44" s="38">
        <f t="shared" ref="R44:V45" si="66">SUM(B117)</f>
        <v>0</v>
      </c>
      <c r="S44" s="38">
        <f t="shared" si="66"/>
        <v>0</v>
      </c>
      <c r="T44" s="38">
        <f t="shared" si="66"/>
        <v>289</v>
      </c>
      <c r="U44" s="38">
        <f t="shared" si="66"/>
        <v>2518</v>
      </c>
      <c r="V44" s="38">
        <f t="shared" si="66"/>
        <v>65</v>
      </c>
      <c r="Z44">
        <f t="shared" ref="Z44:Z77" si="67">SUM(R44:V44)</f>
        <v>2872</v>
      </c>
      <c r="AC44" s="50"/>
      <c r="AD44" s="37"/>
      <c r="AE44" s="37"/>
      <c r="AF44" s="37"/>
      <c r="AG44" s="37"/>
      <c r="AH44" s="37"/>
      <c r="AI44" s="37"/>
      <c r="AJ44" s="37" t="s">
        <v>5690</v>
      </c>
      <c r="AK44">
        <f>SUM(R38,R39)</f>
        <v>0</v>
      </c>
      <c r="AL44">
        <f>SUM(S38,S39)</f>
        <v>0</v>
      </c>
      <c r="AM44">
        <f>SUM(T38,T39)</f>
        <v>0</v>
      </c>
      <c r="AN44">
        <f>SUM(U38,U39)</f>
        <v>0</v>
      </c>
      <c r="AO44">
        <f>SUM(V38,V39)</f>
        <v>0</v>
      </c>
      <c r="AP44">
        <f>SUM(W38)</f>
        <v>0</v>
      </c>
      <c r="AQ44">
        <f>SUM(X38)</f>
        <v>0</v>
      </c>
      <c r="AR44">
        <f>SUM(Y38)</f>
        <v>0</v>
      </c>
      <c r="AS44" s="59">
        <f>SUM(Z38,Z39)</f>
        <v>0</v>
      </c>
      <c r="AU44" s="50"/>
      <c r="AV44" s="37" t="str">
        <f t="shared" si="3"/>
        <v>CaKMZ</v>
      </c>
      <c r="AW44" s="180">
        <f t="shared" si="4"/>
        <v>686</v>
      </c>
      <c r="AX44" s="180">
        <f t="shared" si="5"/>
        <v>0</v>
      </c>
      <c r="AY44" s="180">
        <f t="shared" si="6"/>
        <v>124</v>
      </c>
      <c r="AZ44" s="180">
        <f t="shared" si="6"/>
        <v>2</v>
      </c>
      <c r="BA44" s="180">
        <f t="shared" si="7"/>
        <v>0</v>
      </c>
      <c r="BB44" s="1725">
        <f t="shared" si="57"/>
        <v>812</v>
      </c>
      <c r="BC44" s="37"/>
      <c r="BD44" s="50"/>
      <c r="BE44" s="37" t="str">
        <f t="shared" si="58"/>
        <v>CaKMZ</v>
      </c>
      <c r="BF44" s="497">
        <f t="shared" si="59"/>
        <v>0</v>
      </c>
      <c r="BG44" s="497">
        <f t="shared" si="59"/>
        <v>0</v>
      </c>
      <c r="BH44" s="497">
        <f t="shared" si="59"/>
        <v>0</v>
      </c>
      <c r="BI44" s="497">
        <f t="shared" si="59"/>
        <v>0</v>
      </c>
      <c r="BJ44" s="497">
        <f t="shared" si="59"/>
        <v>0</v>
      </c>
      <c r="BK44" s="498">
        <f t="shared" si="60"/>
        <v>0</v>
      </c>
      <c r="BM44" s="50"/>
      <c r="BN44" s="37" t="str">
        <f t="shared" si="61"/>
        <v>CaKMZ</v>
      </c>
      <c r="BO44" s="180">
        <f t="shared" si="48"/>
        <v>686</v>
      </c>
      <c r="BP44" s="180">
        <f t="shared" si="48"/>
        <v>0</v>
      </c>
      <c r="BQ44" s="180">
        <f t="shared" si="48"/>
        <v>124</v>
      </c>
      <c r="BR44" s="180">
        <f t="shared" si="48"/>
        <v>2</v>
      </c>
      <c r="BS44" s="180">
        <f t="shared" si="48"/>
        <v>0</v>
      </c>
      <c r="BT44" s="1725">
        <f t="shared" si="62"/>
        <v>812</v>
      </c>
      <c r="BU44" s="37"/>
      <c r="BV44" s="37"/>
      <c r="BW44" s="50"/>
      <c r="BX44" s="37" t="str">
        <f t="shared" si="63"/>
        <v>CaKMZ</v>
      </c>
      <c r="BY44" s="180">
        <f t="shared" si="64"/>
        <v>686</v>
      </c>
      <c r="BZ44" s="180">
        <f t="shared" si="64"/>
        <v>0</v>
      </c>
      <c r="CA44" s="180">
        <f t="shared" si="64"/>
        <v>124</v>
      </c>
      <c r="CB44" s="180">
        <f t="shared" si="64"/>
        <v>2</v>
      </c>
      <c r="CC44" s="180">
        <f t="shared" si="64"/>
        <v>0</v>
      </c>
      <c r="CD44" s="1725">
        <f t="shared" si="65"/>
        <v>812</v>
      </c>
      <c r="CE44" s="50"/>
      <c r="CF44" s="351"/>
    </row>
    <row r="45" spans="1:84" x14ac:dyDescent="0.2">
      <c r="A45" t="s">
        <v>4298</v>
      </c>
      <c r="B45">
        <f>SUM(FishSumAllPRN!B45)</f>
        <v>0</v>
      </c>
      <c r="C45">
        <f>SUM(FishSumAllPRN!C45)</f>
        <v>3700</v>
      </c>
      <c r="D45">
        <f>SUM(FishSumAllPRN!D45)</f>
        <v>3079</v>
      </c>
      <c r="E45">
        <f>SUM(FishSumAllPRN!E45)</f>
        <v>5524</v>
      </c>
      <c r="F45">
        <f>SUM(FishSumAllPRN!F45)</f>
        <v>0</v>
      </c>
      <c r="G45">
        <f>SUM(FishSumAllPRN!G45)</f>
        <v>12303</v>
      </c>
      <c r="H45" s="54" t="s">
        <v>294</v>
      </c>
      <c r="I45" s="54"/>
      <c r="K45" t="s">
        <v>5702</v>
      </c>
      <c r="R45" s="38">
        <f t="shared" si="66"/>
        <v>0</v>
      </c>
      <c r="S45" s="38">
        <f t="shared" si="66"/>
        <v>1224</v>
      </c>
      <c r="T45" s="38">
        <f t="shared" si="66"/>
        <v>2718</v>
      </c>
      <c r="U45" s="38">
        <f t="shared" si="66"/>
        <v>5873</v>
      </c>
      <c r="V45" s="38">
        <f t="shared" si="66"/>
        <v>0</v>
      </c>
      <c r="Z45">
        <f t="shared" si="67"/>
        <v>9815</v>
      </c>
      <c r="AC45" s="50"/>
      <c r="AD45" s="37"/>
      <c r="AE45" s="37"/>
      <c r="AF45" s="37"/>
      <c r="AG45" s="37"/>
      <c r="AH45" s="37"/>
      <c r="AI45" s="37"/>
      <c r="AJ45" s="37" t="s">
        <v>5692</v>
      </c>
      <c r="AK45">
        <f t="shared" ref="AK45:AS45" si="68">SUM(R40)</f>
        <v>0</v>
      </c>
      <c r="AL45">
        <f t="shared" si="68"/>
        <v>0</v>
      </c>
      <c r="AM45">
        <f t="shared" si="68"/>
        <v>0</v>
      </c>
      <c r="AN45">
        <f t="shared" si="68"/>
        <v>0</v>
      </c>
      <c r="AO45">
        <f t="shared" si="68"/>
        <v>0</v>
      </c>
      <c r="AP45">
        <f t="shared" si="68"/>
        <v>0</v>
      </c>
      <c r="AQ45">
        <f t="shared" si="68"/>
        <v>0</v>
      </c>
      <c r="AR45">
        <f t="shared" si="68"/>
        <v>0</v>
      </c>
      <c r="AS45" s="58">
        <f t="shared" si="68"/>
        <v>0</v>
      </c>
      <c r="AU45" s="50"/>
      <c r="AV45" s="37" t="str">
        <f t="shared" si="3"/>
        <v>Ft Bragg</v>
      </c>
      <c r="AW45" s="180">
        <f t="shared" si="4"/>
        <v>610</v>
      </c>
      <c r="AX45" s="180">
        <f t="shared" si="5"/>
        <v>96</v>
      </c>
      <c r="AY45" s="180">
        <f t="shared" si="6"/>
        <v>46</v>
      </c>
      <c r="AZ45" s="180">
        <f t="shared" si="6"/>
        <v>1</v>
      </c>
      <c r="BA45" s="180">
        <f t="shared" si="7"/>
        <v>0</v>
      </c>
      <c r="BB45" s="1725">
        <f t="shared" si="57"/>
        <v>753</v>
      </c>
      <c r="BC45" s="37"/>
      <c r="BD45" s="50"/>
      <c r="BE45" s="37" t="str">
        <f t="shared" si="58"/>
        <v>Ft Bragg</v>
      </c>
      <c r="BF45" s="497">
        <f t="shared" si="59"/>
        <v>0</v>
      </c>
      <c r="BG45" s="497">
        <f t="shared" si="59"/>
        <v>0</v>
      </c>
      <c r="BH45" s="497">
        <f t="shared" si="59"/>
        <v>0</v>
      </c>
      <c r="BI45" s="497">
        <f t="shared" si="59"/>
        <v>0</v>
      </c>
      <c r="BJ45" s="497">
        <f t="shared" si="59"/>
        <v>0</v>
      </c>
      <c r="BK45" s="498">
        <f t="shared" si="60"/>
        <v>0</v>
      </c>
      <c r="BL45" s="38"/>
      <c r="BM45" s="50"/>
      <c r="BN45" s="37" t="str">
        <f t="shared" si="61"/>
        <v>Ft Bragg</v>
      </c>
      <c r="BO45" s="180">
        <f t="shared" si="48"/>
        <v>610</v>
      </c>
      <c r="BP45" s="180">
        <f t="shared" si="48"/>
        <v>96</v>
      </c>
      <c r="BQ45" s="180">
        <f t="shared" si="48"/>
        <v>46</v>
      </c>
      <c r="BR45" s="180">
        <f t="shared" si="48"/>
        <v>1</v>
      </c>
      <c r="BS45" s="180">
        <f t="shared" si="48"/>
        <v>0</v>
      </c>
      <c r="BT45" s="1725">
        <f t="shared" si="62"/>
        <v>753</v>
      </c>
      <c r="BU45" s="37"/>
      <c r="BV45" s="37"/>
      <c r="BW45" s="50"/>
      <c r="BX45" s="37" t="str">
        <f t="shared" si="63"/>
        <v>Ft Bragg</v>
      </c>
      <c r="BY45" s="180">
        <f t="shared" si="64"/>
        <v>610</v>
      </c>
      <c r="BZ45" s="180">
        <f t="shared" si="64"/>
        <v>96</v>
      </c>
      <c r="CA45" s="180">
        <f t="shared" si="64"/>
        <v>46</v>
      </c>
      <c r="CB45" s="180">
        <f t="shared" si="64"/>
        <v>1</v>
      </c>
      <c r="CC45" s="180">
        <f t="shared" si="64"/>
        <v>0</v>
      </c>
      <c r="CD45" s="1725">
        <f t="shared" si="65"/>
        <v>753</v>
      </c>
      <c r="CE45" s="322"/>
      <c r="CF45" s="351"/>
    </row>
    <row r="46" spans="1:84" ht="13.5" thickBot="1" x14ac:dyDescent="0.25">
      <c r="A46" t="s">
        <v>4299</v>
      </c>
      <c r="B46">
        <f>SUM(FishSumAllPRN!B46)</f>
        <v>0</v>
      </c>
      <c r="C46">
        <f>SUM(FishSumAllPRN!C46)</f>
        <v>2575</v>
      </c>
      <c r="D46">
        <f>SUM(FishSumAllPRN!D46)</f>
        <v>4409</v>
      </c>
      <c r="E46">
        <f>SUM(FishSumAllPRN!E46)</f>
        <v>5191</v>
      </c>
      <c r="F46">
        <f>SUM(FishSumAllPRN!F46)</f>
        <v>0</v>
      </c>
      <c r="G46">
        <f>SUM(FishSumAllPRN!G46)</f>
        <v>12175</v>
      </c>
      <c r="H46" s="54" t="s">
        <v>294</v>
      </c>
      <c r="I46" s="54"/>
      <c r="K46" t="s">
        <v>5703</v>
      </c>
      <c r="R46" s="38">
        <f>SUM(B163)</f>
        <v>0</v>
      </c>
      <c r="S46" s="38">
        <f>SUM(C163)</f>
        <v>0</v>
      </c>
      <c r="T46" s="38">
        <f>SUM(D163)</f>
        <v>1981</v>
      </c>
      <c r="U46" s="38">
        <f>SUM(E163)</f>
        <v>4837</v>
      </c>
      <c r="V46" s="38">
        <f>SUM(F163)</f>
        <v>803</v>
      </c>
      <c r="Z46">
        <f t="shared" si="67"/>
        <v>7621</v>
      </c>
      <c r="AC46" s="50"/>
      <c r="AD46" s="37"/>
      <c r="AE46" s="37"/>
      <c r="AF46" s="37"/>
      <c r="AG46" s="37"/>
      <c r="AH46" s="37"/>
      <c r="AI46" s="37"/>
      <c r="AJ46" s="37" t="s">
        <v>5694</v>
      </c>
      <c r="AK46" s="38">
        <f>SUM(R28)</f>
        <v>0</v>
      </c>
      <c r="AL46" s="38">
        <f>SUM(S28)</f>
        <v>0</v>
      </c>
      <c r="AM46" s="38">
        <f>SUM(T28)</f>
        <v>0</v>
      </c>
      <c r="AN46" s="38">
        <f>SUM(U28)</f>
        <v>0</v>
      </c>
      <c r="AO46" s="38">
        <f>SUM(V28)</f>
        <v>0</v>
      </c>
      <c r="AP46">
        <f>SUM(W41)</f>
        <v>0</v>
      </c>
      <c r="AQ46">
        <f>SUM(X41)</f>
        <v>0</v>
      </c>
      <c r="AR46">
        <f>SUM(Y41)</f>
        <v>0</v>
      </c>
      <c r="AS46" s="58">
        <f>SUM(Z28)</f>
        <v>0</v>
      </c>
      <c r="AU46" s="50"/>
      <c r="AV46" s="1594" t="str">
        <f t="shared" si="3"/>
        <v>So. Calif</v>
      </c>
      <c r="AW46" s="1611">
        <f t="shared" si="4"/>
        <v>176</v>
      </c>
      <c r="AX46" s="1611">
        <f t="shared" si="5"/>
        <v>140</v>
      </c>
      <c r="AY46" s="1611">
        <f t="shared" si="6"/>
        <v>19</v>
      </c>
      <c r="AZ46" s="1611">
        <f t="shared" si="6"/>
        <v>12</v>
      </c>
      <c r="BA46" s="1611">
        <f t="shared" si="7"/>
        <v>0</v>
      </c>
      <c r="BB46" s="1906">
        <f t="shared" si="57"/>
        <v>347</v>
      </c>
      <c r="BC46" s="37"/>
      <c r="BD46" s="50"/>
      <c r="BE46" s="1594" t="str">
        <f t="shared" si="58"/>
        <v>So. Calif</v>
      </c>
      <c r="BF46" s="1724">
        <f t="shared" si="59"/>
        <v>0</v>
      </c>
      <c r="BG46" s="1724">
        <f t="shared" si="59"/>
        <v>0</v>
      </c>
      <c r="BH46" s="1724">
        <f t="shared" si="59"/>
        <v>0</v>
      </c>
      <c r="BI46" s="1724">
        <f t="shared" si="59"/>
        <v>0</v>
      </c>
      <c r="BJ46" s="1724">
        <f t="shared" si="59"/>
        <v>0</v>
      </c>
      <c r="BK46" s="1907">
        <f t="shared" si="60"/>
        <v>0</v>
      </c>
      <c r="BL46" s="180">
        <f>SUM(BK40:BK46)</f>
        <v>10697</v>
      </c>
      <c r="BM46" s="50"/>
      <c r="BN46" s="1594" t="str">
        <f t="shared" si="61"/>
        <v>So. Calif</v>
      </c>
      <c r="BO46" s="1724">
        <f t="shared" si="48"/>
        <v>176</v>
      </c>
      <c r="BP46" s="1724">
        <f t="shared" si="48"/>
        <v>140</v>
      </c>
      <c r="BQ46" s="1724">
        <f t="shared" si="48"/>
        <v>19</v>
      </c>
      <c r="BR46" s="1724">
        <f t="shared" si="48"/>
        <v>12</v>
      </c>
      <c r="BS46" s="1724">
        <f t="shared" si="48"/>
        <v>0</v>
      </c>
      <c r="BT46" s="1906">
        <f t="shared" si="62"/>
        <v>347</v>
      </c>
      <c r="BU46" s="37"/>
      <c r="BV46" s="37"/>
      <c r="BW46" s="50"/>
      <c r="BX46" s="1594" t="str">
        <f t="shared" si="63"/>
        <v>So. Calif</v>
      </c>
      <c r="BY46" s="1724">
        <f t="shared" si="64"/>
        <v>176</v>
      </c>
      <c r="BZ46" s="1724">
        <f t="shared" si="64"/>
        <v>140</v>
      </c>
      <c r="CA46" s="1724">
        <f t="shared" si="64"/>
        <v>19</v>
      </c>
      <c r="CB46" s="1724">
        <f t="shared" si="64"/>
        <v>12</v>
      </c>
      <c r="CC46" s="1724">
        <f t="shared" si="64"/>
        <v>0</v>
      </c>
      <c r="CD46" s="1906">
        <f t="shared" si="65"/>
        <v>347</v>
      </c>
      <c r="CE46" s="353" t="s">
        <v>5704</v>
      </c>
      <c r="CF46" s="354">
        <f>SUM(BT40:BT43)/0.14+SUM(BT44:BT46)/0.23+SUM(BK40:BK46)</f>
        <v>122610.04347826085</v>
      </c>
    </row>
    <row r="47" spans="1:84" x14ac:dyDescent="0.2">
      <c r="A47" t="s">
        <v>4300</v>
      </c>
      <c r="B47">
        <f>SUM(FishSumAllPRN!B47)</f>
        <v>0</v>
      </c>
      <c r="C47">
        <f>SUM(FishSumAllPRN!C47)</f>
        <v>86</v>
      </c>
      <c r="D47">
        <f>SUM(FishSumAllPRN!D47)</f>
        <v>191</v>
      </c>
      <c r="E47">
        <f>SUM(FishSumAllPRN!E47)</f>
        <v>174</v>
      </c>
      <c r="F47">
        <f>SUM(FishSumAllPRN!F47)</f>
        <v>0</v>
      </c>
      <c r="G47">
        <f>SUM(FishSumAllPRN!G47)</f>
        <v>451</v>
      </c>
      <c r="H47" s="54" t="s">
        <v>294</v>
      </c>
      <c r="I47" s="54"/>
      <c r="K47" t="s">
        <v>5705</v>
      </c>
      <c r="R47" s="38">
        <f>SUM(B129,B140,B147)</f>
        <v>3557</v>
      </c>
      <c r="S47" s="38">
        <f>SUM(C129,C140,C147)</f>
        <v>4017</v>
      </c>
      <c r="T47" s="38">
        <f>SUM(D129,D140,D147)</f>
        <v>6552</v>
      </c>
      <c r="U47" s="38">
        <f>SUM(E129,E140,E147)</f>
        <v>15122</v>
      </c>
      <c r="V47" s="38">
        <f>SUM(F129,F140,F147)</f>
        <v>731</v>
      </c>
      <c r="Z47">
        <f t="shared" si="67"/>
        <v>29979</v>
      </c>
      <c r="AC47" s="60" t="s">
        <v>5706</v>
      </c>
      <c r="AD47" s="1952"/>
      <c r="AE47" s="1952"/>
      <c r="AF47" s="1952"/>
      <c r="AG47" s="1952"/>
      <c r="AH47" s="1952"/>
      <c r="AI47" s="1952"/>
      <c r="AJ47" s="1952"/>
      <c r="AK47" s="1959">
        <f t="shared" ref="AK47:AS47" si="69">SUM(AK32:AK46)</f>
        <v>32812</v>
      </c>
      <c r="AL47" s="1959">
        <f t="shared" si="69"/>
        <v>37780</v>
      </c>
      <c r="AM47" s="1959">
        <f t="shared" si="69"/>
        <v>39406</v>
      </c>
      <c r="AN47" s="1959">
        <f t="shared" si="69"/>
        <v>17000</v>
      </c>
      <c r="AO47" s="1959">
        <f t="shared" si="69"/>
        <v>0</v>
      </c>
      <c r="AP47" s="1959">
        <f t="shared" si="69"/>
        <v>0</v>
      </c>
      <c r="AQ47" s="1959">
        <f t="shared" si="69"/>
        <v>0</v>
      </c>
      <c r="AR47" s="1959">
        <f t="shared" si="69"/>
        <v>0</v>
      </c>
      <c r="AS47" s="1954">
        <f t="shared" si="69"/>
        <v>126998</v>
      </c>
      <c r="AU47" s="60" t="s">
        <v>5706</v>
      </c>
      <c r="AV47" s="1952"/>
      <c r="AW47" s="1955">
        <f t="shared" si="4"/>
        <v>46466</v>
      </c>
      <c r="AX47" s="1955">
        <f t="shared" si="5"/>
        <v>47436</v>
      </c>
      <c r="AY47" s="1955">
        <f t="shared" si="6"/>
        <v>52012</v>
      </c>
      <c r="AZ47" s="1955">
        <f t="shared" si="6"/>
        <v>18319</v>
      </c>
      <c r="BA47" s="1955">
        <f t="shared" si="7"/>
        <v>0</v>
      </c>
      <c r="BB47" s="1956">
        <f t="shared" si="57"/>
        <v>164233</v>
      </c>
      <c r="BC47" s="37"/>
      <c r="BD47" s="60" t="s">
        <v>5706</v>
      </c>
      <c r="BE47" s="1952"/>
      <c r="BF47" s="1957">
        <f t="shared" si="59"/>
        <v>2874</v>
      </c>
      <c r="BG47" s="1957">
        <f t="shared" si="59"/>
        <v>3643</v>
      </c>
      <c r="BH47" s="1957">
        <f t="shared" si="59"/>
        <v>4354</v>
      </c>
      <c r="BI47" s="1957">
        <f t="shared" si="59"/>
        <v>851</v>
      </c>
      <c r="BJ47" s="1957">
        <f t="shared" si="59"/>
        <v>0</v>
      </c>
      <c r="BK47" s="1958">
        <f t="shared" si="60"/>
        <v>11722</v>
      </c>
      <c r="BM47" s="60" t="s">
        <v>5706</v>
      </c>
      <c r="BN47" s="1952"/>
      <c r="BO47" s="1955">
        <f t="shared" si="48"/>
        <v>10780</v>
      </c>
      <c r="BP47" s="1955">
        <f t="shared" si="48"/>
        <v>6013</v>
      </c>
      <c r="BQ47" s="1955">
        <f t="shared" si="48"/>
        <v>8252</v>
      </c>
      <c r="BR47" s="1955">
        <f t="shared" si="48"/>
        <v>468</v>
      </c>
      <c r="BS47" s="1955">
        <f t="shared" si="48"/>
        <v>0</v>
      </c>
      <c r="BT47" s="1956">
        <f t="shared" si="62"/>
        <v>25513</v>
      </c>
      <c r="BU47" s="37"/>
      <c r="BV47" s="37"/>
      <c r="BW47" s="60" t="s">
        <v>5706</v>
      </c>
      <c r="BX47" s="1952"/>
      <c r="BY47" s="1955">
        <f t="shared" si="64"/>
        <v>13654</v>
      </c>
      <c r="BZ47" s="1955">
        <f t="shared" si="64"/>
        <v>9656</v>
      </c>
      <c r="CA47" s="1955">
        <f t="shared" si="64"/>
        <v>12606</v>
      </c>
      <c r="CB47" s="1955">
        <f t="shared" si="64"/>
        <v>1319</v>
      </c>
      <c r="CC47" s="1955">
        <f t="shared" si="64"/>
        <v>0</v>
      </c>
      <c r="CD47" s="1956">
        <f t="shared" si="65"/>
        <v>37235</v>
      </c>
      <c r="CF47" s="1326"/>
    </row>
    <row r="48" spans="1:84" x14ac:dyDescent="0.2">
      <c r="A48" t="s">
        <v>4301</v>
      </c>
      <c r="B48">
        <f>SUM(FishSumAllPRN!B48)</f>
        <v>0</v>
      </c>
      <c r="C48">
        <f>SUM(FishSumAllPRN!C48)</f>
        <v>13962</v>
      </c>
      <c r="D48">
        <f>SUM(FishSumAllPRN!D48)</f>
        <v>32075</v>
      </c>
      <c r="E48">
        <f>SUM(FishSumAllPRN!E48)</f>
        <v>16123</v>
      </c>
      <c r="F48">
        <f>SUM(FishSumAllPRN!F48)</f>
        <v>0</v>
      </c>
      <c r="G48">
        <f>SUM(FishSumAllPRN!G48)</f>
        <v>62160</v>
      </c>
      <c r="H48" s="54" t="s">
        <v>294</v>
      </c>
      <c r="I48" s="54"/>
      <c r="K48" t="s">
        <v>5707</v>
      </c>
      <c r="R48" s="38">
        <f>SUM(B182:B184,B198:B199)</f>
        <v>2131</v>
      </c>
      <c r="S48" s="38">
        <f>SUM(C182:C184,C198:C199)</f>
        <v>48550</v>
      </c>
      <c r="T48" s="38">
        <f>SUM(D182:D184,D198:D199)</f>
        <v>83227</v>
      </c>
      <c r="U48" s="38">
        <f>SUM(E182:E184,E198:E199)</f>
        <v>3558</v>
      </c>
      <c r="V48" s="38">
        <f>SUM(F182:F184,F198:F199)</f>
        <v>0</v>
      </c>
      <c r="Z48">
        <f t="shared" si="67"/>
        <v>137466</v>
      </c>
      <c r="AC48" s="50"/>
      <c r="AD48" s="37"/>
      <c r="AE48" s="37"/>
      <c r="AF48" s="37"/>
      <c r="AG48" s="37"/>
      <c r="AH48" s="37"/>
      <c r="AI48" s="37"/>
      <c r="AJ48" s="37"/>
      <c r="AS48" s="58"/>
      <c r="AT48" s="38"/>
      <c r="AU48" s="50"/>
      <c r="AV48" s="37"/>
      <c r="AW48" s="180"/>
      <c r="AX48" s="180"/>
      <c r="AY48" s="180"/>
      <c r="AZ48" s="180"/>
      <c r="BA48" s="180"/>
      <c r="BB48" s="1725"/>
      <c r="BC48" s="37"/>
      <c r="BD48" s="50"/>
      <c r="BE48" s="37"/>
      <c r="BF48" s="497"/>
      <c r="BG48" s="497"/>
      <c r="BH48" s="497"/>
      <c r="BI48" s="497"/>
      <c r="BJ48" s="497"/>
      <c r="BK48" s="498"/>
      <c r="BL48" s="38"/>
      <c r="BM48" s="50"/>
      <c r="BN48" s="37"/>
      <c r="BO48" s="180"/>
      <c r="BP48" s="180"/>
      <c r="BQ48" s="180"/>
      <c r="BR48" s="180"/>
      <c r="BS48" s="180"/>
      <c r="BT48" s="1725"/>
      <c r="BU48" s="37"/>
      <c r="BV48" s="37"/>
      <c r="BW48" s="50"/>
      <c r="BX48" s="37"/>
      <c r="BY48" s="180"/>
      <c r="BZ48" s="180"/>
      <c r="CA48" s="180"/>
      <c r="CB48" s="180"/>
      <c r="CC48" s="180"/>
      <c r="CD48" s="1725"/>
      <c r="CE48" s="38"/>
      <c r="CF48" s="1326"/>
    </row>
    <row r="49" spans="1:84" x14ac:dyDescent="0.2">
      <c r="A49" t="s">
        <v>4302</v>
      </c>
      <c r="B49">
        <f>SUM(FishSumAllPRN!B49)</f>
        <v>0</v>
      </c>
      <c r="C49">
        <f>SUM(FishSumAllPRN!C49)</f>
        <v>1373</v>
      </c>
      <c r="D49">
        <f>SUM(FishSumAllPRN!D49)</f>
        <v>3538</v>
      </c>
      <c r="E49">
        <f>SUM(FishSumAllPRN!E49)</f>
        <v>1045</v>
      </c>
      <c r="F49">
        <f>SUM(FishSumAllPRN!F49)</f>
        <v>0</v>
      </c>
      <c r="G49">
        <f>SUM(FishSumAllPRN!G49)</f>
        <v>5956</v>
      </c>
      <c r="H49" s="54" t="s">
        <v>294</v>
      </c>
      <c r="I49" s="54"/>
      <c r="K49" t="s">
        <v>5708</v>
      </c>
      <c r="R49" s="38">
        <f t="shared" ref="R49:V50" si="70">SUM(B185)</f>
        <v>25</v>
      </c>
      <c r="S49" s="38">
        <f t="shared" si="70"/>
        <v>4081</v>
      </c>
      <c r="T49" s="38">
        <f t="shared" si="70"/>
        <v>1677</v>
      </c>
      <c r="U49" s="38">
        <f t="shared" si="70"/>
        <v>2</v>
      </c>
      <c r="V49" s="38">
        <f t="shared" si="70"/>
        <v>0</v>
      </c>
      <c r="Z49">
        <f t="shared" si="67"/>
        <v>5785</v>
      </c>
      <c r="AC49" s="50" t="s">
        <v>5709</v>
      </c>
      <c r="AD49" s="37"/>
      <c r="AE49" s="37"/>
      <c r="AF49" s="37"/>
      <c r="AG49" s="37"/>
      <c r="AH49" s="37"/>
      <c r="AI49" s="37"/>
      <c r="AJ49" s="37"/>
      <c r="AS49" s="58"/>
      <c r="AU49" s="50" t="s">
        <v>5709</v>
      </c>
      <c r="AV49" s="37"/>
      <c r="AW49" s="180"/>
      <c r="AX49" s="180"/>
      <c r="AY49" s="180"/>
      <c r="AZ49" s="180"/>
      <c r="BA49" s="180"/>
      <c r="BB49" s="1725"/>
      <c r="BC49" s="37"/>
      <c r="BD49" s="50" t="s">
        <v>5709</v>
      </c>
      <c r="BE49" s="37"/>
      <c r="BF49" s="497"/>
      <c r="BG49" s="497"/>
      <c r="BH49" s="497"/>
      <c r="BI49" s="497"/>
      <c r="BJ49" s="497"/>
      <c r="BK49" s="498"/>
      <c r="BM49" s="50" t="s">
        <v>5709</v>
      </c>
      <c r="BN49" s="37"/>
      <c r="BO49" s="180"/>
      <c r="BP49" s="180"/>
      <c r="BQ49" s="180"/>
      <c r="BR49" s="180"/>
      <c r="BS49" s="180"/>
      <c r="BT49" s="1725"/>
      <c r="BU49" s="37"/>
      <c r="BV49" s="37"/>
      <c r="BW49" s="50" t="s">
        <v>5709</v>
      </c>
      <c r="BX49" s="37"/>
      <c r="BY49" s="180"/>
      <c r="BZ49" s="180"/>
      <c r="CA49" s="180"/>
      <c r="CB49" s="180"/>
      <c r="CC49" s="180"/>
      <c r="CD49" s="1725"/>
      <c r="CF49" s="1326"/>
    </row>
    <row r="50" spans="1:84" x14ac:dyDescent="0.2">
      <c r="A50" t="s">
        <v>4303</v>
      </c>
      <c r="B50">
        <f>SUM(FishSumAllPRN!B50)</f>
        <v>0</v>
      </c>
      <c r="C50">
        <f>SUM(FishSumAllPRN!C50)</f>
        <v>2263</v>
      </c>
      <c r="D50">
        <f>SUM(FishSumAllPRN!D50)</f>
        <v>9108</v>
      </c>
      <c r="E50">
        <f>SUM(FishSumAllPRN!E50)</f>
        <v>1786</v>
      </c>
      <c r="F50">
        <f>SUM(FishSumAllPRN!F50)</f>
        <v>0</v>
      </c>
      <c r="G50">
        <f>SUM(FishSumAllPRN!G50)</f>
        <v>13157</v>
      </c>
      <c r="H50" s="54" t="s">
        <v>294</v>
      </c>
      <c r="I50" s="54"/>
      <c r="K50" t="s">
        <v>5710</v>
      </c>
      <c r="R50" s="38">
        <f t="shared" si="70"/>
        <v>134</v>
      </c>
      <c r="S50" s="38">
        <f t="shared" si="70"/>
        <v>2244</v>
      </c>
      <c r="T50" s="38">
        <f t="shared" si="70"/>
        <v>768</v>
      </c>
      <c r="U50" s="38">
        <f t="shared" si="70"/>
        <v>0</v>
      </c>
      <c r="V50" s="38">
        <f t="shared" si="70"/>
        <v>0</v>
      </c>
      <c r="Z50">
        <f t="shared" si="67"/>
        <v>3146</v>
      </c>
      <c r="AC50" s="50" t="s">
        <v>5644</v>
      </c>
      <c r="AD50" s="37"/>
      <c r="AE50" s="37"/>
      <c r="AF50" s="37"/>
      <c r="AG50" s="37"/>
      <c r="AH50" s="37"/>
      <c r="AI50" s="37"/>
      <c r="AJ50" s="37" t="s">
        <v>30</v>
      </c>
      <c r="AK50">
        <f t="shared" ref="AK50:AS50" si="71">SUM(R41)</f>
        <v>0</v>
      </c>
      <c r="AL50">
        <f t="shared" si="71"/>
        <v>0</v>
      </c>
      <c r="AM50">
        <f t="shared" si="71"/>
        <v>218</v>
      </c>
      <c r="AN50">
        <f t="shared" si="71"/>
        <v>172</v>
      </c>
      <c r="AO50">
        <f t="shared" si="71"/>
        <v>0</v>
      </c>
      <c r="AP50">
        <f t="shared" si="71"/>
        <v>0</v>
      </c>
      <c r="AQ50">
        <f t="shared" si="71"/>
        <v>0</v>
      </c>
      <c r="AR50">
        <f t="shared" si="71"/>
        <v>0</v>
      </c>
      <c r="AS50" s="58">
        <f t="shared" si="71"/>
        <v>390</v>
      </c>
      <c r="AU50" s="50" t="s">
        <v>5644</v>
      </c>
      <c r="AV50" s="37" t="str">
        <f t="shared" si="3"/>
        <v>JDF</v>
      </c>
      <c r="AW50" s="180">
        <f t="shared" si="4"/>
        <v>0</v>
      </c>
      <c r="AX50" s="180">
        <f t="shared" si="5"/>
        <v>0</v>
      </c>
      <c r="AY50" s="180">
        <f t="shared" si="6"/>
        <v>229</v>
      </c>
      <c r="AZ50" s="180">
        <f t="shared" si="6"/>
        <v>181</v>
      </c>
      <c r="BA50" s="180">
        <f t="shared" si="7"/>
        <v>1</v>
      </c>
      <c r="BB50" s="1725">
        <f>SUM(AW50:BA50)</f>
        <v>411</v>
      </c>
      <c r="BC50" s="37"/>
      <c r="BD50" s="50" t="s">
        <v>5644</v>
      </c>
      <c r="BE50" s="37" t="str">
        <f>AV50</f>
        <v>JDF</v>
      </c>
      <c r="BF50" s="497">
        <f>AW50-AK50-BO50</f>
        <v>0</v>
      </c>
      <c r="BG50" s="497">
        <f>AX50-AL50-BP50</f>
        <v>0</v>
      </c>
      <c r="BH50" s="497">
        <f>AY50-AM50-BQ50</f>
        <v>11</v>
      </c>
      <c r="BI50" s="497">
        <f>AZ50-AN50-BR50</f>
        <v>9</v>
      </c>
      <c r="BJ50" s="497">
        <f>BA50-AO50-BS50</f>
        <v>0</v>
      </c>
      <c r="BK50" s="498">
        <f>SUM(BF50:BJ50)</f>
        <v>20</v>
      </c>
      <c r="BM50" s="50" t="s">
        <v>5644</v>
      </c>
      <c r="BN50" s="37" t="str">
        <f>AV50</f>
        <v>JDF</v>
      </c>
      <c r="BO50" s="180">
        <f>AK471</f>
        <v>0</v>
      </c>
      <c r="BP50" s="180">
        <f>AL471</f>
        <v>0</v>
      </c>
      <c r="BQ50" s="180">
        <f>AM471</f>
        <v>0</v>
      </c>
      <c r="BR50" s="180">
        <f>AN471</f>
        <v>0</v>
      </c>
      <c r="BS50" s="180">
        <f>AO471</f>
        <v>1</v>
      </c>
      <c r="BT50" s="1725">
        <f>SUM(BO50:BS50)</f>
        <v>1</v>
      </c>
      <c r="BU50" s="37"/>
      <c r="BV50" s="37"/>
      <c r="BW50" s="50" t="s">
        <v>5644</v>
      </c>
      <c r="BX50" s="37" t="str">
        <f>AV50</f>
        <v>JDF</v>
      </c>
      <c r="BY50" s="180">
        <f>AW50-AK50</f>
        <v>0</v>
      </c>
      <c r="BZ50" s="180">
        <f>AX50-AL50</f>
        <v>0</v>
      </c>
      <c r="CA50" s="180">
        <f>AY50-AM50</f>
        <v>11</v>
      </c>
      <c r="CB50" s="180">
        <f>AZ50-AN50</f>
        <v>9</v>
      </c>
      <c r="CC50" s="180">
        <f>BA50-AO50</f>
        <v>1</v>
      </c>
      <c r="CD50" s="1725">
        <f>SUM(BY50:CC50)</f>
        <v>21</v>
      </c>
      <c r="CF50" s="1326"/>
    </row>
    <row r="51" spans="1:84" x14ac:dyDescent="0.2">
      <c r="A51" t="s">
        <v>4304</v>
      </c>
      <c r="B51">
        <f>SUM(FishSumAllPRN!B51)</f>
        <v>157</v>
      </c>
      <c r="C51">
        <f>SUM(FishSumAllPRN!C51)</f>
        <v>575</v>
      </c>
      <c r="D51">
        <f>SUM(FishSumAllPRN!D51)</f>
        <v>2422</v>
      </c>
      <c r="E51">
        <f>SUM(FishSumAllPRN!E51)</f>
        <v>1216</v>
      </c>
      <c r="F51">
        <f>SUM(FishSumAllPRN!F51)</f>
        <v>0</v>
      </c>
      <c r="G51">
        <f>SUM(FishSumAllPRN!G51)</f>
        <v>4370</v>
      </c>
      <c r="H51" s="54" t="s">
        <v>294</v>
      </c>
      <c r="I51" s="54"/>
      <c r="K51" t="s">
        <v>5711</v>
      </c>
      <c r="R51" s="38">
        <f>SUM(B201,B191:B192)</f>
        <v>767</v>
      </c>
      <c r="S51" s="38">
        <f>SUM(C201,C191:C192)</f>
        <v>3957</v>
      </c>
      <c r="T51" s="38">
        <f>SUM(D201,D191:D192)</f>
        <v>11963</v>
      </c>
      <c r="U51" s="38">
        <f>SUM(E201,E191:E192)</f>
        <v>3280</v>
      </c>
      <c r="V51" s="38">
        <f>SUM(F201,F191:F192)</f>
        <v>0</v>
      </c>
      <c r="Z51">
        <f t="shared" si="67"/>
        <v>19967</v>
      </c>
      <c r="AC51" s="50"/>
      <c r="AD51" s="37"/>
      <c r="AE51" s="37"/>
      <c r="AF51" s="37"/>
      <c r="AG51" s="37"/>
      <c r="AH51" s="37"/>
      <c r="AI51" s="37"/>
      <c r="AJ51" s="37"/>
      <c r="AS51" s="58"/>
      <c r="AU51" s="50"/>
      <c r="AV51" s="37"/>
      <c r="AW51" s="180"/>
      <c r="AX51" s="180"/>
      <c r="AY51" s="180"/>
      <c r="AZ51" s="180"/>
      <c r="BA51" s="180"/>
      <c r="BB51" s="1725"/>
      <c r="BC51" s="37"/>
      <c r="BD51" s="50"/>
      <c r="BE51" s="37"/>
      <c r="BF51" s="497">
        <f>AK51*0.05</f>
        <v>0</v>
      </c>
      <c r="BG51" s="497">
        <f>AL51*0.05</f>
        <v>0</v>
      </c>
      <c r="BH51" s="497">
        <f>AM51*0.05</f>
        <v>0</v>
      </c>
      <c r="BI51" s="497">
        <f>AN51*0.05</f>
        <v>0</v>
      </c>
      <c r="BJ51" s="497">
        <f>AO51*0.05</f>
        <v>0</v>
      </c>
      <c r="BK51" s="498"/>
      <c r="BM51" s="50"/>
      <c r="BN51" s="37"/>
      <c r="BO51" s="180"/>
      <c r="BP51" s="180"/>
      <c r="BQ51" s="180"/>
      <c r="BR51" s="180"/>
      <c r="BS51" s="180"/>
      <c r="BT51" s="1725"/>
      <c r="BU51" s="37"/>
      <c r="BV51" s="37"/>
      <c r="BW51" s="50"/>
      <c r="BX51" s="37"/>
      <c r="BY51" s="180"/>
      <c r="BZ51" s="180"/>
      <c r="CA51" s="180"/>
      <c r="CB51" s="180"/>
      <c r="CC51" s="180"/>
      <c r="CD51" s="1725"/>
      <c r="CF51" s="1326"/>
    </row>
    <row r="52" spans="1:84" x14ac:dyDescent="0.2">
      <c r="A52" t="s">
        <v>4305</v>
      </c>
      <c r="B52">
        <f>SUM(FishSumAllPRN!B52)</f>
        <v>2101</v>
      </c>
      <c r="C52">
        <f>SUM(FishSumAllPRN!C52)</f>
        <v>5893</v>
      </c>
      <c r="D52">
        <f>SUM(FishSumAllPRN!D52)</f>
        <v>6896</v>
      </c>
      <c r="E52">
        <f>SUM(FishSumAllPRN!E52)</f>
        <v>2581</v>
      </c>
      <c r="F52">
        <f>SUM(FishSumAllPRN!F52)</f>
        <v>0</v>
      </c>
      <c r="G52">
        <f>SUM(FishSumAllPRN!G52)</f>
        <v>17471</v>
      </c>
      <c r="H52" s="54" t="s">
        <v>294</v>
      </c>
      <c r="I52" s="54"/>
      <c r="K52" t="s">
        <v>5712</v>
      </c>
      <c r="R52" s="365">
        <f>SUM(B181)</f>
        <v>0</v>
      </c>
      <c r="S52" s="365">
        <f>SUM(C181)</f>
        <v>0</v>
      </c>
      <c r="T52" s="365">
        <f>SUM(D181)</f>
        <v>0</v>
      </c>
      <c r="U52" s="365">
        <f>SUM(E181)</f>
        <v>0</v>
      </c>
      <c r="V52" s="365">
        <f>SUM(F181)</f>
        <v>0</v>
      </c>
      <c r="Z52">
        <f t="shared" si="67"/>
        <v>0</v>
      </c>
      <c r="AC52" s="50" t="s">
        <v>5663</v>
      </c>
      <c r="AD52" s="37"/>
      <c r="AE52" s="37"/>
      <c r="AF52" s="37"/>
      <c r="AG52" s="37"/>
      <c r="AH52" s="37"/>
      <c r="AI52" s="37"/>
      <c r="AJ52" s="37" t="s">
        <v>149</v>
      </c>
      <c r="AK52" s="38">
        <f t="shared" ref="AK52:AQ53" si="72">SUM(B102)</f>
        <v>0</v>
      </c>
      <c r="AL52" s="38">
        <f t="shared" si="72"/>
        <v>433</v>
      </c>
      <c r="AM52" s="38">
        <f t="shared" si="72"/>
        <v>2881</v>
      </c>
      <c r="AN52" s="38">
        <f t="shared" si="72"/>
        <v>15248</v>
      </c>
      <c r="AO52" s="38">
        <f t="shared" si="72"/>
        <v>0</v>
      </c>
      <c r="AP52" s="38">
        <f t="shared" si="72"/>
        <v>18562</v>
      </c>
      <c r="AQ52" s="38">
        <f t="shared" si="72"/>
        <v>0</v>
      </c>
      <c r="AR52" s="38">
        <f>SUM(J102)</f>
        <v>0</v>
      </c>
      <c r="AS52" s="59">
        <f t="shared" ref="AS52:AS61" si="73">SUM(AK52:AO52)</f>
        <v>18562</v>
      </c>
      <c r="AU52" s="50" t="s">
        <v>5663</v>
      </c>
      <c r="AV52" s="37" t="str">
        <f t="shared" si="3"/>
        <v>Area 5</v>
      </c>
      <c r="AW52" s="180">
        <f t="shared" si="4"/>
        <v>27</v>
      </c>
      <c r="AX52" s="180">
        <f t="shared" si="5"/>
        <v>521</v>
      </c>
      <c r="AY52" s="180">
        <f t="shared" si="6"/>
        <v>3514</v>
      </c>
      <c r="AZ52" s="180">
        <f t="shared" si="6"/>
        <v>18970</v>
      </c>
      <c r="BA52" s="180">
        <f t="shared" si="7"/>
        <v>0</v>
      </c>
      <c r="BB52" s="1725">
        <f t="shared" ref="BB52:BB61" si="74">SUM(AW52:BA52)</f>
        <v>23032</v>
      </c>
      <c r="BC52" s="37"/>
      <c r="BD52" s="50" t="s">
        <v>5663</v>
      </c>
      <c r="BE52" s="37" t="str">
        <f t="shared" ref="BE52:BE61" si="75">AV52</f>
        <v>Area 5</v>
      </c>
      <c r="BF52" s="497">
        <f t="shared" ref="BF52:BJ61" si="76">AW52-AK52-BO52</f>
        <v>0</v>
      </c>
      <c r="BG52" s="497">
        <f t="shared" si="76"/>
        <v>49</v>
      </c>
      <c r="BH52" s="497">
        <f t="shared" si="76"/>
        <v>348</v>
      </c>
      <c r="BI52" s="497">
        <f t="shared" si="76"/>
        <v>1995</v>
      </c>
      <c r="BJ52" s="497">
        <f t="shared" si="76"/>
        <v>0</v>
      </c>
      <c r="BK52" s="498">
        <f t="shared" ref="BK52:BK61" si="77">SUM(BF52:BJ52)</f>
        <v>2392</v>
      </c>
      <c r="BM52" s="50" t="s">
        <v>5663</v>
      </c>
      <c r="BN52" s="37" t="str">
        <f t="shared" ref="BN52:BN61" si="78">AV52</f>
        <v>Area 5</v>
      </c>
      <c r="BO52" s="497">
        <f t="shared" ref="BO52:BS61" si="79">AK473</f>
        <v>27</v>
      </c>
      <c r="BP52" s="497">
        <f t="shared" si="79"/>
        <v>39</v>
      </c>
      <c r="BQ52" s="497">
        <f t="shared" si="79"/>
        <v>285</v>
      </c>
      <c r="BR52" s="497">
        <f t="shared" si="79"/>
        <v>1727</v>
      </c>
      <c r="BS52" s="497">
        <f t="shared" si="79"/>
        <v>0</v>
      </c>
      <c r="BT52" s="1725">
        <f t="shared" ref="BT52:BT61" si="80">SUM(BO52:BS52)</f>
        <v>2078</v>
      </c>
      <c r="BU52" s="37"/>
      <c r="BV52" s="37"/>
      <c r="BW52" s="50" t="s">
        <v>5663</v>
      </c>
      <c r="BX52" s="37" t="str">
        <f t="shared" ref="BX52:BX61" si="81">AV52</f>
        <v>Area 5</v>
      </c>
      <c r="BY52" s="497">
        <f t="shared" ref="BY52:CC61" si="82">AW52-AK52</f>
        <v>27</v>
      </c>
      <c r="BZ52" s="497">
        <f t="shared" si="82"/>
        <v>88</v>
      </c>
      <c r="CA52" s="497">
        <f t="shared" si="82"/>
        <v>633</v>
      </c>
      <c r="CB52" s="497">
        <f t="shared" si="82"/>
        <v>3722</v>
      </c>
      <c r="CC52" s="497">
        <f t="shared" si="82"/>
        <v>0</v>
      </c>
      <c r="CD52" s="1725">
        <f t="shared" ref="CD52:CD61" si="83">SUM(BY52:CC52)</f>
        <v>4470</v>
      </c>
      <c r="CF52" s="1326"/>
    </row>
    <row r="53" spans="1:84" x14ac:dyDescent="0.2">
      <c r="A53" t="s">
        <v>4306</v>
      </c>
      <c r="B53">
        <f>SUM(FishSumAllPRN!B53)</f>
        <v>0</v>
      </c>
      <c r="C53">
        <f>SUM(FishSumAllPRN!C53)</f>
        <v>1013</v>
      </c>
      <c r="D53">
        <f>SUM(FishSumAllPRN!D53)</f>
        <v>267</v>
      </c>
      <c r="E53">
        <f>SUM(FishSumAllPRN!E53)</f>
        <v>287</v>
      </c>
      <c r="F53">
        <f>SUM(FishSumAllPRN!F53)</f>
        <v>0</v>
      </c>
      <c r="G53">
        <f>SUM(FishSumAllPRN!G53)</f>
        <v>1567</v>
      </c>
      <c r="H53" s="54" t="s">
        <v>294</v>
      </c>
      <c r="I53" s="54"/>
      <c r="K53" t="s">
        <v>5713</v>
      </c>
      <c r="R53" s="38">
        <f>SUM(B187)</f>
        <v>0</v>
      </c>
      <c r="S53" s="38">
        <f>SUM(C187)</f>
        <v>0</v>
      </c>
      <c r="T53" s="38">
        <f>SUM(D187)</f>
        <v>0</v>
      </c>
      <c r="U53" s="38">
        <f>SUM(E187)</f>
        <v>0</v>
      </c>
      <c r="V53" s="38">
        <f>SUM(F187)</f>
        <v>0</v>
      </c>
      <c r="Z53">
        <f t="shared" si="67"/>
        <v>0</v>
      </c>
      <c r="AC53" s="50"/>
      <c r="AD53" s="37"/>
      <c r="AE53" s="37"/>
      <c r="AF53" s="37"/>
      <c r="AG53" s="37"/>
      <c r="AH53" s="37"/>
      <c r="AI53" s="37"/>
      <c r="AJ53" s="37" t="s">
        <v>151</v>
      </c>
      <c r="AK53" s="38">
        <f t="shared" si="72"/>
        <v>0</v>
      </c>
      <c r="AL53" s="38">
        <f t="shared" si="72"/>
        <v>44</v>
      </c>
      <c r="AM53" s="38">
        <f t="shared" si="72"/>
        <v>717</v>
      </c>
      <c r="AN53" s="38">
        <f t="shared" si="72"/>
        <v>5915</v>
      </c>
      <c r="AO53" s="38">
        <f t="shared" si="72"/>
        <v>0</v>
      </c>
      <c r="AP53" s="38">
        <f t="shared" si="72"/>
        <v>6676</v>
      </c>
      <c r="AQ53" s="38">
        <f t="shared" si="72"/>
        <v>0</v>
      </c>
      <c r="AR53" s="38">
        <f>SUM(J103)</f>
        <v>0</v>
      </c>
      <c r="AS53" s="59">
        <f t="shared" si="73"/>
        <v>6676</v>
      </c>
      <c r="AU53" s="50"/>
      <c r="AV53" s="37" t="str">
        <f t="shared" si="3"/>
        <v>Area 6</v>
      </c>
      <c r="AW53" s="180">
        <f t="shared" si="4"/>
        <v>0</v>
      </c>
      <c r="AX53" s="180">
        <f t="shared" si="5"/>
        <v>53</v>
      </c>
      <c r="AY53" s="180">
        <f t="shared" si="6"/>
        <v>866</v>
      </c>
      <c r="AZ53" s="180">
        <f t="shared" si="6"/>
        <v>7454</v>
      </c>
      <c r="BA53" s="180">
        <f t="shared" si="7"/>
        <v>0</v>
      </c>
      <c r="BB53" s="1725">
        <f t="shared" si="74"/>
        <v>8373</v>
      </c>
      <c r="BC53" s="37"/>
      <c r="BD53" s="50"/>
      <c r="BE53" s="37" t="str">
        <f t="shared" si="75"/>
        <v>Area 6</v>
      </c>
      <c r="BF53" s="497">
        <f t="shared" si="76"/>
        <v>0</v>
      </c>
      <c r="BG53" s="497">
        <f t="shared" si="76"/>
        <v>5</v>
      </c>
      <c r="BH53" s="497">
        <f t="shared" si="76"/>
        <v>83</v>
      </c>
      <c r="BI53" s="497">
        <f t="shared" si="76"/>
        <v>814</v>
      </c>
      <c r="BJ53" s="497">
        <f t="shared" si="76"/>
        <v>0</v>
      </c>
      <c r="BK53" s="498">
        <f t="shared" si="77"/>
        <v>902</v>
      </c>
      <c r="BL53" s="38"/>
      <c r="BM53" s="50"/>
      <c r="BN53" s="37" t="str">
        <f t="shared" si="78"/>
        <v>Area 6</v>
      </c>
      <c r="BO53" s="497">
        <f t="shared" si="79"/>
        <v>0</v>
      </c>
      <c r="BP53" s="497">
        <f t="shared" si="79"/>
        <v>4</v>
      </c>
      <c r="BQ53" s="497">
        <f t="shared" si="79"/>
        <v>66</v>
      </c>
      <c r="BR53" s="497">
        <f t="shared" si="79"/>
        <v>725</v>
      </c>
      <c r="BS53" s="497">
        <f t="shared" si="79"/>
        <v>0</v>
      </c>
      <c r="BT53" s="1725">
        <f t="shared" si="80"/>
        <v>795</v>
      </c>
      <c r="BU53" s="37"/>
      <c r="BV53" s="37"/>
      <c r="BW53" s="50"/>
      <c r="BX53" s="37" t="str">
        <f t="shared" si="81"/>
        <v>Area 6</v>
      </c>
      <c r="BY53" s="497">
        <f t="shared" si="82"/>
        <v>0</v>
      </c>
      <c r="BZ53" s="497">
        <f t="shared" si="82"/>
        <v>9</v>
      </c>
      <c r="CA53" s="497">
        <f t="shared" si="82"/>
        <v>149</v>
      </c>
      <c r="CB53" s="497">
        <f t="shared" si="82"/>
        <v>1539</v>
      </c>
      <c r="CC53" s="497">
        <f t="shared" si="82"/>
        <v>0</v>
      </c>
      <c r="CD53" s="1725">
        <f t="shared" si="83"/>
        <v>1697</v>
      </c>
      <c r="CE53" s="38"/>
      <c r="CF53" s="1326"/>
    </row>
    <row r="54" spans="1:84" x14ac:dyDescent="0.2">
      <c r="A54" t="s">
        <v>4307</v>
      </c>
      <c r="B54">
        <f>SUM(FishSumAllPRN!B54)</f>
        <v>0</v>
      </c>
      <c r="C54">
        <f>SUM(FishSumAllPRN!C54)</f>
        <v>5932</v>
      </c>
      <c r="D54">
        <f>SUM(FishSumAllPRN!D54)</f>
        <v>23499</v>
      </c>
      <c r="E54">
        <f>SUM(FishSumAllPRN!E54)</f>
        <v>8960</v>
      </c>
      <c r="F54">
        <f>SUM(FishSumAllPRN!F54)</f>
        <v>0</v>
      </c>
      <c r="G54">
        <f>SUM(FishSumAllPRN!G54)</f>
        <v>38391</v>
      </c>
      <c r="H54" s="54" t="s">
        <v>294</v>
      </c>
      <c r="I54" s="54"/>
      <c r="K54" t="s">
        <v>5714</v>
      </c>
      <c r="R54" s="180">
        <v>0</v>
      </c>
      <c r="S54" s="180">
        <v>0</v>
      </c>
      <c r="T54" s="180">
        <v>0</v>
      </c>
      <c r="U54" s="180">
        <v>0</v>
      </c>
      <c r="V54" s="180">
        <v>0</v>
      </c>
      <c r="Z54">
        <f t="shared" si="67"/>
        <v>0</v>
      </c>
      <c r="AC54" s="50"/>
      <c r="AD54" s="37"/>
      <c r="AE54" s="37"/>
      <c r="AF54" s="37"/>
      <c r="AG54" s="37"/>
      <c r="AH54" s="37"/>
      <c r="AI54" s="37"/>
      <c r="AJ54" s="37" t="s">
        <v>153</v>
      </c>
      <c r="AK54">
        <f t="shared" ref="AK54:AR54" si="84">SUM(R43)</f>
        <v>0</v>
      </c>
      <c r="AL54">
        <f t="shared" si="84"/>
        <v>91</v>
      </c>
      <c r="AM54">
        <f t="shared" si="84"/>
        <v>488</v>
      </c>
      <c r="AN54">
        <f t="shared" si="84"/>
        <v>3739</v>
      </c>
      <c r="AO54">
        <f t="shared" si="84"/>
        <v>0</v>
      </c>
      <c r="AP54">
        <f t="shared" si="84"/>
        <v>0</v>
      </c>
      <c r="AQ54">
        <f t="shared" si="84"/>
        <v>0</v>
      </c>
      <c r="AR54">
        <f t="shared" si="84"/>
        <v>0</v>
      </c>
      <c r="AS54" s="59">
        <f t="shared" si="73"/>
        <v>4318</v>
      </c>
      <c r="AU54" s="50"/>
      <c r="AV54" s="37" t="str">
        <f t="shared" si="3"/>
        <v>Area 7</v>
      </c>
      <c r="AW54" s="180">
        <f t="shared" si="4"/>
        <v>0</v>
      </c>
      <c r="AX54" s="180">
        <f t="shared" si="5"/>
        <v>106</v>
      </c>
      <c r="AY54" s="180">
        <f t="shared" si="6"/>
        <v>590</v>
      </c>
      <c r="AZ54" s="180">
        <f t="shared" si="6"/>
        <v>5024</v>
      </c>
      <c r="BA54" s="180">
        <f t="shared" si="7"/>
        <v>0</v>
      </c>
      <c r="BB54" s="1725">
        <f t="shared" si="74"/>
        <v>5720</v>
      </c>
      <c r="BC54" s="37"/>
      <c r="BD54" s="50"/>
      <c r="BE54" s="37" t="str">
        <f t="shared" si="75"/>
        <v>Area 7</v>
      </c>
      <c r="BF54" s="497">
        <f t="shared" si="76"/>
        <v>0</v>
      </c>
      <c r="BG54" s="497">
        <f t="shared" si="76"/>
        <v>9</v>
      </c>
      <c r="BH54" s="497">
        <f t="shared" si="76"/>
        <v>57</v>
      </c>
      <c r="BI54" s="497">
        <f t="shared" si="76"/>
        <v>645</v>
      </c>
      <c r="BJ54" s="497">
        <f t="shared" si="76"/>
        <v>0</v>
      </c>
      <c r="BK54" s="498">
        <f t="shared" si="77"/>
        <v>711</v>
      </c>
      <c r="BL54" s="38"/>
      <c r="BM54" s="50"/>
      <c r="BN54" s="37" t="str">
        <f t="shared" si="78"/>
        <v>Area 7</v>
      </c>
      <c r="BO54" s="180">
        <f t="shared" si="79"/>
        <v>0</v>
      </c>
      <c r="BP54" s="180">
        <f t="shared" si="79"/>
        <v>6</v>
      </c>
      <c r="BQ54" s="180">
        <f t="shared" si="79"/>
        <v>45</v>
      </c>
      <c r="BR54" s="180">
        <f t="shared" si="79"/>
        <v>640</v>
      </c>
      <c r="BS54" s="180">
        <f t="shared" si="79"/>
        <v>0</v>
      </c>
      <c r="BT54" s="1725">
        <f t="shared" si="80"/>
        <v>691</v>
      </c>
      <c r="BU54" s="37"/>
      <c r="BV54" s="37"/>
      <c r="BW54" s="50"/>
      <c r="BX54" s="37" t="str">
        <f t="shared" si="81"/>
        <v>Area 7</v>
      </c>
      <c r="BY54" s="180">
        <f t="shared" si="82"/>
        <v>0</v>
      </c>
      <c r="BZ54" s="180">
        <f t="shared" si="82"/>
        <v>15</v>
      </c>
      <c r="CA54" s="180">
        <f t="shared" si="82"/>
        <v>102</v>
      </c>
      <c r="CB54" s="180">
        <f t="shared" si="82"/>
        <v>1285</v>
      </c>
      <c r="CC54" s="180">
        <f t="shared" si="82"/>
        <v>0</v>
      </c>
      <c r="CD54" s="1725">
        <f t="shared" si="83"/>
        <v>1402</v>
      </c>
      <c r="CE54" s="38"/>
      <c r="CF54" s="1326"/>
    </row>
    <row r="55" spans="1:84" x14ac:dyDescent="0.2">
      <c r="A55" t="s">
        <v>4308</v>
      </c>
      <c r="B55">
        <f>SUM(FishSumAllPRN!B55)</f>
        <v>0</v>
      </c>
      <c r="C55">
        <f>SUM(FishSumAllPRN!C55)</f>
        <v>0</v>
      </c>
      <c r="D55">
        <f>SUM(FishSumAllPRN!D55)</f>
        <v>218</v>
      </c>
      <c r="E55">
        <f>SUM(FishSumAllPRN!E55)</f>
        <v>172</v>
      </c>
      <c r="F55">
        <f>SUM(FishSumAllPRN!F55)</f>
        <v>0</v>
      </c>
      <c r="G55">
        <f>SUM(FishSumAllPRN!G55)</f>
        <v>390</v>
      </c>
      <c r="H55" s="54" t="s">
        <v>294</v>
      </c>
      <c r="I55" s="54"/>
      <c r="K55" t="s">
        <v>5715</v>
      </c>
      <c r="R55" s="38">
        <f>SUM(B188)</f>
        <v>0</v>
      </c>
      <c r="S55" s="38">
        <f>SUM(C188)</f>
        <v>0</v>
      </c>
      <c r="T55" s="38">
        <f>SUM(D188)</f>
        <v>0</v>
      </c>
      <c r="U55" s="38">
        <f>SUM(E188)</f>
        <v>0</v>
      </c>
      <c r="V55" s="38">
        <f>SUM(F188)</f>
        <v>0</v>
      </c>
      <c r="Z55">
        <f t="shared" si="67"/>
        <v>0</v>
      </c>
      <c r="AC55" s="50"/>
      <c r="AD55" s="37"/>
      <c r="AE55" s="37"/>
      <c r="AF55" s="37"/>
      <c r="AG55" s="37"/>
      <c r="AH55" s="37"/>
      <c r="AI55" s="37"/>
      <c r="AJ55" s="37" t="s">
        <v>155</v>
      </c>
      <c r="AK55">
        <f>SUM(B117)</f>
        <v>0</v>
      </c>
      <c r="AL55">
        <f>SUM(C117)</f>
        <v>0</v>
      </c>
      <c r="AM55">
        <f>SUM(D117)</f>
        <v>289</v>
      </c>
      <c r="AN55">
        <f>SUM(E117)</f>
        <v>2518</v>
      </c>
      <c r="AO55">
        <f>SUM(F117)</f>
        <v>65</v>
      </c>
      <c r="AS55" s="59">
        <f t="shared" si="73"/>
        <v>2872</v>
      </c>
      <c r="AU55" s="50"/>
      <c r="AV55" s="37" t="str">
        <f t="shared" si="3"/>
        <v>Area 8-1</v>
      </c>
      <c r="AW55" s="180">
        <f t="shared" si="4"/>
        <v>0</v>
      </c>
      <c r="AX55" s="180">
        <f t="shared" si="5"/>
        <v>0</v>
      </c>
      <c r="AY55" s="180">
        <f t="shared" si="6"/>
        <v>303</v>
      </c>
      <c r="AZ55" s="180">
        <f t="shared" si="6"/>
        <v>2644</v>
      </c>
      <c r="BA55" s="180">
        <f t="shared" si="7"/>
        <v>68</v>
      </c>
      <c r="BB55" s="1725">
        <f t="shared" si="74"/>
        <v>3015</v>
      </c>
      <c r="BC55" s="37"/>
      <c r="BD55" s="50"/>
      <c r="BE55" s="37" t="str">
        <f t="shared" si="75"/>
        <v>Area 8-1</v>
      </c>
      <c r="BF55" s="497">
        <f t="shared" si="76"/>
        <v>0</v>
      </c>
      <c r="BG55" s="497">
        <f t="shared" si="76"/>
        <v>0</v>
      </c>
      <c r="BH55" s="497">
        <f t="shared" si="76"/>
        <v>14</v>
      </c>
      <c r="BI55" s="497">
        <f t="shared" si="76"/>
        <v>126</v>
      </c>
      <c r="BJ55" s="497">
        <f t="shared" si="76"/>
        <v>3</v>
      </c>
      <c r="BK55" s="498">
        <f t="shared" si="77"/>
        <v>143</v>
      </c>
      <c r="BL55" s="38"/>
      <c r="BM55" s="50"/>
      <c r="BN55" s="37" t="str">
        <f t="shared" si="78"/>
        <v>Area 8-1</v>
      </c>
      <c r="BO55" s="180">
        <f t="shared" si="79"/>
        <v>0</v>
      </c>
      <c r="BP55" s="180">
        <f t="shared" si="79"/>
        <v>0</v>
      </c>
      <c r="BQ55" s="180">
        <f t="shared" si="79"/>
        <v>0</v>
      </c>
      <c r="BR55" s="180">
        <f t="shared" si="79"/>
        <v>0</v>
      </c>
      <c r="BS55" s="180">
        <f t="shared" si="79"/>
        <v>0</v>
      </c>
      <c r="BT55" s="1725">
        <f t="shared" si="80"/>
        <v>0</v>
      </c>
      <c r="BU55" s="37"/>
      <c r="BV55" s="37"/>
      <c r="BW55" s="50"/>
      <c r="BX55" s="37" t="str">
        <f t="shared" si="81"/>
        <v>Area 8-1</v>
      </c>
      <c r="BY55" s="180">
        <f t="shared" si="82"/>
        <v>0</v>
      </c>
      <c r="BZ55" s="180">
        <f t="shared" si="82"/>
        <v>0</v>
      </c>
      <c r="CA55" s="180">
        <f t="shared" si="82"/>
        <v>14</v>
      </c>
      <c r="CB55" s="180">
        <f t="shared" si="82"/>
        <v>126</v>
      </c>
      <c r="CC55" s="180">
        <f t="shared" si="82"/>
        <v>3</v>
      </c>
      <c r="CD55" s="1725">
        <f t="shared" si="83"/>
        <v>143</v>
      </c>
      <c r="CE55" s="38"/>
      <c r="CF55" s="1326"/>
    </row>
    <row r="56" spans="1:84" x14ac:dyDescent="0.2">
      <c r="A56" t="s">
        <v>4309</v>
      </c>
      <c r="B56">
        <f>SUM(FishSumAllPRN!B56)</f>
        <v>0</v>
      </c>
      <c r="C56">
        <f>SUM(FishSumAllPRN!C56)</f>
        <v>0</v>
      </c>
      <c r="D56">
        <f>SUM(FishSumAllPRN!D56)</f>
        <v>0</v>
      </c>
      <c r="E56">
        <f>SUM(FishSumAllPRN!E56)</f>
        <v>0</v>
      </c>
      <c r="F56">
        <f>SUM(FishSumAllPRN!F56)</f>
        <v>769</v>
      </c>
      <c r="G56">
        <f>SUM(FishSumAllPRN!G56)</f>
        <v>769</v>
      </c>
      <c r="H56" s="54" t="s">
        <v>294</v>
      </c>
      <c r="I56" s="54"/>
      <c r="K56" t="s">
        <v>5716</v>
      </c>
      <c r="R56" s="365">
        <f>B197</f>
        <v>57</v>
      </c>
      <c r="S56" s="365">
        <f>C197</f>
        <v>2119</v>
      </c>
      <c r="T56" s="365">
        <f>D197</f>
        <v>1411</v>
      </c>
      <c r="U56" s="365">
        <f>E197</f>
        <v>0</v>
      </c>
      <c r="V56" s="365">
        <f>F197</f>
        <v>0</v>
      </c>
      <c r="Z56">
        <f t="shared" si="67"/>
        <v>3587</v>
      </c>
      <c r="AC56" s="50"/>
      <c r="AD56" s="37"/>
      <c r="AE56" s="37"/>
      <c r="AF56" s="37"/>
      <c r="AG56" s="37"/>
      <c r="AH56" s="37"/>
      <c r="AI56" s="37"/>
      <c r="AJ56" s="37" t="s">
        <v>157</v>
      </c>
      <c r="AK56">
        <f>SUM(B126)</f>
        <v>0</v>
      </c>
      <c r="AL56">
        <f>SUM(C126)</f>
        <v>0</v>
      </c>
      <c r="AM56">
        <f>SUM(D126)</f>
        <v>249</v>
      </c>
      <c r="AN56">
        <f>SUM(E126)</f>
        <v>2752</v>
      </c>
      <c r="AO56">
        <f>SUM(F126)</f>
        <v>0</v>
      </c>
      <c r="AP56">
        <f>SUM(W44,W45,W46,W47)</f>
        <v>0</v>
      </c>
      <c r="AQ56">
        <f>SUM(X44,X45,X46,X47)</f>
        <v>0</v>
      </c>
      <c r="AR56">
        <f>SUM(Y44,Y45,Y46,Y47)</f>
        <v>0</v>
      </c>
      <c r="AS56" s="59">
        <f t="shared" si="73"/>
        <v>3001</v>
      </c>
      <c r="AU56" s="50"/>
      <c r="AV56" s="37" t="str">
        <f t="shared" si="3"/>
        <v>Area 8-2</v>
      </c>
      <c r="AW56" s="180">
        <f t="shared" si="4"/>
        <v>0</v>
      </c>
      <c r="AX56" s="180">
        <f t="shared" si="5"/>
        <v>0</v>
      </c>
      <c r="AY56" s="180">
        <f t="shared" si="6"/>
        <v>305</v>
      </c>
      <c r="AZ56" s="180">
        <f t="shared" si="6"/>
        <v>4376</v>
      </c>
      <c r="BA56" s="180">
        <f t="shared" si="7"/>
        <v>0</v>
      </c>
      <c r="BB56" s="1725">
        <f t="shared" si="74"/>
        <v>4681</v>
      </c>
      <c r="BC56" s="37"/>
      <c r="BD56" s="50"/>
      <c r="BE56" s="37" t="str">
        <f t="shared" si="75"/>
        <v>Area 8-2</v>
      </c>
      <c r="BF56" s="497">
        <f t="shared" si="76"/>
        <v>0</v>
      </c>
      <c r="BG56" s="497">
        <f t="shared" si="76"/>
        <v>0</v>
      </c>
      <c r="BH56" s="497">
        <f t="shared" si="76"/>
        <v>31</v>
      </c>
      <c r="BI56" s="497">
        <f t="shared" si="76"/>
        <v>757</v>
      </c>
      <c r="BJ56" s="497">
        <f t="shared" si="76"/>
        <v>0</v>
      </c>
      <c r="BK56" s="498">
        <f t="shared" si="77"/>
        <v>788</v>
      </c>
      <c r="BL56" s="38"/>
      <c r="BM56" s="50"/>
      <c r="BN56" s="37" t="str">
        <f t="shared" si="78"/>
        <v>Area 8-2</v>
      </c>
      <c r="BO56" s="180">
        <f t="shared" si="79"/>
        <v>0</v>
      </c>
      <c r="BP56" s="180">
        <f t="shared" si="79"/>
        <v>0</v>
      </c>
      <c r="BQ56" s="180">
        <f t="shared" si="79"/>
        <v>25</v>
      </c>
      <c r="BR56" s="180">
        <f t="shared" si="79"/>
        <v>867</v>
      </c>
      <c r="BS56" s="180">
        <f t="shared" si="79"/>
        <v>0</v>
      </c>
      <c r="BT56" s="1725">
        <f t="shared" si="80"/>
        <v>892</v>
      </c>
      <c r="BU56" s="37"/>
      <c r="BV56" s="37"/>
      <c r="BW56" s="50"/>
      <c r="BX56" s="37" t="str">
        <f t="shared" si="81"/>
        <v>Area 8-2</v>
      </c>
      <c r="BY56" s="180">
        <f t="shared" si="82"/>
        <v>0</v>
      </c>
      <c r="BZ56" s="180">
        <f t="shared" si="82"/>
        <v>0</v>
      </c>
      <c r="CA56" s="180">
        <f t="shared" si="82"/>
        <v>56</v>
      </c>
      <c r="CB56" s="180">
        <f t="shared" si="82"/>
        <v>1624</v>
      </c>
      <c r="CC56" s="180">
        <f t="shared" si="82"/>
        <v>0</v>
      </c>
      <c r="CD56" s="1725">
        <f t="shared" si="83"/>
        <v>1680</v>
      </c>
      <c r="CE56" s="38"/>
      <c r="CF56" s="1326"/>
    </row>
    <row r="57" spans="1:84" x14ac:dyDescent="0.2">
      <c r="A57" t="s">
        <v>4310</v>
      </c>
      <c r="B57">
        <f>SUM(FishSumAllPRN!B57)</f>
        <v>0</v>
      </c>
      <c r="C57">
        <f>SUM(FishSumAllPRN!C57)</f>
        <v>0</v>
      </c>
      <c r="D57">
        <f>SUM(FishSumAllPRN!D57)</f>
        <v>0</v>
      </c>
      <c r="E57">
        <f>SUM(FishSumAllPRN!E57)</f>
        <v>0</v>
      </c>
      <c r="F57">
        <f>SUM(FishSumAllPRN!F57)</f>
        <v>4149</v>
      </c>
      <c r="G57">
        <f>SUM(FishSumAllPRN!G57)</f>
        <v>4149</v>
      </c>
      <c r="H57" s="54" t="s">
        <v>294</v>
      </c>
      <c r="I57" s="54"/>
      <c r="K57" t="s">
        <v>5717</v>
      </c>
      <c r="R57" s="177">
        <f>SUM(B180,B202:B203,B200)</f>
        <v>3940</v>
      </c>
      <c r="S57" s="177">
        <f>SUM(C180,C202:C203,C200)</f>
        <v>5491</v>
      </c>
      <c r="T57" s="177">
        <f>SUM(D180,D202:D203,D200)</f>
        <v>7522</v>
      </c>
      <c r="U57" s="177">
        <f>SUM(E180,E202:E203,E200)</f>
        <v>6675</v>
      </c>
      <c r="V57" s="177">
        <f>SUM(F180,F202:F203,F200)</f>
        <v>1221</v>
      </c>
      <c r="Z57">
        <f t="shared" si="67"/>
        <v>24849</v>
      </c>
      <c r="AC57" s="50"/>
      <c r="AD57" s="37"/>
      <c r="AE57" s="37"/>
      <c r="AF57" s="37"/>
      <c r="AG57" s="37"/>
      <c r="AH57" s="37"/>
      <c r="AI57" s="37"/>
      <c r="AJ57" s="37" t="s">
        <v>159</v>
      </c>
      <c r="AK57" s="38">
        <f>SUM(R45)</f>
        <v>0</v>
      </c>
      <c r="AL57" s="38">
        <f>SUM(S45)</f>
        <v>1224</v>
      </c>
      <c r="AM57" s="38">
        <f>SUM(T45)</f>
        <v>2718</v>
      </c>
      <c r="AN57" s="38">
        <f>SUM(U45)</f>
        <v>5873</v>
      </c>
      <c r="AO57" s="38">
        <f>SUM(V45)</f>
        <v>0</v>
      </c>
      <c r="AS57" s="59">
        <f t="shared" si="73"/>
        <v>9815</v>
      </c>
      <c r="AU57" s="50"/>
      <c r="AV57" s="37" t="str">
        <f t="shared" si="3"/>
        <v>Area 9</v>
      </c>
      <c r="AW57" s="180">
        <f t="shared" si="4"/>
        <v>0</v>
      </c>
      <c r="AX57" s="180">
        <f t="shared" si="5"/>
        <v>1573</v>
      </c>
      <c r="AY57" s="180">
        <f t="shared" si="6"/>
        <v>3494</v>
      </c>
      <c r="AZ57" s="180">
        <f t="shared" si="6"/>
        <v>7755</v>
      </c>
      <c r="BA57" s="180">
        <f t="shared" si="7"/>
        <v>0</v>
      </c>
      <c r="BB57" s="1725">
        <f t="shared" si="74"/>
        <v>12822</v>
      </c>
      <c r="BC57" s="37"/>
      <c r="BD57" s="50"/>
      <c r="BE57" s="37" t="str">
        <f t="shared" si="75"/>
        <v>Area 9</v>
      </c>
      <c r="BF57" s="497">
        <f t="shared" si="76"/>
        <v>0</v>
      </c>
      <c r="BG57" s="497">
        <f t="shared" si="76"/>
        <v>181</v>
      </c>
      <c r="BH57" s="497">
        <f t="shared" si="76"/>
        <v>403</v>
      </c>
      <c r="BI57" s="497">
        <f t="shared" si="76"/>
        <v>956</v>
      </c>
      <c r="BJ57" s="497">
        <f t="shared" si="76"/>
        <v>0</v>
      </c>
      <c r="BK57" s="498">
        <f t="shared" si="77"/>
        <v>1540</v>
      </c>
      <c r="BL57" s="38"/>
      <c r="BM57" s="50"/>
      <c r="BN57" s="37" t="str">
        <f t="shared" si="78"/>
        <v>Area 9</v>
      </c>
      <c r="BO57" s="497">
        <f t="shared" si="79"/>
        <v>0</v>
      </c>
      <c r="BP57" s="497">
        <f t="shared" si="79"/>
        <v>168</v>
      </c>
      <c r="BQ57" s="497">
        <f t="shared" si="79"/>
        <v>373</v>
      </c>
      <c r="BR57" s="497">
        <f t="shared" si="79"/>
        <v>926</v>
      </c>
      <c r="BS57" s="497">
        <f t="shared" si="79"/>
        <v>0</v>
      </c>
      <c r="BT57" s="1725">
        <f t="shared" si="80"/>
        <v>1467</v>
      </c>
      <c r="BU57" s="37"/>
      <c r="BV57" s="37"/>
      <c r="BW57" s="50"/>
      <c r="BX57" s="37" t="str">
        <f t="shared" si="81"/>
        <v>Area 9</v>
      </c>
      <c r="BY57" s="497">
        <f t="shared" si="82"/>
        <v>0</v>
      </c>
      <c r="BZ57" s="497">
        <f t="shared" si="82"/>
        <v>349</v>
      </c>
      <c r="CA57" s="497">
        <f t="shared" si="82"/>
        <v>776</v>
      </c>
      <c r="CB57" s="497">
        <f t="shared" si="82"/>
        <v>1882</v>
      </c>
      <c r="CC57" s="497">
        <f t="shared" si="82"/>
        <v>0</v>
      </c>
      <c r="CD57" s="1725">
        <f t="shared" si="83"/>
        <v>3007</v>
      </c>
      <c r="CE57" s="38"/>
      <c r="CF57" s="1326"/>
    </row>
    <row r="58" spans="1:84" x14ac:dyDescent="0.2">
      <c r="A58" t="s">
        <v>4311</v>
      </c>
      <c r="B58">
        <f>SUM(FishSumAllPRN!B58)</f>
        <v>0</v>
      </c>
      <c r="C58">
        <f>SUM(FishSumAllPRN!C58)</f>
        <v>0</v>
      </c>
      <c r="D58">
        <f>SUM(FishSumAllPRN!D58)</f>
        <v>0</v>
      </c>
      <c r="E58">
        <f>SUM(FishSumAllPRN!E58)</f>
        <v>21633</v>
      </c>
      <c r="F58">
        <f>SUM(FishSumAllPRN!F58)</f>
        <v>11260</v>
      </c>
      <c r="G58">
        <f>SUM(FishSumAllPRN!G58)</f>
        <v>32893</v>
      </c>
      <c r="H58" s="54" t="s">
        <v>294</v>
      </c>
      <c r="I58" s="54"/>
      <c r="K58" t="s">
        <v>5718</v>
      </c>
      <c r="R58" s="38">
        <f t="shared" ref="R58:V59" si="85">SUM(B98)</f>
        <v>0</v>
      </c>
      <c r="S58" s="38">
        <f t="shared" si="85"/>
        <v>0</v>
      </c>
      <c r="T58" s="38">
        <f t="shared" si="85"/>
        <v>21</v>
      </c>
      <c r="U58" s="38">
        <f t="shared" si="85"/>
        <v>1419</v>
      </c>
      <c r="V58" s="38">
        <f t="shared" si="85"/>
        <v>1073</v>
      </c>
      <c r="Z58">
        <f t="shared" si="67"/>
        <v>2513</v>
      </c>
      <c r="AC58" s="50"/>
      <c r="AD58" s="37"/>
      <c r="AE58" s="37"/>
      <c r="AF58" s="37"/>
      <c r="AG58" s="37"/>
      <c r="AH58" s="37"/>
      <c r="AI58" s="37"/>
      <c r="AJ58" s="37" t="s">
        <v>161</v>
      </c>
      <c r="AK58">
        <f>SUM(B129)</f>
        <v>3260</v>
      </c>
      <c r="AL58">
        <f>SUM(C129)</f>
        <v>3658</v>
      </c>
      <c r="AM58">
        <f>SUM(D129)</f>
        <v>5339</v>
      </c>
      <c r="AN58">
        <f>SUM(E129)</f>
        <v>11837</v>
      </c>
      <c r="AO58">
        <f>SUM(F129)</f>
        <v>567</v>
      </c>
      <c r="AS58" s="59">
        <f t="shared" si="73"/>
        <v>24661</v>
      </c>
      <c r="AU58" s="50"/>
      <c r="AV58" s="37" t="str">
        <f t="shared" si="3"/>
        <v>Area 10</v>
      </c>
      <c r="AW58" s="180">
        <f t="shared" si="4"/>
        <v>3423</v>
      </c>
      <c r="AX58" s="180">
        <f t="shared" si="5"/>
        <v>3841</v>
      </c>
      <c r="AY58" s="180">
        <f t="shared" si="6"/>
        <v>5606</v>
      </c>
      <c r="AZ58" s="180">
        <f t="shared" si="6"/>
        <v>12429</v>
      </c>
      <c r="BA58" s="180">
        <f t="shared" si="7"/>
        <v>595</v>
      </c>
      <c r="BB58" s="1725">
        <f t="shared" si="74"/>
        <v>25894</v>
      </c>
      <c r="BC58" s="37"/>
      <c r="BD58" s="50"/>
      <c r="BE58" s="37" t="str">
        <f t="shared" si="75"/>
        <v>Area 10</v>
      </c>
      <c r="BF58" s="497">
        <f t="shared" si="76"/>
        <v>163</v>
      </c>
      <c r="BG58" s="497">
        <f t="shared" si="76"/>
        <v>183</v>
      </c>
      <c r="BH58" s="497">
        <f t="shared" si="76"/>
        <v>267</v>
      </c>
      <c r="BI58" s="497">
        <f t="shared" si="76"/>
        <v>592</v>
      </c>
      <c r="BJ58" s="497">
        <f t="shared" si="76"/>
        <v>28</v>
      </c>
      <c r="BK58" s="498">
        <f t="shared" si="77"/>
        <v>1233</v>
      </c>
      <c r="BL58" s="38"/>
      <c r="BM58" s="50"/>
      <c r="BN58" s="37" t="str">
        <f t="shared" si="78"/>
        <v>Area 10</v>
      </c>
      <c r="BO58" s="180">
        <f t="shared" si="79"/>
        <v>0</v>
      </c>
      <c r="BP58" s="180">
        <f t="shared" si="79"/>
        <v>0</v>
      </c>
      <c r="BQ58" s="180">
        <f t="shared" si="79"/>
        <v>0</v>
      </c>
      <c r="BR58" s="180">
        <f t="shared" si="79"/>
        <v>0</v>
      </c>
      <c r="BS58" s="180">
        <f t="shared" si="79"/>
        <v>0</v>
      </c>
      <c r="BT58" s="1725">
        <f t="shared" si="80"/>
        <v>0</v>
      </c>
      <c r="BU58" s="37"/>
      <c r="BV58" s="37"/>
      <c r="BW58" s="50"/>
      <c r="BX58" s="37" t="str">
        <f t="shared" si="81"/>
        <v>Area 10</v>
      </c>
      <c r="BY58" s="180">
        <f t="shared" si="82"/>
        <v>163</v>
      </c>
      <c r="BZ58" s="180">
        <f t="shared" si="82"/>
        <v>183</v>
      </c>
      <c r="CA58" s="180">
        <f t="shared" si="82"/>
        <v>267</v>
      </c>
      <c r="CB58" s="180">
        <f t="shared" si="82"/>
        <v>592</v>
      </c>
      <c r="CC58" s="180">
        <f t="shared" si="82"/>
        <v>28</v>
      </c>
      <c r="CD58" s="1725">
        <f t="shared" si="83"/>
        <v>1233</v>
      </c>
      <c r="CE58" s="38"/>
      <c r="CF58" s="1326"/>
    </row>
    <row r="59" spans="1:84" x14ac:dyDescent="0.2">
      <c r="A59" t="s">
        <v>4312</v>
      </c>
      <c r="B59">
        <f>SUM(FishSumAllPRN!B59)</f>
        <v>0</v>
      </c>
      <c r="C59">
        <f>SUM(FishSumAllPRN!C59)</f>
        <v>0</v>
      </c>
      <c r="D59">
        <f>SUM(FishSumAllPRN!D59)</f>
        <v>0</v>
      </c>
      <c r="E59">
        <f>SUM(FishSumAllPRN!E59)</f>
        <v>3521</v>
      </c>
      <c r="F59">
        <f>SUM(FishSumAllPRN!F59)</f>
        <v>1362</v>
      </c>
      <c r="G59">
        <f>SUM(FishSumAllPRN!G59)</f>
        <v>4883</v>
      </c>
      <c r="H59" s="54" t="s">
        <v>294</v>
      </c>
      <c r="I59" s="54"/>
      <c r="K59" t="s">
        <v>5719</v>
      </c>
      <c r="R59" s="38">
        <f t="shared" si="85"/>
        <v>0</v>
      </c>
      <c r="S59" s="38">
        <f t="shared" si="85"/>
        <v>0</v>
      </c>
      <c r="T59" s="38">
        <f t="shared" si="85"/>
        <v>418</v>
      </c>
      <c r="U59" s="38">
        <f t="shared" si="85"/>
        <v>1560</v>
      </c>
      <c r="V59" s="38">
        <f t="shared" si="85"/>
        <v>4724</v>
      </c>
      <c r="Z59">
        <f t="shared" si="67"/>
        <v>6702</v>
      </c>
      <c r="AC59" s="50"/>
      <c r="AD59" s="37"/>
      <c r="AE59" s="37"/>
      <c r="AF59" s="37"/>
      <c r="AG59" s="37"/>
      <c r="AH59" s="37"/>
      <c r="AI59" s="37"/>
      <c r="AJ59" s="37" t="s">
        <v>163</v>
      </c>
      <c r="AK59">
        <f>SUM(B140)</f>
        <v>7</v>
      </c>
      <c r="AL59">
        <f>SUM(C140)</f>
        <v>337</v>
      </c>
      <c r="AM59">
        <f>SUM(D140)</f>
        <v>1163</v>
      </c>
      <c r="AN59">
        <f>SUM(E140)</f>
        <v>2960</v>
      </c>
      <c r="AO59">
        <f>SUM(F140)</f>
        <v>93</v>
      </c>
      <c r="AS59" s="59">
        <f t="shared" si="73"/>
        <v>4560</v>
      </c>
      <c r="AU59" s="50"/>
      <c r="AV59" s="37" t="str">
        <f t="shared" si="3"/>
        <v>Area 11</v>
      </c>
      <c r="AW59" s="180">
        <f t="shared" si="4"/>
        <v>7</v>
      </c>
      <c r="AX59" s="180">
        <f t="shared" si="5"/>
        <v>354</v>
      </c>
      <c r="AY59" s="180">
        <f t="shared" si="6"/>
        <v>1221</v>
      </c>
      <c r="AZ59" s="180">
        <f t="shared" si="6"/>
        <v>3108</v>
      </c>
      <c r="BA59" s="180">
        <f t="shared" si="7"/>
        <v>102</v>
      </c>
      <c r="BB59" s="1725">
        <f t="shared" si="74"/>
        <v>4792</v>
      </c>
      <c r="BC59" s="37"/>
      <c r="BD59" s="50"/>
      <c r="BE59" s="37" t="str">
        <f t="shared" si="75"/>
        <v>Area 11</v>
      </c>
      <c r="BF59" s="497">
        <f t="shared" si="76"/>
        <v>0</v>
      </c>
      <c r="BG59" s="497">
        <f t="shared" si="76"/>
        <v>17</v>
      </c>
      <c r="BH59" s="497">
        <f t="shared" si="76"/>
        <v>58</v>
      </c>
      <c r="BI59" s="497">
        <f t="shared" si="76"/>
        <v>148</v>
      </c>
      <c r="BJ59" s="497">
        <f t="shared" si="76"/>
        <v>5</v>
      </c>
      <c r="BK59" s="498">
        <f t="shared" si="77"/>
        <v>228</v>
      </c>
      <c r="BL59" s="38"/>
      <c r="BM59" s="50"/>
      <c r="BN59" s="37" t="str">
        <f t="shared" si="78"/>
        <v>Area 11</v>
      </c>
      <c r="BO59" s="180">
        <f t="shared" si="79"/>
        <v>0</v>
      </c>
      <c r="BP59" s="180">
        <f t="shared" si="79"/>
        <v>0</v>
      </c>
      <c r="BQ59" s="180">
        <f t="shared" si="79"/>
        <v>0</v>
      </c>
      <c r="BR59" s="180">
        <f t="shared" si="79"/>
        <v>0</v>
      </c>
      <c r="BS59" s="180">
        <f t="shared" si="79"/>
        <v>4</v>
      </c>
      <c r="BT59" s="1725">
        <f t="shared" si="80"/>
        <v>4</v>
      </c>
      <c r="BU59" s="37"/>
      <c r="BV59" s="37"/>
      <c r="BW59" s="50"/>
      <c r="BX59" s="37" t="str">
        <f t="shared" si="81"/>
        <v>Area 11</v>
      </c>
      <c r="BY59" s="180">
        <f t="shared" si="82"/>
        <v>0</v>
      </c>
      <c r="BZ59" s="180">
        <f t="shared" si="82"/>
        <v>17</v>
      </c>
      <c r="CA59" s="180">
        <f t="shared" si="82"/>
        <v>58</v>
      </c>
      <c r="CB59" s="180">
        <f t="shared" si="82"/>
        <v>148</v>
      </c>
      <c r="CC59" s="180">
        <f t="shared" si="82"/>
        <v>9</v>
      </c>
      <c r="CD59" s="1725">
        <f t="shared" si="83"/>
        <v>232</v>
      </c>
      <c r="CE59" s="38"/>
      <c r="CF59" s="1326"/>
    </row>
    <row r="60" spans="1:84" x14ac:dyDescent="0.2">
      <c r="A60" t="s">
        <v>4313</v>
      </c>
      <c r="B60">
        <f>SUM(FishSumAllPRN!B60)</f>
        <v>0</v>
      </c>
      <c r="C60">
        <f>SUM(FishSumAllPRN!C60)</f>
        <v>0</v>
      </c>
      <c r="D60">
        <f>SUM(FishSumAllPRN!D60)</f>
        <v>0</v>
      </c>
      <c r="E60">
        <f>SUM(FishSumAllPRN!E60)</f>
        <v>0</v>
      </c>
      <c r="F60">
        <f>SUM(FishSumAllPRN!F60)</f>
        <v>77</v>
      </c>
      <c r="G60">
        <f>SUM(FishSumAllPRN!G60)</f>
        <v>77</v>
      </c>
      <c r="H60" s="54" t="s">
        <v>294</v>
      </c>
      <c r="I60" s="54"/>
      <c r="K60" t="s">
        <v>5720</v>
      </c>
      <c r="R60" s="38">
        <f t="shared" ref="R60:V61" si="86">SUM(B107)</f>
        <v>0</v>
      </c>
      <c r="S60" s="38">
        <f t="shared" si="86"/>
        <v>0</v>
      </c>
      <c r="T60" s="38">
        <f t="shared" si="86"/>
        <v>0</v>
      </c>
      <c r="U60" s="38">
        <f t="shared" si="86"/>
        <v>2815</v>
      </c>
      <c r="V60" s="38">
        <f t="shared" si="86"/>
        <v>39</v>
      </c>
      <c r="Z60">
        <f t="shared" si="67"/>
        <v>2854</v>
      </c>
      <c r="AC60" s="50"/>
      <c r="AD60" s="37"/>
      <c r="AE60" s="37"/>
      <c r="AF60" s="37"/>
      <c r="AG60" s="37"/>
      <c r="AH60" s="37"/>
      <c r="AI60" s="37"/>
      <c r="AJ60" s="37" t="s">
        <v>165</v>
      </c>
      <c r="AK60">
        <f>SUM(B147)</f>
        <v>290</v>
      </c>
      <c r="AL60">
        <f>SUM(C147)</f>
        <v>22</v>
      </c>
      <c r="AM60">
        <f>SUM(D147)</f>
        <v>50</v>
      </c>
      <c r="AN60">
        <f>SUM(E147)</f>
        <v>325</v>
      </c>
      <c r="AO60">
        <f>SUM(F147)</f>
        <v>71</v>
      </c>
      <c r="AS60" s="59">
        <f t="shared" si="73"/>
        <v>758</v>
      </c>
      <c r="AU60" s="50"/>
      <c r="AV60" s="37" t="str">
        <f t="shared" si="3"/>
        <v>Area 13</v>
      </c>
      <c r="AW60" s="180">
        <f t="shared" si="4"/>
        <v>410</v>
      </c>
      <c r="AX60" s="180">
        <f t="shared" si="5"/>
        <v>31</v>
      </c>
      <c r="AY60" s="180">
        <f t="shared" si="6"/>
        <v>71</v>
      </c>
      <c r="AZ60" s="180">
        <f t="shared" si="6"/>
        <v>448</v>
      </c>
      <c r="BA60" s="180">
        <f t="shared" si="7"/>
        <v>99</v>
      </c>
      <c r="BB60" s="1725">
        <f t="shared" si="74"/>
        <v>1059</v>
      </c>
      <c r="BC60" s="37"/>
      <c r="BD60" s="50"/>
      <c r="BE60" s="37" t="str">
        <f t="shared" si="75"/>
        <v>Area 13</v>
      </c>
      <c r="BF60" s="497">
        <f t="shared" si="76"/>
        <v>58</v>
      </c>
      <c r="BG60" s="497">
        <f t="shared" si="76"/>
        <v>5</v>
      </c>
      <c r="BH60" s="497">
        <f t="shared" si="76"/>
        <v>10</v>
      </c>
      <c r="BI60" s="497">
        <f t="shared" si="76"/>
        <v>61</v>
      </c>
      <c r="BJ60" s="497">
        <f t="shared" si="76"/>
        <v>14</v>
      </c>
      <c r="BK60" s="498">
        <f t="shared" si="77"/>
        <v>148</v>
      </c>
      <c r="BL60" s="38"/>
      <c r="BM60" s="50"/>
      <c r="BN60" s="37" t="str">
        <f t="shared" si="78"/>
        <v>Area 13</v>
      </c>
      <c r="BO60" s="180">
        <f t="shared" si="79"/>
        <v>62</v>
      </c>
      <c r="BP60" s="180">
        <f t="shared" si="79"/>
        <v>4</v>
      </c>
      <c r="BQ60" s="180">
        <f t="shared" si="79"/>
        <v>11</v>
      </c>
      <c r="BR60" s="180">
        <f t="shared" si="79"/>
        <v>62</v>
      </c>
      <c r="BS60" s="180">
        <f t="shared" si="79"/>
        <v>14</v>
      </c>
      <c r="BT60" s="1725">
        <f t="shared" si="80"/>
        <v>153</v>
      </c>
      <c r="BU60" s="37"/>
      <c r="BV60" s="37"/>
      <c r="BW60" s="50"/>
      <c r="BX60" s="37" t="str">
        <f t="shared" si="81"/>
        <v>Area 13</v>
      </c>
      <c r="BY60" s="180">
        <f t="shared" si="82"/>
        <v>120</v>
      </c>
      <c r="BZ60" s="180">
        <f t="shared" si="82"/>
        <v>9</v>
      </c>
      <c r="CA60" s="180">
        <f t="shared" si="82"/>
        <v>21</v>
      </c>
      <c r="CB60" s="180">
        <f t="shared" si="82"/>
        <v>123</v>
      </c>
      <c r="CC60" s="180">
        <f t="shared" si="82"/>
        <v>28</v>
      </c>
      <c r="CD60" s="1725">
        <f t="shared" si="83"/>
        <v>301</v>
      </c>
      <c r="CE60" s="38"/>
      <c r="CF60" s="1326"/>
    </row>
    <row r="61" spans="1:84" x14ac:dyDescent="0.2">
      <c r="A61" t="s">
        <v>4314</v>
      </c>
      <c r="B61">
        <f>SUM(FishSumAllPRN!B61)</f>
        <v>0</v>
      </c>
      <c r="C61">
        <f>SUM(FishSumAllPRN!C61)</f>
        <v>0</v>
      </c>
      <c r="D61">
        <f>SUM(FishSumAllPRN!D61)</f>
        <v>0</v>
      </c>
      <c r="E61">
        <f>SUM(FishSumAllPRN!E61)</f>
        <v>0</v>
      </c>
      <c r="F61">
        <f>SUM(FishSumAllPRN!F61)</f>
        <v>6272</v>
      </c>
      <c r="G61">
        <f>SUM(FishSumAllPRN!G61)</f>
        <v>6272</v>
      </c>
      <c r="H61" s="54" t="s">
        <v>294</v>
      </c>
      <c r="I61" s="54"/>
      <c r="K61" t="s">
        <v>5721</v>
      </c>
      <c r="R61" s="38">
        <f t="shared" si="86"/>
        <v>0</v>
      </c>
      <c r="S61" s="38">
        <f t="shared" si="86"/>
        <v>0</v>
      </c>
      <c r="T61" s="38">
        <f t="shared" si="86"/>
        <v>0</v>
      </c>
      <c r="U61" s="38">
        <f t="shared" si="86"/>
        <v>23233</v>
      </c>
      <c r="V61" s="38">
        <f t="shared" si="86"/>
        <v>1144</v>
      </c>
      <c r="Z61">
        <f t="shared" si="67"/>
        <v>24377</v>
      </c>
      <c r="AC61" s="50"/>
      <c r="AD61" s="37"/>
      <c r="AE61" s="37"/>
      <c r="AF61" s="37"/>
      <c r="AG61" s="37"/>
      <c r="AH61" s="37"/>
      <c r="AI61" s="37"/>
      <c r="AJ61" s="37" t="s">
        <v>167</v>
      </c>
      <c r="AK61">
        <f>SUM(B163)</f>
        <v>0</v>
      </c>
      <c r="AL61">
        <f>SUM(C163)</f>
        <v>0</v>
      </c>
      <c r="AM61">
        <f>SUM(D163)</f>
        <v>1981</v>
      </c>
      <c r="AN61">
        <f>SUM(E163)</f>
        <v>4837</v>
      </c>
      <c r="AO61">
        <f>SUM(F163)</f>
        <v>803</v>
      </c>
      <c r="AS61" s="59">
        <f t="shared" si="73"/>
        <v>7621</v>
      </c>
      <c r="AU61" s="50"/>
      <c r="AV61" s="37" t="str">
        <f t="shared" si="3"/>
        <v>Area 12</v>
      </c>
      <c r="AW61" s="180">
        <f t="shared" si="4"/>
        <v>0</v>
      </c>
      <c r="AX61" s="180">
        <f t="shared" si="5"/>
        <v>0</v>
      </c>
      <c r="AY61" s="180">
        <f t="shared" si="6"/>
        <v>2080</v>
      </c>
      <c r="AZ61" s="180">
        <f t="shared" si="6"/>
        <v>5079</v>
      </c>
      <c r="BA61" s="180">
        <f t="shared" si="7"/>
        <v>843</v>
      </c>
      <c r="BB61" s="1725">
        <f t="shared" si="74"/>
        <v>8002</v>
      </c>
      <c r="BC61" s="37"/>
      <c r="BD61" s="50"/>
      <c r="BE61" s="37" t="str">
        <f t="shared" si="75"/>
        <v>Area 12</v>
      </c>
      <c r="BF61" s="497">
        <f t="shared" si="76"/>
        <v>0</v>
      </c>
      <c r="BG61" s="497">
        <f t="shared" si="76"/>
        <v>0</v>
      </c>
      <c r="BH61" s="497">
        <f t="shared" si="76"/>
        <v>99</v>
      </c>
      <c r="BI61" s="497">
        <f t="shared" si="76"/>
        <v>242</v>
      </c>
      <c r="BJ61" s="497">
        <f t="shared" si="76"/>
        <v>40</v>
      </c>
      <c r="BK61" s="498">
        <f t="shared" si="77"/>
        <v>381</v>
      </c>
      <c r="BL61" s="38"/>
      <c r="BM61" s="50"/>
      <c r="BN61" s="37" t="str">
        <f t="shared" si="78"/>
        <v>Area 12</v>
      </c>
      <c r="BO61" s="180">
        <f t="shared" si="79"/>
        <v>0</v>
      </c>
      <c r="BP61" s="180">
        <f t="shared" si="79"/>
        <v>0</v>
      </c>
      <c r="BQ61" s="180">
        <f t="shared" si="79"/>
        <v>0</v>
      </c>
      <c r="BR61" s="180">
        <f t="shared" si="79"/>
        <v>0</v>
      </c>
      <c r="BS61" s="180">
        <f t="shared" si="79"/>
        <v>0</v>
      </c>
      <c r="BT61" s="1725">
        <f t="shared" si="80"/>
        <v>0</v>
      </c>
      <c r="BU61" s="37"/>
      <c r="BV61" s="37"/>
      <c r="BW61" s="50"/>
      <c r="BX61" s="37" t="str">
        <f t="shared" si="81"/>
        <v>Area 12</v>
      </c>
      <c r="BY61" s="180">
        <f t="shared" si="82"/>
        <v>0</v>
      </c>
      <c r="BZ61" s="180">
        <f t="shared" si="82"/>
        <v>0</v>
      </c>
      <c r="CA61" s="180">
        <f t="shared" si="82"/>
        <v>99</v>
      </c>
      <c r="CB61" s="180">
        <f t="shared" si="82"/>
        <v>242</v>
      </c>
      <c r="CC61" s="180">
        <f t="shared" si="82"/>
        <v>40</v>
      </c>
      <c r="CD61" s="1725">
        <f t="shared" si="83"/>
        <v>381</v>
      </c>
      <c r="CE61" s="38"/>
      <c r="CF61" s="1326"/>
    </row>
    <row r="62" spans="1:84" x14ac:dyDescent="0.2">
      <c r="A62" t="s">
        <v>4315</v>
      </c>
      <c r="B62">
        <f>SUM(FishSumAllPRN!B62)</f>
        <v>0</v>
      </c>
      <c r="C62">
        <f>SUM(FishSumAllPRN!C62)</f>
        <v>0</v>
      </c>
      <c r="D62">
        <f>SUM(FishSumAllPRN!D62)</f>
        <v>0</v>
      </c>
      <c r="E62">
        <f>SUM(FishSumAllPRN!E62)</f>
        <v>0</v>
      </c>
      <c r="F62">
        <f>SUM(FishSumAllPRN!F62)</f>
        <v>4080</v>
      </c>
      <c r="G62">
        <f>SUM(FishSumAllPRN!G62)</f>
        <v>4080</v>
      </c>
      <c r="H62" s="54" t="s">
        <v>294</v>
      </c>
      <c r="I62" s="54"/>
      <c r="K62" t="s">
        <v>5722</v>
      </c>
      <c r="R62" s="38">
        <f t="shared" ref="R62:V63" si="87">SUM(B91)</f>
        <v>0</v>
      </c>
      <c r="S62" s="38">
        <f t="shared" si="87"/>
        <v>0</v>
      </c>
      <c r="T62" s="38">
        <f t="shared" si="87"/>
        <v>0</v>
      </c>
      <c r="U62" s="38">
        <f t="shared" si="87"/>
        <v>0</v>
      </c>
      <c r="V62" s="38">
        <f t="shared" si="87"/>
        <v>0</v>
      </c>
      <c r="Z62">
        <f t="shared" si="67"/>
        <v>0</v>
      </c>
      <c r="AC62" s="50"/>
      <c r="AD62" s="37"/>
      <c r="AE62" s="37"/>
      <c r="AF62" s="37"/>
      <c r="AG62" s="37"/>
      <c r="AH62" s="37"/>
      <c r="AI62" s="37"/>
      <c r="AJ62" s="37"/>
      <c r="AS62" s="58"/>
      <c r="AU62" s="50"/>
      <c r="AV62" s="37"/>
      <c r="AW62" s="180"/>
      <c r="AX62" s="180"/>
      <c r="AY62" s="180"/>
      <c r="AZ62" s="180"/>
      <c r="BA62" s="180"/>
      <c r="BB62" s="1725"/>
      <c r="BC62" s="37"/>
      <c r="BD62" s="50"/>
      <c r="BE62" s="37"/>
      <c r="BF62" s="497"/>
      <c r="BG62" s="497"/>
      <c r="BH62" s="497"/>
      <c r="BI62" s="497"/>
      <c r="BJ62" s="497"/>
      <c r="BK62" s="498"/>
      <c r="BL62" s="38"/>
      <c r="BM62" s="50"/>
      <c r="BN62" s="37"/>
      <c r="BO62" s="180"/>
      <c r="BP62" s="180"/>
      <c r="BQ62" s="180"/>
      <c r="BR62" s="180"/>
      <c r="BS62" s="180"/>
      <c r="BT62" s="1725"/>
      <c r="BU62" s="37"/>
      <c r="BV62" s="37"/>
      <c r="BW62" s="50"/>
      <c r="BX62" s="37"/>
      <c r="BY62" s="180"/>
      <c r="BZ62" s="180"/>
      <c r="CA62" s="180"/>
      <c r="CB62" s="180"/>
      <c r="CC62" s="180"/>
      <c r="CD62" s="1725"/>
      <c r="CE62" s="38"/>
      <c r="CF62" s="1326"/>
    </row>
    <row r="63" spans="1:84" x14ac:dyDescent="0.2">
      <c r="A63" t="s">
        <v>4316</v>
      </c>
      <c r="B63">
        <f>SUM(FishSumAllPRN!B63)</f>
        <v>0</v>
      </c>
      <c r="C63">
        <f>SUM(FishSumAllPRN!C63)</f>
        <v>0</v>
      </c>
      <c r="D63">
        <f>SUM(FishSumAllPRN!D63)</f>
        <v>0</v>
      </c>
      <c r="E63">
        <f>SUM(FishSumAllPRN!E63)</f>
        <v>4443</v>
      </c>
      <c r="F63">
        <f>SUM(FishSumAllPRN!F63)</f>
        <v>22846</v>
      </c>
      <c r="G63">
        <f>SUM(FishSumAllPRN!G63)</f>
        <v>27289</v>
      </c>
      <c r="H63" s="54" t="s">
        <v>294</v>
      </c>
      <c r="I63" s="54"/>
      <c r="K63" t="s">
        <v>5723</v>
      </c>
      <c r="R63" s="38">
        <f t="shared" si="87"/>
        <v>0</v>
      </c>
      <c r="S63" s="38">
        <f t="shared" si="87"/>
        <v>34</v>
      </c>
      <c r="T63" s="38">
        <f t="shared" si="87"/>
        <v>360</v>
      </c>
      <c r="U63" s="38">
        <f t="shared" si="87"/>
        <v>209</v>
      </c>
      <c r="V63" s="38">
        <f t="shared" si="87"/>
        <v>2225</v>
      </c>
      <c r="Z63">
        <f t="shared" si="67"/>
        <v>2828</v>
      </c>
      <c r="AC63" s="50" t="s">
        <v>5724</v>
      </c>
      <c r="AD63" s="37"/>
      <c r="AE63" s="37"/>
      <c r="AF63" s="37"/>
      <c r="AG63" s="37"/>
      <c r="AH63" s="37"/>
      <c r="AI63" s="37"/>
      <c r="AJ63" s="37" t="s">
        <v>5725</v>
      </c>
      <c r="AK63" s="38">
        <f t="shared" ref="AK63:AO64" si="88">SUM(R62)</f>
        <v>0</v>
      </c>
      <c r="AL63" s="38">
        <f t="shared" si="88"/>
        <v>0</v>
      </c>
      <c r="AM63" s="38">
        <f t="shared" si="88"/>
        <v>0</v>
      </c>
      <c r="AN63" s="38">
        <f t="shared" si="88"/>
        <v>0</v>
      </c>
      <c r="AO63" s="38">
        <f t="shared" si="88"/>
        <v>0</v>
      </c>
      <c r="AP63" s="38">
        <f>SUM(W62:W63)</f>
        <v>0</v>
      </c>
      <c r="AQ63" s="38">
        <f>SUM(X62:X63)</f>
        <v>0</v>
      </c>
      <c r="AR63" s="38">
        <f>SUM(Y62:Y63)</f>
        <v>0</v>
      </c>
      <c r="AS63" s="59">
        <f t="shared" ref="AS63:AS85" si="89">SUM(AK63:AO63)</f>
        <v>0</v>
      </c>
      <c r="AU63" s="50" t="s">
        <v>5724</v>
      </c>
      <c r="AV63" s="37" t="str">
        <f t="shared" si="3"/>
        <v>JDF NTtrty</v>
      </c>
      <c r="AW63" s="180">
        <f t="shared" si="4"/>
        <v>0</v>
      </c>
      <c r="AX63" s="180">
        <f t="shared" si="5"/>
        <v>0</v>
      </c>
      <c r="AY63" s="180">
        <f t="shared" si="6"/>
        <v>0</v>
      </c>
      <c r="AZ63" s="180">
        <f t="shared" si="6"/>
        <v>0</v>
      </c>
      <c r="BA63" s="180">
        <f t="shared" si="7"/>
        <v>0</v>
      </c>
      <c r="BB63" s="1725">
        <f t="shared" ref="BB63:BB85" si="90">SUM(AW63:BA63)</f>
        <v>0</v>
      </c>
      <c r="BC63" s="37"/>
      <c r="BD63" s="50" t="s">
        <v>5724</v>
      </c>
      <c r="BE63" s="37" t="str">
        <f t="shared" ref="BE63:BE79" si="91">AV63</f>
        <v>JDF NTtrty</v>
      </c>
      <c r="BF63" s="497">
        <f t="shared" ref="BF63:BJ85" si="92">AW63-AK63-BO63</f>
        <v>0</v>
      </c>
      <c r="BG63" s="497">
        <f t="shared" si="92"/>
        <v>0</v>
      </c>
      <c r="BH63" s="497">
        <f t="shared" si="92"/>
        <v>0</v>
      </c>
      <c r="BI63" s="497">
        <f t="shared" si="92"/>
        <v>0</v>
      </c>
      <c r="BJ63" s="497">
        <f t="shared" si="92"/>
        <v>0</v>
      </c>
      <c r="BK63" s="498">
        <f t="shared" ref="BK63:BK85" si="93">SUM(BF63:BJ63)</f>
        <v>0</v>
      </c>
      <c r="BM63" s="50" t="s">
        <v>5724</v>
      </c>
      <c r="BN63" s="37" t="str">
        <f t="shared" ref="BN63:BN79" si="94">AV63</f>
        <v>JDF NTtrty</v>
      </c>
      <c r="BO63" s="497">
        <f t="shared" ref="BO63:BS78" si="95">AK484</f>
        <v>0</v>
      </c>
      <c r="BP63" s="497">
        <f t="shared" si="95"/>
        <v>0</v>
      </c>
      <c r="BQ63" s="497">
        <f t="shared" si="95"/>
        <v>0</v>
      </c>
      <c r="BR63" s="497">
        <f t="shared" si="95"/>
        <v>0</v>
      </c>
      <c r="BS63" s="497">
        <f t="shared" si="95"/>
        <v>0</v>
      </c>
      <c r="BT63" s="1725">
        <f t="shared" ref="BT63:BT85" si="96">SUM(BO63:BS63)</f>
        <v>0</v>
      </c>
      <c r="BU63" s="37"/>
      <c r="BV63" s="37"/>
      <c r="BW63" s="50" t="s">
        <v>5724</v>
      </c>
      <c r="BX63" s="37" t="str">
        <f t="shared" ref="BX63:BX79" si="97">AV63</f>
        <v>JDF NTtrty</v>
      </c>
      <c r="BY63" s="497">
        <f t="shared" ref="BY63:CC79" si="98">AW63-AK63</f>
        <v>0</v>
      </c>
      <c r="BZ63" s="497">
        <f t="shared" si="98"/>
        <v>0</v>
      </c>
      <c r="CA63" s="497">
        <f t="shared" si="98"/>
        <v>0</v>
      </c>
      <c r="CB63" s="497">
        <f t="shared" si="98"/>
        <v>0</v>
      </c>
      <c r="CC63" s="497">
        <f t="shared" si="98"/>
        <v>0</v>
      </c>
      <c r="CD63" s="1725">
        <f t="shared" ref="CD63:CD85" si="99">SUM(BY63:CC63)</f>
        <v>0</v>
      </c>
      <c r="CF63" s="1326"/>
    </row>
    <row r="64" spans="1:84" x14ac:dyDescent="0.2">
      <c r="A64" t="s">
        <v>4317</v>
      </c>
      <c r="B64">
        <f>SUM(FishSumAllPRN!B64)</f>
        <v>0</v>
      </c>
      <c r="C64">
        <f>SUM(FishSumAllPRN!C64)</f>
        <v>0</v>
      </c>
      <c r="D64">
        <f>SUM(FishSumAllPRN!D64)</f>
        <v>0</v>
      </c>
      <c r="E64">
        <f>SUM(FishSumAllPRN!E64)</f>
        <v>0</v>
      </c>
      <c r="F64">
        <f>SUM(FishSumAllPRN!F64)</f>
        <v>0</v>
      </c>
      <c r="G64">
        <f>SUM(FishSumAllPRN!G64)</f>
        <v>0</v>
      </c>
      <c r="H64" s="54" t="s">
        <v>294</v>
      </c>
      <c r="I64" s="54"/>
      <c r="K64" t="s">
        <v>5726</v>
      </c>
      <c r="R64" s="38">
        <f t="shared" ref="R64:V65" si="100">SUM(B112)</f>
        <v>0</v>
      </c>
      <c r="S64" s="38">
        <f t="shared" si="100"/>
        <v>0</v>
      </c>
      <c r="T64" s="38">
        <f t="shared" si="100"/>
        <v>0</v>
      </c>
      <c r="U64" s="38">
        <f t="shared" si="100"/>
        <v>0</v>
      </c>
      <c r="V64" s="38">
        <f t="shared" si="100"/>
        <v>0</v>
      </c>
      <c r="Z64">
        <f t="shared" si="67"/>
        <v>0</v>
      </c>
      <c r="AC64" s="61"/>
      <c r="AD64" s="37"/>
      <c r="AE64" s="37"/>
      <c r="AF64" s="37"/>
      <c r="AG64" s="37"/>
      <c r="AH64" s="37"/>
      <c r="AI64" s="37"/>
      <c r="AJ64" s="37" t="s">
        <v>5727</v>
      </c>
      <c r="AK64" s="38">
        <f t="shared" si="88"/>
        <v>0</v>
      </c>
      <c r="AL64" s="38">
        <f t="shared" si="88"/>
        <v>34</v>
      </c>
      <c r="AM64" s="38">
        <f t="shared" si="88"/>
        <v>360</v>
      </c>
      <c r="AN64" s="38">
        <f t="shared" si="88"/>
        <v>209</v>
      </c>
      <c r="AO64" s="38">
        <f t="shared" si="88"/>
        <v>2225</v>
      </c>
      <c r="AP64" s="38"/>
      <c r="AQ64" s="38"/>
      <c r="AR64" s="38"/>
      <c r="AS64" s="59">
        <f t="shared" si="89"/>
        <v>2828</v>
      </c>
      <c r="AU64" s="61"/>
      <c r="AV64" s="37" t="str">
        <f t="shared" si="3"/>
        <v>JDF Trty</v>
      </c>
      <c r="AW64" s="180">
        <f t="shared" si="4"/>
        <v>0</v>
      </c>
      <c r="AX64" s="180">
        <f t="shared" si="5"/>
        <v>35</v>
      </c>
      <c r="AY64" s="180">
        <f t="shared" si="6"/>
        <v>367</v>
      </c>
      <c r="AZ64" s="180">
        <f t="shared" si="6"/>
        <v>213</v>
      </c>
      <c r="BA64" s="180">
        <f t="shared" si="7"/>
        <v>2269</v>
      </c>
      <c r="BB64" s="1725">
        <f t="shared" si="90"/>
        <v>2884</v>
      </c>
      <c r="BC64" s="37"/>
      <c r="BD64" s="61"/>
      <c r="BE64" s="37" t="str">
        <f t="shared" si="91"/>
        <v>JDF Trty</v>
      </c>
      <c r="BF64" s="497">
        <f t="shared" si="92"/>
        <v>0</v>
      </c>
      <c r="BG64" s="497">
        <f t="shared" si="92"/>
        <v>1</v>
      </c>
      <c r="BH64" s="497">
        <f t="shared" si="92"/>
        <v>7</v>
      </c>
      <c r="BI64" s="497">
        <f t="shared" si="92"/>
        <v>4</v>
      </c>
      <c r="BJ64" s="497">
        <f t="shared" si="92"/>
        <v>44</v>
      </c>
      <c r="BK64" s="498">
        <f t="shared" si="93"/>
        <v>56</v>
      </c>
      <c r="BL64" s="38"/>
      <c r="BM64" s="61"/>
      <c r="BN64" s="37" t="str">
        <f t="shared" si="94"/>
        <v>JDF Trty</v>
      </c>
      <c r="BO64" s="497">
        <f t="shared" si="95"/>
        <v>0</v>
      </c>
      <c r="BP64" s="497">
        <f t="shared" si="95"/>
        <v>0</v>
      </c>
      <c r="BQ64" s="497">
        <f t="shared" si="95"/>
        <v>0</v>
      </c>
      <c r="BR64" s="497">
        <f t="shared" si="95"/>
        <v>0</v>
      </c>
      <c r="BS64" s="497">
        <f t="shared" si="95"/>
        <v>0</v>
      </c>
      <c r="BT64" s="1725">
        <f t="shared" si="96"/>
        <v>0</v>
      </c>
      <c r="BU64" s="37"/>
      <c r="BV64" s="37"/>
      <c r="BW64" s="61"/>
      <c r="BX64" s="37" t="str">
        <f t="shared" si="97"/>
        <v>JDF Trty</v>
      </c>
      <c r="BY64" s="497">
        <f t="shared" si="98"/>
        <v>0</v>
      </c>
      <c r="BZ64" s="497">
        <f t="shared" si="98"/>
        <v>1</v>
      </c>
      <c r="CA64" s="497">
        <f t="shared" si="98"/>
        <v>7</v>
      </c>
      <c r="CB64" s="497">
        <f t="shared" si="98"/>
        <v>4</v>
      </c>
      <c r="CC64" s="497">
        <f t="shared" si="98"/>
        <v>44</v>
      </c>
      <c r="CD64" s="1725">
        <f t="shared" si="99"/>
        <v>56</v>
      </c>
      <c r="CE64" s="38"/>
      <c r="CF64" s="1326"/>
    </row>
    <row r="65" spans="1:84" x14ac:dyDescent="0.2">
      <c r="A65" t="s">
        <v>4318</v>
      </c>
      <c r="B65">
        <f>SUM(FishSumAllPRN!B65)</f>
        <v>0</v>
      </c>
      <c r="C65">
        <f>SUM(FishSumAllPRN!C65)</f>
        <v>0</v>
      </c>
      <c r="D65">
        <f>SUM(FishSumAllPRN!D65)</f>
        <v>0</v>
      </c>
      <c r="E65">
        <f>SUM(FishSumAllPRN!E65)</f>
        <v>0</v>
      </c>
      <c r="F65">
        <f>SUM(FishSumAllPRN!F65)</f>
        <v>16367</v>
      </c>
      <c r="G65">
        <f>SUM(FishSumAllPRN!G65)</f>
        <v>16367</v>
      </c>
      <c r="H65" s="54" t="s">
        <v>294</v>
      </c>
      <c r="I65" s="54"/>
      <c r="K65" t="s">
        <v>5728</v>
      </c>
      <c r="R65" s="38">
        <f t="shared" si="100"/>
        <v>0</v>
      </c>
      <c r="S65" s="38">
        <f t="shared" si="100"/>
        <v>0</v>
      </c>
      <c r="T65" s="38">
        <f t="shared" si="100"/>
        <v>0</v>
      </c>
      <c r="U65" s="38">
        <f t="shared" si="100"/>
        <v>433</v>
      </c>
      <c r="V65" s="38">
        <f t="shared" si="100"/>
        <v>201</v>
      </c>
      <c r="Z65">
        <f t="shared" si="67"/>
        <v>634</v>
      </c>
      <c r="AC65" s="50"/>
      <c r="AD65" s="37"/>
      <c r="AE65" s="37"/>
      <c r="AF65" s="37"/>
      <c r="AG65" s="37"/>
      <c r="AH65" s="37"/>
      <c r="AI65" s="37"/>
      <c r="AJ65" s="37" t="s">
        <v>5729</v>
      </c>
      <c r="AK65" s="38">
        <f t="shared" ref="AK65:AO66" si="101">SUM(R58)</f>
        <v>0</v>
      </c>
      <c r="AL65" s="38">
        <f t="shared" si="101"/>
        <v>0</v>
      </c>
      <c r="AM65" s="38">
        <f t="shared" si="101"/>
        <v>21</v>
      </c>
      <c r="AN65" s="38">
        <f t="shared" si="101"/>
        <v>1419</v>
      </c>
      <c r="AO65" s="38">
        <f t="shared" si="101"/>
        <v>1073</v>
      </c>
      <c r="AP65" s="38">
        <f>SUM(W58:W59)</f>
        <v>0</v>
      </c>
      <c r="AQ65" s="38">
        <f>SUM(X58:X59)</f>
        <v>0</v>
      </c>
      <c r="AR65" s="38">
        <f>SUM(Y58:Y59)</f>
        <v>0</v>
      </c>
      <c r="AS65" s="59">
        <f t="shared" si="89"/>
        <v>2513</v>
      </c>
      <c r="AU65" s="50"/>
      <c r="AV65" s="37" t="str">
        <f t="shared" si="3"/>
        <v>San Juan I NTrty</v>
      </c>
      <c r="AW65" s="180">
        <f t="shared" si="4"/>
        <v>0</v>
      </c>
      <c r="AX65" s="180">
        <f t="shared" si="5"/>
        <v>0</v>
      </c>
      <c r="AY65" s="180">
        <f t="shared" si="6"/>
        <v>221</v>
      </c>
      <c r="AZ65" s="180">
        <f t="shared" si="6"/>
        <v>2345</v>
      </c>
      <c r="BA65" s="180">
        <f t="shared" si="7"/>
        <v>4998</v>
      </c>
      <c r="BB65" s="1725">
        <f t="shared" si="90"/>
        <v>7564</v>
      </c>
      <c r="BC65" s="37"/>
      <c r="BD65" s="50"/>
      <c r="BE65" s="37" t="str">
        <f t="shared" si="91"/>
        <v>San Juan I NTrty</v>
      </c>
      <c r="BF65" s="497">
        <f t="shared" si="92"/>
        <v>0</v>
      </c>
      <c r="BG65" s="497">
        <f t="shared" si="92"/>
        <v>0</v>
      </c>
      <c r="BH65" s="497">
        <f t="shared" si="92"/>
        <v>0</v>
      </c>
      <c r="BI65" s="497">
        <f t="shared" si="92"/>
        <v>16</v>
      </c>
      <c r="BJ65" s="497">
        <f t="shared" si="92"/>
        <v>12</v>
      </c>
      <c r="BK65" s="498">
        <f t="shared" si="93"/>
        <v>28</v>
      </c>
      <c r="BL65" s="38"/>
      <c r="BM65" s="50"/>
      <c r="BN65" s="37" t="str">
        <f t="shared" si="94"/>
        <v>San Juan I NTrty</v>
      </c>
      <c r="BO65" s="497">
        <f t="shared" si="95"/>
        <v>0</v>
      </c>
      <c r="BP65" s="497">
        <f t="shared" si="95"/>
        <v>0</v>
      </c>
      <c r="BQ65" s="497">
        <f t="shared" si="95"/>
        <v>200</v>
      </c>
      <c r="BR65" s="497">
        <f t="shared" si="95"/>
        <v>910</v>
      </c>
      <c r="BS65" s="497">
        <f t="shared" si="95"/>
        <v>3913</v>
      </c>
      <c r="BT65" s="1725">
        <f t="shared" si="96"/>
        <v>5023</v>
      </c>
      <c r="BU65" s="37"/>
      <c r="BV65" s="37"/>
      <c r="BW65" s="50"/>
      <c r="BX65" s="37" t="str">
        <f t="shared" si="97"/>
        <v>San Juan I NTrty</v>
      </c>
      <c r="BY65" s="497">
        <f t="shared" si="98"/>
        <v>0</v>
      </c>
      <c r="BZ65" s="497">
        <f t="shared" si="98"/>
        <v>0</v>
      </c>
      <c r="CA65" s="497">
        <f t="shared" si="98"/>
        <v>200</v>
      </c>
      <c r="CB65" s="497">
        <f t="shared" si="98"/>
        <v>926</v>
      </c>
      <c r="CC65" s="497">
        <f t="shared" si="98"/>
        <v>3925</v>
      </c>
      <c r="CD65" s="1725">
        <f t="shared" si="99"/>
        <v>5051</v>
      </c>
      <c r="CE65" s="38"/>
      <c r="CF65" s="1326"/>
    </row>
    <row r="66" spans="1:84" x14ac:dyDescent="0.2">
      <c r="A66" t="s">
        <v>4319</v>
      </c>
      <c r="B66">
        <f>SUM(FishSumAllPRN!B66)</f>
        <v>0</v>
      </c>
      <c r="C66">
        <f>SUM(FishSumAllPRN!C66)</f>
        <v>0</v>
      </c>
      <c r="D66">
        <f>SUM(FishSumAllPRN!D66)</f>
        <v>0</v>
      </c>
      <c r="E66">
        <f>SUM(FishSumAllPRN!E66)</f>
        <v>0</v>
      </c>
      <c r="F66">
        <f>SUM(FishSumAllPRN!F66)</f>
        <v>7175</v>
      </c>
      <c r="G66">
        <f>SUM(FishSumAllPRN!G66)</f>
        <v>7175</v>
      </c>
      <c r="H66" s="54" t="s">
        <v>294</v>
      </c>
      <c r="I66" s="54"/>
      <c r="K66" t="s">
        <v>5730</v>
      </c>
      <c r="R66" s="38">
        <f t="shared" ref="R66:V67" si="102">SUM(B120)</f>
        <v>0</v>
      </c>
      <c r="S66" s="38">
        <f t="shared" si="102"/>
        <v>0</v>
      </c>
      <c r="T66" s="38">
        <f t="shared" si="102"/>
        <v>0</v>
      </c>
      <c r="U66" s="38">
        <f t="shared" si="102"/>
        <v>0</v>
      </c>
      <c r="V66" s="38">
        <f t="shared" si="102"/>
        <v>0</v>
      </c>
      <c r="Z66">
        <f t="shared" si="67"/>
        <v>0</v>
      </c>
      <c r="AC66" s="50"/>
      <c r="AD66" s="37"/>
      <c r="AE66" s="37"/>
      <c r="AF66" s="37"/>
      <c r="AG66" s="37"/>
      <c r="AH66" s="37"/>
      <c r="AI66" s="37"/>
      <c r="AJ66" s="37" t="s">
        <v>5731</v>
      </c>
      <c r="AK66" s="38">
        <f t="shared" si="101"/>
        <v>0</v>
      </c>
      <c r="AL66" s="38">
        <f t="shared" si="101"/>
        <v>0</v>
      </c>
      <c r="AM66" s="38">
        <f t="shared" si="101"/>
        <v>418</v>
      </c>
      <c r="AN66" s="38">
        <f t="shared" si="101"/>
        <v>1560</v>
      </c>
      <c r="AO66" s="38">
        <f t="shared" si="101"/>
        <v>4724</v>
      </c>
      <c r="AP66" s="38"/>
      <c r="AQ66" s="38"/>
      <c r="AR66" s="38"/>
      <c r="AS66" s="59">
        <f t="shared" si="89"/>
        <v>6702</v>
      </c>
      <c r="AU66" s="50"/>
      <c r="AV66" s="37" t="str">
        <f t="shared" si="3"/>
        <v>San Juan I Trty</v>
      </c>
      <c r="AW66" s="180">
        <f t="shared" si="4"/>
        <v>0</v>
      </c>
      <c r="AX66" s="180">
        <f t="shared" si="5"/>
        <v>0</v>
      </c>
      <c r="AY66" s="180">
        <f t="shared" si="6"/>
        <v>426</v>
      </c>
      <c r="AZ66" s="180">
        <f t="shared" si="6"/>
        <v>1591</v>
      </c>
      <c r="BA66" s="180">
        <f t="shared" si="7"/>
        <v>4818</v>
      </c>
      <c r="BB66" s="1725">
        <f t="shared" si="90"/>
        <v>6835</v>
      </c>
      <c r="BC66" s="37"/>
      <c r="BD66" s="50"/>
      <c r="BE66" s="37" t="str">
        <f t="shared" si="91"/>
        <v>San Juan I Trty</v>
      </c>
      <c r="BF66" s="497">
        <f t="shared" si="92"/>
        <v>0</v>
      </c>
      <c r="BG66" s="497">
        <f t="shared" si="92"/>
        <v>0</v>
      </c>
      <c r="BH66" s="497">
        <f t="shared" si="92"/>
        <v>8</v>
      </c>
      <c r="BI66" s="497">
        <f t="shared" si="92"/>
        <v>31</v>
      </c>
      <c r="BJ66" s="497">
        <f t="shared" si="92"/>
        <v>94</v>
      </c>
      <c r="BK66" s="498">
        <f t="shared" si="93"/>
        <v>133</v>
      </c>
      <c r="BL66" s="38"/>
      <c r="BM66" s="50"/>
      <c r="BN66" s="37" t="str">
        <f t="shared" si="94"/>
        <v>San Juan I Trty</v>
      </c>
      <c r="BO66" s="497">
        <f t="shared" si="95"/>
        <v>0</v>
      </c>
      <c r="BP66" s="497">
        <f t="shared" si="95"/>
        <v>0</v>
      </c>
      <c r="BQ66" s="497">
        <f t="shared" si="95"/>
        <v>0</v>
      </c>
      <c r="BR66" s="497">
        <f t="shared" si="95"/>
        <v>0</v>
      </c>
      <c r="BS66" s="497">
        <f t="shared" si="95"/>
        <v>0</v>
      </c>
      <c r="BT66" s="1725">
        <f t="shared" si="96"/>
        <v>0</v>
      </c>
      <c r="BU66" s="37"/>
      <c r="BV66" s="37"/>
      <c r="BW66" s="50"/>
      <c r="BX66" s="37" t="str">
        <f t="shared" si="97"/>
        <v>San Juan I Trty</v>
      </c>
      <c r="BY66" s="497">
        <f t="shared" si="98"/>
        <v>0</v>
      </c>
      <c r="BZ66" s="497">
        <f t="shared" si="98"/>
        <v>0</v>
      </c>
      <c r="CA66" s="497">
        <f t="shared" si="98"/>
        <v>8</v>
      </c>
      <c r="CB66" s="497">
        <f t="shared" si="98"/>
        <v>31</v>
      </c>
      <c r="CC66" s="497">
        <f t="shared" si="98"/>
        <v>94</v>
      </c>
      <c r="CD66" s="1725">
        <f t="shared" si="99"/>
        <v>133</v>
      </c>
      <c r="CE66" s="38"/>
      <c r="CF66" s="1326"/>
    </row>
    <row r="67" spans="1:84" x14ac:dyDescent="0.2">
      <c r="A67" t="s">
        <v>4320</v>
      </c>
      <c r="B67">
        <f>SUM(FishSumAllPRN!B67)</f>
        <v>0</v>
      </c>
      <c r="C67">
        <f>SUM(FishSumAllPRN!C67)</f>
        <v>0</v>
      </c>
      <c r="D67">
        <f>SUM(FishSumAllPRN!D67)</f>
        <v>0</v>
      </c>
      <c r="E67">
        <f>SUM(FishSumAllPRN!E67)</f>
        <v>0</v>
      </c>
      <c r="F67">
        <f>SUM(FishSumAllPRN!F67)</f>
        <v>6184</v>
      </c>
      <c r="G67">
        <f>SUM(FishSumAllPRN!G67)</f>
        <v>6184</v>
      </c>
      <c r="H67" s="54" t="s">
        <v>294</v>
      </c>
      <c r="I67" s="54"/>
      <c r="K67" t="s">
        <v>5732</v>
      </c>
      <c r="R67" s="38">
        <f t="shared" si="102"/>
        <v>0</v>
      </c>
      <c r="S67" s="38">
        <f t="shared" si="102"/>
        <v>0</v>
      </c>
      <c r="T67" s="38">
        <f t="shared" si="102"/>
        <v>0</v>
      </c>
      <c r="U67" s="38">
        <f t="shared" si="102"/>
        <v>4640</v>
      </c>
      <c r="V67" s="38">
        <f t="shared" si="102"/>
        <v>996</v>
      </c>
      <c r="Z67">
        <f t="shared" si="67"/>
        <v>5636</v>
      </c>
      <c r="AC67" s="50"/>
      <c r="AD67" s="37"/>
      <c r="AE67" s="37"/>
      <c r="AF67" s="37"/>
      <c r="AG67" s="37"/>
      <c r="AH67" s="37"/>
      <c r="AI67" s="37"/>
      <c r="AJ67" s="37" t="s">
        <v>5733</v>
      </c>
      <c r="AK67" s="38">
        <v>0</v>
      </c>
      <c r="AL67" s="38">
        <v>0</v>
      </c>
      <c r="AM67" s="38">
        <v>0</v>
      </c>
      <c r="AN67" s="38">
        <f>SUM(U60)</f>
        <v>2815</v>
      </c>
      <c r="AO67" s="38">
        <f>SUM(V60)</f>
        <v>39</v>
      </c>
      <c r="AP67" s="38">
        <f>SUM(W60:W61)</f>
        <v>0</v>
      </c>
      <c r="AQ67" s="38">
        <f>SUM(X60:X61)</f>
        <v>0</v>
      </c>
      <c r="AR67" s="38">
        <f>SUM(Y60:Y61)</f>
        <v>0</v>
      </c>
      <c r="AS67" s="59">
        <f t="shared" si="89"/>
        <v>2854</v>
      </c>
      <c r="AU67" s="50"/>
      <c r="AV67" s="37" t="str">
        <f t="shared" si="3"/>
        <v>BhamBay NTrty</v>
      </c>
      <c r="AW67" s="180">
        <f t="shared" si="4"/>
        <v>0</v>
      </c>
      <c r="AX67" s="180">
        <f t="shared" si="5"/>
        <v>0</v>
      </c>
      <c r="AY67" s="180">
        <f t="shared" si="6"/>
        <v>0</v>
      </c>
      <c r="AZ67" s="180">
        <f t="shared" si="6"/>
        <v>2872</v>
      </c>
      <c r="BA67" s="180">
        <f t="shared" si="7"/>
        <v>40</v>
      </c>
      <c r="BB67" s="1725">
        <f t="shared" si="90"/>
        <v>2912</v>
      </c>
      <c r="BC67" s="37"/>
      <c r="BD67" s="50"/>
      <c r="BE67" s="37" t="str">
        <f t="shared" si="91"/>
        <v>BhamBay NTrty</v>
      </c>
      <c r="BF67" s="497">
        <f t="shared" si="92"/>
        <v>0</v>
      </c>
      <c r="BG67" s="497">
        <f t="shared" si="92"/>
        <v>0</v>
      </c>
      <c r="BH67" s="497">
        <f t="shared" si="92"/>
        <v>0</v>
      </c>
      <c r="BI67" s="497">
        <f t="shared" si="92"/>
        <v>57</v>
      </c>
      <c r="BJ67" s="497">
        <f t="shared" si="92"/>
        <v>1</v>
      </c>
      <c r="BK67" s="498">
        <f t="shared" si="93"/>
        <v>58</v>
      </c>
      <c r="BL67" s="38"/>
      <c r="BM67" s="50"/>
      <c r="BN67" s="37" t="str">
        <f t="shared" si="94"/>
        <v>BhamBay NTrty</v>
      </c>
      <c r="BO67" s="497">
        <f t="shared" si="95"/>
        <v>0</v>
      </c>
      <c r="BP67" s="497">
        <f t="shared" si="95"/>
        <v>0</v>
      </c>
      <c r="BQ67" s="497">
        <f t="shared" si="95"/>
        <v>0</v>
      </c>
      <c r="BR67" s="497">
        <f t="shared" si="95"/>
        <v>0</v>
      </c>
      <c r="BS67" s="497">
        <f t="shared" si="95"/>
        <v>0</v>
      </c>
      <c r="BT67" s="1725">
        <f t="shared" si="96"/>
        <v>0</v>
      </c>
      <c r="BU67" s="37"/>
      <c r="BV67" s="37"/>
      <c r="BW67" s="50"/>
      <c r="BX67" s="37" t="str">
        <f t="shared" si="97"/>
        <v>BhamBay NTrty</v>
      </c>
      <c r="BY67" s="497">
        <f t="shared" si="98"/>
        <v>0</v>
      </c>
      <c r="BZ67" s="497">
        <f t="shared" si="98"/>
        <v>0</v>
      </c>
      <c r="CA67" s="497">
        <f t="shared" si="98"/>
        <v>0</v>
      </c>
      <c r="CB67" s="497">
        <f t="shared" si="98"/>
        <v>57</v>
      </c>
      <c r="CC67" s="497">
        <f t="shared" si="98"/>
        <v>1</v>
      </c>
      <c r="CD67" s="1725">
        <f t="shared" si="99"/>
        <v>58</v>
      </c>
      <c r="CE67" s="38"/>
      <c r="CF67" s="1326"/>
    </row>
    <row r="68" spans="1:84" x14ac:dyDescent="0.2">
      <c r="A68" t="s">
        <v>4321</v>
      </c>
      <c r="B68">
        <f>SUM(FishSumAllPRN!B68)</f>
        <v>0</v>
      </c>
      <c r="C68">
        <f>SUM(FishSumAllPRN!C68)</f>
        <v>0</v>
      </c>
      <c r="D68">
        <f>SUM(FishSumAllPRN!D68)</f>
        <v>0</v>
      </c>
      <c r="E68">
        <f>SUM(FishSumAllPRN!E68)</f>
        <v>0</v>
      </c>
      <c r="F68">
        <f>SUM(FishSumAllPRN!F68)</f>
        <v>0</v>
      </c>
      <c r="G68">
        <f>SUM(FishSumAllPRN!G68)</f>
        <v>0</v>
      </c>
      <c r="H68" s="54" t="s">
        <v>294</v>
      </c>
      <c r="I68" s="54"/>
      <c r="K68" t="s">
        <v>5734</v>
      </c>
      <c r="R68" s="38">
        <f t="shared" ref="R68:V69" si="103">SUM(B166)</f>
        <v>0</v>
      </c>
      <c r="S68" s="38">
        <f t="shared" si="103"/>
        <v>0</v>
      </c>
      <c r="T68" s="38">
        <f t="shared" si="103"/>
        <v>0</v>
      </c>
      <c r="U68" s="38">
        <f t="shared" si="103"/>
        <v>1267</v>
      </c>
      <c r="V68" s="38">
        <f t="shared" si="103"/>
        <v>40</v>
      </c>
      <c r="Z68">
        <f t="shared" si="67"/>
        <v>1307</v>
      </c>
      <c r="AC68" s="50"/>
      <c r="AD68" s="37"/>
      <c r="AE68" s="37"/>
      <c r="AF68" s="37"/>
      <c r="AG68" s="37"/>
      <c r="AH68" s="37"/>
      <c r="AI68" s="37"/>
      <c r="AJ68" s="37" t="s">
        <v>5735</v>
      </c>
      <c r="AK68" s="38">
        <v>0</v>
      </c>
      <c r="AL68" s="38">
        <v>0</v>
      </c>
      <c r="AM68" s="38">
        <v>0</v>
      </c>
      <c r="AN68" s="38">
        <f>SUM(U61)</f>
        <v>23233</v>
      </c>
      <c r="AO68" s="38">
        <f>SUM(V61)</f>
        <v>1144</v>
      </c>
      <c r="AP68" s="38"/>
      <c r="AQ68" s="38"/>
      <c r="AR68" s="38"/>
      <c r="AS68" s="59">
        <f t="shared" si="89"/>
        <v>24377</v>
      </c>
      <c r="AU68" s="50"/>
      <c r="AV68" s="37" t="str">
        <f t="shared" si="3"/>
        <v>BhamBay Trty</v>
      </c>
      <c r="AW68" s="180">
        <f t="shared" si="4"/>
        <v>0</v>
      </c>
      <c r="AX68" s="180">
        <f t="shared" si="5"/>
        <v>0</v>
      </c>
      <c r="AY68" s="180">
        <f t="shared" si="6"/>
        <v>0</v>
      </c>
      <c r="AZ68" s="180">
        <f t="shared" si="6"/>
        <v>23698</v>
      </c>
      <c r="BA68" s="180">
        <f t="shared" si="7"/>
        <v>1167</v>
      </c>
      <c r="BB68" s="1725">
        <f t="shared" si="90"/>
        <v>24865</v>
      </c>
      <c r="BC68" s="37"/>
      <c r="BD68" s="50"/>
      <c r="BE68" s="37" t="str">
        <f t="shared" si="91"/>
        <v>BhamBay Trty</v>
      </c>
      <c r="BF68" s="497">
        <f t="shared" si="92"/>
        <v>0</v>
      </c>
      <c r="BG68" s="497">
        <f t="shared" si="92"/>
        <v>0</v>
      </c>
      <c r="BH68" s="497">
        <f t="shared" si="92"/>
        <v>0</v>
      </c>
      <c r="BI68" s="497">
        <f t="shared" si="92"/>
        <v>465</v>
      </c>
      <c r="BJ68" s="497">
        <f t="shared" si="92"/>
        <v>23</v>
      </c>
      <c r="BK68" s="498">
        <f t="shared" si="93"/>
        <v>488</v>
      </c>
      <c r="BL68" s="38"/>
      <c r="BM68" s="50"/>
      <c r="BN68" s="37" t="str">
        <f t="shared" si="94"/>
        <v>BhamBay Trty</v>
      </c>
      <c r="BO68" s="497">
        <f t="shared" si="95"/>
        <v>0</v>
      </c>
      <c r="BP68" s="497">
        <f t="shared" si="95"/>
        <v>0</v>
      </c>
      <c r="BQ68" s="497">
        <f t="shared" si="95"/>
        <v>0</v>
      </c>
      <c r="BR68" s="497">
        <f t="shared" si="95"/>
        <v>0</v>
      </c>
      <c r="BS68" s="497">
        <f t="shared" si="95"/>
        <v>0</v>
      </c>
      <c r="BT68" s="1725">
        <f t="shared" si="96"/>
        <v>0</v>
      </c>
      <c r="BU68" s="37"/>
      <c r="BV68" s="37"/>
      <c r="BW68" s="50"/>
      <c r="BX68" s="37" t="str">
        <f t="shared" si="97"/>
        <v>BhamBay Trty</v>
      </c>
      <c r="BY68" s="497">
        <f t="shared" si="98"/>
        <v>0</v>
      </c>
      <c r="BZ68" s="497">
        <f t="shared" si="98"/>
        <v>0</v>
      </c>
      <c r="CA68" s="497">
        <f t="shared" si="98"/>
        <v>0</v>
      </c>
      <c r="CB68" s="497">
        <f t="shared" si="98"/>
        <v>465</v>
      </c>
      <c r="CC68" s="497">
        <f t="shared" si="98"/>
        <v>23</v>
      </c>
      <c r="CD68" s="1725">
        <f t="shared" si="99"/>
        <v>488</v>
      </c>
      <c r="CE68" s="38"/>
      <c r="CF68" s="1326"/>
    </row>
    <row r="69" spans="1:84" x14ac:dyDescent="0.2">
      <c r="A69" t="s">
        <v>4322</v>
      </c>
      <c r="B69">
        <f>SUM(FishSumAllPRN!B69)</f>
        <v>0</v>
      </c>
      <c r="C69">
        <f>SUM(FishSumAllPRN!C69)</f>
        <v>0</v>
      </c>
      <c r="D69">
        <f>SUM(FishSumAllPRN!D69)</f>
        <v>0</v>
      </c>
      <c r="E69">
        <f>SUM(FishSumAllPRN!E69)</f>
        <v>0</v>
      </c>
      <c r="F69">
        <f>SUM(FishSumAllPRN!F69)</f>
        <v>0</v>
      </c>
      <c r="G69">
        <f>SUM(FishSumAllPRN!G69)</f>
        <v>0</v>
      </c>
      <c r="H69" s="54" t="s">
        <v>294</v>
      </c>
      <c r="I69" s="54"/>
      <c r="K69" t="s">
        <v>5736</v>
      </c>
      <c r="R69" s="38">
        <f t="shared" si="103"/>
        <v>0</v>
      </c>
      <c r="S69" s="38">
        <f t="shared" si="103"/>
        <v>0</v>
      </c>
      <c r="T69" s="38">
        <f t="shared" si="103"/>
        <v>0</v>
      </c>
      <c r="U69" s="38">
        <f t="shared" si="103"/>
        <v>4943</v>
      </c>
      <c r="V69" s="38">
        <f t="shared" si="103"/>
        <v>1037</v>
      </c>
      <c r="Z69">
        <f t="shared" si="67"/>
        <v>5980</v>
      </c>
      <c r="AC69" s="50"/>
      <c r="AD69" s="37"/>
      <c r="AE69" s="37"/>
      <c r="AF69" s="37"/>
      <c r="AG69" s="37"/>
      <c r="AH69" s="37"/>
      <c r="AI69" s="37"/>
      <c r="AJ69" s="37" t="s">
        <v>5737</v>
      </c>
      <c r="AK69" s="38">
        <v>0</v>
      </c>
      <c r="AL69" s="38">
        <v>0</v>
      </c>
      <c r="AM69" s="38">
        <v>0</v>
      </c>
      <c r="AN69" s="38">
        <f t="shared" ref="AN69:AO72" si="104">SUM(U64)</f>
        <v>0</v>
      </c>
      <c r="AO69" s="38">
        <f t="shared" si="104"/>
        <v>0</v>
      </c>
      <c r="AP69" s="38">
        <f>SUM(W64:W65)</f>
        <v>0</v>
      </c>
      <c r="AQ69" s="38">
        <f>SUM(X64:X65)</f>
        <v>0</v>
      </c>
      <c r="AR69" s="38">
        <f>SUM(Y64:Y65)</f>
        <v>0</v>
      </c>
      <c r="AS69" s="59">
        <f t="shared" si="89"/>
        <v>0</v>
      </c>
      <c r="AU69" s="50"/>
      <c r="AV69" s="37" t="str">
        <f t="shared" si="3"/>
        <v>Area 8 NTrty</v>
      </c>
      <c r="AW69" s="180">
        <f t="shared" si="4"/>
        <v>0</v>
      </c>
      <c r="AX69" s="180">
        <f t="shared" si="5"/>
        <v>0</v>
      </c>
      <c r="AY69" s="180">
        <f t="shared" si="6"/>
        <v>0</v>
      </c>
      <c r="AZ69" s="180">
        <f t="shared" si="6"/>
        <v>0</v>
      </c>
      <c r="BA69" s="180">
        <f t="shared" si="7"/>
        <v>0</v>
      </c>
      <c r="BB69" s="1725">
        <f t="shared" si="90"/>
        <v>0</v>
      </c>
      <c r="BC69" s="37"/>
      <c r="BD69" s="50"/>
      <c r="BE69" s="37" t="str">
        <f t="shared" si="91"/>
        <v>Area 8 NTrty</v>
      </c>
      <c r="BF69" s="497">
        <f t="shared" si="92"/>
        <v>0</v>
      </c>
      <c r="BG69" s="497">
        <f t="shared" si="92"/>
        <v>0</v>
      </c>
      <c r="BH69" s="497">
        <f t="shared" si="92"/>
        <v>0</v>
      </c>
      <c r="BI69" s="497">
        <f t="shared" si="92"/>
        <v>0</v>
      </c>
      <c r="BJ69" s="497">
        <f t="shared" si="92"/>
        <v>0</v>
      </c>
      <c r="BK69" s="498">
        <f t="shared" si="93"/>
        <v>0</v>
      </c>
      <c r="BL69" s="38"/>
      <c r="BM69" s="50"/>
      <c r="BN69" s="37" t="str">
        <f t="shared" si="94"/>
        <v>Area 8 NTrty</v>
      </c>
      <c r="BO69" s="497">
        <f t="shared" si="95"/>
        <v>0</v>
      </c>
      <c r="BP69" s="497">
        <f t="shared" si="95"/>
        <v>0</v>
      </c>
      <c r="BQ69" s="497">
        <f t="shared" si="95"/>
        <v>0</v>
      </c>
      <c r="BR69" s="497">
        <f t="shared" si="95"/>
        <v>0</v>
      </c>
      <c r="BS69" s="497">
        <f t="shared" si="95"/>
        <v>0</v>
      </c>
      <c r="BT69" s="1725">
        <f t="shared" si="96"/>
        <v>0</v>
      </c>
      <c r="BU69" s="37"/>
      <c r="BV69" s="37"/>
      <c r="BW69" s="50"/>
      <c r="BX69" s="37" t="str">
        <f t="shared" si="97"/>
        <v>Area 8 NTrty</v>
      </c>
      <c r="BY69" s="497">
        <f t="shared" si="98"/>
        <v>0</v>
      </c>
      <c r="BZ69" s="497">
        <f t="shared" si="98"/>
        <v>0</v>
      </c>
      <c r="CA69" s="497">
        <f t="shared" si="98"/>
        <v>0</v>
      </c>
      <c r="CB69" s="497">
        <f t="shared" si="98"/>
        <v>0</v>
      </c>
      <c r="CC69" s="497">
        <f t="shared" si="98"/>
        <v>0</v>
      </c>
      <c r="CD69" s="1725">
        <f t="shared" si="99"/>
        <v>0</v>
      </c>
      <c r="CE69" s="38"/>
      <c r="CF69" s="1326"/>
    </row>
    <row r="70" spans="1:84" x14ac:dyDescent="0.2">
      <c r="A70" t="s">
        <v>4323</v>
      </c>
      <c r="B70">
        <f>SUM(FishSumAllPRN!B70)</f>
        <v>0</v>
      </c>
      <c r="C70">
        <f>SUM(FishSumAllPRN!C70)</f>
        <v>0</v>
      </c>
      <c r="D70">
        <f>SUM(FishSumAllPRN!D70)</f>
        <v>0</v>
      </c>
      <c r="E70">
        <f>SUM(FishSumAllPRN!E70)</f>
        <v>0</v>
      </c>
      <c r="F70">
        <f>SUM(FishSumAllPRN!F70)</f>
        <v>0</v>
      </c>
      <c r="G70">
        <f>SUM(FishSumAllPRN!G70)</f>
        <v>0</v>
      </c>
      <c r="H70" s="54" t="s">
        <v>294</v>
      </c>
      <c r="I70" s="54"/>
      <c r="K70" t="s">
        <v>5738</v>
      </c>
      <c r="R70" s="38">
        <f t="shared" ref="R70:U71" si="105">SUM(B164,B168,B170)</f>
        <v>0</v>
      </c>
      <c r="S70" s="38">
        <f t="shared" si="105"/>
        <v>0</v>
      </c>
      <c r="T70" s="38">
        <f t="shared" si="105"/>
        <v>0</v>
      </c>
      <c r="U70" s="38">
        <f t="shared" si="105"/>
        <v>1264</v>
      </c>
      <c r="V70" s="38">
        <f>SUM(F164,F170)</f>
        <v>1343</v>
      </c>
      <c r="Z70">
        <f t="shared" si="67"/>
        <v>2607</v>
      </c>
      <c r="AC70" s="50"/>
      <c r="AD70" s="37"/>
      <c r="AE70" s="37"/>
      <c r="AF70" s="37"/>
      <c r="AG70" s="37"/>
      <c r="AH70" s="37"/>
      <c r="AI70" s="37"/>
      <c r="AJ70" s="37" t="s">
        <v>5739</v>
      </c>
      <c r="AK70" s="38">
        <v>0</v>
      </c>
      <c r="AL70" s="38">
        <v>0</v>
      </c>
      <c r="AM70" s="38">
        <v>0</v>
      </c>
      <c r="AN70" s="38">
        <f t="shared" si="104"/>
        <v>433</v>
      </c>
      <c r="AO70" s="38">
        <f t="shared" si="104"/>
        <v>201</v>
      </c>
      <c r="AP70" s="38"/>
      <c r="AQ70" s="38"/>
      <c r="AR70" s="38"/>
      <c r="AS70" s="59">
        <f t="shared" si="89"/>
        <v>634</v>
      </c>
      <c r="AU70" s="50"/>
      <c r="AV70" s="37" t="str">
        <f t="shared" si="3"/>
        <v>Area 8 Trty</v>
      </c>
      <c r="AW70" s="180">
        <f t="shared" si="4"/>
        <v>0</v>
      </c>
      <c r="AX70" s="180">
        <f t="shared" si="5"/>
        <v>0</v>
      </c>
      <c r="AY70" s="180">
        <f t="shared" si="6"/>
        <v>0</v>
      </c>
      <c r="AZ70" s="180">
        <f t="shared" si="6"/>
        <v>442</v>
      </c>
      <c r="BA70" s="180">
        <f t="shared" si="7"/>
        <v>205</v>
      </c>
      <c r="BB70" s="1725">
        <f t="shared" si="90"/>
        <v>647</v>
      </c>
      <c r="BC70" s="37"/>
      <c r="BD70" s="50"/>
      <c r="BE70" s="37" t="str">
        <f t="shared" si="91"/>
        <v>Area 8 Trty</v>
      </c>
      <c r="BF70" s="497">
        <f t="shared" si="92"/>
        <v>0</v>
      </c>
      <c r="BG70" s="497">
        <f t="shared" si="92"/>
        <v>0</v>
      </c>
      <c r="BH70" s="497">
        <f t="shared" si="92"/>
        <v>0</v>
      </c>
      <c r="BI70" s="497">
        <f t="shared" si="92"/>
        <v>9</v>
      </c>
      <c r="BJ70" s="497">
        <f t="shared" si="92"/>
        <v>4</v>
      </c>
      <c r="BK70" s="498">
        <f t="shared" si="93"/>
        <v>13</v>
      </c>
      <c r="BL70" s="38"/>
      <c r="BM70" s="50"/>
      <c r="BN70" s="37" t="str">
        <f t="shared" si="94"/>
        <v>Area 8 Trty</v>
      </c>
      <c r="BO70" s="497">
        <f t="shared" si="95"/>
        <v>0</v>
      </c>
      <c r="BP70" s="497">
        <f t="shared" si="95"/>
        <v>0</v>
      </c>
      <c r="BQ70" s="497">
        <f t="shared" si="95"/>
        <v>0</v>
      </c>
      <c r="BR70" s="497">
        <f t="shared" si="95"/>
        <v>0</v>
      </c>
      <c r="BS70" s="497">
        <f t="shared" si="95"/>
        <v>0</v>
      </c>
      <c r="BT70" s="1725">
        <f t="shared" si="96"/>
        <v>0</v>
      </c>
      <c r="BU70" s="37"/>
      <c r="BV70" s="37"/>
      <c r="BW70" s="50"/>
      <c r="BX70" s="37" t="str">
        <f t="shared" si="97"/>
        <v>Area 8 Trty</v>
      </c>
      <c r="BY70" s="497">
        <f t="shared" si="98"/>
        <v>0</v>
      </c>
      <c r="BZ70" s="497">
        <f t="shared" si="98"/>
        <v>0</v>
      </c>
      <c r="CA70" s="497">
        <f t="shared" si="98"/>
        <v>0</v>
      </c>
      <c r="CB70" s="497">
        <f t="shared" si="98"/>
        <v>9</v>
      </c>
      <c r="CC70" s="497">
        <f t="shared" si="98"/>
        <v>4</v>
      </c>
      <c r="CD70" s="1725">
        <f t="shared" si="99"/>
        <v>13</v>
      </c>
      <c r="CE70" s="38"/>
      <c r="CF70" s="1326"/>
    </row>
    <row r="71" spans="1:84" x14ac:dyDescent="0.2">
      <c r="A71" t="s">
        <v>4324</v>
      </c>
      <c r="B71">
        <f>SUM(FishSumAllPRN!B71)</f>
        <v>0</v>
      </c>
      <c r="C71">
        <f>SUM(FishSumAllPRN!C71)</f>
        <v>0</v>
      </c>
      <c r="D71">
        <f>SUM(FishSumAllPRN!D71)</f>
        <v>0</v>
      </c>
      <c r="E71">
        <f>SUM(FishSumAllPRN!E71)</f>
        <v>0</v>
      </c>
      <c r="F71">
        <f>SUM(FishSumAllPRN!F71)</f>
        <v>0</v>
      </c>
      <c r="G71">
        <f>SUM(FishSumAllPRN!G71)</f>
        <v>0</v>
      </c>
      <c r="H71" s="54" t="s">
        <v>294</v>
      </c>
      <c r="I71" s="54"/>
      <c r="K71" t="s">
        <v>5740</v>
      </c>
      <c r="R71" s="38">
        <f t="shared" si="105"/>
        <v>0</v>
      </c>
      <c r="S71" s="38">
        <f t="shared" si="105"/>
        <v>0</v>
      </c>
      <c r="T71" s="38">
        <f t="shared" si="105"/>
        <v>0</v>
      </c>
      <c r="U71" s="38">
        <f t="shared" si="105"/>
        <v>4978</v>
      </c>
      <c r="V71" s="38">
        <f>SUM(F165,F171)</f>
        <v>3029</v>
      </c>
      <c r="Z71">
        <f t="shared" si="67"/>
        <v>8007</v>
      </c>
      <c r="AC71" s="50"/>
      <c r="AD71" s="37"/>
      <c r="AE71" s="37"/>
      <c r="AF71" s="37"/>
      <c r="AG71" s="37"/>
      <c r="AH71" s="37"/>
      <c r="AI71" s="37"/>
      <c r="AJ71" s="37" t="s">
        <v>5741</v>
      </c>
      <c r="AK71" s="38">
        <v>0</v>
      </c>
      <c r="AL71" s="38">
        <v>0</v>
      </c>
      <c r="AM71" s="38">
        <v>0</v>
      </c>
      <c r="AN71" s="38">
        <f t="shared" si="104"/>
        <v>0</v>
      </c>
      <c r="AO71" s="38">
        <f t="shared" si="104"/>
        <v>0</v>
      </c>
      <c r="AP71" s="38">
        <f>SUM(W66:W67)</f>
        <v>0</v>
      </c>
      <c r="AQ71" s="38">
        <f>SUM(X66:X67)</f>
        <v>0</v>
      </c>
      <c r="AR71" s="38">
        <f>SUM(Y66:Y67)</f>
        <v>0</v>
      </c>
      <c r="AS71" s="59">
        <f t="shared" si="89"/>
        <v>0</v>
      </c>
      <c r="AU71" s="50"/>
      <c r="AV71" s="37" t="str">
        <f t="shared" si="3"/>
        <v>Area 8A NTrty</v>
      </c>
      <c r="AW71" s="180">
        <f t="shared" si="4"/>
        <v>0</v>
      </c>
      <c r="AX71" s="180">
        <f t="shared" si="5"/>
        <v>0</v>
      </c>
      <c r="AY71" s="180">
        <f t="shared" si="6"/>
        <v>0</v>
      </c>
      <c r="AZ71" s="180">
        <f t="shared" si="6"/>
        <v>0</v>
      </c>
      <c r="BA71" s="180">
        <f t="shared" si="7"/>
        <v>0</v>
      </c>
      <c r="BB71" s="1725">
        <f t="shared" si="90"/>
        <v>0</v>
      </c>
      <c r="BC71" s="37"/>
      <c r="BD71" s="50"/>
      <c r="BE71" s="37" t="str">
        <f t="shared" si="91"/>
        <v>Area 8A NTrty</v>
      </c>
      <c r="BF71" s="497">
        <f t="shared" si="92"/>
        <v>0</v>
      </c>
      <c r="BG71" s="497">
        <f t="shared" si="92"/>
        <v>0</v>
      </c>
      <c r="BH71" s="497">
        <f t="shared" si="92"/>
        <v>0</v>
      </c>
      <c r="BI71" s="497">
        <f t="shared" si="92"/>
        <v>0</v>
      </c>
      <c r="BJ71" s="497">
        <f t="shared" si="92"/>
        <v>0</v>
      </c>
      <c r="BK71" s="498">
        <f t="shared" si="93"/>
        <v>0</v>
      </c>
      <c r="BL71" s="38"/>
      <c r="BM71" s="50"/>
      <c r="BN71" s="37" t="str">
        <f t="shared" si="94"/>
        <v>Area 8A NTrty</v>
      </c>
      <c r="BO71" s="497">
        <f t="shared" si="95"/>
        <v>0</v>
      </c>
      <c r="BP71" s="497">
        <f t="shared" si="95"/>
        <v>0</v>
      </c>
      <c r="BQ71" s="497">
        <f t="shared" si="95"/>
        <v>0</v>
      </c>
      <c r="BR71" s="497">
        <f t="shared" si="95"/>
        <v>0</v>
      </c>
      <c r="BS71" s="497">
        <f t="shared" si="95"/>
        <v>0</v>
      </c>
      <c r="BT71" s="1725">
        <f t="shared" si="96"/>
        <v>0</v>
      </c>
      <c r="BU71" s="37"/>
      <c r="BV71" s="37"/>
      <c r="BW71" s="50"/>
      <c r="BX71" s="37" t="str">
        <f t="shared" si="97"/>
        <v>Area 8A NTrty</v>
      </c>
      <c r="BY71" s="497">
        <f t="shared" si="98"/>
        <v>0</v>
      </c>
      <c r="BZ71" s="497">
        <f t="shared" si="98"/>
        <v>0</v>
      </c>
      <c r="CA71" s="497">
        <f t="shared" si="98"/>
        <v>0</v>
      </c>
      <c r="CB71" s="497">
        <f t="shared" si="98"/>
        <v>0</v>
      </c>
      <c r="CC71" s="497">
        <f t="shared" si="98"/>
        <v>0</v>
      </c>
      <c r="CD71" s="1725">
        <f t="shared" si="99"/>
        <v>0</v>
      </c>
      <c r="CE71" s="38"/>
      <c r="CF71" s="1326"/>
    </row>
    <row r="72" spans="1:84" x14ac:dyDescent="0.2">
      <c r="A72" t="s">
        <v>4325</v>
      </c>
      <c r="B72">
        <f>SUM(FishSumAllPRN!B72)</f>
        <v>0</v>
      </c>
      <c r="C72">
        <f>SUM(FishSumAllPRN!C72)</f>
        <v>0</v>
      </c>
      <c r="D72">
        <f>SUM(FishSumAllPRN!D72)</f>
        <v>0</v>
      </c>
      <c r="E72">
        <f>SUM(FishSumAllPRN!E72)</f>
        <v>0</v>
      </c>
      <c r="F72">
        <f>SUM(FishSumAllPRN!F72)</f>
        <v>0</v>
      </c>
      <c r="G72">
        <f>SUM(FishSumAllPRN!G72)</f>
        <v>0</v>
      </c>
      <c r="H72" s="54" t="s">
        <v>294</v>
      </c>
      <c r="I72" s="54"/>
      <c r="K72" t="s">
        <v>5742</v>
      </c>
      <c r="R72" s="38">
        <f t="shared" ref="R72:V73" si="106">SUM(B130,B132,B134,B141,B143,B148,B150,B152,B154,B156)</f>
        <v>0</v>
      </c>
      <c r="S72" s="38">
        <f t="shared" si="106"/>
        <v>0</v>
      </c>
      <c r="T72" s="38">
        <f t="shared" si="106"/>
        <v>0</v>
      </c>
      <c r="U72" s="38">
        <f t="shared" si="106"/>
        <v>37</v>
      </c>
      <c r="V72" s="38">
        <f t="shared" si="106"/>
        <v>928</v>
      </c>
      <c r="Z72">
        <f t="shared" si="67"/>
        <v>965</v>
      </c>
      <c r="AC72" s="50"/>
      <c r="AD72" s="37"/>
      <c r="AE72" s="37"/>
      <c r="AF72" s="37"/>
      <c r="AG72" s="37"/>
      <c r="AH72" s="37"/>
      <c r="AI72" s="37"/>
      <c r="AJ72" s="37" t="s">
        <v>318</v>
      </c>
      <c r="AK72" s="38">
        <v>0</v>
      </c>
      <c r="AL72" s="38">
        <v>0</v>
      </c>
      <c r="AM72" s="38">
        <v>0</v>
      </c>
      <c r="AN72" s="38">
        <f t="shared" si="104"/>
        <v>4640</v>
      </c>
      <c r="AO72" s="38">
        <f t="shared" si="104"/>
        <v>996</v>
      </c>
      <c r="AP72" s="38"/>
      <c r="AQ72" s="38"/>
      <c r="AR72" s="38"/>
      <c r="AS72" s="59">
        <f t="shared" si="89"/>
        <v>5636</v>
      </c>
      <c r="AU72" s="50"/>
      <c r="AV72" s="37" t="str">
        <f t="shared" si="3"/>
        <v>Area 8A Trty</v>
      </c>
      <c r="AW72" s="180">
        <f t="shared" si="4"/>
        <v>0</v>
      </c>
      <c r="AX72" s="180">
        <f t="shared" si="5"/>
        <v>0</v>
      </c>
      <c r="AY72" s="180">
        <f t="shared" si="6"/>
        <v>0</v>
      </c>
      <c r="AZ72" s="180">
        <f t="shared" si="6"/>
        <v>4732</v>
      </c>
      <c r="BA72" s="180">
        <f t="shared" si="7"/>
        <v>1016</v>
      </c>
      <c r="BB72" s="1725">
        <f t="shared" si="90"/>
        <v>5748</v>
      </c>
      <c r="BC72" s="37"/>
      <c r="BD72" s="50"/>
      <c r="BE72" s="37" t="str">
        <f t="shared" si="91"/>
        <v>Area 8A Trty</v>
      </c>
      <c r="BF72" s="497">
        <f t="shared" si="92"/>
        <v>0</v>
      </c>
      <c r="BG72" s="497">
        <f t="shared" si="92"/>
        <v>0</v>
      </c>
      <c r="BH72" s="497">
        <f t="shared" si="92"/>
        <v>0</v>
      </c>
      <c r="BI72" s="497">
        <f t="shared" si="92"/>
        <v>92</v>
      </c>
      <c r="BJ72" s="497">
        <f t="shared" si="92"/>
        <v>20</v>
      </c>
      <c r="BK72" s="498">
        <f t="shared" si="93"/>
        <v>112</v>
      </c>
      <c r="BL72" s="38"/>
      <c r="BM72" s="50"/>
      <c r="BN72" s="37" t="str">
        <f t="shared" si="94"/>
        <v>Area 8A Trty</v>
      </c>
      <c r="BO72" s="497">
        <f t="shared" si="95"/>
        <v>0</v>
      </c>
      <c r="BP72" s="497">
        <f t="shared" si="95"/>
        <v>0</v>
      </c>
      <c r="BQ72" s="497">
        <f t="shared" si="95"/>
        <v>0</v>
      </c>
      <c r="BR72" s="497">
        <f t="shared" si="95"/>
        <v>0</v>
      </c>
      <c r="BS72" s="497">
        <f t="shared" si="95"/>
        <v>0</v>
      </c>
      <c r="BT72" s="1725">
        <f t="shared" si="96"/>
        <v>0</v>
      </c>
      <c r="BU72" s="37"/>
      <c r="BV72" s="37"/>
      <c r="BW72" s="50"/>
      <c r="BX72" s="37" t="str">
        <f t="shared" si="97"/>
        <v>Area 8A Trty</v>
      </c>
      <c r="BY72" s="497">
        <f t="shared" si="98"/>
        <v>0</v>
      </c>
      <c r="BZ72" s="497">
        <f t="shared" si="98"/>
        <v>0</v>
      </c>
      <c r="CA72" s="497">
        <f t="shared" si="98"/>
        <v>0</v>
      </c>
      <c r="CB72" s="497">
        <f t="shared" si="98"/>
        <v>92</v>
      </c>
      <c r="CC72" s="497">
        <f t="shared" si="98"/>
        <v>20</v>
      </c>
      <c r="CD72" s="1725">
        <f t="shared" si="99"/>
        <v>112</v>
      </c>
      <c r="CE72" s="38"/>
      <c r="CF72" s="1326"/>
    </row>
    <row r="73" spans="1:84" x14ac:dyDescent="0.2">
      <c r="A73" t="s">
        <v>4326</v>
      </c>
      <c r="B73">
        <f>SUM(FishSumAllPRN!B73)</f>
        <v>0</v>
      </c>
      <c r="C73">
        <f>SUM(FishSumAllPRN!C73)</f>
        <v>0</v>
      </c>
      <c r="D73">
        <f>SUM(FishSumAllPRN!D73)</f>
        <v>0</v>
      </c>
      <c r="E73">
        <f>SUM(FishSumAllPRN!E73)</f>
        <v>0</v>
      </c>
      <c r="F73">
        <f>SUM(FishSumAllPRN!F73)</f>
        <v>0</v>
      </c>
      <c r="G73">
        <f>SUM(FishSumAllPRN!G73)</f>
        <v>0</v>
      </c>
      <c r="H73" s="54" t="s">
        <v>294</v>
      </c>
      <c r="I73" s="54"/>
      <c r="K73" t="s">
        <v>5743</v>
      </c>
      <c r="R73" s="38">
        <f t="shared" si="106"/>
        <v>0</v>
      </c>
      <c r="S73" s="38">
        <f t="shared" si="106"/>
        <v>0</v>
      </c>
      <c r="T73" s="38">
        <f t="shared" si="106"/>
        <v>0</v>
      </c>
      <c r="U73" s="38">
        <f t="shared" si="106"/>
        <v>28386</v>
      </c>
      <c r="V73" s="38">
        <f t="shared" si="106"/>
        <v>16248</v>
      </c>
      <c r="Z73">
        <f t="shared" si="67"/>
        <v>44634</v>
      </c>
      <c r="AC73" s="50"/>
      <c r="AD73" s="37"/>
      <c r="AE73" s="37"/>
      <c r="AF73" s="37"/>
      <c r="AG73" s="37"/>
      <c r="AH73" s="37"/>
      <c r="AI73" s="37"/>
      <c r="AJ73" s="37" t="s">
        <v>5744</v>
      </c>
      <c r="AK73" s="38">
        <v>0</v>
      </c>
      <c r="AL73" s="38">
        <v>0</v>
      </c>
      <c r="AM73" s="38">
        <v>0</v>
      </c>
      <c r="AN73" s="38">
        <f>SUM(E122)</f>
        <v>0</v>
      </c>
      <c r="AO73" s="38">
        <f>SUM(F122)</f>
        <v>0</v>
      </c>
      <c r="AP73" s="38"/>
      <c r="AQ73" s="38"/>
      <c r="AR73" s="38"/>
      <c r="AS73" s="59">
        <f t="shared" si="89"/>
        <v>0</v>
      </c>
      <c r="AU73" s="50"/>
      <c r="AV73" s="37" t="str">
        <f t="shared" si="3"/>
        <v>Area 8D NTrty</v>
      </c>
      <c r="AW73" s="180">
        <f t="shared" si="4"/>
        <v>0</v>
      </c>
      <c r="AX73" s="180">
        <f t="shared" si="5"/>
        <v>0</v>
      </c>
      <c r="AY73" s="180">
        <f t="shared" si="6"/>
        <v>0</v>
      </c>
      <c r="AZ73" s="180">
        <f t="shared" si="6"/>
        <v>21</v>
      </c>
      <c r="BA73" s="180">
        <f t="shared" si="7"/>
        <v>0</v>
      </c>
      <c r="BB73" s="1725">
        <f t="shared" si="90"/>
        <v>21</v>
      </c>
      <c r="BC73" s="37"/>
      <c r="BD73" s="50"/>
      <c r="BE73" s="37" t="str">
        <f t="shared" si="91"/>
        <v>Area 8D NTrty</v>
      </c>
      <c r="BF73" s="497">
        <f t="shared" si="92"/>
        <v>0</v>
      </c>
      <c r="BG73" s="497">
        <f t="shared" si="92"/>
        <v>0</v>
      </c>
      <c r="BH73" s="497">
        <f t="shared" si="92"/>
        <v>0</v>
      </c>
      <c r="BI73" s="497">
        <f t="shared" si="92"/>
        <v>0</v>
      </c>
      <c r="BJ73" s="497">
        <f t="shared" si="92"/>
        <v>0</v>
      </c>
      <c r="BK73" s="498">
        <f t="shared" si="93"/>
        <v>0</v>
      </c>
      <c r="BL73" s="38"/>
      <c r="BM73" s="50"/>
      <c r="BN73" s="37" t="str">
        <f t="shared" si="94"/>
        <v>Area 8D NTrty</v>
      </c>
      <c r="BO73" s="497">
        <f t="shared" si="95"/>
        <v>0</v>
      </c>
      <c r="BP73" s="497">
        <f t="shared" si="95"/>
        <v>0</v>
      </c>
      <c r="BQ73" s="497">
        <f t="shared" si="95"/>
        <v>0</v>
      </c>
      <c r="BR73" s="497">
        <f t="shared" si="95"/>
        <v>21</v>
      </c>
      <c r="BS73" s="497">
        <f t="shared" si="95"/>
        <v>0</v>
      </c>
      <c r="BT73" s="1725">
        <f t="shared" si="96"/>
        <v>21</v>
      </c>
      <c r="BU73" s="37"/>
      <c r="BV73" s="37"/>
      <c r="BW73" s="50"/>
      <c r="BX73" s="37" t="str">
        <f t="shared" si="97"/>
        <v>Area 8D NTrty</v>
      </c>
      <c r="BY73" s="497">
        <f t="shared" si="98"/>
        <v>0</v>
      </c>
      <c r="BZ73" s="497">
        <f t="shared" si="98"/>
        <v>0</v>
      </c>
      <c r="CA73" s="497">
        <f t="shared" si="98"/>
        <v>0</v>
      </c>
      <c r="CB73" s="497">
        <f t="shared" si="98"/>
        <v>21</v>
      </c>
      <c r="CC73" s="497">
        <f t="shared" si="98"/>
        <v>0</v>
      </c>
      <c r="CD73" s="1725">
        <f t="shared" si="99"/>
        <v>21</v>
      </c>
      <c r="CE73" s="38"/>
      <c r="CF73" s="1326"/>
    </row>
    <row r="74" spans="1:84" x14ac:dyDescent="0.2">
      <c r="A74" t="s">
        <v>4327</v>
      </c>
      <c r="B74">
        <f>SUM(FishSumAllPRN!B74)</f>
        <v>0</v>
      </c>
      <c r="C74">
        <f>SUM(FishSumAllPRN!C74)</f>
        <v>0</v>
      </c>
      <c r="D74">
        <f>SUM(FishSumAllPRN!D74)</f>
        <v>0</v>
      </c>
      <c r="E74">
        <f>SUM(FishSumAllPRN!E74)</f>
        <v>11225</v>
      </c>
      <c r="F74">
        <f>SUM(FishSumAllPRN!F74)</f>
        <v>5234</v>
      </c>
      <c r="G74">
        <f>SUM(FishSumAllPRN!G74)</f>
        <v>16459</v>
      </c>
      <c r="H74" s="54" t="s">
        <v>294</v>
      </c>
      <c r="I74" s="54"/>
      <c r="K74" t="s">
        <v>5745</v>
      </c>
      <c r="R74" s="38">
        <f t="shared" ref="R74:V77" si="107">SUM(B193)</f>
        <v>0</v>
      </c>
      <c r="S74" s="38">
        <f t="shared" si="107"/>
        <v>0</v>
      </c>
      <c r="T74" s="38">
        <f t="shared" si="107"/>
        <v>0</v>
      </c>
      <c r="U74" s="38">
        <f t="shared" si="107"/>
        <v>0</v>
      </c>
      <c r="V74" s="38">
        <f t="shared" si="107"/>
        <v>0</v>
      </c>
      <c r="Z74">
        <f t="shared" si="67"/>
        <v>0</v>
      </c>
      <c r="AC74" s="50"/>
      <c r="AD74" s="37"/>
      <c r="AE74" s="37"/>
      <c r="AF74" s="37"/>
      <c r="AG74" s="37"/>
      <c r="AH74" s="37"/>
      <c r="AI74" s="37"/>
      <c r="AJ74" s="37" t="s">
        <v>5746</v>
      </c>
      <c r="AK74" s="38">
        <v>0</v>
      </c>
      <c r="AL74" s="38">
        <v>0</v>
      </c>
      <c r="AM74" s="38">
        <v>0</v>
      </c>
      <c r="AN74" s="38">
        <f>SUM(E123)</f>
        <v>15418</v>
      </c>
      <c r="AO74" s="38">
        <f>SUM(F123)</f>
        <v>7848</v>
      </c>
      <c r="AP74" s="38"/>
      <c r="AQ74" s="38"/>
      <c r="AR74" s="38"/>
      <c r="AS74" s="59">
        <f t="shared" si="89"/>
        <v>23266</v>
      </c>
      <c r="AU74" s="50"/>
      <c r="AV74" s="37" t="str">
        <f t="shared" ref="AV74:AV79" si="108">AJ913</f>
        <v>Area 8D Trty</v>
      </c>
      <c r="AW74" s="180">
        <f t="shared" ref="AW74:AW79" si="109">AK913</f>
        <v>0</v>
      </c>
      <c r="AX74" s="180">
        <f t="shared" ref="AX74:AX79" si="110">AL913</f>
        <v>0</v>
      </c>
      <c r="AY74" s="180">
        <f t="shared" ref="AY74:AZ79" si="111">AM913</f>
        <v>0</v>
      </c>
      <c r="AZ74" s="180">
        <f t="shared" si="111"/>
        <v>15726</v>
      </c>
      <c r="BA74" s="180">
        <f t="shared" ref="BA74:BA79" si="112">AO913</f>
        <v>8005</v>
      </c>
      <c r="BB74" s="1725">
        <f t="shared" si="90"/>
        <v>23731</v>
      </c>
      <c r="BC74" s="37"/>
      <c r="BD74" s="50"/>
      <c r="BE74" s="37" t="str">
        <f t="shared" si="91"/>
        <v>Area 8D Trty</v>
      </c>
      <c r="BF74" s="497">
        <f t="shared" si="92"/>
        <v>0</v>
      </c>
      <c r="BG74" s="497">
        <f t="shared" si="92"/>
        <v>0</v>
      </c>
      <c r="BH74" s="497">
        <f t="shared" si="92"/>
        <v>0</v>
      </c>
      <c r="BI74" s="497">
        <f t="shared" si="92"/>
        <v>308</v>
      </c>
      <c r="BJ74" s="497">
        <f t="shared" si="92"/>
        <v>157</v>
      </c>
      <c r="BK74" s="498">
        <f t="shared" si="93"/>
        <v>465</v>
      </c>
      <c r="BL74" s="38"/>
      <c r="BM74" s="50"/>
      <c r="BN74" s="37" t="str">
        <f t="shared" si="94"/>
        <v>Area 8D Trty</v>
      </c>
      <c r="BO74" s="497">
        <f t="shared" si="95"/>
        <v>0</v>
      </c>
      <c r="BP74" s="497">
        <f t="shared" si="95"/>
        <v>0</v>
      </c>
      <c r="BQ74" s="497">
        <f t="shared" si="95"/>
        <v>0</v>
      </c>
      <c r="BR74" s="497">
        <f t="shared" si="95"/>
        <v>0</v>
      </c>
      <c r="BS74" s="497">
        <f t="shared" si="95"/>
        <v>0</v>
      </c>
      <c r="BT74" s="1725">
        <f t="shared" si="96"/>
        <v>0</v>
      </c>
      <c r="BU74" s="37"/>
      <c r="BV74" s="37"/>
      <c r="BW74" s="50"/>
      <c r="BX74" s="37" t="str">
        <f t="shared" si="97"/>
        <v>Area 8D Trty</v>
      </c>
      <c r="BY74" s="497">
        <f t="shared" si="98"/>
        <v>0</v>
      </c>
      <c r="BZ74" s="497">
        <f t="shared" si="98"/>
        <v>0</v>
      </c>
      <c r="CA74" s="497">
        <f t="shared" si="98"/>
        <v>0</v>
      </c>
      <c r="CB74" s="497">
        <f t="shared" si="98"/>
        <v>308</v>
      </c>
      <c r="CC74" s="497">
        <f t="shared" si="98"/>
        <v>157</v>
      </c>
      <c r="CD74" s="1725">
        <f t="shared" si="99"/>
        <v>465</v>
      </c>
      <c r="CE74" s="38"/>
      <c r="CF74" s="1326"/>
    </row>
    <row r="75" spans="1:84" x14ac:dyDescent="0.2">
      <c r="A75" t="s">
        <v>4328</v>
      </c>
      <c r="B75">
        <f>SUM(FishSumAllPRN!B75)</f>
        <v>0</v>
      </c>
      <c r="C75">
        <f>SUM(FishSumAllPRN!C75)</f>
        <v>0</v>
      </c>
      <c r="D75">
        <f>SUM(FishSumAllPRN!D75)</f>
        <v>0</v>
      </c>
      <c r="E75">
        <f>SUM(FishSumAllPRN!E75)</f>
        <v>0</v>
      </c>
      <c r="F75">
        <f>SUM(FishSumAllPRN!F75)</f>
        <v>0</v>
      </c>
      <c r="G75">
        <f>SUM(FishSumAllPRN!G75)</f>
        <v>0</v>
      </c>
      <c r="H75" s="54" t="s">
        <v>294</v>
      </c>
      <c r="I75" s="54"/>
      <c r="K75" t="s">
        <v>5747</v>
      </c>
      <c r="R75" s="38">
        <f t="shared" si="107"/>
        <v>0</v>
      </c>
      <c r="S75" s="38">
        <f t="shared" si="107"/>
        <v>0</v>
      </c>
      <c r="T75" s="38">
        <f t="shared" si="107"/>
        <v>0</v>
      </c>
      <c r="U75" s="38">
        <f t="shared" si="107"/>
        <v>0</v>
      </c>
      <c r="V75" s="38">
        <f t="shared" si="107"/>
        <v>0</v>
      </c>
      <c r="Z75">
        <f t="shared" si="67"/>
        <v>0</v>
      </c>
      <c r="AC75" s="50"/>
      <c r="AD75" s="37"/>
      <c r="AE75" s="37"/>
      <c r="AF75" s="37"/>
      <c r="AG75" s="37"/>
      <c r="AH75" s="37"/>
      <c r="AI75" s="37"/>
      <c r="AJ75" s="37" t="s">
        <v>5748</v>
      </c>
      <c r="AK75" s="38">
        <v>0</v>
      </c>
      <c r="AL75" s="38">
        <v>0</v>
      </c>
      <c r="AM75" s="38">
        <v>0</v>
      </c>
      <c r="AN75" s="38">
        <v>0</v>
      </c>
      <c r="AO75" s="38">
        <v>0</v>
      </c>
      <c r="AP75" s="38">
        <v>0</v>
      </c>
      <c r="AQ75" s="38">
        <v>0</v>
      </c>
      <c r="AR75" s="38">
        <v>0</v>
      </c>
      <c r="AS75" s="59">
        <f t="shared" si="89"/>
        <v>0</v>
      </c>
      <c r="AU75" s="50"/>
      <c r="AV75" s="37" t="str">
        <f t="shared" si="108"/>
        <v>Area 9 Ntrty,Trty</v>
      </c>
      <c r="AW75" s="180">
        <f t="shared" si="109"/>
        <v>0</v>
      </c>
      <c r="AX75" s="180">
        <f t="shared" si="110"/>
        <v>0</v>
      </c>
      <c r="AY75" s="180">
        <f t="shared" si="111"/>
        <v>0</v>
      </c>
      <c r="AZ75" s="180">
        <f t="shared" si="111"/>
        <v>0</v>
      </c>
      <c r="BA75" s="180">
        <f t="shared" si="112"/>
        <v>0</v>
      </c>
      <c r="BB75" s="1725">
        <f t="shared" si="90"/>
        <v>0</v>
      </c>
      <c r="BC75" s="37"/>
      <c r="BD75" s="50"/>
      <c r="BE75" s="37" t="str">
        <f t="shared" si="91"/>
        <v>Area 9 Ntrty,Trty</v>
      </c>
      <c r="BF75" s="497">
        <f t="shared" si="92"/>
        <v>0</v>
      </c>
      <c r="BG75" s="497">
        <f t="shared" si="92"/>
        <v>0</v>
      </c>
      <c r="BH75" s="497">
        <f t="shared" si="92"/>
        <v>0</v>
      </c>
      <c r="BI75" s="497">
        <f t="shared" si="92"/>
        <v>0</v>
      </c>
      <c r="BJ75" s="497">
        <f t="shared" si="92"/>
        <v>0</v>
      </c>
      <c r="BK75" s="498">
        <f t="shared" si="93"/>
        <v>0</v>
      </c>
      <c r="BL75" s="38"/>
      <c r="BM75" s="50"/>
      <c r="BN75" s="37" t="str">
        <f t="shared" si="94"/>
        <v>Area 9 Ntrty,Trty</v>
      </c>
      <c r="BO75" s="497">
        <f t="shared" si="95"/>
        <v>0</v>
      </c>
      <c r="BP75" s="497">
        <f t="shared" si="95"/>
        <v>0</v>
      </c>
      <c r="BQ75" s="497">
        <f t="shared" si="95"/>
        <v>0</v>
      </c>
      <c r="BR75" s="497">
        <f t="shared" si="95"/>
        <v>0</v>
      </c>
      <c r="BS75" s="497">
        <f t="shared" si="95"/>
        <v>0</v>
      </c>
      <c r="BT75" s="1725">
        <f t="shared" si="96"/>
        <v>0</v>
      </c>
      <c r="BU75" s="37"/>
      <c r="BV75" s="37"/>
      <c r="BW75" s="50"/>
      <c r="BX75" s="37" t="str">
        <f t="shared" si="97"/>
        <v>Area 9 Ntrty,Trty</v>
      </c>
      <c r="BY75" s="497">
        <f t="shared" si="98"/>
        <v>0</v>
      </c>
      <c r="BZ75" s="497">
        <f t="shared" si="98"/>
        <v>0</v>
      </c>
      <c r="CA75" s="497">
        <f t="shared" si="98"/>
        <v>0</v>
      </c>
      <c r="CB75" s="497">
        <f t="shared" si="98"/>
        <v>0</v>
      </c>
      <c r="CC75" s="497">
        <f t="shared" si="98"/>
        <v>0</v>
      </c>
      <c r="CD75" s="1725">
        <f t="shared" si="99"/>
        <v>0</v>
      </c>
      <c r="CE75" s="38"/>
      <c r="CF75" s="1326"/>
    </row>
    <row r="76" spans="1:84" x14ac:dyDescent="0.2">
      <c r="A76" t="s">
        <v>4329</v>
      </c>
      <c r="B76">
        <f>SUM(FishSumAllPRN!B76)</f>
        <v>0</v>
      </c>
      <c r="C76">
        <f>SUM(FishSumAllPRN!C76)</f>
        <v>0</v>
      </c>
      <c r="D76">
        <f>SUM(FishSumAllPRN!D76)</f>
        <v>0</v>
      </c>
      <c r="E76">
        <f>SUM(FishSumAllPRN!E76)</f>
        <v>0</v>
      </c>
      <c r="F76">
        <f>SUM(FishSumAllPRN!F76)</f>
        <v>2076</v>
      </c>
      <c r="G76">
        <f>SUM(FishSumAllPRN!G76)</f>
        <v>2076</v>
      </c>
      <c r="H76" s="54" t="s">
        <v>294</v>
      </c>
      <c r="I76" s="54"/>
      <c r="K76" t="s">
        <v>5749</v>
      </c>
      <c r="R76" s="38">
        <f t="shared" si="107"/>
        <v>0</v>
      </c>
      <c r="S76" s="38">
        <f t="shared" si="107"/>
        <v>0</v>
      </c>
      <c r="T76" s="38">
        <f t="shared" si="107"/>
        <v>0</v>
      </c>
      <c r="U76" s="38">
        <f t="shared" si="107"/>
        <v>0</v>
      </c>
      <c r="V76" s="38">
        <f t="shared" si="107"/>
        <v>0</v>
      </c>
      <c r="Z76">
        <f t="shared" si="67"/>
        <v>0</v>
      </c>
      <c r="AC76" s="61"/>
      <c r="AJ76" s="37" t="s">
        <v>5750</v>
      </c>
      <c r="AK76" s="38">
        <v>0</v>
      </c>
      <c r="AL76" s="38">
        <v>0</v>
      </c>
      <c r="AM76" s="38">
        <v>0</v>
      </c>
      <c r="AN76" s="38">
        <f>SUM(E166,E168)</f>
        <v>2526</v>
      </c>
      <c r="AO76" s="38">
        <f>SUM(F166,F168)</f>
        <v>40</v>
      </c>
      <c r="AP76" s="38">
        <f>SUM(W68:W69)</f>
        <v>0</v>
      </c>
      <c r="AQ76" s="38">
        <f>SUM(X68:X69)</f>
        <v>0</v>
      </c>
      <c r="AR76" s="38">
        <f>SUM(Y68:Y69)</f>
        <v>0</v>
      </c>
      <c r="AS76" s="59">
        <f t="shared" si="89"/>
        <v>2566</v>
      </c>
      <c r="AU76" s="61"/>
      <c r="AV76" s="37" t="str">
        <f t="shared" si="108"/>
        <v>Area 9a/12a NTrty</v>
      </c>
      <c r="AW76" s="180">
        <f t="shared" si="109"/>
        <v>0</v>
      </c>
      <c r="AX76" s="180">
        <f t="shared" si="110"/>
        <v>0</v>
      </c>
      <c r="AY76" s="180">
        <f t="shared" si="111"/>
        <v>0</v>
      </c>
      <c r="AZ76" s="180">
        <f t="shared" si="111"/>
        <v>2577</v>
      </c>
      <c r="BA76" s="180">
        <f t="shared" si="112"/>
        <v>41</v>
      </c>
      <c r="BB76" s="1725">
        <f t="shared" si="90"/>
        <v>2618</v>
      </c>
      <c r="BC76" s="37"/>
      <c r="BD76" s="61"/>
      <c r="BE76" s="37" t="str">
        <f t="shared" si="91"/>
        <v>Area 9a/12a NTrty</v>
      </c>
      <c r="BF76" s="497">
        <f t="shared" si="92"/>
        <v>0</v>
      </c>
      <c r="BG76" s="497">
        <f t="shared" si="92"/>
        <v>0</v>
      </c>
      <c r="BH76" s="497">
        <f t="shared" si="92"/>
        <v>0</v>
      </c>
      <c r="BI76" s="497">
        <f t="shared" si="92"/>
        <v>51</v>
      </c>
      <c r="BJ76" s="497">
        <f t="shared" si="92"/>
        <v>1</v>
      </c>
      <c r="BK76" s="498">
        <f t="shared" si="93"/>
        <v>52</v>
      </c>
      <c r="BL76" s="38"/>
      <c r="BM76" s="61"/>
      <c r="BN76" s="37" t="str">
        <f t="shared" si="94"/>
        <v>Area 9a/12a NTrty</v>
      </c>
      <c r="BO76" s="497">
        <f t="shared" si="95"/>
        <v>0</v>
      </c>
      <c r="BP76" s="497">
        <f t="shared" si="95"/>
        <v>0</v>
      </c>
      <c r="BQ76" s="497">
        <f t="shared" si="95"/>
        <v>0</v>
      </c>
      <c r="BR76" s="497">
        <f t="shared" si="95"/>
        <v>0</v>
      </c>
      <c r="BS76" s="497">
        <f t="shared" si="95"/>
        <v>0</v>
      </c>
      <c r="BT76" s="1725">
        <f t="shared" si="96"/>
        <v>0</v>
      </c>
      <c r="BU76" s="37"/>
      <c r="BV76" s="37"/>
      <c r="BW76" s="61"/>
      <c r="BX76" s="37" t="str">
        <f t="shared" si="97"/>
        <v>Area 9a/12a NTrty</v>
      </c>
      <c r="BY76" s="497">
        <f t="shared" si="98"/>
        <v>0</v>
      </c>
      <c r="BZ76" s="497">
        <f t="shared" si="98"/>
        <v>0</v>
      </c>
      <c r="CA76" s="497">
        <f t="shared" si="98"/>
        <v>0</v>
      </c>
      <c r="CB76" s="497">
        <f t="shared" si="98"/>
        <v>51</v>
      </c>
      <c r="CC76" s="497">
        <f t="shared" si="98"/>
        <v>1</v>
      </c>
      <c r="CD76" s="1725">
        <f t="shared" si="99"/>
        <v>52</v>
      </c>
      <c r="CE76" s="38"/>
      <c r="CF76" s="1326"/>
    </row>
    <row r="77" spans="1:84" x14ac:dyDescent="0.2">
      <c r="A77" t="s">
        <v>4330</v>
      </c>
      <c r="B77">
        <f>SUM(FishSumAllPRN!B77)</f>
        <v>0</v>
      </c>
      <c r="C77">
        <f>SUM(FishSumAllPRN!C77)</f>
        <v>0</v>
      </c>
      <c r="D77">
        <f>SUM(FishSumAllPRN!D77)</f>
        <v>0</v>
      </c>
      <c r="E77">
        <f>SUM(FishSumAllPRN!E77)</f>
        <v>0</v>
      </c>
      <c r="F77">
        <f>SUM(FishSumAllPRN!F77)</f>
        <v>0</v>
      </c>
      <c r="G77">
        <f>SUM(FishSumAllPRN!G77)</f>
        <v>0</v>
      </c>
      <c r="H77" s="54" t="s">
        <v>294</v>
      </c>
      <c r="I77" s="54"/>
      <c r="K77" t="s">
        <v>5751</v>
      </c>
      <c r="R77" s="38">
        <f t="shared" si="107"/>
        <v>0</v>
      </c>
      <c r="S77" s="38">
        <f t="shared" si="107"/>
        <v>0</v>
      </c>
      <c r="T77" s="38">
        <f t="shared" si="107"/>
        <v>0</v>
      </c>
      <c r="U77" s="38">
        <f t="shared" si="107"/>
        <v>0</v>
      </c>
      <c r="V77" s="38">
        <f t="shared" si="107"/>
        <v>0</v>
      </c>
      <c r="Z77">
        <f t="shared" si="67"/>
        <v>0</v>
      </c>
      <c r="AC77" s="61"/>
      <c r="AJ77" s="37" t="s">
        <v>5752</v>
      </c>
      <c r="AK77" s="38">
        <v>0</v>
      </c>
      <c r="AL77" s="38">
        <v>0</v>
      </c>
      <c r="AM77" s="38">
        <v>0</v>
      </c>
      <c r="AN77" s="38">
        <f>SUM(E167,E169)</f>
        <v>8479</v>
      </c>
      <c r="AO77" s="38">
        <f>SUM(F167,F169)</f>
        <v>1417</v>
      </c>
      <c r="AP77" s="38"/>
      <c r="AQ77" s="38"/>
      <c r="AR77" s="38"/>
      <c r="AS77" s="59">
        <f t="shared" si="89"/>
        <v>9896</v>
      </c>
      <c r="AU77" s="61"/>
      <c r="AV77" s="37" t="str">
        <f t="shared" si="108"/>
        <v>Area 9a/12a Trty</v>
      </c>
      <c r="AW77" s="180">
        <f t="shared" si="109"/>
        <v>0</v>
      </c>
      <c r="AX77" s="180">
        <f t="shared" si="110"/>
        <v>0</v>
      </c>
      <c r="AY77" s="180">
        <f t="shared" si="111"/>
        <v>0</v>
      </c>
      <c r="AZ77" s="180">
        <f t="shared" si="111"/>
        <v>8648</v>
      </c>
      <c r="BA77" s="180">
        <f t="shared" si="112"/>
        <v>1509</v>
      </c>
      <c r="BB77" s="1725">
        <f t="shared" si="90"/>
        <v>10157</v>
      </c>
      <c r="BC77" s="37"/>
      <c r="BD77" s="61"/>
      <c r="BE77" s="37" t="str">
        <f t="shared" si="91"/>
        <v>Area 9a/12a Trty</v>
      </c>
      <c r="BF77" s="497">
        <f t="shared" si="92"/>
        <v>0</v>
      </c>
      <c r="BG77" s="497">
        <f t="shared" si="92"/>
        <v>0</v>
      </c>
      <c r="BH77" s="497">
        <f t="shared" si="92"/>
        <v>0</v>
      </c>
      <c r="BI77" s="497">
        <f t="shared" si="92"/>
        <v>169</v>
      </c>
      <c r="BJ77" s="497">
        <f t="shared" si="92"/>
        <v>28</v>
      </c>
      <c r="BK77" s="498">
        <f t="shared" si="93"/>
        <v>197</v>
      </c>
      <c r="BL77" s="38"/>
      <c r="BM77" s="61"/>
      <c r="BN77" s="37" t="str">
        <f t="shared" si="94"/>
        <v>Area 9a/12a Trty</v>
      </c>
      <c r="BO77" s="497">
        <f t="shared" si="95"/>
        <v>0</v>
      </c>
      <c r="BP77" s="497">
        <f t="shared" si="95"/>
        <v>0</v>
      </c>
      <c r="BQ77" s="497">
        <f t="shared" si="95"/>
        <v>0</v>
      </c>
      <c r="BR77" s="497">
        <f t="shared" si="95"/>
        <v>0</v>
      </c>
      <c r="BS77" s="497">
        <f t="shared" si="95"/>
        <v>64</v>
      </c>
      <c r="BT77" s="1725">
        <f t="shared" si="96"/>
        <v>64</v>
      </c>
      <c r="BU77" s="37"/>
      <c r="BV77" s="37"/>
      <c r="BW77" s="61"/>
      <c r="BX77" s="37" t="str">
        <f t="shared" si="97"/>
        <v>Area 9a/12a Trty</v>
      </c>
      <c r="BY77" s="497">
        <f t="shared" si="98"/>
        <v>0</v>
      </c>
      <c r="BZ77" s="497">
        <f t="shared" si="98"/>
        <v>0</v>
      </c>
      <c r="CA77" s="497">
        <f t="shared" si="98"/>
        <v>0</v>
      </c>
      <c r="CB77" s="497">
        <f t="shared" si="98"/>
        <v>169</v>
      </c>
      <c r="CC77" s="497">
        <f t="shared" si="98"/>
        <v>92</v>
      </c>
      <c r="CD77" s="1725">
        <f t="shared" si="99"/>
        <v>261</v>
      </c>
      <c r="CE77" s="38"/>
      <c r="CF77" s="1326"/>
    </row>
    <row r="78" spans="1:84" x14ac:dyDescent="0.2">
      <c r="A78" t="s">
        <v>4331</v>
      </c>
      <c r="B78">
        <f>SUM(FishSumAllPRN!B78)</f>
        <v>0</v>
      </c>
      <c r="C78">
        <f>SUM(FishSumAllPRN!C78)</f>
        <v>0</v>
      </c>
      <c r="D78">
        <f>SUM(FishSumAllPRN!D78)</f>
        <v>0</v>
      </c>
      <c r="E78">
        <f>SUM(FishSumAllPRN!E78)</f>
        <v>0</v>
      </c>
      <c r="F78">
        <f>SUM(FishSumAllPRN!F78)</f>
        <v>0</v>
      </c>
      <c r="G78">
        <f>SUM(FishSumAllPRN!G78)</f>
        <v>0</v>
      </c>
      <c r="H78" s="54" t="s">
        <v>294</v>
      </c>
      <c r="I78" s="54"/>
      <c r="AC78" s="61"/>
      <c r="AJ78" s="37" t="s">
        <v>5753</v>
      </c>
      <c r="AK78" s="38">
        <v>0</v>
      </c>
      <c r="AL78" s="38">
        <v>0</v>
      </c>
      <c r="AM78" s="38">
        <v>0</v>
      </c>
      <c r="AN78" s="38">
        <f>SUM(E164,E170)</f>
        <v>5</v>
      </c>
      <c r="AO78" s="38">
        <f>SUM(F164,F170)</f>
        <v>1343</v>
      </c>
      <c r="AP78" s="38">
        <f>SUM(W70:W71)</f>
        <v>0</v>
      </c>
      <c r="AQ78" s="38">
        <f>SUM(X70:X71)</f>
        <v>0</v>
      </c>
      <c r="AR78" s="38">
        <f>SUM(Y70:Y71)</f>
        <v>0</v>
      </c>
      <c r="AS78" s="59">
        <f t="shared" si="89"/>
        <v>1348</v>
      </c>
      <c r="AU78" s="61"/>
      <c r="AV78" s="37" t="str">
        <f t="shared" si="108"/>
        <v>HC 12, 12B-D NTrty</v>
      </c>
      <c r="AW78" s="180">
        <f t="shared" si="109"/>
        <v>0</v>
      </c>
      <c r="AX78" s="180">
        <f t="shared" si="110"/>
        <v>0</v>
      </c>
      <c r="AY78" s="180">
        <f t="shared" si="111"/>
        <v>0</v>
      </c>
      <c r="AZ78" s="180">
        <f t="shared" si="111"/>
        <v>6</v>
      </c>
      <c r="BA78" s="180">
        <f t="shared" si="112"/>
        <v>1370</v>
      </c>
      <c r="BB78" s="1725">
        <f t="shared" si="90"/>
        <v>1376</v>
      </c>
      <c r="BC78" s="37"/>
      <c r="BD78" s="61"/>
      <c r="BE78" s="37" t="str">
        <f t="shared" si="91"/>
        <v>HC 12, 12B-D NTrty</v>
      </c>
      <c r="BF78" s="497">
        <f t="shared" si="92"/>
        <v>0</v>
      </c>
      <c r="BG78" s="497">
        <f t="shared" si="92"/>
        <v>0</v>
      </c>
      <c r="BH78" s="497">
        <f t="shared" si="92"/>
        <v>0</v>
      </c>
      <c r="BI78" s="497">
        <f t="shared" si="92"/>
        <v>1</v>
      </c>
      <c r="BJ78" s="497">
        <f t="shared" si="92"/>
        <v>27</v>
      </c>
      <c r="BK78" s="498">
        <f t="shared" si="93"/>
        <v>28</v>
      </c>
      <c r="BL78" s="38"/>
      <c r="BM78" s="61"/>
      <c r="BN78" s="37" t="str">
        <f t="shared" si="94"/>
        <v>HC 12, 12B-D NTrty</v>
      </c>
      <c r="BO78" s="497">
        <f t="shared" si="95"/>
        <v>0</v>
      </c>
      <c r="BP78" s="497">
        <f t="shared" si="95"/>
        <v>0</v>
      </c>
      <c r="BQ78" s="497">
        <f t="shared" si="95"/>
        <v>0</v>
      </c>
      <c r="BR78" s="497">
        <f t="shared" si="95"/>
        <v>0</v>
      </c>
      <c r="BS78" s="497">
        <f t="shared" si="95"/>
        <v>0</v>
      </c>
      <c r="BT78" s="1725">
        <f t="shared" si="96"/>
        <v>0</v>
      </c>
      <c r="BU78" s="37"/>
      <c r="BV78" s="37"/>
      <c r="BW78" s="61"/>
      <c r="BX78" s="37" t="str">
        <f t="shared" si="97"/>
        <v>HC 12, 12B-D NTrty</v>
      </c>
      <c r="BY78" s="497">
        <f t="shared" si="98"/>
        <v>0</v>
      </c>
      <c r="BZ78" s="497">
        <f t="shared" si="98"/>
        <v>0</v>
      </c>
      <c r="CA78" s="497">
        <f t="shared" si="98"/>
        <v>0</v>
      </c>
      <c r="CB78" s="497">
        <f t="shared" si="98"/>
        <v>1</v>
      </c>
      <c r="CC78" s="497">
        <f t="shared" si="98"/>
        <v>27</v>
      </c>
      <c r="CD78" s="1725">
        <f t="shared" si="99"/>
        <v>28</v>
      </c>
      <c r="CE78" s="38"/>
      <c r="CF78" s="1326"/>
    </row>
    <row r="79" spans="1:84" x14ac:dyDescent="0.2">
      <c r="A79" t="s">
        <v>4332</v>
      </c>
      <c r="B79">
        <f>SUM(FishSumAllPRN!B79)</f>
        <v>0</v>
      </c>
      <c r="C79">
        <f>SUM(FishSumAllPRN!C79)</f>
        <v>0</v>
      </c>
      <c r="D79">
        <f>SUM(FishSumAllPRN!D79)</f>
        <v>0</v>
      </c>
      <c r="E79">
        <f>SUM(FishSumAllPRN!E79)</f>
        <v>9279</v>
      </c>
      <c r="F79">
        <f>SUM(FishSumAllPRN!F79)</f>
        <v>1768</v>
      </c>
      <c r="G79">
        <f>SUM(FishSumAllPRN!G79)</f>
        <v>11047</v>
      </c>
      <c r="H79" s="54" t="s">
        <v>294</v>
      </c>
      <c r="I79" s="54"/>
      <c r="R79" s="38">
        <f>SUM(R12:R77)</f>
        <v>53629</v>
      </c>
      <c r="S79" s="38">
        <f t="shared" ref="S79:Z79" si="113">SUM(S12:S77)</f>
        <v>299256</v>
      </c>
      <c r="T79" s="38">
        <f t="shared" si="113"/>
        <v>432333</v>
      </c>
      <c r="U79" s="38">
        <f t="shared" si="113"/>
        <v>321195</v>
      </c>
      <c r="V79" s="38">
        <f t="shared" si="113"/>
        <v>35847</v>
      </c>
      <c r="W79" s="38">
        <f t="shared" si="113"/>
        <v>0</v>
      </c>
      <c r="X79" s="38">
        <f t="shared" si="113"/>
        <v>0</v>
      </c>
      <c r="Y79" s="38">
        <f t="shared" si="113"/>
        <v>0</v>
      </c>
      <c r="Z79" s="38">
        <f t="shared" si="113"/>
        <v>1142260</v>
      </c>
      <c r="AC79" s="61"/>
      <c r="AJ79" s="37" t="s">
        <v>5754</v>
      </c>
      <c r="AK79" s="38">
        <v>0</v>
      </c>
      <c r="AL79" s="38">
        <v>0</v>
      </c>
      <c r="AM79" s="38">
        <v>0</v>
      </c>
      <c r="AN79" s="38">
        <f>SUM(E165,E171)</f>
        <v>1442</v>
      </c>
      <c r="AO79" s="38">
        <f>SUM(F165,F171)</f>
        <v>3029</v>
      </c>
      <c r="AP79" s="38"/>
      <c r="AQ79" s="38"/>
      <c r="AR79" s="38"/>
      <c r="AS79" s="59">
        <f t="shared" si="89"/>
        <v>4471</v>
      </c>
      <c r="AU79" s="61"/>
      <c r="AV79" s="37" t="str">
        <f t="shared" si="108"/>
        <v>HC 12, 12B-D Trty</v>
      </c>
      <c r="AW79" s="180">
        <f t="shared" si="109"/>
        <v>0</v>
      </c>
      <c r="AX79" s="180">
        <f t="shared" si="110"/>
        <v>0</v>
      </c>
      <c r="AY79" s="180">
        <f t="shared" si="111"/>
        <v>0</v>
      </c>
      <c r="AZ79" s="180">
        <f t="shared" si="111"/>
        <v>1477</v>
      </c>
      <c r="BA79" s="180">
        <f t="shared" si="112"/>
        <v>3117</v>
      </c>
      <c r="BB79" s="1725">
        <f t="shared" si="90"/>
        <v>4594</v>
      </c>
      <c r="BC79" s="37"/>
      <c r="BD79" s="61"/>
      <c r="BE79" s="37" t="str">
        <f t="shared" si="91"/>
        <v>HC 12, 12B-D Trty</v>
      </c>
      <c r="BF79" s="497">
        <f t="shared" si="92"/>
        <v>0</v>
      </c>
      <c r="BG79" s="497">
        <f t="shared" si="92"/>
        <v>0</v>
      </c>
      <c r="BH79" s="497">
        <f t="shared" si="92"/>
        <v>0</v>
      </c>
      <c r="BI79" s="497">
        <f t="shared" si="92"/>
        <v>29</v>
      </c>
      <c r="BJ79" s="497">
        <f t="shared" si="92"/>
        <v>61</v>
      </c>
      <c r="BK79" s="498">
        <f t="shared" si="93"/>
        <v>90</v>
      </c>
      <c r="BL79" s="38"/>
      <c r="BM79" s="61"/>
      <c r="BN79" s="37" t="str">
        <f t="shared" si="94"/>
        <v>HC 12, 12B-D Trty</v>
      </c>
      <c r="BO79" s="497">
        <f>AK500</f>
        <v>0</v>
      </c>
      <c r="BP79" s="497">
        <f>AL500</f>
        <v>0</v>
      </c>
      <c r="BQ79" s="497">
        <f>AM500</f>
        <v>0</v>
      </c>
      <c r="BR79" s="497">
        <f>AN500</f>
        <v>6</v>
      </c>
      <c r="BS79" s="497">
        <f>AO500</f>
        <v>27</v>
      </c>
      <c r="BT79" s="1725">
        <f t="shared" si="96"/>
        <v>33</v>
      </c>
      <c r="BU79" s="37"/>
      <c r="BV79" s="37"/>
      <c r="BW79" s="61"/>
      <c r="BX79" s="37" t="str">
        <f t="shared" si="97"/>
        <v>HC 12, 12B-D Trty</v>
      </c>
      <c r="BY79" s="497">
        <f t="shared" si="98"/>
        <v>0</v>
      </c>
      <c r="BZ79" s="497">
        <f t="shared" si="98"/>
        <v>0</v>
      </c>
      <c r="CA79" s="497">
        <f t="shared" si="98"/>
        <v>0</v>
      </c>
      <c r="CB79" s="497">
        <f t="shared" si="98"/>
        <v>35</v>
      </c>
      <c r="CC79" s="497">
        <f t="shared" si="98"/>
        <v>88</v>
      </c>
      <c r="CD79" s="1725">
        <f t="shared" si="99"/>
        <v>123</v>
      </c>
      <c r="CE79" s="38"/>
      <c r="CF79" s="1326"/>
    </row>
    <row r="80" spans="1:84" x14ac:dyDescent="0.2">
      <c r="A80" t="s">
        <v>4333</v>
      </c>
      <c r="B80">
        <f>SUM(FishSumAllPRN!B80)</f>
        <v>0</v>
      </c>
      <c r="C80">
        <f>SUM(FishSumAllPRN!C80)</f>
        <v>0</v>
      </c>
      <c r="D80">
        <f>SUM(FishSumAllPRN!D80)</f>
        <v>0</v>
      </c>
      <c r="E80">
        <f>SUM(FishSumAllPRN!E80)</f>
        <v>0</v>
      </c>
      <c r="F80">
        <f>SUM(FishSumAllPRN!F80)</f>
        <v>0</v>
      </c>
      <c r="G80">
        <f>SUM(FishSumAllPRN!G80)</f>
        <v>0</v>
      </c>
      <c r="H80" s="54" t="s">
        <v>294</v>
      </c>
      <c r="I80" s="54"/>
      <c r="R80">
        <f>SUM(B12:B209)</f>
        <v>66105</v>
      </c>
      <c r="AC80" s="61"/>
      <c r="AJ80" s="37" t="s">
        <v>5755</v>
      </c>
      <c r="AK80" s="38">
        <v>0</v>
      </c>
      <c r="AL80" s="38">
        <v>0</v>
      </c>
      <c r="AM80" s="38">
        <v>0</v>
      </c>
      <c r="AN80" s="38">
        <f>SUM(E130,E132,E134)</f>
        <v>37</v>
      </c>
      <c r="AO80" s="38">
        <f>SUM(F130,F132,F134)</f>
        <v>289</v>
      </c>
      <c r="AP80" s="38"/>
      <c r="AQ80" s="38"/>
      <c r="AR80" s="38"/>
      <c r="AS80" s="59">
        <f t="shared" si="89"/>
        <v>326</v>
      </c>
      <c r="AU80" s="61"/>
      <c r="AV80" s="37" t="s">
        <v>5755</v>
      </c>
      <c r="AW80" s="38">
        <v>0</v>
      </c>
      <c r="AX80" s="38">
        <v>0</v>
      </c>
      <c r="AY80" s="38">
        <v>0</v>
      </c>
      <c r="AZ80" s="180">
        <f>SUM(E966,E968,E970)</f>
        <v>38</v>
      </c>
      <c r="BA80" s="180">
        <f>SUM(F966,F968,F970)</f>
        <v>295</v>
      </c>
      <c r="BB80" s="1725">
        <f t="shared" si="90"/>
        <v>333</v>
      </c>
      <c r="BC80" s="37"/>
      <c r="BD80" s="61"/>
      <c r="BE80" s="37" t="s">
        <v>5755</v>
      </c>
      <c r="BF80" s="38">
        <f t="shared" si="92"/>
        <v>0</v>
      </c>
      <c r="BG80" s="38">
        <f t="shared" si="92"/>
        <v>0</v>
      </c>
      <c r="BH80" s="38">
        <f t="shared" si="92"/>
        <v>0</v>
      </c>
      <c r="BI80" s="497">
        <f t="shared" si="92"/>
        <v>1</v>
      </c>
      <c r="BJ80" s="497">
        <f t="shared" si="92"/>
        <v>6</v>
      </c>
      <c r="BK80" s="498">
        <f t="shared" si="93"/>
        <v>7</v>
      </c>
      <c r="BL80" s="38"/>
      <c r="BM80" s="61"/>
      <c r="BN80" s="37" t="s">
        <v>5755</v>
      </c>
      <c r="BO80" s="38">
        <v>0</v>
      </c>
      <c r="BP80" s="38">
        <v>0</v>
      </c>
      <c r="BQ80" s="38">
        <v>0</v>
      </c>
      <c r="BR80" s="497">
        <v>0</v>
      </c>
      <c r="BS80" s="497">
        <v>0</v>
      </c>
      <c r="BT80" s="1725">
        <f t="shared" si="96"/>
        <v>0</v>
      </c>
      <c r="BU80" s="37"/>
      <c r="BV80" s="37"/>
      <c r="BW80" s="61"/>
      <c r="BX80" s="37" t="s">
        <v>5755</v>
      </c>
      <c r="BY80" s="38">
        <v>0</v>
      </c>
      <c r="BZ80" s="38">
        <v>0</v>
      </c>
      <c r="CA80" s="38">
        <v>0</v>
      </c>
      <c r="CB80" s="497">
        <f t="shared" ref="CB80:CC85" si="114">AZ80-AN80</f>
        <v>1</v>
      </c>
      <c r="CC80" s="497">
        <f t="shared" si="114"/>
        <v>6</v>
      </c>
      <c r="CD80" s="1725">
        <f t="shared" si="99"/>
        <v>7</v>
      </c>
      <c r="CE80" s="38"/>
      <c r="CF80" s="1326"/>
    </row>
    <row r="81" spans="1:84" x14ac:dyDescent="0.2">
      <c r="A81" t="s">
        <v>4334</v>
      </c>
      <c r="B81">
        <f>SUM(FishSumAllPRN!B81)</f>
        <v>0</v>
      </c>
      <c r="C81">
        <f>SUM(FishSumAllPRN!C81)</f>
        <v>0</v>
      </c>
      <c r="D81">
        <f>SUM(FishSumAllPRN!D81)</f>
        <v>0</v>
      </c>
      <c r="E81">
        <f>SUM(FishSumAllPRN!E81)</f>
        <v>0</v>
      </c>
      <c r="F81">
        <f>SUM(FishSumAllPRN!F81)</f>
        <v>3978</v>
      </c>
      <c r="G81">
        <f>SUM(FishSumAllPRN!G81)</f>
        <v>3978</v>
      </c>
      <c r="H81" s="54" t="s">
        <v>294</v>
      </c>
      <c r="I81" s="54"/>
      <c r="AC81" s="61"/>
      <c r="AJ81" s="37" t="s">
        <v>5756</v>
      </c>
      <c r="AK81" s="38">
        <v>0</v>
      </c>
      <c r="AL81" s="38">
        <v>0</v>
      </c>
      <c r="AM81" s="38">
        <v>0</v>
      </c>
      <c r="AN81" s="38">
        <f>SUM(E131,E133,E135)</f>
        <v>6046</v>
      </c>
      <c r="AO81" s="38">
        <f>SUM(F131,F133,F135)</f>
        <v>2846</v>
      </c>
      <c r="AP81" s="38"/>
      <c r="AQ81" s="38"/>
      <c r="AR81" s="38"/>
      <c r="AS81" s="59">
        <f t="shared" si="89"/>
        <v>8892</v>
      </c>
      <c r="AU81" s="61"/>
      <c r="AV81" s="37" t="s">
        <v>5756</v>
      </c>
      <c r="AW81" s="38">
        <v>0</v>
      </c>
      <c r="AX81" s="38">
        <v>0</v>
      </c>
      <c r="AY81" s="38">
        <v>0</v>
      </c>
      <c r="AZ81" s="180">
        <f>SUM(E967,E969,E971)</f>
        <v>6168</v>
      </c>
      <c r="BA81" s="180">
        <f>SUM(F967,F969,F971)</f>
        <v>2904</v>
      </c>
      <c r="BB81" s="1725">
        <f t="shared" si="90"/>
        <v>9072</v>
      </c>
      <c r="BC81" s="37"/>
      <c r="BD81" s="61"/>
      <c r="BE81" s="37" t="s">
        <v>5756</v>
      </c>
      <c r="BF81" s="38">
        <f t="shared" si="92"/>
        <v>0</v>
      </c>
      <c r="BG81" s="38">
        <f t="shared" si="92"/>
        <v>0</v>
      </c>
      <c r="BH81" s="38">
        <f t="shared" si="92"/>
        <v>0</v>
      </c>
      <c r="BI81" s="497">
        <f t="shared" si="92"/>
        <v>122</v>
      </c>
      <c r="BJ81" s="497">
        <f t="shared" si="92"/>
        <v>58</v>
      </c>
      <c r="BK81" s="498">
        <f t="shared" si="93"/>
        <v>180</v>
      </c>
      <c r="BL81" s="38"/>
      <c r="BM81" s="61"/>
      <c r="BN81" s="37" t="s">
        <v>5756</v>
      </c>
      <c r="BO81" s="38">
        <v>0</v>
      </c>
      <c r="BP81" s="38">
        <v>0</v>
      </c>
      <c r="BQ81" s="38">
        <v>0</v>
      </c>
      <c r="BR81" s="497">
        <v>0</v>
      </c>
      <c r="BS81" s="497">
        <v>0</v>
      </c>
      <c r="BT81" s="1725">
        <f t="shared" si="96"/>
        <v>0</v>
      </c>
      <c r="BU81" s="37"/>
      <c r="BV81" s="37"/>
      <c r="BW81" s="61"/>
      <c r="BX81" s="37" t="s">
        <v>5756</v>
      </c>
      <c r="BY81" s="38">
        <v>0</v>
      </c>
      <c r="BZ81" s="38">
        <v>0</v>
      </c>
      <c r="CA81" s="38">
        <v>0</v>
      </c>
      <c r="CB81" s="497">
        <f t="shared" si="114"/>
        <v>122</v>
      </c>
      <c r="CC81" s="497">
        <f t="shared" si="114"/>
        <v>58</v>
      </c>
      <c r="CD81" s="1725">
        <f t="shared" si="99"/>
        <v>180</v>
      </c>
      <c r="CE81" s="38"/>
      <c r="CF81" s="1326"/>
    </row>
    <row r="82" spans="1:84" x14ac:dyDescent="0.2">
      <c r="A82" t="s">
        <v>4335</v>
      </c>
      <c r="B82">
        <f>SUM(FishSumAllPRN!B82)</f>
        <v>0</v>
      </c>
      <c r="C82">
        <f>SUM(FishSumAllPRN!C82)</f>
        <v>0</v>
      </c>
      <c r="D82">
        <f>SUM(FishSumAllPRN!D82)</f>
        <v>0</v>
      </c>
      <c r="E82">
        <f>SUM(FishSumAllPRN!E82)</f>
        <v>1435</v>
      </c>
      <c r="F82">
        <f>SUM(FishSumAllPRN!F82)</f>
        <v>3091</v>
      </c>
      <c r="G82">
        <f>SUM(FishSumAllPRN!G82)</f>
        <v>4526</v>
      </c>
      <c r="H82" s="54" t="s">
        <v>294</v>
      </c>
      <c r="I82" s="54"/>
      <c r="Z82">
        <f>G8</f>
        <v>2840174</v>
      </c>
      <c r="AC82" s="61"/>
      <c r="AJ82" s="37" t="s">
        <v>5757</v>
      </c>
      <c r="AK82" s="38">
        <v>0</v>
      </c>
      <c r="AL82" s="38">
        <v>0</v>
      </c>
      <c r="AM82" s="38">
        <v>0</v>
      </c>
      <c r="AN82" s="38">
        <f>SUM(E141,E143)</f>
        <v>0</v>
      </c>
      <c r="AO82" s="38">
        <f>SUM(F141,F143)</f>
        <v>88</v>
      </c>
      <c r="AP82" s="38"/>
      <c r="AQ82" s="38"/>
      <c r="AR82" s="38"/>
      <c r="AS82" s="59">
        <f t="shared" si="89"/>
        <v>88</v>
      </c>
      <c r="AU82" s="61"/>
      <c r="AV82" s="37" t="s">
        <v>5757</v>
      </c>
      <c r="AW82" s="38">
        <v>0</v>
      </c>
      <c r="AX82" s="38">
        <v>0</v>
      </c>
      <c r="AY82" s="38">
        <v>0</v>
      </c>
      <c r="AZ82" s="180">
        <f>SUM(E977,E979)</f>
        <v>0</v>
      </c>
      <c r="BA82" s="180">
        <f>SUM(F977,F979)</f>
        <v>90</v>
      </c>
      <c r="BB82" s="1725">
        <f t="shared" si="90"/>
        <v>90</v>
      </c>
      <c r="BC82" s="37"/>
      <c r="BD82" s="61"/>
      <c r="BE82" s="37" t="s">
        <v>5757</v>
      </c>
      <c r="BF82" s="38">
        <f t="shared" si="92"/>
        <v>0</v>
      </c>
      <c r="BG82" s="38">
        <f t="shared" si="92"/>
        <v>0</v>
      </c>
      <c r="BH82" s="38">
        <f t="shared" si="92"/>
        <v>0</v>
      </c>
      <c r="BI82" s="497">
        <f t="shared" si="92"/>
        <v>0</v>
      </c>
      <c r="BJ82" s="497">
        <f t="shared" si="92"/>
        <v>2</v>
      </c>
      <c r="BK82" s="498">
        <f t="shared" si="93"/>
        <v>2</v>
      </c>
      <c r="BL82" s="38"/>
      <c r="BM82" s="61"/>
      <c r="BN82" s="37" t="s">
        <v>5757</v>
      </c>
      <c r="BO82" s="38">
        <v>0</v>
      </c>
      <c r="BP82" s="38">
        <v>0</v>
      </c>
      <c r="BQ82" s="38">
        <v>0</v>
      </c>
      <c r="BR82" s="497">
        <v>0</v>
      </c>
      <c r="BS82" s="497">
        <v>0</v>
      </c>
      <c r="BT82" s="1725">
        <f t="shared" si="96"/>
        <v>0</v>
      </c>
      <c r="BU82" s="37"/>
      <c r="BV82" s="37"/>
      <c r="BW82" s="61"/>
      <c r="BX82" s="37" t="s">
        <v>5757</v>
      </c>
      <c r="BY82" s="38">
        <v>0</v>
      </c>
      <c r="BZ82" s="38">
        <v>0</v>
      </c>
      <c r="CA82" s="38">
        <v>0</v>
      </c>
      <c r="CB82" s="497">
        <f t="shared" si="114"/>
        <v>0</v>
      </c>
      <c r="CC82" s="497">
        <f t="shared" si="114"/>
        <v>2</v>
      </c>
      <c r="CD82" s="1725">
        <f t="shared" si="99"/>
        <v>2</v>
      </c>
      <c r="CE82" s="38"/>
      <c r="CF82" s="1326"/>
    </row>
    <row r="83" spans="1:84" x14ac:dyDescent="0.2">
      <c r="A83" t="s">
        <v>4336</v>
      </c>
      <c r="B83">
        <f>SUM(FishSumAllPRN!B83)</f>
        <v>0</v>
      </c>
      <c r="C83">
        <f>SUM(FishSumAllPRN!C83)</f>
        <v>0</v>
      </c>
      <c r="D83">
        <f>SUM(FishSumAllPRN!D83)</f>
        <v>0</v>
      </c>
      <c r="E83">
        <f>SUM(FishSumAllPRN!E83)</f>
        <v>0</v>
      </c>
      <c r="F83">
        <f>SUM(FishSumAllPRN!F83)</f>
        <v>0</v>
      </c>
      <c r="G83">
        <f>SUM(FishSumAllPRN!G83)</f>
        <v>0</v>
      </c>
      <c r="H83" s="54" t="s">
        <v>294</v>
      </c>
      <c r="I83" s="54"/>
      <c r="AC83" s="61"/>
      <c r="AJ83" s="37" t="s">
        <v>5758</v>
      </c>
      <c r="AK83" s="38">
        <v>0</v>
      </c>
      <c r="AL83" s="38">
        <v>0</v>
      </c>
      <c r="AM83" s="38">
        <v>0</v>
      </c>
      <c r="AN83" s="38">
        <f>SUM(E142,E144)</f>
        <v>79</v>
      </c>
      <c r="AO83" s="38">
        <f>SUM(F142,F144)</f>
        <v>345</v>
      </c>
      <c r="AP83" s="38"/>
      <c r="AQ83" s="38"/>
      <c r="AR83" s="38"/>
      <c r="AS83" s="59">
        <f t="shared" si="89"/>
        <v>424</v>
      </c>
      <c r="AU83" s="61"/>
      <c r="AV83" s="37" t="s">
        <v>5758</v>
      </c>
      <c r="AW83" s="38">
        <v>0</v>
      </c>
      <c r="AX83" s="38">
        <v>0</v>
      </c>
      <c r="AY83" s="38">
        <v>0</v>
      </c>
      <c r="AZ83" s="180">
        <f>SUM(E978,E980)</f>
        <v>80</v>
      </c>
      <c r="BA83" s="180">
        <f>SUM(F978,F980)</f>
        <v>352</v>
      </c>
      <c r="BB83" s="1725">
        <f t="shared" si="90"/>
        <v>432</v>
      </c>
      <c r="BD83" s="61"/>
      <c r="BE83" s="37" t="s">
        <v>5758</v>
      </c>
      <c r="BF83" s="38">
        <f t="shared" si="92"/>
        <v>0</v>
      </c>
      <c r="BG83" s="38">
        <f t="shared" si="92"/>
        <v>0</v>
      </c>
      <c r="BH83" s="38">
        <f t="shared" si="92"/>
        <v>0</v>
      </c>
      <c r="BI83" s="497">
        <f t="shared" si="92"/>
        <v>1</v>
      </c>
      <c r="BJ83" s="497">
        <f t="shared" si="92"/>
        <v>7</v>
      </c>
      <c r="BK83" s="498">
        <f t="shared" si="93"/>
        <v>8</v>
      </c>
      <c r="BM83" s="61"/>
      <c r="BN83" s="37" t="s">
        <v>5758</v>
      </c>
      <c r="BO83" s="38">
        <v>0</v>
      </c>
      <c r="BP83" s="38">
        <v>0</v>
      </c>
      <c r="BQ83" s="38">
        <v>0</v>
      </c>
      <c r="BR83" s="497">
        <v>0</v>
      </c>
      <c r="BS83" s="497">
        <v>0</v>
      </c>
      <c r="BT83" s="1725">
        <f t="shared" si="96"/>
        <v>0</v>
      </c>
      <c r="BW83" s="61"/>
      <c r="BX83" s="37" t="s">
        <v>5758</v>
      </c>
      <c r="BY83" s="38">
        <v>0</v>
      </c>
      <c r="BZ83" s="38">
        <v>0</v>
      </c>
      <c r="CA83" s="38">
        <v>0</v>
      </c>
      <c r="CB83" s="497">
        <f t="shared" si="114"/>
        <v>1</v>
      </c>
      <c r="CC83" s="497">
        <f t="shared" si="114"/>
        <v>7</v>
      </c>
      <c r="CD83" s="1725">
        <f t="shared" si="99"/>
        <v>8</v>
      </c>
      <c r="CF83" s="1326"/>
    </row>
    <row r="84" spans="1:84" x14ac:dyDescent="0.2">
      <c r="A84" t="s">
        <v>4337</v>
      </c>
      <c r="B84">
        <f>SUM(FishSumAllPRN!B84)</f>
        <v>0</v>
      </c>
      <c r="C84">
        <f>SUM(FishSumAllPRN!C84)</f>
        <v>0</v>
      </c>
      <c r="D84">
        <f>SUM(FishSumAllPRN!D84)</f>
        <v>0</v>
      </c>
      <c r="E84">
        <f>SUM(FishSumAllPRN!E84)</f>
        <v>0</v>
      </c>
      <c r="F84">
        <f>SUM(FishSumAllPRN!F84)</f>
        <v>541</v>
      </c>
      <c r="G84">
        <f>SUM(FishSumAllPRN!G84)</f>
        <v>541</v>
      </c>
      <c r="H84" s="54" t="s">
        <v>294</v>
      </c>
      <c r="I84" s="54"/>
      <c r="AC84" s="61"/>
      <c r="AJ84" s="37" t="s">
        <v>5759</v>
      </c>
      <c r="AK84" s="38">
        <v>0</v>
      </c>
      <c r="AL84" s="38">
        <v>0</v>
      </c>
      <c r="AM84" s="38">
        <v>0</v>
      </c>
      <c r="AN84" s="38">
        <f>SUM(E148,E150,E152,E154,E156)</f>
        <v>0</v>
      </c>
      <c r="AO84" s="38">
        <f>SUM(F148,F150,F152,F154,F156)</f>
        <v>551</v>
      </c>
      <c r="AP84" s="38"/>
      <c r="AQ84" s="38"/>
      <c r="AR84" s="38"/>
      <c r="AS84" s="59">
        <f t="shared" si="89"/>
        <v>551</v>
      </c>
      <c r="AU84" s="61"/>
      <c r="AV84" s="37" t="s">
        <v>5759</v>
      </c>
      <c r="AW84" s="38">
        <v>0</v>
      </c>
      <c r="AX84" s="38">
        <v>0</v>
      </c>
      <c r="AY84" s="38">
        <v>0</v>
      </c>
      <c r="AZ84" s="180">
        <f>SUM(E984,E986,E988,E990,E992)</f>
        <v>0</v>
      </c>
      <c r="BA84" s="180">
        <f>SUM(F984,F986,F988,F990,F992)</f>
        <v>562</v>
      </c>
      <c r="BB84" s="1725">
        <f t="shared" si="90"/>
        <v>562</v>
      </c>
      <c r="BC84" s="37"/>
      <c r="BD84" s="61"/>
      <c r="BE84" s="37" t="s">
        <v>5759</v>
      </c>
      <c r="BF84" s="38">
        <f t="shared" si="92"/>
        <v>0</v>
      </c>
      <c r="BG84" s="38">
        <f t="shared" si="92"/>
        <v>0</v>
      </c>
      <c r="BH84" s="38">
        <f t="shared" si="92"/>
        <v>0</v>
      </c>
      <c r="BI84" s="497">
        <f t="shared" si="92"/>
        <v>0</v>
      </c>
      <c r="BJ84" s="497">
        <f t="shared" si="92"/>
        <v>11</v>
      </c>
      <c r="BK84" s="498">
        <f t="shared" si="93"/>
        <v>11</v>
      </c>
      <c r="BL84" s="39"/>
      <c r="BM84" s="61"/>
      <c r="BN84" s="37" t="s">
        <v>5759</v>
      </c>
      <c r="BO84" s="38">
        <v>0</v>
      </c>
      <c r="BP84" s="38">
        <v>0</v>
      </c>
      <c r="BQ84" s="38">
        <v>0</v>
      </c>
      <c r="BR84" s="497">
        <v>0</v>
      </c>
      <c r="BS84" s="497">
        <v>0</v>
      </c>
      <c r="BT84" s="1725">
        <f t="shared" si="96"/>
        <v>0</v>
      </c>
      <c r="BU84" s="37"/>
      <c r="BV84" s="37"/>
      <c r="BW84" s="61"/>
      <c r="BX84" s="37" t="s">
        <v>5759</v>
      </c>
      <c r="BY84" s="38">
        <v>0</v>
      </c>
      <c r="BZ84" s="38">
        <v>0</v>
      </c>
      <c r="CA84" s="38">
        <v>0</v>
      </c>
      <c r="CB84" s="497">
        <f t="shared" si="114"/>
        <v>0</v>
      </c>
      <c r="CC84" s="497">
        <f t="shared" si="114"/>
        <v>11</v>
      </c>
      <c r="CD84" s="1725">
        <f t="shared" si="99"/>
        <v>11</v>
      </c>
      <c r="CE84" s="39"/>
      <c r="CF84" s="1326"/>
    </row>
    <row r="85" spans="1:84" ht="13.5" thickBot="1" x14ac:dyDescent="0.25">
      <c r="A85" t="s">
        <v>4338</v>
      </c>
      <c r="B85">
        <f>SUM(FishSumAllPRN!B85)</f>
        <v>0</v>
      </c>
      <c r="C85">
        <f>SUM(FishSumAllPRN!C85)</f>
        <v>0</v>
      </c>
      <c r="D85">
        <f>SUM(FishSumAllPRN!D85)</f>
        <v>0</v>
      </c>
      <c r="E85">
        <f>SUM(FishSumAllPRN!E85)</f>
        <v>256</v>
      </c>
      <c r="F85">
        <f>SUM(FishSumAllPRN!F85)</f>
        <v>1548</v>
      </c>
      <c r="G85">
        <f>SUM(FishSumAllPRN!G85)</f>
        <v>1804</v>
      </c>
      <c r="H85" s="54" t="s">
        <v>294</v>
      </c>
      <c r="I85" s="54"/>
      <c r="AC85" s="62"/>
      <c r="AD85" s="63"/>
      <c r="AE85" s="63"/>
      <c r="AF85" s="63"/>
      <c r="AG85" s="63"/>
      <c r="AH85" s="63"/>
      <c r="AI85" s="63"/>
      <c r="AJ85" s="56" t="s">
        <v>5760</v>
      </c>
      <c r="AK85" s="57">
        <v>0</v>
      </c>
      <c r="AL85" s="57">
        <v>0</v>
      </c>
      <c r="AM85" s="57">
        <v>0</v>
      </c>
      <c r="AN85" s="57">
        <f>SUM(E149,E151,E153,E155,E157)</f>
        <v>22261</v>
      </c>
      <c r="AO85" s="57">
        <f>SUM(F149,F151,F153,F155,F157)</f>
        <v>13057</v>
      </c>
      <c r="AP85" s="57">
        <f>SUM(W72:W73)</f>
        <v>0</v>
      </c>
      <c r="AQ85" s="57">
        <f>SUM(X72:X73)</f>
        <v>0</v>
      </c>
      <c r="AR85" s="57">
        <f>SUM(Y72:Y73)</f>
        <v>0</v>
      </c>
      <c r="AS85" s="64">
        <f t="shared" si="89"/>
        <v>35318</v>
      </c>
      <c r="AU85" s="62"/>
      <c r="AV85" s="56" t="s">
        <v>5760</v>
      </c>
      <c r="AW85" s="645">
        <v>0</v>
      </c>
      <c r="AX85" s="645">
        <v>0</v>
      </c>
      <c r="AY85" s="645">
        <v>0</v>
      </c>
      <c r="AZ85" s="645">
        <f>SUM(E985,E987,E989,E991,E993)</f>
        <v>22707</v>
      </c>
      <c r="BA85" s="645">
        <f>SUM(F985,F987,F989,F991,F993)</f>
        <v>13317</v>
      </c>
      <c r="BB85" s="714">
        <f t="shared" si="90"/>
        <v>36024</v>
      </c>
      <c r="BC85" s="37"/>
      <c r="BD85" s="62"/>
      <c r="BE85" s="56" t="s">
        <v>5760</v>
      </c>
      <c r="BF85" s="499">
        <f t="shared" si="92"/>
        <v>0</v>
      </c>
      <c r="BG85" s="499">
        <f t="shared" si="92"/>
        <v>0</v>
      </c>
      <c r="BH85" s="499">
        <f t="shared" si="92"/>
        <v>0</v>
      </c>
      <c r="BI85" s="499">
        <f t="shared" si="92"/>
        <v>446</v>
      </c>
      <c r="BJ85" s="499">
        <f t="shared" si="92"/>
        <v>260</v>
      </c>
      <c r="BK85" s="500">
        <f t="shared" si="93"/>
        <v>706</v>
      </c>
      <c r="BL85" s="67"/>
      <c r="BM85" s="62"/>
      <c r="BN85" s="56" t="s">
        <v>5760</v>
      </c>
      <c r="BO85" s="645">
        <v>0</v>
      </c>
      <c r="BP85" s="645">
        <v>0</v>
      </c>
      <c r="BQ85" s="645">
        <v>0</v>
      </c>
      <c r="BR85" s="499">
        <v>0</v>
      </c>
      <c r="BS85" s="499">
        <v>0</v>
      </c>
      <c r="BT85" s="714">
        <f t="shared" si="96"/>
        <v>0</v>
      </c>
      <c r="BU85" s="37"/>
      <c r="BV85" s="37"/>
      <c r="BW85" s="62"/>
      <c r="BX85" s="56" t="s">
        <v>5760</v>
      </c>
      <c r="BY85" s="645">
        <v>0</v>
      </c>
      <c r="BZ85" s="645">
        <v>0</v>
      </c>
      <c r="CA85" s="645">
        <v>0</v>
      </c>
      <c r="CB85" s="499">
        <f t="shared" si="114"/>
        <v>446</v>
      </c>
      <c r="CC85" s="499">
        <f t="shared" si="114"/>
        <v>260</v>
      </c>
      <c r="CD85" s="714">
        <f t="shared" si="99"/>
        <v>706</v>
      </c>
      <c r="CE85" s="67"/>
      <c r="CF85" s="1326"/>
    </row>
    <row r="86" spans="1:84" ht="13.5" thickBot="1" x14ac:dyDescent="0.25">
      <c r="A86" t="s">
        <v>4339</v>
      </c>
      <c r="B86">
        <f>SUM(FishSumAllPRN!B86)</f>
        <v>0</v>
      </c>
      <c r="C86">
        <f>SUM(FishSumAllPRN!C86)</f>
        <v>0</v>
      </c>
      <c r="D86">
        <f>SUM(FishSumAllPRN!D86)</f>
        <v>0</v>
      </c>
      <c r="E86">
        <f>SUM(FishSumAllPRN!E86)</f>
        <v>0</v>
      </c>
      <c r="F86">
        <f>SUM(FishSumAllPRN!F86)</f>
        <v>0</v>
      </c>
      <c r="G86">
        <f>SUM(FishSumAllPRN!G86)</f>
        <v>0</v>
      </c>
      <c r="H86" s="54" t="s">
        <v>294</v>
      </c>
      <c r="I86" s="54"/>
      <c r="BC86" s="37"/>
      <c r="BF86" s="38"/>
      <c r="BG86" s="38"/>
      <c r="BH86" s="38"/>
      <c r="BI86" s="38"/>
      <c r="BJ86" s="38"/>
      <c r="BK86" s="38"/>
      <c r="BL86" s="80"/>
      <c r="BU86" s="37"/>
      <c r="BV86" s="37"/>
      <c r="CE86" s="80"/>
      <c r="CF86" s="1326"/>
    </row>
    <row r="87" spans="1:84" ht="13.5" thickBot="1" x14ac:dyDescent="0.25">
      <c r="A87" t="s">
        <v>4340</v>
      </c>
      <c r="B87">
        <f>SUM(FishSumAllPRN!B87)</f>
        <v>0</v>
      </c>
      <c r="C87">
        <f>SUM(FishSumAllPRN!C87)</f>
        <v>0</v>
      </c>
      <c r="D87">
        <f>SUM(FishSumAllPRN!D87)</f>
        <v>0</v>
      </c>
      <c r="E87">
        <f>SUM(FishSumAllPRN!E87)</f>
        <v>0</v>
      </c>
      <c r="F87">
        <f>SUM(FishSumAllPRN!F87)</f>
        <v>0</v>
      </c>
      <c r="G87">
        <f>SUM(FishSumAllPRN!G87)</f>
        <v>0</v>
      </c>
      <c r="H87" s="54" t="s">
        <v>294</v>
      </c>
      <c r="I87" s="54"/>
      <c r="AC87" s="82" t="s">
        <v>5761</v>
      </c>
      <c r="AD87" s="83"/>
      <c r="AE87" s="83"/>
      <c r="AF87" s="83"/>
      <c r="AG87" s="83"/>
      <c r="AH87" s="83"/>
      <c r="AI87" s="83"/>
      <c r="AJ87" s="83"/>
      <c r="AK87" s="84">
        <f>SUM(AK29,AK47,AK50:AK85,AK11,AK10)</f>
        <v>53629</v>
      </c>
      <c r="AL87" s="84">
        <f>SUM(AL29,AL47,AL50:AL85,AL11,AL10)</f>
        <v>299256</v>
      </c>
      <c r="AM87" s="84">
        <f>SUM(AM29,AM47,AM50:AM85,AM11,AM10)</f>
        <v>432582</v>
      </c>
      <c r="AN87" s="84">
        <f>SUM(AN29,AN47,AN50:AN85,AN11,AN10)</f>
        <v>339365</v>
      </c>
      <c r="AO87" s="84">
        <f>SUM(AO29,AO47,AO50:AO85,AO11,AO10)</f>
        <v>44075</v>
      </c>
      <c r="AP87" s="84">
        <f>SUM(AP29,AP47,AP50:AP85,AP11,AP10,AP28)</f>
        <v>25238</v>
      </c>
      <c r="AQ87" s="84">
        <f>SUM(AQ29,AQ47,AQ50:AQ85,AQ11,AQ10,AQ28)</f>
        <v>0</v>
      </c>
      <c r="AR87" s="84">
        <f>SUM(AR29,AR47,AR50:AR85,AR11,AR10,AR28)</f>
        <v>0</v>
      </c>
      <c r="AS87" s="85">
        <f>SUM(AS29,AS47,AS50:AS85,AS11,AS10)</f>
        <v>1168907</v>
      </c>
      <c r="AU87" s="82" t="s">
        <v>5761</v>
      </c>
      <c r="AV87" s="83"/>
      <c r="AW87" s="83">
        <f>AK922</f>
        <v>73650</v>
      </c>
      <c r="AX87" s="83">
        <f>AL922</f>
        <v>330973</v>
      </c>
      <c r="AY87" s="83">
        <f>AM922</f>
        <v>489032</v>
      </c>
      <c r="AZ87" s="83">
        <f>AN922</f>
        <v>382552</v>
      </c>
      <c r="BA87" s="83">
        <f>AO922</f>
        <v>49357</v>
      </c>
      <c r="BB87" s="85">
        <f>SUM(BB29,BB47,BB50:BB85,BB11,BB10)</f>
        <v>1325564</v>
      </c>
      <c r="BD87" s="82" t="s">
        <v>5761</v>
      </c>
      <c r="BE87" s="83"/>
      <c r="BF87" s="84">
        <f>SUM(BF29,BF47,BF50:BF85,BF11,BF10)</f>
        <v>4492</v>
      </c>
      <c r="BG87" s="84">
        <f>SUM(BG29,BG47,BG50:BG85,BG11,BG10)</f>
        <v>19200</v>
      </c>
      <c r="BH87" s="84">
        <f>SUM(BH29,BH47,BH50:BH85,BH11,BH10)</f>
        <v>29527</v>
      </c>
      <c r="BI87" s="84">
        <f>SUM(BI29,BI47,BI50:BI85,BI11,BI10)</f>
        <v>22531</v>
      </c>
      <c r="BJ87" s="84">
        <f>SUM(BJ29,BJ47,BJ50:BJ85,BJ11,BJ10)</f>
        <v>1068</v>
      </c>
      <c r="BK87" s="85">
        <f>SUM(BK29,BK47,BK50:BK85,BK11,BK10,BK28)</f>
        <v>81634</v>
      </c>
      <c r="BM87" s="82" t="s">
        <v>5761</v>
      </c>
      <c r="BN87" s="83"/>
      <c r="BO87" s="84">
        <f>SUM(BO29,BO47,BO50:BO85,BO11,BO10)</f>
        <v>15529</v>
      </c>
      <c r="BP87" s="84">
        <f>SUM(BP29,BP47,BP50:BP85,BP11,BP10)</f>
        <v>12517</v>
      </c>
      <c r="BQ87" s="84">
        <f>SUM(BQ29,BQ47,BQ50:BQ85,BQ11,BQ10)</f>
        <v>26923</v>
      </c>
      <c r="BR87" s="84">
        <f>SUM(BR29,BR47,BR50:BR85,BR11,BR10)</f>
        <v>20656</v>
      </c>
      <c r="BS87" s="84">
        <f>SUM(BS29,BS47,BS50:BS85,BS11,BS10)</f>
        <v>4214</v>
      </c>
      <c r="BT87" s="85">
        <f>SUM(BT29,BT47,BT50:BT85,BT11,BT10,BT28)</f>
        <v>85624</v>
      </c>
      <c r="BU87">
        <f>SUM(BU29,BU47,BU50:BU85,BU11,BU10,BU28)</f>
        <v>0</v>
      </c>
      <c r="BV87">
        <f>SUM(BV29,BV47,BV50:BV85,BV11,BV10,BV28)</f>
        <v>0</v>
      </c>
      <c r="BW87" s="82" t="s">
        <v>5761</v>
      </c>
      <c r="BX87" s="83"/>
      <c r="BY87" s="84">
        <f>SUM(BY29,BY47,BY50:BY85,BY11,BY10)</f>
        <v>20021</v>
      </c>
      <c r="BZ87" s="84">
        <f>SUM(BZ29,BZ47,BZ50:BZ85,BZ11,BZ10)</f>
        <v>31717</v>
      </c>
      <c r="CA87" s="84">
        <f>SUM(CA29,CA47,CA50:CA85,CA11,CA10)</f>
        <v>56450</v>
      </c>
      <c r="CB87" s="84">
        <f>SUM(CB29,CB47,CB50:CB85,CB11,CB10)</f>
        <v>43187</v>
      </c>
      <c r="CC87" s="84">
        <f>SUM(CC29,CC47,CC50:CC85,CC11,CC10)</f>
        <v>5282</v>
      </c>
      <c r="CD87" s="85">
        <f>SUM(CD29,CD47,CD50:CD85,CD11,CD10,CD28)</f>
        <v>167258</v>
      </c>
      <c r="CF87" s="1326"/>
    </row>
    <row r="88" spans="1:84" x14ac:dyDescent="0.2">
      <c r="A88" t="s">
        <v>4341</v>
      </c>
      <c r="B88">
        <f>SUM(FishSumAllPRN!B88)</f>
        <v>0</v>
      </c>
      <c r="C88">
        <f>SUM(FishSumAllPRN!C88)</f>
        <v>0</v>
      </c>
      <c r="D88">
        <f>SUM(FishSumAllPRN!D88)</f>
        <v>0</v>
      </c>
      <c r="E88">
        <f>SUM(FishSumAllPRN!E88)</f>
        <v>0</v>
      </c>
      <c r="F88">
        <f>SUM(FishSumAllPRN!F88)</f>
        <v>52</v>
      </c>
      <c r="G88">
        <f>SUM(FishSumAllPRN!G88)</f>
        <v>52</v>
      </c>
      <c r="H88" s="54" t="s">
        <v>294</v>
      </c>
      <c r="I88" s="54"/>
      <c r="AC88" s="37"/>
      <c r="AD88" s="37"/>
      <c r="AE88" s="37"/>
      <c r="AF88" s="37"/>
      <c r="AG88" s="37"/>
      <c r="AH88" s="37"/>
      <c r="AI88" s="37"/>
      <c r="AJ88" s="37"/>
      <c r="AK88" s="37"/>
      <c r="AL88" s="37"/>
      <c r="AM88" s="37"/>
      <c r="AN88" s="37"/>
      <c r="AO88" s="37"/>
      <c r="AP88" s="37"/>
      <c r="AQ88" s="37"/>
      <c r="AR88" s="37"/>
      <c r="AS88" s="80"/>
      <c r="AU88" s="37"/>
      <c r="AV88" s="37"/>
      <c r="AW88" s="37"/>
      <c r="AX88" s="37"/>
      <c r="AY88" s="37"/>
      <c r="AZ88" s="37"/>
      <c r="BA88" s="37"/>
      <c r="BB88" s="37"/>
      <c r="BD88" s="37"/>
      <c r="BE88" s="37"/>
      <c r="BF88" s="37"/>
      <c r="BG88" s="37"/>
      <c r="BH88" s="37"/>
      <c r="BI88" s="37"/>
      <c r="BJ88" s="37"/>
      <c r="BK88" s="37"/>
      <c r="BW88" s="37"/>
      <c r="BX88" s="37"/>
      <c r="BY88" s="37"/>
      <c r="BZ88" s="37"/>
      <c r="CA88" s="37"/>
      <c r="CB88" s="37"/>
      <c r="CC88" s="37"/>
      <c r="CD88" s="37"/>
      <c r="CF88" s="1326"/>
    </row>
    <row r="89" spans="1:84" x14ac:dyDescent="0.2">
      <c r="A89" t="s">
        <v>4342</v>
      </c>
      <c r="B89">
        <f>SUM(FishSumAllPRN!B89)</f>
        <v>0</v>
      </c>
      <c r="C89">
        <f>SUM(FishSumAllPRN!C89)</f>
        <v>0</v>
      </c>
      <c r="D89">
        <f>SUM(FishSumAllPRN!D89)</f>
        <v>0</v>
      </c>
      <c r="E89">
        <f>SUM(FishSumAllPRN!E89)</f>
        <v>0</v>
      </c>
      <c r="F89">
        <f>SUM(FishSumAllPRN!F89)</f>
        <v>0</v>
      </c>
      <c r="G89">
        <f>SUM(FishSumAllPRN!G89)</f>
        <v>0</v>
      </c>
      <c r="H89" s="54" t="s">
        <v>294</v>
      </c>
      <c r="I89" s="54"/>
      <c r="CF89" s="1326"/>
    </row>
    <row r="90" spans="1:84" x14ac:dyDescent="0.2">
      <c r="A90" t="s">
        <v>4343</v>
      </c>
      <c r="B90">
        <f>SUM(FishSumAllPRN!B90)</f>
        <v>0</v>
      </c>
      <c r="C90">
        <f>SUM(FishSumAllPRN!C90)</f>
        <v>0</v>
      </c>
      <c r="D90">
        <f>SUM(FishSumAllPRN!D90)</f>
        <v>0</v>
      </c>
      <c r="E90">
        <f>SUM(FishSumAllPRN!E90)</f>
        <v>0</v>
      </c>
      <c r="F90">
        <f>SUM(FishSumAllPRN!F90)</f>
        <v>0</v>
      </c>
      <c r="G90">
        <f>SUM(FishSumAllPRN!G90)</f>
        <v>0</v>
      </c>
      <c r="H90" s="54" t="s">
        <v>294</v>
      </c>
      <c r="I90" s="54"/>
      <c r="AK90" s="38"/>
      <c r="AL90" s="38"/>
      <c r="AM90" s="38"/>
      <c r="AN90" s="38"/>
      <c r="AO90" s="38"/>
      <c r="AP90" s="38"/>
      <c r="AQ90" s="38"/>
      <c r="AR90" s="38"/>
      <c r="AS90" s="38"/>
      <c r="AW90" s="38"/>
      <c r="AX90" s="38"/>
      <c r="AY90" s="38"/>
      <c r="AZ90" s="38"/>
      <c r="BA90" s="38"/>
      <c r="BB90" s="38"/>
      <c r="BC90" s="38"/>
      <c r="BD90" s="38"/>
      <c r="BE90" s="38"/>
      <c r="BF90" s="38"/>
      <c r="BG90" s="38"/>
      <c r="BH90" s="38"/>
      <c r="BI90" s="38"/>
      <c r="BJ90" s="38"/>
      <c r="BK90" s="38"/>
      <c r="BM90" s="38"/>
      <c r="BN90" s="38"/>
      <c r="BO90" s="38"/>
      <c r="BP90" s="38"/>
      <c r="BQ90" s="38"/>
      <c r="BR90" s="38"/>
      <c r="BS90" s="38"/>
      <c r="BT90" s="38"/>
      <c r="BU90" s="38"/>
      <c r="BV90" s="38"/>
      <c r="BW90" s="38"/>
      <c r="BX90" s="38"/>
      <c r="BY90" s="38"/>
      <c r="BZ90" s="38"/>
      <c r="CA90" s="38"/>
      <c r="CB90" s="38"/>
      <c r="CC90" s="38"/>
      <c r="CD90" s="38"/>
      <c r="CF90" s="1326"/>
    </row>
    <row r="91" spans="1:84" x14ac:dyDescent="0.2">
      <c r="A91" t="s">
        <v>1728</v>
      </c>
      <c r="B91">
        <f>SUM(FishSumAllPRN!B91)</f>
        <v>0</v>
      </c>
      <c r="C91">
        <f>SUM(FishSumAllPRN!C91)</f>
        <v>0</v>
      </c>
      <c r="D91">
        <f>SUM(FishSumAllPRN!D91)</f>
        <v>0</v>
      </c>
      <c r="E91">
        <f>SUM(FishSumAllPRN!E91)</f>
        <v>0</v>
      </c>
      <c r="F91">
        <f>SUM(FishSumAllPRN!F91)</f>
        <v>0</v>
      </c>
      <c r="G91">
        <f>SUM(FishSumAllPRN!G91)</f>
        <v>0</v>
      </c>
      <c r="H91" s="54" t="s">
        <v>294</v>
      </c>
      <c r="I91" s="54"/>
      <c r="CF91" s="1326"/>
    </row>
    <row r="92" spans="1:84" x14ac:dyDescent="0.2">
      <c r="A92" t="s">
        <v>1730</v>
      </c>
      <c r="B92">
        <f>SUM(FishSumAllPRN!B92)</f>
        <v>0</v>
      </c>
      <c r="C92">
        <f>SUM(FishSumAllPRN!C92)</f>
        <v>34</v>
      </c>
      <c r="D92">
        <f>SUM(FishSumAllPRN!D92)</f>
        <v>360</v>
      </c>
      <c r="E92">
        <f>SUM(FishSumAllPRN!E92)</f>
        <v>209</v>
      </c>
      <c r="F92">
        <f>SUM(FishSumAllPRN!F92)</f>
        <v>2225</v>
      </c>
      <c r="G92">
        <f>SUM(FishSumAllPRN!G92)</f>
        <v>2828</v>
      </c>
      <c r="H92" s="54" t="s">
        <v>294</v>
      </c>
      <c r="I92" s="54"/>
      <c r="CF92" s="1326"/>
    </row>
    <row r="93" spans="1:84" x14ac:dyDescent="0.2">
      <c r="A93" t="s">
        <v>1733</v>
      </c>
      <c r="B93">
        <f>SUM(FishSumAllPRN!B93)</f>
        <v>0</v>
      </c>
      <c r="C93">
        <f>SUM(FishSumAllPRN!C93)</f>
        <v>0</v>
      </c>
      <c r="D93">
        <f>SUM(FishSumAllPRN!D93)</f>
        <v>0</v>
      </c>
      <c r="E93">
        <f>SUM(FishSumAllPRN!E93)</f>
        <v>346</v>
      </c>
      <c r="F93">
        <f>SUM(FishSumAllPRN!F93)</f>
        <v>1864</v>
      </c>
      <c r="G93">
        <f>SUM(FishSumAllPRN!G93)</f>
        <v>2210</v>
      </c>
      <c r="H93" s="54" t="s">
        <v>294</v>
      </c>
      <c r="I93" s="54"/>
      <c r="CF93" s="1326"/>
    </row>
    <row r="94" spans="1:84" x14ac:dyDescent="0.2">
      <c r="A94" t="s">
        <v>1738</v>
      </c>
      <c r="B94">
        <f>SUM(FishSumAllPRN!B94)</f>
        <v>0</v>
      </c>
      <c r="C94">
        <f>SUM(FishSumAllPRN!C94)</f>
        <v>0</v>
      </c>
      <c r="D94">
        <f>SUM(FishSumAllPRN!D94)</f>
        <v>0</v>
      </c>
      <c r="E94">
        <f>SUM(FishSumAllPRN!E94)</f>
        <v>416</v>
      </c>
      <c r="F94">
        <f>SUM(FishSumAllPRN!F94)</f>
        <v>373</v>
      </c>
      <c r="G94">
        <f>SUM(FishSumAllPRN!G94)</f>
        <v>789</v>
      </c>
      <c r="H94" s="54" t="s">
        <v>294</v>
      </c>
      <c r="I94" s="54"/>
      <c r="CF94" s="1326"/>
    </row>
    <row r="95" spans="1:84" x14ac:dyDescent="0.2">
      <c r="A95" t="s">
        <v>1744</v>
      </c>
      <c r="B95">
        <f>SUM(FishSumAllPRN!B95)</f>
        <v>0</v>
      </c>
      <c r="C95">
        <f>SUM(FishSumAllPRN!C95)</f>
        <v>0</v>
      </c>
      <c r="D95">
        <f>SUM(FishSumAllPRN!D95)</f>
        <v>0</v>
      </c>
      <c r="E95">
        <f>SUM(FishSumAllPRN!E95)</f>
        <v>0</v>
      </c>
      <c r="F95">
        <f>SUM(FishSumAllPRN!F95)</f>
        <v>0</v>
      </c>
      <c r="G95">
        <f>SUM(FishSumAllPRN!G95)</f>
        <v>0</v>
      </c>
      <c r="H95" s="54" t="s">
        <v>294</v>
      </c>
      <c r="I95" s="54"/>
      <c r="CF95" s="1326"/>
    </row>
    <row r="96" spans="1:84" x14ac:dyDescent="0.2">
      <c r="A96" t="s">
        <v>1747</v>
      </c>
      <c r="B96">
        <f>SUM(FishSumAllPRN!B96)</f>
        <v>0</v>
      </c>
      <c r="C96">
        <f>SUM(FishSumAllPRN!C96)</f>
        <v>0</v>
      </c>
      <c r="D96">
        <f>SUM(FishSumAllPRN!D96)</f>
        <v>0</v>
      </c>
      <c r="E96">
        <f>SUM(FishSumAllPRN!E96)</f>
        <v>0</v>
      </c>
      <c r="F96">
        <f>SUM(FishSumAllPRN!F96)</f>
        <v>0</v>
      </c>
      <c r="G96">
        <f>SUM(FishSumAllPRN!G96)</f>
        <v>0</v>
      </c>
      <c r="H96" s="54" t="s">
        <v>294</v>
      </c>
      <c r="I96" s="54"/>
      <c r="CF96" s="1326"/>
    </row>
    <row r="97" spans="1:84" x14ac:dyDescent="0.2">
      <c r="A97" t="s">
        <v>1751</v>
      </c>
      <c r="B97">
        <f>SUM(FishSumAllPRN!B97)</f>
        <v>0</v>
      </c>
      <c r="C97">
        <f>SUM(FishSumAllPRN!C97)</f>
        <v>0</v>
      </c>
      <c r="D97">
        <f>SUM(FishSumAllPRN!D97)</f>
        <v>0</v>
      </c>
      <c r="E97">
        <f>SUM(FishSumAllPRN!E97)</f>
        <v>0</v>
      </c>
      <c r="F97">
        <f>SUM(FishSumAllPRN!F97)</f>
        <v>0</v>
      </c>
      <c r="G97">
        <f>SUM(FishSumAllPRN!G97)</f>
        <v>0</v>
      </c>
      <c r="H97" s="54" t="s">
        <v>294</v>
      </c>
      <c r="I97" s="54"/>
      <c r="CF97" s="1326"/>
    </row>
    <row r="98" spans="1:84" x14ac:dyDescent="0.2">
      <c r="A98" t="s">
        <v>1755</v>
      </c>
      <c r="B98">
        <f>SUM(FishSumAllPRN!B98)</f>
        <v>0</v>
      </c>
      <c r="C98">
        <f>SUM(FishSumAllPRN!C98)</f>
        <v>0</v>
      </c>
      <c r="D98">
        <f>SUM(FishSumAllPRN!D98)</f>
        <v>21</v>
      </c>
      <c r="E98">
        <f>SUM(FishSumAllPRN!E98)</f>
        <v>1419</v>
      </c>
      <c r="F98">
        <f>SUM(FishSumAllPRN!F98)</f>
        <v>1073</v>
      </c>
      <c r="G98">
        <f>SUM(FishSumAllPRN!G98)</f>
        <v>2513</v>
      </c>
      <c r="H98" s="54" t="s">
        <v>294</v>
      </c>
      <c r="I98" s="54"/>
      <c r="CF98" s="1326"/>
    </row>
    <row r="99" spans="1:84" x14ac:dyDescent="0.2">
      <c r="A99" t="s">
        <v>1757</v>
      </c>
      <c r="B99">
        <f>SUM(FishSumAllPRN!B99)</f>
        <v>0</v>
      </c>
      <c r="C99">
        <f>SUM(FishSumAllPRN!C99)</f>
        <v>0</v>
      </c>
      <c r="D99">
        <f>SUM(FishSumAllPRN!D99)</f>
        <v>418</v>
      </c>
      <c r="E99">
        <f>SUM(FishSumAllPRN!E99)</f>
        <v>1560</v>
      </c>
      <c r="F99">
        <f>SUM(FishSumAllPRN!F99)</f>
        <v>4724</v>
      </c>
      <c r="G99">
        <f>SUM(FishSumAllPRN!G99)</f>
        <v>6702</v>
      </c>
      <c r="H99" s="54" t="s">
        <v>294</v>
      </c>
      <c r="I99" s="54"/>
      <c r="CF99" s="1326"/>
    </row>
    <row r="100" spans="1:84" x14ac:dyDescent="0.2">
      <c r="A100" t="s">
        <v>1761</v>
      </c>
      <c r="B100">
        <f>SUM(FishSumAllPRN!B100)</f>
        <v>0</v>
      </c>
      <c r="C100">
        <f>SUM(FishSumAllPRN!C100)</f>
        <v>0</v>
      </c>
      <c r="D100">
        <f>SUM(FishSumAllPRN!D100)</f>
        <v>0</v>
      </c>
      <c r="E100">
        <f>SUM(FishSumAllPRN!E100)</f>
        <v>0</v>
      </c>
      <c r="F100">
        <f>SUM(FishSumAllPRN!F100)</f>
        <v>0</v>
      </c>
      <c r="G100">
        <f>SUM(FishSumAllPRN!G100)</f>
        <v>0</v>
      </c>
      <c r="H100" s="54" t="s">
        <v>294</v>
      </c>
      <c r="I100" s="54"/>
      <c r="CF100" s="1326"/>
    </row>
    <row r="101" spans="1:84" x14ac:dyDescent="0.2">
      <c r="A101" t="s">
        <v>1764</v>
      </c>
      <c r="B101">
        <f>SUM(FishSumAllPRN!B101)</f>
        <v>0</v>
      </c>
      <c r="C101">
        <f>SUM(FishSumAllPRN!C101)</f>
        <v>0</v>
      </c>
      <c r="D101">
        <f>SUM(FishSumAllPRN!D101)</f>
        <v>0</v>
      </c>
      <c r="E101">
        <f>SUM(FishSumAllPRN!E101)</f>
        <v>0</v>
      </c>
      <c r="F101">
        <f>SUM(FishSumAllPRN!F101)</f>
        <v>0</v>
      </c>
      <c r="G101">
        <f>SUM(FishSumAllPRN!G101)</f>
        <v>0</v>
      </c>
      <c r="H101" s="54" t="s">
        <v>294</v>
      </c>
      <c r="I101" s="54"/>
      <c r="CF101" s="1326"/>
    </row>
    <row r="102" spans="1:84" x14ac:dyDescent="0.2">
      <c r="A102" t="s">
        <v>1770</v>
      </c>
      <c r="B102">
        <f>SUM(FishSumAllPRN!B102)</f>
        <v>0</v>
      </c>
      <c r="C102">
        <f>SUM(FishSumAllPRN!C102)</f>
        <v>433</v>
      </c>
      <c r="D102">
        <f>SUM(FishSumAllPRN!D102)</f>
        <v>2881</v>
      </c>
      <c r="E102">
        <f>SUM(FishSumAllPRN!E102)</f>
        <v>15248</v>
      </c>
      <c r="F102">
        <f>SUM(FishSumAllPRN!F102)</f>
        <v>0</v>
      </c>
      <c r="G102">
        <f>SUM(FishSumAllPRN!G102)</f>
        <v>18562</v>
      </c>
      <c r="H102" s="54" t="s">
        <v>294</v>
      </c>
      <c r="I102" s="54"/>
      <c r="CF102" s="1326"/>
    </row>
    <row r="103" spans="1:84" x14ac:dyDescent="0.2">
      <c r="A103" t="s">
        <v>1772</v>
      </c>
      <c r="B103">
        <f>SUM(FishSumAllPRN!B103)</f>
        <v>0</v>
      </c>
      <c r="C103">
        <f>SUM(FishSumAllPRN!C103)</f>
        <v>44</v>
      </c>
      <c r="D103">
        <f>SUM(FishSumAllPRN!D103)</f>
        <v>717</v>
      </c>
      <c r="E103">
        <f>SUM(FishSumAllPRN!E103)</f>
        <v>5915</v>
      </c>
      <c r="F103">
        <f>SUM(FishSumAllPRN!F103)</f>
        <v>0</v>
      </c>
      <c r="G103">
        <f>SUM(FishSumAllPRN!G103)</f>
        <v>6676</v>
      </c>
      <c r="H103" s="54" t="s">
        <v>294</v>
      </c>
      <c r="I103" s="54"/>
      <c r="CF103" s="1326"/>
    </row>
    <row r="104" spans="1:84" x14ac:dyDescent="0.2">
      <c r="A104" t="s">
        <v>1774</v>
      </c>
      <c r="B104">
        <f>SUM(FishSumAllPRN!B104)</f>
        <v>0</v>
      </c>
      <c r="C104">
        <f>SUM(FishSumAllPRN!C104)</f>
        <v>91</v>
      </c>
      <c r="D104">
        <f>SUM(FishSumAllPRN!D104)</f>
        <v>488</v>
      </c>
      <c r="E104">
        <f>SUM(FishSumAllPRN!E104)</f>
        <v>3739</v>
      </c>
      <c r="F104">
        <f>SUM(FishSumAllPRN!F104)</f>
        <v>0</v>
      </c>
      <c r="G104">
        <f>SUM(FishSumAllPRN!G104)</f>
        <v>4318</v>
      </c>
      <c r="H104" s="54" t="s">
        <v>294</v>
      </c>
      <c r="I104" s="54"/>
      <c r="CF104" s="1326"/>
    </row>
    <row r="105" spans="1:84" x14ac:dyDescent="0.2">
      <c r="A105" t="s">
        <v>1777</v>
      </c>
      <c r="B105">
        <f>SUM(FishSumAllPRN!B105)</f>
        <v>0</v>
      </c>
      <c r="C105">
        <f>SUM(FishSumAllPRN!C105)</f>
        <v>0</v>
      </c>
      <c r="D105">
        <f>SUM(FishSumAllPRN!D105)</f>
        <v>0</v>
      </c>
      <c r="E105">
        <f>SUM(FishSumAllPRN!E105)</f>
        <v>0</v>
      </c>
      <c r="F105">
        <f>SUM(FishSumAllPRN!F105)</f>
        <v>562</v>
      </c>
      <c r="G105">
        <f>SUM(FishSumAllPRN!G105)</f>
        <v>562</v>
      </c>
      <c r="H105" s="54" t="s">
        <v>294</v>
      </c>
      <c r="I105" s="54"/>
      <c r="CF105" s="1326"/>
    </row>
    <row r="106" spans="1:84" x14ac:dyDescent="0.2">
      <c r="A106" t="s">
        <v>1782</v>
      </c>
      <c r="B106">
        <f>SUM(FishSumAllPRN!B106)</f>
        <v>0</v>
      </c>
      <c r="C106">
        <f>SUM(FishSumAllPRN!C106)</f>
        <v>0</v>
      </c>
      <c r="D106">
        <f>SUM(FishSumAllPRN!D106)</f>
        <v>0</v>
      </c>
      <c r="E106">
        <f>SUM(FishSumAllPRN!E106)</f>
        <v>0</v>
      </c>
      <c r="F106">
        <f>SUM(FishSumAllPRN!F106)</f>
        <v>0</v>
      </c>
      <c r="G106">
        <f>SUM(FishSumAllPRN!G106)</f>
        <v>0</v>
      </c>
      <c r="H106" s="54" t="s">
        <v>294</v>
      </c>
      <c r="I106" s="54"/>
      <c r="CF106" s="1326"/>
    </row>
    <row r="107" spans="1:84" x14ac:dyDescent="0.2">
      <c r="A107" t="s">
        <v>1274</v>
      </c>
      <c r="B107">
        <f>SUM(FishSumAllPRN!B107)</f>
        <v>0</v>
      </c>
      <c r="C107">
        <f>SUM(FishSumAllPRN!C107)</f>
        <v>0</v>
      </c>
      <c r="D107">
        <f>SUM(FishSumAllPRN!D107)</f>
        <v>0</v>
      </c>
      <c r="E107">
        <f>SUM(FishSumAllPRN!E107)</f>
        <v>2815</v>
      </c>
      <c r="F107">
        <f>SUM(FishSumAllPRN!F107)</f>
        <v>39</v>
      </c>
      <c r="G107">
        <f>SUM(FishSumAllPRN!G107)</f>
        <v>2854</v>
      </c>
      <c r="H107" s="54" t="s">
        <v>294</v>
      </c>
      <c r="I107" s="54"/>
      <c r="CF107" s="1326"/>
    </row>
    <row r="108" spans="1:84" x14ac:dyDescent="0.2">
      <c r="A108" t="s">
        <v>1277</v>
      </c>
      <c r="B108">
        <f>SUM(FishSumAllPRN!B108)</f>
        <v>0</v>
      </c>
      <c r="C108">
        <f>SUM(FishSumAllPRN!C108)</f>
        <v>0</v>
      </c>
      <c r="D108">
        <f>SUM(FishSumAllPRN!D108)</f>
        <v>0</v>
      </c>
      <c r="E108">
        <f>SUM(FishSumAllPRN!E108)</f>
        <v>23233</v>
      </c>
      <c r="F108">
        <f>SUM(FishSumAllPRN!F108)</f>
        <v>1144</v>
      </c>
      <c r="G108">
        <f>SUM(FishSumAllPRN!G108)</f>
        <v>24377</v>
      </c>
      <c r="H108" s="54" t="s">
        <v>294</v>
      </c>
      <c r="I108" s="54"/>
      <c r="CF108" s="1326"/>
    </row>
    <row r="109" spans="1:84" x14ac:dyDescent="0.2">
      <c r="A109" t="s">
        <v>1798</v>
      </c>
      <c r="B109">
        <f>SUM(FishSumAllPRN!B109)</f>
        <v>0</v>
      </c>
      <c r="C109">
        <f>SUM(FishSumAllPRN!C109)</f>
        <v>0</v>
      </c>
      <c r="D109">
        <f>SUM(FishSumAllPRN!D109)</f>
        <v>0</v>
      </c>
      <c r="E109">
        <f>SUM(FishSumAllPRN!E109)</f>
        <v>0</v>
      </c>
      <c r="F109">
        <f>SUM(FishSumAllPRN!F109)</f>
        <v>23915</v>
      </c>
      <c r="G109">
        <f>SUM(FishSumAllPRN!G109)</f>
        <v>23915</v>
      </c>
      <c r="H109" s="54" t="s">
        <v>294</v>
      </c>
      <c r="I109" s="54"/>
      <c r="CF109" s="1326"/>
    </row>
    <row r="110" spans="1:84" x14ac:dyDescent="0.2">
      <c r="A110" t="s">
        <v>1803</v>
      </c>
      <c r="B110">
        <f>SUM(FishSumAllPRN!B110)</f>
        <v>0</v>
      </c>
      <c r="C110">
        <f>SUM(FishSumAllPRN!C110)</f>
        <v>0</v>
      </c>
      <c r="D110">
        <f>SUM(FishSumAllPRN!D110)</f>
        <v>0</v>
      </c>
      <c r="E110">
        <f>SUM(FishSumAllPRN!E110)</f>
        <v>0</v>
      </c>
      <c r="F110">
        <f>SUM(FishSumAllPRN!F110)</f>
        <v>1859</v>
      </c>
      <c r="G110">
        <f>SUM(FishSumAllPRN!G110)</f>
        <v>1859</v>
      </c>
      <c r="H110" s="54" t="s">
        <v>294</v>
      </c>
      <c r="I110" s="54"/>
      <c r="CF110" s="1326"/>
    </row>
    <row r="111" spans="1:84" x14ac:dyDescent="0.2">
      <c r="A111" t="s">
        <v>1808</v>
      </c>
      <c r="B111">
        <f>SUM(FishSumAllPRN!B111)</f>
        <v>0</v>
      </c>
      <c r="C111">
        <f>SUM(FishSumAllPRN!C111)</f>
        <v>0</v>
      </c>
      <c r="D111">
        <f>SUM(FishSumAllPRN!D111)</f>
        <v>0</v>
      </c>
      <c r="E111">
        <f>SUM(FishSumAllPRN!E111)</f>
        <v>0</v>
      </c>
      <c r="F111">
        <f>SUM(FishSumAllPRN!F111)</f>
        <v>153</v>
      </c>
      <c r="G111">
        <f>SUM(FishSumAllPRN!G111)</f>
        <v>153</v>
      </c>
      <c r="H111" s="54" t="s">
        <v>294</v>
      </c>
      <c r="I111" s="54"/>
      <c r="CF111" s="1326"/>
    </row>
    <row r="112" spans="1:84" x14ac:dyDescent="0.2">
      <c r="A112" t="s">
        <v>1813</v>
      </c>
      <c r="B112">
        <f>SUM(FishSumAllPRN!B112)</f>
        <v>0</v>
      </c>
      <c r="C112">
        <f>SUM(FishSumAllPRN!C112)</f>
        <v>0</v>
      </c>
      <c r="D112">
        <f>SUM(FishSumAllPRN!D112)</f>
        <v>0</v>
      </c>
      <c r="E112">
        <f>SUM(FishSumAllPRN!E112)</f>
        <v>0</v>
      </c>
      <c r="F112">
        <f>SUM(FishSumAllPRN!F112)</f>
        <v>0</v>
      </c>
      <c r="G112">
        <f>SUM(FishSumAllPRN!G112)</f>
        <v>0</v>
      </c>
      <c r="H112" s="54" t="s">
        <v>294</v>
      </c>
      <c r="I112" s="54"/>
      <c r="CF112" s="1326"/>
    </row>
    <row r="113" spans="1:84" x14ac:dyDescent="0.2">
      <c r="A113" t="s">
        <v>1819</v>
      </c>
      <c r="B113">
        <f>SUM(FishSumAllPRN!B113)</f>
        <v>0</v>
      </c>
      <c r="C113">
        <f>SUM(FishSumAllPRN!C113)</f>
        <v>0</v>
      </c>
      <c r="D113">
        <f>SUM(FishSumAllPRN!D113)</f>
        <v>0</v>
      </c>
      <c r="E113">
        <f>SUM(FishSumAllPRN!E113)</f>
        <v>433</v>
      </c>
      <c r="F113">
        <f>SUM(FishSumAllPRN!F113)</f>
        <v>201</v>
      </c>
      <c r="G113">
        <f>SUM(FishSumAllPRN!G113)</f>
        <v>634</v>
      </c>
      <c r="H113" s="54" t="s">
        <v>294</v>
      </c>
      <c r="I113" s="54"/>
      <c r="CF113" s="1326"/>
    </row>
    <row r="114" spans="1:84" x14ac:dyDescent="0.2">
      <c r="A114" t="s">
        <v>1826</v>
      </c>
      <c r="B114">
        <f>SUM(FishSumAllPRN!B114)</f>
        <v>0</v>
      </c>
      <c r="C114">
        <f>SUM(FishSumAllPRN!C114)</f>
        <v>0</v>
      </c>
      <c r="D114">
        <f>SUM(FishSumAllPRN!D114)</f>
        <v>0</v>
      </c>
      <c r="E114">
        <f>SUM(FishSumAllPRN!E114)</f>
        <v>0</v>
      </c>
      <c r="F114">
        <f>SUM(FishSumAllPRN!F114)</f>
        <v>15260</v>
      </c>
      <c r="G114">
        <f>SUM(FishSumAllPRN!G114)</f>
        <v>15260</v>
      </c>
      <c r="H114" s="54" t="s">
        <v>294</v>
      </c>
      <c r="I114" s="54"/>
      <c r="CF114" s="1326"/>
    </row>
    <row r="115" spans="1:84" x14ac:dyDescent="0.2">
      <c r="A115" t="s">
        <v>1830</v>
      </c>
      <c r="B115">
        <f>SUM(FishSumAllPRN!B115)</f>
        <v>0</v>
      </c>
      <c r="C115">
        <f>SUM(FishSumAllPRN!C115)</f>
        <v>0</v>
      </c>
      <c r="D115">
        <f>SUM(FishSumAllPRN!D115)</f>
        <v>0</v>
      </c>
      <c r="E115">
        <f>SUM(FishSumAllPRN!E115)</f>
        <v>0</v>
      </c>
      <c r="F115">
        <f>SUM(FishSumAllPRN!F115)</f>
        <v>1956</v>
      </c>
      <c r="G115">
        <f>SUM(FishSumAllPRN!G115)</f>
        <v>1956</v>
      </c>
      <c r="H115" s="54" t="s">
        <v>294</v>
      </c>
      <c r="I115" s="54"/>
      <c r="CF115" s="1326"/>
    </row>
    <row r="116" spans="1:84" x14ac:dyDescent="0.2">
      <c r="A116" t="s">
        <v>1836</v>
      </c>
      <c r="B116">
        <f>SUM(FishSumAllPRN!B116)</f>
        <v>0</v>
      </c>
      <c r="C116">
        <f>SUM(FishSumAllPRN!C116)</f>
        <v>0</v>
      </c>
      <c r="D116">
        <f>SUM(FishSumAllPRN!D116)</f>
        <v>0</v>
      </c>
      <c r="E116">
        <f>SUM(FishSumAllPRN!E116)</f>
        <v>0</v>
      </c>
      <c r="F116">
        <f>SUM(FishSumAllPRN!F116)</f>
        <v>0</v>
      </c>
      <c r="G116">
        <f>SUM(FishSumAllPRN!G116)</f>
        <v>0</v>
      </c>
      <c r="H116" s="54" t="s">
        <v>294</v>
      </c>
      <c r="I116" s="54"/>
      <c r="CF116" s="1326"/>
    </row>
    <row r="117" spans="1:84" x14ac:dyDescent="0.2">
      <c r="A117" t="s">
        <v>1841</v>
      </c>
      <c r="B117">
        <f>SUM(FishSumAllPRN!B117)</f>
        <v>0</v>
      </c>
      <c r="C117">
        <f>SUM(FishSumAllPRN!C117)</f>
        <v>0</v>
      </c>
      <c r="D117">
        <f>SUM(FishSumAllPRN!D117)</f>
        <v>289</v>
      </c>
      <c r="E117">
        <f>SUM(FishSumAllPRN!E117)</f>
        <v>2518</v>
      </c>
      <c r="F117">
        <f>SUM(FishSumAllPRN!F117)</f>
        <v>65</v>
      </c>
      <c r="G117">
        <f>SUM(FishSumAllPRN!G117)</f>
        <v>2872</v>
      </c>
      <c r="H117" s="54" t="s">
        <v>294</v>
      </c>
      <c r="I117" s="54"/>
      <c r="CF117" s="1326"/>
    </row>
    <row r="118" spans="1:84" x14ac:dyDescent="0.2">
      <c r="A118" t="s">
        <v>1842</v>
      </c>
      <c r="B118">
        <f>SUM(FishSumAllPRN!B118)</f>
        <v>0</v>
      </c>
      <c r="C118">
        <f>SUM(FishSumAllPRN!C118)</f>
        <v>1224</v>
      </c>
      <c r="D118">
        <f>SUM(FishSumAllPRN!D118)</f>
        <v>2718</v>
      </c>
      <c r="E118">
        <f>SUM(FishSumAllPRN!E118)</f>
        <v>5873</v>
      </c>
      <c r="F118">
        <f>SUM(FishSumAllPRN!F118)</f>
        <v>0</v>
      </c>
      <c r="G118">
        <f>SUM(FishSumAllPRN!G118)</f>
        <v>9815</v>
      </c>
      <c r="H118" s="54" t="s">
        <v>294</v>
      </c>
      <c r="I118" s="54"/>
      <c r="CF118" s="1326"/>
    </row>
    <row r="119" spans="1:84" x14ac:dyDescent="0.2">
      <c r="A119" t="s">
        <v>1843</v>
      </c>
      <c r="B119">
        <f>SUM(FishSumAllPRN!B119)</f>
        <v>0</v>
      </c>
      <c r="C119">
        <f>SUM(FishSumAllPRN!C119)</f>
        <v>0</v>
      </c>
      <c r="D119">
        <f>SUM(FishSumAllPRN!D119)</f>
        <v>0</v>
      </c>
      <c r="E119">
        <f>SUM(FishSumAllPRN!E119)</f>
        <v>0</v>
      </c>
      <c r="F119">
        <f>SUM(FishSumAllPRN!F119)</f>
        <v>5713</v>
      </c>
      <c r="G119">
        <f>SUM(FishSumAllPRN!G119)</f>
        <v>5713</v>
      </c>
      <c r="H119" s="54" t="s">
        <v>294</v>
      </c>
      <c r="I119" s="54"/>
      <c r="CF119" s="1326"/>
    </row>
    <row r="120" spans="1:84" x14ac:dyDescent="0.2">
      <c r="A120" t="s">
        <v>1846</v>
      </c>
      <c r="B120">
        <f>SUM(FishSumAllPRN!B120)</f>
        <v>0</v>
      </c>
      <c r="C120">
        <f>SUM(FishSumAllPRN!C120)</f>
        <v>0</v>
      </c>
      <c r="D120">
        <f>SUM(FishSumAllPRN!D120)</f>
        <v>0</v>
      </c>
      <c r="E120">
        <f>SUM(FishSumAllPRN!E120)</f>
        <v>0</v>
      </c>
      <c r="F120">
        <f>SUM(FishSumAllPRN!F120)</f>
        <v>0</v>
      </c>
      <c r="G120">
        <f>SUM(FishSumAllPRN!G120)</f>
        <v>0</v>
      </c>
      <c r="H120" s="54" t="s">
        <v>294</v>
      </c>
      <c r="I120" s="54"/>
      <c r="CF120" s="1326"/>
    </row>
    <row r="121" spans="1:84" x14ac:dyDescent="0.2">
      <c r="A121" t="s">
        <v>1851</v>
      </c>
      <c r="B121">
        <f>SUM(FishSumAllPRN!B121)</f>
        <v>0</v>
      </c>
      <c r="C121">
        <f>SUM(FishSumAllPRN!C121)</f>
        <v>0</v>
      </c>
      <c r="D121">
        <f>SUM(FishSumAllPRN!D121)</f>
        <v>0</v>
      </c>
      <c r="E121">
        <f>SUM(FishSumAllPRN!E121)</f>
        <v>4640</v>
      </c>
      <c r="F121">
        <f>SUM(FishSumAllPRN!F121)</f>
        <v>996</v>
      </c>
      <c r="G121">
        <f>SUM(FishSumAllPRN!G121)</f>
        <v>5636</v>
      </c>
      <c r="H121" s="54" t="s">
        <v>294</v>
      </c>
      <c r="I121" s="54"/>
      <c r="CF121" s="1326"/>
    </row>
    <row r="122" spans="1:84" x14ac:dyDescent="0.2">
      <c r="A122" t="s">
        <v>1857</v>
      </c>
      <c r="B122">
        <f>SUM(FishSumAllPRN!B122)</f>
        <v>0</v>
      </c>
      <c r="C122">
        <f>SUM(FishSumAllPRN!C122)</f>
        <v>0</v>
      </c>
      <c r="D122">
        <f>SUM(FishSumAllPRN!D122)</f>
        <v>0</v>
      </c>
      <c r="E122">
        <f>SUM(FishSumAllPRN!E122)</f>
        <v>0</v>
      </c>
      <c r="F122">
        <f>SUM(FishSumAllPRN!F122)</f>
        <v>0</v>
      </c>
      <c r="G122">
        <f>SUM(FishSumAllPRN!G122)</f>
        <v>0</v>
      </c>
      <c r="H122" s="54" t="s">
        <v>294</v>
      </c>
      <c r="I122" s="54"/>
      <c r="CF122" s="1326"/>
    </row>
    <row r="123" spans="1:84" x14ac:dyDescent="0.2">
      <c r="A123" t="s">
        <v>1862</v>
      </c>
      <c r="B123">
        <f>SUM(FishSumAllPRN!B123)</f>
        <v>0</v>
      </c>
      <c r="C123">
        <f>SUM(FishSumAllPRN!C123)</f>
        <v>0</v>
      </c>
      <c r="D123">
        <f>SUM(FishSumAllPRN!D123)</f>
        <v>0</v>
      </c>
      <c r="E123">
        <f>SUM(FishSumAllPRN!E123)</f>
        <v>15418</v>
      </c>
      <c r="F123">
        <f>SUM(FishSumAllPRN!F123)</f>
        <v>7848</v>
      </c>
      <c r="G123">
        <f>SUM(FishSumAllPRN!G123)</f>
        <v>23266</v>
      </c>
      <c r="H123" s="54" t="s">
        <v>294</v>
      </c>
      <c r="I123" s="54"/>
      <c r="CF123" s="1326"/>
    </row>
    <row r="124" spans="1:84" x14ac:dyDescent="0.2">
      <c r="A124" t="s">
        <v>1867</v>
      </c>
      <c r="B124">
        <f>SUM(FishSumAllPRN!B124)</f>
        <v>0</v>
      </c>
      <c r="C124">
        <f>SUM(FishSumAllPRN!C124)</f>
        <v>0</v>
      </c>
      <c r="D124">
        <f>SUM(FishSumAllPRN!D124)</f>
        <v>0</v>
      </c>
      <c r="E124">
        <f>SUM(FishSumAllPRN!E124)</f>
        <v>0</v>
      </c>
      <c r="F124">
        <f>SUM(FishSumAllPRN!F124)</f>
        <v>202</v>
      </c>
      <c r="G124">
        <f>SUM(FishSumAllPRN!G124)</f>
        <v>202</v>
      </c>
      <c r="H124" s="54" t="s">
        <v>294</v>
      </c>
      <c r="I124" s="54"/>
      <c r="CF124" s="1326"/>
    </row>
    <row r="125" spans="1:84" x14ac:dyDescent="0.2">
      <c r="A125" t="s">
        <v>1870</v>
      </c>
      <c r="B125">
        <f>SUM(FishSumAllPRN!B125)</f>
        <v>0</v>
      </c>
      <c r="C125">
        <f>SUM(FishSumAllPRN!C125)</f>
        <v>0</v>
      </c>
      <c r="D125">
        <f>SUM(FishSumAllPRN!D125)</f>
        <v>0</v>
      </c>
      <c r="E125">
        <f>SUM(FishSumAllPRN!E125)</f>
        <v>0</v>
      </c>
      <c r="F125">
        <f>SUM(FishSumAllPRN!F125)</f>
        <v>0</v>
      </c>
      <c r="G125">
        <f>SUM(FishSumAllPRN!G125)</f>
        <v>0</v>
      </c>
      <c r="H125" s="54" t="s">
        <v>294</v>
      </c>
      <c r="I125" s="54"/>
    </row>
    <row r="126" spans="1:84" x14ac:dyDescent="0.2">
      <c r="A126" t="s">
        <v>1874</v>
      </c>
      <c r="B126">
        <f>SUM(FishSumAllPRN!B126)</f>
        <v>0</v>
      </c>
      <c r="C126">
        <f>SUM(FishSumAllPRN!C126)</f>
        <v>0</v>
      </c>
      <c r="D126">
        <f>SUM(FishSumAllPRN!D126)</f>
        <v>249</v>
      </c>
      <c r="E126">
        <f>SUM(FishSumAllPRN!E126)</f>
        <v>2752</v>
      </c>
      <c r="F126">
        <f>SUM(FishSumAllPRN!F126)</f>
        <v>0</v>
      </c>
      <c r="G126">
        <f>SUM(FishSumAllPRN!G126)</f>
        <v>3001</v>
      </c>
      <c r="H126" s="54" t="s">
        <v>294</v>
      </c>
      <c r="I126" s="54"/>
    </row>
    <row r="127" spans="1:84" x14ac:dyDescent="0.2">
      <c r="A127" t="s">
        <v>1876</v>
      </c>
      <c r="B127">
        <f>SUM(FishSumAllPRN!B127)</f>
        <v>0</v>
      </c>
      <c r="C127">
        <f>SUM(FishSumAllPRN!C127)</f>
        <v>0</v>
      </c>
      <c r="D127">
        <f>SUM(FishSumAllPRN!D127)</f>
        <v>0</v>
      </c>
      <c r="E127">
        <f>SUM(FishSumAllPRN!E127)</f>
        <v>0</v>
      </c>
      <c r="F127">
        <f>SUM(FishSumAllPRN!F127)</f>
        <v>631</v>
      </c>
      <c r="G127">
        <f>SUM(FishSumAllPRN!G127)</f>
        <v>631</v>
      </c>
      <c r="H127" s="54" t="s">
        <v>294</v>
      </c>
      <c r="I127" s="54"/>
    </row>
    <row r="128" spans="1:84" x14ac:dyDescent="0.2">
      <c r="A128" t="s">
        <v>1881</v>
      </c>
      <c r="B128">
        <f>SUM(FishSumAllPRN!B128)</f>
        <v>0</v>
      </c>
      <c r="C128">
        <f>SUM(FishSumAllPRN!C128)</f>
        <v>0</v>
      </c>
      <c r="D128">
        <f>SUM(FishSumAllPRN!D128)</f>
        <v>0</v>
      </c>
      <c r="E128">
        <f>SUM(FishSumAllPRN!E128)</f>
        <v>0</v>
      </c>
      <c r="F128">
        <f>SUM(FishSumAllPRN!F128)</f>
        <v>1475</v>
      </c>
      <c r="G128">
        <f>SUM(FishSumAllPRN!G128)</f>
        <v>1475</v>
      </c>
      <c r="H128" s="54" t="s">
        <v>294</v>
      </c>
      <c r="I128" s="54"/>
    </row>
    <row r="129" spans="1:9" x14ac:dyDescent="0.2">
      <c r="A129" t="s">
        <v>1885</v>
      </c>
      <c r="B129">
        <f>SUM(FishSumAllPRN!B129)</f>
        <v>3260</v>
      </c>
      <c r="C129">
        <f>SUM(FishSumAllPRN!C129)</f>
        <v>3658</v>
      </c>
      <c r="D129">
        <f>SUM(FishSumAllPRN!D129)</f>
        <v>5339</v>
      </c>
      <c r="E129">
        <f>SUM(FishSumAllPRN!E129)</f>
        <v>11837</v>
      </c>
      <c r="F129">
        <f>SUM(FishSumAllPRN!F129)</f>
        <v>567</v>
      </c>
      <c r="G129">
        <f>SUM(FishSumAllPRN!G129)</f>
        <v>24661</v>
      </c>
      <c r="H129" s="54" t="s">
        <v>294</v>
      </c>
      <c r="I129" s="54"/>
    </row>
    <row r="130" spans="1:9" x14ac:dyDescent="0.2">
      <c r="A130" t="s">
        <v>1887</v>
      </c>
      <c r="B130">
        <f>SUM(FishSumAllPRN!B130)</f>
        <v>0</v>
      </c>
      <c r="C130">
        <f>SUM(FishSumAllPRN!C130)</f>
        <v>0</v>
      </c>
      <c r="D130">
        <f>SUM(FishSumAllPRN!D130)</f>
        <v>0</v>
      </c>
      <c r="E130">
        <f>SUM(FishSumAllPRN!E130)</f>
        <v>37</v>
      </c>
      <c r="F130">
        <f>SUM(FishSumAllPRN!F130)</f>
        <v>289</v>
      </c>
      <c r="G130">
        <f>SUM(FishSumAllPRN!G130)</f>
        <v>326</v>
      </c>
      <c r="H130" s="54" t="s">
        <v>294</v>
      </c>
      <c r="I130" s="54"/>
    </row>
    <row r="131" spans="1:9" x14ac:dyDescent="0.2">
      <c r="A131" t="s">
        <v>1893</v>
      </c>
      <c r="B131">
        <f>SUM(FishSumAllPRN!B131)</f>
        <v>0</v>
      </c>
      <c r="C131">
        <f>SUM(FishSumAllPRN!C131)</f>
        <v>0</v>
      </c>
      <c r="D131">
        <f>SUM(FishSumAllPRN!D131)</f>
        <v>0</v>
      </c>
      <c r="E131">
        <f>SUM(FishSumAllPRN!E131)</f>
        <v>2037</v>
      </c>
      <c r="F131">
        <f>SUM(FishSumAllPRN!F131)</f>
        <v>567</v>
      </c>
      <c r="G131">
        <f>SUM(FishSumAllPRN!G131)</f>
        <v>2605</v>
      </c>
      <c r="H131" s="54" t="s">
        <v>294</v>
      </c>
      <c r="I131" s="54"/>
    </row>
    <row r="132" spans="1:9" x14ac:dyDescent="0.2">
      <c r="A132" t="s">
        <v>1899</v>
      </c>
      <c r="B132">
        <f>SUM(FishSumAllPRN!B132)</f>
        <v>0</v>
      </c>
      <c r="C132">
        <f>SUM(FishSumAllPRN!C132)</f>
        <v>0</v>
      </c>
      <c r="D132">
        <f>SUM(FishSumAllPRN!D132)</f>
        <v>0</v>
      </c>
      <c r="E132">
        <f>SUM(FishSumAllPRN!E132)</f>
        <v>0</v>
      </c>
      <c r="F132">
        <f>SUM(FishSumAllPRN!F132)</f>
        <v>0</v>
      </c>
      <c r="G132">
        <f>SUM(FishSumAllPRN!G132)</f>
        <v>0</v>
      </c>
      <c r="H132" s="54" t="s">
        <v>294</v>
      </c>
      <c r="I132" s="54"/>
    </row>
    <row r="133" spans="1:9" x14ac:dyDescent="0.2">
      <c r="A133" t="s">
        <v>1906</v>
      </c>
      <c r="B133">
        <f>SUM(FishSumAllPRN!B133)</f>
        <v>0</v>
      </c>
      <c r="C133">
        <f>SUM(FishSumAllPRN!C133)</f>
        <v>0</v>
      </c>
      <c r="D133">
        <f>SUM(FishSumAllPRN!D133)</f>
        <v>0</v>
      </c>
      <c r="E133">
        <f>SUM(FishSumAllPRN!E133)</f>
        <v>2527</v>
      </c>
      <c r="F133">
        <f>SUM(FishSumAllPRN!F133)</f>
        <v>30</v>
      </c>
      <c r="G133">
        <f>SUM(FishSumAllPRN!G133)</f>
        <v>2557</v>
      </c>
      <c r="H133" s="54" t="s">
        <v>294</v>
      </c>
      <c r="I133" s="54"/>
    </row>
    <row r="134" spans="1:9" x14ac:dyDescent="0.2">
      <c r="A134" t="s">
        <v>1911</v>
      </c>
      <c r="B134">
        <f>SUM(FishSumAllPRN!B134)</f>
        <v>0</v>
      </c>
      <c r="C134">
        <f>SUM(FishSumAllPRN!C134)</f>
        <v>0</v>
      </c>
      <c r="D134">
        <f>SUM(FishSumAllPRN!D134)</f>
        <v>0</v>
      </c>
      <c r="E134">
        <f>SUM(FishSumAllPRN!E134)</f>
        <v>0</v>
      </c>
      <c r="F134">
        <f>SUM(FishSumAllPRN!F134)</f>
        <v>0</v>
      </c>
      <c r="G134">
        <f>SUM(FishSumAllPRN!G134)</f>
        <v>0</v>
      </c>
      <c r="H134" s="54" t="s">
        <v>294</v>
      </c>
      <c r="I134" s="54"/>
    </row>
    <row r="135" spans="1:9" x14ac:dyDescent="0.2">
      <c r="A135" t="s">
        <v>1917</v>
      </c>
      <c r="B135">
        <f>SUM(FishSumAllPRN!B135)</f>
        <v>0</v>
      </c>
      <c r="C135">
        <f>SUM(FishSumAllPRN!C135)</f>
        <v>0</v>
      </c>
      <c r="D135">
        <f>SUM(FishSumAllPRN!D135)</f>
        <v>0</v>
      </c>
      <c r="E135">
        <f>SUM(FishSumAllPRN!E135)</f>
        <v>1482</v>
      </c>
      <c r="F135">
        <f>SUM(FishSumAllPRN!F135)</f>
        <v>2249</v>
      </c>
      <c r="G135">
        <f>SUM(FishSumAllPRN!G135)</f>
        <v>3731</v>
      </c>
      <c r="H135" s="54" t="s">
        <v>294</v>
      </c>
      <c r="I135" s="54"/>
    </row>
    <row r="136" spans="1:9" x14ac:dyDescent="0.2">
      <c r="A136" t="s">
        <v>1922</v>
      </c>
      <c r="B136">
        <f>SUM(FishSumAllPRN!B136)</f>
        <v>0</v>
      </c>
      <c r="C136">
        <f>SUM(FishSumAllPRN!C136)</f>
        <v>0</v>
      </c>
      <c r="D136">
        <f>SUM(FishSumAllPRN!D136)</f>
        <v>0</v>
      </c>
      <c r="E136">
        <f>SUM(FishSumAllPRN!E136)</f>
        <v>2358</v>
      </c>
      <c r="F136">
        <f>SUM(FishSumAllPRN!F136)</f>
        <v>1039</v>
      </c>
      <c r="G136">
        <f>SUM(FishSumAllPRN!G136)</f>
        <v>3397</v>
      </c>
      <c r="H136" s="54" t="s">
        <v>294</v>
      </c>
      <c r="I136" s="54"/>
    </row>
    <row r="137" spans="1:9" x14ac:dyDescent="0.2">
      <c r="A137" t="s">
        <v>1928</v>
      </c>
      <c r="B137">
        <f>SUM(FishSumAllPRN!B137)</f>
        <v>0</v>
      </c>
      <c r="C137">
        <f>SUM(FishSumAllPRN!C137)</f>
        <v>0</v>
      </c>
      <c r="D137">
        <f>SUM(FishSumAllPRN!D137)</f>
        <v>0</v>
      </c>
      <c r="E137">
        <f>SUM(FishSumAllPRN!E137)</f>
        <v>0</v>
      </c>
      <c r="F137">
        <f>SUM(FishSumAllPRN!F137)</f>
        <v>20911</v>
      </c>
      <c r="G137">
        <f>SUM(FishSumAllPRN!G137)</f>
        <v>20911</v>
      </c>
      <c r="H137" s="54" t="s">
        <v>294</v>
      </c>
      <c r="I137" s="54"/>
    </row>
    <row r="138" spans="1:9" x14ac:dyDescent="0.2">
      <c r="A138" t="s">
        <v>1932</v>
      </c>
      <c r="B138">
        <f>SUM(FishSumAllPRN!B138)</f>
        <v>0</v>
      </c>
      <c r="C138">
        <f>SUM(FishSumAllPRN!C138)</f>
        <v>0</v>
      </c>
      <c r="D138">
        <f>SUM(FishSumAllPRN!D138)</f>
        <v>0</v>
      </c>
      <c r="E138">
        <f>SUM(FishSumAllPRN!E138)</f>
        <v>0</v>
      </c>
      <c r="F138">
        <f>SUM(FishSumAllPRN!F138)</f>
        <v>2152</v>
      </c>
      <c r="G138">
        <f>SUM(FishSumAllPRN!G138)</f>
        <v>2152</v>
      </c>
      <c r="H138" s="54" t="s">
        <v>294</v>
      </c>
      <c r="I138" s="54"/>
    </row>
    <row r="139" spans="1:9" x14ac:dyDescent="0.2">
      <c r="A139" t="s">
        <v>1938</v>
      </c>
      <c r="B139">
        <f>SUM(FishSumAllPRN!B139)</f>
        <v>0</v>
      </c>
      <c r="C139">
        <f>SUM(FishSumAllPRN!C139)</f>
        <v>0</v>
      </c>
      <c r="D139">
        <f>SUM(FishSumAllPRN!D139)</f>
        <v>0</v>
      </c>
      <c r="E139">
        <f>SUM(FishSumAllPRN!E139)</f>
        <v>0</v>
      </c>
      <c r="F139">
        <f>SUM(FishSumAllPRN!F139)</f>
        <v>454</v>
      </c>
      <c r="G139">
        <f>SUM(FishSumAllPRN!G139)</f>
        <v>454</v>
      </c>
      <c r="H139" s="54" t="s">
        <v>294</v>
      </c>
      <c r="I139" s="54"/>
    </row>
    <row r="140" spans="1:9" x14ac:dyDescent="0.2">
      <c r="A140" t="s">
        <v>1944</v>
      </c>
      <c r="B140">
        <f>SUM(FishSumAllPRN!B140)</f>
        <v>7</v>
      </c>
      <c r="C140">
        <f>SUM(FishSumAllPRN!C140)</f>
        <v>337</v>
      </c>
      <c r="D140">
        <f>SUM(FishSumAllPRN!D140)</f>
        <v>1163</v>
      </c>
      <c r="E140">
        <f>SUM(FishSumAllPRN!E140)</f>
        <v>2960</v>
      </c>
      <c r="F140">
        <f>SUM(FishSumAllPRN!F140)</f>
        <v>93</v>
      </c>
      <c r="G140">
        <f>SUM(FishSumAllPRN!G140)</f>
        <v>4560</v>
      </c>
      <c r="H140" s="54" t="s">
        <v>294</v>
      </c>
      <c r="I140" s="54"/>
    </row>
    <row r="141" spans="1:9" x14ac:dyDescent="0.2">
      <c r="A141" t="s">
        <v>1947</v>
      </c>
      <c r="B141">
        <f>SUM(FishSumAllPRN!B141)</f>
        <v>0</v>
      </c>
      <c r="C141">
        <f>SUM(FishSumAllPRN!C141)</f>
        <v>0</v>
      </c>
      <c r="D141">
        <f>SUM(FishSumAllPRN!D141)</f>
        <v>0</v>
      </c>
      <c r="E141">
        <f>SUM(FishSumAllPRN!E141)</f>
        <v>0</v>
      </c>
      <c r="F141">
        <f>SUM(FishSumAllPRN!F141)</f>
        <v>88</v>
      </c>
      <c r="G141">
        <f>SUM(FishSumAllPRN!G141)</f>
        <v>88</v>
      </c>
      <c r="H141" s="54" t="s">
        <v>294</v>
      </c>
      <c r="I141" s="54"/>
    </row>
    <row r="142" spans="1:9" x14ac:dyDescent="0.2">
      <c r="A142" t="s">
        <v>1953</v>
      </c>
      <c r="B142">
        <f>SUM(FishSumAllPRN!B142)</f>
        <v>0</v>
      </c>
      <c r="C142">
        <f>SUM(FishSumAllPRN!C142)</f>
        <v>0</v>
      </c>
      <c r="D142">
        <f>SUM(FishSumAllPRN!D142)</f>
        <v>0</v>
      </c>
      <c r="E142">
        <f>SUM(FishSumAllPRN!E142)</f>
        <v>62</v>
      </c>
      <c r="F142">
        <f>SUM(FishSumAllPRN!F142)</f>
        <v>200</v>
      </c>
      <c r="G142">
        <f>SUM(FishSumAllPRN!G142)</f>
        <v>262</v>
      </c>
      <c r="H142" s="54" t="s">
        <v>294</v>
      </c>
      <c r="I142" s="54"/>
    </row>
    <row r="143" spans="1:9" x14ac:dyDescent="0.2">
      <c r="A143" t="s">
        <v>1958</v>
      </c>
      <c r="B143">
        <f>SUM(FishSumAllPRN!B143)</f>
        <v>0</v>
      </c>
      <c r="C143">
        <f>SUM(FishSumAllPRN!C143)</f>
        <v>0</v>
      </c>
      <c r="D143">
        <f>SUM(FishSumAllPRN!D143)</f>
        <v>0</v>
      </c>
      <c r="E143">
        <f>SUM(FishSumAllPRN!E143)</f>
        <v>0</v>
      </c>
      <c r="F143">
        <f>SUM(FishSumAllPRN!F143)</f>
        <v>0</v>
      </c>
      <c r="G143">
        <f>SUM(FishSumAllPRN!G143)</f>
        <v>0</v>
      </c>
      <c r="H143" s="54" t="s">
        <v>294</v>
      </c>
      <c r="I143" s="54"/>
    </row>
    <row r="144" spans="1:9" x14ac:dyDescent="0.2">
      <c r="A144" t="s">
        <v>1964</v>
      </c>
      <c r="B144">
        <f>SUM(FishSumAllPRN!B144)</f>
        <v>0</v>
      </c>
      <c r="C144">
        <f>SUM(FishSumAllPRN!C144)</f>
        <v>0</v>
      </c>
      <c r="D144">
        <f>SUM(FishSumAllPRN!D144)</f>
        <v>0</v>
      </c>
      <c r="E144">
        <f>SUM(FishSumAllPRN!E144)</f>
        <v>17</v>
      </c>
      <c r="F144">
        <f>SUM(FishSumAllPRN!F144)</f>
        <v>145</v>
      </c>
      <c r="G144">
        <f>SUM(FishSumAllPRN!G144)</f>
        <v>162</v>
      </c>
      <c r="H144" s="54" t="s">
        <v>294</v>
      </c>
      <c r="I144" s="54"/>
    </row>
    <row r="145" spans="1:9" x14ac:dyDescent="0.2">
      <c r="A145" t="s">
        <v>1973</v>
      </c>
      <c r="B145">
        <f>SUM(FishSumAllPRN!B145)</f>
        <v>0</v>
      </c>
      <c r="C145">
        <f>SUM(FishSumAllPRN!C145)</f>
        <v>0</v>
      </c>
      <c r="D145">
        <f>SUM(FishSumAllPRN!D145)</f>
        <v>0</v>
      </c>
      <c r="E145">
        <f>SUM(FishSumAllPRN!E145)</f>
        <v>0</v>
      </c>
      <c r="F145">
        <f>SUM(FishSumAllPRN!F145)</f>
        <v>5803</v>
      </c>
      <c r="G145">
        <f>SUM(FishSumAllPRN!G145)</f>
        <v>5803</v>
      </c>
      <c r="H145" s="54" t="s">
        <v>294</v>
      </c>
      <c r="I145" s="54"/>
    </row>
    <row r="146" spans="1:9" x14ac:dyDescent="0.2">
      <c r="A146" t="s">
        <v>1978</v>
      </c>
      <c r="B146">
        <f>SUM(FishSumAllPRN!B146)</f>
        <v>0</v>
      </c>
      <c r="C146">
        <f>SUM(FishSumAllPRN!C146)</f>
        <v>0</v>
      </c>
      <c r="D146">
        <f>SUM(FishSumAllPRN!D146)</f>
        <v>0</v>
      </c>
      <c r="E146">
        <f>SUM(FishSumAllPRN!E146)</f>
        <v>0</v>
      </c>
      <c r="F146">
        <f>SUM(FishSumAllPRN!F146)</f>
        <v>3649</v>
      </c>
      <c r="G146">
        <f>SUM(FishSumAllPRN!G146)</f>
        <v>3649</v>
      </c>
      <c r="H146" s="54" t="s">
        <v>294</v>
      </c>
      <c r="I146" s="54"/>
    </row>
    <row r="147" spans="1:9" x14ac:dyDescent="0.2">
      <c r="A147" t="s">
        <v>1983</v>
      </c>
      <c r="B147">
        <f>SUM(FishSumAllPRN!B147)</f>
        <v>290</v>
      </c>
      <c r="C147">
        <f>SUM(FishSumAllPRN!C147)</f>
        <v>22</v>
      </c>
      <c r="D147">
        <f>SUM(FishSumAllPRN!D147)</f>
        <v>50</v>
      </c>
      <c r="E147">
        <f>SUM(FishSumAllPRN!E147)</f>
        <v>325</v>
      </c>
      <c r="F147">
        <f>SUM(FishSumAllPRN!F147)</f>
        <v>71</v>
      </c>
      <c r="G147">
        <f>SUM(FishSumAllPRN!G147)</f>
        <v>758</v>
      </c>
      <c r="H147" s="54" t="s">
        <v>294</v>
      </c>
      <c r="I147" s="54"/>
    </row>
    <row r="148" spans="1:9" x14ac:dyDescent="0.2">
      <c r="A148" t="s">
        <v>1984</v>
      </c>
      <c r="B148">
        <f>SUM(FishSumAllPRN!B148)</f>
        <v>0</v>
      </c>
      <c r="C148">
        <f>SUM(FishSumAllPRN!C148)</f>
        <v>0</v>
      </c>
      <c r="D148">
        <f>SUM(FishSumAllPRN!D148)</f>
        <v>0</v>
      </c>
      <c r="E148">
        <f>SUM(FishSumAllPRN!E148)</f>
        <v>0</v>
      </c>
      <c r="F148">
        <f>SUM(FishSumAllPRN!F148)</f>
        <v>0</v>
      </c>
      <c r="G148">
        <f>SUM(FishSumAllPRN!G148)</f>
        <v>0</v>
      </c>
      <c r="H148" s="54" t="s">
        <v>294</v>
      </c>
      <c r="I148" s="54"/>
    </row>
    <row r="149" spans="1:9" x14ac:dyDescent="0.2">
      <c r="A149" t="s">
        <v>1990</v>
      </c>
      <c r="B149">
        <f>SUM(FishSumAllPRN!B149)</f>
        <v>0</v>
      </c>
      <c r="C149">
        <f>SUM(FishSumAllPRN!C149)</f>
        <v>0</v>
      </c>
      <c r="D149">
        <f>SUM(FishSumAllPRN!D149)</f>
        <v>0</v>
      </c>
      <c r="E149">
        <f>SUM(FishSumAllPRN!E149)</f>
        <v>83</v>
      </c>
      <c r="F149">
        <f>SUM(FishSumAllPRN!F149)</f>
        <v>131</v>
      </c>
      <c r="G149">
        <f>SUM(FishSumAllPRN!G149)</f>
        <v>213</v>
      </c>
      <c r="H149" s="54" t="s">
        <v>294</v>
      </c>
      <c r="I149" s="54"/>
    </row>
    <row r="150" spans="1:9" x14ac:dyDescent="0.2">
      <c r="A150" t="s">
        <v>1996</v>
      </c>
      <c r="B150">
        <f>SUM(FishSumAllPRN!B150)</f>
        <v>0</v>
      </c>
      <c r="C150">
        <f>SUM(FishSumAllPRN!C150)</f>
        <v>0</v>
      </c>
      <c r="D150">
        <f>SUM(FishSumAllPRN!D150)</f>
        <v>0</v>
      </c>
      <c r="E150">
        <f>SUM(FishSumAllPRN!E150)</f>
        <v>0</v>
      </c>
      <c r="F150">
        <f>SUM(FishSumAllPRN!F150)</f>
        <v>0</v>
      </c>
      <c r="G150">
        <f>SUM(FishSumAllPRN!G150)</f>
        <v>0</v>
      </c>
      <c r="H150" s="54" t="s">
        <v>294</v>
      </c>
      <c r="I150" s="54"/>
    </row>
    <row r="151" spans="1:9" x14ac:dyDescent="0.2">
      <c r="A151" t="s">
        <v>1998</v>
      </c>
      <c r="B151">
        <f>SUM(FishSumAllPRN!B151)</f>
        <v>0</v>
      </c>
      <c r="C151">
        <f>SUM(FishSumAllPRN!C151)</f>
        <v>0</v>
      </c>
      <c r="D151">
        <f>SUM(FishSumAllPRN!D151)</f>
        <v>0</v>
      </c>
      <c r="E151">
        <f>SUM(FishSumAllPRN!E151)</f>
        <v>0</v>
      </c>
      <c r="F151">
        <f>SUM(FishSumAllPRN!F151)</f>
        <v>0</v>
      </c>
      <c r="G151">
        <f>SUM(FishSumAllPRN!G151)</f>
        <v>0</v>
      </c>
      <c r="H151" s="54" t="s">
        <v>294</v>
      </c>
      <c r="I151" s="54"/>
    </row>
    <row r="152" spans="1:9" x14ac:dyDescent="0.2">
      <c r="A152" t="s">
        <v>1999</v>
      </c>
      <c r="B152">
        <f>SUM(FishSumAllPRN!B152)</f>
        <v>0</v>
      </c>
      <c r="C152">
        <f>SUM(FishSumAllPRN!C152)</f>
        <v>0</v>
      </c>
      <c r="D152">
        <f>SUM(FishSumAllPRN!D152)</f>
        <v>0</v>
      </c>
      <c r="E152">
        <f>SUM(FishSumAllPRN!E152)</f>
        <v>0</v>
      </c>
      <c r="F152">
        <f>SUM(FishSumAllPRN!F152)</f>
        <v>551</v>
      </c>
      <c r="G152">
        <f>SUM(FishSumAllPRN!G152)</f>
        <v>551</v>
      </c>
      <c r="H152" s="54" t="s">
        <v>294</v>
      </c>
      <c r="I152" s="54"/>
    </row>
    <row r="153" spans="1:9" x14ac:dyDescent="0.2">
      <c r="A153" t="s">
        <v>2004</v>
      </c>
      <c r="B153">
        <f>SUM(FishSumAllPRN!B153)</f>
        <v>0</v>
      </c>
      <c r="C153">
        <f>SUM(FishSumAllPRN!C153)</f>
        <v>0</v>
      </c>
      <c r="D153">
        <f>SUM(FishSumAllPRN!D153)</f>
        <v>0</v>
      </c>
      <c r="E153">
        <f>SUM(FishSumAllPRN!E153)</f>
        <v>474</v>
      </c>
      <c r="F153">
        <f>SUM(FishSumAllPRN!F153)</f>
        <v>662</v>
      </c>
      <c r="G153">
        <f>SUM(FishSumAllPRN!G153)</f>
        <v>1136</v>
      </c>
      <c r="H153" s="54" t="s">
        <v>294</v>
      </c>
      <c r="I153" s="54"/>
    </row>
    <row r="154" spans="1:9" x14ac:dyDescent="0.2">
      <c r="A154" t="s">
        <v>2009</v>
      </c>
      <c r="B154">
        <f>SUM(FishSumAllPRN!B154)</f>
        <v>0</v>
      </c>
      <c r="C154">
        <f>SUM(FishSumAllPRN!C154)</f>
        <v>0</v>
      </c>
      <c r="D154">
        <f>SUM(FishSumAllPRN!D154)</f>
        <v>0</v>
      </c>
      <c r="E154">
        <f>SUM(FishSumAllPRN!E154)</f>
        <v>0</v>
      </c>
      <c r="F154">
        <f>SUM(FishSumAllPRN!F154)</f>
        <v>0</v>
      </c>
      <c r="G154">
        <f>SUM(FishSumAllPRN!G154)</f>
        <v>0</v>
      </c>
      <c r="H154" s="54" t="s">
        <v>294</v>
      </c>
      <c r="I154" s="54"/>
    </row>
    <row r="155" spans="1:9" x14ac:dyDescent="0.2">
      <c r="A155" t="s">
        <v>2014</v>
      </c>
      <c r="B155">
        <f>SUM(FishSumAllPRN!B155)</f>
        <v>0</v>
      </c>
      <c r="C155">
        <f>SUM(FishSumAllPRN!C155)</f>
        <v>0</v>
      </c>
      <c r="D155">
        <f>SUM(FishSumAllPRN!D155)</f>
        <v>0</v>
      </c>
      <c r="E155">
        <f>SUM(FishSumAllPRN!E155)</f>
        <v>21704</v>
      </c>
      <c r="F155">
        <f>SUM(FishSumAllPRN!F155)</f>
        <v>12150</v>
      </c>
      <c r="G155">
        <f>SUM(FishSumAllPRN!G155)</f>
        <v>33855</v>
      </c>
      <c r="H155" s="54" t="s">
        <v>294</v>
      </c>
      <c r="I155" s="54"/>
    </row>
    <row r="156" spans="1:9" x14ac:dyDescent="0.2">
      <c r="A156" t="s">
        <v>2019</v>
      </c>
      <c r="B156">
        <f>SUM(FishSumAllPRN!B156)</f>
        <v>0</v>
      </c>
      <c r="C156">
        <f>SUM(FishSumAllPRN!C156)</f>
        <v>0</v>
      </c>
      <c r="D156">
        <f>SUM(FishSumAllPRN!D156)</f>
        <v>0</v>
      </c>
      <c r="E156">
        <f>SUM(FishSumAllPRN!E156)</f>
        <v>0</v>
      </c>
      <c r="F156">
        <f>SUM(FishSumAllPRN!F156)</f>
        <v>0</v>
      </c>
      <c r="G156">
        <f>SUM(FishSumAllPRN!G156)</f>
        <v>0</v>
      </c>
      <c r="H156" s="54" t="s">
        <v>294</v>
      </c>
      <c r="I156" s="54"/>
    </row>
    <row r="157" spans="1:9" x14ac:dyDescent="0.2">
      <c r="A157" t="s">
        <v>2023</v>
      </c>
      <c r="B157">
        <f>SUM(FishSumAllPRN!B157)</f>
        <v>0</v>
      </c>
      <c r="C157">
        <f>SUM(FishSumAllPRN!C157)</f>
        <v>0</v>
      </c>
      <c r="D157">
        <f>SUM(FishSumAllPRN!D157)</f>
        <v>0</v>
      </c>
      <c r="E157">
        <f>SUM(FishSumAllPRN!E157)</f>
        <v>0</v>
      </c>
      <c r="F157">
        <f>SUM(FishSumAllPRN!F157)</f>
        <v>114</v>
      </c>
      <c r="G157">
        <f>SUM(FishSumAllPRN!G157)</f>
        <v>114</v>
      </c>
      <c r="H157" s="54" t="s">
        <v>294</v>
      </c>
      <c r="I157" s="54"/>
    </row>
    <row r="158" spans="1:9" x14ac:dyDescent="0.2">
      <c r="A158" t="s">
        <v>2026</v>
      </c>
      <c r="B158">
        <f>SUM(FishSumAllPRN!B158)</f>
        <v>0</v>
      </c>
      <c r="C158">
        <f>SUM(FishSumAllPRN!C158)</f>
        <v>0</v>
      </c>
      <c r="D158">
        <f>SUM(FishSumAllPRN!D158)</f>
        <v>0</v>
      </c>
      <c r="E158">
        <f>SUM(FishSumAllPRN!E158)</f>
        <v>0</v>
      </c>
      <c r="F158">
        <f>SUM(FishSumAllPRN!F158)</f>
        <v>2423</v>
      </c>
      <c r="G158">
        <f>SUM(FishSumAllPRN!G158)</f>
        <v>2423</v>
      </c>
      <c r="H158" s="54" t="s">
        <v>294</v>
      </c>
      <c r="I158" s="54"/>
    </row>
    <row r="159" spans="1:9" x14ac:dyDescent="0.2">
      <c r="A159" t="s">
        <v>2030</v>
      </c>
      <c r="B159">
        <f>SUM(FishSumAllPRN!B159)</f>
        <v>0</v>
      </c>
      <c r="C159">
        <f>SUM(FishSumAllPRN!C159)</f>
        <v>0</v>
      </c>
      <c r="D159">
        <f>SUM(FishSumAllPRN!D159)</f>
        <v>0</v>
      </c>
      <c r="E159">
        <f>SUM(FishSumAllPRN!E159)</f>
        <v>0</v>
      </c>
      <c r="F159">
        <f>SUM(FishSumAllPRN!F159)</f>
        <v>1</v>
      </c>
      <c r="G159">
        <f>SUM(FishSumAllPRN!G159)</f>
        <v>1</v>
      </c>
      <c r="H159" s="54" t="s">
        <v>294</v>
      </c>
      <c r="I159" s="54"/>
    </row>
    <row r="160" spans="1:9" x14ac:dyDescent="0.2">
      <c r="A160" t="s">
        <v>2035</v>
      </c>
      <c r="B160">
        <f>SUM(FishSumAllPRN!B160)</f>
        <v>0</v>
      </c>
      <c r="C160">
        <f>SUM(FishSumAllPRN!C160)</f>
        <v>0</v>
      </c>
      <c r="D160">
        <f>SUM(FishSumAllPRN!D160)</f>
        <v>0</v>
      </c>
      <c r="E160">
        <f>SUM(FishSumAllPRN!E160)</f>
        <v>0</v>
      </c>
      <c r="F160">
        <f>SUM(FishSumAllPRN!F160)</f>
        <v>0</v>
      </c>
      <c r="G160">
        <f>SUM(FishSumAllPRN!G160)</f>
        <v>0</v>
      </c>
      <c r="H160" s="54" t="s">
        <v>294</v>
      </c>
      <c r="I160" s="54"/>
    </row>
    <row r="161" spans="1:9" x14ac:dyDescent="0.2">
      <c r="A161" t="s">
        <v>2040</v>
      </c>
      <c r="B161">
        <f>SUM(FishSumAllPRN!B161)</f>
        <v>0</v>
      </c>
      <c r="C161">
        <f>SUM(FishSumAllPRN!C161)</f>
        <v>0</v>
      </c>
      <c r="D161">
        <f>SUM(FishSumAllPRN!D161)</f>
        <v>0</v>
      </c>
      <c r="E161">
        <f>SUM(FishSumAllPRN!E161)</f>
        <v>0</v>
      </c>
      <c r="F161">
        <f>SUM(FishSumAllPRN!F161)</f>
        <v>1730</v>
      </c>
      <c r="G161">
        <f>SUM(FishSumAllPRN!G161)</f>
        <v>1730</v>
      </c>
      <c r="H161" s="54" t="s">
        <v>294</v>
      </c>
      <c r="I161" s="54"/>
    </row>
    <row r="162" spans="1:9" x14ac:dyDescent="0.2">
      <c r="A162" t="s">
        <v>2045</v>
      </c>
      <c r="B162">
        <f>SUM(FishSumAllPRN!B162)</f>
        <v>0</v>
      </c>
      <c r="C162">
        <f>SUM(FishSumAllPRN!C162)</f>
        <v>0</v>
      </c>
      <c r="D162">
        <f>SUM(FishSumAllPRN!D162)</f>
        <v>0</v>
      </c>
      <c r="E162">
        <f>SUM(FishSumAllPRN!E162)</f>
        <v>0</v>
      </c>
      <c r="F162">
        <f>SUM(FishSumAllPRN!F162)</f>
        <v>5</v>
      </c>
      <c r="G162">
        <f>SUM(FishSumAllPRN!G162)</f>
        <v>5</v>
      </c>
      <c r="H162" s="54" t="s">
        <v>294</v>
      </c>
      <c r="I162" s="54"/>
    </row>
    <row r="163" spans="1:9" x14ac:dyDescent="0.2">
      <c r="A163" t="s">
        <v>2049</v>
      </c>
      <c r="B163">
        <f>SUM(FishSumAllPRN!B163)</f>
        <v>0</v>
      </c>
      <c r="C163">
        <f>SUM(FishSumAllPRN!C163)</f>
        <v>0</v>
      </c>
      <c r="D163">
        <f>SUM(FishSumAllPRN!D163)</f>
        <v>1981</v>
      </c>
      <c r="E163">
        <f>SUM(FishSumAllPRN!E163)</f>
        <v>4837</v>
      </c>
      <c r="F163">
        <f>SUM(FishSumAllPRN!F163)</f>
        <v>803</v>
      </c>
      <c r="G163">
        <f>SUM(FishSumAllPRN!G163)</f>
        <v>7621</v>
      </c>
      <c r="H163" s="54" t="s">
        <v>294</v>
      </c>
      <c r="I163" s="54"/>
    </row>
    <row r="164" spans="1:9" x14ac:dyDescent="0.2">
      <c r="A164" t="s">
        <v>2051</v>
      </c>
      <c r="B164">
        <f>SUM(FishSumAllPRN!B164)</f>
        <v>0</v>
      </c>
      <c r="C164">
        <f>SUM(FishSumAllPRN!C164)</f>
        <v>0</v>
      </c>
      <c r="D164">
        <f>SUM(FishSumAllPRN!D164)</f>
        <v>0</v>
      </c>
      <c r="E164">
        <f>SUM(FishSumAllPRN!E164)</f>
        <v>0</v>
      </c>
      <c r="F164">
        <f>SUM(FishSumAllPRN!F164)</f>
        <v>1341</v>
      </c>
      <c r="G164">
        <f>SUM(FishSumAllPRN!G164)</f>
        <v>1341</v>
      </c>
      <c r="H164" s="54" t="s">
        <v>294</v>
      </c>
      <c r="I164" s="54"/>
    </row>
    <row r="165" spans="1:9" x14ac:dyDescent="0.2">
      <c r="A165" t="s">
        <v>2057</v>
      </c>
      <c r="B165">
        <f>SUM(FishSumAllPRN!B165)</f>
        <v>0</v>
      </c>
      <c r="C165">
        <f>SUM(FishSumAllPRN!C165)</f>
        <v>0</v>
      </c>
      <c r="D165">
        <f>SUM(FishSumAllPRN!D165)</f>
        <v>0</v>
      </c>
      <c r="E165">
        <f>SUM(FishSumAllPRN!E165)</f>
        <v>80</v>
      </c>
      <c r="F165">
        <f>SUM(FishSumAllPRN!F165)</f>
        <v>2193</v>
      </c>
      <c r="G165">
        <f>SUM(FishSumAllPRN!G165)</f>
        <v>2274</v>
      </c>
      <c r="H165" s="54" t="s">
        <v>294</v>
      </c>
      <c r="I165" s="54"/>
    </row>
    <row r="166" spans="1:9" x14ac:dyDescent="0.2">
      <c r="A166" t="s">
        <v>5762</v>
      </c>
      <c r="B166">
        <f>SUM(FishSumAllPRN!B166)</f>
        <v>0</v>
      </c>
      <c r="C166">
        <f>SUM(FishSumAllPRN!C166)</f>
        <v>0</v>
      </c>
      <c r="D166">
        <f>SUM(FishSumAllPRN!D166)</f>
        <v>0</v>
      </c>
      <c r="E166">
        <f>SUM(FishSumAllPRN!E166)</f>
        <v>1267</v>
      </c>
      <c r="F166">
        <f>SUM(FishSumAllPRN!F166)</f>
        <v>40</v>
      </c>
      <c r="G166">
        <f>SUM(FishSumAllPRN!G166)</f>
        <v>1307</v>
      </c>
      <c r="H166" s="54" t="s">
        <v>294</v>
      </c>
      <c r="I166" s="54"/>
    </row>
    <row r="167" spans="1:9" x14ac:dyDescent="0.2">
      <c r="A167" t="s">
        <v>5763</v>
      </c>
      <c r="B167">
        <f>SUM(FishSumAllPRN!B167)</f>
        <v>0</v>
      </c>
      <c r="C167">
        <f>SUM(FishSumAllPRN!C167)</f>
        <v>0</v>
      </c>
      <c r="D167">
        <f>SUM(FishSumAllPRN!D167)</f>
        <v>0</v>
      </c>
      <c r="E167">
        <f>SUM(FishSumAllPRN!E167)</f>
        <v>4943</v>
      </c>
      <c r="F167">
        <f>SUM(FishSumAllPRN!F167)</f>
        <v>1037</v>
      </c>
      <c r="G167">
        <f>SUM(FishSumAllPRN!G167)</f>
        <v>5981</v>
      </c>
      <c r="H167" s="54" t="s">
        <v>294</v>
      </c>
      <c r="I167" s="54"/>
    </row>
    <row r="168" spans="1:9" x14ac:dyDescent="0.2">
      <c r="A168" t="s">
        <v>2074</v>
      </c>
      <c r="B168">
        <f>SUM(FishSumAllPRN!B168)</f>
        <v>0</v>
      </c>
      <c r="C168">
        <f>SUM(FishSumAllPRN!C168)</f>
        <v>0</v>
      </c>
      <c r="D168">
        <f>SUM(FishSumAllPRN!D168)</f>
        <v>0</v>
      </c>
      <c r="E168">
        <f>SUM(FishSumAllPRN!E168)</f>
        <v>1259</v>
      </c>
      <c r="F168">
        <f>SUM(FishSumAllPRN!F168)</f>
        <v>0</v>
      </c>
      <c r="G168">
        <f>SUM(FishSumAllPRN!G168)</f>
        <v>1259</v>
      </c>
      <c r="H168" s="54" t="s">
        <v>294</v>
      </c>
      <c r="I168" s="54"/>
    </row>
    <row r="169" spans="1:9" x14ac:dyDescent="0.2">
      <c r="A169" t="s">
        <v>2079</v>
      </c>
      <c r="B169">
        <f>SUM(FishSumAllPRN!B169)</f>
        <v>0</v>
      </c>
      <c r="C169">
        <f>SUM(FishSumAllPRN!C169)</f>
        <v>0</v>
      </c>
      <c r="D169">
        <f>SUM(FishSumAllPRN!D169)</f>
        <v>0</v>
      </c>
      <c r="E169">
        <f>SUM(FishSumAllPRN!E169)</f>
        <v>3536</v>
      </c>
      <c r="F169">
        <f>SUM(FishSumAllPRN!F169)</f>
        <v>380</v>
      </c>
      <c r="G169">
        <f>SUM(FishSumAllPRN!G169)</f>
        <v>3915</v>
      </c>
      <c r="H169" s="54" t="s">
        <v>294</v>
      </c>
      <c r="I169" s="54"/>
    </row>
    <row r="170" spans="1:9" x14ac:dyDescent="0.2">
      <c r="A170" t="s">
        <v>2085</v>
      </c>
      <c r="B170">
        <f>SUM(FishSumAllPRN!B170)</f>
        <v>0</v>
      </c>
      <c r="C170">
        <f>SUM(FishSumAllPRN!C170)</f>
        <v>0</v>
      </c>
      <c r="D170">
        <f>SUM(FishSumAllPRN!D170)</f>
        <v>0</v>
      </c>
      <c r="E170">
        <f>SUM(FishSumAllPRN!E170)</f>
        <v>5</v>
      </c>
      <c r="F170">
        <f>SUM(FishSumAllPRN!F170)</f>
        <v>2</v>
      </c>
      <c r="G170">
        <f>SUM(FishSumAllPRN!G170)</f>
        <v>8</v>
      </c>
      <c r="H170" s="54" t="s">
        <v>294</v>
      </c>
      <c r="I170" s="54"/>
    </row>
    <row r="171" spans="1:9" x14ac:dyDescent="0.2">
      <c r="A171" t="s">
        <v>2091</v>
      </c>
      <c r="B171">
        <f>SUM(FishSumAllPRN!B171)</f>
        <v>0</v>
      </c>
      <c r="C171">
        <f>SUM(FishSumAllPRN!C171)</f>
        <v>0</v>
      </c>
      <c r="D171">
        <f>SUM(FishSumAllPRN!D171)</f>
        <v>0</v>
      </c>
      <c r="E171">
        <f>SUM(FishSumAllPRN!E171)</f>
        <v>1362</v>
      </c>
      <c r="F171">
        <f>SUM(FishSumAllPRN!F171)</f>
        <v>836</v>
      </c>
      <c r="G171">
        <f>SUM(FishSumAllPRN!G171)</f>
        <v>2198</v>
      </c>
      <c r="H171" s="54" t="s">
        <v>294</v>
      </c>
      <c r="I171" s="54"/>
    </row>
    <row r="172" spans="1:9" x14ac:dyDescent="0.2">
      <c r="A172" t="s">
        <v>2097</v>
      </c>
      <c r="B172">
        <f>SUM(FishSumAllPRN!B172)</f>
        <v>0</v>
      </c>
      <c r="C172">
        <f>SUM(FishSumAllPRN!C172)</f>
        <v>0</v>
      </c>
      <c r="D172">
        <f>SUM(FishSumAllPRN!D172)</f>
        <v>0</v>
      </c>
      <c r="E172">
        <f>SUM(FishSumAllPRN!E172)</f>
        <v>0</v>
      </c>
      <c r="F172">
        <f>SUM(FishSumAllPRN!F172)</f>
        <v>1465</v>
      </c>
      <c r="G172">
        <f>SUM(FishSumAllPRN!G172)</f>
        <v>1465</v>
      </c>
      <c r="H172" s="54" t="s">
        <v>294</v>
      </c>
      <c r="I172" s="54"/>
    </row>
    <row r="173" spans="1:9" x14ac:dyDescent="0.2">
      <c r="A173" t="s">
        <v>2101</v>
      </c>
      <c r="B173">
        <f>SUM(FishSumAllPRN!B173)</f>
        <v>0</v>
      </c>
      <c r="C173">
        <f>SUM(FishSumAllPRN!C173)</f>
        <v>0</v>
      </c>
      <c r="D173">
        <f>SUM(FishSumAllPRN!D173)</f>
        <v>0</v>
      </c>
      <c r="E173">
        <f>SUM(FishSumAllPRN!E173)</f>
        <v>0</v>
      </c>
      <c r="F173">
        <f>SUM(FishSumAllPRN!F173)</f>
        <v>1200</v>
      </c>
      <c r="G173">
        <f>SUM(FishSumAllPRN!G173)</f>
        <v>1200</v>
      </c>
      <c r="H173" s="54" t="s">
        <v>294</v>
      </c>
      <c r="I173" s="54"/>
    </row>
    <row r="174" spans="1:9" x14ac:dyDescent="0.2">
      <c r="A174" t="s">
        <v>2104</v>
      </c>
      <c r="B174">
        <f>SUM(FishSumAllPRN!B174)</f>
        <v>0</v>
      </c>
      <c r="C174">
        <f>SUM(FishSumAllPRN!C174)</f>
        <v>0</v>
      </c>
      <c r="D174">
        <f>SUM(FishSumAllPRN!D174)</f>
        <v>0</v>
      </c>
      <c r="E174">
        <f>SUM(FishSumAllPRN!E174)</f>
        <v>0</v>
      </c>
      <c r="F174">
        <f>SUM(FishSumAllPRN!F174)</f>
        <v>0</v>
      </c>
      <c r="G174">
        <f>SUM(FishSumAllPRN!G174)</f>
        <v>0</v>
      </c>
      <c r="H174" s="54" t="s">
        <v>294</v>
      </c>
      <c r="I174" s="54"/>
    </row>
    <row r="175" spans="1:9" x14ac:dyDescent="0.2">
      <c r="A175" t="s">
        <v>5764</v>
      </c>
      <c r="B175">
        <f>SUM(FishSumAllPRN!B175)</f>
        <v>0</v>
      </c>
      <c r="C175">
        <f>SUM(FishSumAllPRN!C175)</f>
        <v>0</v>
      </c>
      <c r="D175">
        <f>SUM(FishSumAllPRN!D175)</f>
        <v>0</v>
      </c>
      <c r="E175">
        <f>SUM(FishSumAllPRN!E175)</f>
        <v>0</v>
      </c>
      <c r="F175">
        <f>SUM(FishSumAllPRN!F175)</f>
        <v>1939</v>
      </c>
      <c r="G175">
        <f>SUM(FishSumAllPRN!G175)</f>
        <v>1939</v>
      </c>
      <c r="H175" s="54" t="s">
        <v>294</v>
      </c>
      <c r="I175" s="54"/>
    </row>
    <row r="176" spans="1:9" x14ac:dyDescent="0.2">
      <c r="A176" t="s">
        <v>2110</v>
      </c>
      <c r="B176">
        <f>SUM(FishSumAllPRN!B176)</f>
        <v>0</v>
      </c>
      <c r="C176">
        <f>SUM(FishSumAllPRN!C176)</f>
        <v>0</v>
      </c>
      <c r="D176">
        <f>SUM(FishSumAllPRN!D176)</f>
        <v>0</v>
      </c>
      <c r="E176">
        <f>SUM(FishSumAllPRN!E176)</f>
        <v>0</v>
      </c>
      <c r="F176">
        <f>SUM(FishSumAllPRN!F176)</f>
        <v>0</v>
      </c>
      <c r="G176">
        <f>SUM(FishSumAllPRN!G176)</f>
        <v>0</v>
      </c>
      <c r="H176" s="54" t="s">
        <v>294</v>
      </c>
      <c r="I176" s="54"/>
    </row>
    <row r="177" spans="1:9" x14ac:dyDescent="0.2">
      <c r="A177" t="s">
        <v>2113</v>
      </c>
      <c r="B177">
        <f>SUM(FishSumAllPRN!B177)</f>
        <v>0</v>
      </c>
      <c r="C177">
        <f>SUM(FishSumAllPRN!C177)</f>
        <v>0</v>
      </c>
      <c r="D177">
        <f>SUM(FishSumAllPRN!D177)</f>
        <v>0</v>
      </c>
      <c r="E177">
        <f>SUM(FishSumAllPRN!E177)</f>
        <v>0</v>
      </c>
      <c r="F177">
        <f>SUM(FishSumAllPRN!F177)</f>
        <v>0</v>
      </c>
      <c r="G177">
        <f>SUM(FishSumAllPRN!G177)</f>
        <v>0</v>
      </c>
      <c r="H177" s="54" t="s">
        <v>294</v>
      </c>
      <c r="I177" s="54"/>
    </row>
    <row r="178" spans="1:9" x14ac:dyDescent="0.2">
      <c r="A178" t="s">
        <v>4346</v>
      </c>
      <c r="B178">
        <f>SUM(FishSumAllPRN!B178)</f>
        <v>0</v>
      </c>
      <c r="C178">
        <f>SUM(FishSumAllPRN!C178)</f>
        <v>0</v>
      </c>
      <c r="D178">
        <f>SUM(FishSumAllPRN!D178)</f>
        <v>0</v>
      </c>
      <c r="E178">
        <f>SUM(FishSumAllPRN!E178)</f>
        <v>0</v>
      </c>
      <c r="F178">
        <f>SUM(FishSumAllPRN!F178)</f>
        <v>1032</v>
      </c>
      <c r="G178">
        <f>SUM(FishSumAllPRN!G178)</f>
        <v>1032</v>
      </c>
      <c r="H178" s="54" t="s">
        <v>294</v>
      </c>
      <c r="I178" s="54"/>
    </row>
    <row r="179" spans="1:9" x14ac:dyDescent="0.2">
      <c r="A179" t="s">
        <v>4347</v>
      </c>
      <c r="B179">
        <f>SUM(FishSumAllPRN!B179)</f>
        <v>0</v>
      </c>
      <c r="C179">
        <f>SUM(FishSumAllPRN!C179)</f>
        <v>0</v>
      </c>
      <c r="D179">
        <f>SUM(FishSumAllPRN!D179)</f>
        <v>0</v>
      </c>
      <c r="E179">
        <f>SUM(FishSumAllPRN!E179)</f>
        <v>0</v>
      </c>
      <c r="F179">
        <f>SUM(FishSumAllPRN!F179)</f>
        <v>962</v>
      </c>
      <c r="G179">
        <f>SUM(FishSumAllPRN!G179)</f>
        <v>962</v>
      </c>
      <c r="H179" s="54" t="s">
        <v>294</v>
      </c>
      <c r="I179" s="54"/>
    </row>
    <row r="180" spans="1:9" x14ac:dyDescent="0.2">
      <c r="A180" s="365" t="s">
        <v>4348</v>
      </c>
      <c r="B180" s="365">
        <f>SUM(FishSumAllPRN!B180)</f>
        <v>0</v>
      </c>
      <c r="C180" s="365">
        <f>SUM(FishSumAllPRN!C180)</f>
        <v>0</v>
      </c>
      <c r="D180" s="365">
        <f>SUM(FishSumAllPRN!D180)</f>
        <v>0</v>
      </c>
      <c r="E180" s="365">
        <f>SUM(FishSumAllPRN!E180)</f>
        <v>0</v>
      </c>
      <c r="F180" s="365">
        <f>SUM(FishSumAllPRN!F180)</f>
        <v>0</v>
      </c>
      <c r="G180" s="365">
        <f>SUM(FishSumAllPRN!G180)</f>
        <v>0</v>
      </c>
      <c r="H180" s="54" t="s">
        <v>294</v>
      </c>
      <c r="I180" s="54"/>
    </row>
    <row r="181" spans="1:9" x14ac:dyDescent="0.2">
      <c r="A181" s="365" t="s">
        <v>4349</v>
      </c>
      <c r="B181" s="365">
        <f>SUM(FishSumAllPRN!B181)</f>
        <v>0</v>
      </c>
      <c r="C181" s="365">
        <f>SUM(FishSumAllPRN!C181)</f>
        <v>0</v>
      </c>
      <c r="D181" s="365">
        <f>SUM(FishSumAllPRN!D181)</f>
        <v>0</v>
      </c>
      <c r="E181" s="365">
        <f>SUM(FishSumAllPRN!E181)</f>
        <v>0</v>
      </c>
      <c r="F181" s="365">
        <f>SUM(FishSumAllPRN!F181)</f>
        <v>0</v>
      </c>
      <c r="G181" s="365">
        <f>SUM(FishSumAllPRN!G181)</f>
        <v>0</v>
      </c>
      <c r="H181" s="54"/>
      <c r="I181" s="54"/>
    </row>
    <row r="182" spans="1:9" x14ac:dyDescent="0.2">
      <c r="A182" t="s">
        <v>4350</v>
      </c>
      <c r="B182">
        <f>SUM(FishSumAllPRN!B182)</f>
        <v>0</v>
      </c>
      <c r="C182">
        <f>SUM(FishSumAllPRN!C182)</f>
        <v>15463</v>
      </c>
      <c r="D182">
        <f>SUM(FishSumAllPRN!D182)</f>
        <v>63281</v>
      </c>
      <c r="E182">
        <f>SUM(FishSumAllPRN!E182)</f>
        <v>1499</v>
      </c>
      <c r="F182">
        <f>SUM(FishSumAllPRN!F182)</f>
        <v>0</v>
      </c>
      <c r="G182">
        <f>SUM(FishSumAllPRN!G182)</f>
        <v>80243</v>
      </c>
      <c r="H182" s="54" t="s">
        <v>294</v>
      </c>
      <c r="I182" s="54"/>
    </row>
    <row r="183" spans="1:9" x14ac:dyDescent="0.2">
      <c r="A183" t="s">
        <v>4351</v>
      </c>
      <c r="B183">
        <f>SUM(FishSumAllPRN!B183)</f>
        <v>0</v>
      </c>
      <c r="C183">
        <f>SUM(FishSumAllPRN!C183)</f>
        <v>0</v>
      </c>
      <c r="D183">
        <f>SUM(FishSumAllPRN!D183)</f>
        <v>0</v>
      </c>
      <c r="E183">
        <f>SUM(FishSumAllPRN!E183)</f>
        <v>0</v>
      </c>
      <c r="F183">
        <f>SUM(FishSumAllPRN!F183)</f>
        <v>0</v>
      </c>
      <c r="G183">
        <f>SUM(FishSumAllPRN!G183)</f>
        <v>0</v>
      </c>
      <c r="H183" s="54" t="s">
        <v>294</v>
      </c>
      <c r="I183" s="54"/>
    </row>
    <row r="184" spans="1:9" x14ac:dyDescent="0.2">
      <c r="A184" t="s">
        <v>4352</v>
      </c>
      <c r="B184">
        <f>SUM(FishSumAllPRN!B184)</f>
        <v>0</v>
      </c>
      <c r="C184">
        <f>SUM(FishSumAllPRN!C184)</f>
        <v>0</v>
      </c>
      <c r="D184">
        <f>SUM(FishSumAllPRN!D184)</f>
        <v>0</v>
      </c>
      <c r="E184">
        <f>SUM(FishSumAllPRN!E184)</f>
        <v>0</v>
      </c>
      <c r="F184">
        <f>SUM(FishSumAllPRN!F184)</f>
        <v>0</v>
      </c>
      <c r="G184">
        <f>SUM(FishSumAllPRN!G184)</f>
        <v>0</v>
      </c>
      <c r="H184" s="54" t="s">
        <v>294</v>
      </c>
      <c r="I184" s="54"/>
    </row>
    <row r="185" spans="1:9" x14ac:dyDescent="0.2">
      <c r="A185" t="s">
        <v>4353</v>
      </c>
      <c r="B185">
        <f>SUM(FishSumAllPRN!B185)</f>
        <v>25</v>
      </c>
      <c r="C185">
        <f>SUM(FishSumAllPRN!C185)</f>
        <v>4081</v>
      </c>
      <c r="D185">
        <f>SUM(FishSumAllPRN!D185)</f>
        <v>1677</v>
      </c>
      <c r="E185">
        <f>SUM(FishSumAllPRN!E185)</f>
        <v>2</v>
      </c>
      <c r="F185">
        <f>SUM(FishSumAllPRN!F185)</f>
        <v>0</v>
      </c>
      <c r="G185">
        <f>SUM(FishSumAllPRN!G185)</f>
        <v>5785</v>
      </c>
      <c r="H185" s="54" t="s">
        <v>294</v>
      </c>
      <c r="I185" s="54"/>
    </row>
    <row r="186" spans="1:9" x14ac:dyDescent="0.2">
      <c r="A186" t="s">
        <v>4354</v>
      </c>
      <c r="B186">
        <f>SUM(FishSumAllPRN!B186)</f>
        <v>134</v>
      </c>
      <c r="C186">
        <f>SUM(FishSumAllPRN!C186)</f>
        <v>2244</v>
      </c>
      <c r="D186">
        <f>SUM(FishSumAllPRN!D186)</f>
        <v>768</v>
      </c>
      <c r="E186">
        <f>SUM(FishSumAllPRN!E186)</f>
        <v>0</v>
      </c>
      <c r="F186">
        <f>SUM(FishSumAllPRN!F186)</f>
        <v>0</v>
      </c>
      <c r="G186">
        <f>SUM(FishSumAllPRN!G186)</f>
        <v>3145</v>
      </c>
      <c r="H186" s="54" t="s">
        <v>294</v>
      </c>
      <c r="I186" s="54"/>
    </row>
    <row r="187" spans="1:9" x14ac:dyDescent="0.2">
      <c r="A187" t="s">
        <v>4355</v>
      </c>
      <c r="B187">
        <f>SUM(FishSumAllPRN!B187)</f>
        <v>0</v>
      </c>
      <c r="C187">
        <f>SUM(FishSumAllPRN!C187)</f>
        <v>0</v>
      </c>
      <c r="D187">
        <f>SUM(FishSumAllPRN!D187)</f>
        <v>0</v>
      </c>
      <c r="E187">
        <f>SUM(FishSumAllPRN!E187)</f>
        <v>0</v>
      </c>
      <c r="F187">
        <f>SUM(FishSumAllPRN!F187)</f>
        <v>0</v>
      </c>
      <c r="G187">
        <f>SUM(FishSumAllPRN!G187)</f>
        <v>0</v>
      </c>
      <c r="H187" s="54" t="s">
        <v>294</v>
      </c>
      <c r="I187" s="54"/>
    </row>
    <row r="188" spans="1:9" x14ac:dyDescent="0.2">
      <c r="A188" t="s">
        <v>4356</v>
      </c>
      <c r="B188">
        <f>SUM(FishSumAllPRN!B188)</f>
        <v>0</v>
      </c>
      <c r="C188">
        <f>SUM(FishSumAllPRN!C188)</f>
        <v>0</v>
      </c>
      <c r="D188">
        <f>SUM(FishSumAllPRN!D188)</f>
        <v>0</v>
      </c>
      <c r="E188">
        <f>SUM(FishSumAllPRN!E188)</f>
        <v>0</v>
      </c>
      <c r="F188">
        <f>SUM(FishSumAllPRN!F188)</f>
        <v>0</v>
      </c>
      <c r="G188">
        <f>SUM(FishSumAllPRN!G188)</f>
        <v>0</v>
      </c>
      <c r="H188" s="54" t="s">
        <v>294</v>
      </c>
      <c r="I188" s="54"/>
    </row>
    <row r="189" spans="1:9" x14ac:dyDescent="0.2">
      <c r="A189" t="s">
        <v>4357</v>
      </c>
      <c r="B189">
        <f>SUM(FishSumAllPRN!B189)</f>
        <v>113</v>
      </c>
      <c r="C189">
        <f>SUM(FishSumAllPRN!C189)</f>
        <v>8960</v>
      </c>
      <c r="D189">
        <f>SUM(FishSumAllPRN!D189)</f>
        <v>6097</v>
      </c>
      <c r="E189">
        <f>SUM(FishSumAllPRN!E189)</f>
        <v>0</v>
      </c>
      <c r="F189">
        <f>SUM(FishSumAllPRN!F189)</f>
        <v>0</v>
      </c>
      <c r="G189">
        <f>SUM(FishSumAllPRN!G189)</f>
        <v>15171</v>
      </c>
      <c r="H189" s="54" t="s">
        <v>294</v>
      </c>
      <c r="I189" s="54"/>
    </row>
    <row r="190" spans="1:9" x14ac:dyDescent="0.2">
      <c r="A190" t="s">
        <v>4358</v>
      </c>
      <c r="B190">
        <f>SUM(FishSumAllPRN!B190)</f>
        <v>0</v>
      </c>
      <c r="C190">
        <f>SUM(FishSumAllPRN!C190)</f>
        <v>0</v>
      </c>
      <c r="D190">
        <f>SUM(FishSumAllPRN!D190)</f>
        <v>0</v>
      </c>
      <c r="E190">
        <f>SUM(FishSumAllPRN!E190)</f>
        <v>0</v>
      </c>
      <c r="F190">
        <f>SUM(FishSumAllPRN!F190)</f>
        <v>0</v>
      </c>
      <c r="G190">
        <f>SUM(FishSumAllPRN!G190)</f>
        <v>0</v>
      </c>
      <c r="H190" s="54" t="s">
        <v>294</v>
      </c>
      <c r="I190" s="54"/>
    </row>
    <row r="191" spans="1:9" x14ac:dyDescent="0.2">
      <c r="A191" t="s">
        <v>4359</v>
      </c>
      <c r="B191">
        <f>SUM(FishSumAllPRN!B191)</f>
        <v>0</v>
      </c>
      <c r="C191">
        <f>SUM(FishSumAllPRN!C191)</f>
        <v>0</v>
      </c>
      <c r="D191">
        <f>SUM(FishSumAllPRN!D191)</f>
        <v>0</v>
      </c>
      <c r="E191">
        <f>SUM(FishSumAllPRN!E191)</f>
        <v>0</v>
      </c>
      <c r="F191">
        <f>SUM(FishSumAllPRN!F191)</f>
        <v>0</v>
      </c>
      <c r="G191">
        <f>SUM(FishSumAllPRN!G191)</f>
        <v>0</v>
      </c>
      <c r="H191" s="54" t="s">
        <v>294</v>
      </c>
      <c r="I191" s="54"/>
    </row>
    <row r="192" spans="1:9" x14ac:dyDescent="0.2">
      <c r="A192" t="s">
        <v>4360</v>
      </c>
      <c r="B192">
        <f>SUM(FishSumAllPRN!B192)</f>
        <v>2</v>
      </c>
      <c r="C192">
        <f>SUM(FishSumAllPRN!C192)</f>
        <v>4</v>
      </c>
      <c r="D192">
        <f>SUM(FishSumAllPRN!D192)</f>
        <v>267</v>
      </c>
      <c r="E192">
        <f>SUM(FishSumAllPRN!E192)</f>
        <v>106</v>
      </c>
      <c r="F192">
        <f>SUM(FishSumAllPRN!F192)</f>
        <v>0</v>
      </c>
      <c r="G192">
        <f>SUM(FishSumAllPRN!G192)</f>
        <v>379</v>
      </c>
      <c r="H192" s="54" t="s">
        <v>294</v>
      </c>
      <c r="I192" s="54"/>
    </row>
    <row r="193" spans="1:9" x14ac:dyDescent="0.2">
      <c r="A193" t="s">
        <v>4361</v>
      </c>
      <c r="B193">
        <f>SUM(FishSumAllPRN!B193)</f>
        <v>0</v>
      </c>
      <c r="C193">
        <f>SUM(FishSumAllPRN!C193)</f>
        <v>0</v>
      </c>
      <c r="D193">
        <f>SUM(FishSumAllPRN!D193)</f>
        <v>0</v>
      </c>
      <c r="E193">
        <f>SUM(FishSumAllPRN!E193)</f>
        <v>0</v>
      </c>
      <c r="F193">
        <f>SUM(FishSumAllPRN!F193)</f>
        <v>0</v>
      </c>
      <c r="G193">
        <f>SUM(FishSumAllPRN!G193)</f>
        <v>0</v>
      </c>
      <c r="H193" s="54" t="s">
        <v>294</v>
      </c>
      <c r="I193" s="54"/>
    </row>
    <row r="194" spans="1:9" x14ac:dyDescent="0.2">
      <c r="A194" t="s">
        <v>4362</v>
      </c>
      <c r="B194">
        <f>SUM(FishSumAllPRN!B194)</f>
        <v>0</v>
      </c>
      <c r="C194">
        <f>SUM(FishSumAllPRN!C194)</f>
        <v>0</v>
      </c>
      <c r="D194">
        <f>SUM(FishSumAllPRN!D194)</f>
        <v>0</v>
      </c>
      <c r="E194">
        <f>SUM(FishSumAllPRN!E194)</f>
        <v>0</v>
      </c>
      <c r="F194">
        <f>SUM(FishSumAllPRN!F194)</f>
        <v>0</v>
      </c>
      <c r="G194">
        <f>SUM(FishSumAllPRN!G194)</f>
        <v>0</v>
      </c>
      <c r="H194" s="54" t="s">
        <v>294</v>
      </c>
      <c r="I194" s="54"/>
    </row>
    <row r="195" spans="1:9" x14ac:dyDescent="0.2">
      <c r="A195" t="s">
        <v>4363</v>
      </c>
      <c r="B195">
        <f>SUM(FishSumAllPRN!B195)</f>
        <v>0</v>
      </c>
      <c r="C195">
        <f>SUM(FishSumAllPRN!C195)</f>
        <v>0</v>
      </c>
      <c r="D195">
        <f>SUM(FishSumAllPRN!D195)</f>
        <v>0</v>
      </c>
      <c r="E195">
        <f>SUM(FishSumAllPRN!E195)</f>
        <v>0</v>
      </c>
      <c r="F195">
        <f>SUM(FishSumAllPRN!F195)</f>
        <v>0</v>
      </c>
      <c r="G195">
        <f>SUM(FishSumAllPRN!G195)</f>
        <v>0</v>
      </c>
      <c r="H195" s="54" t="s">
        <v>294</v>
      </c>
      <c r="I195" s="54"/>
    </row>
    <row r="196" spans="1:9" x14ac:dyDescent="0.2">
      <c r="A196" t="s">
        <v>4364</v>
      </c>
      <c r="B196">
        <f>SUM(FishSumAllPRN!B196)</f>
        <v>0</v>
      </c>
      <c r="C196">
        <f>SUM(FishSumAllPRN!C196)</f>
        <v>0</v>
      </c>
      <c r="D196">
        <f>SUM(FishSumAllPRN!D196)</f>
        <v>0</v>
      </c>
      <c r="E196">
        <f>SUM(FishSumAllPRN!E196)</f>
        <v>0</v>
      </c>
      <c r="F196">
        <f>SUM(FishSumAllPRN!F196)</f>
        <v>0</v>
      </c>
      <c r="G196">
        <f>SUM(FishSumAllPRN!G196)</f>
        <v>0</v>
      </c>
      <c r="H196" s="54" t="s">
        <v>294</v>
      </c>
      <c r="I196" s="54"/>
    </row>
    <row r="197" spans="1:9" x14ac:dyDescent="0.2">
      <c r="A197" s="365" t="s">
        <v>4365</v>
      </c>
      <c r="B197" s="365">
        <f>SUM(FishSumAllPRN!B197)</f>
        <v>57</v>
      </c>
      <c r="C197" s="365">
        <f>SUM(FishSumAllPRN!C197)</f>
        <v>2119</v>
      </c>
      <c r="D197" s="365">
        <f>SUM(FishSumAllPRN!D197)</f>
        <v>1411</v>
      </c>
      <c r="E197" s="365">
        <f>SUM(FishSumAllPRN!E197)</f>
        <v>0</v>
      </c>
      <c r="F197" s="365">
        <f>SUM(FishSumAllPRN!F197)</f>
        <v>0</v>
      </c>
      <c r="G197" s="365">
        <f>SUM(FishSumAllPRN!G197)</f>
        <v>3587</v>
      </c>
      <c r="H197" s="54"/>
      <c r="I197" s="54"/>
    </row>
    <row r="198" spans="1:9" x14ac:dyDescent="0.2">
      <c r="A198" t="s">
        <v>4366</v>
      </c>
      <c r="B198">
        <f>SUM(FishSumAllPRN!B198)</f>
        <v>2053</v>
      </c>
      <c r="C198">
        <f>SUM(FishSumAllPRN!C198)</f>
        <v>31720</v>
      </c>
      <c r="D198">
        <f>SUM(FishSumAllPRN!D198)</f>
        <v>16296</v>
      </c>
      <c r="E198">
        <f>SUM(FishSumAllPRN!E198)</f>
        <v>1757</v>
      </c>
      <c r="F198">
        <f>SUM(FishSumAllPRN!F198)</f>
        <v>0</v>
      </c>
      <c r="G198">
        <f>SUM(FishSumAllPRN!G198)</f>
        <v>51826</v>
      </c>
      <c r="H198" s="54" t="s">
        <v>294</v>
      </c>
      <c r="I198" s="54"/>
    </row>
    <row r="199" spans="1:9" x14ac:dyDescent="0.2">
      <c r="A199" t="s">
        <v>4367</v>
      </c>
      <c r="B199">
        <f>SUM(FishSumAllPRN!B199)</f>
        <v>78</v>
      </c>
      <c r="C199">
        <f>SUM(FishSumAllPRN!C199)</f>
        <v>1367</v>
      </c>
      <c r="D199">
        <f>SUM(FishSumAllPRN!D199)</f>
        <v>3650</v>
      </c>
      <c r="E199">
        <f>SUM(FishSumAllPRN!E199)</f>
        <v>302</v>
      </c>
      <c r="F199">
        <f>SUM(FishSumAllPRN!F199)</f>
        <v>0</v>
      </c>
      <c r="G199">
        <f>SUM(FishSumAllPRN!G199)</f>
        <v>5396</v>
      </c>
      <c r="H199" s="54" t="s">
        <v>294</v>
      </c>
      <c r="I199" s="54"/>
    </row>
    <row r="200" spans="1:9" x14ac:dyDescent="0.2">
      <c r="A200" t="s">
        <v>4368</v>
      </c>
      <c r="B200">
        <f>SUM(FishSumAllPRN!B200)</f>
        <v>613</v>
      </c>
      <c r="C200">
        <f>SUM(FishSumAllPRN!C200)</f>
        <v>2041</v>
      </c>
      <c r="D200">
        <f>SUM(FishSumAllPRN!D200)</f>
        <v>3751</v>
      </c>
      <c r="E200">
        <f>SUM(FishSumAllPRN!E200)</f>
        <v>5843</v>
      </c>
      <c r="F200">
        <f>SUM(FishSumAllPRN!F200)</f>
        <v>1221</v>
      </c>
      <c r="G200">
        <f>SUM(FishSumAllPRN!G200)</f>
        <v>13468</v>
      </c>
      <c r="H200" s="54" t="s">
        <v>294</v>
      </c>
      <c r="I200" s="54"/>
    </row>
    <row r="201" spans="1:9" x14ac:dyDescent="0.2">
      <c r="A201" t="s">
        <v>4369</v>
      </c>
      <c r="B201">
        <f>SUM(FishSumAllPRN!B201)</f>
        <v>765</v>
      </c>
      <c r="C201">
        <f>SUM(FishSumAllPRN!C201)</f>
        <v>3953</v>
      </c>
      <c r="D201">
        <f>SUM(FishSumAllPRN!D201)</f>
        <v>11696</v>
      </c>
      <c r="E201">
        <f>SUM(FishSumAllPRN!E201)</f>
        <v>3174</v>
      </c>
      <c r="F201">
        <f>SUM(FishSumAllPRN!F201)</f>
        <v>0</v>
      </c>
      <c r="G201">
        <f>SUM(FishSumAllPRN!G201)</f>
        <v>19589</v>
      </c>
      <c r="H201" s="54" t="s">
        <v>294</v>
      </c>
      <c r="I201" s="54"/>
    </row>
    <row r="202" spans="1:9" x14ac:dyDescent="0.2">
      <c r="A202" t="s">
        <v>4370</v>
      </c>
      <c r="B202">
        <f>SUM(FishSumAllPRN!B202)</f>
        <v>2786</v>
      </c>
      <c r="C202">
        <f>SUM(FishSumAllPRN!C202)</f>
        <v>2705</v>
      </c>
      <c r="D202">
        <f>SUM(FishSumAllPRN!D202)</f>
        <v>2417</v>
      </c>
      <c r="E202">
        <f>SUM(FishSumAllPRN!E202)</f>
        <v>284</v>
      </c>
      <c r="F202">
        <f>SUM(FishSumAllPRN!F202)</f>
        <v>0</v>
      </c>
      <c r="G202">
        <f>SUM(FishSumAllPRN!G202)</f>
        <v>8191</v>
      </c>
      <c r="H202" s="54" t="s">
        <v>294</v>
      </c>
      <c r="I202" s="54"/>
    </row>
    <row r="203" spans="1:9" x14ac:dyDescent="0.2">
      <c r="A203" t="s">
        <v>4371</v>
      </c>
      <c r="B203">
        <f>SUM(FishSumAllPRN!B203)</f>
        <v>541</v>
      </c>
      <c r="C203">
        <f>SUM(FishSumAllPRN!C203)</f>
        <v>745</v>
      </c>
      <c r="D203">
        <f>SUM(FishSumAllPRN!D203)</f>
        <v>1354</v>
      </c>
      <c r="E203">
        <f>SUM(FishSumAllPRN!E203)</f>
        <v>548</v>
      </c>
      <c r="F203">
        <f>SUM(FishSumAllPRN!F203)</f>
        <v>0</v>
      </c>
      <c r="G203">
        <f>SUM(FishSumAllPRN!G203)</f>
        <v>3188</v>
      </c>
      <c r="H203" s="54" t="s">
        <v>294</v>
      </c>
      <c r="I203" s="54"/>
    </row>
    <row r="204" spans="1:9" x14ac:dyDescent="0.2">
      <c r="A204" t="s">
        <v>4372</v>
      </c>
      <c r="B204">
        <f>SUM(FishSumAllPRN!B204)</f>
        <v>0</v>
      </c>
      <c r="C204">
        <f>SUM(FishSumAllPRN!C204)</f>
        <v>0</v>
      </c>
      <c r="D204">
        <f>SUM(FishSumAllPRN!D204)</f>
        <v>0</v>
      </c>
      <c r="E204">
        <f>SUM(FishSumAllPRN!E204)</f>
        <v>0</v>
      </c>
      <c r="F204">
        <f>SUM(FishSumAllPRN!F204)</f>
        <v>0</v>
      </c>
      <c r="G204">
        <f>SUM(FishSumAllPRN!G204)</f>
        <v>0</v>
      </c>
      <c r="H204" s="54" t="s">
        <v>294</v>
      </c>
      <c r="I204" s="54"/>
    </row>
    <row r="205" spans="1:9" x14ac:dyDescent="0.2">
      <c r="A205" t="s">
        <v>4373</v>
      </c>
      <c r="B205">
        <f>SUM(FishSumAllPRN!B205)</f>
        <v>3050</v>
      </c>
      <c r="C205">
        <f>SUM(FishSumAllPRN!C205)</f>
        <v>109476</v>
      </c>
      <c r="D205">
        <f>SUM(FishSumAllPRN!D205)</f>
        <v>92434</v>
      </c>
      <c r="E205">
        <f>SUM(FishSumAllPRN!E205)</f>
        <v>9844</v>
      </c>
      <c r="F205">
        <f>SUM(FishSumAllPRN!F205)</f>
        <v>0</v>
      </c>
      <c r="G205">
        <f>SUM(FishSumAllPRN!G205)</f>
        <v>214804</v>
      </c>
      <c r="H205" s="54" t="s">
        <v>294</v>
      </c>
      <c r="I205" s="54"/>
    </row>
    <row r="206" spans="1:9" x14ac:dyDescent="0.2">
      <c r="A206" t="s">
        <v>4374</v>
      </c>
      <c r="B206">
        <f>SUM(FishSumAllPRN!B206)</f>
        <v>1263</v>
      </c>
      <c r="C206">
        <f>SUM(FishSumAllPRN!C206)</f>
        <v>21697</v>
      </c>
      <c r="D206">
        <f>SUM(FishSumAllPRN!D206)</f>
        <v>44362</v>
      </c>
      <c r="E206">
        <f>SUM(FishSumAllPRN!E206)</f>
        <v>42058</v>
      </c>
      <c r="F206">
        <f>SUM(FishSumAllPRN!F206)</f>
        <v>0</v>
      </c>
      <c r="G206">
        <f>SUM(FishSumAllPRN!G206)</f>
        <v>109379</v>
      </c>
      <c r="H206" s="54" t="s">
        <v>294</v>
      </c>
      <c r="I206" s="54"/>
    </row>
    <row r="207" spans="1:9" x14ac:dyDescent="0.2">
      <c r="A207" t="s">
        <v>4375</v>
      </c>
      <c r="B207">
        <f>SUM(FishSumAllPRN!B207)</f>
        <v>9324</v>
      </c>
      <c r="C207">
        <f>SUM(FishSumAllPRN!C207)</f>
        <v>265374</v>
      </c>
      <c r="D207">
        <f>SUM(FishSumAllPRN!D207)</f>
        <v>360804</v>
      </c>
      <c r="E207">
        <f>SUM(FishSumAllPRN!E207)</f>
        <v>140986</v>
      </c>
      <c r="F207">
        <f>SUM(FishSumAllPRN!F207)</f>
        <v>0</v>
      </c>
      <c r="G207">
        <f>SUM(FishSumAllPRN!G207)</f>
        <v>776489</v>
      </c>
      <c r="H207" s="54" t="s">
        <v>294</v>
      </c>
      <c r="I207" s="54"/>
    </row>
    <row r="208" spans="1:9" x14ac:dyDescent="0.2">
      <c r="A208" t="s">
        <v>4376</v>
      </c>
      <c r="B208">
        <f>SUM(FishSumAllPRN!B208)</f>
        <v>488</v>
      </c>
      <c r="C208">
        <f>SUM(FishSumAllPRN!C208)</f>
        <v>42399</v>
      </c>
      <c r="D208">
        <f>SUM(FishSumAllPRN!D208)</f>
        <v>49977</v>
      </c>
      <c r="E208">
        <f>SUM(FishSumAllPRN!E208)</f>
        <v>11707</v>
      </c>
      <c r="F208">
        <f>SUM(FishSumAllPRN!F208)</f>
        <v>0</v>
      </c>
      <c r="G208">
        <f>SUM(FishSumAllPRN!G208)</f>
        <v>104570</v>
      </c>
      <c r="H208" s="54" t="s">
        <v>294</v>
      </c>
      <c r="I208" s="54"/>
    </row>
    <row r="209" spans="1:45" x14ac:dyDescent="0.2">
      <c r="A209" t="s">
        <v>4377</v>
      </c>
      <c r="B209">
        <f>SUM(FishSumAllPRN!B209)</f>
        <v>2551</v>
      </c>
      <c r="C209">
        <f>SUM(FishSumAllPRN!C209)</f>
        <v>79765</v>
      </c>
      <c r="D209">
        <f>SUM(FishSumAllPRN!D209)</f>
        <v>315815</v>
      </c>
      <c r="E209">
        <f>SUM(FishSumAllPRN!E209)</f>
        <v>376890</v>
      </c>
      <c r="F209">
        <f>SUM(FishSumAllPRN!F209)</f>
        <v>0</v>
      </c>
      <c r="G209">
        <f>SUM(FishSumAllPRN!G209)</f>
        <v>775020</v>
      </c>
      <c r="H209" s="54" t="s">
        <v>294</v>
      </c>
      <c r="I209" s="54"/>
    </row>
    <row r="211" spans="1:45" x14ac:dyDescent="0.2">
      <c r="K211" s="37" t="s">
        <v>5613</v>
      </c>
    </row>
    <row r="212" spans="1:45" x14ac:dyDescent="0.2">
      <c r="W212">
        <f>G211</f>
        <v>0</v>
      </c>
      <c r="X212">
        <f>H211</f>
        <v>0</v>
      </c>
    </row>
    <row r="213" spans="1:45" x14ac:dyDescent="0.2">
      <c r="A213" t="s">
        <v>4248</v>
      </c>
      <c r="K213" t="str">
        <f>A213</f>
        <v>_x000C_</v>
      </c>
      <c r="L213">
        <f t="shared" ref="L213:X216" si="115">B213</f>
        <v>0</v>
      </c>
      <c r="M213">
        <f t="shared" si="115"/>
        <v>0</v>
      </c>
      <c r="N213">
        <f t="shared" si="115"/>
        <v>0</v>
      </c>
      <c r="O213">
        <f t="shared" si="115"/>
        <v>0</v>
      </c>
      <c r="P213">
        <f t="shared" si="115"/>
        <v>0</v>
      </c>
      <c r="Q213">
        <f t="shared" si="115"/>
        <v>0</v>
      </c>
    </row>
    <row r="214" spans="1:45" x14ac:dyDescent="0.2">
      <c r="A214" t="str">
        <f>FishSumAllPRN!A211</f>
        <v>Species: COHO</v>
      </c>
      <c r="B214">
        <f>FishSumAllPRN!B211</f>
        <v>0</v>
      </c>
      <c r="C214" t="str">
        <f>FishSumAllPRN!C211</f>
        <v>Ver:2.22 Feb 25</v>
      </c>
      <c r="D214">
        <f>FishSumAllPRN!D211</f>
        <v>0</v>
      </c>
      <c r="E214">
        <f>FishSumAllPRN!E211</f>
        <v>0</v>
      </c>
      <c r="G214" t="str">
        <f>FishSumAllPRN!G211</f>
        <v>RunDate:4/12/2022 2:12:39 PM</v>
      </c>
      <c r="K214" t="str">
        <f>A214</f>
        <v>Species: COHO</v>
      </c>
      <c r="L214">
        <f t="shared" si="115"/>
        <v>0</v>
      </c>
      <c r="M214" t="str">
        <f t="shared" si="115"/>
        <v>Ver:2.22 Feb 25</v>
      </c>
      <c r="N214">
        <f t="shared" si="115"/>
        <v>0</v>
      </c>
      <c r="O214">
        <f t="shared" si="115"/>
        <v>0</v>
      </c>
      <c r="P214">
        <f t="shared" si="115"/>
        <v>0</v>
      </c>
      <c r="Q214" t="str">
        <f t="shared" si="115"/>
        <v>RunDate:4/12/2022 2:12:39 PM</v>
      </c>
      <c r="R214" t="str">
        <f>C214</f>
        <v>Ver:2.22 Feb 25</v>
      </c>
      <c r="S214">
        <f t="shared" ref="S214:V216" si="116">D214</f>
        <v>0</v>
      </c>
      <c r="T214">
        <f t="shared" si="116"/>
        <v>0</v>
      </c>
      <c r="V214" t="str">
        <f t="shared" si="116"/>
        <v>RunDate:4/12/2022 2:12:39 PM</v>
      </c>
      <c r="W214" t="str">
        <f t="shared" si="115"/>
        <v>Ver:2.22 Feb 25</v>
      </c>
      <c r="X214">
        <f t="shared" si="115"/>
        <v>0</v>
      </c>
    </row>
    <row r="215" spans="1:45" x14ac:dyDescent="0.2">
      <c r="A215" t="str">
        <f>FishSumAllPRN!A212</f>
        <v>Report: Fishery Summary</v>
      </c>
      <c r="B215">
        <f>FishSumAllPRN!B212</f>
        <v>0</v>
      </c>
      <c r="D215">
        <f>FishSumAllPRN!D212</f>
        <v>0</v>
      </c>
      <c r="E215">
        <f>FishSumAllPRN!E212</f>
        <v>0</v>
      </c>
      <c r="F215">
        <f>FishSumAllPRN!F212</f>
        <v>0</v>
      </c>
      <c r="G215" t="str">
        <f>FishSumAllPRN!G212</f>
        <v>RepDate:4/12/2022 2:12:40 PM</v>
      </c>
      <c r="K215" t="str">
        <f>A215</f>
        <v>Report: Fishery Summary</v>
      </c>
      <c r="L215">
        <f t="shared" si="115"/>
        <v>0</v>
      </c>
      <c r="M215">
        <f t="shared" si="115"/>
        <v>0</v>
      </c>
      <c r="N215">
        <f t="shared" si="115"/>
        <v>0</v>
      </c>
      <c r="O215">
        <f t="shared" si="115"/>
        <v>0</v>
      </c>
      <c r="P215">
        <f t="shared" si="115"/>
        <v>0</v>
      </c>
      <c r="Q215" t="str">
        <f t="shared" si="115"/>
        <v>RepDate:4/12/2022 2:12:40 PM</v>
      </c>
      <c r="R215">
        <f>C215</f>
        <v>0</v>
      </c>
      <c r="S215">
        <f t="shared" si="116"/>
        <v>0</v>
      </c>
      <c r="T215">
        <f t="shared" si="116"/>
        <v>0</v>
      </c>
      <c r="U215">
        <f t="shared" si="116"/>
        <v>0</v>
      </c>
      <c r="V215" t="str">
        <f t="shared" si="116"/>
        <v>RepDate:4/12/2022 2:12:40 PM</v>
      </c>
      <c r="W215">
        <f t="shared" si="115"/>
        <v>0</v>
      </c>
      <c r="X215">
        <f t="shared" si="115"/>
        <v>0</v>
      </c>
    </row>
    <row r="216" spans="1:45" ht="15.75" x14ac:dyDescent="0.25">
      <c r="A216" t="str">
        <f>FishSumAllPRN!A213</f>
        <v xml:space="preserve">Title:PFMC April 12 Final, TT 52K NT 200K </v>
      </c>
      <c r="B216">
        <f>FishSumAllPRN!B213</f>
        <v>0</v>
      </c>
      <c r="C216">
        <f>FishSumAllPRN!C213</f>
        <v>0</v>
      </c>
      <c r="D216">
        <f>FishSumAllPRN!D213</f>
        <v>0</v>
      </c>
      <c r="K216" t="str">
        <f>A216</f>
        <v xml:space="preserve">Title:PFMC April 12 Final, TT 52K NT 200K </v>
      </c>
      <c r="L216">
        <f t="shared" si="115"/>
        <v>0</v>
      </c>
      <c r="M216">
        <f t="shared" si="115"/>
        <v>0</v>
      </c>
      <c r="N216">
        <f t="shared" si="115"/>
        <v>0</v>
      </c>
      <c r="O216">
        <f t="shared" si="115"/>
        <v>0</v>
      </c>
      <c r="P216">
        <f t="shared" si="115"/>
        <v>0</v>
      </c>
      <c r="Q216">
        <f t="shared" si="115"/>
        <v>0</v>
      </c>
      <c r="R216">
        <f>C216</f>
        <v>0</v>
      </c>
      <c r="S216">
        <f t="shared" si="116"/>
        <v>0</v>
      </c>
      <c r="W216">
        <f t="shared" si="115"/>
        <v>0</v>
      </c>
      <c r="X216">
        <f t="shared" si="115"/>
        <v>0</v>
      </c>
      <c r="AC216" s="35" t="s">
        <v>5765</v>
      </c>
    </row>
    <row r="217" spans="1:45" ht="15.75" x14ac:dyDescent="0.25">
      <c r="AC217" s="35" t="s">
        <v>5766</v>
      </c>
    </row>
    <row r="218" spans="1:45" ht="13.5" thickBot="1" x14ac:dyDescent="0.25">
      <c r="H218" t="s">
        <v>2319</v>
      </c>
      <c r="K218" t="s">
        <v>5621</v>
      </c>
      <c r="L218" t="s">
        <v>5622</v>
      </c>
      <c r="M218" t="s">
        <v>5622</v>
      </c>
      <c r="N218" t="s">
        <v>5622</v>
      </c>
      <c r="O218" t="s">
        <v>5622</v>
      </c>
      <c r="P218" t="s">
        <v>5622</v>
      </c>
      <c r="Q218" t="s">
        <v>5622</v>
      </c>
      <c r="R218" t="s">
        <v>5622</v>
      </c>
      <c r="S218" t="s">
        <v>5622</v>
      </c>
      <c r="T218" t="s">
        <v>5622</v>
      </c>
      <c r="U218" t="s">
        <v>5622</v>
      </c>
      <c r="V218" t="s">
        <v>5622</v>
      </c>
      <c r="W218" t="s">
        <v>5622</v>
      </c>
      <c r="X218" t="s">
        <v>5622</v>
      </c>
      <c r="Y218" t="s">
        <v>5622</v>
      </c>
      <c r="Z218" t="s">
        <v>5623</v>
      </c>
      <c r="AC218" s="37"/>
    </row>
    <row r="219" spans="1:45" x14ac:dyDescent="0.2">
      <c r="A219" t="str">
        <f>FishSumAllPRN!A216</f>
        <v>Shaker Mortality by Fishery</v>
      </c>
      <c r="B219" t="s">
        <v>4262</v>
      </c>
      <c r="C219" t="s">
        <v>4263</v>
      </c>
      <c r="D219" t="s">
        <v>4264</v>
      </c>
      <c r="E219" t="s">
        <v>2308</v>
      </c>
      <c r="F219" t="s">
        <v>615</v>
      </c>
      <c r="G219" t="s">
        <v>236</v>
      </c>
      <c r="H219" t="s">
        <v>5632</v>
      </c>
      <c r="K219" t="s">
        <v>126</v>
      </c>
      <c r="L219" s="51">
        <v>37227</v>
      </c>
      <c r="M219" t="s">
        <v>5624</v>
      </c>
      <c r="N219" t="s">
        <v>5625</v>
      </c>
      <c r="O219" t="s">
        <v>5626</v>
      </c>
      <c r="P219" t="s">
        <v>5627</v>
      </c>
      <c r="Q219" t="s">
        <v>5628</v>
      </c>
      <c r="R219" t="s">
        <v>5629</v>
      </c>
      <c r="S219" t="s">
        <v>5630</v>
      </c>
      <c r="T219" t="s">
        <v>890</v>
      </c>
      <c r="U219" t="s">
        <v>614</v>
      </c>
      <c r="V219" t="s">
        <v>615</v>
      </c>
      <c r="W219" t="s">
        <v>892</v>
      </c>
      <c r="X219" t="s">
        <v>893</v>
      </c>
      <c r="Y219" t="s">
        <v>5631</v>
      </c>
      <c r="Z219" t="s">
        <v>236</v>
      </c>
      <c r="AC219" s="48" t="s">
        <v>602</v>
      </c>
      <c r="AD219" s="49"/>
      <c r="AE219" s="49"/>
      <c r="AF219" s="49"/>
      <c r="AG219" s="49"/>
      <c r="AH219" s="49"/>
      <c r="AI219" s="49"/>
      <c r="AJ219" s="77">
        <f>'1'!E221</f>
        <v>0</v>
      </c>
      <c r="AK219" s="52"/>
      <c r="AL219" s="52"/>
      <c r="AM219" s="52"/>
      <c r="AN219" s="52"/>
      <c r="AO219" s="52"/>
      <c r="AP219" s="52"/>
      <c r="AQ219" s="52"/>
      <c r="AR219" s="52"/>
      <c r="AS219" s="53"/>
    </row>
    <row r="220" spans="1:45" ht="13.5" thickBot="1" x14ac:dyDescent="0.25">
      <c r="A220" t="s">
        <v>2318</v>
      </c>
      <c r="B220" t="s">
        <v>2319</v>
      </c>
      <c r="C220" t="s">
        <v>2319</v>
      </c>
      <c r="D220" t="s">
        <v>2319</v>
      </c>
      <c r="E220" t="s">
        <v>2319</v>
      </c>
      <c r="F220" t="s">
        <v>2319</v>
      </c>
      <c r="G220" t="s">
        <v>2319</v>
      </c>
      <c r="H220" t="s">
        <v>2319</v>
      </c>
      <c r="K220" t="s">
        <v>5621</v>
      </c>
      <c r="L220" t="s">
        <v>5622</v>
      </c>
      <c r="M220" t="s">
        <v>5622</v>
      </c>
      <c r="N220" t="s">
        <v>5622</v>
      </c>
      <c r="O220" t="s">
        <v>5622</v>
      </c>
      <c r="P220" t="s">
        <v>5622</v>
      </c>
      <c r="Q220" t="s">
        <v>5622</v>
      </c>
      <c r="R220" t="s">
        <v>5622</v>
      </c>
      <c r="S220" t="s">
        <v>5622</v>
      </c>
      <c r="T220" t="s">
        <v>5622</v>
      </c>
      <c r="U220" t="s">
        <v>5622</v>
      </c>
      <c r="V220" t="s">
        <v>5622</v>
      </c>
      <c r="W220" t="s">
        <v>5622</v>
      </c>
      <c r="X220" t="s">
        <v>5622</v>
      </c>
      <c r="Y220" t="s">
        <v>5622</v>
      </c>
      <c r="Z220" t="s">
        <v>5622</v>
      </c>
      <c r="AC220" s="74" t="s">
        <v>123</v>
      </c>
      <c r="AD220" s="56"/>
      <c r="AE220" s="56"/>
      <c r="AF220" s="56"/>
      <c r="AG220" s="56"/>
      <c r="AH220" s="56"/>
      <c r="AI220" s="56"/>
      <c r="AJ220" s="76">
        <f>'1'!B222</f>
        <v>0</v>
      </c>
      <c r="AK220" s="56"/>
      <c r="AL220" s="56"/>
      <c r="AM220" s="56"/>
      <c r="AN220" s="56"/>
      <c r="AO220" s="56"/>
      <c r="AP220" s="56"/>
      <c r="AQ220" s="56"/>
      <c r="AR220" s="56"/>
      <c r="AS220" s="75"/>
    </row>
    <row r="221" spans="1:45" ht="13.5" thickBot="1" x14ac:dyDescent="0.25">
      <c r="A221" t="s">
        <v>4265</v>
      </c>
      <c r="B221">
        <f>SUM(FishSumAllPRN!B221)</f>
        <v>0</v>
      </c>
      <c r="C221">
        <f>SUM(FishSumAllPRN!C221)</f>
        <v>0</v>
      </c>
      <c r="D221">
        <f>SUM(FishSumAllPRN!D221)</f>
        <v>0</v>
      </c>
      <c r="E221">
        <f>SUM(FishSumAllPRN!E221)</f>
        <v>0</v>
      </c>
      <c r="F221">
        <f>SUM(FishSumAllPRN!F221)</f>
        <v>1</v>
      </c>
      <c r="G221">
        <f>SUM(FishSumAllPRN!G221)</f>
        <v>1</v>
      </c>
      <c r="H221" s="54" t="s">
        <v>294</v>
      </c>
      <c r="I221" s="54"/>
      <c r="K221" t="s">
        <v>5637</v>
      </c>
      <c r="R221" s="38">
        <f>SUM(B414:B415)</f>
        <v>216</v>
      </c>
      <c r="S221" s="38">
        <f>SUM(C414:C415)</f>
        <v>6559</v>
      </c>
      <c r="T221" s="38">
        <f>SUM(D414:D415)</f>
        <v>6840</v>
      </c>
      <c r="U221" s="38">
        <f>SUM(E414:E415)</f>
        <v>2595</v>
      </c>
      <c r="V221" s="38">
        <f>SUM(F414:F415)</f>
        <v>0</v>
      </c>
      <c r="Z221">
        <f t="shared" ref="Z221:Z284" si="117">SUM(R221:V221)</f>
        <v>16210</v>
      </c>
      <c r="AC221" s="50" t="s">
        <v>126</v>
      </c>
      <c r="AD221" s="73">
        <v>37227</v>
      </c>
      <c r="AE221" s="37" t="s">
        <v>5624</v>
      </c>
      <c r="AF221" s="37" t="s">
        <v>5625</v>
      </c>
      <c r="AG221" s="37" t="s">
        <v>5626</v>
      </c>
      <c r="AH221" s="37" t="s">
        <v>5627</v>
      </c>
      <c r="AI221" s="37" t="s">
        <v>5628</v>
      </c>
      <c r="AJ221" s="2121" t="s">
        <v>544</v>
      </c>
      <c r="AK221" s="67" t="s">
        <v>5629</v>
      </c>
      <c r="AL221" s="67" t="s">
        <v>5630</v>
      </c>
      <c r="AM221" s="67" t="s">
        <v>890</v>
      </c>
      <c r="AN221" s="67" t="s">
        <v>891</v>
      </c>
      <c r="AO221" s="67" t="s">
        <v>615</v>
      </c>
      <c r="AP221" s="67" t="s">
        <v>892</v>
      </c>
      <c r="AQ221" s="67" t="s">
        <v>893</v>
      </c>
      <c r="AR221" s="67" t="s">
        <v>5631</v>
      </c>
      <c r="AS221" s="68" t="s">
        <v>236</v>
      </c>
    </row>
    <row r="222" spans="1:45" x14ac:dyDescent="0.2">
      <c r="A222" t="s">
        <v>4266</v>
      </c>
      <c r="B222">
        <f>SUM(FishSumAllPRN!B222)</f>
        <v>0</v>
      </c>
      <c r="C222">
        <f>SUM(FishSumAllPRN!C222)</f>
        <v>0</v>
      </c>
      <c r="D222">
        <f>SUM(FishSumAllPRN!D222)</f>
        <v>0</v>
      </c>
      <c r="E222">
        <f>SUM(FishSumAllPRN!E222)</f>
        <v>0</v>
      </c>
      <c r="F222">
        <f>SUM(FishSumAllPRN!F222)</f>
        <v>0</v>
      </c>
      <c r="G222">
        <f>SUM(FishSumAllPRN!G222)</f>
        <v>0</v>
      </c>
      <c r="H222" s="54" t="s">
        <v>294</v>
      </c>
      <c r="I222" s="54"/>
      <c r="K222" t="s">
        <v>5640</v>
      </c>
      <c r="R222" s="38">
        <f t="shared" ref="R222:T223" si="118">B262</f>
        <v>0</v>
      </c>
      <c r="S222" s="38">
        <f t="shared" si="118"/>
        <v>101</v>
      </c>
      <c r="T222" s="38">
        <f t="shared" si="118"/>
        <v>27</v>
      </c>
      <c r="U222" s="38">
        <f>E262</f>
        <v>31</v>
      </c>
      <c r="V222" s="38">
        <f>F262</f>
        <v>0</v>
      </c>
      <c r="Z222">
        <f t="shared" si="117"/>
        <v>159</v>
      </c>
      <c r="AC222" s="48" t="s">
        <v>5633</v>
      </c>
      <c r="AD222" s="49"/>
      <c r="AE222" s="49"/>
      <c r="AF222" s="49"/>
      <c r="AG222" s="49"/>
      <c r="AH222" s="49"/>
      <c r="AI222" s="49"/>
      <c r="AJ222" s="49" t="s">
        <v>5634</v>
      </c>
      <c r="AK222" s="52">
        <f t="shared" ref="AK222:AR222" si="119">SUM(R221)</f>
        <v>216</v>
      </c>
      <c r="AL222" s="52">
        <f t="shared" si="119"/>
        <v>6559</v>
      </c>
      <c r="AM222" s="52">
        <f t="shared" si="119"/>
        <v>6840</v>
      </c>
      <c r="AN222" s="52">
        <f t="shared" si="119"/>
        <v>2595</v>
      </c>
      <c r="AO222" s="52">
        <f t="shared" si="119"/>
        <v>0</v>
      </c>
      <c r="AP222" s="52">
        <f t="shared" si="119"/>
        <v>0</v>
      </c>
      <c r="AQ222" s="52">
        <f t="shared" si="119"/>
        <v>0</v>
      </c>
      <c r="AR222" s="52">
        <f t="shared" si="119"/>
        <v>0</v>
      </c>
      <c r="AS222" s="53">
        <f>SUM(AK222:AO222)</f>
        <v>16210</v>
      </c>
    </row>
    <row r="223" spans="1:45" x14ac:dyDescent="0.2">
      <c r="A223" t="s">
        <v>4267</v>
      </c>
      <c r="B223">
        <f>SUM(FishSumAllPRN!B223)</f>
        <v>0</v>
      </c>
      <c r="C223">
        <f>SUM(FishSumAllPRN!C223)</f>
        <v>0</v>
      </c>
      <c r="D223">
        <f>SUM(FishSumAllPRN!D223)</f>
        <v>0</v>
      </c>
      <c r="E223">
        <f>SUM(FishSumAllPRN!E223)</f>
        <v>0</v>
      </c>
      <c r="F223">
        <f>SUM(FishSumAllPRN!F223)</f>
        <v>0</v>
      </c>
      <c r="G223">
        <f>SUM(FishSumAllPRN!G223)</f>
        <v>0</v>
      </c>
      <c r="H223" s="54" t="s">
        <v>294</v>
      </c>
      <c r="I223" s="54"/>
      <c r="K223" t="s">
        <v>5643</v>
      </c>
      <c r="R223" s="38">
        <f t="shared" si="118"/>
        <v>0</v>
      </c>
      <c r="S223" s="38">
        <f t="shared" si="118"/>
        <v>297</v>
      </c>
      <c r="T223" s="38">
        <f t="shared" si="118"/>
        <v>1175</v>
      </c>
      <c r="U223" s="38">
        <f>E263</f>
        <v>448</v>
      </c>
      <c r="V223" s="38">
        <f>F263</f>
        <v>0</v>
      </c>
      <c r="Z223">
        <f t="shared" si="117"/>
        <v>1920</v>
      </c>
      <c r="AC223" s="78" t="s">
        <v>5636</v>
      </c>
      <c r="AD223" s="1594"/>
      <c r="AE223" s="1594"/>
      <c r="AF223" s="1594"/>
      <c r="AG223" s="1594"/>
      <c r="AH223" s="1594"/>
      <c r="AI223" s="1594"/>
      <c r="AJ223" s="1594" t="s">
        <v>5634</v>
      </c>
      <c r="AK223" s="1723">
        <f>SUM(R257:R266,R283:R286,B413)</f>
        <v>658</v>
      </c>
      <c r="AL223" s="1723">
        <f>SUM(S257:S266,S283:S286,C413)</f>
        <v>4224</v>
      </c>
      <c r="AM223" s="1723">
        <f>SUM(T257:T266,T283:T286,D413)</f>
        <v>6694</v>
      </c>
      <c r="AN223" s="1723">
        <f>SUM(U257:U266,U283:U286,E413)</f>
        <v>1388</v>
      </c>
      <c r="AO223" s="1723">
        <f>SUM(V257:V266,V283:V286,F413)</f>
        <v>162</v>
      </c>
      <c r="AP223" s="1723">
        <f>SUM(W257:W266,W283:W286)</f>
        <v>0</v>
      </c>
      <c r="AQ223" s="1723">
        <f>SUM(X257:X266,X283:X286)</f>
        <v>0</v>
      </c>
      <c r="AR223" s="1723">
        <f>SUM(Y257:Y266,Y283:Y286)</f>
        <v>0</v>
      </c>
      <c r="AS223" s="1905">
        <f>SUM(AK223:AO223)</f>
        <v>13126</v>
      </c>
    </row>
    <row r="224" spans="1:45" x14ac:dyDescent="0.2">
      <c r="A224" t="s">
        <v>4268</v>
      </c>
      <c r="B224">
        <f>SUM(FishSumAllPRN!B224)</f>
        <v>0</v>
      </c>
      <c r="C224">
        <f>SUM(FishSumAllPRN!C224)</f>
        <v>0</v>
      </c>
      <c r="D224">
        <f>SUM(FishSumAllPRN!D224)</f>
        <v>0</v>
      </c>
      <c r="E224">
        <f>SUM(FishSumAllPRN!E224)</f>
        <v>0</v>
      </c>
      <c r="F224">
        <f>SUM(FishSumAllPRN!F224)</f>
        <v>0</v>
      </c>
      <c r="G224">
        <f>SUM(FishSumAllPRN!G224)</f>
        <v>0</v>
      </c>
      <c r="H224" s="54" t="s">
        <v>294</v>
      </c>
      <c r="I224" s="54"/>
      <c r="K224" t="s">
        <v>5647</v>
      </c>
      <c r="R224" s="38">
        <f t="shared" ref="R224:T225" si="120">B258</f>
        <v>0</v>
      </c>
      <c r="S224" s="38">
        <f t="shared" si="120"/>
        <v>131</v>
      </c>
      <c r="T224" s="38">
        <f t="shared" si="120"/>
        <v>364</v>
      </c>
      <c r="U224" s="38">
        <f>E258</f>
        <v>114</v>
      </c>
      <c r="V224" s="38">
        <f>F258</f>
        <v>0</v>
      </c>
      <c r="Z224">
        <f t="shared" si="117"/>
        <v>609</v>
      </c>
      <c r="AC224" s="50"/>
      <c r="AD224" s="37"/>
      <c r="AE224" s="37"/>
      <c r="AF224" s="37"/>
      <c r="AG224" s="37"/>
      <c r="AH224" s="37"/>
      <c r="AI224" s="37"/>
      <c r="AJ224" s="37"/>
      <c r="AS224" s="58"/>
    </row>
    <row r="225" spans="1:45" x14ac:dyDescent="0.2">
      <c r="A225" t="s">
        <v>4269</v>
      </c>
      <c r="B225">
        <f>SUM(FishSumAllPRN!B225)</f>
        <v>0</v>
      </c>
      <c r="C225">
        <f>SUM(FishSumAllPRN!C225)</f>
        <v>0</v>
      </c>
      <c r="D225">
        <f>SUM(FishSumAllPRN!D225)</f>
        <v>0</v>
      </c>
      <c r="E225">
        <f>SUM(FishSumAllPRN!E225)</f>
        <v>0</v>
      </c>
      <c r="F225">
        <f>SUM(FishSumAllPRN!F225)</f>
        <v>0</v>
      </c>
      <c r="G225">
        <f>SUM(FishSumAllPRN!G225)</f>
        <v>0</v>
      </c>
      <c r="H225" s="54" t="s">
        <v>294</v>
      </c>
      <c r="I225" s="54"/>
      <c r="K225" t="s">
        <v>5649</v>
      </c>
      <c r="R225" s="38">
        <f t="shared" si="120"/>
        <v>0</v>
      </c>
      <c r="S225" s="38">
        <f t="shared" si="120"/>
        <v>113</v>
      </c>
      <c r="T225" s="38">
        <f t="shared" si="120"/>
        <v>455</v>
      </c>
      <c r="U225" s="38">
        <f>E259</f>
        <v>89</v>
      </c>
      <c r="V225" s="38">
        <f>F259</f>
        <v>0</v>
      </c>
      <c r="Z225">
        <f t="shared" si="117"/>
        <v>657</v>
      </c>
      <c r="AC225" s="50" t="s">
        <v>5641</v>
      </c>
      <c r="AD225" s="37"/>
      <c r="AE225" s="37"/>
      <c r="AF225" s="37"/>
      <c r="AG225" s="37"/>
      <c r="AH225" s="37"/>
      <c r="AI225" s="37"/>
      <c r="AJ225" s="37"/>
      <c r="AS225" s="58"/>
    </row>
    <row r="226" spans="1:45" x14ac:dyDescent="0.2">
      <c r="A226" t="s">
        <v>4270</v>
      </c>
      <c r="B226">
        <f>SUM(FishSumAllPRN!B226)</f>
        <v>0</v>
      </c>
      <c r="C226">
        <f>SUM(FishSumAllPRN!C226)</f>
        <v>0</v>
      </c>
      <c r="D226">
        <f>SUM(FishSumAllPRN!D226)</f>
        <v>0</v>
      </c>
      <c r="E226">
        <f>SUM(FishSumAllPRN!E226)</f>
        <v>0</v>
      </c>
      <c r="F226">
        <f>SUM(FishSumAllPRN!F226)</f>
        <v>0</v>
      </c>
      <c r="G226">
        <f>SUM(FishSumAllPRN!G226)</f>
        <v>0</v>
      </c>
      <c r="H226" s="54" t="s">
        <v>294</v>
      </c>
      <c r="I226" s="54"/>
      <c r="K226" t="s">
        <v>5651</v>
      </c>
      <c r="R226" s="38">
        <f t="shared" ref="R226:T227" si="121">SUM(B255)</f>
        <v>0</v>
      </c>
      <c r="S226" s="38">
        <f t="shared" si="121"/>
        <v>220</v>
      </c>
      <c r="T226" s="38">
        <f t="shared" si="121"/>
        <v>384</v>
      </c>
      <c r="U226" s="38">
        <f>SUM(E255)</f>
        <v>476</v>
      </c>
      <c r="V226" s="38">
        <f>SUM(F255)</f>
        <v>0</v>
      </c>
      <c r="Z226">
        <f t="shared" si="117"/>
        <v>1080</v>
      </c>
      <c r="AC226" s="50" t="s">
        <v>5644</v>
      </c>
      <c r="AD226" s="37"/>
      <c r="AE226" s="37"/>
      <c r="AF226" s="37"/>
      <c r="AG226" s="37"/>
      <c r="AH226" s="37"/>
      <c r="AI226" s="37"/>
      <c r="AJ226" s="1594" t="s">
        <v>5645</v>
      </c>
      <c r="AK226" s="1723">
        <f t="shared" ref="AK226:AS226" si="122">SUM(R223,R225,R227)</f>
        <v>0</v>
      </c>
      <c r="AL226" s="1723">
        <f t="shared" si="122"/>
        <v>414</v>
      </c>
      <c r="AM226" s="1723">
        <f t="shared" si="122"/>
        <v>1640</v>
      </c>
      <c r="AN226" s="1723">
        <f t="shared" si="122"/>
        <v>546</v>
      </c>
      <c r="AO226" s="1723">
        <f t="shared" si="122"/>
        <v>0</v>
      </c>
      <c r="AP226" s="1723">
        <f t="shared" si="122"/>
        <v>0</v>
      </c>
      <c r="AQ226" s="1723">
        <f t="shared" si="122"/>
        <v>0</v>
      </c>
      <c r="AR226" s="1723">
        <f t="shared" si="122"/>
        <v>0</v>
      </c>
      <c r="AS226" s="1908">
        <f t="shared" si="122"/>
        <v>2600</v>
      </c>
    </row>
    <row r="227" spans="1:45" x14ac:dyDescent="0.2">
      <c r="A227" t="s">
        <v>4271</v>
      </c>
      <c r="B227">
        <f>SUM(FishSumAllPRN!B227)</f>
        <v>0</v>
      </c>
      <c r="C227">
        <f>SUM(FishSumAllPRN!C227)</f>
        <v>0</v>
      </c>
      <c r="D227">
        <f>SUM(FishSumAllPRN!D227)</f>
        <v>0</v>
      </c>
      <c r="E227">
        <f>SUM(FishSumAllPRN!E227)</f>
        <v>0</v>
      </c>
      <c r="F227">
        <f>SUM(FishSumAllPRN!F227)</f>
        <v>0</v>
      </c>
      <c r="G227">
        <f>SUM(FishSumAllPRN!G227)</f>
        <v>0</v>
      </c>
      <c r="H227" s="54" t="s">
        <v>294</v>
      </c>
      <c r="I227" s="54"/>
      <c r="K227" t="s">
        <v>5653</v>
      </c>
      <c r="R227" s="38">
        <f t="shared" si="121"/>
        <v>0</v>
      </c>
      <c r="S227" s="38">
        <f t="shared" si="121"/>
        <v>4</v>
      </c>
      <c r="T227" s="38">
        <f t="shared" si="121"/>
        <v>10</v>
      </c>
      <c r="U227" s="38">
        <f>SUM(E256)</f>
        <v>9</v>
      </c>
      <c r="V227" s="38">
        <f>SUM(F256)</f>
        <v>0</v>
      </c>
      <c r="Z227">
        <f t="shared" si="117"/>
        <v>23</v>
      </c>
      <c r="AC227" s="50"/>
      <c r="AD227" s="37"/>
      <c r="AE227" s="37"/>
      <c r="AF227" s="37"/>
      <c r="AG227" s="37"/>
      <c r="AH227" s="37"/>
      <c r="AI227" s="37"/>
      <c r="AJ227" s="37" t="s">
        <v>5648</v>
      </c>
      <c r="AK227" s="38">
        <f t="shared" ref="AK227:AS227" si="123">SUM(R223)</f>
        <v>0</v>
      </c>
      <c r="AL227" s="38">
        <f t="shared" si="123"/>
        <v>297</v>
      </c>
      <c r="AM227" s="38">
        <f t="shared" si="123"/>
        <v>1175</v>
      </c>
      <c r="AN227" s="38">
        <f t="shared" si="123"/>
        <v>448</v>
      </c>
      <c r="AO227" s="38">
        <f t="shared" si="123"/>
        <v>0</v>
      </c>
      <c r="AP227" s="38">
        <f t="shared" si="123"/>
        <v>0</v>
      </c>
      <c r="AQ227" s="38">
        <f t="shared" si="123"/>
        <v>0</v>
      </c>
      <c r="AR227" s="38">
        <f t="shared" si="123"/>
        <v>0</v>
      </c>
      <c r="AS227" s="59">
        <f t="shared" si="123"/>
        <v>1920</v>
      </c>
    </row>
    <row r="228" spans="1:45" x14ac:dyDescent="0.2">
      <c r="A228" t="s">
        <v>4272</v>
      </c>
      <c r="B228">
        <f>SUM(FishSumAllPRN!B228)</f>
        <v>0</v>
      </c>
      <c r="C228">
        <f>SUM(FishSumAllPRN!C228)</f>
        <v>0</v>
      </c>
      <c r="D228">
        <f>SUM(FishSumAllPRN!D228)</f>
        <v>0</v>
      </c>
      <c r="E228">
        <f>SUM(FishSumAllPRN!E228)</f>
        <v>0</v>
      </c>
      <c r="F228">
        <f>SUM(FishSumAllPRN!F228)</f>
        <v>0</v>
      </c>
      <c r="G228">
        <f>SUM(FishSumAllPRN!G228)</f>
        <v>0</v>
      </c>
      <c r="H228" s="54" t="s">
        <v>294</v>
      </c>
      <c r="I228" s="54"/>
      <c r="K228" t="s">
        <v>5656</v>
      </c>
      <c r="R228" s="38">
        <f>SUM(B254)</f>
        <v>0</v>
      </c>
      <c r="S228" s="38">
        <f>SUM(C254)</f>
        <v>280</v>
      </c>
      <c r="T228" s="38">
        <f>SUM(D254)</f>
        <v>254</v>
      </c>
      <c r="U228" s="38">
        <f>SUM(E254)</f>
        <v>574</v>
      </c>
      <c r="V228" s="38">
        <f>SUM(F254)</f>
        <v>0</v>
      </c>
      <c r="Z228">
        <f t="shared" si="117"/>
        <v>1108</v>
      </c>
      <c r="AC228" s="50"/>
      <c r="AD228" s="37"/>
      <c r="AE228" s="37"/>
      <c r="AF228" s="37"/>
      <c r="AG228" s="37"/>
      <c r="AH228" s="37"/>
      <c r="AI228" s="37"/>
      <c r="AJ228" s="37" t="s">
        <v>5650</v>
      </c>
      <c r="AK228" s="38">
        <f t="shared" ref="AK228:AS228" si="124">SUM(R225)</f>
        <v>0</v>
      </c>
      <c r="AL228" s="38">
        <f t="shared" si="124"/>
        <v>113</v>
      </c>
      <c r="AM228" s="38">
        <f t="shared" si="124"/>
        <v>455</v>
      </c>
      <c r="AN228" s="38">
        <f t="shared" si="124"/>
        <v>89</v>
      </c>
      <c r="AO228" s="38">
        <f t="shared" si="124"/>
        <v>0</v>
      </c>
      <c r="AP228" s="38">
        <f t="shared" si="124"/>
        <v>0</v>
      </c>
      <c r="AQ228" s="38">
        <f t="shared" si="124"/>
        <v>0</v>
      </c>
      <c r="AR228" s="38">
        <f t="shared" si="124"/>
        <v>0</v>
      </c>
      <c r="AS228" s="59">
        <f t="shared" si="124"/>
        <v>657</v>
      </c>
    </row>
    <row r="229" spans="1:45" x14ac:dyDescent="0.2">
      <c r="A229" t="s">
        <v>4273</v>
      </c>
      <c r="B229">
        <f>SUM(FishSumAllPRN!B229)</f>
        <v>0</v>
      </c>
      <c r="C229">
        <f>SUM(FishSumAllPRN!C229)</f>
        <v>0</v>
      </c>
      <c r="D229">
        <f>SUM(FishSumAllPRN!D229)</f>
        <v>0</v>
      </c>
      <c r="E229">
        <f>SUM(FishSumAllPRN!E229)</f>
        <v>0</v>
      </c>
      <c r="F229">
        <f>SUM(FishSumAllPRN!F229)</f>
        <v>1</v>
      </c>
      <c r="G229">
        <f>SUM(FishSumAllPRN!G229)</f>
        <v>1</v>
      </c>
      <c r="H229" s="54" t="s">
        <v>294</v>
      </c>
      <c r="I229" s="54"/>
      <c r="K229" t="s">
        <v>5657</v>
      </c>
      <c r="R229" s="38">
        <f>SUM(B242)</f>
        <v>0</v>
      </c>
      <c r="S229" s="38">
        <f>SUM(C242)</f>
        <v>19</v>
      </c>
      <c r="T229" s="38">
        <f>SUM(D242)</f>
        <v>35</v>
      </c>
      <c r="U229" s="38">
        <f>SUM(E242)</f>
        <v>0</v>
      </c>
      <c r="V229" s="38">
        <f>SUM(F242)</f>
        <v>0</v>
      </c>
      <c r="Z229">
        <f t="shared" si="117"/>
        <v>54</v>
      </c>
      <c r="AC229" s="50"/>
      <c r="AD229" s="37"/>
      <c r="AE229" s="37"/>
      <c r="AF229" s="37"/>
      <c r="AG229" s="37"/>
      <c r="AH229" s="37"/>
      <c r="AI229" s="37"/>
      <c r="AJ229" s="37" t="s">
        <v>5652</v>
      </c>
      <c r="AK229" s="38">
        <f t="shared" ref="AK229:AS229" si="125">SUM(R227)</f>
        <v>0</v>
      </c>
      <c r="AL229" s="38">
        <f t="shared" si="125"/>
        <v>4</v>
      </c>
      <c r="AM229" s="38">
        <f t="shared" si="125"/>
        <v>10</v>
      </c>
      <c r="AN229" s="38">
        <f t="shared" si="125"/>
        <v>9</v>
      </c>
      <c r="AO229" s="38">
        <f t="shared" si="125"/>
        <v>0</v>
      </c>
      <c r="AP229" s="38">
        <f t="shared" si="125"/>
        <v>0</v>
      </c>
      <c r="AQ229" s="38">
        <f t="shared" si="125"/>
        <v>0</v>
      </c>
      <c r="AR229" s="38">
        <f t="shared" si="125"/>
        <v>0</v>
      </c>
      <c r="AS229" s="59">
        <f t="shared" si="125"/>
        <v>23</v>
      </c>
    </row>
    <row r="230" spans="1:45" x14ac:dyDescent="0.2">
      <c r="A230" t="s">
        <v>4274</v>
      </c>
      <c r="B230">
        <f>SUM(FishSumAllPRN!B230)</f>
        <v>0</v>
      </c>
      <c r="C230">
        <f>SUM(FishSumAllPRN!C230)</f>
        <v>0</v>
      </c>
      <c r="D230">
        <f>SUM(FishSumAllPRN!D230)</f>
        <v>0</v>
      </c>
      <c r="E230">
        <f>SUM(FishSumAllPRN!E230)</f>
        <v>0</v>
      </c>
      <c r="F230">
        <f>SUM(FishSumAllPRN!F230)</f>
        <v>0</v>
      </c>
      <c r="G230">
        <f>SUM(FishSumAllPRN!G230)</f>
        <v>0</v>
      </c>
      <c r="H230" s="54" t="s">
        <v>294</v>
      </c>
      <c r="I230" s="54"/>
      <c r="K230" t="s">
        <v>5658</v>
      </c>
      <c r="R230" s="38">
        <f>SUM(B238)</f>
        <v>0</v>
      </c>
      <c r="S230" s="38">
        <f>SUM(C238)</f>
        <v>414</v>
      </c>
      <c r="T230" s="38">
        <f>SUM(D238)</f>
        <v>482</v>
      </c>
      <c r="U230" s="38">
        <f>SUM(E238)</f>
        <v>0</v>
      </c>
      <c r="V230" s="38">
        <f>SUM(F238)</f>
        <v>0</v>
      </c>
      <c r="Z230">
        <f t="shared" si="117"/>
        <v>896</v>
      </c>
      <c r="AC230" s="50"/>
      <c r="AD230" s="37"/>
      <c r="AE230" s="37"/>
      <c r="AF230" s="37"/>
      <c r="AG230" s="37"/>
      <c r="AH230" s="37"/>
      <c r="AI230" s="37"/>
      <c r="AJ230" s="1594" t="s">
        <v>5654</v>
      </c>
      <c r="AK230" s="1723">
        <f t="shared" ref="AK230:AS230" si="126">SUM(R222,R224,R226,R228)</f>
        <v>0</v>
      </c>
      <c r="AL230" s="1723">
        <f t="shared" si="126"/>
        <v>732</v>
      </c>
      <c r="AM230" s="1723">
        <f t="shared" si="126"/>
        <v>1029</v>
      </c>
      <c r="AN230" s="1723">
        <f t="shared" si="126"/>
        <v>1195</v>
      </c>
      <c r="AO230" s="1723">
        <f t="shared" si="126"/>
        <v>0</v>
      </c>
      <c r="AP230" s="1723">
        <f t="shared" si="126"/>
        <v>0</v>
      </c>
      <c r="AQ230" s="1723">
        <f t="shared" si="126"/>
        <v>0</v>
      </c>
      <c r="AR230" s="1723">
        <f t="shared" si="126"/>
        <v>0</v>
      </c>
      <c r="AS230" s="1908">
        <f t="shared" si="126"/>
        <v>2956</v>
      </c>
    </row>
    <row r="231" spans="1:45" x14ac:dyDescent="0.2">
      <c r="A231" t="s">
        <v>4275</v>
      </c>
      <c r="B231">
        <f>SUM(FishSumAllPRN!B231)</f>
        <v>0</v>
      </c>
      <c r="C231">
        <f>SUM(FishSumAllPRN!C231)</f>
        <v>0</v>
      </c>
      <c r="D231">
        <f>SUM(FishSumAllPRN!D231)</f>
        <v>0</v>
      </c>
      <c r="E231">
        <f>SUM(FishSumAllPRN!E231)</f>
        <v>0</v>
      </c>
      <c r="F231">
        <f>SUM(FishSumAllPRN!F231)</f>
        <v>61</v>
      </c>
      <c r="G231">
        <f>SUM(FishSumAllPRN!G231)</f>
        <v>61</v>
      </c>
      <c r="H231" s="54" t="s">
        <v>294</v>
      </c>
      <c r="I231" s="54"/>
      <c r="K231" t="s">
        <v>5659</v>
      </c>
      <c r="R231" s="38">
        <f>SUM(B240)</f>
        <v>0</v>
      </c>
      <c r="S231" s="38">
        <f>SUM(C240)</f>
        <v>0</v>
      </c>
      <c r="T231" s="38">
        <f>SUM(D240)</f>
        <v>77</v>
      </c>
      <c r="U231" s="38">
        <f>SUM(E240)</f>
        <v>0</v>
      </c>
      <c r="V231" s="38">
        <f>SUM(F240)</f>
        <v>0</v>
      </c>
      <c r="Z231">
        <f t="shared" si="117"/>
        <v>77</v>
      </c>
      <c r="AC231" s="50"/>
      <c r="AD231" s="37"/>
      <c r="AE231" s="37"/>
      <c r="AF231" s="37"/>
      <c r="AG231" s="37"/>
      <c r="AH231" s="37"/>
      <c r="AI231" s="37"/>
      <c r="AJ231" s="37" t="s">
        <v>5648</v>
      </c>
      <c r="AK231" s="38">
        <f t="shared" ref="AK231:AS231" si="127">SUM(R222)</f>
        <v>0</v>
      </c>
      <c r="AL231" s="38">
        <f t="shared" si="127"/>
        <v>101</v>
      </c>
      <c r="AM231" s="38">
        <f t="shared" si="127"/>
        <v>27</v>
      </c>
      <c r="AN231" s="38">
        <f t="shared" si="127"/>
        <v>31</v>
      </c>
      <c r="AO231" s="38">
        <f t="shared" si="127"/>
        <v>0</v>
      </c>
      <c r="AP231" s="38">
        <f t="shared" si="127"/>
        <v>0</v>
      </c>
      <c r="AQ231" s="38">
        <f t="shared" si="127"/>
        <v>0</v>
      </c>
      <c r="AR231" s="38">
        <f t="shared" si="127"/>
        <v>0</v>
      </c>
      <c r="AS231" s="59">
        <f t="shared" si="127"/>
        <v>159</v>
      </c>
    </row>
    <row r="232" spans="1:45" x14ac:dyDescent="0.2">
      <c r="A232" t="s">
        <v>4276</v>
      </c>
      <c r="B232">
        <f>SUM(FishSumAllPRN!B232)</f>
        <v>0</v>
      </c>
      <c r="C232">
        <f>SUM(FishSumAllPRN!C232)</f>
        <v>0</v>
      </c>
      <c r="D232">
        <f>SUM(FishSumAllPRN!D232)</f>
        <v>0</v>
      </c>
      <c r="E232">
        <f>SUM(FishSumAllPRN!E232)</f>
        <v>0</v>
      </c>
      <c r="F232">
        <f>SUM(FishSumAllPRN!F232)</f>
        <v>34</v>
      </c>
      <c r="G232">
        <f>SUM(FishSumAllPRN!G232)</f>
        <v>34</v>
      </c>
      <c r="H232" s="54" t="s">
        <v>294</v>
      </c>
      <c r="I232" s="54"/>
      <c r="K232" t="s">
        <v>5661</v>
      </c>
      <c r="R232" s="38">
        <f>SUM(B236)</f>
        <v>0</v>
      </c>
      <c r="S232" s="38">
        <f>SUM(C236)</f>
        <v>0</v>
      </c>
      <c r="T232" s="38">
        <f>SUM(D236)</f>
        <v>0</v>
      </c>
      <c r="U232" s="38">
        <f>SUM(E236)</f>
        <v>0</v>
      </c>
      <c r="V232" s="38">
        <f>SUM(F236)</f>
        <v>0</v>
      </c>
      <c r="Z232">
        <f t="shared" si="117"/>
        <v>0</v>
      </c>
      <c r="AC232" s="50"/>
      <c r="AD232" s="37"/>
      <c r="AE232" s="37"/>
      <c r="AF232" s="37"/>
      <c r="AG232" s="37"/>
      <c r="AH232" s="37"/>
      <c r="AI232" s="37"/>
      <c r="AJ232" s="37" t="s">
        <v>5650</v>
      </c>
      <c r="AK232" s="38">
        <f t="shared" ref="AK232:AS232" si="128">SUM(R224)</f>
        <v>0</v>
      </c>
      <c r="AL232" s="38">
        <f t="shared" si="128"/>
        <v>131</v>
      </c>
      <c r="AM232" s="38">
        <f t="shared" si="128"/>
        <v>364</v>
      </c>
      <c r="AN232" s="38">
        <f t="shared" si="128"/>
        <v>114</v>
      </c>
      <c r="AO232" s="38">
        <f t="shared" si="128"/>
        <v>0</v>
      </c>
      <c r="AP232" s="38">
        <f t="shared" si="128"/>
        <v>0</v>
      </c>
      <c r="AQ232" s="38">
        <f t="shared" si="128"/>
        <v>0</v>
      </c>
      <c r="AR232" s="38">
        <f t="shared" si="128"/>
        <v>0</v>
      </c>
      <c r="AS232" s="59">
        <f t="shared" si="128"/>
        <v>609</v>
      </c>
    </row>
    <row r="233" spans="1:45" x14ac:dyDescent="0.2">
      <c r="A233" t="s">
        <v>4277</v>
      </c>
      <c r="B233">
        <f>SUM(FishSumAllPRN!B233)</f>
        <v>0</v>
      </c>
      <c r="C233">
        <f>SUM(FishSumAllPRN!C233)</f>
        <v>0</v>
      </c>
      <c r="D233">
        <f>SUM(FishSumAllPRN!D233)</f>
        <v>0</v>
      </c>
      <c r="E233">
        <f>SUM(FishSumAllPRN!E233)</f>
        <v>0</v>
      </c>
      <c r="F233">
        <f>SUM(FishSumAllPRN!F233)</f>
        <v>23</v>
      </c>
      <c r="G233">
        <f>SUM(FishSumAllPRN!G233)</f>
        <v>23</v>
      </c>
      <c r="H233" s="54" t="s">
        <v>294</v>
      </c>
      <c r="I233" s="54"/>
      <c r="K233" t="s">
        <v>5662</v>
      </c>
      <c r="R233">
        <f>SUM(B226*0.5)</f>
        <v>0</v>
      </c>
      <c r="S233">
        <f>SUM(C226*0.5)</f>
        <v>0</v>
      </c>
      <c r="T233">
        <f>SUM(D226*0.5)</f>
        <v>0</v>
      </c>
      <c r="U233">
        <f>SUM(E226*0.5)</f>
        <v>0</v>
      </c>
      <c r="V233">
        <f>SUM(F226*0.5)</f>
        <v>0</v>
      </c>
      <c r="Z233">
        <f t="shared" si="117"/>
        <v>0</v>
      </c>
      <c r="AC233" s="50"/>
      <c r="AD233" s="37"/>
      <c r="AE233" s="37"/>
      <c r="AF233" s="37"/>
      <c r="AG233" s="37"/>
      <c r="AH233" s="37"/>
      <c r="AI233" s="37"/>
      <c r="AJ233" s="37" t="s">
        <v>5652</v>
      </c>
      <c r="AK233" s="38">
        <f t="shared" ref="AK233:AS233" si="129">SUM(R226)</f>
        <v>0</v>
      </c>
      <c r="AL233" s="38">
        <f t="shared" si="129"/>
        <v>220</v>
      </c>
      <c r="AM233" s="38">
        <f t="shared" si="129"/>
        <v>384</v>
      </c>
      <c r="AN233" s="38">
        <f t="shared" si="129"/>
        <v>476</v>
      </c>
      <c r="AO233" s="38">
        <f t="shared" si="129"/>
        <v>0</v>
      </c>
      <c r="AP233" s="38">
        <f t="shared" si="129"/>
        <v>0</v>
      </c>
      <c r="AQ233" s="38">
        <f t="shared" si="129"/>
        <v>0</v>
      </c>
      <c r="AR233" s="38">
        <f t="shared" si="129"/>
        <v>0</v>
      </c>
      <c r="AS233" s="59">
        <f t="shared" si="129"/>
        <v>1080</v>
      </c>
    </row>
    <row r="234" spans="1:45" x14ac:dyDescent="0.2">
      <c r="A234" t="s">
        <v>4278</v>
      </c>
      <c r="B234">
        <f>SUM(FishSumAllPRN!B234)</f>
        <v>0</v>
      </c>
      <c r="C234">
        <f>SUM(FishSumAllPRN!C234)</f>
        <v>0</v>
      </c>
      <c r="D234">
        <f>SUM(FishSumAllPRN!D234)</f>
        <v>0</v>
      </c>
      <c r="E234">
        <f>SUM(FishSumAllPRN!E234)</f>
        <v>0</v>
      </c>
      <c r="F234">
        <f>SUM(FishSumAllPRN!F234)</f>
        <v>0</v>
      </c>
      <c r="G234">
        <f>SUM(FishSumAllPRN!G234)</f>
        <v>0</v>
      </c>
      <c r="H234" s="54" t="s">
        <v>294</v>
      </c>
      <c r="I234" s="54"/>
      <c r="K234" t="s">
        <v>5667</v>
      </c>
      <c r="R234">
        <f>SUM(B226*0.5)</f>
        <v>0</v>
      </c>
      <c r="S234">
        <f>SUM(C226*0.5)</f>
        <v>0</v>
      </c>
      <c r="T234">
        <f>SUM(D226*0.5)</f>
        <v>0</v>
      </c>
      <c r="U234">
        <f>SUM(E226*0.5)</f>
        <v>0</v>
      </c>
      <c r="V234">
        <f>SUM(F226*0.5)</f>
        <v>0</v>
      </c>
      <c r="Z234">
        <f t="shared" si="117"/>
        <v>0</v>
      </c>
      <c r="AC234" s="50"/>
      <c r="AD234" s="37"/>
      <c r="AE234" s="37"/>
      <c r="AF234" s="37"/>
      <c r="AG234" s="37"/>
      <c r="AH234" s="37"/>
      <c r="AI234" s="37"/>
      <c r="AJ234" s="37" t="s">
        <v>5660</v>
      </c>
      <c r="AK234" s="38">
        <f t="shared" ref="AK234:AS234" si="130">SUM(R228)</f>
        <v>0</v>
      </c>
      <c r="AL234" s="38">
        <f t="shared" si="130"/>
        <v>280</v>
      </c>
      <c r="AM234" s="38">
        <f t="shared" si="130"/>
        <v>254</v>
      </c>
      <c r="AN234" s="38">
        <f t="shared" si="130"/>
        <v>574</v>
      </c>
      <c r="AO234" s="38">
        <f t="shared" si="130"/>
        <v>0</v>
      </c>
      <c r="AP234" s="38">
        <f t="shared" si="130"/>
        <v>0</v>
      </c>
      <c r="AQ234" s="38">
        <f t="shared" si="130"/>
        <v>0</v>
      </c>
      <c r="AR234" s="38">
        <f t="shared" si="130"/>
        <v>0</v>
      </c>
      <c r="AS234" s="59">
        <f t="shared" si="130"/>
        <v>1108</v>
      </c>
    </row>
    <row r="235" spans="1:45" x14ac:dyDescent="0.2">
      <c r="A235" t="s">
        <v>4279</v>
      </c>
      <c r="B235">
        <f>SUM(FishSumAllPRN!B235)</f>
        <v>115</v>
      </c>
      <c r="C235">
        <f>SUM(FishSumAllPRN!C235)</f>
        <v>58</v>
      </c>
      <c r="D235">
        <f>SUM(FishSumAllPRN!D235)</f>
        <v>55</v>
      </c>
      <c r="E235">
        <f>SUM(FishSumAllPRN!E235)</f>
        <v>0</v>
      </c>
      <c r="F235">
        <f>SUM(FishSumAllPRN!F235)</f>
        <v>0</v>
      </c>
      <c r="G235">
        <f>SUM(FishSumAllPRN!G235)</f>
        <v>228</v>
      </c>
      <c r="H235" s="54" t="s">
        <v>294</v>
      </c>
      <c r="I235" s="54"/>
      <c r="K235" t="s">
        <v>5669</v>
      </c>
      <c r="R235" s="38">
        <f>SUM(B224)</f>
        <v>0</v>
      </c>
      <c r="S235" s="38">
        <f>SUM(C224)</f>
        <v>0</v>
      </c>
      <c r="T235" s="38">
        <f>SUM(D224)</f>
        <v>0</v>
      </c>
      <c r="U235" s="38">
        <f>SUM(E224)</f>
        <v>0</v>
      </c>
      <c r="V235" s="38">
        <f>SUM(F224)</f>
        <v>0</v>
      </c>
      <c r="Z235">
        <f t="shared" si="117"/>
        <v>0</v>
      </c>
      <c r="AC235" s="50"/>
      <c r="AD235" s="37"/>
      <c r="AE235" s="37"/>
      <c r="AF235" s="37"/>
      <c r="AG235" s="37"/>
      <c r="AH235" s="37"/>
      <c r="AI235" s="37"/>
      <c r="AJ235" s="37"/>
      <c r="AK235" s="38"/>
      <c r="AL235" s="38"/>
      <c r="AM235" s="38"/>
      <c r="AN235" s="38"/>
      <c r="AO235" s="38"/>
      <c r="AP235" s="38"/>
      <c r="AQ235" s="38"/>
      <c r="AR235" s="38"/>
      <c r="AS235" s="59"/>
    </row>
    <row r="236" spans="1:45" x14ac:dyDescent="0.2">
      <c r="A236" t="s">
        <v>4280</v>
      </c>
      <c r="B236">
        <f>SUM(FishSumAllPRN!B236)</f>
        <v>0</v>
      </c>
      <c r="C236">
        <f>SUM(FishSumAllPRN!C236)</f>
        <v>0</v>
      </c>
      <c r="D236">
        <f>SUM(FishSumAllPRN!D236)</f>
        <v>0</v>
      </c>
      <c r="E236">
        <f>SUM(FishSumAllPRN!E236)</f>
        <v>0</v>
      </c>
      <c r="F236">
        <f>SUM(FishSumAllPRN!F236)</f>
        <v>0</v>
      </c>
      <c r="G236">
        <f>SUM(FishSumAllPRN!G236)</f>
        <v>0</v>
      </c>
      <c r="H236" s="54" t="s">
        <v>294</v>
      </c>
      <c r="I236" s="54"/>
      <c r="K236" t="s">
        <v>5671</v>
      </c>
      <c r="R236" s="38">
        <f>SUM(B228)</f>
        <v>0</v>
      </c>
      <c r="S236" s="38">
        <f>SUM(C228)</f>
        <v>0</v>
      </c>
      <c r="T236" s="38">
        <f>SUM(D228)</f>
        <v>0</v>
      </c>
      <c r="U236" s="38">
        <f>SUM(E228)</f>
        <v>0</v>
      </c>
      <c r="V236" s="38">
        <f>SUM(F228)</f>
        <v>0</v>
      </c>
      <c r="Z236">
        <f t="shared" si="117"/>
        <v>0</v>
      </c>
      <c r="AC236" s="50" t="s">
        <v>5663</v>
      </c>
      <c r="AD236" s="37"/>
      <c r="AE236" s="37"/>
      <c r="AF236" s="37"/>
      <c r="AG236" s="37"/>
      <c r="AH236" s="37"/>
      <c r="AI236" s="37"/>
      <c r="AJ236" s="37" t="s">
        <v>5664</v>
      </c>
      <c r="AK236">
        <f t="shared" ref="AK236:AM239" si="131">SUM(R238)</f>
        <v>249</v>
      </c>
      <c r="AL236">
        <f t="shared" si="131"/>
        <v>551</v>
      </c>
      <c r="AM236">
        <f t="shared" si="131"/>
        <v>734</v>
      </c>
      <c r="AN236">
        <f t="shared" ref="AN236:AS239" si="132">SUM(U238)</f>
        <v>264</v>
      </c>
      <c r="AO236">
        <f t="shared" si="132"/>
        <v>0</v>
      </c>
      <c r="AP236">
        <f t="shared" si="132"/>
        <v>0</v>
      </c>
      <c r="AQ236">
        <f t="shared" si="132"/>
        <v>0</v>
      </c>
      <c r="AR236">
        <f t="shared" si="132"/>
        <v>0</v>
      </c>
      <c r="AS236" s="58">
        <f t="shared" si="132"/>
        <v>1798</v>
      </c>
    </row>
    <row r="237" spans="1:45" x14ac:dyDescent="0.2">
      <c r="A237" t="s">
        <v>4281</v>
      </c>
      <c r="B237">
        <f>SUM(FishSumAllPRN!B237)</f>
        <v>1330</v>
      </c>
      <c r="C237">
        <f>SUM(FishSumAllPRN!C237)</f>
        <v>1518</v>
      </c>
      <c r="D237">
        <f>SUM(FishSumAllPRN!D237)</f>
        <v>2316</v>
      </c>
      <c r="E237">
        <f>SUM(FishSumAllPRN!E237)</f>
        <v>438</v>
      </c>
      <c r="F237">
        <f>SUM(FishSumAllPRN!F237)</f>
        <v>0</v>
      </c>
      <c r="G237">
        <f>SUM(FishSumAllPRN!G237)</f>
        <v>5601</v>
      </c>
      <c r="H237" s="54" t="s">
        <v>294</v>
      </c>
      <c r="I237" s="54"/>
      <c r="K237" t="s">
        <v>5674</v>
      </c>
      <c r="R237" s="38">
        <f>SUM(B227)</f>
        <v>0</v>
      </c>
      <c r="S237" s="38">
        <f>SUM(C227)</f>
        <v>0</v>
      </c>
      <c r="T237" s="38">
        <f>SUM(D227)</f>
        <v>0</v>
      </c>
      <c r="U237" s="38">
        <f>SUM(E227)</f>
        <v>0</v>
      </c>
      <c r="V237" s="38">
        <f>SUM(F227)</f>
        <v>0</v>
      </c>
      <c r="Z237">
        <f t="shared" si="117"/>
        <v>0</v>
      </c>
      <c r="AC237" s="50"/>
      <c r="AD237" s="37"/>
      <c r="AE237" s="37"/>
      <c r="AF237" s="37"/>
      <c r="AG237" s="37"/>
      <c r="AH237" s="37"/>
      <c r="AI237" s="37"/>
      <c r="AJ237" s="37" t="s">
        <v>5668</v>
      </c>
      <c r="AK237">
        <f t="shared" si="131"/>
        <v>14</v>
      </c>
      <c r="AL237">
        <f t="shared" si="131"/>
        <v>50</v>
      </c>
      <c r="AM237">
        <f t="shared" si="131"/>
        <v>204</v>
      </c>
      <c r="AN237">
        <f t="shared" si="132"/>
        <v>130</v>
      </c>
      <c r="AO237">
        <f t="shared" si="132"/>
        <v>0</v>
      </c>
      <c r="AP237">
        <f t="shared" si="132"/>
        <v>0</v>
      </c>
      <c r="AQ237">
        <f t="shared" si="132"/>
        <v>0</v>
      </c>
      <c r="AR237">
        <f t="shared" si="132"/>
        <v>0</v>
      </c>
      <c r="AS237" s="58">
        <f t="shared" si="132"/>
        <v>398</v>
      </c>
    </row>
    <row r="238" spans="1:45" x14ac:dyDescent="0.2">
      <c r="A238" t="s">
        <v>4282</v>
      </c>
      <c r="B238">
        <f>SUM(FishSumAllPRN!B238)</f>
        <v>0</v>
      </c>
      <c r="C238">
        <f>SUM(FishSumAllPRN!C238)</f>
        <v>414</v>
      </c>
      <c r="D238">
        <f>SUM(FishSumAllPRN!D238)</f>
        <v>482</v>
      </c>
      <c r="E238">
        <f>SUM(FishSumAllPRN!E238)</f>
        <v>0</v>
      </c>
      <c r="F238">
        <f>SUM(FishSumAllPRN!F238)</f>
        <v>0</v>
      </c>
      <c r="G238">
        <f>SUM(FishSumAllPRN!G238)</f>
        <v>896</v>
      </c>
      <c r="H238" s="54" t="s">
        <v>294</v>
      </c>
      <c r="I238" s="54"/>
      <c r="K238" t="s">
        <v>5676</v>
      </c>
      <c r="R238" s="38">
        <f>SUM(B261)</f>
        <v>249</v>
      </c>
      <c r="S238" s="38">
        <f>SUM(C261)</f>
        <v>551</v>
      </c>
      <c r="T238" s="38">
        <f>SUM(D261)</f>
        <v>734</v>
      </c>
      <c r="U238" s="38">
        <f>SUM(E261)</f>
        <v>264</v>
      </c>
      <c r="V238" s="38">
        <f>SUM(F261)</f>
        <v>0</v>
      </c>
      <c r="Z238">
        <f t="shared" si="117"/>
        <v>1798</v>
      </c>
      <c r="AC238" s="50"/>
      <c r="AD238" s="37"/>
      <c r="AE238" s="37"/>
      <c r="AF238" s="37"/>
      <c r="AG238" s="37"/>
      <c r="AH238" s="37"/>
      <c r="AI238" s="37"/>
      <c r="AJ238" s="37" t="s">
        <v>5670</v>
      </c>
      <c r="AK238">
        <f t="shared" si="131"/>
        <v>0</v>
      </c>
      <c r="AL238">
        <f t="shared" si="131"/>
        <v>1087</v>
      </c>
      <c r="AM238">
        <f t="shared" si="131"/>
        <v>2725</v>
      </c>
      <c r="AN238">
        <f t="shared" si="132"/>
        <v>1562</v>
      </c>
      <c r="AO238">
        <f t="shared" si="132"/>
        <v>0</v>
      </c>
      <c r="AP238">
        <f t="shared" si="132"/>
        <v>0</v>
      </c>
      <c r="AQ238">
        <f t="shared" si="132"/>
        <v>0</v>
      </c>
      <c r="AR238">
        <f t="shared" si="132"/>
        <v>0</v>
      </c>
      <c r="AS238" s="58">
        <f t="shared" si="132"/>
        <v>5374</v>
      </c>
    </row>
    <row r="239" spans="1:45" x14ac:dyDescent="0.2">
      <c r="A239" t="s">
        <v>4283</v>
      </c>
      <c r="B239">
        <f>SUM(FishSumAllPRN!B239)</f>
        <v>699</v>
      </c>
      <c r="C239">
        <f>SUM(FishSumAllPRN!C239)</f>
        <v>752</v>
      </c>
      <c r="D239">
        <f>SUM(FishSumAllPRN!D239)</f>
        <v>518</v>
      </c>
      <c r="E239">
        <f>SUM(FishSumAllPRN!E239)</f>
        <v>202</v>
      </c>
      <c r="F239">
        <f>SUM(FishSumAllPRN!F239)</f>
        <v>0</v>
      </c>
      <c r="G239">
        <f>SUM(FishSumAllPRN!G239)</f>
        <v>2171</v>
      </c>
      <c r="H239" s="54" t="s">
        <v>294</v>
      </c>
      <c r="I239" s="54"/>
      <c r="K239" t="s">
        <v>5678</v>
      </c>
      <c r="R239" s="38">
        <f>SUM(B260)</f>
        <v>14</v>
      </c>
      <c r="S239" s="38">
        <f>SUM(C260)</f>
        <v>50</v>
      </c>
      <c r="T239" s="38">
        <f>SUM(D260)</f>
        <v>204</v>
      </c>
      <c r="U239" s="38">
        <f>SUM(E260)</f>
        <v>130</v>
      </c>
      <c r="V239" s="38">
        <f>SUM(F260)</f>
        <v>0</v>
      </c>
      <c r="Z239">
        <f t="shared" si="117"/>
        <v>398</v>
      </c>
      <c r="AC239" s="50"/>
      <c r="AD239" s="37"/>
      <c r="AE239" s="37"/>
      <c r="AF239" s="37"/>
      <c r="AG239" s="37"/>
      <c r="AH239" s="37"/>
      <c r="AI239" s="37"/>
      <c r="AJ239" s="37" t="s">
        <v>5672</v>
      </c>
      <c r="AK239">
        <f t="shared" si="131"/>
        <v>262</v>
      </c>
      <c r="AL239">
        <f t="shared" si="131"/>
        <v>1489</v>
      </c>
      <c r="AM239">
        <f t="shared" si="131"/>
        <v>3913</v>
      </c>
      <c r="AN239">
        <f t="shared" si="132"/>
        <v>1038</v>
      </c>
      <c r="AO239">
        <f t="shared" si="132"/>
        <v>0</v>
      </c>
      <c r="AP239">
        <f t="shared" si="132"/>
        <v>0</v>
      </c>
      <c r="AQ239">
        <f t="shared" si="132"/>
        <v>0</v>
      </c>
      <c r="AR239">
        <f t="shared" si="132"/>
        <v>0</v>
      </c>
      <c r="AS239" s="58">
        <f t="shared" si="132"/>
        <v>6702</v>
      </c>
    </row>
    <row r="240" spans="1:45" x14ac:dyDescent="0.2">
      <c r="A240" t="s">
        <v>4284</v>
      </c>
      <c r="B240">
        <f>SUM(FishSumAllPRN!B240)</f>
        <v>0</v>
      </c>
      <c r="C240">
        <f>SUM(FishSumAllPRN!C240)</f>
        <v>0</v>
      </c>
      <c r="D240">
        <f>SUM(FishSumAllPRN!D240)</f>
        <v>77</v>
      </c>
      <c r="E240">
        <f>SUM(FishSumAllPRN!E240)</f>
        <v>0</v>
      </c>
      <c r="F240">
        <f>SUM(FishSumAllPRN!F240)</f>
        <v>0</v>
      </c>
      <c r="G240">
        <f>SUM(FishSumAllPRN!G240)</f>
        <v>77</v>
      </c>
      <c r="H240" s="54" t="s">
        <v>294</v>
      </c>
      <c r="I240" s="54"/>
      <c r="K240" t="s">
        <v>5679</v>
      </c>
      <c r="R240" s="38">
        <f>SUM(B257)</f>
        <v>0</v>
      </c>
      <c r="S240" s="38">
        <f>SUM(C257)</f>
        <v>1087</v>
      </c>
      <c r="T240" s="38">
        <f>SUM(D257)</f>
        <v>2725</v>
      </c>
      <c r="U240" s="38">
        <f>SUM(E257)</f>
        <v>1562</v>
      </c>
      <c r="V240" s="38">
        <f>SUM(F257)</f>
        <v>0</v>
      </c>
      <c r="Z240">
        <f t="shared" si="117"/>
        <v>5374</v>
      </c>
      <c r="AC240" s="50"/>
      <c r="AD240" s="37"/>
      <c r="AE240" s="37"/>
      <c r="AF240" s="37"/>
      <c r="AG240" s="37"/>
      <c r="AH240" s="37"/>
      <c r="AI240" s="37"/>
      <c r="AJ240" s="37" t="s">
        <v>145</v>
      </c>
      <c r="AK240">
        <v>0</v>
      </c>
      <c r="AL240">
        <v>0</v>
      </c>
      <c r="AM240">
        <f>SUM(T242)</f>
        <v>0</v>
      </c>
      <c r="AN240">
        <f>SUM(U242)</f>
        <v>4816</v>
      </c>
      <c r="AO240">
        <f>SUM(V242)</f>
        <v>0</v>
      </c>
      <c r="AS240" s="58">
        <f>SUM(AK240:AO240)</f>
        <v>4816</v>
      </c>
    </row>
    <row r="241" spans="1:45" x14ac:dyDescent="0.2">
      <c r="A241" t="s">
        <v>4285</v>
      </c>
      <c r="B241">
        <f>SUM(FishSumAllPRN!B241)</f>
        <v>730</v>
      </c>
      <c r="C241">
        <f>SUM(FishSumAllPRN!C241)</f>
        <v>884</v>
      </c>
      <c r="D241">
        <f>SUM(FishSumAllPRN!D241)</f>
        <v>872</v>
      </c>
      <c r="E241">
        <f>SUM(FishSumAllPRN!E241)</f>
        <v>211</v>
      </c>
      <c r="F241">
        <f>SUM(FishSumAllPRN!F241)</f>
        <v>0</v>
      </c>
      <c r="G241">
        <f>SUM(FishSumAllPRN!G241)</f>
        <v>2697</v>
      </c>
      <c r="H241" s="54" t="s">
        <v>294</v>
      </c>
      <c r="I241" s="54"/>
      <c r="K241" t="s">
        <v>5681</v>
      </c>
      <c r="R241" s="38">
        <f>SUM(B253)</f>
        <v>262</v>
      </c>
      <c r="S241" s="38">
        <f>SUM(C253)</f>
        <v>1489</v>
      </c>
      <c r="T241" s="38">
        <f>SUM(D253)</f>
        <v>3913</v>
      </c>
      <c r="U241" s="38">
        <f>SUM(E253)</f>
        <v>1038</v>
      </c>
      <c r="V241" s="38">
        <f>SUM(F253)</f>
        <v>0</v>
      </c>
      <c r="Z241">
        <f t="shared" si="117"/>
        <v>6702</v>
      </c>
      <c r="AC241" s="60" t="s">
        <v>5677</v>
      </c>
      <c r="AD241" s="1952"/>
      <c r="AE241" s="1952"/>
      <c r="AF241" s="1952"/>
      <c r="AG241" s="1952"/>
      <c r="AH241" s="1952"/>
      <c r="AI241" s="1952"/>
      <c r="AJ241" s="1952"/>
      <c r="AK241" s="1953">
        <f t="shared" ref="AK241:AS241" si="133">SUM(AK226,AK230,AK236:AK240)</f>
        <v>525</v>
      </c>
      <c r="AL241" s="1953">
        <f t="shared" si="133"/>
        <v>4323</v>
      </c>
      <c r="AM241" s="1953">
        <f t="shared" si="133"/>
        <v>10245</v>
      </c>
      <c r="AN241" s="1953">
        <f t="shared" si="133"/>
        <v>9551</v>
      </c>
      <c r="AO241" s="1953">
        <f t="shared" si="133"/>
        <v>0</v>
      </c>
      <c r="AP241" s="1953">
        <f t="shared" si="133"/>
        <v>0</v>
      </c>
      <c r="AQ241" s="1953">
        <f t="shared" si="133"/>
        <v>0</v>
      </c>
      <c r="AR241" s="1953">
        <f t="shared" si="133"/>
        <v>0</v>
      </c>
      <c r="AS241" s="1954">
        <f t="shared" si="133"/>
        <v>24644</v>
      </c>
    </row>
    <row r="242" spans="1:45" x14ac:dyDescent="0.2">
      <c r="A242" t="s">
        <v>4286</v>
      </c>
      <c r="B242">
        <f>SUM(FishSumAllPRN!B242)</f>
        <v>0</v>
      </c>
      <c r="C242">
        <f>SUM(FishSumAllPRN!C242)</f>
        <v>19</v>
      </c>
      <c r="D242">
        <f>SUM(FishSumAllPRN!D242)</f>
        <v>35</v>
      </c>
      <c r="E242">
        <f>SUM(FishSumAllPRN!E242)</f>
        <v>0</v>
      </c>
      <c r="F242">
        <f>SUM(FishSumAllPRN!F242)</f>
        <v>0</v>
      </c>
      <c r="G242">
        <f>SUM(FishSumAllPRN!G242)</f>
        <v>54</v>
      </c>
      <c r="H242" s="54" t="s">
        <v>294</v>
      </c>
      <c r="I242" s="54"/>
      <c r="K242" t="s">
        <v>5683</v>
      </c>
      <c r="R242" s="38">
        <f>SUM(B243)</f>
        <v>0</v>
      </c>
      <c r="S242" s="38">
        <f>SUM(C243)</f>
        <v>0</v>
      </c>
      <c r="T242" s="38">
        <f>SUM(D243)</f>
        <v>0</v>
      </c>
      <c r="U242" s="38">
        <f>SUM(E243)</f>
        <v>4816</v>
      </c>
      <c r="V242" s="38">
        <f>SUM(F243)</f>
        <v>0</v>
      </c>
      <c r="Z242">
        <f t="shared" si="117"/>
        <v>4816</v>
      </c>
      <c r="AC242" s="50"/>
      <c r="AD242" s="37"/>
      <c r="AE242" s="37"/>
      <c r="AF242" s="37"/>
      <c r="AG242" s="37"/>
      <c r="AH242" s="37"/>
      <c r="AI242" s="37"/>
      <c r="AJ242" s="37"/>
      <c r="AS242" s="58"/>
    </row>
    <row r="243" spans="1:45" x14ac:dyDescent="0.2">
      <c r="A243" t="s">
        <v>4287</v>
      </c>
      <c r="B243">
        <f>SUM(FishSumAllPRN!B243)</f>
        <v>0</v>
      </c>
      <c r="C243">
        <f>SUM(FishSumAllPRN!C243)</f>
        <v>0</v>
      </c>
      <c r="D243">
        <f>SUM(FishSumAllPRN!D243)</f>
        <v>0</v>
      </c>
      <c r="E243">
        <f>SUM(FishSumAllPRN!E243)</f>
        <v>4816</v>
      </c>
      <c r="F243">
        <f>SUM(FishSumAllPRN!F243)</f>
        <v>0</v>
      </c>
      <c r="G243">
        <f>SUM(FishSumAllPRN!G243)</f>
        <v>4816</v>
      </c>
      <c r="H243" s="54" t="s">
        <v>294</v>
      </c>
      <c r="I243" s="54"/>
      <c r="K243" t="s">
        <v>5685</v>
      </c>
      <c r="R243" s="38">
        <f>SUM(B241)</f>
        <v>730</v>
      </c>
      <c r="S243" s="38">
        <f>SUM(C241)</f>
        <v>884</v>
      </c>
      <c r="T243" s="38">
        <f>SUM(D241)</f>
        <v>872</v>
      </c>
      <c r="U243" s="38">
        <f>SUM(E241)</f>
        <v>211</v>
      </c>
      <c r="V243" s="38">
        <f>SUM(F241)</f>
        <v>0</v>
      </c>
      <c r="Z243">
        <f t="shared" si="117"/>
        <v>2697</v>
      </c>
      <c r="AC243" s="50" t="s">
        <v>5680</v>
      </c>
      <c r="AD243" s="37"/>
      <c r="AE243" s="37"/>
      <c r="AF243" s="37"/>
      <c r="AG243" s="37"/>
      <c r="AH243" s="37"/>
      <c r="AI243" s="37"/>
      <c r="AJ243" s="37"/>
      <c r="AS243" s="58"/>
    </row>
    <row r="244" spans="1:45" x14ac:dyDescent="0.2">
      <c r="A244" t="s">
        <v>4288</v>
      </c>
      <c r="B244">
        <f>SUM(FishSumAllPRN!B244)</f>
        <v>0</v>
      </c>
      <c r="C244">
        <f>SUM(FishSumAllPRN!C244)</f>
        <v>0</v>
      </c>
      <c r="D244">
        <f>SUM(FishSumAllPRN!D244)</f>
        <v>0</v>
      </c>
      <c r="E244">
        <f>SUM(FishSumAllPRN!E244)</f>
        <v>0</v>
      </c>
      <c r="F244">
        <f>SUM(FishSumAllPRN!F244)</f>
        <v>73</v>
      </c>
      <c r="G244">
        <f>SUM(FishSumAllPRN!G244)</f>
        <v>73</v>
      </c>
      <c r="H244" s="54" t="s">
        <v>294</v>
      </c>
      <c r="I244" s="54"/>
      <c r="K244" t="s">
        <v>5687</v>
      </c>
      <c r="R244" s="38">
        <f>SUM(B237)</f>
        <v>1330</v>
      </c>
      <c r="S244" s="38">
        <f>SUM(C237)</f>
        <v>1518</v>
      </c>
      <c r="T244" s="38">
        <f>SUM(D237)</f>
        <v>2316</v>
      </c>
      <c r="U244" s="38">
        <f>SUM(E237)</f>
        <v>438</v>
      </c>
      <c r="V244" s="38">
        <f>SUM(F237)</f>
        <v>0</v>
      </c>
      <c r="Z244">
        <f t="shared" si="117"/>
        <v>5602</v>
      </c>
      <c r="AC244" s="50" t="s">
        <v>5644</v>
      </c>
      <c r="AD244" s="37"/>
      <c r="AE244" s="37"/>
      <c r="AF244" s="37"/>
      <c r="AG244" s="37"/>
      <c r="AH244" s="37"/>
      <c r="AI244" s="37"/>
      <c r="AJ244" s="37" t="s">
        <v>5682</v>
      </c>
      <c r="AK244">
        <f t="shared" ref="AK244:AM247" si="134">SUM(R229)</f>
        <v>0</v>
      </c>
      <c r="AL244">
        <f t="shared" si="134"/>
        <v>19</v>
      </c>
      <c r="AM244">
        <f t="shared" si="134"/>
        <v>35</v>
      </c>
      <c r="AN244">
        <f t="shared" ref="AN244:AS247" si="135">SUM(U229)</f>
        <v>0</v>
      </c>
      <c r="AO244">
        <f t="shared" si="135"/>
        <v>0</v>
      </c>
      <c r="AP244">
        <f t="shared" si="135"/>
        <v>0</v>
      </c>
      <c r="AQ244">
        <f t="shared" si="135"/>
        <v>0</v>
      </c>
      <c r="AR244">
        <f t="shared" si="135"/>
        <v>0</v>
      </c>
      <c r="AS244" s="58">
        <f t="shared" si="135"/>
        <v>54</v>
      </c>
    </row>
    <row r="245" spans="1:45" x14ac:dyDescent="0.2">
      <c r="A245" t="s">
        <v>4289</v>
      </c>
      <c r="B245">
        <f>SUM(FishSumAllPRN!B245)</f>
        <v>0</v>
      </c>
      <c r="C245">
        <f>SUM(FishSumAllPRN!C245)</f>
        <v>0</v>
      </c>
      <c r="D245">
        <f>SUM(FishSumAllPRN!D245)</f>
        <v>0</v>
      </c>
      <c r="E245">
        <f>SUM(FishSumAllPRN!E245)</f>
        <v>0</v>
      </c>
      <c r="F245">
        <f>SUM(FishSumAllPRN!F245)</f>
        <v>4858</v>
      </c>
      <c r="G245">
        <f>SUM(FishSumAllPRN!G245)</f>
        <v>4858</v>
      </c>
      <c r="H245" s="54" t="s">
        <v>294</v>
      </c>
      <c r="I245" s="54"/>
      <c r="K245" t="s">
        <v>5689</v>
      </c>
      <c r="R245" s="38">
        <f>SUM(B239)</f>
        <v>699</v>
      </c>
      <c r="S245" s="38">
        <f>SUM(C239)</f>
        <v>752</v>
      </c>
      <c r="T245" s="38">
        <f>SUM(D239)</f>
        <v>518</v>
      </c>
      <c r="U245" s="38">
        <f>SUM(E239)</f>
        <v>202</v>
      </c>
      <c r="V245" s="38">
        <f>SUM(F239)</f>
        <v>0</v>
      </c>
      <c r="Z245">
        <f t="shared" si="117"/>
        <v>2171</v>
      </c>
      <c r="AC245" s="50"/>
      <c r="AD245" s="37"/>
      <c r="AE245" s="37"/>
      <c r="AF245" s="37"/>
      <c r="AG245" s="37"/>
      <c r="AH245" s="37"/>
      <c r="AI245" s="37"/>
      <c r="AJ245" s="37" t="s">
        <v>5684</v>
      </c>
      <c r="AK245">
        <f t="shared" si="134"/>
        <v>0</v>
      </c>
      <c r="AL245">
        <f t="shared" si="134"/>
        <v>414</v>
      </c>
      <c r="AM245">
        <f t="shared" si="134"/>
        <v>482</v>
      </c>
      <c r="AN245">
        <f t="shared" si="135"/>
        <v>0</v>
      </c>
      <c r="AO245">
        <f t="shared" si="135"/>
        <v>0</v>
      </c>
      <c r="AP245">
        <f t="shared" si="135"/>
        <v>0</v>
      </c>
      <c r="AQ245">
        <f t="shared" si="135"/>
        <v>0</v>
      </c>
      <c r="AR245">
        <f t="shared" si="135"/>
        <v>0</v>
      </c>
      <c r="AS245" s="58">
        <f t="shared" si="135"/>
        <v>896</v>
      </c>
    </row>
    <row r="246" spans="1:45" x14ac:dyDescent="0.2">
      <c r="A246" t="s">
        <v>4290</v>
      </c>
      <c r="B246">
        <f>SUM(FishSumAllPRN!B246)</f>
        <v>0</v>
      </c>
      <c r="C246">
        <f>SUM(FishSumAllPRN!C246)</f>
        <v>0</v>
      </c>
      <c r="D246">
        <f>SUM(FishSumAllPRN!D246)</f>
        <v>0</v>
      </c>
      <c r="E246">
        <f>SUM(FishSumAllPRN!E246)</f>
        <v>0</v>
      </c>
      <c r="F246">
        <f>SUM(FishSumAllPRN!F246)</f>
        <v>963</v>
      </c>
      <c r="G246">
        <f>SUM(FishSumAllPRN!G246)</f>
        <v>963</v>
      </c>
      <c r="H246" s="54" t="s">
        <v>294</v>
      </c>
      <c r="I246" s="54"/>
      <c r="K246" t="s">
        <v>5691</v>
      </c>
      <c r="R246" s="38">
        <f>SUM(B235)</f>
        <v>115</v>
      </c>
      <c r="S246" s="38">
        <f>SUM(C235)</f>
        <v>58</v>
      </c>
      <c r="T246" s="38">
        <f>SUM(D235)</f>
        <v>55</v>
      </c>
      <c r="U246" s="38">
        <f>SUM(E235)</f>
        <v>0</v>
      </c>
      <c r="V246" s="38">
        <f>SUM(F235)</f>
        <v>0</v>
      </c>
      <c r="Z246">
        <f t="shared" si="117"/>
        <v>228</v>
      </c>
      <c r="AC246" s="50"/>
      <c r="AD246" s="37"/>
      <c r="AE246" s="37"/>
      <c r="AF246" s="37"/>
      <c r="AG246" s="37"/>
      <c r="AH246" s="37"/>
      <c r="AI246" s="37"/>
      <c r="AJ246" s="37" t="s">
        <v>5686</v>
      </c>
      <c r="AK246">
        <f t="shared" si="134"/>
        <v>0</v>
      </c>
      <c r="AL246">
        <f t="shared" si="134"/>
        <v>0</v>
      </c>
      <c r="AM246">
        <f t="shared" si="134"/>
        <v>77</v>
      </c>
      <c r="AN246">
        <f t="shared" si="135"/>
        <v>0</v>
      </c>
      <c r="AO246">
        <f t="shared" si="135"/>
        <v>0</v>
      </c>
      <c r="AP246">
        <f t="shared" si="135"/>
        <v>0</v>
      </c>
      <c r="AQ246">
        <f t="shared" si="135"/>
        <v>0</v>
      </c>
      <c r="AR246">
        <f t="shared" si="135"/>
        <v>0</v>
      </c>
      <c r="AS246" s="58">
        <f t="shared" si="135"/>
        <v>77</v>
      </c>
    </row>
    <row r="247" spans="1:45" x14ac:dyDescent="0.2">
      <c r="A247" t="s">
        <v>4291</v>
      </c>
      <c r="B247">
        <f>SUM(FishSumAllPRN!B247)</f>
        <v>0</v>
      </c>
      <c r="C247">
        <f>SUM(FishSumAllPRN!C247)</f>
        <v>0</v>
      </c>
      <c r="D247">
        <f>SUM(FishSumAllPRN!D247)</f>
        <v>0</v>
      </c>
      <c r="E247">
        <f>SUM(FishSumAllPRN!E247)</f>
        <v>0</v>
      </c>
      <c r="F247">
        <f>SUM(FishSumAllPRN!F247)</f>
        <v>254</v>
      </c>
      <c r="G247">
        <f>SUM(FishSumAllPRN!G247)</f>
        <v>254</v>
      </c>
      <c r="H247" s="54" t="s">
        <v>294</v>
      </c>
      <c r="I247" s="54"/>
      <c r="K247" t="s">
        <v>5693</v>
      </c>
      <c r="R247">
        <f>SUM(B225*0.5)</f>
        <v>0</v>
      </c>
      <c r="S247">
        <f>SUM(C225*0.5)</f>
        <v>0</v>
      </c>
      <c r="T247">
        <f>SUM(D225*0.5)</f>
        <v>0</v>
      </c>
      <c r="U247">
        <f>SUM(E225*0.5)</f>
        <v>0</v>
      </c>
      <c r="V247">
        <f>SUM(F225*0.5)</f>
        <v>0</v>
      </c>
      <c r="Z247">
        <f t="shared" si="117"/>
        <v>0</v>
      </c>
      <c r="AC247" s="50"/>
      <c r="AD247" s="37"/>
      <c r="AE247" s="37"/>
      <c r="AF247" s="37"/>
      <c r="AG247" s="37"/>
      <c r="AH247" s="37"/>
      <c r="AI247" s="37"/>
      <c r="AJ247" s="37" t="s">
        <v>5688</v>
      </c>
      <c r="AK247">
        <f t="shared" si="134"/>
        <v>0</v>
      </c>
      <c r="AL247">
        <f t="shared" si="134"/>
        <v>0</v>
      </c>
      <c r="AM247">
        <f t="shared" si="134"/>
        <v>0</v>
      </c>
      <c r="AN247">
        <f t="shared" si="135"/>
        <v>0</v>
      </c>
      <c r="AO247">
        <f t="shared" si="135"/>
        <v>0</v>
      </c>
      <c r="AP247">
        <f t="shared" si="135"/>
        <v>0</v>
      </c>
      <c r="AQ247">
        <f t="shared" si="135"/>
        <v>0</v>
      </c>
      <c r="AR247">
        <f t="shared" si="135"/>
        <v>0</v>
      </c>
      <c r="AS247" s="58">
        <f t="shared" si="135"/>
        <v>0</v>
      </c>
    </row>
    <row r="248" spans="1:45" x14ac:dyDescent="0.2">
      <c r="A248" t="s">
        <v>4292</v>
      </c>
      <c r="B248">
        <f>SUM(FishSumAllPRN!B248)</f>
        <v>0</v>
      </c>
      <c r="C248">
        <f>SUM(FishSumAllPRN!C248)</f>
        <v>0</v>
      </c>
      <c r="D248">
        <f>SUM(FishSumAllPRN!D248)</f>
        <v>0</v>
      </c>
      <c r="E248">
        <f>SUM(FishSumAllPRN!E248)</f>
        <v>0</v>
      </c>
      <c r="F248">
        <f>SUM(FishSumAllPRN!F248)</f>
        <v>72</v>
      </c>
      <c r="G248">
        <f>SUM(FishSumAllPRN!G248)</f>
        <v>72</v>
      </c>
      <c r="H248" s="54" t="s">
        <v>294</v>
      </c>
      <c r="I248" s="54"/>
      <c r="K248" t="s">
        <v>5696</v>
      </c>
      <c r="R248">
        <f>SUM(B225*0.5)</f>
        <v>0</v>
      </c>
      <c r="S248">
        <f>SUM(C225*0.5)</f>
        <v>0</v>
      </c>
      <c r="T248">
        <f>SUM(D225*0.5)</f>
        <v>0</v>
      </c>
      <c r="U248">
        <f>SUM(E225*0.5)</f>
        <v>0</v>
      </c>
      <c r="V248">
        <f>SUM(F225*0.5)</f>
        <v>0</v>
      </c>
      <c r="Z248">
        <f t="shared" si="117"/>
        <v>0</v>
      </c>
      <c r="AC248" s="50"/>
      <c r="AD248" s="37"/>
      <c r="AE248" s="37"/>
      <c r="AF248" s="37"/>
      <c r="AG248" s="37"/>
      <c r="AH248" s="37"/>
      <c r="AI248" s="37"/>
      <c r="AJ248" s="37" t="s">
        <v>5690</v>
      </c>
      <c r="AK248">
        <f>SUM(R233,R234)</f>
        <v>0</v>
      </c>
      <c r="AL248">
        <f>SUM(S233,S234)</f>
        <v>0</v>
      </c>
      <c r="AM248">
        <f>SUM(T233,T234)</f>
        <v>0</v>
      </c>
      <c r="AN248">
        <f>SUM(U233,U234)</f>
        <v>0</v>
      </c>
      <c r="AO248">
        <f>SUM(V233,V234)</f>
        <v>0</v>
      </c>
      <c r="AP248">
        <f>SUM(W233)</f>
        <v>0</v>
      </c>
      <c r="AQ248">
        <f>SUM(X233)</f>
        <v>0</v>
      </c>
      <c r="AR248">
        <f>SUM(Y233)</f>
        <v>0</v>
      </c>
      <c r="AS248" s="58">
        <f>SUM(Z233,26)</f>
        <v>26</v>
      </c>
    </row>
    <row r="249" spans="1:45" x14ac:dyDescent="0.2">
      <c r="A249" t="s">
        <v>4293</v>
      </c>
      <c r="B249">
        <f>SUM(FishSumAllPRN!B249)</f>
        <v>0</v>
      </c>
      <c r="C249">
        <f>SUM(FishSumAllPRN!C249)</f>
        <v>0</v>
      </c>
      <c r="D249">
        <f>SUM(FishSumAllPRN!D249)</f>
        <v>0</v>
      </c>
      <c r="E249">
        <f>SUM(FishSumAllPRN!E249)</f>
        <v>0</v>
      </c>
      <c r="F249">
        <f>SUM(FishSumAllPRN!F249)</f>
        <v>120</v>
      </c>
      <c r="G249">
        <f>SUM(FishSumAllPRN!G249)</f>
        <v>120</v>
      </c>
      <c r="H249" s="54" t="s">
        <v>294</v>
      </c>
      <c r="I249" s="54"/>
      <c r="K249" t="s">
        <v>5697</v>
      </c>
      <c r="R249" s="38">
        <f>SUM(B223)</f>
        <v>0</v>
      </c>
      <c r="S249" s="38">
        <f>SUM(C223)</f>
        <v>0</v>
      </c>
      <c r="T249" s="38">
        <f>SUM(D223)</f>
        <v>0</v>
      </c>
      <c r="U249" s="38">
        <f>SUM(E223)</f>
        <v>0</v>
      </c>
      <c r="V249" s="38">
        <f>SUM(F223)</f>
        <v>0</v>
      </c>
      <c r="Z249">
        <f t="shared" si="117"/>
        <v>0</v>
      </c>
      <c r="AC249" s="50"/>
      <c r="AD249" s="37"/>
      <c r="AE249" s="37"/>
      <c r="AF249" s="37"/>
      <c r="AG249" s="37"/>
      <c r="AH249" s="37"/>
      <c r="AI249" s="37"/>
      <c r="AJ249" s="37" t="s">
        <v>5692</v>
      </c>
      <c r="AK249">
        <f t="shared" ref="AK249:AM250" si="136">SUM(R235)</f>
        <v>0</v>
      </c>
      <c r="AL249">
        <f t="shared" si="136"/>
        <v>0</v>
      </c>
      <c r="AM249">
        <f t="shared" si="136"/>
        <v>0</v>
      </c>
      <c r="AN249">
        <f t="shared" ref="AN249:AS250" si="137">SUM(U235)</f>
        <v>0</v>
      </c>
      <c r="AO249">
        <f t="shared" si="137"/>
        <v>0</v>
      </c>
      <c r="AP249">
        <f t="shared" si="137"/>
        <v>0</v>
      </c>
      <c r="AQ249">
        <f t="shared" si="137"/>
        <v>0</v>
      </c>
      <c r="AR249">
        <f t="shared" si="137"/>
        <v>0</v>
      </c>
      <c r="AS249" s="58">
        <f t="shared" si="137"/>
        <v>0</v>
      </c>
    </row>
    <row r="250" spans="1:45" x14ac:dyDescent="0.2">
      <c r="A250" t="s">
        <v>4294</v>
      </c>
      <c r="B250">
        <f>SUM(FishSumAllPRN!B250)</f>
        <v>0</v>
      </c>
      <c r="C250">
        <f>SUM(FishSumAllPRN!C250)</f>
        <v>0</v>
      </c>
      <c r="D250">
        <f>SUM(FishSumAllPRN!D250)</f>
        <v>0</v>
      </c>
      <c r="E250">
        <f>SUM(FishSumAllPRN!E250)</f>
        <v>0</v>
      </c>
      <c r="F250">
        <f>SUM(FishSumAllPRN!F250)</f>
        <v>545</v>
      </c>
      <c r="G250">
        <f>SUM(FishSumAllPRN!G250)</f>
        <v>545</v>
      </c>
      <c r="H250" s="54" t="s">
        <v>294</v>
      </c>
      <c r="I250" s="54"/>
      <c r="K250" t="s">
        <v>5698</v>
      </c>
      <c r="R250" s="38">
        <f>SUM(B264)</f>
        <v>0</v>
      </c>
      <c r="S250" s="38">
        <f>SUM(C264)</f>
        <v>0</v>
      </c>
      <c r="T250" s="38">
        <f>SUM(D264)</f>
        <v>11</v>
      </c>
      <c r="U250" s="38">
        <f>SUM(E264)</f>
        <v>9</v>
      </c>
      <c r="V250" s="38">
        <f>SUM(F264)</f>
        <v>0</v>
      </c>
      <c r="Z250">
        <f t="shared" si="117"/>
        <v>20</v>
      </c>
      <c r="AC250" s="50"/>
      <c r="AD250" s="37"/>
      <c r="AE250" s="37"/>
      <c r="AF250" s="37"/>
      <c r="AG250" s="37"/>
      <c r="AH250" s="37"/>
      <c r="AI250" s="37"/>
      <c r="AJ250" s="37" t="s">
        <v>5694</v>
      </c>
      <c r="AK250">
        <f t="shared" si="136"/>
        <v>0</v>
      </c>
      <c r="AL250">
        <f t="shared" si="136"/>
        <v>0</v>
      </c>
      <c r="AM250">
        <f t="shared" si="136"/>
        <v>0</v>
      </c>
      <c r="AN250">
        <f t="shared" si="137"/>
        <v>0</v>
      </c>
      <c r="AO250">
        <f t="shared" si="137"/>
        <v>0</v>
      </c>
      <c r="AP250">
        <f t="shared" si="137"/>
        <v>0</v>
      </c>
      <c r="AQ250">
        <f t="shared" si="137"/>
        <v>0</v>
      </c>
      <c r="AR250">
        <f t="shared" si="137"/>
        <v>0</v>
      </c>
      <c r="AS250" s="58">
        <f t="shared" si="137"/>
        <v>0</v>
      </c>
    </row>
    <row r="251" spans="1:45" x14ac:dyDescent="0.2">
      <c r="A251" t="s">
        <v>4295</v>
      </c>
      <c r="B251">
        <f>SUM(FishSumAllPRN!B251)</f>
        <v>0</v>
      </c>
      <c r="C251">
        <f>SUM(FishSumAllPRN!C251)</f>
        <v>0</v>
      </c>
      <c r="D251">
        <f>SUM(FishSumAllPRN!D251)</f>
        <v>0</v>
      </c>
      <c r="E251">
        <f>SUM(FishSumAllPRN!E251)</f>
        <v>0</v>
      </c>
      <c r="F251">
        <f>SUM(FishSumAllPRN!F251)</f>
        <v>0</v>
      </c>
      <c r="G251">
        <f>SUM(FishSumAllPRN!G251)</f>
        <v>0</v>
      </c>
      <c r="H251" s="54" t="s">
        <v>294</v>
      </c>
      <c r="I251" s="54"/>
      <c r="K251" t="s">
        <v>5699</v>
      </c>
      <c r="R251" s="38">
        <f>SUM(B311:B312)</f>
        <v>0</v>
      </c>
      <c r="S251" s="38">
        <f>SUM(C311:C312)</f>
        <v>54</v>
      </c>
      <c r="T251" s="38">
        <f>SUM(D311:D312)</f>
        <v>431</v>
      </c>
      <c r="U251" s="38">
        <f>SUM(E311:E312)</f>
        <v>2810</v>
      </c>
      <c r="V251" s="38">
        <f>SUM(F311:F312)</f>
        <v>0</v>
      </c>
      <c r="Z251">
        <f t="shared" si="117"/>
        <v>3295</v>
      </c>
      <c r="AC251" s="50"/>
      <c r="AD251" s="37"/>
      <c r="AE251" s="37"/>
      <c r="AF251" s="37"/>
      <c r="AG251" s="37"/>
      <c r="AH251" s="37"/>
      <c r="AI251" s="37"/>
      <c r="AJ251" s="37"/>
      <c r="AS251" s="58"/>
    </row>
    <row r="252" spans="1:45" x14ac:dyDescent="0.2">
      <c r="A252" t="s">
        <v>4296</v>
      </c>
      <c r="B252">
        <f>SUM(FishSumAllPRN!B252)</f>
        <v>0</v>
      </c>
      <c r="C252">
        <f>SUM(FishSumAllPRN!C252)</f>
        <v>0</v>
      </c>
      <c r="D252">
        <f>SUM(FishSumAllPRN!D252)</f>
        <v>0</v>
      </c>
      <c r="E252">
        <f>SUM(FishSumAllPRN!E252)</f>
        <v>0</v>
      </c>
      <c r="F252">
        <f>SUM(FishSumAllPRN!F252)</f>
        <v>0</v>
      </c>
      <c r="G252">
        <f>SUM(FishSumAllPRN!G252)</f>
        <v>0</v>
      </c>
      <c r="H252" s="54" t="s">
        <v>294</v>
      </c>
      <c r="I252" s="54"/>
      <c r="K252" t="s">
        <v>5700</v>
      </c>
      <c r="R252" s="38">
        <f>SUM(B313)</f>
        <v>0</v>
      </c>
      <c r="S252" s="38">
        <f>SUM(C313)</f>
        <v>9</v>
      </c>
      <c r="T252" s="38">
        <f>SUM(D313)</f>
        <v>57</v>
      </c>
      <c r="U252" s="38">
        <f>SUM(E313)</f>
        <v>644</v>
      </c>
      <c r="V252" s="38">
        <f>SUM(F313)</f>
        <v>0</v>
      </c>
      <c r="Z252">
        <f t="shared" si="117"/>
        <v>710</v>
      </c>
      <c r="AC252" s="50" t="s">
        <v>5663</v>
      </c>
      <c r="AD252" s="37"/>
      <c r="AE252" s="37"/>
      <c r="AF252" s="37"/>
      <c r="AG252" s="37"/>
      <c r="AH252" s="37"/>
      <c r="AI252" s="37"/>
      <c r="AJ252" s="37" t="s">
        <v>5682</v>
      </c>
      <c r="AK252">
        <f t="shared" ref="AK252:AM255" si="138">SUM(R243)</f>
        <v>730</v>
      </c>
      <c r="AL252">
        <f t="shared" si="138"/>
        <v>884</v>
      </c>
      <c r="AM252">
        <f t="shared" si="138"/>
        <v>872</v>
      </c>
      <c r="AN252">
        <f t="shared" ref="AN252:AS255" si="139">SUM(U243)</f>
        <v>211</v>
      </c>
      <c r="AO252">
        <f t="shared" si="139"/>
        <v>0</v>
      </c>
      <c r="AP252">
        <f t="shared" si="139"/>
        <v>0</v>
      </c>
      <c r="AQ252">
        <f t="shared" si="139"/>
        <v>0</v>
      </c>
      <c r="AR252">
        <f t="shared" si="139"/>
        <v>0</v>
      </c>
      <c r="AS252" s="58">
        <f t="shared" si="139"/>
        <v>2697</v>
      </c>
    </row>
    <row r="253" spans="1:45" x14ac:dyDescent="0.2">
      <c r="A253" t="s">
        <v>4297</v>
      </c>
      <c r="B253">
        <f>SUM(FishSumAllPRN!B253)</f>
        <v>262</v>
      </c>
      <c r="C253">
        <f>SUM(FishSumAllPRN!C253)</f>
        <v>1489</v>
      </c>
      <c r="D253">
        <f>SUM(FishSumAllPRN!D253)</f>
        <v>3913</v>
      </c>
      <c r="E253">
        <f>SUM(FishSumAllPRN!E253)</f>
        <v>1038</v>
      </c>
      <c r="F253">
        <f>SUM(FishSumAllPRN!F253)</f>
        <v>0</v>
      </c>
      <c r="G253">
        <f>SUM(FishSumAllPRN!G253)</f>
        <v>6702</v>
      </c>
      <c r="H253" s="54" t="s">
        <v>294</v>
      </c>
      <c r="I253" s="54"/>
      <c r="K253" t="s">
        <v>5701</v>
      </c>
      <c r="R253" s="38">
        <f t="shared" ref="R253:T254" si="140">SUM(B326)</f>
        <v>0</v>
      </c>
      <c r="S253" s="38">
        <f t="shared" si="140"/>
        <v>0</v>
      </c>
      <c r="T253" s="38">
        <f t="shared" si="140"/>
        <v>14</v>
      </c>
      <c r="U253" s="38">
        <f>SUM(E326)</f>
        <v>126</v>
      </c>
      <c r="V253" s="38">
        <f>SUM(F326)</f>
        <v>3</v>
      </c>
      <c r="Z253">
        <f t="shared" si="117"/>
        <v>143</v>
      </c>
      <c r="AC253" s="50"/>
      <c r="AD253" s="37"/>
      <c r="AE253" s="37"/>
      <c r="AF253" s="37"/>
      <c r="AG253" s="37"/>
      <c r="AH253" s="37"/>
      <c r="AI253" s="37"/>
      <c r="AJ253" s="37" t="s">
        <v>5684</v>
      </c>
      <c r="AK253">
        <f t="shared" si="138"/>
        <v>1330</v>
      </c>
      <c r="AL253">
        <f t="shared" si="138"/>
        <v>1518</v>
      </c>
      <c r="AM253">
        <f t="shared" si="138"/>
        <v>2316</v>
      </c>
      <c r="AN253">
        <f t="shared" si="139"/>
        <v>438</v>
      </c>
      <c r="AO253">
        <f t="shared" si="139"/>
        <v>0</v>
      </c>
      <c r="AP253">
        <f t="shared" si="139"/>
        <v>0</v>
      </c>
      <c r="AQ253">
        <f t="shared" si="139"/>
        <v>0</v>
      </c>
      <c r="AR253">
        <f t="shared" si="139"/>
        <v>0</v>
      </c>
      <c r="AS253" s="58">
        <f t="shared" si="139"/>
        <v>5602</v>
      </c>
    </row>
    <row r="254" spans="1:45" x14ac:dyDescent="0.2">
      <c r="A254" t="s">
        <v>4298</v>
      </c>
      <c r="B254">
        <f>SUM(FishSumAllPRN!B254)</f>
        <v>0</v>
      </c>
      <c r="C254">
        <f>SUM(FishSumAllPRN!C254)</f>
        <v>280</v>
      </c>
      <c r="D254">
        <f>SUM(FishSumAllPRN!D254)</f>
        <v>254</v>
      </c>
      <c r="E254">
        <f>SUM(FishSumAllPRN!E254)</f>
        <v>574</v>
      </c>
      <c r="F254">
        <f>SUM(FishSumAllPRN!F254)</f>
        <v>0</v>
      </c>
      <c r="G254">
        <f>SUM(FishSumAllPRN!G254)</f>
        <v>1108</v>
      </c>
      <c r="H254" s="54" t="s">
        <v>294</v>
      </c>
      <c r="I254" s="54"/>
      <c r="K254" t="s">
        <v>5702</v>
      </c>
      <c r="R254" s="38">
        <f t="shared" si="140"/>
        <v>0</v>
      </c>
      <c r="S254" s="38">
        <f t="shared" si="140"/>
        <v>181</v>
      </c>
      <c r="T254" s="38">
        <f t="shared" si="140"/>
        <v>402</v>
      </c>
      <c r="U254" s="38">
        <f>SUM(E327)</f>
        <v>955</v>
      </c>
      <c r="V254" s="38">
        <f>SUM(F327)</f>
        <v>0</v>
      </c>
      <c r="Z254">
        <f t="shared" si="117"/>
        <v>1538</v>
      </c>
      <c r="AC254" s="50"/>
      <c r="AD254" s="37"/>
      <c r="AE254" s="37"/>
      <c r="AF254" s="37"/>
      <c r="AG254" s="37"/>
      <c r="AH254" s="37"/>
      <c r="AI254" s="37"/>
      <c r="AJ254" s="37" t="s">
        <v>5686</v>
      </c>
      <c r="AK254">
        <f t="shared" si="138"/>
        <v>699</v>
      </c>
      <c r="AL254">
        <f t="shared" si="138"/>
        <v>752</v>
      </c>
      <c r="AM254">
        <f t="shared" si="138"/>
        <v>518</v>
      </c>
      <c r="AN254">
        <f t="shared" si="139"/>
        <v>202</v>
      </c>
      <c r="AO254">
        <f t="shared" si="139"/>
        <v>0</v>
      </c>
      <c r="AP254">
        <f t="shared" si="139"/>
        <v>0</v>
      </c>
      <c r="AQ254">
        <f t="shared" si="139"/>
        <v>0</v>
      </c>
      <c r="AR254">
        <f t="shared" si="139"/>
        <v>0</v>
      </c>
      <c r="AS254" s="58">
        <f t="shared" si="139"/>
        <v>2171</v>
      </c>
    </row>
    <row r="255" spans="1:45" x14ac:dyDescent="0.2">
      <c r="A255" t="s">
        <v>4299</v>
      </c>
      <c r="B255">
        <f>SUM(FishSumAllPRN!B255)</f>
        <v>0</v>
      </c>
      <c r="C255">
        <f>SUM(FishSumAllPRN!C255)</f>
        <v>220</v>
      </c>
      <c r="D255">
        <f>SUM(FishSumAllPRN!D255)</f>
        <v>384</v>
      </c>
      <c r="E255">
        <f>SUM(FishSumAllPRN!E255)</f>
        <v>476</v>
      </c>
      <c r="F255">
        <f>SUM(FishSumAllPRN!F255)</f>
        <v>0</v>
      </c>
      <c r="G255">
        <f>SUM(FishSumAllPRN!G255)</f>
        <v>1081</v>
      </c>
      <c r="H255" s="54" t="s">
        <v>294</v>
      </c>
      <c r="I255" s="54"/>
      <c r="K255" t="s">
        <v>5703</v>
      </c>
      <c r="R255" s="38">
        <f>SUM(B372)</f>
        <v>0</v>
      </c>
      <c r="S255" s="38">
        <f>SUM(C372)</f>
        <v>0</v>
      </c>
      <c r="T255" s="38">
        <f>SUM(D372)</f>
        <v>99</v>
      </c>
      <c r="U255" s="38">
        <f>SUM(E372)</f>
        <v>242</v>
      </c>
      <c r="V255" s="38">
        <f>SUM(F372)</f>
        <v>40</v>
      </c>
      <c r="Z255">
        <f t="shared" si="117"/>
        <v>381</v>
      </c>
      <c r="AC255" s="50"/>
      <c r="AD255" s="37"/>
      <c r="AE255" s="37"/>
      <c r="AF255" s="37"/>
      <c r="AG255" s="37"/>
      <c r="AH255" s="37"/>
      <c r="AI255" s="37"/>
      <c r="AJ255" s="37" t="s">
        <v>5688</v>
      </c>
      <c r="AK255">
        <f t="shared" si="138"/>
        <v>115</v>
      </c>
      <c r="AL255">
        <f t="shared" si="138"/>
        <v>58</v>
      </c>
      <c r="AM255">
        <f t="shared" si="138"/>
        <v>55</v>
      </c>
      <c r="AN255">
        <f t="shared" si="139"/>
        <v>0</v>
      </c>
      <c r="AO255">
        <f t="shared" si="139"/>
        <v>0</v>
      </c>
      <c r="AP255">
        <f t="shared" si="139"/>
        <v>0</v>
      </c>
      <c r="AQ255">
        <f t="shared" si="139"/>
        <v>0</v>
      </c>
      <c r="AR255">
        <f t="shared" si="139"/>
        <v>0</v>
      </c>
      <c r="AS255" s="58">
        <f t="shared" si="139"/>
        <v>228</v>
      </c>
    </row>
    <row r="256" spans="1:45" x14ac:dyDescent="0.2">
      <c r="A256" t="s">
        <v>4300</v>
      </c>
      <c r="B256">
        <f>SUM(FishSumAllPRN!B256)</f>
        <v>0</v>
      </c>
      <c r="C256">
        <f>SUM(FishSumAllPRN!C256)</f>
        <v>4</v>
      </c>
      <c r="D256">
        <f>SUM(FishSumAllPRN!D256)</f>
        <v>10</v>
      </c>
      <c r="E256">
        <f>SUM(FishSumAllPRN!E256)</f>
        <v>9</v>
      </c>
      <c r="F256">
        <f>SUM(FishSumAllPRN!F256)</f>
        <v>0</v>
      </c>
      <c r="G256">
        <f>SUM(FishSumAllPRN!G256)</f>
        <v>23</v>
      </c>
      <c r="H256" s="54" t="s">
        <v>294</v>
      </c>
      <c r="I256" s="54"/>
      <c r="K256" t="s">
        <v>5705</v>
      </c>
      <c r="R256" s="38">
        <f>SUM(B338,B349,B356)</f>
        <v>222</v>
      </c>
      <c r="S256" s="38">
        <f>SUM(C338,C349,C356)</f>
        <v>204</v>
      </c>
      <c r="T256" s="38">
        <f>SUM(D338,D349,D356)</f>
        <v>335</v>
      </c>
      <c r="U256" s="38">
        <f>SUM(E338,E349,E356)</f>
        <v>801</v>
      </c>
      <c r="V256" s="38">
        <f>SUM(F338,F349,F356)</f>
        <v>47</v>
      </c>
      <c r="Z256">
        <f t="shared" si="117"/>
        <v>1609</v>
      </c>
      <c r="AC256" s="50"/>
      <c r="AD256" s="37"/>
      <c r="AE256" s="37"/>
      <c r="AF256" s="37"/>
      <c r="AG256" s="37"/>
      <c r="AH256" s="37"/>
      <c r="AI256" s="37"/>
      <c r="AJ256" s="37" t="s">
        <v>5690</v>
      </c>
      <c r="AK256">
        <f>SUM(R247,R248)</f>
        <v>0</v>
      </c>
      <c r="AL256">
        <f>SUM(S247,S248)</f>
        <v>0</v>
      </c>
      <c r="AM256">
        <f>SUM(T247,T248)</f>
        <v>0</v>
      </c>
      <c r="AN256">
        <f>SUM(U247,U248)</f>
        <v>0</v>
      </c>
      <c r="AO256">
        <f>SUM(V247,V248)</f>
        <v>0</v>
      </c>
      <c r="AP256">
        <f>SUM(W247)</f>
        <v>0</v>
      </c>
      <c r="AQ256">
        <f>SUM(X247)</f>
        <v>0</v>
      </c>
      <c r="AR256">
        <f>SUM(Y247)</f>
        <v>0</v>
      </c>
      <c r="AS256" s="59">
        <f>SUM(Z247,Z248)</f>
        <v>0</v>
      </c>
    </row>
    <row r="257" spans="1:45" x14ac:dyDescent="0.2">
      <c r="A257" t="s">
        <v>4301</v>
      </c>
      <c r="B257">
        <f>SUM(FishSumAllPRN!B257)</f>
        <v>0</v>
      </c>
      <c r="C257">
        <f>SUM(FishSumAllPRN!C257)</f>
        <v>1087</v>
      </c>
      <c r="D257">
        <f>SUM(FishSumAllPRN!D257)</f>
        <v>2725</v>
      </c>
      <c r="E257">
        <f>SUM(FishSumAllPRN!E257)</f>
        <v>1562</v>
      </c>
      <c r="F257">
        <f>SUM(FishSumAllPRN!F257)</f>
        <v>0</v>
      </c>
      <c r="G257">
        <f>SUM(FishSumAllPRN!G257)</f>
        <v>5374</v>
      </c>
      <c r="H257" s="54" t="s">
        <v>294</v>
      </c>
      <c r="I257" s="54"/>
      <c r="K257" t="s">
        <v>5707</v>
      </c>
      <c r="R257" s="38">
        <f>SUM(B391:B393,B407:B408)</f>
        <v>107</v>
      </c>
      <c r="S257" s="38">
        <f>SUM(C391:C393,C407:C408)</f>
        <v>2427</v>
      </c>
      <c r="T257" s="38">
        <f>SUM(D391:D393,D407:D408)</f>
        <v>4162</v>
      </c>
      <c r="U257" s="38">
        <f>SUM(E391:E393,E407:E408)</f>
        <v>178</v>
      </c>
      <c r="V257" s="38">
        <f>SUM(F391:F393,F407:F408)</f>
        <v>0</v>
      </c>
      <c r="Z257">
        <f t="shared" si="117"/>
        <v>6874</v>
      </c>
      <c r="AC257" s="50"/>
      <c r="AD257" s="37"/>
      <c r="AE257" s="37"/>
      <c r="AF257" s="37"/>
      <c r="AG257" s="37"/>
      <c r="AH257" s="37"/>
      <c r="AI257" s="37"/>
      <c r="AJ257" s="37" t="s">
        <v>5692</v>
      </c>
      <c r="AK257">
        <f t="shared" ref="AK257:AS257" si="141">SUM(R249)</f>
        <v>0</v>
      </c>
      <c r="AL257">
        <f t="shared" si="141"/>
        <v>0</v>
      </c>
      <c r="AM257">
        <f t="shared" si="141"/>
        <v>0</v>
      </c>
      <c r="AN257">
        <f t="shared" si="141"/>
        <v>0</v>
      </c>
      <c r="AO257">
        <f t="shared" si="141"/>
        <v>0</v>
      </c>
      <c r="AP257">
        <f t="shared" si="141"/>
        <v>0</v>
      </c>
      <c r="AQ257">
        <f t="shared" si="141"/>
        <v>0</v>
      </c>
      <c r="AR257">
        <f t="shared" si="141"/>
        <v>0</v>
      </c>
      <c r="AS257" s="58">
        <f t="shared" si="141"/>
        <v>0</v>
      </c>
    </row>
    <row r="258" spans="1:45" x14ac:dyDescent="0.2">
      <c r="A258" t="s">
        <v>4302</v>
      </c>
      <c r="B258">
        <f>SUM(FishSumAllPRN!B258)</f>
        <v>0</v>
      </c>
      <c r="C258">
        <f>SUM(FishSumAllPRN!C258)</f>
        <v>131</v>
      </c>
      <c r="D258">
        <f>SUM(FishSumAllPRN!D258)</f>
        <v>364</v>
      </c>
      <c r="E258">
        <f>SUM(FishSumAllPRN!E258)</f>
        <v>114</v>
      </c>
      <c r="F258">
        <f>SUM(FishSumAllPRN!F258)</f>
        <v>0</v>
      </c>
      <c r="G258">
        <f>SUM(FishSumAllPRN!G258)</f>
        <v>608</v>
      </c>
      <c r="H258" s="54" t="s">
        <v>294</v>
      </c>
      <c r="I258" s="54"/>
      <c r="K258" t="s">
        <v>5708</v>
      </c>
      <c r="R258" s="38">
        <f t="shared" ref="R258:T259" si="142">SUM(B394)</f>
        <v>1</v>
      </c>
      <c r="S258" s="38">
        <f t="shared" si="142"/>
        <v>204</v>
      </c>
      <c r="T258" s="38">
        <f t="shared" si="142"/>
        <v>84</v>
      </c>
      <c r="U258" s="38">
        <f>SUM(E394)</f>
        <v>0</v>
      </c>
      <c r="V258" s="38">
        <f>SUM(F394)</f>
        <v>0</v>
      </c>
      <c r="Z258">
        <f t="shared" si="117"/>
        <v>289</v>
      </c>
      <c r="AC258" s="50"/>
      <c r="AD258" s="37"/>
      <c r="AE258" s="37"/>
      <c r="AF258" s="37"/>
      <c r="AG258" s="37"/>
      <c r="AH258" s="37"/>
      <c r="AI258" s="37"/>
      <c r="AJ258" s="37" t="s">
        <v>5694</v>
      </c>
      <c r="AK258" s="38">
        <f>SUM(R237)</f>
        <v>0</v>
      </c>
      <c r="AL258" s="38">
        <f>SUM(S237)</f>
        <v>0</v>
      </c>
      <c r="AM258" s="38">
        <f>SUM(T237)</f>
        <v>0</v>
      </c>
      <c r="AN258" s="38">
        <f>SUM(U237)</f>
        <v>0</v>
      </c>
      <c r="AO258" s="38">
        <f>SUM(V237)</f>
        <v>0</v>
      </c>
      <c r="AP258">
        <f>SUM(W250)</f>
        <v>0</v>
      </c>
      <c r="AQ258">
        <f>SUM(X250)</f>
        <v>0</v>
      </c>
      <c r="AR258">
        <f>SUM(Y250)</f>
        <v>0</v>
      </c>
      <c r="AS258" s="58">
        <f>SUM(Z237)</f>
        <v>0</v>
      </c>
    </row>
    <row r="259" spans="1:45" x14ac:dyDescent="0.2">
      <c r="A259" t="s">
        <v>4303</v>
      </c>
      <c r="B259">
        <f>SUM(FishSumAllPRN!B259)</f>
        <v>0</v>
      </c>
      <c r="C259">
        <f>SUM(FishSumAllPRN!C259)</f>
        <v>113</v>
      </c>
      <c r="D259">
        <f>SUM(FishSumAllPRN!D259)</f>
        <v>455</v>
      </c>
      <c r="E259">
        <f>SUM(FishSumAllPRN!E259)</f>
        <v>89</v>
      </c>
      <c r="F259">
        <f>SUM(FishSumAllPRN!F259)</f>
        <v>0</v>
      </c>
      <c r="G259">
        <f>SUM(FishSumAllPRN!G259)</f>
        <v>658</v>
      </c>
      <c r="H259" s="54" t="s">
        <v>294</v>
      </c>
      <c r="I259" s="54"/>
      <c r="K259" t="s">
        <v>5710</v>
      </c>
      <c r="R259" s="38">
        <f t="shared" si="142"/>
        <v>7</v>
      </c>
      <c r="S259" s="38">
        <f t="shared" si="142"/>
        <v>112</v>
      </c>
      <c r="T259" s="38">
        <f t="shared" si="142"/>
        <v>38</v>
      </c>
      <c r="U259" s="38">
        <f>SUM(E395)</f>
        <v>0</v>
      </c>
      <c r="V259" s="38">
        <f>SUM(F395)</f>
        <v>0</v>
      </c>
      <c r="Z259">
        <f t="shared" si="117"/>
        <v>157</v>
      </c>
      <c r="AC259" s="60" t="s">
        <v>5706</v>
      </c>
      <c r="AD259" s="1952"/>
      <c r="AE259" s="1952"/>
      <c r="AF259" s="1952"/>
      <c r="AG259" s="1952"/>
      <c r="AH259" s="1952"/>
      <c r="AI259" s="1952"/>
      <c r="AJ259" s="1952"/>
      <c r="AK259" s="1959">
        <f t="shared" ref="AK259:AS259" si="143">SUM(AK244:AK258)</f>
        <v>2874</v>
      </c>
      <c r="AL259" s="1959">
        <f t="shared" si="143"/>
        <v>3645</v>
      </c>
      <c r="AM259" s="1959">
        <f t="shared" si="143"/>
        <v>4355</v>
      </c>
      <c r="AN259" s="1959">
        <f t="shared" si="143"/>
        <v>851</v>
      </c>
      <c r="AO259" s="1959">
        <f t="shared" si="143"/>
        <v>0</v>
      </c>
      <c r="AP259" s="1959">
        <f t="shared" si="143"/>
        <v>0</v>
      </c>
      <c r="AQ259" s="1959">
        <f t="shared" si="143"/>
        <v>0</v>
      </c>
      <c r="AR259" s="1959">
        <f t="shared" si="143"/>
        <v>0</v>
      </c>
      <c r="AS259" s="1954">
        <f t="shared" si="143"/>
        <v>11751</v>
      </c>
    </row>
    <row r="260" spans="1:45" x14ac:dyDescent="0.2">
      <c r="A260" t="s">
        <v>4304</v>
      </c>
      <c r="B260">
        <f>SUM(FishSumAllPRN!B260)</f>
        <v>14</v>
      </c>
      <c r="C260">
        <f>SUM(FishSumAllPRN!C260)</f>
        <v>50</v>
      </c>
      <c r="D260">
        <f>SUM(FishSumAllPRN!D260)</f>
        <v>204</v>
      </c>
      <c r="E260">
        <f>SUM(FishSumAllPRN!E260)</f>
        <v>130</v>
      </c>
      <c r="F260">
        <f>SUM(FishSumAllPRN!F260)</f>
        <v>0</v>
      </c>
      <c r="G260">
        <f>SUM(FishSumAllPRN!G260)</f>
        <v>399</v>
      </c>
      <c r="H260" s="54" t="s">
        <v>294</v>
      </c>
      <c r="I260" s="54"/>
      <c r="K260" t="s">
        <v>5711</v>
      </c>
      <c r="R260" s="38">
        <f>SUM(B410,B400:B401)</f>
        <v>44</v>
      </c>
      <c r="S260" s="38">
        <f>SUM(C410,C400:C401)</f>
        <v>422</v>
      </c>
      <c r="T260" s="38">
        <f>SUM(D410,D400:D401)</f>
        <v>1174</v>
      </c>
      <c r="U260" s="38">
        <f>SUM(E410,E400:E401)</f>
        <v>290</v>
      </c>
      <c r="V260" s="38">
        <f>SUM(F410,F400:F401)</f>
        <v>0</v>
      </c>
      <c r="Z260">
        <f t="shared" si="117"/>
        <v>1930</v>
      </c>
      <c r="AC260" s="50"/>
      <c r="AD260" s="37"/>
      <c r="AE260" s="37"/>
      <c r="AF260" s="37"/>
      <c r="AG260" s="37"/>
      <c r="AH260" s="37"/>
      <c r="AI260" s="37"/>
      <c r="AJ260" s="37"/>
      <c r="AS260" s="58"/>
    </row>
    <row r="261" spans="1:45" x14ac:dyDescent="0.2">
      <c r="A261" t="s">
        <v>4305</v>
      </c>
      <c r="B261">
        <f>SUM(FishSumAllPRN!B261)</f>
        <v>249</v>
      </c>
      <c r="C261">
        <f>SUM(FishSumAllPRN!C261)</f>
        <v>551</v>
      </c>
      <c r="D261">
        <f>SUM(FishSumAllPRN!D261)</f>
        <v>734</v>
      </c>
      <c r="E261">
        <f>SUM(FishSumAllPRN!E261)</f>
        <v>264</v>
      </c>
      <c r="F261">
        <f>SUM(FishSumAllPRN!F261)</f>
        <v>0</v>
      </c>
      <c r="G261">
        <f>SUM(FishSumAllPRN!G261)</f>
        <v>1798</v>
      </c>
      <c r="H261" s="54" t="s">
        <v>294</v>
      </c>
      <c r="I261" s="54"/>
      <c r="K261" t="s">
        <v>5712</v>
      </c>
      <c r="R261" s="177">
        <f>SUM(B390)</f>
        <v>0</v>
      </c>
      <c r="S261" s="177">
        <f>SUM(C390)</f>
        <v>0</v>
      </c>
      <c r="T261" s="177">
        <f>SUM(D390)</f>
        <v>0</v>
      </c>
      <c r="U261" s="177">
        <f>SUM(E390)</f>
        <v>0</v>
      </c>
      <c r="V261" s="177">
        <f>SUM(F390)</f>
        <v>0</v>
      </c>
      <c r="Z261">
        <f t="shared" si="117"/>
        <v>0</v>
      </c>
      <c r="AC261" s="50" t="s">
        <v>5709</v>
      </c>
      <c r="AD261" s="37"/>
      <c r="AE261" s="37"/>
      <c r="AF261" s="37"/>
      <c r="AG261" s="37"/>
      <c r="AH261" s="37"/>
      <c r="AI261" s="37"/>
      <c r="AJ261" s="37"/>
      <c r="AS261" s="58"/>
    </row>
    <row r="262" spans="1:45" x14ac:dyDescent="0.2">
      <c r="A262" t="s">
        <v>4306</v>
      </c>
      <c r="B262">
        <f>SUM(FishSumAllPRN!B262)</f>
        <v>0</v>
      </c>
      <c r="C262">
        <f>SUM(FishSumAllPRN!C262)</f>
        <v>101</v>
      </c>
      <c r="D262">
        <f>SUM(FishSumAllPRN!D262)</f>
        <v>27</v>
      </c>
      <c r="E262">
        <f>SUM(FishSumAllPRN!E262)</f>
        <v>31</v>
      </c>
      <c r="F262">
        <f>SUM(FishSumAllPRN!F262)</f>
        <v>0</v>
      </c>
      <c r="G262">
        <f>SUM(FishSumAllPRN!G262)</f>
        <v>159</v>
      </c>
      <c r="H262" s="54" t="s">
        <v>294</v>
      </c>
      <c r="I262" s="54"/>
      <c r="K262" t="s">
        <v>5713</v>
      </c>
      <c r="R262" s="38">
        <f>SUM(B396)</f>
        <v>0</v>
      </c>
      <c r="S262" s="38">
        <f>SUM(C396)</f>
        <v>0</v>
      </c>
      <c r="T262" s="38">
        <f>SUM(D396)</f>
        <v>0</v>
      </c>
      <c r="U262" s="38">
        <f>SUM(E396)</f>
        <v>0</v>
      </c>
      <c r="V262" s="38">
        <f>SUM(F396)</f>
        <v>0</v>
      </c>
      <c r="Z262">
        <f t="shared" si="117"/>
        <v>0</v>
      </c>
      <c r="AC262" s="50" t="s">
        <v>5644</v>
      </c>
      <c r="AD262" s="37"/>
      <c r="AE262" s="37"/>
      <c r="AF262" s="37"/>
      <c r="AG262" s="37"/>
      <c r="AH262" s="37"/>
      <c r="AI262" s="37"/>
      <c r="AJ262" s="37" t="s">
        <v>30</v>
      </c>
      <c r="AK262">
        <f t="shared" ref="AK262:AS262" si="144">SUM(R250)</f>
        <v>0</v>
      </c>
      <c r="AL262">
        <f t="shared" si="144"/>
        <v>0</v>
      </c>
      <c r="AM262">
        <f t="shared" si="144"/>
        <v>11</v>
      </c>
      <c r="AN262">
        <f t="shared" si="144"/>
        <v>9</v>
      </c>
      <c r="AO262">
        <f t="shared" si="144"/>
        <v>0</v>
      </c>
      <c r="AP262">
        <f t="shared" si="144"/>
        <v>0</v>
      </c>
      <c r="AQ262">
        <f t="shared" si="144"/>
        <v>0</v>
      </c>
      <c r="AR262">
        <f t="shared" si="144"/>
        <v>0</v>
      </c>
      <c r="AS262" s="58">
        <f t="shared" si="144"/>
        <v>20</v>
      </c>
    </row>
    <row r="263" spans="1:45" x14ac:dyDescent="0.2">
      <c r="A263" t="s">
        <v>4307</v>
      </c>
      <c r="B263">
        <f>SUM(FishSumAllPRN!B263)</f>
        <v>0</v>
      </c>
      <c r="C263">
        <f>SUM(FishSumAllPRN!C263)</f>
        <v>297</v>
      </c>
      <c r="D263">
        <f>SUM(FishSumAllPRN!D263)</f>
        <v>1175</v>
      </c>
      <c r="E263">
        <f>SUM(FishSumAllPRN!E263)</f>
        <v>448</v>
      </c>
      <c r="F263">
        <f>SUM(FishSumAllPRN!F263)</f>
        <v>0</v>
      </c>
      <c r="G263">
        <f>SUM(FishSumAllPRN!G263)</f>
        <v>1920</v>
      </c>
      <c r="H263" s="54" t="s">
        <v>294</v>
      </c>
      <c r="I263" s="54"/>
      <c r="K263" t="s">
        <v>5714</v>
      </c>
      <c r="R263">
        <v>0</v>
      </c>
      <c r="S263">
        <v>0</v>
      </c>
      <c r="T263">
        <v>0</v>
      </c>
      <c r="U263">
        <v>0</v>
      </c>
      <c r="V263">
        <v>0</v>
      </c>
      <c r="Z263">
        <f t="shared" si="117"/>
        <v>0</v>
      </c>
      <c r="AC263" s="50"/>
      <c r="AD263" s="37"/>
      <c r="AE263" s="37"/>
      <c r="AF263" s="37"/>
      <c r="AG263" s="37"/>
      <c r="AH263" s="37"/>
      <c r="AI263" s="37"/>
      <c r="AJ263" s="37"/>
      <c r="AS263" s="58"/>
    </row>
    <row r="264" spans="1:45" x14ac:dyDescent="0.2">
      <c r="A264" t="s">
        <v>4308</v>
      </c>
      <c r="B264">
        <f>SUM(FishSumAllPRN!B264)</f>
        <v>0</v>
      </c>
      <c r="C264">
        <f>SUM(FishSumAllPRN!C264)</f>
        <v>0</v>
      </c>
      <c r="D264">
        <f>SUM(FishSumAllPRN!D264)</f>
        <v>11</v>
      </c>
      <c r="E264">
        <f>SUM(FishSumAllPRN!E264)</f>
        <v>9</v>
      </c>
      <c r="F264">
        <f>SUM(FishSumAllPRN!F264)</f>
        <v>0</v>
      </c>
      <c r="G264">
        <f>SUM(FishSumAllPRN!G264)</f>
        <v>19</v>
      </c>
      <c r="H264" s="54" t="s">
        <v>294</v>
      </c>
      <c r="I264" s="54"/>
      <c r="K264" t="s">
        <v>5715</v>
      </c>
      <c r="R264" s="38">
        <f>SUM(B397)</f>
        <v>0</v>
      </c>
      <c r="S264" s="38">
        <f>SUM(C397)</f>
        <v>0</v>
      </c>
      <c r="T264" s="38">
        <f>SUM(D397)</f>
        <v>0</v>
      </c>
      <c r="U264" s="38">
        <f>SUM(E397)</f>
        <v>0</v>
      </c>
      <c r="V264" s="38">
        <f>SUM(F397)</f>
        <v>0</v>
      </c>
      <c r="Z264">
        <f t="shared" si="117"/>
        <v>0</v>
      </c>
      <c r="AC264" s="50" t="s">
        <v>5663</v>
      </c>
      <c r="AD264" s="37"/>
      <c r="AE264" s="37"/>
      <c r="AF264" s="37"/>
      <c r="AG264" s="37"/>
      <c r="AH264" s="37"/>
      <c r="AI264" s="37"/>
      <c r="AJ264" s="37" t="s">
        <v>149</v>
      </c>
      <c r="AK264" s="38">
        <f t="shared" ref="AK264:AM265" si="145">SUM(B311)</f>
        <v>0</v>
      </c>
      <c r="AL264" s="38">
        <f t="shared" si="145"/>
        <v>49</v>
      </c>
      <c r="AM264" s="38">
        <f t="shared" si="145"/>
        <v>348</v>
      </c>
      <c r="AN264" s="38">
        <f t="shared" ref="AN264:AQ265" si="146">SUM(E311)</f>
        <v>1996</v>
      </c>
      <c r="AO264" s="38">
        <f t="shared" si="146"/>
        <v>0</v>
      </c>
      <c r="AP264" s="38">
        <f t="shared" si="146"/>
        <v>2393</v>
      </c>
      <c r="AQ264" s="38">
        <f t="shared" si="146"/>
        <v>0</v>
      </c>
      <c r="AR264" s="38">
        <f>SUM(J311)</f>
        <v>0</v>
      </c>
      <c r="AS264" s="59">
        <f t="shared" ref="AS264:AS273" si="147">SUM(AK264:AO264)</f>
        <v>2393</v>
      </c>
    </row>
    <row r="265" spans="1:45" x14ac:dyDescent="0.2">
      <c r="A265" t="s">
        <v>4309</v>
      </c>
      <c r="B265">
        <f>SUM(FishSumAllPRN!B265)</f>
        <v>0</v>
      </c>
      <c r="C265">
        <f>SUM(FishSumAllPRN!C265)</f>
        <v>0</v>
      </c>
      <c r="D265">
        <f>SUM(FishSumAllPRN!D265)</f>
        <v>0</v>
      </c>
      <c r="E265">
        <f>SUM(FishSumAllPRN!E265)</f>
        <v>0</v>
      </c>
      <c r="F265">
        <f>SUM(FishSumAllPRN!F265)</f>
        <v>38</v>
      </c>
      <c r="G265">
        <f>SUM(FishSumAllPRN!G265)</f>
        <v>38</v>
      </c>
      <c r="H265" s="54" t="s">
        <v>294</v>
      </c>
      <c r="I265" s="54"/>
      <c r="K265" t="s">
        <v>5716</v>
      </c>
      <c r="R265" s="365">
        <f>SUM(B406)</f>
        <v>10</v>
      </c>
      <c r="S265" s="365">
        <f>SUM(C406)</f>
        <v>403</v>
      </c>
      <c r="T265" s="365">
        <f>SUM(D406)</f>
        <v>326</v>
      </c>
      <c r="U265" s="365">
        <f>SUM(E406)</f>
        <v>0</v>
      </c>
      <c r="V265" s="365">
        <f>SUM(F406)</f>
        <v>0</v>
      </c>
      <c r="Z265">
        <f t="shared" si="117"/>
        <v>739</v>
      </c>
      <c r="AC265" s="50"/>
      <c r="AD265" s="37"/>
      <c r="AE265" s="37"/>
      <c r="AF265" s="37"/>
      <c r="AG265" s="37"/>
      <c r="AH265" s="37"/>
      <c r="AI265" s="37"/>
      <c r="AJ265" s="37" t="s">
        <v>151</v>
      </c>
      <c r="AK265" s="38">
        <f t="shared" si="145"/>
        <v>0</v>
      </c>
      <c r="AL265" s="38">
        <f t="shared" si="145"/>
        <v>5</v>
      </c>
      <c r="AM265" s="38">
        <f t="shared" si="145"/>
        <v>83</v>
      </c>
      <c r="AN265" s="38">
        <f t="shared" si="146"/>
        <v>814</v>
      </c>
      <c r="AO265" s="38">
        <f t="shared" si="146"/>
        <v>0</v>
      </c>
      <c r="AP265" s="38">
        <f t="shared" si="146"/>
        <v>902</v>
      </c>
      <c r="AQ265" s="38">
        <f t="shared" si="146"/>
        <v>0</v>
      </c>
      <c r="AR265" s="38">
        <f>SUM(J312)</f>
        <v>0</v>
      </c>
      <c r="AS265" s="59">
        <f t="shared" si="147"/>
        <v>902</v>
      </c>
    </row>
    <row r="266" spans="1:45" x14ac:dyDescent="0.2">
      <c r="A266" t="s">
        <v>4310</v>
      </c>
      <c r="B266">
        <f>SUM(FishSumAllPRN!B266)</f>
        <v>0</v>
      </c>
      <c r="C266">
        <f>SUM(FishSumAllPRN!C266)</f>
        <v>0</v>
      </c>
      <c r="D266">
        <f>SUM(FishSumAllPRN!D266)</f>
        <v>0</v>
      </c>
      <c r="E266">
        <f>SUM(FishSumAllPRN!E266)</f>
        <v>0</v>
      </c>
      <c r="F266">
        <f>SUM(FishSumAllPRN!F266)</f>
        <v>207</v>
      </c>
      <c r="G266">
        <f>SUM(FishSumAllPRN!G266)</f>
        <v>207</v>
      </c>
      <c r="H266" s="54" t="s">
        <v>294</v>
      </c>
      <c r="I266" s="54"/>
      <c r="K266" t="s">
        <v>5717</v>
      </c>
      <c r="R266" s="177">
        <f>SUM(B389,B411:B412,B409)</f>
        <v>489</v>
      </c>
      <c r="S266" s="177">
        <f>SUM(C389,C411:C412,C409)</f>
        <v>656</v>
      </c>
      <c r="T266" s="177">
        <f>SUM(D389,D411:D412,D409)</f>
        <v>910</v>
      </c>
      <c r="U266" s="177">
        <f>SUM(E389,E411:E412,E409)</f>
        <v>920</v>
      </c>
      <c r="V266" s="177">
        <f>SUM(F389,F411:F412,F409)</f>
        <v>162</v>
      </c>
      <c r="Z266">
        <f t="shared" si="117"/>
        <v>3137</v>
      </c>
      <c r="AC266" s="50"/>
      <c r="AD266" s="37"/>
      <c r="AE266" s="37"/>
      <c r="AF266" s="37"/>
      <c r="AG266" s="37"/>
      <c r="AH266" s="37"/>
      <c r="AI266" s="37"/>
      <c r="AJ266" s="37" t="s">
        <v>153</v>
      </c>
      <c r="AK266">
        <f t="shared" ref="AK266:AR266" si="148">SUM(R252)</f>
        <v>0</v>
      </c>
      <c r="AL266">
        <f t="shared" si="148"/>
        <v>9</v>
      </c>
      <c r="AM266">
        <f t="shared" si="148"/>
        <v>57</v>
      </c>
      <c r="AN266">
        <f t="shared" si="148"/>
        <v>644</v>
      </c>
      <c r="AO266">
        <f t="shared" si="148"/>
        <v>0</v>
      </c>
      <c r="AP266">
        <f t="shared" si="148"/>
        <v>0</v>
      </c>
      <c r="AQ266">
        <f t="shared" si="148"/>
        <v>0</v>
      </c>
      <c r="AR266">
        <f t="shared" si="148"/>
        <v>0</v>
      </c>
      <c r="AS266" s="59">
        <f t="shared" si="147"/>
        <v>710</v>
      </c>
    </row>
    <row r="267" spans="1:45" x14ac:dyDescent="0.2">
      <c r="A267" t="s">
        <v>4311</v>
      </c>
      <c r="B267">
        <f>SUM(FishSumAllPRN!B267)</f>
        <v>0</v>
      </c>
      <c r="C267">
        <f>SUM(FishSumAllPRN!C267)</f>
        <v>0</v>
      </c>
      <c r="D267">
        <f>SUM(FishSumAllPRN!D267)</f>
        <v>0</v>
      </c>
      <c r="E267">
        <f>SUM(FishSumAllPRN!E267)</f>
        <v>433</v>
      </c>
      <c r="F267">
        <f>SUM(FishSumAllPRN!F267)</f>
        <v>225</v>
      </c>
      <c r="G267">
        <f>SUM(FishSumAllPRN!G267)</f>
        <v>658</v>
      </c>
      <c r="H267" s="54" t="s">
        <v>294</v>
      </c>
      <c r="I267" s="54"/>
      <c r="K267" t="s">
        <v>5718</v>
      </c>
      <c r="R267" s="38">
        <f t="shared" ref="R267:T268" si="149">SUM(B307)</f>
        <v>0</v>
      </c>
      <c r="S267" s="38">
        <f t="shared" si="149"/>
        <v>0</v>
      </c>
      <c r="T267" s="38">
        <f t="shared" si="149"/>
        <v>0</v>
      </c>
      <c r="U267" s="38">
        <f>SUM(E307)</f>
        <v>16</v>
      </c>
      <c r="V267" s="38">
        <f>SUM(F307)</f>
        <v>12</v>
      </c>
      <c r="Z267">
        <f t="shared" si="117"/>
        <v>28</v>
      </c>
      <c r="AC267" s="50"/>
      <c r="AD267" s="37"/>
      <c r="AE267" s="37"/>
      <c r="AF267" s="37"/>
      <c r="AG267" s="37"/>
      <c r="AH267" s="37"/>
      <c r="AI267" s="37"/>
      <c r="AJ267" s="37" t="s">
        <v>155</v>
      </c>
      <c r="AK267">
        <f>SUM(B326)</f>
        <v>0</v>
      </c>
      <c r="AL267">
        <f>SUM(C326)</f>
        <v>0</v>
      </c>
      <c r="AM267">
        <f>SUM(D326)</f>
        <v>14</v>
      </c>
      <c r="AN267">
        <f>SUM(E326)</f>
        <v>126</v>
      </c>
      <c r="AO267">
        <f>SUM(F326)</f>
        <v>3</v>
      </c>
      <c r="AS267" s="59">
        <f t="shared" si="147"/>
        <v>143</v>
      </c>
    </row>
    <row r="268" spans="1:45" x14ac:dyDescent="0.2">
      <c r="A268" t="s">
        <v>4312</v>
      </c>
      <c r="B268">
        <f>SUM(FishSumAllPRN!B268)</f>
        <v>0</v>
      </c>
      <c r="C268">
        <f>SUM(FishSumAllPRN!C268)</f>
        <v>0</v>
      </c>
      <c r="D268">
        <f>SUM(FishSumAllPRN!D268)</f>
        <v>0</v>
      </c>
      <c r="E268">
        <f>SUM(FishSumAllPRN!E268)</f>
        <v>176</v>
      </c>
      <c r="F268">
        <f>SUM(FishSumAllPRN!F268)</f>
        <v>68</v>
      </c>
      <c r="G268">
        <f>SUM(FishSumAllPRN!G268)</f>
        <v>244</v>
      </c>
      <c r="H268" s="54" t="s">
        <v>294</v>
      </c>
      <c r="I268" s="54"/>
      <c r="K268" t="s">
        <v>5719</v>
      </c>
      <c r="R268" s="38">
        <f t="shared" si="149"/>
        <v>0</v>
      </c>
      <c r="S268" s="38">
        <f t="shared" si="149"/>
        <v>0</v>
      </c>
      <c r="T268" s="38">
        <f t="shared" si="149"/>
        <v>8</v>
      </c>
      <c r="U268" s="38">
        <f>SUM(E308)</f>
        <v>31</v>
      </c>
      <c r="V268" s="38">
        <f>SUM(F308)</f>
        <v>94</v>
      </c>
      <c r="Z268">
        <f t="shared" si="117"/>
        <v>133</v>
      </c>
      <c r="AC268" s="50"/>
      <c r="AD268" s="37"/>
      <c r="AE268" s="37"/>
      <c r="AF268" s="37"/>
      <c r="AG268" s="37"/>
      <c r="AH268" s="37"/>
      <c r="AI268" s="37"/>
      <c r="AJ268" s="37" t="s">
        <v>157</v>
      </c>
      <c r="AK268">
        <f>SUM(B335)</f>
        <v>0</v>
      </c>
      <c r="AL268">
        <f>SUM(C335)</f>
        <v>0</v>
      </c>
      <c r="AM268">
        <f>SUM(D335)</f>
        <v>31</v>
      </c>
      <c r="AN268">
        <f>SUM(E335)</f>
        <v>757</v>
      </c>
      <c r="AO268">
        <f>SUM(F335)</f>
        <v>0</v>
      </c>
      <c r="AP268">
        <f>SUM(W253,W254,W255,W256)</f>
        <v>0</v>
      </c>
      <c r="AQ268">
        <f>SUM(X253,X254,X255,X256)</f>
        <v>0</v>
      </c>
      <c r="AR268">
        <f>SUM(Y253,Y254,Y255,Y256)</f>
        <v>0</v>
      </c>
      <c r="AS268" s="59">
        <f t="shared" si="147"/>
        <v>788</v>
      </c>
    </row>
    <row r="269" spans="1:45" x14ac:dyDescent="0.2">
      <c r="A269" t="s">
        <v>4313</v>
      </c>
      <c r="B269">
        <f>SUM(FishSumAllPRN!B269)</f>
        <v>0</v>
      </c>
      <c r="C269">
        <f>SUM(FishSumAllPRN!C269)</f>
        <v>0</v>
      </c>
      <c r="D269">
        <f>SUM(FishSumAllPRN!D269)</f>
        <v>0</v>
      </c>
      <c r="E269">
        <f>SUM(FishSumAllPRN!E269)</f>
        <v>0</v>
      </c>
      <c r="F269">
        <f>SUM(FishSumAllPRN!F269)</f>
        <v>4</v>
      </c>
      <c r="G269">
        <f>SUM(FishSumAllPRN!G269)</f>
        <v>4</v>
      </c>
      <c r="H269" s="54" t="s">
        <v>294</v>
      </c>
      <c r="I269" s="54"/>
      <c r="K269" t="s">
        <v>5720</v>
      </c>
      <c r="R269" s="38">
        <f t="shared" ref="R269:T270" si="150">SUM(B316)</f>
        <v>0</v>
      </c>
      <c r="S269" s="38">
        <f t="shared" si="150"/>
        <v>0</v>
      </c>
      <c r="T269" s="38">
        <f t="shared" si="150"/>
        <v>0</v>
      </c>
      <c r="U269" s="38">
        <f>SUM(E316)</f>
        <v>56</v>
      </c>
      <c r="V269" s="38">
        <f>SUM(F316)</f>
        <v>1</v>
      </c>
      <c r="Z269">
        <f t="shared" si="117"/>
        <v>57</v>
      </c>
      <c r="AC269" s="50"/>
      <c r="AD269" s="37"/>
      <c r="AE269" s="37"/>
      <c r="AF269" s="37"/>
      <c r="AG269" s="37"/>
      <c r="AH269" s="37"/>
      <c r="AI269" s="37"/>
      <c r="AJ269" s="37" t="s">
        <v>159</v>
      </c>
      <c r="AK269" s="38">
        <f>SUM(R254)</f>
        <v>0</v>
      </c>
      <c r="AL269" s="38">
        <f>SUM(S254)</f>
        <v>181</v>
      </c>
      <c r="AM269" s="38">
        <f>SUM(T254)</f>
        <v>402</v>
      </c>
      <c r="AN269" s="38">
        <f>SUM(U254)</f>
        <v>955</v>
      </c>
      <c r="AO269" s="38">
        <f>SUM(V254)</f>
        <v>0</v>
      </c>
      <c r="AS269" s="59">
        <f t="shared" si="147"/>
        <v>1538</v>
      </c>
    </row>
    <row r="270" spans="1:45" x14ac:dyDescent="0.2">
      <c r="A270" t="s">
        <v>4314</v>
      </c>
      <c r="B270">
        <f>SUM(FishSumAllPRN!B270)</f>
        <v>0</v>
      </c>
      <c r="C270">
        <f>SUM(FishSumAllPRN!C270)</f>
        <v>0</v>
      </c>
      <c r="D270">
        <f>SUM(FishSumAllPRN!D270)</f>
        <v>0</v>
      </c>
      <c r="E270">
        <f>SUM(FishSumAllPRN!E270)</f>
        <v>0</v>
      </c>
      <c r="F270">
        <f>SUM(FishSumAllPRN!F270)</f>
        <v>125</v>
      </c>
      <c r="G270">
        <f>SUM(FishSumAllPRN!G270)</f>
        <v>125</v>
      </c>
      <c r="H270" s="54" t="s">
        <v>294</v>
      </c>
      <c r="I270" s="54"/>
      <c r="K270" t="s">
        <v>5721</v>
      </c>
      <c r="R270" s="38">
        <f t="shared" si="150"/>
        <v>0</v>
      </c>
      <c r="S270" s="38">
        <f t="shared" si="150"/>
        <v>0</v>
      </c>
      <c r="T270" s="38">
        <f t="shared" si="150"/>
        <v>0</v>
      </c>
      <c r="U270" s="38">
        <f>SUM(E317)</f>
        <v>465</v>
      </c>
      <c r="V270" s="38">
        <f>SUM(F317)</f>
        <v>23</v>
      </c>
      <c r="Z270">
        <f t="shared" si="117"/>
        <v>488</v>
      </c>
      <c r="AC270" s="50"/>
      <c r="AD270" s="37"/>
      <c r="AE270" s="37"/>
      <c r="AF270" s="37"/>
      <c r="AG270" s="37"/>
      <c r="AH270" s="37"/>
      <c r="AI270" s="37"/>
      <c r="AJ270" s="37" t="s">
        <v>161</v>
      </c>
      <c r="AK270">
        <f>SUM(B338)</f>
        <v>163</v>
      </c>
      <c r="AL270">
        <f>SUM(C338)</f>
        <v>183</v>
      </c>
      <c r="AM270">
        <f>SUM(D338)</f>
        <v>267</v>
      </c>
      <c r="AN270">
        <f>SUM(E338)</f>
        <v>592</v>
      </c>
      <c r="AO270">
        <f>SUM(F338)</f>
        <v>28</v>
      </c>
      <c r="AS270" s="59">
        <f t="shared" si="147"/>
        <v>1233</v>
      </c>
    </row>
    <row r="271" spans="1:45" x14ac:dyDescent="0.2">
      <c r="A271" t="s">
        <v>4315</v>
      </c>
      <c r="B271">
        <f>SUM(FishSumAllPRN!B271)</f>
        <v>0</v>
      </c>
      <c r="C271">
        <f>SUM(FishSumAllPRN!C271)</f>
        <v>0</v>
      </c>
      <c r="D271">
        <f>SUM(FishSumAllPRN!D271)</f>
        <v>0</v>
      </c>
      <c r="E271">
        <f>SUM(FishSumAllPRN!E271)</f>
        <v>0</v>
      </c>
      <c r="F271">
        <f>SUM(FishSumAllPRN!F271)</f>
        <v>204</v>
      </c>
      <c r="G271">
        <f>SUM(FishSumAllPRN!G271)</f>
        <v>204</v>
      </c>
      <c r="H271" s="54" t="s">
        <v>294</v>
      </c>
      <c r="I271" s="54"/>
      <c r="K271" t="s">
        <v>5722</v>
      </c>
      <c r="R271" s="38">
        <f t="shared" ref="R271:T272" si="151">SUM(B300)</f>
        <v>0</v>
      </c>
      <c r="S271" s="38">
        <f t="shared" si="151"/>
        <v>0</v>
      </c>
      <c r="T271" s="38">
        <f t="shared" si="151"/>
        <v>0</v>
      </c>
      <c r="U271" s="38">
        <f>SUM(E300)</f>
        <v>0</v>
      </c>
      <c r="V271" s="38">
        <f>SUM(F300)</f>
        <v>0</v>
      </c>
      <c r="Z271">
        <f t="shared" si="117"/>
        <v>0</v>
      </c>
      <c r="AC271" s="50"/>
      <c r="AD271" s="37"/>
      <c r="AE271" s="37"/>
      <c r="AF271" s="37"/>
      <c r="AG271" s="37"/>
      <c r="AH271" s="37"/>
      <c r="AI271" s="37"/>
      <c r="AJ271" s="37" t="s">
        <v>163</v>
      </c>
      <c r="AK271">
        <f>SUM(B349)</f>
        <v>0</v>
      </c>
      <c r="AL271">
        <f>SUM(C349)</f>
        <v>17</v>
      </c>
      <c r="AM271">
        <f>SUM(D349)</f>
        <v>58</v>
      </c>
      <c r="AN271">
        <f>SUM(E349)</f>
        <v>148</v>
      </c>
      <c r="AO271">
        <f>SUM(F349)</f>
        <v>5</v>
      </c>
      <c r="AS271" s="59">
        <f t="shared" si="147"/>
        <v>228</v>
      </c>
    </row>
    <row r="272" spans="1:45" x14ac:dyDescent="0.2">
      <c r="A272" t="s">
        <v>4316</v>
      </c>
      <c r="B272">
        <f>SUM(FishSumAllPRN!B272)</f>
        <v>0</v>
      </c>
      <c r="C272">
        <f>SUM(FishSumAllPRN!C272)</f>
        <v>0</v>
      </c>
      <c r="D272">
        <f>SUM(FishSumAllPRN!D272)</f>
        <v>0</v>
      </c>
      <c r="E272">
        <f>SUM(FishSumAllPRN!E272)</f>
        <v>89</v>
      </c>
      <c r="F272">
        <f>SUM(FishSumAllPRN!F272)</f>
        <v>457</v>
      </c>
      <c r="G272">
        <f>SUM(FishSumAllPRN!G272)</f>
        <v>546</v>
      </c>
      <c r="H272" s="54" t="s">
        <v>294</v>
      </c>
      <c r="I272" s="54"/>
      <c r="K272" t="s">
        <v>5723</v>
      </c>
      <c r="R272" s="38">
        <f t="shared" si="151"/>
        <v>0</v>
      </c>
      <c r="S272" s="38">
        <f t="shared" si="151"/>
        <v>1</v>
      </c>
      <c r="T272" s="38">
        <f t="shared" si="151"/>
        <v>7</v>
      </c>
      <c r="U272" s="38">
        <f>SUM(E301)</f>
        <v>4</v>
      </c>
      <c r="V272" s="38">
        <f>SUM(F301)</f>
        <v>44</v>
      </c>
      <c r="Z272">
        <f t="shared" si="117"/>
        <v>56</v>
      </c>
      <c r="AC272" s="50"/>
      <c r="AD272" s="37"/>
      <c r="AE272" s="37"/>
      <c r="AF272" s="37"/>
      <c r="AG272" s="37"/>
      <c r="AH272" s="37"/>
      <c r="AI272" s="37"/>
      <c r="AJ272" s="37" t="s">
        <v>165</v>
      </c>
      <c r="AK272">
        <f>SUM(B356)</f>
        <v>59</v>
      </c>
      <c r="AL272">
        <f>SUM(C356)</f>
        <v>4</v>
      </c>
      <c r="AM272">
        <f>SUM(D356)</f>
        <v>10</v>
      </c>
      <c r="AN272">
        <f>SUM(E356)</f>
        <v>61</v>
      </c>
      <c r="AO272">
        <f>SUM(F356)</f>
        <v>14</v>
      </c>
      <c r="AS272" s="59">
        <f t="shared" si="147"/>
        <v>148</v>
      </c>
    </row>
    <row r="273" spans="1:45" x14ac:dyDescent="0.2">
      <c r="A273" t="s">
        <v>4317</v>
      </c>
      <c r="B273">
        <f>SUM(FishSumAllPRN!B273)</f>
        <v>0</v>
      </c>
      <c r="C273">
        <f>SUM(FishSumAllPRN!C273)</f>
        <v>0</v>
      </c>
      <c r="D273">
        <f>SUM(FishSumAllPRN!D273)</f>
        <v>0</v>
      </c>
      <c r="E273">
        <f>SUM(FishSumAllPRN!E273)</f>
        <v>0</v>
      </c>
      <c r="F273">
        <f>SUM(FishSumAllPRN!F273)</f>
        <v>0</v>
      </c>
      <c r="G273">
        <f>SUM(FishSumAllPRN!G273)</f>
        <v>0</v>
      </c>
      <c r="H273" s="54" t="s">
        <v>294</v>
      </c>
      <c r="I273" s="54"/>
      <c r="K273" t="s">
        <v>5726</v>
      </c>
      <c r="R273" s="38">
        <f t="shared" ref="R273:T274" si="152">SUM(B321)</f>
        <v>0</v>
      </c>
      <c r="S273" s="38">
        <f t="shared" si="152"/>
        <v>0</v>
      </c>
      <c r="T273" s="38">
        <f t="shared" si="152"/>
        <v>0</v>
      </c>
      <c r="U273" s="38">
        <f>SUM(E321)</f>
        <v>0</v>
      </c>
      <c r="V273" s="38">
        <f>SUM(F321)</f>
        <v>0</v>
      </c>
      <c r="Z273">
        <f t="shared" si="117"/>
        <v>0</v>
      </c>
      <c r="AC273" s="50"/>
      <c r="AD273" s="37"/>
      <c r="AE273" s="37"/>
      <c r="AF273" s="37"/>
      <c r="AG273" s="37"/>
      <c r="AH273" s="37"/>
      <c r="AI273" s="37"/>
      <c r="AJ273" s="37" t="s">
        <v>167</v>
      </c>
      <c r="AK273">
        <f>SUM(B372)</f>
        <v>0</v>
      </c>
      <c r="AL273">
        <f>SUM(C372)</f>
        <v>0</v>
      </c>
      <c r="AM273">
        <f>SUM(D372)</f>
        <v>99</v>
      </c>
      <c r="AN273">
        <f>SUM(E372)</f>
        <v>242</v>
      </c>
      <c r="AO273">
        <f>SUM(F372)</f>
        <v>40</v>
      </c>
      <c r="AS273" s="59">
        <f t="shared" si="147"/>
        <v>381</v>
      </c>
    </row>
    <row r="274" spans="1:45" x14ac:dyDescent="0.2">
      <c r="A274" t="s">
        <v>4318</v>
      </c>
      <c r="B274">
        <f>SUM(FishSumAllPRN!B274)</f>
        <v>0</v>
      </c>
      <c r="C274">
        <f>SUM(FishSumAllPRN!C274)</f>
        <v>0</v>
      </c>
      <c r="D274">
        <f>SUM(FishSumAllPRN!D274)</f>
        <v>0</v>
      </c>
      <c r="E274">
        <f>SUM(FishSumAllPRN!E274)</f>
        <v>0</v>
      </c>
      <c r="F274">
        <f>SUM(FishSumAllPRN!F274)</f>
        <v>818</v>
      </c>
      <c r="G274">
        <f>SUM(FishSumAllPRN!G274)</f>
        <v>818</v>
      </c>
      <c r="H274" s="54" t="s">
        <v>294</v>
      </c>
      <c r="I274" s="54"/>
      <c r="K274" t="s">
        <v>5728</v>
      </c>
      <c r="R274" s="38">
        <f t="shared" si="152"/>
        <v>0</v>
      </c>
      <c r="S274" s="38">
        <f t="shared" si="152"/>
        <v>0</v>
      </c>
      <c r="T274" s="38">
        <f t="shared" si="152"/>
        <v>0</v>
      </c>
      <c r="U274" s="38">
        <f>SUM(E322)</f>
        <v>9</v>
      </c>
      <c r="V274" s="38">
        <f>SUM(F322)</f>
        <v>4</v>
      </c>
      <c r="Z274">
        <f t="shared" si="117"/>
        <v>13</v>
      </c>
      <c r="AC274" s="50"/>
      <c r="AD274" s="37"/>
      <c r="AE274" s="37"/>
      <c r="AF274" s="37"/>
      <c r="AG274" s="37"/>
      <c r="AH274" s="37"/>
      <c r="AI274" s="37"/>
      <c r="AJ274" s="37"/>
      <c r="AS274" s="58"/>
    </row>
    <row r="275" spans="1:45" x14ac:dyDescent="0.2">
      <c r="A275" t="s">
        <v>4319</v>
      </c>
      <c r="B275">
        <f>SUM(FishSumAllPRN!B275)</f>
        <v>0</v>
      </c>
      <c r="C275">
        <f>SUM(FishSumAllPRN!C275)</f>
        <v>0</v>
      </c>
      <c r="D275">
        <f>SUM(FishSumAllPRN!D275)</f>
        <v>0</v>
      </c>
      <c r="E275">
        <f>SUM(FishSumAllPRN!E275)</f>
        <v>0</v>
      </c>
      <c r="F275">
        <f>SUM(FishSumAllPRN!F275)</f>
        <v>144</v>
      </c>
      <c r="G275">
        <f>SUM(FishSumAllPRN!G275)</f>
        <v>144</v>
      </c>
      <c r="H275" s="54" t="s">
        <v>294</v>
      </c>
      <c r="I275" s="54"/>
      <c r="K275" t="s">
        <v>5730</v>
      </c>
      <c r="R275" s="38">
        <f t="shared" ref="R275:T276" si="153">SUM(B329)</f>
        <v>0</v>
      </c>
      <c r="S275" s="38">
        <f t="shared" si="153"/>
        <v>0</v>
      </c>
      <c r="T275" s="38">
        <f t="shared" si="153"/>
        <v>0</v>
      </c>
      <c r="U275" s="38">
        <f>SUM(E329)</f>
        <v>0</v>
      </c>
      <c r="V275" s="38">
        <f>SUM(F329)</f>
        <v>0</v>
      </c>
      <c r="Z275">
        <f t="shared" si="117"/>
        <v>0</v>
      </c>
      <c r="AC275" s="50" t="s">
        <v>5724</v>
      </c>
      <c r="AD275" s="37"/>
      <c r="AE275" s="37"/>
      <c r="AF275" s="37"/>
      <c r="AG275" s="37"/>
      <c r="AH275" s="37"/>
      <c r="AI275" s="37"/>
      <c r="AJ275" s="37" t="s">
        <v>5725</v>
      </c>
      <c r="AK275" s="38">
        <f t="shared" ref="AK275:AM276" si="154">SUM(R271)</f>
        <v>0</v>
      </c>
      <c r="AL275" s="38">
        <f t="shared" si="154"/>
        <v>0</v>
      </c>
      <c r="AM275" s="38">
        <f t="shared" si="154"/>
        <v>0</v>
      </c>
      <c r="AN275" s="38">
        <f>SUM(U271)</f>
        <v>0</v>
      </c>
      <c r="AO275" s="38">
        <f>SUM(V271)</f>
        <v>0</v>
      </c>
      <c r="AP275" s="38">
        <f>SUM(W271:W272)</f>
        <v>0</v>
      </c>
      <c r="AQ275" s="38">
        <f>SUM(X271:X272)</f>
        <v>0</v>
      </c>
      <c r="AR275" s="38">
        <f>SUM(Y271:Y272)</f>
        <v>0</v>
      </c>
      <c r="AS275" s="59">
        <f t="shared" ref="AS275:AS293" si="155">SUM(AK275:AO275)</f>
        <v>0</v>
      </c>
    </row>
    <row r="276" spans="1:45" x14ac:dyDescent="0.2">
      <c r="A276" t="s">
        <v>4320</v>
      </c>
      <c r="B276">
        <f>SUM(FishSumAllPRN!B276)</f>
        <v>0</v>
      </c>
      <c r="C276">
        <f>SUM(FishSumAllPRN!C276)</f>
        <v>0</v>
      </c>
      <c r="D276">
        <f>SUM(FishSumAllPRN!D276)</f>
        <v>0</v>
      </c>
      <c r="E276">
        <f>SUM(FishSumAllPRN!E276)</f>
        <v>0</v>
      </c>
      <c r="F276">
        <f>SUM(FishSumAllPRN!F276)</f>
        <v>124</v>
      </c>
      <c r="G276">
        <f>SUM(FishSumAllPRN!G276)</f>
        <v>124</v>
      </c>
      <c r="H276" s="54" t="s">
        <v>294</v>
      </c>
      <c r="I276" s="54"/>
      <c r="K276" t="s">
        <v>5732</v>
      </c>
      <c r="R276" s="38">
        <f t="shared" si="153"/>
        <v>0</v>
      </c>
      <c r="S276" s="38">
        <f t="shared" si="153"/>
        <v>0</v>
      </c>
      <c r="T276" s="38">
        <f t="shared" si="153"/>
        <v>0</v>
      </c>
      <c r="U276" s="38">
        <f>SUM(E330)</f>
        <v>93</v>
      </c>
      <c r="V276" s="38">
        <f>SUM(F330)</f>
        <v>20</v>
      </c>
      <c r="Z276">
        <f t="shared" si="117"/>
        <v>113</v>
      </c>
      <c r="AC276" s="61"/>
      <c r="AD276" s="37"/>
      <c r="AE276" s="37"/>
      <c r="AF276" s="37"/>
      <c r="AG276" s="37"/>
      <c r="AH276" s="37"/>
      <c r="AI276" s="37"/>
      <c r="AJ276" s="37" t="s">
        <v>5727</v>
      </c>
      <c r="AK276" s="38">
        <f t="shared" si="154"/>
        <v>0</v>
      </c>
      <c r="AL276" s="38">
        <f t="shared" si="154"/>
        <v>1</v>
      </c>
      <c r="AM276" s="38">
        <f t="shared" si="154"/>
        <v>7</v>
      </c>
      <c r="AN276" s="38">
        <f>SUM(U272)</f>
        <v>4</v>
      </c>
      <c r="AO276" s="38">
        <f>SUM(V272)</f>
        <v>44</v>
      </c>
      <c r="AP276" s="38"/>
      <c r="AQ276" s="38"/>
      <c r="AR276" s="38"/>
      <c r="AS276" s="59">
        <f t="shared" si="155"/>
        <v>56</v>
      </c>
    </row>
    <row r="277" spans="1:45" x14ac:dyDescent="0.2">
      <c r="A277" t="s">
        <v>4321</v>
      </c>
      <c r="B277">
        <f>SUM(FishSumAllPRN!B277)</f>
        <v>0</v>
      </c>
      <c r="C277">
        <f>SUM(FishSumAllPRN!C277)</f>
        <v>0</v>
      </c>
      <c r="D277">
        <f>SUM(FishSumAllPRN!D277)</f>
        <v>0</v>
      </c>
      <c r="E277">
        <f>SUM(FishSumAllPRN!E277)</f>
        <v>0</v>
      </c>
      <c r="F277">
        <f>SUM(FishSumAllPRN!F277)</f>
        <v>0</v>
      </c>
      <c r="G277">
        <f>SUM(FishSumAllPRN!G277)</f>
        <v>0</v>
      </c>
      <c r="H277" s="54" t="s">
        <v>294</v>
      </c>
      <c r="I277" s="54"/>
      <c r="K277" t="s">
        <v>5734</v>
      </c>
      <c r="R277" s="38">
        <f t="shared" ref="R277:T278" si="156">SUM(B375)</f>
        <v>0</v>
      </c>
      <c r="S277" s="38">
        <f t="shared" si="156"/>
        <v>0</v>
      </c>
      <c r="T277" s="38">
        <f t="shared" si="156"/>
        <v>0</v>
      </c>
      <c r="U277" s="38">
        <f>SUM(E375)</f>
        <v>25</v>
      </c>
      <c r="V277" s="38">
        <f>SUM(F375)</f>
        <v>1</v>
      </c>
      <c r="Z277">
        <f t="shared" si="117"/>
        <v>26</v>
      </c>
      <c r="AC277" s="50"/>
      <c r="AD277" s="37"/>
      <c r="AE277" s="37"/>
      <c r="AF277" s="37"/>
      <c r="AG277" s="37"/>
      <c r="AH277" s="37"/>
      <c r="AI277" s="37"/>
      <c r="AJ277" s="37" t="s">
        <v>5729</v>
      </c>
      <c r="AK277" s="38">
        <f t="shared" ref="AK277:AM278" si="157">SUM(R267)</f>
        <v>0</v>
      </c>
      <c r="AL277" s="38">
        <f t="shared" si="157"/>
        <v>0</v>
      </c>
      <c r="AM277" s="38">
        <f t="shared" si="157"/>
        <v>0</v>
      </c>
      <c r="AN277" s="38">
        <f t="shared" ref="AN277:AO280" si="158">SUM(U267)</f>
        <v>16</v>
      </c>
      <c r="AO277" s="38">
        <f t="shared" si="158"/>
        <v>12</v>
      </c>
      <c r="AP277" s="38">
        <f>SUM(W267:W268)</f>
        <v>0</v>
      </c>
      <c r="AQ277" s="38">
        <f>SUM(X267:X268)</f>
        <v>0</v>
      </c>
      <c r="AR277" s="38">
        <f>SUM(Y267:Y268)</f>
        <v>0</v>
      </c>
      <c r="AS277" s="59">
        <f t="shared" si="155"/>
        <v>28</v>
      </c>
    </row>
    <row r="278" spans="1:45" x14ac:dyDescent="0.2">
      <c r="A278" t="s">
        <v>4322</v>
      </c>
      <c r="B278">
        <f>SUM(FishSumAllPRN!B278)</f>
        <v>0</v>
      </c>
      <c r="C278">
        <f>SUM(FishSumAllPRN!C278)</f>
        <v>0</v>
      </c>
      <c r="D278">
        <f>SUM(FishSumAllPRN!D278)</f>
        <v>0</v>
      </c>
      <c r="E278">
        <f>SUM(FishSumAllPRN!E278)</f>
        <v>0</v>
      </c>
      <c r="F278">
        <f>SUM(FishSumAllPRN!F278)</f>
        <v>0</v>
      </c>
      <c r="G278">
        <f>SUM(FishSumAllPRN!G278)</f>
        <v>0</v>
      </c>
      <c r="H278" s="54" t="s">
        <v>294</v>
      </c>
      <c r="I278" s="54"/>
      <c r="K278" t="s">
        <v>5736</v>
      </c>
      <c r="R278" s="38">
        <f t="shared" si="156"/>
        <v>0</v>
      </c>
      <c r="S278" s="38">
        <f t="shared" si="156"/>
        <v>0</v>
      </c>
      <c r="T278" s="38">
        <f t="shared" si="156"/>
        <v>0</v>
      </c>
      <c r="U278" s="38">
        <f>SUM(E376)</f>
        <v>99</v>
      </c>
      <c r="V278" s="38">
        <f>SUM(F376)</f>
        <v>21</v>
      </c>
      <c r="Z278">
        <f t="shared" si="117"/>
        <v>120</v>
      </c>
      <c r="AC278" s="50"/>
      <c r="AD278" s="37"/>
      <c r="AE278" s="37"/>
      <c r="AF278" s="37"/>
      <c r="AG278" s="37"/>
      <c r="AH278" s="37"/>
      <c r="AI278" s="37"/>
      <c r="AJ278" s="37" t="s">
        <v>5731</v>
      </c>
      <c r="AK278" s="38">
        <f t="shared" si="157"/>
        <v>0</v>
      </c>
      <c r="AL278" s="38">
        <f t="shared" si="157"/>
        <v>0</v>
      </c>
      <c r="AM278" s="38">
        <f t="shared" si="157"/>
        <v>8</v>
      </c>
      <c r="AN278" s="38">
        <f t="shared" si="158"/>
        <v>31</v>
      </c>
      <c r="AO278" s="38">
        <f t="shared" si="158"/>
        <v>94</v>
      </c>
      <c r="AP278" s="38"/>
      <c r="AQ278" s="38"/>
      <c r="AR278" s="38"/>
      <c r="AS278" s="59">
        <f t="shared" si="155"/>
        <v>133</v>
      </c>
    </row>
    <row r="279" spans="1:45" x14ac:dyDescent="0.2">
      <c r="A279" t="s">
        <v>4323</v>
      </c>
      <c r="B279">
        <f>SUM(FishSumAllPRN!B279)</f>
        <v>0</v>
      </c>
      <c r="C279">
        <f>SUM(FishSumAllPRN!C279)</f>
        <v>0</v>
      </c>
      <c r="D279">
        <f>SUM(FishSumAllPRN!D279)</f>
        <v>0</v>
      </c>
      <c r="E279">
        <f>SUM(FishSumAllPRN!E279)</f>
        <v>0</v>
      </c>
      <c r="F279">
        <f>SUM(FishSumAllPRN!F279)</f>
        <v>0</v>
      </c>
      <c r="G279">
        <f>SUM(FishSumAllPRN!G279)</f>
        <v>0</v>
      </c>
      <c r="H279" s="54" t="s">
        <v>294</v>
      </c>
      <c r="I279" s="54"/>
      <c r="K279" t="s">
        <v>5738</v>
      </c>
      <c r="R279" s="38">
        <f t="shared" ref="R279:T280" si="159">SUM(B373,B377,B379)</f>
        <v>0</v>
      </c>
      <c r="S279" s="38">
        <f t="shared" si="159"/>
        <v>0</v>
      </c>
      <c r="T279" s="38">
        <f t="shared" si="159"/>
        <v>0</v>
      </c>
      <c r="U279" s="38">
        <f>SUM(E373,E379)</f>
        <v>0</v>
      </c>
      <c r="V279" s="38">
        <f>SUM(F373,F379)</f>
        <v>27</v>
      </c>
      <c r="Z279">
        <f t="shared" si="117"/>
        <v>27</v>
      </c>
      <c r="AC279" s="50"/>
      <c r="AD279" s="37"/>
      <c r="AE279" s="37"/>
      <c r="AF279" s="37"/>
      <c r="AG279" s="37"/>
      <c r="AH279" s="37"/>
      <c r="AI279" s="37"/>
      <c r="AJ279" s="37" t="s">
        <v>5733</v>
      </c>
      <c r="AK279" s="38">
        <v>0</v>
      </c>
      <c r="AL279" s="38">
        <v>0</v>
      </c>
      <c r="AM279" s="38">
        <v>0</v>
      </c>
      <c r="AN279" s="38">
        <f t="shared" si="158"/>
        <v>56</v>
      </c>
      <c r="AO279" s="38">
        <f t="shared" si="158"/>
        <v>1</v>
      </c>
      <c r="AP279" s="38">
        <f>SUM(W269:W270)</f>
        <v>0</v>
      </c>
      <c r="AQ279" s="38">
        <f>SUM(X269:X270)</f>
        <v>0</v>
      </c>
      <c r="AR279" s="38">
        <f>SUM(Y269:Y270)</f>
        <v>0</v>
      </c>
      <c r="AS279" s="59">
        <f t="shared" si="155"/>
        <v>57</v>
      </c>
    </row>
    <row r="280" spans="1:45" x14ac:dyDescent="0.2">
      <c r="A280" t="s">
        <v>4324</v>
      </c>
      <c r="B280">
        <f>SUM(FishSumAllPRN!B280)</f>
        <v>0</v>
      </c>
      <c r="C280">
        <f>SUM(FishSumAllPRN!C280)</f>
        <v>0</v>
      </c>
      <c r="D280">
        <f>SUM(FishSumAllPRN!D280)</f>
        <v>0</v>
      </c>
      <c r="E280">
        <f>SUM(FishSumAllPRN!E280)</f>
        <v>0</v>
      </c>
      <c r="F280">
        <f>SUM(FishSumAllPRN!F280)</f>
        <v>0</v>
      </c>
      <c r="G280">
        <f>SUM(FishSumAllPRN!G280)</f>
        <v>0</v>
      </c>
      <c r="H280" s="54" t="s">
        <v>294</v>
      </c>
      <c r="I280" s="54"/>
      <c r="K280" t="s">
        <v>5740</v>
      </c>
      <c r="R280" s="38">
        <f t="shared" si="159"/>
        <v>0</v>
      </c>
      <c r="S280" s="38">
        <f t="shared" si="159"/>
        <v>0</v>
      </c>
      <c r="T280" s="38">
        <f t="shared" si="159"/>
        <v>0</v>
      </c>
      <c r="U280" s="38">
        <f>SUM(E374,E380)</f>
        <v>29</v>
      </c>
      <c r="V280" s="38">
        <f>SUM(F374,F380)</f>
        <v>61</v>
      </c>
      <c r="Z280">
        <f t="shared" si="117"/>
        <v>90</v>
      </c>
      <c r="AC280" s="50"/>
      <c r="AD280" s="37"/>
      <c r="AE280" s="37"/>
      <c r="AF280" s="37"/>
      <c r="AG280" s="37"/>
      <c r="AH280" s="37"/>
      <c r="AI280" s="37"/>
      <c r="AJ280" s="37" t="s">
        <v>5735</v>
      </c>
      <c r="AK280" s="38">
        <v>0</v>
      </c>
      <c r="AL280" s="38">
        <v>0</v>
      </c>
      <c r="AM280" s="38">
        <v>0</v>
      </c>
      <c r="AN280" s="38">
        <f t="shared" si="158"/>
        <v>465</v>
      </c>
      <c r="AO280" s="38">
        <f t="shared" si="158"/>
        <v>23</v>
      </c>
      <c r="AP280" s="38"/>
      <c r="AQ280" s="38"/>
      <c r="AR280" s="38"/>
      <c r="AS280" s="59">
        <f t="shared" si="155"/>
        <v>488</v>
      </c>
    </row>
    <row r="281" spans="1:45" x14ac:dyDescent="0.2">
      <c r="A281" t="s">
        <v>4325</v>
      </c>
      <c r="B281">
        <f>SUM(FishSumAllPRN!B281)</f>
        <v>0</v>
      </c>
      <c r="C281">
        <f>SUM(FishSumAllPRN!C281)</f>
        <v>0</v>
      </c>
      <c r="D281">
        <f>SUM(FishSumAllPRN!D281)</f>
        <v>0</v>
      </c>
      <c r="E281">
        <f>SUM(FishSumAllPRN!E281)</f>
        <v>0</v>
      </c>
      <c r="F281">
        <f>SUM(FishSumAllPRN!F281)</f>
        <v>0</v>
      </c>
      <c r="G281">
        <f>SUM(FishSumAllPRN!G281)</f>
        <v>0</v>
      </c>
      <c r="H281" s="54" t="s">
        <v>294</v>
      </c>
      <c r="I281" s="54"/>
      <c r="K281" t="s">
        <v>5742</v>
      </c>
      <c r="R281" s="38">
        <f t="shared" ref="R281:T282" si="160">SUM(B339,B341,B343,B350,B352,B357,B359,B361,B363,B365)</f>
        <v>0</v>
      </c>
      <c r="S281" s="38">
        <f t="shared" si="160"/>
        <v>0</v>
      </c>
      <c r="T281" s="38">
        <f t="shared" si="160"/>
        <v>0</v>
      </c>
      <c r="U281" s="38">
        <f>SUM(E339,E341,E343,E350,E352,E357,E359,E361,E363,E365)</f>
        <v>1</v>
      </c>
      <c r="V281" s="38">
        <f>SUM(F339,F341,F343,F350,F352,F357,F359,F361,F363,F365)</f>
        <v>19</v>
      </c>
      <c r="Z281">
        <f t="shared" si="117"/>
        <v>20</v>
      </c>
      <c r="AC281" s="50"/>
      <c r="AD281" s="37"/>
      <c r="AE281" s="37"/>
      <c r="AF281" s="37"/>
      <c r="AG281" s="37"/>
      <c r="AH281" s="37"/>
      <c r="AI281" s="37"/>
      <c r="AJ281" s="37" t="s">
        <v>5737</v>
      </c>
      <c r="AK281" s="38">
        <v>0</v>
      </c>
      <c r="AL281" s="38">
        <v>0</v>
      </c>
      <c r="AM281" s="38">
        <v>0</v>
      </c>
      <c r="AN281" s="38">
        <f t="shared" ref="AN281:AO284" si="161">SUM(U273)</f>
        <v>0</v>
      </c>
      <c r="AO281" s="38">
        <f t="shared" si="161"/>
        <v>0</v>
      </c>
      <c r="AP281" s="38">
        <f>SUM(W273:W274)</f>
        <v>0</v>
      </c>
      <c r="AQ281" s="38">
        <f>SUM(X273:X274)</f>
        <v>0</v>
      </c>
      <c r="AR281" s="38">
        <f>SUM(Y273:Y274)</f>
        <v>0</v>
      </c>
      <c r="AS281" s="59">
        <f t="shared" si="155"/>
        <v>0</v>
      </c>
    </row>
    <row r="282" spans="1:45" x14ac:dyDescent="0.2">
      <c r="A282" t="s">
        <v>4326</v>
      </c>
      <c r="B282">
        <f>SUM(FishSumAllPRN!B282)</f>
        <v>0</v>
      </c>
      <c r="C282">
        <f>SUM(FishSumAllPRN!C282)</f>
        <v>0</v>
      </c>
      <c r="D282">
        <f>SUM(FishSumAllPRN!D282)</f>
        <v>0</v>
      </c>
      <c r="E282">
        <f>SUM(FishSumAllPRN!E282)</f>
        <v>0</v>
      </c>
      <c r="F282">
        <f>SUM(FishSumAllPRN!F282)</f>
        <v>0</v>
      </c>
      <c r="G282">
        <f>SUM(FishSumAllPRN!G282)</f>
        <v>0</v>
      </c>
      <c r="H282" s="54" t="s">
        <v>294</v>
      </c>
      <c r="I282" s="54"/>
      <c r="K282" t="s">
        <v>5743</v>
      </c>
      <c r="R282" s="38">
        <f t="shared" si="160"/>
        <v>0</v>
      </c>
      <c r="S282" s="38">
        <f t="shared" si="160"/>
        <v>0</v>
      </c>
      <c r="T282" s="38">
        <f t="shared" si="160"/>
        <v>0</v>
      </c>
      <c r="U282" s="38">
        <f>SUM(E340,E342,E344,E351,E353,E358,E360,E362,E364,E366)</f>
        <v>568</v>
      </c>
      <c r="V282" s="38">
        <f>SUM(F340,F342,F344,F351,F353,F358,F360,F362,F364,F366)</f>
        <v>325</v>
      </c>
      <c r="Z282">
        <f t="shared" si="117"/>
        <v>893</v>
      </c>
      <c r="AC282" s="50"/>
      <c r="AD282" s="37"/>
      <c r="AE282" s="37"/>
      <c r="AF282" s="37"/>
      <c r="AG282" s="37"/>
      <c r="AH282" s="37"/>
      <c r="AI282" s="37"/>
      <c r="AJ282" s="37" t="s">
        <v>5739</v>
      </c>
      <c r="AK282" s="38">
        <v>0</v>
      </c>
      <c r="AL282" s="38">
        <v>0</v>
      </c>
      <c r="AM282" s="38">
        <v>0</v>
      </c>
      <c r="AN282" s="38">
        <f t="shared" si="161"/>
        <v>9</v>
      </c>
      <c r="AO282" s="38">
        <f t="shared" si="161"/>
        <v>4</v>
      </c>
      <c r="AP282" s="38"/>
      <c r="AQ282" s="38"/>
      <c r="AR282" s="38"/>
      <c r="AS282" s="59">
        <f t="shared" si="155"/>
        <v>13</v>
      </c>
    </row>
    <row r="283" spans="1:45" x14ac:dyDescent="0.2">
      <c r="A283" t="s">
        <v>4327</v>
      </c>
      <c r="B283">
        <f>SUM(FishSumAllPRN!B283)</f>
        <v>0</v>
      </c>
      <c r="C283">
        <f>SUM(FishSumAllPRN!C283)</f>
        <v>0</v>
      </c>
      <c r="D283">
        <f>SUM(FishSumAllPRN!D283)</f>
        <v>0</v>
      </c>
      <c r="E283">
        <f>SUM(FishSumAllPRN!E283)</f>
        <v>224</v>
      </c>
      <c r="F283">
        <f>SUM(FishSumAllPRN!F283)</f>
        <v>105</v>
      </c>
      <c r="G283">
        <f>SUM(FishSumAllPRN!G283)</f>
        <v>329</v>
      </c>
      <c r="H283" s="54" t="s">
        <v>294</v>
      </c>
      <c r="I283" s="54"/>
      <c r="K283" t="s">
        <v>5745</v>
      </c>
      <c r="R283" s="38">
        <f t="shared" ref="R283:T286" si="162">SUM(B402)</f>
        <v>0</v>
      </c>
      <c r="S283" s="38">
        <f t="shared" si="162"/>
        <v>0</v>
      </c>
      <c r="T283" s="38">
        <f t="shared" si="162"/>
        <v>0</v>
      </c>
      <c r="U283" s="38">
        <f t="shared" ref="U283:V286" si="163">SUM(E402)</f>
        <v>0</v>
      </c>
      <c r="V283" s="38">
        <f t="shared" si="163"/>
        <v>0</v>
      </c>
      <c r="Z283">
        <f t="shared" si="117"/>
        <v>0</v>
      </c>
      <c r="AC283" s="50"/>
      <c r="AD283" s="37"/>
      <c r="AE283" s="37"/>
      <c r="AF283" s="37"/>
      <c r="AG283" s="37"/>
      <c r="AH283" s="37"/>
      <c r="AI283" s="37"/>
      <c r="AJ283" s="37" t="s">
        <v>5741</v>
      </c>
      <c r="AK283" s="38">
        <v>0</v>
      </c>
      <c r="AL283" s="38">
        <v>0</v>
      </c>
      <c r="AM283" s="38">
        <v>0</v>
      </c>
      <c r="AN283" s="38">
        <f t="shared" si="161"/>
        <v>0</v>
      </c>
      <c r="AO283" s="38">
        <f t="shared" si="161"/>
        <v>0</v>
      </c>
      <c r="AP283" s="38">
        <f>SUM(W275:W276)</f>
        <v>0</v>
      </c>
      <c r="AQ283" s="38">
        <f>SUM(X275:X276)</f>
        <v>0</v>
      </c>
      <c r="AR283" s="38">
        <f>SUM(Y275:Y276)</f>
        <v>0</v>
      </c>
      <c r="AS283" s="59">
        <f t="shared" si="155"/>
        <v>0</v>
      </c>
    </row>
    <row r="284" spans="1:45" x14ac:dyDescent="0.2">
      <c r="A284" t="s">
        <v>4328</v>
      </c>
      <c r="B284">
        <f>SUM(FishSumAllPRN!B284)</f>
        <v>0</v>
      </c>
      <c r="C284">
        <f>SUM(FishSumAllPRN!C284)</f>
        <v>0</v>
      </c>
      <c r="D284">
        <f>SUM(FishSumAllPRN!D284)</f>
        <v>0</v>
      </c>
      <c r="E284">
        <f>SUM(FishSumAllPRN!E284)</f>
        <v>0</v>
      </c>
      <c r="F284">
        <f>SUM(FishSumAllPRN!F284)</f>
        <v>0</v>
      </c>
      <c r="G284">
        <f>SUM(FishSumAllPRN!G284)</f>
        <v>0</v>
      </c>
      <c r="H284" s="54" t="s">
        <v>294</v>
      </c>
      <c r="I284" s="54"/>
      <c r="K284" t="s">
        <v>5747</v>
      </c>
      <c r="R284" s="38">
        <f t="shared" si="162"/>
        <v>0</v>
      </c>
      <c r="S284" s="38">
        <f t="shared" si="162"/>
        <v>0</v>
      </c>
      <c r="T284" s="38">
        <f t="shared" si="162"/>
        <v>0</v>
      </c>
      <c r="U284" s="38">
        <f t="shared" si="163"/>
        <v>0</v>
      </c>
      <c r="V284" s="38">
        <f t="shared" si="163"/>
        <v>0</v>
      </c>
      <c r="Z284">
        <f t="shared" si="117"/>
        <v>0</v>
      </c>
      <c r="AC284" s="50"/>
      <c r="AD284" s="37"/>
      <c r="AE284" s="37"/>
      <c r="AF284" s="37"/>
      <c r="AG284" s="37"/>
      <c r="AH284" s="37"/>
      <c r="AI284" s="37"/>
      <c r="AJ284" s="37" t="s">
        <v>318</v>
      </c>
      <c r="AK284" s="38">
        <v>0</v>
      </c>
      <c r="AL284" s="38">
        <v>0</v>
      </c>
      <c r="AM284" s="38">
        <v>0</v>
      </c>
      <c r="AN284" s="38">
        <f t="shared" si="161"/>
        <v>93</v>
      </c>
      <c r="AO284" s="38">
        <f t="shared" si="161"/>
        <v>20</v>
      </c>
      <c r="AP284" s="38"/>
      <c r="AQ284" s="38"/>
      <c r="AR284" s="38"/>
      <c r="AS284" s="59">
        <f t="shared" si="155"/>
        <v>113</v>
      </c>
    </row>
    <row r="285" spans="1:45" x14ac:dyDescent="0.2">
      <c r="A285" t="s">
        <v>4329</v>
      </c>
      <c r="B285">
        <f>SUM(FishSumAllPRN!B285)</f>
        <v>0</v>
      </c>
      <c r="C285">
        <f>SUM(FishSumAllPRN!C285)</f>
        <v>0</v>
      </c>
      <c r="D285">
        <f>SUM(FishSumAllPRN!D285)</f>
        <v>0</v>
      </c>
      <c r="E285">
        <f>SUM(FishSumAllPRN!E285)</f>
        <v>0</v>
      </c>
      <c r="F285">
        <f>SUM(FishSumAllPRN!F285)</f>
        <v>104</v>
      </c>
      <c r="G285">
        <f>SUM(FishSumAllPRN!G285)</f>
        <v>104</v>
      </c>
      <c r="H285" s="54" t="s">
        <v>294</v>
      </c>
      <c r="I285" s="54"/>
      <c r="K285" t="s">
        <v>5749</v>
      </c>
      <c r="R285" s="38">
        <f t="shared" si="162"/>
        <v>0</v>
      </c>
      <c r="S285" s="38">
        <f t="shared" si="162"/>
        <v>0</v>
      </c>
      <c r="T285" s="38">
        <f t="shared" si="162"/>
        <v>0</v>
      </c>
      <c r="U285" s="38">
        <f t="shared" si="163"/>
        <v>0</v>
      </c>
      <c r="V285" s="38">
        <f t="shared" si="163"/>
        <v>0</v>
      </c>
      <c r="Z285">
        <f>SUM(R285:V285)</f>
        <v>0</v>
      </c>
      <c r="AC285" s="50"/>
      <c r="AD285" s="37"/>
      <c r="AE285" s="37"/>
      <c r="AF285" s="37"/>
      <c r="AG285" s="37"/>
      <c r="AH285" s="37"/>
      <c r="AI285" s="37"/>
      <c r="AJ285" s="37" t="s">
        <v>5744</v>
      </c>
      <c r="AK285" s="38">
        <v>0</v>
      </c>
      <c r="AL285" s="38">
        <v>0</v>
      </c>
      <c r="AM285" s="38">
        <v>0</v>
      </c>
      <c r="AN285" s="497">
        <f>SUM(E331)</f>
        <v>0</v>
      </c>
      <c r="AO285" s="497">
        <f>SUM(F331)</f>
        <v>0</v>
      </c>
      <c r="AP285" s="38"/>
      <c r="AQ285" s="38"/>
      <c r="AR285" s="38"/>
      <c r="AS285" s="59">
        <f t="shared" si="155"/>
        <v>0</v>
      </c>
    </row>
    <row r="286" spans="1:45" x14ac:dyDescent="0.2">
      <c r="A286" t="s">
        <v>4330</v>
      </c>
      <c r="B286">
        <f>SUM(FishSumAllPRN!B286)</f>
        <v>0</v>
      </c>
      <c r="C286">
        <f>SUM(FishSumAllPRN!C286)</f>
        <v>0</v>
      </c>
      <c r="D286">
        <f>SUM(FishSumAllPRN!D286)</f>
        <v>0</v>
      </c>
      <c r="E286">
        <f>SUM(FishSumAllPRN!E286)</f>
        <v>0</v>
      </c>
      <c r="F286">
        <f>SUM(FishSumAllPRN!F286)</f>
        <v>0</v>
      </c>
      <c r="G286">
        <f>SUM(FishSumAllPRN!G286)</f>
        <v>0</v>
      </c>
      <c r="H286" s="54" t="s">
        <v>294</v>
      </c>
      <c r="I286" s="54"/>
      <c r="K286" t="s">
        <v>5751</v>
      </c>
      <c r="R286" s="38">
        <f t="shared" si="162"/>
        <v>0</v>
      </c>
      <c r="S286" s="38">
        <f t="shared" si="162"/>
        <v>0</v>
      </c>
      <c r="T286" s="38">
        <f t="shared" si="162"/>
        <v>0</v>
      </c>
      <c r="U286" s="38">
        <f t="shared" si="163"/>
        <v>0</v>
      </c>
      <c r="V286" s="38">
        <f t="shared" si="163"/>
        <v>0</v>
      </c>
      <c r="Z286">
        <f>SUM(R286:V286)</f>
        <v>0</v>
      </c>
      <c r="AC286" s="50"/>
      <c r="AD286" s="37"/>
      <c r="AE286" s="37"/>
      <c r="AF286" s="37"/>
      <c r="AG286" s="37"/>
      <c r="AH286" s="37"/>
      <c r="AI286" s="37"/>
      <c r="AJ286" s="37" t="s">
        <v>5746</v>
      </c>
      <c r="AK286" s="38">
        <v>0</v>
      </c>
      <c r="AL286" s="38">
        <v>0</v>
      </c>
      <c r="AM286" s="38">
        <v>0</v>
      </c>
      <c r="AN286" s="38">
        <f>SUM(E332)</f>
        <v>308</v>
      </c>
      <c r="AO286" s="38">
        <f>SUM(F332)</f>
        <v>157</v>
      </c>
      <c r="AP286" s="38"/>
      <c r="AQ286" s="38"/>
      <c r="AR286" s="38"/>
      <c r="AS286" s="59">
        <f t="shared" si="155"/>
        <v>465</v>
      </c>
    </row>
    <row r="287" spans="1:45" x14ac:dyDescent="0.2">
      <c r="A287" t="s">
        <v>4331</v>
      </c>
      <c r="B287">
        <f>SUM(FishSumAllPRN!B287)</f>
        <v>0</v>
      </c>
      <c r="C287">
        <f>SUM(FishSumAllPRN!C287)</f>
        <v>0</v>
      </c>
      <c r="D287">
        <f>SUM(FishSumAllPRN!D287)</f>
        <v>0</v>
      </c>
      <c r="E287">
        <f>SUM(FishSumAllPRN!E287)</f>
        <v>0</v>
      </c>
      <c r="F287">
        <f>SUM(FishSumAllPRN!F287)</f>
        <v>0</v>
      </c>
      <c r="G287">
        <f>SUM(FishSumAllPRN!G287)</f>
        <v>0</v>
      </c>
      <c r="H287" s="54" t="s">
        <v>294</v>
      </c>
      <c r="I287" s="54"/>
      <c r="AC287" s="50"/>
      <c r="AD287" s="37"/>
      <c r="AE287" s="37"/>
      <c r="AF287" s="37"/>
      <c r="AG287" s="37"/>
      <c r="AH287" s="37"/>
      <c r="AI287" s="37"/>
      <c r="AJ287" s="37" t="s">
        <v>5748</v>
      </c>
      <c r="AK287" s="38">
        <v>0</v>
      </c>
      <c r="AL287" s="38">
        <v>0</v>
      </c>
      <c r="AM287" s="38">
        <v>0</v>
      </c>
      <c r="AN287" s="38">
        <v>0</v>
      </c>
      <c r="AO287" s="38">
        <v>0</v>
      </c>
      <c r="AP287" s="38">
        <v>0</v>
      </c>
      <c r="AQ287" s="38">
        <v>0</v>
      </c>
      <c r="AR287" s="38">
        <v>0</v>
      </c>
      <c r="AS287" s="59">
        <f t="shared" si="155"/>
        <v>0</v>
      </c>
    </row>
    <row r="288" spans="1:45" x14ac:dyDescent="0.2">
      <c r="A288" t="s">
        <v>4332</v>
      </c>
      <c r="B288">
        <f>SUM(FishSumAllPRN!B288)</f>
        <v>0</v>
      </c>
      <c r="C288">
        <f>SUM(FishSumAllPRN!C288)</f>
        <v>0</v>
      </c>
      <c r="D288">
        <f>SUM(FishSumAllPRN!D288)</f>
        <v>0</v>
      </c>
      <c r="E288">
        <f>SUM(FishSumAllPRN!E288)</f>
        <v>186</v>
      </c>
      <c r="F288">
        <f>SUM(FishSumAllPRN!F288)</f>
        <v>35</v>
      </c>
      <c r="G288">
        <f>SUM(FishSumAllPRN!G288)</f>
        <v>221</v>
      </c>
      <c r="H288" s="54" t="s">
        <v>294</v>
      </c>
      <c r="I288" s="54"/>
      <c r="R288" s="38">
        <f>SUM(R221:R286)</f>
        <v>4495</v>
      </c>
      <c r="AC288" s="61"/>
      <c r="AJ288" s="37" t="s">
        <v>5750</v>
      </c>
      <c r="AK288" s="38">
        <v>0</v>
      </c>
      <c r="AL288" s="38">
        <v>0</v>
      </c>
      <c r="AM288" s="38">
        <v>0</v>
      </c>
      <c r="AN288" s="38">
        <f>SUM(E375,E377)</f>
        <v>50</v>
      </c>
      <c r="AO288" s="38">
        <f>SUM(F375,F377)</f>
        <v>1</v>
      </c>
      <c r="AP288" s="38">
        <f>SUM(W277:W278)</f>
        <v>0</v>
      </c>
      <c r="AQ288" s="38">
        <f>SUM(X277:X278)</f>
        <v>0</v>
      </c>
      <c r="AR288" s="38">
        <f>SUM(Y277:Y278)</f>
        <v>0</v>
      </c>
      <c r="AS288" s="59">
        <f t="shared" si="155"/>
        <v>51</v>
      </c>
    </row>
    <row r="289" spans="1:45" x14ac:dyDescent="0.2">
      <c r="A289" t="s">
        <v>4333</v>
      </c>
      <c r="B289">
        <f>SUM(FishSumAllPRN!B289)</f>
        <v>0</v>
      </c>
      <c r="C289">
        <f>SUM(FishSumAllPRN!C289)</f>
        <v>0</v>
      </c>
      <c r="D289">
        <f>SUM(FishSumAllPRN!D289)</f>
        <v>0</v>
      </c>
      <c r="E289">
        <f>SUM(FishSumAllPRN!E289)</f>
        <v>0</v>
      </c>
      <c r="F289">
        <f>SUM(FishSumAllPRN!F289)</f>
        <v>0</v>
      </c>
      <c r="G289">
        <f>SUM(FishSumAllPRN!G289)</f>
        <v>0</v>
      </c>
      <c r="H289" s="54" t="s">
        <v>294</v>
      </c>
      <c r="I289" s="54"/>
      <c r="AC289" s="61"/>
      <c r="AJ289" s="37" t="s">
        <v>5752</v>
      </c>
      <c r="AK289" s="38">
        <v>0</v>
      </c>
      <c r="AL289" s="38">
        <v>0</v>
      </c>
      <c r="AM289" s="38">
        <v>0</v>
      </c>
      <c r="AN289" s="38">
        <f>SUM(E376,E378)</f>
        <v>170</v>
      </c>
      <c r="AO289" s="38">
        <f>SUM(F376,F378)</f>
        <v>29</v>
      </c>
      <c r="AP289" s="38"/>
      <c r="AQ289" s="38"/>
      <c r="AR289" s="38"/>
      <c r="AS289" s="59">
        <f t="shared" si="155"/>
        <v>199</v>
      </c>
    </row>
    <row r="290" spans="1:45" x14ac:dyDescent="0.2">
      <c r="A290" t="s">
        <v>4334</v>
      </c>
      <c r="B290">
        <f>SUM(FishSumAllPRN!B290)</f>
        <v>0</v>
      </c>
      <c r="C290">
        <f>SUM(FishSumAllPRN!C290)</f>
        <v>0</v>
      </c>
      <c r="D290">
        <f>SUM(FishSumAllPRN!D290)</f>
        <v>0</v>
      </c>
      <c r="E290">
        <f>SUM(FishSumAllPRN!E290)</f>
        <v>0</v>
      </c>
      <c r="F290">
        <f>SUM(FishSumAllPRN!F290)</f>
        <v>199</v>
      </c>
      <c r="G290">
        <f>SUM(FishSumAllPRN!G290)</f>
        <v>199</v>
      </c>
      <c r="H290" s="54" t="s">
        <v>294</v>
      </c>
      <c r="I290" s="54"/>
      <c r="AC290" s="61"/>
      <c r="AJ290" s="37" t="s">
        <v>5753</v>
      </c>
      <c r="AK290" s="38">
        <v>0</v>
      </c>
      <c r="AL290" s="38">
        <v>0</v>
      </c>
      <c r="AM290" s="38">
        <v>0</v>
      </c>
      <c r="AN290" s="38">
        <f>SUM(E373,E379)</f>
        <v>0</v>
      </c>
      <c r="AO290" s="38">
        <f>SUM(F373,F379)</f>
        <v>27</v>
      </c>
      <c r="AP290" s="38">
        <f>SUM(W279:W280)</f>
        <v>0</v>
      </c>
      <c r="AQ290" s="38">
        <f>SUM(X279:X280)</f>
        <v>0</v>
      </c>
      <c r="AR290" s="38">
        <f>SUM(Y279:Y280)</f>
        <v>0</v>
      </c>
      <c r="AS290" s="59">
        <f t="shared" si="155"/>
        <v>27</v>
      </c>
    </row>
    <row r="291" spans="1:45" x14ac:dyDescent="0.2">
      <c r="A291" t="s">
        <v>4335</v>
      </c>
      <c r="B291">
        <f>SUM(FishSumAllPRN!B291)</f>
        <v>0</v>
      </c>
      <c r="C291">
        <f>SUM(FishSumAllPRN!C291)</f>
        <v>0</v>
      </c>
      <c r="D291">
        <f>SUM(FishSumAllPRN!D291)</f>
        <v>0</v>
      </c>
      <c r="E291">
        <f>SUM(FishSumAllPRN!E291)</f>
        <v>29</v>
      </c>
      <c r="F291">
        <f>SUM(FishSumAllPRN!F291)</f>
        <v>62</v>
      </c>
      <c r="G291">
        <f>SUM(FishSumAllPRN!G291)</f>
        <v>91</v>
      </c>
      <c r="H291" s="54" t="s">
        <v>294</v>
      </c>
      <c r="I291" s="54"/>
      <c r="AC291" s="61"/>
      <c r="AJ291" s="37" t="s">
        <v>5754</v>
      </c>
      <c r="AK291" s="38">
        <v>0</v>
      </c>
      <c r="AL291" s="38">
        <v>0</v>
      </c>
      <c r="AM291" s="38">
        <v>0</v>
      </c>
      <c r="AN291" s="38">
        <f>SUM(E374,E380)</f>
        <v>29</v>
      </c>
      <c r="AO291" s="38">
        <f>SUM(F374,F380)</f>
        <v>61</v>
      </c>
      <c r="AP291" s="38"/>
      <c r="AQ291" s="38"/>
      <c r="AR291" s="38"/>
      <c r="AS291" s="59">
        <f t="shared" si="155"/>
        <v>90</v>
      </c>
    </row>
    <row r="292" spans="1:45" x14ac:dyDescent="0.2">
      <c r="A292" t="s">
        <v>4336</v>
      </c>
      <c r="B292">
        <f>SUM(FishSumAllPRN!B292)</f>
        <v>0</v>
      </c>
      <c r="C292">
        <f>SUM(FishSumAllPRN!C292)</f>
        <v>0</v>
      </c>
      <c r="D292">
        <f>SUM(FishSumAllPRN!D292)</f>
        <v>0</v>
      </c>
      <c r="E292">
        <f>SUM(FishSumAllPRN!E292)</f>
        <v>0</v>
      </c>
      <c r="F292">
        <f>SUM(FishSumAllPRN!F292)</f>
        <v>0</v>
      </c>
      <c r="G292">
        <f>SUM(FishSumAllPRN!G292)</f>
        <v>0</v>
      </c>
      <c r="H292" s="54" t="s">
        <v>294</v>
      </c>
      <c r="I292" s="54"/>
      <c r="AC292" s="61"/>
      <c r="AJ292" s="37" t="s">
        <v>5767</v>
      </c>
      <c r="AK292" s="38">
        <v>0</v>
      </c>
      <c r="AL292" s="38">
        <v>0</v>
      </c>
      <c r="AM292" s="38">
        <v>0</v>
      </c>
      <c r="AN292" s="38">
        <f>SUM(E339,E341,E343,E350,E352,E357,E359,E361,E363,E365)</f>
        <v>1</v>
      </c>
      <c r="AO292" s="38">
        <f>SUM(F339,F341,F343,F350,F352,F357,F359,F361,F363,F365)</f>
        <v>19</v>
      </c>
      <c r="AP292" s="38"/>
      <c r="AQ292" s="38"/>
      <c r="AR292" s="38"/>
      <c r="AS292" s="59">
        <f t="shared" si="155"/>
        <v>20</v>
      </c>
    </row>
    <row r="293" spans="1:45" ht="13.5" thickBot="1" x14ac:dyDescent="0.25">
      <c r="A293" t="s">
        <v>4337</v>
      </c>
      <c r="B293">
        <f>SUM(FishSumAllPRN!B293)</f>
        <v>0</v>
      </c>
      <c r="C293">
        <f>SUM(FishSumAllPRN!C293)</f>
        <v>0</v>
      </c>
      <c r="D293">
        <f>SUM(FishSumAllPRN!D293)</f>
        <v>0</v>
      </c>
      <c r="E293">
        <f>SUM(FishSumAllPRN!E293)</f>
        <v>0</v>
      </c>
      <c r="F293">
        <f>SUM(FishSumAllPRN!F293)</f>
        <v>27</v>
      </c>
      <c r="G293">
        <f>SUM(FishSumAllPRN!G293)</f>
        <v>27</v>
      </c>
      <c r="H293" s="54" t="s">
        <v>294</v>
      </c>
      <c r="I293" s="54"/>
      <c r="AC293" s="62"/>
      <c r="AD293" s="63"/>
      <c r="AE293" s="63"/>
      <c r="AF293" s="63"/>
      <c r="AG293" s="63"/>
      <c r="AH293" s="63"/>
      <c r="AI293" s="63"/>
      <c r="AJ293" s="56" t="s">
        <v>5768</v>
      </c>
      <c r="AK293" s="57">
        <v>0</v>
      </c>
      <c r="AL293" s="57">
        <v>0</v>
      </c>
      <c r="AM293" s="57">
        <v>0</v>
      </c>
      <c r="AN293" s="57">
        <f>SUM(E340,E342,E344,E351,E353,E358,E360,E362,E364,E366)</f>
        <v>568</v>
      </c>
      <c r="AO293" s="57">
        <f>SUM(F340,F342,F344,F351,F353,F358,F360,F362,F364,F366)</f>
        <v>325</v>
      </c>
      <c r="AP293" s="57">
        <f>SUM(W281:W282)</f>
        <v>0</v>
      </c>
      <c r="AQ293" s="57">
        <f>SUM(X281:X282)</f>
        <v>0</v>
      </c>
      <c r="AR293" s="57">
        <f>SUM(Y281:Y282)</f>
        <v>0</v>
      </c>
      <c r="AS293" s="64">
        <f t="shared" si="155"/>
        <v>893</v>
      </c>
    </row>
    <row r="294" spans="1:45" ht="13.5" thickBot="1" x14ac:dyDescent="0.25">
      <c r="A294" t="s">
        <v>4338</v>
      </c>
      <c r="B294">
        <f>SUM(FishSumAllPRN!B294)</f>
        <v>0</v>
      </c>
      <c r="C294">
        <f>SUM(FishSumAllPRN!C294)</f>
        <v>0</v>
      </c>
      <c r="D294">
        <f>SUM(FishSumAllPRN!D294)</f>
        <v>0</v>
      </c>
      <c r="E294">
        <f>SUM(FishSumAllPRN!E294)</f>
        <v>5</v>
      </c>
      <c r="F294">
        <f>SUM(FishSumAllPRN!F294)</f>
        <v>31</v>
      </c>
      <c r="G294">
        <f>SUM(FishSumAllPRN!G294)</f>
        <v>36</v>
      </c>
      <c r="H294" s="54" t="s">
        <v>294</v>
      </c>
      <c r="I294" s="54"/>
    </row>
    <row r="295" spans="1:45" x14ac:dyDescent="0.2">
      <c r="A295" t="s">
        <v>4339</v>
      </c>
      <c r="B295">
        <f>SUM(FishSumAllPRN!B295)</f>
        <v>0</v>
      </c>
      <c r="C295">
        <f>SUM(FishSumAllPRN!C295)</f>
        <v>0</v>
      </c>
      <c r="D295">
        <f>SUM(FishSumAllPRN!D295)</f>
        <v>0</v>
      </c>
      <c r="E295">
        <f>SUM(FishSumAllPRN!E295)</f>
        <v>0</v>
      </c>
      <c r="F295">
        <f>SUM(FishSumAllPRN!F295)</f>
        <v>0</v>
      </c>
      <c r="G295">
        <f>SUM(FishSumAllPRN!G295)</f>
        <v>0</v>
      </c>
      <c r="H295" s="54" t="s">
        <v>294</v>
      </c>
      <c r="I295" s="54"/>
      <c r="AC295" s="48" t="s">
        <v>5761</v>
      </c>
      <c r="AD295" s="49"/>
      <c r="AE295" s="49"/>
      <c r="AF295" s="49"/>
      <c r="AG295" s="49"/>
      <c r="AH295" s="49"/>
      <c r="AI295" s="49"/>
      <c r="AJ295" s="49"/>
      <c r="AK295" s="65">
        <f>SUM(AK241,AK259,AK262:AK293,AK223,AK222)</f>
        <v>4495</v>
      </c>
      <c r="AL295" s="65">
        <f>SUM(AL241,AL259,AL262:AL293,AL223,AL222)</f>
        <v>19200</v>
      </c>
      <c r="AM295" s="65">
        <f>SUM(AM241,AM259,AM262:AM293,AM223,AM222)</f>
        <v>29529</v>
      </c>
      <c r="AN295" s="65">
        <f t="shared" ref="AN295:AS295" si="164">SUM(AN241,AN259,AN262:AN293,AN223,AN222,AN240)</f>
        <v>27345</v>
      </c>
      <c r="AO295" s="65">
        <f t="shared" si="164"/>
        <v>1069</v>
      </c>
      <c r="AP295" s="65">
        <f t="shared" si="164"/>
        <v>3295</v>
      </c>
      <c r="AQ295" s="65">
        <f t="shared" si="164"/>
        <v>0</v>
      </c>
      <c r="AR295" s="65">
        <f t="shared" si="164"/>
        <v>0</v>
      </c>
      <c r="AS295" s="66">
        <f t="shared" si="164"/>
        <v>81664</v>
      </c>
    </row>
    <row r="296" spans="1:45" x14ac:dyDescent="0.2">
      <c r="A296" t="s">
        <v>4340</v>
      </c>
      <c r="B296">
        <f>SUM(FishSumAllPRN!B296)</f>
        <v>0</v>
      </c>
      <c r="C296">
        <f>SUM(FishSumAllPRN!C296)</f>
        <v>0</v>
      </c>
      <c r="D296">
        <f>SUM(FishSumAllPRN!D296)</f>
        <v>0</v>
      </c>
      <c r="E296">
        <f>SUM(FishSumAllPRN!E296)</f>
        <v>0</v>
      </c>
      <c r="F296">
        <f>SUM(FishSumAllPRN!F296)</f>
        <v>0</v>
      </c>
      <c r="G296">
        <f>SUM(FishSumAllPRN!G296)</f>
        <v>0</v>
      </c>
      <c r="H296" s="54" t="s">
        <v>294</v>
      </c>
      <c r="I296" s="54"/>
      <c r="AC296" s="50" t="s">
        <v>5769</v>
      </c>
      <c r="AD296" s="37"/>
      <c r="AE296" s="37"/>
      <c r="AF296" s="37"/>
      <c r="AG296" s="37"/>
      <c r="AH296" s="37"/>
      <c r="AI296" s="37"/>
      <c r="AJ296" s="37"/>
      <c r="AK296" s="67" t="s">
        <v>761</v>
      </c>
      <c r="AL296" s="67" t="s">
        <v>761</v>
      </c>
      <c r="AM296" s="67" t="s">
        <v>761</v>
      </c>
      <c r="AN296" s="71" t="s">
        <v>761</v>
      </c>
      <c r="AO296" s="71" t="s">
        <v>761</v>
      </c>
      <c r="AP296" s="37"/>
      <c r="AQ296" s="37"/>
      <c r="AR296" s="37"/>
      <c r="AS296" s="68" t="str">
        <f>AO296</f>
        <v>na</v>
      </c>
    </row>
    <row r="297" spans="1:45" ht="13.5" thickBot="1" x14ac:dyDescent="0.25">
      <c r="A297" t="s">
        <v>4341</v>
      </c>
      <c r="B297">
        <f>SUM(FishSumAllPRN!B297)</f>
        <v>0</v>
      </c>
      <c r="C297">
        <f>SUM(FishSumAllPRN!C297)</f>
        <v>0</v>
      </c>
      <c r="D297">
        <f>SUM(FishSumAllPRN!D297)</f>
        <v>0</v>
      </c>
      <c r="E297">
        <f>SUM(FishSumAllPRN!E297)</f>
        <v>0</v>
      </c>
      <c r="F297">
        <f>SUM(FishSumAllPRN!F297)</f>
        <v>1</v>
      </c>
      <c r="G297">
        <f>SUM(FishSumAllPRN!G297)</f>
        <v>1</v>
      </c>
      <c r="H297" s="54" t="s">
        <v>294</v>
      </c>
      <c r="I297" s="54"/>
      <c r="AC297" s="55" t="s">
        <v>5770</v>
      </c>
      <c r="AD297" s="56"/>
      <c r="AE297" s="56"/>
      <c r="AF297" s="56"/>
      <c r="AG297" s="56"/>
      <c r="AH297" s="56"/>
      <c r="AI297" s="56"/>
      <c r="AJ297" s="56"/>
      <c r="AK297" s="56"/>
      <c r="AL297" s="56"/>
      <c r="AM297" s="56"/>
      <c r="AN297" s="56"/>
      <c r="AO297" s="56"/>
      <c r="AP297" s="56"/>
      <c r="AQ297" s="56"/>
      <c r="AR297" s="56"/>
      <c r="AS297" s="70" t="str">
        <f>IF(AS296="na","na",(AS295/(AS296+AS295)))</f>
        <v>na</v>
      </c>
    </row>
    <row r="298" spans="1:45" x14ac:dyDescent="0.2">
      <c r="A298" t="s">
        <v>4342</v>
      </c>
      <c r="B298">
        <f>SUM(FishSumAllPRN!B298)</f>
        <v>0</v>
      </c>
      <c r="C298">
        <f>SUM(FishSumAllPRN!C298)</f>
        <v>0</v>
      </c>
      <c r="D298">
        <f>SUM(FishSumAllPRN!D298)</f>
        <v>0</v>
      </c>
      <c r="E298">
        <f>SUM(FishSumAllPRN!E298)</f>
        <v>0</v>
      </c>
      <c r="F298">
        <f>SUM(FishSumAllPRN!F298)</f>
        <v>0</v>
      </c>
      <c r="G298">
        <f>SUM(FishSumAllPRN!G298)</f>
        <v>0</v>
      </c>
      <c r="H298" s="54" t="s">
        <v>294</v>
      </c>
      <c r="I298" s="54"/>
    </row>
    <row r="299" spans="1:45" x14ac:dyDescent="0.2">
      <c r="A299" t="s">
        <v>4343</v>
      </c>
      <c r="B299">
        <f>SUM(FishSumAllPRN!B299)</f>
        <v>0</v>
      </c>
      <c r="C299">
        <f>SUM(FishSumAllPRN!C299)</f>
        <v>0</v>
      </c>
      <c r="D299">
        <f>SUM(FishSumAllPRN!D299)</f>
        <v>0</v>
      </c>
      <c r="E299">
        <f>SUM(FishSumAllPRN!E299)</f>
        <v>0</v>
      </c>
      <c r="F299">
        <f>SUM(FishSumAllPRN!F299)</f>
        <v>0</v>
      </c>
      <c r="G299">
        <f>SUM(FishSumAllPRN!G299)</f>
        <v>0</v>
      </c>
      <c r="H299" s="54" t="s">
        <v>294</v>
      </c>
      <c r="I299" s="54"/>
    </row>
    <row r="300" spans="1:45" x14ac:dyDescent="0.2">
      <c r="A300" t="s">
        <v>1728</v>
      </c>
      <c r="B300">
        <f>SUM(FishSumAllPRN!B300)</f>
        <v>0</v>
      </c>
      <c r="C300">
        <f>SUM(FishSumAllPRN!C300)</f>
        <v>0</v>
      </c>
      <c r="D300">
        <f>SUM(FishSumAllPRN!D300)</f>
        <v>0</v>
      </c>
      <c r="E300">
        <f>SUM(FishSumAllPRN!E300)</f>
        <v>0</v>
      </c>
      <c r="F300">
        <f>SUM(FishSumAllPRN!F300)</f>
        <v>0</v>
      </c>
      <c r="G300">
        <f>SUM(FishSumAllPRN!G300)</f>
        <v>0</v>
      </c>
      <c r="H300" s="54" t="s">
        <v>294</v>
      </c>
      <c r="I300" s="54"/>
    </row>
    <row r="301" spans="1:45" x14ac:dyDescent="0.2">
      <c r="A301" t="s">
        <v>1730</v>
      </c>
      <c r="B301">
        <f>SUM(FishSumAllPRN!B301)</f>
        <v>0</v>
      </c>
      <c r="C301">
        <f>SUM(FishSumAllPRN!C301)</f>
        <v>1</v>
      </c>
      <c r="D301">
        <f>SUM(FishSumAllPRN!D301)</f>
        <v>7</v>
      </c>
      <c r="E301">
        <f>SUM(FishSumAllPRN!E301)</f>
        <v>4</v>
      </c>
      <c r="F301">
        <f>SUM(FishSumAllPRN!F301)</f>
        <v>44</v>
      </c>
      <c r="G301">
        <f>SUM(FishSumAllPRN!G301)</f>
        <v>57</v>
      </c>
      <c r="H301" s="54" t="s">
        <v>294</v>
      </c>
      <c r="I301" s="54"/>
    </row>
    <row r="302" spans="1:45" x14ac:dyDescent="0.2">
      <c r="A302" t="s">
        <v>1733</v>
      </c>
      <c r="B302">
        <f>SUM(FishSumAllPRN!B302)</f>
        <v>0</v>
      </c>
      <c r="C302">
        <f>SUM(FishSumAllPRN!C302)</f>
        <v>0</v>
      </c>
      <c r="D302">
        <f>SUM(FishSumAllPRN!D302)</f>
        <v>0</v>
      </c>
      <c r="E302">
        <f>SUM(FishSumAllPRN!E302)</f>
        <v>7</v>
      </c>
      <c r="F302">
        <f>SUM(FishSumAllPRN!F302)</f>
        <v>37</v>
      </c>
      <c r="G302">
        <f>SUM(FishSumAllPRN!G302)</f>
        <v>44</v>
      </c>
      <c r="H302" s="54" t="s">
        <v>294</v>
      </c>
      <c r="I302" s="54"/>
    </row>
    <row r="303" spans="1:45" x14ac:dyDescent="0.2">
      <c r="A303" t="s">
        <v>1738</v>
      </c>
      <c r="B303">
        <f>SUM(FishSumAllPRN!B303)</f>
        <v>0</v>
      </c>
      <c r="C303">
        <f>SUM(FishSumAllPRN!C303)</f>
        <v>0</v>
      </c>
      <c r="D303">
        <f>SUM(FishSumAllPRN!D303)</f>
        <v>0</v>
      </c>
      <c r="E303">
        <f>SUM(FishSumAllPRN!E303)</f>
        <v>8</v>
      </c>
      <c r="F303">
        <f>SUM(FishSumAllPRN!F303)</f>
        <v>7</v>
      </c>
      <c r="G303">
        <f>SUM(FishSumAllPRN!G303)</f>
        <v>16</v>
      </c>
      <c r="H303" s="54" t="s">
        <v>294</v>
      </c>
      <c r="I303" s="54"/>
    </row>
    <row r="304" spans="1:45" x14ac:dyDescent="0.2">
      <c r="A304" t="s">
        <v>1744</v>
      </c>
      <c r="B304">
        <f>SUM(FishSumAllPRN!B304)</f>
        <v>0</v>
      </c>
      <c r="C304">
        <f>SUM(FishSumAllPRN!C304)</f>
        <v>0</v>
      </c>
      <c r="D304">
        <f>SUM(FishSumAllPRN!D304)</f>
        <v>0</v>
      </c>
      <c r="E304">
        <f>SUM(FishSumAllPRN!E304)</f>
        <v>0</v>
      </c>
      <c r="F304">
        <f>SUM(FishSumAllPRN!F304)</f>
        <v>0</v>
      </c>
      <c r="G304">
        <f>SUM(FishSumAllPRN!G304)</f>
        <v>0</v>
      </c>
      <c r="H304" s="54" t="s">
        <v>294</v>
      </c>
      <c r="I304" s="54"/>
    </row>
    <row r="305" spans="1:9" x14ac:dyDescent="0.2">
      <c r="A305" t="s">
        <v>1747</v>
      </c>
      <c r="B305">
        <f>SUM(FishSumAllPRN!B305)</f>
        <v>0</v>
      </c>
      <c r="C305">
        <f>SUM(FishSumAllPRN!C305)</f>
        <v>0</v>
      </c>
      <c r="D305">
        <f>SUM(FishSumAllPRN!D305)</f>
        <v>0</v>
      </c>
      <c r="E305">
        <f>SUM(FishSumAllPRN!E305)</f>
        <v>0</v>
      </c>
      <c r="F305">
        <f>SUM(FishSumAllPRN!F305)</f>
        <v>0</v>
      </c>
      <c r="G305">
        <f>SUM(FishSumAllPRN!G305)</f>
        <v>0</v>
      </c>
      <c r="H305" s="54" t="s">
        <v>294</v>
      </c>
      <c r="I305" s="54"/>
    </row>
    <row r="306" spans="1:9" x14ac:dyDescent="0.2">
      <c r="A306" t="s">
        <v>1751</v>
      </c>
      <c r="B306">
        <f>SUM(FishSumAllPRN!B306)</f>
        <v>0</v>
      </c>
      <c r="C306">
        <f>SUM(FishSumAllPRN!C306)</f>
        <v>0</v>
      </c>
      <c r="D306">
        <f>SUM(FishSumAllPRN!D306)</f>
        <v>0</v>
      </c>
      <c r="E306">
        <f>SUM(FishSumAllPRN!E306)</f>
        <v>0</v>
      </c>
      <c r="F306">
        <f>SUM(FishSumAllPRN!F306)</f>
        <v>0</v>
      </c>
      <c r="G306">
        <f>SUM(FishSumAllPRN!G306)</f>
        <v>0</v>
      </c>
      <c r="H306" s="54" t="s">
        <v>294</v>
      </c>
      <c r="I306" s="54"/>
    </row>
    <row r="307" spans="1:9" x14ac:dyDescent="0.2">
      <c r="A307" t="s">
        <v>1755</v>
      </c>
      <c r="B307">
        <f>SUM(FishSumAllPRN!B307)</f>
        <v>0</v>
      </c>
      <c r="C307">
        <f>SUM(FishSumAllPRN!C307)</f>
        <v>0</v>
      </c>
      <c r="D307">
        <f>SUM(FishSumAllPRN!D307)</f>
        <v>0</v>
      </c>
      <c r="E307">
        <f>SUM(FishSumAllPRN!E307)</f>
        <v>16</v>
      </c>
      <c r="F307">
        <f>SUM(FishSumAllPRN!F307)</f>
        <v>12</v>
      </c>
      <c r="G307">
        <f>SUM(FishSumAllPRN!G307)</f>
        <v>28</v>
      </c>
      <c r="H307" s="54" t="s">
        <v>294</v>
      </c>
      <c r="I307" s="54"/>
    </row>
    <row r="308" spans="1:9" x14ac:dyDescent="0.2">
      <c r="A308" t="s">
        <v>1757</v>
      </c>
      <c r="B308">
        <f>SUM(FishSumAllPRN!B308)</f>
        <v>0</v>
      </c>
      <c r="C308">
        <f>SUM(FishSumAllPRN!C308)</f>
        <v>0</v>
      </c>
      <c r="D308">
        <f>SUM(FishSumAllPRN!D308)</f>
        <v>8</v>
      </c>
      <c r="E308">
        <f>SUM(FishSumAllPRN!E308)</f>
        <v>31</v>
      </c>
      <c r="F308">
        <f>SUM(FishSumAllPRN!F308)</f>
        <v>94</v>
      </c>
      <c r="G308">
        <f>SUM(FishSumAllPRN!G308)</f>
        <v>134</v>
      </c>
      <c r="H308" s="54" t="s">
        <v>294</v>
      </c>
      <c r="I308" s="54"/>
    </row>
    <row r="309" spans="1:9" x14ac:dyDescent="0.2">
      <c r="A309" t="s">
        <v>1761</v>
      </c>
      <c r="B309">
        <f>SUM(FishSumAllPRN!B309)</f>
        <v>0</v>
      </c>
      <c r="C309">
        <f>SUM(FishSumAllPRN!C309)</f>
        <v>0</v>
      </c>
      <c r="D309">
        <f>SUM(FishSumAllPRN!D309)</f>
        <v>0</v>
      </c>
      <c r="E309">
        <f>SUM(FishSumAllPRN!E309)</f>
        <v>0</v>
      </c>
      <c r="F309">
        <f>SUM(FishSumAllPRN!F309)</f>
        <v>0</v>
      </c>
      <c r="G309">
        <f>SUM(FishSumAllPRN!G309)</f>
        <v>0</v>
      </c>
      <c r="H309" s="54" t="s">
        <v>294</v>
      </c>
      <c r="I309" s="54"/>
    </row>
    <row r="310" spans="1:9" x14ac:dyDescent="0.2">
      <c r="A310" t="s">
        <v>1764</v>
      </c>
      <c r="B310">
        <f>SUM(FishSumAllPRN!B310)</f>
        <v>0</v>
      </c>
      <c r="C310">
        <f>SUM(FishSumAllPRN!C310)</f>
        <v>0</v>
      </c>
      <c r="D310">
        <f>SUM(FishSumAllPRN!D310)</f>
        <v>0</v>
      </c>
      <c r="E310">
        <f>SUM(FishSumAllPRN!E310)</f>
        <v>0</v>
      </c>
      <c r="F310">
        <f>SUM(FishSumAllPRN!F310)</f>
        <v>0</v>
      </c>
      <c r="G310">
        <f>SUM(FishSumAllPRN!G310)</f>
        <v>0</v>
      </c>
      <c r="H310" s="54" t="s">
        <v>294</v>
      </c>
      <c r="I310" s="54"/>
    </row>
    <row r="311" spans="1:9" x14ac:dyDescent="0.2">
      <c r="A311" t="s">
        <v>1770</v>
      </c>
      <c r="B311">
        <f>SUM(FishSumAllPRN!B311)</f>
        <v>0</v>
      </c>
      <c r="C311">
        <f>SUM(FishSumAllPRN!C311)</f>
        <v>49</v>
      </c>
      <c r="D311">
        <f>SUM(FishSumAllPRN!D311)</f>
        <v>348</v>
      </c>
      <c r="E311">
        <f>SUM(FishSumAllPRN!E311)</f>
        <v>1996</v>
      </c>
      <c r="F311">
        <f>SUM(FishSumAllPRN!F311)</f>
        <v>0</v>
      </c>
      <c r="G311">
        <f>SUM(FishSumAllPRN!G311)</f>
        <v>2393</v>
      </c>
      <c r="H311" s="54" t="s">
        <v>294</v>
      </c>
      <c r="I311" s="54"/>
    </row>
    <row r="312" spans="1:9" x14ac:dyDescent="0.2">
      <c r="A312" t="s">
        <v>1772</v>
      </c>
      <c r="B312">
        <f>SUM(FishSumAllPRN!B312)</f>
        <v>0</v>
      </c>
      <c r="C312">
        <f>SUM(FishSumAllPRN!C312)</f>
        <v>5</v>
      </c>
      <c r="D312">
        <f>SUM(FishSumAllPRN!D312)</f>
        <v>83</v>
      </c>
      <c r="E312">
        <f>SUM(FishSumAllPRN!E312)</f>
        <v>814</v>
      </c>
      <c r="F312">
        <f>SUM(FishSumAllPRN!F312)</f>
        <v>0</v>
      </c>
      <c r="G312">
        <f>SUM(FishSumAllPRN!G312)</f>
        <v>902</v>
      </c>
      <c r="H312" s="54" t="s">
        <v>294</v>
      </c>
      <c r="I312" s="54"/>
    </row>
    <row r="313" spans="1:9" x14ac:dyDescent="0.2">
      <c r="A313" t="s">
        <v>1774</v>
      </c>
      <c r="B313">
        <f>SUM(FishSumAllPRN!B313)</f>
        <v>0</v>
      </c>
      <c r="C313">
        <f>SUM(FishSumAllPRN!C313)</f>
        <v>9</v>
      </c>
      <c r="D313">
        <f>SUM(FishSumAllPRN!D313)</f>
        <v>57</v>
      </c>
      <c r="E313">
        <f>SUM(FishSumAllPRN!E313)</f>
        <v>644</v>
      </c>
      <c r="F313">
        <f>SUM(FishSumAllPRN!F313)</f>
        <v>0</v>
      </c>
      <c r="G313">
        <f>SUM(FishSumAllPRN!G313)</f>
        <v>710</v>
      </c>
      <c r="H313" s="54" t="s">
        <v>294</v>
      </c>
      <c r="I313" s="54"/>
    </row>
    <row r="314" spans="1:9" x14ac:dyDescent="0.2">
      <c r="A314" t="s">
        <v>1777</v>
      </c>
      <c r="B314">
        <f>SUM(FishSumAllPRN!B314)</f>
        <v>0</v>
      </c>
      <c r="C314">
        <f>SUM(FishSumAllPRN!C314)</f>
        <v>0</v>
      </c>
      <c r="D314">
        <f>SUM(FishSumAllPRN!D314)</f>
        <v>0</v>
      </c>
      <c r="E314">
        <f>SUM(FishSumAllPRN!E314)</f>
        <v>0</v>
      </c>
      <c r="F314">
        <f>SUM(FishSumAllPRN!F314)</f>
        <v>36</v>
      </c>
      <c r="G314">
        <f>SUM(FishSumAllPRN!G314)</f>
        <v>36</v>
      </c>
      <c r="H314" s="54" t="s">
        <v>294</v>
      </c>
      <c r="I314" s="54"/>
    </row>
    <row r="315" spans="1:9" x14ac:dyDescent="0.2">
      <c r="A315" t="s">
        <v>1782</v>
      </c>
      <c r="B315">
        <f>SUM(FishSumAllPRN!B315)</f>
        <v>0</v>
      </c>
      <c r="C315">
        <f>SUM(FishSumAllPRN!C315)</f>
        <v>0</v>
      </c>
      <c r="D315">
        <f>SUM(FishSumAllPRN!D315)</f>
        <v>0</v>
      </c>
      <c r="E315">
        <f>SUM(FishSumAllPRN!E315)</f>
        <v>0</v>
      </c>
      <c r="F315">
        <f>SUM(FishSumAllPRN!F315)</f>
        <v>0</v>
      </c>
      <c r="G315">
        <f>SUM(FishSumAllPRN!G315)</f>
        <v>0</v>
      </c>
      <c r="H315" s="54" t="s">
        <v>294</v>
      </c>
      <c r="I315" s="54"/>
    </row>
    <row r="316" spans="1:9" x14ac:dyDescent="0.2">
      <c r="A316" t="s">
        <v>1274</v>
      </c>
      <c r="B316">
        <f>SUM(FishSumAllPRN!B316)</f>
        <v>0</v>
      </c>
      <c r="C316">
        <f>SUM(FishSumAllPRN!C316)</f>
        <v>0</v>
      </c>
      <c r="D316">
        <f>SUM(FishSumAllPRN!D316)</f>
        <v>0</v>
      </c>
      <c r="E316">
        <f>SUM(FishSumAllPRN!E316)</f>
        <v>56</v>
      </c>
      <c r="F316">
        <f>SUM(FishSumAllPRN!F316)</f>
        <v>1</v>
      </c>
      <c r="G316">
        <f>SUM(FishSumAllPRN!G316)</f>
        <v>57</v>
      </c>
      <c r="H316" s="54" t="s">
        <v>294</v>
      </c>
      <c r="I316" s="54"/>
    </row>
    <row r="317" spans="1:9" x14ac:dyDescent="0.2">
      <c r="A317" t="s">
        <v>1277</v>
      </c>
      <c r="B317">
        <f>SUM(FishSumAllPRN!B317)</f>
        <v>0</v>
      </c>
      <c r="C317">
        <f>SUM(FishSumAllPRN!C317)</f>
        <v>0</v>
      </c>
      <c r="D317">
        <f>SUM(FishSumAllPRN!D317)</f>
        <v>0</v>
      </c>
      <c r="E317">
        <f>SUM(FishSumAllPRN!E317)</f>
        <v>465</v>
      </c>
      <c r="F317">
        <f>SUM(FishSumAllPRN!F317)</f>
        <v>23</v>
      </c>
      <c r="G317">
        <f>SUM(FishSumAllPRN!G317)</f>
        <v>488</v>
      </c>
      <c r="H317" s="54" t="s">
        <v>294</v>
      </c>
      <c r="I317" s="54"/>
    </row>
    <row r="318" spans="1:9" x14ac:dyDescent="0.2">
      <c r="A318" t="s">
        <v>1798</v>
      </c>
      <c r="B318">
        <f>SUM(FishSumAllPRN!B318)</f>
        <v>0</v>
      </c>
      <c r="C318">
        <f>SUM(FishSumAllPRN!C318)</f>
        <v>0</v>
      </c>
      <c r="D318">
        <f>SUM(FishSumAllPRN!D318)</f>
        <v>0</v>
      </c>
      <c r="E318">
        <f>SUM(FishSumAllPRN!E318)</f>
        <v>0</v>
      </c>
      <c r="F318">
        <f>SUM(FishSumAllPRN!F318)</f>
        <v>478</v>
      </c>
      <c r="G318">
        <f>SUM(FishSumAllPRN!G318)</f>
        <v>478</v>
      </c>
      <c r="H318" s="54" t="s">
        <v>294</v>
      </c>
      <c r="I318" s="54"/>
    </row>
    <row r="319" spans="1:9" x14ac:dyDescent="0.2">
      <c r="A319" t="s">
        <v>1803</v>
      </c>
      <c r="B319">
        <f>SUM(FishSumAllPRN!B319)</f>
        <v>0</v>
      </c>
      <c r="C319">
        <f>SUM(FishSumAllPRN!C319)</f>
        <v>0</v>
      </c>
      <c r="D319">
        <f>SUM(FishSumAllPRN!D319)</f>
        <v>0</v>
      </c>
      <c r="E319">
        <f>SUM(FishSumAllPRN!E319)</f>
        <v>0</v>
      </c>
      <c r="F319">
        <f>SUM(FishSumAllPRN!F319)</f>
        <v>93</v>
      </c>
      <c r="G319">
        <f>SUM(FishSumAllPRN!G319)</f>
        <v>93</v>
      </c>
      <c r="H319" s="54" t="s">
        <v>294</v>
      </c>
      <c r="I319" s="54"/>
    </row>
    <row r="320" spans="1:9" x14ac:dyDescent="0.2">
      <c r="A320" t="s">
        <v>1808</v>
      </c>
      <c r="B320">
        <f>SUM(FishSumAllPRN!B320)</f>
        <v>0</v>
      </c>
      <c r="C320">
        <f>SUM(FishSumAllPRN!C320)</f>
        <v>0</v>
      </c>
      <c r="D320">
        <f>SUM(FishSumAllPRN!D320)</f>
        <v>0</v>
      </c>
      <c r="E320">
        <f>SUM(FishSumAllPRN!E320)</f>
        <v>0</v>
      </c>
      <c r="F320">
        <f>SUM(FishSumAllPRN!F320)</f>
        <v>96</v>
      </c>
      <c r="G320">
        <f>SUM(FishSumAllPRN!G320)</f>
        <v>96</v>
      </c>
      <c r="H320" s="54" t="s">
        <v>294</v>
      </c>
      <c r="I320" s="54"/>
    </row>
    <row r="321" spans="1:9" x14ac:dyDescent="0.2">
      <c r="A321" t="s">
        <v>1813</v>
      </c>
      <c r="B321">
        <f>SUM(FishSumAllPRN!B321)</f>
        <v>0</v>
      </c>
      <c r="C321">
        <f>SUM(FishSumAllPRN!C321)</f>
        <v>0</v>
      </c>
      <c r="D321">
        <f>SUM(FishSumAllPRN!D321)</f>
        <v>0</v>
      </c>
      <c r="E321">
        <f>SUM(FishSumAllPRN!E321)</f>
        <v>0</v>
      </c>
      <c r="F321">
        <f>SUM(FishSumAllPRN!F321)</f>
        <v>0</v>
      </c>
      <c r="G321">
        <f>SUM(FishSumAllPRN!G321)</f>
        <v>0</v>
      </c>
      <c r="H321" s="54" t="s">
        <v>294</v>
      </c>
      <c r="I321" s="54"/>
    </row>
    <row r="322" spans="1:9" x14ac:dyDescent="0.2">
      <c r="A322" t="s">
        <v>1819</v>
      </c>
      <c r="B322">
        <f>SUM(FishSumAllPRN!B322)</f>
        <v>0</v>
      </c>
      <c r="C322">
        <f>SUM(FishSumAllPRN!C322)</f>
        <v>0</v>
      </c>
      <c r="D322">
        <f>SUM(FishSumAllPRN!D322)</f>
        <v>0</v>
      </c>
      <c r="E322">
        <f>SUM(FishSumAllPRN!E322)</f>
        <v>9</v>
      </c>
      <c r="F322">
        <f>SUM(FishSumAllPRN!F322)</f>
        <v>4</v>
      </c>
      <c r="G322">
        <f>SUM(FishSumAllPRN!G322)</f>
        <v>13</v>
      </c>
      <c r="H322" s="54" t="s">
        <v>294</v>
      </c>
      <c r="I322" s="54"/>
    </row>
    <row r="323" spans="1:9" x14ac:dyDescent="0.2">
      <c r="A323" t="s">
        <v>1826</v>
      </c>
      <c r="B323">
        <f>SUM(FishSumAllPRN!B323)</f>
        <v>0</v>
      </c>
      <c r="C323">
        <f>SUM(FishSumAllPRN!C323)</f>
        <v>0</v>
      </c>
      <c r="D323">
        <f>SUM(FishSumAllPRN!D323)</f>
        <v>0</v>
      </c>
      <c r="E323">
        <f>SUM(FishSumAllPRN!E323)</f>
        <v>0</v>
      </c>
      <c r="F323">
        <f>SUM(FishSumAllPRN!F323)</f>
        <v>305</v>
      </c>
      <c r="G323">
        <f>SUM(FishSumAllPRN!G323)</f>
        <v>305</v>
      </c>
      <c r="H323" s="54" t="s">
        <v>294</v>
      </c>
      <c r="I323" s="54"/>
    </row>
    <row r="324" spans="1:9" x14ac:dyDescent="0.2">
      <c r="A324" t="s">
        <v>1830</v>
      </c>
      <c r="B324">
        <f>SUM(FishSumAllPRN!B324)</f>
        <v>0</v>
      </c>
      <c r="C324">
        <f>SUM(FishSumAllPRN!C324)</f>
        <v>0</v>
      </c>
      <c r="D324">
        <f>SUM(FishSumAllPRN!D324)</f>
        <v>0</v>
      </c>
      <c r="E324">
        <f>SUM(FishSumAllPRN!E324)</f>
        <v>0</v>
      </c>
      <c r="F324">
        <f>SUM(FishSumAllPRN!F324)</f>
        <v>39</v>
      </c>
      <c r="G324">
        <f>SUM(FishSumAllPRN!G324)</f>
        <v>39</v>
      </c>
      <c r="H324" s="54" t="s">
        <v>294</v>
      </c>
      <c r="I324" s="54"/>
    </row>
    <row r="325" spans="1:9" x14ac:dyDescent="0.2">
      <c r="A325" t="s">
        <v>1836</v>
      </c>
      <c r="B325">
        <f>SUM(FishSumAllPRN!B325)</f>
        <v>0</v>
      </c>
      <c r="C325">
        <f>SUM(FishSumAllPRN!C325)</f>
        <v>0</v>
      </c>
      <c r="D325">
        <f>SUM(FishSumAllPRN!D325)</f>
        <v>0</v>
      </c>
      <c r="E325">
        <f>SUM(FishSumAllPRN!E325)</f>
        <v>0</v>
      </c>
      <c r="F325">
        <f>SUM(FishSumAllPRN!F325)</f>
        <v>0</v>
      </c>
      <c r="G325">
        <f>SUM(FishSumAllPRN!G325)</f>
        <v>0</v>
      </c>
      <c r="H325" s="54" t="s">
        <v>294</v>
      </c>
      <c r="I325" s="54"/>
    </row>
    <row r="326" spans="1:9" x14ac:dyDescent="0.2">
      <c r="A326" t="s">
        <v>1841</v>
      </c>
      <c r="B326">
        <f>SUM(FishSumAllPRN!B326)</f>
        <v>0</v>
      </c>
      <c r="C326">
        <f>SUM(FishSumAllPRN!C326)</f>
        <v>0</v>
      </c>
      <c r="D326">
        <f>SUM(FishSumAllPRN!D326)</f>
        <v>14</v>
      </c>
      <c r="E326">
        <f>SUM(FishSumAllPRN!E326)</f>
        <v>126</v>
      </c>
      <c r="F326">
        <f>SUM(FishSumAllPRN!F326)</f>
        <v>3</v>
      </c>
      <c r="G326">
        <f>SUM(FishSumAllPRN!G326)</f>
        <v>144</v>
      </c>
      <c r="H326" s="54" t="s">
        <v>294</v>
      </c>
      <c r="I326" s="54"/>
    </row>
    <row r="327" spans="1:9" x14ac:dyDescent="0.2">
      <c r="A327" t="s">
        <v>1842</v>
      </c>
      <c r="B327">
        <f>SUM(FishSumAllPRN!B327)</f>
        <v>0</v>
      </c>
      <c r="C327">
        <f>SUM(FishSumAllPRN!C327)</f>
        <v>181</v>
      </c>
      <c r="D327">
        <f>SUM(FishSumAllPRN!D327)</f>
        <v>402</v>
      </c>
      <c r="E327">
        <f>SUM(FishSumAllPRN!E327)</f>
        <v>955</v>
      </c>
      <c r="F327">
        <f>SUM(FishSumAllPRN!F327)</f>
        <v>0</v>
      </c>
      <c r="G327">
        <f>SUM(FishSumAllPRN!G327)</f>
        <v>1539</v>
      </c>
      <c r="H327" s="54" t="s">
        <v>294</v>
      </c>
      <c r="I327" s="54"/>
    </row>
    <row r="328" spans="1:9" x14ac:dyDescent="0.2">
      <c r="A328" t="s">
        <v>1843</v>
      </c>
      <c r="B328">
        <f>SUM(FishSumAllPRN!B328)</f>
        <v>0</v>
      </c>
      <c r="C328">
        <f>SUM(FishSumAllPRN!C328)</f>
        <v>0</v>
      </c>
      <c r="D328">
        <f>SUM(FishSumAllPRN!D328)</f>
        <v>0</v>
      </c>
      <c r="E328">
        <f>SUM(FishSumAllPRN!E328)</f>
        <v>0</v>
      </c>
      <c r="F328">
        <f>SUM(FishSumAllPRN!F328)</f>
        <v>286</v>
      </c>
      <c r="G328">
        <f>SUM(FishSumAllPRN!G328)</f>
        <v>286</v>
      </c>
      <c r="H328" s="54" t="s">
        <v>294</v>
      </c>
      <c r="I328" s="54"/>
    </row>
    <row r="329" spans="1:9" x14ac:dyDescent="0.2">
      <c r="A329" t="s">
        <v>1846</v>
      </c>
      <c r="B329">
        <f>SUM(FishSumAllPRN!B329)</f>
        <v>0</v>
      </c>
      <c r="C329">
        <f>SUM(FishSumAllPRN!C329)</f>
        <v>0</v>
      </c>
      <c r="D329">
        <f>SUM(FishSumAllPRN!D329)</f>
        <v>0</v>
      </c>
      <c r="E329">
        <f>SUM(FishSumAllPRN!E329)</f>
        <v>0</v>
      </c>
      <c r="F329">
        <f>SUM(FishSumAllPRN!F329)</f>
        <v>0</v>
      </c>
      <c r="G329">
        <f>SUM(FishSumAllPRN!G329)</f>
        <v>0</v>
      </c>
      <c r="H329" s="54" t="s">
        <v>294</v>
      </c>
      <c r="I329" s="54"/>
    </row>
    <row r="330" spans="1:9" x14ac:dyDescent="0.2">
      <c r="A330" t="s">
        <v>1851</v>
      </c>
      <c r="B330">
        <f>SUM(FishSumAllPRN!B330)</f>
        <v>0</v>
      </c>
      <c r="C330">
        <f>SUM(FishSumAllPRN!C330)</f>
        <v>0</v>
      </c>
      <c r="D330">
        <f>SUM(FishSumAllPRN!D330)</f>
        <v>0</v>
      </c>
      <c r="E330">
        <f>SUM(FishSumAllPRN!E330)</f>
        <v>93</v>
      </c>
      <c r="F330">
        <f>SUM(FishSumAllPRN!F330)</f>
        <v>20</v>
      </c>
      <c r="G330">
        <f>SUM(FishSumAllPRN!G330)</f>
        <v>113</v>
      </c>
      <c r="H330" s="54" t="s">
        <v>294</v>
      </c>
      <c r="I330" s="54"/>
    </row>
    <row r="331" spans="1:9" x14ac:dyDescent="0.2">
      <c r="A331" t="s">
        <v>1857</v>
      </c>
      <c r="B331">
        <f>SUM(FishSumAllPRN!B331)</f>
        <v>0</v>
      </c>
      <c r="C331">
        <f>SUM(FishSumAllPRN!C331)</f>
        <v>0</v>
      </c>
      <c r="D331">
        <f>SUM(FishSumAllPRN!D331)</f>
        <v>0</v>
      </c>
      <c r="E331">
        <f>SUM(FishSumAllPRN!E331)</f>
        <v>0</v>
      </c>
      <c r="F331">
        <f>SUM(FishSumAllPRN!F331)</f>
        <v>0</v>
      </c>
      <c r="G331">
        <f>SUM(FishSumAllPRN!G331)</f>
        <v>0</v>
      </c>
      <c r="H331" s="54" t="s">
        <v>294</v>
      </c>
      <c r="I331" s="54"/>
    </row>
    <row r="332" spans="1:9" x14ac:dyDescent="0.2">
      <c r="A332" t="s">
        <v>1862</v>
      </c>
      <c r="B332">
        <f>SUM(FishSumAllPRN!B332)</f>
        <v>0</v>
      </c>
      <c r="C332">
        <f>SUM(FishSumAllPRN!C332)</f>
        <v>0</v>
      </c>
      <c r="D332">
        <f>SUM(FishSumAllPRN!D332)</f>
        <v>0</v>
      </c>
      <c r="E332">
        <f>SUM(FishSumAllPRN!E332)</f>
        <v>308</v>
      </c>
      <c r="F332">
        <f>SUM(FishSumAllPRN!F332)</f>
        <v>157</v>
      </c>
      <c r="G332">
        <f>SUM(FishSumAllPRN!G332)</f>
        <v>465</v>
      </c>
      <c r="H332" s="54" t="s">
        <v>294</v>
      </c>
      <c r="I332" s="54"/>
    </row>
    <row r="333" spans="1:9" x14ac:dyDescent="0.2">
      <c r="A333" t="s">
        <v>1867</v>
      </c>
      <c r="B333">
        <f>SUM(FishSumAllPRN!B333)</f>
        <v>0</v>
      </c>
      <c r="C333">
        <f>SUM(FishSumAllPRN!C333)</f>
        <v>0</v>
      </c>
      <c r="D333">
        <f>SUM(FishSumAllPRN!D333)</f>
        <v>0</v>
      </c>
      <c r="E333">
        <f>SUM(FishSumAllPRN!E333)</f>
        <v>0</v>
      </c>
      <c r="F333">
        <f>SUM(FishSumAllPRN!F333)</f>
        <v>4</v>
      </c>
      <c r="G333">
        <f>SUM(FishSumAllPRN!G333)</f>
        <v>4</v>
      </c>
      <c r="H333" s="54" t="s">
        <v>294</v>
      </c>
      <c r="I333" s="54"/>
    </row>
    <row r="334" spans="1:9" x14ac:dyDescent="0.2">
      <c r="A334" t="s">
        <v>1870</v>
      </c>
      <c r="B334">
        <f>SUM(FishSumAllPRN!B334)</f>
        <v>0</v>
      </c>
      <c r="C334">
        <f>SUM(FishSumAllPRN!C334)</f>
        <v>0</v>
      </c>
      <c r="D334">
        <f>SUM(FishSumAllPRN!D334)</f>
        <v>0</v>
      </c>
      <c r="E334">
        <f>SUM(FishSumAllPRN!E334)</f>
        <v>0</v>
      </c>
      <c r="F334">
        <f>SUM(FishSumAllPRN!F334)</f>
        <v>0</v>
      </c>
      <c r="G334">
        <f>SUM(FishSumAllPRN!G334)</f>
        <v>0</v>
      </c>
      <c r="H334" s="54" t="s">
        <v>294</v>
      </c>
      <c r="I334" s="54"/>
    </row>
    <row r="335" spans="1:9" x14ac:dyDescent="0.2">
      <c r="A335" t="s">
        <v>1874</v>
      </c>
      <c r="B335">
        <f>SUM(FishSumAllPRN!B335)</f>
        <v>0</v>
      </c>
      <c r="C335">
        <f>SUM(FishSumAllPRN!C335)</f>
        <v>0</v>
      </c>
      <c r="D335">
        <f>SUM(FishSumAllPRN!D335)</f>
        <v>31</v>
      </c>
      <c r="E335">
        <f>SUM(FishSumAllPRN!E335)</f>
        <v>757</v>
      </c>
      <c r="F335">
        <f>SUM(FishSumAllPRN!F335)</f>
        <v>0</v>
      </c>
      <c r="G335">
        <f>SUM(FishSumAllPRN!G335)</f>
        <v>788</v>
      </c>
      <c r="H335" s="54" t="s">
        <v>294</v>
      </c>
      <c r="I335" s="54"/>
    </row>
    <row r="336" spans="1:9" x14ac:dyDescent="0.2">
      <c r="A336" t="s">
        <v>1876</v>
      </c>
      <c r="B336">
        <f>SUM(FishSumAllPRN!B336)</f>
        <v>0</v>
      </c>
      <c r="C336">
        <f>SUM(FishSumAllPRN!C336)</f>
        <v>0</v>
      </c>
      <c r="D336">
        <f>SUM(FishSumAllPRN!D336)</f>
        <v>0</v>
      </c>
      <c r="E336">
        <f>SUM(FishSumAllPRN!E336)</f>
        <v>0</v>
      </c>
      <c r="F336">
        <f>SUM(FishSumAllPRN!F336)</f>
        <v>32</v>
      </c>
      <c r="G336">
        <f>SUM(FishSumAllPRN!G336)</f>
        <v>32</v>
      </c>
      <c r="H336" s="54" t="s">
        <v>294</v>
      </c>
      <c r="I336" s="54"/>
    </row>
    <row r="337" spans="1:9" x14ac:dyDescent="0.2">
      <c r="A337" t="s">
        <v>1881</v>
      </c>
      <c r="B337">
        <f>SUM(FishSumAllPRN!B337)</f>
        <v>0</v>
      </c>
      <c r="C337">
        <f>SUM(FishSumAllPRN!C337)</f>
        <v>0</v>
      </c>
      <c r="D337">
        <f>SUM(FishSumAllPRN!D337)</f>
        <v>0</v>
      </c>
      <c r="E337">
        <f>SUM(FishSumAllPRN!E337)</f>
        <v>0</v>
      </c>
      <c r="F337">
        <f>SUM(FishSumAllPRN!F337)</f>
        <v>207</v>
      </c>
      <c r="G337">
        <f>SUM(FishSumAllPRN!G337)</f>
        <v>207</v>
      </c>
      <c r="H337" s="54" t="s">
        <v>294</v>
      </c>
      <c r="I337" s="54"/>
    </row>
    <row r="338" spans="1:9" x14ac:dyDescent="0.2">
      <c r="A338" t="s">
        <v>1885</v>
      </c>
      <c r="B338">
        <f>SUM(FishSumAllPRN!B338)</f>
        <v>163</v>
      </c>
      <c r="C338">
        <f>SUM(FishSumAllPRN!C338)</f>
        <v>183</v>
      </c>
      <c r="D338">
        <f>SUM(FishSumAllPRN!D338)</f>
        <v>267</v>
      </c>
      <c r="E338">
        <f>SUM(FishSumAllPRN!E338)</f>
        <v>592</v>
      </c>
      <c r="F338">
        <f>SUM(FishSumAllPRN!F338)</f>
        <v>28</v>
      </c>
      <c r="G338">
        <f>SUM(FishSumAllPRN!G338)</f>
        <v>1233</v>
      </c>
      <c r="H338" s="54" t="s">
        <v>294</v>
      </c>
      <c r="I338" s="54"/>
    </row>
    <row r="339" spans="1:9" x14ac:dyDescent="0.2">
      <c r="A339" t="s">
        <v>1887</v>
      </c>
      <c r="B339">
        <f>SUM(FishSumAllPRN!B339)</f>
        <v>0</v>
      </c>
      <c r="C339">
        <f>SUM(FishSumAllPRN!C339)</f>
        <v>0</v>
      </c>
      <c r="D339">
        <f>SUM(FishSumAllPRN!D339)</f>
        <v>0</v>
      </c>
      <c r="E339">
        <f>SUM(FishSumAllPRN!E339)</f>
        <v>1</v>
      </c>
      <c r="F339">
        <f>SUM(FishSumAllPRN!F339)</f>
        <v>6</v>
      </c>
      <c r="G339">
        <f>SUM(FishSumAllPRN!G339)</f>
        <v>7</v>
      </c>
      <c r="H339" s="54" t="s">
        <v>294</v>
      </c>
      <c r="I339" s="54"/>
    </row>
    <row r="340" spans="1:9" x14ac:dyDescent="0.2">
      <c r="A340" t="s">
        <v>1893</v>
      </c>
      <c r="B340">
        <f>SUM(FishSumAllPRN!B340)</f>
        <v>0</v>
      </c>
      <c r="C340">
        <f>SUM(FishSumAllPRN!C340)</f>
        <v>0</v>
      </c>
      <c r="D340">
        <f>SUM(FishSumAllPRN!D340)</f>
        <v>0</v>
      </c>
      <c r="E340">
        <f>SUM(FishSumAllPRN!E340)</f>
        <v>41</v>
      </c>
      <c r="F340">
        <f>SUM(FishSumAllPRN!F340)</f>
        <v>11</v>
      </c>
      <c r="G340">
        <f>SUM(FishSumAllPRN!G340)</f>
        <v>52</v>
      </c>
      <c r="H340" s="54" t="s">
        <v>294</v>
      </c>
      <c r="I340" s="54"/>
    </row>
    <row r="341" spans="1:9" x14ac:dyDescent="0.2">
      <c r="A341" t="s">
        <v>1899</v>
      </c>
      <c r="B341">
        <f>SUM(FishSumAllPRN!B341)</f>
        <v>0</v>
      </c>
      <c r="C341">
        <f>SUM(FishSumAllPRN!C341)</f>
        <v>0</v>
      </c>
      <c r="D341">
        <f>SUM(FishSumAllPRN!D341)</f>
        <v>0</v>
      </c>
      <c r="E341">
        <f>SUM(FishSumAllPRN!E341)</f>
        <v>0</v>
      </c>
      <c r="F341">
        <f>SUM(FishSumAllPRN!F341)</f>
        <v>0</v>
      </c>
      <c r="G341">
        <f>SUM(FishSumAllPRN!G341)</f>
        <v>0</v>
      </c>
      <c r="H341" s="54" t="s">
        <v>294</v>
      </c>
      <c r="I341" s="54"/>
    </row>
    <row r="342" spans="1:9" x14ac:dyDescent="0.2">
      <c r="A342" t="s">
        <v>1906</v>
      </c>
      <c r="B342">
        <f>SUM(FishSumAllPRN!B342)</f>
        <v>0</v>
      </c>
      <c r="C342">
        <f>SUM(FishSumAllPRN!C342)</f>
        <v>0</v>
      </c>
      <c r="D342">
        <f>SUM(FishSumAllPRN!D342)</f>
        <v>0</v>
      </c>
      <c r="E342">
        <f>SUM(FishSumAllPRN!E342)</f>
        <v>51</v>
      </c>
      <c r="F342">
        <f>SUM(FishSumAllPRN!F342)</f>
        <v>1</v>
      </c>
      <c r="G342">
        <f>SUM(FishSumAllPRN!G342)</f>
        <v>51</v>
      </c>
      <c r="H342" s="54" t="s">
        <v>294</v>
      </c>
      <c r="I342" s="54"/>
    </row>
    <row r="343" spans="1:9" x14ac:dyDescent="0.2">
      <c r="A343" t="s">
        <v>1911</v>
      </c>
      <c r="B343">
        <f>SUM(FishSumAllPRN!B343)</f>
        <v>0</v>
      </c>
      <c r="C343">
        <f>SUM(FishSumAllPRN!C343)</f>
        <v>0</v>
      </c>
      <c r="D343">
        <f>SUM(FishSumAllPRN!D343)</f>
        <v>0</v>
      </c>
      <c r="E343">
        <f>SUM(FishSumAllPRN!E343)</f>
        <v>0</v>
      </c>
      <c r="F343">
        <f>SUM(FishSumAllPRN!F343)</f>
        <v>0</v>
      </c>
      <c r="G343">
        <f>SUM(FishSumAllPRN!G343)</f>
        <v>0</v>
      </c>
      <c r="H343" s="54" t="s">
        <v>294</v>
      </c>
      <c r="I343" s="54"/>
    </row>
    <row r="344" spans="1:9" x14ac:dyDescent="0.2">
      <c r="A344" t="s">
        <v>1917</v>
      </c>
      <c r="B344">
        <f>SUM(FishSumAllPRN!B344)</f>
        <v>0</v>
      </c>
      <c r="C344">
        <f>SUM(FishSumAllPRN!C344)</f>
        <v>0</v>
      </c>
      <c r="D344">
        <f>SUM(FishSumAllPRN!D344)</f>
        <v>0</v>
      </c>
      <c r="E344">
        <f>SUM(FishSumAllPRN!E344)</f>
        <v>30</v>
      </c>
      <c r="F344">
        <f>SUM(FishSumAllPRN!F344)</f>
        <v>45</v>
      </c>
      <c r="G344">
        <f>SUM(FishSumAllPRN!G344)</f>
        <v>75</v>
      </c>
      <c r="H344" s="54" t="s">
        <v>294</v>
      </c>
      <c r="I344" s="54"/>
    </row>
    <row r="345" spans="1:9" x14ac:dyDescent="0.2">
      <c r="A345" t="s">
        <v>1922</v>
      </c>
      <c r="B345">
        <f>SUM(FishSumAllPRN!B345)</f>
        <v>0</v>
      </c>
      <c r="C345">
        <f>SUM(FishSumAllPRN!C345)</f>
        <v>0</v>
      </c>
      <c r="D345">
        <f>SUM(FishSumAllPRN!D345)</f>
        <v>0</v>
      </c>
      <c r="E345">
        <f>SUM(FishSumAllPRN!E345)</f>
        <v>47</v>
      </c>
      <c r="F345">
        <f>SUM(FishSumAllPRN!F345)</f>
        <v>21</v>
      </c>
      <c r="G345">
        <f>SUM(FishSumAllPRN!G345)</f>
        <v>68</v>
      </c>
      <c r="H345" s="54" t="s">
        <v>294</v>
      </c>
      <c r="I345" s="54"/>
    </row>
    <row r="346" spans="1:9" x14ac:dyDescent="0.2">
      <c r="A346" t="s">
        <v>1928</v>
      </c>
      <c r="B346">
        <f>SUM(FishSumAllPRN!B346)</f>
        <v>0</v>
      </c>
      <c r="C346">
        <f>SUM(FishSumAllPRN!C346)</f>
        <v>0</v>
      </c>
      <c r="D346">
        <f>SUM(FishSumAllPRN!D346)</f>
        <v>0</v>
      </c>
      <c r="E346">
        <f>SUM(FishSumAllPRN!E346)</f>
        <v>0</v>
      </c>
      <c r="F346">
        <f>SUM(FishSumAllPRN!F346)</f>
        <v>418</v>
      </c>
      <c r="G346">
        <f>SUM(FishSumAllPRN!G346)</f>
        <v>418</v>
      </c>
      <c r="H346" s="54" t="s">
        <v>294</v>
      </c>
      <c r="I346" s="54"/>
    </row>
    <row r="347" spans="1:9" x14ac:dyDescent="0.2">
      <c r="A347" t="s">
        <v>1932</v>
      </c>
      <c r="B347">
        <f>SUM(FishSumAllPRN!B347)</f>
        <v>0</v>
      </c>
      <c r="C347">
        <f>SUM(FishSumAllPRN!C347)</f>
        <v>0</v>
      </c>
      <c r="D347">
        <f>SUM(FishSumAllPRN!D347)</f>
        <v>0</v>
      </c>
      <c r="E347">
        <f>SUM(FishSumAllPRN!E347)</f>
        <v>0</v>
      </c>
      <c r="F347">
        <f>SUM(FishSumAllPRN!F347)</f>
        <v>108</v>
      </c>
      <c r="G347">
        <f>SUM(FishSumAllPRN!G347)</f>
        <v>108</v>
      </c>
      <c r="H347" s="54" t="s">
        <v>294</v>
      </c>
      <c r="I347" s="54"/>
    </row>
    <row r="348" spans="1:9" x14ac:dyDescent="0.2">
      <c r="A348" t="s">
        <v>1938</v>
      </c>
      <c r="B348">
        <f>SUM(FishSumAllPRN!B348)</f>
        <v>0</v>
      </c>
      <c r="C348">
        <f>SUM(FishSumAllPRN!C348)</f>
        <v>0</v>
      </c>
      <c r="D348">
        <f>SUM(FishSumAllPRN!D348)</f>
        <v>0</v>
      </c>
      <c r="E348">
        <f>SUM(FishSumAllPRN!E348)</f>
        <v>0</v>
      </c>
      <c r="F348">
        <f>SUM(FishSumAllPRN!F348)</f>
        <v>23</v>
      </c>
      <c r="G348">
        <f>SUM(FishSumAllPRN!G348)</f>
        <v>23</v>
      </c>
      <c r="H348" s="54" t="s">
        <v>294</v>
      </c>
      <c r="I348" s="54"/>
    </row>
    <row r="349" spans="1:9" x14ac:dyDescent="0.2">
      <c r="A349" t="s">
        <v>1944</v>
      </c>
      <c r="B349">
        <f>SUM(FishSumAllPRN!B349)</f>
        <v>0</v>
      </c>
      <c r="C349">
        <f>SUM(FishSumAllPRN!C349)</f>
        <v>17</v>
      </c>
      <c r="D349">
        <f>SUM(FishSumAllPRN!D349)</f>
        <v>58</v>
      </c>
      <c r="E349">
        <f>SUM(FishSumAllPRN!E349)</f>
        <v>148</v>
      </c>
      <c r="F349">
        <f>SUM(FishSumAllPRN!F349)</f>
        <v>5</v>
      </c>
      <c r="G349">
        <f>SUM(FishSumAllPRN!G349)</f>
        <v>228</v>
      </c>
      <c r="H349" s="54" t="s">
        <v>294</v>
      </c>
      <c r="I349" s="54"/>
    </row>
    <row r="350" spans="1:9" x14ac:dyDescent="0.2">
      <c r="A350" t="s">
        <v>1947</v>
      </c>
      <c r="B350">
        <f>SUM(FishSumAllPRN!B350)</f>
        <v>0</v>
      </c>
      <c r="C350">
        <f>SUM(FishSumAllPRN!C350)</f>
        <v>0</v>
      </c>
      <c r="D350">
        <f>SUM(FishSumAllPRN!D350)</f>
        <v>0</v>
      </c>
      <c r="E350">
        <f>SUM(FishSumAllPRN!E350)</f>
        <v>0</v>
      </c>
      <c r="F350">
        <f>SUM(FishSumAllPRN!F350)</f>
        <v>2</v>
      </c>
      <c r="G350">
        <f>SUM(FishSumAllPRN!G350)</f>
        <v>2</v>
      </c>
      <c r="H350" s="54" t="s">
        <v>294</v>
      </c>
      <c r="I350" s="54"/>
    </row>
    <row r="351" spans="1:9" x14ac:dyDescent="0.2">
      <c r="A351" t="s">
        <v>1953</v>
      </c>
      <c r="B351">
        <f>SUM(FishSumAllPRN!B351)</f>
        <v>0</v>
      </c>
      <c r="C351">
        <f>SUM(FishSumAllPRN!C351)</f>
        <v>0</v>
      </c>
      <c r="D351">
        <f>SUM(FishSumAllPRN!D351)</f>
        <v>0</v>
      </c>
      <c r="E351">
        <f>SUM(FishSumAllPRN!E351)</f>
        <v>1</v>
      </c>
      <c r="F351">
        <f>SUM(FishSumAllPRN!F351)</f>
        <v>4</v>
      </c>
      <c r="G351">
        <f>SUM(FishSumAllPRN!G351)</f>
        <v>5</v>
      </c>
      <c r="H351" s="54" t="s">
        <v>294</v>
      </c>
      <c r="I351" s="54"/>
    </row>
    <row r="352" spans="1:9" x14ac:dyDescent="0.2">
      <c r="A352" t="s">
        <v>1958</v>
      </c>
      <c r="B352">
        <f>SUM(FishSumAllPRN!B352)</f>
        <v>0</v>
      </c>
      <c r="C352">
        <f>SUM(FishSumAllPRN!C352)</f>
        <v>0</v>
      </c>
      <c r="D352">
        <f>SUM(FishSumAllPRN!D352)</f>
        <v>0</v>
      </c>
      <c r="E352">
        <f>SUM(FishSumAllPRN!E352)</f>
        <v>0</v>
      </c>
      <c r="F352">
        <f>SUM(FishSumAllPRN!F352)</f>
        <v>0</v>
      </c>
      <c r="G352">
        <f>SUM(FishSumAllPRN!G352)</f>
        <v>0</v>
      </c>
      <c r="H352" s="54" t="s">
        <v>294</v>
      </c>
      <c r="I352" s="54"/>
    </row>
    <row r="353" spans="1:9" x14ac:dyDescent="0.2">
      <c r="A353" t="s">
        <v>1964</v>
      </c>
      <c r="B353">
        <f>SUM(FishSumAllPRN!B353)</f>
        <v>0</v>
      </c>
      <c r="C353">
        <f>SUM(FishSumAllPRN!C353)</f>
        <v>0</v>
      </c>
      <c r="D353">
        <f>SUM(FishSumAllPRN!D353)</f>
        <v>0</v>
      </c>
      <c r="E353">
        <f>SUM(FishSumAllPRN!E353)</f>
        <v>0</v>
      </c>
      <c r="F353">
        <f>SUM(FishSumAllPRN!F353)</f>
        <v>3</v>
      </c>
      <c r="G353">
        <f>SUM(FishSumAllPRN!G353)</f>
        <v>3</v>
      </c>
      <c r="H353" s="54" t="s">
        <v>294</v>
      </c>
      <c r="I353" s="54"/>
    </row>
    <row r="354" spans="1:9" x14ac:dyDescent="0.2">
      <c r="A354" t="s">
        <v>1973</v>
      </c>
      <c r="B354">
        <f>SUM(FishSumAllPRN!B354)</f>
        <v>0</v>
      </c>
      <c r="C354">
        <f>SUM(FishSumAllPRN!C354)</f>
        <v>0</v>
      </c>
      <c r="D354">
        <f>SUM(FishSumAllPRN!D354)</f>
        <v>0</v>
      </c>
      <c r="E354">
        <f>SUM(FishSumAllPRN!E354)</f>
        <v>0</v>
      </c>
      <c r="F354">
        <f>SUM(FishSumAllPRN!F354)</f>
        <v>116</v>
      </c>
      <c r="G354">
        <f>SUM(FishSumAllPRN!G354)</f>
        <v>116</v>
      </c>
      <c r="H354" s="54" t="s">
        <v>294</v>
      </c>
      <c r="I354" s="54"/>
    </row>
    <row r="355" spans="1:9" x14ac:dyDescent="0.2">
      <c r="A355" t="s">
        <v>1978</v>
      </c>
      <c r="B355">
        <f>SUM(FishSumAllPRN!B355)</f>
        <v>0</v>
      </c>
      <c r="C355">
        <f>SUM(FishSumAllPRN!C355)</f>
        <v>0</v>
      </c>
      <c r="D355">
        <f>SUM(FishSumAllPRN!D355)</f>
        <v>0</v>
      </c>
      <c r="E355">
        <f>SUM(FishSumAllPRN!E355)</f>
        <v>0</v>
      </c>
      <c r="F355">
        <f>SUM(FishSumAllPRN!F355)</f>
        <v>182</v>
      </c>
      <c r="G355">
        <f>SUM(FishSumAllPRN!G355)</f>
        <v>182</v>
      </c>
      <c r="H355" s="54" t="s">
        <v>294</v>
      </c>
      <c r="I355" s="54"/>
    </row>
    <row r="356" spans="1:9" x14ac:dyDescent="0.2">
      <c r="A356" t="s">
        <v>1983</v>
      </c>
      <c r="B356">
        <f>SUM(FishSumAllPRN!B356)</f>
        <v>59</v>
      </c>
      <c r="C356">
        <f>SUM(FishSumAllPRN!C356)</f>
        <v>4</v>
      </c>
      <c r="D356">
        <f>SUM(FishSumAllPRN!D356)</f>
        <v>10</v>
      </c>
      <c r="E356">
        <f>SUM(FishSumAllPRN!E356)</f>
        <v>61</v>
      </c>
      <c r="F356">
        <f>SUM(FishSumAllPRN!F356)</f>
        <v>14</v>
      </c>
      <c r="G356">
        <f>SUM(FishSumAllPRN!G356)</f>
        <v>147</v>
      </c>
      <c r="H356" s="54" t="s">
        <v>294</v>
      </c>
      <c r="I356" s="54"/>
    </row>
    <row r="357" spans="1:9" x14ac:dyDescent="0.2">
      <c r="A357" t="s">
        <v>1984</v>
      </c>
      <c r="B357">
        <f>SUM(FishSumAllPRN!B357)</f>
        <v>0</v>
      </c>
      <c r="C357">
        <f>SUM(FishSumAllPRN!C357)</f>
        <v>0</v>
      </c>
      <c r="D357">
        <f>SUM(FishSumAllPRN!D357)</f>
        <v>0</v>
      </c>
      <c r="E357">
        <f>SUM(FishSumAllPRN!E357)</f>
        <v>0</v>
      </c>
      <c r="F357">
        <f>SUM(FishSumAllPRN!F357)</f>
        <v>0</v>
      </c>
      <c r="G357">
        <f>SUM(FishSumAllPRN!G357)</f>
        <v>0</v>
      </c>
      <c r="H357" s="54" t="s">
        <v>294</v>
      </c>
      <c r="I357" s="54"/>
    </row>
    <row r="358" spans="1:9" x14ac:dyDescent="0.2">
      <c r="A358" t="s">
        <v>1990</v>
      </c>
      <c r="B358">
        <f>SUM(FishSumAllPRN!B358)</f>
        <v>0</v>
      </c>
      <c r="C358">
        <f>SUM(FishSumAllPRN!C358)</f>
        <v>0</v>
      </c>
      <c r="D358">
        <f>SUM(FishSumAllPRN!D358)</f>
        <v>0</v>
      </c>
      <c r="E358">
        <f>SUM(FishSumAllPRN!E358)</f>
        <v>2</v>
      </c>
      <c r="F358">
        <f>SUM(FishSumAllPRN!F358)</f>
        <v>3</v>
      </c>
      <c r="G358">
        <f>SUM(FishSumAllPRN!G358)</f>
        <v>4</v>
      </c>
      <c r="H358" s="54" t="s">
        <v>294</v>
      </c>
      <c r="I358" s="54"/>
    </row>
    <row r="359" spans="1:9" x14ac:dyDescent="0.2">
      <c r="A359" t="s">
        <v>1996</v>
      </c>
      <c r="B359">
        <f>SUM(FishSumAllPRN!B359)</f>
        <v>0</v>
      </c>
      <c r="C359">
        <f>SUM(FishSumAllPRN!C359)</f>
        <v>0</v>
      </c>
      <c r="D359">
        <f>SUM(FishSumAllPRN!D359)</f>
        <v>0</v>
      </c>
      <c r="E359">
        <f>SUM(FishSumAllPRN!E359)</f>
        <v>0</v>
      </c>
      <c r="F359">
        <f>SUM(FishSumAllPRN!F359)</f>
        <v>0</v>
      </c>
      <c r="G359">
        <f>SUM(FishSumAllPRN!G359)</f>
        <v>0</v>
      </c>
      <c r="H359" s="54" t="s">
        <v>294</v>
      </c>
      <c r="I359" s="54"/>
    </row>
    <row r="360" spans="1:9" x14ac:dyDescent="0.2">
      <c r="A360" t="s">
        <v>1998</v>
      </c>
      <c r="B360">
        <f>SUM(FishSumAllPRN!B360)</f>
        <v>0</v>
      </c>
      <c r="C360">
        <f>SUM(FishSumAllPRN!C360)</f>
        <v>0</v>
      </c>
      <c r="D360">
        <f>SUM(FishSumAllPRN!D360)</f>
        <v>0</v>
      </c>
      <c r="E360">
        <f>SUM(FishSumAllPRN!E360)</f>
        <v>0</v>
      </c>
      <c r="F360">
        <f>SUM(FishSumAllPRN!F360)</f>
        <v>0</v>
      </c>
      <c r="G360">
        <f>SUM(FishSumAllPRN!G360)</f>
        <v>0</v>
      </c>
      <c r="H360" s="54" t="s">
        <v>294</v>
      </c>
      <c r="I360" s="54"/>
    </row>
    <row r="361" spans="1:9" x14ac:dyDescent="0.2">
      <c r="A361" t="s">
        <v>1999</v>
      </c>
      <c r="B361">
        <f>SUM(FishSumAllPRN!B361)</f>
        <v>0</v>
      </c>
      <c r="C361">
        <f>SUM(FishSumAllPRN!C361)</f>
        <v>0</v>
      </c>
      <c r="D361">
        <f>SUM(FishSumAllPRN!D361)</f>
        <v>0</v>
      </c>
      <c r="E361">
        <f>SUM(FishSumAllPRN!E361)</f>
        <v>0</v>
      </c>
      <c r="F361">
        <f>SUM(FishSumAllPRN!F361)</f>
        <v>11</v>
      </c>
      <c r="G361">
        <f>SUM(FishSumAllPRN!G361)</f>
        <v>11</v>
      </c>
      <c r="H361" s="54" t="s">
        <v>294</v>
      </c>
      <c r="I361" s="54"/>
    </row>
    <row r="362" spans="1:9" x14ac:dyDescent="0.2">
      <c r="A362" t="s">
        <v>2004</v>
      </c>
      <c r="B362">
        <f>SUM(FishSumAllPRN!B362)</f>
        <v>0</v>
      </c>
      <c r="C362">
        <f>SUM(FishSumAllPRN!C362)</f>
        <v>0</v>
      </c>
      <c r="D362">
        <f>SUM(FishSumAllPRN!D362)</f>
        <v>0</v>
      </c>
      <c r="E362">
        <f>SUM(FishSumAllPRN!E362)</f>
        <v>9</v>
      </c>
      <c r="F362">
        <f>SUM(FishSumAllPRN!F362)</f>
        <v>13</v>
      </c>
      <c r="G362">
        <f>SUM(FishSumAllPRN!G362)</f>
        <v>23</v>
      </c>
      <c r="H362" s="54" t="s">
        <v>294</v>
      </c>
      <c r="I362" s="54"/>
    </row>
    <row r="363" spans="1:9" x14ac:dyDescent="0.2">
      <c r="A363" t="s">
        <v>2009</v>
      </c>
      <c r="B363">
        <f>SUM(FishSumAllPRN!B363)</f>
        <v>0</v>
      </c>
      <c r="C363">
        <f>SUM(FishSumAllPRN!C363)</f>
        <v>0</v>
      </c>
      <c r="D363">
        <f>SUM(FishSumAllPRN!D363)</f>
        <v>0</v>
      </c>
      <c r="E363">
        <f>SUM(FishSumAllPRN!E363)</f>
        <v>0</v>
      </c>
      <c r="F363">
        <f>SUM(FishSumAllPRN!F363)</f>
        <v>0</v>
      </c>
      <c r="G363">
        <f>SUM(FishSumAllPRN!G363)</f>
        <v>0</v>
      </c>
      <c r="H363" s="54" t="s">
        <v>294</v>
      </c>
      <c r="I363" s="54"/>
    </row>
    <row r="364" spans="1:9" x14ac:dyDescent="0.2">
      <c r="A364" t="s">
        <v>2014</v>
      </c>
      <c r="B364">
        <f>SUM(FishSumAllPRN!B364)</f>
        <v>0</v>
      </c>
      <c r="C364">
        <f>SUM(FishSumAllPRN!C364)</f>
        <v>0</v>
      </c>
      <c r="D364">
        <f>SUM(FishSumAllPRN!D364)</f>
        <v>0</v>
      </c>
      <c r="E364">
        <f>SUM(FishSumAllPRN!E364)</f>
        <v>434</v>
      </c>
      <c r="F364">
        <f>SUM(FishSumAllPRN!F364)</f>
        <v>243</v>
      </c>
      <c r="G364">
        <f>SUM(FishSumAllPRN!G364)</f>
        <v>677</v>
      </c>
      <c r="H364" s="54" t="s">
        <v>294</v>
      </c>
      <c r="I364" s="54"/>
    </row>
    <row r="365" spans="1:9" x14ac:dyDescent="0.2">
      <c r="A365" t="s">
        <v>2019</v>
      </c>
      <c r="B365">
        <f>SUM(FishSumAllPRN!B365)</f>
        <v>0</v>
      </c>
      <c r="C365">
        <f>SUM(FishSumAllPRN!C365)</f>
        <v>0</v>
      </c>
      <c r="D365">
        <f>SUM(FishSumAllPRN!D365)</f>
        <v>0</v>
      </c>
      <c r="E365">
        <f>SUM(FishSumAllPRN!E365)</f>
        <v>0</v>
      </c>
      <c r="F365">
        <f>SUM(FishSumAllPRN!F365)</f>
        <v>0</v>
      </c>
      <c r="G365">
        <f>SUM(FishSumAllPRN!G365)</f>
        <v>0</v>
      </c>
      <c r="H365" s="54" t="s">
        <v>294</v>
      </c>
      <c r="I365" s="54"/>
    </row>
    <row r="366" spans="1:9" x14ac:dyDescent="0.2">
      <c r="A366" t="s">
        <v>2023</v>
      </c>
      <c r="B366">
        <f>SUM(FishSumAllPRN!B366)</f>
        <v>0</v>
      </c>
      <c r="C366">
        <f>SUM(FishSumAllPRN!C366)</f>
        <v>0</v>
      </c>
      <c r="D366">
        <f>SUM(FishSumAllPRN!D366)</f>
        <v>0</v>
      </c>
      <c r="E366">
        <f>SUM(FishSumAllPRN!E366)</f>
        <v>0</v>
      </c>
      <c r="F366">
        <f>SUM(FishSumAllPRN!F366)</f>
        <v>2</v>
      </c>
      <c r="G366">
        <f>SUM(FishSumAllPRN!G366)</f>
        <v>2</v>
      </c>
      <c r="H366" s="54" t="s">
        <v>294</v>
      </c>
      <c r="I366" s="54"/>
    </row>
    <row r="367" spans="1:9" x14ac:dyDescent="0.2">
      <c r="A367" t="s">
        <v>2026</v>
      </c>
      <c r="B367">
        <f>SUM(FishSumAllPRN!B367)</f>
        <v>0</v>
      </c>
      <c r="C367">
        <f>SUM(FishSumAllPRN!C367)</f>
        <v>0</v>
      </c>
      <c r="D367">
        <f>SUM(FishSumAllPRN!D367)</f>
        <v>0</v>
      </c>
      <c r="E367">
        <f>SUM(FishSumAllPRN!E367)</f>
        <v>0</v>
      </c>
      <c r="F367">
        <f>SUM(FishSumAllPRN!F367)</f>
        <v>48</v>
      </c>
      <c r="G367">
        <f>SUM(FishSumAllPRN!G367)</f>
        <v>48</v>
      </c>
      <c r="H367" s="54" t="s">
        <v>294</v>
      </c>
      <c r="I367" s="54"/>
    </row>
    <row r="368" spans="1:9" x14ac:dyDescent="0.2">
      <c r="A368" t="s">
        <v>2030</v>
      </c>
      <c r="B368">
        <f>SUM(FishSumAllPRN!B368)</f>
        <v>0</v>
      </c>
      <c r="C368">
        <f>SUM(FishSumAllPRN!C368)</f>
        <v>0</v>
      </c>
      <c r="D368">
        <f>SUM(FishSumAllPRN!D368)</f>
        <v>0</v>
      </c>
      <c r="E368">
        <f>SUM(FishSumAllPRN!E368)</f>
        <v>0</v>
      </c>
      <c r="F368">
        <f>SUM(FishSumAllPRN!F368)</f>
        <v>0</v>
      </c>
      <c r="G368">
        <f>SUM(FishSumAllPRN!G368)</f>
        <v>0</v>
      </c>
      <c r="H368" s="54" t="s">
        <v>294</v>
      </c>
      <c r="I368" s="54"/>
    </row>
    <row r="369" spans="1:9" x14ac:dyDescent="0.2">
      <c r="A369" t="s">
        <v>2035</v>
      </c>
      <c r="B369">
        <f>SUM(FishSumAllPRN!B369)</f>
        <v>0</v>
      </c>
      <c r="C369">
        <f>SUM(FishSumAllPRN!C369)</f>
        <v>0</v>
      </c>
      <c r="D369">
        <f>SUM(FishSumAllPRN!D369)</f>
        <v>0</v>
      </c>
      <c r="E369">
        <f>SUM(FishSumAllPRN!E369)</f>
        <v>0</v>
      </c>
      <c r="F369">
        <f>SUM(FishSumAllPRN!F369)</f>
        <v>0</v>
      </c>
      <c r="G369">
        <f>SUM(FishSumAllPRN!G369)</f>
        <v>0</v>
      </c>
      <c r="H369" s="54" t="s">
        <v>294</v>
      </c>
      <c r="I369" s="54"/>
    </row>
    <row r="370" spans="1:9" x14ac:dyDescent="0.2">
      <c r="A370" t="s">
        <v>2040</v>
      </c>
      <c r="B370">
        <f>SUM(FishSumAllPRN!B370)</f>
        <v>0</v>
      </c>
      <c r="C370">
        <f>SUM(FishSumAllPRN!C370)</f>
        <v>0</v>
      </c>
      <c r="D370">
        <f>SUM(FishSumAllPRN!D370)</f>
        <v>0</v>
      </c>
      <c r="E370">
        <f>SUM(FishSumAllPRN!E370)</f>
        <v>0</v>
      </c>
      <c r="F370">
        <f>SUM(FishSumAllPRN!F370)</f>
        <v>126</v>
      </c>
      <c r="G370">
        <f>SUM(FishSumAllPRN!G370)</f>
        <v>126</v>
      </c>
      <c r="H370" s="54" t="s">
        <v>294</v>
      </c>
      <c r="I370" s="54"/>
    </row>
    <row r="371" spans="1:9" x14ac:dyDescent="0.2">
      <c r="A371" t="s">
        <v>2045</v>
      </c>
      <c r="B371">
        <f>SUM(FishSumAllPRN!B371)</f>
        <v>0</v>
      </c>
      <c r="C371">
        <f>SUM(FishSumAllPRN!C371)</f>
        <v>0</v>
      </c>
      <c r="D371">
        <f>SUM(FishSumAllPRN!D371)</f>
        <v>0</v>
      </c>
      <c r="E371">
        <f>SUM(FishSumAllPRN!E371)</f>
        <v>0</v>
      </c>
      <c r="F371">
        <f>SUM(FishSumAllPRN!F371)</f>
        <v>0</v>
      </c>
      <c r="G371">
        <f>SUM(FishSumAllPRN!G371)</f>
        <v>0</v>
      </c>
      <c r="H371" s="54" t="s">
        <v>294</v>
      </c>
      <c r="I371" s="54"/>
    </row>
    <row r="372" spans="1:9" x14ac:dyDescent="0.2">
      <c r="A372" t="s">
        <v>2049</v>
      </c>
      <c r="B372">
        <f>SUM(FishSumAllPRN!B372)</f>
        <v>0</v>
      </c>
      <c r="C372">
        <f>SUM(FishSumAllPRN!C372)</f>
        <v>0</v>
      </c>
      <c r="D372">
        <f>SUM(FishSumAllPRN!D372)</f>
        <v>99</v>
      </c>
      <c r="E372">
        <f>SUM(FishSumAllPRN!E372)</f>
        <v>242</v>
      </c>
      <c r="F372">
        <f>SUM(FishSumAllPRN!F372)</f>
        <v>40</v>
      </c>
      <c r="G372">
        <f>SUM(FishSumAllPRN!G372)</f>
        <v>381</v>
      </c>
      <c r="H372" s="54" t="s">
        <v>294</v>
      </c>
      <c r="I372" s="54"/>
    </row>
    <row r="373" spans="1:9" x14ac:dyDescent="0.2">
      <c r="A373" t="s">
        <v>2051</v>
      </c>
      <c r="B373">
        <f>SUM(FishSumAllPRN!B373)</f>
        <v>0</v>
      </c>
      <c r="C373">
        <f>SUM(FishSumAllPRN!C373)</f>
        <v>0</v>
      </c>
      <c r="D373">
        <f>SUM(FishSumAllPRN!D373)</f>
        <v>0</v>
      </c>
      <c r="E373">
        <f>SUM(FishSumAllPRN!E373)</f>
        <v>0</v>
      </c>
      <c r="F373">
        <f>SUM(FishSumAllPRN!F373)</f>
        <v>27</v>
      </c>
      <c r="G373">
        <f>SUM(FishSumAllPRN!G373)</f>
        <v>27</v>
      </c>
      <c r="H373" s="54" t="s">
        <v>294</v>
      </c>
      <c r="I373" s="54"/>
    </row>
    <row r="374" spans="1:9" x14ac:dyDescent="0.2">
      <c r="A374" t="s">
        <v>2057</v>
      </c>
      <c r="B374">
        <f>SUM(FishSumAllPRN!B374)</f>
        <v>0</v>
      </c>
      <c r="C374">
        <f>SUM(FishSumAllPRN!C374)</f>
        <v>0</v>
      </c>
      <c r="D374">
        <f>SUM(FishSumAllPRN!D374)</f>
        <v>0</v>
      </c>
      <c r="E374">
        <f>SUM(FishSumAllPRN!E374)</f>
        <v>2</v>
      </c>
      <c r="F374">
        <f>SUM(FishSumAllPRN!F374)</f>
        <v>44</v>
      </c>
      <c r="G374">
        <f>SUM(FishSumAllPRN!G374)</f>
        <v>45</v>
      </c>
      <c r="H374" s="54" t="s">
        <v>294</v>
      </c>
      <c r="I374" s="54"/>
    </row>
    <row r="375" spans="1:9" x14ac:dyDescent="0.2">
      <c r="A375" t="s">
        <v>5762</v>
      </c>
      <c r="B375">
        <f>SUM(FishSumAllPRN!B375)</f>
        <v>0</v>
      </c>
      <c r="C375">
        <f>SUM(FishSumAllPRN!C375)</f>
        <v>0</v>
      </c>
      <c r="D375">
        <f>SUM(FishSumAllPRN!D375)</f>
        <v>0</v>
      </c>
      <c r="E375">
        <f>SUM(FishSumAllPRN!E375)</f>
        <v>25</v>
      </c>
      <c r="F375">
        <f>SUM(FishSumAllPRN!F375)</f>
        <v>1</v>
      </c>
      <c r="G375">
        <f>SUM(FishSumAllPRN!G375)</f>
        <v>26</v>
      </c>
      <c r="H375" s="54" t="s">
        <v>294</v>
      </c>
      <c r="I375" s="54"/>
    </row>
    <row r="376" spans="1:9" x14ac:dyDescent="0.2">
      <c r="A376" t="s">
        <v>5763</v>
      </c>
      <c r="B376">
        <f>SUM(FishSumAllPRN!B376)</f>
        <v>0</v>
      </c>
      <c r="C376">
        <f>SUM(FishSumAllPRN!C376)</f>
        <v>0</v>
      </c>
      <c r="D376">
        <f>SUM(FishSumAllPRN!D376)</f>
        <v>0</v>
      </c>
      <c r="E376">
        <f>SUM(FishSumAllPRN!E376)</f>
        <v>99</v>
      </c>
      <c r="F376">
        <f>SUM(FishSumAllPRN!F376)</f>
        <v>21</v>
      </c>
      <c r="G376">
        <f>SUM(FishSumAllPRN!G376)</f>
        <v>120</v>
      </c>
      <c r="H376" s="54" t="s">
        <v>294</v>
      </c>
      <c r="I376" s="54"/>
    </row>
    <row r="377" spans="1:9" x14ac:dyDescent="0.2">
      <c r="A377" t="s">
        <v>2074</v>
      </c>
      <c r="B377">
        <f>SUM(FishSumAllPRN!B377)</f>
        <v>0</v>
      </c>
      <c r="C377">
        <f>SUM(FishSumAllPRN!C377)</f>
        <v>0</v>
      </c>
      <c r="D377">
        <f>SUM(FishSumAllPRN!D377)</f>
        <v>0</v>
      </c>
      <c r="E377">
        <f>SUM(FishSumAllPRN!E377)</f>
        <v>25</v>
      </c>
      <c r="F377">
        <f>SUM(FishSumAllPRN!F377)</f>
        <v>0</v>
      </c>
      <c r="G377">
        <f>SUM(FishSumAllPRN!G377)</f>
        <v>25</v>
      </c>
      <c r="H377" s="54" t="s">
        <v>294</v>
      </c>
      <c r="I377" s="54"/>
    </row>
    <row r="378" spans="1:9" x14ac:dyDescent="0.2">
      <c r="A378" t="s">
        <v>2079</v>
      </c>
      <c r="B378">
        <f>SUM(FishSumAllPRN!B378)</f>
        <v>0</v>
      </c>
      <c r="C378">
        <f>SUM(FishSumAllPRN!C378)</f>
        <v>0</v>
      </c>
      <c r="D378">
        <f>SUM(FishSumAllPRN!D378)</f>
        <v>0</v>
      </c>
      <c r="E378">
        <f>SUM(FishSumAllPRN!E378)</f>
        <v>71</v>
      </c>
      <c r="F378">
        <f>SUM(FishSumAllPRN!F378)</f>
        <v>8</v>
      </c>
      <c r="G378">
        <f>SUM(FishSumAllPRN!G378)</f>
        <v>78</v>
      </c>
      <c r="H378" s="54" t="s">
        <v>294</v>
      </c>
      <c r="I378" s="54"/>
    </row>
    <row r="379" spans="1:9" x14ac:dyDescent="0.2">
      <c r="A379" t="s">
        <v>2085</v>
      </c>
      <c r="B379">
        <f>SUM(FishSumAllPRN!B379)</f>
        <v>0</v>
      </c>
      <c r="C379">
        <f>SUM(FishSumAllPRN!C379)</f>
        <v>0</v>
      </c>
      <c r="D379">
        <f>SUM(FishSumAllPRN!D379)</f>
        <v>0</v>
      </c>
      <c r="E379">
        <f>SUM(FishSumAllPRN!E379)</f>
        <v>0</v>
      </c>
      <c r="F379">
        <f>SUM(FishSumAllPRN!F379)</f>
        <v>0</v>
      </c>
      <c r="G379">
        <f>SUM(FishSumAllPRN!G379)</f>
        <v>0</v>
      </c>
      <c r="H379" s="54" t="s">
        <v>294</v>
      </c>
      <c r="I379" s="54"/>
    </row>
    <row r="380" spans="1:9" x14ac:dyDescent="0.2">
      <c r="A380" t="s">
        <v>2091</v>
      </c>
      <c r="B380">
        <f>SUM(FishSumAllPRN!B380)</f>
        <v>0</v>
      </c>
      <c r="C380">
        <f>SUM(FishSumAllPRN!C380)</f>
        <v>0</v>
      </c>
      <c r="D380">
        <f>SUM(FishSumAllPRN!D380)</f>
        <v>0</v>
      </c>
      <c r="E380">
        <f>SUM(FishSumAllPRN!E380)</f>
        <v>27</v>
      </c>
      <c r="F380">
        <f>SUM(FishSumAllPRN!F380)</f>
        <v>17</v>
      </c>
      <c r="G380">
        <f>SUM(FishSumAllPRN!G380)</f>
        <v>44</v>
      </c>
      <c r="H380" s="54" t="s">
        <v>294</v>
      </c>
      <c r="I380" s="54"/>
    </row>
    <row r="381" spans="1:9" x14ac:dyDescent="0.2">
      <c r="A381" t="s">
        <v>2097</v>
      </c>
      <c r="B381">
        <f>SUM(FishSumAllPRN!B381)</f>
        <v>0</v>
      </c>
      <c r="C381">
        <f>SUM(FishSumAllPRN!C381)</f>
        <v>0</v>
      </c>
      <c r="D381">
        <f>SUM(FishSumAllPRN!D381)</f>
        <v>0</v>
      </c>
      <c r="E381">
        <f>SUM(FishSumAllPRN!E381)</f>
        <v>0</v>
      </c>
      <c r="F381">
        <f>SUM(FishSumAllPRN!F381)</f>
        <v>29</v>
      </c>
      <c r="G381">
        <f>SUM(FishSumAllPRN!G381)</f>
        <v>29</v>
      </c>
      <c r="H381" s="54" t="s">
        <v>294</v>
      </c>
      <c r="I381" s="54"/>
    </row>
    <row r="382" spans="1:9" x14ac:dyDescent="0.2">
      <c r="A382" t="s">
        <v>2101</v>
      </c>
      <c r="B382">
        <f>SUM(FishSumAllPRN!B382)</f>
        <v>0</v>
      </c>
      <c r="C382">
        <f>SUM(FishSumAllPRN!C382)</f>
        <v>0</v>
      </c>
      <c r="D382">
        <f>SUM(FishSumAllPRN!D382)</f>
        <v>0</v>
      </c>
      <c r="E382">
        <f>SUM(FishSumAllPRN!E382)</f>
        <v>0</v>
      </c>
      <c r="F382">
        <f>SUM(FishSumAllPRN!F382)</f>
        <v>24</v>
      </c>
      <c r="G382">
        <f>SUM(FishSumAllPRN!G382)</f>
        <v>24</v>
      </c>
      <c r="H382" s="54" t="s">
        <v>294</v>
      </c>
      <c r="I382" s="54"/>
    </row>
    <row r="383" spans="1:9" x14ac:dyDescent="0.2">
      <c r="A383" t="s">
        <v>2104</v>
      </c>
      <c r="B383">
        <f>SUM(FishSumAllPRN!B383)</f>
        <v>0</v>
      </c>
      <c r="C383">
        <f>SUM(FishSumAllPRN!C383)</f>
        <v>0</v>
      </c>
      <c r="D383">
        <f>SUM(FishSumAllPRN!D383)</f>
        <v>0</v>
      </c>
      <c r="E383">
        <f>SUM(FishSumAllPRN!E383)</f>
        <v>0</v>
      </c>
      <c r="F383">
        <f>SUM(FishSumAllPRN!F383)</f>
        <v>0</v>
      </c>
      <c r="G383">
        <f>SUM(FishSumAllPRN!G383)</f>
        <v>0</v>
      </c>
      <c r="H383" s="54" t="s">
        <v>294</v>
      </c>
      <c r="I383" s="54"/>
    </row>
    <row r="384" spans="1:9" x14ac:dyDescent="0.2">
      <c r="A384" t="s">
        <v>5764</v>
      </c>
      <c r="B384">
        <f>SUM(FishSumAllPRN!B384)</f>
        <v>0</v>
      </c>
      <c r="C384">
        <f>SUM(FishSumAllPRN!C384)</f>
        <v>0</v>
      </c>
      <c r="D384">
        <f>SUM(FishSumAllPRN!D384)</f>
        <v>0</v>
      </c>
      <c r="E384">
        <f>SUM(FishSumAllPRN!E384)</f>
        <v>0</v>
      </c>
      <c r="F384">
        <f>SUM(FishSumAllPRN!F384)</f>
        <v>97</v>
      </c>
      <c r="G384">
        <f>SUM(FishSumAllPRN!G384)</f>
        <v>97</v>
      </c>
      <c r="H384" s="54" t="s">
        <v>294</v>
      </c>
      <c r="I384" s="54"/>
    </row>
    <row r="385" spans="1:9" x14ac:dyDescent="0.2">
      <c r="A385" t="s">
        <v>2110</v>
      </c>
      <c r="B385">
        <f>SUM(FishSumAllPRN!B385)</f>
        <v>0</v>
      </c>
      <c r="C385">
        <f>SUM(FishSumAllPRN!C385)</f>
        <v>0</v>
      </c>
      <c r="D385">
        <f>SUM(FishSumAllPRN!D385)</f>
        <v>0</v>
      </c>
      <c r="E385">
        <f>SUM(FishSumAllPRN!E385)</f>
        <v>0</v>
      </c>
      <c r="F385">
        <f>SUM(FishSumAllPRN!F385)</f>
        <v>0</v>
      </c>
      <c r="G385">
        <f>SUM(FishSumAllPRN!G385)</f>
        <v>0</v>
      </c>
      <c r="H385" s="54" t="s">
        <v>294</v>
      </c>
      <c r="I385" s="54"/>
    </row>
    <row r="386" spans="1:9" x14ac:dyDescent="0.2">
      <c r="A386" t="s">
        <v>2113</v>
      </c>
      <c r="B386">
        <f>SUM(FishSumAllPRN!B386)</f>
        <v>0</v>
      </c>
      <c r="C386">
        <f>SUM(FishSumAllPRN!C386)</f>
        <v>0</v>
      </c>
      <c r="D386">
        <f>SUM(FishSumAllPRN!D386)</f>
        <v>0</v>
      </c>
      <c r="E386">
        <f>SUM(FishSumAllPRN!E386)</f>
        <v>0</v>
      </c>
      <c r="F386">
        <f>SUM(FishSumAllPRN!F386)</f>
        <v>0</v>
      </c>
      <c r="G386">
        <f>SUM(FishSumAllPRN!G386)</f>
        <v>0</v>
      </c>
      <c r="H386" s="54" t="s">
        <v>294</v>
      </c>
      <c r="I386" s="54"/>
    </row>
    <row r="387" spans="1:9" x14ac:dyDescent="0.2">
      <c r="A387" t="s">
        <v>4346</v>
      </c>
      <c r="B387">
        <f>SUM(FishSumAllPRN!B387)</f>
        <v>0</v>
      </c>
      <c r="C387">
        <f>SUM(FishSumAllPRN!C387)</f>
        <v>0</v>
      </c>
      <c r="D387">
        <f>SUM(FishSumAllPRN!D387)</f>
        <v>0</v>
      </c>
      <c r="E387">
        <f>SUM(FishSumAllPRN!E387)</f>
        <v>0</v>
      </c>
      <c r="F387">
        <f>SUM(FishSumAllPRN!F387)</f>
        <v>52</v>
      </c>
      <c r="G387">
        <f>SUM(FishSumAllPRN!G387)</f>
        <v>52</v>
      </c>
      <c r="H387" s="54" t="s">
        <v>294</v>
      </c>
      <c r="I387" s="54"/>
    </row>
    <row r="388" spans="1:9" x14ac:dyDescent="0.2">
      <c r="A388" t="s">
        <v>4347</v>
      </c>
      <c r="B388">
        <f>SUM(FishSumAllPRN!B388)</f>
        <v>0</v>
      </c>
      <c r="C388">
        <f>SUM(FishSumAllPRN!C388)</f>
        <v>0</v>
      </c>
      <c r="D388">
        <f>SUM(FishSumAllPRN!D388)</f>
        <v>0</v>
      </c>
      <c r="E388">
        <f>SUM(FishSumAllPRN!E388)</f>
        <v>0</v>
      </c>
      <c r="F388">
        <f>SUM(FishSumAllPRN!F388)</f>
        <v>48</v>
      </c>
      <c r="G388">
        <f>SUM(FishSumAllPRN!G388)</f>
        <v>48</v>
      </c>
      <c r="H388" s="54" t="s">
        <v>294</v>
      </c>
      <c r="I388" s="54"/>
    </row>
    <row r="389" spans="1:9" x14ac:dyDescent="0.2">
      <c r="A389" s="365" t="s">
        <v>4348</v>
      </c>
      <c r="B389" s="365">
        <f>SUM(FishSumAllPRN!B389)</f>
        <v>0</v>
      </c>
      <c r="C389" s="365">
        <f>SUM(FishSumAllPRN!C389)</f>
        <v>0</v>
      </c>
      <c r="D389" s="365">
        <f>SUM(FishSumAllPRN!D389)</f>
        <v>0</v>
      </c>
      <c r="E389" s="365">
        <f>SUM(FishSumAllPRN!E389)</f>
        <v>0</v>
      </c>
      <c r="F389" s="365">
        <f>SUM(FishSumAllPRN!F389)</f>
        <v>0</v>
      </c>
      <c r="G389" s="365">
        <f>SUM(FishSumAllPRN!G389)</f>
        <v>0</v>
      </c>
      <c r="H389" s="54"/>
      <c r="I389" s="54"/>
    </row>
    <row r="390" spans="1:9" x14ac:dyDescent="0.2">
      <c r="A390" s="365" t="s">
        <v>4349</v>
      </c>
      <c r="B390" s="365">
        <f>SUM(FishSumAllPRN!B390)</f>
        <v>0</v>
      </c>
      <c r="C390" s="365">
        <f>SUM(FishSumAllPRN!C390)</f>
        <v>0</v>
      </c>
      <c r="D390" s="365">
        <f>SUM(FishSumAllPRN!D390)</f>
        <v>0</v>
      </c>
      <c r="E390" s="365">
        <f>SUM(FishSumAllPRN!E390)</f>
        <v>0</v>
      </c>
      <c r="F390" s="365">
        <f>SUM(FishSumAllPRN!F390)</f>
        <v>0</v>
      </c>
      <c r="G390" s="365">
        <f>SUM(FishSumAllPRN!G390)</f>
        <v>0</v>
      </c>
      <c r="H390" s="54"/>
      <c r="I390" s="54"/>
    </row>
    <row r="391" spans="1:9" x14ac:dyDescent="0.2">
      <c r="A391" t="s">
        <v>4350</v>
      </c>
      <c r="B391">
        <f>SUM(FishSumAllPRN!B391)</f>
        <v>0</v>
      </c>
      <c r="C391">
        <f>SUM(FishSumAllPRN!C391)</f>
        <v>773</v>
      </c>
      <c r="D391">
        <f>SUM(FishSumAllPRN!D391)</f>
        <v>3164</v>
      </c>
      <c r="E391">
        <f>SUM(FishSumAllPRN!E391)</f>
        <v>75</v>
      </c>
      <c r="F391">
        <f>SUM(FishSumAllPRN!F391)</f>
        <v>0</v>
      </c>
      <c r="G391">
        <f>SUM(FishSumAllPRN!G391)</f>
        <v>4012</v>
      </c>
      <c r="H391" s="54" t="s">
        <v>294</v>
      </c>
      <c r="I391" s="54"/>
    </row>
    <row r="392" spans="1:9" x14ac:dyDescent="0.2">
      <c r="A392" t="s">
        <v>4351</v>
      </c>
      <c r="B392">
        <f>SUM(FishSumAllPRN!B392)</f>
        <v>0</v>
      </c>
      <c r="C392">
        <f>SUM(FishSumAllPRN!C392)</f>
        <v>0</v>
      </c>
      <c r="D392">
        <f>SUM(FishSumAllPRN!D392)</f>
        <v>0</v>
      </c>
      <c r="E392">
        <f>SUM(FishSumAllPRN!E392)</f>
        <v>0</v>
      </c>
      <c r="F392">
        <f>SUM(FishSumAllPRN!F392)</f>
        <v>0</v>
      </c>
      <c r="G392">
        <f>SUM(FishSumAllPRN!G392)</f>
        <v>0</v>
      </c>
      <c r="H392" s="54" t="s">
        <v>294</v>
      </c>
      <c r="I392" s="54"/>
    </row>
    <row r="393" spans="1:9" x14ac:dyDescent="0.2">
      <c r="A393" t="s">
        <v>4352</v>
      </c>
      <c r="B393">
        <f>SUM(FishSumAllPRN!B393)</f>
        <v>0</v>
      </c>
      <c r="C393">
        <f>SUM(FishSumAllPRN!C393)</f>
        <v>0</v>
      </c>
      <c r="D393">
        <f>SUM(FishSumAllPRN!D393)</f>
        <v>0</v>
      </c>
      <c r="E393">
        <f>SUM(FishSumAllPRN!E393)</f>
        <v>0</v>
      </c>
      <c r="F393">
        <f>SUM(FishSumAllPRN!F393)</f>
        <v>0</v>
      </c>
      <c r="G393">
        <f>SUM(FishSumAllPRN!G393)</f>
        <v>0</v>
      </c>
      <c r="H393" s="54" t="s">
        <v>294</v>
      </c>
      <c r="I393" s="54"/>
    </row>
    <row r="394" spans="1:9" x14ac:dyDescent="0.2">
      <c r="A394" t="s">
        <v>4353</v>
      </c>
      <c r="B394">
        <f>SUM(FishSumAllPRN!B394)</f>
        <v>1</v>
      </c>
      <c r="C394">
        <f>SUM(FishSumAllPRN!C394)</f>
        <v>204</v>
      </c>
      <c r="D394">
        <f>SUM(FishSumAllPRN!D394)</f>
        <v>84</v>
      </c>
      <c r="E394">
        <f>SUM(FishSumAllPRN!E394)</f>
        <v>0</v>
      </c>
      <c r="F394">
        <f>SUM(FishSumAllPRN!F394)</f>
        <v>0</v>
      </c>
      <c r="G394">
        <f>SUM(FishSumAllPRN!G394)</f>
        <v>289</v>
      </c>
      <c r="H394" s="54" t="s">
        <v>294</v>
      </c>
      <c r="I394" s="54"/>
    </row>
    <row r="395" spans="1:9" x14ac:dyDescent="0.2">
      <c r="A395" t="s">
        <v>4354</v>
      </c>
      <c r="B395">
        <f>SUM(FishSumAllPRN!B395)</f>
        <v>7</v>
      </c>
      <c r="C395">
        <f>SUM(FishSumAllPRN!C395)</f>
        <v>112</v>
      </c>
      <c r="D395">
        <f>SUM(FishSumAllPRN!D395)</f>
        <v>38</v>
      </c>
      <c r="E395">
        <f>SUM(FishSumAllPRN!E395)</f>
        <v>0</v>
      </c>
      <c r="F395">
        <f>SUM(FishSumAllPRN!F395)</f>
        <v>0</v>
      </c>
      <c r="G395">
        <f>SUM(FishSumAllPRN!G395)</f>
        <v>157</v>
      </c>
      <c r="H395" s="54" t="s">
        <v>294</v>
      </c>
      <c r="I395" s="54"/>
    </row>
    <row r="396" spans="1:9" x14ac:dyDescent="0.2">
      <c r="A396" t="s">
        <v>4355</v>
      </c>
      <c r="B396">
        <f>SUM(FishSumAllPRN!B396)</f>
        <v>0</v>
      </c>
      <c r="C396">
        <f>SUM(FishSumAllPRN!C396)</f>
        <v>0</v>
      </c>
      <c r="D396">
        <f>SUM(FishSumAllPRN!D396)</f>
        <v>0</v>
      </c>
      <c r="E396">
        <f>SUM(FishSumAllPRN!E396)</f>
        <v>0</v>
      </c>
      <c r="F396">
        <f>SUM(FishSumAllPRN!F396)</f>
        <v>0</v>
      </c>
      <c r="G396">
        <f>SUM(FishSumAllPRN!G396)</f>
        <v>0</v>
      </c>
      <c r="H396" s="54" t="s">
        <v>294</v>
      </c>
      <c r="I396" s="54"/>
    </row>
    <row r="397" spans="1:9" x14ac:dyDescent="0.2">
      <c r="A397" t="s">
        <v>4356</v>
      </c>
      <c r="B397">
        <f>SUM(FishSumAllPRN!B397)</f>
        <v>0</v>
      </c>
      <c r="C397">
        <f>SUM(FishSumAllPRN!C397)</f>
        <v>0</v>
      </c>
      <c r="D397">
        <f>SUM(FishSumAllPRN!D397)</f>
        <v>0</v>
      </c>
      <c r="E397">
        <f>SUM(FishSumAllPRN!E397)</f>
        <v>0</v>
      </c>
      <c r="F397">
        <f>SUM(FishSumAllPRN!F397)</f>
        <v>0</v>
      </c>
      <c r="G397">
        <f>SUM(FishSumAllPRN!G397)</f>
        <v>0</v>
      </c>
      <c r="H397" s="54" t="s">
        <v>294</v>
      </c>
      <c r="I397" s="54"/>
    </row>
    <row r="398" spans="1:9" x14ac:dyDescent="0.2">
      <c r="A398" t="s">
        <v>4357</v>
      </c>
      <c r="B398">
        <f>SUM(FishSumAllPRN!B398)</f>
        <v>2</v>
      </c>
      <c r="C398">
        <f>SUM(FishSumAllPRN!C398)</f>
        <v>179</v>
      </c>
      <c r="D398">
        <f>SUM(FishSumAllPRN!D398)</f>
        <v>122</v>
      </c>
      <c r="E398">
        <f>SUM(FishSumAllPRN!E398)</f>
        <v>0</v>
      </c>
      <c r="F398">
        <f>SUM(FishSumAllPRN!F398)</f>
        <v>0</v>
      </c>
      <c r="G398">
        <f>SUM(FishSumAllPRN!G398)</f>
        <v>303</v>
      </c>
      <c r="H398" s="54" t="s">
        <v>294</v>
      </c>
      <c r="I398" s="54"/>
    </row>
    <row r="399" spans="1:9" x14ac:dyDescent="0.2">
      <c r="A399" t="s">
        <v>4358</v>
      </c>
      <c r="B399">
        <f>SUM(FishSumAllPRN!B399)</f>
        <v>0</v>
      </c>
      <c r="C399">
        <f>SUM(FishSumAllPRN!C399)</f>
        <v>0</v>
      </c>
      <c r="D399">
        <f>SUM(FishSumAllPRN!D399)</f>
        <v>0</v>
      </c>
      <c r="E399">
        <f>SUM(FishSumAllPRN!E399)</f>
        <v>0</v>
      </c>
      <c r="F399">
        <f>SUM(FishSumAllPRN!F399)</f>
        <v>0</v>
      </c>
      <c r="G399">
        <f>SUM(FishSumAllPRN!G399)</f>
        <v>0</v>
      </c>
      <c r="H399" s="54" t="s">
        <v>294</v>
      </c>
      <c r="I399" s="54"/>
    </row>
    <row r="400" spans="1:9" x14ac:dyDescent="0.2">
      <c r="A400" t="s">
        <v>4359</v>
      </c>
      <c r="B400">
        <f>SUM(FishSumAllPRN!B400)</f>
        <v>0</v>
      </c>
      <c r="C400">
        <f>SUM(FishSumAllPRN!C400)</f>
        <v>0</v>
      </c>
      <c r="D400">
        <f>SUM(FishSumAllPRN!D400)</f>
        <v>0</v>
      </c>
      <c r="E400">
        <f>SUM(FishSumAllPRN!E400)</f>
        <v>0</v>
      </c>
      <c r="F400">
        <f>SUM(FishSumAllPRN!F400)</f>
        <v>0</v>
      </c>
      <c r="G400">
        <f>SUM(FishSumAllPRN!G400)</f>
        <v>0</v>
      </c>
      <c r="H400" s="54" t="s">
        <v>294</v>
      </c>
      <c r="I400" s="54"/>
    </row>
    <row r="401" spans="1:9" x14ac:dyDescent="0.2">
      <c r="A401" t="s">
        <v>4360</v>
      </c>
      <c r="B401">
        <f>SUM(FishSumAllPRN!B401)</f>
        <v>0</v>
      </c>
      <c r="C401">
        <f>SUM(FishSumAllPRN!C401)</f>
        <v>0</v>
      </c>
      <c r="D401">
        <f>SUM(FishSumAllPRN!D401)</f>
        <v>5</v>
      </c>
      <c r="E401">
        <f>SUM(FishSumAllPRN!E401)</f>
        <v>2</v>
      </c>
      <c r="F401">
        <f>SUM(FishSumAllPRN!F401)</f>
        <v>0</v>
      </c>
      <c r="G401">
        <f>SUM(FishSumAllPRN!G401)</f>
        <v>8</v>
      </c>
      <c r="H401" s="54" t="s">
        <v>294</v>
      </c>
      <c r="I401" s="54"/>
    </row>
    <row r="402" spans="1:9" x14ac:dyDescent="0.2">
      <c r="A402" t="s">
        <v>4361</v>
      </c>
      <c r="B402">
        <f>SUM(FishSumAllPRN!B402)</f>
        <v>0</v>
      </c>
      <c r="C402">
        <f>SUM(FishSumAllPRN!C402)</f>
        <v>0</v>
      </c>
      <c r="D402">
        <f>SUM(FishSumAllPRN!D402)</f>
        <v>0</v>
      </c>
      <c r="E402">
        <f>SUM(FishSumAllPRN!E402)</f>
        <v>0</v>
      </c>
      <c r="F402">
        <f>SUM(FishSumAllPRN!F402)</f>
        <v>0</v>
      </c>
      <c r="G402">
        <f>SUM(FishSumAllPRN!G402)</f>
        <v>0</v>
      </c>
      <c r="H402" s="54" t="s">
        <v>294</v>
      </c>
      <c r="I402" s="54"/>
    </row>
    <row r="403" spans="1:9" x14ac:dyDescent="0.2">
      <c r="A403" t="s">
        <v>4362</v>
      </c>
      <c r="B403">
        <f>SUM(FishSumAllPRN!B403)</f>
        <v>0</v>
      </c>
      <c r="C403">
        <f>SUM(FishSumAllPRN!C403)</f>
        <v>0</v>
      </c>
      <c r="D403">
        <f>SUM(FishSumAllPRN!D403)</f>
        <v>0</v>
      </c>
      <c r="E403">
        <f>SUM(FishSumAllPRN!E403)</f>
        <v>0</v>
      </c>
      <c r="F403">
        <f>SUM(FishSumAllPRN!F403)</f>
        <v>0</v>
      </c>
      <c r="G403">
        <f>SUM(FishSumAllPRN!G403)</f>
        <v>0</v>
      </c>
      <c r="H403" s="54" t="s">
        <v>294</v>
      </c>
      <c r="I403" s="54"/>
    </row>
    <row r="404" spans="1:9" x14ac:dyDescent="0.2">
      <c r="A404" t="s">
        <v>4363</v>
      </c>
      <c r="B404">
        <f>SUM(FishSumAllPRN!B404)</f>
        <v>0</v>
      </c>
      <c r="C404">
        <f>SUM(FishSumAllPRN!C404)</f>
        <v>0</v>
      </c>
      <c r="D404">
        <f>SUM(FishSumAllPRN!D404)</f>
        <v>0</v>
      </c>
      <c r="E404">
        <f>SUM(FishSumAllPRN!E404)</f>
        <v>0</v>
      </c>
      <c r="F404">
        <f>SUM(FishSumAllPRN!F404)</f>
        <v>0</v>
      </c>
      <c r="G404">
        <f>SUM(FishSumAllPRN!G404)</f>
        <v>0</v>
      </c>
      <c r="H404" s="54" t="s">
        <v>294</v>
      </c>
      <c r="I404" s="54"/>
    </row>
    <row r="405" spans="1:9" x14ac:dyDescent="0.2">
      <c r="A405" t="s">
        <v>4364</v>
      </c>
      <c r="B405">
        <f>SUM(FishSumAllPRN!B405)</f>
        <v>0</v>
      </c>
      <c r="C405">
        <f>SUM(FishSumAllPRN!C405)</f>
        <v>0</v>
      </c>
      <c r="D405">
        <f>SUM(FishSumAllPRN!D405)</f>
        <v>0</v>
      </c>
      <c r="E405">
        <f>SUM(FishSumAllPRN!E405)</f>
        <v>0</v>
      </c>
      <c r="F405">
        <f>SUM(FishSumAllPRN!F405)</f>
        <v>0</v>
      </c>
      <c r="G405">
        <f>SUM(FishSumAllPRN!G405)</f>
        <v>0</v>
      </c>
      <c r="H405" s="54" t="s">
        <v>294</v>
      </c>
      <c r="I405" s="54"/>
    </row>
    <row r="406" spans="1:9" x14ac:dyDescent="0.2">
      <c r="A406" s="365" t="s">
        <v>4365</v>
      </c>
      <c r="B406" s="365">
        <f>SUM(FishSumAllPRN!B406)</f>
        <v>10</v>
      </c>
      <c r="C406" s="365">
        <f>SUM(FishSumAllPRN!C406)</f>
        <v>403</v>
      </c>
      <c r="D406" s="365">
        <f>SUM(FishSumAllPRN!D406)</f>
        <v>326</v>
      </c>
      <c r="E406" s="365">
        <f>SUM(FishSumAllPRN!E406)</f>
        <v>0</v>
      </c>
      <c r="F406" s="365">
        <f>SUM(FishSumAllPRN!F406)</f>
        <v>0</v>
      </c>
      <c r="G406" s="365">
        <f>SUM(FishSumAllPRN!G406)</f>
        <v>739</v>
      </c>
      <c r="H406" s="54"/>
      <c r="I406" s="54"/>
    </row>
    <row r="407" spans="1:9" x14ac:dyDescent="0.2">
      <c r="A407" t="s">
        <v>4366</v>
      </c>
      <c r="B407">
        <f>SUM(FishSumAllPRN!B407)</f>
        <v>103</v>
      </c>
      <c r="C407">
        <f>SUM(FishSumAllPRN!C407)</f>
        <v>1586</v>
      </c>
      <c r="D407">
        <f>SUM(FishSumAllPRN!D407)</f>
        <v>815</v>
      </c>
      <c r="E407">
        <f>SUM(FishSumAllPRN!E407)</f>
        <v>88</v>
      </c>
      <c r="F407">
        <f>SUM(FishSumAllPRN!F407)</f>
        <v>0</v>
      </c>
      <c r="G407">
        <f>SUM(FishSumAllPRN!G407)</f>
        <v>2591</v>
      </c>
      <c r="H407" s="54" t="s">
        <v>294</v>
      </c>
      <c r="I407" s="54"/>
    </row>
    <row r="408" spans="1:9" x14ac:dyDescent="0.2">
      <c r="A408" t="s">
        <v>4367</v>
      </c>
      <c r="B408">
        <f>SUM(FishSumAllPRN!B408)</f>
        <v>4</v>
      </c>
      <c r="C408">
        <f>SUM(FishSumAllPRN!C408)</f>
        <v>68</v>
      </c>
      <c r="D408">
        <f>SUM(FishSumAllPRN!D408)</f>
        <v>183</v>
      </c>
      <c r="E408">
        <f>SUM(FishSumAllPRN!E408)</f>
        <v>15</v>
      </c>
      <c r="F408">
        <f>SUM(FishSumAllPRN!F408)</f>
        <v>0</v>
      </c>
      <c r="G408">
        <f>SUM(FishSumAllPRN!G408)</f>
        <v>270</v>
      </c>
      <c r="H408" s="54" t="s">
        <v>294</v>
      </c>
      <c r="I408" s="54"/>
    </row>
    <row r="409" spans="1:9" x14ac:dyDescent="0.2">
      <c r="A409" t="s">
        <v>4368</v>
      </c>
      <c r="B409">
        <f>SUM(FishSumAllPRN!B409)</f>
        <v>68</v>
      </c>
      <c r="C409">
        <f>SUM(FishSumAllPRN!C409)</f>
        <v>233</v>
      </c>
      <c r="D409">
        <f>SUM(FishSumAllPRN!D409)</f>
        <v>423</v>
      </c>
      <c r="E409">
        <f>SUM(FishSumAllPRN!E409)</f>
        <v>802</v>
      </c>
      <c r="F409">
        <f>SUM(FishSumAllPRN!F409)</f>
        <v>162</v>
      </c>
      <c r="G409">
        <f>SUM(FishSumAllPRN!G409)</f>
        <v>1687</v>
      </c>
      <c r="H409" s="54" t="s">
        <v>294</v>
      </c>
      <c r="I409" s="54"/>
    </row>
    <row r="410" spans="1:9" x14ac:dyDescent="0.2">
      <c r="A410" t="s">
        <v>4369</v>
      </c>
      <c r="B410">
        <f>SUM(FishSumAllPRN!B410)</f>
        <v>44</v>
      </c>
      <c r="C410">
        <f>SUM(FishSumAllPRN!C410)</f>
        <v>422</v>
      </c>
      <c r="D410">
        <f>SUM(FishSumAllPRN!D410)</f>
        <v>1169</v>
      </c>
      <c r="E410">
        <f>SUM(FishSumAllPRN!E410)</f>
        <v>288</v>
      </c>
      <c r="F410">
        <f>SUM(FishSumAllPRN!F410)</f>
        <v>0</v>
      </c>
      <c r="G410">
        <f>SUM(FishSumAllPRN!G410)</f>
        <v>1924</v>
      </c>
      <c r="H410" s="54" t="s">
        <v>294</v>
      </c>
      <c r="I410" s="54"/>
    </row>
    <row r="411" spans="1:9" x14ac:dyDescent="0.2">
      <c r="A411" t="s">
        <v>4370</v>
      </c>
      <c r="B411">
        <f>SUM(FishSumAllPRN!B411)</f>
        <v>354</v>
      </c>
      <c r="C411">
        <f>SUM(FishSumAllPRN!C411)</f>
        <v>341</v>
      </c>
      <c r="D411">
        <f>SUM(FishSumAllPRN!D411)</f>
        <v>320</v>
      </c>
      <c r="E411">
        <f>SUM(FishSumAllPRN!E411)</f>
        <v>46</v>
      </c>
      <c r="F411">
        <f>SUM(FishSumAllPRN!F411)</f>
        <v>0</v>
      </c>
      <c r="G411">
        <f>SUM(FishSumAllPRN!G411)</f>
        <v>1061</v>
      </c>
      <c r="H411" s="54" t="s">
        <v>294</v>
      </c>
      <c r="I411" s="54"/>
    </row>
    <row r="412" spans="1:9" x14ac:dyDescent="0.2">
      <c r="A412" t="s">
        <v>4371</v>
      </c>
      <c r="B412">
        <f>SUM(FishSumAllPRN!B412)</f>
        <v>67</v>
      </c>
      <c r="C412">
        <f>SUM(FishSumAllPRN!C412)</f>
        <v>82</v>
      </c>
      <c r="D412">
        <f>SUM(FishSumAllPRN!D412)</f>
        <v>167</v>
      </c>
      <c r="E412">
        <f>SUM(FishSumAllPRN!E412)</f>
        <v>72</v>
      </c>
      <c r="F412">
        <f>SUM(FishSumAllPRN!F412)</f>
        <v>0</v>
      </c>
      <c r="G412">
        <f>SUM(FishSumAllPRN!G412)</f>
        <v>387</v>
      </c>
      <c r="H412" s="54" t="s">
        <v>294</v>
      </c>
      <c r="I412" s="54"/>
    </row>
    <row r="413" spans="1:9" x14ac:dyDescent="0.2">
      <c r="A413" t="s">
        <v>4372</v>
      </c>
      <c r="B413">
        <f>SUM(FishSumAllPRN!B413)</f>
        <v>0</v>
      </c>
      <c r="C413">
        <f>SUM(FishSumAllPRN!C413)</f>
        <v>0</v>
      </c>
      <c r="D413">
        <f>SUM(FishSumAllPRN!D413)</f>
        <v>0</v>
      </c>
      <c r="E413">
        <f>SUM(FishSumAllPRN!E413)</f>
        <v>0</v>
      </c>
      <c r="F413">
        <f>SUM(FishSumAllPRN!F413)</f>
        <v>0</v>
      </c>
      <c r="G413">
        <f>SUM(FishSumAllPRN!G413)</f>
        <v>0</v>
      </c>
      <c r="H413" s="54" t="s">
        <v>294</v>
      </c>
      <c r="I413" s="54"/>
    </row>
    <row r="414" spans="1:9" x14ac:dyDescent="0.2">
      <c r="A414" t="s">
        <v>4373</v>
      </c>
      <c r="B414">
        <f>SUM(FishSumAllPRN!B414)</f>
        <v>153</v>
      </c>
      <c r="C414">
        <f>SUM(FishSumAllPRN!C414)</f>
        <v>5474</v>
      </c>
      <c r="D414">
        <f>SUM(FishSumAllPRN!D414)</f>
        <v>4622</v>
      </c>
      <c r="E414">
        <f>SUM(FishSumAllPRN!E414)</f>
        <v>492</v>
      </c>
      <c r="F414">
        <f>SUM(FishSumAllPRN!F414)</f>
        <v>0</v>
      </c>
      <c r="G414">
        <f>SUM(FishSumAllPRN!G414)</f>
        <v>10740</v>
      </c>
      <c r="H414" s="54" t="s">
        <v>294</v>
      </c>
      <c r="I414" s="54"/>
    </row>
    <row r="415" spans="1:9" x14ac:dyDescent="0.2">
      <c r="A415" t="s">
        <v>4374</v>
      </c>
      <c r="B415">
        <f>SUM(FishSumAllPRN!B415)</f>
        <v>63</v>
      </c>
      <c r="C415">
        <f>SUM(FishSumAllPRN!C415)</f>
        <v>1085</v>
      </c>
      <c r="D415">
        <f>SUM(FishSumAllPRN!D415)</f>
        <v>2218</v>
      </c>
      <c r="E415">
        <f>SUM(FishSumAllPRN!E415)</f>
        <v>2103</v>
      </c>
      <c r="F415">
        <f>SUM(FishSumAllPRN!F415)</f>
        <v>0</v>
      </c>
      <c r="G415">
        <f>SUM(FishSumAllPRN!G415)</f>
        <v>5469</v>
      </c>
      <c r="H415" s="54" t="s">
        <v>294</v>
      </c>
      <c r="I415" s="54"/>
    </row>
    <row r="416" spans="1:9" x14ac:dyDescent="0.2">
      <c r="A416" t="s">
        <v>4375</v>
      </c>
      <c r="B416">
        <f>SUM(FishSumAllPRN!B416)</f>
        <v>466</v>
      </c>
      <c r="C416">
        <f>SUM(FishSumAllPRN!C416)</f>
        <v>13269</v>
      </c>
      <c r="D416">
        <f>SUM(FishSumAllPRN!D416)</f>
        <v>18040</v>
      </c>
      <c r="E416">
        <f>SUM(FishSumAllPRN!E416)</f>
        <v>7049</v>
      </c>
      <c r="F416">
        <f>SUM(FishSumAllPRN!F416)</f>
        <v>0</v>
      </c>
      <c r="G416">
        <f>SUM(FishSumAllPRN!G416)</f>
        <v>38824</v>
      </c>
      <c r="H416" s="54" t="s">
        <v>294</v>
      </c>
      <c r="I416" s="54"/>
    </row>
    <row r="417" spans="1:45" x14ac:dyDescent="0.2">
      <c r="A417" t="s">
        <v>4376</v>
      </c>
      <c r="B417">
        <f>SUM(FishSumAllPRN!B417)</f>
        <v>24</v>
      </c>
      <c r="C417">
        <f>SUM(FishSumAllPRN!C417)</f>
        <v>2120</v>
      </c>
      <c r="D417">
        <f>SUM(FishSumAllPRN!D417)</f>
        <v>2499</v>
      </c>
      <c r="E417">
        <f>SUM(FishSumAllPRN!E417)</f>
        <v>585</v>
      </c>
      <c r="F417">
        <f>SUM(FishSumAllPRN!F417)</f>
        <v>0</v>
      </c>
      <c r="G417">
        <f>SUM(FishSumAllPRN!G417)</f>
        <v>5229</v>
      </c>
      <c r="H417" s="54" t="s">
        <v>294</v>
      </c>
      <c r="I417" s="54"/>
    </row>
    <row r="418" spans="1:45" x14ac:dyDescent="0.2">
      <c r="A418" t="s">
        <v>4377</v>
      </c>
      <c r="B418">
        <f>SUM(FishSumAllPRN!B418)</f>
        <v>51</v>
      </c>
      <c r="C418">
        <f>SUM(FishSumAllPRN!C418)</f>
        <v>1595</v>
      </c>
      <c r="D418">
        <f>SUM(FishSumAllPRN!D418)</f>
        <v>6316</v>
      </c>
      <c r="E418">
        <f>SUM(FishSumAllPRN!E418)</f>
        <v>7538</v>
      </c>
      <c r="F418">
        <f>SUM(FishSumAllPRN!F418)</f>
        <v>0</v>
      </c>
      <c r="G418">
        <f>SUM(FishSumAllPRN!G418)</f>
        <v>15500</v>
      </c>
      <c r="H418" s="54" t="s">
        <v>294</v>
      </c>
      <c r="I418" s="54"/>
    </row>
    <row r="420" spans="1:45" x14ac:dyDescent="0.2">
      <c r="K420" s="37" t="s">
        <v>5613</v>
      </c>
    </row>
    <row r="421" spans="1:45" x14ac:dyDescent="0.2">
      <c r="W421">
        <f>G420</f>
        <v>0</v>
      </c>
      <c r="X421">
        <f>H420</f>
        <v>0</v>
      </c>
      <c r="Y421">
        <f>J420</f>
        <v>0</v>
      </c>
    </row>
    <row r="422" spans="1:45" x14ac:dyDescent="0.2">
      <c r="A422" t="s">
        <v>4248</v>
      </c>
    </row>
    <row r="423" spans="1:45" x14ac:dyDescent="0.2">
      <c r="A423" t="str">
        <f>FishSumAllPRN!A420</f>
        <v>Species: COHO</v>
      </c>
      <c r="B423">
        <f>FishSumAllPRN!B420</f>
        <v>0</v>
      </c>
      <c r="C423" t="str">
        <f>FishSumAllPRN!C420</f>
        <v>Ver:2.22 Feb 25</v>
      </c>
      <c r="D423">
        <f>FishSumAllPRN!D420</f>
        <v>0</v>
      </c>
      <c r="E423">
        <f>FishSumAllPRN!E420</f>
        <v>0</v>
      </c>
      <c r="G423" t="str">
        <f>FishSumAllPRN!G420</f>
        <v>RunDate:4/12/2022 2:12:39 PM</v>
      </c>
      <c r="K423" t="str">
        <f>A423</f>
        <v>Species: COHO</v>
      </c>
      <c r="R423" t="str">
        <f>C423</f>
        <v>Ver:2.22 Feb 25</v>
      </c>
      <c r="S423">
        <f t="shared" ref="S423:V425" si="165">D423</f>
        <v>0</v>
      </c>
      <c r="T423">
        <f t="shared" si="165"/>
        <v>0</v>
      </c>
      <c r="V423" t="str">
        <f t="shared" si="165"/>
        <v>RunDate:4/12/2022 2:12:39 PM</v>
      </c>
    </row>
    <row r="424" spans="1:45" x14ac:dyDescent="0.2">
      <c r="A424" t="str">
        <f>FishSumAllPRN!A421</f>
        <v>Report: Fishery Summary</v>
      </c>
      <c r="B424">
        <f>FishSumAllPRN!B421</f>
        <v>0</v>
      </c>
      <c r="D424">
        <f>FishSumAllPRN!D421</f>
        <v>0</v>
      </c>
      <c r="E424">
        <f>FishSumAllPRN!E421</f>
        <v>0</v>
      </c>
      <c r="F424">
        <f>FishSumAllPRN!F421</f>
        <v>0</v>
      </c>
      <c r="G424" t="str">
        <f>FishSumAllPRN!G421</f>
        <v>RepDate:4/12/2022 2:12:40 PM</v>
      </c>
      <c r="K424" t="str">
        <f>A424</f>
        <v>Report: Fishery Summary</v>
      </c>
      <c r="S424">
        <f t="shared" si="165"/>
        <v>0</v>
      </c>
      <c r="T424">
        <f t="shared" si="165"/>
        <v>0</v>
      </c>
      <c r="U424">
        <f t="shared" si="165"/>
        <v>0</v>
      </c>
      <c r="V424" t="str">
        <f t="shared" si="165"/>
        <v>RepDate:4/12/2022 2:12:40 PM</v>
      </c>
    </row>
    <row r="425" spans="1:45" ht="15.75" x14ac:dyDescent="0.25">
      <c r="A425" t="str">
        <f>FishSumAllPRN!A422</f>
        <v xml:space="preserve">Title:PFMC April 12 Final, TT 52K NT 200K </v>
      </c>
      <c r="B425">
        <f>FishSumAllPRN!B422</f>
        <v>0</v>
      </c>
      <c r="C425">
        <f>FishSumAllPRN!C422</f>
        <v>0</v>
      </c>
      <c r="D425">
        <f>FishSumAllPRN!D422</f>
        <v>0</v>
      </c>
      <c r="K425" t="str">
        <f>A425</f>
        <v xml:space="preserve">Title:PFMC April 12 Final, TT 52K NT 200K </v>
      </c>
      <c r="R425">
        <f>C425</f>
        <v>0</v>
      </c>
      <c r="S425">
        <f t="shared" si="165"/>
        <v>0</v>
      </c>
      <c r="AC425" s="35" t="s">
        <v>5771</v>
      </c>
    </row>
    <row r="426" spans="1:45" ht="15.75" x14ac:dyDescent="0.25">
      <c r="AC426" s="35" t="s">
        <v>5766</v>
      </c>
    </row>
    <row r="427" spans="1:45" ht="13.5" thickBot="1" x14ac:dyDescent="0.25">
      <c r="H427" t="s">
        <v>2319</v>
      </c>
      <c r="K427" t="s">
        <v>5621</v>
      </c>
      <c r="L427" t="s">
        <v>5622</v>
      </c>
      <c r="M427" t="s">
        <v>5622</v>
      </c>
      <c r="N427" t="s">
        <v>5622</v>
      </c>
      <c r="O427" t="s">
        <v>5622</v>
      </c>
      <c r="P427" t="s">
        <v>5622</v>
      </c>
      <c r="Q427" t="s">
        <v>5622</v>
      </c>
      <c r="R427" t="s">
        <v>5622</v>
      </c>
      <c r="S427" t="s">
        <v>5622</v>
      </c>
      <c r="T427" t="s">
        <v>5622</v>
      </c>
      <c r="U427" t="s">
        <v>5622</v>
      </c>
      <c r="V427" t="s">
        <v>5622</v>
      </c>
      <c r="W427" t="s">
        <v>5622</v>
      </c>
      <c r="X427" t="s">
        <v>5622</v>
      </c>
      <c r="Y427" t="s">
        <v>5622</v>
      </c>
      <c r="Z427" t="s">
        <v>5623</v>
      </c>
      <c r="AC427" s="37"/>
    </row>
    <row r="428" spans="1:45" x14ac:dyDescent="0.2">
      <c r="A428" t="str">
        <f>FishSumAllPRN!A425</f>
        <v>Non-Retention Mortality by Fishery</v>
      </c>
      <c r="B428" t="s">
        <v>4262</v>
      </c>
      <c r="C428" t="s">
        <v>4263</v>
      </c>
      <c r="D428" t="s">
        <v>4264</v>
      </c>
      <c r="E428" t="s">
        <v>2308</v>
      </c>
      <c r="F428" t="s">
        <v>615</v>
      </c>
      <c r="G428" t="s">
        <v>236</v>
      </c>
      <c r="H428" t="s">
        <v>5632</v>
      </c>
      <c r="K428" t="s">
        <v>126</v>
      </c>
      <c r="L428" s="51">
        <v>37227</v>
      </c>
      <c r="M428" t="s">
        <v>5624</v>
      </c>
      <c r="N428" t="s">
        <v>5625</v>
      </c>
      <c r="O428" t="s">
        <v>5626</v>
      </c>
      <c r="P428" t="s">
        <v>5627</v>
      </c>
      <c r="Q428" t="s">
        <v>5628</v>
      </c>
      <c r="R428" t="s">
        <v>5629</v>
      </c>
      <c r="S428" t="s">
        <v>5630</v>
      </c>
      <c r="T428" t="s">
        <v>890</v>
      </c>
      <c r="U428" t="s">
        <v>614</v>
      </c>
      <c r="V428" t="s">
        <v>615</v>
      </c>
      <c r="W428" t="s">
        <v>892</v>
      </c>
      <c r="X428" t="s">
        <v>893</v>
      </c>
      <c r="Y428" t="s">
        <v>5631</v>
      </c>
      <c r="Z428" t="s">
        <v>236</v>
      </c>
      <c r="AC428" s="48" t="s">
        <v>602</v>
      </c>
      <c r="AD428" s="49"/>
      <c r="AE428" s="49"/>
      <c r="AF428" s="49"/>
      <c r="AG428" s="49"/>
      <c r="AH428" s="49"/>
      <c r="AI428" s="49"/>
      <c r="AJ428" s="77">
        <f>'1'!E438</f>
        <v>0</v>
      </c>
      <c r="AK428" s="52"/>
      <c r="AL428" s="52"/>
      <c r="AM428" s="52"/>
      <c r="AN428" s="52"/>
      <c r="AO428" s="52"/>
      <c r="AP428" s="52"/>
      <c r="AQ428" s="52"/>
      <c r="AR428" s="52"/>
      <c r="AS428" s="53"/>
    </row>
    <row r="429" spans="1:45" ht="13.5" thickBot="1" x14ac:dyDescent="0.25">
      <c r="A429" t="s">
        <v>2318</v>
      </c>
      <c r="B429" t="s">
        <v>2319</v>
      </c>
      <c r="C429" t="s">
        <v>2319</v>
      </c>
      <c r="D429" t="s">
        <v>2319</v>
      </c>
      <c r="E429" t="s">
        <v>2319</v>
      </c>
      <c r="F429" t="s">
        <v>2319</v>
      </c>
      <c r="G429" t="s">
        <v>2319</v>
      </c>
      <c r="H429" t="s">
        <v>2319</v>
      </c>
      <c r="K429" t="s">
        <v>5621</v>
      </c>
      <c r="L429" t="s">
        <v>5622</v>
      </c>
      <c r="M429" t="s">
        <v>5622</v>
      </c>
      <c r="N429" t="s">
        <v>5622</v>
      </c>
      <c r="O429" t="s">
        <v>5622</v>
      </c>
      <c r="P429" t="s">
        <v>5622</v>
      </c>
      <c r="Q429" t="s">
        <v>5622</v>
      </c>
      <c r="R429" t="s">
        <v>5622</v>
      </c>
      <c r="S429" t="s">
        <v>5622</v>
      </c>
      <c r="T429" t="s">
        <v>5622</v>
      </c>
      <c r="U429" t="s">
        <v>5622</v>
      </c>
      <c r="V429" t="s">
        <v>5622</v>
      </c>
      <c r="W429" t="s">
        <v>5622</v>
      </c>
      <c r="X429" t="s">
        <v>5622</v>
      </c>
      <c r="Y429" t="s">
        <v>5622</v>
      </c>
      <c r="Z429" t="s">
        <v>5622</v>
      </c>
      <c r="AC429" s="74" t="s">
        <v>123</v>
      </c>
      <c r="AD429" s="56"/>
      <c r="AE429" s="56"/>
      <c r="AF429" s="56"/>
      <c r="AG429" s="56"/>
      <c r="AH429" s="56"/>
      <c r="AI429" s="56"/>
      <c r="AJ429" s="76">
        <f>'1'!B439</f>
        <v>0</v>
      </c>
      <c r="AK429" s="56"/>
      <c r="AL429" s="56"/>
      <c r="AM429" s="56"/>
      <c r="AN429" s="56"/>
      <c r="AO429" s="56"/>
      <c r="AP429" s="56"/>
      <c r="AQ429" s="56"/>
      <c r="AR429" s="56"/>
      <c r="AS429" s="75"/>
    </row>
    <row r="430" spans="1:45" ht="13.5" thickBot="1" x14ac:dyDescent="0.25">
      <c r="A430" t="s">
        <v>4265</v>
      </c>
      <c r="B430">
        <f>SUM(FishSumAllPRN!B430)</f>
        <v>0</v>
      </c>
      <c r="C430">
        <f>SUM(FishSumAllPRN!C430)</f>
        <v>0</v>
      </c>
      <c r="D430">
        <f>SUM(FishSumAllPRN!D430)</f>
        <v>0</v>
      </c>
      <c r="E430">
        <f>SUM(FishSumAllPRN!E430)</f>
        <v>0</v>
      </c>
      <c r="F430">
        <f>SUM(FishSumAllPRN!F430)</f>
        <v>0</v>
      </c>
      <c r="G430">
        <f>SUM(FishSumAllPRN!G430)</f>
        <v>0</v>
      </c>
      <c r="H430" s="54" t="s">
        <v>294</v>
      </c>
      <c r="I430" s="54"/>
      <c r="K430" t="s">
        <v>5637</v>
      </c>
      <c r="R430" s="38">
        <f>SUM(B623:B624)</f>
        <v>0</v>
      </c>
      <c r="S430" s="38">
        <f>SUM(C623:C624)</f>
        <v>0</v>
      </c>
      <c r="T430" s="38">
        <f>SUM(D623:D624)</f>
        <v>0</v>
      </c>
      <c r="U430" s="38">
        <f>SUM(E623:E624)</f>
        <v>0</v>
      </c>
      <c r="V430" s="38">
        <f>SUM(F623:F624)</f>
        <v>0</v>
      </c>
      <c r="Z430">
        <f t="shared" ref="Z430:Z493" si="166">SUM(R430:V430)</f>
        <v>0</v>
      </c>
      <c r="AC430" s="50" t="s">
        <v>126</v>
      </c>
      <c r="AD430" s="73">
        <v>37227</v>
      </c>
      <c r="AE430" s="37" t="s">
        <v>5624</v>
      </c>
      <c r="AF430" s="37" t="s">
        <v>5625</v>
      </c>
      <c r="AG430" s="37" t="s">
        <v>5626</v>
      </c>
      <c r="AH430" s="37" t="s">
        <v>5627</v>
      </c>
      <c r="AI430" s="37" t="s">
        <v>5628</v>
      </c>
      <c r="AJ430" s="2121" t="s">
        <v>544</v>
      </c>
      <c r="AK430" s="67" t="s">
        <v>5629</v>
      </c>
      <c r="AL430" s="67" t="s">
        <v>5630</v>
      </c>
      <c r="AM430" s="67" t="s">
        <v>890</v>
      </c>
      <c r="AN430" s="67" t="s">
        <v>891</v>
      </c>
      <c r="AO430" s="67" t="s">
        <v>615</v>
      </c>
      <c r="AP430" s="67" t="s">
        <v>892</v>
      </c>
      <c r="AQ430" s="67" t="s">
        <v>893</v>
      </c>
      <c r="AR430" s="67" t="s">
        <v>5631</v>
      </c>
      <c r="AS430" s="68" t="s">
        <v>236</v>
      </c>
    </row>
    <row r="431" spans="1:45" x14ac:dyDescent="0.2">
      <c r="A431" t="s">
        <v>4266</v>
      </c>
      <c r="B431">
        <f>SUM(FishSumAllPRN!B431)</f>
        <v>0</v>
      </c>
      <c r="C431">
        <f>SUM(FishSumAllPRN!C431)</f>
        <v>0</v>
      </c>
      <c r="D431">
        <f>SUM(FishSumAllPRN!D431)</f>
        <v>0</v>
      </c>
      <c r="E431">
        <f>SUM(FishSumAllPRN!E431)</f>
        <v>0</v>
      </c>
      <c r="F431">
        <f>SUM(FishSumAllPRN!F431)</f>
        <v>0</v>
      </c>
      <c r="G431">
        <f>SUM(FishSumAllPRN!G431)</f>
        <v>0</v>
      </c>
      <c r="H431" s="54" t="s">
        <v>294</v>
      </c>
      <c r="I431" s="54"/>
      <c r="K431" t="s">
        <v>5640</v>
      </c>
      <c r="R431" s="38">
        <f t="shared" ref="R431:T432" si="167">B471</f>
        <v>95</v>
      </c>
      <c r="S431" s="38">
        <f t="shared" si="167"/>
        <v>261</v>
      </c>
      <c r="T431" s="38">
        <f t="shared" si="167"/>
        <v>72</v>
      </c>
      <c r="U431" s="38">
        <f>E471</f>
        <v>87</v>
      </c>
      <c r="V431" s="38">
        <f>F471</f>
        <v>0</v>
      </c>
      <c r="Z431">
        <f t="shared" si="166"/>
        <v>515</v>
      </c>
      <c r="AC431" s="48" t="s">
        <v>5633</v>
      </c>
      <c r="AD431" s="49"/>
      <c r="AE431" s="49"/>
      <c r="AF431" s="49"/>
      <c r="AG431" s="49"/>
      <c r="AH431" s="49"/>
      <c r="AI431" s="49"/>
      <c r="AJ431" s="49" t="s">
        <v>5634</v>
      </c>
      <c r="AK431" s="52">
        <f t="shared" ref="AK431:AR431" si="168">SUM(R430)</f>
        <v>0</v>
      </c>
      <c r="AL431" s="52">
        <f t="shared" si="168"/>
        <v>0</v>
      </c>
      <c r="AM431" s="52">
        <f t="shared" si="168"/>
        <v>0</v>
      </c>
      <c r="AN431" s="52">
        <f t="shared" si="168"/>
        <v>0</v>
      </c>
      <c r="AO431" s="52">
        <f t="shared" si="168"/>
        <v>0</v>
      </c>
      <c r="AP431" s="52">
        <f t="shared" si="168"/>
        <v>0</v>
      </c>
      <c r="AQ431" s="52">
        <f t="shared" si="168"/>
        <v>0</v>
      </c>
      <c r="AR431" s="52">
        <f t="shared" si="168"/>
        <v>0</v>
      </c>
      <c r="AS431" s="53">
        <f>SUM(AK431:AO431)</f>
        <v>0</v>
      </c>
    </row>
    <row r="432" spans="1:45" x14ac:dyDescent="0.2">
      <c r="A432" t="s">
        <v>4267</v>
      </c>
      <c r="B432">
        <f>SUM(FishSumAllPRN!B432)</f>
        <v>610</v>
      </c>
      <c r="C432">
        <f>SUM(FishSumAllPRN!C432)</f>
        <v>96</v>
      </c>
      <c r="D432">
        <f>SUM(FishSumAllPRN!D432)</f>
        <v>46</v>
      </c>
      <c r="E432">
        <f>SUM(FishSumAllPRN!E432)</f>
        <v>1</v>
      </c>
      <c r="F432">
        <f>SUM(FishSumAllPRN!F432)</f>
        <v>0</v>
      </c>
      <c r="G432">
        <f>SUM(FishSumAllPRN!G432)</f>
        <v>754</v>
      </c>
      <c r="H432" s="54" t="s">
        <v>294</v>
      </c>
      <c r="I432" s="54"/>
      <c r="K432" t="s">
        <v>5643</v>
      </c>
      <c r="R432" s="38">
        <f t="shared" si="167"/>
        <v>589</v>
      </c>
      <c r="S432" s="38">
        <f t="shared" si="167"/>
        <v>0</v>
      </c>
      <c r="T432" s="38">
        <f t="shared" si="167"/>
        <v>0</v>
      </c>
      <c r="U432" s="38">
        <f>E472</f>
        <v>0</v>
      </c>
      <c r="V432" s="38">
        <f>F472</f>
        <v>2</v>
      </c>
      <c r="Z432">
        <f t="shared" si="166"/>
        <v>591</v>
      </c>
      <c r="AC432" s="78" t="s">
        <v>5636</v>
      </c>
      <c r="AD432" s="1594"/>
      <c r="AE432" s="1594"/>
      <c r="AF432" s="1594"/>
      <c r="AG432" s="1594"/>
      <c r="AH432" s="1594"/>
      <c r="AI432" s="1594"/>
      <c r="AJ432" s="1594" t="s">
        <v>5634</v>
      </c>
      <c r="AK432" s="1723">
        <f>SUM(R466:R475,R492:R495,B622)</f>
        <v>493</v>
      </c>
      <c r="AL432" s="1723">
        <f>SUM(S466:S475,S492:S495,C622)</f>
        <v>1587</v>
      </c>
      <c r="AM432" s="1723">
        <f>SUM(T466:T475,T492:T495,D622)</f>
        <v>6467</v>
      </c>
      <c r="AN432" s="1723">
        <f>SUM(U466:U475,U492:U495,E622)</f>
        <v>1563</v>
      </c>
      <c r="AO432" s="1723">
        <f>SUM(V466:V475,V492:V495,F622)</f>
        <v>189</v>
      </c>
      <c r="AP432" s="1723">
        <f>SUM(W466:W475,W492:W495)</f>
        <v>0</v>
      </c>
      <c r="AQ432" s="1723">
        <f>SUM(X466:X475,X492:X495)</f>
        <v>0</v>
      </c>
      <c r="AR432" s="1723">
        <f>SUM(Y466:Y475,Y492:Y495)</f>
        <v>0</v>
      </c>
      <c r="AS432" s="1905">
        <f>SUM(AK432:AO432)</f>
        <v>10299</v>
      </c>
    </row>
    <row r="433" spans="1:45" x14ac:dyDescent="0.2">
      <c r="A433" t="s">
        <v>4268</v>
      </c>
      <c r="B433">
        <f>SUM(FishSumAllPRN!B433)</f>
        <v>0</v>
      </c>
      <c r="C433">
        <f>SUM(FishSumAllPRN!C433)</f>
        <v>249</v>
      </c>
      <c r="D433">
        <f>SUM(FishSumAllPRN!D433)</f>
        <v>54</v>
      </c>
      <c r="E433">
        <f>SUM(FishSumAllPRN!E433)</f>
        <v>0</v>
      </c>
      <c r="F433">
        <f>SUM(FishSumAllPRN!F433)</f>
        <v>0</v>
      </c>
      <c r="G433">
        <f>SUM(FishSumAllPRN!G433)</f>
        <v>303</v>
      </c>
      <c r="H433" s="54" t="s">
        <v>294</v>
      </c>
      <c r="I433" s="54"/>
      <c r="K433" t="s">
        <v>5647</v>
      </c>
      <c r="R433" s="38">
        <f t="shared" ref="R433:T434" si="169">B467</f>
        <v>172</v>
      </c>
      <c r="S433" s="38">
        <f t="shared" si="169"/>
        <v>322</v>
      </c>
      <c r="T433" s="38">
        <f t="shared" si="169"/>
        <v>973</v>
      </c>
      <c r="U433" s="38">
        <f>E467</f>
        <v>320</v>
      </c>
      <c r="V433" s="38">
        <f>F467</f>
        <v>0</v>
      </c>
      <c r="Z433">
        <f t="shared" si="166"/>
        <v>1787</v>
      </c>
      <c r="AC433" s="50"/>
      <c r="AD433" s="37"/>
      <c r="AE433" s="37"/>
      <c r="AF433" s="37"/>
      <c r="AG433" s="37"/>
      <c r="AH433" s="37"/>
      <c r="AI433" s="37"/>
      <c r="AJ433" s="37"/>
      <c r="AS433" s="58"/>
    </row>
    <row r="434" spans="1:45" x14ac:dyDescent="0.2">
      <c r="A434" t="s">
        <v>4269</v>
      </c>
      <c r="B434">
        <f>SUM(FishSumAllPRN!B434)</f>
        <v>686</v>
      </c>
      <c r="C434">
        <f>SUM(FishSumAllPRN!C434)</f>
        <v>0</v>
      </c>
      <c r="D434">
        <f>SUM(FishSumAllPRN!D434)</f>
        <v>124</v>
      </c>
      <c r="E434">
        <f>SUM(FishSumAllPRN!E434)</f>
        <v>2</v>
      </c>
      <c r="F434">
        <f>SUM(FishSumAllPRN!F434)</f>
        <v>0</v>
      </c>
      <c r="G434">
        <f>SUM(FishSumAllPRN!G434)</f>
        <v>812</v>
      </c>
      <c r="H434" s="54" t="s">
        <v>294</v>
      </c>
      <c r="I434" s="54"/>
      <c r="K434" t="s">
        <v>5649</v>
      </c>
      <c r="R434" s="38">
        <f t="shared" si="169"/>
        <v>171</v>
      </c>
      <c r="S434" s="38">
        <f t="shared" si="169"/>
        <v>0</v>
      </c>
      <c r="T434" s="38">
        <f t="shared" si="169"/>
        <v>0</v>
      </c>
      <c r="U434" s="38">
        <f>E468</f>
        <v>0</v>
      </c>
      <c r="V434" s="38">
        <f>F468</f>
        <v>0</v>
      </c>
      <c r="Z434">
        <f t="shared" si="166"/>
        <v>171</v>
      </c>
      <c r="AC434" s="50" t="s">
        <v>5641</v>
      </c>
      <c r="AD434" s="37"/>
      <c r="AE434" s="37"/>
      <c r="AF434" s="37"/>
      <c r="AG434" s="37"/>
      <c r="AH434" s="37"/>
      <c r="AI434" s="37"/>
      <c r="AJ434" s="37"/>
      <c r="AS434" s="58"/>
    </row>
    <row r="435" spans="1:45" x14ac:dyDescent="0.2">
      <c r="A435" t="s">
        <v>4270</v>
      </c>
      <c r="B435">
        <f>SUM(FishSumAllPRN!B435)</f>
        <v>0</v>
      </c>
      <c r="C435">
        <f>SUM(FishSumAllPRN!C435)</f>
        <v>0</v>
      </c>
      <c r="D435">
        <f>SUM(FishSumAllPRN!D435)</f>
        <v>0</v>
      </c>
      <c r="E435">
        <f>SUM(FishSumAllPRN!E435)</f>
        <v>0</v>
      </c>
      <c r="F435">
        <f>SUM(FishSumAllPRN!F435)</f>
        <v>0</v>
      </c>
      <c r="G435">
        <f>SUM(FishSumAllPRN!G435)</f>
        <v>0</v>
      </c>
      <c r="H435" s="54" t="s">
        <v>294</v>
      </c>
      <c r="I435" s="54"/>
      <c r="K435" t="s">
        <v>5651</v>
      </c>
      <c r="R435" s="38">
        <f t="shared" ref="R435:T436" si="170">SUM(B464)</f>
        <v>898</v>
      </c>
      <c r="S435" s="38">
        <f t="shared" si="170"/>
        <v>475</v>
      </c>
      <c r="T435" s="38">
        <f t="shared" si="170"/>
        <v>853</v>
      </c>
      <c r="U435" s="38">
        <f>SUM(E464)</f>
        <v>1128</v>
      </c>
      <c r="V435" s="38">
        <f>SUM(F464)</f>
        <v>0</v>
      </c>
      <c r="Z435">
        <f t="shared" si="166"/>
        <v>3354</v>
      </c>
      <c r="AC435" s="50" t="s">
        <v>5644</v>
      </c>
      <c r="AD435" s="37"/>
      <c r="AE435" s="37"/>
      <c r="AF435" s="37"/>
      <c r="AG435" s="37"/>
      <c r="AH435" s="37"/>
      <c r="AI435" s="37"/>
      <c r="AJ435" s="1594" t="s">
        <v>5645</v>
      </c>
      <c r="AK435" s="1723">
        <f t="shared" ref="AK435:AS435" si="171">SUM(R432,R434,R436)</f>
        <v>778</v>
      </c>
      <c r="AL435" s="1723">
        <f t="shared" si="171"/>
        <v>0</v>
      </c>
      <c r="AM435" s="1723">
        <f t="shared" si="171"/>
        <v>0</v>
      </c>
      <c r="AN435" s="1723">
        <f t="shared" si="171"/>
        <v>0</v>
      </c>
      <c r="AO435" s="1723">
        <f t="shared" si="171"/>
        <v>2</v>
      </c>
      <c r="AP435" s="1723">
        <f t="shared" si="171"/>
        <v>0</v>
      </c>
      <c r="AQ435" s="1723">
        <f t="shared" si="171"/>
        <v>0</v>
      </c>
      <c r="AR435" s="1723">
        <f t="shared" si="171"/>
        <v>0</v>
      </c>
      <c r="AS435" s="1908">
        <f t="shared" si="171"/>
        <v>780</v>
      </c>
    </row>
    <row r="436" spans="1:45" x14ac:dyDescent="0.2">
      <c r="A436" t="s">
        <v>4271</v>
      </c>
      <c r="B436">
        <f>SUM(FishSumAllPRN!B436)</f>
        <v>176</v>
      </c>
      <c r="C436">
        <f>SUM(FishSumAllPRN!C436)</f>
        <v>140</v>
      </c>
      <c r="D436">
        <f>SUM(FishSumAllPRN!D436)</f>
        <v>19</v>
      </c>
      <c r="E436">
        <f>SUM(FishSumAllPRN!E436)</f>
        <v>12</v>
      </c>
      <c r="F436">
        <f>SUM(FishSumAllPRN!F436)</f>
        <v>0</v>
      </c>
      <c r="G436">
        <f>SUM(FishSumAllPRN!G436)</f>
        <v>347</v>
      </c>
      <c r="H436" s="54" t="s">
        <v>294</v>
      </c>
      <c r="I436" s="54"/>
      <c r="K436" t="s">
        <v>5653</v>
      </c>
      <c r="R436" s="38">
        <f t="shared" si="170"/>
        <v>18</v>
      </c>
      <c r="S436" s="38">
        <f t="shared" si="170"/>
        <v>0</v>
      </c>
      <c r="T436" s="38">
        <f t="shared" si="170"/>
        <v>0</v>
      </c>
      <c r="U436" s="38">
        <f>SUM(E465)</f>
        <v>0</v>
      </c>
      <c r="V436" s="38">
        <f>SUM(F465)</f>
        <v>0</v>
      </c>
      <c r="Z436">
        <f t="shared" si="166"/>
        <v>18</v>
      </c>
      <c r="AC436" s="50"/>
      <c r="AD436" s="37"/>
      <c r="AE436" s="37"/>
      <c r="AF436" s="37"/>
      <c r="AG436" s="37"/>
      <c r="AH436" s="37"/>
      <c r="AI436" s="37"/>
      <c r="AJ436" s="37" t="s">
        <v>5648</v>
      </c>
      <c r="AK436" s="38">
        <f t="shared" ref="AK436:AS436" si="172">SUM(R432)</f>
        <v>589</v>
      </c>
      <c r="AL436" s="38">
        <f t="shared" si="172"/>
        <v>0</v>
      </c>
      <c r="AM436" s="38">
        <f t="shared" si="172"/>
        <v>0</v>
      </c>
      <c r="AN436" s="38">
        <f t="shared" si="172"/>
        <v>0</v>
      </c>
      <c r="AO436" s="38">
        <f t="shared" si="172"/>
        <v>2</v>
      </c>
      <c r="AP436" s="38">
        <f t="shared" si="172"/>
        <v>0</v>
      </c>
      <c r="AQ436" s="38">
        <f t="shared" si="172"/>
        <v>0</v>
      </c>
      <c r="AR436" s="38">
        <f t="shared" si="172"/>
        <v>0</v>
      </c>
      <c r="AS436" s="59">
        <f t="shared" si="172"/>
        <v>591</v>
      </c>
    </row>
    <row r="437" spans="1:45" x14ac:dyDescent="0.2">
      <c r="A437" t="s">
        <v>4272</v>
      </c>
      <c r="B437">
        <f>SUM(FishSumAllPRN!B437)</f>
        <v>409</v>
      </c>
      <c r="C437">
        <f>SUM(FishSumAllPRN!C437)</f>
        <v>51</v>
      </c>
      <c r="D437">
        <f>SUM(FishSumAllPRN!D437)</f>
        <v>14</v>
      </c>
      <c r="E437">
        <f>SUM(FishSumAllPRN!E437)</f>
        <v>23</v>
      </c>
      <c r="F437">
        <f>SUM(FishSumAllPRN!F437)</f>
        <v>0</v>
      </c>
      <c r="G437">
        <f>SUM(FishSumAllPRN!G437)</f>
        <v>497</v>
      </c>
      <c r="H437" s="54" t="s">
        <v>294</v>
      </c>
      <c r="I437" s="54"/>
      <c r="K437" t="s">
        <v>5656</v>
      </c>
      <c r="R437" s="38">
        <f>SUM(B463)</f>
        <v>1578</v>
      </c>
      <c r="S437" s="38">
        <f>SUM(C463)</f>
        <v>494</v>
      </c>
      <c r="T437" s="38">
        <f>SUM(D463)</f>
        <v>523</v>
      </c>
      <c r="U437" s="38">
        <f>SUM(E463)</f>
        <v>1547</v>
      </c>
      <c r="V437" s="38">
        <f>SUM(F463)</f>
        <v>0</v>
      </c>
      <c r="Z437">
        <f t="shared" si="166"/>
        <v>4142</v>
      </c>
      <c r="AC437" s="50"/>
      <c r="AD437" s="37"/>
      <c r="AE437" s="37"/>
      <c r="AF437" s="37"/>
      <c r="AG437" s="37"/>
      <c r="AH437" s="37"/>
      <c r="AI437" s="37"/>
      <c r="AJ437" s="37" t="s">
        <v>5650</v>
      </c>
      <c r="AK437" s="38">
        <f t="shared" ref="AK437:AS437" si="173">SUM(R434)</f>
        <v>171</v>
      </c>
      <c r="AL437" s="38">
        <f t="shared" si="173"/>
        <v>0</v>
      </c>
      <c r="AM437" s="38">
        <f t="shared" si="173"/>
        <v>0</v>
      </c>
      <c r="AN437" s="38">
        <f t="shared" si="173"/>
        <v>0</v>
      </c>
      <c r="AO437" s="38">
        <f t="shared" si="173"/>
        <v>0</v>
      </c>
      <c r="AP437" s="38">
        <f t="shared" si="173"/>
        <v>0</v>
      </c>
      <c r="AQ437" s="38">
        <f t="shared" si="173"/>
        <v>0</v>
      </c>
      <c r="AR437" s="38">
        <f t="shared" si="173"/>
        <v>0</v>
      </c>
      <c r="AS437" s="59">
        <f t="shared" si="173"/>
        <v>171</v>
      </c>
    </row>
    <row r="438" spans="1:45" x14ac:dyDescent="0.2">
      <c r="A438" t="s">
        <v>4273</v>
      </c>
      <c r="B438">
        <f>SUM(FishSumAllPRN!B438)</f>
        <v>0</v>
      </c>
      <c r="C438">
        <f>SUM(FishSumAllPRN!C438)</f>
        <v>0</v>
      </c>
      <c r="D438">
        <f>SUM(FishSumAllPRN!D438)</f>
        <v>0</v>
      </c>
      <c r="E438">
        <f>SUM(FishSumAllPRN!E438)</f>
        <v>0</v>
      </c>
      <c r="F438">
        <f>SUM(FishSumAllPRN!F438)</f>
        <v>0</v>
      </c>
      <c r="G438">
        <f>SUM(FishSumAllPRN!G438)</f>
        <v>0</v>
      </c>
      <c r="H438" s="54" t="s">
        <v>294</v>
      </c>
      <c r="I438" s="54"/>
      <c r="K438" t="s">
        <v>5657</v>
      </c>
      <c r="R438" s="38">
        <f>SUM(B451)</f>
        <v>1097</v>
      </c>
      <c r="S438" s="38">
        <f>SUM(C451)</f>
        <v>43</v>
      </c>
      <c r="T438" s="38">
        <f>SUM(D451)</f>
        <v>85</v>
      </c>
      <c r="U438" s="38">
        <f>SUM(E451)</f>
        <v>70</v>
      </c>
      <c r="V438" s="38">
        <f>SUM(F451)</f>
        <v>0</v>
      </c>
      <c r="Z438">
        <f t="shared" si="166"/>
        <v>1295</v>
      </c>
      <c r="AC438" s="50"/>
      <c r="AD438" s="37"/>
      <c r="AE438" s="37"/>
      <c r="AF438" s="37"/>
      <c r="AG438" s="37"/>
      <c r="AH438" s="37"/>
      <c r="AI438" s="37"/>
      <c r="AJ438" s="37" t="s">
        <v>5652</v>
      </c>
      <c r="AK438" s="38">
        <f t="shared" ref="AK438:AS438" si="174">SUM(R436)</f>
        <v>18</v>
      </c>
      <c r="AL438" s="38">
        <f t="shared" si="174"/>
        <v>0</v>
      </c>
      <c r="AM438" s="38">
        <f t="shared" si="174"/>
        <v>0</v>
      </c>
      <c r="AN438" s="38">
        <f t="shared" si="174"/>
        <v>0</v>
      </c>
      <c r="AO438" s="38">
        <f t="shared" si="174"/>
        <v>0</v>
      </c>
      <c r="AP438" s="38">
        <f t="shared" si="174"/>
        <v>0</v>
      </c>
      <c r="AQ438" s="38">
        <f t="shared" si="174"/>
        <v>0</v>
      </c>
      <c r="AR438" s="38">
        <f t="shared" si="174"/>
        <v>0</v>
      </c>
      <c r="AS438" s="59">
        <f t="shared" si="174"/>
        <v>18</v>
      </c>
    </row>
    <row r="439" spans="1:45" x14ac:dyDescent="0.2">
      <c r="A439" t="s">
        <v>4274</v>
      </c>
      <c r="B439">
        <f>SUM(FishSumAllPRN!B439)</f>
        <v>0</v>
      </c>
      <c r="C439">
        <f>SUM(FishSumAllPRN!C439)</f>
        <v>0</v>
      </c>
      <c r="D439">
        <f>SUM(FishSumAllPRN!D439)</f>
        <v>0</v>
      </c>
      <c r="E439">
        <f>SUM(FishSumAllPRN!E439)</f>
        <v>0</v>
      </c>
      <c r="F439">
        <f>SUM(FishSumAllPRN!F439)</f>
        <v>0</v>
      </c>
      <c r="G439">
        <f>SUM(FishSumAllPRN!G439)</f>
        <v>0</v>
      </c>
      <c r="H439" s="54" t="s">
        <v>294</v>
      </c>
      <c r="I439" s="54"/>
      <c r="K439" t="s">
        <v>5658</v>
      </c>
      <c r="R439" s="38">
        <f>SUM(B447)</f>
        <v>3631</v>
      </c>
      <c r="S439" s="38">
        <f>SUM(C447)</f>
        <v>1004</v>
      </c>
      <c r="T439" s="38">
        <f>SUM(D447)</f>
        <v>1354</v>
      </c>
      <c r="U439" s="38">
        <f>SUM(E447)</f>
        <v>123</v>
      </c>
      <c r="V439" s="38">
        <f>SUM(F447)</f>
        <v>0</v>
      </c>
      <c r="Z439">
        <f t="shared" si="166"/>
        <v>6112</v>
      </c>
      <c r="AC439" s="50"/>
      <c r="AD439" s="37"/>
      <c r="AE439" s="37"/>
      <c r="AF439" s="37"/>
      <c r="AG439" s="37"/>
      <c r="AH439" s="37"/>
      <c r="AI439" s="37"/>
      <c r="AJ439" s="1594" t="s">
        <v>5654</v>
      </c>
      <c r="AK439" s="1723">
        <f t="shared" ref="AK439:AS439" si="175">SUM(R431,R433,R435,R437)</f>
        <v>2743</v>
      </c>
      <c r="AL439" s="1723">
        <f t="shared" si="175"/>
        <v>1552</v>
      </c>
      <c r="AM439" s="1723">
        <f t="shared" si="175"/>
        <v>2421</v>
      </c>
      <c r="AN439" s="1723">
        <f t="shared" si="175"/>
        <v>3082</v>
      </c>
      <c r="AO439" s="1723">
        <f t="shared" si="175"/>
        <v>0</v>
      </c>
      <c r="AP439" s="1723">
        <f t="shared" si="175"/>
        <v>0</v>
      </c>
      <c r="AQ439" s="1723">
        <f t="shared" si="175"/>
        <v>0</v>
      </c>
      <c r="AR439" s="1723">
        <f t="shared" si="175"/>
        <v>0</v>
      </c>
      <c r="AS439" s="1908">
        <f t="shared" si="175"/>
        <v>9798</v>
      </c>
    </row>
    <row r="440" spans="1:45" x14ac:dyDescent="0.2">
      <c r="A440" t="s">
        <v>4275</v>
      </c>
      <c r="B440">
        <f>SUM(FishSumAllPRN!B440)</f>
        <v>0</v>
      </c>
      <c r="C440">
        <f>SUM(FishSumAllPRN!C440)</f>
        <v>0</v>
      </c>
      <c r="D440">
        <f>SUM(FishSumAllPRN!D440)</f>
        <v>0</v>
      </c>
      <c r="E440">
        <f>SUM(FishSumAllPRN!E440)</f>
        <v>0</v>
      </c>
      <c r="F440">
        <f>SUM(FishSumAllPRN!F440)</f>
        <v>2807</v>
      </c>
      <c r="G440">
        <f>SUM(FishSumAllPRN!G440)</f>
        <v>2807</v>
      </c>
      <c r="H440" s="54" t="s">
        <v>294</v>
      </c>
      <c r="I440" s="54"/>
      <c r="K440" t="s">
        <v>5659</v>
      </c>
      <c r="R440" s="38">
        <f>SUM(B449)</f>
        <v>450</v>
      </c>
      <c r="S440" s="38">
        <f>SUM(C449)</f>
        <v>0</v>
      </c>
      <c r="T440" s="38">
        <f>SUM(D449)</f>
        <v>254</v>
      </c>
      <c r="U440" s="38">
        <f>SUM(E449)</f>
        <v>70</v>
      </c>
      <c r="V440" s="38">
        <f>SUM(F449)</f>
        <v>0</v>
      </c>
      <c r="Z440">
        <f t="shared" si="166"/>
        <v>774</v>
      </c>
      <c r="AC440" s="50"/>
      <c r="AD440" s="37"/>
      <c r="AE440" s="37"/>
      <c r="AF440" s="37"/>
      <c r="AG440" s="37"/>
      <c r="AH440" s="37"/>
      <c r="AI440" s="37"/>
      <c r="AJ440" s="37" t="s">
        <v>5648</v>
      </c>
      <c r="AK440" s="38">
        <f t="shared" ref="AK440:AS440" si="176">SUM(R431)</f>
        <v>95</v>
      </c>
      <c r="AL440" s="38">
        <f t="shared" si="176"/>
        <v>261</v>
      </c>
      <c r="AM440" s="38">
        <f t="shared" si="176"/>
        <v>72</v>
      </c>
      <c r="AN440" s="38">
        <f t="shared" si="176"/>
        <v>87</v>
      </c>
      <c r="AO440" s="38">
        <f t="shared" si="176"/>
        <v>0</v>
      </c>
      <c r="AP440" s="38">
        <f t="shared" si="176"/>
        <v>0</v>
      </c>
      <c r="AQ440" s="38">
        <f t="shared" si="176"/>
        <v>0</v>
      </c>
      <c r="AR440" s="38">
        <f t="shared" si="176"/>
        <v>0</v>
      </c>
      <c r="AS440" s="59">
        <f t="shared" si="176"/>
        <v>515</v>
      </c>
    </row>
    <row r="441" spans="1:45" x14ac:dyDescent="0.2">
      <c r="A441" t="s">
        <v>4276</v>
      </c>
      <c r="B441">
        <f>SUM(FishSumAllPRN!B441)</f>
        <v>0</v>
      </c>
      <c r="C441">
        <f>SUM(FishSumAllPRN!C441)</f>
        <v>0</v>
      </c>
      <c r="D441">
        <f>SUM(FishSumAllPRN!D441)</f>
        <v>0</v>
      </c>
      <c r="E441">
        <f>SUM(FishSumAllPRN!E441)</f>
        <v>0</v>
      </c>
      <c r="F441">
        <f>SUM(FishSumAllPRN!F441)</f>
        <v>1657</v>
      </c>
      <c r="G441">
        <f>SUM(FishSumAllPRN!G441)</f>
        <v>1657</v>
      </c>
      <c r="H441" s="54" t="s">
        <v>294</v>
      </c>
      <c r="I441" s="54"/>
      <c r="K441" t="s">
        <v>5661</v>
      </c>
      <c r="R441" s="38">
        <f>SUM(B445)</f>
        <v>34</v>
      </c>
      <c r="S441" s="38">
        <f>SUM(C445)</f>
        <v>79</v>
      </c>
      <c r="T441" s="38">
        <f>SUM(D445)</f>
        <v>3</v>
      </c>
      <c r="U441" s="38">
        <f>SUM(E445)</f>
        <v>0</v>
      </c>
      <c r="V441" s="38">
        <f>SUM(F445)</f>
        <v>0</v>
      </c>
      <c r="Z441">
        <f t="shared" si="166"/>
        <v>116</v>
      </c>
      <c r="AC441" s="50"/>
      <c r="AD441" s="37"/>
      <c r="AE441" s="37"/>
      <c r="AF441" s="37"/>
      <c r="AG441" s="37"/>
      <c r="AH441" s="37"/>
      <c r="AI441" s="37"/>
      <c r="AJ441" s="37" t="s">
        <v>5650</v>
      </c>
      <c r="AK441" s="38">
        <f t="shared" ref="AK441:AS441" si="177">SUM(R433)</f>
        <v>172</v>
      </c>
      <c r="AL441" s="38">
        <f t="shared" si="177"/>
        <v>322</v>
      </c>
      <c r="AM441" s="38">
        <f t="shared" si="177"/>
        <v>973</v>
      </c>
      <c r="AN441" s="38">
        <f t="shared" si="177"/>
        <v>320</v>
      </c>
      <c r="AO441" s="38">
        <f t="shared" si="177"/>
        <v>0</v>
      </c>
      <c r="AP441" s="38">
        <f t="shared" si="177"/>
        <v>0</v>
      </c>
      <c r="AQ441" s="38">
        <f t="shared" si="177"/>
        <v>0</v>
      </c>
      <c r="AR441" s="38">
        <f t="shared" si="177"/>
        <v>0</v>
      </c>
      <c r="AS441" s="59">
        <f t="shared" si="177"/>
        <v>1787</v>
      </c>
    </row>
    <row r="442" spans="1:45" x14ac:dyDescent="0.2">
      <c r="A442" t="s">
        <v>4277</v>
      </c>
      <c r="B442">
        <f>SUM(FishSumAllPRN!B442)</f>
        <v>0</v>
      </c>
      <c r="C442">
        <f>SUM(FishSumAllPRN!C442)</f>
        <v>0</v>
      </c>
      <c r="D442">
        <f>SUM(FishSumAllPRN!D442)</f>
        <v>0</v>
      </c>
      <c r="E442">
        <f>SUM(FishSumAllPRN!E442)</f>
        <v>0</v>
      </c>
      <c r="F442">
        <f>SUM(FishSumAllPRN!F442)</f>
        <v>663</v>
      </c>
      <c r="G442">
        <f>SUM(FishSumAllPRN!G442)</f>
        <v>663</v>
      </c>
      <c r="H442" s="54" t="s">
        <v>294</v>
      </c>
      <c r="I442" s="54"/>
      <c r="K442" t="s">
        <v>5662</v>
      </c>
      <c r="R442">
        <f>SUM(B435*0.5)</f>
        <v>0</v>
      </c>
      <c r="S442">
        <f>SUM(C435*0.5)</f>
        <v>0</v>
      </c>
      <c r="T442">
        <f>SUM(D435*0.5)</f>
        <v>0</v>
      </c>
      <c r="U442">
        <f>SUM(E435*0.5)</f>
        <v>0</v>
      </c>
      <c r="V442">
        <f>SUM(F435*0.5)</f>
        <v>0</v>
      </c>
      <c r="Z442">
        <f t="shared" si="166"/>
        <v>0</v>
      </c>
      <c r="AC442" s="50"/>
      <c r="AD442" s="37"/>
      <c r="AE442" s="37"/>
      <c r="AF442" s="37"/>
      <c r="AG442" s="37"/>
      <c r="AH442" s="37"/>
      <c r="AI442" s="37"/>
      <c r="AJ442" s="37" t="s">
        <v>5652</v>
      </c>
      <c r="AK442" s="38">
        <f t="shared" ref="AK442:AS442" si="178">SUM(R435)</f>
        <v>898</v>
      </c>
      <c r="AL442" s="38">
        <f t="shared" si="178"/>
        <v>475</v>
      </c>
      <c r="AM442" s="38">
        <f t="shared" si="178"/>
        <v>853</v>
      </c>
      <c r="AN442" s="38">
        <f t="shared" si="178"/>
        <v>1128</v>
      </c>
      <c r="AO442" s="38">
        <f t="shared" si="178"/>
        <v>0</v>
      </c>
      <c r="AP442" s="38">
        <f t="shared" si="178"/>
        <v>0</v>
      </c>
      <c r="AQ442" s="38">
        <f t="shared" si="178"/>
        <v>0</v>
      </c>
      <c r="AR442" s="38">
        <f t="shared" si="178"/>
        <v>0</v>
      </c>
      <c r="AS442" s="59">
        <f t="shared" si="178"/>
        <v>3354</v>
      </c>
    </row>
    <row r="443" spans="1:45" x14ac:dyDescent="0.2">
      <c r="A443" t="s">
        <v>4278</v>
      </c>
      <c r="B443">
        <f>SUM(FishSumAllPRN!B443)</f>
        <v>0</v>
      </c>
      <c r="C443">
        <f>SUM(FishSumAllPRN!C443)</f>
        <v>0</v>
      </c>
      <c r="D443">
        <f>SUM(FishSumAllPRN!D443)</f>
        <v>0</v>
      </c>
      <c r="E443">
        <f>SUM(FishSumAllPRN!E443)</f>
        <v>0</v>
      </c>
      <c r="F443">
        <f>SUM(FishSumAllPRN!F443)</f>
        <v>0</v>
      </c>
      <c r="G443">
        <f>SUM(FishSumAllPRN!G443)</f>
        <v>0</v>
      </c>
      <c r="H443" s="54" t="s">
        <v>294</v>
      </c>
      <c r="I443" s="54"/>
      <c r="K443" t="s">
        <v>5667</v>
      </c>
      <c r="R443">
        <f>SUM(B435*0.5)</f>
        <v>0</v>
      </c>
      <c r="S443">
        <f>SUM(C435*0.5)</f>
        <v>0</v>
      </c>
      <c r="T443">
        <f>SUM(D435*0.5)</f>
        <v>0</v>
      </c>
      <c r="U443">
        <f>SUM(E435*0.5)</f>
        <v>0</v>
      </c>
      <c r="V443">
        <f>SUM(F435*0.5)</f>
        <v>0</v>
      </c>
      <c r="Z443">
        <f t="shared" si="166"/>
        <v>0</v>
      </c>
      <c r="AC443" s="50"/>
      <c r="AD443" s="37"/>
      <c r="AE443" s="37"/>
      <c r="AF443" s="37"/>
      <c r="AG443" s="37"/>
      <c r="AH443" s="37"/>
      <c r="AI443" s="37"/>
      <c r="AJ443" s="37" t="s">
        <v>5660</v>
      </c>
      <c r="AK443" s="38">
        <f t="shared" ref="AK443:AS443" si="179">SUM(R437)</f>
        <v>1578</v>
      </c>
      <c r="AL443" s="38">
        <f t="shared" si="179"/>
        <v>494</v>
      </c>
      <c r="AM443" s="38">
        <f t="shared" si="179"/>
        <v>523</v>
      </c>
      <c r="AN443" s="38">
        <f t="shared" si="179"/>
        <v>1547</v>
      </c>
      <c r="AO443" s="38">
        <f t="shared" si="179"/>
        <v>0</v>
      </c>
      <c r="AP443" s="38">
        <f t="shared" si="179"/>
        <v>0</v>
      </c>
      <c r="AQ443" s="38">
        <f t="shared" si="179"/>
        <v>0</v>
      </c>
      <c r="AR443" s="38">
        <f t="shared" si="179"/>
        <v>0</v>
      </c>
      <c r="AS443" s="59">
        <f t="shared" si="179"/>
        <v>4142</v>
      </c>
    </row>
    <row r="444" spans="1:45" x14ac:dyDescent="0.2">
      <c r="A444" t="s">
        <v>4279</v>
      </c>
      <c r="B444">
        <f>SUM(FishSumAllPRN!B444)</f>
        <v>173</v>
      </c>
      <c r="C444">
        <f>SUM(FishSumAllPRN!C444)</f>
        <v>109</v>
      </c>
      <c r="D444">
        <f>SUM(FishSumAllPRN!D444)</f>
        <v>113</v>
      </c>
      <c r="E444">
        <f>SUM(FishSumAllPRN!E444)</f>
        <v>0</v>
      </c>
      <c r="F444">
        <f>SUM(FishSumAllPRN!F444)</f>
        <v>0</v>
      </c>
      <c r="G444">
        <f>SUM(FishSumAllPRN!G444)</f>
        <v>395</v>
      </c>
      <c r="H444" s="54" t="s">
        <v>294</v>
      </c>
      <c r="I444" s="54"/>
      <c r="K444" t="s">
        <v>5669</v>
      </c>
      <c r="R444" s="38">
        <f>SUM(B433)</f>
        <v>0</v>
      </c>
      <c r="S444" s="38">
        <f>SUM(C433)</f>
        <v>249</v>
      </c>
      <c r="T444" s="38">
        <f>SUM(D433)</f>
        <v>54</v>
      </c>
      <c r="U444" s="38">
        <f>SUM(E433)</f>
        <v>0</v>
      </c>
      <c r="V444" s="38">
        <f>SUM(F433)</f>
        <v>0</v>
      </c>
      <c r="Z444">
        <f t="shared" si="166"/>
        <v>303</v>
      </c>
      <c r="AC444" s="50"/>
      <c r="AD444" s="37"/>
      <c r="AE444" s="37"/>
      <c r="AF444" s="37"/>
      <c r="AG444" s="37"/>
      <c r="AH444" s="37"/>
      <c r="AI444" s="37"/>
      <c r="AJ444" s="37"/>
      <c r="AK444" s="38"/>
      <c r="AL444" s="38"/>
      <c r="AM444" s="38"/>
      <c r="AN444" s="38"/>
      <c r="AO444" s="38"/>
      <c r="AP444" s="38"/>
      <c r="AQ444" s="38"/>
      <c r="AR444" s="38"/>
      <c r="AS444" s="59"/>
    </row>
    <row r="445" spans="1:45" x14ac:dyDescent="0.2">
      <c r="A445" t="s">
        <v>4280</v>
      </c>
      <c r="B445">
        <f>SUM(FishSumAllPRN!B445)</f>
        <v>34</v>
      </c>
      <c r="C445">
        <f>SUM(FishSumAllPRN!C445)</f>
        <v>79</v>
      </c>
      <c r="D445">
        <f>SUM(FishSumAllPRN!D445)</f>
        <v>3</v>
      </c>
      <c r="E445">
        <f>SUM(FishSumAllPRN!E445)</f>
        <v>0</v>
      </c>
      <c r="F445">
        <f>SUM(FishSumAllPRN!F445)</f>
        <v>0</v>
      </c>
      <c r="G445">
        <f>SUM(FishSumAllPRN!G445)</f>
        <v>115</v>
      </c>
      <c r="H445" s="54" t="s">
        <v>294</v>
      </c>
      <c r="I445" s="54"/>
      <c r="K445" t="s">
        <v>5671</v>
      </c>
      <c r="R445" s="38">
        <f>SUM(B437)</f>
        <v>409</v>
      </c>
      <c r="S445" s="38">
        <f>SUM(C437)</f>
        <v>51</v>
      </c>
      <c r="T445" s="38">
        <f>SUM(D437)</f>
        <v>14</v>
      </c>
      <c r="U445" s="38">
        <f>SUM(E437)</f>
        <v>23</v>
      </c>
      <c r="V445" s="38">
        <f>SUM(F437)</f>
        <v>0</v>
      </c>
      <c r="Z445">
        <f t="shared" si="166"/>
        <v>497</v>
      </c>
      <c r="AC445" s="50" t="s">
        <v>5663</v>
      </c>
      <c r="AD445" s="37"/>
      <c r="AE445" s="37"/>
      <c r="AF445" s="37"/>
      <c r="AG445" s="37"/>
      <c r="AH445" s="37"/>
      <c r="AI445" s="37"/>
      <c r="AJ445" s="37" t="s">
        <v>5664</v>
      </c>
      <c r="AK445">
        <f t="shared" ref="AK445:AM448" si="180">SUM(R447)</f>
        <v>403</v>
      </c>
      <c r="AL445">
        <f t="shared" si="180"/>
        <v>717</v>
      </c>
      <c r="AM445">
        <f t="shared" si="180"/>
        <v>1090</v>
      </c>
      <c r="AN445">
        <f t="shared" ref="AN445:AS448" si="181">SUM(U447)</f>
        <v>378</v>
      </c>
      <c r="AO445">
        <f t="shared" si="181"/>
        <v>0</v>
      </c>
      <c r="AP445">
        <f t="shared" si="181"/>
        <v>0</v>
      </c>
      <c r="AQ445">
        <f t="shared" si="181"/>
        <v>0</v>
      </c>
      <c r="AR445">
        <f t="shared" si="181"/>
        <v>0</v>
      </c>
      <c r="AS445" s="58">
        <f t="shared" si="181"/>
        <v>2588</v>
      </c>
    </row>
    <row r="446" spans="1:45" x14ac:dyDescent="0.2">
      <c r="A446" t="s">
        <v>4281</v>
      </c>
      <c r="B446">
        <f>SUM(FishSumAllPRN!B446)</f>
        <v>1608</v>
      </c>
      <c r="C446">
        <f>SUM(FishSumAllPRN!C446)</f>
        <v>2014</v>
      </c>
      <c r="D446">
        <f>SUM(FishSumAllPRN!D446)</f>
        <v>3562</v>
      </c>
      <c r="E446">
        <f>SUM(FishSumAllPRN!E446)</f>
        <v>36</v>
      </c>
      <c r="F446">
        <f>SUM(FishSumAllPRN!F446)</f>
        <v>0</v>
      </c>
      <c r="G446">
        <f>SUM(FishSumAllPRN!G446)</f>
        <v>7220</v>
      </c>
      <c r="H446" s="54" t="s">
        <v>294</v>
      </c>
      <c r="I446" s="54"/>
      <c r="K446" t="s">
        <v>5674</v>
      </c>
      <c r="R446" s="38">
        <f>SUM(B436)</f>
        <v>176</v>
      </c>
      <c r="S446" s="38">
        <f>SUM(C436)</f>
        <v>140</v>
      </c>
      <c r="T446" s="38">
        <f>SUM(D436)</f>
        <v>19</v>
      </c>
      <c r="U446" s="38">
        <f>SUM(E436)</f>
        <v>12</v>
      </c>
      <c r="V446" s="38">
        <f>SUM(F436)</f>
        <v>0</v>
      </c>
      <c r="Z446">
        <f t="shared" si="166"/>
        <v>347</v>
      </c>
      <c r="AC446" s="50"/>
      <c r="AD446" s="37"/>
      <c r="AE446" s="37"/>
      <c r="AF446" s="37"/>
      <c r="AG446" s="37"/>
      <c r="AH446" s="37"/>
      <c r="AI446" s="37"/>
      <c r="AJ446" s="37" t="s">
        <v>5668</v>
      </c>
      <c r="AK446">
        <f t="shared" si="180"/>
        <v>18</v>
      </c>
      <c r="AL446">
        <f t="shared" si="180"/>
        <v>60</v>
      </c>
      <c r="AM446">
        <f t="shared" si="180"/>
        <v>233</v>
      </c>
      <c r="AN446">
        <f t="shared" si="181"/>
        <v>193</v>
      </c>
      <c r="AO446">
        <f t="shared" si="181"/>
        <v>0</v>
      </c>
      <c r="AP446">
        <f t="shared" si="181"/>
        <v>0</v>
      </c>
      <c r="AQ446">
        <f t="shared" si="181"/>
        <v>0</v>
      </c>
      <c r="AR446">
        <f t="shared" si="181"/>
        <v>0</v>
      </c>
      <c r="AS446" s="58">
        <f t="shared" si="181"/>
        <v>504</v>
      </c>
    </row>
    <row r="447" spans="1:45" x14ac:dyDescent="0.2">
      <c r="A447" t="s">
        <v>4282</v>
      </c>
      <c r="B447">
        <f>SUM(FishSumAllPRN!B447)</f>
        <v>3631</v>
      </c>
      <c r="C447">
        <f>SUM(FishSumAllPRN!C447)</f>
        <v>1004</v>
      </c>
      <c r="D447">
        <f>SUM(FishSumAllPRN!D447)</f>
        <v>1354</v>
      </c>
      <c r="E447">
        <f>SUM(FishSumAllPRN!E447)</f>
        <v>123</v>
      </c>
      <c r="F447">
        <f>SUM(FishSumAllPRN!F447)</f>
        <v>0</v>
      </c>
      <c r="G447">
        <f>SUM(FishSumAllPRN!G447)</f>
        <v>6112</v>
      </c>
      <c r="H447" s="54" t="s">
        <v>294</v>
      </c>
      <c r="I447" s="54"/>
      <c r="K447" t="s">
        <v>5676</v>
      </c>
      <c r="R447" s="38">
        <f>SUM(B470)</f>
        <v>403</v>
      </c>
      <c r="S447" s="38">
        <f>SUM(C470)</f>
        <v>717</v>
      </c>
      <c r="T447" s="38">
        <f>SUM(D470)</f>
        <v>1090</v>
      </c>
      <c r="U447" s="38">
        <f>SUM(E470)</f>
        <v>378</v>
      </c>
      <c r="V447" s="38">
        <f>SUM(F470)</f>
        <v>0</v>
      </c>
      <c r="Z447">
        <f t="shared" si="166"/>
        <v>2588</v>
      </c>
      <c r="AC447" s="50"/>
      <c r="AD447" s="37"/>
      <c r="AE447" s="37"/>
      <c r="AF447" s="37"/>
      <c r="AG447" s="37"/>
      <c r="AH447" s="37"/>
      <c r="AI447" s="37"/>
      <c r="AJ447" s="37" t="s">
        <v>5670</v>
      </c>
      <c r="AK447">
        <f t="shared" si="180"/>
        <v>0</v>
      </c>
      <c r="AL447">
        <f t="shared" si="180"/>
        <v>1088</v>
      </c>
      <c r="AM447">
        <f t="shared" si="180"/>
        <v>3141</v>
      </c>
      <c r="AN447">
        <f t="shared" si="181"/>
        <v>2117</v>
      </c>
      <c r="AO447">
        <f t="shared" si="181"/>
        <v>0</v>
      </c>
      <c r="AP447">
        <f t="shared" si="181"/>
        <v>0</v>
      </c>
      <c r="AQ447">
        <f t="shared" si="181"/>
        <v>0</v>
      </c>
      <c r="AR447">
        <f t="shared" si="181"/>
        <v>0</v>
      </c>
      <c r="AS447" s="58">
        <f t="shared" si="181"/>
        <v>6346</v>
      </c>
    </row>
    <row r="448" spans="1:45" x14ac:dyDescent="0.2">
      <c r="A448" t="s">
        <v>4283</v>
      </c>
      <c r="B448">
        <f>SUM(FishSumAllPRN!B448)</f>
        <v>1122</v>
      </c>
      <c r="C448">
        <f>SUM(FishSumAllPRN!C448)</f>
        <v>1160</v>
      </c>
      <c r="D448">
        <f>SUM(FishSumAllPRN!D448)</f>
        <v>1312</v>
      </c>
      <c r="E448" s="123">
        <f>SUM(FishSumAllPRN!E448)</f>
        <v>18</v>
      </c>
      <c r="F448">
        <f>SUM(FishSumAllPRN!F448)</f>
        <v>0</v>
      </c>
      <c r="G448">
        <f>SUM(FishSumAllPRN!G448)</f>
        <v>3611</v>
      </c>
      <c r="H448" s="54" t="s">
        <v>294</v>
      </c>
      <c r="I448" s="54"/>
      <c r="K448" t="s">
        <v>5678</v>
      </c>
      <c r="R448" s="38">
        <f>SUM(B469)</f>
        <v>18</v>
      </c>
      <c r="S448" s="38">
        <f>SUM(C469)</f>
        <v>60</v>
      </c>
      <c r="T448" s="38">
        <f>SUM(D469)</f>
        <v>233</v>
      </c>
      <c r="U448" s="38">
        <f>SUM(E469)</f>
        <v>193</v>
      </c>
      <c r="V448" s="38">
        <f>SUM(F469)</f>
        <v>0</v>
      </c>
      <c r="Z448">
        <f t="shared" si="166"/>
        <v>504</v>
      </c>
      <c r="AC448" s="50"/>
      <c r="AD448" s="37"/>
      <c r="AE448" s="37"/>
      <c r="AF448" s="37"/>
      <c r="AG448" s="37"/>
      <c r="AH448" s="37"/>
      <c r="AI448" s="37"/>
      <c r="AJ448" s="37" t="s">
        <v>5672</v>
      </c>
      <c r="AK448">
        <f t="shared" si="180"/>
        <v>225</v>
      </c>
      <c r="AL448">
        <f t="shared" si="180"/>
        <v>1279</v>
      </c>
      <c r="AM448">
        <f t="shared" si="180"/>
        <v>4314</v>
      </c>
      <c r="AN448">
        <f t="shared" si="181"/>
        <v>1186</v>
      </c>
      <c r="AO448">
        <f t="shared" si="181"/>
        <v>0</v>
      </c>
      <c r="AP448">
        <f t="shared" si="181"/>
        <v>0</v>
      </c>
      <c r="AQ448">
        <f t="shared" si="181"/>
        <v>0</v>
      </c>
      <c r="AR448">
        <f t="shared" si="181"/>
        <v>0</v>
      </c>
      <c r="AS448" s="58">
        <f t="shared" si="181"/>
        <v>7004</v>
      </c>
    </row>
    <row r="449" spans="1:45" x14ac:dyDescent="0.2">
      <c r="A449" t="s">
        <v>4284</v>
      </c>
      <c r="B449">
        <f>SUM(FishSumAllPRN!B449)</f>
        <v>450</v>
      </c>
      <c r="C449">
        <f>SUM(FishSumAllPRN!C449)</f>
        <v>0</v>
      </c>
      <c r="D449">
        <f>SUM(FishSumAllPRN!D449)</f>
        <v>254</v>
      </c>
      <c r="E449">
        <f>SUM(FishSumAllPRN!E449)</f>
        <v>70</v>
      </c>
      <c r="F449">
        <f>SUM(FishSumAllPRN!F449)</f>
        <v>0</v>
      </c>
      <c r="G449">
        <f>SUM(FishSumAllPRN!G449)</f>
        <v>774</v>
      </c>
      <c r="H449" s="54" t="s">
        <v>294</v>
      </c>
      <c r="I449" s="54"/>
      <c r="K449" t="s">
        <v>5679</v>
      </c>
      <c r="R449" s="38">
        <f>SUM(B466)</f>
        <v>0</v>
      </c>
      <c r="S449" s="38">
        <f>SUM(C466)</f>
        <v>1088</v>
      </c>
      <c r="T449" s="38">
        <f>SUM(D466)</f>
        <v>3141</v>
      </c>
      <c r="U449" s="38">
        <f>SUM(E466)</f>
        <v>2117</v>
      </c>
      <c r="V449" s="38">
        <f>SUM(F466)</f>
        <v>0</v>
      </c>
      <c r="Z449">
        <f t="shared" si="166"/>
        <v>6346</v>
      </c>
      <c r="AC449" s="50"/>
      <c r="AD449" s="37"/>
      <c r="AE449" s="37"/>
      <c r="AF449" s="37"/>
      <c r="AG449" s="37"/>
      <c r="AH449" s="37"/>
      <c r="AI449" s="37"/>
      <c r="AJ449" s="37" t="s">
        <v>145</v>
      </c>
      <c r="AK449">
        <v>0</v>
      </c>
      <c r="AL449">
        <v>0</v>
      </c>
      <c r="AM449">
        <f>SUM(T451)</f>
        <v>0</v>
      </c>
      <c r="AN449">
        <f>SUM(U451)</f>
        <v>5785</v>
      </c>
      <c r="AO449">
        <f>SUM(V451)</f>
        <v>0</v>
      </c>
      <c r="AS449" s="58">
        <f>SUM(AK449:AO449)</f>
        <v>5785</v>
      </c>
    </row>
    <row r="450" spans="1:45" x14ac:dyDescent="0.2">
      <c r="A450" t="s">
        <v>4285</v>
      </c>
      <c r="B450">
        <f>SUM(FishSumAllPRN!B450)</f>
        <v>784</v>
      </c>
      <c r="C450">
        <f>SUM(FishSumAllPRN!C450)</f>
        <v>1068</v>
      </c>
      <c r="D450">
        <f>SUM(FishSumAllPRN!D450)</f>
        <v>1312</v>
      </c>
      <c r="E450">
        <f>SUM(FishSumAllPRN!E450)</f>
        <v>113</v>
      </c>
      <c r="F450">
        <f>SUM(FishSumAllPRN!F450)</f>
        <v>0</v>
      </c>
      <c r="G450">
        <f>SUM(FishSumAllPRN!G450)</f>
        <v>3278</v>
      </c>
      <c r="H450" s="54" t="s">
        <v>294</v>
      </c>
      <c r="I450" s="54"/>
      <c r="K450" t="s">
        <v>5681</v>
      </c>
      <c r="R450" s="38">
        <f>SUM(B462)</f>
        <v>225</v>
      </c>
      <c r="S450" s="38">
        <f>SUM(C462)</f>
        <v>1279</v>
      </c>
      <c r="T450" s="38">
        <f>SUM(D462)</f>
        <v>4314</v>
      </c>
      <c r="U450" s="38">
        <f>SUM(E462)</f>
        <v>1186</v>
      </c>
      <c r="V450" s="38">
        <f>SUM(F462)</f>
        <v>0</v>
      </c>
      <c r="Z450">
        <f t="shared" si="166"/>
        <v>7004</v>
      </c>
      <c r="AC450" s="60" t="s">
        <v>5677</v>
      </c>
      <c r="AD450" s="1952"/>
      <c r="AE450" s="1952"/>
      <c r="AF450" s="1952"/>
      <c r="AG450" s="1952"/>
      <c r="AH450" s="1952"/>
      <c r="AI450" s="1952"/>
      <c r="AJ450" s="1952"/>
      <c r="AK450" s="1953">
        <f t="shared" ref="AK450:AS450" si="182">SUM(AK435,AK439,AK445:AK449)</f>
        <v>4167</v>
      </c>
      <c r="AL450" s="1953">
        <f t="shared" si="182"/>
        <v>4696</v>
      </c>
      <c r="AM450" s="1953">
        <f t="shared" si="182"/>
        <v>11199</v>
      </c>
      <c r="AN450" s="1953">
        <f t="shared" si="182"/>
        <v>12741</v>
      </c>
      <c r="AO450" s="1953">
        <f t="shared" si="182"/>
        <v>2</v>
      </c>
      <c r="AP450" s="1953">
        <f t="shared" si="182"/>
        <v>0</v>
      </c>
      <c r="AQ450" s="1953">
        <f t="shared" si="182"/>
        <v>0</v>
      </c>
      <c r="AR450" s="1953">
        <f t="shared" si="182"/>
        <v>0</v>
      </c>
      <c r="AS450" s="1954">
        <f t="shared" si="182"/>
        <v>32805</v>
      </c>
    </row>
    <row r="451" spans="1:45" x14ac:dyDescent="0.2">
      <c r="A451" t="s">
        <v>4286</v>
      </c>
      <c r="B451">
        <f>SUM(FishSumAllPRN!B451)</f>
        <v>1097</v>
      </c>
      <c r="C451">
        <f>SUM(FishSumAllPRN!C451)</f>
        <v>43</v>
      </c>
      <c r="D451">
        <f>SUM(FishSumAllPRN!D451)</f>
        <v>85</v>
      </c>
      <c r="E451">
        <f>SUM(FishSumAllPRN!E451)</f>
        <v>70</v>
      </c>
      <c r="F451">
        <f>SUM(FishSumAllPRN!F451)</f>
        <v>0</v>
      </c>
      <c r="G451">
        <f>SUM(FishSumAllPRN!G451)</f>
        <v>1294</v>
      </c>
      <c r="H451" s="54" t="s">
        <v>294</v>
      </c>
      <c r="I451" s="54"/>
      <c r="K451" t="s">
        <v>5683</v>
      </c>
      <c r="R451" s="38">
        <f>SUM(B452)</f>
        <v>0</v>
      </c>
      <c r="S451" s="38">
        <f>SUM(C452)</f>
        <v>0</v>
      </c>
      <c r="T451" s="38">
        <f>SUM(D452)</f>
        <v>0</v>
      </c>
      <c r="U451" s="38">
        <f>SUM(E452)</f>
        <v>5785</v>
      </c>
      <c r="V451" s="38">
        <f>SUM(F452)</f>
        <v>0</v>
      </c>
      <c r="Z451">
        <f t="shared" si="166"/>
        <v>5785</v>
      </c>
      <c r="AC451" s="50"/>
      <c r="AD451" s="37"/>
      <c r="AE451" s="37"/>
      <c r="AF451" s="37"/>
      <c r="AG451" s="37"/>
      <c r="AH451" s="37"/>
      <c r="AI451" s="37"/>
      <c r="AJ451" s="37"/>
      <c r="AS451" s="58"/>
    </row>
    <row r="452" spans="1:45" x14ac:dyDescent="0.2">
      <c r="A452" t="s">
        <v>4287</v>
      </c>
      <c r="B452">
        <f>SUM(FishSumAllPRN!B452)</f>
        <v>0</v>
      </c>
      <c r="C452">
        <f>SUM(FishSumAllPRN!C452)</f>
        <v>0</v>
      </c>
      <c r="D452">
        <f>SUM(FishSumAllPRN!D452)</f>
        <v>0</v>
      </c>
      <c r="E452">
        <f>SUM(FishSumAllPRN!E452)</f>
        <v>5785</v>
      </c>
      <c r="F452">
        <f>SUM(FishSumAllPRN!F452)</f>
        <v>0</v>
      </c>
      <c r="G452">
        <f>SUM(FishSumAllPRN!G452)</f>
        <v>5785</v>
      </c>
      <c r="H452" s="54" t="s">
        <v>294</v>
      </c>
      <c r="I452" s="54"/>
      <c r="K452" t="s">
        <v>5685</v>
      </c>
      <c r="R452" s="38">
        <f>SUM(B450)</f>
        <v>784</v>
      </c>
      <c r="S452" s="38">
        <f>SUM(C450)</f>
        <v>1068</v>
      </c>
      <c r="T452" s="38">
        <f>SUM(D450)</f>
        <v>1312</v>
      </c>
      <c r="U452" s="38">
        <f>SUM(E450)</f>
        <v>113</v>
      </c>
      <c r="V452" s="38">
        <f>SUM(F450)</f>
        <v>0</v>
      </c>
      <c r="Z452">
        <f t="shared" si="166"/>
        <v>3277</v>
      </c>
      <c r="AC452" s="50" t="s">
        <v>5680</v>
      </c>
      <c r="AD452" s="37"/>
      <c r="AE452" s="37"/>
      <c r="AF452" s="37"/>
      <c r="AG452" s="37"/>
      <c r="AH452" s="37"/>
      <c r="AI452" s="37"/>
      <c r="AJ452" s="37"/>
      <c r="AS452" s="58"/>
    </row>
    <row r="453" spans="1:45" x14ac:dyDescent="0.2">
      <c r="A453" t="s">
        <v>4288</v>
      </c>
      <c r="B453">
        <f>SUM(FishSumAllPRN!B453)</f>
        <v>0</v>
      </c>
      <c r="C453">
        <f>SUM(FishSumAllPRN!C453)</f>
        <v>0</v>
      </c>
      <c r="D453">
        <f>SUM(FishSumAllPRN!D453)</f>
        <v>0</v>
      </c>
      <c r="E453">
        <f>SUM(FishSumAllPRN!E453)</f>
        <v>0</v>
      </c>
      <c r="F453">
        <f>SUM(FishSumAllPRN!F453)</f>
        <v>0</v>
      </c>
      <c r="G453">
        <f>SUM(FishSumAllPRN!G453)</f>
        <v>0</v>
      </c>
      <c r="H453" s="54" t="s">
        <v>294</v>
      </c>
      <c r="I453" s="54"/>
      <c r="K453" t="s">
        <v>5687</v>
      </c>
      <c r="R453" s="38">
        <f>SUM(B446)</f>
        <v>1608</v>
      </c>
      <c r="S453" s="38">
        <f>SUM(C446)</f>
        <v>2014</v>
      </c>
      <c r="T453" s="38">
        <f>SUM(D446)</f>
        <v>3562</v>
      </c>
      <c r="U453" s="38">
        <f>SUM(E446)</f>
        <v>36</v>
      </c>
      <c r="V453" s="38">
        <f>SUM(F446)</f>
        <v>0</v>
      </c>
      <c r="Z453">
        <f t="shared" si="166"/>
        <v>7220</v>
      </c>
      <c r="AC453" s="50" t="s">
        <v>5644</v>
      </c>
      <c r="AD453" s="37"/>
      <c r="AE453" s="37"/>
      <c r="AF453" s="37"/>
      <c r="AG453" s="37"/>
      <c r="AH453" s="37"/>
      <c r="AI453" s="37"/>
      <c r="AJ453" s="37" t="s">
        <v>5682</v>
      </c>
      <c r="AK453">
        <f t="shared" ref="AK453:AM456" si="183">SUM(R438)</f>
        <v>1097</v>
      </c>
      <c r="AL453">
        <f t="shared" si="183"/>
        <v>43</v>
      </c>
      <c r="AM453">
        <f t="shared" si="183"/>
        <v>85</v>
      </c>
      <c r="AN453">
        <f t="shared" ref="AN453:AS456" si="184">SUM(U438)</f>
        <v>70</v>
      </c>
      <c r="AO453">
        <f t="shared" si="184"/>
        <v>0</v>
      </c>
      <c r="AP453">
        <f t="shared" si="184"/>
        <v>0</v>
      </c>
      <c r="AQ453">
        <f t="shared" si="184"/>
        <v>0</v>
      </c>
      <c r="AR453">
        <f t="shared" si="184"/>
        <v>0</v>
      </c>
      <c r="AS453" s="58">
        <f t="shared" si="184"/>
        <v>1295</v>
      </c>
    </row>
    <row r="454" spans="1:45" x14ac:dyDescent="0.2">
      <c r="A454" t="s">
        <v>4289</v>
      </c>
      <c r="B454">
        <f>SUM(FishSumAllPRN!B454)</f>
        <v>0</v>
      </c>
      <c r="C454">
        <f>SUM(FishSumAllPRN!C454)</f>
        <v>0</v>
      </c>
      <c r="D454">
        <f>SUM(FishSumAllPRN!D454)</f>
        <v>0</v>
      </c>
      <c r="E454">
        <f>SUM(FishSumAllPRN!E454)</f>
        <v>0</v>
      </c>
      <c r="F454">
        <f>SUM(FishSumAllPRN!F454)</f>
        <v>0</v>
      </c>
      <c r="G454">
        <f>SUM(FishSumAllPRN!G454)</f>
        <v>0</v>
      </c>
      <c r="H454" s="54" t="s">
        <v>294</v>
      </c>
      <c r="I454" s="54"/>
      <c r="K454" t="s">
        <v>5689</v>
      </c>
      <c r="R454" s="38">
        <f>SUM(B448)</f>
        <v>1122</v>
      </c>
      <c r="S454" s="38">
        <f>SUM(C448)</f>
        <v>1160</v>
      </c>
      <c r="T454" s="38">
        <f>SUM(D448)</f>
        <v>1312</v>
      </c>
      <c r="U454" s="38">
        <f>SUM(E448)</f>
        <v>18</v>
      </c>
      <c r="V454" s="38">
        <f>SUM(F448)</f>
        <v>0</v>
      </c>
      <c r="Z454">
        <f t="shared" si="166"/>
        <v>3612</v>
      </c>
      <c r="AC454" s="50"/>
      <c r="AD454" s="37"/>
      <c r="AE454" s="37"/>
      <c r="AF454" s="37"/>
      <c r="AG454" s="37"/>
      <c r="AH454" s="37"/>
      <c r="AI454" s="37"/>
      <c r="AJ454" s="37" t="s">
        <v>5684</v>
      </c>
      <c r="AK454">
        <f t="shared" si="183"/>
        <v>3631</v>
      </c>
      <c r="AL454">
        <f t="shared" si="183"/>
        <v>1004</v>
      </c>
      <c r="AM454">
        <f t="shared" si="183"/>
        <v>1354</v>
      </c>
      <c r="AN454">
        <f t="shared" si="184"/>
        <v>123</v>
      </c>
      <c r="AO454">
        <f t="shared" si="184"/>
        <v>0</v>
      </c>
      <c r="AP454">
        <f t="shared" si="184"/>
        <v>0</v>
      </c>
      <c r="AQ454">
        <f t="shared" si="184"/>
        <v>0</v>
      </c>
      <c r="AR454">
        <f t="shared" si="184"/>
        <v>0</v>
      </c>
      <c r="AS454" s="58">
        <f t="shared" si="184"/>
        <v>6112</v>
      </c>
    </row>
    <row r="455" spans="1:45" x14ac:dyDescent="0.2">
      <c r="A455" t="s">
        <v>4290</v>
      </c>
      <c r="B455">
        <f>SUM(FishSumAllPRN!B455)</f>
        <v>0</v>
      </c>
      <c r="C455">
        <f>SUM(FishSumAllPRN!C455)</f>
        <v>0</v>
      </c>
      <c r="D455">
        <f>SUM(FishSumAllPRN!D455)</f>
        <v>0</v>
      </c>
      <c r="E455">
        <f>SUM(FishSumAllPRN!E455)</f>
        <v>0</v>
      </c>
      <c r="F455">
        <f>SUM(FishSumAllPRN!F455)</f>
        <v>0</v>
      </c>
      <c r="G455">
        <f>SUM(FishSumAllPRN!G455)</f>
        <v>0</v>
      </c>
      <c r="H455" s="54" t="s">
        <v>294</v>
      </c>
      <c r="I455" s="54"/>
      <c r="K455" t="s">
        <v>5691</v>
      </c>
      <c r="R455" s="38">
        <f>SUM(B444)</f>
        <v>173</v>
      </c>
      <c r="S455" s="38">
        <f>SUM(C444)</f>
        <v>109</v>
      </c>
      <c r="T455" s="38">
        <f>SUM(D444)</f>
        <v>113</v>
      </c>
      <c r="U455" s="38">
        <f>SUM(E444)</f>
        <v>0</v>
      </c>
      <c r="V455" s="38">
        <f>SUM(F444)</f>
        <v>0</v>
      </c>
      <c r="Z455">
        <f t="shared" si="166"/>
        <v>395</v>
      </c>
      <c r="AC455" s="50"/>
      <c r="AD455" s="37"/>
      <c r="AE455" s="37"/>
      <c r="AF455" s="37"/>
      <c r="AG455" s="37"/>
      <c r="AH455" s="37"/>
      <c r="AI455" s="37"/>
      <c r="AJ455" s="37" t="s">
        <v>5686</v>
      </c>
      <c r="AK455">
        <f t="shared" si="183"/>
        <v>450</v>
      </c>
      <c r="AL455">
        <f t="shared" si="183"/>
        <v>0</v>
      </c>
      <c r="AM455">
        <f t="shared" si="183"/>
        <v>254</v>
      </c>
      <c r="AN455">
        <f t="shared" si="184"/>
        <v>70</v>
      </c>
      <c r="AO455">
        <f t="shared" si="184"/>
        <v>0</v>
      </c>
      <c r="AP455">
        <f t="shared" si="184"/>
        <v>0</v>
      </c>
      <c r="AQ455">
        <f t="shared" si="184"/>
        <v>0</v>
      </c>
      <c r="AR455">
        <f t="shared" si="184"/>
        <v>0</v>
      </c>
      <c r="AS455" s="58">
        <f t="shared" si="184"/>
        <v>774</v>
      </c>
    </row>
    <row r="456" spans="1:45" x14ac:dyDescent="0.2">
      <c r="A456" t="s">
        <v>4291</v>
      </c>
      <c r="B456">
        <f>SUM(FishSumAllPRN!B456)</f>
        <v>0</v>
      </c>
      <c r="C456">
        <f>SUM(FishSumAllPRN!C456)</f>
        <v>0</v>
      </c>
      <c r="D456">
        <f>SUM(FishSumAllPRN!D456)</f>
        <v>0</v>
      </c>
      <c r="E456">
        <f>SUM(FishSumAllPRN!E456)</f>
        <v>0</v>
      </c>
      <c r="F456">
        <f>SUM(FishSumAllPRN!F456)</f>
        <v>0</v>
      </c>
      <c r="G456">
        <f>SUM(FishSumAllPRN!G456)</f>
        <v>0</v>
      </c>
      <c r="H456" s="54" t="s">
        <v>294</v>
      </c>
      <c r="I456" s="54"/>
      <c r="K456" t="s">
        <v>5693</v>
      </c>
      <c r="R456">
        <f>SUM(B434*0.5)</f>
        <v>343</v>
      </c>
      <c r="S456">
        <f>SUM(C434*0.5)</f>
        <v>0</v>
      </c>
      <c r="T456">
        <f>SUM(D434*0.5)</f>
        <v>62</v>
      </c>
      <c r="U456">
        <f>SUM(E434*0.5)</f>
        <v>1</v>
      </c>
      <c r="V456">
        <f>SUM(F434*0.5)</f>
        <v>0</v>
      </c>
      <c r="Z456">
        <f t="shared" si="166"/>
        <v>406</v>
      </c>
      <c r="AC456" s="50"/>
      <c r="AD456" s="37"/>
      <c r="AE456" s="37"/>
      <c r="AF456" s="37"/>
      <c r="AG456" s="37"/>
      <c r="AH456" s="37"/>
      <c r="AI456" s="37"/>
      <c r="AJ456" s="37" t="s">
        <v>5688</v>
      </c>
      <c r="AK456">
        <f t="shared" si="183"/>
        <v>34</v>
      </c>
      <c r="AL456">
        <f t="shared" si="183"/>
        <v>79</v>
      </c>
      <c r="AM456">
        <f t="shared" si="183"/>
        <v>3</v>
      </c>
      <c r="AN456">
        <f t="shared" si="184"/>
        <v>0</v>
      </c>
      <c r="AO456">
        <f t="shared" si="184"/>
        <v>0</v>
      </c>
      <c r="AP456">
        <f t="shared" si="184"/>
        <v>0</v>
      </c>
      <c r="AQ456">
        <f t="shared" si="184"/>
        <v>0</v>
      </c>
      <c r="AR456">
        <f t="shared" si="184"/>
        <v>0</v>
      </c>
      <c r="AS456" s="58">
        <f t="shared" si="184"/>
        <v>116</v>
      </c>
    </row>
    <row r="457" spans="1:45" x14ac:dyDescent="0.2">
      <c r="A457" t="s">
        <v>4292</v>
      </c>
      <c r="B457">
        <f>SUM(FishSumAllPRN!B457)</f>
        <v>0</v>
      </c>
      <c r="C457">
        <f>SUM(FishSumAllPRN!C457)</f>
        <v>0</v>
      </c>
      <c r="D457">
        <f>SUM(FishSumAllPRN!D457)</f>
        <v>0</v>
      </c>
      <c r="E457">
        <f>SUM(FishSumAllPRN!E457)</f>
        <v>0</v>
      </c>
      <c r="F457">
        <f>SUM(FishSumAllPRN!F457)</f>
        <v>0</v>
      </c>
      <c r="G457">
        <f>SUM(FishSumAllPRN!G457)</f>
        <v>0</v>
      </c>
      <c r="H457" s="54" t="s">
        <v>294</v>
      </c>
      <c r="I457" s="54"/>
      <c r="K457" t="s">
        <v>5696</v>
      </c>
      <c r="R457">
        <f>SUM(B434*0.5)</f>
        <v>343</v>
      </c>
      <c r="S457">
        <f>SUM(C434*0.5)</f>
        <v>0</v>
      </c>
      <c r="T457">
        <f>SUM(D434*0.5)</f>
        <v>62</v>
      </c>
      <c r="U457">
        <f>SUM(E434*0.5)</f>
        <v>1</v>
      </c>
      <c r="V457">
        <f>SUM(F434*0.5)</f>
        <v>0</v>
      </c>
      <c r="Z457">
        <f t="shared" si="166"/>
        <v>406</v>
      </c>
      <c r="AC457" s="50"/>
      <c r="AD457" s="37"/>
      <c r="AE457" s="37"/>
      <c r="AF457" s="37"/>
      <c r="AG457" s="37"/>
      <c r="AH457" s="37"/>
      <c r="AI457" s="37"/>
      <c r="AJ457" s="37" t="s">
        <v>5690</v>
      </c>
      <c r="AK457">
        <f>SUM(R442,R443)</f>
        <v>0</v>
      </c>
      <c r="AL457">
        <f>SUM(S442,S443)</f>
        <v>0</v>
      </c>
      <c r="AM457">
        <f>SUM(T442,T443)</f>
        <v>0</v>
      </c>
      <c r="AN457">
        <f>SUM(U442,U443)</f>
        <v>0</v>
      </c>
      <c r="AO457">
        <f>SUM(V442,V443)</f>
        <v>0</v>
      </c>
      <c r="AP457">
        <f>SUM(W442)</f>
        <v>0</v>
      </c>
      <c r="AQ457">
        <f>SUM(X442)</f>
        <v>0</v>
      </c>
      <c r="AR457">
        <f>SUM(Y442)</f>
        <v>0</v>
      </c>
      <c r="AS457" s="58">
        <f>SUM(Z442,26)</f>
        <v>26</v>
      </c>
    </row>
    <row r="458" spans="1:45" x14ac:dyDescent="0.2">
      <c r="A458" t="s">
        <v>4293</v>
      </c>
      <c r="B458">
        <f>SUM(FishSumAllPRN!B458)</f>
        <v>0</v>
      </c>
      <c r="C458">
        <f>SUM(FishSumAllPRN!C458)</f>
        <v>0</v>
      </c>
      <c r="D458">
        <f>SUM(FishSumAllPRN!D458)</f>
        <v>0</v>
      </c>
      <c r="E458">
        <f>SUM(FishSumAllPRN!E458)</f>
        <v>0</v>
      </c>
      <c r="F458">
        <f>SUM(FishSumAllPRN!F458)</f>
        <v>0</v>
      </c>
      <c r="G458">
        <f>SUM(FishSumAllPRN!G458)</f>
        <v>0</v>
      </c>
      <c r="H458" s="54" t="s">
        <v>294</v>
      </c>
      <c r="I458" s="54"/>
      <c r="K458" t="s">
        <v>5697</v>
      </c>
      <c r="R458" s="38">
        <f>SUM(B432)</f>
        <v>610</v>
      </c>
      <c r="S458" s="38">
        <f>SUM(C432)</f>
        <v>96</v>
      </c>
      <c r="T458" s="38">
        <f>SUM(D432)</f>
        <v>46</v>
      </c>
      <c r="U458" s="38">
        <f>SUM(E432)</f>
        <v>1</v>
      </c>
      <c r="V458" s="38">
        <f>SUM(F432)</f>
        <v>0</v>
      </c>
      <c r="Z458">
        <f t="shared" si="166"/>
        <v>753</v>
      </c>
      <c r="AC458" s="50"/>
      <c r="AD458" s="37"/>
      <c r="AE458" s="37"/>
      <c r="AF458" s="37"/>
      <c r="AG458" s="37"/>
      <c r="AH458" s="37"/>
      <c r="AI458" s="37"/>
      <c r="AJ458" s="37" t="s">
        <v>5692</v>
      </c>
      <c r="AK458">
        <f t="shared" ref="AK458:AM459" si="185">SUM(R444)</f>
        <v>0</v>
      </c>
      <c r="AL458">
        <f t="shared" si="185"/>
        <v>249</v>
      </c>
      <c r="AM458">
        <f t="shared" si="185"/>
        <v>54</v>
      </c>
      <c r="AN458">
        <f t="shared" ref="AN458:AS459" si="186">SUM(U444)</f>
        <v>0</v>
      </c>
      <c r="AO458">
        <f t="shared" si="186"/>
        <v>0</v>
      </c>
      <c r="AP458">
        <f t="shared" si="186"/>
        <v>0</v>
      </c>
      <c r="AQ458">
        <f t="shared" si="186"/>
        <v>0</v>
      </c>
      <c r="AR458">
        <f t="shared" si="186"/>
        <v>0</v>
      </c>
      <c r="AS458" s="58">
        <f t="shared" si="186"/>
        <v>303</v>
      </c>
    </row>
    <row r="459" spans="1:45" x14ac:dyDescent="0.2">
      <c r="A459" t="s">
        <v>4294</v>
      </c>
      <c r="B459">
        <f>SUM(FishSumAllPRN!B459)</f>
        <v>0</v>
      </c>
      <c r="C459">
        <f>SUM(FishSumAllPRN!C459)</f>
        <v>0</v>
      </c>
      <c r="D459">
        <f>SUM(FishSumAllPRN!D459)</f>
        <v>0</v>
      </c>
      <c r="E459">
        <f>SUM(FishSumAllPRN!E459)</f>
        <v>0</v>
      </c>
      <c r="F459">
        <f>SUM(FishSumAllPRN!F459)</f>
        <v>0</v>
      </c>
      <c r="G459">
        <f>SUM(FishSumAllPRN!G459)</f>
        <v>0</v>
      </c>
      <c r="H459" s="54" t="s">
        <v>294</v>
      </c>
      <c r="I459" s="54"/>
      <c r="K459" t="s">
        <v>5698</v>
      </c>
      <c r="R459" s="38">
        <f>SUM(B473)</f>
        <v>0</v>
      </c>
      <c r="S459" s="38">
        <f>SUM(C473)</f>
        <v>0</v>
      </c>
      <c r="T459" s="38">
        <f>SUM(D473)</f>
        <v>0</v>
      </c>
      <c r="U459" s="38">
        <f>SUM(E473)</f>
        <v>0</v>
      </c>
      <c r="V459" s="38">
        <f>SUM(F473)</f>
        <v>1</v>
      </c>
      <c r="Z459">
        <f t="shared" si="166"/>
        <v>1</v>
      </c>
      <c r="AC459" s="50"/>
      <c r="AD459" s="37"/>
      <c r="AE459" s="37"/>
      <c r="AF459" s="37"/>
      <c r="AG459" s="37"/>
      <c r="AH459" s="37"/>
      <c r="AI459" s="37"/>
      <c r="AJ459" s="37" t="s">
        <v>5694</v>
      </c>
      <c r="AK459">
        <f t="shared" si="185"/>
        <v>409</v>
      </c>
      <c r="AL459">
        <f t="shared" si="185"/>
        <v>51</v>
      </c>
      <c r="AM459">
        <f t="shared" si="185"/>
        <v>14</v>
      </c>
      <c r="AN459">
        <f t="shared" si="186"/>
        <v>23</v>
      </c>
      <c r="AO459">
        <f t="shared" si="186"/>
        <v>0</v>
      </c>
      <c r="AP459">
        <f t="shared" si="186"/>
        <v>0</v>
      </c>
      <c r="AQ459">
        <f t="shared" si="186"/>
        <v>0</v>
      </c>
      <c r="AR459">
        <f t="shared" si="186"/>
        <v>0</v>
      </c>
      <c r="AS459" s="58">
        <f t="shared" si="186"/>
        <v>497</v>
      </c>
    </row>
    <row r="460" spans="1:45" x14ac:dyDescent="0.2">
      <c r="A460" t="s">
        <v>4295</v>
      </c>
      <c r="B460">
        <f>SUM(FishSumAllPRN!B460)</f>
        <v>0</v>
      </c>
      <c r="C460">
        <f>SUM(FishSumAllPRN!C460)</f>
        <v>0</v>
      </c>
      <c r="D460">
        <f>SUM(FishSumAllPRN!D460)</f>
        <v>0</v>
      </c>
      <c r="E460">
        <f>SUM(FishSumAllPRN!E460)</f>
        <v>0</v>
      </c>
      <c r="F460">
        <f>SUM(FishSumAllPRN!F460)</f>
        <v>0</v>
      </c>
      <c r="G460">
        <f>SUM(FishSumAllPRN!G460)</f>
        <v>0</v>
      </c>
      <c r="H460" s="54" t="s">
        <v>294</v>
      </c>
      <c r="I460" s="54"/>
      <c r="K460" t="s">
        <v>5699</v>
      </c>
      <c r="R460" s="38">
        <f>SUM(B520:B521)</f>
        <v>27</v>
      </c>
      <c r="S460" s="38">
        <f>SUM(C520:C521)</f>
        <v>43</v>
      </c>
      <c r="T460" s="38">
        <f>SUM(D520:D521)</f>
        <v>351</v>
      </c>
      <c r="U460" s="38">
        <f>SUM(E520:E521)</f>
        <v>2452</v>
      </c>
      <c r="V460" s="38">
        <f>SUM(F520:F521)</f>
        <v>0</v>
      </c>
      <c r="Z460">
        <f t="shared" si="166"/>
        <v>2873</v>
      </c>
      <c r="AC460" s="50"/>
      <c r="AD460" s="37"/>
      <c r="AE460" s="37"/>
      <c r="AF460" s="37"/>
      <c r="AG460" s="37"/>
      <c r="AH460" s="37"/>
      <c r="AI460" s="37"/>
      <c r="AJ460" s="37"/>
      <c r="AS460" s="58"/>
    </row>
    <row r="461" spans="1:45" x14ac:dyDescent="0.2">
      <c r="A461" t="s">
        <v>4296</v>
      </c>
      <c r="B461">
        <f>SUM(FishSumAllPRN!B461)</f>
        <v>0</v>
      </c>
      <c r="C461">
        <f>SUM(FishSumAllPRN!C461)</f>
        <v>0</v>
      </c>
      <c r="D461">
        <f>SUM(FishSumAllPRN!D461)</f>
        <v>0</v>
      </c>
      <c r="E461">
        <f>SUM(FishSumAllPRN!E461)</f>
        <v>0</v>
      </c>
      <c r="F461">
        <f>SUM(FishSumAllPRN!F461)</f>
        <v>0</v>
      </c>
      <c r="G461">
        <f>SUM(FishSumAllPRN!G461)</f>
        <v>0</v>
      </c>
      <c r="H461" s="54" t="s">
        <v>294</v>
      </c>
      <c r="I461" s="54"/>
      <c r="K461" t="s">
        <v>5700</v>
      </c>
      <c r="R461" s="38">
        <f>SUM(B522)</f>
        <v>0</v>
      </c>
      <c r="S461" s="38">
        <f>SUM(C522)</f>
        <v>6</v>
      </c>
      <c r="T461" s="38">
        <f>SUM(D522)</f>
        <v>45</v>
      </c>
      <c r="U461" s="38">
        <f>SUM(E522)</f>
        <v>640</v>
      </c>
      <c r="V461" s="38">
        <f>SUM(F522)</f>
        <v>0</v>
      </c>
      <c r="Z461">
        <f t="shared" si="166"/>
        <v>691</v>
      </c>
      <c r="AC461" s="50" t="s">
        <v>5663</v>
      </c>
      <c r="AD461" s="37"/>
      <c r="AE461" s="37"/>
      <c r="AF461" s="37"/>
      <c r="AG461" s="37"/>
      <c r="AH461" s="37"/>
      <c r="AI461" s="37"/>
      <c r="AJ461" s="37" t="s">
        <v>5682</v>
      </c>
      <c r="AK461">
        <f t="shared" ref="AK461:AM464" si="187">SUM(R452)</f>
        <v>784</v>
      </c>
      <c r="AL461">
        <f t="shared" si="187"/>
        <v>1068</v>
      </c>
      <c r="AM461">
        <f t="shared" si="187"/>
        <v>1312</v>
      </c>
      <c r="AN461">
        <f t="shared" ref="AN461:AS464" si="188">SUM(U452)</f>
        <v>113</v>
      </c>
      <c r="AO461">
        <f t="shared" si="188"/>
        <v>0</v>
      </c>
      <c r="AP461">
        <f t="shared" si="188"/>
        <v>0</v>
      </c>
      <c r="AQ461">
        <f t="shared" si="188"/>
        <v>0</v>
      </c>
      <c r="AR461">
        <f t="shared" si="188"/>
        <v>0</v>
      </c>
      <c r="AS461" s="58">
        <f t="shared" si="188"/>
        <v>3277</v>
      </c>
    </row>
    <row r="462" spans="1:45" x14ac:dyDescent="0.2">
      <c r="A462" t="s">
        <v>4297</v>
      </c>
      <c r="B462">
        <f>SUM(FishSumAllPRN!B462)</f>
        <v>225</v>
      </c>
      <c r="C462">
        <f>SUM(FishSumAllPRN!C462)</f>
        <v>1279</v>
      </c>
      <c r="D462">
        <f>SUM(FishSumAllPRN!D462)</f>
        <v>4314</v>
      </c>
      <c r="E462">
        <f>SUM(FishSumAllPRN!E462)</f>
        <v>1186</v>
      </c>
      <c r="F462">
        <f>SUM(FishSumAllPRN!F462)</f>
        <v>0</v>
      </c>
      <c r="G462">
        <f>SUM(FishSumAllPRN!G462)</f>
        <v>7005</v>
      </c>
      <c r="H462" s="54" t="s">
        <v>294</v>
      </c>
      <c r="I462" s="54"/>
      <c r="K462" t="s">
        <v>5701</v>
      </c>
      <c r="R462" s="38">
        <f t="shared" ref="R462:T463" si="189">SUM(B535)</f>
        <v>0</v>
      </c>
      <c r="S462" s="38">
        <f t="shared" si="189"/>
        <v>0</v>
      </c>
      <c r="T462" s="38">
        <f t="shared" si="189"/>
        <v>0</v>
      </c>
      <c r="U462" s="38">
        <f>SUM(E535)</f>
        <v>0</v>
      </c>
      <c r="V462" s="38">
        <f>SUM(F535)</f>
        <v>0</v>
      </c>
      <c r="Z462">
        <f t="shared" si="166"/>
        <v>0</v>
      </c>
      <c r="AC462" s="50"/>
      <c r="AD462" s="37"/>
      <c r="AE462" s="37"/>
      <c r="AF462" s="37"/>
      <c r="AG462" s="37"/>
      <c r="AH462" s="37"/>
      <c r="AI462" s="37"/>
      <c r="AJ462" s="37" t="s">
        <v>5684</v>
      </c>
      <c r="AK462">
        <f t="shared" si="187"/>
        <v>1608</v>
      </c>
      <c r="AL462">
        <f t="shared" si="187"/>
        <v>2014</v>
      </c>
      <c r="AM462">
        <f t="shared" si="187"/>
        <v>3562</v>
      </c>
      <c r="AN462">
        <f t="shared" si="188"/>
        <v>36</v>
      </c>
      <c r="AO462">
        <f t="shared" si="188"/>
        <v>0</v>
      </c>
      <c r="AP462">
        <f t="shared" si="188"/>
        <v>0</v>
      </c>
      <c r="AQ462">
        <f t="shared" si="188"/>
        <v>0</v>
      </c>
      <c r="AR462">
        <f t="shared" si="188"/>
        <v>0</v>
      </c>
      <c r="AS462" s="58">
        <f t="shared" si="188"/>
        <v>7220</v>
      </c>
    </row>
    <row r="463" spans="1:45" x14ac:dyDescent="0.2">
      <c r="A463" t="s">
        <v>4298</v>
      </c>
      <c r="B463">
        <f>SUM(FishSumAllPRN!B463)</f>
        <v>1578</v>
      </c>
      <c r="C463">
        <f>SUM(FishSumAllPRN!C463)</f>
        <v>494</v>
      </c>
      <c r="D463">
        <f>SUM(FishSumAllPRN!D463)</f>
        <v>523</v>
      </c>
      <c r="E463">
        <f>SUM(FishSumAllPRN!E463)</f>
        <v>1547</v>
      </c>
      <c r="F463">
        <f>SUM(FishSumAllPRN!F463)</f>
        <v>0</v>
      </c>
      <c r="G463">
        <f>SUM(FishSumAllPRN!G463)</f>
        <v>4142</v>
      </c>
      <c r="H463" s="54" t="s">
        <v>294</v>
      </c>
      <c r="I463" s="54"/>
      <c r="K463" t="s">
        <v>5702</v>
      </c>
      <c r="R463" s="38">
        <f t="shared" si="189"/>
        <v>0</v>
      </c>
      <c r="S463" s="38">
        <f t="shared" si="189"/>
        <v>168</v>
      </c>
      <c r="T463" s="38">
        <f t="shared" si="189"/>
        <v>373</v>
      </c>
      <c r="U463" s="38">
        <f>SUM(E536)</f>
        <v>926</v>
      </c>
      <c r="V463" s="38">
        <f>SUM(F536)</f>
        <v>0</v>
      </c>
      <c r="Z463">
        <f t="shared" si="166"/>
        <v>1467</v>
      </c>
      <c r="AC463" s="50"/>
      <c r="AD463" s="37"/>
      <c r="AE463" s="37"/>
      <c r="AF463" s="37"/>
      <c r="AG463" s="37"/>
      <c r="AH463" s="37"/>
      <c r="AI463" s="37"/>
      <c r="AJ463" s="37" t="s">
        <v>5686</v>
      </c>
      <c r="AK463">
        <f t="shared" si="187"/>
        <v>1122</v>
      </c>
      <c r="AL463">
        <f t="shared" si="187"/>
        <v>1160</v>
      </c>
      <c r="AM463">
        <f t="shared" si="187"/>
        <v>1312</v>
      </c>
      <c r="AN463">
        <f t="shared" si="188"/>
        <v>18</v>
      </c>
      <c r="AO463">
        <f t="shared" si="188"/>
        <v>0</v>
      </c>
      <c r="AP463">
        <f t="shared" si="188"/>
        <v>0</v>
      </c>
      <c r="AQ463">
        <f t="shared" si="188"/>
        <v>0</v>
      </c>
      <c r="AR463">
        <f t="shared" si="188"/>
        <v>0</v>
      </c>
      <c r="AS463" s="58">
        <f t="shared" si="188"/>
        <v>3612</v>
      </c>
    </row>
    <row r="464" spans="1:45" x14ac:dyDescent="0.2">
      <c r="A464" t="s">
        <v>4299</v>
      </c>
      <c r="B464">
        <f>SUM(FishSumAllPRN!B464)</f>
        <v>898</v>
      </c>
      <c r="C464">
        <f>SUM(FishSumAllPRN!C464)</f>
        <v>475</v>
      </c>
      <c r="D464">
        <f>SUM(FishSumAllPRN!D464)</f>
        <v>853</v>
      </c>
      <c r="E464">
        <f>SUM(FishSumAllPRN!E464)</f>
        <v>1128</v>
      </c>
      <c r="F464">
        <f>SUM(FishSumAllPRN!F464)</f>
        <v>0</v>
      </c>
      <c r="G464">
        <f>SUM(FishSumAllPRN!G464)</f>
        <v>3354</v>
      </c>
      <c r="H464" s="54" t="s">
        <v>294</v>
      </c>
      <c r="I464" s="54"/>
      <c r="K464" t="s">
        <v>5703</v>
      </c>
      <c r="R464" s="38">
        <f>SUM(B581)</f>
        <v>0</v>
      </c>
      <c r="S464" s="38">
        <f>SUM(C581)</f>
        <v>0</v>
      </c>
      <c r="T464" s="38">
        <f>SUM(D581)</f>
        <v>0</v>
      </c>
      <c r="U464" s="38">
        <f>SUM(E581)</f>
        <v>0</v>
      </c>
      <c r="V464" s="38">
        <f>SUM(F581)</f>
        <v>0</v>
      </c>
      <c r="Z464">
        <f t="shared" si="166"/>
        <v>0</v>
      </c>
      <c r="AC464" s="50"/>
      <c r="AD464" s="37"/>
      <c r="AE464" s="37"/>
      <c r="AF464" s="37"/>
      <c r="AG464" s="37"/>
      <c r="AH464" s="37"/>
      <c r="AI464" s="37"/>
      <c r="AJ464" s="37" t="s">
        <v>5688</v>
      </c>
      <c r="AK464">
        <f t="shared" si="187"/>
        <v>173</v>
      </c>
      <c r="AL464">
        <f t="shared" si="187"/>
        <v>109</v>
      </c>
      <c r="AM464">
        <f t="shared" si="187"/>
        <v>113</v>
      </c>
      <c r="AN464">
        <f t="shared" si="188"/>
        <v>0</v>
      </c>
      <c r="AO464">
        <f t="shared" si="188"/>
        <v>0</v>
      </c>
      <c r="AP464">
        <f t="shared" si="188"/>
        <v>0</v>
      </c>
      <c r="AQ464">
        <f t="shared" si="188"/>
        <v>0</v>
      </c>
      <c r="AR464">
        <f t="shared" si="188"/>
        <v>0</v>
      </c>
      <c r="AS464" s="58">
        <f t="shared" si="188"/>
        <v>395</v>
      </c>
    </row>
    <row r="465" spans="1:45" x14ac:dyDescent="0.2">
      <c r="A465" t="s">
        <v>4300</v>
      </c>
      <c r="B465">
        <f>SUM(FishSumAllPRN!B465)</f>
        <v>18</v>
      </c>
      <c r="C465">
        <f>SUM(FishSumAllPRN!C465)</f>
        <v>0</v>
      </c>
      <c r="D465">
        <f>SUM(FishSumAllPRN!D465)</f>
        <v>0</v>
      </c>
      <c r="E465">
        <f>SUM(FishSumAllPRN!E465)</f>
        <v>0</v>
      </c>
      <c r="F465">
        <f>SUM(FishSumAllPRN!F465)</f>
        <v>0</v>
      </c>
      <c r="G465">
        <f>SUM(FishSumAllPRN!G465)</f>
        <v>18</v>
      </c>
      <c r="H465" s="54" t="s">
        <v>294</v>
      </c>
      <c r="I465" s="54"/>
      <c r="K465" t="s">
        <v>5705</v>
      </c>
      <c r="R465" s="38">
        <f>SUM(B547,B558,B565)</f>
        <v>62</v>
      </c>
      <c r="S465" s="38">
        <f>SUM(C547,C558,C565)</f>
        <v>4</v>
      </c>
      <c r="T465" s="38">
        <f>SUM(D547,D558,D565)</f>
        <v>11</v>
      </c>
      <c r="U465" s="38">
        <f>SUM(E547,E558,E565)</f>
        <v>62</v>
      </c>
      <c r="V465" s="38">
        <f>SUM(F547,F558,F565)</f>
        <v>18</v>
      </c>
      <c r="Z465">
        <f t="shared" si="166"/>
        <v>157</v>
      </c>
      <c r="AC465" s="50"/>
      <c r="AD465" s="37"/>
      <c r="AE465" s="37"/>
      <c r="AF465" s="37"/>
      <c r="AG465" s="37"/>
      <c r="AH465" s="37"/>
      <c r="AI465" s="37"/>
      <c r="AJ465" s="37" t="s">
        <v>5690</v>
      </c>
      <c r="AK465">
        <f>SUM(R456,R457)</f>
        <v>686</v>
      </c>
      <c r="AL465">
        <f>SUM(S456,S457)</f>
        <v>0</v>
      </c>
      <c r="AM465">
        <f>SUM(T456,T457)</f>
        <v>124</v>
      </c>
      <c r="AN465">
        <f>SUM(U456,U457)</f>
        <v>2</v>
      </c>
      <c r="AO465">
        <f>SUM(V456,V457)</f>
        <v>0</v>
      </c>
      <c r="AP465">
        <f>SUM(W456)</f>
        <v>0</v>
      </c>
      <c r="AQ465">
        <f>SUM(X456)</f>
        <v>0</v>
      </c>
      <c r="AR465">
        <f>SUM(Y456)</f>
        <v>0</v>
      </c>
      <c r="AS465" s="59">
        <f>SUM(Z456,Z457)</f>
        <v>812</v>
      </c>
    </row>
    <row r="466" spans="1:45" x14ac:dyDescent="0.2">
      <c r="A466" t="s">
        <v>4301</v>
      </c>
      <c r="B466">
        <f>SUM(FishSumAllPRN!B466)</f>
        <v>0</v>
      </c>
      <c r="C466">
        <f>SUM(FishSumAllPRN!C466)</f>
        <v>1088</v>
      </c>
      <c r="D466">
        <f>SUM(FishSumAllPRN!D466)</f>
        <v>3141</v>
      </c>
      <c r="E466">
        <f>SUM(FishSumAllPRN!E466)</f>
        <v>2117</v>
      </c>
      <c r="F466">
        <f>SUM(FishSumAllPRN!F466)</f>
        <v>0</v>
      </c>
      <c r="G466">
        <f>SUM(FishSumAllPRN!G466)</f>
        <v>6345</v>
      </c>
      <c r="H466" s="54" t="s">
        <v>294</v>
      </c>
      <c r="I466" s="54"/>
      <c r="K466" t="s">
        <v>5707</v>
      </c>
      <c r="R466" s="38">
        <f>SUM(B600:B602,B616:B617)</f>
        <v>74</v>
      </c>
      <c r="S466" s="38">
        <f>SUM(C600:C602,C616:C617)</f>
        <v>386</v>
      </c>
      <c r="T466" s="38">
        <f>SUM(D600:D602,D616:D617)</f>
        <v>405</v>
      </c>
      <c r="U466" s="38">
        <f>SUM(E600:E602,E616:E617)</f>
        <v>42</v>
      </c>
      <c r="V466" s="38">
        <f>SUM(F600:F602,F616:F617)</f>
        <v>0</v>
      </c>
      <c r="Z466">
        <f t="shared" si="166"/>
        <v>907</v>
      </c>
      <c r="AC466" s="50"/>
      <c r="AD466" s="37"/>
      <c r="AE466" s="37"/>
      <c r="AF466" s="37"/>
      <c r="AG466" s="37"/>
      <c r="AH466" s="37"/>
      <c r="AI466" s="37"/>
      <c r="AJ466" s="37" t="s">
        <v>5692</v>
      </c>
      <c r="AK466">
        <f t="shared" ref="AK466:AS466" si="190">SUM(R458)</f>
        <v>610</v>
      </c>
      <c r="AL466">
        <f t="shared" si="190"/>
        <v>96</v>
      </c>
      <c r="AM466">
        <f t="shared" si="190"/>
        <v>46</v>
      </c>
      <c r="AN466">
        <f t="shared" si="190"/>
        <v>1</v>
      </c>
      <c r="AO466">
        <f t="shared" si="190"/>
        <v>0</v>
      </c>
      <c r="AP466">
        <f t="shared" si="190"/>
        <v>0</v>
      </c>
      <c r="AQ466">
        <f t="shared" si="190"/>
        <v>0</v>
      </c>
      <c r="AR466">
        <f t="shared" si="190"/>
        <v>0</v>
      </c>
      <c r="AS466" s="58">
        <f t="shared" si="190"/>
        <v>753</v>
      </c>
    </row>
    <row r="467" spans="1:45" x14ac:dyDescent="0.2">
      <c r="A467" t="s">
        <v>4302</v>
      </c>
      <c r="B467">
        <f>SUM(FishSumAllPRN!B467)</f>
        <v>172</v>
      </c>
      <c r="C467">
        <f>SUM(FishSumAllPRN!C467)</f>
        <v>322</v>
      </c>
      <c r="D467">
        <f>SUM(FishSumAllPRN!D467)</f>
        <v>973</v>
      </c>
      <c r="E467">
        <f>SUM(FishSumAllPRN!E467)</f>
        <v>320</v>
      </c>
      <c r="F467">
        <f>SUM(FishSumAllPRN!F467)</f>
        <v>0</v>
      </c>
      <c r="G467">
        <f>SUM(FishSumAllPRN!G467)</f>
        <v>1787</v>
      </c>
      <c r="H467" s="54" t="s">
        <v>294</v>
      </c>
      <c r="I467" s="54"/>
      <c r="K467" t="s">
        <v>5708</v>
      </c>
      <c r="R467" s="38">
        <f t="shared" ref="R467:T468" si="191">SUM(B603)</f>
        <v>20</v>
      </c>
      <c r="S467" s="38">
        <f t="shared" si="191"/>
        <v>213</v>
      </c>
      <c r="T467" s="38">
        <f t="shared" si="191"/>
        <v>400</v>
      </c>
      <c r="U467" s="38">
        <f>SUM(E603)</f>
        <v>147</v>
      </c>
      <c r="V467" s="38">
        <f>SUM(F603)</f>
        <v>0</v>
      </c>
      <c r="Z467">
        <f t="shared" si="166"/>
        <v>780</v>
      </c>
      <c r="AC467" s="50"/>
      <c r="AD467" s="37"/>
      <c r="AE467" s="37"/>
      <c r="AF467" s="37"/>
      <c r="AG467" s="37"/>
      <c r="AH467" s="37"/>
      <c r="AI467" s="37"/>
      <c r="AJ467" s="37" t="s">
        <v>5694</v>
      </c>
      <c r="AK467" s="38">
        <f>SUM(R446)</f>
        <v>176</v>
      </c>
      <c r="AL467" s="38">
        <f>SUM(S446)</f>
        <v>140</v>
      </c>
      <c r="AM467" s="38">
        <f>SUM(T446)</f>
        <v>19</v>
      </c>
      <c r="AN467" s="38">
        <f>SUM(U446)</f>
        <v>12</v>
      </c>
      <c r="AO467" s="38">
        <f>SUM(V446)</f>
        <v>0</v>
      </c>
      <c r="AP467">
        <f>SUM(W459)</f>
        <v>0</v>
      </c>
      <c r="AQ467">
        <f>SUM(X459)</f>
        <v>0</v>
      </c>
      <c r="AR467">
        <f>SUM(Y459)</f>
        <v>0</v>
      </c>
      <c r="AS467" s="58">
        <f>SUM(Z446)</f>
        <v>347</v>
      </c>
    </row>
    <row r="468" spans="1:45" x14ac:dyDescent="0.2">
      <c r="A468" t="s">
        <v>4303</v>
      </c>
      <c r="B468">
        <f>SUM(FishSumAllPRN!B468)</f>
        <v>171</v>
      </c>
      <c r="C468">
        <f>SUM(FishSumAllPRN!C468)</f>
        <v>0</v>
      </c>
      <c r="D468">
        <f>SUM(FishSumAllPRN!D468)</f>
        <v>0</v>
      </c>
      <c r="E468">
        <f>SUM(FishSumAllPRN!E468)</f>
        <v>0</v>
      </c>
      <c r="F468">
        <f>SUM(FishSumAllPRN!F468)</f>
        <v>0</v>
      </c>
      <c r="G468">
        <f>SUM(FishSumAllPRN!G468)</f>
        <v>171</v>
      </c>
      <c r="H468" s="54" t="s">
        <v>294</v>
      </c>
      <c r="I468" s="54"/>
      <c r="K468" t="s">
        <v>5710</v>
      </c>
      <c r="R468" s="38">
        <f t="shared" si="191"/>
        <v>70</v>
      </c>
      <c r="S468" s="38">
        <f t="shared" si="191"/>
        <v>38</v>
      </c>
      <c r="T468" s="38">
        <f t="shared" si="191"/>
        <v>41</v>
      </c>
      <c r="U468" s="38">
        <f>SUM(E604)</f>
        <v>24</v>
      </c>
      <c r="V468" s="38">
        <f>SUM(F604)</f>
        <v>0</v>
      </c>
      <c r="Z468">
        <f t="shared" si="166"/>
        <v>173</v>
      </c>
      <c r="AC468" s="60" t="s">
        <v>5706</v>
      </c>
      <c r="AD468" s="1952"/>
      <c r="AE468" s="1952"/>
      <c r="AF468" s="1952"/>
      <c r="AG468" s="1952"/>
      <c r="AH468" s="1952"/>
      <c r="AI468" s="1952"/>
      <c r="AJ468" s="1952"/>
      <c r="AK468" s="1959">
        <f t="shared" ref="AK468:AS468" si="192">SUM(AK453:AK467)</f>
        <v>10780</v>
      </c>
      <c r="AL468" s="1959">
        <f t="shared" si="192"/>
        <v>6013</v>
      </c>
      <c r="AM468" s="1959">
        <f t="shared" si="192"/>
        <v>8252</v>
      </c>
      <c r="AN468" s="1959">
        <f t="shared" si="192"/>
        <v>468</v>
      </c>
      <c r="AO468" s="1959">
        <f t="shared" si="192"/>
        <v>0</v>
      </c>
      <c r="AP468" s="1959">
        <f t="shared" si="192"/>
        <v>0</v>
      </c>
      <c r="AQ468" s="1959">
        <f t="shared" si="192"/>
        <v>0</v>
      </c>
      <c r="AR468" s="1959">
        <f t="shared" si="192"/>
        <v>0</v>
      </c>
      <c r="AS468" s="1954">
        <f t="shared" si="192"/>
        <v>25539</v>
      </c>
    </row>
    <row r="469" spans="1:45" x14ac:dyDescent="0.2">
      <c r="A469" t="s">
        <v>4304</v>
      </c>
      <c r="B469">
        <f>SUM(FishSumAllPRN!B469)</f>
        <v>18</v>
      </c>
      <c r="C469">
        <f>SUM(FishSumAllPRN!C469)</f>
        <v>60</v>
      </c>
      <c r="D469">
        <f>SUM(FishSumAllPRN!D469)</f>
        <v>233</v>
      </c>
      <c r="E469">
        <f>SUM(FishSumAllPRN!E469)</f>
        <v>193</v>
      </c>
      <c r="F469">
        <f>SUM(FishSumAllPRN!F469)</f>
        <v>0</v>
      </c>
      <c r="G469">
        <f>SUM(FishSumAllPRN!G469)</f>
        <v>505</v>
      </c>
      <c r="H469" s="54" t="s">
        <v>294</v>
      </c>
      <c r="I469" s="54"/>
      <c r="K469" t="s">
        <v>5711</v>
      </c>
      <c r="R469" s="38">
        <f>SUM(B619,B609:B610)</f>
        <v>31</v>
      </c>
      <c r="S469" s="38">
        <f>SUM(C619,C609:C610)</f>
        <v>271</v>
      </c>
      <c r="T469" s="38">
        <f>SUM(D619,D609:D610)</f>
        <v>921</v>
      </c>
      <c r="U469" s="38">
        <f>SUM(E619,E609:E610)</f>
        <v>314</v>
      </c>
      <c r="V469" s="38">
        <f>SUM(F619,F609:F610)</f>
        <v>8</v>
      </c>
      <c r="Z469">
        <f t="shared" si="166"/>
        <v>1545</v>
      </c>
      <c r="AC469" s="50"/>
      <c r="AD469" s="37"/>
      <c r="AE469" s="37"/>
      <c r="AF469" s="37"/>
      <c r="AG469" s="37"/>
      <c r="AH469" s="37"/>
      <c r="AI469" s="37"/>
      <c r="AJ469" s="37"/>
      <c r="AS469" s="58"/>
    </row>
    <row r="470" spans="1:45" x14ac:dyDescent="0.2">
      <c r="A470" t="s">
        <v>4305</v>
      </c>
      <c r="B470">
        <f>SUM(FishSumAllPRN!B470)</f>
        <v>403</v>
      </c>
      <c r="C470">
        <f>SUM(FishSumAllPRN!C470)</f>
        <v>717</v>
      </c>
      <c r="D470">
        <f>SUM(FishSumAllPRN!D470)</f>
        <v>1090</v>
      </c>
      <c r="E470">
        <f>SUM(FishSumAllPRN!E470)</f>
        <v>378</v>
      </c>
      <c r="F470">
        <f>SUM(FishSumAllPRN!F470)</f>
        <v>0</v>
      </c>
      <c r="G470">
        <f>SUM(FishSumAllPRN!G470)</f>
        <v>2588</v>
      </c>
      <c r="H470" s="54" t="s">
        <v>294</v>
      </c>
      <c r="I470" s="54"/>
      <c r="K470" t="s">
        <v>5712</v>
      </c>
      <c r="R470" s="365">
        <f>SUM(B599)</f>
        <v>0</v>
      </c>
      <c r="S470" s="365">
        <f>SUM(C599)</f>
        <v>0</v>
      </c>
      <c r="T470" s="365">
        <f>SUM(D599)</f>
        <v>0</v>
      </c>
      <c r="U470" s="365">
        <f>SUM(E599)</f>
        <v>0</v>
      </c>
      <c r="V470" s="365">
        <f>SUM(F599)</f>
        <v>0</v>
      </c>
      <c r="Z470">
        <f t="shared" si="166"/>
        <v>0</v>
      </c>
      <c r="AC470" s="50" t="s">
        <v>5709</v>
      </c>
      <c r="AD470" s="37"/>
      <c r="AE470" s="37"/>
      <c r="AF470" s="37"/>
      <c r="AG470" s="37"/>
      <c r="AH470" s="37"/>
      <c r="AI470" s="37"/>
      <c r="AJ470" s="37"/>
      <c r="AS470" s="58"/>
    </row>
    <row r="471" spans="1:45" x14ac:dyDescent="0.2">
      <c r="A471" t="s">
        <v>4306</v>
      </c>
      <c r="B471">
        <f>SUM(FishSumAllPRN!B471)</f>
        <v>95</v>
      </c>
      <c r="C471">
        <f>SUM(FishSumAllPRN!C471)</f>
        <v>261</v>
      </c>
      <c r="D471">
        <f>SUM(FishSumAllPRN!D471)</f>
        <v>72</v>
      </c>
      <c r="E471">
        <f>SUM(FishSumAllPRN!E471)</f>
        <v>87</v>
      </c>
      <c r="F471">
        <f>SUM(FishSumAllPRN!F471)</f>
        <v>0</v>
      </c>
      <c r="G471">
        <f>SUM(FishSumAllPRN!G471)</f>
        <v>515</v>
      </c>
      <c r="H471" s="54" t="s">
        <v>294</v>
      </c>
      <c r="I471" s="54"/>
      <c r="K471" t="s">
        <v>5713</v>
      </c>
      <c r="R471" s="38">
        <f>SUM(B605)</f>
        <v>0</v>
      </c>
      <c r="S471" s="38">
        <f>SUM(C605)</f>
        <v>0</v>
      </c>
      <c r="T471" s="38">
        <f>SUM(D605)</f>
        <v>0</v>
      </c>
      <c r="U471" s="38">
        <f>SUM(E605)</f>
        <v>0</v>
      </c>
      <c r="V471" s="38">
        <f>SUM(F605)</f>
        <v>0</v>
      </c>
      <c r="Z471">
        <f t="shared" si="166"/>
        <v>0</v>
      </c>
      <c r="AC471" s="50" t="s">
        <v>5644</v>
      </c>
      <c r="AD471" s="37"/>
      <c r="AE471" s="37"/>
      <c r="AF471" s="37"/>
      <c r="AG471" s="37"/>
      <c r="AH471" s="37"/>
      <c r="AI471" s="37"/>
      <c r="AJ471" s="37" t="s">
        <v>30</v>
      </c>
      <c r="AK471">
        <f t="shared" ref="AK471:AS471" si="193">SUM(R459)</f>
        <v>0</v>
      </c>
      <c r="AL471">
        <f t="shared" si="193"/>
        <v>0</v>
      </c>
      <c r="AM471">
        <f t="shared" si="193"/>
        <v>0</v>
      </c>
      <c r="AN471">
        <f t="shared" si="193"/>
        <v>0</v>
      </c>
      <c r="AO471">
        <f t="shared" si="193"/>
        <v>1</v>
      </c>
      <c r="AP471">
        <f t="shared" si="193"/>
        <v>0</v>
      </c>
      <c r="AQ471">
        <f t="shared" si="193"/>
        <v>0</v>
      </c>
      <c r="AR471">
        <f t="shared" si="193"/>
        <v>0</v>
      </c>
      <c r="AS471" s="58">
        <f t="shared" si="193"/>
        <v>1</v>
      </c>
    </row>
    <row r="472" spans="1:45" x14ac:dyDescent="0.2">
      <c r="A472" t="s">
        <v>4307</v>
      </c>
      <c r="B472">
        <f>SUM(FishSumAllPRN!B472)</f>
        <v>589</v>
      </c>
      <c r="C472">
        <f>SUM(FishSumAllPRN!C472)</f>
        <v>0</v>
      </c>
      <c r="D472">
        <f>SUM(FishSumAllPRN!D472)</f>
        <v>0</v>
      </c>
      <c r="E472">
        <f>SUM(FishSumAllPRN!E472)</f>
        <v>0</v>
      </c>
      <c r="F472">
        <f>SUM(FishSumAllPRN!F472)</f>
        <v>2</v>
      </c>
      <c r="G472">
        <f>SUM(FishSumAllPRN!G472)</f>
        <v>591</v>
      </c>
      <c r="H472" s="54" t="s">
        <v>294</v>
      </c>
      <c r="I472" s="54"/>
      <c r="K472" t="s">
        <v>5714</v>
      </c>
      <c r="R472">
        <v>0</v>
      </c>
      <c r="S472">
        <v>0</v>
      </c>
      <c r="T472">
        <v>0</v>
      </c>
      <c r="U472">
        <v>0</v>
      </c>
      <c r="V472">
        <v>0</v>
      </c>
      <c r="Z472">
        <f t="shared" si="166"/>
        <v>0</v>
      </c>
      <c r="AC472" s="50"/>
      <c r="AD472" s="37"/>
      <c r="AE472" s="37"/>
      <c r="AF472" s="37"/>
      <c r="AG472" s="37"/>
      <c r="AH472" s="37"/>
      <c r="AI472" s="37"/>
      <c r="AJ472" s="37"/>
      <c r="AS472" s="58"/>
    </row>
    <row r="473" spans="1:45" x14ac:dyDescent="0.2">
      <c r="A473" t="s">
        <v>4308</v>
      </c>
      <c r="B473">
        <f>SUM(FishSumAllPRN!B473)</f>
        <v>0</v>
      </c>
      <c r="C473">
        <f>SUM(FishSumAllPRN!C473)</f>
        <v>0</v>
      </c>
      <c r="D473">
        <f>SUM(FishSumAllPRN!D473)</f>
        <v>0</v>
      </c>
      <c r="E473">
        <f>SUM(FishSumAllPRN!E473)</f>
        <v>0</v>
      </c>
      <c r="F473">
        <f>SUM(FishSumAllPRN!F473)</f>
        <v>1</v>
      </c>
      <c r="G473">
        <f>SUM(FishSumAllPRN!G473)</f>
        <v>1</v>
      </c>
      <c r="H473" s="54" t="s">
        <v>294</v>
      </c>
      <c r="I473" s="54"/>
      <c r="K473" t="s">
        <v>5715</v>
      </c>
      <c r="R473" s="38">
        <f>SUM(B606)</f>
        <v>0</v>
      </c>
      <c r="S473" s="38">
        <f>SUM(C606)</f>
        <v>0</v>
      </c>
      <c r="T473" s="38">
        <f>SUM(D606)</f>
        <v>0</v>
      </c>
      <c r="U473" s="38">
        <f>SUM(E606)</f>
        <v>0</v>
      </c>
      <c r="V473" s="38">
        <f>SUM(F606)</f>
        <v>0</v>
      </c>
      <c r="Z473">
        <f t="shared" si="166"/>
        <v>0</v>
      </c>
      <c r="AC473" s="50" t="s">
        <v>5663</v>
      </c>
      <c r="AD473" s="37"/>
      <c r="AE473" s="37"/>
      <c r="AF473" s="37"/>
      <c r="AG473" s="37"/>
      <c r="AH473" s="37"/>
      <c r="AI473" s="37"/>
      <c r="AJ473" s="37" t="s">
        <v>149</v>
      </c>
      <c r="AK473" s="38">
        <f t="shared" ref="AK473:AM474" si="194">SUM(B520)</f>
        <v>27</v>
      </c>
      <c r="AL473" s="38">
        <f t="shared" si="194"/>
        <v>39</v>
      </c>
      <c r="AM473" s="38">
        <f t="shared" si="194"/>
        <v>285</v>
      </c>
      <c r="AN473" s="38">
        <f t="shared" ref="AN473:AQ474" si="195">SUM(E520)</f>
        <v>1727</v>
      </c>
      <c r="AO473" s="38">
        <f t="shared" si="195"/>
        <v>0</v>
      </c>
      <c r="AP473" s="38">
        <f t="shared" si="195"/>
        <v>2078</v>
      </c>
      <c r="AQ473" s="38">
        <f t="shared" si="195"/>
        <v>0</v>
      </c>
      <c r="AR473" s="38">
        <f>SUM(J520)</f>
        <v>0</v>
      </c>
      <c r="AS473" s="59">
        <f t="shared" ref="AS473:AS482" si="196">SUM(AK473:AO473)</f>
        <v>2078</v>
      </c>
    </row>
    <row r="474" spans="1:45" x14ac:dyDescent="0.2">
      <c r="A474" t="s">
        <v>4309</v>
      </c>
      <c r="B474">
        <f>SUM(FishSumAllPRN!B474)</f>
        <v>0</v>
      </c>
      <c r="C474">
        <f>SUM(FishSumAllPRN!C474)</f>
        <v>0</v>
      </c>
      <c r="D474">
        <f>SUM(FishSumAllPRN!D474)</f>
        <v>0</v>
      </c>
      <c r="E474">
        <f>SUM(FishSumAllPRN!E474)</f>
        <v>0</v>
      </c>
      <c r="F474">
        <f>SUM(FishSumAllPRN!F474)</f>
        <v>0</v>
      </c>
      <c r="G474">
        <f>SUM(FishSumAllPRN!G474)</f>
        <v>0</v>
      </c>
      <c r="H474" s="54" t="s">
        <v>294</v>
      </c>
      <c r="I474" s="54"/>
      <c r="K474" t="s">
        <v>5716</v>
      </c>
      <c r="R474" s="365">
        <f>SUM(B615)</f>
        <v>7</v>
      </c>
      <c r="S474" s="365">
        <f>SUM(C615)</f>
        <v>297</v>
      </c>
      <c r="T474" s="365">
        <f>SUM(D615)</f>
        <v>255</v>
      </c>
      <c r="U474" s="365">
        <f>SUM(E615)</f>
        <v>0</v>
      </c>
      <c r="V474" s="365">
        <f>SUM(F615)</f>
        <v>0</v>
      </c>
      <c r="Z474">
        <f t="shared" si="166"/>
        <v>559</v>
      </c>
      <c r="AC474" s="50"/>
      <c r="AD474" s="37"/>
      <c r="AE474" s="37"/>
      <c r="AF474" s="37"/>
      <c r="AG474" s="37"/>
      <c r="AH474" s="37"/>
      <c r="AI474" s="37"/>
      <c r="AJ474" s="37" t="s">
        <v>151</v>
      </c>
      <c r="AK474" s="38">
        <f t="shared" si="194"/>
        <v>0</v>
      </c>
      <c r="AL474" s="38">
        <f t="shared" si="194"/>
        <v>4</v>
      </c>
      <c r="AM474" s="38">
        <f t="shared" si="194"/>
        <v>66</v>
      </c>
      <c r="AN474" s="38">
        <f t="shared" si="195"/>
        <v>725</v>
      </c>
      <c r="AO474" s="38">
        <f t="shared" si="195"/>
        <v>0</v>
      </c>
      <c r="AP474" s="38">
        <f t="shared" si="195"/>
        <v>795</v>
      </c>
      <c r="AQ474" s="38">
        <f t="shared" si="195"/>
        <v>0</v>
      </c>
      <c r="AR474" s="38">
        <f>SUM(J521)</f>
        <v>0</v>
      </c>
      <c r="AS474" s="59">
        <f t="shared" si="196"/>
        <v>795</v>
      </c>
    </row>
    <row r="475" spans="1:45" x14ac:dyDescent="0.2">
      <c r="A475" t="s">
        <v>4310</v>
      </c>
      <c r="B475">
        <f>SUM(FishSumAllPRN!B475)</f>
        <v>0</v>
      </c>
      <c r="C475">
        <f>SUM(FishSumAllPRN!C475)</f>
        <v>0</v>
      </c>
      <c r="D475">
        <f>SUM(FishSumAllPRN!D475)</f>
        <v>0</v>
      </c>
      <c r="E475">
        <f>SUM(FishSumAllPRN!E475)</f>
        <v>0</v>
      </c>
      <c r="F475">
        <f>SUM(FishSumAllPRN!F475)</f>
        <v>0</v>
      </c>
      <c r="G475">
        <f>SUM(FishSumAllPRN!G475)</f>
        <v>0</v>
      </c>
      <c r="H475" s="54" t="s">
        <v>294</v>
      </c>
      <c r="I475" s="54"/>
      <c r="K475" t="s">
        <v>5717</v>
      </c>
      <c r="R475" s="177">
        <f>SUM(B598,B620:B621,B618)</f>
        <v>291</v>
      </c>
      <c r="S475" s="177">
        <f>SUM(C598,C620:C621,C618)</f>
        <v>382</v>
      </c>
      <c r="T475" s="177">
        <f>SUM(D598,D620:D621,D618)</f>
        <v>534</v>
      </c>
      <c r="U475" s="177">
        <f>SUM(E598,E620:E621,E618)</f>
        <v>585</v>
      </c>
      <c r="V475" s="177">
        <f>SUM(F598,F620:F621,F618)</f>
        <v>101</v>
      </c>
      <c r="Z475">
        <f t="shared" si="166"/>
        <v>1893</v>
      </c>
      <c r="AC475" s="50"/>
      <c r="AD475" s="37"/>
      <c r="AE475" s="37"/>
      <c r="AF475" s="37"/>
      <c r="AG475" s="37"/>
      <c r="AH475" s="37"/>
      <c r="AI475" s="37"/>
      <c r="AJ475" s="37" t="s">
        <v>153</v>
      </c>
      <c r="AK475">
        <f t="shared" ref="AK475:AR475" si="197">SUM(R461)</f>
        <v>0</v>
      </c>
      <c r="AL475">
        <f t="shared" si="197"/>
        <v>6</v>
      </c>
      <c r="AM475">
        <f t="shared" si="197"/>
        <v>45</v>
      </c>
      <c r="AN475">
        <f t="shared" si="197"/>
        <v>640</v>
      </c>
      <c r="AO475">
        <f t="shared" si="197"/>
        <v>0</v>
      </c>
      <c r="AP475">
        <f t="shared" si="197"/>
        <v>0</v>
      </c>
      <c r="AQ475">
        <f t="shared" si="197"/>
        <v>0</v>
      </c>
      <c r="AR475">
        <f t="shared" si="197"/>
        <v>0</v>
      </c>
      <c r="AS475" s="59">
        <f t="shared" si="196"/>
        <v>691</v>
      </c>
    </row>
    <row r="476" spans="1:45" x14ac:dyDescent="0.2">
      <c r="A476" t="s">
        <v>4311</v>
      </c>
      <c r="B476">
        <f>SUM(FishSumAllPRN!B476)</f>
        <v>0</v>
      </c>
      <c r="C476">
        <f>SUM(FishSumAllPRN!C476)</f>
        <v>0</v>
      </c>
      <c r="D476">
        <f>SUM(FishSumAllPRN!D476)</f>
        <v>0</v>
      </c>
      <c r="E476">
        <f>SUM(FishSumAllPRN!E476)</f>
        <v>0</v>
      </c>
      <c r="F476">
        <f>SUM(FishSumAllPRN!F476)</f>
        <v>0</v>
      </c>
      <c r="G476">
        <f>SUM(FishSumAllPRN!G476)</f>
        <v>0</v>
      </c>
      <c r="H476" s="54" t="s">
        <v>294</v>
      </c>
      <c r="I476" s="54"/>
      <c r="K476" t="s">
        <v>5718</v>
      </c>
      <c r="R476" s="38">
        <f t="shared" ref="R476:T477" si="198">SUM(B516)</f>
        <v>0</v>
      </c>
      <c r="S476" s="38">
        <f t="shared" si="198"/>
        <v>0</v>
      </c>
      <c r="T476" s="38">
        <f t="shared" si="198"/>
        <v>200</v>
      </c>
      <c r="U476" s="38">
        <f>SUM(E516)</f>
        <v>910</v>
      </c>
      <c r="V476" s="38">
        <f>SUM(F516)</f>
        <v>3913</v>
      </c>
      <c r="Z476">
        <f t="shared" si="166"/>
        <v>5023</v>
      </c>
      <c r="AC476" s="50"/>
      <c r="AD476" s="37"/>
      <c r="AE476" s="37"/>
      <c r="AF476" s="37"/>
      <c r="AG476" s="37"/>
      <c r="AH476" s="37"/>
      <c r="AI476" s="37"/>
      <c r="AJ476" s="37" t="s">
        <v>155</v>
      </c>
      <c r="AK476">
        <f>SUM(B535)</f>
        <v>0</v>
      </c>
      <c r="AL476">
        <f>SUM(C535)</f>
        <v>0</v>
      </c>
      <c r="AM476">
        <f>SUM(D535)</f>
        <v>0</v>
      </c>
      <c r="AN476">
        <f>SUM(E535)</f>
        <v>0</v>
      </c>
      <c r="AO476">
        <f>SUM(F535)</f>
        <v>0</v>
      </c>
      <c r="AS476" s="59">
        <f t="shared" si="196"/>
        <v>0</v>
      </c>
    </row>
    <row r="477" spans="1:45" x14ac:dyDescent="0.2">
      <c r="A477" t="s">
        <v>4312</v>
      </c>
      <c r="B477">
        <f>SUM(FishSumAllPRN!B477)</f>
        <v>0</v>
      </c>
      <c r="C477">
        <f>SUM(FishSumAllPRN!C477)</f>
        <v>0</v>
      </c>
      <c r="D477">
        <f>SUM(FishSumAllPRN!D477)</f>
        <v>0</v>
      </c>
      <c r="E477">
        <f>SUM(FishSumAllPRN!E477)</f>
        <v>0</v>
      </c>
      <c r="F477">
        <f>SUM(FishSumAllPRN!F477)</f>
        <v>0</v>
      </c>
      <c r="G477">
        <f>SUM(FishSumAllPRN!G477)</f>
        <v>0</v>
      </c>
      <c r="H477" s="54" t="s">
        <v>294</v>
      </c>
      <c r="I477" s="54"/>
      <c r="K477" t="s">
        <v>5719</v>
      </c>
      <c r="R477" s="38">
        <f t="shared" si="198"/>
        <v>0</v>
      </c>
      <c r="S477" s="38">
        <f t="shared" si="198"/>
        <v>0</v>
      </c>
      <c r="T477" s="38">
        <f t="shared" si="198"/>
        <v>0</v>
      </c>
      <c r="U477" s="38">
        <f>SUM(E517)</f>
        <v>0</v>
      </c>
      <c r="V477" s="38">
        <f>SUM(F517)</f>
        <v>0</v>
      </c>
      <c r="Z477">
        <f t="shared" si="166"/>
        <v>0</v>
      </c>
      <c r="AC477" s="50"/>
      <c r="AD477" s="37"/>
      <c r="AE477" s="37"/>
      <c r="AF477" s="37"/>
      <c r="AG477" s="37"/>
      <c r="AH477" s="37"/>
      <c r="AI477" s="37"/>
      <c r="AJ477" s="37" t="s">
        <v>157</v>
      </c>
      <c r="AK477">
        <f>SUM(B544)</f>
        <v>0</v>
      </c>
      <c r="AL477">
        <f>SUM(C544)</f>
        <v>0</v>
      </c>
      <c r="AM477">
        <f>SUM(D544)</f>
        <v>25</v>
      </c>
      <c r="AN477">
        <f>SUM(E544)</f>
        <v>867</v>
      </c>
      <c r="AO477">
        <f>SUM(F544)</f>
        <v>0</v>
      </c>
      <c r="AP477">
        <f>SUM(W462,W463,W464,W465)</f>
        <v>0</v>
      </c>
      <c r="AQ477">
        <f>SUM(X462,X463,X464,X465)</f>
        <v>0</v>
      </c>
      <c r="AR477">
        <f>SUM(Y462,Y463,Y464,Y465)</f>
        <v>0</v>
      </c>
      <c r="AS477" s="59">
        <f t="shared" si="196"/>
        <v>892</v>
      </c>
    </row>
    <row r="478" spans="1:45" x14ac:dyDescent="0.2">
      <c r="A478" t="s">
        <v>4313</v>
      </c>
      <c r="B478">
        <f>SUM(FishSumAllPRN!B478)</f>
        <v>0</v>
      </c>
      <c r="C478">
        <f>SUM(FishSumAllPRN!C478)</f>
        <v>0</v>
      </c>
      <c r="D478">
        <f>SUM(FishSumAllPRN!D478)</f>
        <v>0</v>
      </c>
      <c r="E478">
        <f>SUM(FishSumAllPRN!E478)</f>
        <v>0</v>
      </c>
      <c r="F478">
        <f>SUM(FishSumAllPRN!F478)</f>
        <v>0</v>
      </c>
      <c r="G478">
        <f>SUM(FishSumAllPRN!G478)</f>
        <v>0</v>
      </c>
      <c r="H478" s="54" t="s">
        <v>294</v>
      </c>
      <c r="I478" s="54"/>
      <c r="K478" t="s">
        <v>5720</v>
      </c>
      <c r="R478" s="38">
        <f t="shared" ref="R478:T479" si="199">SUM(B525)</f>
        <v>0</v>
      </c>
      <c r="S478" s="38">
        <f t="shared" si="199"/>
        <v>0</v>
      </c>
      <c r="T478" s="38">
        <f t="shared" si="199"/>
        <v>0</v>
      </c>
      <c r="U478" s="38">
        <f>SUM(E525)</f>
        <v>0</v>
      </c>
      <c r="V478" s="38">
        <f>SUM(F525)</f>
        <v>0</v>
      </c>
      <c r="Z478">
        <f t="shared" si="166"/>
        <v>0</v>
      </c>
      <c r="AC478" s="50"/>
      <c r="AD478" s="37"/>
      <c r="AE478" s="37"/>
      <c r="AF478" s="37"/>
      <c r="AG478" s="37"/>
      <c r="AH478" s="37"/>
      <c r="AI478" s="37"/>
      <c r="AJ478" s="37" t="s">
        <v>159</v>
      </c>
      <c r="AK478" s="38">
        <f>SUM(R463)</f>
        <v>0</v>
      </c>
      <c r="AL478" s="38">
        <f>SUM(S463)</f>
        <v>168</v>
      </c>
      <c r="AM478" s="38">
        <f>SUM(T463)</f>
        <v>373</v>
      </c>
      <c r="AN478" s="38">
        <f>SUM(U463)</f>
        <v>926</v>
      </c>
      <c r="AO478" s="38">
        <f>SUM(V463)</f>
        <v>0</v>
      </c>
      <c r="AS478" s="59">
        <f t="shared" si="196"/>
        <v>1467</v>
      </c>
    </row>
    <row r="479" spans="1:45" x14ac:dyDescent="0.2">
      <c r="A479" t="s">
        <v>4314</v>
      </c>
      <c r="B479">
        <f>SUM(FishSumAllPRN!B479)</f>
        <v>0</v>
      </c>
      <c r="C479">
        <f>SUM(FishSumAllPRN!C479)</f>
        <v>0</v>
      </c>
      <c r="D479">
        <f>SUM(FishSumAllPRN!D479)</f>
        <v>0</v>
      </c>
      <c r="E479">
        <f>SUM(FishSumAllPRN!E479)</f>
        <v>0</v>
      </c>
      <c r="F479">
        <f>SUM(FishSumAllPRN!F479)</f>
        <v>0</v>
      </c>
      <c r="G479">
        <f>SUM(FishSumAllPRN!G479)</f>
        <v>0</v>
      </c>
      <c r="H479" s="54" t="s">
        <v>294</v>
      </c>
      <c r="I479" s="54"/>
      <c r="K479" t="s">
        <v>5721</v>
      </c>
      <c r="R479" s="38">
        <f t="shared" si="199"/>
        <v>0</v>
      </c>
      <c r="S479" s="38">
        <f t="shared" si="199"/>
        <v>0</v>
      </c>
      <c r="T479" s="38">
        <f t="shared" si="199"/>
        <v>0</v>
      </c>
      <c r="U479" s="38">
        <f>SUM(E526)</f>
        <v>0</v>
      </c>
      <c r="V479" s="38">
        <f>SUM(F526)</f>
        <v>0</v>
      </c>
      <c r="Z479">
        <f t="shared" si="166"/>
        <v>0</v>
      </c>
      <c r="AC479" s="50"/>
      <c r="AD479" s="37"/>
      <c r="AE479" s="37"/>
      <c r="AF479" s="37"/>
      <c r="AG479" s="37"/>
      <c r="AH479" s="37"/>
      <c r="AI479" s="37"/>
      <c r="AJ479" s="37" t="s">
        <v>161</v>
      </c>
      <c r="AK479">
        <f>SUM(B547)</f>
        <v>0</v>
      </c>
      <c r="AL479">
        <f>SUM(C547)</f>
        <v>0</v>
      </c>
      <c r="AM479">
        <f>SUM(D547)</f>
        <v>0</v>
      </c>
      <c r="AN479">
        <f>SUM(E547)</f>
        <v>0</v>
      </c>
      <c r="AO479">
        <f>SUM(F547)</f>
        <v>0</v>
      </c>
      <c r="AS479" s="59">
        <f t="shared" si="196"/>
        <v>0</v>
      </c>
    </row>
    <row r="480" spans="1:45" x14ac:dyDescent="0.2">
      <c r="A480" t="s">
        <v>4315</v>
      </c>
      <c r="B480">
        <f>SUM(FishSumAllPRN!B480)</f>
        <v>0</v>
      </c>
      <c r="C480">
        <f>SUM(FishSumAllPRN!C480)</f>
        <v>0</v>
      </c>
      <c r="D480">
        <f>SUM(FishSumAllPRN!D480)</f>
        <v>0</v>
      </c>
      <c r="E480">
        <f>SUM(FishSumAllPRN!E480)</f>
        <v>0</v>
      </c>
      <c r="F480">
        <f>SUM(FishSumAllPRN!F480)</f>
        <v>0</v>
      </c>
      <c r="G480">
        <f>SUM(FishSumAllPRN!G480)</f>
        <v>0</v>
      </c>
      <c r="H480" s="54" t="s">
        <v>294</v>
      </c>
      <c r="I480" s="54"/>
      <c r="K480" t="s">
        <v>5722</v>
      </c>
      <c r="R480" s="38">
        <f t="shared" ref="R480:T481" si="200">SUM(B509)</f>
        <v>0</v>
      </c>
      <c r="S480" s="38">
        <f t="shared" si="200"/>
        <v>0</v>
      </c>
      <c r="T480" s="38">
        <f t="shared" si="200"/>
        <v>0</v>
      </c>
      <c r="U480" s="38">
        <f>SUM(E509)</f>
        <v>0</v>
      </c>
      <c r="V480" s="38">
        <f>SUM(F509)</f>
        <v>0</v>
      </c>
      <c r="Z480">
        <f t="shared" si="166"/>
        <v>0</v>
      </c>
      <c r="AC480" s="50"/>
      <c r="AD480" s="37"/>
      <c r="AE480" s="37"/>
      <c r="AF480" s="37"/>
      <c r="AG480" s="37"/>
      <c r="AH480" s="37"/>
      <c r="AI480" s="37"/>
      <c r="AJ480" s="37" t="s">
        <v>163</v>
      </c>
      <c r="AK480">
        <f>SUM(B558)</f>
        <v>0</v>
      </c>
      <c r="AL480">
        <f>SUM(C558)</f>
        <v>0</v>
      </c>
      <c r="AM480">
        <f>SUM(D558)</f>
        <v>0</v>
      </c>
      <c r="AN480">
        <f>SUM(E558)</f>
        <v>0</v>
      </c>
      <c r="AO480">
        <f>SUM(F558)</f>
        <v>4</v>
      </c>
      <c r="AS480" s="59">
        <f t="shared" si="196"/>
        <v>4</v>
      </c>
    </row>
    <row r="481" spans="1:45" x14ac:dyDescent="0.2">
      <c r="A481" t="s">
        <v>4316</v>
      </c>
      <c r="B481">
        <f>SUM(FishSumAllPRN!B481)</f>
        <v>0</v>
      </c>
      <c r="C481">
        <f>SUM(FishSumAllPRN!C481)</f>
        <v>0</v>
      </c>
      <c r="D481">
        <f>SUM(FishSumAllPRN!D481)</f>
        <v>0</v>
      </c>
      <c r="E481">
        <f>SUM(FishSumAllPRN!E481)</f>
        <v>0</v>
      </c>
      <c r="F481">
        <f>SUM(FishSumAllPRN!F481)</f>
        <v>0</v>
      </c>
      <c r="G481">
        <f>SUM(FishSumAllPRN!G481)</f>
        <v>0</v>
      </c>
      <c r="H481" s="54" t="s">
        <v>294</v>
      </c>
      <c r="I481" s="54"/>
      <c r="K481" t="s">
        <v>5723</v>
      </c>
      <c r="R481" s="38">
        <f t="shared" si="200"/>
        <v>0</v>
      </c>
      <c r="S481" s="38">
        <f t="shared" si="200"/>
        <v>0</v>
      </c>
      <c r="T481" s="38">
        <f t="shared" si="200"/>
        <v>0</v>
      </c>
      <c r="U481" s="38">
        <f>SUM(E510)</f>
        <v>0</v>
      </c>
      <c r="V481" s="38">
        <f>SUM(F510)</f>
        <v>0</v>
      </c>
      <c r="Z481">
        <f t="shared" si="166"/>
        <v>0</v>
      </c>
      <c r="AC481" s="50"/>
      <c r="AD481" s="37"/>
      <c r="AE481" s="37"/>
      <c r="AF481" s="37"/>
      <c r="AG481" s="37"/>
      <c r="AH481" s="37"/>
      <c r="AI481" s="37"/>
      <c r="AJ481" s="37" t="s">
        <v>165</v>
      </c>
      <c r="AK481">
        <f>SUM(B565)</f>
        <v>62</v>
      </c>
      <c r="AL481">
        <f>SUM(C565)</f>
        <v>4</v>
      </c>
      <c r="AM481">
        <f>SUM(D565)</f>
        <v>11</v>
      </c>
      <c r="AN481">
        <f>SUM(E565)</f>
        <v>62</v>
      </c>
      <c r="AO481">
        <f>SUM(F565)</f>
        <v>14</v>
      </c>
      <c r="AS481" s="59">
        <f t="shared" si="196"/>
        <v>153</v>
      </c>
    </row>
    <row r="482" spans="1:45" x14ac:dyDescent="0.2">
      <c r="A482" t="s">
        <v>4317</v>
      </c>
      <c r="B482">
        <f>SUM(FishSumAllPRN!B482)</f>
        <v>0</v>
      </c>
      <c r="C482">
        <f>SUM(FishSumAllPRN!C482)</f>
        <v>0</v>
      </c>
      <c r="D482">
        <f>SUM(FishSumAllPRN!D482)</f>
        <v>0</v>
      </c>
      <c r="E482">
        <f>SUM(FishSumAllPRN!E482)</f>
        <v>0</v>
      </c>
      <c r="F482">
        <f>SUM(FishSumAllPRN!F482)</f>
        <v>0</v>
      </c>
      <c r="G482">
        <f>SUM(FishSumAllPRN!G482)</f>
        <v>0</v>
      </c>
      <c r="H482" s="54" t="s">
        <v>294</v>
      </c>
      <c r="I482" s="54"/>
      <c r="K482" t="s">
        <v>5726</v>
      </c>
      <c r="R482" s="38">
        <f t="shared" ref="R482:T483" si="201">SUM(B530)</f>
        <v>0</v>
      </c>
      <c r="S482" s="38">
        <f t="shared" si="201"/>
        <v>0</v>
      </c>
      <c r="T482" s="38">
        <f t="shared" si="201"/>
        <v>0</v>
      </c>
      <c r="U482" s="38">
        <f>SUM(E530)</f>
        <v>0</v>
      </c>
      <c r="V482" s="38">
        <f>SUM(F530)</f>
        <v>0</v>
      </c>
      <c r="Z482">
        <f t="shared" si="166"/>
        <v>0</v>
      </c>
      <c r="AC482" s="50"/>
      <c r="AD482" s="37"/>
      <c r="AE482" s="37"/>
      <c r="AF482" s="37"/>
      <c r="AG482" s="37"/>
      <c r="AH482" s="37"/>
      <c r="AI482" s="37"/>
      <c r="AJ482" s="37" t="s">
        <v>167</v>
      </c>
      <c r="AK482">
        <f>SUM(B581)</f>
        <v>0</v>
      </c>
      <c r="AL482">
        <f>SUM(C581)</f>
        <v>0</v>
      </c>
      <c r="AM482">
        <f>SUM(D581)</f>
        <v>0</v>
      </c>
      <c r="AN482">
        <f>SUM(E581)</f>
        <v>0</v>
      </c>
      <c r="AO482">
        <f>SUM(F581)</f>
        <v>0</v>
      </c>
      <c r="AS482" s="59">
        <f t="shared" si="196"/>
        <v>0</v>
      </c>
    </row>
    <row r="483" spans="1:45" x14ac:dyDescent="0.2">
      <c r="A483" t="s">
        <v>4318</v>
      </c>
      <c r="B483">
        <f>SUM(FishSumAllPRN!B483)</f>
        <v>0</v>
      </c>
      <c r="C483">
        <f>SUM(FishSumAllPRN!C483)</f>
        <v>0</v>
      </c>
      <c r="D483">
        <f>SUM(FishSumAllPRN!D483)</f>
        <v>0</v>
      </c>
      <c r="E483">
        <f>SUM(FishSumAllPRN!E483)</f>
        <v>0</v>
      </c>
      <c r="F483">
        <f>SUM(FishSumAllPRN!F483)</f>
        <v>0</v>
      </c>
      <c r="G483">
        <f>SUM(FishSumAllPRN!G483)</f>
        <v>0</v>
      </c>
      <c r="H483" s="54" t="s">
        <v>294</v>
      </c>
      <c r="I483" s="54"/>
      <c r="K483" t="s">
        <v>5728</v>
      </c>
      <c r="R483" s="38">
        <f t="shared" si="201"/>
        <v>0</v>
      </c>
      <c r="S483" s="38">
        <f t="shared" si="201"/>
        <v>0</v>
      </c>
      <c r="T483" s="38">
        <f t="shared" si="201"/>
        <v>0</v>
      </c>
      <c r="U483" s="38">
        <f>SUM(E531)</f>
        <v>0</v>
      </c>
      <c r="V483" s="38">
        <f>SUM(F531)</f>
        <v>0</v>
      </c>
      <c r="Z483">
        <f t="shared" si="166"/>
        <v>0</v>
      </c>
      <c r="AC483" s="50"/>
      <c r="AD483" s="37"/>
      <c r="AE483" s="37"/>
      <c r="AF483" s="37"/>
      <c r="AG483" s="37"/>
      <c r="AH483" s="37"/>
      <c r="AI483" s="37"/>
      <c r="AJ483" s="37"/>
      <c r="AS483" s="58"/>
    </row>
    <row r="484" spans="1:45" x14ac:dyDescent="0.2">
      <c r="A484" t="s">
        <v>4319</v>
      </c>
      <c r="B484">
        <f>SUM(FishSumAllPRN!B484)</f>
        <v>0</v>
      </c>
      <c r="C484">
        <f>SUM(FishSumAllPRN!C484)</f>
        <v>0</v>
      </c>
      <c r="D484">
        <f>SUM(FishSumAllPRN!D484)</f>
        <v>0</v>
      </c>
      <c r="E484">
        <f>SUM(FishSumAllPRN!E484)</f>
        <v>0</v>
      </c>
      <c r="F484">
        <f>SUM(FishSumAllPRN!F484)</f>
        <v>0</v>
      </c>
      <c r="G484">
        <f>SUM(FishSumAllPRN!G484)</f>
        <v>0</v>
      </c>
      <c r="H484" s="54" t="s">
        <v>294</v>
      </c>
      <c r="I484" s="54"/>
      <c r="K484" t="s">
        <v>5730</v>
      </c>
      <c r="R484" s="38">
        <f t="shared" ref="R484:T485" si="202">SUM(B538)</f>
        <v>0</v>
      </c>
      <c r="S484" s="38">
        <f t="shared" si="202"/>
        <v>0</v>
      </c>
      <c r="T484" s="38">
        <f t="shared" si="202"/>
        <v>0</v>
      </c>
      <c r="U484" s="38">
        <f>SUM(E538)</f>
        <v>0</v>
      </c>
      <c r="V484" s="38">
        <f>SUM(F538)</f>
        <v>0</v>
      </c>
      <c r="Z484">
        <f t="shared" si="166"/>
        <v>0</v>
      </c>
      <c r="AC484" s="50" t="s">
        <v>5724</v>
      </c>
      <c r="AD484" s="37"/>
      <c r="AE484" s="37"/>
      <c r="AF484" s="37"/>
      <c r="AG484" s="37"/>
      <c r="AH484" s="37"/>
      <c r="AI484" s="37"/>
      <c r="AJ484" s="37" t="s">
        <v>5725</v>
      </c>
      <c r="AK484" s="38">
        <f t="shared" ref="AK484:AM485" si="203">SUM(R480)</f>
        <v>0</v>
      </c>
      <c r="AL484" s="38">
        <f t="shared" si="203"/>
        <v>0</v>
      </c>
      <c r="AM484" s="38">
        <f t="shared" si="203"/>
        <v>0</v>
      </c>
      <c r="AN484" s="38">
        <f>SUM(U480)</f>
        <v>0</v>
      </c>
      <c r="AO484" s="38">
        <f>SUM(V480)</f>
        <v>0</v>
      </c>
      <c r="AP484" s="38">
        <f>SUM(W480:W481)</f>
        <v>0</v>
      </c>
      <c r="AQ484" s="38">
        <f>SUM(X480:X481)</f>
        <v>0</v>
      </c>
      <c r="AR484" s="38">
        <f>SUM(Y480:Y481)</f>
        <v>0</v>
      </c>
      <c r="AS484" s="59">
        <f t="shared" ref="AS484:AS502" si="204">SUM(AK484:AO484)</f>
        <v>0</v>
      </c>
    </row>
    <row r="485" spans="1:45" x14ac:dyDescent="0.2">
      <c r="A485" t="s">
        <v>4320</v>
      </c>
      <c r="B485">
        <f>SUM(FishSumAllPRN!B485)</f>
        <v>0</v>
      </c>
      <c r="C485">
        <f>SUM(FishSumAllPRN!C485)</f>
        <v>0</v>
      </c>
      <c r="D485">
        <f>SUM(FishSumAllPRN!D485)</f>
        <v>0</v>
      </c>
      <c r="E485">
        <f>SUM(FishSumAllPRN!E485)</f>
        <v>0</v>
      </c>
      <c r="F485">
        <f>SUM(FishSumAllPRN!F485)</f>
        <v>0</v>
      </c>
      <c r="G485">
        <f>SUM(FishSumAllPRN!G485)</f>
        <v>0</v>
      </c>
      <c r="H485" s="54" t="s">
        <v>294</v>
      </c>
      <c r="I485" s="54"/>
      <c r="K485" t="s">
        <v>5732</v>
      </c>
      <c r="R485" s="38">
        <f t="shared" si="202"/>
        <v>0</v>
      </c>
      <c r="S485" s="38">
        <f t="shared" si="202"/>
        <v>0</v>
      </c>
      <c r="T485" s="38">
        <f t="shared" si="202"/>
        <v>0</v>
      </c>
      <c r="U485" s="38">
        <f>SUM(E539)</f>
        <v>0</v>
      </c>
      <c r="V485" s="38">
        <f>SUM(F539)</f>
        <v>0</v>
      </c>
      <c r="Z485">
        <f t="shared" si="166"/>
        <v>0</v>
      </c>
      <c r="AC485" s="61"/>
      <c r="AD485" s="37"/>
      <c r="AE485" s="37"/>
      <c r="AF485" s="37"/>
      <c r="AG485" s="37"/>
      <c r="AH485" s="37"/>
      <c r="AI485" s="37"/>
      <c r="AJ485" s="37" t="s">
        <v>5727</v>
      </c>
      <c r="AK485" s="38">
        <f t="shared" si="203"/>
        <v>0</v>
      </c>
      <c r="AL485" s="38">
        <f t="shared" si="203"/>
        <v>0</v>
      </c>
      <c r="AM485" s="38">
        <f t="shared" si="203"/>
        <v>0</v>
      </c>
      <c r="AN485" s="38">
        <f>SUM(U481)</f>
        <v>0</v>
      </c>
      <c r="AO485" s="38">
        <f>SUM(V481)</f>
        <v>0</v>
      </c>
      <c r="AP485" s="38"/>
      <c r="AQ485" s="38"/>
      <c r="AR485" s="38"/>
      <c r="AS485" s="59">
        <f t="shared" si="204"/>
        <v>0</v>
      </c>
    </row>
    <row r="486" spans="1:45" x14ac:dyDescent="0.2">
      <c r="A486" t="s">
        <v>4321</v>
      </c>
      <c r="B486">
        <f>SUM(FishSumAllPRN!B486)</f>
        <v>0</v>
      </c>
      <c r="C486">
        <f>SUM(FishSumAllPRN!C486)</f>
        <v>0</v>
      </c>
      <c r="D486">
        <f>SUM(FishSumAllPRN!D486)</f>
        <v>0</v>
      </c>
      <c r="E486">
        <f>SUM(FishSumAllPRN!E486)</f>
        <v>0</v>
      </c>
      <c r="F486">
        <f>SUM(FishSumAllPRN!F486)</f>
        <v>0</v>
      </c>
      <c r="G486">
        <f>SUM(FishSumAllPRN!G486)</f>
        <v>0</v>
      </c>
      <c r="H486" s="54" t="s">
        <v>294</v>
      </c>
      <c r="I486" s="54"/>
      <c r="K486" t="s">
        <v>5734</v>
      </c>
      <c r="R486" s="38">
        <f t="shared" ref="R486:T487" si="205">SUM(B584)</f>
        <v>0</v>
      </c>
      <c r="S486" s="38">
        <f t="shared" si="205"/>
        <v>0</v>
      </c>
      <c r="T486" s="38">
        <f t="shared" si="205"/>
        <v>0</v>
      </c>
      <c r="U486" s="38">
        <f>SUM(E584)</f>
        <v>0</v>
      </c>
      <c r="V486" s="38">
        <f>SUM(F584)</f>
        <v>0</v>
      </c>
      <c r="Z486">
        <f t="shared" si="166"/>
        <v>0</v>
      </c>
      <c r="AC486" s="50"/>
      <c r="AD486" s="37"/>
      <c r="AE486" s="37"/>
      <c r="AF486" s="37"/>
      <c r="AG486" s="37"/>
      <c r="AH486" s="37"/>
      <c r="AI486" s="37"/>
      <c r="AJ486" s="37" t="s">
        <v>5729</v>
      </c>
      <c r="AK486" s="38">
        <f t="shared" ref="AK486:AM487" si="206">SUM(R476)</f>
        <v>0</v>
      </c>
      <c r="AL486" s="38">
        <f t="shared" si="206"/>
        <v>0</v>
      </c>
      <c r="AM486" s="38">
        <f t="shared" si="206"/>
        <v>200</v>
      </c>
      <c r="AN486" s="38">
        <f t="shared" ref="AN486:AO489" si="207">SUM(U476)</f>
        <v>910</v>
      </c>
      <c r="AO486" s="38">
        <f t="shared" si="207"/>
        <v>3913</v>
      </c>
      <c r="AP486" s="38">
        <f>SUM(W476:W477)</f>
        <v>0</v>
      </c>
      <c r="AQ486" s="38">
        <f>SUM(X476:X477)</f>
        <v>0</v>
      </c>
      <c r="AR486" s="38">
        <f>SUM(Y476:Y477)</f>
        <v>0</v>
      </c>
      <c r="AS486" s="59">
        <f t="shared" si="204"/>
        <v>5023</v>
      </c>
    </row>
    <row r="487" spans="1:45" x14ac:dyDescent="0.2">
      <c r="A487" t="s">
        <v>4322</v>
      </c>
      <c r="B487">
        <f>SUM(FishSumAllPRN!B487)</f>
        <v>0</v>
      </c>
      <c r="C487">
        <f>SUM(FishSumAllPRN!C487)</f>
        <v>0</v>
      </c>
      <c r="D487">
        <f>SUM(FishSumAllPRN!D487)</f>
        <v>0</v>
      </c>
      <c r="E487">
        <f>SUM(FishSumAllPRN!E487)</f>
        <v>0</v>
      </c>
      <c r="F487">
        <f>SUM(FishSumAllPRN!F487)</f>
        <v>0</v>
      </c>
      <c r="G487">
        <f>SUM(FishSumAllPRN!G487)</f>
        <v>0</v>
      </c>
      <c r="H487" s="54" t="s">
        <v>294</v>
      </c>
      <c r="I487" s="54"/>
      <c r="K487" t="s">
        <v>5736</v>
      </c>
      <c r="R487" s="38">
        <f t="shared" si="205"/>
        <v>0</v>
      </c>
      <c r="S487" s="38">
        <f t="shared" si="205"/>
        <v>0</v>
      </c>
      <c r="T487" s="38">
        <f t="shared" si="205"/>
        <v>0</v>
      </c>
      <c r="U487" s="38">
        <f>SUM(E585)</f>
        <v>0</v>
      </c>
      <c r="V487" s="38">
        <f>SUM(F585)</f>
        <v>64</v>
      </c>
      <c r="Z487">
        <f t="shared" si="166"/>
        <v>64</v>
      </c>
      <c r="AC487" s="50"/>
      <c r="AD487" s="37"/>
      <c r="AE487" s="37"/>
      <c r="AF487" s="37"/>
      <c r="AG487" s="37"/>
      <c r="AH487" s="37"/>
      <c r="AI487" s="37"/>
      <c r="AJ487" s="37" t="s">
        <v>5731</v>
      </c>
      <c r="AK487" s="38">
        <f t="shared" si="206"/>
        <v>0</v>
      </c>
      <c r="AL487" s="38">
        <f t="shared" si="206"/>
        <v>0</v>
      </c>
      <c r="AM487" s="38">
        <f t="shared" si="206"/>
        <v>0</v>
      </c>
      <c r="AN487" s="38">
        <f t="shared" si="207"/>
        <v>0</v>
      </c>
      <c r="AO487" s="38">
        <f t="shared" si="207"/>
        <v>0</v>
      </c>
      <c r="AP487" s="38"/>
      <c r="AQ487" s="38"/>
      <c r="AR487" s="38"/>
      <c r="AS487" s="59">
        <f t="shared" si="204"/>
        <v>0</v>
      </c>
    </row>
    <row r="488" spans="1:45" x14ac:dyDescent="0.2">
      <c r="A488" t="s">
        <v>4323</v>
      </c>
      <c r="B488">
        <f>SUM(FishSumAllPRN!B488)</f>
        <v>0</v>
      </c>
      <c r="C488">
        <f>SUM(FishSumAllPRN!C488)</f>
        <v>0</v>
      </c>
      <c r="D488">
        <f>SUM(FishSumAllPRN!D488)</f>
        <v>0</v>
      </c>
      <c r="E488">
        <f>SUM(FishSumAllPRN!E488)</f>
        <v>0</v>
      </c>
      <c r="F488">
        <f>SUM(FishSumAllPRN!F488)</f>
        <v>0</v>
      </c>
      <c r="G488">
        <f>SUM(FishSumAllPRN!G488)</f>
        <v>0</v>
      </c>
      <c r="H488" s="54" t="s">
        <v>294</v>
      </c>
      <c r="I488" s="54"/>
      <c r="K488" t="s">
        <v>5738</v>
      </c>
      <c r="R488" s="38">
        <f t="shared" ref="R488:T489" si="208">SUM(B582,B586,B588)</f>
        <v>0</v>
      </c>
      <c r="S488" s="38">
        <f t="shared" si="208"/>
        <v>0</v>
      </c>
      <c r="T488" s="38">
        <f t="shared" si="208"/>
        <v>0</v>
      </c>
      <c r="U488" s="38">
        <f>SUM(E582,E588)</f>
        <v>0</v>
      </c>
      <c r="V488" s="38">
        <f>SUM(F582,F588)</f>
        <v>0</v>
      </c>
      <c r="Z488">
        <f t="shared" si="166"/>
        <v>0</v>
      </c>
      <c r="AC488" s="50"/>
      <c r="AD488" s="37"/>
      <c r="AE488" s="37"/>
      <c r="AF488" s="37"/>
      <c r="AG488" s="37"/>
      <c r="AH488" s="37"/>
      <c r="AI488" s="37"/>
      <c r="AJ488" s="37" t="s">
        <v>5733</v>
      </c>
      <c r="AK488" s="38">
        <v>0</v>
      </c>
      <c r="AL488" s="38">
        <v>0</v>
      </c>
      <c r="AM488" s="38">
        <v>0</v>
      </c>
      <c r="AN488" s="38">
        <f t="shared" si="207"/>
        <v>0</v>
      </c>
      <c r="AO488" s="38">
        <f t="shared" si="207"/>
        <v>0</v>
      </c>
      <c r="AP488" s="38">
        <f>SUM(W478:W479)</f>
        <v>0</v>
      </c>
      <c r="AQ488" s="38">
        <f>SUM(X478:X479)</f>
        <v>0</v>
      </c>
      <c r="AR488" s="38">
        <f>SUM(Y478:Y479)</f>
        <v>0</v>
      </c>
      <c r="AS488" s="59">
        <f t="shared" si="204"/>
        <v>0</v>
      </c>
    </row>
    <row r="489" spans="1:45" x14ac:dyDescent="0.2">
      <c r="A489" t="s">
        <v>4324</v>
      </c>
      <c r="B489">
        <f>SUM(FishSumAllPRN!B489)</f>
        <v>0</v>
      </c>
      <c r="C489">
        <f>SUM(FishSumAllPRN!C489)</f>
        <v>0</v>
      </c>
      <c r="D489">
        <f>SUM(FishSumAllPRN!D489)</f>
        <v>0</v>
      </c>
      <c r="E489">
        <f>SUM(FishSumAllPRN!E489)</f>
        <v>0</v>
      </c>
      <c r="F489">
        <f>SUM(FishSumAllPRN!F489)</f>
        <v>0</v>
      </c>
      <c r="G489">
        <f>SUM(FishSumAllPRN!G489)</f>
        <v>0</v>
      </c>
      <c r="H489" s="54" t="s">
        <v>294</v>
      </c>
      <c r="I489" s="54"/>
      <c r="K489" t="s">
        <v>5740</v>
      </c>
      <c r="R489" s="38">
        <f t="shared" si="208"/>
        <v>0</v>
      </c>
      <c r="S489" s="38">
        <f t="shared" si="208"/>
        <v>0</v>
      </c>
      <c r="T489" s="38">
        <f t="shared" si="208"/>
        <v>10</v>
      </c>
      <c r="U489" s="38">
        <f>SUM(E583,E589)</f>
        <v>6</v>
      </c>
      <c r="V489" s="38">
        <f>SUM(F583,F589)</f>
        <v>27</v>
      </c>
      <c r="Z489">
        <f t="shared" si="166"/>
        <v>43</v>
      </c>
      <c r="AC489" s="50"/>
      <c r="AD489" s="37"/>
      <c r="AE489" s="37"/>
      <c r="AF489" s="37"/>
      <c r="AG489" s="37"/>
      <c r="AH489" s="37"/>
      <c r="AI489" s="37"/>
      <c r="AJ489" s="37" t="s">
        <v>5735</v>
      </c>
      <c r="AK489" s="38">
        <v>0</v>
      </c>
      <c r="AL489" s="38">
        <v>0</v>
      </c>
      <c r="AM489" s="38">
        <v>0</v>
      </c>
      <c r="AN489" s="38">
        <f t="shared" si="207"/>
        <v>0</v>
      </c>
      <c r="AO489" s="38">
        <f t="shared" si="207"/>
        <v>0</v>
      </c>
      <c r="AP489" s="38"/>
      <c r="AQ489" s="38"/>
      <c r="AR489" s="38"/>
      <c r="AS489" s="59">
        <f t="shared" si="204"/>
        <v>0</v>
      </c>
    </row>
    <row r="490" spans="1:45" x14ac:dyDescent="0.2">
      <c r="A490" t="s">
        <v>4325</v>
      </c>
      <c r="B490">
        <f>SUM(FishSumAllPRN!B490)</f>
        <v>0</v>
      </c>
      <c r="C490">
        <f>SUM(FishSumAllPRN!C490)</f>
        <v>0</v>
      </c>
      <c r="D490">
        <f>SUM(FishSumAllPRN!D490)</f>
        <v>0</v>
      </c>
      <c r="E490">
        <f>SUM(FishSumAllPRN!E490)</f>
        <v>0</v>
      </c>
      <c r="F490">
        <f>SUM(FishSumAllPRN!F490)</f>
        <v>0</v>
      </c>
      <c r="G490">
        <f>SUM(FishSumAllPRN!G490)</f>
        <v>0</v>
      </c>
      <c r="H490" s="54" t="s">
        <v>294</v>
      </c>
      <c r="I490" s="54"/>
      <c r="K490" t="s">
        <v>5742</v>
      </c>
      <c r="R490" s="38">
        <f t="shared" ref="R490:T491" si="209">SUM(B548,B550,B552,B559,B561,B566,B568,B570,B572,B574)</f>
        <v>0</v>
      </c>
      <c r="S490" s="38">
        <f t="shared" si="209"/>
        <v>0</v>
      </c>
      <c r="T490" s="38">
        <f t="shared" si="209"/>
        <v>0</v>
      </c>
      <c r="U490" s="38">
        <f>SUM(E548,E550,E552,E559,E561,E566,E568,E570,E572,E574)</f>
        <v>0</v>
      </c>
      <c r="V490" s="38">
        <f>SUM(F548,F550,F552,F559,F561,F566,F568,F570,F572,F574)</f>
        <v>0</v>
      </c>
      <c r="Z490">
        <f t="shared" si="166"/>
        <v>0</v>
      </c>
      <c r="AC490" s="50"/>
      <c r="AD490" s="37"/>
      <c r="AE490" s="37"/>
      <c r="AF490" s="37"/>
      <c r="AG490" s="37"/>
      <c r="AH490" s="37"/>
      <c r="AI490" s="37"/>
      <c r="AJ490" s="37" t="s">
        <v>5737</v>
      </c>
      <c r="AK490" s="38">
        <v>0</v>
      </c>
      <c r="AL490" s="38">
        <v>0</v>
      </c>
      <c r="AM490" s="38">
        <v>0</v>
      </c>
      <c r="AN490" s="38">
        <f t="shared" ref="AN490:AO493" si="210">SUM(U482)</f>
        <v>0</v>
      </c>
      <c r="AO490" s="38">
        <f t="shared" si="210"/>
        <v>0</v>
      </c>
      <c r="AP490" s="38">
        <f>SUM(W482:W483)</f>
        <v>0</v>
      </c>
      <c r="AQ490" s="38">
        <f>SUM(X482:X483)</f>
        <v>0</v>
      </c>
      <c r="AR490" s="38">
        <f>SUM(Y482:Y483)</f>
        <v>0</v>
      </c>
      <c r="AS490" s="59">
        <f t="shared" si="204"/>
        <v>0</v>
      </c>
    </row>
    <row r="491" spans="1:45" x14ac:dyDescent="0.2">
      <c r="A491" t="s">
        <v>4326</v>
      </c>
      <c r="B491">
        <f>SUM(FishSumAllPRN!B491)</f>
        <v>0</v>
      </c>
      <c r="C491">
        <f>SUM(FishSumAllPRN!C491)</f>
        <v>0</v>
      </c>
      <c r="D491">
        <f>SUM(FishSumAllPRN!D491)</f>
        <v>0</v>
      </c>
      <c r="E491">
        <f>SUM(FishSumAllPRN!E491)</f>
        <v>0</v>
      </c>
      <c r="F491">
        <f>SUM(FishSumAllPRN!F491)</f>
        <v>0</v>
      </c>
      <c r="G491">
        <f>SUM(FishSumAllPRN!G491)</f>
        <v>0</v>
      </c>
      <c r="H491" s="54" t="s">
        <v>294</v>
      </c>
      <c r="I491" s="54"/>
      <c r="K491" t="s">
        <v>5743</v>
      </c>
      <c r="R491" s="38">
        <f t="shared" si="209"/>
        <v>0</v>
      </c>
      <c r="S491" s="38">
        <f t="shared" si="209"/>
        <v>0</v>
      </c>
      <c r="T491" s="38">
        <f t="shared" si="209"/>
        <v>0</v>
      </c>
      <c r="U491" s="38">
        <f>SUM(E549,E551,E553,E560,E562,E567,E569,E571,E573,E575)</f>
        <v>0</v>
      </c>
      <c r="V491" s="38">
        <f>SUM(F549,F551,F553,F560,F562,F567,F569,F571,F573,F575)</f>
        <v>0</v>
      </c>
      <c r="Z491">
        <f t="shared" si="166"/>
        <v>0</v>
      </c>
      <c r="AC491" s="50"/>
      <c r="AD491" s="37"/>
      <c r="AE491" s="37"/>
      <c r="AF491" s="37"/>
      <c r="AG491" s="37"/>
      <c r="AH491" s="37"/>
      <c r="AI491" s="37"/>
      <c r="AJ491" s="37" t="s">
        <v>5739</v>
      </c>
      <c r="AK491" s="38">
        <v>0</v>
      </c>
      <c r="AL491" s="38">
        <v>0</v>
      </c>
      <c r="AM491" s="38">
        <v>0</v>
      </c>
      <c r="AN491" s="38">
        <f t="shared" si="210"/>
        <v>0</v>
      </c>
      <c r="AO491" s="38">
        <f t="shared" si="210"/>
        <v>0</v>
      </c>
      <c r="AP491" s="38"/>
      <c r="AQ491" s="38"/>
      <c r="AR491" s="38"/>
      <c r="AS491" s="59">
        <f t="shared" si="204"/>
        <v>0</v>
      </c>
    </row>
    <row r="492" spans="1:45" x14ac:dyDescent="0.2">
      <c r="A492" t="s">
        <v>4327</v>
      </c>
      <c r="B492">
        <f>SUM(FishSumAllPRN!B492)</f>
        <v>0</v>
      </c>
      <c r="C492">
        <f>SUM(FishSumAllPRN!C492)</f>
        <v>0</v>
      </c>
      <c r="D492">
        <f>SUM(FishSumAllPRN!D492)</f>
        <v>0</v>
      </c>
      <c r="E492">
        <f>SUM(FishSumAllPRN!E492)</f>
        <v>0</v>
      </c>
      <c r="F492">
        <f>SUM(FishSumAllPRN!F492)</f>
        <v>0</v>
      </c>
      <c r="G492">
        <f>SUM(FishSumAllPRN!G492)</f>
        <v>0</v>
      </c>
      <c r="H492" s="54" t="s">
        <v>294</v>
      </c>
      <c r="I492" s="54"/>
      <c r="K492" t="s">
        <v>5745</v>
      </c>
      <c r="R492" s="38">
        <f t="shared" ref="R492:T495" si="211">SUM(B611)</f>
        <v>0</v>
      </c>
      <c r="S492" s="38">
        <f t="shared" si="211"/>
        <v>0</v>
      </c>
      <c r="T492" s="38">
        <f t="shared" si="211"/>
        <v>3911</v>
      </c>
      <c r="U492" s="38">
        <f t="shared" ref="U492:V495" si="212">SUM(E611)</f>
        <v>182</v>
      </c>
      <c r="V492" s="38">
        <f t="shared" si="212"/>
        <v>35</v>
      </c>
      <c r="Z492">
        <f t="shared" si="166"/>
        <v>4128</v>
      </c>
      <c r="AC492" s="50"/>
      <c r="AD492" s="37"/>
      <c r="AE492" s="37"/>
      <c r="AF492" s="37"/>
      <c r="AG492" s="37"/>
      <c r="AH492" s="37"/>
      <c r="AI492" s="37"/>
      <c r="AJ492" s="37" t="s">
        <v>5741</v>
      </c>
      <c r="AK492" s="38">
        <v>0</v>
      </c>
      <c r="AL492" s="38">
        <v>0</v>
      </c>
      <c r="AM492" s="38">
        <v>0</v>
      </c>
      <c r="AN492" s="38">
        <f t="shared" si="210"/>
        <v>0</v>
      </c>
      <c r="AO492" s="38">
        <f t="shared" si="210"/>
        <v>0</v>
      </c>
      <c r="AP492" s="38">
        <f>SUM(W484:W485)</f>
        <v>0</v>
      </c>
      <c r="AQ492" s="38">
        <f>SUM(X484:X485)</f>
        <v>0</v>
      </c>
      <c r="AR492" s="38">
        <f>SUM(Y484:Y485)</f>
        <v>0</v>
      </c>
      <c r="AS492" s="59">
        <f t="shared" si="204"/>
        <v>0</v>
      </c>
    </row>
    <row r="493" spans="1:45" x14ac:dyDescent="0.2">
      <c r="A493" t="s">
        <v>4328</v>
      </c>
      <c r="B493">
        <f>SUM(FishSumAllPRN!B493)</f>
        <v>0</v>
      </c>
      <c r="C493">
        <f>SUM(FishSumAllPRN!C493)</f>
        <v>0</v>
      </c>
      <c r="D493">
        <f>SUM(FishSumAllPRN!D493)</f>
        <v>0</v>
      </c>
      <c r="E493">
        <f>SUM(FishSumAllPRN!E493)</f>
        <v>0</v>
      </c>
      <c r="F493">
        <f>SUM(FishSumAllPRN!F493)</f>
        <v>0</v>
      </c>
      <c r="G493">
        <f>SUM(FishSumAllPRN!G493)</f>
        <v>0</v>
      </c>
      <c r="H493" s="54" t="s">
        <v>294</v>
      </c>
      <c r="I493" s="54"/>
      <c r="K493" t="s">
        <v>5747</v>
      </c>
      <c r="R493" s="38">
        <f t="shared" si="211"/>
        <v>0</v>
      </c>
      <c r="S493" s="38">
        <f t="shared" si="211"/>
        <v>0</v>
      </c>
      <c r="T493" s="38">
        <f t="shared" si="211"/>
        <v>0</v>
      </c>
      <c r="U493" s="38">
        <f t="shared" si="212"/>
        <v>269</v>
      </c>
      <c r="V493" s="38">
        <f t="shared" si="212"/>
        <v>45</v>
      </c>
      <c r="Z493">
        <f t="shared" si="166"/>
        <v>314</v>
      </c>
      <c r="AC493" s="50"/>
      <c r="AD493" s="37"/>
      <c r="AE493" s="37"/>
      <c r="AF493" s="37"/>
      <c r="AG493" s="37"/>
      <c r="AH493" s="37"/>
      <c r="AI493" s="37"/>
      <c r="AJ493" s="37" t="s">
        <v>318</v>
      </c>
      <c r="AK493" s="38">
        <v>0</v>
      </c>
      <c r="AL493" s="38">
        <v>0</v>
      </c>
      <c r="AM493" s="38">
        <v>0</v>
      </c>
      <c r="AN493" s="38">
        <f t="shared" si="210"/>
        <v>0</v>
      </c>
      <c r="AO493" s="38">
        <f t="shared" si="210"/>
        <v>0</v>
      </c>
      <c r="AP493" s="38"/>
      <c r="AQ493" s="38"/>
      <c r="AR493" s="38"/>
      <c r="AS493" s="59">
        <f t="shared" si="204"/>
        <v>0</v>
      </c>
    </row>
    <row r="494" spans="1:45" x14ac:dyDescent="0.2">
      <c r="A494" t="s">
        <v>4329</v>
      </c>
      <c r="B494">
        <f>SUM(FishSumAllPRN!B494)</f>
        <v>0</v>
      </c>
      <c r="C494">
        <f>SUM(FishSumAllPRN!C494)</f>
        <v>0</v>
      </c>
      <c r="D494">
        <f>SUM(FishSumAllPRN!D494)</f>
        <v>0</v>
      </c>
      <c r="E494">
        <f>SUM(FishSumAllPRN!E494)</f>
        <v>0</v>
      </c>
      <c r="F494">
        <f>SUM(FishSumAllPRN!F494)</f>
        <v>0</v>
      </c>
      <c r="G494">
        <f>SUM(FishSumAllPRN!G494)</f>
        <v>0</v>
      </c>
      <c r="H494" s="54" t="s">
        <v>294</v>
      </c>
      <c r="I494" s="54"/>
      <c r="K494" t="s">
        <v>5749</v>
      </c>
      <c r="R494" s="38">
        <f t="shared" si="211"/>
        <v>0</v>
      </c>
      <c r="S494" s="38">
        <f t="shared" si="211"/>
        <v>0</v>
      </c>
      <c r="T494" s="38">
        <f t="shared" si="211"/>
        <v>0</v>
      </c>
      <c r="U494" s="38">
        <f t="shared" si="212"/>
        <v>0</v>
      </c>
      <c r="V494" s="38">
        <f t="shared" si="212"/>
        <v>0</v>
      </c>
      <c r="Z494">
        <f>SUM(R494:V494)</f>
        <v>0</v>
      </c>
      <c r="AC494" s="50"/>
      <c r="AD494" s="37"/>
      <c r="AE494" s="37"/>
      <c r="AF494" s="37"/>
      <c r="AG494" s="37"/>
      <c r="AH494" s="37"/>
      <c r="AI494" s="37"/>
      <c r="AJ494" s="37" t="s">
        <v>5744</v>
      </c>
      <c r="AK494" s="38">
        <v>0</v>
      </c>
      <c r="AL494" s="38">
        <v>0</v>
      </c>
      <c r="AM494" s="38">
        <v>0</v>
      </c>
      <c r="AN494" s="497">
        <f>SUM(E540)</f>
        <v>21</v>
      </c>
      <c r="AO494" s="497">
        <f>SUM(F540)</f>
        <v>0</v>
      </c>
      <c r="AP494" s="38"/>
      <c r="AQ494" s="38"/>
      <c r="AR494" s="38"/>
      <c r="AS494" s="59">
        <f t="shared" si="204"/>
        <v>21</v>
      </c>
    </row>
    <row r="495" spans="1:45" x14ac:dyDescent="0.2">
      <c r="A495" t="s">
        <v>4330</v>
      </c>
      <c r="B495">
        <f>SUM(FishSumAllPRN!B495)</f>
        <v>0</v>
      </c>
      <c r="C495">
        <f>SUM(FishSumAllPRN!C495)</f>
        <v>0</v>
      </c>
      <c r="D495">
        <f>SUM(FishSumAllPRN!D495)</f>
        <v>0</v>
      </c>
      <c r="E495">
        <f>SUM(FishSumAllPRN!E495)</f>
        <v>0</v>
      </c>
      <c r="F495">
        <f>SUM(FishSumAllPRN!F495)</f>
        <v>0</v>
      </c>
      <c r="G495">
        <f>SUM(FishSumAllPRN!G495)</f>
        <v>0</v>
      </c>
      <c r="H495" s="54" t="s">
        <v>294</v>
      </c>
      <c r="I495" s="54"/>
      <c r="K495" t="s">
        <v>5751</v>
      </c>
      <c r="R495" s="38">
        <f t="shared" si="211"/>
        <v>0</v>
      </c>
      <c r="S495" s="38">
        <f t="shared" si="211"/>
        <v>0</v>
      </c>
      <c r="T495" s="38">
        <f t="shared" si="211"/>
        <v>0</v>
      </c>
      <c r="U495" s="38">
        <f t="shared" si="212"/>
        <v>0</v>
      </c>
      <c r="V495" s="38">
        <f t="shared" si="212"/>
        <v>0</v>
      </c>
      <c r="Z495">
        <f>SUM(R495:V495)</f>
        <v>0</v>
      </c>
      <c r="AC495" s="50"/>
      <c r="AD495" s="37"/>
      <c r="AE495" s="37"/>
      <c r="AF495" s="37"/>
      <c r="AG495" s="37"/>
      <c r="AH495" s="37"/>
      <c r="AI495" s="37"/>
      <c r="AJ495" s="37" t="s">
        <v>5746</v>
      </c>
      <c r="AK495" s="38">
        <v>0</v>
      </c>
      <c r="AL495" s="38">
        <v>0</v>
      </c>
      <c r="AM495" s="38">
        <v>0</v>
      </c>
      <c r="AN495" s="38">
        <f>SUM(E541)</f>
        <v>0</v>
      </c>
      <c r="AO495" s="38">
        <f>SUM(F541)</f>
        <v>0</v>
      </c>
      <c r="AP495" s="38"/>
      <c r="AQ495" s="38"/>
      <c r="AR495" s="38"/>
      <c r="AS495" s="59">
        <f t="shared" si="204"/>
        <v>0</v>
      </c>
    </row>
    <row r="496" spans="1:45" x14ac:dyDescent="0.2">
      <c r="A496" t="s">
        <v>4331</v>
      </c>
      <c r="B496">
        <f>SUM(FishSumAllPRN!B496)</f>
        <v>0</v>
      </c>
      <c r="C496">
        <f>SUM(FishSumAllPRN!C496)</f>
        <v>0</v>
      </c>
      <c r="D496">
        <f>SUM(FishSumAllPRN!D496)</f>
        <v>0</v>
      </c>
      <c r="E496">
        <f>SUM(FishSumAllPRN!E496)</f>
        <v>0</v>
      </c>
      <c r="F496">
        <f>SUM(FishSumAllPRN!F496)</f>
        <v>0</v>
      </c>
      <c r="G496">
        <f>SUM(FishSumAllPRN!G496)</f>
        <v>0</v>
      </c>
      <c r="H496" s="54" t="s">
        <v>294</v>
      </c>
      <c r="I496" s="54"/>
      <c r="AC496" s="50"/>
      <c r="AD496" s="37"/>
      <c r="AE496" s="37"/>
      <c r="AF496" s="37"/>
      <c r="AG496" s="37"/>
      <c r="AH496" s="37"/>
      <c r="AI496" s="37"/>
      <c r="AJ496" s="37" t="s">
        <v>5748</v>
      </c>
      <c r="AK496" s="38">
        <v>0</v>
      </c>
      <c r="AL496" s="38">
        <v>0</v>
      </c>
      <c r="AM496" s="38">
        <v>0</v>
      </c>
      <c r="AN496" s="38">
        <v>0</v>
      </c>
      <c r="AO496" s="38">
        <v>0</v>
      </c>
      <c r="AP496" s="38">
        <v>0</v>
      </c>
      <c r="AQ496" s="38">
        <v>0</v>
      </c>
      <c r="AR496" s="38">
        <v>0</v>
      </c>
      <c r="AS496" s="59">
        <f t="shared" si="204"/>
        <v>0</v>
      </c>
    </row>
    <row r="497" spans="1:45" x14ac:dyDescent="0.2">
      <c r="A497" t="s">
        <v>4332</v>
      </c>
      <c r="B497">
        <f>SUM(FishSumAllPRN!B497)</f>
        <v>0</v>
      </c>
      <c r="C497">
        <f>SUM(FishSumAllPRN!C497)</f>
        <v>0</v>
      </c>
      <c r="D497">
        <f>SUM(FishSumAllPRN!D497)</f>
        <v>0</v>
      </c>
      <c r="E497">
        <f>SUM(FishSumAllPRN!E497)</f>
        <v>0</v>
      </c>
      <c r="F497">
        <f>SUM(FishSumAllPRN!F497)</f>
        <v>0</v>
      </c>
      <c r="G497">
        <f>SUM(FishSumAllPRN!G497)</f>
        <v>0</v>
      </c>
      <c r="H497" s="54" t="s">
        <v>294</v>
      </c>
      <c r="I497" s="54"/>
      <c r="AC497" s="61"/>
      <c r="AJ497" s="37" t="s">
        <v>5750</v>
      </c>
      <c r="AK497" s="38">
        <v>0</v>
      </c>
      <c r="AL497" s="38">
        <v>0</v>
      </c>
      <c r="AM497" s="38">
        <v>0</v>
      </c>
      <c r="AN497" s="38">
        <f>SUM(E584,E586)</f>
        <v>0</v>
      </c>
      <c r="AO497" s="38">
        <f>SUM(F584,F586)</f>
        <v>0</v>
      </c>
      <c r="AP497" s="38">
        <f>SUM(W486:W487)</f>
        <v>0</v>
      </c>
      <c r="AQ497" s="38">
        <f>SUM(X486:X487)</f>
        <v>0</v>
      </c>
      <c r="AR497" s="38">
        <f>SUM(Y486:Y487)</f>
        <v>0</v>
      </c>
      <c r="AS497" s="59">
        <f t="shared" si="204"/>
        <v>0</v>
      </c>
    </row>
    <row r="498" spans="1:45" x14ac:dyDescent="0.2">
      <c r="A498" t="s">
        <v>4333</v>
      </c>
      <c r="B498">
        <f>SUM(FishSumAllPRN!B498)</f>
        <v>0</v>
      </c>
      <c r="C498">
        <f>SUM(FishSumAllPRN!C498)</f>
        <v>0</v>
      </c>
      <c r="D498">
        <f>SUM(FishSumAllPRN!D498)</f>
        <v>0</v>
      </c>
      <c r="E498">
        <f>SUM(FishSumAllPRN!E498)</f>
        <v>0</v>
      </c>
      <c r="F498">
        <f>SUM(FishSumAllPRN!F498)</f>
        <v>0</v>
      </c>
      <c r="G498">
        <f>SUM(FishSumAllPRN!G498)</f>
        <v>0</v>
      </c>
      <c r="H498" s="54" t="s">
        <v>294</v>
      </c>
      <c r="I498" s="54"/>
      <c r="AC498" s="61"/>
      <c r="AJ498" s="37" t="s">
        <v>5752</v>
      </c>
      <c r="AK498" s="38">
        <v>0</v>
      </c>
      <c r="AL498" s="38">
        <v>0</v>
      </c>
      <c r="AM498" s="38">
        <v>0</v>
      </c>
      <c r="AN498" s="38">
        <f>SUM(E585,E587)</f>
        <v>0</v>
      </c>
      <c r="AO498" s="38">
        <f>SUM(F585,F587)</f>
        <v>64</v>
      </c>
      <c r="AP498" s="38"/>
      <c r="AQ498" s="38"/>
      <c r="AR498" s="38"/>
      <c r="AS498" s="59">
        <f t="shared" si="204"/>
        <v>64</v>
      </c>
    </row>
    <row r="499" spans="1:45" x14ac:dyDescent="0.2">
      <c r="A499" t="s">
        <v>4334</v>
      </c>
      <c r="B499">
        <f>SUM(FishSumAllPRN!B499)</f>
        <v>0</v>
      </c>
      <c r="C499">
        <f>SUM(FishSumAllPRN!C499)</f>
        <v>0</v>
      </c>
      <c r="D499">
        <f>SUM(FishSumAllPRN!D499)</f>
        <v>0</v>
      </c>
      <c r="E499">
        <f>SUM(FishSumAllPRN!E499)</f>
        <v>0</v>
      </c>
      <c r="F499">
        <f>SUM(FishSumAllPRN!F499)</f>
        <v>0</v>
      </c>
      <c r="G499">
        <f>SUM(FishSumAllPRN!G499)</f>
        <v>0</v>
      </c>
      <c r="H499" s="54" t="s">
        <v>294</v>
      </c>
      <c r="I499" s="54"/>
      <c r="AC499" s="61"/>
      <c r="AJ499" s="37" t="s">
        <v>5753</v>
      </c>
      <c r="AK499" s="38">
        <v>0</v>
      </c>
      <c r="AL499" s="38">
        <v>0</v>
      </c>
      <c r="AM499" s="38">
        <v>0</v>
      </c>
      <c r="AN499" s="38">
        <f>SUM(E582,E588)</f>
        <v>0</v>
      </c>
      <c r="AO499" s="38">
        <f>SUM(F582,F588)</f>
        <v>0</v>
      </c>
      <c r="AP499" s="38">
        <f>SUM(W488:W489)</f>
        <v>0</v>
      </c>
      <c r="AQ499" s="38">
        <f>SUM(X488:X489)</f>
        <v>0</v>
      </c>
      <c r="AR499" s="38">
        <f>SUM(Y488:Y489)</f>
        <v>0</v>
      </c>
      <c r="AS499" s="59">
        <f t="shared" si="204"/>
        <v>0</v>
      </c>
    </row>
    <row r="500" spans="1:45" x14ac:dyDescent="0.2">
      <c r="A500" t="s">
        <v>4335</v>
      </c>
      <c r="B500">
        <f>SUM(FishSumAllPRN!B500)</f>
        <v>0</v>
      </c>
      <c r="C500">
        <f>SUM(FishSumAllPRN!C500)</f>
        <v>0</v>
      </c>
      <c r="D500">
        <f>SUM(FishSumAllPRN!D500)</f>
        <v>0</v>
      </c>
      <c r="E500">
        <f>SUM(FishSumAllPRN!E500)</f>
        <v>0</v>
      </c>
      <c r="F500">
        <f>SUM(FishSumAllPRN!F500)</f>
        <v>0</v>
      </c>
      <c r="G500">
        <f>SUM(FishSumAllPRN!G500)</f>
        <v>0</v>
      </c>
      <c r="H500" s="54" t="s">
        <v>294</v>
      </c>
      <c r="I500" s="54"/>
      <c r="AC500" s="61"/>
      <c r="AJ500" s="37" t="s">
        <v>5754</v>
      </c>
      <c r="AK500" s="38">
        <v>0</v>
      </c>
      <c r="AL500" s="38">
        <v>0</v>
      </c>
      <c r="AM500" s="38">
        <v>0</v>
      </c>
      <c r="AN500" s="38">
        <f>SUM(E583,E589)</f>
        <v>6</v>
      </c>
      <c r="AO500" s="38">
        <f>SUM(F583,F589)</f>
        <v>27</v>
      </c>
      <c r="AP500" s="38"/>
      <c r="AQ500" s="38"/>
      <c r="AR500" s="38"/>
      <c r="AS500" s="59">
        <f t="shared" si="204"/>
        <v>33</v>
      </c>
    </row>
    <row r="501" spans="1:45" x14ac:dyDescent="0.2">
      <c r="A501" t="s">
        <v>4336</v>
      </c>
      <c r="B501">
        <f>SUM(FishSumAllPRN!B501)</f>
        <v>0</v>
      </c>
      <c r="C501">
        <f>SUM(FishSumAllPRN!C501)</f>
        <v>0</v>
      </c>
      <c r="D501">
        <f>SUM(FishSumAllPRN!D501)</f>
        <v>0</v>
      </c>
      <c r="E501">
        <f>SUM(FishSumAllPRN!E501)</f>
        <v>0</v>
      </c>
      <c r="F501">
        <f>SUM(FishSumAllPRN!F501)</f>
        <v>0</v>
      </c>
      <c r="G501">
        <f>SUM(FishSumAllPRN!G501)</f>
        <v>0</v>
      </c>
      <c r="H501" s="54" t="s">
        <v>294</v>
      </c>
      <c r="I501" s="54"/>
      <c r="AC501" s="61"/>
      <c r="AJ501" s="37" t="s">
        <v>5767</v>
      </c>
      <c r="AK501" s="38">
        <v>0</v>
      </c>
      <c r="AL501" s="38">
        <v>0</v>
      </c>
      <c r="AM501" s="38">
        <v>0</v>
      </c>
      <c r="AN501" s="38">
        <f>SUM(E548,E550,E552,E559,E561,E566,E568,E570,E572,E574)</f>
        <v>0</v>
      </c>
      <c r="AO501" s="38">
        <f>SUM(F548,F550,F552,F559,F561,F566,F568,F570,F572,F574)</f>
        <v>0</v>
      </c>
      <c r="AP501" s="38"/>
      <c r="AQ501" s="38"/>
      <c r="AR501" s="38"/>
      <c r="AS501" s="59">
        <f t="shared" si="204"/>
        <v>0</v>
      </c>
    </row>
    <row r="502" spans="1:45" ht="13.5" thickBot="1" x14ac:dyDescent="0.25">
      <c r="A502" t="s">
        <v>4337</v>
      </c>
      <c r="B502">
        <f>SUM(FishSumAllPRN!B502)</f>
        <v>0</v>
      </c>
      <c r="C502">
        <f>SUM(FishSumAllPRN!C502)</f>
        <v>0</v>
      </c>
      <c r="D502">
        <f>SUM(FishSumAllPRN!D502)</f>
        <v>0</v>
      </c>
      <c r="E502">
        <f>SUM(FishSumAllPRN!E502)</f>
        <v>0</v>
      </c>
      <c r="F502">
        <f>SUM(FishSumAllPRN!F502)</f>
        <v>0</v>
      </c>
      <c r="G502">
        <f>SUM(FishSumAllPRN!G502)</f>
        <v>0</v>
      </c>
      <c r="H502" s="54" t="s">
        <v>294</v>
      </c>
      <c r="I502" s="54"/>
      <c r="AC502" s="62"/>
      <c r="AD502" s="63"/>
      <c r="AE502" s="63"/>
      <c r="AF502" s="63"/>
      <c r="AG502" s="63"/>
      <c r="AH502" s="63"/>
      <c r="AI502" s="63"/>
      <c r="AJ502" s="56" t="s">
        <v>5768</v>
      </c>
      <c r="AK502" s="57">
        <v>0</v>
      </c>
      <c r="AL502" s="57">
        <v>0</v>
      </c>
      <c r="AM502" s="57">
        <v>0</v>
      </c>
      <c r="AN502" s="57">
        <f>SUM(E549,E551,E553,E560,E562,E567,E569,E571,E573,E575)</f>
        <v>0</v>
      </c>
      <c r="AO502" s="57">
        <f>SUM(F549,F551,F553,F560,F562,F567,F569,F571,F573,F575)</f>
        <v>0</v>
      </c>
      <c r="AP502" s="57">
        <f>SUM(W490:W491)</f>
        <v>0</v>
      </c>
      <c r="AQ502" s="57">
        <f>SUM(X490:X491)</f>
        <v>0</v>
      </c>
      <c r="AR502" s="57">
        <f>SUM(Y490:Y491)</f>
        <v>0</v>
      </c>
      <c r="AS502" s="64">
        <f t="shared" si="204"/>
        <v>0</v>
      </c>
    </row>
    <row r="503" spans="1:45" ht="13.5" thickBot="1" x14ac:dyDescent="0.25">
      <c r="A503" t="s">
        <v>4338</v>
      </c>
      <c r="B503">
        <f>SUM(FishSumAllPRN!B503)</f>
        <v>0</v>
      </c>
      <c r="C503">
        <f>SUM(FishSumAllPRN!C503)</f>
        <v>0</v>
      </c>
      <c r="D503">
        <f>SUM(FishSumAllPRN!D503)</f>
        <v>0</v>
      </c>
      <c r="E503">
        <f>SUM(FishSumAllPRN!E503)</f>
        <v>0</v>
      </c>
      <c r="F503">
        <f>SUM(FishSumAllPRN!F503)</f>
        <v>0</v>
      </c>
      <c r="G503">
        <f>SUM(FishSumAllPRN!G503)</f>
        <v>0</v>
      </c>
      <c r="H503" s="54" t="s">
        <v>294</v>
      </c>
      <c r="I503" s="54"/>
    </row>
    <row r="504" spans="1:45" x14ac:dyDescent="0.2">
      <c r="A504" t="s">
        <v>4339</v>
      </c>
      <c r="B504">
        <f>SUM(FishSumAllPRN!B504)</f>
        <v>0</v>
      </c>
      <c r="C504">
        <f>SUM(FishSumAllPRN!C504)</f>
        <v>0</v>
      </c>
      <c r="D504">
        <f>SUM(FishSumAllPRN!D504)</f>
        <v>0</v>
      </c>
      <c r="E504">
        <f>SUM(FishSumAllPRN!E504)</f>
        <v>0</v>
      </c>
      <c r="F504">
        <f>SUM(FishSumAllPRN!F504)</f>
        <v>0</v>
      </c>
      <c r="G504">
        <f>SUM(FishSumAllPRN!G504)</f>
        <v>0</v>
      </c>
      <c r="H504" s="54" t="s">
        <v>294</v>
      </c>
      <c r="I504" s="54"/>
      <c r="AC504" s="48" t="s">
        <v>5761</v>
      </c>
      <c r="AD504" s="49"/>
      <c r="AE504" s="49"/>
      <c r="AF504" s="49"/>
      <c r="AG504" s="49"/>
      <c r="AH504" s="49"/>
      <c r="AI504" s="49"/>
      <c r="AJ504" s="49"/>
      <c r="AK504" s="65">
        <f>SUM(AK450,AK468,AK471:AK502,AK432,AK431)</f>
        <v>15529</v>
      </c>
      <c r="AL504" s="65">
        <f>SUM(AL450,AL468,AL471:AL502,AL432,AL431)</f>
        <v>12517</v>
      </c>
      <c r="AM504" s="65">
        <f>SUM(AM450,AM468,AM471:AM502,AM432,AM431)</f>
        <v>26923</v>
      </c>
      <c r="AN504" s="65">
        <f t="shared" ref="AN504:AS504" si="213">SUM(AN450,AN468,AN471:AN502,AN432,AN431,AN449)</f>
        <v>26441</v>
      </c>
      <c r="AO504" s="65">
        <f t="shared" si="213"/>
        <v>4214</v>
      </c>
      <c r="AP504" s="65">
        <f t="shared" si="213"/>
        <v>2873</v>
      </c>
      <c r="AQ504" s="65">
        <f t="shared" si="213"/>
        <v>0</v>
      </c>
      <c r="AR504" s="65">
        <f t="shared" si="213"/>
        <v>0</v>
      </c>
      <c r="AS504" s="66">
        <f t="shared" si="213"/>
        <v>85650</v>
      </c>
    </row>
    <row r="505" spans="1:45" x14ac:dyDescent="0.2">
      <c r="A505" t="s">
        <v>4340</v>
      </c>
      <c r="B505">
        <f>SUM(FishSumAllPRN!B505)</f>
        <v>0</v>
      </c>
      <c r="C505">
        <f>SUM(FishSumAllPRN!C505)</f>
        <v>0</v>
      </c>
      <c r="D505">
        <f>SUM(FishSumAllPRN!D505)</f>
        <v>0</v>
      </c>
      <c r="E505">
        <f>SUM(FishSumAllPRN!E505)</f>
        <v>0</v>
      </c>
      <c r="F505">
        <f>SUM(FishSumAllPRN!F505)</f>
        <v>0</v>
      </c>
      <c r="G505">
        <f>SUM(FishSumAllPRN!G505)</f>
        <v>0</v>
      </c>
      <c r="H505" s="54" t="s">
        <v>294</v>
      </c>
      <c r="I505" s="54"/>
      <c r="AC505" s="50" t="s">
        <v>5769</v>
      </c>
      <c r="AD505" s="37"/>
      <c r="AE505" s="37"/>
      <c r="AF505" s="37"/>
      <c r="AG505" s="37"/>
      <c r="AH505" s="37"/>
      <c r="AI505" s="37"/>
      <c r="AJ505" s="37"/>
      <c r="AK505" s="67" t="s">
        <v>761</v>
      </c>
      <c r="AL505" s="67" t="s">
        <v>761</v>
      </c>
      <c r="AM505" s="67" t="s">
        <v>761</v>
      </c>
      <c r="AN505" s="71" t="s">
        <v>761</v>
      </c>
      <c r="AO505" s="71" t="s">
        <v>761</v>
      </c>
      <c r="AP505" s="37"/>
      <c r="AQ505" s="37"/>
      <c r="AR505" s="37"/>
      <c r="AS505" s="68" t="str">
        <f>AO505</f>
        <v>na</v>
      </c>
    </row>
    <row r="506" spans="1:45" ht="13.5" thickBot="1" x14ac:dyDescent="0.25">
      <c r="A506" t="s">
        <v>4341</v>
      </c>
      <c r="B506">
        <f>SUM(FishSumAllPRN!B506)</f>
        <v>0</v>
      </c>
      <c r="C506">
        <f>SUM(FishSumAllPRN!C506)</f>
        <v>0</v>
      </c>
      <c r="D506">
        <f>SUM(FishSumAllPRN!D506)</f>
        <v>0</v>
      </c>
      <c r="E506">
        <f>SUM(FishSumAllPRN!E506)</f>
        <v>0</v>
      </c>
      <c r="F506">
        <f>SUM(FishSumAllPRN!F506)</f>
        <v>0</v>
      </c>
      <c r="G506">
        <f>SUM(FishSumAllPRN!G506)</f>
        <v>0</v>
      </c>
      <c r="H506" s="54" t="s">
        <v>294</v>
      </c>
      <c r="I506" s="54"/>
      <c r="AC506" s="55" t="s">
        <v>5770</v>
      </c>
      <c r="AD506" s="56"/>
      <c r="AE506" s="56"/>
      <c r="AF506" s="56"/>
      <c r="AG506" s="56"/>
      <c r="AH506" s="56"/>
      <c r="AI506" s="56"/>
      <c r="AJ506" s="56"/>
      <c r="AK506" s="56"/>
      <c r="AL506" s="56"/>
      <c r="AM506" s="56"/>
      <c r="AN506" s="56"/>
      <c r="AO506" s="56"/>
      <c r="AP506" s="56"/>
      <c r="AQ506" s="56"/>
      <c r="AR506" s="56"/>
      <c r="AS506" s="70" t="str">
        <f>IF(AS505="na","na",(AS504/(AS505+AS504)))</f>
        <v>na</v>
      </c>
    </row>
    <row r="507" spans="1:45" x14ac:dyDescent="0.2">
      <c r="A507" t="s">
        <v>4342</v>
      </c>
      <c r="B507">
        <f>SUM(FishSumAllPRN!B507)</f>
        <v>0</v>
      </c>
      <c r="C507">
        <f>SUM(FishSumAllPRN!C507)</f>
        <v>0</v>
      </c>
      <c r="D507">
        <f>SUM(FishSumAllPRN!D507)</f>
        <v>0</v>
      </c>
      <c r="E507">
        <f>SUM(FishSumAllPRN!E507)</f>
        <v>0</v>
      </c>
      <c r="F507">
        <f>SUM(FishSumAllPRN!F507)</f>
        <v>0</v>
      </c>
      <c r="G507">
        <f>SUM(FishSumAllPRN!G507)</f>
        <v>0</v>
      </c>
      <c r="H507" s="54" t="s">
        <v>294</v>
      </c>
      <c r="I507" s="54"/>
    </row>
    <row r="508" spans="1:45" x14ac:dyDescent="0.2">
      <c r="A508" t="s">
        <v>4343</v>
      </c>
      <c r="B508">
        <f>SUM(FishSumAllPRN!B508)</f>
        <v>0</v>
      </c>
      <c r="C508">
        <f>SUM(FishSumAllPRN!C508)</f>
        <v>0</v>
      </c>
      <c r="D508">
        <f>SUM(FishSumAllPRN!D508)</f>
        <v>0</v>
      </c>
      <c r="E508">
        <f>SUM(FishSumAllPRN!E508)</f>
        <v>0</v>
      </c>
      <c r="F508">
        <f>SUM(FishSumAllPRN!F508)</f>
        <v>0</v>
      </c>
      <c r="G508">
        <f>SUM(FishSumAllPRN!G508)</f>
        <v>0</v>
      </c>
      <c r="H508" s="54" t="s">
        <v>294</v>
      </c>
      <c r="I508" s="54"/>
    </row>
    <row r="509" spans="1:45" x14ac:dyDescent="0.2">
      <c r="A509" t="s">
        <v>1728</v>
      </c>
      <c r="B509">
        <f>SUM(FishSumAllPRN!B509)</f>
        <v>0</v>
      </c>
      <c r="C509">
        <f>SUM(FishSumAllPRN!C509)</f>
        <v>0</v>
      </c>
      <c r="D509">
        <f>SUM(FishSumAllPRN!D509)</f>
        <v>0</v>
      </c>
      <c r="E509">
        <f>SUM(FishSumAllPRN!E509)</f>
        <v>0</v>
      </c>
      <c r="F509">
        <f>SUM(FishSumAllPRN!F509)</f>
        <v>0</v>
      </c>
      <c r="G509">
        <f>SUM(FishSumAllPRN!G509)</f>
        <v>0</v>
      </c>
      <c r="H509" s="54" t="s">
        <v>294</v>
      </c>
      <c r="I509" s="54"/>
    </row>
    <row r="510" spans="1:45" x14ac:dyDescent="0.2">
      <c r="A510" t="s">
        <v>1730</v>
      </c>
      <c r="B510">
        <f>SUM(FishSumAllPRN!B510)</f>
        <v>0</v>
      </c>
      <c r="C510">
        <f>SUM(FishSumAllPRN!C510)</f>
        <v>0</v>
      </c>
      <c r="D510">
        <f>SUM(FishSumAllPRN!D510)</f>
        <v>0</v>
      </c>
      <c r="E510">
        <f>SUM(FishSumAllPRN!E510)</f>
        <v>0</v>
      </c>
      <c r="F510">
        <f>SUM(FishSumAllPRN!F510)</f>
        <v>0</v>
      </c>
      <c r="G510">
        <f>SUM(FishSumAllPRN!G510)</f>
        <v>0</v>
      </c>
      <c r="H510" s="54" t="s">
        <v>294</v>
      </c>
      <c r="I510" s="54"/>
    </row>
    <row r="511" spans="1:45" x14ac:dyDescent="0.2">
      <c r="A511" t="s">
        <v>1733</v>
      </c>
      <c r="B511">
        <f>SUM(FishSumAllPRN!B511)</f>
        <v>0</v>
      </c>
      <c r="C511">
        <f>SUM(FishSumAllPRN!C511)</f>
        <v>0</v>
      </c>
      <c r="D511">
        <f>SUM(FishSumAllPRN!D511)</f>
        <v>0</v>
      </c>
      <c r="E511">
        <f>SUM(FishSumAllPRN!E511)</f>
        <v>0</v>
      </c>
      <c r="F511">
        <f>SUM(FishSumAllPRN!F511)</f>
        <v>0</v>
      </c>
      <c r="G511">
        <f>SUM(FishSumAllPRN!G511)</f>
        <v>0</v>
      </c>
      <c r="H511" s="54" t="s">
        <v>294</v>
      </c>
      <c r="I511" s="54"/>
    </row>
    <row r="512" spans="1:45" x14ac:dyDescent="0.2">
      <c r="A512" t="s">
        <v>1738</v>
      </c>
      <c r="B512">
        <f>SUM(FishSumAllPRN!B512)</f>
        <v>0</v>
      </c>
      <c r="C512">
        <f>SUM(FishSumAllPRN!C512)</f>
        <v>0</v>
      </c>
      <c r="D512">
        <f>SUM(FishSumAllPRN!D512)</f>
        <v>0</v>
      </c>
      <c r="E512">
        <f>SUM(FishSumAllPRN!E512)</f>
        <v>0</v>
      </c>
      <c r="F512">
        <f>SUM(FishSumAllPRN!F512)</f>
        <v>0</v>
      </c>
      <c r="G512">
        <f>SUM(FishSumAllPRN!G512)</f>
        <v>0</v>
      </c>
      <c r="H512" s="54" t="s">
        <v>294</v>
      </c>
      <c r="I512" s="54"/>
    </row>
    <row r="513" spans="1:9" x14ac:dyDescent="0.2">
      <c r="A513" t="s">
        <v>1744</v>
      </c>
      <c r="B513">
        <f>SUM(FishSumAllPRN!B513)</f>
        <v>0</v>
      </c>
      <c r="C513">
        <f>SUM(FishSumAllPRN!C513)</f>
        <v>0</v>
      </c>
      <c r="D513">
        <f>SUM(FishSumAllPRN!D513)</f>
        <v>0</v>
      </c>
      <c r="E513">
        <f>SUM(FishSumAllPRN!E513)</f>
        <v>0</v>
      </c>
      <c r="F513">
        <f>SUM(FishSumAllPRN!F513)</f>
        <v>0</v>
      </c>
      <c r="G513">
        <f>SUM(FishSumAllPRN!G513)</f>
        <v>0</v>
      </c>
      <c r="H513" s="54" t="s">
        <v>294</v>
      </c>
      <c r="I513" s="54"/>
    </row>
    <row r="514" spans="1:9" x14ac:dyDescent="0.2">
      <c r="A514" t="s">
        <v>1747</v>
      </c>
      <c r="B514">
        <f>SUM(FishSumAllPRN!B514)</f>
        <v>0</v>
      </c>
      <c r="C514">
        <f>SUM(FishSumAllPRN!C514)</f>
        <v>0</v>
      </c>
      <c r="D514">
        <f>SUM(FishSumAllPRN!D514)</f>
        <v>0</v>
      </c>
      <c r="E514">
        <f>SUM(FishSumAllPRN!E514)</f>
        <v>0</v>
      </c>
      <c r="F514">
        <f>SUM(FishSumAllPRN!F514)</f>
        <v>0</v>
      </c>
      <c r="G514">
        <f>SUM(FishSumAllPRN!G514)</f>
        <v>0</v>
      </c>
      <c r="H514" s="54" t="s">
        <v>294</v>
      </c>
      <c r="I514" s="54"/>
    </row>
    <row r="515" spans="1:9" x14ac:dyDescent="0.2">
      <c r="A515" t="s">
        <v>1751</v>
      </c>
      <c r="B515">
        <f>SUM(FishSumAllPRN!B515)</f>
        <v>0</v>
      </c>
      <c r="C515">
        <f>SUM(FishSumAllPRN!C515)</f>
        <v>0</v>
      </c>
      <c r="D515">
        <f>SUM(FishSumAllPRN!D515)</f>
        <v>0</v>
      </c>
      <c r="E515">
        <f>SUM(FishSumAllPRN!E515)</f>
        <v>0</v>
      </c>
      <c r="F515">
        <f>SUM(FishSumAllPRN!F515)</f>
        <v>0</v>
      </c>
      <c r="G515">
        <f>SUM(FishSumAllPRN!G515)</f>
        <v>0</v>
      </c>
      <c r="H515" s="54" t="s">
        <v>294</v>
      </c>
      <c r="I515" s="54"/>
    </row>
    <row r="516" spans="1:9" x14ac:dyDescent="0.2">
      <c r="A516" t="s">
        <v>1755</v>
      </c>
      <c r="B516">
        <f>SUM(FishSumAllPRN!B516)</f>
        <v>0</v>
      </c>
      <c r="C516">
        <f>SUM(FishSumAllPRN!C516)</f>
        <v>0</v>
      </c>
      <c r="D516">
        <f>SUM(FishSumAllPRN!D516)</f>
        <v>200</v>
      </c>
      <c r="E516">
        <f>SUM(FishSumAllPRN!E516)</f>
        <v>910</v>
      </c>
      <c r="F516">
        <f>SUM(FishSumAllPRN!F516)</f>
        <v>3913</v>
      </c>
      <c r="G516">
        <f>SUM(FishSumAllPRN!G516)</f>
        <v>5023</v>
      </c>
      <c r="H516" s="54" t="s">
        <v>294</v>
      </c>
      <c r="I516" s="54"/>
    </row>
    <row r="517" spans="1:9" x14ac:dyDescent="0.2">
      <c r="A517" t="s">
        <v>1757</v>
      </c>
      <c r="B517">
        <f>SUM(FishSumAllPRN!B517)</f>
        <v>0</v>
      </c>
      <c r="C517">
        <f>SUM(FishSumAllPRN!C517)</f>
        <v>0</v>
      </c>
      <c r="D517">
        <f>SUM(FishSumAllPRN!D517)</f>
        <v>0</v>
      </c>
      <c r="E517">
        <f>SUM(FishSumAllPRN!E517)</f>
        <v>0</v>
      </c>
      <c r="F517">
        <f>SUM(FishSumAllPRN!F517)</f>
        <v>0</v>
      </c>
      <c r="G517">
        <f>SUM(FishSumAllPRN!G517)</f>
        <v>0</v>
      </c>
      <c r="H517" s="54" t="s">
        <v>294</v>
      </c>
      <c r="I517" s="54"/>
    </row>
    <row r="518" spans="1:9" x14ac:dyDescent="0.2">
      <c r="A518" t="s">
        <v>1761</v>
      </c>
      <c r="B518">
        <f>SUM(FishSumAllPRN!B518)</f>
        <v>0</v>
      </c>
      <c r="C518">
        <f>SUM(FishSumAllPRN!C518)</f>
        <v>0</v>
      </c>
      <c r="D518">
        <f>SUM(FishSumAllPRN!D518)</f>
        <v>0</v>
      </c>
      <c r="E518">
        <f>SUM(FishSumAllPRN!E518)</f>
        <v>0</v>
      </c>
      <c r="F518">
        <f>SUM(FishSumAllPRN!F518)</f>
        <v>0</v>
      </c>
      <c r="G518">
        <f>SUM(FishSumAllPRN!G518)</f>
        <v>0</v>
      </c>
      <c r="H518" s="54" t="s">
        <v>294</v>
      </c>
      <c r="I518" s="54"/>
    </row>
    <row r="519" spans="1:9" x14ac:dyDescent="0.2">
      <c r="A519" t="s">
        <v>1764</v>
      </c>
      <c r="B519">
        <f>SUM(FishSumAllPRN!B519)</f>
        <v>0</v>
      </c>
      <c r="C519">
        <f>SUM(FishSumAllPRN!C519)</f>
        <v>0</v>
      </c>
      <c r="D519">
        <f>SUM(FishSumAllPRN!D519)</f>
        <v>0</v>
      </c>
      <c r="E519">
        <f>SUM(FishSumAllPRN!E519)</f>
        <v>0</v>
      </c>
      <c r="F519">
        <f>SUM(FishSumAllPRN!F519)</f>
        <v>0</v>
      </c>
      <c r="G519">
        <f>SUM(FishSumAllPRN!G519)</f>
        <v>0</v>
      </c>
      <c r="H519" s="54" t="s">
        <v>294</v>
      </c>
      <c r="I519" s="54"/>
    </row>
    <row r="520" spans="1:9" x14ac:dyDescent="0.2">
      <c r="A520" t="s">
        <v>1770</v>
      </c>
      <c r="B520">
        <f>SUM(FishSumAllPRN!B520)</f>
        <v>27</v>
      </c>
      <c r="C520">
        <f>SUM(FishSumAllPRN!C520)</f>
        <v>39</v>
      </c>
      <c r="D520">
        <f>SUM(FishSumAllPRN!D520)</f>
        <v>285</v>
      </c>
      <c r="E520">
        <f>SUM(FishSumAllPRN!E520)</f>
        <v>1727</v>
      </c>
      <c r="F520">
        <f>SUM(FishSumAllPRN!F520)</f>
        <v>0</v>
      </c>
      <c r="G520">
        <f>SUM(FishSumAllPRN!G520)</f>
        <v>2078</v>
      </c>
      <c r="H520" s="54" t="s">
        <v>294</v>
      </c>
      <c r="I520" s="54"/>
    </row>
    <row r="521" spans="1:9" x14ac:dyDescent="0.2">
      <c r="A521" t="s">
        <v>1772</v>
      </c>
      <c r="B521">
        <f>SUM(FishSumAllPRN!B521)</f>
        <v>0</v>
      </c>
      <c r="C521">
        <f>SUM(FishSumAllPRN!C521)</f>
        <v>4</v>
      </c>
      <c r="D521">
        <f>SUM(FishSumAllPRN!D521)</f>
        <v>66</v>
      </c>
      <c r="E521">
        <f>SUM(FishSumAllPRN!E521)</f>
        <v>725</v>
      </c>
      <c r="F521">
        <f>SUM(FishSumAllPRN!F521)</f>
        <v>0</v>
      </c>
      <c r="G521">
        <f>SUM(FishSumAllPRN!G521)</f>
        <v>795</v>
      </c>
      <c r="H521" s="54" t="s">
        <v>294</v>
      </c>
      <c r="I521" s="54"/>
    </row>
    <row r="522" spans="1:9" x14ac:dyDescent="0.2">
      <c r="A522" t="s">
        <v>1774</v>
      </c>
      <c r="B522">
        <f>SUM(FishSumAllPRN!B522)</f>
        <v>0</v>
      </c>
      <c r="C522">
        <f>SUM(FishSumAllPRN!C522)</f>
        <v>6</v>
      </c>
      <c r="D522">
        <f>SUM(FishSumAllPRN!D522)</f>
        <v>45</v>
      </c>
      <c r="E522">
        <f>SUM(FishSumAllPRN!E522)</f>
        <v>640</v>
      </c>
      <c r="F522">
        <f>SUM(FishSumAllPRN!F522)</f>
        <v>0</v>
      </c>
      <c r="G522">
        <f>SUM(FishSumAllPRN!G522)</f>
        <v>692</v>
      </c>
      <c r="H522" s="54" t="s">
        <v>294</v>
      </c>
      <c r="I522" s="54"/>
    </row>
    <row r="523" spans="1:9" x14ac:dyDescent="0.2">
      <c r="A523" t="s">
        <v>1777</v>
      </c>
      <c r="B523">
        <f>SUM(FishSumAllPRN!B523)</f>
        <v>0</v>
      </c>
      <c r="C523">
        <f>SUM(FishSumAllPRN!C523)</f>
        <v>0</v>
      </c>
      <c r="D523">
        <f>SUM(FishSumAllPRN!D523)</f>
        <v>0</v>
      </c>
      <c r="E523">
        <f>SUM(FishSumAllPRN!E523)</f>
        <v>0</v>
      </c>
      <c r="F523">
        <f>SUM(FishSumAllPRN!F523)</f>
        <v>16</v>
      </c>
      <c r="G523">
        <f>SUM(FishSumAllPRN!G523)</f>
        <v>16</v>
      </c>
      <c r="H523" s="54" t="s">
        <v>294</v>
      </c>
      <c r="I523" s="54"/>
    </row>
    <row r="524" spans="1:9" x14ac:dyDescent="0.2">
      <c r="A524" t="s">
        <v>1782</v>
      </c>
      <c r="B524">
        <f>SUM(FishSumAllPRN!B524)</f>
        <v>0</v>
      </c>
      <c r="C524">
        <f>SUM(FishSumAllPRN!C524)</f>
        <v>0</v>
      </c>
      <c r="D524">
        <f>SUM(FishSumAllPRN!D524)</f>
        <v>0</v>
      </c>
      <c r="E524">
        <f>SUM(FishSumAllPRN!E524)</f>
        <v>0</v>
      </c>
      <c r="F524">
        <f>SUM(FishSumAllPRN!F524)</f>
        <v>0</v>
      </c>
      <c r="G524">
        <f>SUM(FishSumAllPRN!G524)</f>
        <v>0</v>
      </c>
      <c r="H524" s="54" t="s">
        <v>294</v>
      </c>
      <c r="I524" s="54"/>
    </row>
    <row r="525" spans="1:9" x14ac:dyDescent="0.2">
      <c r="A525" t="s">
        <v>1274</v>
      </c>
      <c r="B525">
        <f>SUM(FishSumAllPRN!B525)</f>
        <v>0</v>
      </c>
      <c r="C525">
        <f>SUM(FishSumAllPRN!C525)</f>
        <v>0</v>
      </c>
      <c r="D525">
        <f>SUM(FishSumAllPRN!D525)</f>
        <v>0</v>
      </c>
      <c r="E525">
        <f>SUM(FishSumAllPRN!E525)</f>
        <v>0</v>
      </c>
      <c r="F525">
        <f>SUM(FishSumAllPRN!F525)</f>
        <v>0</v>
      </c>
      <c r="G525">
        <f>SUM(FishSumAllPRN!G525)</f>
        <v>0</v>
      </c>
      <c r="H525" s="54" t="s">
        <v>294</v>
      </c>
      <c r="I525" s="54"/>
    </row>
    <row r="526" spans="1:9" x14ac:dyDescent="0.2">
      <c r="A526" t="s">
        <v>1277</v>
      </c>
      <c r="B526">
        <f>SUM(FishSumAllPRN!B526)</f>
        <v>0</v>
      </c>
      <c r="C526">
        <f>SUM(FishSumAllPRN!C526)</f>
        <v>0</v>
      </c>
      <c r="D526">
        <f>SUM(FishSumAllPRN!D526)</f>
        <v>0</v>
      </c>
      <c r="E526">
        <f>SUM(FishSumAllPRN!E526)</f>
        <v>0</v>
      </c>
      <c r="F526">
        <f>SUM(FishSumAllPRN!F526)</f>
        <v>0</v>
      </c>
      <c r="G526">
        <f>SUM(FishSumAllPRN!G526)</f>
        <v>0</v>
      </c>
      <c r="H526" s="54" t="s">
        <v>294</v>
      </c>
      <c r="I526" s="54"/>
    </row>
    <row r="527" spans="1:9" x14ac:dyDescent="0.2">
      <c r="A527" t="s">
        <v>1798</v>
      </c>
      <c r="B527">
        <f>SUM(FishSumAllPRN!B527)</f>
        <v>0</v>
      </c>
      <c r="C527">
        <f>SUM(FishSumAllPRN!C527)</f>
        <v>0</v>
      </c>
      <c r="D527">
        <f>SUM(FishSumAllPRN!D527)</f>
        <v>0</v>
      </c>
      <c r="E527">
        <f>SUM(FishSumAllPRN!E527)</f>
        <v>0</v>
      </c>
      <c r="F527">
        <f>SUM(FishSumAllPRN!F527)</f>
        <v>0</v>
      </c>
      <c r="G527">
        <f>SUM(FishSumAllPRN!G527)</f>
        <v>0</v>
      </c>
      <c r="H527" s="54" t="s">
        <v>294</v>
      </c>
      <c r="I527" s="54"/>
    </row>
    <row r="528" spans="1:9" x14ac:dyDescent="0.2">
      <c r="A528" t="s">
        <v>1803</v>
      </c>
      <c r="B528">
        <f>SUM(FishSumAllPRN!B528)</f>
        <v>0</v>
      </c>
      <c r="C528">
        <f>SUM(FishSumAllPRN!C528)</f>
        <v>0</v>
      </c>
      <c r="D528">
        <f>SUM(FishSumAllPRN!D528)</f>
        <v>0</v>
      </c>
      <c r="E528">
        <f>SUM(FishSumAllPRN!E528)</f>
        <v>0</v>
      </c>
      <c r="F528">
        <f>SUM(FishSumAllPRN!F528)</f>
        <v>0</v>
      </c>
      <c r="G528">
        <f>SUM(FishSumAllPRN!G528)</f>
        <v>0</v>
      </c>
      <c r="H528" s="54" t="s">
        <v>294</v>
      </c>
      <c r="I528" s="54"/>
    </row>
    <row r="529" spans="1:9" x14ac:dyDescent="0.2">
      <c r="A529" t="s">
        <v>1808</v>
      </c>
      <c r="B529">
        <f>SUM(FishSumAllPRN!B529)</f>
        <v>0</v>
      </c>
      <c r="C529">
        <f>SUM(FishSumAllPRN!C529)</f>
        <v>0</v>
      </c>
      <c r="D529">
        <f>SUM(FishSumAllPRN!D529)</f>
        <v>0</v>
      </c>
      <c r="E529">
        <f>SUM(FishSumAllPRN!E529)</f>
        <v>0</v>
      </c>
      <c r="F529">
        <f>SUM(FishSumAllPRN!F529)</f>
        <v>176</v>
      </c>
      <c r="G529">
        <f>SUM(FishSumAllPRN!G529)</f>
        <v>176</v>
      </c>
      <c r="H529" s="54" t="s">
        <v>294</v>
      </c>
      <c r="I529" s="54"/>
    </row>
    <row r="530" spans="1:9" x14ac:dyDescent="0.2">
      <c r="A530" t="s">
        <v>1813</v>
      </c>
      <c r="B530">
        <f>SUM(FishSumAllPRN!B530)</f>
        <v>0</v>
      </c>
      <c r="C530">
        <f>SUM(FishSumAllPRN!C530)</f>
        <v>0</v>
      </c>
      <c r="D530">
        <f>SUM(FishSumAllPRN!D530)</f>
        <v>0</v>
      </c>
      <c r="E530">
        <f>SUM(FishSumAllPRN!E530)</f>
        <v>0</v>
      </c>
      <c r="F530">
        <f>SUM(FishSumAllPRN!F530)</f>
        <v>0</v>
      </c>
      <c r="G530">
        <f>SUM(FishSumAllPRN!G530)</f>
        <v>0</v>
      </c>
      <c r="H530" s="54" t="s">
        <v>294</v>
      </c>
      <c r="I530" s="54"/>
    </row>
    <row r="531" spans="1:9" x14ac:dyDescent="0.2">
      <c r="A531" t="s">
        <v>1819</v>
      </c>
      <c r="B531">
        <f>SUM(FishSumAllPRN!B531)</f>
        <v>0</v>
      </c>
      <c r="C531">
        <f>SUM(FishSumAllPRN!C531)</f>
        <v>0</v>
      </c>
      <c r="D531">
        <f>SUM(FishSumAllPRN!D531)</f>
        <v>0</v>
      </c>
      <c r="E531">
        <f>SUM(FishSumAllPRN!E531)</f>
        <v>0</v>
      </c>
      <c r="F531">
        <f>SUM(FishSumAllPRN!F531)</f>
        <v>0</v>
      </c>
      <c r="G531">
        <f>SUM(FishSumAllPRN!G531)</f>
        <v>0</v>
      </c>
      <c r="H531" s="54" t="s">
        <v>294</v>
      </c>
      <c r="I531" s="54"/>
    </row>
    <row r="532" spans="1:9" x14ac:dyDescent="0.2">
      <c r="A532" t="s">
        <v>1826</v>
      </c>
      <c r="B532">
        <f>SUM(FishSumAllPRN!B532)</f>
        <v>0</v>
      </c>
      <c r="C532">
        <f>SUM(FishSumAllPRN!C532)</f>
        <v>0</v>
      </c>
      <c r="D532">
        <f>SUM(FishSumAllPRN!D532)</f>
        <v>0</v>
      </c>
      <c r="E532">
        <f>SUM(FishSumAllPRN!E532)</f>
        <v>0</v>
      </c>
      <c r="F532">
        <f>SUM(FishSumAllPRN!F532)</f>
        <v>0</v>
      </c>
      <c r="G532">
        <f>SUM(FishSumAllPRN!G532)</f>
        <v>0</v>
      </c>
      <c r="H532" s="54" t="s">
        <v>294</v>
      </c>
      <c r="I532" s="54"/>
    </row>
    <row r="533" spans="1:9" x14ac:dyDescent="0.2">
      <c r="A533" t="s">
        <v>1830</v>
      </c>
      <c r="B533">
        <f>SUM(FishSumAllPRN!B533)</f>
        <v>0</v>
      </c>
      <c r="C533">
        <f>SUM(FishSumAllPRN!C533)</f>
        <v>0</v>
      </c>
      <c r="D533">
        <f>SUM(FishSumAllPRN!D533)</f>
        <v>0</v>
      </c>
      <c r="E533">
        <f>SUM(FishSumAllPRN!E533)</f>
        <v>0</v>
      </c>
      <c r="F533">
        <f>SUM(FishSumAllPRN!F533)</f>
        <v>0</v>
      </c>
      <c r="G533">
        <f>SUM(FishSumAllPRN!G533)</f>
        <v>0</v>
      </c>
      <c r="H533" s="54" t="s">
        <v>294</v>
      </c>
      <c r="I533" s="54"/>
    </row>
    <row r="534" spans="1:9" x14ac:dyDescent="0.2">
      <c r="A534" t="s">
        <v>1836</v>
      </c>
      <c r="B534">
        <f>SUM(FishSumAllPRN!B534)</f>
        <v>0</v>
      </c>
      <c r="C534">
        <f>SUM(FishSumAllPRN!C534)</f>
        <v>0</v>
      </c>
      <c r="D534">
        <f>SUM(FishSumAllPRN!D534)</f>
        <v>0</v>
      </c>
      <c r="E534">
        <f>SUM(FishSumAllPRN!E534)</f>
        <v>0</v>
      </c>
      <c r="F534">
        <f>SUM(FishSumAllPRN!F534)</f>
        <v>0</v>
      </c>
      <c r="G534">
        <f>SUM(FishSumAllPRN!G534)</f>
        <v>0</v>
      </c>
      <c r="H534" s="54" t="s">
        <v>294</v>
      </c>
      <c r="I534" s="54"/>
    </row>
    <row r="535" spans="1:9" x14ac:dyDescent="0.2">
      <c r="A535" t="s">
        <v>1841</v>
      </c>
      <c r="B535">
        <f>SUM(FishSumAllPRN!B535)</f>
        <v>0</v>
      </c>
      <c r="C535">
        <f>SUM(FishSumAllPRN!C535)</f>
        <v>0</v>
      </c>
      <c r="D535">
        <f>SUM(FishSumAllPRN!D535)</f>
        <v>0</v>
      </c>
      <c r="E535">
        <f>SUM(FishSumAllPRN!E535)</f>
        <v>0</v>
      </c>
      <c r="F535">
        <f>SUM(FishSumAllPRN!F535)</f>
        <v>0</v>
      </c>
      <c r="G535">
        <f>SUM(FishSumAllPRN!G535)</f>
        <v>0</v>
      </c>
      <c r="H535" s="54" t="s">
        <v>294</v>
      </c>
      <c r="I535" s="54"/>
    </row>
    <row r="536" spans="1:9" x14ac:dyDescent="0.2">
      <c r="A536" t="s">
        <v>1842</v>
      </c>
      <c r="B536">
        <f>SUM(FishSumAllPRN!B536)</f>
        <v>0</v>
      </c>
      <c r="C536">
        <f>SUM(FishSumAllPRN!C536)</f>
        <v>168</v>
      </c>
      <c r="D536">
        <f>SUM(FishSumAllPRN!D536)</f>
        <v>373</v>
      </c>
      <c r="E536">
        <f>SUM(FishSumAllPRN!E536)</f>
        <v>926</v>
      </c>
      <c r="F536">
        <f>SUM(FishSumAllPRN!F536)</f>
        <v>0</v>
      </c>
      <c r="G536">
        <f>SUM(FishSumAllPRN!G536)</f>
        <v>1467</v>
      </c>
      <c r="H536" s="54" t="s">
        <v>294</v>
      </c>
      <c r="I536" s="54"/>
    </row>
    <row r="537" spans="1:9" x14ac:dyDescent="0.2">
      <c r="A537" t="s">
        <v>1843</v>
      </c>
      <c r="B537">
        <f>SUM(FishSumAllPRN!B537)</f>
        <v>0</v>
      </c>
      <c r="C537">
        <f>SUM(FishSumAllPRN!C537)</f>
        <v>0</v>
      </c>
      <c r="D537">
        <f>SUM(FishSumAllPRN!D537)</f>
        <v>0</v>
      </c>
      <c r="E537">
        <f>SUM(FishSumAllPRN!E537)</f>
        <v>0</v>
      </c>
      <c r="F537">
        <f>SUM(FishSumAllPRN!F537)</f>
        <v>0</v>
      </c>
      <c r="G537">
        <f>SUM(FishSumAllPRN!G537)</f>
        <v>0</v>
      </c>
      <c r="H537" s="54" t="s">
        <v>294</v>
      </c>
      <c r="I537" s="54"/>
    </row>
    <row r="538" spans="1:9" x14ac:dyDescent="0.2">
      <c r="A538" t="s">
        <v>1846</v>
      </c>
      <c r="B538">
        <f>SUM(FishSumAllPRN!B538)</f>
        <v>0</v>
      </c>
      <c r="C538">
        <f>SUM(FishSumAllPRN!C538)</f>
        <v>0</v>
      </c>
      <c r="D538">
        <f>SUM(FishSumAllPRN!D538)</f>
        <v>0</v>
      </c>
      <c r="E538">
        <f>SUM(FishSumAllPRN!E538)</f>
        <v>0</v>
      </c>
      <c r="F538">
        <f>SUM(FishSumAllPRN!F538)</f>
        <v>0</v>
      </c>
      <c r="G538">
        <f>SUM(FishSumAllPRN!G538)</f>
        <v>0</v>
      </c>
      <c r="H538" s="54" t="s">
        <v>294</v>
      </c>
      <c r="I538" s="54"/>
    </row>
    <row r="539" spans="1:9" x14ac:dyDescent="0.2">
      <c r="A539" t="s">
        <v>1851</v>
      </c>
      <c r="B539">
        <f>SUM(FishSumAllPRN!B539)</f>
        <v>0</v>
      </c>
      <c r="C539">
        <f>SUM(FishSumAllPRN!C539)</f>
        <v>0</v>
      </c>
      <c r="D539">
        <f>SUM(FishSumAllPRN!D539)</f>
        <v>0</v>
      </c>
      <c r="E539">
        <f>SUM(FishSumAllPRN!E539)</f>
        <v>0</v>
      </c>
      <c r="F539">
        <f>SUM(FishSumAllPRN!F539)</f>
        <v>0</v>
      </c>
      <c r="G539">
        <f>SUM(FishSumAllPRN!G539)</f>
        <v>0</v>
      </c>
      <c r="H539" s="54" t="s">
        <v>294</v>
      </c>
      <c r="I539" s="54"/>
    </row>
    <row r="540" spans="1:9" x14ac:dyDescent="0.2">
      <c r="A540" t="s">
        <v>1857</v>
      </c>
      <c r="B540">
        <f>SUM(FishSumAllPRN!B540)</f>
        <v>0</v>
      </c>
      <c r="C540">
        <f>SUM(FishSumAllPRN!C540)</f>
        <v>0</v>
      </c>
      <c r="D540">
        <f>SUM(FishSumAllPRN!D540)</f>
        <v>0</v>
      </c>
      <c r="E540">
        <f>SUM(FishSumAllPRN!E540)</f>
        <v>21</v>
      </c>
      <c r="F540">
        <f>SUM(FishSumAllPRN!F540)</f>
        <v>0</v>
      </c>
      <c r="G540">
        <f>SUM(FishSumAllPRN!G540)</f>
        <v>21</v>
      </c>
      <c r="H540" s="54" t="s">
        <v>294</v>
      </c>
      <c r="I540" s="54"/>
    </row>
    <row r="541" spans="1:9" x14ac:dyDescent="0.2">
      <c r="A541" t="s">
        <v>1862</v>
      </c>
      <c r="B541">
        <f>SUM(FishSumAllPRN!B541)</f>
        <v>0</v>
      </c>
      <c r="C541">
        <f>SUM(FishSumAllPRN!C541)</f>
        <v>0</v>
      </c>
      <c r="D541">
        <f>SUM(FishSumAllPRN!D541)</f>
        <v>0</v>
      </c>
      <c r="E541">
        <f>SUM(FishSumAllPRN!E541)</f>
        <v>0</v>
      </c>
      <c r="F541">
        <f>SUM(FishSumAllPRN!F541)</f>
        <v>0</v>
      </c>
      <c r="G541">
        <f>SUM(FishSumAllPRN!G541)</f>
        <v>0</v>
      </c>
      <c r="H541" s="54" t="s">
        <v>294</v>
      </c>
      <c r="I541" s="54"/>
    </row>
    <row r="542" spans="1:9" x14ac:dyDescent="0.2">
      <c r="A542" t="s">
        <v>1867</v>
      </c>
      <c r="B542">
        <f>SUM(FishSumAllPRN!B542)</f>
        <v>0</v>
      </c>
      <c r="C542">
        <f>SUM(FishSumAllPRN!C542)</f>
        <v>0</v>
      </c>
      <c r="D542">
        <f>SUM(FishSumAllPRN!D542)</f>
        <v>0</v>
      </c>
      <c r="E542">
        <f>SUM(FishSumAllPRN!E542)</f>
        <v>0</v>
      </c>
      <c r="F542">
        <f>SUM(FishSumAllPRN!F542)</f>
        <v>0</v>
      </c>
      <c r="G542">
        <f>SUM(FishSumAllPRN!G542)</f>
        <v>0</v>
      </c>
      <c r="H542" s="54" t="s">
        <v>294</v>
      </c>
      <c r="I542" s="54"/>
    </row>
    <row r="543" spans="1:9" x14ac:dyDescent="0.2">
      <c r="A543" t="s">
        <v>1870</v>
      </c>
      <c r="B543">
        <f>SUM(FishSumAllPRN!B543)</f>
        <v>0</v>
      </c>
      <c r="C543">
        <f>SUM(FishSumAllPRN!C543)</f>
        <v>0</v>
      </c>
      <c r="D543">
        <f>SUM(FishSumAllPRN!D543)</f>
        <v>0</v>
      </c>
      <c r="E543">
        <f>SUM(FishSumAllPRN!E543)</f>
        <v>0</v>
      </c>
      <c r="F543">
        <f>SUM(FishSumAllPRN!F543)</f>
        <v>0</v>
      </c>
      <c r="G543">
        <f>SUM(FishSumAllPRN!G543)</f>
        <v>0</v>
      </c>
      <c r="H543" s="54" t="s">
        <v>294</v>
      </c>
      <c r="I543" s="54"/>
    </row>
    <row r="544" spans="1:9" x14ac:dyDescent="0.2">
      <c r="A544" t="s">
        <v>1874</v>
      </c>
      <c r="B544">
        <f>SUM(FishSumAllPRN!B544)</f>
        <v>0</v>
      </c>
      <c r="C544">
        <f>SUM(FishSumAllPRN!C544)</f>
        <v>0</v>
      </c>
      <c r="D544">
        <f>SUM(FishSumAllPRN!D544)</f>
        <v>25</v>
      </c>
      <c r="E544">
        <f>SUM(FishSumAllPRN!E544)</f>
        <v>867</v>
      </c>
      <c r="F544">
        <f>SUM(FishSumAllPRN!F544)</f>
        <v>0</v>
      </c>
      <c r="G544">
        <f>SUM(FishSumAllPRN!G544)</f>
        <v>893</v>
      </c>
      <c r="H544" s="54" t="s">
        <v>294</v>
      </c>
      <c r="I544" s="54"/>
    </row>
    <row r="545" spans="1:9" x14ac:dyDescent="0.2">
      <c r="A545" t="s">
        <v>1876</v>
      </c>
      <c r="B545">
        <f>SUM(FishSumAllPRN!B545)</f>
        <v>0</v>
      </c>
      <c r="C545">
        <f>SUM(FishSumAllPRN!C545)</f>
        <v>0</v>
      </c>
      <c r="D545">
        <f>SUM(FishSumAllPRN!D545)</f>
        <v>0</v>
      </c>
      <c r="E545">
        <f>SUM(FishSumAllPRN!E545)</f>
        <v>0</v>
      </c>
      <c r="F545">
        <f>SUM(FishSumAllPRN!F545)</f>
        <v>0</v>
      </c>
      <c r="G545">
        <f>SUM(FishSumAllPRN!G545)</f>
        <v>0</v>
      </c>
      <c r="H545" s="54" t="s">
        <v>294</v>
      </c>
      <c r="I545" s="54"/>
    </row>
    <row r="546" spans="1:9" x14ac:dyDescent="0.2">
      <c r="A546" t="s">
        <v>1881</v>
      </c>
      <c r="B546">
        <f>SUM(FishSumAllPRN!B546)</f>
        <v>0</v>
      </c>
      <c r="C546">
        <f>SUM(FishSumAllPRN!C546)</f>
        <v>0</v>
      </c>
      <c r="D546">
        <f>SUM(FishSumAllPRN!D546)</f>
        <v>0</v>
      </c>
      <c r="E546">
        <f>SUM(FishSumAllPRN!E546)</f>
        <v>0</v>
      </c>
      <c r="F546">
        <f>SUM(FishSumAllPRN!F546)</f>
        <v>266</v>
      </c>
      <c r="G546">
        <f>SUM(FishSumAllPRN!G546)</f>
        <v>266</v>
      </c>
      <c r="H546" s="54" t="s">
        <v>294</v>
      </c>
      <c r="I546" s="54"/>
    </row>
    <row r="547" spans="1:9" x14ac:dyDescent="0.2">
      <c r="A547" t="s">
        <v>1885</v>
      </c>
      <c r="B547">
        <f>SUM(FishSumAllPRN!B547)</f>
        <v>0</v>
      </c>
      <c r="C547">
        <f>SUM(FishSumAllPRN!C547)</f>
        <v>0</v>
      </c>
      <c r="D547">
        <f>SUM(FishSumAllPRN!D547)</f>
        <v>0</v>
      </c>
      <c r="E547">
        <f>SUM(FishSumAllPRN!E547)</f>
        <v>0</v>
      </c>
      <c r="F547">
        <f>SUM(FishSumAllPRN!F547)</f>
        <v>0</v>
      </c>
      <c r="G547">
        <f>SUM(FishSumAllPRN!G547)</f>
        <v>0</v>
      </c>
      <c r="H547" s="54" t="s">
        <v>294</v>
      </c>
      <c r="I547" s="54"/>
    </row>
    <row r="548" spans="1:9" x14ac:dyDescent="0.2">
      <c r="A548" t="s">
        <v>1887</v>
      </c>
      <c r="B548">
        <f>SUM(FishSumAllPRN!B548)</f>
        <v>0</v>
      </c>
      <c r="C548">
        <f>SUM(FishSumAllPRN!C548)</f>
        <v>0</v>
      </c>
      <c r="D548">
        <f>SUM(FishSumAllPRN!D548)</f>
        <v>0</v>
      </c>
      <c r="E548">
        <f>SUM(FishSumAllPRN!E548)</f>
        <v>0</v>
      </c>
      <c r="F548">
        <f>SUM(FishSumAllPRN!F548)</f>
        <v>0</v>
      </c>
      <c r="G548">
        <f>SUM(FishSumAllPRN!G548)</f>
        <v>0</v>
      </c>
      <c r="H548" s="54" t="s">
        <v>294</v>
      </c>
      <c r="I548" s="54"/>
    </row>
    <row r="549" spans="1:9" x14ac:dyDescent="0.2">
      <c r="A549" t="s">
        <v>1893</v>
      </c>
      <c r="B549">
        <f>SUM(FishSumAllPRN!B549)</f>
        <v>0</v>
      </c>
      <c r="C549">
        <f>SUM(FishSumAllPRN!C549)</f>
        <v>0</v>
      </c>
      <c r="D549">
        <f>SUM(FishSumAllPRN!D549)</f>
        <v>0</v>
      </c>
      <c r="E549">
        <f>SUM(FishSumAllPRN!E549)</f>
        <v>0</v>
      </c>
      <c r="F549">
        <f>SUM(FishSumAllPRN!F549)</f>
        <v>0</v>
      </c>
      <c r="G549">
        <f>SUM(FishSumAllPRN!G549)</f>
        <v>0</v>
      </c>
      <c r="H549" s="54" t="s">
        <v>294</v>
      </c>
      <c r="I549" s="54"/>
    </row>
    <row r="550" spans="1:9" x14ac:dyDescent="0.2">
      <c r="A550" t="s">
        <v>1899</v>
      </c>
      <c r="B550">
        <f>SUM(FishSumAllPRN!B550)</f>
        <v>0</v>
      </c>
      <c r="C550">
        <f>SUM(FishSumAllPRN!C550)</f>
        <v>0</v>
      </c>
      <c r="D550">
        <f>SUM(FishSumAllPRN!D550)</f>
        <v>0</v>
      </c>
      <c r="E550">
        <f>SUM(FishSumAllPRN!E550)</f>
        <v>0</v>
      </c>
      <c r="F550">
        <f>SUM(FishSumAllPRN!F550)</f>
        <v>0</v>
      </c>
      <c r="G550">
        <f>SUM(FishSumAllPRN!G550)</f>
        <v>0</v>
      </c>
      <c r="H550" s="54" t="s">
        <v>294</v>
      </c>
      <c r="I550" s="54"/>
    </row>
    <row r="551" spans="1:9" x14ac:dyDescent="0.2">
      <c r="A551" t="s">
        <v>1906</v>
      </c>
      <c r="B551">
        <f>SUM(FishSumAllPRN!B551)</f>
        <v>0</v>
      </c>
      <c r="C551">
        <f>SUM(FishSumAllPRN!C551)</f>
        <v>0</v>
      </c>
      <c r="D551">
        <f>SUM(FishSumAllPRN!D551)</f>
        <v>0</v>
      </c>
      <c r="E551">
        <f>SUM(FishSumAllPRN!E551)</f>
        <v>0</v>
      </c>
      <c r="F551">
        <f>SUM(FishSumAllPRN!F551)</f>
        <v>0</v>
      </c>
      <c r="G551">
        <f>SUM(FishSumAllPRN!G551)</f>
        <v>0</v>
      </c>
      <c r="H551" s="54" t="s">
        <v>294</v>
      </c>
      <c r="I551" s="54"/>
    </row>
    <row r="552" spans="1:9" x14ac:dyDescent="0.2">
      <c r="A552" t="s">
        <v>1911</v>
      </c>
      <c r="B552">
        <f>SUM(FishSumAllPRN!B552)</f>
        <v>0</v>
      </c>
      <c r="C552">
        <f>SUM(FishSumAllPRN!C552)</f>
        <v>0</v>
      </c>
      <c r="D552">
        <f>SUM(FishSumAllPRN!D552)</f>
        <v>0</v>
      </c>
      <c r="E552">
        <f>SUM(FishSumAllPRN!E552)</f>
        <v>0</v>
      </c>
      <c r="F552">
        <f>SUM(FishSumAllPRN!F552)</f>
        <v>0</v>
      </c>
      <c r="G552">
        <f>SUM(FishSumAllPRN!G552)</f>
        <v>0</v>
      </c>
      <c r="H552" s="54" t="s">
        <v>294</v>
      </c>
      <c r="I552" s="54"/>
    </row>
    <row r="553" spans="1:9" x14ac:dyDescent="0.2">
      <c r="A553" t="s">
        <v>1917</v>
      </c>
      <c r="B553">
        <f>SUM(FishSumAllPRN!B553)</f>
        <v>0</v>
      </c>
      <c r="C553">
        <f>SUM(FishSumAllPRN!C553)</f>
        <v>0</v>
      </c>
      <c r="D553">
        <f>SUM(FishSumAllPRN!D553)</f>
        <v>0</v>
      </c>
      <c r="E553">
        <f>SUM(FishSumAllPRN!E553)</f>
        <v>0</v>
      </c>
      <c r="F553">
        <f>SUM(FishSumAllPRN!F553)</f>
        <v>0</v>
      </c>
      <c r="G553">
        <f>SUM(FishSumAllPRN!G553)</f>
        <v>0</v>
      </c>
      <c r="H553" s="54" t="s">
        <v>294</v>
      </c>
      <c r="I553" s="54"/>
    </row>
    <row r="554" spans="1:9" x14ac:dyDescent="0.2">
      <c r="A554" t="s">
        <v>1922</v>
      </c>
      <c r="B554">
        <f>SUM(FishSumAllPRN!B554)</f>
        <v>0</v>
      </c>
      <c r="C554">
        <f>SUM(FishSumAllPRN!C554)</f>
        <v>0</v>
      </c>
      <c r="D554">
        <f>SUM(FishSumAllPRN!D554)</f>
        <v>0</v>
      </c>
      <c r="E554">
        <f>SUM(FishSumAllPRN!E554)</f>
        <v>0</v>
      </c>
      <c r="F554">
        <f>SUM(FishSumAllPRN!F554)</f>
        <v>0</v>
      </c>
      <c r="G554">
        <f>SUM(FishSumAllPRN!G554)</f>
        <v>0</v>
      </c>
      <c r="H554" s="54" t="s">
        <v>294</v>
      </c>
      <c r="I554" s="54"/>
    </row>
    <row r="555" spans="1:9" x14ac:dyDescent="0.2">
      <c r="A555" t="s">
        <v>1928</v>
      </c>
      <c r="B555">
        <f>SUM(FishSumAllPRN!B555)</f>
        <v>0</v>
      </c>
      <c r="C555">
        <f>SUM(FishSumAllPRN!C555)</f>
        <v>0</v>
      </c>
      <c r="D555">
        <f>SUM(FishSumAllPRN!D555)</f>
        <v>0</v>
      </c>
      <c r="E555">
        <f>SUM(FishSumAllPRN!E555)</f>
        <v>0</v>
      </c>
      <c r="F555">
        <f>SUM(FishSumAllPRN!F555)</f>
        <v>0</v>
      </c>
      <c r="G555">
        <f>SUM(FishSumAllPRN!G555)</f>
        <v>0</v>
      </c>
      <c r="H555" s="54" t="s">
        <v>294</v>
      </c>
      <c r="I555" s="54"/>
    </row>
    <row r="556" spans="1:9" x14ac:dyDescent="0.2">
      <c r="A556" t="s">
        <v>1932</v>
      </c>
      <c r="B556">
        <f>SUM(FishSumAllPRN!B556)</f>
        <v>0</v>
      </c>
      <c r="C556">
        <f>SUM(FishSumAllPRN!C556)</f>
        <v>0</v>
      </c>
      <c r="D556">
        <f>SUM(FishSumAllPRN!D556)</f>
        <v>0</v>
      </c>
      <c r="E556">
        <f>SUM(FishSumAllPRN!E556)</f>
        <v>0</v>
      </c>
      <c r="F556">
        <f>SUM(FishSumAllPRN!F556)</f>
        <v>0</v>
      </c>
      <c r="G556">
        <f>SUM(FishSumAllPRN!G556)</f>
        <v>0</v>
      </c>
      <c r="H556" s="54" t="s">
        <v>294</v>
      </c>
      <c r="I556" s="54"/>
    </row>
    <row r="557" spans="1:9" x14ac:dyDescent="0.2">
      <c r="A557" t="s">
        <v>1938</v>
      </c>
      <c r="B557">
        <f>SUM(FishSumAllPRN!B557)</f>
        <v>0</v>
      </c>
      <c r="C557">
        <f>SUM(FishSumAllPRN!C557)</f>
        <v>0</v>
      </c>
      <c r="D557">
        <f>SUM(FishSumAllPRN!D557)</f>
        <v>0</v>
      </c>
      <c r="E557">
        <f>SUM(FishSumAllPRN!E557)</f>
        <v>0</v>
      </c>
      <c r="F557">
        <f>SUM(FishSumAllPRN!F557)</f>
        <v>0</v>
      </c>
      <c r="G557">
        <f>SUM(FishSumAllPRN!G557)</f>
        <v>0</v>
      </c>
      <c r="H557" s="54" t="s">
        <v>294</v>
      </c>
      <c r="I557" s="54"/>
    </row>
    <row r="558" spans="1:9" x14ac:dyDescent="0.2">
      <c r="A558" t="s">
        <v>1944</v>
      </c>
      <c r="B558">
        <f>SUM(FishSumAllPRN!B558)</f>
        <v>0</v>
      </c>
      <c r="C558">
        <f>SUM(FishSumAllPRN!C558)</f>
        <v>0</v>
      </c>
      <c r="D558">
        <f>SUM(FishSumAllPRN!D558)</f>
        <v>0</v>
      </c>
      <c r="E558">
        <f>SUM(FishSumAllPRN!E558)</f>
        <v>0</v>
      </c>
      <c r="F558">
        <f>SUM(FishSumAllPRN!F558)</f>
        <v>4</v>
      </c>
      <c r="G558">
        <f>SUM(FishSumAllPRN!G558)</f>
        <v>4</v>
      </c>
      <c r="H558" s="54" t="s">
        <v>294</v>
      </c>
      <c r="I558" s="54"/>
    </row>
    <row r="559" spans="1:9" x14ac:dyDescent="0.2">
      <c r="A559" t="s">
        <v>1947</v>
      </c>
      <c r="B559">
        <f>SUM(FishSumAllPRN!B559)</f>
        <v>0</v>
      </c>
      <c r="C559">
        <f>SUM(FishSumAllPRN!C559)</f>
        <v>0</v>
      </c>
      <c r="D559">
        <f>SUM(FishSumAllPRN!D559)</f>
        <v>0</v>
      </c>
      <c r="E559">
        <f>SUM(FishSumAllPRN!E559)</f>
        <v>0</v>
      </c>
      <c r="F559">
        <f>SUM(FishSumAllPRN!F559)</f>
        <v>0</v>
      </c>
      <c r="G559">
        <f>SUM(FishSumAllPRN!G559)</f>
        <v>0</v>
      </c>
      <c r="H559" s="54" t="s">
        <v>294</v>
      </c>
      <c r="I559" s="54"/>
    </row>
    <row r="560" spans="1:9" x14ac:dyDescent="0.2">
      <c r="A560" t="s">
        <v>1953</v>
      </c>
      <c r="B560">
        <f>SUM(FishSumAllPRN!B560)</f>
        <v>0</v>
      </c>
      <c r="C560">
        <f>SUM(FishSumAllPRN!C560)</f>
        <v>0</v>
      </c>
      <c r="D560">
        <f>SUM(FishSumAllPRN!D560)</f>
        <v>0</v>
      </c>
      <c r="E560">
        <f>SUM(FishSumAllPRN!E560)</f>
        <v>0</v>
      </c>
      <c r="F560">
        <f>SUM(FishSumAllPRN!F560)</f>
        <v>0</v>
      </c>
      <c r="G560">
        <f>SUM(FishSumAllPRN!G560)</f>
        <v>0</v>
      </c>
      <c r="H560" s="54" t="s">
        <v>294</v>
      </c>
      <c r="I560" s="54"/>
    </row>
    <row r="561" spans="1:9" x14ac:dyDescent="0.2">
      <c r="A561" t="s">
        <v>1958</v>
      </c>
      <c r="B561">
        <f>SUM(FishSumAllPRN!B561)</f>
        <v>0</v>
      </c>
      <c r="C561">
        <f>SUM(FishSumAllPRN!C561)</f>
        <v>0</v>
      </c>
      <c r="D561">
        <f>SUM(FishSumAllPRN!D561)</f>
        <v>0</v>
      </c>
      <c r="E561">
        <f>SUM(FishSumAllPRN!E561)</f>
        <v>0</v>
      </c>
      <c r="F561">
        <f>SUM(FishSumAllPRN!F561)</f>
        <v>0</v>
      </c>
      <c r="G561">
        <f>SUM(FishSumAllPRN!G561)</f>
        <v>0</v>
      </c>
      <c r="H561" s="54" t="s">
        <v>294</v>
      </c>
      <c r="I561" s="54"/>
    </row>
    <row r="562" spans="1:9" x14ac:dyDescent="0.2">
      <c r="A562" t="s">
        <v>1964</v>
      </c>
      <c r="B562">
        <f>SUM(FishSumAllPRN!B562)</f>
        <v>0</v>
      </c>
      <c r="C562">
        <f>SUM(FishSumAllPRN!C562)</f>
        <v>0</v>
      </c>
      <c r="D562">
        <f>SUM(FishSumAllPRN!D562)</f>
        <v>0</v>
      </c>
      <c r="E562">
        <f>SUM(FishSumAllPRN!E562)</f>
        <v>0</v>
      </c>
      <c r="F562">
        <f>SUM(FishSumAllPRN!F562)</f>
        <v>0</v>
      </c>
      <c r="G562">
        <f>SUM(FishSumAllPRN!G562)</f>
        <v>0</v>
      </c>
      <c r="H562" s="54" t="s">
        <v>294</v>
      </c>
      <c r="I562" s="54"/>
    </row>
    <row r="563" spans="1:9" x14ac:dyDescent="0.2">
      <c r="A563" t="s">
        <v>1973</v>
      </c>
      <c r="B563">
        <f>SUM(FishSumAllPRN!B563)</f>
        <v>0</v>
      </c>
      <c r="C563">
        <f>SUM(FishSumAllPRN!C563)</f>
        <v>0</v>
      </c>
      <c r="D563">
        <f>SUM(FishSumAllPRN!D563)</f>
        <v>0</v>
      </c>
      <c r="E563">
        <f>SUM(FishSumAllPRN!E563)</f>
        <v>0</v>
      </c>
      <c r="F563">
        <f>SUM(FishSumAllPRN!F563)</f>
        <v>0</v>
      </c>
      <c r="G563">
        <f>SUM(FishSumAllPRN!G563)</f>
        <v>0</v>
      </c>
      <c r="H563" s="54" t="s">
        <v>294</v>
      </c>
      <c r="I563" s="54"/>
    </row>
    <row r="564" spans="1:9" x14ac:dyDescent="0.2">
      <c r="A564" t="s">
        <v>1978</v>
      </c>
      <c r="B564">
        <f>SUM(FishSumAllPRN!B564)</f>
        <v>0</v>
      </c>
      <c r="C564">
        <f>SUM(FishSumAllPRN!C564)</f>
        <v>0</v>
      </c>
      <c r="D564">
        <f>SUM(FishSumAllPRN!D564)</f>
        <v>0</v>
      </c>
      <c r="E564">
        <f>SUM(FishSumAllPRN!E564)</f>
        <v>0</v>
      </c>
      <c r="F564">
        <f>SUM(FishSumAllPRN!F564)</f>
        <v>0</v>
      </c>
      <c r="G564">
        <f>SUM(FishSumAllPRN!G564)</f>
        <v>0</v>
      </c>
      <c r="H564" s="54" t="s">
        <v>294</v>
      </c>
      <c r="I564" s="54"/>
    </row>
    <row r="565" spans="1:9" x14ac:dyDescent="0.2">
      <c r="A565" t="s">
        <v>1983</v>
      </c>
      <c r="B565">
        <f>SUM(FishSumAllPRN!B565)</f>
        <v>62</v>
      </c>
      <c r="C565">
        <f>SUM(FishSumAllPRN!C565)</f>
        <v>4</v>
      </c>
      <c r="D565">
        <f>SUM(FishSumAllPRN!D565)</f>
        <v>11</v>
      </c>
      <c r="E565">
        <f>SUM(FishSumAllPRN!E565)</f>
        <v>62</v>
      </c>
      <c r="F565">
        <f>SUM(FishSumAllPRN!F565)</f>
        <v>14</v>
      </c>
      <c r="G565">
        <f>SUM(FishSumAllPRN!G565)</f>
        <v>153</v>
      </c>
      <c r="H565" s="54" t="s">
        <v>294</v>
      </c>
      <c r="I565" s="54"/>
    </row>
    <row r="566" spans="1:9" x14ac:dyDescent="0.2">
      <c r="A566" t="s">
        <v>1984</v>
      </c>
      <c r="B566">
        <f>SUM(FishSumAllPRN!B566)</f>
        <v>0</v>
      </c>
      <c r="C566">
        <f>SUM(FishSumAllPRN!C566)</f>
        <v>0</v>
      </c>
      <c r="D566">
        <f>SUM(FishSumAllPRN!D566)</f>
        <v>0</v>
      </c>
      <c r="E566">
        <f>SUM(FishSumAllPRN!E566)</f>
        <v>0</v>
      </c>
      <c r="F566">
        <f>SUM(FishSumAllPRN!F566)</f>
        <v>0</v>
      </c>
      <c r="G566">
        <f>SUM(FishSumAllPRN!G566)</f>
        <v>0</v>
      </c>
      <c r="H566" s="54" t="s">
        <v>294</v>
      </c>
      <c r="I566" s="54"/>
    </row>
    <row r="567" spans="1:9" x14ac:dyDescent="0.2">
      <c r="A567" t="s">
        <v>1990</v>
      </c>
      <c r="B567">
        <f>SUM(FishSumAllPRN!B567)</f>
        <v>0</v>
      </c>
      <c r="C567">
        <f>SUM(FishSumAllPRN!C567)</f>
        <v>0</v>
      </c>
      <c r="D567">
        <f>SUM(FishSumAllPRN!D567)</f>
        <v>0</v>
      </c>
      <c r="E567">
        <f>SUM(FishSumAllPRN!E567)</f>
        <v>0</v>
      </c>
      <c r="F567">
        <f>SUM(FishSumAllPRN!F567)</f>
        <v>0</v>
      </c>
      <c r="G567">
        <f>SUM(FishSumAllPRN!G567)</f>
        <v>0</v>
      </c>
      <c r="H567" s="54" t="s">
        <v>294</v>
      </c>
      <c r="I567" s="54"/>
    </row>
    <row r="568" spans="1:9" x14ac:dyDescent="0.2">
      <c r="A568" t="s">
        <v>1996</v>
      </c>
      <c r="B568">
        <f>SUM(FishSumAllPRN!B568)</f>
        <v>0</v>
      </c>
      <c r="C568">
        <f>SUM(FishSumAllPRN!C568)</f>
        <v>0</v>
      </c>
      <c r="D568">
        <f>SUM(FishSumAllPRN!D568)</f>
        <v>0</v>
      </c>
      <c r="E568">
        <f>SUM(FishSumAllPRN!E568)</f>
        <v>0</v>
      </c>
      <c r="F568">
        <f>SUM(FishSumAllPRN!F568)</f>
        <v>0</v>
      </c>
      <c r="G568">
        <f>SUM(FishSumAllPRN!G568)</f>
        <v>0</v>
      </c>
      <c r="H568" s="54" t="s">
        <v>294</v>
      </c>
      <c r="I568" s="54"/>
    </row>
    <row r="569" spans="1:9" x14ac:dyDescent="0.2">
      <c r="A569" t="s">
        <v>1998</v>
      </c>
      <c r="B569">
        <f>SUM(FishSumAllPRN!B569)</f>
        <v>0</v>
      </c>
      <c r="C569">
        <f>SUM(FishSumAllPRN!C569)</f>
        <v>0</v>
      </c>
      <c r="D569">
        <f>SUM(FishSumAllPRN!D569)</f>
        <v>0</v>
      </c>
      <c r="E569">
        <f>SUM(FishSumAllPRN!E569)</f>
        <v>0</v>
      </c>
      <c r="F569">
        <f>SUM(FishSumAllPRN!F569)</f>
        <v>0</v>
      </c>
      <c r="G569">
        <f>SUM(FishSumAllPRN!G569)</f>
        <v>0</v>
      </c>
      <c r="H569" s="54" t="s">
        <v>294</v>
      </c>
      <c r="I569" s="54"/>
    </row>
    <row r="570" spans="1:9" x14ac:dyDescent="0.2">
      <c r="A570" t="s">
        <v>1999</v>
      </c>
      <c r="B570">
        <f>SUM(FishSumAllPRN!B570)</f>
        <v>0</v>
      </c>
      <c r="C570">
        <f>SUM(FishSumAllPRN!C570)</f>
        <v>0</v>
      </c>
      <c r="D570">
        <f>SUM(FishSumAllPRN!D570)</f>
        <v>0</v>
      </c>
      <c r="E570">
        <f>SUM(FishSumAllPRN!E570)</f>
        <v>0</v>
      </c>
      <c r="F570">
        <f>SUM(FishSumAllPRN!F570)</f>
        <v>0</v>
      </c>
      <c r="G570">
        <f>SUM(FishSumAllPRN!G570)</f>
        <v>0</v>
      </c>
      <c r="H570" s="54" t="s">
        <v>294</v>
      </c>
      <c r="I570" s="54"/>
    </row>
    <row r="571" spans="1:9" x14ac:dyDescent="0.2">
      <c r="A571" t="s">
        <v>2004</v>
      </c>
      <c r="B571">
        <f>SUM(FishSumAllPRN!B571)</f>
        <v>0</v>
      </c>
      <c r="C571">
        <f>SUM(FishSumAllPRN!C571)</f>
        <v>0</v>
      </c>
      <c r="D571">
        <f>SUM(FishSumAllPRN!D571)</f>
        <v>0</v>
      </c>
      <c r="E571">
        <f>SUM(FishSumAllPRN!E571)</f>
        <v>0</v>
      </c>
      <c r="F571">
        <f>SUM(FishSumAllPRN!F571)</f>
        <v>0</v>
      </c>
      <c r="G571">
        <f>SUM(FishSumAllPRN!G571)</f>
        <v>0</v>
      </c>
      <c r="H571" s="54" t="s">
        <v>294</v>
      </c>
      <c r="I571" s="54"/>
    </row>
    <row r="572" spans="1:9" x14ac:dyDescent="0.2">
      <c r="A572" t="s">
        <v>2009</v>
      </c>
      <c r="B572">
        <f>SUM(FishSumAllPRN!B572)</f>
        <v>0</v>
      </c>
      <c r="C572">
        <f>SUM(FishSumAllPRN!C572)</f>
        <v>0</v>
      </c>
      <c r="D572">
        <f>SUM(FishSumAllPRN!D572)</f>
        <v>0</v>
      </c>
      <c r="E572">
        <f>SUM(FishSumAllPRN!E572)</f>
        <v>0</v>
      </c>
      <c r="F572">
        <f>SUM(FishSumAllPRN!F572)</f>
        <v>0</v>
      </c>
      <c r="G572">
        <f>SUM(FishSumAllPRN!G572)</f>
        <v>0</v>
      </c>
      <c r="H572" s="54" t="s">
        <v>294</v>
      </c>
      <c r="I572" s="54"/>
    </row>
    <row r="573" spans="1:9" x14ac:dyDescent="0.2">
      <c r="A573" t="s">
        <v>2014</v>
      </c>
      <c r="B573">
        <f>SUM(FishSumAllPRN!B573)</f>
        <v>0</v>
      </c>
      <c r="C573">
        <f>SUM(FishSumAllPRN!C573)</f>
        <v>0</v>
      </c>
      <c r="D573">
        <f>SUM(FishSumAllPRN!D573)</f>
        <v>0</v>
      </c>
      <c r="E573">
        <f>SUM(FishSumAllPRN!E573)</f>
        <v>0</v>
      </c>
      <c r="F573">
        <f>SUM(FishSumAllPRN!F573)</f>
        <v>0</v>
      </c>
      <c r="G573">
        <f>SUM(FishSumAllPRN!G573)</f>
        <v>0</v>
      </c>
      <c r="H573" s="54" t="s">
        <v>294</v>
      </c>
      <c r="I573" s="54"/>
    </row>
    <row r="574" spans="1:9" x14ac:dyDescent="0.2">
      <c r="A574" t="s">
        <v>2019</v>
      </c>
      <c r="B574">
        <f>SUM(FishSumAllPRN!B574)</f>
        <v>0</v>
      </c>
      <c r="C574">
        <f>SUM(FishSumAllPRN!C574)</f>
        <v>0</v>
      </c>
      <c r="D574">
        <f>SUM(FishSumAllPRN!D574)</f>
        <v>0</v>
      </c>
      <c r="E574">
        <f>SUM(FishSumAllPRN!E574)</f>
        <v>0</v>
      </c>
      <c r="F574">
        <f>SUM(FishSumAllPRN!F574)</f>
        <v>0</v>
      </c>
      <c r="G574">
        <f>SUM(FishSumAllPRN!G574)</f>
        <v>0</v>
      </c>
      <c r="H574" s="54" t="s">
        <v>294</v>
      </c>
      <c r="I574" s="54"/>
    </row>
    <row r="575" spans="1:9" x14ac:dyDescent="0.2">
      <c r="A575" t="s">
        <v>2023</v>
      </c>
      <c r="B575">
        <f>SUM(FishSumAllPRN!B575)</f>
        <v>0</v>
      </c>
      <c r="C575">
        <f>SUM(FishSumAllPRN!C575)</f>
        <v>0</v>
      </c>
      <c r="D575">
        <f>SUM(FishSumAllPRN!D575)</f>
        <v>0</v>
      </c>
      <c r="E575">
        <f>SUM(FishSumAllPRN!E575)</f>
        <v>0</v>
      </c>
      <c r="F575">
        <f>SUM(FishSumAllPRN!F575)</f>
        <v>0</v>
      </c>
      <c r="G575">
        <f>SUM(FishSumAllPRN!G575)</f>
        <v>0</v>
      </c>
      <c r="H575" s="54" t="s">
        <v>294</v>
      </c>
      <c r="I575" s="54"/>
    </row>
    <row r="576" spans="1:9" x14ac:dyDescent="0.2">
      <c r="A576" t="s">
        <v>2026</v>
      </c>
      <c r="B576">
        <f>SUM(FishSumAllPRN!B576)</f>
        <v>0</v>
      </c>
      <c r="C576">
        <f>SUM(FishSumAllPRN!C576)</f>
        <v>0</v>
      </c>
      <c r="D576">
        <f>SUM(FishSumAllPRN!D576)</f>
        <v>0</v>
      </c>
      <c r="E576">
        <f>SUM(FishSumAllPRN!E576)</f>
        <v>0</v>
      </c>
      <c r="F576">
        <f>SUM(FishSumAllPRN!F576)</f>
        <v>0</v>
      </c>
      <c r="G576">
        <f>SUM(FishSumAllPRN!G576)</f>
        <v>0</v>
      </c>
      <c r="H576" s="54" t="s">
        <v>294</v>
      </c>
      <c r="I576" s="54"/>
    </row>
    <row r="577" spans="1:9" x14ac:dyDescent="0.2">
      <c r="A577" t="s">
        <v>2030</v>
      </c>
      <c r="B577">
        <f>SUM(FishSumAllPRN!B577)</f>
        <v>0</v>
      </c>
      <c r="C577">
        <f>SUM(FishSumAllPRN!C577)</f>
        <v>0</v>
      </c>
      <c r="D577">
        <f>SUM(FishSumAllPRN!D577)</f>
        <v>0</v>
      </c>
      <c r="E577">
        <f>SUM(FishSumAllPRN!E577)</f>
        <v>0</v>
      </c>
      <c r="F577">
        <f>SUM(FishSumAllPRN!F577)</f>
        <v>0</v>
      </c>
      <c r="G577">
        <f>SUM(FishSumAllPRN!G577)</f>
        <v>0</v>
      </c>
      <c r="H577" s="54" t="s">
        <v>294</v>
      </c>
      <c r="I577" s="54"/>
    </row>
    <row r="578" spans="1:9" x14ac:dyDescent="0.2">
      <c r="A578" t="s">
        <v>2035</v>
      </c>
      <c r="B578">
        <f>SUM(FishSumAllPRN!B578)</f>
        <v>0</v>
      </c>
      <c r="C578">
        <f>SUM(FishSumAllPRN!C578)</f>
        <v>0</v>
      </c>
      <c r="D578">
        <f>SUM(FishSumAllPRN!D578)</f>
        <v>0</v>
      </c>
      <c r="E578">
        <f>SUM(FishSumAllPRN!E578)</f>
        <v>0</v>
      </c>
      <c r="F578">
        <f>SUM(FishSumAllPRN!F578)</f>
        <v>0</v>
      </c>
      <c r="G578">
        <f>SUM(FishSumAllPRN!G578)</f>
        <v>0</v>
      </c>
      <c r="H578" s="54" t="s">
        <v>294</v>
      </c>
      <c r="I578" s="54"/>
    </row>
    <row r="579" spans="1:9" x14ac:dyDescent="0.2">
      <c r="A579" t="s">
        <v>2040</v>
      </c>
      <c r="B579">
        <f>SUM(FishSumAllPRN!B579)</f>
        <v>0</v>
      </c>
      <c r="C579">
        <f>SUM(FishSumAllPRN!C579)</f>
        <v>0</v>
      </c>
      <c r="D579">
        <f>SUM(FishSumAllPRN!D579)</f>
        <v>0</v>
      </c>
      <c r="E579">
        <f>SUM(FishSumAllPRN!E579)</f>
        <v>0</v>
      </c>
      <c r="F579">
        <f>SUM(FishSumAllPRN!F579)</f>
        <v>78</v>
      </c>
      <c r="G579">
        <f>SUM(FishSumAllPRN!G579)</f>
        <v>78</v>
      </c>
      <c r="H579" s="54" t="s">
        <v>294</v>
      </c>
      <c r="I579" s="54"/>
    </row>
    <row r="580" spans="1:9" x14ac:dyDescent="0.2">
      <c r="A580" t="s">
        <v>2045</v>
      </c>
      <c r="B580">
        <f>SUM(FishSumAllPRN!B580)</f>
        <v>0</v>
      </c>
      <c r="C580">
        <f>SUM(FishSumAllPRN!C580)</f>
        <v>0</v>
      </c>
      <c r="D580">
        <f>SUM(FishSumAllPRN!D580)</f>
        <v>0</v>
      </c>
      <c r="E580">
        <f>SUM(FishSumAllPRN!E580)</f>
        <v>0</v>
      </c>
      <c r="F580">
        <f>SUM(FishSumAllPRN!F580)</f>
        <v>0</v>
      </c>
      <c r="G580">
        <f>SUM(FishSumAllPRN!G580)</f>
        <v>0</v>
      </c>
      <c r="H580" s="54" t="s">
        <v>294</v>
      </c>
      <c r="I580" s="54"/>
    </row>
    <row r="581" spans="1:9" x14ac:dyDescent="0.2">
      <c r="A581" t="s">
        <v>2049</v>
      </c>
      <c r="B581">
        <f>SUM(FishSumAllPRN!B581)</f>
        <v>0</v>
      </c>
      <c r="C581">
        <f>SUM(FishSumAllPRN!C581)</f>
        <v>0</v>
      </c>
      <c r="D581">
        <f>SUM(FishSumAllPRN!D581)</f>
        <v>0</v>
      </c>
      <c r="E581">
        <f>SUM(FishSumAllPRN!E581)</f>
        <v>0</v>
      </c>
      <c r="F581">
        <f>SUM(FishSumAllPRN!F581)</f>
        <v>0</v>
      </c>
      <c r="G581">
        <f>SUM(FishSumAllPRN!G581)</f>
        <v>0</v>
      </c>
      <c r="H581" s="54" t="s">
        <v>294</v>
      </c>
      <c r="I581" s="54"/>
    </row>
    <row r="582" spans="1:9" x14ac:dyDescent="0.2">
      <c r="A582" t="s">
        <v>2051</v>
      </c>
      <c r="B582">
        <f>SUM(FishSumAllPRN!B582)</f>
        <v>0</v>
      </c>
      <c r="C582">
        <f>SUM(FishSumAllPRN!C582)</f>
        <v>0</v>
      </c>
      <c r="D582">
        <f>SUM(FishSumAllPRN!D582)</f>
        <v>0</v>
      </c>
      <c r="E582">
        <f>SUM(FishSumAllPRN!E582)</f>
        <v>0</v>
      </c>
      <c r="F582">
        <f>SUM(FishSumAllPRN!F582)</f>
        <v>0</v>
      </c>
      <c r="G582">
        <f>SUM(FishSumAllPRN!G582)</f>
        <v>0</v>
      </c>
      <c r="H582" s="54" t="s">
        <v>294</v>
      </c>
      <c r="I582" s="54"/>
    </row>
    <row r="583" spans="1:9" x14ac:dyDescent="0.2">
      <c r="A583" t="s">
        <v>2057</v>
      </c>
      <c r="B583">
        <f>SUM(FishSumAllPRN!B583)</f>
        <v>0</v>
      </c>
      <c r="C583">
        <f>SUM(FishSumAllPRN!C583)</f>
        <v>0</v>
      </c>
      <c r="D583">
        <f>SUM(FishSumAllPRN!D583)</f>
        <v>10</v>
      </c>
      <c r="E583">
        <f>SUM(FishSumAllPRN!E583)</f>
        <v>6</v>
      </c>
      <c r="F583">
        <f>SUM(FishSumAllPRN!F583)</f>
        <v>27</v>
      </c>
      <c r="G583">
        <f>SUM(FishSumAllPRN!G583)</f>
        <v>43</v>
      </c>
      <c r="H583" s="54" t="s">
        <v>294</v>
      </c>
      <c r="I583" s="54"/>
    </row>
    <row r="584" spans="1:9" x14ac:dyDescent="0.2">
      <c r="A584" t="s">
        <v>5762</v>
      </c>
      <c r="B584">
        <f>SUM(FishSumAllPRN!B584)</f>
        <v>0</v>
      </c>
      <c r="C584">
        <f>SUM(FishSumAllPRN!C584)</f>
        <v>0</v>
      </c>
      <c r="D584">
        <f>SUM(FishSumAllPRN!D584)</f>
        <v>0</v>
      </c>
      <c r="E584">
        <f>SUM(FishSumAllPRN!E584)</f>
        <v>0</v>
      </c>
      <c r="F584">
        <f>SUM(FishSumAllPRN!F584)</f>
        <v>0</v>
      </c>
      <c r="G584">
        <f>SUM(FishSumAllPRN!G584)</f>
        <v>0</v>
      </c>
      <c r="H584" s="54" t="s">
        <v>294</v>
      </c>
      <c r="I584" s="54"/>
    </row>
    <row r="585" spans="1:9" x14ac:dyDescent="0.2">
      <c r="A585" t="s">
        <v>5763</v>
      </c>
      <c r="B585">
        <f>SUM(FishSumAllPRN!B585)</f>
        <v>0</v>
      </c>
      <c r="C585">
        <f>SUM(FishSumAllPRN!C585)</f>
        <v>0</v>
      </c>
      <c r="D585">
        <f>SUM(FishSumAllPRN!D585)</f>
        <v>0</v>
      </c>
      <c r="E585">
        <f>SUM(FishSumAllPRN!E585)</f>
        <v>0</v>
      </c>
      <c r="F585">
        <f>SUM(FishSumAllPRN!F585)</f>
        <v>64</v>
      </c>
      <c r="G585">
        <f>SUM(FishSumAllPRN!G585)</f>
        <v>64</v>
      </c>
      <c r="H585" s="54" t="s">
        <v>294</v>
      </c>
      <c r="I585" s="54"/>
    </row>
    <row r="586" spans="1:9" x14ac:dyDescent="0.2">
      <c r="A586" t="s">
        <v>2074</v>
      </c>
      <c r="B586">
        <f>SUM(FishSumAllPRN!B586)</f>
        <v>0</v>
      </c>
      <c r="C586">
        <f>SUM(FishSumAllPRN!C586)</f>
        <v>0</v>
      </c>
      <c r="D586">
        <f>SUM(FishSumAllPRN!D586)</f>
        <v>0</v>
      </c>
      <c r="E586">
        <f>SUM(FishSumAllPRN!E586)</f>
        <v>0</v>
      </c>
      <c r="F586">
        <f>SUM(FishSumAllPRN!F586)</f>
        <v>0</v>
      </c>
      <c r="G586">
        <f>SUM(FishSumAllPRN!G586)</f>
        <v>0</v>
      </c>
      <c r="H586" s="54" t="s">
        <v>294</v>
      </c>
      <c r="I586" s="54"/>
    </row>
    <row r="587" spans="1:9" x14ac:dyDescent="0.2">
      <c r="A587" t="s">
        <v>2079</v>
      </c>
      <c r="B587">
        <f>SUM(FishSumAllPRN!B587)</f>
        <v>0</v>
      </c>
      <c r="C587">
        <f>SUM(FishSumAllPRN!C587)</f>
        <v>0</v>
      </c>
      <c r="D587">
        <f>SUM(FishSumAllPRN!D587)</f>
        <v>0</v>
      </c>
      <c r="E587">
        <f>SUM(FishSumAllPRN!E587)</f>
        <v>0</v>
      </c>
      <c r="F587">
        <f>SUM(FishSumAllPRN!F587)</f>
        <v>0</v>
      </c>
      <c r="G587">
        <f>SUM(FishSumAllPRN!G587)</f>
        <v>0</v>
      </c>
      <c r="H587" s="54" t="s">
        <v>294</v>
      </c>
      <c r="I587" s="54"/>
    </row>
    <row r="588" spans="1:9" x14ac:dyDescent="0.2">
      <c r="A588" t="s">
        <v>2085</v>
      </c>
      <c r="B588">
        <f>SUM(FishSumAllPRN!B588)</f>
        <v>0</v>
      </c>
      <c r="C588">
        <f>SUM(FishSumAllPRN!C588)</f>
        <v>0</v>
      </c>
      <c r="D588">
        <f>SUM(FishSumAllPRN!D588)</f>
        <v>0</v>
      </c>
      <c r="E588">
        <f>SUM(FishSumAllPRN!E588)</f>
        <v>0</v>
      </c>
      <c r="F588">
        <f>SUM(FishSumAllPRN!F588)</f>
        <v>0</v>
      </c>
      <c r="G588">
        <f>SUM(FishSumAllPRN!G588)</f>
        <v>0</v>
      </c>
      <c r="H588" s="54" t="s">
        <v>294</v>
      </c>
      <c r="I588" s="54"/>
    </row>
    <row r="589" spans="1:9" x14ac:dyDescent="0.2">
      <c r="A589" t="s">
        <v>2091</v>
      </c>
      <c r="B589">
        <f>SUM(FishSumAllPRN!B589)</f>
        <v>0</v>
      </c>
      <c r="C589">
        <f>SUM(FishSumAllPRN!C589)</f>
        <v>0</v>
      </c>
      <c r="D589">
        <f>SUM(FishSumAllPRN!D589)</f>
        <v>0</v>
      </c>
      <c r="E589">
        <f>SUM(FishSumAllPRN!E589)</f>
        <v>0</v>
      </c>
      <c r="F589">
        <f>SUM(FishSumAllPRN!F589)</f>
        <v>0</v>
      </c>
      <c r="G589">
        <f>SUM(FishSumAllPRN!G589)</f>
        <v>0</v>
      </c>
      <c r="H589" s="54" t="s">
        <v>294</v>
      </c>
      <c r="I589" s="54"/>
    </row>
    <row r="590" spans="1:9" x14ac:dyDescent="0.2">
      <c r="A590" t="s">
        <v>2097</v>
      </c>
      <c r="B590">
        <f>SUM(FishSumAllPRN!B590)</f>
        <v>0</v>
      </c>
      <c r="C590">
        <f>SUM(FishSumAllPRN!C590)</f>
        <v>0</v>
      </c>
      <c r="D590">
        <f>SUM(FishSumAllPRN!D590)</f>
        <v>0</v>
      </c>
      <c r="E590">
        <f>SUM(FishSumAllPRN!E590)</f>
        <v>0</v>
      </c>
      <c r="F590">
        <f>SUM(FishSumAllPRN!F590)</f>
        <v>0</v>
      </c>
      <c r="G590">
        <f>SUM(FishSumAllPRN!G590)</f>
        <v>0</v>
      </c>
      <c r="H590" s="54" t="s">
        <v>294</v>
      </c>
      <c r="I590" s="54"/>
    </row>
    <row r="591" spans="1:9" x14ac:dyDescent="0.2">
      <c r="A591" t="s">
        <v>2101</v>
      </c>
      <c r="B591">
        <f>SUM(FishSumAllPRN!B591)</f>
        <v>0</v>
      </c>
      <c r="C591">
        <f>SUM(FishSumAllPRN!C591)</f>
        <v>0</v>
      </c>
      <c r="D591">
        <f>SUM(FishSumAllPRN!D591)</f>
        <v>0</v>
      </c>
      <c r="E591">
        <f>SUM(FishSumAllPRN!E591)</f>
        <v>0</v>
      </c>
      <c r="F591">
        <f>SUM(FishSumAllPRN!F591)</f>
        <v>0</v>
      </c>
      <c r="G591">
        <f>SUM(FishSumAllPRN!G591)</f>
        <v>0</v>
      </c>
      <c r="H591" s="54" t="s">
        <v>294</v>
      </c>
      <c r="I591" s="54"/>
    </row>
    <row r="592" spans="1:9" x14ac:dyDescent="0.2">
      <c r="A592" t="s">
        <v>2104</v>
      </c>
      <c r="B592">
        <f>SUM(FishSumAllPRN!B592)</f>
        <v>0</v>
      </c>
      <c r="C592">
        <f>SUM(FishSumAllPRN!C592)</f>
        <v>0</v>
      </c>
      <c r="D592">
        <f>SUM(FishSumAllPRN!D592)</f>
        <v>0</v>
      </c>
      <c r="E592">
        <f>SUM(FishSumAllPRN!E592)</f>
        <v>0</v>
      </c>
      <c r="F592">
        <f>SUM(FishSumAllPRN!F592)</f>
        <v>0</v>
      </c>
      <c r="G592">
        <f>SUM(FishSumAllPRN!G592)</f>
        <v>0</v>
      </c>
      <c r="H592" s="54" t="s">
        <v>294</v>
      </c>
      <c r="I592" s="54"/>
    </row>
    <row r="593" spans="1:9" x14ac:dyDescent="0.2">
      <c r="A593" t="s">
        <v>5764</v>
      </c>
      <c r="B593">
        <f>SUM(FishSumAllPRN!B593)</f>
        <v>0</v>
      </c>
      <c r="C593">
        <f>SUM(FishSumAllPRN!C593)</f>
        <v>0</v>
      </c>
      <c r="D593">
        <f>SUM(FishSumAllPRN!D593)</f>
        <v>0</v>
      </c>
      <c r="E593">
        <f>SUM(FishSumAllPRN!E593)</f>
        <v>0</v>
      </c>
      <c r="F593">
        <f>SUM(FishSumAllPRN!F593)</f>
        <v>0</v>
      </c>
      <c r="G593">
        <f>SUM(FishSumAllPRN!G593)</f>
        <v>0</v>
      </c>
      <c r="H593" s="54" t="s">
        <v>294</v>
      </c>
      <c r="I593" s="54"/>
    </row>
    <row r="594" spans="1:9" x14ac:dyDescent="0.2">
      <c r="A594" t="s">
        <v>2110</v>
      </c>
      <c r="B594">
        <f>SUM(FishSumAllPRN!B594)</f>
        <v>0</v>
      </c>
      <c r="C594">
        <f>SUM(FishSumAllPRN!C594)</f>
        <v>0</v>
      </c>
      <c r="D594">
        <f>SUM(FishSumAllPRN!D594)</f>
        <v>0</v>
      </c>
      <c r="E594">
        <f>SUM(FishSumAllPRN!E594)</f>
        <v>0</v>
      </c>
      <c r="F594">
        <f>SUM(FishSumAllPRN!F594)</f>
        <v>0</v>
      </c>
      <c r="G594">
        <f>SUM(FishSumAllPRN!G594)</f>
        <v>0</v>
      </c>
      <c r="H594" s="54" t="s">
        <v>294</v>
      </c>
      <c r="I594" s="54"/>
    </row>
    <row r="595" spans="1:9" x14ac:dyDescent="0.2">
      <c r="A595" t="s">
        <v>2113</v>
      </c>
      <c r="B595">
        <f>SUM(FishSumAllPRN!B595)</f>
        <v>0</v>
      </c>
      <c r="C595">
        <f>SUM(FishSumAllPRN!C595)</f>
        <v>0</v>
      </c>
      <c r="D595">
        <f>SUM(FishSumAllPRN!D595)</f>
        <v>0</v>
      </c>
      <c r="E595">
        <f>SUM(FishSumAllPRN!E595)</f>
        <v>0</v>
      </c>
      <c r="F595">
        <f>SUM(FishSumAllPRN!F595)</f>
        <v>0</v>
      </c>
      <c r="G595">
        <f>SUM(FishSumAllPRN!G595)</f>
        <v>0</v>
      </c>
      <c r="H595" s="54" t="s">
        <v>294</v>
      </c>
      <c r="I595" s="54"/>
    </row>
    <row r="596" spans="1:9" x14ac:dyDescent="0.2">
      <c r="A596" t="s">
        <v>4346</v>
      </c>
      <c r="B596">
        <f>SUM(FishSumAllPRN!B596)</f>
        <v>0</v>
      </c>
      <c r="C596">
        <f>SUM(FishSumAllPRN!C596)</f>
        <v>0</v>
      </c>
      <c r="D596">
        <f>SUM(FishSumAllPRN!D596)</f>
        <v>0</v>
      </c>
      <c r="E596">
        <f>SUM(FishSumAllPRN!E596)</f>
        <v>0</v>
      </c>
      <c r="F596">
        <f>SUM(FishSumAllPRN!F596)</f>
        <v>0</v>
      </c>
      <c r="G596">
        <f>SUM(FishSumAllPRN!G596)</f>
        <v>0</v>
      </c>
      <c r="H596" s="54" t="s">
        <v>294</v>
      </c>
      <c r="I596" s="54"/>
    </row>
    <row r="597" spans="1:9" x14ac:dyDescent="0.2">
      <c r="A597" t="s">
        <v>4347</v>
      </c>
      <c r="B597">
        <f>SUM(FishSumAllPRN!B597)</f>
        <v>0</v>
      </c>
      <c r="C597">
        <f>SUM(FishSumAllPRN!C597)</f>
        <v>0</v>
      </c>
      <c r="D597">
        <f>SUM(FishSumAllPRN!D597)</f>
        <v>0</v>
      </c>
      <c r="E597">
        <f>SUM(FishSumAllPRN!E597)</f>
        <v>0</v>
      </c>
      <c r="F597">
        <f>SUM(FishSumAllPRN!F597)</f>
        <v>0</v>
      </c>
      <c r="G597">
        <f>SUM(FishSumAllPRN!G597)</f>
        <v>0</v>
      </c>
      <c r="H597" s="54" t="s">
        <v>294</v>
      </c>
      <c r="I597" s="54"/>
    </row>
    <row r="598" spans="1:9" x14ac:dyDescent="0.2">
      <c r="A598" s="365" t="s">
        <v>4348</v>
      </c>
      <c r="B598" s="365">
        <f>SUM(FishSumAllPRN!B598)</f>
        <v>0</v>
      </c>
      <c r="C598" s="365">
        <f>SUM(FishSumAllPRN!C598)</f>
        <v>0</v>
      </c>
      <c r="D598" s="365">
        <f>SUM(FishSumAllPRN!D598)</f>
        <v>0</v>
      </c>
      <c r="E598" s="365">
        <f>SUM(FishSumAllPRN!E598)</f>
        <v>0</v>
      </c>
      <c r="F598" s="365">
        <f>SUM(FishSumAllPRN!F598)</f>
        <v>0</v>
      </c>
      <c r="G598" s="365">
        <f>SUM(FishSumAllPRN!G598)</f>
        <v>0</v>
      </c>
      <c r="H598" s="54"/>
      <c r="I598" s="54"/>
    </row>
    <row r="599" spans="1:9" x14ac:dyDescent="0.2">
      <c r="A599" s="365" t="s">
        <v>4349</v>
      </c>
      <c r="B599" s="365">
        <f>SUM(FishSumAllPRN!B599)</f>
        <v>0</v>
      </c>
      <c r="C599" s="365">
        <f>SUM(FishSumAllPRN!C599)</f>
        <v>0</v>
      </c>
      <c r="D599" s="365">
        <f>SUM(FishSumAllPRN!D599)</f>
        <v>0</v>
      </c>
      <c r="E599" s="365">
        <f>SUM(FishSumAllPRN!E599)</f>
        <v>0</v>
      </c>
      <c r="F599" s="365">
        <f>SUM(FishSumAllPRN!F599)</f>
        <v>0</v>
      </c>
      <c r="G599" s="365">
        <f>SUM(FishSumAllPRN!G599)</f>
        <v>0</v>
      </c>
      <c r="H599" s="54"/>
      <c r="I599" s="54"/>
    </row>
    <row r="600" spans="1:9" x14ac:dyDescent="0.2">
      <c r="A600" t="s">
        <v>4350</v>
      </c>
      <c r="B600">
        <f>SUM(FishSumAllPRN!B600)</f>
        <v>0</v>
      </c>
      <c r="C600">
        <f>SUM(FishSumAllPRN!C600)</f>
        <v>0</v>
      </c>
      <c r="D600">
        <f>SUM(FishSumAllPRN!D600)</f>
        <v>0</v>
      </c>
      <c r="E600">
        <f>SUM(FishSumAllPRN!E600)</f>
        <v>0</v>
      </c>
      <c r="F600">
        <f>SUM(FishSumAllPRN!F600)</f>
        <v>0</v>
      </c>
      <c r="G600">
        <f>SUM(FishSumAllPRN!G600)</f>
        <v>0</v>
      </c>
      <c r="H600" s="54" t="s">
        <v>294</v>
      </c>
      <c r="I600" s="54"/>
    </row>
    <row r="601" spans="1:9" x14ac:dyDescent="0.2">
      <c r="A601" t="s">
        <v>4351</v>
      </c>
      <c r="B601">
        <f>SUM(FishSumAllPRN!B601)</f>
        <v>0</v>
      </c>
      <c r="C601">
        <f>SUM(FishSumAllPRN!C601)</f>
        <v>0</v>
      </c>
      <c r="D601">
        <f>SUM(FishSumAllPRN!D601)</f>
        <v>0</v>
      </c>
      <c r="E601">
        <f>SUM(FishSumAllPRN!E601)</f>
        <v>2</v>
      </c>
      <c r="F601">
        <f>SUM(FishSumAllPRN!F601)</f>
        <v>0</v>
      </c>
      <c r="G601">
        <f>SUM(FishSumAllPRN!G601)</f>
        <v>2</v>
      </c>
      <c r="H601" s="54" t="s">
        <v>294</v>
      </c>
      <c r="I601" s="54"/>
    </row>
    <row r="602" spans="1:9" x14ac:dyDescent="0.2">
      <c r="A602" t="s">
        <v>4352</v>
      </c>
      <c r="B602">
        <f>SUM(FishSumAllPRN!B602)</f>
        <v>0</v>
      </c>
      <c r="C602">
        <f>SUM(FishSumAllPRN!C602)</f>
        <v>0</v>
      </c>
      <c r="D602">
        <f>SUM(FishSumAllPRN!D602)</f>
        <v>0</v>
      </c>
      <c r="E602">
        <f>SUM(FishSumAllPRN!E602)</f>
        <v>0</v>
      </c>
      <c r="F602">
        <f>SUM(FishSumAllPRN!F602)</f>
        <v>0</v>
      </c>
      <c r="G602">
        <f>SUM(FishSumAllPRN!G602)</f>
        <v>0</v>
      </c>
      <c r="H602" s="54" t="s">
        <v>294</v>
      </c>
      <c r="I602" s="54"/>
    </row>
    <row r="603" spans="1:9" x14ac:dyDescent="0.2">
      <c r="A603" t="s">
        <v>4353</v>
      </c>
      <c r="B603">
        <f>SUM(FishSumAllPRN!B603)</f>
        <v>20</v>
      </c>
      <c r="C603">
        <f>SUM(FishSumAllPRN!C603)</f>
        <v>213</v>
      </c>
      <c r="D603">
        <f>SUM(FishSumAllPRN!D603)</f>
        <v>400</v>
      </c>
      <c r="E603">
        <f>SUM(FishSumAllPRN!E603)</f>
        <v>147</v>
      </c>
      <c r="F603">
        <f>SUM(FishSumAllPRN!F603)</f>
        <v>0</v>
      </c>
      <c r="G603">
        <f>SUM(FishSumAllPRN!G603)</f>
        <v>780</v>
      </c>
      <c r="H603" s="54" t="s">
        <v>294</v>
      </c>
      <c r="I603" s="54"/>
    </row>
    <row r="604" spans="1:9" x14ac:dyDescent="0.2">
      <c r="A604" t="s">
        <v>4354</v>
      </c>
      <c r="B604">
        <f>SUM(FishSumAllPRN!B604)</f>
        <v>70</v>
      </c>
      <c r="C604">
        <f>SUM(FishSumAllPRN!C604)</f>
        <v>38</v>
      </c>
      <c r="D604">
        <f>SUM(FishSumAllPRN!D604)</f>
        <v>41</v>
      </c>
      <c r="E604">
        <f>SUM(FishSumAllPRN!E604)</f>
        <v>24</v>
      </c>
      <c r="F604">
        <f>SUM(FishSumAllPRN!F604)</f>
        <v>0</v>
      </c>
      <c r="G604">
        <f>SUM(FishSumAllPRN!G604)</f>
        <v>173</v>
      </c>
      <c r="H604" s="54" t="s">
        <v>294</v>
      </c>
      <c r="I604" s="54"/>
    </row>
    <row r="605" spans="1:9" x14ac:dyDescent="0.2">
      <c r="A605" t="s">
        <v>4355</v>
      </c>
      <c r="B605">
        <f>SUM(FishSumAllPRN!B605)</f>
        <v>0</v>
      </c>
      <c r="C605">
        <f>SUM(FishSumAllPRN!C605)</f>
        <v>0</v>
      </c>
      <c r="D605">
        <f>SUM(FishSumAllPRN!D605)</f>
        <v>0</v>
      </c>
      <c r="E605">
        <f>SUM(FishSumAllPRN!E605)</f>
        <v>0</v>
      </c>
      <c r="F605">
        <f>SUM(FishSumAllPRN!F605)</f>
        <v>0</v>
      </c>
      <c r="G605">
        <f>SUM(FishSumAllPRN!G605)</f>
        <v>0</v>
      </c>
      <c r="H605" s="54" t="s">
        <v>294</v>
      </c>
      <c r="I605" s="54"/>
    </row>
    <row r="606" spans="1:9" x14ac:dyDescent="0.2">
      <c r="A606" t="s">
        <v>4356</v>
      </c>
      <c r="B606">
        <f>SUM(FishSumAllPRN!B606)</f>
        <v>0</v>
      </c>
      <c r="C606">
        <f>SUM(FishSumAllPRN!C606)</f>
        <v>0</v>
      </c>
      <c r="D606">
        <f>SUM(FishSumAllPRN!D606)</f>
        <v>0</v>
      </c>
      <c r="E606">
        <f>SUM(FishSumAllPRN!E606)</f>
        <v>0</v>
      </c>
      <c r="F606">
        <f>SUM(FishSumAllPRN!F606)</f>
        <v>0</v>
      </c>
      <c r="G606">
        <f>SUM(FishSumAllPRN!G606)</f>
        <v>0</v>
      </c>
      <c r="H606" s="54" t="s">
        <v>294</v>
      </c>
      <c r="I606" s="54"/>
    </row>
    <row r="607" spans="1:9" x14ac:dyDescent="0.2">
      <c r="A607" t="s">
        <v>4357</v>
      </c>
      <c r="B607">
        <f>SUM(FishSumAllPRN!B607)</f>
        <v>0</v>
      </c>
      <c r="C607">
        <f>SUM(FishSumAllPRN!C607)</f>
        <v>24</v>
      </c>
      <c r="D607">
        <f>SUM(FishSumAllPRN!D607)</f>
        <v>333</v>
      </c>
      <c r="E607">
        <f>SUM(FishSumAllPRN!E607)</f>
        <v>0</v>
      </c>
      <c r="F607">
        <f>SUM(FishSumAllPRN!F607)</f>
        <v>0</v>
      </c>
      <c r="G607">
        <f>SUM(FishSumAllPRN!G607)</f>
        <v>357</v>
      </c>
      <c r="H607" s="54" t="s">
        <v>294</v>
      </c>
      <c r="I607" s="54"/>
    </row>
    <row r="608" spans="1:9" x14ac:dyDescent="0.2">
      <c r="A608" t="s">
        <v>4358</v>
      </c>
      <c r="B608">
        <f>SUM(FishSumAllPRN!B608)</f>
        <v>0</v>
      </c>
      <c r="C608">
        <f>SUM(FishSumAllPRN!C608)</f>
        <v>874</v>
      </c>
      <c r="D608">
        <f>SUM(FishSumAllPRN!D608)</f>
        <v>1574</v>
      </c>
      <c r="E608">
        <f>SUM(FishSumAllPRN!E608)</f>
        <v>0</v>
      </c>
      <c r="F608">
        <f>SUM(FishSumAllPRN!F608)</f>
        <v>0</v>
      </c>
      <c r="G608">
        <f>SUM(FishSumAllPRN!G608)</f>
        <v>2448</v>
      </c>
      <c r="H608" s="54" t="s">
        <v>294</v>
      </c>
      <c r="I608" s="54"/>
    </row>
    <row r="609" spans="1:9" x14ac:dyDescent="0.2">
      <c r="A609" t="s">
        <v>4359</v>
      </c>
      <c r="B609">
        <f>SUM(FishSumAllPRN!B609)</f>
        <v>0</v>
      </c>
      <c r="C609">
        <f>SUM(FishSumAllPRN!C609)</f>
        <v>0</v>
      </c>
      <c r="D609">
        <f>SUM(FishSumAllPRN!D609)</f>
        <v>0</v>
      </c>
      <c r="E609">
        <f>SUM(FishSumAllPRN!E609)</f>
        <v>0</v>
      </c>
      <c r="F609">
        <f>SUM(FishSumAllPRN!F609)</f>
        <v>0</v>
      </c>
      <c r="G609">
        <f>SUM(FishSumAllPRN!G609)</f>
        <v>0</v>
      </c>
      <c r="H609" s="54" t="s">
        <v>294</v>
      </c>
      <c r="I609" s="54"/>
    </row>
    <row r="610" spans="1:9" x14ac:dyDescent="0.2">
      <c r="A610" t="s">
        <v>4360</v>
      </c>
      <c r="B610">
        <f>SUM(FishSumAllPRN!B610)</f>
        <v>0</v>
      </c>
      <c r="C610">
        <f>SUM(FishSumAllPRN!C610)</f>
        <v>0</v>
      </c>
      <c r="D610">
        <f>SUM(FishSumAllPRN!D610)</f>
        <v>65</v>
      </c>
      <c r="E610">
        <f>SUM(FishSumAllPRN!E610)</f>
        <v>156</v>
      </c>
      <c r="F610">
        <f>SUM(FishSumAllPRN!F610)</f>
        <v>8</v>
      </c>
      <c r="G610">
        <f>SUM(FishSumAllPRN!G610)</f>
        <v>229</v>
      </c>
      <c r="H610" s="54" t="s">
        <v>294</v>
      </c>
      <c r="I610" s="54"/>
    </row>
    <row r="611" spans="1:9" x14ac:dyDescent="0.2">
      <c r="A611" t="s">
        <v>4361</v>
      </c>
      <c r="B611">
        <f>SUM(FishSumAllPRN!B611)</f>
        <v>0</v>
      </c>
      <c r="C611">
        <f>SUM(FishSumAllPRN!C611)</f>
        <v>0</v>
      </c>
      <c r="D611">
        <f>SUM(FishSumAllPRN!D611)</f>
        <v>3911</v>
      </c>
      <c r="E611">
        <f>SUM(FishSumAllPRN!E611)</f>
        <v>182</v>
      </c>
      <c r="F611">
        <f>SUM(FishSumAllPRN!F611)</f>
        <v>35</v>
      </c>
      <c r="G611">
        <f>SUM(FishSumAllPRN!G611)</f>
        <v>4128</v>
      </c>
      <c r="H611" s="54" t="s">
        <v>294</v>
      </c>
      <c r="I611" s="54"/>
    </row>
    <row r="612" spans="1:9" x14ac:dyDescent="0.2">
      <c r="A612" t="s">
        <v>4362</v>
      </c>
      <c r="B612">
        <f>SUM(FishSumAllPRN!B612)</f>
        <v>0</v>
      </c>
      <c r="C612">
        <f>SUM(FishSumAllPRN!C612)</f>
        <v>0</v>
      </c>
      <c r="D612">
        <f>SUM(FishSumAllPRN!D612)</f>
        <v>0</v>
      </c>
      <c r="E612">
        <f>SUM(FishSumAllPRN!E612)</f>
        <v>269</v>
      </c>
      <c r="F612">
        <f>SUM(FishSumAllPRN!F612)</f>
        <v>45</v>
      </c>
      <c r="G612">
        <f>SUM(FishSumAllPRN!G612)</f>
        <v>314</v>
      </c>
      <c r="H612" s="54" t="s">
        <v>294</v>
      </c>
      <c r="I612" s="54"/>
    </row>
    <row r="613" spans="1:9" x14ac:dyDescent="0.2">
      <c r="A613" t="s">
        <v>4363</v>
      </c>
      <c r="B613">
        <f>SUM(FishSumAllPRN!B613)</f>
        <v>0</v>
      </c>
      <c r="C613">
        <f>SUM(FishSumAllPRN!C613)</f>
        <v>0</v>
      </c>
      <c r="D613">
        <f>SUM(FishSumAllPRN!D613)</f>
        <v>0</v>
      </c>
      <c r="E613">
        <f>SUM(FishSumAllPRN!E613)</f>
        <v>0</v>
      </c>
      <c r="F613">
        <f>SUM(FishSumAllPRN!F613)</f>
        <v>0</v>
      </c>
      <c r="G613">
        <f>SUM(FishSumAllPRN!G613)</f>
        <v>0</v>
      </c>
      <c r="H613" s="54" t="s">
        <v>294</v>
      </c>
      <c r="I613" s="54"/>
    </row>
    <row r="614" spans="1:9" x14ac:dyDescent="0.2">
      <c r="A614" t="s">
        <v>4364</v>
      </c>
      <c r="B614">
        <f>SUM(FishSumAllPRN!B614)</f>
        <v>0</v>
      </c>
      <c r="C614">
        <f>SUM(FishSumAllPRN!C614)</f>
        <v>0</v>
      </c>
      <c r="D614">
        <f>SUM(FishSumAllPRN!D614)</f>
        <v>0</v>
      </c>
      <c r="E614">
        <f>SUM(FishSumAllPRN!E614)</f>
        <v>0</v>
      </c>
      <c r="F614">
        <f>SUM(FishSumAllPRN!F614)</f>
        <v>0</v>
      </c>
      <c r="G614">
        <f>SUM(FishSumAllPRN!G614)</f>
        <v>0</v>
      </c>
      <c r="H614" s="54" t="s">
        <v>294</v>
      </c>
      <c r="I614" s="54"/>
    </row>
    <row r="615" spans="1:9" x14ac:dyDescent="0.2">
      <c r="A615" s="365" t="s">
        <v>4365</v>
      </c>
      <c r="B615" s="365">
        <f>SUM(FishSumAllPRN!B615)</f>
        <v>7</v>
      </c>
      <c r="C615" s="365">
        <f>SUM(FishSumAllPRN!C615)</f>
        <v>297</v>
      </c>
      <c r="D615" s="365">
        <f>SUM(FishSumAllPRN!D615)</f>
        <v>255</v>
      </c>
      <c r="E615" s="365">
        <f>SUM(FishSumAllPRN!E615)</f>
        <v>0</v>
      </c>
      <c r="F615" s="365">
        <f>SUM(FishSumAllPRN!F615)</f>
        <v>0</v>
      </c>
      <c r="G615" s="365">
        <f>SUM(FishSumAllPRN!G615)</f>
        <v>559</v>
      </c>
      <c r="H615" s="54"/>
      <c r="I615" s="54"/>
    </row>
    <row r="616" spans="1:9" x14ac:dyDescent="0.2">
      <c r="A616" t="s">
        <v>4366</v>
      </c>
      <c r="B616">
        <f>SUM(FishSumAllPRN!B616)</f>
        <v>74</v>
      </c>
      <c r="C616">
        <f>SUM(FishSumAllPRN!C616)</f>
        <v>337</v>
      </c>
      <c r="D616">
        <f>SUM(FishSumAllPRN!D616)</f>
        <v>218</v>
      </c>
      <c r="E616">
        <f>SUM(FishSumAllPRN!E616)</f>
        <v>40</v>
      </c>
      <c r="F616">
        <f>SUM(FishSumAllPRN!F616)</f>
        <v>0</v>
      </c>
      <c r="G616">
        <f>SUM(FishSumAllPRN!G616)</f>
        <v>669</v>
      </c>
      <c r="H616" s="54" t="s">
        <v>294</v>
      </c>
      <c r="I616" s="54"/>
    </row>
    <row r="617" spans="1:9" x14ac:dyDescent="0.2">
      <c r="A617" t="s">
        <v>4367</v>
      </c>
      <c r="B617">
        <f>SUM(FishSumAllPRN!B617)</f>
        <v>0</v>
      </c>
      <c r="C617">
        <f>SUM(FishSumAllPRN!C617)</f>
        <v>49</v>
      </c>
      <c r="D617">
        <f>SUM(FishSumAllPRN!D617)</f>
        <v>187</v>
      </c>
      <c r="E617">
        <f>SUM(FishSumAllPRN!E617)</f>
        <v>0</v>
      </c>
      <c r="F617">
        <f>SUM(FishSumAllPRN!F617)</f>
        <v>0</v>
      </c>
      <c r="G617">
        <f>SUM(FishSumAllPRN!G617)</f>
        <v>236</v>
      </c>
      <c r="H617" s="54" t="s">
        <v>294</v>
      </c>
      <c r="I617" s="54"/>
    </row>
    <row r="618" spans="1:9" x14ac:dyDescent="0.2">
      <c r="A618" t="s">
        <v>4368</v>
      </c>
      <c r="B618">
        <f>SUM(FishSumAllPRN!B618)</f>
        <v>37</v>
      </c>
      <c r="C618">
        <f>SUM(FishSumAllPRN!C618)</f>
        <v>131</v>
      </c>
      <c r="D618">
        <f>SUM(FishSumAllPRN!D618)</f>
        <v>235</v>
      </c>
      <c r="E618">
        <f>SUM(FishSumAllPRN!E618)</f>
        <v>510</v>
      </c>
      <c r="F618">
        <f>SUM(FishSumAllPRN!F618)</f>
        <v>101</v>
      </c>
      <c r="G618">
        <f>SUM(FishSumAllPRN!G618)</f>
        <v>1014</v>
      </c>
      <c r="H618" s="54" t="s">
        <v>294</v>
      </c>
      <c r="I618" s="54"/>
    </row>
    <row r="619" spans="1:9" x14ac:dyDescent="0.2">
      <c r="A619" t="s">
        <v>4369</v>
      </c>
      <c r="B619">
        <f>SUM(FishSumAllPRN!B619)</f>
        <v>31</v>
      </c>
      <c r="C619">
        <f>SUM(FishSumAllPRN!C619)</f>
        <v>271</v>
      </c>
      <c r="D619">
        <f>SUM(FishSumAllPRN!D619)</f>
        <v>856</v>
      </c>
      <c r="E619">
        <f>SUM(FishSumAllPRN!E619)</f>
        <v>158</v>
      </c>
      <c r="F619">
        <f>SUM(FishSumAllPRN!F619)</f>
        <v>0</v>
      </c>
      <c r="G619">
        <f>SUM(FishSumAllPRN!G619)</f>
        <v>1316</v>
      </c>
      <c r="H619" s="54" t="s">
        <v>294</v>
      </c>
      <c r="I619" s="54"/>
    </row>
    <row r="620" spans="1:9" x14ac:dyDescent="0.2">
      <c r="A620" t="s">
        <v>4370</v>
      </c>
      <c r="B620">
        <f>SUM(FishSumAllPRN!B620)</f>
        <v>214</v>
      </c>
      <c r="C620">
        <f>SUM(FishSumAllPRN!C620)</f>
        <v>206</v>
      </c>
      <c r="D620">
        <f>SUM(FishSumAllPRN!D620)</f>
        <v>200</v>
      </c>
      <c r="E620">
        <f>SUM(FishSumAllPRN!E620)</f>
        <v>31</v>
      </c>
      <c r="F620">
        <f>SUM(FishSumAllPRN!F620)</f>
        <v>0</v>
      </c>
      <c r="G620">
        <f>SUM(FishSumAllPRN!G620)</f>
        <v>651</v>
      </c>
      <c r="H620" s="54" t="s">
        <v>294</v>
      </c>
      <c r="I620" s="54"/>
    </row>
    <row r="621" spans="1:9" x14ac:dyDescent="0.2">
      <c r="A621" t="s">
        <v>4371</v>
      </c>
      <c r="B621">
        <f>SUM(FishSumAllPRN!B621)</f>
        <v>40</v>
      </c>
      <c r="C621">
        <f>SUM(FishSumAllPRN!C621)</f>
        <v>45</v>
      </c>
      <c r="D621">
        <f>SUM(FishSumAllPRN!D621)</f>
        <v>99</v>
      </c>
      <c r="E621">
        <f>SUM(FishSumAllPRN!E621)</f>
        <v>44</v>
      </c>
      <c r="F621">
        <f>SUM(FishSumAllPRN!F621)</f>
        <v>0</v>
      </c>
      <c r="G621">
        <f>SUM(FishSumAllPRN!G621)</f>
        <v>228</v>
      </c>
      <c r="H621" s="54" t="s">
        <v>294</v>
      </c>
      <c r="I621" s="54"/>
    </row>
    <row r="622" spans="1:9" x14ac:dyDescent="0.2">
      <c r="A622" t="s">
        <v>4372</v>
      </c>
      <c r="B622">
        <f>SUM(FishSumAllPRN!B622)</f>
        <v>0</v>
      </c>
      <c r="C622">
        <f>SUM(FishSumAllPRN!C622)</f>
        <v>0</v>
      </c>
      <c r="D622">
        <f>SUM(FishSumAllPRN!D622)</f>
        <v>0</v>
      </c>
      <c r="E622">
        <f>SUM(FishSumAllPRN!E622)</f>
        <v>0</v>
      </c>
      <c r="F622">
        <f>SUM(FishSumAllPRN!F622)</f>
        <v>0</v>
      </c>
      <c r="G622">
        <f>SUM(FishSumAllPRN!G622)</f>
        <v>0</v>
      </c>
      <c r="H622" s="54" t="s">
        <v>294</v>
      </c>
      <c r="I622" s="54"/>
    </row>
    <row r="623" spans="1:9" x14ac:dyDescent="0.2">
      <c r="A623" t="s">
        <v>4373</v>
      </c>
      <c r="B623">
        <f>SUM(FishSumAllPRN!B623)</f>
        <v>0</v>
      </c>
      <c r="C623">
        <f>SUM(FishSumAllPRN!C623)</f>
        <v>0</v>
      </c>
      <c r="D623">
        <f>SUM(FishSumAllPRN!D623)</f>
        <v>0</v>
      </c>
      <c r="E623">
        <f>SUM(FishSumAllPRN!E623)</f>
        <v>0</v>
      </c>
      <c r="F623">
        <f>SUM(FishSumAllPRN!F623)</f>
        <v>0</v>
      </c>
      <c r="G623">
        <f>SUM(FishSumAllPRN!G623)</f>
        <v>0</v>
      </c>
      <c r="H623" s="54" t="s">
        <v>294</v>
      </c>
      <c r="I623" s="54"/>
    </row>
    <row r="624" spans="1:9" x14ac:dyDescent="0.2">
      <c r="A624" t="s">
        <v>4374</v>
      </c>
      <c r="B624">
        <f>SUM(FishSumAllPRN!B624)</f>
        <v>0</v>
      </c>
      <c r="C624">
        <f>SUM(FishSumAllPRN!C624)</f>
        <v>0</v>
      </c>
      <c r="D624">
        <f>SUM(FishSumAllPRN!D624)</f>
        <v>0</v>
      </c>
      <c r="E624">
        <f>SUM(FishSumAllPRN!E624)</f>
        <v>0</v>
      </c>
      <c r="F624">
        <f>SUM(FishSumAllPRN!F624)</f>
        <v>0</v>
      </c>
      <c r="G624">
        <f>SUM(FishSumAllPRN!G624)</f>
        <v>0</v>
      </c>
      <c r="H624" s="54" t="s">
        <v>294</v>
      </c>
      <c r="I624" s="54"/>
    </row>
    <row r="625" spans="1:45" x14ac:dyDescent="0.2">
      <c r="A625" t="s">
        <v>4375</v>
      </c>
      <c r="B625">
        <f>SUM(FishSumAllPRN!B625)</f>
        <v>0</v>
      </c>
      <c r="C625">
        <f>SUM(FishSumAllPRN!C625)</f>
        <v>0</v>
      </c>
      <c r="D625">
        <f>SUM(FishSumAllPRN!D625)</f>
        <v>0</v>
      </c>
      <c r="E625">
        <f>SUM(FishSumAllPRN!E625)</f>
        <v>0</v>
      </c>
      <c r="F625">
        <f>SUM(FishSumAllPRN!F625)</f>
        <v>0</v>
      </c>
      <c r="G625">
        <f>SUM(FishSumAllPRN!G625)</f>
        <v>0</v>
      </c>
      <c r="H625" s="54" t="s">
        <v>294</v>
      </c>
      <c r="I625" s="54"/>
    </row>
    <row r="626" spans="1:45" x14ac:dyDescent="0.2">
      <c r="A626" t="s">
        <v>4376</v>
      </c>
      <c r="B626">
        <f>SUM(FishSumAllPRN!B626)</f>
        <v>0</v>
      </c>
      <c r="C626">
        <f>SUM(FishSumAllPRN!C626)</f>
        <v>0</v>
      </c>
      <c r="D626">
        <f>SUM(FishSumAllPRN!D626)</f>
        <v>0</v>
      </c>
      <c r="E626">
        <f>SUM(FishSumAllPRN!E626)</f>
        <v>0</v>
      </c>
      <c r="F626">
        <f>SUM(FishSumAllPRN!F626)</f>
        <v>0</v>
      </c>
      <c r="G626">
        <f>SUM(FishSumAllPRN!G626)</f>
        <v>0</v>
      </c>
      <c r="H626" s="54" t="s">
        <v>294</v>
      </c>
      <c r="I626" s="54"/>
    </row>
    <row r="627" spans="1:45" x14ac:dyDescent="0.2">
      <c r="A627" t="s">
        <v>4377</v>
      </c>
      <c r="B627">
        <f>SUM(FishSumAllPRN!B627)</f>
        <v>0</v>
      </c>
      <c r="C627">
        <f>SUM(FishSumAllPRN!C627)</f>
        <v>0</v>
      </c>
      <c r="D627">
        <f>SUM(FishSumAllPRN!D627)</f>
        <v>0</v>
      </c>
      <c r="E627">
        <f>SUM(FishSumAllPRN!E627)</f>
        <v>0</v>
      </c>
      <c r="F627">
        <f>SUM(FishSumAllPRN!F627)</f>
        <v>0</v>
      </c>
      <c r="G627">
        <f>SUM(FishSumAllPRN!G627)</f>
        <v>0</v>
      </c>
      <c r="H627" s="54" t="s">
        <v>294</v>
      </c>
      <c r="I627" s="54"/>
    </row>
    <row r="628" spans="1:45" x14ac:dyDescent="0.2">
      <c r="B628">
        <f>SUM(FishSumAllPRN!B628)</f>
        <v>0</v>
      </c>
      <c r="C628">
        <f>SUM(FishSumAllPRN!C628)</f>
        <v>0</v>
      </c>
      <c r="D628">
        <f>SUM(FishSumAllPRN!D628)</f>
        <v>0</v>
      </c>
      <c r="E628">
        <f>SUM(FishSumAllPRN!E628)</f>
        <v>0</v>
      </c>
      <c r="F628">
        <f>SUM(FishSumAllPRN!F628)</f>
        <v>0</v>
      </c>
      <c r="G628">
        <f>SUM(FishSumAllPRN!G628)</f>
        <v>0</v>
      </c>
      <c r="I628" s="54"/>
    </row>
    <row r="629" spans="1:45" x14ac:dyDescent="0.2">
      <c r="I629" s="54"/>
      <c r="K629" s="37" t="s">
        <v>5613</v>
      </c>
    </row>
    <row r="630" spans="1:45" x14ac:dyDescent="0.2">
      <c r="I630" s="54"/>
    </row>
    <row r="631" spans="1:45" x14ac:dyDescent="0.2">
      <c r="A631" t="s">
        <v>4248</v>
      </c>
      <c r="I631" s="54"/>
    </row>
    <row r="632" spans="1:45" x14ac:dyDescent="0.2">
      <c r="A632" t="str">
        <f>FishSumAllPRN!A629</f>
        <v>Species: COHO</v>
      </c>
      <c r="B632">
        <f>FishSumAllPRN!B629</f>
        <v>0</v>
      </c>
      <c r="C632" t="str">
        <f>FishSumAllPRN!C629</f>
        <v>Ver:2.22 Feb 25</v>
      </c>
      <c r="D632">
        <f>FishSumAllPRN!D629</f>
        <v>0</v>
      </c>
      <c r="E632">
        <f>FishSumAllPRN!E629</f>
        <v>0</v>
      </c>
      <c r="G632" t="str">
        <f>FishSumAllPRN!G629</f>
        <v>RunDate:4/12/2022 2:12:39 PM</v>
      </c>
      <c r="I632" s="54"/>
      <c r="K632" t="str">
        <f>A632</f>
        <v>Species: COHO</v>
      </c>
      <c r="R632" t="str">
        <f>C632</f>
        <v>Ver:2.22 Feb 25</v>
      </c>
      <c r="S632">
        <f t="shared" ref="S632:V634" si="214">D632</f>
        <v>0</v>
      </c>
      <c r="T632">
        <f t="shared" si="214"/>
        <v>0</v>
      </c>
      <c r="V632" t="str">
        <f t="shared" si="214"/>
        <v>RunDate:4/12/2022 2:12:39 PM</v>
      </c>
    </row>
    <row r="633" spans="1:45" x14ac:dyDescent="0.2">
      <c r="A633" t="str">
        <f>FishSumAllPRN!A630</f>
        <v>Report: Fishery Summary</v>
      </c>
      <c r="B633">
        <f>FishSumAllPRN!B630</f>
        <v>0</v>
      </c>
      <c r="D633">
        <f>FishSumAllPRN!D630</f>
        <v>0</v>
      </c>
      <c r="E633">
        <f>FishSumAllPRN!E630</f>
        <v>0</v>
      </c>
      <c r="F633">
        <f>FishSumAllPRN!F630</f>
        <v>0</v>
      </c>
      <c r="G633" t="str">
        <f>FishSumAllPRN!G630</f>
        <v>RepDate:4/12/2022 2:12:40 PM</v>
      </c>
      <c r="I633" s="54"/>
      <c r="K633" t="str">
        <f>A633</f>
        <v>Report: Fishery Summary</v>
      </c>
      <c r="S633">
        <f t="shared" si="214"/>
        <v>0</v>
      </c>
      <c r="T633">
        <f t="shared" si="214"/>
        <v>0</v>
      </c>
      <c r="U633">
        <f t="shared" si="214"/>
        <v>0</v>
      </c>
      <c r="V633" t="str">
        <f t="shared" si="214"/>
        <v>RepDate:4/12/2022 2:12:40 PM</v>
      </c>
    </row>
    <row r="634" spans="1:45" ht="15.75" x14ac:dyDescent="0.25">
      <c r="A634" t="str">
        <f>FishSumAllPRN!A631</f>
        <v xml:space="preserve">Title:PFMC April 12 Final, TT 52K NT 200K </v>
      </c>
      <c r="B634">
        <f>FishSumAllPRN!B631</f>
        <v>0</v>
      </c>
      <c r="C634">
        <f>FishSumAllPRN!C631</f>
        <v>0</v>
      </c>
      <c r="D634">
        <f>FishSumAllPRN!D631</f>
        <v>0</v>
      </c>
      <c r="I634" s="54"/>
      <c r="K634" t="str">
        <f>A634</f>
        <v xml:space="preserve">Title:PFMC April 12 Final, TT 52K NT 200K </v>
      </c>
      <c r="R634">
        <f>C634</f>
        <v>0</v>
      </c>
      <c r="S634">
        <f t="shared" si="214"/>
        <v>0</v>
      </c>
      <c r="AC634" s="35" t="s">
        <v>5772</v>
      </c>
    </row>
    <row r="635" spans="1:45" ht="15.75" x14ac:dyDescent="0.25">
      <c r="I635" s="54"/>
      <c r="AC635" s="35" t="s">
        <v>5766</v>
      </c>
    </row>
    <row r="636" spans="1:45" ht="13.5" thickBot="1" x14ac:dyDescent="0.25">
      <c r="H636" t="s">
        <v>2319</v>
      </c>
      <c r="K636" t="s">
        <v>5621</v>
      </c>
      <c r="L636" t="s">
        <v>5622</v>
      </c>
      <c r="M636" t="s">
        <v>5622</v>
      </c>
      <c r="N636" t="s">
        <v>5622</v>
      </c>
      <c r="O636" t="s">
        <v>5622</v>
      </c>
      <c r="P636" t="s">
        <v>5622</v>
      </c>
      <c r="Q636" t="s">
        <v>5622</v>
      </c>
      <c r="R636" t="s">
        <v>5622</v>
      </c>
      <c r="S636" t="s">
        <v>5622</v>
      </c>
      <c r="T636" t="s">
        <v>5622</v>
      </c>
      <c r="U636" t="s">
        <v>5622</v>
      </c>
      <c r="V636" t="s">
        <v>5622</v>
      </c>
      <c r="W636" t="s">
        <v>5622</v>
      </c>
      <c r="X636" t="s">
        <v>5622</v>
      </c>
      <c r="Y636" t="s">
        <v>5622</v>
      </c>
      <c r="Z636" t="s">
        <v>5623</v>
      </c>
      <c r="AC636" s="37"/>
    </row>
    <row r="637" spans="1:45" x14ac:dyDescent="0.2">
      <c r="A637" t="str">
        <f>FishSumAllPRN!A634</f>
        <v>Catch+CNR Mortality by Fishery</v>
      </c>
      <c r="B637" t="s">
        <v>4262</v>
      </c>
      <c r="C637" t="s">
        <v>4263</v>
      </c>
      <c r="D637" t="s">
        <v>4264</v>
      </c>
      <c r="E637" t="s">
        <v>2308</v>
      </c>
      <c r="F637" t="s">
        <v>615</v>
      </c>
      <c r="G637" t="s">
        <v>236</v>
      </c>
      <c r="H637" t="s">
        <v>5632</v>
      </c>
      <c r="K637" t="s">
        <v>126</v>
      </c>
      <c r="L637" s="51">
        <v>37227</v>
      </c>
      <c r="M637" t="s">
        <v>5624</v>
      </c>
      <c r="N637" t="s">
        <v>5625</v>
      </c>
      <c r="O637" t="s">
        <v>5626</v>
      </c>
      <c r="P637" t="s">
        <v>5627</v>
      </c>
      <c r="Q637" t="s">
        <v>5628</v>
      </c>
      <c r="R637" t="s">
        <v>5629</v>
      </c>
      <c r="S637" t="s">
        <v>5630</v>
      </c>
      <c r="T637" t="s">
        <v>890</v>
      </c>
      <c r="U637" t="s">
        <v>614</v>
      </c>
      <c r="V637" t="s">
        <v>615</v>
      </c>
      <c r="W637" t="s">
        <v>892</v>
      </c>
      <c r="X637" t="s">
        <v>893</v>
      </c>
      <c r="Y637" t="s">
        <v>5631</v>
      </c>
      <c r="Z637" t="s">
        <v>236</v>
      </c>
      <c r="AC637" s="48" t="s">
        <v>602</v>
      </c>
      <c r="AD637" s="49"/>
      <c r="AE637" s="49"/>
      <c r="AF637" s="49"/>
      <c r="AG637" s="49"/>
      <c r="AH637" s="49"/>
      <c r="AI637" s="49"/>
      <c r="AJ637" s="77">
        <f>'1'!E655</f>
        <v>0</v>
      </c>
      <c r="AK637" s="52"/>
      <c r="AL637" s="52"/>
      <c r="AM637" s="52"/>
      <c r="AN637" s="52"/>
      <c r="AO637" s="52"/>
      <c r="AP637" s="52"/>
      <c r="AQ637" s="52"/>
      <c r="AR637" s="52"/>
      <c r="AS637" s="53"/>
    </row>
    <row r="638" spans="1:45" ht="13.5" thickBot="1" x14ac:dyDescent="0.25">
      <c r="A638" t="s">
        <v>2318</v>
      </c>
      <c r="B638" t="s">
        <v>2319</v>
      </c>
      <c r="C638" t="s">
        <v>2319</v>
      </c>
      <c r="D638" t="s">
        <v>2319</v>
      </c>
      <c r="E638" t="s">
        <v>2319</v>
      </c>
      <c r="F638" t="s">
        <v>2319</v>
      </c>
      <c r="G638" t="s">
        <v>2319</v>
      </c>
      <c r="H638" t="s">
        <v>2319</v>
      </c>
      <c r="K638" t="s">
        <v>5621</v>
      </c>
      <c r="L638" t="s">
        <v>5622</v>
      </c>
      <c r="M638" t="s">
        <v>5622</v>
      </c>
      <c r="N638" t="s">
        <v>5622</v>
      </c>
      <c r="O638" t="s">
        <v>5622</v>
      </c>
      <c r="P638" t="s">
        <v>5622</v>
      </c>
      <c r="Q638" t="s">
        <v>5622</v>
      </c>
      <c r="R638" t="s">
        <v>5622</v>
      </c>
      <c r="S638" t="s">
        <v>5622</v>
      </c>
      <c r="T638" t="s">
        <v>5622</v>
      </c>
      <c r="U638" t="s">
        <v>5622</v>
      </c>
      <c r="V638" t="s">
        <v>5622</v>
      </c>
      <c r="W638" t="s">
        <v>5622</v>
      </c>
      <c r="X638" t="s">
        <v>5622</v>
      </c>
      <c r="Y638" t="s">
        <v>5622</v>
      </c>
      <c r="Z638" t="s">
        <v>5622</v>
      </c>
      <c r="AC638" s="74" t="s">
        <v>123</v>
      </c>
      <c r="AD638" s="56"/>
      <c r="AE638" s="56"/>
      <c r="AF638" s="56"/>
      <c r="AG638" s="56"/>
      <c r="AH638" s="56"/>
      <c r="AI638" s="56"/>
      <c r="AJ638" s="76">
        <f>'1'!B656</f>
        <v>0</v>
      </c>
      <c r="AK638" s="56"/>
      <c r="AL638" s="56"/>
      <c r="AM638" s="56"/>
      <c r="AN638" s="56"/>
      <c r="AO638" s="56"/>
      <c r="AP638" s="56"/>
      <c r="AQ638" s="56"/>
      <c r="AR638" s="56"/>
      <c r="AS638" s="75"/>
    </row>
    <row r="639" spans="1:45" ht="13.5" thickBot="1" x14ac:dyDescent="0.25">
      <c r="A639" t="s">
        <v>4265</v>
      </c>
      <c r="B639">
        <f>SUM(FishSumAllPRN!B639)</f>
        <v>0</v>
      </c>
      <c r="C639">
        <f>SUM(FishSumAllPRN!C639)</f>
        <v>0</v>
      </c>
      <c r="D639">
        <f>SUM(FishSumAllPRN!D639)</f>
        <v>0</v>
      </c>
      <c r="E639">
        <f>SUM(FishSumAllPRN!E639)</f>
        <v>0</v>
      </c>
      <c r="F639">
        <f>SUM(FishSumAllPRN!F639)</f>
        <v>20</v>
      </c>
      <c r="G639">
        <f>SUM(FishSumAllPRN!G639)</f>
        <v>20</v>
      </c>
      <c r="H639" s="54" t="s">
        <v>294</v>
      </c>
      <c r="K639" t="s">
        <v>5637</v>
      </c>
      <c r="R639" s="38">
        <f>SUM(B832:B833)</f>
        <v>4313</v>
      </c>
      <c r="S639" s="38">
        <f>SUM(C832:C833)</f>
        <v>131173</v>
      </c>
      <c r="T639" s="38">
        <f>SUM(D832:D833)</f>
        <v>136796</v>
      </c>
      <c r="U639" s="38">
        <f>SUM(E832:E833)</f>
        <v>51902</v>
      </c>
      <c r="V639" s="38">
        <f>SUM(F832:F833)</f>
        <v>0</v>
      </c>
      <c r="Z639">
        <f t="shared" ref="Z639:Z702" si="215">SUM(R639:V639)</f>
        <v>324184</v>
      </c>
      <c r="AC639" s="50" t="s">
        <v>126</v>
      </c>
      <c r="AD639" s="73">
        <v>37227</v>
      </c>
      <c r="AE639" s="37" t="s">
        <v>5624</v>
      </c>
      <c r="AF639" s="37" t="s">
        <v>5625</v>
      </c>
      <c r="AG639" s="37" t="s">
        <v>5626</v>
      </c>
      <c r="AH639" s="37" t="s">
        <v>5627</v>
      </c>
      <c r="AI639" s="37" t="s">
        <v>5628</v>
      </c>
      <c r="AJ639" s="2121" t="s">
        <v>544</v>
      </c>
      <c r="AK639" s="67" t="s">
        <v>5629</v>
      </c>
      <c r="AL639" s="67" t="s">
        <v>5630</v>
      </c>
      <c r="AM639" s="67" t="s">
        <v>890</v>
      </c>
      <c r="AN639" s="67" t="s">
        <v>891</v>
      </c>
      <c r="AO639" s="67" t="s">
        <v>615</v>
      </c>
      <c r="AP639" s="67" t="s">
        <v>892</v>
      </c>
      <c r="AQ639" s="67" t="s">
        <v>893</v>
      </c>
      <c r="AR639" s="67" t="s">
        <v>5631</v>
      </c>
      <c r="AS639" s="68" t="s">
        <v>236</v>
      </c>
    </row>
    <row r="640" spans="1:45" x14ac:dyDescent="0.2">
      <c r="A640" t="s">
        <v>4266</v>
      </c>
      <c r="B640">
        <f>SUM(FishSumAllPRN!B640)</f>
        <v>0</v>
      </c>
      <c r="C640">
        <f>SUM(FishSumAllPRN!C640)</f>
        <v>0</v>
      </c>
      <c r="D640">
        <f>SUM(FishSumAllPRN!D640)</f>
        <v>0</v>
      </c>
      <c r="E640">
        <f>SUM(FishSumAllPRN!E640)</f>
        <v>0</v>
      </c>
      <c r="F640">
        <f>SUM(FishSumAllPRN!F640)</f>
        <v>0</v>
      </c>
      <c r="G640">
        <f>SUM(FishSumAllPRN!G640)</f>
        <v>0</v>
      </c>
      <c r="H640" s="54" t="s">
        <v>294</v>
      </c>
      <c r="K640" t="s">
        <v>5640</v>
      </c>
      <c r="R640" s="38">
        <f t="shared" ref="R640:T641" si="216">B680</f>
        <v>95</v>
      </c>
      <c r="S640" s="38">
        <f t="shared" si="216"/>
        <v>1274</v>
      </c>
      <c r="T640" s="38">
        <f t="shared" si="216"/>
        <v>339</v>
      </c>
      <c r="U640" s="38">
        <f>E680</f>
        <v>374</v>
      </c>
      <c r="V640" s="38">
        <f>F680</f>
        <v>0</v>
      </c>
      <c r="Z640">
        <f t="shared" si="215"/>
        <v>2082</v>
      </c>
      <c r="AC640" s="48" t="s">
        <v>5633</v>
      </c>
      <c r="AD640" s="49"/>
      <c r="AE640" s="49"/>
      <c r="AF640" s="49"/>
      <c r="AG640" s="49"/>
      <c r="AH640" s="49"/>
      <c r="AI640" s="49"/>
      <c r="AJ640" s="49" t="s">
        <v>5634</v>
      </c>
      <c r="AK640" s="52">
        <f t="shared" ref="AK640:AR640" si="217">SUM(R639)</f>
        <v>4313</v>
      </c>
      <c r="AL640" s="52">
        <f t="shared" si="217"/>
        <v>131173</v>
      </c>
      <c r="AM640" s="52">
        <f t="shared" si="217"/>
        <v>136796</v>
      </c>
      <c r="AN640" s="52">
        <f t="shared" si="217"/>
        <v>51902</v>
      </c>
      <c r="AO640" s="52">
        <f t="shared" si="217"/>
        <v>0</v>
      </c>
      <c r="AP640" s="52">
        <f t="shared" si="217"/>
        <v>0</v>
      </c>
      <c r="AQ640" s="52">
        <f t="shared" si="217"/>
        <v>0</v>
      </c>
      <c r="AR640" s="52">
        <f t="shared" si="217"/>
        <v>0</v>
      </c>
      <c r="AS640" s="53">
        <f>SUM(AK640:AO640)</f>
        <v>324184</v>
      </c>
    </row>
    <row r="641" spans="1:45" x14ac:dyDescent="0.2">
      <c r="A641" t="s">
        <v>4267</v>
      </c>
      <c r="B641">
        <f>SUM(FishSumAllPRN!B641)</f>
        <v>610</v>
      </c>
      <c r="C641">
        <f>SUM(FishSumAllPRN!C641)</f>
        <v>96</v>
      </c>
      <c r="D641">
        <f>SUM(FishSumAllPRN!D641)</f>
        <v>46</v>
      </c>
      <c r="E641">
        <f>SUM(FishSumAllPRN!E641)</f>
        <v>1</v>
      </c>
      <c r="F641">
        <f>SUM(FishSumAllPRN!F641)</f>
        <v>0</v>
      </c>
      <c r="G641">
        <f>SUM(FishSumAllPRN!G641)</f>
        <v>754</v>
      </c>
      <c r="H641" s="54" t="s">
        <v>294</v>
      </c>
      <c r="K641" t="s">
        <v>5643</v>
      </c>
      <c r="R641" s="38">
        <f t="shared" si="216"/>
        <v>589</v>
      </c>
      <c r="S641" s="38">
        <f t="shared" si="216"/>
        <v>5932</v>
      </c>
      <c r="T641" s="38">
        <f t="shared" si="216"/>
        <v>23499</v>
      </c>
      <c r="U641" s="38">
        <f>E681</f>
        <v>8960</v>
      </c>
      <c r="V641" s="38">
        <f>F681</f>
        <v>2</v>
      </c>
      <c r="Z641">
        <f t="shared" si="215"/>
        <v>38982</v>
      </c>
      <c r="AC641" s="78" t="s">
        <v>5636</v>
      </c>
      <c r="AD641" s="1594"/>
      <c r="AE641" s="1594"/>
      <c r="AF641" s="1594"/>
      <c r="AG641" s="1594"/>
      <c r="AH641" s="1594"/>
      <c r="AI641" s="1594"/>
      <c r="AJ641" s="1594" t="s">
        <v>5634</v>
      </c>
      <c r="AK641" s="1723">
        <f>SUM(R675:R684,R701:R704,B831)</f>
        <v>7546</v>
      </c>
      <c r="AL641" s="1723">
        <f>SUM(S675:S684,S701:S704,C831)</f>
        <v>68030</v>
      </c>
      <c r="AM641" s="1723">
        <f>SUM(T675:T684,T701:T704,D831)</f>
        <v>113035</v>
      </c>
      <c r="AN641" s="1723">
        <f>SUM(U675:U684,U701:U704,E831)</f>
        <v>15079</v>
      </c>
      <c r="AO641" s="1723">
        <f>SUM(V675:V684,V701:V704,F831)</f>
        <v>1410</v>
      </c>
      <c r="AP641" s="1723">
        <f>SUM(W675:W684,W701:W704)</f>
        <v>0</v>
      </c>
      <c r="AQ641" s="1723">
        <f>SUM(X675:X684,X701:X704)</f>
        <v>0</v>
      </c>
      <c r="AR641" s="1723">
        <f>SUM(Y675:Y684,Y701:Y704)</f>
        <v>0</v>
      </c>
      <c r="AS641" s="1905">
        <f>SUM(AK641:AO641)</f>
        <v>205100</v>
      </c>
    </row>
    <row r="642" spans="1:45" x14ac:dyDescent="0.2">
      <c r="A642" t="s">
        <v>4268</v>
      </c>
      <c r="B642">
        <f>SUM(FishSumAllPRN!B642)</f>
        <v>0</v>
      </c>
      <c r="C642">
        <f>SUM(FishSumAllPRN!C642)</f>
        <v>249</v>
      </c>
      <c r="D642">
        <f>SUM(FishSumAllPRN!D642)</f>
        <v>54</v>
      </c>
      <c r="E642">
        <f>SUM(FishSumAllPRN!E642)</f>
        <v>0</v>
      </c>
      <c r="F642">
        <f>SUM(FishSumAllPRN!F642)</f>
        <v>0</v>
      </c>
      <c r="G642">
        <f>SUM(FishSumAllPRN!G642)</f>
        <v>303</v>
      </c>
      <c r="H642" s="54" t="s">
        <v>294</v>
      </c>
      <c r="K642" t="s">
        <v>5647</v>
      </c>
      <c r="R642" s="38">
        <f t="shared" ref="R642:T643" si="218">B676</f>
        <v>172</v>
      </c>
      <c r="S642" s="38">
        <f t="shared" si="218"/>
        <v>1695</v>
      </c>
      <c r="T642" s="38">
        <f t="shared" si="218"/>
        <v>4511</v>
      </c>
      <c r="U642" s="38">
        <f>E676</f>
        <v>1365</v>
      </c>
      <c r="V642" s="38">
        <f>F676</f>
        <v>0</v>
      </c>
      <c r="Z642">
        <f t="shared" si="215"/>
        <v>7743</v>
      </c>
      <c r="AC642" s="50"/>
      <c r="AD642" s="37"/>
      <c r="AE642" s="37"/>
      <c r="AF642" s="37"/>
      <c r="AG642" s="37"/>
      <c r="AH642" s="37"/>
      <c r="AI642" s="37"/>
      <c r="AJ642" s="37"/>
      <c r="AS642" s="58"/>
    </row>
    <row r="643" spans="1:45" x14ac:dyDescent="0.2">
      <c r="A643" t="s">
        <v>4269</v>
      </c>
      <c r="B643">
        <f>SUM(FishSumAllPRN!B643)</f>
        <v>686</v>
      </c>
      <c r="C643">
        <f>SUM(FishSumAllPRN!C643)</f>
        <v>0</v>
      </c>
      <c r="D643">
        <f>SUM(FishSumAllPRN!D643)</f>
        <v>124</v>
      </c>
      <c r="E643">
        <f>SUM(FishSumAllPRN!E643)</f>
        <v>2</v>
      </c>
      <c r="F643">
        <f>SUM(FishSumAllPRN!F643)</f>
        <v>0</v>
      </c>
      <c r="G643">
        <f>SUM(FishSumAllPRN!G643)</f>
        <v>812</v>
      </c>
      <c r="H643" s="54" t="s">
        <v>294</v>
      </c>
      <c r="K643" t="s">
        <v>5649</v>
      </c>
      <c r="R643" s="38">
        <f t="shared" si="218"/>
        <v>171</v>
      </c>
      <c r="S643" s="38">
        <f t="shared" si="218"/>
        <v>2263</v>
      </c>
      <c r="T643" s="38">
        <f t="shared" si="218"/>
        <v>9108</v>
      </c>
      <c r="U643" s="38">
        <f>E677</f>
        <v>1786</v>
      </c>
      <c r="V643" s="38">
        <f>F677</f>
        <v>0</v>
      </c>
      <c r="Z643">
        <f t="shared" si="215"/>
        <v>13328</v>
      </c>
      <c r="AC643" s="50" t="s">
        <v>5641</v>
      </c>
      <c r="AD643" s="37"/>
      <c r="AE643" s="37"/>
      <c r="AF643" s="37"/>
      <c r="AG643" s="37"/>
      <c r="AH643" s="37"/>
      <c r="AI643" s="37"/>
      <c r="AJ643" s="37"/>
      <c r="AS643" s="58"/>
    </row>
    <row r="644" spans="1:45" x14ac:dyDescent="0.2">
      <c r="A644" t="s">
        <v>4270</v>
      </c>
      <c r="B644">
        <f>SUM(FishSumAllPRN!B644)</f>
        <v>0</v>
      </c>
      <c r="C644">
        <f>SUM(FishSumAllPRN!C644)</f>
        <v>0</v>
      </c>
      <c r="D644">
        <f>SUM(FishSumAllPRN!D644)</f>
        <v>0</v>
      </c>
      <c r="E644">
        <f>SUM(FishSumAllPRN!E644)</f>
        <v>0</v>
      </c>
      <c r="F644">
        <f>SUM(FishSumAllPRN!F644)</f>
        <v>0</v>
      </c>
      <c r="G644">
        <f>SUM(FishSumAllPRN!G644)</f>
        <v>0</v>
      </c>
      <c r="H644" s="54" t="s">
        <v>294</v>
      </c>
      <c r="K644" t="s">
        <v>5651</v>
      </c>
      <c r="R644" s="38">
        <f t="shared" ref="R644:T645" si="219">SUM(B673)</f>
        <v>898</v>
      </c>
      <c r="S644" s="38">
        <f t="shared" si="219"/>
        <v>3050</v>
      </c>
      <c r="T644" s="38">
        <f t="shared" si="219"/>
        <v>5262</v>
      </c>
      <c r="U644" s="38">
        <f>SUM(E673)</f>
        <v>6319</v>
      </c>
      <c r="V644" s="38">
        <f>SUM(F673)</f>
        <v>0</v>
      </c>
      <c r="Z644">
        <f t="shared" si="215"/>
        <v>15529</v>
      </c>
      <c r="AC644" s="50" t="s">
        <v>5644</v>
      </c>
      <c r="AD644" s="37"/>
      <c r="AE644" s="37"/>
      <c r="AF644" s="37"/>
      <c r="AG644" s="37"/>
      <c r="AH644" s="37"/>
      <c r="AI644" s="37"/>
      <c r="AJ644" s="1594" t="s">
        <v>5645</v>
      </c>
      <c r="AK644" s="1723">
        <f t="shared" ref="AK644:AS644" si="220">SUM(R641,R643,R645)</f>
        <v>778</v>
      </c>
      <c r="AL644" s="1723">
        <f t="shared" si="220"/>
        <v>8281</v>
      </c>
      <c r="AM644" s="1723">
        <f t="shared" si="220"/>
        <v>32798</v>
      </c>
      <c r="AN644" s="1723">
        <f t="shared" si="220"/>
        <v>10920</v>
      </c>
      <c r="AO644" s="1723">
        <f t="shared" si="220"/>
        <v>2</v>
      </c>
      <c r="AP644" s="1723">
        <f t="shared" si="220"/>
        <v>0</v>
      </c>
      <c r="AQ644" s="1723">
        <f t="shared" si="220"/>
        <v>0</v>
      </c>
      <c r="AR644" s="1723">
        <f t="shared" si="220"/>
        <v>0</v>
      </c>
      <c r="AS644" s="1908">
        <f t="shared" si="220"/>
        <v>52779</v>
      </c>
    </row>
    <row r="645" spans="1:45" x14ac:dyDescent="0.2">
      <c r="A645" t="s">
        <v>4271</v>
      </c>
      <c r="B645">
        <f>SUM(FishSumAllPRN!B645)</f>
        <v>176</v>
      </c>
      <c r="C645">
        <f>SUM(FishSumAllPRN!C645)</f>
        <v>140</v>
      </c>
      <c r="D645">
        <f>SUM(FishSumAllPRN!D645)</f>
        <v>19</v>
      </c>
      <c r="E645">
        <f>SUM(FishSumAllPRN!E645)</f>
        <v>12</v>
      </c>
      <c r="F645">
        <f>SUM(FishSumAllPRN!F645)</f>
        <v>0</v>
      </c>
      <c r="G645">
        <f>SUM(FishSumAllPRN!G645)</f>
        <v>347</v>
      </c>
      <c r="H645" s="54" t="s">
        <v>294</v>
      </c>
      <c r="K645" t="s">
        <v>5653</v>
      </c>
      <c r="R645" s="38">
        <f t="shared" si="219"/>
        <v>18</v>
      </c>
      <c r="S645" s="38">
        <f t="shared" si="219"/>
        <v>86</v>
      </c>
      <c r="T645" s="38">
        <f t="shared" si="219"/>
        <v>191</v>
      </c>
      <c r="U645" s="38">
        <f>SUM(E674)</f>
        <v>174</v>
      </c>
      <c r="V645" s="38">
        <f>SUM(F674)</f>
        <v>0</v>
      </c>
      <c r="Z645">
        <f t="shared" si="215"/>
        <v>469</v>
      </c>
      <c r="AC645" s="50"/>
      <c r="AD645" s="37"/>
      <c r="AE645" s="37"/>
      <c r="AF645" s="37"/>
      <c r="AG645" s="37"/>
      <c r="AH645" s="37"/>
      <c r="AI645" s="37"/>
      <c r="AJ645" s="37" t="s">
        <v>5648</v>
      </c>
      <c r="AK645" s="38">
        <f t="shared" ref="AK645:AS645" si="221">SUM(R641)</f>
        <v>589</v>
      </c>
      <c r="AL645" s="38">
        <f t="shared" si="221"/>
        <v>5932</v>
      </c>
      <c r="AM645" s="38">
        <f t="shared" si="221"/>
        <v>23499</v>
      </c>
      <c r="AN645" s="38">
        <f t="shared" si="221"/>
        <v>8960</v>
      </c>
      <c r="AO645" s="38">
        <f t="shared" si="221"/>
        <v>2</v>
      </c>
      <c r="AP645" s="38">
        <f t="shared" si="221"/>
        <v>0</v>
      </c>
      <c r="AQ645" s="38">
        <f t="shared" si="221"/>
        <v>0</v>
      </c>
      <c r="AR645" s="38">
        <f t="shared" si="221"/>
        <v>0</v>
      </c>
      <c r="AS645" s="59">
        <f t="shared" si="221"/>
        <v>38982</v>
      </c>
    </row>
    <row r="646" spans="1:45" x14ac:dyDescent="0.2">
      <c r="A646" t="s">
        <v>4272</v>
      </c>
      <c r="B646">
        <f>SUM(FishSumAllPRN!B646)</f>
        <v>409</v>
      </c>
      <c r="C646">
        <f>SUM(FishSumAllPRN!C646)</f>
        <v>51</v>
      </c>
      <c r="D646">
        <f>SUM(FishSumAllPRN!D646)</f>
        <v>14</v>
      </c>
      <c r="E646">
        <f>SUM(FishSumAllPRN!E646)</f>
        <v>23</v>
      </c>
      <c r="F646">
        <f>SUM(FishSumAllPRN!F646)</f>
        <v>0</v>
      </c>
      <c r="G646">
        <f>SUM(FishSumAllPRN!G646)</f>
        <v>497</v>
      </c>
      <c r="H646" s="54" t="s">
        <v>294</v>
      </c>
      <c r="K646" t="s">
        <v>5656</v>
      </c>
      <c r="R646" s="38">
        <f>SUM(B672)</f>
        <v>1578</v>
      </c>
      <c r="S646" s="38">
        <f>SUM(C672)</f>
        <v>4194</v>
      </c>
      <c r="T646" s="38">
        <f>SUM(D672)</f>
        <v>3602</v>
      </c>
      <c r="U646" s="38">
        <f>SUM(E672)</f>
        <v>7071</v>
      </c>
      <c r="V646" s="38">
        <f>SUM(F672)</f>
        <v>0</v>
      </c>
      <c r="Z646">
        <f t="shared" si="215"/>
        <v>16445</v>
      </c>
      <c r="AC646" s="50"/>
      <c r="AD646" s="37"/>
      <c r="AE646" s="37"/>
      <c r="AF646" s="37"/>
      <c r="AG646" s="37"/>
      <c r="AH646" s="37"/>
      <c r="AI646" s="37"/>
      <c r="AJ646" s="37" t="s">
        <v>5650</v>
      </c>
      <c r="AK646" s="38">
        <f t="shared" ref="AK646:AS646" si="222">SUM(R643)</f>
        <v>171</v>
      </c>
      <c r="AL646" s="38">
        <f t="shared" si="222"/>
        <v>2263</v>
      </c>
      <c r="AM646" s="38">
        <f t="shared" si="222"/>
        <v>9108</v>
      </c>
      <c r="AN646" s="38">
        <f t="shared" si="222"/>
        <v>1786</v>
      </c>
      <c r="AO646" s="38">
        <f t="shared" si="222"/>
        <v>0</v>
      </c>
      <c r="AP646" s="38">
        <f t="shared" si="222"/>
        <v>0</v>
      </c>
      <c r="AQ646" s="38">
        <f t="shared" si="222"/>
        <v>0</v>
      </c>
      <c r="AR646" s="38">
        <f t="shared" si="222"/>
        <v>0</v>
      </c>
      <c r="AS646" s="59">
        <f t="shared" si="222"/>
        <v>13328</v>
      </c>
    </row>
    <row r="647" spans="1:45" x14ac:dyDescent="0.2">
      <c r="A647" t="s">
        <v>4273</v>
      </c>
      <c r="B647">
        <f>SUM(FishSumAllPRN!B647)</f>
        <v>0</v>
      </c>
      <c r="C647">
        <f>SUM(FishSumAllPRN!C647)</f>
        <v>0</v>
      </c>
      <c r="D647">
        <f>SUM(FishSumAllPRN!D647)</f>
        <v>0</v>
      </c>
      <c r="E647">
        <f>SUM(FishSumAllPRN!E647)</f>
        <v>0</v>
      </c>
      <c r="F647">
        <f>SUM(FishSumAllPRN!F647)</f>
        <v>14</v>
      </c>
      <c r="G647">
        <f>SUM(FishSumAllPRN!G647)</f>
        <v>14</v>
      </c>
      <c r="H647" s="54" t="s">
        <v>294</v>
      </c>
      <c r="I647" s="54"/>
      <c r="K647" t="s">
        <v>5657</v>
      </c>
      <c r="R647" s="38">
        <f>SUM(B660)</f>
        <v>1097</v>
      </c>
      <c r="S647" s="38">
        <f>SUM(C660)</f>
        <v>253</v>
      </c>
      <c r="T647" s="38">
        <f>SUM(D660)</f>
        <v>456</v>
      </c>
      <c r="U647" s="38">
        <f>SUM(E660)</f>
        <v>70</v>
      </c>
      <c r="V647" s="38">
        <f>SUM(F660)</f>
        <v>0</v>
      </c>
      <c r="Z647">
        <f t="shared" si="215"/>
        <v>1876</v>
      </c>
      <c r="AC647" s="50"/>
      <c r="AD647" s="37"/>
      <c r="AE647" s="37"/>
      <c r="AF647" s="37"/>
      <c r="AG647" s="37"/>
      <c r="AH647" s="37"/>
      <c r="AI647" s="37"/>
      <c r="AJ647" s="37" t="s">
        <v>5652</v>
      </c>
      <c r="AK647" s="38">
        <f t="shared" ref="AK647:AS647" si="223">SUM(R645)</f>
        <v>18</v>
      </c>
      <c r="AL647" s="38">
        <f t="shared" si="223"/>
        <v>86</v>
      </c>
      <c r="AM647" s="38">
        <f t="shared" si="223"/>
        <v>191</v>
      </c>
      <c r="AN647" s="38">
        <f t="shared" si="223"/>
        <v>174</v>
      </c>
      <c r="AO647" s="38">
        <f t="shared" si="223"/>
        <v>0</v>
      </c>
      <c r="AP647" s="38">
        <f t="shared" si="223"/>
        <v>0</v>
      </c>
      <c r="AQ647" s="38">
        <f t="shared" si="223"/>
        <v>0</v>
      </c>
      <c r="AR647" s="38">
        <f t="shared" si="223"/>
        <v>0</v>
      </c>
      <c r="AS647" s="59">
        <f t="shared" si="223"/>
        <v>469</v>
      </c>
    </row>
    <row r="648" spans="1:45" x14ac:dyDescent="0.2">
      <c r="A648" t="s">
        <v>4274</v>
      </c>
      <c r="B648">
        <f>SUM(FishSumAllPRN!B648)</f>
        <v>0</v>
      </c>
      <c r="C648">
        <f>SUM(FishSumAllPRN!C648)</f>
        <v>0</v>
      </c>
      <c r="D648">
        <f>SUM(FishSumAllPRN!D648)</f>
        <v>0</v>
      </c>
      <c r="E648">
        <f>SUM(FishSumAllPRN!E648)</f>
        <v>0</v>
      </c>
      <c r="F648">
        <f>SUM(FishSumAllPRN!F648)</f>
        <v>0</v>
      </c>
      <c r="G648">
        <f>SUM(FishSumAllPRN!G648)</f>
        <v>0</v>
      </c>
      <c r="H648" s="54" t="s">
        <v>294</v>
      </c>
      <c r="I648" s="54"/>
      <c r="K648" t="s">
        <v>5658</v>
      </c>
      <c r="R648" s="38">
        <f>SUM(B656)</f>
        <v>3631</v>
      </c>
      <c r="S648" s="38">
        <f>SUM(C656)</f>
        <v>5417</v>
      </c>
      <c r="T648" s="38">
        <f>SUM(D656)</f>
        <v>5795</v>
      </c>
      <c r="U648" s="38">
        <f>SUM(E656)</f>
        <v>123</v>
      </c>
      <c r="V648" s="38">
        <f>SUM(F656)</f>
        <v>0</v>
      </c>
      <c r="Z648">
        <f t="shared" si="215"/>
        <v>14966</v>
      </c>
      <c r="AC648" s="50"/>
      <c r="AD648" s="37"/>
      <c r="AE648" s="37"/>
      <c r="AF648" s="37"/>
      <c r="AG648" s="37"/>
      <c r="AH648" s="37"/>
      <c r="AI648" s="37"/>
      <c r="AJ648" s="1594" t="s">
        <v>5654</v>
      </c>
      <c r="AK648" s="1723">
        <f t="shared" ref="AK648:AS648" si="224">SUM(R640,R642,R644,R646)</f>
        <v>2743</v>
      </c>
      <c r="AL648" s="1723">
        <f t="shared" si="224"/>
        <v>10213</v>
      </c>
      <c r="AM648" s="1723">
        <f t="shared" si="224"/>
        <v>13714</v>
      </c>
      <c r="AN648" s="1723">
        <f t="shared" si="224"/>
        <v>15129</v>
      </c>
      <c r="AO648" s="1723">
        <f t="shared" si="224"/>
        <v>0</v>
      </c>
      <c r="AP648" s="1723">
        <f t="shared" si="224"/>
        <v>0</v>
      </c>
      <c r="AQ648" s="1723">
        <f t="shared" si="224"/>
        <v>0</v>
      </c>
      <c r="AR648" s="1723">
        <f t="shared" si="224"/>
        <v>0</v>
      </c>
      <c r="AS648" s="1908">
        <f t="shared" si="224"/>
        <v>41799</v>
      </c>
    </row>
    <row r="649" spans="1:45" x14ac:dyDescent="0.2">
      <c r="A649" t="s">
        <v>4275</v>
      </c>
      <c r="B649">
        <f>SUM(FishSumAllPRN!B649)</f>
        <v>0</v>
      </c>
      <c r="C649">
        <f>SUM(FishSumAllPRN!C649)</f>
        <v>0</v>
      </c>
      <c r="D649">
        <f>SUM(FishSumAllPRN!D649)</f>
        <v>0</v>
      </c>
      <c r="E649">
        <f>SUM(FishSumAllPRN!E649)</f>
        <v>0</v>
      </c>
      <c r="F649">
        <f>SUM(FishSumAllPRN!F649)</f>
        <v>4032</v>
      </c>
      <c r="G649">
        <f>SUM(FishSumAllPRN!G649)</f>
        <v>4032</v>
      </c>
      <c r="H649" s="54" t="s">
        <v>294</v>
      </c>
      <c r="I649" s="54"/>
      <c r="K649" t="s">
        <v>5659</v>
      </c>
      <c r="R649" s="38">
        <f>SUM(B658)</f>
        <v>450</v>
      </c>
      <c r="S649" s="38">
        <f>SUM(C658)</f>
        <v>0</v>
      </c>
      <c r="T649" s="38">
        <f>SUM(D658)</f>
        <v>818</v>
      </c>
      <c r="U649" s="38">
        <f>SUM(E658)</f>
        <v>70</v>
      </c>
      <c r="V649" s="38">
        <f>SUM(F658)</f>
        <v>0</v>
      </c>
      <c r="Z649">
        <f t="shared" si="215"/>
        <v>1338</v>
      </c>
      <c r="AC649" s="50"/>
      <c r="AD649" s="37"/>
      <c r="AE649" s="37"/>
      <c r="AF649" s="37"/>
      <c r="AG649" s="37"/>
      <c r="AH649" s="37"/>
      <c r="AI649" s="37"/>
      <c r="AJ649" s="37" t="s">
        <v>5648</v>
      </c>
      <c r="AK649" s="38">
        <f t="shared" ref="AK649:AS649" si="225">SUM(R640)</f>
        <v>95</v>
      </c>
      <c r="AL649" s="38">
        <f t="shared" si="225"/>
        <v>1274</v>
      </c>
      <c r="AM649" s="38">
        <f t="shared" si="225"/>
        <v>339</v>
      </c>
      <c r="AN649" s="38">
        <f t="shared" si="225"/>
        <v>374</v>
      </c>
      <c r="AO649" s="38">
        <f t="shared" si="225"/>
        <v>0</v>
      </c>
      <c r="AP649" s="38">
        <f t="shared" si="225"/>
        <v>0</v>
      </c>
      <c r="AQ649" s="38">
        <f t="shared" si="225"/>
        <v>0</v>
      </c>
      <c r="AR649" s="38">
        <f t="shared" si="225"/>
        <v>0</v>
      </c>
      <c r="AS649" s="59">
        <f t="shared" si="225"/>
        <v>2082</v>
      </c>
    </row>
    <row r="650" spans="1:45" x14ac:dyDescent="0.2">
      <c r="A650" t="s">
        <v>4276</v>
      </c>
      <c r="B650">
        <f>SUM(FishSumAllPRN!B650)</f>
        <v>0</v>
      </c>
      <c r="C650">
        <f>SUM(FishSumAllPRN!C650)</f>
        <v>0</v>
      </c>
      <c r="D650">
        <f>SUM(FishSumAllPRN!D650)</f>
        <v>0</v>
      </c>
      <c r="E650">
        <f>SUM(FishSumAllPRN!E650)</f>
        <v>0</v>
      </c>
      <c r="F650">
        <f>SUM(FishSumAllPRN!F650)</f>
        <v>2341</v>
      </c>
      <c r="G650">
        <f>SUM(FishSumAllPRN!G650)</f>
        <v>2341</v>
      </c>
      <c r="H650" s="54" t="s">
        <v>294</v>
      </c>
      <c r="I650" s="54"/>
      <c r="K650" t="s">
        <v>5661</v>
      </c>
      <c r="R650" s="38">
        <f>SUM(B654)</f>
        <v>34</v>
      </c>
      <c r="S650" s="38">
        <f>SUM(C654)</f>
        <v>79</v>
      </c>
      <c r="T650" s="38">
        <f>SUM(D654)</f>
        <v>3</v>
      </c>
      <c r="U650" s="38">
        <f>SUM(E654)</f>
        <v>0</v>
      </c>
      <c r="V650" s="38">
        <f>SUM(F654)</f>
        <v>0</v>
      </c>
      <c r="Z650">
        <f t="shared" si="215"/>
        <v>116</v>
      </c>
      <c r="AC650" s="50"/>
      <c r="AD650" s="37"/>
      <c r="AE650" s="37"/>
      <c r="AF650" s="37"/>
      <c r="AG650" s="37"/>
      <c r="AH650" s="37"/>
      <c r="AI650" s="37"/>
      <c r="AJ650" s="37" t="s">
        <v>5650</v>
      </c>
      <c r="AK650" s="38">
        <f t="shared" ref="AK650:AS650" si="226">SUM(R642)</f>
        <v>172</v>
      </c>
      <c r="AL650" s="38">
        <f t="shared" si="226"/>
        <v>1695</v>
      </c>
      <c r="AM650" s="38">
        <f t="shared" si="226"/>
        <v>4511</v>
      </c>
      <c r="AN650" s="38">
        <f t="shared" si="226"/>
        <v>1365</v>
      </c>
      <c r="AO650" s="38">
        <f t="shared" si="226"/>
        <v>0</v>
      </c>
      <c r="AP650" s="38">
        <f t="shared" si="226"/>
        <v>0</v>
      </c>
      <c r="AQ650" s="38">
        <f t="shared" si="226"/>
        <v>0</v>
      </c>
      <c r="AR650" s="38">
        <f t="shared" si="226"/>
        <v>0</v>
      </c>
      <c r="AS650" s="59">
        <f t="shared" si="226"/>
        <v>7743</v>
      </c>
    </row>
    <row r="651" spans="1:45" x14ac:dyDescent="0.2">
      <c r="A651" t="s">
        <v>4277</v>
      </c>
      <c r="B651">
        <f>SUM(FishSumAllPRN!B651)</f>
        <v>0</v>
      </c>
      <c r="C651">
        <f>SUM(FishSumAllPRN!C651)</f>
        <v>0</v>
      </c>
      <c r="D651">
        <f>SUM(FishSumAllPRN!D651)</f>
        <v>0</v>
      </c>
      <c r="E651">
        <f>SUM(FishSumAllPRN!E651)</f>
        <v>0</v>
      </c>
      <c r="F651">
        <f>SUM(FishSumAllPRN!F651)</f>
        <v>1114</v>
      </c>
      <c r="G651">
        <f>SUM(FishSumAllPRN!G651)</f>
        <v>1114</v>
      </c>
      <c r="H651" s="54" t="s">
        <v>294</v>
      </c>
      <c r="I651" s="54"/>
      <c r="K651" t="s">
        <v>5662</v>
      </c>
      <c r="R651">
        <f>SUM(B644*0.5)</f>
        <v>0</v>
      </c>
      <c r="S651">
        <f>SUM(C644*0.5)</f>
        <v>0</v>
      </c>
      <c r="T651">
        <f>SUM(D644*0.5)</f>
        <v>0</v>
      </c>
      <c r="U651">
        <f>SUM(E644*0.5)</f>
        <v>0</v>
      </c>
      <c r="V651">
        <f>SUM(F644*0.5)</f>
        <v>0</v>
      </c>
      <c r="Z651">
        <f t="shared" si="215"/>
        <v>0</v>
      </c>
      <c r="AC651" s="50"/>
      <c r="AD651" s="37"/>
      <c r="AE651" s="37"/>
      <c r="AF651" s="37"/>
      <c r="AG651" s="37"/>
      <c r="AH651" s="37"/>
      <c r="AI651" s="37"/>
      <c r="AJ651" s="37" t="s">
        <v>5652</v>
      </c>
      <c r="AK651" s="38">
        <f t="shared" ref="AK651:AS651" si="227">SUM(R644)</f>
        <v>898</v>
      </c>
      <c r="AL651" s="38">
        <f t="shared" si="227"/>
        <v>3050</v>
      </c>
      <c r="AM651" s="38">
        <f t="shared" si="227"/>
        <v>5262</v>
      </c>
      <c r="AN651" s="38">
        <f t="shared" si="227"/>
        <v>6319</v>
      </c>
      <c r="AO651" s="38">
        <f t="shared" si="227"/>
        <v>0</v>
      </c>
      <c r="AP651" s="38">
        <f t="shared" si="227"/>
        <v>0</v>
      </c>
      <c r="AQ651" s="38">
        <f t="shared" si="227"/>
        <v>0</v>
      </c>
      <c r="AR651" s="38">
        <f t="shared" si="227"/>
        <v>0</v>
      </c>
      <c r="AS651" s="59">
        <f t="shared" si="227"/>
        <v>15529</v>
      </c>
    </row>
    <row r="652" spans="1:45" x14ac:dyDescent="0.2">
      <c r="A652" t="s">
        <v>4278</v>
      </c>
      <c r="B652">
        <f>SUM(FishSumAllPRN!B652)</f>
        <v>0</v>
      </c>
      <c r="C652">
        <f>SUM(FishSumAllPRN!C652)</f>
        <v>0</v>
      </c>
      <c r="D652">
        <f>SUM(FishSumAllPRN!D652)</f>
        <v>0</v>
      </c>
      <c r="E652">
        <f>SUM(FishSumAllPRN!E652)</f>
        <v>0</v>
      </c>
      <c r="F652">
        <f>SUM(FishSumAllPRN!F652)</f>
        <v>0</v>
      </c>
      <c r="G652">
        <f>SUM(FishSumAllPRN!G652)</f>
        <v>0</v>
      </c>
      <c r="H652" s="54" t="s">
        <v>294</v>
      </c>
      <c r="I652" s="54"/>
      <c r="K652" t="s">
        <v>5667</v>
      </c>
      <c r="R652">
        <f>SUM(B644*0.5)</f>
        <v>0</v>
      </c>
      <c r="S652">
        <f>SUM(C644*0.5)</f>
        <v>0</v>
      </c>
      <c r="T652">
        <f>SUM(D644*0.5)</f>
        <v>0</v>
      </c>
      <c r="U652">
        <f>SUM(E644*0.5)</f>
        <v>0</v>
      </c>
      <c r="V652">
        <f>SUM(F644*0.5)</f>
        <v>0</v>
      </c>
      <c r="Z652">
        <f t="shared" si="215"/>
        <v>0</v>
      </c>
      <c r="AC652" s="50"/>
      <c r="AD652" s="37"/>
      <c r="AE652" s="37"/>
      <c r="AF652" s="37"/>
      <c r="AG652" s="37"/>
      <c r="AH652" s="37"/>
      <c r="AI652" s="37"/>
      <c r="AJ652" s="37" t="s">
        <v>5660</v>
      </c>
      <c r="AK652" s="38">
        <f t="shared" ref="AK652:AS652" si="228">SUM(R646)</f>
        <v>1578</v>
      </c>
      <c r="AL652" s="38">
        <f t="shared" si="228"/>
        <v>4194</v>
      </c>
      <c r="AM652" s="38">
        <f t="shared" si="228"/>
        <v>3602</v>
      </c>
      <c r="AN652" s="38">
        <f t="shared" si="228"/>
        <v>7071</v>
      </c>
      <c r="AO652" s="38">
        <f t="shared" si="228"/>
        <v>0</v>
      </c>
      <c r="AP652" s="38">
        <f t="shared" si="228"/>
        <v>0</v>
      </c>
      <c r="AQ652" s="38">
        <f t="shared" si="228"/>
        <v>0</v>
      </c>
      <c r="AR652" s="38">
        <f t="shared" si="228"/>
        <v>0</v>
      </c>
      <c r="AS652" s="59">
        <f t="shared" si="228"/>
        <v>16445</v>
      </c>
    </row>
    <row r="653" spans="1:45" x14ac:dyDescent="0.2">
      <c r="A653" t="s">
        <v>4279</v>
      </c>
      <c r="B653">
        <f>SUM(FishSumAllPRN!B653)</f>
        <v>1230</v>
      </c>
      <c r="C653">
        <f>SUM(FishSumAllPRN!C653)</f>
        <v>489</v>
      </c>
      <c r="D653">
        <f>SUM(FishSumAllPRN!D653)</f>
        <v>415</v>
      </c>
      <c r="E653">
        <f>SUM(FishSumAllPRN!E653)</f>
        <v>0</v>
      </c>
      <c r="F653">
        <f>SUM(FishSumAllPRN!F653)</f>
        <v>0</v>
      </c>
      <c r="G653">
        <f>SUM(FishSumAllPRN!G653)</f>
        <v>2134</v>
      </c>
      <c r="H653" s="54" t="s">
        <v>294</v>
      </c>
      <c r="I653" s="54"/>
      <c r="K653" t="s">
        <v>5669</v>
      </c>
      <c r="R653" s="38">
        <f>SUM(B642)</f>
        <v>0</v>
      </c>
      <c r="S653" s="38">
        <f>SUM(C642)</f>
        <v>249</v>
      </c>
      <c r="T653" s="38">
        <f>SUM(D642)</f>
        <v>54</v>
      </c>
      <c r="U653" s="38">
        <f>SUM(E642)</f>
        <v>0</v>
      </c>
      <c r="V653" s="38">
        <f>SUM(F642)</f>
        <v>0</v>
      </c>
      <c r="Z653">
        <f t="shared" si="215"/>
        <v>303</v>
      </c>
      <c r="AC653" s="50"/>
      <c r="AD653" s="37"/>
      <c r="AE653" s="37"/>
      <c r="AF653" s="37"/>
      <c r="AG653" s="37"/>
      <c r="AH653" s="37"/>
      <c r="AI653" s="37"/>
      <c r="AJ653" s="37"/>
      <c r="AK653" s="38"/>
      <c r="AL653" s="38"/>
      <c r="AM653" s="38"/>
      <c r="AN653" s="38"/>
      <c r="AO653" s="38"/>
      <c r="AP653" s="38"/>
      <c r="AQ653" s="38"/>
      <c r="AR653" s="38"/>
      <c r="AS653" s="59"/>
    </row>
    <row r="654" spans="1:45" x14ac:dyDescent="0.2">
      <c r="A654" t="s">
        <v>4280</v>
      </c>
      <c r="B654">
        <f>SUM(FishSumAllPRN!B654)</f>
        <v>34</v>
      </c>
      <c r="C654">
        <f>SUM(FishSumAllPRN!C654)</f>
        <v>79</v>
      </c>
      <c r="D654">
        <f>SUM(FishSumAllPRN!D654)</f>
        <v>3</v>
      </c>
      <c r="E654">
        <f>SUM(FishSumAllPRN!E654)</f>
        <v>0</v>
      </c>
      <c r="F654">
        <f>SUM(FishSumAllPRN!F654)</f>
        <v>0</v>
      </c>
      <c r="G654">
        <f>SUM(FishSumAllPRN!G654)</f>
        <v>115</v>
      </c>
      <c r="H654" s="54" t="s">
        <v>294</v>
      </c>
      <c r="I654" s="54"/>
      <c r="K654" t="s">
        <v>5671</v>
      </c>
      <c r="R654" s="38">
        <f>SUM(B646)</f>
        <v>409</v>
      </c>
      <c r="S654" s="38">
        <f>SUM(C646)</f>
        <v>51</v>
      </c>
      <c r="T654" s="38">
        <f>SUM(D646)</f>
        <v>14</v>
      </c>
      <c r="U654" s="38">
        <f>SUM(E646)</f>
        <v>23</v>
      </c>
      <c r="V654" s="38">
        <f>SUM(F646)</f>
        <v>0</v>
      </c>
      <c r="Z654">
        <f t="shared" si="215"/>
        <v>497</v>
      </c>
      <c r="AC654" s="50" t="s">
        <v>5663</v>
      </c>
      <c r="AD654" s="37"/>
      <c r="AE654" s="37"/>
      <c r="AF654" s="37"/>
      <c r="AG654" s="37"/>
      <c r="AH654" s="37"/>
      <c r="AI654" s="37"/>
      <c r="AJ654" s="37" t="s">
        <v>5664</v>
      </c>
      <c r="AK654">
        <f t="shared" ref="AK654:AM657" si="229">SUM(R656)</f>
        <v>2504</v>
      </c>
      <c r="AL654">
        <f t="shared" si="229"/>
        <v>6610</v>
      </c>
      <c r="AM654">
        <f t="shared" si="229"/>
        <v>7986</v>
      </c>
      <c r="AN654">
        <f t="shared" ref="AN654:AS657" si="230">SUM(U656)</f>
        <v>2959</v>
      </c>
      <c r="AO654">
        <f t="shared" si="230"/>
        <v>0</v>
      </c>
      <c r="AP654">
        <f t="shared" si="230"/>
        <v>0</v>
      </c>
      <c r="AQ654">
        <f t="shared" si="230"/>
        <v>0</v>
      </c>
      <c r="AR654">
        <f t="shared" si="230"/>
        <v>0</v>
      </c>
      <c r="AS654" s="58">
        <f t="shared" si="230"/>
        <v>20059</v>
      </c>
    </row>
    <row r="655" spans="1:45" x14ac:dyDescent="0.2">
      <c r="A655" t="s">
        <v>4281</v>
      </c>
      <c r="B655">
        <f>SUM(FishSumAllPRN!B655)</f>
        <v>17069</v>
      </c>
      <c r="C655">
        <f>SUM(FishSumAllPRN!C655)</f>
        <v>17979</v>
      </c>
      <c r="D655">
        <f>SUM(FishSumAllPRN!D655)</f>
        <v>25419</v>
      </c>
      <c r="E655">
        <f>SUM(FishSumAllPRN!E655)</f>
        <v>8792</v>
      </c>
      <c r="F655">
        <f>SUM(FishSumAllPRN!F655)</f>
        <v>0</v>
      </c>
      <c r="G655">
        <f>SUM(FishSumAllPRN!G655)</f>
        <v>69259</v>
      </c>
      <c r="H655" s="54" t="s">
        <v>294</v>
      </c>
      <c r="I655" s="54"/>
      <c r="K655" t="s">
        <v>5674</v>
      </c>
      <c r="R655" s="38">
        <f>SUM(B645)</f>
        <v>176</v>
      </c>
      <c r="S655" s="38">
        <f>SUM(C645)</f>
        <v>140</v>
      </c>
      <c r="T655" s="38">
        <f>SUM(D645)</f>
        <v>19</v>
      </c>
      <c r="U655" s="38">
        <f>SUM(E645)</f>
        <v>12</v>
      </c>
      <c r="V655" s="38">
        <f>SUM(F645)</f>
        <v>0</v>
      </c>
      <c r="Z655">
        <f t="shared" si="215"/>
        <v>347</v>
      </c>
      <c r="AC655" s="50"/>
      <c r="AD655" s="37"/>
      <c r="AE655" s="37"/>
      <c r="AF655" s="37"/>
      <c r="AG655" s="37"/>
      <c r="AH655" s="37"/>
      <c r="AI655" s="37"/>
      <c r="AJ655" s="37" t="s">
        <v>5668</v>
      </c>
      <c r="AK655">
        <f t="shared" si="229"/>
        <v>175</v>
      </c>
      <c r="AL655">
        <f t="shared" si="229"/>
        <v>635</v>
      </c>
      <c r="AM655">
        <f t="shared" si="229"/>
        <v>2655</v>
      </c>
      <c r="AN655">
        <f t="shared" si="230"/>
        <v>1409</v>
      </c>
      <c r="AO655">
        <f t="shared" si="230"/>
        <v>0</v>
      </c>
      <c r="AP655">
        <f t="shared" si="230"/>
        <v>0</v>
      </c>
      <c r="AQ655">
        <f t="shared" si="230"/>
        <v>0</v>
      </c>
      <c r="AR655">
        <f t="shared" si="230"/>
        <v>0</v>
      </c>
      <c r="AS655" s="58">
        <f t="shared" si="230"/>
        <v>4874</v>
      </c>
    </row>
    <row r="656" spans="1:45" x14ac:dyDescent="0.2">
      <c r="A656" t="s">
        <v>4282</v>
      </c>
      <c r="B656">
        <f>SUM(FishSumAllPRN!B656)</f>
        <v>3631</v>
      </c>
      <c r="C656">
        <f>SUM(FishSumAllPRN!C656)</f>
        <v>5417</v>
      </c>
      <c r="D656">
        <f>SUM(FishSumAllPRN!D656)</f>
        <v>5795</v>
      </c>
      <c r="E656">
        <f>SUM(FishSumAllPRN!E656)</f>
        <v>123</v>
      </c>
      <c r="F656">
        <f>SUM(FishSumAllPRN!F656)</f>
        <v>0</v>
      </c>
      <c r="G656">
        <f>SUM(FishSumAllPRN!G656)</f>
        <v>14966</v>
      </c>
      <c r="H656" s="54" t="s">
        <v>294</v>
      </c>
      <c r="I656" s="54"/>
      <c r="K656" t="s">
        <v>5676</v>
      </c>
      <c r="R656" s="38">
        <f>SUM(B679)</f>
        <v>2504</v>
      </c>
      <c r="S656" s="38">
        <f>SUM(C679)</f>
        <v>6610</v>
      </c>
      <c r="T656" s="38">
        <f>SUM(D679)</f>
        <v>7986</v>
      </c>
      <c r="U656" s="38">
        <f>SUM(E679)</f>
        <v>2959</v>
      </c>
      <c r="V656" s="38">
        <f>SUM(F679)</f>
        <v>0</v>
      </c>
      <c r="Z656">
        <f t="shared" si="215"/>
        <v>20059</v>
      </c>
      <c r="AC656" s="50"/>
      <c r="AD656" s="37"/>
      <c r="AE656" s="37"/>
      <c r="AF656" s="37"/>
      <c r="AG656" s="37"/>
      <c r="AH656" s="37"/>
      <c r="AI656" s="37"/>
      <c r="AJ656" s="37" t="s">
        <v>5670</v>
      </c>
      <c r="AK656">
        <f t="shared" si="229"/>
        <v>0</v>
      </c>
      <c r="AL656">
        <f t="shared" si="229"/>
        <v>15050</v>
      </c>
      <c r="AM656">
        <f t="shared" si="229"/>
        <v>35216</v>
      </c>
      <c r="AN656">
        <f t="shared" si="230"/>
        <v>18240</v>
      </c>
      <c r="AO656">
        <f t="shared" si="230"/>
        <v>0</v>
      </c>
      <c r="AP656">
        <f t="shared" si="230"/>
        <v>0</v>
      </c>
      <c r="AQ656">
        <f t="shared" si="230"/>
        <v>0</v>
      </c>
      <c r="AR656">
        <f t="shared" si="230"/>
        <v>0</v>
      </c>
      <c r="AS656" s="58">
        <f t="shared" si="230"/>
        <v>68506</v>
      </c>
    </row>
    <row r="657" spans="1:45" x14ac:dyDescent="0.2">
      <c r="A657" t="s">
        <v>4283</v>
      </c>
      <c r="B657">
        <f>SUM(FishSumAllPRN!B657)</f>
        <v>8165</v>
      </c>
      <c r="C657">
        <f>SUM(FishSumAllPRN!C657)</f>
        <v>7912</v>
      </c>
      <c r="D657">
        <f>SUM(FishSumAllPRN!D657)</f>
        <v>4645</v>
      </c>
      <c r="E657">
        <f>SUM(FishSumAllPRN!E657)</f>
        <v>4050</v>
      </c>
      <c r="F657">
        <f>SUM(FishSumAllPRN!F657)</f>
        <v>0</v>
      </c>
      <c r="G657">
        <f>SUM(FishSumAllPRN!G657)</f>
        <v>24771</v>
      </c>
      <c r="H657" s="54" t="s">
        <v>294</v>
      </c>
      <c r="I657" s="54"/>
      <c r="K657" t="s">
        <v>5678</v>
      </c>
      <c r="R657" s="38">
        <f>SUM(B678)</f>
        <v>175</v>
      </c>
      <c r="S657" s="38">
        <f>SUM(C678)</f>
        <v>635</v>
      </c>
      <c r="T657" s="38">
        <f>SUM(D678)</f>
        <v>2655</v>
      </c>
      <c r="U657" s="38">
        <f>SUM(E678)</f>
        <v>1409</v>
      </c>
      <c r="V657" s="38">
        <f>SUM(F678)</f>
        <v>0</v>
      </c>
      <c r="Z657">
        <f t="shared" si="215"/>
        <v>4874</v>
      </c>
      <c r="AC657" s="50"/>
      <c r="AD657" s="37"/>
      <c r="AE657" s="37"/>
      <c r="AF657" s="37"/>
      <c r="AG657" s="37"/>
      <c r="AH657" s="37"/>
      <c r="AI657" s="37"/>
      <c r="AJ657" s="37" t="s">
        <v>5672</v>
      </c>
      <c r="AK657">
        <f t="shared" si="229"/>
        <v>3860</v>
      </c>
      <c r="AL657">
        <f t="shared" si="229"/>
        <v>21925</v>
      </c>
      <c r="AM657">
        <f t="shared" si="229"/>
        <v>51750</v>
      </c>
      <c r="AN657">
        <f t="shared" si="230"/>
        <v>13469</v>
      </c>
      <c r="AO657">
        <f t="shared" si="230"/>
        <v>0</v>
      </c>
      <c r="AP657">
        <f t="shared" si="230"/>
        <v>0</v>
      </c>
      <c r="AQ657">
        <f t="shared" si="230"/>
        <v>0</v>
      </c>
      <c r="AR657">
        <f t="shared" si="230"/>
        <v>0</v>
      </c>
      <c r="AS657" s="58">
        <f t="shared" si="230"/>
        <v>91004</v>
      </c>
    </row>
    <row r="658" spans="1:45" x14ac:dyDescent="0.2">
      <c r="A658" t="s">
        <v>4284</v>
      </c>
      <c r="B658">
        <f>SUM(FishSumAllPRN!B658)</f>
        <v>450</v>
      </c>
      <c r="C658">
        <f>SUM(FishSumAllPRN!C658)</f>
        <v>0</v>
      </c>
      <c r="D658">
        <f>SUM(FishSumAllPRN!D658)</f>
        <v>818</v>
      </c>
      <c r="E658">
        <f>SUM(FishSumAllPRN!E658)</f>
        <v>70</v>
      </c>
      <c r="F658">
        <f>SUM(FishSumAllPRN!F658)</f>
        <v>0</v>
      </c>
      <c r="G658">
        <f>SUM(FishSumAllPRN!G658)</f>
        <v>1338</v>
      </c>
      <c r="H658" s="54" t="s">
        <v>294</v>
      </c>
      <c r="I658" s="54"/>
      <c r="K658" t="s">
        <v>5679</v>
      </c>
      <c r="R658" s="38">
        <f>SUM(B675)</f>
        <v>0</v>
      </c>
      <c r="S658" s="38">
        <f>SUM(C675)</f>
        <v>15050</v>
      </c>
      <c r="T658" s="38">
        <f>SUM(D675)</f>
        <v>35216</v>
      </c>
      <c r="U658" s="38">
        <f>SUM(E675)</f>
        <v>18240</v>
      </c>
      <c r="V658" s="38">
        <f>SUM(F675)</f>
        <v>0</v>
      </c>
      <c r="Z658">
        <f t="shared" si="215"/>
        <v>68506</v>
      </c>
      <c r="AC658" s="50"/>
      <c r="AD658" s="37"/>
      <c r="AE658" s="37"/>
      <c r="AF658" s="37"/>
      <c r="AG658" s="37"/>
      <c r="AH658" s="37"/>
      <c r="AI658" s="37"/>
      <c r="AJ658" s="37" t="s">
        <v>145</v>
      </c>
      <c r="AK658">
        <v>0</v>
      </c>
      <c r="AL658">
        <v>0</v>
      </c>
      <c r="AM658">
        <f>SUM(T660)</f>
        <v>0</v>
      </c>
      <c r="AN658">
        <f>SUM(U660)</f>
        <v>60785</v>
      </c>
      <c r="AO658">
        <f>SUM(V660)</f>
        <v>0</v>
      </c>
      <c r="AS658" s="58">
        <f>SUM(AK658:AO658)</f>
        <v>60785</v>
      </c>
    </row>
    <row r="659" spans="1:45" x14ac:dyDescent="0.2">
      <c r="A659" t="s">
        <v>4285</v>
      </c>
      <c r="B659">
        <f>SUM(FishSumAllPRN!B659)</f>
        <v>10035</v>
      </c>
      <c r="C659">
        <f>SUM(FishSumAllPRN!C659)</f>
        <v>11128</v>
      </c>
      <c r="D659">
        <f>SUM(FishSumAllPRN!D659)</f>
        <v>9850</v>
      </c>
      <c r="E659">
        <f>SUM(FishSumAllPRN!E659)</f>
        <v>4325</v>
      </c>
      <c r="F659">
        <f>SUM(FishSumAllPRN!F659)</f>
        <v>0</v>
      </c>
      <c r="G659">
        <f>SUM(FishSumAllPRN!G659)</f>
        <v>35339</v>
      </c>
      <c r="H659" s="54" t="s">
        <v>294</v>
      </c>
      <c r="I659" s="54"/>
      <c r="K659" t="s">
        <v>5681</v>
      </c>
      <c r="R659" s="38">
        <f>SUM(B671)</f>
        <v>3860</v>
      </c>
      <c r="S659" s="38">
        <f>SUM(C671)</f>
        <v>21925</v>
      </c>
      <c r="T659" s="38">
        <f>SUM(D671)</f>
        <v>51750</v>
      </c>
      <c r="U659" s="38">
        <f>SUM(E671)</f>
        <v>13469</v>
      </c>
      <c r="V659" s="38">
        <f>SUM(F671)</f>
        <v>0</v>
      </c>
      <c r="Z659">
        <f t="shared" si="215"/>
        <v>91004</v>
      </c>
      <c r="AC659" s="60" t="s">
        <v>5677</v>
      </c>
      <c r="AD659" s="1952"/>
      <c r="AE659" s="1952"/>
      <c r="AF659" s="1952"/>
      <c r="AG659" s="1952"/>
      <c r="AH659" s="1952"/>
      <c r="AI659" s="1952"/>
      <c r="AJ659" s="1952"/>
      <c r="AK659" s="1953">
        <f t="shared" ref="AK659:AS659" si="231">SUM(AK644,AK648,AK654:AK658)</f>
        <v>10060</v>
      </c>
      <c r="AL659" s="1953">
        <f t="shared" si="231"/>
        <v>62714</v>
      </c>
      <c r="AM659" s="1953">
        <f t="shared" si="231"/>
        <v>144119</v>
      </c>
      <c r="AN659" s="1953">
        <f t="shared" si="231"/>
        <v>122911</v>
      </c>
      <c r="AO659" s="1953">
        <f t="shared" si="231"/>
        <v>2</v>
      </c>
      <c r="AP659" s="1953">
        <f t="shared" si="231"/>
        <v>0</v>
      </c>
      <c r="AQ659" s="1953">
        <f t="shared" si="231"/>
        <v>0</v>
      </c>
      <c r="AR659" s="1953">
        <f t="shared" si="231"/>
        <v>0</v>
      </c>
      <c r="AS659" s="1954">
        <f t="shared" si="231"/>
        <v>339806</v>
      </c>
    </row>
    <row r="660" spans="1:45" x14ac:dyDescent="0.2">
      <c r="A660" t="s">
        <v>4286</v>
      </c>
      <c r="B660">
        <f>SUM(FishSumAllPRN!B660)</f>
        <v>1097</v>
      </c>
      <c r="C660">
        <f>SUM(FishSumAllPRN!C660)</f>
        <v>253</v>
      </c>
      <c r="D660">
        <f>SUM(FishSumAllPRN!D660)</f>
        <v>456</v>
      </c>
      <c r="E660">
        <f>SUM(FishSumAllPRN!E660)</f>
        <v>70</v>
      </c>
      <c r="F660">
        <f>SUM(FishSumAllPRN!F660)</f>
        <v>0</v>
      </c>
      <c r="G660">
        <f>SUM(FishSumAllPRN!G660)</f>
        <v>1875</v>
      </c>
      <c r="H660" s="54" t="s">
        <v>294</v>
      </c>
      <c r="I660" s="54"/>
      <c r="K660" t="s">
        <v>5683</v>
      </c>
      <c r="R660" s="38">
        <f>SUM(B661)</f>
        <v>0</v>
      </c>
      <c r="S660" s="38">
        <f>SUM(C661)</f>
        <v>0</v>
      </c>
      <c r="T660" s="38">
        <f>SUM(D661)</f>
        <v>0</v>
      </c>
      <c r="U660" s="38">
        <f>SUM(E661)</f>
        <v>60785</v>
      </c>
      <c r="V660" s="38">
        <f>SUM(F661)</f>
        <v>0</v>
      </c>
      <c r="Z660">
        <f t="shared" si="215"/>
        <v>60785</v>
      </c>
      <c r="AC660" s="50"/>
      <c r="AD660" s="37"/>
      <c r="AE660" s="37"/>
      <c r="AF660" s="37"/>
      <c r="AG660" s="37"/>
      <c r="AH660" s="37"/>
      <c r="AI660" s="37"/>
      <c r="AJ660" s="37"/>
      <c r="AS660" s="58"/>
    </row>
    <row r="661" spans="1:45" x14ac:dyDescent="0.2">
      <c r="A661" t="s">
        <v>4287</v>
      </c>
      <c r="B661">
        <f>SUM(FishSumAllPRN!B661)</f>
        <v>0</v>
      </c>
      <c r="C661">
        <f>SUM(FishSumAllPRN!C661)</f>
        <v>0</v>
      </c>
      <c r="D661">
        <f>SUM(FishSumAllPRN!D661)</f>
        <v>0</v>
      </c>
      <c r="E661">
        <f>SUM(FishSumAllPRN!E661)</f>
        <v>60785</v>
      </c>
      <c r="F661">
        <f>SUM(FishSumAllPRN!F661)</f>
        <v>0</v>
      </c>
      <c r="G661">
        <f>SUM(FishSumAllPRN!G661)</f>
        <v>60785</v>
      </c>
      <c r="H661" s="54" t="s">
        <v>294</v>
      </c>
      <c r="I661" s="54"/>
      <c r="K661" t="s">
        <v>5685</v>
      </c>
      <c r="R661" s="38">
        <f>SUM(B659)</f>
        <v>10035</v>
      </c>
      <c r="S661" s="38">
        <f>SUM(C659)</f>
        <v>11128</v>
      </c>
      <c r="T661" s="38">
        <f>SUM(D659)</f>
        <v>9850</v>
      </c>
      <c r="U661" s="38">
        <f>SUM(E659)</f>
        <v>4325</v>
      </c>
      <c r="V661" s="38">
        <f>SUM(F659)</f>
        <v>0</v>
      </c>
      <c r="Z661">
        <f t="shared" si="215"/>
        <v>35338</v>
      </c>
      <c r="AC661" s="50" t="s">
        <v>5680</v>
      </c>
      <c r="AD661" s="37"/>
      <c r="AE661" s="37"/>
      <c r="AF661" s="37"/>
      <c r="AG661" s="37"/>
      <c r="AH661" s="37"/>
      <c r="AI661" s="37"/>
      <c r="AJ661" s="37"/>
      <c r="AS661" s="58"/>
    </row>
    <row r="662" spans="1:45" x14ac:dyDescent="0.2">
      <c r="A662" t="s">
        <v>4288</v>
      </c>
      <c r="B662">
        <f>SUM(FishSumAllPRN!B662)</f>
        <v>0</v>
      </c>
      <c r="C662">
        <f>SUM(FishSumAllPRN!C662)</f>
        <v>0</v>
      </c>
      <c r="D662">
        <f>SUM(FishSumAllPRN!D662)</f>
        <v>0</v>
      </c>
      <c r="E662">
        <f>SUM(FishSumAllPRN!E662)</f>
        <v>0</v>
      </c>
      <c r="F662">
        <f>SUM(FishSumAllPRN!F662)</f>
        <v>1452</v>
      </c>
      <c r="G662">
        <f>SUM(FishSumAllPRN!G662)</f>
        <v>1452</v>
      </c>
      <c r="H662" s="54" t="s">
        <v>294</v>
      </c>
      <c r="I662" s="54"/>
      <c r="K662" t="s">
        <v>5687</v>
      </c>
      <c r="R662" s="38">
        <f>SUM(B655)</f>
        <v>17069</v>
      </c>
      <c r="S662" s="38">
        <f>SUM(C655)</f>
        <v>17979</v>
      </c>
      <c r="T662" s="38">
        <f>SUM(D655)</f>
        <v>25419</v>
      </c>
      <c r="U662" s="38">
        <f>SUM(E655)</f>
        <v>8792</v>
      </c>
      <c r="V662" s="38">
        <f>SUM(F655)</f>
        <v>0</v>
      </c>
      <c r="Z662">
        <f t="shared" si="215"/>
        <v>69259</v>
      </c>
      <c r="AC662" s="50" t="s">
        <v>5644</v>
      </c>
      <c r="AD662" s="37"/>
      <c r="AE662" s="37"/>
      <c r="AF662" s="37"/>
      <c r="AG662" s="37"/>
      <c r="AH662" s="37"/>
      <c r="AI662" s="37"/>
      <c r="AJ662" s="37" t="s">
        <v>5682</v>
      </c>
      <c r="AK662">
        <f t="shared" ref="AK662:AM665" si="232">SUM(R647)</f>
        <v>1097</v>
      </c>
      <c r="AL662">
        <f t="shared" si="232"/>
        <v>253</v>
      </c>
      <c r="AM662">
        <f t="shared" si="232"/>
        <v>456</v>
      </c>
      <c r="AN662">
        <f t="shared" ref="AN662:AS665" si="233">SUM(U647)</f>
        <v>70</v>
      </c>
      <c r="AO662">
        <f t="shared" si="233"/>
        <v>0</v>
      </c>
      <c r="AP662">
        <f t="shared" si="233"/>
        <v>0</v>
      </c>
      <c r="AQ662">
        <f t="shared" si="233"/>
        <v>0</v>
      </c>
      <c r="AR662">
        <f t="shared" si="233"/>
        <v>0</v>
      </c>
      <c r="AS662" s="58">
        <f t="shared" si="233"/>
        <v>1876</v>
      </c>
    </row>
    <row r="663" spans="1:45" x14ac:dyDescent="0.2">
      <c r="A663" t="s">
        <v>4289</v>
      </c>
      <c r="B663">
        <f>SUM(FishSumAllPRN!B663)</f>
        <v>0</v>
      </c>
      <c r="C663">
        <f>SUM(FishSumAllPRN!C663)</f>
        <v>0</v>
      </c>
      <c r="D663">
        <f>SUM(FishSumAllPRN!D663)</f>
        <v>0</v>
      </c>
      <c r="E663">
        <f>SUM(FishSumAllPRN!E663)</f>
        <v>0</v>
      </c>
      <c r="F663">
        <f>SUM(FishSumAllPRN!F663)</f>
        <v>242881</v>
      </c>
      <c r="G663">
        <f>SUM(FishSumAllPRN!G663)</f>
        <v>242881</v>
      </c>
      <c r="H663" s="54" t="s">
        <v>294</v>
      </c>
      <c r="I663" s="54"/>
      <c r="K663" t="s">
        <v>5689</v>
      </c>
      <c r="R663" s="38">
        <f>SUM(B657)</f>
        <v>8165</v>
      </c>
      <c r="S663" s="38">
        <f>SUM(C657)</f>
        <v>7912</v>
      </c>
      <c r="T663" s="38">
        <f>SUM(D657)</f>
        <v>4645</v>
      </c>
      <c r="U663" s="38">
        <f>SUM(E657)</f>
        <v>4050</v>
      </c>
      <c r="V663" s="38">
        <f>SUM(F657)</f>
        <v>0</v>
      </c>
      <c r="Z663">
        <f t="shared" si="215"/>
        <v>24772</v>
      </c>
      <c r="AC663" s="50"/>
      <c r="AD663" s="37"/>
      <c r="AE663" s="37"/>
      <c r="AF663" s="37"/>
      <c r="AG663" s="37"/>
      <c r="AH663" s="37"/>
      <c r="AI663" s="37"/>
      <c r="AJ663" s="37" t="s">
        <v>5684</v>
      </c>
      <c r="AK663">
        <f t="shared" si="232"/>
        <v>3631</v>
      </c>
      <c r="AL663">
        <f t="shared" si="232"/>
        <v>5417</v>
      </c>
      <c r="AM663">
        <f t="shared" si="232"/>
        <v>5795</v>
      </c>
      <c r="AN663">
        <f t="shared" si="233"/>
        <v>123</v>
      </c>
      <c r="AO663">
        <f t="shared" si="233"/>
        <v>0</v>
      </c>
      <c r="AP663">
        <f t="shared" si="233"/>
        <v>0</v>
      </c>
      <c r="AQ663">
        <f t="shared" si="233"/>
        <v>0</v>
      </c>
      <c r="AR663">
        <f t="shared" si="233"/>
        <v>0</v>
      </c>
      <c r="AS663" s="58">
        <f t="shared" si="233"/>
        <v>14966</v>
      </c>
    </row>
    <row r="664" spans="1:45" x14ac:dyDescent="0.2">
      <c r="A664" t="s">
        <v>4290</v>
      </c>
      <c r="B664">
        <f>SUM(FishSumAllPRN!B664)</f>
        <v>0</v>
      </c>
      <c r="C664">
        <f>SUM(FishSumAllPRN!C664)</f>
        <v>0</v>
      </c>
      <c r="D664">
        <f>SUM(FishSumAllPRN!D664)</f>
        <v>0</v>
      </c>
      <c r="E664">
        <f>SUM(FishSumAllPRN!E664)</f>
        <v>0</v>
      </c>
      <c r="F664">
        <f>SUM(FishSumAllPRN!F664)</f>
        <v>48130</v>
      </c>
      <c r="G664">
        <f>SUM(FishSumAllPRN!G664)</f>
        <v>48130</v>
      </c>
      <c r="H664" s="54" t="s">
        <v>294</v>
      </c>
      <c r="I664" s="54"/>
      <c r="K664" t="s">
        <v>5691</v>
      </c>
      <c r="R664" s="38">
        <f>SUM(B653)</f>
        <v>1230</v>
      </c>
      <c r="S664" s="38">
        <f>SUM(C653)</f>
        <v>489</v>
      </c>
      <c r="T664" s="38">
        <f>SUM(D653)</f>
        <v>415</v>
      </c>
      <c r="U664" s="38">
        <f>SUM(E653)</f>
        <v>0</v>
      </c>
      <c r="V664" s="38">
        <f>SUM(F653)</f>
        <v>0</v>
      </c>
      <c r="Z664">
        <f t="shared" si="215"/>
        <v>2134</v>
      </c>
      <c r="AC664" s="50"/>
      <c r="AD664" s="37"/>
      <c r="AE664" s="37"/>
      <c r="AF664" s="37"/>
      <c r="AG664" s="37"/>
      <c r="AH664" s="37"/>
      <c r="AI664" s="37"/>
      <c r="AJ664" s="37" t="s">
        <v>5686</v>
      </c>
      <c r="AK664">
        <f t="shared" si="232"/>
        <v>450</v>
      </c>
      <c r="AL664">
        <f t="shared" si="232"/>
        <v>0</v>
      </c>
      <c r="AM664">
        <f t="shared" si="232"/>
        <v>818</v>
      </c>
      <c r="AN664">
        <f t="shared" si="233"/>
        <v>70</v>
      </c>
      <c r="AO664">
        <f t="shared" si="233"/>
        <v>0</v>
      </c>
      <c r="AP664">
        <f t="shared" si="233"/>
        <v>0</v>
      </c>
      <c r="AQ664">
        <f t="shared" si="233"/>
        <v>0</v>
      </c>
      <c r="AR664">
        <f t="shared" si="233"/>
        <v>0</v>
      </c>
      <c r="AS664" s="58">
        <f t="shared" si="233"/>
        <v>1338</v>
      </c>
    </row>
    <row r="665" spans="1:45" x14ac:dyDescent="0.2">
      <c r="A665" t="s">
        <v>4291</v>
      </c>
      <c r="B665">
        <f>SUM(FishSumAllPRN!B665)</f>
        <v>0</v>
      </c>
      <c r="C665">
        <f>SUM(FishSumAllPRN!C665)</f>
        <v>0</v>
      </c>
      <c r="D665">
        <f>SUM(FishSumAllPRN!D665)</f>
        <v>0</v>
      </c>
      <c r="E665">
        <f>SUM(FishSumAllPRN!E665)</f>
        <v>0</v>
      </c>
      <c r="F665">
        <f>SUM(FishSumAllPRN!F665)</f>
        <v>5084</v>
      </c>
      <c r="G665">
        <f>SUM(FishSumAllPRN!G665)</f>
        <v>5084</v>
      </c>
      <c r="H665" s="54" t="s">
        <v>294</v>
      </c>
      <c r="I665" s="54"/>
      <c r="K665" t="s">
        <v>5693</v>
      </c>
      <c r="R665">
        <f>SUM(B643*0.5)</f>
        <v>343</v>
      </c>
      <c r="S665">
        <f>SUM(C643*0.5)</f>
        <v>0</v>
      </c>
      <c r="T665">
        <f>SUM(D643*0.5)</f>
        <v>62</v>
      </c>
      <c r="U665">
        <f>SUM(E643*0.5)</f>
        <v>1</v>
      </c>
      <c r="V665">
        <f>SUM(F643*0.5)</f>
        <v>0</v>
      </c>
      <c r="Z665">
        <f t="shared" si="215"/>
        <v>406</v>
      </c>
      <c r="AC665" s="50"/>
      <c r="AD665" s="37"/>
      <c r="AE665" s="37"/>
      <c r="AF665" s="37"/>
      <c r="AG665" s="37"/>
      <c r="AH665" s="37"/>
      <c r="AI665" s="37"/>
      <c r="AJ665" s="37" t="s">
        <v>5688</v>
      </c>
      <c r="AK665">
        <f t="shared" si="232"/>
        <v>34</v>
      </c>
      <c r="AL665">
        <f t="shared" si="232"/>
        <v>79</v>
      </c>
      <c r="AM665">
        <f t="shared" si="232"/>
        <v>3</v>
      </c>
      <c r="AN665">
        <f t="shared" si="233"/>
        <v>0</v>
      </c>
      <c r="AO665">
        <f t="shared" si="233"/>
        <v>0</v>
      </c>
      <c r="AP665">
        <f t="shared" si="233"/>
        <v>0</v>
      </c>
      <c r="AQ665">
        <f t="shared" si="233"/>
        <v>0</v>
      </c>
      <c r="AR665">
        <f t="shared" si="233"/>
        <v>0</v>
      </c>
      <c r="AS665" s="58">
        <f t="shared" si="233"/>
        <v>116</v>
      </c>
    </row>
    <row r="666" spans="1:45" x14ac:dyDescent="0.2">
      <c r="A666" t="s">
        <v>4292</v>
      </c>
      <c r="B666">
        <f>SUM(FishSumAllPRN!B666)</f>
        <v>0</v>
      </c>
      <c r="C666">
        <f>SUM(FishSumAllPRN!C666)</f>
        <v>0</v>
      </c>
      <c r="D666">
        <f>SUM(FishSumAllPRN!D666)</f>
        <v>0</v>
      </c>
      <c r="E666">
        <f>SUM(FishSumAllPRN!E666)</f>
        <v>0</v>
      </c>
      <c r="F666">
        <f>SUM(FishSumAllPRN!F666)</f>
        <v>1441</v>
      </c>
      <c r="G666">
        <f>SUM(FishSumAllPRN!G666)</f>
        <v>1441</v>
      </c>
      <c r="H666" s="54" t="s">
        <v>294</v>
      </c>
      <c r="I666" s="54"/>
      <c r="K666" t="s">
        <v>5696</v>
      </c>
      <c r="R666">
        <f>SUM(B643*0.5)</f>
        <v>343</v>
      </c>
      <c r="S666">
        <f>SUM(C643*0.5)</f>
        <v>0</v>
      </c>
      <c r="T666">
        <f>SUM(D643*0.5)</f>
        <v>62</v>
      </c>
      <c r="U666">
        <f>SUM(E643*0.5)</f>
        <v>1</v>
      </c>
      <c r="V666">
        <f>SUM(F643*0.5)</f>
        <v>0</v>
      </c>
      <c r="Z666">
        <f t="shared" si="215"/>
        <v>406</v>
      </c>
      <c r="AC666" s="50"/>
      <c r="AD666" s="37"/>
      <c r="AE666" s="37"/>
      <c r="AF666" s="37"/>
      <c r="AG666" s="37"/>
      <c r="AH666" s="37"/>
      <c r="AI666" s="37"/>
      <c r="AJ666" s="37" t="s">
        <v>5690</v>
      </c>
      <c r="AK666">
        <f>SUM(R651,R652)</f>
        <v>0</v>
      </c>
      <c r="AL666">
        <f>SUM(S651,S652)</f>
        <v>0</v>
      </c>
      <c r="AM666">
        <f>SUM(T651,T652)</f>
        <v>0</v>
      </c>
      <c r="AN666">
        <f>SUM(U651,U652)</f>
        <v>0</v>
      </c>
      <c r="AO666">
        <f>SUM(V651,V652)</f>
        <v>0</v>
      </c>
      <c r="AP666">
        <f>SUM(W651)</f>
        <v>0</v>
      </c>
      <c r="AQ666">
        <f>SUM(X651)</f>
        <v>0</v>
      </c>
      <c r="AR666">
        <f>SUM(Y651)</f>
        <v>0</v>
      </c>
      <c r="AS666" s="58">
        <f>SUM(Z651,26)</f>
        <v>26</v>
      </c>
    </row>
    <row r="667" spans="1:45" x14ac:dyDescent="0.2">
      <c r="A667" t="s">
        <v>4293</v>
      </c>
      <c r="B667">
        <f>SUM(FishSumAllPRN!B667)</f>
        <v>0</v>
      </c>
      <c r="C667">
        <f>SUM(FishSumAllPRN!C667)</f>
        <v>0</v>
      </c>
      <c r="D667">
        <f>SUM(FishSumAllPRN!D667)</f>
        <v>0</v>
      </c>
      <c r="E667">
        <f>SUM(FishSumAllPRN!E667)</f>
        <v>0</v>
      </c>
      <c r="F667">
        <f>SUM(FishSumAllPRN!F667)</f>
        <v>2399</v>
      </c>
      <c r="G667">
        <f>SUM(FishSumAllPRN!G667)</f>
        <v>2399</v>
      </c>
      <c r="H667" s="54" t="s">
        <v>294</v>
      </c>
      <c r="I667" s="54"/>
      <c r="K667" t="s">
        <v>5697</v>
      </c>
      <c r="R667" s="38">
        <f>SUM(B641)</f>
        <v>610</v>
      </c>
      <c r="S667" s="38">
        <f>SUM(C641)</f>
        <v>96</v>
      </c>
      <c r="T667" s="38">
        <f>SUM(D641)</f>
        <v>46</v>
      </c>
      <c r="U667" s="38">
        <f>SUM(E641)</f>
        <v>1</v>
      </c>
      <c r="V667" s="38">
        <f>SUM(F641)</f>
        <v>0</v>
      </c>
      <c r="Z667">
        <f t="shared" si="215"/>
        <v>753</v>
      </c>
      <c r="AC667" s="50"/>
      <c r="AD667" s="37"/>
      <c r="AE667" s="37"/>
      <c r="AF667" s="37"/>
      <c r="AG667" s="37"/>
      <c r="AH667" s="37"/>
      <c r="AI667" s="37"/>
      <c r="AJ667" s="37" t="s">
        <v>5692</v>
      </c>
      <c r="AK667">
        <f t="shared" ref="AK667:AM668" si="234">SUM(R653)</f>
        <v>0</v>
      </c>
      <c r="AL667">
        <f t="shared" si="234"/>
        <v>249</v>
      </c>
      <c r="AM667">
        <f t="shared" si="234"/>
        <v>54</v>
      </c>
      <c r="AN667">
        <f t="shared" ref="AN667:AS668" si="235">SUM(U653)</f>
        <v>0</v>
      </c>
      <c r="AO667">
        <f t="shared" si="235"/>
        <v>0</v>
      </c>
      <c r="AP667">
        <f t="shared" si="235"/>
        <v>0</v>
      </c>
      <c r="AQ667">
        <f t="shared" si="235"/>
        <v>0</v>
      </c>
      <c r="AR667">
        <f t="shared" si="235"/>
        <v>0</v>
      </c>
      <c r="AS667" s="58">
        <f t="shared" si="235"/>
        <v>303</v>
      </c>
    </row>
    <row r="668" spans="1:45" x14ac:dyDescent="0.2">
      <c r="A668" t="s">
        <v>4294</v>
      </c>
      <c r="B668">
        <f>SUM(FishSumAllPRN!B668)</f>
        <v>0</v>
      </c>
      <c r="C668">
        <f>SUM(FishSumAllPRN!C668)</f>
        <v>0</v>
      </c>
      <c r="D668">
        <f>SUM(FishSumAllPRN!D668)</f>
        <v>0</v>
      </c>
      <c r="E668">
        <f>SUM(FishSumAllPRN!E668)</f>
        <v>0</v>
      </c>
      <c r="F668">
        <f>SUM(FishSumAllPRN!F668)</f>
        <v>10897</v>
      </c>
      <c r="G668">
        <f>SUM(FishSumAllPRN!G668)</f>
        <v>10897</v>
      </c>
      <c r="H668" s="54" t="s">
        <v>294</v>
      </c>
      <c r="I668" s="54"/>
      <c r="K668" t="s">
        <v>5698</v>
      </c>
      <c r="R668" s="38">
        <f>SUM(B682)</f>
        <v>0</v>
      </c>
      <c r="S668" s="38">
        <f>SUM(C682)</f>
        <v>0</v>
      </c>
      <c r="T668" s="38">
        <f>SUM(D682)</f>
        <v>218</v>
      </c>
      <c r="U668" s="38">
        <f>SUM(E682)</f>
        <v>172</v>
      </c>
      <c r="V668" s="38">
        <f>SUM(F682)</f>
        <v>1</v>
      </c>
      <c r="Z668">
        <f t="shared" si="215"/>
        <v>391</v>
      </c>
      <c r="AC668" s="50"/>
      <c r="AD668" s="37"/>
      <c r="AE668" s="37"/>
      <c r="AF668" s="37"/>
      <c r="AG668" s="37"/>
      <c r="AH668" s="37"/>
      <c r="AI668" s="37"/>
      <c r="AJ668" s="37" t="s">
        <v>5694</v>
      </c>
      <c r="AK668">
        <f t="shared" si="234"/>
        <v>409</v>
      </c>
      <c r="AL668">
        <f t="shared" si="234"/>
        <v>51</v>
      </c>
      <c r="AM668">
        <f t="shared" si="234"/>
        <v>14</v>
      </c>
      <c r="AN668">
        <f t="shared" si="235"/>
        <v>23</v>
      </c>
      <c r="AO668">
        <f t="shared" si="235"/>
        <v>0</v>
      </c>
      <c r="AP668">
        <f t="shared" si="235"/>
        <v>0</v>
      </c>
      <c r="AQ668">
        <f t="shared" si="235"/>
        <v>0</v>
      </c>
      <c r="AR668">
        <f t="shared" si="235"/>
        <v>0</v>
      </c>
      <c r="AS668" s="58">
        <f t="shared" si="235"/>
        <v>497</v>
      </c>
    </row>
    <row r="669" spans="1:45" x14ac:dyDescent="0.2">
      <c r="A669" t="s">
        <v>4295</v>
      </c>
      <c r="B669">
        <f>SUM(FishSumAllPRN!B669)</f>
        <v>0</v>
      </c>
      <c r="C669">
        <f>SUM(FishSumAllPRN!C669)</f>
        <v>0</v>
      </c>
      <c r="D669">
        <f>SUM(FishSumAllPRN!D669)</f>
        <v>0</v>
      </c>
      <c r="E669">
        <f>SUM(FishSumAllPRN!E669)</f>
        <v>0</v>
      </c>
      <c r="F669">
        <f>SUM(FishSumAllPRN!F669)</f>
        <v>0</v>
      </c>
      <c r="G669">
        <f>SUM(FishSumAllPRN!G669)</f>
        <v>0</v>
      </c>
      <c r="H669" s="54" t="s">
        <v>294</v>
      </c>
      <c r="I669" s="54"/>
      <c r="K669" t="s">
        <v>5699</v>
      </c>
      <c r="R669" s="38">
        <f>SUM(B729:B730)</f>
        <v>27</v>
      </c>
      <c r="S669" s="38">
        <f>SUM(C729:C730)</f>
        <v>520</v>
      </c>
      <c r="T669" s="38">
        <f>SUM(D729:D730)</f>
        <v>3949</v>
      </c>
      <c r="U669" s="38">
        <f>SUM(E729:E730)</f>
        <v>23615</v>
      </c>
      <c r="V669" s="38">
        <f>SUM(F729:F730)</f>
        <v>0</v>
      </c>
      <c r="Z669">
        <f t="shared" si="215"/>
        <v>28111</v>
      </c>
      <c r="AC669" s="50"/>
      <c r="AD669" s="37"/>
      <c r="AE669" s="37"/>
      <c r="AF669" s="37"/>
      <c r="AG669" s="37"/>
      <c r="AH669" s="37"/>
      <c r="AI669" s="37"/>
      <c r="AJ669" s="37"/>
      <c r="AS669" s="58"/>
    </row>
    <row r="670" spans="1:45" x14ac:dyDescent="0.2">
      <c r="A670" t="s">
        <v>4296</v>
      </c>
      <c r="B670">
        <f>SUM(FishSumAllPRN!B670)</f>
        <v>0</v>
      </c>
      <c r="C670">
        <f>SUM(FishSumAllPRN!C670)</f>
        <v>0</v>
      </c>
      <c r="D670">
        <f>SUM(FishSumAllPRN!D670)</f>
        <v>0</v>
      </c>
      <c r="E670">
        <f>SUM(FishSumAllPRN!E670)</f>
        <v>0</v>
      </c>
      <c r="F670">
        <f>SUM(FishSumAllPRN!F670)</f>
        <v>0</v>
      </c>
      <c r="G670">
        <f>SUM(FishSumAllPRN!G670)</f>
        <v>0</v>
      </c>
      <c r="H670" s="54" t="s">
        <v>294</v>
      </c>
      <c r="I670" s="54"/>
      <c r="K670" t="s">
        <v>5700</v>
      </c>
      <c r="R670" s="38">
        <f>SUM(B731)</f>
        <v>0</v>
      </c>
      <c r="S670" s="38">
        <f>SUM(C731)</f>
        <v>97</v>
      </c>
      <c r="T670" s="38">
        <f>SUM(D731)</f>
        <v>533</v>
      </c>
      <c r="U670" s="38">
        <f>SUM(E731)</f>
        <v>4379</v>
      </c>
      <c r="V670" s="38">
        <f>SUM(F731)</f>
        <v>0</v>
      </c>
      <c r="Z670">
        <f t="shared" si="215"/>
        <v>5009</v>
      </c>
      <c r="AC670" s="50" t="s">
        <v>5663</v>
      </c>
      <c r="AD670" s="37"/>
      <c r="AE670" s="37"/>
      <c r="AF670" s="37"/>
      <c r="AG670" s="37"/>
      <c r="AH670" s="37"/>
      <c r="AI670" s="37"/>
      <c r="AJ670" s="37" t="s">
        <v>5682</v>
      </c>
      <c r="AK670">
        <f t="shared" ref="AK670:AM673" si="236">SUM(R661)</f>
        <v>10035</v>
      </c>
      <c r="AL670">
        <f t="shared" si="236"/>
        <v>11128</v>
      </c>
      <c r="AM670">
        <f t="shared" si="236"/>
        <v>9850</v>
      </c>
      <c r="AN670">
        <f t="shared" ref="AN670:AS673" si="237">SUM(U661)</f>
        <v>4325</v>
      </c>
      <c r="AO670">
        <f t="shared" si="237"/>
        <v>0</v>
      </c>
      <c r="AP670">
        <f t="shared" si="237"/>
        <v>0</v>
      </c>
      <c r="AQ670">
        <f t="shared" si="237"/>
        <v>0</v>
      </c>
      <c r="AR670">
        <f t="shared" si="237"/>
        <v>0</v>
      </c>
      <c r="AS670" s="58">
        <f t="shared" si="237"/>
        <v>35338</v>
      </c>
    </row>
    <row r="671" spans="1:45" x14ac:dyDescent="0.2">
      <c r="A671" t="s">
        <v>4297</v>
      </c>
      <c r="B671">
        <f>SUM(FishSumAllPRN!B671)</f>
        <v>3860</v>
      </c>
      <c r="C671">
        <f>SUM(FishSumAllPRN!C671)</f>
        <v>21925</v>
      </c>
      <c r="D671">
        <f>SUM(FishSumAllPRN!D671)</f>
        <v>51750</v>
      </c>
      <c r="E671">
        <f>SUM(FishSumAllPRN!E671)</f>
        <v>13469</v>
      </c>
      <c r="F671">
        <f>SUM(FishSumAllPRN!F671)</f>
        <v>0</v>
      </c>
      <c r="G671">
        <f>SUM(FishSumAllPRN!G671)</f>
        <v>91005</v>
      </c>
      <c r="H671" s="54" t="s">
        <v>294</v>
      </c>
      <c r="I671" s="54"/>
      <c r="K671" t="s">
        <v>5701</v>
      </c>
      <c r="R671" s="38">
        <f t="shared" ref="R671:T672" si="238">SUM(B744)</f>
        <v>0</v>
      </c>
      <c r="S671" s="38">
        <f t="shared" si="238"/>
        <v>0</v>
      </c>
      <c r="T671" s="38">
        <f t="shared" si="238"/>
        <v>289</v>
      </c>
      <c r="U671" s="38">
        <f>SUM(E744)</f>
        <v>2518</v>
      </c>
      <c r="V671" s="38">
        <f>SUM(F744)</f>
        <v>65</v>
      </c>
      <c r="Z671">
        <f t="shared" si="215"/>
        <v>2872</v>
      </c>
      <c r="AC671" s="50"/>
      <c r="AD671" s="37"/>
      <c r="AE671" s="37"/>
      <c r="AF671" s="37"/>
      <c r="AG671" s="37"/>
      <c r="AH671" s="37"/>
      <c r="AI671" s="37"/>
      <c r="AJ671" s="37" t="s">
        <v>5684</v>
      </c>
      <c r="AK671">
        <f t="shared" si="236"/>
        <v>17069</v>
      </c>
      <c r="AL671">
        <f t="shared" si="236"/>
        <v>17979</v>
      </c>
      <c r="AM671">
        <f t="shared" si="236"/>
        <v>25419</v>
      </c>
      <c r="AN671">
        <f t="shared" si="237"/>
        <v>8792</v>
      </c>
      <c r="AO671">
        <f t="shared" si="237"/>
        <v>0</v>
      </c>
      <c r="AP671">
        <f t="shared" si="237"/>
        <v>0</v>
      </c>
      <c r="AQ671">
        <f t="shared" si="237"/>
        <v>0</v>
      </c>
      <c r="AR671">
        <f t="shared" si="237"/>
        <v>0</v>
      </c>
      <c r="AS671" s="58">
        <f t="shared" si="237"/>
        <v>69259</v>
      </c>
    </row>
    <row r="672" spans="1:45" x14ac:dyDescent="0.2">
      <c r="A672" t="s">
        <v>4298</v>
      </c>
      <c r="B672">
        <f>SUM(FishSumAllPRN!B672)</f>
        <v>1578</v>
      </c>
      <c r="C672">
        <f>SUM(FishSumAllPRN!C672)</f>
        <v>4194</v>
      </c>
      <c r="D672">
        <f>SUM(FishSumAllPRN!D672)</f>
        <v>3602</v>
      </c>
      <c r="E672">
        <f>SUM(FishSumAllPRN!E672)</f>
        <v>7071</v>
      </c>
      <c r="F672">
        <f>SUM(FishSumAllPRN!F672)</f>
        <v>0</v>
      </c>
      <c r="G672">
        <f>SUM(FishSumAllPRN!G672)</f>
        <v>16445</v>
      </c>
      <c r="H672" s="54" t="s">
        <v>294</v>
      </c>
      <c r="I672" s="54"/>
      <c r="K672" t="s">
        <v>5702</v>
      </c>
      <c r="R672" s="38">
        <f t="shared" si="238"/>
        <v>0</v>
      </c>
      <c r="S672" s="38">
        <f t="shared" si="238"/>
        <v>1392</v>
      </c>
      <c r="T672" s="38">
        <f t="shared" si="238"/>
        <v>3091</v>
      </c>
      <c r="U672" s="38">
        <f>SUM(E745)</f>
        <v>6799</v>
      </c>
      <c r="V672" s="38">
        <f>SUM(F745)</f>
        <v>0</v>
      </c>
      <c r="Z672">
        <f t="shared" si="215"/>
        <v>11282</v>
      </c>
      <c r="AC672" s="50"/>
      <c r="AD672" s="37"/>
      <c r="AE672" s="37"/>
      <c r="AF672" s="37"/>
      <c r="AG672" s="37"/>
      <c r="AH672" s="37"/>
      <c r="AI672" s="37"/>
      <c r="AJ672" s="37" t="s">
        <v>5686</v>
      </c>
      <c r="AK672">
        <f t="shared" si="236"/>
        <v>8165</v>
      </c>
      <c r="AL672">
        <f t="shared" si="236"/>
        <v>7912</v>
      </c>
      <c r="AM672">
        <f t="shared" si="236"/>
        <v>4645</v>
      </c>
      <c r="AN672">
        <f t="shared" si="237"/>
        <v>4050</v>
      </c>
      <c r="AO672">
        <f t="shared" si="237"/>
        <v>0</v>
      </c>
      <c r="AP672">
        <f t="shared" si="237"/>
        <v>0</v>
      </c>
      <c r="AQ672">
        <f t="shared" si="237"/>
        <v>0</v>
      </c>
      <c r="AR672">
        <f t="shared" si="237"/>
        <v>0</v>
      </c>
      <c r="AS672" s="58">
        <f t="shared" si="237"/>
        <v>24772</v>
      </c>
    </row>
    <row r="673" spans="1:45" x14ac:dyDescent="0.2">
      <c r="A673" t="s">
        <v>4299</v>
      </c>
      <c r="B673">
        <f>SUM(FishSumAllPRN!B673)</f>
        <v>898</v>
      </c>
      <c r="C673">
        <f>SUM(FishSumAllPRN!C673)</f>
        <v>3050</v>
      </c>
      <c r="D673">
        <f>SUM(FishSumAllPRN!D673)</f>
        <v>5262</v>
      </c>
      <c r="E673">
        <f>SUM(FishSumAllPRN!E673)</f>
        <v>6319</v>
      </c>
      <c r="F673">
        <f>SUM(FishSumAllPRN!F673)</f>
        <v>0</v>
      </c>
      <c r="G673">
        <f>SUM(FishSumAllPRN!G673)</f>
        <v>15529</v>
      </c>
      <c r="H673" s="54" t="s">
        <v>294</v>
      </c>
      <c r="I673" s="54"/>
      <c r="K673" t="s">
        <v>5703</v>
      </c>
      <c r="R673" s="38">
        <f>SUM(B790)</f>
        <v>0</v>
      </c>
      <c r="S673" s="38">
        <f>SUM(C790)</f>
        <v>0</v>
      </c>
      <c r="T673" s="38">
        <f>SUM(D790)</f>
        <v>1981</v>
      </c>
      <c r="U673" s="38">
        <f>SUM(E790)</f>
        <v>4837</v>
      </c>
      <c r="V673" s="38">
        <f>SUM(F790)</f>
        <v>803</v>
      </c>
      <c r="Z673">
        <f t="shared" si="215"/>
        <v>7621</v>
      </c>
      <c r="AC673" s="50"/>
      <c r="AD673" s="37"/>
      <c r="AE673" s="37"/>
      <c r="AF673" s="37"/>
      <c r="AG673" s="37"/>
      <c r="AH673" s="37"/>
      <c r="AI673" s="37"/>
      <c r="AJ673" s="37" t="s">
        <v>5688</v>
      </c>
      <c r="AK673">
        <f t="shared" si="236"/>
        <v>1230</v>
      </c>
      <c r="AL673">
        <f t="shared" si="236"/>
        <v>489</v>
      </c>
      <c r="AM673">
        <f t="shared" si="236"/>
        <v>415</v>
      </c>
      <c r="AN673">
        <f t="shared" si="237"/>
        <v>0</v>
      </c>
      <c r="AO673">
        <f t="shared" si="237"/>
        <v>0</v>
      </c>
      <c r="AP673">
        <f t="shared" si="237"/>
        <v>0</v>
      </c>
      <c r="AQ673">
        <f t="shared" si="237"/>
        <v>0</v>
      </c>
      <c r="AR673">
        <f t="shared" si="237"/>
        <v>0</v>
      </c>
      <c r="AS673" s="58">
        <f t="shared" si="237"/>
        <v>2134</v>
      </c>
    </row>
    <row r="674" spans="1:45" x14ac:dyDescent="0.2">
      <c r="A674" t="s">
        <v>4300</v>
      </c>
      <c r="B674">
        <f>SUM(FishSumAllPRN!B674)</f>
        <v>18</v>
      </c>
      <c r="C674">
        <f>SUM(FishSumAllPRN!C674)</f>
        <v>86</v>
      </c>
      <c r="D674">
        <f>SUM(FishSumAllPRN!D674)</f>
        <v>191</v>
      </c>
      <c r="E674">
        <f>SUM(FishSumAllPRN!E674)</f>
        <v>174</v>
      </c>
      <c r="F674">
        <f>SUM(FishSumAllPRN!F674)</f>
        <v>0</v>
      </c>
      <c r="G674">
        <f>SUM(FishSumAllPRN!G674)</f>
        <v>469</v>
      </c>
      <c r="H674" s="54" t="s">
        <v>294</v>
      </c>
      <c r="I674" s="54"/>
      <c r="K674" t="s">
        <v>5705</v>
      </c>
      <c r="R674" s="38">
        <f>SUM(B756,B767,B774)</f>
        <v>3619</v>
      </c>
      <c r="S674" s="38">
        <f>SUM(C756,C767,C774)</f>
        <v>4021</v>
      </c>
      <c r="T674" s="38">
        <f>SUM(D756,D767,D774)</f>
        <v>6563</v>
      </c>
      <c r="U674" s="38">
        <f>SUM(E756,E767,E774)</f>
        <v>15184</v>
      </c>
      <c r="V674" s="38">
        <f>SUM(F756,F767,F774)</f>
        <v>749</v>
      </c>
      <c r="Z674">
        <f t="shared" si="215"/>
        <v>30136</v>
      </c>
      <c r="AC674" s="50"/>
      <c r="AD674" s="37"/>
      <c r="AE674" s="37"/>
      <c r="AF674" s="37"/>
      <c r="AG674" s="37"/>
      <c r="AH674" s="37"/>
      <c r="AI674" s="37"/>
      <c r="AJ674" s="37" t="s">
        <v>5690</v>
      </c>
      <c r="AK674">
        <f>SUM(R665,R666)</f>
        <v>686</v>
      </c>
      <c r="AL674">
        <f>SUM(S665,S666)</f>
        <v>0</v>
      </c>
      <c r="AM674">
        <f>SUM(T665,T666)</f>
        <v>124</v>
      </c>
      <c r="AN674">
        <f>SUM(U665,U666)</f>
        <v>2</v>
      </c>
      <c r="AO674">
        <f>SUM(V665,V666)</f>
        <v>0</v>
      </c>
      <c r="AP674">
        <f>SUM(W665)</f>
        <v>0</v>
      </c>
      <c r="AQ674">
        <f>SUM(X665)</f>
        <v>0</v>
      </c>
      <c r="AR674">
        <f>SUM(Y665)</f>
        <v>0</v>
      </c>
      <c r="AS674" s="59">
        <f>SUM(Z665,Z666)</f>
        <v>812</v>
      </c>
    </row>
    <row r="675" spans="1:45" x14ac:dyDescent="0.2">
      <c r="A675" t="s">
        <v>4301</v>
      </c>
      <c r="B675">
        <f>SUM(FishSumAllPRN!B675)</f>
        <v>0</v>
      </c>
      <c r="C675">
        <f>SUM(FishSumAllPRN!C675)</f>
        <v>15050</v>
      </c>
      <c r="D675">
        <f>SUM(FishSumAllPRN!D675)</f>
        <v>35216</v>
      </c>
      <c r="E675">
        <f>SUM(FishSumAllPRN!E675)</f>
        <v>18240</v>
      </c>
      <c r="F675">
        <f>SUM(FishSumAllPRN!F675)</f>
        <v>0</v>
      </c>
      <c r="G675">
        <f>SUM(FishSumAllPRN!G675)</f>
        <v>68505</v>
      </c>
      <c r="H675" s="54" t="s">
        <v>294</v>
      </c>
      <c r="I675" s="54"/>
      <c r="K675" t="s">
        <v>5707</v>
      </c>
      <c r="R675" s="38">
        <f>SUM(B809:B811,B825:B826)</f>
        <v>2205</v>
      </c>
      <c r="S675" s="38">
        <f>SUM(C809:C811,C825:C826)</f>
        <v>48936</v>
      </c>
      <c r="T675" s="38">
        <f>SUM(D809:D811,D825:D826)</f>
        <v>83632</v>
      </c>
      <c r="U675" s="38">
        <f>SUM(E809:E811,E825:E826)</f>
        <v>3600</v>
      </c>
      <c r="V675" s="38">
        <f>SUM(F809:F811,F825:F826)</f>
        <v>0</v>
      </c>
      <c r="Z675">
        <f t="shared" si="215"/>
        <v>138373</v>
      </c>
      <c r="AC675" s="50"/>
      <c r="AD675" s="37"/>
      <c r="AE675" s="37"/>
      <c r="AF675" s="37"/>
      <c r="AG675" s="37"/>
      <c r="AH675" s="37"/>
      <c r="AI675" s="37"/>
      <c r="AJ675" s="37" t="s">
        <v>5692</v>
      </c>
      <c r="AK675">
        <f t="shared" ref="AK675:AS675" si="239">SUM(R667)</f>
        <v>610</v>
      </c>
      <c r="AL675">
        <f t="shared" si="239"/>
        <v>96</v>
      </c>
      <c r="AM675">
        <f t="shared" si="239"/>
        <v>46</v>
      </c>
      <c r="AN675">
        <f t="shared" si="239"/>
        <v>1</v>
      </c>
      <c r="AO675">
        <f t="shared" si="239"/>
        <v>0</v>
      </c>
      <c r="AP675">
        <f t="shared" si="239"/>
        <v>0</v>
      </c>
      <c r="AQ675">
        <f t="shared" si="239"/>
        <v>0</v>
      </c>
      <c r="AR675">
        <f t="shared" si="239"/>
        <v>0</v>
      </c>
      <c r="AS675" s="58">
        <f t="shared" si="239"/>
        <v>753</v>
      </c>
    </row>
    <row r="676" spans="1:45" x14ac:dyDescent="0.2">
      <c r="A676" t="s">
        <v>4302</v>
      </c>
      <c r="B676">
        <f>SUM(FishSumAllPRN!B676)</f>
        <v>172</v>
      </c>
      <c r="C676">
        <f>SUM(FishSumAllPRN!C676)</f>
        <v>1695</v>
      </c>
      <c r="D676">
        <f>SUM(FishSumAllPRN!D676)</f>
        <v>4511</v>
      </c>
      <c r="E676">
        <f>SUM(FishSumAllPRN!E676)</f>
        <v>1365</v>
      </c>
      <c r="F676">
        <f>SUM(FishSumAllPRN!F676)</f>
        <v>0</v>
      </c>
      <c r="G676">
        <f>SUM(FishSumAllPRN!G676)</f>
        <v>7743</v>
      </c>
      <c r="H676" s="54" t="s">
        <v>294</v>
      </c>
      <c r="I676" s="54"/>
      <c r="K676" t="s">
        <v>5708</v>
      </c>
      <c r="R676" s="38">
        <f t="shared" ref="R676:T677" si="240">SUM(B812)</f>
        <v>45</v>
      </c>
      <c r="S676" s="38">
        <f t="shared" si="240"/>
        <v>4294</v>
      </c>
      <c r="T676" s="38">
        <f t="shared" si="240"/>
        <v>2077</v>
      </c>
      <c r="U676" s="38">
        <f>SUM(E812)</f>
        <v>149</v>
      </c>
      <c r="V676" s="38">
        <f>SUM(F812)</f>
        <v>0</v>
      </c>
      <c r="Z676">
        <f t="shared" si="215"/>
        <v>6565</v>
      </c>
      <c r="AC676" s="50"/>
      <c r="AD676" s="37"/>
      <c r="AE676" s="37"/>
      <c r="AF676" s="37"/>
      <c r="AG676" s="37"/>
      <c r="AH676" s="37"/>
      <c r="AI676" s="37"/>
      <c r="AJ676" s="37" t="s">
        <v>5694</v>
      </c>
      <c r="AK676" s="38">
        <f>SUM(R655)</f>
        <v>176</v>
      </c>
      <c r="AL676" s="38">
        <f>SUM(S655)</f>
        <v>140</v>
      </c>
      <c r="AM676" s="38">
        <f>SUM(T655)</f>
        <v>19</v>
      </c>
      <c r="AN676" s="38">
        <f>SUM(U655)</f>
        <v>12</v>
      </c>
      <c r="AO676" s="38">
        <f>SUM(V655)</f>
        <v>0</v>
      </c>
      <c r="AP676">
        <f>SUM(W668)</f>
        <v>0</v>
      </c>
      <c r="AQ676">
        <f>SUM(X668)</f>
        <v>0</v>
      </c>
      <c r="AR676">
        <f>SUM(Y668)</f>
        <v>0</v>
      </c>
      <c r="AS676" s="58">
        <f>SUM(Z655)</f>
        <v>347</v>
      </c>
    </row>
    <row r="677" spans="1:45" x14ac:dyDescent="0.2">
      <c r="A677" t="s">
        <v>4303</v>
      </c>
      <c r="B677">
        <f>SUM(FishSumAllPRN!B677)</f>
        <v>171</v>
      </c>
      <c r="C677">
        <f>SUM(FishSumAllPRN!C677)</f>
        <v>2263</v>
      </c>
      <c r="D677">
        <f>SUM(FishSumAllPRN!D677)</f>
        <v>9108</v>
      </c>
      <c r="E677">
        <f>SUM(FishSumAllPRN!E677)</f>
        <v>1786</v>
      </c>
      <c r="F677">
        <f>SUM(FishSumAllPRN!F677)</f>
        <v>0</v>
      </c>
      <c r="G677">
        <f>SUM(FishSumAllPRN!G677)</f>
        <v>13328</v>
      </c>
      <c r="H677" s="54" t="s">
        <v>294</v>
      </c>
      <c r="I677" s="54"/>
      <c r="K677" t="s">
        <v>5710</v>
      </c>
      <c r="R677" s="38">
        <f t="shared" si="240"/>
        <v>204</v>
      </c>
      <c r="S677" s="38">
        <f t="shared" si="240"/>
        <v>2282</v>
      </c>
      <c r="T677" s="38">
        <f t="shared" si="240"/>
        <v>809</v>
      </c>
      <c r="U677" s="38">
        <f>SUM(E813)</f>
        <v>24</v>
      </c>
      <c r="V677" s="38">
        <f>SUM(F813)</f>
        <v>0</v>
      </c>
      <c r="Z677">
        <f t="shared" si="215"/>
        <v>3319</v>
      </c>
      <c r="AC677" s="60" t="s">
        <v>5706</v>
      </c>
      <c r="AD677" s="1952"/>
      <c r="AE677" s="1952"/>
      <c r="AF677" s="1952"/>
      <c r="AG677" s="1952"/>
      <c r="AH677" s="1952"/>
      <c r="AI677" s="1952"/>
      <c r="AJ677" s="1952"/>
      <c r="AK677" s="1959">
        <f t="shared" ref="AK677:AS677" si="241">SUM(AK662:AK676)</f>
        <v>43592</v>
      </c>
      <c r="AL677" s="1959">
        <f t="shared" si="241"/>
        <v>43793</v>
      </c>
      <c r="AM677" s="1959">
        <f t="shared" si="241"/>
        <v>47658</v>
      </c>
      <c r="AN677" s="1959">
        <f t="shared" si="241"/>
        <v>17468</v>
      </c>
      <c r="AO677" s="1959">
        <f t="shared" si="241"/>
        <v>0</v>
      </c>
      <c r="AP677" s="1959">
        <f t="shared" si="241"/>
        <v>0</v>
      </c>
      <c r="AQ677" s="1959">
        <f t="shared" si="241"/>
        <v>0</v>
      </c>
      <c r="AR677" s="1959">
        <f t="shared" si="241"/>
        <v>0</v>
      </c>
      <c r="AS677" s="1954">
        <f t="shared" si="241"/>
        <v>152537</v>
      </c>
    </row>
    <row r="678" spans="1:45" x14ac:dyDescent="0.2">
      <c r="A678" t="s">
        <v>4304</v>
      </c>
      <c r="B678">
        <f>SUM(FishSumAllPRN!B678)</f>
        <v>175</v>
      </c>
      <c r="C678">
        <f>SUM(FishSumAllPRN!C678)</f>
        <v>635</v>
      </c>
      <c r="D678">
        <f>SUM(FishSumAllPRN!D678)</f>
        <v>2655</v>
      </c>
      <c r="E678">
        <f>SUM(FishSumAllPRN!E678)</f>
        <v>1409</v>
      </c>
      <c r="F678">
        <f>SUM(FishSumAllPRN!F678)</f>
        <v>0</v>
      </c>
      <c r="G678">
        <f>SUM(FishSumAllPRN!G678)</f>
        <v>4875</v>
      </c>
      <c r="H678" s="54" t="s">
        <v>294</v>
      </c>
      <c r="I678" s="54"/>
      <c r="K678" t="s">
        <v>5711</v>
      </c>
      <c r="R678" s="38">
        <f>SUM(B828,B818:B819)</f>
        <v>798</v>
      </c>
      <c r="S678" s="38">
        <f>SUM(C828,C818:C819)</f>
        <v>4228</v>
      </c>
      <c r="T678" s="38">
        <f>SUM(D828,D818:D819)</f>
        <v>12885</v>
      </c>
      <c r="U678" s="38">
        <f>SUM(E828,E818:E819)</f>
        <v>3594</v>
      </c>
      <c r="V678" s="38">
        <f>SUM(F828,F818:F819)</f>
        <v>8</v>
      </c>
      <c r="Z678">
        <f t="shared" si="215"/>
        <v>21513</v>
      </c>
      <c r="AC678" s="50"/>
      <c r="AD678" s="37"/>
      <c r="AE678" s="37"/>
      <c r="AF678" s="37"/>
      <c r="AG678" s="37"/>
      <c r="AH678" s="37"/>
      <c r="AI678" s="37"/>
      <c r="AJ678" s="37"/>
      <c r="AS678" s="58"/>
    </row>
    <row r="679" spans="1:45" x14ac:dyDescent="0.2">
      <c r="A679" t="s">
        <v>4305</v>
      </c>
      <c r="B679">
        <f>SUM(FishSumAllPRN!B679)</f>
        <v>2504</v>
      </c>
      <c r="C679">
        <f>SUM(FishSumAllPRN!C679)</f>
        <v>6610</v>
      </c>
      <c r="D679">
        <f>SUM(FishSumAllPRN!D679)</f>
        <v>7986</v>
      </c>
      <c r="E679">
        <f>SUM(FishSumAllPRN!E679)</f>
        <v>2959</v>
      </c>
      <c r="F679">
        <f>SUM(FishSumAllPRN!F679)</f>
        <v>0</v>
      </c>
      <c r="G679">
        <f>SUM(FishSumAllPRN!G679)</f>
        <v>20059</v>
      </c>
      <c r="H679" s="54" t="s">
        <v>294</v>
      </c>
      <c r="I679" s="54"/>
      <c r="K679" t="s">
        <v>5712</v>
      </c>
      <c r="R679" s="365">
        <f>SUM(B808)</f>
        <v>0</v>
      </c>
      <c r="S679" s="365">
        <f>SUM(C808)</f>
        <v>0</v>
      </c>
      <c r="T679" s="365">
        <f>SUM(D808)</f>
        <v>0</v>
      </c>
      <c r="U679" s="365">
        <f>SUM(E808)</f>
        <v>0</v>
      </c>
      <c r="V679" s="365">
        <f>SUM(F808)</f>
        <v>0</v>
      </c>
      <c r="Z679">
        <f t="shared" si="215"/>
        <v>0</v>
      </c>
      <c r="AC679" s="50" t="s">
        <v>5709</v>
      </c>
      <c r="AD679" s="37"/>
      <c r="AE679" s="37"/>
      <c r="AF679" s="37"/>
      <c r="AG679" s="37"/>
      <c r="AH679" s="37"/>
      <c r="AI679" s="37"/>
      <c r="AJ679" s="37"/>
      <c r="AS679" s="58"/>
    </row>
    <row r="680" spans="1:45" x14ac:dyDescent="0.2">
      <c r="A680" t="s">
        <v>4306</v>
      </c>
      <c r="B680">
        <f>SUM(FishSumAllPRN!B680)</f>
        <v>95</v>
      </c>
      <c r="C680">
        <f>SUM(FishSumAllPRN!C680)</f>
        <v>1274</v>
      </c>
      <c r="D680">
        <f>SUM(FishSumAllPRN!D680)</f>
        <v>339</v>
      </c>
      <c r="E680">
        <f>SUM(FishSumAllPRN!E680)</f>
        <v>374</v>
      </c>
      <c r="F680">
        <f>SUM(FishSumAllPRN!F680)</f>
        <v>0</v>
      </c>
      <c r="G680">
        <f>SUM(FishSumAllPRN!G680)</f>
        <v>2082</v>
      </c>
      <c r="H680" s="54" t="s">
        <v>294</v>
      </c>
      <c r="I680" s="54"/>
      <c r="K680" t="s">
        <v>5713</v>
      </c>
      <c r="R680" s="38">
        <f>SUM(B814)</f>
        <v>0</v>
      </c>
      <c r="S680" s="38">
        <f>SUM(C814)</f>
        <v>0</v>
      </c>
      <c r="T680" s="38">
        <f>SUM(D814)</f>
        <v>0</v>
      </c>
      <c r="U680" s="38">
        <f>SUM(E814)</f>
        <v>0</v>
      </c>
      <c r="V680" s="38">
        <f>SUM(F814)</f>
        <v>0</v>
      </c>
      <c r="Z680">
        <f t="shared" si="215"/>
        <v>0</v>
      </c>
      <c r="AC680" s="50" t="s">
        <v>5644</v>
      </c>
      <c r="AD680" s="37"/>
      <c r="AE680" s="37"/>
      <c r="AF680" s="37"/>
      <c r="AG680" s="37"/>
      <c r="AH680" s="37"/>
      <c r="AI680" s="37"/>
      <c r="AJ680" s="37" t="s">
        <v>30</v>
      </c>
      <c r="AK680">
        <f t="shared" ref="AK680:AS680" si="242">SUM(R668)</f>
        <v>0</v>
      </c>
      <c r="AL680">
        <f t="shared" si="242"/>
        <v>0</v>
      </c>
      <c r="AM680">
        <f t="shared" si="242"/>
        <v>218</v>
      </c>
      <c r="AN680">
        <f t="shared" si="242"/>
        <v>172</v>
      </c>
      <c r="AO680">
        <f t="shared" si="242"/>
        <v>1</v>
      </c>
      <c r="AP680">
        <f t="shared" si="242"/>
        <v>0</v>
      </c>
      <c r="AQ680">
        <f t="shared" si="242"/>
        <v>0</v>
      </c>
      <c r="AR680">
        <f t="shared" si="242"/>
        <v>0</v>
      </c>
      <c r="AS680" s="58">
        <f t="shared" si="242"/>
        <v>391</v>
      </c>
    </row>
    <row r="681" spans="1:45" x14ac:dyDescent="0.2">
      <c r="A681" t="s">
        <v>4307</v>
      </c>
      <c r="B681">
        <f>SUM(FishSumAllPRN!B681)</f>
        <v>589</v>
      </c>
      <c r="C681">
        <f>SUM(FishSumAllPRN!C681)</f>
        <v>5932</v>
      </c>
      <c r="D681">
        <f>SUM(FishSumAllPRN!D681)</f>
        <v>23499</v>
      </c>
      <c r="E681">
        <f>SUM(FishSumAllPRN!E681)</f>
        <v>8960</v>
      </c>
      <c r="F681">
        <f>SUM(FishSumAllPRN!F681)</f>
        <v>2</v>
      </c>
      <c r="G681">
        <f>SUM(FishSumAllPRN!G681)</f>
        <v>38982</v>
      </c>
      <c r="H681" s="54" t="s">
        <v>294</v>
      </c>
      <c r="I681" s="54"/>
      <c r="K681" t="s">
        <v>5714</v>
      </c>
      <c r="R681">
        <v>0</v>
      </c>
      <c r="S681">
        <v>0</v>
      </c>
      <c r="T681">
        <v>0</v>
      </c>
      <c r="U681">
        <v>0</v>
      </c>
      <c r="V681">
        <v>0</v>
      </c>
      <c r="Z681">
        <f t="shared" si="215"/>
        <v>0</v>
      </c>
      <c r="AC681" s="50"/>
      <c r="AD681" s="37"/>
      <c r="AE681" s="37"/>
      <c r="AF681" s="37"/>
      <c r="AG681" s="37"/>
      <c r="AH681" s="37"/>
      <c r="AI681" s="37"/>
      <c r="AJ681" s="37"/>
      <c r="AS681" s="58"/>
    </row>
    <row r="682" spans="1:45" x14ac:dyDescent="0.2">
      <c r="A682" t="s">
        <v>4308</v>
      </c>
      <c r="B682">
        <f>SUM(FishSumAllPRN!B682)</f>
        <v>0</v>
      </c>
      <c r="C682">
        <f>SUM(FishSumAllPRN!C682)</f>
        <v>0</v>
      </c>
      <c r="D682">
        <f>SUM(FishSumAllPRN!D682)</f>
        <v>218</v>
      </c>
      <c r="E682">
        <f>SUM(FishSumAllPRN!E682)</f>
        <v>172</v>
      </c>
      <c r="F682">
        <f>SUM(FishSumAllPRN!F682)</f>
        <v>1</v>
      </c>
      <c r="G682">
        <f>SUM(FishSumAllPRN!G682)</f>
        <v>391</v>
      </c>
      <c r="H682" s="54" t="s">
        <v>294</v>
      </c>
      <c r="I682" s="54"/>
      <c r="K682" t="s">
        <v>5715</v>
      </c>
      <c r="R682" s="38">
        <f>SUM(B815)</f>
        <v>0</v>
      </c>
      <c r="S682" s="38">
        <f>SUM(C815)</f>
        <v>0</v>
      </c>
      <c r="T682" s="38">
        <f>SUM(D815)</f>
        <v>0</v>
      </c>
      <c r="U682" s="38">
        <f>SUM(E815)</f>
        <v>0</v>
      </c>
      <c r="V682" s="38">
        <f>SUM(F815)</f>
        <v>0</v>
      </c>
      <c r="Z682">
        <f t="shared" si="215"/>
        <v>0</v>
      </c>
      <c r="AC682" s="50" t="s">
        <v>5663</v>
      </c>
      <c r="AD682" s="37"/>
      <c r="AE682" s="37"/>
      <c r="AF682" s="37"/>
      <c r="AG682" s="37"/>
      <c r="AH682" s="37"/>
      <c r="AI682" s="37"/>
      <c r="AJ682" s="37" t="s">
        <v>149</v>
      </c>
      <c r="AK682" s="38">
        <f t="shared" ref="AK682:AM683" si="243">SUM(B729)</f>
        <v>27</v>
      </c>
      <c r="AL682" s="38">
        <f t="shared" si="243"/>
        <v>472</v>
      </c>
      <c r="AM682" s="38">
        <f t="shared" si="243"/>
        <v>3166</v>
      </c>
      <c r="AN682" s="38">
        <f t="shared" ref="AN682:AQ683" si="244">SUM(E729)</f>
        <v>16975</v>
      </c>
      <c r="AO682" s="38">
        <f t="shared" si="244"/>
        <v>0</v>
      </c>
      <c r="AP682" s="38">
        <f t="shared" si="244"/>
        <v>20640</v>
      </c>
      <c r="AQ682" s="38">
        <f t="shared" si="244"/>
        <v>0</v>
      </c>
      <c r="AR682" s="38">
        <f>SUM(J737)</f>
        <v>0</v>
      </c>
      <c r="AS682" s="59">
        <f t="shared" ref="AS682:AS691" si="245">SUM(AK682:AO682)</f>
        <v>20640</v>
      </c>
    </row>
    <row r="683" spans="1:45" x14ac:dyDescent="0.2">
      <c r="A683" t="s">
        <v>4309</v>
      </c>
      <c r="B683">
        <f>SUM(FishSumAllPRN!B683)</f>
        <v>0</v>
      </c>
      <c r="C683">
        <f>SUM(FishSumAllPRN!C683)</f>
        <v>0</v>
      </c>
      <c r="D683">
        <f>SUM(FishSumAllPRN!D683)</f>
        <v>0</v>
      </c>
      <c r="E683">
        <f>SUM(FishSumAllPRN!E683)</f>
        <v>0</v>
      </c>
      <c r="F683">
        <f>SUM(FishSumAllPRN!F683)</f>
        <v>769</v>
      </c>
      <c r="G683">
        <f>SUM(FishSumAllPRN!G683)</f>
        <v>769</v>
      </c>
      <c r="H683" s="54" t="s">
        <v>294</v>
      </c>
      <c r="I683" s="54"/>
      <c r="K683" t="s">
        <v>5716</v>
      </c>
      <c r="R683" s="365">
        <f>SUM(B824)</f>
        <v>63</v>
      </c>
      <c r="S683" s="365">
        <f>SUM(C824)</f>
        <v>2417</v>
      </c>
      <c r="T683" s="365">
        <f>SUM(D824)</f>
        <v>1666</v>
      </c>
      <c r="U683" s="365">
        <f>SUM(E824)</f>
        <v>0</v>
      </c>
      <c r="V683" s="365">
        <f>SUM(F824)</f>
        <v>0</v>
      </c>
      <c r="Z683">
        <f t="shared" si="215"/>
        <v>4146</v>
      </c>
      <c r="AC683" s="50"/>
      <c r="AD683" s="37"/>
      <c r="AE683" s="37"/>
      <c r="AF683" s="37"/>
      <c r="AG683" s="37"/>
      <c r="AH683" s="37"/>
      <c r="AI683" s="37"/>
      <c r="AJ683" s="37" t="s">
        <v>151</v>
      </c>
      <c r="AK683" s="38">
        <f t="shared" si="243"/>
        <v>0</v>
      </c>
      <c r="AL683" s="38">
        <f t="shared" si="243"/>
        <v>48</v>
      </c>
      <c r="AM683" s="38">
        <f t="shared" si="243"/>
        <v>783</v>
      </c>
      <c r="AN683" s="38">
        <f t="shared" si="244"/>
        <v>6640</v>
      </c>
      <c r="AO683" s="38">
        <f t="shared" si="244"/>
        <v>0</v>
      </c>
      <c r="AP683" s="38">
        <f t="shared" si="244"/>
        <v>7471</v>
      </c>
      <c r="AQ683" s="38">
        <f t="shared" si="244"/>
        <v>0</v>
      </c>
      <c r="AR683" s="38">
        <f>SUM(J738)</f>
        <v>0</v>
      </c>
      <c r="AS683" s="59">
        <f t="shared" si="245"/>
        <v>7471</v>
      </c>
    </row>
    <row r="684" spans="1:45" x14ac:dyDescent="0.2">
      <c r="A684" t="s">
        <v>4310</v>
      </c>
      <c r="B684">
        <f>SUM(FishSumAllPRN!B684)</f>
        <v>0</v>
      </c>
      <c r="C684">
        <f>SUM(FishSumAllPRN!C684)</f>
        <v>0</v>
      </c>
      <c r="D684">
        <f>SUM(FishSumAllPRN!D684)</f>
        <v>0</v>
      </c>
      <c r="E684">
        <f>SUM(FishSumAllPRN!E684)</f>
        <v>0</v>
      </c>
      <c r="F684">
        <f>SUM(FishSumAllPRN!F684)</f>
        <v>4149</v>
      </c>
      <c r="G684">
        <f>SUM(FishSumAllPRN!G684)</f>
        <v>4149</v>
      </c>
      <c r="H684" s="54" t="s">
        <v>294</v>
      </c>
      <c r="I684" s="54"/>
      <c r="K684" t="s">
        <v>5717</v>
      </c>
      <c r="R684" s="177">
        <f>SUM(B807,B829:B830,B827)</f>
        <v>4231</v>
      </c>
      <c r="S684" s="177">
        <f>SUM(C807,C829:C830,C827)</f>
        <v>5873</v>
      </c>
      <c r="T684" s="177">
        <f>SUM(D807,D829:D830,D827)</f>
        <v>8055</v>
      </c>
      <c r="U684" s="177">
        <f>SUM(E807,E829:E830,E827)</f>
        <v>7261</v>
      </c>
      <c r="V684" s="177">
        <f>SUM(F807,F829:F830,F827)</f>
        <v>1322</v>
      </c>
      <c r="Z684">
        <f t="shared" si="215"/>
        <v>26742</v>
      </c>
      <c r="AC684" s="50"/>
      <c r="AD684" s="37"/>
      <c r="AE684" s="37"/>
      <c r="AF684" s="37"/>
      <c r="AG684" s="37"/>
      <c r="AH684" s="37"/>
      <c r="AI684" s="37"/>
      <c r="AJ684" s="37" t="s">
        <v>153</v>
      </c>
      <c r="AK684">
        <f t="shared" ref="AK684:AR684" si="246">SUM(R670)</f>
        <v>0</v>
      </c>
      <c r="AL684">
        <f t="shared" si="246"/>
        <v>97</v>
      </c>
      <c r="AM684">
        <f t="shared" si="246"/>
        <v>533</v>
      </c>
      <c r="AN684">
        <f t="shared" si="246"/>
        <v>4379</v>
      </c>
      <c r="AO684">
        <f t="shared" si="246"/>
        <v>0</v>
      </c>
      <c r="AP684">
        <f t="shared" si="246"/>
        <v>0</v>
      </c>
      <c r="AQ684">
        <f t="shared" si="246"/>
        <v>0</v>
      </c>
      <c r="AR684">
        <f t="shared" si="246"/>
        <v>0</v>
      </c>
      <c r="AS684" s="59">
        <f t="shared" si="245"/>
        <v>5009</v>
      </c>
    </row>
    <row r="685" spans="1:45" x14ac:dyDescent="0.2">
      <c r="A685" t="s">
        <v>4311</v>
      </c>
      <c r="B685">
        <f>SUM(FishSumAllPRN!B685)</f>
        <v>0</v>
      </c>
      <c r="C685">
        <f>SUM(FishSumAllPRN!C685)</f>
        <v>0</v>
      </c>
      <c r="D685">
        <f>SUM(FishSumAllPRN!D685)</f>
        <v>0</v>
      </c>
      <c r="E685">
        <f>SUM(FishSumAllPRN!E685)</f>
        <v>21633</v>
      </c>
      <c r="F685">
        <f>SUM(FishSumAllPRN!F685)</f>
        <v>11260</v>
      </c>
      <c r="G685">
        <f>SUM(FishSumAllPRN!G685)</f>
        <v>32893</v>
      </c>
      <c r="H685" s="54" t="s">
        <v>294</v>
      </c>
      <c r="I685" s="54"/>
      <c r="K685" t="s">
        <v>5718</v>
      </c>
      <c r="R685" s="38">
        <f t="shared" ref="R685:T686" si="247">SUM(B725)</f>
        <v>0</v>
      </c>
      <c r="S685" s="38">
        <f t="shared" si="247"/>
        <v>0</v>
      </c>
      <c r="T685" s="38">
        <f t="shared" si="247"/>
        <v>221</v>
      </c>
      <c r="U685" s="38">
        <f>SUM(E725)</f>
        <v>2329</v>
      </c>
      <c r="V685" s="38">
        <f>SUM(F725)</f>
        <v>4986</v>
      </c>
      <c r="Z685">
        <f t="shared" si="215"/>
        <v>7536</v>
      </c>
      <c r="AC685" s="50"/>
      <c r="AD685" s="37"/>
      <c r="AE685" s="37"/>
      <c r="AF685" s="37"/>
      <c r="AG685" s="37"/>
      <c r="AH685" s="37"/>
      <c r="AI685" s="37"/>
      <c r="AJ685" s="37" t="s">
        <v>155</v>
      </c>
      <c r="AK685">
        <f>SUM(B744)</f>
        <v>0</v>
      </c>
      <c r="AL685">
        <f>SUM(C744)</f>
        <v>0</v>
      </c>
      <c r="AM685">
        <f>SUM(D744)</f>
        <v>289</v>
      </c>
      <c r="AN685">
        <f>SUM(E744)</f>
        <v>2518</v>
      </c>
      <c r="AO685">
        <f>SUM(F744)</f>
        <v>65</v>
      </c>
      <c r="AS685" s="59">
        <f t="shared" si="245"/>
        <v>2872</v>
      </c>
    </row>
    <row r="686" spans="1:45" x14ac:dyDescent="0.2">
      <c r="A686" t="s">
        <v>4312</v>
      </c>
      <c r="B686">
        <f>SUM(FishSumAllPRN!B686)</f>
        <v>0</v>
      </c>
      <c r="C686">
        <f>SUM(FishSumAllPRN!C686)</f>
        <v>0</v>
      </c>
      <c r="D686">
        <f>SUM(FishSumAllPRN!D686)</f>
        <v>0</v>
      </c>
      <c r="E686">
        <f>SUM(FishSumAllPRN!E686)</f>
        <v>3521</v>
      </c>
      <c r="F686">
        <f>SUM(FishSumAllPRN!F686)</f>
        <v>1362</v>
      </c>
      <c r="G686">
        <f>SUM(FishSumAllPRN!G686)</f>
        <v>4883</v>
      </c>
      <c r="H686" s="54" t="s">
        <v>294</v>
      </c>
      <c r="I686" s="54"/>
      <c r="K686" t="s">
        <v>5719</v>
      </c>
      <c r="R686" s="38">
        <f t="shared" si="247"/>
        <v>0</v>
      </c>
      <c r="S686" s="38">
        <f t="shared" si="247"/>
        <v>0</v>
      </c>
      <c r="T686" s="38">
        <f t="shared" si="247"/>
        <v>418</v>
      </c>
      <c r="U686" s="38">
        <f>SUM(E726)</f>
        <v>1560</v>
      </c>
      <c r="V686" s="38">
        <f>SUM(F726)</f>
        <v>4724</v>
      </c>
      <c r="Z686">
        <f t="shared" si="215"/>
        <v>6702</v>
      </c>
      <c r="AC686" s="50"/>
      <c r="AD686" s="37"/>
      <c r="AE686" s="37"/>
      <c r="AF686" s="37"/>
      <c r="AG686" s="37"/>
      <c r="AH686" s="37"/>
      <c r="AI686" s="37"/>
      <c r="AJ686" s="37" t="s">
        <v>157</v>
      </c>
      <c r="AK686">
        <f>SUM(B753)</f>
        <v>0</v>
      </c>
      <c r="AL686">
        <f>SUM(C753)</f>
        <v>0</v>
      </c>
      <c r="AM686">
        <f>SUM(D753)</f>
        <v>274</v>
      </c>
      <c r="AN686">
        <f>SUM(E753)</f>
        <v>3619</v>
      </c>
      <c r="AO686">
        <f>SUM(F753)</f>
        <v>0</v>
      </c>
      <c r="AP686">
        <f>SUM(W671,W672,W673,W674)</f>
        <v>0</v>
      </c>
      <c r="AQ686">
        <f>SUM(X671,X672,X673,X674)</f>
        <v>0</v>
      </c>
      <c r="AR686">
        <f>SUM(Y671,Y672,Y673,Y674)</f>
        <v>0</v>
      </c>
      <c r="AS686" s="59">
        <f t="shared" si="245"/>
        <v>3893</v>
      </c>
    </row>
    <row r="687" spans="1:45" x14ac:dyDescent="0.2">
      <c r="A687" t="s">
        <v>4313</v>
      </c>
      <c r="B687">
        <f>SUM(FishSumAllPRN!B687)</f>
        <v>0</v>
      </c>
      <c r="C687">
        <f>SUM(FishSumAllPRN!C687)</f>
        <v>0</v>
      </c>
      <c r="D687">
        <f>SUM(FishSumAllPRN!D687)</f>
        <v>0</v>
      </c>
      <c r="E687">
        <f>SUM(FishSumAllPRN!E687)</f>
        <v>0</v>
      </c>
      <c r="F687">
        <f>SUM(FishSumAllPRN!F687)</f>
        <v>77</v>
      </c>
      <c r="G687">
        <f>SUM(FishSumAllPRN!G687)</f>
        <v>77</v>
      </c>
      <c r="H687" s="54" t="s">
        <v>294</v>
      </c>
      <c r="I687" s="54"/>
      <c r="K687" t="s">
        <v>5720</v>
      </c>
      <c r="R687" s="38">
        <f t="shared" ref="R687:T688" si="248">SUM(B734)</f>
        <v>0</v>
      </c>
      <c r="S687" s="38">
        <f t="shared" si="248"/>
        <v>0</v>
      </c>
      <c r="T687" s="38">
        <f t="shared" si="248"/>
        <v>0</v>
      </c>
      <c r="U687" s="38">
        <f>SUM(E734)</f>
        <v>2815</v>
      </c>
      <c r="V687" s="38">
        <f>SUM(F734)</f>
        <v>39</v>
      </c>
      <c r="Z687">
        <f t="shared" si="215"/>
        <v>2854</v>
      </c>
      <c r="AC687" s="50"/>
      <c r="AD687" s="37"/>
      <c r="AE687" s="37"/>
      <c r="AF687" s="37"/>
      <c r="AG687" s="37"/>
      <c r="AH687" s="37"/>
      <c r="AI687" s="37"/>
      <c r="AJ687" s="37" t="s">
        <v>159</v>
      </c>
      <c r="AK687" s="38">
        <f>SUM(R672)</f>
        <v>0</v>
      </c>
      <c r="AL687" s="38">
        <f>SUM(S672)</f>
        <v>1392</v>
      </c>
      <c r="AM687" s="38">
        <f>SUM(T672)</f>
        <v>3091</v>
      </c>
      <c r="AN687" s="38">
        <f>SUM(U672)</f>
        <v>6799</v>
      </c>
      <c r="AO687" s="38">
        <f>SUM(V672)</f>
        <v>0</v>
      </c>
      <c r="AS687" s="59">
        <f t="shared" si="245"/>
        <v>11282</v>
      </c>
    </row>
    <row r="688" spans="1:45" x14ac:dyDescent="0.2">
      <c r="A688" t="s">
        <v>4314</v>
      </c>
      <c r="B688">
        <f>SUM(FishSumAllPRN!B688)</f>
        <v>0</v>
      </c>
      <c r="C688">
        <f>SUM(FishSumAllPRN!C688)</f>
        <v>0</v>
      </c>
      <c r="D688">
        <f>SUM(FishSumAllPRN!D688)</f>
        <v>0</v>
      </c>
      <c r="E688">
        <f>SUM(FishSumAllPRN!E688)</f>
        <v>0</v>
      </c>
      <c r="F688">
        <f>SUM(FishSumAllPRN!F688)</f>
        <v>6272</v>
      </c>
      <c r="G688">
        <f>SUM(FishSumAllPRN!G688)</f>
        <v>6272</v>
      </c>
      <c r="H688" s="54" t="s">
        <v>294</v>
      </c>
      <c r="I688" s="54"/>
      <c r="K688" t="s">
        <v>5721</v>
      </c>
      <c r="R688" s="38">
        <f t="shared" si="248"/>
        <v>0</v>
      </c>
      <c r="S688" s="38">
        <f t="shared" si="248"/>
        <v>0</v>
      </c>
      <c r="T688" s="38">
        <f t="shared" si="248"/>
        <v>0</v>
      </c>
      <c r="U688" s="38">
        <f>SUM(E735)</f>
        <v>23233</v>
      </c>
      <c r="V688" s="38">
        <f>SUM(F735)</f>
        <v>1144</v>
      </c>
      <c r="Z688">
        <f t="shared" si="215"/>
        <v>24377</v>
      </c>
      <c r="AC688" s="50"/>
      <c r="AD688" s="37"/>
      <c r="AE688" s="37"/>
      <c r="AF688" s="37"/>
      <c r="AG688" s="37"/>
      <c r="AH688" s="37"/>
      <c r="AI688" s="37"/>
      <c r="AJ688" s="37" t="s">
        <v>161</v>
      </c>
      <c r="AK688">
        <f>SUM(B756)</f>
        <v>3260</v>
      </c>
      <c r="AL688">
        <f>SUM(C756)</f>
        <v>3658</v>
      </c>
      <c r="AM688">
        <f>SUM(D756)</f>
        <v>5339</v>
      </c>
      <c r="AN688">
        <f>SUM(E756)</f>
        <v>11837</v>
      </c>
      <c r="AO688">
        <f>SUM(F756)</f>
        <v>567</v>
      </c>
      <c r="AS688" s="59">
        <f t="shared" si="245"/>
        <v>24661</v>
      </c>
    </row>
    <row r="689" spans="1:45" x14ac:dyDescent="0.2">
      <c r="A689" t="s">
        <v>4315</v>
      </c>
      <c r="B689">
        <f>SUM(FishSumAllPRN!B689)</f>
        <v>0</v>
      </c>
      <c r="C689">
        <f>SUM(FishSumAllPRN!C689)</f>
        <v>0</v>
      </c>
      <c r="D689">
        <f>SUM(FishSumAllPRN!D689)</f>
        <v>0</v>
      </c>
      <c r="E689">
        <f>SUM(FishSumAllPRN!E689)</f>
        <v>0</v>
      </c>
      <c r="F689">
        <f>SUM(FishSumAllPRN!F689)</f>
        <v>4080</v>
      </c>
      <c r="G689">
        <f>SUM(FishSumAllPRN!G689)</f>
        <v>4080</v>
      </c>
      <c r="H689" s="54" t="s">
        <v>294</v>
      </c>
      <c r="I689" s="54"/>
      <c r="K689" t="s">
        <v>5722</v>
      </c>
      <c r="R689" s="38">
        <f t="shared" ref="R689:T690" si="249">SUM(B718)</f>
        <v>0</v>
      </c>
      <c r="S689" s="38">
        <f t="shared" si="249"/>
        <v>0</v>
      </c>
      <c r="T689" s="38">
        <f t="shared" si="249"/>
        <v>0</v>
      </c>
      <c r="U689" s="38">
        <f>SUM(E718)</f>
        <v>0</v>
      </c>
      <c r="V689" s="38">
        <f>SUM(F718)</f>
        <v>0</v>
      </c>
      <c r="Z689">
        <f t="shared" si="215"/>
        <v>0</v>
      </c>
      <c r="AC689" s="50"/>
      <c r="AD689" s="37"/>
      <c r="AE689" s="37"/>
      <c r="AF689" s="37"/>
      <c r="AG689" s="37"/>
      <c r="AH689" s="37"/>
      <c r="AI689" s="37"/>
      <c r="AJ689" s="37" t="s">
        <v>163</v>
      </c>
      <c r="AK689">
        <f>SUM(B767)</f>
        <v>7</v>
      </c>
      <c r="AL689">
        <f>SUM(C767)</f>
        <v>337</v>
      </c>
      <c r="AM689">
        <f>SUM(D767)</f>
        <v>1163</v>
      </c>
      <c r="AN689">
        <f>SUM(E767)</f>
        <v>2960</v>
      </c>
      <c r="AO689">
        <f>SUM(F767)</f>
        <v>97</v>
      </c>
      <c r="AS689" s="59">
        <f t="shared" si="245"/>
        <v>4564</v>
      </c>
    </row>
    <row r="690" spans="1:45" x14ac:dyDescent="0.2">
      <c r="A690" t="s">
        <v>4316</v>
      </c>
      <c r="B690">
        <f>SUM(FishSumAllPRN!B690)</f>
        <v>0</v>
      </c>
      <c r="C690">
        <f>SUM(FishSumAllPRN!C690)</f>
        <v>0</v>
      </c>
      <c r="D690">
        <f>SUM(FishSumAllPRN!D690)</f>
        <v>0</v>
      </c>
      <c r="E690">
        <f>SUM(FishSumAllPRN!E690)</f>
        <v>4443</v>
      </c>
      <c r="F690">
        <f>SUM(FishSumAllPRN!F690)</f>
        <v>22846</v>
      </c>
      <c r="G690">
        <f>SUM(FishSumAllPRN!G690)</f>
        <v>27289</v>
      </c>
      <c r="H690" s="54" t="s">
        <v>294</v>
      </c>
      <c r="I690" s="54"/>
      <c r="K690" t="s">
        <v>5723</v>
      </c>
      <c r="R690" s="38">
        <f t="shared" si="249"/>
        <v>0</v>
      </c>
      <c r="S690" s="38">
        <f t="shared" si="249"/>
        <v>34</v>
      </c>
      <c r="T690" s="38">
        <f t="shared" si="249"/>
        <v>360</v>
      </c>
      <c r="U690" s="38">
        <f>SUM(E719)</f>
        <v>209</v>
      </c>
      <c r="V690" s="38">
        <f>SUM(F719)</f>
        <v>2225</v>
      </c>
      <c r="Z690">
        <f t="shared" si="215"/>
        <v>2828</v>
      </c>
      <c r="AC690" s="50"/>
      <c r="AD690" s="37"/>
      <c r="AE690" s="37"/>
      <c r="AF690" s="37"/>
      <c r="AG690" s="37"/>
      <c r="AH690" s="37"/>
      <c r="AI690" s="37"/>
      <c r="AJ690" s="37" t="s">
        <v>165</v>
      </c>
      <c r="AK690">
        <f>SUM(B774)</f>
        <v>352</v>
      </c>
      <c r="AL690">
        <f>SUM(C774)</f>
        <v>26</v>
      </c>
      <c r="AM690">
        <f>SUM(D774)</f>
        <v>61</v>
      </c>
      <c r="AN690">
        <f>SUM(E774)</f>
        <v>387</v>
      </c>
      <c r="AO690">
        <f>SUM(F774)</f>
        <v>85</v>
      </c>
      <c r="AS690" s="59">
        <f t="shared" si="245"/>
        <v>911</v>
      </c>
    </row>
    <row r="691" spans="1:45" x14ac:dyDescent="0.2">
      <c r="A691" t="s">
        <v>4317</v>
      </c>
      <c r="B691">
        <f>SUM(FishSumAllPRN!B691)</f>
        <v>0</v>
      </c>
      <c r="C691">
        <f>SUM(FishSumAllPRN!C691)</f>
        <v>0</v>
      </c>
      <c r="D691">
        <f>SUM(FishSumAllPRN!D691)</f>
        <v>0</v>
      </c>
      <c r="E691">
        <f>SUM(FishSumAllPRN!E691)</f>
        <v>0</v>
      </c>
      <c r="F691">
        <f>SUM(FishSumAllPRN!F691)</f>
        <v>0</v>
      </c>
      <c r="G691">
        <f>SUM(FishSumAllPRN!G691)</f>
        <v>0</v>
      </c>
      <c r="H691" s="54" t="s">
        <v>294</v>
      </c>
      <c r="I691" s="54"/>
      <c r="K691" t="s">
        <v>5726</v>
      </c>
      <c r="R691" s="38">
        <f t="shared" ref="R691:T692" si="250">SUM(B739)</f>
        <v>0</v>
      </c>
      <c r="S691" s="38">
        <f t="shared" si="250"/>
        <v>0</v>
      </c>
      <c r="T691" s="38">
        <f t="shared" si="250"/>
        <v>0</v>
      </c>
      <c r="U691" s="38">
        <f>SUM(E739)</f>
        <v>0</v>
      </c>
      <c r="V691" s="38">
        <f>SUM(F739)</f>
        <v>0</v>
      </c>
      <c r="Z691">
        <f t="shared" si="215"/>
        <v>0</v>
      </c>
      <c r="AC691" s="50"/>
      <c r="AD691" s="37"/>
      <c r="AE691" s="37"/>
      <c r="AF691" s="37"/>
      <c r="AG691" s="37"/>
      <c r="AH691" s="37"/>
      <c r="AI691" s="37"/>
      <c r="AJ691" s="37" t="s">
        <v>167</v>
      </c>
      <c r="AK691">
        <f>SUM(B790)</f>
        <v>0</v>
      </c>
      <c r="AL691">
        <f>SUM(C790)</f>
        <v>0</v>
      </c>
      <c r="AM691">
        <f>SUM(D790)</f>
        <v>1981</v>
      </c>
      <c r="AN691">
        <f>SUM(E790)</f>
        <v>4837</v>
      </c>
      <c r="AO691">
        <f>SUM(F790)</f>
        <v>803</v>
      </c>
      <c r="AS691" s="59">
        <f t="shared" si="245"/>
        <v>7621</v>
      </c>
    </row>
    <row r="692" spans="1:45" x14ac:dyDescent="0.2">
      <c r="A692" t="s">
        <v>4318</v>
      </c>
      <c r="B692">
        <f>SUM(FishSumAllPRN!B692)</f>
        <v>0</v>
      </c>
      <c r="C692">
        <f>SUM(FishSumAllPRN!C692)</f>
        <v>0</v>
      </c>
      <c r="D692">
        <f>SUM(FishSumAllPRN!D692)</f>
        <v>0</v>
      </c>
      <c r="E692">
        <f>SUM(FishSumAllPRN!E692)</f>
        <v>0</v>
      </c>
      <c r="F692">
        <f>SUM(FishSumAllPRN!F692)</f>
        <v>16367</v>
      </c>
      <c r="G692">
        <f>SUM(FishSumAllPRN!G692)</f>
        <v>16367</v>
      </c>
      <c r="H692" s="54" t="s">
        <v>294</v>
      </c>
      <c r="I692" s="54"/>
      <c r="K692" t="s">
        <v>5728</v>
      </c>
      <c r="R692" s="38">
        <f t="shared" si="250"/>
        <v>0</v>
      </c>
      <c r="S692" s="38">
        <f t="shared" si="250"/>
        <v>0</v>
      </c>
      <c r="T692" s="38">
        <f t="shared" si="250"/>
        <v>0</v>
      </c>
      <c r="U692" s="38">
        <f>SUM(E740)</f>
        <v>433</v>
      </c>
      <c r="V692" s="38">
        <f>SUM(F740)</f>
        <v>201</v>
      </c>
      <c r="Z692">
        <f t="shared" si="215"/>
        <v>634</v>
      </c>
      <c r="AC692" s="50"/>
      <c r="AD692" s="37"/>
      <c r="AE692" s="37"/>
      <c r="AF692" s="37"/>
      <c r="AG692" s="37"/>
      <c r="AH692" s="37"/>
      <c r="AI692" s="37"/>
      <c r="AJ692" s="37"/>
      <c r="AS692" s="58"/>
    </row>
    <row r="693" spans="1:45" x14ac:dyDescent="0.2">
      <c r="A693" t="s">
        <v>4319</v>
      </c>
      <c r="B693">
        <f>SUM(FishSumAllPRN!B693)</f>
        <v>0</v>
      </c>
      <c r="C693">
        <f>SUM(FishSumAllPRN!C693)</f>
        <v>0</v>
      </c>
      <c r="D693">
        <f>SUM(FishSumAllPRN!D693)</f>
        <v>0</v>
      </c>
      <c r="E693">
        <f>SUM(FishSumAllPRN!E693)</f>
        <v>0</v>
      </c>
      <c r="F693">
        <f>SUM(FishSumAllPRN!F693)</f>
        <v>7175</v>
      </c>
      <c r="G693">
        <f>SUM(FishSumAllPRN!G693)</f>
        <v>7175</v>
      </c>
      <c r="H693" s="54" t="s">
        <v>294</v>
      </c>
      <c r="I693" s="54"/>
      <c r="K693" t="s">
        <v>5730</v>
      </c>
      <c r="R693" s="38">
        <f t="shared" ref="R693:T694" si="251">SUM(B747)</f>
        <v>0</v>
      </c>
      <c r="S693" s="38">
        <f t="shared" si="251"/>
        <v>0</v>
      </c>
      <c r="T693" s="38">
        <f t="shared" si="251"/>
        <v>0</v>
      </c>
      <c r="U693" s="38">
        <f>SUM(E747)</f>
        <v>0</v>
      </c>
      <c r="V693" s="38">
        <f>SUM(F747)</f>
        <v>0</v>
      </c>
      <c r="Z693">
        <f t="shared" si="215"/>
        <v>0</v>
      </c>
      <c r="AC693" s="50" t="s">
        <v>5724</v>
      </c>
      <c r="AD693" s="37"/>
      <c r="AE693" s="37"/>
      <c r="AF693" s="37"/>
      <c r="AG693" s="37"/>
      <c r="AH693" s="37"/>
      <c r="AI693" s="37"/>
      <c r="AJ693" s="37" t="s">
        <v>5725</v>
      </c>
      <c r="AK693" s="38">
        <f t="shared" ref="AK693:AM694" si="252">SUM(R689)</f>
        <v>0</v>
      </c>
      <c r="AL693" s="38">
        <f t="shared" si="252"/>
        <v>0</v>
      </c>
      <c r="AM693" s="38">
        <f t="shared" si="252"/>
        <v>0</v>
      </c>
      <c r="AN693" s="38">
        <f>SUM(U689)</f>
        <v>0</v>
      </c>
      <c r="AO693" s="38">
        <f>SUM(V689)</f>
        <v>0</v>
      </c>
      <c r="AP693" s="38">
        <f>SUM(W689:W690)</f>
        <v>0</v>
      </c>
      <c r="AQ693" s="38">
        <f>SUM(X689:X690)</f>
        <v>0</v>
      </c>
      <c r="AR693" s="38">
        <f>SUM(Y689:Y690)</f>
        <v>0</v>
      </c>
      <c r="AS693" s="59">
        <f t="shared" ref="AS693:AS711" si="253">SUM(AK693:AO693)</f>
        <v>0</v>
      </c>
    </row>
    <row r="694" spans="1:45" x14ac:dyDescent="0.2">
      <c r="A694" t="s">
        <v>4320</v>
      </c>
      <c r="B694">
        <f>SUM(FishSumAllPRN!B694)</f>
        <v>0</v>
      </c>
      <c r="C694">
        <f>SUM(FishSumAllPRN!C694)</f>
        <v>0</v>
      </c>
      <c r="D694">
        <f>SUM(FishSumAllPRN!D694)</f>
        <v>0</v>
      </c>
      <c r="E694">
        <f>SUM(FishSumAllPRN!E694)</f>
        <v>0</v>
      </c>
      <c r="F694">
        <f>SUM(FishSumAllPRN!F694)</f>
        <v>6184</v>
      </c>
      <c r="G694">
        <f>SUM(FishSumAllPRN!G694)</f>
        <v>6184</v>
      </c>
      <c r="H694" s="54" t="s">
        <v>294</v>
      </c>
      <c r="I694" s="54"/>
      <c r="K694" t="s">
        <v>5732</v>
      </c>
      <c r="R694" s="38">
        <f t="shared" si="251"/>
        <v>0</v>
      </c>
      <c r="S694" s="38">
        <f t="shared" si="251"/>
        <v>0</v>
      </c>
      <c r="T694" s="38">
        <f t="shared" si="251"/>
        <v>0</v>
      </c>
      <c r="U694" s="38">
        <f>SUM(E748)</f>
        <v>4640</v>
      </c>
      <c r="V694" s="38">
        <f>SUM(F748)</f>
        <v>996</v>
      </c>
      <c r="Z694">
        <f t="shared" si="215"/>
        <v>5636</v>
      </c>
      <c r="AC694" s="61"/>
      <c r="AD694" s="37"/>
      <c r="AE694" s="37"/>
      <c r="AF694" s="37"/>
      <c r="AG694" s="37"/>
      <c r="AH694" s="37"/>
      <c r="AI694" s="37"/>
      <c r="AJ694" s="37" t="s">
        <v>5727</v>
      </c>
      <c r="AK694" s="38">
        <f t="shared" si="252"/>
        <v>0</v>
      </c>
      <c r="AL694" s="38">
        <f t="shared" si="252"/>
        <v>34</v>
      </c>
      <c r="AM694" s="38">
        <f t="shared" si="252"/>
        <v>360</v>
      </c>
      <c r="AN694" s="38">
        <f>SUM(U690)</f>
        <v>209</v>
      </c>
      <c r="AO694" s="38">
        <f>SUM(V690)</f>
        <v>2225</v>
      </c>
      <c r="AP694" s="38"/>
      <c r="AQ694" s="38"/>
      <c r="AR694" s="38"/>
      <c r="AS694" s="59">
        <f t="shared" si="253"/>
        <v>2828</v>
      </c>
    </row>
    <row r="695" spans="1:45" x14ac:dyDescent="0.2">
      <c r="A695" t="s">
        <v>4321</v>
      </c>
      <c r="B695">
        <f>SUM(FishSumAllPRN!B695)</f>
        <v>0</v>
      </c>
      <c r="C695">
        <f>SUM(FishSumAllPRN!C695)</f>
        <v>0</v>
      </c>
      <c r="D695">
        <f>SUM(FishSumAllPRN!D695)</f>
        <v>0</v>
      </c>
      <c r="E695">
        <f>SUM(FishSumAllPRN!E695)</f>
        <v>0</v>
      </c>
      <c r="F695">
        <f>SUM(FishSumAllPRN!F695)</f>
        <v>0</v>
      </c>
      <c r="G695">
        <f>SUM(FishSumAllPRN!G695)</f>
        <v>0</v>
      </c>
      <c r="H695" s="54" t="s">
        <v>294</v>
      </c>
      <c r="I695" s="54"/>
      <c r="K695" t="s">
        <v>5734</v>
      </c>
      <c r="R695" s="38">
        <f t="shared" ref="R695:T696" si="254">SUM(B793)</f>
        <v>0</v>
      </c>
      <c r="S695" s="38">
        <f t="shared" si="254"/>
        <v>0</v>
      </c>
      <c r="T695" s="38">
        <f t="shared" si="254"/>
        <v>0</v>
      </c>
      <c r="U695" s="38">
        <f>SUM(E793)</f>
        <v>1267</v>
      </c>
      <c r="V695" s="38">
        <f>SUM(F793)</f>
        <v>40</v>
      </c>
      <c r="Z695">
        <f t="shared" si="215"/>
        <v>1307</v>
      </c>
      <c r="AC695" s="50"/>
      <c r="AD695" s="37"/>
      <c r="AE695" s="37"/>
      <c r="AF695" s="37"/>
      <c r="AG695" s="37"/>
      <c r="AH695" s="37"/>
      <c r="AI695" s="37"/>
      <c r="AJ695" s="37" t="s">
        <v>5729</v>
      </c>
      <c r="AK695" s="38">
        <f t="shared" ref="AK695:AM696" si="255">SUM(R685)</f>
        <v>0</v>
      </c>
      <c r="AL695" s="38">
        <f t="shared" si="255"/>
        <v>0</v>
      </c>
      <c r="AM695" s="38">
        <f t="shared" si="255"/>
        <v>221</v>
      </c>
      <c r="AN695" s="38">
        <f t="shared" ref="AN695:AO698" si="256">SUM(U685)</f>
        <v>2329</v>
      </c>
      <c r="AO695" s="38">
        <f t="shared" si="256"/>
        <v>4986</v>
      </c>
      <c r="AP695" s="38">
        <f>SUM(W685:W686)</f>
        <v>0</v>
      </c>
      <c r="AQ695" s="38">
        <f>SUM(X685:X686)</f>
        <v>0</v>
      </c>
      <c r="AR695" s="38">
        <f>SUM(Y685:Y686)</f>
        <v>0</v>
      </c>
      <c r="AS695" s="59">
        <f t="shared" si="253"/>
        <v>7536</v>
      </c>
    </row>
    <row r="696" spans="1:45" x14ac:dyDescent="0.2">
      <c r="A696" t="s">
        <v>4322</v>
      </c>
      <c r="B696">
        <f>SUM(FishSumAllPRN!B696)</f>
        <v>0</v>
      </c>
      <c r="C696">
        <f>SUM(FishSumAllPRN!C696)</f>
        <v>0</v>
      </c>
      <c r="D696">
        <f>SUM(FishSumAllPRN!D696)</f>
        <v>0</v>
      </c>
      <c r="E696">
        <f>SUM(FishSumAllPRN!E696)</f>
        <v>0</v>
      </c>
      <c r="F696">
        <f>SUM(FishSumAllPRN!F696)</f>
        <v>0</v>
      </c>
      <c r="G696">
        <f>SUM(FishSumAllPRN!G696)</f>
        <v>0</v>
      </c>
      <c r="H696" s="54" t="s">
        <v>294</v>
      </c>
      <c r="I696" s="54"/>
      <c r="K696" t="s">
        <v>5736</v>
      </c>
      <c r="R696" s="38">
        <f t="shared" si="254"/>
        <v>0</v>
      </c>
      <c r="S696" s="38">
        <f t="shared" si="254"/>
        <v>0</v>
      </c>
      <c r="T696" s="38">
        <f t="shared" si="254"/>
        <v>0</v>
      </c>
      <c r="U696" s="38">
        <f>SUM(E794)</f>
        <v>4943</v>
      </c>
      <c r="V696" s="38">
        <f>SUM(F794)</f>
        <v>1101</v>
      </c>
      <c r="Z696">
        <f t="shared" si="215"/>
        <v>6044</v>
      </c>
      <c r="AC696" s="50"/>
      <c r="AD696" s="37"/>
      <c r="AE696" s="37"/>
      <c r="AF696" s="37"/>
      <c r="AG696" s="37"/>
      <c r="AH696" s="37"/>
      <c r="AI696" s="37"/>
      <c r="AJ696" s="37" t="s">
        <v>5731</v>
      </c>
      <c r="AK696" s="38">
        <f t="shared" si="255"/>
        <v>0</v>
      </c>
      <c r="AL696" s="38">
        <f t="shared" si="255"/>
        <v>0</v>
      </c>
      <c r="AM696" s="38">
        <f t="shared" si="255"/>
        <v>418</v>
      </c>
      <c r="AN696" s="38">
        <f t="shared" si="256"/>
        <v>1560</v>
      </c>
      <c r="AO696" s="38">
        <f t="shared" si="256"/>
        <v>4724</v>
      </c>
      <c r="AP696" s="38"/>
      <c r="AQ696" s="38"/>
      <c r="AR696" s="38"/>
      <c r="AS696" s="59">
        <f t="shared" si="253"/>
        <v>6702</v>
      </c>
    </row>
    <row r="697" spans="1:45" x14ac:dyDescent="0.2">
      <c r="A697" t="s">
        <v>4323</v>
      </c>
      <c r="B697">
        <f>SUM(FishSumAllPRN!B697)</f>
        <v>0</v>
      </c>
      <c r="C697">
        <f>SUM(FishSumAllPRN!C697)</f>
        <v>0</v>
      </c>
      <c r="D697">
        <f>SUM(FishSumAllPRN!D697)</f>
        <v>0</v>
      </c>
      <c r="E697">
        <f>SUM(FishSumAllPRN!E697)</f>
        <v>0</v>
      </c>
      <c r="F697">
        <f>SUM(FishSumAllPRN!F697)</f>
        <v>0</v>
      </c>
      <c r="G697">
        <f>SUM(FishSumAllPRN!G697)</f>
        <v>0</v>
      </c>
      <c r="H697" s="54" t="s">
        <v>294</v>
      </c>
      <c r="I697" s="54"/>
      <c r="K697" t="s">
        <v>5738</v>
      </c>
      <c r="R697" s="38">
        <f t="shared" ref="R697:T698" si="257">SUM(B791,B795,B797)</f>
        <v>0</v>
      </c>
      <c r="S697" s="38">
        <f t="shared" si="257"/>
        <v>0</v>
      </c>
      <c r="T697" s="38">
        <f t="shared" si="257"/>
        <v>0</v>
      </c>
      <c r="U697" s="38">
        <f>SUM(E791,E797)</f>
        <v>5</v>
      </c>
      <c r="V697" s="38">
        <f>SUM(F791,F797)</f>
        <v>1343</v>
      </c>
      <c r="Z697">
        <f t="shared" si="215"/>
        <v>1348</v>
      </c>
      <c r="AC697" s="50"/>
      <c r="AD697" s="37"/>
      <c r="AE697" s="37"/>
      <c r="AF697" s="37"/>
      <c r="AG697" s="37"/>
      <c r="AH697" s="37"/>
      <c r="AI697" s="37"/>
      <c r="AJ697" s="37" t="s">
        <v>5733</v>
      </c>
      <c r="AK697" s="38">
        <v>0</v>
      </c>
      <c r="AL697" s="38">
        <v>0</v>
      </c>
      <c r="AM697" s="38">
        <v>0</v>
      </c>
      <c r="AN697" s="38">
        <f t="shared" si="256"/>
        <v>2815</v>
      </c>
      <c r="AO697" s="38">
        <f t="shared" si="256"/>
        <v>39</v>
      </c>
      <c r="AP697" s="38">
        <f>SUM(W687:W688)</f>
        <v>0</v>
      </c>
      <c r="AQ697" s="38">
        <f>SUM(X687:X688)</f>
        <v>0</v>
      </c>
      <c r="AR697" s="38">
        <f>SUM(Y687:Y688)</f>
        <v>0</v>
      </c>
      <c r="AS697" s="59">
        <f t="shared" si="253"/>
        <v>2854</v>
      </c>
    </row>
    <row r="698" spans="1:45" x14ac:dyDescent="0.2">
      <c r="A698" t="s">
        <v>4324</v>
      </c>
      <c r="B698">
        <f>SUM(FishSumAllPRN!B698)</f>
        <v>0</v>
      </c>
      <c r="C698">
        <f>SUM(FishSumAllPRN!C698)</f>
        <v>0</v>
      </c>
      <c r="D698">
        <f>SUM(FishSumAllPRN!D698)</f>
        <v>0</v>
      </c>
      <c r="E698">
        <f>SUM(FishSumAllPRN!E698)</f>
        <v>0</v>
      </c>
      <c r="F698">
        <f>SUM(FishSumAllPRN!F698)</f>
        <v>0</v>
      </c>
      <c r="G698">
        <f>SUM(FishSumAllPRN!G698)</f>
        <v>0</v>
      </c>
      <c r="H698" s="54" t="s">
        <v>294</v>
      </c>
      <c r="I698" s="54"/>
      <c r="K698" t="s">
        <v>5740</v>
      </c>
      <c r="R698" s="38">
        <f t="shared" si="257"/>
        <v>0</v>
      </c>
      <c r="S698" s="38">
        <f t="shared" si="257"/>
        <v>0</v>
      </c>
      <c r="T698" s="38">
        <f t="shared" si="257"/>
        <v>10</v>
      </c>
      <c r="U698" s="38">
        <f>SUM(E792,E798)</f>
        <v>1448</v>
      </c>
      <c r="V698" s="38">
        <f>SUM(F792,F798)</f>
        <v>3056</v>
      </c>
      <c r="Z698">
        <f t="shared" si="215"/>
        <v>4514</v>
      </c>
      <c r="AC698" s="50"/>
      <c r="AD698" s="37"/>
      <c r="AE698" s="37"/>
      <c r="AF698" s="37"/>
      <c r="AG698" s="37"/>
      <c r="AH698" s="37"/>
      <c r="AI698" s="37"/>
      <c r="AJ698" s="37" t="s">
        <v>5735</v>
      </c>
      <c r="AK698" s="38">
        <v>0</v>
      </c>
      <c r="AL698" s="38">
        <v>0</v>
      </c>
      <c r="AM698" s="38">
        <v>0</v>
      </c>
      <c r="AN698" s="38">
        <f t="shared" si="256"/>
        <v>23233</v>
      </c>
      <c r="AO698" s="38">
        <f t="shared" si="256"/>
        <v>1144</v>
      </c>
      <c r="AP698" s="38"/>
      <c r="AQ698" s="38"/>
      <c r="AR698" s="38"/>
      <c r="AS698" s="59">
        <f t="shared" si="253"/>
        <v>24377</v>
      </c>
    </row>
    <row r="699" spans="1:45" x14ac:dyDescent="0.2">
      <c r="A699" t="s">
        <v>4325</v>
      </c>
      <c r="B699">
        <f>SUM(FishSumAllPRN!B699)</f>
        <v>0</v>
      </c>
      <c r="C699">
        <f>SUM(FishSumAllPRN!C699)</f>
        <v>0</v>
      </c>
      <c r="D699">
        <f>SUM(FishSumAllPRN!D699)</f>
        <v>0</v>
      </c>
      <c r="E699">
        <f>SUM(FishSumAllPRN!E699)</f>
        <v>0</v>
      </c>
      <c r="F699">
        <f>SUM(FishSumAllPRN!F699)</f>
        <v>0</v>
      </c>
      <c r="G699">
        <f>SUM(FishSumAllPRN!G699)</f>
        <v>0</v>
      </c>
      <c r="H699" s="54" t="s">
        <v>294</v>
      </c>
      <c r="I699" s="54"/>
      <c r="K699" t="s">
        <v>5742</v>
      </c>
      <c r="R699" s="38">
        <f t="shared" ref="R699:T700" si="258">SUM(B757,B759,B761,B768,B770,B775,B777,B779,B781,B783)</f>
        <v>0</v>
      </c>
      <c r="S699" s="38">
        <f t="shared" si="258"/>
        <v>0</v>
      </c>
      <c r="T699" s="38">
        <f t="shared" si="258"/>
        <v>0</v>
      </c>
      <c r="U699" s="38">
        <f>SUM(E757,E759,E761,E768,E770,E775,E777,E779,E781,E783)</f>
        <v>37</v>
      </c>
      <c r="V699" s="38">
        <f>SUM(F757,F759,F761,F768,F770,F775,F777,F779,F781,F783)</f>
        <v>928</v>
      </c>
      <c r="Z699">
        <f t="shared" si="215"/>
        <v>965</v>
      </c>
      <c r="AC699" s="50"/>
      <c r="AD699" s="37"/>
      <c r="AE699" s="37"/>
      <c r="AF699" s="37"/>
      <c r="AG699" s="37"/>
      <c r="AH699" s="37"/>
      <c r="AI699" s="37"/>
      <c r="AJ699" s="37" t="s">
        <v>5737</v>
      </c>
      <c r="AK699" s="38">
        <v>0</v>
      </c>
      <c r="AL699" s="38">
        <v>0</v>
      </c>
      <c r="AM699" s="38">
        <v>0</v>
      </c>
      <c r="AN699" s="38">
        <f t="shared" ref="AN699:AO702" si="259">SUM(U691)</f>
        <v>0</v>
      </c>
      <c r="AO699" s="38">
        <f t="shared" si="259"/>
        <v>0</v>
      </c>
      <c r="AP699" s="38">
        <f>SUM(W691:W692)</f>
        <v>0</v>
      </c>
      <c r="AQ699" s="38">
        <f>SUM(X691:X692)</f>
        <v>0</v>
      </c>
      <c r="AR699" s="38">
        <f>SUM(Y691:Y692)</f>
        <v>0</v>
      </c>
      <c r="AS699" s="59">
        <f t="shared" si="253"/>
        <v>0</v>
      </c>
    </row>
    <row r="700" spans="1:45" x14ac:dyDescent="0.2">
      <c r="A700" t="s">
        <v>4326</v>
      </c>
      <c r="B700">
        <f>SUM(FishSumAllPRN!B700)</f>
        <v>0</v>
      </c>
      <c r="C700">
        <f>SUM(FishSumAllPRN!C700)</f>
        <v>0</v>
      </c>
      <c r="D700">
        <f>SUM(FishSumAllPRN!D700)</f>
        <v>0</v>
      </c>
      <c r="E700">
        <f>SUM(FishSumAllPRN!E700)</f>
        <v>0</v>
      </c>
      <c r="F700">
        <f>SUM(FishSumAllPRN!F700)</f>
        <v>0</v>
      </c>
      <c r="G700">
        <f>SUM(FishSumAllPRN!G700)</f>
        <v>0</v>
      </c>
      <c r="H700" s="54" t="s">
        <v>294</v>
      </c>
      <c r="I700" s="54"/>
      <c r="K700" t="s">
        <v>5743</v>
      </c>
      <c r="R700" s="38">
        <f t="shared" si="258"/>
        <v>0</v>
      </c>
      <c r="S700" s="38">
        <f t="shared" si="258"/>
        <v>0</v>
      </c>
      <c r="T700" s="38">
        <f t="shared" si="258"/>
        <v>0</v>
      </c>
      <c r="U700" s="38">
        <f>SUM(E758,E760,E762,E769,E771,E776,E778,E780,E782,E784)</f>
        <v>28386</v>
      </c>
      <c r="V700" s="38">
        <f>SUM(F758,F760,F762,F769,F771,F776,F778,F780,F782,F784)</f>
        <v>16248</v>
      </c>
      <c r="Z700">
        <f t="shared" si="215"/>
        <v>44634</v>
      </c>
      <c r="AC700" s="50"/>
      <c r="AD700" s="37"/>
      <c r="AE700" s="37"/>
      <c r="AF700" s="37"/>
      <c r="AG700" s="37"/>
      <c r="AH700" s="37"/>
      <c r="AI700" s="37"/>
      <c r="AJ700" s="37" t="s">
        <v>5739</v>
      </c>
      <c r="AK700" s="38">
        <v>0</v>
      </c>
      <c r="AL700" s="38">
        <v>0</v>
      </c>
      <c r="AM700" s="38">
        <v>0</v>
      </c>
      <c r="AN700" s="38">
        <f t="shared" si="259"/>
        <v>433</v>
      </c>
      <c r="AO700" s="38">
        <f t="shared" si="259"/>
        <v>201</v>
      </c>
      <c r="AP700" s="38"/>
      <c r="AQ700" s="38"/>
      <c r="AR700" s="38"/>
      <c r="AS700" s="59">
        <f t="shared" si="253"/>
        <v>634</v>
      </c>
    </row>
    <row r="701" spans="1:45" x14ac:dyDescent="0.2">
      <c r="A701" t="s">
        <v>4327</v>
      </c>
      <c r="B701">
        <f>SUM(FishSumAllPRN!B701)</f>
        <v>0</v>
      </c>
      <c r="C701">
        <f>SUM(FishSumAllPRN!C701)</f>
        <v>0</v>
      </c>
      <c r="D701">
        <f>SUM(FishSumAllPRN!D701)</f>
        <v>0</v>
      </c>
      <c r="E701">
        <f>SUM(FishSumAllPRN!E701)</f>
        <v>11225</v>
      </c>
      <c r="F701">
        <f>SUM(FishSumAllPRN!F701)</f>
        <v>5234</v>
      </c>
      <c r="G701">
        <f>SUM(FishSumAllPRN!G701)</f>
        <v>16459</v>
      </c>
      <c r="H701" s="54" t="s">
        <v>294</v>
      </c>
      <c r="I701" s="54"/>
      <c r="K701" t="s">
        <v>5745</v>
      </c>
      <c r="R701" s="38">
        <f t="shared" ref="R701:T704" si="260">SUM(B820)</f>
        <v>0</v>
      </c>
      <c r="S701" s="38">
        <f t="shared" si="260"/>
        <v>0</v>
      </c>
      <c r="T701" s="38">
        <f t="shared" si="260"/>
        <v>3911</v>
      </c>
      <c r="U701" s="38">
        <f t="shared" ref="U701:V704" si="261">SUM(E820)</f>
        <v>182</v>
      </c>
      <c r="V701" s="38">
        <f t="shared" si="261"/>
        <v>35</v>
      </c>
      <c r="Z701">
        <f t="shared" si="215"/>
        <v>4128</v>
      </c>
      <c r="AC701" s="50"/>
      <c r="AD701" s="37"/>
      <c r="AE701" s="37"/>
      <c r="AF701" s="37"/>
      <c r="AG701" s="37"/>
      <c r="AH701" s="37"/>
      <c r="AI701" s="37"/>
      <c r="AJ701" s="37" t="s">
        <v>5741</v>
      </c>
      <c r="AK701" s="38">
        <v>0</v>
      </c>
      <c r="AL701" s="38">
        <v>0</v>
      </c>
      <c r="AM701" s="38">
        <v>0</v>
      </c>
      <c r="AN701" s="38">
        <f t="shared" si="259"/>
        <v>0</v>
      </c>
      <c r="AO701" s="38">
        <f t="shared" si="259"/>
        <v>0</v>
      </c>
      <c r="AP701" s="38">
        <f>SUM(W693:W694)</f>
        <v>0</v>
      </c>
      <c r="AQ701" s="38">
        <f>SUM(X693:X694)</f>
        <v>0</v>
      </c>
      <c r="AR701" s="38">
        <f>SUM(Y693:Y694)</f>
        <v>0</v>
      </c>
      <c r="AS701" s="59">
        <f t="shared" si="253"/>
        <v>0</v>
      </c>
    </row>
    <row r="702" spans="1:45" x14ac:dyDescent="0.2">
      <c r="A702" t="s">
        <v>4328</v>
      </c>
      <c r="B702">
        <f>SUM(FishSumAllPRN!B702)</f>
        <v>0</v>
      </c>
      <c r="C702">
        <f>SUM(FishSumAllPRN!C702)</f>
        <v>0</v>
      </c>
      <c r="D702">
        <f>SUM(FishSumAllPRN!D702)</f>
        <v>0</v>
      </c>
      <c r="E702">
        <f>SUM(FishSumAllPRN!E702)</f>
        <v>0</v>
      </c>
      <c r="F702">
        <f>SUM(FishSumAllPRN!F702)</f>
        <v>0</v>
      </c>
      <c r="G702">
        <f>SUM(FishSumAllPRN!G702)</f>
        <v>0</v>
      </c>
      <c r="H702" s="54" t="s">
        <v>294</v>
      </c>
      <c r="I702" s="54"/>
      <c r="K702" t="s">
        <v>5747</v>
      </c>
      <c r="R702" s="38">
        <f t="shared" si="260"/>
        <v>0</v>
      </c>
      <c r="S702" s="38">
        <f t="shared" si="260"/>
        <v>0</v>
      </c>
      <c r="T702" s="38">
        <f t="shared" si="260"/>
        <v>0</v>
      </c>
      <c r="U702" s="38">
        <f t="shared" si="261"/>
        <v>269</v>
      </c>
      <c r="V702" s="38">
        <f t="shared" si="261"/>
        <v>45</v>
      </c>
      <c r="Z702">
        <f t="shared" si="215"/>
        <v>314</v>
      </c>
      <c r="AC702" s="50"/>
      <c r="AD702" s="37"/>
      <c r="AE702" s="37"/>
      <c r="AF702" s="37"/>
      <c r="AG702" s="37"/>
      <c r="AH702" s="37"/>
      <c r="AI702" s="37"/>
      <c r="AJ702" s="37" t="s">
        <v>318</v>
      </c>
      <c r="AK702" s="38">
        <v>0</v>
      </c>
      <c r="AL702" s="38">
        <v>0</v>
      </c>
      <c r="AM702" s="38">
        <v>0</v>
      </c>
      <c r="AN702" s="38">
        <f t="shared" si="259"/>
        <v>4640</v>
      </c>
      <c r="AO702" s="38">
        <f t="shared" si="259"/>
        <v>996</v>
      </c>
      <c r="AP702" s="38"/>
      <c r="AQ702" s="38"/>
      <c r="AR702" s="38"/>
      <c r="AS702" s="59">
        <f t="shared" si="253"/>
        <v>5636</v>
      </c>
    </row>
    <row r="703" spans="1:45" x14ac:dyDescent="0.2">
      <c r="A703" t="s">
        <v>4329</v>
      </c>
      <c r="B703">
        <f>SUM(FishSumAllPRN!B703)</f>
        <v>0</v>
      </c>
      <c r="C703">
        <f>SUM(FishSumAllPRN!C703)</f>
        <v>0</v>
      </c>
      <c r="D703">
        <f>SUM(FishSumAllPRN!D703)</f>
        <v>0</v>
      </c>
      <c r="E703">
        <f>SUM(FishSumAllPRN!E703)</f>
        <v>0</v>
      </c>
      <c r="F703">
        <f>SUM(FishSumAllPRN!F703)</f>
        <v>2076</v>
      </c>
      <c r="G703">
        <f>SUM(FishSumAllPRN!G703)</f>
        <v>2076</v>
      </c>
      <c r="H703" s="54" t="s">
        <v>294</v>
      </c>
      <c r="I703" s="54"/>
      <c r="K703" t="s">
        <v>5749</v>
      </c>
      <c r="R703" s="38">
        <f t="shared" si="260"/>
        <v>0</v>
      </c>
      <c r="S703" s="38">
        <f t="shared" si="260"/>
        <v>0</v>
      </c>
      <c r="T703" s="38">
        <f t="shared" si="260"/>
        <v>0</v>
      </c>
      <c r="U703" s="38">
        <f t="shared" si="261"/>
        <v>0</v>
      </c>
      <c r="V703" s="38">
        <f t="shared" si="261"/>
        <v>0</v>
      </c>
      <c r="Z703">
        <f>SUM(R703:V703)</f>
        <v>0</v>
      </c>
      <c r="AC703" s="50"/>
      <c r="AD703" s="37"/>
      <c r="AE703" s="37"/>
      <c r="AF703" s="37"/>
      <c r="AG703" s="37"/>
      <c r="AH703" s="37"/>
      <c r="AI703" s="37"/>
      <c r="AJ703" s="37" t="s">
        <v>5744</v>
      </c>
      <c r="AK703" s="38">
        <v>0</v>
      </c>
      <c r="AL703" s="38">
        <v>0</v>
      </c>
      <c r="AM703" s="38">
        <v>0</v>
      </c>
      <c r="AN703" s="38">
        <f>SUM(E749)</f>
        <v>21</v>
      </c>
      <c r="AO703" s="38">
        <f>SUM(F749)</f>
        <v>0</v>
      </c>
      <c r="AP703" s="38"/>
      <c r="AQ703" s="38"/>
      <c r="AR703" s="38"/>
      <c r="AS703" s="59">
        <f t="shared" si="253"/>
        <v>21</v>
      </c>
    </row>
    <row r="704" spans="1:45" x14ac:dyDescent="0.2">
      <c r="A704" t="s">
        <v>4330</v>
      </c>
      <c r="B704">
        <f>SUM(FishSumAllPRN!B704)</f>
        <v>0</v>
      </c>
      <c r="C704">
        <f>SUM(FishSumAllPRN!C704)</f>
        <v>0</v>
      </c>
      <c r="D704">
        <f>SUM(FishSumAllPRN!D704)</f>
        <v>0</v>
      </c>
      <c r="E704">
        <f>SUM(FishSumAllPRN!E704)</f>
        <v>0</v>
      </c>
      <c r="F704">
        <f>SUM(FishSumAllPRN!F704)</f>
        <v>0</v>
      </c>
      <c r="G704">
        <f>SUM(FishSumAllPRN!G704)</f>
        <v>0</v>
      </c>
      <c r="H704" s="54" t="s">
        <v>294</v>
      </c>
      <c r="I704" s="54"/>
      <c r="K704" t="s">
        <v>5751</v>
      </c>
      <c r="R704" s="38">
        <f t="shared" si="260"/>
        <v>0</v>
      </c>
      <c r="S704" s="38">
        <f t="shared" si="260"/>
        <v>0</v>
      </c>
      <c r="T704" s="38">
        <f t="shared" si="260"/>
        <v>0</v>
      </c>
      <c r="U704" s="38">
        <f t="shared" si="261"/>
        <v>0</v>
      </c>
      <c r="V704" s="38">
        <f t="shared" si="261"/>
        <v>0</v>
      </c>
      <c r="Z704">
        <f>SUM(R704:V704)</f>
        <v>0</v>
      </c>
      <c r="AC704" s="50"/>
      <c r="AD704" s="37"/>
      <c r="AE704" s="37"/>
      <c r="AF704" s="37"/>
      <c r="AG704" s="37"/>
      <c r="AH704" s="37"/>
      <c r="AI704" s="37"/>
      <c r="AJ704" s="37" t="s">
        <v>5746</v>
      </c>
      <c r="AK704" s="38">
        <v>0</v>
      </c>
      <c r="AL704" s="38">
        <v>0</v>
      </c>
      <c r="AM704" s="38">
        <v>0</v>
      </c>
      <c r="AN704" s="38">
        <f>SUM(E750)</f>
        <v>15418</v>
      </c>
      <c r="AO704" s="38">
        <f>SUM(F750)</f>
        <v>7848</v>
      </c>
      <c r="AP704" s="38"/>
      <c r="AQ704" s="38"/>
      <c r="AR704" s="38"/>
      <c r="AS704" s="59">
        <f t="shared" si="253"/>
        <v>23266</v>
      </c>
    </row>
    <row r="705" spans="1:45" x14ac:dyDescent="0.2">
      <c r="A705" t="s">
        <v>4331</v>
      </c>
      <c r="B705">
        <f>SUM(FishSumAllPRN!B705)</f>
        <v>0</v>
      </c>
      <c r="C705">
        <f>SUM(FishSumAllPRN!C705)</f>
        <v>0</v>
      </c>
      <c r="D705">
        <f>SUM(FishSumAllPRN!D705)</f>
        <v>0</v>
      </c>
      <c r="E705">
        <f>SUM(FishSumAllPRN!E705)</f>
        <v>0</v>
      </c>
      <c r="F705">
        <f>SUM(FishSumAllPRN!F705)</f>
        <v>0</v>
      </c>
      <c r="G705">
        <f>SUM(FishSumAllPRN!G705)</f>
        <v>0</v>
      </c>
      <c r="H705" s="54" t="s">
        <v>294</v>
      </c>
      <c r="I705" s="54"/>
      <c r="AC705" s="50"/>
      <c r="AD705" s="37"/>
      <c r="AE705" s="37"/>
      <c r="AF705" s="37"/>
      <c r="AG705" s="37"/>
      <c r="AH705" s="37"/>
      <c r="AI705" s="37"/>
      <c r="AJ705" s="37" t="s">
        <v>5748</v>
      </c>
      <c r="AK705" s="38">
        <v>0</v>
      </c>
      <c r="AL705" s="38">
        <v>0</v>
      </c>
      <c r="AM705" s="38">
        <v>0</v>
      </c>
      <c r="AN705" s="38">
        <v>0</v>
      </c>
      <c r="AO705" s="38">
        <v>0</v>
      </c>
      <c r="AP705" s="38">
        <v>0</v>
      </c>
      <c r="AQ705" s="38">
        <v>0</v>
      </c>
      <c r="AR705" s="38">
        <v>0</v>
      </c>
      <c r="AS705" s="59">
        <f t="shared" si="253"/>
        <v>0</v>
      </c>
    </row>
    <row r="706" spans="1:45" x14ac:dyDescent="0.2">
      <c r="A706" t="s">
        <v>4332</v>
      </c>
      <c r="B706">
        <f>SUM(FishSumAllPRN!B706)</f>
        <v>0</v>
      </c>
      <c r="C706">
        <f>SUM(FishSumAllPRN!C706)</f>
        <v>0</v>
      </c>
      <c r="D706">
        <f>SUM(FishSumAllPRN!D706)</f>
        <v>0</v>
      </c>
      <c r="E706">
        <f>SUM(FishSumAllPRN!E706)</f>
        <v>9279</v>
      </c>
      <c r="F706">
        <f>SUM(FishSumAllPRN!F706)</f>
        <v>1768</v>
      </c>
      <c r="G706">
        <f>SUM(FishSumAllPRN!G706)</f>
        <v>11047</v>
      </c>
      <c r="H706" s="54" t="s">
        <v>294</v>
      </c>
      <c r="I706" s="54"/>
      <c r="AC706" s="61"/>
      <c r="AJ706" s="37" t="s">
        <v>5750</v>
      </c>
      <c r="AK706" s="38">
        <v>0</v>
      </c>
      <c r="AL706" s="38">
        <v>0</v>
      </c>
      <c r="AM706" s="38">
        <v>0</v>
      </c>
      <c r="AN706" s="38">
        <f>SUM(E793,E795)</f>
        <v>2526</v>
      </c>
      <c r="AO706" s="38">
        <f>SUM(F793,F795)</f>
        <v>40</v>
      </c>
      <c r="AP706" s="38">
        <f>SUM(W695:W696)</f>
        <v>0</v>
      </c>
      <c r="AQ706" s="38">
        <f>SUM(X695:X696)</f>
        <v>0</v>
      </c>
      <c r="AR706" s="38">
        <f>SUM(Y695:Y696)</f>
        <v>0</v>
      </c>
      <c r="AS706" s="59">
        <f t="shared" si="253"/>
        <v>2566</v>
      </c>
    </row>
    <row r="707" spans="1:45" x14ac:dyDescent="0.2">
      <c r="A707" t="s">
        <v>4333</v>
      </c>
      <c r="B707">
        <f>SUM(FishSumAllPRN!B707)</f>
        <v>0</v>
      </c>
      <c r="C707">
        <f>SUM(FishSumAllPRN!C707)</f>
        <v>0</v>
      </c>
      <c r="D707">
        <f>SUM(FishSumAllPRN!D707)</f>
        <v>0</v>
      </c>
      <c r="E707">
        <f>SUM(FishSumAllPRN!E707)</f>
        <v>0</v>
      </c>
      <c r="F707">
        <f>SUM(FishSumAllPRN!F707)</f>
        <v>0</v>
      </c>
      <c r="G707">
        <f>SUM(FishSumAllPRN!G707)</f>
        <v>0</v>
      </c>
      <c r="H707" s="54" t="s">
        <v>294</v>
      </c>
      <c r="I707" s="54"/>
      <c r="AC707" s="61"/>
      <c r="AJ707" s="37" t="s">
        <v>5752</v>
      </c>
      <c r="AK707" s="38">
        <v>0</v>
      </c>
      <c r="AL707" s="38">
        <v>0</v>
      </c>
      <c r="AM707" s="38">
        <v>0</v>
      </c>
      <c r="AN707" s="38">
        <f>SUM(E794,E796)</f>
        <v>8479</v>
      </c>
      <c r="AO707" s="38">
        <f>SUM(F794,F796)</f>
        <v>1481</v>
      </c>
      <c r="AP707" s="38"/>
      <c r="AQ707" s="38"/>
      <c r="AR707" s="38"/>
      <c r="AS707" s="59">
        <f t="shared" si="253"/>
        <v>9960</v>
      </c>
    </row>
    <row r="708" spans="1:45" x14ac:dyDescent="0.2">
      <c r="A708" t="s">
        <v>4334</v>
      </c>
      <c r="B708">
        <f>SUM(FishSumAllPRN!B708)</f>
        <v>0</v>
      </c>
      <c r="C708">
        <f>SUM(FishSumAllPRN!C708)</f>
        <v>0</v>
      </c>
      <c r="D708">
        <f>SUM(FishSumAllPRN!D708)</f>
        <v>0</v>
      </c>
      <c r="E708">
        <f>SUM(FishSumAllPRN!E708)</f>
        <v>0</v>
      </c>
      <c r="F708">
        <f>SUM(FishSumAllPRN!F708)</f>
        <v>3978</v>
      </c>
      <c r="G708">
        <f>SUM(FishSumAllPRN!G708)</f>
        <v>3978</v>
      </c>
      <c r="H708" s="54" t="s">
        <v>294</v>
      </c>
      <c r="I708" s="54"/>
      <c r="AC708" s="61"/>
      <c r="AJ708" s="37" t="s">
        <v>5753</v>
      </c>
      <c r="AK708" s="38">
        <v>0</v>
      </c>
      <c r="AL708" s="38">
        <v>0</v>
      </c>
      <c r="AM708" s="38">
        <v>0</v>
      </c>
      <c r="AN708" s="38">
        <f>SUM(E791,E797)</f>
        <v>5</v>
      </c>
      <c r="AO708" s="38">
        <f>SUM(F791,F797)</f>
        <v>1343</v>
      </c>
      <c r="AP708" s="38">
        <f>SUM(W697:W698)</f>
        <v>0</v>
      </c>
      <c r="AQ708" s="38">
        <f>SUM(X697:X698)</f>
        <v>0</v>
      </c>
      <c r="AR708" s="38">
        <f>SUM(Y697:Y698)</f>
        <v>0</v>
      </c>
      <c r="AS708" s="59">
        <f t="shared" si="253"/>
        <v>1348</v>
      </c>
    </row>
    <row r="709" spans="1:45" x14ac:dyDescent="0.2">
      <c r="A709" t="s">
        <v>4335</v>
      </c>
      <c r="B709">
        <f>SUM(FishSumAllPRN!B709)</f>
        <v>0</v>
      </c>
      <c r="C709">
        <f>SUM(FishSumAllPRN!C709)</f>
        <v>0</v>
      </c>
      <c r="D709">
        <f>SUM(FishSumAllPRN!D709)</f>
        <v>0</v>
      </c>
      <c r="E709">
        <f>SUM(FishSumAllPRN!E709)</f>
        <v>1435</v>
      </c>
      <c r="F709">
        <f>SUM(FishSumAllPRN!F709)</f>
        <v>3091</v>
      </c>
      <c r="G709">
        <f>SUM(FishSumAllPRN!G709)</f>
        <v>4526</v>
      </c>
      <c r="H709" s="54" t="s">
        <v>294</v>
      </c>
      <c r="I709" s="54"/>
      <c r="AC709" s="61"/>
      <c r="AJ709" s="37" t="s">
        <v>5754</v>
      </c>
      <c r="AK709" s="38">
        <v>0</v>
      </c>
      <c r="AL709" s="38">
        <v>0</v>
      </c>
      <c r="AM709" s="38">
        <v>0</v>
      </c>
      <c r="AN709" s="38">
        <f>SUM(E792,E798)</f>
        <v>1448</v>
      </c>
      <c r="AO709" s="38">
        <f>SUM(F792,F798)</f>
        <v>3056</v>
      </c>
      <c r="AP709" s="38"/>
      <c r="AQ709" s="38"/>
      <c r="AR709" s="38"/>
      <c r="AS709" s="59">
        <f t="shared" si="253"/>
        <v>4504</v>
      </c>
    </row>
    <row r="710" spans="1:45" x14ac:dyDescent="0.2">
      <c r="A710" t="s">
        <v>4336</v>
      </c>
      <c r="B710">
        <f>SUM(FishSumAllPRN!B710)</f>
        <v>0</v>
      </c>
      <c r="C710">
        <f>SUM(FishSumAllPRN!C710)</f>
        <v>0</v>
      </c>
      <c r="D710">
        <f>SUM(FishSumAllPRN!D710)</f>
        <v>0</v>
      </c>
      <c r="E710">
        <f>SUM(FishSumAllPRN!E710)</f>
        <v>0</v>
      </c>
      <c r="F710">
        <f>SUM(FishSumAllPRN!F710)</f>
        <v>0</v>
      </c>
      <c r="G710">
        <f>SUM(FishSumAllPRN!G710)</f>
        <v>0</v>
      </c>
      <c r="H710" s="54" t="s">
        <v>294</v>
      </c>
      <c r="I710" s="54"/>
      <c r="AC710" s="61"/>
      <c r="AJ710" s="37" t="s">
        <v>5767</v>
      </c>
      <c r="AK710" s="38">
        <v>0</v>
      </c>
      <c r="AL710" s="38">
        <v>0</v>
      </c>
      <c r="AM710" s="38">
        <v>0</v>
      </c>
      <c r="AN710" s="38">
        <f>SUM(E757,E759,E761,E768,E770,E775,E777,E779,E781,E783)</f>
        <v>37</v>
      </c>
      <c r="AO710" s="38">
        <f>SUM(F757,F759,F761,F768,F770,F775,F777,F779,F781,F783)</f>
        <v>928</v>
      </c>
      <c r="AP710" s="38"/>
      <c r="AQ710" s="38"/>
      <c r="AR710" s="38"/>
      <c r="AS710" s="59">
        <f t="shared" si="253"/>
        <v>965</v>
      </c>
    </row>
    <row r="711" spans="1:45" ht="13.5" thickBot="1" x14ac:dyDescent="0.25">
      <c r="A711" t="s">
        <v>4337</v>
      </c>
      <c r="B711">
        <f>SUM(FishSumAllPRN!B711)</f>
        <v>0</v>
      </c>
      <c r="C711">
        <f>SUM(FishSumAllPRN!C711)</f>
        <v>0</v>
      </c>
      <c r="D711">
        <f>SUM(FishSumAllPRN!D711)</f>
        <v>0</v>
      </c>
      <c r="E711">
        <f>SUM(FishSumAllPRN!E711)</f>
        <v>0</v>
      </c>
      <c r="F711">
        <f>SUM(FishSumAllPRN!F711)</f>
        <v>541</v>
      </c>
      <c r="G711">
        <f>SUM(FishSumAllPRN!G711)</f>
        <v>541</v>
      </c>
      <c r="H711" s="54" t="s">
        <v>294</v>
      </c>
      <c r="I711" s="54"/>
      <c r="AC711" s="62"/>
      <c r="AD711" s="63"/>
      <c r="AE711" s="63"/>
      <c r="AF711" s="63"/>
      <c r="AG711" s="63"/>
      <c r="AH711" s="63"/>
      <c r="AI711" s="63"/>
      <c r="AJ711" s="56" t="s">
        <v>5768</v>
      </c>
      <c r="AK711" s="57">
        <v>0</v>
      </c>
      <c r="AL711" s="57">
        <v>0</v>
      </c>
      <c r="AM711" s="57">
        <v>0</v>
      </c>
      <c r="AN711" s="57">
        <f>SUM(E758,E760,E762,E769,E771,E776,E778,E780,E782,E784)</f>
        <v>28386</v>
      </c>
      <c r="AO711" s="57">
        <f>SUM(F758,F760,F762,F769,F771,F776,F778,F780,F782,F784)</f>
        <v>16248</v>
      </c>
      <c r="AP711" s="57">
        <f>SUM(W699:W700)</f>
        <v>0</v>
      </c>
      <c r="AQ711" s="57">
        <f>SUM(X699:X700)</f>
        <v>0</v>
      </c>
      <c r="AR711" s="57">
        <f>SUM(Y699:Y700)</f>
        <v>0</v>
      </c>
      <c r="AS711" s="64">
        <f t="shared" si="253"/>
        <v>44634</v>
      </c>
    </row>
    <row r="712" spans="1:45" ht="13.5" thickBot="1" x14ac:dyDescent="0.25">
      <c r="A712" t="s">
        <v>4338</v>
      </c>
      <c r="B712">
        <f>SUM(FishSumAllPRN!B712)</f>
        <v>0</v>
      </c>
      <c r="C712">
        <f>SUM(FishSumAllPRN!C712)</f>
        <v>0</v>
      </c>
      <c r="D712">
        <f>SUM(FishSumAllPRN!D712)</f>
        <v>0</v>
      </c>
      <c r="E712">
        <f>SUM(FishSumAllPRN!E712)</f>
        <v>256</v>
      </c>
      <c r="F712">
        <f>SUM(FishSumAllPRN!F712)</f>
        <v>1548</v>
      </c>
      <c r="G712">
        <f>SUM(FishSumAllPRN!G712)</f>
        <v>1804</v>
      </c>
      <c r="H712" s="54" t="s">
        <v>294</v>
      </c>
      <c r="I712" s="54"/>
    </row>
    <row r="713" spans="1:45" x14ac:dyDescent="0.2">
      <c r="A713" t="s">
        <v>4339</v>
      </c>
      <c r="B713">
        <f>SUM(FishSumAllPRN!B713)</f>
        <v>0</v>
      </c>
      <c r="C713">
        <f>SUM(FishSumAllPRN!C713)</f>
        <v>0</v>
      </c>
      <c r="D713">
        <f>SUM(FishSumAllPRN!D713)</f>
        <v>0</v>
      </c>
      <c r="E713">
        <f>SUM(FishSumAllPRN!E713)</f>
        <v>0</v>
      </c>
      <c r="F713">
        <f>SUM(FishSumAllPRN!F713)</f>
        <v>0</v>
      </c>
      <c r="G713">
        <f>SUM(FishSumAllPRN!G713)</f>
        <v>0</v>
      </c>
      <c r="H713" s="54" t="s">
        <v>294</v>
      </c>
      <c r="I713" s="54"/>
      <c r="AC713" s="48" t="s">
        <v>5761</v>
      </c>
      <c r="AD713" s="49"/>
      <c r="AE713" s="49"/>
      <c r="AF713" s="49"/>
      <c r="AG713" s="49"/>
      <c r="AH713" s="49"/>
      <c r="AI713" s="49"/>
      <c r="AJ713" s="49"/>
      <c r="AK713" s="65">
        <f>SUM(AK659,AK677,AK680:AK711,AK641,AK640)</f>
        <v>69157</v>
      </c>
      <c r="AL713" s="65">
        <f>SUM(AL659,AL677,AL680:AL711,AL641,AL640)</f>
        <v>311774</v>
      </c>
      <c r="AM713" s="65">
        <f>SUM(AM659,AM677,AM680:AM711,AM641,AM640)</f>
        <v>459505</v>
      </c>
      <c r="AN713" s="65">
        <f t="shared" ref="AN713:AS713" si="262">SUM(AN659,AN677,AN680:AN711,AN641,AN640,AN658)</f>
        <v>420807</v>
      </c>
      <c r="AO713" s="65">
        <f t="shared" si="262"/>
        <v>48289</v>
      </c>
      <c r="AP713" s="65">
        <f t="shared" si="262"/>
        <v>28111</v>
      </c>
      <c r="AQ713" s="65">
        <f t="shared" si="262"/>
        <v>0</v>
      </c>
      <c r="AR713" s="65">
        <f t="shared" si="262"/>
        <v>0</v>
      </c>
      <c r="AS713" s="66">
        <f t="shared" si="262"/>
        <v>1309558</v>
      </c>
    </row>
    <row r="714" spans="1:45" x14ac:dyDescent="0.2">
      <c r="A714" t="s">
        <v>4340</v>
      </c>
      <c r="B714">
        <f>SUM(FishSumAllPRN!B714)</f>
        <v>0</v>
      </c>
      <c r="C714">
        <f>SUM(FishSumAllPRN!C714)</f>
        <v>0</v>
      </c>
      <c r="D714">
        <f>SUM(FishSumAllPRN!D714)</f>
        <v>0</v>
      </c>
      <c r="E714">
        <f>SUM(FishSumAllPRN!E714)</f>
        <v>0</v>
      </c>
      <c r="F714">
        <f>SUM(FishSumAllPRN!F714)</f>
        <v>0</v>
      </c>
      <c r="G714">
        <f>SUM(FishSumAllPRN!G714)</f>
        <v>0</v>
      </c>
      <c r="H714" s="54" t="s">
        <v>294</v>
      </c>
      <c r="I714" s="54"/>
      <c r="AC714" s="50" t="s">
        <v>5769</v>
      </c>
      <c r="AD714" s="37"/>
      <c r="AE714" s="37"/>
      <c r="AF714" s="37"/>
      <c r="AG714" s="37"/>
      <c r="AH714" s="37"/>
      <c r="AI714" s="37"/>
      <c r="AJ714" s="37"/>
      <c r="AK714" s="67" t="s">
        <v>761</v>
      </c>
      <c r="AL714" s="67" t="s">
        <v>761</v>
      </c>
      <c r="AM714" s="67" t="s">
        <v>761</v>
      </c>
      <c r="AN714" s="67"/>
      <c r="AO714" s="71" t="s">
        <v>761</v>
      </c>
      <c r="AP714" s="37"/>
      <c r="AQ714" s="37"/>
      <c r="AR714" s="37"/>
      <c r="AS714" s="68" t="str">
        <f>AO714</f>
        <v>na</v>
      </c>
    </row>
    <row r="715" spans="1:45" ht="13.5" thickBot="1" x14ac:dyDescent="0.25">
      <c r="A715" t="s">
        <v>4341</v>
      </c>
      <c r="B715">
        <f>SUM(FishSumAllPRN!B715)</f>
        <v>0</v>
      </c>
      <c r="C715">
        <f>SUM(FishSumAllPRN!C715)</f>
        <v>0</v>
      </c>
      <c r="D715">
        <f>SUM(FishSumAllPRN!D715)</f>
        <v>0</v>
      </c>
      <c r="E715">
        <f>SUM(FishSumAllPRN!E715)</f>
        <v>0</v>
      </c>
      <c r="F715">
        <f>SUM(FishSumAllPRN!F715)</f>
        <v>52</v>
      </c>
      <c r="G715">
        <f>SUM(FishSumAllPRN!G715)</f>
        <v>52</v>
      </c>
      <c r="H715" s="54" t="s">
        <v>294</v>
      </c>
      <c r="I715" s="54"/>
      <c r="AC715" s="55" t="s">
        <v>5770</v>
      </c>
      <c r="AD715" s="56"/>
      <c r="AE715" s="56"/>
      <c r="AF715" s="56"/>
      <c r="AG715" s="56"/>
      <c r="AH715" s="56"/>
      <c r="AI715" s="56"/>
      <c r="AJ715" s="56"/>
      <c r="AK715" s="56"/>
      <c r="AL715" s="56"/>
      <c r="AM715" s="56"/>
      <c r="AN715" s="56"/>
      <c r="AO715" s="56"/>
      <c r="AP715" s="56"/>
      <c r="AQ715" s="56"/>
      <c r="AR715" s="56"/>
      <c r="AS715" s="70" t="str">
        <f>IF(AS714="na","na",(AS713/(AS714+AS713)))</f>
        <v>na</v>
      </c>
    </row>
    <row r="716" spans="1:45" x14ac:dyDescent="0.2">
      <c r="A716" t="s">
        <v>4342</v>
      </c>
      <c r="B716">
        <f>SUM(FishSumAllPRN!B716)</f>
        <v>0</v>
      </c>
      <c r="C716">
        <f>SUM(FishSumAllPRN!C716)</f>
        <v>0</v>
      </c>
      <c r="D716">
        <f>SUM(FishSumAllPRN!D716)</f>
        <v>0</v>
      </c>
      <c r="E716">
        <f>SUM(FishSumAllPRN!E716)</f>
        <v>0</v>
      </c>
      <c r="F716">
        <f>SUM(FishSumAllPRN!F716)</f>
        <v>0</v>
      </c>
      <c r="G716">
        <f>SUM(FishSumAllPRN!G716)</f>
        <v>0</v>
      </c>
      <c r="H716" s="54" t="s">
        <v>294</v>
      </c>
      <c r="I716" s="54"/>
    </row>
    <row r="717" spans="1:45" x14ac:dyDescent="0.2">
      <c r="A717" t="s">
        <v>4343</v>
      </c>
      <c r="B717">
        <f>SUM(FishSumAllPRN!B717)</f>
        <v>0</v>
      </c>
      <c r="C717">
        <f>SUM(FishSumAllPRN!C717)</f>
        <v>0</v>
      </c>
      <c r="D717">
        <f>SUM(FishSumAllPRN!D717)</f>
        <v>0</v>
      </c>
      <c r="E717">
        <f>SUM(FishSumAllPRN!E717)</f>
        <v>0</v>
      </c>
      <c r="F717">
        <f>SUM(FishSumAllPRN!F717)</f>
        <v>0</v>
      </c>
      <c r="G717">
        <f>SUM(FishSumAllPRN!G717)</f>
        <v>0</v>
      </c>
      <c r="H717" s="54" t="s">
        <v>294</v>
      </c>
      <c r="I717" s="54"/>
    </row>
    <row r="718" spans="1:45" x14ac:dyDescent="0.2">
      <c r="A718" t="s">
        <v>1728</v>
      </c>
      <c r="B718">
        <f>SUM(FishSumAllPRN!B718)</f>
        <v>0</v>
      </c>
      <c r="C718">
        <f>SUM(FishSumAllPRN!C718)</f>
        <v>0</v>
      </c>
      <c r="D718">
        <f>SUM(FishSumAllPRN!D718)</f>
        <v>0</v>
      </c>
      <c r="E718">
        <f>SUM(FishSumAllPRN!E718)</f>
        <v>0</v>
      </c>
      <c r="F718">
        <f>SUM(FishSumAllPRN!F718)</f>
        <v>0</v>
      </c>
      <c r="G718">
        <f>SUM(FishSumAllPRN!G718)</f>
        <v>0</v>
      </c>
      <c r="H718" s="54" t="s">
        <v>294</v>
      </c>
      <c r="I718" s="54"/>
    </row>
    <row r="719" spans="1:45" x14ac:dyDescent="0.2">
      <c r="A719" t="s">
        <v>1730</v>
      </c>
      <c r="B719">
        <f>SUM(FishSumAllPRN!B719)</f>
        <v>0</v>
      </c>
      <c r="C719">
        <f>SUM(FishSumAllPRN!C719)</f>
        <v>34</v>
      </c>
      <c r="D719">
        <f>SUM(FishSumAllPRN!D719)</f>
        <v>360</v>
      </c>
      <c r="E719">
        <f>SUM(FishSumAllPRN!E719)</f>
        <v>209</v>
      </c>
      <c r="F719">
        <f>SUM(FishSumAllPRN!F719)</f>
        <v>2225</v>
      </c>
      <c r="G719">
        <f>SUM(FishSumAllPRN!G719)</f>
        <v>2828</v>
      </c>
      <c r="H719" s="54" t="s">
        <v>294</v>
      </c>
      <c r="I719" s="54"/>
    </row>
    <row r="720" spans="1:45" x14ac:dyDescent="0.2">
      <c r="A720" t="s">
        <v>1733</v>
      </c>
      <c r="B720">
        <f>SUM(FishSumAllPRN!B720)</f>
        <v>0</v>
      </c>
      <c r="C720">
        <f>SUM(FishSumAllPRN!C720)</f>
        <v>0</v>
      </c>
      <c r="D720">
        <f>SUM(FishSumAllPRN!D720)</f>
        <v>0</v>
      </c>
      <c r="E720">
        <f>SUM(FishSumAllPRN!E720)</f>
        <v>346</v>
      </c>
      <c r="F720">
        <f>SUM(FishSumAllPRN!F720)</f>
        <v>1864</v>
      </c>
      <c r="G720">
        <f>SUM(FishSumAllPRN!G720)</f>
        <v>2210</v>
      </c>
      <c r="H720" s="54" t="s">
        <v>294</v>
      </c>
      <c r="I720" s="54"/>
    </row>
    <row r="721" spans="1:9" x14ac:dyDescent="0.2">
      <c r="A721" t="s">
        <v>1738</v>
      </c>
      <c r="B721">
        <f>SUM(FishSumAllPRN!B721)</f>
        <v>0</v>
      </c>
      <c r="C721">
        <f>SUM(FishSumAllPRN!C721)</f>
        <v>0</v>
      </c>
      <c r="D721">
        <f>SUM(FishSumAllPRN!D721)</f>
        <v>0</v>
      </c>
      <c r="E721">
        <f>SUM(FishSumAllPRN!E721)</f>
        <v>416</v>
      </c>
      <c r="F721">
        <f>SUM(FishSumAllPRN!F721)</f>
        <v>373</v>
      </c>
      <c r="G721">
        <f>SUM(FishSumAllPRN!G721)</f>
        <v>789</v>
      </c>
      <c r="H721" s="54" t="s">
        <v>294</v>
      </c>
      <c r="I721" s="54"/>
    </row>
    <row r="722" spans="1:9" x14ac:dyDescent="0.2">
      <c r="A722" t="s">
        <v>1744</v>
      </c>
      <c r="B722">
        <f>SUM(FishSumAllPRN!B722)</f>
        <v>0</v>
      </c>
      <c r="C722">
        <f>SUM(FishSumAllPRN!C722)</f>
        <v>0</v>
      </c>
      <c r="D722">
        <f>SUM(FishSumAllPRN!D722)</f>
        <v>0</v>
      </c>
      <c r="E722">
        <f>SUM(FishSumAllPRN!E722)</f>
        <v>0</v>
      </c>
      <c r="F722">
        <f>SUM(FishSumAllPRN!F722)</f>
        <v>0</v>
      </c>
      <c r="G722">
        <f>SUM(FishSumAllPRN!G722)</f>
        <v>0</v>
      </c>
      <c r="H722" s="54" t="s">
        <v>294</v>
      </c>
      <c r="I722" s="54"/>
    </row>
    <row r="723" spans="1:9" x14ac:dyDescent="0.2">
      <c r="A723" t="s">
        <v>1747</v>
      </c>
      <c r="B723">
        <f>SUM(FishSumAllPRN!B723)</f>
        <v>0</v>
      </c>
      <c r="C723">
        <f>SUM(FishSumAllPRN!C723)</f>
        <v>0</v>
      </c>
      <c r="D723">
        <f>SUM(FishSumAllPRN!D723)</f>
        <v>0</v>
      </c>
      <c r="E723">
        <f>SUM(FishSumAllPRN!E723)</f>
        <v>0</v>
      </c>
      <c r="F723">
        <f>SUM(FishSumAllPRN!F723)</f>
        <v>0</v>
      </c>
      <c r="G723">
        <f>SUM(FishSumAllPRN!G723)</f>
        <v>0</v>
      </c>
      <c r="H723" s="54" t="s">
        <v>294</v>
      </c>
      <c r="I723" s="54"/>
    </row>
    <row r="724" spans="1:9" x14ac:dyDescent="0.2">
      <c r="A724" t="s">
        <v>1751</v>
      </c>
      <c r="B724">
        <f>SUM(FishSumAllPRN!B724)</f>
        <v>0</v>
      </c>
      <c r="C724">
        <f>SUM(FishSumAllPRN!C724)</f>
        <v>0</v>
      </c>
      <c r="D724">
        <f>SUM(FishSumAllPRN!D724)</f>
        <v>0</v>
      </c>
      <c r="E724">
        <f>SUM(FishSumAllPRN!E724)</f>
        <v>0</v>
      </c>
      <c r="F724">
        <f>SUM(FishSumAllPRN!F724)</f>
        <v>0</v>
      </c>
      <c r="G724">
        <f>SUM(FishSumAllPRN!G724)</f>
        <v>0</v>
      </c>
      <c r="H724" s="54" t="s">
        <v>294</v>
      </c>
      <c r="I724" s="54"/>
    </row>
    <row r="725" spans="1:9" x14ac:dyDescent="0.2">
      <c r="A725" t="s">
        <v>1755</v>
      </c>
      <c r="B725">
        <f>SUM(FishSumAllPRN!B725)</f>
        <v>0</v>
      </c>
      <c r="C725">
        <f>SUM(FishSumAllPRN!C725)</f>
        <v>0</v>
      </c>
      <c r="D725">
        <f>SUM(FishSumAllPRN!D725)</f>
        <v>221</v>
      </c>
      <c r="E725">
        <f>SUM(FishSumAllPRN!E725)</f>
        <v>2329</v>
      </c>
      <c r="F725">
        <f>SUM(FishSumAllPRN!F725)</f>
        <v>4986</v>
      </c>
      <c r="G725">
        <f>SUM(FishSumAllPRN!G725)</f>
        <v>7536</v>
      </c>
      <c r="H725" s="54" t="s">
        <v>294</v>
      </c>
      <c r="I725" s="54"/>
    </row>
    <row r="726" spans="1:9" x14ac:dyDescent="0.2">
      <c r="A726" t="s">
        <v>1757</v>
      </c>
      <c r="B726">
        <f>SUM(FishSumAllPRN!B726)</f>
        <v>0</v>
      </c>
      <c r="C726">
        <f>SUM(FishSumAllPRN!C726)</f>
        <v>0</v>
      </c>
      <c r="D726">
        <f>SUM(FishSumAllPRN!D726)</f>
        <v>418</v>
      </c>
      <c r="E726">
        <f>SUM(FishSumAllPRN!E726)</f>
        <v>1560</v>
      </c>
      <c r="F726">
        <f>SUM(FishSumAllPRN!F726)</f>
        <v>4724</v>
      </c>
      <c r="G726">
        <f>SUM(FishSumAllPRN!G726)</f>
        <v>6702</v>
      </c>
      <c r="H726" s="54" t="s">
        <v>294</v>
      </c>
      <c r="I726" s="54"/>
    </row>
    <row r="727" spans="1:9" x14ac:dyDescent="0.2">
      <c r="A727" t="s">
        <v>1761</v>
      </c>
      <c r="B727">
        <f>SUM(FishSumAllPRN!B727)</f>
        <v>0</v>
      </c>
      <c r="C727">
        <f>SUM(FishSumAllPRN!C727)</f>
        <v>0</v>
      </c>
      <c r="D727">
        <f>SUM(FishSumAllPRN!D727)</f>
        <v>0</v>
      </c>
      <c r="E727">
        <f>SUM(FishSumAllPRN!E727)</f>
        <v>0</v>
      </c>
      <c r="F727">
        <f>SUM(FishSumAllPRN!F727)</f>
        <v>0</v>
      </c>
      <c r="G727">
        <f>SUM(FishSumAllPRN!G727)</f>
        <v>0</v>
      </c>
      <c r="H727" s="54" t="s">
        <v>294</v>
      </c>
      <c r="I727" s="54"/>
    </row>
    <row r="728" spans="1:9" x14ac:dyDescent="0.2">
      <c r="A728" t="s">
        <v>1764</v>
      </c>
      <c r="B728">
        <f>SUM(FishSumAllPRN!B728)</f>
        <v>0</v>
      </c>
      <c r="C728">
        <f>SUM(FishSumAllPRN!C728)</f>
        <v>0</v>
      </c>
      <c r="D728">
        <f>SUM(FishSumAllPRN!D728)</f>
        <v>0</v>
      </c>
      <c r="E728">
        <f>SUM(FishSumAllPRN!E728)</f>
        <v>0</v>
      </c>
      <c r="F728">
        <f>SUM(FishSumAllPRN!F728)</f>
        <v>0</v>
      </c>
      <c r="G728">
        <f>SUM(FishSumAllPRN!G728)</f>
        <v>0</v>
      </c>
      <c r="H728" s="54" t="s">
        <v>294</v>
      </c>
      <c r="I728" s="54"/>
    </row>
    <row r="729" spans="1:9" x14ac:dyDescent="0.2">
      <c r="A729" t="s">
        <v>1770</v>
      </c>
      <c r="B729">
        <f>SUM(FishSumAllPRN!B729)</f>
        <v>27</v>
      </c>
      <c r="C729">
        <f>SUM(FishSumAllPRN!C729)</f>
        <v>472</v>
      </c>
      <c r="D729">
        <f>SUM(FishSumAllPRN!D729)</f>
        <v>3166</v>
      </c>
      <c r="E729">
        <f>SUM(FishSumAllPRN!E729)</f>
        <v>16975</v>
      </c>
      <c r="F729">
        <f>SUM(FishSumAllPRN!F729)</f>
        <v>0</v>
      </c>
      <c r="G729">
        <f>SUM(FishSumAllPRN!G729)</f>
        <v>20640</v>
      </c>
      <c r="H729" s="54" t="s">
        <v>294</v>
      </c>
      <c r="I729" s="54"/>
    </row>
    <row r="730" spans="1:9" x14ac:dyDescent="0.2">
      <c r="A730" t="s">
        <v>1772</v>
      </c>
      <c r="B730">
        <f>SUM(FishSumAllPRN!B730)</f>
        <v>0</v>
      </c>
      <c r="C730">
        <f>SUM(FishSumAllPRN!C730)</f>
        <v>48</v>
      </c>
      <c r="D730">
        <f>SUM(FishSumAllPRN!D730)</f>
        <v>783</v>
      </c>
      <c r="E730">
        <f>SUM(FishSumAllPRN!E730)</f>
        <v>6640</v>
      </c>
      <c r="F730">
        <f>SUM(FishSumAllPRN!F730)</f>
        <v>0</v>
      </c>
      <c r="G730">
        <f>SUM(FishSumAllPRN!G730)</f>
        <v>7471</v>
      </c>
      <c r="H730" s="54" t="s">
        <v>294</v>
      </c>
      <c r="I730" s="54"/>
    </row>
    <row r="731" spans="1:9" x14ac:dyDescent="0.2">
      <c r="A731" t="s">
        <v>1774</v>
      </c>
      <c r="B731">
        <f>SUM(FishSumAllPRN!B731)</f>
        <v>0</v>
      </c>
      <c r="C731">
        <f>SUM(FishSumAllPRN!C731)</f>
        <v>97</v>
      </c>
      <c r="D731">
        <f>SUM(FishSumAllPRN!D731)</f>
        <v>533</v>
      </c>
      <c r="E731">
        <f>SUM(FishSumAllPRN!E731)</f>
        <v>4379</v>
      </c>
      <c r="F731">
        <f>SUM(FishSumAllPRN!F731)</f>
        <v>0</v>
      </c>
      <c r="G731">
        <f>SUM(FishSumAllPRN!G731)</f>
        <v>5010</v>
      </c>
      <c r="H731" s="54" t="s">
        <v>294</v>
      </c>
      <c r="I731" s="54"/>
    </row>
    <row r="732" spans="1:9" x14ac:dyDescent="0.2">
      <c r="A732" t="s">
        <v>1777</v>
      </c>
      <c r="B732">
        <f>SUM(FishSumAllPRN!B732)</f>
        <v>0</v>
      </c>
      <c r="C732">
        <f>SUM(FishSumAllPRN!C732)</f>
        <v>0</v>
      </c>
      <c r="D732">
        <f>SUM(FishSumAllPRN!D732)</f>
        <v>0</v>
      </c>
      <c r="E732">
        <f>SUM(FishSumAllPRN!E732)</f>
        <v>0</v>
      </c>
      <c r="F732">
        <f>SUM(FishSumAllPRN!F732)</f>
        <v>578</v>
      </c>
      <c r="G732">
        <f>SUM(FishSumAllPRN!G732)</f>
        <v>578</v>
      </c>
      <c r="H732" s="54" t="s">
        <v>294</v>
      </c>
      <c r="I732" s="54"/>
    </row>
    <row r="733" spans="1:9" x14ac:dyDescent="0.2">
      <c r="A733" t="s">
        <v>1782</v>
      </c>
      <c r="B733">
        <f>SUM(FishSumAllPRN!B733)</f>
        <v>0</v>
      </c>
      <c r="C733">
        <f>SUM(FishSumAllPRN!C733)</f>
        <v>0</v>
      </c>
      <c r="D733">
        <f>SUM(FishSumAllPRN!D733)</f>
        <v>0</v>
      </c>
      <c r="E733">
        <f>SUM(FishSumAllPRN!E733)</f>
        <v>0</v>
      </c>
      <c r="F733">
        <f>SUM(FishSumAllPRN!F733)</f>
        <v>0</v>
      </c>
      <c r="G733">
        <f>SUM(FishSumAllPRN!G733)</f>
        <v>0</v>
      </c>
      <c r="H733" s="54" t="s">
        <v>294</v>
      </c>
      <c r="I733" s="54"/>
    </row>
    <row r="734" spans="1:9" x14ac:dyDescent="0.2">
      <c r="A734" t="s">
        <v>1274</v>
      </c>
      <c r="B734">
        <f>SUM(FishSumAllPRN!B734)</f>
        <v>0</v>
      </c>
      <c r="C734">
        <f>SUM(FishSumAllPRN!C734)</f>
        <v>0</v>
      </c>
      <c r="D734">
        <f>SUM(FishSumAllPRN!D734)</f>
        <v>0</v>
      </c>
      <c r="E734">
        <f>SUM(FishSumAllPRN!E734)</f>
        <v>2815</v>
      </c>
      <c r="F734">
        <f>SUM(FishSumAllPRN!F734)</f>
        <v>39</v>
      </c>
      <c r="G734">
        <f>SUM(FishSumAllPRN!G734)</f>
        <v>2854</v>
      </c>
      <c r="H734" s="54" t="s">
        <v>294</v>
      </c>
      <c r="I734" s="54"/>
    </row>
    <row r="735" spans="1:9" x14ac:dyDescent="0.2">
      <c r="A735" t="s">
        <v>1277</v>
      </c>
      <c r="B735">
        <f>SUM(FishSumAllPRN!B735)</f>
        <v>0</v>
      </c>
      <c r="C735">
        <f>SUM(FishSumAllPRN!C735)</f>
        <v>0</v>
      </c>
      <c r="D735">
        <f>SUM(FishSumAllPRN!D735)</f>
        <v>0</v>
      </c>
      <c r="E735">
        <f>SUM(FishSumAllPRN!E735)</f>
        <v>23233</v>
      </c>
      <c r="F735">
        <f>SUM(FishSumAllPRN!F735)</f>
        <v>1144</v>
      </c>
      <c r="G735">
        <f>SUM(FishSumAllPRN!G735)</f>
        <v>24377</v>
      </c>
      <c r="H735" s="54" t="s">
        <v>294</v>
      </c>
      <c r="I735" s="54"/>
    </row>
    <row r="736" spans="1:9" x14ac:dyDescent="0.2">
      <c r="A736" t="s">
        <v>1798</v>
      </c>
      <c r="B736">
        <f>SUM(FishSumAllPRN!B736)</f>
        <v>0</v>
      </c>
      <c r="C736">
        <f>SUM(FishSumAllPRN!C736)</f>
        <v>0</v>
      </c>
      <c r="D736">
        <f>SUM(FishSumAllPRN!D736)</f>
        <v>0</v>
      </c>
      <c r="E736">
        <f>SUM(FishSumAllPRN!E736)</f>
        <v>0</v>
      </c>
      <c r="F736">
        <f>SUM(FishSumAllPRN!F736)</f>
        <v>23915</v>
      </c>
      <c r="G736">
        <f>SUM(FishSumAllPRN!G736)</f>
        <v>23915</v>
      </c>
      <c r="H736" s="54" t="s">
        <v>294</v>
      </c>
      <c r="I736" s="54"/>
    </row>
    <row r="737" spans="1:9" x14ac:dyDescent="0.2">
      <c r="A737" t="s">
        <v>1803</v>
      </c>
      <c r="B737">
        <f>SUM(FishSumAllPRN!B737)</f>
        <v>0</v>
      </c>
      <c r="C737">
        <f>SUM(FishSumAllPRN!C737)</f>
        <v>0</v>
      </c>
      <c r="D737">
        <f>SUM(FishSumAllPRN!D737)</f>
        <v>0</v>
      </c>
      <c r="E737">
        <f>SUM(FishSumAllPRN!E737)</f>
        <v>0</v>
      </c>
      <c r="F737">
        <f>SUM(FishSumAllPRN!F737)</f>
        <v>1859</v>
      </c>
      <c r="G737">
        <f>SUM(FishSumAllPRN!G737)</f>
        <v>1859</v>
      </c>
      <c r="H737" s="54" t="s">
        <v>294</v>
      </c>
      <c r="I737" s="54"/>
    </row>
    <row r="738" spans="1:9" x14ac:dyDescent="0.2">
      <c r="A738" t="s">
        <v>1808</v>
      </c>
      <c r="B738">
        <f>SUM(FishSumAllPRN!B738)</f>
        <v>0</v>
      </c>
      <c r="C738">
        <f>SUM(FishSumAllPRN!C738)</f>
        <v>0</v>
      </c>
      <c r="D738">
        <f>SUM(FishSumAllPRN!D738)</f>
        <v>0</v>
      </c>
      <c r="E738">
        <f>SUM(FishSumAllPRN!E738)</f>
        <v>0</v>
      </c>
      <c r="F738">
        <f>SUM(FishSumAllPRN!F738)</f>
        <v>329</v>
      </c>
      <c r="G738">
        <f>SUM(FishSumAllPRN!G738)</f>
        <v>329</v>
      </c>
      <c r="H738" s="54" t="s">
        <v>294</v>
      </c>
      <c r="I738" s="54"/>
    </row>
    <row r="739" spans="1:9" x14ac:dyDescent="0.2">
      <c r="A739" t="s">
        <v>1813</v>
      </c>
      <c r="B739">
        <f>SUM(FishSumAllPRN!B739)</f>
        <v>0</v>
      </c>
      <c r="C739">
        <f>SUM(FishSumAllPRN!C739)</f>
        <v>0</v>
      </c>
      <c r="D739">
        <f>SUM(FishSumAllPRN!D739)</f>
        <v>0</v>
      </c>
      <c r="E739">
        <f>SUM(FishSumAllPRN!E739)</f>
        <v>0</v>
      </c>
      <c r="F739">
        <f>SUM(FishSumAllPRN!F739)</f>
        <v>0</v>
      </c>
      <c r="G739">
        <f>SUM(FishSumAllPRN!G739)</f>
        <v>0</v>
      </c>
      <c r="H739" s="54" t="s">
        <v>294</v>
      </c>
      <c r="I739" s="54"/>
    </row>
    <row r="740" spans="1:9" x14ac:dyDescent="0.2">
      <c r="A740" t="s">
        <v>1819</v>
      </c>
      <c r="B740">
        <f>SUM(FishSumAllPRN!B740)</f>
        <v>0</v>
      </c>
      <c r="C740">
        <f>SUM(FishSumAllPRN!C740)</f>
        <v>0</v>
      </c>
      <c r="D740">
        <f>SUM(FishSumAllPRN!D740)</f>
        <v>0</v>
      </c>
      <c r="E740">
        <f>SUM(FishSumAllPRN!E740)</f>
        <v>433</v>
      </c>
      <c r="F740">
        <f>SUM(FishSumAllPRN!F740)</f>
        <v>201</v>
      </c>
      <c r="G740">
        <f>SUM(FishSumAllPRN!G740)</f>
        <v>634</v>
      </c>
      <c r="H740" s="54" t="s">
        <v>294</v>
      </c>
      <c r="I740" s="54"/>
    </row>
    <row r="741" spans="1:9" x14ac:dyDescent="0.2">
      <c r="A741" t="s">
        <v>1826</v>
      </c>
      <c r="B741">
        <f>SUM(FishSumAllPRN!B741)</f>
        <v>0</v>
      </c>
      <c r="C741">
        <f>SUM(FishSumAllPRN!C741)</f>
        <v>0</v>
      </c>
      <c r="D741">
        <f>SUM(FishSumAllPRN!D741)</f>
        <v>0</v>
      </c>
      <c r="E741">
        <f>SUM(FishSumAllPRN!E741)</f>
        <v>0</v>
      </c>
      <c r="F741">
        <f>SUM(FishSumAllPRN!F741)</f>
        <v>15260</v>
      </c>
      <c r="G741">
        <f>SUM(FishSumAllPRN!G741)</f>
        <v>15260</v>
      </c>
      <c r="H741" s="54" t="s">
        <v>294</v>
      </c>
      <c r="I741" s="54"/>
    </row>
    <row r="742" spans="1:9" x14ac:dyDescent="0.2">
      <c r="A742" t="s">
        <v>1830</v>
      </c>
      <c r="B742">
        <f>SUM(FishSumAllPRN!B742)</f>
        <v>0</v>
      </c>
      <c r="C742">
        <f>SUM(FishSumAllPRN!C742)</f>
        <v>0</v>
      </c>
      <c r="D742">
        <f>SUM(FishSumAllPRN!D742)</f>
        <v>0</v>
      </c>
      <c r="E742">
        <f>SUM(FishSumAllPRN!E742)</f>
        <v>0</v>
      </c>
      <c r="F742">
        <f>SUM(FishSumAllPRN!F742)</f>
        <v>1956</v>
      </c>
      <c r="G742">
        <f>SUM(FishSumAllPRN!G742)</f>
        <v>1956</v>
      </c>
      <c r="H742" s="54" t="s">
        <v>294</v>
      </c>
      <c r="I742" s="54"/>
    </row>
    <row r="743" spans="1:9" x14ac:dyDescent="0.2">
      <c r="A743" t="s">
        <v>1836</v>
      </c>
      <c r="B743">
        <f>SUM(FishSumAllPRN!B743)</f>
        <v>0</v>
      </c>
      <c r="C743">
        <f>SUM(FishSumAllPRN!C743)</f>
        <v>0</v>
      </c>
      <c r="D743">
        <f>SUM(FishSumAllPRN!D743)</f>
        <v>0</v>
      </c>
      <c r="E743">
        <f>SUM(FishSumAllPRN!E743)</f>
        <v>0</v>
      </c>
      <c r="F743">
        <f>SUM(FishSumAllPRN!F743)</f>
        <v>0</v>
      </c>
      <c r="G743">
        <f>SUM(FishSumAllPRN!G743)</f>
        <v>0</v>
      </c>
      <c r="H743" s="54" t="s">
        <v>294</v>
      </c>
      <c r="I743" s="54"/>
    </row>
    <row r="744" spans="1:9" x14ac:dyDescent="0.2">
      <c r="A744" t="s">
        <v>1841</v>
      </c>
      <c r="B744">
        <f>SUM(FishSumAllPRN!B744)</f>
        <v>0</v>
      </c>
      <c r="C744">
        <f>SUM(FishSumAllPRN!C744)</f>
        <v>0</v>
      </c>
      <c r="D744">
        <f>SUM(FishSumAllPRN!D744)</f>
        <v>289</v>
      </c>
      <c r="E744">
        <f>SUM(FishSumAllPRN!E744)</f>
        <v>2518</v>
      </c>
      <c r="F744">
        <f>SUM(FishSumAllPRN!F744)</f>
        <v>65</v>
      </c>
      <c r="G744">
        <f>SUM(FishSumAllPRN!G744)</f>
        <v>2872</v>
      </c>
      <c r="H744" s="54" t="s">
        <v>294</v>
      </c>
      <c r="I744" s="54"/>
    </row>
    <row r="745" spans="1:9" x14ac:dyDescent="0.2">
      <c r="A745" t="s">
        <v>1842</v>
      </c>
      <c r="B745">
        <f>SUM(FishSumAllPRN!B745)</f>
        <v>0</v>
      </c>
      <c r="C745">
        <f>SUM(FishSumAllPRN!C745)</f>
        <v>1392</v>
      </c>
      <c r="D745">
        <f>SUM(FishSumAllPRN!D745)</f>
        <v>3091</v>
      </c>
      <c r="E745">
        <f>SUM(FishSumAllPRN!E745)</f>
        <v>6799</v>
      </c>
      <c r="F745">
        <f>SUM(FishSumAllPRN!F745)</f>
        <v>0</v>
      </c>
      <c r="G745">
        <f>SUM(FishSumAllPRN!G745)</f>
        <v>11282</v>
      </c>
      <c r="H745" s="54" t="s">
        <v>294</v>
      </c>
      <c r="I745" s="54"/>
    </row>
    <row r="746" spans="1:9" x14ac:dyDescent="0.2">
      <c r="A746" t="s">
        <v>1843</v>
      </c>
      <c r="B746">
        <f>SUM(FishSumAllPRN!B746)</f>
        <v>0</v>
      </c>
      <c r="C746">
        <f>SUM(FishSumAllPRN!C746)</f>
        <v>0</v>
      </c>
      <c r="D746">
        <f>SUM(FishSumAllPRN!D746)</f>
        <v>0</v>
      </c>
      <c r="E746">
        <f>SUM(FishSumAllPRN!E746)</f>
        <v>0</v>
      </c>
      <c r="F746">
        <f>SUM(FishSumAllPRN!F746)</f>
        <v>5713</v>
      </c>
      <c r="G746">
        <f>SUM(FishSumAllPRN!G746)</f>
        <v>5713</v>
      </c>
      <c r="H746" s="54" t="s">
        <v>294</v>
      </c>
      <c r="I746" s="54"/>
    </row>
    <row r="747" spans="1:9" x14ac:dyDescent="0.2">
      <c r="A747" t="s">
        <v>1846</v>
      </c>
      <c r="B747">
        <f>SUM(FishSumAllPRN!B747)</f>
        <v>0</v>
      </c>
      <c r="C747">
        <f>SUM(FishSumAllPRN!C747)</f>
        <v>0</v>
      </c>
      <c r="D747">
        <f>SUM(FishSumAllPRN!D747)</f>
        <v>0</v>
      </c>
      <c r="E747">
        <f>SUM(FishSumAllPRN!E747)</f>
        <v>0</v>
      </c>
      <c r="F747">
        <f>SUM(FishSumAllPRN!F747)</f>
        <v>0</v>
      </c>
      <c r="G747">
        <f>SUM(FishSumAllPRN!G747)</f>
        <v>0</v>
      </c>
      <c r="H747" s="54" t="s">
        <v>294</v>
      </c>
      <c r="I747" s="54"/>
    </row>
    <row r="748" spans="1:9" x14ac:dyDescent="0.2">
      <c r="A748" t="s">
        <v>1851</v>
      </c>
      <c r="B748">
        <f>SUM(FishSumAllPRN!B748)</f>
        <v>0</v>
      </c>
      <c r="C748">
        <f>SUM(FishSumAllPRN!C748)</f>
        <v>0</v>
      </c>
      <c r="D748">
        <f>SUM(FishSumAllPRN!D748)</f>
        <v>0</v>
      </c>
      <c r="E748">
        <f>SUM(FishSumAllPRN!E748)</f>
        <v>4640</v>
      </c>
      <c r="F748">
        <f>SUM(FishSumAllPRN!F748)</f>
        <v>996</v>
      </c>
      <c r="G748">
        <f>SUM(FishSumAllPRN!G748)</f>
        <v>5636</v>
      </c>
      <c r="H748" s="54" t="s">
        <v>294</v>
      </c>
      <c r="I748" s="54"/>
    </row>
    <row r="749" spans="1:9" x14ac:dyDescent="0.2">
      <c r="A749" t="s">
        <v>1857</v>
      </c>
      <c r="B749">
        <f>SUM(FishSumAllPRN!B749)</f>
        <v>0</v>
      </c>
      <c r="C749">
        <f>SUM(FishSumAllPRN!C749)</f>
        <v>0</v>
      </c>
      <c r="D749">
        <f>SUM(FishSumAllPRN!D749)</f>
        <v>0</v>
      </c>
      <c r="E749">
        <f>SUM(FishSumAllPRN!E749)</f>
        <v>21</v>
      </c>
      <c r="F749">
        <f>SUM(FishSumAllPRN!F749)</f>
        <v>0</v>
      </c>
      <c r="G749">
        <f>SUM(FishSumAllPRN!G749)</f>
        <v>21</v>
      </c>
      <c r="H749" s="54" t="s">
        <v>294</v>
      </c>
      <c r="I749" s="54"/>
    </row>
    <row r="750" spans="1:9" x14ac:dyDescent="0.2">
      <c r="A750" t="s">
        <v>1862</v>
      </c>
      <c r="B750">
        <f>SUM(FishSumAllPRN!B750)</f>
        <v>0</v>
      </c>
      <c r="C750">
        <f>SUM(FishSumAllPRN!C750)</f>
        <v>0</v>
      </c>
      <c r="D750">
        <f>SUM(FishSumAllPRN!D750)</f>
        <v>0</v>
      </c>
      <c r="E750">
        <f>SUM(FishSumAllPRN!E750)</f>
        <v>15418</v>
      </c>
      <c r="F750">
        <f>SUM(FishSumAllPRN!F750)</f>
        <v>7848</v>
      </c>
      <c r="G750">
        <f>SUM(FishSumAllPRN!G750)</f>
        <v>23266</v>
      </c>
      <c r="H750" s="54" t="s">
        <v>294</v>
      </c>
      <c r="I750" s="54"/>
    </row>
    <row r="751" spans="1:9" x14ac:dyDescent="0.2">
      <c r="A751" t="s">
        <v>1867</v>
      </c>
      <c r="B751">
        <f>SUM(FishSumAllPRN!B751)</f>
        <v>0</v>
      </c>
      <c r="C751">
        <f>SUM(FishSumAllPRN!C751)</f>
        <v>0</v>
      </c>
      <c r="D751">
        <f>SUM(FishSumAllPRN!D751)</f>
        <v>0</v>
      </c>
      <c r="E751">
        <f>SUM(FishSumAllPRN!E751)</f>
        <v>0</v>
      </c>
      <c r="F751">
        <f>SUM(FishSumAllPRN!F751)</f>
        <v>202</v>
      </c>
      <c r="G751">
        <f>SUM(FishSumAllPRN!G751)</f>
        <v>202</v>
      </c>
      <c r="H751" s="54" t="s">
        <v>294</v>
      </c>
      <c r="I751" s="54"/>
    </row>
    <row r="752" spans="1:9" x14ac:dyDescent="0.2">
      <c r="A752" t="s">
        <v>1870</v>
      </c>
      <c r="B752">
        <f>SUM(FishSumAllPRN!B752)</f>
        <v>0</v>
      </c>
      <c r="C752">
        <f>SUM(FishSumAllPRN!C752)</f>
        <v>0</v>
      </c>
      <c r="D752">
        <f>SUM(FishSumAllPRN!D752)</f>
        <v>0</v>
      </c>
      <c r="E752">
        <f>SUM(FishSumAllPRN!E752)</f>
        <v>0</v>
      </c>
      <c r="F752">
        <f>SUM(FishSumAllPRN!F752)</f>
        <v>0</v>
      </c>
      <c r="G752">
        <f>SUM(FishSumAllPRN!G752)</f>
        <v>0</v>
      </c>
      <c r="H752" s="54" t="s">
        <v>294</v>
      </c>
      <c r="I752" s="54"/>
    </row>
    <row r="753" spans="1:9" x14ac:dyDescent="0.2">
      <c r="A753" t="s">
        <v>1874</v>
      </c>
      <c r="B753">
        <f>SUM(FishSumAllPRN!B753)</f>
        <v>0</v>
      </c>
      <c r="C753">
        <f>SUM(FishSumAllPRN!C753)</f>
        <v>0</v>
      </c>
      <c r="D753">
        <f>SUM(FishSumAllPRN!D753)</f>
        <v>274</v>
      </c>
      <c r="E753">
        <f>SUM(FishSumAllPRN!E753)</f>
        <v>3619</v>
      </c>
      <c r="F753">
        <f>SUM(FishSumAllPRN!F753)</f>
        <v>0</v>
      </c>
      <c r="G753">
        <f>SUM(FishSumAllPRN!G753)</f>
        <v>3894</v>
      </c>
      <c r="H753" s="54" t="s">
        <v>294</v>
      </c>
      <c r="I753" s="54"/>
    </row>
    <row r="754" spans="1:9" x14ac:dyDescent="0.2">
      <c r="A754" t="s">
        <v>1876</v>
      </c>
      <c r="B754">
        <f>SUM(FishSumAllPRN!B754)</f>
        <v>0</v>
      </c>
      <c r="C754">
        <f>SUM(FishSumAllPRN!C754)</f>
        <v>0</v>
      </c>
      <c r="D754">
        <f>SUM(FishSumAllPRN!D754)</f>
        <v>0</v>
      </c>
      <c r="E754">
        <f>SUM(FishSumAllPRN!E754)</f>
        <v>0</v>
      </c>
      <c r="F754">
        <f>SUM(FishSumAllPRN!F754)</f>
        <v>631</v>
      </c>
      <c r="G754">
        <f>SUM(FishSumAllPRN!G754)</f>
        <v>631</v>
      </c>
      <c r="H754" s="54" t="s">
        <v>294</v>
      </c>
      <c r="I754" s="54"/>
    </row>
    <row r="755" spans="1:9" x14ac:dyDescent="0.2">
      <c r="A755" t="s">
        <v>1881</v>
      </c>
      <c r="B755">
        <f>SUM(FishSumAllPRN!B755)</f>
        <v>0</v>
      </c>
      <c r="C755">
        <f>SUM(FishSumAllPRN!C755)</f>
        <v>0</v>
      </c>
      <c r="D755">
        <f>SUM(FishSumAllPRN!D755)</f>
        <v>0</v>
      </c>
      <c r="E755">
        <f>SUM(FishSumAllPRN!E755)</f>
        <v>0</v>
      </c>
      <c r="F755">
        <f>SUM(FishSumAllPRN!F755)</f>
        <v>1741</v>
      </c>
      <c r="G755">
        <f>SUM(FishSumAllPRN!G755)</f>
        <v>1741</v>
      </c>
      <c r="H755" s="54" t="s">
        <v>294</v>
      </c>
      <c r="I755" s="54"/>
    </row>
    <row r="756" spans="1:9" x14ac:dyDescent="0.2">
      <c r="A756" t="s">
        <v>1885</v>
      </c>
      <c r="B756">
        <f>SUM(FishSumAllPRN!B756)</f>
        <v>3260</v>
      </c>
      <c r="C756">
        <f>SUM(FishSumAllPRN!C756)</f>
        <v>3658</v>
      </c>
      <c r="D756">
        <f>SUM(FishSumAllPRN!D756)</f>
        <v>5339</v>
      </c>
      <c r="E756">
        <f>SUM(FishSumAllPRN!E756)</f>
        <v>11837</v>
      </c>
      <c r="F756">
        <f>SUM(FishSumAllPRN!F756)</f>
        <v>567</v>
      </c>
      <c r="G756">
        <f>SUM(FishSumAllPRN!G756)</f>
        <v>24661</v>
      </c>
      <c r="H756" s="54" t="s">
        <v>294</v>
      </c>
      <c r="I756" s="54"/>
    </row>
    <row r="757" spans="1:9" x14ac:dyDescent="0.2">
      <c r="A757" t="s">
        <v>1887</v>
      </c>
      <c r="B757">
        <f>SUM(FishSumAllPRN!B757)</f>
        <v>0</v>
      </c>
      <c r="C757">
        <f>SUM(FishSumAllPRN!C757)</f>
        <v>0</v>
      </c>
      <c r="D757">
        <f>SUM(FishSumAllPRN!D757)</f>
        <v>0</v>
      </c>
      <c r="E757">
        <f>SUM(FishSumAllPRN!E757)</f>
        <v>37</v>
      </c>
      <c r="F757">
        <f>SUM(FishSumAllPRN!F757)</f>
        <v>289</v>
      </c>
      <c r="G757">
        <f>SUM(FishSumAllPRN!G757)</f>
        <v>326</v>
      </c>
      <c r="H757" s="54" t="s">
        <v>294</v>
      </c>
      <c r="I757" s="54"/>
    </row>
    <row r="758" spans="1:9" x14ac:dyDescent="0.2">
      <c r="A758" t="s">
        <v>1893</v>
      </c>
      <c r="B758">
        <f>SUM(FishSumAllPRN!B758)</f>
        <v>0</v>
      </c>
      <c r="C758">
        <f>SUM(FishSumAllPRN!C758)</f>
        <v>0</v>
      </c>
      <c r="D758">
        <f>SUM(FishSumAllPRN!D758)</f>
        <v>0</v>
      </c>
      <c r="E758">
        <f>SUM(FishSumAllPRN!E758)</f>
        <v>2037</v>
      </c>
      <c r="F758">
        <f>SUM(FishSumAllPRN!F758)</f>
        <v>567</v>
      </c>
      <c r="G758">
        <f>SUM(FishSumAllPRN!G758)</f>
        <v>2605</v>
      </c>
      <c r="H758" s="54" t="s">
        <v>294</v>
      </c>
      <c r="I758" s="54"/>
    </row>
    <row r="759" spans="1:9" x14ac:dyDescent="0.2">
      <c r="A759" t="s">
        <v>1899</v>
      </c>
      <c r="B759">
        <f>SUM(FishSumAllPRN!B759)</f>
        <v>0</v>
      </c>
      <c r="C759">
        <f>SUM(FishSumAllPRN!C759)</f>
        <v>0</v>
      </c>
      <c r="D759">
        <f>SUM(FishSumAllPRN!D759)</f>
        <v>0</v>
      </c>
      <c r="E759">
        <f>SUM(FishSumAllPRN!E759)</f>
        <v>0</v>
      </c>
      <c r="F759">
        <f>SUM(FishSumAllPRN!F759)</f>
        <v>0</v>
      </c>
      <c r="G759">
        <f>SUM(FishSumAllPRN!G759)</f>
        <v>0</v>
      </c>
      <c r="H759" s="54" t="s">
        <v>294</v>
      </c>
      <c r="I759" s="54"/>
    </row>
    <row r="760" spans="1:9" x14ac:dyDescent="0.2">
      <c r="A760" t="s">
        <v>1906</v>
      </c>
      <c r="B760">
        <f>SUM(FishSumAllPRN!B760)</f>
        <v>0</v>
      </c>
      <c r="C760">
        <f>SUM(FishSumAllPRN!C760)</f>
        <v>0</v>
      </c>
      <c r="D760">
        <f>SUM(FishSumAllPRN!D760)</f>
        <v>0</v>
      </c>
      <c r="E760">
        <f>SUM(FishSumAllPRN!E760)</f>
        <v>2527</v>
      </c>
      <c r="F760">
        <f>SUM(FishSumAllPRN!F760)</f>
        <v>30</v>
      </c>
      <c r="G760">
        <f>SUM(FishSumAllPRN!G760)</f>
        <v>2557</v>
      </c>
      <c r="H760" s="54" t="s">
        <v>294</v>
      </c>
      <c r="I760" s="54"/>
    </row>
    <row r="761" spans="1:9" x14ac:dyDescent="0.2">
      <c r="A761" t="s">
        <v>1911</v>
      </c>
      <c r="B761">
        <f>SUM(FishSumAllPRN!B761)</f>
        <v>0</v>
      </c>
      <c r="C761">
        <f>SUM(FishSumAllPRN!C761)</f>
        <v>0</v>
      </c>
      <c r="D761">
        <f>SUM(FishSumAllPRN!D761)</f>
        <v>0</v>
      </c>
      <c r="E761">
        <f>SUM(FishSumAllPRN!E761)</f>
        <v>0</v>
      </c>
      <c r="F761">
        <f>SUM(FishSumAllPRN!F761)</f>
        <v>0</v>
      </c>
      <c r="G761">
        <f>SUM(FishSumAllPRN!G761)</f>
        <v>0</v>
      </c>
      <c r="H761" s="54" t="s">
        <v>294</v>
      </c>
      <c r="I761" s="54"/>
    </row>
    <row r="762" spans="1:9" x14ac:dyDescent="0.2">
      <c r="A762" t="s">
        <v>1917</v>
      </c>
      <c r="B762">
        <f>SUM(FishSumAllPRN!B762)</f>
        <v>0</v>
      </c>
      <c r="C762">
        <f>SUM(FishSumAllPRN!C762)</f>
        <v>0</v>
      </c>
      <c r="D762">
        <f>SUM(FishSumAllPRN!D762)</f>
        <v>0</v>
      </c>
      <c r="E762">
        <f>SUM(FishSumAllPRN!E762)</f>
        <v>1482</v>
      </c>
      <c r="F762">
        <f>SUM(FishSumAllPRN!F762)</f>
        <v>2249</v>
      </c>
      <c r="G762">
        <f>SUM(FishSumAllPRN!G762)</f>
        <v>3731</v>
      </c>
      <c r="H762" s="54" t="s">
        <v>294</v>
      </c>
      <c r="I762" s="54"/>
    </row>
    <row r="763" spans="1:9" x14ac:dyDescent="0.2">
      <c r="A763" t="s">
        <v>1922</v>
      </c>
      <c r="B763">
        <f>SUM(FishSumAllPRN!B763)</f>
        <v>0</v>
      </c>
      <c r="C763">
        <f>SUM(FishSumAllPRN!C763)</f>
        <v>0</v>
      </c>
      <c r="D763">
        <f>SUM(FishSumAllPRN!D763)</f>
        <v>0</v>
      </c>
      <c r="E763">
        <f>SUM(FishSumAllPRN!E763)</f>
        <v>2358</v>
      </c>
      <c r="F763">
        <f>SUM(FishSumAllPRN!F763)</f>
        <v>1039</v>
      </c>
      <c r="G763">
        <f>SUM(FishSumAllPRN!G763)</f>
        <v>3397</v>
      </c>
      <c r="H763" s="54" t="s">
        <v>294</v>
      </c>
      <c r="I763" s="54"/>
    </row>
    <row r="764" spans="1:9" x14ac:dyDescent="0.2">
      <c r="A764" t="s">
        <v>1928</v>
      </c>
      <c r="B764">
        <f>SUM(FishSumAllPRN!B764)</f>
        <v>0</v>
      </c>
      <c r="C764">
        <f>SUM(FishSumAllPRN!C764)</f>
        <v>0</v>
      </c>
      <c r="D764">
        <f>SUM(FishSumAllPRN!D764)</f>
        <v>0</v>
      </c>
      <c r="E764">
        <f>SUM(FishSumAllPRN!E764)</f>
        <v>0</v>
      </c>
      <c r="F764">
        <f>SUM(FishSumAllPRN!F764)</f>
        <v>20911</v>
      </c>
      <c r="G764">
        <f>SUM(FishSumAllPRN!G764)</f>
        <v>20911</v>
      </c>
      <c r="H764" s="54" t="s">
        <v>294</v>
      </c>
      <c r="I764" s="54"/>
    </row>
    <row r="765" spans="1:9" x14ac:dyDescent="0.2">
      <c r="A765" t="s">
        <v>1932</v>
      </c>
      <c r="B765">
        <f>SUM(FishSumAllPRN!B765)</f>
        <v>0</v>
      </c>
      <c r="C765">
        <f>SUM(FishSumAllPRN!C765)</f>
        <v>0</v>
      </c>
      <c r="D765">
        <f>SUM(FishSumAllPRN!D765)</f>
        <v>0</v>
      </c>
      <c r="E765">
        <f>SUM(FishSumAllPRN!E765)</f>
        <v>0</v>
      </c>
      <c r="F765">
        <f>SUM(FishSumAllPRN!F765)</f>
        <v>2152</v>
      </c>
      <c r="G765">
        <f>SUM(FishSumAllPRN!G765)</f>
        <v>2152</v>
      </c>
      <c r="H765" s="54" t="s">
        <v>294</v>
      </c>
      <c r="I765" s="54"/>
    </row>
    <row r="766" spans="1:9" x14ac:dyDescent="0.2">
      <c r="A766" t="s">
        <v>1938</v>
      </c>
      <c r="B766">
        <f>SUM(FishSumAllPRN!B766)</f>
        <v>0</v>
      </c>
      <c r="C766">
        <f>SUM(FishSumAllPRN!C766)</f>
        <v>0</v>
      </c>
      <c r="D766">
        <f>SUM(FishSumAllPRN!D766)</f>
        <v>0</v>
      </c>
      <c r="E766">
        <f>SUM(FishSumAllPRN!E766)</f>
        <v>0</v>
      </c>
      <c r="F766">
        <f>SUM(FishSumAllPRN!F766)</f>
        <v>454</v>
      </c>
      <c r="G766">
        <f>SUM(FishSumAllPRN!G766)</f>
        <v>454</v>
      </c>
      <c r="H766" s="54" t="s">
        <v>294</v>
      </c>
      <c r="I766" s="54"/>
    </row>
    <row r="767" spans="1:9" x14ac:dyDescent="0.2">
      <c r="A767" t="s">
        <v>1944</v>
      </c>
      <c r="B767">
        <f>SUM(FishSumAllPRN!B767)</f>
        <v>7</v>
      </c>
      <c r="C767">
        <f>SUM(FishSumAllPRN!C767)</f>
        <v>337</v>
      </c>
      <c r="D767">
        <f>SUM(FishSumAllPRN!D767)</f>
        <v>1163</v>
      </c>
      <c r="E767">
        <f>SUM(FishSumAllPRN!E767)</f>
        <v>2960</v>
      </c>
      <c r="F767">
        <f>SUM(FishSumAllPRN!F767)</f>
        <v>97</v>
      </c>
      <c r="G767">
        <f>SUM(FishSumAllPRN!G767)</f>
        <v>4564</v>
      </c>
      <c r="H767" s="54" t="s">
        <v>294</v>
      </c>
      <c r="I767" s="54"/>
    </row>
    <row r="768" spans="1:9" x14ac:dyDescent="0.2">
      <c r="A768" t="s">
        <v>1947</v>
      </c>
      <c r="B768">
        <f>SUM(FishSumAllPRN!B768)</f>
        <v>0</v>
      </c>
      <c r="C768">
        <f>SUM(FishSumAllPRN!C768)</f>
        <v>0</v>
      </c>
      <c r="D768">
        <f>SUM(FishSumAllPRN!D768)</f>
        <v>0</v>
      </c>
      <c r="E768">
        <f>SUM(FishSumAllPRN!E768)</f>
        <v>0</v>
      </c>
      <c r="F768">
        <f>SUM(FishSumAllPRN!F768)</f>
        <v>88</v>
      </c>
      <c r="G768">
        <f>SUM(FishSumAllPRN!G768)</f>
        <v>88</v>
      </c>
      <c r="H768" s="54" t="s">
        <v>294</v>
      </c>
      <c r="I768" s="54"/>
    </row>
    <row r="769" spans="1:9" x14ac:dyDescent="0.2">
      <c r="A769" t="s">
        <v>1953</v>
      </c>
      <c r="B769">
        <f>SUM(FishSumAllPRN!B769)</f>
        <v>0</v>
      </c>
      <c r="C769">
        <f>SUM(FishSumAllPRN!C769)</f>
        <v>0</v>
      </c>
      <c r="D769">
        <f>SUM(FishSumAllPRN!D769)</f>
        <v>0</v>
      </c>
      <c r="E769">
        <f>SUM(FishSumAllPRN!E769)</f>
        <v>62</v>
      </c>
      <c r="F769">
        <f>SUM(FishSumAllPRN!F769)</f>
        <v>200</v>
      </c>
      <c r="G769">
        <f>SUM(FishSumAllPRN!G769)</f>
        <v>262</v>
      </c>
      <c r="H769" s="54" t="s">
        <v>294</v>
      </c>
      <c r="I769" s="54"/>
    </row>
    <row r="770" spans="1:9" x14ac:dyDescent="0.2">
      <c r="A770" t="s">
        <v>1958</v>
      </c>
      <c r="B770">
        <f>SUM(FishSumAllPRN!B770)</f>
        <v>0</v>
      </c>
      <c r="C770">
        <f>SUM(FishSumAllPRN!C770)</f>
        <v>0</v>
      </c>
      <c r="D770">
        <f>SUM(FishSumAllPRN!D770)</f>
        <v>0</v>
      </c>
      <c r="E770">
        <f>SUM(FishSumAllPRN!E770)</f>
        <v>0</v>
      </c>
      <c r="F770">
        <f>SUM(FishSumAllPRN!F770)</f>
        <v>0</v>
      </c>
      <c r="G770">
        <f>SUM(FishSumAllPRN!G770)</f>
        <v>0</v>
      </c>
      <c r="H770" s="54" t="s">
        <v>294</v>
      </c>
      <c r="I770" s="54"/>
    </row>
    <row r="771" spans="1:9" x14ac:dyDescent="0.2">
      <c r="A771" t="s">
        <v>1964</v>
      </c>
      <c r="B771">
        <f>SUM(FishSumAllPRN!B771)</f>
        <v>0</v>
      </c>
      <c r="C771">
        <f>SUM(FishSumAllPRN!C771)</f>
        <v>0</v>
      </c>
      <c r="D771">
        <f>SUM(FishSumAllPRN!D771)</f>
        <v>0</v>
      </c>
      <c r="E771">
        <f>SUM(FishSumAllPRN!E771)</f>
        <v>17</v>
      </c>
      <c r="F771">
        <f>SUM(FishSumAllPRN!F771)</f>
        <v>145</v>
      </c>
      <c r="G771">
        <f>SUM(FishSumAllPRN!G771)</f>
        <v>162</v>
      </c>
      <c r="H771" s="54" t="s">
        <v>294</v>
      </c>
      <c r="I771" s="54"/>
    </row>
    <row r="772" spans="1:9" x14ac:dyDescent="0.2">
      <c r="A772" t="s">
        <v>1973</v>
      </c>
      <c r="B772">
        <f>SUM(FishSumAllPRN!B772)</f>
        <v>0</v>
      </c>
      <c r="C772">
        <f>SUM(FishSumAllPRN!C772)</f>
        <v>0</v>
      </c>
      <c r="D772">
        <f>SUM(FishSumAllPRN!D772)</f>
        <v>0</v>
      </c>
      <c r="E772">
        <f>SUM(FishSumAllPRN!E772)</f>
        <v>0</v>
      </c>
      <c r="F772">
        <f>SUM(FishSumAllPRN!F772)</f>
        <v>5803</v>
      </c>
      <c r="G772">
        <f>SUM(FishSumAllPRN!G772)</f>
        <v>5803</v>
      </c>
      <c r="H772" s="54" t="s">
        <v>294</v>
      </c>
      <c r="I772" s="54"/>
    </row>
    <row r="773" spans="1:9" x14ac:dyDescent="0.2">
      <c r="A773" t="s">
        <v>1978</v>
      </c>
      <c r="B773">
        <f>SUM(FishSumAllPRN!B773)</f>
        <v>0</v>
      </c>
      <c r="C773">
        <f>SUM(FishSumAllPRN!C773)</f>
        <v>0</v>
      </c>
      <c r="D773">
        <f>SUM(FishSumAllPRN!D773)</f>
        <v>0</v>
      </c>
      <c r="E773">
        <f>SUM(FishSumAllPRN!E773)</f>
        <v>0</v>
      </c>
      <c r="F773">
        <f>SUM(FishSumAllPRN!F773)</f>
        <v>3649</v>
      </c>
      <c r="G773">
        <f>SUM(FishSumAllPRN!G773)</f>
        <v>3649</v>
      </c>
      <c r="H773" s="54" t="s">
        <v>294</v>
      </c>
      <c r="I773" s="54"/>
    </row>
    <row r="774" spans="1:9" x14ac:dyDescent="0.2">
      <c r="A774" t="s">
        <v>1983</v>
      </c>
      <c r="B774">
        <f>SUM(FishSumAllPRN!B774)</f>
        <v>352</v>
      </c>
      <c r="C774">
        <f>SUM(FishSumAllPRN!C774)</f>
        <v>26</v>
      </c>
      <c r="D774">
        <f>SUM(FishSumAllPRN!D774)</f>
        <v>61</v>
      </c>
      <c r="E774">
        <f>SUM(FishSumAllPRN!E774)</f>
        <v>387</v>
      </c>
      <c r="F774">
        <f>SUM(FishSumAllPRN!F774)</f>
        <v>85</v>
      </c>
      <c r="G774">
        <f>SUM(FishSumAllPRN!G774)</f>
        <v>911</v>
      </c>
      <c r="H774" s="54" t="s">
        <v>294</v>
      </c>
      <c r="I774" s="54"/>
    </row>
    <row r="775" spans="1:9" x14ac:dyDescent="0.2">
      <c r="A775" t="s">
        <v>1984</v>
      </c>
      <c r="B775">
        <f>SUM(FishSumAllPRN!B775)</f>
        <v>0</v>
      </c>
      <c r="C775">
        <f>SUM(FishSumAllPRN!C775)</f>
        <v>0</v>
      </c>
      <c r="D775">
        <f>SUM(FishSumAllPRN!D775)</f>
        <v>0</v>
      </c>
      <c r="E775">
        <f>SUM(FishSumAllPRN!E775)</f>
        <v>0</v>
      </c>
      <c r="F775">
        <f>SUM(FishSumAllPRN!F775)</f>
        <v>0</v>
      </c>
      <c r="G775">
        <f>SUM(FishSumAllPRN!G775)</f>
        <v>0</v>
      </c>
      <c r="H775" s="54" t="s">
        <v>294</v>
      </c>
      <c r="I775" s="54"/>
    </row>
    <row r="776" spans="1:9" x14ac:dyDescent="0.2">
      <c r="A776" t="s">
        <v>1990</v>
      </c>
      <c r="B776">
        <f>SUM(FishSumAllPRN!B776)</f>
        <v>0</v>
      </c>
      <c r="C776">
        <f>SUM(FishSumAllPRN!C776)</f>
        <v>0</v>
      </c>
      <c r="D776">
        <f>SUM(FishSumAllPRN!D776)</f>
        <v>0</v>
      </c>
      <c r="E776">
        <f>SUM(FishSumAllPRN!E776)</f>
        <v>83</v>
      </c>
      <c r="F776">
        <f>SUM(FishSumAllPRN!F776)</f>
        <v>131</v>
      </c>
      <c r="G776">
        <f>SUM(FishSumAllPRN!G776)</f>
        <v>213</v>
      </c>
      <c r="H776" s="54" t="s">
        <v>294</v>
      </c>
      <c r="I776" s="54"/>
    </row>
    <row r="777" spans="1:9" x14ac:dyDescent="0.2">
      <c r="A777" t="s">
        <v>1996</v>
      </c>
      <c r="B777">
        <f>SUM(FishSumAllPRN!B777)</f>
        <v>0</v>
      </c>
      <c r="C777">
        <f>SUM(FishSumAllPRN!C777)</f>
        <v>0</v>
      </c>
      <c r="D777">
        <f>SUM(FishSumAllPRN!D777)</f>
        <v>0</v>
      </c>
      <c r="E777">
        <f>SUM(FishSumAllPRN!E777)</f>
        <v>0</v>
      </c>
      <c r="F777">
        <f>SUM(FishSumAllPRN!F777)</f>
        <v>0</v>
      </c>
      <c r="G777">
        <f>SUM(FishSumAllPRN!G777)</f>
        <v>0</v>
      </c>
      <c r="H777" s="54" t="s">
        <v>294</v>
      </c>
      <c r="I777" s="54"/>
    </row>
    <row r="778" spans="1:9" x14ac:dyDescent="0.2">
      <c r="A778" t="s">
        <v>1998</v>
      </c>
      <c r="B778">
        <f>SUM(FishSumAllPRN!B778)</f>
        <v>0</v>
      </c>
      <c r="C778">
        <f>SUM(FishSumAllPRN!C778)</f>
        <v>0</v>
      </c>
      <c r="D778">
        <f>SUM(FishSumAllPRN!D778)</f>
        <v>0</v>
      </c>
      <c r="E778">
        <f>SUM(FishSumAllPRN!E778)</f>
        <v>0</v>
      </c>
      <c r="F778">
        <f>SUM(FishSumAllPRN!F778)</f>
        <v>0</v>
      </c>
      <c r="G778">
        <f>SUM(FishSumAllPRN!G778)</f>
        <v>0</v>
      </c>
      <c r="H778" s="54" t="s">
        <v>294</v>
      </c>
      <c r="I778" s="54"/>
    </row>
    <row r="779" spans="1:9" x14ac:dyDescent="0.2">
      <c r="A779" t="s">
        <v>1999</v>
      </c>
      <c r="B779">
        <f>SUM(FishSumAllPRN!B779)</f>
        <v>0</v>
      </c>
      <c r="C779">
        <f>SUM(FishSumAllPRN!C779)</f>
        <v>0</v>
      </c>
      <c r="D779">
        <f>SUM(FishSumAllPRN!D779)</f>
        <v>0</v>
      </c>
      <c r="E779">
        <f>SUM(FishSumAllPRN!E779)</f>
        <v>0</v>
      </c>
      <c r="F779">
        <f>SUM(FishSumAllPRN!F779)</f>
        <v>551</v>
      </c>
      <c r="G779">
        <f>SUM(FishSumAllPRN!G779)</f>
        <v>551</v>
      </c>
      <c r="H779" s="54" t="s">
        <v>294</v>
      </c>
      <c r="I779" s="54"/>
    </row>
    <row r="780" spans="1:9" x14ac:dyDescent="0.2">
      <c r="A780" t="s">
        <v>2004</v>
      </c>
      <c r="B780">
        <f>SUM(FishSumAllPRN!B780)</f>
        <v>0</v>
      </c>
      <c r="C780">
        <f>SUM(FishSumAllPRN!C780)</f>
        <v>0</v>
      </c>
      <c r="D780">
        <f>SUM(FishSumAllPRN!D780)</f>
        <v>0</v>
      </c>
      <c r="E780">
        <f>SUM(FishSumAllPRN!E780)</f>
        <v>474</v>
      </c>
      <c r="F780">
        <f>SUM(FishSumAllPRN!F780)</f>
        <v>662</v>
      </c>
      <c r="G780">
        <f>SUM(FishSumAllPRN!G780)</f>
        <v>1136</v>
      </c>
      <c r="H780" s="54" t="s">
        <v>294</v>
      </c>
      <c r="I780" s="54"/>
    </row>
    <row r="781" spans="1:9" x14ac:dyDescent="0.2">
      <c r="A781" t="s">
        <v>2009</v>
      </c>
      <c r="B781">
        <f>SUM(FishSumAllPRN!B781)</f>
        <v>0</v>
      </c>
      <c r="C781">
        <f>SUM(FishSumAllPRN!C781)</f>
        <v>0</v>
      </c>
      <c r="D781">
        <f>SUM(FishSumAllPRN!D781)</f>
        <v>0</v>
      </c>
      <c r="E781">
        <f>SUM(FishSumAllPRN!E781)</f>
        <v>0</v>
      </c>
      <c r="F781">
        <f>SUM(FishSumAllPRN!F781)</f>
        <v>0</v>
      </c>
      <c r="G781">
        <f>SUM(FishSumAllPRN!G781)</f>
        <v>0</v>
      </c>
      <c r="H781" s="54" t="s">
        <v>294</v>
      </c>
      <c r="I781" s="54"/>
    </row>
    <row r="782" spans="1:9" x14ac:dyDescent="0.2">
      <c r="A782" t="s">
        <v>2014</v>
      </c>
      <c r="B782">
        <f>SUM(FishSumAllPRN!B782)</f>
        <v>0</v>
      </c>
      <c r="C782">
        <f>SUM(FishSumAllPRN!C782)</f>
        <v>0</v>
      </c>
      <c r="D782">
        <f>SUM(FishSumAllPRN!D782)</f>
        <v>0</v>
      </c>
      <c r="E782">
        <f>SUM(FishSumAllPRN!E782)</f>
        <v>21704</v>
      </c>
      <c r="F782">
        <f>SUM(FishSumAllPRN!F782)</f>
        <v>12150</v>
      </c>
      <c r="G782">
        <f>SUM(FishSumAllPRN!G782)</f>
        <v>33855</v>
      </c>
      <c r="H782" s="54" t="s">
        <v>294</v>
      </c>
      <c r="I782" s="54"/>
    </row>
    <row r="783" spans="1:9" x14ac:dyDescent="0.2">
      <c r="A783" t="s">
        <v>2019</v>
      </c>
      <c r="B783">
        <f>SUM(FishSumAllPRN!B783)</f>
        <v>0</v>
      </c>
      <c r="C783">
        <f>SUM(FishSumAllPRN!C783)</f>
        <v>0</v>
      </c>
      <c r="D783">
        <f>SUM(FishSumAllPRN!D783)</f>
        <v>0</v>
      </c>
      <c r="E783">
        <f>SUM(FishSumAllPRN!E783)</f>
        <v>0</v>
      </c>
      <c r="F783">
        <f>SUM(FishSumAllPRN!F783)</f>
        <v>0</v>
      </c>
      <c r="G783">
        <f>SUM(FishSumAllPRN!G783)</f>
        <v>0</v>
      </c>
      <c r="H783" s="54" t="s">
        <v>294</v>
      </c>
      <c r="I783" s="54"/>
    </row>
    <row r="784" spans="1:9" x14ac:dyDescent="0.2">
      <c r="A784" t="s">
        <v>2023</v>
      </c>
      <c r="B784">
        <f>SUM(FishSumAllPRN!B784)</f>
        <v>0</v>
      </c>
      <c r="C784">
        <f>SUM(FishSumAllPRN!C784)</f>
        <v>0</v>
      </c>
      <c r="D784">
        <f>SUM(FishSumAllPRN!D784)</f>
        <v>0</v>
      </c>
      <c r="E784">
        <f>SUM(FishSumAllPRN!E784)</f>
        <v>0</v>
      </c>
      <c r="F784">
        <f>SUM(FishSumAllPRN!F784)</f>
        <v>114</v>
      </c>
      <c r="G784">
        <f>SUM(FishSumAllPRN!G784)</f>
        <v>114</v>
      </c>
      <c r="H784" s="54" t="s">
        <v>294</v>
      </c>
      <c r="I784" s="54"/>
    </row>
    <row r="785" spans="1:9" x14ac:dyDescent="0.2">
      <c r="A785" t="s">
        <v>2026</v>
      </c>
      <c r="B785">
        <f>SUM(FishSumAllPRN!B785)</f>
        <v>0</v>
      </c>
      <c r="C785">
        <f>SUM(FishSumAllPRN!C785)</f>
        <v>0</v>
      </c>
      <c r="D785">
        <f>SUM(FishSumAllPRN!D785)</f>
        <v>0</v>
      </c>
      <c r="E785">
        <f>SUM(FishSumAllPRN!E785)</f>
        <v>0</v>
      </c>
      <c r="F785">
        <f>SUM(FishSumAllPRN!F785)</f>
        <v>2423</v>
      </c>
      <c r="G785">
        <f>SUM(FishSumAllPRN!G785)</f>
        <v>2423</v>
      </c>
      <c r="H785" s="54" t="s">
        <v>294</v>
      </c>
      <c r="I785" s="54"/>
    </row>
    <row r="786" spans="1:9" x14ac:dyDescent="0.2">
      <c r="A786" t="s">
        <v>2030</v>
      </c>
      <c r="B786">
        <f>SUM(FishSumAllPRN!B786)</f>
        <v>0</v>
      </c>
      <c r="C786">
        <f>SUM(FishSumAllPRN!C786)</f>
        <v>0</v>
      </c>
      <c r="D786">
        <f>SUM(FishSumAllPRN!D786)</f>
        <v>0</v>
      </c>
      <c r="E786">
        <f>SUM(FishSumAllPRN!E786)</f>
        <v>0</v>
      </c>
      <c r="F786">
        <f>SUM(FishSumAllPRN!F786)</f>
        <v>1</v>
      </c>
      <c r="G786">
        <f>SUM(FishSumAllPRN!G786)</f>
        <v>1</v>
      </c>
      <c r="H786" s="54" t="s">
        <v>294</v>
      </c>
      <c r="I786" s="54"/>
    </row>
    <row r="787" spans="1:9" x14ac:dyDescent="0.2">
      <c r="A787" t="s">
        <v>2035</v>
      </c>
      <c r="B787">
        <f>SUM(FishSumAllPRN!B787)</f>
        <v>0</v>
      </c>
      <c r="C787">
        <f>SUM(FishSumAllPRN!C787)</f>
        <v>0</v>
      </c>
      <c r="D787">
        <f>SUM(FishSumAllPRN!D787)</f>
        <v>0</v>
      </c>
      <c r="E787">
        <f>SUM(FishSumAllPRN!E787)</f>
        <v>0</v>
      </c>
      <c r="F787">
        <f>SUM(FishSumAllPRN!F787)</f>
        <v>0</v>
      </c>
      <c r="G787">
        <f>SUM(FishSumAllPRN!G787)</f>
        <v>0</v>
      </c>
      <c r="H787" s="54" t="s">
        <v>294</v>
      </c>
      <c r="I787" s="54"/>
    </row>
    <row r="788" spans="1:9" x14ac:dyDescent="0.2">
      <c r="A788" t="s">
        <v>2040</v>
      </c>
      <c r="B788">
        <f>SUM(FishSumAllPRN!B788)</f>
        <v>0</v>
      </c>
      <c r="C788">
        <f>SUM(FishSumAllPRN!C788)</f>
        <v>0</v>
      </c>
      <c r="D788">
        <f>SUM(FishSumAllPRN!D788)</f>
        <v>0</v>
      </c>
      <c r="E788">
        <f>SUM(FishSumAllPRN!E788)</f>
        <v>0</v>
      </c>
      <c r="F788">
        <f>SUM(FishSumAllPRN!F788)</f>
        <v>1808</v>
      </c>
      <c r="G788">
        <f>SUM(FishSumAllPRN!G788)</f>
        <v>1808</v>
      </c>
      <c r="H788" s="54" t="s">
        <v>294</v>
      </c>
      <c r="I788" s="54"/>
    </row>
    <row r="789" spans="1:9" x14ac:dyDescent="0.2">
      <c r="A789" t="s">
        <v>2045</v>
      </c>
      <c r="B789">
        <f>SUM(FishSumAllPRN!B789)</f>
        <v>0</v>
      </c>
      <c r="C789">
        <f>SUM(FishSumAllPRN!C789)</f>
        <v>0</v>
      </c>
      <c r="D789">
        <f>SUM(FishSumAllPRN!D789)</f>
        <v>0</v>
      </c>
      <c r="E789">
        <f>SUM(FishSumAllPRN!E789)</f>
        <v>0</v>
      </c>
      <c r="F789">
        <f>SUM(FishSumAllPRN!F789)</f>
        <v>5</v>
      </c>
      <c r="G789">
        <f>SUM(FishSumAllPRN!G789)</f>
        <v>5</v>
      </c>
      <c r="H789" s="54" t="s">
        <v>294</v>
      </c>
      <c r="I789" s="54"/>
    </row>
    <row r="790" spans="1:9" x14ac:dyDescent="0.2">
      <c r="A790" t="s">
        <v>2049</v>
      </c>
      <c r="B790">
        <f>SUM(FishSumAllPRN!B790)</f>
        <v>0</v>
      </c>
      <c r="C790">
        <f>SUM(FishSumAllPRN!C790)</f>
        <v>0</v>
      </c>
      <c r="D790">
        <f>SUM(FishSumAllPRN!D790)</f>
        <v>1981</v>
      </c>
      <c r="E790">
        <f>SUM(FishSumAllPRN!E790)</f>
        <v>4837</v>
      </c>
      <c r="F790">
        <f>SUM(FishSumAllPRN!F790)</f>
        <v>803</v>
      </c>
      <c r="G790">
        <f>SUM(FishSumAllPRN!G790)</f>
        <v>7621</v>
      </c>
      <c r="H790" s="54" t="s">
        <v>294</v>
      </c>
      <c r="I790" s="54"/>
    </row>
    <row r="791" spans="1:9" x14ac:dyDescent="0.2">
      <c r="A791" t="s">
        <v>2051</v>
      </c>
      <c r="B791">
        <f>SUM(FishSumAllPRN!B791)</f>
        <v>0</v>
      </c>
      <c r="C791">
        <f>SUM(FishSumAllPRN!C791)</f>
        <v>0</v>
      </c>
      <c r="D791">
        <f>SUM(FishSumAllPRN!D791)</f>
        <v>0</v>
      </c>
      <c r="E791">
        <f>SUM(FishSumAllPRN!E791)</f>
        <v>0</v>
      </c>
      <c r="F791">
        <f>SUM(FishSumAllPRN!F791)</f>
        <v>1341</v>
      </c>
      <c r="G791">
        <f>SUM(FishSumAllPRN!G791)</f>
        <v>1341</v>
      </c>
      <c r="H791" s="54" t="s">
        <v>294</v>
      </c>
      <c r="I791" s="54"/>
    </row>
    <row r="792" spans="1:9" x14ac:dyDescent="0.2">
      <c r="A792" t="s">
        <v>2057</v>
      </c>
      <c r="B792">
        <f>SUM(FishSumAllPRN!B792)</f>
        <v>0</v>
      </c>
      <c r="C792">
        <f>SUM(FishSumAllPRN!C792)</f>
        <v>0</v>
      </c>
      <c r="D792">
        <f>SUM(FishSumAllPRN!D792)</f>
        <v>10</v>
      </c>
      <c r="E792">
        <f>SUM(FishSumAllPRN!E792)</f>
        <v>86</v>
      </c>
      <c r="F792">
        <f>SUM(FishSumAllPRN!F792)</f>
        <v>2220</v>
      </c>
      <c r="G792">
        <f>SUM(FishSumAllPRN!G792)</f>
        <v>2317</v>
      </c>
      <c r="H792" s="54" t="s">
        <v>294</v>
      </c>
      <c r="I792" s="54"/>
    </row>
    <row r="793" spans="1:9" x14ac:dyDescent="0.2">
      <c r="A793" t="s">
        <v>5762</v>
      </c>
      <c r="B793">
        <f>SUM(FishSumAllPRN!B793)</f>
        <v>0</v>
      </c>
      <c r="C793">
        <f>SUM(FishSumAllPRN!C793)</f>
        <v>0</v>
      </c>
      <c r="D793">
        <f>SUM(FishSumAllPRN!D793)</f>
        <v>0</v>
      </c>
      <c r="E793">
        <f>SUM(FishSumAllPRN!E793)</f>
        <v>1267</v>
      </c>
      <c r="F793">
        <f>SUM(FishSumAllPRN!F793)</f>
        <v>40</v>
      </c>
      <c r="G793">
        <f>SUM(FishSumAllPRN!G793)</f>
        <v>1307</v>
      </c>
      <c r="H793" s="54" t="s">
        <v>294</v>
      </c>
      <c r="I793" s="54"/>
    </row>
    <row r="794" spans="1:9" x14ac:dyDescent="0.2">
      <c r="A794" t="s">
        <v>5763</v>
      </c>
      <c r="B794">
        <f>SUM(FishSumAllPRN!B794)</f>
        <v>0</v>
      </c>
      <c r="C794">
        <f>SUM(FishSumAllPRN!C794)</f>
        <v>0</v>
      </c>
      <c r="D794">
        <f>SUM(FishSumAllPRN!D794)</f>
        <v>0</v>
      </c>
      <c r="E794">
        <f>SUM(FishSumAllPRN!E794)</f>
        <v>4943</v>
      </c>
      <c r="F794">
        <f>SUM(FishSumAllPRN!F794)</f>
        <v>1101</v>
      </c>
      <c r="G794">
        <f>SUM(FishSumAllPRN!G794)</f>
        <v>6045</v>
      </c>
      <c r="H794" s="54" t="s">
        <v>294</v>
      </c>
      <c r="I794" s="54"/>
    </row>
    <row r="795" spans="1:9" x14ac:dyDescent="0.2">
      <c r="A795" t="s">
        <v>2074</v>
      </c>
      <c r="B795">
        <f>SUM(FishSumAllPRN!B795)</f>
        <v>0</v>
      </c>
      <c r="C795">
        <f>SUM(FishSumAllPRN!C795)</f>
        <v>0</v>
      </c>
      <c r="D795">
        <f>SUM(FishSumAllPRN!D795)</f>
        <v>0</v>
      </c>
      <c r="E795">
        <f>SUM(FishSumAllPRN!E795)</f>
        <v>1259</v>
      </c>
      <c r="F795">
        <f>SUM(FishSumAllPRN!F795)</f>
        <v>0</v>
      </c>
      <c r="G795">
        <f>SUM(FishSumAllPRN!G795)</f>
        <v>1259</v>
      </c>
      <c r="H795" s="54" t="s">
        <v>294</v>
      </c>
      <c r="I795" s="54"/>
    </row>
    <row r="796" spans="1:9" x14ac:dyDescent="0.2">
      <c r="A796" t="s">
        <v>2079</v>
      </c>
      <c r="B796">
        <f>SUM(FishSumAllPRN!B796)</f>
        <v>0</v>
      </c>
      <c r="C796">
        <f>SUM(FishSumAllPRN!C796)</f>
        <v>0</v>
      </c>
      <c r="D796">
        <f>SUM(FishSumAllPRN!D796)</f>
        <v>0</v>
      </c>
      <c r="E796">
        <f>SUM(FishSumAllPRN!E796)</f>
        <v>3536</v>
      </c>
      <c r="F796">
        <f>SUM(FishSumAllPRN!F796)</f>
        <v>380</v>
      </c>
      <c r="G796">
        <f>SUM(FishSumAllPRN!G796)</f>
        <v>3915</v>
      </c>
      <c r="H796" s="54" t="s">
        <v>294</v>
      </c>
      <c r="I796" s="54"/>
    </row>
    <row r="797" spans="1:9" x14ac:dyDescent="0.2">
      <c r="A797" t="s">
        <v>2085</v>
      </c>
      <c r="B797">
        <f>SUM(FishSumAllPRN!B797)</f>
        <v>0</v>
      </c>
      <c r="C797">
        <f>SUM(FishSumAllPRN!C797)</f>
        <v>0</v>
      </c>
      <c r="D797">
        <f>SUM(FishSumAllPRN!D797)</f>
        <v>0</v>
      </c>
      <c r="E797">
        <f>SUM(FishSumAllPRN!E797)</f>
        <v>5</v>
      </c>
      <c r="F797">
        <f>SUM(FishSumAllPRN!F797)</f>
        <v>2</v>
      </c>
      <c r="G797">
        <f>SUM(FishSumAllPRN!G797)</f>
        <v>8</v>
      </c>
      <c r="H797" s="54" t="s">
        <v>294</v>
      </c>
      <c r="I797" s="54"/>
    </row>
    <row r="798" spans="1:9" x14ac:dyDescent="0.2">
      <c r="A798" t="s">
        <v>2091</v>
      </c>
      <c r="B798">
        <f>SUM(FishSumAllPRN!B798)</f>
        <v>0</v>
      </c>
      <c r="C798">
        <f>SUM(FishSumAllPRN!C798)</f>
        <v>0</v>
      </c>
      <c r="D798">
        <f>SUM(FishSumAllPRN!D798)</f>
        <v>0</v>
      </c>
      <c r="E798">
        <f>SUM(FishSumAllPRN!E798)</f>
        <v>1362</v>
      </c>
      <c r="F798">
        <f>SUM(FishSumAllPRN!F798)</f>
        <v>836</v>
      </c>
      <c r="G798">
        <f>SUM(FishSumAllPRN!G798)</f>
        <v>2198</v>
      </c>
      <c r="H798" s="54" t="s">
        <v>294</v>
      </c>
      <c r="I798" s="54"/>
    </row>
    <row r="799" spans="1:9" x14ac:dyDescent="0.2">
      <c r="A799" t="s">
        <v>2097</v>
      </c>
      <c r="B799">
        <f>SUM(FishSumAllPRN!B799)</f>
        <v>0</v>
      </c>
      <c r="C799">
        <f>SUM(FishSumAllPRN!C799)</f>
        <v>0</v>
      </c>
      <c r="D799">
        <f>SUM(FishSumAllPRN!D799)</f>
        <v>0</v>
      </c>
      <c r="E799">
        <f>SUM(FishSumAllPRN!E799)</f>
        <v>0</v>
      </c>
      <c r="F799">
        <f>SUM(FishSumAllPRN!F799)</f>
        <v>1465</v>
      </c>
      <c r="G799">
        <f>SUM(FishSumAllPRN!G799)</f>
        <v>1465</v>
      </c>
      <c r="H799" s="54" t="s">
        <v>294</v>
      </c>
      <c r="I799" s="54"/>
    </row>
    <row r="800" spans="1:9" x14ac:dyDescent="0.2">
      <c r="A800" t="s">
        <v>2101</v>
      </c>
      <c r="B800">
        <f>SUM(FishSumAllPRN!B800)</f>
        <v>0</v>
      </c>
      <c r="C800">
        <f>SUM(FishSumAllPRN!C800)</f>
        <v>0</v>
      </c>
      <c r="D800">
        <f>SUM(FishSumAllPRN!D800)</f>
        <v>0</v>
      </c>
      <c r="E800">
        <f>SUM(FishSumAllPRN!E800)</f>
        <v>0</v>
      </c>
      <c r="F800">
        <f>SUM(FishSumAllPRN!F800)</f>
        <v>1200</v>
      </c>
      <c r="G800">
        <f>SUM(FishSumAllPRN!G800)</f>
        <v>1200</v>
      </c>
      <c r="H800" s="54" t="s">
        <v>294</v>
      </c>
      <c r="I800" s="54"/>
    </row>
    <row r="801" spans="1:9" x14ac:dyDescent="0.2">
      <c r="A801" t="s">
        <v>2104</v>
      </c>
      <c r="B801">
        <f>SUM(FishSumAllPRN!B801)</f>
        <v>0</v>
      </c>
      <c r="C801">
        <f>SUM(FishSumAllPRN!C801)</f>
        <v>0</v>
      </c>
      <c r="D801">
        <f>SUM(FishSumAllPRN!D801)</f>
        <v>0</v>
      </c>
      <c r="E801">
        <f>SUM(FishSumAllPRN!E801)</f>
        <v>0</v>
      </c>
      <c r="F801">
        <f>SUM(FishSumAllPRN!F801)</f>
        <v>0</v>
      </c>
      <c r="G801">
        <f>SUM(FishSumAllPRN!G801)</f>
        <v>0</v>
      </c>
      <c r="H801" s="54" t="s">
        <v>294</v>
      </c>
      <c r="I801" s="54"/>
    </row>
    <row r="802" spans="1:9" x14ac:dyDescent="0.2">
      <c r="A802" t="s">
        <v>5764</v>
      </c>
      <c r="B802">
        <f>SUM(FishSumAllPRN!B802)</f>
        <v>0</v>
      </c>
      <c r="C802">
        <f>SUM(FishSumAllPRN!C802)</f>
        <v>0</v>
      </c>
      <c r="D802">
        <f>SUM(FishSumAllPRN!D802)</f>
        <v>0</v>
      </c>
      <c r="E802">
        <f>SUM(FishSumAllPRN!E802)</f>
        <v>0</v>
      </c>
      <c r="F802">
        <f>SUM(FishSumAllPRN!F802)</f>
        <v>1939</v>
      </c>
      <c r="G802">
        <f>SUM(FishSumAllPRN!G802)</f>
        <v>1939</v>
      </c>
      <c r="H802" s="54" t="s">
        <v>294</v>
      </c>
      <c r="I802" s="54"/>
    </row>
    <row r="803" spans="1:9" x14ac:dyDescent="0.2">
      <c r="A803" t="s">
        <v>2110</v>
      </c>
      <c r="B803">
        <f>SUM(FishSumAllPRN!B803)</f>
        <v>0</v>
      </c>
      <c r="C803">
        <f>SUM(FishSumAllPRN!C803)</f>
        <v>0</v>
      </c>
      <c r="D803">
        <f>SUM(FishSumAllPRN!D803)</f>
        <v>0</v>
      </c>
      <c r="E803">
        <f>SUM(FishSumAllPRN!E803)</f>
        <v>0</v>
      </c>
      <c r="F803">
        <f>SUM(FishSumAllPRN!F803)</f>
        <v>0</v>
      </c>
      <c r="G803">
        <f>SUM(FishSumAllPRN!G803)</f>
        <v>0</v>
      </c>
      <c r="H803" s="54" t="s">
        <v>294</v>
      </c>
      <c r="I803" s="54"/>
    </row>
    <row r="804" spans="1:9" x14ac:dyDescent="0.2">
      <c r="A804" t="s">
        <v>2113</v>
      </c>
      <c r="B804">
        <f>SUM(FishSumAllPRN!B804)</f>
        <v>0</v>
      </c>
      <c r="C804">
        <f>SUM(FishSumAllPRN!C804)</f>
        <v>0</v>
      </c>
      <c r="D804">
        <f>SUM(FishSumAllPRN!D804)</f>
        <v>0</v>
      </c>
      <c r="E804">
        <f>SUM(FishSumAllPRN!E804)</f>
        <v>0</v>
      </c>
      <c r="F804">
        <f>SUM(FishSumAllPRN!F804)</f>
        <v>0</v>
      </c>
      <c r="G804">
        <f>SUM(FishSumAllPRN!G804)</f>
        <v>0</v>
      </c>
      <c r="H804" s="54" t="s">
        <v>294</v>
      </c>
      <c r="I804" s="54"/>
    </row>
    <row r="805" spans="1:9" x14ac:dyDescent="0.2">
      <c r="A805" t="s">
        <v>4346</v>
      </c>
      <c r="B805">
        <f>SUM(FishSumAllPRN!B805)</f>
        <v>0</v>
      </c>
      <c r="C805">
        <f>SUM(FishSumAllPRN!C805)</f>
        <v>0</v>
      </c>
      <c r="D805">
        <f>SUM(FishSumAllPRN!D805)</f>
        <v>0</v>
      </c>
      <c r="E805">
        <f>SUM(FishSumAllPRN!E805)</f>
        <v>0</v>
      </c>
      <c r="F805">
        <f>SUM(FishSumAllPRN!F805)</f>
        <v>1032</v>
      </c>
      <c r="G805">
        <f>SUM(FishSumAllPRN!G805)</f>
        <v>1032</v>
      </c>
      <c r="H805" s="54" t="s">
        <v>294</v>
      </c>
      <c r="I805" s="54"/>
    </row>
    <row r="806" spans="1:9" x14ac:dyDescent="0.2">
      <c r="A806" t="s">
        <v>4347</v>
      </c>
      <c r="B806">
        <f>SUM(FishSumAllPRN!B806)</f>
        <v>0</v>
      </c>
      <c r="C806">
        <f>SUM(FishSumAllPRN!C806)</f>
        <v>0</v>
      </c>
      <c r="D806">
        <f>SUM(FishSumAllPRN!D806)</f>
        <v>0</v>
      </c>
      <c r="E806">
        <f>SUM(FishSumAllPRN!E806)</f>
        <v>0</v>
      </c>
      <c r="F806">
        <f>SUM(FishSumAllPRN!F806)</f>
        <v>962</v>
      </c>
      <c r="G806">
        <f>SUM(FishSumAllPRN!G806)</f>
        <v>962</v>
      </c>
      <c r="H806" s="54" t="s">
        <v>294</v>
      </c>
      <c r="I806" s="54"/>
    </row>
    <row r="807" spans="1:9" x14ac:dyDescent="0.2">
      <c r="A807" s="365" t="s">
        <v>4348</v>
      </c>
      <c r="B807" s="365">
        <f>SUM(FishSumAllPRN!B807)</f>
        <v>0</v>
      </c>
      <c r="C807" s="365">
        <f>SUM(FishSumAllPRN!C807)</f>
        <v>0</v>
      </c>
      <c r="D807" s="365">
        <f>SUM(FishSumAllPRN!D807)</f>
        <v>0</v>
      </c>
      <c r="E807" s="365">
        <f>SUM(FishSumAllPRN!E807)</f>
        <v>0</v>
      </c>
      <c r="F807" s="365">
        <f>SUM(FishSumAllPRN!F807)</f>
        <v>0</v>
      </c>
      <c r="G807" s="365">
        <f>SUM(FishSumAllPRN!G807)</f>
        <v>0</v>
      </c>
      <c r="H807" s="54" t="s">
        <v>294</v>
      </c>
      <c r="I807" s="54"/>
    </row>
    <row r="808" spans="1:9" x14ac:dyDescent="0.2">
      <c r="A808" s="365" t="s">
        <v>4349</v>
      </c>
      <c r="B808" s="365">
        <f>SUM(FishSumAllPRN!B808)</f>
        <v>0</v>
      </c>
      <c r="C808" s="365">
        <f>SUM(FishSumAllPRN!C808)</f>
        <v>0</v>
      </c>
      <c r="D808" s="365">
        <f>SUM(FishSumAllPRN!D808)</f>
        <v>0</v>
      </c>
      <c r="E808" s="365">
        <f>SUM(FishSumAllPRN!E808)</f>
        <v>0</v>
      </c>
      <c r="F808" s="365">
        <f>SUM(FishSumAllPRN!F808)</f>
        <v>0</v>
      </c>
      <c r="G808" s="365">
        <f>SUM(FishSumAllPRN!G808)</f>
        <v>0</v>
      </c>
      <c r="H808" s="54" t="s">
        <v>294</v>
      </c>
      <c r="I808" s="54"/>
    </row>
    <row r="809" spans="1:9" x14ac:dyDescent="0.2">
      <c r="A809" t="s">
        <v>4350</v>
      </c>
      <c r="B809">
        <f>SUM(FishSumAllPRN!B809)</f>
        <v>0</v>
      </c>
      <c r="C809">
        <f>SUM(FishSumAllPRN!C809)</f>
        <v>15463</v>
      </c>
      <c r="D809">
        <f>SUM(FishSumAllPRN!D809)</f>
        <v>63281</v>
      </c>
      <c r="E809">
        <f>SUM(FishSumAllPRN!E809)</f>
        <v>1499</v>
      </c>
      <c r="F809">
        <f>SUM(FishSumAllPRN!F809)</f>
        <v>0</v>
      </c>
      <c r="G809">
        <f>SUM(FishSumAllPRN!G809)</f>
        <v>80243</v>
      </c>
      <c r="H809" s="54" t="s">
        <v>294</v>
      </c>
      <c r="I809" s="54"/>
    </row>
    <row r="810" spans="1:9" x14ac:dyDescent="0.2">
      <c r="A810" t="s">
        <v>4351</v>
      </c>
      <c r="B810">
        <f>SUM(FishSumAllPRN!B810)</f>
        <v>0</v>
      </c>
      <c r="C810">
        <f>SUM(FishSumAllPRN!C810)</f>
        <v>0</v>
      </c>
      <c r="D810">
        <f>SUM(FishSumAllPRN!D810)</f>
        <v>0</v>
      </c>
      <c r="E810">
        <f>SUM(FishSumAllPRN!E810)</f>
        <v>2</v>
      </c>
      <c r="F810">
        <f>SUM(FishSumAllPRN!F810)</f>
        <v>0</v>
      </c>
      <c r="G810">
        <f>SUM(FishSumAllPRN!G810)</f>
        <v>2</v>
      </c>
      <c r="H810" s="54" t="s">
        <v>294</v>
      </c>
      <c r="I810" s="54"/>
    </row>
    <row r="811" spans="1:9" x14ac:dyDescent="0.2">
      <c r="A811" t="s">
        <v>4352</v>
      </c>
      <c r="B811">
        <f>SUM(FishSumAllPRN!B811)</f>
        <v>0</v>
      </c>
      <c r="C811">
        <f>SUM(FishSumAllPRN!C811)</f>
        <v>0</v>
      </c>
      <c r="D811">
        <f>SUM(FishSumAllPRN!D811)</f>
        <v>0</v>
      </c>
      <c r="E811">
        <f>SUM(FishSumAllPRN!E811)</f>
        <v>0</v>
      </c>
      <c r="F811">
        <f>SUM(FishSumAllPRN!F811)</f>
        <v>0</v>
      </c>
      <c r="G811">
        <f>SUM(FishSumAllPRN!G811)</f>
        <v>0</v>
      </c>
      <c r="H811" s="54" t="s">
        <v>294</v>
      </c>
      <c r="I811" s="54"/>
    </row>
    <row r="812" spans="1:9" x14ac:dyDescent="0.2">
      <c r="A812" t="s">
        <v>4353</v>
      </c>
      <c r="B812">
        <f>SUM(FishSumAllPRN!B812)</f>
        <v>45</v>
      </c>
      <c r="C812">
        <f>SUM(FishSumAllPRN!C812)</f>
        <v>4294</v>
      </c>
      <c r="D812">
        <f>SUM(FishSumAllPRN!D812)</f>
        <v>2077</v>
      </c>
      <c r="E812">
        <f>SUM(FishSumAllPRN!E812)</f>
        <v>149</v>
      </c>
      <c r="F812">
        <f>SUM(FishSumAllPRN!F812)</f>
        <v>0</v>
      </c>
      <c r="G812">
        <f>SUM(FishSumAllPRN!G812)</f>
        <v>6565</v>
      </c>
      <c r="H812" s="54" t="s">
        <v>294</v>
      </c>
      <c r="I812" s="54"/>
    </row>
    <row r="813" spans="1:9" x14ac:dyDescent="0.2">
      <c r="A813" t="s">
        <v>4354</v>
      </c>
      <c r="B813">
        <f>SUM(FishSumAllPRN!B813)</f>
        <v>204</v>
      </c>
      <c r="C813">
        <f>SUM(FishSumAllPRN!C813)</f>
        <v>2282</v>
      </c>
      <c r="D813">
        <f>SUM(FishSumAllPRN!D813)</f>
        <v>809</v>
      </c>
      <c r="E813">
        <f>SUM(FishSumAllPRN!E813)</f>
        <v>24</v>
      </c>
      <c r="F813">
        <f>SUM(FishSumAllPRN!F813)</f>
        <v>0</v>
      </c>
      <c r="G813">
        <f>SUM(FishSumAllPRN!G813)</f>
        <v>3318</v>
      </c>
      <c r="H813" s="54" t="s">
        <v>294</v>
      </c>
      <c r="I813" s="54"/>
    </row>
    <row r="814" spans="1:9" x14ac:dyDescent="0.2">
      <c r="A814" t="s">
        <v>4355</v>
      </c>
      <c r="B814">
        <f>SUM(FishSumAllPRN!B814)</f>
        <v>0</v>
      </c>
      <c r="C814">
        <f>SUM(FishSumAllPRN!C814)</f>
        <v>0</v>
      </c>
      <c r="D814">
        <f>SUM(FishSumAllPRN!D814)</f>
        <v>0</v>
      </c>
      <c r="E814">
        <f>SUM(FishSumAllPRN!E814)</f>
        <v>0</v>
      </c>
      <c r="F814">
        <f>SUM(FishSumAllPRN!F814)</f>
        <v>0</v>
      </c>
      <c r="G814">
        <f>SUM(FishSumAllPRN!G814)</f>
        <v>0</v>
      </c>
      <c r="H814" s="54" t="s">
        <v>294</v>
      </c>
      <c r="I814" s="54"/>
    </row>
    <row r="815" spans="1:9" x14ac:dyDescent="0.2">
      <c r="A815" t="s">
        <v>4356</v>
      </c>
      <c r="B815">
        <f>SUM(FishSumAllPRN!B815)</f>
        <v>0</v>
      </c>
      <c r="C815">
        <f>SUM(FishSumAllPRN!C815)</f>
        <v>0</v>
      </c>
      <c r="D815">
        <f>SUM(FishSumAllPRN!D815)</f>
        <v>0</v>
      </c>
      <c r="E815">
        <f>SUM(FishSumAllPRN!E815)</f>
        <v>0</v>
      </c>
      <c r="F815">
        <f>SUM(FishSumAllPRN!F815)</f>
        <v>0</v>
      </c>
      <c r="G815">
        <f>SUM(FishSumAllPRN!G815)</f>
        <v>0</v>
      </c>
      <c r="H815" s="54" t="s">
        <v>294</v>
      </c>
      <c r="I815" s="54"/>
    </row>
    <row r="816" spans="1:9" x14ac:dyDescent="0.2">
      <c r="A816" t="s">
        <v>4357</v>
      </c>
      <c r="B816">
        <f>SUM(FishSumAllPRN!B816)</f>
        <v>113</v>
      </c>
      <c r="C816">
        <f>SUM(FishSumAllPRN!C816)</f>
        <v>8984</v>
      </c>
      <c r="D816">
        <f>SUM(FishSumAllPRN!D816)</f>
        <v>6430</v>
      </c>
      <c r="E816">
        <f>SUM(FishSumAllPRN!E816)</f>
        <v>0</v>
      </c>
      <c r="F816">
        <f>SUM(FishSumAllPRN!F816)</f>
        <v>0</v>
      </c>
      <c r="G816">
        <f>SUM(FishSumAllPRN!G816)</f>
        <v>15528</v>
      </c>
      <c r="H816" s="54" t="s">
        <v>294</v>
      </c>
      <c r="I816" s="54"/>
    </row>
    <row r="817" spans="1:9" x14ac:dyDescent="0.2">
      <c r="A817" t="s">
        <v>4358</v>
      </c>
      <c r="B817">
        <f>SUM(FishSumAllPRN!B817)</f>
        <v>0</v>
      </c>
      <c r="C817">
        <f>SUM(FishSumAllPRN!C817)</f>
        <v>874</v>
      </c>
      <c r="D817">
        <f>SUM(FishSumAllPRN!D817)</f>
        <v>1574</v>
      </c>
      <c r="E817">
        <f>SUM(FishSumAllPRN!E817)</f>
        <v>0</v>
      </c>
      <c r="F817">
        <f>SUM(FishSumAllPRN!F817)</f>
        <v>0</v>
      </c>
      <c r="G817">
        <f>SUM(FishSumAllPRN!G817)</f>
        <v>2448</v>
      </c>
      <c r="H817" s="54" t="s">
        <v>294</v>
      </c>
      <c r="I817" s="54"/>
    </row>
    <row r="818" spans="1:9" x14ac:dyDescent="0.2">
      <c r="A818" t="s">
        <v>4359</v>
      </c>
      <c r="B818">
        <f>SUM(FishSumAllPRN!B818)</f>
        <v>0</v>
      </c>
      <c r="C818">
        <f>SUM(FishSumAllPRN!C818)</f>
        <v>0</v>
      </c>
      <c r="D818">
        <f>SUM(FishSumAllPRN!D818)</f>
        <v>0</v>
      </c>
      <c r="E818">
        <f>SUM(FishSumAllPRN!E818)</f>
        <v>0</v>
      </c>
      <c r="F818">
        <f>SUM(FishSumAllPRN!F818)</f>
        <v>0</v>
      </c>
      <c r="G818">
        <f>SUM(FishSumAllPRN!G818)</f>
        <v>0</v>
      </c>
      <c r="H818" s="54" t="s">
        <v>294</v>
      </c>
      <c r="I818" s="54"/>
    </row>
    <row r="819" spans="1:9" x14ac:dyDescent="0.2">
      <c r="A819" t="s">
        <v>4360</v>
      </c>
      <c r="B819">
        <f>SUM(FishSumAllPRN!B819)</f>
        <v>2</v>
      </c>
      <c r="C819">
        <f>SUM(FishSumAllPRN!C819)</f>
        <v>4</v>
      </c>
      <c r="D819">
        <f>SUM(FishSumAllPRN!D819)</f>
        <v>332</v>
      </c>
      <c r="E819">
        <f>SUM(FishSumAllPRN!E819)</f>
        <v>262</v>
      </c>
      <c r="F819">
        <f>SUM(FishSumAllPRN!F819)</f>
        <v>8</v>
      </c>
      <c r="G819">
        <f>SUM(FishSumAllPRN!G819)</f>
        <v>608</v>
      </c>
      <c r="H819" s="54" t="s">
        <v>294</v>
      </c>
      <c r="I819" s="54"/>
    </row>
    <row r="820" spans="1:9" x14ac:dyDescent="0.2">
      <c r="A820" t="s">
        <v>4361</v>
      </c>
      <c r="B820">
        <f>SUM(FishSumAllPRN!B820)</f>
        <v>0</v>
      </c>
      <c r="C820">
        <f>SUM(FishSumAllPRN!C820)</f>
        <v>0</v>
      </c>
      <c r="D820">
        <f>SUM(FishSumAllPRN!D820)</f>
        <v>3911</v>
      </c>
      <c r="E820">
        <f>SUM(FishSumAllPRN!E820)</f>
        <v>182</v>
      </c>
      <c r="F820">
        <f>SUM(FishSumAllPRN!F820)</f>
        <v>35</v>
      </c>
      <c r="G820">
        <f>SUM(FishSumAllPRN!G820)</f>
        <v>4128</v>
      </c>
      <c r="H820" s="54" t="s">
        <v>294</v>
      </c>
      <c r="I820" s="54"/>
    </row>
    <row r="821" spans="1:9" x14ac:dyDescent="0.2">
      <c r="A821" t="s">
        <v>4362</v>
      </c>
      <c r="B821">
        <f>SUM(FishSumAllPRN!B821)</f>
        <v>0</v>
      </c>
      <c r="C821">
        <f>SUM(FishSumAllPRN!C821)</f>
        <v>0</v>
      </c>
      <c r="D821">
        <f>SUM(FishSumAllPRN!D821)</f>
        <v>0</v>
      </c>
      <c r="E821">
        <f>SUM(FishSumAllPRN!E821)</f>
        <v>269</v>
      </c>
      <c r="F821">
        <f>SUM(FishSumAllPRN!F821)</f>
        <v>45</v>
      </c>
      <c r="G821">
        <f>SUM(FishSumAllPRN!G821)</f>
        <v>314</v>
      </c>
      <c r="H821" s="54" t="s">
        <v>294</v>
      </c>
      <c r="I821" s="54"/>
    </row>
    <row r="822" spans="1:9" x14ac:dyDescent="0.2">
      <c r="A822" t="s">
        <v>4363</v>
      </c>
      <c r="B822">
        <f>SUM(FishSumAllPRN!B822)</f>
        <v>0</v>
      </c>
      <c r="C822">
        <f>SUM(FishSumAllPRN!C822)</f>
        <v>0</v>
      </c>
      <c r="D822">
        <f>SUM(FishSumAllPRN!D822)</f>
        <v>0</v>
      </c>
      <c r="E822">
        <f>SUM(FishSumAllPRN!E822)</f>
        <v>0</v>
      </c>
      <c r="F822">
        <f>SUM(FishSumAllPRN!F822)</f>
        <v>0</v>
      </c>
      <c r="G822">
        <f>SUM(FishSumAllPRN!G822)</f>
        <v>0</v>
      </c>
      <c r="H822" s="54" t="s">
        <v>294</v>
      </c>
      <c r="I822" s="54"/>
    </row>
    <row r="823" spans="1:9" x14ac:dyDescent="0.2">
      <c r="A823" t="s">
        <v>4364</v>
      </c>
      <c r="B823">
        <f>SUM(FishSumAllPRN!B823)</f>
        <v>0</v>
      </c>
      <c r="C823">
        <f>SUM(FishSumAllPRN!C823)</f>
        <v>0</v>
      </c>
      <c r="D823">
        <f>SUM(FishSumAllPRN!D823)</f>
        <v>0</v>
      </c>
      <c r="E823">
        <f>SUM(FishSumAllPRN!E823)</f>
        <v>0</v>
      </c>
      <c r="F823">
        <f>SUM(FishSumAllPRN!F823)</f>
        <v>0</v>
      </c>
      <c r="G823">
        <f>SUM(FishSumAllPRN!G823)</f>
        <v>0</v>
      </c>
      <c r="H823" s="54" t="s">
        <v>294</v>
      </c>
      <c r="I823" s="54"/>
    </row>
    <row r="824" spans="1:9" x14ac:dyDescent="0.2">
      <c r="A824" s="365" t="s">
        <v>4365</v>
      </c>
      <c r="B824" s="365">
        <f>SUM(FishSumAllPRN!B824)</f>
        <v>63</v>
      </c>
      <c r="C824" s="365">
        <f>SUM(FishSumAllPRN!C824)</f>
        <v>2417</v>
      </c>
      <c r="D824" s="365">
        <f>SUM(FishSumAllPRN!D824)</f>
        <v>1666</v>
      </c>
      <c r="E824" s="365">
        <f>SUM(FishSumAllPRN!E824)</f>
        <v>0</v>
      </c>
      <c r="F824" s="365">
        <f>SUM(FishSumAllPRN!F824)</f>
        <v>0</v>
      </c>
      <c r="G824" s="365">
        <f>SUM(FishSumAllPRN!G824)</f>
        <v>4146</v>
      </c>
      <c r="H824" s="54"/>
      <c r="I824" s="54"/>
    </row>
    <row r="825" spans="1:9" x14ac:dyDescent="0.2">
      <c r="A825" t="s">
        <v>4366</v>
      </c>
      <c r="B825">
        <f>SUM(FishSumAllPRN!B825)</f>
        <v>2127</v>
      </c>
      <c r="C825">
        <f>SUM(FishSumAllPRN!C825)</f>
        <v>32057</v>
      </c>
      <c r="D825">
        <f>SUM(FishSumAllPRN!D825)</f>
        <v>16514</v>
      </c>
      <c r="E825">
        <f>SUM(FishSumAllPRN!E825)</f>
        <v>1797</v>
      </c>
      <c r="F825">
        <f>SUM(FishSumAllPRN!F825)</f>
        <v>0</v>
      </c>
      <c r="G825">
        <f>SUM(FishSumAllPRN!G825)</f>
        <v>52495</v>
      </c>
      <c r="H825" s="54" t="s">
        <v>294</v>
      </c>
      <c r="I825" s="54"/>
    </row>
    <row r="826" spans="1:9" x14ac:dyDescent="0.2">
      <c r="A826" t="s">
        <v>4367</v>
      </c>
      <c r="B826">
        <f>SUM(FishSumAllPRN!B826)</f>
        <v>78</v>
      </c>
      <c r="C826">
        <f>SUM(FishSumAllPRN!C826)</f>
        <v>1416</v>
      </c>
      <c r="D826">
        <f>SUM(FishSumAllPRN!D826)</f>
        <v>3837</v>
      </c>
      <c r="E826">
        <f>SUM(FishSumAllPRN!E826)</f>
        <v>302</v>
      </c>
      <c r="F826">
        <f>SUM(FishSumAllPRN!F826)</f>
        <v>0</v>
      </c>
      <c r="G826">
        <f>SUM(FishSumAllPRN!G826)</f>
        <v>5632</v>
      </c>
      <c r="H826" s="54" t="s">
        <v>294</v>
      </c>
      <c r="I826" s="54"/>
    </row>
    <row r="827" spans="1:9" x14ac:dyDescent="0.2">
      <c r="A827" t="s">
        <v>4368</v>
      </c>
      <c r="B827">
        <f>SUM(FishSumAllPRN!B827)</f>
        <v>650</v>
      </c>
      <c r="C827">
        <f>SUM(FishSumAllPRN!C827)</f>
        <v>2172</v>
      </c>
      <c r="D827">
        <f>SUM(FishSumAllPRN!D827)</f>
        <v>3986</v>
      </c>
      <c r="E827">
        <f>SUM(FishSumAllPRN!E827)</f>
        <v>6353</v>
      </c>
      <c r="F827">
        <f>SUM(FishSumAllPRN!F827)</f>
        <v>1321</v>
      </c>
      <c r="G827">
        <f>SUM(FishSumAllPRN!G827)</f>
        <v>14482</v>
      </c>
      <c r="H827" s="54" t="s">
        <v>294</v>
      </c>
      <c r="I827" s="54"/>
    </row>
    <row r="828" spans="1:9" x14ac:dyDescent="0.2">
      <c r="A828" t="s">
        <v>4369</v>
      </c>
      <c r="B828">
        <f>SUM(FishSumAllPRN!B828)</f>
        <v>796</v>
      </c>
      <c r="C828">
        <f>SUM(FishSumAllPRN!C828)</f>
        <v>4224</v>
      </c>
      <c r="D828">
        <f>SUM(FishSumAllPRN!D828)</f>
        <v>12553</v>
      </c>
      <c r="E828">
        <f>SUM(FishSumAllPRN!E828)</f>
        <v>3332</v>
      </c>
      <c r="F828">
        <f>SUM(FishSumAllPRN!F828)</f>
        <v>0</v>
      </c>
      <c r="G828">
        <f>SUM(FishSumAllPRN!G828)</f>
        <v>20905</v>
      </c>
      <c r="H828" s="54" t="s">
        <v>294</v>
      </c>
      <c r="I828" s="54"/>
    </row>
    <row r="829" spans="1:9" x14ac:dyDescent="0.2">
      <c r="A829" t="s">
        <v>4370</v>
      </c>
      <c r="B829">
        <f>SUM(FishSumAllPRN!B829)</f>
        <v>3001</v>
      </c>
      <c r="C829">
        <f>SUM(FishSumAllPRN!C829)</f>
        <v>2911</v>
      </c>
      <c r="D829">
        <f>SUM(FishSumAllPRN!D829)</f>
        <v>2616</v>
      </c>
      <c r="E829">
        <f>SUM(FishSumAllPRN!E829)</f>
        <v>315</v>
      </c>
      <c r="F829">
        <f>SUM(FishSumAllPRN!F829)</f>
        <v>0</v>
      </c>
      <c r="G829">
        <f>SUM(FishSumAllPRN!G829)</f>
        <v>8843</v>
      </c>
      <c r="H829" s="54" t="s">
        <v>294</v>
      </c>
      <c r="I829" s="54"/>
    </row>
    <row r="830" spans="1:9" x14ac:dyDescent="0.2">
      <c r="A830" t="s">
        <v>4371</v>
      </c>
      <c r="B830">
        <f>SUM(FishSumAllPRN!B830)</f>
        <v>580</v>
      </c>
      <c r="C830">
        <f>SUM(FishSumAllPRN!C830)</f>
        <v>790</v>
      </c>
      <c r="D830">
        <f>SUM(FishSumAllPRN!D830)</f>
        <v>1453</v>
      </c>
      <c r="E830">
        <f>SUM(FishSumAllPRN!E830)</f>
        <v>593</v>
      </c>
      <c r="F830">
        <f>SUM(FishSumAllPRN!F830)</f>
        <v>1</v>
      </c>
      <c r="G830">
        <f>SUM(FishSumAllPRN!G830)</f>
        <v>3416</v>
      </c>
      <c r="H830" s="54" t="s">
        <v>294</v>
      </c>
      <c r="I830" s="54"/>
    </row>
    <row r="831" spans="1:9" x14ac:dyDescent="0.2">
      <c r="A831" t="s">
        <v>4372</v>
      </c>
      <c r="B831">
        <f>SUM(FishSumAllPRN!B831)</f>
        <v>0</v>
      </c>
      <c r="C831">
        <f>SUM(FishSumAllPRN!C831)</f>
        <v>0</v>
      </c>
      <c r="D831">
        <f>SUM(FishSumAllPRN!D831)</f>
        <v>0</v>
      </c>
      <c r="E831">
        <f>SUM(FishSumAllPRN!E831)</f>
        <v>0</v>
      </c>
      <c r="F831">
        <f>SUM(FishSumAllPRN!F831)</f>
        <v>0</v>
      </c>
      <c r="G831">
        <f>SUM(FishSumAllPRN!G831)</f>
        <v>0</v>
      </c>
      <c r="H831" s="54" t="s">
        <v>294</v>
      </c>
      <c r="I831" s="54"/>
    </row>
    <row r="832" spans="1:9" x14ac:dyDescent="0.2">
      <c r="A832" t="s">
        <v>4373</v>
      </c>
      <c r="B832">
        <f>SUM(FishSumAllPRN!B832)</f>
        <v>3050</v>
      </c>
      <c r="C832">
        <f>SUM(FishSumAllPRN!C832)</f>
        <v>109476</v>
      </c>
      <c r="D832">
        <f>SUM(FishSumAllPRN!D832)</f>
        <v>92434</v>
      </c>
      <c r="E832">
        <f>SUM(FishSumAllPRN!E832)</f>
        <v>9844</v>
      </c>
      <c r="F832">
        <f>SUM(FishSumAllPRN!F832)</f>
        <v>0</v>
      </c>
      <c r="G832">
        <f>SUM(FishSumAllPRN!G832)</f>
        <v>214804</v>
      </c>
      <c r="H832" s="54" t="s">
        <v>294</v>
      </c>
      <c r="I832" s="54"/>
    </row>
    <row r="833" spans="1:45" x14ac:dyDescent="0.2">
      <c r="A833" t="s">
        <v>4374</v>
      </c>
      <c r="B833">
        <f>SUM(FishSumAllPRN!B833)</f>
        <v>1263</v>
      </c>
      <c r="C833">
        <f>SUM(FishSumAllPRN!C833)</f>
        <v>21697</v>
      </c>
      <c r="D833">
        <f>SUM(FishSumAllPRN!D833)</f>
        <v>44362</v>
      </c>
      <c r="E833">
        <f>SUM(FishSumAllPRN!E833)</f>
        <v>42058</v>
      </c>
      <c r="F833">
        <f>SUM(FishSumAllPRN!F833)</f>
        <v>0</v>
      </c>
      <c r="G833">
        <f>SUM(FishSumAllPRN!G833)</f>
        <v>109379</v>
      </c>
      <c r="H833" s="54" t="s">
        <v>294</v>
      </c>
      <c r="I833" s="54"/>
    </row>
    <row r="834" spans="1:45" x14ac:dyDescent="0.2">
      <c r="A834" t="s">
        <v>4375</v>
      </c>
      <c r="B834">
        <f>SUM(FishSumAllPRN!B834)</f>
        <v>9324</v>
      </c>
      <c r="C834">
        <f>SUM(FishSumAllPRN!C834)</f>
        <v>265374</v>
      </c>
      <c r="D834">
        <f>SUM(FishSumAllPRN!D834)</f>
        <v>360804</v>
      </c>
      <c r="E834">
        <f>SUM(FishSumAllPRN!E834)</f>
        <v>140986</v>
      </c>
      <c r="F834">
        <f>SUM(FishSumAllPRN!F834)</f>
        <v>0</v>
      </c>
      <c r="G834">
        <f>SUM(FishSumAllPRN!G834)</f>
        <v>776489</v>
      </c>
      <c r="H834" s="54" t="s">
        <v>294</v>
      </c>
      <c r="I834" s="54"/>
    </row>
    <row r="835" spans="1:45" x14ac:dyDescent="0.2">
      <c r="A835" t="s">
        <v>4376</v>
      </c>
      <c r="B835">
        <f>SUM(FishSumAllPRN!B835)</f>
        <v>488</v>
      </c>
      <c r="C835">
        <f>SUM(FishSumAllPRN!C835)</f>
        <v>42399</v>
      </c>
      <c r="D835">
        <f>SUM(FishSumAllPRN!D835)</f>
        <v>49977</v>
      </c>
      <c r="E835">
        <f>SUM(FishSumAllPRN!E835)</f>
        <v>11707</v>
      </c>
      <c r="F835">
        <f>SUM(FishSumAllPRN!F835)</f>
        <v>0</v>
      </c>
      <c r="G835">
        <f>SUM(FishSumAllPRN!G835)</f>
        <v>104570</v>
      </c>
      <c r="I835" s="54"/>
    </row>
    <row r="836" spans="1:45" x14ac:dyDescent="0.2">
      <c r="A836" t="s">
        <v>4377</v>
      </c>
      <c r="B836">
        <f>SUM(FishSumAllPRN!B836)</f>
        <v>2551</v>
      </c>
      <c r="C836">
        <f>SUM(FishSumAllPRN!C836)</f>
        <v>79765</v>
      </c>
      <c r="D836">
        <f>SUM(FishSumAllPRN!D836)</f>
        <v>315815</v>
      </c>
      <c r="E836">
        <f>SUM(FishSumAllPRN!E836)</f>
        <v>376890</v>
      </c>
      <c r="F836">
        <f>SUM(FishSumAllPRN!F836)</f>
        <v>0</v>
      </c>
      <c r="G836">
        <f>SUM(FishSumAllPRN!G836)</f>
        <v>775020</v>
      </c>
      <c r="I836" s="54"/>
    </row>
    <row r="837" spans="1:45" x14ac:dyDescent="0.2">
      <c r="A837" t="s">
        <v>2318</v>
      </c>
      <c r="B837" t="s">
        <v>2319</v>
      </c>
      <c r="C837" t="s">
        <v>2319</v>
      </c>
      <c r="D837" t="s">
        <v>2319</v>
      </c>
      <c r="E837" t="s">
        <v>2319</v>
      </c>
      <c r="F837" t="s">
        <v>2319</v>
      </c>
      <c r="G837" t="s">
        <v>2319</v>
      </c>
      <c r="I837" s="54"/>
    </row>
    <row r="838" spans="1:45" x14ac:dyDescent="0.2">
      <c r="I838" s="54"/>
      <c r="K838" s="37" t="s">
        <v>5613</v>
      </c>
    </row>
    <row r="839" spans="1:45" x14ac:dyDescent="0.2">
      <c r="I839" s="54"/>
      <c r="K839">
        <f t="shared" ref="K839:N841" si="263">A838</f>
        <v>0</v>
      </c>
      <c r="L839">
        <f t="shared" si="263"/>
        <v>0</v>
      </c>
      <c r="M839">
        <f t="shared" si="263"/>
        <v>0</v>
      </c>
      <c r="N839">
        <f t="shared" si="263"/>
        <v>0</v>
      </c>
      <c r="O839">
        <f t="shared" ref="O839:P841" si="264">F838</f>
        <v>0</v>
      </c>
      <c r="P839">
        <f t="shared" si="264"/>
        <v>0</v>
      </c>
      <c r="Q839">
        <f>H836</f>
        <v>0</v>
      </c>
      <c r="R839">
        <f t="shared" ref="R839:T841" si="265">B838</f>
        <v>0</v>
      </c>
      <c r="S839">
        <f t="shared" si="265"/>
        <v>0</v>
      </c>
      <c r="T839">
        <f t="shared" si="265"/>
        <v>0</v>
      </c>
      <c r="V839">
        <f>F838</f>
        <v>0</v>
      </c>
      <c r="W839">
        <f>G838</f>
        <v>0</v>
      </c>
      <c r="X839">
        <f>H836</f>
        <v>0</v>
      </c>
      <c r="Y839">
        <f>J854</f>
        <v>0</v>
      </c>
    </row>
    <row r="840" spans="1:45" x14ac:dyDescent="0.2">
      <c r="A840" t="s">
        <v>4248</v>
      </c>
      <c r="I840" s="54"/>
      <c r="K840">
        <f t="shared" si="263"/>
        <v>0</v>
      </c>
      <c r="L840">
        <f t="shared" si="263"/>
        <v>0</v>
      </c>
      <c r="M840">
        <f t="shared" si="263"/>
        <v>0</v>
      </c>
      <c r="N840">
        <f t="shared" si="263"/>
        <v>0</v>
      </c>
      <c r="O840">
        <f t="shared" si="264"/>
        <v>0</v>
      </c>
      <c r="P840">
        <f t="shared" si="264"/>
        <v>0</v>
      </c>
      <c r="Q840">
        <f>H837</f>
        <v>0</v>
      </c>
      <c r="R840">
        <f t="shared" si="265"/>
        <v>0</v>
      </c>
      <c r="S840">
        <f t="shared" si="265"/>
        <v>0</v>
      </c>
      <c r="T840">
        <f t="shared" si="265"/>
        <v>0</v>
      </c>
      <c r="V840">
        <f>F839</f>
        <v>0</v>
      </c>
    </row>
    <row r="841" spans="1:45" x14ac:dyDescent="0.2">
      <c r="A841" t="str">
        <f>FishSumAllPRN!A838</f>
        <v>Species: COHO</v>
      </c>
      <c r="B841">
        <f>FishSumAllPRN!B838</f>
        <v>0</v>
      </c>
      <c r="C841" t="str">
        <f>FishSumAllPRN!C838</f>
        <v>Ver:2.22 Feb 25</v>
      </c>
      <c r="D841">
        <f>FishSumAllPRN!D838</f>
        <v>0</v>
      </c>
      <c r="E841">
        <f>FishSumAllPRN!E838</f>
        <v>0</v>
      </c>
      <c r="F841">
        <f>FishSumAllPRN!F838</f>
        <v>0</v>
      </c>
      <c r="G841" t="str">
        <f>FishSumAllPRN!G838</f>
        <v>RunDate:4/12/2022 2:12:39 PM</v>
      </c>
      <c r="I841" s="54"/>
      <c r="K841" t="str">
        <f t="shared" si="263"/>
        <v>_x000C_</v>
      </c>
      <c r="L841">
        <f t="shared" si="263"/>
        <v>0</v>
      </c>
      <c r="M841">
        <f t="shared" si="263"/>
        <v>0</v>
      </c>
      <c r="N841">
        <f t="shared" si="263"/>
        <v>0</v>
      </c>
      <c r="O841">
        <f t="shared" si="264"/>
        <v>0</v>
      </c>
      <c r="P841">
        <f t="shared" si="264"/>
        <v>0</v>
      </c>
      <c r="Q841">
        <f>H838</f>
        <v>0</v>
      </c>
      <c r="R841">
        <f t="shared" si="265"/>
        <v>0</v>
      </c>
      <c r="S841">
        <f t="shared" si="265"/>
        <v>0</v>
      </c>
      <c r="T841">
        <f t="shared" si="265"/>
        <v>0</v>
      </c>
      <c r="V841">
        <f>F840</f>
        <v>0</v>
      </c>
    </row>
    <row r="842" spans="1:45" x14ac:dyDescent="0.2">
      <c r="A842" t="str">
        <f>FishSumAllPRN!A839</f>
        <v>Report: Fishery Summary</v>
      </c>
      <c r="B842">
        <f>FishSumAllPRN!B839</f>
        <v>0</v>
      </c>
      <c r="C842">
        <f>FishSumAllPRN!C839</f>
        <v>0</v>
      </c>
      <c r="D842">
        <f>FishSumAllPRN!D839</f>
        <v>0</v>
      </c>
      <c r="E842">
        <f>FishSumAllPRN!E839</f>
        <v>0</v>
      </c>
      <c r="F842">
        <f>FishSumAllPRN!F839</f>
        <v>0</v>
      </c>
      <c r="G842" t="str">
        <f>FishSumAllPRN!G839</f>
        <v>RepDate:4/12/2022 2:12:40 PM</v>
      </c>
      <c r="I842" s="54"/>
    </row>
    <row r="843" spans="1:45" ht="15.75" x14ac:dyDescent="0.25">
      <c r="A843" t="str">
        <f>FishSumAllPRN!A840</f>
        <v xml:space="preserve">Title:PFMC April 12 Final, TT 52K NT 200K </v>
      </c>
      <c r="B843">
        <f>FishSumAllPRN!B840</f>
        <v>0</v>
      </c>
      <c r="C843">
        <f>FishSumAllPRN!C840</f>
        <v>0</v>
      </c>
      <c r="D843">
        <f>FishSumAllPRN!D840</f>
        <v>0</v>
      </c>
      <c r="E843">
        <f>FishSumAllPRN!E840</f>
        <v>0</v>
      </c>
      <c r="F843">
        <f>FishSumAllPRN!F840</f>
        <v>0</v>
      </c>
      <c r="G843">
        <f>FishSumAllPRN!G840</f>
        <v>0</v>
      </c>
      <c r="I843" s="54"/>
      <c r="AC843" s="35" t="s">
        <v>5773</v>
      </c>
    </row>
    <row r="844" spans="1:45" ht="15.75" x14ac:dyDescent="0.25">
      <c r="I844" s="54"/>
      <c r="AC844" s="35" t="s">
        <v>5766</v>
      </c>
    </row>
    <row r="845" spans="1:45" ht="13.5" thickBot="1" x14ac:dyDescent="0.25">
      <c r="H845" t="s">
        <v>2319</v>
      </c>
      <c r="I845" s="54"/>
      <c r="K845" t="s">
        <v>5621</v>
      </c>
      <c r="L845" t="s">
        <v>5622</v>
      </c>
      <c r="M845" t="s">
        <v>5622</v>
      </c>
      <c r="N845" t="s">
        <v>5622</v>
      </c>
      <c r="O845" t="s">
        <v>5622</v>
      </c>
      <c r="P845" t="s">
        <v>5622</v>
      </c>
      <c r="Q845" t="s">
        <v>5622</v>
      </c>
      <c r="R845" t="s">
        <v>5622</v>
      </c>
      <c r="S845" t="s">
        <v>5622</v>
      </c>
      <c r="T845" t="s">
        <v>5622</v>
      </c>
      <c r="U845" t="s">
        <v>5622</v>
      </c>
      <c r="V845" t="s">
        <v>5622</v>
      </c>
      <c r="W845" t="s">
        <v>5622</v>
      </c>
      <c r="X845" t="s">
        <v>5622</v>
      </c>
      <c r="Y845" t="s">
        <v>5622</v>
      </c>
      <c r="Z845" t="s">
        <v>5623</v>
      </c>
      <c r="AC845" s="37"/>
    </row>
    <row r="846" spans="1:45" x14ac:dyDescent="0.2">
      <c r="A846" t="str">
        <f>FishSumAllPRN!A843</f>
        <v>Total Mortality by Fishery</v>
      </c>
      <c r="B846" t="s">
        <v>4262</v>
      </c>
      <c r="C846" t="s">
        <v>4263</v>
      </c>
      <c r="D846" t="s">
        <v>4264</v>
      </c>
      <c r="E846" t="s">
        <v>2308</v>
      </c>
      <c r="F846" t="s">
        <v>615</v>
      </c>
      <c r="G846" t="s">
        <v>236</v>
      </c>
      <c r="H846" t="s">
        <v>5632</v>
      </c>
      <c r="I846" s="54"/>
      <c r="K846" t="s">
        <v>126</v>
      </c>
      <c r="L846" s="51">
        <v>37227</v>
      </c>
      <c r="M846" t="s">
        <v>5624</v>
      </c>
      <c r="N846" t="s">
        <v>5625</v>
      </c>
      <c r="O846" t="s">
        <v>5626</v>
      </c>
      <c r="P846" t="s">
        <v>5627</v>
      </c>
      <c r="Q846" t="s">
        <v>5628</v>
      </c>
      <c r="R846" t="s">
        <v>5629</v>
      </c>
      <c r="S846" t="s">
        <v>5630</v>
      </c>
      <c r="T846" t="s">
        <v>890</v>
      </c>
      <c r="U846" t="s">
        <v>614</v>
      </c>
      <c r="V846" t="s">
        <v>615</v>
      </c>
      <c r="W846" t="s">
        <v>892</v>
      </c>
      <c r="X846" t="s">
        <v>893</v>
      </c>
      <c r="Y846" t="s">
        <v>5631</v>
      </c>
      <c r="Z846" t="s">
        <v>236</v>
      </c>
      <c r="AC846" s="48" t="s">
        <v>602</v>
      </c>
      <c r="AD846" s="49"/>
      <c r="AE846" s="49"/>
      <c r="AF846" s="49"/>
      <c r="AG846" s="49"/>
      <c r="AH846" s="49"/>
      <c r="AI846" s="49"/>
      <c r="AJ846" s="77">
        <f>'1'!E872</f>
        <v>0</v>
      </c>
      <c r="AK846" s="52"/>
      <c r="AL846" s="52"/>
      <c r="AM846" s="52"/>
      <c r="AN846" s="52"/>
      <c r="AO846" s="52"/>
      <c r="AP846" s="52"/>
      <c r="AQ846" s="52"/>
      <c r="AR846" s="52"/>
      <c r="AS846" s="53"/>
    </row>
    <row r="847" spans="1:45" ht="13.5" thickBot="1" x14ac:dyDescent="0.25">
      <c r="A847" t="s">
        <v>2318</v>
      </c>
      <c r="B847" t="s">
        <v>2319</v>
      </c>
      <c r="C847" t="s">
        <v>2319</v>
      </c>
      <c r="D847" t="s">
        <v>2319</v>
      </c>
      <c r="E847" t="s">
        <v>2319</v>
      </c>
      <c r="F847" t="s">
        <v>2319</v>
      </c>
      <c r="G847" t="s">
        <v>2319</v>
      </c>
      <c r="H847" t="s">
        <v>2319</v>
      </c>
      <c r="I847" s="54"/>
      <c r="K847" t="s">
        <v>5621</v>
      </c>
      <c r="L847" t="s">
        <v>5622</v>
      </c>
      <c r="M847" t="s">
        <v>5622</v>
      </c>
      <c r="N847" t="s">
        <v>5622</v>
      </c>
      <c r="O847" t="s">
        <v>5622</v>
      </c>
      <c r="P847" t="s">
        <v>5622</v>
      </c>
      <c r="Q847" t="s">
        <v>5622</v>
      </c>
      <c r="R847" t="s">
        <v>5622</v>
      </c>
      <c r="S847" t="s">
        <v>5622</v>
      </c>
      <c r="T847" t="s">
        <v>5622</v>
      </c>
      <c r="U847" t="s">
        <v>5622</v>
      </c>
      <c r="V847" t="s">
        <v>5622</v>
      </c>
      <c r="W847" t="s">
        <v>5622</v>
      </c>
      <c r="X847" t="s">
        <v>5622</v>
      </c>
      <c r="Y847" t="s">
        <v>5622</v>
      </c>
      <c r="Z847" t="s">
        <v>5622</v>
      </c>
      <c r="AC847" s="74" t="s">
        <v>123</v>
      </c>
      <c r="AD847" s="56"/>
      <c r="AE847" s="56"/>
      <c r="AF847" s="56"/>
      <c r="AG847" s="56"/>
      <c r="AH847" s="56"/>
      <c r="AI847" s="56"/>
      <c r="AJ847" s="76">
        <f>'1'!B873</f>
        <v>0</v>
      </c>
      <c r="AK847" s="56"/>
      <c r="AL847" s="56"/>
      <c r="AM847" s="56"/>
      <c r="AN847" s="56"/>
      <c r="AO847" s="56"/>
      <c r="AP847" s="56"/>
      <c r="AQ847" s="56"/>
      <c r="AR847" s="56"/>
      <c r="AS847" s="75"/>
    </row>
    <row r="848" spans="1:45" ht="13.5" thickBot="1" x14ac:dyDescent="0.25">
      <c r="A848" t="s">
        <v>4265</v>
      </c>
      <c r="B848">
        <f>SUM(FishSumAllPRN!B848)</f>
        <v>0</v>
      </c>
      <c r="C848">
        <f>SUM(FishSumAllPRN!C848)</f>
        <v>0</v>
      </c>
      <c r="D848">
        <f>SUM(FishSumAllPRN!D848)</f>
        <v>0</v>
      </c>
      <c r="E848">
        <f>SUM(FishSumAllPRN!E848)</f>
        <v>0</v>
      </c>
      <c r="F848">
        <f>SUM(FishSumAllPRN!F848)</f>
        <v>21</v>
      </c>
      <c r="G848">
        <f>SUM(FishSumAllPRN!G848)</f>
        <v>21</v>
      </c>
      <c r="H848" s="54" t="s">
        <v>294</v>
      </c>
      <c r="I848" s="54"/>
      <c r="K848" t="s">
        <v>5637</v>
      </c>
      <c r="R848" s="38">
        <f>SUM(B1041:B1042)</f>
        <v>4529</v>
      </c>
      <c r="S848" s="38">
        <f>SUM(C1041:C1042)</f>
        <v>137732</v>
      </c>
      <c r="T848" s="38">
        <f>SUM(D1041:D1042)</f>
        <v>143635</v>
      </c>
      <c r="U848" s="38">
        <f>SUM(E1041:E1042)</f>
        <v>54497</v>
      </c>
      <c r="V848" s="38">
        <f>SUM(F1041:F1042)</f>
        <v>0</v>
      </c>
      <c r="Z848">
        <f t="shared" ref="Z848:Z911" si="266">SUM(R848:V848)</f>
        <v>340393</v>
      </c>
      <c r="AC848" s="50" t="s">
        <v>126</v>
      </c>
      <c r="AD848" s="73">
        <v>37227</v>
      </c>
      <c r="AE848" s="37" t="s">
        <v>5624</v>
      </c>
      <c r="AF848" s="37" t="s">
        <v>5625</v>
      </c>
      <c r="AG848" s="37" t="s">
        <v>5626</v>
      </c>
      <c r="AH848" s="37" t="s">
        <v>5627</v>
      </c>
      <c r="AI848" s="37" t="s">
        <v>5628</v>
      </c>
      <c r="AJ848" s="2121" t="s">
        <v>544</v>
      </c>
      <c r="AK848" s="67" t="s">
        <v>5629</v>
      </c>
      <c r="AL848" s="67" t="s">
        <v>5630</v>
      </c>
      <c r="AM848" s="67" t="s">
        <v>890</v>
      </c>
      <c r="AN848" s="67" t="s">
        <v>891</v>
      </c>
      <c r="AO848" s="67" t="s">
        <v>615</v>
      </c>
      <c r="AP848" s="67" t="s">
        <v>892</v>
      </c>
      <c r="AQ848" s="67" t="s">
        <v>893</v>
      </c>
      <c r="AR848" s="67" t="s">
        <v>5631</v>
      </c>
      <c r="AS848" s="68" t="s">
        <v>236</v>
      </c>
    </row>
    <row r="849" spans="1:45" x14ac:dyDescent="0.2">
      <c r="A849" t="s">
        <v>4266</v>
      </c>
      <c r="B849">
        <f>SUM(FishSumAllPRN!B849)</f>
        <v>0</v>
      </c>
      <c r="C849">
        <f>SUM(FishSumAllPRN!C849)</f>
        <v>0</v>
      </c>
      <c r="D849">
        <f>SUM(FishSumAllPRN!D849)</f>
        <v>0</v>
      </c>
      <c r="E849">
        <f>SUM(FishSumAllPRN!E849)</f>
        <v>0</v>
      </c>
      <c r="F849">
        <f>SUM(FishSumAllPRN!F849)</f>
        <v>0</v>
      </c>
      <c r="G849">
        <f>SUM(FishSumAllPRN!G849)</f>
        <v>0</v>
      </c>
      <c r="H849" s="54" t="s">
        <v>294</v>
      </c>
      <c r="I849" s="54"/>
      <c r="K849" t="s">
        <v>5640</v>
      </c>
      <c r="R849" s="38">
        <f t="shared" ref="R849:T850" si="267">B889</f>
        <v>95</v>
      </c>
      <c r="S849" s="38">
        <f t="shared" si="267"/>
        <v>1375</v>
      </c>
      <c r="T849" s="38">
        <f t="shared" si="267"/>
        <v>366</v>
      </c>
      <c r="U849" s="38">
        <f>E889</f>
        <v>405</v>
      </c>
      <c r="V849" s="38">
        <f>F889</f>
        <v>0</v>
      </c>
      <c r="Z849">
        <f t="shared" si="266"/>
        <v>2241</v>
      </c>
      <c r="AC849" s="48" t="s">
        <v>5633</v>
      </c>
      <c r="AD849" s="49"/>
      <c r="AE849" s="49"/>
      <c r="AF849" s="49"/>
      <c r="AG849" s="49"/>
      <c r="AH849" s="49"/>
      <c r="AI849" s="49"/>
      <c r="AJ849" s="49" t="s">
        <v>5634</v>
      </c>
      <c r="AK849" s="52">
        <f t="shared" ref="AK849:AR849" si="268">SUM(R848)</f>
        <v>4529</v>
      </c>
      <c r="AL849" s="52">
        <f t="shared" si="268"/>
        <v>137732</v>
      </c>
      <c r="AM849" s="52">
        <f t="shared" si="268"/>
        <v>143635</v>
      </c>
      <c r="AN849" s="52">
        <f t="shared" si="268"/>
        <v>54497</v>
      </c>
      <c r="AO849" s="52">
        <f t="shared" si="268"/>
        <v>0</v>
      </c>
      <c r="AP849" s="52">
        <f t="shared" si="268"/>
        <v>0</v>
      </c>
      <c r="AQ849" s="52">
        <f t="shared" si="268"/>
        <v>0</v>
      </c>
      <c r="AR849" s="52">
        <f t="shared" si="268"/>
        <v>0</v>
      </c>
      <c r="AS849" s="53">
        <f>SUM(AK849:AO849)</f>
        <v>340393</v>
      </c>
    </row>
    <row r="850" spans="1:45" x14ac:dyDescent="0.2">
      <c r="A850" t="s">
        <v>4267</v>
      </c>
      <c r="B850">
        <f>SUM(FishSumAllPRN!B850)</f>
        <v>610</v>
      </c>
      <c r="C850">
        <f>SUM(FishSumAllPRN!C850)</f>
        <v>96</v>
      </c>
      <c r="D850">
        <f>SUM(FishSumAllPRN!D850)</f>
        <v>46</v>
      </c>
      <c r="E850">
        <f>SUM(FishSumAllPRN!E850)</f>
        <v>1</v>
      </c>
      <c r="F850">
        <f>SUM(FishSumAllPRN!F850)</f>
        <v>0</v>
      </c>
      <c r="G850">
        <f>SUM(FishSumAllPRN!G850)</f>
        <v>754</v>
      </c>
      <c r="H850" s="54" t="s">
        <v>294</v>
      </c>
      <c r="I850" s="54"/>
      <c r="K850" t="s">
        <v>5643</v>
      </c>
      <c r="R850" s="38">
        <f t="shared" si="267"/>
        <v>589</v>
      </c>
      <c r="S850" s="38">
        <f t="shared" si="267"/>
        <v>6229</v>
      </c>
      <c r="T850" s="38">
        <f t="shared" si="267"/>
        <v>24674</v>
      </c>
      <c r="U850" s="38">
        <f>E890</f>
        <v>9408</v>
      </c>
      <c r="V850" s="38">
        <f>F890</f>
        <v>2</v>
      </c>
      <c r="Z850">
        <f t="shared" si="266"/>
        <v>40902</v>
      </c>
      <c r="AC850" s="78" t="s">
        <v>5636</v>
      </c>
      <c r="AD850" s="1594"/>
      <c r="AE850" s="1594"/>
      <c r="AF850" s="1594"/>
      <c r="AG850" s="1594"/>
      <c r="AH850" s="1594"/>
      <c r="AI850" s="1594"/>
      <c r="AJ850" s="1594" t="s">
        <v>5634</v>
      </c>
      <c r="AK850" s="1723">
        <f>SUM(R884:R893,R910:R913,B1040)</f>
        <v>8200</v>
      </c>
      <c r="AL850" s="1723">
        <f>SUM(S884:S893,S910:S913,C1040)</f>
        <v>72256</v>
      </c>
      <c r="AM850" s="1723">
        <f>SUM(T884:T893,T910:T913,D1040)</f>
        <v>119728</v>
      </c>
      <c r="AN850" s="1723">
        <f>SUM(U884:U893,U910:U913,E1040)</f>
        <v>16466</v>
      </c>
      <c r="AO850" s="1723">
        <f>SUM(V884:V893,V910:V913,F1040)</f>
        <v>1572</v>
      </c>
      <c r="AP850" s="1723">
        <f>SUM(W884:W893,W910:W913)</f>
        <v>0</v>
      </c>
      <c r="AQ850" s="1723">
        <f>SUM(X884:X893,X910:X913)</f>
        <v>0</v>
      </c>
      <c r="AR850" s="1723">
        <f>SUM(Y884:Y893,Y910:Y913)</f>
        <v>0</v>
      </c>
      <c r="AS850" s="1905">
        <f>SUM(AK850:AO850)</f>
        <v>218222</v>
      </c>
    </row>
    <row r="851" spans="1:45" x14ac:dyDescent="0.2">
      <c r="A851" t="s">
        <v>4268</v>
      </c>
      <c r="B851">
        <f>SUM(FishSumAllPRN!B851)</f>
        <v>0</v>
      </c>
      <c r="C851">
        <f>SUM(FishSumAllPRN!C851)</f>
        <v>249</v>
      </c>
      <c r="D851">
        <f>SUM(FishSumAllPRN!D851)</f>
        <v>54</v>
      </c>
      <c r="E851">
        <f>SUM(FishSumAllPRN!E851)</f>
        <v>0</v>
      </c>
      <c r="F851">
        <f>SUM(FishSumAllPRN!F851)</f>
        <v>0</v>
      </c>
      <c r="G851">
        <f>SUM(FishSumAllPRN!G851)</f>
        <v>303</v>
      </c>
      <c r="H851" s="54" t="s">
        <v>294</v>
      </c>
      <c r="I851" s="54"/>
      <c r="K851" t="s">
        <v>5647</v>
      </c>
      <c r="R851" s="38">
        <f t="shared" ref="R851:T852" si="269">B885</f>
        <v>172</v>
      </c>
      <c r="S851" s="38">
        <f t="shared" si="269"/>
        <v>1825</v>
      </c>
      <c r="T851" s="38">
        <f t="shared" si="269"/>
        <v>4875</v>
      </c>
      <c r="U851" s="38">
        <f>E885</f>
        <v>1478</v>
      </c>
      <c r="V851" s="38">
        <f>F885</f>
        <v>0</v>
      </c>
      <c r="Z851">
        <f t="shared" si="266"/>
        <v>8350</v>
      </c>
      <c r="AC851" s="50"/>
      <c r="AD851" s="37"/>
      <c r="AE851" s="37"/>
      <c r="AF851" s="37"/>
      <c r="AG851" s="37"/>
      <c r="AH851" s="37"/>
      <c r="AI851" s="37"/>
      <c r="AJ851" s="37"/>
      <c r="AS851" s="58"/>
    </row>
    <row r="852" spans="1:45" x14ac:dyDescent="0.2">
      <c r="A852" t="s">
        <v>4269</v>
      </c>
      <c r="B852">
        <f>SUM(FishSumAllPRN!B852)</f>
        <v>686</v>
      </c>
      <c r="C852">
        <f>SUM(FishSumAllPRN!C852)</f>
        <v>0</v>
      </c>
      <c r="D852">
        <f>SUM(FishSumAllPRN!D852)</f>
        <v>124</v>
      </c>
      <c r="E852">
        <f>SUM(FishSumAllPRN!E852)</f>
        <v>2</v>
      </c>
      <c r="F852">
        <f>SUM(FishSumAllPRN!F852)</f>
        <v>0</v>
      </c>
      <c r="G852">
        <f>SUM(FishSumAllPRN!G852)</f>
        <v>812</v>
      </c>
      <c r="H852" s="54" t="s">
        <v>294</v>
      </c>
      <c r="I852" s="54"/>
      <c r="K852" t="s">
        <v>5649</v>
      </c>
      <c r="R852" s="38">
        <f t="shared" si="269"/>
        <v>171</v>
      </c>
      <c r="S852" s="38">
        <f t="shared" si="269"/>
        <v>2376</v>
      </c>
      <c r="T852" s="38">
        <f t="shared" si="269"/>
        <v>9563</v>
      </c>
      <c r="U852" s="38">
        <f>E886</f>
        <v>1875</v>
      </c>
      <c r="V852" s="38">
        <f>F886</f>
        <v>0</v>
      </c>
      <c r="Z852">
        <f t="shared" si="266"/>
        <v>13985</v>
      </c>
      <c r="AC852" s="50" t="s">
        <v>5641</v>
      </c>
      <c r="AD852" s="37"/>
      <c r="AE852" s="37"/>
      <c r="AF852" s="37"/>
      <c r="AG852" s="37"/>
      <c r="AH852" s="37"/>
      <c r="AI852" s="37"/>
      <c r="AJ852" s="37"/>
      <c r="AS852" s="58"/>
    </row>
    <row r="853" spans="1:45" x14ac:dyDescent="0.2">
      <c r="A853" t="s">
        <v>4270</v>
      </c>
      <c r="B853">
        <f>SUM(FishSumAllPRN!B853)</f>
        <v>0</v>
      </c>
      <c r="C853">
        <f>SUM(FishSumAllPRN!C853)</f>
        <v>0</v>
      </c>
      <c r="D853">
        <f>SUM(FishSumAllPRN!D853)</f>
        <v>0</v>
      </c>
      <c r="E853">
        <f>SUM(FishSumAllPRN!E853)</f>
        <v>0</v>
      </c>
      <c r="F853">
        <f>SUM(FishSumAllPRN!F853)</f>
        <v>0</v>
      </c>
      <c r="G853">
        <f>SUM(FishSumAllPRN!G853)</f>
        <v>0</v>
      </c>
      <c r="H853" s="54" t="s">
        <v>294</v>
      </c>
      <c r="I853" s="54"/>
      <c r="K853" t="s">
        <v>5651</v>
      </c>
      <c r="R853" s="38">
        <f t="shared" ref="R853:T854" si="270">SUM(B882)</f>
        <v>898</v>
      </c>
      <c r="S853" s="38">
        <f t="shared" si="270"/>
        <v>3270</v>
      </c>
      <c r="T853" s="38">
        <f t="shared" si="270"/>
        <v>5646</v>
      </c>
      <c r="U853" s="38">
        <f>SUM(E882)</f>
        <v>6795</v>
      </c>
      <c r="V853" s="38">
        <f>SUM(F882)</f>
        <v>0</v>
      </c>
      <c r="Z853">
        <f t="shared" si="266"/>
        <v>16609</v>
      </c>
      <c r="AC853" s="50" t="s">
        <v>5644</v>
      </c>
      <c r="AD853" s="37"/>
      <c r="AE853" s="37"/>
      <c r="AF853" s="37"/>
      <c r="AG853" s="37"/>
      <c r="AH853" s="37"/>
      <c r="AI853" s="37"/>
      <c r="AJ853" s="1594" t="s">
        <v>5645</v>
      </c>
      <c r="AK853" s="1723">
        <f t="shared" ref="AK853:AS853" si="271">SUM(R850,R852,R854)</f>
        <v>778</v>
      </c>
      <c r="AL853" s="1723">
        <f t="shared" si="271"/>
        <v>8695</v>
      </c>
      <c r="AM853" s="1723">
        <f t="shared" si="271"/>
        <v>34438</v>
      </c>
      <c r="AN853" s="1723">
        <f t="shared" si="271"/>
        <v>11466</v>
      </c>
      <c r="AO853" s="1723">
        <f t="shared" si="271"/>
        <v>2</v>
      </c>
      <c r="AP853" s="1723">
        <f t="shared" si="271"/>
        <v>0</v>
      </c>
      <c r="AQ853" s="1723">
        <f t="shared" si="271"/>
        <v>0</v>
      </c>
      <c r="AR853" s="1723">
        <f t="shared" si="271"/>
        <v>0</v>
      </c>
      <c r="AS853" s="1908">
        <f t="shared" si="271"/>
        <v>55379</v>
      </c>
    </row>
    <row r="854" spans="1:45" x14ac:dyDescent="0.2">
      <c r="A854" t="s">
        <v>4271</v>
      </c>
      <c r="B854">
        <f>SUM(FishSumAllPRN!B854)</f>
        <v>176</v>
      </c>
      <c r="C854">
        <f>SUM(FishSumAllPRN!C854)</f>
        <v>140</v>
      </c>
      <c r="D854">
        <f>SUM(FishSumAllPRN!D854)</f>
        <v>19</v>
      </c>
      <c r="E854">
        <f>SUM(FishSumAllPRN!E854)</f>
        <v>12</v>
      </c>
      <c r="F854">
        <f>SUM(FishSumAllPRN!F854)</f>
        <v>0</v>
      </c>
      <c r="G854">
        <f>SUM(FishSumAllPRN!G854)</f>
        <v>347</v>
      </c>
      <c r="H854" s="54" t="s">
        <v>294</v>
      </c>
      <c r="I854" s="54"/>
      <c r="K854" t="s">
        <v>5653</v>
      </c>
      <c r="R854" s="38">
        <f t="shared" si="270"/>
        <v>18</v>
      </c>
      <c r="S854" s="38">
        <f t="shared" si="270"/>
        <v>90</v>
      </c>
      <c r="T854" s="38">
        <f t="shared" si="270"/>
        <v>201</v>
      </c>
      <c r="U854" s="38">
        <f>SUM(E883)</f>
        <v>183</v>
      </c>
      <c r="V854" s="38">
        <f>SUM(F883)</f>
        <v>0</v>
      </c>
      <c r="Z854">
        <f t="shared" si="266"/>
        <v>492</v>
      </c>
      <c r="AC854" s="50"/>
      <c r="AD854" s="37"/>
      <c r="AE854" s="37"/>
      <c r="AF854" s="37"/>
      <c r="AG854" s="37"/>
      <c r="AH854" s="37"/>
      <c r="AI854" s="37"/>
      <c r="AJ854" s="37" t="s">
        <v>5648</v>
      </c>
      <c r="AK854" s="38">
        <f t="shared" ref="AK854:AS854" si="272">SUM(R850)</f>
        <v>589</v>
      </c>
      <c r="AL854" s="38">
        <f t="shared" si="272"/>
        <v>6229</v>
      </c>
      <c r="AM854" s="38">
        <f t="shared" si="272"/>
        <v>24674</v>
      </c>
      <c r="AN854" s="38">
        <f t="shared" si="272"/>
        <v>9408</v>
      </c>
      <c r="AO854" s="38">
        <f t="shared" si="272"/>
        <v>2</v>
      </c>
      <c r="AP854" s="38">
        <f t="shared" si="272"/>
        <v>0</v>
      </c>
      <c r="AQ854" s="38">
        <f t="shared" si="272"/>
        <v>0</v>
      </c>
      <c r="AR854" s="38">
        <f t="shared" si="272"/>
        <v>0</v>
      </c>
      <c r="AS854" s="59">
        <f t="shared" si="272"/>
        <v>40902</v>
      </c>
    </row>
    <row r="855" spans="1:45" x14ac:dyDescent="0.2">
      <c r="A855" t="s">
        <v>4272</v>
      </c>
      <c r="B855">
        <f>SUM(FishSumAllPRN!B855)</f>
        <v>409</v>
      </c>
      <c r="C855">
        <f>SUM(FishSumAllPRN!C855)</f>
        <v>51</v>
      </c>
      <c r="D855">
        <f>SUM(FishSumAllPRN!D855)</f>
        <v>14</v>
      </c>
      <c r="E855">
        <f>SUM(FishSumAllPRN!E855)</f>
        <v>23</v>
      </c>
      <c r="F855">
        <f>SUM(FishSumAllPRN!F855)</f>
        <v>0</v>
      </c>
      <c r="G855">
        <f>SUM(FishSumAllPRN!G855)</f>
        <v>497</v>
      </c>
      <c r="H855" s="54" t="s">
        <v>294</v>
      </c>
      <c r="K855" t="s">
        <v>5656</v>
      </c>
      <c r="R855" s="38">
        <f>SUM(B881)</f>
        <v>1578</v>
      </c>
      <c r="S855" s="38">
        <f>SUM(C881)</f>
        <v>4474</v>
      </c>
      <c r="T855" s="38">
        <f>SUM(D881)</f>
        <v>3856</v>
      </c>
      <c r="U855" s="38">
        <f>SUM(E881)</f>
        <v>7645</v>
      </c>
      <c r="V855" s="38">
        <f>SUM(F881)</f>
        <v>0</v>
      </c>
      <c r="Z855">
        <f t="shared" si="266"/>
        <v>17553</v>
      </c>
      <c r="AC855" s="50"/>
      <c r="AD855" s="37"/>
      <c r="AE855" s="37"/>
      <c r="AF855" s="37"/>
      <c r="AG855" s="37"/>
      <c r="AH855" s="37"/>
      <c r="AI855" s="37"/>
      <c r="AJ855" s="37" t="s">
        <v>5650</v>
      </c>
      <c r="AK855" s="38">
        <f t="shared" ref="AK855:AS855" si="273">SUM(R852)</f>
        <v>171</v>
      </c>
      <c r="AL855" s="38">
        <f t="shared" si="273"/>
        <v>2376</v>
      </c>
      <c r="AM855" s="38">
        <f t="shared" si="273"/>
        <v>9563</v>
      </c>
      <c r="AN855" s="38">
        <f t="shared" si="273"/>
        <v>1875</v>
      </c>
      <c r="AO855" s="38">
        <f t="shared" si="273"/>
        <v>0</v>
      </c>
      <c r="AP855" s="38">
        <f t="shared" si="273"/>
        <v>0</v>
      </c>
      <c r="AQ855" s="38">
        <f t="shared" si="273"/>
        <v>0</v>
      </c>
      <c r="AR855" s="38">
        <f t="shared" si="273"/>
        <v>0</v>
      </c>
      <c r="AS855" s="59">
        <f t="shared" si="273"/>
        <v>13985</v>
      </c>
    </row>
    <row r="856" spans="1:45" x14ac:dyDescent="0.2">
      <c r="A856" t="s">
        <v>4273</v>
      </c>
      <c r="B856">
        <f>SUM(FishSumAllPRN!B856)</f>
        <v>0</v>
      </c>
      <c r="C856">
        <f>SUM(FishSumAllPRN!C856)</f>
        <v>0</v>
      </c>
      <c r="D856">
        <f>SUM(FishSumAllPRN!D856)</f>
        <v>0</v>
      </c>
      <c r="E856">
        <f>SUM(FishSumAllPRN!E856)</f>
        <v>0</v>
      </c>
      <c r="F856">
        <f>SUM(FishSumAllPRN!F856)</f>
        <v>15</v>
      </c>
      <c r="G856">
        <f>SUM(FishSumAllPRN!G856)</f>
        <v>15</v>
      </c>
      <c r="H856" s="54" t="s">
        <v>294</v>
      </c>
      <c r="K856" t="s">
        <v>5657</v>
      </c>
      <c r="R856" s="38">
        <f>SUM(B869)</f>
        <v>1097</v>
      </c>
      <c r="S856" s="38">
        <f>SUM(C869)</f>
        <v>271</v>
      </c>
      <c r="T856" s="38">
        <f>SUM(D869)</f>
        <v>490</v>
      </c>
      <c r="U856" s="38">
        <f>SUM(E869)</f>
        <v>70</v>
      </c>
      <c r="V856" s="38">
        <f>SUM(F869)</f>
        <v>0</v>
      </c>
      <c r="Z856">
        <f t="shared" si="266"/>
        <v>1928</v>
      </c>
      <c r="AC856" s="50"/>
      <c r="AD856" s="37"/>
      <c r="AE856" s="37"/>
      <c r="AF856" s="37"/>
      <c r="AG856" s="37"/>
      <c r="AH856" s="37"/>
      <c r="AI856" s="37"/>
      <c r="AJ856" s="37" t="s">
        <v>5652</v>
      </c>
      <c r="AK856" s="38">
        <f t="shared" ref="AK856:AS856" si="274">SUM(R854)</f>
        <v>18</v>
      </c>
      <c r="AL856" s="38">
        <f t="shared" si="274"/>
        <v>90</v>
      </c>
      <c r="AM856" s="38">
        <f t="shared" si="274"/>
        <v>201</v>
      </c>
      <c r="AN856" s="38">
        <f t="shared" si="274"/>
        <v>183</v>
      </c>
      <c r="AO856" s="38">
        <f t="shared" si="274"/>
        <v>0</v>
      </c>
      <c r="AP856" s="38">
        <f t="shared" si="274"/>
        <v>0</v>
      </c>
      <c r="AQ856" s="38">
        <f t="shared" si="274"/>
        <v>0</v>
      </c>
      <c r="AR856" s="38">
        <f t="shared" si="274"/>
        <v>0</v>
      </c>
      <c r="AS856" s="59">
        <f t="shared" si="274"/>
        <v>492</v>
      </c>
    </row>
    <row r="857" spans="1:45" x14ac:dyDescent="0.2">
      <c r="A857" t="s">
        <v>4274</v>
      </c>
      <c r="B857">
        <f>SUM(FishSumAllPRN!B857)</f>
        <v>0</v>
      </c>
      <c r="C857">
        <f>SUM(FishSumAllPRN!C857)</f>
        <v>0</v>
      </c>
      <c r="D857">
        <f>SUM(FishSumAllPRN!D857)</f>
        <v>0</v>
      </c>
      <c r="E857">
        <f>SUM(FishSumAllPRN!E857)</f>
        <v>0</v>
      </c>
      <c r="F857">
        <f>SUM(FishSumAllPRN!F857)</f>
        <v>0</v>
      </c>
      <c r="G857">
        <f>SUM(FishSumAllPRN!G857)</f>
        <v>0</v>
      </c>
      <c r="H857" s="54" t="s">
        <v>294</v>
      </c>
      <c r="K857" t="s">
        <v>5658</v>
      </c>
      <c r="R857" s="38">
        <f>SUM(B865)</f>
        <v>3631</v>
      </c>
      <c r="S857" s="38">
        <f>SUM(C865)</f>
        <v>5831</v>
      </c>
      <c r="T857" s="38">
        <f>SUM(D865)</f>
        <v>6277</v>
      </c>
      <c r="U857" s="38">
        <f>SUM(E865)</f>
        <v>123</v>
      </c>
      <c r="V857" s="38">
        <f>SUM(F865)</f>
        <v>0</v>
      </c>
      <c r="Z857">
        <f t="shared" si="266"/>
        <v>15862</v>
      </c>
      <c r="AC857" s="50"/>
      <c r="AD857" s="37"/>
      <c r="AE857" s="37"/>
      <c r="AF857" s="37"/>
      <c r="AG857" s="37"/>
      <c r="AH857" s="37"/>
      <c r="AI857" s="37"/>
      <c r="AJ857" s="1594" t="s">
        <v>5654</v>
      </c>
      <c r="AK857" s="1723">
        <f t="shared" ref="AK857:AS857" si="275">SUM(R849,R851,R853,R855)</f>
        <v>2743</v>
      </c>
      <c r="AL857" s="1723">
        <f t="shared" si="275"/>
        <v>10944</v>
      </c>
      <c r="AM857" s="1723">
        <f t="shared" si="275"/>
        <v>14743</v>
      </c>
      <c r="AN857" s="1723">
        <f t="shared" si="275"/>
        <v>16323</v>
      </c>
      <c r="AO857" s="1723">
        <f t="shared" si="275"/>
        <v>0</v>
      </c>
      <c r="AP857" s="1723">
        <f t="shared" si="275"/>
        <v>0</v>
      </c>
      <c r="AQ857" s="1723">
        <f t="shared" si="275"/>
        <v>0</v>
      </c>
      <c r="AR857" s="1723">
        <f t="shared" si="275"/>
        <v>0</v>
      </c>
      <c r="AS857" s="1908">
        <f t="shared" si="275"/>
        <v>44753</v>
      </c>
    </row>
    <row r="858" spans="1:45" x14ac:dyDescent="0.2">
      <c r="A858" t="s">
        <v>4275</v>
      </c>
      <c r="B858">
        <f>SUM(FishSumAllPRN!B858)</f>
        <v>0</v>
      </c>
      <c r="C858">
        <f>SUM(FishSumAllPRN!C858)</f>
        <v>0</v>
      </c>
      <c r="D858">
        <f>SUM(FishSumAllPRN!D858)</f>
        <v>0</v>
      </c>
      <c r="E858">
        <f>SUM(FishSumAllPRN!E858)</f>
        <v>0</v>
      </c>
      <c r="F858">
        <f>SUM(FishSumAllPRN!F858)</f>
        <v>4093</v>
      </c>
      <c r="G858">
        <f>SUM(FishSumAllPRN!G858)</f>
        <v>4093</v>
      </c>
      <c r="H858" s="54" t="s">
        <v>294</v>
      </c>
      <c r="K858" t="s">
        <v>5659</v>
      </c>
      <c r="R858" s="38">
        <f>SUM(B867)</f>
        <v>450</v>
      </c>
      <c r="S858" s="38">
        <f>SUM(C867)</f>
        <v>0</v>
      </c>
      <c r="T858" s="38">
        <f>SUM(D867)</f>
        <v>895</v>
      </c>
      <c r="U858" s="38">
        <f>SUM(E867)</f>
        <v>70</v>
      </c>
      <c r="V858" s="38">
        <f>SUM(F867)</f>
        <v>0</v>
      </c>
      <c r="Z858">
        <f t="shared" si="266"/>
        <v>1415</v>
      </c>
      <c r="AC858" s="50"/>
      <c r="AD858" s="37"/>
      <c r="AE858" s="37"/>
      <c r="AF858" s="37"/>
      <c r="AG858" s="37"/>
      <c r="AH858" s="37"/>
      <c r="AI858" s="37"/>
      <c r="AJ858" s="37" t="s">
        <v>5648</v>
      </c>
      <c r="AK858" s="38">
        <f t="shared" ref="AK858:AS858" si="276">SUM(R849)</f>
        <v>95</v>
      </c>
      <c r="AL858" s="38">
        <f t="shared" si="276"/>
        <v>1375</v>
      </c>
      <c r="AM858" s="38">
        <f t="shared" si="276"/>
        <v>366</v>
      </c>
      <c r="AN858" s="38">
        <f t="shared" si="276"/>
        <v>405</v>
      </c>
      <c r="AO858" s="38">
        <f t="shared" si="276"/>
        <v>0</v>
      </c>
      <c r="AP858" s="38">
        <f t="shared" si="276"/>
        <v>0</v>
      </c>
      <c r="AQ858" s="38">
        <f t="shared" si="276"/>
        <v>0</v>
      </c>
      <c r="AR858" s="38">
        <f t="shared" si="276"/>
        <v>0</v>
      </c>
      <c r="AS858" s="59">
        <f t="shared" si="276"/>
        <v>2241</v>
      </c>
    </row>
    <row r="859" spans="1:45" x14ac:dyDescent="0.2">
      <c r="A859" t="s">
        <v>4276</v>
      </c>
      <c r="B859">
        <f>SUM(FishSumAllPRN!B859)</f>
        <v>0</v>
      </c>
      <c r="C859">
        <f>SUM(FishSumAllPRN!C859)</f>
        <v>0</v>
      </c>
      <c r="D859">
        <f>SUM(FishSumAllPRN!D859)</f>
        <v>0</v>
      </c>
      <c r="E859">
        <f>SUM(FishSumAllPRN!E859)</f>
        <v>0</v>
      </c>
      <c r="F859">
        <f>SUM(FishSumAllPRN!F859)</f>
        <v>2375</v>
      </c>
      <c r="G859">
        <f>SUM(FishSumAllPRN!G859)</f>
        <v>2375</v>
      </c>
      <c r="H859" s="54" t="s">
        <v>294</v>
      </c>
      <c r="K859" t="s">
        <v>5661</v>
      </c>
      <c r="R859" s="38">
        <f>SUM(B863)</f>
        <v>34</v>
      </c>
      <c r="S859" s="38">
        <f>SUM(C863)</f>
        <v>79</v>
      </c>
      <c r="T859" s="38">
        <f>SUM(D863)</f>
        <v>3</v>
      </c>
      <c r="U859" s="38">
        <f>SUM(E863)</f>
        <v>0</v>
      </c>
      <c r="V859" s="38">
        <f>SUM(F863)</f>
        <v>0</v>
      </c>
      <c r="Z859">
        <f t="shared" si="266"/>
        <v>116</v>
      </c>
      <c r="AC859" s="50"/>
      <c r="AD859" s="37"/>
      <c r="AE859" s="37"/>
      <c r="AF859" s="37"/>
      <c r="AG859" s="37"/>
      <c r="AH859" s="37"/>
      <c r="AI859" s="37"/>
      <c r="AJ859" s="37" t="s">
        <v>5650</v>
      </c>
      <c r="AK859" s="38">
        <f t="shared" ref="AK859:AS859" si="277">SUM(R851)</f>
        <v>172</v>
      </c>
      <c r="AL859" s="38">
        <f t="shared" si="277"/>
        <v>1825</v>
      </c>
      <c r="AM859" s="38">
        <f t="shared" si="277"/>
        <v>4875</v>
      </c>
      <c r="AN859" s="38">
        <f t="shared" si="277"/>
        <v>1478</v>
      </c>
      <c r="AO859" s="38">
        <f t="shared" si="277"/>
        <v>0</v>
      </c>
      <c r="AP859" s="38">
        <f t="shared" si="277"/>
        <v>0</v>
      </c>
      <c r="AQ859" s="38">
        <f t="shared" si="277"/>
        <v>0</v>
      </c>
      <c r="AR859" s="38">
        <f t="shared" si="277"/>
        <v>0</v>
      </c>
      <c r="AS859" s="59">
        <f t="shared" si="277"/>
        <v>8350</v>
      </c>
    </row>
    <row r="860" spans="1:45" x14ac:dyDescent="0.2">
      <c r="A860" t="s">
        <v>4277</v>
      </c>
      <c r="B860">
        <f>SUM(FishSumAllPRN!B860)</f>
        <v>0</v>
      </c>
      <c r="C860">
        <f>SUM(FishSumAllPRN!C860)</f>
        <v>0</v>
      </c>
      <c r="D860">
        <f>SUM(FishSumAllPRN!D860)</f>
        <v>0</v>
      </c>
      <c r="E860">
        <f>SUM(FishSumAllPRN!E860)</f>
        <v>0</v>
      </c>
      <c r="F860">
        <f>SUM(FishSumAllPRN!F860)</f>
        <v>1137</v>
      </c>
      <c r="G860">
        <f>SUM(FishSumAllPRN!G860)</f>
        <v>1137</v>
      </c>
      <c r="H860" s="54" t="s">
        <v>294</v>
      </c>
      <c r="K860" t="s">
        <v>5662</v>
      </c>
      <c r="R860">
        <f>SUM(B853*0.5)</f>
        <v>0</v>
      </c>
      <c r="S860">
        <f>SUM(C853*0.5)</f>
        <v>0</v>
      </c>
      <c r="T860">
        <f>SUM(D853*0.5)</f>
        <v>0</v>
      </c>
      <c r="U860">
        <f>SUM(E853*0.5)</f>
        <v>0</v>
      </c>
      <c r="V860">
        <f>SUM(F853*0.5)</f>
        <v>0</v>
      </c>
      <c r="Z860">
        <f t="shared" si="266"/>
        <v>0</v>
      </c>
      <c r="AC860" s="50"/>
      <c r="AD860" s="37"/>
      <c r="AE860" s="37"/>
      <c r="AF860" s="37"/>
      <c r="AG860" s="37"/>
      <c r="AH860" s="37"/>
      <c r="AI860" s="37"/>
      <c r="AJ860" s="37" t="s">
        <v>5652</v>
      </c>
      <c r="AK860" s="38">
        <f t="shared" ref="AK860:AS860" si="278">SUM(R853)</f>
        <v>898</v>
      </c>
      <c r="AL860" s="38">
        <f t="shared" si="278"/>
        <v>3270</v>
      </c>
      <c r="AM860" s="38">
        <f t="shared" si="278"/>
        <v>5646</v>
      </c>
      <c r="AN860" s="38">
        <f t="shared" si="278"/>
        <v>6795</v>
      </c>
      <c r="AO860" s="38">
        <f t="shared" si="278"/>
        <v>0</v>
      </c>
      <c r="AP860" s="38">
        <f t="shared" si="278"/>
        <v>0</v>
      </c>
      <c r="AQ860" s="38">
        <f t="shared" si="278"/>
        <v>0</v>
      </c>
      <c r="AR860" s="38">
        <f t="shared" si="278"/>
        <v>0</v>
      </c>
      <c r="AS860" s="59">
        <f t="shared" si="278"/>
        <v>16609</v>
      </c>
    </row>
    <row r="861" spans="1:45" x14ac:dyDescent="0.2">
      <c r="A861" t="s">
        <v>4278</v>
      </c>
      <c r="B861">
        <f>SUM(FishSumAllPRN!B861)</f>
        <v>0</v>
      </c>
      <c r="C861">
        <f>SUM(FishSumAllPRN!C861)</f>
        <v>0</v>
      </c>
      <c r="D861">
        <f>SUM(FishSumAllPRN!D861)</f>
        <v>0</v>
      </c>
      <c r="E861">
        <f>SUM(FishSumAllPRN!E861)</f>
        <v>0</v>
      </c>
      <c r="F861">
        <f>SUM(FishSumAllPRN!F861)</f>
        <v>0</v>
      </c>
      <c r="G861">
        <f>SUM(FishSumAllPRN!G861)</f>
        <v>0</v>
      </c>
      <c r="H861" s="54" t="s">
        <v>294</v>
      </c>
      <c r="K861" t="s">
        <v>5667</v>
      </c>
      <c r="R861">
        <f>SUM(B853*0.5)</f>
        <v>0</v>
      </c>
      <c r="S861">
        <f>SUM(C853*0.5)</f>
        <v>0</v>
      </c>
      <c r="T861">
        <f>SUM(D853*0.5)</f>
        <v>0</v>
      </c>
      <c r="U861">
        <f>SUM(E853*0.5)</f>
        <v>0</v>
      </c>
      <c r="V861">
        <f>SUM(F853*0.5)</f>
        <v>0</v>
      </c>
      <c r="Z861">
        <f t="shared" si="266"/>
        <v>0</v>
      </c>
      <c r="AC861" s="50"/>
      <c r="AD861" s="37"/>
      <c r="AE861" s="37"/>
      <c r="AF861" s="37"/>
      <c r="AG861" s="37"/>
      <c r="AH861" s="37"/>
      <c r="AI861" s="37"/>
      <c r="AJ861" s="37" t="s">
        <v>5660</v>
      </c>
      <c r="AK861" s="38">
        <f t="shared" ref="AK861:AS861" si="279">SUM(R855)</f>
        <v>1578</v>
      </c>
      <c r="AL861" s="38">
        <f t="shared" si="279"/>
        <v>4474</v>
      </c>
      <c r="AM861" s="38">
        <f t="shared" si="279"/>
        <v>3856</v>
      </c>
      <c r="AN861" s="38">
        <f t="shared" si="279"/>
        <v>7645</v>
      </c>
      <c r="AO861" s="38">
        <f t="shared" si="279"/>
        <v>0</v>
      </c>
      <c r="AP861" s="38">
        <f t="shared" si="279"/>
        <v>0</v>
      </c>
      <c r="AQ861" s="38">
        <f t="shared" si="279"/>
        <v>0</v>
      </c>
      <c r="AR861" s="38">
        <f t="shared" si="279"/>
        <v>0</v>
      </c>
      <c r="AS861" s="59">
        <f t="shared" si="279"/>
        <v>17553</v>
      </c>
    </row>
    <row r="862" spans="1:45" x14ac:dyDescent="0.2">
      <c r="A862" t="s">
        <v>4279</v>
      </c>
      <c r="B862">
        <f>SUM(FishSumAllPRN!B862)</f>
        <v>1345</v>
      </c>
      <c r="C862">
        <f>SUM(FishSumAllPRN!C862)</f>
        <v>547</v>
      </c>
      <c r="D862">
        <f>SUM(FishSumAllPRN!D862)</f>
        <v>470</v>
      </c>
      <c r="E862">
        <f>SUM(FishSumAllPRN!E862)</f>
        <v>0</v>
      </c>
      <c r="F862">
        <f>SUM(FishSumAllPRN!F862)</f>
        <v>0</v>
      </c>
      <c r="G862">
        <f>SUM(FishSumAllPRN!G862)</f>
        <v>2362</v>
      </c>
      <c r="H862" s="54" t="s">
        <v>294</v>
      </c>
      <c r="K862" t="s">
        <v>5669</v>
      </c>
      <c r="R862" s="38">
        <f>SUM(B851)</f>
        <v>0</v>
      </c>
      <c r="S862" s="38">
        <f>SUM(C851)</f>
        <v>249</v>
      </c>
      <c r="T862" s="38">
        <f>SUM(D851)</f>
        <v>54</v>
      </c>
      <c r="U862" s="38">
        <f>SUM(E851)</f>
        <v>0</v>
      </c>
      <c r="V862" s="38">
        <f>SUM(F851)</f>
        <v>0</v>
      </c>
      <c r="Z862">
        <f t="shared" si="266"/>
        <v>303</v>
      </c>
      <c r="AC862" s="50"/>
      <c r="AD862" s="37"/>
      <c r="AE862" s="37"/>
      <c r="AF862" s="37"/>
      <c r="AG862" s="37"/>
      <c r="AH862" s="37"/>
      <c r="AI862" s="37"/>
      <c r="AJ862" s="37"/>
      <c r="AK862" s="38"/>
      <c r="AL862" s="38"/>
      <c r="AM862" s="38"/>
      <c r="AN862" s="38"/>
      <c r="AO862" s="38"/>
      <c r="AP862" s="38"/>
      <c r="AQ862" s="38"/>
      <c r="AR862" s="38"/>
      <c r="AS862" s="59"/>
    </row>
    <row r="863" spans="1:45" x14ac:dyDescent="0.2">
      <c r="A863" t="s">
        <v>4280</v>
      </c>
      <c r="B863">
        <f>SUM(FishSumAllPRN!B863)</f>
        <v>34</v>
      </c>
      <c r="C863">
        <f>SUM(FishSumAllPRN!C863)</f>
        <v>79</v>
      </c>
      <c r="D863">
        <f>SUM(FishSumAllPRN!D863)</f>
        <v>3</v>
      </c>
      <c r="E863">
        <f>SUM(FishSumAllPRN!E863)</f>
        <v>0</v>
      </c>
      <c r="F863">
        <f>SUM(FishSumAllPRN!F863)</f>
        <v>0</v>
      </c>
      <c r="G863">
        <f>SUM(FishSumAllPRN!G863)</f>
        <v>115</v>
      </c>
      <c r="H863" s="54" t="s">
        <v>294</v>
      </c>
      <c r="K863" t="s">
        <v>5671</v>
      </c>
      <c r="R863" s="38">
        <f>SUM(B855)</f>
        <v>409</v>
      </c>
      <c r="S863" s="38">
        <f>SUM(C855)</f>
        <v>51</v>
      </c>
      <c r="T863" s="38">
        <f>SUM(D855)</f>
        <v>14</v>
      </c>
      <c r="U863" s="38">
        <f>SUM(E855)</f>
        <v>23</v>
      </c>
      <c r="V863" s="38">
        <f>SUM(F855)</f>
        <v>0</v>
      </c>
      <c r="Z863">
        <f t="shared" si="266"/>
        <v>497</v>
      </c>
      <c r="AC863" s="50" t="s">
        <v>5663</v>
      </c>
      <c r="AD863" s="37"/>
      <c r="AE863" s="37"/>
      <c r="AF863" s="37"/>
      <c r="AG863" s="37"/>
      <c r="AH863" s="37"/>
      <c r="AI863" s="37"/>
      <c r="AJ863" s="37" t="s">
        <v>5664</v>
      </c>
      <c r="AK863">
        <f t="shared" ref="AK863:AM866" si="280">SUM(R865)</f>
        <v>2754</v>
      </c>
      <c r="AL863">
        <f t="shared" si="280"/>
        <v>7161</v>
      </c>
      <c r="AM863">
        <f t="shared" si="280"/>
        <v>8720</v>
      </c>
      <c r="AN863">
        <f t="shared" ref="AN863:AS866" si="281">SUM(U865)</f>
        <v>3223</v>
      </c>
      <c r="AO863">
        <f t="shared" si="281"/>
        <v>0</v>
      </c>
      <c r="AP863">
        <f t="shared" si="281"/>
        <v>0</v>
      </c>
      <c r="AQ863">
        <f t="shared" si="281"/>
        <v>0</v>
      </c>
      <c r="AR863">
        <f t="shared" si="281"/>
        <v>0</v>
      </c>
      <c r="AS863" s="58">
        <f t="shared" si="281"/>
        <v>21858</v>
      </c>
    </row>
    <row r="864" spans="1:45" x14ac:dyDescent="0.2">
      <c r="A864" t="s">
        <v>4281</v>
      </c>
      <c r="B864">
        <f>SUM(FishSumAllPRN!B864)</f>
        <v>18399</v>
      </c>
      <c r="C864">
        <f>SUM(FishSumAllPRN!C864)</f>
        <v>19497</v>
      </c>
      <c r="D864">
        <f>SUM(FishSumAllPRN!D864)</f>
        <v>27734</v>
      </c>
      <c r="E864">
        <f>SUM(FishSumAllPRN!E864)</f>
        <v>9230</v>
      </c>
      <c r="F864">
        <f>SUM(FishSumAllPRN!F864)</f>
        <v>0</v>
      </c>
      <c r="G864">
        <f>SUM(FishSumAllPRN!G864)</f>
        <v>74860</v>
      </c>
      <c r="H864" s="54" t="s">
        <v>294</v>
      </c>
      <c r="K864" t="s">
        <v>5674</v>
      </c>
      <c r="R864" s="38">
        <f>SUM(B854)</f>
        <v>176</v>
      </c>
      <c r="S864" s="38">
        <f>SUM(C854)</f>
        <v>140</v>
      </c>
      <c r="T864" s="38">
        <f>SUM(D854)</f>
        <v>19</v>
      </c>
      <c r="U864" s="38">
        <f>SUM(E854)</f>
        <v>12</v>
      </c>
      <c r="V864" s="38">
        <f>SUM(F854)</f>
        <v>0</v>
      </c>
      <c r="Z864">
        <f t="shared" si="266"/>
        <v>347</v>
      </c>
      <c r="AC864" s="50"/>
      <c r="AD864" s="37"/>
      <c r="AE864" s="37"/>
      <c r="AF864" s="37"/>
      <c r="AG864" s="37"/>
      <c r="AH864" s="37"/>
      <c r="AI864" s="37"/>
      <c r="AJ864" s="37" t="s">
        <v>5668</v>
      </c>
      <c r="AK864">
        <f t="shared" si="280"/>
        <v>190</v>
      </c>
      <c r="AL864">
        <f t="shared" si="280"/>
        <v>685</v>
      </c>
      <c r="AM864">
        <f t="shared" si="280"/>
        <v>2859</v>
      </c>
      <c r="AN864">
        <f t="shared" si="281"/>
        <v>1539</v>
      </c>
      <c r="AO864">
        <f t="shared" si="281"/>
        <v>0</v>
      </c>
      <c r="AP864">
        <f t="shared" si="281"/>
        <v>0</v>
      </c>
      <c r="AQ864">
        <f t="shared" si="281"/>
        <v>0</v>
      </c>
      <c r="AR864">
        <f t="shared" si="281"/>
        <v>0</v>
      </c>
      <c r="AS864" s="58">
        <f t="shared" si="281"/>
        <v>5273</v>
      </c>
    </row>
    <row r="865" spans="1:45" x14ac:dyDescent="0.2">
      <c r="A865" t="s">
        <v>4282</v>
      </c>
      <c r="B865">
        <f>SUM(FishSumAllPRN!B865)</f>
        <v>3631</v>
      </c>
      <c r="C865">
        <f>SUM(FishSumAllPRN!C865)</f>
        <v>5831</v>
      </c>
      <c r="D865">
        <f>SUM(FishSumAllPRN!D865)</f>
        <v>6277</v>
      </c>
      <c r="E865">
        <f>SUM(FishSumAllPRN!E865)</f>
        <v>123</v>
      </c>
      <c r="F865">
        <f>SUM(FishSumAllPRN!F865)</f>
        <v>0</v>
      </c>
      <c r="G865">
        <f>SUM(FishSumAllPRN!G865)</f>
        <v>15862</v>
      </c>
      <c r="H865" s="54" t="s">
        <v>294</v>
      </c>
      <c r="K865" t="s">
        <v>5676</v>
      </c>
      <c r="R865" s="38">
        <f>SUM(B888)</f>
        <v>2754</v>
      </c>
      <c r="S865" s="38">
        <f>SUM(C888)</f>
        <v>7161</v>
      </c>
      <c r="T865" s="38">
        <f>SUM(D888)</f>
        <v>8720</v>
      </c>
      <c r="U865" s="38">
        <f>SUM(E888)</f>
        <v>3223</v>
      </c>
      <c r="V865" s="38">
        <f>SUM(F888)</f>
        <v>0</v>
      </c>
      <c r="Z865">
        <f t="shared" si="266"/>
        <v>21858</v>
      </c>
      <c r="AC865" s="50"/>
      <c r="AD865" s="37"/>
      <c r="AE865" s="37"/>
      <c r="AF865" s="37"/>
      <c r="AG865" s="37"/>
      <c r="AH865" s="37"/>
      <c r="AI865" s="37"/>
      <c r="AJ865" s="37" t="s">
        <v>5670</v>
      </c>
      <c r="AK865">
        <f t="shared" si="280"/>
        <v>0</v>
      </c>
      <c r="AL865">
        <f t="shared" si="280"/>
        <v>16136</v>
      </c>
      <c r="AM865">
        <f t="shared" si="280"/>
        <v>37941</v>
      </c>
      <c r="AN865">
        <f t="shared" si="281"/>
        <v>19802</v>
      </c>
      <c r="AO865">
        <f t="shared" si="281"/>
        <v>0</v>
      </c>
      <c r="AP865">
        <f t="shared" si="281"/>
        <v>0</v>
      </c>
      <c r="AQ865">
        <f t="shared" si="281"/>
        <v>0</v>
      </c>
      <c r="AR865">
        <f t="shared" si="281"/>
        <v>0</v>
      </c>
      <c r="AS865" s="58">
        <f t="shared" si="281"/>
        <v>73879</v>
      </c>
    </row>
    <row r="866" spans="1:45" x14ac:dyDescent="0.2">
      <c r="A866" t="s">
        <v>4283</v>
      </c>
      <c r="B866">
        <f>SUM(FishSumAllPRN!B866)</f>
        <v>8864</v>
      </c>
      <c r="C866">
        <f>SUM(FishSumAllPRN!C866)</f>
        <v>8663</v>
      </c>
      <c r="D866">
        <f>SUM(FishSumAllPRN!D866)</f>
        <v>5163</v>
      </c>
      <c r="E866">
        <f>SUM(FishSumAllPRN!E866)</f>
        <v>4252</v>
      </c>
      <c r="F866">
        <f>SUM(FishSumAllPRN!F866)</f>
        <v>0</v>
      </c>
      <c r="G866">
        <f>SUM(FishSumAllPRN!G866)</f>
        <v>26942</v>
      </c>
      <c r="H866" s="54" t="s">
        <v>294</v>
      </c>
      <c r="I866" s="54"/>
      <c r="K866" t="s">
        <v>5678</v>
      </c>
      <c r="R866" s="38">
        <f>SUM(B887)</f>
        <v>190</v>
      </c>
      <c r="S866" s="38">
        <f>SUM(C887)</f>
        <v>685</v>
      </c>
      <c r="T866" s="38">
        <f>SUM(D887)</f>
        <v>2859</v>
      </c>
      <c r="U866" s="38">
        <f>SUM(E887)</f>
        <v>1539</v>
      </c>
      <c r="V866" s="38">
        <f>SUM(F887)</f>
        <v>0</v>
      </c>
      <c r="Z866">
        <f t="shared" si="266"/>
        <v>5273</v>
      </c>
      <c r="AC866" s="50"/>
      <c r="AD866" s="37"/>
      <c r="AE866" s="37"/>
      <c r="AF866" s="37"/>
      <c r="AG866" s="37"/>
      <c r="AH866" s="37"/>
      <c r="AI866" s="37"/>
      <c r="AJ866" s="37" t="s">
        <v>5672</v>
      </c>
      <c r="AK866">
        <f t="shared" si="280"/>
        <v>4123</v>
      </c>
      <c r="AL866">
        <f t="shared" si="280"/>
        <v>23414</v>
      </c>
      <c r="AM866">
        <f t="shared" si="280"/>
        <v>55663</v>
      </c>
      <c r="AN866">
        <f t="shared" si="281"/>
        <v>14507</v>
      </c>
      <c r="AO866">
        <f t="shared" si="281"/>
        <v>0</v>
      </c>
      <c r="AP866">
        <f t="shared" si="281"/>
        <v>0</v>
      </c>
      <c r="AQ866">
        <f t="shared" si="281"/>
        <v>0</v>
      </c>
      <c r="AR866">
        <f t="shared" si="281"/>
        <v>0</v>
      </c>
      <c r="AS866" s="58">
        <f t="shared" si="281"/>
        <v>97707</v>
      </c>
    </row>
    <row r="867" spans="1:45" x14ac:dyDescent="0.2">
      <c r="A867" t="s">
        <v>4284</v>
      </c>
      <c r="B867">
        <f>SUM(FishSumAllPRN!B867)</f>
        <v>450</v>
      </c>
      <c r="C867">
        <f>SUM(FishSumAllPRN!C867)</f>
        <v>0</v>
      </c>
      <c r="D867">
        <f>SUM(FishSumAllPRN!D867)</f>
        <v>895</v>
      </c>
      <c r="E867">
        <f>SUM(FishSumAllPRN!E867)</f>
        <v>70</v>
      </c>
      <c r="F867">
        <f>SUM(FishSumAllPRN!F867)</f>
        <v>0</v>
      </c>
      <c r="G867">
        <f>SUM(FishSumAllPRN!G867)</f>
        <v>1415</v>
      </c>
      <c r="H867" s="54" t="s">
        <v>294</v>
      </c>
      <c r="I867" s="54"/>
      <c r="K867" t="s">
        <v>5679</v>
      </c>
      <c r="R867" s="38">
        <f>SUM(B884)</f>
        <v>0</v>
      </c>
      <c r="S867" s="38">
        <f>SUM(C884)</f>
        <v>16136</v>
      </c>
      <c r="T867" s="38">
        <f>SUM(D884)</f>
        <v>37941</v>
      </c>
      <c r="U867" s="38">
        <f>SUM(E884)</f>
        <v>19802</v>
      </c>
      <c r="V867" s="38">
        <f>SUM(F884)</f>
        <v>0</v>
      </c>
      <c r="Z867">
        <f t="shared" si="266"/>
        <v>73879</v>
      </c>
      <c r="AC867" s="50"/>
      <c r="AD867" s="37"/>
      <c r="AE867" s="37"/>
      <c r="AF867" s="37"/>
      <c r="AG867" s="37"/>
      <c r="AH867" s="37"/>
      <c r="AI867" s="37"/>
      <c r="AJ867" s="37" t="s">
        <v>145</v>
      </c>
      <c r="AK867">
        <v>0</v>
      </c>
      <c r="AL867">
        <v>0</v>
      </c>
      <c r="AM867">
        <f>SUM(T869)</f>
        <v>0</v>
      </c>
      <c r="AN867">
        <f>SUM(U869)</f>
        <v>65601</v>
      </c>
      <c r="AO867">
        <f>SUM(V869)</f>
        <v>0</v>
      </c>
      <c r="AS867" s="58">
        <f>SUM(AK867:AO867)</f>
        <v>65601</v>
      </c>
    </row>
    <row r="868" spans="1:45" x14ac:dyDescent="0.2">
      <c r="A868" t="s">
        <v>4285</v>
      </c>
      <c r="B868">
        <f>SUM(FishSumAllPRN!B868)</f>
        <v>10765</v>
      </c>
      <c r="C868">
        <f>SUM(FishSumAllPRN!C868)</f>
        <v>12012</v>
      </c>
      <c r="D868">
        <f>SUM(FishSumAllPRN!D868)</f>
        <v>10723</v>
      </c>
      <c r="E868">
        <f>SUM(FishSumAllPRN!E868)</f>
        <v>4536</v>
      </c>
      <c r="F868">
        <f>SUM(FishSumAllPRN!F868)</f>
        <v>0</v>
      </c>
      <c r="G868">
        <f>SUM(FishSumAllPRN!G868)</f>
        <v>38036</v>
      </c>
      <c r="H868" s="54" t="s">
        <v>294</v>
      </c>
      <c r="I868" s="54"/>
      <c r="K868" t="s">
        <v>5681</v>
      </c>
      <c r="R868" s="38">
        <f>SUM(B880)</f>
        <v>4123</v>
      </c>
      <c r="S868" s="38">
        <f>SUM(C880)</f>
        <v>23414</v>
      </c>
      <c r="T868" s="38">
        <f>SUM(D880)</f>
        <v>55663</v>
      </c>
      <c r="U868" s="38">
        <f>SUM(E880)</f>
        <v>14507</v>
      </c>
      <c r="V868" s="38">
        <f>SUM(F880)</f>
        <v>0</v>
      </c>
      <c r="Z868">
        <f t="shared" si="266"/>
        <v>97707</v>
      </c>
      <c r="AC868" s="60" t="s">
        <v>5677</v>
      </c>
      <c r="AD868" s="1952"/>
      <c r="AE868" s="1952"/>
      <c r="AF868" s="1952"/>
      <c r="AG868" s="1952"/>
      <c r="AH868" s="1952"/>
      <c r="AI868" s="1952"/>
      <c r="AJ868" s="1952"/>
      <c r="AK868" s="1953">
        <f t="shared" ref="AK868:AS868" si="282">SUM(AK853,AK857,AK863:AK867)</f>
        <v>10588</v>
      </c>
      <c r="AL868" s="1953">
        <f t="shared" si="282"/>
        <v>67035</v>
      </c>
      <c r="AM868" s="1953">
        <f t="shared" si="282"/>
        <v>154364</v>
      </c>
      <c r="AN868" s="1953">
        <f t="shared" si="282"/>
        <v>132461</v>
      </c>
      <c r="AO868" s="1953">
        <f t="shared" si="282"/>
        <v>2</v>
      </c>
      <c r="AP868" s="1953">
        <f t="shared" si="282"/>
        <v>0</v>
      </c>
      <c r="AQ868" s="1953">
        <f t="shared" si="282"/>
        <v>0</v>
      </c>
      <c r="AR868" s="1953">
        <f t="shared" si="282"/>
        <v>0</v>
      </c>
      <c r="AS868" s="1954">
        <f t="shared" si="282"/>
        <v>364450</v>
      </c>
    </row>
    <row r="869" spans="1:45" x14ac:dyDescent="0.2">
      <c r="A869" t="s">
        <v>4286</v>
      </c>
      <c r="B869">
        <f>SUM(FishSumAllPRN!B869)</f>
        <v>1097</v>
      </c>
      <c r="C869">
        <f>SUM(FishSumAllPRN!C869)</f>
        <v>271</v>
      </c>
      <c r="D869">
        <f>SUM(FishSumAllPRN!D869)</f>
        <v>490</v>
      </c>
      <c r="E869">
        <f>SUM(FishSumAllPRN!E869)</f>
        <v>70</v>
      </c>
      <c r="F869">
        <f>SUM(FishSumAllPRN!F869)</f>
        <v>0</v>
      </c>
      <c r="G869">
        <f>SUM(FishSumAllPRN!G869)</f>
        <v>1929</v>
      </c>
      <c r="H869" s="54" t="s">
        <v>294</v>
      </c>
      <c r="I869" s="54"/>
      <c r="K869" t="s">
        <v>5683</v>
      </c>
      <c r="R869" s="38">
        <f>SUM(B870)</f>
        <v>0</v>
      </c>
      <c r="S869" s="38">
        <f>SUM(C870)</f>
        <v>0</v>
      </c>
      <c r="T869" s="38">
        <f>SUM(D870)</f>
        <v>0</v>
      </c>
      <c r="U869" s="38">
        <f>SUM(E870)</f>
        <v>65601</v>
      </c>
      <c r="V869" s="38">
        <f>SUM(F870)</f>
        <v>0</v>
      </c>
      <c r="Z869">
        <f t="shared" si="266"/>
        <v>65601</v>
      </c>
      <c r="AC869" s="50"/>
      <c r="AD869" s="37"/>
      <c r="AE869" s="37"/>
      <c r="AF869" s="37"/>
      <c r="AG869" s="37"/>
      <c r="AH869" s="37"/>
      <c r="AI869" s="37"/>
      <c r="AJ869" s="37"/>
      <c r="AS869" s="58"/>
    </row>
    <row r="870" spans="1:45" x14ac:dyDescent="0.2">
      <c r="A870" t="s">
        <v>4287</v>
      </c>
      <c r="B870">
        <f>SUM(FishSumAllPRN!B870)</f>
        <v>0</v>
      </c>
      <c r="C870">
        <f>SUM(FishSumAllPRN!C870)</f>
        <v>0</v>
      </c>
      <c r="D870">
        <f>SUM(FishSumAllPRN!D870)</f>
        <v>0</v>
      </c>
      <c r="E870">
        <f>SUM(FishSumAllPRN!E870)</f>
        <v>65601</v>
      </c>
      <c r="F870">
        <f>SUM(FishSumAllPRN!F870)</f>
        <v>0</v>
      </c>
      <c r="G870">
        <f>SUM(FishSumAllPRN!G870)</f>
        <v>65601</v>
      </c>
      <c r="H870" s="54" t="s">
        <v>294</v>
      </c>
      <c r="I870" s="54"/>
      <c r="K870" t="s">
        <v>5685</v>
      </c>
      <c r="R870" s="38">
        <f>SUM(B868)</f>
        <v>10765</v>
      </c>
      <c r="S870" s="38">
        <f>SUM(C868)</f>
        <v>12012</v>
      </c>
      <c r="T870" s="38">
        <f>SUM(D868)</f>
        <v>10723</v>
      </c>
      <c r="U870" s="38">
        <f>SUM(E868)</f>
        <v>4536</v>
      </c>
      <c r="V870" s="38">
        <f>SUM(F868)</f>
        <v>0</v>
      </c>
      <c r="Z870">
        <f t="shared" si="266"/>
        <v>38036</v>
      </c>
      <c r="AC870" s="50" t="s">
        <v>5680</v>
      </c>
      <c r="AD870" s="37"/>
      <c r="AE870" s="37"/>
      <c r="AF870" s="37"/>
      <c r="AG870" s="37"/>
      <c r="AH870" s="37"/>
      <c r="AI870" s="37"/>
      <c r="AJ870" s="37"/>
      <c r="AS870" s="58"/>
    </row>
    <row r="871" spans="1:45" x14ac:dyDescent="0.2">
      <c r="A871" t="s">
        <v>4288</v>
      </c>
      <c r="B871">
        <f>SUM(FishSumAllPRN!B871)</f>
        <v>0</v>
      </c>
      <c r="C871">
        <f>SUM(FishSumAllPRN!C871)</f>
        <v>0</v>
      </c>
      <c r="D871">
        <f>SUM(FishSumAllPRN!D871)</f>
        <v>0</v>
      </c>
      <c r="E871">
        <f>SUM(FishSumAllPRN!E871)</f>
        <v>0</v>
      </c>
      <c r="F871">
        <f>SUM(FishSumAllPRN!F871)</f>
        <v>1525</v>
      </c>
      <c r="G871">
        <f>SUM(FishSumAllPRN!G871)</f>
        <v>1525</v>
      </c>
      <c r="H871" s="54" t="s">
        <v>294</v>
      </c>
      <c r="I871" s="54"/>
      <c r="K871" t="s">
        <v>5687</v>
      </c>
      <c r="R871" s="38">
        <f>SUM(B864)</f>
        <v>18399</v>
      </c>
      <c r="S871" s="38">
        <f>SUM(C864)</f>
        <v>19497</v>
      </c>
      <c r="T871" s="38">
        <f>SUM(D864)</f>
        <v>27734</v>
      </c>
      <c r="U871" s="38">
        <f>SUM(E864)</f>
        <v>9230</v>
      </c>
      <c r="V871" s="38">
        <f>SUM(F864)</f>
        <v>0</v>
      </c>
      <c r="Z871">
        <f t="shared" si="266"/>
        <v>74860</v>
      </c>
      <c r="AC871" s="50" t="s">
        <v>5644</v>
      </c>
      <c r="AD871" s="37"/>
      <c r="AE871" s="37"/>
      <c r="AF871" s="37"/>
      <c r="AG871" s="37"/>
      <c r="AH871" s="37"/>
      <c r="AI871" s="37"/>
      <c r="AJ871" s="37" t="s">
        <v>5682</v>
      </c>
      <c r="AK871">
        <f t="shared" ref="AK871:AM874" si="283">SUM(R856)</f>
        <v>1097</v>
      </c>
      <c r="AL871">
        <f t="shared" si="283"/>
        <v>271</v>
      </c>
      <c r="AM871">
        <f t="shared" si="283"/>
        <v>490</v>
      </c>
      <c r="AN871">
        <f t="shared" ref="AN871:AS874" si="284">SUM(U856)</f>
        <v>70</v>
      </c>
      <c r="AO871">
        <f t="shared" si="284"/>
        <v>0</v>
      </c>
      <c r="AP871">
        <f t="shared" si="284"/>
        <v>0</v>
      </c>
      <c r="AQ871">
        <f t="shared" si="284"/>
        <v>0</v>
      </c>
      <c r="AR871">
        <f t="shared" si="284"/>
        <v>0</v>
      </c>
      <c r="AS871" s="58">
        <f t="shared" si="284"/>
        <v>1928</v>
      </c>
    </row>
    <row r="872" spans="1:45" x14ac:dyDescent="0.2">
      <c r="A872" t="s">
        <v>4289</v>
      </c>
      <c r="B872">
        <f>SUM(FishSumAllPRN!B872)</f>
        <v>0</v>
      </c>
      <c r="C872">
        <f>SUM(FishSumAllPRN!C872)</f>
        <v>0</v>
      </c>
      <c r="D872">
        <f>SUM(FishSumAllPRN!D872)</f>
        <v>0</v>
      </c>
      <c r="E872">
        <f>SUM(FishSumAllPRN!E872)</f>
        <v>0</v>
      </c>
      <c r="F872">
        <f>SUM(FishSumAllPRN!F872)</f>
        <v>247739</v>
      </c>
      <c r="G872">
        <f>SUM(FishSumAllPRN!G872)</f>
        <v>247739</v>
      </c>
      <c r="H872" s="54" t="s">
        <v>294</v>
      </c>
      <c r="I872" s="54"/>
      <c r="K872" t="s">
        <v>5689</v>
      </c>
      <c r="R872" s="38">
        <f>SUM(B866)</f>
        <v>8864</v>
      </c>
      <c r="S872" s="38">
        <f>SUM(C866)</f>
        <v>8663</v>
      </c>
      <c r="T872" s="38">
        <f>SUM(D866)</f>
        <v>5163</v>
      </c>
      <c r="U872" s="38">
        <f>SUM(E866)</f>
        <v>4252</v>
      </c>
      <c r="V872" s="38">
        <f>SUM(F866)</f>
        <v>0</v>
      </c>
      <c r="Z872">
        <f t="shared" si="266"/>
        <v>26942</v>
      </c>
      <c r="AC872" s="50"/>
      <c r="AD872" s="37"/>
      <c r="AE872" s="37"/>
      <c r="AF872" s="37"/>
      <c r="AG872" s="37"/>
      <c r="AH872" s="37"/>
      <c r="AI872" s="37"/>
      <c r="AJ872" s="37" t="s">
        <v>5684</v>
      </c>
      <c r="AK872">
        <f t="shared" si="283"/>
        <v>3631</v>
      </c>
      <c r="AL872">
        <f t="shared" si="283"/>
        <v>5831</v>
      </c>
      <c r="AM872">
        <f t="shared" si="283"/>
        <v>6277</v>
      </c>
      <c r="AN872">
        <f t="shared" si="284"/>
        <v>123</v>
      </c>
      <c r="AO872">
        <f t="shared" si="284"/>
        <v>0</v>
      </c>
      <c r="AP872">
        <f t="shared" si="284"/>
        <v>0</v>
      </c>
      <c r="AQ872">
        <f t="shared" si="284"/>
        <v>0</v>
      </c>
      <c r="AR872">
        <f t="shared" si="284"/>
        <v>0</v>
      </c>
      <c r="AS872" s="58">
        <f t="shared" si="284"/>
        <v>15862</v>
      </c>
    </row>
    <row r="873" spans="1:45" x14ac:dyDescent="0.2">
      <c r="A873" t="s">
        <v>4290</v>
      </c>
      <c r="B873">
        <f>SUM(FishSumAllPRN!B873)</f>
        <v>0</v>
      </c>
      <c r="C873">
        <f>SUM(FishSumAllPRN!C873)</f>
        <v>0</v>
      </c>
      <c r="D873">
        <f>SUM(FishSumAllPRN!D873)</f>
        <v>0</v>
      </c>
      <c r="E873">
        <f>SUM(FishSumAllPRN!E873)</f>
        <v>0</v>
      </c>
      <c r="F873">
        <f>SUM(FishSumAllPRN!F873)</f>
        <v>49093</v>
      </c>
      <c r="G873">
        <f>SUM(FishSumAllPRN!G873)</f>
        <v>49093</v>
      </c>
      <c r="H873" s="54" t="s">
        <v>294</v>
      </c>
      <c r="I873" s="54"/>
      <c r="K873" t="s">
        <v>5691</v>
      </c>
      <c r="R873" s="38">
        <f>SUM(B862)</f>
        <v>1345</v>
      </c>
      <c r="S873" s="38">
        <f>SUM(C862)</f>
        <v>547</v>
      </c>
      <c r="T873" s="38">
        <f>SUM(D862)</f>
        <v>470</v>
      </c>
      <c r="U873" s="38">
        <f>SUM(E862)</f>
        <v>0</v>
      </c>
      <c r="V873" s="38">
        <f>SUM(F862)</f>
        <v>0</v>
      </c>
      <c r="Z873">
        <f t="shared" si="266"/>
        <v>2362</v>
      </c>
      <c r="AC873" s="50"/>
      <c r="AD873" s="37"/>
      <c r="AE873" s="37"/>
      <c r="AF873" s="37"/>
      <c r="AG873" s="37"/>
      <c r="AH873" s="37"/>
      <c r="AI873" s="37"/>
      <c r="AJ873" s="37" t="s">
        <v>5686</v>
      </c>
      <c r="AK873">
        <f t="shared" si="283"/>
        <v>450</v>
      </c>
      <c r="AL873">
        <f t="shared" si="283"/>
        <v>0</v>
      </c>
      <c r="AM873">
        <f t="shared" si="283"/>
        <v>895</v>
      </c>
      <c r="AN873">
        <f t="shared" si="284"/>
        <v>70</v>
      </c>
      <c r="AO873">
        <f t="shared" si="284"/>
        <v>0</v>
      </c>
      <c r="AP873">
        <f t="shared" si="284"/>
        <v>0</v>
      </c>
      <c r="AQ873">
        <f t="shared" si="284"/>
        <v>0</v>
      </c>
      <c r="AR873">
        <f t="shared" si="284"/>
        <v>0</v>
      </c>
      <c r="AS873" s="58">
        <f t="shared" si="284"/>
        <v>1415</v>
      </c>
    </row>
    <row r="874" spans="1:45" x14ac:dyDescent="0.2">
      <c r="A874" t="s">
        <v>4291</v>
      </c>
      <c r="B874">
        <f>SUM(FishSumAllPRN!B874)</f>
        <v>0</v>
      </c>
      <c r="C874">
        <f>SUM(FishSumAllPRN!C874)</f>
        <v>0</v>
      </c>
      <c r="D874">
        <f>SUM(FishSumAllPRN!D874)</f>
        <v>0</v>
      </c>
      <c r="E874">
        <f>SUM(FishSumAllPRN!E874)</f>
        <v>0</v>
      </c>
      <c r="F874">
        <f>SUM(FishSumAllPRN!F874)</f>
        <v>5338</v>
      </c>
      <c r="G874">
        <f>SUM(FishSumAllPRN!G874)</f>
        <v>5338</v>
      </c>
      <c r="H874" s="54" t="s">
        <v>294</v>
      </c>
      <c r="I874" s="54"/>
      <c r="K874" t="s">
        <v>5693</v>
      </c>
      <c r="R874">
        <f>SUM(B852*0.5)</f>
        <v>343</v>
      </c>
      <c r="S874">
        <f>SUM(C852*0.5)</f>
        <v>0</v>
      </c>
      <c r="T874">
        <f>SUM(D852*0.5)</f>
        <v>62</v>
      </c>
      <c r="U874">
        <f>SUM(E852*0.5)</f>
        <v>1</v>
      </c>
      <c r="V874">
        <f>SUM(F852*0.5)</f>
        <v>0</v>
      </c>
      <c r="Z874">
        <f t="shared" si="266"/>
        <v>406</v>
      </c>
      <c r="AC874" s="50"/>
      <c r="AD874" s="37"/>
      <c r="AE874" s="37"/>
      <c r="AF874" s="37"/>
      <c r="AG874" s="37"/>
      <c r="AH874" s="37"/>
      <c r="AI874" s="37"/>
      <c r="AJ874" s="37" t="s">
        <v>5688</v>
      </c>
      <c r="AK874">
        <f t="shared" si="283"/>
        <v>34</v>
      </c>
      <c r="AL874">
        <f t="shared" si="283"/>
        <v>79</v>
      </c>
      <c r="AM874">
        <f t="shared" si="283"/>
        <v>3</v>
      </c>
      <c r="AN874">
        <f t="shared" si="284"/>
        <v>0</v>
      </c>
      <c r="AO874">
        <f t="shared" si="284"/>
        <v>0</v>
      </c>
      <c r="AP874">
        <f t="shared" si="284"/>
        <v>0</v>
      </c>
      <c r="AQ874">
        <f t="shared" si="284"/>
        <v>0</v>
      </c>
      <c r="AR874">
        <f t="shared" si="284"/>
        <v>0</v>
      </c>
      <c r="AS874" s="58">
        <f t="shared" si="284"/>
        <v>116</v>
      </c>
    </row>
    <row r="875" spans="1:45" x14ac:dyDescent="0.2">
      <c r="A875" t="s">
        <v>4292</v>
      </c>
      <c r="B875">
        <f>SUM(FishSumAllPRN!B875)</f>
        <v>0</v>
      </c>
      <c r="C875">
        <f>SUM(FishSumAllPRN!C875)</f>
        <v>0</v>
      </c>
      <c r="D875">
        <f>SUM(FishSumAllPRN!D875)</f>
        <v>0</v>
      </c>
      <c r="E875">
        <f>SUM(FishSumAllPRN!E875)</f>
        <v>0</v>
      </c>
      <c r="F875">
        <f>SUM(FishSumAllPRN!F875)</f>
        <v>1513</v>
      </c>
      <c r="G875">
        <f>SUM(FishSumAllPRN!G875)</f>
        <v>1513</v>
      </c>
      <c r="H875" s="54" t="s">
        <v>294</v>
      </c>
      <c r="I875" s="54"/>
      <c r="K875" t="s">
        <v>5696</v>
      </c>
      <c r="R875">
        <f>SUM(B852*0.5)</f>
        <v>343</v>
      </c>
      <c r="S875">
        <f>SUM(C852*0.5)</f>
        <v>0</v>
      </c>
      <c r="T875">
        <f>SUM(D852*0.5)</f>
        <v>62</v>
      </c>
      <c r="U875">
        <f>SUM(E852*0.5)</f>
        <v>1</v>
      </c>
      <c r="V875">
        <f>SUM(F852*0.5)</f>
        <v>0</v>
      </c>
      <c r="Z875">
        <f t="shared" si="266"/>
        <v>406</v>
      </c>
      <c r="AC875" s="50"/>
      <c r="AD875" s="37"/>
      <c r="AE875" s="37"/>
      <c r="AF875" s="37"/>
      <c r="AG875" s="37"/>
      <c r="AH875" s="37"/>
      <c r="AI875" s="37"/>
      <c r="AJ875" s="37" t="s">
        <v>5690</v>
      </c>
      <c r="AK875">
        <f>SUM(R860,R861)</f>
        <v>0</v>
      </c>
      <c r="AL875">
        <f>SUM(S860,S861)</f>
        <v>0</v>
      </c>
      <c r="AM875">
        <f>SUM(T860,T861)</f>
        <v>0</v>
      </c>
      <c r="AN875">
        <f>SUM(U860,U861)</f>
        <v>0</v>
      </c>
      <c r="AO875">
        <f>SUM(V860,V861)</f>
        <v>0</v>
      </c>
      <c r="AP875">
        <f>SUM(W860)</f>
        <v>0</v>
      </c>
      <c r="AQ875">
        <f>SUM(X860)</f>
        <v>0</v>
      </c>
      <c r="AR875">
        <f>SUM(Y860)</f>
        <v>0</v>
      </c>
      <c r="AS875" s="58">
        <f>SUM(Z860,26)</f>
        <v>26</v>
      </c>
    </row>
    <row r="876" spans="1:45" x14ac:dyDescent="0.2">
      <c r="A876" t="s">
        <v>4293</v>
      </c>
      <c r="B876">
        <f>SUM(FishSumAllPRN!B876)</f>
        <v>0</v>
      </c>
      <c r="C876">
        <f>SUM(FishSumAllPRN!C876)</f>
        <v>0</v>
      </c>
      <c r="D876">
        <f>SUM(FishSumAllPRN!D876)</f>
        <v>0</v>
      </c>
      <c r="E876">
        <f>SUM(FishSumAllPRN!E876)</f>
        <v>0</v>
      </c>
      <c r="F876">
        <f>SUM(FishSumAllPRN!F876)</f>
        <v>2519</v>
      </c>
      <c r="G876">
        <f>SUM(FishSumAllPRN!G876)</f>
        <v>2519</v>
      </c>
      <c r="H876" s="54" t="s">
        <v>294</v>
      </c>
      <c r="I876" s="54"/>
      <c r="K876" t="s">
        <v>5697</v>
      </c>
      <c r="R876" s="38">
        <f>SUM(B850)</f>
        <v>610</v>
      </c>
      <c r="S876" s="38">
        <f>SUM(C850)</f>
        <v>96</v>
      </c>
      <c r="T876" s="38">
        <f>SUM(D850)</f>
        <v>46</v>
      </c>
      <c r="U876" s="38">
        <f>SUM(E850)</f>
        <v>1</v>
      </c>
      <c r="V876" s="38">
        <f>SUM(F850)</f>
        <v>0</v>
      </c>
      <c r="Z876">
        <f t="shared" si="266"/>
        <v>753</v>
      </c>
      <c r="AC876" s="50"/>
      <c r="AD876" s="37"/>
      <c r="AE876" s="37"/>
      <c r="AF876" s="37"/>
      <c r="AG876" s="37"/>
      <c r="AH876" s="37"/>
      <c r="AI876" s="37"/>
      <c r="AJ876" s="37" t="s">
        <v>5692</v>
      </c>
      <c r="AK876">
        <f t="shared" ref="AK876:AM877" si="285">SUM(R862)</f>
        <v>0</v>
      </c>
      <c r="AL876">
        <f t="shared" si="285"/>
        <v>249</v>
      </c>
      <c r="AM876">
        <f t="shared" si="285"/>
        <v>54</v>
      </c>
      <c r="AN876">
        <f t="shared" ref="AN876:AS877" si="286">SUM(U862)</f>
        <v>0</v>
      </c>
      <c r="AO876">
        <f t="shared" si="286"/>
        <v>0</v>
      </c>
      <c r="AP876">
        <f t="shared" si="286"/>
        <v>0</v>
      </c>
      <c r="AQ876">
        <f t="shared" si="286"/>
        <v>0</v>
      </c>
      <c r="AR876">
        <f t="shared" si="286"/>
        <v>0</v>
      </c>
      <c r="AS876" s="58">
        <f t="shared" si="286"/>
        <v>303</v>
      </c>
    </row>
    <row r="877" spans="1:45" x14ac:dyDescent="0.2">
      <c r="A877" t="s">
        <v>4294</v>
      </c>
      <c r="B877">
        <f>SUM(FishSumAllPRN!B877)</f>
        <v>0</v>
      </c>
      <c r="C877">
        <f>SUM(FishSumAllPRN!C877)</f>
        <v>0</v>
      </c>
      <c r="D877">
        <f>SUM(FishSumAllPRN!D877)</f>
        <v>0</v>
      </c>
      <c r="E877">
        <f>SUM(FishSumAllPRN!E877)</f>
        <v>0</v>
      </c>
      <c r="F877">
        <f>SUM(FishSumAllPRN!F877)</f>
        <v>11442</v>
      </c>
      <c r="G877">
        <f>SUM(FishSumAllPRN!G877)</f>
        <v>11442</v>
      </c>
      <c r="H877" s="54" t="s">
        <v>294</v>
      </c>
      <c r="I877" s="54"/>
      <c r="K877" t="s">
        <v>5698</v>
      </c>
      <c r="R877" s="38">
        <f>SUM(B891)</f>
        <v>0</v>
      </c>
      <c r="S877" s="38">
        <f>SUM(C891)</f>
        <v>0</v>
      </c>
      <c r="T877" s="38">
        <f>SUM(D891)</f>
        <v>229</v>
      </c>
      <c r="U877" s="38">
        <f>SUM(E891)</f>
        <v>181</v>
      </c>
      <c r="V877" s="38">
        <f>SUM(F891)</f>
        <v>1</v>
      </c>
      <c r="Z877">
        <f t="shared" si="266"/>
        <v>411</v>
      </c>
      <c r="AC877" s="50"/>
      <c r="AD877" s="37"/>
      <c r="AE877" s="37"/>
      <c r="AF877" s="37"/>
      <c r="AG877" s="37"/>
      <c r="AH877" s="37"/>
      <c r="AI877" s="37"/>
      <c r="AJ877" s="37" t="s">
        <v>5694</v>
      </c>
      <c r="AK877">
        <f t="shared" si="285"/>
        <v>409</v>
      </c>
      <c r="AL877">
        <f t="shared" si="285"/>
        <v>51</v>
      </c>
      <c r="AM877">
        <f t="shared" si="285"/>
        <v>14</v>
      </c>
      <c r="AN877">
        <f t="shared" si="286"/>
        <v>23</v>
      </c>
      <c r="AO877">
        <f t="shared" si="286"/>
        <v>0</v>
      </c>
      <c r="AP877">
        <f t="shared" si="286"/>
        <v>0</v>
      </c>
      <c r="AQ877">
        <f t="shared" si="286"/>
        <v>0</v>
      </c>
      <c r="AR877">
        <f t="shared" si="286"/>
        <v>0</v>
      </c>
      <c r="AS877" s="58">
        <f t="shared" si="286"/>
        <v>497</v>
      </c>
    </row>
    <row r="878" spans="1:45" x14ac:dyDescent="0.2">
      <c r="A878" t="s">
        <v>4295</v>
      </c>
      <c r="B878">
        <f>SUM(FishSumAllPRN!B878)</f>
        <v>0</v>
      </c>
      <c r="C878">
        <f>SUM(FishSumAllPRN!C878)</f>
        <v>0</v>
      </c>
      <c r="D878">
        <f>SUM(FishSumAllPRN!D878)</f>
        <v>0</v>
      </c>
      <c r="E878">
        <f>SUM(FishSumAllPRN!E878)</f>
        <v>0</v>
      </c>
      <c r="F878">
        <f>SUM(FishSumAllPRN!F878)</f>
        <v>0</v>
      </c>
      <c r="G878">
        <f>SUM(FishSumAllPRN!G878)</f>
        <v>0</v>
      </c>
      <c r="H878" s="54" t="s">
        <v>294</v>
      </c>
      <c r="I878" s="54"/>
      <c r="K878" t="s">
        <v>5699</v>
      </c>
      <c r="R878" s="38">
        <f>SUM(B938:B939)</f>
        <v>27</v>
      </c>
      <c r="S878" s="38">
        <f>SUM(C938:C939)</f>
        <v>574</v>
      </c>
      <c r="T878" s="38">
        <f>SUM(D938:D939)</f>
        <v>4380</v>
      </c>
      <c r="U878" s="38">
        <f>SUM(E938:E939)</f>
        <v>26424</v>
      </c>
      <c r="V878" s="38">
        <f>SUM(F938:F939)</f>
        <v>0</v>
      </c>
      <c r="Z878">
        <f t="shared" si="266"/>
        <v>31405</v>
      </c>
      <c r="AC878" s="50"/>
      <c r="AD878" s="37"/>
      <c r="AE878" s="37"/>
      <c r="AF878" s="37"/>
      <c r="AG878" s="37"/>
      <c r="AH878" s="37"/>
      <c r="AI878" s="37"/>
      <c r="AJ878" s="37"/>
      <c r="AS878" s="58"/>
    </row>
    <row r="879" spans="1:45" x14ac:dyDescent="0.2">
      <c r="A879" t="s">
        <v>4296</v>
      </c>
      <c r="B879">
        <f>SUM(FishSumAllPRN!B879)</f>
        <v>0</v>
      </c>
      <c r="C879">
        <f>SUM(FishSumAllPRN!C879)</f>
        <v>0</v>
      </c>
      <c r="D879">
        <f>SUM(FishSumAllPRN!D879)</f>
        <v>0</v>
      </c>
      <c r="E879">
        <f>SUM(FishSumAllPRN!E879)</f>
        <v>0</v>
      </c>
      <c r="F879">
        <f>SUM(FishSumAllPRN!F879)</f>
        <v>0</v>
      </c>
      <c r="G879">
        <f>SUM(FishSumAllPRN!G879)</f>
        <v>0</v>
      </c>
      <c r="H879" s="54" t="s">
        <v>294</v>
      </c>
      <c r="I879" s="54"/>
      <c r="K879" t="s">
        <v>5700</v>
      </c>
      <c r="R879" s="38">
        <f>SUM(B940)</f>
        <v>0</v>
      </c>
      <c r="S879" s="38">
        <f>SUM(C940)</f>
        <v>106</v>
      </c>
      <c r="T879" s="38">
        <f>SUM(D940)</f>
        <v>590</v>
      </c>
      <c r="U879" s="38">
        <f>SUM(E940)</f>
        <v>5024</v>
      </c>
      <c r="V879" s="38">
        <f>SUM(F940)</f>
        <v>0</v>
      </c>
      <c r="Z879">
        <f t="shared" si="266"/>
        <v>5720</v>
      </c>
      <c r="AC879" s="50" t="s">
        <v>5663</v>
      </c>
      <c r="AD879" s="37"/>
      <c r="AE879" s="37"/>
      <c r="AF879" s="37"/>
      <c r="AG879" s="37"/>
      <c r="AH879" s="37"/>
      <c r="AI879" s="37"/>
      <c r="AJ879" s="37" t="s">
        <v>5682</v>
      </c>
      <c r="AK879">
        <f t="shared" ref="AK879:AM882" si="287">SUM(R870)</f>
        <v>10765</v>
      </c>
      <c r="AL879">
        <f t="shared" si="287"/>
        <v>12012</v>
      </c>
      <c r="AM879">
        <f t="shared" si="287"/>
        <v>10723</v>
      </c>
      <c r="AN879">
        <f t="shared" ref="AN879:AS882" si="288">SUM(U870)</f>
        <v>4536</v>
      </c>
      <c r="AO879">
        <f t="shared" si="288"/>
        <v>0</v>
      </c>
      <c r="AP879">
        <f t="shared" si="288"/>
        <v>0</v>
      </c>
      <c r="AQ879">
        <f t="shared" si="288"/>
        <v>0</v>
      </c>
      <c r="AR879">
        <f t="shared" si="288"/>
        <v>0</v>
      </c>
      <c r="AS879" s="58">
        <f t="shared" si="288"/>
        <v>38036</v>
      </c>
    </row>
    <row r="880" spans="1:45" x14ac:dyDescent="0.2">
      <c r="A880" t="s">
        <v>4297</v>
      </c>
      <c r="B880">
        <f>SUM(FishSumAllPRN!B880)</f>
        <v>4123</v>
      </c>
      <c r="C880">
        <f>SUM(FishSumAllPRN!C880)</f>
        <v>23414</v>
      </c>
      <c r="D880">
        <f>SUM(FishSumAllPRN!D880)</f>
        <v>55663</v>
      </c>
      <c r="E880">
        <f>SUM(FishSumAllPRN!E880)</f>
        <v>14507</v>
      </c>
      <c r="F880">
        <f>SUM(FishSumAllPRN!F880)</f>
        <v>0</v>
      </c>
      <c r="G880">
        <f>SUM(FishSumAllPRN!G880)</f>
        <v>97706</v>
      </c>
      <c r="H880" s="54" t="s">
        <v>294</v>
      </c>
      <c r="I880" s="54"/>
      <c r="K880" t="s">
        <v>5701</v>
      </c>
      <c r="R880" s="38">
        <f t="shared" ref="R880:T881" si="289">SUM(B953)</f>
        <v>0</v>
      </c>
      <c r="S880" s="38">
        <f t="shared" si="289"/>
        <v>0</v>
      </c>
      <c r="T880" s="38">
        <f t="shared" si="289"/>
        <v>303</v>
      </c>
      <c r="U880" s="38">
        <f>SUM(E953)</f>
        <v>2644</v>
      </c>
      <c r="V880" s="38">
        <f>SUM(F953)</f>
        <v>68</v>
      </c>
      <c r="Z880">
        <f t="shared" si="266"/>
        <v>3015</v>
      </c>
      <c r="AC880" s="50"/>
      <c r="AD880" s="37"/>
      <c r="AE880" s="37"/>
      <c r="AF880" s="37"/>
      <c r="AG880" s="37"/>
      <c r="AH880" s="37"/>
      <c r="AI880" s="37"/>
      <c r="AJ880" s="37" t="s">
        <v>5684</v>
      </c>
      <c r="AK880">
        <f t="shared" si="287"/>
        <v>18399</v>
      </c>
      <c r="AL880">
        <f t="shared" si="287"/>
        <v>19497</v>
      </c>
      <c r="AM880">
        <f t="shared" si="287"/>
        <v>27734</v>
      </c>
      <c r="AN880">
        <f t="shared" si="288"/>
        <v>9230</v>
      </c>
      <c r="AO880">
        <f t="shared" si="288"/>
        <v>0</v>
      </c>
      <c r="AP880">
        <f t="shared" si="288"/>
        <v>0</v>
      </c>
      <c r="AQ880">
        <f t="shared" si="288"/>
        <v>0</v>
      </c>
      <c r="AR880">
        <f t="shared" si="288"/>
        <v>0</v>
      </c>
      <c r="AS880" s="58">
        <f t="shared" si="288"/>
        <v>74860</v>
      </c>
    </row>
    <row r="881" spans="1:45" x14ac:dyDescent="0.2">
      <c r="A881" t="s">
        <v>4298</v>
      </c>
      <c r="B881">
        <f>SUM(FishSumAllPRN!B881)</f>
        <v>1578</v>
      </c>
      <c r="C881">
        <f>SUM(FishSumAllPRN!C881)</f>
        <v>4474</v>
      </c>
      <c r="D881">
        <f>SUM(FishSumAllPRN!D881)</f>
        <v>3856</v>
      </c>
      <c r="E881">
        <f>SUM(FishSumAllPRN!E881)</f>
        <v>7645</v>
      </c>
      <c r="F881">
        <f>SUM(FishSumAllPRN!F881)</f>
        <v>0</v>
      </c>
      <c r="G881">
        <f>SUM(FishSumAllPRN!G881)</f>
        <v>17554</v>
      </c>
      <c r="H881" s="54" t="s">
        <v>294</v>
      </c>
      <c r="I881" s="54"/>
      <c r="K881" t="s">
        <v>5702</v>
      </c>
      <c r="R881" s="38">
        <f t="shared" si="289"/>
        <v>0</v>
      </c>
      <c r="S881" s="38">
        <f t="shared" si="289"/>
        <v>1573</v>
      </c>
      <c r="T881" s="38">
        <f t="shared" si="289"/>
        <v>3494</v>
      </c>
      <c r="U881" s="38">
        <f>SUM(E954)</f>
        <v>7755</v>
      </c>
      <c r="V881" s="38">
        <f>SUM(F954)</f>
        <v>0</v>
      </c>
      <c r="Z881">
        <f t="shared" si="266"/>
        <v>12822</v>
      </c>
      <c r="AC881" s="50"/>
      <c r="AD881" s="37"/>
      <c r="AE881" s="37"/>
      <c r="AF881" s="37"/>
      <c r="AG881" s="37"/>
      <c r="AH881" s="37"/>
      <c r="AI881" s="37"/>
      <c r="AJ881" s="37" t="s">
        <v>5686</v>
      </c>
      <c r="AK881">
        <f t="shared" si="287"/>
        <v>8864</v>
      </c>
      <c r="AL881">
        <f t="shared" si="287"/>
        <v>8663</v>
      </c>
      <c r="AM881">
        <f t="shared" si="287"/>
        <v>5163</v>
      </c>
      <c r="AN881">
        <f t="shared" si="288"/>
        <v>4252</v>
      </c>
      <c r="AO881">
        <f t="shared" si="288"/>
        <v>0</v>
      </c>
      <c r="AP881">
        <f t="shared" si="288"/>
        <v>0</v>
      </c>
      <c r="AQ881">
        <f t="shared" si="288"/>
        <v>0</v>
      </c>
      <c r="AR881">
        <f t="shared" si="288"/>
        <v>0</v>
      </c>
      <c r="AS881" s="58">
        <f t="shared" si="288"/>
        <v>26942</v>
      </c>
    </row>
    <row r="882" spans="1:45" x14ac:dyDescent="0.2">
      <c r="A882" t="s">
        <v>4299</v>
      </c>
      <c r="B882">
        <f>SUM(FishSumAllPRN!B882)</f>
        <v>898</v>
      </c>
      <c r="C882">
        <f>SUM(FishSumAllPRN!C882)</f>
        <v>3270</v>
      </c>
      <c r="D882">
        <f>SUM(FishSumAllPRN!D882)</f>
        <v>5646</v>
      </c>
      <c r="E882">
        <f>SUM(FishSumAllPRN!E882)</f>
        <v>6795</v>
      </c>
      <c r="F882">
        <f>SUM(FishSumAllPRN!F882)</f>
        <v>0</v>
      </c>
      <c r="G882">
        <f>SUM(FishSumAllPRN!G882)</f>
        <v>16610</v>
      </c>
      <c r="H882" s="54" t="s">
        <v>294</v>
      </c>
      <c r="I882" s="54"/>
      <c r="K882" t="s">
        <v>5703</v>
      </c>
      <c r="R882" s="38">
        <f>SUM(B999)</f>
        <v>0</v>
      </c>
      <c r="S882" s="38">
        <f>SUM(C999)</f>
        <v>0</v>
      </c>
      <c r="T882" s="38">
        <f>SUM(D999)</f>
        <v>2080</v>
      </c>
      <c r="U882" s="38">
        <f>SUM(E999)</f>
        <v>5079</v>
      </c>
      <c r="V882" s="38">
        <f>SUM(F999)</f>
        <v>843</v>
      </c>
      <c r="Z882">
        <f t="shared" si="266"/>
        <v>8002</v>
      </c>
      <c r="AC882" s="50"/>
      <c r="AD882" s="37"/>
      <c r="AE882" s="37"/>
      <c r="AF882" s="37"/>
      <c r="AG882" s="37"/>
      <c r="AH882" s="37"/>
      <c r="AI882" s="37"/>
      <c r="AJ882" s="37" t="s">
        <v>5688</v>
      </c>
      <c r="AK882">
        <f t="shared" si="287"/>
        <v>1345</v>
      </c>
      <c r="AL882">
        <f t="shared" si="287"/>
        <v>547</v>
      </c>
      <c r="AM882">
        <f t="shared" si="287"/>
        <v>470</v>
      </c>
      <c r="AN882">
        <f t="shared" si="288"/>
        <v>0</v>
      </c>
      <c r="AO882">
        <f t="shared" si="288"/>
        <v>0</v>
      </c>
      <c r="AP882">
        <f t="shared" si="288"/>
        <v>0</v>
      </c>
      <c r="AQ882">
        <f t="shared" si="288"/>
        <v>0</v>
      </c>
      <c r="AR882">
        <f t="shared" si="288"/>
        <v>0</v>
      </c>
      <c r="AS882" s="58">
        <f t="shared" si="288"/>
        <v>2362</v>
      </c>
    </row>
    <row r="883" spans="1:45" x14ac:dyDescent="0.2">
      <c r="A883" t="s">
        <v>4300</v>
      </c>
      <c r="B883">
        <f>SUM(FishSumAllPRN!B883)</f>
        <v>18</v>
      </c>
      <c r="C883">
        <f>SUM(FishSumAllPRN!C883)</f>
        <v>90</v>
      </c>
      <c r="D883">
        <f>SUM(FishSumAllPRN!D883)</f>
        <v>201</v>
      </c>
      <c r="E883">
        <f>SUM(FishSumAllPRN!E883)</f>
        <v>183</v>
      </c>
      <c r="F883">
        <f>SUM(FishSumAllPRN!F883)</f>
        <v>0</v>
      </c>
      <c r="G883">
        <f>SUM(FishSumAllPRN!G883)</f>
        <v>492</v>
      </c>
      <c r="H883" s="54" t="s">
        <v>294</v>
      </c>
      <c r="I883" s="54"/>
      <c r="K883" t="s">
        <v>5705</v>
      </c>
      <c r="R883" s="38">
        <f>SUM(B965,B976,B983)</f>
        <v>3840</v>
      </c>
      <c r="S883" s="38">
        <f>SUM(C965,C976,C983)</f>
        <v>4226</v>
      </c>
      <c r="T883" s="38">
        <f>SUM(D965,D976,D983)</f>
        <v>6898</v>
      </c>
      <c r="U883" s="38">
        <f>SUM(E965,E976,E983)</f>
        <v>15985</v>
      </c>
      <c r="V883" s="38">
        <f>SUM(F965,F976,F983)</f>
        <v>796</v>
      </c>
      <c r="Z883">
        <f t="shared" si="266"/>
        <v>31745</v>
      </c>
      <c r="AC883" s="50"/>
      <c r="AD883" s="37"/>
      <c r="AE883" s="37"/>
      <c r="AF883" s="37"/>
      <c r="AG883" s="37"/>
      <c r="AH883" s="37"/>
      <c r="AI883" s="37"/>
      <c r="AJ883" s="37" t="s">
        <v>5690</v>
      </c>
      <c r="AK883">
        <f>SUM(R874,R875)</f>
        <v>686</v>
      </c>
      <c r="AL883">
        <f>SUM(S874,S875)</f>
        <v>0</v>
      </c>
      <c r="AM883">
        <f>SUM(T874,T875)</f>
        <v>124</v>
      </c>
      <c r="AN883">
        <f>SUM(U874,U875)</f>
        <v>2</v>
      </c>
      <c r="AO883">
        <f>SUM(V874,V875)</f>
        <v>0</v>
      </c>
      <c r="AP883">
        <f>SUM(W874)</f>
        <v>0</v>
      </c>
      <c r="AQ883">
        <f>SUM(X874)</f>
        <v>0</v>
      </c>
      <c r="AR883">
        <f>SUM(Y874)</f>
        <v>0</v>
      </c>
      <c r="AS883" s="59">
        <f>SUM(Z874,Z875)</f>
        <v>812</v>
      </c>
    </row>
    <row r="884" spans="1:45" x14ac:dyDescent="0.2">
      <c r="A884" t="s">
        <v>4301</v>
      </c>
      <c r="B884">
        <f>SUM(FishSumAllPRN!B884)</f>
        <v>0</v>
      </c>
      <c r="C884">
        <f>SUM(FishSumAllPRN!C884)</f>
        <v>16136</v>
      </c>
      <c r="D884">
        <f>SUM(FishSumAllPRN!D884)</f>
        <v>37941</v>
      </c>
      <c r="E884">
        <f>SUM(FishSumAllPRN!E884)</f>
        <v>19802</v>
      </c>
      <c r="F884">
        <f>SUM(FishSumAllPRN!F884)</f>
        <v>0</v>
      </c>
      <c r="G884">
        <f>SUM(FishSumAllPRN!G884)</f>
        <v>73879</v>
      </c>
      <c r="H884" s="54" t="s">
        <v>294</v>
      </c>
      <c r="I884" s="54"/>
      <c r="K884" t="s">
        <v>5707</v>
      </c>
      <c r="R884" s="38">
        <f>SUM(B1018:B1020,B1034:B1035)</f>
        <v>2310</v>
      </c>
      <c r="S884" s="38">
        <f>SUM(C1018:C1020,C1034:C1035)</f>
        <v>51363</v>
      </c>
      <c r="T884" s="38">
        <f>SUM(D1018:D1020,D1034:D1035)</f>
        <v>87794</v>
      </c>
      <c r="U884" s="38">
        <f>SUM(E1018:E1020,E1034:E1035)</f>
        <v>3777</v>
      </c>
      <c r="V884" s="38">
        <f>SUM(F1018:F1020,F1034:F1035)</f>
        <v>0</v>
      </c>
      <c r="Z884">
        <f t="shared" si="266"/>
        <v>145244</v>
      </c>
      <c r="AC884" s="50"/>
      <c r="AD884" s="37"/>
      <c r="AE884" s="37"/>
      <c r="AF884" s="37"/>
      <c r="AG884" s="37"/>
      <c r="AH884" s="37"/>
      <c r="AI884" s="37"/>
      <c r="AJ884" s="37" t="s">
        <v>5692</v>
      </c>
      <c r="AK884">
        <f t="shared" ref="AK884:AS884" si="290">SUM(R876)</f>
        <v>610</v>
      </c>
      <c r="AL884">
        <f t="shared" si="290"/>
        <v>96</v>
      </c>
      <c r="AM884">
        <f t="shared" si="290"/>
        <v>46</v>
      </c>
      <c r="AN884">
        <f t="shared" si="290"/>
        <v>1</v>
      </c>
      <c r="AO884">
        <f t="shared" si="290"/>
        <v>0</v>
      </c>
      <c r="AP884">
        <f t="shared" si="290"/>
        <v>0</v>
      </c>
      <c r="AQ884">
        <f t="shared" si="290"/>
        <v>0</v>
      </c>
      <c r="AR884">
        <f t="shared" si="290"/>
        <v>0</v>
      </c>
      <c r="AS884" s="58">
        <f t="shared" si="290"/>
        <v>753</v>
      </c>
    </row>
    <row r="885" spans="1:45" x14ac:dyDescent="0.2">
      <c r="A885" t="s">
        <v>4302</v>
      </c>
      <c r="B885">
        <f>SUM(FishSumAllPRN!B885)</f>
        <v>172</v>
      </c>
      <c r="C885">
        <f>SUM(FishSumAllPRN!C885)</f>
        <v>1825</v>
      </c>
      <c r="D885">
        <f>SUM(FishSumAllPRN!D885)</f>
        <v>4875</v>
      </c>
      <c r="E885">
        <f>SUM(FishSumAllPRN!E885)</f>
        <v>1478</v>
      </c>
      <c r="F885">
        <f>SUM(FishSumAllPRN!F885)</f>
        <v>0</v>
      </c>
      <c r="G885">
        <f>SUM(FishSumAllPRN!G885)</f>
        <v>8351</v>
      </c>
      <c r="H885" s="54" t="s">
        <v>294</v>
      </c>
      <c r="I885" s="54"/>
      <c r="K885" t="s">
        <v>5708</v>
      </c>
      <c r="R885" s="38">
        <f t="shared" ref="R885:T886" si="291">SUM(B1021)</f>
        <v>46</v>
      </c>
      <c r="S885" s="38">
        <f t="shared" si="291"/>
        <v>4498</v>
      </c>
      <c r="T885" s="38">
        <f t="shared" si="291"/>
        <v>2160</v>
      </c>
      <c r="U885" s="38">
        <f>SUM(E1021)</f>
        <v>149</v>
      </c>
      <c r="V885" s="38">
        <f>SUM(F1021)</f>
        <v>0</v>
      </c>
      <c r="Z885">
        <f t="shared" si="266"/>
        <v>6853</v>
      </c>
      <c r="AC885" s="50"/>
      <c r="AD885" s="37"/>
      <c r="AE885" s="37"/>
      <c r="AF885" s="37"/>
      <c r="AG885" s="37"/>
      <c r="AH885" s="37"/>
      <c r="AI885" s="37"/>
      <c r="AJ885" s="37" t="s">
        <v>5694</v>
      </c>
      <c r="AK885" s="38">
        <f>SUM(R864)</f>
        <v>176</v>
      </c>
      <c r="AL885" s="38">
        <f>SUM(S864)</f>
        <v>140</v>
      </c>
      <c r="AM885" s="38">
        <f>SUM(T864)</f>
        <v>19</v>
      </c>
      <c r="AN885" s="38">
        <f>SUM(U864)</f>
        <v>12</v>
      </c>
      <c r="AO885" s="38">
        <f>SUM(V864)</f>
        <v>0</v>
      </c>
      <c r="AP885">
        <f>SUM(W877)</f>
        <v>0</v>
      </c>
      <c r="AQ885">
        <f>SUM(X877)</f>
        <v>0</v>
      </c>
      <c r="AR885">
        <f>SUM(Y877)</f>
        <v>0</v>
      </c>
      <c r="AS885" s="58">
        <f>SUM(Z864)</f>
        <v>347</v>
      </c>
    </row>
    <row r="886" spans="1:45" x14ac:dyDescent="0.2">
      <c r="A886" t="s">
        <v>4303</v>
      </c>
      <c r="B886">
        <f>SUM(FishSumAllPRN!B886)</f>
        <v>171</v>
      </c>
      <c r="C886">
        <f>SUM(FishSumAllPRN!C886)</f>
        <v>2376</v>
      </c>
      <c r="D886">
        <f>SUM(FishSumAllPRN!D886)</f>
        <v>9563</v>
      </c>
      <c r="E886">
        <f>SUM(FishSumAllPRN!E886)</f>
        <v>1875</v>
      </c>
      <c r="F886">
        <f>SUM(FishSumAllPRN!F886)</f>
        <v>0</v>
      </c>
      <c r="G886">
        <f>SUM(FishSumAllPRN!G886)</f>
        <v>13986</v>
      </c>
      <c r="H886" s="54" t="s">
        <v>294</v>
      </c>
      <c r="I886" s="54"/>
      <c r="K886" t="s">
        <v>5710</v>
      </c>
      <c r="R886" s="38">
        <f t="shared" si="291"/>
        <v>210</v>
      </c>
      <c r="S886" s="38">
        <f t="shared" si="291"/>
        <v>2394</v>
      </c>
      <c r="T886" s="38">
        <f t="shared" si="291"/>
        <v>847</v>
      </c>
      <c r="U886" s="38">
        <f>SUM(E1022)</f>
        <v>24</v>
      </c>
      <c r="V886" s="38">
        <f>SUM(F1022)</f>
        <v>0</v>
      </c>
      <c r="Z886">
        <f t="shared" si="266"/>
        <v>3475</v>
      </c>
      <c r="AC886" s="60" t="s">
        <v>5706</v>
      </c>
      <c r="AD886" s="1952"/>
      <c r="AE886" s="1952"/>
      <c r="AF886" s="1952"/>
      <c r="AG886" s="1952"/>
      <c r="AH886" s="1952"/>
      <c r="AI886" s="1952"/>
      <c r="AJ886" s="1952"/>
      <c r="AK886" s="1959">
        <f t="shared" ref="AK886:AS886" si="292">SUM(AK871:AK885)</f>
        <v>46466</v>
      </c>
      <c r="AL886" s="1959">
        <f t="shared" si="292"/>
        <v>47436</v>
      </c>
      <c r="AM886" s="1959">
        <f t="shared" si="292"/>
        <v>52012</v>
      </c>
      <c r="AN886" s="1959">
        <f t="shared" si="292"/>
        <v>18319</v>
      </c>
      <c r="AO886" s="1959">
        <f t="shared" si="292"/>
        <v>0</v>
      </c>
      <c r="AP886" s="1959">
        <f t="shared" si="292"/>
        <v>0</v>
      </c>
      <c r="AQ886" s="1959">
        <f t="shared" si="292"/>
        <v>0</v>
      </c>
      <c r="AR886" s="1959">
        <f t="shared" si="292"/>
        <v>0</v>
      </c>
      <c r="AS886" s="1954">
        <f t="shared" si="292"/>
        <v>164259</v>
      </c>
    </row>
    <row r="887" spans="1:45" x14ac:dyDescent="0.2">
      <c r="A887" t="s">
        <v>4304</v>
      </c>
      <c r="B887">
        <f>SUM(FishSumAllPRN!B887)</f>
        <v>190</v>
      </c>
      <c r="C887">
        <f>SUM(FishSumAllPRN!C887)</f>
        <v>685</v>
      </c>
      <c r="D887">
        <f>SUM(FishSumAllPRN!D887)</f>
        <v>2859</v>
      </c>
      <c r="E887">
        <f>SUM(FishSumAllPRN!E887)</f>
        <v>1539</v>
      </c>
      <c r="F887">
        <f>SUM(FishSumAllPRN!F887)</f>
        <v>0</v>
      </c>
      <c r="G887">
        <f>SUM(FishSumAllPRN!G887)</f>
        <v>5273</v>
      </c>
      <c r="H887" s="54" t="s">
        <v>294</v>
      </c>
      <c r="I887" s="54"/>
      <c r="K887" t="s">
        <v>5711</v>
      </c>
      <c r="R887" s="38">
        <f>SUM(B1037,B1027:B1028)</f>
        <v>842</v>
      </c>
      <c r="S887" s="38">
        <f>SUM(C1037,C1027:C1028)</f>
        <v>4651</v>
      </c>
      <c r="T887" s="38">
        <f>SUM(D1037,D1027:D1028)</f>
        <v>14059</v>
      </c>
      <c r="U887" s="38">
        <f>SUM(E1037,E1027:E1028)</f>
        <v>3885</v>
      </c>
      <c r="V887" s="38">
        <f>SUM(F1037,F1027:F1028)</f>
        <v>8</v>
      </c>
      <c r="Z887">
        <f t="shared" si="266"/>
        <v>23445</v>
      </c>
      <c r="AC887" s="50"/>
      <c r="AD887" s="37"/>
      <c r="AE887" s="37"/>
      <c r="AF887" s="37"/>
      <c r="AG887" s="37"/>
      <c r="AH887" s="37"/>
      <c r="AI887" s="37"/>
      <c r="AJ887" s="37"/>
      <c r="AS887" s="58"/>
    </row>
    <row r="888" spans="1:45" x14ac:dyDescent="0.2">
      <c r="A888" t="s">
        <v>4305</v>
      </c>
      <c r="B888">
        <f>SUM(FishSumAllPRN!B888)</f>
        <v>2754</v>
      </c>
      <c r="C888">
        <f>SUM(FishSumAllPRN!C888)</f>
        <v>7161</v>
      </c>
      <c r="D888">
        <f>SUM(FishSumAllPRN!D888)</f>
        <v>8720</v>
      </c>
      <c r="E888">
        <f>SUM(FishSumAllPRN!E888)</f>
        <v>3223</v>
      </c>
      <c r="F888">
        <f>SUM(FishSumAllPRN!F888)</f>
        <v>0</v>
      </c>
      <c r="G888">
        <f>SUM(FishSumAllPRN!G888)</f>
        <v>21857</v>
      </c>
      <c r="H888" s="54" t="s">
        <v>294</v>
      </c>
      <c r="I888" s="54"/>
      <c r="K888" t="s">
        <v>5712</v>
      </c>
      <c r="R888" s="365">
        <f>SUM(B1017)</f>
        <v>0</v>
      </c>
      <c r="S888" s="365">
        <f>SUM(C1017)</f>
        <v>0</v>
      </c>
      <c r="T888" s="365">
        <f>SUM(D1017)</f>
        <v>0</v>
      </c>
      <c r="U888" s="365">
        <f>SUM(E1017)</f>
        <v>0</v>
      </c>
      <c r="V888" s="365">
        <f>SUM(F1017)</f>
        <v>0</v>
      </c>
      <c r="Z888">
        <f t="shared" si="266"/>
        <v>0</v>
      </c>
      <c r="AC888" s="50" t="s">
        <v>5709</v>
      </c>
      <c r="AD888" s="37"/>
      <c r="AE888" s="37"/>
      <c r="AF888" s="37"/>
      <c r="AG888" s="37"/>
      <c r="AH888" s="37"/>
      <c r="AI888" s="37"/>
      <c r="AJ888" s="37"/>
      <c r="AS888" s="58"/>
    </row>
    <row r="889" spans="1:45" x14ac:dyDescent="0.2">
      <c r="A889" t="s">
        <v>4306</v>
      </c>
      <c r="B889">
        <f>SUM(FishSumAllPRN!B889)</f>
        <v>95</v>
      </c>
      <c r="C889">
        <f>SUM(FishSumAllPRN!C889)</f>
        <v>1375</v>
      </c>
      <c r="D889">
        <f>SUM(FishSumAllPRN!D889)</f>
        <v>366</v>
      </c>
      <c r="E889">
        <f>SUM(FishSumAllPRN!E889)</f>
        <v>405</v>
      </c>
      <c r="F889">
        <f>SUM(FishSumAllPRN!F889)</f>
        <v>0</v>
      </c>
      <c r="G889">
        <f>SUM(FishSumAllPRN!G889)</f>
        <v>2241</v>
      </c>
      <c r="H889" s="54" t="s">
        <v>294</v>
      </c>
      <c r="I889" s="54"/>
      <c r="K889" t="s">
        <v>5713</v>
      </c>
      <c r="R889" s="38">
        <f>SUM(B1023)</f>
        <v>0</v>
      </c>
      <c r="S889" s="38">
        <f>SUM(C1023)</f>
        <v>0</v>
      </c>
      <c r="T889" s="38">
        <f>SUM(D1023)</f>
        <v>0</v>
      </c>
      <c r="U889" s="38">
        <f>SUM(E1023)</f>
        <v>0</v>
      </c>
      <c r="V889" s="38">
        <f>SUM(F1023)</f>
        <v>0</v>
      </c>
      <c r="Z889">
        <f t="shared" si="266"/>
        <v>0</v>
      </c>
      <c r="AC889" s="50" t="s">
        <v>5644</v>
      </c>
      <c r="AD889" s="37"/>
      <c r="AE889" s="37"/>
      <c r="AF889" s="37"/>
      <c r="AG889" s="37"/>
      <c r="AH889" s="37"/>
      <c r="AI889" s="37"/>
      <c r="AJ889" s="37" t="s">
        <v>30</v>
      </c>
      <c r="AK889">
        <f t="shared" ref="AK889:AS889" si="293">SUM(R877)</f>
        <v>0</v>
      </c>
      <c r="AL889">
        <f t="shared" si="293"/>
        <v>0</v>
      </c>
      <c r="AM889">
        <f t="shared" si="293"/>
        <v>229</v>
      </c>
      <c r="AN889">
        <f t="shared" si="293"/>
        <v>181</v>
      </c>
      <c r="AO889">
        <f t="shared" si="293"/>
        <v>1</v>
      </c>
      <c r="AP889">
        <f t="shared" si="293"/>
        <v>0</v>
      </c>
      <c r="AQ889">
        <f t="shared" si="293"/>
        <v>0</v>
      </c>
      <c r="AR889">
        <f t="shared" si="293"/>
        <v>0</v>
      </c>
      <c r="AS889" s="58">
        <f t="shared" si="293"/>
        <v>411</v>
      </c>
    </row>
    <row r="890" spans="1:45" x14ac:dyDescent="0.2">
      <c r="A890" t="s">
        <v>4307</v>
      </c>
      <c r="B890">
        <f>SUM(FishSumAllPRN!B890)</f>
        <v>589</v>
      </c>
      <c r="C890">
        <f>SUM(FishSumAllPRN!C890)</f>
        <v>6229</v>
      </c>
      <c r="D890">
        <f>SUM(FishSumAllPRN!D890)</f>
        <v>24674</v>
      </c>
      <c r="E890">
        <f>SUM(FishSumAllPRN!E890)</f>
        <v>9408</v>
      </c>
      <c r="F890">
        <f>SUM(FishSumAllPRN!F890)</f>
        <v>2</v>
      </c>
      <c r="G890">
        <f>SUM(FishSumAllPRN!G890)</f>
        <v>40902</v>
      </c>
      <c r="H890" s="54" t="s">
        <v>294</v>
      </c>
      <c r="I890" s="54"/>
      <c r="K890" t="s">
        <v>5714</v>
      </c>
      <c r="R890">
        <v>0</v>
      </c>
      <c r="S890">
        <v>0</v>
      </c>
      <c r="T890">
        <v>0</v>
      </c>
      <c r="U890">
        <v>0</v>
      </c>
      <c r="V890">
        <v>0</v>
      </c>
      <c r="Z890">
        <f t="shared" si="266"/>
        <v>0</v>
      </c>
      <c r="AC890" s="50"/>
      <c r="AD890" s="37"/>
      <c r="AE890" s="37"/>
      <c r="AF890" s="37"/>
      <c r="AG890" s="37"/>
      <c r="AH890" s="37"/>
      <c r="AI890" s="37"/>
      <c r="AJ890" s="37"/>
      <c r="AS890" s="58"/>
    </row>
    <row r="891" spans="1:45" x14ac:dyDescent="0.2">
      <c r="A891" t="s">
        <v>4308</v>
      </c>
      <c r="B891">
        <f>SUM(FishSumAllPRN!B891)</f>
        <v>0</v>
      </c>
      <c r="C891">
        <f>SUM(FishSumAllPRN!C891)</f>
        <v>0</v>
      </c>
      <c r="D891">
        <f>SUM(FishSumAllPRN!D891)</f>
        <v>229</v>
      </c>
      <c r="E891">
        <f>SUM(FishSumAllPRN!E891)</f>
        <v>181</v>
      </c>
      <c r="F891">
        <f>SUM(FishSumAllPRN!F891)</f>
        <v>1</v>
      </c>
      <c r="G891">
        <f>SUM(FishSumAllPRN!G891)</f>
        <v>410</v>
      </c>
      <c r="H891" s="54" t="s">
        <v>294</v>
      </c>
      <c r="I891" s="54"/>
      <c r="K891" t="s">
        <v>5715</v>
      </c>
      <c r="R891" s="38">
        <f>SUM(B1024)</f>
        <v>0</v>
      </c>
      <c r="S891" s="38">
        <f>SUM(C1024)</f>
        <v>0</v>
      </c>
      <c r="T891" s="38">
        <f>SUM(D1024)</f>
        <v>0</v>
      </c>
      <c r="U891" s="38">
        <f>SUM(E1024)</f>
        <v>0</v>
      </c>
      <c r="V891" s="38">
        <f>SUM(F1024)</f>
        <v>0</v>
      </c>
      <c r="Z891">
        <f t="shared" si="266"/>
        <v>0</v>
      </c>
      <c r="AC891" s="50" t="s">
        <v>5663</v>
      </c>
      <c r="AD891" s="37"/>
      <c r="AE891" s="37"/>
      <c r="AF891" s="37"/>
      <c r="AG891" s="37"/>
      <c r="AH891" s="37"/>
      <c r="AI891" s="37"/>
      <c r="AJ891" s="37" t="s">
        <v>149</v>
      </c>
      <c r="AK891" s="38">
        <f t="shared" ref="AK891:AM892" si="294">SUM(B938)</f>
        <v>27</v>
      </c>
      <c r="AL891" s="38">
        <f t="shared" si="294"/>
        <v>521</v>
      </c>
      <c r="AM891" s="38">
        <f t="shared" si="294"/>
        <v>3514</v>
      </c>
      <c r="AN891" s="38">
        <f t="shared" ref="AN891:AQ892" si="295">SUM(E938)</f>
        <v>18970</v>
      </c>
      <c r="AO891" s="38">
        <f t="shared" si="295"/>
        <v>0</v>
      </c>
      <c r="AP891" s="38">
        <f t="shared" si="295"/>
        <v>23032</v>
      </c>
      <c r="AQ891" s="38">
        <f t="shared" si="295"/>
        <v>0</v>
      </c>
      <c r="AR891" s="38">
        <f>SUM(J954)</f>
        <v>0</v>
      </c>
      <c r="AS891" s="59">
        <f t="shared" ref="AS891:AS900" si="296">SUM(AK891:AO891)</f>
        <v>23032</v>
      </c>
    </row>
    <row r="892" spans="1:45" x14ac:dyDescent="0.2">
      <c r="A892" t="s">
        <v>4309</v>
      </c>
      <c r="B892">
        <f>SUM(FishSumAllPRN!B892)</f>
        <v>0</v>
      </c>
      <c r="C892">
        <f>SUM(FishSumAllPRN!C892)</f>
        <v>0</v>
      </c>
      <c r="D892">
        <f>SUM(FishSumAllPRN!D892)</f>
        <v>0</v>
      </c>
      <c r="E892">
        <f>SUM(FishSumAllPRN!E892)</f>
        <v>0</v>
      </c>
      <c r="F892">
        <f>SUM(FishSumAllPRN!F892)</f>
        <v>807</v>
      </c>
      <c r="G892">
        <f>SUM(FishSumAllPRN!G892)</f>
        <v>807</v>
      </c>
      <c r="H892" s="54" t="s">
        <v>294</v>
      </c>
      <c r="I892" s="54"/>
      <c r="K892" t="s">
        <v>5716</v>
      </c>
      <c r="R892" s="365">
        <f>SUM(B1033)</f>
        <v>73</v>
      </c>
      <c r="S892" s="365">
        <f>SUM(C1033)</f>
        <v>2820</v>
      </c>
      <c r="T892" s="365">
        <f>SUM(D1033)</f>
        <v>1992</v>
      </c>
      <c r="U892" s="365">
        <f>SUM(E1033)</f>
        <v>0</v>
      </c>
      <c r="V892" s="365">
        <f>SUM(F1033)</f>
        <v>0</v>
      </c>
      <c r="Z892">
        <f t="shared" si="266"/>
        <v>4885</v>
      </c>
      <c r="AC892" s="50"/>
      <c r="AD892" s="37"/>
      <c r="AE892" s="37"/>
      <c r="AF892" s="37"/>
      <c r="AG892" s="37"/>
      <c r="AH892" s="37"/>
      <c r="AI892" s="37"/>
      <c r="AJ892" s="37" t="s">
        <v>151</v>
      </c>
      <c r="AK892" s="38">
        <f t="shared" si="294"/>
        <v>0</v>
      </c>
      <c r="AL892" s="38">
        <f t="shared" si="294"/>
        <v>53</v>
      </c>
      <c r="AM892" s="38">
        <f t="shared" si="294"/>
        <v>866</v>
      </c>
      <c r="AN892" s="38">
        <f t="shared" si="295"/>
        <v>7454</v>
      </c>
      <c r="AO892" s="38">
        <f t="shared" si="295"/>
        <v>0</v>
      </c>
      <c r="AP892" s="38">
        <f t="shared" si="295"/>
        <v>8373</v>
      </c>
      <c r="AQ892" s="38">
        <f t="shared" si="295"/>
        <v>0</v>
      </c>
      <c r="AR892" s="38">
        <f>SUM(J955)</f>
        <v>0</v>
      </c>
      <c r="AS892" s="59">
        <f t="shared" si="296"/>
        <v>8373</v>
      </c>
    </row>
    <row r="893" spans="1:45" x14ac:dyDescent="0.2">
      <c r="A893" t="s">
        <v>4310</v>
      </c>
      <c r="B893">
        <f>SUM(FishSumAllPRN!B893)</f>
        <v>0</v>
      </c>
      <c r="C893">
        <f>SUM(FishSumAllPRN!C893)</f>
        <v>0</v>
      </c>
      <c r="D893">
        <f>SUM(FishSumAllPRN!D893)</f>
        <v>0</v>
      </c>
      <c r="E893">
        <f>SUM(FishSumAllPRN!E893)</f>
        <v>0</v>
      </c>
      <c r="F893">
        <f>SUM(FishSumAllPRN!F893)</f>
        <v>4356</v>
      </c>
      <c r="G893">
        <f>SUM(FishSumAllPRN!G893)</f>
        <v>4356</v>
      </c>
      <c r="H893" s="54" t="s">
        <v>294</v>
      </c>
      <c r="I893" s="54"/>
      <c r="K893" t="s">
        <v>5717</v>
      </c>
      <c r="R893" s="177">
        <f>SUM(B1016,B1038:B1039,B1036)</f>
        <v>4719</v>
      </c>
      <c r="S893" s="177">
        <f>SUM(C1016,C1038:C1039,C1036)</f>
        <v>6530</v>
      </c>
      <c r="T893" s="177">
        <f>SUM(D1016,D1038:D1039,D1036)</f>
        <v>8965</v>
      </c>
      <c r="U893" s="177">
        <f>SUM(E1016,E1038:E1039,E1036)</f>
        <v>8180</v>
      </c>
      <c r="V893" s="177">
        <f>SUM(F1016,F1038:F1039,F1036)</f>
        <v>1484</v>
      </c>
      <c r="Z893">
        <f t="shared" si="266"/>
        <v>29878</v>
      </c>
      <c r="AC893" s="50"/>
      <c r="AD893" s="37"/>
      <c r="AE893" s="37"/>
      <c r="AF893" s="37"/>
      <c r="AG893" s="37"/>
      <c r="AH893" s="37"/>
      <c r="AI893" s="37"/>
      <c r="AJ893" s="37" t="s">
        <v>153</v>
      </c>
      <c r="AK893">
        <f t="shared" ref="AK893:AR893" si="297">SUM(R879)</f>
        <v>0</v>
      </c>
      <c r="AL893">
        <f t="shared" si="297"/>
        <v>106</v>
      </c>
      <c r="AM893">
        <f t="shared" si="297"/>
        <v>590</v>
      </c>
      <c r="AN893">
        <f t="shared" si="297"/>
        <v>5024</v>
      </c>
      <c r="AO893">
        <f t="shared" si="297"/>
        <v>0</v>
      </c>
      <c r="AP893">
        <f t="shared" si="297"/>
        <v>0</v>
      </c>
      <c r="AQ893">
        <f t="shared" si="297"/>
        <v>0</v>
      </c>
      <c r="AR893">
        <f t="shared" si="297"/>
        <v>0</v>
      </c>
      <c r="AS893" s="59">
        <f t="shared" si="296"/>
        <v>5720</v>
      </c>
    </row>
    <row r="894" spans="1:45" x14ac:dyDescent="0.2">
      <c r="A894" t="s">
        <v>4311</v>
      </c>
      <c r="B894">
        <f>SUM(FishSumAllPRN!B894)</f>
        <v>0</v>
      </c>
      <c r="C894">
        <f>SUM(FishSumAllPRN!C894)</f>
        <v>0</v>
      </c>
      <c r="D894">
        <f>SUM(FishSumAllPRN!D894)</f>
        <v>0</v>
      </c>
      <c r="E894">
        <f>SUM(FishSumAllPRN!E894)</f>
        <v>22066</v>
      </c>
      <c r="F894">
        <f>SUM(FishSumAllPRN!F894)</f>
        <v>11485</v>
      </c>
      <c r="G894">
        <f>SUM(FishSumAllPRN!G894)</f>
        <v>33551</v>
      </c>
      <c r="H894" s="54" t="s">
        <v>294</v>
      </c>
      <c r="I894" s="54"/>
      <c r="K894" t="s">
        <v>5718</v>
      </c>
      <c r="R894" s="38">
        <f t="shared" ref="R894:T895" si="298">SUM(B934)</f>
        <v>0</v>
      </c>
      <c r="S894" s="38">
        <f t="shared" si="298"/>
        <v>0</v>
      </c>
      <c r="T894" s="38">
        <f t="shared" si="298"/>
        <v>221</v>
      </c>
      <c r="U894" s="38">
        <f>SUM(E934)</f>
        <v>2345</v>
      </c>
      <c r="V894" s="38">
        <f>SUM(F934)</f>
        <v>4998</v>
      </c>
      <c r="Z894">
        <f t="shared" si="266"/>
        <v>7564</v>
      </c>
      <c r="AC894" s="50"/>
      <c r="AD894" s="37"/>
      <c r="AE894" s="37"/>
      <c r="AF894" s="37"/>
      <c r="AG894" s="37"/>
      <c r="AH894" s="37"/>
      <c r="AI894" s="37"/>
      <c r="AJ894" s="37" t="s">
        <v>155</v>
      </c>
      <c r="AK894">
        <f>SUM(B953)</f>
        <v>0</v>
      </c>
      <c r="AL894">
        <f>SUM(C953)</f>
        <v>0</v>
      </c>
      <c r="AM894">
        <f>SUM(D953)</f>
        <v>303</v>
      </c>
      <c r="AN894">
        <f>SUM(E953)</f>
        <v>2644</v>
      </c>
      <c r="AO894">
        <f>SUM(F953)</f>
        <v>68</v>
      </c>
      <c r="AS894" s="59">
        <f t="shared" si="296"/>
        <v>3015</v>
      </c>
    </row>
    <row r="895" spans="1:45" x14ac:dyDescent="0.2">
      <c r="A895" t="s">
        <v>4312</v>
      </c>
      <c r="B895">
        <f>SUM(FishSumAllPRN!B895)</f>
        <v>0</v>
      </c>
      <c r="C895">
        <f>SUM(FishSumAllPRN!C895)</f>
        <v>0</v>
      </c>
      <c r="D895">
        <f>SUM(FishSumAllPRN!D895)</f>
        <v>0</v>
      </c>
      <c r="E895">
        <f>SUM(FishSumAllPRN!E895)</f>
        <v>3697</v>
      </c>
      <c r="F895">
        <f>SUM(FishSumAllPRN!F895)</f>
        <v>1430</v>
      </c>
      <c r="G895">
        <f>SUM(FishSumAllPRN!G895)</f>
        <v>5127</v>
      </c>
      <c r="H895" s="54" t="s">
        <v>294</v>
      </c>
      <c r="I895" s="54"/>
      <c r="K895" t="s">
        <v>5719</v>
      </c>
      <c r="R895" s="38">
        <f t="shared" si="298"/>
        <v>0</v>
      </c>
      <c r="S895" s="38">
        <f t="shared" si="298"/>
        <v>0</v>
      </c>
      <c r="T895" s="38">
        <f t="shared" si="298"/>
        <v>426</v>
      </c>
      <c r="U895" s="38">
        <f>SUM(E935)</f>
        <v>1591</v>
      </c>
      <c r="V895" s="38">
        <f>SUM(F935)</f>
        <v>4818</v>
      </c>
      <c r="Z895">
        <f t="shared" si="266"/>
        <v>6835</v>
      </c>
      <c r="AC895" s="50"/>
      <c r="AD895" s="37"/>
      <c r="AE895" s="37"/>
      <c r="AF895" s="37"/>
      <c r="AG895" s="37"/>
      <c r="AH895" s="37"/>
      <c r="AI895" s="37"/>
      <c r="AJ895" s="37" t="s">
        <v>157</v>
      </c>
      <c r="AK895">
        <f>SUM(B962)</f>
        <v>0</v>
      </c>
      <c r="AL895">
        <f>SUM(C962)</f>
        <v>0</v>
      </c>
      <c r="AM895">
        <f>SUM(D962)</f>
        <v>305</v>
      </c>
      <c r="AN895">
        <f>SUM(E962)</f>
        <v>4376</v>
      </c>
      <c r="AO895">
        <f>SUM(F962)</f>
        <v>0</v>
      </c>
      <c r="AP895">
        <f>SUM(W880,W881,W882,W883)</f>
        <v>0</v>
      </c>
      <c r="AQ895">
        <f>SUM(X880,X881,X882,X883)</f>
        <v>0</v>
      </c>
      <c r="AR895">
        <f>SUM(Y880,Y881,Y882,Y883)</f>
        <v>0</v>
      </c>
      <c r="AS895" s="59">
        <f t="shared" si="296"/>
        <v>4681</v>
      </c>
    </row>
    <row r="896" spans="1:45" x14ac:dyDescent="0.2">
      <c r="A896" t="s">
        <v>4313</v>
      </c>
      <c r="B896">
        <f>SUM(FishSumAllPRN!B896)</f>
        <v>0</v>
      </c>
      <c r="C896">
        <f>SUM(FishSumAllPRN!C896)</f>
        <v>0</v>
      </c>
      <c r="D896">
        <f>SUM(FishSumAllPRN!D896)</f>
        <v>0</v>
      </c>
      <c r="E896">
        <f>SUM(FishSumAllPRN!E896)</f>
        <v>0</v>
      </c>
      <c r="F896">
        <f>SUM(FishSumAllPRN!F896)</f>
        <v>81</v>
      </c>
      <c r="G896">
        <f>SUM(FishSumAllPRN!G896)</f>
        <v>81</v>
      </c>
      <c r="H896" s="54" t="s">
        <v>294</v>
      </c>
      <c r="I896" s="54"/>
      <c r="K896" t="s">
        <v>5720</v>
      </c>
      <c r="R896" s="38">
        <f t="shared" ref="R896:T897" si="299">SUM(B943)</f>
        <v>0</v>
      </c>
      <c r="S896" s="38">
        <f t="shared" si="299"/>
        <v>0</v>
      </c>
      <c r="T896" s="38">
        <f t="shared" si="299"/>
        <v>0</v>
      </c>
      <c r="U896" s="38">
        <f>SUM(E943)</f>
        <v>2872</v>
      </c>
      <c r="V896" s="38">
        <f>SUM(F943)</f>
        <v>40</v>
      </c>
      <c r="Z896">
        <f t="shared" si="266"/>
        <v>2912</v>
      </c>
      <c r="AC896" s="50"/>
      <c r="AD896" s="37"/>
      <c r="AE896" s="37"/>
      <c r="AF896" s="37"/>
      <c r="AG896" s="37"/>
      <c r="AH896" s="37"/>
      <c r="AI896" s="37"/>
      <c r="AJ896" s="37" t="s">
        <v>159</v>
      </c>
      <c r="AK896" s="38">
        <f>SUM(R881)</f>
        <v>0</v>
      </c>
      <c r="AL896" s="38">
        <f>SUM(S881)</f>
        <v>1573</v>
      </c>
      <c r="AM896" s="38">
        <f>SUM(T881)</f>
        <v>3494</v>
      </c>
      <c r="AN896" s="38">
        <f>SUM(U881)</f>
        <v>7755</v>
      </c>
      <c r="AO896" s="38">
        <f>SUM(V881)</f>
        <v>0</v>
      </c>
      <c r="AS896" s="59">
        <f t="shared" si="296"/>
        <v>12822</v>
      </c>
    </row>
    <row r="897" spans="1:45" x14ac:dyDescent="0.2">
      <c r="A897" t="s">
        <v>4314</v>
      </c>
      <c r="B897">
        <f>SUM(FishSumAllPRN!B897)</f>
        <v>0</v>
      </c>
      <c r="C897">
        <f>SUM(FishSumAllPRN!C897)</f>
        <v>0</v>
      </c>
      <c r="D897">
        <f>SUM(FishSumAllPRN!D897)</f>
        <v>0</v>
      </c>
      <c r="E897">
        <f>SUM(FishSumAllPRN!E897)</f>
        <v>0</v>
      </c>
      <c r="F897">
        <f>SUM(FishSumAllPRN!F897)</f>
        <v>6397</v>
      </c>
      <c r="G897">
        <f>SUM(FishSumAllPRN!G897)</f>
        <v>6397</v>
      </c>
      <c r="H897" s="54" t="s">
        <v>294</v>
      </c>
      <c r="I897" s="54"/>
      <c r="K897" t="s">
        <v>5721</v>
      </c>
      <c r="R897" s="38">
        <f t="shared" si="299"/>
        <v>0</v>
      </c>
      <c r="S897" s="38">
        <f t="shared" si="299"/>
        <v>0</v>
      </c>
      <c r="T897" s="38">
        <f t="shared" si="299"/>
        <v>0</v>
      </c>
      <c r="U897" s="38">
        <f>SUM(E944)</f>
        <v>23698</v>
      </c>
      <c r="V897" s="38">
        <f>SUM(F944)</f>
        <v>1167</v>
      </c>
      <c r="Z897">
        <f t="shared" si="266"/>
        <v>24865</v>
      </c>
      <c r="AC897" s="50"/>
      <c r="AD897" s="37"/>
      <c r="AE897" s="37"/>
      <c r="AF897" s="37"/>
      <c r="AG897" s="37"/>
      <c r="AH897" s="37"/>
      <c r="AI897" s="37"/>
      <c r="AJ897" s="37" t="s">
        <v>161</v>
      </c>
      <c r="AK897">
        <f>SUM(B965)</f>
        <v>3423</v>
      </c>
      <c r="AL897">
        <f>SUM(C965)</f>
        <v>3841</v>
      </c>
      <c r="AM897">
        <f>SUM(D965)</f>
        <v>5606</v>
      </c>
      <c r="AN897">
        <f>SUM(E965)</f>
        <v>12429</v>
      </c>
      <c r="AO897">
        <f>SUM(F965)</f>
        <v>595</v>
      </c>
      <c r="AS897" s="59">
        <f t="shared" si="296"/>
        <v>25894</v>
      </c>
    </row>
    <row r="898" spans="1:45" x14ac:dyDescent="0.2">
      <c r="A898" t="s">
        <v>4315</v>
      </c>
      <c r="B898">
        <f>SUM(FishSumAllPRN!B898)</f>
        <v>0</v>
      </c>
      <c r="C898">
        <f>SUM(FishSumAllPRN!C898)</f>
        <v>0</v>
      </c>
      <c r="D898">
        <f>SUM(FishSumAllPRN!D898)</f>
        <v>0</v>
      </c>
      <c r="E898">
        <f>SUM(FishSumAllPRN!E898)</f>
        <v>0</v>
      </c>
      <c r="F898">
        <f>SUM(FishSumAllPRN!F898)</f>
        <v>4284</v>
      </c>
      <c r="G898">
        <f>SUM(FishSumAllPRN!G898)</f>
        <v>4284</v>
      </c>
      <c r="H898" s="54" t="s">
        <v>294</v>
      </c>
      <c r="I898" s="54"/>
      <c r="K898" t="s">
        <v>5722</v>
      </c>
      <c r="R898" s="38">
        <f t="shared" ref="R898:T899" si="300">SUM(B927)</f>
        <v>0</v>
      </c>
      <c r="S898" s="38">
        <f t="shared" si="300"/>
        <v>0</v>
      </c>
      <c r="T898" s="38">
        <f t="shared" si="300"/>
        <v>0</v>
      </c>
      <c r="U898" s="38">
        <f>SUM(E927)</f>
        <v>0</v>
      </c>
      <c r="V898" s="38">
        <f>SUM(F927)</f>
        <v>0</v>
      </c>
      <c r="Z898">
        <f t="shared" si="266"/>
        <v>0</v>
      </c>
      <c r="AC898" s="50"/>
      <c r="AD898" s="37"/>
      <c r="AE898" s="37"/>
      <c r="AF898" s="37"/>
      <c r="AG898" s="37"/>
      <c r="AH898" s="37"/>
      <c r="AI898" s="37"/>
      <c r="AJ898" s="37" t="s">
        <v>163</v>
      </c>
      <c r="AK898">
        <f>SUM(B976)</f>
        <v>7</v>
      </c>
      <c r="AL898">
        <f>SUM(C976)</f>
        <v>354</v>
      </c>
      <c r="AM898">
        <f>SUM(D976)</f>
        <v>1221</v>
      </c>
      <c r="AN898">
        <f>SUM(E976)</f>
        <v>3108</v>
      </c>
      <c r="AO898">
        <f>SUM(F976)</f>
        <v>102</v>
      </c>
      <c r="AS898" s="59">
        <f t="shared" si="296"/>
        <v>4792</v>
      </c>
    </row>
    <row r="899" spans="1:45" x14ac:dyDescent="0.2">
      <c r="A899" t="s">
        <v>4316</v>
      </c>
      <c r="B899">
        <f>SUM(FishSumAllPRN!B899)</f>
        <v>0</v>
      </c>
      <c r="C899">
        <f>SUM(FishSumAllPRN!C899)</f>
        <v>0</v>
      </c>
      <c r="D899">
        <f>SUM(FishSumAllPRN!D899)</f>
        <v>0</v>
      </c>
      <c r="E899">
        <f>SUM(FishSumAllPRN!E899)</f>
        <v>4532</v>
      </c>
      <c r="F899">
        <f>SUM(FishSumAllPRN!F899)</f>
        <v>23303</v>
      </c>
      <c r="G899">
        <f>SUM(FishSumAllPRN!G899)</f>
        <v>27835</v>
      </c>
      <c r="H899" s="54" t="s">
        <v>294</v>
      </c>
      <c r="I899" s="54"/>
      <c r="K899" t="s">
        <v>5723</v>
      </c>
      <c r="R899" s="38">
        <f t="shared" si="300"/>
        <v>0</v>
      </c>
      <c r="S899" s="38">
        <f t="shared" si="300"/>
        <v>35</v>
      </c>
      <c r="T899" s="38">
        <f t="shared" si="300"/>
        <v>367</v>
      </c>
      <c r="U899" s="38">
        <f>SUM(E928)</f>
        <v>213</v>
      </c>
      <c r="V899" s="38">
        <f>SUM(F928)</f>
        <v>2269</v>
      </c>
      <c r="Z899">
        <f t="shared" si="266"/>
        <v>2884</v>
      </c>
      <c r="AC899" s="50"/>
      <c r="AD899" s="37"/>
      <c r="AE899" s="37"/>
      <c r="AF899" s="37"/>
      <c r="AG899" s="37"/>
      <c r="AH899" s="37"/>
      <c r="AI899" s="37"/>
      <c r="AJ899" s="37" t="s">
        <v>165</v>
      </c>
      <c r="AK899">
        <f>SUM(B983)</f>
        <v>410</v>
      </c>
      <c r="AL899">
        <f>SUM(C983)</f>
        <v>31</v>
      </c>
      <c r="AM899">
        <f>SUM(D983)</f>
        <v>71</v>
      </c>
      <c r="AN899">
        <f>SUM(E983)</f>
        <v>448</v>
      </c>
      <c r="AO899">
        <f>SUM(F983)</f>
        <v>99</v>
      </c>
      <c r="AS899" s="59">
        <f t="shared" si="296"/>
        <v>1059</v>
      </c>
    </row>
    <row r="900" spans="1:45" x14ac:dyDescent="0.2">
      <c r="A900" t="s">
        <v>4317</v>
      </c>
      <c r="B900">
        <f>SUM(FishSumAllPRN!B900)</f>
        <v>0</v>
      </c>
      <c r="C900">
        <f>SUM(FishSumAllPRN!C900)</f>
        <v>0</v>
      </c>
      <c r="D900">
        <f>SUM(FishSumAllPRN!D900)</f>
        <v>0</v>
      </c>
      <c r="E900">
        <f>SUM(FishSumAllPRN!E900)</f>
        <v>0</v>
      </c>
      <c r="F900">
        <f>SUM(FishSumAllPRN!F900)</f>
        <v>0</v>
      </c>
      <c r="G900">
        <f>SUM(FishSumAllPRN!G900)</f>
        <v>0</v>
      </c>
      <c r="H900" s="54" t="s">
        <v>294</v>
      </c>
      <c r="I900" s="54"/>
      <c r="K900" t="s">
        <v>5726</v>
      </c>
      <c r="R900" s="38">
        <f t="shared" ref="R900:T901" si="301">SUM(B948)</f>
        <v>0</v>
      </c>
      <c r="S900" s="38">
        <f t="shared" si="301"/>
        <v>0</v>
      </c>
      <c r="T900" s="38">
        <f t="shared" si="301"/>
        <v>0</v>
      </c>
      <c r="U900" s="38">
        <f>SUM(E948)</f>
        <v>0</v>
      </c>
      <c r="V900" s="38">
        <f>SUM(F948)</f>
        <v>0</v>
      </c>
      <c r="Z900">
        <f t="shared" si="266"/>
        <v>0</v>
      </c>
      <c r="AC900" s="50"/>
      <c r="AD900" s="37"/>
      <c r="AE900" s="37"/>
      <c r="AF900" s="37"/>
      <c r="AG900" s="37"/>
      <c r="AH900" s="37"/>
      <c r="AI900" s="37"/>
      <c r="AJ900" s="37" t="s">
        <v>167</v>
      </c>
      <c r="AK900">
        <f>SUM(B999)</f>
        <v>0</v>
      </c>
      <c r="AL900">
        <f>SUM(C999)</f>
        <v>0</v>
      </c>
      <c r="AM900">
        <f>SUM(D999)</f>
        <v>2080</v>
      </c>
      <c r="AN900">
        <f>SUM(E999)</f>
        <v>5079</v>
      </c>
      <c r="AO900">
        <f>SUM(F999)</f>
        <v>843</v>
      </c>
      <c r="AS900" s="59">
        <f t="shared" si="296"/>
        <v>8002</v>
      </c>
    </row>
    <row r="901" spans="1:45" x14ac:dyDescent="0.2">
      <c r="A901" t="s">
        <v>4318</v>
      </c>
      <c r="B901">
        <f>SUM(FishSumAllPRN!B901)</f>
        <v>0</v>
      </c>
      <c r="C901">
        <f>SUM(FishSumAllPRN!C901)</f>
        <v>0</v>
      </c>
      <c r="D901">
        <f>SUM(FishSumAllPRN!D901)</f>
        <v>0</v>
      </c>
      <c r="E901">
        <f>SUM(FishSumAllPRN!E901)</f>
        <v>0</v>
      </c>
      <c r="F901">
        <f>SUM(FishSumAllPRN!F901)</f>
        <v>17185</v>
      </c>
      <c r="G901">
        <f>SUM(FishSumAllPRN!G901)</f>
        <v>17185</v>
      </c>
      <c r="H901" s="54" t="s">
        <v>294</v>
      </c>
      <c r="I901" s="54"/>
      <c r="K901" t="s">
        <v>5728</v>
      </c>
      <c r="R901" s="38">
        <f t="shared" si="301"/>
        <v>0</v>
      </c>
      <c r="S901" s="38">
        <f t="shared" si="301"/>
        <v>0</v>
      </c>
      <c r="T901" s="38">
        <f t="shared" si="301"/>
        <v>0</v>
      </c>
      <c r="U901" s="38">
        <f>SUM(E949)</f>
        <v>442</v>
      </c>
      <c r="V901" s="38">
        <f>SUM(F949)</f>
        <v>205</v>
      </c>
      <c r="Z901">
        <f t="shared" si="266"/>
        <v>647</v>
      </c>
      <c r="AC901" s="50"/>
      <c r="AD901" s="37"/>
      <c r="AE901" s="37"/>
      <c r="AF901" s="37"/>
      <c r="AG901" s="37"/>
      <c r="AH901" s="37"/>
      <c r="AI901" s="37"/>
      <c r="AJ901" s="37"/>
      <c r="AS901" s="58"/>
    </row>
    <row r="902" spans="1:45" x14ac:dyDescent="0.2">
      <c r="A902" t="s">
        <v>4319</v>
      </c>
      <c r="B902">
        <f>SUM(FishSumAllPRN!B902)</f>
        <v>0</v>
      </c>
      <c r="C902">
        <f>SUM(FishSumAllPRN!C902)</f>
        <v>0</v>
      </c>
      <c r="D902">
        <f>SUM(FishSumAllPRN!D902)</f>
        <v>0</v>
      </c>
      <c r="E902">
        <f>SUM(FishSumAllPRN!E902)</f>
        <v>0</v>
      </c>
      <c r="F902">
        <f>SUM(FishSumAllPRN!F902)</f>
        <v>7319</v>
      </c>
      <c r="G902">
        <f>SUM(FishSumAllPRN!G902)</f>
        <v>7319</v>
      </c>
      <c r="H902" s="54" t="s">
        <v>294</v>
      </c>
      <c r="I902" s="54"/>
      <c r="K902" t="s">
        <v>5730</v>
      </c>
      <c r="R902" s="38">
        <f t="shared" ref="R902:T903" si="302">SUM(B956)</f>
        <v>0</v>
      </c>
      <c r="S902" s="38">
        <f t="shared" si="302"/>
        <v>0</v>
      </c>
      <c r="T902" s="38">
        <f t="shared" si="302"/>
        <v>0</v>
      </c>
      <c r="U902" s="38">
        <f>SUM(E956)</f>
        <v>0</v>
      </c>
      <c r="V902" s="38">
        <f>SUM(F956)</f>
        <v>0</v>
      </c>
      <c r="Z902">
        <f t="shared" si="266"/>
        <v>0</v>
      </c>
      <c r="AC902" s="50" t="s">
        <v>5724</v>
      </c>
      <c r="AD902" s="37"/>
      <c r="AE902" s="37"/>
      <c r="AF902" s="37"/>
      <c r="AG902" s="37"/>
      <c r="AH902" s="37"/>
      <c r="AI902" s="37"/>
      <c r="AJ902" s="37" t="s">
        <v>5725</v>
      </c>
      <c r="AK902" s="38">
        <f t="shared" ref="AK902:AM903" si="303">SUM(R898)</f>
        <v>0</v>
      </c>
      <c r="AL902" s="38">
        <f t="shared" si="303"/>
        <v>0</v>
      </c>
      <c r="AM902" s="38">
        <f t="shared" si="303"/>
        <v>0</v>
      </c>
      <c r="AN902" s="38">
        <f>SUM(U898)</f>
        <v>0</v>
      </c>
      <c r="AO902" s="38">
        <f>SUM(V898)</f>
        <v>0</v>
      </c>
      <c r="AP902" s="38">
        <f>SUM(W898:W899)</f>
        <v>0</v>
      </c>
      <c r="AQ902" s="38">
        <f>SUM(X898:X899)</f>
        <v>0</v>
      </c>
      <c r="AR902" s="38">
        <f>SUM(Y898:Y899)</f>
        <v>0</v>
      </c>
      <c r="AS902" s="59">
        <f t="shared" ref="AS902:AS920" si="304">SUM(AK902:AO902)</f>
        <v>0</v>
      </c>
    </row>
    <row r="903" spans="1:45" x14ac:dyDescent="0.2">
      <c r="A903" t="s">
        <v>4320</v>
      </c>
      <c r="B903">
        <f>SUM(FishSumAllPRN!B903)</f>
        <v>0</v>
      </c>
      <c r="C903">
        <f>SUM(FishSumAllPRN!C903)</f>
        <v>0</v>
      </c>
      <c r="D903">
        <f>SUM(FishSumAllPRN!D903)</f>
        <v>0</v>
      </c>
      <c r="E903">
        <f>SUM(FishSumAllPRN!E903)</f>
        <v>0</v>
      </c>
      <c r="F903">
        <f>SUM(FishSumAllPRN!F903)</f>
        <v>6308</v>
      </c>
      <c r="G903">
        <f>SUM(FishSumAllPRN!G903)</f>
        <v>6308</v>
      </c>
      <c r="H903" s="54" t="s">
        <v>294</v>
      </c>
      <c r="I903" s="54"/>
      <c r="K903" t="s">
        <v>5732</v>
      </c>
      <c r="R903" s="38">
        <f t="shared" si="302"/>
        <v>0</v>
      </c>
      <c r="S903" s="38">
        <f t="shared" si="302"/>
        <v>0</v>
      </c>
      <c r="T903" s="38">
        <f t="shared" si="302"/>
        <v>0</v>
      </c>
      <c r="U903" s="38">
        <f>SUM(E957)</f>
        <v>4732</v>
      </c>
      <c r="V903" s="38">
        <f>SUM(F957)</f>
        <v>1016</v>
      </c>
      <c r="Z903">
        <f t="shared" si="266"/>
        <v>5748</v>
      </c>
      <c r="AC903" s="61"/>
      <c r="AD903" s="37"/>
      <c r="AE903" s="37"/>
      <c r="AF903" s="37"/>
      <c r="AG903" s="37"/>
      <c r="AH903" s="37"/>
      <c r="AI903" s="37"/>
      <c r="AJ903" s="37" t="s">
        <v>5727</v>
      </c>
      <c r="AK903" s="38">
        <f t="shared" si="303"/>
        <v>0</v>
      </c>
      <c r="AL903" s="38">
        <f t="shared" si="303"/>
        <v>35</v>
      </c>
      <c r="AM903" s="38">
        <f t="shared" si="303"/>
        <v>367</v>
      </c>
      <c r="AN903" s="38">
        <f>SUM(U899)</f>
        <v>213</v>
      </c>
      <c r="AO903" s="38">
        <f>SUM(V899)</f>
        <v>2269</v>
      </c>
      <c r="AP903" s="38"/>
      <c r="AQ903" s="38"/>
      <c r="AR903" s="38"/>
      <c r="AS903" s="59">
        <f t="shared" si="304"/>
        <v>2884</v>
      </c>
    </row>
    <row r="904" spans="1:45" x14ac:dyDescent="0.2">
      <c r="A904" t="s">
        <v>4321</v>
      </c>
      <c r="B904">
        <f>SUM(FishSumAllPRN!B904)</f>
        <v>0</v>
      </c>
      <c r="C904">
        <f>SUM(FishSumAllPRN!C904)</f>
        <v>0</v>
      </c>
      <c r="D904">
        <f>SUM(FishSumAllPRN!D904)</f>
        <v>0</v>
      </c>
      <c r="E904">
        <f>SUM(FishSumAllPRN!E904)</f>
        <v>0</v>
      </c>
      <c r="F904">
        <f>SUM(FishSumAllPRN!F904)</f>
        <v>0</v>
      </c>
      <c r="G904">
        <f>SUM(FishSumAllPRN!G904)</f>
        <v>0</v>
      </c>
      <c r="H904" s="54" t="s">
        <v>294</v>
      </c>
      <c r="I904" s="54"/>
      <c r="K904" t="s">
        <v>5734</v>
      </c>
      <c r="R904" s="38">
        <f t="shared" ref="R904:T905" si="305">SUM(B1002)</f>
        <v>0</v>
      </c>
      <c r="S904" s="38">
        <f t="shared" si="305"/>
        <v>0</v>
      </c>
      <c r="T904" s="38">
        <f t="shared" si="305"/>
        <v>0</v>
      </c>
      <c r="U904" s="38">
        <f>SUM(E1002)</f>
        <v>1293</v>
      </c>
      <c r="V904" s="38">
        <f>SUM(F1002)</f>
        <v>41</v>
      </c>
      <c r="Z904">
        <f t="shared" si="266"/>
        <v>1334</v>
      </c>
      <c r="AC904" s="50"/>
      <c r="AD904" s="37"/>
      <c r="AE904" s="37"/>
      <c r="AF904" s="37"/>
      <c r="AG904" s="37"/>
      <c r="AH904" s="37"/>
      <c r="AI904" s="37"/>
      <c r="AJ904" s="37" t="s">
        <v>5729</v>
      </c>
      <c r="AK904" s="38">
        <f t="shared" ref="AK904:AM905" si="306">SUM(R894)</f>
        <v>0</v>
      </c>
      <c r="AL904" s="38">
        <f t="shared" si="306"/>
        <v>0</v>
      </c>
      <c r="AM904" s="38">
        <f t="shared" si="306"/>
        <v>221</v>
      </c>
      <c r="AN904" s="38">
        <f t="shared" ref="AN904:AO907" si="307">SUM(U894)</f>
        <v>2345</v>
      </c>
      <c r="AO904" s="38">
        <f t="shared" si="307"/>
        <v>4998</v>
      </c>
      <c r="AP904" s="38">
        <f>SUM(W894:W895)</f>
        <v>0</v>
      </c>
      <c r="AQ904" s="38">
        <f>SUM(X894:X895)</f>
        <v>0</v>
      </c>
      <c r="AR904" s="38">
        <f>SUM(Y894:Y895)</f>
        <v>0</v>
      </c>
      <c r="AS904" s="59">
        <f t="shared" si="304"/>
        <v>7564</v>
      </c>
    </row>
    <row r="905" spans="1:45" x14ac:dyDescent="0.2">
      <c r="A905" t="s">
        <v>4322</v>
      </c>
      <c r="B905">
        <f>SUM(FishSumAllPRN!B905)</f>
        <v>0</v>
      </c>
      <c r="C905">
        <f>SUM(FishSumAllPRN!C905)</f>
        <v>0</v>
      </c>
      <c r="D905">
        <f>SUM(FishSumAllPRN!D905)</f>
        <v>0</v>
      </c>
      <c r="E905">
        <f>SUM(FishSumAllPRN!E905)</f>
        <v>0</v>
      </c>
      <c r="F905">
        <f>SUM(FishSumAllPRN!F905)</f>
        <v>0</v>
      </c>
      <c r="G905">
        <f>SUM(FishSumAllPRN!G905)</f>
        <v>0</v>
      </c>
      <c r="H905" s="54" t="s">
        <v>294</v>
      </c>
      <c r="I905" s="54"/>
      <c r="K905" t="s">
        <v>5736</v>
      </c>
      <c r="R905" s="38">
        <f t="shared" si="305"/>
        <v>0</v>
      </c>
      <c r="S905" s="38">
        <f t="shared" si="305"/>
        <v>0</v>
      </c>
      <c r="T905" s="38">
        <f t="shared" si="305"/>
        <v>0</v>
      </c>
      <c r="U905" s="38">
        <f>SUM(E1003)</f>
        <v>5042</v>
      </c>
      <c r="V905" s="38">
        <f>SUM(F1003)</f>
        <v>1122</v>
      </c>
      <c r="Z905">
        <f t="shared" si="266"/>
        <v>6164</v>
      </c>
      <c r="AC905" s="50"/>
      <c r="AD905" s="37"/>
      <c r="AE905" s="37"/>
      <c r="AF905" s="37"/>
      <c r="AG905" s="37"/>
      <c r="AH905" s="37"/>
      <c r="AI905" s="37"/>
      <c r="AJ905" s="37" t="s">
        <v>5731</v>
      </c>
      <c r="AK905" s="38">
        <f t="shared" si="306"/>
        <v>0</v>
      </c>
      <c r="AL905" s="38">
        <f t="shared" si="306"/>
        <v>0</v>
      </c>
      <c r="AM905" s="38">
        <f t="shared" si="306"/>
        <v>426</v>
      </c>
      <c r="AN905" s="38">
        <f t="shared" si="307"/>
        <v>1591</v>
      </c>
      <c r="AO905" s="38">
        <f t="shared" si="307"/>
        <v>4818</v>
      </c>
      <c r="AP905" s="38"/>
      <c r="AQ905" s="38"/>
      <c r="AR905" s="38"/>
      <c r="AS905" s="59">
        <f t="shared" si="304"/>
        <v>6835</v>
      </c>
    </row>
    <row r="906" spans="1:45" x14ac:dyDescent="0.2">
      <c r="A906" t="s">
        <v>4323</v>
      </c>
      <c r="B906">
        <f>SUM(FishSumAllPRN!B906)</f>
        <v>0</v>
      </c>
      <c r="C906">
        <f>SUM(FishSumAllPRN!C906)</f>
        <v>0</v>
      </c>
      <c r="D906">
        <f>SUM(FishSumAllPRN!D906)</f>
        <v>0</v>
      </c>
      <c r="E906">
        <f>SUM(FishSumAllPRN!E906)</f>
        <v>0</v>
      </c>
      <c r="F906">
        <f>SUM(FishSumAllPRN!F906)</f>
        <v>0</v>
      </c>
      <c r="G906">
        <f>SUM(FishSumAllPRN!G906)</f>
        <v>0</v>
      </c>
      <c r="H906" s="54" t="s">
        <v>294</v>
      </c>
      <c r="I906" s="54"/>
      <c r="K906" t="s">
        <v>5738</v>
      </c>
      <c r="R906" s="38">
        <f t="shared" ref="R906:T907" si="308">SUM(B1000,B1004,B1006)</f>
        <v>0</v>
      </c>
      <c r="S906" s="38">
        <f t="shared" si="308"/>
        <v>0</v>
      </c>
      <c r="T906" s="38">
        <f t="shared" si="308"/>
        <v>0</v>
      </c>
      <c r="U906" s="38">
        <f>SUM(E1000,E1006)</f>
        <v>6</v>
      </c>
      <c r="V906" s="38">
        <f>SUM(F1000,F1006)</f>
        <v>1370</v>
      </c>
      <c r="Z906">
        <f t="shared" si="266"/>
        <v>1376</v>
      </c>
      <c r="AC906" s="50"/>
      <c r="AD906" s="37"/>
      <c r="AE906" s="37"/>
      <c r="AF906" s="37"/>
      <c r="AG906" s="37"/>
      <c r="AH906" s="37"/>
      <c r="AI906" s="37"/>
      <c r="AJ906" s="37" t="s">
        <v>5733</v>
      </c>
      <c r="AK906" s="38">
        <v>0</v>
      </c>
      <c r="AL906" s="38">
        <v>0</v>
      </c>
      <c r="AM906" s="38">
        <v>0</v>
      </c>
      <c r="AN906" s="38">
        <f t="shared" si="307"/>
        <v>2872</v>
      </c>
      <c r="AO906" s="38">
        <f t="shared" si="307"/>
        <v>40</v>
      </c>
      <c r="AP906" s="38">
        <f>SUM(W896:W897)</f>
        <v>0</v>
      </c>
      <c r="AQ906" s="38">
        <f>SUM(X896:X897)</f>
        <v>0</v>
      </c>
      <c r="AR906" s="38">
        <f>SUM(Y896:Y897)</f>
        <v>0</v>
      </c>
      <c r="AS906" s="59">
        <f t="shared" si="304"/>
        <v>2912</v>
      </c>
    </row>
    <row r="907" spans="1:45" x14ac:dyDescent="0.2">
      <c r="A907" t="s">
        <v>4324</v>
      </c>
      <c r="B907">
        <f>SUM(FishSumAllPRN!B907)</f>
        <v>0</v>
      </c>
      <c r="C907">
        <f>SUM(FishSumAllPRN!C907)</f>
        <v>0</v>
      </c>
      <c r="D907">
        <f>SUM(FishSumAllPRN!D907)</f>
        <v>0</v>
      </c>
      <c r="E907">
        <f>SUM(FishSumAllPRN!E907)</f>
        <v>0</v>
      </c>
      <c r="F907">
        <f>SUM(FishSumAllPRN!F907)</f>
        <v>0</v>
      </c>
      <c r="G907">
        <f>SUM(FishSumAllPRN!G907)</f>
        <v>0</v>
      </c>
      <c r="H907" s="54" t="s">
        <v>294</v>
      </c>
      <c r="I907" s="54"/>
      <c r="K907" t="s">
        <v>5740</v>
      </c>
      <c r="R907" s="38">
        <f t="shared" si="308"/>
        <v>0</v>
      </c>
      <c r="S907" s="38">
        <f t="shared" si="308"/>
        <v>0</v>
      </c>
      <c r="T907" s="38">
        <f t="shared" si="308"/>
        <v>10</v>
      </c>
      <c r="U907" s="38">
        <f>SUM(E1001,E1007)</f>
        <v>1477</v>
      </c>
      <c r="V907" s="38">
        <f>SUM(F1001,F1007)</f>
        <v>3117</v>
      </c>
      <c r="Z907">
        <f t="shared" si="266"/>
        <v>4604</v>
      </c>
      <c r="AC907" s="50"/>
      <c r="AD907" s="37"/>
      <c r="AE907" s="37"/>
      <c r="AF907" s="37"/>
      <c r="AG907" s="37"/>
      <c r="AH907" s="37"/>
      <c r="AI907" s="37"/>
      <c r="AJ907" s="37" t="s">
        <v>5735</v>
      </c>
      <c r="AK907" s="38">
        <v>0</v>
      </c>
      <c r="AL907" s="38">
        <v>0</v>
      </c>
      <c r="AM907" s="38">
        <v>0</v>
      </c>
      <c r="AN907" s="38">
        <f t="shared" si="307"/>
        <v>23698</v>
      </c>
      <c r="AO907" s="38">
        <f t="shared" si="307"/>
        <v>1167</v>
      </c>
      <c r="AP907" s="38"/>
      <c r="AQ907" s="38"/>
      <c r="AR907" s="38"/>
      <c r="AS907" s="59">
        <f t="shared" si="304"/>
        <v>24865</v>
      </c>
    </row>
    <row r="908" spans="1:45" x14ac:dyDescent="0.2">
      <c r="A908" t="s">
        <v>4325</v>
      </c>
      <c r="B908">
        <f>SUM(FishSumAllPRN!B908)</f>
        <v>0</v>
      </c>
      <c r="C908">
        <f>SUM(FishSumAllPRN!C908)</f>
        <v>0</v>
      </c>
      <c r="D908">
        <f>SUM(FishSumAllPRN!D908)</f>
        <v>0</v>
      </c>
      <c r="E908">
        <f>SUM(FishSumAllPRN!E908)</f>
        <v>0</v>
      </c>
      <c r="F908">
        <f>SUM(FishSumAllPRN!F908)</f>
        <v>0</v>
      </c>
      <c r="G908">
        <f>SUM(FishSumAllPRN!G908)</f>
        <v>0</v>
      </c>
      <c r="H908" s="54" t="s">
        <v>294</v>
      </c>
      <c r="I908" s="54"/>
      <c r="K908" t="s">
        <v>5742</v>
      </c>
      <c r="R908" s="38">
        <f t="shared" ref="R908:T909" si="309">SUM(B966,B968,B970,B977,B979,B984,B986,B988,B990,B992)</f>
        <v>0</v>
      </c>
      <c r="S908" s="38">
        <f t="shared" si="309"/>
        <v>0</v>
      </c>
      <c r="T908" s="38">
        <f t="shared" si="309"/>
        <v>0</v>
      </c>
      <c r="U908" s="38">
        <f>SUM(E966,E968,E970,E977,E979,E984,E986,E988,E990,E992)</f>
        <v>38</v>
      </c>
      <c r="V908" s="38">
        <f>SUM(F966,F968,F970,F977,F979,F984,F986,F988,F990,F992)</f>
        <v>947</v>
      </c>
      <c r="Z908">
        <f t="shared" si="266"/>
        <v>985</v>
      </c>
      <c r="AC908" s="50"/>
      <c r="AD908" s="37"/>
      <c r="AE908" s="37"/>
      <c r="AF908" s="37"/>
      <c r="AG908" s="37"/>
      <c r="AH908" s="37"/>
      <c r="AI908" s="37"/>
      <c r="AJ908" s="37" t="s">
        <v>5737</v>
      </c>
      <c r="AK908" s="38">
        <v>0</v>
      </c>
      <c r="AL908" s="38">
        <v>0</v>
      </c>
      <c r="AM908" s="38">
        <v>0</v>
      </c>
      <c r="AN908" s="38">
        <f t="shared" ref="AN908:AO911" si="310">SUM(U900)</f>
        <v>0</v>
      </c>
      <c r="AO908" s="38">
        <f t="shared" si="310"/>
        <v>0</v>
      </c>
      <c r="AP908" s="38">
        <f>SUM(W900:W901)</f>
        <v>0</v>
      </c>
      <c r="AQ908" s="38">
        <f>SUM(X900:X901)</f>
        <v>0</v>
      </c>
      <c r="AR908" s="38">
        <f>SUM(Y900:Y901)</f>
        <v>0</v>
      </c>
      <c r="AS908" s="59">
        <f t="shared" si="304"/>
        <v>0</v>
      </c>
    </row>
    <row r="909" spans="1:45" x14ac:dyDescent="0.2">
      <c r="A909" t="s">
        <v>4326</v>
      </c>
      <c r="B909">
        <f>SUM(FishSumAllPRN!B909)</f>
        <v>0</v>
      </c>
      <c r="C909">
        <f>SUM(FishSumAllPRN!C909)</f>
        <v>0</v>
      </c>
      <c r="D909">
        <f>SUM(FishSumAllPRN!D909)</f>
        <v>0</v>
      </c>
      <c r="E909">
        <f>SUM(FishSumAllPRN!E909)</f>
        <v>0</v>
      </c>
      <c r="F909">
        <f>SUM(FishSumAllPRN!F909)</f>
        <v>0</v>
      </c>
      <c r="G909">
        <f>SUM(FishSumAllPRN!G909)</f>
        <v>0</v>
      </c>
      <c r="H909" s="54" t="s">
        <v>294</v>
      </c>
      <c r="I909" s="54"/>
      <c r="K909" t="s">
        <v>5743</v>
      </c>
      <c r="R909" s="38">
        <f t="shared" si="309"/>
        <v>0</v>
      </c>
      <c r="S909" s="38">
        <f t="shared" si="309"/>
        <v>0</v>
      </c>
      <c r="T909" s="38">
        <f t="shared" si="309"/>
        <v>0</v>
      </c>
      <c r="U909" s="38">
        <f>SUM(E967,E969,E971,E978,E980,E985,E987,E989,E991,E993)</f>
        <v>28955</v>
      </c>
      <c r="V909" s="38">
        <f>SUM(F967,F969,F971,F978,F980,F985,F987,F989,F991,F993)</f>
        <v>16573</v>
      </c>
      <c r="Z909">
        <f t="shared" si="266"/>
        <v>45528</v>
      </c>
      <c r="AC909" s="50"/>
      <c r="AD909" s="37"/>
      <c r="AE909" s="37"/>
      <c r="AF909" s="37"/>
      <c r="AG909" s="37"/>
      <c r="AH909" s="37"/>
      <c r="AI909" s="37"/>
      <c r="AJ909" s="37" t="s">
        <v>5739</v>
      </c>
      <c r="AK909" s="38">
        <v>0</v>
      </c>
      <c r="AL909" s="38">
        <v>0</v>
      </c>
      <c r="AM909" s="38">
        <v>0</v>
      </c>
      <c r="AN909" s="38">
        <f t="shared" si="310"/>
        <v>442</v>
      </c>
      <c r="AO909" s="38">
        <f t="shared" si="310"/>
        <v>205</v>
      </c>
      <c r="AP909" s="38"/>
      <c r="AQ909" s="38"/>
      <c r="AR909" s="38"/>
      <c r="AS909" s="59">
        <f t="shared" si="304"/>
        <v>647</v>
      </c>
    </row>
    <row r="910" spans="1:45" x14ac:dyDescent="0.2">
      <c r="A910" t="s">
        <v>4327</v>
      </c>
      <c r="B910">
        <f>SUM(FishSumAllPRN!B910)</f>
        <v>0</v>
      </c>
      <c r="C910">
        <f>SUM(FishSumAllPRN!C910)</f>
        <v>0</v>
      </c>
      <c r="D910">
        <f>SUM(FishSumAllPRN!D910)</f>
        <v>0</v>
      </c>
      <c r="E910">
        <f>SUM(FishSumAllPRN!E910)</f>
        <v>11449</v>
      </c>
      <c r="F910">
        <f>SUM(FishSumAllPRN!F910)</f>
        <v>5339</v>
      </c>
      <c r="G910">
        <f>SUM(FishSumAllPRN!G910)</f>
        <v>16788</v>
      </c>
      <c r="H910" s="54" t="s">
        <v>294</v>
      </c>
      <c r="I910" s="54"/>
      <c r="K910" t="s">
        <v>5745</v>
      </c>
      <c r="R910" s="38">
        <f t="shared" ref="R910:T913" si="311">SUM(B1029)</f>
        <v>0</v>
      </c>
      <c r="S910" s="38">
        <f t="shared" si="311"/>
        <v>0</v>
      </c>
      <c r="T910" s="38">
        <f t="shared" si="311"/>
        <v>3911</v>
      </c>
      <c r="U910" s="38">
        <f t="shared" ref="U910:V913" si="312">SUM(E1029)</f>
        <v>182</v>
      </c>
      <c r="V910" s="38">
        <f t="shared" si="312"/>
        <v>35</v>
      </c>
      <c r="Z910">
        <f t="shared" si="266"/>
        <v>4128</v>
      </c>
      <c r="AC910" s="50"/>
      <c r="AD910" s="37"/>
      <c r="AE910" s="37"/>
      <c r="AF910" s="37"/>
      <c r="AG910" s="37"/>
      <c r="AH910" s="37"/>
      <c r="AI910" s="37"/>
      <c r="AJ910" s="37" t="s">
        <v>5741</v>
      </c>
      <c r="AK910" s="38">
        <v>0</v>
      </c>
      <c r="AL910" s="38">
        <v>0</v>
      </c>
      <c r="AM910" s="38">
        <v>0</v>
      </c>
      <c r="AN910" s="38">
        <f t="shared" si="310"/>
        <v>0</v>
      </c>
      <c r="AO910" s="38">
        <f t="shared" si="310"/>
        <v>0</v>
      </c>
      <c r="AP910" s="38">
        <f>SUM(W902:W903)</f>
        <v>0</v>
      </c>
      <c r="AQ910" s="38">
        <f>SUM(X902:X903)</f>
        <v>0</v>
      </c>
      <c r="AR910" s="38">
        <f>SUM(Y902:Y903)</f>
        <v>0</v>
      </c>
      <c r="AS910" s="59">
        <f t="shared" si="304"/>
        <v>0</v>
      </c>
    </row>
    <row r="911" spans="1:45" x14ac:dyDescent="0.2">
      <c r="A911" t="s">
        <v>4328</v>
      </c>
      <c r="B911">
        <f>SUM(FishSumAllPRN!B911)</f>
        <v>0</v>
      </c>
      <c r="C911">
        <f>SUM(FishSumAllPRN!C911)</f>
        <v>0</v>
      </c>
      <c r="D911">
        <f>SUM(FishSumAllPRN!D911)</f>
        <v>0</v>
      </c>
      <c r="E911">
        <f>SUM(FishSumAllPRN!E911)</f>
        <v>0</v>
      </c>
      <c r="F911">
        <f>SUM(FishSumAllPRN!F911)</f>
        <v>0</v>
      </c>
      <c r="G911">
        <f>SUM(FishSumAllPRN!G911)</f>
        <v>0</v>
      </c>
      <c r="H911" s="54" t="s">
        <v>294</v>
      </c>
      <c r="I911" s="54"/>
      <c r="K911" t="s">
        <v>5747</v>
      </c>
      <c r="R911" s="38">
        <f t="shared" si="311"/>
        <v>0</v>
      </c>
      <c r="S911" s="38">
        <f t="shared" si="311"/>
        <v>0</v>
      </c>
      <c r="T911" s="38">
        <f t="shared" si="311"/>
        <v>0</v>
      </c>
      <c r="U911" s="38">
        <f t="shared" si="312"/>
        <v>269</v>
      </c>
      <c r="V911" s="38">
        <f t="shared" si="312"/>
        <v>45</v>
      </c>
      <c r="Z911">
        <f t="shared" si="266"/>
        <v>314</v>
      </c>
      <c r="AC911" s="50"/>
      <c r="AD911" s="37"/>
      <c r="AE911" s="37"/>
      <c r="AF911" s="37"/>
      <c r="AG911" s="37"/>
      <c r="AH911" s="37"/>
      <c r="AI911" s="37"/>
      <c r="AJ911" s="37" t="s">
        <v>318</v>
      </c>
      <c r="AK911" s="38">
        <v>0</v>
      </c>
      <c r="AL911" s="38">
        <v>0</v>
      </c>
      <c r="AM911" s="38">
        <v>0</v>
      </c>
      <c r="AN911" s="38">
        <f t="shared" si="310"/>
        <v>4732</v>
      </c>
      <c r="AO911" s="38">
        <f t="shared" si="310"/>
        <v>1016</v>
      </c>
      <c r="AP911" s="38"/>
      <c r="AQ911" s="38"/>
      <c r="AR911" s="38"/>
      <c r="AS911" s="59">
        <f t="shared" si="304"/>
        <v>5748</v>
      </c>
    </row>
    <row r="912" spans="1:45" x14ac:dyDescent="0.2">
      <c r="A912" t="s">
        <v>4329</v>
      </c>
      <c r="B912">
        <f>SUM(FishSumAllPRN!B912)</f>
        <v>0</v>
      </c>
      <c r="C912">
        <f>SUM(FishSumAllPRN!C912)</f>
        <v>0</v>
      </c>
      <c r="D912">
        <f>SUM(FishSumAllPRN!D912)</f>
        <v>0</v>
      </c>
      <c r="E912">
        <f>SUM(FishSumAllPRN!E912)</f>
        <v>0</v>
      </c>
      <c r="F912">
        <f>SUM(FishSumAllPRN!F912)</f>
        <v>2180</v>
      </c>
      <c r="G912">
        <f>SUM(FishSumAllPRN!G912)</f>
        <v>2180</v>
      </c>
      <c r="H912" s="54" t="s">
        <v>294</v>
      </c>
      <c r="I912" s="54"/>
      <c r="K912" t="s">
        <v>5749</v>
      </c>
      <c r="R912" s="38">
        <f t="shared" si="311"/>
        <v>0</v>
      </c>
      <c r="S912" s="38">
        <f t="shared" si="311"/>
        <v>0</v>
      </c>
      <c r="T912" s="38">
        <f t="shared" si="311"/>
        <v>0</v>
      </c>
      <c r="U912" s="38">
        <f t="shared" si="312"/>
        <v>0</v>
      </c>
      <c r="V912" s="38">
        <f t="shared" si="312"/>
        <v>0</v>
      </c>
      <c r="Z912">
        <f>SUM(R912:V912)</f>
        <v>0</v>
      </c>
      <c r="AC912" s="50"/>
      <c r="AD912" s="37"/>
      <c r="AE912" s="37"/>
      <c r="AF912" s="37"/>
      <c r="AG912" s="37"/>
      <c r="AH912" s="37"/>
      <c r="AI912" s="37"/>
      <c r="AJ912" s="37" t="s">
        <v>5744</v>
      </c>
      <c r="AK912" s="38">
        <v>0</v>
      </c>
      <c r="AL912" s="38">
        <v>0</v>
      </c>
      <c r="AM912" s="38">
        <v>0</v>
      </c>
      <c r="AN912" s="497">
        <f>SUM(E958)</f>
        <v>21</v>
      </c>
      <c r="AO912" s="497">
        <f>SUM(F958)</f>
        <v>0</v>
      </c>
      <c r="AP912" s="38"/>
      <c r="AQ912" s="38"/>
      <c r="AR912" s="38"/>
      <c r="AS912" s="59">
        <f t="shared" si="304"/>
        <v>21</v>
      </c>
    </row>
    <row r="913" spans="1:45" x14ac:dyDescent="0.2">
      <c r="A913" t="s">
        <v>4330</v>
      </c>
      <c r="B913">
        <f>SUM(FishSumAllPRN!B913)</f>
        <v>0</v>
      </c>
      <c r="C913">
        <f>SUM(FishSumAllPRN!C913)</f>
        <v>0</v>
      </c>
      <c r="D913">
        <f>SUM(FishSumAllPRN!D913)</f>
        <v>0</v>
      </c>
      <c r="E913">
        <f>SUM(FishSumAllPRN!E913)</f>
        <v>0</v>
      </c>
      <c r="F913">
        <f>SUM(FishSumAllPRN!F913)</f>
        <v>0</v>
      </c>
      <c r="G913">
        <f>SUM(FishSumAllPRN!G913)</f>
        <v>0</v>
      </c>
      <c r="H913" s="54" t="s">
        <v>294</v>
      </c>
      <c r="I913" s="54"/>
      <c r="K913" t="s">
        <v>5751</v>
      </c>
      <c r="R913" s="38">
        <f t="shared" si="311"/>
        <v>0</v>
      </c>
      <c r="S913" s="38">
        <f t="shared" si="311"/>
        <v>0</v>
      </c>
      <c r="T913" s="38">
        <f t="shared" si="311"/>
        <v>0</v>
      </c>
      <c r="U913" s="38">
        <f t="shared" si="312"/>
        <v>0</v>
      </c>
      <c r="V913" s="38">
        <f t="shared" si="312"/>
        <v>0</v>
      </c>
      <c r="Z913">
        <f>SUM(R913:V913)</f>
        <v>0</v>
      </c>
      <c r="AC913" s="50"/>
      <c r="AD913" s="37"/>
      <c r="AE913" s="37"/>
      <c r="AF913" s="37"/>
      <c r="AG913" s="37"/>
      <c r="AH913" s="37"/>
      <c r="AI913" s="37"/>
      <c r="AJ913" s="37" t="s">
        <v>5746</v>
      </c>
      <c r="AK913" s="38">
        <v>0</v>
      </c>
      <c r="AL913" s="38">
        <v>0</v>
      </c>
      <c r="AM913" s="38">
        <v>0</v>
      </c>
      <c r="AN913" s="38">
        <f>SUM(E959)</f>
        <v>15726</v>
      </c>
      <c r="AO913" s="38">
        <f>SUM(F959)</f>
        <v>8005</v>
      </c>
      <c r="AP913" s="38"/>
      <c r="AQ913" s="38"/>
      <c r="AR913" s="38"/>
      <c r="AS913" s="59">
        <f t="shared" si="304"/>
        <v>23731</v>
      </c>
    </row>
    <row r="914" spans="1:45" x14ac:dyDescent="0.2">
      <c r="A914" t="s">
        <v>4331</v>
      </c>
      <c r="B914">
        <f>SUM(FishSumAllPRN!B914)</f>
        <v>0</v>
      </c>
      <c r="C914">
        <f>SUM(FishSumAllPRN!C914)</f>
        <v>0</v>
      </c>
      <c r="D914">
        <f>SUM(FishSumAllPRN!D914)</f>
        <v>0</v>
      </c>
      <c r="E914">
        <f>SUM(FishSumAllPRN!E914)</f>
        <v>0</v>
      </c>
      <c r="F914">
        <f>SUM(FishSumAllPRN!F914)</f>
        <v>0</v>
      </c>
      <c r="G914">
        <f>SUM(FishSumAllPRN!G914)</f>
        <v>0</v>
      </c>
      <c r="H914" s="54" t="s">
        <v>294</v>
      </c>
      <c r="I914" s="54"/>
      <c r="AC914" s="50"/>
      <c r="AD914" s="37"/>
      <c r="AE914" s="37"/>
      <c r="AF914" s="37"/>
      <c r="AG914" s="37"/>
      <c r="AH914" s="37"/>
      <c r="AI914" s="37"/>
      <c r="AJ914" s="37" t="s">
        <v>5748</v>
      </c>
      <c r="AK914" s="38">
        <v>0</v>
      </c>
      <c r="AL914" s="38">
        <v>0</v>
      </c>
      <c r="AM914" s="38">
        <v>0</v>
      </c>
      <c r="AN914" s="38">
        <v>0</v>
      </c>
      <c r="AO914" s="38">
        <v>0</v>
      </c>
      <c r="AP914" s="38">
        <v>0</v>
      </c>
      <c r="AQ914" s="38">
        <v>0</v>
      </c>
      <c r="AR914" s="38">
        <v>0</v>
      </c>
      <c r="AS914" s="59">
        <f t="shared" si="304"/>
        <v>0</v>
      </c>
    </row>
    <row r="915" spans="1:45" x14ac:dyDescent="0.2">
      <c r="A915" t="s">
        <v>4332</v>
      </c>
      <c r="B915">
        <f>SUM(FishSumAllPRN!B915)</f>
        <v>0</v>
      </c>
      <c r="C915">
        <f>SUM(FishSumAllPRN!C915)</f>
        <v>0</v>
      </c>
      <c r="D915">
        <f>SUM(FishSumAllPRN!D915)</f>
        <v>0</v>
      </c>
      <c r="E915">
        <f>SUM(FishSumAllPRN!E915)</f>
        <v>9465</v>
      </c>
      <c r="F915">
        <f>SUM(FishSumAllPRN!F915)</f>
        <v>1803</v>
      </c>
      <c r="G915">
        <f>SUM(FishSumAllPRN!G915)</f>
        <v>11268</v>
      </c>
      <c r="H915" s="54" t="s">
        <v>294</v>
      </c>
      <c r="I915" s="54"/>
      <c r="AC915" s="61"/>
      <c r="AJ915" s="37" t="s">
        <v>5750</v>
      </c>
      <c r="AK915" s="38">
        <v>0</v>
      </c>
      <c r="AL915" s="38">
        <v>0</v>
      </c>
      <c r="AM915" s="38">
        <v>0</v>
      </c>
      <c r="AN915" s="38">
        <f>SUM(E1002,E1004)</f>
        <v>2577</v>
      </c>
      <c r="AO915" s="38">
        <f>SUM(F1002,F1004)</f>
        <v>41</v>
      </c>
      <c r="AP915" s="38">
        <f>SUM(W904:W905)</f>
        <v>0</v>
      </c>
      <c r="AQ915" s="38">
        <f>SUM(X904:X905)</f>
        <v>0</v>
      </c>
      <c r="AR915" s="38">
        <f>SUM(Y904:Y905)</f>
        <v>0</v>
      </c>
      <c r="AS915" s="59">
        <f t="shared" si="304"/>
        <v>2618</v>
      </c>
    </row>
    <row r="916" spans="1:45" x14ac:dyDescent="0.2">
      <c r="A916" t="s">
        <v>4333</v>
      </c>
      <c r="B916">
        <f>SUM(FishSumAllPRN!B916)</f>
        <v>0</v>
      </c>
      <c r="C916">
        <f>SUM(FishSumAllPRN!C916)</f>
        <v>0</v>
      </c>
      <c r="D916">
        <f>SUM(FishSumAllPRN!D916)</f>
        <v>0</v>
      </c>
      <c r="E916">
        <f>SUM(FishSumAllPRN!E916)</f>
        <v>0</v>
      </c>
      <c r="F916">
        <f>SUM(FishSumAllPRN!F916)</f>
        <v>0</v>
      </c>
      <c r="G916">
        <f>SUM(FishSumAllPRN!G916)</f>
        <v>0</v>
      </c>
      <c r="H916" s="54" t="s">
        <v>294</v>
      </c>
      <c r="I916" s="54"/>
      <c r="AC916" s="61"/>
      <c r="AJ916" s="37" t="s">
        <v>5752</v>
      </c>
      <c r="AK916" s="38">
        <v>0</v>
      </c>
      <c r="AL916" s="38">
        <v>0</v>
      </c>
      <c r="AM916" s="38">
        <v>0</v>
      </c>
      <c r="AN916" s="38">
        <f>SUM(E1003,E1005)</f>
        <v>8648</v>
      </c>
      <c r="AO916" s="38">
        <f>SUM(F1003,F1005)</f>
        <v>1509</v>
      </c>
      <c r="AP916" s="38"/>
      <c r="AQ916" s="38"/>
      <c r="AR916" s="38"/>
      <c r="AS916" s="59">
        <f t="shared" si="304"/>
        <v>10157</v>
      </c>
    </row>
    <row r="917" spans="1:45" x14ac:dyDescent="0.2">
      <c r="A917" t="s">
        <v>4334</v>
      </c>
      <c r="B917">
        <f>SUM(FishSumAllPRN!B917)</f>
        <v>0</v>
      </c>
      <c r="C917">
        <f>SUM(FishSumAllPRN!C917)</f>
        <v>0</v>
      </c>
      <c r="D917">
        <f>SUM(FishSumAllPRN!D917)</f>
        <v>0</v>
      </c>
      <c r="E917">
        <f>SUM(FishSumAllPRN!E917)</f>
        <v>0</v>
      </c>
      <c r="F917">
        <f>SUM(FishSumAllPRN!F917)</f>
        <v>4177</v>
      </c>
      <c r="G917">
        <f>SUM(FishSumAllPRN!G917)</f>
        <v>4177</v>
      </c>
      <c r="H917" s="54" t="s">
        <v>294</v>
      </c>
      <c r="I917" s="54"/>
      <c r="AC917" s="61"/>
      <c r="AJ917" s="37" t="s">
        <v>5753</v>
      </c>
      <c r="AK917" s="38">
        <v>0</v>
      </c>
      <c r="AL917" s="38">
        <v>0</v>
      </c>
      <c r="AM917" s="38">
        <v>0</v>
      </c>
      <c r="AN917" s="38">
        <f>SUM(E1000,E1006)</f>
        <v>6</v>
      </c>
      <c r="AO917" s="38">
        <f>SUM(F1000,F1006)</f>
        <v>1370</v>
      </c>
      <c r="AP917" s="38">
        <f>SUM(W906:W907)</f>
        <v>0</v>
      </c>
      <c r="AQ917" s="38">
        <f>SUM(X906:X907)</f>
        <v>0</v>
      </c>
      <c r="AR917" s="38">
        <f>SUM(Y906:Y907)</f>
        <v>0</v>
      </c>
      <c r="AS917" s="59">
        <f t="shared" si="304"/>
        <v>1376</v>
      </c>
    </row>
    <row r="918" spans="1:45" x14ac:dyDescent="0.2">
      <c r="A918" t="s">
        <v>4335</v>
      </c>
      <c r="B918">
        <f>SUM(FishSumAllPRN!B918)</f>
        <v>0</v>
      </c>
      <c r="C918">
        <f>SUM(FishSumAllPRN!C918)</f>
        <v>0</v>
      </c>
      <c r="D918">
        <f>SUM(FishSumAllPRN!D918)</f>
        <v>0</v>
      </c>
      <c r="E918">
        <f>SUM(FishSumAllPRN!E918)</f>
        <v>1464</v>
      </c>
      <c r="F918">
        <f>SUM(FishSumAllPRN!F918)</f>
        <v>3153</v>
      </c>
      <c r="G918">
        <f>SUM(FishSumAllPRN!G918)</f>
        <v>4617</v>
      </c>
      <c r="H918" s="54" t="s">
        <v>294</v>
      </c>
      <c r="I918" s="54"/>
      <c r="AC918" s="61"/>
      <c r="AJ918" s="37" t="s">
        <v>5754</v>
      </c>
      <c r="AK918" s="38">
        <v>0</v>
      </c>
      <c r="AL918" s="38">
        <v>0</v>
      </c>
      <c r="AM918" s="38">
        <v>0</v>
      </c>
      <c r="AN918" s="38">
        <f>SUM(E1001,E1007)</f>
        <v>1477</v>
      </c>
      <c r="AO918" s="38">
        <f>SUM(F1001,F1007)</f>
        <v>3117</v>
      </c>
      <c r="AP918" s="38"/>
      <c r="AQ918" s="38"/>
      <c r="AR918" s="38"/>
      <c r="AS918" s="59">
        <f t="shared" si="304"/>
        <v>4594</v>
      </c>
    </row>
    <row r="919" spans="1:45" x14ac:dyDescent="0.2">
      <c r="A919" t="s">
        <v>4336</v>
      </c>
      <c r="B919">
        <f>SUM(FishSumAllPRN!B919)</f>
        <v>0</v>
      </c>
      <c r="C919">
        <f>SUM(FishSumAllPRN!C919)</f>
        <v>0</v>
      </c>
      <c r="D919">
        <f>SUM(FishSumAllPRN!D919)</f>
        <v>0</v>
      </c>
      <c r="E919">
        <f>SUM(FishSumAllPRN!E919)</f>
        <v>0</v>
      </c>
      <c r="F919">
        <f>SUM(FishSumAllPRN!F919)</f>
        <v>0</v>
      </c>
      <c r="G919">
        <f>SUM(FishSumAllPRN!G919)</f>
        <v>0</v>
      </c>
      <c r="H919" s="54" t="s">
        <v>294</v>
      </c>
      <c r="I919" s="54"/>
      <c r="AC919" s="61"/>
      <c r="AJ919" s="37" t="s">
        <v>5767</v>
      </c>
      <c r="AK919" s="38">
        <v>0</v>
      </c>
      <c r="AL919" s="38">
        <v>0</v>
      </c>
      <c r="AM919" s="38">
        <v>0</v>
      </c>
      <c r="AN919" s="38">
        <f>SUM(E966,E968,E970,E977,E979,E984,E986,E988,E990,E992)</f>
        <v>38</v>
      </c>
      <c r="AO919" s="38">
        <f>SUM(F966,F968,F970,F977,F979,F984,F986,F988,F990,F992)</f>
        <v>947</v>
      </c>
      <c r="AP919" s="38"/>
      <c r="AQ919" s="38"/>
      <c r="AR919" s="38"/>
      <c r="AS919" s="59">
        <f t="shared" si="304"/>
        <v>985</v>
      </c>
    </row>
    <row r="920" spans="1:45" ht="13.5" thickBot="1" x14ac:dyDescent="0.25">
      <c r="A920" t="s">
        <v>4337</v>
      </c>
      <c r="B920">
        <f>SUM(FishSumAllPRN!B920)</f>
        <v>0</v>
      </c>
      <c r="C920">
        <f>SUM(FishSumAllPRN!C920)</f>
        <v>0</v>
      </c>
      <c r="D920">
        <f>SUM(FishSumAllPRN!D920)</f>
        <v>0</v>
      </c>
      <c r="E920">
        <f>SUM(FishSumAllPRN!E920)</f>
        <v>0</v>
      </c>
      <c r="F920">
        <f>SUM(FishSumAllPRN!F920)</f>
        <v>568</v>
      </c>
      <c r="G920">
        <f>SUM(FishSumAllPRN!G920)</f>
        <v>568</v>
      </c>
      <c r="H920" s="54" t="s">
        <v>294</v>
      </c>
      <c r="I920" s="54"/>
      <c r="AC920" s="62"/>
      <c r="AD920" s="63"/>
      <c r="AE920" s="63"/>
      <c r="AF920" s="63"/>
      <c r="AG920" s="63"/>
      <c r="AH920" s="63"/>
      <c r="AI920" s="63"/>
      <c r="AJ920" s="56" t="s">
        <v>5768</v>
      </c>
      <c r="AK920" s="57">
        <v>0</v>
      </c>
      <c r="AL920" s="57">
        <v>0</v>
      </c>
      <c r="AM920" s="57">
        <v>0</v>
      </c>
      <c r="AN920" s="57">
        <f>SUM(E967,E969,E971,E978,E980,E985,E987,E989,E991,E993)</f>
        <v>28955</v>
      </c>
      <c r="AO920" s="57">
        <f>SUM(F967,F969,F971,F978,F980,F985,F987,F989,F991,F993)</f>
        <v>16573</v>
      </c>
      <c r="AP920" s="57">
        <f>SUM(W908:W909)</f>
        <v>0</v>
      </c>
      <c r="AQ920" s="57">
        <f>SUM(X908:X909)</f>
        <v>0</v>
      </c>
      <c r="AR920" s="57">
        <f>SUM(Y908:Y909)</f>
        <v>0</v>
      </c>
      <c r="AS920" s="64">
        <f t="shared" si="304"/>
        <v>45528</v>
      </c>
    </row>
    <row r="921" spans="1:45" ht="13.5" thickBot="1" x14ac:dyDescent="0.25">
      <c r="A921" t="s">
        <v>4338</v>
      </c>
      <c r="B921">
        <f>SUM(FishSumAllPRN!B921)</f>
        <v>0</v>
      </c>
      <c r="C921">
        <f>SUM(FishSumAllPRN!C921)</f>
        <v>0</v>
      </c>
      <c r="D921">
        <f>SUM(FishSumAllPRN!D921)</f>
        <v>0</v>
      </c>
      <c r="E921">
        <f>SUM(FishSumAllPRN!E921)</f>
        <v>261</v>
      </c>
      <c r="F921">
        <f>SUM(FishSumAllPRN!F921)</f>
        <v>1579</v>
      </c>
      <c r="G921">
        <f>SUM(FishSumAllPRN!G921)</f>
        <v>1840</v>
      </c>
      <c r="H921" s="54" t="s">
        <v>294</v>
      </c>
      <c r="I921" s="54"/>
    </row>
    <row r="922" spans="1:45" x14ac:dyDescent="0.2">
      <c r="A922" t="s">
        <v>4339</v>
      </c>
      <c r="B922">
        <f>SUM(FishSumAllPRN!B922)</f>
        <v>0</v>
      </c>
      <c r="C922">
        <f>SUM(FishSumAllPRN!C922)</f>
        <v>0</v>
      </c>
      <c r="D922">
        <f>SUM(FishSumAllPRN!D922)</f>
        <v>0</v>
      </c>
      <c r="E922">
        <f>SUM(FishSumAllPRN!E922)</f>
        <v>0</v>
      </c>
      <c r="F922">
        <f>SUM(FishSumAllPRN!F922)</f>
        <v>0</v>
      </c>
      <c r="G922">
        <f>SUM(FishSumAllPRN!G922)</f>
        <v>0</v>
      </c>
      <c r="H922" s="54" t="s">
        <v>294</v>
      </c>
      <c r="I922" s="54"/>
      <c r="AC922" s="48" t="s">
        <v>5761</v>
      </c>
      <c r="AD922" s="49"/>
      <c r="AE922" s="49"/>
      <c r="AF922" s="49"/>
      <c r="AG922" s="49"/>
      <c r="AH922" s="49"/>
      <c r="AI922" s="49"/>
      <c r="AJ922" s="49"/>
      <c r="AK922" s="65">
        <f>SUM(AK868,AK886,AK889:AK920,AK850,AK849)</f>
        <v>73650</v>
      </c>
      <c r="AL922" s="65">
        <f>SUM(AL868,AL886,AL889:AL920,AL850,AL849)</f>
        <v>330973</v>
      </c>
      <c r="AM922" s="65">
        <f>SUM(AM868,AM886,AM889:AM920,AM850,AM849)</f>
        <v>489032</v>
      </c>
      <c r="AN922" s="65">
        <f>SUM(AN868,AN886,AN889:AN920,AN850,AN849)</f>
        <v>382552</v>
      </c>
      <c r="AO922" s="65">
        <f>SUM(AO868,AO886,AO889:AO920,AO850,AO849)</f>
        <v>49357</v>
      </c>
      <c r="AP922" s="65">
        <f>SUM(AP868,AP886,AP889:AP920,AP850,AP849,AP867)</f>
        <v>31405</v>
      </c>
      <c r="AQ922" s="65">
        <f>SUM(AQ868,AQ886,AQ889:AQ920,AQ850,AQ849,AQ867)</f>
        <v>0</v>
      </c>
      <c r="AR922" s="65">
        <f>SUM(AR868,AR886,AR889:AR920,AR850,AR849,AR867)</f>
        <v>0</v>
      </c>
      <c r="AS922" s="66">
        <f>SUM(AS868,AS886,AS889:AS920,AS850,AS849)</f>
        <v>1325590</v>
      </c>
    </row>
    <row r="923" spans="1:45" x14ac:dyDescent="0.2">
      <c r="A923" t="s">
        <v>4340</v>
      </c>
      <c r="B923">
        <f>SUM(FishSumAllPRN!B923)</f>
        <v>0</v>
      </c>
      <c r="C923">
        <f>SUM(FishSumAllPRN!C923)</f>
        <v>0</v>
      </c>
      <c r="D923">
        <f>SUM(FishSumAllPRN!D923)</f>
        <v>0</v>
      </c>
      <c r="E923">
        <f>SUM(FishSumAllPRN!E923)</f>
        <v>0</v>
      </c>
      <c r="F923">
        <f>SUM(FishSumAllPRN!F923)</f>
        <v>0</v>
      </c>
      <c r="G923">
        <f>SUM(FishSumAllPRN!G923)</f>
        <v>0</v>
      </c>
      <c r="H923" s="54" t="s">
        <v>294</v>
      </c>
      <c r="I923" s="54"/>
      <c r="AC923" s="50" t="s">
        <v>5769</v>
      </c>
      <c r="AD923" s="37"/>
      <c r="AE923" s="37"/>
      <c r="AF923" s="37"/>
      <c r="AG923" s="37"/>
      <c r="AH923" s="37"/>
      <c r="AI923" s="37"/>
      <c r="AJ923" s="37"/>
      <c r="AK923" s="67" t="s">
        <v>761</v>
      </c>
      <c r="AL923" s="67" t="s">
        <v>761</v>
      </c>
      <c r="AM923" s="67" t="s">
        <v>761</v>
      </c>
      <c r="AN923" s="67"/>
      <c r="AO923" s="71" t="s">
        <v>761</v>
      </c>
      <c r="AP923" s="37"/>
      <c r="AQ923" s="37"/>
      <c r="AR923" s="37"/>
      <c r="AS923" s="68" t="str">
        <f>AO923</f>
        <v>na</v>
      </c>
    </row>
    <row r="924" spans="1:45" ht="13.5" thickBot="1" x14ac:dyDescent="0.25">
      <c r="A924" t="s">
        <v>4341</v>
      </c>
      <c r="B924">
        <f>SUM(FishSumAllPRN!B924)</f>
        <v>0</v>
      </c>
      <c r="C924">
        <f>SUM(FishSumAllPRN!C924)</f>
        <v>0</v>
      </c>
      <c r="D924">
        <f>SUM(FishSumAllPRN!D924)</f>
        <v>0</v>
      </c>
      <c r="E924">
        <f>SUM(FishSumAllPRN!E924)</f>
        <v>0</v>
      </c>
      <c r="F924">
        <f>SUM(FishSumAllPRN!F924)</f>
        <v>53</v>
      </c>
      <c r="G924">
        <f>SUM(FishSumAllPRN!G924)</f>
        <v>53</v>
      </c>
      <c r="H924" s="54" t="s">
        <v>294</v>
      </c>
      <c r="I924" s="54"/>
      <c r="AC924" s="55" t="s">
        <v>5770</v>
      </c>
      <c r="AD924" s="56"/>
      <c r="AE924" s="56"/>
      <c r="AF924" s="56"/>
      <c r="AG924" s="56"/>
      <c r="AH924" s="56"/>
      <c r="AI924" s="56"/>
      <c r="AJ924" s="56"/>
      <c r="AK924" s="56"/>
      <c r="AL924" s="56"/>
      <c r="AM924" s="56"/>
      <c r="AN924" s="56"/>
      <c r="AO924" s="56"/>
      <c r="AP924" s="56"/>
      <c r="AQ924" s="56"/>
      <c r="AR924" s="56"/>
      <c r="AS924" s="70" t="str">
        <f>IF(AS923="na","na",(AS922/(AS923+AS922)))</f>
        <v>na</v>
      </c>
    </row>
    <row r="925" spans="1:45" x14ac:dyDescent="0.2">
      <c r="A925" t="s">
        <v>4342</v>
      </c>
      <c r="B925">
        <f>SUM(FishSumAllPRN!B925)</f>
        <v>0</v>
      </c>
      <c r="C925">
        <f>SUM(FishSumAllPRN!C925)</f>
        <v>0</v>
      </c>
      <c r="D925">
        <f>SUM(FishSumAllPRN!D925)</f>
        <v>0</v>
      </c>
      <c r="E925">
        <f>SUM(FishSumAllPRN!E925)</f>
        <v>0</v>
      </c>
      <c r="F925">
        <f>SUM(FishSumAllPRN!F925)</f>
        <v>0</v>
      </c>
      <c r="G925">
        <f>SUM(FishSumAllPRN!G925)</f>
        <v>0</v>
      </c>
      <c r="H925" s="54" t="s">
        <v>294</v>
      </c>
      <c r="I925" s="54"/>
    </row>
    <row r="926" spans="1:45" x14ac:dyDescent="0.2">
      <c r="A926" t="s">
        <v>4343</v>
      </c>
      <c r="B926">
        <f>SUM(FishSumAllPRN!B926)</f>
        <v>0</v>
      </c>
      <c r="C926">
        <f>SUM(FishSumAllPRN!C926)</f>
        <v>0</v>
      </c>
      <c r="D926">
        <f>SUM(FishSumAllPRN!D926)</f>
        <v>0</v>
      </c>
      <c r="E926">
        <f>SUM(FishSumAllPRN!E926)</f>
        <v>0</v>
      </c>
      <c r="F926">
        <f>SUM(FishSumAllPRN!F926)</f>
        <v>0</v>
      </c>
      <c r="G926">
        <f>SUM(FishSumAllPRN!G926)</f>
        <v>0</v>
      </c>
      <c r="H926" s="54" t="s">
        <v>294</v>
      </c>
      <c r="I926" s="54"/>
    </row>
    <row r="927" spans="1:45" x14ac:dyDescent="0.2">
      <c r="A927" t="s">
        <v>1728</v>
      </c>
      <c r="B927">
        <f>SUM(FishSumAllPRN!B927)</f>
        <v>0</v>
      </c>
      <c r="C927">
        <f>SUM(FishSumAllPRN!C927)</f>
        <v>0</v>
      </c>
      <c r="D927">
        <f>SUM(FishSumAllPRN!D927)</f>
        <v>0</v>
      </c>
      <c r="E927">
        <f>SUM(FishSumAllPRN!E927)</f>
        <v>0</v>
      </c>
      <c r="F927">
        <f>SUM(FishSumAllPRN!F927)</f>
        <v>0</v>
      </c>
      <c r="G927">
        <f>SUM(FishSumAllPRN!G927)</f>
        <v>0</v>
      </c>
      <c r="H927" s="54" t="s">
        <v>294</v>
      </c>
      <c r="I927" s="54"/>
    </row>
    <row r="928" spans="1:45" x14ac:dyDescent="0.2">
      <c r="A928" t="s">
        <v>1730</v>
      </c>
      <c r="B928">
        <f>SUM(FishSumAllPRN!B928)</f>
        <v>0</v>
      </c>
      <c r="C928">
        <f>SUM(FishSumAllPRN!C928)</f>
        <v>35</v>
      </c>
      <c r="D928">
        <f>SUM(FishSumAllPRN!D928)</f>
        <v>367</v>
      </c>
      <c r="E928">
        <f>SUM(FishSumAllPRN!E928)</f>
        <v>213</v>
      </c>
      <c r="F928">
        <f>SUM(FishSumAllPRN!F928)</f>
        <v>2269</v>
      </c>
      <c r="G928">
        <f>SUM(FishSumAllPRN!G928)</f>
        <v>2885</v>
      </c>
      <c r="H928" s="54" t="s">
        <v>294</v>
      </c>
      <c r="I928" s="54"/>
    </row>
    <row r="929" spans="1:9" x14ac:dyDescent="0.2">
      <c r="A929" t="s">
        <v>1733</v>
      </c>
      <c r="B929">
        <f>SUM(FishSumAllPRN!B929)</f>
        <v>0</v>
      </c>
      <c r="C929">
        <f>SUM(FishSumAllPRN!C929)</f>
        <v>0</v>
      </c>
      <c r="D929">
        <f>SUM(FishSumAllPRN!D929)</f>
        <v>0</v>
      </c>
      <c r="E929">
        <f>SUM(FishSumAllPRN!E929)</f>
        <v>353</v>
      </c>
      <c r="F929">
        <f>SUM(FishSumAllPRN!F929)</f>
        <v>1901</v>
      </c>
      <c r="G929">
        <f>SUM(FishSumAllPRN!G929)</f>
        <v>2254</v>
      </c>
      <c r="H929" s="54" t="s">
        <v>294</v>
      </c>
      <c r="I929" s="54"/>
    </row>
    <row r="930" spans="1:9" x14ac:dyDescent="0.2">
      <c r="A930" t="s">
        <v>1738</v>
      </c>
      <c r="B930">
        <f>SUM(FishSumAllPRN!B930)</f>
        <v>0</v>
      </c>
      <c r="C930">
        <f>SUM(FishSumAllPRN!C930)</f>
        <v>0</v>
      </c>
      <c r="D930">
        <f>SUM(FishSumAllPRN!D930)</f>
        <v>0</v>
      </c>
      <c r="E930">
        <f>SUM(FishSumAllPRN!E930)</f>
        <v>424</v>
      </c>
      <c r="F930">
        <f>SUM(FishSumAllPRN!F930)</f>
        <v>381</v>
      </c>
      <c r="G930">
        <f>SUM(FishSumAllPRN!G930)</f>
        <v>805</v>
      </c>
      <c r="H930" s="54" t="s">
        <v>294</v>
      </c>
      <c r="I930" s="54"/>
    </row>
    <row r="931" spans="1:9" x14ac:dyDescent="0.2">
      <c r="A931" t="s">
        <v>1744</v>
      </c>
      <c r="B931">
        <f>SUM(FishSumAllPRN!B931)</f>
        <v>0</v>
      </c>
      <c r="C931">
        <f>SUM(FishSumAllPRN!C931)</f>
        <v>0</v>
      </c>
      <c r="D931">
        <f>SUM(FishSumAllPRN!D931)</f>
        <v>0</v>
      </c>
      <c r="E931">
        <f>SUM(FishSumAllPRN!E931)</f>
        <v>0</v>
      </c>
      <c r="F931">
        <f>SUM(FishSumAllPRN!F931)</f>
        <v>0</v>
      </c>
      <c r="G931">
        <f>SUM(FishSumAllPRN!G931)</f>
        <v>0</v>
      </c>
      <c r="H931" s="54" t="s">
        <v>294</v>
      </c>
      <c r="I931" s="54"/>
    </row>
    <row r="932" spans="1:9" x14ac:dyDescent="0.2">
      <c r="A932" t="s">
        <v>1747</v>
      </c>
      <c r="B932">
        <f>SUM(FishSumAllPRN!B932)</f>
        <v>0</v>
      </c>
      <c r="C932">
        <f>SUM(FishSumAllPRN!C932)</f>
        <v>0</v>
      </c>
      <c r="D932">
        <f>SUM(FishSumAllPRN!D932)</f>
        <v>0</v>
      </c>
      <c r="E932">
        <f>SUM(FishSumAllPRN!E932)</f>
        <v>0</v>
      </c>
      <c r="F932">
        <f>SUM(FishSumAllPRN!F932)</f>
        <v>0</v>
      </c>
      <c r="G932">
        <f>SUM(FishSumAllPRN!G932)</f>
        <v>0</v>
      </c>
      <c r="H932" s="54" t="s">
        <v>294</v>
      </c>
      <c r="I932" s="54"/>
    </row>
    <row r="933" spans="1:9" x14ac:dyDescent="0.2">
      <c r="A933" t="s">
        <v>1751</v>
      </c>
      <c r="B933">
        <f>SUM(FishSumAllPRN!B933)</f>
        <v>0</v>
      </c>
      <c r="C933">
        <f>SUM(FishSumAllPRN!C933)</f>
        <v>0</v>
      </c>
      <c r="D933">
        <f>SUM(FishSumAllPRN!D933)</f>
        <v>0</v>
      </c>
      <c r="E933">
        <f>SUM(FishSumAllPRN!E933)</f>
        <v>0</v>
      </c>
      <c r="F933">
        <f>SUM(FishSumAllPRN!F933)</f>
        <v>0</v>
      </c>
      <c r="G933">
        <f>SUM(FishSumAllPRN!G933)</f>
        <v>0</v>
      </c>
      <c r="H933" s="54" t="s">
        <v>294</v>
      </c>
      <c r="I933" s="54"/>
    </row>
    <row r="934" spans="1:9" x14ac:dyDescent="0.2">
      <c r="A934" t="s">
        <v>1755</v>
      </c>
      <c r="B934">
        <f>SUM(FishSumAllPRN!B934)</f>
        <v>0</v>
      </c>
      <c r="C934">
        <f>SUM(FishSumAllPRN!C934)</f>
        <v>0</v>
      </c>
      <c r="D934">
        <f>SUM(FishSumAllPRN!D934)</f>
        <v>221</v>
      </c>
      <c r="E934">
        <f>SUM(FishSumAllPRN!E934)</f>
        <v>2345</v>
      </c>
      <c r="F934">
        <f>SUM(FishSumAllPRN!F934)</f>
        <v>4998</v>
      </c>
      <c r="G934">
        <f>SUM(FishSumAllPRN!G934)</f>
        <v>7564</v>
      </c>
      <c r="H934" s="54" t="s">
        <v>294</v>
      </c>
      <c r="I934" s="54"/>
    </row>
    <row r="935" spans="1:9" x14ac:dyDescent="0.2">
      <c r="A935" t="s">
        <v>1757</v>
      </c>
      <c r="B935">
        <f>SUM(FishSumAllPRN!B935)</f>
        <v>0</v>
      </c>
      <c r="C935">
        <f>SUM(FishSumAllPRN!C935)</f>
        <v>0</v>
      </c>
      <c r="D935">
        <f>SUM(FishSumAllPRN!D935)</f>
        <v>426</v>
      </c>
      <c r="E935">
        <f>SUM(FishSumAllPRN!E935)</f>
        <v>1591</v>
      </c>
      <c r="F935">
        <f>SUM(FishSumAllPRN!F935)</f>
        <v>4818</v>
      </c>
      <c r="G935">
        <f>SUM(FishSumAllPRN!G935)</f>
        <v>6836</v>
      </c>
      <c r="H935" s="54" t="s">
        <v>294</v>
      </c>
      <c r="I935" s="54"/>
    </row>
    <row r="936" spans="1:9" x14ac:dyDescent="0.2">
      <c r="A936" t="s">
        <v>1761</v>
      </c>
      <c r="B936">
        <f>SUM(FishSumAllPRN!B936)</f>
        <v>0</v>
      </c>
      <c r="C936">
        <f>SUM(FishSumAllPRN!C936)</f>
        <v>0</v>
      </c>
      <c r="D936">
        <f>SUM(FishSumAllPRN!D936)</f>
        <v>0</v>
      </c>
      <c r="E936">
        <f>SUM(FishSumAllPRN!E936)</f>
        <v>0</v>
      </c>
      <c r="F936">
        <f>SUM(FishSumAllPRN!F936)</f>
        <v>0</v>
      </c>
      <c r="G936">
        <f>SUM(FishSumAllPRN!G936)</f>
        <v>0</v>
      </c>
      <c r="H936" s="54" t="s">
        <v>294</v>
      </c>
      <c r="I936" s="54"/>
    </row>
    <row r="937" spans="1:9" x14ac:dyDescent="0.2">
      <c r="A937" t="s">
        <v>1764</v>
      </c>
      <c r="B937">
        <f>SUM(FishSumAllPRN!B937)</f>
        <v>0</v>
      </c>
      <c r="C937">
        <f>SUM(FishSumAllPRN!C937)</f>
        <v>0</v>
      </c>
      <c r="D937">
        <f>SUM(FishSumAllPRN!D937)</f>
        <v>0</v>
      </c>
      <c r="E937">
        <f>SUM(FishSumAllPRN!E937)</f>
        <v>0</v>
      </c>
      <c r="F937">
        <f>SUM(FishSumAllPRN!F937)</f>
        <v>0</v>
      </c>
      <c r="G937">
        <f>SUM(FishSumAllPRN!G937)</f>
        <v>0</v>
      </c>
      <c r="H937" s="54" t="s">
        <v>294</v>
      </c>
      <c r="I937" s="54"/>
    </row>
    <row r="938" spans="1:9" x14ac:dyDescent="0.2">
      <c r="A938" t="s">
        <v>1770</v>
      </c>
      <c r="B938">
        <f>SUM(FishSumAllPRN!B938)</f>
        <v>27</v>
      </c>
      <c r="C938">
        <f>SUM(FishSumAllPRN!C938)</f>
        <v>521</v>
      </c>
      <c r="D938">
        <f>SUM(FishSumAllPRN!D938)</f>
        <v>3514</v>
      </c>
      <c r="E938">
        <f>SUM(FishSumAllPRN!E938)</f>
        <v>18970</v>
      </c>
      <c r="F938">
        <f>SUM(FishSumAllPRN!F938)</f>
        <v>0</v>
      </c>
      <c r="G938">
        <f>SUM(FishSumAllPRN!G938)</f>
        <v>23032</v>
      </c>
      <c r="H938" s="54" t="s">
        <v>294</v>
      </c>
      <c r="I938" s="54"/>
    </row>
    <row r="939" spans="1:9" x14ac:dyDescent="0.2">
      <c r="A939" t="s">
        <v>1772</v>
      </c>
      <c r="B939">
        <f>SUM(FishSumAllPRN!B939)</f>
        <v>0</v>
      </c>
      <c r="C939">
        <f>SUM(FishSumAllPRN!C939)</f>
        <v>53</v>
      </c>
      <c r="D939">
        <f>SUM(FishSumAllPRN!D939)</f>
        <v>866</v>
      </c>
      <c r="E939">
        <f>SUM(FishSumAllPRN!E939)</f>
        <v>7454</v>
      </c>
      <c r="F939">
        <f>SUM(FishSumAllPRN!F939)</f>
        <v>0</v>
      </c>
      <c r="G939">
        <f>SUM(FishSumAllPRN!G939)</f>
        <v>8373</v>
      </c>
      <c r="H939" s="54" t="s">
        <v>294</v>
      </c>
      <c r="I939" s="54"/>
    </row>
    <row r="940" spans="1:9" x14ac:dyDescent="0.2">
      <c r="A940" t="s">
        <v>1774</v>
      </c>
      <c r="B940">
        <f>SUM(FishSumAllPRN!B940)</f>
        <v>0</v>
      </c>
      <c r="C940">
        <f>SUM(FishSumAllPRN!C940)</f>
        <v>106</v>
      </c>
      <c r="D940">
        <f>SUM(FishSumAllPRN!D940)</f>
        <v>590</v>
      </c>
      <c r="E940">
        <f>SUM(FishSumAllPRN!E940)</f>
        <v>5024</v>
      </c>
      <c r="F940">
        <f>SUM(FishSumAllPRN!F940)</f>
        <v>0</v>
      </c>
      <c r="G940">
        <f>SUM(FishSumAllPRN!G940)</f>
        <v>5720</v>
      </c>
      <c r="H940" s="54" t="s">
        <v>294</v>
      </c>
      <c r="I940" s="54"/>
    </row>
    <row r="941" spans="1:9" x14ac:dyDescent="0.2">
      <c r="A941" t="s">
        <v>1777</v>
      </c>
      <c r="B941">
        <f>SUM(FishSumAllPRN!B941)</f>
        <v>0</v>
      </c>
      <c r="C941">
        <f>SUM(FishSumAllPRN!C941)</f>
        <v>0</v>
      </c>
      <c r="D941">
        <f>SUM(FishSumAllPRN!D941)</f>
        <v>0</v>
      </c>
      <c r="E941">
        <f>SUM(FishSumAllPRN!E941)</f>
        <v>0</v>
      </c>
      <c r="F941">
        <f>SUM(FishSumAllPRN!F941)</f>
        <v>614</v>
      </c>
      <c r="G941">
        <f>SUM(FishSumAllPRN!G941)</f>
        <v>614</v>
      </c>
      <c r="H941" s="54" t="s">
        <v>294</v>
      </c>
      <c r="I941" s="54"/>
    </row>
    <row r="942" spans="1:9" x14ac:dyDescent="0.2">
      <c r="A942" t="s">
        <v>1782</v>
      </c>
      <c r="B942">
        <f>SUM(FishSumAllPRN!B942)</f>
        <v>0</v>
      </c>
      <c r="C942">
        <f>SUM(FishSumAllPRN!C942)</f>
        <v>0</v>
      </c>
      <c r="D942">
        <f>SUM(FishSumAllPRN!D942)</f>
        <v>0</v>
      </c>
      <c r="E942">
        <f>SUM(FishSumAllPRN!E942)</f>
        <v>0</v>
      </c>
      <c r="F942">
        <f>SUM(FishSumAllPRN!F942)</f>
        <v>0</v>
      </c>
      <c r="G942">
        <f>SUM(FishSumAllPRN!G942)</f>
        <v>0</v>
      </c>
      <c r="H942" s="54" t="s">
        <v>294</v>
      </c>
      <c r="I942" s="54"/>
    </row>
    <row r="943" spans="1:9" x14ac:dyDescent="0.2">
      <c r="A943" t="s">
        <v>1274</v>
      </c>
      <c r="B943">
        <f>SUM(FishSumAllPRN!B943)</f>
        <v>0</v>
      </c>
      <c r="C943">
        <f>SUM(FishSumAllPRN!C943)</f>
        <v>0</v>
      </c>
      <c r="D943">
        <f>SUM(FishSumAllPRN!D943)</f>
        <v>0</v>
      </c>
      <c r="E943">
        <f>SUM(FishSumAllPRN!E943)</f>
        <v>2872</v>
      </c>
      <c r="F943">
        <f>SUM(FishSumAllPRN!F943)</f>
        <v>40</v>
      </c>
      <c r="G943">
        <f>SUM(FishSumAllPRN!G943)</f>
        <v>2911</v>
      </c>
      <c r="H943" s="54" t="s">
        <v>294</v>
      </c>
      <c r="I943" s="54"/>
    </row>
    <row r="944" spans="1:9" x14ac:dyDescent="0.2">
      <c r="A944" t="s">
        <v>1277</v>
      </c>
      <c r="B944">
        <f>SUM(FishSumAllPRN!B944)</f>
        <v>0</v>
      </c>
      <c r="C944">
        <f>SUM(FishSumAllPRN!C944)</f>
        <v>0</v>
      </c>
      <c r="D944">
        <f>SUM(FishSumAllPRN!D944)</f>
        <v>0</v>
      </c>
      <c r="E944">
        <f>SUM(FishSumAllPRN!E944)</f>
        <v>23698</v>
      </c>
      <c r="F944">
        <f>SUM(FishSumAllPRN!F944)</f>
        <v>1167</v>
      </c>
      <c r="G944">
        <f>SUM(FishSumAllPRN!G944)</f>
        <v>24865</v>
      </c>
      <c r="H944" s="54" t="s">
        <v>294</v>
      </c>
      <c r="I944" s="54"/>
    </row>
    <row r="945" spans="1:9" x14ac:dyDescent="0.2">
      <c r="A945" t="s">
        <v>1798</v>
      </c>
      <c r="B945">
        <f>SUM(FishSumAllPRN!B945)</f>
        <v>0</v>
      </c>
      <c r="C945">
        <f>SUM(FishSumAllPRN!C945)</f>
        <v>0</v>
      </c>
      <c r="D945">
        <f>SUM(FishSumAllPRN!D945)</f>
        <v>0</v>
      </c>
      <c r="E945">
        <f>SUM(FishSumAllPRN!E945)</f>
        <v>0</v>
      </c>
      <c r="F945">
        <f>SUM(FishSumAllPRN!F945)</f>
        <v>24393</v>
      </c>
      <c r="G945">
        <f>SUM(FishSumAllPRN!G945)</f>
        <v>24393</v>
      </c>
      <c r="H945" s="54" t="s">
        <v>294</v>
      </c>
      <c r="I945" s="54"/>
    </row>
    <row r="946" spans="1:9" x14ac:dyDescent="0.2">
      <c r="A946" t="s">
        <v>1803</v>
      </c>
      <c r="B946">
        <f>SUM(FishSumAllPRN!B946)</f>
        <v>0</v>
      </c>
      <c r="C946">
        <f>SUM(FishSumAllPRN!C946)</f>
        <v>0</v>
      </c>
      <c r="D946">
        <f>SUM(FishSumAllPRN!D946)</f>
        <v>0</v>
      </c>
      <c r="E946">
        <f>SUM(FishSumAllPRN!E946)</f>
        <v>0</v>
      </c>
      <c r="F946">
        <f>SUM(FishSumAllPRN!F946)</f>
        <v>1952</v>
      </c>
      <c r="G946">
        <f>SUM(FishSumAllPRN!G946)</f>
        <v>1952</v>
      </c>
      <c r="H946" s="54" t="s">
        <v>294</v>
      </c>
      <c r="I946" s="54"/>
    </row>
    <row r="947" spans="1:9" x14ac:dyDescent="0.2">
      <c r="A947" t="s">
        <v>1808</v>
      </c>
      <c r="B947">
        <f>SUM(FishSumAllPRN!B947)</f>
        <v>0</v>
      </c>
      <c r="C947">
        <f>SUM(FishSumAllPRN!C947)</f>
        <v>0</v>
      </c>
      <c r="D947">
        <f>SUM(FishSumAllPRN!D947)</f>
        <v>0</v>
      </c>
      <c r="E947">
        <f>SUM(FishSumAllPRN!E947)</f>
        <v>0</v>
      </c>
      <c r="F947">
        <f>SUM(FishSumAllPRN!F947)</f>
        <v>425</v>
      </c>
      <c r="G947">
        <f>SUM(FishSumAllPRN!G947)</f>
        <v>425</v>
      </c>
      <c r="H947" s="54" t="s">
        <v>294</v>
      </c>
      <c r="I947" s="54"/>
    </row>
    <row r="948" spans="1:9" x14ac:dyDescent="0.2">
      <c r="A948" t="s">
        <v>1813</v>
      </c>
      <c r="B948">
        <f>SUM(FishSumAllPRN!B948)</f>
        <v>0</v>
      </c>
      <c r="C948">
        <f>SUM(FishSumAllPRN!C948)</f>
        <v>0</v>
      </c>
      <c r="D948">
        <f>SUM(FishSumAllPRN!D948)</f>
        <v>0</v>
      </c>
      <c r="E948">
        <f>SUM(FishSumAllPRN!E948)</f>
        <v>0</v>
      </c>
      <c r="F948">
        <f>SUM(FishSumAllPRN!F948)</f>
        <v>0</v>
      </c>
      <c r="G948">
        <f>SUM(FishSumAllPRN!G948)</f>
        <v>0</v>
      </c>
      <c r="H948" s="54" t="s">
        <v>294</v>
      </c>
      <c r="I948" s="54"/>
    </row>
    <row r="949" spans="1:9" x14ac:dyDescent="0.2">
      <c r="A949" t="s">
        <v>1819</v>
      </c>
      <c r="B949">
        <f>SUM(FishSumAllPRN!B949)</f>
        <v>0</v>
      </c>
      <c r="C949">
        <f>SUM(FishSumAllPRN!C949)</f>
        <v>0</v>
      </c>
      <c r="D949">
        <f>SUM(FishSumAllPRN!D949)</f>
        <v>0</v>
      </c>
      <c r="E949">
        <f>SUM(FishSumAllPRN!E949)</f>
        <v>442</v>
      </c>
      <c r="F949">
        <f>SUM(FishSumAllPRN!F949)</f>
        <v>205</v>
      </c>
      <c r="G949">
        <f>SUM(FishSumAllPRN!G949)</f>
        <v>647</v>
      </c>
      <c r="H949" s="54" t="s">
        <v>294</v>
      </c>
      <c r="I949" s="54"/>
    </row>
    <row r="950" spans="1:9" x14ac:dyDescent="0.2">
      <c r="A950" t="s">
        <v>1826</v>
      </c>
      <c r="B950">
        <f>SUM(FishSumAllPRN!B950)</f>
        <v>0</v>
      </c>
      <c r="C950">
        <f>SUM(FishSumAllPRN!C950)</f>
        <v>0</v>
      </c>
      <c r="D950">
        <f>SUM(FishSumAllPRN!D950)</f>
        <v>0</v>
      </c>
      <c r="E950">
        <f>SUM(FishSumAllPRN!E950)</f>
        <v>0</v>
      </c>
      <c r="F950">
        <f>SUM(FishSumAllPRN!F950)</f>
        <v>15565</v>
      </c>
      <c r="G950">
        <f>SUM(FishSumAllPRN!G950)</f>
        <v>15565</v>
      </c>
      <c r="H950" s="54" t="s">
        <v>294</v>
      </c>
      <c r="I950" s="54"/>
    </row>
    <row r="951" spans="1:9" x14ac:dyDescent="0.2">
      <c r="A951" t="s">
        <v>1830</v>
      </c>
      <c r="B951">
        <f>SUM(FishSumAllPRN!B951)</f>
        <v>0</v>
      </c>
      <c r="C951">
        <f>SUM(FishSumAllPRN!C951)</f>
        <v>0</v>
      </c>
      <c r="D951">
        <f>SUM(FishSumAllPRN!D951)</f>
        <v>0</v>
      </c>
      <c r="E951">
        <f>SUM(FishSumAllPRN!E951)</f>
        <v>0</v>
      </c>
      <c r="F951">
        <f>SUM(FishSumAllPRN!F951)</f>
        <v>1995</v>
      </c>
      <c r="G951">
        <f>SUM(FishSumAllPRN!G951)</f>
        <v>1995</v>
      </c>
      <c r="H951" s="54" t="s">
        <v>294</v>
      </c>
      <c r="I951" s="54"/>
    </row>
    <row r="952" spans="1:9" x14ac:dyDescent="0.2">
      <c r="A952" t="s">
        <v>1836</v>
      </c>
      <c r="B952">
        <f>SUM(FishSumAllPRN!B952)</f>
        <v>0</v>
      </c>
      <c r="C952">
        <f>SUM(FishSumAllPRN!C952)</f>
        <v>0</v>
      </c>
      <c r="D952">
        <f>SUM(FishSumAllPRN!D952)</f>
        <v>0</v>
      </c>
      <c r="E952">
        <f>SUM(FishSumAllPRN!E952)</f>
        <v>0</v>
      </c>
      <c r="F952">
        <f>SUM(FishSumAllPRN!F952)</f>
        <v>0</v>
      </c>
      <c r="G952">
        <f>SUM(FishSumAllPRN!G952)</f>
        <v>0</v>
      </c>
      <c r="H952" s="54" t="s">
        <v>294</v>
      </c>
      <c r="I952" s="54"/>
    </row>
    <row r="953" spans="1:9" x14ac:dyDescent="0.2">
      <c r="A953" t="s">
        <v>1841</v>
      </c>
      <c r="B953">
        <f>SUM(FishSumAllPRN!B953)</f>
        <v>0</v>
      </c>
      <c r="C953">
        <f>SUM(FishSumAllPRN!C953)</f>
        <v>0</v>
      </c>
      <c r="D953">
        <f>SUM(FishSumAllPRN!D953)</f>
        <v>303</v>
      </c>
      <c r="E953">
        <f>SUM(FishSumAllPRN!E953)</f>
        <v>2644</v>
      </c>
      <c r="F953">
        <f>SUM(FishSumAllPRN!F953)</f>
        <v>68</v>
      </c>
      <c r="G953">
        <f>SUM(FishSumAllPRN!G953)</f>
        <v>3016</v>
      </c>
      <c r="H953" s="54" t="s">
        <v>294</v>
      </c>
      <c r="I953" s="54"/>
    </row>
    <row r="954" spans="1:9" x14ac:dyDescent="0.2">
      <c r="A954" t="s">
        <v>1842</v>
      </c>
      <c r="B954">
        <f>SUM(FishSumAllPRN!B954)</f>
        <v>0</v>
      </c>
      <c r="C954">
        <f>SUM(FishSumAllPRN!C954)</f>
        <v>1573</v>
      </c>
      <c r="D954">
        <f>SUM(FishSumAllPRN!D954)</f>
        <v>3494</v>
      </c>
      <c r="E954">
        <f>SUM(FishSumAllPRN!E954)</f>
        <v>7755</v>
      </c>
      <c r="F954">
        <f>SUM(FishSumAllPRN!F954)</f>
        <v>0</v>
      </c>
      <c r="G954">
        <f>SUM(FishSumAllPRN!G954)</f>
        <v>12821</v>
      </c>
      <c r="H954" s="54" t="s">
        <v>294</v>
      </c>
      <c r="I954" s="54"/>
    </row>
    <row r="955" spans="1:9" x14ac:dyDescent="0.2">
      <c r="A955" t="s">
        <v>1843</v>
      </c>
      <c r="B955">
        <f>SUM(FishSumAllPRN!B955)</f>
        <v>0</v>
      </c>
      <c r="C955">
        <f>SUM(FishSumAllPRN!C955)</f>
        <v>0</v>
      </c>
      <c r="D955">
        <f>SUM(FishSumAllPRN!D955)</f>
        <v>0</v>
      </c>
      <c r="E955">
        <f>SUM(FishSumAllPRN!E955)</f>
        <v>0</v>
      </c>
      <c r="F955">
        <f>SUM(FishSumAllPRN!F955)</f>
        <v>5999</v>
      </c>
      <c r="G955">
        <f>SUM(FishSumAllPRN!G955)</f>
        <v>5999</v>
      </c>
      <c r="H955" s="54" t="s">
        <v>294</v>
      </c>
      <c r="I955" s="54"/>
    </row>
    <row r="956" spans="1:9" x14ac:dyDescent="0.2">
      <c r="A956" t="s">
        <v>1846</v>
      </c>
      <c r="B956">
        <f>SUM(FishSumAllPRN!B956)</f>
        <v>0</v>
      </c>
      <c r="C956">
        <f>SUM(FishSumAllPRN!C956)</f>
        <v>0</v>
      </c>
      <c r="D956">
        <f>SUM(FishSumAllPRN!D956)</f>
        <v>0</v>
      </c>
      <c r="E956">
        <f>SUM(FishSumAllPRN!E956)</f>
        <v>0</v>
      </c>
      <c r="F956">
        <f>SUM(FishSumAllPRN!F956)</f>
        <v>0</v>
      </c>
      <c r="G956">
        <f>SUM(FishSumAllPRN!G956)</f>
        <v>0</v>
      </c>
      <c r="H956" s="54" t="s">
        <v>294</v>
      </c>
      <c r="I956" s="54"/>
    </row>
    <row r="957" spans="1:9" x14ac:dyDescent="0.2">
      <c r="A957" t="s">
        <v>1851</v>
      </c>
      <c r="B957">
        <f>SUM(FishSumAllPRN!B957)</f>
        <v>0</v>
      </c>
      <c r="C957">
        <f>SUM(FishSumAllPRN!C957)</f>
        <v>0</v>
      </c>
      <c r="D957">
        <f>SUM(FishSumAllPRN!D957)</f>
        <v>0</v>
      </c>
      <c r="E957">
        <f>SUM(FishSumAllPRN!E957)</f>
        <v>4732</v>
      </c>
      <c r="F957">
        <f>SUM(FishSumAllPRN!F957)</f>
        <v>1016</v>
      </c>
      <c r="G957">
        <f>SUM(FishSumAllPRN!G957)</f>
        <v>5748</v>
      </c>
      <c r="H957" s="54" t="s">
        <v>294</v>
      </c>
      <c r="I957" s="54"/>
    </row>
    <row r="958" spans="1:9" x14ac:dyDescent="0.2">
      <c r="A958" t="s">
        <v>1857</v>
      </c>
      <c r="B958">
        <f>SUM(FishSumAllPRN!B958)</f>
        <v>0</v>
      </c>
      <c r="C958">
        <f>SUM(FishSumAllPRN!C958)</f>
        <v>0</v>
      </c>
      <c r="D958">
        <f>SUM(FishSumAllPRN!D958)</f>
        <v>0</v>
      </c>
      <c r="E958">
        <f>SUM(FishSumAllPRN!E958)</f>
        <v>21</v>
      </c>
      <c r="F958">
        <f>SUM(FishSumAllPRN!F958)</f>
        <v>0</v>
      </c>
      <c r="G958">
        <f>SUM(FishSumAllPRN!G958)</f>
        <v>21</v>
      </c>
      <c r="H958" s="54" t="s">
        <v>294</v>
      </c>
      <c r="I958" s="54"/>
    </row>
    <row r="959" spans="1:9" x14ac:dyDescent="0.2">
      <c r="A959" t="s">
        <v>1862</v>
      </c>
      <c r="B959">
        <f>SUM(FishSumAllPRN!B959)</f>
        <v>0</v>
      </c>
      <c r="C959">
        <f>SUM(FishSumAllPRN!C959)</f>
        <v>0</v>
      </c>
      <c r="D959">
        <f>SUM(FishSumAllPRN!D959)</f>
        <v>0</v>
      </c>
      <c r="E959">
        <f>SUM(FishSumAllPRN!E959)</f>
        <v>15726</v>
      </c>
      <c r="F959">
        <f>SUM(FishSumAllPRN!F959)</f>
        <v>8005</v>
      </c>
      <c r="G959">
        <f>SUM(FishSumAllPRN!G959)</f>
        <v>23731</v>
      </c>
      <c r="H959" s="54" t="s">
        <v>294</v>
      </c>
      <c r="I959" s="54"/>
    </row>
    <row r="960" spans="1:9" x14ac:dyDescent="0.2">
      <c r="A960" t="s">
        <v>1867</v>
      </c>
      <c r="B960">
        <f>SUM(FishSumAllPRN!B960)</f>
        <v>0</v>
      </c>
      <c r="C960">
        <f>SUM(FishSumAllPRN!C960)</f>
        <v>0</v>
      </c>
      <c r="D960">
        <f>SUM(FishSumAllPRN!D960)</f>
        <v>0</v>
      </c>
      <c r="E960">
        <f>SUM(FishSumAllPRN!E960)</f>
        <v>0</v>
      </c>
      <c r="F960">
        <f>SUM(FishSumAllPRN!F960)</f>
        <v>206</v>
      </c>
      <c r="G960">
        <f>SUM(FishSumAllPRN!G960)</f>
        <v>206</v>
      </c>
      <c r="H960" s="54" t="s">
        <v>294</v>
      </c>
      <c r="I960" s="54"/>
    </row>
    <row r="961" spans="1:9" x14ac:dyDescent="0.2">
      <c r="A961" t="s">
        <v>1870</v>
      </c>
      <c r="B961">
        <f>SUM(FishSumAllPRN!B961)</f>
        <v>0</v>
      </c>
      <c r="C961">
        <f>SUM(FishSumAllPRN!C961)</f>
        <v>0</v>
      </c>
      <c r="D961">
        <f>SUM(FishSumAllPRN!D961)</f>
        <v>0</v>
      </c>
      <c r="E961">
        <f>SUM(FishSumAllPRN!E961)</f>
        <v>0</v>
      </c>
      <c r="F961">
        <f>SUM(FishSumAllPRN!F961)</f>
        <v>0</v>
      </c>
      <c r="G961">
        <f>SUM(FishSumAllPRN!G961)</f>
        <v>0</v>
      </c>
      <c r="H961" s="54" t="s">
        <v>294</v>
      </c>
      <c r="I961" s="54"/>
    </row>
    <row r="962" spans="1:9" x14ac:dyDescent="0.2">
      <c r="A962" t="s">
        <v>1874</v>
      </c>
      <c r="B962">
        <f>SUM(FishSumAllPRN!B962)</f>
        <v>0</v>
      </c>
      <c r="C962">
        <f>SUM(FishSumAllPRN!C962)</f>
        <v>0</v>
      </c>
      <c r="D962">
        <f>SUM(FishSumAllPRN!D962)</f>
        <v>305</v>
      </c>
      <c r="E962">
        <f>SUM(FishSumAllPRN!E962)</f>
        <v>4376</v>
      </c>
      <c r="F962">
        <f>SUM(FishSumAllPRN!F962)</f>
        <v>0</v>
      </c>
      <c r="G962">
        <f>SUM(FishSumAllPRN!G962)</f>
        <v>4681</v>
      </c>
      <c r="H962" s="54" t="s">
        <v>294</v>
      </c>
      <c r="I962" s="54"/>
    </row>
    <row r="963" spans="1:9" x14ac:dyDescent="0.2">
      <c r="A963" t="s">
        <v>1876</v>
      </c>
      <c r="B963">
        <f>SUM(FishSumAllPRN!B963)</f>
        <v>0</v>
      </c>
      <c r="C963">
        <f>SUM(FishSumAllPRN!C963)</f>
        <v>0</v>
      </c>
      <c r="D963">
        <f>SUM(FishSumAllPRN!D963)</f>
        <v>0</v>
      </c>
      <c r="E963">
        <f>SUM(FishSumAllPRN!E963)</f>
        <v>0</v>
      </c>
      <c r="F963">
        <f>SUM(FishSumAllPRN!F963)</f>
        <v>663</v>
      </c>
      <c r="G963">
        <f>SUM(FishSumAllPRN!G963)</f>
        <v>663</v>
      </c>
      <c r="H963" s="54" t="s">
        <v>294</v>
      </c>
      <c r="I963" s="54"/>
    </row>
    <row r="964" spans="1:9" x14ac:dyDescent="0.2">
      <c r="A964" t="s">
        <v>1881</v>
      </c>
      <c r="B964">
        <f>SUM(FishSumAllPRN!B964)</f>
        <v>0</v>
      </c>
      <c r="C964">
        <f>SUM(FishSumAllPRN!C964)</f>
        <v>0</v>
      </c>
      <c r="D964">
        <f>SUM(FishSumAllPRN!D964)</f>
        <v>0</v>
      </c>
      <c r="E964">
        <f>SUM(FishSumAllPRN!E964)</f>
        <v>0</v>
      </c>
      <c r="F964">
        <f>SUM(FishSumAllPRN!F964)</f>
        <v>1948</v>
      </c>
      <c r="G964">
        <f>SUM(FishSumAllPRN!G964)</f>
        <v>1948</v>
      </c>
      <c r="H964" s="54" t="s">
        <v>294</v>
      </c>
      <c r="I964" s="54"/>
    </row>
    <row r="965" spans="1:9" x14ac:dyDescent="0.2">
      <c r="A965" t="s">
        <v>1885</v>
      </c>
      <c r="B965">
        <f>SUM(FishSumAllPRN!B965)</f>
        <v>3423</v>
      </c>
      <c r="C965">
        <f>SUM(FishSumAllPRN!C965)</f>
        <v>3841</v>
      </c>
      <c r="D965">
        <f>SUM(FishSumAllPRN!D965)</f>
        <v>5606</v>
      </c>
      <c r="E965">
        <f>SUM(FishSumAllPRN!E965)</f>
        <v>12429</v>
      </c>
      <c r="F965">
        <f>SUM(FishSumAllPRN!F965)</f>
        <v>595</v>
      </c>
      <c r="G965">
        <f>SUM(FishSumAllPRN!G965)</f>
        <v>25894</v>
      </c>
      <c r="H965" s="54" t="s">
        <v>294</v>
      </c>
      <c r="I965" s="54"/>
    </row>
    <row r="966" spans="1:9" x14ac:dyDescent="0.2">
      <c r="A966" t="s">
        <v>1887</v>
      </c>
      <c r="B966">
        <f>SUM(FishSumAllPRN!B966)</f>
        <v>0</v>
      </c>
      <c r="C966">
        <f>SUM(FishSumAllPRN!C966)</f>
        <v>0</v>
      </c>
      <c r="D966">
        <f>SUM(FishSumAllPRN!D966)</f>
        <v>0</v>
      </c>
      <c r="E966">
        <f>SUM(FishSumAllPRN!E966)</f>
        <v>38</v>
      </c>
      <c r="F966">
        <f>SUM(FishSumAllPRN!F966)</f>
        <v>295</v>
      </c>
      <c r="G966">
        <f>SUM(FishSumAllPRN!G966)</f>
        <v>333</v>
      </c>
      <c r="H966" s="54" t="s">
        <v>294</v>
      </c>
      <c r="I966" s="54"/>
    </row>
    <row r="967" spans="1:9" x14ac:dyDescent="0.2">
      <c r="A967" t="s">
        <v>1893</v>
      </c>
      <c r="B967">
        <f>SUM(FishSumAllPRN!B967)</f>
        <v>0</v>
      </c>
      <c r="C967">
        <f>SUM(FishSumAllPRN!C967)</f>
        <v>0</v>
      </c>
      <c r="D967">
        <f>SUM(FishSumAllPRN!D967)</f>
        <v>0</v>
      </c>
      <c r="E967">
        <f>SUM(FishSumAllPRN!E967)</f>
        <v>2078</v>
      </c>
      <c r="F967">
        <f>SUM(FishSumAllPRN!F967)</f>
        <v>579</v>
      </c>
      <c r="G967">
        <f>SUM(FishSumAllPRN!G967)</f>
        <v>2657</v>
      </c>
      <c r="H967" s="54" t="s">
        <v>294</v>
      </c>
      <c r="I967" s="54"/>
    </row>
    <row r="968" spans="1:9" x14ac:dyDescent="0.2">
      <c r="A968" t="s">
        <v>1899</v>
      </c>
      <c r="B968">
        <f>SUM(FishSumAllPRN!B968)</f>
        <v>0</v>
      </c>
      <c r="C968">
        <f>SUM(FishSumAllPRN!C968)</f>
        <v>0</v>
      </c>
      <c r="D968">
        <f>SUM(FishSumAllPRN!D968)</f>
        <v>0</v>
      </c>
      <c r="E968">
        <f>SUM(FishSumAllPRN!E968)</f>
        <v>0</v>
      </c>
      <c r="F968">
        <f>SUM(FishSumAllPRN!F968)</f>
        <v>0</v>
      </c>
      <c r="G968">
        <f>SUM(FishSumAllPRN!G968)</f>
        <v>0</v>
      </c>
      <c r="H968" s="54" t="s">
        <v>294</v>
      </c>
      <c r="I968" s="54"/>
    </row>
    <row r="969" spans="1:9" x14ac:dyDescent="0.2">
      <c r="A969" t="s">
        <v>1906</v>
      </c>
      <c r="B969">
        <f>SUM(FishSumAllPRN!B969)</f>
        <v>0</v>
      </c>
      <c r="C969">
        <f>SUM(FishSumAllPRN!C969)</f>
        <v>0</v>
      </c>
      <c r="D969">
        <f>SUM(FishSumAllPRN!D969)</f>
        <v>0</v>
      </c>
      <c r="E969">
        <f>SUM(FishSumAllPRN!E969)</f>
        <v>2578</v>
      </c>
      <c r="F969">
        <f>SUM(FishSumAllPRN!F969)</f>
        <v>31</v>
      </c>
      <c r="G969">
        <f>SUM(FishSumAllPRN!G969)</f>
        <v>2608</v>
      </c>
      <c r="H969" s="54" t="s">
        <v>294</v>
      </c>
      <c r="I969" s="54"/>
    </row>
    <row r="970" spans="1:9" x14ac:dyDescent="0.2">
      <c r="A970" t="s">
        <v>1911</v>
      </c>
      <c r="B970">
        <f>SUM(FishSumAllPRN!B970)</f>
        <v>0</v>
      </c>
      <c r="C970">
        <f>SUM(FishSumAllPRN!C970)</f>
        <v>0</v>
      </c>
      <c r="D970">
        <f>SUM(FishSumAllPRN!D970)</f>
        <v>0</v>
      </c>
      <c r="E970">
        <f>SUM(FishSumAllPRN!E970)</f>
        <v>0</v>
      </c>
      <c r="F970">
        <f>SUM(FishSumAllPRN!F970)</f>
        <v>0</v>
      </c>
      <c r="G970">
        <f>SUM(FishSumAllPRN!G970)</f>
        <v>0</v>
      </c>
      <c r="H970" s="54" t="s">
        <v>294</v>
      </c>
      <c r="I970" s="54"/>
    </row>
    <row r="971" spans="1:9" x14ac:dyDescent="0.2">
      <c r="A971" t="s">
        <v>1917</v>
      </c>
      <c r="B971">
        <f>SUM(FishSumAllPRN!B971)</f>
        <v>0</v>
      </c>
      <c r="C971">
        <f>SUM(FishSumAllPRN!C971)</f>
        <v>0</v>
      </c>
      <c r="D971">
        <f>SUM(FishSumAllPRN!D971)</f>
        <v>0</v>
      </c>
      <c r="E971">
        <f>SUM(FishSumAllPRN!E971)</f>
        <v>1512</v>
      </c>
      <c r="F971">
        <f>SUM(FishSumAllPRN!F971)</f>
        <v>2294</v>
      </c>
      <c r="G971">
        <f>SUM(FishSumAllPRN!G971)</f>
        <v>3806</v>
      </c>
      <c r="H971" s="54" t="s">
        <v>294</v>
      </c>
      <c r="I971" s="54"/>
    </row>
    <row r="972" spans="1:9" x14ac:dyDescent="0.2">
      <c r="A972" t="s">
        <v>1922</v>
      </c>
      <c r="B972">
        <f>SUM(FishSumAllPRN!B972)</f>
        <v>0</v>
      </c>
      <c r="C972">
        <f>SUM(FishSumAllPRN!C972)</f>
        <v>0</v>
      </c>
      <c r="D972">
        <f>SUM(FishSumAllPRN!D972)</f>
        <v>0</v>
      </c>
      <c r="E972">
        <f>SUM(FishSumAllPRN!E972)</f>
        <v>2406</v>
      </c>
      <c r="F972">
        <f>SUM(FishSumAllPRN!F972)</f>
        <v>1060</v>
      </c>
      <c r="G972">
        <f>SUM(FishSumAllPRN!G972)</f>
        <v>3465</v>
      </c>
      <c r="H972" s="54" t="s">
        <v>294</v>
      </c>
      <c r="I972" s="54"/>
    </row>
    <row r="973" spans="1:9" x14ac:dyDescent="0.2">
      <c r="A973" t="s">
        <v>1928</v>
      </c>
      <c r="B973">
        <f>SUM(FishSumAllPRN!B973)</f>
        <v>0</v>
      </c>
      <c r="C973">
        <f>SUM(FishSumAllPRN!C973)</f>
        <v>0</v>
      </c>
      <c r="D973">
        <f>SUM(FishSumAllPRN!D973)</f>
        <v>0</v>
      </c>
      <c r="E973">
        <f>SUM(FishSumAllPRN!E973)</f>
        <v>0</v>
      </c>
      <c r="F973">
        <f>SUM(FishSumAllPRN!F973)</f>
        <v>21330</v>
      </c>
      <c r="G973">
        <f>SUM(FishSumAllPRN!G973)</f>
        <v>21330</v>
      </c>
      <c r="H973" s="54" t="s">
        <v>294</v>
      </c>
      <c r="I973" s="54"/>
    </row>
    <row r="974" spans="1:9" x14ac:dyDescent="0.2">
      <c r="A974" t="s">
        <v>1932</v>
      </c>
      <c r="B974">
        <f>SUM(FishSumAllPRN!B974)</f>
        <v>0</v>
      </c>
      <c r="C974">
        <f>SUM(FishSumAllPRN!C974)</f>
        <v>0</v>
      </c>
      <c r="D974">
        <f>SUM(FishSumAllPRN!D974)</f>
        <v>0</v>
      </c>
      <c r="E974">
        <f>SUM(FishSumAllPRN!E974)</f>
        <v>0</v>
      </c>
      <c r="F974">
        <f>SUM(FishSumAllPRN!F974)</f>
        <v>2260</v>
      </c>
      <c r="G974">
        <f>SUM(FishSumAllPRN!G974)</f>
        <v>2260</v>
      </c>
      <c r="H974" s="54" t="s">
        <v>294</v>
      </c>
      <c r="I974" s="54"/>
    </row>
    <row r="975" spans="1:9" x14ac:dyDescent="0.2">
      <c r="A975" t="s">
        <v>1938</v>
      </c>
      <c r="B975">
        <f>SUM(FishSumAllPRN!B975)</f>
        <v>0</v>
      </c>
      <c r="C975">
        <f>SUM(FishSumAllPRN!C975)</f>
        <v>0</v>
      </c>
      <c r="D975">
        <f>SUM(FishSumAllPRN!D975)</f>
        <v>0</v>
      </c>
      <c r="E975">
        <f>SUM(FishSumAllPRN!E975)</f>
        <v>0</v>
      </c>
      <c r="F975">
        <f>SUM(FishSumAllPRN!F975)</f>
        <v>477</v>
      </c>
      <c r="G975">
        <f>SUM(FishSumAllPRN!G975)</f>
        <v>477</v>
      </c>
      <c r="H975" s="54" t="s">
        <v>294</v>
      </c>
      <c r="I975" s="54"/>
    </row>
    <row r="976" spans="1:9" x14ac:dyDescent="0.2">
      <c r="A976" t="s">
        <v>1944</v>
      </c>
      <c r="B976">
        <f>SUM(FishSumAllPRN!B976)</f>
        <v>7</v>
      </c>
      <c r="C976">
        <f>SUM(FishSumAllPRN!C976)</f>
        <v>354</v>
      </c>
      <c r="D976">
        <f>SUM(FishSumAllPRN!D976)</f>
        <v>1221</v>
      </c>
      <c r="E976">
        <f>SUM(FishSumAllPRN!E976)</f>
        <v>3108</v>
      </c>
      <c r="F976">
        <f>SUM(FishSumAllPRN!F976)</f>
        <v>102</v>
      </c>
      <c r="G976">
        <f>SUM(FishSumAllPRN!G976)</f>
        <v>4792</v>
      </c>
      <c r="H976" s="54" t="s">
        <v>294</v>
      </c>
      <c r="I976" s="54"/>
    </row>
    <row r="977" spans="1:9" x14ac:dyDescent="0.2">
      <c r="A977" t="s">
        <v>1947</v>
      </c>
      <c r="B977">
        <f>SUM(FishSumAllPRN!B977)</f>
        <v>0</v>
      </c>
      <c r="C977">
        <f>SUM(FishSumAllPRN!C977)</f>
        <v>0</v>
      </c>
      <c r="D977">
        <f>SUM(FishSumAllPRN!D977)</f>
        <v>0</v>
      </c>
      <c r="E977">
        <f>SUM(FishSumAllPRN!E977)</f>
        <v>0</v>
      </c>
      <c r="F977">
        <f>SUM(FishSumAllPRN!F977)</f>
        <v>90</v>
      </c>
      <c r="G977">
        <f>SUM(FishSumAllPRN!G977)</f>
        <v>90</v>
      </c>
      <c r="H977" s="54" t="s">
        <v>294</v>
      </c>
      <c r="I977" s="54"/>
    </row>
    <row r="978" spans="1:9" x14ac:dyDescent="0.2">
      <c r="A978" t="s">
        <v>1953</v>
      </c>
      <c r="B978">
        <f>SUM(FishSumAllPRN!B978)</f>
        <v>0</v>
      </c>
      <c r="C978">
        <f>SUM(FishSumAllPRN!C978)</f>
        <v>0</v>
      </c>
      <c r="D978">
        <f>SUM(FishSumAllPRN!D978)</f>
        <v>0</v>
      </c>
      <c r="E978">
        <f>SUM(FishSumAllPRN!E978)</f>
        <v>63</v>
      </c>
      <c r="F978">
        <f>SUM(FishSumAllPRN!F978)</f>
        <v>204</v>
      </c>
      <c r="G978">
        <f>SUM(FishSumAllPRN!G978)</f>
        <v>267</v>
      </c>
      <c r="H978" s="54" t="s">
        <v>294</v>
      </c>
      <c r="I978" s="54"/>
    </row>
    <row r="979" spans="1:9" x14ac:dyDescent="0.2">
      <c r="A979" t="s">
        <v>1958</v>
      </c>
      <c r="B979">
        <f>SUM(FishSumAllPRN!B979)</f>
        <v>0</v>
      </c>
      <c r="C979">
        <f>SUM(FishSumAllPRN!C979)</f>
        <v>0</v>
      </c>
      <c r="D979">
        <f>SUM(FishSumAllPRN!D979)</f>
        <v>0</v>
      </c>
      <c r="E979">
        <f>SUM(FishSumAllPRN!E979)</f>
        <v>0</v>
      </c>
      <c r="F979">
        <f>SUM(FishSumAllPRN!F979)</f>
        <v>0</v>
      </c>
      <c r="G979">
        <f>SUM(FishSumAllPRN!G979)</f>
        <v>0</v>
      </c>
      <c r="H979" s="54" t="s">
        <v>294</v>
      </c>
      <c r="I979" s="54"/>
    </row>
    <row r="980" spans="1:9" x14ac:dyDescent="0.2">
      <c r="A980" t="s">
        <v>1964</v>
      </c>
      <c r="B980">
        <f>SUM(FishSumAllPRN!B980)</f>
        <v>0</v>
      </c>
      <c r="C980">
        <f>SUM(FishSumAllPRN!C980)</f>
        <v>0</v>
      </c>
      <c r="D980">
        <f>SUM(FishSumAllPRN!D980)</f>
        <v>0</v>
      </c>
      <c r="E980">
        <f>SUM(FishSumAllPRN!E980)</f>
        <v>17</v>
      </c>
      <c r="F980">
        <f>SUM(FishSumAllPRN!F980)</f>
        <v>148</v>
      </c>
      <c r="G980">
        <f>SUM(FishSumAllPRN!G980)</f>
        <v>165</v>
      </c>
      <c r="H980" s="54" t="s">
        <v>294</v>
      </c>
      <c r="I980" s="54"/>
    </row>
    <row r="981" spans="1:9" x14ac:dyDescent="0.2">
      <c r="A981" t="s">
        <v>1973</v>
      </c>
      <c r="B981">
        <f>SUM(FishSumAllPRN!B981)</f>
        <v>0</v>
      </c>
      <c r="C981">
        <f>SUM(FishSumAllPRN!C981)</f>
        <v>0</v>
      </c>
      <c r="D981">
        <f>SUM(FishSumAllPRN!D981)</f>
        <v>0</v>
      </c>
      <c r="E981">
        <f>SUM(FishSumAllPRN!E981)</f>
        <v>0</v>
      </c>
      <c r="F981">
        <f>SUM(FishSumAllPRN!F981)</f>
        <v>5919</v>
      </c>
      <c r="G981">
        <f>SUM(FishSumAllPRN!G981)</f>
        <v>5919</v>
      </c>
      <c r="H981" s="54" t="s">
        <v>294</v>
      </c>
      <c r="I981" s="54"/>
    </row>
    <row r="982" spans="1:9" x14ac:dyDescent="0.2">
      <c r="A982" t="s">
        <v>1978</v>
      </c>
      <c r="B982">
        <f>SUM(FishSumAllPRN!B982)</f>
        <v>0</v>
      </c>
      <c r="C982">
        <f>SUM(FishSumAllPRN!C982)</f>
        <v>0</v>
      </c>
      <c r="D982">
        <f>SUM(FishSumAllPRN!D982)</f>
        <v>0</v>
      </c>
      <c r="E982">
        <f>SUM(FishSumAllPRN!E982)</f>
        <v>0</v>
      </c>
      <c r="F982">
        <f>SUM(FishSumAllPRN!F982)</f>
        <v>3832</v>
      </c>
      <c r="G982">
        <f>SUM(FishSumAllPRN!G982)</f>
        <v>3832</v>
      </c>
      <c r="H982" s="54" t="s">
        <v>294</v>
      </c>
      <c r="I982" s="54"/>
    </row>
    <row r="983" spans="1:9" x14ac:dyDescent="0.2">
      <c r="A983" t="s">
        <v>1983</v>
      </c>
      <c r="B983">
        <f>SUM(FishSumAllPRN!B983)</f>
        <v>410</v>
      </c>
      <c r="C983">
        <f>SUM(FishSumAllPRN!C983)</f>
        <v>31</v>
      </c>
      <c r="D983">
        <f>SUM(FishSumAllPRN!D983)</f>
        <v>71</v>
      </c>
      <c r="E983">
        <f>SUM(FishSumAllPRN!E983)</f>
        <v>448</v>
      </c>
      <c r="F983">
        <f>SUM(FishSumAllPRN!F983)</f>
        <v>99</v>
      </c>
      <c r="G983">
        <f>SUM(FishSumAllPRN!G983)</f>
        <v>1058</v>
      </c>
      <c r="H983" s="54" t="s">
        <v>294</v>
      </c>
      <c r="I983" s="54"/>
    </row>
    <row r="984" spans="1:9" x14ac:dyDescent="0.2">
      <c r="A984" t="s">
        <v>1984</v>
      </c>
      <c r="B984">
        <f>SUM(FishSumAllPRN!B984)</f>
        <v>0</v>
      </c>
      <c r="C984">
        <f>SUM(FishSumAllPRN!C984)</f>
        <v>0</v>
      </c>
      <c r="D984">
        <f>SUM(FishSumAllPRN!D984)</f>
        <v>0</v>
      </c>
      <c r="E984">
        <f>SUM(FishSumAllPRN!E984)</f>
        <v>0</v>
      </c>
      <c r="F984">
        <f>SUM(FishSumAllPRN!F984)</f>
        <v>0</v>
      </c>
      <c r="G984">
        <f>SUM(FishSumAllPRN!G984)</f>
        <v>0</v>
      </c>
      <c r="H984" s="54" t="s">
        <v>294</v>
      </c>
      <c r="I984" s="54"/>
    </row>
    <row r="985" spans="1:9" x14ac:dyDescent="0.2">
      <c r="A985" t="s">
        <v>1990</v>
      </c>
      <c r="B985">
        <f>SUM(FishSumAllPRN!B985)</f>
        <v>0</v>
      </c>
      <c r="C985">
        <f>SUM(FishSumAllPRN!C985)</f>
        <v>0</v>
      </c>
      <c r="D985">
        <f>SUM(FishSumAllPRN!D985)</f>
        <v>0</v>
      </c>
      <c r="E985">
        <f>SUM(FishSumAllPRN!E985)</f>
        <v>85</v>
      </c>
      <c r="F985">
        <f>SUM(FishSumAllPRN!F985)</f>
        <v>133</v>
      </c>
      <c r="G985">
        <f>SUM(FishSumAllPRN!G985)</f>
        <v>218</v>
      </c>
      <c r="H985" s="54" t="s">
        <v>294</v>
      </c>
      <c r="I985" s="54"/>
    </row>
    <row r="986" spans="1:9" x14ac:dyDescent="0.2">
      <c r="A986" t="s">
        <v>1996</v>
      </c>
      <c r="B986">
        <f>SUM(FishSumAllPRN!B986)</f>
        <v>0</v>
      </c>
      <c r="C986">
        <f>SUM(FishSumAllPRN!C986)</f>
        <v>0</v>
      </c>
      <c r="D986">
        <f>SUM(FishSumAllPRN!D986)</f>
        <v>0</v>
      </c>
      <c r="E986">
        <f>SUM(FishSumAllPRN!E986)</f>
        <v>0</v>
      </c>
      <c r="F986">
        <f>SUM(FishSumAllPRN!F986)</f>
        <v>0</v>
      </c>
      <c r="G986">
        <f>SUM(FishSumAllPRN!G986)</f>
        <v>0</v>
      </c>
      <c r="H986" s="54" t="s">
        <v>294</v>
      </c>
      <c r="I986" s="54"/>
    </row>
    <row r="987" spans="1:9" x14ac:dyDescent="0.2">
      <c r="A987" t="s">
        <v>1998</v>
      </c>
      <c r="B987">
        <f>SUM(FishSumAllPRN!B987)</f>
        <v>0</v>
      </c>
      <c r="C987">
        <f>SUM(FishSumAllPRN!C987)</f>
        <v>0</v>
      </c>
      <c r="D987">
        <f>SUM(FishSumAllPRN!D987)</f>
        <v>0</v>
      </c>
      <c r="E987">
        <f>SUM(FishSumAllPRN!E987)</f>
        <v>0</v>
      </c>
      <c r="F987">
        <f>SUM(FishSumAllPRN!F987)</f>
        <v>0</v>
      </c>
      <c r="G987">
        <f>SUM(FishSumAllPRN!G987)</f>
        <v>0</v>
      </c>
      <c r="H987" s="54" t="s">
        <v>294</v>
      </c>
      <c r="I987" s="54"/>
    </row>
    <row r="988" spans="1:9" x14ac:dyDescent="0.2">
      <c r="A988" t="s">
        <v>1999</v>
      </c>
      <c r="B988">
        <f>SUM(FishSumAllPRN!B988)</f>
        <v>0</v>
      </c>
      <c r="C988">
        <f>SUM(FishSumAllPRN!C988)</f>
        <v>0</v>
      </c>
      <c r="D988">
        <f>SUM(FishSumAllPRN!D988)</f>
        <v>0</v>
      </c>
      <c r="E988">
        <f>SUM(FishSumAllPRN!E988)</f>
        <v>0</v>
      </c>
      <c r="F988">
        <f>SUM(FishSumAllPRN!F988)</f>
        <v>562</v>
      </c>
      <c r="G988">
        <f>SUM(FishSumAllPRN!G988)</f>
        <v>562</v>
      </c>
      <c r="H988" s="54" t="s">
        <v>294</v>
      </c>
      <c r="I988" s="54"/>
    </row>
    <row r="989" spans="1:9" x14ac:dyDescent="0.2">
      <c r="A989" t="s">
        <v>2004</v>
      </c>
      <c r="B989">
        <f>SUM(FishSumAllPRN!B989)</f>
        <v>0</v>
      </c>
      <c r="C989">
        <f>SUM(FishSumAllPRN!C989)</f>
        <v>0</v>
      </c>
      <c r="D989">
        <f>SUM(FishSumAllPRN!D989)</f>
        <v>0</v>
      </c>
      <c r="E989">
        <f>SUM(FishSumAllPRN!E989)</f>
        <v>484</v>
      </c>
      <c r="F989">
        <f>SUM(FishSumAllPRN!F989)</f>
        <v>675</v>
      </c>
      <c r="G989">
        <f>SUM(FishSumAllPRN!G989)</f>
        <v>1159</v>
      </c>
      <c r="H989" s="54" t="s">
        <v>294</v>
      </c>
      <c r="I989" s="54"/>
    </row>
    <row r="990" spans="1:9" x14ac:dyDescent="0.2">
      <c r="A990" t="s">
        <v>2009</v>
      </c>
      <c r="B990">
        <f>SUM(FishSumAllPRN!B990)</f>
        <v>0</v>
      </c>
      <c r="C990">
        <f>SUM(FishSumAllPRN!C990)</f>
        <v>0</v>
      </c>
      <c r="D990">
        <f>SUM(FishSumAllPRN!D990)</f>
        <v>0</v>
      </c>
      <c r="E990">
        <f>SUM(FishSumAllPRN!E990)</f>
        <v>0</v>
      </c>
      <c r="F990">
        <f>SUM(FishSumAllPRN!F990)</f>
        <v>0</v>
      </c>
      <c r="G990">
        <f>SUM(FishSumAllPRN!G990)</f>
        <v>0</v>
      </c>
      <c r="H990" s="54" t="s">
        <v>294</v>
      </c>
      <c r="I990" s="54"/>
    </row>
    <row r="991" spans="1:9" x14ac:dyDescent="0.2">
      <c r="A991" t="s">
        <v>2014</v>
      </c>
      <c r="B991">
        <f>SUM(FishSumAllPRN!B991)</f>
        <v>0</v>
      </c>
      <c r="C991">
        <f>SUM(FishSumAllPRN!C991)</f>
        <v>0</v>
      </c>
      <c r="D991">
        <f>SUM(FishSumAllPRN!D991)</f>
        <v>0</v>
      </c>
      <c r="E991">
        <f>SUM(FishSumAllPRN!E991)</f>
        <v>22138</v>
      </c>
      <c r="F991">
        <f>SUM(FishSumAllPRN!F991)</f>
        <v>12393</v>
      </c>
      <c r="G991">
        <f>SUM(FishSumAllPRN!G991)</f>
        <v>34532</v>
      </c>
      <c r="H991" s="54" t="s">
        <v>294</v>
      </c>
      <c r="I991" s="54"/>
    </row>
    <row r="992" spans="1:9" x14ac:dyDescent="0.2">
      <c r="A992" t="s">
        <v>2019</v>
      </c>
      <c r="B992">
        <f>SUM(FishSumAllPRN!B992)</f>
        <v>0</v>
      </c>
      <c r="C992">
        <f>SUM(FishSumAllPRN!C992)</f>
        <v>0</v>
      </c>
      <c r="D992">
        <f>SUM(FishSumAllPRN!D992)</f>
        <v>0</v>
      </c>
      <c r="E992">
        <f>SUM(FishSumAllPRN!E992)</f>
        <v>0</v>
      </c>
      <c r="F992">
        <f>SUM(FishSumAllPRN!F992)</f>
        <v>0</v>
      </c>
      <c r="G992">
        <f>SUM(FishSumAllPRN!G992)</f>
        <v>0</v>
      </c>
      <c r="H992" s="54" t="s">
        <v>294</v>
      </c>
      <c r="I992" s="54"/>
    </row>
    <row r="993" spans="1:9" x14ac:dyDescent="0.2">
      <c r="A993" t="s">
        <v>2023</v>
      </c>
      <c r="B993">
        <f>SUM(FishSumAllPRN!B993)</f>
        <v>0</v>
      </c>
      <c r="C993">
        <f>SUM(FishSumAllPRN!C993)</f>
        <v>0</v>
      </c>
      <c r="D993">
        <f>SUM(FishSumAllPRN!D993)</f>
        <v>0</v>
      </c>
      <c r="E993">
        <f>SUM(FishSumAllPRN!E993)</f>
        <v>0</v>
      </c>
      <c r="F993">
        <f>SUM(FishSumAllPRN!F993)</f>
        <v>116</v>
      </c>
      <c r="G993">
        <f>SUM(FishSumAllPRN!G993)</f>
        <v>116</v>
      </c>
      <c r="H993" s="54" t="s">
        <v>294</v>
      </c>
      <c r="I993" s="54"/>
    </row>
    <row r="994" spans="1:9" x14ac:dyDescent="0.2">
      <c r="A994" t="s">
        <v>2026</v>
      </c>
      <c r="B994">
        <f>SUM(FishSumAllPRN!B994)</f>
        <v>0</v>
      </c>
      <c r="C994">
        <f>SUM(FishSumAllPRN!C994)</f>
        <v>0</v>
      </c>
      <c r="D994">
        <f>SUM(FishSumAllPRN!D994)</f>
        <v>0</v>
      </c>
      <c r="E994">
        <f>SUM(FishSumAllPRN!E994)</f>
        <v>0</v>
      </c>
      <c r="F994">
        <f>SUM(FishSumAllPRN!F994)</f>
        <v>2471</v>
      </c>
      <c r="G994">
        <f>SUM(FishSumAllPRN!G994)</f>
        <v>2471</v>
      </c>
      <c r="H994" s="54" t="s">
        <v>294</v>
      </c>
      <c r="I994" s="54"/>
    </row>
    <row r="995" spans="1:9" x14ac:dyDescent="0.2">
      <c r="A995" t="s">
        <v>2030</v>
      </c>
      <c r="B995">
        <f>SUM(FishSumAllPRN!B995)</f>
        <v>0</v>
      </c>
      <c r="C995">
        <f>SUM(FishSumAllPRN!C995)</f>
        <v>0</v>
      </c>
      <c r="D995">
        <f>SUM(FishSumAllPRN!D995)</f>
        <v>0</v>
      </c>
      <c r="E995">
        <f>SUM(FishSumAllPRN!E995)</f>
        <v>0</v>
      </c>
      <c r="F995">
        <f>SUM(FishSumAllPRN!F995)</f>
        <v>2</v>
      </c>
      <c r="G995">
        <f>SUM(FishSumAllPRN!G995)</f>
        <v>2</v>
      </c>
      <c r="H995" s="54" t="s">
        <v>294</v>
      </c>
      <c r="I995" s="54"/>
    </row>
    <row r="996" spans="1:9" x14ac:dyDescent="0.2">
      <c r="A996" t="s">
        <v>2035</v>
      </c>
      <c r="B996">
        <f>SUM(FishSumAllPRN!B996)</f>
        <v>0</v>
      </c>
      <c r="C996">
        <f>SUM(FishSumAllPRN!C996)</f>
        <v>0</v>
      </c>
      <c r="D996">
        <f>SUM(FishSumAllPRN!D996)</f>
        <v>0</v>
      </c>
      <c r="E996">
        <f>SUM(FishSumAllPRN!E996)</f>
        <v>0</v>
      </c>
      <c r="F996">
        <f>SUM(FishSumAllPRN!F996)</f>
        <v>0</v>
      </c>
      <c r="G996">
        <f>SUM(FishSumAllPRN!G996)</f>
        <v>0</v>
      </c>
      <c r="H996" s="54" t="s">
        <v>294</v>
      </c>
      <c r="I996" s="54"/>
    </row>
    <row r="997" spans="1:9" x14ac:dyDescent="0.2">
      <c r="A997" t="s">
        <v>2040</v>
      </c>
      <c r="B997">
        <f>SUM(FishSumAllPRN!B997)</f>
        <v>0</v>
      </c>
      <c r="C997">
        <f>SUM(FishSumAllPRN!C997)</f>
        <v>0</v>
      </c>
      <c r="D997">
        <f>SUM(FishSumAllPRN!D997)</f>
        <v>0</v>
      </c>
      <c r="E997">
        <f>SUM(FishSumAllPRN!E997)</f>
        <v>0</v>
      </c>
      <c r="F997">
        <f>SUM(FishSumAllPRN!F997)</f>
        <v>1934</v>
      </c>
      <c r="G997">
        <f>SUM(FishSumAllPRN!G997)</f>
        <v>1934</v>
      </c>
      <c r="H997" s="54" t="s">
        <v>294</v>
      </c>
      <c r="I997" s="54"/>
    </row>
    <row r="998" spans="1:9" x14ac:dyDescent="0.2">
      <c r="A998" t="s">
        <v>2045</v>
      </c>
      <c r="B998">
        <f>SUM(FishSumAllPRN!B998)</f>
        <v>0</v>
      </c>
      <c r="C998">
        <f>SUM(FishSumAllPRN!C998)</f>
        <v>0</v>
      </c>
      <c r="D998">
        <f>SUM(FishSumAllPRN!D998)</f>
        <v>0</v>
      </c>
      <c r="E998">
        <f>SUM(FishSumAllPRN!E998)</f>
        <v>0</v>
      </c>
      <c r="F998">
        <f>SUM(FishSumAllPRN!F998)</f>
        <v>5</v>
      </c>
      <c r="G998">
        <f>SUM(FishSumAllPRN!G998)</f>
        <v>5</v>
      </c>
      <c r="H998" s="54" t="s">
        <v>294</v>
      </c>
      <c r="I998" s="54"/>
    </row>
    <row r="999" spans="1:9" x14ac:dyDescent="0.2">
      <c r="A999" t="s">
        <v>2049</v>
      </c>
      <c r="B999">
        <f>SUM(FishSumAllPRN!B999)</f>
        <v>0</v>
      </c>
      <c r="C999">
        <f>SUM(FishSumAllPRN!C999)</f>
        <v>0</v>
      </c>
      <c r="D999">
        <f>SUM(FishSumAllPRN!D999)</f>
        <v>2080</v>
      </c>
      <c r="E999">
        <f>SUM(FishSumAllPRN!E999)</f>
        <v>5079</v>
      </c>
      <c r="F999">
        <f>SUM(FishSumAllPRN!F999)</f>
        <v>843</v>
      </c>
      <c r="G999">
        <f>SUM(FishSumAllPRN!G999)</f>
        <v>8002</v>
      </c>
      <c r="H999" s="54" t="s">
        <v>294</v>
      </c>
      <c r="I999" s="54"/>
    </row>
    <row r="1000" spans="1:9" x14ac:dyDescent="0.2">
      <c r="A1000" t="s">
        <v>2051</v>
      </c>
      <c r="B1000">
        <f>SUM(FishSumAllPRN!B1000)</f>
        <v>0</v>
      </c>
      <c r="C1000">
        <f>SUM(FishSumAllPRN!C1000)</f>
        <v>0</v>
      </c>
      <c r="D1000">
        <f>SUM(FishSumAllPRN!D1000)</f>
        <v>0</v>
      </c>
      <c r="E1000">
        <f>SUM(FishSumAllPRN!E1000)</f>
        <v>0</v>
      </c>
      <c r="F1000">
        <f>SUM(FishSumAllPRN!F1000)</f>
        <v>1368</v>
      </c>
      <c r="G1000">
        <f>SUM(FishSumAllPRN!G1000)</f>
        <v>1368</v>
      </c>
      <c r="H1000" s="54" t="s">
        <v>294</v>
      </c>
      <c r="I1000" s="54"/>
    </row>
    <row r="1001" spans="1:9" x14ac:dyDescent="0.2">
      <c r="A1001" t="s">
        <v>2057</v>
      </c>
      <c r="B1001">
        <f>SUM(FishSumAllPRN!B1001)</f>
        <v>0</v>
      </c>
      <c r="C1001">
        <f>SUM(FishSumAllPRN!C1001)</f>
        <v>0</v>
      </c>
      <c r="D1001">
        <f>SUM(FishSumAllPRN!D1001)</f>
        <v>10</v>
      </c>
      <c r="E1001">
        <f>SUM(FishSumAllPRN!E1001)</f>
        <v>88</v>
      </c>
      <c r="F1001">
        <f>SUM(FishSumAllPRN!F1001)</f>
        <v>2264</v>
      </c>
      <c r="G1001">
        <f>SUM(FishSumAllPRN!G1001)</f>
        <v>2362</v>
      </c>
      <c r="H1001" s="54" t="s">
        <v>294</v>
      </c>
      <c r="I1001" s="54"/>
    </row>
    <row r="1002" spans="1:9" x14ac:dyDescent="0.2">
      <c r="A1002" t="s">
        <v>5762</v>
      </c>
      <c r="B1002">
        <f>SUM(FishSumAllPRN!B1002)</f>
        <v>0</v>
      </c>
      <c r="C1002">
        <f>SUM(FishSumAllPRN!C1002)</f>
        <v>0</v>
      </c>
      <c r="D1002">
        <f>SUM(FishSumAllPRN!D1002)</f>
        <v>0</v>
      </c>
      <c r="E1002">
        <f>SUM(FishSumAllPRN!E1002)</f>
        <v>1293</v>
      </c>
      <c r="F1002">
        <f>SUM(FishSumAllPRN!F1002)</f>
        <v>41</v>
      </c>
      <c r="G1002">
        <f>SUM(FishSumAllPRN!G1002)</f>
        <v>1334</v>
      </c>
      <c r="H1002" s="54" t="s">
        <v>294</v>
      </c>
      <c r="I1002" s="54"/>
    </row>
    <row r="1003" spans="1:9" x14ac:dyDescent="0.2">
      <c r="A1003" t="s">
        <v>5763</v>
      </c>
      <c r="B1003">
        <f>SUM(FishSumAllPRN!B1003)</f>
        <v>0</v>
      </c>
      <c r="C1003">
        <f>SUM(FishSumAllPRN!C1003)</f>
        <v>0</v>
      </c>
      <c r="D1003">
        <f>SUM(FishSumAllPRN!D1003)</f>
        <v>0</v>
      </c>
      <c r="E1003">
        <f>SUM(FishSumAllPRN!E1003)</f>
        <v>5042</v>
      </c>
      <c r="F1003">
        <f>SUM(FishSumAllPRN!F1003)</f>
        <v>1122</v>
      </c>
      <c r="G1003">
        <f>SUM(FishSumAllPRN!G1003)</f>
        <v>6164</v>
      </c>
      <c r="H1003" s="54" t="s">
        <v>294</v>
      </c>
      <c r="I1003" s="54"/>
    </row>
    <row r="1004" spans="1:9" x14ac:dyDescent="0.2">
      <c r="A1004" t="s">
        <v>2074</v>
      </c>
      <c r="B1004">
        <f>SUM(FishSumAllPRN!B1004)</f>
        <v>0</v>
      </c>
      <c r="C1004">
        <f>SUM(FishSumAllPRN!C1004)</f>
        <v>0</v>
      </c>
      <c r="D1004">
        <f>SUM(FishSumAllPRN!D1004)</f>
        <v>0</v>
      </c>
      <c r="E1004">
        <f>SUM(FishSumAllPRN!E1004)</f>
        <v>1284</v>
      </c>
      <c r="F1004">
        <f>SUM(FishSumAllPRN!F1004)</f>
        <v>0</v>
      </c>
      <c r="G1004">
        <f>SUM(FishSumAllPRN!G1004)</f>
        <v>1284</v>
      </c>
      <c r="H1004" s="54" t="s">
        <v>294</v>
      </c>
      <c r="I1004" s="54"/>
    </row>
    <row r="1005" spans="1:9" x14ac:dyDescent="0.2">
      <c r="A1005" t="s">
        <v>2079</v>
      </c>
      <c r="B1005">
        <f>SUM(FishSumAllPRN!B1005)</f>
        <v>0</v>
      </c>
      <c r="C1005">
        <f>SUM(FishSumAllPRN!C1005)</f>
        <v>0</v>
      </c>
      <c r="D1005">
        <f>SUM(FishSumAllPRN!D1005)</f>
        <v>0</v>
      </c>
      <c r="E1005">
        <f>SUM(FishSumAllPRN!E1005)</f>
        <v>3606</v>
      </c>
      <c r="F1005">
        <f>SUM(FishSumAllPRN!F1005)</f>
        <v>387</v>
      </c>
      <c r="G1005">
        <f>SUM(FishSumAllPRN!G1005)</f>
        <v>3993</v>
      </c>
      <c r="H1005" s="54" t="s">
        <v>294</v>
      </c>
      <c r="I1005" s="54"/>
    </row>
    <row r="1006" spans="1:9" x14ac:dyDescent="0.2">
      <c r="A1006" t="s">
        <v>2085</v>
      </c>
      <c r="B1006">
        <f>SUM(FishSumAllPRN!B1006)</f>
        <v>0</v>
      </c>
      <c r="C1006">
        <f>SUM(FishSumAllPRN!C1006)</f>
        <v>0</v>
      </c>
      <c r="D1006">
        <f>SUM(FishSumAllPRN!D1006)</f>
        <v>0</v>
      </c>
      <c r="E1006">
        <f>SUM(FishSumAllPRN!E1006)</f>
        <v>6</v>
      </c>
      <c r="F1006">
        <f>SUM(FishSumAllPRN!F1006)</f>
        <v>2</v>
      </c>
      <c r="G1006">
        <f>SUM(FishSumAllPRN!G1006)</f>
        <v>8</v>
      </c>
      <c r="H1006" s="54" t="s">
        <v>294</v>
      </c>
      <c r="I1006" s="54"/>
    </row>
    <row r="1007" spans="1:9" x14ac:dyDescent="0.2">
      <c r="A1007" t="s">
        <v>2091</v>
      </c>
      <c r="B1007">
        <f>SUM(FishSumAllPRN!B1007)</f>
        <v>0</v>
      </c>
      <c r="C1007">
        <f>SUM(FishSumAllPRN!C1007)</f>
        <v>0</v>
      </c>
      <c r="D1007">
        <f>SUM(FishSumAllPRN!D1007)</f>
        <v>0</v>
      </c>
      <c r="E1007">
        <f>SUM(FishSumAllPRN!E1007)</f>
        <v>1389</v>
      </c>
      <c r="F1007">
        <f>SUM(FishSumAllPRN!F1007)</f>
        <v>853</v>
      </c>
      <c r="G1007">
        <f>SUM(FishSumAllPRN!G1007)</f>
        <v>2242</v>
      </c>
      <c r="H1007" s="54" t="s">
        <v>294</v>
      </c>
      <c r="I1007" s="54"/>
    </row>
    <row r="1008" spans="1:9" x14ac:dyDescent="0.2">
      <c r="A1008" t="s">
        <v>2097</v>
      </c>
      <c r="B1008">
        <f>SUM(FishSumAllPRN!B1008)</f>
        <v>0</v>
      </c>
      <c r="C1008">
        <f>SUM(FishSumAllPRN!C1008)</f>
        <v>0</v>
      </c>
      <c r="D1008">
        <f>SUM(FishSumAllPRN!D1008)</f>
        <v>0</v>
      </c>
      <c r="E1008">
        <f>SUM(FishSumAllPRN!E1008)</f>
        <v>0</v>
      </c>
      <c r="F1008">
        <f>SUM(FishSumAllPRN!F1008)</f>
        <v>1494</v>
      </c>
      <c r="G1008">
        <f>SUM(FishSumAllPRN!G1008)</f>
        <v>1494</v>
      </c>
      <c r="H1008" s="54" t="s">
        <v>294</v>
      </c>
      <c r="I1008" s="54"/>
    </row>
    <row r="1009" spans="1:9" x14ac:dyDescent="0.2">
      <c r="A1009" t="s">
        <v>2101</v>
      </c>
      <c r="B1009">
        <f>SUM(FishSumAllPRN!B1009)</f>
        <v>0</v>
      </c>
      <c r="C1009">
        <f>SUM(FishSumAllPRN!C1009)</f>
        <v>0</v>
      </c>
      <c r="D1009">
        <f>SUM(FishSumAllPRN!D1009)</f>
        <v>0</v>
      </c>
      <c r="E1009">
        <f>SUM(FishSumAllPRN!E1009)</f>
        <v>0</v>
      </c>
      <c r="F1009">
        <f>SUM(FishSumAllPRN!F1009)</f>
        <v>1224</v>
      </c>
      <c r="G1009">
        <f>SUM(FishSumAllPRN!G1009)</f>
        <v>1224</v>
      </c>
      <c r="H1009" s="54" t="s">
        <v>294</v>
      </c>
      <c r="I1009" s="54"/>
    </row>
    <row r="1010" spans="1:9" x14ac:dyDescent="0.2">
      <c r="A1010" t="s">
        <v>2104</v>
      </c>
      <c r="B1010">
        <f>SUM(FishSumAllPRN!B1010)</f>
        <v>0</v>
      </c>
      <c r="C1010">
        <f>SUM(FishSumAllPRN!C1010)</f>
        <v>0</v>
      </c>
      <c r="D1010">
        <f>SUM(FishSumAllPRN!D1010)</f>
        <v>0</v>
      </c>
      <c r="E1010">
        <f>SUM(FishSumAllPRN!E1010)</f>
        <v>0</v>
      </c>
      <c r="F1010">
        <f>SUM(FishSumAllPRN!F1010)</f>
        <v>0</v>
      </c>
      <c r="G1010">
        <f>SUM(FishSumAllPRN!G1010)</f>
        <v>0</v>
      </c>
      <c r="H1010" s="54" t="s">
        <v>294</v>
      </c>
      <c r="I1010" s="54"/>
    </row>
    <row r="1011" spans="1:9" x14ac:dyDescent="0.2">
      <c r="A1011" t="s">
        <v>5764</v>
      </c>
      <c r="B1011">
        <f>SUM(FishSumAllPRN!B1011)</f>
        <v>0</v>
      </c>
      <c r="C1011">
        <f>SUM(FishSumAllPRN!C1011)</f>
        <v>0</v>
      </c>
      <c r="D1011">
        <f>SUM(FishSumAllPRN!D1011)</f>
        <v>0</v>
      </c>
      <c r="E1011">
        <f>SUM(FishSumAllPRN!E1011)</f>
        <v>0</v>
      </c>
      <c r="F1011">
        <f>SUM(FishSumAllPRN!F1011)</f>
        <v>2036</v>
      </c>
      <c r="G1011">
        <f>SUM(FishSumAllPRN!G1011)</f>
        <v>2036</v>
      </c>
      <c r="H1011" s="54" t="s">
        <v>294</v>
      </c>
      <c r="I1011" s="54"/>
    </row>
    <row r="1012" spans="1:9" x14ac:dyDescent="0.2">
      <c r="A1012" t="s">
        <v>2110</v>
      </c>
      <c r="B1012">
        <f>SUM(FishSumAllPRN!B1012)</f>
        <v>0</v>
      </c>
      <c r="C1012">
        <f>SUM(FishSumAllPRN!C1012)</f>
        <v>0</v>
      </c>
      <c r="D1012">
        <f>SUM(FishSumAllPRN!D1012)</f>
        <v>0</v>
      </c>
      <c r="E1012">
        <f>SUM(FishSumAllPRN!E1012)</f>
        <v>0</v>
      </c>
      <c r="F1012">
        <f>SUM(FishSumAllPRN!F1012)</f>
        <v>0</v>
      </c>
      <c r="G1012">
        <f>SUM(FishSumAllPRN!G1012)</f>
        <v>0</v>
      </c>
      <c r="H1012" s="54" t="s">
        <v>294</v>
      </c>
      <c r="I1012" s="54"/>
    </row>
    <row r="1013" spans="1:9" x14ac:dyDescent="0.2">
      <c r="A1013" t="s">
        <v>2113</v>
      </c>
      <c r="B1013">
        <f>SUM(FishSumAllPRN!B1013)</f>
        <v>0</v>
      </c>
      <c r="C1013">
        <f>SUM(FishSumAllPRN!C1013)</f>
        <v>0</v>
      </c>
      <c r="D1013">
        <f>SUM(FishSumAllPRN!D1013)</f>
        <v>0</v>
      </c>
      <c r="E1013">
        <f>SUM(FishSumAllPRN!E1013)</f>
        <v>0</v>
      </c>
      <c r="F1013">
        <f>SUM(FishSumAllPRN!F1013)</f>
        <v>0</v>
      </c>
      <c r="G1013">
        <f>SUM(FishSumAllPRN!G1013)</f>
        <v>0</v>
      </c>
      <c r="H1013" s="54" t="s">
        <v>294</v>
      </c>
      <c r="I1013" s="54"/>
    </row>
    <row r="1014" spans="1:9" x14ac:dyDescent="0.2">
      <c r="A1014" t="s">
        <v>4346</v>
      </c>
      <c r="B1014">
        <f>SUM(FishSumAllPRN!B1014)</f>
        <v>0</v>
      </c>
      <c r="C1014">
        <f>SUM(FishSumAllPRN!C1014)</f>
        <v>0</v>
      </c>
      <c r="D1014">
        <f>SUM(FishSumAllPRN!D1014)</f>
        <v>0</v>
      </c>
      <c r="E1014">
        <f>SUM(FishSumAllPRN!E1014)</f>
        <v>0</v>
      </c>
      <c r="F1014">
        <f>SUM(FishSumAllPRN!F1014)</f>
        <v>1084</v>
      </c>
      <c r="G1014">
        <f>SUM(FishSumAllPRN!G1014)</f>
        <v>1084</v>
      </c>
      <c r="H1014" s="54" t="s">
        <v>294</v>
      </c>
      <c r="I1014" s="54"/>
    </row>
    <row r="1015" spans="1:9" x14ac:dyDescent="0.2">
      <c r="A1015" t="s">
        <v>4347</v>
      </c>
      <c r="B1015">
        <f>SUM(FishSumAllPRN!B1015)</f>
        <v>0</v>
      </c>
      <c r="C1015">
        <f>SUM(FishSumAllPRN!C1015)</f>
        <v>0</v>
      </c>
      <c r="D1015">
        <f>SUM(FishSumAllPRN!D1015)</f>
        <v>0</v>
      </c>
      <c r="E1015">
        <f>SUM(FishSumAllPRN!E1015)</f>
        <v>0</v>
      </c>
      <c r="F1015">
        <f>SUM(FishSumAllPRN!F1015)</f>
        <v>1010</v>
      </c>
      <c r="G1015">
        <f>SUM(FishSumAllPRN!G1015)</f>
        <v>1010</v>
      </c>
      <c r="H1015" s="54" t="s">
        <v>294</v>
      </c>
      <c r="I1015" s="54"/>
    </row>
    <row r="1016" spans="1:9" x14ac:dyDescent="0.2">
      <c r="A1016" s="365" t="s">
        <v>4348</v>
      </c>
      <c r="B1016" s="365">
        <f>SUM(FishSumAllPRN!B1016)</f>
        <v>0</v>
      </c>
      <c r="C1016" s="365">
        <f>SUM(FishSumAllPRN!C1016)</f>
        <v>0</v>
      </c>
      <c r="D1016" s="365">
        <f>SUM(FishSumAllPRN!D1016)</f>
        <v>0</v>
      </c>
      <c r="E1016" s="365">
        <f>SUM(FishSumAllPRN!E1016)</f>
        <v>0</v>
      </c>
      <c r="F1016" s="365">
        <f>SUM(FishSumAllPRN!F1016)</f>
        <v>0</v>
      </c>
      <c r="G1016" s="365">
        <f>SUM(FishSumAllPRN!G1016)</f>
        <v>0</v>
      </c>
      <c r="H1016" s="54" t="s">
        <v>294</v>
      </c>
      <c r="I1016" s="54"/>
    </row>
    <row r="1017" spans="1:9" x14ac:dyDescent="0.2">
      <c r="A1017" s="365" t="s">
        <v>4349</v>
      </c>
      <c r="B1017" s="365">
        <f>SUM(FishSumAllPRN!B1017)</f>
        <v>0</v>
      </c>
      <c r="C1017" s="365">
        <f>SUM(FishSumAllPRN!C1017)</f>
        <v>0</v>
      </c>
      <c r="D1017" s="365">
        <f>SUM(FishSumAllPRN!D1017)</f>
        <v>0</v>
      </c>
      <c r="E1017" s="365">
        <f>SUM(FishSumAllPRN!E1017)</f>
        <v>0</v>
      </c>
      <c r="F1017" s="365">
        <f>SUM(FishSumAllPRN!F1017)</f>
        <v>0</v>
      </c>
      <c r="G1017" s="365">
        <f>SUM(FishSumAllPRN!G1017)</f>
        <v>0</v>
      </c>
      <c r="H1017" s="54" t="s">
        <v>294</v>
      </c>
      <c r="I1017" s="54"/>
    </row>
    <row r="1018" spans="1:9" x14ac:dyDescent="0.2">
      <c r="A1018" t="s">
        <v>4350</v>
      </c>
      <c r="B1018">
        <f>SUM(FishSumAllPRN!B1018)</f>
        <v>0</v>
      </c>
      <c r="C1018">
        <f>SUM(FishSumAllPRN!C1018)</f>
        <v>16236</v>
      </c>
      <c r="D1018">
        <f>SUM(FishSumAllPRN!D1018)</f>
        <v>66445</v>
      </c>
      <c r="E1018">
        <f>SUM(FishSumAllPRN!E1018)</f>
        <v>1574</v>
      </c>
      <c r="F1018">
        <f>SUM(FishSumAllPRN!F1018)</f>
        <v>0</v>
      </c>
      <c r="G1018">
        <f>SUM(FishSumAllPRN!G1018)</f>
        <v>84255</v>
      </c>
      <c r="H1018" s="54" t="s">
        <v>294</v>
      </c>
      <c r="I1018" s="54"/>
    </row>
    <row r="1019" spans="1:9" x14ac:dyDescent="0.2">
      <c r="A1019" t="s">
        <v>4351</v>
      </c>
      <c r="B1019">
        <f>SUM(FishSumAllPRN!B1019)</f>
        <v>0</v>
      </c>
      <c r="C1019">
        <f>SUM(FishSumAllPRN!C1019)</f>
        <v>0</v>
      </c>
      <c r="D1019">
        <f>SUM(FishSumAllPRN!D1019)</f>
        <v>0</v>
      </c>
      <c r="E1019">
        <f>SUM(FishSumAllPRN!E1019)</f>
        <v>2</v>
      </c>
      <c r="F1019">
        <f>SUM(FishSumAllPRN!F1019)</f>
        <v>0</v>
      </c>
      <c r="G1019">
        <f>SUM(FishSumAllPRN!G1019)</f>
        <v>2</v>
      </c>
      <c r="H1019" s="54" t="s">
        <v>294</v>
      </c>
      <c r="I1019" s="54"/>
    </row>
    <row r="1020" spans="1:9" x14ac:dyDescent="0.2">
      <c r="A1020" t="s">
        <v>4352</v>
      </c>
      <c r="B1020">
        <f>SUM(FishSumAllPRN!B1020)</f>
        <v>0</v>
      </c>
      <c r="C1020">
        <f>SUM(FishSumAllPRN!C1020)</f>
        <v>0</v>
      </c>
      <c r="D1020">
        <f>SUM(FishSumAllPRN!D1020)</f>
        <v>0</v>
      </c>
      <c r="E1020">
        <f>SUM(FishSumAllPRN!E1020)</f>
        <v>0</v>
      </c>
      <c r="F1020">
        <f>SUM(FishSumAllPRN!F1020)</f>
        <v>0</v>
      </c>
      <c r="G1020">
        <f>SUM(FishSumAllPRN!G1020)</f>
        <v>0</v>
      </c>
      <c r="H1020" s="54" t="s">
        <v>294</v>
      </c>
      <c r="I1020" s="54"/>
    </row>
    <row r="1021" spans="1:9" x14ac:dyDescent="0.2">
      <c r="A1021" t="s">
        <v>4353</v>
      </c>
      <c r="B1021">
        <f>SUM(FishSumAllPRN!B1021)</f>
        <v>46</v>
      </c>
      <c r="C1021">
        <f>SUM(FishSumAllPRN!C1021)</f>
        <v>4498</v>
      </c>
      <c r="D1021">
        <f>SUM(FishSumAllPRN!D1021)</f>
        <v>2160</v>
      </c>
      <c r="E1021">
        <f>SUM(FishSumAllPRN!E1021)</f>
        <v>149</v>
      </c>
      <c r="F1021">
        <f>SUM(FishSumAllPRN!F1021)</f>
        <v>0</v>
      </c>
      <c r="G1021">
        <f>SUM(FishSumAllPRN!G1021)</f>
        <v>6854</v>
      </c>
      <c r="H1021" s="54" t="s">
        <v>294</v>
      </c>
      <c r="I1021" s="54"/>
    </row>
    <row r="1022" spans="1:9" x14ac:dyDescent="0.2">
      <c r="A1022" t="s">
        <v>4354</v>
      </c>
      <c r="B1022">
        <f>SUM(FishSumAllPRN!B1022)</f>
        <v>210</v>
      </c>
      <c r="C1022">
        <f>SUM(FishSumAllPRN!C1022)</f>
        <v>2394</v>
      </c>
      <c r="D1022">
        <f>SUM(FishSumAllPRN!D1022)</f>
        <v>847</v>
      </c>
      <c r="E1022">
        <f>SUM(FishSumAllPRN!E1022)</f>
        <v>24</v>
      </c>
      <c r="F1022">
        <f>SUM(FishSumAllPRN!F1022)</f>
        <v>0</v>
      </c>
      <c r="G1022">
        <f>SUM(FishSumAllPRN!G1022)</f>
        <v>3475</v>
      </c>
      <c r="H1022" s="54" t="s">
        <v>294</v>
      </c>
      <c r="I1022" s="54"/>
    </row>
    <row r="1023" spans="1:9" x14ac:dyDescent="0.2">
      <c r="A1023" t="s">
        <v>4355</v>
      </c>
      <c r="B1023">
        <f>SUM(FishSumAllPRN!B1023)</f>
        <v>0</v>
      </c>
      <c r="C1023">
        <f>SUM(FishSumAllPRN!C1023)</f>
        <v>0</v>
      </c>
      <c r="D1023">
        <f>SUM(FishSumAllPRN!D1023)</f>
        <v>0</v>
      </c>
      <c r="E1023">
        <f>SUM(FishSumAllPRN!E1023)</f>
        <v>0</v>
      </c>
      <c r="F1023">
        <f>SUM(FishSumAllPRN!F1023)</f>
        <v>0</v>
      </c>
      <c r="G1023">
        <f>SUM(FishSumAllPRN!G1023)</f>
        <v>0</v>
      </c>
      <c r="H1023" s="54" t="s">
        <v>294</v>
      </c>
      <c r="I1023" s="54"/>
    </row>
    <row r="1024" spans="1:9" x14ac:dyDescent="0.2">
      <c r="A1024" t="s">
        <v>4356</v>
      </c>
      <c r="B1024">
        <f>SUM(FishSumAllPRN!B1024)</f>
        <v>0</v>
      </c>
      <c r="C1024">
        <f>SUM(FishSumAllPRN!C1024)</f>
        <v>0</v>
      </c>
      <c r="D1024">
        <f>SUM(FishSumAllPRN!D1024)</f>
        <v>0</v>
      </c>
      <c r="E1024">
        <f>SUM(FishSumAllPRN!E1024)</f>
        <v>0</v>
      </c>
      <c r="F1024">
        <f>SUM(FishSumAllPRN!F1024)</f>
        <v>0</v>
      </c>
      <c r="G1024">
        <f>SUM(FishSumAllPRN!G1024)</f>
        <v>0</v>
      </c>
      <c r="H1024" s="54" t="s">
        <v>294</v>
      </c>
      <c r="I1024" s="54"/>
    </row>
    <row r="1025" spans="1:9" x14ac:dyDescent="0.2">
      <c r="A1025" t="s">
        <v>4357</v>
      </c>
      <c r="B1025">
        <f>SUM(FishSumAllPRN!B1025)</f>
        <v>115</v>
      </c>
      <c r="C1025">
        <f>SUM(FishSumAllPRN!C1025)</f>
        <v>9164</v>
      </c>
      <c r="D1025">
        <f>SUM(FishSumAllPRN!D1025)</f>
        <v>6552</v>
      </c>
      <c r="E1025">
        <f>SUM(FishSumAllPRN!E1025)</f>
        <v>0</v>
      </c>
      <c r="F1025">
        <f>SUM(FishSumAllPRN!F1025)</f>
        <v>0</v>
      </c>
      <c r="G1025">
        <f>SUM(FishSumAllPRN!G1025)</f>
        <v>15831</v>
      </c>
      <c r="H1025" s="54" t="s">
        <v>294</v>
      </c>
      <c r="I1025" s="54"/>
    </row>
    <row r="1026" spans="1:9" x14ac:dyDescent="0.2">
      <c r="A1026" t="s">
        <v>4358</v>
      </c>
      <c r="B1026">
        <f>SUM(FishSumAllPRN!B1026)</f>
        <v>0</v>
      </c>
      <c r="C1026">
        <f>SUM(FishSumAllPRN!C1026)</f>
        <v>874</v>
      </c>
      <c r="D1026">
        <f>SUM(FishSumAllPRN!D1026)</f>
        <v>1574</v>
      </c>
      <c r="E1026">
        <f>SUM(FishSumAllPRN!E1026)</f>
        <v>0</v>
      </c>
      <c r="F1026">
        <f>SUM(FishSumAllPRN!F1026)</f>
        <v>0</v>
      </c>
      <c r="G1026">
        <f>SUM(FishSumAllPRN!G1026)</f>
        <v>2448</v>
      </c>
      <c r="H1026" s="54" t="s">
        <v>294</v>
      </c>
      <c r="I1026" s="54"/>
    </row>
    <row r="1027" spans="1:9" x14ac:dyDescent="0.2">
      <c r="A1027" t="s">
        <v>4359</v>
      </c>
      <c r="B1027">
        <f>SUM(FishSumAllPRN!B1027)</f>
        <v>0</v>
      </c>
      <c r="C1027">
        <f>SUM(FishSumAllPRN!C1027)</f>
        <v>0</v>
      </c>
      <c r="D1027">
        <f>SUM(FishSumAllPRN!D1027)</f>
        <v>0</v>
      </c>
      <c r="E1027">
        <f>SUM(FishSumAllPRN!E1027)</f>
        <v>0</v>
      </c>
      <c r="F1027">
        <f>SUM(FishSumAllPRN!F1027)</f>
        <v>0</v>
      </c>
      <c r="G1027">
        <f>SUM(FishSumAllPRN!G1027)</f>
        <v>0</v>
      </c>
      <c r="H1027" s="54" t="s">
        <v>294</v>
      </c>
      <c r="I1027" s="54"/>
    </row>
    <row r="1028" spans="1:9" x14ac:dyDescent="0.2">
      <c r="A1028" t="s">
        <v>4360</v>
      </c>
      <c r="B1028">
        <f>SUM(FishSumAllPRN!B1028)</f>
        <v>2</v>
      </c>
      <c r="C1028">
        <f>SUM(FishSumAllPRN!C1028)</f>
        <v>4</v>
      </c>
      <c r="D1028">
        <f>SUM(FishSumAllPRN!D1028)</f>
        <v>337</v>
      </c>
      <c r="E1028">
        <f>SUM(FishSumAllPRN!E1028)</f>
        <v>265</v>
      </c>
      <c r="F1028">
        <f>SUM(FishSumAllPRN!F1028)</f>
        <v>8</v>
      </c>
      <c r="G1028">
        <f>SUM(FishSumAllPRN!G1028)</f>
        <v>615</v>
      </c>
      <c r="H1028" s="54" t="s">
        <v>294</v>
      </c>
      <c r="I1028" s="54"/>
    </row>
    <row r="1029" spans="1:9" x14ac:dyDescent="0.2">
      <c r="A1029" t="s">
        <v>4361</v>
      </c>
      <c r="B1029">
        <f>SUM(FishSumAllPRN!B1029)</f>
        <v>0</v>
      </c>
      <c r="C1029">
        <f>SUM(FishSumAllPRN!C1029)</f>
        <v>0</v>
      </c>
      <c r="D1029">
        <f>SUM(FishSumAllPRN!D1029)</f>
        <v>3911</v>
      </c>
      <c r="E1029">
        <f>SUM(FishSumAllPRN!E1029)</f>
        <v>182</v>
      </c>
      <c r="F1029">
        <f>SUM(FishSumAllPRN!F1029)</f>
        <v>35</v>
      </c>
      <c r="G1029">
        <f>SUM(FishSumAllPRN!G1029)</f>
        <v>4128</v>
      </c>
      <c r="H1029" s="54" t="s">
        <v>294</v>
      </c>
      <c r="I1029" s="54"/>
    </row>
    <row r="1030" spans="1:9" x14ac:dyDescent="0.2">
      <c r="A1030" t="s">
        <v>4362</v>
      </c>
      <c r="B1030">
        <f>SUM(FishSumAllPRN!B1030)</f>
        <v>0</v>
      </c>
      <c r="C1030">
        <f>SUM(FishSumAllPRN!C1030)</f>
        <v>0</v>
      </c>
      <c r="D1030">
        <f>SUM(FishSumAllPRN!D1030)</f>
        <v>0</v>
      </c>
      <c r="E1030">
        <f>SUM(FishSumAllPRN!E1030)</f>
        <v>269</v>
      </c>
      <c r="F1030">
        <f>SUM(FishSumAllPRN!F1030)</f>
        <v>45</v>
      </c>
      <c r="G1030">
        <f>SUM(FishSumAllPRN!G1030)</f>
        <v>314</v>
      </c>
      <c r="H1030" s="54" t="s">
        <v>294</v>
      </c>
      <c r="I1030" s="54"/>
    </row>
    <row r="1031" spans="1:9" x14ac:dyDescent="0.2">
      <c r="A1031" t="s">
        <v>4363</v>
      </c>
      <c r="B1031">
        <f>SUM(FishSumAllPRN!B1031)</f>
        <v>0</v>
      </c>
      <c r="C1031">
        <f>SUM(FishSumAllPRN!C1031)</f>
        <v>0</v>
      </c>
      <c r="D1031">
        <f>SUM(FishSumAllPRN!D1031)</f>
        <v>0</v>
      </c>
      <c r="E1031">
        <f>SUM(FishSumAllPRN!E1031)</f>
        <v>0</v>
      </c>
      <c r="F1031">
        <f>SUM(FishSumAllPRN!F1031)</f>
        <v>0</v>
      </c>
      <c r="G1031">
        <f>SUM(FishSumAllPRN!G1031)</f>
        <v>0</v>
      </c>
      <c r="H1031" s="54" t="s">
        <v>294</v>
      </c>
      <c r="I1031" s="54"/>
    </row>
    <row r="1032" spans="1:9" x14ac:dyDescent="0.2">
      <c r="A1032" t="s">
        <v>4364</v>
      </c>
      <c r="B1032">
        <f>SUM(FishSumAllPRN!B1032)</f>
        <v>0</v>
      </c>
      <c r="C1032">
        <f>SUM(FishSumAllPRN!C1032)</f>
        <v>0</v>
      </c>
      <c r="D1032">
        <f>SUM(FishSumAllPRN!D1032)</f>
        <v>0</v>
      </c>
      <c r="E1032">
        <f>SUM(FishSumAllPRN!E1032)</f>
        <v>0</v>
      </c>
      <c r="F1032">
        <f>SUM(FishSumAllPRN!F1032)</f>
        <v>0</v>
      </c>
      <c r="G1032">
        <f>SUM(FishSumAllPRN!G1032)</f>
        <v>0</v>
      </c>
      <c r="H1032" s="54" t="s">
        <v>294</v>
      </c>
      <c r="I1032" s="54"/>
    </row>
    <row r="1033" spans="1:9" x14ac:dyDescent="0.2">
      <c r="A1033" s="365" t="s">
        <v>4365</v>
      </c>
      <c r="B1033" s="365">
        <f>SUM(FishSumAllPRN!B1033)</f>
        <v>73</v>
      </c>
      <c r="C1033" s="365">
        <f>SUM(FishSumAllPRN!C1033)</f>
        <v>2820</v>
      </c>
      <c r="D1033" s="365">
        <f>SUM(FishSumAllPRN!D1033)</f>
        <v>1992</v>
      </c>
      <c r="E1033" s="365">
        <f>SUM(FishSumAllPRN!E1033)</f>
        <v>0</v>
      </c>
      <c r="F1033" s="365">
        <f>SUM(FishSumAllPRN!F1033)</f>
        <v>0</v>
      </c>
      <c r="G1033" s="365">
        <f>SUM(FishSumAllPRN!G1033)</f>
        <v>4885</v>
      </c>
      <c r="H1033" s="54" t="s">
        <v>294</v>
      </c>
      <c r="I1033" s="54"/>
    </row>
    <row r="1034" spans="1:9" x14ac:dyDescent="0.2">
      <c r="A1034" t="s">
        <v>4366</v>
      </c>
      <c r="B1034">
        <f>SUM(FishSumAllPRN!B1034)</f>
        <v>2229</v>
      </c>
      <c r="C1034">
        <f>SUM(FishSumAllPRN!C1034)</f>
        <v>33643</v>
      </c>
      <c r="D1034">
        <f>SUM(FishSumAllPRN!D1034)</f>
        <v>17329</v>
      </c>
      <c r="E1034">
        <f>SUM(FishSumAllPRN!E1034)</f>
        <v>1884</v>
      </c>
      <c r="F1034">
        <f>SUM(FishSumAllPRN!F1034)</f>
        <v>0</v>
      </c>
      <c r="G1034">
        <f>SUM(FishSumAllPRN!G1034)</f>
        <v>55086</v>
      </c>
      <c r="H1034" s="54" t="s">
        <v>294</v>
      </c>
      <c r="I1034" s="54"/>
    </row>
    <row r="1035" spans="1:9" x14ac:dyDescent="0.2">
      <c r="A1035" t="s">
        <v>4367</v>
      </c>
      <c r="B1035">
        <f>SUM(FishSumAllPRN!B1035)</f>
        <v>81</v>
      </c>
      <c r="C1035">
        <f>SUM(FishSumAllPRN!C1035)</f>
        <v>1484</v>
      </c>
      <c r="D1035">
        <f>SUM(FishSumAllPRN!D1035)</f>
        <v>4020</v>
      </c>
      <c r="E1035">
        <f>SUM(FishSumAllPRN!E1035)</f>
        <v>317</v>
      </c>
      <c r="F1035">
        <f>SUM(FishSumAllPRN!F1035)</f>
        <v>0</v>
      </c>
      <c r="G1035">
        <f>SUM(FishSumAllPRN!G1035)</f>
        <v>5902</v>
      </c>
      <c r="H1035" s="54" t="s">
        <v>294</v>
      </c>
      <c r="I1035" s="54"/>
    </row>
    <row r="1036" spans="1:9" x14ac:dyDescent="0.2">
      <c r="A1036" t="s">
        <v>4368</v>
      </c>
      <c r="B1036">
        <f>SUM(FishSumAllPRN!B1036)</f>
        <v>718</v>
      </c>
      <c r="C1036">
        <f>SUM(FishSumAllPRN!C1036)</f>
        <v>2406</v>
      </c>
      <c r="D1036">
        <f>SUM(FishSumAllPRN!D1036)</f>
        <v>4409</v>
      </c>
      <c r="E1036">
        <f>SUM(FishSumAllPRN!E1036)</f>
        <v>7155</v>
      </c>
      <c r="F1036">
        <f>SUM(FishSumAllPRN!F1036)</f>
        <v>1483</v>
      </c>
      <c r="G1036">
        <f>SUM(FishSumAllPRN!G1036)</f>
        <v>16170</v>
      </c>
      <c r="H1036" s="54" t="s">
        <v>294</v>
      </c>
      <c r="I1036" s="54"/>
    </row>
    <row r="1037" spans="1:9" x14ac:dyDescent="0.2">
      <c r="A1037" t="s">
        <v>4369</v>
      </c>
      <c r="B1037">
        <f>SUM(FishSumAllPRN!B1037)</f>
        <v>840</v>
      </c>
      <c r="C1037">
        <f>SUM(FishSumAllPRN!C1037)</f>
        <v>4647</v>
      </c>
      <c r="D1037">
        <f>SUM(FishSumAllPRN!D1037)</f>
        <v>13722</v>
      </c>
      <c r="E1037">
        <f>SUM(FishSumAllPRN!E1037)</f>
        <v>3620</v>
      </c>
      <c r="F1037">
        <f>SUM(FishSumAllPRN!F1037)</f>
        <v>0</v>
      </c>
      <c r="G1037">
        <f>SUM(FishSumAllPRN!G1037)</f>
        <v>22829</v>
      </c>
      <c r="H1037" s="54" t="s">
        <v>294</v>
      </c>
      <c r="I1037" s="54"/>
    </row>
    <row r="1038" spans="1:9" x14ac:dyDescent="0.2">
      <c r="A1038" t="s">
        <v>4370</v>
      </c>
      <c r="B1038">
        <f>SUM(FishSumAllPRN!B1038)</f>
        <v>3354</v>
      </c>
      <c r="C1038">
        <f>SUM(FishSumAllPRN!C1038)</f>
        <v>3252</v>
      </c>
      <c r="D1038">
        <f>SUM(FishSumAllPRN!D1038)</f>
        <v>2937</v>
      </c>
      <c r="E1038">
        <f>SUM(FishSumAllPRN!E1038)</f>
        <v>361</v>
      </c>
      <c r="F1038">
        <f>SUM(FishSumAllPRN!F1038)</f>
        <v>0</v>
      </c>
      <c r="G1038">
        <f>SUM(FishSumAllPRN!G1038)</f>
        <v>9903</v>
      </c>
      <c r="H1038" s="54" t="s">
        <v>294</v>
      </c>
      <c r="I1038" s="54"/>
    </row>
    <row r="1039" spans="1:9" x14ac:dyDescent="0.2">
      <c r="A1039" t="s">
        <v>4371</v>
      </c>
      <c r="B1039">
        <f>SUM(FishSumAllPRN!B1039)</f>
        <v>647</v>
      </c>
      <c r="C1039">
        <f>SUM(FishSumAllPRN!C1039)</f>
        <v>872</v>
      </c>
      <c r="D1039">
        <f>SUM(FishSumAllPRN!D1039)</f>
        <v>1619</v>
      </c>
      <c r="E1039">
        <f>SUM(FishSumAllPRN!E1039)</f>
        <v>664</v>
      </c>
      <c r="F1039">
        <f>SUM(FishSumAllPRN!F1039)</f>
        <v>1</v>
      </c>
      <c r="G1039">
        <f>SUM(FishSumAllPRN!G1039)</f>
        <v>3804</v>
      </c>
      <c r="H1039" s="54" t="s">
        <v>294</v>
      </c>
      <c r="I1039" s="54"/>
    </row>
    <row r="1040" spans="1:9" x14ac:dyDescent="0.2">
      <c r="A1040" t="s">
        <v>4372</v>
      </c>
      <c r="B1040">
        <f>SUM(FishSumAllPRN!B1040)</f>
        <v>0</v>
      </c>
      <c r="C1040">
        <f>SUM(FishSumAllPRN!C1040)</f>
        <v>0</v>
      </c>
      <c r="D1040">
        <f>SUM(FishSumAllPRN!D1040)</f>
        <v>0</v>
      </c>
      <c r="E1040">
        <f>SUM(FishSumAllPRN!E1040)</f>
        <v>0</v>
      </c>
      <c r="F1040">
        <f>SUM(FishSumAllPRN!F1040)</f>
        <v>0</v>
      </c>
      <c r="G1040">
        <f>SUM(FishSumAllPRN!G1040)</f>
        <v>0</v>
      </c>
      <c r="H1040" s="54" t="s">
        <v>294</v>
      </c>
      <c r="I1040" s="54"/>
    </row>
    <row r="1041" spans="1:9" x14ac:dyDescent="0.2">
      <c r="A1041" t="s">
        <v>4373</v>
      </c>
      <c r="B1041">
        <f>SUM(FishSumAllPRN!B1041)</f>
        <v>3203</v>
      </c>
      <c r="C1041">
        <f>SUM(FishSumAllPRN!C1041)</f>
        <v>114950</v>
      </c>
      <c r="D1041">
        <f>SUM(FishSumAllPRN!D1041)</f>
        <v>97055</v>
      </c>
      <c r="E1041">
        <f>SUM(FishSumAllPRN!E1041)</f>
        <v>10336</v>
      </c>
      <c r="F1041">
        <f>SUM(FishSumAllPRN!F1041)</f>
        <v>0</v>
      </c>
      <c r="G1041">
        <f>SUM(FishSumAllPRN!G1041)</f>
        <v>225545</v>
      </c>
      <c r="H1041" s="54" t="s">
        <v>294</v>
      </c>
      <c r="I1041" s="54"/>
    </row>
    <row r="1042" spans="1:9" x14ac:dyDescent="0.2">
      <c r="A1042" t="s">
        <v>4374</v>
      </c>
      <c r="B1042">
        <f>SUM(FishSumAllPRN!B1042)</f>
        <v>1326</v>
      </c>
      <c r="C1042">
        <f>SUM(FishSumAllPRN!C1042)</f>
        <v>22782</v>
      </c>
      <c r="D1042">
        <f>SUM(FishSumAllPRN!D1042)</f>
        <v>46580</v>
      </c>
      <c r="E1042">
        <f>SUM(FishSumAllPRN!E1042)</f>
        <v>44161</v>
      </c>
      <c r="F1042">
        <f>SUM(FishSumAllPRN!F1042)</f>
        <v>0</v>
      </c>
      <c r="G1042">
        <f>SUM(FishSumAllPRN!G1042)</f>
        <v>114848</v>
      </c>
      <c r="H1042" s="54" t="s">
        <v>294</v>
      </c>
      <c r="I1042" s="54"/>
    </row>
    <row r="1043" spans="1:9" x14ac:dyDescent="0.2">
      <c r="A1043" t="s">
        <v>4375</v>
      </c>
      <c r="B1043">
        <f>SUM(FishSumAllPRN!B1043)</f>
        <v>9791</v>
      </c>
      <c r="C1043">
        <f>SUM(FishSumAllPRN!C1043)</f>
        <v>278642</v>
      </c>
      <c r="D1043">
        <f>SUM(FishSumAllPRN!D1043)</f>
        <v>378845</v>
      </c>
      <c r="E1043">
        <f>SUM(FishSumAllPRN!E1043)</f>
        <v>148036</v>
      </c>
      <c r="F1043">
        <f>SUM(FishSumAllPRN!F1043)</f>
        <v>0</v>
      </c>
      <c r="G1043">
        <f>SUM(FishSumAllPRN!G1043)</f>
        <v>815313</v>
      </c>
      <c r="H1043" s="54" t="s">
        <v>294</v>
      </c>
      <c r="I1043" s="54"/>
    </row>
    <row r="1044" spans="1:9" x14ac:dyDescent="0.2">
      <c r="A1044" t="s">
        <v>4376</v>
      </c>
      <c r="B1044">
        <f>SUM(FishSumAllPRN!B1044)</f>
        <v>512</v>
      </c>
      <c r="C1044">
        <f>SUM(FishSumAllPRN!C1044)</f>
        <v>44519</v>
      </c>
      <c r="D1044">
        <f>SUM(FishSumAllPRN!D1044)</f>
        <v>52476</v>
      </c>
      <c r="E1044">
        <f>SUM(FishSumAllPRN!E1044)</f>
        <v>12292</v>
      </c>
      <c r="F1044">
        <f>SUM(FishSumAllPRN!F1044)</f>
        <v>0</v>
      </c>
      <c r="G1044">
        <f>SUM(FishSumAllPRN!G1044)</f>
        <v>109799</v>
      </c>
      <c r="H1044" s="54" t="s">
        <v>294</v>
      </c>
      <c r="I1044" s="54"/>
    </row>
    <row r="1045" spans="1:9" x14ac:dyDescent="0.2">
      <c r="A1045" t="s">
        <v>4377</v>
      </c>
      <c r="B1045">
        <f>SUM(FishSumAllPRN!B1045)</f>
        <v>2602</v>
      </c>
      <c r="C1045">
        <f>SUM(FishSumAllPRN!C1045)</f>
        <v>81360</v>
      </c>
      <c r="D1045">
        <f>SUM(FishSumAllPRN!D1045)</f>
        <v>322131</v>
      </c>
      <c r="E1045">
        <f>SUM(FishSumAllPRN!E1045)</f>
        <v>384428</v>
      </c>
      <c r="F1045">
        <f>SUM(FishSumAllPRN!F1045)</f>
        <v>0</v>
      </c>
      <c r="G1045">
        <f>SUM(FishSumAllPRN!G1045)</f>
        <v>790521</v>
      </c>
      <c r="H1045" s="54" t="s">
        <v>294</v>
      </c>
      <c r="I1045" s="54"/>
    </row>
    <row r="1046" spans="1:9" x14ac:dyDescent="0.2">
      <c r="I1046" s="54"/>
    </row>
    <row r="1047" spans="1:9" x14ac:dyDescent="0.2">
      <c r="I1047" s="54"/>
    </row>
    <row r="1048" spans="1:9" x14ac:dyDescent="0.2">
      <c r="I1048" s="54"/>
    </row>
    <row r="1049" spans="1:9" x14ac:dyDescent="0.2">
      <c r="I1049" s="54"/>
    </row>
    <row r="1050" spans="1:9" x14ac:dyDescent="0.2">
      <c r="I1050" s="54"/>
    </row>
    <row r="1051" spans="1:9" x14ac:dyDescent="0.2">
      <c r="I1051" s="54"/>
    </row>
    <row r="1052" spans="1:9" x14ac:dyDescent="0.2">
      <c r="I1052" s="54"/>
    </row>
    <row r="1053" spans="1:9" x14ac:dyDescent="0.2">
      <c r="I1053" s="54"/>
    </row>
    <row r="1054" spans="1:9" x14ac:dyDescent="0.2">
      <c r="I1054" s="54"/>
    </row>
    <row r="1055" spans="1:9" x14ac:dyDescent="0.2">
      <c r="I1055" s="54"/>
    </row>
    <row r="1056" spans="1:9" x14ac:dyDescent="0.2">
      <c r="I1056" s="54"/>
    </row>
    <row r="1057" spans="9:9" x14ac:dyDescent="0.2">
      <c r="I1057" s="54"/>
    </row>
    <row r="1058" spans="9:9" x14ac:dyDescent="0.2">
      <c r="I1058" s="54"/>
    </row>
    <row r="1059" spans="9:9" x14ac:dyDescent="0.2">
      <c r="I1059" s="54"/>
    </row>
    <row r="1060" spans="9:9" x14ac:dyDescent="0.2">
      <c r="I1060" s="54"/>
    </row>
    <row r="1061" spans="9:9" x14ac:dyDescent="0.2">
      <c r="I1061" s="54"/>
    </row>
    <row r="1062" spans="9:9" x14ac:dyDescent="0.2">
      <c r="I1062" s="54"/>
    </row>
    <row r="1063" spans="9:9" x14ac:dyDescent="0.2">
      <c r="I1063" s="54"/>
    </row>
    <row r="1064" spans="9:9" x14ac:dyDescent="0.2">
      <c r="I1064" s="54"/>
    </row>
    <row r="1065" spans="9:9" x14ac:dyDescent="0.2">
      <c r="I1065" s="54"/>
    </row>
    <row r="1066" spans="9:9" x14ac:dyDescent="0.2">
      <c r="I1066" s="54"/>
    </row>
    <row r="1067" spans="9:9" x14ac:dyDescent="0.2">
      <c r="I1067" s="54"/>
    </row>
    <row r="1068" spans="9:9" x14ac:dyDescent="0.2">
      <c r="I1068" s="54"/>
    </row>
    <row r="1069" spans="9:9" x14ac:dyDescent="0.2">
      <c r="I1069" s="54"/>
    </row>
    <row r="1070" spans="9:9" x14ac:dyDescent="0.2">
      <c r="I1070" s="54"/>
    </row>
    <row r="1071" spans="9:9" x14ac:dyDescent="0.2">
      <c r="I1071" s="54"/>
    </row>
  </sheetData>
  <phoneticPr fontId="0" type="noConversion"/>
  <pageMargins left="0.75" right="0.75" top="0.64" bottom="0.67" header="0.5" footer="0.5"/>
  <pageSetup scale="66" orientation="portrait" r:id="rId1"/>
  <headerFooter alignWithMargins="0">
    <oddFooter>&amp;L&amp;F  &amp;D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pageSetUpPr fitToPage="1"/>
  </sheetPr>
  <dimension ref="A1:AP221"/>
  <sheetViews>
    <sheetView workbookViewId="0">
      <selection activeCell="E35" sqref="E35"/>
    </sheetView>
  </sheetViews>
  <sheetFormatPr defaultRowHeight="12.75" x14ac:dyDescent="0.2"/>
  <cols>
    <col min="1" max="1" width="18.5703125" customWidth="1"/>
    <col min="2" max="2" width="14.28515625" customWidth="1"/>
    <col min="3" max="3" width="10.85546875" customWidth="1"/>
    <col min="4" max="4" width="11.5703125" customWidth="1"/>
    <col min="7" max="7" width="7.28515625" customWidth="1"/>
    <col min="8" max="8" width="16.28515625" customWidth="1"/>
    <col min="9" max="9" width="10" customWidth="1"/>
    <col min="10" max="10" width="20.28515625" customWidth="1"/>
    <col min="11" max="16" width="0" hidden="1" customWidth="1"/>
    <col min="21" max="23" width="0" hidden="1" customWidth="1"/>
    <col min="27" max="27" width="18.28515625" customWidth="1"/>
    <col min="28" max="32" width="0" hidden="1" customWidth="1"/>
    <col min="33" max="33" width="3.28515625" hidden="1" customWidth="1"/>
    <col min="34" max="34" width="29.140625" customWidth="1"/>
    <col min="35" max="38" width="9.28515625" bestFit="1" customWidth="1"/>
    <col min="39" max="41" width="0" hidden="1" customWidth="1"/>
    <col min="42" max="42" width="9.5703125" bestFit="1" customWidth="1"/>
  </cols>
  <sheetData>
    <row r="1" spans="1:42" x14ac:dyDescent="0.2">
      <c r="A1" s="72" t="s">
        <v>5774</v>
      </c>
      <c r="B1" s="72"/>
      <c r="C1" s="72"/>
    </row>
    <row r="2" spans="1:42" x14ac:dyDescent="0.2">
      <c r="A2" s="180" t="s">
        <v>4248</v>
      </c>
    </row>
    <row r="3" spans="1:42" x14ac:dyDescent="0.2">
      <c r="A3" t="s">
        <v>4885</v>
      </c>
      <c r="B3" t="s">
        <v>5775</v>
      </c>
      <c r="C3" t="s">
        <v>5776</v>
      </c>
      <c r="D3" t="s">
        <v>5777</v>
      </c>
      <c r="E3" t="s">
        <v>5778</v>
      </c>
      <c r="F3" t="s">
        <v>5779</v>
      </c>
      <c r="J3" s="37" t="s">
        <v>5613</v>
      </c>
    </row>
    <row r="4" spans="1:42" x14ac:dyDescent="0.2">
      <c r="A4" t="s">
        <v>5780</v>
      </c>
      <c r="B4" t="s">
        <v>5781</v>
      </c>
      <c r="C4" t="s">
        <v>5782</v>
      </c>
      <c r="D4" t="s">
        <v>5783</v>
      </c>
      <c r="E4" t="s">
        <v>5784</v>
      </c>
      <c r="F4" t="s">
        <v>5785</v>
      </c>
      <c r="J4" t="str">
        <f t="shared" ref="J4:P6" si="0">A3</f>
        <v>Species: NEWCOHO   Versio</v>
      </c>
      <c r="K4" t="str">
        <f t="shared" si="0"/>
        <v>n#:4.19</v>
      </c>
      <c r="L4" t="str">
        <f t="shared" si="0"/>
        <v>CMD File:</v>
      </c>
      <c r="M4" t="str">
        <f t="shared" si="0"/>
        <v>9101.cmd</v>
      </c>
      <c r="N4" t="str">
        <f t="shared" si="0"/>
        <v>Da</v>
      </c>
      <c r="O4" t="str">
        <f t="shared" si="0"/>
        <v>te: 10-17-2001</v>
      </c>
      <c r="P4">
        <f t="shared" si="0"/>
        <v>0</v>
      </c>
      <c r="Q4" t="str">
        <f t="shared" ref="Q4:V4" si="1">B3</f>
        <v>n#:4.19</v>
      </c>
      <c r="R4" t="str">
        <f t="shared" si="1"/>
        <v>CMD File:</v>
      </c>
      <c r="S4" t="str">
        <f t="shared" si="1"/>
        <v>9101.cmd</v>
      </c>
      <c r="T4" t="str">
        <f t="shared" si="1"/>
        <v>Da</v>
      </c>
      <c r="U4" t="str">
        <f t="shared" si="1"/>
        <v>te: 10-17-2001</v>
      </c>
      <c r="V4">
        <f t="shared" si="1"/>
        <v>0</v>
      </c>
      <c r="W4">
        <f>I3</f>
        <v>0</v>
      </c>
    </row>
    <row r="5" spans="1:42" x14ac:dyDescent="0.2">
      <c r="A5" t="s">
        <v>4248</v>
      </c>
      <c r="J5" t="str">
        <f t="shared" si="0"/>
        <v>Report : Fishery Summary</v>
      </c>
      <c r="K5" t="str">
        <f t="shared" si="0"/>
        <v>Report</v>
      </c>
      <c r="L5" t="str">
        <f t="shared" si="0"/>
        <v>DRV File:</v>
      </c>
      <c r="M5" t="str">
        <f t="shared" si="0"/>
        <v>cofsum.DRV</v>
      </c>
      <c r="N5" t="str">
        <f t="shared" si="0"/>
        <v>Ti</v>
      </c>
      <c r="O5" t="str">
        <f t="shared" si="0"/>
        <v>me: 11:29:21</v>
      </c>
      <c r="P5">
        <f t="shared" si="0"/>
        <v>0</v>
      </c>
      <c r="Q5" t="str">
        <f t="shared" ref="Q5:T6" si="2">B4</f>
        <v>Report</v>
      </c>
      <c r="R5" t="str">
        <f t="shared" si="2"/>
        <v>DRV File:</v>
      </c>
      <c r="S5" t="str">
        <f t="shared" si="2"/>
        <v>cofsum.DRV</v>
      </c>
      <c r="T5" t="str">
        <f t="shared" si="2"/>
        <v>Ti</v>
      </c>
    </row>
    <row r="6" spans="1:42" ht="15.75" x14ac:dyDescent="0.25">
      <c r="A6" t="s">
        <v>4885</v>
      </c>
      <c r="B6" t="s">
        <v>5775</v>
      </c>
      <c r="C6" t="s">
        <v>5776</v>
      </c>
      <c r="D6" t="s">
        <v>5786</v>
      </c>
      <c r="E6" t="s">
        <v>5778</v>
      </c>
      <c r="F6" t="s">
        <v>5787</v>
      </c>
      <c r="J6" t="str">
        <f t="shared" si="0"/>
        <v>_x000C_</v>
      </c>
      <c r="K6">
        <f t="shared" si="0"/>
        <v>0</v>
      </c>
      <c r="L6">
        <f t="shared" si="0"/>
        <v>0</v>
      </c>
      <c r="M6">
        <f t="shared" si="0"/>
        <v>0</v>
      </c>
      <c r="N6">
        <f t="shared" si="0"/>
        <v>0</v>
      </c>
      <c r="O6">
        <f t="shared" si="0"/>
        <v>0</v>
      </c>
      <c r="P6">
        <f t="shared" si="0"/>
        <v>0</v>
      </c>
      <c r="Q6">
        <f t="shared" si="2"/>
        <v>0</v>
      </c>
      <c r="R6">
        <f t="shared" si="2"/>
        <v>0</v>
      </c>
      <c r="S6">
        <f t="shared" si="2"/>
        <v>0</v>
      </c>
      <c r="T6">
        <f t="shared" si="2"/>
        <v>0</v>
      </c>
      <c r="AA6" s="69" t="s">
        <v>5788</v>
      </c>
    </row>
    <row r="7" spans="1:42" ht="15.75" x14ac:dyDescent="0.25">
      <c r="A7" t="s">
        <v>5780</v>
      </c>
      <c r="B7" t="s">
        <v>5781</v>
      </c>
      <c r="C7" t="s">
        <v>5782</v>
      </c>
      <c r="D7" t="s">
        <v>5789</v>
      </c>
      <c r="E7" t="s">
        <v>5790</v>
      </c>
      <c r="F7" t="s">
        <v>5791</v>
      </c>
      <c r="AA7" s="69" t="s">
        <v>5766</v>
      </c>
    </row>
    <row r="8" spans="1:42" ht="13.5" thickBot="1" x14ac:dyDescent="0.25">
      <c r="A8" t="s">
        <v>5792</v>
      </c>
      <c r="B8" t="s">
        <v>5793</v>
      </c>
      <c r="C8" t="s">
        <v>5794</v>
      </c>
      <c r="AA8" s="37"/>
    </row>
    <row r="9" spans="1:42" x14ac:dyDescent="0.2">
      <c r="AA9" s="48" t="s">
        <v>602</v>
      </c>
      <c r="AB9" s="49"/>
      <c r="AC9" s="49"/>
      <c r="AD9" s="49"/>
      <c r="AE9" s="49"/>
      <c r="AF9" s="49"/>
      <c r="AG9" s="49"/>
      <c r="AH9" s="77">
        <f>'1'!F2</f>
        <v>0</v>
      </c>
      <c r="AI9" s="52"/>
      <c r="AJ9" s="52"/>
      <c r="AK9" s="52"/>
      <c r="AL9" s="52"/>
      <c r="AM9" s="52"/>
      <c r="AN9" s="52"/>
      <c r="AO9" s="52"/>
      <c r="AP9" s="53"/>
    </row>
    <row r="10" spans="1:42" ht="13.5" thickBot="1" x14ac:dyDescent="0.25">
      <c r="G10" t="s">
        <v>2319</v>
      </c>
      <c r="J10" t="s">
        <v>5621</v>
      </c>
      <c r="K10" t="s">
        <v>5622</v>
      </c>
      <c r="L10" t="s">
        <v>5622</v>
      </c>
      <c r="M10" t="s">
        <v>5622</v>
      </c>
      <c r="N10" t="s">
        <v>5622</v>
      </c>
      <c r="O10" t="s">
        <v>5622</v>
      </c>
      <c r="P10" t="s">
        <v>5622</v>
      </c>
      <c r="Q10" t="s">
        <v>5622</v>
      </c>
      <c r="R10" t="s">
        <v>5622</v>
      </c>
      <c r="S10" t="s">
        <v>5622</v>
      </c>
      <c r="T10" t="s">
        <v>5622</v>
      </c>
      <c r="U10" t="s">
        <v>5622</v>
      </c>
      <c r="V10" t="s">
        <v>5622</v>
      </c>
      <c r="W10" t="s">
        <v>5622</v>
      </c>
      <c r="X10" t="s">
        <v>5623</v>
      </c>
      <c r="AA10" s="74" t="s">
        <v>123</v>
      </c>
      <c r="AB10" s="56"/>
      <c r="AC10" s="56"/>
      <c r="AD10" s="56"/>
      <c r="AE10" s="56"/>
      <c r="AF10" s="56"/>
      <c r="AG10" s="56"/>
      <c r="AH10" s="76">
        <f>'1'!B3</f>
        <v>0</v>
      </c>
      <c r="AI10" s="56"/>
      <c r="AJ10" s="56"/>
      <c r="AK10" s="56"/>
      <c r="AL10" s="56"/>
      <c r="AM10" s="56"/>
      <c r="AN10" s="56"/>
      <c r="AO10" s="56"/>
      <c r="AP10" s="75"/>
    </row>
    <row r="11" spans="1:42" ht="13.5" thickBot="1" x14ac:dyDescent="0.25">
      <c r="A11" t="s">
        <v>5795</v>
      </c>
      <c r="B11" t="s">
        <v>5796</v>
      </c>
      <c r="C11" t="s">
        <v>5797</v>
      </c>
      <c r="D11" t="s">
        <v>5798</v>
      </c>
      <c r="G11" t="s">
        <v>5632</v>
      </c>
      <c r="J11" t="s">
        <v>126</v>
      </c>
      <c r="K11" s="51">
        <v>37227</v>
      </c>
      <c r="L11" t="s">
        <v>5624</v>
      </c>
      <c r="M11" t="s">
        <v>5625</v>
      </c>
      <c r="N11" t="s">
        <v>5626</v>
      </c>
      <c r="O11" t="s">
        <v>5627</v>
      </c>
      <c r="P11" t="s">
        <v>5628</v>
      </c>
      <c r="Q11" t="s">
        <v>5629</v>
      </c>
      <c r="R11" t="s">
        <v>5630</v>
      </c>
      <c r="S11" t="s">
        <v>890</v>
      </c>
      <c r="T11" t="s">
        <v>5799</v>
      </c>
      <c r="U11" t="s">
        <v>892</v>
      </c>
      <c r="V11" t="s">
        <v>893</v>
      </c>
      <c r="W11" t="s">
        <v>5631</v>
      </c>
      <c r="X11" t="s">
        <v>236</v>
      </c>
      <c r="AA11" s="50" t="s">
        <v>126</v>
      </c>
      <c r="AB11" s="73">
        <v>37227</v>
      </c>
      <c r="AC11" s="37" t="s">
        <v>5624</v>
      </c>
      <c r="AD11" s="37" t="s">
        <v>5625</v>
      </c>
      <c r="AE11" s="37" t="s">
        <v>5626</v>
      </c>
      <c r="AF11" s="37" t="s">
        <v>5627</v>
      </c>
      <c r="AG11" s="37" t="s">
        <v>5628</v>
      </c>
      <c r="AH11" s="2121" t="s">
        <v>544</v>
      </c>
      <c r="AI11" s="67" t="s">
        <v>5629</v>
      </c>
      <c r="AJ11" s="67" t="s">
        <v>5630</v>
      </c>
      <c r="AK11" s="67" t="s">
        <v>890</v>
      </c>
      <c r="AL11" s="67" t="s">
        <v>5799</v>
      </c>
      <c r="AM11" s="67" t="s">
        <v>892</v>
      </c>
      <c r="AN11" s="67" t="s">
        <v>893</v>
      </c>
      <c r="AO11" s="67" t="s">
        <v>5631</v>
      </c>
      <c r="AP11" s="68" t="s">
        <v>236</v>
      </c>
    </row>
    <row r="12" spans="1:42" x14ac:dyDescent="0.2">
      <c r="A12" t="s">
        <v>2318</v>
      </c>
      <c r="B12" t="s">
        <v>2319</v>
      </c>
      <c r="C12" t="s">
        <v>2319</v>
      </c>
      <c r="D12" t="s">
        <v>2319</v>
      </c>
      <c r="E12" t="s">
        <v>2319</v>
      </c>
      <c r="F12" t="s">
        <v>2319</v>
      </c>
      <c r="G12" t="s">
        <v>2319</v>
      </c>
      <c r="J12" t="s">
        <v>5621</v>
      </c>
      <c r="K12" t="s">
        <v>5622</v>
      </c>
      <c r="L12" t="s">
        <v>5622</v>
      </c>
      <c r="M12" t="s">
        <v>5622</v>
      </c>
      <c r="N12" t="s">
        <v>5622</v>
      </c>
      <c r="O12" t="s">
        <v>5622</v>
      </c>
      <c r="P12" t="s">
        <v>5622</v>
      </c>
      <c r="Q12" t="s">
        <v>5622</v>
      </c>
      <c r="R12" t="s">
        <v>5622</v>
      </c>
      <c r="S12" t="s">
        <v>5622</v>
      </c>
      <c r="T12" t="s">
        <v>5622</v>
      </c>
      <c r="U12" t="s">
        <v>5622</v>
      </c>
      <c r="V12" t="s">
        <v>5622</v>
      </c>
      <c r="W12" t="s">
        <v>5622</v>
      </c>
      <c r="X12" t="s">
        <v>5622</v>
      </c>
      <c r="AA12" s="48" t="s">
        <v>5633</v>
      </c>
      <c r="AB12" s="49"/>
      <c r="AC12" s="49"/>
      <c r="AD12" s="49"/>
      <c r="AE12" s="49"/>
      <c r="AF12" s="49"/>
      <c r="AG12" s="49"/>
      <c r="AH12" s="49" t="s">
        <v>5634</v>
      </c>
      <c r="AI12" s="52">
        <f t="shared" ref="AI12:AO12" si="3">SUM(Q13)</f>
        <v>0</v>
      </c>
      <c r="AJ12" s="52">
        <f t="shared" si="3"/>
        <v>28940</v>
      </c>
      <c r="AK12" s="52">
        <f t="shared" si="3"/>
        <v>50085</v>
      </c>
      <c r="AL12" s="52">
        <f t="shared" si="3"/>
        <v>72160</v>
      </c>
      <c r="AM12" s="52">
        <f t="shared" si="3"/>
        <v>0</v>
      </c>
      <c r="AN12" s="52">
        <f t="shared" si="3"/>
        <v>0</v>
      </c>
      <c r="AO12" s="52">
        <f t="shared" si="3"/>
        <v>0</v>
      </c>
      <c r="AP12" s="53">
        <f>SUM(AI12:AL12)</f>
        <v>151185</v>
      </c>
    </row>
    <row r="13" spans="1:42" x14ac:dyDescent="0.2">
      <c r="A13" t="s">
        <v>4265</v>
      </c>
      <c r="B13">
        <v>0</v>
      </c>
      <c r="C13">
        <v>0</v>
      </c>
      <c r="D13">
        <v>0</v>
      </c>
      <c r="E13">
        <v>1236</v>
      </c>
      <c r="F13">
        <v>1236</v>
      </c>
      <c r="G13" s="54" t="s">
        <v>294</v>
      </c>
      <c r="H13" s="54"/>
      <c r="J13" t="s">
        <v>5637</v>
      </c>
      <c r="Q13" s="38">
        <f>SUM(B214:B215)</f>
        <v>0</v>
      </c>
      <c r="R13" s="38">
        <f>SUM(C214:C215)</f>
        <v>28940</v>
      </c>
      <c r="S13" s="38">
        <f>SUM(D214:D215)</f>
        <v>50085</v>
      </c>
      <c r="T13" s="38">
        <f>SUM(E214:E215)</f>
        <v>72160</v>
      </c>
      <c r="X13">
        <f t="shared" ref="X13:X44" si="4">SUM(Q13:T13)</f>
        <v>151185</v>
      </c>
      <c r="AA13" s="78" t="s">
        <v>5636</v>
      </c>
      <c r="AB13" s="1594"/>
      <c r="AC13" s="1594"/>
      <c r="AD13" s="1594"/>
      <c r="AE13" s="1594"/>
      <c r="AF13" s="1594"/>
      <c r="AG13" s="1594"/>
      <c r="AH13" s="1594" t="s">
        <v>5634</v>
      </c>
      <c r="AI13" s="1723">
        <f>SUM(Q49:Q58,Q75:Q78,B208)</f>
        <v>1577</v>
      </c>
      <c r="AJ13" s="1723">
        <f>SUM(R49:R58,R75:R78,C208)</f>
        <v>4820</v>
      </c>
      <c r="AK13" s="1723">
        <f>SUM(S49:S58,S75:S78,D208)</f>
        <v>9806</v>
      </c>
      <c r="AL13" s="1723">
        <f>SUM(T49:T58,T75:T78,E208)</f>
        <v>3070</v>
      </c>
      <c r="AM13" s="1723">
        <f>SUM(U49:U58,U75:U78)</f>
        <v>0</v>
      </c>
      <c r="AN13" s="1723">
        <f>SUM(V49:V58,V75:V78)</f>
        <v>0</v>
      </c>
      <c r="AO13" s="1723">
        <f>SUM(W49:W58,W75:W78)</f>
        <v>0</v>
      </c>
      <c r="AP13" s="1905">
        <f>SUM(AI13:AL13)</f>
        <v>19273</v>
      </c>
    </row>
    <row r="14" spans="1:42" x14ac:dyDescent="0.2">
      <c r="A14" t="s">
        <v>4266</v>
      </c>
      <c r="B14">
        <v>0</v>
      </c>
      <c r="C14">
        <v>0</v>
      </c>
      <c r="D14">
        <v>0</v>
      </c>
      <c r="E14">
        <v>0</v>
      </c>
      <c r="F14">
        <v>0</v>
      </c>
      <c r="G14" s="54" t="s">
        <v>294</v>
      </c>
      <c r="H14" s="54"/>
      <c r="J14" t="s">
        <v>5640</v>
      </c>
      <c r="Q14" s="38">
        <f t="shared" ref="Q14:T15" si="5">B54</f>
        <v>31</v>
      </c>
      <c r="R14" s="38">
        <f t="shared" si="5"/>
        <v>5760</v>
      </c>
      <c r="S14" s="38">
        <f t="shared" si="5"/>
        <v>0</v>
      </c>
      <c r="T14" s="38">
        <f t="shared" si="5"/>
        <v>0</v>
      </c>
      <c r="X14">
        <f t="shared" si="4"/>
        <v>5791</v>
      </c>
      <c r="AA14" s="50"/>
      <c r="AB14" s="37"/>
      <c r="AC14" s="37"/>
      <c r="AD14" s="37"/>
      <c r="AE14" s="37"/>
      <c r="AF14" s="37"/>
      <c r="AG14" s="37"/>
      <c r="AH14" s="37"/>
      <c r="AP14" s="58"/>
    </row>
    <row r="15" spans="1:42" x14ac:dyDescent="0.2">
      <c r="A15" t="s">
        <v>4267</v>
      </c>
      <c r="B15">
        <v>340</v>
      </c>
      <c r="C15">
        <v>828</v>
      </c>
      <c r="D15">
        <v>0</v>
      </c>
      <c r="E15">
        <v>0</v>
      </c>
      <c r="F15">
        <v>1168</v>
      </c>
      <c r="G15" s="54" t="s">
        <v>294</v>
      </c>
      <c r="H15" s="54"/>
      <c r="J15" t="s">
        <v>5643</v>
      </c>
      <c r="Q15" s="38">
        <f t="shared" si="5"/>
        <v>62</v>
      </c>
      <c r="R15" s="38">
        <f t="shared" si="5"/>
        <v>25436</v>
      </c>
      <c r="S15" s="38">
        <f t="shared" si="5"/>
        <v>66134</v>
      </c>
      <c r="T15" s="38">
        <f t="shared" si="5"/>
        <v>0</v>
      </c>
      <c r="X15">
        <f t="shared" si="4"/>
        <v>91632</v>
      </c>
      <c r="AA15" s="50" t="s">
        <v>5641</v>
      </c>
      <c r="AB15" s="37"/>
      <c r="AC15" s="37"/>
      <c r="AD15" s="37"/>
      <c r="AE15" s="37"/>
      <c r="AF15" s="37"/>
      <c r="AG15" s="37"/>
      <c r="AH15" s="37"/>
      <c r="AP15" s="58"/>
    </row>
    <row r="16" spans="1:42" x14ac:dyDescent="0.2">
      <c r="A16" t="s">
        <v>4268</v>
      </c>
      <c r="B16">
        <v>302</v>
      </c>
      <c r="C16">
        <v>0</v>
      </c>
      <c r="D16">
        <v>37</v>
      </c>
      <c r="E16">
        <v>0</v>
      </c>
      <c r="F16">
        <v>339</v>
      </c>
      <c r="G16" s="54" t="s">
        <v>294</v>
      </c>
      <c r="H16" s="54"/>
      <c r="J16" t="s">
        <v>5647</v>
      </c>
      <c r="Q16" s="38">
        <f t="shared" ref="Q16:T17" si="6">B50</f>
        <v>1017</v>
      </c>
      <c r="R16" s="38">
        <f t="shared" si="6"/>
        <v>2440</v>
      </c>
      <c r="S16" s="38">
        <f t="shared" si="6"/>
        <v>0</v>
      </c>
      <c r="T16" s="38">
        <f t="shared" si="6"/>
        <v>0</v>
      </c>
      <c r="X16">
        <f t="shared" si="4"/>
        <v>3457</v>
      </c>
      <c r="AA16" s="50" t="s">
        <v>5644</v>
      </c>
      <c r="AB16" s="37"/>
      <c r="AC16" s="37"/>
      <c r="AD16" s="37"/>
      <c r="AE16" s="37"/>
      <c r="AF16" s="37"/>
      <c r="AG16" s="37"/>
      <c r="AH16" s="1594" t="s">
        <v>5645</v>
      </c>
      <c r="AI16" s="1723">
        <f t="shared" ref="AI16:AP16" si="7">SUM(Q15,Q17,Q19)</f>
        <v>171</v>
      </c>
      <c r="AJ16" s="1723">
        <f t="shared" si="7"/>
        <v>26249</v>
      </c>
      <c r="AK16" s="1723">
        <f t="shared" si="7"/>
        <v>68249</v>
      </c>
      <c r="AL16" s="1723">
        <f t="shared" si="7"/>
        <v>0</v>
      </c>
      <c r="AM16" s="1723">
        <f t="shared" si="7"/>
        <v>0</v>
      </c>
      <c r="AN16" s="1723">
        <f t="shared" si="7"/>
        <v>0</v>
      </c>
      <c r="AO16" s="1723">
        <f t="shared" si="7"/>
        <v>0</v>
      </c>
      <c r="AP16" s="1908">
        <f t="shared" si="7"/>
        <v>94669</v>
      </c>
    </row>
    <row r="17" spans="1:42" x14ac:dyDescent="0.2">
      <c r="A17" t="s">
        <v>4269</v>
      </c>
      <c r="B17">
        <v>656</v>
      </c>
      <c r="C17">
        <v>686</v>
      </c>
      <c r="D17">
        <v>453</v>
      </c>
      <c r="E17">
        <v>0</v>
      </c>
      <c r="F17">
        <v>1795</v>
      </c>
      <c r="G17" s="54" t="s">
        <v>294</v>
      </c>
      <c r="H17" s="54"/>
      <c r="J17" t="s">
        <v>5649</v>
      </c>
      <c r="Q17" s="38">
        <f t="shared" si="6"/>
        <v>15</v>
      </c>
      <c r="R17" s="38">
        <f t="shared" si="6"/>
        <v>446</v>
      </c>
      <c r="S17" s="38">
        <f t="shared" si="6"/>
        <v>1160</v>
      </c>
      <c r="T17" s="38">
        <f t="shared" si="6"/>
        <v>0</v>
      </c>
      <c r="X17">
        <f t="shared" si="4"/>
        <v>1621</v>
      </c>
      <c r="AA17" s="50"/>
      <c r="AB17" s="37"/>
      <c r="AC17" s="37"/>
      <c r="AD17" s="37"/>
      <c r="AE17" s="37"/>
      <c r="AF17" s="37"/>
      <c r="AG17" s="37"/>
      <c r="AH17" s="37" t="s">
        <v>5648</v>
      </c>
      <c r="AI17" s="38">
        <f t="shared" ref="AI17:AP17" si="8">SUM(Q15)</f>
        <v>62</v>
      </c>
      <c r="AJ17" s="38">
        <f t="shared" si="8"/>
        <v>25436</v>
      </c>
      <c r="AK17" s="38">
        <f t="shared" si="8"/>
        <v>66134</v>
      </c>
      <c r="AL17" s="38">
        <f t="shared" si="8"/>
        <v>0</v>
      </c>
      <c r="AM17" s="38">
        <f t="shared" si="8"/>
        <v>0</v>
      </c>
      <c r="AN17" s="38">
        <f t="shared" si="8"/>
        <v>0</v>
      </c>
      <c r="AO17" s="38">
        <f t="shared" si="8"/>
        <v>0</v>
      </c>
      <c r="AP17" s="59">
        <f t="shared" si="8"/>
        <v>91632</v>
      </c>
    </row>
    <row r="18" spans="1:42" x14ac:dyDescent="0.2">
      <c r="A18" t="s">
        <v>4270</v>
      </c>
      <c r="B18">
        <v>0</v>
      </c>
      <c r="C18">
        <v>0</v>
      </c>
      <c r="D18">
        <v>222</v>
      </c>
      <c r="E18">
        <v>0</v>
      </c>
      <c r="F18">
        <v>222</v>
      </c>
      <c r="G18" s="54" t="s">
        <v>294</v>
      </c>
      <c r="H18" s="54"/>
      <c r="J18" t="s">
        <v>5651</v>
      </c>
      <c r="Q18" s="38">
        <f t="shared" ref="Q18:T19" si="9">SUM(B47)</f>
        <v>0</v>
      </c>
      <c r="R18" s="38">
        <f t="shared" si="9"/>
        <v>3445</v>
      </c>
      <c r="S18" s="38">
        <f t="shared" si="9"/>
        <v>10750</v>
      </c>
      <c r="T18" s="38">
        <f t="shared" si="9"/>
        <v>0</v>
      </c>
      <c r="X18">
        <f t="shared" si="4"/>
        <v>14195</v>
      </c>
      <c r="AA18" s="50"/>
      <c r="AB18" s="37"/>
      <c r="AC18" s="37"/>
      <c r="AD18" s="37"/>
      <c r="AE18" s="37"/>
      <c r="AF18" s="37"/>
      <c r="AG18" s="37"/>
      <c r="AH18" s="37" t="s">
        <v>5650</v>
      </c>
      <c r="AI18" s="38">
        <f t="shared" ref="AI18:AP18" si="10">SUM(Q17)</f>
        <v>15</v>
      </c>
      <c r="AJ18" s="38">
        <f t="shared" si="10"/>
        <v>446</v>
      </c>
      <c r="AK18" s="38">
        <f t="shared" si="10"/>
        <v>1160</v>
      </c>
      <c r="AL18" s="38">
        <f t="shared" si="10"/>
        <v>0</v>
      </c>
      <c r="AM18" s="38">
        <f t="shared" si="10"/>
        <v>0</v>
      </c>
      <c r="AN18" s="38">
        <f t="shared" si="10"/>
        <v>0</v>
      </c>
      <c r="AO18" s="38">
        <f t="shared" si="10"/>
        <v>0</v>
      </c>
      <c r="AP18" s="59">
        <f t="shared" si="10"/>
        <v>1621</v>
      </c>
    </row>
    <row r="19" spans="1:42" x14ac:dyDescent="0.2">
      <c r="A19" t="s">
        <v>4271</v>
      </c>
      <c r="B19">
        <v>871</v>
      </c>
      <c r="C19">
        <v>497</v>
      </c>
      <c r="D19">
        <v>265</v>
      </c>
      <c r="E19">
        <v>0</v>
      </c>
      <c r="F19">
        <v>1633</v>
      </c>
      <c r="G19" s="54" t="s">
        <v>294</v>
      </c>
      <c r="H19" s="54"/>
      <c r="J19" t="s">
        <v>5653</v>
      </c>
      <c r="Q19" s="38">
        <f t="shared" si="9"/>
        <v>94</v>
      </c>
      <c r="R19" s="38">
        <f t="shared" si="9"/>
        <v>367</v>
      </c>
      <c r="S19" s="38">
        <f t="shared" si="9"/>
        <v>955</v>
      </c>
      <c r="T19" s="38">
        <f t="shared" si="9"/>
        <v>0</v>
      </c>
      <c r="X19">
        <f t="shared" si="4"/>
        <v>1416</v>
      </c>
      <c r="AA19" s="50"/>
      <c r="AB19" s="37"/>
      <c r="AC19" s="37"/>
      <c r="AD19" s="37"/>
      <c r="AE19" s="37"/>
      <c r="AF19" s="37"/>
      <c r="AG19" s="37"/>
      <c r="AH19" s="37" t="s">
        <v>5652</v>
      </c>
      <c r="AI19" s="38">
        <f t="shared" ref="AI19:AP19" si="11">SUM(Q19)</f>
        <v>94</v>
      </c>
      <c r="AJ19" s="38">
        <f t="shared" si="11"/>
        <v>367</v>
      </c>
      <c r="AK19" s="38">
        <f t="shared" si="11"/>
        <v>955</v>
      </c>
      <c r="AL19" s="38">
        <f t="shared" si="11"/>
        <v>0</v>
      </c>
      <c r="AM19" s="38">
        <f t="shared" si="11"/>
        <v>0</v>
      </c>
      <c r="AN19" s="38">
        <f t="shared" si="11"/>
        <v>0</v>
      </c>
      <c r="AO19" s="38">
        <f t="shared" si="11"/>
        <v>0</v>
      </c>
      <c r="AP19" s="59">
        <f t="shared" si="11"/>
        <v>1416</v>
      </c>
    </row>
    <row r="20" spans="1:42" x14ac:dyDescent="0.2">
      <c r="A20" t="s">
        <v>4272</v>
      </c>
      <c r="B20">
        <v>819</v>
      </c>
      <c r="C20">
        <v>438</v>
      </c>
      <c r="D20">
        <v>73</v>
      </c>
      <c r="E20">
        <v>0</v>
      </c>
      <c r="F20">
        <v>1330</v>
      </c>
      <c r="G20" s="54" t="s">
        <v>294</v>
      </c>
      <c r="H20" s="54"/>
      <c r="J20" t="s">
        <v>5656</v>
      </c>
      <c r="Q20" s="38">
        <f>SUM(B46)</f>
        <v>0</v>
      </c>
      <c r="R20" s="38">
        <f>SUM(C46)</f>
        <v>2860</v>
      </c>
      <c r="S20" s="38">
        <f>SUM(D46)</f>
        <v>60009</v>
      </c>
      <c r="T20" s="38">
        <f>SUM(E46)</f>
        <v>0</v>
      </c>
      <c r="X20">
        <f t="shared" si="4"/>
        <v>62869</v>
      </c>
      <c r="AA20" s="50"/>
      <c r="AB20" s="37"/>
      <c r="AC20" s="37"/>
      <c r="AD20" s="37"/>
      <c r="AE20" s="37"/>
      <c r="AF20" s="37"/>
      <c r="AG20" s="37"/>
      <c r="AH20" s="1594" t="s">
        <v>5654</v>
      </c>
      <c r="AI20" s="1723">
        <f t="shared" ref="AI20:AP20" si="12">SUM(Q14,Q16,Q18,Q20)</f>
        <v>1048</v>
      </c>
      <c r="AJ20" s="1723">
        <f t="shared" si="12"/>
        <v>14505</v>
      </c>
      <c r="AK20" s="1723">
        <f t="shared" si="12"/>
        <v>70759</v>
      </c>
      <c r="AL20" s="1723">
        <f t="shared" si="12"/>
        <v>0</v>
      </c>
      <c r="AM20" s="1723">
        <f t="shared" si="12"/>
        <v>0</v>
      </c>
      <c r="AN20" s="1723">
        <f t="shared" si="12"/>
        <v>0</v>
      </c>
      <c r="AO20" s="1723">
        <f t="shared" si="12"/>
        <v>0</v>
      </c>
      <c r="AP20" s="1908">
        <f t="shared" si="12"/>
        <v>86312</v>
      </c>
    </row>
    <row r="21" spans="1:42" x14ac:dyDescent="0.2">
      <c r="A21" t="s">
        <v>4273</v>
      </c>
      <c r="B21">
        <v>0</v>
      </c>
      <c r="C21">
        <v>0</v>
      </c>
      <c r="D21">
        <v>0</v>
      </c>
      <c r="E21">
        <v>1054</v>
      </c>
      <c r="F21">
        <v>1054</v>
      </c>
      <c r="G21" s="54" t="s">
        <v>294</v>
      </c>
      <c r="H21" s="54"/>
      <c r="J21" t="s">
        <v>5657</v>
      </c>
      <c r="Q21" s="38">
        <f>SUM(B34)</f>
        <v>1746</v>
      </c>
      <c r="R21" s="38">
        <f>SUM(C34)</f>
        <v>383</v>
      </c>
      <c r="S21" s="38">
        <f>SUM(D34)</f>
        <v>2123</v>
      </c>
      <c r="T21" s="38">
        <f>SUM(E34)</f>
        <v>0</v>
      </c>
      <c r="X21">
        <f t="shared" si="4"/>
        <v>4252</v>
      </c>
      <c r="AA21" s="50"/>
      <c r="AB21" s="37"/>
      <c r="AC21" s="37"/>
      <c r="AD21" s="37"/>
      <c r="AE21" s="37"/>
      <c r="AF21" s="37"/>
      <c r="AG21" s="37"/>
      <c r="AH21" s="37" t="s">
        <v>5648</v>
      </c>
      <c r="AI21" s="38">
        <f t="shared" ref="AI21:AP21" si="13">SUM(Q14)</f>
        <v>31</v>
      </c>
      <c r="AJ21" s="38">
        <f t="shared" si="13"/>
        <v>5760</v>
      </c>
      <c r="AK21" s="38">
        <f t="shared" si="13"/>
        <v>0</v>
      </c>
      <c r="AL21" s="38">
        <f t="shared" si="13"/>
        <v>0</v>
      </c>
      <c r="AM21" s="38">
        <f t="shared" si="13"/>
        <v>0</v>
      </c>
      <c r="AN21" s="38">
        <f t="shared" si="13"/>
        <v>0</v>
      </c>
      <c r="AO21" s="38">
        <f t="shared" si="13"/>
        <v>0</v>
      </c>
      <c r="AP21" s="59">
        <f t="shared" si="13"/>
        <v>5791</v>
      </c>
    </row>
    <row r="22" spans="1:42" x14ac:dyDescent="0.2">
      <c r="A22" t="s">
        <v>4274</v>
      </c>
      <c r="B22">
        <v>0</v>
      </c>
      <c r="C22">
        <v>0</v>
      </c>
      <c r="D22">
        <v>0</v>
      </c>
      <c r="E22">
        <v>0</v>
      </c>
      <c r="F22">
        <v>0</v>
      </c>
      <c r="G22" s="54" t="s">
        <v>294</v>
      </c>
      <c r="H22" s="54"/>
      <c r="J22" t="s">
        <v>5658</v>
      </c>
      <c r="Q22" s="38">
        <f>SUM(B30)</f>
        <v>7223</v>
      </c>
      <c r="R22" s="38">
        <f>SUM(C30)</f>
        <v>1968</v>
      </c>
      <c r="S22" s="38">
        <f>SUM(D30)</f>
        <v>7774</v>
      </c>
      <c r="T22" s="38">
        <f>SUM(E30)</f>
        <v>0</v>
      </c>
      <c r="X22">
        <f t="shared" si="4"/>
        <v>16965</v>
      </c>
      <c r="AA22" s="50"/>
      <c r="AB22" s="37"/>
      <c r="AC22" s="37"/>
      <c r="AD22" s="37"/>
      <c r="AE22" s="37"/>
      <c r="AF22" s="37"/>
      <c r="AG22" s="37"/>
      <c r="AH22" s="37" t="s">
        <v>5650</v>
      </c>
      <c r="AI22" s="38">
        <f t="shared" ref="AI22:AP22" si="14">SUM(Q16)</f>
        <v>1017</v>
      </c>
      <c r="AJ22" s="38">
        <f t="shared" si="14"/>
        <v>2440</v>
      </c>
      <c r="AK22" s="38">
        <f t="shared" si="14"/>
        <v>0</v>
      </c>
      <c r="AL22" s="38">
        <f t="shared" si="14"/>
        <v>0</v>
      </c>
      <c r="AM22" s="38">
        <f t="shared" si="14"/>
        <v>0</v>
      </c>
      <c r="AN22" s="38">
        <f t="shared" si="14"/>
        <v>0</v>
      </c>
      <c r="AO22" s="38">
        <f t="shared" si="14"/>
        <v>0</v>
      </c>
      <c r="AP22" s="59">
        <f t="shared" si="14"/>
        <v>3457</v>
      </c>
    </row>
    <row r="23" spans="1:42" x14ac:dyDescent="0.2">
      <c r="A23" t="s">
        <v>4275</v>
      </c>
      <c r="B23">
        <v>0</v>
      </c>
      <c r="C23">
        <v>0</v>
      </c>
      <c r="D23">
        <v>0</v>
      </c>
      <c r="E23">
        <v>6050</v>
      </c>
      <c r="F23">
        <v>6050</v>
      </c>
      <c r="G23" s="54" t="s">
        <v>294</v>
      </c>
      <c r="H23" s="54"/>
      <c r="J23" t="s">
        <v>5659</v>
      </c>
      <c r="Q23" s="38">
        <f>SUM(B32)</f>
        <v>2850</v>
      </c>
      <c r="R23" s="38">
        <f>SUM(C32)</f>
        <v>713</v>
      </c>
      <c r="S23" s="38">
        <f>SUM(D32)</f>
        <v>1308</v>
      </c>
      <c r="T23" s="38">
        <f>SUM(E32)</f>
        <v>0</v>
      </c>
      <c r="X23">
        <f t="shared" si="4"/>
        <v>4871</v>
      </c>
      <c r="AA23" s="50"/>
      <c r="AB23" s="37"/>
      <c r="AC23" s="37"/>
      <c r="AD23" s="37"/>
      <c r="AE23" s="37"/>
      <c r="AF23" s="37"/>
      <c r="AG23" s="37"/>
      <c r="AH23" s="37" t="s">
        <v>5652</v>
      </c>
      <c r="AI23" s="38">
        <f t="shared" ref="AI23:AP23" si="15">SUM(Q18)</f>
        <v>0</v>
      </c>
      <c r="AJ23" s="38">
        <f t="shared" si="15"/>
        <v>3445</v>
      </c>
      <c r="AK23" s="38">
        <f t="shared" si="15"/>
        <v>10750</v>
      </c>
      <c r="AL23" s="38">
        <f t="shared" si="15"/>
        <v>0</v>
      </c>
      <c r="AM23" s="38">
        <f t="shared" si="15"/>
        <v>0</v>
      </c>
      <c r="AN23" s="38">
        <f t="shared" si="15"/>
        <v>0</v>
      </c>
      <c r="AO23" s="38">
        <f t="shared" si="15"/>
        <v>0</v>
      </c>
      <c r="AP23" s="59">
        <f t="shared" si="15"/>
        <v>14195</v>
      </c>
    </row>
    <row r="24" spans="1:42" x14ac:dyDescent="0.2">
      <c r="A24" t="s">
        <v>4276</v>
      </c>
      <c r="B24">
        <v>0</v>
      </c>
      <c r="C24">
        <v>0</v>
      </c>
      <c r="D24">
        <v>0</v>
      </c>
      <c r="E24">
        <v>6145</v>
      </c>
      <c r="F24">
        <v>6145</v>
      </c>
      <c r="G24" s="54" t="s">
        <v>294</v>
      </c>
      <c r="H24" s="54"/>
      <c r="J24" t="s">
        <v>5661</v>
      </c>
      <c r="Q24" s="38">
        <f>SUM(B28)</f>
        <v>56</v>
      </c>
      <c r="R24" s="38">
        <f>SUM(C28)</f>
        <v>0</v>
      </c>
      <c r="S24" s="38">
        <f>SUM(D28)</f>
        <v>36</v>
      </c>
      <c r="T24" s="38">
        <f>SUM(E28)</f>
        <v>0</v>
      </c>
      <c r="X24">
        <f t="shared" si="4"/>
        <v>92</v>
      </c>
      <c r="AA24" s="50"/>
      <c r="AB24" s="37"/>
      <c r="AC24" s="37"/>
      <c r="AD24" s="37"/>
      <c r="AE24" s="37"/>
      <c r="AF24" s="37"/>
      <c r="AG24" s="37"/>
      <c r="AH24" s="37" t="s">
        <v>5660</v>
      </c>
      <c r="AI24" s="38">
        <f t="shared" ref="AI24:AP24" si="16">SUM(Q20)</f>
        <v>0</v>
      </c>
      <c r="AJ24" s="38">
        <f t="shared" si="16"/>
        <v>2860</v>
      </c>
      <c r="AK24" s="38">
        <f t="shared" si="16"/>
        <v>60009</v>
      </c>
      <c r="AL24" s="38">
        <f t="shared" si="16"/>
        <v>0</v>
      </c>
      <c r="AM24" s="38">
        <f t="shared" si="16"/>
        <v>0</v>
      </c>
      <c r="AN24" s="38">
        <f t="shared" si="16"/>
        <v>0</v>
      </c>
      <c r="AO24" s="38">
        <f t="shared" si="16"/>
        <v>0</v>
      </c>
      <c r="AP24" s="59">
        <f t="shared" si="16"/>
        <v>62869</v>
      </c>
    </row>
    <row r="25" spans="1:42" x14ac:dyDescent="0.2">
      <c r="A25" t="s">
        <v>4277</v>
      </c>
      <c r="B25">
        <v>0</v>
      </c>
      <c r="C25">
        <v>0</v>
      </c>
      <c r="D25">
        <v>0</v>
      </c>
      <c r="E25">
        <v>9049</v>
      </c>
      <c r="F25">
        <v>9049</v>
      </c>
      <c r="G25" s="54" t="s">
        <v>294</v>
      </c>
      <c r="H25" s="54"/>
      <c r="J25" t="s">
        <v>5662</v>
      </c>
      <c r="Q25">
        <f>SUM(B18*0.5)</f>
        <v>0</v>
      </c>
      <c r="R25">
        <f>SUM(C18*0.5)</f>
        <v>0</v>
      </c>
      <c r="S25">
        <f>SUM(D18*0.5)</f>
        <v>111</v>
      </c>
      <c r="T25">
        <f>SUM(E18*0.5)</f>
        <v>0</v>
      </c>
      <c r="X25">
        <f t="shared" si="4"/>
        <v>111</v>
      </c>
      <c r="AA25" s="50"/>
      <c r="AB25" s="37"/>
      <c r="AC25" s="37"/>
      <c r="AD25" s="37"/>
      <c r="AE25" s="37"/>
      <c r="AF25" s="37"/>
      <c r="AG25" s="37"/>
      <c r="AH25" s="37"/>
      <c r="AI25" s="38"/>
      <c r="AJ25" s="38"/>
      <c r="AK25" s="38"/>
      <c r="AL25" s="38"/>
      <c r="AM25" s="38"/>
      <c r="AN25" s="38"/>
      <c r="AO25" s="38"/>
      <c r="AP25" s="59"/>
    </row>
    <row r="26" spans="1:42" x14ac:dyDescent="0.2">
      <c r="A26" t="s">
        <v>4278</v>
      </c>
      <c r="B26">
        <v>0</v>
      </c>
      <c r="C26">
        <v>0</v>
      </c>
      <c r="D26">
        <v>0</v>
      </c>
      <c r="E26">
        <v>0</v>
      </c>
      <c r="F26">
        <v>0</v>
      </c>
      <c r="G26" s="54" t="s">
        <v>294</v>
      </c>
      <c r="H26" s="54"/>
      <c r="J26" t="s">
        <v>5667</v>
      </c>
      <c r="Q26">
        <f>SUM(B18*0.5)</f>
        <v>0</v>
      </c>
      <c r="R26">
        <f>SUM(C18*0.5)</f>
        <v>0</v>
      </c>
      <c r="S26">
        <f>SUM(D18*0.5)</f>
        <v>111</v>
      </c>
      <c r="T26">
        <f>SUM(E18*0.5)</f>
        <v>0</v>
      </c>
      <c r="X26">
        <f t="shared" si="4"/>
        <v>111</v>
      </c>
      <c r="AA26" s="50" t="s">
        <v>5663</v>
      </c>
      <c r="AB26" s="37"/>
      <c r="AC26" s="37"/>
      <c r="AD26" s="37"/>
      <c r="AE26" s="37"/>
      <c r="AF26" s="37"/>
      <c r="AG26" s="37"/>
      <c r="AH26" s="37" t="s">
        <v>5664</v>
      </c>
      <c r="AI26">
        <f t="shared" ref="AI26:AP29" si="17">SUM(Q30)</f>
        <v>52</v>
      </c>
      <c r="AJ26">
        <f t="shared" si="17"/>
        <v>5573</v>
      </c>
      <c r="AK26">
        <f t="shared" si="17"/>
        <v>21646</v>
      </c>
      <c r="AL26">
        <f t="shared" si="17"/>
        <v>0</v>
      </c>
      <c r="AM26">
        <f t="shared" si="17"/>
        <v>0</v>
      </c>
      <c r="AN26">
        <f t="shared" si="17"/>
        <v>0</v>
      </c>
      <c r="AO26">
        <f t="shared" si="17"/>
        <v>0</v>
      </c>
      <c r="AP26" s="58">
        <f t="shared" si="17"/>
        <v>27271</v>
      </c>
    </row>
    <row r="27" spans="1:42" x14ac:dyDescent="0.2">
      <c r="A27" t="s">
        <v>4279</v>
      </c>
      <c r="B27">
        <v>186</v>
      </c>
      <c r="C27">
        <v>413</v>
      </c>
      <c r="D27">
        <v>465</v>
      </c>
      <c r="E27">
        <v>0</v>
      </c>
      <c r="F27">
        <v>1064</v>
      </c>
      <c r="G27" s="54" t="s">
        <v>294</v>
      </c>
      <c r="H27" s="54"/>
      <c r="J27" t="s">
        <v>5669</v>
      </c>
      <c r="Q27" s="38">
        <f>SUM(B16)</f>
        <v>302</v>
      </c>
      <c r="R27" s="38">
        <f>SUM(C16)</f>
        <v>0</v>
      </c>
      <c r="S27" s="38">
        <f>SUM(D16)</f>
        <v>37</v>
      </c>
      <c r="T27" s="38">
        <f>SUM(E16)</f>
        <v>0</v>
      </c>
      <c r="X27">
        <f t="shared" si="4"/>
        <v>339</v>
      </c>
      <c r="AA27" s="50"/>
      <c r="AB27" s="37"/>
      <c r="AC27" s="37"/>
      <c r="AD27" s="37"/>
      <c r="AE27" s="37"/>
      <c r="AF27" s="37"/>
      <c r="AG27" s="37"/>
      <c r="AH27" s="37" t="s">
        <v>5668</v>
      </c>
      <c r="AI27">
        <f t="shared" si="17"/>
        <v>0</v>
      </c>
      <c r="AJ27">
        <f t="shared" si="17"/>
        <v>1959</v>
      </c>
      <c r="AK27">
        <f t="shared" si="17"/>
        <v>4480</v>
      </c>
      <c r="AL27">
        <f t="shared" si="17"/>
        <v>0</v>
      </c>
      <c r="AM27">
        <f t="shared" si="17"/>
        <v>0</v>
      </c>
      <c r="AN27">
        <f t="shared" si="17"/>
        <v>0</v>
      </c>
      <c r="AO27">
        <f t="shared" si="17"/>
        <v>0</v>
      </c>
      <c r="AP27" s="58">
        <f t="shared" si="17"/>
        <v>6439</v>
      </c>
    </row>
    <row r="28" spans="1:42" x14ac:dyDescent="0.2">
      <c r="A28" t="s">
        <v>4280</v>
      </c>
      <c r="B28">
        <v>56</v>
      </c>
      <c r="C28">
        <v>0</v>
      </c>
      <c r="D28">
        <v>36</v>
      </c>
      <c r="E28">
        <v>0</v>
      </c>
      <c r="F28">
        <v>92</v>
      </c>
      <c r="G28" s="54" t="s">
        <v>294</v>
      </c>
      <c r="H28" s="54"/>
      <c r="J28" t="s">
        <v>5671</v>
      </c>
      <c r="Q28" s="38">
        <f>SUM(B20)</f>
        <v>819</v>
      </c>
      <c r="R28" s="38">
        <f>SUM(C20)</f>
        <v>438</v>
      </c>
      <c r="S28" s="38">
        <f>SUM(D20)</f>
        <v>73</v>
      </c>
      <c r="T28" s="38">
        <f>SUM(E20)</f>
        <v>0</v>
      </c>
      <c r="X28">
        <f t="shared" si="4"/>
        <v>1330</v>
      </c>
      <c r="AA28" s="50"/>
      <c r="AB28" s="37"/>
      <c r="AC28" s="37"/>
      <c r="AD28" s="37"/>
      <c r="AE28" s="37"/>
      <c r="AF28" s="37"/>
      <c r="AG28" s="37"/>
      <c r="AH28" s="37" t="s">
        <v>5670</v>
      </c>
      <c r="AI28">
        <f t="shared" si="17"/>
        <v>0</v>
      </c>
      <c r="AJ28">
        <f t="shared" si="17"/>
        <v>26527</v>
      </c>
      <c r="AK28">
        <f t="shared" si="17"/>
        <v>63703</v>
      </c>
      <c r="AL28">
        <f t="shared" si="17"/>
        <v>0</v>
      </c>
      <c r="AM28">
        <f t="shared" si="17"/>
        <v>0</v>
      </c>
      <c r="AN28">
        <f t="shared" si="17"/>
        <v>0</v>
      </c>
      <c r="AO28">
        <f t="shared" si="17"/>
        <v>0</v>
      </c>
      <c r="AP28" s="58">
        <f t="shared" si="17"/>
        <v>90230</v>
      </c>
    </row>
    <row r="29" spans="1:42" x14ac:dyDescent="0.2">
      <c r="A29" t="s">
        <v>4281</v>
      </c>
      <c r="B29">
        <v>4197</v>
      </c>
      <c r="C29">
        <v>34402</v>
      </c>
      <c r="D29">
        <v>186</v>
      </c>
      <c r="E29">
        <v>0</v>
      </c>
      <c r="F29">
        <v>38785</v>
      </c>
      <c r="G29" s="54" t="s">
        <v>294</v>
      </c>
      <c r="H29" s="54"/>
      <c r="J29" t="s">
        <v>5674</v>
      </c>
      <c r="Q29" s="38">
        <f>SUM(B19)</f>
        <v>871</v>
      </c>
      <c r="R29" s="38">
        <f>SUM(C19)</f>
        <v>497</v>
      </c>
      <c r="S29" s="38">
        <f>SUM(D19)</f>
        <v>265</v>
      </c>
      <c r="T29" s="38">
        <f>SUM(E19)</f>
        <v>0</v>
      </c>
      <c r="X29">
        <f t="shared" si="4"/>
        <v>1633</v>
      </c>
      <c r="AA29" s="50"/>
      <c r="AB29" s="37"/>
      <c r="AC29" s="37"/>
      <c r="AD29" s="37"/>
      <c r="AE29" s="37"/>
      <c r="AF29" s="37"/>
      <c r="AG29" s="37"/>
      <c r="AH29" s="37" t="s">
        <v>5672</v>
      </c>
      <c r="AI29">
        <f t="shared" si="17"/>
        <v>0</v>
      </c>
      <c r="AJ29">
        <f t="shared" si="17"/>
        <v>43322</v>
      </c>
      <c r="AK29">
        <f t="shared" si="17"/>
        <v>79065</v>
      </c>
      <c r="AL29">
        <f t="shared" si="17"/>
        <v>0</v>
      </c>
      <c r="AM29">
        <f t="shared" si="17"/>
        <v>0</v>
      </c>
      <c r="AN29">
        <f t="shared" si="17"/>
        <v>0</v>
      </c>
      <c r="AO29">
        <f t="shared" si="17"/>
        <v>0</v>
      </c>
      <c r="AP29" s="58">
        <f t="shared" si="17"/>
        <v>122387</v>
      </c>
    </row>
    <row r="30" spans="1:42" x14ac:dyDescent="0.2">
      <c r="A30" t="s">
        <v>4282</v>
      </c>
      <c r="B30">
        <v>7223</v>
      </c>
      <c r="C30">
        <v>1968</v>
      </c>
      <c r="D30">
        <v>7774</v>
      </c>
      <c r="E30">
        <v>0</v>
      </c>
      <c r="F30">
        <v>16965</v>
      </c>
      <c r="G30" s="54" t="s">
        <v>294</v>
      </c>
      <c r="H30" s="54"/>
      <c r="J30" t="s">
        <v>5676</v>
      </c>
      <c r="Q30" s="38">
        <f>SUM(B53)</f>
        <v>52</v>
      </c>
      <c r="R30" s="38">
        <f>SUM(C53)</f>
        <v>5573</v>
      </c>
      <c r="S30" s="38">
        <f>SUM(D53)</f>
        <v>21646</v>
      </c>
      <c r="T30" s="38">
        <f>SUM(E53)</f>
        <v>0</v>
      </c>
      <c r="X30">
        <f t="shared" si="4"/>
        <v>27271</v>
      </c>
      <c r="AA30" s="50"/>
      <c r="AB30" s="37"/>
      <c r="AC30" s="37"/>
      <c r="AD30" s="37"/>
      <c r="AE30" s="37"/>
      <c r="AF30" s="37"/>
      <c r="AG30" s="37"/>
      <c r="AH30" s="37" t="s">
        <v>145</v>
      </c>
      <c r="AI30">
        <v>0</v>
      </c>
      <c r="AJ30">
        <v>0</v>
      </c>
      <c r="AK30">
        <f>SUM(S34)</f>
        <v>0</v>
      </c>
      <c r="AL30">
        <f>SUM(T34)</f>
        <v>155053</v>
      </c>
      <c r="AP30" s="58">
        <f>SUM(AI30:AL30)</f>
        <v>155053</v>
      </c>
    </row>
    <row r="31" spans="1:42" x14ac:dyDescent="0.2">
      <c r="A31" t="s">
        <v>4283</v>
      </c>
      <c r="B31">
        <v>1747</v>
      </c>
      <c r="C31">
        <v>14312</v>
      </c>
      <c r="D31">
        <v>774</v>
      </c>
      <c r="E31">
        <v>0</v>
      </c>
      <c r="F31">
        <v>16833</v>
      </c>
      <c r="G31" s="54" t="s">
        <v>294</v>
      </c>
      <c r="H31" s="54"/>
      <c r="J31" t="s">
        <v>5678</v>
      </c>
      <c r="Q31" s="38">
        <f>SUM(B52)</f>
        <v>0</v>
      </c>
      <c r="R31" s="38">
        <f>SUM(C52)</f>
        <v>1959</v>
      </c>
      <c r="S31" s="38">
        <f>SUM(D52)</f>
        <v>4480</v>
      </c>
      <c r="T31" s="38">
        <f>SUM(E52)</f>
        <v>0</v>
      </c>
      <c r="X31">
        <f t="shared" si="4"/>
        <v>6439</v>
      </c>
      <c r="AA31" s="60" t="s">
        <v>5677</v>
      </c>
      <c r="AB31" s="1952"/>
      <c r="AC31" s="1952"/>
      <c r="AD31" s="1952"/>
      <c r="AE31" s="1952"/>
      <c r="AF31" s="1952"/>
      <c r="AG31" s="1952"/>
      <c r="AH31" s="1952"/>
      <c r="AI31" s="1953">
        <f t="shared" ref="AI31:AP31" si="18">SUM(AI16,AI20,AI26:AI30)</f>
        <v>1271</v>
      </c>
      <c r="AJ31" s="1953">
        <f t="shared" si="18"/>
        <v>118135</v>
      </c>
      <c r="AK31" s="1953">
        <f t="shared" si="18"/>
        <v>307902</v>
      </c>
      <c r="AL31" s="1953">
        <f t="shared" si="18"/>
        <v>155053</v>
      </c>
      <c r="AM31" s="1953">
        <f t="shared" si="18"/>
        <v>0</v>
      </c>
      <c r="AN31" s="1953">
        <f t="shared" si="18"/>
        <v>0</v>
      </c>
      <c r="AO31" s="1953">
        <f t="shared" si="18"/>
        <v>0</v>
      </c>
      <c r="AP31" s="1954">
        <f t="shared" si="18"/>
        <v>582361</v>
      </c>
    </row>
    <row r="32" spans="1:42" x14ac:dyDescent="0.2">
      <c r="A32" t="s">
        <v>4284</v>
      </c>
      <c r="B32">
        <v>2850</v>
      </c>
      <c r="C32">
        <v>713</v>
      </c>
      <c r="D32">
        <v>1308</v>
      </c>
      <c r="E32">
        <v>0</v>
      </c>
      <c r="F32">
        <v>4871</v>
      </c>
      <c r="G32" s="54" t="s">
        <v>294</v>
      </c>
      <c r="H32" s="54"/>
      <c r="J32" t="s">
        <v>5679</v>
      </c>
      <c r="Q32" s="38">
        <f>SUM(B49)</f>
        <v>0</v>
      </c>
      <c r="R32" s="38">
        <f>SUM(C49)</f>
        <v>26527</v>
      </c>
      <c r="S32" s="38">
        <f>SUM(D49)</f>
        <v>63703</v>
      </c>
      <c r="T32" s="38">
        <f>SUM(E49)</f>
        <v>0</v>
      </c>
      <c r="X32">
        <f t="shared" si="4"/>
        <v>90230</v>
      </c>
      <c r="AA32" s="50"/>
      <c r="AB32" s="37"/>
      <c r="AC32" s="37"/>
      <c r="AD32" s="37"/>
      <c r="AE32" s="37"/>
      <c r="AF32" s="37"/>
      <c r="AG32" s="37"/>
      <c r="AH32" s="37"/>
      <c r="AP32" s="58"/>
    </row>
    <row r="33" spans="1:42" x14ac:dyDescent="0.2">
      <c r="A33" t="s">
        <v>4285</v>
      </c>
      <c r="B33">
        <v>645</v>
      </c>
      <c r="C33">
        <v>5306</v>
      </c>
      <c r="D33">
        <v>418</v>
      </c>
      <c r="E33">
        <v>0</v>
      </c>
      <c r="F33">
        <v>6369</v>
      </c>
      <c r="G33" s="54" t="s">
        <v>294</v>
      </c>
      <c r="H33" s="54"/>
      <c r="J33" t="s">
        <v>5681</v>
      </c>
      <c r="Q33" s="38">
        <f>SUM(B45)</f>
        <v>0</v>
      </c>
      <c r="R33" s="38">
        <f>SUM(C45)</f>
        <v>43322</v>
      </c>
      <c r="S33" s="38">
        <f>SUM(D45)</f>
        <v>79065</v>
      </c>
      <c r="T33" s="38">
        <f>SUM(E45)</f>
        <v>0</v>
      </c>
      <c r="X33">
        <f t="shared" si="4"/>
        <v>122387</v>
      </c>
      <c r="AA33" s="50" t="s">
        <v>5680</v>
      </c>
      <c r="AB33" s="37"/>
      <c r="AC33" s="37"/>
      <c r="AD33" s="37"/>
      <c r="AE33" s="37"/>
      <c r="AF33" s="37"/>
      <c r="AG33" s="37"/>
      <c r="AH33" s="37"/>
      <c r="AP33" s="58"/>
    </row>
    <row r="34" spans="1:42" x14ac:dyDescent="0.2">
      <c r="A34" t="s">
        <v>4286</v>
      </c>
      <c r="B34">
        <v>1746</v>
      </c>
      <c r="C34">
        <v>383</v>
      </c>
      <c r="D34">
        <v>2123</v>
      </c>
      <c r="E34">
        <v>0</v>
      </c>
      <c r="F34">
        <v>4252</v>
      </c>
      <c r="G34" s="54" t="s">
        <v>294</v>
      </c>
      <c r="H34" s="54"/>
      <c r="J34" t="s">
        <v>5683</v>
      </c>
      <c r="Q34" s="38">
        <f>SUM(B35)</f>
        <v>0</v>
      </c>
      <c r="R34" s="38">
        <f>SUM(C35)</f>
        <v>0</v>
      </c>
      <c r="S34" s="38">
        <f>SUM(D35)</f>
        <v>0</v>
      </c>
      <c r="T34" s="38">
        <f>SUM(E35)</f>
        <v>155053</v>
      </c>
      <c r="X34">
        <f t="shared" si="4"/>
        <v>155053</v>
      </c>
      <c r="AA34" s="50" t="s">
        <v>5644</v>
      </c>
      <c r="AB34" s="37"/>
      <c r="AC34" s="37"/>
      <c r="AD34" s="37"/>
      <c r="AE34" s="37"/>
      <c r="AF34" s="37"/>
      <c r="AG34" s="37"/>
      <c r="AH34" s="37" t="s">
        <v>5682</v>
      </c>
      <c r="AI34">
        <f t="shared" ref="AI34:AP37" si="19">SUM(Q21)</f>
        <v>1746</v>
      </c>
      <c r="AJ34">
        <f t="shared" si="19"/>
        <v>383</v>
      </c>
      <c r="AK34">
        <f t="shared" si="19"/>
        <v>2123</v>
      </c>
      <c r="AL34">
        <f t="shared" si="19"/>
        <v>0</v>
      </c>
      <c r="AM34">
        <f t="shared" si="19"/>
        <v>0</v>
      </c>
      <c r="AN34">
        <f t="shared" si="19"/>
        <v>0</v>
      </c>
      <c r="AO34">
        <f t="shared" si="19"/>
        <v>0</v>
      </c>
      <c r="AP34" s="58">
        <f t="shared" si="19"/>
        <v>4252</v>
      </c>
    </row>
    <row r="35" spans="1:42" x14ac:dyDescent="0.2">
      <c r="A35" t="s">
        <v>4287</v>
      </c>
      <c r="B35">
        <v>0</v>
      </c>
      <c r="C35">
        <v>0</v>
      </c>
      <c r="D35">
        <v>0</v>
      </c>
      <c r="E35">
        <v>155053</v>
      </c>
      <c r="F35">
        <v>155053</v>
      </c>
      <c r="G35" s="54" t="s">
        <v>294</v>
      </c>
      <c r="H35" s="54"/>
      <c r="J35" t="s">
        <v>5685</v>
      </c>
      <c r="Q35" s="38">
        <f>SUM(B33)</f>
        <v>645</v>
      </c>
      <c r="R35" s="38">
        <f>SUM(C33)</f>
        <v>5306</v>
      </c>
      <c r="S35" s="38">
        <f>SUM(D33)</f>
        <v>418</v>
      </c>
      <c r="T35" s="38">
        <f>SUM(E33)</f>
        <v>0</v>
      </c>
      <c r="X35">
        <f t="shared" si="4"/>
        <v>6369</v>
      </c>
      <c r="AA35" s="50"/>
      <c r="AB35" s="37"/>
      <c r="AC35" s="37"/>
      <c r="AD35" s="37"/>
      <c r="AE35" s="37"/>
      <c r="AF35" s="37"/>
      <c r="AG35" s="37"/>
      <c r="AH35" s="37" t="s">
        <v>5684</v>
      </c>
      <c r="AI35">
        <f t="shared" si="19"/>
        <v>7223</v>
      </c>
      <c r="AJ35">
        <f t="shared" si="19"/>
        <v>1968</v>
      </c>
      <c r="AK35">
        <f t="shared" si="19"/>
        <v>7774</v>
      </c>
      <c r="AL35">
        <f t="shared" si="19"/>
        <v>0</v>
      </c>
      <c r="AM35">
        <f t="shared" si="19"/>
        <v>0</v>
      </c>
      <c r="AN35">
        <f t="shared" si="19"/>
        <v>0</v>
      </c>
      <c r="AO35">
        <f t="shared" si="19"/>
        <v>0</v>
      </c>
      <c r="AP35" s="58">
        <f t="shared" si="19"/>
        <v>16965</v>
      </c>
    </row>
    <row r="36" spans="1:42" x14ac:dyDescent="0.2">
      <c r="A36" t="s">
        <v>4288</v>
      </c>
      <c r="B36">
        <v>0</v>
      </c>
      <c r="C36">
        <v>0</v>
      </c>
      <c r="D36">
        <v>0</v>
      </c>
      <c r="E36">
        <v>2294</v>
      </c>
      <c r="F36">
        <v>2294</v>
      </c>
      <c r="G36" s="54" t="s">
        <v>294</v>
      </c>
      <c r="H36" s="54"/>
      <c r="J36" t="s">
        <v>5687</v>
      </c>
      <c r="Q36" s="38">
        <f>SUM(B29)</f>
        <v>4197</v>
      </c>
      <c r="R36" s="38">
        <f>SUM(C29)</f>
        <v>34402</v>
      </c>
      <c r="S36" s="38">
        <f>SUM(D29)</f>
        <v>186</v>
      </c>
      <c r="T36" s="38">
        <f>SUM(E29)</f>
        <v>0</v>
      </c>
      <c r="X36">
        <f t="shared" si="4"/>
        <v>38785</v>
      </c>
      <c r="AA36" s="50"/>
      <c r="AB36" s="37"/>
      <c r="AC36" s="37"/>
      <c r="AD36" s="37"/>
      <c r="AE36" s="37"/>
      <c r="AF36" s="37"/>
      <c r="AG36" s="37"/>
      <c r="AH36" s="37" t="s">
        <v>5686</v>
      </c>
      <c r="AI36">
        <f t="shared" si="19"/>
        <v>2850</v>
      </c>
      <c r="AJ36">
        <f t="shared" si="19"/>
        <v>713</v>
      </c>
      <c r="AK36">
        <f t="shared" si="19"/>
        <v>1308</v>
      </c>
      <c r="AL36">
        <f t="shared" si="19"/>
        <v>0</v>
      </c>
      <c r="AM36">
        <f t="shared" si="19"/>
        <v>0</v>
      </c>
      <c r="AN36">
        <f t="shared" si="19"/>
        <v>0</v>
      </c>
      <c r="AO36">
        <f t="shared" si="19"/>
        <v>0</v>
      </c>
      <c r="AP36" s="58">
        <f t="shared" si="19"/>
        <v>4871</v>
      </c>
    </row>
    <row r="37" spans="1:42" x14ac:dyDescent="0.2">
      <c r="A37" t="s">
        <v>4289</v>
      </c>
      <c r="B37">
        <v>0</v>
      </c>
      <c r="C37">
        <v>0</v>
      </c>
      <c r="D37">
        <v>0</v>
      </c>
      <c r="E37">
        <v>391771</v>
      </c>
      <c r="F37">
        <v>391771</v>
      </c>
      <c r="G37" s="54" t="s">
        <v>294</v>
      </c>
      <c r="H37" s="54"/>
      <c r="J37" t="s">
        <v>5689</v>
      </c>
      <c r="Q37" s="38">
        <f>SUM(B31)</f>
        <v>1747</v>
      </c>
      <c r="R37" s="38">
        <f>SUM(C31)</f>
        <v>14312</v>
      </c>
      <c r="S37" s="38">
        <f>SUM(D31)</f>
        <v>774</v>
      </c>
      <c r="T37" s="38">
        <f>SUM(E31)</f>
        <v>0</v>
      </c>
      <c r="X37">
        <f t="shared" si="4"/>
        <v>16833</v>
      </c>
      <c r="AA37" s="50"/>
      <c r="AB37" s="37"/>
      <c r="AC37" s="37"/>
      <c r="AD37" s="37"/>
      <c r="AE37" s="37"/>
      <c r="AF37" s="37"/>
      <c r="AG37" s="37"/>
      <c r="AH37" s="37" t="s">
        <v>5688</v>
      </c>
      <c r="AI37">
        <f t="shared" si="19"/>
        <v>56</v>
      </c>
      <c r="AJ37">
        <f t="shared" si="19"/>
        <v>0</v>
      </c>
      <c r="AK37">
        <f t="shared" si="19"/>
        <v>36</v>
      </c>
      <c r="AL37">
        <f t="shared" si="19"/>
        <v>0</v>
      </c>
      <c r="AM37">
        <f t="shared" si="19"/>
        <v>0</v>
      </c>
      <c r="AN37">
        <f t="shared" si="19"/>
        <v>0</v>
      </c>
      <c r="AO37">
        <f t="shared" si="19"/>
        <v>0</v>
      </c>
      <c r="AP37" s="58">
        <f t="shared" si="19"/>
        <v>92</v>
      </c>
    </row>
    <row r="38" spans="1:42" x14ac:dyDescent="0.2">
      <c r="A38" t="s">
        <v>4290</v>
      </c>
      <c r="B38">
        <v>0</v>
      </c>
      <c r="C38">
        <v>0</v>
      </c>
      <c r="D38">
        <v>0</v>
      </c>
      <c r="E38">
        <v>106802</v>
      </c>
      <c r="F38">
        <v>106802</v>
      </c>
      <c r="G38" s="54" t="s">
        <v>294</v>
      </c>
      <c r="H38" s="54"/>
      <c r="J38" t="s">
        <v>5691</v>
      </c>
      <c r="Q38" s="38">
        <f>SUM(B27)</f>
        <v>186</v>
      </c>
      <c r="R38" s="38">
        <f>SUM(C27)</f>
        <v>413</v>
      </c>
      <c r="S38" s="38">
        <f>SUM(D27)</f>
        <v>465</v>
      </c>
      <c r="T38" s="38">
        <f>SUM(E27)</f>
        <v>0</v>
      </c>
      <c r="X38">
        <f t="shared" si="4"/>
        <v>1064</v>
      </c>
      <c r="AA38" s="50"/>
      <c r="AB38" s="37"/>
      <c r="AC38" s="37"/>
      <c r="AD38" s="37"/>
      <c r="AE38" s="37"/>
      <c r="AF38" s="37"/>
      <c r="AG38" s="37"/>
      <c r="AH38" s="37" t="s">
        <v>5690</v>
      </c>
      <c r="AI38">
        <f>SUM(Q25,Q26)</f>
        <v>0</v>
      </c>
      <c r="AJ38">
        <f>SUM(R25,R26)</f>
        <v>0</v>
      </c>
      <c r="AK38">
        <f>SUM(S25,S26)</f>
        <v>222</v>
      </c>
      <c r="AL38">
        <f>SUM(T25,T26)</f>
        <v>0</v>
      </c>
      <c r="AM38">
        <f>SUM(U25)</f>
        <v>0</v>
      </c>
      <c r="AN38">
        <f>SUM(V25)</f>
        <v>0</v>
      </c>
      <c r="AO38">
        <f>SUM(W25)</f>
        <v>0</v>
      </c>
      <c r="AP38" s="58">
        <f>SUM(X25,X26)</f>
        <v>222</v>
      </c>
    </row>
    <row r="39" spans="1:42" x14ac:dyDescent="0.2">
      <c r="A39" t="s">
        <v>4291</v>
      </c>
      <c r="B39">
        <v>0</v>
      </c>
      <c r="C39">
        <v>0</v>
      </c>
      <c r="D39">
        <v>0</v>
      </c>
      <c r="E39">
        <v>7801</v>
      </c>
      <c r="F39">
        <v>7801</v>
      </c>
      <c r="G39" s="54" t="s">
        <v>294</v>
      </c>
      <c r="H39" s="54"/>
      <c r="J39" t="s">
        <v>5693</v>
      </c>
      <c r="Q39">
        <f>SUM(B17*0.5)</f>
        <v>328</v>
      </c>
      <c r="R39">
        <f>SUM(C17*0.5)</f>
        <v>343</v>
      </c>
      <c r="S39">
        <f>SUM(D17*0.5)</f>
        <v>226.5</v>
      </c>
      <c r="T39">
        <f>SUM(E17*0.5)</f>
        <v>0</v>
      </c>
      <c r="X39">
        <f t="shared" si="4"/>
        <v>897.5</v>
      </c>
      <c r="AA39" s="50"/>
      <c r="AB39" s="37"/>
      <c r="AC39" s="37"/>
      <c r="AD39" s="37"/>
      <c r="AE39" s="37"/>
      <c r="AF39" s="37"/>
      <c r="AG39" s="37"/>
      <c r="AH39" s="37" t="s">
        <v>5692</v>
      </c>
      <c r="AI39">
        <f t="shared" ref="AI39:AP40" si="20">SUM(Q27)</f>
        <v>302</v>
      </c>
      <c r="AJ39">
        <f t="shared" si="20"/>
        <v>0</v>
      </c>
      <c r="AK39">
        <f t="shared" si="20"/>
        <v>37</v>
      </c>
      <c r="AL39">
        <f t="shared" si="20"/>
        <v>0</v>
      </c>
      <c r="AM39">
        <f t="shared" si="20"/>
        <v>0</v>
      </c>
      <c r="AN39">
        <f t="shared" si="20"/>
        <v>0</v>
      </c>
      <c r="AO39">
        <f t="shared" si="20"/>
        <v>0</v>
      </c>
      <c r="AP39" s="58">
        <f t="shared" si="20"/>
        <v>339</v>
      </c>
    </row>
    <row r="40" spans="1:42" x14ac:dyDescent="0.2">
      <c r="A40" t="s">
        <v>4292</v>
      </c>
      <c r="B40">
        <v>0</v>
      </c>
      <c r="C40">
        <v>0</v>
      </c>
      <c r="D40">
        <v>0</v>
      </c>
      <c r="E40">
        <v>2532</v>
      </c>
      <c r="F40">
        <v>2532</v>
      </c>
      <c r="G40" s="54" t="s">
        <v>294</v>
      </c>
      <c r="H40" s="54"/>
      <c r="J40" t="s">
        <v>5696</v>
      </c>
      <c r="Q40">
        <f>SUM(B17*0.5)</f>
        <v>328</v>
      </c>
      <c r="R40">
        <f>SUM(C17*0.5)</f>
        <v>343</v>
      </c>
      <c r="S40">
        <f>SUM(D17*0.5)</f>
        <v>226.5</v>
      </c>
      <c r="T40">
        <f>SUM(E17*0.5)</f>
        <v>0</v>
      </c>
      <c r="X40">
        <f t="shared" si="4"/>
        <v>897.5</v>
      </c>
      <c r="AA40" s="50"/>
      <c r="AB40" s="37"/>
      <c r="AC40" s="37"/>
      <c r="AD40" s="37"/>
      <c r="AE40" s="37"/>
      <c r="AF40" s="37"/>
      <c r="AG40" s="37"/>
      <c r="AH40" s="37" t="s">
        <v>5694</v>
      </c>
      <c r="AI40">
        <f t="shared" si="20"/>
        <v>819</v>
      </c>
      <c r="AJ40">
        <f t="shared" si="20"/>
        <v>438</v>
      </c>
      <c r="AK40">
        <f t="shared" si="20"/>
        <v>73</v>
      </c>
      <c r="AL40">
        <f t="shared" si="20"/>
        <v>0</v>
      </c>
      <c r="AM40">
        <f t="shared" si="20"/>
        <v>0</v>
      </c>
      <c r="AN40">
        <f t="shared" si="20"/>
        <v>0</v>
      </c>
      <c r="AO40">
        <f t="shared" si="20"/>
        <v>0</v>
      </c>
      <c r="AP40" s="58">
        <f t="shared" si="20"/>
        <v>1330</v>
      </c>
    </row>
    <row r="41" spans="1:42" x14ac:dyDescent="0.2">
      <c r="A41" t="s">
        <v>4293</v>
      </c>
      <c r="B41">
        <v>0</v>
      </c>
      <c r="C41">
        <v>0</v>
      </c>
      <c r="D41">
        <v>0</v>
      </c>
      <c r="E41">
        <v>4199</v>
      </c>
      <c r="F41">
        <v>4199</v>
      </c>
      <c r="G41" s="54" t="s">
        <v>294</v>
      </c>
      <c r="H41" s="54"/>
      <c r="J41" t="s">
        <v>5697</v>
      </c>
      <c r="Q41" s="38">
        <f>SUM(B15)</f>
        <v>340</v>
      </c>
      <c r="R41" s="38">
        <f>SUM(C15)</f>
        <v>828</v>
      </c>
      <c r="S41" s="38">
        <f>SUM(D15)</f>
        <v>0</v>
      </c>
      <c r="T41" s="38">
        <f>SUM(E15)</f>
        <v>0</v>
      </c>
      <c r="X41">
        <f t="shared" si="4"/>
        <v>1168</v>
      </c>
      <c r="AA41" s="50"/>
      <c r="AB41" s="37"/>
      <c r="AC41" s="37"/>
      <c r="AD41" s="37"/>
      <c r="AE41" s="37"/>
      <c r="AF41" s="37"/>
      <c r="AG41" s="37"/>
      <c r="AH41" s="37"/>
      <c r="AP41" s="58"/>
    </row>
    <row r="42" spans="1:42" x14ac:dyDescent="0.2">
      <c r="A42" t="s">
        <v>4294</v>
      </c>
      <c r="B42">
        <v>0</v>
      </c>
      <c r="C42">
        <v>0</v>
      </c>
      <c r="D42">
        <v>0</v>
      </c>
      <c r="E42">
        <v>11393</v>
      </c>
      <c r="F42">
        <v>11393</v>
      </c>
      <c r="G42" s="54" t="s">
        <v>294</v>
      </c>
      <c r="H42" s="54"/>
      <c r="J42" t="s">
        <v>5698</v>
      </c>
      <c r="Q42" s="38">
        <f>SUM(B56)</f>
        <v>29</v>
      </c>
      <c r="R42" s="38">
        <f>SUM(C56)</f>
        <v>29</v>
      </c>
      <c r="S42" s="38">
        <f>SUM(D56)</f>
        <v>181</v>
      </c>
      <c r="T42" s="38">
        <f>SUM(E56)</f>
        <v>640</v>
      </c>
      <c r="X42">
        <f t="shared" si="4"/>
        <v>879</v>
      </c>
      <c r="AA42" s="50" t="s">
        <v>5663</v>
      </c>
      <c r="AB42" s="37"/>
      <c r="AC42" s="37"/>
      <c r="AD42" s="37"/>
      <c r="AE42" s="37"/>
      <c r="AF42" s="37"/>
      <c r="AG42" s="37"/>
      <c r="AH42" s="37" t="s">
        <v>5682</v>
      </c>
      <c r="AI42">
        <f t="shared" ref="AI42:AP45" si="21">SUM(Q35)</f>
        <v>645</v>
      </c>
      <c r="AJ42">
        <f t="shared" si="21"/>
        <v>5306</v>
      </c>
      <c r="AK42">
        <f t="shared" si="21"/>
        <v>418</v>
      </c>
      <c r="AL42">
        <f t="shared" si="21"/>
        <v>0</v>
      </c>
      <c r="AM42">
        <f t="shared" si="21"/>
        <v>0</v>
      </c>
      <c r="AN42">
        <f t="shared" si="21"/>
        <v>0</v>
      </c>
      <c r="AO42">
        <f t="shared" si="21"/>
        <v>0</v>
      </c>
      <c r="AP42" s="58">
        <f t="shared" si="21"/>
        <v>6369</v>
      </c>
    </row>
    <row r="43" spans="1:42" x14ac:dyDescent="0.2">
      <c r="A43" t="s">
        <v>4295</v>
      </c>
      <c r="B43">
        <v>0</v>
      </c>
      <c r="C43">
        <v>0</v>
      </c>
      <c r="D43">
        <v>0</v>
      </c>
      <c r="E43">
        <v>0</v>
      </c>
      <c r="F43">
        <v>0</v>
      </c>
      <c r="G43" s="54" t="s">
        <v>294</v>
      </c>
      <c r="H43" s="54"/>
      <c r="J43" t="s">
        <v>5699</v>
      </c>
      <c r="Q43" s="38">
        <f>SUM(B103:B104)</f>
        <v>188</v>
      </c>
      <c r="R43" s="38">
        <f>SUM(C103:C104)</f>
        <v>19384</v>
      </c>
      <c r="S43" s="38">
        <f>SUM(D103:D104)</f>
        <v>18042</v>
      </c>
      <c r="T43" s="38">
        <f>SUM(E103:E104)</f>
        <v>56396</v>
      </c>
      <c r="X43">
        <f t="shared" si="4"/>
        <v>94010</v>
      </c>
      <c r="AA43" s="50"/>
      <c r="AB43" s="37"/>
      <c r="AC43" s="37"/>
      <c r="AD43" s="37"/>
      <c r="AE43" s="37"/>
      <c r="AF43" s="37"/>
      <c r="AG43" s="37"/>
      <c r="AH43" s="37" t="s">
        <v>5684</v>
      </c>
      <c r="AI43">
        <f t="shared" si="21"/>
        <v>4197</v>
      </c>
      <c r="AJ43">
        <f t="shared" si="21"/>
        <v>34402</v>
      </c>
      <c r="AK43">
        <f t="shared" si="21"/>
        <v>186</v>
      </c>
      <c r="AL43">
        <f t="shared" si="21"/>
        <v>0</v>
      </c>
      <c r="AM43">
        <f t="shared" si="21"/>
        <v>0</v>
      </c>
      <c r="AN43">
        <f t="shared" si="21"/>
        <v>0</v>
      </c>
      <c r="AO43">
        <f t="shared" si="21"/>
        <v>0</v>
      </c>
      <c r="AP43" s="58">
        <f t="shared" si="21"/>
        <v>38785</v>
      </c>
    </row>
    <row r="44" spans="1:42" x14ac:dyDescent="0.2">
      <c r="A44" t="s">
        <v>4296</v>
      </c>
      <c r="B44">
        <v>0</v>
      </c>
      <c r="C44">
        <v>0</v>
      </c>
      <c r="D44">
        <v>0</v>
      </c>
      <c r="E44">
        <v>0</v>
      </c>
      <c r="F44">
        <v>0</v>
      </c>
      <c r="G44" s="54" t="s">
        <v>294</v>
      </c>
      <c r="H44" s="54"/>
      <c r="J44" t="s">
        <v>5700</v>
      </c>
      <c r="Q44" s="38">
        <f>SUM(B105)</f>
        <v>1</v>
      </c>
      <c r="R44" s="38">
        <f>SUM(C105)</f>
        <v>923</v>
      </c>
      <c r="S44" s="38">
        <f>SUM(D105)</f>
        <v>871</v>
      </c>
      <c r="T44" s="38">
        <f>SUM(E105)</f>
        <v>2241</v>
      </c>
      <c r="X44">
        <f t="shared" si="4"/>
        <v>4036</v>
      </c>
      <c r="AA44" s="50"/>
      <c r="AB44" s="37"/>
      <c r="AC44" s="37"/>
      <c r="AD44" s="37"/>
      <c r="AE44" s="37"/>
      <c r="AF44" s="37"/>
      <c r="AG44" s="37"/>
      <c r="AH44" s="37" t="s">
        <v>5686</v>
      </c>
      <c r="AI44">
        <f t="shared" si="21"/>
        <v>1747</v>
      </c>
      <c r="AJ44">
        <f t="shared" si="21"/>
        <v>14312</v>
      </c>
      <c r="AK44">
        <f t="shared" si="21"/>
        <v>774</v>
      </c>
      <c r="AL44">
        <f t="shared" si="21"/>
        <v>0</v>
      </c>
      <c r="AM44">
        <f t="shared" si="21"/>
        <v>0</v>
      </c>
      <c r="AN44">
        <f t="shared" si="21"/>
        <v>0</v>
      </c>
      <c r="AO44">
        <f t="shared" si="21"/>
        <v>0</v>
      </c>
      <c r="AP44" s="58">
        <f t="shared" si="21"/>
        <v>16833</v>
      </c>
    </row>
    <row r="45" spans="1:42" x14ac:dyDescent="0.2">
      <c r="A45" t="s">
        <v>4297</v>
      </c>
      <c r="B45">
        <v>0</v>
      </c>
      <c r="C45">
        <v>43322</v>
      </c>
      <c r="D45">
        <v>79065</v>
      </c>
      <c r="E45">
        <v>0</v>
      </c>
      <c r="F45">
        <v>122387</v>
      </c>
      <c r="G45" s="54" t="s">
        <v>294</v>
      </c>
      <c r="H45" s="54"/>
      <c r="J45" t="s">
        <v>5701</v>
      </c>
      <c r="Q45" s="38">
        <f t="shared" ref="Q45:T46" si="22">SUM(B118)</f>
        <v>34</v>
      </c>
      <c r="R45" s="38">
        <f t="shared" si="22"/>
        <v>0</v>
      </c>
      <c r="S45" s="38">
        <f t="shared" si="22"/>
        <v>1370</v>
      </c>
      <c r="T45" s="38">
        <f t="shared" si="22"/>
        <v>6528</v>
      </c>
      <c r="X45">
        <f t="shared" ref="X45:X78" si="23">SUM(Q45:T45)</f>
        <v>7932</v>
      </c>
      <c r="AA45" s="50"/>
      <c r="AB45" s="37"/>
      <c r="AC45" s="37"/>
      <c r="AD45" s="37"/>
      <c r="AE45" s="37"/>
      <c r="AF45" s="37"/>
      <c r="AG45" s="37"/>
      <c r="AH45" s="37" t="s">
        <v>5688</v>
      </c>
      <c r="AI45">
        <f t="shared" si="21"/>
        <v>186</v>
      </c>
      <c r="AJ45">
        <f t="shared" si="21"/>
        <v>413</v>
      </c>
      <c r="AK45">
        <f t="shared" si="21"/>
        <v>465</v>
      </c>
      <c r="AL45">
        <f t="shared" si="21"/>
        <v>0</v>
      </c>
      <c r="AM45">
        <f t="shared" si="21"/>
        <v>0</v>
      </c>
      <c r="AN45">
        <f t="shared" si="21"/>
        <v>0</v>
      </c>
      <c r="AO45">
        <f t="shared" si="21"/>
        <v>0</v>
      </c>
      <c r="AP45" s="58">
        <f t="shared" si="21"/>
        <v>1064</v>
      </c>
    </row>
    <row r="46" spans="1:42" x14ac:dyDescent="0.2">
      <c r="A46" t="s">
        <v>4298</v>
      </c>
      <c r="B46">
        <v>0</v>
      </c>
      <c r="C46">
        <v>2860</v>
      </c>
      <c r="D46">
        <v>60009</v>
      </c>
      <c r="E46">
        <v>0</v>
      </c>
      <c r="F46">
        <v>62868</v>
      </c>
      <c r="G46" s="54" t="s">
        <v>294</v>
      </c>
      <c r="H46" s="54"/>
      <c r="J46" t="s">
        <v>5702</v>
      </c>
      <c r="Q46" s="38">
        <f t="shared" si="22"/>
        <v>171</v>
      </c>
      <c r="R46" s="38">
        <f t="shared" si="22"/>
        <v>0</v>
      </c>
      <c r="S46" s="38">
        <f t="shared" si="22"/>
        <v>6030</v>
      </c>
      <c r="T46" s="38">
        <f t="shared" si="22"/>
        <v>14273</v>
      </c>
      <c r="X46">
        <f t="shared" si="23"/>
        <v>20474</v>
      </c>
      <c r="AA46" s="50"/>
      <c r="AB46" s="37"/>
      <c r="AC46" s="37"/>
      <c r="AD46" s="37"/>
      <c r="AE46" s="37"/>
      <c r="AF46" s="37"/>
      <c r="AG46" s="37"/>
      <c r="AH46" s="37" t="s">
        <v>5690</v>
      </c>
      <c r="AI46">
        <f>SUM(Q39,Q40)</f>
        <v>656</v>
      </c>
      <c r="AJ46">
        <f>SUM(R39,R40)</f>
        <v>686</v>
      </c>
      <c r="AK46">
        <f>SUM(S39,S40)</f>
        <v>453</v>
      </c>
      <c r="AL46">
        <f>SUM(T39,T40)</f>
        <v>0</v>
      </c>
      <c r="AM46">
        <f>SUM(U39)</f>
        <v>0</v>
      </c>
      <c r="AN46">
        <f>SUM(V39)</f>
        <v>0</v>
      </c>
      <c r="AO46">
        <f>SUM(W39)</f>
        <v>0</v>
      </c>
      <c r="AP46" s="59">
        <f>SUM(X39,X40)</f>
        <v>1795</v>
      </c>
    </row>
    <row r="47" spans="1:42" x14ac:dyDescent="0.2">
      <c r="A47" t="s">
        <v>4299</v>
      </c>
      <c r="B47">
        <v>0</v>
      </c>
      <c r="C47">
        <v>3445</v>
      </c>
      <c r="D47">
        <v>10750</v>
      </c>
      <c r="E47">
        <v>0</v>
      </c>
      <c r="F47">
        <v>14195</v>
      </c>
      <c r="G47" s="54" t="s">
        <v>294</v>
      </c>
      <c r="H47" s="54"/>
      <c r="J47" t="s">
        <v>5703</v>
      </c>
      <c r="Q47" s="38">
        <f>SUM(B164)</f>
        <v>2</v>
      </c>
      <c r="R47" s="38">
        <f>SUM(C164)</f>
        <v>38</v>
      </c>
      <c r="S47" s="38">
        <f>SUM(D164)</f>
        <v>152</v>
      </c>
      <c r="T47" s="38">
        <f>SUM(E164)</f>
        <v>720</v>
      </c>
      <c r="X47">
        <f t="shared" si="23"/>
        <v>912</v>
      </c>
      <c r="AA47" s="50"/>
      <c r="AB47" s="37"/>
      <c r="AC47" s="37"/>
      <c r="AD47" s="37"/>
      <c r="AE47" s="37"/>
      <c r="AF47" s="37"/>
      <c r="AG47" s="37"/>
      <c r="AH47" s="37" t="s">
        <v>5692</v>
      </c>
      <c r="AI47">
        <f t="shared" ref="AI47:AP48" si="24">SUM(Q41)</f>
        <v>340</v>
      </c>
      <c r="AJ47">
        <f t="shared" si="24"/>
        <v>828</v>
      </c>
      <c r="AK47">
        <f t="shared" si="24"/>
        <v>0</v>
      </c>
      <c r="AL47">
        <f t="shared" si="24"/>
        <v>0</v>
      </c>
      <c r="AM47">
        <f t="shared" si="24"/>
        <v>0</v>
      </c>
      <c r="AN47">
        <f t="shared" si="24"/>
        <v>0</v>
      </c>
      <c r="AO47">
        <f t="shared" si="24"/>
        <v>0</v>
      </c>
      <c r="AP47" s="58">
        <f t="shared" si="24"/>
        <v>1168</v>
      </c>
    </row>
    <row r="48" spans="1:42" x14ac:dyDescent="0.2">
      <c r="A48" t="s">
        <v>4300</v>
      </c>
      <c r="B48">
        <v>94</v>
      </c>
      <c r="C48">
        <v>367</v>
      </c>
      <c r="D48">
        <v>955</v>
      </c>
      <c r="E48">
        <v>0</v>
      </c>
      <c r="F48">
        <v>1417</v>
      </c>
      <c r="G48" s="54" t="s">
        <v>294</v>
      </c>
      <c r="H48" s="54"/>
      <c r="J48" t="s">
        <v>5705</v>
      </c>
      <c r="Q48" s="38">
        <f>SUM(B130,B141,B148)</f>
        <v>857</v>
      </c>
      <c r="R48" s="38">
        <f>SUM(C130,C141,C148)</f>
        <v>3304</v>
      </c>
      <c r="S48" s="38">
        <f>SUM(D130,D141,D148)</f>
        <v>7482</v>
      </c>
      <c r="T48" s="38">
        <f>SUM(E130,E141,E148)</f>
        <v>19432</v>
      </c>
      <c r="X48">
        <f t="shared" si="23"/>
        <v>31075</v>
      </c>
      <c r="AA48" s="50"/>
      <c r="AB48" s="37"/>
      <c r="AC48" s="37"/>
      <c r="AD48" s="37"/>
      <c r="AE48" s="37"/>
      <c r="AF48" s="37"/>
      <c r="AG48" s="37"/>
      <c r="AH48" s="37" t="s">
        <v>5694</v>
      </c>
      <c r="AI48" s="38">
        <f>SUM(Q29)</f>
        <v>871</v>
      </c>
      <c r="AJ48" s="38">
        <f>SUM(R29)</f>
        <v>497</v>
      </c>
      <c r="AK48" s="38">
        <f>SUM(S29)</f>
        <v>265</v>
      </c>
      <c r="AL48" s="38">
        <f>SUM(T29)</f>
        <v>0</v>
      </c>
      <c r="AM48">
        <f t="shared" si="24"/>
        <v>0</v>
      </c>
      <c r="AN48">
        <f t="shared" si="24"/>
        <v>0</v>
      </c>
      <c r="AO48">
        <f t="shared" si="24"/>
        <v>0</v>
      </c>
      <c r="AP48" s="58">
        <f>SUM(X29)</f>
        <v>1633</v>
      </c>
    </row>
    <row r="49" spans="1:42" x14ac:dyDescent="0.2">
      <c r="A49" t="s">
        <v>4301</v>
      </c>
      <c r="B49">
        <v>0</v>
      </c>
      <c r="C49">
        <v>26527</v>
      </c>
      <c r="D49">
        <v>63703</v>
      </c>
      <c r="E49">
        <v>0</v>
      </c>
      <c r="F49">
        <v>90230</v>
      </c>
      <c r="G49" s="54" t="s">
        <v>294</v>
      </c>
      <c r="H49" s="54"/>
      <c r="J49" t="s">
        <v>5707</v>
      </c>
      <c r="Q49" s="38">
        <f>SUM(B187:B189,B202:B203)</f>
        <v>0</v>
      </c>
      <c r="R49" s="38">
        <f>SUM(C187:C189,C202:C203)</f>
        <v>0</v>
      </c>
      <c r="S49" s="38">
        <f>SUM(D187:D189,D202:D203)</f>
        <v>472</v>
      </c>
      <c r="T49" s="38">
        <f>SUM(E187:E189,E202:E203)</f>
        <v>0</v>
      </c>
      <c r="X49">
        <f t="shared" si="23"/>
        <v>472</v>
      </c>
      <c r="AA49" s="60" t="s">
        <v>5706</v>
      </c>
      <c r="AB49" s="1952"/>
      <c r="AC49" s="1952"/>
      <c r="AD49" s="1952"/>
      <c r="AE49" s="1952"/>
      <c r="AF49" s="1952"/>
      <c r="AG49" s="1952"/>
      <c r="AH49" s="1952"/>
      <c r="AI49" s="1959">
        <f>SUM(AI34:AI48)</f>
        <v>21638</v>
      </c>
      <c r="AJ49" s="1959">
        <f t="shared" ref="AJ49:AP49" si="25">SUM(AJ34:AJ48)</f>
        <v>59946</v>
      </c>
      <c r="AK49" s="1959">
        <f t="shared" si="25"/>
        <v>14134</v>
      </c>
      <c r="AL49" s="1959">
        <f t="shared" si="25"/>
        <v>0</v>
      </c>
      <c r="AM49" s="1959">
        <f t="shared" si="25"/>
        <v>0</v>
      </c>
      <c r="AN49" s="1959">
        <f t="shared" si="25"/>
        <v>0</v>
      </c>
      <c r="AO49" s="1959">
        <f t="shared" si="25"/>
        <v>0</v>
      </c>
      <c r="AP49" s="1954">
        <f t="shared" si="25"/>
        <v>95718</v>
      </c>
    </row>
    <row r="50" spans="1:42" x14ac:dyDescent="0.2">
      <c r="A50" t="s">
        <v>4302</v>
      </c>
      <c r="B50">
        <v>1017</v>
      </c>
      <c r="C50">
        <v>2440</v>
      </c>
      <c r="D50">
        <v>0</v>
      </c>
      <c r="E50">
        <v>0</v>
      </c>
      <c r="F50">
        <v>3457</v>
      </c>
      <c r="G50" s="54" t="s">
        <v>294</v>
      </c>
      <c r="H50" s="54"/>
      <c r="J50" t="s">
        <v>5708</v>
      </c>
      <c r="Q50" s="38">
        <f t="shared" ref="Q50:T51" si="26">SUM(B190)</f>
        <v>0</v>
      </c>
      <c r="R50" s="38">
        <f t="shared" si="26"/>
        <v>0</v>
      </c>
      <c r="S50" s="38">
        <f t="shared" si="26"/>
        <v>0</v>
      </c>
      <c r="T50" s="38">
        <f t="shared" si="26"/>
        <v>0</v>
      </c>
      <c r="X50">
        <f t="shared" si="23"/>
        <v>0</v>
      </c>
      <c r="AA50" s="50"/>
      <c r="AB50" s="37"/>
      <c r="AC50" s="37"/>
      <c r="AD50" s="37"/>
      <c r="AE50" s="37"/>
      <c r="AF50" s="37"/>
      <c r="AG50" s="37"/>
      <c r="AH50" s="37"/>
      <c r="AP50" s="58"/>
    </row>
    <row r="51" spans="1:42" x14ac:dyDescent="0.2">
      <c r="A51" t="s">
        <v>4303</v>
      </c>
      <c r="B51">
        <v>15</v>
      </c>
      <c r="C51">
        <v>446</v>
      </c>
      <c r="D51">
        <v>1160</v>
      </c>
      <c r="E51">
        <v>0</v>
      </c>
      <c r="F51">
        <v>1621</v>
      </c>
      <c r="G51" s="54" t="s">
        <v>294</v>
      </c>
      <c r="H51" s="54"/>
      <c r="J51" t="s">
        <v>5710</v>
      </c>
      <c r="Q51" s="38">
        <f t="shared" si="26"/>
        <v>0</v>
      </c>
      <c r="R51" s="38">
        <f t="shared" si="26"/>
        <v>0</v>
      </c>
      <c r="S51" s="38">
        <f t="shared" si="26"/>
        <v>941</v>
      </c>
      <c r="T51" s="38">
        <f t="shared" si="26"/>
        <v>941</v>
      </c>
      <c r="X51">
        <f t="shared" si="23"/>
        <v>1882</v>
      </c>
      <c r="AA51" s="50" t="s">
        <v>5709</v>
      </c>
      <c r="AB51" s="37"/>
      <c r="AC51" s="37"/>
      <c r="AD51" s="37"/>
      <c r="AE51" s="37"/>
      <c r="AF51" s="37"/>
      <c r="AG51" s="37"/>
      <c r="AH51" s="37"/>
      <c r="AP51" s="58"/>
    </row>
    <row r="52" spans="1:42" x14ac:dyDescent="0.2">
      <c r="A52" t="s">
        <v>4304</v>
      </c>
      <c r="B52">
        <v>0</v>
      </c>
      <c r="C52">
        <v>1959</v>
      </c>
      <c r="D52">
        <v>4480</v>
      </c>
      <c r="E52">
        <v>0</v>
      </c>
      <c r="F52">
        <v>6439</v>
      </c>
      <c r="G52" s="54" t="s">
        <v>294</v>
      </c>
      <c r="H52" s="54"/>
      <c r="J52" t="s">
        <v>5711</v>
      </c>
      <c r="Q52" s="38">
        <f>SUM(B205,B196:B197)</f>
        <v>0</v>
      </c>
      <c r="R52" s="38">
        <f>SUM(C205,C196:C197)</f>
        <v>3506</v>
      </c>
      <c r="S52" s="38">
        <f>SUM(D205,D196:D197)</f>
        <v>0</v>
      </c>
      <c r="T52" s="38">
        <f>SUM(E205,E196:E197)</f>
        <v>0</v>
      </c>
      <c r="X52">
        <f t="shared" si="23"/>
        <v>3506</v>
      </c>
      <c r="AA52" s="50" t="s">
        <v>5644</v>
      </c>
      <c r="AB52" s="37"/>
      <c r="AC52" s="37"/>
      <c r="AD52" s="37"/>
      <c r="AE52" s="37"/>
      <c r="AF52" s="37"/>
      <c r="AG52" s="37"/>
      <c r="AH52" s="37" t="s">
        <v>30</v>
      </c>
      <c r="AI52">
        <f t="shared" ref="AI52:AP52" si="27">SUM(Q42)</f>
        <v>29</v>
      </c>
      <c r="AJ52">
        <f t="shared" si="27"/>
        <v>29</v>
      </c>
      <c r="AK52">
        <f t="shared" si="27"/>
        <v>181</v>
      </c>
      <c r="AL52">
        <f t="shared" si="27"/>
        <v>640</v>
      </c>
      <c r="AM52">
        <f t="shared" si="27"/>
        <v>0</v>
      </c>
      <c r="AN52">
        <f t="shared" si="27"/>
        <v>0</v>
      </c>
      <c r="AO52">
        <f t="shared" si="27"/>
        <v>0</v>
      </c>
      <c r="AP52" s="58">
        <f t="shared" si="27"/>
        <v>879</v>
      </c>
    </row>
    <row r="53" spans="1:42" x14ac:dyDescent="0.2">
      <c r="A53" t="s">
        <v>4305</v>
      </c>
      <c r="B53">
        <v>52</v>
      </c>
      <c r="C53">
        <v>5573</v>
      </c>
      <c r="D53">
        <v>21646</v>
      </c>
      <c r="E53">
        <v>0</v>
      </c>
      <c r="F53">
        <v>27272</v>
      </c>
      <c r="G53" s="54" t="s">
        <v>294</v>
      </c>
      <c r="H53" s="54"/>
      <c r="J53" t="s">
        <v>5712</v>
      </c>
      <c r="Q53">
        <v>0</v>
      </c>
      <c r="R53">
        <v>0</v>
      </c>
      <c r="S53">
        <v>0</v>
      </c>
      <c r="T53">
        <v>0</v>
      </c>
      <c r="X53">
        <f t="shared" si="23"/>
        <v>0</v>
      </c>
      <c r="AA53" s="50"/>
      <c r="AB53" s="37"/>
      <c r="AC53" s="37"/>
      <c r="AD53" s="37"/>
      <c r="AE53" s="37"/>
      <c r="AF53" s="37"/>
      <c r="AG53" s="37"/>
      <c r="AH53" s="37"/>
      <c r="AP53" s="58"/>
    </row>
    <row r="54" spans="1:42" x14ac:dyDescent="0.2">
      <c r="A54" t="s">
        <v>4306</v>
      </c>
      <c r="B54">
        <v>31</v>
      </c>
      <c r="C54">
        <v>5760</v>
      </c>
      <c r="D54">
        <v>0</v>
      </c>
      <c r="E54">
        <v>0</v>
      </c>
      <c r="F54">
        <v>5791</v>
      </c>
      <c r="G54" s="54" t="s">
        <v>294</v>
      </c>
      <c r="H54" s="54"/>
      <c r="J54" t="s">
        <v>5713</v>
      </c>
      <c r="Q54" s="38">
        <f>SUM(B192)</f>
        <v>0</v>
      </c>
      <c r="R54" s="38">
        <f>SUM(C192)</f>
        <v>0</v>
      </c>
      <c r="S54" s="38">
        <f>SUM(D192)</f>
        <v>0</v>
      </c>
      <c r="T54" s="38">
        <f>SUM(E192)</f>
        <v>0</v>
      </c>
      <c r="X54">
        <f t="shared" si="23"/>
        <v>0</v>
      </c>
      <c r="AA54" s="50" t="s">
        <v>5663</v>
      </c>
      <c r="AB54" s="37"/>
      <c r="AC54" s="37"/>
      <c r="AD54" s="37"/>
      <c r="AE54" s="37"/>
      <c r="AF54" s="37"/>
      <c r="AG54" s="37"/>
      <c r="AH54" s="37" t="s">
        <v>149</v>
      </c>
      <c r="AI54" s="38">
        <f t="shared" ref="AI54:AN55" si="28">SUM(B103)</f>
        <v>141</v>
      </c>
      <c r="AJ54" s="38">
        <f t="shared" si="28"/>
        <v>14372</v>
      </c>
      <c r="AK54" s="38">
        <f t="shared" si="28"/>
        <v>13730</v>
      </c>
      <c r="AL54" s="38">
        <f t="shared" si="28"/>
        <v>39819</v>
      </c>
      <c r="AM54" s="38">
        <f t="shared" si="28"/>
        <v>68063</v>
      </c>
      <c r="AN54" s="38">
        <f t="shared" si="28"/>
        <v>0</v>
      </c>
      <c r="AO54" s="38">
        <f>SUM(I103)</f>
        <v>0</v>
      </c>
      <c r="AP54" s="59">
        <f>SUM(AI54:AL54)</f>
        <v>68062</v>
      </c>
    </row>
    <row r="55" spans="1:42" x14ac:dyDescent="0.2">
      <c r="A55" t="s">
        <v>4307</v>
      </c>
      <c r="B55">
        <v>62</v>
      </c>
      <c r="C55">
        <v>25436</v>
      </c>
      <c r="D55">
        <v>66134</v>
      </c>
      <c r="E55">
        <v>0</v>
      </c>
      <c r="F55">
        <v>91632</v>
      </c>
      <c r="G55" s="54" t="s">
        <v>294</v>
      </c>
      <c r="H55" s="54"/>
      <c r="J55" t="s">
        <v>5714</v>
      </c>
      <c r="Q55">
        <v>0</v>
      </c>
      <c r="R55">
        <v>0</v>
      </c>
      <c r="S55">
        <v>0</v>
      </c>
      <c r="T55">
        <v>0</v>
      </c>
      <c r="X55">
        <f t="shared" si="23"/>
        <v>0</v>
      </c>
      <c r="AA55" s="50"/>
      <c r="AB55" s="37"/>
      <c r="AC55" s="37"/>
      <c r="AD55" s="37"/>
      <c r="AE55" s="37"/>
      <c r="AF55" s="37"/>
      <c r="AG55" s="37"/>
      <c r="AH55" s="37" t="s">
        <v>151</v>
      </c>
      <c r="AI55" s="38">
        <f t="shared" si="28"/>
        <v>47</v>
      </c>
      <c r="AJ55" s="38">
        <f t="shared" si="28"/>
        <v>5012</v>
      </c>
      <c r="AK55" s="38">
        <f t="shared" si="28"/>
        <v>4312</v>
      </c>
      <c r="AL55" s="38">
        <f t="shared" si="28"/>
        <v>16577</v>
      </c>
      <c r="AM55" s="38">
        <f t="shared" si="28"/>
        <v>25948</v>
      </c>
      <c r="AN55" s="38">
        <f t="shared" si="28"/>
        <v>0</v>
      </c>
      <c r="AO55" s="38">
        <f>SUM(I104)</f>
        <v>0</v>
      </c>
      <c r="AP55" s="59">
        <f t="shared" ref="AP55:AP87" si="29">SUM(AI55:AL55)</f>
        <v>25948</v>
      </c>
    </row>
    <row r="56" spans="1:42" x14ac:dyDescent="0.2">
      <c r="A56" t="s">
        <v>4308</v>
      </c>
      <c r="B56">
        <v>29</v>
      </c>
      <c r="C56">
        <v>29</v>
      </c>
      <c r="D56">
        <v>181</v>
      </c>
      <c r="E56">
        <v>640</v>
      </c>
      <c r="F56">
        <v>879</v>
      </c>
      <c r="G56" s="54" t="s">
        <v>294</v>
      </c>
      <c r="H56" s="54"/>
      <c r="J56" t="s">
        <v>5715</v>
      </c>
      <c r="Q56" s="38">
        <f>SUM(B193)</f>
        <v>0</v>
      </c>
      <c r="R56" s="38">
        <f>SUM(C193)</f>
        <v>0</v>
      </c>
      <c r="S56" s="38">
        <f>SUM(D193)</f>
        <v>0</v>
      </c>
      <c r="T56" s="38">
        <f>SUM(E193)</f>
        <v>0</v>
      </c>
      <c r="X56">
        <f t="shared" si="23"/>
        <v>0</v>
      </c>
      <c r="AA56" s="50"/>
      <c r="AB56" s="37"/>
      <c r="AC56" s="37"/>
      <c r="AD56" s="37"/>
      <c r="AE56" s="37"/>
      <c r="AF56" s="37"/>
      <c r="AG56" s="37"/>
      <c r="AH56" s="37" t="s">
        <v>153</v>
      </c>
      <c r="AI56">
        <f t="shared" ref="AI56:AO56" si="30">SUM(Q44)</f>
        <v>1</v>
      </c>
      <c r="AJ56">
        <f t="shared" si="30"/>
        <v>923</v>
      </c>
      <c r="AK56">
        <f t="shared" si="30"/>
        <v>871</v>
      </c>
      <c r="AL56">
        <f t="shared" si="30"/>
        <v>2241</v>
      </c>
      <c r="AM56">
        <f t="shared" si="30"/>
        <v>0</v>
      </c>
      <c r="AN56">
        <f t="shared" si="30"/>
        <v>0</v>
      </c>
      <c r="AO56">
        <f t="shared" si="30"/>
        <v>0</v>
      </c>
      <c r="AP56" s="59">
        <f t="shared" si="29"/>
        <v>4036</v>
      </c>
    </row>
    <row r="57" spans="1:42" x14ac:dyDescent="0.2">
      <c r="A57" t="s">
        <v>4309</v>
      </c>
      <c r="B57">
        <v>0</v>
      </c>
      <c r="C57">
        <v>0</v>
      </c>
      <c r="D57">
        <v>0</v>
      </c>
      <c r="E57">
        <v>37</v>
      </c>
      <c r="F57">
        <v>37</v>
      </c>
      <c r="G57" s="54" t="s">
        <v>294</v>
      </c>
      <c r="H57" s="54"/>
      <c r="J57" t="s">
        <v>5716</v>
      </c>
      <c r="Q57">
        <v>0</v>
      </c>
      <c r="R57">
        <v>0</v>
      </c>
      <c r="S57">
        <v>0</v>
      </c>
      <c r="T57">
        <v>0</v>
      </c>
      <c r="X57">
        <f t="shared" si="23"/>
        <v>0</v>
      </c>
      <c r="AA57" s="50"/>
      <c r="AB57" s="37"/>
      <c r="AC57" s="37"/>
      <c r="AD57" s="37"/>
      <c r="AE57" s="37"/>
      <c r="AF57" s="37"/>
      <c r="AG57" s="37"/>
      <c r="AH57" s="37" t="s">
        <v>155</v>
      </c>
      <c r="AI57">
        <f>SUM(B118)</f>
        <v>34</v>
      </c>
      <c r="AJ57">
        <f>SUM(C118)</f>
        <v>0</v>
      </c>
      <c r="AK57">
        <f>SUM(D118)</f>
        <v>1370</v>
      </c>
      <c r="AL57">
        <f>SUM(E118)</f>
        <v>6528</v>
      </c>
      <c r="AP57" s="59">
        <f t="shared" si="29"/>
        <v>7932</v>
      </c>
    </row>
    <row r="58" spans="1:42" x14ac:dyDescent="0.2">
      <c r="A58" t="s">
        <v>4310</v>
      </c>
      <c r="B58">
        <v>0</v>
      </c>
      <c r="C58">
        <v>0</v>
      </c>
      <c r="D58">
        <v>0</v>
      </c>
      <c r="E58">
        <v>702</v>
      </c>
      <c r="F58">
        <v>702</v>
      </c>
      <c r="G58" s="54" t="s">
        <v>294</v>
      </c>
      <c r="H58" s="54"/>
      <c r="J58" t="s">
        <v>5717</v>
      </c>
      <c r="Q58" s="38">
        <f>SUM(B206:B207,B204)</f>
        <v>1577</v>
      </c>
      <c r="R58" s="38">
        <f>SUM(C206:C207,C204)</f>
        <v>1158</v>
      </c>
      <c r="S58" s="38">
        <f>SUM(D206:D207,D204)</f>
        <v>2977</v>
      </c>
      <c r="T58" s="38">
        <f>SUM(E206:E207,E204)</f>
        <v>1292</v>
      </c>
      <c r="X58">
        <f t="shared" si="23"/>
        <v>7004</v>
      </c>
      <c r="AA58" s="50"/>
      <c r="AB58" s="37"/>
      <c r="AC58" s="37"/>
      <c r="AD58" s="37"/>
      <c r="AE58" s="37"/>
      <c r="AF58" s="37"/>
      <c r="AG58" s="37"/>
      <c r="AH58" s="37" t="s">
        <v>157</v>
      </c>
      <c r="AI58">
        <f>SUM(B127)</f>
        <v>0</v>
      </c>
      <c r="AJ58">
        <f>SUM(C127)</f>
        <v>0</v>
      </c>
      <c r="AK58">
        <f>SUM(D127)</f>
        <v>0</v>
      </c>
      <c r="AL58">
        <f>SUM(E127)</f>
        <v>630</v>
      </c>
      <c r="AM58">
        <f>SUM(U45,U46,U47,U48)</f>
        <v>0</v>
      </c>
      <c r="AN58">
        <f>SUM(V45,V46,V47,V48)</f>
        <v>0</v>
      </c>
      <c r="AO58">
        <f>SUM(W45,W46,W47,W48)</f>
        <v>0</v>
      </c>
      <c r="AP58" s="59">
        <f t="shared" si="29"/>
        <v>630</v>
      </c>
    </row>
    <row r="59" spans="1:42" x14ac:dyDescent="0.2">
      <c r="A59" t="s">
        <v>4311</v>
      </c>
      <c r="B59">
        <v>0</v>
      </c>
      <c r="C59">
        <v>0</v>
      </c>
      <c r="D59">
        <v>0</v>
      </c>
      <c r="E59">
        <v>20030</v>
      </c>
      <c r="F59">
        <v>20030</v>
      </c>
      <c r="G59" s="54" t="s">
        <v>294</v>
      </c>
      <c r="H59" s="54"/>
      <c r="J59" t="s">
        <v>5718</v>
      </c>
      <c r="Q59" s="38">
        <f t="shared" ref="Q59:T60" si="31">SUM(B99)</f>
        <v>0</v>
      </c>
      <c r="R59" s="38">
        <f t="shared" si="31"/>
        <v>0</v>
      </c>
      <c r="S59" s="38">
        <f t="shared" si="31"/>
        <v>1807</v>
      </c>
      <c r="T59" s="38">
        <f t="shared" si="31"/>
        <v>4691</v>
      </c>
      <c r="X59">
        <f t="shared" si="23"/>
        <v>6498</v>
      </c>
      <c r="AA59" s="50"/>
      <c r="AB59" s="37"/>
      <c r="AC59" s="37"/>
      <c r="AD59" s="37"/>
      <c r="AE59" s="37"/>
      <c r="AF59" s="37"/>
      <c r="AG59" s="37"/>
      <c r="AH59" s="37" t="s">
        <v>159</v>
      </c>
      <c r="AI59" s="38">
        <f>SUM(Q46)</f>
        <v>171</v>
      </c>
      <c r="AJ59" s="38">
        <f>SUM(R46)</f>
        <v>0</v>
      </c>
      <c r="AK59" s="38">
        <f>SUM(S46)</f>
        <v>6030</v>
      </c>
      <c r="AL59" s="38">
        <f>SUM(T46)</f>
        <v>14273</v>
      </c>
      <c r="AP59" s="59">
        <f t="shared" si="29"/>
        <v>20474</v>
      </c>
    </row>
    <row r="60" spans="1:42" x14ac:dyDescent="0.2">
      <c r="A60" t="s">
        <v>4312</v>
      </c>
      <c r="B60">
        <v>0</v>
      </c>
      <c r="C60">
        <v>0</v>
      </c>
      <c r="D60">
        <v>0</v>
      </c>
      <c r="E60">
        <v>1319</v>
      </c>
      <c r="F60">
        <v>1319</v>
      </c>
      <c r="G60" s="54" t="s">
        <v>294</v>
      </c>
      <c r="H60" s="54"/>
      <c r="J60" t="s">
        <v>5719</v>
      </c>
      <c r="Q60" s="38">
        <f t="shared" si="31"/>
        <v>0</v>
      </c>
      <c r="R60" s="38">
        <f t="shared" si="31"/>
        <v>0</v>
      </c>
      <c r="S60" s="38">
        <f t="shared" si="31"/>
        <v>3162</v>
      </c>
      <c r="T60" s="38">
        <f t="shared" si="31"/>
        <v>5040</v>
      </c>
      <c r="X60">
        <f t="shared" si="23"/>
        <v>8202</v>
      </c>
      <c r="AA60" s="50"/>
      <c r="AB60" s="37"/>
      <c r="AC60" s="37"/>
      <c r="AD60" s="37"/>
      <c r="AE60" s="37"/>
      <c r="AF60" s="37"/>
      <c r="AG60" s="37"/>
      <c r="AH60" s="37" t="s">
        <v>161</v>
      </c>
      <c r="AI60">
        <f>SUM(B130)</f>
        <v>343</v>
      </c>
      <c r="AJ60">
        <f>SUM(C130)</f>
        <v>1322</v>
      </c>
      <c r="AK60">
        <f>SUM(D130)</f>
        <v>2993</v>
      </c>
      <c r="AL60">
        <f>SUM(E130)</f>
        <v>7773</v>
      </c>
      <c r="AP60" s="59">
        <f t="shared" si="29"/>
        <v>12431</v>
      </c>
    </row>
    <row r="61" spans="1:42" x14ac:dyDescent="0.2">
      <c r="A61" t="s">
        <v>4313</v>
      </c>
      <c r="B61">
        <v>0</v>
      </c>
      <c r="C61">
        <v>0</v>
      </c>
      <c r="D61">
        <v>0</v>
      </c>
      <c r="E61">
        <v>1199</v>
      </c>
      <c r="F61">
        <v>1199</v>
      </c>
      <c r="G61" s="54" t="s">
        <v>294</v>
      </c>
      <c r="H61" s="54"/>
      <c r="J61" t="s">
        <v>5720</v>
      </c>
      <c r="Q61" s="38">
        <f t="shared" ref="Q61:T62" si="32">SUM(B108)</f>
        <v>0</v>
      </c>
      <c r="R61" s="38">
        <f t="shared" si="32"/>
        <v>0</v>
      </c>
      <c r="S61" s="38">
        <f t="shared" si="32"/>
        <v>0</v>
      </c>
      <c r="T61" s="38">
        <f t="shared" si="32"/>
        <v>5959</v>
      </c>
      <c r="X61">
        <f t="shared" si="23"/>
        <v>5959</v>
      </c>
      <c r="AA61" s="50"/>
      <c r="AB61" s="37"/>
      <c r="AC61" s="37"/>
      <c r="AD61" s="37"/>
      <c r="AE61" s="37"/>
      <c r="AF61" s="37"/>
      <c r="AG61" s="37"/>
      <c r="AH61" s="37" t="s">
        <v>163</v>
      </c>
      <c r="AI61">
        <f>SUM(B141)</f>
        <v>343</v>
      </c>
      <c r="AJ61">
        <f>SUM(C141)</f>
        <v>1322</v>
      </c>
      <c r="AK61">
        <f>SUM(D141)</f>
        <v>2993</v>
      </c>
      <c r="AL61">
        <f>SUM(E141)</f>
        <v>7773</v>
      </c>
      <c r="AP61" s="59">
        <f t="shared" si="29"/>
        <v>12431</v>
      </c>
    </row>
    <row r="62" spans="1:42" x14ac:dyDescent="0.2">
      <c r="A62" t="s">
        <v>4314</v>
      </c>
      <c r="B62">
        <v>0</v>
      </c>
      <c r="C62">
        <v>0</v>
      </c>
      <c r="D62">
        <v>0</v>
      </c>
      <c r="E62">
        <v>8363</v>
      </c>
      <c r="F62">
        <v>8363</v>
      </c>
      <c r="G62" s="54" t="s">
        <v>294</v>
      </c>
      <c r="H62" s="54"/>
      <c r="J62" t="s">
        <v>5721</v>
      </c>
      <c r="Q62" s="38">
        <f t="shared" si="32"/>
        <v>0</v>
      </c>
      <c r="R62" s="38">
        <f t="shared" si="32"/>
        <v>0</v>
      </c>
      <c r="S62" s="38">
        <f t="shared" si="32"/>
        <v>0</v>
      </c>
      <c r="T62" s="38">
        <f t="shared" si="32"/>
        <v>12616</v>
      </c>
      <c r="X62">
        <f t="shared" si="23"/>
        <v>12616</v>
      </c>
      <c r="AA62" s="50"/>
      <c r="AB62" s="37"/>
      <c r="AC62" s="37"/>
      <c r="AD62" s="37"/>
      <c r="AE62" s="37"/>
      <c r="AF62" s="37"/>
      <c r="AG62" s="37"/>
      <c r="AH62" s="37" t="s">
        <v>165</v>
      </c>
      <c r="AI62">
        <f>SUM(B148)</f>
        <v>171</v>
      </c>
      <c r="AJ62">
        <f>SUM(C148)</f>
        <v>660</v>
      </c>
      <c r="AK62">
        <f>SUM(D148)</f>
        <v>1496</v>
      </c>
      <c r="AL62">
        <f>SUM(E148)</f>
        <v>3886</v>
      </c>
      <c r="AP62" s="59">
        <f t="shared" si="29"/>
        <v>6213</v>
      </c>
    </row>
    <row r="63" spans="1:42" x14ac:dyDescent="0.2">
      <c r="A63" t="s">
        <v>4315</v>
      </c>
      <c r="B63">
        <v>0</v>
      </c>
      <c r="C63">
        <v>0</v>
      </c>
      <c r="D63">
        <v>0</v>
      </c>
      <c r="E63">
        <v>6</v>
      </c>
      <c r="F63">
        <v>6</v>
      </c>
      <c r="G63" s="54" t="s">
        <v>294</v>
      </c>
      <c r="H63" s="54"/>
      <c r="J63" t="s">
        <v>5722</v>
      </c>
      <c r="Q63" s="38">
        <f t="shared" ref="Q63:T64" si="33">SUM(B92)</f>
        <v>0</v>
      </c>
      <c r="R63" s="38">
        <f t="shared" si="33"/>
        <v>0</v>
      </c>
      <c r="S63" s="38">
        <f t="shared" si="33"/>
        <v>0</v>
      </c>
      <c r="T63" s="38">
        <f t="shared" si="33"/>
        <v>0</v>
      </c>
      <c r="X63">
        <f t="shared" si="23"/>
        <v>0</v>
      </c>
      <c r="AA63" s="50"/>
      <c r="AB63" s="37"/>
      <c r="AC63" s="37"/>
      <c r="AD63" s="37"/>
      <c r="AE63" s="37"/>
      <c r="AF63" s="37"/>
      <c r="AG63" s="37"/>
      <c r="AH63" s="37" t="s">
        <v>167</v>
      </c>
      <c r="AI63">
        <f>SUM(B164)</f>
        <v>2</v>
      </c>
      <c r="AJ63">
        <f>SUM(C164)</f>
        <v>38</v>
      </c>
      <c r="AK63">
        <f>SUM(D164)</f>
        <v>152</v>
      </c>
      <c r="AL63">
        <f>SUM(E164)</f>
        <v>720</v>
      </c>
      <c r="AP63" s="59">
        <f t="shared" si="29"/>
        <v>912</v>
      </c>
    </row>
    <row r="64" spans="1:42" x14ac:dyDescent="0.2">
      <c r="A64" t="s">
        <v>4316</v>
      </c>
      <c r="B64">
        <v>0</v>
      </c>
      <c r="C64">
        <v>0</v>
      </c>
      <c r="D64">
        <v>0</v>
      </c>
      <c r="E64">
        <v>15685</v>
      </c>
      <c r="F64">
        <v>15685</v>
      </c>
      <c r="G64" s="54" t="s">
        <v>294</v>
      </c>
      <c r="H64" s="54"/>
      <c r="J64" t="s">
        <v>5723</v>
      </c>
      <c r="Q64" s="38">
        <f t="shared" si="33"/>
        <v>0</v>
      </c>
      <c r="R64" s="38">
        <f t="shared" si="33"/>
        <v>1530</v>
      </c>
      <c r="S64" s="38">
        <f t="shared" si="33"/>
        <v>6018</v>
      </c>
      <c r="T64" s="38">
        <f t="shared" si="33"/>
        <v>10047</v>
      </c>
      <c r="X64">
        <f t="shared" si="23"/>
        <v>17595</v>
      </c>
      <c r="AA64" s="50"/>
      <c r="AB64" s="37"/>
      <c r="AC64" s="37"/>
      <c r="AD64" s="37"/>
      <c r="AE64" s="37"/>
      <c r="AF64" s="37"/>
      <c r="AG64" s="37"/>
      <c r="AH64" s="37"/>
      <c r="AP64" s="58"/>
    </row>
    <row r="65" spans="1:42" x14ac:dyDescent="0.2">
      <c r="A65" t="s">
        <v>4317</v>
      </c>
      <c r="B65">
        <v>0</v>
      </c>
      <c r="C65">
        <v>0</v>
      </c>
      <c r="D65">
        <v>0</v>
      </c>
      <c r="E65">
        <v>0</v>
      </c>
      <c r="F65">
        <v>0</v>
      </c>
      <c r="G65" s="54" t="s">
        <v>294</v>
      </c>
      <c r="H65" s="54"/>
      <c r="J65" t="s">
        <v>5726</v>
      </c>
      <c r="Q65" s="38">
        <f t="shared" ref="Q65:T66" si="34">SUM(B113)</f>
        <v>0</v>
      </c>
      <c r="R65" s="38">
        <f t="shared" si="34"/>
        <v>0</v>
      </c>
      <c r="S65" s="38">
        <f t="shared" si="34"/>
        <v>0</v>
      </c>
      <c r="T65" s="38">
        <f t="shared" si="34"/>
        <v>117</v>
      </c>
      <c r="X65">
        <f t="shared" si="23"/>
        <v>117</v>
      </c>
      <c r="AA65" s="50" t="s">
        <v>5724</v>
      </c>
      <c r="AB65" s="37"/>
      <c r="AC65" s="37"/>
      <c r="AD65" s="37"/>
      <c r="AE65" s="37"/>
      <c r="AF65" s="37"/>
      <c r="AG65" s="37"/>
      <c r="AH65" s="37" t="s">
        <v>5725</v>
      </c>
      <c r="AI65" s="38">
        <f t="shared" ref="AI65:AL66" si="35">SUM(Q63)</f>
        <v>0</v>
      </c>
      <c r="AJ65" s="38">
        <f t="shared" si="35"/>
        <v>0</v>
      </c>
      <c r="AK65" s="38">
        <f t="shared" si="35"/>
        <v>0</v>
      </c>
      <c r="AL65" s="38">
        <f t="shared" si="35"/>
        <v>0</v>
      </c>
      <c r="AM65" s="38">
        <f>SUM(U63:U64)</f>
        <v>0</v>
      </c>
      <c r="AN65" s="38">
        <f>SUM(V63:V64)</f>
        <v>0</v>
      </c>
      <c r="AO65" s="38">
        <f>SUM(W63:W64)</f>
        <v>0</v>
      </c>
      <c r="AP65" s="59">
        <f t="shared" si="29"/>
        <v>0</v>
      </c>
    </row>
    <row r="66" spans="1:42" x14ac:dyDescent="0.2">
      <c r="A66" t="s">
        <v>4318</v>
      </c>
      <c r="B66">
        <v>0</v>
      </c>
      <c r="C66">
        <v>0</v>
      </c>
      <c r="D66">
        <v>0</v>
      </c>
      <c r="E66">
        <v>1345</v>
      </c>
      <c r="F66">
        <v>1345</v>
      </c>
      <c r="G66" s="54" t="s">
        <v>294</v>
      </c>
      <c r="H66" s="54"/>
      <c r="J66" t="s">
        <v>5728</v>
      </c>
      <c r="Q66" s="38">
        <f t="shared" si="34"/>
        <v>0</v>
      </c>
      <c r="R66" s="38">
        <f t="shared" si="34"/>
        <v>0</v>
      </c>
      <c r="S66" s="38">
        <f t="shared" si="34"/>
        <v>0</v>
      </c>
      <c r="T66" s="38">
        <f t="shared" si="34"/>
        <v>983</v>
      </c>
      <c r="X66">
        <f t="shared" si="23"/>
        <v>983</v>
      </c>
      <c r="AA66" s="61"/>
      <c r="AB66" s="37"/>
      <c r="AC66" s="37"/>
      <c r="AD66" s="37"/>
      <c r="AE66" s="37"/>
      <c r="AF66" s="37"/>
      <c r="AG66" s="37"/>
      <c r="AH66" s="37" t="s">
        <v>5727</v>
      </c>
      <c r="AI66" s="38">
        <f t="shared" si="35"/>
        <v>0</v>
      </c>
      <c r="AJ66" s="38">
        <f t="shared" si="35"/>
        <v>1530</v>
      </c>
      <c r="AK66" s="38">
        <f t="shared" si="35"/>
        <v>6018</v>
      </c>
      <c r="AL66" s="38">
        <f t="shared" si="35"/>
        <v>10047</v>
      </c>
      <c r="AM66" s="38"/>
      <c r="AN66" s="38"/>
      <c r="AO66" s="38"/>
      <c r="AP66" s="59">
        <f t="shared" si="29"/>
        <v>17595</v>
      </c>
    </row>
    <row r="67" spans="1:42" x14ac:dyDescent="0.2">
      <c r="A67" t="s">
        <v>4319</v>
      </c>
      <c r="B67">
        <v>0</v>
      </c>
      <c r="C67">
        <v>0</v>
      </c>
      <c r="D67">
        <v>0</v>
      </c>
      <c r="E67">
        <v>12464</v>
      </c>
      <c r="F67">
        <v>12464</v>
      </c>
      <c r="G67" s="54" t="s">
        <v>294</v>
      </c>
      <c r="H67" s="54"/>
      <c r="J67" t="s">
        <v>5730</v>
      </c>
      <c r="Q67" s="38">
        <f t="shared" ref="Q67:T68" si="36">SUM(B121)</f>
        <v>0</v>
      </c>
      <c r="R67" s="38">
        <f t="shared" si="36"/>
        <v>0</v>
      </c>
      <c r="S67" s="38">
        <f t="shared" si="36"/>
        <v>0</v>
      </c>
      <c r="T67" s="38">
        <f t="shared" si="36"/>
        <v>8773</v>
      </c>
      <c r="X67">
        <f t="shared" si="23"/>
        <v>8773</v>
      </c>
      <c r="AA67" s="50"/>
      <c r="AB67" s="37"/>
      <c r="AC67" s="37"/>
      <c r="AD67" s="37"/>
      <c r="AE67" s="37"/>
      <c r="AF67" s="37"/>
      <c r="AG67" s="37"/>
      <c r="AH67" s="37" t="s">
        <v>5729</v>
      </c>
      <c r="AI67" s="38">
        <f t="shared" ref="AI67:AL68" si="37">SUM(Q59)</f>
        <v>0</v>
      </c>
      <c r="AJ67" s="38">
        <f t="shared" si="37"/>
        <v>0</v>
      </c>
      <c r="AK67" s="38">
        <f t="shared" si="37"/>
        <v>1807</v>
      </c>
      <c r="AL67" s="38">
        <f t="shared" si="37"/>
        <v>4691</v>
      </c>
      <c r="AM67" s="38">
        <f>SUM(U59:U60)</f>
        <v>0</v>
      </c>
      <c r="AN67" s="38">
        <f>SUM(V59:V60)</f>
        <v>0</v>
      </c>
      <c r="AO67" s="38">
        <f>SUM(W59:W60)</f>
        <v>0</v>
      </c>
      <c r="AP67" s="59">
        <f t="shared" si="29"/>
        <v>6498</v>
      </c>
    </row>
    <row r="68" spans="1:42" x14ac:dyDescent="0.2">
      <c r="A68" t="s">
        <v>4320</v>
      </c>
      <c r="B68">
        <v>0</v>
      </c>
      <c r="C68">
        <v>0</v>
      </c>
      <c r="D68">
        <v>0</v>
      </c>
      <c r="E68">
        <v>1821</v>
      </c>
      <c r="F68">
        <v>1821</v>
      </c>
      <c r="G68" s="54" t="s">
        <v>294</v>
      </c>
      <c r="H68" s="54"/>
      <c r="J68" t="s">
        <v>5732</v>
      </c>
      <c r="Q68" s="38">
        <f t="shared" si="36"/>
        <v>0</v>
      </c>
      <c r="R68" s="38">
        <f t="shared" si="36"/>
        <v>0</v>
      </c>
      <c r="S68" s="38">
        <f t="shared" si="36"/>
        <v>0</v>
      </c>
      <c r="T68" s="38">
        <f t="shared" si="36"/>
        <v>18431</v>
      </c>
      <c r="X68">
        <f t="shared" si="23"/>
        <v>18431</v>
      </c>
      <c r="AA68" s="50"/>
      <c r="AB68" s="37"/>
      <c r="AC68" s="37"/>
      <c r="AD68" s="37"/>
      <c r="AE68" s="37"/>
      <c r="AF68" s="37"/>
      <c r="AG68" s="37"/>
      <c r="AH68" s="37" t="s">
        <v>5731</v>
      </c>
      <c r="AI68" s="38">
        <f t="shared" si="37"/>
        <v>0</v>
      </c>
      <c r="AJ68" s="38">
        <f t="shared" si="37"/>
        <v>0</v>
      </c>
      <c r="AK68" s="38">
        <f t="shared" si="37"/>
        <v>3162</v>
      </c>
      <c r="AL68" s="38">
        <f t="shared" si="37"/>
        <v>5040</v>
      </c>
      <c r="AM68" s="38"/>
      <c r="AN68" s="38"/>
      <c r="AO68" s="38"/>
      <c r="AP68" s="59">
        <f t="shared" si="29"/>
        <v>8202</v>
      </c>
    </row>
    <row r="69" spans="1:42" x14ac:dyDescent="0.2">
      <c r="A69" t="s">
        <v>4321</v>
      </c>
      <c r="B69">
        <v>0</v>
      </c>
      <c r="C69">
        <v>0</v>
      </c>
      <c r="D69">
        <v>0</v>
      </c>
      <c r="E69">
        <v>0</v>
      </c>
      <c r="F69">
        <v>0</v>
      </c>
      <c r="G69" s="54" t="s">
        <v>294</v>
      </c>
      <c r="H69" s="54"/>
      <c r="J69" t="s">
        <v>5734</v>
      </c>
      <c r="Q69" s="38">
        <f t="shared" ref="Q69:T70" si="38">SUM(B167)</f>
        <v>0</v>
      </c>
      <c r="R69" s="38">
        <f t="shared" si="38"/>
        <v>0</v>
      </c>
      <c r="S69" s="38">
        <f t="shared" si="38"/>
        <v>0</v>
      </c>
      <c r="T69" s="38">
        <f t="shared" si="38"/>
        <v>467</v>
      </c>
      <c r="X69">
        <f t="shared" si="23"/>
        <v>467</v>
      </c>
      <c r="AA69" s="50"/>
      <c r="AB69" s="37"/>
      <c r="AC69" s="37"/>
      <c r="AD69" s="37"/>
      <c r="AE69" s="37"/>
      <c r="AF69" s="37"/>
      <c r="AG69" s="37"/>
      <c r="AH69" s="37" t="s">
        <v>5733</v>
      </c>
      <c r="AI69" s="38">
        <v>0</v>
      </c>
      <c r="AJ69" s="38">
        <v>0</v>
      </c>
      <c r="AK69" s="38">
        <v>0</v>
      </c>
      <c r="AL69" s="38">
        <f>SUM(T61)</f>
        <v>5959</v>
      </c>
      <c r="AM69" s="38">
        <f>SUM(U61:U62)</f>
        <v>0</v>
      </c>
      <c r="AN69" s="38">
        <f>SUM(V61:V62)</f>
        <v>0</v>
      </c>
      <c r="AO69" s="38">
        <f>SUM(W61:W62)</f>
        <v>0</v>
      </c>
      <c r="AP69" s="59">
        <f t="shared" si="29"/>
        <v>5959</v>
      </c>
    </row>
    <row r="70" spans="1:42" x14ac:dyDescent="0.2">
      <c r="A70" t="s">
        <v>4322</v>
      </c>
      <c r="B70">
        <v>0</v>
      </c>
      <c r="C70">
        <v>0</v>
      </c>
      <c r="D70">
        <v>0</v>
      </c>
      <c r="E70">
        <v>114</v>
      </c>
      <c r="F70">
        <v>114</v>
      </c>
      <c r="G70" s="54" t="s">
        <v>294</v>
      </c>
      <c r="H70" s="54"/>
      <c r="J70" t="s">
        <v>5736</v>
      </c>
      <c r="Q70" s="38">
        <f t="shared" si="38"/>
        <v>0</v>
      </c>
      <c r="R70" s="38">
        <f t="shared" si="38"/>
        <v>0</v>
      </c>
      <c r="S70" s="38">
        <f t="shared" si="38"/>
        <v>0</v>
      </c>
      <c r="T70" s="38">
        <f t="shared" si="38"/>
        <v>6062</v>
      </c>
      <c r="X70">
        <f t="shared" si="23"/>
        <v>6062</v>
      </c>
      <c r="AA70" s="50"/>
      <c r="AB70" s="37"/>
      <c r="AC70" s="37"/>
      <c r="AD70" s="37"/>
      <c r="AE70" s="37"/>
      <c r="AF70" s="37"/>
      <c r="AG70" s="37"/>
      <c r="AH70" s="37" t="s">
        <v>5735</v>
      </c>
      <c r="AI70" s="38">
        <v>0</v>
      </c>
      <c r="AJ70" s="38">
        <v>0</v>
      </c>
      <c r="AK70" s="38">
        <v>0</v>
      </c>
      <c r="AL70" s="38">
        <f>SUM(T62)</f>
        <v>12616</v>
      </c>
      <c r="AM70" s="38"/>
      <c r="AN70" s="38"/>
      <c r="AO70" s="38"/>
      <c r="AP70" s="59">
        <f t="shared" si="29"/>
        <v>12616</v>
      </c>
    </row>
    <row r="71" spans="1:42" x14ac:dyDescent="0.2">
      <c r="A71" t="s">
        <v>4323</v>
      </c>
      <c r="B71">
        <v>0</v>
      </c>
      <c r="C71">
        <v>0</v>
      </c>
      <c r="D71">
        <v>0</v>
      </c>
      <c r="E71">
        <v>51</v>
      </c>
      <c r="F71">
        <v>51</v>
      </c>
      <c r="G71" s="54" t="s">
        <v>294</v>
      </c>
      <c r="H71" s="54"/>
      <c r="J71" t="s">
        <v>5738</v>
      </c>
      <c r="Q71" s="38">
        <f t="shared" ref="Q71:S72" si="39">SUM(B165,B169,B171)</f>
        <v>0</v>
      </c>
      <c r="R71" s="38">
        <f t="shared" si="39"/>
        <v>0</v>
      </c>
      <c r="S71" s="38">
        <f t="shared" si="39"/>
        <v>0</v>
      </c>
      <c r="T71" s="38">
        <f>SUM(E165,E171)</f>
        <v>3697</v>
      </c>
      <c r="X71">
        <f t="shared" si="23"/>
        <v>3697</v>
      </c>
      <c r="AA71" s="50"/>
      <c r="AB71" s="37"/>
      <c r="AC71" s="37"/>
      <c r="AD71" s="37"/>
      <c r="AE71" s="37"/>
      <c r="AF71" s="37"/>
      <c r="AG71" s="37"/>
      <c r="AH71" s="37" t="s">
        <v>5737</v>
      </c>
      <c r="AI71" s="38">
        <v>0</v>
      </c>
      <c r="AJ71" s="38">
        <v>0</v>
      </c>
      <c r="AK71" s="38">
        <v>0</v>
      </c>
      <c r="AL71" s="38">
        <f>SUM(T65)</f>
        <v>117</v>
      </c>
      <c r="AM71" s="38">
        <f>SUM(U65:U66)</f>
        <v>0</v>
      </c>
      <c r="AN71" s="38">
        <f>SUM(V65:V66)</f>
        <v>0</v>
      </c>
      <c r="AO71" s="38">
        <f>SUM(W65:W66)</f>
        <v>0</v>
      </c>
      <c r="AP71" s="59">
        <f t="shared" si="29"/>
        <v>117</v>
      </c>
    </row>
    <row r="72" spans="1:42" x14ac:dyDescent="0.2">
      <c r="A72" t="s">
        <v>4324</v>
      </c>
      <c r="B72">
        <v>0</v>
      </c>
      <c r="C72">
        <v>0</v>
      </c>
      <c r="D72">
        <v>0</v>
      </c>
      <c r="E72">
        <v>91</v>
      </c>
      <c r="F72">
        <v>91</v>
      </c>
      <c r="G72" s="54" t="s">
        <v>294</v>
      </c>
      <c r="H72" s="54"/>
      <c r="J72" t="s">
        <v>5740</v>
      </c>
      <c r="Q72" s="38">
        <f t="shared" si="39"/>
        <v>0</v>
      </c>
      <c r="R72" s="38">
        <f t="shared" si="39"/>
        <v>0</v>
      </c>
      <c r="S72" s="38">
        <f t="shared" si="39"/>
        <v>0</v>
      </c>
      <c r="T72" s="38">
        <f>SUM(E166,E172)</f>
        <v>3839</v>
      </c>
      <c r="X72">
        <f t="shared" si="23"/>
        <v>3839</v>
      </c>
      <c r="AA72" s="50"/>
      <c r="AB72" s="37"/>
      <c r="AC72" s="37"/>
      <c r="AD72" s="37"/>
      <c r="AE72" s="37"/>
      <c r="AF72" s="37"/>
      <c r="AG72" s="37"/>
      <c r="AH72" s="37" t="s">
        <v>5739</v>
      </c>
      <c r="AI72" s="38">
        <v>0</v>
      </c>
      <c r="AJ72" s="38">
        <v>0</v>
      </c>
      <c r="AK72" s="38">
        <v>0</v>
      </c>
      <c r="AL72" s="38">
        <f>SUM(T66)</f>
        <v>983</v>
      </c>
      <c r="AM72" s="38"/>
      <c r="AN72" s="38"/>
      <c r="AO72" s="38"/>
      <c r="AP72" s="59">
        <f t="shared" si="29"/>
        <v>983</v>
      </c>
    </row>
    <row r="73" spans="1:42" x14ac:dyDescent="0.2">
      <c r="A73" t="s">
        <v>4325</v>
      </c>
      <c r="B73">
        <v>0</v>
      </c>
      <c r="C73">
        <v>0</v>
      </c>
      <c r="D73">
        <v>0</v>
      </c>
      <c r="E73">
        <v>1387</v>
      </c>
      <c r="F73">
        <v>1387</v>
      </c>
      <c r="G73" s="54" t="s">
        <v>294</v>
      </c>
      <c r="H73" s="54"/>
      <c r="J73" t="s">
        <v>5742</v>
      </c>
      <c r="Q73" s="38">
        <f t="shared" ref="Q73:T74" si="40">SUM(B131,B133,B135,B142,B144,B149,B151,B153,B155,B157)</f>
        <v>0</v>
      </c>
      <c r="R73" s="38">
        <f t="shared" si="40"/>
        <v>0</v>
      </c>
      <c r="S73" s="38">
        <f t="shared" si="40"/>
        <v>0</v>
      </c>
      <c r="T73" s="38">
        <f t="shared" si="40"/>
        <v>13747</v>
      </c>
      <c r="X73">
        <f t="shared" si="23"/>
        <v>13747</v>
      </c>
      <c r="AA73" s="50"/>
      <c r="AB73" s="37"/>
      <c r="AC73" s="37"/>
      <c r="AD73" s="37"/>
      <c r="AE73" s="37"/>
      <c r="AF73" s="37"/>
      <c r="AG73" s="37"/>
      <c r="AH73" s="37" t="s">
        <v>5741</v>
      </c>
      <c r="AI73" s="38">
        <v>0</v>
      </c>
      <c r="AJ73" s="38">
        <v>0</v>
      </c>
      <c r="AK73" s="38">
        <v>0</v>
      </c>
      <c r="AL73" s="38">
        <f>SUM(T67)</f>
        <v>8773</v>
      </c>
      <c r="AM73" s="38">
        <f>SUM(U67:U68)</f>
        <v>0</v>
      </c>
      <c r="AN73" s="38">
        <f>SUM(V67:V68)</f>
        <v>0</v>
      </c>
      <c r="AO73" s="38">
        <f>SUM(W67:W68)</f>
        <v>0</v>
      </c>
      <c r="AP73" s="59">
        <f t="shared" si="29"/>
        <v>8773</v>
      </c>
    </row>
    <row r="74" spans="1:42" x14ac:dyDescent="0.2">
      <c r="A74" t="s">
        <v>4326</v>
      </c>
      <c r="B74">
        <v>0</v>
      </c>
      <c r="C74">
        <v>0</v>
      </c>
      <c r="D74">
        <v>0</v>
      </c>
      <c r="E74">
        <v>0</v>
      </c>
      <c r="F74">
        <v>0</v>
      </c>
      <c r="G74" s="54" t="s">
        <v>294</v>
      </c>
      <c r="H74" s="54"/>
      <c r="J74" t="s">
        <v>5743</v>
      </c>
      <c r="Q74" s="38">
        <f t="shared" si="40"/>
        <v>0</v>
      </c>
      <c r="R74" s="38">
        <f t="shared" si="40"/>
        <v>0</v>
      </c>
      <c r="S74" s="38">
        <f t="shared" si="40"/>
        <v>0</v>
      </c>
      <c r="T74" s="38">
        <f t="shared" si="40"/>
        <v>37069</v>
      </c>
      <c r="X74">
        <f t="shared" si="23"/>
        <v>37069</v>
      </c>
      <c r="AA74" s="50"/>
      <c r="AB74" s="37"/>
      <c r="AC74" s="37"/>
      <c r="AD74" s="37"/>
      <c r="AE74" s="37"/>
      <c r="AF74" s="37"/>
      <c r="AG74" s="37"/>
      <c r="AH74" s="37" t="s">
        <v>318</v>
      </c>
      <c r="AI74" s="38">
        <v>0</v>
      </c>
      <c r="AJ74" s="38">
        <v>0</v>
      </c>
      <c r="AK74" s="38">
        <v>0</v>
      </c>
      <c r="AL74" s="38">
        <f>SUM(T68)</f>
        <v>18431</v>
      </c>
      <c r="AM74" s="38"/>
      <c r="AN74" s="38"/>
      <c r="AO74" s="38"/>
      <c r="AP74" s="59">
        <f t="shared" si="29"/>
        <v>18431</v>
      </c>
    </row>
    <row r="75" spans="1:42" x14ac:dyDescent="0.2">
      <c r="A75" t="s">
        <v>4327</v>
      </c>
      <c r="B75">
        <v>0</v>
      </c>
      <c r="C75">
        <v>0</v>
      </c>
      <c r="D75">
        <v>0</v>
      </c>
      <c r="E75">
        <v>8438</v>
      </c>
      <c r="F75">
        <v>8438</v>
      </c>
      <c r="G75" s="54" t="s">
        <v>294</v>
      </c>
      <c r="H75" s="54"/>
      <c r="J75" t="s">
        <v>5745</v>
      </c>
      <c r="Q75" s="38">
        <f t="shared" ref="Q75:T78" si="41">SUM(B198)</f>
        <v>0</v>
      </c>
      <c r="R75" s="38">
        <f t="shared" si="41"/>
        <v>117</v>
      </c>
      <c r="S75" s="38">
        <f t="shared" si="41"/>
        <v>0</v>
      </c>
      <c r="T75" s="38">
        <f t="shared" si="41"/>
        <v>0</v>
      </c>
      <c r="X75">
        <f t="shared" si="23"/>
        <v>117</v>
      </c>
      <c r="AA75" s="50"/>
      <c r="AB75" s="37"/>
      <c r="AC75" s="37"/>
      <c r="AD75" s="37"/>
      <c r="AE75" s="37"/>
      <c r="AF75" s="37"/>
      <c r="AG75" s="37"/>
      <c r="AH75" s="37" t="s">
        <v>5744</v>
      </c>
      <c r="AI75" s="38">
        <v>0</v>
      </c>
      <c r="AJ75" s="38">
        <v>0</v>
      </c>
      <c r="AK75" s="38">
        <v>0</v>
      </c>
      <c r="AL75" s="38">
        <f>SUM(F123)</f>
        <v>2309</v>
      </c>
      <c r="AM75" s="38"/>
      <c r="AN75" s="38"/>
      <c r="AO75" s="38"/>
      <c r="AP75" s="59">
        <f t="shared" si="29"/>
        <v>2309</v>
      </c>
    </row>
    <row r="76" spans="1:42" x14ac:dyDescent="0.2">
      <c r="A76" t="s">
        <v>4328</v>
      </c>
      <c r="B76">
        <v>0</v>
      </c>
      <c r="C76">
        <v>0</v>
      </c>
      <c r="D76">
        <v>0</v>
      </c>
      <c r="E76">
        <v>0</v>
      </c>
      <c r="F76">
        <v>0</v>
      </c>
      <c r="G76" s="54" t="s">
        <v>294</v>
      </c>
      <c r="H76" s="54"/>
      <c r="J76" t="s">
        <v>5747</v>
      </c>
      <c r="Q76" s="38">
        <f t="shared" si="41"/>
        <v>0</v>
      </c>
      <c r="R76" s="38">
        <f t="shared" si="41"/>
        <v>0</v>
      </c>
      <c r="S76" s="38">
        <f t="shared" si="41"/>
        <v>0</v>
      </c>
      <c r="T76" s="38">
        <f t="shared" si="41"/>
        <v>153</v>
      </c>
      <c r="X76">
        <f t="shared" si="23"/>
        <v>153</v>
      </c>
      <c r="AA76" s="50"/>
      <c r="AB76" s="37"/>
      <c r="AC76" s="37"/>
      <c r="AD76" s="37"/>
      <c r="AE76" s="37"/>
      <c r="AF76" s="37"/>
      <c r="AG76" s="37"/>
      <c r="AH76" s="37" t="s">
        <v>5746</v>
      </c>
      <c r="AI76" s="38">
        <v>0</v>
      </c>
      <c r="AJ76" s="38">
        <v>0</v>
      </c>
      <c r="AK76" s="38">
        <v>0</v>
      </c>
      <c r="AL76" s="38">
        <f>SUM(F124)</f>
        <v>22202</v>
      </c>
      <c r="AM76" s="38"/>
      <c r="AN76" s="38"/>
      <c r="AO76" s="38"/>
      <c r="AP76" s="59">
        <f t="shared" si="29"/>
        <v>22202</v>
      </c>
    </row>
    <row r="77" spans="1:42" x14ac:dyDescent="0.2">
      <c r="A77" t="s">
        <v>4329</v>
      </c>
      <c r="B77">
        <v>0</v>
      </c>
      <c r="C77">
        <v>0</v>
      </c>
      <c r="D77">
        <v>0</v>
      </c>
      <c r="E77">
        <v>301</v>
      </c>
      <c r="F77">
        <v>301</v>
      </c>
      <c r="G77" s="54" t="s">
        <v>294</v>
      </c>
      <c r="H77" s="54"/>
      <c r="J77" t="s">
        <v>5749</v>
      </c>
      <c r="Q77" s="38">
        <f t="shared" si="41"/>
        <v>0</v>
      </c>
      <c r="R77" s="38">
        <f t="shared" si="41"/>
        <v>0</v>
      </c>
      <c r="S77" s="38">
        <f t="shared" si="41"/>
        <v>0</v>
      </c>
      <c r="T77" s="38">
        <f t="shared" si="41"/>
        <v>0</v>
      </c>
      <c r="X77">
        <f t="shared" si="23"/>
        <v>0</v>
      </c>
      <c r="AA77" s="50"/>
      <c r="AB77" s="37"/>
      <c r="AC77" s="37"/>
      <c r="AD77" s="37"/>
      <c r="AE77" s="37"/>
      <c r="AF77" s="37"/>
      <c r="AG77" s="37"/>
      <c r="AH77" s="37" t="s">
        <v>5748</v>
      </c>
      <c r="AI77" s="38">
        <v>0</v>
      </c>
      <c r="AJ77" s="38">
        <v>0</v>
      </c>
      <c r="AK77" s="38">
        <v>0</v>
      </c>
      <c r="AL77" s="38">
        <v>0</v>
      </c>
      <c r="AM77" s="38">
        <v>0</v>
      </c>
      <c r="AN77" s="38">
        <v>0</v>
      </c>
      <c r="AO77" s="38">
        <v>0</v>
      </c>
      <c r="AP77" s="59">
        <f t="shared" si="29"/>
        <v>0</v>
      </c>
    </row>
    <row r="78" spans="1:42" x14ac:dyDescent="0.2">
      <c r="A78" t="s">
        <v>4330</v>
      </c>
      <c r="B78">
        <v>0</v>
      </c>
      <c r="C78">
        <v>0</v>
      </c>
      <c r="D78">
        <v>0</v>
      </c>
      <c r="E78">
        <v>109</v>
      </c>
      <c r="F78">
        <v>109</v>
      </c>
      <c r="G78" s="54" t="s">
        <v>294</v>
      </c>
      <c r="H78" s="54"/>
      <c r="J78" t="s">
        <v>5751</v>
      </c>
      <c r="Q78" s="38">
        <f t="shared" si="41"/>
        <v>0</v>
      </c>
      <c r="R78" s="38">
        <f t="shared" si="41"/>
        <v>0</v>
      </c>
      <c r="S78" s="38">
        <f t="shared" si="41"/>
        <v>4998</v>
      </c>
      <c r="T78" s="38">
        <f t="shared" si="41"/>
        <v>0</v>
      </c>
      <c r="X78">
        <f t="shared" si="23"/>
        <v>4998</v>
      </c>
      <c r="AA78" s="61"/>
      <c r="AH78" s="37" t="s">
        <v>5750</v>
      </c>
      <c r="AI78" s="38">
        <v>0</v>
      </c>
      <c r="AJ78" s="38">
        <v>0</v>
      </c>
      <c r="AK78" s="38">
        <v>0</v>
      </c>
      <c r="AL78" s="38">
        <f>SUM(F167,F169)</f>
        <v>467</v>
      </c>
      <c r="AM78" s="38">
        <f>SUM(U69:U70)</f>
        <v>0</v>
      </c>
      <c r="AN78" s="38">
        <f>SUM(V69:V70)</f>
        <v>0</v>
      </c>
      <c r="AO78" s="38">
        <f>SUM(W69:W70)</f>
        <v>0</v>
      </c>
      <c r="AP78" s="59">
        <f t="shared" si="29"/>
        <v>467</v>
      </c>
    </row>
    <row r="79" spans="1:42" x14ac:dyDescent="0.2">
      <c r="A79" t="s">
        <v>4331</v>
      </c>
      <c r="B79">
        <v>0</v>
      </c>
      <c r="C79">
        <v>0</v>
      </c>
      <c r="D79">
        <v>0</v>
      </c>
      <c r="E79">
        <v>13</v>
      </c>
      <c r="F79">
        <v>13</v>
      </c>
      <c r="G79" s="54" t="s">
        <v>294</v>
      </c>
      <c r="H79" s="54"/>
      <c r="AA79" s="61"/>
      <c r="AH79" s="37" t="s">
        <v>5752</v>
      </c>
      <c r="AI79" s="38">
        <v>0</v>
      </c>
      <c r="AJ79" s="38">
        <v>0</v>
      </c>
      <c r="AK79" s="38">
        <v>0</v>
      </c>
      <c r="AL79" s="38">
        <f>SUM(F168,F170)</f>
        <v>8859</v>
      </c>
      <c r="AM79" s="38"/>
      <c r="AN79" s="38"/>
      <c r="AO79" s="38"/>
      <c r="AP79" s="59">
        <f t="shared" si="29"/>
        <v>8859</v>
      </c>
    </row>
    <row r="80" spans="1:42" x14ac:dyDescent="0.2">
      <c r="A80" t="s">
        <v>4332</v>
      </c>
      <c r="B80">
        <v>0</v>
      </c>
      <c r="C80">
        <v>0</v>
      </c>
      <c r="D80">
        <v>0</v>
      </c>
      <c r="E80">
        <v>6944</v>
      </c>
      <c r="F80">
        <v>6944</v>
      </c>
      <c r="G80" s="54" t="s">
        <v>294</v>
      </c>
      <c r="H80" s="54"/>
      <c r="AA80" s="61"/>
      <c r="AH80" s="37" t="s">
        <v>5753</v>
      </c>
      <c r="AI80" s="38">
        <v>0</v>
      </c>
      <c r="AJ80" s="38">
        <v>0</v>
      </c>
      <c r="AK80" s="38">
        <v>0</v>
      </c>
      <c r="AL80" s="38">
        <f>SUM(F165,F171)</f>
        <v>3697</v>
      </c>
      <c r="AM80" s="38">
        <f>SUM(U71:U72)</f>
        <v>0</v>
      </c>
      <c r="AN80" s="38">
        <f>SUM(V71:V72)</f>
        <v>0</v>
      </c>
      <c r="AO80" s="38">
        <f>SUM(W71:W72)</f>
        <v>0</v>
      </c>
      <c r="AP80" s="59">
        <f t="shared" si="29"/>
        <v>3697</v>
      </c>
    </row>
    <row r="81" spans="1:42" x14ac:dyDescent="0.2">
      <c r="A81" t="s">
        <v>4333</v>
      </c>
      <c r="B81">
        <v>0</v>
      </c>
      <c r="C81">
        <v>0</v>
      </c>
      <c r="D81">
        <v>0</v>
      </c>
      <c r="E81">
        <v>0</v>
      </c>
      <c r="F81">
        <v>0</v>
      </c>
      <c r="G81" s="54" t="s">
        <v>294</v>
      </c>
      <c r="H81" s="54"/>
      <c r="AA81" s="61"/>
      <c r="AH81" s="37" t="s">
        <v>5754</v>
      </c>
      <c r="AI81" s="38">
        <v>0</v>
      </c>
      <c r="AJ81" s="38">
        <v>0</v>
      </c>
      <c r="AK81" s="38">
        <v>0</v>
      </c>
      <c r="AL81" s="38">
        <f>SUM(F166,F172)</f>
        <v>3839</v>
      </c>
      <c r="AM81" s="38"/>
      <c r="AN81" s="38"/>
      <c r="AO81" s="38"/>
      <c r="AP81" s="59">
        <f t="shared" si="29"/>
        <v>3839</v>
      </c>
    </row>
    <row r="82" spans="1:42" x14ac:dyDescent="0.2">
      <c r="A82" t="s">
        <v>4334</v>
      </c>
      <c r="B82">
        <v>0</v>
      </c>
      <c r="C82">
        <v>0</v>
      </c>
      <c r="D82">
        <v>0</v>
      </c>
      <c r="E82">
        <v>666</v>
      </c>
      <c r="F82">
        <v>666</v>
      </c>
      <c r="G82" s="54" t="s">
        <v>294</v>
      </c>
      <c r="H82" s="54"/>
      <c r="AA82" s="61"/>
      <c r="AH82" s="37" t="s">
        <v>5755</v>
      </c>
      <c r="AI82" s="38">
        <v>0</v>
      </c>
      <c r="AJ82" s="38">
        <v>0</v>
      </c>
      <c r="AK82" s="38">
        <v>0</v>
      </c>
      <c r="AL82" s="38">
        <f>SUM(F131,F133,F135)</f>
        <v>8248</v>
      </c>
      <c r="AM82" s="38"/>
      <c r="AN82" s="38"/>
      <c r="AO82" s="38"/>
      <c r="AP82" s="59">
        <f t="shared" si="29"/>
        <v>8248</v>
      </c>
    </row>
    <row r="83" spans="1:42" x14ac:dyDescent="0.2">
      <c r="A83" t="s">
        <v>4335</v>
      </c>
      <c r="B83">
        <v>0</v>
      </c>
      <c r="C83">
        <v>0</v>
      </c>
      <c r="D83">
        <v>0</v>
      </c>
      <c r="E83">
        <v>8621</v>
      </c>
      <c r="F83">
        <v>8621</v>
      </c>
      <c r="G83" s="54" t="s">
        <v>294</v>
      </c>
      <c r="H83" s="54"/>
      <c r="AA83" s="61"/>
      <c r="AH83" s="37" t="s">
        <v>5756</v>
      </c>
      <c r="AI83" s="38">
        <v>0</v>
      </c>
      <c r="AJ83" s="38">
        <v>0</v>
      </c>
      <c r="AK83" s="38">
        <v>0</v>
      </c>
      <c r="AL83" s="38">
        <f>SUM(F132,F134,F136)</f>
        <v>9266</v>
      </c>
      <c r="AM83" s="38"/>
      <c r="AN83" s="38"/>
      <c r="AO83" s="38"/>
      <c r="AP83" s="59">
        <f t="shared" si="29"/>
        <v>9266</v>
      </c>
    </row>
    <row r="84" spans="1:42" x14ac:dyDescent="0.2">
      <c r="A84" t="s">
        <v>4336</v>
      </c>
      <c r="B84">
        <v>0</v>
      </c>
      <c r="C84">
        <v>0</v>
      </c>
      <c r="D84">
        <v>0</v>
      </c>
      <c r="E84">
        <v>153</v>
      </c>
      <c r="F84">
        <v>153</v>
      </c>
      <c r="G84" s="54" t="s">
        <v>294</v>
      </c>
      <c r="H84" s="54"/>
      <c r="AA84" s="61"/>
      <c r="AH84" s="37" t="s">
        <v>5757</v>
      </c>
      <c r="AI84" s="38">
        <v>0</v>
      </c>
      <c r="AJ84" s="38">
        <v>0</v>
      </c>
      <c r="AK84" s="38">
        <v>0</v>
      </c>
      <c r="AL84" s="38">
        <f>SUM(F142,F144)</f>
        <v>5499</v>
      </c>
      <c r="AM84" s="38"/>
      <c r="AN84" s="38"/>
      <c r="AO84" s="38"/>
      <c r="AP84" s="59">
        <f t="shared" si="29"/>
        <v>5499</v>
      </c>
    </row>
    <row r="85" spans="1:42" x14ac:dyDescent="0.2">
      <c r="A85" t="s">
        <v>4337</v>
      </c>
      <c r="B85">
        <v>0</v>
      </c>
      <c r="C85">
        <v>0</v>
      </c>
      <c r="D85">
        <v>0</v>
      </c>
      <c r="E85">
        <v>232</v>
      </c>
      <c r="F85">
        <v>232</v>
      </c>
      <c r="G85" s="54" t="s">
        <v>294</v>
      </c>
      <c r="H85" s="54"/>
      <c r="AA85" s="61"/>
      <c r="AH85" s="37" t="s">
        <v>5758</v>
      </c>
      <c r="AI85" s="38">
        <v>0</v>
      </c>
      <c r="AJ85" s="38">
        <v>0</v>
      </c>
      <c r="AK85" s="38">
        <v>0</v>
      </c>
      <c r="AL85" s="38">
        <f>SUM(F143,F145)</f>
        <v>1854</v>
      </c>
      <c r="AM85" s="38"/>
      <c r="AN85" s="38"/>
      <c r="AO85" s="38"/>
      <c r="AP85" s="59">
        <f t="shared" si="29"/>
        <v>1854</v>
      </c>
    </row>
    <row r="86" spans="1:42" x14ac:dyDescent="0.2">
      <c r="A86" t="s">
        <v>4338</v>
      </c>
      <c r="B86">
        <v>0</v>
      </c>
      <c r="C86">
        <v>0</v>
      </c>
      <c r="D86">
        <v>0</v>
      </c>
      <c r="E86">
        <v>2401</v>
      </c>
      <c r="F86">
        <v>2401</v>
      </c>
      <c r="G86" s="54" t="s">
        <v>294</v>
      </c>
      <c r="H86" s="54"/>
      <c r="AA86" s="61"/>
      <c r="AH86" s="37" t="s">
        <v>5759</v>
      </c>
      <c r="AI86" s="38">
        <v>0</v>
      </c>
      <c r="AJ86" s="38">
        <v>0</v>
      </c>
      <c r="AK86" s="38">
        <v>0</v>
      </c>
      <c r="AL86" s="38">
        <f>SUM(F149,F151,F153,F155,F157)</f>
        <v>0</v>
      </c>
      <c r="AM86" s="38"/>
      <c r="AN86" s="38"/>
      <c r="AO86" s="38"/>
      <c r="AP86" s="59">
        <f t="shared" si="29"/>
        <v>0</v>
      </c>
    </row>
    <row r="87" spans="1:42" ht="13.5" thickBot="1" x14ac:dyDescent="0.25">
      <c r="A87" t="s">
        <v>4339</v>
      </c>
      <c r="B87">
        <v>0</v>
      </c>
      <c r="C87">
        <v>0</v>
      </c>
      <c r="D87">
        <v>0</v>
      </c>
      <c r="E87">
        <v>11</v>
      </c>
      <c r="F87">
        <v>11</v>
      </c>
      <c r="G87" s="54" t="s">
        <v>294</v>
      </c>
      <c r="H87" s="54"/>
      <c r="AA87" s="62"/>
      <c r="AB87" s="63"/>
      <c r="AC87" s="63"/>
      <c r="AD87" s="63"/>
      <c r="AE87" s="63"/>
      <c r="AF87" s="63"/>
      <c r="AG87" s="63"/>
      <c r="AH87" s="56" t="s">
        <v>5760</v>
      </c>
      <c r="AI87" s="57">
        <v>0</v>
      </c>
      <c r="AJ87" s="57">
        <v>0</v>
      </c>
      <c r="AK87" s="57">
        <v>0</v>
      </c>
      <c r="AL87" s="57">
        <f>SUM(F150,F152,F154,F156,F158)</f>
        <v>25949</v>
      </c>
      <c r="AM87" s="57">
        <f>SUM(U73:U74)</f>
        <v>0</v>
      </c>
      <c r="AN87" s="57">
        <f>SUM(V73:V74)</f>
        <v>0</v>
      </c>
      <c r="AO87" s="57">
        <f>SUM(W73:W74)</f>
        <v>0</v>
      </c>
      <c r="AP87" s="64">
        <f t="shared" si="29"/>
        <v>25949</v>
      </c>
    </row>
    <row r="88" spans="1:42" ht="13.5" thickBot="1" x14ac:dyDescent="0.25">
      <c r="A88" t="s">
        <v>4340</v>
      </c>
      <c r="B88">
        <v>0</v>
      </c>
      <c r="C88">
        <v>0</v>
      </c>
      <c r="D88">
        <v>0</v>
      </c>
      <c r="E88">
        <v>0</v>
      </c>
      <c r="F88">
        <v>0</v>
      </c>
      <c r="G88" s="54" t="s">
        <v>294</v>
      </c>
      <c r="H88" s="54"/>
    </row>
    <row r="89" spans="1:42" x14ac:dyDescent="0.2">
      <c r="A89" t="s">
        <v>4341</v>
      </c>
      <c r="B89">
        <v>0</v>
      </c>
      <c r="C89">
        <v>0</v>
      </c>
      <c r="D89">
        <v>0</v>
      </c>
      <c r="E89">
        <v>5580</v>
      </c>
      <c r="F89">
        <v>5580</v>
      </c>
      <c r="G89" s="54" t="s">
        <v>294</v>
      </c>
      <c r="H89" s="54"/>
      <c r="AA89" s="48" t="s">
        <v>5761</v>
      </c>
      <c r="AB89" s="49"/>
      <c r="AC89" s="49"/>
      <c r="AD89" s="49"/>
      <c r="AE89" s="49"/>
      <c r="AF89" s="49"/>
      <c r="AG89" s="49"/>
      <c r="AH89" s="49"/>
      <c r="AI89" s="65">
        <f>SUM(AI31,AI49,AI52:AI87,AI13,AI12)</f>
        <v>25768</v>
      </c>
      <c r="AJ89" s="65">
        <f>SUM(AJ31,AJ49,AJ52:AJ87,AJ13,AJ12)</f>
        <v>237049</v>
      </c>
      <c r="AK89" s="65">
        <f>SUM(AK31,AK49,AK52:AK87,AK13,AK12)</f>
        <v>427042</v>
      </c>
      <c r="AL89" s="65">
        <f>SUM(AL31,AL49,AL52:AL87,AL13,AL12,AL30)</f>
        <v>645042</v>
      </c>
      <c r="AM89" s="65">
        <f>SUM(AM31,AM49,AM52:AM87,AM13,AM12,AM30)</f>
        <v>94011</v>
      </c>
      <c r="AN89" s="65">
        <f>SUM(AN31,AN49,AN52:AN87,AN13,AN12,AN30)</f>
        <v>0</v>
      </c>
      <c r="AO89" s="65">
        <f>SUM(AO31,AO49,AO52:AO87,AO13,AO12,AO30)</f>
        <v>0</v>
      </c>
      <c r="AP89" s="66">
        <f>SUM(AP31,AP49,AP52:AP87,AP13,AP12,AP30)</f>
        <v>1334901</v>
      </c>
    </row>
    <row r="90" spans="1:42" x14ac:dyDescent="0.2">
      <c r="A90" t="s">
        <v>4342</v>
      </c>
      <c r="B90">
        <v>0</v>
      </c>
      <c r="C90">
        <v>0</v>
      </c>
      <c r="D90">
        <v>0</v>
      </c>
      <c r="E90">
        <v>0</v>
      </c>
      <c r="F90">
        <v>0</v>
      </c>
      <c r="G90" s="54" t="s">
        <v>294</v>
      </c>
      <c r="H90" s="54"/>
      <c r="AA90" s="50" t="s">
        <v>5769</v>
      </c>
      <c r="AB90" s="37"/>
      <c r="AC90" s="37"/>
      <c r="AD90" s="37"/>
      <c r="AE90" s="37"/>
      <c r="AF90" s="37"/>
      <c r="AG90" s="37"/>
      <c r="AH90" s="37"/>
      <c r="AI90" s="67" t="s">
        <v>761</v>
      </c>
      <c r="AJ90" s="67" t="s">
        <v>761</v>
      </c>
      <c r="AK90" s="67" t="s">
        <v>761</v>
      </c>
      <c r="AL90" s="71" t="s">
        <v>761</v>
      </c>
      <c r="AM90" s="37"/>
      <c r="AN90" s="37"/>
      <c r="AO90" s="37"/>
      <c r="AP90" s="68" t="str">
        <f>AL90</f>
        <v>na</v>
      </c>
    </row>
    <row r="91" spans="1:42" ht="13.5" thickBot="1" x14ac:dyDescent="0.25">
      <c r="A91" t="s">
        <v>4343</v>
      </c>
      <c r="B91">
        <v>0</v>
      </c>
      <c r="C91">
        <v>8</v>
      </c>
      <c r="D91">
        <v>8</v>
      </c>
      <c r="E91">
        <v>1</v>
      </c>
      <c r="F91">
        <v>17</v>
      </c>
      <c r="G91" s="54" t="s">
        <v>294</v>
      </c>
      <c r="H91" s="54"/>
      <c r="AA91" s="55" t="s">
        <v>5770</v>
      </c>
      <c r="AB91" s="56"/>
      <c r="AC91" s="56"/>
      <c r="AD91" s="56"/>
      <c r="AE91" s="56"/>
      <c r="AF91" s="56"/>
      <c r="AG91" s="56"/>
      <c r="AH91" s="56"/>
      <c r="AI91" s="56"/>
      <c r="AJ91" s="56"/>
      <c r="AK91" s="56"/>
      <c r="AL91" s="56"/>
      <c r="AM91" s="56"/>
      <c r="AN91" s="56"/>
      <c r="AO91" s="56"/>
      <c r="AP91" s="70" t="str">
        <f>IF(AP90="na","na",(AP89/(AP90+AP89)))</f>
        <v>na</v>
      </c>
    </row>
    <row r="92" spans="1:42" x14ac:dyDescent="0.2">
      <c r="A92" t="s">
        <v>1728</v>
      </c>
      <c r="B92">
        <v>0</v>
      </c>
      <c r="C92">
        <v>0</v>
      </c>
      <c r="D92">
        <v>0</v>
      </c>
      <c r="E92">
        <v>0</v>
      </c>
      <c r="F92">
        <v>0</v>
      </c>
      <c r="G92" s="54" t="s">
        <v>294</v>
      </c>
      <c r="H92" s="54"/>
    </row>
    <row r="93" spans="1:42" x14ac:dyDescent="0.2">
      <c r="A93" t="s">
        <v>1730</v>
      </c>
      <c r="B93">
        <v>0</v>
      </c>
      <c r="C93">
        <v>1530</v>
      </c>
      <c r="D93">
        <v>6018</v>
      </c>
      <c r="E93">
        <v>10047</v>
      </c>
      <c r="F93">
        <v>17595</v>
      </c>
      <c r="G93" s="54" t="s">
        <v>294</v>
      </c>
      <c r="H93" s="54"/>
    </row>
    <row r="94" spans="1:42" x14ac:dyDescent="0.2">
      <c r="A94" t="s">
        <v>1733</v>
      </c>
      <c r="B94">
        <v>0</v>
      </c>
      <c r="C94">
        <v>0</v>
      </c>
      <c r="D94">
        <v>0</v>
      </c>
      <c r="E94">
        <v>1715</v>
      </c>
      <c r="F94">
        <v>1715</v>
      </c>
      <c r="G94" s="54" t="s">
        <v>294</v>
      </c>
      <c r="H94" s="54"/>
    </row>
    <row r="95" spans="1:42" x14ac:dyDescent="0.2">
      <c r="A95" t="s">
        <v>1738</v>
      </c>
      <c r="B95">
        <v>0</v>
      </c>
      <c r="C95">
        <v>0</v>
      </c>
      <c r="D95">
        <v>0</v>
      </c>
      <c r="E95">
        <v>929</v>
      </c>
      <c r="F95">
        <v>929</v>
      </c>
      <c r="G95" s="54" t="s">
        <v>294</v>
      </c>
      <c r="H95" s="54"/>
    </row>
    <row r="96" spans="1:42" x14ac:dyDescent="0.2">
      <c r="A96" t="s">
        <v>1744</v>
      </c>
      <c r="B96">
        <v>0</v>
      </c>
      <c r="C96">
        <v>0</v>
      </c>
      <c r="D96">
        <v>0</v>
      </c>
      <c r="E96">
        <v>1577</v>
      </c>
      <c r="F96">
        <v>1577</v>
      </c>
      <c r="G96" s="54" t="s">
        <v>294</v>
      </c>
      <c r="H96" s="54"/>
    </row>
    <row r="97" spans="1:8" x14ac:dyDescent="0.2">
      <c r="A97" t="s">
        <v>1747</v>
      </c>
      <c r="B97">
        <v>0</v>
      </c>
      <c r="C97">
        <v>0</v>
      </c>
      <c r="D97">
        <v>0</v>
      </c>
      <c r="E97">
        <v>95</v>
      </c>
      <c r="F97">
        <v>95</v>
      </c>
      <c r="G97" s="54" t="s">
        <v>294</v>
      </c>
      <c r="H97" s="54"/>
    </row>
    <row r="98" spans="1:8" x14ac:dyDescent="0.2">
      <c r="A98" t="s">
        <v>1751</v>
      </c>
      <c r="B98">
        <v>0</v>
      </c>
      <c r="C98">
        <v>0</v>
      </c>
      <c r="D98">
        <v>0</v>
      </c>
      <c r="E98">
        <v>0</v>
      </c>
      <c r="F98">
        <v>0</v>
      </c>
      <c r="G98" s="54" t="s">
        <v>294</v>
      </c>
      <c r="H98" s="54"/>
    </row>
    <row r="99" spans="1:8" x14ac:dyDescent="0.2">
      <c r="A99" t="s">
        <v>1755</v>
      </c>
      <c r="B99">
        <v>0</v>
      </c>
      <c r="C99">
        <v>0</v>
      </c>
      <c r="D99">
        <v>1807</v>
      </c>
      <c r="E99">
        <v>4691</v>
      </c>
      <c r="F99">
        <v>6498</v>
      </c>
      <c r="G99" s="54" t="s">
        <v>294</v>
      </c>
      <c r="H99" s="54"/>
    </row>
    <row r="100" spans="1:8" x14ac:dyDescent="0.2">
      <c r="A100" t="s">
        <v>1757</v>
      </c>
      <c r="B100">
        <v>0</v>
      </c>
      <c r="C100">
        <v>0</v>
      </c>
      <c r="D100">
        <v>3162</v>
      </c>
      <c r="E100">
        <v>5040</v>
      </c>
      <c r="F100">
        <v>8202</v>
      </c>
      <c r="G100" s="54" t="s">
        <v>294</v>
      </c>
      <c r="H100" s="54"/>
    </row>
    <row r="101" spans="1:8" x14ac:dyDescent="0.2">
      <c r="A101" t="s">
        <v>1761</v>
      </c>
      <c r="B101">
        <v>0</v>
      </c>
      <c r="C101">
        <v>0</v>
      </c>
      <c r="D101">
        <v>0</v>
      </c>
      <c r="E101">
        <v>0</v>
      </c>
      <c r="F101">
        <v>0</v>
      </c>
      <c r="G101" s="54" t="s">
        <v>294</v>
      </c>
      <c r="H101" s="54"/>
    </row>
    <row r="102" spans="1:8" x14ac:dyDescent="0.2">
      <c r="A102" t="s">
        <v>1764</v>
      </c>
      <c r="B102">
        <v>0</v>
      </c>
      <c r="C102">
        <v>0</v>
      </c>
      <c r="D102">
        <v>0</v>
      </c>
      <c r="E102">
        <v>15</v>
      </c>
      <c r="F102">
        <v>15</v>
      </c>
      <c r="G102" s="54" t="s">
        <v>294</v>
      </c>
      <c r="H102" s="54"/>
    </row>
    <row r="103" spans="1:8" x14ac:dyDescent="0.2">
      <c r="A103" t="s">
        <v>1770</v>
      </c>
      <c r="B103">
        <v>141</v>
      </c>
      <c r="C103">
        <v>14372</v>
      </c>
      <c r="D103">
        <v>13730</v>
      </c>
      <c r="E103">
        <v>39819</v>
      </c>
      <c r="F103">
        <v>68063</v>
      </c>
      <c r="G103" s="54" t="s">
        <v>294</v>
      </c>
      <c r="H103" s="54"/>
    </row>
    <row r="104" spans="1:8" x14ac:dyDescent="0.2">
      <c r="A104" t="s">
        <v>1772</v>
      </c>
      <c r="B104">
        <v>47</v>
      </c>
      <c r="C104">
        <v>5012</v>
      </c>
      <c r="D104">
        <v>4312</v>
      </c>
      <c r="E104">
        <v>16577</v>
      </c>
      <c r="F104">
        <v>25948</v>
      </c>
      <c r="G104" s="54" t="s">
        <v>294</v>
      </c>
      <c r="H104" s="54"/>
    </row>
    <row r="105" spans="1:8" x14ac:dyDescent="0.2">
      <c r="A105" t="s">
        <v>1774</v>
      </c>
      <c r="B105">
        <v>1</v>
      </c>
      <c r="C105">
        <v>923</v>
      </c>
      <c r="D105">
        <v>871</v>
      </c>
      <c r="E105">
        <v>2241</v>
      </c>
      <c r="F105">
        <v>4036</v>
      </c>
      <c r="G105" s="54" t="s">
        <v>294</v>
      </c>
      <c r="H105" s="54"/>
    </row>
    <row r="106" spans="1:8" x14ac:dyDescent="0.2">
      <c r="A106" t="s">
        <v>1777</v>
      </c>
      <c r="B106">
        <v>0</v>
      </c>
      <c r="C106">
        <v>0</v>
      </c>
      <c r="D106">
        <v>0</v>
      </c>
      <c r="E106">
        <v>553</v>
      </c>
      <c r="F106">
        <v>553</v>
      </c>
      <c r="G106" s="54" t="s">
        <v>294</v>
      </c>
      <c r="H106" s="54"/>
    </row>
    <row r="107" spans="1:8" x14ac:dyDescent="0.2">
      <c r="A107" t="s">
        <v>1782</v>
      </c>
      <c r="B107">
        <v>0</v>
      </c>
      <c r="C107">
        <v>0</v>
      </c>
      <c r="D107">
        <v>0</v>
      </c>
      <c r="E107">
        <v>434</v>
      </c>
      <c r="F107">
        <v>434</v>
      </c>
      <c r="G107" s="54" t="s">
        <v>294</v>
      </c>
      <c r="H107" s="54"/>
    </row>
    <row r="108" spans="1:8" x14ac:dyDescent="0.2">
      <c r="A108" t="s">
        <v>1274</v>
      </c>
      <c r="B108">
        <v>0</v>
      </c>
      <c r="C108">
        <v>0</v>
      </c>
      <c r="D108">
        <v>0</v>
      </c>
      <c r="E108">
        <v>5959</v>
      </c>
      <c r="F108">
        <v>5959</v>
      </c>
      <c r="G108" s="54" t="s">
        <v>294</v>
      </c>
      <c r="H108" s="54"/>
    </row>
    <row r="109" spans="1:8" x14ac:dyDescent="0.2">
      <c r="A109" t="s">
        <v>1277</v>
      </c>
      <c r="B109">
        <v>0</v>
      </c>
      <c r="C109">
        <v>0</v>
      </c>
      <c r="D109">
        <v>0</v>
      </c>
      <c r="E109">
        <v>12616</v>
      </c>
      <c r="F109">
        <v>12616</v>
      </c>
      <c r="G109" s="54" t="s">
        <v>294</v>
      </c>
      <c r="H109" s="54"/>
    </row>
    <row r="110" spans="1:8" x14ac:dyDescent="0.2">
      <c r="A110" t="s">
        <v>1798</v>
      </c>
      <c r="B110">
        <v>0</v>
      </c>
      <c r="C110">
        <v>0</v>
      </c>
      <c r="D110">
        <v>0</v>
      </c>
      <c r="E110">
        <v>4981</v>
      </c>
      <c r="F110">
        <v>4981</v>
      </c>
      <c r="G110" s="54" t="s">
        <v>294</v>
      </c>
      <c r="H110" s="54"/>
    </row>
    <row r="111" spans="1:8" x14ac:dyDescent="0.2">
      <c r="A111" t="s">
        <v>1803</v>
      </c>
      <c r="B111">
        <v>0</v>
      </c>
      <c r="C111">
        <v>0</v>
      </c>
      <c r="D111">
        <v>0</v>
      </c>
      <c r="E111">
        <v>2701</v>
      </c>
      <c r="F111">
        <v>2701</v>
      </c>
      <c r="G111" s="54" t="s">
        <v>294</v>
      </c>
      <c r="H111" s="54"/>
    </row>
    <row r="112" spans="1:8" x14ac:dyDescent="0.2">
      <c r="A112" t="s">
        <v>1808</v>
      </c>
      <c r="B112">
        <v>0</v>
      </c>
      <c r="C112">
        <v>0</v>
      </c>
      <c r="D112">
        <v>0</v>
      </c>
      <c r="E112">
        <v>525</v>
      </c>
      <c r="F112">
        <v>525</v>
      </c>
      <c r="G112" s="54" t="s">
        <v>294</v>
      </c>
      <c r="H112" s="54"/>
    </row>
    <row r="113" spans="1:8" x14ac:dyDescent="0.2">
      <c r="A113" t="s">
        <v>1813</v>
      </c>
      <c r="B113">
        <v>0</v>
      </c>
      <c r="C113">
        <v>0</v>
      </c>
      <c r="D113">
        <v>0</v>
      </c>
      <c r="E113">
        <v>117</v>
      </c>
      <c r="F113">
        <v>117</v>
      </c>
      <c r="G113" s="54" t="s">
        <v>294</v>
      </c>
      <c r="H113" s="54"/>
    </row>
    <row r="114" spans="1:8" x14ac:dyDescent="0.2">
      <c r="A114" t="s">
        <v>1819</v>
      </c>
      <c r="B114">
        <v>0</v>
      </c>
      <c r="C114">
        <v>0</v>
      </c>
      <c r="D114">
        <v>0</v>
      </c>
      <c r="E114">
        <v>983</v>
      </c>
      <c r="F114">
        <v>983</v>
      </c>
      <c r="G114" s="54" t="s">
        <v>294</v>
      </c>
      <c r="H114" s="54"/>
    </row>
    <row r="115" spans="1:8" x14ac:dyDescent="0.2">
      <c r="A115" t="s">
        <v>1826</v>
      </c>
      <c r="B115">
        <v>0</v>
      </c>
      <c r="C115">
        <v>0</v>
      </c>
      <c r="D115">
        <v>0</v>
      </c>
      <c r="E115">
        <v>13415</v>
      </c>
      <c r="F115">
        <v>13415</v>
      </c>
      <c r="G115" s="54" t="s">
        <v>294</v>
      </c>
      <c r="H115" s="54"/>
    </row>
    <row r="116" spans="1:8" x14ac:dyDescent="0.2">
      <c r="A116" t="s">
        <v>1830</v>
      </c>
      <c r="B116">
        <v>0</v>
      </c>
      <c r="C116">
        <v>0</v>
      </c>
      <c r="D116">
        <v>0</v>
      </c>
      <c r="E116">
        <v>1170</v>
      </c>
      <c r="F116">
        <v>1170</v>
      </c>
      <c r="G116" s="54" t="s">
        <v>294</v>
      </c>
      <c r="H116" s="54"/>
    </row>
    <row r="117" spans="1:8" x14ac:dyDescent="0.2">
      <c r="A117" t="s">
        <v>1836</v>
      </c>
      <c r="B117">
        <v>0</v>
      </c>
      <c r="C117">
        <v>0</v>
      </c>
      <c r="D117">
        <v>0</v>
      </c>
      <c r="E117">
        <v>276</v>
      </c>
      <c r="F117">
        <v>276</v>
      </c>
      <c r="G117" s="54" t="s">
        <v>294</v>
      </c>
      <c r="H117" s="54"/>
    </row>
    <row r="118" spans="1:8" x14ac:dyDescent="0.2">
      <c r="A118" t="s">
        <v>1841</v>
      </c>
      <c r="B118">
        <v>34</v>
      </c>
      <c r="C118">
        <v>0</v>
      </c>
      <c r="D118">
        <v>1370</v>
      </c>
      <c r="E118">
        <v>6528</v>
      </c>
      <c r="F118">
        <v>7932</v>
      </c>
      <c r="G118" s="54" t="s">
        <v>294</v>
      </c>
      <c r="H118" s="54"/>
    </row>
    <row r="119" spans="1:8" x14ac:dyDescent="0.2">
      <c r="A119" t="s">
        <v>1842</v>
      </c>
      <c r="B119">
        <v>171</v>
      </c>
      <c r="C119">
        <v>0</v>
      </c>
      <c r="D119">
        <v>6030</v>
      </c>
      <c r="E119">
        <v>14273</v>
      </c>
      <c r="F119">
        <v>20474</v>
      </c>
      <c r="G119" s="54" t="s">
        <v>294</v>
      </c>
      <c r="H119" s="54"/>
    </row>
    <row r="120" spans="1:8" x14ac:dyDescent="0.2">
      <c r="A120" t="s">
        <v>1843</v>
      </c>
      <c r="B120">
        <v>0</v>
      </c>
      <c r="C120">
        <v>0</v>
      </c>
      <c r="D120">
        <v>0</v>
      </c>
      <c r="E120">
        <v>1784</v>
      </c>
      <c r="F120">
        <v>1784</v>
      </c>
      <c r="G120" s="54" t="s">
        <v>294</v>
      </c>
      <c r="H120" s="54"/>
    </row>
    <row r="121" spans="1:8" x14ac:dyDescent="0.2">
      <c r="A121" t="s">
        <v>1846</v>
      </c>
      <c r="B121">
        <v>0</v>
      </c>
      <c r="C121">
        <v>0</v>
      </c>
      <c r="D121">
        <v>0</v>
      </c>
      <c r="E121">
        <v>8773</v>
      </c>
      <c r="F121">
        <v>8773</v>
      </c>
      <c r="G121" s="54" t="s">
        <v>294</v>
      </c>
      <c r="H121" s="54"/>
    </row>
    <row r="122" spans="1:8" x14ac:dyDescent="0.2">
      <c r="A122" t="s">
        <v>1851</v>
      </c>
      <c r="B122">
        <v>0</v>
      </c>
      <c r="C122">
        <v>0</v>
      </c>
      <c r="D122">
        <v>0</v>
      </c>
      <c r="E122">
        <v>18431</v>
      </c>
      <c r="F122">
        <v>18431</v>
      </c>
      <c r="G122" s="54" t="s">
        <v>294</v>
      </c>
      <c r="H122" s="54"/>
    </row>
    <row r="123" spans="1:8" x14ac:dyDescent="0.2">
      <c r="A123" t="s">
        <v>1857</v>
      </c>
      <c r="B123">
        <v>0</v>
      </c>
      <c r="C123">
        <v>0</v>
      </c>
      <c r="D123">
        <v>0</v>
      </c>
      <c r="E123">
        <v>2309</v>
      </c>
      <c r="F123">
        <v>2309</v>
      </c>
      <c r="G123" s="54" t="s">
        <v>294</v>
      </c>
      <c r="H123" s="54"/>
    </row>
    <row r="124" spans="1:8" x14ac:dyDescent="0.2">
      <c r="A124" t="s">
        <v>1862</v>
      </c>
      <c r="B124">
        <v>0</v>
      </c>
      <c r="C124">
        <v>0</v>
      </c>
      <c r="D124">
        <v>0</v>
      </c>
      <c r="E124">
        <v>22202</v>
      </c>
      <c r="F124">
        <v>22202</v>
      </c>
      <c r="G124" s="54" t="s">
        <v>294</v>
      </c>
      <c r="H124" s="54"/>
    </row>
    <row r="125" spans="1:8" x14ac:dyDescent="0.2">
      <c r="A125" t="s">
        <v>1867</v>
      </c>
      <c r="B125">
        <v>0</v>
      </c>
      <c r="C125">
        <v>0</v>
      </c>
      <c r="D125">
        <v>0</v>
      </c>
      <c r="E125">
        <v>830</v>
      </c>
      <c r="F125">
        <v>830</v>
      </c>
      <c r="G125" s="54" t="s">
        <v>294</v>
      </c>
      <c r="H125" s="54"/>
    </row>
    <row r="126" spans="1:8" x14ac:dyDescent="0.2">
      <c r="A126" t="s">
        <v>1870</v>
      </c>
      <c r="B126">
        <v>0</v>
      </c>
      <c r="C126">
        <v>0</v>
      </c>
      <c r="D126">
        <v>0</v>
      </c>
      <c r="E126">
        <v>40</v>
      </c>
      <c r="F126">
        <v>40</v>
      </c>
      <c r="G126" s="54" t="s">
        <v>294</v>
      </c>
      <c r="H126" s="54"/>
    </row>
    <row r="127" spans="1:8" x14ac:dyDescent="0.2">
      <c r="A127" t="s">
        <v>1874</v>
      </c>
      <c r="B127">
        <v>0</v>
      </c>
      <c r="C127">
        <v>0</v>
      </c>
      <c r="D127">
        <v>0</v>
      </c>
      <c r="E127">
        <v>630</v>
      </c>
      <c r="F127">
        <v>630</v>
      </c>
      <c r="G127" s="54" t="s">
        <v>294</v>
      </c>
      <c r="H127" s="54"/>
    </row>
    <row r="128" spans="1:8" x14ac:dyDescent="0.2">
      <c r="A128" t="s">
        <v>1876</v>
      </c>
      <c r="B128">
        <v>0</v>
      </c>
      <c r="C128">
        <v>0</v>
      </c>
      <c r="D128">
        <v>0</v>
      </c>
      <c r="E128">
        <v>8</v>
      </c>
      <c r="F128">
        <v>8</v>
      </c>
      <c r="G128" s="54" t="s">
        <v>294</v>
      </c>
      <c r="H128" s="54"/>
    </row>
    <row r="129" spans="1:8" x14ac:dyDescent="0.2">
      <c r="A129" t="s">
        <v>1881</v>
      </c>
      <c r="B129">
        <v>0</v>
      </c>
      <c r="C129">
        <v>0</v>
      </c>
      <c r="D129">
        <v>0</v>
      </c>
      <c r="E129">
        <v>1909</v>
      </c>
      <c r="F129">
        <v>1909</v>
      </c>
      <c r="G129" s="54" t="s">
        <v>294</v>
      </c>
      <c r="H129" s="54"/>
    </row>
    <row r="130" spans="1:8" x14ac:dyDescent="0.2">
      <c r="A130" t="s">
        <v>1885</v>
      </c>
      <c r="B130">
        <v>343</v>
      </c>
      <c r="C130">
        <v>1322</v>
      </c>
      <c r="D130">
        <v>2993</v>
      </c>
      <c r="E130">
        <v>7773</v>
      </c>
      <c r="F130">
        <v>12431</v>
      </c>
      <c r="G130" s="54" t="s">
        <v>294</v>
      </c>
      <c r="H130" s="54"/>
    </row>
    <row r="131" spans="1:8" x14ac:dyDescent="0.2">
      <c r="A131" t="s">
        <v>1887</v>
      </c>
      <c r="B131">
        <v>0</v>
      </c>
      <c r="C131">
        <v>0</v>
      </c>
      <c r="D131">
        <v>0</v>
      </c>
      <c r="E131">
        <v>8248</v>
      </c>
      <c r="F131">
        <v>8248</v>
      </c>
      <c r="G131" s="54" t="s">
        <v>294</v>
      </c>
      <c r="H131" s="54"/>
    </row>
    <row r="132" spans="1:8" x14ac:dyDescent="0.2">
      <c r="A132" t="s">
        <v>1893</v>
      </c>
      <c r="B132">
        <v>0</v>
      </c>
      <c r="C132">
        <v>0</v>
      </c>
      <c r="D132">
        <v>0</v>
      </c>
      <c r="E132">
        <v>5560</v>
      </c>
      <c r="F132">
        <v>5560</v>
      </c>
      <c r="G132" s="54" t="s">
        <v>294</v>
      </c>
      <c r="H132" s="54"/>
    </row>
    <row r="133" spans="1:8" x14ac:dyDescent="0.2">
      <c r="A133" t="s">
        <v>1899</v>
      </c>
      <c r="B133">
        <v>0</v>
      </c>
      <c r="C133">
        <v>0</v>
      </c>
      <c r="D133">
        <v>0</v>
      </c>
      <c r="E133">
        <v>0</v>
      </c>
      <c r="F133">
        <v>0</v>
      </c>
      <c r="G133" s="54" t="s">
        <v>294</v>
      </c>
      <c r="H133" s="54"/>
    </row>
    <row r="134" spans="1:8" x14ac:dyDescent="0.2">
      <c r="A134" t="s">
        <v>1906</v>
      </c>
      <c r="B134">
        <v>0</v>
      </c>
      <c r="C134">
        <v>0</v>
      </c>
      <c r="D134">
        <v>0</v>
      </c>
      <c r="E134">
        <v>1853</v>
      </c>
      <c r="F134">
        <v>1853</v>
      </c>
      <c r="G134" s="54" t="s">
        <v>294</v>
      </c>
      <c r="H134" s="54"/>
    </row>
    <row r="135" spans="1:8" x14ac:dyDescent="0.2">
      <c r="A135" t="s">
        <v>1911</v>
      </c>
      <c r="B135">
        <v>0</v>
      </c>
      <c r="C135">
        <v>0</v>
      </c>
      <c r="D135">
        <v>0</v>
      </c>
      <c r="E135">
        <v>0</v>
      </c>
      <c r="F135">
        <v>0</v>
      </c>
      <c r="G135" s="54" t="s">
        <v>294</v>
      </c>
      <c r="H135" s="54"/>
    </row>
    <row r="136" spans="1:8" x14ac:dyDescent="0.2">
      <c r="A136" t="s">
        <v>1917</v>
      </c>
      <c r="B136">
        <v>0</v>
      </c>
      <c r="C136">
        <v>0</v>
      </c>
      <c r="D136">
        <v>0</v>
      </c>
      <c r="E136">
        <v>1853</v>
      </c>
      <c r="F136">
        <v>1853</v>
      </c>
      <c r="G136" s="54" t="s">
        <v>294</v>
      </c>
      <c r="H136" s="54"/>
    </row>
    <row r="137" spans="1:8" x14ac:dyDescent="0.2">
      <c r="A137" t="s">
        <v>1922</v>
      </c>
      <c r="B137">
        <v>0</v>
      </c>
      <c r="C137">
        <v>0</v>
      </c>
      <c r="D137">
        <v>0</v>
      </c>
      <c r="E137">
        <v>7077</v>
      </c>
      <c r="F137">
        <v>7077</v>
      </c>
      <c r="G137" s="54" t="s">
        <v>294</v>
      </c>
      <c r="H137" s="54"/>
    </row>
    <row r="138" spans="1:8" x14ac:dyDescent="0.2">
      <c r="A138" t="s">
        <v>1928</v>
      </c>
      <c r="B138">
        <v>0</v>
      </c>
      <c r="C138">
        <v>0</v>
      </c>
      <c r="D138">
        <v>0</v>
      </c>
      <c r="E138">
        <v>2436</v>
      </c>
      <c r="F138">
        <v>2436</v>
      </c>
      <c r="G138" s="54" t="s">
        <v>294</v>
      </c>
      <c r="H138" s="54"/>
    </row>
    <row r="139" spans="1:8" x14ac:dyDescent="0.2">
      <c r="A139" t="s">
        <v>1932</v>
      </c>
      <c r="B139">
        <v>0</v>
      </c>
      <c r="C139">
        <v>0</v>
      </c>
      <c r="D139">
        <v>0</v>
      </c>
      <c r="E139">
        <v>57</v>
      </c>
      <c r="F139">
        <v>57</v>
      </c>
      <c r="G139" s="54" t="s">
        <v>294</v>
      </c>
      <c r="H139" s="54"/>
    </row>
    <row r="140" spans="1:8" x14ac:dyDescent="0.2">
      <c r="A140" t="s">
        <v>1938</v>
      </c>
      <c r="B140">
        <v>0</v>
      </c>
      <c r="C140">
        <v>0</v>
      </c>
      <c r="D140">
        <v>0</v>
      </c>
      <c r="E140">
        <v>107</v>
      </c>
      <c r="F140">
        <v>107</v>
      </c>
      <c r="G140" s="54" t="s">
        <v>294</v>
      </c>
      <c r="H140" s="54"/>
    </row>
    <row r="141" spans="1:8" x14ac:dyDescent="0.2">
      <c r="A141" t="s">
        <v>1944</v>
      </c>
      <c r="B141">
        <v>343</v>
      </c>
      <c r="C141">
        <v>1322</v>
      </c>
      <c r="D141">
        <v>2993</v>
      </c>
      <c r="E141">
        <v>7773</v>
      </c>
      <c r="F141">
        <v>12431</v>
      </c>
      <c r="G141" s="54" t="s">
        <v>294</v>
      </c>
      <c r="H141" s="54"/>
    </row>
    <row r="142" spans="1:8" x14ac:dyDescent="0.2">
      <c r="A142" t="s">
        <v>1947</v>
      </c>
      <c r="B142">
        <v>0</v>
      </c>
      <c r="C142">
        <v>0</v>
      </c>
      <c r="D142">
        <v>0</v>
      </c>
      <c r="E142">
        <v>5499</v>
      </c>
      <c r="F142">
        <v>5499</v>
      </c>
      <c r="G142" s="54" t="s">
        <v>294</v>
      </c>
      <c r="H142" s="54"/>
    </row>
    <row r="143" spans="1:8" x14ac:dyDescent="0.2">
      <c r="A143" t="s">
        <v>1953</v>
      </c>
      <c r="B143">
        <v>0</v>
      </c>
      <c r="C143">
        <v>0</v>
      </c>
      <c r="D143">
        <v>0</v>
      </c>
      <c r="E143">
        <v>927</v>
      </c>
      <c r="F143">
        <v>927</v>
      </c>
      <c r="G143" s="54" t="s">
        <v>294</v>
      </c>
      <c r="H143" s="54"/>
    </row>
    <row r="144" spans="1:8" x14ac:dyDescent="0.2">
      <c r="A144" t="s">
        <v>1958</v>
      </c>
      <c r="B144">
        <v>0</v>
      </c>
      <c r="C144">
        <v>0</v>
      </c>
      <c r="D144">
        <v>0</v>
      </c>
      <c r="E144">
        <v>0</v>
      </c>
      <c r="F144">
        <v>0</v>
      </c>
      <c r="G144" s="54" t="s">
        <v>294</v>
      </c>
      <c r="H144" s="54"/>
    </row>
    <row r="145" spans="1:8" x14ac:dyDescent="0.2">
      <c r="A145" t="s">
        <v>1964</v>
      </c>
      <c r="B145">
        <v>0</v>
      </c>
      <c r="C145">
        <v>0</v>
      </c>
      <c r="D145">
        <v>0</v>
      </c>
      <c r="E145">
        <v>927</v>
      </c>
      <c r="F145">
        <v>927</v>
      </c>
      <c r="G145" s="54" t="s">
        <v>294</v>
      </c>
      <c r="H145" s="54"/>
    </row>
    <row r="146" spans="1:8" x14ac:dyDescent="0.2">
      <c r="A146" t="s">
        <v>1973</v>
      </c>
      <c r="B146">
        <v>0</v>
      </c>
      <c r="C146">
        <v>0</v>
      </c>
      <c r="D146">
        <v>0</v>
      </c>
      <c r="E146">
        <v>5837</v>
      </c>
      <c r="F146">
        <v>5837</v>
      </c>
      <c r="G146" s="54" t="s">
        <v>294</v>
      </c>
      <c r="H146" s="54"/>
    </row>
    <row r="147" spans="1:8" x14ac:dyDescent="0.2">
      <c r="A147" t="s">
        <v>1978</v>
      </c>
      <c r="B147">
        <v>0</v>
      </c>
      <c r="C147">
        <v>0</v>
      </c>
      <c r="D147">
        <v>0</v>
      </c>
      <c r="E147">
        <v>181</v>
      </c>
      <c r="F147">
        <v>181</v>
      </c>
      <c r="G147" s="54" t="s">
        <v>294</v>
      </c>
      <c r="H147" s="54"/>
    </row>
    <row r="148" spans="1:8" x14ac:dyDescent="0.2">
      <c r="A148" t="s">
        <v>1983</v>
      </c>
      <c r="B148">
        <v>171</v>
      </c>
      <c r="C148">
        <v>660</v>
      </c>
      <c r="D148">
        <v>1496</v>
      </c>
      <c r="E148">
        <v>3886</v>
      </c>
      <c r="F148">
        <v>6214</v>
      </c>
      <c r="G148" s="54" t="s">
        <v>294</v>
      </c>
      <c r="H148" s="54"/>
    </row>
    <row r="149" spans="1:8" x14ac:dyDescent="0.2">
      <c r="A149" t="s">
        <v>1984</v>
      </c>
      <c r="B149">
        <v>0</v>
      </c>
      <c r="C149">
        <v>0</v>
      </c>
      <c r="D149">
        <v>0</v>
      </c>
      <c r="E149">
        <v>0</v>
      </c>
      <c r="F149">
        <v>0</v>
      </c>
      <c r="G149" s="54" t="s">
        <v>294</v>
      </c>
      <c r="H149" s="54"/>
    </row>
    <row r="150" spans="1:8" x14ac:dyDescent="0.2">
      <c r="A150" t="s">
        <v>1990</v>
      </c>
      <c r="B150">
        <v>0</v>
      </c>
      <c r="C150">
        <v>0</v>
      </c>
      <c r="D150">
        <v>0</v>
      </c>
      <c r="E150">
        <v>742</v>
      </c>
      <c r="F150">
        <v>742</v>
      </c>
      <c r="G150" s="54" t="s">
        <v>294</v>
      </c>
      <c r="H150" s="54"/>
    </row>
    <row r="151" spans="1:8" x14ac:dyDescent="0.2">
      <c r="A151" t="s">
        <v>1996</v>
      </c>
      <c r="B151">
        <v>0</v>
      </c>
      <c r="C151">
        <v>0</v>
      </c>
      <c r="D151">
        <v>0</v>
      </c>
      <c r="E151">
        <v>0</v>
      </c>
      <c r="F151">
        <v>0</v>
      </c>
      <c r="G151" s="54" t="s">
        <v>294</v>
      </c>
      <c r="H151" s="54"/>
    </row>
    <row r="152" spans="1:8" x14ac:dyDescent="0.2">
      <c r="A152" t="s">
        <v>1998</v>
      </c>
      <c r="B152">
        <v>0</v>
      </c>
      <c r="C152">
        <v>0</v>
      </c>
      <c r="D152">
        <v>0</v>
      </c>
      <c r="E152">
        <v>742</v>
      </c>
      <c r="F152">
        <v>742</v>
      </c>
      <c r="G152" s="54" t="s">
        <v>294</v>
      </c>
      <c r="H152" s="54"/>
    </row>
    <row r="153" spans="1:8" x14ac:dyDescent="0.2">
      <c r="A153" t="s">
        <v>1999</v>
      </c>
      <c r="B153">
        <v>0</v>
      </c>
      <c r="C153">
        <v>0</v>
      </c>
      <c r="D153">
        <v>0</v>
      </c>
      <c r="E153">
        <v>0</v>
      </c>
      <c r="F153">
        <v>0</v>
      </c>
      <c r="G153" s="54" t="s">
        <v>294</v>
      </c>
      <c r="H153" s="54"/>
    </row>
    <row r="154" spans="1:8" x14ac:dyDescent="0.2">
      <c r="A154" t="s">
        <v>2004</v>
      </c>
      <c r="B154">
        <v>0</v>
      </c>
      <c r="C154">
        <v>0</v>
      </c>
      <c r="D154">
        <v>0</v>
      </c>
      <c r="E154">
        <v>2225</v>
      </c>
      <c r="F154">
        <v>2225</v>
      </c>
      <c r="G154" s="54" t="s">
        <v>294</v>
      </c>
      <c r="H154" s="54"/>
    </row>
    <row r="155" spans="1:8" x14ac:dyDescent="0.2">
      <c r="A155" t="s">
        <v>2009</v>
      </c>
      <c r="B155">
        <v>0</v>
      </c>
      <c r="C155">
        <v>0</v>
      </c>
      <c r="D155">
        <v>0</v>
      </c>
      <c r="E155">
        <v>0</v>
      </c>
      <c r="F155">
        <v>0</v>
      </c>
      <c r="G155" s="54" t="s">
        <v>294</v>
      </c>
      <c r="H155" s="54"/>
    </row>
    <row r="156" spans="1:8" x14ac:dyDescent="0.2">
      <c r="A156" t="s">
        <v>2014</v>
      </c>
      <c r="B156">
        <v>0</v>
      </c>
      <c r="C156">
        <v>0</v>
      </c>
      <c r="D156">
        <v>0</v>
      </c>
      <c r="E156">
        <v>22240</v>
      </c>
      <c r="F156">
        <v>22240</v>
      </c>
      <c r="G156" s="54" t="s">
        <v>294</v>
      </c>
      <c r="H156" s="54"/>
    </row>
    <row r="157" spans="1:8" x14ac:dyDescent="0.2">
      <c r="A157" t="s">
        <v>2019</v>
      </c>
      <c r="B157">
        <v>0</v>
      </c>
      <c r="C157">
        <v>0</v>
      </c>
      <c r="D157">
        <v>0</v>
      </c>
      <c r="E157">
        <v>0</v>
      </c>
      <c r="F157">
        <v>0</v>
      </c>
      <c r="G157" s="54" t="s">
        <v>294</v>
      </c>
      <c r="H157" s="54"/>
    </row>
    <row r="158" spans="1:8" x14ac:dyDescent="0.2">
      <c r="A158" t="s">
        <v>2023</v>
      </c>
      <c r="B158">
        <v>0</v>
      </c>
      <c r="C158">
        <v>0</v>
      </c>
      <c r="D158">
        <v>0</v>
      </c>
      <c r="E158">
        <v>0</v>
      </c>
      <c r="F158">
        <v>0</v>
      </c>
      <c r="G158" s="54" t="s">
        <v>294</v>
      </c>
      <c r="H158" s="54"/>
    </row>
    <row r="159" spans="1:8" x14ac:dyDescent="0.2">
      <c r="A159" t="s">
        <v>2026</v>
      </c>
      <c r="B159">
        <v>0</v>
      </c>
      <c r="C159">
        <v>0</v>
      </c>
      <c r="D159">
        <v>0</v>
      </c>
      <c r="E159">
        <v>1466</v>
      </c>
      <c r="F159">
        <v>1466</v>
      </c>
      <c r="G159" s="54" t="s">
        <v>294</v>
      </c>
      <c r="H159" s="54"/>
    </row>
    <row r="160" spans="1:8" x14ac:dyDescent="0.2">
      <c r="A160" t="s">
        <v>2030</v>
      </c>
      <c r="B160">
        <v>0</v>
      </c>
      <c r="C160">
        <v>0</v>
      </c>
      <c r="D160">
        <v>0</v>
      </c>
      <c r="E160">
        <v>116</v>
      </c>
      <c r="F160">
        <v>116</v>
      </c>
      <c r="G160" s="54" t="s">
        <v>294</v>
      </c>
      <c r="H160" s="54"/>
    </row>
    <row r="161" spans="1:8" x14ac:dyDescent="0.2">
      <c r="A161" t="s">
        <v>2035</v>
      </c>
      <c r="B161">
        <v>0</v>
      </c>
      <c r="C161">
        <v>0</v>
      </c>
      <c r="D161">
        <v>0</v>
      </c>
      <c r="E161">
        <v>0</v>
      </c>
      <c r="F161">
        <v>0</v>
      </c>
      <c r="G161" s="54" t="s">
        <v>294</v>
      </c>
      <c r="H161" s="54"/>
    </row>
    <row r="162" spans="1:8" x14ac:dyDescent="0.2">
      <c r="A162" t="s">
        <v>2040</v>
      </c>
      <c r="B162">
        <v>0</v>
      </c>
      <c r="C162">
        <v>0</v>
      </c>
      <c r="D162">
        <v>0</v>
      </c>
      <c r="E162">
        <v>29</v>
      </c>
      <c r="F162">
        <v>29</v>
      </c>
      <c r="G162" s="54" t="s">
        <v>294</v>
      </c>
      <c r="H162" s="54"/>
    </row>
    <row r="163" spans="1:8" x14ac:dyDescent="0.2">
      <c r="A163" t="s">
        <v>2045</v>
      </c>
      <c r="B163">
        <v>0</v>
      </c>
      <c r="C163">
        <v>0</v>
      </c>
      <c r="D163">
        <v>0</v>
      </c>
      <c r="E163">
        <v>29</v>
      </c>
      <c r="F163">
        <v>29</v>
      </c>
      <c r="G163" s="54" t="s">
        <v>294</v>
      </c>
      <c r="H163" s="54"/>
    </row>
    <row r="164" spans="1:8" x14ac:dyDescent="0.2">
      <c r="A164" t="s">
        <v>2049</v>
      </c>
      <c r="B164">
        <v>2</v>
      </c>
      <c r="C164">
        <v>38</v>
      </c>
      <c r="D164">
        <v>152</v>
      </c>
      <c r="E164">
        <v>720</v>
      </c>
      <c r="F164">
        <v>912</v>
      </c>
      <c r="G164" s="54" t="s">
        <v>294</v>
      </c>
      <c r="H164" s="54"/>
    </row>
    <row r="165" spans="1:8" x14ac:dyDescent="0.2">
      <c r="A165" t="s">
        <v>2051</v>
      </c>
      <c r="B165">
        <v>0</v>
      </c>
      <c r="C165">
        <v>0</v>
      </c>
      <c r="D165">
        <v>0</v>
      </c>
      <c r="E165">
        <v>3697</v>
      </c>
      <c r="F165">
        <v>3697</v>
      </c>
      <c r="G165" s="54" t="s">
        <v>294</v>
      </c>
      <c r="H165" s="54"/>
    </row>
    <row r="166" spans="1:8" x14ac:dyDescent="0.2">
      <c r="A166" t="s">
        <v>2057</v>
      </c>
      <c r="B166">
        <v>0</v>
      </c>
      <c r="C166">
        <v>0</v>
      </c>
      <c r="D166">
        <v>0</v>
      </c>
      <c r="E166">
        <v>1920</v>
      </c>
      <c r="F166">
        <v>1920</v>
      </c>
      <c r="G166" s="54" t="s">
        <v>294</v>
      </c>
      <c r="H166" s="54"/>
    </row>
    <row r="167" spans="1:8" x14ac:dyDescent="0.2">
      <c r="A167" t="s">
        <v>5762</v>
      </c>
      <c r="B167">
        <v>0</v>
      </c>
      <c r="C167">
        <v>0</v>
      </c>
      <c r="D167">
        <v>0</v>
      </c>
      <c r="E167">
        <v>467</v>
      </c>
      <c r="F167">
        <v>467</v>
      </c>
      <c r="G167" s="54" t="s">
        <v>294</v>
      </c>
      <c r="H167" s="54"/>
    </row>
    <row r="168" spans="1:8" x14ac:dyDescent="0.2">
      <c r="A168" t="s">
        <v>5763</v>
      </c>
      <c r="B168">
        <v>0</v>
      </c>
      <c r="C168">
        <v>0</v>
      </c>
      <c r="D168">
        <v>0</v>
      </c>
      <c r="E168">
        <v>6062</v>
      </c>
      <c r="F168">
        <v>6062</v>
      </c>
      <c r="G168" s="54" t="s">
        <v>294</v>
      </c>
      <c r="H168" s="54"/>
    </row>
    <row r="169" spans="1:8" x14ac:dyDescent="0.2">
      <c r="A169" t="s">
        <v>2074</v>
      </c>
      <c r="B169">
        <v>0</v>
      </c>
      <c r="C169">
        <v>0</v>
      </c>
      <c r="D169">
        <v>0</v>
      </c>
      <c r="E169">
        <v>0</v>
      </c>
      <c r="F169">
        <v>0</v>
      </c>
      <c r="G169" s="54" t="s">
        <v>294</v>
      </c>
      <c r="H169" s="54"/>
    </row>
    <row r="170" spans="1:8" x14ac:dyDescent="0.2">
      <c r="A170" t="s">
        <v>2079</v>
      </c>
      <c r="B170">
        <v>0</v>
      </c>
      <c r="C170">
        <v>0</v>
      </c>
      <c r="D170">
        <v>0</v>
      </c>
      <c r="E170">
        <v>2797</v>
      </c>
      <c r="F170">
        <v>2797</v>
      </c>
      <c r="G170" s="54" t="s">
        <v>294</v>
      </c>
      <c r="H170" s="54"/>
    </row>
    <row r="171" spans="1:8" x14ac:dyDescent="0.2">
      <c r="A171" t="s">
        <v>2085</v>
      </c>
      <c r="B171">
        <v>0</v>
      </c>
      <c r="C171">
        <v>0</v>
      </c>
      <c r="D171">
        <v>0</v>
      </c>
      <c r="E171">
        <v>0</v>
      </c>
      <c r="F171">
        <v>0</v>
      </c>
      <c r="G171" s="54" t="s">
        <v>294</v>
      </c>
      <c r="H171" s="54"/>
    </row>
    <row r="172" spans="1:8" x14ac:dyDescent="0.2">
      <c r="A172" t="s">
        <v>2091</v>
      </c>
      <c r="B172">
        <v>0</v>
      </c>
      <c r="C172">
        <v>0</v>
      </c>
      <c r="D172">
        <v>0</v>
      </c>
      <c r="E172">
        <v>1919</v>
      </c>
      <c r="F172">
        <v>1919</v>
      </c>
      <c r="G172" s="54" t="s">
        <v>294</v>
      </c>
      <c r="H172" s="54"/>
    </row>
    <row r="173" spans="1:8" x14ac:dyDescent="0.2">
      <c r="A173" t="s">
        <v>2097</v>
      </c>
      <c r="B173">
        <v>0</v>
      </c>
      <c r="C173">
        <v>0</v>
      </c>
      <c r="D173">
        <v>0</v>
      </c>
      <c r="E173">
        <v>4931</v>
      </c>
      <c r="F173">
        <v>4931</v>
      </c>
      <c r="G173" s="54" t="s">
        <v>294</v>
      </c>
      <c r="H173" s="54"/>
    </row>
    <row r="174" spans="1:8" x14ac:dyDescent="0.2">
      <c r="A174" t="s">
        <v>2101</v>
      </c>
      <c r="B174">
        <v>0</v>
      </c>
      <c r="C174">
        <v>0</v>
      </c>
      <c r="D174">
        <v>0</v>
      </c>
      <c r="E174">
        <v>345</v>
      </c>
      <c r="F174">
        <v>345</v>
      </c>
      <c r="G174" s="54" t="s">
        <v>294</v>
      </c>
      <c r="H174" s="54"/>
    </row>
    <row r="175" spans="1:8" x14ac:dyDescent="0.2">
      <c r="A175" t="s">
        <v>2104</v>
      </c>
      <c r="B175">
        <v>0</v>
      </c>
      <c r="C175">
        <v>0</v>
      </c>
      <c r="D175">
        <v>0</v>
      </c>
      <c r="E175">
        <v>8</v>
      </c>
      <c r="F175">
        <v>8</v>
      </c>
      <c r="G175" s="54" t="s">
        <v>294</v>
      </c>
      <c r="H175" s="54"/>
    </row>
    <row r="176" spans="1:8" x14ac:dyDescent="0.2">
      <c r="A176" t="s">
        <v>5764</v>
      </c>
      <c r="B176">
        <v>0</v>
      </c>
      <c r="C176">
        <v>0</v>
      </c>
      <c r="D176">
        <v>0</v>
      </c>
      <c r="E176">
        <v>209</v>
      </c>
      <c r="F176">
        <v>209</v>
      </c>
      <c r="G176" s="54" t="s">
        <v>294</v>
      </c>
      <c r="H176" s="54"/>
    </row>
    <row r="177" spans="1:8" x14ac:dyDescent="0.2">
      <c r="A177" t="s">
        <v>2110</v>
      </c>
      <c r="B177">
        <v>0</v>
      </c>
      <c r="C177">
        <v>0</v>
      </c>
      <c r="D177">
        <v>0</v>
      </c>
      <c r="E177">
        <v>50</v>
      </c>
      <c r="F177">
        <v>50</v>
      </c>
      <c r="G177" s="54" t="s">
        <v>294</v>
      </c>
      <c r="H177" s="54"/>
    </row>
    <row r="178" spans="1:8" x14ac:dyDescent="0.2">
      <c r="A178" t="s">
        <v>2113</v>
      </c>
      <c r="B178">
        <v>0</v>
      </c>
      <c r="C178">
        <v>0</v>
      </c>
      <c r="D178">
        <v>0</v>
      </c>
      <c r="E178">
        <v>60</v>
      </c>
      <c r="F178">
        <v>60</v>
      </c>
      <c r="G178" s="54" t="s">
        <v>294</v>
      </c>
      <c r="H178" s="54"/>
    </row>
    <row r="179" spans="1:8" x14ac:dyDescent="0.2">
      <c r="A179" t="s">
        <v>5800</v>
      </c>
      <c r="B179">
        <v>0</v>
      </c>
      <c r="C179">
        <v>0</v>
      </c>
      <c r="D179">
        <v>0</v>
      </c>
      <c r="E179">
        <v>0</v>
      </c>
      <c r="F179">
        <v>0</v>
      </c>
      <c r="G179" s="54" t="s">
        <v>294</v>
      </c>
      <c r="H179" s="54"/>
    </row>
    <row r="180" spans="1:8" x14ac:dyDescent="0.2">
      <c r="A180" t="s">
        <v>5801</v>
      </c>
      <c r="B180">
        <v>0</v>
      </c>
      <c r="C180">
        <v>0</v>
      </c>
      <c r="D180">
        <v>0</v>
      </c>
      <c r="E180">
        <v>0</v>
      </c>
      <c r="F180">
        <v>0</v>
      </c>
      <c r="G180" s="54" t="s">
        <v>294</v>
      </c>
      <c r="H180" s="54"/>
    </row>
    <row r="181" spans="1:8" x14ac:dyDescent="0.2">
      <c r="A181" t="s">
        <v>5802</v>
      </c>
      <c r="B181">
        <v>0</v>
      </c>
      <c r="C181">
        <v>0</v>
      </c>
      <c r="D181">
        <v>0</v>
      </c>
      <c r="E181">
        <v>0</v>
      </c>
      <c r="F181">
        <v>0</v>
      </c>
      <c r="G181" s="54" t="s">
        <v>294</v>
      </c>
      <c r="H181" s="54"/>
    </row>
    <row r="182" spans="1:8" x14ac:dyDescent="0.2">
      <c r="A182" t="s">
        <v>5803</v>
      </c>
      <c r="B182">
        <v>0</v>
      </c>
      <c r="C182">
        <v>0</v>
      </c>
      <c r="D182">
        <v>0</v>
      </c>
      <c r="E182">
        <v>0</v>
      </c>
      <c r="F182">
        <v>0</v>
      </c>
      <c r="G182" s="54" t="s">
        <v>294</v>
      </c>
      <c r="H182" s="54"/>
    </row>
    <row r="183" spans="1:8" x14ac:dyDescent="0.2">
      <c r="A183" t="s">
        <v>5804</v>
      </c>
      <c r="B183">
        <v>0</v>
      </c>
      <c r="C183">
        <v>0</v>
      </c>
      <c r="D183">
        <v>0</v>
      </c>
      <c r="E183">
        <v>0</v>
      </c>
      <c r="F183">
        <v>0</v>
      </c>
      <c r="G183" s="54" t="s">
        <v>294</v>
      </c>
      <c r="H183" s="54"/>
    </row>
    <row r="184" spans="1:8" x14ac:dyDescent="0.2">
      <c r="A184" t="s">
        <v>4346</v>
      </c>
      <c r="B184">
        <v>0</v>
      </c>
      <c r="C184">
        <v>0</v>
      </c>
      <c r="D184">
        <v>0</v>
      </c>
      <c r="E184">
        <v>0</v>
      </c>
      <c r="F184">
        <v>0</v>
      </c>
      <c r="G184" s="54" t="s">
        <v>294</v>
      </c>
      <c r="H184" s="54"/>
    </row>
    <row r="185" spans="1:8" x14ac:dyDescent="0.2">
      <c r="A185" t="s">
        <v>4347</v>
      </c>
      <c r="B185">
        <v>0</v>
      </c>
      <c r="C185">
        <v>0</v>
      </c>
      <c r="D185">
        <v>0</v>
      </c>
      <c r="E185">
        <v>0</v>
      </c>
      <c r="F185">
        <v>0</v>
      </c>
      <c r="G185" s="54" t="s">
        <v>294</v>
      </c>
      <c r="H185" s="54"/>
    </row>
    <row r="186" spans="1:8" x14ac:dyDescent="0.2">
      <c r="A186" t="s">
        <v>5805</v>
      </c>
      <c r="B186">
        <v>0</v>
      </c>
      <c r="C186">
        <v>0</v>
      </c>
      <c r="D186">
        <v>0</v>
      </c>
      <c r="E186">
        <v>0</v>
      </c>
      <c r="F186">
        <v>0</v>
      </c>
      <c r="G186" s="54" t="s">
        <v>294</v>
      </c>
      <c r="H186" s="54"/>
    </row>
    <row r="187" spans="1:8" x14ac:dyDescent="0.2">
      <c r="A187" t="s">
        <v>4350</v>
      </c>
      <c r="B187">
        <v>0</v>
      </c>
      <c r="C187">
        <v>0</v>
      </c>
      <c r="D187">
        <v>157</v>
      </c>
      <c r="E187">
        <v>0</v>
      </c>
      <c r="F187">
        <v>157</v>
      </c>
      <c r="G187" s="54" t="s">
        <v>294</v>
      </c>
      <c r="H187" s="54"/>
    </row>
    <row r="188" spans="1:8" x14ac:dyDescent="0.2">
      <c r="A188" t="s">
        <v>4351</v>
      </c>
      <c r="B188">
        <v>0</v>
      </c>
      <c r="C188">
        <v>0</v>
      </c>
      <c r="D188">
        <v>158</v>
      </c>
      <c r="E188">
        <v>0</v>
      </c>
      <c r="F188">
        <v>158</v>
      </c>
      <c r="G188" s="54" t="s">
        <v>294</v>
      </c>
      <c r="H188" s="54"/>
    </row>
    <row r="189" spans="1:8" x14ac:dyDescent="0.2">
      <c r="A189" t="s">
        <v>4352</v>
      </c>
      <c r="B189">
        <v>0</v>
      </c>
      <c r="C189">
        <v>0</v>
      </c>
      <c r="D189">
        <v>157</v>
      </c>
      <c r="E189">
        <v>0</v>
      </c>
      <c r="F189">
        <v>157</v>
      </c>
      <c r="G189" s="54" t="s">
        <v>294</v>
      </c>
      <c r="H189" s="54"/>
    </row>
    <row r="190" spans="1:8" x14ac:dyDescent="0.2">
      <c r="A190" t="s">
        <v>4353</v>
      </c>
      <c r="B190">
        <v>0</v>
      </c>
      <c r="C190">
        <v>0</v>
      </c>
      <c r="D190">
        <v>0</v>
      </c>
      <c r="E190">
        <v>0</v>
      </c>
      <c r="F190">
        <v>0</v>
      </c>
      <c r="G190" s="54" t="s">
        <v>294</v>
      </c>
      <c r="H190" s="54"/>
    </row>
    <row r="191" spans="1:8" x14ac:dyDescent="0.2">
      <c r="A191" t="s">
        <v>4354</v>
      </c>
      <c r="B191">
        <v>0</v>
      </c>
      <c r="C191">
        <v>0</v>
      </c>
      <c r="D191">
        <v>941</v>
      </c>
      <c r="E191">
        <v>941</v>
      </c>
      <c r="F191">
        <v>1882</v>
      </c>
      <c r="G191" s="54" t="s">
        <v>294</v>
      </c>
      <c r="H191" s="54"/>
    </row>
    <row r="192" spans="1:8" x14ac:dyDescent="0.2">
      <c r="A192" t="s">
        <v>4355</v>
      </c>
      <c r="B192">
        <v>0</v>
      </c>
      <c r="C192">
        <v>0</v>
      </c>
      <c r="D192">
        <v>0</v>
      </c>
      <c r="E192">
        <v>0</v>
      </c>
      <c r="F192">
        <v>0</v>
      </c>
      <c r="G192" s="54" t="s">
        <v>294</v>
      </c>
      <c r="H192" s="54"/>
    </row>
    <row r="193" spans="1:8" x14ac:dyDescent="0.2">
      <c r="A193" t="s">
        <v>4356</v>
      </c>
      <c r="B193">
        <v>0</v>
      </c>
      <c r="C193">
        <v>0</v>
      </c>
      <c r="D193">
        <v>0</v>
      </c>
      <c r="E193">
        <v>0</v>
      </c>
      <c r="F193">
        <v>0</v>
      </c>
      <c r="G193" s="54" t="s">
        <v>294</v>
      </c>
      <c r="H193" s="54"/>
    </row>
    <row r="194" spans="1:8" x14ac:dyDescent="0.2">
      <c r="A194" t="s">
        <v>4357</v>
      </c>
      <c r="B194">
        <v>0</v>
      </c>
      <c r="C194">
        <v>0</v>
      </c>
      <c r="D194">
        <v>0</v>
      </c>
      <c r="E194">
        <v>0</v>
      </c>
      <c r="F194">
        <v>0</v>
      </c>
      <c r="G194" s="54" t="s">
        <v>294</v>
      </c>
      <c r="H194" s="54"/>
    </row>
    <row r="195" spans="1:8" x14ac:dyDescent="0.2">
      <c r="A195" t="s">
        <v>4358</v>
      </c>
      <c r="B195">
        <v>0</v>
      </c>
      <c r="C195">
        <v>0</v>
      </c>
      <c r="D195">
        <v>0</v>
      </c>
      <c r="E195">
        <v>0</v>
      </c>
      <c r="F195">
        <v>0</v>
      </c>
      <c r="G195" s="54" t="s">
        <v>294</v>
      </c>
      <c r="H195" s="54"/>
    </row>
    <row r="196" spans="1:8" x14ac:dyDescent="0.2">
      <c r="A196" t="s">
        <v>4359</v>
      </c>
      <c r="B196">
        <v>0</v>
      </c>
      <c r="C196">
        <v>0</v>
      </c>
      <c r="D196">
        <v>0</v>
      </c>
      <c r="E196">
        <v>0</v>
      </c>
      <c r="F196">
        <v>0</v>
      </c>
      <c r="G196" s="54" t="s">
        <v>294</v>
      </c>
      <c r="H196" s="54"/>
    </row>
    <row r="197" spans="1:8" x14ac:dyDescent="0.2">
      <c r="A197" t="s">
        <v>4360</v>
      </c>
      <c r="B197">
        <v>0</v>
      </c>
      <c r="C197">
        <v>3506</v>
      </c>
      <c r="D197">
        <v>0</v>
      </c>
      <c r="E197">
        <v>0</v>
      </c>
      <c r="F197">
        <v>3506</v>
      </c>
      <c r="G197" s="54" t="s">
        <v>294</v>
      </c>
      <c r="H197" s="54"/>
    </row>
    <row r="198" spans="1:8" x14ac:dyDescent="0.2">
      <c r="A198" t="s">
        <v>4361</v>
      </c>
      <c r="B198">
        <v>0</v>
      </c>
      <c r="C198">
        <v>117</v>
      </c>
      <c r="D198">
        <v>0</v>
      </c>
      <c r="E198">
        <v>0</v>
      </c>
      <c r="F198">
        <v>117</v>
      </c>
      <c r="G198" s="54" t="s">
        <v>294</v>
      </c>
      <c r="H198" s="54"/>
    </row>
    <row r="199" spans="1:8" x14ac:dyDescent="0.2">
      <c r="A199" t="s">
        <v>4362</v>
      </c>
      <c r="B199">
        <v>0</v>
      </c>
      <c r="C199">
        <v>0</v>
      </c>
      <c r="D199">
        <v>0</v>
      </c>
      <c r="E199">
        <v>153</v>
      </c>
      <c r="F199">
        <v>153</v>
      </c>
      <c r="G199" s="54" t="s">
        <v>294</v>
      </c>
      <c r="H199" s="54"/>
    </row>
    <row r="200" spans="1:8" x14ac:dyDescent="0.2">
      <c r="A200" t="s">
        <v>4363</v>
      </c>
      <c r="B200">
        <v>0</v>
      </c>
      <c r="C200">
        <v>0</v>
      </c>
      <c r="D200">
        <v>0</v>
      </c>
      <c r="E200">
        <v>0</v>
      </c>
      <c r="F200">
        <v>0</v>
      </c>
      <c r="G200" s="54" t="s">
        <v>294</v>
      </c>
      <c r="H200" s="54"/>
    </row>
    <row r="201" spans="1:8" x14ac:dyDescent="0.2">
      <c r="A201" t="s">
        <v>4364</v>
      </c>
      <c r="B201">
        <v>0</v>
      </c>
      <c r="C201">
        <v>0</v>
      </c>
      <c r="D201">
        <v>4998</v>
      </c>
      <c r="E201">
        <v>0</v>
      </c>
      <c r="F201">
        <v>4998</v>
      </c>
      <c r="G201" s="54" t="s">
        <v>294</v>
      </c>
      <c r="H201" s="54"/>
    </row>
    <row r="202" spans="1:8" x14ac:dyDescent="0.2">
      <c r="A202" t="s">
        <v>4366</v>
      </c>
      <c r="B202">
        <v>0</v>
      </c>
      <c r="C202">
        <v>0</v>
      </c>
      <c r="D202">
        <v>0</v>
      </c>
      <c r="E202">
        <v>0</v>
      </c>
      <c r="F202">
        <v>0</v>
      </c>
      <c r="G202" s="54" t="s">
        <v>294</v>
      </c>
      <c r="H202" s="54"/>
    </row>
    <row r="203" spans="1:8" x14ac:dyDescent="0.2">
      <c r="A203" t="s">
        <v>4367</v>
      </c>
      <c r="B203">
        <v>0</v>
      </c>
      <c r="C203">
        <v>0</v>
      </c>
      <c r="D203">
        <v>0</v>
      </c>
      <c r="E203">
        <v>0</v>
      </c>
      <c r="F203">
        <v>0</v>
      </c>
      <c r="G203" s="54" t="s">
        <v>294</v>
      </c>
      <c r="H203" s="54"/>
    </row>
    <row r="204" spans="1:8" x14ac:dyDescent="0.2">
      <c r="A204" t="s">
        <v>4368</v>
      </c>
      <c r="B204">
        <v>497</v>
      </c>
      <c r="C204">
        <v>364</v>
      </c>
      <c r="D204">
        <v>116</v>
      </c>
      <c r="E204">
        <v>280</v>
      </c>
      <c r="F204">
        <v>1257</v>
      </c>
      <c r="G204" s="54" t="s">
        <v>294</v>
      </c>
      <c r="H204" s="54"/>
    </row>
    <row r="205" spans="1:8" x14ac:dyDescent="0.2">
      <c r="A205" t="s">
        <v>4369</v>
      </c>
      <c r="B205">
        <v>0</v>
      </c>
      <c r="C205">
        <v>0</v>
      </c>
      <c r="D205">
        <v>0</v>
      </c>
      <c r="E205">
        <v>0</v>
      </c>
      <c r="F205">
        <v>0</v>
      </c>
      <c r="G205" s="54" t="s">
        <v>294</v>
      </c>
      <c r="H205" s="54"/>
    </row>
    <row r="206" spans="1:8" x14ac:dyDescent="0.2">
      <c r="A206" t="s">
        <v>4370</v>
      </c>
      <c r="B206">
        <v>583</v>
      </c>
      <c r="C206">
        <v>430</v>
      </c>
      <c r="D206">
        <v>2746</v>
      </c>
      <c r="E206">
        <v>732</v>
      </c>
      <c r="F206">
        <v>4491</v>
      </c>
      <c r="G206" s="54" t="s">
        <v>294</v>
      </c>
      <c r="H206" s="54"/>
    </row>
    <row r="207" spans="1:8" x14ac:dyDescent="0.2">
      <c r="A207" t="s">
        <v>4371</v>
      </c>
      <c r="B207">
        <v>497</v>
      </c>
      <c r="C207">
        <v>364</v>
      </c>
      <c r="D207">
        <v>115</v>
      </c>
      <c r="E207">
        <v>280</v>
      </c>
      <c r="F207">
        <v>1257</v>
      </c>
      <c r="G207" s="54" t="s">
        <v>294</v>
      </c>
      <c r="H207" s="54"/>
    </row>
    <row r="208" spans="1:8" x14ac:dyDescent="0.2">
      <c r="A208" t="s">
        <v>4372</v>
      </c>
      <c r="B208">
        <v>0</v>
      </c>
      <c r="C208">
        <v>39</v>
      </c>
      <c r="D208">
        <v>418</v>
      </c>
      <c r="E208">
        <v>684</v>
      </c>
      <c r="F208">
        <v>1141</v>
      </c>
      <c r="G208" s="54" t="s">
        <v>294</v>
      </c>
      <c r="H208" s="54"/>
    </row>
    <row r="209" spans="1:8" x14ac:dyDescent="0.2">
      <c r="A209" t="s">
        <v>5806</v>
      </c>
      <c r="B209">
        <v>0</v>
      </c>
      <c r="C209">
        <v>0</v>
      </c>
      <c r="D209">
        <v>0</v>
      </c>
      <c r="E209">
        <v>0</v>
      </c>
      <c r="F209">
        <v>0</v>
      </c>
      <c r="G209" s="54" t="s">
        <v>294</v>
      </c>
      <c r="H209" s="54"/>
    </row>
    <row r="210" spans="1:8" x14ac:dyDescent="0.2">
      <c r="A210" t="s">
        <v>5807</v>
      </c>
      <c r="B210">
        <v>0</v>
      </c>
      <c r="C210">
        <v>0</v>
      </c>
      <c r="D210">
        <v>0</v>
      </c>
      <c r="E210">
        <v>0</v>
      </c>
      <c r="F210">
        <v>0</v>
      </c>
      <c r="G210" s="54" t="s">
        <v>294</v>
      </c>
      <c r="H210" s="54"/>
    </row>
    <row r="211" spans="1:8" x14ac:dyDescent="0.2">
      <c r="A211" t="s">
        <v>5808</v>
      </c>
      <c r="B211">
        <v>0</v>
      </c>
      <c r="C211">
        <v>0</v>
      </c>
      <c r="D211">
        <v>0</v>
      </c>
      <c r="E211">
        <v>0</v>
      </c>
      <c r="F211">
        <v>0</v>
      </c>
      <c r="G211" s="54" t="s">
        <v>294</v>
      </c>
      <c r="H211" s="54"/>
    </row>
    <row r="212" spans="1:8" x14ac:dyDescent="0.2">
      <c r="A212" t="s">
        <v>5809</v>
      </c>
      <c r="B212">
        <v>0</v>
      </c>
      <c r="C212">
        <v>0</v>
      </c>
      <c r="D212">
        <v>0</v>
      </c>
      <c r="E212">
        <v>0</v>
      </c>
      <c r="F212">
        <v>0</v>
      </c>
      <c r="G212" s="54" t="s">
        <v>294</v>
      </c>
      <c r="H212" s="54"/>
    </row>
    <row r="213" spans="1:8" x14ac:dyDescent="0.2">
      <c r="A213" t="s">
        <v>5810</v>
      </c>
      <c r="B213">
        <v>0</v>
      </c>
      <c r="C213">
        <v>0</v>
      </c>
      <c r="D213">
        <v>0</v>
      </c>
      <c r="E213">
        <v>0</v>
      </c>
      <c r="F213">
        <v>0</v>
      </c>
      <c r="G213" s="54" t="s">
        <v>294</v>
      </c>
      <c r="H213" s="54"/>
    </row>
    <row r="214" spans="1:8" x14ac:dyDescent="0.2">
      <c r="A214" t="s">
        <v>4373</v>
      </c>
      <c r="B214">
        <v>0</v>
      </c>
      <c r="C214">
        <v>14470</v>
      </c>
      <c r="D214">
        <v>25042</v>
      </c>
      <c r="E214">
        <v>36080</v>
      </c>
      <c r="F214">
        <v>75593</v>
      </c>
      <c r="G214" s="54" t="s">
        <v>294</v>
      </c>
      <c r="H214" s="54"/>
    </row>
    <row r="215" spans="1:8" x14ac:dyDescent="0.2">
      <c r="A215" t="s">
        <v>4374</v>
      </c>
      <c r="B215">
        <v>0</v>
      </c>
      <c r="C215">
        <v>14470</v>
      </c>
      <c r="D215">
        <v>25043</v>
      </c>
      <c r="E215">
        <v>36080</v>
      </c>
      <c r="F215">
        <v>75593</v>
      </c>
      <c r="G215" s="54" t="s">
        <v>294</v>
      </c>
      <c r="H215" s="54"/>
    </row>
    <row r="216" spans="1:8" x14ac:dyDescent="0.2">
      <c r="A216" t="s">
        <v>4375</v>
      </c>
      <c r="B216">
        <v>0</v>
      </c>
      <c r="C216">
        <v>0</v>
      </c>
      <c r="D216">
        <v>0</v>
      </c>
      <c r="E216">
        <v>0</v>
      </c>
      <c r="F216">
        <v>0</v>
      </c>
      <c r="G216" s="54" t="s">
        <v>294</v>
      </c>
      <c r="H216" s="54"/>
    </row>
    <row r="217" spans="1:8" x14ac:dyDescent="0.2">
      <c r="A217" t="s">
        <v>4376</v>
      </c>
      <c r="B217">
        <v>0</v>
      </c>
      <c r="C217">
        <v>0</v>
      </c>
      <c r="D217">
        <v>0</v>
      </c>
      <c r="E217">
        <v>0</v>
      </c>
      <c r="F217">
        <v>0</v>
      </c>
      <c r="G217" s="54" t="s">
        <v>294</v>
      </c>
      <c r="H217" s="54"/>
    </row>
    <row r="218" spans="1:8" x14ac:dyDescent="0.2">
      <c r="A218" t="s">
        <v>4377</v>
      </c>
      <c r="B218">
        <v>0</v>
      </c>
      <c r="C218">
        <v>0</v>
      </c>
      <c r="D218">
        <v>0</v>
      </c>
      <c r="E218">
        <v>0</v>
      </c>
      <c r="F218">
        <v>0</v>
      </c>
      <c r="G218" s="54" t="s">
        <v>294</v>
      </c>
      <c r="H218" s="54"/>
    </row>
    <row r="219" spans="1:8" x14ac:dyDescent="0.2">
      <c r="A219" t="s">
        <v>2318</v>
      </c>
      <c r="B219" t="s">
        <v>2319</v>
      </c>
      <c r="C219" t="s">
        <v>2319</v>
      </c>
      <c r="D219" t="s">
        <v>2319</v>
      </c>
      <c r="E219" t="s">
        <v>2319</v>
      </c>
      <c r="F219" t="s">
        <v>2319</v>
      </c>
    </row>
    <row r="220" spans="1:8" x14ac:dyDescent="0.2">
      <c r="A220" t="s">
        <v>4885</v>
      </c>
      <c r="B220" t="s">
        <v>5775</v>
      </c>
      <c r="C220" t="s">
        <v>5776</v>
      </c>
      <c r="D220" t="s">
        <v>5811</v>
      </c>
      <c r="E220" t="s">
        <v>5778</v>
      </c>
      <c r="F220" t="s">
        <v>5779</v>
      </c>
    </row>
    <row r="221" spans="1:8" x14ac:dyDescent="0.2">
      <c r="A221" t="s">
        <v>5780</v>
      </c>
      <c r="B221" t="s">
        <v>5781</v>
      </c>
      <c r="C221" t="s">
        <v>5782</v>
      </c>
      <c r="D221" t="s">
        <v>5783</v>
      </c>
      <c r="E221" t="s">
        <v>5784</v>
      </c>
      <c r="F221" t="s">
        <v>5812</v>
      </c>
    </row>
  </sheetData>
  <phoneticPr fontId="0" type="noConversion"/>
  <pageMargins left="0.75" right="0.75" top="0.64" bottom="0.67" header="0.5" footer="0.5"/>
  <pageSetup scale="64" orientation="portrait" r:id="rId1"/>
  <headerFooter alignWithMargins="0">
    <oddFooter>&amp;L&amp;F  &amp;D</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ransitionEvaluation="1" transitionEntry="1" codeName="Sheet22">
    <pageSetUpPr fitToPage="1"/>
  </sheetPr>
  <dimension ref="A1:AV120"/>
  <sheetViews>
    <sheetView workbookViewId="0">
      <selection activeCell="AI11" sqref="AI11"/>
    </sheetView>
  </sheetViews>
  <sheetFormatPr defaultColWidth="12.5703125" defaultRowHeight="15" x14ac:dyDescent="0.2"/>
  <cols>
    <col min="1" max="1" width="48.5703125" style="2" customWidth="1"/>
    <col min="2" max="2" width="15.85546875" style="2" bestFit="1" customWidth="1"/>
    <col min="3" max="4" width="13" style="2" bestFit="1" customWidth="1"/>
    <col min="5" max="9" width="12.5703125" style="2" bestFit="1" customWidth="1"/>
    <col min="10" max="10" width="16.140625" style="2" customWidth="1"/>
    <col min="11" max="11" width="12.5703125" style="2" bestFit="1" customWidth="1"/>
    <col min="12" max="12" width="12.5703125" style="2"/>
    <col min="13" max="13" width="51" style="2" customWidth="1"/>
    <col min="14" max="14" width="12.5703125" style="2"/>
    <col min="15" max="15" width="13" style="2" bestFit="1" customWidth="1"/>
    <col min="16" max="16" width="14.28515625" style="2" bestFit="1" customWidth="1"/>
    <col min="17" max="17" width="12.5703125" style="2"/>
    <col min="18" max="19" width="13.5703125" style="2" customWidth="1"/>
    <col min="20" max="21" width="12.5703125" style="2"/>
    <col min="22" max="22" width="31.85546875" style="2" customWidth="1"/>
    <col min="23" max="27" width="12.5703125" style="2"/>
    <col min="28" max="28" width="13.28515625" style="2" bestFit="1" customWidth="1"/>
    <col min="29" max="29" width="12.5703125" style="2"/>
    <col min="30" max="30" width="49.5703125" style="2" customWidth="1"/>
    <col min="31" max="32" width="12.5703125" style="2"/>
    <col min="33" max="33" width="14" style="2" customWidth="1"/>
    <col min="34" max="34" width="12.5703125" style="2"/>
    <col min="35" max="37" width="18.28515625" style="2" bestFit="1" customWidth="1"/>
    <col min="38" max="16384" width="12.5703125" style="2"/>
  </cols>
  <sheetData>
    <row r="1" spans="1:48" ht="15.75" x14ac:dyDescent="0.25">
      <c r="A1" s="1" t="s">
        <v>5813</v>
      </c>
      <c r="F1" s="6" t="s">
        <v>125</v>
      </c>
      <c r="G1" s="6" t="s">
        <v>125</v>
      </c>
      <c r="H1" s="6" t="s">
        <v>125</v>
      </c>
      <c r="I1" s="6" t="s">
        <v>125</v>
      </c>
      <c r="J1" s="6" t="s">
        <v>125</v>
      </c>
      <c r="K1" s="6" t="s">
        <v>125</v>
      </c>
      <c r="M1" s="1" t="s">
        <v>5814</v>
      </c>
      <c r="Q1" s="6" t="s">
        <v>125</v>
      </c>
      <c r="R1" s="6" t="s">
        <v>125</v>
      </c>
      <c r="S1" s="6" t="s">
        <v>125</v>
      </c>
      <c r="V1" s="1" t="s">
        <v>5815</v>
      </c>
      <c r="Z1" s="6" t="s">
        <v>125</v>
      </c>
      <c r="AA1" s="6" t="s">
        <v>125</v>
      </c>
      <c r="AB1" s="6" t="s">
        <v>125</v>
      </c>
      <c r="AD1" s="1" t="s">
        <v>194</v>
      </c>
      <c r="AH1" s="6" t="s">
        <v>125</v>
      </c>
      <c r="AI1" s="6" t="s">
        <v>125</v>
      </c>
      <c r="AJ1" s="6" t="s">
        <v>125</v>
      </c>
      <c r="AK1" s="6" t="s">
        <v>125</v>
      </c>
      <c r="AL1" s="6" t="s">
        <v>125</v>
      </c>
      <c r="AM1" s="6" t="s">
        <v>125</v>
      </c>
      <c r="AN1" s="6" t="s">
        <v>125</v>
      </c>
      <c r="AO1" s="6" t="s">
        <v>125</v>
      </c>
      <c r="AP1" s="6"/>
      <c r="AQ1" s="6"/>
      <c r="AR1" s="6"/>
      <c r="AS1" s="6"/>
      <c r="AT1" s="6"/>
      <c r="AU1" s="6"/>
      <c r="AV1" s="6"/>
    </row>
    <row r="2" spans="1:48" x14ac:dyDescent="0.2">
      <c r="A2" s="2" t="s">
        <v>197</v>
      </c>
      <c r="I2" s="7"/>
      <c r="K2" s="545">
        <f ca="1">NOW()</f>
        <v>44773.562242361113</v>
      </c>
      <c r="M2" s="2" t="s">
        <v>197</v>
      </c>
      <c r="Q2" s="7"/>
      <c r="V2" s="2" t="s">
        <v>197</v>
      </c>
      <c r="Z2" s="7"/>
      <c r="AD2" s="2" t="s">
        <v>197</v>
      </c>
      <c r="AI2" s="1728" t="s">
        <v>5816</v>
      </c>
      <c r="AJ2" s="1728"/>
      <c r="AK2" s="1728">
        <f>2000/(2000+14000)</f>
        <v>0.125</v>
      </c>
      <c r="AM2" s="7"/>
      <c r="AO2" s="545">
        <f>'1'!$L$2</f>
        <v>44663.592256944445</v>
      </c>
      <c r="AS2" s="7"/>
      <c r="AV2" s="545"/>
    </row>
    <row r="3" spans="1:48" x14ac:dyDescent="0.2">
      <c r="A3" s="2" t="s">
        <v>122</v>
      </c>
      <c r="B3" s="157" t="str">
        <f>Input_Harvestnew!$B$3</f>
        <v>bc-Coho2229</v>
      </c>
      <c r="K3" s="546">
        <f ca="1">NOW()</f>
        <v>44773.562242361113</v>
      </c>
      <c r="M3" s="2" t="s">
        <v>122</v>
      </c>
      <c r="N3" s="157" t="str">
        <f>Input_Harvestnew!$B$3</f>
        <v>bc-Coho2229</v>
      </c>
      <c r="V3" s="2" t="s">
        <v>122</v>
      </c>
      <c r="W3" s="157" t="str">
        <f>Input_Harvestnew!$B$3</f>
        <v>bc-Coho2229</v>
      </c>
      <c r="AD3" s="2" t="s">
        <v>122</v>
      </c>
      <c r="AE3" s="157" t="str">
        <f>Input_Harvestnew!$B$3</f>
        <v>bc-Coho2229</v>
      </c>
      <c r="AI3" s="1728" t="s">
        <v>5817</v>
      </c>
      <c r="AJ3" s="1728"/>
      <c r="AK3" s="1728">
        <f>14000/(2000+14000)</f>
        <v>0.875</v>
      </c>
      <c r="AO3" s="546">
        <f>'1'!$L$3</f>
        <v>44663.592256944445</v>
      </c>
      <c r="AV3" s="546"/>
    </row>
    <row r="4" spans="1:48" x14ac:dyDescent="0.2">
      <c r="A4" s="2" t="s">
        <v>123</v>
      </c>
      <c r="B4" s="2" t="str">
        <f>Input_Harvestnew!$B$4</f>
        <v>Final PFMC April - Adopted+NOF</v>
      </c>
      <c r="M4" s="2" t="s">
        <v>123</v>
      </c>
      <c r="N4" s="2" t="str">
        <f>Input_Harvestnew!$B$4</f>
        <v>Final PFMC April - Adopted+NOF</v>
      </c>
      <c r="V4" s="2" t="s">
        <v>123</v>
      </c>
      <c r="W4" s="2" t="str">
        <f>Input_Harvestnew!$B$4</f>
        <v>Final PFMC April - Adopted+NOF</v>
      </c>
      <c r="AD4" s="2" t="s">
        <v>123</v>
      </c>
      <c r="AE4" s="2" t="str">
        <f>Input_Harvestnew!$B$4</f>
        <v>Final PFMC April - Adopted+NOF</v>
      </c>
    </row>
    <row r="5" spans="1:48" x14ac:dyDescent="0.2">
      <c r="A5" s="505" t="s">
        <v>204</v>
      </c>
      <c r="M5" s="5" t="s">
        <v>204</v>
      </c>
      <c r="V5" s="5" t="s">
        <v>204</v>
      </c>
      <c r="AD5" s="505" t="s">
        <v>204</v>
      </c>
    </row>
    <row r="6" spans="1:48" ht="15.75" thickBot="1" x14ac:dyDescent="0.25">
      <c r="A6" s="6" t="s">
        <v>125</v>
      </c>
      <c r="B6" s="6" t="s">
        <v>125</v>
      </c>
      <c r="C6" s="6" t="s">
        <v>125</v>
      </c>
      <c r="D6" s="6" t="s">
        <v>125</v>
      </c>
      <c r="E6" s="6" t="s">
        <v>125</v>
      </c>
      <c r="F6" s="6" t="s">
        <v>125</v>
      </c>
      <c r="G6" s="6" t="s">
        <v>125</v>
      </c>
      <c r="H6" s="6" t="s">
        <v>125</v>
      </c>
      <c r="I6" s="6" t="s">
        <v>125</v>
      </c>
      <c r="J6" s="6" t="s">
        <v>125</v>
      </c>
      <c r="K6" s="6" t="s">
        <v>125</v>
      </c>
      <c r="M6" s="6" t="s">
        <v>125</v>
      </c>
      <c r="N6" s="6" t="s">
        <v>125</v>
      </c>
      <c r="O6" s="6" t="s">
        <v>125</v>
      </c>
      <c r="P6" s="6" t="s">
        <v>125</v>
      </c>
      <c r="Q6" s="6" t="s">
        <v>125</v>
      </c>
      <c r="R6" s="6" t="s">
        <v>125</v>
      </c>
      <c r="S6" s="6" t="s">
        <v>125</v>
      </c>
      <c r="V6" s="6" t="s">
        <v>125</v>
      </c>
      <c r="W6" s="6" t="s">
        <v>125</v>
      </c>
      <c r="X6" s="6" t="s">
        <v>125</v>
      </c>
      <c r="Y6" s="6" t="s">
        <v>125</v>
      </c>
      <c r="Z6" s="6" t="s">
        <v>125</v>
      </c>
      <c r="AA6" s="6" t="s">
        <v>125</v>
      </c>
      <c r="AB6" s="6" t="s">
        <v>125</v>
      </c>
      <c r="AD6" s="6" t="s">
        <v>125</v>
      </c>
      <c r="AE6" s="6" t="s">
        <v>125</v>
      </c>
      <c r="AF6" s="6" t="s">
        <v>125</v>
      </c>
      <c r="AG6" s="6" t="s">
        <v>125</v>
      </c>
      <c r="AH6" s="6" t="s">
        <v>125</v>
      </c>
      <c r="AI6" s="6" t="s">
        <v>125</v>
      </c>
      <c r="AJ6" s="6" t="s">
        <v>125</v>
      </c>
      <c r="AK6" s="6" t="s">
        <v>125</v>
      </c>
      <c r="AL6" s="6" t="s">
        <v>125</v>
      </c>
      <c r="AM6" s="6" t="s">
        <v>125</v>
      </c>
      <c r="AN6" s="6" t="s">
        <v>125</v>
      </c>
      <c r="AO6" s="6" t="s">
        <v>125</v>
      </c>
    </row>
    <row r="7" spans="1:48" ht="15.75" x14ac:dyDescent="0.25">
      <c r="A7" s="145" t="s">
        <v>5818</v>
      </c>
      <c r="B7" s="89" t="s">
        <v>205</v>
      </c>
      <c r="C7" s="25"/>
      <c r="D7" s="95"/>
      <c r="E7" s="2546" t="s">
        <v>206</v>
      </c>
      <c r="F7" s="2543"/>
      <c r="G7" s="2545"/>
      <c r="H7" s="2125" t="s">
        <v>207</v>
      </c>
      <c r="I7" s="2124" t="s">
        <v>208</v>
      </c>
      <c r="J7" s="2124" t="s">
        <v>5819</v>
      </c>
      <c r="K7" s="95"/>
      <c r="M7" s="144" t="s">
        <v>5818</v>
      </c>
      <c r="N7" s="2546" t="s">
        <v>210</v>
      </c>
      <c r="O7" s="2542"/>
      <c r="P7" s="2488"/>
      <c r="Q7" s="2543" t="s">
        <v>5820</v>
      </c>
      <c r="R7" s="2543"/>
      <c r="S7" s="2545"/>
      <c r="V7" s="144" t="s">
        <v>5818</v>
      </c>
      <c r="W7" s="2546" t="s">
        <v>217</v>
      </c>
      <c r="X7" s="2543"/>
      <c r="Y7" s="2545"/>
      <c r="Z7" s="2543" t="s">
        <v>218</v>
      </c>
      <c r="AA7" s="2543"/>
      <c r="AB7" s="2545"/>
      <c r="AD7" s="89"/>
      <c r="AE7" s="2123" t="s">
        <v>212</v>
      </c>
      <c r="AF7" s="2124" t="s">
        <v>213</v>
      </c>
      <c r="AG7" s="2124" t="s">
        <v>5821</v>
      </c>
      <c r="AH7" s="25" t="s">
        <v>212</v>
      </c>
      <c r="AI7" s="2541" t="s">
        <v>215</v>
      </c>
      <c r="AJ7" s="2543"/>
      <c r="AK7" s="2543"/>
      <c r="AL7" s="2544"/>
      <c r="AM7" s="2541" t="s">
        <v>216</v>
      </c>
      <c r="AN7" s="2542"/>
      <c r="AO7" s="2488"/>
    </row>
    <row r="8" spans="1:48" ht="15.75" thickBot="1" x14ac:dyDescent="0.25">
      <c r="A8" s="1729" t="s">
        <v>233</v>
      </c>
      <c r="B8" s="1730" t="s">
        <v>234</v>
      </c>
      <c r="C8" s="1497" t="s">
        <v>235</v>
      </c>
      <c r="D8" s="1911" t="s">
        <v>236</v>
      </c>
      <c r="E8" s="1730" t="s">
        <v>237</v>
      </c>
      <c r="F8" s="1497" t="s">
        <v>240</v>
      </c>
      <c r="G8" s="1911" t="s">
        <v>236</v>
      </c>
      <c r="H8" s="1730" t="s">
        <v>237</v>
      </c>
      <c r="I8" s="1497" t="s">
        <v>237</v>
      </c>
      <c r="J8" s="1497" t="s">
        <v>240</v>
      </c>
      <c r="K8" s="1911" t="s">
        <v>236</v>
      </c>
      <c r="M8" s="1731" t="s">
        <v>233</v>
      </c>
      <c r="N8" s="1731" t="s">
        <v>237</v>
      </c>
      <c r="O8" s="1732" t="s">
        <v>240</v>
      </c>
      <c r="P8" s="1733" t="s">
        <v>236</v>
      </c>
      <c r="Q8" s="1732" t="s">
        <v>237</v>
      </c>
      <c r="R8" s="1732" t="s">
        <v>240</v>
      </c>
      <c r="S8" s="1733" t="s">
        <v>236</v>
      </c>
      <c r="V8" s="1731" t="s">
        <v>233</v>
      </c>
      <c r="W8" s="1731" t="s">
        <v>237</v>
      </c>
      <c r="X8" s="1732" t="s">
        <v>240</v>
      </c>
      <c r="Y8" s="1733" t="s">
        <v>236</v>
      </c>
      <c r="Z8" s="1732" t="s">
        <v>237</v>
      </c>
      <c r="AA8" s="1732" t="s">
        <v>240</v>
      </c>
      <c r="AB8" s="1733" t="s">
        <v>236</v>
      </c>
      <c r="AD8" s="1731" t="s">
        <v>233</v>
      </c>
      <c r="AE8" s="1734" t="s">
        <v>237</v>
      </c>
      <c r="AF8" s="1732" t="s">
        <v>237</v>
      </c>
      <c r="AG8" s="1732" t="s">
        <v>240</v>
      </c>
      <c r="AH8" s="1732" t="s">
        <v>236</v>
      </c>
      <c r="AI8" s="1734" t="s">
        <v>237</v>
      </c>
      <c r="AJ8" s="1732" t="s">
        <v>238</v>
      </c>
      <c r="AK8" s="1732" t="s">
        <v>239</v>
      </c>
      <c r="AL8" s="1732" t="s">
        <v>236</v>
      </c>
      <c r="AM8" s="1734" t="s">
        <v>237</v>
      </c>
      <c r="AN8" s="1732" t="s">
        <v>240</v>
      </c>
      <c r="AO8" s="1733" t="s">
        <v>236</v>
      </c>
      <c r="AP8" s="1224"/>
      <c r="AQ8" s="1224"/>
      <c r="AR8" s="1224"/>
      <c r="AS8" s="1224"/>
      <c r="AT8" s="1224"/>
      <c r="AU8" s="1224"/>
      <c r="AV8" s="1224"/>
    </row>
    <row r="9" spans="1:48" ht="15.75" x14ac:dyDescent="0.25">
      <c r="A9" s="146" t="s">
        <v>254</v>
      </c>
      <c r="B9" s="1960"/>
      <c r="C9" s="2326"/>
      <c r="D9" s="1961"/>
      <c r="E9" s="1735">
        <f>ERSK</f>
        <v>0.43236088201016915</v>
      </c>
      <c r="F9" s="1736">
        <f>(SUM('2'!H15:H61)-SUM('2'!E15:E61))/((SUM('2'!H9,-'2'!E9)+SUM('2'!H15:H61))-SUM('2'!E15:E61))</f>
        <v>0.61051718593788329</v>
      </c>
      <c r="G9" s="1737">
        <f>SUM('2'!H15:H61)/SUM('2'!H15:H61,'2'!H9)</f>
        <v>0.46975396933636776</v>
      </c>
      <c r="H9" s="1735">
        <f>SUM(ERST)</f>
        <v>0.359294371774871</v>
      </c>
      <c r="I9" s="1507">
        <f>SUM(ERSN)</f>
        <v>0.33508592344438243</v>
      </c>
      <c r="J9" s="1736">
        <f>(SUM('2'!M15:M61)-SUM('2'!I15:J61))/((SUM('2'!M9,-'2'!I9,-'2'!J9)+SUM('2'!M15:M61))-SUM('2'!I15:J61))</f>
        <v>0.54223102737233653</v>
      </c>
      <c r="K9" s="1737">
        <f>SUM('2'!M15:M61)/SUM('2'!M15:M61,'2'!M9)</f>
        <v>0.38524446623704117</v>
      </c>
      <c r="L9" s="1049"/>
      <c r="M9" s="92" t="s">
        <v>254</v>
      </c>
      <c r="N9" s="1735">
        <f>SUM(ERHC)</f>
        <v>0.44080405971325809</v>
      </c>
      <c r="O9" s="1736">
        <f>(SUM('2'!S15:S61)-SUM('2'!P15:P61))/((SUM('2'!S9,-'2'!P9)+SUM('2'!S15:S61))-SUM('2'!P15:P61))</f>
        <v>0.71253513209668351</v>
      </c>
      <c r="P9" s="1737">
        <f>SUM('2'!S15:S61)/SUM('2'!S9,'2'!S15:S61)</f>
        <v>0.6457329037571764</v>
      </c>
      <c r="Q9" s="1507">
        <f>SUM(ERJDF)</f>
        <v>0.10942622950819672</v>
      </c>
      <c r="R9" s="1736">
        <f>(SUM('2'!W15:W61)-SUM('2'!T15:T61))/((SUM('2'!W9,-'2'!T9)+SUM('2'!W15:W61))-SUM('2'!T15:T61))</f>
        <v>0.504718820684814</v>
      </c>
      <c r="S9" s="1737">
        <f>SUM('2'!W15:W61)/SUM('2'!W63,'2'!W9)</f>
        <v>0.36105456531453256</v>
      </c>
      <c r="T9" s="1049"/>
      <c r="U9" s="1049"/>
      <c r="V9" s="92" t="s">
        <v>254</v>
      </c>
      <c r="W9" s="1735">
        <f>SUM(ERSPS)</f>
        <v>0.49150229657969963</v>
      </c>
      <c r="X9" s="1736">
        <f>(SUM('2'!AT15:AT61)-SUM('2'!AQ15:AQ61))/((SUM('2'!AT9,-'2'!AQ9)+SUM('2'!AT15:AT61))-SUM('2'!AQ15:AQ61))</f>
        <v>0.6704936797105352</v>
      </c>
      <c r="Y9" s="1737">
        <f>SUM('2'!AT15:AT61)/SUM('2'!AT15:AT61,'2'!AT9)</f>
        <v>0.64742987573749955</v>
      </c>
      <c r="Z9" s="1507">
        <f>SUM(ERNS)</f>
        <v>0.57369795245293387</v>
      </c>
      <c r="AA9" s="1736">
        <f>(SUM('2'!AX15:AX61)-SUM('2'!AU15:AU61))/((SUM('2'!AX9,-'2'!AU9)+SUM('2'!AX15:AX61))-SUM('2'!AU15:AU61))</f>
        <v>0.79069798442998829</v>
      </c>
      <c r="AB9" s="1737">
        <f>SUM('2'!AX15:AX61)/SUM('2'!AX15:AX61,'2'!AX9)</f>
        <v>0.71982298184037841</v>
      </c>
      <c r="AC9" s="20"/>
      <c r="AD9" s="143" t="s">
        <v>254</v>
      </c>
      <c r="AE9" s="1738"/>
      <c r="AF9" s="1739"/>
      <c r="AG9" s="1739"/>
      <c r="AH9" s="1739"/>
      <c r="AI9" s="1738"/>
      <c r="AJ9" s="1739"/>
      <c r="AK9" s="1739"/>
      <c r="AL9" s="1740"/>
      <c r="AM9" s="1739"/>
      <c r="AN9" s="1739"/>
      <c r="AO9" s="1740"/>
      <c r="AP9" s="20"/>
      <c r="AQ9" s="20"/>
      <c r="AR9" s="20"/>
      <c r="AS9" s="20"/>
      <c r="AT9" s="20"/>
      <c r="AU9" s="20"/>
      <c r="AV9" s="20"/>
    </row>
    <row r="10" spans="1:48" x14ac:dyDescent="0.2">
      <c r="A10" s="27" t="s">
        <v>5822</v>
      </c>
      <c r="B10" s="1741"/>
      <c r="C10" s="1049"/>
      <c r="D10" s="1742"/>
      <c r="E10" s="1743">
        <f>E34/('2'!E9+SUM('2'!E15:E61))</f>
        <v>0.13910658473394308</v>
      </c>
      <c r="F10" s="1736">
        <f>F34/((SUM('2'!H9,-'2'!E9)+SUM('2'!H15:H61))-SUM('2'!E15:E61))</f>
        <v>0.37120851175545533</v>
      </c>
      <c r="G10" s="1737"/>
      <c r="H10" s="1743">
        <f>H34/('2'!I9+SUM('2'!I15:I61))</f>
        <v>7.9283171326853072E-2</v>
      </c>
      <c r="I10" s="1506">
        <f>I34/('2'!J9+SUM('2'!J15:J61))</f>
        <v>5.8052608722625472E-2</v>
      </c>
      <c r="J10" s="1736">
        <f>J34/((SUM('2'!M9,-'2'!I9,-'2'!J9)+SUM('2'!M15:M61))-SUM('2'!I15:J61))</f>
        <v>0.25423523228075851</v>
      </c>
      <c r="K10" s="1737"/>
      <c r="L10" s="1049"/>
      <c r="M10" s="26" t="s">
        <v>5822</v>
      </c>
      <c r="N10" s="1743">
        <f>N34/('2'!P9+SUM('2'!P15:P61))</f>
        <v>0.21692861013942946</v>
      </c>
      <c r="O10" s="1736">
        <f>O34/((SUM('2'!S9,-'2'!P9)+SUM('2'!S15:S61))-SUM('2'!P15:P61))</f>
        <v>0.39479643459407371</v>
      </c>
      <c r="P10" s="1737"/>
      <c r="Q10" s="1506">
        <f>Q34/('2'!T9+SUM('2'!T15:T61))</f>
        <v>3.825136612021858E-2</v>
      </c>
      <c r="R10" s="1736">
        <f>R34/((SUM('2'!W9,-'2'!T9)+SUM('2'!W15:W61))-SUM('2'!T15:T61))</f>
        <v>0.35605646985414552</v>
      </c>
      <c r="S10" s="1737"/>
      <c r="T10" s="1049"/>
      <c r="U10" s="1049"/>
      <c r="V10" s="26" t="s">
        <v>5822</v>
      </c>
      <c r="W10" s="1743">
        <f>W34/('2'!AQ9+SUM('2'!AQ15:AQ61))</f>
        <v>0.18593436115129516</v>
      </c>
      <c r="X10" s="1736">
        <f>X34/((SUM('2'!AT9,-'2'!AQ9)+SUM('2'!AT15:AT61))-SUM('2'!AQ15:AQ61))</f>
        <v>0.27738690519559511</v>
      </c>
      <c r="Y10" s="1737"/>
      <c r="Z10" s="1506">
        <f>Z34/('2'!AU9+SUM('2'!AU15:AU61))</f>
        <v>0.11949979387110073</v>
      </c>
      <c r="AA10" s="1736">
        <f>AA34/((SUM('2'!AX9,-'2'!AU9)+SUM('2'!AX15:AX61))-SUM('2'!AU15:AU61))</f>
        <v>0.20259677935373788</v>
      </c>
      <c r="AB10" s="1737"/>
      <c r="AC10" s="20"/>
      <c r="AD10" s="27" t="s">
        <v>5822</v>
      </c>
      <c r="AE10" s="1744">
        <f>AE27/('4'!$N$21+'4'!$N$15)</f>
        <v>0.14410076805926667</v>
      </c>
      <c r="AF10" s="147">
        <f>AF27/('4'!$O$21+'4'!$O$15)</f>
        <v>0.18342380892126506</v>
      </c>
      <c r="AG10" s="1736">
        <f>AG27/(SUM(AG29,(SUM('2'!AD15:AD39)-SUM('2'!Z15:AA39))))</f>
        <v>0.22391479882789925</v>
      </c>
      <c r="AH10" s="20"/>
      <c r="AI10" s="1744">
        <f>AI27/('4'!$P$21+'4'!P15)</f>
        <v>0.13475896696266768</v>
      </c>
      <c r="AJ10" s="147" t="e">
        <f>SUM('2'!AF17:AF18,'2'!AF21:AF22,'2'!AF24:AF28,'2'!AF31:AF33,'2'!AF34,'2'!AF39,'2'!AF37)/SUM('2'!AF9:AF39)</f>
        <v>#DIV/0!</v>
      </c>
      <c r="AK10" s="147">
        <f>SUM(AK27)/SUM('2'!AG9:AG39)</f>
        <v>0.22408157902853215</v>
      </c>
      <c r="AL10" s="1745"/>
      <c r="AM10" s="147">
        <f>AM27/SUM('2'!AK9,'2'!AK15:AK39)</f>
        <v>0.16933397263252367</v>
      </c>
      <c r="AN10" s="1736">
        <f>AN27/(SUM(AN29,(SUM('2'!AN15:AN39)-SUM('2'!AK15:AK39))))</f>
        <v>0.28002153933444857</v>
      </c>
      <c r="AO10" s="1745"/>
      <c r="AP10" s="20"/>
      <c r="AQ10" s="20"/>
      <c r="AR10" s="20"/>
      <c r="AS10" s="20"/>
      <c r="AT10" s="20"/>
      <c r="AU10" s="20"/>
      <c r="AV10" s="20"/>
    </row>
    <row r="11" spans="1:48" x14ac:dyDescent="0.2">
      <c r="A11" s="27" t="s">
        <v>5823</v>
      </c>
      <c r="B11" s="1741"/>
      <c r="C11" s="1049"/>
      <c r="D11" s="1742"/>
      <c r="E11" s="1743">
        <f>E35/('2'!E9+SUM('2'!E15:E61))</f>
        <v>0.25701981263999407</v>
      </c>
      <c r="F11" s="1736">
        <f>F35/((SUM('2'!H9,-'2'!E9)+SUM('2'!H15:H61))-SUM('2'!E15:E61))</f>
        <v>0.15592099133513462</v>
      </c>
      <c r="G11" s="1737"/>
      <c r="H11" s="1743">
        <f>H35/('2'!I9+SUM('2'!I15:I61))</f>
        <v>0.26933077323092924</v>
      </c>
      <c r="I11" s="1506">
        <f>I35/('2'!J9+SUM('2'!J15:J61))</f>
        <v>0.26639369687945902</v>
      </c>
      <c r="J11" s="1736">
        <f>J35/((SUM('2'!M9,-'2'!I9,-'2'!J9)+SUM('2'!M15:M61))-SUM('2'!I15:J61))</f>
        <v>0.26535398051186676</v>
      </c>
      <c r="K11" s="1737"/>
      <c r="L11" s="1049"/>
      <c r="M11" s="26" t="s">
        <v>5823</v>
      </c>
      <c r="N11" s="1743">
        <f>N35/('2'!P9+SUM('2'!P15:P61))</f>
        <v>0.20397103020150761</v>
      </c>
      <c r="O11" s="1736">
        <f>O35/((SUM('2'!S9,-'2'!P9)+SUM('2'!S15:S61))-SUM('2'!P15:P61))</f>
        <v>0.26599213041034286</v>
      </c>
      <c r="P11" s="1737"/>
      <c r="Q11" s="1506">
        <f>Q35/('2'!T9+SUM('2'!T15:T61))</f>
        <v>5.614754098360656E-2</v>
      </c>
      <c r="R11" s="1736">
        <f>R35/((SUM('2'!W9,-'2'!T9)+SUM('2'!W15:W61))-SUM('2'!T15:T61))</f>
        <v>0.11504562826612588</v>
      </c>
      <c r="S11" s="1737"/>
      <c r="T11" s="1049"/>
      <c r="U11" s="1049"/>
      <c r="V11" s="26" t="s">
        <v>5823</v>
      </c>
      <c r="W11" s="1743">
        <f>W35/('2'!AQ9+SUM('2'!AQ15:AQ61))</f>
        <v>0.29346613355917228</v>
      </c>
      <c r="X11" s="1736">
        <f>X35/((SUM('2'!AT9,-'2'!AQ9)+SUM('2'!AT15:AT61))-SUM('2'!AQ15:AQ61))</f>
        <v>0.36353055551499103</v>
      </c>
      <c r="Y11" s="1737"/>
      <c r="Z11" s="1506">
        <f>Z35/('2'!AU9+SUM('2'!AU15:AU61))</f>
        <v>0.42913288443039715</v>
      </c>
      <c r="AA11" s="1736">
        <f>AA35/((SUM('2'!AX9,-'2'!AU9)+SUM('2'!AX15:AX61))-SUM('2'!AU15:AU61))</f>
        <v>0.48372347232590379</v>
      </c>
      <c r="AB11" s="1737"/>
      <c r="AC11" s="20"/>
      <c r="AD11" s="27" t="s">
        <v>5823</v>
      </c>
      <c r="AE11" s="1744">
        <f>AE28/('4'!$N$21+'4'!$N$15)</f>
        <v>0.22250244236167233</v>
      </c>
      <c r="AF11" s="147">
        <f>AF28/('4'!$O$21+'4'!$O$15)</f>
        <v>0.32820977488652309</v>
      </c>
      <c r="AG11" s="1736">
        <f>AG28/(SUM(AG29,((SUM('2'!AD15:AD39)-SUM('2'!Z15:AA39)))))</f>
        <v>0.12687344277515575</v>
      </c>
      <c r="AH11" s="1049"/>
      <c r="AI11" s="1744">
        <f>AI28/('4'!$P$21+'4'!P15)</f>
        <v>0.20724164946033477</v>
      </c>
      <c r="AJ11" s="147" t="e">
        <f>SUM('2'!AF20,'2'!AF38)/SUM('2'!AF9:AF39)</f>
        <v>#DIV/0!</v>
      </c>
      <c r="AK11" s="147">
        <f>AK28/SUM('2'!AG9:AG39)</f>
        <v>0.2958463332305884</v>
      </c>
      <c r="AL11" s="1737"/>
      <c r="AM11" s="147">
        <f>AM28/SUM('2'!AK9,'2'!AK15:AK39)</f>
        <v>0.17516425646469028</v>
      </c>
      <c r="AN11" s="1736">
        <f>AN28/(SUM(AN29,(SUM('2'!AN15:AN39)-SUM('2'!AK15:AK39))))</f>
        <v>0.12596646824940225</v>
      </c>
      <c r="AO11" s="1737"/>
      <c r="AP11" s="20"/>
      <c r="AQ11" s="20"/>
      <c r="AR11" s="20"/>
      <c r="AS11" s="20"/>
      <c r="AT11" s="20"/>
      <c r="AU11" s="20"/>
      <c r="AV11" s="20"/>
    </row>
    <row r="12" spans="1:48" ht="15.75" thickBot="1" x14ac:dyDescent="0.25">
      <c r="A12" s="1746" t="s">
        <v>129</v>
      </c>
      <c r="B12" s="1747" t="s">
        <v>129</v>
      </c>
      <c r="C12" s="1748" t="s">
        <v>129</v>
      </c>
      <c r="D12" s="1749" t="s">
        <v>129</v>
      </c>
      <c r="E12" s="1747" t="s">
        <v>129</v>
      </c>
      <c r="F12" s="1748" t="s">
        <v>129</v>
      </c>
      <c r="G12" s="1749" t="s">
        <v>129</v>
      </c>
      <c r="H12" s="1747" t="s">
        <v>129</v>
      </c>
      <c r="I12" s="1748" t="s">
        <v>129</v>
      </c>
      <c r="J12" s="1748" t="s">
        <v>129</v>
      </c>
      <c r="K12" s="1749" t="s">
        <v>129</v>
      </c>
      <c r="L12" s="1049"/>
      <c r="M12" s="1747" t="s">
        <v>129</v>
      </c>
      <c r="N12" s="1747" t="s">
        <v>129</v>
      </c>
      <c r="O12" s="1748" t="s">
        <v>129</v>
      </c>
      <c r="P12" s="1749" t="s">
        <v>129</v>
      </c>
      <c r="Q12" s="1748" t="s">
        <v>129</v>
      </c>
      <c r="R12" s="1748" t="s">
        <v>129</v>
      </c>
      <c r="S12" s="1749" t="s">
        <v>129</v>
      </c>
      <c r="T12" s="1049"/>
      <c r="U12" s="1049"/>
      <c r="V12" s="1747" t="s">
        <v>129</v>
      </c>
      <c r="W12" s="1747" t="s">
        <v>129</v>
      </c>
      <c r="X12" s="1748" t="s">
        <v>129</v>
      </c>
      <c r="Y12" s="1749" t="s">
        <v>129</v>
      </c>
      <c r="Z12" s="1748" t="s">
        <v>129</v>
      </c>
      <c r="AA12" s="1748" t="s">
        <v>129</v>
      </c>
      <c r="AB12" s="1749" t="s">
        <v>129</v>
      </c>
      <c r="AC12" s="1049"/>
      <c r="AD12" s="1746" t="s">
        <v>129</v>
      </c>
      <c r="AE12" s="1747" t="s">
        <v>129</v>
      </c>
      <c r="AF12" s="1748" t="s">
        <v>129</v>
      </c>
      <c r="AG12" s="1748" t="s">
        <v>129</v>
      </c>
      <c r="AH12" s="1748" t="s">
        <v>129</v>
      </c>
      <c r="AI12" s="1750" t="s">
        <v>129</v>
      </c>
      <c r="AJ12" s="6" t="s">
        <v>129</v>
      </c>
      <c r="AK12" s="6" t="s">
        <v>129</v>
      </c>
      <c r="AL12" s="1751" t="s">
        <v>129</v>
      </c>
      <c r="AM12" s="6" t="s">
        <v>129</v>
      </c>
      <c r="AN12" s="6" t="s">
        <v>129</v>
      </c>
      <c r="AO12" s="1751" t="s">
        <v>129</v>
      </c>
      <c r="AP12" s="1049"/>
      <c r="AQ12" s="1049"/>
      <c r="AR12" s="1049"/>
      <c r="AS12" s="1049"/>
      <c r="AT12" s="1049"/>
      <c r="AU12" s="1049"/>
      <c r="AV12" s="1049"/>
    </row>
    <row r="13" spans="1:48" ht="15.75" x14ac:dyDescent="0.25">
      <c r="A13" s="110" t="s">
        <v>5824</v>
      </c>
      <c r="B13" s="1752"/>
      <c r="C13" s="1753"/>
      <c r="D13" s="1754"/>
      <c r="E13" s="1752"/>
      <c r="F13" s="1753"/>
      <c r="G13" s="1754"/>
      <c r="H13" s="1752"/>
      <c r="I13" s="1753"/>
      <c r="J13" s="1753"/>
      <c r="K13" s="1754"/>
      <c r="L13" s="1049"/>
      <c r="M13" s="1750"/>
      <c r="N13" s="1750"/>
      <c r="O13" s="6"/>
      <c r="P13" s="1751"/>
      <c r="Q13" s="1750"/>
      <c r="R13" s="6"/>
      <c r="S13" s="1751"/>
      <c r="T13" s="1049"/>
      <c r="U13" s="1049"/>
      <c r="V13" s="1750"/>
      <c r="W13" s="1750"/>
      <c r="X13" s="6"/>
      <c r="Y13" s="1751"/>
      <c r="Z13" s="1750"/>
      <c r="AA13" s="6"/>
      <c r="AB13" s="1751"/>
      <c r="AC13" s="1049"/>
      <c r="AD13" s="1752"/>
      <c r="AE13" s="1741"/>
      <c r="AF13" s="1049"/>
      <c r="AG13" s="1049"/>
      <c r="AH13" s="1049"/>
      <c r="AI13" s="1755"/>
      <c r="AJ13" s="1756"/>
      <c r="AK13" s="1756"/>
      <c r="AL13" s="1757"/>
      <c r="AM13" s="1756"/>
      <c r="AN13" s="1756"/>
      <c r="AO13" s="1757"/>
      <c r="AP13" s="1049"/>
      <c r="AQ13" s="1049"/>
      <c r="AR13" s="1049"/>
      <c r="AS13" s="1049"/>
      <c r="AT13" s="1049"/>
      <c r="AU13" s="1049"/>
      <c r="AV13" s="1049"/>
    </row>
    <row r="14" spans="1:48" ht="15.75" x14ac:dyDescent="0.25">
      <c r="A14" s="92" t="s">
        <v>5825</v>
      </c>
      <c r="B14" s="1758"/>
      <c r="C14" s="1501"/>
      <c r="D14" s="1759"/>
      <c r="E14" s="1758"/>
      <c r="F14" s="1501"/>
      <c r="G14" s="1759"/>
      <c r="H14" s="1758"/>
      <c r="I14" s="1501"/>
      <c r="J14" s="1501"/>
      <c r="K14" s="1759"/>
      <c r="M14" s="92" t="s">
        <v>5826</v>
      </c>
      <c r="N14" s="1758"/>
      <c r="O14" s="1501"/>
      <c r="P14" s="1759"/>
      <c r="Q14" s="1758"/>
      <c r="R14" s="1501"/>
      <c r="S14" s="1759"/>
      <c r="V14" s="92" t="s">
        <v>5826</v>
      </c>
      <c r="W14" s="1758" t="s">
        <v>129</v>
      </c>
      <c r="X14" s="1501" t="s">
        <v>129</v>
      </c>
      <c r="Y14" s="1759" t="s">
        <v>129</v>
      </c>
      <c r="Z14" s="1758" t="s">
        <v>129</v>
      </c>
      <c r="AA14" s="1501" t="s">
        <v>129</v>
      </c>
      <c r="AB14" s="1759" t="s">
        <v>129</v>
      </c>
      <c r="AD14" s="92" t="s">
        <v>5826</v>
      </c>
      <c r="AE14" s="1741"/>
      <c r="AF14" s="6"/>
      <c r="AG14" s="6"/>
      <c r="AH14" s="6"/>
      <c r="AI14" s="1741"/>
      <c r="AJ14" s="6"/>
      <c r="AK14" s="6"/>
      <c r="AL14" s="1751"/>
      <c r="AM14" s="1049"/>
      <c r="AN14" s="6"/>
      <c r="AO14" s="1751"/>
      <c r="AP14" s="20"/>
      <c r="AQ14" s="20"/>
      <c r="AR14" s="20"/>
      <c r="AS14" s="20"/>
      <c r="AT14" s="20"/>
      <c r="AU14" s="20"/>
      <c r="AV14" s="20"/>
    </row>
    <row r="15" spans="1:48" x14ac:dyDescent="0.2">
      <c r="A15" s="26" t="s">
        <v>5822</v>
      </c>
      <c r="B15" s="1760">
        <f>SUM('2'!B16:B18,'2'!B21:B27)</f>
        <v>493502</v>
      </c>
      <c r="C15" s="1761">
        <f>SUM('2'!C16:C18,'2'!C21:C27)</f>
        <v>2035825</v>
      </c>
      <c r="D15" s="1762">
        <f>SUM('2'!D16:D18,'2'!D21:D27)</f>
        <v>2529327</v>
      </c>
      <c r="E15" s="1763">
        <f>SUM('2'!E16:E18,'2'!E21:E27)</f>
        <v>1184</v>
      </c>
      <c r="F15" s="20">
        <f>SUM('2'!H16:H18,'2'!H21:H27)-'NT-Tsummary'!E15</f>
        <v>1162</v>
      </c>
      <c r="G15" s="1764">
        <f>E15+F15</f>
        <v>2346</v>
      </c>
      <c r="H15" s="1760">
        <f>SUM('2'!I16:I18,'2'!I21:I27)</f>
        <v>290</v>
      </c>
      <c r="I15" s="1761">
        <f>SUM('2'!J16:J18,'2'!J21:J27)</f>
        <v>753</v>
      </c>
      <c r="J15" s="20">
        <f>SUM('2'!M16:M18,'2'!M21:M27)-(I15+H15)</f>
        <v>925</v>
      </c>
      <c r="K15" s="1764">
        <f>SUM(H15:J15)</f>
        <v>1968</v>
      </c>
      <c r="M15" s="26" t="s">
        <v>5822</v>
      </c>
      <c r="N15" s="1763">
        <f>SUM('2'!P16:P18,'2'!P21:P27)</f>
        <v>346</v>
      </c>
      <c r="O15" s="20">
        <f>SUM('2'!S16:S18,'2'!S21:S27)-'NT-Tsummary'!N15</f>
        <v>3709</v>
      </c>
      <c r="P15" s="1764">
        <f>N15+O15</f>
        <v>4055</v>
      </c>
      <c r="Q15" s="1760">
        <f>SUM('2'!T16:T18,'2'!T21:T27)</f>
        <v>137</v>
      </c>
      <c r="R15" s="20">
        <f>SUM('2'!W16:W18,'2'!W21:W27)-'NT-Tsummary'!Q15</f>
        <v>496</v>
      </c>
      <c r="S15" s="1764">
        <f>Q15+R15</f>
        <v>633</v>
      </c>
      <c r="V15" s="26" t="s">
        <v>5822</v>
      </c>
      <c r="W15" s="1760">
        <f>SUM('2'!AQ16:AQ18,'2'!AQ21:AQ27)</f>
        <v>418</v>
      </c>
      <c r="X15" s="20">
        <f>SUM('2'!AT16:AT18,'2'!AT21:AT27)-'NT-Tsummary'!W15</f>
        <v>8609</v>
      </c>
      <c r="Y15" s="1764">
        <f>W15+X15</f>
        <v>9027</v>
      </c>
      <c r="Z15" s="1760">
        <f>SUM('2'!AU16:AU18,'2'!AU21:AU27)</f>
        <v>490</v>
      </c>
      <c r="AA15" s="20">
        <f>SUM('2'!AX16:AX18,'2'!AX21:AX27)-'NT-Tsummary'!Z15</f>
        <v>4087</v>
      </c>
      <c r="AB15" s="1764">
        <f>Z15+AA15</f>
        <v>4577</v>
      </c>
      <c r="AD15" s="26" t="s">
        <v>5822</v>
      </c>
      <c r="AE15" s="1765">
        <f>SUM('2'!Z16:Z18,'2'!Z21:Z22,'2'!Z24:Z28)</f>
        <v>302</v>
      </c>
      <c r="AF15" s="20">
        <f>SUM('2'!AA16:AA18,'2'!AA21:AA22,'2'!AA24:AA28)</f>
        <v>277</v>
      </c>
      <c r="AG15" s="1109">
        <f>SUM('2'!AD16:AD18,'2'!AD21:AD22,'2'!AD24:AD28)-AE15</f>
        <v>1557</v>
      </c>
      <c r="AH15" s="1109">
        <f>SUM('2'!AD16:AD18,'2'!AD21:AD22,'2'!AD24:AD28)</f>
        <v>1859</v>
      </c>
      <c r="AI15" s="1765">
        <f>SUM('2'!AE16:AE18,'2'!AE21:AE22,'2'!AE24:AE28)</f>
        <v>1321</v>
      </c>
      <c r="AJ15" s="20">
        <f>SUM('2'!AF16:AF18,'2'!AF21:AF22,'2'!AF24:AF28)</f>
        <v>0</v>
      </c>
      <c r="AK15" s="20">
        <f>SUM('2'!AG13:AG18,'2'!AG21:AG22,'2'!AG24:AG28)</f>
        <v>5764</v>
      </c>
      <c r="AL15" s="1745">
        <f>SUM(AI15:AK15)</f>
        <v>7085</v>
      </c>
      <c r="AM15" s="20">
        <f>SUM('2'!AK16:AK18,'2'!AK21:AK22,'2'!AK24:AK28)</f>
        <v>4431</v>
      </c>
      <c r="AN15" s="20">
        <f>AO15-AM15</f>
        <v>9554</v>
      </c>
      <c r="AO15" s="1745">
        <f>SUM('2'!AN16:AN18,'2'!AN21:AN22,'2'!AN24:AN28)</f>
        <v>13985</v>
      </c>
      <c r="AP15" s="20"/>
      <c r="AQ15" s="20"/>
      <c r="AR15" s="20"/>
      <c r="AS15" s="20"/>
      <c r="AT15" s="20"/>
      <c r="AU15" s="20"/>
      <c r="AV15" s="20"/>
    </row>
    <row r="16" spans="1:48" x14ac:dyDescent="0.2">
      <c r="A16" s="26" t="s">
        <v>5823</v>
      </c>
      <c r="B16" s="1760">
        <f>SUM('2'!B20)</f>
        <v>28180</v>
      </c>
      <c r="C16" s="1761">
        <f>SUM('2'!C20)</f>
        <v>27198</v>
      </c>
      <c r="D16" s="1762">
        <f>SUM('2'!D20)</f>
        <v>55378</v>
      </c>
      <c r="E16" s="1763">
        <f>SUM('2'!E20)</f>
        <v>2430</v>
      </c>
      <c r="F16" s="20">
        <f>SUM('2'!H20)-'NT-Tsummary'!E16</f>
        <v>601</v>
      </c>
      <c r="G16" s="1764">
        <f>E16+F16</f>
        <v>3031</v>
      </c>
      <c r="H16" s="1760">
        <f>SUM('2'!I20)</f>
        <v>517</v>
      </c>
      <c r="I16" s="1761">
        <f>SUM('2'!J20)</f>
        <v>1337</v>
      </c>
      <c r="J16" s="20">
        <f>SUM('2'!M20)-(I16+H16)</f>
        <v>440</v>
      </c>
      <c r="K16" s="1764">
        <f>SUM(H16:J16)</f>
        <v>2294</v>
      </c>
      <c r="M16" s="26" t="s">
        <v>5823</v>
      </c>
      <c r="N16" s="1763">
        <f>SUM('2'!P20)</f>
        <v>653</v>
      </c>
      <c r="O16" s="20">
        <f>SUM('2'!S20)-'NT-Tsummary'!N16</f>
        <v>1895</v>
      </c>
      <c r="P16" s="1764">
        <f>N16+O16</f>
        <v>2548</v>
      </c>
      <c r="Q16" s="1760">
        <f>SUM('2'!T20)</f>
        <v>188</v>
      </c>
      <c r="R16" s="20">
        <f>SUM('2'!W20)-'NT-Tsummary'!Q16</f>
        <v>314</v>
      </c>
      <c r="S16" s="1764">
        <f>Q16+R16</f>
        <v>502</v>
      </c>
      <c r="V16" s="26" t="s">
        <v>5823</v>
      </c>
      <c r="W16" s="1760">
        <f>SUM('2'!AQ20)</f>
        <v>908</v>
      </c>
      <c r="X16" s="20">
        <f>SUM('2'!AT20)-'NT-Tsummary'!W16</f>
        <v>5866</v>
      </c>
      <c r="Y16" s="1764">
        <f>W16+X16</f>
        <v>6774</v>
      </c>
      <c r="Z16" s="1760">
        <f>SUM('2'!AU20)</f>
        <v>1105</v>
      </c>
      <c r="AA16" s="20">
        <f>SUM('2'!AX20)-'NT-Tsummary'!Z16</f>
        <v>2079</v>
      </c>
      <c r="AB16" s="1764">
        <f>Z16+AA16</f>
        <v>3184</v>
      </c>
      <c r="AD16" s="26" t="s">
        <v>5823</v>
      </c>
      <c r="AE16" s="1765">
        <f>SUM('2'!Z20)</f>
        <v>390</v>
      </c>
      <c r="AF16" s="20">
        <f>SUM('2'!AA20)</f>
        <v>344</v>
      </c>
      <c r="AG16" s="1109">
        <f>SUM('2'!AD20)-AE16</f>
        <v>614</v>
      </c>
      <c r="AH16" s="1109">
        <f>SUM('2'!AD20)</f>
        <v>1004</v>
      </c>
      <c r="AI16" s="1765">
        <f>SUM('2'!AE20)</f>
        <v>903</v>
      </c>
      <c r="AJ16" s="20">
        <f>SUM('2'!AF20)</f>
        <v>0</v>
      </c>
      <c r="AK16" s="20">
        <f>SUM('2'!AG20)</f>
        <v>1000</v>
      </c>
      <c r="AL16" s="1745">
        <f>SUM(AI16:AK16)</f>
        <v>1903</v>
      </c>
      <c r="AM16" s="20">
        <f>SUM('2'!AK20)</f>
        <v>2829</v>
      </c>
      <c r="AN16" s="20">
        <f>AO16-AM16</f>
        <v>1744</v>
      </c>
      <c r="AO16" s="1745">
        <f>SUM('2'!AN20)</f>
        <v>4573</v>
      </c>
      <c r="AP16" s="20"/>
      <c r="AQ16" s="20"/>
      <c r="AR16" s="20"/>
      <c r="AS16" s="20"/>
      <c r="AT16" s="20"/>
      <c r="AU16" s="20"/>
      <c r="AV16" s="20"/>
    </row>
    <row r="17" spans="1:48" x14ac:dyDescent="0.2">
      <c r="A17" s="26"/>
      <c r="B17" s="1766" t="s">
        <v>129</v>
      </c>
      <c r="C17" s="756" t="s">
        <v>129</v>
      </c>
      <c r="D17" s="1767" t="s">
        <v>129</v>
      </c>
      <c r="E17" s="1766" t="s">
        <v>129</v>
      </c>
      <c r="F17" s="756" t="s">
        <v>129</v>
      </c>
      <c r="G17" s="1767" t="s">
        <v>129</v>
      </c>
      <c r="H17" s="1766" t="s">
        <v>129</v>
      </c>
      <c r="I17" s="756" t="s">
        <v>129</v>
      </c>
      <c r="J17" s="756" t="s">
        <v>129</v>
      </c>
      <c r="K17" s="1767" t="s">
        <v>129</v>
      </c>
      <c r="M17" s="26"/>
      <c r="N17" s="1766" t="s">
        <v>129</v>
      </c>
      <c r="O17" s="756" t="s">
        <v>129</v>
      </c>
      <c r="P17" s="1767" t="s">
        <v>129</v>
      </c>
      <c r="Q17" s="1766" t="s">
        <v>129</v>
      </c>
      <c r="R17" s="756" t="s">
        <v>129</v>
      </c>
      <c r="S17" s="1767" t="s">
        <v>129</v>
      </c>
      <c r="V17" s="26"/>
      <c r="W17" s="1766" t="s">
        <v>129</v>
      </c>
      <c r="X17" s="756" t="s">
        <v>129</v>
      </c>
      <c r="Y17" s="1767" t="s">
        <v>129</v>
      </c>
      <c r="Z17" s="1766" t="s">
        <v>129</v>
      </c>
      <c r="AA17" s="756" t="s">
        <v>129</v>
      </c>
      <c r="AB17" s="1767" t="s">
        <v>129</v>
      </c>
      <c r="AD17" s="26"/>
      <c r="AE17" s="1765"/>
      <c r="AF17" s="20"/>
      <c r="AG17" s="20"/>
      <c r="AH17" s="20"/>
      <c r="AI17" s="1765"/>
      <c r="AJ17" s="20"/>
      <c r="AK17" s="20"/>
      <c r="AL17" s="1745"/>
      <c r="AM17" s="20"/>
      <c r="AN17" s="20"/>
      <c r="AO17" s="1745"/>
      <c r="AP17" s="20"/>
      <c r="AQ17" s="20"/>
      <c r="AR17" s="20"/>
      <c r="AS17" s="20"/>
      <c r="AT17" s="20"/>
      <c r="AU17" s="20"/>
      <c r="AV17" s="20"/>
    </row>
    <row r="18" spans="1:48" ht="15.75" x14ac:dyDescent="0.25">
      <c r="A18" s="111" t="s">
        <v>5827</v>
      </c>
      <c r="B18" s="1760"/>
      <c r="C18" s="1761"/>
      <c r="D18" s="1762"/>
      <c r="E18" s="1760"/>
      <c r="F18" s="1761"/>
      <c r="G18" s="1764"/>
      <c r="H18" s="1760"/>
      <c r="I18" s="1761"/>
      <c r="J18" s="1761"/>
      <c r="K18" s="1764"/>
      <c r="M18" s="111" t="s">
        <v>5827</v>
      </c>
      <c r="N18" s="1760"/>
      <c r="O18" s="1761"/>
      <c r="P18" s="1764"/>
      <c r="Q18" s="1760"/>
      <c r="R18" s="1761"/>
      <c r="S18" s="1764"/>
      <c r="V18" s="111" t="s">
        <v>5827</v>
      </c>
      <c r="W18" s="1760"/>
      <c r="X18" s="1761"/>
      <c r="Y18" s="1764"/>
      <c r="Z18" s="1760"/>
      <c r="AA18" s="1761"/>
      <c r="AB18" s="1764"/>
      <c r="AD18" s="111" t="s">
        <v>5828</v>
      </c>
      <c r="AE18" s="1765"/>
      <c r="AF18" s="20"/>
      <c r="AG18" s="20"/>
      <c r="AH18" s="20"/>
      <c r="AI18" s="1765"/>
      <c r="AJ18" s="20"/>
      <c r="AK18" s="20"/>
      <c r="AL18" s="1745"/>
      <c r="AM18" s="20"/>
      <c r="AN18" s="20"/>
      <c r="AO18" s="1745"/>
      <c r="AP18" s="20"/>
      <c r="AQ18" s="20"/>
      <c r="AR18" s="20"/>
      <c r="AS18" s="20"/>
      <c r="AT18" s="20"/>
      <c r="AU18" s="20"/>
      <c r="AV18" s="20"/>
    </row>
    <row r="19" spans="1:48" x14ac:dyDescent="0.2">
      <c r="A19" s="26" t="s">
        <v>5822</v>
      </c>
      <c r="B19" s="1760">
        <f>SUM('2'!B41,'2'!B43,'2'!B45)</f>
        <v>4103</v>
      </c>
      <c r="C19" s="1761">
        <f>SUM('2'!C41,'2'!C43,'2'!C45)</f>
        <v>3461</v>
      </c>
      <c r="D19" s="1762">
        <f>SUM('2'!D41,'2'!D43,'2'!D45)</f>
        <v>7564</v>
      </c>
      <c r="E19" s="1763">
        <f>SUM('2'!E41,'2'!E43,'2'!E45)</f>
        <v>191</v>
      </c>
      <c r="F19" s="20">
        <f>SUM('2'!H41,'2'!H43,'2'!H45)-'NT-Tsummary'!E19</f>
        <v>69</v>
      </c>
      <c r="G19" s="1764">
        <f>E19+F19</f>
        <v>260</v>
      </c>
      <c r="H19" s="1760">
        <f>SUM('2'!I41,'2'!I43,'2'!I45)</f>
        <v>6</v>
      </c>
      <c r="I19" s="1761">
        <f>SUM('2'!J41,'2'!J43,'2'!J45)</f>
        <v>17</v>
      </c>
      <c r="J19" s="20">
        <f>SUM('2'!M41,'2'!M43,'2'!M45)-(I19+H19)</f>
        <v>10</v>
      </c>
      <c r="K19" s="1764">
        <f>SUM(H19:J19)</f>
        <v>33</v>
      </c>
      <c r="M19" s="26" t="s">
        <v>5822</v>
      </c>
      <c r="N19" s="1763">
        <f>SUM('2'!P41,'2'!P43,'2'!P45)</f>
        <v>12</v>
      </c>
      <c r="O19" s="20">
        <f>SUM('2'!S41,'2'!S43,'2'!S45)-'NT-Tsummary'!N19</f>
        <v>42</v>
      </c>
      <c r="P19" s="1764">
        <f>N19+O19</f>
        <v>54</v>
      </c>
      <c r="Q19" s="1760">
        <f>SUM('2'!T41,'2'!T43,'2'!T45)</f>
        <v>8</v>
      </c>
      <c r="R19" s="20">
        <f>SUM('2'!W41,'2'!W43,'2'!W45)-'NT-Tsummary'!Q19</f>
        <v>17</v>
      </c>
      <c r="S19" s="1764">
        <f>Q19+R19</f>
        <v>25</v>
      </c>
      <c r="V19" s="26" t="s">
        <v>5822</v>
      </c>
      <c r="W19" s="1760">
        <f>SUM('2'!AQ41,'2'!AQ43,'2'!AQ45)</f>
        <v>28</v>
      </c>
      <c r="X19" s="20">
        <f>SUM('2'!AT41,'2'!AT43,'2'!AT45)-'NT-Tsummary'!W19</f>
        <v>251</v>
      </c>
      <c r="Y19" s="1764">
        <f>W19+X19</f>
        <v>279</v>
      </c>
      <c r="Z19" s="1760">
        <f>SUM('2'!AU41,'2'!AU43,'2'!AU45)</f>
        <v>565</v>
      </c>
      <c r="AA19" s="20">
        <f>SUM('2'!AX41,'2'!AX43,'2'!AX45)-'NT-Tsummary'!Z19</f>
        <v>1370</v>
      </c>
      <c r="AB19" s="1764">
        <f>Z19+AA19</f>
        <v>1935</v>
      </c>
      <c r="AD19" s="26" t="s">
        <v>5822</v>
      </c>
      <c r="AE19" s="1765">
        <f>SUM('2'!Z31:Z34)</f>
        <v>23</v>
      </c>
      <c r="AF19" s="20">
        <f>SUM('2'!AA31:AA34)</f>
        <v>18</v>
      </c>
      <c r="AG19" s="1109">
        <f>AH19-AE19</f>
        <v>202</v>
      </c>
      <c r="AH19" s="1109">
        <f>SUM('2'!AD31:AD34)</f>
        <v>225</v>
      </c>
      <c r="AI19" s="1765">
        <f>SUM('2'!AE31:AE34)</f>
        <v>39</v>
      </c>
      <c r="AJ19" s="20">
        <f>SUM('2'!AF31:AF34)</f>
        <v>0</v>
      </c>
      <c r="AK19" s="20">
        <f>SUM('2'!AG31:AG34)</f>
        <v>180</v>
      </c>
      <c r="AL19" s="1745">
        <f>SUM('2'!AJ31:AJ34)</f>
        <v>220</v>
      </c>
      <c r="AM19" s="20">
        <f>SUM('2'!AK31:AK34)</f>
        <v>90</v>
      </c>
      <c r="AN19" s="20">
        <f>AO19-AM19</f>
        <v>348</v>
      </c>
      <c r="AO19" s="1745">
        <f>SUM('2'!AN31:AN34)</f>
        <v>438</v>
      </c>
    </row>
    <row r="20" spans="1:48" x14ac:dyDescent="0.2">
      <c r="A20" s="26" t="s">
        <v>5823</v>
      </c>
      <c r="B20" s="1760">
        <f>SUM('2'!B42,'2'!B44,'2'!B46,'2'!B29)</f>
        <v>4631</v>
      </c>
      <c r="C20" s="1760">
        <f>SUM('2'!C42,'2'!C44,'2'!C46,'2'!C29)</f>
        <v>5500</v>
      </c>
      <c r="D20" s="1760">
        <f>SUM('2'!D42,'2'!D44,'2'!D46,'2'!D29)</f>
        <v>10131</v>
      </c>
      <c r="E20" s="1763">
        <f>SUM('2'!E42,'2'!E44,'2'!E46,'2'!E29)</f>
        <v>444</v>
      </c>
      <c r="F20" s="20">
        <f>SUM('2'!H42,'2'!H44,'2'!H46,'2'!H29)-'NT-Tsummary'!E20</f>
        <v>101</v>
      </c>
      <c r="G20" s="1764">
        <f>E20+F20</f>
        <v>545</v>
      </c>
      <c r="H20" s="1760">
        <f>SUM('2'!I42,'2'!I44,'2'!I46,'2'!I29)</f>
        <v>57</v>
      </c>
      <c r="I20" s="1760">
        <f>SUM('2'!J42,'2'!J44,'2'!J46,'2'!J29)</f>
        <v>147</v>
      </c>
      <c r="J20" s="20">
        <f>SUM('2'!M42,'2'!M44,'2'!M46,'2'!M29)-(I20+H20)</f>
        <v>43</v>
      </c>
      <c r="K20" s="1764">
        <f>SUM(H20:J20)</f>
        <v>247</v>
      </c>
      <c r="M20" s="26" t="s">
        <v>5823</v>
      </c>
      <c r="N20" s="1763">
        <f>SUM('2'!P42,'2'!P44,'2'!P46,'2'!P29)</f>
        <v>160</v>
      </c>
      <c r="O20" s="20">
        <f>SUM('2'!S42,'2'!S44,'2'!S46,'2'!S29)-'NT-Tsummary'!N20</f>
        <v>400</v>
      </c>
      <c r="P20" s="1764">
        <f>N20+O20</f>
        <v>560</v>
      </c>
      <c r="Q20" s="1760">
        <f>SUM('2'!T42,'2'!T44,'2'!T46,'2'!T29)</f>
        <v>207</v>
      </c>
      <c r="R20" s="20">
        <f>SUM('2'!W42,'2'!W44,'2'!W46,'2'!W29)-'NT-Tsummary'!Q20</f>
        <v>326</v>
      </c>
      <c r="S20" s="1764">
        <f>Q20+R20</f>
        <v>533</v>
      </c>
      <c r="V20" s="26" t="s">
        <v>5823</v>
      </c>
      <c r="W20" s="1760">
        <f>SUM('2'!AQ42,'2'!AQ44,'2'!AQ46,'2'!AQ29)</f>
        <v>102</v>
      </c>
      <c r="X20" s="20">
        <f>SUM('2'!AT42,'2'!AT44,'2'!AT46,'2'!AT29)-'NT-Tsummary'!W20</f>
        <v>613</v>
      </c>
      <c r="Y20" s="1764">
        <f>W20+X20</f>
        <v>715</v>
      </c>
      <c r="Z20" s="1760">
        <f>SUM('2'!AU42,'2'!AU44,'2'!AU46,'2'!AU29)</f>
        <v>657</v>
      </c>
      <c r="AA20" s="20">
        <f>SUM('2'!AX42,'2'!AX44,'2'!AX46,'2'!AX29)-'NT-Tsummary'!Z20</f>
        <v>1063</v>
      </c>
      <c r="AB20" s="1764">
        <f>Z20+AA20</f>
        <v>1720</v>
      </c>
      <c r="AD20" s="26" t="s">
        <v>5823</v>
      </c>
      <c r="AE20" s="1765">
        <f>SUM('2'!Z35,'2'!Z30)</f>
        <v>18</v>
      </c>
      <c r="AF20" s="20">
        <f>SUM('2'!AA35,'2'!AA30)</f>
        <v>19</v>
      </c>
      <c r="AG20" s="1109">
        <f>AH20-AE20</f>
        <v>29</v>
      </c>
      <c r="AH20" s="1109">
        <f>SUM('2'!AD35,'2'!AD30)</f>
        <v>47</v>
      </c>
      <c r="AI20" s="1765">
        <f>SUM('2'!AE35,'2'!AE30)</f>
        <v>60</v>
      </c>
      <c r="AJ20" s="20">
        <f>SUM('2'!AF35,'2'!AF30)</f>
        <v>0</v>
      </c>
      <c r="AK20" s="20">
        <f>SUM('2'!AG35,'2'!AG30)</f>
        <v>61</v>
      </c>
      <c r="AL20" s="1745">
        <f>SUM(AI20:AK20)</f>
        <v>121</v>
      </c>
      <c r="AM20" s="20">
        <f>SUM('2'!AK35,'2'!AK30)</f>
        <v>103</v>
      </c>
      <c r="AN20" s="20">
        <f>AO20-AM20</f>
        <v>61</v>
      </c>
      <c r="AO20" s="1745">
        <f>SUM('2'!AN35,'2'!AN30)</f>
        <v>164</v>
      </c>
      <c r="AP20" s="20"/>
      <c r="AQ20" s="20"/>
      <c r="AR20" s="20"/>
      <c r="AS20" s="20"/>
      <c r="AT20" s="20"/>
      <c r="AU20" s="20"/>
      <c r="AV20" s="20"/>
    </row>
    <row r="21" spans="1:48" x14ac:dyDescent="0.2">
      <c r="A21" s="565"/>
      <c r="B21" s="1766" t="s">
        <v>129</v>
      </c>
      <c r="C21" s="756" t="s">
        <v>129</v>
      </c>
      <c r="D21" s="1767" t="s">
        <v>129</v>
      </c>
      <c r="E21" s="1766" t="s">
        <v>129</v>
      </c>
      <c r="F21" s="756" t="s">
        <v>129</v>
      </c>
      <c r="G21" s="1767" t="s">
        <v>129</v>
      </c>
      <c r="H21" s="1766" t="s">
        <v>129</v>
      </c>
      <c r="I21" s="756" t="s">
        <v>129</v>
      </c>
      <c r="J21" s="756" t="s">
        <v>129</v>
      </c>
      <c r="K21" s="1767" t="s">
        <v>129</v>
      </c>
      <c r="M21" s="565"/>
      <c r="N21" s="1766" t="s">
        <v>129</v>
      </c>
      <c r="O21" s="756" t="s">
        <v>129</v>
      </c>
      <c r="P21" s="1767" t="s">
        <v>129</v>
      </c>
      <c r="Q21" s="1766" t="s">
        <v>129</v>
      </c>
      <c r="R21" s="756" t="s">
        <v>129</v>
      </c>
      <c r="S21" s="1767" t="s">
        <v>129</v>
      </c>
      <c r="V21" s="565"/>
      <c r="W21" s="1766" t="s">
        <v>129</v>
      </c>
      <c r="X21" s="756" t="s">
        <v>129</v>
      </c>
      <c r="Y21" s="1767" t="s">
        <v>129</v>
      </c>
      <c r="Z21" s="1766" t="s">
        <v>129</v>
      </c>
      <c r="AA21" s="756" t="s">
        <v>129</v>
      </c>
      <c r="AB21" s="1767" t="s">
        <v>129</v>
      </c>
      <c r="AD21" s="565"/>
      <c r="AE21" s="1765"/>
      <c r="AF21" s="20"/>
      <c r="AG21" s="20"/>
      <c r="AH21" s="20"/>
      <c r="AI21" s="1765"/>
      <c r="AJ21" s="20"/>
      <c r="AK21" s="20"/>
      <c r="AL21" s="1745"/>
      <c r="AM21" s="20"/>
      <c r="AN21" s="20"/>
      <c r="AO21" s="1745"/>
      <c r="AP21" s="20"/>
      <c r="AQ21" s="20"/>
      <c r="AR21" s="20"/>
      <c r="AS21" s="20"/>
      <c r="AT21" s="20"/>
      <c r="AU21" s="20"/>
      <c r="AV21" s="20"/>
    </row>
    <row r="22" spans="1:48" ht="15.75" x14ac:dyDescent="0.25">
      <c r="A22" s="111" t="s">
        <v>5829</v>
      </c>
      <c r="B22" s="1760"/>
      <c r="C22" s="1761"/>
      <c r="D22" s="1762"/>
      <c r="E22" s="1760"/>
      <c r="F22" s="1761"/>
      <c r="G22" s="1764"/>
      <c r="H22" s="1760"/>
      <c r="I22" s="1761"/>
      <c r="J22" s="1761"/>
      <c r="K22" s="1764"/>
      <c r="M22" s="111" t="s">
        <v>5830</v>
      </c>
      <c r="N22" s="1760"/>
      <c r="O22" s="1761"/>
      <c r="P22" s="1764"/>
      <c r="Q22" s="1760"/>
      <c r="R22" s="1761"/>
      <c r="S22" s="1764"/>
      <c r="V22" s="111" t="s">
        <v>5830</v>
      </c>
      <c r="W22" s="1760"/>
      <c r="X22" s="1761"/>
      <c r="Y22" s="1764"/>
      <c r="Z22" s="1760"/>
      <c r="AA22" s="1761"/>
      <c r="AB22" s="1764"/>
      <c r="AD22" s="111" t="s">
        <v>5831</v>
      </c>
      <c r="AE22" s="1765"/>
      <c r="AF22" s="20"/>
      <c r="AG22" s="20"/>
      <c r="AH22" s="20"/>
      <c r="AI22" s="1765"/>
      <c r="AJ22" s="20"/>
      <c r="AK22" s="20"/>
      <c r="AL22" s="1745"/>
      <c r="AM22" s="20"/>
      <c r="AN22" s="20"/>
      <c r="AO22" s="1745"/>
      <c r="AP22" s="20"/>
      <c r="AQ22" s="20"/>
      <c r="AR22" s="20"/>
      <c r="AS22" s="20"/>
      <c r="AT22" s="20"/>
      <c r="AU22" s="20"/>
      <c r="AV22" s="20"/>
    </row>
    <row r="23" spans="1:48" x14ac:dyDescent="0.2">
      <c r="A23" s="1768" t="s">
        <v>5822</v>
      </c>
      <c r="B23" s="1760">
        <f>SUM('2'!B48,'2'!B50,'2'!B52,'2'!B54,'2'!B56)</f>
        <v>5277</v>
      </c>
      <c r="C23" s="1761">
        <f>SUM('2'!C48,'2'!C50,'2'!C52,'2'!C54,'2'!C56)</f>
        <v>2618</v>
      </c>
      <c r="D23" s="1762">
        <f>SUM('2'!D48,'2'!D50,'2'!D52,'2'!D54,'2'!D56)</f>
        <v>7895</v>
      </c>
      <c r="E23" s="1763">
        <f>SUM('2'!E48,'2'!E50,'2'!E52,'2'!E54,'2'!E56,'2'!E59)</f>
        <v>58</v>
      </c>
      <c r="F23" s="20">
        <f>SUM('2'!H48,'2'!H50,'2'!H52,'2'!H54,'2'!H56,'2'!H59)-'NT-Tsummary'!E23</f>
        <v>-33</v>
      </c>
      <c r="G23" s="1764">
        <f>E23+F23</f>
        <v>25</v>
      </c>
      <c r="H23" s="1760">
        <f>SUM('2'!I48,'2'!I50,'2'!I52,'2'!I54,'2'!I56,'2'!I59)</f>
        <v>10</v>
      </c>
      <c r="I23" s="1761">
        <f>SUM('2'!J48,'2'!J50,'2'!J52,'2'!J54,'2'!J56,'2'!J59)</f>
        <v>24</v>
      </c>
      <c r="J23" s="20">
        <f>SUM('2'!M48,'2'!M50,'2'!M52,'2'!M54,'2'!M56,'2'!M59)-(I23+H23)</f>
        <v>9</v>
      </c>
      <c r="K23" s="1764">
        <f>SUM(H23:J23)</f>
        <v>43</v>
      </c>
      <c r="M23" s="26" t="s">
        <v>5822</v>
      </c>
      <c r="N23" s="1763">
        <f>SUM('2'!P48,'2'!P50,'2'!P52,'2'!P54,'2'!P56,'2'!P59)</f>
        <v>668</v>
      </c>
      <c r="O23" s="20">
        <f>SUM('2'!S48,'2'!S50,'2'!S52,'2'!S54,'2'!S56,'2'!S59)-'NT-Tsummary'!N23</f>
        <v>3105</v>
      </c>
      <c r="P23" s="1764">
        <f>N23+O23</f>
        <v>3773</v>
      </c>
      <c r="Q23" s="1763">
        <f>SUM('2'!T48,'2'!T50,'2'!T52,'2'!T54,'2'!T56,'2'!T59)</f>
        <v>4</v>
      </c>
      <c r="R23" s="20">
        <f>SUM('2'!W48,'2'!W50,'2'!W52,'2'!W54,'2'!W56,'2'!W59)-'NT-Tsummary'!Q23</f>
        <v>2260</v>
      </c>
      <c r="S23" s="1764">
        <f>Q23+R23</f>
        <v>2264</v>
      </c>
      <c r="V23" s="26" t="s">
        <v>5822</v>
      </c>
      <c r="W23" s="1763">
        <f>SUM('2'!AQ48,'2'!AQ50,'2'!AQ52,'2'!AQ54,'2'!AQ56,'2'!AQ59)</f>
        <v>115</v>
      </c>
      <c r="X23" s="20">
        <f>SUM('2'!AT48,'2'!AT50,'2'!AT52,'2'!AT54,'2'!AT56,'2'!AT59)-'NT-Tsummary'!W23</f>
        <v>1036</v>
      </c>
      <c r="Y23" s="1764">
        <f>W23+X23</f>
        <v>1151</v>
      </c>
      <c r="Z23" s="1763">
        <f>SUM('2'!AU48,'2'!AU50,'2'!AU52,'2'!AU54,'2'!AU56,'2'!AU59)</f>
        <v>910</v>
      </c>
      <c r="AA23" s="20">
        <f>SUM('2'!AX48,'2'!AX50,'2'!AX52,'2'!AX54,'2'!AX56,'2'!AX59)-'NT-Tsummary'!Z23</f>
        <v>1736</v>
      </c>
      <c r="AB23" s="1764">
        <f>Z23+AA23</f>
        <v>2646</v>
      </c>
      <c r="AD23" s="26" t="s">
        <v>5822</v>
      </c>
      <c r="AE23" s="1765">
        <f>SUM('2'!Z37,'2'!Z39)</f>
        <v>1479.5880480073131</v>
      </c>
      <c r="AF23" s="20">
        <f>SUM('2'!AA37,'2'!AA39)+WACoastTerminal!AA9</f>
        <v>569.31590079060425</v>
      </c>
      <c r="AG23" s="1109">
        <f>AH23-AE23</f>
        <v>2243.8024426562652</v>
      </c>
      <c r="AH23" s="1109">
        <f>SUM('2'!AD37,'2'!AD39)+SUM(StockSumPRN!B2719:I2724)</f>
        <v>3723.3904906635785</v>
      </c>
      <c r="AI23" s="1765">
        <f>SUM('2'!AE37,'2'!AE39)+WACoastTerminal!AA10+WACoastTerminal!AB10</f>
        <v>1109.2584408944347</v>
      </c>
      <c r="AJ23" s="20">
        <f>SUM('2'!AF37,'2'!AF39)</f>
        <v>0</v>
      </c>
      <c r="AK23" s="20">
        <f>SUM('2'!AG37,'2'!AG39)+SUM(StockSumPRN!B2929:E2929)</f>
        <v>1142.9880160185471</v>
      </c>
      <c r="AL23" s="1745">
        <f>SUM(AI23:AK23)</f>
        <v>2252.2464569129816</v>
      </c>
      <c r="AM23" s="20">
        <f>SUM('2'!AK37,'2'!AK39)+SUM(StockSumPRN!J2924:K2926,StockSumPRN!H3129:I3131,StockSumPRN!D3129:E3131)</f>
        <v>24558.68325635415</v>
      </c>
      <c r="AN23" s="20">
        <f>'2'!AN37+'2'!AN39-('2'!AK37+'2'!AK39)+SUM(StockSumPRN!B3129:C3131,StockSumPRN!F3129:G3131,StockSumPRN!J3129:K3131)</f>
        <v>12183.847796190992</v>
      </c>
      <c r="AO23" s="1745">
        <f>SUM(AM23:AN23)</f>
        <v>36742.531052545142</v>
      </c>
      <c r="AP23" s="20"/>
      <c r="AQ23" s="20"/>
      <c r="AR23" s="20"/>
      <c r="AS23" s="20"/>
      <c r="AT23" s="20"/>
      <c r="AU23" s="20"/>
      <c r="AV23" s="20"/>
    </row>
    <row r="24" spans="1:48" x14ac:dyDescent="0.2">
      <c r="A24" s="26" t="s">
        <v>5823</v>
      </c>
      <c r="B24" s="1760">
        <f>SUM('2'!B49,'2'!B51,'2'!B53,'2'!B55,'2'!B57)</f>
        <v>64199</v>
      </c>
      <c r="C24" s="1761">
        <f>SUM('2'!C49,'2'!C51,'2'!C53,'2'!C55,'2'!C57)</f>
        <v>27348</v>
      </c>
      <c r="D24" s="1762">
        <f>SUM('2'!D49,'2'!D51,'2'!D53,'2'!D55,'2'!D57)</f>
        <v>91547</v>
      </c>
      <c r="E24" s="1763">
        <f>SUM('2'!E49,'2'!E51,'2'!E53,'2'!E55,'2'!E57,'2'!E60)</f>
        <v>17895</v>
      </c>
      <c r="F24" s="20">
        <f>SUM('2'!H49,'2'!H51,'2'!H53,'2'!H55,'2'!H57,'2'!H60)-'NT-Tsummary'!E24</f>
        <v>2645</v>
      </c>
      <c r="G24" s="1764">
        <f>E24+F24</f>
        <v>20540</v>
      </c>
      <c r="H24" s="1760">
        <f>SUM('2'!I49,'2'!I51,'2'!I53,'2'!I55,'2'!I57,'2'!I60)</f>
        <v>6159</v>
      </c>
      <c r="I24" s="1761">
        <f>SUM('2'!J49,'2'!J51,'2'!J53,'2'!J55,'2'!J57,'2'!J60)</f>
        <v>15692</v>
      </c>
      <c r="J24" s="20">
        <f>SUM('2'!M49,'2'!M51,'2'!M53,'2'!M55,'2'!M57,'2'!M60)-(I24+H24)</f>
        <v>6080</v>
      </c>
      <c r="K24" s="1764">
        <f>SUM(H24:J24)</f>
        <v>27931</v>
      </c>
      <c r="M24" s="26" t="s">
        <v>5823</v>
      </c>
      <c r="N24" s="1763">
        <f>SUM('2'!P49,'2'!P51,'2'!P53,'2'!P55,'2'!P57,'2'!P60)</f>
        <v>3327</v>
      </c>
      <c r="O24" s="20">
        <f>SUM('2'!S49,'2'!S51,'2'!S53,'2'!S55,'2'!S57,'2'!S60)-'NT-Tsummary'!N24</f>
        <v>14267</v>
      </c>
      <c r="P24" s="1764">
        <f>N24+O24</f>
        <v>17594</v>
      </c>
      <c r="Q24" s="1760">
        <f>SUM('2'!T49,'2'!T51,'2'!T53,'2'!T55,'2'!T57,'2'!T60)</f>
        <v>16</v>
      </c>
      <c r="R24" s="20">
        <f>SUM('2'!W49,'2'!W51,'2'!W53,'2'!W55,'2'!W57,'2'!W60)-'NT-Tsummary'!Q24</f>
        <v>835</v>
      </c>
      <c r="S24" s="1764">
        <f>Q24+R24</f>
        <v>851</v>
      </c>
      <c r="V24" s="26" t="s">
        <v>5823</v>
      </c>
      <c r="W24" s="1760">
        <f>SUM('2'!AQ49,'2'!AQ51,'2'!AQ53,'2'!AQ55,'2'!AQ57,'2'!AQ60)</f>
        <v>8168</v>
      </c>
      <c r="X24" s="20">
        <f>SUM('2'!AT49,'2'!AT51,'2'!AT53,'2'!AT55,'2'!AT57,'2'!AT60)-'NT-Tsummary'!W24</f>
        <v>70385</v>
      </c>
      <c r="Y24" s="1764">
        <f>W24+X24</f>
        <v>78553</v>
      </c>
      <c r="Z24" s="1760">
        <f>SUM('2'!AU49,'2'!AU51,'2'!AU53,'2'!AU55,'2'!AU57,'2'!AU60)</f>
        <v>13852</v>
      </c>
      <c r="AA24" s="20">
        <f>SUM('2'!AX49,'2'!AX51,'2'!AX53,'2'!AX55,'2'!AX57,'2'!AX60)-'NT-Tsummary'!Z24</f>
        <v>33145</v>
      </c>
      <c r="AB24" s="1764">
        <f>Z24+AA24</f>
        <v>46997</v>
      </c>
      <c r="AD24" s="26" t="s">
        <v>5823</v>
      </c>
      <c r="AE24" s="1765">
        <f>SUM('2'!Z38,'2'!Z23)</f>
        <v>2378.4199028638636</v>
      </c>
      <c r="AF24" s="20">
        <f>SUM('2'!AA38,'2'!AA23)-WACoastTerminal!AA9</f>
        <v>1183.5654589644651</v>
      </c>
      <c r="AG24" s="1109">
        <f>AH24-AE24</f>
        <v>1625.0471737776293</v>
      </c>
      <c r="AH24" s="1109">
        <f>SUM('2'!AD38,'2'!AD23)-SUM(StockSumPRN!B2719:I2724)</f>
        <v>4003.4670766414929</v>
      </c>
      <c r="AI24" s="1765">
        <f>SUM('2'!AE38,'2'!AE23)-WACoastTerminal!AA10-WACoastTerminal!AB10</f>
        <v>2834.3962235595263</v>
      </c>
      <c r="AJ24" s="20">
        <f>SUM('2'!AF38,'2'!AF23)</f>
        <v>0</v>
      </c>
      <c r="AK24" s="20">
        <f>SUM('2'!AG38,'2'!AG23)-SUM(StockSumPRN!B2929:E2929)</f>
        <v>8295.6790598224216</v>
      </c>
      <c r="AL24" s="1745">
        <f>SUM(AI24:AK24)</f>
        <v>11130.075283381948</v>
      </c>
      <c r="AM24" s="20">
        <f>SUM('2'!AK38,StockSumPRN!J2942:K2942,StockSumPRN!J2947:K2947,StockSumPRN!J2950:K2950,StockSumPRN!J2953:K2953,StockSumPRN!D3147:E3147,StockSumPRN!D3152:E3152,StockSumPRN!D3155:E3155,StockSumPRN!D3158:E3158,StockSumPRN!H3147:I3147,StockSumPRN!H3152:I3152,StockSumPRN!H3155:I3155,StockSumPRN!H3158:I3158)</f>
        <v>27148.916526313376</v>
      </c>
      <c r="AN24" s="20">
        <f>'2'!AN38-'2'!AK38+SUM(StockSumPRN!B3152:C3152,StockSumPRN!B3147:C3147,StockSumPRN!B3155:C3155,StockSumPRN!B3158:C3158,StockSumPRN!F3147:G3147,StockSumPRN!F3152:G3152,StockSumPRN!F3155:G3155,StockSumPRN!F3158:G3158,StockSumPRN!J3147:K3147,StockSumPRN!J3152:K3152,StockSumPRN!J3155:K3155,StockSumPRN!J3158:K3158,StockSumPRN!K3158)</f>
        <v>8130.2223110851555</v>
      </c>
      <c r="AO24" s="1745">
        <f>SUM(AM24:AN24)</f>
        <v>35279.138837398532</v>
      </c>
    </row>
    <row r="25" spans="1:48" ht="15.75" thickBot="1" x14ac:dyDescent="0.25">
      <c r="A25" s="26"/>
      <c r="B25" s="1766" t="s">
        <v>129</v>
      </c>
      <c r="C25" s="756" t="s">
        <v>129</v>
      </c>
      <c r="D25" s="1767" t="s">
        <v>129</v>
      </c>
      <c r="E25" s="1766" t="s">
        <v>129</v>
      </c>
      <c r="F25" s="756" t="s">
        <v>129</v>
      </c>
      <c r="G25" s="1767" t="s">
        <v>129</v>
      </c>
      <c r="H25" s="1766" t="s">
        <v>129</v>
      </c>
      <c r="I25" s="756" t="s">
        <v>129</v>
      </c>
      <c r="J25" s="756" t="s">
        <v>129</v>
      </c>
      <c r="K25" s="1767" t="s">
        <v>129</v>
      </c>
      <c r="M25" s="26"/>
      <c r="N25" s="1766" t="s">
        <v>129</v>
      </c>
      <c r="O25" s="756" t="s">
        <v>129</v>
      </c>
      <c r="P25" s="1767" t="s">
        <v>129</v>
      </c>
      <c r="Q25" s="1766" t="s">
        <v>129</v>
      </c>
      <c r="R25" s="756" t="s">
        <v>129</v>
      </c>
      <c r="S25" s="1767" t="s">
        <v>129</v>
      </c>
      <c r="V25" s="26"/>
      <c r="W25" s="1766" t="s">
        <v>129</v>
      </c>
      <c r="X25" s="756" t="s">
        <v>129</v>
      </c>
      <c r="Y25" s="1767" t="s">
        <v>129</v>
      </c>
      <c r="Z25" s="1766" t="s">
        <v>129</v>
      </c>
      <c r="AA25" s="756" t="s">
        <v>129</v>
      </c>
      <c r="AB25" s="1767" t="s">
        <v>129</v>
      </c>
      <c r="AD25" s="1475"/>
      <c r="AE25" s="1765"/>
      <c r="AF25" s="20"/>
      <c r="AG25" s="20"/>
      <c r="AH25" s="20"/>
      <c r="AI25" s="1769"/>
      <c r="AJ25" s="1770"/>
      <c r="AK25" s="1770"/>
      <c r="AL25" s="1771"/>
      <c r="AM25" s="20"/>
      <c r="AN25" s="20"/>
      <c r="AO25" s="1745"/>
    </row>
    <row r="26" spans="1:48" ht="15.75" x14ac:dyDescent="0.25">
      <c r="A26" s="111" t="s">
        <v>5832</v>
      </c>
      <c r="B26" s="1760"/>
      <c r="C26" s="1761"/>
      <c r="D26" s="1762"/>
      <c r="E26" s="1760"/>
      <c r="F26" s="1761"/>
      <c r="G26" s="1764"/>
      <c r="H26" s="1760"/>
      <c r="I26" s="1761"/>
      <c r="J26" s="1761"/>
      <c r="K26" s="1764"/>
      <c r="M26" s="111" t="s">
        <v>5832</v>
      </c>
      <c r="N26" s="1760"/>
      <c r="O26" s="1761"/>
      <c r="P26" s="1764"/>
      <c r="Q26" s="1760"/>
      <c r="R26" s="1761"/>
      <c r="S26" s="1764"/>
      <c r="V26" s="111" t="s">
        <v>5832</v>
      </c>
      <c r="W26" s="1760"/>
      <c r="X26" s="1761"/>
      <c r="Y26" s="1764"/>
      <c r="Z26" s="1760"/>
      <c r="AA26" s="1761"/>
      <c r="AB26" s="1764"/>
      <c r="AD26" s="112" t="s">
        <v>174</v>
      </c>
      <c r="AE26" s="1738"/>
      <c r="AF26" s="1739"/>
      <c r="AG26" s="1739"/>
      <c r="AH26" s="1739"/>
      <c r="AI26" s="1765"/>
      <c r="AJ26" s="1109"/>
      <c r="AK26" s="1109"/>
      <c r="AL26" s="20"/>
      <c r="AM26" s="1738"/>
      <c r="AN26" s="1739"/>
      <c r="AO26" s="1740"/>
      <c r="AP26" s="1501"/>
      <c r="AQ26" s="1501"/>
      <c r="AR26" s="1501"/>
      <c r="AS26" s="1501"/>
      <c r="AT26" s="1501"/>
      <c r="AU26" s="1501"/>
      <c r="AV26" s="1501"/>
    </row>
    <row r="27" spans="1:48" x14ac:dyDescent="0.2">
      <c r="A27" s="1768" t="s">
        <v>5833</v>
      </c>
      <c r="B27" s="1760">
        <f>SUM('2'!B30)</f>
        <v>19585</v>
      </c>
      <c r="C27" s="1761">
        <f>SUM('2'!C30)</f>
        <v>3448</v>
      </c>
      <c r="D27" s="1762">
        <f>SUM('2'!D30)</f>
        <v>23033</v>
      </c>
      <c r="E27" s="1763">
        <f>SUM('2'!E30)</f>
        <v>519</v>
      </c>
      <c r="F27" s="20">
        <f>SUM('2'!H30)-'NT-Tsummary'!E27</f>
        <v>795</v>
      </c>
      <c r="G27" s="1764">
        <f>E27+F27</f>
        <v>1314</v>
      </c>
      <c r="H27" s="1760">
        <f>SUM('2'!I30)</f>
        <v>132</v>
      </c>
      <c r="I27" s="1761">
        <f>SUM('2'!J30)</f>
        <v>343</v>
      </c>
      <c r="J27" s="1761">
        <f>SUM('2'!M30)-(I27+H27)</f>
        <v>678</v>
      </c>
      <c r="K27" s="1764">
        <f>SUM(H27:J27)</f>
        <v>1153</v>
      </c>
      <c r="M27" s="1768" t="s">
        <v>5833</v>
      </c>
      <c r="N27" s="1763">
        <f>SUM('2'!P30)</f>
        <v>219</v>
      </c>
      <c r="O27" s="20">
        <f>SUM('2'!S30)-'NT-Tsummary'!N27</f>
        <v>3676</v>
      </c>
      <c r="P27" s="1764">
        <f>N27+O27</f>
        <v>3895</v>
      </c>
      <c r="Q27" s="1760">
        <f>SUM('2'!T30)</f>
        <v>85</v>
      </c>
      <c r="R27" s="20">
        <f>SUM('2'!W30)-'NT-Tsummary'!Q27</f>
        <v>805</v>
      </c>
      <c r="S27" s="1764">
        <f>Q27+R27</f>
        <v>890</v>
      </c>
      <c r="V27" s="1768" t="s">
        <v>5833</v>
      </c>
      <c r="W27" s="1760">
        <f>SUM('2'!AQ30)</f>
        <v>252</v>
      </c>
      <c r="X27" s="90">
        <f>SUM('2'!AT30)-'NT-Tsummary'!W27</f>
        <v>8095</v>
      </c>
      <c r="Y27" s="1764">
        <f>W27+X27</f>
        <v>8347</v>
      </c>
      <c r="Z27" s="1760">
        <f>SUM('2'!AU30)</f>
        <v>148</v>
      </c>
      <c r="AA27" s="90">
        <f>SUM('2'!AX30)-'NT-Tsummary'!Z27</f>
        <v>1855</v>
      </c>
      <c r="AB27" s="1764">
        <f>Z27+AA27</f>
        <v>2003</v>
      </c>
      <c r="AD27" s="1768" t="s">
        <v>5822</v>
      </c>
      <c r="AE27" s="1765">
        <f t="shared" ref="AE27:AO28" si="0">SUM(AE15,AE19,AE23)</f>
        <v>1804.5880480073131</v>
      </c>
      <c r="AF27" s="20">
        <f t="shared" si="0"/>
        <v>864.31590079060425</v>
      </c>
      <c r="AG27" s="20">
        <f t="shared" si="0"/>
        <v>4002.8024426562652</v>
      </c>
      <c r="AH27" s="20">
        <f t="shared" si="0"/>
        <v>5807.390490663578</v>
      </c>
      <c r="AI27" s="1765">
        <f>SUM(AI15,AI19,AI23)</f>
        <v>2469.2584408944349</v>
      </c>
      <c r="AJ27" s="20">
        <f t="shared" si="0"/>
        <v>0</v>
      </c>
      <c r="AK27" s="20">
        <f t="shared" si="0"/>
        <v>7086.9880160185476</v>
      </c>
      <c r="AL27" s="20">
        <f t="shared" si="0"/>
        <v>9557.2464569129806</v>
      </c>
      <c r="AM27" s="1765">
        <f t="shared" si="0"/>
        <v>29079.68325635415</v>
      </c>
      <c r="AN27" s="20">
        <f t="shared" si="0"/>
        <v>22085.847796190992</v>
      </c>
      <c r="AO27" s="1745">
        <f t="shared" si="0"/>
        <v>51165.531052545142</v>
      </c>
      <c r="AP27" s="20"/>
      <c r="AS27" s="20"/>
      <c r="AV27" s="20"/>
    </row>
    <row r="28" spans="1:48" ht="15.75" thickBot="1" x14ac:dyDescent="0.25">
      <c r="A28" s="1768" t="s">
        <v>5834</v>
      </c>
      <c r="B28" s="1760">
        <f>SUM('2'!B31)</f>
        <v>7029</v>
      </c>
      <c r="C28" s="1761">
        <f>SUM('2'!C31)</f>
        <v>1344</v>
      </c>
      <c r="D28" s="1762">
        <f>SUM('2'!D31)</f>
        <v>8373</v>
      </c>
      <c r="E28" s="1763">
        <f>SUM('2'!E31)</f>
        <v>279</v>
      </c>
      <c r="F28" s="20">
        <f>SUM('2'!H31)-'NT-Tsummary'!E28</f>
        <v>425</v>
      </c>
      <c r="G28" s="1764">
        <f>E28+F28</f>
        <v>704</v>
      </c>
      <c r="H28" s="1760">
        <f>SUM('2'!I31)</f>
        <v>60</v>
      </c>
      <c r="I28" s="1761">
        <f>SUM('2'!J31)</f>
        <v>156</v>
      </c>
      <c r="J28" s="1761">
        <f>SUM('2'!M31)-(I28+H28)</f>
        <v>306</v>
      </c>
      <c r="K28" s="1764">
        <f>SUM(H28:J28)</f>
        <v>522</v>
      </c>
      <c r="M28" s="1768" t="s">
        <v>5834</v>
      </c>
      <c r="N28" s="1763">
        <f>SUM('2'!P31)</f>
        <v>95</v>
      </c>
      <c r="O28" s="20">
        <f>SUM('2'!S31)-'NT-Tsummary'!N28</f>
        <v>1576</v>
      </c>
      <c r="P28" s="1764">
        <f>N28+O28</f>
        <v>1671</v>
      </c>
      <c r="Q28" s="1760">
        <f>SUM('2'!T31)</f>
        <v>37</v>
      </c>
      <c r="R28" s="20">
        <f>SUM('2'!W31)-'NT-Tsummary'!Q28</f>
        <v>346</v>
      </c>
      <c r="S28" s="1764">
        <f>Q28+R28</f>
        <v>383</v>
      </c>
      <c r="V28" s="1768" t="s">
        <v>5834</v>
      </c>
      <c r="W28" s="1760">
        <f>SUM('2'!AQ31)</f>
        <v>101</v>
      </c>
      <c r="X28" s="90">
        <f>SUM('2'!AT31)-'NT-Tsummary'!W28</f>
        <v>3234</v>
      </c>
      <c r="Y28" s="1764">
        <f>W28+X28</f>
        <v>3335</v>
      </c>
      <c r="Z28" s="1760">
        <f>SUM('2'!AU31)</f>
        <v>61</v>
      </c>
      <c r="AA28" s="90">
        <f>SUM('2'!AX31)-'NT-Tsummary'!Z28</f>
        <v>769</v>
      </c>
      <c r="AB28" s="1764">
        <f>Z28+AA28</f>
        <v>830</v>
      </c>
      <c r="AD28" s="1475" t="s">
        <v>5823</v>
      </c>
      <c r="AE28" s="1769">
        <f t="shared" si="0"/>
        <v>2786.4199028638636</v>
      </c>
      <c r="AF28" s="1772">
        <f t="shared" si="0"/>
        <v>1546.5654589644651</v>
      </c>
      <c r="AG28" s="1772">
        <f t="shared" si="0"/>
        <v>2268.0471737776293</v>
      </c>
      <c r="AH28" s="1772">
        <f t="shared" si="0"/>
        <v>5054.4670766414929</v>
      </c>
      <c r="AI28" s="1769">
        <f>SUM(AI16,AI20,AI24)</f>
        <v>3797.3962235595263</v>
      </c>
      <c r="AJ28" s="1772">
        <f t="shared" si="0"/>
        <v>0</v>
      </c>
      <c r="AK28" s="1772">
        <f t="shared" si="0"/>
        <v>9356.6790598224216</v>
      </c>
      <c r="AL28" s="1772">
        <f t="shared" si="0"/>
        <v>13154.075283381948</v>
      </c>
      <c r="AM28" s="1769">
        <f t="shared" si="0"/>
        <v>30080.916526313376</v>
      </c>
      <c r="AN28" s="1772">
        <f t="shared" si="0"/>
        <v>9935.2223110851555</v>
      </c>
      <c r="AO28" s="1771">
        <f t="shared" si="0"/>
        <v>40016.138837398532</v>
      </c>
      <c r="AP28" s="20"/>
      <c r="AQ28" s="20"/>
      <c r="AR28" s="20"/>
      <c r="AS28" s="20"/>
      <c r="AT28" s="20"/>
      <c r="AU28" s="20"/>
      <c r="AV28" s="20"/>
    </row>
    <row r="29" spans="1:48" ht="16.5" thickBot="1" x14ac:dyDescent="0.3">
      <c r="A29" s="1768" t="s">
        <v>5835</v>
      </c>
      <c r="B29" s="1760">
        <f>SUM('2'!B32)</f>
        <v>4142</v>
      </c>
      <c r="C29" s="1761">
        <f>SUM('2'!C32)</f>
        <v>1578</v>
      </c>
      <c r="D29" s="1762">
        <f>SUM('2'!D32)</f>
        <v>5720</v>
      </c>
      <c r="E29" s="1763">
        <f>SUM('2'!E32)</f>
        <v>241</v>
      </c>
      <c r="F29" s="20">
        <f>SUM('2'!H32)-'NT-Tsummary'!E29</f>
        <v>327</v>
      </c>
      <c r="G29" s="1764">
        <f>E29+F29</f>
        <v>568</v>
      </c>
      <c r="H29" s="1760">
        <f>SUM('2'!I32)</f>
        <v>19</v>
      </c>
      <c r="I29" s="1761">
        <f>SUM('2'!J32)</f>
        <v>49</v>
      </c>
      <c r="J29" s="1761">
        <f>SUM('2'!M32)-(I29+H29)</f>
        <v>85</v>
      </c>
      <c r="K29" s="1764">
        <f>SUM(H29:J29)</f>
        <v>153</v>
      </c>
      <c r="M29" s="1768" t="s">
        <v>5835</v>
      </c>
      <c r="N29" s="1763">
        <f>SUM('2'!P32)</f>
        <v>19</v>
      </c>
      <c r="O29" s="20">
        <f>SUM('2'!S32)-'NT-Tsummary'!N29</f>
        <v>285</v>
      </c>
      <c r="P29" s="1764">
        <f>N29+O29</f>
        <v>304</v>
      </c>
      <c r="Q29" s="1760">
        <f>SUM('2'!T32)</f>
        <v>0</v>
      </c>
      <c r="R29" s="20">
        <f>SUM('2'!W32)-'NT-Tsummary'!Q29</f>
        <v>0</v>
      </c>
      <c r="S29" s="1764">
        <f>Q29+R29</f>
        <v>0</v>
      </c>
      <c r="V29" s="1768" t="s">
        <v>5835</v>
      </c>
      <c r="W29" s="1760">
        <f>SUM('2'!AQ32)</f>
        <v>21</v>
      </c>
      <c r="X29" s="90">
        <f>SUM('2'!AT32)-'NT-Tsummary'!W29</f>
        <v>591</v>
      </c>
      <c r="Y29" s="1764">
        <f>W29+X29</f>
        <v>612</v>
      </c>
      <c r="Z29" s="1760">
        <f>SUM('2'!AU32)</f>
        <v>166</v>
      </c>
      <c r="AA29" s="90">
        <f>SUM('2'!AX32)-'NT-Tsummary'!Z29</f>
        <v>1843</v>
      </c>
      <c r="AB29" s="1764">
        <f>Z29+AA29</f>
        <v>2009</v>
      </c>
      <c r="AD29" s="138" t="s">
        <v>444</v>
      </c>
      <c r="AE29" s="141">
        <f>'2'!Z9-SUM('2'!Z37:Z39)</f>
        <v>7842.0901027430191</v>
      </c>
      <c r="AF29" s="142">
        <f>'2'!AA9-SUM('2'!AA37:AA39)</f>
        <v>2187.2435594347457</v>
      </c>
      <c r="AG29" s="142">
        <f>'2'!AD9-'2'!Z9-('2'!AD38-'2'!Z38)-('2'!AD39-'2'!Z39)</f>
        <v>13873.4850354183</v>
      </c>
      <c r="AH29" s="1773">
        <f>AE29+AG29</f>
        <v>21715.575138161319</v>
      </c>
      <c r="AI29" s="139">
        <f>'2'!AE9-'2'!AE37-'2'!AE38-'2'!AE39</f>
        <v>11672.863959568249</v>
      </c>
      <c r="AJ29" s="140">
        <f>'2'!AF9-'2'!AF37-'2'!AF38-'2'!AF39</f>
        <v>0</v>
      </c>
      <c r="AK29" s="140">
        <f>'2'!AG9-'2'!AG37-'2'!AG38-'2'!AG39</f>
        <v>6218.4869674077618</v>
      </c>
      <c r="AL29" s="1773">
        <f>SUM(AI29:AK29)</f>
        <v>17891.350926976011</v>
      </c>
      <c r="AM29" s="141">
        <f>'2'!AK9-'2'!AK37-'2'!AK38-'2'!AK39</f>
        <v>60209.565019239933</v>
      </c>
      <c r="AN29" s="142">
        <f>'2'!AN9-'2'!AK9-('2'!AN37-'2'!AK37)-('2'!AN38-'2'!AK38)-('2'!AN39-'2'!AK39)</f>
        <v>45515.890416490482</v>
      </c>
      <c r="AO29" s="1773">
        <f>SUM(AM29:AN29)</f>
        <v>105725.45543573042</v>
      </c>
      <c r="AP29" s="20"/>
      <c r="AQ29" s="20"/>
      <c r="AR29" s="20"/>
      <c r="AS29" s="20"/>
      <c r="AT29" s="20"/>
      <c r="AU29" s="20"/>
      <c r="AV29" s="20"/>
    </row>
    <row r="30" spans="1:48" x14ac:dyDescent="0.2">
      <c r="A30" s="1768" t="s">
        <v>5836</v>
      </c>
      <c r="B30" s="1760">
        <f>SUM('2'!B33:B39)</f>
        <v>37414</v>
      </c>
      <c r="C30" s="1761">
        <f>SUM('2'!C33:C39)</f>
        <v>22849</v>
      </c>
      <c r="D30" s="1762">
        <f>SUM('2'!D33:D39)</f>
        <v>60263</v>
      </c>
      <c r="E30" s="1763">
        <f>SUM('2'!E33:E39)</f>
        <v>8768.7857925957378</v>
      </c>
      <c r="F30" s="20">
        <f>SUM('2'!H33:H39)-'NT-Tsummary'!E30</f>
        <v>5223.3619133426037</v>
      </c>
      <c r="G30" s="1764">
        <f>E30+F30</f>
        <v>13992.147705938341</v>
      </c>
      <c r="H30" s="1760">
        <f>SUM('2'!I33:I39)</f>
        <v>1465</v>
      </c>
      <c r="I30" s="1761">
        <f>SUM('2'!J33:J39)</f>
        <v>2401</v>
      </c>
      <c r="J30" s="1761">
        <f>SUM('2'!M33:M39)-(I30+H30)</f>
        <v>4275</v>
      </c>
      <c r="K30" s="1764">
        <f>SUM(H30:J30)</f>
        <v>8141</v>
      </c>
      <c r="M30" s="1768" t="s">
        <v>5836</v>
      </c>
      <c r="N30" s="1763">
        <f>SUM('2'!P33:P39)</f>
        <v>3044</v>
      </c>
      <c r="O30" s="20">
        <f>SUM('2'!S33:S39)-'NT-Tsummary'!N30</f>
        <v>12189</v>
      </c>
      <c r="P30" s="1764">
        <f>N30+O30</f>
        <v>15233</v>
      </c>
      <c r="Q30" s="1760">
        <f>SUM('2'!T33:T39)</f>
        <v>9</v>
      </c>
      <c r="R30" s="20">
        <f>SUM('2'!W33:W39)-'NT-Tsummary'!Q30</f>
        <v>641</v>
      </c>
      <c r="S30" s="1764">
        <f>Q30+R30</f>
        <v>650</v>
      </c>
      <c r="V30" s="1768" t="s">
        <v>5836</v>
      </c>
      <c r="W30" s="1760">
        <f>SUM('2'!AQ33:AQ39)</f>
        <v>4880</v>
      </c>
      <c r="X30" s="90">
        <f>SUM('2'!AT33:AT39)-'NT-Tsummary'!W30</f>
        <v>36834</v>
      </c>
      <c r="Y30" s="1764">
        <f>W30+X30</f>
        <v>41714</v>
      </c>
      <c r="Z30" s="1760">
        <f>SUM('2'!AU33:AU39)</f>
        <v>2008</v>
      </c>
      <c r="AA30" s="90">
        <f>SUM('2'!AX33:AX39)-'NT-Tsummary'!Z30</f>
        <v>3538</v>
      </c>
      <c r="AB30" s="1764">
        <f>Z30+AA30</f>
        <v>5546</v>
      </c>
      <c r="AD30" s="20"/>
      <c r="AE30" s="20"/>
      <c r="AF30" s="20"/>
      <c r="AG30" s="20"/>
      <c r="AH30" s="20"/>
    </row>
    <row r="31" spans="1:48" x14ac:dyDescent="0.2">
      <c r="A31" s="565" t="s">
        <v>5837</v>
      </c>
      <c r="B31" s="1760">
        <f>SUM(B27:B30)</f>
        <v>68170</v>
      </c>
      <c r="C31" s="1761">
        <f>SUM(C27:C30)</f>
        <v>29219</v>
      </c>
      <c r="D31" s="1762">
        <f>SUM(D27:D30)</f>
        <v>97389</v>
      </c>
      <c r="E31" s="1763">
        <f>SUM(E27:E30)</f>
        <v>9807.7857925957378</v>
      </c>
      <c r="F31" s="1774">
        <f>SUM(F27:F30)</f>
        <v>6770.3619133426037</v>
      </c>
      <c r="G31" s="1764">
        <f>E31+F31</f>
        <v>16578.14770593834</v>
      </c>
      <c r="H31" s="1760">
        <f>SUM(H27:H30)</f>
        <v>1676</v>
      </c>
      <c r="I31" s="1761">
        <f>SUM(I27:I30)</f>
        <v>2949</v>
      </c>
      <c r="J31" s="1761">
        <f>SUM(J27:J30)</f>
        <v>5344</v>
      </c>
      <c r="K31" s="1762">
        <f>SUM(K27:K30)</f>
        <v>9969</v>
      </c>
      <c r="M31" s="565" t="s">
        <v>5837</v>
      </c>
      <c r="N31" s="1763">
        <f>SUM(N27:N30)</f>
        <v>3377</v>
      </c>
      <c r="O31" s="1774">
        <f>SUM(O27:O30)</f>
        <v>17726</v>
      </c>
      <c r="P31" s="1764">
        <f>N31+O31</f>
        <v>21103</v>
      </c>
      <c r="Q31" s="1763">
        <f>SUM(Q27:Q30)</f>
        <v>131</v>
      </c>
      <c r="R31" s="1774">
        <f>SUM(R27:R30)</f>
        <v>1792</v>
      </c>
      <c r="S31" s="1764">
        <f>Q31+R31</f>
        <v>1923</v>
      </c>
      <c r="V31" s="565" t="s">
        <v>5837</v>
      </c>
      <c r="W31" s="1763">
        <f>SUM(W27:W30)</f>
        <v>5254</v>
      </c>
      <c r="X31" s="1774">
        <f>SUM(X27:X30)</f>
        <v>48754</v>
      </c>
      <c r="Y31" s="1764">
        <f>W31+X31</f>
        <v>54008</v>
      </c>
      <c r="Z31" s="1763">
        <f>SUM(Z27:Z30)</f>
        <v>2383</v>
      </c>
      <c r="AA31" s="1774">
        <f>SUM(AA27:AA30)</f>
        <v>8005</v>
      </c>
      <c r="AB31" s="1764">
        <f>Z31+AA31</f>
        <v>10388</v>
      </c>
      <c r="AD31" s="20"/>
      <c r="AE31" s="20"/>
      <c r="AF31" s="20"/>
      <c r="AG31" s="20"/>
      <c r="AH31" s="20"/>
    </row>
    <row r="32" spans="1:48" ht="15.75" thickBot="1" x14ac:dyDescent="0.25">
      <c r="A32" s="565"/>
      <c r="B32" s="1766" t="s">
        <v>129</v>
      </c>
      <c r="C32" s="756" t="s">
        <v>129</v>
      </c>
      <c r="D32" s="1767" t="s">
        <v>129</v>
      </c>
      <c r="E32" s="1766" t="s">
        <v>129</v>
      </c>
      <c r="F32" s="756" t="s">
        <v>129</v>
      </c>
      <c r="G32" s="1767" t="s">
        <v>129</v>
      </c>
      <c r="H32" s="1766" t="s">
        <v>129</v>
      </c>
      <c r="I32" s="756" t="s">
        <v>129</v>
      </c>
      <c r="J32" s="756" t="s">
        <v>129</v>
      </c>
      <c r="K32" s="1767" t="s">
        <v>129</v>
      </c>
      <c r="M32" s="565"/>
      <c r="N32" s="1766" t="s">
        <v>129</v>
      </c>
      <c r="O32" s="756" t="s">
        <v>129</v>
      </c>
      <c r="P32" s="1767" t="s">
        <v>129</v>
      </c>
      <c r="Q32" s="1766" t="s">
        <v>129</v>
      </c>
      <c r="R32" s="756" t="s">
        <v>129</v>
      </c>
      <c r="S32" s="1767" t="s">
        <v>129</v>
      </c>
      <c r="V32" s="565"/>
      <c r="W32" s="1766" t="s">
        <v>129</v>
      </c>
      <c r="X32" s="756" t="s">
        <v>129</v>
      </c>
      <c r="Y32" s="1767" t="s">
        <v>129</v>
      </c>
      <c r="Z32" s="1766" t="s">
        <v>129</v>
      </c>
      <c r="AA32" s="756" t="s">
        <v>129</v>
      </c>
      <c r="AB32" s="1767" t="s">
        <v>129</v>
      </c>
      <c r="AD32" s="20"/>
      <c r="AE32" s="20"/>
      <c r="AF32" s="20"/>
      <c r="AG32" s="20"/>
      <c r="AH32" s="20"/>
      <c r="AJ32" s="147"/>
    </row>
    <row r="33" spans="1:48" ht="15.75" x14ac:dyDescent="0.25">
      <c r="A33" s="112" t="s">
        <v>174</v>
      </c>
      <c r="B33" s="1775"/>
      <c r="C33" s="580"/>
      <c r="D33" s="1776"/>
      <c r="E33" s="1775"/>
      <c r="F33" s="580"/>
      <c r="G33" s="1777"/>
      <c r="H33" s="1775"/>
      <c r="I33" s="580"/>
      <c r="J33" s="580"/>
      <c r="K33" s="1777"/>
      <c r="M33" s="112" t="s">
        <v>174</v>
      </c>
      <c r="N33" s="1775"/>
      <c r="O33" s="580"/>
      <c r="P33" s="1777"/>
      <c r="Q33" s="1775"/>
      <c r="R33" s="580"/>
      <c r="S33" s="1777"/>
      <c r="V33" s="112" t="s">
        <v>174</v>
      </c>
      <c r="W33" s="89"/>
      <c r="X33" s="25"/>
      <c r="Y33" s="95"/>
      <c r="Z33" s="89"/>
      <c r="AA33" s="25"/>
      <c r="AB33" s="95"/>
      <c r="AD33" s="20"/>
      <c r="AE33" s="20"/>
      <c r="AF33" s="20"/>
      <c r="AG33" s="20"/>
      <c r="AH33" s="20"/>
    </row>
    <row r="34" spans="1:48" x14ac:dyDescent="0.2">
      <c r="A34" s="1768" t="s">
        <v>5822</v>
      </c>
      <c r="B34" s="1778">
        <f t="shared" ref="B34:K34" si="1">SUM(B15,B19,B23,B31)</f>
        <v>571052</v>
      </c>
      <c r="C34" s="1779">
        <f t="shared" si="1"/>
        <v>2071123</v>
      </c>
      <c r="D34" s="1780">
        <f t="shared" si="1"/>
        <v>2642175</v>
      </c>
      <c r="E34" s="1778">
        <f t="shared" si="1"/>
        <v>11240.785792595738</v>
      </c>
      <c r="F34" s="1779">
        <f t="shared" si="1"/>
        <v>7968.3619133426037</v>
      </c>
      <c r="G34" s="1780">
        <f t="shared" si="1"/>
        <v>19209.14770593834</v>
      </c>
      <c r="H34" s="1778">
        <f t="shared" si="1"/>
        <v>1982</v>
      </c>
      <c r="I34" s="1779">
        <f t="shared" si="1"/>
        <v>3743</v>
      </c>
      <c r="J34" s="1779">
        <f t="shared" si="1"/>
        <v>6288</v>
      </c>
      <c r="K34" s="1780">
        <f t="shared" si="1"/>
        <v>12013</v>
      </c>
      <c r="M34" s="1768" t="s">
        <v>5822</v>
      </c>
      <c r="N34" s="1778">
        <f t="shared" ref="N34:S34" si="2">SUM(N15,N19,N23,N31)</f>
        <v>4403</v>
      </c>
      <c r="O34" s="1779">
        <f t="shared" si="2"/>
        <v>24582</v>
      </c>
      <c r="P34" s="1780">
        <f t="shared" si="2"/>
        <v>28985</v>
      </c>
      <c r="Q34" s="1778">
        <f t="shared" si="2"/>
        <v>280</v>
      </c>
      <c r="R34" s="1779">
        <f t="shared" si="2"/>
        <v>4565</v>
      </c>
      <c r="S34" s="1780">
        <f t="shared" si="2"/>
        <v>4845</v>
      </c>
      <c r="V34" s="1768" t="s">
        <v>5822</v>
      </c>
      <c r="W34" s="1778">
        <f t="shared" ref="W34:AB34" si="3">SUM(W15,W19,W23,W31)</f>
        <v>5815</v>
      </c>
      <c r="X34" s="1779">
        <f t="shared" si="3"/>
        <v>58650</v>
      </c>
      <c r="Y34" s="1780">
        <f t="shared" si="3"/>
        <v>64465</v>
      </c>
      <c r="Z34" s="1778">
        <f t="shared" si="3"/>
        <v>4348</v>
      </c>
      <c r="AA34" s="1779">
        <f t="shared" si="3"/>
        <v>15198</v>
      </c>
      <c r="AB34" s="1780">
        <f t="shared" si="3"/>
        <v>19546</v>
      </c>
      <c r="AP34" s="20"/>
      <c r="AQ34" s="20"/>
      <c r="AR34" s="20"/>
      <c r="AS34" s="20"/>
      <c r="AT34" s="20"/>
      <c r="AU34" s="20"/>
      <c r="AV34" s="20"/>
    </row>
    <row r="35" spans="1:48" ht="15.75" thickBot="1" x14ac:dyDescent="0.25">
      <c r="A35" s="1475" t="s">
        <v>5823</v>
      </c>
      <c r="B35" s="1781">
        <f t="shared" ref="B35:K35" si="4">SUM(B16,B20,B24)</f>
        <v>97010</v>
      </c>
      <c r="C35" s="1781">
        <f t="shared" si="4"/>
        <v>60046</v>
      </c>
      <c r="D35" s="1781">
        <f t="shared" si="4"/>
        <v>157056</v>
      </c>
      <c r="E35" s="1781">
        <f t="shared" si="4"/>
        <v>20769</v>
      </c>
      <c r="F35" s="1781">
        <f t="shared" si="4"/>
        <v>3347</v>
      </c>
      <c r="G35" s="1781">
        <f t="shared" si="4"/>
        <v>24116</v>
      </c>
      <c r="H35" s="1781">
        <f t="shared" si="4"/>
        <v>6733</v>
      </c>
      <c r="I35" s="1782">
        <f t="shared" si="4"/>
        <v>17176</v>
      </c>
      <c r="J35" s="1782">
        <f t="shared" si="4"/>
        <v>6563</v>
      </c>
      <c r="K35" s="1783">
        <f t="shared" si="4"/>
        <v>30472</v>
      </c>
      <c r="M35" s="1475" t="s">
        <v>5823</v>
      </c>
      <c r="N35" s="1781">
        <f>SUM(N16,N20,N24)</f>
        <v>4140</v>
      </c>
      <c r="O35" s="1782">
        <f>SUM(O16,O20,O24)</f>
        <v>16562</v>
      </c>
      <c r="P35" s="1783">
        <f>SUM(P16,P20,P24,P32)</f>
        <v>20702</v>
      </c>
      <c r="Q35" s="1781">
        <f>SUM(Q16,Q20,Q24)</f>
        <v>411</v>
      </c>
      <c r="R35" s="1782">
        <f>SUM(R16,R20,R24)</f>
        <v>1475</v>
      </c>
      <c r="S35" s="1783">
        <f>SUM(S16,S20,S24,S32)</f>
        <v>1886</v>
      </c>
      <c r="V35" s="1475" t="s">
        <v>5823</v>
      </c>
      <c r="W35" s="1781">
        <f t="shared" ref="W35:AB35" si="5">SUM(W16,W20,W24)</f>
        <v>9178</v>
      </c>
      <c r="X35" s="1782">
        <f t="shared" si="5"/>
        <v>76864</v>
      </c>
      <c r="Y35" s="1783">
        <f t="shared" si="5"/>
        <v>86042</v>
      </c>
      <c r="Z35" s="1781">
        <f t="shared" si="5"/>
        <v>15614</v>
      </c>
      <c r="AA35" s="1782">
        <f t="shared" si="5"/>
        <v>36287</v>
      </c>
      <c r="AB35" s="1783">
        <f t="shared" si="5"/>
        <v>51901</v>
      </c>
      <c r="AI35" s="1784"/>
      <c r="AP35" s="20"/>
      <c r="AQ35" s="20"/>
      <c r="AR35" s="20"/>
      <c r="AS35" s="20"/>
      <c r="AT35" s="20"/>
      <c r="AU35" s="20"/>
      <c r="AV35" s="20"/>
    </row>
    <row r="36" spans="1:48" ht="16.5" thickBot="1" x14ac:dyDescent="0.3">
      <c r="A36" s="138" t="s">
        <v>444</v>
      </c>
      <c r="B36" s="1785"/>
      <c r="C36" s="1786"/>
      <c r="D36" s="1787"/>
      <c r="E36" s="1788">
        <f>'2'!E9</f>
        <v>45869.214207404264</v>
      </c>
      <c r="F36" s="1786">
        <f>'2'!H9-'2'!E9</f>
        <v>8360.6380866573963</v>
      </c>
      <c r="G36" s="1787">
        <f>E36+F36</f>
        <v>54229.85229406166</v>
      </c>
      <c r="H36" s="1788">
        <f>'2'!I9</f>
        <v>16017</v>
      </c>
      <c r="I36" s="1789">
        <f>'2'!J9</f>
        <v>42871</v>
      </c>
      <c r="J36" s="1786">
        <f>'2'!M9-'2'!J9-'2'!I9</f>
        <v>11322</v>
      </c>
      <c r="K36" s="1787">
        <f>SUM(H36:J36)</f>
        <v>70210</v>
      </c>
      <c r="M36" s="138" t="s">
        <v>444</v>
      </c>
      <c r="N36" s="141">
        <f>'2'!P9</f>
        <v>11350</v>
      </c>
      <c r="O36" s="140">
        <f>'2'!S9-'2'!P9</f>
        <v>17899</v>
      </c>
      <c r="P36" s="1790">
        <f>N36+O36</f>
        <v>29249</v>
      </c>
      <c r="Q36" s="141">
        <f>'2'!T9</f>
        <v>6519</v>
      </c>
      <c r="R36" s="140">
        <f>'2'!W9-'2'!T9</f>
        <v>6350</v>
      </c>
      <c r="S36" s="1791">
        <f>SUM(Q36:R36)</f>
        <v>12869</v>
      </c>
      <c r="V36" s="138" t="s">
        <v>444</v>
      </c>
      <c r="W36" s="141">
        <f>'2'!AQ9</f>
        <v>15903</v>
      </c>
      <c r="X36" s="140">
        <f>'2'!AT9-'2'!AQ9</f>
        <v>69670</v>
      </c>
      <c r="Y36" s="1790">
        <f>W36+X36</f>
        <v>85573</v>
      </c>
      <c r="Z36" s="141">
        <f>'2'!AU9</f>
        <v>15511</v>
      </c>
      <c r="AA36" s="140">
        <f>'2'!AX9-'2'!AU9</f>
        <v>15701</v>
      </c>
      <c r="AB36" s="1790">
        <f>SUM(Z36:AA36)</f>
        <v>31212</v>
      </c>
      <c r="AP36" s="20"/>
      <c r="AQ36" s="20"/>
      <c r="AR36" s="20"/>
      <c r="AS36" s="20"/>
      <c r="AT36" s="20"/>
      <c r="AU36" s="20"/>
      <c r="AV36" s="20"/>
    </row>
    <row r="37" spans="1:48" x14ac:dyDescent="0.2">
      <c r="A37" s="7"/>
      <c r="B37" s="572"/>
      <c r="C37" s="312"/>
      <c r="D37" s="20"/>
      <c r="E37" s="20"/>
      <c r="F37" s="312"/>
      <c r="G37" s="20"/>
      <c r="H37" s="20"/>
      <c r="I37" s="20"/>
      <c r="J37" s="312"/>
      <c r="K37" s="20"/>
      <c r="M37" s="7"/>
      <c r="N37" s="20"/>
      <c r="O37" s="312"/>
      <c r="P37" s="312"/>
      <c r="Q37" s="20"/>
      <c r="R37" s="312"/>
      <c r="S37" s="572"/>
      <c r="V37" s="7"/>
      <c r="W37" s="20"/>
      <c r="X37" s="312"/>
      <c r="Y37" s="312"/>
      <c r="Z37" s="20"/>
      <c r="AA37" s="312"/>
      <c r="AB37" s="312"/>
    </row>
    <row r="38" spans="1:48" x14ac:dyDescent="0.2">
      <c r="F38" s="1774"/>
    </row>
    <row r="120" spans="11:11" x14ac:dyDescent="0.2">
      <c r="K120" s="2">
        <f>SUM(SPS!Z36:AC36)*(C114/(1-C114))</f>
        <v>0</v>
      </c>
    </row>
  </sheetData>
  <mergeCells count="7">
    <mergeCell ref="AM7:AO7"/>
    <mergeCell ref="AI7:AL7"/>
    <mergeCell ref="Z7:AB7"/>
    <mergeCell ref="E7:G7"/>
    <mergeCell ref="N7:P7"/>
    <mergeCell ref="Q7:S7"/>
    <mergeCell ref="W7:Y7"/>
  </mergeCells>
  <phoneticPr fontId="16" type="noConversion"/>
  <pageMargins left="0.5" right="0.66700000000000004" top="0.75" bottom="0.66700000000000004" header="0.5" footer="0.5"/>
  <pageSetup scale="96" orientation="landscape"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3:H44"/>
  <sheetViews>
    <sheetView zoomScaleNormal="100" workbookViewId="0">
      <selection activeCell="E42" sqref="E42"/>
    </sheetView>
  </sheetViews>
  <sheetFormatPr defaultRowHeight="12.75" x14ac:dyDescent="0.2"/>
  <cols>
    <col min="1" max="1" width="23.140625" customWidth="1"/>
    <col min="2" max="2" width="15.28515625" customWidth="1"/>
    <col min="6" max="6" width="9.28515625" customWidth="1"/>
  </cols>
  <sheetData>
    <row r="3" spans="1:8" x14ac:dyDescent="0.2">
      <c r="A3" s="37" t="s">
        <v>5838</v>
      </c>
    </row>
    <row r="5" spans="1:8" x14ac:dyDescent="0.2">
      <c r="A5" s="37" t="s">
        <v>5839</v>
      </c>
      <c r="B5" t="str">
        <f>Input_Harvestnew!B3</f>
        <v>bc-Coho2229</v>
      </c>
    </row>
    <row r="6" spans="1:8" x14ac:dyDescent="0.2">
      <c r="A6" s="37" t="s">
        <v>5840</v>
      </c>
      <c r="B6" t="str">
        <f>Input_Harvestnew!B4</f>
        <v>Final PFMC April - Adopted+NOF</v>
      </c>
    </row>
    <row r="8" spans="1:8" x14ac:dyDescent="0.2">
      <c r="A8" s="2146"/>
      <c r="B8" s="2165" t="s">
        <v>1603</v>
      </c>
      <c r="C8" s="2165"/>
      <c r="D8" s="2035" t="s">
        <v>970</v>
      </c>
      <c r="H8" s="37" t="s">
        <v>341</v>
      </c>
    </row>
    <row r="9" spans="1:8" ht="14.25" x14ac:dyDescent="0.2">
      <c r="A9" s="1355"/>
      <c r="B9" s="1594" t="s">
        <v>5841</v>
      </c>
      <c r="C9" s="1594"/>
      <c r="D9" s="1792" t="s">
        <v>5842</v>
      </c>
      <c r="H9" s="180" t="s">
        <v>344</v>
      </c>
    </row>
    <row r="10" spans="1:8" x14ac:dyDescent="0.2">
      <c r="A10" s="725" t="s">
        <v>221</v>
      </c>
      <c r="B10" s="180">
        <v>3500</v>
      </c>
      <c r="C10" s="37"/>
      <c r="D10" s="47">
        <f>SUM(TRunsPRN!C165)</f>
        <v>729</v>
      </c>
      <c r="H10" s="550" t="s">
        <v>352</v>
      </c>
    </row>
    <row r="11" spans="1:8" x14ac:dyDescent="0.2">
      <c r="A11" s="725" t="s">
        <v>359</v>
      </c>
      <c r="B11" s="180">
        <v>3500</v>
      </c>
      <c r="C11" s="37"/>
      <c r="D11" s="47">
        <f>SUM(TRunsPRN!C164)</f>
        <v>12067</v>
      </c>
      <c r="H11" s="550" t="s">
        <v>360</v>
      </c>
    </row>
    <row r="12" spans="1:8" x14ac:dyDescent="0.2">
      <c r="A12" s="725" t="s">
        <v>366</v>
      </c>
      <c r="B12">
        <v>400</v>
      </c>
      <c r="D12" s="47">
        <f>SUM(TRunsPRN!C186)</f>
        <v>10006</v>
      </c>
      <c r="H12" s="550" t="s">
        <v>367</v>
      </c>
    </row>
    <row r="13" spans="1:8" ht="27" customHeight="1" x14ac:dyDescent="0.2">
      <c r="A13" s="725" t="s">
        <v>373</v>
      </c>
      <c r="B13" s="726" t="s">
        <v>5843</v>
      </c>
      <c r="D13" s="727">
        <f>SUM(TRunsPRN!C187)</f>
        <v>8379</v>
      </c>
      <c r="H13" s="550" t="s">
        <v>374</v>
      </c>
    </row>
    <row r="14" spans="1:8" x14ac:dyDescent="0.2">
      <c r="A14" s="725" t="s">
        <v>380</v>
      </c>
      <c r="B14">
        <v>2000</v>
      </c>
      <c r="D14" s="47">
        <f>SUM(TRunsPRN!C188)</f>
        <v>5662</v>
      </c>
      <c r="H14" s="723">
        <v>99100</v>
      </c>
    </row>
    <row r="15" spans="1:8" x14ac:dyDescent="0.2">
      <c r="A15" s="725" t="s">
        <v>386</v>
      </c>
      <c r="B15">
        <v>8000</v>
      </c>
      <c r="D15" s="47">
        <f>SUM(TRunsPRN!C189)</f>
        <v>33177</v>
      </c>
      <c r="G15" s="180"/>
      <c r="H15" s="550" t="s">
        <v>387</v>
      </c>
    </row>
    <row r="16" spans="1:8" x14ac:dyDescent="0.2">
      <c r="A16" s="725" t="s">
        <v>392</v>
      </c>
      <c r="B16">
        <v>1800</v>
      </c>
      <c r="D16" s="47">
        <f>SUM(TRunsPRN!C190)</f>
        <v>9817</v>
      </c>
      <c r="G16" s="180"/>
      <c r="H16" s="550" t="s">
        <v>393</v>
      </c>
    </row>
    <row r="17" spans="1:8" x14ac:dyDescent="0.2">
      <c r="A17" s="725" t="s">
        <v>227</v>
      </c>
      <c r="B17">
        <v>2410</v>
      </c>
      <c r="D17" s="47">
        <f>SUM(TRunsPRN!C191)</f>
        <v>9187</v>
      </c>
      <c r="G17" s="180"/>
      <c r="H17" s="550" t="s">
        <v>399</v>
      </c>
    </row>
    <row r="18" spans="1:8" x14ac:dyDescent="0.2">
      <c r="A18" s="725" t="s">
        <v>228</v>
      </c>
      <c r="B18">
        <v>1280</v>
      </c>
      <c r="D18" s="47">
        <f>SUM(TRunsPRN!C192)</f>
        <v>4895</v>
      </c>
      <c r="G18" s="180"/>
      <c r="H18" s="550" t="s">
        <v>404</v>
      </c>
    </row>
    <row r="19" spans="1:8" x14ac:dyDescent="0.2">
      <c r="A19" s="725" t="s">
        <v>410</v>
      </c>
      <c r="B19">
        <v>550</v>
      </c>
      <c r="D19" s="47">
        <f>SUM(TRunsPRN!C193)</f>
        <v>6878</v>
      </c>
      <c r="G19" s="180"/>
      <c r="H19" s="550" t="s">
        <v>411</v>
      </c>
    </row>
    <row r="20" spans="1:8" x14ac:dyDescent="0.2">
      <c r="A20" s="725" t="s">
        <v>417</v>
      </c>
      <c r="B20">
        <v>1500</v>
      </c>
      <c r="D20" s="47">
        <f>SUM(TRunsPRN!C194)</f>
        <v>10477</v>
      </c>
      <c r="E20" s="180"/>
      <c r="G20" s="180"/>
      <c r="H20" s="550" t="s">
        <v>418</v>
      </c>
    </row>
    <row r="21" spans="1:8" x14ac:dyDescent="0.2">
      <c r="A21" s="725" t="s">
        <v>231</v>
      </c>
      <c r="B21">
        <v>500</v>
      </c>
      <c r="D21" s="47">
        <f>SUM(TRunsPRN!C195)</f>
        <v>3108</v>
      </c>
      <c r="G21" s="180"/>
      <c r="H21" s="723">
        <v>109110</v>
      </c>
    </row>
    <row r="22" spans="1:8" x14ac:dyDescent="0.2">
      <c r="A22" s="1793" t="s">
        <v>232</v>
      </c>
      <c r="B22" s="1596">
        <v>350</v>
      </c>
      <c r="C22" s="1596"/>
      <c r="D22" s="1599">
        <f>SUM(TRunsPRN!C196)</f>
        <v>1897</v>
      </c>
      <c r="G22" s="180"/>
      <c r="H22" s="723">
        <v>113114</v>
      </c>
    </row>
    <row r="24" spans="1:8" ht="14.25" x14ac:dyDescent="0.2">
      <c r="A24" s="180" t="s">
        <v>5844</v>
      </c>
    </row>
    <row r="25" spans="1:8" ht="14.25" x14ac:dyDescent="0.2">
      <c r="A25" s="180" t="s">
        <v>5845</v>
      </c>
    </row>
    <row r="26" spans="1:8" x14ac:dyDescent="0.2">
      <c r="A26" t="s">
        <v>5846</v>
      </c>
    </row>
    <row r="29" spans="1:8" x14ac:dyDescent="0.2">
      <c r="A29" s="180"/>
      <c r="B29" s="180" t="s">
        <v>5847</v>
      </c>
    </row>
    <row r="30" spans="1:8" x14ac:dyDescent="0.2">
      <c r="A30" s="202" t="s">
        <v>221</v>
      </c>
      <c r="B30" s="180">
        <v>3500</v>
      </c>
      <c r="C30" s="180" t="s">
        <v>5848</v>
      </c>
    </row>
    <row r="31" spans="1:8" x14ac:dyDescent="0.2">
      <c r="A31" s="202" t="s">
        <v>359</v>
      </c>
      <c r="B31" s="180">
        <v>3500</v>
      </c>
      <c r="C31" s="180" t="s">
        <v>5848</v>
      </c>
    </row>
    <row r="32" spans="1:8" x14ac:dyDescent="0.2">
      <c r="A32" s="180" t="s">
        <v>242</v>
      </c>
      <c r="B32">
        <v>400</v>
      </c>
      <c r="C32" s="180" t="s">
        <v>5849</v>
      </c>
    </row>
    <row r="33" spans="1:5" ht="38.25" x14ac:dyDescent="0.2">
      <c r="A33" s="202" t="s">
        <v>373</v>
      </c>
      <c r="B33" s="726" t="s">
        <v>5843</v>
      </c>
      <c r="C33" s="180" t="s">
        <v>5850</v>
      </c>
    </row>
    <row r="34" spans="1:5" x14ac:dyDescent="0.2">
      <c r="A34" s="180" t="s">
        <v>380</v>
      </c>
      <c r="B34">
        <v>2000</v>
      </c>
      <c r="C34" s="180" t="s">
        <v>5851</v>
      </c>
    </row>
    <row r="35" spans="1:5" x14ac:dyDescent="0.2">
      <c r="A35" s="180" t="s">
        <v>386</v>
      </c>
      <c r="B35">
        <v>8000</v>
      </c>
      <c r="C35" s="180" t="s">
        <v>5851</v>
      </c>
    </row>
    <row r="36" spans="1:5" x14ac:dyDescent="0.2">
      <c r="A36" s="180" t="s">
        <v>5852</v>
      </c>
      <c r="B36">
        <v>1800</v>
      </c>
      <c r="C36" s="180" t="s">
        <v>5853</v>
      </c>
    </row>
    <row r="37" spans="1:5" x14ac:dyDescent="0.2">
      <c r="A37" s="202" t="s">
        <v>227</v>
      </c>
      <c r="B37">
        <v>2410</v>
      </c>
      <c r="C37" s="180" t="s">
        <v>5854</v>
      </c>
    </row>
    <row r="38" spans="1:5" x14ac:dyDescent="0.2">
      <c r="A38" s="180" t="s">
        <v>5855</v>
      </c>
      <c r="B38">
        <v>1280</v>
      </c>
      <c r="C38" s="180" t="s">
        <v>5856</v>
      </c>
    </row>
    <row r="39" spans="1:5" x14ac:dyDescent="0.2">
      <c r="A39" s="202" t="s">
        <v>410</v>
      </c>
      <c r="B39">
        <v>550</v>
      </c>
      <c r="C39" s="180" t="s">
        <v>5857</v>
      </c>
    </row>
    <row r="40" spans="1:5" x14ac:dyDescent="0.2">
      <c r="A40" s="202" t="s">
        <v>417</v>
      </c>
      <c r="B40">
        <v>1500</v>
      </c>
      <c r="C40" s="180" t="s">
        <v>5858</v>
      </c>
    </row>
    <row r="41" spans="1:5" x14ac:dyDescent="0.2">
      <c r="A41" s="180" t="s">
        <v>5859</v>
      </c>
      <c r="B41">
        <v>500</v>
      </c>
      <c r="C41" s="180" t="s">
        <v>5860</v>
      </c>
    </row>
    <row r="42" spans="1:5" x14ac:dyDescent="0.2">
      <c r="A42" s="180" t="s">
        <v>5861</v>
      </c>
      <c r="B42">
        <v>350</v>
      </c>
      <c r="C42" s="180" t="s">
        <v>5862</v>
      </c>
    </row>
    <row r="43" spans="1:5" x14ac:dyDescent="0.2">
      <c r="A43" s="180" t="s">
        <v>5863</v>
      </c>
      <c r="B43">
        <v>100</v>
      </c>
      <c r="C43" s="180" t="s">
        <v>5862</v>
      </c>
      <c r="E43" t="s">
        <v>5864</v>
      </c>
    </row>
    <row r="44" spans="1:5" x14ac:dyDescent="0.2">
      <c r="A44" s="180" t="s">
        <v>5865</v>
      </c>
      <c r="B44">
        <v>400</v>
      </c>
      <c r="C44" s="180" t="s">
        <v>5862</v>
      </c>
      <c r="E44" t="s">
        <v>5864</v>
      </c>
    </row>
  </sheetData>
  <phoneticPr fontId="0" type="noConversion"/>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rgb="FFFFFF00"/>
  </sheetPr>
  <dimension ref="A1:D94"/>
  <sheetViews>
    <sheetView zoomScaleNormal="100" workbookViewId="0">
      <pane ySplit="1" topLeftCell="A67" activePane="bottomLeft" state="frozen"/>
      <selection activeCell="E42" sqref="E42"/>
      <selection pane="bottomLeft" activeCell="C77" sqref="C77"/>
    </sheetView>
  </sheetViews>
  <sheetFormatPr defaultRowHeight="12.75" x14ac:dyDescent="0.2"/>
  <cols>
    <col min="1" max="1" width="12.5703125" customWidth="1"/>
    <col min="2" max="2" width="29.140625" customWidth="1"/>
    <col min="3" max="3" width="31.28515625" customWidth="1"/>
    <col min="4" max="4" width="85.85546875" customWidth="1"/>
  </cols>
  <sheetData>
    <row r="1" spans="1:4" ht="18" x14ac:dyDescent="0.25">
      <c r="A1" s="115" t="s">
        <v>5866</v>
      </c>
      <c r="B1" s="115" t="s">
        <v>5867</v>
      </c>
      <c r="C1" s="115" t="s">
        <v>5868</v>
      </c>
      <c r="D1" s="115" t="s">
        <v>5869</v>
      </c>
    </row>
    <row r="2" spans="1:4" x14ac:dyDescent="0.2">
      <c r="A2" s="87">
        <v>42401</v>
      </c>
      <c r="B2" s="180" t="s">
        <v>5870</v>
      </c>
      <c r="C2" s="180" t="s">
        <v>5871</v>
      </c>
      <c r="D2" s="180" t="s">
        <v>5872</v>
      </c>
    </row>
    <row r="3" spans="1:4" x14ac:dyDescent="0.2">
      <c r="A3" s="87">
        <v>42401</v>
      </c>
      <c r="B3" s="180" t="s">
        <v>5873</v>
      </c>
      <c r="C3" s="180" t="s">
        <v>5874</v>
      </c>
      <c r="D3" s="180" t="s">
        <v>5875</v>
      </c>
    </row>
    <row r="4" spans="1:4" x14ac:dyDescent="0.2">
      <c r="A4" s="87">
        <v>42401</v>
      </c>
      <c r="B4" s="180" t="s">
        <v>5876</v>
      </c>
      <c r="C4" s="180" t="s">
        <v>5877</v>
      </c>
      <c r="D4" s="180" t="s">
        <v>5878</v>
      </c>
    </row>
    <row r="5" spans="1:4" x14ac:dyDescent="0.2">
      <c r="A5" s="87">
        <v>42412</v>
      </c>
      <c r="B5" s="180" t="s">
        <v>64</v>
      </c>
      <c r="C5" s="180" t="s">
        <v>5879</v>
      </c>
      <c r="D5" s="180" t="s">
        <v>5880</v>
      </c>
    </row>
    <row r="6" spans="1:4" x14ac:dyDescent="0.2">
      <c r="A6" s="87">
        <v>42412</v>
      </c>
      <c r="B6" s="180" t="s">
        <v>67</v>
      </c>
      <c r="C6" s="180" t="s">
        <v>5881</v>
      </c>
      <c r="D6" s="180" t="s">
        <v>5880</v>
      </c>
    </row>
    <row r="7" spans="1:4" ht="38.25" x14ac:dyDescent="0.2">
      <c r="A7" s="87">
        <v>42417</v>
      </c>
      <c r="B7" s="720" t="s">
        <v>5882</v>
      </c>
      <c r="C7" s="180" t="s">
        <v>5879</v>
      </c>
      <c r="D7" s="1379" t="s">
        <v>5883</v>
      </c>
    </row>
    <row r="8" spans="1:4" x14ac:dyDescent="0.2">
      <c r="A8" s="87">
        <v>42436</v>
      </c>
      <c r="B8" s="180" t="s">
        <v>5884</v>
      </c>
      <c r="C8" s="180" t="s">
        <v>5879</v>
      </c>
      <c r="D8" s="180" t="s">
        <v>5885</v>
      </c>
    </row>
    <row r="9" spans="1:4" x14ac:dyDescent="0.2">
      <c r="A9" s="87">
        <v>42439</v>
      </c>
      <c r="B9" s="720" t="s">
        <v>5882</v>
      </c>
      <c r="C9" s="720" t="s">
        <v>5886</v>
      </c>
      <c r="D9" s="180" t="s">
        <v>5887</v>
      </c>
    </row>
    <row r="10" spans="1:4" x14ac:dyDescent="0.2">
      <c r="A10" s="87">
        <v>42446</v>
      </c>
      <c r="B10" s="180" t="s">
        <v>5884</v>
      </c>
      <c r="C10" s="180" t="s">
        <v>5879</v>
      </c>
      <c r="D10" s="180" t="s">
        <v>5885</v>
      </c>
    </row>
    <row r="11" spans="1:4" ht="25.5" x14ac:dyDescent="0.2">
      <c r="A11" s="87">
        <v>42446</v>
      </c>
      <c r="B11" s="720" t="s">
        <v>5888</v>
      </c>
      <c r="C11" s="1379" t="s">
        <v>5889</v>
      </c>
      <c r="D11" s="1379" t="s">
        <v>5890</v>
      </c>
    </row>
    <row r="12" spans="1:4" ht="25.5" x14ac:dyDescent="0.2">
      <c r="A12" s="87">
        <v>42469</v>
      </c>
      <c r="B12" s="180" t="s">
        <v>5882</v>
      </c>
      <c r="C12" s="180" t="s">
        <v>5891</v>
      </c>
      <c r="D12" s="1379" t="s">
        <v>5892</v>
      </c>
    </row>
    <row r="13" spans="1:4" ht="25.5" x14ac:dyDescent="0.2">
      <c r="A13" s="87">
        <v>42469</v>
      </c>
      <c r="B13" s="720" t="s">
        <v>5893</v>
      </c>
      <c r="C13" s="180" t="s">
        <v>5894</v>
      </c>
      <c r="D13" s="1379" t="s">
        <v>5895</v>
      </c>
    </row>
    <row r="14" spans="1:4" ht="25.5" x14ac:dyDescent="0.2">
      <c r="A14" s="87">
        <v>42474</v>
      </c>
      <c r="B14" s="720" t="s">
        <v>5896</v>
      </c>
      <c r="C14" s="180" t="s">
        <v>5897</v>
      </c>
      <c r="D14" s="1379" t="s">
        <v>5898</v>
      </c>
    </row>
    <row r="15" spans="1:4" ht="102" x14ac:dyDescent="0.2">
      <c r="A15" s="87">
        <v>42481</v>
      </c>
      <c r="B15" s="180" t="s">
        <v>5882</v>
      </c>
      <c r="C15" s="1379" t="s">
        <v>5899</v>
      </c>
      <c r="D15" s="1379" t="s">
        <v>5900</v>
      </c>
    </row>
    <row r="16" spans="1:4" x14ac:dyDescent="0.2">
      <c r="A16" s="87">
        <v>42482</v>
      </c>
      <c r="B16" s="720" t="s">
        <v>5888</v>
      </c>
      <c r="C16" s="180" t="s">
        <v>5901</v>
      </c>
      <c r="D16" s="1379" t="s">
        <v>5902</v>
      </c>
    </row>
    <row r="17" spans="1:4" ht="25.5" x14ac:dyDescent="0.2">
      <c r="A17" s="87">
        <v>42482</v>
      </c>
      <c r="B17" s="720" t="s">
        <v>5882</v>
      </c>
      <c r="C17" s="1379" t="s">
        <v>5903</v>
      </c>
      <c r="D17" s="1379" t="s">
        <v>5904</v>
      </c>
    </row>
    <row r="18" spans="1:4" ht="76.5" x14ac:dyDescent="0.2">
      <c r="A18" s="87">
        <v>42670</v>
      </c>
      <c r="B18" s="180" t="s">
        <v>5882</v>
      </c>
      <c r="C18" s="1379" t="s">
        <v>5905</v>
      </c>
      <c r="D18" s="1379" t="s">
        <v>5906</v>
      </c>
    </row>
    <row r="19" spans="1:4" ht="51" x14ac:dyDescent="0.2">
      <c r="A19" s="87">
        <v>42769</v>
      </c>
      <c r="B19" s="720" t="s">
        <v>5907</v>
      </c>
      <c r="C19" s="1379" t="s">
        <v>5908</v>
      </c>
      <c r="D19" s="1379" t="s">
        <v>5909</v>
      </c>
    </row>
    <row r="20" spans="1:4" ht="38.25" x14ac:dyDescent="0.2">
      <c r="A20" s="87">
        <v>42769</v>
      </c>
      <c r="B20" s="720" t="s">
        <v>43</v>
      </c>
      <c r="C20" s="1379" t="s">
        <v>5910</v>
      </c>
      <c r="D20" s="1379" t="s">
        <v>5911</v>
      </c>
    </row>
    <row r="21" spans="1:4" x14ac:dyDescent="0.2">
      <c r="A21" s="87">
        <v>42788</v>
      </c>
      <c r="B21" s="180" t="s">
        <v>64</v>
      </c>
      <c r="C21" s="180" t="s">
        <v>5912</v>
      </c>
      <c r="D21" s="180" t="s">
        <v>5913</v>
      </c>
    </row>
    <row r="22" spans="1:4" x14ac:dyDescent="0.2">
      <c r="A22" s="87">
        <v>42788</v>
      </c>
      <c r="B22" s="180" t="s">
        <v>67</v>
      </c>
      <c r="C22" s="180" t="s">
        <v>5914</v>
      </c>
      <c r="D22" s="180" t="s">
        <v>5913</v>
      </c>
    </row>
    <row r="23" spans="1:4" ht="38.25" x14ac:dyDescent="0.2">
      <c r="A23" s="87">
        <v>42791</v>
      </c>
      <c r="B23" s="720" t="s">
        <v>5882</v>
      </c>
      <c r="C23" s="180" t="s">
        <v>5912</v>
      </c>
      <c r="D23" s="1379" t="s">
        <v>5915</v>
      </c>
    </row>
    <row r="24" spans="1:4" ht="25.5" x14ac:dyDescent="0.2">
      <c r="A24" s="87">
        <v>42803</v>
      </c>
      <c r="B24" s="720" t="s">
        <v>5882</v>
      </c>
      <c r="C24" s="180" t="s">
        <v>5912</v>
      </c>
      <c r="D24" s="2120" t="s">
        <v>5916</v>
      </c>
    </row>
    <row r="25" spans="1:4" x14ac:dyDescent="0.2">
      <c r="A25" s="87">
        <v>42814</v>
      </c>
      <c r="B25" s="720" t="s">
        <v>5882</v>
      </c>
      <c r="C25" s="180" t="s">
        <v>5912</v>
      </c>
      <c r="D25" s="1379" t="s">
        <v>5917</v>
      </c>
    </row>
    <row r="26" spans="1:4" ht="51" x14ac:dyDescent="0.2">
      <c r="A26" s="87">
        <v>42830</v>
      </c>
      <c r="B26" s="720" t="s">
        <v>5882</v>
      </c>
      <c r="C26" s="180" t="s">
        <v>5918</v>
      </c>
      <c r="D26" s="1379" t="s">
        <v>5919</v>
      </c>
    </row>
    <row r="27" spans="1:4" ht="42.75" customHeight="1" x14ac:dyDescent="0.2">
      <c r="A27" s="87">
        <v>42843</v>
      </c>
      <c r="B27" s="720" t="s">
        <v>5920</v>
      </c>
      <c r="C27" s="180" t="s">
        <v>5921</v>
      </c>
      <c r="D27" s="1379" t="s">
        <v>5922</v>
      </c>
    </row>
    <row r="28" spans="1:4" ht="38.25" x14ac:dyDescent="0.2">
      <c r="A28" s="87">
        <v>42986</v>
      </c>
      <c r="B28" s="958" t="s">
        <v>5923</v>
      </c>
      <c r="C28" s="180" t="s">
        <v>5924</v>
      </c>
      <c r="D28" s="1379" t="s">
        <v>5925</v>
      </c>
    </row>
    <row r="29" spans="1:4" ht="89.25" x14ac:dyDescent="0.2">
      <c r="A29" s="87">
        <v>42986</v>
      </c>
      <c r="B29" s="720" t="s">
        <v>5926</v>
      </c>
      <c r="C29" s="180" t="s">
        <v>5927</v>
      </c>
      <c r="D29" s="1379" t="s">
        <v>5928</v>
      </c>
    </row>
    <row r="30" spans="1:4" ht="25.5" x14ac:dyDescent="0.2">
      <c r="A30" s="87">
        <v>42986</v>
      </c>
      <c r="B30" s="720" t="s">
        <v>83</v>
      </c>
      <c r="C30" s="180" t="s">
        <v>5929</v>
      </c>
      <c r="D30" s="1379" t="s">
        <v>5930</v>
      </c>
    </row>
    <row r="31" spans="1:4" ht="25.5" x14ac:dyDescent="0.2">
      <c r="A31" s="87">
        <v>42986</v>
      </c>
      <c r="B31" s="720" t="s">
        <v>84</v>
      </c>
      <c r="C31" s="180" t="s">
        <v>5929</v>
      </c>
      <c r="D31" s="1379" t="s">
        <v>5931</v>
      </c>
    </row>
    <row r="32" spans="1:4" ht="25.5" x14ac:dyDescent="0.2">
      <c r="A32" s="87">
        <v>42991</v>
      </c>
      <c r="B32" s="720" t="s">
        <v>43</v>
      </c>
      <c r="C32" s="1379" t="s">
        <v>5932</v>
      </c>
      <c r="D32" s="1379" t="s">
        <v>5933</v>
      </c>
    </row>
    <row r="33" spans="1:4" ht="38.25" x14ac:dyDescent="0.2">
      <c r="A33" s="87">
        <v>43080</v>
      </c>
      <c r="B33" s="720" t="s">
        <v>5907</v>
      </c>
      <c r="C33" s="1379" t="s">
        <v>5934</v>
      </c>
      <c r="D33" s="1379" t="s">
        <v>5935</v>
      </c>
    </row>
    <row r="34" spans="1:4" x14ac:dyDescent="0.2">
      <c r="A34" s="87">
        <v>43152</v>
      </c>
      <c r="B34" s="180" t="s">
        <v>64</v>
      </c>
      <c r="C34" s="180" t="s">
        <v>5936</v>
      </c>
      <c r="D34" s="180" t="s">
        <v>5937</v>
      </c>
    </row>
    <row r="35" spans="1:4" x14ac:dyDescent="0.2">
      <c r="A35" s="87">
        <v>43152</v>
      </c>
      <c r="B35" s="180" t="s">
        <v>67</v>
      </c>
      <c r="C35" s="180" t="s">
        <v>5938</v>
      </c>
      <c r="D35" s="180" t="s">
        <v>5937</v>
      </c>
    </row>
    <row r="36" spans="1:4" ht="25.5" x14ac:dyDescent="0.2">
      <c r="A36" s="87">
        <v>43152</v>
      </c>
      <c r="B36" s="720" t="s">
        <v>5882</v>
      </c>
      <c r="C36" s="180" t="s">
        <v>5936</v>
      </c>
      <c r="D36" s="1379" t="s">
        <v>5939</v>
      </c>
    </row>
    <row r="37" spans="1:4" ht="30" customHeight="1" x14ac:dyDescent="0.2">
      <c r="A37" s="87">
        <v>43161</v>
      </c>
      <c r="B37" s="180" t="s">
        <v>5940</v>
      </c>
      <c r="C37" s="180" t="s">
        <v>5941</v>
      </c>
      <c r="D37" s="1379" t="s">
        <v>5942</v>
      </c>
    </row>
    <row r="38" spans="1:4" ht="38.25" x14ac:dyDescent="0.2">
      <c r="A38" s="87">
        <v>43199</v>
      </c>
      <c r="B38" s="720" t="s">
        <v>5882</v>
      </c>
      <c r="C38" s="1379" t="s">
        <v>5943</v>
      </c>
      <c r="D38" s="1379" t="s">
        <v>5944</v>
      </c>
    </row>
    <row r="39" spans="1:4" ht="38.25" x14ac:dyDescent="0.2">
      <c r="A39" s="87">
        <v>43203</v>
      </c>
      <c r="B39" s="180" t="s">
        <v>5945</v>
      </c>
      <c r="C39" s="180" t="s">
        <v>5946</v>
      </c>
      <c r="D39" s="1379" t="s">
        <v>5947</v>
      </c>
    </row>
    <row r="40" spans="1:4" ht="25.5" x14ac:dyDescent="0.2">
      <c r="A40" s="1138">
        <v>43515</v>
      </c>
      <c r="B40" s="720" t="s">
        <v>5882</v>
      </c>
      <c r="C40" s="180" t="s">
        <v>5948</v>
      </c>
      <c r="D40" s="1379" t="s">
        <v>5949</v>
      </c>
    </row>
    <row r="41" spans="1:4" x14ac:dyDescent="0.2">
      <c r="A41" s="1138">
        <v>43517</v>
      </c>
      <c r="B41" s="180" t="s">
        <v>64</v>
      </c>
      <c r="C41" s="180" t="s">
        <v>5948</v>
      </c>
      <c r="D41" s="180" t="s">
        <v>5950</v>
      </c>
    </row>
    <row r="42" spans="1:4" ht="25.5" x14ac:dyDescent="0.2">
      <c r="A42" s="1138">
        <v>39869</v>
      </c>
      <c r="B42" s="720" t="s">
        <v>119</v>
      </c>
      <c r="C42" s="180" t="s">
        <v>5929</v>
      </c>
      <c r="D42" s="1379" t="s">
        <v>5951</v>
      </c>
    </row>
    <row r="43" spans="1:4" ht="25.5" x14ac:dyDescent="0.2">
      <c r="A43" s="87">
        <v>43521</v>
      </c>
      <c r="B43" s="180" t="s">
        <v>5873</v>
      </c>
      <c r="C43" s="1379" t="s">
        <v>5952</v>
      </c>
      <c r="D43" s="1379" t="s">
        <v>5953</v>
      </c>
    </row>
    <row r="44" spans="1:4" x14ac:dyDescent="0.2">
      <c r="A44" s="1138">
        <v>43525</v>
      </c>
      <c r="B44" s="720" t="s">
        <v>5882</v>
      </c>
      <c r="C44" s="180" t="s">
        <v>5954</v>
      </c>
      <c r="D44" s="1379" t="s">
        <v>5955</v>
      </c>
    </row>
    <row r="45" spans="1:4" ht="25.5" x14ac:dyDescent="0.2">
      <c r="A45" s="87">
        <v>43529</v>
      </c>
      <c r="B45" s="497" t="s">
        <v>5956</v>
      </c>
      <c r="C45" s="1379" t="s">
        <v>5957</v>
      </c>
      <c r="D45" s="1379" t="s">
        <v>5958</v>
      </c>
    </row>
    <row r="46" spans="1:4" ht="51" x14ac:dyDescent="0.2">
      <c r="A46" s="87">
        <v>43557</v>
      </c>
      <c r="B46" s="720" t="s">
        <v>5959</v>
      </c>
      <c r="C46" s="1379" t="s">
        <v>5960</v>
      </c>
      <c r="D46" s="1379" t="s">
        <v>5961</v>
      </c>
    </row>
    <row r="47" spans="1:4" ht="56.25" customHeight="1" x14ac:dyDescent="0.2">
      <c r="A47" s="1138">
        <v>43584</v>
      </c>
      <c r="B47" s="180" t="s">
        <v>5888</v>
      </c>
      <c r="C47" s="1379" t="s">
        <v>5962</v>
      </c>
      <c r="D47" s="1379" t="s">
        <v>5963</v>
      </c>
    </row>
    <row r="48" spans="1:4" ht="58.5" customHeight="1" x14ac:dyDescent="0.2">
      <c r="A48" s="1138">
        <v>43584</v>
      </c>
      <c r="B48" s="1253" t="s">
        <v>5964</v>
      </c>
      <c r="C48" s="1379" t="s">
        <v>5965</v>
      </c>
      <c r="D48" s="1379" t="s">
        <v>5966</v>
      </c>
    </row>
    <row r="49" spans="1:4" ht="69" customHeight="1" x14ac:dyDescent="0.2">
      <c r="A49" s="1138">
        <v>43585</v>
      </c>
      <c r="B49" s="180" t="s">
        <v>5967</v>
      </c>
      <c r="C49" s="1379" t="s">
        <v>5968</v>
      </c>
      <c r="D49" s="1379" t="s">
        <v>5969</v>
      </c>
    </row>
    <row r="50" spans="1:4" ht="81.75" customHeight="1" x14ac:dyDescent="0.2">
      <c r="A50" s="87">
        <v>43804</v>
      </c>
      <c r="B50" s="180" t="s">
        <v>50</v>
      </c>
      <c r="C50" s="1379" t="s">
        <v>5970</v>
      </c>
      <c r="D50" s="1379" t="s">
        <v>5971</v>
      </c>
    </row>
    <row r="51" spans="1:4" ht="25.5" x14ac:dyDescent="0.2">
      <c r="A51" s="1138">
        <v>43893</v>
      </c>
      <c r="B51" s="720" t="s">
        <v>5882</v>
      </c>
      <c r="C51" s="180" t="s">
        <v>5972</v>
      </c>
      <c r="D51" s="1379" t="s">
        <v>5973</v>
      </c>
    </row>
    <row r="52" spans="1:4" x14ac:dyDescent="0.2">
      <c r="A52" s="1138">
        <v>43899</v>
      </c>
      <c r="B52" s="180" t="s">
        <v>64</v>
      </c>
      <c r="C52" s="180" t="s">
        <v>5972</v>
      </c>
      <c r="D52" s="180" t="s">
        <v>5974</v>
      </c>
    </row>
    <row r="53" spans="1:4" ht="51" x14ac:dyDescent="0.2">
      <c r="A53" s="87">
        <v>43907</v>
      </c>
      <c r="B53" s="1325" t="s">
        <v>5975</v>
      </c>
      <c r="C53" s="1379" t="s">
        <v>5976</v>
      </c>
      <c r="D53" s="1379" t="s">
        <v>5977</v>
      </c>
    </row>
    <row r="54" spans="1:4" ht="25.5" x14ac:dyDescent="0.2">
      <c r="A54" s="1138">
        <v>44245</v>
      </c>
      <c r="B54" s="720" t="s">
        <v>5882</v>
      </c>
      <c r="C54" s="180" t="s">
        <v>5978</v>
      </c>
      <c r="D54" s="1379" t="s">
        <v>5979</v>
      </c>
    </row>
    <row r="55" spans="1:4" x14ac:dyDescent="0.2">
      <c r="A55" s="1138">
        <v>44249</v>
      </c>
      <c r="B55" s="180" t="s">
        <v>64</v>
      </c>
      <c r="C55" s="180" t="s">
        <v>5978</v>
      </c>
      <c r="D55" s="180" t="s">
        <v>5980</v>
      </c>
    </row>
    <row r="56" spans="1:4" x14ac:dyDescent="0.2">
      <c r="A56" s="87">
        <v>44259</v>
      </c>
      <c r="B56" s="720" t="s">
        <v>5882</v>
      </c>
      <c r="C56" s="180" t="s">
        <v>5978</v>
      </c>
      <c r="D56" s="1379" t="s">
        <v>5981</v>
      </c>
    </row>
    <row r="57" spans="1:4" ht="25.5" x14ac:dyDescent="0.2">
      <c r="A57" s="87">
        <v>44293</v>
      </c>
      <c r="B57" s="720" t="s">
        <v>5882</v>
      </c>
      <c r="C57" s="180" t="s">
        <v>5978</v>
      </c>
      <c r="D57" s="1379" t="s">
        <v>5982</v>
      </c>
    </row>
    <row r="58" spans="1:4" ht="38.25" x14ac:dyDescent="0.2">
      <c r="A58" s="87">
        <v>44294</v>
      </c>
      <c r="B58" s="720" t="s">
        <v>5983</v>
      </c>
      <c r="C58" s="180" t="s">
        <v>5984</v>
      </c>
      <c r="D58" s="1379" t="s">
        <v>5985</v>
      </c>
    </row>
    <row r="59" spans="1:4" ht="38.25" x14ac:dyDescent="0.2">
      <c r="A59" s="87">
        <v>44298</v>
      </c>
      <c r="B59" s="720" t="s">
        <v>5986</v>
      </c>
      <c r="C59" s="180" t="s">
        <v>5987</v>
      </c>
      <c r="D59" s="1379" t="s">
        <v>5988</v>
      </c>
    </row>
    <row r="60" spans="1:4" x14ac:dyDescent="0.2">
      <c r="A60" s="87">
        <v>44301</v>
      </c>
      <c r="B60" s="720" t="s">
        <v>5986</v>
      </c>
      <c r="C60" s="180" t="s">
        <v>5978</v>
      </c>
      <c r="D60" s="1379" t="s">
        <v>5989</v>
      </c>
    </row>
    <row r="61" spans="1:4" ht="76.5" x14ac:dyDescent="0.2">
      <c r="A61" s="87">
        <v>44435</v>
      </c>
      <c r="B61" s="1325" t="s">
        <v>5975</v>
      </c>
      <c r="C61" s="1379" t="s">
        <v>5990</v>
      </c>
      <c r="D61" s="1379" t="s">
        <v>5991</v>
      </c>
    </row>
    <row r="62" spans="1:4" s="180" customFormat="1" ht="25.5" x14ac:dyDescent="0.2">
      <c r="A62" s="1138">
        <v>44603</v>
      </c>
      <c r="B62" s="618" t="s">
        <v>5992</v>
      </c>
      <c r="C62" s="180" t="s">
        <v>5993</v>
      </c>
      <c r="D62" s="1379" t="s">
        <v>5994</v>
      </c>
    </row>
    <row r="63" spans="1:4" x14ac:dyDescent="0.2">
      <c r="A63" s="1138">
        <v>44609</v>
      </c>
      <c r="B63" s="180" t="s">
        <v>64</v>
      </c>
      <c r="C63" s="180" t="s">
        <v>5995</v>
      </c>
      <c r="D63" s="180" t="s">
        <v>5996</v>
      </c>
    </row>
    <row r="64" spans="1:4" ht="25.5" customHeight="1" x14ac:dyDescent="0.2">
      <c r="A64" s="1138">
        <v>44610</v>
      </c>
      <c r="B64" s="180" t="s">
        <v>5964</v>
      </c>
      <c r="C64" s="180" t="s">
        <v>5995</v>
      </c>
      <c r="D64" s="1379" t="s">
        <v>5997</v>
      </c>
    </row>
    <row r="65" spans="1:4" ht="42.95" customHeight="1" x14ac:dyDescent="0.2">
      <c r="A65" s="1138">
        <v>44615</v>
      </c>
      <c r="B65" s="720" t="s">
        <v>5882</v>
      </c>
      <c r="C65" s="180" t="s">
        <v>5995</v>
      </c>
      <c r="D65" s="1379" t="s">
        <v>5998</v>
      </c>
    </row>
    <row r="66" spans="1:4" ht="36.950000000000003" customHeight="1" x14ac:dyDescent="0.2">
      <c r="A66" s="87">
        <v>44622</v>
      </c>
      <c r="B66" s="720" t="s">
        <v>5882</v>
      </c>
      <c r="C66" s="1379" t="s">
        <v>5999</v>
      </c>
      <c r="D66" s="1379" t="s">
        <v>6000</v>
      </c>
    </row>
    <row r="67" spans="1:4" ht="38.25" x14ac:dyDescent="0.2">
      <c r="A67" s="87">
        <v>44622</v>
      </c>
      <c r="B67" s="958" t="s">
        <v>6001</v>
      </c>
      <c r="C67" s="1379" t="s">
        <v>6002</v>
      </c>
      <c r="D67" s="1379" t="s">
        <v>6003</v>
      </c>
    </row>
    <row r="68" spans="1:4" ht="33.75" customHeight="1" x14ac:dyDescent="0.2">
      <c r="A68" s="87">
        <v>44630</v>
      </c>
      <c r="B68" s="180" t="s">
        <v>5882</v>
      </c>
      <c r="C68" s="1379" t="s">
        <v>6002</v>
      </c>
      <c r="D68" s="1379" t="s">
        <v>6004</v>
      </c>
    </row>
    <row r="69" spans="1:4" ht="25.5" x14ac:dyDescent="0.2">
      <c r="A69" s="87">
        <v>44630</v>
      </c>
      <c r="B69" s="180" t="s">
        <v>5983</v>
      </c>
      <c r="C69" s="1487" t="s">
        <v>6005</v>
      </c>
      <c r="D69" s="1379" t="s">
        <v>6006</v>
      </c>
    </row>
    <row r="70" spans="1:4" ht="25.5" x14ac:dyDescent="0.2">
      <c r="A70" s="87">
        <v>44631</v>
      </c>
      <c r="B70" s="180" t="s">
        <v>5983</v>
      </c>
      <c r="C70" s="1487" t="s">
        <v>6005</v>
      </c>
      <c r="D70" s="1379" t="s">
        <v>6007</v>
      </c>
    </row>
    <row r="71" spans="1:4" ht="25.5" x14ac:dyDescent="0.2">
      <c r="A71" s="87">
        <v>44658</v>
      </c>
      <c r="B71" s="180" t="s">
        <v>5983</v>
      </c>
      <c r="C71" s="1487" t="s">
        <v>6005</v>
      </c>
      <c r="D71" s="1379" t="s">
        <v>6008</v>
      </c>
    </row>
    <row r="72" spans="1:4" x14ac:dyDescent="0.2">
      <c r="A72" s="87">
        <v>44661</v>
      </c>
      <c r="B72" s="180" t="s">
        <v>5983</v>
      </c>
      <c r="C72" s="1487" t="s">
        <v>6005</v>
      </c>
      <c r="D72" s="1379" t="s">
        <v>6009</v>
      </c>
    </row>
    <row r="73" spans="1:4" ht="39" customHeight="1" x14ac:dyDescent="0.2">
      <c r="A73" s="87">
        <v>44662</v>
      </c>
      <c r="B73" s="720" t="s">
        <v>5986</v>
      </c>
      <c r="C73" s="180" t="s">
        <v>5995</v>
      </c>
      <c r="D73" s="1379" t="s">
        <v>7546</v>
      </c>
    </row>
    <row r="80" spans="1:4" x14ac:dyDescent="0.2">
      <c r="B80" s="37"/>
    </row>
    <row r="85" spans="1:2" x14ac:dyDescent="0.2">
      <c r="A85" s="87"/>
      <c r="B85" s="37"/>
    </row>
    <row r="86" spans="1:2" x14ac:dyDescent="0.2">
      <c r="B86" s="136"/>
    </row>
    <row r="87" spans="1:2" x14ac:dyDescent="0.2">
      <c r="B87" s="135"/>
    </row>
    <row r="89" spans="1:2" x14ac:dyDescent="0.2">
      <c r="B89" s="37"/>
    </row>
    <row r="91" spans="1:2" x14ac:dyDescent="0.2">
      <c r="B91" s="37"/>
    </row>
    <row r="93" spans="1:2" x14ac:dyDescent="0.2">
      <c r="B93" s="180"/>
    </row>
    <row r="94" spans="1:2" x14ac:dyDescent="0.2">
      <c r="B94" s="180"/>
    </row>
  </sheetData>
  <phoneticPr fontId="0" type="noConversion"/>
  <pageMargins left="0.75" right="0.75" top="1" bottom="1" header="0.5" footer="0.5"/>
  <pageSetup scale="8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pageSetUpPr fitToPage="1"/>
  </sheetPr>
  <dimension ref="A1:L848"/>
  <sheetViews>
    <sheetView topLeftCell="A5" workbookViewId="0">
      <selection activeCell="K29" sqref="K29"/>
    </sheetView>
  </sheetViews>
  <sheetFormatPr defaultColWidth="9.5703125" defaultRowHeight="12.75" x14ac:dyDescent="0.2"/>
  <cols>
    <col min="1" max="1" width="26.28515625" customWidth="1"/>
    <col min="2" max="2" width="12.85546875" customWidth="1"/>
    <col min="4" max="4" width="16.140625" customWidth="1"/>
  </cols>
  <sheetData>
    <row r="1" spans="1:7" x14ac:dyDescent="0.2">
      <c r="A1" s="37"/>
    </row>
    <row r="3" spans="1:7" x14ac:dyDescent="0.2">
      <c r="A3" t="s">
        <v>6010</v>
      </c>
      <c r="C3" t="s">
        <v>2333</v>
      </c>
      <c r="D3" s="36">
        <f>'ColR&amp;OCN&amp;RogKlam'!C11</f>
        <v>195239.78035896231</v>
      </c>
    </row>
    <row r="4" spans="1:7" x14ac:dyDescent="0.2">
      <c r="C4" t="s">
        <v>2334</v>
      </c>
      <c r="D4" s="36">
        <f>'ColR&amp;OCN&amp;RogKlam'!B11</f>
        <v>184007.42172373398</v>
      </c>
    </row>
    <row r="5" spans="1:7" x14ac:dyDescent="0.2">
      <c r="A5" t="s">
        <v>6011</v>
      </c>
      <c r="C5" t="s">
        <v>2333</v>
      </c>
      <c r="D5" s="36">
        <f>'ColR&amp;OCN&amp;RogKlam'!F11</f>
        <v>44992.486870012232</v>
      </c>
    </row>
    <row r="6" spans="1:7" x14ac:dyDescent="0.2">
      <c r="C6" t="s">
        <v>2334</v>
      </c>
      <c r="D6" s="36">
        <f>'ColR&amp;OCN&amp;RogKlam'!E11</f>
        <v>196092.13483391071</v>
      </c>
    </row>
    <row r="8" spans="1:7" ht="25.5" x14ac:dyDescent="0.35">
      <c r="A8" s="356" t="s">
        <v>6012</v>
      </c>
    </row>
    <row r="9" spans="1:7" x14ac:dyDescent="0.2">
      <c r="G9" s="87"/>
    </row>
    <row r="12" spans="1:7" x14ac:dyDescent="0.2">
      <c r="A12" t="s">
        <v>6013</v>
      </c>
    </row>
    <row r="14" spans="1:7" x14ac:dyDescent="0.2">
      <c r="A14" t="s">
        <v>6014</v>
      </c>
      <c r="B14" t="s">
        <v>6015</v>
      </c>
      <c r="C14" t="s">
        <v>5798</v>
      </c>
    </row>
    <row r="15" spans="1:7" x14ac:dyDescent="0.2">
      <c r="A15" t="s">
        <v>6016</v>
      </c>
      <c r="B15" t="s">
        <v>6017</v>
      </c>
      <c r="C15" t="s">
        <v>6018</v>
      </c>
      <c r="D15" t="s">
        <v>6019</v>
      </c>
      <c r="E15" t="s">
        <v>6020</v>
      </c>
      <c r="F15" t="s">
        <v>6018</v>
      </c>
      <c r="G15" t="s">
        <v>6020</v>
      </c>
    </row>
    <row r="16" spans="1:7" x14ac:dyDescent="0.2">
      <c r="A16" t="s">
        <v>6021</v>
      </c>
      <c r="B16" t="s">
        <v>6022</v>
      </c>
      <c r="C16" t="s">
        <v>6023</v>
      </c>
      <c r="D16" t="s">
        <v>6024</v>
      </c>
      <c r="E16" t="s">
        <v>6025</v>
      </c>
      <c r="F16" t="s">
        <v>4949</v>
      </c>
    </row>
    <row r="17" spans="1:12" x14ac:dyDescent="0.2">
      <c r="A17" t="s">
        <v>126</v>
      </c>
      <c r="B17" t="s">
        <v>4262</v>
      </c>
      <c r="C17" t="s">
        <v>4263</v>
      </c>
      <c r="D17" t="s">
        <v>4264</v>
      </c>
      <c r="E17" t="s">
        <v>2308</v>
      </c>
      <c r="F17" t="s">
        <v>615</v>
      </c>
      <c r="G17" t="s">
        <v>236</v>
      </c>
    </row>
    <row r="18" spans="1:12" x14ac:dyDescent="0.2">
      <c r="A18" t="s">
        <v>6016</v>
      </c>
      <c r="B18" t="s">
        <v>6017</v>
      </c>
      <c r="C18" t="s">
        <v>6018</v>
      </c>
      <c r="D18" t="s">
        <v>6019</v>
      </c>
      <c r="E18" t="s">
        <v>6020</v>
      </c>
      <c r="F18" t="s">
        <v>6018</v>
      </c>
      <c r="G18" t="s">
        <v>6020</v>
      </c>
    </row>
    <row r="19" spans="1:12" x14ac:dyDescent="0.2">
      <c r="A19" t="s">
        <v>4265</v>
      </c>
      <c r="B19">
        <f>Table2PRN!B6942</f>
        <v>0</v>
      </c>
      <c r="C19">
        <f>Table2PRN!C6942</f>
        <v>0</v>
      </c>
      <c r="D19">
        <f>Table2PRN!D6942</f>
        <v>0</v>
      </c>
      <c r="E19">
        <f>Table2PRN!E6942</f>
        <v>0</v>
      </c>
      <c r="F19">
        <f>Table2PRN!F6942</f>
        <v>0</v>
      </c>
      <c r="G19">
        <f>Table2PRN!G6942</f>
        <v>0</v>
      </c>
      <c r="K19">
        <f>SUM(G185:G216)</f>
        <v>257</v>
      </c>
      <c r="L19" t="s">
        <v>6026</v>
      </c>
    </row>
    <row r="20" spans="1:12" x14ac:dyDescent="0.2">
      <c r="A20" t="s">
        <v>4266</v>
      </c>
      <c r="B20">
        <f>Table2PRN!B6943</f>
        <v>0</v>
      </c>
      <c r="C20">
        <f>Table2PRN!C6943</f>
        <v>0</v>
      </c>
      <c r="D20">
        <f>Table2PRN!D6943</f>
        <v>0</v>
      </c>
      <c r="E20">
        <f>Table2PRN!E6943</f>
        <v>0</v>
      </c>
      <c r="F20">
        <f>Table2PRN!F6943</f>
        <v>0</v>
      </c>
      <c r="G20">
        <f>Table2PRN!G6943</f>
        <v>0</v>
      </c>
      <c r="K20">
        <f>SUM(G21:G40,G51:G184)</f>
        <v>30478</v>
      </c>
      <c r="L20" t="s">
        <v>6027</v>
      </c>
    </row>
    <row r="21" spans="1:12" x14ac:dyDescent="0.2">
      <c r="A21" t="s">
        <v>4267</v>
      </c>
      <c r="B21">
        <f>Table2PRN!B6944</f>
        <v>76</v>
      </c>
      <c r="C21">
        <f>Table2PRN!C6944</f>
        <v>6</v>
      </c>
      <c r="D21">
        <f>Table2PRN!D6944</f>
        <v>1</v>
      </c>
      <c r="E21">
        <f>Table2PRN!E6944</f>
        <v>0</v>
      </c>
      <c r="F21">
        <f>Table2PRN!F6944</f>
        <v>0</v>
      </c>
      <c r="G21">
        <f>Table2PRN!G6944</f>
        <v>83</v>
      </c>
      <c r="K21">
        <f>SUM(G54,G57,G61)</f>
        <v>4660</v>
      </c>
      <c r="L21" t="s">
        <v>6028</v>
      </c>
    </row>
    <row r="22" spans="1:12" x14ac:dyDescent="0.2">
      <c r="A22" t="s">
        <v>4268</v>
      </c>
      <c r="B22">
        <f>Table2PRN!B6945</f>
        <v>0</v>
      </c>
      <c r="C22">
        <f>Table2PRN!C6945</f>
        <v>14</v>
      </c>
      <c r="D22">
        <f>Table2PRN!D6945</f>
        <v>3</v>
      </c>
      <c r="E22">
        <f>Table2PRN!E6945</f>
        <v>0</v>
      </c>
      <c r="F22">
        <f>Table2PRN!F6945</f>
        <v>0</v>
      </c>
      <c r="G22">
        <f>Table2PRN!G6945</f>
        <v>17</v>
      </c>
      <c r="K22">
        <f>SUM(G41)</f>
        <v>6963</v>
      </c>
      <c r="L22" t="s">
        <v>145</v>
      </c>
    </row>
    <row r="23" spans="1:12" x14ac:dyDescent="0.2">
      <c r="A23" t="s">
        <v>4269</v>
      </c>
      <c r="B23">
        <f>Table2PRN!B6946</f>
        <v>96</v>
      </c>
      <c r="C23">
        <f>Table2PRN!C6946</f>
        <v>0</v>
      </c>
      <c r="D23">
        <f>Table2PRN!D6946</f>
        <v>4</v>
      </c>
      <c r="E23">
        <f>Table2PRN!E6946</f>
        <v>0</v>
      </c>
      <c r="F23">
        <f>Table2PRN!F6946</f>
        <v>0</v>
      </c>
      <c r="G23">
        <f>Table2PRN!G6946</f>
        <v>101</v>
      </c>
      <c r="K23">
        <f>SUM(K19:K22)</f>
        <v>42358</v>
      </c>
      <c r="L23" t="s">
        <v>350</v>
      </c>
    </row>
    <row r="24" spans="1:12" x14ac:dyDescent="0.2">
      <c r="A24" t="s">
        <v>4270</v>
      </c>
      <c r="B24">
        <f>Table2PRN!B6947</f>
        <v>0</v>
      </c>
      <c r="C24">
        <f>Table2PRN!C6947</f>
        <v>0</v>
      </c>
      <c r="D24">
        <f>Table2PRN!D6947</f>
        <v>0</v>
      </c>
      <c r="E24">
        <f>Table2PRN!E6947</f>
        <v>0</v>
      </c>
      <c r="F24">
        <f>Table2PRN!F6947</f>
        <v>0</v>
      </c>
      <c r="G24">
        <f>Table2PRN!G6947</f>
        <v>0</v>
      </c>
    </row>
    <row r="25" spans="1:12" x14ac:dyDescent="0.2">
      <c r="A25" t="s">
        <v>4271</v>
      </c>
      <c r="B25">
        <f>Table2PRN!B6948</f>
        <v>22</v>
      </c>
      <c r="C25">
        <f>Table2PRN!C6948</f>
        <v>3</v>
      </c>
      <c r="D25">
        <f>Table2PRN!D6948</f>
        <v>0</v>
      </c>
      <c r="E25">
        <f>Table2PRN!E6948</f>
        <v>1</v>
      </c>
      <c r="F25">
        <f>Table2PRN!F6948</f>
        <v>0</v>
      </c>
      <c r="G25">
        <f>Table2PRN!G6948</f>
        <v>26</v>
      </c>
    </row>
    <row r="26" spans="1:12" x14ac:dyDescent="0.2">
      <c r="A26" t="s">
        <v>4272</v>
      </c>
      <c r="B26">
        <f>Table2PRN!B6949</f>
        <v>48</v>
      </c>
      <c r="C26">
        <f>Table2PRN!C6949</f>
        <v>1</v>
      </c>
      <c r="D26">
        <f>Table2PRN!D6949</f>
        <v>0</v>
      </c>
      <c r="E26">
        <f>Table2PRN!E6949</f>
        <v>0</v>
      </c>
      <c r="F26">
        <f>Table2PRN!F6949</f>
        <v>0</v>
      </c>
      <c r="G26">
        <f>Table2PRN!G6949</f>
        <v>49</v>
      </c>
    </row>
    <row r="27" spans="1:12" x14ac:dyDescent="0.2">
      <c r="A27" t="s">
        <v>4273</v>
      </c>
      <c r="B27">
        <f>Table2PRN!B6950</f>
        <v>0</v>
      </c>
      <c r="C27">
        <f>Table2PRN!C6950</f>
        <v>0</v>
      </c>
      <c r="D27">
        <f>Table2PRN!D6950</f>
        <v>0</v>
      </c>
      <c r="E27">
        <f>Table2PRN!E6950</f>
        <v>0</v>
      </c>
      <c r="F27">
        <f>Table2PRN!F6950</f>
        <v>0</v>
      </c>
      <c r="G27">
        <f>Table2PRN!G6950</f>
        <v>0</v>
      </c>
    </row>
    <row r="28" spans="1:12" x14ac:dyDescent="0.2">
      <c r="A28" t="s">
        <v>4274</v>
      </c>
      <c r="B28">
        <f>Table2PRN!B6951</f>
        <v>0</v>
      </c>
      <c r="C28">
        <f>Table2PRN!C6951</f>
        <v>0</v>
      </c>
      <c r="D28">
        <f>Table2PRN!D6951</f>
        <v>0</v>
      </c>
      <c r="E28">
        <f>Table2PRN!E6951</f>
        <v>0</v>
      </c>
      <c r="F28">
        <f>Table2PRN!F6951</f>
        <v>0</v>
      </c>
      <c r="G28">
        <f>Table2PRN!G6951</f>
        <v>0</v>
      </c>
    </row>
    <row r="29" spans="1:12" x14ac:dyDescent="0.2">
      <c r="A29" t="s">
        <v>4275</v>
      </c>
      <c r="B29">
        <f>Table2PRN!B6952</f>
        <v>0</v>
      </c>
      <c r="C29">
        <f>Table2PRN!C6952</f>
        <v>0</v>
      </c>
      <c r="D29">
        <f>Table2PRN!D6952</f>
        <v>0</v>
      </c>
      <c r="E29">
        <f>Table2PRN!E6952</f>
        <v>0</v>
      </c>
      <c r="F29">
        <f>Table2PRN!F6952</f>
        <v>0</v>
      </c>
      <c r="G29">
        <f>Table2PRN!G6952</f>
        <v>0</v>
      </c>
    </row>
    <row r="30" spans="1:12" x14ac:dyDescent="0.2">
      <c r="A30" t="s">
        <v>4276</v>
      </c>
      <c r="B30">
        <f>Table2PRN!B6953</f>
        <v>0</v>
      </c>
      <c r="C30">
        <f>Table2PRN!C6953</f>
        <v>0</v>
      </c>
      <c r="D30">
        <f>Table2PRN!D6953</f>
        <v>0</v>
      </c>
      <c r="E30">
        <f>Table2PRN!E6953</f>
        <v>0</v>
      </c>
      <c r="F30">
        <f>Table2PRN!F6953</f>
        <v>0</v>
      </c>
      <c r="G30">
        <f>Table2PRN!G6953</f>
        <v>0</v>
      </c>
    </row>
    <row r="31" spans="1:12" x14ac:dyDescent="0.2">
      <c r="A31" t="s">
        <v>4277</v>
      </c>
      <c r="B31">
        <f>Table2PRN!B6954</f>
        <v>0</v>
      </c>
      <c r="C31">
        <f>Table2PRN!C6954</f>
        <v>0</v>
      </c>
      <c r="D31">
        <f>Table2PRN!D6954</f>
        <v>0</v>
      </c>
      <c r="E31">
        <f>Table2PRN!E6954</f>
        <v>0</v>
      </c>
      <c r="F31">
        <f>Table2PRN!F6954</f>
        <v>0</v>
      </c>
      <c r="G31">
        <f>Table2PRN!G6954</f>
        <v>0</v>
      </c>
    </row>
    <row r="32" spans="1:12" x14ac:dyDescent="0.2">
      <c r="A32" t="s">
        <v>4278</v>
      </c>
      <c r="B32">
        <f>Table2PRN!B6955</f>
        <v>0</v>
      </c>
      <c r="C32">
        <f>Table2PRN!C6955</f>
        <v>0</v>
      </c>
      <c r="D32">
        <f>Table2PRN!D6955</f>
        <v>0</v>
      </c>
      <c r="E32">
        <f>Table2PRN!E6955</f>
        <v>0</v>
      </c>
      <c r="F32">
        <f>Table2PRN!F6955</f>
        <v>0</v>
      </c>
      <c r="G32">
        <f>Table2PRN!G6955</f>
        <v>0</v>
      </c>
    </row>
    <row r="33" spans="1:7" x14ac:dyDescent="0.2">
      <c r="A33" t="s">
        <v>4279</v>
      </c>
      <c r="B33">
        <f>Table2PRN!B6956</f>
        <v>86</v>
      </c>
      <c r="C33">
        <f>Table2PRN!C6956</f>
        <v>36</v>
      </c>
      <c r="D33">
        <f>Table2PRN!D6956</f>
        <v>29</v>
      </c>
      <c r="E33">
        <f>Table2PRN!E6956</f>
        <v>0</v>
      </c>
      <c r="F33">
        <f>Table2PRN!F6956</f>
        <v>0</v>
      </c>
      <c r="G33">
        <f>Table2PRN!G6956</f>
        <v>152</v>
      </c>
    </row>
    <row r="34" spans="1:7" x14ac:dyDescent="0.2">
      <c r="A34" t="s">
        <v>4280</v>
      </c>
      <c r="B34">
        <f>Table2PRN!B6957</f>
        <v>5</v>
      </c>
      <c r="C34">
        <f>Table2PRN!C6957</f>
        <v>15</v>
      </c>
      <c r="D34">
        <f>Table2PRN!D6957</f>
        <v>1</v>
      </c>
      <c r="E34">
        <f>Table2PRN!E6957</f>
        <v>0</v>
      </c>
      <c r="F34">
        <f>Table2PRN!F6957</f>
        <v>0</v>
      </c>
      <c r="G34">
        <f>Table2PRN!G6957</f>
        <v>21</v>
      </c>
    </row>
    <row r="35" spans="1:7" x14ac:dyDescent="0.2">
      <c r="A35" t="s">
        <v>4281</v>
      </c>
      <c r="B35">
        <f>Table2PRN!B6958</f>
        <v>1056</v>
      </c>
      <c r="C35">
        <f>Table2PRN!C6958</f>
        <v>1333</v>
      </c>
      <c r="D35">
        <f>Table2PRN!D6958</f>
        <v>2071</v>
      </c>
      <c r="E35">
        <f>Table2PRN!E6958</f>
        <v>1273</v>
      </c>
      <c r="F35">
        <f>Table2PRN!F6958</f>
        <v>0</v>
      </c>
      <c r="G35">
        <f>Table2PRN!G6958</f>
        <v>5732</v>
      </c>
    </row>
    <row r="36" spans="1:7" x14ac:dyDescent="0.2">
      <c r="A36" t="s">
        <v>4282</v>
      </c>
      <c r="B36">
        <f>Table2PRN!B6959</f>
        <v>652</v>
      </c>
      <c r="C36">
        <f>Table2PRN!C6959</f>
        <v>558</v>
      </c>
      <c r="D36">
        <f>Table2PRN!D6959</f>
        <v>725</v>
      </c>
      <c r="E36">
        <f>Table2PRN!E6959</f>
        <v>26</v>
      </c>
      <c r="F36">
        <f>Table2PRN!F6959</f>
        <v>0</v>
      </c>
      <c r="G36">
        <f>Table2PRN!G6959</f>
        <v>1962</v>
      </c>
    </row>
    <row r="37" spans="1:7" x14ac:dyDescent="0.2">
      <c r="A37" t="s">
        <v>4283</v>
      </c>
      <c r="B37">
        <f>Table2PRN!B6960</f>
        <v>625</v>
      </c>
      <c r="C37">
        <f>Table2PRN!C6960</f>
        <v>611</v>
      </c>
      <c r="D37">
        <f>Table2PRN!D6960</f>
        <v>375</v>
      </c>
      <c r="E37">
        <f>Table2PRN!E6960</f>
        <v>409</v>
      </c>
      <c r="F37">
        <f>Table2PRN!F6960</f>
        <v>0</v>
      </c>
      <c r="G37">
        <f>Table2PRN!G6960</f>
        <v>2020</v>
      </c>
    </row>
    <row r="38" spans="1:7" x14ac:dyDescent="0.2">
      <c r="A38" t="s">
        <v>4284</v>
      </c>
      <c r="B38">
        <f>Table2PRN!B6961</f>
        <v>93</v>
      </c>
      <c r="C38">
        <f>Table2PRN!C6961</f>
        <v>0</v>
      </c>
      <c r="D38">
        <f>Table2PRN!D6961</f>
        <v>98</v>
      </c>
      <c r="E38">
        <f>Table2PRN!E6961</f>
        <v>10</v>
      </c>
      <c r="F38">
        <f>Table2PRN!F6961</f>
        <v>0</v>
      </c>
      <c r="G38">
        <f>Table2PRN!G6961</f>
        <v>201</v>
      </c>
    </row>
    <row r="39" spans="1:7" x14ac:dyDescent="0.2">
      <c r="A39" t="s">
        <v>4285</v>
      </c>
      <c r="B39">
        <f>Table2PRN!B6962</f>
        <v>485</v>
      </c>
      <c r="C39">
        <f>Table2PRN!C6962</f>
        <v>693</v>
      </c>
      <c r="D39">
        <f>Table2PRN!D6962</f>
        <v>786</v>
      </c>
      <c r="E39">
        <f>Table2PRN!E6962</f>
        <v>548</v>
      </c>
      <c r="F39">
        <f>Table2PRN!F6962</f>
        <v>0</v>
      </c>
      <c r="G39">
        <f>Table2PRN!G6962</f>
        <v>2511</v>
      </c>
    </row>
    <row r="40" spans="1:7" x14ac:dyDescent="0.2">
      <c r="A40" t="s">
        <v>4286</v>
      </c>
      <c r="B40">
        <f>Table2PRN!B6963</f>
        <v>176</v>
      </c>
      <c r="C40">
        <f>Table2PRN!C6963</f>
        <v>21</v>
      </c>
      <c r="D40">
        <f>Table2PRN!D6963</f>
        <v>49</v>
      </c>
      <c r="E40">
        <f>Table2PRN!E6963</f>
        <v>13</v>
      </c>
      <c r="F40">
        <f>Table2PRN!F6963</f>
        <v>0</v>
      </c>
      <c r="G40">
        <f>Table2PRN!G6963</f>
        <v>259</v>
      </c>
    </row>
    <row r="41" spans="1:7" x14ac:dyDescent="0.2">
      <c r="A41" t="s">
        <v>4287</v>
      </c>
      <c r="B41">
        <f>Table2PRN!B6964</f>
        <v>0</v>
      </c>
      <c r="C41">
        <f>Table2PRN!C6964</f>
        <v>0</v>
      </c>
      <c r="D41">
        <f>Table2PRN!D6964</f>
        <v>0</v>
      </c>
      <c r="E41">
        <f>Table2PRN!E6964</f>
        <v>6963</v>
      </c>
      <c r="F41">
        <f>Table2PRN!F6964</f>
        <v>0</v>
      </c>
      <c r="G41">
        <f>Table2PRN!G6964</f>
        <v>6963</v>
      </c>
    </row>
    <row r="42" spans="1:7" x14ac:dyDescent="0.2">
      <c r="A42" t="s">
        <v>4288</v>
      </c>
      <c r="B42">
        <f>Table2PRN!B6965</f>
        <v>0</v>
      </c>
      <c r="C42">
        <f>Table2PRN!C6965</f>
        <v>0</v>
      </c>
      <c r="D42">
        <f>Table2PRN!D6965</f>
        <v>0</v>
      </c>
      <c r="E42">
        <f>Table2PRN!E6965</f>
        <v>0</v>
      </c>
      <c r="F42">
        <f>Table2PRN!F6965</f>
        <v>770</v>
      </c>
      <c r="G42">
        <f>Table2PRN!G6965</f>
        <v>770</v>
      </c>
    </row>
    <row r="43" spans="1:7" x14ac:dyDescent="0.2">
      <c r="A43" t="s">
        <v>4289</v>
      </c>
      <c r="B43">
        <f>Table2PRN!B6966</f>
        <v>0</v>
      </c>
      <c r="C43">
        <f>Table2PRN!C6966</f>
        <v>0</v>
      </c>
      <c r="D43">
        <f>Table2PRN!D6966</f>
        <v>0</v>
      </c>
      <c r="E43">
        <f>Table2PRN!E6966</f>
        <v>0</v>
      </c>
      <c r="F43">
        <f>Table2PRN!F6966</f>
        <v>58197</v>
      </c>
      <c r="G43">
        <f>Table2PRN!G6966</f>
        <v>58197</v>
      </c>
    </row>
    <row r="44" spans="1:7" x14ac:dyDescent="0.2">
      <c r="A44" t="s">
        <v>4290</v>
      </c>
      <c r="B44">
        <f>Table2PRN!B6967</f>
        <v>0</v>
      </c>
      <c r="C44">
        <f>Table2PRN!C6967</f>
        <v>0</v>
      </c>
      <c r="D44">
        <f>Table2PRN!D6967</f>
        <v>0</v>
      </c>
      <c r="E44">
        <f>Table2PRN!E6967</f>
        <v>0</v>
      </c>
      <c r="F44">
        <f>Table2PRN!F6967</f>
        <v>6740</v>
      </c>
      <c r="G44">
        <f>Table2PRN!G6967</f>
        <v>6740</v>
      </c>
    </row>
    <row r="45" spans="1:7" x14ac:dyDescent="0.2">
      <c r="A45" t="s">
        <v>4291</v>
      </c>
      <c r="B45">
        <f>Table2PRN!B6968</f>
        <v>0</v>
      </c>
      <c r="C45">
        <f>Table2PRN!C6968</f>
        <v>0</v>
      </c>
      <c r="D45">
        <f>Table2PRN!D6968</f>
        <v>0</v>
      </c>
      <c r="E45">
        <f>Table2PRN!E6968</f>
        <v>0</v>
      </c>
      <c r="F45">
        <f>Table2PRN!F6968</f>
        <v>2993</v>
      </c>
      <c r="G45">
        <f>Table2PRN!G6968</f>
        <v>2993</v>
      </c>
    </row>
    <row r="46" spans="1:7" x14ac:dyDescent="0.2">
      <c r="A46" t="s">
        <v>4292</v>
      </c>
      <c r="B46">
        <f>Table2PRN!B6969</f>
        <v>0</v>
      </c>
      <c r="C46">
        <f>Table2PRN!C6969</f>
        <v>0</v>
      </c>
      <c r="D46">
        <f>Table2PRN!D6969</f>
        <v>0</v>
      </c>
      <c r="E46">
        <f>Table2PRN!E6969</f>
        <v>0</v>
      </c>
      <c r="F46">
        <f>Table2PRN!F6969</f>
        <v>818</v>
      </c>
      <c r="G46">
        <f>Table2PRN!G6969</f>
        <v>818</v>
      </c>
    </row>
    <row r="47" spans="1:7" x14ac:dyDescent="0.2">
      <c r="A47" t="s">
        <v>4293</v>
      </c>
      <c r="B47">
        <f>Table2PRN!B6970</f>
        <v>0</v>
      </c>
      <c r="C47">
        <f>Table2PRN!C6970</f>
        <v>0</v>
      </c>
      <c r="D47">
        <f>Table2PRN!D6970</f>
        <v>0</v>
      </c>
      <c r="E47">
        <f>Table2PRN!E6970</f>
        <v>0</v>
      </c>
      <c r="F47">
        <f>Table2PRN!F6970</f>
        <v>1529</v>
      </c>
      <c r="G47">
        <f>Table2PRN!G6970</f>
        <v>1529</v>
      </c>
    </row>
    <row r="48" spans="1:7" x14ac:dyDescent="0.2">
      <c r="A48" t="s">
        <v>4294</v>
      </c>
      <c r="B48">
        <f>Table2PRN!B6971</f>
        <v>0</v>
      </c>
      <c r="C48">
        <f>Table2PRN!C6971</f>
        <v>0</v>
      </c>
      <c r="D48">
        <f>Table2PRN!D6971</f>
        <v>0</v>
      </c>
      <c r="E48">
        <f>Table2PRN!E6971</f>
        <v>0</v>
      </c>
      <c r="F48">
        <f>Table2PRN!F6971</f>
        <v>3342</v>
      </c>
      <c r="G48">
        <f>Table2PRN!G6971</f>
        <v>3342</v>
      </c>
    </row>
    <row r="49" spans="1:7" x14ac:dyDescent="0.2">
      <c r="A49" t="s">
        <v>4295</v>
      </c>
      <c r="B49">
        <f>Table2PRN!B6972</f>
        <v>0</v>
      </c>
      <c r="C49">
        <f>Table2PRN!C6972</f>
        <v>0</v>
      </c>
      <c r="D49">
        <f>Table2PRN!D6972</f>
        <v>0</v>
      </c>
      <c r="E49">
        <f>Table2PRN!E6972</f>
        <v>0</v>
      </c>
      <c r="F49">
        <f>Table2PRN!F6972</f>
        <v>0</v>
      </c>
      <c r="G49">
        <f>Table2PRN!G6972</f>
        <v>0</v>
      </c>
    </row>
    <row r="50" spans="1:7" x14ac:dyDescent="0.2">
      <c r="A50" t="s">
        <v>4296</v>
      </c>
      <c r="B50">
        <f>Table2PRN!B6973</f>
        <v>0</v>
      </c>
      <c r="C50">
        <f>Table2PRN!C6973</f>
        <v>0</v>
      </c>
      <c r="D50">
        <f>Table2PRN!D6973</f>
        <v>0</v>
      </c>
      <c r="E50">
        <f>Table2PRN!E6973</f>
        <v>0</v>
      </c>
      <c r="F50">
        <f>Table2PRN!F6973</f>
        <v>0</v>
      </c>
      <c r="G50">
        <f>Table2PRN!G6973</f>
        <v>0</v>
      </c>
    </row>
    <row r="51" spans="1:7" x14ac:dyDescent="0.2">
      <c r="A51" t="s">
        <v>4297</v>
      </c>
      <c r="B51">
        <f>Table2PRN!B6974</f>
        <v>159</v>
      </c>
      <c r="C51">
        <f>Table2PRN!C6974</f>
        <v>696</v>
      </c>
      <c r="D51">
        <f>Table2PRN!D6974</f>
        <v>3482</v>
      </c>
      <c r="E51">
        <f>Table2PRN!E6974</f>
        <v>1009</v>
      </c>
      <c r="F51">
        <f>Table2PRN!F6974</f>
        <v>0</v>
      </c>
      <c r="G51">
        <f>Table2PRN!G6974</f>
        <v>5347</v>
      </c>
    </row>
    <row r="52" spans="1:7" x14ac:dyDescent="0.2">
      <c r="A52" t="s">
        <v>4298</v>
      </c>
      <c r="B52">
        <f>Table2PRN!B6975</f>
        <v>155</v>
      </c>
      <c r="C52">
        <f>Table2PRN!C6975</f>
        <v>161</v>
      </c>
      <c r="D52">
        <f>Table2PRN!D6975</f>
        <v>207</v>
      </c>
      <c r="E52">
        <f>Table2PRN!E6975</f>
        <v>1420</v>
      </c>
      <c r="F52">
        <f>Table2PRN!F6975</f>
        <v>0</v>
      </c>
      <c r="G52">
        <f>Table2PRN!G6975</f>
        <v>1943</v>
      </c>
    </row>
    <row r="53" spans="1:7" x14ac:dyDescent="0.2">
      <c r="A53" t="s">
        <v>4299</v>
      </c>
      <c r="B53">
        <f>Table2PRN!B6976</f>
        <v>46</v>
      </c>
      <c r="C53">
        <f>Table2PRN!C6976</f>
        <v>92</v>
      </c>
      <c r="D53">
        <f>Table2PRN!D6976</f>
        <v>329</v>
      </c>
      <c r="E53">
        <f>Table2PRN!E6976</f>
        <v>418</v>
      </c>
      <c r="F53">
        <f>Table2PRN!F6976</f>
        <v>0</v>
      </c>
      <c r="G53">
        <f>Table2PRN!G6976</f>
        <v>885</v>
      </c>
    </row>
    <row r="54" spans="1:7" x14ac:dyDescent="0.2">
      <c r="A54" t="s">
        <v>4300</v>
      </c>
      <c r="B54">
        <f>Table2PRN!B6977</f>
        <v>1</v>
      </c>
      <c r="C54">
        <f>Table2PRN!C6977</f>
        <v>6</v>
      </c>
      <c r="D54">
        <f>Table2PRN!D6977</f>
        <v>26</v>
      </c>
      <c r="E54">
        <f>Table2PRN!E6977</f>
        <v>25</v>
      </c>
      <c r="F54">
        <f>Table2PRN!F6977</f>
        <v>0</v>
      </c>
      <c r="G54">
        <f>Table2PRN!G6977</f>
        <v>58</v>
      </c>
    </row>
    <row r="55" spans="1:7" x14ac:dyDescent="0.2">
      <c r="A55" t="s">
        <v>4301</v>
      </c>
      <c r="B55">
        <f>Table2PRN!B6978</f>
        <v>0</v>
      </c>
      <c r="C55">
        <f>Table2PRN!C6978</f>
        <v>454</v>
      </c>
      <c r="D55">
        <f>Table2PRN!D6978</f>
        <v>1677</v>
      </c>
      <c r="E55">
        <f>Table2PRN!E6978</f>
        <v>1060</v>
      </c>
      <c r="F55">
        <f>Table2PRN!F6978</f>
        <v>0</v>
      </c>
      <c r="G55">
        <f>Table2PRN!G6978</f>
        <v>3191</v>
      </c>
    </row>
    <row r="56" spans="1:7" x14ac:dyDescent="0.2">
      <c r="A56" t="s">
        <v>4302</v>
      </c>
      <c r="B56">
        <f>Table2PRN!B6979</f>
        <v>21</v>
      </c>
      <c r="C56">
        <f>Table2PRN!C6979</f>
        <v>121</v>
      </c>
      <c r="D56">
        <f>Table2PRN!D6979</f>
        <v>307</v>
      </c>
      <c r="E56">
        <f>Table2PRN!E6979</f>
        <v>155</v>
      </c>
      <c r="F56">
        <f>Table2PRN!F6979</f>
        <v>0</v>
      </c>
      <c r="G56">
        <f>Table2PRN!G6979</f>
        <v>604</v>
      </c>
    </row>
    <row r="57" spans="1:7" x14ac:dyDescent="0.2">
      <c r="A57" t="s">
        <v>4303</v>
      </c>
      <c r="B57">
        <f>Table2PRN!B6980</f>
        <v>21</v>
      </c>
      <c r="C57">
        <f>Table2PRN!C6980</f>
        <v>338</v>
      </c>
      <c r="D57">
        <f>Table2PRN!D6980</f>
        <v>1242</v>
      </c>
      <c r="E57">
        <f>Table2PRN!E6980</f>
        <v>394</v>
      </c>
      <c r="F57">
        <f>Table2PRN!F6980</f>
        <v>0</v>
      </c>
      <c r="G57">
        <f>Table2PRN!G6980</f>
        <v>1995</v>
      </c>
    </row>
    <row r="58" spans="1:7" x14ac:dyDescent="0.2">
      <c r="A58" t="s">
        <v>4304</v>
      </c>
      <c r="B58">
        <f>Table2PRN!B6981</f>
        <v>15</v>
      </c>
      <c r="C58">
        <f>Table2PRN!C6981</f>
        <v>22</v>
      </c>
      <c r="D58">
        <f>Table2PRN!D6981</f>
        <v>100</v>
      </c>
      <c r="E58">
        <f>Table2PRN!E6981</f>
        <v>0</v>
      </c>
      <c r="F58">
        <f>Table2PRN!F6981</f>
        <v>0</v>
      </c>
      <c r="G58">
        <f>Table2PRN!G6981</f>
        <v>137</v>
      </c>
    </row>
    <row r="59" spans="1:7" x14ac:dyDescent="0.2">
      <c r="A59" t="s">
        <v>4305</v>
      </c>
      <c r="B59">
        <f>Table2PRN!B6982</f>
        <v>30</v>
      </c>
      <c r="C59">
        <f>Table2PRN!C6982</f>
        <v>75</v>
      </c>
      <c r="D59">
        <f>Table2PRN!D6982</f>
        <v>126</v>
      </c>
      <c r="E59">
        <f>Table2PRN!E6982</f>
        <v>56</v>
      </c>
      <c r="F59">
        <f>Table2PRN!F6982</f>
        <v>0</v>
      </c>
      <c r="G59">
        <f>Table2PRN!G6982</f>
        <v>287</v>
      </c>
    </row>
    <row r="60" spans="1:7" x14ac:dyDescent="0.2">
      <c r="A60" t="s">
        <v>4306</v>
      </c>
      <c r="B60">
        <f>Table2PRN!B6983</f>
        <v>4</v>
      </c>
      <c r="C60">
        <f>Table2PRN!C6983</f>
        <v>18</v>
      </c>
      <c r="D60">
        <f>Table2PRN!D6983</f>
        <v>10</v>
      </c>
      <c r="E60">
        <f>Table2PRN!E6983</f>
        <v>21</v>
      </c>
      <c r="F60">
        <f>Table2PRN!F6983</f>
        <v>0</v>
      </c>
      <c r="G60">
        <f>Table2PRN!G6983</f>
        <v>53</v>
      </c>
    </row>
    <row r="61" spans="1:7" x14ac:dyDescent="0.2">
      <c r="A61" t="s">
        <v>4307</v>
      </c>
      <c r="B61">
        <f>Table2PRN!B6984</f>
        <v>22</v>
      </c>
      <c r="C61">
        <f>Table2PRN!C6984</f>
        <v>173</v>
      </c>
      <c r="D61">
        <f>Table2PRN!D6984</f>
        <v>1414</v>
      </c>
      <c r="E61">
        <f>Table2PRN!E6984</f>
        <v>997</v>
      </c>
      <c r="F61">
        <f>Table2PRN!F6984</f>
        <v>0</v>
      </c>
      <c r="G61">
        <f>Table2PRN!G6984</f>
        <v>2607</v>
      </c>
    </row>
    <row r="62" spans="1:7" x14ac:dyDescent="0.2">
      <c r="A62" t="s">
        <v>4308</v>
      </c>
      <c r="B62">
        <f>Table2PRN!B6985</f>
        <v>0</v>
      </c>
      <c r="C62">
        <f>Table2PRN!C6985</f>
        <v>0</v>
      </c>
      <c r="D62">
        <f>Table2PRN!D6985</f>
        <v>3</v>
      </c>
      <c r="E62">
        <f>Table2PRN!E6985</f>
        <v>0</v>
      </c>
      <c r="F62">
        <f>Table2PRN!F6985</f>
        <v>0</v>
      </c>
      <c r="G62">
        <f>Table2PRN!G6985</f>
        <v>3</v>
      </c>
    </row>
    <row r="63" spans="1:7" x14ac:dyDescent="0.2">
      <c r="A63" t="s">
        <v>4309</v>
      </c>
      <c r="B63">
        <f>Table2PRN!B6986</f>
        <v>0</v>
      </c>
      <c r="C63">
        <f>Table2PRN!C6986</f>
        <v>0</v>
      </c>
      <c r="D63">
        <f>Table2PRN!D6986</f>
        <v>0</v>
      </c>
      <c r="E63">
        <f>Table2PRN!E6986</f>
        <v>0</v>
      </c>
      <c r="F63">
        <f>Table2PRN!F6986</f>
        <v>0</v>
      </c>
      <c r="G63">
        <f>Table2PRN!G6986</f>
        <v>0</v>
      </c>
    </row>
    <row r="64" spans="1:7" x14ac:dyDescent="0.2">
      <c r="A64" t="s">
        <v>4310</v>
      </c>
      <c r="B64">
        <f>Table2PRN!B6987</f>
        <v>0</v>
      </c>
      <c r="C64">
        <f>Table2PRN!C6987</f>
        <v>0</v>
      </c>
      <c r="D64">
        <f>Table2PRN!D6987</f>
        <v>0</v>
      </c>
      <c r="E64">
        <f>Table2PRN!E6987</f>
        <v>0</v>
      </c>
      <c r="F64">
        <f>Table2PRN!F6987</f>
        <v>0</v>
      </c>
      <c r="G64">
        <f>Table2PRN!G6987</f>
        <v>0</v>
      </c>
    </row>
    <row r="65" spans="1:7" x14ac:dyDescent="0.2">
      <c r="A65" t="s">
        <v>4311</v>
      </c>
      <c r="B65">
        <f>Table2PRN!B6988</f>
        <v>0</v>
      </c>
      <c r="C65">
        <f>Table2PRN!C6988</f>
        <v>0</v>
      </c>
      <c r="D65">
        <f>Table2PRN!D6988</f>
        <v>0</v>
      </c>
      <c r="E65">
        <f>Table2PRN!E6988</f>
        <v>83</v>
      </c>
      <c r="F65">
        <f>Table2PRN!F6988</f>
        <v>6</v>
      </c>
      <c r="G65">
        <f>Table2PRN!G6988</f>
        <v>88</v>
      </c>
    </row>
    <row r="66" spans="1:7" x14ac:dyDescent="0.2">
      <c r="A66" t="s">
        <v>4312</v>
      </c>
      <c r="B66">
        <f>Table2PRN!B6989</f>
        <v>0</v>
      </c>
      <c r="C66">
        <f>Table2PRN!C6989</f>
        <v>0</v>
      </c>
      <c r="D66">
        <f>Table2PRN!D6989</f>
        <v>0</v>
      </c>
      <c r="E66">
        <f>Table2PRN!E6989</f>
        <v>56</v>
      </c>
      <c r="F66">
        <f>Table2PRN!F6989</f>
        <v>0</v>
      </c>
      <c r="G66">
        <f>Table2PRN!G6989</f>
        <v>56</v>
      </c>
    </row>
    <row r="67" spans="1:7" x14ac:dyDescent="0.2">
      <c r="A67" t="s">
        <v>4313</v>
      </c>
      <c r="B67">
        <f>Table2PRN!B6990</f>
        <v>0</v>
      </c>
      <c r="C67">
        <f>Table2PRN!C6990</f>
        <v>0</v>
      </c>
      <c r="D67">
        <f>Table2PRN!D6990</f>
        <v>0</v>
      </c>
      <c r="E67">
        <f>Table2PRN!E6990</f>
        <v>0</v>
      </c>
      <c r="F67">
        <f>Table2PRN!F6990</f>
        <v>0</v>
      </c>
      <c r="G67">
        <f>Table2PRN!G6990</f>
        <v>0</v>
      </c>
    </row>
    <row r="68" spans="1:7" x14ac:dyDescent="0.2">
      <c r="A68" t="s">
        <v>4314</v>
      </c>
      <c r="B68">
        <f>Table2PRN!B6991</f>
        <v>0</v>
      </c>
      <c r="C68">
        <f>Table2PRN!C6991</f>
        <v>0</v>
      </c>
      <c r="D68">
        <f>Table2PRN!D6991</f>
        <v>0</v>
      </c>
      <c r="E68">
        <f>Table2PRN!E6991</f>
        <v>0</v>
      </c>
      <c r="F68">
        <f>Table2PRN!F6991</f>
        <v>0</v>
      </c>
      <c r="G68">
        <f>Table2PRN!G6991</f>
        <v>0</v>
      </c>
    </row>
    <row r="69" spans="1:7" x14ac:dyDescent="0.2">
      <c r="A69" t="s">
        <v>4315</v>
      </c>
      <c r="B69">
        <f>Table2PRN!B6992</f>
        <v>0</v>
      </c>
      <c r="C69">
        <f>Table2PRN!C6992</f>
        <v>0</v>
      </c>
      <c r="D69">
        <f>Table2PRN!D6992</f>
        <v>0</v>
      </c>
      <c r="E69">
        <f>Table2PRN!E6992</f>
        <v>0</v>
      </c>
      <c r="F69">
        <f>Table2PRN!F6992</f>
        <v>0</v>
      </c>
      <c r="G69">
        <f>Table2PRN!G6992</f>
        <v>0</v>
      </c>
    </row>
    <row r="70" spans="1:7" x14ac:dyDescent="0.2">
      <c r="A70" t="s">
        <v>4316</v>
      </c>
      <c r="B70">
        <f>Table2PRN!B6993</f>
        <v>0</v>
      </c>
      <c r="C70">
        <f>Table2PRN!C6993</f>
        <v>0</v>
      </c>
      <c r="D70">
        <f>Table2PRN!D6993</f>
        <v>0</v>
      </c>
      <c r="E70">
        <f>Table2PRN!E6993</f>
        <v>0</v>
      </c>
      <c r="F70">
        <f>Table2PRN!F6993</f>
        <v>0</v>
      </c>
      <c r="G70">
        <f>Table2PRN!G6993</f>
        <v>0</v>
      </c>
    </row>
    <row r="71" spans="1:7" x14ac:dyDescent="0.2">
      <c r="A71" t="s">
        <v>4317</v>
      </c>
      <c r="B71">
        <f>Table2PRN!B6994</f>
        <v>0</v>
      </c>
      <c r="C71">
        <f>Table2PRN!C6994</f>
        <v>0</v>
      </c>
      <c r="D71">
        <f>Table2PRN!D6994</f>
        <v>0</v>
      </c>
      <c r="E71">
        <f>Table2PRN!E6994</f>
        <v>0</v>
      </c>
      <c r="F71">
        <f>Table2PRN!F6994</f>
        <v>0</v>
      </c>
      <c r="G71">
        <f>Table2PRN!G6994</f>
        <v>0</v>
      </c>
    </row>
    <row r="72" spans="1:7" x14ac:dyDescent="0.2">
      <c r="A72" t="s">
        <v>4318</v>
      </c>
      <c r="B72">
        <f>Table2PRN!B6995</f>
        <v>0</v>
      </c>
      <c r="C72">
        <f>Table2PRN!C6995</f>
        <v>0</v>
      </c>
      <c r="D72">
        <f>Table2PRN!D6995</f>
        <v>0</v>
      </c>
      <c r="E72">
        <f>Table2PRN!E6995</f>
        <v>0</v>
      </c>
      <c r="F72">
        <f>Table2PRN!F6995</f>
        <v>0</v>
      </c>
      <c r="G72">
        <f>Table2PRN!G6995</f>
        <v>0</v>
      </c>
    </row>
    <row r="73" spans="1:7" x14ac:dyDescent="0.2">
      <c r="A73" t="s">
        <v>4319</v>
      </c>
      <c r="B73">
        <f>Table2PRN!B6996</f>
        <v>0</v>
      </c>
      <c r="C73">
        <f>Table2PRN!C6996</f>
        <v>0</v>
      </c>
      <c r="D73">
        <f>Table2PRN!D6996</f>
        <v>0</v>
      </c>
      <c r="E73">
        <f>Table2PRN!E6996</f>
        <v>0</v>
      </c>
      <c r="F73">
        <f>Table2PRN!F6996</f>
        <v>0</v>
      </c>
      <c r="G73">
        <f>Table2PRN!G6996</f>
        <v>0</v>
      </c>
    </row>
    <row r="74" spans="1:7" x14ac:dyDescent="0.2">
      <c r="A74" t="s">
        <v>4320</v>
      </c>
      <c r="B74">
        <f>Table2PRN!B6997</f>
        <v>0</v>
      </c>
      <c r="C74">
        <f>Table2PRN!C6997</f>
        <v>0</v>
      </c>
      <c r="D74">
        <f>Table2PRN!D6997</f>
        <v>0</v>
      </c>
      <c r="E74">
        <f>Table2PRN!E6997</f>
        <v>0</v>
      </c>
      <c r="F74">
        <f>Table2PRN!F6997</f>
        <v>0</v>
      </c>
      <c r="G74">
        <f>Table2PRN!G6997</f>
        <v>0</v>
      </c>
    </row>
    <row r="75" spans="1:7" x14ac:dyDescent="0.2">
      <c r="A75" t="s">
        <v>4321</v>
      </c>
      <c r="B75">
        <f>Table2PRN!B6998</f>
        <v>0</v>
      </c>
      <c r="C75">
        <f>Table2PRN!C6998</f>
        <v>0</v>
      </c>
      <c r="D75">
        <f>Table2PRN!D6998</f>
        <v>0</v>
      </c>
      <c r="E75">
        <f>Table2PRN!E6998</f>
        <v>0</v>
      </c>
      <c r="F75">
        <f>Table2PRN!F6998</f>
        <v>0</v>
      </c>
      <c r="G75">
        <f>Table2PRN!G6998</f>
        <v>0</v>
      </c>
    </row>
    <row r="76" spans="1:7" x14ac:dyDescent="0.2">
      <c r="A76" t="s">
        <v>4322</v>
      </c>
      <c r="B76">
        <f>Table2PRN!B6999</f>
        <v>0</v>
      </c>
      <c r="C76">
        <f>Table2PRN!C6999</f>
        <v>0</v>
      </c>
      <c r="D76">
        <f>Table2PRN!D6999</f>
        <v>0</v>
      </c>
      <c r="E76">
        <f>Table2PRN!E6999</f>
        <v>0</v>
      </c>
      <c r="F76">
        <f>Table2PRN!F6999</f>
        <v>0</v>
      </c>
      <c r="G76">
        <f>Table2PRN!G6999</f>
        <v>0</v>
      </c>
    </row>
    <row r="77" spans="1:7" x14ac:dyDescent="0.2">
      <c r="A77" t="s">
        <v>4323</v>
      </c>
      <c r="B77">
        <f>Table2PRN!B7000</f>
        <v>0</v>
      </c>
      <c r="C77">
        <f>Table2PRN!C7000</f>
        <v>0</v>
      </c>
      <c r="D77">
        <f>Table2PRN!D7000</f>
        <v>0</v>
      </c>
      <c r="E77">
        <f>Table2PRN!E7000</f>
        <v>0</v>
      </c>
      <c r="F77">
        <f>Table2PRN!F7000</f>
        <v>0</v>
      </c>
      <c r="G77">
        <f>Table2PRN!G7000</f>
        <v>0</v>
      </c>
    </row>
    <row r="78" spans="1:7" x14ac:dyDescent="0.2">
      <c r="A78" t="s">
        <v>4324</v>
      </c>
      <c r="B78">
        <f>Table2PRN!B7001</f>
        <v>0</v>
      </c>
      <c r="C78">
        <f>Table2PRN!C7001</f>
        <v>0</v>
      </c>
      <c r="D78">
        <f>Table2PRN!D7001</f>
        <v>0</v>
      </c>
      <c r="E78">
        <f>Table2PRN!E7001</f>
        <v>0</v>
      </c>
      <c r="F78">
        <f>Table2PRN!F7001</f>
        <v>0</v>
      </c>
      <c r="G78">
        <f>Table2PRN!G7001</f>
        <v>0</v>
      </c>
    </row>
    <row r="79" spans="1:7" x14ac:dyDescent="0.2">
      <c r="A79" t="s">
        <v>4325</v>
      </c>
      <c r="B79">
        <f>Table2PRN!B7002</f>
        <v>0</v>
      </c>
      <c r="C79">
        <f>Table2PRN!C7002</f>
        <v>0</v>
      </c>
      <c r="D79">
        <f>Table2PRN!D7002</f>
        <v>0</v>
      </c>
      <c r="E79">
        <f>Table2PRN!E7002</f>
        <v>0</v>
      </c>
      <c r="F79">
        <f>Table2PRN!F7002</f>
        <v>0</v>
      </c>
      <c r="G79">
        <f>Table2PRN!G7002</f>
        <v>0</v>
      </c>
    </row>
    <row r="80" spans="1:7" x14ac:dyDescent="0.2">
      <c r="A80" t="s">
        <v>4326</v>
      </c>
      <c r="B80">
        <f>Table2PRN!B7003</f>
        <v>0</v>
      </c>
      <c r="C80">
        <f>Table2PRN!C7003</f>
        <v>0</v>
      </c>
      <c r="D80">
        <f>Table2PRN!D7003</f>
        <v>0</v>
      </c>
      <c r="E80">
        <f>Table2PRN!E7003</f>
        <v>0</v>
      </c>
      <c r="F80">
        <f>Table2PRN!F7003</f>
        <v>0</v>
      </c>
      <c r="G80">
        <f>Table2PRN!G7003</f>
        <v>0</v>
      </c>
    </row>
    <row r="81" spans="1:7" x14ac:dyDescent="0.2">
      <c r="A81" t="s">
        <v>4327</v>
      </c>
      <c r="B81">
        <f>Table2PRN!B7004</f>
        <v>0</v>
      </c>
      <c r="C81">
        <f>Table2PRN!C7004</f>
        <v>0</v>
      </c>
      <c r="D81">
        <f>Table2PRN!D7004</f>
        <v>0</v>
      </c>
      <c r="E81">
        <f>Table2PRN!E7004</f>
        <v>0</v>
      </c>
      <c r="F81">
        <f>Table2PRN!F7004</f>
        <v>0</v>
      </c>
      <c r="G81">
        <f>Table2PRN!G7004</f>
        <v>0</v>
      </c>
    </row>
    <row r="82" spans="1:7" x14ac:dyDescent="0.2">
      <c r="A82" t="s">
        <v>4328</v>
      </c>
      <c r="B82">
        <f>Table2PRN!B7005</f>
        <v>0</v>
      </c>
      <c r="C82">
        <f>Table2PRN!C7005</f>
        <v>0</v>
      </c>
      <c r="D82">
        <f>Table2PRN!D7005</f>
        <v>0</v>
      </c>
      <c r="E82">
        <f>Table2PRN!E7005</f>
        <v>0</v>
      </c>
      <c r="F82">
        <f>Table2PRN!F7005</f>
        <v>0</v>
      </c>
      <c r="G82">
        <f>Table2PRN!G7005</f>
        <v>0</v>
      </c>
    </row>
    <row r="83" spans="1:7" x14ac:dyDescent="0.2">
      <c r="A83" t="s">
        <v>4329</v>
      </c>
      <c r="B83">
        <f>Table2PRN!B7006</f>
        <v>0</v>
      </c>
      <c r="C83">
        <f>Table2PRN!C7006</f>
        <v>0</v>
      </c>
      <c r="D83">
        <f>Table2PRN!D7006</f>
        <v>0</v>
      </c>
      <c r="E83">
        <f>Table2PRN!E7006</f>
        <v>0</v>
      </c>
      <c r="F83">
        <f>Table2PRN!F7006</f>
        <v>0</v>
      </c>
      <c r="G83">
        <f>Table2PRN!G7006</f>
        <v>0</v>
      </c>
    </row>
    <row r="84" spans="1:7" x14ac:dyDescent="0.2">
      <c r="A84" t="s">
        <v>4330</v>
      </c>
      <c r="B84">
        <f>Table2PRN!B7007</f>
        <v>0</v>
      </c>
      <c r="C84">
        <f>Table2PRN!C7007</f>
        <v>0</v>
      </c>
      <c r="D84">
        <f>Table2PRN!D7007</f>
        <v>0</v>
      </c>
      <c r="E84">
        <f>Table2PRN!E7007</f>
        <v>0</v>
      </c>
      <c r="F84">
        <f>Table2PRN!F7007</f>
        <v>0</v>
      </c>
      <c r="G84">
        <f>Table2PRN!G7007</f>
        <v>0</v>
      </c>
    </row>
    <row r="85" spans="1:7" x14ac:dyDescent="0.2">
      <c r="A85" t="s">
        <v>4331</v>
      </c>
      <c r="B85">
        <f>Table2PRN!B7008</f>
        <v>0</v>
      </c>
      <c r="C85">
        <f>Table2PRN!C7008</f>
        <v>0</v>
      </c>
      <c r="D85">
        <f>Table2PRN!D7008</f>
        <v>0</v>
      </c>
      <c r="E85">
        <f>Table2PRN!E7008</f>
        <v>0</v>
      </c>
      <c r="F85">
        <f>Table2PRN!F7008</f>
        <v>0</v>
      </c>
      <c r="G85">
        <f>Table2PRN!G7008</f>
        <v>0</v>
      </c>
    </row>
    <row r="86" spans="1:7" x14ac:dyDescent="0.2">
      <c r="A86" t="s">
        <v>4332</v>
      </c>
      <c r="B86">
        <f>Table2PRN!B7009</f>
        <v>0</v>
      </c>
      <c r="C86">
        <f>Table2PRN!C7009</f>
        <v>0</v>
      </c>
      <c r="D86">
        <f>Table2PRN!D7009</f>
        <v>0</v>
      </c>
      <c r="E86">
        <f>Table2PRN!E7009</f>
        <v>0</v>
      </c>
      <c r="F86">
        <f>Table2PRN!F7009</f>
        <v>0</v>
      </c>
      <c r="G86">
        <f>Table2PRN!G7009</f>
        <v>0</v>
      </c>
    </row>
    <row r="87" spans="1:7" x14ac:dyDescent="0.2">
      <c r="A87" t="s">
        <v>4333</v>
      </c>
      <c r="B87">
        <f>Table2PRN!B7010</f>
        <v>0</v>
      </c>
      <c r="C87">
        <f>Table2PRN!C7010</f>
        <v>0</v>
      </c>
      <c r="D87">
        <f>Table2PRN!D7010</f>
        <v>0</v>
      </c>
      <c r="E87">
        <f>Table2PRN!E7010</f>
        <v>0</v>
      </c>
      <c r="F87">
        <f>Table2PRN!F7010</f>
        <v>0</v>
      </c>
      <c r="G87">
        <f>Table2PRN!G7010</f>
        <v>0</v>
      </c>
    </row>
    <row r="88" spans="1:7" x14ac:dyDescent="0.2">
      <c r="A88" t="s">
        <v>4334</v>
      </c>
      <c r="B88">
        <f>Table2PRN!B7011</f>
        <v>0</v>
      </c>
      <c r="C88">
        <f>Table2PRN!C7011</f>
        <v>0</v>
      </c>
      <c r="D88">
        <f>Table2PRN!D7011</f>
        <v>0</v>
      </c>
      <c r="E88">
        <f>Table2PRN!E7011</f>
        <v>0</v>
      </c>
      <c r="F88">
        <f>Table2PRN!F7011</f>
        <v>0</v>
      </c>
      <c r="G88">
        <f>Table2PRN!G7011</f>
        <v>0</v>
      </c>
    </row>
    <row r="89" spans="1:7" x14ac:dyDescent="0.2">
      <c r="A89" t="s">
        <v>4335</v>
      </c>
      <c r="B89">
        <f>Table2PRN!B7012</f>
        <v>0</v>
      </c>
      <c r="C89">
        <f>Table2PRN!C7012</f>
        <v>0</v>
      </c>
      <c r="D89">
        <f>Table2PRN!D7012</f>
        <v>0</v>
      </c>
      <c r="E89">
        <f>Table2PRN!E7012</f>
        <v>0</v>
      </c>
      <c r="F89">
        <f>Table2PRN!F7012</f>
        <v>0</v>
      </c>
      <c r="G89">
        <f>Table2PRN!G7012</f>
        <v>0</v>
      </c>
    </row>
    <row r="90" spans="1:7" x14ac:dyDescent="0.2">
      <c r="A90" t="s">
        <v>4336</v>
      </c>
      <c r="B90">
        <f>Table2PRN!B7013</f>
        <v>0</v>
      </c>
      <c r="C90">
        <f>Table2PRN!C7013</f>
        <v>0</v>
      </c>
      <c r="D90">
        <f>Table2PRN!D7013</f>
        <v>0</v>
      </c>
      <c r="E90">
        <f>Table2PRN!E7013</f>
        <v>0</v>
      </c>
      <c r="F90">
        <f>Table2PRN!F7013</f>
        <v>0</v>
      </c>
      <c r="G90">
        <f>Table2PRN!G7013</f>
        <v>0</v>
      </c>
    </row>
    <row r="91" spans="1:7" x14ac:dyDescent="0.2">
      <c r="A91" t="s">
        <v>4337</v>
      </c>
      <c r="B91">
        <f>Table2PRN!B7014</f>
        <v>0</v>
      </c>
      <c r="C91">
        <f>Table2PRN!C7014</f>
        <v>0</v>
      </c>
      <c r="D91">
        <f>Table2PRN!D7014</f>
        <v>0</v>
      </c>
      <c r="E91">
        <f>Table2PRN!E7014</f>
        <v>0</v>
      </c>
      <c r="F91">
        <f>Table2PRN!F7014</f>
        <v>0</v>
      </c>
      <c r="G91">
        <f>Table2PRN!G7014</f>
        <v>0</v>
      </c>
    </row>
    <row r="92" spans="1:7" x14ac:dyDescent="0.2">
      <c r="A92" t="s">
        <v>4338</v>
      </c>
      <c r="B92">
        <f>Table2PRN!B7015</f>
        <v>0</v>
      </c>
      <c r="C92">
        <f>Table2PRN!C7015</f>
        <v>0</v>
      </c>
      <c r="D92">
        <f>Table2PRN!D7015</f>
        <v>0</v>
      </c>
      <c r="E92">
        <f>Table2PRN!E7015</f>
        <v>0</v>
      </c>
      <c r="F92">
        <f>Table2PRN!F7015</f>
        <v>0</v>
      </c>
      <c r="G92">
        <f>Table2PRN!G7015</f>
        <v>0</v>
      </c>
    </row>
    <row r="93" spans="1:7" x14ac:dyDescent="0.2">
      <c r="A93" t="s">
        <v>4339</v>
      </c>
      <c r="B93">
        <f>Table2PRN!B7016</f>
        <v>0</v>
      </c>
      <c r="C93">
        <f>Table2PRN!C7016</f>
        <v>0</v>
      </c>
      <c r="D93">
        <f>Table2PRN!D7016</f>
        <v>0</v>
      </c>
      <c r="E93">
        <f>Table2PRN!E7016</f>
        <v>0</v>
      </c>
      <c r="F93">
        <f>Table2PRN!F7016</f>
        <v>0</v>
      </c>
      <c r="G93">
        <f>Table2PRN!G7016</f>
        <v>0</v>
      </c>
    </row>
    <row r="94" spans="1:7" x14ac:dyDescent="0.2">
      <c r="A94" t="s">
        <v>4340</v>
      </c>
      <c r="B94">
        <f>Table2PRN!B7017</f>
        <v>0</v>
      </c>
      <c r="C94">
        <f>Table2PRN!C7017</f>
        <v>0</v>
      </c>
      <c r="D94">
        <f>Table2PRN!D7017</f>
        <v>0</v>
      </c>
      <c r="E94">
        <f>Table2PRN!E7017</f>
        <v>0</v>
      </c>
      <c r="F94">
        <f>Table2PRN!F7017</f>
        <v>0</v>
      </c>
      <c r="G94">
        <f>Table2PRN!G7017</f>
        <v>0</v>
      </c>
    </row>
    <row r="95" spans="1:7" x14ac:dyDescent="0.2">
      <c r="A95" t="s">
        <v>4341</v>
      </c>
      <c r="B95">
        <f>Table2PRN!B7018</f>
        <v>0</v>
      </c>
      <c r="C95">
        <f>Table2PRN!C7018</f>
        <v>0</v>
      </c>
      <c r="D95">
        <f>Table2PRN!D7018</f>
        <v>0</v>
      </c>
      <c r="E95">
        <f>Table2PRN!E7018</f>
        <v>0</v>
      </c>
      <c r="F95">
        <f>Table2PRN!F7018</f>
        <v>0</v>
      </c>
      <c r="G95">
        <f>Table2PRN!G7018</f>
        <v>0</v>
      </c>
    </row>
    <row r="96" spans="1:7" x14ac:dyDescent="0.2">
      <c r="A96" t="s">
        <v>4342</v>
      </c>
      <c r="B96">
        <f>Table2PRN!B7019</f>
        <v>0</v>
      </c>
      <c r="C96">
        <f>Table2PRN!C7019</f>
        <v>0</v>
      </c>
      <c r="D96">
        <f>Table2PRN!D7019</f>
        <v>0</v>
      </c>
      <c r="E96">
        <f>Table2PRN!E7019</f>
        <v>0</v>
      </c>
      <c r="F96">
        <f>Table2PRN!F7019</f>
        <v>0</v>
      </c>
      <c r="G96">
        <f>Table2PRN!G7019</f>
        <v>0</v>
      </c>
    </row>
    <row r="97" spans="1:7" x14ac:dyDescent="0.2">
      <c r="A97" t="s">
        <v>4343</v>
      </c>
      <c r="B97">
        <f>Table2PRN!B7020</f>
        <v>0</v>
      </c>
      <c r="C97">
        <f>Table2PRN!C7020</f>
        <v>0</v>
      </c>
      <c r="D97">
        <f>Table2PRN!D7020</f>
        <v>0</v>
      </c>
      <c r="E97">
        <f>Table2PRN!E7020</f>
        <v>0</v>
      </c>
      <c r="F97">
        <f>Table2PRN!F7020</f>
        <v>0</v>
      </c>
      <c r="G97">
        <f>Table2PRN!G7020</f>
        <v>0</v>
      </c>
    </row>
    <row r="98" spans="1:7" x14ac:dyDescent="0.2">
      <c r="A98" t="s">
        <v>1728</v>
      </c>
      <c r="B98">
        <f>Table2PRN!B7021</f>
        <v>0</v>
      </c>
      <c r="C98">
        <f>Table2PRN!C7021</f>
        <v>0</v>
      </c>
      <c r="D98">
        <f>Table2PRN!D7021</f>
        <v>0</v>
      </c>
      <c r="E98">
        <f>Table2PRN!E7021</f>
        <v>0</v>
      </c>
      <c r="F98">
        <f>Table2PRN!F7021</f>
        <v>0</v>
      </c>
      <c r="G98">
        <f>Table2PRN!G7021</f>
        <v>0</v>
      </c>
    </row>
    <row r="99" spans="1:7" x14ac:dyDescent="0.2">
      <c r="A99" t="s">
        <v>1730</v>
      </c>
      <c r="B99">
        <f>Table2PRN!B7022</f>
        <v>0</v>
      </c>
      <c r="C99">
        <f>Table2PRN!C7022</f>
        <v>1</v>
      </c>
      <c r="D99">
        <f>Table2PRN!D7022</f>
        <v>2</v>
      </c>
      <c r="E99">
        <f>Table2PRN!E7022</f>
        <v>0</v>
      </c>
      <c r="F99">
        <f>Table2PRN!F7022</f>
        <v>0</v>
      </c>
      <c r="G99">
        <f>Table2PRN!G7022</f>
        <v>4</v>
      </c>
    </row>
    <row r="100" spans="1:7" x14ac:dyDescent="0.2">
      <c r="A100" t="s">
        <v>1733</v>
      </c>
      <c r="B100">
        <f>Table2PRN!B7023</f>
        <v>0</v>
      </c>
      <c r="C100">
        <f>Table2PRN!C7023</f>
        <v>0</v>
      </c>
      <c r="D100">
        <f>Table2PRN!D7023</f>
        <v>0</v>
      </c>
      <c r="E100">
        <f>Table2PRN!E7023</f>
        <v>0</v>
      </c>
      <c r="F100">
        <f>Table2PRN!F7023</f>
        <v>0</v>
      </c>
      <c r="G100">
        <f>Table2PRN!G7023</f>
        <v>0</v>
      </c>
    </row>
    <row r="101" spans="1:7" x14ac:dyDescent="0.2">
      <c r="A101" t="s">
        <v>1738</v>
      </c>
      <c r="B101">
        <f>Table2PRN!B7024</f>
        <v>0</v>
      </c>
      <c r="C101">
        <f>Table2PRN!C7024</f>
        <v>0</v>
      </c>
      <c r="D101">
        <f>Table2PRN!D7024</f>
        <v>0</v>
      </c>
      <c r="E101">
        <f>Table2PRN!E7024</f>
        <v>0</v>
      </c>
      <c r="F101">
        <f>Table2PRN!F7024</f>
        <v>0</v>
      </c>
      <c r="G101">
        <f>Table2PRN!G7024</f>
        <v>0</v>
      </c>
    </row>
    <row r="102" spans="1:7" x14ac:dyDescent="0.2">
      <c r="A102" t="s">
        <v>1744</v>
      </c>
      <c r="B102">
        <f>Table2PRN!B7025</f>
        <v>0</v>
      </c>
      <c r="C102">
        <f>Table2PRN!C7025</f>
        <v>0</v>
      </c>
      <c r="D102">
        <f>Table2PRN!D7025</f>
        <v>0</v>
      </c>
      <c r="E102">
        <f>Table2PRN!E7025</f>
        <v>0</v>
      </c>
      <c r="F102">
        <f>Table2PRN!F7025</f>
        <v>0</v>
      </c>
      <c r="G102">
        <f>Table2PRN!G7025</f>
        <v>0</v>
      </c>
    </row>
    <row r="103" spans="1:7" x14ac:dyDescent="0.2">
      <c r="A103" t="s">
        <v>1747</v>
      </c>
      <c r="B103">
        <f>Table2PRN!B7026</f>
        <v>0</v>
      </c>
      <c r="C103">
        <f>Table2PRN!C7026</f>
        <v>0</v>
      </c>
      <c r="D103">
        <f>Table2PRN!D7026</f>
        <v>0</v>
      </c>
      <c r="E103">
        <f>Table2PRN!E7026</f>
        <v>0</v>
      </c>
      <c r="F103">
        <f>Table2PRN!F7026</f>
        <v>0</v>
      </c>
      <c r="G103">
        <f>Table2PRN!G7026</f>
        <v>0</v>
      </c>
    </row>
    <row r="104" spans="1:7" x14ac:dyDescent="0.2">
      <c r="A104" t="s">
        <v>1751</v>
      </c>
      <c r="B104">
        <f>Table2PRN!B7027</f>
        <v>0</v>
      </c>
      <c r="C104">
        <f>Table2PRN!C7027</f>
        <v>0</v>
      </c>
      <c r="D104">
        <f>Table2PRN!D7027</f>
        <v>0</v>
      </c>
      <c r="E104">
        <f>Table2PRN!E7027</f>
        <v>0</v>
      </c>
      <c r="F104">
        <f>Table2PRN!F7027</f>
        <v>0</v>
      </c>
      <c r="G104">
        <f>Table2PRN!G7027</f>
        <v>0</v>
      </c>
    </row>
    <row r="105" spans="1:7" x14ac:dyDescent="0.2">
      <c r="A105" t="s">
        <v>1755</v>
      </c>
      <c r="B105">
        <f>Table2PRN!B7028</f>
        <v>0</v>
      </c>
      <c r="C105">
        <f>Table2PRN!C7028</f>
        <v>0</v>
      </c>
      <c r="D105">
        <f>Table2PRN!D7028</f>
        <v>0</v>
      </c>
      <c r="E105">
        <f>Table2PRN!E7028</f>
        <v>0</v>
      </c>
      <c r="F105">
        <f>Table2PRN!F7028</f>
        <v>0</v>
      </c>
      <c r="G105">
        <f>Table2PRN!G7028</f>
        <v>0</v>
      </c>
    </row>
    <row r="106" spans="1:7" x14ac:dyDescent="0.2">
      <c r="A106" t="s">
        <v>1757</v>
      </c>
      <c r="B106">
        <f>Table2PRN!B7029</f>
        <v>0</v>
      </c>
      <c r="C106">
        <f>Table2PRN!C7029</f>
        <v>0</v>
      </c>
      <c r="D106">
        <f>Table2PRN!D7029</f>
        <v>0</v>
      </c>
      <c r="E106">
        <f>Table2PRN!E7029</f>
        <v>0</v>
      </c>
      <c r="F106">
        <f>Table2PRN!F7029</f>
        <v>0</v>
      </c>
      <c r="G106">
        <f>Table2PRN!G7029</f>
        <v>0</v>
      </c>
    </row>
    <row r="107" spans="1:7" x14ac:dyDescent="0.2">
      <c r="A107" t="s">
        <v>1761</v>
      </c>
      <c r="B107">
        <f>Table2PRN!B7030</f>
        <v>0</v>
      </c>
      <c r="C107">
        <f>Table2PRN!C7030</f>
        <v>0</v>
      </c>
      <c r="D107">
        <f>Table2PRN!D7030</f>
        <v>0</v>
      </c>
      <c r="E107">
        <f>Table2PRN!E7030</f>
        <v>0</v>
      </c>
      <c r="F107">
        <f>Table2PRN!F7030</f>
        <v>0</v>
      </c>
      <c r="G107">
        <f>Table2PRN!G7030</f>
        <v>0</v>
      </c>
    </row>
    <row r="108" spans="1:7" x14ac:dyDescent="0.2">
      <c r="A108" t="s">
        <v>1764</v>
      </c>
      <c r="B108">
        <f>Table2PRN!B7031</f>
        <v>0</v>
      </c>
      <c r="C108">
        <f>Table2PRN!C7031</f>
        <v>0</v>
      </c>
      <c r="D108">
        <f>Table2PRN!D7031</f>
        <v>0</v>
      </c>
      <c r="E108">
        <f>Table2PRN!E7031</f>
        <v>0</v>
      </c>
      <c r="F108">
        <f>Table2PRN!F7031</f>
        <v>0</v>
      </c>
      <c r="G108">
        <f>Table2PRN!G7031</f>
        <v>0</v>
      </c>
    </row>
    <row r="109" spans="1:7" x14ac:dyDescent="0.2">
      <c r="A109" t="s">
        <v>1770</v>
      </c>
      <c r="B109">
        <f>Table2PRN!B7032</f>
        <v>0</v>
      </c>
      <c r="C109">
        <f>Table2PRN!C7032</f>
        <v>1</v>
      </c>
      <c r="D109">
        <f>Table2PRN!D7032</f>
        <v>23</v>
      </c>
      <c r="E109">
        <f>Table2PRN!E7032</f>
        <v>27</v>
      </c>
      <c r="F109">
        <f>Table2PRN!F7032</f>
        <v>0</v>
      </c>
      <c r="G109">
        <f>Table2PRN!G7032</f>
        <v>52</v>
      </c>
    </row>
    <row r="110" spans="1:7" x14ac:dyDescent="0.2">
      <c r="A110" t="s">
        <v>1772</v>
      </c>
      <c r="B110">
        <f>Table2PRN!B7033</f>
        <v>0</v>
      </c>
      <c r="C110">
        <f>Table2PRN!C7033</f>
        <v>0</v>
      </c>
      <c r="D110">
        <f>Table2PRN!D7033</f>
        <v>0</v>
      </c>
      <c r="E110">
        <f>Table2PRN!E7033</f>
        <v>9</v>
      </c>
      <c r="F110">
        <f>Table2PRN!F7033</f>
        <v>0</v>
      </c>
      <c r="G110">
        <f>Table2PRN!G7033</f>
        <v>9</v>
      </c>
    </row>
    <row r="111" spans="1:7" x14ac:dyDescent="0.2">
      <c r="A111" t="s">
        <v>1774</v>
      </c>
      <c r="B111">
        <f>Table2PRN!B7034</f>
        <v>0</v>
      </c>
      <c r="C111">
        <f>Table2PRN!C7034</f>
        <v>0</v>
      </c>
      <c r="D111">
        <f>Table2PRN!D7034</f>
        <v>0</v>
      </c>
      <c r="E111">
        <f>Table2PRN!E7034</f>
        <v>0</v>
      </c>
      <c r="F111">
        <f>Table2PRN!F7034</f>
        <v>0</v>
      </c>
      <c r="G111">
        <f>Table2PRN!G7034</f>
        <v>0</v>
      </c>
    </row>
    <row r="112" spans="1:7" x14ac:dyDescent="0.2">
      <c r="A112" t="s">
        <v>1777</v>
      </c>
      <c r="B112">
        <f>Table2PRN!B7035</f>
        <v>0</v>
      </c>
      <c r="C112">
        <f>Table2PRN!C7035</f>
        <v>0</v>
      </c>
      <c r="D112">
        <f>Table2PRN!D7035</f>
        <v>0</v>
      </c>
      <c r="E112">
        <f>Table2PRN!E7035</f>
        <v>0</v>
      </c>
      <c r="F112">
        <f>Table2PRN!F7035</f>
        <v>0</v>
      </c>
      <c r="G112">
        <f>Table2PRN!G7035</f>
        <v>0</v>
      </c>
    </row>
    <row r="113" spans="1:7" x14ac:dyDescent="0.2">
      <c r="A113" t="s">
        <v>1782</v>
      </c>
      <c r="B113">
        <f>Table2PRN!B7036</f>
        <v>0</v>
      </c>
      <c r="C113">
        <f>Table2PRN!C7036</f>
        <v>0</v>
      </c>
      <c r="D113">
        <f>Table2PRN!D7036</f>
        <v>0</v>
      </c>
      <c r="E113">
        <f>Table2PRN!E7036</f>
        <v>0</v>
      </c>
      <c r="F113">
        <f>Table2PRN!F7036</f>
        <v>0</v>
      </c>
      <c r="G113">
        <f>Table2PRN!G7036</f>
        <v>0</v>
      </c>
    </row>
    <row r="114" spans="1:7" x14ac:dyDescent="0.2">
      <c r="A114" t="s">
        <v>1274</v>
      </c>
      <c r="B114">
        <f>Table2PRN!B7037</f>
        <v>0</v>
      </c>
      <c r="C114">
        <f>Table2PRN!C7037</f>
        <v>0</v>
      </c>
      <c r="D114">
        <f>Table2PRN!D7037</f>
        <v>0</v>
      </c>
      <c r="E114">
        <f>Table2PRN!E7037</f>
        <v>0</v>
      </c>
      <c r="F114">
        <f>Table2PRN!F7037</f>
        <v>0</v>
      </c>
      <c r="G114">
        <f>Table2PRN!G7037</f>
        <v>0</v>
      </c>
    </row>
    <row r="115" spans="1:7" x14ac:dyDescent="0.2">
      <c r="A115" t="s">
        <v>1277</v>
      </c>
      <c r="B115">
        <f>Table2PRN!B7038</f>
        <v>0</v>
      </c>
      <c r="C115">
        <f>Table2PRN!C7038</f>
        <v>0</v>
      </c>
      <c r="D115">
        <f>Table2PRN!D7038</f>
        <v>0</v>
      </c>
      <c r="E115">
        <f>Table2PRN!E7038</f>
        <v>0</v>
      </c>
      <c r="F115">
        <f>Table2PRN!F7038</f>
        <v>0</v>
      </c>
      <c r="G115">
        <f>Table2PRN!G7038</f>
        <v>0</v>
      </c>
    </row>
    <row r="116" spans="1:7" x14ac:dyDescent="0.2">
      <c r="A116" t="s">
        <v>1798</v>
      </c>
      <c r="B116">
        <f>Table2PRN!B7039</f>
        <v>0</v>
      </c>
      <c r="C116">
        <f>Table2PRN!C7039</f>
        <v>0</v>
      </c>
      <c r="D116">
        <f>Table2PRN!D7039</f>
        <v>0</v>
      </c>
      <c r="E116">
        <f>Table2PRN!E7039</f>
        <v>0</v>
      </c>
      <c r="F116">
        <f>Table2PRN!F7039</f>
        <v>0</v>
      </c>
      <c r="G116">
        <f>Table2PRN!G7039</f>
        <v>0</v>
      </c>
    </row>
    <row r="117" spans="1:7" x14ac:dyDescent="0.2">
      <c r="A117" t="s">
        <v>1803</v>
      </c>
      <c r="B117">
        <f>Table2PRN!B7040</f>
        <v>0</v>
      </c>
      <c r="C117">
        <f>Table2PRN!C7040</f>
        <v>0</v>
      </c>
      <c r="D117">
        <f>Table2PRN!D7040</f>
        <v>0</v>
      </c>
      <c r="E117">
        <f>Table2PRN!E7040</f>
        <v>0</v>
      </c>
      <c r="F117">
        <f>Table2PRN!F7040</f>
        <v>0</v>
      </c>
      <c r="G117">
        <f>Table2PRN!G7040</f>
        <v>0</v>
      </c>
    </row>
    <row r="118" spans="1:7" x14ac:dyDescent="0.2">
      <c r="A118" t="s">
        <v>1808</v>
      </c>
      <c r="B118">
        <f>Table2PRN!B7041</f>
        <v>0</v>
      </c>
      <c r="C118">
        <f>Table2PRN!C7041</f>
        <v>0</v>
      </c>
      <c r="D118">
        <f>Table2PRN!D7041</f>
        <v>0</v>
      </c>
      <c r="E118">
        <f>Table2PRN!E7041</f>
        <v>0</v>
      </c>
      <c r="F118">
        <f>Table2PRN!F7041</f>
        <v>0</v>
      </c>
      <c r="G118">
        <f>Table2PRN!G7041</f>
        <v>0</v>
      </c>
    </row>
    <row r="119" spans="1:7" x14ac:dyDescent="0.2">
      <c r="A119" t="s">
        <v>1813</v>
      </c>
      <c r="B119">
        <f>Table2PRN!B7042</f>
        <v>0</v>
      </c>
      <c r="C119">
        <f>Table2PRN!C7042</f>
        <v>0</v>
      </c>
      <c r="D119">
        <f>Table2PRN!D7042</f>
        <v>0</v>
      </c>
      <c r="E119">
        <f>Table2PRN!E7042</f>
        <v>0</v>
      </c>
      <c r="F119">
        <f>Table2PRN!F7042</f>
        <v>0</v>
      </c>
      <c r="G119">
        <f>Table2PRN!G7042</f>
        <v>0</v>
      </c>
    </row>
    <row r="120" spans="1:7" x14ac:dyDescent="0.2">
      <c r="A120" t="s">
        <v>1819</v>
      </c>
      <c r="B120">
        <f>Table2PRN!B7043</f>
        <v>0</v>
      </c>
      <c r="C120">
        <f>Table2PRN!C7043</f>
        <v>0</v>
      </c>
      <c r="D120">
        <f>Table2PRN!D7043</f>
        <v>0</v>
      </c>
      <c r="E120">
        <f>Table2PRN!E7043</f>
        <v>0</v>
      </c>
      <c r="F120">
        <f>Table2PRN!F7043</f>
        <v>0</v>
      </c>
      <c r="G120">
        <f>Table2PRN!G7043</f>
        <v>0</v>
      </c>
    </row>
    <row r="121" spans="1:7" x14ac:dyDescent="0.2">
      <c r="A121" t="s">
        <v>1826</v>
      </c>
      <c r="B121">
        <f>Table2PRN!B7044</f>
        <v>0</v>
      </c>
      <c r="C121">
        <f>Table2PRN!C7044</f>
        <v>0</v>
      </c>
      <c r="D121">
        <f>Table2PRN!D7044</f>
        <v>0</v>
      </c>
      <c r="E121">
        <f>Table2PRN!E7044</f>
        <v>0</v>
      </c>
      <c r="F121">
        <f>Table2PRN!F7044</f>
        <v>0</v>
      </c>
      <c r="G121">
        <f>Table2PRN!G7044</f>
        <v>0</v>
      </c>
    </row>
    <row r="122" spans="1:7" x14ac:dyDescent="0.2">
      <c r="A122" t="s">
        <v>1830</v>
      </c>
      <c r="B122">
        <f>Table2PRN!B7045</f>
        <v>0</v>
      </c>
      <c r="C122">
        <f>Table2PRN!C7045</f>
        <v>0</v>
      </c>
      <c r="D122">
        <f>Table2PRN!D7045</f>
        <v>0</v>
      </c>
      <c r="E122">
        <f>Table2PRN!E7045</f>
        <v>0</v>
      </c>
      <c r="F122">
        <f>Table2PRN!F7045</f>
        <v>0</v>
      </c>
      <c r="G122">
        <f>Table2PRN!G7045</f>
        <v>0</v>
      </c>
    </row>
    <row r="123" spans="1:7" x14ac:dyDescent="0.2">
      <c r="A123" t="s">
        <v>1836</v>
      </c>
      <c r="B123">
        <f>Table2PRN!B7046</f>
        <v>0</v>
      </c>
      <c r="C123">
        <f>Table2PRN!C7046</f>
        <v>0</v>
      </c>
      <c r="D123">
        <f>Table2PRN!D7046</f>
        <v>0</v>
      </c>
      <c r="E123">
        <f>Table2PRN!E7046</f>
        <v>0</v>
      </c>
      <c r="F123">
        <f>Table2PRN!F7046</f>
        <v>0</v>
      </c>
      <c r="G123">
        <f>Table2PRN!G7046</f>
        <v>0</v>
      </c>
    </row>
    <row r="124" spans="1:7" x14ac:dyDescent="0.2">
      <c r="A124" t="s">
        <v>1841</v>
      </c>
      <c r="B124">
        <f>Table2PRN!B7047</f>
        <v>0</v>
      </c>
      <c r="C124">
        <f>Table2PRN!C7047</f>
        <v>0</v>
      </c>
      <c r="D124">
        <f>Table2PRN!D7047</f>
        <v>0</v>
      </c>
      <c r="E124">
        <f>Table2PRN!E7047</f>
        <v>0</v>
      </c>
      <c r="F124">
        <f>Table2PRN!F7047</f>
        <v>0</v>
      </c>
      <c r="G124">
        <f>Table2PRN!G7047</f>
        <v>0</v>
      </c>
    </row>
    <row r="125" spans="1:7" x14ac:dyDescent="0.2">
      <c r="A125" t="s">
        <v>1842</v>
      </c>
      <c r="B125">
        <f>Table2PRN!B7048</f>
        <v>0</v>
      </c>
      <c r="C125">
        <f>Table2PRN!C7048</f>
        <v>0</v>
      </c>
      <c r="D125">
        <f>Table2PRN!D7048</f>
        <v>0</v>
      </c>
      <c r="E125">
        <f>Table2PRN!E7048</f>
        <v>0</v>
      </c>
      <c r="F125">
        <f>Table2PRN!F7048</f>
        <v>0</v>
      </c>
      <c r="G125">
        <f>Table2PRN!G7048</f>
        <v>0</v>
      </c>
    </row>
    <row r="126" spans="1:7" x14ac:dyDescent="0.2">
      <c r="A126" t="s">
        <v>1843</v>
      </c>
      <c r="B126">
        <f>Table2PRN!B7049</f>
        <v>0</v>
      </c>
      <c r="C126">
        <f>Table2PRN!C7049</f>
        <v>0</v>
      </c>
      <c r="D126">
        <f>Table2PRN!D7049</f>
        <v>0</v>
      </c>
      <c r="E126">
        <f>Table2PRN!E7049</f>
        <v>0</v>
      </c>
      <c r="F126">
        <f>Table2PRN!F7049</f>
        <v>0</v>
      </c>
      <c r="G126">
        <f>Table2PRN!G7049</f>
        <v>0</v>
      </c>
    </row>
    <row r="127" spans="1:7" x14ac:dyDescent="0.2">
      <c r="A127" t="s">
        <v>1846</v>
      </c>
      <c r="B127">
        <f>Table2PRN!B7050</f>
        <v>0</v>
      </c>
      <c r="C127">
        <f>Table2PRN!C7050</f>
        <v>0</v>
      </c>
      <c r="D127">
        <f>Table2PRN!D7050</f>
        <v>0</v>
      </c>
      <c r="E127">
        <f>Table2PRN!E7050</f>
        <v>0</v>
      </c>
      <c r="F127">
        <f>Table2PRN!F7050</f>
        <v>0</v>
      </c>
      <c r="G127">
        <f>Table2PRN!G7050</f>
        <v>0</v>
      </c>
    </row>
    <row r="128" spans="1:7" x14ac:dyDescent="0.2">
      <c r="A128" t="s">
        <v>1851</v>
      </c>
      <c r="B128">
        <f>Table2PRN!B7051</f>
        <v>0</v>
      </c>
      <c r="C128">
        <f>Table2PRN!C7051</f>
        <v>0</v>
      </c>
      <c r="D128">
        <f>Table2PRN!D7051</f>
        <v>0</v>
      </c>
      <c r="E128">
        <f>Table2PRN!E7051</f>
        <v>0</v>
      </c>
      <c r="F128">
        <f>Table2PRN!F7051</f>
        <v>0</v>
      </c>
      <c r="G128">
        <f>Table2PRN!G7051</f>
        <v>0</v>
      </c>
    </row>
    <row r="129" spans="1:7" x14ac:dyDescent="0.2">
      <c r="A129" t="s">
        <v>1857</v>
      </c>
      <c r="B129">
        <f>Table2PRN!B7052</f>
        <v>0</v>
      </c>
      <c r="C129">
        <f>Table2PRN!C7052</f>
        <v>0</v>
      </c>
      <c r="D129">
        <f>Table2PRN!D7052</f>
        <v>0</v>
      </c>
      <c r="E129">
        <f>Table2PRN!E7052</f>
        <v>0</v>
      </c>
      <c r="F129">
        <f>Table2PRN!F7052</f>
        <v>0</v>
      </c>
      <c r="G129">
        <f>Table2PRN!G7052</f>
        <v>0</v>
      </c>
    </row>
    <row r="130" spans="1:7" x14ac:dyDescent="0.2">
      <c r="A130" t="s">
        <v>1862</v>
      </c>
      <c r="B130">
        <f>Table2PRN!B7053</f>
        <v>0</v>
      </c>
      <c r="C130">
        <f>Table2PRN!C7053</f>
        <v>0</v>
      </c>
      <c r="D130">
        <f>Table2PRN!D7053</f>
        <v>0</v>
      </c>
      <c r="E130">
        <f>Table2PRN!E7053</f>
        <v>0</v>
      </c>
      <c r="F130">
        <f>Table2PRN!F7053</f>
        <v>0</v>
      </c>
      <c r="G130">
        <f>Table2PRN!G7053</f>
        <v>0</v>
      </c>
    </row>
    <row r="131" spans="1:7" x14ac:dyDescent="0.2">
      <c r="A131" t="s">
        <v>1867</v>
      </c>
      <c r="B131">
        <f>Table2PRN!B7054</f>
        <v>0</v>
      </c>
      <c r="C131">
        <f>Table2PRN!C7054</f>
        <v>0</v>
      </c>
      <c r="D131">
        <f>Table2PRN!D7054</f>
        <v>0</v>
      </c>
      <c r="E131">
        <f>Table2PRN!E7054</f>
        <v>0</v>
      </c>
      <c r="F131">
        <f>Table2PRN!F7054</f>
        <v>0</v>
      </c>
      <c r="G131">
        <f>Table2PRN!G7054</f>
        <v>0</v>
      </c>
    </row>
    <row r="132" spans="1:7" x14ac:dyDescent="0.2">
      <c r="A132" t="s">
        <v>1870</v>
      </c>
      <c r="B132">
        <f>Table2PRN!B7055</f>
        <v>0</v>
      </c>
      <c r="C132">
        <f>Table2PRN!C7055</f>
        <v>0</v>
      </c>
      <c r="D132">
        <f>Table2PRN!D7055</f>
        <v>0</v>
      </c>
      <c r="E132">
        <f>Table2PRN!E7055</f>
        <v>0</v>
      </c>
      <c r="F132">
        <f>Table2PRN!F7055</f>
        <v>0</v>
      </c>
      <c r="G132">
        <f>Table2PRN!G7055</f>
        <v>0</v>
      </c>
    </row>
    <row r="133" spans="1:7" x14ac:dyDescent="0.2">
      <c r="A133" t="s">
        <v>1874</v>
      </c>
      <c r="B133">
        <f>Table2PRN!B7056</f>
        <v>0</v>
      </c>
      <c r="C133">
        <f>Table2PRN!C7056</f>
        <v>0</v>
      </c>
      <c r="D133">
        <f>Table2PRN!D7056</f>
        <v>0</v>
      </c>
      <c r="E133">
        <f>Table2PRN!E7056</f>
        <v>0</v>
      </c>
      <c r="F133">
        <f>Table2PRN!F7056</f>
        <v>0</v>
      </c>
      <c r="G133">
        <f>Table2PRN!G7056</f>
        <v>0</v>
      </c>
    </row>
    <row r="134" spans="1:7" x14ac:dyDescent="0.2">
      <c r="A134" t="s">
        <v>1876</v>
      </c>
      <c r="B134">
        <f>Table2PRN!B7057</f>
        <v>0</v>
      </c>
      <c r="C134">
        <f>Table2PRN!C7057</f>
        <v>0</v>
      </c>
      <c r="D134">
        <f>Table2PRN!D7057</f>
        <v>0</v>
      </c>
      <c r="E134">
        <f>Table2PRN!E7057</f>
        <v>0</v>
      </c>
      <c r="F134">
        <f>Table2PRN!F7057</f>
        <v>0</v>
      </c>
      <c r="G134">
        <f>Table2PRN!G7057</f>
        <v>0</v>
      </c>
    </row>
    <row r="135" spans="1:7" x14ac:dyDescent="0.2">
      <c r="A135" t="s">
        <v>1881</v>
      </c>
      <c r="B135">
        <f>Table2PRN!B7058</f>
        <v>0</v>
      </c>
      <c r="C135">
        <f>Table2PRN!C7058</f>
        <v>0</v>
      </c>
      <c r="D135">
        <f>Table2PRN!D7058</f>
        <v>0</v>
      </c>
      <c r="E135">
        <f>Table2PRN!E7058</f>
        <v>0</v>
      </c>
      <c r="F135">
        <f>Table2PRN!F7058</f>
        <v>0</v>
      </c>
      <c r="G135">
        <f>Table2PRN!G7058</f>
        <v>0</v>
      </c>
    </row>
    <row r="136" spans="1:7" x14ac:dyDescent="0.2">
      <c r="A136" t="s">
        <v>1885</v>
      </c>
      <c r="B136">
        <f>Table2PRN!B7059</f>
        <v>0</v>
      </c>
      <c r="C136">
        <f>Table2PRN!C7059</f>
        <v>0</v>
      </c>
      <c r="D136">
        <f>Table2PRN!D7059</f>
        <v>0</v>
      </c>
      <c r="E136">
        <f>Table2PRN!E7059</f>
        <v>24</v>
      </c>
      <c r="F136">
        <f>Table2PRN!F7059</f>
        <v>0</v>
      </c>
      <c r="G136">
        <f>Table2PRN!G7059</f>
        <v>24</v>
      </c>
    </row>
    <row r="137" spans="1:7" x14ac:dyDescent="0.2">
      <c r="A137" t="s">
        <v>1887</v>
      </c>
      <c r="B137">
        <f>Table2PRN!B7060</f>
        <v>0</v>
      </c>
      <c r="C137">
        <f>Table2PRN!C7060</f>
        <v>0</v>
      </c>
      <c r="D137">
        <f>Table2PRN!D7060</f>
        <v>0</v>
      </c>
      <c r="E137">
        <f>Table2PRN!E7060</f>
        <v>0</v>
      </c>
      <c r="F137">
        <f>Table2PRN!F7060</f>
        <v>0</v>
      </c>
      <c r="G137">
        <f>Table2PRN!G7060</f>
        <v>0</v>
      </c>
    </row>
    <row r="138" spans="1:7" x14ac:dyDescent="0.2">
      <c r="A138" t="s">
        <v>1893</v>
      </c>
      <c r="B138">
        <f>Table2PRN!B7061</f>
        <v>0</v>
      </c>
      <c r="C138">
        <f>Table2PRN!C7061</f>
        <v>0</v>
      </c>
      <c r="D138">
        <f>Table2PRN!D7061</f>
        <v>0</v>
      </c>
      <c r="E138">
        <f>Table2PRN!E7061</f>
        <v>1</v>
      </c>
      <c r="F138">
        <f>Table2PRN!F7061</f>
        <v>0</v>
      </c>
      <c r="G138">
        <f>Table2PRN!G7061</f>
        <v>1</v>
      </c>
    </row>
    <row r="139" spans="1:7" x14ac:dyDescent="0.2">
      <c r="A139" t="s">
        <v>1899</v>
      </c>
      <c r="B139">
        <f>Table2PRN!B7062</f>
        <v>0</v>
      </c>
      <c r="C139">
        <f>Table2PRN!C7062</f>
        <v>0</v>
      </c>
      <c r="D139">
        <f>Table2PRN!D7062</f>
        <v>0</v>
      </c>
      <c r="E139">
        <f>Table2PRN!E7062</f>
        <v>0</v>
      </c>
      <c r="F139">
        <f>Table2PRN!F7062</f>
        <v>0</v>
      </c>
      <c r="G139">
        <f>Table2PRN!G7062</f>
        <v>0</v>
      </c>
    </row>
    <row r="140" spans="1:7" x14ac:dyDescent="0.2">
      <c r="A140" t="s">
        <v>1906</v>
      </c>
      <c r="B140">
        <f>Table2PRN!B7063</f>
        <v>0</v>
      </c>
      <c r="C140">
        <f>Table2PRN!C7063</f>
        <v>0</v>
      </c>
      <c r="D140">
        <f>Table2PRN!D7063</f>
        <v>0</v>
      </c>
      <c r="E140">
        <f>Table2PRN!E7063</f>
        <v>0</v>
      </c>
      <c r="F140">
        <f>Table2PRN!F7063</f>
        <v>0</v>
      </c>
      <c r="G140">
        <f>Table2PRN!G7063</f>
        <v>0</v>
      </c>
    </row>
    <row r="141" spans="1:7" x14ac:dyDescent="0.2">
      <c r="A141" t="s">
        <v>1911</v>
      </c>
      <c r="B141">
        <f>Table2PRN!B7064</f>
        <v>0</v>
      </c>
      <c r="C141">
        <f>Table2PRN!C7064</f>
        <v>0</v>
      </c>
      <c r="D141">
        <f>Table2PRN!D7064</f>
        <v>0</v>
      </c>
      <c r="E141">
        <f>Table2PRN!E7064</f>
        <v>0</v>
      </c>
      <c r="F141">
        <f>Table2PRN!F7064</f>
        <v>0</v>
      </c>
      <c r="G141">
        <f>Table2PRN!G7064</f>
        <v>0</v>
      </c>
    </row>
    <row r="142" spans="1:7" x14ac:dyDescent="0.2">
      <c r="A142" t="s">
        <v>1917</v>
      </c>
      <c r="B142">
        <f>Table2PRN!B7065</f>
        <v>0</v>
      </c>
      <c r="C142">
        <f>Table2PRN!C7065</f>
        <v>0</v>
      </c>
      <c r="D142">
        <f>Table2PRN!D7065</f>
        <v>0</v>
      </c>
      <c r="E142">
        <f>Table2PRN!E7065</f>
        <v>0</v>
      </c>
      <c r="F142">
        <f>Table2PRN!F7065</f>
        <v>0</v>
      </c>
      <c r="G142">
        <f>Table2PRN!G7065</f>
        <v>0</v>
      </c>
    </row>
    <row r="143" spans="1:7" x14ac:dyDescent="0.2">
      <c r="A143" t="s">
        <v>1922</v>
      </c>
      <c r="B143">
        <f>Table2PRN!B7066</f>
        <v>0</v>
      </c>
      <c r="C143">
        <f>Table2PRN!C7066</f>
        <v>0</v>
      </c>
      <c r="D143">
        <f>Table2PRN!D7066</f>
        <v>0</v>
      </c>
      <c r="E143">
        <f>Table2PRN!E7066</f>
        <v>0</v>
      </c>
      <c r="F143">
        <f>Table2PRN!F7066</f>
        <v>0</v>
      </c>
      <c r="G143">
        <f>Table2PRN!G7066</f>
        <v>0</v>
      </c>
    </row>
    <row r="144" spans="1:7" x14ac:dyDescent="0.2">
      <c r="A144" t="s">
        <v>1928</v>
      </c>
      <c r="B144">
        <f>Table2PRN!B7067</f>
        <v>0</v>
      </c>
      <c r="C144">
        <f>Table2PRN!C7067</f>
        <v>0</v>
      </c>
      <c r="D144">
        <f>Table2PRN!D7067</f>
        <v>0</v>
      </c>
      <c r="E144">
        <f>Table2PRN!E7067</f>
        <v>0</v>
      </c>
      <c r="F144">
        <f>Table2PRN!F7067</f>
        <v>0</v>
      </c>
      <c r="G144">
        <f>Table2PRN!G7067</f>
        <v>0</v>
      </c>
    </row>
    <row r="145" spans="1:7" x14ac:dyDescent="0.2">
      <c r="A145" t="s">
        <v>1932</v>
      </c>
      <c r="B145">
        <f>Table2PRN!B7068</f>
        <v>0</v>
      </c>
      <c r="C145">
        <f>Table2PRN!C7068</f>
        <v>0</v>
      </c>
      <c r="D145">
        <f>Table2PRN!D7068</f>
        <v>0</v>
      </c>
      <c r="E145">
        <f>Table2PRN!E7068</f>
        <v>0</v>
      </c>
      <c r="F145">
        <f>Table2PRN!F7068</f>
        <v>0</v>
      </c>
      <c r="G145">
        <f>Table2PRN!G7068</f>
        <v>0</v>
      </c>
    </row>
    <row r="146" spans="1:7" x14ac:dyDescent="0.2">
      <c r="A146" t="s">
        <v>1938</v>
      </c>
      <c r="B146">
        <f>Table2PRN!B7069</f>
        <v>0</v>
      </c>
      <c r="C146">
        <f>Table2PRN!C7069</f>
        <v>0</v>
      </c>
      <c r="D146">
        <f>Table2PRN!D7069</f>
        <v>0</v>
      </c>
      <c r="E146">
        <f>Table2PRN!E7069</f>
        <v>0</v>
      </c>
      <c r="F146">
        <f>Table2PRN!F7069</f>
        <v>0</v>
      </c>
      <c r="G146">
        <f>Table2PRN!G7069</f>
        <v>0</v>
      </c>
    </row>
    <row r="147" spans="1:7" x14ac:dyDescent="0.2">
      <c r="A147" t="s">
        <v>1944</v>
      </c>
      <c r="B147">
        <f>Table2PRN!B7070</f>
        <v>0</v>
      </c>
      <c r="C147">
        <f>Table2PRN!C7070</f>
        <v>0</v>
      </c>
      <c r="D147">
        <f>Table2PRN!D7070</f>
        <v>0</v>
      </c>
      <c r="E147">
        <f>Table2PRN!E7070</f>
        <v>0</v>
      </c>
      <c r="F147">
        <f>Table2PRN!F7070</f>
        <v>0</v>
      </c>
      <c r="G147">
        <f>Table2PRN!G7070</f>
        <v>0</v>
      </c>
    </row>
    <row r="148" spans="1:7" x14ac:dyDescent="0.2">
      <c r="A148" t="s">
        <v>1947</v>
      </c>
      <c r="B148">
        <f>Table2PRN!B7071</f>
        <v>0</v>
      </c>
      <c r="C148">
        <f>Table2PRN!C7071</f>
        <v>0</v>
      </c>
      <c r="D148">
        <f>Table2PRN!D7071</f>
        <v>0</v>
      </c>
      <c r="E148">
        <f>Table2PRN!E7071</f>
        <v>0</v>
      </c>
      <c r="F148">
        <f>Table2PRN!F7071</f>
        <v>0</v>
      </c>
      <c r="G148">
        <f>Table2PRN!G7071</f>
        <v>0</v>
      </c>
    </row>
    <row r="149" spans="1:7" x14ac:dyDescent="0.2">
      <c r="A149" t="s">
        <v>1953</v>
      </c>
      <c r="B149">
        <f>Table2PRN!B7072</f>
        <v>0</v>
      </c>
      <c r="C149">
        <f>Table2PRN!C7072</f>
        <v>0</v>
      </c>
      <c r="D149">
        <f>Table2PRN!D7072</f>
        <v>0</v>
      </c>
      <c r="E149">
        <f>Table2PRN!E7072</f>
        <v>0</v>
      </c>
      <c r="F149">
        <f>Table2PRN!F7072</f>
        <v>0</v>
      </c>
      <c r="G149">
        <f>Table2PRN!G7072</f>
        <v>0</v>
      </c>
    </row>
    <row r="150" spans="1:7" x14ac:dyDescent="0.2">
      <c r="A150" t="s">
        <v>1958</v>
      </c>
      <c r="B150">
        <f>Table2PRN!B7073</f>
        <v>0</v>
      </c>
      <c r="C150">
        <f>Table2PRN!C7073</f>
        <v>0</v>
      </c>
      <c r="D150">
        <f>Table2PRN!D7073</f>
        <v>0</v>
      </c>
      <c r="E150">
        <f>Table2PRN!E7073</f>
        <v>0</v>
      </c>
      <c r="F150">
        <f>Table2PRN!F7073</f>
        <v>0</v>
      </c>
      <c r="G150">
        <f>Table2PRN!G7073</f>
        <v>0</v>
      </c>
    </row>
    <row r="151" spans="1:7" x14ac:dyDescent="0.2">
      <c r="A151" t="s">
        <v>1964</v>
      </c>
      <c r="B151">
        <f>Table2PRN!B7074</f>
        <v>0</v>
      </c>
      <c r="C151">
        <f>Table2PRN!C7074</f>
        <v>0</v>
      </c>
      <c r="D151">
        <f>Table2PRN!D7074</f>
        <v>0</v>
      </c>
      <c r="E151">
        <f>Table2PRN!E7074</f>
        <v>0</v>
      </c>
      <c r="F151">
        <f>Table2PRN!F7074</f>
        <v>0</v>
      </c>
      <c r="G151">
        <f>Table2PRN!G7074</f>
        <v>0</v>
      </c>
    </row>
    <row r="152" spans="1:7" x14ac:dyDescent="0.2">
      <c r="A152" t="s">
        <v>1973</v>
      </c>
      <c r="B152">
        <f>Table2PRN!B7075</f>
        <v>0</v>
      </c>
      <c r="C152">
        <f>Table2PRN!C7075</f>
        <v>0</v>
      </c>
      <c r="D152">
        <f>Table2PRN!D7075</f>
        <v>0</v>
      </c>
      <c r="E152">
        <f>Table2PRN!E7075</f>
        <v>0</v>
      </c>
      <c r="F152">
        <f>Table2PRN!F7075</f>
        <v>0</v>
      </c>
      <c r="G152">
        <f>Table2PRN!G7075</f>
        <v>0</v>
      </c>
    </row>
    <row r="153" spans="1:7" x14ac:dyDescent="0.2">
      <c r="A153" t="s">
        <v>1978</v>
      </c>
      <c r="B153">
        <f>Table2PRN!B7076</f>
        <v>0</v>
      </c>
      <c r="C153">
        <f>Table2PRN!C7076</f>
        <v>0</v>
      </c>
      <c r="D153">
        <f>Table2PRN!D7076</f>
        <v>0</v>
      </c>
      <c r="E153">
        <f>Table2PRN!E7076</f>
        <v>0</v>
      </c>
      <c r="F153">
        <f>Table2PRN!F7076</f>
        <v>0</v>
      </c>
      <c r="G153">
        <f>Table2PRN!G7076</f>
        <v>0</v>
      </c>
    </row>
    <row r="154" spans="1:7" x14ac:dyDescent="0.2">
      <c r="A154" t="s">
        <v>1983</v>
      </c>
      <c r="B154">
        <f>Table2PRN!B7077</f>
        <v>0</v>
      </c>
      <c r="C154">
        <f>Table2PRN!C7077</f>
        <v>0</v>
      </c>
      <c r="D154">
        <f>Table2PRN!D7077</f>
        <v>0</v>
      </c>
      <c r="E154">
        <f>Table2PRN!E7077</f>
        <v>0</v>
      </c>
      <c r="F154">
        <f>Table2PRN!F7077</f>
        <v>0</v>
      </c>
      <c r="G154">
        <f>Table2PRN!G7077</f>
        <v>0</v>
      </c>
    </row>
    <row r="155" spans="1:7" x14ac:dyDescent="0.2">
      <c r="A155" t="s">
        <v>1984</v>
      </c>
      <c r="B155">
        <f>Table2PRN!B7078</f>
        <v>0</v>
      </c>
      <c r="C155">
        <f>Table2PRN!C7078</f>
        <v>0</v>
      </c>
      <c r="D155">
        <f>Table2PRN!D7078</f>
        <v>0</v>
      </c>
      <c r="E155">
        <f>Table2PRN!E7078</f>
        <v>0</v>
      </c>
      <c r="F155">
        <f>Table2PRN!F7078</f>
        <v>0</v>
      </c>
      <c r="G155">
        <f>Table2PRN!G7078</f>
        <v>0</v>
      </c>
    </row>
    <row r="156" spans="1:7" x14ac:dyDescent="0.2">
      <c r="A156" t="s">
        <v>1990</v>
      </c>
      <c r="B156">
        <f>Table2PRN!B7079</f>
        <v>0</v>
      </c>
      <c r="C156">
        <f>Table2PRN!C7079</f>
        <v>0</v>
      </c>
      <c r="D156">
        <f>Table2PRN!D7079</f>
        <v>0</v>
      </c>
      <c r="E156">
        <f>Table2PRN!E7079</f>
        <v>0</v>
      </c>
      <c r="F156">
        <f>Table2PRN!F7079</f>
        <v>0</v>
      </c>
      <c r="G156">
        <f>Table2PRN!G7079</f>
        <v>0</v>
      </c>
    </row>
    <row r="157" spans="1:7" x14ac:dyDescent="0.2">
      <c r="A157" t="s">
        <v>1996</v>
      </c>
      <c r="B157">
        <f>Table2PRN!B7080</f>
        <v>0</v>
      </c>
      <c r="C157">
        <f>Table2PRN!C7080</f>
        <v>0</v>
      </c>
      <c r="D157">
        <f>Table2PRN!D7080</f>
        <v>0</v>
      </c>
      <c r="E157">
        <f>Table2PRN!E7080</f>
        <v>0</v>
      </c>
      <c r="F157">
        <f>Table2PRN!F7080</f>
        <v>0</v>
      </c>
      <c r="G157">
        <f>Table2PRN!G7080</f>
        <v>0</v>
      </c>
    </row>
    <row r="158" spans="1:7" x14ac:dyDescent="0.2">
      <c r="A158" t="s">
        <v>1998</v>
      </c>
      <c r="B158">
        <f>Table2PRN!B7081</f>
        <v>0</v>
      </c>
      <c r="C158">
        <f>Table2PRN!C7081</f>
        <v>0</v>
      </c>
      <c r="D158">
        <f>Table2PRN!D7081</f>
        <v>0</v>
      </c>
      <c r="E158">
        <f>Table2PRN!E7081</f>
        <v>0</v>
      </c>
      <c r="F158">
        <f>Table2PRN!F7081</f>
        <v>0</v>
      </c>
      <c r="G158">
        <f>Table2PRN!G7081</f>
        <v>0</v>
      </c>
    </row>
    <row r="159" spans="1:7" x14ac:dyDescent="0.2">
      <c r="A159" t="s">
        <v>1999</v>
      </c>
      <c r="B159">
        <f>Table2PRN!B7082</f>
        <v>0</v>
      </c>
      <c r="C159">
        <f>Table2PRN!C7082</f>
        <v>0</v>
      </c>
      <c r="D159">
        <f>Table2PRN!D7082</f>
        <v>0</v>
      </c>
      <c r="E159">
        <f>Table2PRN!E7082</f>
        <v>0</v>
      </c>
      <c r="F159">
        <f>Table2PRN!F7082</f>
        <v>0</v>
      </c>
      <c r="G159">
        <f>Table2PRN!G7082</f>
        <v>0</v>
      </c>
    </row>
    <row r="160" spans="1:7" x14ac:dyDescent="0.2">
      <c r="A160" t="s">
        <v>2004</v>
      </c>
      <c r="B160">
        <f>Table2PRN!B7083</f>
        <v>0</v>
      </c>
      <c r="C160">
        <f>Table2PRN!C7083</f>
        <v>0</v>
      </c>
      <c r="D160">
        <f>Table2PRN!D7083</f>
        <v>0</v>
      </c>
      <c r="E160">
        <f>Table2PRN!E7083</f>
        <v>0</v>
      </c>
      <c r="F160">
        <f>Table2PRN!F7083</f>
        <v>0</v>
      </c>
      <c r="G160">
        <f>Table2PRN!G7083</f>
        <v>0</v>
      </c>
    </row>
    <row r="161" spans="1:7" x14ac:dyDescent="0.2">
      <c r="A161" t="s">
        <v>2009</v>
      </c>
      <c r="B161">
        <f>Table2PRN!B7084</f>
        <v>0</v>
      </c>
      <c r="C161">
        <f>Table2PRN!C7084</f>
        <v>0</v>
      </c>
      <c r="D161">
        <f>Table2PRN!D7084</f>
        <v>0</v>
      </c>
      <c r="E161">
        <f>Table2PRN!E7084</f>
        <v>0</v>
      </c>
      <c r="F161">
        <f>Table2PRN!F7084</f>
        <v>0</v>
      </c>
      <c r="G161">
        <f>Table2PRN!G7084</f>
        <v>0</v>
      </c>
    </row>
    <row r="162" spans="1:7" x14ac:dyDescent="0.2">
      <c r="A162" t="s">
        <v>2014</v>
      </c>
      <c r="B162">
        <f>Table2PRN!B7085</f>
        <v>0</v>
      </c>
      <c r="C162">
        <f>Table2PRN!C7085</f>
        <v>0</v>
      </c>
      <c r="D162">
        <f>Table2PRN!D7085</f>
        <v>0</v>
      </c>
      <c r="E162">
        <f>Table2PRN!E7085</f>
        <v>0</v>
      </c>
      <c r="F162">
        <f>Table2PRN!F7085</f>
        <v>0</v>
      </c>
      <c r="G162">
        <f>Table2PRN!G7085</f>
        <v>0</v>
      </c>
    </row>
    <row r="163" spans="1:7" x14ac:dyDescent="0.2">
      <c r="A163" t="s">
        <v>2019</v>
      </c>
      <c r="B163">
        <f>Table2PRN!B7086</f>
        <v>0</v>
      </c>
      <c r="C163">
        <f>Table2PRN!C7086</f>
        <v>0</v>
      </c>
      <c r="D163">
        <f>Table2PRN!D7086</f>
        <v>0</v>
      </c>
      <c r="E163">
        <f>Table2PRN!E7086</f>
        <v>0</v>
      </c>
      <c r="F163">
        <f>Table2PRN!F7086</f>
        <v>0</v>
      </c>
      <c r="G163">
        <f>Table2PRN!G7086</f>
        <v>0</v>
      </c>
    </row>
    <row r="164" spans="1:7" x14ac:dyDescent="0.2">
      <c r="A164" t="s">
        <v>2023</v>
      </c>
      <c r="B164">
        <f>Table2PRN!B7087</f>
        <v>0</v>
      </c>
      <c r="C164">
        <f>Table2PRN!C7087</f>
        <v>0</v>
      </c>
      <c r="D164">
        <f>Table2PRN!D7087</f>
        <v>0</v>
      </c>
      <c r="E164">
        <f>Table2PRN!E7087</f>
        <v>0</v>
      </c>
      <c r="F164">
        <f>Table2PRN!F7087</f>
        <v>0</v>
      </c>
      <c r="G164">
        <f>Table2PRN!G7087</f>
        <v>0</v>
      </c>
    </row>
    <row r="165" spans="1:7" x14ac:dyDescent="0.2">
      <c r="A165" t="s">
        <v>2026</v>
      </c>
      <c r="B165">
        <f>Table2PRN!B7088</f>
        <v>0</v>
      </c>
      <c r="C165">
        <f>Table2PRN!C7088</f>
        <v>0</v>
      </c>
      <c r="D165">
        <f>Table2PRN!D7088</f>
        <v>0</v>
      </c>
      <c r="E165">
        <f>Table2PRN!E7088</f>
        <v>0</v>
      </c>
      <c r="F165">
        <f>Table2PRN!F7088</f>
        <v>0</v>
      </c>
      <c r="G165">
        <f>Table2PRN!G7088</f>
        <v>0</v>
      </c>
    </row>
    <row r="166" spans="1:7" x14ac:dyDescent="0.2">
      <c r="A166" t="s">
        <v>2030</v>
      </c>
      <c r="B166">
        <f>Table2PRN!B7089</f>
        <v>0</v>
      </c>
      <c r="C166">
        <f>Table2PRN!C7089</f>
        <v>0</v>
      </c>
      <c r="D166">
        <f>Table2PRN!D7089</f>
        <v>0</v>
      </c>
      <c r="E166">
        <f>Table2PRN!E7089</f>
        <v>0</v>
      </c>
      <c r="F166">
        <f>Table2PRN!F7089</f>
        <v>0</v>
      </c>
      <c r="G166">
        <f>Table2PRN!G7089</f>
        <v>0</v>
      </c>
    </row>
    <row r="167" spans="1:7" x14ac:dyDescent="0.2">
      <c r="A167" t="s">
        <v>2035</v>
      </c>
      <c r="B167">
        <f>Table2PRN!B7090</f>
        <v>0</v>
      </c>
      <c r="C167">
        <f>Table2PRN!C7090</f>
        <v>0</v>
      </c>
      <c r="D167">
        <f>Table2PRN!D7090</f>
        <v>0</v>
      </c>
      <c r="E167">
        <f>Table2PRN!E7090</f>
        <v>0</v>
      </c>
      <c r="F167">
        <f>Table2PRN!F7090</f>
        <v>0</v>
      </c>
      <c r="G167">
        <f>Table2PRN!G7090</f>
        <v>0</v>
      </c>
    </row>
    <row r="168" spans="1:7" x14ac:dyDescent="0.2">
      <c r="A168" t="s">
        <v>2040</v>
      </c>
      <c r="B168">
        <f>Table2PRN!B7091</f>
        <v>0</v>
      </c>
      <c r="C168">
        <f>Table2PRN!C7091</f>
        <v>0</v>
      </c>
      <c r="D168">
        <f>Table2PRN!D7091</f>
        <v>0</v>
      </c>
      <c r="E168">
        <f>Table2PRN!E7091</f>
        <v>0</v>
      </c>
      <c r="F168">
        <f>Table2PRN!F7091</f>
        <v>0</v>
      </c>
      <c r="G168">
        <f>Table2PRN!G7091</f>
        <v>0</v>
      </c>
    </row>
    <row r="169" spans="1:7" x14ac:dyDescent="0.2">
      <c r="A169" t="s">
        <v>2045</v>
      </c>
      <c r="B169">
        <f>Table2PRN!B7092</f>
        <v>0</v>
      </c>
      <c r="C169">
        <f>Table2PRN!C7092</f>
        <v>0</v>
      </c>
      <c r="D169">
        <f>Table2PRN!D7092</f>
        <v>0</v>
      </c>
      <c r="E169">
        <f>Table2PRN!E7092</f>
        <v>0</v>
      </c>
      <c r="F169">
        <f>Table2PRN!F7092</f>
        <v>0</v>
      </c>
      <c r="G169">
        <f>Table2PRN!G7092</f>
        <v>0</v>
      </c>
    </row>
    <row r="170" spans="1:7" x14ac:dyDescent="0.2">
      <c r="A170" t="s">
        <v>2049</v>
      </c>
      <c r="B170">
        <f>Table2PRN!B7093</f>
        <v>0</v>
      </c>
      <c r="C170">
        <f>Table2PRN!C7093</f>
        <v>0</v>
      </c>
      <c r="D170">
        <f>Table2PRN!D7093</f>
        <v>0</v>
      </c>
      <c r="E170">
        <f>Table2PRN!E7093</f>
        <v>0</v>
      </c>
      <c r="F170">
        <f>Table2PRN!F7093</f>
        <v>0</v>
      </c>
      <c r="G170">
        <f>Table2PRN!G7093</f>
        <v>0</v>
      </c>
    </row>
    <row r="171" spans="1:7" x14ac:dyDescent="0.2">
      <c r="A171" t="s">
        <v>2051</v>
      </c>
      <c r="B171">
        <f>Table2PRN!B7094</f>
        <v>0</v>
      </c>
      <c r="C171">
        <f>Table2PRN!C7094</f>
        <v>0</v>
      </c>
      <c r="D171">
        <f>Table2PRN!D7094</f>
        <v>0</v>
      </c>
      <c r="E171">
        <f>Table2PRN!E7094</f>
        <v>0</v>
      </c>
      <c r="F171">
        <f>Table2PRN!F7094</f>
        <v>0</v>
      </c>
      <c r="G171">
        <f>Table2PRN!G7094</f>
        <v>0</v>
      </c>
    </row>
    <row r="172" spans="1:7" x14ac:dyDescent="0.2">
      <c r="A172" t="s">
        <v>2057</v>
      </c>
      <c r="B172">
        <f>Table2PRN!B7095</f>
        <v>0</v>
      </c>
      <c r="C172">
        <f>Table2PRN!C7095</f>
        <v>0</v>
      </c>
      <c r="D172">
        <f>Table2PRN!D7095</f>
        <v>0</v>
      </c>
      <c r="E172">
        <f>Table2PRN!E7095</f>
        <v>0</v>
      </c>
      <c r="F172">
        <f>Table2PRN!F7095</f>
        <v>0</v>
      </c>
      <c r="G172">
        <f>Table2PRN!G7095</f>
        <v>0</v>
      </c>
    </row>
    <row r="173" spans="1:7" x14ac:dyDescent="0.2">
      <c r="A173" t="s">
        <v>4344</v>
      </c>
      <c r="B173">
        <f>Table2PRN!B7096</f>
        <v>0</v>
      </c>
      <c r="C173">
        <f>Table2PRN!C7096</f>
        <v>0</v>
      </c>
      <c r="D173">
        <f>Table2PRN!D7096</f>
        <v>0</v>
      </c>
      <c r="E173">
        <f>Table2PRN!E7096</f>
        <v>0</v>
      </c>
      <c r="F173">
        <f>Table2PRN!F7096</f>
        <v>0</v>
      </c>
      <c r="G173">
        <f>Table2PRN!G7096</f>
        <v>0</v>
      </c>
    </row>
    <row r="174" spans="1:7" x14ac:dyDescent="0.2">
      <c r="A174" t="s">
        <v>4345</v>
      </c>
      <c r="B174">
        <f>Table2PRN!B7097</f>
        <v>0</v>
      </c>
      <c r="C174">
        <f>Table2PRN!C7097</f>
        <v>0</v>
      </c>
      <c r="D174">
        <f>Table2PRN!D7097</f>
        <v>0</v>
      </c>
      <c r="E174">
        <f>Table2PRN!E7097</f>
        <v>0</v>
      </c>
      <c r="F174">
        <f>Table2PRN!F7097</f>
        <v>0</v>
      </c>
      <c r="G174">
        <f>Table2PRN!G7097</f>
        <v>0</v>
      </c>
    </row>
    <row r="175" spans="1:7" x14ac:dyDescent="0.2">
      <c r="A175" t="s">
        <v>2074</v>
      </c>
      <c r="B175">
        <f>Table2PRN!B7098</f>
        <v>0</v>
      </c>
      <c r="C175">
        <f>Table2PRN!C7098</f>
        <v>0</v>
      </c>
      <c r="D175">
        <f>Table2PRN!D7098</f>
        <v>0</v>
      </c>
      <c r="E175">
        <f>Table2PRN!E7098</f>
        <v>0</v>
      </c>
      <c r="F175">
        <f>Table2PRN!F7098</f>
        <v>0</v>
      </c>
      <c r="G175">
        <f>Table2PRN!G7098</f>
        <v>0</v>
      </c>
    </row>
    <row r="176" spans="1:7" x14ac:dyDescent="0.2">
      <c r="A176" t="s">
        <v>2079</v>
      </c>
      <c r="B176">
        <f>Table2PRN!B7099</f>
        <v>0</v>
      </c>
      <c r="C176">
        <f>Table2PRN!C7099</f>
        <v>0</v>
      </c>
      <c r="D176">
        <f>Table2PRN!D7099</f>
        <v>0</v>
      </c>
      <c r="E176">
        <f>Table2PRN!E7099</f>
        <v>0</v>
      </c>
      <c r="F176">
        <f>Table2PRN!F7099</f>
        <v>0</v>
      </c>
      <c r="G176">
        <f>Table2PRN!G7099</f>
        <v>0</v>
      </c>
    </row>
    <row r="177" spans="1:7" x14ac:dyDescent="0.2">
      <c r="A177" t="s">
        <v>2085</v>
      </c>
      <c r="B177">
        <f>Table2PRN!B7100</f>
        <v>0</v>
      </c>
      <c r="C177">
        <f>Table2PRN!C7100</f>
        <v>0</v>
      </c>
      <c r="D177">
        <f>Table2PRN!D7100</f>
        <v>0</v>
      </c>
      <c r="E177">
        <f>Table2PRN!E7100</f>
        <v>0</v>
      </c>
      <c r="F177">
        <f>Table2PRN!F7100</f>
        <v>0</v>
      </c>
      <c r="G177">
        <f>Table2PRN!G7100</f>
        <v>0</v>
      </c>
    </row>
    <row r="178" spans="1:7" x14ac:dyDescent="0.2">
      <c r="A178" t="s">
        <v>2091</v>
      </c>
      <c r="B178">
        <f>Table2PRN!B7101</f>
        <v>0</v>
      </c>
      <c r="C178">
        <f>Table2PRN!C7101</f>
        <v>0</v>
      </c>
      <c r="D178">
        <f>Table2PRN!D7101</f>
        <v>0</v>
      </c>
      <c r="E178">
        <f>Table2PRN!E7101</f>
        <v>0</v>
      </c>
      <c r="F178">
        <f>Table2PRN!F7101</f>
        <v>0</v>
      </c>
      <c r="G178">
        <f>Table2PRN!G7101</f>
        <v>0</v>
      </c>
    </row>
    <row r="179" spans="1:7" x14ac:dyDescent="0.2">
      <c r="A179" t="s">
        <v>2097</v>
      </c>
      <c r="B179">
        <f>Table2PRN!B7102</f>
        <v>0</v>
      </c>
      <c r="C179">
        <f>Table2PRN!C7102</f>
        <v>0</v>
      </c>
      <c r="D179">
        <f>Table2PRN!D7102</f>
        <v>0</v>
      </c>
      <c r="E179">
        <f>Table2PRN!E7102</f>
        <v>0</v>
      </c>
      <c r="F179">
        <f>Table2PRN!F7102</f>
        <v>0</v>
      </c>
      <c r="G179">
        <f>Table2PRN!G7102</f>
        <v>0</v>
      </c>
    </row>
    <row r="180" spans="1:7" x14ac:dyDescent="0.2">
      <c r="A180" t="s">
        <v>2101</v>
      </c>
      <c r="B180">
        <f>Table2PRN!B7103</f>
        <v>0</v>
      </c>
      <c r="C180">
        <f>Table2PRN!C7103</f>
        <v>0</v>
      </c>
      <c r="D180">
        <f>Table2PRN!D7103</f>
        <v>0</v>
      </c>
      <c r="E180">
        <f>Table2PRN!E7103</f>
        <v>0</v>
      </c>
      <c r="F180">
        <f>Table2PRN!F7103</f>
        <v>0</v>
      </c>
      <c r="G180">
        <f>Table2PRN!G7103</f>
        <v>0</v>
      </c>
    </row>
    <row r="181" spans="1:7" x14ac:dyDescent="0.2">
      <c r="A181" t="s">
        <v>2104</v>
      </c>
      <c r="B181">
        <f>Table2PRN!B7104</f>
        <v>0</v>
      </c>
      <c r="C181">
        <f>Table2PRN!C7104</f>
        <v>0</v>
      </c>
      <c r="D181">
        <f>Table2PRN!D7104</f>
        <v>0</v>
      </c>
      <c r="E181">
        <f>Table2PRN!E7104</f>
        <v>0</v>
      </c>
      <c r="F181">
        <f>Table2PRN!F7104</f>
        <v>0</v>
      </c>
      <c r="G181">
        <f>Table2PRN!G7104</f>
        <v>0</v>
      </c>
    </row>
    <row r="182" spans="1:7" x14ac:dyDescent="0.2">
      <c r="A182" t="s">
        <v>2107</v>
      </c>
      <c r="B182">
        <f>Table2PRN!B7105</f>
        <v>0</v>
      </c>
      <c r="C182">
        <f>Table2PRN!C7105</f>
        <v>0</v>
      </c>
      <c r="D182">
        <f>Table2PRN!D7105</f>
        <v>0</v>
      </c>
      <c r="E182">
        <f>Table2PRN!E7105</f>
        <v>0</v>
      </c>
      <c r="F182">
        <f>Table2PRN!F7105</f>
        <v>0</v>
      </c>
      <c r="G182">
        <f>Table2PRN!G7105</f>
        <v>0</v>
      </c>
    </row>
    <row r="183" spans="1:7" x14ac:dyDescent="0.2">
      <c r="A183" t="s">
        <v>2110</v>
      </c>
      <c r="B183">
        <f>Table2PRN!B7106</f>
        <v>0</v>
      </c>
      <c r="C183">
        <f>Table2PRN!C7106</f>
        <v>0</v>
      </c>
      <c r="D183">
        <f>Table2PRN!D7106</f>
        <v>0</v>
      </c>
      <c r="E183">
        <f>Table2PRN!E7106</f>
        <v>0</v>
      </c>
      <c r="F183">
        <f>Table2PRN!F7106</f>
        <v>0</v>
      </c>
      <c r="G183">
        <f>Table2PRN!G7106</f>
        <v>0</v>
      </c>
    </row>
    <row r="184" spans="1:7" x14ac:dyDescent="0.2">
      <c r="A184" t="s">
        <v>2113</v>
      </c>
      <c r="B184">
        <f>Table2PRN!B7107</f>
        <v>0</v>
      </c>
      <c r="C184">
        <f>Table2PRN!C7107</f>
        <v>0</v>
      </c>
      <c r="D184">
        <f>Table2PRN!D7107</f>
        <v>0</v>
      </c>
      <c r="E184">
        <f>Table2PRN!E7107</f>
        <v>0</v>
      </c>
      <c r="F184">
        <f>Table2PRN!F7107</f>
        <v>0</v>
      </c>
      <c r="G184">
        <f>Table2PRN!G7107</f>
        <v>0</v>
      </c>
    </row>
    <row r="185" spans="1:7" x14ac:dyDescent="0.2">
      <c r="A185" t="s">
        <v>4346</v>
      </c>
      <c r="B185">
        <f>Table2PRN!B7108</f>
        <v>0</v>
      </c>
      <c r="C185">
        <f>Table2PRN!C7108</f>
        <v>0</v>
      </c>
      <c r="D185">
        <f>Table2PRN!D7108</f>
        <v>0</v>
      </c>
      <c r="E185">
        <f>Table2PRN!E7108</f>
        <v>0</v>
      </c>
      <c r="F185">
        <f>Table2PRN!F7108</f>
        <v>0</v>
      </c>
      <c r="G185">
        <f>Table2PRN!G7108</f>
        <v>0</v>
      </c>
    </row>
    <row r="186" spans="1:7" x14ac:dyDescent="0.2">
      <c r="A186" t="s">
        <v>4347</v>
      </c>
      <c r="B186">
        <f>Table2PRN!B7109</f>
        <v>0</v>
      </c>
      <c r="C186">
        <f>Table2PRN!C7109</f>
        <v>0</v>
      </c>
      <c r="D186">
        <f>Table2PRN!D7109</f>
        <v>0</v>
      </c>
      <c r="E186">
        <f>Table2PRN!E7109</f>
        <v>0</v>
      </c>
      <c r="F186">
        <f>Table2PRN!F7109</f>
        <v>0</v>
      </c>
      <c r="G186">
        <f>Table2PRN!G7109</f>
        <v>0</v>
      </c>
    </row>
    <row r="187" spans="1:7" x14ac:dyDescent="0.2">
      <c r="A187" t="s">
        <v>4348</v>
      </c>
      <c r="B187">
        <f>Table2PRN!B7110</f>
        <v>0</v>
      </c>
      <c r="C187">
        <f>Table2PRN!C7110</f>
        <v>0</v>
      </c>
      <c r="D187">
        <f>Table2PRN!D7110</f>
        <v>0</v>
      </c>
      <c r="E187">
        <f>Table2PRN!E7110</f>
        <v>0</v>
      </c>
      <c r="F187">
        <f>Table2PRN!F7110</f>
        <v>0</v>
      </c>
      <c r="G187">
        <f>Table2PRN!G7110</f>
        <v>0</v>
      </c>
    </row>
    <row r="188" spans="1:7" x14ac:dyDescent="0.2">
      <c r="A188" t="s">
        <v>4349</v>
      </c>
      <c r="B188">
        <f>Table2PRN!B7111</f>
        <v>0</v>
      </c>
      <c r="C188">
        <f>Table2PRN!C7111</f>
        <v>0</v>
      </c>
      <c r="D188">
        <f>Table2PRN!D7111</f>
        <v>0</v>
      </c>
      <c r="E188">
        <f>Table2PRN!E7111</f>
        <v>0</v>
      </c>
      <c r="F188">
        <f>Table2PRN!F7111</f>
        <v>0</v>
      </c>
      <c r="G188">
        <f>Table2PRN!G7111</f>
        <v>0</v>
      </c>
    </row>
    <row r="189" spans="1:7" x14ac:dyDescent="0.2">
      <c r="A189" t="s">
        <v>4350</v>
      </c>
      <c r="B189">
        <f>Table2PRN!B7112</f>
        <v>0</v>
      </c>
      <c r="C189">
        <f>Table2PRN!C7112</f>
        <v>1</v>
      </c>
      <c r="D189">
        <f>Table2PRN!D7112</f>
        <v>4</v>
      </c>
      <c r="E189">
        <f>Table2PRN!E7112</f>
        <v>0</v>
      </c>
      <c r="F189">
        <f>Table2PRN!F7112</f>
        <v>0</v>
      </c>
      <c r="G189">
        <f>Table2PRN!G7112</f>
        <v>4</v>
      </c>
    </row>
    <row r="190" spans="1:7" x14ac:dyDescent="0.2">
      <c r="A190" t="s">
        <v>4351</v>
      </c>
      <c r="B190">
        <f>Table2PRN!B7113</f>
        <v>0</v>
      </c>
      <c r="C190">
        <f>Table2PRN!C7113</f>
        <v>0</v>
      </c>
      <c r="D190">
        <f>Table2PRN!D7113</f>
        <v>0</v>
      </c>
      <c r="E190">
        <f>Table2PRN!E7113</f>
        <v>0</v>
      </c>
      <c r="F190">
        <f>Table2PRN!F7113</f>
        <v>0</v>
      </c>
      <c r="G190">
        <f>Table2PRN!G7113</f>
        <v>0</v>
      </c>
    </row>
    <row r="191" spans="1:7" x14ac:dyDescent="0.2">
      <c r="A191" t="s">
        <v>4352</v>
      </c>
      <c r="B191">
        <f>Table2PRN!B7114</f>
        <v>0</v>
      </c>
      <c r="C191">
        <f>Table2PRN!C7114</f>
        <v>0</v>
      </c>
      <c r="D191">
        <f>Table2PRN!D7114</f>
        <v>0</v>
      </c>
      <c r="E191">
        <f>Table2PRN!E7114</f>
        <v>0</v>
      </c>
      <c r="F191">
        <f>Table2PRN!F7114</f>
        <v>0</v>
      </c>
      <c r="G191">
        <f>Table2PRN!G7114</f>
        <v>0</v>
      </c>
    </row>
    <row r="192" spans="1:7" x14ac:dyDescent="0.2">
      <c r="A192" t="s">
        <v>4353</v>
      </c>
      <c r="B192">
        <f>Table2PRN!B7115</f>
        <v>0</v>
      </c>
      <c r="C192">
        <f>Table2PRN!C7115</f>
        <v>37</v>
      </c>
      <c r="D192">
        <f>Table2PRN!D7115</f>
        <v>17</v>
      </c>
      <c r="E192">
        <f>Table2PRN!E7115</f>
        <v>3</v>
      </c>
      <c r="F192">
        <f>Table2PRN!F7115</f>
        <v>0</v>
      </c>
      <c r="G192">
        <f>Table2PRN!G7115</f>
        <v>57</v>
      </c>
    </row>
    <row r="193" spans="1:7" x14ac:dyDescent="0.2">
      <c r="A193" t="s">
        <v>4354</v>
      </c>
      <c r="B193">
        <f>Table2PRN!B7116</f>
        <v>2</v>
      </c>
      <c r="C193">
        <f>Table2PRN!C7116</f>
        <v>41</v>
      </c>
      <c r="D193">
        <f>Table2PRN!D7116</f>
        <v>14</v>
      </c>
      <c r="E193">
        <f>Table2PRN!E7116</f>
        <v>0</v>
      </c>
      <c r="F193">
        <f>Table2PRN!F7116</f>
        <v>0</v>
      </c>
      <c r="G193">
        <f>Table2PRN!G7116</f>
        <v>57</v>
      </c>
    </row>
    <row r="194" spans="1:7" x14ac:dyDescent="0.2">
      <c r="A194" t="s">
        <v>4355</v>
      </c>
      <c r="B194">
        <f>Table2PRN!B7117</f>
        <v>0</v>
      </c>
      <c r="C194">
        <f>Table2PRN!C7117</f>
        <v>0</v>
      </c>
      <c r="D194">
        <f>Table2PRN!D7117</f>
        <v>0</v>
      </c>
      <c r="E194">
        <f>Table2PRN!E7117</f>
        <v>0</v>
      </c>
      <c r="F194">
        <f>Table2PRN!F7117</f>
        <v>0</v>
      </c>
      <c r="G194">
        <f>Table2PRN!G7117</f>
        <v>0</v>
      </c>
    </row>
    <row r="195" spans="1:7" x14ac:dyDescent="0.2">
      <c r="A195" t="s">
        <v>4356</v>
      </c>
      <c r="B195">
        <f>Table2PRN!B7118</f>
        <v>0</v>
      </c>
      <c r="C195">
        <f>Table2PRN!C7118</f>
        <v>0</v>
      </c>
      <c r="D195">
        <f>Table2PRN!D7118</f>
        <v>0</v>
      </c>
      <c r="E195">
        <f>Table2PRN!E7118</f>
        <v>0</v>
      </c>
      <c r="F195">
        <f>Table2PRN!F7118</f>
        <v>0</v>
      </c>
      <c r="G195">
        <f>Table2PRN!G7118</f>
        <v>0</v>
      </c>
    </row>
    <row r="196" spans="1:7" x14ac:dyDescent="0.2">
      <c r="A196" t="s">
        <v>4357</v>
      </c>
      <c r="B196">
        <f>Table2PRN!B7119</f>
        <v>0</v>
      </c>
      <c r="C196">
        <f>Table2PRN!C7119</f>
        <v>0</v>
      </c>
      <c r="D196">
        <f>Table2PRN!D7119</f>
        <v>2</v>
      </c>
      <c r="E196">
        <f>Table2PRN!E7119</f>
        <v>0</v>
      </c>
      <c r="F196">
        <f>Table2PRN!F7119</f>
        <v>0</v>
      </c>
      <c r="G196">
        <f>Table2PRN!G7119</f>
        <v>2</v>
      </c>
    </row>
    <row r="197" spans="1:7" x14ac:dyDescent="0.2">
      <c r="A197" t="s">
        <v>4358</v>
      </c>
      <c r="B197">
        <f>Table2PRN!B7120</f>
        <v>0</v>
      </c>
      <c r="C197">
        <f>Table2PRN!C7120</f>
        <v>0</v>
      </c>
      <c r="D197">
        <f>Table2PRN!D7120</f>
        <v>0</v>
      </c>
      <c r="E197">
        <f>Table2PRN!E7120</f>
        <v>0</v>
      </c>
      <c r="F197">
        <f>Table2PRN!F7120</f>
        <v>0</v>
      </c>
      <c r="G197">
        <f>Table2PRN!G7120</f>
        <v>0</v>
      </c>
    </row>
    <row r="198" spans="1:7" x14ac:dyDescent="0.2">
      <c r="A198" t="s">
        <v>4359</v>
      </c>
      <c r="B198">
        <f>Table2PRN!B7121</f>
        <v>0</v>
      </c>
      <c r="C198">
        <f>Table2PRN!C7121</f>
        <v>0</v>
      </c>
      <c r="D198">
        <f>Table2PRN!D7121</f>
        <v>0</v>
      </c>
      <c r="E198">
        <f>Table2PRN!E7121</f>
        <v>0</v>
      </c>
      <c r="F198">
        <f>Table2PRN!F7121</f>
        <v>0</v>
      </c>
      <c r="G198">
        <f>Table2PRN!G7121</f>
        <v>0</v>
      </c>
    </row>
    <row r="199" spans="1:7" x14ac:dyDescent="0.2">
      <c r="A199" t="s">
        <v>4360</v>
      </c>
      <c r="B199">
        <f>Table2PRN!B7122</f>
        <v>0</v>
      </c>
      <c r="C199">
        <f>Table2PRN!C7122</f>
        <v>0</v>
      </c>
      <c r="D199">
        <f>Table2PRN!D7122</f>
        <v>0</v>
      </c>
      <c r="E199">
        <f>Table2PRN!E7122</f>
        <v>0</v>
      </c>
      <c r="F199">
        <f>Table2PRN!F7122</f>
        <v>0</v>
      </c>
      <c r="G199">
        <f>Table2PRN!G7122</f>
        <v>0</v>
      </c>
    </row>
    <row r="200" spans="1:7" x14ac:dyDescent="0.2">
      <c r="A200" t="s">
        <v>4361</v>
      </c>
      <c r="B200">
        <f>Table2PRN!B7123</f>
        <v>0</v>
      </c>
      <c r="C200">
        <f>Table2PRN!C7123</f>
        <v>0</v>
      </c>
      <c r="D200">
        <f>Table2PRN!D7123</f>
        <v>5</v>
      </c>
      <c r="E200">
        <f>Table2PRN!E7123</f>
        <v>0</v>
      </c>
      <c r="F200">
        <f>Table2PRN!F7123</f>
        <v>0</v>
      </c>
      <c r="G200">
        <f>Table2PRN!G7123</f>
        <v>5</v>
      </c>
    </row>
    <row r="201" spans="1:7" x14ac:dyDescent="0.2">
      <c r="A201" t="s">
        <v>4362</v>
      </c>
      <c r="B201">
        <f>Table2PRN!B7124</f>
        <v>0</v>
      </c>
      <c r="C201">
        <f>Table2PRN!C7124</f>
        <v>0</v>
      </c>
      <c r="D201">
        <f>Table2PRN!D7124</f>
        <v>0</v>
      </c>
      <c r="E201">
        <f>Table2PRN!E7124</f>
        <v>0</v>
      </c>
      <c r="F201">
        <f>Table2PRN!F7124</f>
        <v>0</v>
      </c>
      <c r="G201">
        <f>Table2PRN!G7124</f>
        <v>0</v>
      </c>
    </row>
    <row r="202" spans="1:7" x14ac:dyDescent="0.2">
      <c r="A202" t="s">
        <v>4363</v>
      </c>
      <c r="B202">
        <f>Table2PRN!B7125</f>
        <v>0</v>
      </c>
      <c r="C202">
        <f>Table2PRN!C7125</f>
        <v>0</v>
      </c>
      <c r="D202">
        <f>Table2PRN!D7125</f>
        <v>0</v>
      </c>
      <c r="E202">
        <f>Table2PRN!E7125</f>
        <v>0</v>
      </c>
      <c r="F202">
        <f>Table2PRN!F7125</f>
        <v>0</v>
      </c>
      <c r="G202">
        <f>Table2PRN!G7125</f>
        <v>0</v>
      </c>
    </row>
    <row r="203" spans="1:7" x14ac:dyDescent="0.2">
      <c r="A203" t="s">
        <v>4364</v>
      </c>
      <c r="B203">
        <f>Table2PRN!B7126</f>
        <v>0</v>
      </c>
      <c r="C203">
        <f>Table2PRN!C7126</f>
        <v>0</v>
      </c>
      <c r="D203">
        <f>Table2PRN!D7126</f>
        <v>0</v>
      </c>
      <c r="E203">
        <f>Table2PRN!E7126</f>
        <v>0</v>
      </c>
      <c r="F203">
        <f>Table2PRN!F7126</f>
        <v>0</v>
      </c>
      <c r="G203">
        <f>Table2PRN!G7126</f>
        <v>0</v>
      </c>
    </row>
    <row r="204" spans="1:7" x14ac:dyDescent="0.2">
      <c r="A204" t="s">
        <v>4365</v>
      </c>
      <c r="B204">
        <f>Table2PRN!B7127</f>
        <v>0</v>
      </c>
      <c r="C204">
        <f>Table2PRN!C7127</f>
        <v>0</v>
      </c>
      <c r="D204">
        <f>Table2PRN!D7127</f>
        <v>0</v>
      </c>
      <c r="E204">
        <f>Table2PRN!E7127</f>
        <v>0</v>
      </c>
      <c r="F204">
        <f>Table2PRN!F7127</f>
        <v>0</v>
      </c>
      <c r="G204">
        <f>Table2PRN!G7127</f>
        <v>0</v>
      </c>
    </row>
    <row r="205" spans="1:7" x14ac:dyDescent="0.2">
      <c r="A205" t="s">
        <v>4366</v>
      </c>
      <c r="B205">
        <f>Table2PRN!B7128</f>
        <v>0</v>
      </c>
      <c r="C205">
        <f>Table2PRN!C7128</f>
        <v>0</v>
      </c>
      <c r="D205">
        <f>Table2PRN!D7128</f>
        <v>0</v>
      </c>
      <c r="E205">
        <f>Table2PRN!E7128</f>
        <v>0</v>
      </c>
      <c r="F205">
        <f>Table2PRN!F7128</f>
        <v>0</v>
      </c>
      <c r="G205">
        <f>Table2PRN!G7128</f>
        <v>0</v>
      </c>
    </row>
    <row r="206" spans="1:7" x14ac:dyDescent="0.2">
      <c r="A206" t="s">
        <v>4367</v>
      </c>
      <c r="B206">
        <f>Table2PRN!B7129</f>
        <v>0</v>
      </c>
      <c r="C206">
        <f>Table2PRN!C7129</f>
        <v>0</v>
      </c>
      <c r="D206">
        <f>Table2PRN!D7129</f>
        <v>0</v>
      </c>
      <c r="E206">
        <f>Table2PRN!E7129</f>
        <v>0</v>
      </c>
      <c r="F206">
        <f>Table2PRN!F7129</f>
        <v>0</v>
      </c>
      <c r="G206">
        <f>Table2PRN!G7129</f>
        <v>0</v>
      </c>
    </row>
    <row r="207" spans="1:7" x14ac:dyDescent="0.2">
      <c r="A207" t="s">
        <v>4368</v>
      </c>
      <c r="B207">
        <f>Table2PRN!B7130</f>
        <v>0</v>
      </c>
      <c r="C207">
        <f>Table2PRN!C7130</f>
        <v>4</v>
      </c>
      <c r="D207">
        <f>Table2PRN!D7130</f>
        <v>8</v>
      </c>
      <c r="E207">
        <f>Table2PRN!E7130</f>
        <v>0</v>
      </c>
      <c r="F207">
        <f>Table2PRN!F7130</f>
        <v>0</v>
      </c>
      <c r="G207">
        <f>Table2PRN!G7130</f>
        <v>12</v>
      </c>
    </row>
    <row r="208" spans="1:7" x14ac:dyDescent="0.2">
      <c r="A208" t="s">
        <v>4369</v>
      </c>
      <c r="B208">
        <f>Table2PRN!B7131</f>
        <v>52</v>
      </c>
      <c r="C208">
        <f>Table2PRN!C7131</f>
        <v>0</v>
      </c>
      <c r="D208">
        <f>Table2PRN!D7131</f>
        <v>5</v>
      </c>
      <c r="E208">
        <f>Table2PRN!E7131</f>
        <v>60</v>
      </c>
      <c r="F208">
        <f>Table2PRN!F7131</f>
        <v>0</v>
      </c>
      <c r="G208">
        <f>Table2PRN!G7131</f>
        <v>117</v>
      </c>
    </row>
    <row r="209" spans="1:7" x14ac:dyDescent="0.2">
      <c r="A209" t="s">
        <v>4370</v>
      </c>
      <c r="B209">
        <f>Table2PRN!B7132</f>
        <v>0</v>
      </c>
      <c r="C209">
        <f>Table2PRN!C7132</f>
        <v>0</v>
      </c>
      <c r="D209">
        <f>Table2PRN!D7132</f>
        <v>0</v>
      </c>
      <c r="E209">
        <f>Table2PRN!E7132</f>
        <v>0</v>
      </c>
      <c r="F209">
        <f>Table2PRN!F7132</f>
        <v>0</v>
      </c>
      <c r="G209">
        <f>Table2PRN!G7132</f>
        <v>0</v>
      </c>
    </row>
    <row r="210" spans="1:7" x14ac:dyDescent="0.2">
      <c r="A210" t="s">
        <v>4371</v>
      </c>
      <c r="B210">
        <f>Table2PRN!B7133</f>
        <v>0</v>
      </c>
      <c r="C210">
        <f>Table2PRN!C7133</f>
        <v>0</v>
      </c>
      <c r="D210">
        <f>Table2PRN!D7133</f>
        <v>0</v>
      </c>
      <c r="E210">
        <f>Table2PRN!E7133</f>
        <v>0</v>
      </c>
      <c r="F210">
        <f>Table2PRN!F7133</f>
        <v>0</v>
      </c>
      <c r="G210">
        <f>Table2PRN!G7133</f>
        <v>0</v>
      </c>
    </row>
    <row r="211" spans="1:7" x14ac:dyDescent="0.2">
      <c r="A211" t="s">
        <v>4372</v>
      </c>
      <c r="B211">
        <f>Table2PRN!B7134</f>
        <v>0</v>
      </c>
      <c r="C211">
        <f>Table2PRN!C7134</f>
        <v>0</v>
      </c>
      <c r="D211">
        <f>Table2PRN!D7134</f>
        <v>0</v>
      </c>
      <c r="E211">
        <f>Table2PRN!E7134</f>
        <v>0</v>
      </c>
      <c r="F211">
        <f>Table2PRN!F7134</f>
        <v>0</v>
      </c>
      <c r="G211">
        <f>Table2PRN!G7134</f>
        <v>0</v>
      </c>
    </row>
    <row r="212" spans="1:7" x14ac:dyDescent="0.2">
      <c r="A212" t="s">
        <v>4373</v>
      </c>
      <c r="B212">
        <f>Table2PRN!B7135</f>
        <v>0</v>
      </c>
      <c r="C212">
        <f>Table2PRN!C7135</f>
        <v>3</v>
      </c>
      <c r="D212">
        <f>Table2PRN!D7135</f>
        <v>0</v>
      </c>
      <c r="E212">
        <f>Table2PRN!E7135</f>
        <v>0</v>
      </c>
      <c r="F212">
        <f>Table2PRN!F7135</f>
        <v>0</v>
      </c>
      <c r="G212">
        <f>Table2PRN!G7135</f>
        <v>3</v>
      </c>
    </row>
    <row r="213" spans="1:7" x14ac:dyDescent="0.2">
      <c r="A213" t="s">
        <v>4374</v>
      </c>
      <c r="B213">
        <f>Table2PRN!B7136</f>
        <v>0</v>
      </c>
      <c r="C213">
        <f>Table2PRN!C7136</f>
        <v>0</v>
      </c>
      <c r="D213">
        <f>Table2PRN!D7136</f>
        <v>0</v>
      </c>
      <c r="E213">
        <f>Table2PRN!E7136</f>
        <v>0</v>
      </c>
      <c r="F213">
        <f>Table2PRN!F7136</f>
        <v>0</v>
      </c>
      <c r="G213">
        <f>Table2PRN!G7136</f>
        <v>0</v>
      </c>
    </row>
    <row r="214" spans="1:7" x14ac:dyDescent="0.2">
      <c r="A214" t="s">
        <v>4375</v>
      </c>
      <c r="B214">
        <f>Table2PRN!B7137</f>
        <v>0</v>
      </c>
      <c r="C214">
        <f>Table2PRN!C7137</f>
        <v>0</v>
      </c>
      <c r="D214">
        <f>Table2PRN!D7137</f>
        <v>0</v>
      </c>
      <c r="E214">
        <f>Table2PRN!E7137</f>
        <v>0</v>
      </c>
      <c r="F214">
        <f>Table2PRN!F7137</f>
        <v>0</v>
      </c>
      <c r="G214">
        <f>Table2PRN!G7137</f>
        <v>0</v>
      </c>
    </row>
    <row r="215" spans="1:7" x14ac:dyDescent="0.2">
      <c r="A215" t="s">
        <v>4376</v>
      </c>
      <c r="B215">
        <f>Table2PRN!B7138</f>
        <v>0</v>
      </c>
      <c r="C215">
        <f>Table2PRN!C7138</f>
        <v>0</v>
      </c>
      <c r="D215">
        <f>Table2PRN!D7138</f>
        <v>0</v>
      </c>
      <c r="E215">
        <f>Table2PRN!E7138</f>
        <v>0</v>
      </c>
      <c r="F215">
        <f>Table2PRN!F7138</f>
        <v>0</v>
      </c>
      <c r="G215">
        <f>Table2PRN!G7138</f>
        <v>0</v>
      </c>
    </row>
    <row r="216" spans="1:7" x14ac:dyDescent="0.2">
      <c r="A216" t="s">
        <v>4377</v>
      </c>
      <c r="B216">
        <f>Table2PRN!B7139</f>
        <v>0</v>
      </c>
      <c r="C216">
        <f>Table2PRN!C7139</f>
        <v>0</v>
      </c>
      <c r="D216">
        <f>Table2PRN!D7139</f>
        <v>0</v>
      </c>
      <c r="E216">
        <f>Table2PRN!E7139</f>
        <v>0</v>
      </c>
      <c r="F216">
        <f>Table2PRN!F7139</f>
        <v>0</v>
      </c>
      <c r="G216">
        <f>Table2PRN!G7139</f>
        <v>0</v>
      </c>
    </row>
    <row r="217" spans="1:7" x14ac:dyDescent="0.2">
      <c r="A217" t="s">
        <v>6016</v>
      </c>
      <c r="B217" t="s">
        <v>6017</v>
      </c>
      <c r="C217" t="s">
        <v>6018</v>
      </c>
      <c r="D217" t="s">
        <v>6019</v>
      </c>
      <c r="E217" t="s">
        <v>6020</v>
      </c>
      <c r="F217" t="s">
        <v>6018</v>
      </c>
      <c r="G217" t="s">
        <v>6020</v>
      </c>
    </row>
    <row r="218" spans="1:7" x14ac:dyDescent="0.2">
      <c r="A218" t="s">
        <v>4248</v>
      </c>
    </row>
    <row r="219" spans="1:7" x14ac:dyDescent="0.2">
      <c r="G219" s="87"/>
    </row>
    <row r="220" spans="1:7" x14ac:dyDescent="0.2">
      <c r="A220" t="s">
        <v>6029</v>
      </c>
      <c r="C220" t="s">
        <v>5782</v>
      </c>
      <c r="D220" t="s">
        <v>6030</v>
      </c>
      <c r="E220" t="s">
        <v>6031</v>
      </c>
      <c r="F220" t="s">
        <v>6032</v>
      </c>
    </row>
    <row r="221" spans="1:7" x14ac:dyDescent="0.2">
      <c r="A221" t="s">
        <v>6033</v>
      </c>
    </row>
    <row r="222" spans="1:7" x14ac:dyDescent="0.2">
      <c r="A222" t="s">
        <v>6034</v>
      </c>
    </row>
    <row r="224" spans="1:7" x14ac:dyDescent="0.2">
      <c r="A224" t="s">
        <v>6014</v>
      </c>
      <c r="B224" t="s">
        <v>6015</v>
      </c>
      <c r="C224" t="s">
        <v>5798</v>
      </c>
    </row>
    <row r="225" spans="1:12" x14ac:dyDescent="0.2">
      <c r="A225" t="s">
        <v>6016</v>
      </c>
      <c r="B225" t="s">
        <v>6017</v>
      </c>
      <c r="C225" t="s">
        <v>6018</v>
      </c>
      <c r="D225" t="s">
        <v>6019</v>
      </c>
      <c r="E225" t="s">
        <v>6020</v>
      </c>
      <c r="F225" t="s">
        <v>6018</v>
      </c>
      <c r="G225" t="s">
        <v>6020</v>
      </c>
    </row>
    <row r="226" spans="1:12" x14ac:dyDescent="0.2">
      <c r="A226" t="s">
        <v>6021</v>
      </c>
      <c r="B226" t="s">
        <v>6022</v>
      </c>
      <c r="C226" t="s">
        <v>6023</v>
      </c>
      <c r="D226" t="s">
        <v>6024</v>
      </c>
      <c r="E226" t="s">
        <v>6025</v>
      </c>
      <c r="F226" t="s">
        <v>4949</v>
      </c>
    </row>
    <row r="227" spans="1:12" x14ac:dyDescent="0.2">
      <c r="A227" t="s">
        <v>126</v>
      </c>
      <c r="B227" t="s">
        <v>4262</v>
      </c>
      <c r="C227" t="s">
        <v>4263</v>
      </c>
      <c r="D227" t="s">
        <v>4264</v>
      </c>
      <c r="E227" t="s">
        <v>2308</v>
      </c>
      <c r="F227" t="s">
        <v>615</v>
      </c>
      <c r="G227" t="s">
        <v>236</v>
      </c>
    </row>
    <row r="228" spans="1:12" x14ac:dyDescent="0.2">
      <c r="A228" t="s">
        <v>6016</v>
      </c>
      <c r="B228" t="s">
        <v>6017</v>
      </c>
      <c r="C228" t="s">
        <v>6018</v>
      </c>
      <c r="D228" t="s">
        <v>6019</v>
      </c>
      <c r="E228" t="s">
        <v>6020</v>
      </c>
      <c r="F228" t="s">
        <v>6018</v>
      </c>
      <c r="G228" t="s">
        <v>6020</v>
      </c>
    </row>
    <row r="229" spans="1:12" x14ac:dyDescent="0.2">
      <c r="A229" t="s">
        <v>4265</v>
      </c>
      <c r="B229">
        <f>Table2PRN!B7152</f>
        <v>0</v>
      </c>
      <c r="C229">
        <f>Table2PRN!C7152</f>
        <v>0</v>
      </c>
      <c r="D229">
        <f>Table2PRN!D7152</f>
        <v>0</v>
      </c>
      <c r="E229">
        <f>Table2PRN!E7152</f>
        <v>0</v>
      </c>
      <c r="F229">
        <f>Table2PRN!F7152</f>
        <v>0</v>
      </c>
      <c r="G229">
        <f>Table2PRN!G7152</f>
        <v>0</v>
      </c>
      <c r="K229">
        <f>SUM(G395:G426)</f>
        <v>1424</v>
      </c>
      <c r="L229" t="s">
        <v>6026</v>
      </c>
    </row>
    <row r="230" spans="1:12" x14ac:dyDescent="0.2">
      <c r="A230" t="s">
        <v>4266</v>
      </c>
      <c r="B230">
        <f>Table2PRN!B7153</f>
        <v>0</v>
      </c>
      <c r="C230">
        <f>Table2PRN!C7153</f>
        <v>0</v>
      </c>
      <c r="D230">
        <f>Table2PRN!D7153</f>
        <v>0</v>
      </c>
      <c r="E230">
        <f>Table2PRN!E7153</f>
        <v>0</v>
      </c>
      <c r="F230">
        <f>Table2PRN!F7153</f>
        <v>0</v>
      </c>
      <c r="G230">
        <f>Table2PRN!G7153</f>
        <v>0</v>
      </c>
      <c r="K230">
        <f>SUM(G231:G250,G261:G394)</f>
        <v>140567</v>
      </c>
      <c r="L230" t="s">
        <v>6027</v>
      </c>
    </row>
    <row r="231" spans="1:12" x14ac:dyDescent="0.2">
      <c r="A231" t="s">
        <v>4267</v>
      </c>
      <c r="B231">
        <f>Table2PRN!B7154</f>
        <v>140</v>
      </c>
      <c r="C231">
        <f>Table2PRN!C7154</f>
        <v>12</v>
      </c>
      <c r="D231">
        <f>Table2PRN!D7154</f>
        <v>2</v>
      </c>
      <c r="E231">
        <f>Table2PRN!E7154</f>
        <v>0</v>
      </c>
      <c r="F231">
        <f>Table2PRN!F7154</f>
        <v>0</v>
      </c>
      <c r="G231">
        <f>Table2PRN!G7154</f>
        <v>154</v>
      </c>
      <c r="K231">
        <f>SUM(G264,G267,G271)</f>
        <v>4828</v>
      </c>
      <c r="L231" t="s">
        <v>6028</v>
      </c>
    </row>
    <row r="232" spans="1:12" x14ac:dyDescent="0.2">
      <c r="A232" t="s">
        <v>4268</v>
      </c>
      <c r="B232">
        <f>Table2PRN!B7155</f>
        <v>0</v>
      </c>
      <c r="C232">
        <f>Table2PRN!C7155</f>
        <v>26</v>
      </c>
      <c r="D232">
        <f>Table2PRN!D7155</f>
        <v>6</v>
      </c>
      <c r="E232">
        <f>Table2PRN!E7155</f>
        <v>0</v>
      </c>
      <c r="F232">
        <f>Table2PRN!F7155</f>
        <v>0</v>
      </c>
      <c r="G232">
        <f>Table2PRN!G7155</f>
        <v>32</v>
      </c>
      <c r="K232">
        <f>SUM(G251)</f>
        <v>45213</v>
      </c>
      <c r="L232" t="s">
        <v>145</v>
      </c>
    </row>
    <row r="233" spans="1:12" x14ac:dyDescent="0.2">
      <c r="A233" t="s">
        <v>4269</v>
      </c>
      <c r="B233">
        <f>Table2PRN!B7156</f>
        <v>188</v>
      </c>
      <c r="C233">
        <f>Table2PRN!C7156</f>
        <v>0</v>
      </c>
      <c r="D233">
        <f>Table2PRN!D7156</f>
        <v>6</v>
      </c>
      <c r="E233">
        <f>Table2PRN!E7156</f>
        <v>0</v>
      </c>
      <c r="F233">
        <f>Table2PRN!F7156</f>
        <v>0</v>
      </c>
      <c r="G233">
        <f>Table2PRN!G7156</f>
        <v>194</v>
      </c>
      <c r="K233">
        <f>SUM(K229:K232)</f>
        <v>192032</v>
      </c>
      <c r="L233" t="s">
        <v>350</v>
      </c>
    </row>
    <row r="234" spans="1:12" x14ac:dyDescent="0.2">
      <c r="A234" t="s">
        <v>4270</v>
      </c>
      <c r="B234">
        <f>Table2PRN!B7157</f>
        <v>0</v>
      </c>
      <c r="C234">
        <f>Table2PRN!C7157</f>
        <v>0</v>
      </c>
      <c r="D234">
        <f>Table2PRN!D7157</f>
        <v>0</v>
      </c>
      <c r="E234">
        <f>Table2PRN!E7157</f>
        <v>0</v>
      </c>
      <c r="F234">
        <f>Table2PRN!F7157</f>
        <v>0</v>
      </c>
      <c r="G234">
        <f>Table2PRN!G7157</f>
        <v>0</v>
      </c>
    </row>
    <row r="235" spans="1:12" x14ac:dyDescent="0.2">
      <c r="A235" t="s">
        <v>4271</v>
      </c>
      <c r="B235">
        <f>Table2PRN!B7158</f>
        <v>38</v>
      </c>
      <c r="C235">
        <f>Table2PRN!C7158</f>
        <v>9</v>
      </c>
      <c r="D235">
        <f>Table2PRN!D7158</f>
        <v>1</v>
      </c>
      <c r="E235">
        <f>Table2PRN!E7158</f>
        <v>2</v>
      </c>
      <c r="F235">
        <f>Table2PRN!F7158</f>
        <v>0</v>
      </c>
      <c r="G235">
        <f>Table2PRN!G7158</f>
        <v>50</v>
      </c>
    </row>
    <row r="236" spans="1:12" x14ac:dyDescent="0.2">
      <c r="A236" t="s">
        <v>4272</v>
      </c>
      <c r="B236">
        <f>Table2PRN!B7159</f>
        <v>94</v>
      </c>
      <c r="C236">
        <f>Table2PRN!C7159</f>
        <v>4</v>
      </c>
      <c r="D236">
        <f>Table2PRN!D7159</f>
        <v>0</v>
      </c>
      <c r="E236">
        <f>Table2PRN!E7159</f>
        <v>0</v>
      </c>
      <c r="F236">
        <f>Table2PRN!F7159</f>
        <v>0</v>
      </c>
      <c r="G236">
        <f>Table2PRN!G7159</f>
        <v>98</v>
      </c>
      <c r="K236" s="299"/>
    </row>
    <row r="237" spans="1:12" x14ac:dyDescent="0.2">
      <c r="A237" t="s">
        <v>4273</v>
      </c>
      <c r="B237">
        <f>Table2PRN!B7160</f>
        <v>0</v>
      </c>
      <c r="C237">
        <f>Table2PRN!C7160</f>
        <v>0</v>
      </c>
      <c r="D237">
        <f>Table2PRN!D7160</f>
        <v>0</v>
      </c>
      <c r="E237">
        <f>Table2PRN!E7160</f>
        <v>0</v>
      </c>
      <c r="F237">
        <f>Table2PRN!F7160</f>
        <v>0</v>
      </c>
      <c r="G237">
        <f>Table2PRN!G7160</f>
        <v>0</v>
      </c>
    </row>
    <row r="238" spans="1:12" x14ac:dyDescent="0.2">
      <c r="A238" t="s">
        <v>4274</v>
      </c>
      <c r="B238">
        <f>Table2PRN!B7161</f>
        <v>0</v>
      </c>
      <c r="C238">
        <f>Table2PRN!C7161</f>
        <v>0</v>
      </c>
      <c r="D238">
        <f>Table2PRN!D7161</f>
        <v>0</v>
      </c>
      <c r="E238">
        <f>Table2PRN!E7161</f>
        <v>0</v>
      </c>
      <c r="F238">
        <f>Table2PRN!F7161</f>
        <v>0</v>
      </c>
      <c r="G238">
        <f>Table2PRN!G7161</f>
        <v>0</v>
      </c>
    </row>
    <row r="239" spans="1:12" x14ac:dyDescent="0.2">
      <c r="A239" t="s">
        <v>4275</v>
      </c>
      <c r="B239">
        <f>Table2PRN!B7162</f>
        <v>0</v>
      </c>
      <c r="C239">
        <f>Table2PRN!C7162</f>
        <v>0</v>
      </c>
      <c r="D239">
        <f>Table2PRN!D7162</f>
        <v>0</v>
      </c>
      <c r="E239">
        <f>Table2PRN!E7162</f>
        <v>0</v>
      </c>
      <c r="F239">
        <f>Table2PRN!F7162</f>
        <v>0</v>
      </c>
      <c r="G239">
        <f>Table2PRN!G7162</f>
        <v>0</v>
      </c>
    </row>
    <row r="240" spans="1:12" x14ac:dyDescent="0.2">
      <c r="A240" t="s">
        <v>4276</v>
      </c>
      <c r="B240">
        <f>Table2PRN!B7163</f>
        <v>0</v>
      </c>
      <c r="C240">
        <f>Table2PRN!C7163</f>
        <v>0</v>
      </c>
      <c r="D240">
        <f>Table2PRN!D7163</f>
        <v>0</v>
      </c>
      <c r="E240">
        <f>Table2PRN!E7163</f>
        <v>0</v>
      </c>
      <c r="F240">
        <f>Table2PRN!F7163</f>
        <v>0</v>
      </c>
      <c r="G240">
        <f>Table2PRN!G7163</f>
        <v>0</v>
      </c>
    </row>
    <row r="241" spans="1:7" x14ac:dyDescent="0.2">
      <c r="A241" t="s">
        <v>4277</v>
      </c>
      <c r="B241">
        <f>Table2PRN!B7164</f>
        <v>0</v>
      </c>
      <c r="C241">
        <f>Table2PRN!C7164</f>
        <v>0</v>
      </c>
      <c r="D241">
        <f>Table2PRN!D7164</f>
        <v>0</v>
      </c>
      <c r="E241">
        <f>Table2PRN!E7164</f>
        <v>0</v>
      </c>
      <c r="F241">
        <f>Table2PRN!F7164</f>
        <v>0</v>
      </c>
      <c r="G241">
        <f>Table2PRN!G7164</f>
        <v>0</v>
      </c>
    </row>
    <row r="242" spans="1:7" x14ac:dyDescent="0.2">
      <c r="A242" t="s">
        <v>4278</v>
      </c>
      <c r="B242">
        <f>Table2PRN!B7165</f>
        <v>0</v>
      </c>
      <c r="C242">
        <f>Table2PRN!C7165</f>
        <v>0</v>
      </c>
      <c r="D242">
        <f>Table2PRN!D7165</f>
        <v>0</v>
      </c>
      <c r="E242">
        <f>Table2PRN!E7165</f>
        <v>0</v>
      </c>
      <c r="F242">
        <f>Table2PRN!F7165</f>
        <v>0</v>
      </c>
      <c r="G242">
        <f>Table2PRN!G7165</f>
        <v>0</v>
      </c>
    </row>
    <row r="243" spans="1:7" x14ac:dyDescent="0.2">
      <c r="A243" t="s">
        <v>4279</v>
      </c>
      <c r="B243">
        <f>Table2PRN!B7166</f>
        <v>702</v>
      </c>
      <c r="C243">
        <f>Table2PRN!C7166</f>
        <v>312</v>
      </c>
      <c r="D243">
        <f>Table2PRN!D7166</f>
        <v>254</v>
      </c>
      <c r="E243">
        <f>Table2PRN!E7166</f>
        <v>0</v>
      </c>
      <c r="F243">
        <f>Table2PRN!F7166</f>
        <v>0</v>
      </c>
      <c r="G243">
        <f>Table2PRN!G7166</f>
        <v>1268</v>
      </c>
    </row>
    <row r="244" spans="1:7" x14ac:dyDescent="0.2">
      <c r="A244" t="s">
        <v>4280</v>
      </c>
      <c r="B244">
        <f>Table2PRN!B7167</f>
        <v>13</v>
      </c>
      <c r="C244">
        <f>Table2PRN!C7167</f>
        <v>29</v>
      </c>
      <c r="D244">
        <f>Table2PRN!D7167</f>
        <v>1</v>
      </c>
      <c r="E244">
        <f>Table2PRN!E7167</f>
        <v>0</v>
      </c>
      <c r="F244">
        <f>Table2PRN!F7167</f>
        <v>0</v>
      </c>
      <c r="G244">
        <f>Table2PRN!G7167</f>
        <v>43</v>
      </c>
    </row>
    <row r="245" spans="1:7" x14ac:dyDescent="0.2">
      <c r="A245" t="s">
        <v>4281</v>
      </c>
      <c r="B245">
        <f>Table2PRN!B7168</f>
        <v>7120</v>
      </c>
      <c r="C245">
        <f>Table2PRN!C7168</f>
        <v>10068</v>
      </c>
      <c r="D245">
        <f>Table2PRN!D7168</f>
        <v>14040</v>
      </c>
      <c r="E245">
        <f>Table2PRN!E7168</f>
        <v>1798</v>
      </c>
      <c r="F245">
        <f>Table2PRN!F7168</f>
        <v>0</v>
      </c>
      <c r="G245">
        <f>Table2PRN!G7168</f>
        <v>33026</v>
      </c>
    </row>
    <row r="246" spans="1:7" x14ac:dyDescent="0.2">
      <c r="A246" t="s">
        <v>4282</v>
      </c>
      <c r="B246">
        <f>Table2PRN!B7169</f>
        <v>1041</v>
      </c>
      <c r="C246">
        <f>Table2PRN!C7169</f>
        <v>2717</v>
      </c>
      <c r="D246">
        <f>Table2PRN!D7169</f>
        <v>2888</v>
      </c>
      <c r="E246">
        <f>Table2PRN!E7169</f>
        <v>37</v>
      </c>
      <c r="F246">
        <f>Table2PRN!F7169</f>
        <v>0</v>
      </c>
      <c r="G246">
        <f>Table2PRN!G7169</f>
        <v>6684</v>
      </c>
    </row>
    <row r="247" spans="1:7" x14ac:dyDescent="0.2">
      <c r="A247" t="s">
        <v>4283</v>
      </c>
      <c r="B247">
        <f>Table2PRN!B7170</f>
        <v>4652</v>
      </c>
      <c r="C247">
        <f>Table2PRN!C7170</f>
        <v>4891</v>
      </c>
      <c r="D247">
        <f>Table2PRN!D7170</f>
        <v>2336</v>
      </c>
      <c r="E247">
        <f>Table2PRN!E7170</f>
        <v>356</v>
      </c>
      <c r="F247">
        <f>Table2PRN!F7170</f>
        <v>0</v>
      </c>
      <c r="G247">
        <f>Table2PRN!G7170</f>
        <v>12234</v>
      </c>
    </row>
    <row r="248" spans="1:7" x14ac:dyDescent="0.2">
      <c r="A248" t="s">
        <v>4284</v>
      </c>
      <c r="B248">
        <f>Table2PRN!B7171</f>
        <v>148</v>
      </c>
      <c r="C248">
        <f>Table2PRN!C7171</f>
        <v>0</v>
      </c>
      <c r="D248">
        <f>Table2PRN!D7171</f>
        <v>409</v>
      </c>
      <c r="E248">
        <f>Table2PRN!E7171</f>
        <v>11</v>
      </c>
      <c r="F248">
        <f>Table2PRN!F7171</f>
        <v>0</v>
      </c>
      <c r="G248">
        <f>Table2PRN!G7171</f>
        <v>568</v>
      </c>
    </row>
    <row r="249" spans="1:7" x14ac:dyDescent="0.2">
      <c r="A249" t="s">
        <v>4285</v>
      </c>
      <c r="B249">
        <f>Table2PRN!B7172</f>
        <v>3648</v>
      </c>
      <c r="C249">
        <f>Table2PRN!C7172</f>
        <v>4880</v>
      </c>
      <c r="D249">
        <f>Table2PRN!D7172</f>
        <v>5364</v>
      </c>
      <c r="E249">
        <f>Table2PRN!E7172</f>
        <v>692</v>
      </c>
      <c r="F249">
        <f>Table2PRN!F7172</f>
        <v>0</v>
      </c>
      <c r="G249">
        <f>Table2PRN!G7172</f>
        <v>14583</v>
      </c>
    </row>
    <row r="250" spans="1:7" x14ac:dyDescent="0.2">
      <c r="A250" t="s">
        <v>4286</v>
      </c>
      <c r="B250">
        <f>Table2PRN!B7173</f>
        <v>281</v>
      </c>
      <c r="C250">
        <f>Table2PRN!C7173</f>
        <v>96</v>
      </c>
      <c r="D250">
        <f>Table2PRN!D7173</f>
        <v>224</v>
      </c>
      <c r="E250">
        <f>Table2PRN!E7173</f>
        <v>20</v>
      </c>
      <c r="F250">
        <f>Table2PRN!F7173</f>
        <v>0</v>
      </c>
      <c r="G250">
        <f>Table2PRN!G7173</f>
        <v>622</v>
      </c>
    </row>
    <row r="251" spans="1:7" x14ac:dyDescent="0.2">
      <c r="A251" t="s">
        <v>4287</v>
      </c>
      <c r="B251">
        <f>Table2PRN!B7174</f>
        <v>0</v>
      </c>
      <c r="C251">
        <f>Table2PRN!C7174</f>
        <v>0</v>
      </c>
      <c r="D251">
        <f>Table2PRN!D7174</f>
        <v>0</v>
      </c>
      <c r="E251">
        <f>Table2PRN!E7174</f>
        <v>45213</v>
      </c>
      <c r="F251">
        <f>Table2PRN!F7174</f>
        <v>0</v>
      </c>
      <c r="G251">
        <f>Table2PRN!G7174</f>
        <v>45213</v>
      </c>
    </row>
    <row r="252" spans="1:7" x14ac:dyDescent="0.2">
      <c r="A252" t="s">
        <v>4288</v>
      </c>
      <c r="B252">
        <f>Table2PRN!B7175</f>
        <v>0</v>
      </c>
      <c r="C252">
        <f>Table2PRN!C7175</f>
        <v>0</v>
      </c>
      <c r="D252">
        <f>Table2PRN!D7175</f>
        <v>0</v>
      </c>
      <c r="E252">
        <f>Table2PRN!E7175</f>
        <v>0</v>
      </c>
      <c r="F252">
        <f>Table2PRN!F7175</f>
        <v>592</v>
      </c>
      <c r="G252">
        <f>Table2PRN!G7175</f>
        <v>592</v>
      </c>
    </row>
    <row r="253" spans="1:7" x14ac:dyDescent="0.2">
      <c r="A253" t="s">
        <v>4289</v>
      </c>
      <c r="B253">
        <f>Table2PRN!B7176</f>
        <v>0</v>
      </c>
      <c r="C253">
        <f>Table2PRN!C7176</f>
        <v>0</v>
      </c>
      <c r="D253">
        <f>Table2PRN!D7176</f>
        <v>0</v>
      </c>
      <c r="E253">
        <f>Table2PRN!E7176</f>
        <v>0</v>
      </c>
      <c r="F253">
        <f>Table2PRN!F7176</f>
        <v>47839</v>
      </c>
      <c r="G253">
        <f>Table2PRN!G7176</f>
        <v>47839</v>
      </c>
    </row>
    <row r="254" spans="1:7" x14ac:dyDescent="0.2">
      <c r="A254" t="s">
        <v>4290</v>
      </c>
      <c r="B254">
        <f>Table2PRN!B7177</f>
        <v>0</v>
      </c>
      <c r="C254">
        <f>Table2PRN!C7177</f>
        <v>0</v>
      </c>
      <c r="D254">
        <f>Table2PRN!D7177</f>
        <v>0</v>
      </c>
      <c r="E254">
        <f>Table2PRN!E7177</f>
        <v>0</v>
      </c>
      <c r="F254">
        <f>Table2PRN!F7177</f>
        <v>39732</v>
      </c>
      <c r="G254">
        <f>Table2PRN!G7177</f>
        <v>39732</v>
      </c>
    </row>
    <row r="255" spans="1:7" x14ac:dyDescent="0.2">
      <c r="A255" t="s">
        <v>4291</v>
      </c>
      <c r="B255">
        <f>Table2PRN!B7178</f>
        <v>0</v>
      </c>
      <c r="C255">
        <f>Table2PRN!C7178</f>
        <v>0</v>
      </c>
      <c r="D255">
        <f>Table2PRN!D7178</f>
        <v>0</v>
      </c>
      <c r="E255">
        <f>Table2PRN!E7178</f>
        <v>0</v>
      </c>
      <c r="F255">
        <f>Table2PRN!F7178</f>
        <v>2345</v>
      </c>
      <c r="G255">
        <f>Table2PRN!G7178</f>
        <v>2345</v>
      </c>
    </row>
    <row r="256" spans="1:7" x14ac:dyDescent="0.2">
      <c r="A256" t="s">
        <v>4292</v>
      </c>
      <c r="B256">
        <f>Table2PRN!B7179</f>
        <v>0</v>
      </c>
      <c r="C256">
        <f>Table2PRN!C7179</f>
        <v>0</v>
      </c>
      <c r="D256">
        <f>Table2PRN!D7179</f>
        <v>0</v>
      </c>
      <c r="E256">
        <f>Table2PRN!E7179</f>
        <v>0</v>
      </c>
      <c r="F256">
        <f>Table2PRN!F7179</f>
        <v>533</v>
      </c>
      <c r="G256">
        <f>Table2PRN!G7179</f>
        <v>533</v>
      </c>
    </row>
    <row r="257" spans="1:7" x14ac:dyDescent="0.2">
      <c r="A257" t="s">
        <v>4293</v>
      </c>
      <c r="B257">
        <f>Table2PRN!B7180</f>
        <v>0</v>
      </c>
      <c r="C257">
        <f>Table2PRN!C7180</f>
        <v>0</v>
      </c>
      <c r="D257">
        <f>Table2PRN!D7180</f>
        <v>0</v>
      </c>
      <c r="E257">
        <f>Table2PRN!E7180</f>
        <v>0</v>
      </c>
      <c r="F257">
        <f>Table2PRN!F7180</f>
        <v>991</v>
      </c>
      <c r="G257">
        <f>Table2PRN!G7180</f>
        <v>991</v>
      </c>
    </row>
    <row r="258" spans="1:7" x14ac:dyDescent="0.2">
      <c r="A258" t="s">
        <v>4294</v>
      </c>
      <c r="B258">
        <f>Table2PRN!B7181</f>
        <v>0</v>
      </c>
      <c r="C258">
        <f>Table2PRN!C7181</f>
        <v>0</v>
      </c>
      <c r="D258">
        <f>Table2PRN!D7181</f>
        <v>0</v>
      </c>
      <c r="E258">
        <f>Table2PRN!E7181</f>
        <v>0</v>
      </c>
      <c r="F258">
        <f>Table2PRN!F7181</f>
        <v>2619</v>
      </c>
      <c r="G258">
        <f>Table2PRN!G7181</f>
        <v>2619</v>
      </c>
    </row>
    <row r="259" spans="1:7" x14ac:dyDescent="0.2">
      <c r="A259" t="s">
        <v>4295</v>
      </c>
      <c r="B259">
        <f>Table2PRN!B7182</f>
        <v>0</v>
      </c>
      <c r="C259">
        <f>Table2PRN!C7182</f>
        <v>0</v>
      </c>
      <c r="D259">
        <f>Table2PRN!D7182</f>
        <v>0</v>
      </c>
      <c r="E259">
        <f>Table2PRN!E7182</f>
        <v>0</v>
      </c>
      <c r="F259">
        <f>Table2PRN!F7182</f>
        <v>0</v>
      </c>
      <c r="G259">
        <f>Table2PRN!G7182</f>
        <v>0</v>
      </c>
    </row>
    <row r="260" spans="1:7" x14ac:dyDescent="0.2">
      <c r="A260" t="s">
        <v>4296</v>
      </c>
      <c r="B260">
        <f>Table2PRN!B7183</f>
        <v>0</v>
      </c>
      <c r="C260">
        <f>Table2PRN!C7183</f>
        <v>0</v>
      </c>
      <c r="D260">
        <f>Table2PRN!D7183</f>
        <v>0</v>
      </c>
      <c r="E260">
        <f>Table2PRN!E7183</f>
        <v>0</v>
      </c>
      <c r="F260">
        <f>Table2PRN!F7183</f>
        <v>0</v>
      </c>
      <c r="G260">
        <f>Table2PRN!G7183</f>
        <v>0</v>
      </c>
    </row>
    <row r="261" spans="1:7" x14ac:dyDescent="0.2">
      <c r="A261" t="s">
        <v>4297</v>
      </c>
      <c r="B261">
        <f>Table2PRN!B7184</f>
        <v>953</v>
      </c>
      <c r="C261">
        <f>Table2PRN!C7184</f>
        <v>4753</v>
      </c>
      <c r="D261">
        <f>Table2PRN!D7184</f>
        <v>21373</v>
      </c>
      <c r="E261">
        <f>Table2PRN!E7184</f>
        <v>5564</v>
      </c>
      <c r="F261">
        <f>Table2PRN!F7184</f>
        <v>0</v>
      </c>
      <c r="G261">
        <f>Table2PRN!G7184</f>
        <v>32643</v>
      </c>
    </row>
    <row r="262" spans="1:7" x14ac:dyDescent="0.2">
      <c r="A262" t="s">
        <v>4298</v>
      </c>
      <c r="B262">
        <f>Table2PRN!B7185</f>
        <v>237</v>
      </c>
      <c r="C262">
        <f>Table2PRN!C7185</f>
        <v>694</v>
      </c>
      <c r="D262">
        <f>Table2PRN!D7185</f>
        <v>903</v>
      </c>
      <c r="E262">
        <f>Table2PRN!E7185</f>
        <v>4102</v>
      </c>
      <c r="F262">
        <f>Table2PRN!F7185</f>
        <v>0</v>
      </c>
      <c r="G262">
        <f>Table2PRN!G7185</f>
        <v>5936</v>
      </c>
    </row>
    <row r="263" spans="1:7" x14ac:dyDescent="0.2">
      <c r="A263" t="s">
        <v>4299</v>
      </c>
      <c r="B263">
        <f>Table2PRN!B7186</f>
        <v>62</v>
      </c>
      <c r="C263">
        <f>Table2PRN!C7186</f>
        <v>429</v>
      </c>
      <c r="D263">
        <f>Table2PRN!D7186</f>
        <v>1261</v>
      </c>
      <c r="E263">
        <f>Table2PRN!E7186</f>
        <v>1498</v>
      </c>
      <c r="F263">
        <f>Table2PRN!F7186</f>
        <v>0</v>
      </c>
      <c r="G263">
        <f>Table2PRN!G7186</f>
        <v>3250</v>
      </c>
    </row>
    <row r="264" spans="1:7" x14ac:dyDescent="0.2">
      <c r="A264" t="s">
        <v>4300</v>
      </c>
      <c r="B264">
        <f>Table2PRN!B7187</f>
        <v>1</v>
      </c>
      <c r="C264">
        <f>Table2PRN!C7187</f>
        <v>9</v>
      </c>
      <c r="D264">
        <f>Table2PRN!D7187</f>
        <v>33</v>
      </c>
      <c r="E264">
        <f>Table2PRN!E7187</f>
        <v>29</v>
      </c>
      <c r="F264">
        <f>Table2PRN!F7187</f>
        <v>0</v>
      </c>
      <c r="G264">
        <f>Table2PRN!G7187</f>
        <v>71</v>
      </c>
    </row>
    <row r="265" spans="1:7" x14ac:dyDescent="0.2">
      <c r="A265" t="s">
        <v>4301</v>
      </c>
      <c r="B265">
        <f>Table2PRN!B7188</f>
        <v>0</v>
      </c>
      <c r="C265">
        <f>Table2PRN!C7188</f>
        <v>2962</v>
      </c>
      <c r="D265">
        <f>Table2PRN!D7188</f>
        <v>11119</v>
      </c>
      <c r="E265">
        <f>Table2PRN!E7188</f>
        <v>5756</v>
      </c>
      <c r="F265">
        <f>Table2PRN!F7188</f>
        <v>0</v>
      </c>
      <c r="G265">
        <f>Table2PRN!G7188</f>
        <v>19837</v>
      </c>
    </row>
    <row r="266" spans="1:7" x14ac:dyDescent="0.2">
      <c r="A266" t="s">
        <v>4302</v>
      </c>
      <c r="B266">
        <f>Table2PRN!B7189</f>
        <v>24</v>
      </c>
      <c r="C266">
        <f>Table2PRN!C7189</f>
        <v>384</v>
      </c>
      <c r="D266">
        <f>Table2PRN!D7189</f>
        <v>959</v>
      </c>
      <c r="E266">
        <f>Table2PRN!E7189</f>
        <v>356</v>
      </c>
      <c r="F266">
        <f>Table2PRN!F7189</f>
        <v>0</v>
      </c>
      <c r="G266">
        <f>Table2PRN!G7189</f>
        <v>1722</v>
      </c>
    </row>
    <row r="267" spans="1:7" x14ac:dyDescent="0.2">
      <c r="A267" t="s">
        <v>4303</v>
      </c>
      <c r="B267">
        <f>Table2PRN!B7190</f>
        <v>24</v>
      </c>
      <c r="C267">
        <f>Table2PRN!C7190</f>
        <v>347</v>
      </c>
      <c r="D267">
        <f>Table2PRN!D7190</f>
        <v>1252</v>
      </c>
      <c r="E267">
        <f>Table2PRN!E7190</f>
        <v>292</v>
      </c>
      <c r="F267">
        <f>Table2PRN!F7190</f>
        <v>0</v>
      </c>
      <c r="G267">
        <f>Table2PRN!G7190</f>
        <v>1915</v>
      </c>
    </row>
    <row r="268" spans="1:7" x14ac:dyDescent="0.2">
      <c r="A268" t="s">
        <v>4304</v>
      </c>
      <c r="B268">
        <f>Table2PRN!B7191</f>
        <v>75</v>
      </c>
      <c r="C268">
        <f>Table2PRN!C7191</f>
        <v>156</v>
      </c>
      <c r="D268">
        <f>Table2PRN!D7191</f>
        <v>469</v>
      </c>
      <c r="E268">
        <f>Table2PRN!E7191</f>
        <v>0</v>
      </c>
      <c r="F268">
        <f>Table2PRN!F7191</f>
        <v>0</v>
      </c>
      <c r="G268">
        <f>Table2PRN!G7191</f>
        <v>700</v>
      </c>
    </row>
    <row r="269" spans="1:7" x14ac:dyDescent="0.2">
      <c r="A269" t="s">
        <v>4305</v>
      </c>
      <c r="B269">
        <f>Table2PRN!B7192</f>
        <v>150</v>
      </c>
      <c r="C269">
        <f>Table2PRN!C7192</f>
        <v>380</v>
      </c>
      <c r="D269">
        <f>Table2PRN!D7192</f>
        <v>602</v>
      </c>
      <c r="E269">
        <f>Table2PRN!E7192</f>
        <v>200</v>
      </c>
      <c r="F269">
        <f>Table2PRN!F7192</f>
        <v>0</v>
      </c>
      <c r="G269">
        <f>Table2PRN!G7192</f>
        <v>1331</v>
      </c>
    </row>
    <row r="270" spans="1:7" x14ac:dyDescent="0.2">
      <c r="A270" t="s">
        <v>4306</v>
      </c>
      <c r="B270">
        <f>Table2PRN!B7193</f>
        <v>4</v>
      </c>
      <c r="C270">
        <f>Table2PRN!C7193</f>
        <v>66</v>
      </c>
      <c r="D270">
        <f>Table2PRN!D7193</f>
        <v>37</v>
      </c>
      <c r="E270">
        <f>Table2PRN!E7193</f>
        <v>62</v>
      </c>
      <c r="F270">
        <f>Table2PRN!F7193</f>
        <v>0</v>
      </c>
      <c r="G270">
        <f>Table2PRN!G7193</f>
        <v>170</v>
      </c>
    </row>
    <row r="271" spans="1:7" x14ac:dyDescent="0.2">
      <c r="A271" t="s">
        <v>4307</v>
      </c>
      <c r="B271">
        <f>Table2PRN!B7194</f>
        <v>28</v>
      </c>
      <c r="C271">
        <f>Table2PRN!C7194</f>
        <v>203</v>
      </c>
      <c r="D271">
        <f>Table2PRN!D7194</f>
        <v>1682</v>
      </c>
      <c r="E271">
        <f>Table2PRN!E7194</f>
        <v>929</v>
      </c>
      <c r="F271">
        <f>Table2PRN!F7194</f>
        <v>0</v>
      </c>
      <c r="G271">
        <f>Table2PRN!G7194</f>
        <v>2842</v>
      </c>
    </row>
    <row r="272" spans="1:7" x14ac:dyDescent="0.2">
      <c r="A272" t="s">
        <v>4308</v>
      </c>
      <c r="B272">
        <f>Table2PRN!B7195</f>
        <v>0</v>
      </c>
      <c r="C272">
        <f>Table2PRN!C7195</f>
        <v>0</v>
      </c>
      <c r="D272">
        <f>Table2PRN!D7195</f>
        <v>3</v>
      </c>
      <c r="E272">
        <f>Table2PRN!E7195</f>
        <v>0</v>
      </c>
      <c r="F272">
        <f>Table2PRN!F7195</f>
        <v>0</v>
      </c>
      <c r="G272">
        <f>Table2PRN!G7195</f>
        <v>3</v>
      </c>
    </row>
    <row r="273" spans="1:7" x14ac:dyDescent="0.2">
      <c r="A273" t="s">
        <v>4309</v>
      </c>
      <c r="B273">
        <f>Table2PRN!B7196</f>
        <v>0</v>
      </c>
      <c r="C273">
        <f>Table2PRN!C7196</f>
        <v>0</v>
      </c>
      <c r="D273">
        <f>Table2PRN!D7196</f>
        <v>0</v>
      </c>
      <c r="E273">
        <f>Table2PRN!E7196</f>
        <v>0</v>
      </c>
      <c r="F273">
        <f>Table2PRN!F7196</f>
        <v>0</v>
      </c>
      <c r="G273">
        <f>Table2PRN!G7196</f>
        <v>0</v>
      </c>
    </row>
    <row r="274" spans="1:7" x14ac:dyDescent="0.2">
      <c r="A274" t="s">
        <v>4310</v>
      </c>
      <c r="B274">
        <f>Table2PRN!B7197</f>
        <v>0</v>
      </c>
      <c r="C274">
        <f>Table2PRN!C7197</f>
        <v>0</v>
      </c>
      <c r="D274">
        <f>Table2PRN!D7197</f>
        <v>0</v>
      </c>
      <c r="E274">
        <f>Table2PRN!E7197</f>
        <v>0</v>
      </c>
      <c r="F274">
        <f>Table2PRN!F7197</f>
        <v>0</v>
      </c>
      <c r="G274">
        <f>Table2PRN!G7197</f>
        <v>0</v>
      </c>
    </row>
    <row r="275" spans="1:7" x14ac:dyDescent="0.2">
      <c r="A275" t="s">
        <v>4311</v>
      </c>
      <c r="B275">
        <f>Table2PRN!B7198</f>
        <v>0</v>
      </c>
      <c r="C275">
        <f>Table2PRN!C7198</f>
        <v>0</v>
      </c>
      <c r="D275">
        <f>Table2PRN!D7198</f>
        <v>0</v>
      </c>
      <c r="E275">
        <f>Table2PRN!E7198</f>
        <v>61</v>
      </c>
      <c r="F275">
        <f>Table2PRN!F7198</f>
        <v>11</v>
      </c>
      <c r="G275">
        <f>Table2PRN!G7198</f>
        <v>72</v>
      </c>
    </row>
    <row r="276" spans="1:7" x14ac:dyDescent="0.2">
      <c r="A276" t="s">
        <v>4312</v>
      </c>
      <c r="B276">
        <f>Table2PRN!B7199</f>
        <v>0</v>
      </c>
      <c r="C276">
        <f>Table2PRN!C7199</f>
        <v>0</v>
      </c>
      <c r="D276">
        <f>Table2PRN!D7199</f>
        <v>0</v>
      </c>
      <c r="E276">
        <f>Table2PRN!E7199</f>
        <v>59</v>
      </c>
      <c r="F276">
        <f>Table2PRN!F7199</f>
        <v>0</v>
      </c>
      <c r="G276">
        <f>Table2PRN!G7199</f>
        <v>59</v>
      </c>
    </row>
    <row r="277" spans="1:7" x14ac:dyDescent="0.2">
      <c r="A277" t="s">
        <v>4313</v>
      </c>
      <c r="B277">
        <f>Table2PRN!B7200</f>
        <v>0</v>
      </c>
      <c r="C277">
        <f>Table2PRN!C7200</f>
        <v>0</v>
      </c>
      <c r="D277">
        <f>Table2PRN!D7200</f>
        <v>0</v>
      </c>
      <c r="E277">
        <f>Table2PRN!E7200</f>
        <v>0</v>
      </c>
      <c r="F277">
        <f>Table2PRN!F7200</f>
        <v>0</v>
      </c>
      <c r="G277">
        <f>Table2PRN!G7200</f>
        <v>0</v>
      </c>
    </row>
    <row r="278" spans="1:7" x14ac:dyDescent="0.2">
      <c r="A278" t="s">
        <v>4314</v>
      </c>
      <c r="B278">
        <f>Table2PRN!B7201</f>
        <v>0</v>
      </c>
      <c r="C278">
        <f>Table2PRN!C7201</f>
        <v>0</v>
      </c>
      <c r="D278">
        <f>Table2PRN!D7201</f>
        <v>0</v>
      </c>
      <c r="E278">
        <f>Table2PRN!E7201</f>
        <v>0</v>
      </c>
      <c r="F278">
        <f>Table2PRN!F7201</f>
        <v>0</v>
      </c>
      <c r="G278">
        <f>Table2PRN!G7201</f>
        <v>0</v>
      </c>
    </row>
    <row r="279" spans="1:7" x14ac:dyDescent="0.2">
      <c r="A279" t="s">
        <v>4315</v>
      </c>
      <c r="B279">
        <f>Table2PRN!B7202</f>
        <v>0</v>
      </c>
      <c r="C279">
        <f>Table2PRN!C7202</f>
        <v>0</v>
      </c>
      <c r="D279">
        <f>Table2PRN!D7202</f>
        <v>0</v>
      </c>
      <c r="E279">
        <f>Table2PRN!E7202</f>
        <v>0</v>
      </c>
      <c r="F279">
        <f>Table2PRN!F7202</f>
        <v>0</v>
      </c>
      <c r="G279">
        <f>Table2PRN!G7202</f>
        <v>0</v>
      </c>
    </row>
    <row r="280" spans="1:7" x14ac:dyDescent="0.2">
      <c r="A280" t="s">
        <v>4316</v>
      </c>
      <c r="B280">
        <f>Table2PRN!B7203</f>
        <v>0</v>
      </c>
      <c r="C280">
        <f>Table2PRN!C7203</f>
        <v>0</v>
      </c>
      <c r="D280">
        <f>Table2PRN!D7203</f>
        <v>0</v>
      </c>
      <c r="E280">
        <f>Table2PRN!E7203</f>
        <v>0</v>
      </c>
      <c r="F280">
        <f>Table2PRN!F7203</f>
        <v>0</v>
      </c>
      <c r="G280">
        <f>Table2PRN!G7203</f>
        <v>0</v>
      </c>
    </row>
    <row r="281" spans="1:7" x14ac:dyDescent="0.2">
      <c r="A281" t="s">
        <v>4317</v>
      </c>
      <c r="B281">
        <f>Table2PRN!B7204</f>
        <v>0</v>
      </c>
      <c r="C281">
        <f>Table2PRN!C7204</f>
        <v>0</v>
      </c>
      <c r="D281">
        <f>Table2PRN!D7204</f>
        <v>0</v>
      </c>
      <c r="E281">
        <f>Table2PRN!E7204</f>
        <v>0</v>
      </c>
      <c r="F281">
        <f>Table2PRN!F7204</f>
        <v>0</v>
      </c>
      <c r="G281">
        <f>Table2PRN!G7204</f>
        <v>0</v>
      </c>
    </row>
    <row r="282" spans="1:7" x14ac:dyDescent="0.2">
      <c r="A282" t="s">
        <v>4318</v>
      </c>
      <c r="B282">
        <f>Table2PRN!B7205</f>
        <v>0</v>
      </c>
      <c r="C282">
        <f>Table2PRN!C7205</f>
        <v>0</v>
      </c>
      <c r="D282">
        <f>Table2PRN!D7205</f>
        <v>0</v>
      </c>
      <c r="E282">
        <f>Table2PRN!E7205</f>
        <v>0</v>
      </c>
      <c r="F282">
        <f>Table2PRN!F7205</f>
        <v>0</v>
      </c>
      <c r="G282">
        <f>Table2PRN!G7205</f>
        <v>0</v>
      </c>
    </row>
    <row r="283" spans="1:7" x14ac:dyDescent="0.2">
      <c r="A283" t="s">
        <v>4319</v>
      </c>
      <c r="B283">
        <f>Table2PRN!B7206</f>
        <v>0</v>
      </c>
      <c r="C283">
        <f>Table2PRN!C7206</f>
        <v>0</v>
      </c>
      <c r="D283">
        <f>Table2PRN!D7206</f>
        <v>0</v>
      </c>
      <c r="E283">
        <f>Table2PRN!E7206</f>
        <v>0</v>
      </c>
      <c r="F283">
        <f>Table2PRN!F7206</f>
        <v>0</v>
      </c>
      <c r="G283">
        <f>Table2PRN!G7206</f>
        <v>0</v>
      </c>
    </row>
    <row r="284" spans="1:7" x14ac:dyDescent="0.2">
      <c r="A284" t="s">
        <v>4320</v>
      </c>
      <c r="B284">
        <f>Table2PRN!B7207</f>
        <v>0</v>
      </c>
      <c r="C284">
        <f>Table2PRN!C7207</f>
        <v>0</v>
      </c>
      <c r="D284">
        <f>Table2PRN!D7207</f>
        <v>0</v>
      </c>
      <c r="E284">
        <f>Table2PRN!E7207</f>
        <v>0</v>
      </c>
      <c r="F284">
        <f>Table2PRN!F7207</f>
        <v>0</v>
      </c>
      <c r="G284">
        <f>Table2PRN!G7207</f>
        <v>0</v>
      </c>
    </row>
    <row r="285" spans="1:7" x14ac:dyDescent="0.2">
      <c r="A285" t="s">
        <v>4321</v>
      </c>
      <c r="B285">
        <f>Table2PRN!B7208</f>
        <v>0</v>
      </c>
      <c r="C285">
        <f>Table2PRN!C7208</f>
        <v>0</v>
      </c>
      <c r="D285">
        <f>Table2PRN!D7208</f>
        <v>0</v>
      </c>
      <c r="E285">
        <f>Table2PRN!E7208</f>
        <v>0</v>
      </c>
      <c r="F285">
        <f>Table2PRN!F7208</f>
        <v>0</v>
      </c>
      <c r="G285">
        <f>Table2PRN!G7208</f>
        <v>0</v>
      </c>
    </row>
    <row r="286" spans="1:7" x14ac:dyDescent="0.2">
      <c r="A286" t="s">
        <v>4322</v>
      </c>
      <c r="B286">
        <f>Table2PRN!B7209</f>
        <v>0</v>
      </c>
      <c r="C286">
        <f>Table2PRN!C7209</f>
        <v>0</v>
      </c>
      <c r="D286">
        <f>Table2PRN!D7209</f>
        <v>0</v>
      </c>
      <c r="E286">
        <f>Table2PRN!E7209</f>
        <v>0</v>
      </c>
      <c r="F286">
        <f>Table2PRN!F7209</f>
        <v>0</v>
      </c>
      <c r="G286">
        <f>Table2PRN!G7209</f>
        <v>0</v>
      </c>
    </row>
    <row r="287" spans="1:7" x14ac:dyDescent="0.2">
      <c r="A287" t="s">
        <v>4323</v>
      </c>
      <c r="B287">
        <f>Table2PRN!B7210</f>
        <v>0</v>
      </c>
      <c r="C287">
        <f>Table2PRN!C7210</f>
        <v>0</v>
      </c>
      <c r="D287">
        <f>Table2PRN!D7210</f>
        <v>0</v>
      </c>
      <c r="E287">
        <f>Table2PRN!E7210</f>
        <v>0</v>
      </c>
      <c r="F287">
        <f>Table2PRN!F7210</f>
        <v>0</v>
      </c>
      <c r="G287">
        <f>Table2PRN!G7210</f>
        <v>0</v>
      </c>
    </row>
    <row r="288" spans="1:7" x14ac:dyDescent="0.2">
      <c r="A288" t="s">
        <v>4324</v>
      </c>
      <c r="B288">
        <f>Table2PRN!B7211</f>
        <v>0</v>
      </c>
      <c r="C288">
        <f>Table2PRN!C7211</f>
        <v>0</v>
      </c>
      <c r="D288">
        <f>Table2PRN!D7211</f>
        <v>0</v>
      </c>
      <c r="E288">
        <f>Table2PRN!E7211</f>
        <v>0</v>
      </c>
      <c r="F288">
        <f>Table2PRN!F7211</f>
        <v>0</v>
      </c>
      <c r="G288">
        <f>Table2PRN!G7211</f>
        <v>0</v>
      </c>
    </row>
    <row r="289" spans="1:7" x14ac:dyDescent="0.2">
      <c r="A289" t="s">
        <v>4325</v>
      </c>
      <c r="B289">
        <f>Table2PRN!B7212</f>
        <v>0</v>
      </c>
      <c r="C289">
        <f>Table2PRN!C7212</f>
        <v>0</v>
      </c>
      <c r="D289">
        <f>Table2PRN!D7212</f>
        <v>0</v>
      </c>
      <c r="E289">
        <f>Table2PRN!E7212</f>
        <v>0</v>
      </c>
      <c r="F289">
        <f>Table2PRN!F7212</f>
        <v>0</v>
      </c>
      <c r="G289">
        <f>Table2PRN!G7212</f>
        <v>0</v>
      </c>
    </row>
    <row r="290" spans="1:7" x14ac:dyDescent="0.2">
      <c r="A290" t="s">
        <v>4326</v>
      </c>
      <c r="B290">
        <f>Table2PRN!B7213</f>
        <v>0</v>
      </c>
      <c r="C290">
        <f>Table2PRN!C7213</f>
        <v>0</v>
      </c>
      <c r="D290">
        <f>Table2PRN!D7213</f>
        <v>0</v>
      </c>
      <c r="E290">
        <f>Table2PRN!E7213</f>
        <v>0</v>
      </c>
      <c r="F290">
        <f>Table2PRN!F7213</f>
        <v>0</v>
      </c>
      <c r="G290">
        <f>Table2PRN!G7213</f>
        <v>0</v>
      </c>
    </row>
    <row r="291" spans="1:7" x14ac:dyDescent="0.2">
      <c r="A291" t="s">
        <v>4327</v>
      </c>
      <c r="B291">
        <f>Table2PRN!B7214</f>
        <v>0</v>
      </c>
      <c r="C291">
        <f>Table2PRN!C7214</f>
        <v>0</v>
      </c>
      <c r="D291">
        <f>Table2PRN!D7214</f>
        <v>0</v>
      </c>
      <c r="E291">
        <f>Table2PRN!E7214</f>
        <v>0</v>
      </c>
      <c r="F291">
        <f>Table2PRN!F7214</f>
        <v>0</v>
      </c>
      <c r="G291">
        <f>Table2PRN!G7214</f>
        <v>0</v>
      </c>
    </row>
    <row r="292" spans="1:7" x14ac:dyDescent="0.2">
      <c r="A292" t="s">
        <v>4328</v>
      </c>
      <c r="B292">
        <f>Table2PRN!B7215</f>
        <v>0</v>
      </c>
      <c r="C292">
        <f>Table2PRN!C7215</f>
        <v>0</v>
      </c>
      <c r="D292">
        <f>Table2PRN!D7215</f>
        <v>0</v>
      </c>
      <c r="E292">
        <f>Table2PRN!E7215</f>
        <v>0</v>
      </c>
      <c r="F292">
        <f>Table2PRN!F7215</f>
        <v>0</v>
      </c>
      <c r="G292">
        <f>Table2PRN!G7215</f>
        <v>0</v>
      </c>
    </row>
    <row r="293" spans="1:7" x14ac:dyDescent="0.2">
      <c r="A293" t="s">
        <v>4329</v>
      </c>
      <c r="B293">
        <f>Table2PRN!B7216</f>
        <v>0</v>
      </c>
      <c r="C293">
        <f>Table2PRN!C7216</f>
        <v>0</v>
      </c>
      <c r="D293">
        <f>Table2PRN!D7216</f>
        <v>0</v>
      </c>
      <c r="E293">
        <f>Table2PRN!E7216</f>
        <v>0</v>
      </c>
      <c r="F293">
        <f>Table2PRN!F7216</f>
        <v>0</v>
      </c>
      <c r="G293">
        <f>Table2PRN!G7216</f>
        <v>0</v>
      </c>
    </row>
    <row r="294" spans="1:7" x14ac:dyDescent="0.2">
      <c r="A294" t="s">
        <v>4330</v>
      </c>
      <c r="B294">
        <f>Table2PRN!B7217</f>
        <v>0</v>
      </c>
      <c r="C294">
        <f>Table2PRN!C7217</f>
        <v>0</v>
      </c>
      <c r="D294">
        <f>Table2PRN!D7217</f>
        <v>0</v>
      </c>
      <c r="E294">
        <f>Table2PRN!E7217</f>
        <v>0</v>
      </c>
      <c r="F294">
        <f>Table2PRN!F7217</f>
        <v>0</v>
      </c>
      <c r="G294">
        <f>Table2PRN!G7217</f>
        <v>0</v>
      </c>
    </row>
    <row r="295" spans="1:7" x14ac:dyDescent="0.2">
      <c r="A295" t="s">
        <v>4331</v>
      </c>
      <c r="B295">
        <f>Table2PRN!B7218</f>
        <v>0</v>
      </c>
      <c r="C295">
        <f>Table2PRN!C7218</f>
        <v>0</v>
      </c>
      <c r="D295">
        <f>Table2PRN!D7218</f>
        <v>0</v>
      </c>
      <c r="E295">
        <f>Table2PRN!E7218</f>
        <v>0</v>
      </c>
      <c r="F295">
        <f>Table2PRN!F7218</f>
        <v>0</v>
      </c>
      <c r="G295">
        <f>Table2PRN!G7218</f>
        <v>0</v>
      </c>
    </row>
    <row r="296" spans="1:7" x14ac:dyDescent="0.2">
      <c r="A296" t="s">
        <v>4332</v>
      </c>
      <c r="B296">
        <f>Table2PRN!B7219</f>
        <v>0</v>
      </c>
      <c r="C296">
        <f>Table2PRN!C7219</f>
        <v>0</v>
      </c>
      <c r="D296">
        <f>Table2PRN!D7219</f>
        <v>0</v>
      </c>
      <c r="E296">
        <f>Table2PRN!E7219</f>
        <v>0</v>
      </c>
      <c r="F296">
        <f>Table2PRN!F7219</f>
        <v>0</v>
      </c>
      <c r="G296">
        <f>Table2PRN!G7219</f>
        <v>0</v>
      </c>
    </row>
    <row r="297" spans="1:7" x14ac:dyDescent="0.2">
      <c r="A297" t="s">
        <v>4333</v>
      </c>
      <c r="B297">
        <f>Table2PRN!B7220</f>
        <v>0</v>
      </c>
      <c r="C297">
        <f>Table2PRN!C7220</f>
        <v>0</v>
      </c>
      <c r="D297">
        <f>Table2PRN!D7220</f>
        <v>0</v>
      </c>
      <c r="E297">
        <f>Table2PRN!E7220</f>
        <v>0</v>
      </c>
      <c r="F297">
        <f>Table2PRN!F7220</f>
        <v>0</v>
      </c>
      <c r="G297">
        <f>Table2PRN!G7220</f>
        <v>0</v>
      </c>
    </row>
    <row r="298" spans="1:7" x14ac:dyDescent="0.2">
      <c r="A298" t="s">
        <v>4334</v>
      </c>
      <c r="B298">
        <f>Table2PRN!B7221</f>
        <v>0</v>
      </c>
      <c r="C298">
        <f>Table2PRN!C7221</f>
        <v>0</v>
      </c>
      <c r="D298">
        <f>Table2PRN!D7221</f>
        <v>0</v>
      </c>
      <c r="E298">
        <f>Table2PRN!E7221</f>
        <v>0</v>
      </c>
      <c r="F298">
        <f>Table2PRN!F7221</f>
        <v>0</v>
      </c>
      <c r="G298">
        <f>Table2PRN!G7221</f>
        <v>0</v>
      </c>
    </row>
    <row r="299" spans="1:7" x14ac:dyDescent="0.2">
      <c r="A299" t="s">
        <v>4335</v>
      </c>
      <c r="B299">
        <f>Table2PRN!B7222</f>
        <v>0</v>
      </c>
      <c r="C299">
        <f>Table2PRN!C7222</f>
        <v>0</v>
      </c>
      <c r="D299">
        <f>Table2PRN!D7222</f>
        <v>0</v>
      </c>
      <c r="E299">
        <f>Table2PRN!E7222</f>
        <v>0</v>
      </c>
      <c r="F299">
        <f>Table2PRN!F7222</f>
        <v>0</v>
      </c>
      <c r="G299">
        <f>Table2PRN!G7222</f>
        <v>0</v>
      </c>
    </row>
    <row r="300" spans="1:7" x14ac:dyDescent="0.2">
      <c r="A300" t="s">
        <v>4336</v>
      </c>
      <c r="B300">
        <f>Table2PRN!B7223</f>
        <v>0</v>
      </c>
      <c r="C300">
        <f>Table2PRN!C7223</f>
        <v>0</v>
      </c>
      <c r="D300">
        <f>Table2PRN!D7223</f>
        <v>0</v>
      </c>
      <c r="E300">
        <f>Table2PRN!E7223</f>
        <v>0</v>
      </c>
      <c r="F300">
        <f>Table2PRN!F7223</f>
        <v>0</v>
      </c>
      <c r="G300">
        <f>Table2PRN!G7223</f>
        <v>0</v>
      </c>
    </row>
    <row r="301" spans="1:7" x14ac:dyDescent="0.2">
      <c r="A301" t="s">
        <v>4337</v>
      </c>
      <c r="B301">
        <f>Table2PRN!B7224</f>
        <v>0</v>
      </c>
      <c r="C301">
        <f>Table2PRN!C7224</f>
        <v>0</v>
      </c>
      <c r="D301">
        <f>Table2PRN!D7224</f>
        <v>0</v>
      </c>
      <c r="E301">
        <f>Table2PRN!E7224</f>
        <v>0</v>
      </c>
      <c r="F301">
        <f>Table2PRN!F7224</f>
        <v>0</v>
      </c>
      <c r="G301">
        <f>Table2PRN!G7224</f>
        <v>0</v>
      </c>
    </row>
    <row r="302" spans="1:7" x14ac:dyDescent="0.2">
      <c r="A302" t="s">
        <v>4338</v>
      </c>
      <c r="B302">
        <f>Table2PRN!B7225</f>
        <v>0</v>
      </c>
      <c r="C302">
        <f>Table2PRN!C7225</f>
        <v>0</v>
      </c>
      <c r="D302">
        <f>Table2PRN!D7225</f>
        <v>0</v>
      </c>
      <c r="E302">
        <f>Table2PRN!E7225</f>
        <v>0</v>
      </c>
      <c r="F302">
        <f>Table2PRN!F7225</f>
        <v>0</v>
      </c>
      <c r="G302">
        <f>Table2PRN!G7225</f>
        <v>0</v>
      </c>
    </row>
    <row r="303" spans="1:7" x14ac:dyDescent="0.2">
      <c r="A303" t="s">
        <v>4339</v>
      </c>
      <c r="B303">
        <f>Table2PRN!B7226</f>
        <v>0</v>
      </c>
      <c r="C303">
        <f>Table2PRN!C7226</f>
        <v>0</v>
      </c>
      <c r="D303">
        <f>Table2PRN!D7226</f>
        <v>0</v>
      </c>
      <c r="E303">
        <f>Table2PRN!E7226</f>
        <v>0</v>
      </c>
      <c r="F303">
        <f>Table2PRN!F7226</f>
        <v>0</v>
      </c>
      <c r="G303">
        <f>Table2PRN!G7226</f>
        <v>0</v>
      </c>
    </row>
    <row r="304" spans="1:7" x14ac:dyDescent="0.2">
      <c r="A304" t="s">
        <v>4340</v>
      </c>
      <c r="B304">
        <f>Table2PRN!B7227</f>
        <v>0</v>
      </c>
      <c r="C304">
        <f>Table2PRN!C7227</f>
        <v>0</v>
      </c>
      <c r="D304">
        <f>Table2PRN!D7227</f>
        <v>0</v>
      </c>
      <c r="E304">
        <f>Table2PRN!E7227</f>
        <v>0</v>
      </c>
      <c r="F304">
        <f>Table2PRN!F7227</f>
        <v>0</v>
      </c>
      <c r="G304">
        <f>Table2PRN!G7227</f>
        <v>0</v>
      </c>
    </row>
    <row r="305" spans="1:7" x14ac:dyDescent="0.2">
      <c r="A305" t="s">
        <v>4341</v>
      </c>
      <c r="B305">
        <f>Table2PRN!B7228</f>
        <v>0</v>
      </c>
      <c r="C305">
        <f>Table2PRN!C7228</f>
        <v>0</v>
      </c>
      <c r="D305">
        <f>Table2PRN!D7228</f>
        <v>0</v>
      </c>
      <c r="E305">
        <f>Table2PRN!E7228</f>
        <v>0</v>
      </c>
      <c r="F305">
        <f>Table2PRN!F7228</f>
        <v>0</v>
      </c>
      <c r="G305">
        <f>Table2PRN!G7228</f>
        <v>0</v>
      </c>
    </row>
    <row r="306" spans="1:7" x14ac:dyDescent="0.2">
      <c r="A306" t="s">
        <v>4342</v>
      </c>
      <c r="B306">
        <f>Table2PRN!B7229</f>
        <v>0</v>
      </c>
      <c r="C306">
        <f>Table2PRN!C7229</f>
        <v>0</v>
      </c>
      <c r="D306">
        <f>Table2PRN!D7229</f>
        <v>0</v>
      </c>
      <c r="E306">
        <f>Table2PRN!E7229</f>
        <v>0</v>
      </c>
      <c r="F306">
        <f>Table2PRN!F7229</f>
        <v>0</v>
      </c>
      <c r="G306">
        <f>Table2PRN!G7229</f>
        <v>0</v>
      </c>
    </row>
    <row r="307" spans="1:7" x14ac:dyDescent="0.2">
      <c r="A307" t="s">
        <v>4343</v>
      </c>
      <c r="B307">
        <f>Table2PRN!B7230</f>
        <v>0</v>
      </c>
      <c r="C307">
        <f>Table2PRN!C7230</f>
        <v>0</v>
      </c>
      <c r="D307">
        <f>Table2PRN!D7230</f>
        <v>0</v>
      </c>
      <c r="E307">
        <f>Table2PRN!E7230</f>
        <v>0</v>
      </c>
      <c r="F307">
        <f>Table2PRN!F7230</f>
        <v>0</v>
      </c>
      <c r="G307">
        <f>Table2PRN!G7230</f>
        <v>0</v>
      </c>
    </row>
    <row r="308" spans="1:7" x14ac:dyDescent="0.2">
      <c r="A308" t="s">
        <v>1728</v>
      </c>
      <c r="B308">
        <f>Table2PRN!B7231</f>
        <v>0</v>
      </c>
      <c r="C308">
        <f>Table2PRN!C7231</f>
        <v>0</v>
      </c>
      <c r="D308">
        <f>Table2PRN!D7231</f>
        <v>0</v>
      </c>
      <c r="E308">
        <f>Table2PRN!E7231</f>
        <v>0</v>
      </c>
      <c r="F308">
        <f>Table2PRN!F7231</f>
        <v>0</v>
      </c>
      <c r="G308">
        <f>Table2PRN!G7231</f>
        <v>0</v>
      </c>
    </row>
    <row r="309" spans="1:7" x14ac:dyDescent="0.2">
      <c r="A309" t="s">
        <v>1730</v>
      </c>
      <c r="B309">
        <f>Table2PRN!B7232</f>
        <v>0</v>
      </c>
      <c r="C309">
        <f>Table2PRN!C7232</f>
        <v>1</v>
      </c>
      <c r="D309">
        <f>Table2PRN!D7232</f>
        <v>2</v>
      </c>
      <c r="E309">
        <f>Table2PRN!E7232</f>
        <v>0</v>
      </c>
      <c r="F309">
        <f>Table2PRN!F7232</f>
        <v>0</v>
      </c>
      <c r="G309">
        <f>Table2PRN!G7232</f>
        <v>4</v>
      </c>
    </row>
    <row r="310" spans="1:7" x14ac:dyDescent="0.2">
      <c r="A310" t="s">
        <v>1733</v>
      </c>
      <c r="B310">
        <f>Table2PRN!B7233</f>
        <v>0</v>
      </c>
      <c r="C310">
        <f>Table2PRN!C7233</f>
        <v>0</v>
      </c>
      <c r="D310">
        <f>Table2PRN!D7233</f>
        <v>0</v>
      </c>
      <c r="E310">
        <f>Table2PRN!E7233</f>
        <v>0</v>
      </c>
      <c r="F310">
        <f>Table2PRN!F7233</f>
        <v>0</v>
      </c>
      <c r="G310">
        <f>Table2PRN!G7233</f>
        <v>0</v>
      </c>
    </row>
    <row r="311" spans="1:7" x14ac:dyDescent="0.2">
      <c r="A311" t="s">
        <v>1738</v>
      </c>
      <c r="B311">
        <f>Table2PRN!B7234</f>
        <v>0</v>
      </c>
      <c r="C311">
        <f>Table2PRN!C7234</f>
        <v>0</v>
      </c>
      <c r="D311">
        <f>Table2PRN!D7234</f>
        <v>0</v>
      </c>
      <c r="E311">
        <f>Table2PRN!E7234</f>
        <v>0</v>
      </c>
      <c r="F311">
        <f>Table2PRN!F7234</f>
        <v>0</v>
      </c>
      <c r="G311">
        <f>Table2PRN!G7234</f>
        <v>0</v>
      </c>
    </row>
    <row r="312" spans="1:7" x14ac:dyDescent="0.2">
      <c r="A312" t="s">
        <v>1744</v>
      </c>
      <c r="B312">
        <f>Table2PRN!B7235</f>
        <v>0</v>
      </c>
      <c r="C312">
        <f>Table2PRN!C7235</f>
        <v>0</v>
      </c>
      <c r="D312">
        <f>Table2PRN!D7235</f>
        <v>0</v>
      </c>
      <c r="E312">
        <f>Table2PRN!E7235</f>
        <v>0</v>
      </c>
      <c r="F312">
        <f>Table2PRN!F7235</f>
        <v>0</v>
      </c>
      <c r="G312">
        <f>Table2PRN!G7235</f>
        <v>0</v>
      </c>
    </row>
    <row r="313" spans="1:7" x14ac:dyDescent="0.2">
      <c r="A313" t="s">
        <v>1747</v>
      </c>
      <c r="B313">
        <f>Table2PRN!B7236</f>
        <v>0</v>
      </c>
      <c r="C313">
        <f>Table2PRN!C7236</f>
        <v>0</v>
      </c>
      <c r="D313">
        <f>Table2PRN!D7236</f>
        <v>0</v>
      </c>
      <c r="E313">
        <f>Table2PRN!E7236</f>
        <v>0</v>
      </c>
      <c r="F313">
        <f>Table2PRN!F7236</f>
        <v>0</v>
      </c>
      <c r="G313">
        <f>Table2PRN!G7236</f>
        <v>0</v>
      </c>
    </row>
    <row r="314" spans="1:7" x14ac:dyDescent="0.2">
      <c r="A314" t="s">
        <v>1751</v>
      </c>
      <c r="B314">
        <f>Table2PRN!B7237</f>
        <v>0</v>
      </c>
      <c r="C314">
        <f>Table2PRN!C7237</f>
        <v>0</v>
      </c>
      <c r="D314">
        <f>Table2PRN!D7237</f>
        <v>0</v>
      </c>
      <c r="E314">
        <f>Table2PRN!E7237</f>
        <v>0</v>
      </c>
      <c r="F314">
        <f>Table2PRN!F7237</f>
        <v>0</v>
      </c>
      <c r="G314">
        <f>Table2PRN!G7237</f>
        <v>0</v>
      </c>
    </row>
    <row r="315" spans="1:7" x14ac:dyDescent="0.2">
      <c r="A315" t="s">
        <v>1755</v>
      </c>
      <c r="B315">
        <f>Table2PRN!B7238</f>
        <v>0</v>
      </c>
      <c r="C315">
        <f>Table2PRN!C7238</f>
        <v>0</v>
      </c>
      <c r="D315">
        <f>Table2PRN!D7238</f>
        <v>0</v>
      </c>
      <c r="E315">
        <f>Table2PRN!E7238</f>
        <v>0</v>
      </c>
      <c r="F315">
        <f>Table2PRN!F7238</f>
        <v>0</v>
      </c>
      <c r="G315">
        <f>Table2PRN!G7238</f>
        <v>0</v>
      </c>
    </row>
    <row r="316" spans="1:7" x14ac:dyDescent="0.2">
      <c r="A316" t="s">
        <v>1757</v>
      </c>
      <c r="B316">
        <f>Table2PRN!B7239</f>
        <v>0</v>
      </c>
      <c r="C316">
        <f>Table2PRN!C7239</f>
        <v>0</v>
      </c>
      <c r="D316">
        <f>Table2PRN!D7239</f>
        <v>0</v>
      </c>
      <c r="E316">
        <f>Table2PRN!E7239</f>
        <v>0</v>
      </c>
      <c r="F316">
        <f>Table2PRN!F7239</f>
        <v>0</v>
      </c>
      <c r="G316">
        <f>Table2PRN!G7239</f>
        <v>0</v>
      </c>
    </row>
    <row r="317" spans="1:7" x14ac:dyDescent="0.2">
      <c r="A317" t="s">
        <v>1761</v>
      </c>
      <c r="B317">
        <f>Table2PRN!B7240</f>
        <v>0</v>
      </c>
      <c r="C317">
        <f>Table2PRN!C7240</f>
        <v>0</v>
      </c>
      <c r="D317">
        <f>Table2PRN!D7240</f>
        <v>0</v>
      </c>
      <c r="E317">
        <f>Table2PRN!E7240</f>
        <v>0</v>
      </c>
      <c r="F317">
        <f>Table2PRN!F7240</f>
        <v>0</v>
      </c>
      <c r="G317">
        <f>Table2PRN!G7240</f>
        <v>0</v>
      </c>
    </row>
    <row r="318" spans="1:7" x14ac:dyDescent="0.2">
      <c r="A318" t="s">
        <v>1764</v>
      </c>
      <c r="B318">
        <f>Table2PRN!B7241</f>
        <v>0</v>
      </c>
      <c r="C318">
        <f>Table2PRN!C7241</f>
        <v>0</v>
      </c>
      <c r="D318">
        <f>Table2PRN!D7241</f>
        <v>0</v>
      </c>
      <c r="E318">
        <f>Table2PRN!E7241</f>
        <v>0</v>
      </c>
      <c r="F318">
        <f>Table2PRN!F7241</f>
        <v>0</v>
      </c>
      <c r="G318">
        <f>Table2PRN!G7241</f>
        <v>0</v>
      </c>
    </row>
    <row r="319" spans="1:7" x14ac:dyDescent="0.2">
      <c r="A319" t="s">
        <v>1770</v>
      </c>
      <c r="B319">
        <f>Table2PRN!B7242</f>
        <v>0</v>
      </c>
      <c r="C319">
        <f>Table2PRN!C7242</f>
        <v>18</v>
      </c>
      <c r="D319">
        <f>Table2PRN!D7242</f>
        <v>187</v>
      </c>
      <c r="E319">
        <f>Table2PRN!E7242</f>
        <v>144</v>
      </c>
      <c r="F319">
        <f>Table2PRN!F7242</f>
        <v>0</v>
      </c>
      <c r="G319">
        <f>Table2PRN!G7242</f>
        <v>350</v>
      </c>
    </row>
    <row r="320" spans="1:7" x14ac:dyDescent="0.2">
      <c r="A320" t="s">
        <v>1772</v>
      </c>
      <c r="B320">
        <f>Table2PRN!B7243</f>
        <v>0</v>
      </c>
      <c r="C320">
        <f>Table2PRN!C7243</f>
        <v>0</v>
      </c>
      <c r="D320">
        <f>Table2PRN!D7243</f>
        <v>0</v>
      </c>
      <c r="E320">
        <f>Table2PRN!E7243</f>
        <v>87</v>
      </c>
      <c r="F320">
        <f>Table2PRN!F7243</f>
        <v>0</v>
      </c>
      <c r="G320">
        <f>Table2PRN!G7243</f>
        <v>87</v>
      </c>
    </row>
    <row r="321" spans="1:7" x14ac:dyDescent="0.2">
      <c r="A321" t="s">
        <v>1774</v>
      </c>
      <c r="B321">
        <f>Table2PRN!B7244</f>
        <v>0</v>
      </c>
      <c r="C321">
        <f>Table2PRN!C7244</f>
        <v>0</v>
      </c>
      <c r="D321">
        <f>Table2PRN!D7244</f>
        <v>0</v>
      </c>
      <c r="E321">
        <f>Table2PRN!E7244</f>
        <v>0</v>
      </c>
      <c r="F321">
        <f>Table2PRN!F7244</f>
        <v>0</v>
      </c>
      <c r="G321">
        <f>Table2PRN!G7244</f>
        <v>0</v>
      </c>
    </row>
    <row r="322" spans="1:7" x14ac:dyDescent="0.2">
      <c r="A322" t="s">
        <v>1777</v>
      </c>
      <c r="B322">
        <f>Table2PRN!B7245</f>
        <v>0</v>
      </c>
      <c r="C322">
        <f>Table2PRN!C7245</f>
        <v>0</v>
      </c>
      <c r="D322">
        <f>Table2PRN!D7245</f>
        <v>0</v>
      </c>
      <c r="E322">
        <f>Table2PRN!E7245</f>
        <v>0</v>
      </c>
      <c r="F322">
        <f>Table2PRN!F7245</f>
        <v>0</v>
      </c>
      <c r="G322">
        <f>Table2PRN!G7245</f>
        <v>0</v>
      </c>
    </row>
    <row r="323" spans="1:7" x14ac:dyDescent="0.2">
      <c r="A323" t="s">
        <v>1782</v>
      </c>
      <c r="B323">
        <f>Table2PRN!B7246</f>
        <v>0</v>
      </c>
      <c r="C323">
        <f>Table2PRN!C7246</f>
        <v>0</v>
      </c>
      <c r="D323">
        <f>Table2PRN!D7246</f>
        <v>0</v>
      </c>
      <c r="E323">
        <f>Table2PRN!E7246</f>
        <v>0</v>
      </c>
      <c r="F323">
        <f>Table2PRN!F7246</f>
        <v>0</v>
      </c>
      <c r="G323">
        <f>Table2PRN!G7246</f>
        <v>0</v>
      </c>
    </row>
    <row r="324" spans="1:7" x14ac:dyDescent="0.2">
      <c r="A324" t="s">
        <v>1274</v>
      </c>
      <c r="B324">
        <f>Table2PRN!B7247</f>
        <v>0</v>
      </c>
      <c r="C324">
        <f>Table2PRN!C7247</f>
        <v>0</v>
      </c>
      <c r="D324">
        <f>Table2PRN!D7247</f>
        <v>0</v>
      </c>
      <c r="E324">
        <f>Table2PRN!E7247</f>
        <v>0</v>
      </c>
      <c r="F324">
        <f>Table2PRN!F7247</f>
        <v>0</v>
      </c>
      <c r="G324">
        <f>Table2PRN!G7247</f>
        <v>0</v>
      </c>
    </row>
    <row r="325" spans="1:7" x14ac:dyDescent="0.2">
      <c r="A325" t="s">
        <v>1277</v>
      </c>
      <c r="B325">
        <f>Table2PRN!B7248</f>
        <v>0</v>
      </c>
      <c r="C325">
        <f>Table2PRN!C7248</f>
        <v>0</v>
      </c>
      <c r="D325">
        <f>Table2PRN!D7248</f>
        <v>0</v>
      </c>
      <c r="E325">
        <f>Table2PRN!E7248</f>
        <v>0</v>
      </c>
      <c r="F325">
        <f>Table2PRN!F7248</f>
        <v>0</v>
      </c>
      <c r="G325">
        <f>Table2PRN!G7248</f>
        <v>0</v>
      </c>
    </row>
    <row r="326" spans="1:7" x14ac:dyDescent="0.2">
      <c r="A326" t="s">
        <v>1798</v>
      </c>
      <c r="B326">
        <f>Table2PRN!B7249</f>
        <v>0</v>
      </c>
      <c r="C326">
        <f>Table2PRN!C7249</f>
        <v>0</v>
      </c>
      <c r="D326">
        <f>Table2PRN!D7249</f>
        <v>0</v>
      </c>
      <c r="E326">
        <f>Table2PRN!E7249</f>
        <v>0</v>
      </c>
      <c r="F326">
        <f>Table2PRN!F7249</f>
        <v>0</v>
      </c>
      <c r="G326">
        <f>Table2PRN!G7249</f>
        <v>0</v>
      </c>
    </row>
    <row r="327" spans="1:7" x14ac:dyDescent="0.2">
      <c r="A327" t="s">
        <v>1803</v>
      </c>
      <c r="B327">
        <f>Table2PRN!B7250</f>
        <v>0</v>
      </c>
      <c r="C327">
        <f>Table2PRN!C7250</f>
        <v>0</v>
      </c>
      <c r="D327">
        <f>Table2PRN!D7250</f>
        <v>0</v>
      </c>
      <c r="E327">
        <f>Table2PRN!E7250</f>
        <v>0</v>
      </c>
      <c r="F327">
        <f>Table2PRN!F7250</f>
        <v>0</v>
      </c>
      <c r="G327">
        <f>Table2PRN!G7250</f>
        <v>0</v>
      </c>
    </row>
    <row r="328" spans="1:7" x14ac:dyDescent="0.2">
      <c r="A328" t="s">
        <v>1808</v>
      </c>
      <c r="B328">
        <f>Table2PRN!B7251</f>
        <v>0</v>
      </c>
      <c r="C328">
        <f>Table2PRN!C7251</f>
        <v>0</v>
      </c>
      <c r="D328">
        <f>Table2PRN!D7251</f>
        <v>0</v>
      </c>
      <c r="E328">
        <f>Table2PRN!E7251</f>
        <v>0</v>
      </c>
      <c r="F328">
        <f>Table2PRN!F7251</f>
        <v>0</v>
      </c>
      <c r="G328">
        <f>Table2PRN!G7251</f>
        <v>0</v>
      </c>
    </row>
    <row r="329" spans="1:7" x14ac:dyDescent="0.2">
      <c r="A329" t="s">
        <v>1813</v>
      </c>
      <c r="B329">
        <f>Table2PRN!B7252</f>
        <v>0</v>
      </c>
      <c r="C329">
        <f>Table2PRN!C7252</f>
        <v>0</v>
      </c>
      <c r="D329">
        <f>Table2PRN!D7252</f>
        <v>0</v>
      </c>
      <c r="E329">
        <f>Table2PRN!E7252</f>
        <v>0</v>
      </c>
      <c r="F329">
        <f>Table2PRN!F7252</f>
        <v>0</v>
      </c>
      <c r="G329">
        <f>Table2PRN!G7252</f>
        <v>0</v>
      </c>
    </row>
    <row r="330" spans="1:7" x14ac:dyDescent="0.2">
      <c r="A330" t="s">
        <v>1819</v>
      </c>
      <c r="B330">
        <f>Table2PRN!B7253</f>
        <v>0</v>
      </c>
      <c r="C330">
        <f>Table2PRN!C7253</f>
        <v>0</v>
      </c>
      <c r="D330">
        <f>Table2PRN!D7253</f>
        <v>0</v>
      </c>
      <c r="E330">
        <f>Table2PRN!E7253</f>
        <v>0</v>
      </c>
      <c r="F330">
        <f>Table2PRN!F7253</f>
        <v>0</v>
      </c>
      <c r="G330">
        <f>Table2PRN!G7253</f>
        <v>0</v>
      </c>
    </row>
    <row r="331" spans="1:7" x14ac:dyDescent="0.2">
      <c r="A331" t="s">
        <v>1826</v>
      </c>
      <c r="B331">
        <f>Table2PRN!B7254</f>
        <v>0</v>
      </c>
      <c r="C331">
        <f>Table2PRN!C7254</f>
        <v>0</v>
      </c>
      <c r="D331">
        <f>Table2PRN!D7254</f>
        <v>0</v>
      </c>
      <c r="E331">
        <f>Table2PRN!E7254</f>
        <v>0</v>
      </c>
      <c r="F331">
        <f>Table2PRN!F7254</f>
        <v>0</v>
      </c>
      <c r="G331">
        <f>Table2PRN!G7254</f>
        <v>0</v>
      </c>
    </row>
    <row r="332" spans="1:7" x14ac:dyDescent="0.2">
      <c r="A332" t="s">
        <v>1830</v>
      </c>
      <c r="B332">
        <f>Table2PRN!B7255</f>
        <v>0</v>
      </c>
      <c r="C332">
        <f>Table2PRN!C7255</f>
        <v>0</v>
      </c>
      <c r="D332">
        <f>Table2PRN!D7255</f>
        <v>0</v>
      </c>
      <c r="E332">
        <f>Table2PRN!E7255</f>
        <v>0</v>
      </c>
      <c r="F332">
        <f>Table2PRN!F7255</f>
        <v>0</v>
      </c>
      <c r="G332">
        <f>Table2PRN!G7255</f>
        <v>0</v>
      </c>
    </row>
    <row r="333" spans="1:7" x14ac:dyDescent="0.2">
      <c r="A333" t="s">
        <v>1836</v>
      </c>
      <c r="B333">
        <f>Table2PRN!B7256</f>
        <v>0</v>
      </c>
      <c r="C333">
        <f>Table2PRN!C7256</f>
        <v>0</v>
      </c>
      <c r="D333">
        <f>Table2PRN!D7256</f>
        <v>0</v>
      </c>
      <c r="E333">
        <f>Table2PRN!E7256</f>
        <v>0</v>
      </c>
      <c r="F333">
        <f>Table2PRN!F7256</f>
        <v>0</v>
      </c>
      <c r="G333">
        <f>Table2PRN!G7256</f>
        <v>0</v>
      </c>
    </row>
    <row r="334" spans="1:7" x14ac:dyDescent="0.2">
      <c r="A334" t="s">
        <v>1841</v>
      </c>
      <c r="B334">
        <f>Table2PRN!B7257</f>
        <v>0</v>
      </c>
      <c r="C334">
        <f>Table2PRN!C7257</f>
        <v>0</v>
      </c>
      <c r="D334">
        <f>Table2PRN!D7257</f>
        <v>0</v>
      </c>
      <c r="E334">
        <f>Table2PRN!E7257</f>
        <v>0</v>
      </c>
      <c r="F334">
        <f>Table2PRN!F7257</f>
        <v>0</v>
      </c>
      <c r="G334">
        <f>Table2PRN!G7257</f>
        <v>0</v>
      </c>
    </row>
    <row r="335" spans="1:7" x14ac:dyDescent="0.2">
      <c r="A335" t="s">
        <v>1842</v>
      </c>
      <c r="B335">
        <f>Table2PRN!B7258</f>
        <v>0</v>
      </c>
      <c r="C335">
        <f>Table2PRN!C7258</f>
        <v>0</v>
      </c>
      <c r="D335">
        <f>Table2PRN!D7258</f>
        <v>0</v>
      </c>
      <c r="E335">
        <f>Table2PRN!E7258</f>
        <v>0</v>
      </c>
      <c r="F335">
        <f>Table2PRN!F7258</f>
        <v>0</v>
      </c>
      <c r="G335">
        <f>Table2PRN!G7258</f>
        <v>0</v>
      </c>
    </row>
    <row r="336" spans="1:7" x14ac:dyDescent="0.2">
      <c r="A336" t="s">
        <v>1843</v>
      </c>
      <c r="B336">
        <f>Table2PRN!B7259</f>
        <v>0</v>
      </c>
      <c r="C336">
        <f>Table2PRN!C7259</f>
        <v>0</v>
      </c>
      <c r="D336">
        <f>Table2PRN!D7259</f>
        <v>0</v>
      </c>
      <c r="E336">
        <f>Table2PRN!E7259</f>
        <v>0</v>
      </c>
      <c r="F336">
        <f>Table2PRN!F7259</f>
        <v>0</v>
      </c>
      <c r="G336">
        <f>Table2PRN!G7259</f>
        <v>0</v>
      </c>
    </row>
    <row r="337" spans="1:7" x14ac:dyDescent="0.2">
      <c r="A337" t="s">
        <v>1846</v>
      </c>
      <c r="B337">
        <f>Table2PRN!B7260</f>
        <v>0</v>
      </c>
      <c r="C337">
        <f>Table2PRN!C7260</f>
        <v>0</v>
      </c>
      <c r="D337">
        <f>Table2PRN!D7260</f>
        <v>0</v>
      </c>
      <c r="E337">
        <f>Table2PRN!E7260</f>
        <v>0</v>
      </c>
      <c r="F337">
        <f>Table2PRN!F7260</f>
        <v>0</v>
      </c>
      <c r="G337">
        <f>Table2PRN!G7260</f>
        <v>0</v>
      </c>
    </row>
    <row r="338" spans="1:7" x14ac:dyDescent="0.2">
      <c r="A338" t="s">
        <v>1851</v>
      </c>
      <c r="B338">
        <f>Table2PRN!B7261</f>
        <v>0</v>
      </c>
      <c r="C338">
        <f>Table2PRN!C7261</f>
        <v>0</v>
      </c>
      <c r="D338">
        <f>Table2PRN!D7261</f>
        <v>0</v>
      </c>
      <c r="E338">
        <f>Table2PRN!E7261</f>
        <v>0</v>
      </c>
      <c r="F338">
        <f>Table2PRN!F7261</f>
        <v>0</v>
      </c>
      <c r="G338">
        <f>Table2PRN!G7261</f>
        <v>0</v>
      </c>
    </row>
    <row r="339" spans="1:7" x14ac:dyDescent="0.2">
      <c r="A339" t="s">
        <v>1857</v>
      </c>
      <c r="B339">
        <f>Table2PRN!B7262</f>
        <v>0</v>
      </c>
      <c r="C339">
        <f>Table2PRN!C7262</f>
        <v>0</v>
      </c>
      <c r="D339">
        <f>Table2PRN!D7262</f>
        <v>0</v>
      </c>
      <c r="E339">
        <f>Table2PRN!E7262</f>
        <v>0</v>
      </c>
      <c r="F339">
        <f>Table2PRN!F7262</f>
        <v>0</v>
      </c>
      <c r="G339">
        <f>Table2PRN!G7262</f>
        <v>0</v>
      </c>
    </row>
    <row r="340" spans="1:7" x14ac:dyDescent="0.2">
      <c r="A340" t="s">
        <v>1862</v>
      </c>
      <c r="B340">
        <f>Table2PRN!B7263</f>
        <v>0</v>
      </c>
      <c r="C340">
        <f>Table2PRN!C7263</f>
        <v>0</v>
      </c>
      <c r="D340">
        <f>Table2PRN!D7263</f>
        <v>0</v>
      </c>
      <c r="E340">
        <f>Table2PRN!E7263</f>
        <v>0</v>
      </c>
      <c r="F340">
        <f>Table2PRN!F7263</f>
        <v>0</v>
      </c>
      <c r="G340">
        <f>Table2PRN!G7263</f>
        <v>0</v>
      </c>
    </row>
    <row r="341" spans="1:7" x14ac:dyDescent="0.2">
      <c r="A341" t="s">
        <v>1867</v>
      </c>
      <c r="B341">
        <f>Table2PRN!B7264</f>
        <v>0</v>
      </c>
      <c r="C341">
        <f>Table2PRN!C7264</f>
        <v>0</v>
      </c>
      <c r="D341">
        <f>Table2PRN!D7264</f>
        <v>0</v>
      </c>
      <c r="E341">
        <f>Table2PRN!E7264</f>
        <v>0</v>
      </c>
      <c r="F341">
        <f>Table2PRN!F7264</f>
        <v>0</v>
      </c>
      <c r="G341">
        <f>Table2PRN!G7264</f>
        <v>0</v>
      </c>
    </row>
    <row r="342" spans="1:7" x14ac:dyDescent="0.2">
      <c r="A342" t="s">
        <v>1870</v>
      </c>
      <c r="B342">
        <f>Table2PRN!B7265</f>
        <v>0</v>
      </c>
      <c r="C342">
        <f>Table2PRN!C7265</f>
        <v>0</v>
      </c>
      <c r="D342">
        <f>Table2PRN!D7265</f>
        <v>0</v>
      </c>
      <c r="E342">
        <f>Table2PRN!E7265</f>
        <v>0</v>
      </c>
      <c r="F342">
        <f>Table2PRN!F7265</f>
        <v>0</v>
      </c>
      <c r="G342">
        <f>Table2PRN!G7265</f>
        <v>0</v>
      </c>
    </row>
    <row r="343" spans="1:7" x14ac:dyDescent="0.2">
      <c r="A343" t="s">
        <v>1874</v>
      </c>
      <c r="B343">
        <f>Table2PRN!B7266</f>
        <v>0</v>
      </c>
      <c r="C343">
        <f>Table2PRN!C7266</f>
        <v>0</v>
      </c>
      <c r="D343">
        <f>Table2PRN!D7266</f>
        <v>0</v>
      </c>
      <c r="E343">
        <f>Table2PRN!E7266</f>
        <v>0</v>
      </c>
      <c r="F343">
        <f>Table2PRN!F7266</f>
        <v>0</v>
      </c>
      <c r="G343">
        <f>Table2PRN!G7266</f>
        <v>0</v>
      </c>
    </row>
    <row r="344" spans="1:7" x14ac:dyDescent="0.2">
      <c r="A344" t="s">
        <v>1876</v>
      </c>
      <c r="B344">
        <f>Table2PRN!B7267</f>
        <v>0</v>
      </c>
      <c r="C344">
        <f>Table2PRN!C7267</f>
        <v>0</v>
      </c>
      <c r="D344">
        <f>Table2PRN!D7267</f>
        <v>0</v>
      </c>
      <c r="E344">
        <f>Table2PRN!E7267</f>
        <v>0</v>
      </c>
      <c r="F344">
        <f>Table2PRN!F7267</f>
        <v>0</v>
      </c>
      <c r="G344">
        <f>Table2PRN!G7267</f>
        <v>0</v>
      </c>
    </row>
    <row r="345" spans="1:7" x14ac:dyDescent="0.2">
      <c r="A345" t="s">
        <v>1881</v>
      </c>
      <c r="B345">
        <f>Table2PRN!B7268</f>
        <v>0</v>
      </c>
      <c r="C345">
        <f>Table2PRN!C7268</f>
        <v>0</v>
      </c>
      <c r="D345">
        <f>Table2PRN!D7268</f>
        <v>0</v>
      </c>
      <c r="E345">
        <f>Table2PRN!E7268</f>
        <v>0</v>
      </c>
      <c r="F345">
        <f>Table2PRN!F7268</f>
        <v>0</v>
      </c>
      <c r="G345">
        <f>Table2PRN!G7268</f>
        <v>0</v>
      </c>
    </row>
    <row r="346" spans="1:7" x14ac:dyDescent="0.2">
      <c r="A346" t="s">
        <v>1885</v>
      </c>
      <c r="B346">
        <f>Table2PRN!B7269</f>
        <v>0</v>
      </c>
      <c r="C346">
        <f>Table2PRN!C7269</f>
        <v>0</v>
      </c>
      <c r="D346">
        <f>Table2PRN!D7269</f>
        <v>0</v>
      </c>
      <c r="E346">
        <f>Table2PRN!E7269</f>
        <v>18</v>
      </c>
      <c r="F346">
        <f>Table2PRN!F7269</f>
        <v>0</v>
      </c>
      <c r="G346">
        <f>Table2PRN!G7269</f>
        <v>18</v>
      </c>
    </row>
    <row r="347" spans="1:7" x14ac:dyDescent="0.2">
      <c r="A347" t="s">
        <v>1887</v>
      </c>
      <c r="B347">
        <f>Table2PRN!B7270</f>
        <v>0</v>
      </c>
      <c r="C347">
        <f>Table2PRN!C7270</f>
        <v>0</v>
      </c>
      <c r="D347">
        <f>Table2PRN!D7270</f>
        <v>0</v>
      </c>
      <c r="E347">
        <f>Table2PRN!E7270</f>
        <v>0</v>
      </c>
      <c r="F347">
        <f>Table2PRN!F7270</f>
        <v>0</v>
      </c>
      <c r="G347">
        <f>Table2PRN!G7270</f>
        <v>0</v>
      </c>
    </row>
    <row r="348" spans="1:7" x14ac:dyDescent="0.2">
      <c r="A348" t="s">
        <v>1893</v>
      </c>
      <c r="B348">
        <f>Table2PRN!B7271</f>
        <v>0</v>
      </c>
      <c r="C348">
        <f>Table2PRN!C7271</f>
        <v>0</v>
      </c>
      <c r="D348">
        <f>Table2PRN!D7271</f>
        <v>0</v>
      </c>
      <c r="E348">
        <f>Table2PRN!E7271</f>
        <v>1</v>
      </c>
      <c r="F348">
        <f>Table2PRN!F7271</f>
        <v>0</v>
      </c>
      <c r="G348">
        <f>Table2PRN!G7271</f>
        <v>1</v>
      </c>
    </row>
    <row r="349" spans="1:7" x14ac:dyDescent="0.2">
      <c r="A349" t="s">
        <v>1899</v>
      </c>
      <c r="B349">
        <f>Table2PRN!B7272</f>
        <v>0</v>
      </c>
      <c r="C349">
        <f>Table2PRN!C7272</f>
        <v>0</v>
      </c>
      <c r="D349">
        <f>Table2PRN!D7272</f>
        <v>0</v>
      </c>
      <c r="E349">
        <f>Table2PRN!E7272</f>
        <v>0</v>
      </c>
      <c r="F349">
        <f>Table2PRN!F7272</f>
        <v>0</v>
      </c>
      <c r="G349">
        <f>Table2PRN!G7272</f>
        <v>0</v>
      </c>
    </row>
    <row r="350" spans="1:7" x14ac:dyDescent="0.2">
      <c r="A350" t="s">
        <v>1906</v>
      </c>
      <c r="B350">
        <f>Table2PRN!B7273</f>
        <v>0</v>
      </c>
      <c r="C350">
        <f>Table2PRN!C7273</f>
        <v>0</v>
      </c>
      <c r="D350">
        <f>Table2PRN!D7273</f>
        <v>0</v>
      </c>
      <c r="E350">
        <f>Table2PRN!E7273</f>
        <v>0</v>
      </c>
      <c r="F350">
        <f>Table2PRN!F7273</f>
        <v>0</v>
      </c>
      <c r="G350">
        <f>Table2PRN!G7273</f>
        <v>0</v>
      </c>
    </row>
    <row r="351" spans="1:7" x14ac:dyDescent="0.2">
      <c r="A351" t="s">
        <v>1911</v>
      </c>
      <c r="B351">
        <f>Table2PRN!B7274</f>
        <v>0</v>
      </c>
      <c r="C351">
        <f>Table2PRN!C7274</f>
        <v>0</v>
      </c>
      <c r="D351">
        <f>Table2PRN!D7274</f>
        <v>0</v>
      </c>
      <c r="E351">
        <f>Table2PRN!E7274</f>
        <v>0</v>
      </c>
      <c r="F351">
        <f>Table2PRN!F7274</f>
        <v>0</v>
      </c>
      <c r="G351">
        <f>Table2PRN!G7274</f>
        <v>0</v>
      </c>
    </row>
    <row r="352" spans="1:7" x14ac:dyDescent="0.2">
      <c r="A352" t="s">
        <v>1917</v>
      </c>
      <c r="B352">
        <f>Table2PRN!B7275</f>
        <v>0</v>
      </c>
      <c r="C352">
        <f>Table2PRN!C7275</f>
        <v>0</v>
      </c>
      <c r="D352">
        <f>Table2PRN!D7275</f>
        <v>0</v>
      </c>
      <c r="E352">
        <f>Table2PRN!E7275</f>
        <v>0</v>
      </c>
      <c r="F352">
        <f>Table2PRN!F7275</f>
        <v>0</v>
      </c>
      <c r="G352">
        <f>Table2PRN!G7275</f>
        <v>0</v>
      </c>
    </row>
    <row r="353" spans="1:7" x14ac:dyDescent="0.2">
      <c r="A353" t="s">
        <v>1922</v>
      </c>
      <c r="B353">
        <f>Table2PRN!B7276</f>
        <v>0</v>
      </c>
      <c r="C353">
        <f>Table2PRN!C7276</f>
        <v>0</v>
      </c>
      <c r="D353">
        <f>Table2PRN!D7276</f>
        <v>0</v>
      </c>
      <c r="E353">
        <f>Table2PRN!E7276</f>
        <v>0</v>
      </c>
      <c r="F353">
        <f>Table2PRN!F7276</f>
        <v>0</v>
      </c>
      <c r="G353">
        <f>Table2PRN!G7276</f>
        <v>0</v>
      </c>
    </row>
    <row r="354" spans="1:7" x14ac:dyDescent="0.2">
      <c r="A354" t="s">
        <v>1928</v>
      </c>
      <c r="B354">
        <f>Table2PRN!B7277</f>
        <v>0</v>
      </c>
      <c r="C354">
        <f>Table2PRN!C7277</f>
        <v>0</v>
      </c>
      <c r="D354">
        <f>Table2PRN!D7277</f>
        <v>0</v>
      </c>
      <c r="E354">
        <f>Table2PRN!E7277</f>
        <v>0</v>
      </c>
      <c r="F354">
        <f>Table2PRN!F7277</f>
        <v>0</v>
      </c>
      <c r="G354">
        <f>Table2PRN!G7277</f>
        <v>0</v>
      </c>
    </row>
    <row r="355" spans="1:7" x14ac:dyDescent="0.2">
      <c r="A355" t="s">
        <v>1932</v>
      </c>
      <c r="B355">
        <f>Table2PRN!B7278</f>
        <v>0</v>
      </c>
      <c r="C355">
        <f>Table2PRN!C7278</f>
        <v>0</v>
      </c>
      <c r="D355">
        <f>Table2PRN!D7278</f>
        <v>0</v>
      </c>
      <c r="E355">
        <f>Table2PRN!E7278</f>
        <v>0</v>
      </c>
      <c r="F355">
        <f>Table2PRN!F7278</f>
        <v>0</v>
      </c>
      <c r="G355">
        <f>Table2PRN!G7278</f>
        <v>0</v>
      </c>
    </row>
    <row r="356" spans="1:7" x14ac:dyDescent="0.2">
      <c r="A356" t="s">
        <v>1938</v>
      </c>
      <c r="B356">
        <f>Table2PRN!B7279</f>
        <v>0</v>
      </c>
      <c r="C356">
        <f>Table2PRN!C7279</f>
        <v>0</v>
      </c>
      <c r="D356">
        <f>Table2PRN!D7279</f>
        <v>0</v>
      </c>
      <c r="E356">
        <f>Table2PRN!E7279</f>
        <v>0</v>
      </c>
      <c r="F356">
        <f>Table2PRN!F7279</f>
        <v>0</v>
      </c>
      <c r="G356">
        <f>Table2PRN!G7279</f>
        <v>0</v>
      </c>
    </row>
    <row r="357" spans="1:7" x14ac:dyDescent="0.2">
      <c r="A357" t="s">
        <v>1944</v>
      </c>
      <c r="B357">
        <f>Table2PRN!B7280</f>
        <v>0</v>
      </c>
      <c r="C357">
        <f>Table2PRN!C7280</f>
        <v>0</v>
      </c>
      <c r="D357">
        <f>Table2PRN!D7280</f>
        <v>0</v>
      </c>
      <c r="E357">
        <f>Table2PRN!E7280</f>
        <v>0</v>
      </c>
      <c r="F357">
        <f>Table2PRN!F7280</f>
        <v>0</v>
      </c>
      <c r="G357">
        <f>Table2PRN!G7280</f>
        <v>0</v>
      </c>
    </row>
    <row r="358" spans="1:7" x14ac:dyDescent="0.2">
      <c r="A358" t="s">
        <v>1947</v>
      </c>
      <c r="B358">
        <f>Table2PRN!B7281</f>
        <v>0</v>
      </c>
      <c r="C358">
        <f>Table2PRN!C7281</f>
        <v>0</v>
      </c>
      <c r="D358">
        <f>Table2PRN!D7281</f>
        <v>0</v>
      </c>
      <c r="E358">
        <f>Table2PRN!E7281</f>
        <v>0</v>
      </c>
      <c r="F358">
        <f>Table2PRN!F7281</f>
        <v>0</v>
      </c>
      <c r="G358">
        <f>Table2PRN!G7281</f>
        <v>0</v>
      </c>
    </row>
    <row r="359" spans="1:7" x14ac:dyDescent="0.2">
      <c r="A359" t="s">
        <v>1953</v>
      </c>
      <c r="B359">
        <f>Table2PRN!B7282</f>
        <v>0</v>
      </c>
      <c r="C359">
        <f>Table2PRN!C7282</f>
        <v>0</v>
      </c>
      <c r="D359">
        <f>Table2PRN!D7282</f>
        <v>0</v>
      </c>
      <c r="E359">
        <f>Table2PRN!E7282</f>
        <v>0</v>
      </c>
      <c r="F359">
        <f>Table2PRN!F7282</f>
        <v>0</v>
      </c>
      <c r="G359">
        <f>Table2PRN!G7282</f>
        <v>0</v>
      </c>
    </row>
    <row r="360" spans="1:7" x14ac:dyDescent="0.2">
      <c r="A360" t="s">
        <v>1958</v>
      </c>
      <c r="B360">
        <f>Table2PRN!B7283</f>
        <v>0</v>
      </c>
      <c r="C360">
        <f>Table2PRN!C7283</f>
        <v>0</v>
      </c>
      <c r="D360">
        <f>Table2PRN!D7283</f>
        <v>0</v>
      </c>
      <c r="E360">
        <f>Table2PRN!E7283</f>
        <v>0</v>
      </c>
      <c r="F360">
        <f>Table2PRN!F7283</f>
        <v>0</v>
      </c>
      <c r="G360">
        <f>Table2PRN!G7283</f>
        <v>0</v>
      </c>
    </row>
    <row r="361" spans="1:7" x14ac:dyDescent="0.2">
      <c r="A361" t="s">
        <v>1964</v>
      </c>
      <c r="B361">
        <f>Table2PRN!B7284</f>
        <v>0</v>
      </c>
      <c r="C361">
        <f>Table2PRN!C7284</f>
        <v>0</v>
      </c>
      <c r="D361">
        <f>Table2PRN!D7284</f>
        <v>0</v>
      </c>
      <c r="E361">
        <f>Table2PRN!E7284</f>
        <v>0</v>
      </c>
      <c r="F361">
        <f>Table2PRN!F7284</f>
        <v>0</v>
      </c>
      <c r="G361">
        <f>Table2PRN!G7284</f>
        <v>0</v>
      </c>
    </row>
    <row r="362" spans="1:7" x14ac:dyDescent="0.2">
      <c r="A362" t="s">
        <v>1973</v>
      </c>
      <c r="B362">
        <f>Table2PRN!B7285</f>
        <v>0</v>
      </c>
      <c r="C362">
        <f>Table2PRN!C7285</f>
        <v>0</v>
      </c>
      <c r="D362">
        <f>Table2PRN!D7285</f>
        <v>0</v>
      </c>
      <c r="E362">
        <f>Table2PRN!E7285</f>
        <v>0</v>
      </c>
      <c r="F362">
        <f>Table2PRN!F7285</f>
        <v>0</v>
      </c>
      <c r="G362">
        <f>Table2PRN!G7285</f>
        <v>0</v>
      </c>
    </row>
    <row r="363" spans="1:7" x14ac:dyDescent="0.2">
      <c r="A363" t="s">
        <v>1978</v>
      </c>
      <c r="B363">
        <f>Table2PRN!B7286</f>
        <v>0</v>
      </c>
      <c r="C363">
        <f>Table2PRN!C7286</f>
        <v>0</v>
      </c>
      <c r="D363">
        <f>Table2PRN!D7286</f>
        <v>0</v>
      </c>
      <c r="E363">
        <f>Table2PRN!E7286</f>
        <v>0</v>
      </c>
      <c r="F363">
        <f>Table2PRN!F7286</f>
        <v>0</v>
      </c>
      <c r="G363">
        <f>Table2PRN!G7286</f>
        <v>0</v>
      </c>
    </row>
    <row r="364" spans="1:7" x14ac:dyDescent="0.2">
      <c r="A364" t="s">
        <v>1983</v>
      </c>
      <c r="B364">
        <f>Table2PRN!B7287</f>
        <v>0</v>
      </c>
      <c r="C364">
        <f>Table2PRN!C7287</f>
        <v>0</v>
      </c>
      <c r="D364">
        <f>Table2PRN!D7287</f>
        <v>0</v>
      </c>
      <c r="E364">
        <f>Table2PRN!E7287</f>
        <v>0</v>
      </c>
      <c r="F364">
        <f>Table2PRN!F7287</f>
        <v>0</v>
      </c>
      <c r="G364">
        <f>Table2PRN!G7287</f>
        <v>0</v>
      </c>
    </row>
    <row r="365" spans="1:7" x14ac:dyDescent="0.2">
      <c r="A365" t="s">
        <v>1984</v>
      </c>
      <c r="B365">
        <f>Table2PRN!B7288</f>
        <v>0</v>
      </c>
      <c r="C365">
        <f>Table2PRN!C7288</f>
        <v>0</v>
      </c>
      <c r="D365">
        <f>Table2PRN!D7288</f>
        <v>0</v>
      </c>
      <c r="E365">
        <f>Table2PRN!E7288</f>
        <v>0</v>
      </c>
      <c r="F365">
        <f>Table2PRN!F7288</f>
        <v>0</v>
      </c>
      <c r="G365">
        <f>Table2PRN!G7288</f>
        <v>0</v>
      </c>
    </row>
    <row r="366" spans="1:7" x14ac:dyDescent="0.2">
      <c r="A366" t="s">
        <v>1990</v>
      </c>
      <c r="B366">
        <f>Table2PRN!B7289</f>
        <v>0</v>
      </c>
      <c r="C366">
        <f>Table2PRN!C7289</f>
        <v>0</v>
      </c>
      <c r="D366">
        <f>Table2PRN!D7289</f>
        <v>0</v>
      </c>
      <c r="E366">
        <f>Table2PRN!E7289</f>
        <v>0</v>
      </c>
      <c r="F366">
        <f>Table2PRN!F7289</f>
        <v>0</v>
      </c>
      <c r="G366">
        <f>Table2PRN!G7289</f>
        <v>0</v>
      </c>
    </row>
    <row r="367" spans="1:7" x14ac:dyDescent="0.2">
      <c r="A367" t="s">
        <v>1996</v>
      </c>
      <c r="B367">
        <f>Table2PRN!B7290</f>
        <v>0</v>
      </c>
      <c r="C367">
        <f>Table2PRN!C7290</f>
        <v>0</v>
      </c>
      <c r="D367">
        <f>Table2PRN!D7290</f>
        <v>0</v>
      </c>
      <c r="E367">
        <f>Table2PRN!E7290</f>
        <v>0</v>
      </c>
      <c r="F367">
        <f>Table2PRN!F7290</f>
        <v>0</v>
      </c>
      <c r="G367">
        <f>Table2PRN!G7290</f>
        <v>0</v>
      </c>
    </row>
    <row r="368" spans="1:7" x14ac:dyDescent="0.2">
      <c r="A368" t="s">
        <v>1998</v>
      </c>
      <c r="B368">
        <f>Table2PRN!B7291</f>
        <v>0</v>
      </c>
      <c r="C368">
        <f>Table2PRN!C7291</f>
        <v>0</v>
      </c>
      <c r="D368">
        <f>Table2PRN!D7291</f>
        <v>0</v>
      </c>
      <c r="E368">
        <f>Table2PRN!E7291</f>
        <v>0</v>
      </c>
      <c r="F368">
        <f>Table2PRN!F7291</f>
        <v>0</v>
      </c>
      <c r="G368">
        <f>Table2PRN!G7291</f>
        <v>0</v>
      </c>
    </row>
    <row r="369" spans="1:7" x14ac:dyDescent="0.2">
      <c r="A369" t="s">
        <v>1999</v>
      </c>
      <c r="B369">
        <f>Table2PRN!B7292</f>
        <v>0</v>
      </c>
      <c r="C369">
        <f>Table2PRN!C7292</f>
        <v>0</v>
      </c>
      <c r="D369">
        <f>Table2PRN!D7292</f>
        <v>0</v>
      </c>
      <c r="E369">
        <f>Table2PRN!E7292</f>
        <v>0</v>
      </c>
      <c r="F369">
        <f>Table2PRN!F7292</f>
        <v>0</v>
      </c>
      <c r="G369">
        <f>Table2PRN!G7292</f>
        <v>0</v>
      </c>
    </row>
    <row r="370" spans="1:7" x14ac:dyDescent="0.2">
      <c r="A370" t="s">
        <v>2004</v>
      </c>
      <c r="B370">
        <f>Table2PRN!B7293</f>
        <v>0</v>
      </c>
      <c r="C370">
        <f>Table2PRN!C7293</f>
        <v>0</v>
      </c>
      <c r="D370">
        <f>Table2PRN!D7293</f>
        <v>0</v>
      </c>
      <c r="E370">
        <f>Table2PRN!E7293</f>
        <v>0</v>
      </c>
      <c r="F370">
        <f>Table2PRN!F7293</f>
        <v>0</v>
      </c>
      <c r="G370">
        <f>Table2PRN!G7293</f>
        <v>0</v>
      </c>
    </row>
    <row r="371" spans="1:7" x14ac:dyDescent="0.2">
      <c r="A371" t="s">
        <v>2009</v>
      </c>
      <c r="B371">
        <f>Table2PRN!B7294</f>
        <v>0</v>
      </c>
      <c r="C371">
        <f>Table2PRN!C7294</f>
        <v>0</v>
      </c>
      <c r="D371">
        <f>Table2PRN!D7294</f>
        <v>0</v>
      </c>
      <c r="E371">
        <f>Table2PRN!E7294</f>
        <v>0</v>
      </c>
      <c r="F371">
        <f>Table2PRN!F7294</f>
        <v>0</v>
      </c>
      <c r="G371">
        <f>Table2PRN!G7294</f>
        <v>0</v>
      </c>
    </row>
    <row r="372" spans="1:7" x14ac:dyDescent="0.2">
      <c r="A372" t="s">
        <v>2014</v>
      </c>
      <c r="B372">
        <f>Table2PRN!B7295</f>
        <v>0</v>
      </c>
      <c r="C372">
        <f>Table2PRN!C7295</f>
        <v>0</v>
      </c>
      <c r="D372">
        <f>Table2PRN!D7295</f>
        <v>0</v>
      </c>
      <c r="E372">
        <f>Table2PRN!E7295</f>
        <v>0</v>
      </c>
      <c r="F372">
        <f>Table2PRN!F7295</f>
        <v>0</v>
      </c>
      <c r="G372">
        <f>Table2PRN!G7295</f>
        <v>0</v>
      </c>
    </row>
    <row r="373" spans="1:7" x14ac:dyDescent="0.2">
      <c r="A373" t="s">
        <v>2019</v>
      </c>
      <c r="B373">
        <f>Table2PRN!B7296</f>
        <v>0</v>
      </c>
      <c r="C373">
        <f>Table2PRN!C7296</f>
        <v>0</v>
      </c>
      <c r="D373">
        <f>Table2PRN!D7296</f>
        <v>0</v>
      </c>
      <c r="E373">
        <f>Table2PRN!E7296</f>
        <v>0</v>
      </c>
      <c r="F373">
        <f>Table2PRN!F7296</f>
        <v>0</v>
      </c>
      <c r="G373">
        <f>Table2PRN!G7296</f>
        <v>0</v>
      </c>
    </row>
    <row r="374" spans="1:7" x14ac:dyDescent="0.2">
      <c r="A374" t="s">
        <v>2023</v>
      </c>
      <c r="B374">
        <f>Table2PRN!B7297</f>
        <v>0</v>
      </c>
      <c r="C374">
        <f>Table2PRN!C7297</f>
        <v>0</v>
      </c>
      <c r="D374">
        <f>Table2PRN!D7297</f>
        <v>0</v>
      </c>
      <c r="E374">
        <f>Table2PRN!E7297</f>
        <v>0</v>
      </c>
      <c r="F374">
        <f>Table2PRN!F7297</f>
        <v>0</v>
      </c>
      <c r="G374">
        <f>Table2PRN!G7297</f>
        <v>0</v>
      </c>
    </row>
    <row r="375" spans="1:7" x14ac:dyDescent="0.2">
      <c r="A375" t="s">
        <v>2026</v>
      </c>
      <c r="B375">
        <f>Table2PRN!B7298</f>
        <v>0</v>
      </c>
      <c r="C375">
        <f>Table2PRN!C7298</f>
        <v>0</v>
      </c>
      <c r="D375">
        <f>Table2PRN!D7298</f>
        <v>0</v>
      </c>
      <c r="E375">
        <f>Table2PRN!E7298</f>
        <v>0</v>
      </c>
      <c r="F375">
        <f>Table2PRN!F7298</f>
        <v>0</v>
      </c>
      <c r="G375">
        <f>Table2PRN!G7298</f>
        <v>0</v>
      </c>
    </row>
    <row r="376" spans="1:7" x14ac:dyDescent="0.2">
      <c r="A376" t="s">
        <v>2030</v>
      </c>
      <c r="B376">
        <f>Table2PRN!B7299</f>
        <v>0</v>
      </c>
      <c r="C376">
        <f>Table2PRN!C7299</f>
        <v>0</v>
      </c>
      <c r="D376">
        <f>Table2PRN!D7299</f>
        <v>0</v>
      </c>
      <c r="E376">
        <f>Table2PRN!E7299</f>
        <v>0</v>
      </c>
      <c r="F376">
        <f>Table2PRN!F7299</f>
        <v>0</v>
      </c>
      <c r="G376">
        <f>Table2PRN!G7299</f>
        <v>0</v>
      </c>
    </row>
    <row r="377" spans="1:7" x14ac:dyDescent="0.2">
      <c r="A377" t="s">
        <v>2035</v>
      </c>
      <c r="B377">
        <f>Table2PRN!B7300</f>
        <v>0</v>
      </c>
      <c r="C377">
        <f>Table2PRN!C7300</f>
        <v>0</v>
      </c>
      <c r="D377">
        <f>Table2PRN!D7300</f>
        <v>0</v>
      </c>
      <c r="E377">
        <f>Table2PRN!E7300</f>
        <v>0</v>
      </c>
      <c r="F377">
        <f>Table2PRN!F7300</f>
        <v>0</v>
      </c>
      <c r="G377">
        <f>Table2PRN!G7300</f>
        <v>0</v>
      </c>
    </row>
    <row r="378" spans="1:7" x14ac:dyDescent="0.2">
      <c r="A378" t="s">
        <v>2040</v>
      </c>
      <c r="B378">
        <f>Table2PRN!B7301</f>
        <v>0</v>
      </c>
      <c r="C378">
        <f>Table2PRN!C7301</f>
        <v>0</v>
      </c>
      <c r="D378">
        <f>Table2PRN!D7301</f>
        <v>0</v>
      </c>
      <c r="E378">
        <f>Table2PRN!E7301</f>
        <v>0</v>
      </c>
      <c r="F378">
        <f>Table2PRN!F7301</f>
        <v>0</v>
      </c>
      <c r="G378">
        <f>Table2PRN!G7301</f>
        <v>0</v>
      </c>
    </row>
    <row r="379" spans="1:7" x14ac:dyDescent="0.2">
      <c r="A379" t="s">
        <v>2045</v>
      </c>
      <c r="B379">
        <f>Table2PRN!B7302</f>
        <v>0</v>
      </c>
      <c r="C379">
        <f>Table2PRN!C7302</f>
        <v>0</v>
      </c>
      <c r="D379">
        <f>Table2PRN!D7302</f>
        <v>0</v>
      </c>
      <c r="E379">
        <f>Table2PRN!E7302</f>
        <v>0</v>
      </c>
      <c r="F379">
        <f>Table2PRN!F7302</f>
        <v>0</v>
      </c>
      <c r="G379">
        <f>Table2PRN!G7302</f>
        <v>0</v>
      </c>
    </row>
    <row r="380" spans="1:7" x14ac:dyDescent="0.2">
      <c r="A380" t="s">
        <v>2049</v>
      </c>
      <c r="B380">
        <f>Table2PRN!B7303</f>
        <v>0</v>
      </c>
      <c r="C380">
        <f>Table2PRN!C7303</f>
        <v>0</v>
      </c>
      <c r="D380">
        <f>Table2PRN!D7303</f>
        <v>0</v>
      </c>
      <c r="E380">
        <f>Table2PRN!E7303</f>
        <v>0</v>
      </c>
      <c r="F380">
        <f>Table2PRN!F7303</f>
        <v>0</v>
      </c>
      <c r="G380">
        <f>Table2PRN!G7303</f>
        <v>0</v>
      </c>
    </row>
    <row r="381" spans="1:7" x14ac:dyDescent="0.2">
      <c r="A381" t="s">
        <v>2051</v>
      </c>
      <c r="B381">
        <f>Table2PRN!B7304</f>
        <v>0</v>
      </c>
      <c r="C381">
        <f>Table2PRN!C7304</f>
        <v>0</v>
      </c>
      <c r="D381">
        <f>Table2PRN!D7304</f>
        <v>0</v>
      </c>
      <c r="E381">
        <f>Table2PRN!E7304</f>
        <v>0</v>
      </c>
      <c r="F381">
        <f>Table2PRN!F7304</f>
        <v>0</v>
      </c>
      <c r="G381">
        <f>Table2PRN!G7304</f>
        <v>0</v>
      </c>
    </row>
    <row r="382" spans="1:7" x14ac:dyDescent="0.2">
      <c r="A382" t="s">
        <v>2057</v>
      </c>
      <c r="B382">
        <f>Table2PRN!B7305</f>
        <v>0</v>
      </c>
      <c r="C382">
        <f>Table2PRN!C7305</f>
        <v>0</v>
      </c>
      <c r="D382">
        <f>Table2PRN!D7305</f>
        <v>0</v>
      </c>
      <c r="E382">
        <f>Table2PRN!E7305</f>
        <v>0</v>
      </c>
      <c r="F382">
        <f>Table2PRN!F7305</f>
        <v>0</v>
      </c>
      <c r="G382">
        <f>Table2PRN!G7305</f>
        <v>0</v>
      </c>
    </row>
    <row r="383" spans="1:7" x14ac:dyDescent="0.2">
      <c r="A383" t="s">
        <v>4344</v>
      </c>
      <c r="B383">
        <f>Table2PRN!B7306</f>
        <v>0</v>
      </c>
      <c r="C383">
        <f>Table2PRN!C7306</f>
        <v>0</v>
      </c>
      <c r="D383">
        <f>Table2PRN!D7306</f>
        <v>0</v>
      </c>
      <c r="E383">
        <f>Table2PRN!E7306</f>
        <v>0</v>
      </c>
      <c r="F383">
        <f>Table2PRN!F7306</f>
        <v>0</v>
      </c>
      <c r="G383">
        <f>Table2PRN!G7306</f>
        <v>0</v>
      </c>
    </row>
    <row r="384" spans="1:7" x14ac:dyDescent="0.2">
      <c r="A384" t="s">
        <v>4345</v>
      </c>
      <c r="B384">
        <f>Table2PRN!B7307</f>
        <v>0</v>
      </c>
      <c r="C384">
        <f>Table2PRN!C7307</f>
        <v>0</v>
      </c>
      <c r="D384">
        <f>Table2PRN!D7307</f>
        <v>0</v>
      </c>
      <c r="E384">
        <f>Table2PRN!E7307</f>
        <v>0</v>
      </c>
      <c r="F384">
        <f>Table2PRN!F7307</f>
        <v>0</v>
      </c>
      <c r="G384">
        <f>Table2PRN!G7307</f>
        <v>0</v>
      </c>
    </row>
    <row r="385" spans="1:7" x14ac:dyDescent="0.2">
      <c r="A385" t="s">
        <v>2074</v>
      </c>
      <c r="B385">
        <f>Table2PRN!B7308</f>
        <v>0</v>
      </c>
      <c r="C385">
        <f>Table2PRN!C7308</f>
        <v>0</v>
      </c>
      <c r="D385">
        <f>Table2PRN!D7308</f>
        <v>0</v>
      </c>
      <c r="E385">
        <f>Table2PRN!E7308</f>
        <v>0</v>
      </c>
      <c r="F385">
        <f>Table2PRN!F7308</f>
        <v>0</v>
      </c>
      <c r="G385">
        <f>Table2PRN!G7308</f>
        <v>0</v>
      </c>
    </row>
    <row r="386" spans="1:7" x14ac:dyDescent="0.2">
      <c r="A386" t="s">
        <v>2079</v>
      </c>
      <c r="B386">
        <f>Table2PRN!B7309</f>
        <v>0</v>
      </c>
      <c r="C386">
        <f>Table2PRN!C7309</f>
        <v>0</v>
      </c>
      <c r="D386">
        <f>Table2PRN!D7309</f>
        <v>0</v>
      </c>
      <c r="E386">
        <f>Table2PRN!E7309</f>
        <v>0</v>
      </c>
      <c r="F386">
        <f>Table2PRN!F7309</f>
        <v>0</v>
      </c>
      <c r="G386">
        <f>Table2PRN!G7309</f>
        <v>0</v>
      </c>
    </row>
    <row r="387" spans="1:7" x14ac:dyDescent="0.2">
      <c r="A387" t="s">
        <v>2085</v>
      </c>
      <c r="B387">
        <f>Table2PRN!B7310</f>
        <v>0</v>
      </c>
      <c r="C387">
        <f>Table2PRN!C7310</f>
        <v>0</v>
      </c>
      <c r="D387">
        <f>Table2PRN!D7310</f>
        <v>0</v>
      </c>
      <c r="E387">
        <f>Table2PRN!E7310</f>
        <v>0</v>
      </c>
      <c r="F387">
        <f>Table2PRN!F7310</f>
        <v>0</v>
      </c>
      <c r="G387">
        <f>Table2PRN!G7310</f>
        <v>0</v>
      </c>
    </row>
    <row r="388" spans="1:7" x14ac:dyDescent="0.2">
      <c r="A388" t="s">
        <v>2091</v>
      </c>
      <c r="B388">
        <f>Table2PRN!B7311</f>
        <v>0</v>
      </c>
      <c r="C388">
        <f>Table2PRN!C7311</f>
        <v>0</v>
      </c>
      <c r="D388">
        <f>Table2PRN!D7311</f>
        <v>0</v>
      </c>
      <c r="E388">
        <f>Table2PRN!E7311</f>
        <v>0</v>
      </c>
      <c r="F388">
        <f>Table2PRN!F7311</f>
        <v>0</v>
      </c>
      <c r="G388">
        <f>Table2PRN!G7311</f>
        <v>0</v>
      </c>
    </row>
    <row r="389" spans="1:7" x14ac:dyDescent="0.2">
      <c r="A389" t="s">
        <v>2097</v>
      </c>
      <c r="B389">
        <f>Table2PRN!B7312</f>
        <v>0</v>
      </c>
      <c r="C389">
        <f>Table2PRN!C7312</f>
        <v>0</v>
      </c>
      <c r="D389">
        <f>Table2PRN!D7312</f>
        <v>0</v>
      </c>
      <c r="E389">
        <f>Table2PRN!E7312</f>
        <v>0</v>
      </c>
      <c r="F389">
        <f>Table2PRN!F7312</f>
        <v>0</v>
      </c>
      <c r="G389">
        <f>Table2PRN!G7312</f>
        <v>0</v>
      </c>
    </row>
    <row r="390" spans="1:7" x14ac:dyDescent="0.2">
      <c r="A390" t="s">
        <v>2101</v>
      </c>
      <c r="B390">
        <f>Table2PRN!B7313</f>
        <v>0</v>
      </c>
      <c r="C390">
        <f>Table2PRN!C7313</f>
        <v>0</v>
      </c>
      <c r="D390">
        <f>Table2PRN!D7313</f>
        <v>0</v>
      </c>
      <c r="E390">
        <f>Table2PRN!E7313</f>
        <v>0</v>
      </c>
      <c r="F390">
        <f>Table2PRN!F7313</f>
        <v>0</v>
      </c>
      <c r="G390">
        <f>Table2PRN!G7313</f>
        <v>0</v>
      </c>
    </row>
    <row r="391" spans="1:7" x14ac:dyDescent="0.2">
      <c r="A391" t="s">
        <v>2104</v>
      </c>
      <c r="B391">
        <f>Table2PRN!B7314</f>
        <v>0</v>
      </c>
      <c r="C391">
        <f>Table2PRN!C7314</f>
        <v>0</v>
      </c>
      <c r="D391">
        <f>Table2PRN!D7314</f>
        <v>0</v>
      </c>
      <c r="E391">
        <f>Table2PRN!E7314</f>
        <v>0</v>
      </c>
      <c r="F391">
        <f>Table2PRN!F7314</f>
        <v>0</v>
      </c>
      <c r="G391">
        <f>Table2PRN!G7314</f>
        <v>0</v>
      </c>
    </row>
    <row r="392" spans="1:7" x14ac:dyDescent="0.2">
      <c r="A392" t="s">
        <v>2107</v>
      </c>
      <c r="B392">
        <f>Table2PRN!B7315</f>
        <v>0</v>
      </c>
      <c r="C392">
        <f>Table2PRN!C7315</f>
        <v>0</v>
      </c>
      <c r="D392">
        <f>Table2PRN!D7315</f>
        <v>0</v>
      </c>
      <c r="E392">
        <f>Table2PRN!E7315</f>
        <v>0</v>
      </c>
      <c r="F392">
        <f>Table2PRN!F7315</f>
        <v>0</v>
      </c>
      <c r="G392">
        <f>Table2PRN!G7315</f>
        <v>0</v>
      </c>
    </row>
    <row r="393" spans="1:7" x14ac:dyDescent="0.2">
      <c r="A393" t="s">
        <v>2110</v>
      </c>
      <c r="B393">
        <f>Table2PRN!B7316</f>
        <v>0</v>
      </c>
      <c r="C393">
        <f>Table2PRN!C7316</f>
        <v>0</v>
      </c>
      <c r="D393">
        <f>Table2PRN!D7316</f>
        <v>0</v>
      </c>
      <c r="E393">
        <f>Table2PRN!E7316</f>
        <v>0</v>
      </c>
      <c r="F393">
        <f>Table2PRN!F7316</f>
        <v>0</v>
      </c>
      <c r="G393">
        <f>Table2PRN!G7316</f>
        <v>0</v>
      </c>
    </row>
    <row r="394" spans="1:7" x14ac:dyDescent="0.2">
      <c r="A394" t="s">
        <v>2113</v>
      </c>
      <c r="B394">
        <f>Table2PRN!B7317</f>
        <v>0</v>
      </c>
      <c r="C394">
        <f>Table2PRN!C7317</f>
        <v>0</v>
      </c>
      <c r="D394">
        <f>Table2PRN!D7317</f>
        <v>0</v>
      </c>
      <c r="E394">
        <f>Table2PRN!E7317</f>
        <v>0</v>
      </c>
      <c r="F394">
        <f>Table2PRN!F7317</f>
        <v>0</v>
      </c>
      <c r="G394">
        <f>Table2PRN!G7317</f>
        <v>0</v>
      </c>
    </row>
    <row r="395" spans="1:7" x14ac:dyDescent="0.2">
      <c r="A395" t="s">
        <v>4346</v>
      </c>
      <c r="B395">
        <f>Table2PRN!B7318</f>
        <v>0</v>
      </c>
      <c r="C395">
        <f>Table2PRN!C7318</f>
        <v>0</v>
      </c>
      <c r="D395">
        <f>Table2PRN!D7318</f>
        <v>0</v>
      </c>
      <c r="E395">
        <f>Table2PRN!E7318</f>
        <v>0</v>
      </c>
      <c r="F395">
        <f>Table2PRN!F7318</f>
        <v>0</v>
      </c>
      <c r="G395">
        <f>Table2PRN!G7318</f>
        <v>0</v>
      </c>
    </row>
    <row r="396" spans="1:7" x14ac:dyDescent="0.2">
      <c r="A396" t="s">
        <v>4347</v>
      </c>
      <c r="B396">
        <f>Table2PRN!B7319</f>
        <v>0</v>
      </c>
      <c r="C396">
        <f>Table2PRN!C7319</f>
        <v>0</v>
      </c>
      <c r="D396">
        <f>Table2PRN!D7319</f>
        <v>0</v>
      </c>
      <c r="E396">
        <f>Table2PRN!E7319</f>
        <v>0</v>
      </c>
      <c r="F396">
        <f>Table2PRN!F7319</f>
        <v>0</v>
      </c>
      <c r="G396">
        <f>Table2PRN!G7319</f>
        <v>0</v>
      </c>
    </row>
    <row r="397" spans="1:7" x14ac:dyDescent="0.2">
      <c r="A397" t="s">
        <v>4348</v>
      </c>
      <c r="B397">
        <f>Table2PRN!B7320</f>
        <v>0</v>
      </c>
      <c r="C397">
        <f>Table2PRN!C7320</f>
        <v>0</v>
      </c>
      <c r="D397">
        <f>Table2PRN!D7320</f>
        <v>0</v>
      </c>
      <c r="E397">
        <f>Table2PRN!E7320</f>
        <v>0</v>
      </c>
      <c r="F397">
        <f>Table2PRN!F7320</f>
        <v>0</v>
      </c>
      <c r="G397">
        <f>Table2PRN!G7320</f>
        <v>0</v>
      </c>
    </row>
    <row r="398" spans="1:7" x14ac:dyDescent="0.2">
      <c r="A398" t="s">
        <v>4349</v>
      </c>
      <c r="B398">
        <f>Table2PRN!B7321</f>
        <v>0</v>
      </c>
      <c r="C398">
        <f>Table2PRN!C7321</f>
        <v>0</v>
      </c>
      <c r="D398">
        <f>Table2PRN!D7321</f>
        <v>0</v>
      </c>
      <c r="E398">
        <f>Table2PRN!E7321</f>
        <v>0</v>
      </c>
      <c r="F398">
        <f>Table2PRN!F7321</f>
        <v>0</v>
      </c>
      <c r="G398">
        <f>Table2PRN!G7321</f>
        <v>0</v>
      </c>
    </row>
    <row r="399" spans="1:7" x14ac:dyDescent="0.2">
      <c r="A399" t="s">
        <v>4350</v>
      </c>
      <c r="B399">
        <f>Table2PRN!B7322</f>
        <v>0</v>
      </c>
      <c r="C399">
        <f>Table2PRN!C7322</f>
        <v>1</v>
      </c>
      <c r="D399">
        <f>Table2PRN!D7322</f>
        <v>3</v>
      </c>
      <c r="E399">
        <f>Table2PRN!E7322</f>
        <v>0</v>
      </c>
      <c r="F399">
        <f>Table2PRN!F7322</f>
        <v>0</v>
      </c>
      <c r="G399">
        <f>Table2PRN!G7322</f>
        <v>4</v>
      </c>
    </row>
    <row r="400" spans="1:7" x14ac:dyDescent="0.2">
      <c r="A400" t="s">
        <v>4351</v>
      </c>
      <c r="B400">
        <f>Table2PRN!B7323</f>
        <v>0</v>
      </c>
      <c r="C400">
        <f>Table2PRN!C7323</f>
        <v>0</v>
      </c>
      <c r="D400">
        <f>Table2PRN!D7323</f>
        <v>0</v>
      </c>
      <c r="E400">
        <f>Table2PRN!E7323</f>
        <v>0</v>
      </c>
      <c r="F400">
        <f>Table2PRN!F7323</f>
        <v>0</v>
      </c>
      <c r="G400">
        <f>Table2PRN!G7323</f>
        <v>0</v>
      </c>
    </row>
    <row r="401" spans="1:7" x14ac:dyDescent="0.2">
      <c r="A401" t="s">
        <v>4352</v>
      </c>
      <c r="B401">
        <f>Table2PRN!B7324</f>
        <v>0</v>
      </c>
      <c r="C401">
        <f>Table2PRN!C7324</f>
        <v>0</v>
      </c>
      <c r="D401">
        <f>Table2PRN!D7324</f>
        <v>0</v>
      </c>
      <c r="E401">
        <f>Table2PRN!E7324</f>
        <v>0</v>
      </c>
      <c r="F401">
        <f>Table2PRN!F7324</f>
        <v>0</v>
      </c>
      <c r="G401">
        <f>Table2PRN!G7324</f>
        <v>0</v>
      </c>
    </row>
    <row r="402" spans="1:7" x14ac:dyDescent="0.2">
      <c r="A402" t="s">
        <v>4353</v>
      </c>
      <c r="B402">
        <f>Table2PRN!B7325</f>
        <v>0</v>
      </c>
      <c r="C402">
        <f>Table2PRN!C7325</f>
        <v>47</v>
      </c>
      <c r="D402">
        <f>Table2PRN!D7325</f>
        <v>19</v>
      </c>
      <c r="E402">
        <f>Table2PRN!E7325</f>
        <v>3</v>
      </c>
      <c r="F402">
        <f>Table2PRN!F7325</f>
        <v>0</v>
      </c>
      <c r="G402">
        <f>Table2PRN!G7325</f>
        <v>70</v>
      </c>
    </row>
    <row r="403" spans="1:7" x14ac:dyDescent="0.2">
      <c r="A403" t="s">
        <v>4354</v>
      </c>
      <c r="B403">
        <f>Table2PRN!B7326</f>
        <v>3</v>
      </c>
      <c r="C403">
        <f>Table2PRN!C7326</f>
        <v>55</v>
      </c>
      <c r="D403">
        <f>Table2PRN!D7326</f>
        <v>22</v>
      </c>
      <c r="E403">
        <f>Table2PRN!E7326</f>
        <v>0</v>
      </c>
      <c r="F403">
        <f>Table2PRN!F7326</f>
        <v>0</v>
      </c>
      <c r="G403">
        <f>Table2PRN!G7326</f>
        <v>81</v>
      </c>
    </row>
    <row r="404" spans="1:7" x14ac:dyDescent="0.2">
      <c r="A404" t="s">
        <v>4355</v>
      </c>
      <c r="B404">
        <f>Table2PRN!B7327</f>
        <v>0</v>
      </c>
      <c r="C404">
        <f>Table2PRN!C7327</f>
        <v>0</v>
      </c>
      <c r="D404">
        <f>Table2PRN!D7327</f>
        <v>0</v>
      </c>
      <c r="E404">
        <f>Table2PRN!E7327</f>
        <v>0</v>
      </c>
      <c r="F404">
        <f>Table2PRN!F7327</f>
        <v>0</v>
      </c>
      <c r="G404">
        <f>Table2PRN!G7327</f>
        <v>0</v>
      </c>
    </row>
    <row r="405" spans="1:7" x14ac:dyDescent="0.2">
      <c r="A405" t="s">
        <v>4356</v>
      </c>
      <c r="B405">
        <f>Table2PRN!B7328</f>
        <v>0</v>
      </c>
      <c r="C405">
        <f>Table2PRN!C7328</f>
        <v>0</v>
      </c>
      <c r="D405">
        <f>Table2PRN!D7328</f>
        <v>0</v>
      </c>
      <c r="E405">
        <f>Table2PRN!E7328</f>
        <v>0</v>
      </c>
      <c r="F405">
        <f>Table2PRN!F7328</f>
        <v>0</v>
      </c>
      <c r="G405">
        <f>Table2PRN!G7328</f>
        <v>0</v>
      </c>
    </row>
    <row r="406" spans="1:7" x14ac:dyDescent="0.2">
      <c r="A406" t="s">
        <v>4357</v>
      </c>
      <c r="B406">
        <f>Table2PRN!B7329</f>
        <v>0</v>
      </c>
      <c r="C406">
        <f>Table2PRN!C7329</f>
        <v>0</v>
      </c>
      <c r="D406">
        <f>Table2PRN!D7329</f>
        <v>1</v>
      </c>
      <c r="E406">
        <f>Table2PRN!E7329</f>
        <v>0</v>
      </c>
      <c r="F406">
        <f>Table2PRN!F7329</f>
        <v>0</v>
      </c>
      <c r="G406">
        <f>Table2PRN!G7329</f>
        <v>1</v>
      </c>
    </row>
    <row r="407" spans="1:7" x14ac:dyDescent="0.2">
      <c r="A407" t="s">
        <v>4358</v>
      </c>
      <c r="B407">
        <f>Table2PRN!B7330</f>
        <v>0</v>
      </c>
      <c r="C407">
        <f>Table2PRN!C7330</f>
        <v>0</v>
      </c>
      <c r="D407">
        <f>Table2PRN!D7330</f>
        <v>0</v>
      </c>
      <c r="E407">
        <f>Table2PRN!E7330</f>
        <v>0</v>
      </c>
      <c r="F407">
        <f>Table2PRN!F7330</f>
        <v>0</v>
      </c>
      <c r="G407">
        <f>Table2PRN!G7330</f>
        <v>0</v>
      </c>
    </row>
    <row r="408" spans="1:7" x14ac:dyDescent="0.2">
      <c r="A408" t="s">
        <v>4359</v>
      </c>
      <c r="B408">
        <f>Table2PRN!B7331</f>
        <v>0</v>
      </c>
      <c r="C408">
        <f>Table2PRN!C7331</f>
        <v>0</v>
      </c>
      <c r="D408">
        <f>Table2PRN!D7331</f>
        <v>0</v>
      </c>
      <c r="E408">
        <f>Table2PRN!E7331</f>
        <v>0</v>
      </c>
      <c r="F408">
        <f>Table2PRN!F7331</f>
        <v>0</v>
      </c>
      <c r="G408">
        <f>Table2PRN!G7331</f>
        <v>0</v>
      </c>
    </row>
    <row r="409" spans="1:7" x14ac:dyDescent="0.2">
      <c r="A409" t="s">
        <v>4360</v>
      </c>
      <c r="B409">
        <f>Table2PRN!B7332</f>
        <v>0</v>
      </c>
      <c r="C409">
        <f>Table2PRN!C7332</f>
        <v>0</v>
      </c>
      <c r="D409">
        <f>Table2PRN!D7332</f>
        <v>0</v>
      </c>
      <c r="E409">
        <f>Table2PRN!E7332</f>
        <v>0</v>
      </c>
      <c r="F409">
        <f>Table2PRN!F7332</f>
        <v>0</v>
      </c>
      <c r="G409">
        <f>Table2PRN!G7332</f>
        <v>0</v>
      </c>
    </row>
    <row r="410" spans="1:7" x14ac:dyDescent="0.2">
      <c r="A410" t="s">
        <v>4361</v>
      </c>
      <c r="B410">
        <f>Table2PRN!B7333</f>
        <v>0</v>
      </c>
      <c r="C410">
        <f>Table2PRN!C7333</f>
        <v>0</v>
      </c>
      <c r="D410">
        <f>Table2PRN!D7333</f>
        <v>12</v>
      </c>
      <c r="E410">
        <f>Table2PRN!E7333</f>
        <v>0</v>
      </c>
      <c r="F410">
        <f>Table2PRN!F7333</f>
        <v>0</v>
      </c>
      <c r="G410">
        <f>Table2PRN!G7333</f>
        <v>12</v>
      </c>
    </row>
    <row r="411" spans="1:7" x14ac:dyDescent="0.2">
      <c r="A411" t="s">
        <v>4362</v>
      </c>
      <c r="B411">
        <f>Table2PRN!B7334</f>
        <v>0</v>
      </c>
      <c r="C411">
        <f>Table2PRN!C7334</f>
        <v>0</v>
      </c>
      <c r="D411">
        <f>Table2PRN!D7334</f>
        <v>0</v>
      </c>
      <c r="E411">
        <f>Table2PRN!E7334</f>
        <v>0</v>
      </c>
      <c r="F411">
        <f>Table2PRN!F7334</f>
        <v>0</v>
      </c>
      <c r="G411">
        <f>Table2PRN!G7334</f>
        <v>0</v>
      </c>
    </row>
    <row r="412" spans="1:7" x14ac:dyDescent="0.2">
      <c r="A412" t="s">
        <v>4363</v>
      </c>
      <c r="B412">
        <f>Table2PRN!B7335</f>
        <v>0</v>
      </c>
      <c r="C412">
        <f>Table2PRN!C7335</f>
        <v>0</v>
      </c>
      <c r="D412">
        <f>Table2PRN!D7335</f>
        <v>0</v>
      </c>
      <c r="E412">
        <f>Table2PRN!E7335</f>
        <v>0</v>
      </c>
      <c r="F412">
        <f>Table2PRN!F7335</f>
        <v>0</v>
      </c>
      <c r="G412">
        <f>Table2PRN!G7335</f>
        <v>0</v>
      </c>
    </row>
    <row r="413" spans="1:7" x14ac:dyDescent="0.2">
      <c r="A413" t="s">
        <v>4364</v>
      </c>
      <c r="B413">
        <f>Table2PRN!B7336</f>
        <v>0</v>
      </c>
      <c r="C413">
        <f>Table2PRN!C7336</f>
        <v>0</v>
      </c>
      <c r="D413">
        <f>Table2PRN!D7336</f>
        <v>0</v>
      </c>
      <c r="E413">
        <f>Table2PRN!E7336</f>
        <v>0</v>
      </c>
      <c r="F413">
        <f>Table2PRN!F7336</f>
        <v>0</v>
      </c>
      <c r="G413">
        <f>Table2PRN!G7336</f>
        <v>0</v>
      </c>
    </row>
    <row r="414" spans="1:7" x14ac:dyDescent="0.2">
      <c r="A414" t="s">
        <v>4365</v>
      </c>
      <c r="B414">
        <f>Table2PRN!B7337</f>
        <v>0</v>
      </c>
      <c r="C414">
        <f>Table2PRN!C7337</f>
        <v>0</v>
      </c>
      <c r="D414">
        <f>Table2PRN!D7337</f>
        <v>0</v>
      </c>
      <c r="E414">
        <f>Table2PRN!E7337</f>
        <v>0</v>
      </c>
      <c r="F414">
        <f>Table2PRN!F7337</f>
        <v>0</v>
      </c>
      <c r="G414">
        <f>Table2PRN!G7337</f>
        <v>0</v>
      </c>
    </row>
    <row r="415" spans="1:7" x14ac:dyDescent="0.2">
      <c r="A415" t="s">
        <v>4366</v>
      </c>
      <c r="B415">
        <f>Table2PRN!B7338</f>
        <v>0</v>
      </c>
      <c r="C415">
        <f>Table2PRN!C7338</f>
        <v>0</v>
      </c>
      <c r="D415">
        <f>Table2PRN!D7338</f>
        <v>0</v>
      </c>
      <c r="E415">
        <f>Table2PRN!E7338</f>
        <v>0</v>
      </c>
      <c r="F415">
        <f>Table2PRN!F7338</f>
        <v>0</v>
      </c>
      <c r="G415">
        <f>Table2PRN!G7338</f>
        <v>0</v>
      </c>
    </row>
    <row r="416" spans="1:7" x14ac:dyDescent="0.2">
      <c r="A416" t="s">
        <v>4367</v>
      </c>
      <c r="B416">
        <f>Table2PRN!B7339</f>
        <v>0</v>
      </c>
      <c r="C416">
        <f>Table2PRN!C7339</f>
        <v>0</v>
      </c>
      <c r="D416">
        <f>Table2PRN!D7339</f>
        <v>0</v>
      </c>
      <c r="E416">
        <f>Table2PRN!E7339</f>
        <v>0</v>
      </c>
      <c r="F416">
        <f>Table2PRN!F7339</f>
        <v>0</v>
      </c>
      <c r="G416">
        <f>Table2PRN!G7339</f>
        <v>0</v>
      </c>
    </row>
    <row r="417" spans="1:7" x14ac:dyDescent="0.2">
      <c r="A417" t="s">
        <v>4368</v>
      </c>
      <c r="B417">
        <f>Table2PRN!B7340</f>
        <v>1</v>
      </c>
      <c r="C417">
        <f>Table2PRN!C7340</f>
        <v>42</v>
      </c>
      <c r="D417">
        <f>Table2PRN!D7340</f>
        <v>191</v>
      </c>
      <c r="E417">
        <f>Table2PRN!E7340</f>
        <v>0</v>
      </c>
      <c r="F417">
        <f>Table2PRN!F7340</f>
        <v>0</v>
      </c>
      <c r="G417">
        <f>Table2PRN!G7340</f>
        <v>233</v>
      </c>
    </row>
    <row r="418" spans="1:7" x14ac:dyDescent="0.2">
      <c r="A418" t="s">
        <v>4369</v>
      </c>
      <c r="B418">
        <f>Table2PRN!B7341</f>
        <v>66</v>
      </c>
      <c r="C418">
        <f>Table2PRN!C7341</f>
        <v>0</v>
      </c>
      <c r="D418">
        <f>Table2PRN!D7341</f>
        <v>695</v>
      </c>
      <c r="E418">
        <f>Table2PRN!E7341</f>
        <v>258</v>
      </c>
      <c r="F418">
        <f>Table2PRN!F7341</f>
        <v>0</v>
      </c>
      <c r="G418">
        <f>Table2PRN!G7341</f>
        <v>1020</v>
      </c>
    </row>
    <row r="419" spans="1:7" x14ac:dyDescent="0.2">
      <c r="A419" t="s">
        <v>4370</v>
      </c>
      <c r="B419">
        <f>Table2PRN!B7342</f>
        <v>0</v>
      </c>
      <c r="C419">
        <f>Table2PRN!C7342</f>
        <v>0</v>
      </c>
      <c r="D419">
        <f>Table2PRN!D7342</f>
        <v>0</v>
      </c>
      <c r="E419">
        <f>Table2PRN!E7342</f>
        <v>0</v>
      </c>
      <c r="F419">
        <f>Table2PRN!F7342</f>
        <v>0</v>
      </c>
      <c r="G419">
        <f>Table2PRN!G7342</f>
        <v>0</v>
      </c>
    </row>
    <row r="420" spans="1:7" x14ac:dyDescent="0.2">
      <c r="A420" t="s">
        <v>4371</v>
      </c>
      <c r="B420">
        <f>Table2PRN!B7343</f>
        <v>0</v>
      </c>
      <c r="C420">
        <f>Table2PRN!C7343</f>
        <v>0</v>
      </c>
      <c r="D420">
        <f>Table2PRN!D7343</f>
        <v>0</v>
      </c>
      <c r="E420">
        <f>Table2PRN!E7343</f>
        <v>0</v>
      </c>
      <c r="F420">
        <f>Table2PRN!F7343</f>
        <v>0</v>
      </c>
      <c r="G420">
        <f>Table2PRN!G7343</f>
        <v>0</v>
      </c>
    </row>
    <row r="421" spans="1:7" x14ac:dyDescent="0.2">
      <c r="A421" t="s">
        <v>4372</v>
      </c>
      <c r="B421">
        <f>Table2PRN!B7344</f>
        <v>0</v>
      </c>
      <c r="C421">
        <f>Table2PRN!C7344</f>
        <v>0</v>
      </c>
      <c r="D421">
        <f>Table2PRN!D7344</f>
        <v>0</v>
      </c>
      <c r="E421">
        <f>Table2PRN!E7344</f>
        <v>0</v>
      </c>
      <c r="F421">
        <f>Table2PRN!F7344</f>
        <v>0</v>
      </c>
      <c r="G421">
        <f>Table2PRN!G7344</f>
        <v>0</v>
      </c>
    </row>
    <row r="422" spans="1:7" x14ac:dyDescent="0.2">
      <c r="A422" t="s">
        <v>4373</v>
      </c>
      <c r="B422">
        <f>Table2PRN!B7345</f>
        <v>0</v>
      </c>
      <c r="C422">
        <f>Table2PRN!C7345</f>
        <v>3</v>
      </c>
      <c r="D422">
        <f>Table2PRN!D7345</f>
        <v>0</v>
      </c>
      <c r="E422">
        <f>Table2PRN!E7345</f>
        <v>0</v>
      </c>
      <c r="F422">
        <f>Table2PRN!F7345</f>
        <v>0</v>
      </c>
      <c r="G422">
        <f>Table2PRN!G7345</f>
        <v>3</v>
      </c>
    </row>
    <row r="423" spans="1:7" x14ac:dyDescent="0.2">
      <c r="A423" t="s">
        <v>4374</v>
      </c>
      <c r="B423">
        <f>Table2PRN!B7346</f>
        <v>0</v>
      </c>
      <c r="C423">
        <f>Table2PRN!C7346</f>
        <v>0</v>
      </c>
      <c r="D423">
        <f>Table2PRN!D7346</f>
        <v>0</v>
      </c>
      <c r="E423">
        <f>Table2PRN!E7346</f>
        <v>0</v>
      </c>
      <c r="F423">
        <f>Table2PRN!F7346</f>
        <v>0</v>
      </c>
      <c r="G423">
        <f>Table2PRN!G7346</f>
        <v>0</v>
      </c>
    </row>
    <row r="424" spans="1:7" x14ac:dyDescent="0.2">
      <c r="A424" t="s">
        <v>4375</v>
      </c>
      <c r="B424">
        <f>Table2PRN!B7347</f>
        <v>0</v>
      </c>
      <c r="C424">
        <f>Table2PRN!C7347</f>
        <v>0</v>
      </c>
      <c r="D424">
        <f>Table2PRN!D7347</f>
        <v>0</v>
      </c>
      <c r="E424">
        <f>Table2PRN!E7347</f>
        <v>0</v>
      </c>
      <c r="F424">
        <f>Table2PRN!F7347</f>
        <v>0</v>
      </c>
      <c r="G424">
        <f>Table2PRN!G7347</f>
        <v>0</v>
      </c>
    </row>
    <row r="425" spans="1:7" x14ac:dyDescent="0.2">
      <c r="A425" t="s">
        <v>4376</v>
      </c>
      <c r="B425">
        <f>Table2PRN!B7348</f>
        <v>0</v>
      </c>
      <c r="C425">
        <f>Table2PRN!C7348</f>
        <v>0</v>
      </c>
      <c r="D425">
        <f>Table2PRN!D7348</f>
        <v>0</v>
      </c>
      <c r="E425">
        <f>Table2PRN!E7348</f>
        <v>0</v>
      </c>
      <c r="F425">
        <f>Table2PRN!F7348</f>
        <v>0</v>
      </c>
      <c r="G425">
        <f>Table2PRN!G7348</f>
        <v>0</v>
      </c>
    </row>
    <row r="426" spans="1:7" x14ac:dyDescent="0.2">
      <c r="A426" t="s">
        <v>4377</v>
      </c>
      <c r="B426">
        <f>Table2PRN!B7349</f>
        <v>0</v>
      </c>
      <c r="C426">
        <f>Table2PRN!C7349</f>
        <v>0</v>
      </c>
      <c r="D426">
        <f>Table2PRN!D7349</f>
        <v>0</v>
      </c>
      <c r="E426">
        <f>Table2PRN!E7349</f>
        <v>0</v>
      </c>
      <c r="F426">
        <f>Table2PRN!F7349</f>
        <v>0</v>
      </c>
      <c r="G426">
        <f>Table2PRN!G7349</f>
        <v>0</v>
      </c>
    </row>
    <row r="427" spans="1:7" x14ac:dyDescent="0.2">
      <c r="A427" t="s">
        <v>6016</v>
      </c>
      <c r="B427" t="s">
        <v>6017</v>
      </c>
      <c r="C427" t="s">
        <v>6018</v>
      </c>
      <c r="D427" t="s">
        <v>6019</v>
      </c>
      <c r="E427" t="s">
        <v>6020</v>
      </c>
      <c r="F427" t="s">
        <v>6018</v>
      </c>
      <c r="G427" t="s">
        <v>6020</v>
      </c>
    </row>
    <row r="428" spans="1:7" x14ac:dyDescent="0.2">
      <c r="A428" t="s">
        <v>4248</v>
      </c>
    </row>
    <row r="429" spans="1:7" x14ac:dyDescent="0.2">
      <c r="G429" s="87"/>
    </row>
    <row r="430" spans="1:7" x14ac:dyDescent="0.2">
      <c r="A430" t="s">
        <v>6029</v>
      </c>
      <c r="C430" t="s">
        <v>5782</v>
      </c>
      <c r="D430" t="s">
        <v>6030</v>
      </c>
      <c r="E430" t="s">
        <v>6031</v>
      </c>
      <c r="F430" t="s">
        <v>6032</v>
      </c>
    </row>
    <row r="431" spans="1:7" x14ac:dyDescent="0.2">
      <c r="A431" t="s">
        <v>6033</v>
      </c>
    </row>
    <row r="432" spans="1:7" x14ac:dyDescent="0.2">
      <c r="A432" t="s">
        <v>6035</v>
      </c>
    </row>
    <row r="434" spans="1:12" x14ac:dyDescent="0.2">
      <c r="A434" t="s">
        <v>6014</v>
      </c>
      <c r="B434" t="s">
        <v>6015</v>
      </c>
      <c r="C434" t="s">
        <v>5798</v>
      </c>
    </row>
    <row r="435" spans="1:12" x14ac:dyDescent="0.2">
      <c r="A435" t="s">
        <v>6016</v>
      </c>
      <c r="B435" t="s">
        <v>6017</v>
      </c>
      <c r="C435" t="s">
        <v>6018</v>
      </c>
      <c r="D435" t="s">
        <v>6019</v>
      </c>
      <c r="E435" t="s">
        <v>6020</v>
      </c>
      <c r="F435" t="s">
        <v>6018</v>
      </c>
      <c r="G435" t="s">
        <v>6020</v>
      </c>
    </row>
    <row r="436" spans="1:12" x14ac:dyDescent="0.2">
      <c r="A436" t="s">
        <v>6021</v>
      </c>
      <c r="B436" t="s">
        <v>6022</v>
      </c>
      <c r="C436" t="s">
        <v>6023</v>
      </c>
      <c r="D436" t="s">
        <v>6024</v>
      </c>
      <c r="E436" t="s">
        <v>6025</v>
      </c>
      <c r="F436" t="s">
        <v>4949</v>
      </c>
    </row>
    <row r="437" spans="1:12" x14ac:dyDescent="0.2">
      <c r="A437" t="s">
        <v>126</v>
      </c>
      <c r="B437" t="s">
        <v>4262</v>
      </c>
      <c r="C437" t="s">
        <v>4263</v>
      </c>
      <c r="D437" t="s">
        <v>4264</v>
      </c>
      <c r="E437" t="s">
        <v>2308</v>
      </c>
      <c r="F437" t="s">
        <v>615</v>
      </c>
      <c r="G437" t="s">
        <v>236</v>
      </c>
    </row>
    <row r="438" spans="1:12" x14ac:dyDescent="0.2">
      <c r="A438" t="s">
        <v>6016</v>
      </c>
      <c r="B438" t="s">
        <v>6017</v>
      </c>
      <c r="C438" t="s">
        <v>6018</v>
      </c>
      <c r="D438" t="s">
        <v>6019</v>
      </c>
      <c r="E438" t="s">
        <v>6020</v>
      </c>
      <c r="F438" t="s">
        <v>6018</v>
      </c>
      <c r="G438" t="s">
        <v>6020</v>
      </c>
    </row>
    <row r="439" spans="1:12" x14ac:dyDescent="0.2">
      <c r="A439" t="s">
        <v>4265</v>
      </c>
      <c r="B439">
        <f>Table2PRN!B7362</f>
        <v>0</v>
      </c>
      <c r="C439">
        <f>Table2PRN!C7362</f>
        <v>0</v>
      </c>
      <c r="D439">
        <f>Table2PRN!D7362</f>
        <v>0</v>
      </c>
      <c r="E439">
        <f>Table2PRN!E7362</f>
        <v>0</v>
      </c>
      <c r="F439">
        <f>Table2PRN!F7362</f>
        <v>0</v>
      </c>
      <c r="G439">
        <f>Table2PRN!G7362</f>
        <v>0</v>
      </c>
      <c r="K439">
        <f>SUM(G605:G636)</f>
        <v>106</v>
      </c>
      <c r="L439" t="s">
        <v>6026</v>
      </c>
    </row>
    <row r="440" spans="1:12" x14ac:dyDescent="0.2">
      <c r="A440" t="s">
        <v>4266</v>
      </c>
      <c r="B440">
        <f>Table2PRN!B7363</f>
        <v>0</v>
      </c>
      <c r="C440">
        <f>Table2PRN!C7363</f>
        <v>0</v>
      </c>
      <c r="D440">
        <f>Table2PRN!D7363</f>
        <v>0</v>
      </c>
      <c r="E440">
        <f>Table2PRN!E7363</f>
        <v>0</v>
      </c>
      <c r="F440">
        <f>Table2PRN!F7363</f>
        <v>0</v>
      </c>
      <c r="G440">
        <f>Table2PRN!G7363</f>
        <v>0</v>
      </c>
      <c r="K440">
        <f>SUM(G441:G460,G471:G604)</f>
        <v>7575</v>
      </c>
      <c r="L440" t="s">
        <v>6027</v>
      </c>
    </row>
    <row r="441" spans="1:12" x14ac:dyDescent="0.2">
      <c r="A441" t="s">
        <v>4267</v>
      </c>
      <c r="B441">
        <f>Table2PRN!B7364</f>
        <v>6</v>
      </c>
      <c r="C441">
        <f>Table2PRN!C7364</f>
        <v>1</v>
      </c>
      <c r="D441">
        <f>Table2PRN!D7364</f>
        <v>0</v>
      </c>
      <c r="E441">
        <f>Table2PRN!E7364</f>
        <v>0</v>
      </c>
      <c r="F441">
        <f>Table2PRN!F7364</f>
        <v>0</v>
      </c>
      <c r="G441">
        <f>Table2PRN!G7364</f>
        <v>7</v>
      </c>
      <c r="K441">
        <f>SUM(G474,G477,G481)</f>
        <v>1209</v>
      </c>
      <c r="L441" t="s">
        <v>6028</v>
      </c>
    </row>
    <row r="442" spans="1:12" x14ac:dyDescent="0.2">
      <c r="A442" t="s">
        <v>4268</v>
      </c>
      <c r="B442">
        <f>Table2PRN!B7365</f>
        <v>0</v>
      </c>
      <c r="C442">
        <f>Table2PRN!C7365</f>
        <v>1</v>
      </c>
      <c r="D442">
        <f>Table2PRN!D7365</f>
        <v>0</v>
      </c>
      <c r="E442">
        <f>Table2PRN!E7365</f>
        <v>0</v>
      </c>
      <c r="F442">
        <f>Table2PRN!F7365</f>
        <v>0</v>
      </c>
      <c r="G442">
        <f>Table2PRN!G7365</f>
        <v>1</v>
      </c>
      <c r="K442">
        <f>SUM(G461)</f>
        <v>488</v>
      </c>
      <c r="L442" t="s">
        <v>145</v>
      </c>
    </row>
    <row r="443" spans="1:12" x14ac:dyDescent="0.2">
      <c r="A443" t="s">
        <v>4269</v>
      </c>
      <c r="B443">
        <f>Table2PRN!B7366</f>
        <v>10</v>
      </c>
      <c r="C443">
        <f>Table2PRN!C7366</f>
        <v>0</v>
      </c>
      <c r="D443">
        <f>Table2PRN!D7366</f>
        <v>0</v>
      </c>
      <c r="E443">
        <f>Table2PRN!E7366</f>
        <v>0</v>
      </c>
      <c r="F443">
        <f>Table2PRN!F7366</f>
        <v>0</v>
      </c>
      <c r="G443">
        <f>Table2PRN!G7366</f>
        <v>10</v>
      </c>
      <c r="K443">
        <f>SUM(K439:K442)</f>
        <v>9378</v>
      </c>
      <c r="L443" t="s">
        <v>350</v>
      </c>
    </row>
    <row r="444" spans="1:12" x14ac:dyDescent="0.2">
      <c r="A444" t="s">
        <v>4270</v>
      </c>
      <c r="B444">
        <f>Table2PRN!B7367</f>
        <v>0</v>
      </c>
      <c r="C444">
        <f>Table2PRN!C7367</f>
        <v>0</v>
      </c>
      <c r="D444">
        <f>Table2PRN!D7367</f>
        <v>0</v>
      </c>
      <c r="E444">
        <f>Table2PRN!E7367</f>
        <v>0</v>
      </c>
      <c r="F444">
        <f>Table2PRN!F7367</f>
        <v>0</v>
      </c>
      <c r="G444">
        <f>Table2PRN!G7367</f>
        <v>0</v>
      </c>
    </row>
    <row r="445" spans="1:12" x14ac:dyDescent="0.2">
      <c r="A445" t="s">
        <v>4271</v>
      </c>
      <c r="B445">
        <f>Table2PRN!B7368</f>
        <v>2</v>
      </c>
      <c r="C445">
        <f>Table2PRN!C7368</f>
        <v>1</v>
      </c>
      <c r="D445">
        <f>Table2PRN!D7368</f>
        <v>0</v>
      </c>
      <c r="E445">
        <f>Table2PRN!E7368</f>
        <v>0</v>
      </c>
      <c r="F445">
        <f>Table2PRN!F7368</f>
        <v>0</v>
      </c>
      <c r="G445">
        <f>Table2PRN!G7368</f>
        <v>3</v>
      </c>
    </row>
    <row r="446" spans="1:12" x14ac:dyDescent="0.2">
      <c r="A446" t="s">
        <v>4272</v>
      </c>
      <c r="B446">
        <f>Table2PRN!B7369</f>
        <v>5</v>
      </c>
      <c r="C446">
        <f>Table2PRN!C7369</f>
        <v>0</v>
      </c>
      <c r="D446">
        <f>Table2PRN!D7369</f>
        <v>0</v>
      </c>
      <c r="E446">
        <f>Table2PRN!E7369</f>
        <v>0</v>
      </c>
      <c r="F446">
        <f>Table2PRN!F7369</f>
        <v>0</v>
      </c>
      <c r="G446">
        <f>Table2PRN!G7369</f>
        <v>5</v>
      </c>
    </row>
    <row r="447" spans="1:12" x14ac:dyDescent="0.2">
      <c r="A447" t="s">
        <v>4273</v>
      </c>
      <c r="B447">
        <f>Table2PRN!B7370</f>
        <v>0</v>
      </c>
      <c r="C447">
        <f>Table2PRN!C7370</f>
        <v>0</v>
      </c>
      <c r="D447">
        <f>Table2PRN!D7370</f>
        <v>0</v>
      </c>
      <c r="E447">
        <f>Table2PRN!E7370</f>
        <v>0</v>
      </c>
      <c r="F447">
        <f>Table2PRN!F7370</f>
        <v>0</v>
      </c>
      <c r="G447">
        <f>Table2PRN!G7370</f>
        <v>0</v>
      </c>
    </row>
    <row r="448" spans="1:12" x14ac:dyDescent="0.2">
      <c r="A448" t="s">
        <v>4274</v>
      </c>
      <c r="B448">
        <f>Table2PRN!B7371</f>
        <v>0</v>
      </c>
      <c r="C448">
        <f>Table2PRN!C7371</f>
        <v>0</v>
      </c>
      <c r="D448">
        <f>Table2PRN!D7371</f>
        <v>0</v>
      </c>
      <c r="E448">
        <f>Table2PRN!E7371</f>
        <v>0</v>
      </c>
      <c r="F448">
        <f>Table2PRN!F7371</f>
        <v>0</v>
      </c>
      <c r="G448">
        <f>Table2PRN!G7371</f>
        <v>0</v>
      </c>
    </row>
    <row r="449" spans="1:11" x14ac:dyDescent="0.2">
      <c r="A449" t="s">
        <v>4275</v>
      </c>
      <c r="B449">
        <f>Table2PRN!B7372</f>
        <v>0</v>
      </c>
      <c r="C449">
        <f>Table2PRN!C7372</f>
        <v>0</v>
      </c>
      <c r="D449">
        <f>Table2PRN!D7372</f>
        <v>0</v>
      </c>
      <c r="E449">
        <f>Table2PRN!E7372</f>
        <v>0</v>
      </c>
      <c r="F449">
        <f>Table2PRN!F7372</f>
        <v>0</v>
      </c>
      <c r="G449">
        <f>Table2PRN!G7372</f>
        <v>0</v>
      </c>
    </row>
    <row r="450" spans="1:11" x14ac:dyDescent="0.2">
      <c r="A450" t="s">
        <v>4276</v>
      </c>
      <c r="B450">
        <f>Table2PRN!B7373</f>
        <v>0</v>
      </c>
      <c r="C450">
        <f>Table2PRN!C7373</f>
        <v>0</v>
      </c>
      <c r="D450">
        <f>Table2PRN!D7373</f>
        <v>0</v>
      </c>
      <c r="E450">
        <f>Table2PRN!E7373</f>
        <v>0</v>
      </c>
      <c r="F450">
        <f>Table2PRN!F7373</f>
        <v>0</v>
      </c>
      <c r="G450">
        <f>Table2PRN!G7373</f>
        <v>0</v>
      </c>
    </row>
    <row r="451" spans="1:11" x14ac:dyDescent="0.2">
      <c r="A451" t="s">
        <v>4277</v>
      </c>
      <c r="B451">
        <f>Table2PRN!B7374</f>
        <v>0</v>
      </c>
      <c r="C451">
        <f>Table2PRN!C7374</f>
        <v>0</v>
      </c>
      <c r="D451">
        <f>Table2PRN!D7374</f>
        <v>0</v>
      </c>
      <c r="E451">
        <f>Table2PRN!E7374</f>
        <v>0</v>
      </c>
      <c r="F451">
        <f>Table2PRN!F7374</f>
        <v>0</v>
      </c>
      <c r="G451">
        <f>Table2PRN!G7374</f>
        <v>0</v>
      </c>
    </row>
    <row r="452" spans="1:11" x14ac:dyDescent="0.2">
      <c r="A452" t="s">
        <v>4278</v>
      </c>
      <c r="B452">
        <f>Table2PRN!B7375</f>
        <v>0</v>
      </c>
      <c r="C452">
        <f>Table2PRN!C7375</f>
        <v>0</v>
      </c>
      <c r="D452">
        <f>Table2PRN!D7375</f>
        <v>0</v>
      </c>
      <c r="E452">
        <f>Table2PRN!E7375</f>
        <v>0</v>
      </c>
      <c r="F452">
        <f>Table2PRN!F7375</f>
        <v>0</v>
      </c>
      <c r="G452">
        <f>Table2PRN!G7375</f>
        <v>0</v>
      </c>
    </row>
    <row r="453" spans="1:11" x14ac:dyDescent="0.2">
      <c r="A453" t="s">
        <v>4279</v>
      </c>
      <c r="B453">
        <f>Table2PRN!B7376</f>
        <v>12</v>
      </c>
      <c r="C453">
        <f>Table2PRN!C7376</f>
        <v>2</v>
      </c>
      <c r="D453">
        <f>Table2PRN!D7376</f>
        <v>1</v>
      </c>
      <c r="E453">
        <f>Table2PRN!E7376</f>
        <v>0</v>
      </c>
      <c r="F453">
        <f>Table2PRN!F7376</f>
        <v>0</v>
      </c>
      <c r="G453">
        <f>Table2PRN!G7376</f>
        <v>15</v>
      </c>
    </row>
    <row r="454" spans="1:11" x14ac:dyDescent="0.2">
      <c r="A454" t="s">
        <v>4280</v>
      </c>
      <c r="B454">
        <f>Table2PRN!B7377</f>
        <v>0</v>
      </c>
      <c r="C454">
        <f>Table2PRN!C7377</f>
        <v>0</v>
      </c>
      <c r="D454">
        <f>Table2PRN!D7377</f>
        <v>0</v>
      </c>
      <c r="E454">
        <f>Table2PRN!E7377</f>
        <v>0</v>
      </c>
      <c r="F454">
        <f>Table2PRN!F7377</f>
        <v>0</v>
      </c>
      <c r="G454">
        <f>Table2PRN!G7377</f>
        <v>1</v>
      </c>
      <c r="K454" s="299"/>
    </row>
    <row r="455" spans="1:11" x14ac:dyDescent="0.2">
      <c r="A455" t="s">
        <v>4281</v>
      </c>
      <c r="B455">
        <f>Table2PRN!B7378</f>
        <v>235</v>
      </c>
      <c r="C455">
        <f>Table2PRN!C7378</f>
        <v>169</v>
      </c>
      <c r="D455">
        <f>Table2PRN!D7378</f>
        <v>249</v>
      </c>
      <c r="E455">
        <f>Table2PRN!E7378</f>
        <v>180</v>
      </c>
      <c r="F455">
        <f>Table2PRN!F7378</f>
        <v>0</v>
      </c>
      <c r="G455">
        <f>Table2PRN!G7378</f>
        <v>833</v>
      </c>
    </row>
    <row r="456" spans="1:11" x14ac:dyDescent="0.2">
      <c r="A456" t="s">
        <v>4282</v>
      </c>
      <c r="B456">
        <f>Table2PRN!B7379</f>
        <v>118</v>
      </c>
      <c r="C456">
        <f>Table2PRN!C7379</f>
        <v>69</v>
      </c>
      <c r="D456">
        <f>Table2PRN!D7379</f>
        <v>72</v>
      </c>
      <c r="E456">
        <f>Table2PRN!E7379</f>
        <v>3</v>
      </c>
      <c r="F456">
        <f>Table2PRN!F7379</f>
        <v>0</v>
      </c>
      <c r="G456">
        <f>Table2PRN!G7379</f>
        <v>262</v>
      </c>
    </row>
    <row r="457" spans="1:11" x14ac:dyDescent="0.2">
      <c r="A457" t="s">
        <v>4283</v>
      </c>
      <c r="B457">
        <f>Table2PRN!B7380</f>
        <v>81</v>
      </c>
      <c r="C457">
        <f>Table2PRN!C7380</f>
        <v>58</v>
      </c>
      <c r="D457">
        <f>Table2PRN!D7380</f>
        <v>41</v>
      </c>
      <c r="E457">
        <f>Table2PRN!E7380</f>
        <v>60</v>
      </c>
      <c r="F457">
        <f>Table2PRN!F7380</f>
        <v>0</v>
      </c>
      <c r="G457">
        <f>Table2PRN!G7380</f>
        <v>240</v>
      </c>
    </row>
    <row r="458" spans="1:11" x14ac:dyDescent="0.2">
      <c r="A458" t="s">
        <v>4284</v>
      </c>
      <c r="B458">
        <f>Table2PRN!B7381</f>
        <v>11</v>
      </c>
      <c r="C458">
        <f>Table2PRN!C7381</f>
        <v>0</v>
      </c>
      <c r="D458">
        <f>Table2PRN!D7381</f>
        <v>8</v>
      </c>
      <c r="E458">
        <f>Table2PRN!E7381</f>
        <v>0</v>
      </c>
      <c r="F458">
        <f>Table2PRN!F7381</f>
        <v>0</v>
      </c>
      <c r="G458">
        <f>Table2PRN!G7381</f>
        <v>19</v>
      </c>
    </row>
    <row r="459" spans="1:11" x14ac:dyDescent="0.2">
      <c r="A459" t="s">
        <v>4285</v>
      </c>
      <c r="B459">
        <f>Table2PRN!B7382</f>
        <v>165</v>
      </c>
      <c r="C459">
        <f>Table2PRN!C7382</f>
        <v>144</v>
      </c>
      <c r="D459">
        <f>Table2PRN!D7382</f>
        <v>97</v>
      </c>
      <c r="E459">
        <f>Table2PRN!E7382</f>
        <v>165</v>
      </c>
      <c r="F459">
        <f>Table2PRN!F7382</f>
        <v>0</v>
      </c>
      <c r="G459">
        <f>Table2PRN!G7382</f>
        <v>571</v>
      </c>
    </row>
    <row r="460" spans="1:11" x14ac:dyDescent="0.2">
      <c r="A460" t="s">
        <v>4286</v>
      </c>
      <c r="B460">
        <f>Table2PRN!B7383</f>
        <v>41</v>
      </c>
      <c r="C460">
        <f>Table2PRN!C7383</f>
        <v>4</v>
      </c>
      <c r="D460">
        <f>Table2PRN!D7383</f>
        <v>7</v>
      </c>
      <c r="E460">
        <f>Table2PRN!E7383</f>
        <v>2</v>
      </c>
      <c r="F460">
        <f>Table2PRN!F7383</f>
        <v>0</v>
      </c>
      <c r="G460">
        <f>Table2PRN!G7383</f>
        <v>54</v>
      </c>
    </row>
    <row r="461" spans="1:11" x14ac:dyDescent="0.2">
      <c r="A461" t="s">
        <v>4287</v>
      </c>
      <c r="B461">
        <f>Table2PRN!B7384</f>
        <v>0</v>
      </c>
      <c r="C461">
        <f>Table2PRN!C7384</f>
        <v>0</v>
      </c>
      <c r="D461">
        <f>Table2PRN!D7384</f>
        <v>0</v>
      </c>
      <c r="E461">
        <f>Table2PRN!E7384</f>
        <v>488</v>
      </c>
      <c r="F461">
        <f>Table2PRN!F7384</f>
        <v>0</v>
      </c>
      <c r="G461">
        <f>Table2PRN!G7384</f>
        <v>488</v>
      </c>
    </row>
    <row r="462" spans="1:11" x14ac:dyDescent="0.2">
      <c r="A462" t="s">
        <v>4288</v>
      </c>
      <c r="B462">
        <f>Table2PRN!B7385</f>
        <v>0</v>
      </c>
      <c r="C462">
        <f>Table2PRN!C7385</f>
        <v>0</v>
      </c>
      <c r="D462">
        <f>Table2PRN!D7385</f>
        <v>0</v>
      </c>
      <c r="E462">
        <f>Table2PRN!E7385</f>
        <v>0</v>
      </c>
      <c r="F462">
        <f>Table2PRN!F7385</f>
        <v>30</v>
      </c>
      <c r="G462">
        <f>Table2PRN!G7385</f>
        <v>30</v>
      </c>
    </row>
    <row r="463" spans="1:11" x14ac:dyDescent="0.2">
      <c r="A463" t="s">
        <v>4289</v>
      </c>
      <c r="B463">
        <f>Table2PRN!B7386</f>
        <v>0</v>
      </c>
      <c r="C463">
        <f>Table2PRN!C7386</f>
        <v>0</v>
      </c>
      <c r="D463">
        <f>Table2PRN!D7386</f>
        <v>0</v>
      </c>
      <c r="E463">
        <f>Table2PRN!E7386</f>
        <v>0</v>
      </c>
      <c r="F463">
        <f>Table2PRN!F7386</f>
        <v>26458</v>
      </c>
      <c r="G463">
        <f>Table2PRN!G7386</f>
        <v>26458</v>
      </c>
    </row>
    <row r="464" spans="1:11" x14ac:dyDescent="0.2">
      <c r="A464" t="s">
        <v>4290</v>
      </c>
      <c r="B464">
        <f>Table2PRN!B7387</f>
        <v>0</v>
      </c>
      <c r="C464">
        <f>Table2PRN!C7387</f>
        <v>0</v>
      </c>
      <c r="D464">
        <f>Table2PRN!D7387</f>
        <v>0</v>
      </c>
      <c r="E464">
        <f>Table2PRN!E7387</f>
        <v>0</v>
      </c>
      <c r="F464">
        <f>Table2PRN!F7387</f>
        <v>215</v>
      </c>
      <c r="G464">
        <f>Table2PRN!G7387</f>
        <v>215</v>
      </c>
    </row>
    <row r="465" spans="1:7" x14ac:dyDescent="0.2">
      <c r="A465" t="s">
        <v>4291</v>
      </c>
      <c r="B465">
        <f>Table2PRN!B7388</f>
        <v>0</v>
      </c>
      <c r="C465">
        <f>Table2PRN!C7388</f>
        <v>0</v>
      </c>
      <c r="D465">
        <f>Table2PRN!D7388</f>
        <v>0</v>
      </c>
      <c r="E465">
        <f>Table2PRN!E7388</f>
        <v>0</v>
      </c>
      <c r="F465">
        <f>Table2PRN!F7388</f>
        <v>0</v>
      </c>
      <c r="G465">
        <f>Table2PRN!G7388</f>
        <v>0</v>
      </c>
    </row>
    <row r="466" spans="1:7" x14ac:dyDescent="0.2">
      <c r="A466" t="s">
        <v>4292</v>
      </c>
      <c r="B466">
        <f>Table2PRN!B7389</f>
        <v>0</v>
      </c>
      <c r="C466">
        <f>Table2PRN!C7389</f>
        <v>0</v>
      </c>
      <c r="D466">
        <f>Table2PRN!D7389</f>
        <v>0</v>
      </c>
      <c r="E466">
        <f>Table2PRN!E7389</f>
        <v>0</v>
      </c>
      <c r="F466">
        <f>Table2PRN!F7389</f>
        <v>161</v>
      </c>
      <c r="G466">
        <f>Table2PRN!G7389</f>
        <v>161</v>
      </c>
    </row>
    <row r="467" spans="1:7" x14ac:dyDescent="0.2">
      <c r="A467" t="s">
        <v>4293</v>
      </c>
      <c r="B467">
        <f>Table2PRN!B7390</f>
        <v>0</v>
      </c>
      <c r="C467">
        <f>Table2PRN!C7390</f>
        <v>0</v>
      </c>
      <c r="D467">
        <f>Table2PRN!D7390</f>
        <v>0</v>
      </c>
      <c r="E467">
        <f>Table2PRN!E7390</f>
        <v>0</v>
      </c>
      <c r="F467">
        <f>Table2PRN!F7390</f>
        <v>0</v>
      </c>
      <c r="G467">
        <f>Table2PRN!G7390</f>
        <v>0</v>
      </c>
    </row>
    <row r="468" spans="1:7" x14ac:dyDescent="0.2">
      <c r="A468" t="s">
        <v>4294</v>
      </c>
      <c r="B468">
        <f>Table2PRN!B7391</f>
        <v>0</v>
      </c>
      <c r="C468">
        <f>Table2PRN!C7391</f>
        <v>0</v>
      </c>
      <c r="D468">
        <f>Table2PRN!D7391</f>
        <v>0</v>
      </c>
      <c r="E468">
        <f>Table2PRN!E7391</f>
        <v>0</v>
      </c>
      <c r="F468">
        <f>Table2PRN!F7391</f>
        <v>450</v>
      </c>
      <c r="G468">
        <f>Table2PRN!G7391</f>
        <v>450</v>
      </c>
    </row>
    <row r="469" spans="1:7" x14ac:dyDescent="0.2">
      <c r="A469" t="s">
        <v>4295</v>
      </c>
      <c r="B469">
        <f>Table2PRN!B7392</f>
        <v>0</v>
      </c>
      <c r="C469">
        <f>Table2PRN!C7392</f>
        <v>0</v>
      </c>
      <c r="D469">
        <f>Table2PRN!D7392</f>
        <v>0</v>
      </c>
      <c r="E469">
        <f>Table2PRN!E7392</f>
        <v>0</v>
      </c>
      <c r="F469">
        <f>Table2PRN!F7392</f>
        <v>0</v>
      </c>
      <c r="G469">
        <f>Table2PRN!G7392</f>
        <v>0</v>
      </c>
    </row>
    <row r="470" spans="1:7" x14ac:dyDescent="0.2">
      <c r="A470" t="s">
        <v>4296</v>
      </c>
      <c r="B470">
        <f>Table2PRN!B7393</f>
        <v>0</v>
      </c>
      <c r="C470">
        <f>Table2PRN!C7393</f>
        <v>0</v>
      </c>
      <c r="D470">
        <f>Table2PRN!D7393</f>
        <v>0</v>
      </c>
      <c r="E470">
        <f>Table2PRN!E7393</f>
        <v>0</v>
      </c>
      <c r="F470">
        <f>Table2PRN!F7393</f>
        <v>0</v>
      </c>
      <c r="G470">
        <f>Table2PRN!G7393</f>
        <v>0</v>
      </c>
    </row>
    <row r="471" spans="1:7" x14ac:dyDescent="0.2">
      <c r="A471" t="s">
        <v>4297</v>
      </c>
      <c r="B471">
        <f>Table2PRN!B7394</f>
        <v>88</v>
      </c>
      <c r="C471">
        <f>Table2PRN!C7394</f>
        <v>546</v>
      </c>
      <c r="D471">
        <f>Table2PRN!D7394</f>
        <v>972</v>
      </c>
      <c r="E471">
        <f>Table2PRN!E7394</f>
        <v>304</v>
      </c>
      <c r="F471">
        <f>Table2PRN!F7394</f>
        <v>0</v>
      </c>
      <c r="G471">
        <f>Table2PRN!G7394</f>
        <v>1910</v>
      </c>
    </row>
    <row r="472" spans="1:7" x14ac:dyDescent="0.2">
      <c r="A472" t="s">
        <v>4298</v>
      </c>
      <c r="B472">
        <f>Table2PRN!B7395</f>
        <v>116</v>
      </c>
      <c r="C472">
        <f>Table2PRN!C7395</f>
        <v>144</v>
      </c>
      <c r="D472">
        <f>Table2PRN!D7395</f>
        <v>114</v>
      </c>
      <c r="E472">
        <f>Table2PRN!E7395</f>
        <v>69</v>
      </c>
      <c r="F472">
        <f>Table2PRN!F7395</f>
        <v>0</v>
      </c>
      <c r="G472">
        <f>Table2PRN!G7395</f>
        <v>442</v>
      </c>
    </row>
    <row r="473" spans="1:7" x14ac:dyDescent="0.2">
      <c r="A473" t="s">
        <v>4299</v>
      </c>
      <c r="B473">
        <f>Table2PRN!B7396</f>
        <v>33</v>
      </c>
      <c r="C473">
        <f>Table2PRN!C7396</f>
        <v>67</v>
      </c>
      <c r="D473">
        <f>Table2PRN!D7396</f>
        <v>133</v>
      </c>
      <c r="E473">
        <f>Table2PRN!E7396</f>
        <v>115</v>
      </c>
      <c r="F473">
        <f>Table2PRN!F7396</f>
        <v>0</v>
      </c>
      <c r="G473">
        <f>Table2PRN!G7396</f>
        <v>349</v>
      </c>
    </row>
    <row r="474" spans="1:7" x14ac:dyDescent="0.2">
      <c r="A474" t="s">
        <v>4300</v>
      </c>
      <c r="B474">
        <f>Table2PRN!B7397</f>
        <v>1</v>
      </c>
      <c r="C474">
        <f>Table2PRN!C7397</f>
        <v>4</v>
      </c>
      <c r="D474">
        <f>Table2PRN!D7397</f>
        <v>11</v>
      </c>
      <c r="E474">
        <f>Table2PRN!E7397</f>
        <v>7</v>
      </c>
      <c r="F474">
        <f>Table2PRN!F7397</f>
        <v>0</v>
      </c>
      <c r="G474">
        <f>Table2PRN!G7397</f>
        <v>22</v>
      </c>
    </row>
    <row r="475" spans="1:7" x14ac:dyDescent="0.2">
      <c r="A475" t="s">
        <v>4301</v>
      </c>
      <c r="B475">
        <f>Table2PRN!B7398</f>
        <v>0</v>
      </c>
      <c r="C475">
        <f>Table2PRN!C7398</f>
        <v>301</v>
      </c>
      <c r="D475">
        <f>Table2PRN!D7398</f>
        <v>603</v>
      </c>
      <c r="E475">
        <f>Table2PRN!E7398</f>
        <v>280</v>
      </c>
      <c r="F475">
        <f>Table2PRN!F7398</f>
        <v>0</v>
      </c>
      <c r="G475">
        <f>Table2PRN!G7398</f>
        <v>1184</v>
      </c>
    </row>
    <row r="476" spans="1:7" x14ac:dyDescent="0.2">
      <c r="A476" t="s">
        <v>4302</v>
      </c>
      <c r="B476">
        <f>Table2PRN!B7399</f>
        <v>1</v>
      </c>
      <c r="C476">
        <f>Table2PRN!C7399</f>
        <v>13</v>
      </c>
      <c r="D476">
        <f>Table2PRN!D7399</f>
        <v>41</v>
      </c>
      <c r="E476">
        <f>Table2PRN!E7399</f>
        <v>13</v>
      </c>
      <c r="F476">
        <f>Table2PRN!F7399</f>
        <v>0</v>
      </c>
      <c r="G476">
        <f>Table2PRN!G7399</f>
        <v>69</v>
      </c>
    </row>
    <row r="477" spans="1:7" x14ac:dyDescent="0.2">
      <c r="A477" t="s">
        <v>4303</v>
      </c>
      <c r="B477">
        <f>Table2PRN!B7400</f>
        <v>1</v>
      </c>
      <c r="C477">
        <f>Table2PRN!C7400</f>
        <v>36</v>
      </c>
      <c r="D477">
        <f>Table2PRN!D7400</f>
        <v>168</v>
      </c>
      <c r="E477">
        <f>Table2PRN!E7400</f>
        <v>34</v>
      </c>
      <c r="F477">
        <f>Table2PRN!F7400</f>
        <v>0</v>
      </c>
      <c r="G477">
        <f>Table2PRN!G7400</f>
        <v>239</v>
      </c>
    </row>
    <row r="478" spans="1:7" x14ac:dyDescent="0.2">
      <c r="A478" t="s">
        <v>4304</v>
      </c>
      <c r="B478">
        <f>Table2PRN!B7401</f>
        <v>2</v>
      </c>
      <c r="C478">
        <f>Table2PRN!C7401</f>
        <v>7</v>
      </c>
      <c r="D478">
        <f>Table2PRN!D7401</f>
        <v>48</v>
      </c>
      <c r="E478">
        <f>Table2PRN!E7401</f>
        <v>0</v>
      </c>
      <c r="F478">
        <f>Table2PRN!F7401</f>
        <v>0</v>
      </c>
      <c r="G478">
        <f>Table2PRN!G7401</f>
        <v>58</v>
      </c>
    </row>
    <row r="479" spans="1:7" x14ac:dyDescent="0.2">
      <c r="A479" t="s">
        <v>4305</v>
      </c>
      <c r="B479">
        <f>Table2PRN!B7402</f>
        <v>0</v>
      </c>
      <c r="C479">
        <f>Table2PRN!C7402</f>
        <v>74</v>
      </c>
      <c r="D479">
        <f>Table2PRN!D7402</f>
        <v>47</v>
      </c>
      <c r="E479">
        <f>Table2PRN!E7402</f>
        <v>39</v>
      </c>
      <c r="F479">
        <f>Table2PRN!F7402</f>
        <v>0</v>
      </c>
      <c r="G479">
        <f>Table2PRN!G7402</f>
        <v>160</v>
      </c>
    </row>
    <row r="480" spans="1:7" x14ac:dyDescent="0.2">
      <c r="A480" t="s">
        <v>4306</v>
      </c>
      <c r="B480">
        <f>Table2PRN!B7403</f>
        <v>1</v>
      </c>
      <c r="C480">
        <f>Table2PRN!C7403</f>
        <v>10</v>
      </c>
      <c r="D480">
        <f>Table2PRN!D7403</f>
        <v>4</v>
      </c>
      <c r="E480">
        <f>Table2PRN!E7403</f>
        <v>7</v>
      </c>
      <c r="F480">
        <f>Table2PRN!F7403</f>
        <v>0</v>
      </c>
      <c r="G480">
        <f>Table2PRN!G7403</f>
        <v>22</v>
      </c>
    </row>
    <row r="481" spans="1:7" x14ac:dyDescent="0.2">
      <c r="A481" t="s">
        <v>4307</v>
      </c>
      <c r="B481">
        <f>Table2PRN!B7404</f>
        <v>9</v>
      </c>
      <c r="C481">
        <f>Table2PRN!C7404</f>
        <v>91</v>
      </c>
      <c r="D481">
        <f>Table2PRN!D7404</f>
        <v>507</v>
      </c>
      <c r="E481">
        <f>Table2PRN!E7404</f>
        <v>341</v>
      </c>
      <c r="F481">
        <f>Table2PRN!F7404</f>
        <v>0</v>
      </c>
      <c r="G481">
        <f>Table2PRN!G7404</f>
        <v>948</v>
      </c>
    </row>
    <row r="482" spans="1:7" x14ac:dyDescent="0.2">
      <c r="A482" t="s">
        <v>4308</v>
      </c>
      <c r="B482">
        <f>Table2PRN!B7405</f>
        <v>0</v>
      </c>
      <c r="C482">
        <f>Table2PRN!C7405</f>
        <v>0</v>
      </c>
      <c r="D482">
        <f>Table2PRN!D7405</f>
        <v>2</v>
      </c>
      <c r="E482">
        <f>Table2PRN!E7405</f>
        <v>3</v>
      </c>
      <c r="F482">
        <f>Table2PRN!F7405</f>
        <v>0</v>
      </c>
      <c r="G482">
        <f>Table2PRN!G7405</f>
        <v>5</v>
      </c>
    </row>
    <row r="483" spans="1:7" x14ac:dyDescent="0.2">
      <c r="A483" t="s">
        <v>4309</v>
      </c>
      <c r="B483">
        <f>Table2PRN!B7406</f>
        <v>0</v>
      </c>
      <c r="C483">
        <f>Table2PRN!C7406</f>
        <v>0</v>
      </c>
      <c r="D483">
        <f>Table2PRN!D7406</f>
        <v>0</v>
      </c>
      <c r="E483">
        <f>Table2PRN!E7406</f>
        <v>0</v>
      </c>
      <c r="F483">
        <f>Table2PRN!F7406</f>
        <v>0</v>
      </c>
      <c r="G483">
        <f>Table2PRN!G7406</f>
        <v>0</v>
      </c>
    </row>
    <row r="484" spans="1:7" x14ac:dyDescent="0.2">
      <c r="A484" t="s">
        <v>4310</v>
      </c>
      <c r="B484">
        <f>Table2PRN!B7407</f>
        <v>0</v>
      </c>
      <c r="C484">
        <f>Table2PRN!C7407</f>
        <v>0</v>
      </c>
      <c r="D484">
        <f>Table2PRN!D7407</f>
        <v>0</v>
      </c>
      <c r="E484">
        <f>Table2PRN!E7407</f>
        <v>0</v>
      </c>
      <c r="F484">
        <f>Table2PRN!F7407</f>
        <v>0</v>
      </c>
      <c r="G484">
        <f>Table2PRN!G7407</f>
        <v>0</v>
      </c>
    </row>
    <row r="485" spans="1:7" x14ac:dyDescent="0.2">
      <c r="A485" t="s">
        <v>4311</v>
      </c>
      <c r="B485">
        <f>Table2PRN!B7408</f>
        <v>0</v>
      </c>
      <c r="C485">
        <f>Table2PRN!C7408</f>
        <v>0</v>
      </c>
      <c r="D485">
        <f>Table2PRN!D7408</f>
        <v>0</v>
      </c>
      <c r="E485">
        <f>Table2PRN!E7408</f>
        <v>54</v>
      </c>
      <c r="F485">
        <f>Table2PRN!F7408</f>
        <v>2</v>
      </c>
      <c r="G485">
        <f>Table2PRN!G7408</f>
        <v>56</v>
      </c>
    </row>
    <row r="486" spans="1:7" x14ac:dyDescent="0.2">
      <c r="A486" t="s">
        <v>4312</v>
      </c>
      <c r="B486">
        <f>Table2PRN!B7409</f>
        <v>0</v>
      </c>
      <c r="C486">
        <f>Table2PRN!C7409</f>
        <v>0</v>
      </c>
      <c r="D486">
        <f>Table2PRN!D7409</f>
        <v>0</v>
      </c>
      <c r="E486">
        <f>Table2PRN!E7409</f>
        <v>44</v>
      </c>
      <c r="F486">
        <f>Table2PRN!F7409</f>
        <v>0</v>
      </c>
      <c r="G486">
        <f>Table2PRN!G7409</f>
        <v>44</v>
      </c>
    </row>
    <row r="487" spans="1:7" x14ac:dyDescent="0.2">
      <c r="A487" t="s">
        <v>4313</v>
      </c>
      <c r="B487">
        <f>Table2PRN!B7410</f>
        <v>0</v>
      </c>
      <c r="C487">
        <f>Table2PRN!C7410</f>
        <v>0</v>
      </c>
      <c r="D487">
        <f>Table2PRN!D7410</f>
        <v>0</v>
      </c>
      <c r="E487">
        <f>Table2PRN!E7410</f>
        <v>0</v>
      </c>
      <c r="F487">
        <f>Table2PRN!F7410</f>
        <v>0</v>
      </c>
      <c r="G487">
        <f>Table2PRN!G7410</f>
        <v>0</v>
      </c>
    </row>
    <row r="488" spans="1:7" x14ac:dyDescent="0.2">
      <c r="A488" t="s">
        <v>4314</v>
      </c>
      <c r="B488">
        <f>Table2PRN!B7411</f>
        <v>0</v>
      </c>
      <c r="C488">
        <f>Table2PRN!C7411</f>
        <v>0</v>
      </c>
      <c r="D488">
        <f>Table2PRN!D7411</f>
        <v>0</v>
      </c>
      <c r="E488">
        <f>Table2PRN!E7411</f>
        <v>0</v>
      </c>
      <c r="F488">
        <f>Table2PRN!F7411</f>
        <v>0</v>
      </c>
      <c r="G488">
        <f>Table2PRN!G7411</f>
        <v>0</v>
      </c>
    </row>
    <row r="489" spans="1:7" x14ac:dyDescent="0.2">
      <c r="A489" t="s">
        <v>4315</v>
      </c>
      <c r="B489">
        <f>Table2PRN!B7412</f>
        <v>0</v>
      </c>
      <c r="C489">
        <f>Table2PRN!C7412</f>
        <v>0</v>
      </c>
      <c r="D489">
        <f>Table2PRN!D7412</f>
        <v>0</v>
      </c>
      <c r="E489">
        <f>Table2PRN!E7412</f>
        <v>0</v>
      </c>
      <c r="F489">
        <f>Table2PRN!F7412</f>
        <v>0</v>
      </c>
      <c r="G489">
        <f>Table2PRN!G7412</f>
        <v>0</v>
      </c>
    </row>
    <row r="490" spans="1:7" x14ac:dyDescent="0.2">
      <c r="A490" t="s">
        <v>4316</v>
      </c>
      <c r="B490">
        <f>Table2PRN!B7413</f>
        <v>0</v>
      </c>
      <c r="C490">
        <f>Table2PRN!C7413</f>
        <v>0</v>
      </c>
      <c r="D490">
        <f>Table2PRN!D7413</f>
        <v>0</v>
      </c>
      <c r="E490">
        <f>Table2PRN!E7413</f>
        <v>0</v>
      </c>
      <c r="F490">
        <f>Table2PRN!F7413</f>
        <v>0</v>
      </c>
      <c r="G490">
        <f>Table2PRN!G7413</f>
        <v>0</v>
      </c>
    </row>
    <row r="491" spans="1:7" x14ac:dyDescent="0.2">
      <c r="A491" t="s">
        <v>4317</v>
      </c>
      <c r="B491">
        <f>Table2PRN!B7414</f>
        <v>0</v>
      </c>
      <c r="C491">
        <f>Table2PRN!C7414</f>
        <v>0</v>
      </c>
      <c r="D491">
        <f>Table2PRN!D7414</f>
        <v>0</v>
      </c>
      <c r="E491">
        <f>Table2PRN!E7414</f>
        <v>0</v>
      </c>
      <c r="F491">
        <f>Table2PRN!F7414</f>
        <v>0</v>
      </c>
      <c r="G491">
        <f>Table2PRN!G7414</f>
        <v>0</v>
      </c>
    </row>
    <row r="492" spans="1:7" x14ac:dyDescent="0.2">
      <c r="A492" t="s">
        <v>4318</v>
      </c>
      <c r="B492">
        <f>Table2PRN!B7415</f>
        <v>0</v>
      </c>
      <c r="C492">
        <f>Table2PRN!C7415</f>
        <v>0</v>
      </c>
      <c r="D492">
        <f>Table2PRN!D7415</f>
        <v>0</v>
      </c>
      <c r="E492">
        <f>Table2PRN!E7415</f>
        <v>0</v>
      </c>
      <c r="F492">
        <f>Table2PRN!F7415</f>
        <v>0</v>
      </c>
      <c r="G492">
        <f>Table2PRN!G7415</f>
        <v>0</v>
      </c>
    </row>
    <row r="493" spans="1:7" x14ac:dyDescent="0.2">
      <c r="A493" t="s">
        <v>4319</v>
      </c>
      <c r="B493">
        <f>Table2PRN!B7416</f>
        <v>0</v>
      </c>
      <c r="C493">
        <f>Table2PRN!C7416</f>
        <v>0</v>
      </c>
      <c r="D493">
        <f>Table2PRN!D7416</f>
        <v>0</v>
      </c>
      <c r="E493">
        <f>Table2PRN!E7416</f>
        <v>0</v>
      </c>
      <c r="F493">
        <f>Table2PRN!F7416</f>
        <v>0</v>
      </c>
      <c r="G493">
        <f>Table2PRN!G7416</f>
        <v>0</v>
      </c>
    </row>
    <row r="494" spans="1:7" x14ac:dyDescent="0.2">
      <c r="A494" t="s">
        <v>4320</v>
      </c>
      <c r="B494">
        <f>Table2PRN!B7417</f>
        <v>0</v>
      </c>
      <c r="C494">
        <f>Table2PRN!C7417</f>
        <v>0</v>
      </c>
      <c r="D494">
        <f>Table2PRN!D7417</f>
        <v>0</v>
      </c>
      <c r="E494">
        <f>Table2PRN!E7417</f>
        <v>0</v>
      </c>
      <c r="F494">
        <f>Table2PRN!F7417</f>
        <v>0</v>
      </c>
      <c r="G494">
        <f>Table2PRN!G7417</f>
        <v>0</v>
      </c>
    </row>
    <row r="495" spans="1:7" x14ac:dyDescent="0.2">
      <c r="A495" t="s">
        <v>4321</v>
      </c>
      <c r="B495">
        <f>Table2PRN!B7418</f>
        <v>0</v>
      </c>
      <c r="C495">
        <f>Table2PRN!C7418</f>
        <v>0</v>
      </c>
      <c r="D495">
        <f>Table2PRN!D7418</f>
        <v>0</v>
      </c>
      <c r="E495">
        <f>Table2PRN!E7418</f>
        <v>0</v>
      </c>
      <c r="F495">
        <f>Table2PRN!F7418</f>
        <v>0</v>
      </c>
      <c r="G495">
        <f>Table2PRN!G7418</f>
        <v>0</v>
      </c>
    </row>
    <row r="496" spans="1:7" x14ac:dyDescent="0.2">
      <c r="A496" t="s">
        <v>4322</v>
      </c>
      <c r="B496">
        <f>Table2PRN!B7419</f>
        <v>0</v>
      </c>
      <c r="C496">
        <f>Table2PRN!C7419</f>
        <v>0</v>
      </c>
      <c r="D496">
        <f>Table2PRN!D7419</f>
        <v>0</v>
      </c>
      <c r="E496">
        <f>Table2PRN!E7419</f>
        <v>0</v>
      </c>
      <c r="F496">
        <f>Table2PRN!F7419</f>
        <v>0</v>
      </c>
      <c r="G496">
        <f>Table2PRN!G7419</f>
        <v>0</v>
      </c>
    </row>
    <row r="497" spans="1:7" x14ac:dyDescent="0.2">
      <c r="A497" t="s">
        <v>4323</v>
      </c>
      <c r="B497">
        <f>Table2PRN!B7420</f>
        <v>0</v>
      </c>
      <c r="C497">
        <f>Table2PRN!C7420</f>
        <v>0</v>
      </c>
      <c r="D497">
        <f>Table2PRN!D7420</f>
        <v>0</v>
      </c>
      <c r="E497">
        <f>Table2PRN!E7420</f>
        <v>0</v>
      </c>
      <c r="F497">
        <f>Table2PRN!F7420</f>
        <v>0</v>
      </c>
      <c r="G497">
        <f>Table2PRN!G7420</f>
        <v>0</v>
      </c>
    </row>
    <row r="498" spans="1:7" x14ac:dyDescent="0.2">
      <c r="A498" t="s">
        <v>4324</v>
      </c>
      <c r="B498">
        <f>Table2PRN!B7421</f>
        <v>0</v>
      </c>
      <c r="C498">
        <f>Table2PRN!C7421</f>
        <v>0</v>
      </c>
      <c r="D498">
        <f>Table2PRN!D7421</f>
        <v>0</v>
      </c>
      <c r="E498">
        <f>Table2PRN!E7421</f>
        <v>0</v>
      </c>
      <c r="F498">
        <f>Table2PRN!F7421</f>
        <v>0</v>
      </c>
      <c r="G498">
        <f>Table2PRN!G7421</f>
        <v>0</v>
      </c>
    </row>
    <row r="499" spans="1:7" x14ac:dyDescent="0.2">
      <c r="A499" t="s">
        <v>4325</v>
      </c>
      <c r="B499">
        <f>Table2PRN!B7422</f>
        <v>0</v>
      </c>
      <c r="C499">
        <f>Table2PRN!C7422</f>
        <v>0</v>
      </c>
      <c r="D499">
        <f>Table2PRN!D7422</f>
        <v>0</v>
      </c>
      <c r="E499">
        <f>Table2PRN!E7422</f>
        <v>0</v>
      </c>
      <c r="F499">
        <f>Table2PRN!F7422</f>
        <v>0</v>
      </c>
      <c r="G499">
        <f>Table2PRN!G7422</f>
        <v>0</v>
      </c>
    </row>
    <row r="500" spans="1:7" x14ac:dyDescent="0.2">
      <c r="A500" t="s">
        <v>4326</v>
      </c>
      <c r="B500">
        <f>Table2PRN!B7423</f>
        <v>0</v>
      </c>
      <c r="C500">
        <f>Table2PRN!C7423</f>
        <v>0</v>
      </c>
      <c r="D500">
        <f>Table2PRN!D7423</f>
        <v>0</v>
      </c>
      <c r="E500">
        <f>Table2PRN!E7423</f>
        <v>0</v>
      </c>
      <c r="F500">
        <f>Table2PRN!F7423</f>
        <v>0</v>
      </c>
      <c r="G500">
        <f>Table2PRN!G7423</f>
        <v>0</v>
      </c>
    </row>
    <row r="501" spans="1:7" x14ac:dyDescent="0.2">
      <c r="A501" t="s">
        <v>4327</v>
      </c>
      <c r="B501">
        <f>Table2PRN!B7424</f>
        <v>0</v>
      </c>
      <c r="C501">
        <f>Table2PRN!C7424</f>
        <v>0</v>
      </c>
      <c r="D501">
        <f>Table2PRN!D7424</f>
        <v>0</v>
      </c>
      <c r="E501">
        <f>Table2PRN!E7424</f>
        <v>0</v>
      </c>
      <c r="F501">
        <f>Table2PRN!F7424</f>
        <v>0</v>
      </c>
      <c r="G501">
        <f>Table2PRN!G7424</f>
        <v>0</v>
      </c>
    </row>
    <row r="502" spans="1:7" x14ac:dyDescent="0.2">
      <c r="A502" t="s">
        <v>4328</v>
      </c>
      <c r="B502">
        <f>Table2PRN!B7425</f>
        <v>0</v>
      </c>
      <c r="C502">
        <f>Table2PRN!C7425</f>
        <v>0</v>
      </c>
      <c r="D502">
        <f>Table2PRN!D7425</f>
        <v>0</v>
      </c>
      <c r="E502">
        <f>Table2PRN!E7425</f>
        <v>0</v>
      </c>
      <c r="F502">
        <f>Table2PRN!F7425</f>
        <v>0</v>
      </c>
      <c r="G502">
        <f>Table2PRN!G7425</f>
        <v>0</v>
      </c>
    </row>
    <row r="503" spans="1:7" x14ac:dyDescent="0.2">
      <c r="A503" t="s">
        <v>4329</v>
      </c>
      <c r="B503">
        <f>Table2PRN!B7426</f>
        <v>0</v>
      </c>
      <c r="C503">
        <f>Table2PRN!C7426</f>
        <v>0</v>
      </c>
      <c r="D503">
        <f>Table2PRN!D7426</f>
        <v>0</v>
      </c>
      <c r="E503">
        <f>Table2PRN!E7426</f>
        <v>0</v>
      </c>
      <c r="F503">
        <f>Table2PRN!F7426</f>
        <v>0</v>
      </c>
      <c r="G503">
        <f>Table2PRN!G7426</f>
        <v>0</v>
      </c>
    </row>
    <row r="504" spans="1:7" x14ac:dyDescent="0.2">
      <c r="A504" t="s">
        <v>4330</v>
      </c>
      <c r="B504">
        <f>Table2PRN!B7427</f>
        <v>0</v>
      </c>
      <c r="C504">
        <f>Table2PRN!C7427</f>
        <v>0</v>
      </c>
      <c r="D504">
        <f>Table2PRN!D7427</f>
        <v>0</v>
      </c>
      <c r="E504">
        <f>Table2PRN!E7427</f>
        <v>0</v>
      </c>
      <c r="F504">
        <f>Table2PRN!F7427</f>
        <v>0</v>
      </c>
      <c r="G504">
        <f>Table2PRN!G7427</f>
        <v>0</v>
      </c>
    </row>
    <row r="505" spans="1:7" x14ac:dyDescent="0.2">
      <c r="A505" t="s">
        <v>4331</v>
      </c>
      <c r="B505">
        <f>Table2PRN!B7428</f>
        <v>0</v>
      </c>
      <c r="C505">
        <f>Table2PRN!C7428</f>
        <v>0</v>
      </c>
      <c r="D505">
        <f>Table2PRN!D7428</f>
        <v>0</v>
      </c>
      <c r="E505">
        <f>Table2PRN!E7428</f>
        <v>0</v>
      </c>
      <c r="F505">
        <f>Table2PRN!F7428</f>
        <v>0</v>
      </c>
      <c r="G505">
        <f>Table2PRN!G7428</f>
        <v>0</v>
      </c>
    </row>
    <row r="506" spans="1:7" x14ac:dyDescent="0.2">
      <c r="A506" t="s">
        <v>4332</v>
      </c>
      <c r="B506">
        <f>Table2PRN!B7429</f>
        <v>0</v>
      </c>
      <c r="C506">
        <f>Table2PRN!C7429</f>
        <v>0</v>
      </c>
      <c r="D506">
        <f>Table2PRN!D7429</f>
        <v>0</v>
      </c>
      <c r="E506">
        <f>Table2PRN!E7429</f>
        <v>0</v>
      </c>
      <c r="F506">
        <f>Table2PRN!F7429</f>
        <v>0</v>
      </c>
      <c r="G506">
        <f>Table2PRN!G7429</f>
        <v>0</v>
      </c>
    </row>
    <row r="507" spans="1:7" x14ac:dyDescent="0.2">
      <c r="A507" t="s">
        <v>4333</v>
      </c>
      <c r="B507">
        <f>Table2PRN!B7430</f>
        <v>0</v>
      </c>
      <c r="C507">
        <f>Table2PRN!C7430</f>
        <v>0</v>
      </c>
      <c r="D507">
        <f>Table2PRN!D7430</f>
        <v>0</v>
      </c>
      <c r="E507">
        <f>Table2PRN!E7430</f>
        <v>0</v>
      </c>
      <c r="F507">
        <f>Table2PRN!F7430</f>
        <v>0</v>
      </c>
      <c r="G507">
        <f>Table2PRN!G7430</f>
        <v>0</v>
      </c>
    </row>
    <row r="508" spans="1:7" x14ac:dyDescent="0.2">
      <c r="A508" t="s">
        <v>4334</v>
      </c>
      <c r="B508">
        <f>Table2PRN!B7431</f>
        <v>0</v>
      </c>
      <c r="C508">
        <f>Table2PRN!C7431</f>
        <v>0</v>
      </c>
      <c r="D508">
        <f>Table2PRN!D7431</f>
        <v>0</v>
      </c>
      <c r="E508">
        <f>Table2PRN!E7431</f>
        <v>0</v>
      </c>
      <c r="F508">
        <f>Table2PRN!F7431</f>
        <v>0</v>
      </c>
      <c r="G508">
        <f>Table2PRN!G7431</f>
        <v>0</v>
      </c>
    </row>
    <row r="509" spans="1:7" x14ac:dyDescent="0.2">
      <c r="A509" t="s">
        <v>4335</v>
      </c>
      <c r="B509">
        <f>Table2PRN!B7432</f>
        <v>0</v>
      </c>
      <c r="C509">
        <f>Table2PRN!C7432</f>
        <v>0</v>
      </c>
      <c r="D509">
        <f>Table2PRN!D7432</f>
        <v>0</v>
      </c>
      <c r="E509">
        <f>Table2PRN!E7432</f>
        <v>0</v>
      </c>
      <c r="F509">
        <f>Table2PRN!F7432</f>
        <v>0</v>
      </c>
      <c r="G509">
        <f>Table2PRN!G7432</f>
        <v>0</v>
      </c>
    </row>
    <row r="510" spans="1:7" x14ac:dyDescent="0.2">
      <c r="A510" t="s">
        <v>4336</v>
      </c>
      <c r="B510">
        <f>Table2PRN!B7433</f>
        <v>0</v>
      </c>
      <c r="C510">
        <f>Table2PRN!C7433</f>
        <v>0</v>
      </c>
      <c r="D510">
        <f>Table2PRN!D7433</f>
        <v>0</v>
      </c>
      <c r="E510">
        <f>Table2PRN!E7433</f>
        <v>0</v>
      </c>
      <c r="F510">
        <f>Table2PRN!F7433</f>
        <v>0</v>
      </c>
      <c r="G510">
        <f>Table2PRN!G7433</f>
        <v>0</v>
      </c>
    </row>
    <row r="511" spans="1:7" x14ac:dyDescent="0.2">
      <c r="A511" t="s">
        <v>4337</v>
      </c>
      <c r="B511">
        <f>Table2PRN!B7434</f>
        <v>0</v>
      </c>
      <c r="C511">
        <f>Table2PRN!C7434</f>
        <v>0</v>
      </c>
      <c r="D511">
        <f>Table2PRN!D7434</f>
        <v>0</v>
      </c>
      <c r="E511">
        <f>Table2PRN!E7434</f>
        <v>0</v>
      </c>
      <c r="F511">
        <f>Table2PRN!F7434</f>
        <v>0</v>
      </c>
      <c r="G511">
        <f>Table2PRN!G7434</f>
        <v>0</v>
      </c>
    </row>
    <row r="512" spans="1:7" x14ac:dyDescent="0.2">
      <c r="A512" t="s">
        <v>4338</v>
      </c>
      <c r="B512">
        <f>Table2PRN!B7435</f>
        <v>0</v>
      </c>
      <c r="C512">
        <f>Table2PRN!C7435</f>
        <v>0</v>
      </c>
      <c r="D512">
        <f>Table2PRN!D7435</f>
        <v>0</v>
      </c>
      <c r="E512">
        <f>Table2PRN!E7435</f>
        <v>0</v>
      </c>
      <c r="F512">
        <f>Table2PRN!F7435</f>
        <v>0</v>
      </c>
      <c r="G512">
        <f>Table2PRN!G7435</f>
        <v>0</v>
      </c>
    </row>
    <row r="513" spans="1:7" x14ac:dyDescent="0.2">
      <c r="A513" t="s">
        <v>4339</v>
      </c>
      <c r="B513">
        <f>Table2PRN!B7436</f>
        <v>0</v>
      </c>
      <c r="C513">
        <f>Table2PRN!C7436</f>
        <v>0</v>
      </c>
      <c r="D513">
        <f>Table2PRN!D7436</f>
        <v>0</v>
      </c>
      <c r="E513">
        <f>Table2PRN!E7436</f>
        <v>0</v>
      </c>
      <c r="F513">
        <f>Table2PRN!F7436</f>
        <v>0</v>
      </c>
      <c r="G513">
        <f>Table2PRN!G7436</f>
        <v>0</v>
      </c>
    </row>
    <row r="514" spans="1:7" x14ac:dyDescent="0.2">
      <c r="A514" t="s">
        <v>4340</v>
      </c>
      <c r="B514">
        <f>Table2PRN!B7437</f>
        <v>0</v>
      </c>
      <c r="C514">
        <f>Table2PRN!C7437</f>
        <v>0</v>
      </c>
      <c r="D514">
        <f>Table2PRN!D7437</f>
        <v>0</v>
      </c>
      <c r="E514">
        <f>Table2PRN!E7437</f>
        <v>0</v>
      </c>
      <c r="F514">
        <f>Table2PRN!F7437</f>
        <v>0</v>
      </c>
      <c r="G514">
        <f>Table2PRN!G7437</f>
        <v>0</v>
      </c>
    </row>
    <row r="515" spans="1:7" x14ac:dyDescent="0.2">
      <c r="A515" t="s">
        <v>4341</v>
      </c>
      <c r="B515">
        <f>Table2PRN!B7438</f>
        <v>0</v>
      </c>
      <c r="C515">
        <f>Table2PRN!C7438</f>
        <v>0</v>
      </c>
      <c r="D515">
        <f>Table2PRN!D7438</f>
        <v>0</v>
      </c>
      <c r="E515">
        <f>Table2PRN!E7438</f>
        <v>0</v>
      </c>
      <c r="F515">
        <f>Table2PRN!F7438</f>
        <v>0</v>
      </c>
      <c r="G515">
        <f>Table2PRN!G7438</f>
        <v>0</v>
      </c>
    </row>
    <row r="516" spans="1:7" x14ac:dyDescent="0.2">
      <c r="A516" t="s">
        <v>4342</v>
      </c>
      <c r="B516">
        <f>Table2PRN!B7439</f>
        <v>0</v>
      </c>
      <c r="C516">
        <f>Table2PRN!C7439</f>
        <v>0</v>
      </c>
      <c r="D516">
        <f>Table2PRN!D7439</f>
        <v>0</v>
      </c>
      <c r="E516">
        <f>Table2PRN!E7439</f>
        <v>0</v>
      </c>
      <c r="F516">
        <f>Table2PRN!F7439</f>
        <v>0</v>
      </c>
      <c r="G516">
        <f>Table2PRN!G7439</f>
        <v>0</v>
      </c>
    </row>
    <row r="517" spans="1:7" x14ac:dyDescent="0.2">
      <c r="A517" t="s">
        <v>4343</v>
      </c>
      <c r="B517">
        <f>Table2PRN!B7440</f>
        <v>0</v>
      </c>
      <c r="C517">
        <f>Table2PRN!C7440</f>
        <v>0</v>
      </c>
      <c r="D517">
        <f>Table2PRN!D7440</f>
        <v>0</v>
      </c>
      <c r="E517">
        <f>Table2PRN!E7440</f>
        <v>0</v>
      </c>
      <c r="F517">
        <f>Table2PRN!F7440</f>
        <v>0</v>
      </c>
      <c r="G517">
        <f>Table2PRN!G7440</f>
        <v>0</v>
      </c>
    </row>
    <row r="518" spans="1:7" x14ac:dyDescent="0.2">
      <c r="A518" t="s">
        <v>1728</v>
      </c>
      <c r="B518">
        <f>Table2PRN!B7441</f>
        <v>0</v>
      </c>
      <c r="C518">
        <f>Table2PRN!C7441</f>
        <v>0</v>
      </c>
      <c r="D518">
        <f>Table2PRN!D7441</f>
        <v>0</v>
      </c>
      <c r="E518">
        <f>Table2PRN!E7441</f>
        <v>0</v>
      </c>
      <c r="F518">
        <f>Table2PRN!F7441</f>
        <v>0</v>
      </c>
      <c r="G518">
        <f>Table2PRN!G7441</f>
        <v>0</v>
      </c>
    </row>
    <row r="519" spans="1:7" x14ac:dyDescent="0.2">
      <c r="A519" t="s">
        <v>1730</v>
      </c>
      <c r="B519">
        <f>Table2PRN!B7442</f>
        <v>0</v>
      </c>
      <c r="C519">
        <f>Table2PRN!C7442</f>
        <v>0</v>
      </c>
      <c r="D519">
        <f>Table2PRN!D7442</f>
        <v>1</v>
      </c>
      <c r="E519">
        <f>Table2PRN!E7442</f>
        <v>0</v>
      </c>
      <c r="F519">
        <f>Table2PRN!F7442</f>
        <v>1</v>
      </c>
      <c r="G519">
        <f>Table2PRN!G7442</f>
        <v>3</v>
      </c>
    </row>
    <row r="520" spans="1:7" x14ac:dyDescent="0.2">
      <c r="A520" t="s">
        <v>1733</v>
      </c>
      <c r="B520">
        <f>Table2PRN!B7443</f>
        <v>0</v>
      </c>
      <c r="C520">
        <f>Table2PRN!C7443</f>
        <v>0</v>
      </c>
      <c r="D520">
        <f>Table2PRN!D7443</f>
        <v>0</v>
      </c>
      <c r="E520">
        <f>Table2PRN!E7443</f>
        <v>0</v>
      </c>
      <c r="F520">
        <f>Table2PRN!F7443</f>
        <v>0</v>
      </c>
      <c r="G520">
        <f>Table2PRN!G7443</f>
        <v>0</v>
      </c>
    </row>
    <row r="521" spans="1:7" x14ac:dyDescent="0.2">
      <c r="A521" t="s">
        <v>1738</v>
      </c>
      <c r="B521">
        <f>Table2PRN!B7444</f>
        <v>0</v>
      </c>
      <c r="C521">
        <f>Table2PRN!C7444</f>
        <v>0</v>
      </c>
      <c r="D521">
        <f>Table2PRN!D7444</f>
        <v>0</v>
      </c>
      <c r="E521">
        <f>Table2PRN!E7444</f>
        <v>0</v>
      </c>
      <c r="F521">
        <f>Table2PRN!F7444</f>
        <v>0</v>
      </c>
      <c r="G521">
        <f>Table2PRN!G7444</f>
        <v>0</v>
      </c>
    </row>
    <row r="522" spans="1:7" x14ac:dyDescent="0.2">
      <c r="A522" t="s">
        <v>1744</v>
      </c>
      <c r="B522">
        <f>Table2PRN!B7445</f>
        <v>0</v>
      </c>
      <c r="C522">
        <f>Table2PRN!C7445</f>
        <v>0</v>
      </c>
      <c r="D522">
        <f>Table2PRN!D7445</f>
        <v>0</v>
      </c>
      <c r="E522">
        <f>Table2PRN!E7445</f>
        <v>0</v>
      </c>
      <c r="F522">
        <f>Table2PRN!F7445</f>
        <v>0</v>
      </c>
      <c r="G522">
        <f>Table2PRN!G7445</f>
        <v>0</v>
      </c>
    </row>
    <row r="523" spans="1:7" x14ac:dyDescent="0.2">
      <c r="A523" t="s">
        <v>1747</v>
      </c>
      <c r="B523">
        <f>Table2PRN!B7446</f>
        <v>0</v>
      </c>
      <c r="C523">
        <f>Table2PRN!C7446</f>
        <v>0</v>
      </c>
      <c r="D523">
        <f>Table2PRN!D7446</f>
        <v>0</v>
      </c>
      <c r="E523">
        <f>Table2PRN!E7446</f>
        <v>0</v>
      </c>
      <c r="F523">
        <f>Table2PRN!F7446</f>
        <v>0</v>
      </c>
      <c r="G523">
        <f>Table2PRN!G7446</f>
        <v>0</v>
      </c>
    </row>
    <row r="524" spans="1:7" x14ac:dyDescent="0.2">
      <c r="A524" t="s">
        <v>1751</v>
      </c>
      <c r="B524">
        <f>Table2PRN!B7447</f>
        <v>0</v>
      </c>
      <c r="C524">
        <f>Table2PRN!C7447</f>
        <v>0</v>
      </c>
      <c r="D524">
        <f>Table2PRN!D7447</f>
        <v>0</v>
      </c>
      <c r="E524">
        <f>Table2PRN!E7447</f>
        <v>0</v>
      </c>
      <c r="F524">
        <f>Table2PRN!F7447</f>
        <v>0</v>
      </c>
      <c r="G524">
        <f>Table2PRN!G7447</f>
        <v>0</v>
      </c>
    </row>
    <row r="525" spans="1:7" x14ac:dyDescent="0.2">
      <c r="A525" t="s">
        <v>1755</v>
      </c>
      <c r="B525">
        <f>Table2PRN!B7448</f>
        <v>0</v>
      </c>
      <c r="C525">
        <f>Table2PRN!C7448</f>
        <v>0</v>
      </c>
      <c r="D525">
        <f>Table2PRN!D7448</f>
        <v>0</v>
      </c>
      <c r="E525">
        <f>Table2PRN!E7448</f>
        <v>0</v>
      </c>
      <c r="F525">
        <f>Table2PRN!F7448</f>
        <v>0</v>
      </c>
      <c r="G525">
        <f>Table2PRN!G7448</f>
        <v>0</v>
      </c>
    </row>
    <row r="526" spans="1:7" x14ac:dyDescent="0.2">
      <c r="A526" t="s">
        <v>1757</v>
      </c>
      <c r="B526">
        <f>Table2PRN!B7449</f>
        <v>0</v>
      </c>
      <c r="C526">
        <f>Table2PRN!C7449</f>
        <v>0</v>
      </c>
      <c r="D526">
        <f>Table2PRN!D7449</f>
        <v>0</v>
      </c>
      <c r="E526">
        <f>Table2PRN!E7449</f>
        <v>0</v>
      </c>
      <c r="F526">
        <f>Table2PRN!F7449</f>
        <v>0</v>
      </c>
      <c r="G526">
        <f>Table2PRN!G7449</f>
        <v>0</v>
      </c>
    </row>
    <row r="527" spans="1:7" x14ac:dyDescent="0.2">
      <c r="A527" t="s">
        <v>1761</v>
      </c>
      <c r="B527">
        <f>Table2PRN!B7450</f>
        <v>0</v>
      </c>
      <c r="C527">
        <f>Table2PRN!C7450</f>
        <v>0</v>
      </c>
      <c r="D527">
        <f>Table2PRN!D7450</f>
        <v>0</v>
      </c>
      <c r="E527">
        <f>Table2PRN!E7450</f>
        <v>0</v>
      </c>
      <c r="F527">
        <f>Table2PRN!F7450</f>
        <v>0</v>
      </c>
      <c r="G527">
        <f>Table2PRN!G7450</f>
        <v>0</v>
      </c>
    </row>
    <row r="528" spans="1:7" x14ac:dyDescent="0.2">
      <c r="A528" t="s">
        <v>1764</v>
      </c>
      <c r="B528">
        <f>Table2PRN!B7451</f>
        <v>0</v>
      </c>
      <c r="C528">
        <f>Table2PRN!C7451</f>
        <v>0</v>
      </c>
      <c r="D528">
        <f>Table2PRN!D7451</f>
        <v>0</v>
      </c>
      <c r="E528">
        <f>Table2PRN!E7451</f>
        <v>0</v>
      </c>
      <c r="F528">
        <f>Table2PRN!F7451</f>
        <v>0</v>
      </c>
      <c r="G528">
        <f>Table2PRN!G7451</f>
        <v>0</v>
      </c>
    </row>
    <row r="529" spans="1:7" x14ac:dyDescent="0.2">
      <c r="A529" t="s">
        <v>1770</v>
      </c>
      <c r="B529">
        <f>Table2PRN!B7452</f>
        <v>1</v>
      </c>
      <c r="C529">
        <f>Table2PRN!C7452</f>
        <v>1</v>
      </c>
      <c r="D529">
        <f>Table2PRN!D7452</f>
        <v>8</v>
      </c>
      <c r="E529">
        <f>Table2PRN!E7452</f>
        <v>17</v>
      </c>
      <c r="F529">
        <f>Table2PRN!F7452</f>
        <v>0</v>
      </c>
      <c r="G529">
        <f>Table2PRN!G7452</f>
        <v>28</v>
      </c>
    </row>
    <row r="530" spans="1:7" x14ac:dyDescent="0.2">
      <c r="A530" t="s">
        <v>1772</v>
      </c>
      <c r="B530">
        <f>Table2PRN!B7453</f>
        <v>0</v>
      </c>
      <c r="C530">
        <f>Table2PRN!C7453</f>
        <v>0</v>
      </c>
      <c r="D530">
        <f>Table2PRN!D7453</f>
        <v>0</v>
      </c>
      <c r="E530">
        <f>Table2PRN!E7453</f>
        <v>0</v>
      </c>
      <c r="F530">
        <f>Table2PRN!F7453</f>
        <v>0</v>
      </c>
      <c r="G530">
        <f>Table2PRN!G7453</f>
        <v>0</v>
      </c>
    </row>
    <row r="531" spans="1:7" x14ac:dyDescent="0.2">
      <c r="A531" t="s">
        <v>1774</v>
      </c>
      <c r="B531">
        <f>Table2PRN!B7454</f>
        <v>0</v>
      </c>
      <c r="C531">
        <f>Table2PRN!C7454</f>
        <v>0</v>
      </c>
      <c r="D531">
        <f>Table2PRN!D7454</f>
        <v>0</v>
      </c>
      <c r="E531">
        <f>Table2PRN!E7454</f>
        <v>0</v>
      </c>
      <c r="F531">
        <f>Table2PRN!F7454</f>
        <v>0</v>
      </c>
      <c r="G531">
        <f>Table2PRN!G7454</f>
        <v>0</v>
      </c>
    </row>
    <row r="532" spans="1:7" x14ac:dyDescent="0.2">
      <c r="A532" t="s">
        <v>1777</v>
      </c>
      <c r="B532">
        <f>Table2PRN!B7455</f>
        <v>0</v>
      </c>
      <c r="C532">
        <f>Table2PRN!C7455</f>
        <v>0</v>
      </c>
      <c r="D532">
        <f>Table2PRN!D7455</f>
        <v>0</v>
      </c>
      <c r="E532">
        <f>Table2PRN!E7455</f>
        <v>0</v>
      </c>
      <c r="F532">
        <f>Table2PRN!F7455</f>
        <v>0</v>
      </c>
      <c r="G532">
        <f>Table2PRN!G7455</f>
        <v>0</v>
      </c>
    </row>
    <row r="533" spans="1:7" x14ac:dyDescent="0.2">
      <c r="A533" t="s">
        <v>1782</v>
      </c>
      <c r="B533">
        <f>Table2PRN!B7456</f>
        <v>0</v>
      </c>
      <c r="C533">
        <f>Table2PRN!C7456</f>
        <v>0</v>
      </c>
      <c r="D533">
        <f>Table2PRN!D7456</f>
        <v>0</v>
      </c>
      <c r="E533">
        <f>Table2PRN!E7456</f>
        <v>0</v>
      </c>
      <c r="F533">
        <f>Table2PRN!F7456</f>
        <v>0</v>
      </c>
      <c r="G533">
        <f>Table2PRN!G7456</f>
        <v>0</v>
      </c>
    </row>
    <row r="534" spans="1:7" x14ac:dyDescent="0.2">
      <c r="A534" t="s">
        <v>1274</v>
      </c>
      <c r="B534">
        <f>Table2PRN!B7457</f>
        <v>0</v>
      </c>
      <c r="C534">
        <f>Table2PRN!C7457</f>
        <v>0</v>
      </c>
      <c r="D534">
        <f>Table2PRN!D7457</f>
        <v>0</v>
      </c>
      <c r="E534">
        <f>Table2PRN!E7457</f>
        <v>0</v>
      </c>
      <c r="F534">
        <f>Table2PRN!F7457</f>
        <v>0</v>
      </c>
      <c r="G534">
        <f>Table2PRN!G7457</f>
        <v>0</v>
      </c>
    </row>
    <row r="535" spans="1:7" x14ac:dyDescent="0.2">
      <c r="A535" t="s">
        <v>1277</v>
      </c>
      <c r="B535">
        <f>Table2PRN!B7458</f>
        <v>0</v>
      </c>
      <c r="C535">
        <f>Table2PRN!C7458</f>
        <v>0</v>
      </c>
      <c r="D535">
        <f>Table2PRN!D7458</f>
        <v>0</v>
      </c>
      <c r="E535">
        <f>Table2PRN!E7458</f>
        <v>0</v>
      </c>
      <c r="F535">
        <f>Table2PRN!F7458</f>
        <v>0</v>
      </c>
      <c r="G535">
        <f>Table2PRN!G7458</f>
        <v>0</v>
      </c>
    </row>
    <row r="536" spans="1:7" x14ac:dyDescent="0.2">
      <c r="A536" t="s">
        <v>1798</v>
      </c>
      <c r="B536">
        <f>Table2PRN!B7459</f>
        <v>0</v>
      </c>
      <c r="C536">
        <f>Table2PRN!C7459</f>
        <v>0</v>
      </c>
      <c r="D536">
        <f>Table2PRN!D7459</f>
        <v>0</v>
      </c>
      <c r="E536">
        <f>Table2PRN!E7459</f>
        <v>0</v>
      </c>
      <c r="F536">
        <f>Table2PRN!F7459</f>
        <v>0</v>
      </c>
      <c r="G536">
        <f>Table2PRN!G7459</f>
        <v>0</v>
      </c>
    </row>
    <row r="537" spans="1:7" x14ac:dyDescent="0.2">
      <c r="A537" t="s">
        <v>1803</v>
      </c>
      <c r="B537">
        <f>Table2PRN!B7460</f>
        <v>0</v>
      </c>
      <c r="C537">
        <f>Table2PRN!C7460</f>
        <v>0</v>
      </c>
      <c r="D537">
        <f>Table2PRN!D7460</f>
        <v>0</v>
      </c>
      <c r="E537">
        <f>Table2PRN!E7460</f>
        <v>0</v>
      </c>
      <c r="F537">
        <f>Table2PRN!F7460</f>
        <v>0</v>
      </c>
      <c r="G537">
        <f>Table2PRN!G7460</f>
        <v>0</v>
      </c>
    </row>
    <row r="538" spans="1:7" x14ac:dyDescent="0.2">
      <c r="A538" t="s">
        <v>1808</v>
      </c>
      <c r="B538">
        <f>Table2PRN!B7461</f>
        <v>0</v>
      </c>
      <c r="C538">
        <f>Table2PRN!C7461</f>
        <v>0</v>
      </c>
      <c r="D538">
        <f>Table2PRN!D7461</f>
        <v>0</v>
      </c>
      <c r="E538">
        <f>Table2PRN!E7461</f>
        <v>0</v>
      </c>
      <c r="F538">
        <f>Table2PRN!F7461</f>
        <v>0</v>
      </c>
      <c r="G538">
        <f>Table2PRN!G7461</f>
        <v>0</v>
      </c>
    </row>
    <row r="539" spans="1:7" x14ac:dyDescent="0.2">
      <c r="A539" t="s">
        <v>1813</v>
      </c>
      <c r="B539">
        <f>Table2PRN!B7462</f>
        <v>0</v>
      </c>
      <c r="C539">
        <f>Table2PRN!C7462</f>
        <v>0</v>
      </c>
      <c r="D539">
        <f>Table2PRN!D7462</f>
        <v>0</v>
      </c>
      <c r="E539">
        <f>Table2PRN!E7462</f>
        <v>0</v>
      </c>
      <c r="F539">
        <f>Table2PRN!F7462</f>
        <v>0</v>
      </c>
      <c r="G539">
        <f>Table2PRN!G7462</f>
        <v>0</v>
      </c>
    </row>
    <row r="540" spans="1:7" x14ac:dyDescent="0.2">
      <c r="A540" t="s">
        <v>1819</v>
      </c>
      <c r="B540">
        <f>Table2PRN!B7463</f>
        <v>0</v>
      </c>
      <c r="C540">
        <f>Table2PRN!C7463</f>
        <v>0</v>
      </c>
      <c r="D540">
        <f>Table2PRN!D7463</f>
        <v>0</v>
      </c>
      <c r="E540">
        <f>Table2PRN!E7463</f>
        <v>0</v>
      </c>
      <c r="F540">
        <f>Table2PRN!F7463</f>
        <v>0</v>
      </c>
      <c r="G540">
        <f>Table2PRN!G7463</f>
        <v>0</v>
      </c>
    </row>
    <row r="541" spans="1:7" x14ac:dyDescent="0.2">
      <c r="A541" t="s">
        <v>1826</v>
      </c>
      <c r="B541">
        <f>Table2PRN!B7464</f>
        <v>0</v>
      </c>
      <c r="C541">
        <f>Table2PRN!C7464</f>
        <v>0</v>
      </c>
      <c r="D541">
        <f>Table2PRN!D7464</f>
        <v>0</v>
      </c>
      <c r="E541">
        <f>Table2PRN!E7464</f>
        <v>0</v>
      </c>
      <c r="F541">
        <f>Table2PRN!F7464</f>
        <v>0</v>
      </c>
      <c r="G541">
        <f>Table2PRN!G7464</f>
        <v>0</v>
      </c>
    </row>
    <row r="542" spans="1:7" x14ac:dyDescent="0.2">
      <c r="A542" t="s">
        <v>1830</v>
      </c>
      <c r="B542">
        <f>Table2PRN!B7465</f>
        <v>0</v>
      </c>
      <c r="C542">
        <f>Table2PRN!C7465</f>
        <v>0</v>
      </c>
      <c r="D542">
        <f>Table2PRN!D7465</f>
        <v>0</v>
      </c>
      <c r="E542">
        <f>Table2PRN!E7465</f>
        <v>0</v>
      </c>
      <c r="F542">
        <f>Table2PRN!F7465</f>
        <v>0</v>
      </c>
      <c r="G542">
        <f>Table2PRN!G7465</f>
        <v>0</v>
      </c>
    </row>
    <row r="543" spans="1:7" x14ac:dyDescent="0.2">
      <c r="A543" t="s">
        <v>1836</v>
      </c>
      <c r="B543">
        <f>Table2PRN!B7466</f>
        <v>0</v>
      </c>
      <c r="C543">
        <f>Table2PRN!C7466</f>
        <v>0</v>
      </c>
      <c r="D543">
        <f>Table2PRN!D7466</f>
        <v>0</v>
      </c>
      <c r="E543">
        <f>Table2PRN!E7466</f>
        <v>0</v>
      </c>
      <c r="F543">
        <f>Table2PRN!F7466</f>
        <v>0</v>
      </c>
      <c r="G543">
        <f>Table2PRN!G7466</f>
        <v>0</v>
      </c>
    </row>
    <row r="544" spans="1:7" x14ac:dyDescent="0.2">
      <c r="A544" t="s">
        <v>1841</v>
      </c>
      <c r="B544">
        <f>Table2PRN!B7467</f>
        <v>0</v>
      </c>
      <c r="C544">
        <f>Table2PRN!C7467</f>
        <v>0</v>
      </c>
      <c r="D544">
        <f>Table2PRN!D7467</f>
        <v>0</v>
      </c>
      <c r="E544">
        <f>Table2PRN!E7467</f>
        <v>0</v>
      </c>
      <c r="F544">
        <f>Table2PRN!F7467</f>
        <v>0</v>
      </c>
      <c r="G544">
        <f>Table2PRN!G7467</f>
        <v>0</v>
      </c>
    </row>
    <row r="545" spans="1:7" x14ac:dyDescent="0.2">
      <c r="A545" t="s">
        <v>1842</v>
      </c>
      <c r="B545">
        <f>Table2PRN!B7468</f>
        <v>0</v>
      </c>
      <c r="C545">
        <f>Table2PRN!C7468</f>
        <v>0</v>
      </c>
      <c r="D545">
        <f>Table2PRN!D7468</f>
        <v>5</v>
      </c>
      <c r="E545">
        <f>Table2PRN!E7468</f>
        <v>0</v>
      </c>
      <c r="F545">
        <f>Table2PRN!F7468</f>
        <v>0</v>
      </c>
      <c r="G545">
        <f>Table2PRN!G7468</f>
        <v>5</v>
      </c>
    </row>
    <row r="546" spans="1:7" x14ac:dyDescent="0.2">
      <c r="A546" t="s">
        <v>1843</v>
      </c>
      <c r="B546">
        <f>Table2PRN!B7469</f>
        <v>0</v>
      </c>
      <c r="C546">
        <f>Table2PRN!C7469</f>
        <v>0</v>
      </c>
      <c r="D546">
        <f>Table2PRN!D7469</f>
        <v>0</v>
      </c>
      <c r="E546">
        <f>Table2PRN!E7469</f>
        <v>0</v>
      </c>
      <c r="F546">
        <f>Table2PRN!F7469</f>
        <v>0</v>
      </c>
      <c r="G546">
        <f>Table2PRN!G7469</f>
        <v>0</v>
      </c>
    </row>
    <row r="547" spans="1:7" x14ac:dyDescent="0.2">
      <c r="A547" t="s">
        <v>1846</v>
      </c>
      <c r="B547">
        <f>Table2PRN!B7470</f>
        <v>0</v>
      </c>
      <c r="C547">
        <f>Table2PRN!C7470</f>
        <v>0</v>
      </c>
      <c r="D547">
        <f>Table2PRN!D7470</f>
        <v>0</v>
      </c>
      <c r="E547">
        <f>Table2PRN!E7470</f>
        <v>0</v>
      </c>
      <c r="F547">
        <f>Table2PRN!F7470</f>
        <v>0</v>
      </c>
      <c r="G547">
        <f>Table2PRN!G7470</f>
        <v>0</v>
      </c>
    </row>
    <row r="548" spans="1:7" x14ac:dyDescent="0.2">
      <c r="A548" t="s">
        <v>1851</v>
      </c>
      <c r="B548">
        <f>Table2PRN!B7471</f>
        <v>0</v>
      </c>
      <c r="C548">
        <f>Table2PRN!C7471</f>
        <v>0</v>
      </c>
      <c r="D548">
        <f>Table2PRN!D7471</f>
        <v>0</v>
      </c>
      <c r="E548">
        <f>Table2PRN!E7471</f>
        <v>0</v>
      </c>
      <c r="F548">
        <f>Table2PRN!F7471</f>
        <v>0</v>
      </c>
      <c r="G548">
        <f>Table2PRN!G7471</f>
        <v>0</v>
      </c>
    </row>
    <row r="549" spans="1:7" x14ac:dyDescent="0.2">
      <c r="A549" t="s">
        <v>1857</v>
      </c>
      <c r="B549">
        <f>Table2PRN!B7472</f>
        <v>0</v>
      </c>
      <c r="C549">
        <f>Table2PRN!C7472</f>
        <v>0</v>
      </c>
      <c r="D549">
        <f>Table2PRN!D7472</f>
        <v>0</v>
      </c>
      <c r="E549">
        <f>Table2PRN!E7472</f>
        <v>0</v>
      </c>
      <c r="F549">
        <f>Table2PRN!F7472</f>
        <v>0</v>
      </c>
      <c r="G549">
        <f>Table2PRN!G7472</f>
        <v>0</v>
      </c>
    </row>
    <row r="550" spans="1:7" x14ac:dyDescent="0.2">
      <c r="A550" t="s">
        <v>1862</v>
      </c>
      <c r="B550">
        <f>Table2PRN!B7473</f>
        <v>0</v>
      </c>
      <c r="C550">
        <f>Table2PRN!C7473</f>
        <v>0</v>
      </c>
      <c r="D550">
        <f>Table2PRN!D7473</f>
        <v>0</v>
      </c>
      <c r="E550">
        <f>Table2PRN!E7473</f>
        <v>0</v>
      </c>
      <c r="F550">
        <f>Table2PRN!F7473</f>
        <v>0</v>
      </c>
      <c r="G550">
        <f>Table2PRN!G7473</f>
        <v>0</v>
      </c>
    </row>
    <row r="551" spans="1:7" x14ac:dyDescent="0.2">
      <c r="A551" t="s">
        <v>1867</v>
      </c>
      <c r="B551">
        <f>Table2PRN!B7474</f>
        <v>0</v>
      </c>
      <c r="C551">
        <f>Table2PRN!C7474</f>
        <v>0</v>
      </c>
      <c r="D551">
        <f>Table2PRN!D7474</f>
        <v>0</v>
      </c>
      <c r="E551">
        <f>Table2PRN!E7474</f>
        <v>0</v>
      </c>
      <c r="F551">
        <f>Table2PRN!F7474</f>
        <v>0</v>
      </c>
      <c r="G551">
        <f>Table2PRN!G7474</f>
        <v>0</v>
      </c>
    </row>
    <row r="552" spans="1:7" x14ac:dyDescent="0.2">
      <c r="A552" t="s">
        <v>1870</v>
      </c>
      <c r="B552">
        <f>Table2PRN!B7475</f>
        <v>0</v>
      </c>
      <c r="C552">
        <f>Table2PRN!C7475</f>
        <v>0</v>
      </c>
      <c r="D552">
        <f>Table2PRN!D7475</f>
        <v>0</v>
      </c>
      <c r="E552">
        <f>Table2PRN!E7475</f>
        <v>0</v>
      </c>
      <c r="F552">
        <f>Table2PRN!F7475</f>
        <v>0</v>
      </c>
      <c r="G552">
        <f>Table2PRN!G7475</f>
        <v>0</v>
      </c>
    </row>
    <row r="553" spans="1:7" x14ac:dyDescent="0.2">
      <c r="A553" t="s">
        <v>1874</v>
      </c>
      <c r="B553">
        <f>Table2PRN!B7476</f>
        <v>0</v>
      </c>
      <c r="C553">
        <f>Table2PRN!C7476</f>
        <v>0</v>
      </c>
      <c r="D553">
        <f>Table2PRN!D7476</f>
        <v>0</v>
      </c>
      <c r="E553">
        <f>Table2PRN!E7476</f>
        <v>0</v>
      </c>
      <c r="F553">
        <f>Table2PRN!F7476</f>
        <v>0</v>
      </c>
      <c r="G553">
        <f>Table2PRN!G7476</f>
        <v>0</v>
      </c>
    </row>
    <row r="554" spans="1:7" x14ac:dyDescent="0.2">
      <c r="A554" t="s">
        <v>1876</v>
      </c>
      <c r="B554">
        <f>Table2PRN!B7477</f>
        <v>0</v>
      </c>
      <c r="C554">
        <f>Table2PRN!C7477</f>
        <v>0</v>
      </c>
      <c r="D554">
        <f>Table2PRN!D7477</f>
        <v>0</v>
      </c>
      <c r="E554">
        <f>Table2PRN!E7477</f>
        <v>0</v>
      </c>
      <c r="F554">
        <f>Table2PRN!F7477</f>
        <v>0</v>
      </c>
      <c r="G554">
        <f>Table2PRN!G7477</f>
        <v>0</v>
      </c>
    </row>
    <row r="555" spans="1:7" x14ac:dyDescent="0.2">
      <c r="A555" t="s">
        <v>1881</v>
      </c>
      <c r="B555">
        <f>Table2PRN!B7478</f>
        <v>0</v>
      </c>
      <c r="C555">
        <f>Table2PRN!C7478</f>
        <v>0</v>
      </c>
      <c r="D555">
        <f>Table2PRN!D7478</f>
        <v>0</v>
      </c>
      <c r="E555">
        <f>Table2PRN!E7478</f>
        <v>0</v>
      </c>
      <c r="F555">
        <f>Table2PRN!F7478</f>
        <v>0</v>
      </c>
      <c r="G555">
        <f>Table2PRN!G7478</f>
        <v>0</v>
      </c>
    </row>
    <row r="556" spans="1:7" x14ac:dyDescent="0.2">
      <c r="A556" t="s">
        <v>1885</v>
      </c>
      <c r="B556">
        <f>Table2PRN!B7479</f>
        <v>0</v>
      </c>
      <c r="C556">
        <f>Table2PRN!C7479</f>
        <v>10</v>
      </c>
      <c r="D556">
        <f>Table2PRN!D7479</f>
        <v>0</v>
      </c>
      <c r="E556">
        <f>Table2PRN!E7479</f>
        <v>0</v>
      </c>
      <c r="F556">
        <f>Table2PRN!F7479</f>
        <v>0</v>
      </c>
      <c r="G556">
        <f>Table2PRN!G7479</f>
        <v>10</v>
      </c>
    </row>
    <row r="557" spans="1:7" x14ac:dyDescent="0.2">
      <c r="A557" t="s">
        <v>1887</v>
      </c>
      <c r="B557">
        <f>Table2PRN!B7480</f>
        <v>0</v>
      </c>
      <c r="C557">
        <f>Table2PRN!C7480</f>
        <v>0</v>
      </c>
      <c r="D557">
        <f>Table2PRN!D7480</f>
        <v>0</v>
      </c>
      <c r="E557">
        <f>Table2PRN!E7480</f>
        <v>0</v>
      </c>
      <c r="F557">
        <f>Table2PRN!F7480</f>
        <v>0</v>
      </c>
      <c r="G557">
        <f>Table2PRN!G7480</f>
        <v>0</v>
      </c>
    </row>
    <row r="558" spans="1:7" x14ac:dyDescent="0.2">
      <c r="A558" t="s">
        <v>1893</v>
      </c>
      <c r="B558">
        <f>Table2PRN!B7481</f>
        <v>0</v>
      </c>
      <c r="C558">
        <f>Table2PRN!C7481</f>
        <v>0</v>
      </c>
      <c r="D558">
        <f>Table2PRN!D7481</f>
        <v>0</v>
      </c>
      <c r="E558">
        <f>Table2PRN!E7481</f>
        <v>0</v>
      </c>
      <c r="F558">
        <f>Table2PRN!F7481</f>
        <v>0</v>
      </c>
      <c r="G558">
        <f>Table2PRN!G7481</f>
        <v>0</v>
      </c>
    </row>
    <row r="559" spans="1:7" x14ac:dyDescent="0.2">
      <c r="A559" t="s">
        <v>1899</v>
      </c>
      <c r="B559">
        <f>Table2PRN!B7482</f>
        <v>0</v>
      </c>
      <c r="C559">
        <f>Table2PRN!C7482</f>
        <v>0</v>
      </c>
      <c r="D559">
        <f>Table2PRN!D7482</f>
        <v>0</v>
      </c>
      <c r="E559">
        <f>Table2PRN!E7482</f>
        <v>0</v>
      </c>
      <c r="F559">
        <f>Table2PRN!F7482</f>
        <v>0</v>
      </c>
      <c r="G559">
        <f>Table2PRN!G7482</f>
        <v>0</v>
      </c>
    </row>
    <row r="560" spans="1:7" x14ac:dyDescent="0.2">
      <c r="A560" t="s">
        <v>1906</v>
      </c>
      <c r="B560">
        <f>Table2PRN!B7483</f>
        <v>0</v>
      </c>
      <c r="C560">
        <f>Table2PRN!C7483</f>
        <v>0</v>
      </c>
      <c r="D560">
        <f>Table2PRN!D7483</f>
        <v>0</v>
      </c>
      <c r="E560">
        <f>Table2PRN!E7483</f>
        <v>0</v>
      </c>
      <c r="F560">
        <f>Table2PRN!F7483</f>
        <v>0</v>
      </c>
      <c r="G560">
        <f>Table2PRN!G7483</f>
        <v>0</v>
      </c>
    </row>
    <row r="561" spans="1:7" x14ac:dyDescent="0.2">
      <c r="A561" t="s">
        <v>1911</v>
      </c>
      <c r="B561">
        <f>Table2PRN!B7484</f>
        <v>0</v>
      </c>
      <c r="C561">
        <f>Table2PRN!C7484</f>
        <v>0</v>
      </c>
      <c r="D561">
        <f>Table2PRN!D7484</f>
        <v>0</v>
      </c>
      <c r="E561">
        <f>Table2PRN!E7484</f>
        <v>0</v>
      </c>
      <c r="F561">
        <f>Table2PRN!F7484</f>
        <v>0</v>
      </c>
      <c r="G561">
        <f>Table2PRN!G7484</f>
        <v>0</v>
      </c>
    </row>
    <row r="562" spans="1:7" x14ac:dyDescent="0.2">
      <c r="A562" t="s">
        <v>1917</v>
      </c>
      <c r="B562">
        <f>Table2PRN!B7485</f>
        <v>0</v>
      </c>
      <c r="C562">
        <f>Table2PRN!C7485</f>
        <v>0</v>
      </c>
      <c r="D562">
        <f>Table2PRN!D7485</f>
        <v>0</v>
      </c>
      <c r="E562">
        <f>Table2PRN!E7485</f>
        <v>0</v>
      </c>
      <c r="F562">
        <f>Table2PRN!F7485</f>
        <v>0</v>
      </c>
      <c r="G562">
        <f>Table2PRN!G7485</f>
        <v>0</v>
      </c>
    </row>
    <row r="563" spans="1:7" x14ac:dyDescent="0.2">
      <c r="A563" t="s">
        <v>1922</v>
      </c>
      <c r="B563">
        <f>Table2PRN!B7486</f>
        <v>0</v>
      </c>
      <c r="C563">
        <f>Table2PRN!C7486</f>
        <v>0</v>
      </c>
      <c r="D563">
        <f>Table2PRN!D7486</f>
        <v>0</v>
      </c>
      <c r="E563">
        <f>Table2PRN!E7486</f>
        <v>0</v>
      </c>
      <c r="F563">
        <f>Table2PRN!F7486</f>
        <v>0</v>
      </c>
      <c r="G563">
        <f>Table2PRN!G7486</f>
        <v>0</v>
      </c>
    </row>
    <row r="564" spans="1:7" x14ac:dyDescent="0.2">
      <c r="A564" t="s">
        <v>1928</v>
      </c>
      <c r="B564">
        <f>Table2PRN!B7487</f>
        <v>0</v>
      </c>
      <c r="C564">
        <f>Table2PRN!C7487</f>
        <v>0</v>
      </c>
      <c r="D564">
        <f>Table2PRN!D7487</f>
        <v>0</v>
      </c>
      <c r="E564">
        <f>Table2PRN!E7487</f>
        <v>0</v>
      </c>
      <c r="F564">
        <f>Table2PRN!F7487</f>
        <v>0</v>
      </c>
      <c r="G564">
        <f>Table2PRN!G7487</f>
        <v>0</v>
      </c>
    </row>
    <row r="565" spans="1:7" x14ac:dyDescent="0.2">
      <c r="A565" t="s">
        <v>1932</v>
      </c>
      <c r="B565">
        <f>Table2PRN!B7488</f>
        <v>0</v>
      </c>
      <c r="C565">
        <f>Table2PRN!C7488</f>
        <v>0</v>
      </c>
      <c r="D565">
        <f>Table2PRN!D7488</f>
        <v>0</v>
      </c>
      <c r="E565">
        <f>Table2PRN!E7488</f>
        <v>0</v>
      </c>
      <c r="F565">
        <f>Table2PRN!F7488</f>
        <v>0</v>
      </c>
      <c r="G565">
        <f>Table2PRN!G7488</f>
        <v>0</v>
      </c>
    </row>
    <row r="566" spans="1:7" x14ac:dyDescent="0.2">
      <c r="A566" t="s">
        <v>1938</v>
      </c>
      <c r="B566">
        <f>Table2PRN!B7489</f>
        <v>0</v>
      </c>
      <c r="C566">
        <f>Table2PRN!C7489</f>
        <v>0</v>
      </c>
      <c r="D566">
        <f>Table2PRN!D7489</f>
        <v>0</v>
      </c>
      <c r="E566">
        <f>Table2PRN!E7489</f>
        <v>0</v>
      </c>
      <c r="F566">
        <f>Table2PRN!F7489</f>
        <v>0</v>
      </c>
      <c r="G566">
        <f>Table2PRN!G7489</f>
        <v>0</v>
      </c>
    </row>
    <row r="567" spans="1:7" x14ac:dyDescent="0.2">
      <c r="A567" t="s">
        <v>1944</v>
      </c>
      <c r="B567">
        <f>Table2PRN!B7490</f>
        <v>0</v>
      </c>
      <c r="C567">
        <f>Table2PRN!C7490</f>
        <v>0</v>
      </c>
      <c r="D567">
        <f>Table2PRN!D7490</f>
        <v>0</v>
      </c>
      <c r="E567">
        <f>Table2PRN!E7490</f>
        <v>0</v>
      </c>
      <c r="F567">
        <f>Table2PRN!F7490</f>
        <v>0</v>
      </c>
      <c r="G567">
        <f>Table2PRN!G7490</f>
        <v>0</v>
      </c>
    </row>
    <row r="568" spans="1:7" x14ac:dyDescent="0.2">
      <c r="A568" t="s">
        <v>1947</v>
      </c>
      <c r="B568">
        <f>Table2PRN!B7491</f>
        <v>0</v>
      </c>
      <c r="C568">
        <f>Table2PRN!C7491</f>
        <v>0</v>
      </c>
      <c r="D568">
        <f>Table2PRN!D7491</f>
        <v>0</v>
      </c>
      <c r="E568">
        <f>Table2PRN!E7491</f>
        <v>0</v>
      </c>
      <c r="F568">
        <f>Table2PRN!F7491</f>
        <v>0</v>
      </c>
      <c r="G568">
        <f>Table2PRN!G7491</f>
        <v>0</v>
      </c>
    </row>
    <row r="569" spans="1:7" x14ac:dyDescent="0.2">
      <c r="A569" t="s">
        <v>1953</v>
      </c>
      <c r="B569">
        <f>Table2PRN!B7492</f>
        <v>0</v>
      </c>
      <c r="C569">
        <f>Table2PRN!C7492</f>
        <v>0</v>
      </c>
      <c r="D569">
        <f>Table2PRN!D7492</f>
        <v>0</v>
      </c>
      <c r="E569">
        <f>Table2PRN!E7492</f>
        <v>0</v>
      </c>
      <c r="F569">
        <f>Table2PRN!F7492</f>
        <v>0</v>
      </c>
      <c r="G569">
        <f>Table2PRN!G7492</f>
        <v>0</v>
      </c>
    </row>
    <row r="570" spans="1:7" x14ac:dyDescent="0.2">
      <c r="A570" t="s">
        <v>1958</v>
      </c>
      <c r="B570">
        <f>Table2PRN!B7493</f>
        <v>0</v>
      </c>
      <c r="C570">
        <f>Table2PRN!C7493</f>
        <v>0</v>
      </c>
      <c r="D570">
        <f>Table2PRN!D7493</f>
        <v>0</v>
      </c>
      <c r="E570">
        <f>Table2PRN!E7493</f>
        <v>0</v>
      </c>
      <c r="F570">
        <f>Table2PRN!F7493</f>
        <v>0</v>
      </c>
      <c r="G570">
        <f>Table2PRN!G7493</f>
        <v>0</v>
      </c>
    </row>
    <row r="571" spans="1:7" x14ac:dyDescent="0.2">
      <c r="A571" t="s">
        <v>1964</v>
      </c>
      <c r="B571">
        <f>Table2PRN!B7494</f>
        <v>0</v>
      </c>
      <c r="C571">
        <f>Table2PRN!C7494</f>
        <v>0</v>
      </c>
      <c r="D571">
        <f>Table2PRN!D7494</f>
        <v>0</v>
      </c>
      <c r="E571">
        <f>Table2PRN!E7494</f>
        <v>0</v>
      </c>
      <c r="F571">
        <f>Table2PRN!F7494</f>
        <v>0</v>
      </c>
      <c r="G571">
        <f>Table2PRN!G7494</f>
        <v>0</v>
      </c>
    </row>
    <row r="572" spans="1:7" x14ac:dyDescent="0.2">
      <c r="A572" t="s">
        <v>1973</v>
      </c>
      <c r="B572">
        <f>Table2PRN!B7495</f>
        <v>0</v>
      </c>
      <c r="C572">
        <f>Table2PRN!C7495</f>
        <v>0</v>
      </c>
      <c r="D572">
        <f>Table2PRN!D7495</f>
        <v>0</v>
      </c>
      <c r="E572">
        <f>Table2PRN!E7495</f>
        <v>0</v>
      </c>
      <c r="F572">
        <f>Table2PRN!F7495</f>
        <v>0</v>
      </c>
      <c r="G572">
        <f>Table2PRN!G7495</f>
        <v>0</v>
      </c>
    </row>
    <row r="573" spans="1:7" x14ac:dyDescent="0.2">
      <c r="A573" t="s">
        <v>1978</v>
      </c>
      <c r="B573">
        <f>Table2PRN!B7496</f>
        <v>0</v>
      </c>
      <c r="C573">
        <f>Table2PRN!C7496</f>
        <v>0</v>
      </c>
      <c r="D573">
        <f>Table2PRN!D7496</f>
        <v>0</v>
      </c>
      <c r="E573">
        <f>Table2PRN!E7496</f>
        <v>0</v>
      </c>
      <c r="F573">
        <f>Table2PRN!F7496</f>
        <v>0</v>
      </c>
      <c r="G573">
        <f>Table2PRN!G7496</f>
        <v>0</v>
      </c>
    </row>
    <row r="574" spans="1:7" x14ac:dyDescent="0.2">
      <c r="A574" t="s">
        <v>1983</v>
      </c>
      <c r="B574">
        <f>Table2PRN!B7497</f>
        <v>0</v>
      </c>
      <c r="C574">
        <f>Table2PRN!C7497</f>
        <v>0</v>
      </c>
      <c r="D574">
        <f>Table2PRN!D7497</f>
        <v>0</v>
      </c>
      <c r="E574">
        <f>Table2PRN!E7497</f>
        <v>0</v>
      </c>
      <c r="F574">
        <f>Table2PRN!F7497</f>
        <v>0</v>
      </c>
      <c r="G574">
        <f>Table2PRN!G7497</f>
        <v>0</v>
      </c>
    </row>
    <row r="575" spans="1:7" x14ac:dyDescent="0.2">
      <c r="A575" t="s">
        <v>1984</v>
      </c>
      <c r="B575">
        <f>Table2PRN!B7498</f>
        <v>0</v>
      </c>
      <c r="C575">
        <f>Table2PRN!C7498</f>
        <v>0</v>
      </c>
      <c r="D575">
        <f>Table2PRN!D7498</f>
        <v>0</v>
      </c>
      <c r="E575">
        <f>Table2PRN!E7498</f>
        <v>0</v>
      </c>
      <c r="F575">
        <f>Table2PRN!F7498</f>
        <v>0</v>
      </c>
      <c r="G575">
        <f>Table2PRN!G7498</f>
        <v>0</v>
      </c>
    </row>
    <row r="576" spans="1:7" x14ac:dyDescent="0.2">
      <c r="A576" t="s">
        <v>1990</v>
      </c>
      <c r="B576">
        <f>Table2PRN!B7499</f>
        <v>0</v>
      </c>
      <c r="C576">
        <f>Table2PRN!C7499</f>
        <v>0</v>
      </c>
      <c r="D576">
        <f>Table2PRN!D7499</f>
        <v>0</v>
      </c>
      <c r="E576">
        <f>Table2PRN!E7499</f>
        <v>0</v>
      </c>
      <c r="F576">
        <f>Table2PRN!F7499</f>
        <v>0</v>
      </c>
      <c r="G576">
        <f>Table2PRN!G7499</f>
        <v>0</v>
      </c>
    </row>
    <row r="577" spans="1:7" x14ac:dyDescent="0.2">
      <c r="A577" t="s">
        <v>1996</v>
      </c>
      <c r="B577">
        <f>Table2PRN!B7500</f>
        <v>0</v>
      </c>
      <c r="C577">
        <f>Table2PRN!C7500</f>
        <v>0</v>
      </c>
      <c r="D577">
        <f>Table2PRN!D7500</f>
        <v>0</v>
      </c>
      <c r="E577">
        <f>Table2PRN!E7500</f>
        <v>0</v>
      </c>
      <c r="F577">
        <f>Table2PRN!F7500</f>
        <v>0</v>
      </c>
      <c r="G577">
        <f>Table2PRN!G7500</f>
        <v>0</v>
      </c>
    </row>
    <row r="578" spans="1:7" x14ac:dyDescent="0.2">
      <c r="A578" t="s">
        <v>1998</v>
      </c>
      <c r="B578">
        <f>Table2PRN!B7501</f>
        <v>0</v>
      </c>
      <c r="C578">
        <f>Table2PRN!C7501</f>
        <v>0</v>
      </c>
      <c r="D578">
        <f>Table2PRN!D7501</f>
        <v>0</v>
      </c>
      <c r="E578">
        <f>Table2PRN!E7501</f>
        <v>0</v>
      </c>
      <c r="F578">
        <f>Table2PRN!F7501</f>
        <v>0</v>
      </c>
      <c r="G578">
        <f>Table2PRN!G7501</f>
        <v>0</v>
      </c>
    </row>
    <row r="579" spans="1:7" x14ac:dyDescent="0.2">
      <c r="A579" t="s">
        <v>1999</v>
      </c>
      <c r="B579">
        <f>Table2PRN!B7502</f>
        <v>0</v>
      </c>
      <c r="C579">
        <f>Table2PRN!C7502</f>
        <v>0</v>
      </c>
      <c r="D579">
        <f>Table2PRN!D7502</f>
        <v>0</v>
      </c>
      <c r="E579">
        <f>Table2PRN!E7502</f>
        <v>0</v>
      </c>
      <c r="F579">
        <f>Table2PRN!F7502</f>
        <v>0</v>
      </c>
      <c r="G579">
        <f>Table2PRN!G7502</f>
        <v>0</v>
      </c>
    </row>
    <row r="580" spans="1:7" x14ac:dyDescent="0.2">
      <c r="A580" t="s">
        <v>2004</v>
      </c>
      <c r="B580">
        <f>Table2PRN!B7503</f>
        <v>0</v>
      </c>
      <c r="C580">
        <f>Table2PRN!C7503</f>
        <v>0</v>
      </c>
      <c r="D580">
        <f>Table2PRN!D7503</f>
        <v>0</v>
      </c>
      <c r="E580">
        <f>Table2PRN!E7503</f>
        <v>0</v>
      </c>
      <c r="F580">
        <f>Table2PRN!F7503</f>
        <v>0</v>
      </c>
      <c r="G580">
        <f>Table2PRN!G7503</f>
        <v>0</v>
      </c>
    </row>
    <row r="581" spans="1:7" x14ac:dyDescent="0.2">
      <c r="A581" t="s">
        <v>2009</v>
      </c>
      <c r="B581">
        <f>Table2PRN!B7504</f>
        <v>0</v>
      </c>
      <c r="C581">
        <f>Table2PRN!C7504</f>
        <v>0</v>
      </c>
      <c r="D581">
        <f>Table2PRN!D7504</f>
        <v>0</v>
      </c>
      <c r="E581">
        <f>Table2PRN!E7504</f>
        <v>0</v>
      </c>
      <c r="F581">
        <f>Table2PRN!F7504</f>
        <v>0</v>
      </c>
      <c r="G581">
        <f>Table2PRN!G7504</f>
        <v>0</v>
      </c>
    </row>
    <row r="582" spans="1:7" x14ac:dyDescent="0.2">
      <c r="A582" t="s">
        <v>2014</v>
      </c>
      <c r="B582">
        <f>Table2PRN!B7505</f>
        <v>0</v>
      </c>
      <c r="C582">
        <f>Table2PRN!C7505</f>
        <v>0</v>
      </c>
      <c r="D582">
        <f>Table2PRN!D7505</f>
        <v>0</v>
      </c>
      <c r="E582">
        <f>Table2PRN!E7505</f>
        <v>0</v>
      </c>
      <c r="F582">
        <f>Table2PRN!F7505</f>
        <v>0</v>
      </c>
      <c r="G582">
        <f>Table2PRN!G7505</f>
        <v>0</v>
      </c>
    </row>
    <row r="583" spans="1:7" x14ac:dyDescent="0.2">
      <c r="A583" t="s">
        <v>2019</v>
      </c>
      <c r="B583">
        <f>Table2PRN!B7506</f>
        <v>0</v>
      </c>
      <c r="C583">
        <f>Table2PRN!C7506</f>
        <v>0</v>
      </c>
      <c r="D583">
        <f>Table2PRN!D7506</f>
        <v>0</v>
      </c>
      <c r="E583">
        <f>Table2PRN!E7506</f>
        <v>0</v>
      </c>
      <c r="F583">
        <f>Table2PRN!F7506</f>
        <v>0</v>
      </c>
      <c r="G583">
        <f>Table2PRN!G7506</f>
        <v>0</v>
      </c>
    </row>
    <row r="584" spans="1:7" x14ac:dyDescent="0.2">
      <c r="A584" t="s">
        <v>2023</v>
      </c>
      <c r="B584">
        <f>Table2PRN!B7507</f>
        <v>0</v>
      </c>
      <c r="C584">
        <f>Table2PRN!C7507</f>
        <v>0</v>
      </c>
      <c r="D584">
        <f>Table2PRN!D7507</f>
        <v>0</v>
      </c>
      <c r="E584">
        <f>Table2PRN!E7507</f>
        <v>0</v>
      </c>
      <c r="F584">
        <f>Table2PRN!F7507</f>
        <v>0</v>
      </c>
      <c r="G584">
        <f>Table2PRN!G7507</f>
        <v>0</v>
      </c>
    </row>
    <row r="585" spans="1:7" x14ac:dyDescent="0.2">
      <c r="A585" t="s">
        <v>2026</v>
      </c>
      <c r="B585">
        <f>Table2PRN!B7508</f>
        <v>0</v>
      </c>
      <c r="C585">
        <f>Table2PRN!C7508</f>
        <v>0</v>
      </c>
      <c r="D585">
        <f>Table2PRN!D7508</f>
        <v>0</v>
      </c>
      <c r="E585">
        <f>Table2PRN!E7508</f>
        <v>0</v>
      </c>
      <c r="F585">
        <f>Table2PRN!F7508</f>
        <v>0</v>
      </c>
      <c r="G585">
        <f>Table2PRN!G7508</f>
        <v>0</v>
      </c>
    </row>
    <row r="586" spans="1:7" x14ac:dyDescent="0.2">
      <c r="A586" t="s">
        <v>2030</v>
      </c>
      <c r="B586">
        <f>Table2PRN!B7509</f>
        <v>0</v>
      </c>
      <c r="C586">
        <f>Table2PRN!C7509</f>
        <v>0</v>
      </c>
      <c r="D586">
        <f>Table2PRN!D7509</f>
        <v>0</v>
      </c>
      <c r="E586">
        <f>Table2PRN!E7509</f>
        <v>0</v>
      </c>
      <c r="F586">
        <f>Table2PRN!F7509</f>
        <v>0</v>
      </c>
      <c r="G586">
        <f>Table2PRN!G7509</f>
        <v>0</v>
      </c>
    </row>
    <row r="587" spans="1:7" x14ac:dyDescent="0.2">
      <c r="A587" t="s">
        <v>2035</v>
      </c>
      <c r="B587">
        <f>Table2PRN!B7510</f>
        <v>0</v>
      </c>
      <c r="C587">
        <f>Table2PRN!C7510</f>
        <v>0</v>
      </c>
      <c r="D587">
        <f>Table2PRN!D7510</f>
        <v>0</v>
      </c>
      <c r="E587">
        <f>Table2PRN!E7510</f>
        <v>0</v>
      </c>
      <c r="F587">
        <f>Table2PRN!F7510</f>
        <v>0</v>
      </c>
      <c r="G587">
        <f>Table2PRN!G7510</f>
        <v>0</v>
      </c>
    </row>
    <row r="588" spans="1:7" x14ac:dyDescent="0.2">
      <c r="A588" t="s">
        <v>2040</v>
      </c>
      <c r="B588">
        <f>Table2PRN!B7511</f>
        <v>0</v>
      </c>
      <c r="C588">
        <f>Table2PRN!C7511</f>
        <v>0</v>
      </c>
      <c r="D588">
        <f>Table2PRN!D7511</f>
        <v>0</v>
      </c>
      <c r="E588">
        <f>Table2PRN!E7511</f>
        <v>0</v>
      </c>
      <c r="F588">
        <f>Table2PRN!F7511</f>
        <v>0</v>
      </c>
      <c r="G588">
        <f>Table2PRN!G7511</f>
        <v>0</v>
      </c>
    </row>
    <row r="589" spans="1:7" x14ac:dyDescent="0.2">
      <c r="A589" t="s">
        <v>2045</v>
      </c>
      <c r="B589">
        <f>Table2PRN!B7512</f>
        <v>0</v>
      </c>
      <c r="C589">
        <f>Table2PRN!C7512</f>
        <v>0</v>
      </c>
      <c r="D589">
        <f>Table2PRN!D7512</f>
        <v>0</v>
      </c>
      <c r="E589">
        <f>Table2PRN!E7512</f>
        <v>0</v>
      </c>
      <c r="F589">
        <f>Table2PRN!F7512</f>
        <v>0</v>
      </c>
      <c r="G589">
        <f>Table2PRN!G7512</f>
        <v>0</v>
      </c>
    </row>
    <row r="590" spans="1:7" x14ac:dyDescent="0.2">
      <c r="A590" t="s">
        <v>2049</v>
      </c>
      <c r="B590">
        <f>Table2PRN!B7513</f>
        <v>0</v>
      </c>
      <c r="C590">
        <f>Table2PRN!C7513</f>
        <v>0</v>
      </c>
      <c r="D590">
        <f>Table2PRN!D7513</f>
        <v>0</v>
      </c>
      <c r="E590">
        <f>Table2PRN!E7513</f>
        <v>0</v>
      </c>
      <c r="F590">
        <f>Table2PRN!F7513</f>
        <v>0</v>
      </c>
      <c r="G590">
        <f>Table2PRN!G7513</f>
        <v>0</v>
      </c>
    </row>
    <row r="591" spans="1:7" x14ac:dyDescent="0.2">
      <c r="A591" t="s">
        <v>2051</v>
      </c>
      <c r="B591">
        <f>Table2PRN!B7514</f>
        <v>0</v>
      </c>
      <c r="C591">
        <f>Table2PRN!C7514</f>
        <v>0</v>
      </c>
      <c r="D591">
        <f>Table2PRN!D7514</f>
        <v>0</v>
      </c>
      <c r="E591">
        <f>Table2PRN!E7514</f>
        <v>0</v>
      </c>
      <c r="F591">
        <f>Table2PRN!F7514</f>
        <v>0</v>
      </c>
      <c r="G591">
        <f>Table2PRN!G7514</f>
        <v>0</v>
      </c>
    </row>
    <row r="592" spans="1:7" x14ac:dyDescent="0.2">
      <c r="A592" t="s">
        <v>2057</v>
      </c>
      <c r="B592">
        <f>Table2PRN!B7515</f>
        <v>0</v>
      </c>
      <c r="C592">
        <f>Table2PRN!C7515</f>
        <v>0</v>
      </c>
      <c r="D592">
        <f>Table2PRN!D7515</f>
        <v>0</v>
      </c>
      <c r="E592">
        <f>Table2PRN!E7515</f>
        <v>0</v>
      </c>
      <c r="F592">
        <f>Table2PRN!F7515</f>
        <v>0</v>
      </c>
      <c r="G592">
        <f>Table2PRN!G7515</f>
        <v>0</v>
      </c>
    </row>
    <row r="593" spans="1:7" x14ac:dyDescent="0.2">
      <c r="A593" t="s">
        <v>4344</v>
      </c>
      <c r="B593">
        <f>Table2PRN!B7516</f>
        <v>0</v>
      </c>
      <c r="C593">
        <f>Table2PRN!C7516</f>
        <v>0</v>
      </c>
      <c r="D593">
        <f>Table2PRN!D7516</f>
        <v>0</v>
      </c>
      <c r="E593">
        <f>Table2PRN!E7516</f>
        <v>0</v>
      </c>
      <c r="F593">
        <f>Table2PRN!F7516</f>
        <v>0</v>
      </c>
      <c r="G593">
        <f>Table2PRN!G7516</f>
        <v>0</v>
      </c>
    </row>
    <row r="594" spans="1:7" x14ac:dyDescent="0.2">
      <c r="A594" t="s">
        <v>4345</v>
      </c>
      <c r="B594">
        <f>Table2PRN!B7517</f>
        <v>0</v>
      </c>
      <c r="C594">
        <f>Table2PRN!C7517</f>
        <v>0</v>
      </c>
      <c r="D594">
        <f>Table2PRN!D7517</f>
        <v>0</v>
      </c>
      <c r="E594">
        <f>Table2PRN!E7517</f>
        <v>0</v>
      </c>
      <c r="F594">
        <f>Table2PRN!F7517</f>
        <v>0</v>
      </c>
      <c r="G594">
        <f>Table2PRN!G7517</f>
        <v>0</v>
      </c>
    </row>
    <row r="595" spans="1:7" x14ac:dyDescent="0.2">
      <c r="A595" t="s">
        <v>2074</v>
      </c>
      <c r="B595">
        <f>Table2PRN!B7518</f>
        <v>0</v>
      </c>
      <c r="C595">
        <f>Table2PRN!C7518</f>
        <v>0</v>
      </c>
      <c r="D595">
        <f>Table2PRN!D7518</f>
        <v>0</v>
      </c>
      <c r="E595">
        <f>Table2PRN!E7518</f>
        <v>0</v>
      </c>
      <c r="F595">
        <f>Table2PRN!F7518</f>
        <v>0</v>
      </c>
      <c r="G595">
        <f>Table2PRN!G7518</f>
        <v>0</v>
      </c>
    </row>
    <row r="596" spans="1:7" x14ac:dyDescent="0.2">
      <c r="A596" t="s">
        <v>2079</v>
      </c>
      <c r="B596">
        <f>Table2PRN!B7519</f>
        <v>0</v>
      </c>
      <c r="C596">
        <f>Table2PRN!C7519</f>
        <v>0</v>
      </c>
      <c r="D596">
        <f>Table2PRN!D7519</f>
        <v>0</v>
      </c>
      <c r="E596">
        <f>Table2PRN!E7519</f>
        <v>0</v>
      </c>
      <c r="F596">
        <f>Table2PRN!F7519</f>
        <v>0</v>
      </c>
      <c r="G596">
        <f>Table2PRN!G7519</f>
        <v>0</v>
      </c>
    </row>
    <row r="597" spans="1:7" x14ac:dyDescent="0.2">
      <c r="A597" t="s">
        <v>2085</v>
      </c>
      <c r="B597">
        <f>Table2PRN!B7520</f>
        <v>0</v>
      </c>
      <c r="C597">
        <f>Table2PRN!C7520</f>
        <v>0</v>
      </c>
      <c r="D597">
        <f>Table2PRN!D7520</f>
        <v>0</v>
      </c>
      <c r="E597">
        <f>Table2PRN!E7520</f>
        <v>0</v>
      </c>
      <c r="F597">
        <f>Table2PRN!F7520</f>
        <v>0</v>
      </c>
      <c r="G597">
        <f>Table2PRN!G7520</f>
        <v>0</v>
      </c>
    </row>
    <row r="598" spans="1:7" x14ac:dyDescent="0.2">
      <c r="A598" t="s">
        <v>2091</v>
      </c>
      <c r="B598">
        <f>Table2PRN!B7521</f>
        <v>0</v>
      </c>
      <c r="C598">
        <f>Table2PRN!C7521</f>
        <v>0</v>
      </c>
      <c r="D598">
        <f>Table2PRN!D7521</f>
        <v>0</v>
      </c>
      <c r="E598">
        <f>Table2PRN!E7521</f>
        <v>0</v>
      </c>
      <c r="F598">
        <f>Table2PRN!F7521</f>
        <v>0</v>
      </c>
      <c r="G598">
        <f>Table2PRN!G7521</f>
        <v>0</v>
      </c>
    </row>
    <row r="599" spans="1:7" x14ac:dyDescent="0.2">
      <c r="A599" t="s">
        <v>2097</v>
      </c>
      <c r="B599">
        <f>Table2PRN!B7522</f>
        <v>0</v>
      </c>
      <c r="C599">
        <f>Table2PRN!C7522</f>
        <v>0</v>
      </c>
      <c r="D599">
        <f>Table2PRN!D7522</f>
        <v>0</v>
      </c>
      <c r="E599">
        <f>Table2PRN!E7522</f>
        <v>0</v>
      </c>
      <c r="F599">
        <f>Table2PRN!F7522</f>
        <v>0</v>
      </c>
      <c r="G599">
        <f>Table2PRN!G7522</f>
        <v>0</v>
      </c>
    </row>
    <row r="600" spans="1:7" x14ac:dyDescent="0.2">
      <c r="A600" t="s">
        <v>2101</v>
      </c>
      <c r="B600">
        <f>Table2PRN!B7523</f>
        <v>0</v>
      </c>
      <c r="C600">
        <f>Table2PRN!C7523</f>
        <v>0</v>
      </c>
      <c r="D600">
        <f>Table2PRN!D7523</f>
        <v>0</v>
      </c>
      <c r="E600">
        <f>Table2PRN!E7523</f>
        <v>0</v>
      </c>
      <c r="F600">
        <f>Table2PRN!F7523</f>
        <v>0</v>
      </c>
      <c r="G600">
        <f>Table2PRN!G7523</f>
        <v>0</v>
      </c>
    </row>
    <row r="601" spans="1:7" x14ac:dyDescent="0.2">
      <c r="A601" t="s">
        <v>2104</v>
      </c>
      <c r="B601">
        <f>Table2PRN!B7524</f>
        <v>0</v>
      </c>
      <c r="C601">
        <f>Table2PRN!C7524</f>
        <v>0</v>
      </c>
      <c r="D601">
        <f>Table2PRN!D7524</f>
        <v>0</v>
      </c>
      <c r="E601">
        <f>Table2PRN!E7524</f>
        <v>0</v>
      </c>
      <c r="F601">
        <f>Table2PRN!F7524</f>
        <v>0</v>
      </c>
      <c r="G601">
        <f>Table2PRN!G7524</f>
        <v>0</v>
      </c>
    </row>
    <row r="602" spans="1:7" x14ac:dyDescent="0.2">
      <c r="A602" t="s">
        <v>2107</v>
      </c>
      <c r="B602">
        <f>Table2PRN!B7525</f>
        <v>0</v>
      </c>
      <c r="C602">
        <f>Table2PRN!C7525</f>
        <v>0</v>
      </c>
      <c r="D602">
        <f>Table2PRN!D7525</f>
        <v>0</v>
      </c>
      <c r="E602">
        <f>Table2PRN!E7525</f>
        <v>0</v>
      </c>
      <c r="F602">
        <f>Table2PRN!F7525</f>
        <v>0</v>
      </c>
      <c r="G602">
        <f>Table2PRN!G7525</f>
        <v>0</v>
      </c>
    </row>
    <row r="603" spans="1:7" x14ac:dyDescent="0.2">
      <c r="A603" t="s">
        <v>2110</v>
      </c>
      <c r="B603">
        <f>Table2PRN!B7526</f>
        <v>0</v>
      </c>
      <c r="C603">
        <f>Table2PRN!C7526</f>
        <v>0</v>
      </c>
      <c r="D603">
        <f>Table2PRN!D7526</f>
        <v>0</v>
      </c>
      <c r="E603">
        <f>Table2PRN!E7526</f>
        <v>0</v>
      </c>
      <c r="F603">
        <f>Table2PRN!F7526</f>
        <v>0</v>
      </c>
      <c r="G603">
        <f>Table2PRN!G7526</f>
        <v>0</v>
      </c>
    </row>
    <row r="604" spans="1:7" x14ac:dyDescent="0.2">
      <c r="A604" t="s">
        <v>2113</v>
      </c>
      <c r="B604">
        <f>Table2PRN!B7527</f>
        <v>0</v>
      </c>
      <c r="C604">
        <f>Table2PRN!C7527</f>
        <v>0</v>
      </c>
      <c r="D604">
        <f>Table2PRN!D7527</f>
        <v>0</v>
      </c>
      <c r="E604">
        <f>Table2PRN!E7527</f>
        <v>0</v>
      </c>
      <c r="F604">
        <f>Table2PRN!F7527</f>
        <v>0</v>
      </c>
      <c r="G604">
        <f>Table2PRN!G7527</f>
        <v>0</v>
      </c>
    </row>
    <row r="605" spans="1:7" x14ac:dyDescent="0.2">
      <c r="A605" t="s">
        <v>4346</v>
      </c>
      <c r="B605">
        <f>Table2PRN!B7528</f>
        <v>0</v>
      </c>
      <c r="C605">
        <f>Table2PRN!C7528</f>
        <v>0</v>
      </c>
      <c r="D605">
        <f>Table2PRN!D7528</f>
        <v>0</v>
      </c>
      <c r="E605">
        <f>Table2PRN!E7528</f>
        <v>0</v>
      </c>
      <c r="F605">
        <f>Table2PRN!F7528</f>
        <v>0</v>
      </c>
      <c r="G605">
        <f>Table2PRN!G7528</f>
        <v>0</v>
      </c>
    </row>
    <row r="606" spans="1:7" x14ac:dyDescent="0.2">
      <c r="A606" t="s">
        <v>4347</v>
      </c>
      <c r="B606">
        <f>Table2PRN!B7529</f>
        <v>0</v>
      </c>
      <c r="C606">
        <f>Table2PRN!C7529</f>
        <v>0</v>
      </c>
      <c r="D606">
        <f>Table2PRN!D7529</f>
        <v>0</v>
      </c>
      <c r="E606">
        <f>Table2PRN!E7529</f>
        <v>0</v>
      </c>
      <c r="F606">
        <f>Table2PRN!F7529</f>
        <v>0</v>
      </c>
      <c r="G606">
        <f>Table2PRN!G7529</f>
        <v>0</v>
      </c>
    </row>
    <row r="607" spans="1:7" x14ac:dyDescent="0.2">
      <c r="A607" t="s">
        <v>4348</v>
      </c>
      <c r="B607">
        <f>Table2PRN!B7530</f>
        <v>0</v>
      </c>
      <c r="C607">
        <f>Table2PRN!C7530</f>
        <v>0</v>
      </c>
      <c r="D607">
        <f>Table2PRN!D7530</f>
        <v>0</v>
      </c>
      <c r="E607">
        <f>Table2PRN!E7530</f>
        <v>0</v>
      </c>
      <c r="F607">
        <f>Table2PRN!F7530</f>
        <v>0</v>
      </c>
      <c r="G607">
        <f>Table2PRN!G7530</f>
        <v>0</v>
      </c>
    </row>
    <row r="608" spans="1:7" x14ac:dyDescent="0.2">
      <c r="A608" t="s">
        <v>4349</v>
      </c>
      <c r="B608">
        <f>Table2PRN!B7531</f>
        <v>0</v>
      </c>
      <c r="C608">
        <f>Table2PRN!C7531</f>
        <v>0</v>
      </c>
      <c r="D608">
        <f>Table2PRN!D7531</f>
        <v>0</v>
      </c>
      <c r="E608">
        <f>Table2PRN!E7531</f>
        <v>0</v>
      </c>
      <c r="F608">
        <f>Table2PRN!F7531</f>
        <v>0</v>
      </c>
      <c r="G608">
        <f>Table2PRN!G7531</f>
        <v>0</v>
      </c>
    </row>
    <row r="609" spans="1:7" x14ac:dyDescent="0.2">
      <c r="A609" t="s">
        <v>4350</v>
      </c>
      <c r="B609">
        <f>Table2PRN!B7532</f>
        <v>0</v>
      </c>
      <c r="C609">
        <f>Table2PRN!C7532</f>
        <v>0</v>
      </c>
      <c r="D609">
        <f>Table2PRN!D7532</f>
        <v>2</v>
      </c>
      <c r="E609">
        <f>Table2PRN!E7532</f>
        <v>0</v>
      </c>
      <c r="F609">
        <f>Table2PRN!F7532</f>
        <v>0</v>
      </c>
      <c r="G609">
        <f>Table2PRN!G7532</f>
        <v>2</v>
      </c>
    </row>
    <row r="610" spans="1:7" x14ac:dyDescent="0.2">
      <c r="A610" t="s">
        <v>4351</v>
      </c>
      <c r="B610">
        <f>Table2PRN!B7533</f>
        <v>0</v>
      </c>
      <c r="C610">
        <f>Table2PRN!C7533</f>
        <v>0</v>
      </c>
      <c r="D610">
        <f>Table2PRN!D7533</f>
        <v>0</v>
      </c>
      <c r="E610">
        <f>Table2PRN!E7533</f>
        <v>0</v>
      </c>
      <c r="F610">
        <f>Table2PRN!F7533</f>
        <v>0</v>
      </c>
      <c r="G610">
        <f>Table2PRN!G7533</f>
        <v>0</v>
      </c>
    </row>
    <row r="611" spans="1:7" x14ac:dyDescent="0.2">
      <c r="A611" t="s">
        <v>4352</v>
      </c>
      <c r="B611">
        <f>Table2PRN!B7534</f>
        <v>0</v>
      </c>
      <c r="C611">
        <f>Table2PRN!C7534</f>
        <v>0</v>
      </c>
      <c r="D611">
        <f>Table2PRN!D7534</f>
        <v>0</v>
      </c>
      <c r="E611">
        <f>Table2PRN!E7534</f>
        <v>0</v>
      </c>
      <c r="F611">
        <f>Table2PRN!F7534</f>
        <v>0</v>
      </c>
      <c r="G611">
        <f>Table2PRN!G7534</f>
        <v>0</v>
      </c>
    </row>
    <row r="612" spans="1:7" x14ac:dyDescent="0.2">
      <c r="A612" t="s">
        <v>4353</v>
      </c>
      <c r="B612">
        <f>Table2PRN!B7535</f>
        <v>0</v>
      </c>
      <c r="C612">
        <f>Table2PRN!C7535</f>
        <v>12</v>
      </c>
      <c r="D612">
        <f>Table2PRN!D7535</f>
        <v>7</v>
      </c>
      <c r="E612">
        <f>Table2PRN!E7535</f>
        <v>0</v>
      </c>
      <c r="F612">
        <f>Table2PRN!F7535</f>
        <v>0</v>
      </c>
      <c r="G612">
        <f>Table2PRN!G7535</f>
        <v>20</v>
      </c>
    </row>
    <row r="613" spans="1:7" x14ac:dyDescent="0.2">
      <c r="A613" t="s">
        <v>4354</v>
      </c>
      <c r="B613">
        <f>Table2PRN!B7536</f>
        <v>3</v>
      </c>
      <c r="C613">
        <f>Table2PRN!C7536</f>
        <v>13</v>
      </c>
      <c r="D613">
        <f>Table2PRN!D7536</f>
        <v>6</v>
      </c>
      <c r="E613">
        <f>Table2PRN!E7536</f>
        <v>0</v>
      </c>
      <c r="F613">
        <f>Table2PRN!F7536</f>
        <v>0</v>
      </c>
      <c r="G613">
        <f>Table2PRN!G7536</f>
        <v>22</v>
      </c>
    </row>
    <row r="614" spans="1:7" x14ac:dyDescent="0.2">
      <c r="A614" t="s">
        <v>4355</v>
      </c>
      <c r="B614">
        <f>Table2PRN!B7537</f>
        <v>0</v>
      </c>
      <c r="C614">
        <f>Table2PRN!C7537</f>
        <v>0</v>
      </c>
      <c r="D614">
        <f>Table2PRN!D7537</f>
        <v>0</v>
      </c>
      <c r="E614">
        <f>Table2PRN!E7537</f>
        <v>0</v>
      </c>
      <c r="F614">
        <f>Table2PRN!F7537</f>
        <v>0</v>
      </c>
      <c r="G614">
        <f>Table2PRN!G7537</f>
        <v>0</v>
      </c>
    </row>
    <row r="615" spans="1:7" x14ac:dyDescent="0.2">
      <c r="A615" t="s">
        <v>4356</v>
      </c>
      <c r="B615">
        <f>Table2PRN!B7538</f>
        <v>0</v>
      </c>
      <c r="C615">
        <f>Table2PRN!C7538</f>
        <v>0</v>
      </c>
      <c r="D615">
        <f>Table2PRN!D7538</f>
        <v>0</v>
      </c>
      <c r="E615">
        <f>Table2PRN!E7538</f>
        <v>0</v>
      </c>
      <c r="F615">
        <f>Table2PRN!F7538</f>
        <v>0</v>
      </c>
      <c r="G615">
        <f>Table2PRN!G7538</f>
        <v>0</v>
      </c>
    </row>
    <row r="616" spans="1:7" x14ac:dyDescent="0.2">
      <c r="A616" t="s">
        <v>4357</v>
      </c>
      <c r="B616">
        <f>Table2PRN!B7539</f>
        <v>0</v>
      </c>
      <c r="C616">
        <f>Table2PRN!C7539</f>
        <v>0</v>
      </c>
      <c r="D616">
        <f>Table2PRN!D7539</f>
        <v>0</v>
      </c>
      <c r="E616">
        <f>Table2PRN!E7539</f>
        <v>0</v>
      </c>
      <c r="F616">
        <f>Table2PRN!F7539</f>
        <v>0</v>
      </c>
      <c r="G616">
        <f>Table2PRN!G7539</f>
        <v>0</v>
      </c>
    </row>
    <row r="617" spans="1:7" x14ac:dyDescent="0.2">
      <c r="A617" t="s">
        <v>4358</v>
      </c>
      <c r="B617">
        <f>Table2PRN!B7540</f>
        <v>0</v>
      </c>
      <c r="C617">
        <f>Table2PRN!C7540</f>
        <v>0</v>
      </c>
      <c r="D617">
        <f>Table2PRN!D7540</f>
        <v>0</v>
      </c>
      <c r="E617">
        <f>Table2PRN!E7540</f>
        <v>0</v>
      </c>
      <c r="F617">
        <f>Table2PRN!F7540</f>
        <v>0</v>
      </c>
      <c r="G617">
        <f>Table2PRN!G7540</f>
        <v>0</v>
      </c>
    </row>
    <row r="618" spans="1:7" x14ac:dyDescent="0.2">
      <c r="A618" t="s">
        <v>4359</v>
      </c>
      <c r="B618">
        <f>Table2PRN!B7541</f>
        <v>0</v>
      </c>
      <c r="C618">
        <f>Table2PRN!C7541</f>
        <v>0</v>
      </c>
      <c r="D618">
        <f>Table2PRN!D7541</f>
        <v>0</v>
      </c>
      <c r="E618">
        <f>Table2PRN!E7541</f>
        <v>0</v>
      </c>
      <c r="F618">
        <f>Table2PRN!F7541</f>
        <v>0</v>
      </c>
      <c r="G618">
        <f>Table2PRN!G7541</f>
        <v>0</v>
      </c>
    </row>
    <row r="619" spans="1:7" x14ac:dyDescent="0.2">
      <c r="A619" t="s">
        <v>4360</v>
      </c>
      <c r="B619">
        <f>Table2PRN!B7542</f>
        <v>0</v>
      </c>
      <c r="C619">
        <f>Table2PRN!C7542</f>
        <v>0</v>
      </c>
      <c r="D619">
        <f>Table2PRN!D7542</f>
        <v>0</v>
      </c>
      <c r="E619">
        <f>Table2PRN!E7542</f>
        <v>0</v>
      </c>
      <c r="F619">
        <f>Table2PRN!F7542</f>
        <v>0</v>
      </c>
      <c r="G619">
        <f>Table2PRN!G7542</f>
        <v>0</v>
      </c>
    </row>
    <row r="620" spans="1:7" x14ac:dyDescent="0.2">
      <c r="A620" t="s">
        <v>4361</v>
      </c>
      <c r="B620">
        <f>Table2PRN!B7543</f>
        <v>0</v>
      </c>
      <c r="C620">
        <f>Table2PRN!C7543</f>
        <v>0</v>
      </c>
      <c r="D620">
        <f>Table2PRN!D7543</f>
        <v>1</v>
      </c>
      <c r="E620">
        <f>Table2PRN!E7543</f>
        <v>0</v>
      </c>
      <c r="F620">
        <f>Table2PRN!F7543</f>
        <v>0</v>
      </c>
      <c r="G620">
        <f>Table2PRN!G7543</f>
        <v>1</v>
      </c>
    </row>
    <row r="621" spans="1:7" x14ac:dyDescent="0.2">
      <c r="A621" t="s">
        <v>4362</v>
      </c>
      <c r="B621">
        <f>Table2PRN!B7544</f>
        <v>0</v>
      </c>
      <c r="C621">
        <f>Table2PRN!C7544</f>
        <v>0</v>
      </c>
      <c r="D621">
        <f>Table2PRN!D7544</f>
        <v>0</v>
      </c>
      <c r="E621">
        <f>Table2PRN!E7544</f>
        <v>0</v>
      </c>
      <c r="F621">
        <f>Table2PRN!F7544</f>
        <v>0</v>
      </c>
      <c r="G621">
        <f>Table2PRN!G7544</f>
        <v>0</v>
      </c>
    </row>
    <row r="622" spans="1:7" x14ac:dyDescent="0.2">
      <c r="A622" t="s">
        <v>4363</v>
      </c>
      <c r="B622">
        <f>Table2PRN!B7545</f>
        <v>0</v>
      </c>
      <c r="C622">
        <f>Table2PRN!C7545</f>
        <v>0</v>
      </c>
      <c r="D622">
        <f>Table2PRN!D7545</f>
        <v>0</v>
      </c>
      <c r="E622">
        <f>Table2PRN!E7545</f>
        <v>0</v>
      </c>
      <c r="F622">
        <f>Table2PRN!F7545</f>
        <v>0</v>
      </c>
      <c r="G622">
        <f>Table2PRN!G7545</f>
        <v>0</v>
      </c>
    </row>
    <row r="623" spans="1:7" x14ac:dyDescent="0.2">
      <c r="A623" t="s">
        <v>4364</v>
      </c>
      <c r="B623">
        <f>Table2PRN!B7546</f>
        <v>0</v>
      </c>
      <c r="C623">
        <f>Table2PRN!C7546</f>
        <v>0</v>
      </c>
      <c r="D623">
        <f>Table2PRN!D7546</f>
        <v>0</v>
      </c>
      <c r="E623">
        <f>Table2PRN!E7546</f>
        <v>0</v>
      </c>
      <c r="F623">
        <f>Table2PRN!F7546</f>
        <v>0</v>
      </c>
      <c r="G623">
        <f>Table2PRN!G7546</f>
        <v>0</v>
      </c>
    </row>
    <row r="624" spans="1:7" x14ac:dyDescent="0.2">
      <c r="A624" t="s">
        <v>4365</v>
      </c>
      <c r="B624">
        <f>Table2PRN!B7547</f>
        <v>0</v>
      </c>
      <c r="C624">
        <f>Table2PRN!C7547</f>
        <v>4</v>
      </c>
      <c r="D624">
        <f>Table2PRN!D7547</f>
        <v>0</v>
      </c>
      <c r="E624">
        <f>Table2PRN!E7547</f>
        <v>0</v>
      </c>
      <c r="F624">
        <f>Table2PRN!F7547</f>
        <v>0</v>
      </c>
      <c r="G624">
        <f>Table2PRN!G7547</f>
        <v>4</v>
      </c>
    </row>
    <row r="625" spans="1:7" x14ac:dyDescent="0.2">
      <c r="A625" t="s">
        <v>4366</v>
      </c>
      <c r="B625">
        <f>Table2PRN!B7548</f>
        <v>0</v>
      </c>
      <c r="C625">
        <f>Table2PRN!C7548</f>
        <v>0</v>
      </c>
      <c r="D625">
        <f>Table2PRN!D7548</f>
        <v>0</v>
      </c>
      <c r="E625">
        <f>Table2PRN!E7548</f>
        <v>0</v>
      </c>
      <c r="F625">
        <f>Table2PRN!F7548</f>
        <v>0</v>
      </c>
      <c r="G625">
        <f>Table2PRN!G7548</f>
        <v>0</v>
      </c>
    </row>
    <row r="626" spans="1:7" x14ac:dyDescent="0.2">
      <c r="A626" t="s">
        <v>4367</v>
      </c>
      <c r="B626">
        <f>Table2PRN!B7549</f>
        <v>0</v>
      </c>
      <c r="C626">
        <f>Table2PRN!C7549</f>
        <v>0</v>
      </c>
      <c r="D626">
        <f>Table2PRN!D7549</f>
        <v>0</v>
      </c>
      <c r="E626">
        <f>Table2PRN!E7549</f>
        <v>0</v>
      </c>
      <c r="F626">
        <f>Table2PRN!F7549</f>
        <v>0</v>
      </c>
      <c r="G626">
        <f>Table2PRN!G7549</f>
        <v>0</v>
      </c>
    </row>
    <row r="627" spans="1:7" x14ac:dyDescent="0.2">
      <c r="A627" t="s">
        <v>4368</v>
      </c>
      <c r="B627">
        <f>Table2PRN!B7550</f>
        <v>1</v>
      </c>
      <c r="C627">
        <f>Table2PRN!C7550</f>
        <v>1</v>
      </c>
      <c r="D627">
        <f>Table2PRN!D7550</f>
        <v>4</v>
      </c>
      <c r="E627">
        <f>Table2PRN!E7550</f>
        <v>5</v>
      </c>
      <c r="F627">
        <f>Table2PRN!F7550</f>
        <v>1</v>
      </c>
      <c r="G627">
        <f>Table2PRN!G7550</f>
        <v>11</v>
      </c>
    </row>
    <row r="628" spans="1:7" x14ac:dyDescent="0.2">
      <c r="A628" t="s">
        <v>4369</v>
      </c>
      <c r="B628">
        <f>Table2PRN!B7551</f>
        <v>0</v>
      </c>
      <c r="C628">
        <f>Table2PRN!C7551</f>
        <v>0</v>
      </c>
      <c r="D628">
        <f>Table2PRN!D7551</f>
        <v>46</v>
      </c>
      <c r="E628">
        <f>Table2PRN!E7551</f>
        <v>0</v>
      </c>
      <c r="F628">
        <f>Table2PRN!F7551</f>
        <v>0</v>
      </c>
      <c r="G628">
        <f>Table2PRN!G7551</f>
        <v>46</v>
      </c>
    </row>
    <row r="629" spans="1:7" x14ac:dyDescent="0.2">
      <c r="A629" t="s">
        <v>4370</v>
      </c>
      <c r="B629">
        <f>Table2PRN!B7552</f>
        <v>0</v>
      </c>
      <c r="C629">
        <f>Table2PRN!C7552</f>
        <v>0</v>
      </c>
      <c r="D629">
        <f>Table2PRN!D7552</f>
        <v>0</v>
      </c>
      <c r="E629">
        <f>Table2PRN!E7552</f>
        <v>0</v>
      </c>
      <c r="F629">
        <f>Table2PRN!F7552</f>
        <v>0</v>
      </c>
      <c r="G629">
        <f>Table2PRN!G7552</f>
        <v>0</v>
      </c>
    </row>
    <row r="630" spans="1:7" x14ac:dyDescent="0.2">
      <c r="A630" t="s">
        <v>4371</v>
      </c>
      <c r="B630">
        <f>Table2PRN!B7553</f>
        <v>0</v>
      </c>
      <c r="C630">
        <f>Table2PRN!C7553</f>
        <v>0</v>
      </c>
      <c r="D630">
        <f>Table2PRN!D7553</f>
        <v>0</v>
      </c>
      <c r="E630">
        <f>Table2PRN!E7553</f>
        <v>0</v>
      </c>
      <c r="F630">
        <f>Table2PRN!F7553</f>
        <v>0</v>
      </c>
      <c r="G630">
        <f>Table2PRN!G7553</f>
        <v>0</v>
      </c>
    </row>
    <row r="631" spans="1:7" x14ac:dyDescent="0.2">
      <c r="A631" t="s">
        <v>4372</v>
      </c>
      <c r="B631">
        <f>Table2PRN!B7554</f>
        <v>0</v>
      </c>
      <c r="C631">
        <f>Table2PRN!C7554</f>
        <v>0</v>
      </c>
      <c r="D631">
        <f>Table2PRN!D7554</f>
        <v>0</v>
      </c>
      <c r="E631">
        <f>Table2PRN!E7554</f>
        <v>0</v>
      </c>
      <c r="F631">
        <f>Table2PRN!F7554</f>
        <v>0</v>
      </c>
      <c r="G631">
        <f>Table2PRN!G7554</f>
        <v>0</v>
      </c>
    </row>
    <row r="632" spans="1:7" x14ac:dyDescent="0.2">
      <c r="A632" t="s">
        <v>4373</v>
      </c>
      <c r="B632">
        <f>Table2PRN!B7555</f>
        <v>0</v>
      </c>
      <c r="C632">
        <f>Table2PRN!C7555</f>
        <v>0</v>
      </c>
      <c r="D632">
        <f>Table2PRN!D7555</f>
        <v>0</v>
      </c>
      <c r="E632">
        <f>Table2PRN!E7555</f>
        <v>0</v>
      </c>
      <c r="F632">
        <f>Table2PRN!F7555</f>
        <v>0</v>
      </c>
      <c r="G632">
        <f>Table2PRN!G7555</f>
        <v>0</v>
      </c>
    </row>
    <row r="633" spans="1:7" x14ac:dyDescent="0.2">
      <c r="A633" t="s">
        <v>4374</v>
      </c>
      <c r="B633">
        <f>Table2PRN!B7556</f>
        <v>0</v>
      </c>
      <c r="C633">
        <f>Table2PRN!C7556</f>
        <v>0</v>
      </c>
      <c r="D633">
        <f>Table2PRN!D7556</f>
        <v>0</v>
      </c>
      <c r="E633">
        <f>Table2PRN!E7556</f>
        <v>0</v>
      </c>
      <c r="F633">
        <f>Table2PRN!F7556</f>
        <v>0</v>
      </c>
      <c r="G633">
        <f>Table2PRN!G7556</f>
        <v>0</v>
      </c>
    </row>
    <row r="634" spans="1:7" x14ac:dyDescent="0.2">
      <c r="A634" t="s">
        <v>4375</v>
      </c>
      <c r="B634">
        <f>Table2PRN!B7557</f>
        <v>0</v>
      </c>
      <c r="C634">
        <f>Table2PRN!C7557</f>
        <v>0</v>
      </c>
      <c r="D634">
        <f>Table2PRN!D7557</f>
        <v>0</v>
      </c>
      <c r="E634">
        <f>Table2PRN!E7557</f>
        <v>0</v>
      </c>
      <c r="F634">
        <f>Table2PRN!F7557</f>
        <v>0</v>
      </c>
      <c r="G634">
        <f>Table2PRN!G7557</f>
        <v>0</v>
      </c>
    </row>
    <row r="635" spans="1:7" x14ac:dyDescent="0.2">
      <c r="A635" t="s">
        <v>4376</v>
      </c>
      <c r="B635">
        <f>Table2PRN!B7558</f>
        <v>0</v>
      </c>
      <c r="C635">
        <f>Table2PRN!C7558</f>
        <v>0</v>
      </c>
      <c r="D635">
        <f>Table2PRN!D7558</f>
        <v>0</v>
      </c>
      <c r="E635">
        <f>Table2PRN!E7558</f>
        <v>0</v>
      </c>
      <c r="F635">
        <f>Table2PRN!F7558</f>
        <v>0</v>
      </c>
      <c r="G635">
        <f>Table2PRN!G7558</f>
        <v>0</v>
      </c>
    </row>
    <row r="636" spans="1:7" x14ac:dyDescent="0.2">
      <c r="A636" t="s">
        <v>4377</v>
      </c>
      <c r="B636">
        <f>Table2PRN!B7559</f>
        <v>0</v>
      </c>
      <c r="C636">
        <f>Table2PRN!C7559</f>
        <v>0</v>
      </c>
      <c r="D636">
        <f>Table2PRN!D7559</f>
        <v>0</v>
      </c>
      <c r="E636">
        <f>Table2PRN!E7559</f>
        <v>0</v>
      </c>
      <c r="F636">
        <f>Table2PRN!F7559</f>
        <v>0</v>
      </c>
      <c r="G636">
        <f>Table2PRN!G7559</f>
        <v>0</v>
      </c>
    </row>
    <row r="637" spans="1:7" x14ac:dyDescent="0.2">
      <c r="A637" t="s">
        <v>6016</v>
      </c>
      <c r="B637" t="s">
        <v>6017</v>
      </c>
      <c r="C637" t="s">
        <v>6018</v>
      </c>
      <c r="D637" t="s">
        <v>6019</v>
      </c>
      <c r="E637" t="s">
        <v>6020</v>
      </c>
      <c r="F637" t="s">
        <v>6018</v>
      </c>
      <c r="G637" t="s">
        <v>6020</v>
      </c>
    </row>
    <row r="638" spans="1:7" x14ac:dyDescent="0.2">
      <c r="A638" t="s">
        <v>4248</v>
      </c>
    </row>
    <row r="639" spans="1:7" x14ac:dyDescent="0.2">
      <c r="G639" s="87"/>
    </row>
    <row r="640" spans="1:7" x14ac:dyDescent="0.2">
      <c r="A640" t="s">
        <v>6029</v>
      </c>
      <c r="C640" t="s">
        <v>5782</v>
      </c>
      <c r="D640" t="s">
        <v>6030</v>
      </c>
      <c r="E640" t="s">
        <v>6031</v>
      </c>
      <c r="F640" t="s">
        <v>6032</v>
      </c>
    </row>
    <row r="641" spans="1:12" x14ac:dyDescent="0.2">
      <c r="A641" t="s">
        <v>6033</v>
      </c>
    </row>
    <row r="642" spans="1:12" x14ac:dyDescent="0.2">
      <c r="A642" t="s">
        <v>6036</v>
      </c>
    </row>
    <row r="644" spans="1:12" x14ac:dyDescent="0.2">
      <c r="A644" t="s">
        <v>6014</v>
      </c>
      <c r="B644" t="s">
        <v>6015</v>
      </c>
      <c r="C644" t="s">
        <v>5798</v>
      </c>
    </row>
    <row r="645" spans="1:12" x14ac:dyDescent="0.2">
      <c r="A645" t="s">
        <v>6016</v>
      </c>
      <c r="B645" t="s">
        <v>6017</v>
      </c>
      <c r="C645" t="s">
        <v>6018</v>
      </c>
      <c r="D645" t="s">
        <v>6019</v>
      </c>
      <c r="E645" t="s">
        <v>6020</v>
      </c>
      <c r="F645" t="s">
        <v>6018</v>
      </c>
      <c r="G645" t="s">
        <v>6020</v>
      </c>
    </row>
    <row r="646" spans="1:12" x14ac:dyDescent="0.2">
      <c r="A646" t="s">
        <v>6021</v>
      </c>
      <c r="B646" t="s">
        <v>6022</v>
      </c>
      <c r="C646" t="s">
        <v>6023</v>
      </c>
      <c r="D646" t="s">
        <v>6024</v>
      </c>
      <c r="E646" t="s">
        <v>6025</v>
      </c>
      <c r="F646" t="s">
        <v>4949</v>
      </c>
    </row>
    <row r="647" spans="1:12" x14ac:dyDescent="0.2">
      <c r="A647" t="s">
        <v>126</v>
      </c>
      <c r="B647" t="s">
        <v>4262</v>
      </c>
      <c r="C647" t="s">
        <v>4263</v>
      </c>
      <c r="D647" t="s">
        <v>4264</v>
      </c>
      <c r="E647" t="s">
        <v>2308</v>
      </c>
      <c r="F647" t="s">
        <v>615</v>
      </c>
      <c r="G647" t="s">
        <v>236</v>
      </c>
    </row>
    <row r="648" spans="1:12" x14ac:dyDescent="0.2">
      <c r="A648" t="s">
        <v>6016</v>
      </c>
      <c r="B648" t="s">
        <v>6017</v>
      </c>
      <c r="C648" t="s">
        <v>6018</v>
      </c>
      <c r="D648" t="s">
        <v>6019</v>
      </c>
      <c r="E648" t="s">
        <v>6020</v>
      </c>
      <c r="F648" t="s">
        <v>6018</v>
      </c>
      <c r="G648" t="s">
        <v>6020</v>
      </c>
    </row>
    <row r="649" spans="1:12" x14ac:dyDescent="0.2">
      <c r="A649" t="s">
        <v>4265</v>
      </c>
      <c r="B649">
        <f>Table2PRN!B7572</f>
        <v>0</v>
      </c>
      <c r="C649">
        <f>Table2PRN!C7572</f>
        <v>0</v>
      </c>
      <c r="D649">
        <f>Table2PRN!D7572</f>
        <v>0</v>
      </c>
      <c r="E649">
        <f>Table2PRN!E7572</f>
        <v>0</v>
      </c>
      <c r="F649">
        <f>Table2PRN!F7572</f>
        <v>0</v>
      </c>
      <c r="G649">
        <f>Table2PRN!G7572</f>
        <v>0</v>
      </c>
      <c r="K649">
        <f>SUM(G815:G846)</f>
        <v>1566</v>
      </c>
      <c r="L649" t="s">
        <v>6026</v>
      </c>
    </row>
    <row r="650" spans="1:12" x14ac:dyDescent="0.2">
      <c r="A650" t="s">
        <v>4266</v>
      </c>
      <c r="B650">
        <f>Table2PRN!B7573</f>
        <v>0</v>
      </c>
      <c r="C650">
        <f>Table2PRN!C7573</f>
        <v>0</v>
      </c>
      <c r="D650">
        <f>Table2PRN!D7573</f>
        <v>0</v>
      </c>
      <c r="E650">
        <f>Table2PRN!E7573</f>
        <v>0</v>
      </c>
      <c r="F650">
        <f>Table2PRN!F7573</f>
        <v>0</v>
      </c>
      <c r="G650">
        <f>Table2PRN!G7573</f>
        <v>0</v>
      </c>
      <c r="K650">
        <f>SUM(G651:G670,G681:G814)</f>
        <v>148691</v>
      </c>
      <c r="L650" t="s">
        <v>6027</v>
      </c>
    </row>
    <row r="651" spans="1:12" x14ac:dyDescent="0.2">
      <c r="A651" t="s">
        <v>4267</v>
      </c>
      <c r="B651">
        <f>Table2PRN!B7574</f>
        <v>40</v>
      </c>
      <c r="C651">
        <f>Table2PRN!C7574</f>
        <v>6</v>
      </c>
      <c r="D651">
        <f>Table2PRN!D7574</f>
        <v>1</v>
      </c>
      <c r="E651">
        <f>Table2PRN!E7574</f>
        <v>0</v>
      </c>
      <c r="F651">
        <f>Table2PRN!F7574</f>
        <v>0</v>
      </c>
      <c r="G651">
        <f>Table2PRN!G7574</f>
        <v>47</v>
      </c>
      <c r="K651">
        <f>SUM(G684,G687,G691)</f>
        <v>6233</v>
      </c>
      <c r="L651" t="s">
        <v>6028</v>
      </c>
    </row>
    <row r="652" spans="1:12" x14ac:dyDescent="0.2">
      <c r="A652" t="s">
        <v>4268</v>
      </c>
      <c r="B652">
        <f>Table2PRN!B7575</f>
        <v>0</v>
      </c>
      <c r="C652">
        <f>Table2PRN!C7575</f>
        <v>6</v>
      </c>
      <c r="D652">
        <f>Table2PRN!D7575</f>
        <v>0</v>
      </c>
      <c r="E652">
        <f>Table2PRN!E7575</f>
        <v>0</v>
      </c>
      <c r="F652">
        <f>Table2PRN!F7575</f>
        <v>0</v>
      </c>
      <c r="G652">
        <f>Table2PRN!G7575</f>
        <v>6</v>
      </c>
      <c r="K652">
        <f>SUM(G671)</f>
        <v>10777</v>
      </c>
      <c r="L652" t="s">
        <v>145</v>
      </c>
    </row>
    <row r="653" spans="1:12" x14ac:dyDescent="0.2">
      <c r="A653" t="s">
        <v>4269</v>
      </c>
      <c r="B653">
        <f>Table2PRN!B7576</f>
        <v>67</v>
      </c>
      <c r="C653">
        <f>Table2PRN!C7576</f>
        <v>0</v>
      </c>
      <c r="D653">
        <f>Table2PRN!D7576</f>
        <v>1</v>
      </c>
      <c r="E653">
        <f>Table2PRN!E7576</f>
        <v>0</v>
      </c>
      <c r="F653">
        <f>Table2PRN!F7576</f>
        <v>0</v>
      </c>
      <c r="G653">
        <f>Table2PRN!G7576</f>
        <v>69</v>
      </c>
      <c r="K653">
        <f>SUM(K649:K652)</f>
        <v>167267</v>
      </c>
      <c r="L653" t="s">
        <v>350</v>
      </c>
    </row>
    <row r="654" spans="1:12" x14ac:dyDescent="0.2">
      <c r="A654" t="s">
        <v>4270</v>
      </c>
      <c r="B654">
        <f>Table2PRN!B7577</f>
        <v>0</v>
      </c>
      <c r="C654">
        <f>Table2PRN!C7577</f>
        <v>0</v>
      </c>
      <c r="D654">
        <f>Table2PRN!D7577</f>
        <v>0</v>
      </c>
      <c r="E654">
        <f>Table2PRN!E7577</f>
        <v>0</v>
      </c>
      <c r="F654">
        <f>Table2PRN!F7577</f>
        <v>0</v>
      </c>
      <c r="G654">
        <f>Table2PRN!G7577</f>
        <v>0</v>
      </c>
    </row>
    <row r="655" spans="1:12" x14ac:dyDescent="0.2">
      <c r="A655" t="s">
        <v>4271</v>
      </c>
      <c r="B655">
        <f>Table2PRN!B7578</f>
        <v>16</v>
      </c>
      <c r="C655">
        <f>Table2PRN!C7578</f>
        <v>5</v>
      </c>
      <c r="D655">
        <f>Table2PRN!D7578</f>
        <v>0</v>
      </c>
      <c r="E655">
        <f>Table2PRN!E7578</f>
        <v>1</v>
      </c>
      <c r="F655">
        <f>Table2PRN!F7578</f>
        <v>0</v>
      </c>
      <c r="G655">
        <f>Table2PRN!G7578</f>
        <v>22</v>
      </c>
    </row>
    <row r="656" spans="1:12" x14ac:dyDescent="0.2">
      <c r="A656" t="s">
        <v>4272</v>
      </c>
      <c r="B656">
        <f>Table2PRN!B7579</f>
        <v>32</v>
      </c>
      <c r="C656">
        <f>Table2PRN!C7579</f>
        <v>1</v>
      </c>
      <c r="D656">
        <f>Table2PRN!D7579</f>
        <v>0</v>
      </c>
      <c r="E656">
        <f>Table2PRN!E7579</f>
        <v>0</v>
      </c>
      <c r="F656">
        <f>Table2PRN!F7579</f>
        <v>0</v>
      </c>
      <c r="G656">
        <f>Table2PRN!G7579</f>
        <v>33</v>
      </c>
    </row>
    <row r="657" spans="1:11" x14ac:dyDescent="0.2">
      <c r="A657" t="s">
        <v>4273</v>
      </c>
      <c r="B657">
        <f>Table2PRN!B7580</f>
        <v>0</v>
      </c>
      <c r="C657">
        <f>Table2PRN!C7580</f>
        <v>0</v>
      </c>
      <c r="D657">
        <f>Table2PRN!D7580</f>
        <v>0</v>
      </c>
      <c r="E657">
        <f>Table2PRN!E7580</f>
        <v>0</v>
      </c>
      <c r="F657">
        <f>Table2PRN!F7580</f>
        <v>0</v>
      </c>
      <c r="G657">
        <f>Table2PRN!G7580</f>
        <v>0</v>
      </c>
    </row>
    <row r="658" spans="1:11" x14ac:dyDescent="0.2">
      <c r="A658" t="s">
        <v>4274</v>
      </c>
      <c r="B658">
        <f>Table2PRN!B7581</f>
        <v>0</v>
      </c>
      <c r="C658">
        <f>Table2PRN!C7581</f>
        <v>0</v>
      </c>
      <c r="D658">
        <f>Table2PRN!D7581</f>
        <v>0</v>
      </c>
      <c r="E658">
        <f>Table2PRN!E7581</f>
        <v>0</v>
      </c>
      <c r="F658">
        <f>Table2PRN!F7581</f>
        <v>0</v>
      </c>
      <c r="G658">
        <f>Table2PRN!G7581</f>
        <v>0</v>
      </c>
    </row>
    <row r="659" spans="1:11" x14ac:dyDescent="0.2">
      <c r="A659" t="s">
        <v>4275</v>
      </c>
      <c r="B659">
        <f>Table2PRN!B7582</f>
        <v>0</v>
      </c>
      <c r="C659">
        <f>Table2PRN!C7582</f>
        <v>0</v>
      </c>
      <c r="D659">
        <f>Table2PRN!D7582</f>
        <v>0</v>
      </c>
      <c r="E659">
        <f>Table2PRN!E7582</f>
        <v>0</v>
      </c>
      <c r="F659">
        <f>Table2PRN!F7582</f>
        <v>0</v>
      </c>
      <c r="G659">
        <f>Table2PRN!G7582</f>
        <v>0</v>
      </c>
    </row>
    <row r="660" spans="1:11" x14ac:dyDescent="0.2">
      <c r="A660" t="s">
        <v>4276</v>
      </c>
      <c r="B660">
        <f>Table2PRN!B7583</f>
        <v>0</v>
      </c>
      <c r="C660">
        <f>Table2PRN!C7583</f>
        <v>0</v>
      </c>
      <c r="D660">
        <f>Table2PRN!D7583</f>
        <v>0</v>
      </c>
      <c r="E660">
        <f>Table2PRN!E7583</f>
        <v>0</v>
      </c>
      <c r="F660">
        <f>Table2PRN!F7583</f>
        <v>0</v>
      </c>
      <c r="G660">
        <f>Table2PRN!G7583</f>
        <v>0</v>
      </c>
    </row>
    <row r="661" spans="1:11" x14ac:dyDescent="0.2">
      <c r="A661" t="s">
        <v>4277</v>
      </c>
      <c r="B661">
        <f>Table2PRN!B7584</f>
        <v>0</v>
      </c>
      <c r="C661">
        <f>Table2PRN!C7584</f>
        <v>0</v>
      </c>
      <c r="D661">
        <f>Table2PRN!D7584</f>
        <v>0</v>
      </c>
      <c r="E661">
        <f>Table2PRN!E7584</f>
        <v>0</v>
      </c>
      <c r="F661">
        <f>Table2PRN!F7584</f>
        <v>0</v>
      </c>
      <c r="G661">
        <f>Table2PRN!G7584</f>
        <v>0</v>
      </c>
    </row>
    <row r="662" spans="1:11" x14ac:dyDescent="0.2">
      <c r="A662" t="s">
        <v>4278</v>
      </c>
      <c r="B662">
        <f>Table2PRN!B7585</f>
        <v>0</v>
      </c>
      <c r="C662">
        <f>Table2PRN!C7585</f>
        <v>0</v>
      </c>
      <c r="D662">
        <f>Table2PRN!D7585</f>
        <v>0</v>
      </c>
      <c r="E662">
        <f>Table2PRN!E7585</f>
        <v>0</v>
      </c>
      <c r="F662">
        <f>Table2PRN!F7585</f>
        <v>0</v>
      </c>
      <c r="G662">
        <f>Table2PRN!G7585</f>
        <v>0</v>
      </c>
    </row>
    <row r="663" spans="1:11" x14ac:dyDescent="0.2">
      <c r="A663" t="s">
        <v>4279</v>
      </c>
      <c r="B663">
        <f>Table2PRN!B7586</f>
        <v>362</v>
      </c>
      <c r="C663">
        <f>Table2PRN!C7586</f>
        <v>62</v>
      </c>
      <c r="D663">
        <f>Table2PRN!D7586</f>
        <v>29</v>
      </c>
      <c r="E663">
        <f>Table2PRN!E7586</f>
        <v>0</v>
      </c>
      <c r="F663">
        <f>Table2PRN!F7586</f>
        <v>0</v>
      </c>
      <c r="G663">
        <f>Table2PRN!G7586</f>
        <v>453</v>
      </c>
    </row>
    <row r="664" spans="1:11" x14ac:dyDescent="0.2">
      <c r="A664" t="s">
        <v>4280</v>
      </c>
      <c r="B664">
        <f>Table2PRN!B7587</f>
        <v>1</v>
      </c>
      <c r="C664">
        <f>Table2PRN!C7587</f>
        <v>3</v>
      </c>
      <c r="D664">
        <f>Table2PRN!D7587</f>
        <v>0</v>
      </c>
      <c r="E664">
        <f>Table2PRN!E7587</f>
        <v>0</v>
      </c>
      <c r="F664">
        <f>Table2PRN!F7587</f>
        <v>0</v>
      </c>
      <c r="G664">
        <f>Table2PRN!G7587</f>
        <v>4</v>
      </c>
    </row>
    <row r="665" spans="1:11" x14ac:dyDescent="0.2">
      <c r="A665" t="s">
        <v>4281</v>
      </c>
      <c r="B665">
        <f>Table2PRN!B7588</f>
        <v>7286</v>
      </c>
      <c r="C665">
        <f>Table2PRN!C7588</f>
        <v>4938</v>
      </c>
      <c r="D665">
        <f>Table2PRN!D7588</f>
        <v>6252</v>
      </c>
      <c r="E665">
        <f>Table2PRN!E7588</f>
        <v>826</v>
      </c>
      <c r="F665">
        <f>Table2PRN!F7588</f>
        <v>0</v>
      </c>
      <c r="G665">
        <f>Table2PRN!G7588</f>
        <v>19301</v>
      </c>
    </row>
    <row r="666" spans="1:11" x14ac:dyDescent="0.2">
      <c r="A666" t="s">
        <v>4282</v>
      </c>
      <c r="B666">
        <f>Table2PRN!B7589</f>
        <v>783</v>
      </c>
      <c r="C666">
        <f>Table2PRN!C7589</f>
        <v>1286</v>
      </c>
      <c r="D666">
        <f>Table2PRN!D7589</f>
        <v>1178</v>
      </c>
      <c r="E666">
        <f>Table2PRN!E7589</f>
        <v>12</v>
      </c>
      <c r="F666">
        <f>Table2PRN!F7589</f>
        <v>0</v>
      </c>
      <c r="G666">
        <f>Table2PRN!G7589</f>
        <v>3259</v>
      </c>
    </row>
    <row r="667" spans="1:11" x14ac:dyDescent="0.2">
      <c r="A667" t="s">
        <v>4283</v>
      </c>
      <c r="B667">
        <f>Table2PRN!B7590</f>
        <v>2446</v>
      </c>
      <c r="C667">
        <f>Table2PRN!C7590</f>
        <v>1688</v>
      </c>
      <c r="D667">
        <f>Table2PRN!D7590</f>
        <v>939</v>
      </c>
      <c r="E667">
        <f>Table2PRN!E7590</f>
        <v>275</v>
      </c>
      <c r="F667">
        <f>Table2PRN!F7590</f>
        <v>0</v>
      </c>
      <c r="G667">
        <f>Table2PRN!G7590</f>
        <v>5349</v>
      </c>
    </row>
    <row r="668" spans="1:11" x14ac:dyDescent="0.2">
      <c r="A668" t="s">
        <v>4284</v>
      </c>
      <c r="B668">
        <f>Table2PRN!B7591</f>
        <v>71</v>
      </c>
      <c r="C668">
        <f>Table2PRN!C7591</f>
        <v>0</v>
      </c>
      <c r="D668">
        <f>Table2PRN!D7591</f>
        <v>134</v>
      </c>
      <c r="E668">
        <f>Table2PRN!E7591</f>
        <v>2</v>
      </c>
      <c r="F668">
        <f>Table2PRN!F7591</f>
        <v>0</v>
      </c>
      <c r="G668">
        <f>Table2PRN!G7591</f>
        <v>208</v>
      </c>
    </row>
    <row r="669" spans="1:11" x14ac:dyDescent="0.2">
      <c r="A669" t="s">
        <v>4285</v>
      </c>
      <c r="B669">
        <f>Table2PRN!B7592</f>
        <v>5121</v>
      </c>
      <c r="C669">
        <f>Table2PRN!C7592</f>
        <v>4198</v>
      </c>
      <c r="D669">
        <f>Table2PRN!D7592</f>
        <v>2424</v>
      </c>
      <c r="E669">
        <f>Table2PRN!E7592</f>
        <v>759</v>
      </c>
      <c r="F669">
        <f>Table2PRN!F7592</f>
        <v>0</v>
      </c>
      <c r="G669">
        <f>Table2PRN!G7592</f>
        <v>12502</v>
      </c>
    </row>
    <row r="670" spans="1:11" x14ac:dyDescent="0.2">
      <c r="A670" t="s">
        <v>4286</v>
      </c>
      <c r="B670">
        <f>Table2PRN!B7593</f>
        <v>271</v>
      </c>
      <c r="C670">
        <f>Table2PRN!C7593</f>
        <v>82</v>
      </c>
      <c r="D670">
        <f>Table2PRN!D7593</f>
        <v>118</v>
      </c>
      <c r="E670">
        <f>Table2PRN!E7593</f>
        <v>9</v>
      </c>
      <c r="F670">
        <f>Table2PRN!F7593</f>
        <v>0</v>
      </c>
      <c r="G670">
        <f>Table2PRN!G7593</f>
        <v>480</v>
      </c>
    </row>
    <row r="671" spans="1:11" x14ac:dyDescent="0.2">
      <c r="A671" t="s">
        <v>4287</v>
      </c>
      <c r="B671">
        <f>Table2PRN!B7594</f>
        <v>0</v>
      </c>
      <c r="C671">
        <f>Table2PRN!C7594</f>
        <v>0</v>
      </c>
      <c r="D671">
        <f>Table2PRN!D7594</f>
        <v>0</v>
      </c>
      <c r="E671">
        <f>Table2PRN!E7594</f>
        <v>10777</v>
      </c>
      <c r="F671">
        <f>Table2PRN!F7594</f>
        <v>0</v>
      </c>
      <c r="G671">
        <f>Table2PRN!G7594</f>
        <v>10777</v>
      </c>
    </row>
    <row r="672" spans="1:11" x14ac:dyDescent="0.2">
      <c r="A672" t="s">
        <v>4288</v>
      </c>
      <c r="B672">
        <f>Table2PRN!B7595</f>
        <v>0</v>
      </c>
      <c r="C672">
        <f>Table2PRN!C7595</f>
        <v>0</v>
      </c>
      <c r="D672">
        <f>Table2PRN!D7595</f>
        <v>0</v>
      </c>
      <c r="E672">
        <f>Table2PRN!E7595</f>
        <v>0</v>
      </c>
      <c r="F672">
        <f>Table2PRN!F7595</f>
        <v>132</v>
      </c>
      <c r="G672">
        <f>Table2PRN!G7595</f>
        <v>132</v>
      </c>
      <c r="K672" s="299"/>
    </row>
    <row r="673" spans="1:7" x14ac:dyDescent="0.2">
      <c r="A673" t="s">
        <v>4289</v>
      </c>
      <c r="B673">
        <f>Table2PRN!B7596</f>
        <v>0</v>
      </c>
      <c r="C673">
        <f>Table2PRN!C7596</f>
        <v>0</v>
      </c>
      <c r="D673">
        <f>Table2PRN!D7596</f>
        <v>0</v>
      </c>
      <c r="E673">
        <f>Table2PRN!E7596</f>
        <v>0</v>
      </c>
      <c r="F673">
        <f>Table2PRN!F7596</f>
        <v>115245</v>
      </c>
      <c r="G673">
        <f>Table2PRN!G7596</f>
        <v>115245</v>
      </c>
    </row>
    <row r="674" spans="1:7" x14ac:dyDescent="0.2">
      <c r="A674" t="s">
        <v>4290</v>
      </c>
      <c r="B674">
        <f>Table2PRN!B7597</f>
        <v>0</v>
      </c>
      <c r="C674">
        <f>Table2PRN!C7597</f>
        <v>0</v>
      </c>
      <c r="D674">
        <f>Table2PRN!D7597</f>
        <v>0</v>
      </c>
      <c r="E674">
        <f>Table2PRN!E7597</f>
        <v>0</v>
      </c>
      <c r="F674">
        <f>Table2PRN!F7597</f>
        <v>2405</v>
      </c>
      <c r="G674">
        <f>Table2PRN!G7597</f>
        <v>2405</v>
      </c>
    </row>
    <row r="675" spans="1:7" x14ac:dyDescent="0.2">
      <c r="A675" t="s">
        <v>4291</v>
      </c>
      <c r="B675">
        <f>Table2PRN!B7598</f>
        <v>0</v>
      </c>
      <c r="C675">
        <f>Table2PRN!C7598</f>
        <v>0</v>
      </c>
      <c r="D675">
        <f>Table2PRN!D7598</f>
        <v>0</v>
      </c>
      <c r="E675">
        <f>Table2PRN!E7598</f>
        <v>0</v>
      </c>
      <c r="F675">
        <f>Table2PRN!F7598</f>
        <v>0</v>
      </c>
      <c r="G675">
        <f>Table2PRN!G7598</f>
        <v>0</v>
      </c>
    </row>
    <row r="676" spans="1:7" x14ac:dyDescent="0.2">
      <c r="A676" t="s">
        <v>4292</v>
      </c>
      <c r="B676">
        <f>Table2PRN!B7599</f>
        <v>0</v>
      </c>
      <c r="C676">
        <f>Table2PRN!C7599</f>
        <v>0</v>
      </c>
      <c r="D676">
        <f>Table2PRN!D7599</f>
        <v>0</v>
      </c>
      <c r="E676">
        <f>Table2PRN!E7599</f>
        <v>0</v>
      </c>
      <c r="F676">
        <f>Table2PRN!F7599</f>
        <v>0</v>
      </c>
      <c r="G676">
        <f>Table2PRN!G7599</f>
        <v>0</v>
      </c>
    </row>
    <row r="677" spans="1:7" x14ac:dyDescent="0.2">
      <c r="A677" t="s">
        <v>4293</v>
      </c>
      <c r="B677">
        <f>Table2PRN!B7600</f>
        <v>0</v>
      </c>
      <c r="C677">
        <f>Table2PRN!C7600</f>
        <v>0</v>
      </c>
      <c r="D677">
        <f>Table2PRN!D7600</f>
        <v>0</v>
      </c>
      <c r="E677">
        <f>Table2PRN!E7600</f>
        <v>0</v>
      </c>
      <c r="F677">
        <f>Table2PRN!F7600</f>
        <v>0</v>
      </c>
      <c r="G677">
        <f>Table2PRN!G7600</f>
        <v>0</v>
      </c>
    </row>
    <row r="678" spans="1:7" x14ac:dyDescent="0.2">
      <c r="A678" t="s">
        <v>4294</v>
      </c>
      <c r="B678">
        <f>Table2PRN!B7601</f>
        <v>0</v>
      </c>
      <c r="C678">
        <f>Table2PRN!C7601</f>
        <v>0</v>
      </c>
      <c r="D678">
        <f>Table2PRN!D7601</f>
        <v>0</v>
      </c>
      <c r="E678">
        <f>Table2PRN!E7601</f>
        <v>0</v>
      </c>
      <c r="F678">
        <f>Table2PRN!F7601</f>
        <v>5031</v>
      </c>
      <c r="G678">
        <f>Table2PRN!G7601</f>
        <v>5031</v>
      </c>
    </row>
    <row r="679" spans="1:7" x14ac:dyDescent="0.2">
      <c r="A679" t="s">
        <v>4295</v>
      </c>
      <c r="B679">
        <f>Table2PRN!B7602</f>
        <v>0</v>
      </c>
      <c r="C679">
        <f>Table2PRN!C7602</f>
        <v>0</v>
      </c>
      <c r="D679">
        <f>Table2PRN!D7602</f>
        <v>0</v>
      </c>
      <c r="E679">
        <f>Table2PRN!E7602</f>
        <v>0</v>
      </c>
      <c r="F679">
        <f>Table2PRN!F7602</f>
        <v>0</v>
      </c>
      <c r="G679">
        <f>Table2PRN!G7602</f>
        <v>0</v>
      </c>
    </row>
    <row r="680" spans="1:7" x14ac:dyDescent="0.2">
      <c r="A680" t="s">
        <v>4296</v>
      </c>
      <c r="B680">
        <f>Table2PRN!B7603</f>
        <v>0</v>
      </c>
      <c r="C680">
        <f>Table2PRN!C7603</f>
        <v>0</v>
      </c>
      <c r="D680">
        <f>Table2PRN!D7603</f>
        <v>0</v>
      </c>
      <c r="E680">
        <f>Table2PRN!E7603</f>
        <v>0</v>
      </c>
      <c r="F680">
        <f>Table2PRN!F7603</f>
        <v>0</v>
      </c>
      <c r="G680">
        <f>Table2PRN!G7603</f>
        <v>0</v>
      </c>
    </row>
    <row r="681" spans="1:7" x14ac:dyDescent="0.2">
      <c r="A681" t="s">
        <v>4297</v>
      </c>
      <c r="B681">
        <f>Table2PRN!B7604</f>
        <v>2757</v>
      </c>
      <c r="C681">
        <f>Table2PRN!C7604</f>
        <v>15922</v>
      </c>
      <c r="D681">
        <f>Table2PRN!D7604</f>
        <v>24690</v>
      </c>
      <c r="E681">
        <f>Table2PRN!E7604</f>
        <v>6717</v>
      </c>
      <c r="F681">
        <f>Table2PRN!F7604</f>
        <v>0</v>
      </c>
      <c r="G681">
        <f>Table2PRN!G7604</f>
        <v>50086</v>
      </c>
    </row>
    <row r="682" spans="1:7" x14ac:dyDescent="0.2">
      <c r="A682" t="s">
        <v>4298</v>
      </c>
      <c r="B682">
        <f>Table2PRN!B7605</f>
        <v>770</v>
      </c>
      <c r="C682">
        <f>Table2PRN!C7605</f>
        <v>2692</v>
      </c>
      <c r="D682">
        <f>Table2PRN!D7605</f>
        <v>1858</v>
      </c>
      <c r="E682">
        <f>Table2PRN!E7605</f>
        <v>974</v>
      </c>
      <c r="F682">
        <f>Table2PRN!F7605</f>
        <v>0</v>
      </c>
      <c r="G682">
        <f>Table2PRN!G7605</f>
        <v>6294</v>
      </c>
    </row>
    <row r="683" spans="1:7" x14ac:dyDescent="0.2">
      <c r="A683" t="s">
        <v>4299</v>
      </c>
      <c r="B683">
        <f>Table2PRN!B7606</f>
        <v>220</v>
      </c>
      <c r="C683">
        <f>Table2PRN!C7606</f>
        <v>1259</v>
      </c>
      <c r="D683">
        <f>Table2PRN!D7606</f>
        <v>2179</v>
      </c>
      <c r="E683">
        <f>Table2PRN!E7606</f>
        <v>1631</v>
      </c>
      <c r="F683">
        <f>Table2PRN!F7606</f>
        <v>0</v>
      </c>
      <c r="G683">
        <f>Table2PRN!G7606</f>
        <v>5288</v>
      </c>
    </row>
    <row r="684" spans="1:7" x14ac:dyDescent="0.2">
      <c r="A684" t="s">
        <v>4300</v>
      </c>
      <c r="B684">
        <f>Table2PRN!B7607</f>
        <v>4</v>
      </c>
      <c r="C684">
        <f>Table2PRN!C7607</f>
        <v>26</v>
      </c>
      <c r="D684">
        <f>Table2PRN!D7607</f>
        <v>57</v>
      </c>
      <c r="E684">
        <f>Table2PRN!E7607</f>
        <v>31</v>
      </c>
      <c r="F684">
        <f>Table2PRN!F7607</f>
        <v>0</v>
      </c>
      <c r="G684">
        <f>Table2PRN!G7607</f>
        <v>118</v>
      </c>
    </row>
    <row r="685" spans="1:7" x14ac:dyDescent="0.2">
      <c r="A685" t="s">
        <v>4301</v>
      </c>
      <c r="B685">
        <f>Table2PRN!B7608</f>
        <v>0</v>
      </c>
      <c r="C685">
        <f>Table2PRN!C7608</f>
        <v>8759</v>
      </c>
      <c r="D685">
        <f>Table2PRN!D7608</f>
        <v>15329</v>
      </c>
      <c r="E685">
        <f>Table2PRN!E7608</f>
        <v>6194</v>
      </c>
      <c r="F685">
        <f>Table2PRN!F7608</f>
        <v>0</v>
      </c>
      <c r="G685">
        <f>Table2PRN!G7608</f>
        <v>30282</v>
      </c>
    </row>
    <row r="686" spans="1:7" x14ac:dyDescent="0.2">
      <c r="A686" t="s">
        <v>4302</v>
      </c>
      <c r="B686">
        <f>Table2PRN!B7609</f>
        <v>8</v>
      </c>
      <c r="C686">
        <f>Table2PRN!C7609</f>
        <v>238</v>
      </c>
      <c r="D686">
        <f>Table2PRN!D7609</f>
        <v>677</v>
      </c>
      <c r="E686">
        <f>Table2PRN!E7609</f>
        <v>190</v>
      </c>
      <c r="F686">
        <f>Table2PRN!F7609</f>
        <v>0</v>
      </c>
      <c r="G686">
        <f>Table2PRN!G7609</f>
        <v>1114</v>
      </c>
    </row>
    <row r="687" spans="1:7" x14ac:dyDescent="0.2">
      <c r="A687" t="s">
        <v>4303</v>
      </c>
      <c r="B687">
        <f>Table2PRN!B7610</f>
        <v>8</v>
      </c>
      <c r="C687">
        <f>Table2PRN!C7610</f>
        <v>215</v>
      </c>
      <c r="D687">
        <f>Table2PRN!D7610</f>
        <v>884</v>
      </c>
      <c r="E687">
        <f>Table2PRN!E7610</f>
        <v>156</v>
      </c>
      <c r="F687">
        <f>Table2PRN!F7610</f>
        <v>0</v>
      </c>
      <c r="G687">
        <f>Table2PRN!G7610</f>
        <v>1264</v>
      </c>
    </row>
    <row r="688" spans="1:7" x14ac:dyDescent="0.2">
      <c r="A688" t="s">
        <v>4304</v>
      </c>
      <c r="B688">
        <f>Table2PRN!B7611</f>
        <v>62</v>
      </c>
      <c r="C688">
        <f>Table2PRN!C7611</f>
        <v>207</v>
      </c>
      <c r="D688">
        <f>Table2PRN!D7611</f>
        <v>1231</v>
      </c>
      <c r="E688">
        <f>Table2PRN!E7611</f>
        <v>0</v>
      </c>
      <c r="F688">
        <f>Table2PRN!F7611</f>
        <v>0</v>
      </c>
      <c r="G688">
        <f>Table2PRN!G7611</f>
        <v>1500</v>
      </c>
    </row>
    <row r="689" spans="1:7" x14ac:dyDescent="0.2">
      <c r="A689" t="s">
        <v>4305</v>
      </c>
      <c r="B689">
        <f>Table2PRN!B7612</f>
        <v>0</v>
      </c>
      <c r="C689">
        <f>Table2PRN!C7612</f>
        <v>2160</v>
      </c>
      <c r="D689">
        <f>Table2PRN!D7612</f>
        <v>1194</v>
      </c>
      <c r="E689">
        <f>Table2PRN!E7612</f>
        <v>862</v>
      </c>
      <c r="F689">
        <f>Table2PRN!F7612</f>
        <v>0</v>
      </c>
      <c r="G689">
        <f>Table2PRN!G7612</f>
        <v>4216</v>
      </c>
    </row>
    <row r="690" spans="1:7" x14ac:dyDescent="0.2">
      <c r="A690" t="s">
        <v>4306</v>
      </c>
      <c r="B690">
        <f>Table2PRN!B7613</f>
        <v>10</v>
      </c>
      <c r="C690">
        <f>Table2PRN!C7613</f>
        <v>180</v>
      </c>
      <c r="D690">
        <f>Table2PRN!D7613</f>
        <v>59</v>
      </c>
      <c r="E690">
        <f>Table2PRN!E7613</f>
        <v>104</v>
      </c>
      <c r="F690">
        <f>Table2PRN!F7613</f>
        <v>0</v>
      </c>
      <c r="G690">
        <f>Table2PRN!G7613</f>
        <v>353</v>
      </c>
    </row>
    <row r="691" spans="1:7" x14ac:dyDescent="0.2">
      <c r="A691" t="s">
        <v>4307</v>
      </c>
      <c r="B691">
        <f>Table2PRN!B7614</f>
        <v>60</v>
      </c>
      <c r="C691">
        <f>Table2PRN!C7614</f>
        <v>553</v>
      </c>
      <c r="D691">
        <f>Table2PRN!D7614</f>
        <v>2672</v>
      </c>
      <c r="E691">
        <f>Table2PRN!E7614</f>
        <v>1566</v>
      </c>
      <c r="F691">
        <f>Table2PRN!F7614</f>
        <v>0</v>
      </c>
      <c r="G691">
        <f>Table2PRN!G7614</f>
        <v>4851</v>
      </c>
    </row>
    <row r="692" spans="1:7" x14ac:dyDescent="0.2">
      <c r="A692" t="s">
        <v>4308</v>
      </c>
      <c r="B692">
        <f>Table2PRN!B7615</f>
        <v>0</v>
      </c>
      <c r="C692">
        <f>Table2PRN!C7615</f>
        <v>0</v>
      </c>
      <c r="D692">
        <f>Table2PRN!D7615</f>
        <v>9</v>
      </c>
      <c r="E692">
        <f>Table2PRN!E7615</f>
        <v>13</v>
      </c>
      <c r="F692">
        <f>Table2PRN!F7615</f>
        <v>0</v>
      </c>
      <c r="G692">
        <f>Table2PRN!G7615</f>
        <v>22</v>
      </c>
    </row>
    <row r="693" spans="1:7" x14ac:dyDescent="0.2">
      <c r="A693" t="s">
        <v>4309</v>
      </c>
      <c r="B693">
        <f>Table2PRN!B7616</f>
        <v>0</v>
      </c>
      <c r="C693">
        <f>Table2PRN!C7616</f>
        <v>0</v>
      </c>
      <c r="D693">
        <f>Table2PRN!D7616</f>
        <v>0</v>
      </c>
      <c r="E693">
        <f>Table2PRN!E7616</f>
        <v>0</v>
      </c>
      <c r="F693">
        <f>Table2PRN!F7616</f>
        <v>0</v>
      </c>
      <c r="G693">
        <f>Table2PRN!G7616</f>
        <v>0</v>
      </c>
    </row>
    <row r="694" spans="1:7" x14ac:dyDescent="0.2">
      <c r="A694" t="s">
        <v>4310</v>
      </c>
      <c r="B694">
        <f>Table2PRN!B7617</f>
        <v>0</v>
      </c>
      <c r="C694">
        <f>Table2PRN!C7617</f>
        <v>0</v>
      </c>
      <c r="D694">
        <f>Table2PRN!D7617</f>
        <v>0</v>
      </c>
      <c r="E694">
        <f>Table2PRN!E7617</f>
        <v>0</v>
      </c>
      <c r="F694">
        <f>Table2PRN!F7617</f>
        <v>0</v>
      </c>
      <c r="G694">
        <f>Table2PRN!G7617</f>
        <v>0</v>
      </c>
    </row>
    <row r="695" spans="1:7" x14ac:dyDescent="0.2">
      <c r="A695" t="s">
        <v>4311</v>
      </c>
      <c r="B695">
        <f>Table2PRN!B7618</f>
        <v>0</v>
      </c>
      <c r="C695">
        <f>Table2PRN!C7618</f>
        <v>0</v>
      </c>
      <c r="D695">
        <f>Table2PRN!D7618</f>
        <v>0</v>
      </c>
      <c r="E695">
        <f>Table2PRN!E7618</f>
        <v>247</v>
      </c>
      <c r="F695">
        <f>Table2PRN!F7618</f>
        <v>10</v>
      </c>
      <c r="G695">
        <f>Table2PRN!G7618</f>
        <v>257</v>
      </c>
    </row>
    <row r="696" spans="1:7" x14ac:dyDescent="0.2">
      <c r="A696" t="s">
        <v>4312</v>
      </c>
      <c r="B696">
        <f>Table2PRN!B7619</f>
        <v>0</v>
      </c>
      <c r="C696">
        <f>Table2PRN!C7619</f>
        <v>0</v>
      </c>
      <c r="D696">
        <f>Table2PRN!D7619</f>
        <v>0</v>
      </c>
      <c r="E696">
        <f>Table2PRN!E7619</f>
        <v>200</v>
      </c>
      <c r="F696">
        <f>Table2PRN!F7619</f>
        <v>0</v>
      </c>
      <c r="G696">
        <f>Table2PRN!G7619</f>
        <v>200</v>
      </c>
    </row>
    <row r="697" spans="1:7" x14ac:dyDescent="0.2">
      <c r="A697" t="s">
        <v>4313</v>
      </c>
      <c r="B697">
        <f>Table2PRN!B7620</f>
        <v>0</v>
      </c>
      <c r="C697">
        <f>Table2PRN!C7620</f>
        <v>0</v>
      </c>
      <c r="D697">
        <f>Table2PRN!D7620</f>
        <v>0</v>
      </c>
      <c r="E697">
        <f>Table2PRN!E7620</f>
        <v>0</v>
      </c>
      <c r="F697">
        <f>Table2PRN!F7620</f>
        <v>0</v>
      </c>
      <c r="G697">
        <f>Table2PRN!G7620</f>
        <v>0</v>
      </c>
    </row>
    <row r="698" spans="1:7" x14ac:dyDescent="0.2">
      <c r="A698" t="s">
        <v>4314</v>
      </c>
      <c r="B698">
        <f>Table2PRN!B7621</f>
        <v>0</v>
      </c>
      <c r="C698">
        <f>Table2PRN!C7621</f>
        <v>0</v>
      </c>
      <c r="D698">
        <f>Table2PRN!D7621</f>
        <v>0</v>
      </c>
      <c r="E698">
        <f>Table2PRN!E7621</f>
        <v>0</v>
      </c>
      <c r="F698">
        <f>Table2PRN!F7621</f>
        <v>0</v>
      </c>
      <c r="G698">
        <f>Table2PRN!G7621</f>
        <v>0</v>
      </c>
    </row>
    <row r="699" spans="1:7" x14ac:dyDescent="0.2">
      <c r="A699" t="s">
        <v>4315</v>
      </c>
      <c r="B699">
        <f>Table2PRN!B7622</f>
        <v>0</v>
      </c>
      <c r="C699">
        <f>Table2PRN!C7622</f>
        <v>0</v>
      </c>
      <c r="D699">
        <f>Table2PRN!D7622</f>
        <v>0</v>
      </c>
      <c r="E699">
        <f>Table2PRN!E7622</f>
        <v>0</v>
      </c>
      <c r="F699">
        <f>Table2PRN!F7622</f>
        <v>0</v>
      </c>
      <c r="G699">
        <f>Table2PRN!G7622</f>
        <v>0</v>
      </c>
    </row>
    <row r="700" spans="1:7" x14ac:dyDescent="0.2">
      <c r="A700" t="s">
        <v>4316</v>
      </c>
      <c r="B700">
        <f>Table2PRN!B7623</f>
        <v>0</v>
      </c>
      <c r="C700">
        <f>Table2PRN!C7623</f>
        <v>0</v>
      </c>
      <c r="D700">
        <f>Table2PRN!D7623</f>
        <v>0</v>
      </c>
      <c r="E700">
        <f>Table2PRN!E7623</f>
        <v>0</v>
      </c>
      <c r="F700">
        <f>Table2PRN!F7623</f>
        <v>0</v>
      </c>
      <c r="G700">
        <f>Table2PRN!G7623</f>
        <v>0</v>
      </c>
    </row>
    <row r="701" spans="1:7" x14ac:dyDescent="0.2">
      <c r="A701" t="s">
        <v>4317</v>
      </c>
      <c r="B701">
        <f>Table2PRN!B7624</f>
        <v>0</v>
      </c>
      <c r="C701">
        <f>Table2PRN!C7624</f>
        <v>0</v>
      </c>
      <c r="D701">
        <f>Table2PRN!D7624</f>
        <v>0</v>
      </c>
      <c r="E701">
        <f>Table2PRN!E7624</f>
        <v>0</v>
      </c>
      <c r="F701">
        <f>Table2PRN!F7624</f>
        <v>0</v>
      </c>
      <c r="G701">
        <f>Table2PRN!G7624</f>
        <v>0</v>
      </c>
    </row>
    <row r="702" spans="1:7" x14ac:dyDescent="0.2">
      <c r="A702" t="s">
        <v>4318</v>
      </c>
      <c r="B702">
        <f>Table2PRN!B7625</f>
        <v>0</v>
      </c>
      <c r="C702">
        <f>Table2PRN!C7625</f>
        <v>0</v>
      </c>
      <c r="D702">
        <f>Table2PRN!D7625</f>
        <v>0</v>
      </c>
      <c r="E702">
        <f>Table2PRN!E7625</f>
        <v>0</v>
      </c>
      <c r="F702">
        <f>Table2PRN!F7625</f>
        <v>0</v>
      </c>
      <c r="G702">
        <f>Table2PRN!G7625</f>
        <v>0</v>
      </c>
    </row>
    <row r="703" spans="1:7" x14ac:dyDescent="0.2">
      <c r="A703" t="s">
        <v>4319</v>
      </c>
      <c r="B703">
        <f>Table2PRN!B7626</f>
        <v>0</v>
      </c>
      <c r="C703">
        <f>Table2PRN!C7626</f>
        <v>0</v>
      </c>
      <c r="D703">
        <f>Table2PRN!D7626</f>
        <v>0</v>
      </c>
      <c r="E703">
        <f>Table2PRN!E7626</f>
        <v>0</v>
      </c>
      <c r="F703">
        <f>Table2PRN!F7626</f>
        <v>0</v>
      </c>
      <c r="G703">
        <f>Table2PRN!G7626</f>
        <v>0</v>
      </c>
    </row>
    <row r="704" spans="1:7" x14ac:dyDescent="0.2">
      <c r="A704" t="s">
        <v>4320</v>
      </c>
      <c r="B704">
        <f>Table2PRN!B7627</f>
        <v>0</v>
      </c>
      <c r="C704">
        <f>Table2PRN!C7627</f>
        <v>0</v>
      </c>
      <c r="D704">
        <f>Table2PRN!D7627</f>
        <v>0</v>
      </c>
      <c r="E704">
        <f>Table2PRN!E7627</f>
        <v>0</v>
      </c>
      <c r="F704">
        <f>Table2PRN!F7627</f>
        <v>0</v>
      </c>
      <c r="G704">
        <f>Table2PRN!G7627</f>
        <v>0</v>
      </c>
    </row>
    <row r="705" spans="1:7" x14ac:dyDescent="0.2">
      <c r="A705" t="s">
        <v>4321</v>
      </c>
      <c r="B705">
        <f>Table2PRN!B7628</f>
        <v>0</v>
      </c>
      <c r="C705">
        <f>Table2PRN!C7628</f>
        <v>0</v>
      </c>
      <c r="D705">
        <f>Table2PRN!D7628</f>
        <v>0</v>
      </c>
      <c r="E705">
        <f>Table2PRN!E7628</f>
        <v>0</v>
      </c>
      <c r="F705">
        <f>Table2PRN!F7628</f>
        <v>0</v>
      </c>
      <c r="G705">
        <f>Table2PRN!G7628</f>
        <v>0</v>
      </c>
    </row>
    <row r="706" spans="1:7" x14ac:dyDescent="0.2">
      <c r="A706" t="s">
        <v>4322</v>
      </c>
      <c r="B706">
        <f>Table2PRN!B7629</f>
        <v>0</v>
      </c>
      <c r="C706">
        <f>Table2PRN!C7629</f>
        <v>0</v>
      </c>
      <c r="D706">
        <f>Table2PRN!D7629</f>
        <v>0</v>
      </c>
      <c r="E706">
        <f>Table2PRN!E7629</f>
        <v>0</v>
      </c>
      <c r="F706">
        <f>Table2PRN!F7629</f>
        <v>0</v>
      </c>
      <c r="G706">
        <f>Table2PRN!G7629</f>
        <v>0</v>
      </c>
    </row>
    <row r="707" spans="1:7" x14ac:dyDescent="0.2">
      <c r="A707" t="s">
        <v>4323</v>
      </c>
      <c r="B707">
        <f>Table2PRN!B7630</f>
        <v>0</v>
      </c>
      <c r="C707">
        <f>Table2PRN!C7630</f>
        <v>0</v>
      </c>
      <c r="D707">
        <f>Table2PRN!D7630</f>
        <v>0</v>
      </c>
      <c r="E707">
        <f>Table2PRN!E7630</f>
        <v>0</v>
      </c>
      <c r="F707">
        <f>Table2PRN!F7630</f>
        <v>0</v>
      </c>
      <c r="G707">
        <f>Table2PRN!G7630</f>
        <v>0</v>
      </c>
    </row>
    <row r="708" spans="1:7" x14ac:dyDescent="0.2">
      <c r="A708" t="s">
        <v>4324</v>
      </c>
      <c r="B708">
        <f>Table2PRN!B7631</f>
        <v>0</v>
      </c>
      <c r="C708">
        <f>Table2PRN!C7631</f>
        <v>0</v>
      </c>
      <c r="D708">
        <f>Table2PRN!D7631</f>
        <v>0</v>
      </c>
      <c r="E708">
        <f>Table2PRN!E7631</f>
        <v>0</v>
      </c>
      <c r="F708">
        <f>Table2PRN!F7631</f>
        <v>0</v>
      </c>
      <c r="G708">
        <f>Table2PRN!G7631</f>
        <v>0</v>
      </c>
    </row>
    <row r="709" spans="1:7" x14ac:dyDescent="0.2">
      <c r="A709" t="s">
        <v>4325</v>
      </c>
      <c r="B709">
        <f>Table2PRN!B7632</f>
        <v>0</v>
      </c>
      <c r="C709">
        <f>Table2PRN!C7632</f>
        <v>0</v>
      </c>
      <c r="D709">
        <f>Table2PRN!D7632</f>
        <v>0</v>
      </c>
      <c r="E709">
        <f>Table2PRN!E7632</f>
        <v>0</v>
      </c>
      <c r="F709">
        <f>Table2PRN!F7632</f>
        <v>0</v>
      </c>
      <c r="G709">
        <f>Table2PRN!G7632</f>
        <v>0</v>
      </c>
    </row>
    <row r="710" spans="1:7" x14ac:dyDescent="0.2">
      <c r="A710" t="s">
        <v>4326</v>
      </c>
      <c r="B710">
        <f>Table2PRN!B7633</f>
        <v>0</v>
      </c>
      <c r="C710">
        <f>Table2PRN!C7633</f>
        <v>0</v>
      </c>
      <c r="D710">
        <f>Table2PRN!D7633</f>
        <v>0</v>
      </c>
      <c r="E710">
        <f>Table2PRN!E7633</f>
        <v>0</v>
      </c>
      <c r="F710">
        <f>Table2PRN!F7633</f>
        <v>0</v>
      </c>
      <c r="G710">
        <f>Table2PRN!G7633</f>
        <v>0</v>
      </c>
    </row>
    <row r="711" spans="1:7" x14ac:dyDescent="0.2">
      <c r="A711" t="s">
        <v>4327</v>
      </c>
      <c r="B711">
        <f>Table2PRN!B7634</f>
        <v>0</v>
      </c>
      <c r="C711">
        <f>Table2PRN!C7634</f>
        <v>0</v>
      </c>
      <c r="D711">
        <f>Table2PRN!D7634</f>
        <v>0</v>
      </c>
      <c r="E711">
        <f>Table2PRN!E7634</f>
        <v>0</v>
      </c>
      <c r="F711">
        <f>Table2PRN!F7634</f>
        <v>0</v>
      </c>
      <c r="G711">
        <f>Table2PRN!G7634</f>
        <v>0</v>
      </c>
    </row>
    <row r="712" spans="1:7" x14ac:dyDescent="0.2">
      <c r="A712" t="s">
        <v>4328</v>
      </c>
      <c r="B712">
        <f>Table2PRN!B7635</f>
        <v>0</v>
      </c>
      <c r="C712">
        <f>Table2PRN!C7635</f>
        <v>0</v>
      </c>
      <c r="D712">
        <f>Table2PRN!D7635</f>
        <v>0</v>
      </c>
      <c r="E712">
        <f>Table2PRN!E7635</f>
        <v>0</v>
      </c>
      <c r="F712">
        <f>Table2PRN!F7635</f>
        <v>0</v>
      </c>
      <c r="G712">
        <f>Table2PRN!G7635</f>
        <v>0</v>
      </c>
    </row>
    <row r="713" spans="1:7" x14ac:dyDescent="0.2">
      <c r="A713" t="s">
        <v>4329</v>
      </c>
      <c r="B713">
        <f>Table2PRN!B7636</f>
        <v>0</v>
      </c>
      <c r="C713">
        <f>Table2PRN!C7636</f>
        <v>0</v>
      </c>
      <c r="D713">
        <f>Table2PRN!D7636</f>
        <v>0</v>
      </c>
      <c r="E713">
        <f>Table2PRN!E7636</f>
        <v>0</v>
      </c>
      <c r="F713">
        <f>Table2PRN!F7636</f>
        <v>0</v>
      </c>
      <c r="G713">
        <f>Table2PRN!G7636</f>
        <v>0</v>
      </c>
    </row>
    <row r="714" spans="1:7" x14ac:dyDescent="0.2">
      <c r="A714" t="s">
        <v>4330</v>
      </c>
      <c r="B714">
        <f>Table2PRN!B7637</f>
        <v>0</v>
      </c>
      <c r="C714">
        <f>Table2PRN!C7637</f>
        <v>0</v>
      </c>
      <c r="D714">
        <f>Table2PRN!D7637</f>
        <v>0</v>
      </c>
      <c r="E714">
        <f>Table2PRN!E7637</f>
        <v>0</v>
      </c>
      <c r="F714">
        <f>Table2PRN!F7637</f>
        <v>0</v>
      </c>
      <c r="G714">
        <f>Table2PRN!G7637</f>
        <v>0</v>
      </c>
    </row>
    <row r="715" spans="1:7" x14ac:dyDescent="0.2">
      <c r="A715" t="s">
        <v>4331</v>
      </c>
      <c r="B715">
        <f>Table2PRN!B7638</f>
        <v>0</v>
      </c>
      <c r="C715">
        <f>Table2PRN!C7638</f>
        <v>0</v>
      </c>
      <c r="D715">
        <f>Table2PRN!D7638</f>
        <v>0</v>
      </c>
      <c r="E715">
        <f>Table2PRN!E7638</f>
        <v>0</v>
      </c>
      <c r="F715">
        <f>Table2PRN!F7638</f>
        <v>0</v>
      </c>
      <c r="G715">
        <f>Table2PRN!G7638</f>
        <v>0</v>
      </c>
    </row>
    <row r="716" spans="1:7" x14ac:dyDescent="0.2">
      <c r="A716" t="s">
        <v>4332</v>
      </c>
      <c r="B716">
        <f>Table2PRN!B7639</f>
        <v>0</v>
      </c>
      <c r="C716">
        <f>Table2PRN!C7639</f>
        <v>0</v>
      </c>
      <c r="D716">
        <f>Table2PRN!D7639</f>
        <v>0</v>
      </c>
      <c r="E716">
        <f>Table2PRN!E7639</f>
        <v>0</v>
      </c>
      <c r="F716">
        <f>Table2PRN!F7639</f>
        <v>0</v>
      </c>
      <c r="G716">
        <f>Table2PRN!G7639</f>
        <v>0</v>
      </c>
    </row>
    <row r="717" spans="1:7" x14ac:dyDescent="0.2">
      <c r="A717" t="s">
        <v>4333</v>
      </c>
      <c r="B717">
        <f>Table2PRN!B7640</f>
        <v>0</v>
      </c>
      <c r="C717">
        <f>Table2PRN!C7640</f>
        <v>0</v>
      </c>
      <c r="D717">
        <f>Table2PRN!D7640</f>
        <v>0</v>
      </c>
      <c r="E717">
        <f>Table2PRN!E7640</f>
        <v>0</v>
      </c>
      <c r="F717">
        <f>Table2PRN!F7640</f>
        <v>0</v>
      </c>
      <c r="G717">
        <f>Table2PRN!G7640</f>
        <v>0</v>
      </c>
    </row>
    <row r="718" spans="1:7" x14ac:dyDescent="0.2">
      <c r="A718" t="s">
        <v>4334</v>
      </c>
      <c r="B718">
        <f>Table2PRN!B7641</f>
        <v>0</v>
      </c>
      <c r="C718">
        <f>Table2PRN!C7641</f>
        <v>0</v>
      </c>
      <c r="D718">
        <f>Table2PRN!D7641</f>
        <v>0</v>
      </c>
      <c r="E718">
        <f>Table2PRN!E7641</f>
        <v>0</v>
      </c>
      <c r="F718">
        <f>Table2PRN!F7641</f>
        <v>0</v>
      </c>
      <c r="G718">
        <f>Table2PRN!G7641</f>
        <v>0</v>
      </c>
    </row>
    <row r="719" spans="1:7" x14ac:dyDescent="0.2">
      <c r="A719" t="s">
        <v>4335</v>
      </c>
      <c r="B719">
        <f>Table2PRN!B7642</f>
        <v>0</v>
      </c>
      <c r="C719">
        <f>Table2PRN!C7642</f>
        <v>0</v>
      </c>
      <c r="D719">
        <f>Table2PRN!D7642</f>
        <v>0</v>
      </c>
      <c r="E719">
        <f>Table2PRN!E7642</f>
        <v>0</v>
      </c>
      <c r="F719">
        <f>Table2PRN!F7642</f>
        <v>0</v>
      </c>
      <c r="G719">
        <f>Table2PRN!G7642</f>
        <v>0</v>
      </c>
    </row>
    <row r="720" spans="1:7" x14ac:dyDescent="0.2">
      <c r="A720" t="s">
        <v>4336</v>
      </c>
      <c r="B720">
        <f>Table2PRN!B7643</f>
        <v>0</v>
      </c>
      <c r="C720">
        <f>Table2PRN!C7643</f>
        <v>0</v>
      </c>
      <c r="D720">
        <f>Table2PRN!D7643</f>
        <v>0</v>
      </c>
      <c r="E720">
        <f>Table2PRN!E7643</f>
        <v>0</v>
      </c>
      <c r="F720">
        <f>Table2PRN!F7643</f>
        <v>0</v>
      </c>
      <c r="G720">
        <f>Table2PRN!G7643</f>
        <v>0</v>
      </c>
    </row>
    <row r="721" spans="1:7" x14ac:dyDescent="0.2">
      <c r="A721" t="s">
        <v>4337</v>
      </c>
      <c r="B721">
        <f>Table2PRN!B7644</f>
        <v>0</v>
      </c>
      <c r="C721">
        <f>Table2PRN!C7644</f>
        <v>0</v>
      </c>
      <c r="D721">
        <f>Table2PRN!D7644</f>
        <v>0</v>
      </c>
      <c r="E721">
        <f>Table2PRN!E7644</f>
        <v>0</v>
      </c>
      <c r="F721">
        <f>Table2PRN!F7644</f>
        <v>0</v>
      </c>
      <c r="G721">
        <f>Table2PRN!G7644</f>
        <v>0</v>
      </c>
    </row>
    <row r="722" spans="1:7" x14ac:dyDescent="0.2">
      <c r="A722" t="s">
        <v>4338</v>
      </c>
      <c r="B722">
        <f>Table2PRN!B7645</f>
        <v>0</v>
      </c>
      <c r="C722">
        <f>Table2PRN!C7645</f>
        <v>0</v>
      </c>
      <c r="D722">
        <f>Table2PRN!D7645</f>
        <v>0</v>
      </c>
      <c r="E722">
        <f>Table2PRN!E7645</f>
        <v>0</v>
      </c>
      <c r="F722">
        <f>Table2PRN!F7645</f>
        <v>0</v>
      </c>
      <c r="G722">
        <f>Table2PRN!G7645</f>
        <v>0</v>
      </c>
    </row>
    <row r="723" spans="1:7" x14ac:dyDescent="0.2">
      <c r="A723" t="s">
        <v>4339</v>
      </c>
      <c r="B723">
        <f>Table2PRN!B7646</f>
        <v>0</v>
      </c>
      <c r="C723">
        <f>Table2PRN!C7646</f>
        <v>0</v>
      </c>
      <c r="D723">
        <f>Table2PRN!D7646</f>
        <v>0</v>
      </c>
      <c r="E723">
        <f>Table2PRN!E7646</f>
        <v>0</v>
      </c>
      <c r="F723">
        <f>Table2PRN!F7646</f>
        <v>0</v>
      </c>
      <c r="G723">
        <f>Table2PRN!G7646</f>
        <v>0</v>
      </c>
    </row>
    <row r="724" spans="1:7" x14ac:dyDescent="0.2">
      <c r="A724" t="s">
        <v>4340</v>
      </c>
      <c r="B724">
        <f>Table2PRN!B7647</f>
        <v>0</v>
      </c>
      <c r="C724">
        <f>Table2PRN!C7647</f>
        <v>0</v>
      </c>
      <c r="D724">
        <f>Table2PRN!D7647</f>
        <v>0</v>
      </c>
      <c r="E724">
        <f>Table2PRN!E7647</f>
        <v>0</v>
      </c>
      <c r="F724">
        <f>Table2PRN!F7647</f>
        <v>0</v>
      </c>
      <c r="G724">
        <f>Table2PRN!G7647</f>
        <v>0</v>
      </c>
    </row>
    <row r="725" spans="1:7" x14ac:dyDescent="0.2">
      <c r="A725" t="s">
        <v>4341</v>
      </c>
      <c r="B725">
        <f>Table2PRN!B7648</f>
        <v>0</v>
      </c>
      <c r="C725">
        <f>Table2PRN!C7648</f>
        <v>0</v>
      </c>
      <c r="D725">
        <f>Table2PRN!D7648</f>
        <v>0</v>
      </c>
      <c r="E725">
        <f>Table2PRN!E7648</f>
        <v>0</v>
      </c>
      <c r="F725">
        <f>Table2PRN!F7648</f>
        <v>0</v>
      </c>
      <c r="G725">
        <f>Table2PRN!G7648</f>
        <v>0</v>
      </c>
    </row>
    <row r="726" spans="1:7" x14ac:dyDescent="0.2">
      <c r="A726" t="s">
        <v>4342</v>
      </c>
      <c r="B726">
        <f>Table2PRN!B7649</f>
        <v>0</v>
      </c>
      <c r="C726">
        <f>Table2PRN!C7649</f>
        <v>0</v>
      </c>
      <c r="D726">
        <f>Table2PRN!D7649</f>
        <v>0</v>
      </c>
      <c r="E726">
        <f>Table2PRN!E7649</f>
        <v>0</v>
      </c>
      <c r="F726">
        <f>Table2PRN!F7649</f>
        <v>0</v>
      </c>
      <c r="G726">
        <f>Table2PRN!G7649</f>
        <v>0</v>
      </c>
    </row>
    <row r="727" spans="1:7" x14ac:dyDescent="0.2">
      <c r="A727" t="s">
        <v>4343</v>
      </c>
      <c r="B727">
        <f>Table2PRN!B7650</f>
        <v>0</v>
      </c>
      <c r="C727">
        <f>Table2PRN!C7650</f>
        <v>0</v>
      </c>
      <c r="D727">
        <f>Table2PRN!D7650</f>
        <v>0</v>
      </c>
      <c r="E727">
        <f>Table2PRN!E7650</f>
        <v>0</v>
      </c>
      <c r="F727">
        <f>Table2PRN!F7650</f>
        <v>0</v>
      </c>
      <c r="G727">
        <f>Table2PRN!G7650</f>
        <v>0</v>
      </c>
    </row>
    <row r="728" spans="1:7" x14ac:dyDescent="0.2">
      <c r="A728" t="s">
        <v>1728</v>
      </c>
      <c r="B728">
        <f>Table2PRN!B7651</f>
        <v>0</v>
      </c>
      <c r="C728">
        <f>Table2PRN!C7651</f>
        <v>0</v>
      </c>
      <c r="D728">
        <f>Table2PRN!D7651</f>
        <v>0</v>
      </c>
      <c r="E728">
        <f>Table2PRN!E7651</f>
        <v>0</v>
      </c>
      <c r="F728">
        <f>Table2PRN!F7651</f>
        <v>0</v>
      </c>
      <c r="G728">
        <f>Table2PRN!G7651</f>
        <v>0</v>
      </c>
    </row>
    <row r="729" spans="1:7" x14ac:dyDescent="0.2">
      <c r="A729" t="s">
        <v>1730</v>
      </c>
      <c r="B729">
        <f>Table2PRN!B7652</f>
        <v>0</v>
      </c>
      <c r="C729">
        <f>Table2PRN!C7652</f>
        <v>1</v>
      </c>
      <c r="D729">
        <f>Table2PRN!D7652</f>
        <v>6</v>
      </c>
      <c r="E729">
        <f>Table2PRN!E7652</f>
        <v>1</v>
      </c>
      <c r="F729">
        <f>Table2PRN!F7652</f>
        <v>5</v>
      </c>
      <c r="G729">
        <f>Table2PRN!G7652</f>
        <v>13</v>
      </c>
    </row>
    <row r="730" spans="1:7" x14ac:dyDescent="0.2">
      <c r="A730" t="s">
        <v>1733</v>
      </c>
      <c r="B730">
        <f>Table2PRN!B7653</f>
        <v>0</v>
      </c>
      <c r="C730">
        <f>Table2PRN!C7653</f>
        <v>0</v>
      </c>
      <c r="D730">
        <f>Table2PRN!D7653</f>
        <v>0</v>
      </c>
      <c r="E730">
        <f>Table2PRN!E7653</f>
        <v>0</v>
      </c>
      <c r="F730">
        <f>Table2PRN!F7653</f>
        <v>0</v>
      </c>
      <c r="G730">
        <f>Table2PRN!G7653</f>
        <v>0</v>
      </c>
    </row>
    <row r="731" spans="1:7" x14ac:dyDescent="0.2">
      <c r="A731" t="s">
        <v>1738</v>
      </c>
      <c r="B731">
        <f>Table2PRN!B7654</f>
        <v>0</v>
      </c>
      <c r="C731">
        <f>Table2PRN!C7654</f>
        <v>0</v>
      </c>
      <c r="D731">
        <f>Table2PRN!D7654</f>
        <v>0</v>
      </c>
      <c r="E731">
        <f>Table2PRN!E7654</f>
        <v>0</v>
      </c>
      <c r="F731">
        <f>Table2PRN!F7654</f>
        <v>0</v>
      </c>
      <c r="G731">
        <f>Table2PRN!G7654</f>
        <v>0</v>
      </c>
    </row>
    <row r="732" spans="1:7" x14ac:dyDescent="0.2">
      <c r="A732" t="s">
        <v>1744</v>
      </c>
      <c r="B732">
        <f>Table2PRN!B7655</f>
        <v>0</v>
      </c>
      <c r="C732">
        <f>Table2PRN!C7655</f>
        <v>0</v>
      </c>
      <c r="D732">
        <f>Table2PRN!D7655</f>
        <v>0</v>
      </c>
      <c r="E732">
        <f>Table2PRN!E7655</f>
        <v>0</v>
      </c>
      <c r="F732">
        <f>Table2PRN!F7655</f>
        <v>0</v>
      </c>
      <c r="G732">
        <f>Table2PRN!G7655</f>
        <v>0</v>
      </c>
    </row>
    <row r="733" spans="1:7" x14ac:dyDescent="0.2">
      <c r="A733" t="s">
        <v>1747</v>
      </c>
      <c r="B733">
        <f>Table2PRN!B7656</f>
        <v>0</v>
      </c>
      <c r="C733">
        <f>Table2PRN!C7656</f>
        <v>0</v>
      </c>
      <c r="D733">
        <f>Table2PRN!D7656</f>
        <v>0</v>
      </c>
      <c r="E733">
        <f>Table2PRN!E7656</f>
        <v>0</v>
      </c>
      <c r="F733">
        <f>Table2PRN!F7656</f>
        <v>0</v>
      </c>
      <c r="G733">
        <f>Table2PRN!G7656</f>
        <v>0</v>
      </c>
    </row>
    <row r="734" spans="1:7" x14ac:dyDescent="0.2">
      <c r="A734" t="s">
        <v>1751</v>
      </c>
      <c r="B734">
        <f>Table2PRN!B7657</f>
        <v>0</v>
      </c>
      <c r="C734">
        <f>Table2PRN!C7657</f>
        <v>0</v>
      </c>
      <c r="D734">
        <f>Table2PRN!D7657</f>
        <v>0</v>
      </c>
      <c r="E734">
        <f>Table2PRN!E7657</f>
        <v>0</v>
      </c>
      <c r="F734">
        <f>Table2PRN!F7657</f>
        <v>0</v>
      </c>
      <c r="G734">
        <f>Table2PRN!G7657</f>
        <v>0</v>
      </c>
    </row>
    <row r="735" spans="1:7" x14ac:dyDescent="0.2">
      <c r="A735" t="s">
        <v>1755</v>
      </c>
      <c r="B735">
        <f>Table2PRN!B7658</f>
        <v>0</v>
      </c>
      <c r="C735">
        <f>Table2PRN!C7658</f>
        <v>0</v>
      </c>
      <c r="D735">
        <f>Table2PRN!D7658</f>
        <v>0</v>
      </c>
      <c r="E735">
        <f>Table2PRN!E7658</f>
        <v>2</v>
      </c>
      <c r="F735">
        <f>Table2PRN!F7658</f>
        <v>0</v>
      </c>
      <c r="G735">
        <f>Table2PRN!G7658</f>
        <v>2</v>
      </c>
    </row>
    <row r="736" spans="1:7" x14ac:dyDescent="0.2">
      <c r="A736" t="s">
        <v>1757</v>
      </c>
      <c r="B736">
        <f>Table2PRN!B7659</f>
        <v>0</v>
      </c>
      <c r="C736">
        <f>Table2PRN!C7659</f>
        <v>0</v>
      </c>
      <c r="D736">
        <f>Table2PRN!D7659</f>
        <v>0</v>
      </c>
      <c r="E736">
        <f>Table2PRN!E7659</f>
        <v>1</v>
      </c>
      <c r="F736">
        <f>Table2PRN!F7659</f>
        <v>0</v>
      </c>
      <c r="G736">
        <f>Table2PRN!G7659</f>
        <v>1</v>
      </c>
    </row>
    <row r="737" spans="1:7" x14ac:dyDescent="0.2">
      <c r="A737" t="s">
        <v>1761</v>
      </c>
      <c r="B737">
        <f>Table2PRN!B7660</f>
        <v>0</v>
      </c>
      <c r="C737">
        <f>Table2PRN!C7660</f>
        <v>0</v>
      </c>
      <c r="D737">
        <f>Table2PRN!D7660</f>
        <v>0</v>
      </c>
      <c r="E737">
        <f>Table2PRN!E7660</f>
        <v>0</v>
      </c>
      <c r="F737">
        <f>Table2PRN!F7660</f>
        <v>0</v>
      </c>
      <c r="G737">
        <f>Table2PRN!G7660</f>
        <v>0</v>
      </c>
    </row>
    <row r="738" spans="1:7" x14ac:dyDescent="0.2">
      <c r="A738" t="s">
        <v>1764</v>
      </c>
      <c r="B738">
        <f>Table2PRN!B7661</f>
        <v>0</v>
      </c>
      <c r="C738">
        <f>Table2PRN!C7661</f>
        <v>0</v>
      </c>
      <c r="D738">
        <f>Table2PRN!D7661</f>
        <v>0</v>
      </c>
      <c r="E738">
        <f>Table2PRN!E7661</f>
        <v>0</v>
      </c>
      <c r="F738">
        <f>Table2PRN!F7661</f>
        <v>0</v>
      </c>
      <c r="G738">
        <f>Table2PRN!G7661</f>
        <v>0</v>
      </c>
    </row>
    <row r="739" spans="1:7" x14ac:dyDescent="0.2">
      <c r="A739" t="s">
        <v>1770</v>
      </c>
      <c r="B739">
        <f>Table2PRN!B7662</f>
        <v>8</v>
      </c>
      <c r="C739">
        <f>Table2PRN!C7662</f>
        <v>46</v>
      </c>
      <c r="D739">
        <f>Table2PRN!D7662</f>
        <v>300</v>
      </c>
      <c r="E739">
        <f>Table2PRN!E7662</f>
        <v>561</v>
      </c>
      <c r="F739">
        <f>Table2PRN!F7662</f>
        <v>0</v>
      </c>
      <c r="G739">
        <f>Table2PRN!G7662</f>
        <v>916</v>
      </c>
    </row>
    <row r="740" spans="1:7" x14ac:dyDescent="0.2">
      <c r="A740" t="s">
        <v>1772</v>
      </c>
      <c r="B740">
        <f>Table2PRN!B7663</f>
        <v>0</v>
      </c>
      <c r="C740">
        <f>Table2PRN!C7663</f>
        <v>1</v>
      </c>
      <c r="D740">
        <f>Table2PRN!D7663</f>
        <v>13</v>
      </c>
      <c r="E740">
        <f>Table2PRN!E7663</f>
        <v>0</v>
      </c>
      <c r="F740">
        <f>Table2PRN!F7663</f>
        <v>0</v>
      </c>
      <c r="G740">
        <f>Table2PRN!G7663</f>
        <v>14</v>
      </c>
    </row>
    <row r="741" spans="1:7" x14ac:dyDescent="0.2">
      <c r="A741" t="s">
        <v>1774</v>
      </c>
      <c r="B741">
        <f>Table2PRN!B7664</f>
        <v>0</v>
      </c>
      <c r="C741">
        <f>Table2PRN!C7664</f>
        <v>0</v>
      </c>
      <c r="D741">
        <f>Table2PRN!D7664</f>
        <v>0</v>
      </c>
      <c r="E741">
        <f>Table2PRN!E7664</f>
        <v>0</v>
      </c>
      <c r="F741">
        <f>Table2PRN!F7664</f>
        <v>0</v>
      </c>
      <c r="G741">
        <f>Table2PRN!G7664</f>
        <v>0</v>
      </c>
    </row>
    <row r="742" spans="1:7" x14ac:dyDescent="0.2">
      <c r="A742" t="s">
        <v>1777</v>
      </c>
      <c r="B742">
        <f>Table2PRN!B7665</f>
        <v>0</v>
      </c>
      <c r="C742">
        <f>Table2PRN!C7665</f>
        <v>0</v>
      </c>
      <c r="D742">
        <f>Table2PRN!D7665</f>
        <v>0</v>
      </c>
      <c r="E742">
        <f>Table2PRN!E7665</f>
        <v>0</v>
      </c>
      <c r="F742">
        <f>Table2PRN!F7665</f>
        <v>0</v>
      </c>
      <c r="G742">
        <f>Table2PRN!G7665</f>
        <v>0</v>
      </c>
    </row>
    <row r="743" spans="1:7" x14ac:dyDescent="0.2">
      <c r="A743" t="s">
        <v>1782</v>
      </c>
      <c r="B743">
        <f>Table2PRN!B7666</f>
        <v>0</v>
      </c>
      <c r="C743">
        <f>Table2PRN!C7666</f>
        <v>0</v>
      </c>
      <c r="D743">
        <f>Table2PRN!D7666</f>
        <v>0</v>
      </c>
      <c r="E743">
        <f>Table2PRN!E7666</f>
        <v>0</v>
      </c>
      <c r="F743">
        <f>Table2PRN!F7666</f>
        <v>0</v>
      </c>
      <c r="G743">
        <f>Table2PRN!G7666</f>
        <v>0</v>
      </c>
    </row>
    <row r="744" spans="1:7" x14ac:dyDescent="0.2">
      <c r="A744" t="s">
        <v>1274</v>
      </c>
      <c r="B744">
        <f>Table2PRN!B7667</f>
        <v>0</v>
      </c>
      <c r="C744">
        <f>Table2PRN!C7667</f>
        <v>0</v>
      </c>
      <c r="D744">
        <f>Table2PRN!D7667</f>
        <v>0</v>
      </c>
      <c r="E744">
        <f>Table2PRN!E7667</f>
        <v>0</v>
      </c>
      <c r="F744">
        <f>Table2PRN!F7667</f>
        <v>0</v>
      </c>
      <c r="G744">
        <f>Table2PRN!G7667</f>
        <v>0</v>
      </c>
    </row>
    <row r="745" spans="1:7" x14ac:dyDescent="0.2">
      <c r="A745" t="s">
        <v>1277</v>
      </c>
      <c r="B745">
        <f>Table2PRN!B7668</f>
        <v>0</v>
      </c>
      <c r="C745">
        <f>Table2PRN!C7668</f>
        <v>0</v>
      </c>
      <c r="D745">
        <f>Table2PRN!D7668</f>
        <v>0</v>
      </c>
      <c r="E745">
        <f>Table2PRN!E7668</f>
        <v>0</v>
      </c>
      <c r="F745">
        <f>Table2PRN!F7668</f>
        <v>0</v>
      </c>
      <c r="G745">
        <f>Table2PRN!G7668</f>
        <v>0</v>
      </c>
    </row>
    <row r="746" spans="1:7" x14ac:dyDescent="0.2">
      <c r="A746" t="s">
        <v>1798</v>
      </c>
      <c r="B746">
        <f>Table2PRN!B7669</f>
        <v>0</v>
      </c>
      <c r="C746">
        <f>Table2PRN!C7669</f>
        <v>0</v>
      </c>
      <c r="D746">
        <f>Table2PRN!D7669</f>
        <v>0</v>
      </c>
      <c r="E746">
        <f>Table2PRN!E7669</f>
        <v>0</v>
      </c>
      <c r="F746">
        <f>Table2PRN!F7669</f>
        <v>0</v>
      </c>
      <c r="G746">
        <f>Table2PRN!G7669</f>
        <v>0</v>
      </c>
    </row>
    <row r="747" spans="1:7" x14ac:dyDescent="0.2">
      <c r="A747" t="s">
        <v>1803</v>
      </c>
      <c r="B747">
        <f>Table2PRN!B7670</f>
        <v>0</v>
      </c>
      <c r="C747">
        <f>Table2PRN!C7670</f>
        <v>0</v>
      </c>
      <c r="D747">
        <f>Table2PRN!D7670</f>
        <v>0</v>
      </c>
      <c r="E747">
        <f>Table2PRN!E7670</f>
        <v>0</v>
      </c>
      <c r="F747">
        <f>Table2PRN!F7670</f>
        <v>0</v>
      </c>
      <c r="G747">
        <f>Table2PRN!G7670</f>
        <v>0</v>
      </c>
    </row>
    <row r="748" spans="1:7" x14ac:dyDescent="0.2">
      <c r="A748" t="s">
        <v>1808</v>
      </c>
      <c r="B748">
        <f>Table2PRN!B7671</f>
        <v>0</v>
      </c>
      <c r="C748">
        <f>Table2PRN!C7671</f>
        <v>0</v>
      </c>
      <c r="D748">
        <f>Table2PRN!D7671</f>
        <v>0</v>
      </c>
      <c r="E748">
        <f>Table2PRN!E7671</f>
        <v>0</v>
      </c>
      <c r="F748">
        <f>Table2PRN!F7671</f>
        <v>0</v>
      </c>
      <c r="G748">
        <f>Table2PRN!G7671</f>
        <v>0</v>
      </c>
    </row>
    <row r="749" spans="1:7" x14ac:dyDescent="0.2">
      <c r="A749" t="s">
        <v>1813</v>
      </c>
      <c r="B749">
        <f>Table2PRN!B7672</f>
        <v>0</v>
      </c>
      <c r="C749">
        <f>Table2PRN!C7672</f>
        <v>0</v>
      </c>
      <c r="D749">
        <f>Table2PRN!D7672</f>
        <v>0</v>
      </c>
      <c r="E749">
        <f>Table2PRN!E7672</f>
        <v>0</v>
      </c>
      <c r="F749">
        <f>Table2PRN!F7672</f>
        <v>0</v>
      </c>
      <c r="G749">
        <f>Table2PRN!G7672</f>
        <v>0</v>
      </c>
    </row>
    <row r="750" spans="1:7" x14ac:dyDescent="0.2">
      <c r="A750" t="s">
        <v>1819</v>
      </c>
      <c r="B750">
        <f>Table2PRN!B7673</f>
        <v>0</v>
      </c>
      <c r="C750">
        <f>Table2PRN!C7673</f>
        <v>0</v>
      </c>
      <c r="D750">
        <f>Table2PRN!D7673</f>
        <v>0</v>
      </c>
      <c r="E750">
        <f>Table2PRN!E7673</f>
        <v>0</v>
      </c>
      <c r="F750">
        <f>Table2PRN!F7673</f>
        <v>0</v>
      </c>
      <c r="G750">
        <f>Table2PRN!G7673</f>
        <v>0</v>
      </c>
    </row>
    <row r="751" spans="1:7" x14ac:dyDescent="0.2">
      <c r="A751" t="s">
        <v>1826</v>
      </c>
      <c r="B751">
        <f>Table2PRN!B7674</f>
        <v>0</v>
      </c>
      <c r="C751">
        <f>Table2PRN!C7674</f>
        <v>0</v>
      </c>
      <c r="D751">
        <f>Table2PRN!D7674</f>
        <v>0</v>
      </c>
      <c r="E751">
        <f>Table2PRN!E7674</f>
        <v>0</v>
      </c>
      <c r="F751">
        <f>Table2PRN!F7674</f>
        <v>0</v>
      </c>
      <c r="G751">
        <f>Table2PRN!G7674</f>
        <v>0</v>
      </c>
    </row>
    <row r="752" spans="1:7" x14ac:dyDescent="0.2">
      <c r="A752" t="s">
        <v>1830</v>
      </c>
      <c r="B752">
        <f>Table2PRN!B7675</f>
        <v>0</v>
      </c>
      <c r="C752">
        <f>Table2PRN!C7675</f>
        <v>0</v>
      </c>
      <c r="D752">
        <f>Table2PRN!D7675</f>
        <v>0</v>
      </c>
      <c r="E752">
        <f>Table2PRN!E7675</f>
        <v>0</v>
      </c>
      <c r="F752">
        <f>Table2PRN!F7675</f>
        <v>0</v>
      </c>
      <c r="G752">
        <f>Table2PRN!G7675</f>
        <v>0</v>
      </c>
    </row>
    <row r="753" spans="1:7" x14ac:dyDescent="0.2">
      <c r="A753" t="s">
        <v>1836</v>
      </c>
      <c r="B753">
        <f>Table2PRN!B7676</f>
        <v>0</v>
      </c>
      <c r="C753">
        <f>Table2PRN!C7676</f>
        <v>0</v>
      </c>
      <c r="D753">
        <f>Table2PRN!D7676</f>
        <v>0</v>
      </c>
      <c r="E753">
        <f>Table2PRN!E7676</f>
        <v>0</v>
      </c>
      <c r="F753">
        <f>Table2PRN!F7676</f>
        <v>0</v>
      </c>
      <c r="G753">
        <f>Table2PRN!G7676</f>
        <v>0</v>
      </c>
    </row>
    <row r="754" spans="1:7" x14ac:dyDescent="0.2">
      <c r="A754" t="s">
        <v>1841</v>
      </c>
      <c r="B754">
        <f>Table2PRN!B7677</f>
        <v>0</v>
      </c>
      <c r="C754">
        <f>Table2PRN!C7677</f>
        <v>0</v>
      </c>
      <c r="D754">
        <f>Table2PRN!D7677</f>
        <v>0</v>
      </c>
      <c r="E754">
        <f>Table2PRN!E7677</f>
        <v>0</v>
      </c>
      <c r="F754">
        <f>Table2PRN!F7677</f>
        <v>0</v>
      </c>
      <c r="G754">
        <f>Table2PRN!G7677</f>
        <v>0</v>
      </c>
    </row>
    <row r="755" spans="1:7" x14ac:dyDescent="0.2">
      <c r="A755" t="s">
        <v>1842</v>
      </c>
      <c r="B755">
        <f>Table2PRN!B7678</f>
        <v>0</v>
      </c>
      <c r="C755">
        <f>Table2PRN!C7678</f>
        <v>0</v>
      </c>
      <c r="D755">
        <f>Table2PRN!D7678</f>
        <v>105</v>
      </c>
      <c r="E755">
        <f>Table2PRN!E7678</f>
        <v>0</v>
      </c>
      <c r="F755">
        <f>Table2PRN!F7678</f>
        <v>0</v>
      </c>
      <c r="G755">
        <f>Table2PRN!G7678</f>
        <v>105</v>
      </c>
    </row>
    <row r="756" spans="1:7" x14ac:dyDescent="0.2">
      <c r="A756" t="s">
        <v>1843</v>
      </c>
      <c r="B756">
        <f>Table2PRN!B7679</f>
        <v>0</v>
      </c>
      <c r="C756">
        <f>Table2PRN!C7679</f>
        <v>0</v>
      </c>
      <c r="D756">
        <f>Table2PRN!D7679</f>
        <v>0</v>
      </c>
      <c r="E756">
        <f>Table2PRN!E7679</f>
        <v>0</v>
      </c>
      <c r="F756">
        <f>Table2PRN!F7679</f>
        <v>0</v>
      </c>
      <c r="G756">
        <f>Table2PRN!G7679</f>
        <v>0</v>
      </c>
    </row>
    <row r="757" spans="1:7" x14ac:dyDescent="0.2">
      <c r="A757" t="s">
        <v>1846</v>
      </c>
      <c r="B757">
        <f>Table2PRN!B7680</f>
        <v>0</v>
      </c>
      <c r="C757">
        <f>Table2PRN!C7680</f>
        <v>0</v>
      </c>
      <c r="D757">
        <f>Table2PRN!D7680</f>
        <v>0</v>
      </c>
      <c r="E757">
        <f>Table2PRN!E7680</f>
        <v>0</v>
      </c>
      <c r="F757">
        <f>Table2PRN!F7680</f>
        <v>0</v>
      </c>
      <c r="G757">
        <f>Table2PRN!G7680</f>
        <v>0</v>
      </c>
    </row>
    <row r="758" spans="1:7" x14ac:dyDescent="0.2">
      <c r="A758" t="s">
        <v>1851</v>
      </c>
      <c r="B758">
        <f>Table2PRN!B7681</f>
        <v>0</v>
      </c>
      <c r="C758">
        <f>Table2PRN!C7681</f>
        <v>0</v>
      </c>
      <c r="D758">
        <f>Table2PRN!D7681</f>
        <v>0</v>
      </c>
      <c r="E758">
        <f>Table2PRN!E7681</f>
        <v>0</v>
      </c>
      <c r="F758">
        <f>Table2PRN!F7681</f>
        <v>0</v>
      </c>
      <c r="G758">
        <f>Table2PRN!G7681</f>
        <v>0</v>
      </c>
    </row>
    <row r="759" spans="1:7" x14ac:dyDescent="0.2">
      <c r="A759" t="s">
        <v>1857</v>
      </c>
      <c r="B759">
        <f>Table2PRN!B7682</f>
        <v>0</v>
      </c>
      <c r="C759">
        <f>Table2PRN!C7682</f>
        <v>0</v>
      </c>
      <c r="D759">
        <f>Table2PRN!D7682</f>
        <v>0</v>
      </c>
      <c r="E759">
        <f>Table2PRN!E7682</f>
        <v>0</v>
      </c>
      <c r="F759">
        <f>Table2PRN!F7682</f>
        <v>0</v>
      </c>
      <c r="G759">
        <f>Table2PRN!G7682</f>
        <v>0</v>
      </c>
    </row>
    <row r="760" spans="1:7" x14ac:dyDescent="0.2">
      <c r="A760" t="s">
        <v>1862</v>
      </c>
      <c r="B760">
        <f>Table2PRN!B7683</f>
        <v>0</v>
      </c>
      <c r="C760">
        <f>Table2PRN!C7683</f>
        <v>0</v>
      </c>
      <c r="D760">
        <f>Table2PRN!D7683</f>
        <v>0</v>
      </c>
      <c r="E760">
        <f>Table2PRN!E7683</f>
        <v>0</v>
      </c>
      <c r="F760">
        <f>Table2PRN!F7683</f>
        <v>0</v>
      </c>
      <c r="G760">
        <f>Table2PRN!G7683</f>
        <v>0</v>
      </c>
    </row>
    <row r="761" spans="1:7" x14ac:dyDescent="0.2">
      <c r="A761" t="s">
        <v>1867</v>
      </c>
      <c r="B761">
        <f>Table2PRN!B7684</f>
        <v>0</v>
      </c>
      <c r="C761">
        <f>Table2PRN!C7684</f>
        <v>0</v>
      </c>
      <c r="D761">
        <f>Table2PRN!D7684</f>
        <v>0</v>
      </c>
      <c r="E761">
        <f>Table2PRN!E7684</f>
        <v>0</v>
      </c>
      <c r="F761">
        <f>Table2PRN!F7684</f>
        <v>0</v>
      </c>
      <c r="G761">
        <f>Table2PRN!G7684</f>
        <v>0</v>
      </c>
    </row>
    <row r="762" spans="1:7" x14ac:dyDescent="0.2">
      <c r="A762" t="s">
        <v>1870</v>
      </c>
      <c r="B762">
        <f>Table2PRN!B7685</f>
        <v>0</v>
      </c>
      <c r="C762">
        <f>Table2PRN!C7685</f>
        <v>0</v>
      </c>
      <c r="D762">
        <f>Table2PRN!D7685</f>
        <v>0</v>
      </c>
      <c r="E762">
        <f>Table2PRN!E7685</f>
        <v>0</v>
      </c>
      <c r="F762">
        <f>Table2PRN!F7685</f>
        <v>0</v>
      </c>
      <c r="G762">
        <f>Table2PRN!G7685</f>
        <v>0</v>
      </c>
    </row>
    <row r="763" spans="1:7" x14ac:dyDescent="0.2">
      <c r="A763" t="s">
        <v>1874</v>
      </c>
      <c r="B763">
        <f>Table2PRN!B7686</f>
        <v>0</v>
      </c>
      <c r="C763">
        <f>Table2PRN!C7686</f>
        <v>0</v>
      </c>
      <c r="D763">
        <f>Table2PRN!D7686</f>
        <v>0</v>
      </c>
      <c r="E763">
        <f>Table2PRN!E7686</f>
        <v>0</v>
      </c>
      <c r="F763">
        <f>Table2PRN!F7686</f>
        <v>0</v>
      </c>
      <c r="G763">
        <f>Table2PRN!G7686</f>
        <v>0</v>
      </c>
    </row>
    <row r="764" spans="1:7" x14ac:dyDescent="0.2">
      <c r="A764" t="s">
        <v>1876</v>
      </c>
      <c r="B764">
        <f>Table2PRN!B7687</f>
        <v>0</v>
      </c>
      <c r="C764">
        <f>Table2PRN!C7687</f>
        <v>0</v>
      </c>
      <c r="D764">
        <f>Table2PRN!D7687</f>
        <v>0</v>
      </c>
      <c r="E764">
        <f>Table2PRN!E7687</f>
        <v>0</v>
      </c>
      <c r="F764">
        <f>Table2PRN!F7687</f>
        <v>0</v>
      </c>
      <c r="G764">
        <f>Table2PRN!G7687</f>
        <v>0</v>
      </c>
    </row>
    <row r="765" spans="1:7" x14ac:dyDescent="0.2">
      <c r="A765" t="s">
        <v>1881</v>
      </c>
      <c r="B765">
        <f>Table2PRN!B7688</f>
        <v>0</v>
      </c>
      <c r="C765">
        <f>Table2PRN!C7688</f>
        <v>0</v>
      </c>
      <c r="D765">
        <f>Table2PRN!D7688</f>
        <v>0</v>
      </c>
      <c r="E765">
        <f>Table2PRN!E7688</f>
        <v>0</v>
      </c>
      <c r="F765">
        <f>Table2PRN!F7688</f>
        <v>0</v>
      </c>
      <c r="G765">
        <f>Table2PRN!G7688</f>
        <v>0</v>
      </c>
    </row>
    <row r="766" spans="1:7" x14ac:dyDescent="0.2">
      <c r="A766" t="s">
        <v>1885</v>
      </c>
      <c r="B766">
        <f>Table2PRN!B7689</f>
        <v>0</v>
      </c>
      <c r="C766">
        <f>Table2PRN!C7689</f>
        <v>61</v>
      </c>
      <c r="D766">
        <f>Table2PRN!D7689</f>
        <v>0</v>
      </c>
      <c r="E766">
        <f>Table2PRN!E7689</f>
        <v>0</v>
      </c>
      <c r="F766">
        <f>Table2PRN!F7689</f>
        <v>0</v>
      </c>
      <c r="G766">
        <f>Table2PRN!G7689</f>
        <v>61</v>
      </c>
    </row>
    <row r="767" spans="1:7" x14ac:dyDescent="0.2">
      <c r="A767" t="s">
        <v>1887</v>
      </c>
      <c r="B767">
        <f>Table2PRN!B7690</f>
        <v>0</v>
      </c>
      <c r="C767">
        <f>Table2PRN!C7690</f>
        <v>0</v>
      </c>
      <c r="D767">
        <f>Table2PRN!D7690</f>
        <v>0</v>
      </c>
      <c r="E767">
        <f>Table2PRN!E7690</f>
        <v>0</v>
      </c>
      <c r="F767">
        <f>Table2PRN!F7690</f>
        <v>0</v>
      </c>
      <c r="G767">
        <f>Table2PRN!G7690</f>
        <v>0</v>
      </c>
    </row>
    <row r="768" spans="1:7" x14ac:dyDescent="0.2">
      <c r="A768" t="s">
        <v>1893</v>
      </c>
      <c r="B768">
        <f>Table2PRN!B7691</f>
        <v>0</v>
      </c>
      <c r="C768">
        <f>Table2PRN!C7691</f>
        <v>0</v>
      </c>
      <c r="D768">
        <f>Table2PRN!D7691</f>
        <v>0</v>
      </c>
      <c r="E768">
        <f>Table2PRN!E7691</f>
        <v>1</v>
      </c>
      <c r="F768">
        <f>Table2PRN!F7691</f>
        <v>0</v>
      </c>
      <c r="G768">
        <f>Table2PRN!G7691</f>
        <v>1</v>
      </c>
    </row>
    <row r="769" spans="1:7" x14ac:dyDescent="0.2">
      <c r="A769" t="s">
        <v>1899</v>
      </c>
      <c r="B769">
        <f>Table2PRN!B7692</f>
        <v>0</v>
      </c>
      <c r="C769">
        <f>Table2PRN!C7692</f>
        <v>0</v>
      </c>
      <c r="D769">
        <f>Table2PRN!D7692</f>
        <v>0</v>
      </c>
      <c r="E769">
        <f>Table2PRN!E7692</f>
        <v>0</v>
      </c>
      <c r="F769">
        <f>Table2PRN!F7692</f>
        <v>0</v>
      </c>
      <c r="G769">
        <f>Table2PRN!G7692</f>
        <v>0</v>
      </c>
    </row>
    <row r="770" spans="1:7" x14ac:dyDescent="0.2">
      <c r="A770" t="s">
        <v>1906</v>
      </c>
      <c r="B770">
        <f>Table2PRN!B7693</f>
        <v>0</v>
      </c>
      <c r="C770">
        <f>Table2PRN!C7693</f>
        <v>0</v>
      </c>
      <c r="D770">
        <f>Table2PRN!D7693</f>
        <v>0</v>
      </c>
      <c r="E770">
        <f>Table2PRN!E7693</f>
        <v>0</v>
      </c>
      <c r="F770">
        <f>Table2PRN!F7693</f>
        <v>0</v>
      </c>
      <c r="G770">
        <f>Table2PRN!G7693</f>
        <v>0</v>
      </c>
    </row>
    <row r="771" spans="1:7" x14ac:dyDescent="0.2">
      <c r="A771" t="s">
        <v>1911</v>
      </c>
      <c r="B771">
        <f>Table2PRN!B7694</f>
        <v>0</v>
      </c>
      <c r="C771">
        <f>Table2PRN!C7694</f>
        <v>0</v>
      </c>
      <c r="D771">
        <f>Table2PRN!D7694</f>
        <v>0</v>
      </c>
      <c r="E771">
        <f>Table2PRN!E7694</f>
        <v>0</v>
      </c>
      <c r="F771">
        <f>Table2PRN!F7694</f>
        <v>0</v>
      </c>
      <c r="G771">
        <f>Table2PRN!G7694</f>
        <v>0</v>
      </c>
    </row>
    <row r="772" spans="1:7" x14ac:dyDescent="0.2">
      <c r="A772" t="s">
        <v>1917</v>
      </c>
      <c r="B772">
        <f>Table2PRN!B7695</f>
        <v>0</v>
      </c>
      <c r="C772">
        <f>Table2PRN!C7695</f>
        <v>0</v>
      </c>
      <c r="D772">
        <f>Table2PRN!D7695</f>
        <v>0</v>
      </c>
      <c r="E772">
        <f>Table2PRN!E7695</f>
        <v>0</v>
      </c>
      <c r="F772">
        <f>Table2PRN!F7695</f>
        <v>0</v>
      </c>
      <c r="G772">
        <f>Table2PRN!G7695</f>
        <v>0</v>
      </c>
    </row>
    <row r="773" spans="1:7" x14ac:dyDescent="0.2">
      <c r="A773" t="s">
        <v>1922</v>
      </c>
      <c r="B773">
        <f>Table2PRN!B7696</f>
        <v>0</v>
      </c>
      <c r="C773">
        <f>Table2PRN!C7696</f>
        <v>0</v>
      </c>
      <c r="D773">
        <f>Table2PRN!D7696</f>
        <v>0</v>
      </c>
      <c r="E773">
        <f>Table2PRN!E7696</f>
        <v>0</v>
      </c>
      <c r="F773">
        <f>Table2PRN!F7696</f>
        <v>0</v>
      </c>
      <c r="G773">
        <f>Table2PRN!G7696</f>
        <v>0</v>
      </c>
    </row>
    <row r="774" spans="1:7" x14ac:dyDescent="0.2">
      <c r="A774" t="s">
        <v>1928</v>
      </c>
      <c r="B774">
        <f>Table2PRN!B7697</f>
        <v>0</v>
      </c>
      <c r="C774">
        <f>Table2PRN!C7697</f>
        <v>0</v>
      </c>
      <c r="D774">
        <f>Table2PRN!D7697</f>
        <v>0</v>
      </c>
      <c r="E774">
        <f>Table2PRN!E7697</f>
        <v>0</v>
      </c>
      <c r="F774">
        <f>Table2PRN!F7697</f>
        <v>0</v>
      </c>
      <c r="G774">
        <f>Table2PRN!G7697</f>
        <v>0</v>
      </c>
    </row>
    <row r="775" spans="1:7" x14ac:dyDescent="0.2">
      <c r="A775" t="s">
        <v>1932</v>
      </c>
      <c r="B775">
        <f>Table2PRN!B7698</f>
        <v>0</v>
      </c>
      <c r="C775">
        <f>Table2PRN!C7698</f>
        <v>0</v>
      </c>
      <c r="D775">
        <f>Table2PRN!D7698</f>
        <v>0</v>
      </c>
      <c r="E775">
        <f>Table2PRN!E7698</f>
        <v>0</v>
      </c>
      <c r="F775">
        <f>Table2PRN!F7698</f>
        <v>0</v>
      </c>
      <c r="G775">
        <f>Table2PRN!G7698</f>
        <v>0</v>
      </c>
    </row>
    <row r="776" spans="1:7" x14ac:dyDescent="0.2">
      <c r="A776" t="s">
        <v>1938</v>
      </c>
      <c r="B776">
        <f>Table2PRN!B7699</f>
        <v>0</v>
      </c>
      <c r="C776">
        <f>Table2PRN!C7699</f>
        <v>0</v>
      </c>
      <c r="D776">
        <f>Table2PRN!D7699</f>
        <v>0</v>
      </c>
      <c r="E776">
        <f>Table2PRN!E7699</f>
        <v>0</v>
      </c>
      <c r="F776">
        <f>Table2PRN!F7699</f>
        <v>0</v>
      </c>
      <c r="G776">
        <f>Table2PRN!G7699</f>
        <v>0</v>
      </c>
    </row>
    <row r="777" spans="1:7" x14ac:dyDescent="0.2">
      <c r="A777" t="s">
        <v>1944</v>
      </c>
      <c r="B777">
        <f>Table2PRN!B7700</f>
        <v>0</v>
      </c>
      <c r="C777">
        <f>Table2PRN!C7700</f>
        <v>0</v>
      </c>
      <c r="D777">
        <f>Table2PRN!D7700</f>
        <v>0</v>
      </c>
      <c r="E777">
        <f>Table2PRN!E7700</f>
        <v>0</v>
      </c>
      <c r="F777">
        <f>Table2PRN!F7700</f>
        <v>0</v>
      </c>
      <c r="G777">
        <f>Table2PRN!G7700</f>
        <v>0</v>
      </c>
    </row>
    <row r="778" spans="1:7" x14ac:dyDescent="0.2">
      <c r="A778" t="s">
        <v>1947</v>
      </c>
      <c r="B778">
        <f>Table2PRN!B7701</f>
        <v>0</v>
      </c>
      <c r="C778">
        <f>Table2PRN!C7701</f>
        <v>0</v>
      </c>
      <c r="D778">
        <f>Table2PRN!D7701</f>
        <v>0</v>
      </c>
      <c r="E778">
        <f>Table2PRN!E7701</f>
        <v>0</v>
      </c>
      <c r="F778">
        <f>Table2PRN!F7701</f>
        <v>0</v>
      </c>
      <c r="G778">
        <f>Table2PRN!G7701</f>
        <v>0</v>
      </c>
    </row>
    <row r="779" spans="1:7" x14ac:dyDescent="0.2">
      <c r="A779" t="s">
        <v>1953</v>
      </c>
      <c r="B779">
        <f>Table2PRN!B7702</f>
        <v>0</v>
      </c>
      <c r="C779">
        <f>Table2PRN!C7702</f>
        <v>0</v>
      </c>
      <c r="D779">
        <f>Table2PRN!D7702</f>
        <v>0</v>
      </c>
      <c r="E779">
        <f>Table2PRN!E7702</f>
        <v>0</v>
      </c>
      <c r="F779">
        <f>Table2PRN!F7702</f>
        <v>0</v>
      </c>
      <c r="G779">
        <f>Table2PRN!G7702</f>
        <v>0</v>
      </c>
    </row>
    <row r="780" spans="1:7" x14ac:dyDescent="0.2">
      <c r="A780" t="s">
        <v>1958</v>
      </c>
      <c r="B780">
        <f>Table2PRN!B7703</f>
        <v>0</v>
      </c>
      <c r="C780">
        <f>Table2PRN!C7703</f>
        <v>0</v>
      </c>
      <c r="D780">
        <f>Table2PRN!D7703</f>
        <v>0</v>
      </c>
      <c r="E780">
        <f>Table2PRN!E7703</f>
        <v>0</v>
      </c>
      <c r="F780">
        <f>Table2PRN!F7703</f>
        <v>0</v>
      </c>
      <c r="G780">
        <f>Table2PRN!G7703</f>
        <v>0</v>
      </c>
    </row>
    <row r="781" spans="1:7" x14ac:dyDescent="0.2">
      <c r="A781" t="s">
        <v>1964</v>
      </c>
      <c r="B781">
        <f>Table2PRN!B7704</f>
        <v>0</v>
      </c>
      <c r="C781">
        <f>Table2PRN!C7704</f>
        <v>0</v>
      </c>
      <c r="D781">
        <f>Table2PRN!D7704</f>
        <v>0</v>
      </c>
      <c r="E781">
        <f>Table2PRN!E7704</f>
        <v>0</v>
      </c>
      <c r="F781">
        <f>Table2PRN!F7704</f>
        <v>0</v>
      </c>
      <c r="G781">
        <f>Table2PRN!G7704</f>
        <v>0</v>
      </c>
    </row>
    <row r="782" spans="1:7" x14ac:dyDescent="0.2">
      <c r="A782" t="s">
        <v>1973</v>
      </c>
      <c r="B782">
        <f>Table2PRN!B7705</f>
        <v>0</v>
      </c>
      <c r="C782">
        <f>Table2PRN!C7705</f>
        <v>0</v>
      </c>
      <c r="D782">
        <f>Table2PRN!D7705</f>
        <v>0</v>
      </c>
      <c r="E782">
        <f>Table2PRN!E7705</f>
        <v>0</v>
      </c>
      <c r="F782">
        <f>Table2PRN!F7705</f>
        <v>0</v>
      </c>
      <c r="G782">
        <f>Table2PRN!G7705</f>
        <v>0</v>
      </c>
    </row>
    <row r="783" spans="1:7" x14ac:dyDescent="0.2">
      <c r="A783" t="s">
        <v>1978</v>
      </c>
      <c r="B783">
        <f>Table2PRN!B7706</f>
        <v>0</v>
      </c>
      <c r="C783">
        <f>Table2PRN!C7706</f>
        <v>0</v>
      </c>
      <c r="D783">
        <f>Table2PRN!D7706</f>
        <v>0</v>
      </c>
      <c r="E783">
        <f>Table2PRN!E7706</f>
        <v>0</v>
      </c>
      <c r="F783">
        <f>Table2PRN!F7706</f>
        <v>0</v>
      </c>
      <c r="G783">
        <f>Table2PRN!G7706</f>
        <v>0</v>
      </c>
    </row>
    <row r="784" spans="1:7" x14ac:dyDescent="0.2">
      <c r="A784" t="s">
        <v>1983</v>
      </c>
      <c r="B784">
        <f>Table2PRN!B7707</f>
        <v>0</v>
      </c>
      <c r="C784">
        <f>Table2PRN!C7707</f>
        <v>0</v>
      </c>
      <c r="D784">
        <f>Table2PRN!D7707</f>
        <v>0</v>
      </c>
      <c r="E784">
        <f>Table2PRN!E7707</f>
        <v>0</v>
      </c>
      <c r="F784">
        <f>Table2PRN!F7707</f>
        <v>0</v>
      </c>
      <c r="G784">
        <f>Table2PRN!G7707</f>
        <v>0</v>
      </c>
    </row>
    <row r="785" spans="1:7" x14ac:dyDescent="0.2">
      <c r="A785" t="s">
        <v>1984</v>
      </c>
      <c r="B785">
        <f>Table2PRN!B7708</f>
        <v>0</v>
      </c>
      <c r="C785">
        <f>Table2PRN!C7708</f>
        <v>0</v>
      </c>
      <c r="D785">
        <f>Table2PRN!D7708</f>
        <v>0</v>
      </c>
      <c r="E785">
        <f>Table2PRN!E7708</f>
        <v>0</v>
      </c>
      <c r="F785">
        <f>Table2PRN!F7708</f>
        <v>0</v>
      </c>
      <c r="G785">
        <f>Table2PRN!G7708</f>
        <v>0</v>
      </c>
    </row>
    <row r="786" spans="1:7" x14ac:dyDescent="0.2">
      <c r="A786" t="s">
        <v>1990</v>
      </c>
      <c r="B786">
        <f>Table2PRN!B7709</f>
        <v>0</v>
      </c>
      <c r="C786">
        <f>Table2PRN!C7709</f>
        <v>0</v>
      </c>
      <c r="D786">
        <f>Table2PRN!D7709</f>
        <v>0</v>
      </c>
      <c r="E786">
        <f>Table2PRN!E7709</f>
        <v>0</v>
      </c>
      <c r="F786">
        <f>Table2PRN!F7709</f>
        <v>0</v>
      </c>
      <c r="G786">
        <f>Table2PRN!G7709</f>
        <v>0</v>
      </c>
    </row>
    <row r="787" spans="1:7" x14ac:dyDescent="0.2">
      <c r="A787" t="s">
        <v>1996</v>
      </c>
      <c r="B787">
        <f>Table2PRN!B7710</f>
        <v>0</v>
      </c>
      <c r="C787">
        <f>Table2PRN!C7710</f>
        <v>0</v>
      </c>
      <c r="D787">
        <f>Table2PRN!D7710</f>
        <v>0</v>
      </c>
      <c r="E787">
        <f>Table2PRN!E7710</f>
        <v>0</v>
      </c>
      <c r="F787">
        <f>Table2PRN!F7710</f>
        <v>0</v>
      </c>
      <c r="G787">
        <f>Table2PRN!G7710</f>
        <v>0</v>
      </c>
    </row>
    <row r="788" spans="1:7" x14ac:dyDescent="0.2">
      <c r="A788" t="s">
        <v>1998</v>
      </c>
      <c r="B788">
        <f>Table2PRN!B7711</f>
        <v>0</v>
      </c>
      <c r="C788">
        <f>Table2PRN!C7711</f>
        <v>0</v>
      </c>
      <c r="D788">
        <f>Table2PRN!D7711</f>
        <v>0</v>
      </c>
      <c r="E788">
        <f>Table2PRN!E7711</f>
        <v>0</v>
      </c>
      <c r="F788">
        <f>Table2PRN!F7711</f>
        <v>0</v>
      </c>
      <c r="G788">
        <f>Table2PRN!G7711</f>
        <v>0</v>
      </c>
    </row>
    <row r="789" spans="1:7" x14ac:dyDescent="0.2">
      <c r="A789" t="s">
        <v>1999</v>
      </c>
      <c r="B789">
        <f>Table2PRN!B7712</f>
        <v>0</v>
      </c>
      <c r="C789">
        <f>Table2PRN!C7712</f>
        <v>0</v>
      </c>
      <c r="D789">
        <f>Table2PRN!D7712</f>
        <v>0</v>
      </c>
      <c r="E789">
        <f>Table2PRN!E7712</f>
        <v>0</v>
      </c>
      <c r="F789">
        <f>Table2PRN!F7712</f>
        <v>0</v>
      </c>
      <c r="G789">
        <f>Table2PRN!G7712</f>
        <v>0</v>
      </c>
    </row>
    <row r="790" spans="1:7" x14ac:dyDescent="0.2">
      <c r="A790" t="s">
        <v>2004</v>
      </c>
      <c r="B790">
        <f>Table2PRN!B7713</f>
        <v>0</v>
      </c>
      <c r="C790">
        <f>Table2PRN!C7713</f>
        <v>0</v>
      </c>
      <c r="D790">
        <f>Table2PRN!D7713</f>
        <v>0</v>
      </c>
      <c r="E790">
        <f>Table2PRN!E7713</f>
        <v>0</v>
      </c>
      <c r="F790">
        <f>Table2PRN!F7713</f>
        <v>0</v>
      </c>
      <c r="G790">
        <f>Table2PRN!G7713</f>
        <v>0</v>
      </c>
    </row>
    <row r="791" spans="1:7" x14ac:dyDescent="0.2">
      <c r="A791" t="s">
        <v>2009</v>
      </c>
      <c r="B791">
        <f>Table2PRN!B7714</f>
        <v>0</v>
      </c>
      <c r="C791">
        <f>Table2PRN!C7714</f>
        <v>0</v>
      </c>
      <c r="D791">
        <f>Table2PRN!D7714</f>
        <v>0</v>
      </c>
      <c r="E791">
        <f>Table2PRN!E7714</f>
        <v>0</v>
      </c>
      <c r="F791">
        <f>Table2PRN!F7714</f>
        <v>0</v>
      </c>
      <c r="G791">
        <f>Table2PRN!G7714</f>
        <v>0</v>
      </c>
    </row>
    <row r="792" spans="1:7" x14ac:dyDescent="0.2">
      <c r="A792" t="s">
        <v>2014</v>
      </c>
      <c r="B792">
        <f>Table2PRN!B7715</f>
        <v>0</v>
      </c>
      <c r="C792">
        <f>Table2PRN!C7715</f>
        <v>0</v>
      </c>
      <c r="D792">
        <f>Table2PRN!D7715</f>
        <v>0</v>
      </c>
      <c r="E792">
        <f>Table2PRN!E7715</f>
        <v>0</v>
      </c>
      <c r="F792">
        <f>Table2PRN!F7715</f>
        <v>0</v>
      </c>
      <c r="G792">
        <f>Table2PRN!G7715</f>
        <v>0</v>
      </c>
    </row>
    <row r="793" spans="1:7" x14ac:dyDescent="0.2">
      <c r="A793" t="s">
        <v>2019</v>
      </c>
      <c r="B793">
        <f>Table2PRN!B7716</f>
        <v>0</v>
      </c>
      <c r="C793">
        <f>Table2PRN!C7716</f>
        <v>0</v>
      </c>
      <c r="D793">
        <f>Table2PRN!D7716</f>
        <v>0</v>
      </c>
      <c r="E793">
        <f>Table2PRN!E7716</f>
        <v>0</v>
      </c>
      <c r="F793">
        <f>Table2PRN!F7716</f>
        <v>0</v>
      </c>
      <c r="G793">
        <f>Table2PRN!G7716</f>
        <v>0</v>
      </c>
    </row>
    <row r="794" spans="1:7" x14ac:dyDescent="0.2">
      <c r="A794" t="s">
        <v>2023</v>
      </c>
      <c r="B794">
        <f>Table2PRN!B7717</f>
        <v>0</v>
      </c>
      <c r="C794">
        <f>Table2PRN!C7717</f>
        <v>0</v>
      </c>
      <c r="D794">
        <f>Table2PRN!D7717</f>
        <v>0</v>
      </c>
      <c r="E794">
        <f>Table2PRN!E7717</f>
        <v>0</v>
      </c>
      <c r="F794">
        <f>Table2PRN!F7717</f>
        <v>0</v>
      </c>
      <c r="G794">
        <f>Table2PRN!G7717</f>
        <v>0</v>
      </c>
    </row>
    <row r="795" spans="1:7" x14ac:dyDescent="0.2">
      <c r="A795" t="s">
        <v>2026</v>
      </c>
      <c r="B795">
        <f>Table2PRN!B7718</f>
        <v>0</v>
      </c>
      <c r="C795">
        <f>Table2PRN!C7718</f>
        <v>0</v>
      </c>
      <c r="D795">
        <f>Table2PRN!D7718</f>
        <v>0</v>
      </c>
      <c r="E795">
        <f>Table2PRN!E7718</f>
        <v>0</v>
      </c>
      <c r="F795">
        <f>Table2PRN!F7718</f>
        <v>0</v>
      </c>
      <c r="G795">
        <f>Table2PRN!G7718</f>
        <v>0</v>
      </c>
    </row>
    <row r="796" spans="1:7" x14ac:dyDescent="0.2">
      <c r="A796" t="s">
        <v>2030</v>
      </c>
      <c r="B796">
        <f>Table2PRN!B7719</f>
        <v>0</v>
      </c>
      <c r="C796">
        <f>Table2PRN!C7719</f>
        <v>0</v>
      </c>
      <c r="D796">
        <f>Table2PRN!D7719</f>
        <v>0</v>
      </c>
      <c r="E796">
        <f>Table2PRN!E7719</f>
        <v>0</v>
      </c>
      <c r="F796">
        <f>Table2PRN!F7719</f>
        <v>0</v>
      </c>
      <c r="G796">
        <f>Table2PRN!G7719</f>
        <v>0</v>
      </c>
    </row>
    <row r="797" spans="1:7" x14ac:dyDescent="0.2">
      <c r="A797" t="s">
        <v>2035</v>
      </c>
      <c r="B797">
        <f>Table2PRN!B7720</f>
        <v>0</v>
      </c>
      <c r="C797">
        <f>Table2PRN!C7720</f>
        <v>0</v>
      </c>
      <c r="D797">
        <f>Table2PRN!D7720</f>
        <v>0</v>
      </c>
      <c r="E797">
        <f>Table2PRN!E7720</f>
        <v>0</v>
      </c>
      <c r="F797">
        <f>Table2PRN!F7720</f>
        <v>0</v>
      </c>
      <c r="G797">
        <f>Table2PRN!G7720</f>
        <v>0</v>
      </c>
    </row>
    <row r="798" spans="1:7" x14ac:dyDescent="0.2">
      <c r="A798" t="s">
        <v>2040</v>
      </c>
      <c r="B798">
        <f>Table2PRN!B7721</f>
        <v>0</v>
      </c>
      <c r="C798">
        <f>Table2PRN!C7721</f>
        <v>0</v>
      </c>
      <c r="D798">
        <f>Table2PRN!D7721</f>
        <v>0</v>
      </c>
      <c r="E798">
        <f>Table2PRN!E7721</f>
        <v>0</v>
      </c>
      <c r="F798">
        <f>Table2PRN!F7721</f>
        <v>0</v>
      </c>
      <c r="G798">
        <f>Table2PRN!G7721</f>
        <v>0</v>
      </c>
    </row>
    <row r="799" spans="1:7" x14ac:dyDescent="0.2">
      <c r="A799" t="s">
        <v>2045</v>
      </c>
      <c r="B799">
        <f>Table2PRN!B7722</f>
        <v>0</v>
      </c>
      <c r="C799">
        <f>Table2PRN!C7722</f>
        <v>0</v>
      </c>
      <c r="D799">
        <f>Table2PRN!D7722</f>
        <v>0</v>
      </c>
      <c r="E799">
        <f>Table2PRN!E7722</f>
        <v>0</v>
      </c>
      <c r="F799">
        <f>Table2PRN!F7722</f>
        <v>0</v>
      </c>
      <c r="G799">
        <f>Table2PRN!G7722</f>
        <v>0</v>
      </c>
    </row>
    <row r="800" spans="1:7" x14ac:dyDescent="0.2">
      <c r="A800" t="s">
        <v>2049</v>
      </c>
      <c r="B800">
        <f>Table2PRN!B7723</f>
        <v>0</v>
      </c>
      <c r="C800">
        <f>Table2PRN!C7723</f>
        <v>0</v>
      </c>
      <c r="D800">
        <f>Table2PRN!D7723</f>
        <v>0</v>
      </c>
      <c r="E800">
        <f>Table2PRN!E7723</f>
        <v>0</v>
      </c>
      <c r="F800">
        <f>Table2PRN!F7723</f>
        <v>0</v>
      </c>
      <c r="G800">
        <f>Table2PRN!G7723</f>
        <v>0</v>
      </c>
    </row>
    <row r="801" spans="1:7" x14ac:dyDescent="0.2">
      <c r="A801" t="s">
        <v>2051</v>
      </c>
      <c r="B801">
        <f>Table2PRN!B7724</f>
        <v>0</v>
      </c>
      <c r="C801">
        <f>Table2PRN!C7724</f>
        <v>0</v>
      </c>
      <c r="D801">
        <f>Table2PRN!D7724</f>
        <v>0</v>
      </c>
      <c r="E801">
        <f>Table2PRN!E7724</f>
        <v>0</v>
      </c>
      <c r="F801">
        <f>Table2PRN!F7724</f>
        <v>0</v>
      </c>
      <c r="G801">
        <f>Table2PRN!G7724</f>
        <v>0</v>
      </c>
    </row>
    <row r="802" spans="1:7" x14ac:dyDescent="0.2">
      <c r="A802" t="s">
        <v>2057</v>
      </c>
      <c r="B802">
        <f>Table2PRN!B7725</f>
        <v>0</v>
      </c>
      <c r="C802">
        <f>Table2PRN!C7725</f>
        <v>0</v>
      </c>
      <c r="D802">
        <f>Table2PRN!D7725</f>
        <v>0</v>
      </c>
      <c r="E802">
        <f>Table2PRN!E7725</f>
        <v>0</v>
      </c>
      <c r="F802">
        <f>Table2PRN!F7725</f>
        <v>0</v>
      </c>
      <c r="G802">
        <f>Table2PRN!G7725</f>
        <v>0</v>
      </c>
    </row>
    <row r="803" spans="1:7" x14ac:dyDescent="0.2">
      <c r="A803" t="s">
        <v>4344</v>
      </c>
      <c r="B803">
        <f>Table2PRN!B7726</f>
        <v>0</v>
      </c>
      <c r="C803">
        <f>Table2PRN!C7726</f>
        <v>0</v>
      </c>
      <c r="D803">
        <f>Table2PRN!D7726</f>
        <v>0</v>
      </c>
      <c r="E803">
        <f>Table2PRN!E7726</f>
        <v>0</v>
      </c>
      <c r="F803">
        <f>Table2PRN!F7726</f>
        <v>0</v>
      </c>
      <c r="G803">
        <f>Table2PRN!G7726</f>
        <v>0</v>
      </c>
    </row>
    <row r="804" spans="1:7" x14ac:dyDescent="0.2">
      <c r="A804" t="s">
        <v>4345</v>
      </c>
      <c r="B804">
        <f>Table2PRN!B7727</f>
        <v>0</v>
      </c>
      <c r="C804">
        <f>Table2PRN!C7727</f>
        <v>0</v>
      </c>
      <c r="D804">
        <f>Table2PRN!D7727</f>
        <v>0</v>
      </c>
      <c r="E804">
        <f>Table2PRN!E7727</f>
        <v>0</v>
      </c>
      <c r="F804">
        <f>Table2PRN!F7727</f>
        <v>0</v>
      </c>
      <c r="G804">
        <f>Table2PRN!G7727</f>
        <v>0</v>
      </c>
    </row>
    <row r="805" spans="1:7" x14ac:dyDescent="0.2">
      <c r="A805" t="s">
        <v>2074</v>
      </c>
      <c r="B805">
        <f>Table2PRN!B7728</f>
        <v>0</v>
      </c>
      <c r="C805">
        <f>Table2PRN!C7728</f>
        <v>0</v>
      </c>
      <c r="D805">
        <f>Table2PRN!D7728</f>
        <v>0</v>
      </c>
      <c r="E805">
        <f>Table2PRN!E7728</f>
        <v>0</v>
      </c>
      <c r="F805">
        <f>Table2PRN!F7728</f>
        <v>0</v>
      </c>
      <c r="G805">
        <f>Table2PRN!G7728</f>
        <v>0</v>
      </c>
    </row>
    <row r="806" spans="1:7" x14ac:dyDescent="0.2">
      <c r="A806" t="s">
        <v>2079</v>
      </c>
      <c r="B806">
        <f>Table2PRN!B7729</f>
        <v>0</v>
      </c>
      <c r="C806">
        <f>Table2PRN!C7729</f>
        <v>0</v>
      </c>
      <c r="D806">
        <f>Table2PRN!D7729</f>
        <v>0</v>
      </c>
      <c r="E806">
        <f>Table2PRN!E7729</f>
        <v>0</v>
      </c>
      <c r="F806">
        <f>Table2PRN!F7729</f>
        <v>0</v>
      </c>
      <c r="G806">
        <f>Table2PRN!G7729</f>
        <v>0</v>
      </c>
    </row>
    <row r="807" spans="1:7" x14ac:dyDescent="0.2">
      <c r="A807" t="s">
        <v>2085</v>
      </c>
      <c r="B807">
        <f>Table2PRN!B7730</f>
        <v>0</v>
      </c>
      <c r="C807">
        <f>Table2PRN!C7730</f>
        <v>0</v>
      </c>
      <c r="D807">
        <f>Table2PRN!D7730</f>
        <v>0</v>
      </c>
      <c r="E807">
        <f>Table2PRN!E7730</f>
        <v>0</v>
      </c>
      <c r="F807">
        <f>Table2PRN!F7730</f>
        <v>0</v>
      </c>
      <c r="G807">
        <f>Table2PRN!G7730</f>
        <v>0</v>
      </c>
    </row>
    <row r="808" spans="1:7" x14ac:dyDescent="0.2">
      <c r="A808" t="s">
        <v>2091</v>
      </c>
      <c r="B808">
        <f>Table2PRN!B7731</f>
        <v>0</v>
      </c>
      <c r="C808">
        <f>Table2PRN!C7731</f>
        <v>0</v>
      </c>
      <c r="D808">
        <f>Table2PRN!D7731</f>
        <v>0</v>
      </c>
      <c r="E808">
        <f>Table2PRN!E7731</f>
        <v>0</v>
      </c>
      <c r="F808">
        <f>Table2PRN!F7731</f>
        <v>0</v>
      </c>
      <c r="G808">
        <f>Table2PRN!G7731</f>
        <v>0</v>
      </c>
    </row>
    <row r="809" spans="1:7" x14ac:dyDescent="0.2">
      <c r="A809" t="s">
        <v>2097</v>
      </c>
      <c r="B809">
        <f>Table2PRN!B7732</f>
        <v>0</v>
      </c>
      <c r="C809">
        <f>Table2PRN!C7732</f>
        <v>0</v>
      </c>
      <c r="D809">
        <f>Table2PRN!D7732</f>
        <v>0</v>
      </c>
      <c r="E809">
        <f>Table2PRN!E7732</f>
        <v>0</v>
      </c>
      <c r="F809">
        <f>Table2PRN!F7732</f>
        <v>0</v>
      </c>
      <c r="G809">
        <f>Table2PRN!G7732</f>
        <v>0</v>
      </c>
    </row>
    <row r="810" spans="1:7" x14ac:dyDescent="0.2">
      <c r="A810" t="s">
        <v>2101</v>
      </c>
      <c r="B810">
        <f>Table2PRN!B7733</f>
        <v>0</v>
      </c>
      <c r="C810">
        <f>Table2PRN!C7733</f>
        <v>0</v>
      </c>
      <c r="D810">
        <f>Table2PRN!D7733</f>
        <v>0</v>
      </c>
      <c r="E810">
        <f>Table2PRN!E7733</f>
        <v>0</v>
      </c>
      <c r="F810">
        <f>Table2PRN!F7733</f>
        <v>0</v>
      </c>
      <c r="G810">
        <f>Table2PRN!G7733</f>
        <v>0</v>
      </c>
    </row>
    <row r="811" spans="1:7" x14ac:dyDescent="0.2">
      <c r="A811" t="s">
        <v>2104</v>
      </c>
      <c r="B811">
        <f>Table2PRN!B7734</f>
        <v>0</v>
      </c>
      <c r="C811">
        <f>Table2PRN!C7734</f>
        <v>0</v>
      </c>
      <c r="D811">
        <f>Table2PRN!D7734</f>
        <v>0</v>
      </c>
      <c r="E811">
        <f>Table2PRN!E7734</f>
        <v>0</v>
      </c>
      <c r="F811">
        <f>Table2PRN!F7734</f>
        <v>0</v>
      </c>
      <c r="G811">
        <f>Table2PRN!G7734</f>
        <v>0</v>
      </c>
    </row>
    <row r="812" spans="1:7" x14ac:dyDescent="0.2">
      <c r="A812" t="s">
        <v>2107</v>
      </c>
      <c r="B812">
        <f>Table2PRN!B7735</f>
        <v>0</v>
      </c>
      <c r="C812">
        <f>Table2PRN!C7735</f>
        <v>0</v>
      </c>
      <c r="D812">
        <f>Table2PRN!D7735</f>
        <v>0</v>
      </c>
      <c r="E812">
        <f>Table2PRN!E7735</f>
        <v>0</v>
      </c>
      <c r="F812">
        <f>Table2PRN!F7735</f>
        <v>0</v>
      </c>
      <c r="G812">
        <f>Table2PRN!G7735</f>
        <v>0</v>
      </c>
    </row>
    <row r="813" spans="1:7" x14ac:dyDescent="0.2">
      <c r="A813" t="s">
        <v>2110</v>
      </c>
      <c r="B813">
        <f>Table2PRN!B7736</f>
        <v>0</v>
      </c>
      <c r="C813">
        <f>Table2PRN!C7736</f>
        <v>0</v>
      </c>
      <c r="D813">
        <f>Table2PRN!D7736</f>
        <v>0</v>
      </c>
      <c r="E813">
        <f>Table2PRN!E7736</f>
        <v>0</v>
      </c>
      <c r="F813">
        <f>Table2PRN!F7736</f>
        <v>0</v>
      </c>
      <c r="G813">
        <f>Table2PRN!G7736</f>
        <v>0</v>
      </c>
    </row>
    <row r="814" spans="1:7" x14ac:dyDescent="0.2">
      <c r="A814" t="s">
        <v>2113</v>
      </c>
      <c r="B814">
        <f>Table2PRN!B7737</f>
        <v>0</v>
      </c>
      <c r="C814">
        <f>Table2PRN!C7737</f>
        <v>0</v>
      </c>
      <c r="D814">
        <f>Table2PRN!D7737</f>
        <v>0</v>
      </c>
      <c r="E814">
        <f>Table2PRN!E7737</f>
        <v>0</v>
      </c>
      <c r="F814">
        <f>Table2PRN!F7737</f>
        <v>0</v>
      </c>
      <c r="G814">
        <f>Table2PRN!G7737</f>
        <v>0</v>
      </c>
    </row>
    <row r="815" spans="1:7" x14ac:dyDescent="0.2">
      <c r="A815" t="s">
        <v>4346</v>
      </c>
      <c r="B815">
        <f>Table2PRN!B7738</f>
        <v>0</v>
      </c>
      <c r="C815">
        <f>Table2PRN!C7738</f>
        <v>0</v>
      </c>
      <c r="D815">
        <f>Table2PRN!D7738</f>
        <v>0</v>
      </c>
      <c r="E815">
        <f>Table2PRN!E7738</f>
        <v>0</v>
      </c>
      <c r="F815">
        <f>Table2PRN!F7738</f>
        <v>0</v>
      </c>
      <c r="G815">
        <f>Table2PRN!G7738</f>
        <v>0</v>
      </c>
    </row>
    <row r="816" spans="1:7" x14ac:dyDescent="0.2">
      <c r="A816" t="s">
        <v>4347</v>
      </c>
      <c r="B816">
        <f>Table2PRN!B7739</f>
        <v>0</v>
      </c>
      <c r="C816">
        <f>Table2PRN!C7739</f>
        <v>0</v>
      </c>
      <c r="D816">
        <f>Table2PRN!D7739</f>
        <v>0</v>
      </c>
      <c r="E816">
        <f>Table2PRN!E7739</f>
        <v>0</v>
      </c>
      <c r="F816">
        <f>Table2PRN!F7739</f>
        <v>0</v>
      </c>
      <c r="G816">
        <f>Table2PRN!G7739</f>
        <v>0</v>
      </c>
    </row>
    <row r="817" spans="1:7" x14ac:dyDescent="0.2">
      <c r="A817" t="s">
        <v>4348</v>
      </c>
      <c r="B817">
        <f>Table2PRN!B7740</f>
        <v>0</v>
      </c>
      <c r="C817">
        <f>Table2PRN!C7740</f>
        <v>0</v>
      </c>
      <c r="D817">
        <f>Table2PRN!D7740</f>
        <v>0</v>
      </c>
      <c r="E817">
        <f>Table2PRN!E7740</f>
        <v>0</v>
      </c>
      <c r="F817">
        <f>Table2PRN!F7740</f>
        <v>0</v>
      </c>
      <c r="G817">
        <f>Table2PRN!G7740</f>
        <v>0</v>
      </c>
    </row>
    <row r="818" spans="1:7" x14ac:dyDescent="0.2">
      <c r="A818" t="s">
        <v>4349</v>
      </c>
      <c r="B818">
        <f>Table2PRN!B7741</f>
        <v>0</v>
      </c>
      <c r="C818">
        <f>Table2PRN!C7741</f>
        <v>0</v>
      </c>
      <c r="D818">
        <f>Table2PRN!D7741</f>
        <v>0</v>
      </c>
      <c r="E818">
        <f>Table2PRN!E7741</f>
        <v>0</v>
      </c>
      <c r="F818">
        <f>Table2PRN!F7741</f>
        <v>0</v>
      </c>
      <c r="G818">
        <f>Table2PRN!G7741</f>
        <v>0</v>
      </c>
    </row>
    <row r="819" spans="1:7" x14ac:dyDescent="0.2">
      <c r="A819" t="s">
        <v>4350</v>
      </c>
      <c r="B819">
        <f>Table2PRN!B7742</f>
        <v>0</v>
      </c>
      <c r="C819">
        <f>Table2PRN!C7742</f>
        <v>0</v>
      </c>
      <c r="D819">
        <f>Table2PRN!D7742</f>
        <v>9</v>
      </c>
      <c r="E819">
        <f>Table2PRN!E7742</f>
        <v>0</v>
      </c>
      <c r="F819">
        <f>Table2PRN!F7742</f>
        <v>0</v>
      </c>
      <c r="G819">
        <f>Table2PRN!G7742</f>
        <v>9</v>
      </c>
    </row>
    <row r="820" spans="1:7" x14ac:dyDescent="0.2">
      <c r="A820" t="s">
        <v>4351</v>
      </c>
      <c r="B820">
        <f>Table2PRN!B7743</f>
        <v>0</v>
      </c>
      <c r="C820">
        <f>Table2PRN!C7743</f>
        <v>0</v>
      </c>
      <c r="D820">
        <f>Table2PRN!D7743</f>
        <v>0</v>
      </c>
      <c r="E820">
        <f>Table2PRN!E7743</f>
        <v>0</v>
      </c>
      <c r="F820">
        <f>Table2PRN!F7743</f>
        <v>0</v>
      </c>
      <c r="G820">
        <f>Table2PRN!G7743</f>
        <v>0</v>
      </c>
    </row>
    <row r="821" spans="1:7" x14ac:dyDescent="0.2">
      <c r="A821" t="s">
        <v>4352</v>
      </c>
      <c r="B821">
        <f>Table2PRN!B7744</f>
        <v>0</v>
      </c>
      <c r="C821">
        <f>Table2PRN!C7744</f>
        <v>0</v>
      </c>
      <c r="D821">
        <f>Table2PRN!D7744</f>
        <v>0</v>
      </c>
      <c r="E821">
        <f>Table2PRN!E7744</f>
        <v>0</v>
      </c>
      <c r="F821">
        <f>Table2PRN!F7744</f>
        <v>0</v>
      </c>
      <c r="G821">
        <f>Table2PRN!G7744</f>
        <v>0</v>
      </c>
    </row>
    <row r="822" spans="1:7" x14ac:dyDescent="0.2">
      <c r="A822" t="s">
        <v>4353</v>
      </c>
      <c r="B822">
        <f>Table2PRN!B7745</f>
        <v>1</v>
      </c>
      <c r="C822">
        <f>Table2PRN!C7745</f>
        <v>76</v>
      </c>
      <c r="D822">
        <f>Table2PRN!D7745</f>
        <v>36</v>
      </c>
      <c r="E822">
        <f>Table2PRN!E7745</f>
        <v>1</v>
      </c>
      <c r="F822">
        <f>Table2PRN!F7745</f>
        <v>0</v>
      </c>
      <c r="G822">
        <f>Table2PRN!G7745</f>
        <v>114</v>
      </c>
    </row>
    <row r="823" spans="1:7" x14ac:dyDescent="0.2">
      <c r="A823" t="s">
        <v>4354</v>
      </c>
      <c r="B823">
        <f>Table2PRN!B7746</f>
        <v>18</v>
      </c>
      <c r="C823">
        <f>Table2PRN!C7746</f>
        <v>79</v>
      </c>
      <c r="D823">
        <f>Table2PRN!D7746</f>
        <v>32</v>
      </c>
      <c r="E823">
        <f>Table2PRN!E7746</f>
        <v>1</v>
      </c>
      <c r="F823">
        <f>Table2PRN!F7746</f>
        <v>0</v>
      </c>
      <c r="G823">
        <f>Table2PRN!G7746</f>
        <v>128</v>
      </c>
    </row>
    <row r="824" spans="1:7" x14ac:dyDescent="0.2">
      <c r="A824" t="s">
        <v>4355</v>
      </c>
      <c r="B824">
        <f>Table2PRN!B7747</f>
        <v>0</v>
      </c>
      <c r="C824">
        <f>Table2PRN!C7747</f>
        <v>0</v>
      </c>
      <c r="D824">
        <f>Table2PRN!D7747</f>
        <v>0</v>
      </c>
      <c r="E824">
        <f>Table2PRN!E7747</f>
        <v>0</v>
      </c>
      <c r="F824">
        <f>Table2PRN!F7747</f>
        <v>0</v>
      </c>
      <c r="G824">
        <f>Table2PRN!G7747</f>
        <v>0</v>
      </c>
    </row>
    <row r="825" spans="1:7" x14ac:dyDescent="0.2">
      <c r="A825" t="s">
        <v>4356</v>
      </c>
      <c r="B825">
        <f>Table2PRN!B7748</f>
        <v>0</v>
      </c>
      <c r="C825">
        <f>Table2PRN!C7748</f>
        <v>0</v>
      </c>
      <c r="D825">
        <f>Table2PRN!D7748</f>
        <v>0</v>
      </c>
      <c r="E825">
        <f>Table2PRN!E7748</f>
        <v>0</v>
      </c>
      <c r="F825">
        <f>Table2PRN!F7748</f>
        <v>0</v>
      </c>
      <c r="G825">
        <f>Table2PRN!G7748</f>
        <v>0</v>
      </c>
    </row>
    <row r="826" spans="1:7" x14ac:dyDescent="0.2">
      <c r="A826" t="s">
        <v>4357</v>
      </c>
      <c r="B826">
        <f>Table2PRN!B7749</f>
        <v>0</v>
      </c>
      <c r="C826">
        <f>Table2PRN!C7749</f>
        <v>0</v>
      </c>
      <c r="D826">
        <f>Table2PRN!D7749</f>
        <v>0</v>
      </c>
      <c r="E826">
        <f>Table2PRN!E7749</f>
        <v>0</v>
      </c>
      <c r="F826">
        <f>Table2PRN!F7749</f>
        <v>0</v>
      </c>
      <c r="G826">
        <f>Table2PRN!G7749</f>
        <v>0</v>
      </c>
    </row>
    <row r="827" spans="1:7" x14ac:dyDescent="0.2">
      <c r="A827" t="s">
        <v>4358</v>
      </c>
      <c r="B827">
        <f>Table2PRN!B7750</f>
        <v>0</v>
      </c>
      <c r="C827">
        <f>Table2PRN!C7750</f>
        <v>0</v>
      </c>
      <c r="D827">
        <f>Table2PRN!D7750</f>
        <v>0</v>
      </c>
      <c r="E827">
        <f>Table2PRN!E7750</f>
        <v>0</v>
      </c>
      <c r="F827">
        <f>Table2PRN!F7750</f>
        <v>0</v>
      </c>
      <c r="G827">
        <f>Table2PRN!G7750</f>
        <v>0</v>
      </c>
    </row>
    <row r="828" spans="1:7" x14ac:dyDescent="0.2">
      <c r="A828" t="s">
        <v>4359</v>
      </c>
      <c r="B828">
        <f>Table2PRN!B7751</f>
        <v>0</v>
      </c>
      <c r="C828">
        <f>Table2PRN!C7751</f>
        <v>0</v>
      </c>
      <c r="D828">
        <f>Table2PRN!D7751</f>
        <v>0</v>
      </c>
      <c r="E828">
        <f>Table2PRN!E7751</f>
        <v>0</v>
      </c>
      <c r="F828">
        <f>Table2PRN!F7751</f>
        <v>0</v>
      </c>
      <c r="G828">
        <f>Table2PRN!G7751</f>
        <v>0</v>
      </c>
    </row>
    <row r="829" spans="1:7" x14ac:dyDescent="0.2">
      <c r="A829" t="s">
        <v>4360</v>
      </c>
      <c r="B829">
        <f>Table2PRN!B7752</f>
        <v>0</v>
      </c>
      <c r="C829">
        <f>Table2PRN!C7752</f>
        <v>0</v>
      </c>
      <c r="D829">
        <f>Table2PRN!D7752</f>
        <v>0</v>
      </c>
      <c r="E829">
        <f>Table2PRN!E7752</f>
        <v>0</v>
      </c>
      <c r="F829">
        <f>Table2PRN!F7752</f>
        <v>0</v>
      </c>
      <c r="G829">
        <f>Table2PRN!G7752</f>
        <v>0</v>
      </c>
    </row>
    <row r="830" spans="1:7" x14ac:dyDescent="0.2">
      <c r="A830" t="s">
        <v>4361</v>
      </c>
      <c r="B830">
        <f>Table2PRN!B7753</f>
        <v>0</v>
      </c>
      <c r="C830">
        <f>Table2PRN!C7753</f>
        <v>0</v>
      </c>
      <c r="D830">
        <f>Table2PRN!D7753</f>
        <v>8</v>
      </c>
      <c r="E830">
        <f>Table2PRN!E7753</f>
        <v>0</v>
      </c>
      <c r="F830">
        <f>Table2PRN!F7753</f>
        <v>0</v>
      </c>
      <c r="G830">
        <f>Table2PRN!G7753</f>
        <v>8</v>
      </c>
    </row>
    <row r="831" spans="1:7" x14ac:dyDescent="0.2">
      <c r="A831" t="s">
        <v>4362</v>
      </c>
      <c r="B831">
        <f>Table2PRN!B7754</f>
        <v>0</v>
      </c>
      <c r="C831">
        <f>Table2PRN!C7754</f>
        <v>0</v>
      </c>
      <c r="D831">
        <f>Table2PRN!D7754</f>
        <v>0</v>
      </c>
      <c r="E831">
        <f>Table2PRN!E7754</f>
        <v>0</v>
      </c>
      <c r="F831">
        <f>Table2PRN!F7754</f>
        <v>0</v>
      </c>
      <c r="G831">
        <f>Table2PRN!G7754</f>
        <v>0</v>
      </c>
    </row>
    <row r="832" spans="1:7" x14ac:dyDescent="0.2">
      <c r="A832" t="s">
        <v>4363</v>
      </c>
      <c r="B832">
        <f>Table2PRN!B7755</f>
        <v>0</v>
      </c>
      <c r="C832">
        <f>Table2PRN!C7755</f>
        <v>0</v>
      </c>
      <c r="D832">
        <f>Table2PRN!D7755</f>
        <v>0</v>
      </c>
      <c r="E832">
        <f>Table2PRN!E7755</f>
        <v>0</v>
      </c>
      <c r="F832">
        <f>Table2PRN!F7755</f>
        <v>0</v>
      </c>
      <c r="G832">
        <f>Table2PRN!G7755</f>
        <v>0</v>
      </c>
    </row>
    <row r="833" spans="1:8" x14ac:dyDescent="0.2">
      <c r="A833" t="s">
        <v>4364</v>
      </c>
      <c r="B833">
        <f>Table2PRN!B7756</f>
        <v>0</v>
      </c>
      <c r="C833">
        <f>Table2PRN!C7756</f>
        <v>0</v>
      </c>
      <c r="D833">
        <f>Table2PRN!D7756</f>
        <v>0</v>
      </c>
      <c r="E833">
        <f>Table2PRN!E7756</f>
        <v>0</v>
      </c>
      <c r="F833">
        <f>Table2PRN!F7756</f>
        <v>0</v>
      </c>
      <c r="G833">
        <f>Table2PRN!G7756</f>
        <v>0</v>
      </c>
    </row>
    <row r="834" spans="1:8" x14ac:dyDescent="0.2">
      <c r="A834" t="s">
        <v>4365</v>
      </c>
      <c r="B834">
        <f>Table2PRN!B7757</f>
        <v>0</v>
      </c>
      <c r="C834">
        <f>Table2PRN!C7757</f>
        <v>211</v>
      </c>
      <c r="D834">
        <f>Table2PRN!D7757</f>
        <v>0</v>
      </c>
      <c r="E834">
        <f>Table2PRN!E7757</f>
        <v>0</v>
      </c>
      <c r="F834">
        <f>Table2PRN!F7757</f>
        <v>0</v>
      </c>
      <c r="G834">
        <f>Table2PRN!G7757</f>
        <v>211</v>
      </c>
    </row>
    <row r="835" spans="1:8" x14ac:dyDescent="0.2">
      <c r="A835" t="s">
        <v>4366</v>
      </c>
      <c r="B835">
        <f>Table2PRN!B7758</f>
        <v>0</v>
      </c>
      <c r="C835">
        <f>Table2PRN!C7758</f>
        <v>0</v>
      </c>
      <c r="D835">
        <f>Table2PRN!D7758</f>
        <v>0</v>
      </c>
      <c r="E835">
        <f>Table2PRN!E7758</f>
        <v>0</v>
      </c>
      <c r="F835">
        <f>Table2PRN!F7758</f>
        <v>0</v>
      </c>
      <c r="G835">
        <f>Table2PRN!G7758</f>
        <v>0</v>
      </c>
    </row>
    <row r="836" spans="1:8" x14ac:dyDescent="0.2">
      <c r="A836" t="s">
        <v>4367</v>
      </c>
      <c r="B836">
        <f>Table2PRN!B7759</f>
        <v>0</v>
      </c>
      <c r="C836">
        <f>Table2PRN!C7759</f>
        <v>0</v>
      </c>
      <c r="D836">
        <f>Table2PRN!D7759</f>
        <v>0</v>
      </c>
      <c r="E836">
        <f>Table2PRN!E7759</f>
        <v>0</v>
      </c>
      <c r="F836">
        <f>Table2PRN!F7759</f>
        <v>0</v>
      </c>
      <c r="G836">
        <f>Table2PRN!G7759</f>
        <v>0</v>
      </c>
    </row>
    <row r="837" spans="1:8" x14ac:dyDescent="0.2">
      <c r="A837" t="s">
        <v>4368</v>
      </c>
      <c r="B837">
        <f>Table2PRN!B7760</f>
        <v>58</v>
      </c>
      <c r="C837">
        <f>Table2PRN!C7760</f>
        <v>50</v>
      </c>
      <c r="D837">
        <f>Table2PRN!D7760</f>
        <v>168</v>
      </c>
      <c r="E837">
        <f>Table2PRN!E7760</f>
        <v>185</v>
      </c>
      <c r="F837">
        <f>Table2PRN!F7760</f>
        <v>27</v>
      </c>
      <c r="G837">
        <f>Table2PRN!G7760</f>
        <v>488</v>
      </c>
    </row>
    <row r="838" spans="1:8" x14ac:dyDescent="0.2">
      <c r="A838" t="s">
        <v>4369</v>
      </c>
      <c r="B838">
        <f>Table2PRN!B7761</f>
        <v>0</v>
      </c>
      <c r="C838">
        <f>Table2PRN!C7761</f>
        <v>0</v>
      </c>
      <c r="D838">
        <f>Table2PRN!D7761</f>
        <v>597</v>
      </c>
      <c r="E838">
        <f>Table2PRN!E7761</f>
        <v>0</v>
      </c>
      <c r="F838">
        <f>Table2PRN!F7761</f>
        <v>0</v>
      </c>
      <c r="G838">
        <f>Table2PRN!G7761</f>
        <v>597</v>
      </c>
    </row>
    <row r="839" spans="1:8" x14ac:dyDescent="0.2">
      <c r="A839" t="s">
        <v>4370</v>
      </c>
      <c r="B839">
        <f>Table2PRN!B7762</f>
        <v>9</v>
      </c>
      <c r="C839">
        <f>Table2PRN!C7762</f>
        <v>1</v>
      </c>
      <c r="D839">
        <f>Table2PRN!D7762</f>
        <v>0</v>
      </c>
      <c r="E839">
        <f>Table2PRN!E7762</f>
        <v>0</v>
      </c>
      <c r="F839">
        <f>Table2PRN!F7762</f>
        <v>0</v>
      </c>
      <c r="G839">
        <f>Table2PRN!G7762</f>
        <v>11</v>
      </c>
    </row>
    <row r="840" spans="1:8" x14ac:dyDescent="0.2">
      <c r="A840" t="s">
        <v>4371</v>
      </c>
      <c r="B840">
        <f>Table2PRN!B7763</f>
        <v>0</v>
      </c>
      <c r="C840">
        <f>Table2PRN!C7763</f>
        <v>0</v>
      </c>
      <c r="D840">
        <f>Table2PRN!D7763</f>
        <v>0</v>
      </c>
      <c r="E840">
        <f>Table2PRN!E7763</f>
        <v>0</v>
      </c>
      <c r="F840">
        <f>Table2PRN!F7763</f>
        <v>0</v>
      </c>
      <c r="G840">
        <f>Table2PRN!G7763</f>
        <v>0</v>
      </c>
    </row>
    <row r="841" spans="1:8" x14ac:dyDescent="0.2">
      <c r="A841" t="s">
        <v>4372</v>
      </c>
      <c r="B841">
        <f>Table2PRN!B7764</f>
        <v>0</v>
      </c>
      <c r="C841">
        <f>Table2PRN!C7764</f>
        <v>0</v>
      </c>
      <c r="D841">
        <f>Table2PRN!D7764</f>
        <v>0</v>
      </c>
      <c r="E841">
        <f>Table2PRN!E7764</f>
        <v>0</v>
      </c>
      <c r="F841">
        <f>Table2PRN!F7764</f>
        <v>0</v>
      </c>
      <c r="G841">
        <f>Table2PRN!G7764</f>
        <v>0</v>
      </c>
    </row>
    <row r="842" spans="1:8" x14ac:dyDescent="0.2">
      <c r="A842" t="s">
        <v>4373</v>
      </c>
      <c r="B842">
        <f>Table2PRN!B7765</f>
        <v>0</v>
      </c>
      <c r="C842">
        <f>Table2PRN!C7765</f>
        <v>0</v>
      </c>
      <c r="D842">
        <f>Table2PRN!D7765</f>
        <v>0</v>
      </c>
      <c r="E842">
        <f>Table2PRN!E7765</f>
        <v>0</v>
      </c>
      <c r="F842">
        <f>Table2PRN!F7765</f>
        <v>0</v>
      </c>
      <c r="G842">
        <f>Table2PRN!G7765</f>
        <v>0</v>
      </c>
    </row>
    <row r="843" spans="1:8" x14ac:dyDescent="0.2">
      <c r="A843" t="s">
        <v>4374</v>
      </c>
      <c r="B843">
        <f>Table2PRN!B7766</f>
        <v>0</v>
      </c>
      <c r="C843">
        <f>Table2PRN!C7766</f>
        <v>0</v>
      </c>
      <c r="D843">
        <f>Table2PRN!D7766</f>
        <v>0</v>
      </c>
      <c r="E843">
        <f>Table2PRN!E7766</f>
        <v>0</v>
      </c>
      <c r="F843">
        <f>Table2PRN!F7766</f>
        <v>0</v>
      </c>
      <c r="G843">
        <f>Table2PRN!G7766</f>
        <v>0</v>
      </c>
    </row>
    <row r="844" spans="1:8" x14ac:dyDescent="0.2">
      <c r="A844" t="s">
        <v>4375</v>
      </c>
      <c r="B844">
        <f>Table2PRN!B7767</f>
        <v>0</v>
      </c>
      <c r="C844">
        <f>Table2PRN!C7767</f>
        <v>0</v>
      </c>
      <c r="D844">
        <f>Table2PRN!D7767</f>
        <v>0</v>
      </c>
      <c r="E844">
        <f>Table2PRN!E7767</f>
        <v>0</v>
      </c>
      <c r="F844">
        <f>Table2PRN!F7767</f>
        <v>0</v>
      </c>
      <c r="G844">
        <f>Table2PRN!G7767</f>
        <v>0</v>
      </c>
    </row>
    <row r="845" spans="1:8" x14ac:dyDescent="0.2">
      <c r="A845" t="s">
        <v>4376</v>
      </c>
      <c r="B845">
        <f>Table2PRN!B7768</f>
        <v>0</v>
      </c>
      <c r="C845">
        <f>Table2PRN!C7768</f>
        <v>0</v>
      </c>
      <c r="D845">
        <f>Table2PRN!D7768</f>
        <v>0</v>
      </c>
      <c r="E845">
        <f>Table2PRN!E7768</f>
        <v>0</v>
      </c>
      <c r="F845">
        <f>Table2PRN!F7768</f>
        <v>0</v>
      </c>
      <c r="G845">
        <f>Table2PRN!G7768</f>
        <v>0</v>
      </c>
    </row>
    <row r="846" spans="1:8" x14ac:dyDescent="0.2">
      <c r="A846" t="s">
        <v>4377</v>
      </c>
      <c r="B846">
        <f>Table2PRN!B7769</f>
        <v>0</v>
      </c>
      <c r="C846">
        <f>Table2PRN!C7769</f>
        <v>0</v>
      </c>
      <c r="D846">
        <f>Table2PRN!D7769</f>
        <v>0</v>
      </c>
      <c r="E846">
        <f>Table2PRN!E7769</f>
        <v>0</v>
      </c>
      <c r="F846">
        <f>Table2PRN!F7769</f>
        <v>0</v>
      </c>
      <c r="G846">
        <f>Table2PRN!G7769</f>
        <v>0</v>
      </c>
    </row>
    <row r="847" spans="1:8" x14ac:dyDescent="0.2">
      <c r="A847" t="s">
        <v>6016</v>
      </c>
      <c r="B847" t="s">
        <v>6017</v>
      </c>
      <c r="C847" t="s">
        <v>6018</v>
      </c>
      <c r="D847" t="s">
        <v>6019</v>
      </c>
      <c r="E847" t="s">
        <v>6020</v>
      </c>
      <c r="F847" t="s">
        <v>6018</v>
      </c>
      <c r="G847" t="s">
        <v>6020</v>
      </c>
    </row>
    <row r="848" spans="1:8" x14ac:dyDescent="0.2">
      <c r="A848" t="s">
        <v>6037</v>
      </c>
      <c r="B848" t="s">
        <v>2319</v>
      </c>
      <c r="C848" t="s">
        <v>2319</v>
      </c>
      <c r="D848" t="s">
        <v>2319</v>
      </c>
      <c r="E848" t="s">
        <v>5621</v>
      </c>
      <c r="F848" t="s">
        <v>6038</v>
      </c>
      <c r="G848" t="s">
        <v>6039</v>
      </c>
      <c r="H848" t="s">
        <v>6038</v>
      </c>
    </row>
  </sheetData>
  <phoneticPr fontId="74" type="noConversion"/>
  <pageMargins left="0.75" right="0.75" top="1" bottom="1" header="0.5" footer="0.5"/>
  <pageSetup scale="10"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3">
    <pageSetUpPr fitToPage="1"/>
  </sheetPr>
  <dimension ref="B1:X38"/>
  <sheetViews>
    <sheetView topLeftCell="B1" zoomScale="85" zoomScaleNormal="85" workbookViewId="0">
      <selection activeCell="G38" sqref="G38"/>
    </sheetView>
  </sheetViews>
  <sheetFormatPr defaultRowHeight="12.75" x14ac:dyDescent="0.2"/>
  <cols>
    <col min="1" max="1" width="5.5703125" customWidth="1"/>
    <col min="2" max="2" width="21.5703125" customWidth="1"/>
    <col min="3" max="3" width="19.5703125" customWidth="1"/>
    <col min="4" max="4" width="16.5703125" customWidth="1"/>
    <col min="5" max="5" width="17.5703125" customWidth="1"/>
    <col min="6" max="6" width="16.5703125" customWidth="1"/>
    <col min="7" max="7" width="15.140625" customWidth="1"/>
    <col min="8" max="8" width="13.28515625" customWidth="1"/>
    <col min="9" max="9" width="16.5703125" customWidth="1"/>
    <col min="10" max="10" width="13.28515625" customWidth="1"/>
    <col min="11" max="11" width="22.28515625" style="163" customWidth="1"/>
    <col min="12" max="12" width="22.5703125" customWidth="1"/>
    <col min="15" max="15" width="12.28515625" bestFit="1" customWidth="1"/>
    <col min="16" max="16" width="17.28515625" bestFit="1" customWidth="1"/>
    <col min="17" max="17" width="13.140625" bestFit="1" customWidth="1"/>
    <col min="18" max="19" width="13.140625" customWidth="1"/>
    <col min="21" max="21" width="16.5703125" bestFit="1" customWidth="1"/>
    <col min="258" max="258" width="21.5703125" customWidth="1"/>
    <col min="259" max="259" width="19.5703125" customWidth="1"/>
    <col min="260" max="260" width="16.5703125" customWidth="1"/>
    <col min="261" max="261" width="17.5703125" customWidth="1"/>
    <col min="262" max="262" width="16.5703125" customWidth="1"/>
    <col min="263" max="263" width="15.140625" customWidth="1"/>
    <col min="264" max="264" width="13.28515625" customWidth="1"/>
    <col min="265" max="265" width="16.5703125" customWidth="1"/>
    <col min="266" max="266" width="13.28515625" customWidth="1"/>
    <col min="267" max="267" width="38.85546875" customWidth="1"/>
    <col min="268" max="268" width="22.5703125" customWidth="1"/>
    <col min="271" max="271" width="12.28515625" bestFit="1" customWidth="1"/>
    <col min="272" max="272" width="17.28515625" bestFit="1" customWidth="1"/>
    <col min="273" max="273" width="13.140625" bestFit="1" customWidth="1"/>
    <col min="274" max="275" width="13.140625" customWidth="1"/>
    <col min="277" max="277" width="16.5703125" bestFit="1" customWidth="1"/>
    <col min="514" max="514" width="21.5703125" customWidth="1"/>
    <col min="515" max="515" width="19.5703125" customWidth="1"/>
    <col min="516" max="516" width="16.5703125" customWidth="1"/>
    <col min="517" max="517" width="17.5703125" customWidth="1"/>
    <col min="518" max="518" width="16.5703125" customWidth="1"/>
    <col min="519" max="519" width="15.140625" customWidth="1"/>
    <col min="520" max="520" width="13.28515625" customWidth="1"/>
    <col min="521" max="521" width="16.5703125" customWidth="1"/>
    <col min="522" max="522" width="13.28515625" customWidth="1"/>
    <col min="523" max="523" width="38.85546875" customWidth="1"/>
    <col min="524" max="524" width="22.5703125" customWidth="1"/>
    <col min="527" max="527" width="12.28515625" bestFit="1" customWidth="1"/>
    <col min="528" max="528" width="17.28515625" bestFit="1" customWidth="1"/>
    <col min="529" max="529" width="13.140625" bestFit="1" customWidth="1"/>
    <col min="530" max="531" width="13.140625" customWidth="1"/>
    <col min="533" max="533" width="16.5703125" bestFit="1" customWidth="1"/>
    <col min="770" max="770" width="21.5703125" customWidth="1"/>
    <col min="771" max="771" width="19.5703125" customWidth="1"/>
    <col min="772" max="772" width="16.5703125" customWidth="1"/>
    <col min="773" max="773" width="17.5703125" customWidth="1"/>
    <col min="774" max="774" width="16.5703125" customWidth="1"/>
    <col min="775" max="775" width="15.140625" customWidth="1"/>
    <col min="776" max="776" width="13.28515625" customWidth="1"/>
    <col min="777" max="777" width="16.5703125" customWidth="1"/>
    <col min="778" max="778" width="13.28515625" customWidth="1"/>
    <col min="779" max="779" width="38.85546875" customWidth="1"/>
    <col min="780" max="780" width="22.5703125" customWidth="1"/>
    <col min="783" max="783" width="12.28515625" bestFit="1" customWidth="1"/>
    <col min="784" max="784" width="17.28515625" bestFit="1" customWidth="1"/>
    <col min="785" max="785" width="13.140625" bestFit="1" customWidth="1"/>
    <col min="786" max="787" width="13.140625" customWidth="1"/>
    <col min="789" max="789" width="16.5703125" bestFit="1" customWidth="1"/>
    <col min="1026" max="1026" width="21.5703125" customWidth="1"/>
    <col min="1027" max="1027" width="19.5703125" customWidth="1"/>
    <col min="1028" max="1028" width="16.5703125" customWidth="1"/>
    <col min="1029" max="1029" width="17.5703125" customWidth="1"/>
    <col min="1030" max="1030" width="16.5703125" customWidth="1"/>
    <col min="1031" max="1031" width="15.140625" customWidth="1"/>
    <col min="1032" max="1032" width="13.28515625" customWidth="1"/>
    <col min="1033" max="1033" width="16.5703125" customWidth="1"/>
    <col min="1034" max="1034" width="13.28515625" customWidth="1"/>
    <col min="1035" max="1035" width="38.85546875" customWidth="1"/>
    <col min="1036" max="1036" width="22.5703125" customWidth="1"/>
    <col min="1039" max="1039" width="12.28515625" bestFit="1" customWidth="1"/>
    <col min="1040" max="1040" width="17.28515625" bestFit="1" customWidth="1"/>
    <col min="1041" max="1041" width="13.140625" bestFit="1" customWidth="1"/>
    <col min="1042" max="1043" width="13.140625" customWidth="1"/>
    <col min="1045" max="1045" width="16.5703125" bestFit="1" customWidth="1"/>
    <col min="1282" max="1282" width="21.5703125" customWidth="1"/>
    <col min="1283" max="1283" width="19.5703125" customWidth="1"/>
    <col min="1284" max="1284" width="16.5703125" customWidth="1"/>
    <col min="1285" max="1285" width="17.5703125" customWidth="1"/>
    <col min="1286" max="1286" width="16.5703125" customWidth="1"/>
    <col min="1287" max="1287" width="15.140625" customWidth="1"/>
    <col min="1288" max="1288" width="13.28515625" customWidth="1"/>
    <col min="1289" max="1289" width="16.5703125" customWidth="1"/>
    <col min="1290" max="1290" width="13.28515625" customWidth="1"/>
    <col min="1291" max="1291" width="38.85546875" customWidth="1"/>
    <col min="1292" max="1292" width="22.5703125" customWidth="1"/>
    <col min="1295" max="1295" width="12.28515625" bestFit="1" customWidth="1"/>
    <col min="1296" max="1296" width="17.28515625" bestFit="1" customWidth="1"/>
    <col min="1297" max="1297" width="13.140625" bestFit="1" customWidth="1"/>
    <col min="1298" max="1299" width="13.140625" customWidth="1"/>
    <col min="1301" max="1301" width="16.5703125" bestFit="1" customWidth="1"/>
    <col min="1538" max="1538" width="21.5703125" customWidth="1"/>
    <col min="1539" max="1539" width="19.5703125" customWidth="1"/>
    <col min="1540" max="1540" width="16.5703125" customWidth="1"/>
    <col min="1541" max="1541" width="17.5703125" customWidth="1"/>
    <col min="1542" max="1542" width="16.5703125" customWidth="1"/>
    <col min="1543" max="1543" width="15.140625" customWidth="1"/>
    <col min="1544" max="1544" width="13.28515625" customWidth="1"/>
    <col min="1545" max="1545" width="16.5703125" customWidth="1"/>
    <col min="1546" max="1546" width="13.28515625" customWidth="1"/>
    <col min="1547" max="1547" width="38.85546875" customWidth="1"/>
    <col min="1548" max="1548" width="22.5703125" customWidth="1"/>
    <col min="1551" max="1551" width="12.28515625" bestFit="1" customWidth="1"/>
    <col min="1552" max="1552" width="17.28515625" bestFit="1" customWidth="1"/>
    <col min="1553" max="1553" width="13.140625" bestFit="1" customWidth="1"/>
    <col min="1554" max="1555" width="13.140625" customWidth="1"/>
    <col min="1557" max="1557" width="16.5703125" bestFit="1" customWidth="1"/>
    <col min="1794" max="1794" width="21.5703125" customWidth="1"/>
    <col min="1795" max="1795" width="19.5703125" customWidth="1"/>
    <col min="1796" max="1796" width="16.5703125" customWidth="1"/>
    <col min="1797" max="1797" width="17.5703125" customWidth="1"/>
    <col min="1798" max="1798" width="16.5703125" customWidth="1"/>
    <col min="1799" max="1799" width="15.140625" customWidth="1"/>
    <col min="1800" max="1800" width="13.28515625" customWidth="1"/>
    <col min="1801" max="1801" width="16.5703125" customWidth="1"/>
    <col min="1802" max="1802" width="13.28515625" customWidth="1"/>
    <col min="1803" max="1803" width="38.85546875" customWidth="1"/>
    <col min="1804" max="1804" width="22.5703125" customWidth="1"/>
    <col min="1807" max="1807" width="12.28515625" bestFit="1" customWidth="1"/>
    <col min="1808" max="1808" width="17.28515625" bestFit="1" customWidth="1"/>
    <col min="1809" max="1809" width="13.140625" bestFit="1" customWidth="1"/>
    <col min="1810" max="1811" width="13.140625" customWidth="1"/>
    <col min="1813" max="1813" width="16.5703125" bestFit="1" customWidth="1"/>
    <col min="2050" max="2050" width="21.5703125" customWidth="1"/>
    <col min="2051" max="2051" width="19.5703125" customWidth="1"/>
    <col min="2052" max="2052" width="16.5703125" customWidth="1"/>
    <col min="2053" max="2053" width="17.5703125" customWidth="1"/>
    <col min="2054" max="2054" width="16.5703125" customWidth="1"/>
    <col min="2055" max="2055" width="15.140625" customWidth="1"/>
    <col min="2056" max="2056" width="13.28515625" customWidth="1"/>
    <col min="2057" max="2057" width="16.5703125" customWidth="1"/>
    <col min="2058" max="2058" width="13.28515625" customWidth="1"/>
    <col min="2059" max="2059" width="38.85546875" customWidth="1"/>
    <col min="2060" max="2060" width="22.5703125" customWidth="1"/>
    <col min="2063" max="2063" width="12.28515625" bestFit="1" customWidth="1"/>
    <col min="2064" max="2064" width="17.28515625" bestFit="1" customWidth="1"/>
    <col min="2065" max="2065" width="13.140625" bestFit="1" customWidth="1"/>
    <col min="2066" max="2067" width="13.140625" customWidth="1"/>
    <col min="2069" max="2069" width="16.5703125" bestFit="1" customWidth="1"/>
    <col min="2306" max="2306" width="21.5703125" customWidth="1"/>
    <col min="2307" max="2307" width="19.5703125" customWidth="1"/>
    <col min="2308" max="2308" width="16.5703125" customWidth="1"/>
    <col min="2309" max="2309" width="17.5703125" customWidth="1"/>
    <col min="2310" max="2310" width="16.5703125" customWidth="1"/>
    <col min="2311" max="2311" width="15.140625" customWidth="1"/>
    <col min="2312" max="2312" width="13.28515625" customWidth="1"/>
    <col min="2313" max="2313" width="16.5703125" customWidth="1"/>
    <col min="2314" max="2314" width="13.28515625" customWidth="1"/>
    <col min="2315" max="2315" width="38.85546875" customWidth="1"/>
    <col min="2316" max="2316" width="22.5703125" customWidth="1"/>
    <col min="2319" max="2319" width="12.28515625" bestFit="1" customWidth="1"/>
    <col min="2320" max="2320" width="17.28515625" bestFit="1" customWidth="1"/>
    <col min="2321" max="2321" width="13.140625" bestFit="1" customWidth="1"/>
    <col min="2322" max="2323" width="13.140625" customWidth="1"/>
    <col min="2325" max="2325" width="16.5703125" bestFit="1" customWidth="1"/>
    <col min="2562" max="2562" width="21.5703125" customWidth="1"/>
    <col min="2563" max="2563" width="19.5703125" customWidth="1"/>
    <col min="2564" max="2564" width="16.5703125" customWidth="1"/>
    <col min="2565" max="2565" width="17.5703125" customWidth="1"/>
    <col min="2566" max="2566" width="16.5703125" customWidth="1"/>
    <col min="2567" max="2567" width="15.140625" customWidth="1"/>
    <col min="2568" max="2568" width="13.28515625" customWidth="1"/>
    <col min="2569" max="2569" width="16.5703125" customWidth="1"/>
    <col min="2570" max="2570" width="13.28515625" customWidth="1"/>
    <col min="2571" max="2571" width="38.85546875" customWidth="1"/>
    <col min="2572" max="2572" width="22.5703125" customWidth="1"/>
    <col min="2575" max="2575" width="12.28515625" bestFit="1" customWidth="1"/>
    <col min="2576" max="2576" width="17.28515625" bestFit="1" customWidth="1"/>
    <col min="2577" max="2577" width="13.140625" bestFit="1" customWidth="1"/>
    <col min="2578" max="2579" width="13.140625" customWidth="1"/>
    <col min="2581" max="2581" width="16.5703125" bestFit="1" customWidth="1"/>
    <col min="2818" max="2818" width="21.5703125" customWidth="1"/>
    <col min="2819" max="2819" width="19.5703125" customWidth="1"/>
    <col min="2820" max="2820" width="16.5703125" customWidth="1"/>
    <col min="2821" max="2821" width="17.5703125" customWidth="1"/>
    <col min="2822" max="2822" width="16.5703125" customWidth="1"/>
    <col min="2823" max="2823" width="15.140625" customWidth="1"/>
    <col min="2824" max="2824" width="13.28515625" customWidth="1"/>
    <col min="2825" max="2825" width="16.5703125" customWidth="1"/>
    <col min="2826" max="2826" width="13.28515625" customWidth="1"/>
    <col min="2827" max="2827" width="38.85546875" customWidth="1"/>
    <col min="2828" max="2828" width="22.5703125" customWidth="1"/>
    <col min="2831" max="2831" width="12.28515625" bestFit="1" customWidth="1"/>
    <col min="2832" max="2832" width="17.28515625" bestFit="1" customWidth="1"/>
    <col min="2833" max="2833" width="13.140625" bestFit="1" customWidth="1"/>
    <col min="2834" max="2835" width="13.140625" customWidth="1"/>
    <col min="2837" max="2837" width="16.5703125" bestFit="1" customWidth="1"/>
    <col min="3074" max="3074" width="21.5703125" customWidth="1"/>
    <col min="3075" max="3075" width="19.5703125" customWidth="1"/>
    <col min="3076" max="3076" width="16.5703125" customWidth="1"/>
    <col min="3077" max="3077" width="17.5703125" customWidth="1"/>
    <col min="3078" max="3078" width="16.5703125" customWidth="1"/>
    <col min="3079" max="3079" width="15.140625" customWidth="1"/>
    <col min="3080" max="3080" width="13.28515625" customWidth="1"/>
    <col min="3081" max="3081" width="16.5703125" customWidth="1"/>
    <col min="3082" max="3082" width="13.28515625" customWidth="1"/>
    <col min="3083" max="3083" width="38.85546875" customWidth="1"/>
    <col min="3084" max="3084" width="22.5703125" customWidth="1"/>
    <col min="3087" max="3087" width="12.28515625" bestFit="1" customWidth="1"/>
    <col min="3088" max="3088" width="17.28515625" bestFit="1" customWidth="1"/>
    <col min="3089" max="3089" width="13.140625" bestFit="1" customWidth="1"/>
    <col min="3090" max="3091" width="13.140625" customWidth="1"/>
    <col min="3093" max="3093" width="16.5703125" bestFit="1" customWidth="1"/>
    <col min="3330" max="3330" width="21.5703125" customWidth="1"/>
    <col min="3331" max="3331" width="19.5703125" customWidth="1"/>
    <col min="3332" max="3332" width="16.5703125" customWidth="1"/>
    <col min="3333" max="3333" width="17.5703125" customWidth="1"/>
    <col min="3334" max="3334" width="16.5703125" customWidth="1"/>
    <col min="3335" max="3335" width="15.140625" customWidth="1"/>
    <col min="3336" max="3336" width="13.28515625" customWidth="1"/>
    <col min="3337" max="3337" width="16.5703125" customWidth="1"/>
    <col min="3338" max="3338" width="13.28515625" customWidth="1"/>
    <col min="3339" max="3339" width="38.85546875" customWidth="1"/>
    <col min="3340" max="3340" width="22.5703125" customWidth="1"/>
    <col min="3343" max="3343" width="12.28515625" bestFit="1" customWidth="1"/>
    <col min="3344" max="3344" width="17.28515625" bestFit="1" customWidth="1"/>
    <col min="3345" max="3345" width="13.140625" bestFit="1" customWidth="1"/>
    <col min="3346" max="3347" width="13.140625" customWidth="1"/>
    <col min="3349" max="3349" width="16.5703125" bestFit="1" customWidth="1"/>
    <col min="3586" max="3586" width="21.5703125" customWidth="1"/>
    <col min="3587" max="3587" width="19.5703125" customWidth="1"/>
    <col min="3588" max="3588" width="16.5703125" customWidth="1"/>
    <col min="3589" max="3589" width="17.5703125" customWidth="1"/>
    <col min="3590" max="3590" width="16.5703125" customWidth="1"/>
    <col min="3591" max="3591" width="15.140625" customWidth="1"/>
    <col min="3592" max="3592" width="13.28515625" customWidth="1"/>
    <col min="3593" max="3593" width="16.5703125" customWidth="1"/>
    <col min="3594" max="3594" width="13.28515625" customWidth="1"/>
    <col min="3595" max="3595" width="38.85546875" customWidth="1"/>
    <col min="3596" max="3596" width="22.5703125" customWidth="1"/>
    <col min="3599" max="3599" width="12.28515625" bestFit="1" customWidth="1"/>
    <col min="3600" max="3600" width="17.28515625" bestFit="1" customWidth="1"/>
    <col min="3601" max="3601" width="13.140625" bestFit="1" customWidth="1"/>
    <col min="3602" max="3603" width="13.140625" customWidth="1"/>
    <col min="3605" max="3605" width="16.5703125" bestFit="1" customWidth="1"/>
    <col min="3842" max="3842" width="21.5703125" customWidth="1"/>
    <col min="3843" max="3843" width="19.5703125" customWidth="1"/>
    <col min="3844" max="3844" width="16.5703125" customWidth="1"/>
    <col min="3845" max="3845" width="17.5703125" customWidth="1"/>
    <col min="3846" max="3846" width="16.5703125" customWidth="1"/>
    <col min="3847" max="3847" width="15.140625" customWidth="1"/>
    <col min="3848" max="3848" width="13.28515625" customWidth="1"/>
    <col min="3849" max="3849" width="16.5703125" customWidth="1"/>
    <col min="3850" max="3850" width="13.28515625" customWidth="1"/>
    <col min="3851" max="3851" width="38.85546875" customWidth="1"/>
    <col min="3852" max="3852" width="22.5703125" customWidth="1"/>
    <col min="3855" max="3855" width="12.28515625" bestFit="1" customWidth="1"/>
    <col min="3856" max="3856" width="17.28515625" bestFit="1" customWidth="1"/>
    <col min="3857" max="3857" width="13.140625" bestFit="1" customWidth="1"/>
    <col min="3858" max="3859" width="13.140625" customWidth="1"/>
    <col min="3861" max="3861" width="16.5703125" bestFit="1" customWidth="1"/>
    <col min="4098" max="4098" width="21.5703125" customWidth="1"/>
    <col min="4099" max="4099" width="19.5703125" customWidth="1"/>
    <col min="4100" max="4100" width="16.5703125" customWidth="1"/>
    <col min="4101" max="4101" width="17.5703125" customWidth="1"/>
    <col min="4102" max="4102" width="16.5703125" customWidth="1"/>
    <col min="4103" max="4103" width="15.140625" customWidth="1"/>
    <col min="4104" max="4104" width="13.28515625" customWidth="1"/>
    <col min="4105" max="4105" width="16.5703125" customWidth="1"/>
    <col min="4106" max="4106" width="13.28515625" customWidth="1"/>
    <col min="4107" max="4107" width="38.85546875" customWidth="1"/>
    <col min="4108" max="4108" width="22.5703125" customWidth="1"/>
    <col min="4111" max="4111" width="12.28515625" bestFit="1" customWidth="1"/>
    <col min="4112" max="4112" width="17.28515625" bestFit="1" customWidth="1"/>
    <col min="4113" max="4113" width="13.140625" bestFit="1" customWidth="1"/>
    <col min="4114" max="4115" width="13.140625" customWidth="1"/>
    <col min="4117" max="4117" width="16.5703125" bestFit="1" customWidth="1"/>
    <col min="4354" max="4354" width="21.5703125" customWidth="1"/>
    <col min="4355" max="4355" width="19.5703125" customWidth="1"/>
    <col min="4356" max="4356" width="16.5703125" customWidth="1"/>
    <col min="4357" max="4357" width="17.5703125" customWidth="1"/>
    <col min="4358" max="4358" width="16.5703125" customWidth="1"/>
    <col min="4359" max="4359" width="15.140625" customWidth="1"/>
    <col min="4360" max="4360" width="13.28515625" customWidth="1"/>
    <col min="4361" max="4361" width="16.5703125" customWidth="1"/>
    <col min="4362" max="4362" width="13.28515625" customWidth="1"/>
    <col min="4363" max="4363" width="38.85546875" customWidth="1"/>
    <col min="4364" max="4364" width="22.5703125" customWidth="1"/>
    <col min="4367" max="4367" width="12.28515625" bestFit="1" customWidth="1"/>
    <col min="4368" max="4368" width="17.28515625" bestFit="1" customWidth="1"/>
    <col min="4369" max="4369" width="13.140625" bestFit="1" customWidth="1"/>
    <col min="4370" max="4371" width="13.140625" customWidth="1"/>
    <col min="4373" max="4373" width="16.5703125" bestFit="1" customWidth="1"/>
    <col min="4610" max="4610" width="21.5703125" customWidth="1"/>
    <col min="4611" max="4611" width="19.5703125" customWidth="1"/>
    <col min="4612" max="4612" width="16.5703125" customWidth="1"/>
    <col min="4613" max="4613" width="17.5703125" customWidth="1"/>
    <col min="4614" max="4614" width="16.5703125" customWidth="1"/>
    <col min="4615" max="4615" width="15.140625" customWidth="1"/>
    <col min="4616" max="4616" width="13.28515625" customWidth="1"/>
    <col min="4617" max="4617" width="16.5703125" customWidth="1"/>
    <col min="4618" max="4618" width="13.28515625" customWidth="1"/>
    <col min="4619" max="4619" width="38.85546875" customWidth="1"/>
    <col min="4620" max="4620" width="22.5703125" customWidth="1"/>
    <col min="4623" max="4623" width="12.28515625" bestFit="1" customWidth="1"/>
    <col min="4624" max="4624" width="17.28515625" bestFit="1" customWidth="1"/>
    <col min="4625" max="4625" width="13.140625" bestFit="1" customWidth="1"/>
    <col min="4626" max="4627" width="13.140625" customWidth="1"/>
    <col min="4629" max="4629" width="16.5703125" bestFit="1" customWidth="1"/>
    <col min="4866" max="4866" width="21.5703125" customWidth="1"/>
    <col min="4867" max="4867" width="19.5703125" customWidth="1"/>
    <col min="4868" max="4868" width="16.5703125" customWidth="1"/>
    <col min="4869" max="4869" width="17.5703125" customWidth="1"/>
    <col min="4870" max="4870" width="16.5703125" customWidth="1"/>
    <col min="4871" max="4871" width="15.140625" customWidth="1"/>
    <col min="4872" max="4872" width="13.28515625" customWidth="1"/>
    <col min="4873" max="4873" width="16.5703125" customWidth="1"/>
    <col min="4874" max="4874" width="13.28515625" customWidth="1"/>
    <col min="4875" max="4875" width="38.85546875" customWidth="1"/>
    <col min="4876" max="4876" width="22.5703125" customWidth="1"/>
    <col min="4879" max="4879" width="12.28515625" bestFit="1" customWidth="1"/>
    <col min="4880" max="4880" width="17.28515625" bestFit="1" customWidth="1"/>
    <col min="4881" max="4881" width="13.140625" bestFit="1" customWidth="1"/>
    <col min="4882" max="4883" width="13.140625" customWidth="1"/>
    <col min="4885" max="4885" width="16.5703125" bestFit="1" customWidth="1"/>
    <col min="5122" max="5122" width="21.5703125" customWidth="1"/>
    <col min="5123" max="5123" width="19.5703125" customWidth="1"/>
    <col min="5124" max="5124" width="16.5703125" customWidth="1"/>
    <col min="5125" max="5125" width="17.5703125" customWidth="1"/>
    <col min="5126" max="5126" width="16.5703125" customWidth="1"/>
    <col min="5127" max="5127" width="15.140625" customWidth="1"/>
    <col min="5128" max="5128" width="13.28515625" customWidth="1"/>
    <col min="5129" max="5129" width="16.5703125" customWidth="1"/>
    <col min="5130" max="5130" width="13.28515625" customWidth="1"/>
    <col min="5131" max="5131" width="38.85546875" customWidth="1"/>
    <col min="5132" max="5132" width="22.5703125" customWidth="1"/>
    <col min="5135" max="5135" width="12.28515625" bestFit="1" customWidth="1"/>
    <col min="5136" max="5136" width="17.28515625" bestFit="1" customWidth="1"/>
    <col min="5137" max="5137" width="13.140625" bestFit="1" customWidth="1"/>
    <col min="5138" max="5139" width="13.140625" customWidth="1"/>
    <col min="5141" max="5141" width="16.5703125" bestFit="1" customWidth="1"/>
    <col min="5378" max="5378" width="21.5703125" customWidth="1"/>
    <col min="5379" max="5379" width="19.5703125" customWidth="1"/>
    <col min="5380" max="5380" width="16.5703125" customWidth="1"/>
    <col min="5381" max="5381" width="17.5703125" customWidth="1"/>
    <col min="5382" max="5382" width="16.5703125" customWidth="1"/>
    <col min="5383" max="5383" width="15.140625" customWidth="1"/>
    <col min="5384" max="5384" width="13.28515625" customWidth="1"/>
    <col min="5385" max="5385" width="16.5703125" customWidth="1"/>
    <col min="5386" max="5386" width="13.28515625" customWidth="1"/>
    <col min="5387" max="5387" width="38.85546875" customWidth="1"/>
    <col min="5388" max="5388" width="22.5703125" customWidth="1"/>
    <col min="5391" max="5391" width="12.28515625" bestFit="1" customWidth="1"/>
    <col min="5392" max="5392" width="17.28515625" bestFit="1" customWidth="1"/>
    <col min="5393" max="5393" width="13.140625" bestFit="1" customWidth="1"/>
    <col min="5394" max="5395" width="13.140625" customWidth="1"/>
    <col min="5397" max="5397" width="16.5703125" bestFit="1" customWidth="1"/>
    <col min="5634" max="5634" width="21.5703125" customWidth="1"/>
    <col min="5635" max="5635" width="19.5703125" customWidth="1"/>
    <col min="5636" max="5636" width="16.5703125" customWidth="1"/>
    <col min="5637" max="5637" width="17.5703125" customWidth="1"/>
    <col min="5638" max="5638" width="16.5703125" customWidth="1"/>
    <col min="5639" max="5639" width="15.140625" customWidth="1"/>
    <col min="5640" max="5640" width="13.28515625" customWidth="1"/>
    <col min="5641" max="5641" width="16.5703125" customWidth="1"/>
    <col min="5642" max="5642" width="13.28515625" customWidth="1"/>
    <col min="5643" max="5643" width="38.85546875" customWidth="1"/>
    <col min="5644" max="5644" width="22.5703125" customWidth="1"/>
    <col min="5647" max="5647" width="12.28515625" bestFit="1" customWidth="1"/>
    <col min="5648" max="5648" width="17.28515625" bestFit="1" customWidth="1"/>
    <col min="5649" max="5649" width="13.140625" bestFit="1" customWidth="1"/>
    <col min="5650" max="5651" width="13.140625" customWidth="1"/>
    <col min="5653" max="5653" width="16.5703125" bestFit="1" customWidth="1"/>
    <col min="5890" max="5890" width="21.5703125" customWidth="1"/>
    <col min="5891" max="5891" width="19.5703125" customWidth="1"/>
    <col min="5892" max="5892" width="16.5703125" customWidth="1"/>
    <col min="5893" max="5893" width="17.5703125" customWidth="1"/>
    <col min="5894" max="5894" width="16.5703125" customWidth="1"/>
    <col min="5895" max="5895" width="15.140625" customWidth="1"/>
    <col min="5896" max="5896" width="13.28515625" customWidth="1"/>
    <col min="5897" max="5897" width="16.5703125" customWidth="1"/>
    <col min="5898" max="5898" width="13.28515625" customWidth="1"/>
    <col min="5899" max="5899" width="38.85546875" customWidth="1"/>
    <col min="5900" max="5900" width="22.5703125" customWidth="1"/>
    <col min="5903" max="5903" width="12.28515625" bestFit="1" customWidth="1"/>
    <col min="5904" max="5904" width="17.28515625" bestFit="1" customWidth="1"/>
    <col min="5905" max="5905" width="13.140625" bestFit="1" customWidth="1"/>
    <col min="5906" max="5907" width="13.140625" customWidth="1"/>
    <col min="5909" max="5909" width="16.5703125" bestFit="1" customWidth="1"/>
    <col min="6146" max="6146" width="21.5703125" customWidth="1"/>
    <col min="6147" max="6147" width="19.5703125" customWidth="1"/>
    <col min="6148" max="6148" width="16.5703125" customWidth="1"/>
    <col min="6149" max="6149" width="17.5703125" customWidth="1"/>
    <col min="6150" max="6150" width="16.5703125" customWidth="1"/>
    <col min="6151" max="6151" width="15.140625" customWidth="1"/>
    <col min="6152" max="6152" width="13.28515625" customWidth="1"/>
    <col min="6153" max="6153" width="16.5703125" customWidth="1"/>
    <col min="6154" max="6154" width="13.28515625" customWidth="1"/>
    <col min="6155" max="6155" width="38.85546875" customWidth="1"/>
    <col min="6156" max="6156" width="22.5703125" customWidth="1"/>
    <col min="6159" max="6159" width="12.28515625" bestFit="1" customWidth="1"/>
    <col min="6160" max="6160" width="17.28515625" bestFit="1" customWidth="1"/>
    <col min="6161" max="6161" width="13.140625" bestFit="1" customWidth="1"/>
    <col min="6162" max="6163" width="13.140625" customWidth="1"/>
    <col min="6165" max="6165" width="16.5703125" bestFit="1" customWidth="1"/>
    <col min="6402" max="6402" width="21.5703125" customWidth="1"/>
    <col min="6403" max="6403" width="19.5703125" customWidth="1"/>
    <col min="6404" max="6404" width="16.5703125" customWidth="1"/>
    <col min="6405" max="6405" width="17.5703125" customWidth="1"/>
    <col min="6406" max="6406" width="16.5703125" customWidth="1"/>
    <col min="6407" max="6407" width="15.140625" customWidth="1"/>
    <col min="6408" max="6408" width="13.28515625" customWidth="1"/>
    <col min="6409" max="6409" width="16.5703125" customWidth="1"/>
    <col min="6410" max="6410" width="13.28515625" customWidth="1"/>
    <col min="6411" max="6411" width="38.85546875" customWidth="1"/>
    <col min="6412" max="6412" width="22.5703125" customWidth="1"/>
    <col min="6415" max="6415" width="12.28515625" bestFit="1" customWidth="1"/>
    <col min="6416" max="6416" width="17.28515625" bestFit="1" customWidth="1"/>
    <col min="6417" max="6417" width="13.140625" bestFit="1" customWidth="1"/>
    <col min="6418" max="6419" width="13.140625" customWidth="1"/>
    <col min="6421" max="6421" width="16.5703125" bestFit="1" customWidth="1"/>
    <col min="6658" max="6658" width="21.5703125" customWidth="1"/>
    <col min="6659" max="6659" width="19.5703125" customWidth="1"/>
    <col min="6660" max="6660" width="16.5703125" customWidth="1"/>
    <col min="6661" max="6661" width="17.5703125" customWidth="1"/>
    <col min="6662" max="6662" width="16.5703125" customWidth="1"/>
    <col min="6663" max="6663" width="15.140625" customWidth="1"/>
    <col min="6664" max="6664" width="13.28515625" customWidth="1"/>
    <col min="6665" max="6665" width="16.5703125" customWidth="1"/>
    <col min="6666" max="6666" width="13.28515625" customWidth="1"/>
    <col min="6667" max="6667" width="38.85546875" customWidth="1"/>
    <col min="6668" max="6668" width="22.5703125" customWidth="1"/>
    <col min="6671" max="6671" width="12.28515625" bestFit="1" customWidth="1"/>
    <col min="6672" max="6672" width="17.28515625" bestFit="1" customWidth="1"/>
    <col min="6673" max="6673" width="13.140625" bestFit="1" customWidth="1"/>
    <col min="6674" max="6675" width="13.140625" customWidth="1"/>
    <col min="6677" max="6677" width="16.5703125" bestFit="1" customWidth="1"/>
    <col min="6914" max="6914" width="21.5703125" customWidth="1"/>
    <col min="6915" max="6915" width="19.5703125" customWidth="1"/>
    <col min="6916" max="6916" width="16.5703125" customWidth="1"/>
    <col min="6917" max="6917" width="17.5703125" customWidth="1"/>
    <col min="6918" max="6918" width="16.5703125" customWidth="1"/>
    <col min="6919" max="6919" width="15.140625" customWidth="1"/>
    <col min="6920" max="6920" width="13.28515625" customWidth="1"/>
    <col min="6921" max="6921" width="16.5703125" customWidth="1"/>
    <col min="6922" max="6922" width="13.28515625" customWidth="1"/>
    <col min="6923" max="6923" width="38.85546875" customWidth="1"/>
    <col min="6924" max="6924" width="22.5703125" customWidth="1"/>
    <col min="6927" max="6927" width="12.28515625" bestFit="1" customWidth="1"/>
    <col min="6928" max="6928" width="17.28515625" bestFit="1" customWidth="1"/>
    <col min="6929" max="6929" width="13.140625" bestFit="1" customWidth="1"/>
    <col min="6930" max="6931" width="13.140625" customWidth="1"/>
    <col min="6933" max="6933" width="16.5703125" bestFit="1" customWidth="1"/>
    <col min="7170" max="7170" width="21.5703125" customWidth="1"/>
    <col min="7171" max="7171" width="19.5703125" customWidth="1"/>
    <col min="7172" max="7172" width="16.5703125" customWidth="1"/>
    <col min="7173" max="7173" width="17.5703125" customWidth="1"/>
    <col min="7174" max="7174" width="16.5703125" customWidth="1"/>
    <col min="7175" max="7175" width="15.140625" customWidth="1"/>
    <col min="7176" max="7176" width="13.28515625" customWidth="1"/>
    <col min="7177" max="7177" width="16.5703125" customWidth="1"/>
    <col min="7178" max="7178" width="13.28515625" customWidth="1"/>
    <col min="7179" max="7179" width="38.85546875" customWidth="1"/>
    <col min="7180" max="7180" width="22.5703125" customWidth="1"/>
    <col min="7183" max="7183" width="12.28515625" bestFit="1" customWidth="1"/>
    <col min="7184" max="7184" width="17.28515625" bestFit="1" customWidth="1"/>
    <col min="7185" max="7185" width="13.140625" bestFit="1" customWidth="1"/>
    <col min="7186" max="7187" width="13.140625" customWidth="1"/>
    <col min="7189" max="7189" width="16.5703125" bestFit="1" customWidth="1"/>
    <col min="7426" max="7426" width="21.5703125" customWidth="1"/>
    <col min="7427" max="7427" width="19.5703125" customWidth="1"/>
    <col min="7428" max="7428" width="16.5703125" customWidth="1"/>
    <col min="7429" max="7429" width="17.5703125" customWidth="1"/>
    <col min="7430" max="7430" width="16.5703125" customWidth="1"/>
    <col min="7431" max="7431" width="15.140625" customWidth="1"/>
    <col min="7432" max="7432" width="13.28515625" customWidth="1"/>
    <col min="7433" max="7433" width="16.5703125" customWidth="1"/>
    <col min="7434" max="7434" width="13.28515625" customWidth="1"/>
    <col min="7435" max="7435" width="38.85546875" customWidth="1"/>
    <col min="7436" max="7436" width="22.5703125" customWidth="1"/>
    <col min="7439" max="7439" width="12.28515625" bestFit="1" customWidth="1"/>
    <col min="7440" max="7440" width="17.28515625" bestFit="1" customWidth="1"/>
    <col min="7441" max="7441" width="13.140625" bestFit="1" customWidth="1"/>
    <col min="7442" max="7443" width="13.140625" customWidth="1"/>
    <col min="7445" max="7445" width="16.5703125" bestFit="1" customWidth="1"/>
    <col min="7682" max="7682" width="21.5703125" customWidth="1"/>
    <col min="7683" max="7683" width="19.5703125" customWidth="1"/>
    <col min="7684" max="7684" width="16.5703125" customWidth="1"/>
    <col min="7685" max="7685" width="17.5703125" customWidth="1"/>
    <col min="7686" max="7686" width="16.5703125" customWidth="1"/>
    <col min="7687" max="7687" width="15.140625" customWidth="1"/>
    <col min="7688" max="7688" width="13.28515625" customWidth="1"/>
    <col min="7689" max="7689" width="16.5703125" customWidth="1"/>
    <col min="7690" max="7690" width="13.28515625" customWidth="1"/>
    <col min="7691" max="7691" width="38.85546875" customWidth="1"/>
    <col min="7692" max="7692" width="22.5703125" customWidth="1"/>
    <col min="7695" max="7695" width="12.28515625" bestFit="1" customWidth="1"/>
    <col min="7696" max="7696" width="17.28515625" bestFit="1" customWidth="1"/>
    <col min="7697" max="7697" width="13.140625" bestFit="1" customWidth="1"/>
    <col min="7698" max="7699" width="13.140625" customWidth="1"/>
    <col min="7701" max="7701" width="16.5703125" bestFit="1" customWidth="1"/>
    <col min="7938" max="7938" width="21.5703125" customWidth="1"/>
    <col min="7939" max="7939" width="19.5703125" customWidth="1"/>
    <col min="7940" max="7940" width="16.5703125" customWidth="1"/>
    <col min="7941" max="7941" width="17.5703125" customWidth="1"/>
    <col min="7942" max="7942" width="16.5703125" customWidth="1"/>
    <col min="7943" max="7943" width="15.140625" customWidth="1"/>
    <col min="7944" max="7944" width="13.28515625" customWidth="1"/>
    <col min="7945" max="7945" width="16.5703125" customWidth="1"/>
    <col min="7946" max="7946" width="13.28515625" customWidth="1"/>
    <col min="7947" max="7947" width="38.85546875" customWidth="1"/>
    <col min="7948" max="7948" width="22.5703125" customWidth="1"/>
    <col min="7951" max="7951" width="12.28515625" bestFit="1" customWidth="1"/>
    <col min="7952" max="7952" width="17.28515625" bestFit="1" customWidth="1"/>
    <col min="7953" max="7953" width="13.140625" bestFit="1" customWidth="1"/>
    <col min="7954" max="7955" width="13.140625" customWidth="1"/>
    <col min="7957" max="7957" width="16.5703125" bestFit="1" customWidth="1"/>
    <col min="8194" max="8194" width="21.5703125" customWidth="1"/>
    <col min="8195" max="8195" width="19.5703125" customWidth="1"/>
    <col min="8196" max="8196" width="16.5703125" customWidth="1"/>
    <col min="8197" max="8197" width="17.5703125" customWidth="1"/>
    <col min="8198" max="8198" width="16.5703125" customWidth="1"/>
    <col min="8199" max="8199" width="15.140625" customWidth="1"/>
    <col min="8200" max="8200" width="13.28515625" customWidth="1"/>
    <col min="8201" max="8201" width="16.5703125" customWidth="1"/>
    <col min="8202" max="8202" width="13.28515625" customWidth="1"/>
    <col min="8203" max="8203" width="38.85546875" customWidth="1"/>
    <col min="8204" max="8204" width="22.5703125" customWidth="1"/>
    <col min="8207" max="8207" width="12.28515625" bestFit="1" customWidth="1"/>
    <col min="8208" max="8208" width="17.28515625" bestFit="1" customWidth="1"/>
    <col min="8209" max="8209" width="13.140625" bestFit="1" customWidth="1"/>
    <col min="8210" max="8211" width="13.140625" customWidth="1"/>
    <col min="8213" max="8213" width="16.5703125" bestFit="1" customWidth="1"/>
    <col min="8450" max="8450" width="21.5703125" customWidth="1"/>
    <col min="8451" max="8451" width="19.5703125" customWidth="1"/>
    <col min="8452" max="8452" width="16.5703125" customWidth="1"/>
    <col min="8453" max="8453" width="17.5703125" customWidth="1"/>
    <col min="8454" max="8454" width="16.5703125" customWidth="1"/>
    <col min="8455" max="8455" width="15.140625" customWidth="1"/>
    <col min="8456" max="8456" width="13.28515625" customWidth="1"/>
    <col min="8457" max="8457" width="16.5703125" customWidth="1"/>
    <col min="8458" max="8458" width="13.28515625" customWidth="1"/>
    <col min="8459" max="8459" width="38.85546875" customWidth="1"/>
    <col min="8460" max="8460" width="22.5703125" customWidth="1"/>
    <col min="8463" max="8463" width="12.28515625" bestFit="1" customWidth="1"/>
    <col min="8464" max="8464" width="17.28515625" bestFit="1" customWidth="1"/>
    <col min="8465" max="8465" width="13.140625" bestFit="1" customWidth="1"/>
    <col min="8466" max="8467" width="13.140625" customWidth="1"/>
    <col min="8469" max="8469" width="16.5703125" bestFit="1" customWidth="1"/>
    <col min="8706" max="8706" width="21.5703125" customWidth="1"/>
    <col min="8707" max="8707" width="19.5703125" customWidth="1"/>
    <col min="8708" max="8708" width="16.5703125" customWidth="1"/>
    <col min="8709" max="8709" width="17.5703125" customWidth="1"/>
    <col min="8710" max="8710" width="16.5703125" customWidth="1"/>
    <col min="8711" max="8711" width="15.140625" customWidth="1"/>
    <col min="8712" max="8712" width="13.28515625" customWidth="1"/>
    <col min="8713" max="8713" width="16.5703125" customWidth="1"/>
    <col min="8714" max="8714" width="13.28515625" customWidth="1"/>
    <col min="8715" max="8715" width="38.85546875" customWidth="1"/>
    <col min="8716" max="8716" width="22.5703125" customWidth="1"/>
    <col min="8719" max="8719" width="12.28515625" bestFit="1" customWidth="1"/>
    <col min="8720" max="8720" width="17.28515625" bestFit="1" customWidth="1"/>
    <col min="8721" max="8721" width="13.140625" bestFit="1" customWidth="1"/>
    <col min="8722" max="8723" width="13.140625" customWidth="1"/>
    <col min="8725" max="8725" width="16.5703125" bestFit="1" customWidth="1"/>
    <col min="8962" max="8962" width="21.5703125" customWidth="1"/>
    <col min="8963" max="8963" width="19.5703125" customWidth="1"/>
    <col min="8964" max="8964" width="16.5703125" customWidth="1"/>
    <col min="8965" max="8965" width="17.5703125" customWidth="1"/>
    <col min="8966" max="8966" width="16.5703125" customWidth="1"/>
    <col min="8967" max="8967" width="15.140625" customWidth="1"/>
    <col min="8968" max="8968" width="13.28515625" customWidth="1"/>
    <col min="8969" max="8969" width="16.5703125" customWidth="1"/>
    <col min="8970" max="8970" width="13.28515625" customWidth="1"/>
    <col min="8971" max="8971" width="38.85546875" customWidth="1"/>
    <col min="8972" max="8972" width="22.5703125" customWidth="1"/>
    <col min="8975" max="8975" width="12.28515625" bestFit="1" customWidth="1"/>
    <col min="8976" max="8976" width="17.28515625" bestFit="1" customWidth="1"/>
    <col min="8977" max="8977" width="13.140625" bestFit="1" customWidth="1"/>
    <col min="8978" max="8979" width="13.140625" customWidth="1"/>
    <col min="8981" max="8981" width="16.5703125" bestFit="1" customWidth="1"/>
    <col min="9218" max="9218" width="21.5703125" customWidth="1"/>
    <col min="9219" max="9219" width="19.5703125" customWidth="1"/>
    <col min="9220" max="9220" width="16.5703125" customWidth="1"/>
    <col min="9221" max="9221" width="17.5703125" customWidth="1"/>
    <col min="9222" max="9222" width="16.5703125" customWidth="1"/>
    <col min="9223" max="9223" width="15.140625" customWidth="1"/>
    <col min="9224" max="9224" width="13.28515625" customWidth="1"/>
    <col min="9225" max="9225" width="16.5703125" customWidth="1"/>
    <col min="9226" max="9226" width="13.28515625" customWidth="1"/>
    <col min="9227" max="9227" width="38.85546875" customWidth="1"/>
    <col min="9228" max="9228" width="22.5703125" customWidth="1"/>
    <col min="9231" max="9231" width="12.28515625" bestFit="1" customWidth="1"/>
    <col min="9232" max="9232" width="17.28515625" bestFit="1" customWidth="1"/>
    <col min="9233" max="9233" width="13.140625" bestFit="1" customWidth="1"/>
    <col min="9234" max="9235" width="13.140625" customWidth="1"/>
    <col min="9237" max="9237" width="16.5703125" bestFit="1" customWidth="1"/>
    <col min="9474" max="9474" width="21.5703125" customWidth="1"/>
    <col min="9475" max="9475" width="19.5703125" customWidth="1"/>
    <col min="9476" max="9476" width="16.5703125" customWidth="1"/>
    <col min="9477" max="9477" width="17.5703125" customWidth="1"/>
    <col min="9478" max="9478" width="16.5703125" customWidth="1"/>
    <col min="9479" max="9479" width="15.140625" customWidth="1"/>
    <col min="9480" max="9480" width="13.28515625" customWidth="1"/>
    <col min="9481" max="9481" width="16.5703125" customWidth="1"/>
    <col min="9482" max="9482" width="13.28515625" customWidth="1"/>
    <col min="9483" max="9483" width="38.85546875" customWidth="1"/>
    <col min="9484" max="9484" width="22.5703125" customWidth="1"/>
    <col min="9487" max="9487" width="12.28515625" bestFit="1" customWidth="1"/>
    <col min="9488" max="9488" width="17.28515625" bestFit="1" customWidth="1"/>
    <col min="9489" max="9489" width="13.140625" bestFit="1" customWidth="1"/>
    <col min="9490" max="9491" width="13.140625" customWidth="1"/>
    <col min="9493" max="9493" width="16.5703125" bestFit="1" customWidth="1"/>
    <col min="9730" max="9730" width="21.5703125" customWidth="1"/>
    <col min="9731" max="9731" width="19.5703125" customWidth="1"/>
    <col min="9732" max="9732" width="16.5703125" customWidth="1"/>
    <col min="9733" max="9733" width="17.5703125" customWidth="1"/>
    <col min="9734" max="9734" width="16.5703125" customWidth="1"/>
    <col min="9735" max="9735" width="15.140625" customWidth="1"/>
    <col min="9736" max="9736" width="13.28515625" customWidth="1"/>
    <col min="9737" max="9737" width="16.5703125" customWidth="1"/>
    <col min="9738" max="9738" width="13.28515625" customWidth="1"/>
    <col min="9739" max="9739" width="38.85546875" customWidth="1"/>
    <col min="9740" max="9740" width="22.5703125" customWidth="1"/>
    <col min="9743" max="9743" width="12.28515625" bestFit="1" customWidth="1"/>
    <col min="9744" max="9744" width="17.28515625" bestFit="1" customWidth="1"/>
    <col min="9745" max="9745" width="13.140625" bestFit="1" customWidth="1"/>
    <col min="9746" max="9747" width="13.140625" customWidth="1"/>
    <col min="9749" max="9749" width="16.5703125" bestFit="1" customWidth="1"/>
    <col min="9986" max="9986" width="21.5703125" customWidth="1"/>
    <col min="9987" max="9987" width="19.5703125" customWidth="1"/>
    <col min="9988" max="9988" width="16.5703125" customWidth="1"/>
    <col min="9989" max="9989" width="17.5703125" customWidth="1"/>
    <col min="9990" max="9990" width="16.5703125" customWidth="1"/>
    <col min="9991" max="9991" width="15.140625" customWidth="1"/>
    <col min="9992" max="9992" width="13.28515625" customWidth="1"/>
    <col min="9993" max="9993" width="16.5703125" customWidth="1"/>
    <col min="9994" max="9994" width="13.28515625" customWidth="1"/>
    <col min="9995" max="9995" width="38.85546875" customWidth="1"/>
    <col min="9996" max="9996" width="22.5703125" customWidth="1"/>
    <col min="9999" max="9999" width="12.28515625" bestFit="1" customWidth="1"/>
    <col min="10000" max="10000" width="17.28515625" bestFit="1" customWidth="1"/>
    <col min="10001" max="10001" width="13.140625" bestFit="1" customWidth="1"/>
    <col min="10002" max="10003" width="13.140625" customWidth="1"/>
    <col min="10005" max="10005" width="16.5703125" bestFit="1" customWidth="1"/>
    <col min="10242" max="10242" width="21.5703125" customWidth="1"/>
    <col min="10243" max="10243" width="19.5703125" customWidth="1"/>
    <col min="10244" max="10244" width="16.5703125" customWidth="1"/>
    <col min="10245" max="10245" width="17.5703125" customWidth="1"/>
    <col min="10246" max="10246" width="16.5703125" customWidth="1"/>
    <col min="10247" max="10247" width="15.140625" customWidth="1"/>
    <col min="10248" max="10248" width="13.28515625" customWidth="1"/>
    <col min="10249" max="10249" width="16.5703125" customWidth="1"/>
    <col min="10250" max="10250" width="13.28515625" customWidth="1"/>
    <col min="10251" max="10251" width="38.85546875" customWidth="1"/>
    <col min="10252" max="10252" width="22.5703125" customWidth="1"/>
    <col min="10255" max="10255" width="12.28515625" bestFit="1" customWidth="1"/>
    <col min="10256" max="10256" width="17.28515625" bestFit="1" customWidth="1"/>
    <col min="10257" max="10257" width="13.140625" bestFit="1" customWidth="1"/>
    <col min="10258" max="10259" width="13.140625" customWidth="1"/>
    <col min="10261" max="10261" width="16.5703125" bestFit="1" customWidth="1"/>
    <col min="10498" max="10498" width="21.5703125" customWidth="1"/>
    <col min="10499" max="10499" width="19.5703125" customWidth="1"/>
    <col min="10500" max="10500" width="16.5703125" customWidth="1"/>
    <col min="10501" max="10501" width="17.5703125" customWidth="1"/>
    <col min="10502" max="10502" width="16.5703125" customWidth="1"/>
    <col min="10503" max="10503" width="15.140625" customWidth="1"/>
    <col min="10504" max="10504" width="13.28515625" customWidth="1"/>
    <col min="10505" max="10505" width="16.5703125" customWidth="1"/>
    <col min="10506" max="10506" width="13.28515625" customWidth="1"/>
    <col min="10507" max="10507" width="38.85546875" customWidth="1"/>
    <col min="10508" max="10508" width="22.5703125" customWidth="1"/>
    <col min="10511" max="10511" width="12.28515625" bestFit="1" customWidth="1"/>
    <col min="10512" max="10512" width="17.28515625" bestFit="1" customWidth="1"/>
    <col min="10513" max="10513" width="13.140625" bestFit="1" customWidth="1"/>
    <col min="10514" max="10515" width="13.140625" customWidth="1"/>
    <col min="10517" max="10517" width="16.5703125" bestFit="1" customWidth="1"/>
    <col min="10754" max="10754" width="21.5703125" customWidth="1"/>
    <col min="10755" max="10755" width="19.5703125" customWidth="1"/>
    <col min="10756" max="10756" width="16.5703125" customWidth="1"/>
    <col min="10757" max="10757" width="17.5703125" customWidth="1"/>
    <col min="10758" max="10758" width="16.5703125" customWidth="1"/>
    <col min="10759" max="10759" width="15.140625" customWidth="1"/>
    <col min="10760" max="10760" width="13.28515625" customWidth="1"/>
    <col min="10761" max="10761" width="16.5703125" customWidth="1"/>
    <col min="10762" max="10762" width="13.28515625" customWidth="1"/>
    <col min="10763" max="10763" width="38.85546875" customWidth="1"/>
    <col min="10764" max="10764" width="22.5703125" customWidth="1"/>
    <col min="10767" max="10767" width="12.28515625" bestFit="1" customWidth="1"/>
    <col min="10768" max="10768" width="17.28515625" bestFit="1" customWidth="1"/>
    <col min="10769" max="10769" width="13.140625" bestFit="1" customWidth="1"/>
    <col min="10770" max="10771" width="13.140625" customWidth="1"/>
    <col min="10773" max="10773" width="16.5703125" bestFit="1" customWidth="1"/>
    <col min="11010" max="11010" width="21.5703125" customWidth="1"/>
    <col min="11011" max="11011" width="19.5703125" customWidth="1"/>
    <col min="11012" max="11012" width="16.5703125" customWidth="1"/>
    <col min="11013" max="11013" width="17.5703125" customWidth="1"/>
    <col min="11014" max="11014" width="16.5703125" customWidth="1"/>
    <col min="11015" max="11015" width="15.140625" customWidth="1"/>
    <col min="11016" max="11016" width="13.28515625" customWidth="1"/>
    <col min="11017" max="11017" width="16.5703125" customWidth="1"/>
    <col min="11018" max="11018" width="13.28515625" customWidth="1"/>
    <col min="11019" max="11019" width="38.85546875" customWidth="1"/>
    <col min="11020" max="11020" width="22.5703125" customWidth="1"/>
    <col min="11023" max="11023" width="12.28515625" bestFit="1" customWidth="1"/>
    <col min="11024" max="11024" width="17.28515625" bestFit="1" customWidth="1"/>
    <col min="11025" max="11025" width="13.140625" bestFit="1" customWidth="1"/>
    <col min="11026" max="11027" width="13.140625" customWidth="1"/>
    <col min="11029" max="11029" width="16.5703125" bestFit="1" customWidth="1"/>
    <col min="11266" max="11266" width="21.5703125" customWidth="1"/>
    <col min="11267" max="11267" width="19.5703125" customWidth="1"/>
    <col min="11268" max="11268" width="16.5703125" customWidth="1"/>
    <col min="11269" max="11269" width="17.5703125" customWidth="1"/>
    <col min="11270" max="11270" width="16.5703125" customWidth="1"/>
    <col min="11271" max="11271" width="15.140625" customWidth="1"/>
    <col min="11272" max="11272" width="13.28515625" customWidth="1"/>
    <col min="11273" max="11273" width="16.5703125" customWidth="1"/>
    <col min="11274" max="11274" width="13.28515625" customWidth="1"/>
    <col min="11275" max="11275" width="38.85546875" customWidth="1"/>
    <col min="11276" max="11276" width="22.5703125" customWidth="1"/>
    <col min="11279" max="11279" width="12.28515625" bestFit="1" customWidth="1"/>
    <col min="11280" max="11280" width="17.28515625" bestFit="1" customWidth="1"/>
    <col min="11281" max="11281" width="13.140625" bestFit="1" customWidth="1"/>
    <col min="11282" max="11283" width="13.140625" customWidth="1"/>
    <col min="11285" max="11285" width="16.5703125" bestFit="1" customWidth="1"/>
    <col min="11522" max="11522" width="21.5703125" customWidth="1"/>
    <col min="11523" max="11523" width="19.5703125" customWidth="1"/>
    <col min="11524" max="11524" width="16.5703125" customWidth="1"/>
    <col min="11525" max="11525" width="17.5703125" customWidth="1"/>
    <col min="11526" max="11526" width="16.5703125" customWidth="1"/>
    <col min="11527" max="11527" width="15.140625" customWidth="1"/>
    <col min="11528" max="11528" width="13.28515625" customWidth="1"/>
    <col min="11529" max="11529" width="16.5703125" customWidth="1"/>
    <col min="11530" max="11530" width="13.28515625" customWidth="1"/>
    <col min="11531" max="11531" width="38.85546875" customWidth="1"/>
    <col min="11532" max="11532" width="22.5703125" customWidth="1"/>
    <col min="11535" max="11535" width="12.28515625" bestFit="1" customWidth="1"/>
    <col min="11536" max="11536" width="17.28515625" bestFit="1" customWidth="1"/>
    <col min="11537" max="11537" width="13.140625" bestFit="1" customWidth="1"/>
    <col min="11538" max="11539" width="13.140625" customWidth="1"/>
    <col min="11541" max="11541" width="16.5703125" bestFit="1" customWidth="1"/>
    <col min="11778" max="11778" width="21.5703125" customWidth="1"/>
    <col min="11779" max="11779" width="19.5703125" customWidth="1"/>
    <col min="11780" max="11780" width="16.5703125" customWidth="1"/>
    <col min="11781" max="11781" width="17.5703125" customWidth="1"/>
    <col min="11782" max="11782" width="16.5703125" customWidth="1"/>
    <col min="11783" max="11783" width="15.140625" customWidth="1"/>
    <col min="11784" max="11784" width="13.28515625" customWidth="1"/>
    <col min="11785" max="11785" width="16.5703125" customWidth="1"/>
    <col min="11786" max="11786" width="13.28515625" customWidth="1"/>
    <col min="11787" max="11787" width="38.85546875" customWidth="1"/>
    <col min="11788" max="11788" width="22.5703125" customWidth="1"/>
    <col min="11791" max="11791" width="12.28515625" bestFit="1" customWidth="1"/>
    <col min="11792" max="11792" width="17.28515625" bestFit="1" customWidth="1"/>
    <col min="11793" max="11793" width="13.140625" bestFit="1" customWidth="1"/>
    <col min="11794" max="11795" width="13.140625" customWidth="1"/>
    <col min="11797" max="11797" width="16.5703125" bestFit="1" customWidth="1"/>
    <col min="12034" max="12034" width="21.5703125" customWidth="1"/>
    <col min="12035" max="12035" width="19.5703125" customWidth="1"/>
    <col min="12036" max="12036" width="16.5703125" customWidth="1"/>
    <col min="12037" max="12037" width="17.5703125" customWidth="1"/>
    <col min="12038" max="12038" width="16.5703125" customWidth="1"/>
    <col min="12039" max="12039" width="15.140625" customWidth="1"/>
    <col min="12040" max="12040" width="13.28515625" customWidth="1"/>
    <col min="12041" max="12041" width="16.5703125" customWidth="1"/>
    <col min="12042" max="12042" width="13.28515625" customWidth="1"/>
    <col min="12043" max="12043" width="38.85546875" customWidth="1"/>
    <col min="12044" max="12044" width="22.5703125" customWidth="1"/>
    <col min="12047" max="12047" width="12.28515625" bestFit="1" customWidth="1"/>
    <col min="12048" max="12048" width="17.28515625" bestFit="1" customWidth="1"/>
    <col min="12049" max="12049" width="13.140625" bestFit="1" customWidth="1"/>
    <col min="12050" max="12051" width="13.140625" customWidth="1"/>
    <col min="12053" max="12053" width="16.5703125" bestFit="1" customWidth="1"/>
    <col min="12290" max="12290" width="21.5703125" customWidth="1"/>
    <col min="12291" max="12291" width="19.5703125" customWidth="1"/>
    <col min="12292" max="12292" width="16.5703125" customWidth="1"/>
    <col min="12293" max="12293" width="17.5703125" customWidth="1"/>
    <col min="12294" max="12294" width="16.5703125" customWidth="1"/>
    <col min="12295" max="12295" width="15.140625" customWidth="1"/>
    <col min="12296" max="12296" width="13.28515625" customWidth="1"/>
    <col min="12297" max="12297" width="16.5703125" customWidth="1"/>
    <col min="12298" max="12298" width="13.28515625" customWidth="1"/>
    <col min="12299" max="12299" width="38.85546875" customWidth="1"/>
    <col min="12300" max="12300" width="22.5703125" customWidth="1"/>
    <col min="12303" max="12303" width="12.28515625" bestFit="1" customWidth="1"/>
    <col min="12304" max="12304" width="17.28515625" bestFit="1" customWidth="1"/>
    <col min="12305" max="12305" width="13.140625" bestFit="1" customWidth="1"/>
    <col min="12306" max="12307" width="13.140625" customWidth="1"/>
    <col min="12309" max="12309" width="16.5703125" bestFit="1" customWidth="1"/>
    <col min="12546" max="12546" width="21.5703125" customWidth="1"/>
    <col min="12547" max="12547" width="19.5703125" customWidth="1"/>
    <col min="12548" max="12548" width="16.5703125" customWidth="1"/>
    <col min="12549" max="12549" width="17.5703125" customWidth="1"/>
    <col min="12550" max="12550" width="16.5703125" customWidth="1"/>
    <col min="12551" max="12551" width="15.140625" customWidth="1"/>
    <col min="12552" max="12552" width="13.28515625" customWidth="1"/>
    <col min="12553" max="12553" width="16.5703125" customWidth="1"/>
    <col min="12554" max="12554" width="13.28515625" customWidth="1"/>
    <col min="12555" max="12555" width="38.85546875" customWidth="1"/>
    <col min="12556" max="12556" width="22.5703125" customWidth="1"/>
    <col min="12559" max="12559" width="12.28515625" bestFit="1" customWidth="1"/>
    <col min="12560" max="12560" width="17.28515625" bestFit="1" customWidth="1"/>
    <col min="12561" max="12561" width="13.140625" bestFit="1" customWidth="1"/>
    <col min="12562" max="12563" width="13.140625" customWidth="1"/>
    <col min="12565" max="12565" width="16.5703125" bestFit="1" customWidth="1"/>
    <col min="12802" max="12802" width="21.5703125" customWidth="1"/>
    <col min="12803" max="12803" width="19.5703125" customWidth="1"/>
    <col min="12804" max="12804" width="16.5703125" customWidth="1"/>
    <col min="12805" max="12805" width="17.5703125" customWidth="1"/>
    <col min="12806" max="12806" width="16.5703125" customWidth="1"/>
    <col min="12807" max="12807" width="15.140625" customWidth="1"/>
    <col min="12808" max="12808" width="13.28515625" customWidth="1"/>
    <col min="12809" max="12809" width="16.5703125" customWidth="1"/>
    <col min="12810" max="12810" width="13.28515625" customWidth="1"/>
    <col min="12811" max="12811" width="38.85546875" customWidth="1"/>
    <col min="12812" max="12812" width="22.5703125" customWidth="1"/>
    <col min="12815" max="12815" width="12.28515625" bestFit="1" customWidth="1"/>
    <col min="12816" max="12816" width="17.28515625" bestFit="1" customWidth="1"/>
    <col min="12817" max="12817" width="13.140625" bestFit="1" customWidth="1"/>
    <col min="12818" max="12819" width="13.140625" customWidth="1"/>
    <col min="12821" max="12821" width="16.5703125" bestFit="1" customWidth="1"/>
    <col min="13058" max="13058" width="21.5703125" customWidth="1"/>
    <col min="13059" max="13059" width="19.5703125" customWidth="1"/>
    <col min="13060" max="13060" width="16.5703125" customWidth="1"/>
    <col min="13061" max="13061" width="17.5703125" customWidth="1"/>
    <col min="13062" max="13062" width="16.5703125" customWidth="1"/>
    <col min="13063" max="13063" width="15.140625" customWidth="1"/>
    <col min="13064" max="13064" width="13.28515625" customWidth="1"/>
    <col min="13065" max="13065" width="16.5703125" customWidth="1"/>
    <col min="13066" max="13066" width="13.28515625" customWidth="1"/>
    <col min="13067" max="13067" width="38.85546875" customWidth="1"/>
    <col min="13068" max="13068" width="22.5703125" customWidth="1"/>
    <col min="13071" max="13071" width="12.28515625" bestFit="1" customWidth="1"/>
    <col min="13072" max="13072" width="17.28515625" bestFit="1" customWidth="1"/>
    <col min="13073" max="13073" width="13.140625" bestFit="1" customWidth="1"/>
    <col min="13074" max="13075" width="13.140625" customWidth="1"/>
    <col min="13077" max="13077" width="16.5703125" bestFit="1" customWidth="1"/>
    <col min="13314" max="13314" width="21.5703125" customWidth="1"/>
    <col min="13315" max="13315" width="19.5703125" customWidth="1"/>
    <col min="13316" max="13316" width="16.5703125" customWidth="1"/>
    <col min="13317" max="13317" width="17.5703125" customWidth="1"/>
    <col min="13318" max="13318" width="16.5703125" customWidth="1"/>
    <col min="13319" max="13319" width="15.140625" customWidth="1"/>
    <col min="13320" max="13320" width="13.28515625" customWidth="1"/>
    <col min="13321" max="13321" width="16.5703125" customWidth="1"/>
    <col min="13322" max="13322" width="13.28515625" customWidth="1"/>
    <col min="13323" max="13323" width="38.85546875" customWidth="1"/>
    <col min="13324" max="13324" width="22.5703125" customWidth="1"/>
    <col min="13327" max="13327" width="12.28515625" bestFit="1" customWidth="1"/>
    <col min="13328" max="13328" width="17.28515625" bestFit="1" customWidth="1"/>
    <col min="13329" max="13329" width="13.140625" bestFit="1" customWidth="1"/>
    <col min="13330" max="13331" width="13.140625" customWidth="1"/>
    <col min="13333" max="13333" width="16.5703125" bestFit="1" customWidth="1"/>
    <col min="13570" max="13570" width="21.5703125" customWidth="1"/>
    <col min="13571" max="13571" width="19.5703125" customWidth="1"/>
    <col min="13572" max="13572" width="16.5703125" customWidth="1"/>
    <col min="13573" max="13573" width="17.5703125" customWidth="1"/>
    <col min="13574" max="13574" width="16.5703125" customWidth="1"/>
    <col min="13575" max="13575" width="15.140625" customWidth="1"/>
    <col min="13576" max="13576" width="13.28515625" customWidth="1"/>
    <col min="13577" max="13577" width="16.5703125" customWidth="1"/>
    <col min="13578" max="13578" width="13.28515625" customWidth="1"/>
    <col min="13579" max="13579" width="38.85546875" customWidth="1"/>
    <col min="13580" max="13580" width="22.5703125" customWidth="1"/>
    <col min="13583" max="13583" width="12.28515625" bestFit="1" customWidth="1"/>
    <col min="13584" max="13584" width="17.28515625" bestFit="1" customWidth="1"/>
    <col min="13585" max="13585" width="13.140625" bestFit="1" customWidth="1"/>
    <col min="13586" max="13587" width="13.140625" customWidth="1"/>
    <col min="13589" max="13589" width="16.5703125" bestFit="1" customWidth="1"/>
    <col min="13826" max="13826" width="21.5703125" customWidth="1"/>
    <col min="13827" max="13827" width="19.5703125" customWidth="1"/>
    <col min="13828" max="13828" width="16.5703125" customWidth="1"/>
    <col min="13829" max="13829" width="17.5703125" customWidth="1"/>
    <col min="13830" max="13830" width="16.5703125" customWidth="1"/>
    <col min="13831" max="13831" width="15.140625" customWidth="1"/>
    <col min="13832" max="13832" width="13.28515625" customWidth="1"/>
    <col min="13833" max="13833" width="16.5703125" customWidth="1"/>
    <col min="13834" max="13834" width="13.28515625" customWidth="1"/>
    <col min="13835" max="13835" width="38.85546875" customWidth="1"/>
    <col min="13836" max="13836" width="22.5703125" customWidth="1"/>
    <col min="13839" max="13839" width="12.28515625" bestFit="1" customWidth="1"/>
    <col min="13840" max="13840" width="17.28515625" bestFit="1" customWidth="1"/>
    <col min="13841" max="13841" width="13.140625" bestFit="1" customWidth="1"/>
    <col min="13842" max="13843" width="13.140625" customWidth="1"/>
    <col min="13845" max="13845" width="16.5703125" bestFit="1" customWidth="1"/>
    <col min="14082" max="14082" width="21.5703125" customWidth="1"/>
    <col min="14083" max="14083" width="19.5703125" customWidth="1"/>
    <col min="14084" max="14084" width="16.5703125" customWidth="1"/>
    <col min="14085" max="14085" width="17.5703125" customWidth="1"/>
    <col min="14086" max="14086" width="16.5703125" customWidth="1"/>
    <col min="14087" max="14087" width="15.140625" customWidth="1"/>
    <col min="14088" max="14088" width="13.28515625" customWidth="1"/>
    <col min="14089" max="14089" width="16.5703125" customWidth="1"/>
    <col min="14090" max="14090" width="13.28515625" customWidth="1"/>
    <col min="14091" max="14091" width="38.85546875" customWidth="1"/>
    <col min="14092" max="14092" width="22.5703125" customWidth="1"/>
    <col min="14095" max="14095" width="12.28515625" bestFit="1" customWidth="1"/>
    <col min="14096" max="14096" width="17.28515625" bestFit="1" customWidth="1"/>
    <col min="14097" max="14097" width="13.140625" bestFit="1" customWidth="1"/>
    <col min="14098" max="14099" width="13.140625" customWidth="1"/>
    <col min="14101" max="14101" width="16.5703125" bestFit="1" customWidth="1"/>
    <col min="14338" max="14338" width="21.5703125" customWidth="1"/>
    <col min="14339" max="14339" width="19.5703125" customWidth="1"/>
    <col min="14340" max="14340" width="16.5703125" customWidth="1"/>
    <col min="14341" max="14341" width="17.5703125" customWidth="1"/>
    <col min="14342" max="14342" width="16.5703125" customWidth="1"/>
    <col min="14343" max="14343" width="15.140625" customWidth="1"/>
    <col min="14344" max="14344" width="13.28515625" customWidth="1"/>
    <col min="14345" max="14345" width="16.5703125" customWidth="1"/>
    <col min="14346" max="14346" width="13.28515625" customWidth="1"/>
    <col min="14347" max="14347" width="38.85546875" customWidth="1"/>
    <col min="14348" max="14348" width="22.5703125" customWidth="1"/>
    <col min="14351" max="14351" width="12.28515625" bestFit="1" customWidth="1"/>
    <col min="14352" max="14352" width="17.28515625" bestFit="1" customWidth="1"/>
    <col min="14353" max="14353" width="13.140625" bestFit="1" customWidth="1"/>
    <col min="14354" max="14355" width="13.140625" customWidth="1"/>
    <col min="14357" max="14357" width="16.5703125" bestFit="1" customWidth="1"/>
    <col min="14594" max="14594" width="21.5703125" customWidth="1"/>
    <col min="14595" max="14595" width="19.5703125" customWidth="1"/>
    <col min="14596" max="14596" width="16.5703125" customWidth="1"/>
    <col min="14597" max="14597" width="17.5703125" customWidth="1"/>
    <col min="14598" max="14598" width="16.5703125" customWidth="1"/>
    <col min="14599" max="14599" width="15.140625" customWidth="1"/>
    <col min="14600" max="14600" width="13.28515625" customWidth="1"/>
    <col min="14601" max="14601" width="16.5703125" customWidth="1"/>
    <col min="14602" max="14602" width="13.28515625" customWidth="1"/>
    <col min="14603" max="14603" width="38.85546875" customWidth="1"/>
    <col min="14604" max="14604" width="22.5703125" customWidth="1"/>
    <col min="14607" max="14607" width="12.28515625" bestFit="1" customWidth="1"/>
    <col min="14608" max="14608" width="17.28515625" bestFit="1" customWidth="1"/>
    <col min="14609" max="14609" width="13.140625" bestFit="1" customWidth="1"/>
    <col min="14610" max="14611" width="13.140625" customWidth="1"/>
    <col min="14613" max="14613" width="16.5703125" bestFit="1" customWidth="1"/>
    <col min="14850" max="14850" width="21.5703125" customWidth="1"/>
    <col min="14851" max="14851" width="19.5703125" customWidth="1"/>
    <col min="14852" max="14852" width="16.5703125" customWidth="1"/>
    <col min="14853" max="14853" width="17.5703125" customWidth="1"/>
    <col min="14854" max="14854" width="16.5703125" customWidth="1"/>
    <col min="14855" max="14855" width="15.140625" customWidth="1"/>
    <col min="14856" max="14856" width="13.28515625" customWidth="1"/>
    <col min="14857" max="14857" width="16.5703125" customWidth="1"/>
    <col min="14858" max="14858" width="13.28515625" customWidth="1"/>
    <col min="14859" max="14859" width="38.85546875" customWidth="1"/>
    <col min="14860" max="14860" width="22.5703125" customWidth="1"/>
    <col min="14863" max="14863" width="12.28515625" bestFit="1" customWidth="1"/>
    <col min="14864" max="14864" width="17.28515625" bestFit="1" customWidth="1"/>
    <col min="14865" max="14865" width="13.140625" bestFit="1" customWidth="1"/>
    <col min="14866" max="14867" width="13.140625" customWidth="1"/>
    <col min="14869" max="14869" width="16.5703125" bestFit="1" customWidth="1"/>
    <col min="15106" max="15106" width="21.5703125" customWidth="1"/>
    <col min="15107" max="15107" width="19.5703125" customWidth="1"/>
    <col min="15108" max="15108" width="16.5703125" customWidth="1"/>
    <col min="15109" max="15109" width="17.5703125" customWidth="1"/>
    <col min="15110" max="15110" width="16.5703125" customWidth="1"/>
    <col min="15111" max="15111" width="15.140625" customWidth="1"/>
    <col min="15112" max="15112" width="13.28515625" customWidth="1"/>
    <col min="15113" max="15113" width="16.5703125" customWidth="1"/>
    <col min="15114" max="15114" width="13.28515625" customWidth="1"/>
    <col min="15115" max="15115" width="38.85546875" customWidth="1"/>
    <col min="15116" max="15116" width="22.5703125" customWidth="1"/>
    <col min="15119" max="15119" width="12.28515625" bestFit="1" customWidth="1"/>
    <col min="15120" max="15120" width="17.28515625" bestFit="1" customWidth="1"/>
    <col min="15121" max="15121" width="13.140625" bestFit="1" customWidth="1"/>
    <col min="15122" max="15123" width="13.140625" customWidth="1"/>
    <col min="15125" max="15125" width="16.5703125" bestFit="1" customWidth="1"/>
    <col min="15362" max="15362" width="21.5703125" customWidth="1"/>
    <col min="15363" max="15363" width="19.5703125" customWidth="1"/>
    <col min="15364" max="15364" width="16.5703125" customWidth="1"/>
    <col min="15365" max="15365" width="17.5703125" customWidth="1"/>
    <col min="15366" max="15366" width="16.5703125" customWidth="1"/>
    <col min="15367" max="15367" width="15.140625" customWidth="1"/>
    <col min="15368" max="15368" width="13.28515625" customWidth="1"/>
    <col min="15369" max="15369" width="16.5703125" customWidth="1"/>
    <col min="15370" max="15370" width="13.28515625" customWidth="1"/>
    <col min="15371" max="15371" width="38.85546875" customWidth="1"/>
    <col min="15372" max="15372" width="22.5703125" customWidth="1"/>
    <col min="15375" max="15375" width="12.28515625" bestFit="1" customWidth="1"/>
    <col min="15376" max="15376" width="17.28515625" bestFit="1" customWidth="1"/>
    <col min="15377" max="15377" width="13.140625" bestFit="1" customWidth="1"/>
    <col min="15378" max="15379" width="13.140625" customWidth="1"/>
    <col min="15381" max="15381" width="16.5703125" bestFit="1" customWidth="1"/>
    <col min="15618" max="15618" width="21.5703125" customWidth="1"/>
    <col min="15619" max="15619" width="19.5703125" customWidth="1"/>
    <col min="15620" max="15620" width="16.5703125" customWidth="1"/>
    <col min="15621" max="15621" width="17.5703125" customWidth="1"/>
    <col min="15622" max="15622" width="16.5703125" customWidth="1"/>
    <col min="15623" max="15623" width="15.140625" customWidth="1"/>
    <col min="15624" max="15624" width="13.28515625" customWidth="1"/>
    <col min="15625" max="15625" width="16.5703125" customWidth="1"/>
    <col min="15626" max="15626" width="13.28515625" customWidth="1"/>
    <col min="15627" max="15627" width="38.85546875" customWidth="1"/>
    <col min="15628" max="15628" width="22.5703125" customWidth="1"/>
    <col min="15631" max="15631" width="12.28515625" bestFit="1" customWidth="1"/>
    <col min="15632" max="15632" width="17.28515625" bestFit="1" customWidth="1"/>
    <col min="15633" max="15633" width="13.140625" bestFit="1" customWidth="1"/>
    <col min="15634" max="15635" width="13.140625" customWidth="1"/>
    <col min="15637" max="15637" width="16.5703125" bestFit="1" customWidth="1"/>
    <col min="15874" max="15874" width="21.5703125" customWidth="1"/>
    <col min="15875" max="15875" width="19.5703125" customWidth="1"/>
    <col min="15876" max="15876" width="16.5703125" customWidth="1"/>
    <col min="15877" max="15877" width="17.5703125" customWidth="1"/>
    <col min="15878" max="15878" width="16.5703125" customWidth="1"/>
    <col min="15879" max="15879" width="15.140625" customWidth="1"/>
    <col min="15880" max="15880" width="13.28515625" customWidth="1"/>
    <col min="15881" max="15881" width="16.5703125" customWidth="1"/>
    <col min="15882" max="15882" width="13.28515625" customWidth="1"/>
    <col min="15883" max="15883" width="38.85546875" customWidth="1"/>
    <col min="15884" max="15884" width="22.5703125" customWidth="1"/>
    <col min="15887" max="15887" width="12.28515625" bestFit="1" customWidth="1"/>
    <col min="15888" max="15888" width="17.28515625" bestFit="1" customWidth="1"/>
    <col min="15889" max="15889" width="13.140625" bestFit="1" customWidth="1"/>
    <col min="15890" max="15891" width="13.140625" customWidth="1"/>
    <col min="15893" max="15893" width="16.5703125" bestFit="1" customWidth="1"/>
    <col min="16130" max="16130" width="21.5703125" customWidth="1"/>
    <col min="16131" max="16131" width="19.5703125" customWidth="1"/>
    <col min="16132" max="16132" width="16.5703125" customWidth="1"/>
    <col min="16133" max="16133" width="17.5703125" customWidth="1"/>
    <col min="16134" max="16134" width="16.5703125" customWidth="1"/>
    <col min="16135" max="16135" width="15.140625" customWidth="1"/>
    <col min="16136" max="16136" width="13.28515625" customWidth="1"/>
    <col min="16137" max="16137" width="16.5703125" customWidth="1"/>
    <col min="16138" max="16138" width="13.28515625" customWidth="1"/>
    <col min="16139" max="16139" width="38.85546875" customWidth="1"/>
    <col min="16140" max="16140" width="22.5703125" customWidth="1"/>
    <col min="16143" max="16143" width="12.28515625" bestFit="1" customWidth="1"/>
    <col min="16144" max="16144" width="17.28515625" bestFit="1" customWidth="1"/>
    <col min="16145" max="16145" width="13.140625" bestFit="1" customWidth="1"/>
    <col min="16146" max="16147" width="13.140625" customWidth="1"/>
    <col min="16149" max="16149" width="16.5703125" bestFit="1" customWidth="1"/>
  </cols>
  <sheetData>
    <row r="1" spans="2:24" x14ac:dyDescent="0.2">
      <c r="C1" s="723"/>
    </row>
    <row r="2" spans="2:24" ht="20.25" x14ac:dyDescent="0.3">
      <c r="B2" s="920" t="s">
        <v>6040</v>
      </c>
      <c r="C2" s="509"/>
      <c r="D2" s="509"/>
      <c r="E2" s="921"/>
      <c r="F2" s="922" t="s">
        <v>6041</v>
      </c>
      <c r="G2" s="922"/>
      <c r="H2" s="922"/>
      <c r="I2" s="509"/>
    </row>
    <row r="3" spans="2:24" ht="8.85" customHeight="1" x14ac:dyDescent="0.25">
      <c r="B3" s="509"/>
      <c r="C3" s="509"/>
      <c r="D3" s="509"/>
      <c r="E3" s="509"/>
      <c r="F3" s="509"/>
      <c r="G3" s="509"/>
      <c r="H3" s="509"/>
      <c r="I3" s="509"/>
    </row>
    <row r="4" spans="2:24" ht="18.75" x14ac:dyDescent="0.3">
      <c r="B4" s="2327"/>
      <c r="C4" s="2328" t="s">
        <v>6042</v>
      </c>
      <c r="D4" s="2329" t="s">
        <v>6043</v>
      </c>
      <c r="E4" s="2329" t="s">
        <v>6044</v>
      </c>
      <c r="F4" s="2329" t="s">
        <v>1410</v>
      </c>
      <c r="G4" s="2548" t="s">
        <v>6045</v>
      </c>
      <c r="H4" s="2549"/>
      <c r="I4" s="2550"/>
      <c r="J4" s="506" t="s">
        <v>6046</v>
      </c>
    </row>
    <row r="5" spans="2:24" ht="18.75" x14ac:dyDescent="0.3">
      <c r="B5" s="1794" t="s">
        <v>545</v>
      </c>
      <c r="C5" s="507" t="s">
        <v>6047</v>
      </c>
      <c r="D5" s="506" t="s">
        <v>2321</v>
      </c>
      <c r="E5" s="506" t="s">
        <v>547</v>
      </c>
      <c r="F5" s="506" t="s">
        <v>6048</v>
      </c>
      <c r="G5" s="1795" t="s">
        <v>2328</v>
      </c>
      <c r="H5" s="1796" t="s">
        <v>234</v>
      </c>
      <c r="I5" s="1797" t="s">
        <v>6049</v>
      </c>
      <c r="J5" s="506" t="s">
        <v>6050</v>
      </c>
      <c r="L5" s="508" t="s">
        <v>6051</v>
      </c>
    </row>
    <row r="6" spans="2:24" ht="18.75" x14ac:dyDescent="0.3">
      <c r="B6" s="2327" t="s">
        <v>240</v>
      </c>
      <c r="C6" s="2330"/>
      <c r="D6" s="2331"/>
      <c r="E6" s="2331"/>
      <c r="F6" s="2036"/>
      <c r="G6" s="509"/>
      <c r="H6" s="509"/>
      <c r="I6" s="510"/>
    </row>
    <row r="7" spans="2:24" ht="14.85" customHeight="1" x14ac:dyDescent="0.25">
      <c r="B7" s="511"/>
      <c r="C7" s="512"/>
      <c r="D7" s="509"/>
      <c r="E7" s="509"/>
      <c r="F7" s="510"/>
      <c r="G7" s="513"/>
      <c r="H7" s="514"/>
      <c r="I7" s="510"/>
      <c r="M7" s="1326"/>
      <c r="N7" s="1326"/>
      <c r="P7" s="2493"/>
      <c r="Q7" s="2493"/>
      <c r="R7" s="2493"/>
      <c r="S7" s="2493"/>
      <c r="U7" s="2493"/>
      <c r="V7" s="2493"/>
      <c r="W7" s="2493"/>
      <c r="X7" s="2493"/>
    </row>
    <row r="8" spans="2:24" ht="16.5" thickBot="1" x14ac:dyDescent="0.3">
      <c r="B8" s="511" t="s">
        <v>6052</v>
      </c>
      <c r="C8" s="512"/>
      <c r="D8" s="509"/>
      <c r="E8" s="509"/>
      <c r="F8" s="510"/>
      <c r="G8" s="509"/>
      <c r="H8" s="509"/>
      <c r="I8" s="510"/>
      <c r="M8" s="163"/>
      <c r="N8" s="163"/>
      <c r="P8" s="268" t="s">
        <v>6053</v>
      </c>
      <c r="Q8" s="268" t="s">
        <v>6054</v>
      </c>
      <c r="R8" s="268"/>
      <c r="S8" s="163"/>
      <c r="T8" t="s">
        <v>6055</v>
      </c>
      <c r="U8" s="163"/>
      <c r="V8" s="163"/>
      <c r="W8" s="163"/>
      <c r="X8" s="163"/>
    </row>
    <row r="9" spans="2:24" ht="16.5" thickBot="1" x14ac:dyDescent="0.3">
      <c r="B9" s="515" t="s">
        <v>6056</v>
      </c>
      <c r="C9" s="1158">
        <v>684324</v>
      </c>
      <c r="D9" s="1159">
        <f>E9*1.2317</f>
        <v>692461.74</v>
      </c>
      <c r="E9" s="386">
        <f>SUM(E10:E11)</f>
        <v>562200</v>
      </c>
      <c r="F9" s="517">
        <f>(F10*E10+F11*E11)/E9</f>
        <v>0.64651919619467257</v>
      </c>
      <c r="G9" s="1388">
        <v>0.90230122779484956</v>
      </c>
      <c r="H9" s="1388">
        <v>1.1185828470377881</v>
      </c>
      <c r="I9" s="1389">
        <v>1.0104420374163188</v>
      </c>
      <c r="J9" s="1383">
        <v>592500</v>
      </c>
      <c r="K9" s="1112"/>
      <c r="L9" s="520">
        <f>H9/(H9+G9)</f>
        <v>0.55351163432292627</v>
      </c>
      <c r="M9" s="38"/>
      <c r="N9" s="38"/>
      <c r="O9" s="38"/>
      <c r="P9" s="2551" t="s">
        <v>6057</v>
      </c>
      <c r="Q9" s="2552"/>
      <c r="R9" s="387"/>
      <c r="S9" s="38"/>
      <c r="U9" s="38"/>
      <c r="V9" s="38"/>
      <c r="W9" s="38"/>
      <c r="X9" s="38"/>
    </row>
    <row r="10" spans="2:24" ht="15.75" x14ac:dyDescent="0.25">
      <c r="B10" s="521" t="s">
        <v>6058</v>
      </c>
      <c r="C10" s="522" t="s">
        <v>761</v>
      </c>
      <c r="D10" s="516">
        <f t="shared" ref="D10:D14" si="0">E10*1.2317</f>
        <v>277871.52</v>
      </c>
      <c r="E10" s="1383">
        <v>225600</v>
      </c>
      <c r="F10" s="1385">
        <v>0.233743307812772</v>
      </c>
      <c r="G10" s="523" t="s">
        <v>761</v>
      </c>
      <c r="H10" s="523" t="s">
        <v>761</v>
      </c>
      <c r="I10" s="524" t="s">
        <v>761</v>
      </c>
      <c r="J10" s="1384">
        <v>0.4051101025382417</v>
      </c>
      <c r="K10" s="1381" t="s">
        <v>6059</v>
      </c>
      <c r="L10" s="388"/>
      <c r="M10" s="38"/>
      <c r="N10" s="38"/>
      <c r="O10" s="38" t="s">
        <v>2328</v>
      </c>
      <c r="P10" s="389">
        <f>(1-F9)*E9+E26+E27</f>
        <v>231426.90789935508</v>
      </c>
      <c r="Q10" s="600">
        <f>(1-F12)*E12+E28</f>
        <v>52807.824335498859</v>
      </c>
      <c r="R10" s="279"/>
      <c r="S10" s="38" t="s">
        <v>6060</v>
      </c>
      <c r="T10" s="395">
        <f>F11*E11/(E11+E26+E27)</f>
        <v>0.84143136165199972</v>
      </c>
      <c r="U10" s="395">
        <f>E14*F14/(E14+E28)</f>
        <v>0.75618940458104134</v>
      </c>
    </row>
    <row r="11" spans="2:24" ht="15.75" x14ac:dyDescent="0.25">
      <c r="B11" s="521" t="s">
        <v>6061</v>
      </c>
      <c r="C11" s="522" t="s">
        <v>761</v>
      </c>
      <c r="D11" s="516">
        <f t="shared" si="0"/>
        <v>414590.22000000003</v>
      </c>
      <c r="E11" s="1383">
        <v>336600</v>
      </c>
      <c r="F11" s="1385">
        <v>0.92317469357719406</v>
      </c>
      <c r="G11" s="523" t="s">
        <v>761</v>
      </c>
      <c r="H11" s="523" t="s">
        <v>761</v>
      </c>
      <c r="I11" s="524" t="s">
        <v>761</v>
      </c>
      <c r="J11" s="390">
        <f>1-J10</f>
        <v>0.59488989746175824</v>
      </c>
      <c r="M11" s="38"/>
      <c r="N11" s="38"/>
      <c r="O11" s="38" t="s">
        <v>234</v>
      </c>
      <c r="P11" s="391">
        <f>E9*F9</f>
        <v>363473.09210064495</v>
      </c>
      <c r="Q11" s="601">
        <f>E12*F12</f>
        <v>349492.17566450115</v>
      </c>
      <c r="R11" s="273"/>
      <c r="S11" s="38" t="s">
        <v>6062</v>
      </c>
      <c r="T11" s="395">
        <f>F10</f>
        <v>0.233743307812772</v>
      </c>
      <c r="U11" s="395">
        <f>F13</f>
        <v>0.9835986371352764</v>
      </c>
    </row>
    <row r="12" spans="2:24" ht="16.5" thickBot="1" x14ac:dyDescent="0.3">
      <c r="B12" s="515" t="s">
        <v>6063</v>
      </c>
      <c r="C12" s="1160">
        <v>685740</v>
      </c>
      <c r="D12" s="1161">
        <f t="shared" si="0"/>
        <v>455852.17</v>
      </c>
      <c r="E12" s="386">
        <f>SUM(E13:E14)</f>
        <v>370100</v>
      </c>
      <c r="F12" s="517">
        <f>(F13*E13+F14*E14)/E12</f>
        <v>0.94431822659957076</v>
      </c>
      <c r="G12" s="518">
        <f>(D12*(1-F12))/(C12*0.5)</f>
        <v>7.4029974141902016E-2</v>
      </c>
      <c r="H12" s="518">
        <f>(D12*F12)/(C12*0.5)</f>
        <v>1.255488998063307</v>
      </c>
      <c r="I12" s="519">
        <f>D12/C12</f>
        <v>0.66475948610260449</v>
      </c>
      <c r="J12" s="1383">
        <v>404700</v>
      </c>
      <c r="L12" s="520">
        <f>H12/(H12+G12)</f>
        <v>0.94431822659957088</v>
      </c>
      <c r="M12" s="38"/>
      <c r="N12" s="38"/>
      <c r="O12" s="38"/>
      <c r="P12" s="392">
        <f>SUM(P10:P11)</f>
        <v>594900</v>
      </c>
      <c r="Q12" s="602">
        <f>SUM(Q10:Q11)</f>
        <v>402300</v>
      </c>
      <c r="R12" s="279"/>
      <c r="S12" s="38"/>
    </row>
    <row r="13" spans="2:24" ht="16.5" thickBot="1" x14ac:dyDescent="0.3">
      <c r="B13" s="521" t="s">
        <v>6058</v>
      </c>
      <c r="C13" s="522" t="s">
        <v>761</v>
      </c>
      <c r="D13" s="516">
        <f t="shared" si="0"/>
        <v>245231.47</v>
      </c>
      <c r="E13" s="1383">
        <v>199100</v>
      </c>
      <c r="F13" s="1385">
        <v>0.9835986371352764</v>
      </c>
      <c r="G13" s="523" t="s">
        <v>761</v>
      </c>
      <c r="H13" s="523" t="s">
        <v>761</v>
      </c>
      <c r="I13" s="524" t="s">
        <v>761</v>
      </c>
      <c r="J13" s="1384">
        <v>0.4949043002734278</v>
      </c>
      <c r="K13" s="1381" t="s">
        <v>6059</v>
      </c>
      <c r="L13" s="38"/>
      <c r="M13" s="38"/>
      <c r="N13" s="38"/>
      <c r="O13" s="38"/>
      <c r="P13" s="381">
        <f>P11/P12</f>
        <v>0.61098183240989234</v>
      </c>
      <c r="Q13" s="382">
        <f>Q11/Q12</f>
        <v>0.86873521169401235</v>
      </c>
      <c r="R13" s="393"/>
      <c r="S13" s="38"/>
    </row>
    <row r="14" spans="2:24" ht="15.75" x14ac:dyDescent="0.25">
      <c r="B14" s="521" t="s">
        <v>6061</v>
      </c>
      <c r="C14" s="522" t="s">
        <v>761</v>
      </c>
      <c r="D14" s="516">
        <f t="shared" si="0"/>
        <v>210620.7</v>
      </c>
      <c r="E14" s="1383">
        <v>171000</v>
      </c>
      <c r="F14" s="1385">
        <v>0.89858296497583401</v>
      </c>
      <c r="G14" s="523" t="s">
        <v>761</v>
      </c>
      <c r="H14" s="523" t="s">
        <v>761</v>
      </c>
      <c r="I14" s="524" t="s">
        <v>761</v>
      </c>
      <c r="J14" s="390">
        <f>1-J13</f>
        <v>0.5050956997265722</v>
      </c>
      <c r="L14" s="38"/>
      <c r="M14" s="38"/>
      <c r="N14" s="38"/>
      <c r="O14" s="38"/>
      <c r="P14" s="38"/>
      <c r="Q14" s="38"/>
      <c r="R14" s="38"/>
      <c r="S14" s="38"/>
    </row>
    <row r="15" spans="2:24" ht="15.75" x14ac:dyDescent="0.25">
      <c r="B15" s="515" t="s">
        <v>6064</v>
      </c>
      <c r="C15" s="525" t="s">
        <v>6065</v>
      </c>
      <c r="D15" s="516"/>
      <c r="E15" s="394"/>
      <c r="F15" s="526"/>
      <c r="G15" s="1388">
        <v>2.7736925544140742E-2</v>
      </c>
      <c r="H15" s="1388">
        <v>2.006711149932717</v>
      </c>
      <c r="I15" s="1389">
        <v>1.0172240377384287</v>
      </c>
      <c r="J15" s="388"/>
    </row>
    <row r="16" spans="2:24" ht="15.75" x14ac:dyDescent="0.25">
      <c r="B16" s="515"/>
      <c r="C16" s="527"/>
      <c r="D16" s="516"/>
      <c r="E16" s="394"/>
      <c r="F16" s="526"/>
      <c r="G16" s="528"/>
      <c r="H16" s="528"/>
      <c r="I16" s="519"/>
      <c r="J16" s="388"/>
      <c r="L16" s="529" t="s">
        <v>6066</v>
      </c>
      <c r="M16" s="530"/>
      <c r="N16" s="530"/>
      <c r="O16" s="530"/>
    </row>
    <row r="17" spans="2:20" ht="15.75" x14ac:dyDescent="0.25">
      <c r="B17" s="511" t="s">
        <v>6067</v>
      </c>
      <c r="C17" s="1162">
        <v>125602</v>
      </c>
      <c r="D17" s="516">
        <f>E17*1.2317</f>
        <v>2340.2299999999996</v>
      </c>
      <c r="E17" s="1283">
        <f>L17/(L17+L22)*J17</f>
        <v>1899.9999999999998</v>
      </c>
      <c r="F17" s="1386">
        <v>1</v>
      </c>
      <c r="I17" s="47"/>
      <c r="J17" s="386">
        <f>(L17+L22)*1000</f>
        <v>6300.0000000000009</v>
      </c>
      <c r="L17" s="1382">
        <v>1.9</v>
      </c>
      <c r="M17" s="395">
        <f>L17/(L17+L22)</f>
        <v>0.30158730158730152</v>
      </c>
      <c r="O17" s="38"/>
      <c r="Q17" s="534"/>
    </row>
    <row r="18" spans="2:20" ht="15.75" x14ac:dyDescent="0.25">
      <c r="B18" s="521" t="s">
        <v>6068</v>
      </c>
      <c r="C18" s="525" t="s">
        <v>6069</v>
      </c>
      <c r="D18" s="516"/>
      <c r="E18" s="386"/>
      <c r="F18" s="47"/>
      <c r="G18" s="518">
        <f>(D17*(1-F17))/(C17*0.5)</f>
        <v>0</v>
      </c>
      <c r="H18" s="518">
        <f>(D17*F17)/(C17*0.5)</f>
        <v>3.7264215537969131E-2</v>
      </c>
      <c r="I18" s="519">
        <f>D17/C17</f>
        <v>1.8632107768984565E-2</v>
      </c>
      <c r="J18" s="388"/>
    </row>
    <row r="19" spans="2:20" ht="15.75" x14ac:dyDescent="0.25">
      <c r="B19" s="521" t="s">
        <v>6070</v>
      </c>
      <c r="C19" s="525" t="s">
        <v>6069</v>
      </c>
      <c r="D19" s="516"/>
      <c r="E19" s="386"/>
      <c r="F19" s="526"/>
      <c r="G19" s="518">
        <f>G18</f>
        <v>0</v>
      </c>
      <c r="H19" s="518">
        <f>H18</f>
        <v>3.7264215537969131E-2</v>
      </c>
      <c r="I19" s="519">
        <f>I18</f>
        <v>1.8632107768984565E-2</v>
      </c>
      <c r="P19" s="2547" t="s">
        <v>6071</v>
      </c>
      <c r="Q19" s="2547"/>
    </row>
    <row r="20" spans="2:20" ht="15.75" x14ac:dyDescent="0.25">
      <c r="B20" s="521" t="s">
        <v>6072</v>
      </c>
      <c r="C20" s="525" t="s">
        <v>6069</v>
      </c>
      <c r="D20" s="516"/>
      <c r="E20" s="386"/>
      <c r="F20" s="526"/>
      <c r="G20" s="518">
        <f>G18</f>
        <v>0</v>
      </c>
      <c r="H20" s="518">
        <f>H18</f>
        <v>3.7264215537969131E-2</v>
      </c>
      <c r="I20" s="519">
        <f>I18</f>
        <v>1.8632107768984565E-2</v>
      </c>
      <c r="P20" s="2332">
        <v>388894</v>
      </c>
      <c r="Q20" s="509" t="s">
        <v>6073</v>
      </c>
    </row>
    <row r="21" spans="2:20" ht="15.75" x14ac:dyDescent="0.25">
      <c r="B21" s="521"/>
      <c r="C21" s="527"/>
      <c r="D21" s="516"/>
      <c r="E21" s="386"/>
      <c r="F21" s="526"/>
      <c r="G21" s="518"/>
      <c r="H21" s="518"/>
      <c r="I21" s="519"/>
      <c r="P21" s="1380">
        <v>84885</v>
      </c>
      <c r="Q21" s="509" t="s">
        <v>6074</v>
      </c>
    </row>
    <row r="22" spans="2:20" ht="15.75" x14ac:dyDescent="0.25">
      <c r="B22" s="521" t="s">
        <v>6075</v>
      </c>
      <c r="C22" s="1798">
        <v>26286</v>
      </c>
      <c r="D22" s="1799">
        <f>E22*1.2317</f>
        <v>5419.4800000000014</v>
      </c>
      <c r="E22" s="1800">
        <f>J17-E17</f>
        <v>4400.0000000000009</v>
      </c>
      <c r="F22" s="1801">
        <f>P22</f>
        <v>0.17916581359663472</v>
      </c>
      <c r="G22" s="1802">
        <f>(D22*(1-F22))/(C22*0.5)</f>
        <v>0.33846872529325961</v>
      </c>
      <c r="H22" s="1802">
        <f>(D22*F22)/(C22*0.5)</f>
        <v>7.3878531801772063E-2</v>
      </c>
      <c r="I22" s="1803">
        <f>D22/C22</f>
        <v>0.20617362854751584</v>
      </c>
      <c r="L22" s="1382">
        <v>4.4000000000000004</v>
      </c>
      <c r="M22" s="395">
        <f>1-M17</f>
        <v>0.69841269841269848</v>
      </c>
      <c r="P22" s="1284">
        <f>P21/SUM(P20:P21)</f>
        <v>0.17916581359663472</v>
      </c>
      <c r="Q22" s="509" t="s">
        <v>6076</v>
      </c>
    </row>
    <row r="23" spans="2:20" ht="18.75" x14ac:dyDescent="0.3">
      <c r="B23" s="2327" t="s">
        <v>858</v>
      </c>
      <c r="C23" s="527"/>
      <c r="D23" s="516"/>
      <c r="E23" s="394"/>
      <c r="F23" s="531"/>
      <c r="G23" s="509"/>
      <c r="H23" s="509"/>
      <c r="I23" s="510"/>
      <c r="O23" s="535"/>
    </row>
    <row r="24" spans="2:20" ht="15.75" x14ac:dyDescent="0.25">
      <c r="B24" s="512"/>
      <c r="C24" s="527"/>
      <c r="D24" s="723"/>
      <c r="F24" s="531"/>
      <c r="G24" s="509"/>
      <c r="H24" s="509"/>
      <c r="I24" s="510"/>
    </row>
    <row r="25" spans="2:20" ht="15.75" x14ac:dyDescent="0.25">
      <c r="B25" s="511" t="s">
        <v>6052</v>
      </c>
      <c r="C25" s="527"/>
      <c r="E25" s="1283">
        <f>SUM(E26:E28)</f>
        <v>64900</v>
      </c>
      <c r="F25" s="531"/>
      <c r="G25" s="509"/>
      <c r="H25" s="509"/>
      <c r="I25" s="510"/>
      <c r="J25" s="532"/>
      <c r="K25" s="529"/>
      <c r="L25" s="1326"/>
    </row>
    <row r="26" spans="2:20" ht="15.75" x14ac:dyDescent="0.25">
      <c r="B26" s="521" t="s">
        <v>6077</v>
      </c>
      <c r="C26" s="1163">
        <v>16632</v>
      </c>
      <c r="D26" s="1159">
        <f t="shared" ref="D26:D28" si="1">E26*1.2317</f>
        <v>18968.18</v>
      </c>
      <c r="E26" s="1387">
        <v>15400</v>
      </c>
      <c r="F26" s="526"/>
      <c r="G26" s="518">
        <f>D26/(C26*0.5)</f>
        <v>2.280925925925926</v>
      </c>
      <c r="H26" s="518">
        <v>0</v>
      </c>
      <c r="I26" s="519"/>
      <c r="K26" s="533"/>
      <c r="N26" s="520"/>
      <c r="P26" s="397"/>
      <c r="S26" s="534"/>
      <c r="T26" s="534"/>
    </row>
    <row r="27" spans="2:20" ht="15.75" x14ac:dyDescent="0.25">
      <c r="B27" s="521" t="s">
        <v>5056</v>
      </c>
      <c r="C27" s="1163">
        <v>26308</v>
      </c>
      <c r="D27" s="1159">
        <f t="shared" si="1"/>
        <v>21308.41</v>
      </c>
      <c r="E27" s="1387">
        <v>17300</v>
      </c>
      <c r="F27" s="526"/>
      <c r="G27" s="518">
        <f>D27/(C27*0.5)</f>
        <v>1.619918655922153</v>
      </c>
      <c r="H27" s="518">
        <v>0</v>
      </c>
      <c r="I27" s="519"/>
      <c r="J27" s="535"/>
      <c r="K27" s="1326"/>
      <c r="M27" s="163"/>
    </row>
    <row r="28" spans="2:20" ht="15.75" x14ac:dyDescent="0.25">
      <c r="B28" s="521" t="s">
        <v>5058</v>
      </c>
      <c r="C28" s="1164">
        <v>83830</v>
      </c>
      <c r="D28" s="1161">
        <f t="shared" si="1"/>
        <v>39660.74</v>
      </c>
      <c r="E28" s="1387">
        <v>32200</v>
      </c>
      <c r="F28" s="526"/>
      <c r="G28" s="518">
        <f>D28/(C28*0.5)</f>
        <v>0.94621829893832754</v>
      </c>
      <c r="H28" s="518">
        <v>0</v>
      </c>
      <c r="I28" s="519"/>
      <c r="J28" s="532"/>
      <c r="K28" s="536"/>
    </row>
    <row r="29" spans="2:20" ht="15.75" x14ac:dyDescent="0.25">
      <c r="B29" s="521"/>
      <c r="C29" s="527"/>
      <c r="D29" s="516"/>
      <c r="E29" s="394"/>
      <c r="F29" s="526"/>
      <c r="G29" s="518"/>
      <c r="H29" s="518"/>
      <c r="I29" s="519"/>
      <c r="L29" s="38"/>
    </row>
    <row r="30" spans="2:20" ht="15.75" x14ac:dyDescent="0.25">
      <c r="B30" s="511" t="s">
        <v>6078</v>
      </c>
      <c r="C30" s="1165">
        <v>143304</v>
      </c>
      <c r="D30" s="516">
        <f>E30*1.2317</f>
        <v>273930.08</v>
      </c>
      <c r="E30" s="1383">
        <v>222400</v>
      </c>
      <c r="F30" s="396">
        <v>0</v>
      </c>
      <c r="G30" s="537"/>
      <c r="H30" s="537"/>
      <c r="I30" s="47"/>
    </row>
    <row r="31" spans="2:20" ht="15.75" x14ac:dyDescent="0.25">
      <c r="B31" s="521" t="s">
        <v>6068</v>
      </c>
      <c r="C31" s="525" t="s">
        <v>6079</v>
      </c>
      <c r="D31" s="516"/>
      <c r="E31" s="394"/>
      <c r="F31" s="526"/>
      <c r="G31" s="518">
        <f>(D30*(1-F30))/(C30*0.5)</f>
        <v>3.8230625802489815</v>
      </c>
      <c r="H31" s="518">
        <f>(D30*F30)/(C30*0.5)</f>
        <v>0</v>
      </c>
      <c r="I31" s="519">
        <f>D30/C30</f>
        <v>1.9115312901244907</v>
      </c>
    </row>
    <row r="32" spans="2:20" ht="15.75" x14ac:dyDescent="0.25">
      <c r="B32" s="521" t="s">
        <v>6070</v>
      </c>
      <c r="C32" s="525" t="s">
        <v>6079</v>
      </c>
      <c r="D32" s="516"/>
      <c r="E32" s="394"/>
      <c r="F32" s="526"/>
      <c r="G32" s="518">
        <f>G31</f>
        <v>3.8230625802489815</v>
      </c>
      <c r="H32" s="518">
        <f>H31</f>
        <v>0</v>
      </c>
      <c r="I32" s="519">
        <f>I31</f>
        <v>1.9115312901244907</v>
      </c>
    </row>
    <row r="33" spans="2:9" ht="15.75" x14ac:dyDescent="0.25">
      <c r="B33" s="521" t="s">
        <v>6072</v>
      </c>
      <c r="C33" s="525" t="s">
        <v>6079</v>
      </c>
      <c r="D33" s="516"/>
      <c r="E33" s="394"/>
      <c r="F33" s="526"/>
      <c r="G33" s="518">
        <f>G31</f>
        <v>3.8230625802489815</v>
      </c>
      <c r="H33" s="518">
        <f>H31</f>
        <v>0</v>
      </c>
      <c r="I33" s="519">
        <f>I31</f>
        <v>1.9115312901244907</v>
      </c>
    </row>
    <row r="34" spans="2:9" ht="15.75" x14ac:dyDescent="0.25">
      <c r="B34" s="521"/>
      <c r="C34" s="525"/>
      <c r="D34" s="516"/>
      <c r="E34" s="394"/>
      <c r="F34" s="526"/>
      <c r="G34" s="518"/>
      <c r="H34" s="518"/>
      <c r="I34" s="519"/>
    </row>
    <row r="35" spans="2:9" ht="15.75" x14ac:dyDescent="0.25">
      <c r="B35" s="1804" t="s">
        <v>6075</v>
      </c>
      <c r="C35" s="1805">
        <v>19762</v>
      </c>
      <c r="D35" s="1806" t="s">
        <v>761</v>
      </c>
      <c r="E35" s="1806" t="s">
        <v>761</v>
      </c>
      <c r="F35" s="1807" t="s">
        <v>761</v>
      </c>
      <c r="G35" s="1802">
        <f>I22</f>
        <v>0.20617362854751584</v>
      </c>
      <c r="H35" s="1802">
        <v>0</v>
      </c>
      <c r="I35" s="1803"/>
    </row>
    <row r="36" spans="2:9" ht="16.5" x14ac:dyDescent="0.25">
      <c r="B36" s="509"/>
      <c r="C36" s="538"/>
      <c r="D36" s="538"/>
      <c r="E36" s="538"/>
      <c r="I36" s="509"/>
    </row>
    <row r="37" spans="2:9" x14ac:dyDescent="0.2">
      <c r="C37" s="2333" t="s">
        <v>6080</v>
      </c>
      <c r="D37" s="2334" t="s">
        <v>6081</v>
      </c>
      <c r="E37" s="2334" t="s">
        <v>6082</v>
      </c>
      <c r="F37" s="2037" t="s">
        <v>6083</v>
      </c>
    </row>
    <row r="38" spans="2:9" ht="15.75" x14ac:dyDescent="0.25">
      <c r="C38" s="1808" t="s">
        <v>6084</v>
      </c>
      <c r="D38" s="1809">
        <f>D9+D26+D27</f>
        <v>732738.33000000007</v>
      </c>
      <c r="E38" s="1810">
        <f>D12+D28</f>
        <v>495512.91</v>
      </c>
      <c r="F38" s="1811">
        <f>D38+E38</f>
        <v>1228251.24</v>
      </c>
    </row>
  </sheetData>
  <mergeCells count="6">
    <mergeCell ref="P19:Q19"/>
    <mergeCell ref="G4:I4"/>
    <mergeCell ref="P7:S7"/>
    <mergeCell ref="U7:V7"/>
    <mergeCell ref="W7:X7"/>
    <mergeCell ref="P9:Q9"/>
  </mergeCells>
  <pageMargins left="0.23" right="0.52" top="0.75" bottom="0.88" header="0.5" footer="0.5"/>
  <pageSetup scale="86" orientation="landscape" r:id="rId1"/>
  <headerFooter alignWithMargins="0">
    <oddFooter>&amp;L&amp;F  &amp;D</oddFooter>
  </headerFooter>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4">
    <tabColor rgb="FFFF0000"/>
    <pageSetUpPr fitToPage="1"/>
  </sheetPr>
  <dimension ref="A1:AL157"/>
  <sheetViews>
    <sheetView topLeftCell="R34" zoomScale="120" zoomScaleNormal="120" workbookViewId="0">
      <selection activeCell="Z61" sqref="Z61"/>
    </sheetView>
  </sheetViews>
  <sheetFormatPr defaultRowHeight="12.75" x14ac:dyDescent="0.2"/>
  <cols>
    <col min="1" max="1" width="42.140625" customWidth="1"/>
    <col min="2" max="2" width="12.140625" customWidth="1"/>
    <col min="3" max="4" width="10.5703125" customWidth="1"/>
    <col min="5" max="6" width="10" customWidth="1"/>
    <col min="8" max="8" width="9.7109375" bestFit="1" customWidth="1"/>
    <col min="9" max="9" width="11.140625" bestFit="1" customWidth="1"/>
    <col min="10" max="10" width="9.7109375" bestFit="1" customWidth="1"/>
    <col min="12" max="12" width="42.5703125" customWidth="1"/>
    <col min="13" max="13" width="17.28515625" customWidth="1"/>
    <col min="14" max="15" width="22.28515625" customWidth="1"/>
    <col min="16" max="16" width="14.28515625" customWidth="1"/>
    <col min="17" max="17" width="14.85546875" customWidth="1"/>
    <col min="18" max="18" width="13.28515625" customWidth="1"/>
    <col min="19" max="19" width="12.28515625" customWidth="1"/>
    <col min="20" max="20" width="13.28515625" customWidth="1"/>
    <col min="21" max="21" width="14.140625" customWidth="1"/>
    <col min="22" max="22" width="11.28515625" customWidth="1"/>
    <col min="23" max="24" width="11.85546875" customWidth="1"/>
    <col min="25" max="25" width="9.5703125" customWidth="1"/>
    <col min="26" max="26" width="23.85546875" customWidth="1"/>
    <col min="27" max="27" width="12.5703125" customWidth="1"/>
  </cols>
  <sheetData>
    <row r="1" spans="1:38" ht="15" customHeight="1" x14ac:dyDescent="0.2"/>
    <row r="2" spans="1:38" ht="15" customHeight="1" x14ac:dyDescent="0.25">
      <c r="A2" s="45" t="s">
        <v>6085</v>
      </c>
      <c r="G2" s="180"/>
      <c r="L2" s="45" t="s">
        <v>6086</v>
      </c>
      <c r="R2" s="37" t="s">
        <v>6087</v>
      </c>
      <c r="AB2" s="35"/>
    </row>
    <row r="3" spans="1:38" ht="15" customHeight="1" x14ac:dyDescent="0.25">
      <c r="A3" s="1"/>
      <c r="R3" s="35"/>
      <c r="AB3" s="35"/>
    </row>
    <row r="4" spans="1:38" ht="15" customHeight="1" x14ac:dyDescent="0.25">
      <c r="A4" s="505" t="s">
        <v>197</v>
      </c>
      <c r="L4" t="str">
        <f>A4</f>
        <v>Estimated fishery impacts from regulations described by the following FRAM run:</v>
      </c>
      <c r="R4" s="505" t="s">
        <v>197</v>
      </c>
      <c r="S4" s="180"/>
      <c r="T4" s="180"/>
      <c r="U4" s="180"/>
      <c r="V4" s="180"/>
      <c r="W4" s="180"/>
      <c r="X4" s="180"/>
      <c r="AB4" s="35"/>
    </row>
    <row r="5" spans="1:38" ht="15" customHeight="1" x14ac:dyDescent="0.2">
      <c r="A5" s="505" t="s">
        <v>122</v>
      </c>
      <c r="B5" s="667" t="str">
        <f>Input_Harvestnew!$B$3</f>
        <v>bc-Coho2229</v>
      </c>
      <c r="L5" t="str">
        <f>A5</f>
        <v>FRAM Run Number:</v>
      </c>
      <c r="M5" t="str">
        <f>B5</f>
        <v>bc-Coho2229</v>
      </c>
      <c r="R5" s="505" t="s">
        <v>122</v>
      </c>
      <c r="S5" s="180"/>
      <c r="T5" s="667" t="str">
        <f>Input_Harvestnew!$B$3</f>
        <v>bc-Coho2229</v>
      </c>
      <c r="U5" s="180"/>
      <c r="V5" s="180"/>
      <c r="W5" s="180"/>
      <c r="X5" s="180"/>
      <c r="AB5" s="37"/>
    </row>
    <row r="6" spans="1:38" ht="15" customHeight="1" x14ac:dyDescent="0.2">
      <c r="A6" s="505" t="s">
        <v>123</v>
      </c>
      <c r="B6" s="505" t="str">
        <f>Input_Harvestnew!$B$4</f>
        <v>Final PFMC April - Adopted+NOF</v>
      </c>
      <c r="L6" t="str">
        <f>A6</f>
        <v>Run Description:</v>
      </c>
      <c r="M6" t="str">
        <f>B6</f>
        <v>Final PFMC April - Adopted+NOF</v>
      </c>
      <c r="R6" s="505" t="s">
        <v>123</v>
      </c>
      <c r="S6" s="41"/>
      <c r="T6" s="505" t="str">
        <f>Input_Harvestnew!$B$4</f>
        <v>Final PFMC April - Adopted+NOF</v>
      </c>
      <c r="U6" s="497"/>
      <c r="V6" s="497"/>
      <c r="W6" s="497"/>
      <c r="X6" s="497"/>
      <c r="AB6" s="39"/>
      <c r="AC6" s="41"/>
      <c r="AD6" s="38"/>
      <c r="AE6" s="38"/>
      <c r="AF6" s="38"/>
      <c r="AG6" s="38"/>
      <c r="AH6" s="38"/>
    </row>
    <row r="7" spans="1:38" ht="15" customHeight="1" x14ac:dyDescent="0.2">
      <c r="A7" s="505" t="s">
        <v>6088</v>
      </c>
      <c r="L7" t="str">
        <f>A7</f>
        <v xml:space="preserve">Impacts are expressed as total fishery-related mortality, incl. landed catch, non-retention mort., and other fishery-related mort. </v>
      </c>
      <c r="R7" s="39"/>
      <c r="S7" s="41"/>
      <c r="T7" s="39"/>
      <c r="U7" s="39"/>
      <c r="V7" s="39"/>
      <c r="W7" s="39"/>
      <c r="X7" s="39"/>
      <c r="Z7" s="1326"/>
      <c r="AB7" s="39"/>
      <c r="AC7" s="41"/>
      <c r="AD7" s="39"/>
      <c r="AE7" s="39"/>
      <c r="AF7" s="39"/>
      <c r="AG7" s="39"/>
      <c r="AH7" s="39"/>
    </row>
    <row r="8" spans="1:38" ht="15" customHeight="1" thickBot="1" x14ac:dyDescent="0.25">
      <c r="A8" s="6"/>
      <c r="B8" s="6"/>
      <c r="C8" s="6"/>
      <c r="D8" s="6"/>
      <c r="E8" s="6"/>
      <c r="F8" s="6"/>
      <c r="G8" s="6"/>
      <c r="H8" s="6"/>
      <c r="I8" s="6"/>
      <c r="J8" s="6"/>
      <c r="K8" s="6"/>
      <c r="L8" s="6"/>
      <c r="M8" s="6"/>
      <c r="N8" s="6"/>
      <c r="O8" s="6"/>
      <c r="P8" s="6"/>
      <c r="Q8" s="6"/>
      <c r="R8" s="180"/>
      <c r="S8" s="180"/>
      <c r="T8" s="627"/>
      <c r="U8" s="627"/>
      <c r="V8" s="627"/>
      <c r="W8" s="627"/>
      <c r="X8" s="627"/>
      <c r="AB8" s="39"/>
      <c r="AC8" s="41"/>
      <c r="AD8" s="40"/>
      <c r="AE8" s="40"/>
      <c r="AF8" s="40"/>
      <c r="AG8" s="40"/>
      <c r="AH8" s="40"/>
    </row>
    <row r="9" spans="1:38" ht="15" customHeight="1" x14ac:dyDescent="0.2">
      <c r="A9" s="2335"/>
      <c r="B9" s="2555" t="s">
        <v>1429</v>
      </c>
      <c r="C9" s="2555"/>
      <c r="D9" s="2556"/>
      <c r="E9" s="2555" t="s">
        <v>1432</v>
      </c>
      <c r="F9" s="2555"/>
      <c r="G9" s="2555"/>
      <c r="H9" s="2557" t="s">
        <v>6049</v>
      </c>
      <c r="I9" s="2558"/>
      <c r="J9" s="2559"/>
      <c r="K9" s="1326"/>
      <c r="L9" s="2336"/>
      <c r="M9" s="2337"/>
      <c r="N9" s="2337"/>
      <c r="O9" s="2337"/>
      <c r="P9" s="2338" t="s">
        <v>6089</v>
      </c>
      <c r="Q9" s="1326"/>
      <c r="R9" s="2147"/>
      <c r="S9" s="2028"/>
      <c r="T9" s="2553" t="s">
        <v>6090</v>
      </c>
      <c r="U9" s="2554"/>
      <c r="V9" s="2339"/>
      <c r="W9" s="2553" t="s">
        <v>6091</v>
      </c>
      <c r="X9" s="2554"/>
      <c r="Z9" s="668"/>
      <c r="AA9" s="669"/>
      <c r="AB9" s="2560" t="s">
        <v>6092</v>
      </c>
      <c r="AC9" s="2561"/>
      <c r="AD9" s="38"/>
      <c r="AE9" s="2147"/>
      <c r="AF9" s="2028"/>
      <c r="AG9" s="2553" t="s">
        <v>6093</v>
      </c>
      <c r="AH9" s="2554"/>
      <c r="AI9" s="2553" t="s">
        <v>6094</v>
      </c>
      <c r="AJ9" s="2554"/>
      <c r="AK9" s="2553" t="s">
        <v>6095</v>
      </c>
      <c r="AL9" s="2554"/>
    </row>
    <row r="10" spans="1:38" ht="15" customHeight="1" thickBot="1" x14ac:dyDescent="0.25">
      <c r="A10" s="670" t="s">
        <v>233</v>
      </c>
      <c r="B10" s="671" t="s">
        <v>234</v>
      </c>
      <c r="C10" s="671" t="s">
        <v>235</v>
      </c>
      <c r="D10" s="672" t="s">
        <v>236</v>
      </c>
      <c r="E10" s="671" t="s">
        <v>234</v>
      </c>
      <c r="F10" s="671" t="s">
        <v>235</v>
      </c>
      <c r="G10" s="671" t="s">
        <v>236</v>
      </c>
      <c r="H10" s="673" t="s">
        <v>234</v>
      </c>
      <c r="I10" s="674" t="s">
        <v>235</v>
      </c>
      <c r="J10" s="675" t="s">
        <v>236</v>
      </c>
      <c r="K10" s="671"/>
      <c r="L10" s="676" t="s">
        <v>233</v>
      </c>
      <c r="M10" s="677" t="s">
        <v>6096</v>
      </c>
      <c r="N10" s="677" t="s">
        <v>6097</v>
      </c>
      <c r="O10" s="677" t="s">
        <v>6098</v>
      </c>
      <c r="P10" s="554" t="s">
        <v>236</v>
      </c>
      <c r="Q10" s="555"/>
      <c r="R10" s="1812" t="s">
        <v>126</v>
      </c>
      <c r="S10" s="1813" t="s">
        <v>544</v>
      </c>
      <c r="T10" s="622" t="s">
        <v>6099</v>
      </c>
      <c r="U10" s="623" t="s">
        <v>6100</v>
      </c>
      <c r="V10" s="497"/>
      <c r="W10" s="622" t="s">
        <v>6099</v>
      </c>
      <c r="X10" s="623" t="s">
        <v>6100</v>
      </c>
      <c r="Z10" s="678" t="s">
        <v>126</v>
      </c>
      <c r="AA10" s="679" t="s">
        <v>544</v>
      </c>
      <c r="AB10" s="315" t="s">
        <v>6099</v>
      </c>
      <c r="AC10" s="316" t="s">
        <v>6100</v>
      </c>
      <c r="AD10" s="38"/>
      <c r="AE10" s="1812" t="s">
        <v>126</v>
      </c>
      <c r="AF10" s="1813" t="s">
        <v>544</v>
      </c>
      <c r="AG10" s="622" t="s">
        <v>6099</v>
      </c>
      <c r="AH10" s="623" t="s">
        <v>6100</v>
      </c>
      <c r="AI10" s="622" t="s">
        <v>6099</v>
      </c>
      <c r="AJ10" s="623" t="s">
        <v>6100</v>
      </c>
      <c r="AK10" s="622" t="s">
        <v>6099</v>
      </c>
      <c r="AL10" s="623" t="s">
        <v>6100</v>
      </c>
    </row>
    <row r="11" spans="1:38" ht="15" customHeight="1" x14ac:dyDescent="0.2">
      <c r="A11" s="2340" t="s">
        <v>6101</v>
      </c>
      <c r="B11" s="2340">
        <f>SUM(TRunsPRN!D63)</f>
        <v>184007.42172373398</v>
      </c>
      <c r="C11" s="2341">
        <f>SUM(TRunsPRN!D62)</f>
        <v>195239.78035896231</v>
      </c>
      <c r="D11" s="2038">
        <f>SUM(B11:C11)</f>
        <v>379247.20208269625</v>
      </c>
      <c r="E11" s="2340">
        <f>SUM(TRunsPRN!D66)</f>
        <v>196092.13483391071</v>
      </c>
      <c r="F11" s="2341">
        <f>SUM(TRunsPRN!D65)</f>
        <v>44992.486870012232</v>
      </c>
      <c r="G11" s="2038">
        <f>SUM(E11:F11)</f>
        <v>241084.62170392292</v>
      </c>
      <c r="H11" s="2342">
        <f>B11+E11</f>
        <v>380099.55655764468</v>
      </c>
      <c r="I11" s="2343">
        <f>C11+F11</f>
        <v>240232.26722897455</v>
      </c>
      <c r="J11" s="2039">
        <f>D11+G11</f>
        <v>620331.82378661912</v>
      </c>
      <c r="K11" s="36"/>
      <c r="L11" s="2340" t="s">
        <v>6101</v>
      </c>
      <c r="M11" s="2344">
        <f>TRunsPRN!D219</f>
        <v>12992.266968445121</v>
      </c>
      <c r="N11" s="2344">
        <f>TRunsPRN!D220</f>
        <v>14594.096352161767</v>
      </c>
      <c r="O11" s="2344">
        <f>TRunsPRN!D221</f>
        <v>27437.367422636718</v>
      </c>
      <c r="P11" s="2345">
        <f>SUM(M11:O11)</f>
        <v>55023.730743243606</v>
      </c>
      <c r="Q11" s="2345"/>
      <c r="R11" s="2346" t="s">
        <v>5633</v>
      </c>
      <c r="S11" s="2040" t="s">
        <v>5634</v>
      </c>
      <c r="T11" s="2346">
        <f>SUM(Table2PRN!G8395:G8399)</f>
        <v>0</v>
      </c>
      <c r="U11" s="2041">
        <f>T11/SUM($T$11:$T$38,$T$42)</f>
        <v>0</v>
      </c>
      <c r="V11" s="2339"/>
      <c r="W11" s="2346">
        <f>SUM(Table2PRN!G8605:G8609)</f>
        <v>0</v>
      </c>
      <c r="X11" s="2041">
        <f>W11/SUM($W$11:$W$38,$W$42)</f>
        <v>0</v>
      </c>
      <c r="Z11" s="317" t="s">
        <v>5633</v>
      </c>
      <c r="AA11" s="680" t="s">
        <v>5634</v>
      </c>
      <c r="AB11" s="681">
        <f>P21</f>
        <v>0</v>
      </c>
      <c r="AC11" s="682">
        <f>AB11/SUM($AB$12:$AB$36,$AB$42)</f>
        <v>0</v>
      </c>
      <c r="AD11" s="683"/>
      <c r="AE11" s="2346" t="s">
        <v>5633</v>
      </c>
      <c r="AF11" s="2040" t="s">
        <v>5634</v>
      </c>
      <c r="AG11" s="2346">
        <f>T11*$T$47/($T$47+$T$48+$T$49)</f>
        <v>0</v>
      </c>
      <c r="AH11" s="2041">
        <f>AG11/SUM($AG$11:$AG$38,$AG$42)</f>
        <v>0</v>
      </c>
      <c r="AI11" s="2346">
        <f>T11*$T$48/($T$47+$T$48+$T$49)</f>
        <v>0</v>
      </c>
      <c r="AJ11" s="2041">
        <f>AI11/SUM($AI$11:$AI$38,$AI$42)</f>
        <v>0</v>
      </c>
      <c r="AK11" s="2346">
        <f>T11*$T$49/($T$47+$T$48+$T$49)</f>
        <v>0</v>
      </c>
      <c r="AL11" s="2041">
        <f>AK11/SUM($AK$11:$AK$38,$AK$42)</f>
        <v>0</v>
      </c>
    </row>
    <row r="12" spans="1:38" ht="15" customHeight="1" x14ac:dyDescent="0.2">
      <c r="A12" s="684" t="s">
        <v>6102</v>
      </c>
      <c r="B12" s="685">
        <f t="shared" ref="B12:J12" si="0">SUM(B18:B39)/SUM(B11,B18:B39)</f>
        <v>0.50430560334245988</v>
      </c>
      <c r="C12" s="549">
        <f t="shared" si="0"/>
        <v>0.16183720795272688</v>
      </c>
      <c r="D12" s="686">
        <f t="shared" si="0"/>
        <v>0.37226234715644846</v>
      </c>
      <c r="E12" s="685">
        <f t="shared" si="0"/>
        <v>0.45091631301330654</v>
      </c>
      <c r="F12" s="549">
        <f t="shared" si="0"/>
        <v>0.15366387362291847</v>
      </c>
      <c r="G12" s="686">
        <f t="shared" si="0"/>
        <v>0.41240093790132054</v>
      </c>
      <c r="H12" s="685">
        <f t="shared" si="0"/>
        <v>0.47812720470695452</v>
      </c>
      <c r="I12" s="549">
        <f t="shared" si="0"/>
        <v>0.16031848121893702</v>
      </c>
      <c r="J12" s="686">
        <f t="shared" si="0"/>
        <v>0.38849634670093336</v>
      </c>
      <c r="K12" s="549"/>
      <c r="L12" s="684" t="s">
        <v>6102</v>
      </c>
      <c r="M12" s="687">
        <f>SUM(M20:M41)/SUM(M11,M20:M41)</f>
        <v>0.16174958500321263</v>
      </c>
      <c r="N12" s="687">
        <f>SUM(N20:N41)/SUM(N11,N20:N41)</f>
        <v>0.16184151195844584</v>
      </c>
      <c r="O12" s="687">
        <f>SUM(O20:O41)/SUM(O11,O20:O41)</f>
        <v>0.15367357219071875</v>
      </c>
      <c r="P12" s="688">
        <f>SUM(P20:P41)/SUM(P11,P20:P41)</f>
        <v>0.15776648879847302</v>
      </c>
      <c r="Q12" s="688"/>
      <c r="R12" s="624" t="s">
        <v>5636</v>
      </c>
      <c r="S12" s="625" t="s">
        <v>5634</v>
      </c>
      <c r="T12" s="182">
        <f>SUM(Table2PRN!G8368:G8394)</f>
        <v>650</v>
      </c>
      <c r="U12" s="626">
        <f>T12/SUM($T$11:$T$38,$T$42)</f>
        <v>2.9092536645406735E-3</v>
      </c>
      <c r="V12" s="497"/>
      <c r="W12" s="182">
        <f>SUM(Table2PRN!G8578:G8604)</f>
        <v>3</v>
      </c>
      <c r="X12" s="626">
        <f>W12/SUM($W$11:$W$38,$W$42)</f>
        <v>8.3171610756861659E-4</v>
      </c>
      <c r="Z12" s="318" t="s">
        <v>5636</v>
      </c>
      <c r="AA12" s="683" t="s">
        <v>5634</v>
      </c>
      <c r="AB12" s="689">
        <f>P20</f>
        <v>97</v>
      </c>
      <c r="AC12" s="690">
        <f>AB12/SUM($AB$12:$AB$36,$AB$42)</f>
        <v>1.4828917688934581E-3</v>
      </c>
      <c r="AD12" s="683"/>
      <c r="AE12" s="624" t="s">
        <v>5636</v>
      </c>
      <c r="AF12" s="625" t="s">
        <v>5634</v>
      </c>
      <c r="AG12" s="182">
        <f>T12*$T$47/($T$47+$T$48+$T$49)</f>
        <v>101.57488419096447</v>
      </c>
      <c r="AH12" s="626">
        <f>AG12/SUM($AG$11:$AG$38,$AG$42)</f>
        <v>2.940110071983539E-3</v>
      </c>
      <c r="AI12" s="182">
        <f>T12*$T$48/($T$47+$T$48+$T$49)</f>
        <v>204.30274018771109</v>
      </c>
      <c r="AJ12" s="626">
        <f>AI12/SUM($AI$11:$AI$38,$AI$42)</f>
        <v>2.9133713023193363E-3</v>
      </c>
      <c r="AK12" s="182">
        <f>T12*$T$49/($T$47+$T$48+$T$49)</f>
        <v>344.12237562132447</v>
      </c>
      <c r="AL12" s="626">
        <f>AK12/SUM($AK$11:$AK$38,$AK$42)</f>
        <v>2.8978420924224554E-3</v>
      </c>
    </row>
    <row r="13" spans="1:38" ht="15" customHeight="1" x14ac:dyDescent="0.2">
      <c r="A13" s="684" t="s">
        <v>6103</v>
      </c>
      <c r="B13" s="691">
        <f t="shared" ref="B13:J13" si="1">SUM(B18:B26,B28:B39)/SUM(B11,B18:B39)</f>
        <v>0.38250708811883943</v>
      </c>
      <c r="C13" s="692">
        <f t="shared" si="1"/>
        <v>0.13194510548111466</v>
      </c>
      <c r="D13" s="693">
        <f t="shared" si="1"/>
        <v>0.28589957481456241</v>
      </c>
      <c r="E13" s="691">
        <f t="shared" si="1"/>
        <v>0.42073930005117177</v>
      </c>
      <c r="F13" s="692">
        <f t="shared" si="1"/>
        <v>0.14448429591108297</v>
      </c>
      <c r="G13" s="693">
        <f t="shared" si="1"/>
        <v>0.38494458922276059</v>
      </c>
      <c r="H13" s="694">
        <f t="shared" si="1"/>
        <v>0.40125350858090741</v>
      </c>
      <c r="I13" s="539">
        <f t="shared" si="1"/>
        <v>0.13427507302650454</v>
      </c>
      <c r="J13" s="695">
        <f t="shared" si="1"/>
        <v>0.32595819892038269</v>
      </c>
      <c r="K13" s="696"/>
      <c r="L13" s="359" t="s">
        <v>6103</v>
      </c>
      <c r="M13" s="697">
        <f>SUM(M20:M28,M30:M41)/SUM(M11,M20:M41)</f>
        <v>0.13200624288654689</v>
      </c>
      <c r="N13" s="697">
        <f>SUM(N20:N28,N30:N41)/SUM(N11,N20:N41)</f>
        <v>0.13209207860341571</v>
      </c>
      <c r="O13" s="697">
        <f>SUM(O20:O28,O30:O41)/SUM(O11,O20:O41)</f>
        <v>0.14451238171688427</v>
      </c>
      <c r="P13" s="611">
        <f>SUM(P20:P28,P30:P41)/SUM(P11,P20:P41)</f>
        <v>0.1382350985096546</v>
      </c>
      <c r="Q13" s="556"/>
      <c r="R13" s="1812" t="s">
        <v>6104</v>
      </c>
      <c r="S13" s="1814"/>
      <c r="T13" s="1812">
        <f>SUM(Table2PRN!G8245,Table2PRN!G8281:G8367)</f>
        <v>61</v>
      </c>
      <c r="U13" s="1815">
        <f>T13/SUM($T$11:$T$38,$T$42)</f>
        <v>2.7302226697997089E-4</v>
      </c>
      <c r="V13" s="1724"/>
      <c r="W13" s="1812">
        <f>SUM(Table2PRN!G8455,Table2PRN!G8491:G8576)</f>
        <v>0</v>
      </c>
      <c r="X13" s="1815">
        <f>W13/SUM($W$11:$W$38,$W$42)</f>
        <v>0</v>
      </c>
      <c r="Z13" s="621" t="s">
        <v>6105</v>
      </c>
      <c r="AA13" s="1816"/>
      <c r="AB13" s="698">
        <f>SUM(P34:P37,P39:P41)</f>
        <v>126</v>
      </c>
      <c r="AC13" s="1912">
        <f>AB13/SUM($AB$12:$AB$36,$AB$42)</f>
        <v>1.9262305451605744E-3</v>
      </c>
      <c r="AD13" s="683"/>
      <c r="AE13" s="1812" t="s">
        <v>6104</v>
      </c>
      <c r="AF13" s="1814"/>
      <c r="AG13" s="1812">
        <f>T13*$T$47/($T$47+$T$48+$T$49)</f>
        <v>9.5324122086905128</v>
      </c>
      <c r="AH13" s="1815">
        <f>AG13/SUM($AG$11:$AG$38,$AG$42)</f>
        <v>2.7591802213999367E-4</v>
      </c>
      <c r="AI13" s="1812">
        <f>T13*$T$48/($T$47+$T$48+$T$49)</f>
        <v>19.173026386846736</v>
      </c>
      <c r="AJ13" s="1815">
        <f>AI13/SUM($AI$11:$AI$38,$AI$42)</f>
        <v>2.7340869144843008E-4</v>
      </c>
      <c r="AK13" s="1812">
        <f>T13*$T$49/($T$47+$T$48+$T$49)</f>
        <v>32.294561404462755</v>
      </c>
      <c r="AL13" s="1815">
        <f>AK13/SUM($AK$11:$AK$38,$AK$42)</f>
        <v>2.719513348273381E-4</v>
      </c>
    </row>
    <row r="14" spans="1:38" ht="15" customHeight="1" x14ac:dyDescent="0.2">
      <c r="A14" s="684" t="s">
        <v>6106</v>
      </c>
      <c r="B14" s="263">
        <f t="shared" ref="B14:J14" si="2">SUM(B20:B26,B28:B30)/SUM(B11,B18:B39)</f>
        <v>0.37707083297714866</v>
      </c>
      <c r="C14" s="206">
        <f t="shared" si="2"/>
        <v>0.12982436749160203</v>
      </c>
      <c r="D14" s="207">
        <f t="shared" si="2"/>
        <v>0.28174166151874025</v>
      </c>
      <c r="E14" s="263">
        <f t="shared" si="2"/>
        <v>0.41189648600882034</v>
      </c>
      <c r="F14" s="206">
        <f t="shared" si="2"/>
        <v>0.13964996912431715</v>
      </c>
      <c r="G14" s="207">
        <f t="shared" si="2"/>
        <v>0.37662115995180789</v>
      </c>
      <c r="H14" s="694">
        <f t="shared" si="2"/>
        <v>0.39414691363273063</v>
      </c>
      <c r="I14" s="699">
        <f t="shared" si="2"/>
        <v>0.13165010999435897</v>
      </c>
      <c r="J14" s="700">
        <f t="shared" si="2"/>
        <v>0.32011554823872063</v>
      </c>
      <c r="K14" s="696"/>
      <c r="L14" s="684" t="s">
        <v>6107</v>
      </c>
      <c r="M14" s="697">
        <f>SUM(M22:M28,M30:M32)/SUM(M11,M20:M41)</f>
        <v>0.12994162911706034</v>
      </c>
      <c r="N14" s="697">
        <f>SUM(N22:N28,N30:N32)/SUM(N11,N20:N41)</f>
        <v>0.13008198175510285</v>
      </c>
      <c r="O14" s="697">
        <f>SUM(O22:O28,O30:O32)/SUM(O11,O20:O41)</f>
        <v>0.13970044328618331</v>
      </c>
      <c r="P14" s="701">
        <f>SUM(P22:P28,P30:P32)/SUM(P11,P20:P41)</f>
        <v>0.13482169722877174</v>
      </c>
      <c r="Q14" s="701"/>
      <c r="R14" s="624" t="s">
        <v>5641</v>
      </c>
      <c r="S14" s="625"/>
      <c r="T14" s="624"/>
      <c r="U14" s="626"/>
      <c r="V14" s="497"/>
      <c r="W14" s="624"/>
      <c r="X14" s="626"/>
      <c r="Z14" s="61" t="s">
        <v>5641</v>
      </c>
      <c r="AA14" s="683"/>
      <c r="AB14" s="689"/>
      <c r="AC14" s="690"/>
      <c r="AD14" s="683"/>
      <c r="AE14" s="624" t="s">
        <v>5641</v>
      </c>
      <c r="AF14" s="625"/>
      <c r="AG14" s="624"/>
      <c r="AH14" s="626"/>
      <c r="AI14" s="624"/>
      <c r="AJ14" s="626"/>
      <c r="AK14" s="624"/>
      <c r="AL14" s="626"/>
    </row>
    <row r="15" spans="1:38" ht="15" customHeight="1" x14ac:dyDescent="0.2">
      <c r="A15" s="684" t="s">
        <v>6108</v>
      </c>
      <c r="B15" s="685">
        <f t="shared" ref="B15:J15" si="3">SUM(B20:B39)/SUM(B11,B18:B39)</f>
        <v>0.50046951448132626</v>
      </c>
      <c r="C15" s="549">
        <f t="shared" si="3"/>
        <v>0.16073390903915452</v>
      </c>
      <c r="D15" s="686">
        <f t="shared" si="3"/>
        <v>0.36947992189758017</v>
      </c>
      <c r="E15" s="685">
        <f t="shared" si="3"/>
        <v>0.44653130769654831</v>
      </c>
      <c r="F15" s="549">
        <f t="shared" si="3"/>
        <v>0.15166994895600339</v>
      </c>
      <c r="G15" s="686">
        <f t="shared" si="3"/>
        <v>0.4083257479332289</v>
      </c>
      <c r="H15" s="685">
        <f t="shared" si="3"/>
        <v>0.47402196535319702</v>
      </c>
      <c r="I15" s="549">
        <f t="shared" si="3"/>
        <v>0.1590496908318946</v>
      </c>
      <c r="J15" s="686">
        <f t="shared" si="3"/>
        <v>0.38519106447795159</v>
      </c>
      <c r="K15" s="702"/>
      <c r="L15" s="684" t="s">
        <v>6109</v>
      </c>
      <c r="M15" s="697">
        <f>(M29+M43+M44+M45)/M47</f>
        <v>4.0555242407112932E-2</v>
      </c>
      <c r="N15" s="697">
        <f>(N29+N43+N44+N45)/N47</f>
        <v>4.0560264458971623E-2</v>
      </c>
      <c r="O15" s="697">
        <f>(O29+O43+O44+O45)/O47</f>
        <v>3.3853770131418853E-2</v>
      </c>
      <c r="P15" s="703">
        <f>(P29+P43+P44+P45)/P47</f>
        <v>3.7231078647472916E-2</v>
      </c>
      <c r="Q15" s="703"/>
      <c r="R15" s="624" t="s">
        <v>5644</v>
      </c>
      <c r="S15" s="625" t="s">
        <v>334</v>
      </c>
      <c r="T15" s="624">
        <f>SUM(Table2PRN!G8237,Table2PRN!G8240,Table2PRN!G8244)</f>
        <v>1100</v>
      </c>
      <c r="U15" s="626">
        <f>T15/SUM($T$11:$T$38,$T$42)</f>
        <v>4.9233523553765248E-3</v>
      </c>
      <c r="V15" s="497"/>
      <c r="W15" s="624">
        <f>SUM(Table2PRN!G8447,Table2PRN!G8450,Table2PRN!G8454)</f>
        <v>0</v>
      </c>
      <c r="X15" s="626">
        <f>W15/SUM($W$11:$W$38,$W$42)</f>
        <v>0</v>
      </c>
      <c r="Z15" s="318" t="s">
        <v>5644</v>
      </c>
      <c r="AA15" s="683" t="s">
        <v>334</v>
      </c>
      <c r="AB15" s="689">
        <f>P25</f>
        <v>1400</v>
      </c>
      <c r="AC15" s="690">
        <f>AB15/SUM($AB$12:$AB$36,$AB$42)</f>
        <v>2.1402561612895273E-2</v>
      </c>
      <c r="AD15" s="683"/>
      <c r="AE15" s="624" t="s">
        <v>5644</v>
      </c>
      <c r="AF15" s="625" t="s">
        <v>334</v>
      </c>
      <c r="AG15" s="624">
        <f>T15*$T$47/($T$47+$T$48+$T$49)</f>
        <v>171.89595786163221</v>
      </c>
      <c r="AH15" s="626">
        <f>AG15/SUM($AG$11:$AG$38,$AG$42)</f>
        <v>4.9755708910490673E-3</v>
      </c>
      <c r="AI15" s="624">
        <f>T15*$T$48/($T$47+$T$48+$T$49)</f>
        <v>345.74309877920336</v>
      </c>
      <c r="AJ15" s="626">
        <f>AI15/SUM($AI$11:$AI$38,$AI$42)</f>
        <v>4.9303206654634918E-3</v>
      </c>
      <c r="AK15" s="624">
        <f>T15*$T$49/($T$47+$T$48+$T$49)</f>
        <v>582.36094335916437</v>
      </c>
      <c r="AL15" s="626">
        <f>AK15/SUM($AK$11:$AK$38,$AK$42)</f>
        <v>4.9040404640995393E-3</v>
      </c>
    </row>
    <row r="16" spans="1:38" ht="15" customHeight="1" x14ac:dyDescent="0.2">
      <c r="A16" s="1817" t="s">
        <v>6110</v>
      </c>
      <c r="B16" s="1818">
        <f t="shared" ref="B16:J16" si="4">SUM(B18:B43)/B45</f>
        <v>0.71586368358471097</v>
      </c>
      <c r="C16" s="1819">
        <f t="shared" si="4"/>
        <v>0.17264986978267377</v>
      </c>
      <c r="D16" s="1683">
        <f t="shared" si="4"/>
        <v>0.50642035466667834</v>
      </c>
      <c r="E16" s="1818">
        <f t="shared" si="4"/>
        <v>0.50917584903526514</v>
      </c>
      <c r="F16" s="1819">
        <f t="shared" si="4"/>
        <v>0.17835726394214443</v>
      </c>
      <c r="G16" s="1683">
        <f t="shared" si="4"/>
        <v>0.46631126590515282</v>
      </c>
      <c r="H16" s="1818">
        <f t="shared" si="4"/>
        <v>0.61451832962726716</v>
      </c>
      <c r="I16" s="1820">
        <f t="shared" si="4"/>
        <v>0.17371038826148499</v>
      </c>
      <c r="J16" s="1683">
        <f t="shared" si="4"/>
        <v>0.49019828716004832</v>
      </c>
      <c r="K16" s="702"/>
      <c r="L16" s="359" t="s">
        <v>6111</v>
      </c>
      <c r="M16" s="360">
        <f>M15+M14</f>
        <v>0.17049687152417325</v>
      </c>
      <c r="N16" s="360">
        <f>N15+N14</f>
        <v>0.17064224621407448</v>
      </c>
      <c r="O16" s="360">
        <f>O15+O14</f>
        <v>0.17355421341760216</v>
      </c>
      <c r="P16" s="360">
        <f>P15+P14</f>
        <v>0.17205277587624465</v>
      </c>
      <c r="Q16" s="360"/>
      <c r="R16" s="624"/>
      <c r="S16" s="625" t="s">
        <v>332</v>
      </c>
      <c r="T16" s="624">
        <f>SUM(Table2PRN!G8235,Table2PRN!G8236,Table2PRN!G8239,Table2PRN!G8243)</f>
        <v>722</v>
      </c>
      <c r="U16" s="626">
        <f>T16/SUM($T$11:$T$38,$T$42)</f>
        <v>3.2315094550744096E-3</v>
      </c>
      <c r="V16" s="497"/>
      <c r="W16" s="624">
        <f>SUM(Table2PRN!G8445,Table2PRN!G8449,Table2PRN!G8453,Table2PRN!G8446)</f>
        <v>0</v>
      </c>
      <c r="X16" s="626">
        <f>W16/SUM($W$11:$W$38,$W$42)</f>
        <v>0</v>
      </c>
      <c r="Z16" s="318"/>
      <c r="AA16" s="683" t="s">
        <v>332</v>
      </c>
      <c r="AB16" s="689">
        <f>SUM(P26:P27)</f>
        <v>1033</v>
      </c>
      <c r="AC16" s="690">
        <f>AB16/SUM($AB$12:$AB$36,$AB$42)</f>
        <v>1.5792032961514869E-2</v>
      </c>
      <c r="AD16" s="683"/>
      <c r="AE16" s="624"/>
      <c r="AF16" s="625" t="s">
        <v>332</v>
      </c>
      <c r="AG16" s="624">
        <f>T16*$T$47/($T$47+$T$48+$T$49)</f>
        <v>112.82625597827132</v>
      </c>
      <c r="AH16" s="626">
        <f>AG16/SUM($AG$11:$AG$38,$AG$42)</f>
        <v>3.2657838030340238E-3</v>
      </c>
      <c r="AI16" s="624">
        <f>T16*$T$48/($T$47+$T$48+$T$49)</f>
        <v>226.93319756234985</v>
      </c>
      <c r="AJ16" s="626">
        <f>AI16/SUM($AI$11:$AI$38,$AI$42)</f>
        <v>3.2360832004224012E-3</v>
      </c>
      <c r="AK16" s="624">
        <f>T16*$T$49/($T$47+$T$48+$T$49)</f>
        <v>382.24054645937883</v>
      </c>
      <c r="AL16" s="626">
        <f>AK16/SUM($AK$11:$AK$38,$AK$42)</f>
        <v>3.2188338318907888E-3</v>
      </c>
    </row>
    <row r="17" spans="1:38" ht="15" customHeight="1" x14ac:dyDescent="0.2">
      <c r="A17" s="704"/>
      <c r="B17" s="705"/>
      <c r="C17" s="6"/>
      <c r="D17" s="706"/>
      <c r="E17" s="705"/>
      <c r="F17" s="6"/>
      <c r="G17" s="6"/>
      <c r="H17" s="46"/>
      <c r="J17" s="47"/>
      <c r="L17" s="684" t="s">
        <v>6112</v>
      </c>
      <c r="M17" s="687">
        <f>SUM(M22:M41)/SUM(M11,M20:M41)</f>
        <v>0.16071727811846936</v>
      </c>
      <c r="N17" s="687">
        <f>SUM(N22:N41)/SUM(N11,N20:N41)</f>
        <v>0.16086517920355103</v>
      </c>
      <c r="O17" s="687">
        <f>SUM(O22:O41)/SUM(O11,O20:O41)</f>
        <v>0.15169944360376453</v>
      </c>
      <c r="P17" s="688">
        <f>SUM(P22:P41)/SUM(P11,P20:P41)</f>
        <v>0.15628173577495</v>
      </c>
      <c r="Q17" s="688"/>
      <c r="R17" s="624"/>
      <c r="S17" s="625"/>
      <c r="T17" s="624"/>
      <c r="U17" s="626"/>
      <c r="V17" s="497"/>
      <c r="W17" s="624"/>
      <c r="X17" s="626"/>
      <c r="Z17" s="61"/>
      <c r="AA17" s="683"/>
      <c r="AB17" s="689"/>
      <c r="AC17" s="690"/>
      <c r="AD17" s="683"/>
      <c r="AE17" s="624"/>
      <c r="AF17" s="625"/>
      <c r="AG17" s="624"/>
      <c r="AH17" s="626"/>
      <c r="AI17" s="624"/>
      <c r="AJ17" s="626"/>
      <c r="AK17" s="624"/>
      <c r="AL17" s="626"/>
    </row>
    <row r="18" spans="1:38" ht="15" customHeight="1" x14ac:dyDescent="0.2">
      <c r="A18" s="707" t="s">
        <v>262</v>
      </c>
      <c r="B18" s="202">
        <f>SUM(Table2PRN!G7318:G7344)</f>
        <v>1421</v>
      </c>
      <c r="C18" s="180">
        <f>SUM(Table2PRN!G7108:G7134)</f>
        <v>254</v>
      </c>
      <c r="D18" s="203">
        <f>SUM(B18:C18)</f>
        <v>1675</v>
      </c>
      <c r="E18" s="202">
        <f>SUM(Table2PRN!G7738:G7764)</f>
        <v>1566</v>
      </c>
      <c r="F18" s="180">
        <f>SUM(Table2PRN!G7528:G7554)</f>
        <v>106</v>
      </c>
      <c r="G18">
        <f>SUM(E18:F18)</f>
        <v>1672</v>
      </c>
      <c r="H18" s="200">
        <f t="shared" ref="H18:J21" si="5">B18+E18</f>
        <v>2987</v>
      </c>
      <c r="I18" s="36">
        <f t="shared" si="5"/>
        <v>360</v>
      </c>
      <c r="J18" s="201">
        <f t="shared" si="5"/>
        <v>3347</v>
      </c>
      <c r="K18" s="36"/>
      <c r="L18" s="1817" t="s">
        <v>6113</v>
      </c>
      <c r="M18" s="252">
        <f>SUM(M20:M45)/M47</f>
        <v>0.17256148529365981</v>
      </c>
      <c r="N18" s="252">
        <f>SUM(N20:N45)/N47</f>
        <v>0.17265234306238733</v>
      </c>
      <c r="O18" s="252">
        <f>SUM(O20:O45)/O47</f>
        <v>0.17836615184830312</v>
      </c>
      <c r="P18" s="2394">
        <f>SUM(P20:P45)/P47</f>
        <v>0.17546617715712753</v>
      </c>
      <c r="Q18" s="557"/>
      <c r="R18" s="624" t="s">
        <v>5663</v>
      </c>
      <c r="S18" s="625"/>
      <c r="T18" s="624">
        <f>SUM(Table2PRN!G8234,Table2PRN!G8238,Table2PRN!G8241,Table2PRN!G8242)</f>
        <v>1982</v>
      </c>
      <c r="U18" s="626">
        <f>T18/SUM($T$11:$T$38,$T$42)</f>
        <v>8.8709857894147919E-3</v>
      </c>
      <c r="V18" s="497"/>
      <c r="W18" s="624">
        <f>SUM(Table2PRN!G8444,Table2PRN!G8448,Table2PRN!G8451,Table2PRN!G8452)</f>
        <v>2</v>
      </c>
      <c r="X18" s="626">
        <f>W18/SUM($W$11:$W$38,$W$42)</f>
        <v>5.5447740504574439E-4</v>
      </c>
      <c r="Z18" s="318" t="s">
        <v>5663</v>
      </c>
      <c r="AA18" s="683"/>
      <c r="AB18" s="689">
        <f>SUM(P28,P30,P31,P32)</f>
        <v>3287</v>
      </c>
      <c r="AC18" s="690">
        <f>AB18/SUM($AB$12:$AB$36,$AB$42)</f>
        <v>5.0250157158276257E-2</v>
      </c>
      <c r="AD18" s="683"/>
      <c r="AE18" s="624" t="s">
        <v>5663</v>
      </c>
      <c r="AF18" s="625"/>
      <c r="AG18" s="624">
        <f>T18*$T$47/($T$47+$T$48+$T$49)</f>
        <v>309.72526225614092</v>
      </c>
      <c r="AH18" s="626">
        <f>AG18/SUM($AG$11:$AG$38,$AG$42)</f>
        <v>8.9650740964175007E-3</v>
      </c>
      <c r="AI18" s="624">
        <f>T18*$T$48/($T$47+$T$48+$T$49)</f>
        <v>622.96620161852832</v>
      </c>
      <c r="AJ18" s="626">
        <f>AI18/SUM($AI$11:$AI$38,$AI$42)</f>
        <v>8.8835414172260384E-3</v>
      </c>
      <c r="AK18" s="624">
        <f>T18*$T$49/($T$47+$T$48+$T$49)</f>
        <v>1049.3085361253309</v>
      </c>
      <c r="AL18" s="626">
        <f>AK18/SUM($AK$11:$AK$38,$AK$42)</f>
        <v>8.8361892725866246E-3</v>
      </c>
    </row>
    <row r="19" spans="1:38" ht="15" customHeight="1" x14ac:dyDescent="0.2">
      <c r="A19" s="707" t="s">
        <v>263</v>
      </c>
      <c r="B19" s="46">
        <f>SUM(Table2PRN!G7345:G7349)</f>
        <v>3</v>
      </c>
      <c r="C19">
        <f>SUM(Table2PRN!G7135:G7139)</f>
        <v>3</v>
      </c>
      <c r="D19" s="47">
        <f>SUM(B19:C19)</f>
        <v>6</v>
      </c>
      <c r="E19" s="46">
        <f>SUM(Table2PRN!G7765:G7769)</f>
        <v>0</v>
      </c>
      <c r="F19">
        <f>SUM(Table2PRN!G7555:G7559)</f>
        <v>0</v>
      </c>
      <c r="G19">
        <f>SUM(E19:F19)</f>
        <v>0</v>
      </c>
      <c r="H19" s="200">
        <f t="shared" si="5"/>
        <v>3</v>
      </c>
      <c r="I19" s="36">
        <f t="shared" si="5"/>
        <v>3</v>
      </c>
      <c r="J19" s="201">
        <f t="shared" si="5"/>
        <v>6</v>
      </c>
      <c r="K19" s="36"/>
      <c r="L19" s="704"/>
      <c r="M19" s="113"/>
      <c r="N19" s="113"/>
      <c r="O19" s="113"/>
      <c r="P19" s="243"/>
      <c r="Q19" s="36"/>
      <c r="R19" s="624"/>
      <c r="S19" s="625"/>
      <c r="T19" s="624"/>
      <c r="U19" s="626"/>
      <c r="V19" s="497"/>
      <c r="W19" s="624"/>
      <c r="X19" s="626"/>
      <c r="Z19" s="61"/>
      <c r="AA19" s="683"/>
      <c r="AB19" s="689"/>
      <c r="AC19" s="690"/>
      <c r="AD19" s="683"/>
      <c r="AE19" s="624"/>
      <c r="AF19" s="625"/>
      <c r="AG19" s="624"/>
      <c r="AH19" s="626"/>
      <c r="AI19" s="624"/>
      <c r="AJ19" s="626"/>
      <c r="AK19" s="624"/>
      <c r="AL19" s="626"/>
    </row>
    <row r="20" spans="1:38" ht="15" customHeight="1" x14ac:dyDescent="0.2">
      <c r="A20" s="707" t="s">
        <v>264</v>
      </c>
      <c r="B20" s="46">
        <f>SUM(Table2PRN!G7155,Table2PRN!G7157,Table2PRN!G7159,Table2PRN!G7167,Table2PRN!G7169,Table2PRN!G7171,Table2PRN!G7173)</f>
        <v>8047</v>
      </c>
      <c r="C20">
        <f>SUM(Table2PRN!G6945,Table2PRN!G6947,Table2PRN!G6949,Table2PRN!G6957,Table2PRN!G6959,Table2PRN!G6961,Table2PRN!G6963)</f>
        <v>2509</v>
      </c>
      <c r="D20" s="47">
        <f>SUM(B20:C20)</f>
        <v>10556</v>
      </c>
      <c r="E20" s="46">
        <f>SUM(Table2PRN!G7575,Table2PRN!G7577,Table2PRN!G7579,Table2PRN!G7587,Table2PRN!G7589,Table2PRN!G7591,Table2PRN!G7593)</f>
        <v>3990</v>
      </c>
      <c r="F20">
        <f>SUM(Table2PRN!G7365,Table2PRN!G7367,Table2PRN!G7369,Table2PRN!G7377,Table2PRN!G7379,Table2PRN!G7381,Table2PRN!G7383)</f>
        <v>342</v>
      </c>
      <c r="G20">
        <f>SUM(E20:F20)</f>
        <v>4332</v>
      </c>
      <c r="H20" s="200">
        <f t="shared" si="5"/>
        <v>12037</v>
      </c>
      <c r="I20" s="36">
        <f t="shared" si="5"/>
        <v>2851</v>
      </c>
      <c r="J20" s="201">
        <f t="shared" si="5"/>
        <v>14888</v>
      </c>
      <c r="K20" s="36"/>
      <c r="L20" s="707" t="s">
        <v>262</v>
      </c>
      <c r="M20" s="226">
        <f>SUM(Table2PRN!G9208:G9234)</f>
        <v>16</v>
      </c>
      <c r="N20" s="226">
        <f>SUM(Table2PRN!G9418:G9444)</f>
        <v>17</v>
      </c>
      <c r="O20" s="226">
        <f>SUM(Table2PRN!G9628:G9654)</f>
        <v>64</v>
      </c>
      <c r="P20" s="241">
        <f>SUM(M20:O20)</f>
        <v>97</v>
      </c>
      <c r="Q20" s="36"/>
      <c r="R20" s="1812" t="s">
        <v>6114</v>
      </c>
      <c r="S20" s="1814"/>
      <c r="T20" s="1812">
        <f>SUM(Table2PRN!G8224)</f>
        <v>285</v>
      </c>
      <c r="U20" s="1815">
        <f>T20/SUM($T$11:$T$38,$T$42)</f>
        <v>1.2755958375293723E-3</v>
      </c>
      <c r="V20" s="1724"/>
      <c r="W20" s="1812">
        <f>SUM(Table2PRN!G8434)</f>
        <v>0</v>
      </c>
      <c r="X20" s="1815">
        <f>W20/SUM($W$11:$W$38,$W$42)</f>
        <v>0</v>
      </c>
      <c r="Z20" s="319" t="s">
        <v>6114</v>
      </c>
      <c r="AA20" s="1816"/>
      <c r="AB20" s="698">
        <f>P29</f>
        <v>1276</v>
      </c>
      <c r="AC20" s="1912">
        <f>AB20/SUM($AB$12:$AB$36,$AB$42)</f>
        <v>1.950690615575312E-2</v>
      </c>
      <c r="AD20" s="683"/>
      <c r="AE20" s="1812" t="s">
        <v>6114</v>
      </c>
      <c r="AF20" s="1814"/>
      <c r="AG20" s="1812">
        <f>T20*$T$47/($T$47+$T$48+$T$49)</f>
        <v>44.536679991422893</v>
      </c>
      <c r="AH20" s="1815">
        <f>AG20/SUM($AG$11:$AG$38,$AG$42)</f>
        <v>1.2891251854081675E-3</v>
      </c>
      <c r="AI20" s="1812">
        <f>T20*$T$48/($T$47+$T$48+$T$49)</f>
        <v>89.578893774611785</v>
      </c>
      <c r="AJ20" s="1815">
        <f>AI20/SUM($AI$11:$AI$38,$AI$42)</f>
        <v>1.2774012633246321E-3</v>
      </c>
      <c r="AK20" s="1812">
        <f>T20*$T$49/($T$47+$T$48+$T$49)</f>
        <v>150.88442623396531</v>
      </c>
      <c r="AL20" s="1815">
        <f>AK20/SUM($AK$11:$AK$38,$AK$42)</f>
        <v>1.2705923020621534E-3</v>
      </c>
    </row>
    <row r="21" spans="1:38" ht="15" customHeight="1" x14ac:dyDescent="0.2">
      <c r="A21" s="707" t="s">
        <v>265</v>
      </c>
      <c r="B21" s="46">
        <f>SUM(Table2PRN!G7154,Table2PRN!G7156,Table2PRN!G7158,Table2PRN!G7166,Table2PRN!G7168,Table2PRN!G7170,Table2PRN!G7172)</f>
        <v>61509</v>
      </c>
      <c r="C21">
        <f>SUM(Table2PRN!G6944,Table2PRN!G6946,Table2PRN!G6948,Table2PRN!G6956,Table2PRN!G6958,Table2PRN!G6960,Table2PRN!G6962)</f>
        <v>10625</v>
      </c>
      <c r="D21" s="47">
        <f>SUM(B21:C21)</f>
        <v>72134</v>
      </c>
      <c r="E21" s="46">
        <f>SUM(Table2PRN!G7574,Table2PRN!G7576,Table2PRN!G7578,Table2PRN!G7586,Table2PRN!G7588,Table2PRN!G7590,Table2PRN!G7592)</f>
        <v>37743</v>
      </c>
      <c r="F21">
        <f>SUM(Table2PRN!G7364,Table2PRN!G7366,Table2PRN!G7368,Table2PRN!G7376,Table2PRN!G7378,Table2PRN!G7380,Table2PRN!G7382)</f>
        <v>1679</v>
      </c>
      <c r="G21">
        <f>SUM(E21:F21)</f>
        <v>39422</v>
      </c>
      <c r="H21" s="200">
        <f t="shared" si="5"/>
        <v>99252</v>
      </c>
      <c r="I21" s="36">
        <f t="shared" si="5"/>
        <v>12304</v>
      </c>
      <c r="J21" s="201">
        <f t="shared" si="5"/>
        <v>111556</v>
      </c>
      <c r="K21" s="36"/>
      <c r="L21" s="707" t="s">
        <v>263</v>
      </c>
      <c r="M21" s="226">
        <f>SUM(Table2PRN!G9235:G9239)</f>
        <v>0</v>
      </c>
      <c r="N21" s="226">
        <f>SUM(Table2PRN!G9445:G9449)</f>
        <v>0</v>
      </c>
      <c r="O21" s="226">
        <f>SUM(Table2PRN!G9655:G9659)</f>
        <v>0</v>
      </c>
      <c r="P21" s="241">
        <f>SUM(M21:O21)</f>
        <v>0</v>
      </c>
      <c r="R21" s="624" t="s">
        <v>5680</v>
      </c>
      <c r="S21" s="497"/>
      <c r="T21" s="624"/>
      <c r="U21" s="626"/>
      <c r="V21" s="497"/>
      <c r="W21" s="624"/>
      <c r="X21" s="626"/>
      <c r="Z21" s="61" t="s">
        <v>5680</v>
      </c>
      <c r="AA21" s="683"/>
      <c r="AB21" s="689"/>
      <c r="AC21" s="690"/>
      <c r="AD21" s="683"/>
      <c r="AE21" s="624" t="s">
        <v>5680</v>
      </c>
      <c r="AF21" s="497"/>
      <c r="AG21" s="624"/>
      <c r="AH21" s="626"/>
      <c r="AI21" s="624"/>
      <c r="AJ21" s="626"/>
      <c r="AK21" s="624"/>
      <c r="AL21" s="626"/>
    </row>
    <row r="22" spans="1:38" ht="15" customHeight="1" x14ac:dyDescent="0.2">
      <c r="A22" s="2347" t="s">
        <v>266</v>
      </c>
      <c r="B22" s="2146"/>
      <c r="C22" s="2155"/>
      <c r="D22" s="2026"/>
      <c r="E22" s="2146"/>
      <c r="F22" s="2155"/>
      <c r="G22" s="2155"/>
      <c r="H22" s="2146"/>
      <c r="I22" s="2155"/>
      <c r="J22" s="2026"/>
      <c r="L22" s="707" t="s">
        <v>264</v>
      </c>
      <c r="M22" s="226">
        <f>SUM(Table2PRN!G9045,Table2PRN!G9047,Table2PRN!G9049,Table2PRN!G9057,Table2PRN!G9059,Table2PRN!G9061,Table2PRN!G9063)</f>
        <v>166</v>
      </c>
      <c r="N22" s="226">
        <f>SUM(Table2PRN!G9255,Table2PRN!G9257,Table2PRN!G9259,Table2PRN!G9267,Table2PRN!G9269,Table2PRN!G9271,Table2PRN!G9273)</f>
        <v>188</v>
      </c>
      <c r="O22" s="226">
        <f>SUM(Table2PRN!G9465,Table2PRN!G9467,Table2PRN!G9469,Table2PRN!G9477,Table2PRN!G9479,Table2PRN!G9481,Table2PRN!G9483)</f>
        <v>209</v>
      </c>
      <c r="P22" s="241">
        <f>SUM(M22:O22)</f>
        <v>563</v>
      </c>
      <c r="Q22" s="36"/>
      <c r="R22" s="624" t="s">
        <v>5644</v>
      </c>
      <c r="S22" s="497" t="s">
        <v>5682</v>
      </c>
      <c r="T22" s="624">
        <f>SUM(Table2PRN!G8223)</f>
        <v>125</v>
      </c>
      <c r="U22" s="626">
        <f t="shared" ref="U22:U28" si="6">T22/SUM($T$11:$T$38,$T$42)</f>
        <v>5.5947185856551412E-4</v>
      </c>
      <c r="V22" s="497"/>
      <c r="W22" s="624">
        <f>SUM(Table2PRN!G8433)</f>
        <v>0</v>
      </c>
      <c r="X22" s="626">
        <f t="shared" ref="X22:X28" si="7">W22/SUM($W$11:$W$38,$W$42)</f>
        <v>0</v>
      </c>
      <c r="Z22" s="318" t="s">
        <v>5644</v>
      </c>
      <c r="AA22" s="683" t="s">
        <v>5682</v>
      </c>
      <c r="AB22" s="689">
        <f>SUM(Table2PRN!G9063,Table2PRN!G9273,Table2PRN!G9483)</f>
        <v>69</v>
      </c>
      <c r="AC22" s="690">
        <f t="shared" ref="AC22:AC28" si="8">AB22/SUM($AB$12:$AB$36,$AB$42)</f>
        <v>1.0548405366355526E-3</v>
      </c>
      <c r="AD22" s="683"/>
      <c r="AE22" s="624" t="s">
        <v>5644</v>
      </c>
      <c r="AF22" s="497" t="s">
        <v>5682</v>
      </c>
      <c r="AG22" s="624">
        <f t="shared" ref="AG22:AG28" si="9">T22*$T$47/($T$47+$T$48+$T$49)</f>
        <v>19.533631575185478</v>
      </c>
      <c r="AH22" s="626">
        <f t="shared" ref="AH22:AH28" si="10">AG22/SUM($AG$11:$AG$38,$AG$42)</f>
        <v>5.6540578307375758E-4</v>
      </c>
      <c r="AI22" s="624">
        <f t="shared" ref="AI22:AI28" si="11">T22*$T$48/($T$47+$T$48+$T$49)</f>
        <v>39.288988497636751</v>
      </c>
      <c r="AJ22" s="626">
        <f t="shared" ref="AJ22:AJ28" si="12">AI22/SUM($AI$11:$AI$38,$AI$42)</f>
        <v>5.6026371198448783E-4</v>
      </c>
      <c r="AK22" s="624">
        <f t="shared" ref="AK22:AK28" si="13">T22*$T$49/($T$47+$T$48+$T$49)</f>
        <v>66.177379927177782</v>
      </c>
      <c r="AL22" s="626">
        <f t="shared" ref="AL22:AL28" si="14">AK22/SUM($AK$11:$AK$38,$AK$42)</f>
        <v>5.5727732546585686E-4</v>
      </c>
    </row>
    <row r="23" spans="1:38" ht="15" customHeight="1" x14ac:dyDescent="0.2">
      <c r="A23" s="708" t="s">
        <v>267</v>
      </c>
      <c r="B23" s="46">
        <f>SUM(Table2PRN!G7187,Table2PRN!G7190,Table2PRN!G7194)</f>
        <v>4828</v>
      </c>
      <c r="C23">
        <f>SUM(Table2PRN!G6977,Table2PRN!G6980,Table2PRN!G6984)</f>
        <v>4660</v>
      </c>
      <c r="D23" s="47">
        <f t="shared" ref="D23:D30" si="15">SUM(B23:C23)</f>
        <v>9488</v>
      </c>
      <c r="E23" s="46">
        <f>SUM(Table2PRN!G7607,Table2PRN!G7610,Table2PRN!G7614)</f>
        <v>6233</v>
      </c>
      <c r="F23">
        <f>SUM(Table2PRN!G7397,Table2PRN!G7400,Table2PRN!G7404)</f>
        <v>1209</v>
      </c>
      <c r="G23">
        <f t="shared" ref="G23:G30" si="16">SUM(E23:F23)</f>
        <v>7442</v>
      </c>
      <c r="H23" s="200">
        <f t="shared" ref="H23:J30" si="17">B23+E23</f>
        <v>11061</v>
      </c>
      <c r="I23" s="36">
        <f t="shared" si="17"/>
        <v>5869</v>
      </c>
      <c r="J23" s="201">
        <f t="shared" si="17"/>
        <v>16930</v>
      </c>
      <c r="K23" s="36"/>
      <c r="L23" s="707" t="s">
        <v>265</v>
      </c>
      <c r="M23" s="227">
        <f>SUM(Table2PRN!G9044,Table2PRN!G9046,Table2PRN!G9048,Table2PRN!G9056,Table2PRN!G9058,Table2PRN!G9060,Table2PRN!G9062)</f>
        <v>707</v>
      </c>
      <c r="N23" s="227">
        <f>SUM(Table2PRN!G9254,Table2PRN!G9256,Table2PRN!G9258,Table2PRN!G9266,Table2PRN!G9268,Table2PRN!G9270,Table2PRN!G9272)</f>
        <v>794</v>
      </c>
      <c r="O23" s="227">
        <f>SUM(Table2PRN!G9464,Table2PRN!G9466,Table2PRN!G9468,Table2PRN!G9476,Table2PRN!G9478,Table2PRN!G9480,Table2PRN!G9482)</f>
        <v>1024</v>
      </c>
      <c r="P23" s="242">
        <f>SUM(M23:O23)</f>
        <v>2525</v>
      </c>
      <c r="Q23" s="36"/>
      <c r="R23" s="624"/>
      <c r="S23" s="497" t="s">
        <v>5684</v>
      </c>
      <c r="T23" s="624">
        <f>SUM(Table2PRN!G8219)</f>
        <v>1483</v>
      </c>
      <c r="U23" s="626">
        <f t="shared" si="6"/>
        <v>6.6375741300212596E-3</v>
      </c>
      <c r="V23" s="497"/>
      <c r="W23" s="624">
        <f>SUM(Table2PRN!G8429)</f>
        <v>2</v>
      </c>
      <c r="X23" s="626">
        <f t="shared" si="7"/>
        <v>5.5447740504574439E-4</v>
      </c>
      <c r="Z23" s="318"/>
      <c r="AA23" s="683" t="s">
        <v>5684</v>
      </c>
      <c r="AB23" s="689">
        <f>SUM(Table2PRN!G9059,Table2PRN!G9269,Table2PRN!G9479)</f>
        <v>438</v>
      </c>
      <c r="AC23" s="690">
        <f t="shared" si="8"/>
        <v>6.6959442760343782E-3</v>
      </c>
      <c r="AD23" s="683"/>
      <c r="AE23" s="624"/>
      <c r="AF23" s="497" t="s">
        <v>5684</v>
      </c>
      <c r="AG23" s="624">
        <f t="shared" si="9"/>
        <v>231.74700500800051</v>
      </c>
      <c r="AH23" s="626">
        <f t="shared" si="10"/>
        <v>6.7079742103870604E-3</v>
      </c>
      <c r="AI23" s="624">
        <f t="shared" si="11"/>
        <v>466.12455953596242</v>
      </c>
      <c r="AJ23" s="626">
        <f t="shared" si="12"/>
        <v>6.6469686789839633E-3</v>
      </c>
      <c r="AK23" s="624">
        <f t="shared" si="13"/>
        <v>785.1284354560371</v>
      </c>
      <c r="AL23" s="626">
        <f t="shared" si="14"/>
        <v>6.6115381893269241E-3</v>
      </c>
    </row>
    <row r="24" spans="1:38" ht="15" customHeight="1" x14ac:dyDescent="0.2">
      <c r="A24" s="708" t="s">
        <v>269</v>
      </c>
      <c r="B24" s="46">
        <f>SUM(Table2PRN!G7186,Table2PRN!G7189,Table2PRN!G7193)</f>
        <v>5142</v>
      </c>
      <c r="C24">
        <f>SUM(Table2PRN!G6976,Table2PRN!G6979,Table2PRN!G6983)</f>
        <v>1542</v>
      </c>
      <c r="D24" s="47">
        <f t="shared" si="15"/>
        <v>6684</v>
      </c>
      <c r="E24" s="46">
        <f>SUM(Table2PRN!G7606,Table2PRN!G7609,Table2PRN!G7613)</f>
        <v>6755</v>
      </c>
      <c r="F24">
        <f>SUM(Table2PRN!G7396,Table2PRN!G7399,Table2PRN!G7403)</f>
        <v>440</v>
      </c>
      <c r="G24">
        <f t="shared" si="16"/>
        <v>7195</v>
      </c>
      <c r="H24" s="200">
        <f t="shared" si="17"/>
        <v>11897</v>
      </c>
      <c r="I24" s="36">
        <f t="shared" si="17"/>
        <v>1982</v>
      </c>
      <c r="J24" s="201">
        <f t="shared" si="17"/>
        <v>13879</v>
      </c>
      <c r="K24" s="36"/>
      <c r="L24" s="2347" t="s">
        <v>266</v>
      </c>
      <c r="M24" s="2348"/>
      <c r="N24" s="2348"/>
      <c r="O24" s="2348"/>
      <c r="P24" s="2349"/>
      <c r="Q24" s="36"/>
      <c r="R24" s="624"/>
      <c r="S24" s="497" t="s">
        <v>5686</v>
      </c>
      <c r="T24" s="624">
        <f>SUM(Table2PRN!G8221)</f>
        <v>339</v>
      </c>
      <c r="U24" s="626">
        <f t="shared" si="6"/>
        <v>1.5172876804296744E-3</v>
      </c>
      <c r="V24" s="180"/>
      <c r="W24" s="624">
        <f>SUM(Table2PRN!G8431)</f>
        <v>2</v>
      </c>
      <c r="X24" s="626">
        <f t="shared" si="7"/>
        <v>5.5447740504574439E-4</v>
      </c>
      <c r="Z24" s="318"/>
      <c r="AA24" s="683" t="s">
        <v>5686</v>
      </c>
      <c r="AB24" s="689">
        <f>SUM(Table2PRN!G9061,Table2PRN!G9271,Table2PRN!G9481)</f>
        <v>40</v>
      </c>
      <c r="AC24" s="690">
        <f t="shared" si="8"/>
        <v>6.1150176036843637E-4</v>
      </c>
      <c r="AD24" s="683"/>
      <c r="AE24" s="624"/>
      <c r="AF24" s="497" t="s">
        <v>5686</v>
      </c>
      <c r="AG24" s="624">
        <f t="shared" si="9"/>
        <v>52.975208831903018</v>
      </c>
      <c r="AH24" s="626">
        <f t="shared" si="10"/>
        <v>1.5333804836960307E-3</v>
      </c>
      <c r="AI24" s="624">
        <f t="shared" si="11"/>
        <v>106.55173680559086</v>
      </c>
      <c r="AJ24" s="626">
        <f t="shared" si="12"/>
        <v>1.519435186901931E-3</v>
      </c>
      <c r="AK24" s="624">
        <f t="shared" si="13"/>
        <v>179.47305436250613</v>
      </c>
      <c r="AL24" s="626">
        <f t="shared" si="14"/>
        <v>1.5113361066634036E-3</v>
      </c>
    </row>
    <row r="25" spans="1:38" ht="15" customHeight="1" x14ac:dyDescent="0.2">
      <c r="A25" s="708" t="s">
        <v>271</v>
      </c>
      <c r="B25" s="46">
        <f>SUM(Table2PRN!G7185)</f>
        <v>5936</v>
      </c>
      <c r="C25">
        <f>SUM(Table2PRN!G6975)</f>
        <v>1943</v>
      </c>
      <c r="D25" s="47">
        <f t="shared" si="15"/>
        <v>7879</v>
      </c>
      <c r="E25" s="46">
        <f>SUM(Table2PRN!G7605)</f>
        <v>6294</v>
      </c>
      <c r="F25">
        <f>SUM(Table2PRN!G7395)</f>
        <v>442</v>
      </c>
      <c r="G25">
        <f t="shared" si="16"/>
        <v>6736</v>
      </c>
      <c r="H25" s="200">
        <f t="shared" si="17"/>
        <v>12230</v>
      </c>
      <c r="I25" s="36">
        <f t="shared" si="17"/>
        <v>2385</v>
      </c>
      <c r="J25" s="201">
        <f t="shared" si="17"/>
        <v>14615</v>
      </c>
      <c r="K25" s="36"/>
      <c r="L25" s="708" t="s">
        <v>267</v>
      </c>
      <c r="M25" s="226">
        <f>SUM(Table2PRN!G9077,Table2PRN!G9080,Table2PRN!G9084)</f>
        <v>312</v>
      </c>
      <c r="N25" s="226">
        <f>SUM(Table2PRN!G9287,Table2PRN!G9290,Table2PRN!G9294)</f>
        <v>350</v>
      </c>
      <c r="O25" s="226">
        <f>SUM(Table2PRN!G9497,Table2PRN!G9500,Table2PRN!G9504)</f>
        <v>738</v>
      </c>
      <c r="P25" s="241">
        <f t="shared" ref="P25:P32" si="18">SUM(M25:O25)</f>
        <v>1400</v>
      </c>
      <c r="Q25" s="36"/>
      <c r="R25" s="624"/>
      <c r="S25" s="497" t="s">
        <v>5688</v>
      </c>
      <c r="T25" s="624">
        <f>SUM(Table2PRN!G8217)</f>
        <v>41</v>
      </c>
      <c r="U25" s="626">
        <f t="shared" si="6"/>
        <v>1.8350676960948863E-4</v>
      </c>
      <c r="V25" s="497"/>
      <c r="W25" s="624">
        <f>SUM(Table2PRN!G8427)</f>
        <v>2</v>
      </c>
      <c r="X25" s="626">
        <f t="shared" si="7"/>
        <v>5.5447740504574439E-4</v>
      </c>
      <c r="Z25" s="318"/>
      <c r="AA25" s="683" t="s">
        <v>5688</v>
      </c>
      <c r="AB25" s="689">
        <f>SUM(Table2PRN!G9057,Table2PRN!G9267,Table2PRN!G9477)</f>
        <v>3</v>
      </c>
      <c r="AC25" s="690">
        <f t="shared" si="8"/>
        <v>4.5862632027632727E-5</v>
      </c>
      <c r="AD25" s="683"/>
      <c r="AE25" s="624"/>
      <c r="AF25" s="497" t="s">
        <v>5688</v>
      </c>
      <c r="AG25" s="624">
        <f t="shared" si="9"/>
        <v>6.4070311566608362</v>
      </c>
      <c r="AH25" s="626">
        <f t="shared" si="10"/>
        <v>1.8545309684819247E-4</v>
      </c>
      <c r="AI25" s="624">
        <f t="shared" si="11"/>
        <v>12.886788227224855</v>
      </c>
      <c r="AJ25" s="626">
        <f t="shared" si="12"/>
        <v>1.8376649753091201E-4</v>
      </c>
      <c r="AK25" s="624">
        <f t="shared" si="13"/>
        <v>21.70618061611431</v>
      </c>
      <c r="AL25" s="626">
        <f t="shared" si="14"/>
        <v>1.8278696275280101E-4</v>
      </c>
    </row>
    <row r="26" spans="1:38" ht="15" customHeight="1" x14ac:dyDescent="0.2">
      <c r="A26" s="673" t="s">
        <v>273</v>
      </c>
      <c r="B26" s="46">
        <f>SUM(Table2PRN!G7184)</f>
        <v>32643</v>
      </c>
      <c r="C26">
        <f>SUM(Table2PRN!G6974)</f>
        <v>5347</v>
      </c>
      <c r="D26" s="47">
        <f t="shared" si="15"/>
        <v>37990</v>
      </c>
      <c r="E26" s="46">
        <f>SUM(Table2PRN!G7604)</f>
        <v>50086</v>
      </c>
      <c r="F26">
        <f>SUM(Table2PRN!G7394)</f>
        <v>1910</v>
      </c>
      <c r="G26">
        <f t="shared" si="16"/>
        <v>51996</v>
      </c>
      <c r="H26" s="200">
        <f t="shared" si="17"/>
        <v>82729</v>
      </c>
      <c r="I26" s="36">
        <f t="shared" si="17"/>
        <v>7257</v>
      </c>
      <c r="J26" s="201">
        <f t="shared" si="17"/>
        <v>89986</v>
      </c>
      <c r="K26" s="36"/>
      <c r="L26" s="708" t="s">
        <v>269</v>
      </c>
      <c r="M26" s="226">
        <f>SUM(Table2PRN!G9076,Table2PRN!G9079,Table2PRN!G9083)</f>
        <v>103</v>
      </c>
      <c r="N26" s="226">
        <f>SUM(Table2PRN!G9286,Table2PRN!G9289,Table2PRN!G9293)</f>
        <v>116</v>
      </c>
      <c r="O26" s="226">
        <f>SUM(Table2PRN!G9496,Table2PRN!G9499,Table2PRN!G9503)</f>
        <v>268</v>
      </c>
      <c r="P26" s="241">
        <f t="shared" si="18"/>
        <v>487</v>
      </c>
      <c r="Q26" s="36"/>
      <c r="R26" s="624"/>
      <c r="S26" s="497" t="s">
        <v>5690</v>
      </c>
      <c r="T26" s="624">
        <f>SUM(Table2PRN!G8207)</f>
        <v>0</v>
      </c>
      <c r="U26" s="626">
        <f t="shared" si="6"/>
        <v>0</v>
      </c>
      <c r="V26" s="497"/>
      <c r="W26" s="624">
        <f>SUM(Table2PRN!G8417)</f>
        <v>0</v>
      </c>
      <c r="X26" s="626">
        <f t="shared" si="7"/>
        <v>0</v>
      </c>
      <c r="Z26" s="318"/>
      <c r="AA26" s="683" t="s">
        <v>5690</v>
      </c>
      <c r="AB26" s="689">
        <f>SUM(Table2PRN!G9047,Table2PRN!G9257,Table2PRN!G9467)</f>
        <v>0</v>
      </c>
      <c r="AC26" s="690">
        <f t="shared" si="8"/>
        <v>0</v>
      </c>
      <c r="AD26" s="683"/>
      <c r="AE26" s="624"/>
      <c r="AF26" s="497" t="s">
        <v>5690</v>
      </c>
      <c r="AG26" s="624">
        <f t="shared" si="9"/>
        <v>0</v>
      </c>
      <c r="AH26" s="626">
        <f t="shared" si="10"/>
        <v>0</v>
      </c>
      <c r="AI26" s="624">
        <f t="shared" si="11"/>
        <v>0</v>
      </c>
      <c r="AJ26" s="626">
        <f t="shared" si="12"/>
        <v>0</v>
      </c>
      <c r="AK26" s="624">
        <f t="shared" si="13"/>
        <v>0</v>
      </c>
      <c r="AL26" s="626">
        <f t="shared" si="14"/>
        <v>0</v>
      </c>
    </row>
    <row r="27" spans="1:38" ht="15" customHeight="1" x14ac:dyDescent="0.2">
      <c r="A27" s="673" t="s">
        <v>145</v>
      </c>
      <c r="B27" s="46">
        <f>SUM(Table2PRN!G7174)</f>
        <v>45213</v>
      </c>
      <c r="C27">
        <f>SUM(Table2PRN!G6964)</f>
        <v>6963</v>
      </c>
      <c r="D27" s="47">
        <f t="shared" si="15"/>
        <v>52176</v>
      </c>
      <c r="E27" s="46">
        <f>SUM(Table2PRN!G7594)</f>
        <v>10777</v>
      </c>
      <c r="F27">
        <f>SUM(Table2PRN!G7384)</f>
        <v>488</v>
      </c>
      <c r="G27">
        <f t="shared" si="16"/>
        <v>11265</v>
      </c>
      <c r="H27" s="200">
        <f t="shared" si="17"/>
        <v>55990</v>
      </c>
      <c r="I27" s="36">
        <f t="shared" si="17"/>
        <v>7451</v>
      </c>
      <c r="J27" s="201">
        <f t="shared" si="17"/>
        <v>63441</v>
      </c>
      <c r="K27" s="36"/>
      <c r="L27" s="708" t="s">
        <v>271</v>
      </c>
      <c r="M27" s="226">
        <f>SUM(Table2PRN!G9075)</f>
        <v>130</v>
      </c>
      <c r="N27" s="226">
        <f>SUM(Table2PRN!G9285)</f>
        <v>146</v>
      </c>
      <c r="O27" s="226">
        <f>SUM(Table2PRN!G9495)</f>
        <v>270</v>
      </c>
      <c r="P27" s="241">
        <f t="shared" si="18"/>
        <v>546</v>
      </c>
      <c r="Q27" s="36"/>
      <c r="R27" s="624"/>
      <c r="S27" s="497" t="s">
        <v>5692</v>
      </c>
      <c r="T27" s="624">
        <f>SUM(Table2PRN!G8205)</f>
        <v>227</v>
      </c>
      <c r="U27" s="626">
        <f t="shared" si="6"/>
        <v>1.0160008951549738E-3</v>
      </c>
      <c r="V27" s="497"/>
      <c r="W27" s="624">
        <f>SUM(Table2PRN!G8415)</f>
        <v>9</v>
      </c>
      <c r="X27" s="626">
        <f t="shared" si="7"/>
        <v>2.4951483227058499E-3</v>
      </c>
      <c r="Z27" s="318"/>
      <c r="AA27" s="683" t="s">
        <v>5692</v>
      </c>
      <c r="AB27" s="689">
        <f>SUM(Table2PRN!G9045,Table2PRN!G9255,Table2PRN!G9465)</f>
        <v>3</v>
      </c>
      <c r="AC27" s="690">
        <f t="shared" si="8"/>
        <v>4.5862632027632727E-5</v>
      </c>
      <c r="AD27" s="683"/>
      <c r="AE27" s="624"/>
      <c r="AF27" s="497" t="s">
        <v>5692</v>
      </c>
      <c r="AG27" s="624">
        <f t="shared" si="9"/>
        <v>35.473074940536826</v>
      </c>
      <c r="AH27" s="626">
        <f t="shared" si="10"/>
        <v>1.0267769020619437E-3</v>
      </c>
      <c r="AI27" s="624">
        <f t="shared" si="11"/>
        <v>71.348803111708335</v>
      </c>
      <c r="AJ27" s="626">
        <f t="shared" si="12"/>
        <v>1.0174389009638299E-3</v>
      </c>
      <c r="AK27" s="624">
        <f t="shared" si="13"/>
        <v>120.17812194775485</v>
      </c>
      <c r="AL27" s="626">
        <f t="shared" si="14"/>
        <v>1.0120156230459959E-3</v>
      </c>
    </row>
    <row r="28" spans="1:38" ht="15" customHeight="1" x14ac:dyDescent="0.2">
      <c r="A28" s="673" t="s">
        <v>275</v>
      </c>
      <c r="B28" s="46">
        <f>SUM(Table2PRN!G7188)</f>
        <v>19837</v>
      </c>
      <c r="C28">
        <f>SUM(Table2PRN!G6978)</f>
        <v>3191</v>
      </c>
      <c r="D28" s="47">
        <f t="shared" si="15"/>
        <v>23028</v>
      </c>
      <c r="E28" s="46">
        <f>SUM(Table2PRN!G7608)</f>
        <v>30282</v>
      </c>
      <c r="F28">
        <f>SUM(Table2PRN!G7398)</f>
        <v>1184</v>
      </c>
      <c r="G28">
        <f t="shared" si="16"/>
        <v>31466</v>
      </c>
      <c r="H28" s="200">
        <f t="shared" si="17"/>
        <v>50119</v>
      </c>
      <c r="I28" s="36">
        <f t="shared" si="17"/>
        <v>4375</v>
      </c>
      <c r="J28" s="201">
        <f t="shared" si="17"/>
        <v>54494</v>
      </c>
      <c r="K28" s="36"/>
      <c r="L28" s="673" t="s">
        <v>273</v>
      </c>
      <c r="M28" s="226">
        <f>Table2PRN!G9074</f>
        <v>356</v>
      </c>
      <c r="N28" s="226">
        <f>Table2PRN!G9284</f>
        <v>400</v>
      </c>
      <c r="O28" s="226">
        <f>Table2PRN!G9494</f>
        <v>1165</v>
      </c>
      <c r="P28" s="241">
        <f t="shared" si="18"/>
        <v>1921</v>
      </c>
      <c r="Q28" s="493"/>
      <c r="R28" s="624"/>
      <c r="S28" s="497" t="s">
        <v>5694</v>
      </c>
      <c r="T28" s="624">
        <f>SUM(Table2PRN!G8209)</f>
        <v>302</v>
      </c>
      <c r="U28" s="626">
        <f t="shared" si="6"/>
        <v>1.3516840102942823E-3</v>
      </c>
      <c r="V28" s="497"/>
      <c r="W28" s="624">
        <f>SUM(Table2PRN!G8419)</f>
        <v>3</v>
      </c>
      <c r="X28" s="626">
        <f t="shared" si="7"/>
        <v>8.3171610756861659E-4</v>
      </c>
      <c r="Z28" s="318"/>
      <c r="AA28" s="683" t="s">
        <v>5694</v>
      </c>
      <c r="AB28" s="689">
        <f>SUM(Table2PRN!G9049,Table2PRN!G9259,Table2PRN!G9469)</f>
        <v>10</v>
      </c>
      <c r="AC28" s="690">
        <f t="shared" si="8"/>
        <v>1.5287544009210909E-4</v>
      </c>
      <c r="AD28" s="683"/>
      <c r="AE28" s="624"/>
      <c r="AF28" s="497" t="s">
        <v>5694</v>
      </c>
      <c r="AG28" s="624">
        <f t="shared" si="9"/>
        <v>47.193253885648119</v>
      </c>
      <c r="AH28" s="626">
        <f t="shared" si="10"/>
        <v>1.3660203719061985E-3</v>
      </c>
      <c r="AI28" s="624">
        <f t="shared" si="11"/>
        <v>94.922196210290394</v>
      </c>
      <c r="AJ28" s="626">
        <f t="shared" si="12"/>
        <v>1.3535971281545226E-3</v>
      </c>
      <c r="AK28" s="624">
        <f t="shared" si="13"/>
        <v>159.88454990406152</v>
      </c>
      <c r="AL28" s="626">
        <f t="shared" si="14"/>
        <v>1.3463820183255101E-3</v>
      </c>
    </row>
    <row r="29" spans="1:38" ht="15" customHeight="1" x14ac:dyDescent="0.2">
      <c r="A29" s="673" t="s">
        <v>276</v>
      </c>
      <c r="B29" s="46">
        <f>SUM(Table2PRN!G7191)</f>
        <v>700</v>
      </c>
      <c r="C29">
        <f>SUM(Table2PRN!G6981)</f>
        <v>137</v>
      </c>
      <c r="D29" s="47">
        <f t="shared" si="15"/>
        <v>837</v>
      </c>
      <c r="E29" s="46">
        <f>SUM(Table2PRN!G7611)</f>
        <v>1500</v>
      </c>
      <c r="F29">
        <f>SUM(Table2PRN!G7401)</f>
        <v>58</v>
      </c>
      <c r="G29">
        <f t="shared" si="16"/>
        <v>1558</v>
      </c>
      <c r="H29" s="200">
        <f t="shared" si="17"/>
        <v>2200</v>
      </c>
      <c r="I29" s="36">
        <f t="shared" si="17"/>
        <v>195</v>
      </c>
      <c r="J29" s="201">
        <f t="shared" si="17"/>
        <v>2395</v>
      </c>
      <c r="K29" s="36"/>
      <c r="L29" s="673" t="s">
        <v>145</v>
      </c>
      <c r="M29" s="226">
        <f>Table2PRN!G9064</f>
        <v>461</v>
      </c>
      <c r="N29" s="226">
        <f>Table2PRN!G9274</f>
        <v>518</v>
      </c>
      <c r="O29" s="226">
        <f>Table2PRN!G9484</f>
        <v>297</v>
      </c>
      <c r="P29" s="241">
        <f t="shared" si="18"/>
        <v>1276</v>
      </c>
      <c r="Q29" s="36"/>
      <c r="R29" s="624"/>
      <c r="S29" s="497"/>
      <c r="T29" s="624"/>
      <c r="U29" s="626"/>
      <c r="V29" s="497"/>
      <c r="W29" s="624"/>
      <c r="X29" s="626"/>
      <c r="Z29" s="61"/>
      <c r="AA29" s="683"/>
      <c r="AB29" s="689"/>
      <c r="AC29" s="690"/>
      <c r="AD29" s="683"/>
      <c r="AE29" s="624"/>
      <c r="AF29" s="497"/>
      <c r="AG29" s="624"/>
      <c r="AH29" s="626"/>
      <c r="AI29" s="624"/>
      <c r="AJ29" s="626"/>
      <c r="AK29" s="624"/>
      <c r="AL29" s="626"/>
    </row>
    <row r="30" spans="1:38" ht="15" customHeight="1" x14ac:dyDescent="0.2">
      <c r="A30" s="1678" t="s">
        <v>277</v>
      </c>
      <c r="B30" s="1355">
        <f>SUM(Table2PRN!G7192)</f>
        <v>1331</v>
      </c>
      <c r="C30" s="1596">
        <f>SUM(Table2PRN!G6982)</f>
        <v>287</v>
      </c>
      <c r="D30" s="1599">
        <f t="shared" si="15"/>
        <v>1618</v>
      </c>
      <c r="E30" s="1355">
        <f>SUM(Table2PRN!G7612)</f>
        <v>4216</v>
      </c>
      <c r="F30" s="1596">
        <f>SUM(Table2PRN!G7402)</f>
        <v>160</v>
      </c>
      <c r="G30" s="1596">
        <f t="shared" si="16"/>
        <v>4376</v>
      </c>
      <c r="H30" s="1821">
        <f t="shared" si="17"/>
        <v>5547</v>
      </c>
      <c r="I30" s="1598">
        <f t="shared" si="17"/>
        <v>447</v>
      </c>
      <c r="J30" s="1822">
        <f t="shared" si="17"/>
        <v>5994</v>
      </c>
      <c r="K30" s="36"/>
      <c r="L30" s="673" t="s">
        <v>275</v>
      </c>
      <c r="M30" s="226">
        <f>Table2PRN!G9078</f>
        <v>212</v>
      </c>
      <c r="N30" s="226">
        <f>Table2PRN!G9288</f>
        <v>239</v>
      </c>
      <c r="O30" s="226">
        <f>Table2PRN!G9498</f>
        <v>722</v>
      </c>
      <c r="P30" s="241">
        <f t="shared" si="18"/>
        <v>1173</v>
      </c>
      <c r="R30" s="624" t="s">
        <v>5663</v>
      </c>
      <c r="S30" s="497" t="s">
        <v>5682</v>
      </c>
      <c r="T30" s="624">
        <f>SUM(Table2PRN!G8222)</f>
        <v>3153</v>
      </c>
      <c r="U30" s="626">
        <f t="shared" ref="U30:U36" si="19">T30/SUM($T$11:$T$38,$T$42)</f>
        <v>1.411211816045653E-2</v>
      </c>
      <c r="V30" s="497"/>
      <c r="W30" s="624">
        <f>SUM(Table2PRN!G8432)</f>
        <v>3</v>
      </c>
      <c r="X30" s="626">
        <f t="shared" ref="X30:X36" si="20">W30/SUM($W$11:$W$38,$W$42)</f>
        <v>8.3171610756861659E-4</v>
      </c>
      <c r="Z30" s="318" t="s">
        <v>5663</v>
      </c>
      <c r="AA30" s="683" t="s">
        <v>5682</v>
      </c>
      <c r="AB30" s="689">
        <f>SUM(Table2PRN!G9062,Table2PRN!G9272,Table2PRN!G9482)</f>
        <v>704</v>
      </c>
      <c r="AC30" s="690">
        <f t="shared" ref="AC30:AC36" si="21">AB30/SUM($AB$12:$AB$36,$AB$42)</f>
        <v>1.0762430982484479E-2</v>
      </c>
      <c r="AD30" s="683"/>
      <c r="AE30" s="624" t="s">
        <v>5663</v>
      </c>
      <c r="AF30" s="497" t="s">
        <v>5682</v>
      </c>
      <c r="AG30" s="624">
        <f t="shared" ref="AG30:AG36" si="22">T30*$T$47/($T$47+$T$48+$T$49)</f>
        <v>492.71632285247847</v>
      </c>
      <c r="AH30" s="626">
        <f t="shared" ref="AH30:AH36" si="23">AG30/SUM($AG$11:$AG$38,$AG$42)</f>
        <v>1.426179547225246E-2</v>
      </c>
      <c r="AI30" s="624">
        <f t="shared" ref="AI30:AI36" si="24">T30*$T$48/($T$47+$T$48+$T$49)</f>
        <v>991.02544586438933</v>
      </c>
      <c r="AJ30" s="626">
        <f t="shared" ref="AJ30:AJ36" si="25">AI30/SUM($AI$11:$AI$38,$AI$42)</f>
        <v>1.413209187109672E-2</v>
      </c>
      <c r="AK30" s="624">
        <f t="shared" ref="AK30:AK36" si="26">T30*$T$49/($T$47+$T$48+$T$49)</f>
        <v>1669.2582312831323</v>
      </c>
      <c r="AL30" s="626">
        <f t="shared" ref="AL30:AL36" si="27">AK30/SUM($AK$11:$AK$38,$AK$42)</f>
        <v>1.4056763257550772E-2</v>
      </c>
    </row>
    <row r="31" spans="1:38" ht="15" customHeight="1" x14ac:dyDescent="0.2">
      <c r="A31" s="2347" t="s">
        <v>280</v>
      </c>
      <c r="B31" s="2146"/>
      <c r="C31" s="2155"/>
      <c r="D31" s="2026"/>
      <c r="E31" s="2146"/>
      <c r="F31" s="2155"/>
      <c r="G31" s="2155"/>
      <c r="H31" s="2146"/>
      <c r="I31" s="2155"/>
      <c r="J31" s="2026"/>
      <c r="L31" s="673" t="s">
        <v>276</v>
      </c>
      <c r="M31" s="226">
        <f>Table2PRN!G9081</f>
        <v>9</v>
      </c>
      <c r="N31" s="226">
        <f>Table2PRN!G9291</f>
        <v>10</v>
      </c>
      <c r="O31" s="226">
        <f>Table2PRN!G9501</f>
        <v>35</v>
      </c>
      <c r="P31" s="241">
        <f t="shared" si="18"/>
        <v>54</v>
      </c>
      <c r="Q31" s="36"/>
      <c r="R31" s="624"/>
      <c r="S31" s="497" t="s">
        <v>5684</v>
      </c>
      <c r="T31" s="624">
        <f>SUM(Table2PRN!G8218)</f>
        <v>8099</v>
      </c>
      <c r="U31" s="626">
        <f t="shared" si="19"/>
        <v>3.6249300660176793E-2</v>
      </c>
      <c r="V31" s="497"/>
      <c r="W31" s="624">
        <f>SUM(Table2PRN!G8428)</f>
        <v>3</v>
      </c>
      <c r="X31" s="626">
        <f t="shared" si="20"/>
        <v>8.3171610756861659E-4</v>
      </c>
      <c r="Z31" s="318"/>
      <c r="AA31" s="683" t="s">
        <v>5684</v>
      </c>
      <c r="AB31" s="689">
        <f>SUM(Table2PRN!G9058,Table2PRN!G9268,Table2PRN!G9478)</f>
        <v>1317</v>
      </c>
      <c r="AC31" s="690">
        <f t="shared" si="21"/>
        <v>2.0133695460130767E-2</v>
      </c>
      <c r="AD31" s="683"/>
      <c r="AE31" s="624"/>
      <c r="AF31" s="497" t="s">
        <v>5684</v>
      </c>
      <c r="AG31" s="624">
        <f t="shared" si="22"/>
        <v>1265.6230570194173</v>
      </c>
      <c r="AH31" s="626">
        <f t="shared" si="23"/>
        <v>3.6633771496914894E-2</v>
      </c>
      <c r="AI31" s="624">
        <f t="shared" si="24"/>
        <v>2545.6121427388803</v>
      </c>
      <c r="AJ31" s="626">
        <f t="shared" si="25"/>
        <v>3.6300606426898932E-2</v>
      </c>
      <c r="AK31" s="624">
        <f t="shared" si="26"/>
        <v>4287.7648002417027</v>
      </c>
      <c r="AL31" s="626">
        <f t="shared" si="27"/>
        <v>3.610711247158379E-2</v>
      </c>
    </row>
    <row r="32" spans="1:38" ht="15" customHeight="1" x14ac:dyDescent="0.2">
      <c r="A32" s="708" t="s">
        <v>267</v>
      </c>
      <c r="B32" s="46">
        <f>SUM(Table2PRN!G7195)</f>
        <v>3</v>
      </c>
      <c r="C32">
        <f>SUM(Table2PRN!G6985)</f>
        <v>3</v>
      </c>
      <c r="D32" s="47">
        <f>SUM(B32:C32)</f>
        <v>6</v>
      </c>
      <c r="E32" s="46">
        <f>SUM(Table2PRN!G7615)</f>
        <v>22</v>
      </c>
      <c r="F32">
        <f>SUM(Table2PRN!G7405)</f>
        <v>5</v>
      </c>
      <c r="G32">
        <f>SUM(E32:F32)</f>
        <v>27</v>
      </c>
      <c r="H32" s="200">
        <f t="shared" ref="H32:J35" si="28">B32+E32</f>
        <v>25</v>
      </c>
      <c r="I32" s="36">
        <f t="shared" si="28"/>
        <v>8</v>
      </c>
      <c r="J32" s="201">
        <f t="shared" si="28"/>
        <v>33</v>
      </c>
      <c r="K32" s="36"/>
      <c r="L32" s="1678" t="s">
        <v>277</v>
      </c>
      <c r="M32" s="227">
        <f>Table2PRN!G9082</f>
        <v>19</v>
      </c>
      <c r="N32" s="227">
        <f>Table2PRN!G9292</f>
        <v>22</v>
      </c>
      <c r="O32" s="227">
        <f>Table2PRN!G9502</f>
        <v>98</v>
      </c>
      <c r="P32" s="242">
        <f t="shared" si="18"/>
        <v>139</v>
      </c>
      <c r="Q32" s="36"/>
      <c r="R32" s="624"/>
      <c r="S32" s="497" t="s">
        <v>5686</v>
      </c>
      <c r="T32" s="624">
        <f>SUM(Table2PRN!G8220)</f>
        <v>5825</v>
      </c>
      <c r="U32" s="626">
        <f t="shared" si="19"/>
        <v>2.6071388609152958E-2</v>
      </c>
      <c r="V32" s="180"/>
      <c r="W32" s="624">
        <f>SUM(Table2PRN!G8430)</f>
        <v>13</v>
      </c>
      <c r="X32" s="626">
        <f t="shared" si="20"/>
        <v>3.6041031327973387E-3</v>
      </c>
      <c r="Z32" s="318"/>
      <c r="AA32" s="683" t="s">
        <v>5686</v>
      </c>
      <c r="AB32" s="689">
        <f>SUM(Table2PRN!G9060,Table2PRN!G9270,Table2PRN!G9480)</f>
        <v>431</v>
      </c>
      <c r="AC32" s="690">
        <f t="shared" si="21"/>
        <v>6.5889314679699017E-3</v>
      </c>
      <c r="AD32" s="683"/>
      <c r="AE32" s="624"/>
      <c r="AF32" s="497" t="s">
        <v>5686</v>
      </c>
      <c r="AG32" s="624">
        <f t="shared" si="22"/>
        <v>910.26723140364334</v>
      </c>
      <c r="AH32" s="626">
        <f t="shared" si="23"/>
        <v>2.6347909491237106E-2</v>
      </c>
      <c r="AI32" s="624">
        <f t="shared" si="24"/>
        <v>1830.8668639898726</v>
      </c>
      <c r="AJ32" s="626">
        <f t="shared" si="25"/>
        <v>2.6108288978477133E-2</v>
      </c>
      <c r="AK32" s="624">
        <f t="shared" si="26"/>
        <v>3083.8659046064845</v>
      </c>
      <c r="AL32" s="626">
        <f t="shared" si="27"/>
        <v>2.5969123366708927E-2</v>
      </c>
    </row>
    <row r="33" spans="1:38" ht="15" customHeight="1" x14ac:dyDescent="0.2">
      <c r="A33" s="708" t="s">
        <v>6115</v>
      </c>
      <c r="B33" s="46">
        <f>SUM(Table2PRN!G7242,Table2PRN!G7243,Table2PRN!G7244,Table2PRN!G7257,Table2PRN!G7258,Table2PRN!G7266,Table2PRN!G7269,Table2PRN!G7280,Table2PRN!G7287,Table2PRN!G7303)</f>
        <v>455</v>
      </c>
      <c r="C33">
        <f>SUM(Table2PRN!G7032,Table2PRN!G7033,Table2PRN!G7034,Table2PRN!G7047,Table2PRN!G7048,Table2PRN!G7056,Table2PRN!G7059,Table2PRN!G7070,Table2PRN!G7077,Table2PRN!G7093)</f>
        <v>85</v>
      </c>
      <c r="D33" s="47">
        <f>SUM(B33:C33)</f>
        <v>540</v>
      </c>
      <c r="E33" s="46">
        <f>SUM(Table2PRN!G7662,Table2PRN!G7663,Table2PRN!G7664,Table2PRN!G7677,Table2PRN!G7686,Table2PRN!G7678,Table2PRN!G7700,Table2PRN!G7707,Table2PRN!G7689,Table2PRN!G7723)</f>
        <v>1096</v>
      </c>
      <c r="F33">
        <f>SUM(Table2PRN!G7452,Table2PRN!G7453,Table2PRN!G7454,Table2PRN!G7467,Table2PRN!G7476,Table2PRN!G7468,Table2PRN!G7479,Table2PRN!G7490,Table2PRN!G7497,Table2PRN!G7513)</f>
        <v>43</v>
      </c>
      <c r="G33">
        <f>SUM(E33:F33)</f>
        <v>1139</v>
      </c>
      <c r="H33" s="200">
        <f t="shared" si="28"/>
        <v>1551</v>
      </c>
      <c r="I33" s="36">
        <f t="shared" si="28"/>
        <v>128</v>
      </c>
      <c r="J33" s="201">
        <f t="shared" si="28"/>
        <v>1679</v>
      </c>
      <c r="K33" s="36"/>
      <c r="L33" s="2347" t="s">
        <v>280</v>
      </c>
      <c r="M33" s="2348"/>
      <c r="N33" s="2348"/>
      <c r="O33" s="2348"/>
      <c r="P33" s="2349"/>
      <c r="Q33" s="36"/>
      <c r="R33" s="624"/>
      <c r="S33" s="497" t="s">
        <v>5688</v>
      </c>
      <c r="T33" s="624">
        <f>SUM(Table2PRN!G8216)</f>
        <v>382</v>
      </c>
      <c r="U33" s="626">
        <f t="shared" si="19"/>
        <v>1.7097459997762112E-3</v>
      </c>
      <c r="V33" s="497"/>
      <c r="W33" s="624">
        <f>SUM(Table2PRN!G8426)</f>
        <v>12</v>
      </c>
      <c r="X33" s="626">
        <f t="shared" si="20"/>
        <v>3.3268644302744664E-3</v>
      </c>
      <c r="Z33" s="318"/>
      <c r="AA33" s="683" t="s">
        <v>5688</v>
      </c>
      <c r="AB33" s="689">
        <f>SUM(Table2PRN!G9056,Table2PRN!G9266,Table2PRN!G9476)</f>
        <v>30</v>
      </c>
      <c r="AC33" s="690">
        <f t="shared" si="21"/>
        <v>4.5862632027632722E-4</v>
      </c>
      <c r="AD33" s="683"/>
      <c r="AE33" s="624"/>
      <c r="AF33" s="497" t="s">
        <v>5688</v>
      </c>
      <c r="AG33" s="624">
        <f t="shared" si="22"/>
        <v>59.694778093766821</v>
      </c>
      <c r="AH33" s="626">
        <f t="shared" si="23"/>
        <v>1.7278800730734032E-3</v>
      </c>
      <c r="AI33" s="624">
        <f t="shared" si="24"/>
        <v>120.0671488487779</v>
      </c>
      <c r="AJ33" s="626">
        <f t="shared" si="25"/>
        <v>1.7121659038245947E-3</v>
      </c>
      <c r="AK33" s="624">
        <f t="shared" si="26"/>
        <v>202.23807305745527</v>
      </c>
      <c r="AL33" s="626">
        <f t="shared" si="27"/>
        <v>1.7030395066236581E-3</v>
      </c>
    </row>
    <row r="34" spans="1:38" ht="15" customHeight="1" x14ac:dyDescent="0.2">
      <c r="A34" s="708" t="s">
        <v>291</v>
      </c>
      <c r="B34" s="46">
        <f>SUM(Table2PRN!G7231,Table2PRN!G7238,Table2PRN!G7247,Table2PRN!G7252,Table2PRN!G7260,Table2PRN!G7262,Table2PRN!G7270,Table2PRN!G7272,Table2PRN!G7274,Table2PRN!G7281,Table2PRN!G7283,Table2PRN!G7288,Table2PRN!G7290,Table2PRN!G7292,Table2PRN!G7294,Table2PRN!G7296,Table2PRN!G7304,Table2PRN!G7306,Table2PRN!G7308,Table2PRN!G7310)</f>
        <v>0</v>
      </c>
      <c r="C34">
        <f>SUM(Table2PRN!G7021,Table2PRN!G7028,Table2PRN!G7037,Table2PRN!G7042,Table2PRN!G7050,Table2PRN!G7052,Table2PRN!G7060,Table2PRN!G7062,Table2PRN!G7064,Table2PRN!G7071,Table2PRN!G7073,Table2PRN!G7078,Table2PRN!G7080,Table2PRN!G7082,Table2PRN!G7084,Table2PRN!G7086,Table2PRN!G7094,Table2PRN!G7096,Table2PRN!G7098,Table2PRN!G7100)</f>
        <v>0</v>
      </c>
      <c r="D34" s="47">
        <f>SUM(B34:C34)</f>
        <v>0</v>
      </c>
      <c r="E34" s="46">
        <f>SUM(Table2PRN!G7651,Table2PRN!G7658,Table2PRN!G7667,Table2PRN!G7680,Table2PRN!G7682,Table2PRN!G7672,Table2PRN!G7690,Table2PRN!G7692,Table2PRN!G7694,Table2PRN!G7701,Table2PRN!G7703,Table2PRN!G7708,Table2PRN!G7710,Table2PRN!G7712,Table2PRN!G7714,Table2PRN!G7716,Table2PRN!G7724,Table2PRN!G7726,Table2PRN!G7728,Table2PRN!G7730)</f>
        <v>2</v>
      </c>
      <c r="F34">
        <f>SUM(Table2PRN!G7441,Table2PRN!G7448,Table2PRN!G7457,Table2PRN!G7462,Table2PRN!G7470,Table2PRN!G7472,Table2PRN!G7480,Table2PRN!G7482,Table2PRN!G7484,Table2PRN!G7491,Table2PRN!G7493,Table2PRN!G7498,Table2PRN!G7500,Table2PRN!G7502,Table2PRN!G7504,Table2PRN!G7506,Table2PRN!G7514,Table2PRN!G7516,Table2PRN!G7518,Table2PRN!G7520)</f>
        <v>0</v>
      </c>
      <c r="G34">
        <f>SUM(E34:F34)</f>
        <v>2</v>
      </c>
      <c r="H34" s="200">
        <f t="shared" si="28"/>
        <v>2</v>
      </c>
      <c r="I34" s="36">
        <f t="shared" si="28"/>
        <v>0</v>
      </c>
      <c r="J34" s="201">
        <f t="shared" si="28"/>
        <v>2</v>
      </c>
      <c r="K34" s="36"/>
      <c r="L34" s="708" t="s">
        <v>267</v>
      </c>
      <c r="M34" s="226">
        <f>Table2PRN!G9085</f>
        <v>0</v>
      </c>
      <c r="N34" s="226">
        <f>Table2PRN!G9295</f>
        <v>0</v>
      </c>
      <c r="O34" s="226">
        <f>Table2PRN!G9505</f>
        <v>3</v>
      </c>
      <c r="P34" s="241">
        <f>SUM(M34:O34)</f>
        <v>3</v>
      </c>
      <c r="Q34" s="36"/>
      <c r="R34" s="624"/>
      <c r="S34" s="497" t="s">
        <v>5690</v>
      </c>
      <c r="T34" s="624">
        <f>SUM(Table2PRN!G8206)</f>
        <v>381</v>
      </c>
      <c r="U34" s="626">
        <f t="shared" si="19"/>
        <v>1.7052702249076871E-3</v>
      </c>
      <c r="V34" s="497"/>
      <c r="W34" s="624">
        <f>SUM(Table2PRN!G8416)</f>
        <v>26</v>
      </c>
      <c r="X34" s="626">
        <f t="shared" si="20"/>
        <v>7.2082062655946773E-3</v>
      </c>
      <c r="Z34" s="318"/>
      <c r="AA34" s="683" t="s">
        <v>5690</v>
      </c>
      <c r="AB34" s="689">
        <f>SUM(Table2PRN!G9046,Table2PRN!G9256,Table2PRN!G9466)</f>
        <v>21</v>
      </c>
      <c r="AC34" s="690">
        <f t="shared" si="21"/>
        <v>3.2103842419342908E-4</v>
      </c>
      <c r="AD34" s="683"/>
      <c r="AE34" s="624"/>
      <c r="AF34" s="497" t="s">
        <v>5690</v>
      </c>
      <c r="AG34" s="624">
        <f t="shared" si="22"/>
        <v>59.538509041165341</v>
      </c>
      <c r="AH34" s="626">
        <f t="shared" si="23"/>
        <v>1.7233568268088131E-3</v>
      </c>
      <c r="AI34" s="624">
        <f t="shared" si="24"/>
        <v>119.75283694079681</v>
      </c>
      <c r="AJ34" s="626">
        <f t="shared" si="25"/>
        <v>1.7076837941287187E-3</v>
      </c>
      <c r="AK34" s="624">
        <f t="shared" si="26"/>
        <v>201.70865401803786</v>
      </c>
      <c r="AL34" s="626">
        <f t="shared" si="27"/>
        <v>1.6985812880199315E-3</v>
      </c>
    </row>
    <row r="35" spans="1:38" ht="15" customHeight="1" x14ac:dyDescent="0.2">
      <c r="A35" s="1823" t="s">
        <v>292</v>
      </c>
      <c r="B35" s="1355">
        <f>SUM(Table2PRN!G7232,Table2PRN!G7239,Table2PRN!G7248,Table2PRN!G7253,Table2PRN!G7261,Table2PRN!G7263,Table2PRN!G7271,Table2PRN!G7273,Table2PRN!G7275,Table2PRN!G7282,Table2PRN!G7284,Table2PRN!G7289,Table2PRN!G7291,Table2PRN!G7293,Table2PRN!G7295,Table2PRN!G7297,Table2PRN!G7305,Table2PRN!G7307,Table2PRN!G7309,Table2PRN!G7311)</f>
        <v>5</v>
      </c>
      <c r="C35" s="1596">
        <f>SUM(Table2PRN!G7022,Table2PRN!G7029,Table2PRN!G7038,Table2PRN!G7043,Table2PRN!G7051,Table2PRN!G7053,Table2PRN!G7061,Table2PRN!G7063,Table2PRN!G7065,Table2PRN!G7072,Table2PRN!G7074,Table2PRN!G7079,Table2PRN!G7081,Table2PRN!G7083,Table2PRN!G7085,Table2PRN!G7087,Table2PRN!G7095,Table2PRN!G7097,Table2PRN!G7099,Table2PRN!G7101)</f>
        <v>5</v>
      </c>
      <c r="D35" s="1599">
        <f>SUM(B35:C35)</f>
        <v>10</v>
      </c>
      <c r="E35" s="1355">
        <f>SUM(Table2PRN!G7652,Table2PRN!G7659,Table2PRN!G7668,Table2PRN!G7681,Table2PRN!G7683,Table2PRN!G7673,Table2PRN!G7691,Table2PRN!G7693,Table2PRN!G7695,Table2PRN!G7702,Table2PRN!G7704,Table2PRN!G7709,Table2PRN!G7711,Table2PRN!G7713,Table2PRN!G7715,Table2PRN!G7717,Table2PRN!G7725,Table2PRN!G7727,Table2PRN!G7729,Table2PRN!G7731)</f>
        <v>15</v>
      </c>
      <c r="F35" s="1596">
        <f>SUM(Table2PRN!G7442,Table2PRN!G7449,Table2PRN!G7458,Table2PRN!G7463,Table2PRN!G7471,Table2PRN!G7473,Table2PRN!G7481,Table2PRN!G7483,Table2PRN!G7485,Table2PRN!G7492,Table2PRN!G7494,Table2PRN!G7499,Table2PRN!G7501,Table2PRN!G7503,Table2PRN!G7505,Table2PRN!G7507,Table2PRN!G7515,Table2PRN!G7517,Table2PRN!G7519,Table2PRN!G7521)</f>
        <v>3</v>
      </c>
      <c r="G35" s="1596">
        <f>SUM(E35:F35)</f>
        <v>18</v>
      </c>
      <c r="H35" s="1821">
        <f t="shared" si="28"/>
        <v>20</v>
      </c>
      <c r="I35" s="1598">
        <f t="shared" si="28"/>
        <v>8</v>
      </c>
      <c r="J35" s="1822">
        <f t="shared" si="28"/>
        <v>28</v>
      </c>
      <c r="K35" s="36"/>
      <c r="L35" s="708" t="s">
        <v>6115</v>
      </c>
      <c r="M35" s="226">
        <f>SUM(Table2PRN!G9132:G9134,Table2PRN!G9147:G9148,Table2PRN!G9156,Table2PRN!G9159,Table2PRN!G9170,Table2PRN!G9177,Table2PRN!G9193)</f>
        <v>6</v>
      </c>
      <c r="N35" s="226">
        <f>SUM(Table2PRN!G9342,Table2PRN!G9343,Table2PRN!G9344,Table2PRN!G9357,Table2PRN!G9358,Table2PRN!G9366,Table2PRN!G9380,Table2PRN!G9369,Table2PRN!G9387)</f>
        <v>7</v>
      </c>
      <c r="O35" s="226">
        <f>SUM(Table2PRN!G9552,Table2PRN!G9553,Table2PRN!G9554,Table2PRN!G9567,Table2PRN!G9568,Table2PRN!G9576,Table2PRN!G9579,Table2PRN!G9590,Table2PRN!G9597,Table2PRN!G9613)</f>
        <v>26</v>
      </c>
      <c r="P35" s="241">
        <f>SUM(M35:O35)</f>
        <v>39</v>
      </c>
      <c r="Q35" s="36"/>
      <c r="R35" s="624"/>
      <c r="S35" s="497" t="s">
        <v>5692</v>
      </c>
      <c r="T35" s="624">
        <f>SUM(Table2PRN!G8204)</f>
        <v>424</v>
      </c>
      <c r="U35" s="626">
        <f t="shared" si="19"/>
        <v>1.8977285442542239E-3</v>
      </c>
      <c r="V35" s="497"/>
      <c r="W35" s="624">
        <f>SUM(Table2PRN!G8414)</f>
        <v>16</v>
      </c>
      <c r="X35" s="626">
        <f t="shared" si="20"/>
        <v>4.4358192403659551E-3</v>
      </c>
      <c r="Z35" s="318"/>
      <c r="AA35" s="683" t="s">
        <v>5692</v>
      </c>
      <c r="AB35" s="689">
        <f>SUM(Table2PRN!G9044,Table2PRN!G9254,Table2PRN!G9464)</f>
        <v>16</v>
      </c>
      <c r="AC35" s="690">
        <f t="shared" si="21"/>
        <v>2.4460070414737456E-4</v>
      </c>
      <c r="AD35" s="683"/>
      <c r="AE35" s="624"/>
      <c r="AF35" s="497" t="s">
        <v>5692</v>
      </c>
      <c r="AG35" s="624">
        <f t="shared" si="22"/>
        <v>66.258078303029137</v>
      </c>
      <c r="AH35" s="626">
        <f t="shared" si="23"/>
        <v>1.9178564161861857E-3</v>
      </c>
      <c r="AI35" s="624">
        <f t="shared" si="24"/>
        <v>133.26824898398385</v>
      </c>
      <c r="AJ35" s="626">
        <f t="shared" si="25"/>
        <v>1.9004145110513826E-3</v>
      </c>
      <c r="AK35" s="624">
        <f t="shared" si="26"/>
        <v>224.47367271298702</v>
      </c>
      <c r="AL35" s="626">
        <f t="shared" si="27"/>
        <v>1.8902846879801862E-3</v>
      </c>
    </row>
    <row r="36" spans="1:38" ht="15" customHeight="1" x14ac:dyDescent="0.2">
      <c r="A36" s="2347" t="s">
        <v>6116</v>
      </c>
      <c r="B36" s="2146"/>
      <c r="C36" s="2155"/>
      <c r="D36" s="2026"/>
      <c r="E36" s="2146"/>
      <c r="F36" s="2155"/>
      <c r="G36" s="2026"/>
      <c r="H36" s="2343"/>
      <c r="I36" s="2343"/>
      <c r="J36" s="2039"/>
      <c r="K36" s="36"/>
      <c r="L36" s="708" t="s">
        <v>291</v>
      </c>
      <c r="M36" s="226">
        <f>SUM(Table2PRN!G9128,Table2PRN!G9137,Table2PRN!G9142,Table2PRN!G9150,Table2PRN!G9160,Table2PRN!G9171,Table2PRN!G9178,Table2PRN!G9180,Table2PRN!G9182,Table2PRN!G9184,Table2PRN!G9194,Table2PRN!G9196,Table2PRN!G9198,Table2PRN!G9200)</f>
        <v>0</v>
      </c>
      <c r="N36" s="226">
        <f>SUM(Table2PRN!G9338,Table2PRN!G9347,Table2PRN!G9352,Table2PRN!G9360,Table2PRN!G9362,Table2PRN!G9370,Table2PRN!G9372,Table2PRN!G9381,Table2PRN!G9383,Table2PRN!G9388,Table2PRN!G9390,Table2PRN!G9392,Table2PRN!G9394,Table2PRN!G9404,Table2PRN!G9406,Table2PRN!G9408,Table2PRN!G9410)</f>
        <v>0</v>
      </c>
      <c r="O36" s="226">
        <f>SUM(Table2PRN!G9548,Table2PRN!G9557,Table2PRN!G9562,Table2PRN!G9570,Table2PRN!G9572,Table2PRN!G9580,Table2PRN!G9591,Table2PRN!G9593,Table2PRN!G9598,Table2PRN!G9600,Table2PRN!G9602,Table2PRN!G9604,Table2PRN!G9606,Table2PRN!G9614,Table2PRN!G9617,Table2PRN!G9616,Table2PRN!G9617,Table2PRN!G9618,Table2PRN!G9620)</f>
        <v>0</v>
      </c>
      <c r="P36" s="241">
        <f>SUM(M36:O36)</f>
        <v>0</v>
      </c>
      <c r="Q36" s="36"/>
      <c r="R36" s="624"/>
      <c r="S36" s="497" t="s">
        <v>5694</v>
      </c>
      <c r="T36" s="624">
        <f>SUM(Table2PRN!G8208)</f>
        <v>227</v>
      </c>
      <c r="U36" s="626">
        <f t="shared" si="19"/>
        <v>1.0160008951549738E-3</v>
      </c>
      <c r="V36" s="497"/>
      <c r="W36" s="624">
        <f>SUM(Table2PRN!G8418)</f>
        <v>9</v>
      </c>
      <c r="X36" s="626">
        <f t="shared" si="20"/>
        <v>2.4951483227058499E-3</v>
      </c>
      <c r="Z36" s="318"/>
      <c r="AA36" s="683" t="s">
        <v>5694</v>
      </c>
      <c r="AB36" s="689">
        <f>SUM(Table2PRN!G9048,Table2PRN!G9258,Table2PRN!G9468)</f>
        <v>6</v>
      </c>
      <c r="AC36" s="690">
        <f t="shared" si="21"/>
        <v>9.1725264055265453E-5</v>
      </c>
      <c r="AD36" s="683"/>
      <c r="AE36" s="624"/>
      <c r="AF36" s="497" t="s">
        <v>5694</v>
      </c>
      <c r="AG36" s="624">
        <f t="shared" si="22"/>
        <v>35.473074940536826</v>
      </c>
      <c r="AH36" s="626">
        <f t="shared" si="23"/>
        <v>1.0267769020619437E-3</v>
      </c>
      <c r="AI36" s="624">
        <f t="shared" si="24"/>
        <v>71.348803111708335</v>
      </c>
      <c r="AJ36" s="626">
        <f t="shared" si="25"/>
        <v>1.0174389009638299E-3</v>
      </c>
      <c r="AK36" s="624">
        <f t="shared" si="26"/>
        <v>120.17812194775485</v>
      </c>
      <c r="AL36" s="626">
        <f t="shared" si="27"/>
        <v>1.0120156230459959E-3</v>
      </c>
    </row>
    <row r="37" spans="1:38" ht="15" customHeight="1" x14ac:dyDescent="0.2">
      <c r="A37" s="708" t="s">
        <v>6117</v>
      </c>
      <c r="B37" s="46">
        <f>SUM(Table2PRN!G7196:G7197,Table2PRN!G7199,Table2PRN!G7200)</f>
        <v>59</v>
      </c>
      <c r="C37">
        <f>SUM(Table2PRN!G6986:G6987,Table2PRN!G6989:G6990)</f>
        <v>56</v>
      </c>
      <c r="D37" s="47">
        <f>SUM(B37:C37)</f>
        <v>115</v>
      </c>
      <c r="E37" s="46">
        <f>SUM(Table2PRN!G7616:G7617,Table2PRN!G7619,Table2PRN!G7620)</f>
        <v>200</v>
      </c>
      <c r="F37">
        <f>SUM(Table2PRN!G7406:G7407,Table2PRN!G7409:G7410)</f>
        <v>44</v>
      </c>
      <c r="G37" s="47">
        <f>SUM(E37:F37)</f>
        <v>244</v>
      </c>
      <c r="H37" s="200">
        <f t="shared" ref="H37:I39" si="29">B37+E37</f>
        <v>259</v>
      </c>
      <c r="I37" s="36">
        <f t="shared" si="29"/>
        <v>100</v>
      </c>
      <c r="J37" s="201">
        <f>SUM(H37:I37)</f>
        <v>359</v>
      </c>
      <c r="K37" s="36"/>
      <c r="L37" s="1823" t="s">
        <v>292</v>
      </c>
      <c r="M37" s="227">
        <f>SUM(Table2PRN!G9122,Table2PRN!G9129,Table2PRN!G9138,Table2PRN!G9143,Table2PRN!G9151,Table2PRN!G9153,Table2PRN!G9161,Table2PRN!G9163,Table2PRN!G9165,Table2PRN!G9172,Table2PRN!G9174,Table2PRN!G9179,Table2PRN!G9181,Table2PRN!G9183,Table2PRN!G9185,Table2PRN!G9195,Table2PRN!G9197,Table2PRN!G9199,Table2PRN!G9201)</f>
        <v>0</v>
      </c>
      <c r="N37" s="227">
        <f>SUM(Table2PRN!G9332,Table2PRN!G9334,Table2PRN!G9339,Table2PRN!G9348,Table2PRN!G9353,Table2PRN!G9361,Table2PRN!G9363,Table2PRN!G9371,Table2PRN!G9373,Table2PRN!G9375,Table2PRN!G9382,Table2PRN!G9384,Table2PRN!G9389,Table2PRN!G9391,Table2PRN!G9393,Table2PRN!G9405,Table2PRN!G9409,Table2PRN!G9411)</f>
        <v>0</v>
      </c>
      <c r="O37" s="227">
        <f>SUM(Table2PRN!G9542,Table2PRN!G9549,Table2PRN!G9558,Table2PRN!G9563,Table2PRN!G9571,Table2PRN!G9581,Table2PRN!G9583,Table2PRN!G9585,Table2PRN!G9592,Table2PRN!G9594,Table2PRN!G9599,Table2PRN!G9601,Table2PRN!G9603,Table2PRN!G9605,Table2PRN!G9607,Table2PRN!G9615,Table2PRN!G9617,Table2PRN!G9619,Table2PRN!G9621)</f>
        <v>2</v>
      </c>
      <c r="P37" s="242">
        <f>SUM(M37:O37)</f>
        <v>2</v>
      </c>
      <c r="Q37" s="36"/>
      <c r="R37" s="624"/>
      <c r="S37" s="497"/>
      <c r="T37" s="624"/>
      <c r="U37" s="626"/>
      <c r="V37" s="497"/>
      <c r="W37" s="624"/>
      <c r="X37" s="626"/>
      <c r="Z37" s="61"/>
      <c r="AA37" s="683"/>
      <c r="AB37" s="689"/>
      <c r="AC37" s="690"/>
      <c r="AD37" s="683"/>
      <c r="AE37" s="624"/>
      <c r="AF37" s="497"/>
      <c r="AG37" s="624"/>
      <c r="AH37" s="626"/>
      <c r="AI37" s="624"/>
      <c r="AJ37" s="626"/>
      <c r="AK37" s="624"/>
      <c r="AL37" s="626"/>
    </row>
    <row r="38" spans="1:38" ht="15" customHeight="1" x14ac:dyDescent="0.2">
      <c r="A38" s="708" t="s">
        <v>291</v>
      </c>
      <c r="B38" s="46">
        <f>SUM(Table2PRN!G7198,Table2PRN!G7201)</f>
        <v>72</v>
      </c>
      <c r="C38">
        <f>SUM(Table2PRN!G6988,Table2PRN!G6991)</f>
        <v>88</v>
      </c>
      <c r="D38" s="47">
        <f>SUM(B38:C38)</f>
        <v>160</v>
      </c>
      <c r="E38" s="46">
        <f>SUM(Table2PRN!G7618,Table2PRN!G7621)</f>
        <v>257</v>
      </c>
      <c r="F38">
        <f>SUM(Table2PRN!G7408,Table2PRN!G7411)</f>
        <v>56</v>
      </c>
      <c r="G38" s="47">
        <f>SUM(E38:F38)</f>
        <v>313</v>
      </c>
      <c r="H38" s="200">
        <f t="shared" si="29"/>
        <v>329</v>
      </c>
      <c r="I38" s="36">
        <f t="shared" si="29"/>
        <v>144</v>
      </c>
      <c r="J38" s="201">
        <f>SUM(H38:I38)</f>
        <v>473</v>
      </c>
      <c r="K38" s="36"/>
      <c r="L38" s="2347" t="s">
        <v>6116</v>
      </c>
      <c r="M38" s="2350"/>
      <c r="N38" s="2350"/>
      <c r="O38" s="2350"/>
      <c r="P38" s="2345"/>
      <c r="Q38" s="36"/>
      <c r="R38" s="624" t="s">
        <v>6118</v>
      </c>
      <c r="S38" s="497"/>
      <c r="T38" s="624">
        <f>SUM(Table2PRN!G8212:G8214)</f>
        <v>7605</v>
      </c>
      <c r="U38" s="626">
        <f>T38/SUM($T$11:$T$38,$T$42)</f>
        <v>3.4038267875125879E-2</v>
      </c>
      <c r="V38" s="497"/>
      <c r="W38" s="624">
        <f>SUM(Table2PRN!G8420)</f>
        <v>9</v>
      </c>
      <c r="X38" s="626">
        <f>W38/SUM($W$11:$W$38,$W$42)</f>
        <v>2.4951483227058499E-3</v>
      </c>
      <c r="Z38" s="318" t="s">
        <v>6118</v>
      </c>
      <c r="AA38" s="683"/>
      <c r="AB38" s="689" t="s">
        <v>761</v>
      </c>
      <c r="AC38" s="690"/>
      <c r="AD38" s="683"/>
      <c r="AE38" s="624" t="s">
        <v>6118</v>
      </c>
      <c r="AF38" s="497"/>
      <c r="AG38" s="624">
        <f>Table2PRN!G8214</f>
        <v>1137</v>
      </c>
      <c r="AH38" s="626">
        <f>AG38/SUM($AG$11:$AG$38,$AG$42)</f>
        <v>3.2910745392143406E-2</v>
      </c>
      <c r="AI38" s="624">
        <f>Table2PRN!G8213</f>
        <v>2375</v>
      </c>
      <c r="AJ38" s="626">
        <f>AI38/SUM($AI$11:$AI$38,$AI$42)</f>
        <v>3.3867665390347128E-2</v>
      </c>
      <c r="AK38" s="624">
        <f>Table2PRN!G8212</f>
        <v>4093</v>
      </c>
      <c r="AL38" s="626">
        <f>AK38/SUM($AK$11:$AK$38,$AK$42)</f>
        <v>3.4467005125342162E-2</v>
      </c>
    </row>
    <row r="39" spans="1:38" ht="15" customHeight="1" thickBot="1" x14ac:dyDescent="0.25">
      <c r="A39" s="1823" t="s">
        <v>292</v>
      </c>
      <c r="B39" s="46">
        <f>SUM(Table2PRN!G7222)</f>
        <v>0</v>
      </c>
      <c r="C39">
        <f>SUM(Table2PRN!G7012)</f>
        <v>0</v>
      </c>
      <c r="D39" s="47">
        <f>SUM(B39:C39)</f>
        <v>0</v>
      </c>
      <c r="E39" s="46">
        <f>Table2PRN!G7642</f>
        <v>0</v>
      </c>
      <c r="F39">
        <f>SUM(Table2PRN!G7432)</f>
        <v>0</v>
      </c>
      <c r="G39" s="47">
        <f>SUM(E39:F39)</f>
        <v>0</v>
      </c>
      <c r="H39" s="200">
        <f t="shared" si="29"/>
        <v>0</v>
      </c>
      <c r="I39" s="36">
        <f t="shared" si="29"/>
        <v>0</v>
      </c>
      <c r="J39" s="201">
        <f>SUM(H39:I39)</f>
        <v>0</v>
      </c>
      <c r="K39" s="36"/>
      <c r="L39" s="708" t="s">
        <v>6117</v>
      </c>
      <c r="M39" s="226">
        <f>SUM(Table2PRN!G9086,Table2PRN!G9089,Table2PRN!G9090)</f>
        <v>4</v>
      </c>
      <c r="N39" s="226">
        <f>SUM(Table2PRN!G9297,Table2PRN!G9299,Table2PRN!G9300)</f>
        <v>4</v>
      </c>
      <c r="O39" s="226">
        <f>SUM(Table2PRN!G9506,Table2PRN!G9507,Table2PRN!G9509,Table2PRN!G9510)</f>
        <v>27</v>
      </c>
      <c r="P39" s="241">
        <f>SUM(M39:O39)</f>
        <v>35</v>
      </c>
      <c r="R39" s="1812"/>
      <c r="S39" s="1724"/>
      <c r="T39" s="1812"/>
      <c r="U39" s="1815"/>
      <c r="V39" s="1724"/>
      <c r="W39" s="1812"/>
      <c r="X39" s="1815"/>
      <c r="Z39" s="61"/>
      <c r="AA39" s="683"/>
      <c r="AB39" s="689"/>
      <c r="AC39" s="690"/>
      <c r="AD39" s="683"/>
      <c r="AE39" s="1812"/>
      <c r="AF39" s="1724"/>
      <c r="AG39" s="1812"/>
      <c r="AH39" s="1815"/>
      <c r="AI39" s="1812"/>
      <c r="AJ39" s="1815"/>
      <c r="AK39" s="1812"/>
      <c r="AL39" s="1815"/>
    </row>
    <row r="40" spans="1:38" ht="15" customHeight="1" x14ac:dyDescent="0.2">
      <c r="A40" s="2347" t="s">
        <v>6119</v>
      </c>
      <c r="B40" s="2156"/>
      <c r="C40" s="2157"/>
      <c r="D40" s="2042"/>
      <c r="E40" s="2157"/>
      <c r="F40" s="2157"/>
      <c r="G40" s="2042"/>
      <c r="H40" s="2157"/>
      <c r="I40" s="2155"/>
      <c r="J40" s="2026"/>
      <c r="L40" s="708" t="s">
        <v>291</v>
      </c>
      <c r="M40" s="226">
        <f>SUM(Table2PRN!G9088,Table2PRN!G9091)</f>
        <v>6</v>
      </c>
      <c r="N40" s="226">
        <f>SUM(Table2PRN!G9298,Table2PRN!G9301)</f>
        <v>7</v>
      </c>
      <c r="O40" s="226">
        <f>SUM(Table2PRN!G9508,Table2PRN!G9511)</f>
        <v>34</v>
      </c>
      <c r="P40" s="241">
        <f>SUM(M40:O40)</f>
        <v>47</v>
      </c>
      <c r="R40" s="497"/>
      <c r="S40" s="497"/>
      <c r="T40" s="627"/>
      <c r="U40" s="628"/>
      <c r="V40" s="627"/>
      <c r="W40" s="627"/>
      <c r="X40" s="965"/>
      <c r="Z40" s="681"/>
      <c r="AA40" s="709"/>
      <c r="AB40" s="681"/>
      <c r="AC40" s="1390">
        <f>SUM(AC11:AC38)</f>
        <v>0.15756871610293682</v>
      </c>
      <c r="AD40" s="628"/>
      <c r="AE40" s="497"/>
      <c r="AF40" s="497"/>
      <c r="AG40" s="627"/>
      <c r="AH40" s="628"/>
      <c r="AI40" s="627"/>
      <c r="AJ40" s="628"/>
      <c r="AK40" s="627"/>
      <c r="AL40" s="628"/>
    </row>
    <row r="41" spans="1:38" ht="15" customHeight="1" x14ac:dyDescent="0.2">
      <c r="A41" s="708" t="s">
        <v>6120</v>
      </c>
      <c r="B41" s="710">
        <f>SUM(ColRHarvestInput!C59)*ColRHarvestInput!C58</f>
        <v>7909.4752038668339</v>
      </c>
      <c r="C41" s="711">
        <f>SUM(ColRHarvestInput!D59)*ColRHarvestInput!D58</f>
        <v>1838.6306954595057</v>
      </c>
      <c r="D41" s="712">
        <f>SUM(B41:C41)</f>
        <v>9748.1058993263396</v>
      </c>
      <c r="E41" s="711">
        <f>SUM(ColRHarvestInput!E59)*ColRHarvestInput!E58</f>
        <v>16477.415666745837</v>
      </c>
      <c r="F41" s="711">
        <f>SUM(ColRHarvestInput!F59)*ColRHarvestInput!F58</f>
        <v>1160.7610323173647</v>
      </c>
      <c r="G41" s="712">
        <f>SUM(E41:F41)</f>
        <v>17638.176699063202</v>
      </c>
      <c r="H41" s="711">
        <f t="shared" ref="H41:I43" si="30">B41+E41</f>
        <v>24386.890870612671</v>
      </c>
      <c r="I41" s="497">
        <f t="shared" si="30"/>
        <v>2999.3917277768705</v>
      </c>
      <c r="J41" s="625">
        <f>SUM(H41:I41)</f>
        <v>27386.282598389542</v>
      </c>
      <c r="L41" s="708" t="s">
        <v>292</v>
      </c>
      <c r="M41" s="227">
        <f>SUM(Table2PRN!G9093,Table2PRN!G9096,Table2PRN!G9097,Table2PRN!G9098,Table2PRN!G9104,Table2PRN!G9105,Table2PRN!G9109,Table2PRN!G9112,Table2PRN!G9115,Table2PRN!G9118)</f>
        <v>0</v>
      </c>
      <c r="N41" s="227">
        <f>SUM(Table2PRN!G9303,Table2PRN!G9306,Table2PRN!G9319,Table2PRN!G9322,Table2PRN!G9325,Table2PRN!G9328)</f>
        <v>0</v>
      </c>
      <c r="O41" s="227">
        <f>SUM(Table2PRN!G9513,Table2PRN!G9516,Table2PRN!G9529,Table2PRN!G9524,Table2PRN!G9532,Table2PRN!G9538,Table2PRN!G9535)</f>
        <v>0</v>
      </c>
      <c r="P41" s="242">
        <f>SUM(M41:O41)</f>
        <v>0</v>
      </c>
      <c r="R41" s="2346" t="s">
        <v>5761</v>
      </c>
      <c r="S41" s="2339"/>
      <c r="T41" s="2346">
        <f>SUM(T11:T38)</f>
        <v>33413</v>
      </c>
      <c r="U41" s="2395">
        <f>SUM(U11:U38)</f>
        <v>0.14954906568199616</v>
      </c>
      <c r="V41" s="2339"/>
      <c r="W41" s="2346">
        <f>SUM(W11:W38)</f>
        <v>114</v>
      </c>
      <c r="X41" s="2043">
        <f>SUM(X11:X38)</f>
        <v>3.1605212087607436E-2</v>
      </c>
      <c r="Z41" s="61"/>
      <c r="AA41" s="683"/>
      <c r="AB41" s="689"/>
      <c r="AC41" s="361"/>
      <c r="AD41" s="683"/>
      <c r="AE41" s="2346" t="s">
        <v>5761</v>
      </c>
      <c r="AF41" s="2339"/>
      <c r="AG41" s="2346">
        <f t="shared" ref="AG41:AL41" si="31">SUM(AG11:AG38)</f>
        <v>5169.9917095390947</v>
      </c>
      <c r="AH41" s="2043">
        <f t="shared" si="31"/>
        <v>0.14964668498868369</v>
      </c>
      <c r="AI41" s="2346">
        <f t="shared" si="31"/>
        <v>10486.761721176073</v>
      </c>
      <c r="AJ41" s="2043">
        <f t="shared" si="31"/>
        <v>0.14954195242151241</v>
      </c>
      <c r="AK41" s="2346">
        <f t="shared" si="31"/>
        <v>17756.246569284831</v>
      </c>
      <c r="AL41" s="2043">
        <f t="shared" si="31"/>
        <v>0.14952471085032482</v>
      </c>
    </row>
    <row r="42" spans="1:38" ht="15" customHeight="1" thickBot="1" x14ac:dyDescent="0.25">
      <c r="A42" s="708" t="s">
        <v>6121</v>
      </c>
      <c r="B42" s="710">
        <f>SUM(ColRHarvestInput!C60)*ColRHarvestInput!C58</f>
        <v>68143.768111961792</v>
      </c>
      <c r="C42" s="711">
        <f>SUM(ColRHarvestInput!D60)*ColRHarvestInput!D58</f>
        <v>264.46429125768742</v>
      </c>
      <c r="D42" s="712">
        <f>SUM(B42:C42)</f>
        <v>68408.232403219474</v>
      </c>
      <c r="E42" s="711">
        <f>SUM(ColRHarvestInput!E60)*ColRHarvestInput!E58</f>
        <v>1639.5438474373971</v>
      </c>
      <c r="F42" s="711">
        <f>SUM(ColRHarvestInput!F60)*ColRHarvestInput!F58</f>
        <v>39.650176781886358</v>
      </c>
      <c r="G42" s="712">
        <f>SUM(E42:F42)</f>
        <v>1679.1940242192834</v>
      </c>
      <c r="H42" s="711">
        <f t="shared" si="30"/>
        <v>69783.311959399187</v>
      </c>
      <c r="I42" s="497">
        <f t="shared" si="30"/>
        <v>304.11446803957381</v>
      </c>
      <c r="J42" s="625">
        <f>SUM(H42:I42)</f>
        <v>70087.426427438768</v>
      </c>
      <c r="L42" s="2347" t="s">
        <v>6119</v>
      </c>
      <c r="M42" s="2348"/>
      <c r="N42" s="113"/>
      <c r="O42" s="113"/>
      <c r="P42" s="243"/>
      <c r="R42" s="1812" t="s">
        <v>444</v>
      </c>
      <c r="S42" s="1724"/>
      <c r="T42" s="1610">
        <f>SUM(TRunsPRN!C71:C73)</f>
        <v>190012</v>
      </c>
      <c r="U42" s="1612"/>
      <c r="V42" s="1611"/>
      <c r="W42" s="1610">
        <f>SUM(TRunsPRN!C74)</f>
        <v>3493</v>
      </c>
      <c r="X42" s="1612"/>
      <c r="Z42" s="62" t="s">
        <v>444</v>
      </c>
      <c r="AA42" s="499"/>
      <c r="AB42" s="713">
        <f>P11+P39+P40+P41</f>
        <v>55105.730743243606</v>
      </c>
      <c r="AC42" s="714"/>
      <c r="AD42" s="180"/>
      <c r="AE42" s="1812" t="s">
        <v>444</v>
      </c>
      <c r="AF42" s="1724"/>
      <c r="AG42" s="1812">
        <f>TRunsPRN!D71-'ColR&amp;OCN&amp;RogKlam'!AG38</f>
        <v>29377.995169889942</v>
      </c>
      <c r="AH42" s="1612"/>
      <c r="AI42" s="1812">
        <f>TRunsPRN!D72-'ColR&amp;OCN&amp;RogKlam'!AI38</f>
        <v>59639.123031332325</v>
      </c>
      <c r="AJ42" s="1612"/>
      <c r="AK42" s="1812">
        <f>TRunsPRN!D73-'ColR&amp;OCN&amp;RogKlam'!AK38</f>
        <v>100995.00510214591</v>
      </c>
      <c r="AL42" s="1612"/>
    </row>
    <row r="43" spans="1:38" ht="15" customHeight="1" x14ac:dyDescent="0.2">
      <c r="A43" s="1823" t="s">
        <v>298</v>
      </c>
      <c r="B43" s="1824">
        <f>ColRHarvestInput!C61*ColRHarvestInput!C58</f>
        <v>2479.5324280412219</v>
      </c>
      <c r="C43" s="1825">
        <f>ColRHarvestInput!D61*ColRHarvestInput!D58</f>
        <v>415.58245972271442</v>
      </c>
      <c r="D43" s="1826">
        <f>SUM(B43:C43)</f>
        <v>2895.1148877639362</v>
      </c>
      <c r="E43" s="1825">
        <f>ColRHarvestInput!E61*ColRHarvestInput!E58</f>
        <v>2689.0434025558761</v>
      </c>
      <c r="F43" s="1825">
        <f>ColRHarvestInput!F61*ColRHarvestInput!F58</f>
        <v>112.32613613236649</v>
      </c>
      <c r="G43" s="1826">
        <f>SUM(E43:F43)</f>
        <v>2801.3695386882428</v>
      </c>
      <c r="H43" s="1825">
        <f t="shared" si="30"/>
        <v>5168.5758305970976</v>
      </c>
      <c r="I43" s="1724">
        <f t="shared" si="30"/>
        <v>527.90859585508088</v>
      </c>
      <c r="J43" s="1814">
        <f>SUM(H43:I43)</f>
        <v>5696.484426452178</v>
      </c>
      <c r="L43" s="708" t="s">
        <v>6120</v>
      </c>
      <c r="M43" s="364">
        <f>SUM(ColRHarvestInput!G59)*('ColR&amp;OCN&amp;RogKlam'!M$11+'ColR&amp;OCN&amp;RogKlam'!M$29)</f>
        <v>122.33061067945044</v>
      </c>
      <c r="N43" s="364">
        <f>SUM(ColRHarvestInput!G59)*SUM('ColR&amp;OCN&amp;RogKlam'!N$11,'ColR&amp;OCN&amp;RogKlam'!N$29)</f>
        <v>137.41435294064539</v>
      </c>
      <c r="O43" s="364">
        <f>SUM(ColRHarvestInput!H59)*('ColR&amp;OCN&amp;RogKlam'!O$11+'ColR&amp;OCN&amp;RogKlam'!O$29)</f>
        <v>707.84143213285313</v>
      </c>
      <c r="P43" s="246">
        <f>SUM(M43:O43)</f>
        <v>967.58639575294899</v>
      </c>
      <c r="Q43" s="715"/>
      <c r="R43" s="39"/>
      <c r="S43" s="39"/>
      <c r="X43" s="1143">
        <f>SUM(X11:X36)</f>
        <v>2.9110063764901585E-2</v>
      </c>
      <c r="AB43" s="39"/>
      <c r="AC43" s="39"/>
      <c r="AD43" s="38"/>
      <c r="AE43" s="38"/>
      <c r="AF43" s="38"/>
      <c r="AG43" s="38"/>
      <c r="AH43" s="38"/>
    </row>
    <row r="44" spans="1:38" ht="15" customHeight="1" thickBot="1" x14ac:dyDescent="0.25">
      <c r="K44" s="715"/>
      <c r="L44" s="708" t="s">
        <v>6121</v>
      </c>
      <c r="M44" s="364">
        <f>SUM(ColRHarvestInput!G60)*('ColR&amp;OCN&amp;RogKlam'!M$11+'ColR&amp;OCN&amp;RogKlam'!M$29)</f>
        <v>17.595745753812519</v>
      </c>
      <c r="N44" s="364">
        <f>SUM(ColRHarvestInput!G60)*SUM('ColR&amp;OCN&amp;RogKlam'!N$11,'ColR&amp;OCN&amp;RogKlam'!N$29)</f>
        <v>19.765355570765781</v>
      </c>
      <c r="O44" s="364">
        <f>SUM(ColRHarvestInput!H60)*('ColR&amp;OCN&amp;RogKlam'!O$11+'ColR&amp;OCN&amp;RogKlam'!O$29)</f>
        <v>24.178997344164536</v>
      </c>
      <c r="P44" s="246">
        <f>SUM(M44:O44)</f>
        <v>61.540098668742836</v>
      </c>
      <c r="T44" s="180" t="s">
        <v>6122</v>
      </c>
      <c r="U44" s="728">
        <f>U41-U38</f>
        <v>0.11551079780687029</v>
      </c>
      <c r="X44" s="208">
        <f>SUM(X13:X36)</f>
        <v>2.8278347657332968E-2</v>
      </c>
      <c r="AB44" s="39"/>
      <c r="AC44" s="39"/>
      <c r="AD44" s="38"/>
      <c r="AE44" s="38"/>
      <c r="AF44" s="38"/>
      <c r="AG44" s="38"/>
      <c r="AH44" s="38"/>
    </row>
    <row r="45" spans="1:38" ht="15" customHeight="1" thickBot="1" x14ac:dyDescent="0.25">
      <c r="A45" s="716" t="s">
        <v>316</v>
      </c>
      <c r="B45" s="717">
        <f t="shared" ref="B45:J45" si="32">SUM(B11,B18:B39)</f>
        <v>371211.42172373401</v>
      </c>
      <c r="C45" s="718">
        <f t="shared" si="32"/>
        <v>232937.78035896231</v>
      </c>
      <c r="D45" s="719">
        <f t="shared" si="32"/>
        <v>604149.20208269625</v>
      </c>
      <c r="E45" s="717">
        <f t="shared" si="32"/>
        <v>357126.13483391074</v>
      </c>
      <c r="F45" s="718">
        <f t="shared" si="32"/>
        <v>53161.486870012232</v>
      </c>
      <c r="G45" s="719">
        <f t="shared" si="32"/>
        <v>410287.62170392292</v>
      </c>
      <c r="H45" s="718">
        <f t="shared" si="32"/>
        <v>728337.55655764462</v>
      </c>
      <c r="I45" s="718">
        <f t="shared" si="32"/>
        <v>286099.26722897455</v>
      </c>
      <c r="J45" s="719">
        <f t="shared" si="32"/>
        <v>1014436.8237866191</v>
      </c>
      <c r="L45" s="1823" t="s">
        <v>298</v>
      </c>
      <c r="M45" s="364">
        <f>SUM(ColRHarvestInput!G61)*('ColR&amp;OCN&amp;RogKlam'!M$11+'ColR&amp;OCN&amp;RogKlam'!M$29)</f>
        <v>27.650172604587329</v>
      </c>
      <c r="N45" s="364">
        <f>SUM(ColRHarvestInput!G61)*SUM('ColR&amp;OCN&amp;RogKlam'!N$11,'ColR&amp;OCN&amp;RogKlam'!N$29)</f>
        <v>31.059524317365213</v>
      </c>
      <c r="O45" s="364">
        <f>SUM(ColRHarvestInput!H61)*('ColR&amp;OCN&amp;RogKlam'!O$11+'ColR&amp;OCN&amp;RogKlam'!O$29)</f>
        <v>68.497383054934843</v>
      </c>
      <c r="P45" s="247">
        <f>SUM(M45:O45)</f>
        <v>127.20707997688739</v>
      </c>
      <c r="AB45" s="39"/>
      <c r="AC45" s="39"/>
      <c r="AD45" s="38"/>
      <c r="AE45" s="38"/>
      <c r="AF45" s="38"/>
      <c r="AG45" s="38"/>
      <c r="AH45" s="38"/>
    </row>
    <row r="46" spans="1:38" ht="15" customHeight="1" thickBot="1" x14ac:dyDescent="0.25">
      <c r="P46" s="244"/>
      <c r="R46" s="82"/>
      <c r="S46" s="83"/>
      <c r="T46" s="82" t="s">
        <v>6123</v>
      </c>
      <c r="U46" s="633" t="s">
        <v>6124</v>
      </c>
      <c r="V46" s="634" t="s">
        <v>6125</v>
      </c>
      <c r="W46" s="635" t="s">
        <v>6126</v>
      </c>
      <c r="AB46" s="39"/>
      <c r="AC46" s="39"/>
      <c r="AD46" s="38"/>
      <c r="AE46" s="38"/>
      <c r="AF46" s="38"/>
      <c r="AG46" s="38"/>
      <c r="AH46" s="38"/>
    </row>
    <row r="47" spans="1:38" ht="16.5" thickBot="1" x14ac:dyDescent="0.3">
      <c r="A47" s="36" t="s">
        <v>6127</v>
      </c>
      <c r="B47" s="36">
        <f t="shared" ref="B47:J47" si="33">B11+B27</f>
        <v>229220.42172373398</v>
      </c>
      <c r="C47" s="36">
        <f t="shared" si="33"/>
        <v>202202.78035896231</v>
      </c>
      <c r="D47" s="36">
        <f t="shared" si="33"/>
        <v>431423.20208269625</v>
      </c>
      <c r="E47" s="36">
        <f t="shared" si="33"/>
        <v>206869.13483391071</v>
      </c>
      <c r="F47" s="36">
        <f t="shared" si="33"/>
        <v>45480.486870012232</v>
      </c>
      <c r="G47" s="36">
        <f t="shared" si="33"/>
        <v>252349.62170392292</v>
      </c>
      <c r="H47" s="36">
        <f t="shared" si="33"/>
        <v>436089.55655764468</v>
      </c>
      <c r="I47" s="36">
        <f t="shared" si="33"/>
        <v>247683.26722897455</v>
      </c>
      <c r="J47" s="36">
        <f t="shared" si="33"/>
        <v>683772.82378661912</v>
      </c>
      <c r="L47" s="228" t="s">
        <v>316</v>
      </c>
      <c r="M47" s="229">
        <f>SUM(M11,M20:M41)</f>
        <v>15499.266968445121</v>
      </c>
      <c r="N47" s="230">
        <f>SUM(N11,N20:N41)</f>
        <v>17412.096352161767</v>
      </c>
      <c r="O47" s="230">
        <f>SUM(O11,O20:O41)</f>
        <v>32419.367422636718</v>
      </c>
      <c r="P47" s="245">
        <f>SUM(P11,P20:P41)</f>
        <v>65330.730743243606</v>
      </c>
      <c r="R47" s="50" t="s">
        <v>6128</v>
      </c>
      <c r="T47" s="619">
        <f>TRunsPRN!D71+TRunsPRN!D222</f>
        <v>31098.007904292921</v>
      </c>
      <c r="U47" s="636">
        <v>0</v>
      </c>
      <c r="V47" s="637">
        <f>(T47-U47)*0.1*0.1</f>
        <v>310.98007904292922</v>
      </c>
      <c r="W47" s="638">
        <f>U47*0.05</f>
        <v>0</v>
      </c>
      <c r="X47" s="38"/>
      <c r="AB47" s="39"/>
      <c r="AC47" s="39"/>
      <c r="AD47" s="38"/>
      <c r="AE47" s="38"/>
      <c r="AF47" s="38"/>
      <c r="AG47" s="38"/>
      <c r="AH47" s="38"/>
    </row>
    <row r="48" spans="1:38" ht="15.75" x14ac:dyDescent="0.25">
      <c r="A48" t="s">
        <v>6129</v>
      </c>
      <c r="B48" s="36">
        <f t="shared" ref="B48:J48" si="34">SUM(B18:B21,B23:B26,B28:B30,B32:B35,B37:B39)</f>
        <v>141991</v>
      </c>
      <c r="C48" s="36">
        <f t="shared" si="34"/>
        <v>30735</v>
      </c>
      <c r="D48" s="36">
        <f t="shared" si="34"/>
        <v>172726</v>
      </c>
      <c r="E48" s="36">
        <f t="shared" si="34"/>
        <v>150257</v>
      </c>
      <c r="F48" s="36">
        <f t="shared" si="34"/>
        <v>7681</v>
      </c>
      <c r="G48" s="36">
        <f t="shared" si="34"/>
        <v>157938</v>
      </c>
      <c r="H48" s="36">
        <f t="shared" si="34"/>
        <v>292248</v>
      </c>
      <c r="I48" s="36">
        <f t="shared" si="34"/>
        <v>38416</v>
      </c>
      <c r="J48" s="36">
        <f t="shared" si="34"/>
        <v>330664</v>
      </c>
      <c r="R48" s="322" t="s">
        <v>6130</v>
      </c>
      <c r="T48" s="619">
        <f>TRunsPRN!D72+TRunsPRN!D223</f>
        <v>62549.007855933203</v>
      </c>
      <c r="U48" s="636">
        <v>0</v>
      </c>
      <c r="V48" s="637">
        <f>(T48-U48)*0.1*0.1</f>
        <v>625.49007855933212</v>
      </c>
      <c r="W48" s="638">
        <f>U48*0.05</f>
        <v>0</v>
      </c>
      <c r="X48" s="38"/>
      <c r="AB48" s="39"/>
      <c r="AC48" s="39"/>
      <c r="AD48" s="38"/>
      <c r="AE48" s="38"/>
      <c r="AF48" s="38"/>
      <c r="AG48" s="38"/>
      <c r="AH48" s="38"/>
    </row>
    <row r="49" spans="2:34" ht="16.5" thickBot="1" x14ac:dyDescent="0.3">
      <c r="B49" s="36">
        <f t="shared" ref="B49:J49" si="35">SUM(B47:B48)</f>
        <v>371211.42172373401</v>
      </c>
      <c r="C49" s="36">
        <f t="shared" si="35"/>
        <v>232937.78035896231</v>
      </c>
      <c r="D49" s="36">
        <f t="shared" si="35"/>
        <v>604149.20208269625</v>
      </c>
      <c r="E49" s="36">
        <f t="shared" si="35"/>
        <v>357126.13483391074</v>
      </c>
      <c r="F49" s="36">
        <f t="shared" si="35"/>
        <v>53161.486870012232</v>
      </c>
      <c r="G49" s="36">
        <f t="shared" si="35"/>
        <v>410287.62170392292</v>
      </c>
      <c r="H49" s="36">
        <f t="shared" si="35"/>
        <v>728337.55655764462</v>
      </c>
      <c r="I49" s="36">
        <f t="shared" si="35"/>
        <v>286099.26722897455</v>
      </c>
      <c r="J49" s="36">
        <f t="shared" si="35"/>
        <v>1014436.8237866191</v>
      </c>
      <c r="L49" t="s">
        <v>6131</v>
      </c>
      <c r="M49" s="36">
        <f>M11+M29</f>
        <v>13453.266968445121</v>
      </c>
      <c r="N49" s="36">
        <f>N11+N29</f>
        <v>15112.096352161767</v>
      </c>
      <c r="O49" s="36">
        <f>O11+O29</f>
        <v>27734.367422636718</v>
      </c>
      <c r="P49" s="36">
        <f>SUM(M49:O49)</f>
        <v>56299.730743243606</v>
      </c>
      <c r="R49" s="315" t="s">
        <v>6132</v>
      </c>
      <c r="S49" s="63"/>
      <c r="T49" s="620">
        <f>TRunsPRN!D73+TRunsPRN!D224</f>
        <v>105355.96907003858</v>
      </c>
      <c r="U49" s="639">
        <v>0</v>
      </c>
      <c r="V49" s="640">
        <f>(T49-U49)*0.1*0.1</f>
        <v>1053.559690700386</v>
      </c>
      <c r="W49" s="641">
        <f>U49*0.05</f>
        <v>0</v>
      </c>
      <c r="X49" s="38"/>
      <c r="AB49" s="39"/>
      <c r="AC49" s="39"/>
      <c r="AD49" s="38"/>
      <c r="AE49" s="38"/>
      <c r="AF49" s="38"/>
      <c r="AG49" s="38"/>
      <c r="AH49" s="38"/>
    </row>
    <row r="50" spans="2:34" ht="13.5" thickBot="1" x14ac:dyDescent="0.25">
      <c r="B50" s="2555" t="s">
        <v>1429</v>
      </c>
      <c r="C50" s="2555"/>
      <c r="D50" s="2556"/>
      <c r="E50" s="2555" t="s">
        <v>1432</v>
      </c>
      <c r="F50" s="2555"/>
      <c r="G50" s="2555"/>
      <c r="H50" s="2557" t="s">
        <v>6049</v>
      </c>
      <c r="I50" s="2558"/>
      <c r="J50" s="2559"/>
      <c r="L50" t="s">
        <v>6129</v>
      </c>
      <c r="M50" s="36">
        <f>SUM(M20:M23,M25:M28,M30:M32,M34:M37,M39:M41)</f>
        <v>2046</v>
      </c>
      <c r="N50" s="36">
        <f>SUM(N20:N23,N25:N28,N30:N32,N34:N37,N39:N41)</f>
        <v>2300</v>
      </c>
      <c r="O50" s="36">
        <f>SUM(O20:O23,O25:O28,O30:O32,O34:O37,O39:O41)</f>
        <v>4685</v>
      </c>
      <c r="P50" s="36">
        <f>SUM(M50:O50)</f>
        <v>9031</v>
      </c>
      <c r="R50" s="37"/>
      <c r="AB50" s="39"/>
      <c r="AC50" s="39"/>
      <c r="AD50" s="38"/>
      <c r="AE50" s="38"/>
      <c r="AF50" s="38"/>
      <c r="AG50" s="38"/>
      <c r="AH50" s="38"/>
    </row>
    <row r="51" spans="2:34" ht="13.5" thickBot="1" x14ac:dyDescent="0.25">
      <c r="B51" s="671" t="s">
        <v>234</v>
      </c>
      <c r="C51" s="671" t="s">
        <v>235</v>
      </c>
      <c r="D51" s="672" t="s">
        <v>236</v>
      </c>
      <c r="E51" s="671" t="s">
        <v>234</v>
      </c>
      <c r="F51" s="671" t="s">
        <v>235</v>
      </c>
      <c r="G51" s="671" t="s">
        <v>236</v>
      </c>
      <c r="H51" s="673" t="s">
        <v>234</v>
      </c>
      <c r="I51" s="674" t="s">
        <v>235</v>
      </c>
      <c r="J51" s="675" t="s">
        <v>236</v>
      </c>
      <c r="L51" t="s">
        <v>6083</v>
      </c>
      <c r="M51" s="36">
        <f>SUM(M49:M50)</f>
        <v>15499.266968445121</v>
      </c>
      <c r="N51" s="36">
        <f>SUM(N49:N50)</f>
        <v>17412.096352161767</v>
      </c>
      <c r="O51" s="36">
        <f>SUM(O49:O50)</f>
        <v>32419.367422636718</v>
      </c>
      <c r="P51" s="36">
        <f>SUM(M51:O51)</f>
        <v>65330.730743243606</v>
      </c>
      <c r="R51" s="82"/>
      <c r="S51" s="83"/>
      <c r="T51" s="82" t="s">
        <v>6133</v>
      </c>
      <c r="U51" s="642" t="s">
        <v>6124</v>
      </c>
      <c r="V51" s="634" t="s">
        <v>6125</v>
      </c>
      <c r="W51" s="635" t="s">
        <v>6126</v>
      </c>
      <c r="Y51" s="37" t="s">
        <v>6134</v>
      </c>
      <c r="AB51" s="39"/>
      <c r="AC51" s="39"/>
      <c r="AD51" s="38"/>
      <c r="AE51" s="38"/>
      <c r="AF51" s="38"/>
      <c r="AG51" s="38"/>
      <c r="AH51" s="38"/>
    </row>
    <row r="52" spans="2:34" x14ac:dyDescent="0.2">
      <c r="C52" s="321">
        <f>C48/C47</f>
        <v>0.15200087726507724</v>
      </c>
      <c r="F52" s="321">
        <f>F48/F47</f>
        <v>0.16888561509803235</v>
      </c>
      <c r="I52" s="321">
        <f>I48/I47</f>
        <v>0.15510131318029549</v>
      </c>
      <c r="L52" t="s">
        <v>6135</v>
      </c>
      <c r="M52" s="36">
        <f>SUM(M22:M28,M30:M32)</f>
        <v>2014</v>
      </c>
      <c r="N52" s="36">
        <f>SUM(N22:N28,N30:N32)</f>
        <v>2265</v>
      </c>
      <c r="O52" s="36">
        <f>SUM(O22:O28,O30:O32)</f>
        <v>4529</v>
      </c>
      <c r="P52" s="36">
        <f>SUM(M52:O52)</f>
        <v>8808</v>
      </c>
      <c r="R52" s="50" t="s">
        <v>6128</v>
      </c>
      <c r="T52" s="643">
        <f>TRunsPRN!D71</f>
        <v>30514.995169889942</v>
      </c>
      <c r="U52" s="619">
        <f>T52/T47*U47</f>
        <v>0</v>
      </c>
      <c r="V52" s="59">
        <f>(T52-U52)*0.1*0.1</f>
        <v>305.14995169889943</v>
      </c>
      <c r="W52" s="59">
        <f>U52*0.05</f>
        <v>0</v>
      </c>
      <c r="X52" s="38">
        <f>AG38</f>
        <v>1137</v>
      </c>
      <c r="Y52" s="2101">
        <f>X52/SUM($X$52:$X$54)</f>
        <v>0.14950690335305719</v>
      </c>
      <c r="AB52" s="39"/>
      <c r="AC52" s="39"/>
      <c r="AD52" s="38"/>
      <c r="AE52" s="38"/>
      <c r="AF52" s="38"/>
      <c r="AG52" s="38"/>
      <c r="AH52" s="38"/>
    </row>
    <row r="53" spans="2:34" x14ac:dyDescent="0.2">
      <c r="R53" s="322" t="s">
        <v>6130</v>
      </c>
      <c r="T53" s="619">
        <f>TRunsPRN!D72</f>
        <v>62014.123031332325</v>
      </c>
      <c r="U53" s="619">
        <f>T53/T48*U48</f>
        <v>0</v>
      </c>
      <c r="V53" s="59">
        <f>(T53-U53)*0.1*0.1</f>
        <v>620.14123031332338</v>
      </c>
      <c r="W53" s="59">
        <f>U53*0.05</f>
        <v>0</v>
      </c>
      <c r="X53" s="38">
        <f>AI38</f>
        <v>2375</v>
      </c>
      <c r="Y53" s="2101">
        <f>X53/SUM($X$52:$X$54)</f>
        <v>0.31229454306377386</v>
      </c>
      <c r="AB53" s="38"/>
      <c r="AC53" s="39"/>
      <c r="AD53" s="38"/>
      <c r="AE53" s="38"/>
      <c r="AF53" s="38"/>
      <c r="AG53" s="38"/>
      <c r="AH53" s="38"/>
    </row>
    <row r="54" spans="2:34" ht="13.5" thickBot="1" x14ac:dyDescent="0.25">
      <c r="M54" s="321"/>
      <c r="N54" s="321"/>
      <c r="O54" s="321"/>
      <c r="P54" s="36"/>
      <c r="R54" s="315" t="s">
        <v>6132</v>
      </c>
      <c r="S54" s="63"/>
      <c r="T54" s="620">
        <f>TRunsPRN!D73</f>
        <v>105088.00510214591</v>
      </c>
      <c r="U54" s="620">
        <f>T54/T49*U49</f>
        <v>0</v>
      </c>
      <c r="V54" s="64">
        <f>(T54-U54)*0.1*0.1</f>
        <v>1050.8800510214592</v>
      </c>
      <c r="W54" s="64">
        <f>U54*0.05</f>
        <v>0</v>
      </c>
      <c r="X54" s="38">
        <f>AK38</f>
        <v>4093</v>
      </c>
      <c r="Y54" s="2101">
        <f>X54/SUM($X$52:$X$54)</f>
        <v>0.53819855358316893</v>
      </c>
      <c r="AB54" s="38"/>
      <c r="AC54" s="39"/>
      <c r="AD54" s="38"/>
      <c r="AE54" s="38"/>
      <c r="AF54" s="38"/>
      <c r="AG54" s="38"/>
      <c r="AH54" s="38"/>
    </row>
    <row r="55" spans="2:34" ht="13.5" thickBot="1" x14ac:dyDescent="0.25">
      <c r="M55" s="321"/>
      <c r="N55" s="321"/>
      <c r="O55" s="321"/>
      <c r="P55" s="321"/>
      <c r="AB55" s="38"/>
      <c r="AC55" s="39"/>
      <c r="AD55" s="38"/>
      <c r="AE55" s="38"/>
      <c r="AF55" s="38"/>
      <c r="AG55" s="38"/>
      <c r="AH55" s="38"/>
    </row>
    <row r="56" spans="2:34" ht="13.5" thickBot="1" x14ac:dyDescent="0.25">
      <c r="M56" s="363"/>
      <c r="N56" s="321"/>
      <c r="O56" s="363"/>
      <c r="R56" s="1446"/>
      <c r="S56" s="1440"/>
      <c r="T56" s="82" t="s">
        <v>6136</v>
      </c>
      <c r="U56" s="1448" t="s">
        <v>6137</v>
      </c>
      <c r="V56" s="1447" t="s">
        <v>6138</v>
      </c>
      <c r="AB56" s="38"/>
      <c r="AC56" s="38"/>
      <c r="AD56" s="38"/>
      <c r="AE56" s="38"/>
      <c r="AF56" s="38"/>
      <c r="AG56" s="38"/>
      <c r="AH56" s="38"/>
    </row>
    <row r="57" spans="2:34" x14ac:dyDescent="0.2">
      <c r="M57" s="363"/>
      <c r="N57" s="363"/>
      <c r="O57" s="363"/>
      <c r="R57" s="50" t="s">
        <v>6128</v>
      </c>
      <c r="T57" s="61">
        <f>T47/T52</f>
        <v>1.0191057783610025</v>
      </c>
      <c r="U57" s="1449">
        <v>651</v>
      </c>
      <c r="V57" s="1827">
        <f>T57*U57</f>
        <v>663.43786171301258</v>
      </c>
      <c r="AB57" s="39"/>
      <c r="AC57" s="39"/>
      <c r="AD57" s="39"/>
      <c r="AE57" s="39"/>
      <c r="AF57" s="39"/>
      <c r="AG57" s="39"/>
      <c r="AH57" s="39"/>
    </row>
    <row r="58" spans="2:34" x14ac:dyDescent="0.2">
      <c r="R58" s="322" t="s">
        <v>6130</v>
      </c>
      <c r="T58" s="61">
        <f>T48/T53</f>
        <v>1.0086252098466446</v>
      </c>
      <c r="U58" s="1449">
        <v>1643</v>
      </c>
      <c r="V58" s="1827">
        <f t="shared" ref="V58" si="36">T58*U58</f>
        <v>1657.1712197780371</v>
      </c>
      <c r="AB58" s="39"/>
      <c r="AC58" s="39"/>
      <c r="AD58" s="40"/>
      <c r="AE58" s="40"/>
      <c r="AF58" s="40"/>
      <c r="AG58" s="40"/>
      <c r="AH58" s="40"/>
    </row>
    <row r="59" spans="2:34" ht="13.5" thickBot="1" x14ac:dyDescent="0.25">
      <c r="R59" s="315" t="s">
        <v>6132</v>
      </c>
      <c r="S59" s="63"/>
      <c r="T59" s="62">
        <f>T49/T54</f>
        <v>1.0025499006059941</v>
      </c>
      <c r="U59" s="1450">
        <v>2800</v>
      </c>
      <c r="V59" s="1445">
        <f>T59*U59</f>
        <v>2807.1397216967835</v>
      </c>
      <c r="AB59" s="39"/>
      <c r="AC59" s="39"/>
      <c r="AD59" s="39"/>
      <c r="AE59" s="39"/>
      <c r="AF59" s="39"/>
      <c r="AG59" s="39"/>
      <c r="AH59" s="43"/>
    </row>
    <row r="148" spans="5:18" x14ac:dyDescent="0.2">
      <c r="R148">
        <f>SUM(SPS!Z36:AC36)*(B160/(1-B160))</f>
        <v>0</v>
      </c>
    </row>
    <row r="154" spans="5:18" x14ac:dyDescent="0.2">
      <c r="E154">
        <f>SPS!D50*B158</f>
        <v>0</v>
      </c>
    </row>
    <row r="155" spans="5:18" x14ac:dyDescent="0.2">
      <c r="E155">
        <f>SPS!D50*B159</f>
        <v>0</v>
      </c>
    </row>
    <row r="156" spans="5:18" x14ac:dyDescent="0.2">
      <c r="E156" t="e">
        <f>SPS!C47/E154</f>
        <v>#DIV/0!</v>
      </c>
    </row>
    <row r="157" spans="5:18" x14ac:dyDescent="0.2">
      <c r="E157" t="e">
        <f>SPS!C47/E155</f>
        <v>#DIV/0!</v>
      </c>
    </row>
  </sheetData>
  <mergeCells count="12">
    <mergeCell ref="AG9:AH9"/>
    <mergeCell ref="AI9:AJ9"/>
    <mergeCell ref="AK9:AL9"/>
    <mergeCell ref="B50:D50"/>
    <mergeCell ref="E50:G50"/>
    <mergeCell ref="H50:J50"/>
    <mergeCell ref="AB9:AC9"/>
    <mergeCell ref="T9:U9"/>
    <mergeCell ref="W9:X9"/>
    <mergeCell ref="B9:D9"/>
    <mergeCell ref="E9:G9"/>
    <mergeCell ref="H9:J9"/>
  </mergeCells>
  <phoneticPr fontId="0" type="noConversion"/>
  <pageMargins left="0.4" right="0.45" top="0.36" bottom="0.59" header="0.3" footer="0.19"/>
  <pageSetup orientation="portrait" r:id="rId1"/>
  <headerFooter alignWithMargins="0">
    <oddFooter>&amp;L&amp;D&amp;C&amp;F</oddFooter>
  </headerFooter>
  <rowBreaks count="1" manualBreakCount="1">
    <brk id="47" max="16383" man="1"/>
  </rowBreaks>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FF0000"/>
    <pageSetUpPr fitToPage="1"/>
  </sheetPr>
  <dimension ref="A2:R77"/>
  <sheetViews>
    <sheetView topLeftCell="A25" workbookViewId="0">
      <selection activeCell="P16" sqref="P16"/>
    </sheetView>
  </sheetViews>
  <sheetFormatPr defaultRowHeight="12.75" x14ac:dyDescent="0.2"/>
  <cols>
    <col min="1" max="1" width="43.5703125" customWidth="1"/>
    <col min="2" max="10" width="10.28515625" customWidth="1"/>
    <col min="12" max="12" width="31" customWidth="1"/>
    <col min="13" max="13" width="11" customWidth="1"/>
    <col min="14" max="14" width="12.5703125" customWidth="1"/>
    <col min="15" max="15" width="13.5703125" customWidth="1"/>
    <col min="16" max="16" width="15.28515625" customWidth="1"/>
  </cols>
  <sheetData>
    <row r="2" spans="1:18" x14ac:dyDescent="0.2">
      <c r="A2" s="45" t="s">
        <v>6085</v>
      </c>
      <c r="L2" s="45" t="s">
        <v>6086</v>
      </c>
    </row>
    <row r="3" spans="1:18" ht="15.75" x14ac:dyDescent="0.25">
      <c r="A3" s="1"/>
    </row>
    <row r="4" spans="1:18" x14ac:dyDescent="0.2">
      <c r="A4" s="505" t="s">
        <v>197</v>
      </c>
      <c r="L4" t="str">
        <f>A4</f>
        <v>Estimated fishery impacts from regulations described by the following FRAM run:</v>
      </c>
    </row>
    <row r="5" spans="1:18" x14ac:dyDescent="0.2">
      <c r="A5" s="505" t="s">
        <v>122</v>
      </c>
      <c r="B5" s="667" t="str">
        <f>Input_Harvestnew!B3</f>
        <v>bc-Coho2229</v>
      </c>
      <c r="L5" t="str">
        <f>A5</f>
        <v>FRAM Run Number:</v>
      </c>
      <c r="M5" t="str">
        <f>B5</f>
        <v>bc-Coho2229</v>
      </c>
    </row>
    <row r="6" spans="1:18" x14ac:dyDescent="0.2">
      <c r="A6" s="505" t="s">
        <v>123</v>
      </c>
      <c r="B6" s="667" t="str">
        <f>Input_Harvestnew!B4</f>
        <v>Final PFMC April - Adopted+NOF</v>
      </c>
      <c r="L6" t="str">
        <f>A6</f>
        <v>Run Description:</v>
      </c>
      <c r="M6" t="str">
        <f>B6</f>
        <v>Final PFMC April - Adopted+NOF</v>
      </c>
    </row>
    <row r="7" spans="1:18" x14ac:dyDescent="0.2">
      <c r="A7" s="505" t="s">
        <v>6088</v>
      </c>
      <c r="L7" t="str">
        <f>A7</f>
        <v xml:space="preserve">Impacts are expressed as total fishery-related mortality, incl. landed catch, non-retention mort., and other fishery-related mort. </v>
      </c>
    </row>
    <row r="8" spans="1:18" ht="15" x14ac:dyDescent="0.2">
      <c r="A8" s="6"/>
      <c r="B8" s="6"/>
      <c r="C8" s="6"/>
      <c r="D8" s="6"/>
      <c r="E8" s="6"/>
      <c r="F8" s="6"/>
      <c r="G8" s="6"/>
      <c r="H8" s="6"/>
      <c r="L8" s="6"/>
      <c r="M8" s="6"/>
      <c r="N8" s="6"/>
      <c r="O8" s="6"/>
      <c r="P8" s="6"/>
    </row>
    <row r="9" spans="1:18" x14ac:dyDescent="0.2">
      <c r="A9" s="2335"/>
      <c r="B9" s="2565" t="s">
        <v>1429</v>
      </c>
      <c r="C9" s="2565"/>
      <c r="D9" s="2566"/>
      <c r="E9" s="2565" t="s">
        <v>1432</v>
      </c>
      <c r="F9" s="2565"/>
      <c r="G9" s="2567"/>
      <c r="H9" s="2562" t="s">
        <v>6049</v>
      </c>
      <c r="I9" s="2563"/>
      <c r="J9" s="2564"/>
      <c r="L9" s="2336"/>
      <c r="M9" s="2337"/>
      <c r="N9" s="2337"/>
      <c r="O9" s="2337"/>
      <c r="P9" s="2337"/>
    </row>
    <row r="10" spans="1:18" x14ac:dyDescent="0.2">
      <c r="A10" s="1828" t="s">
        <v>233</v>
      </c>
      <c r="B10" s="2351" t="s">
        <v>234</v>
      </c>
      <c r="C10" s="2352" t="s">
        <v>235</v>
      </c>
      <c r="D10" s="2044" t="s">
        <v>236</v>
      </c>
      <c r="E10" s="671" t="s">
        <v>234</v>
      </c>
      <c r="F10" s="671" t="s">
        <v>235</v>
      </c>
      <c r="G10" s="671" t="s">
        <v>236</v>
      </c>
      <c r="H10" s="673" t="s">
        <v>234</v>
      </c>
      <c r="I10" s="671" t="s">
        <v>235</v>
      </c>
      <c r="J10" s="675" t="s">
        <v>236</v>
      </c>
      <c r="L10" s="676" t="s">
        <v>233</v>
      </c>
      <c r="M10" s="677" t="s">
        <v>6096</v>
      </c>
      <c r="N10" s="677" t="s">
        <v>6097</v>
      </c>
      <c r="O10" s="677" t="s">
        <v>6098</v>
      </c>
      <c r="P10" s="677" t="s">
        <v>236</v>
      </c>
    </row>
    <row r="11" spans="1:18" x14ac:dyDescent="0.2">
      <c r="A11" s="2340" t="s">
        <v>6101</v>
      </c>
      <c r="B11" s="2340">
        <f>'ColR&amp;OCN&amp;RogKlam'!B11</f>
        <v>184007.42172373398</v>
      </c>
      <c r="C11" s="2341">
        <f>'ColR&amp;OCN&amp;RogKlam'!C11</f>
        <v>195239.78035896231</v>
      </c>
      <c r="D11" s="2341">
        <f>'ColR&amp;OCN&amp;RogKlam'!D11</f>
        <v>379247.20208269625</v>
      </c>
      <c r="E11" s="2340">
        <f>'ColR&amp;OCN&amp;RogKlam'!E11</f>
        <v>196092.13483391071</v>
      </c>
      <c r="F11" s="2341">
        <f>'ColR&amp;OCN&amp;RogKlam'!F11</f>
        <v>44992.486870012232</v>
      </c>
      <c r="G11" s="2038">
        <f>'ColR&amp;OCN&amp;RogKlam'!G11</f>
        <v>241084.62170392292</v>
      </c>
      <c r="H11" s="2340">
        <f>'ColR&amp;OCN&amp;RogKlam'!H11</f>
        <v>380099.55655764468</v>
      </c>
      <c r="I11" s="2341">
        <f>'ColR&amp;OCN&amp;RogKlam'!I11</f>
        <v>240232.26722897455</v>
      </c>
      <c r="J11" s="2038">
        <f>'ColR&amp;OCN&amp;RogKlam'!J11</f>
        <v>620331.82378661912</v>
      </c>
      <c r="L11" s="2340" t="s">
        <v>6101</v>
      </c>
      <c r="M11" s="2350">
        <f>'ColR&amp;OCN&amp;RogKlam'!M11</f>
        <v>12992.266968445121</v>
      </c>
      <c r="N11" s="2350">
        <f>'ColR&amp;OCN&amp;RogKlam'!N11</f>
        <v>14594.096352161767</v>
      </c>
      <c r="O11" s="2350">
        <f>'ColR&amp;OCN&amp;RogKlam'!O11</f>
        <v>27437.367422636718</v>
      </c>
      <c r="P11" s="2045">
        <f>'ColR&amp;OCN&amp;RogKlam'!P11</f>
        <v>55023.730743243606</v>
      </c>
    </row>
    <row r="12" spans="1:18" x14ac:dyDescent="0.2">
      <c r="A12" s="684" t="s">
        <v>6102</v>
      </c>
      <c r="B12" s="685">
        <f>'ColR&amp;OCN&amp;RogKlam'!B12</f>
        <v>0.50430560334245988</v>
      </c>
      <c r="C12" s="549">
        <f>'ColR&amp;OCN&amp;RogKlam'!C12</f>
        <v>0.16183720795272688</v>
      </c>
      <c r="D12" s="549">
        <f>'ColR&amp;OCN&amp;RogKlam'!D12</f>
        <v>0.37226234715644846</v>
      </c>
      <c r="E12" s="685">
        <f>'ColR&amp;OCN&amp;RogKlam'!E12</f>
        <v>0.45091631301330654</v>
      </c>
      <c r="F12" s="549">
        <f>'ColR&amp;OCN&amp;RogKlam'!F12</f>
        <v>0.15366387362291847</v>
      </c>
      <c r="G12" s="686">
        <f>'ColR&amp;OCN&amp;RogKlam'!G12</f>
        <v>0.41240093790132054</v>
      </c>
      <c r="H12" s="685">
        <f>'ColR&amp;OCN&amp;RogKlam'!H12</f>
        <v>0.47812720470695452</v>
      </c>
      <c r="I12" s="549">
        <f>'ColR&amp;OCN&amp;RogKlam'!I12</f>
        <v>0.16031848121893702</v>
      </c>
      <c r="J12" s="686">
        <f>'ColR&amp;OCN&amp;RogKlam'!J12</f>
        <v>0.38849634670093336</v>
      </c>
      <c r="L12" s="684" t="s">
        <v>6102</v>
      </c>
      <c r="M12" s="687">
        <f>'ColR&amp;OCN&amp;RogKlam'!M12</f>
        <v>0.16174958500321263</v>
      </c>
      <c r="N12" s="687">
        <f>'ColR&amp;OCN&amp;RogKlam'!N12</f>
        <v>0.16184151195844584</v>
      </c>
      <c r="O12" s="687">
        <f>'ColR&amp;OCN&amp;RogKlam'!O12</f>
        <v>0.15367357219071875</v>
      </c>
      <c r="P12" s="1829">
        <f>'ColR&amp;OCN&amp;RogKlam'!P12</f>
        <v>0.15776648879847302</v>
      </c>
      <c r="Q12" s="1326"/>
      <c r="R12" s="1326"/>
    </row>
    <row r="13" spans="1:18" x14ac:dyDescent="0.2">
      <c r="A13" s="684" t="s">
        <v>6103</v>
      </c>
      <c r="B13" s="685">
        <f>'ColR&amp;OCN&amp;RogKlam'!B13</f>
        <v>0.38250708811883943</v>
      </c>
      <c r="C13" s="549">
        <f>'ColR&amp;OCN&amp;RogKlam'!C13</f>
        <v>0.13194510548111466</v>
      </c>
      <c r="D13" s="549">
        <f>'ColR&amp;OCN&amp;RogKlam'!D13</f>
        <v>0.28589957481456241</v>
      </c>
      <c r="E13" s="685">
        <f>'ColR&amp;OCN&amp;RogKlam'!E13</f>
        <v>0.42073930005117177</v>
      </c>
      <c r="F13" s="549">
        <f>'ColR&amp;OCN&amp;RogKlam'!F13</f>
        <v>0.14448429591108297</v>
      </c>
      <c r="G13" s="686">
        <f>'ColR&amp;OCN&amp;RogKlam'!G13</f>
        <v>0.38494458922276059</v>
      </c>
      <c r="H13" s="685">
        <f>'ColR&amp;OCN&amp;RogKlam'!H13</f>
        <v>0.40125350858090741</v>
      </c>
      <c r="I13" s="264">
        <f>'ColR&amp;OCN&amp;RogKlam'!I13</f>
        <v>0.13427507302650454</v>
      </c>
      <c r="J13" s="686">
        <f>'ColR&amp;OCN&amp;RogKlam'!J13</f>
        <v>0.32595819892038269</v>
      </c>
      <c r="L13" s="684" t="s">
        <v>6103</v>
      </c>
      <c r="M13" s="697">
        <f>'ColR&amp;OCN&amp;RogKlam'!M13</f>
        <v>0.13200624288654689</v>
      </c>
      <c r="N13" s="697">
        <f>'ColR&amp;OCN&amp;RogKlam'!N13</f>
        <v>0.13209207860341571</v>
      </c>
      <c r="O13" s="697">
        <f>'ColR&amp;OCN&amp;RogKlam'!O13</f>
        <v>0.14451238171688427</v>
      </c>
      <c r="P13" s="548">
        <f>'ColR&amp;OCN&amp;RogKlam'!P13</f>
        <v>0.1382350985096546</v>
      </c>
      <c r="Q13" s="209"/>
    </row>
    <row r="14" spans="1:18" x14ac:dyDescent="0.2">
      <c r="A14" s="684" t="s">
        <v>6107</v>
      </c>
      <c r="B14" s="691">
        <f>'ColR&amp;OCN&amp;RogKlam'!B14</f>
        <v>0.37707083297714866</v>
      </c>
      <c r="C14" s="692">
        <f>'ColR&amp;OCN&amp;RogKlam'!C14</f>
        <v>0.12982436749160203</v>
      </c>
      <c r="D14" s="692">
        <f>'ColR&amp;OCN&amp;RogKlam'!D14</f>
        <v>0.28174166151874025</v>
      </c>
      <c r="E14" s="691">
        <f>'ColR&amp;OCN&amp;RogKlam'!E14</f>
        <v>0.41189648600882034</v>
      </c>
      <c r="F14" s="692">
        <f>'ColR&amp;OCN&amp;RogKlam'!F14</f>
        <v>0.13964996912431715</v>
      </c>
      <c r="G14" s="693">
        <f>'ColR&amp;OCN&amp;RogKlam'!G14</f>
        <v>0.37662115995180789</v>
      </c>
      <c r="H14" s="685">
        <f>'ColR&amp;OCN&amp;RogKlam'!H14</f>
        <v>0.39414691363273063</v>
      </c>
      <c r="I14" s="264">
        <f>'ColR&amp;OCN&amp;RogKlam'!I14</f>
        <v>0.13165010999435897</v>
      </c>
      <c r="J14" s="686">
        <f>'ColR&amp;OCN&amp;RogKlam'!J14</f>
        <v>0.32011554823872063</v>
      </c>
      <c r="L14" s="684" t="s">
        <v>6107</v>
      </c>
      <c r="M14" s="697">
        <f>'ColR&amp;OCN&amp;RogKlam'!M14</f>
        <v>0.12994162911706034</v>
      </c>
      <c r="N14" s="697">
        <f>'ColR&amp;OCN&amp;RogKlam'!N14</f>
        <v>0.13008198175510285</v>
      </c>
      <c r="O14" s="697">
        <f>'ColR&amp;OCN&amp;RogKlam'!O14</f>
        <v>0.13970044328618331</v>
      </c>
      <c r="P14" s="1830">
        <f>'ColR&amp;OCN&amp;RogKlam'!P14</f>
        <v>0.13482169722877174</v>
      </c>
      <c r="Q14" s="206"/>
      <c r="R14" s="206"/>
    </row>
    <row r="15" spans="1:18" x14ac:dyDescent="0.2">
      <c r="A15" s="684" t="s">
        <v>6139</v>
      </c>
      <c r="B15" s="691">
        <f>'ColR&amp;OCN&amp;RogKlam'!B15</f>
        <v>0.50046951448132626</v>
      </c>
      <c r="C15" s="692">
        <f>'ColR&amp;OCN&amp;RogKlam'!C15</f>
        <v>0.16073390903915452</v>
      </c>
      <c r="D15" s="692">
        <f>'ColR&amp;OCN&amp;RogKlam'!D15</f>
        <v>0.36947992189758017</v>
      </c>
      <c r="E15" s="691">
        <f>'ColR&amp;OCN&amp;RogKlam'!E15</f>
        <v>0.44653130769654831</v>
      </c>
      <c r="F15" s="692">
        <f>'ColR&amp;OCN&amp;RogKlam'!F15</f>
        <v>0.15166994895600339</v>
      </c>
      <c r="G15" s="693">
        <f>'ColR&amp;OCN&amp;RogKlam'!G15</f>
        <v>0.4083257479332289</v>
      </c>
      <c r="H15" s="685">
        <f>'ColR&amp;OCN&amp;RogKlam'!H15</f>
        <v>0.47402196535319702</v>
      </c>
      <c r="I15" s="264">
        <f>'ColR&amp;OCN&amp;RogKlam'!I15</f>
        <v>0.1590496908318946</v>
      </c>
      <c r="J15" s="686">
        <f>'ColR&amp;OCN&amp;RogKlam'!J15</f>
        <v>0.38519106447795159</v>
      </c>
      <c r="L15" s="684" t="s">
        <v>6139</v>
      </c>
      <c r="M15" s="687">
        <f>'ColR&amp;OCN&amp;RogKlam'!M17</f>
        <v>0.16071727811846936</v>
      </c>
      <c r="N15" s="687">
        <f>'ColR&amp;OCN&amp;RogKlam'!N17</f>
        <v>0.16086517920355103</v>
      </c>
      <c r="O15" s="687">
        <f>'ColR&amp;OCN&amp;RogKlam'!O17</f>
        <v>0.15169944360376453</v>
      </c>
      <c r="P15" s="1829">
        <f>'ColR&amp;OCN&amp;RogKlam'!P17</f>
        <v>0.15628173577495</v>
      </c>
      <c r="Q15" s="206"/>
    </row>
    <row r="16" spans="1:18" x14ac:dyDescent="0.2">
      <c r="A16" s="1817" t="s">
        <v>6110</v>
      </c>
      <c r="B16" s="685">
        <f>'ColR&amp;OCN&amp;RogKlam'!B16</f>
        <v>0.71586368358471097</v>
      </c>
      <c r="C16" s="549">
        <f>'ColR&amp;OCN&amp;RogKlam'!C16</f>
        <v>0.17264986978267377</v>
      </c>
      <c r="D16" s="549">
        <f>'ColR&amp;OCN&amp;RogKlam'!D16</f>
        <v>0.50642035466667834</v>
      </c>
      <c r="E16" s="685">
        <f>'ColR&amp;OCN&amp;RogKlam'!E16</f>
        <v>0.50917584903526514</v>
      </c>
      <c r="F16" s="549">
        <f>'ColR&amp;OCN&amp;RogKlam'!F16</f>
        <v>0.17835726394214443</v>
      </c>
      <c r="G16" s="686">
        <f>'ColR&amp;OCN&amp;RogKlam'!G16</f>
        <v>0.46631126590515282</v>
      </c>
      <c r="H16" s="685">
        <f>'ColR&amp;OCN&amp;RogKlam'!H16</f>
        <v>0.61451832962726716</v>
      </c>
      <c r="I16" s="549">
        <f>'ColR&amp;OCN&amp;RogKlam'!I16</f>
        <v>0.17371038826148499</v>
      </c>
      <c r="J16" s="686">
        <f>'ColR&amp;OCN&amp;RogKlam'!J16</f>
        <v>0.49019828716004832</v>
      </c>
      <c r="L16" s="1817" t="s">
        <v>6110</v>
      </c>
      <c r="M16" s="1831">
        <f>'ColR&amp;OCN&amp;RogKlam'!M18</f>
        <v>0.17256148529365981</v>
      </c>
      <c r="N16" s="1831">
        <f>'ColR&amp;OCN&amp;RogKlam'!N18</f>
        <v>0.17265234306238733</v>
      </c>
      <c r="O16" s="1831">
        <f>'ColR&amp;OCN&amp;RogKlam'!O18</f>
        <v>0.17836615184830312</v>
      </c>
      <c r="P16" s="1832">
        <f>'ColR&amp;OCN&amp;RogKlam'!P18</f>
        <v>0.17546617715712753</v>
      </c>
    </row>
    <row r="17" spans="1:17" ht="15" x14ac:dyDescent="0.2">
      <c r="A17" s="2353"/>
      <c r="B17" s="2156"/>
      <c r="C17" s="2157"/>
      <c r="D17" s="2157"/>
      <c r="E17" s="2156"/>
      <c r="F17" s="2157"/>
      <c r="G17" s="2042"/>
      <c r="H17" s="2155"/>
      <c r="I17" s="2155"/>
      <c r="J17" s="2026"/>
      <c r="L17" s="704"/>
      <c r="M17" s="113"/>
      <c r="N17" s="113"/>
      <c r="O17" s="113"/>
      <c r="P17" s="243"/>
    </row>
    <row r="18" spans="1:17" x14ac:dyDescent="0.2">
      <c r="A18" s="707" t="s">
        <v>262</v>
      </c>
      <c r="B18" s="685">
        <f>'ColR&amp;OCN&amp;RogKlam'!B18/'ColR&amp;OCN&amp;RogKlam'!$B$45</f>
        <v>3.8280072132520432E-3</v>
      </c>
      <c r="C18" s="549">
        <f>'ColR&amp;OCN&amp;RogKlam'!C18/'ColR&amp;OCN&amp;RogKlam'!$C$45</f>
        <v>1.090419937927546E-3</v>
      </c>
      <c r="D18" s="549">
        <f>'ColR&amp;OCN&amp;RogKlam'!D18/'ColR&amp;OCN&amp;RogKlam'!$D$45</f>
        <v>2.7724939373018078E-3</v>
      </c>
      <c r="E18" s="685">
        <f>'ColR&amp;OCN&amp;RogKlam'!E18/'ColR&amp;OCN&amp;RogKlam'!$E$45</f>
        <v>4.3850053167581874E-3</v>
      </c>
      <c r="F18" s="549">
        <f>'ColR&amp;OCN&amp;RogKlam'!F18/'ColR&amp;OCN&amp;RogKlam'!$F$45</f>
        <v>1.9939246669150889E-3</v>
      </c>
      <c r="G18" s="686">
        <f>'ColR&amp;OCN&amp;RogKlam'!G18/'ColR&amp;OCN&amp;RogKlam'!$G$45</f>
        <v>4.0751899680916293E-3</v>
      </c>
      <c r="H18" s="549">
        <f>'ColR&amp;OCN&amp;RogKlam'!H18/'ColR&amp;OCN&amp;RogKlam'!$H$45</f>
        <v>4.1011203845062088E-3</v>
      </c>
      <c r="I18" s="549">
        <f>'ColR&amp;OCN&amp;RogKlam'!I18/'ColR&amp;OCN&amp;RogKlam'!$I$45</f>
        <v>1.2583045160751156E-3</v>
      </c>
      <c r="J18" s="686">
        <f>'ColR&amp;OCN&amp;RogKlam'!J18/'ColR&amp;OCN&amp;RogKlam'!$J$45</f>
        <v>3.299367611189972E-3</v>
      </c>
      <c r="L18" s="707" t="s">
        <v>262</v>
      </c>
      <c r="M18" s="248">
        <f>'ColR&amp;OCN&amp;RogKlam'!M20/'ColR&amp;OCN&amp;RogKlam'!M$47</f>
        <v>1.0323068847432797E-3</v>
      </c>
      <c r="N18" s="248">
        <f>'ColR&amp;OCN&amp;RogKlam'!N20/'ColR&amp;OCN&amp;RogKlam'!N$47</f>
        <v>9.763327548948117E-4</v>
      </c>
      <c r="O18" s="248">
        <f>'ColR&amp;OCN&amp;RogKlam'!O20/'ColR&amp;OCN&amp;RogKlam'!O$47</f>
        <v>1.9741285869542356E-3</v>
      </c>
      <c r="P18" s="248">
        <f>'ColR&amp;OCN&amp;RogKlam'!P20/'ColR&amp;OCN&amp;RogKlam'!P$47</f>
        <v>1.4847530235230313E-3</v>
      </c>
    </row>
    <row r="19" spans="1:17" x14ac:dyDescent="0.2">
      <c r="A19" s="707" t="s">
        <v>263</v>
      </c>
      <c r="B19" s="685">
        <f>'ColR&amp;OCN&amp;RogKlam'!B19/'ColR&amp;OCN&amp;RogKlam'!$B$45</f>
        <v>8.0816478816017807E-6</v>
      </c>
      <c r="C19" s="549">
        <f>'ColR&amp;OCN&amp;RogKlam'!C19/'ColR&amp;OCN&amp;RogKlam'!$C$45</f>
        <v>1.2878975644813535E-5</v>
      </c>
      <c r="D19" s="549">
        <f>'ColR&amp;OCN&amp;RogKlam'!D19/'ColR&amp;OCN&amp;RogKlam'!$D$45</f>
        <v>9.9313215664542356E-6</v>
      </c>
      <c r="E19" s="685">
        <f>'ColR&amp;OCN&amp;RogKlam'!E19/'ColR&amp;OCN&amp;RogKlam'!$E$45</f>
        <v>0</v>
      </c>
      <c r="F19" s="549">
        <f>'ColR&amp;OCN&amp;RogKlam'!F19/'ColR&amp;OCN&amp;RogKlam'!$F$45</f>
        <v>0</v>
      </c>
      <c r="G19" s="686">
        <f>'ColR&amp;OCN&amp;RogKlam'!G19/'ColR&amp;OCN&amp;RogKlam'!$G$45</f>
        <v>0</v>
      </c>
      <c r="H19" s="549">
        <f>'ColR&amp;OCN&amp;RogKlam'!H19/'ColR&amp;OCN&amp;RogKlam'!$H$45</f>
        <v>4.1189692512616758E-6</v>
      </c>
      <c r="I19" s="549">
        <f>'ColR&amp;OCN&amp;RogKlam'!I19/'ColR&amp;OCN&amp;RogKlam'!$I$45</f>
        <v>1.048587096729263E-5</v>
      </c>
      <c r="J19" s="686">
        <f>'ColR&amp;OCN&amp;RogKlam'!J19/'ColR&amp;OCN&amp;RogKlam'!$J$45</f>
        <v>5.9146117917955877E-6</v>
      </c>
      <c r="L19" s="707" t="s">
        <v>263</v>
      </c>
      <c r="M19" s="248">
        <f>'ColR&amp;OCN&amp;RogKlam'!M21/'ColR&amp;OCN&amp;RogKlam'!M$47</f>
        <v>0</v>
      </c>
      <c r="N19" s="248">
        <f>'ColR&amp;OCN&amp;RogKlam'!N21/'ColR&amp;OCN&amp;RogKlam'!N$47</f>
        <v>0</v>
      </c>
      <c r="O19" s="248">
        <f>'ColR&amp;OCN&amp;RogKlam'!O21/'ColR&amp;OCN&amp;RogKlam'!O$47</f>
        <v>0</v>
      </c>
      <c r="P19" s="248">
        <f>'ColR&amp;OCN&amp;RogKlam'!P21/'ColR&amp;OCN&amp;RogKlam'!P$47</f>
        <v>0</v>
      </c>
    </row>
    <row r="20" spans="1:17" x14ac:dyDescent="0.2">
      <c r="A20" s="707" t="s">
        <v>264</v>
      </c>
      <c r="B20" s="685">
        <f>'ColR&amp;OCN&amp;RogKlam'!B20/'ColR&amp;OCN&amp;RogKlam'!$B$45</f>
        <v>2.1677673501083176E-2</v>
      </c>
      <c r="C20" s="549">
        <f>'ColR&amp;OCN&amp;RogKlam'!C20/'ColR&amp;OCN&amp;RogKlam'!$C$45</f>
        <v>1.077111663094572E-2</v>
      </c>
      <c r="D20" s="549">
        <f>'ColR&amp;OCN&amp;RogKlam'!D20/'ColR&amp;OCN&amp;RogKlam'!$D$45</f>
        <v>1.7472505075915152E-2</v>
      </c>
      <c r="E20" s="685">
        <f>'ColR&amp;OCN&amp;RogKlam'!E20/'ColR&amp;OCN&amp;RogKlam'!$E$45</f>
        <v>1.1172523125073544E-2</v>
      </c>
      <c r="F20" s="549">
        <f>'ColR&amp;OCN&amp;RogKlam'!F20/'ColR&amp;OCN&amp;RogKlam'!$F$45</f>
        <v>6.4332286423109467E-3</v>
      </c>
      <c r="G20" s="686">
        <f>'ColR&amp;OCN&amp;RogKlam'!G20/'ColR&amp;OCN&amp;RogKlam'!$G$45</f>
        <v>1.0558446735510129E-2</v>
      </c>
      <c r="H20" s="549">
        <f>'ColR&amp;OCN&amp;RogKlam'!H20/'ColR&amp;OCN&amp;RogKlam'!$H$45</f>
        <v>1.6526677625812263E-2</v>
      </c>
      <c r="I20" s="549">
        <f>'ColR&amp;OCN&amp;RogKlam'!I20/'ColR&amp;OCN&amp;RogKlam'!$I$45</f>
        <v>9.9650727092504294E-3</v>
      </c>
      <c r="J20" s="686">
        <f>'ColR&amp;OCN&amp;RogKlam'!J20/'ColR&amp;OCN&amp;RogKlam'!$J$45</f>
        <v>1.4676123392708785E-2</v>
      </c>
      <c r="L20" s="707" t="s">
        <v>264</v>
      </c>
      <c r="M20" s="248">
        <f>'ColR&amp;OCN&amp;RogKlam'!M22/'ColR&amp;OCN&amp;RogKlam'!M$47</f>
        <v>1.0710183929211527E-2</v>
      </c>
      <c r="N20" s="248">
        <f>'ColR&amp;OCN&amp;RogKlam'!N22/'ColR&amp;OCN&amp;RogKlam'!N$47</f>
        <v>1.0797091642366153E-2</v>
      </c>
      <c r="O20" s="248">
        <f>'ColR&amp;OCN&amp;RogKlam'!O22/'ColR&amp;OCN&amp;RogKlam'!O$47</f>
        <v>6.4467636667724249E-3</v>
      </c>
      <c r="P20" s="248">
        <f>'ColR&amp;OCN&amp;RogKlam'!P22/'ColR&amp;OCN&amp;RogKlam'!P$47</f>
        <v>8.6176902293140893E-3</v>
      </c>
    </row>
    <row r="21" spans="1:17" x14ac:dyDescent="0.2">
      <c r="A21" s="707" t="s">
        <v>265</v>
      </c>
      <c r="B21" s="685">
        <f>'ColR&amp;OCN&amp;RogKlam'!B21/'ColR&amp;OCN&amp;RogKlam'!$B$45</f>
        <v>0.1656980265164813</v>
      </c>
      <c r="C21" s="549">
        <f>'ColR&amp;OCN&amp;RogKlam'!C21/'ColR&amp;OCN&amp;RogKlam'!$C$45</f>
        <v>4.5613038742047932E-2</v>
      </c>
      <c r="D21" s="549">
        <f>'ColR&amp;OCN&amp;RogKlam'!D21/'ColR&amp;OCN&amp;RogKlam'!$D$45</f>
        <v>0.11939765831243498</v>
      </c>
      <c r="E21" s="1818">
        <f>'ColR&amp;OCN&amp;RogKlam'!E21/'ColR&amp;OCN&amp;RogKlam'!$E$45</f>
        <v>0.10568534844853403</v>
      </c>
      <c r="F21" s="1819">
        <f>'ColR&amp;OCN&amp;RogKlam'!F21/'ColR&amp;OCN&amp;RogKlam'!$F$45</f>
        <v>3.1583014299532398E-2</v>
      </c>
      <c r="G21" s="1683">
        <f>'ColR&amp;OCN&amp;RogKlam'!G21/'ColR&amp;OCN&amp;RogKlam'!$G$45</f>
        <v>9.6083815144801549E-2</v>
      </c>
      <c r="H21" s="549">
        <f>'ColR&amp;OCN&amp;RogKlam'!H21/'ColR&amp;OCN&amp;RogKlam'!$H$45</f>
        <v>0.13627197870874128</v>
      </c>
      <c r="I21" s="549">
        <f>'ColR&amp;OCN&amp;RogKlam'!I21/'ColR&amp;OCN&amp;RogKlam'!$I$45</f>
        <v>4.3006052127189505E-2</v>
      </c>
      <c r="J21" s="686">
        <f>'ColR&amp;OCN&amp;RogKlam'!J21/'ColR&amp;OCN&amp;RogKlam'!$J$45</f>
        <v>0.10996840550759143</v>
      </c>
      <c r="L21" s="707" t="s">
        <v>265</v>
      </c>
      <c r="M21" s="249">
        <f>'ColR&amp;OCN&amp;RogKlam'!M23/'ColR&amp;OCN&amp;RogKlam'!M$47</f>
        <v>4.5615060469593675E-2</v>
      </c>
      <c r="N21" s="249">
        <f>'ColR&amp;OCN&amp;RogKlam'!N23/'ColR&amp;OCN&amp;RogKlam'!N$47</f>
        <v>4.5600482787440028E-2</v>
      </c>
      <c r="O21" s="249">
        <f>'ColR&amp;OCN&amp;RogKlam'!O23/'ColR&amp;OCN&amp;RogKlam'!O$47</f>
        <v>3.1586057391267769E-2</v>
      </c>
      <c r="P21" s="249">
        <f>'ColR&amp;OCN&amp;RogKlam'!P23/'ColR&amp;OCN&amp;RogKlam'!P$47</f>
        <v>3.864949880820262E-2</v>
      </c>
      <c r="Q21" s="1326"/>
    </row>
    <row r="22" spans="1:17" x14ac:dyDescent="0.2">
      <c r="A22" s="2347" t="s">
        <v>266</v>
      </c>
      <c r="B22" s="2354"/>
      <c r="C22" s="2355"/>
      <c r="D22" s="2355"/>
      <c r="E22" s="2354"/>
      <c r="F22" s="2355"/>
      <c r="G22" s="2046"/>
      <c r="H22" s="2354"/>
      <c r="I22" s="2355"/>
      <c r="J22" s="2046"/>
      <c r="L22" s="2347" t="s">
        <v>266</v>
      </c>
      <c r="M22" s="2356"/>
      <c r="N22" s="2356"/>
      <c r="O22" s="2356"/>
      <c r="P22" s="2356"/>
      <c r="Q22" s="1326"/>
    </row>
    <row r="23" spans="1:17" x14ac:dyDescent="0.2">
      <c r="A23" s="708" t="s">
        <v>267</v>
      </c>
      <c r="B23" s="685">
        <f>'ColR&amp;OCN&amp;RogKlam'!B23/'ColR&amp;OCN&amp;RogKlam'!$B$45</f>
        <v>1.3006065324124466E-2</v>
      </c>
      <c r="C23" s="549">
        <f>'ColR&amp;OCN&amp;RogKlam'!C23/'ColR&amp;OCN&amp;RogKlam'!$C$45</f>
        <v>2.0005342168277023E-2</v>
      </c>
      <c r="D23" s="549">
        <f>'ColR&amp;OCN&amp;RogKlam'!D23/'ColR&amp;OCN&amp;RogKlam'!$D$45</f>
        <v>1.57047298370863E-2</v>
      </c>
      <c r="E23" s="685">
        <f>'ColR&amp;OCN&amp;RogKlam'!E23/'ColR&amp;OCN&amp;RogKlam'!$E$45</f>
        <v>1.7453217202652482E-2</v>
      </c>
      <c r="F23" s="549">
        <f>'ColR&amp;OCN&amp;RogKlam'!F23/'ColR&amp;OCN&amp;RogKlam'!$F$45</f>
        <v>2.2742027568871153E-2</v>
      </c>
      <c r="G23" s="686">
        <f>'ColR&amp;OCN&amp;RogKlam'!G23/'ColR&amp;OCN&amp;RogKlam'!$G$45</f>
        <v>1.8138495061326497E-2</v>
      </c>
      <c r="H23" s="685">
        <f>'ColR&amp;OCN&amp;RogKlam'!H23/'ColR&amp;OCN&amp;RogKlam'!$H$45</f>
        <v>1.51866396294018E-2</v>
      </c>
      <c r="I23" s="549">
        <f>'ColR&amp;OCN&amp;RogKlam'!I23/'ColR&amp;OCN&amp;RogKlam'!$I$45</f>
        <v>2.0513858902346815E-2</v>
      </c>
      <c r="J23" s="686">
        <f>'ColR&amp;OCN&amp;RogKlam'!J23/'ColR&amp;OCN&amp;RogKlam'!$J$45</f>
        <v>1.6689062939183215E-2</v>
      </c>
      <c r="L23" s="708" t="s">
        <v>267</v>
      </c>
      <c r="M23" s="248">
        <f>'ColR&amp;OCN&amp;RogKlam'!M25/'ColR&amp;OCN&amp;RogKlam'!M$47</f>
        <v>2.0129984252493953E-2</v>
      </c>
      <c r="N23" s="248">
        <f>'ColR&amp;OCN&amp;RogKlam'!N25/'ColR&amp;OCN&amp;RogKlam'!N$47</f>
        <v>2.0100968483128479E-2</v>
      </c>
      <c r="O23" s="248">
        <f>'ColR&amp;OCN&amp;RogKlam'!O25/'ColR&amp;OCN&amp;RogKlam'!O$47</f>
        <v>2.2764170268316029E-2</v>
      </c>
      <c r="P23" s="248">
        <f>'ColR&amp;OCN&amp;RogKlam'!P25/'ColR&amp;OCN&amp;RogKlam'!P$47</f>
        <v>2.142942508177571E-2</v>
      </c>
      <c r="Q23" s="163"/>
    </row>
    <row r="24" spans="1:17" x14ac:dyDescent="0.2">
      <c r="A24" s="708" t="s">
        <v>269</v>
      </c>
      <c r="B24" s="685">
        <f>'ColR&amp;OCN&amp;RogKlam'!B24/'ColR&amp;OCN&amp;RogKlam'!$B$45</f>
        <v>1.3851944469065451E-2</v>
      </c>
      <c r="C24" s="549">
        <f>'ColR&amp;OCN&amp;RogKlam'!C24/'ColR&amp;OCN&amp;RogKlam'!$C$45</f>
        <v>6.619793481434157E-3</v>
      </c>
      <c r="D24" s="549">
        <f>'ColR&amp;OCN&amp;RogKlam'!D24/'ColR&amp;OCN&amp;RogKlam'!$D$45</f>
        <v>1.106349222503002E-2</v>
      </c>
      <c r="E24" s="685">
        <f>'ColR&amp;OCN&amp;RogKlam'!E24/'ColR&amp;OCN&amp;RogKlam'!$E$45</f>
        <v>1.8914885641571875E-2</v>
      </c>
      <c r="F24" s="549">
        <f>'ColR&amp;OCN&amp;RogKlam'!F24/'ColR&amp;OCN&amp;RogKlam'!$F$45</f>
        <v>8.2766684287041425E-3</v>
      </c>
      <c r="G24" s="686">
        <f>'ColR&amp;OCN&amp;RogKlam'!G24/'ColR&amp;OCN&amp;RogKlam'!$G$45</f>
        <v>1.753647836149478E-2</v>
      </c>
      <c r="H24" s="685">
        <f>'ColR&amp;OCN&amp;RogKlam'!H24/'ColR&amp;OCN&amp;RogKlam'!$H$45</f>
        <v>1.6334459060753388E-2</v>
      </c>
      <c r="I24" s="549">
        <f>'ColR&amp;OCN&amp;RogKlam'!I24/'ColR&amp;OCN&amp;RogKlam'!$I$45</f>
        <v>6.9276654190579979E-3</v>
      </c>
      <c r="J24" s="686">
        <f>'ColR&amp;OCN&amp;RogKlam'!J24/'ColR&amp;OCN&amp;RogKlam'!$J$45</f>
        <v>1.368148284305516E-2</v>
      </c>
      <c r="L24" s="708" t="s">
        <v>269</v>
      </c>
      <c r="M24" s="248">
        <f>'ColR&amp;OCN&amp;RogKlam'!M26/'ColR&amp;OCN&amp;RogKlam'!M$47</f>
        <v>6.6454755705348629E-3</v>
      </c>
      <c r="N24" s="248">
        <f>'ColR&amp;OCN&amp;RogKlam'!N26/'ColR&amp;OCN&amp;RogKlam'!N$47</f>
        <v>6.6620352686940099E-3</v>
      </c>
      <c r="O24" s="248">
        <f>'ColR&amp;OCN&amp;RogKlam'!O26/'ColR&amp;OCN&amp;RogKlam'!O$47</f>
        <v>8.2666634578708615E-3</v>
      </c>
      <c r="P24" s="248">
        <f>'ColR&amp;OCN&amp;RogKlam'!P26/'ColR&amp;OCN&amp;RogKlam'!P$47</f>
        <v>7.4543785820176929E-3</v>
      </c>
      <c r="Q24" s="88"/>
    </row>
    <row r="25" spans="1:17" x14ac:dyDescent="0.2">
      <c r="A25" s="708" t="s">
        <v>271</v>
      </c>
      <c r="B25" s="685">
        <f>'ColR&amp;OCN&amp;RogKlam'!B25/'ColR&amp;OCN&amp;RogKlam'!$B$45</f>
        <v>1.5990887275062721E-2</v>
      </c>
      <c r="C25" s="549">
        <f>'ColR&amp;OCN&amp;RogKlam'!C25/'ColR&amp;OCN&amp;RogKlam'!$C$45</f>
        <v>8.3412832259575648E-3</v>
      </c>
      <c r="D25" s="549">
        <f>'ColR&amp;OCN&amp;RogKlam'!D25/'ColR&amp;OCN&amp;RogKlam'!$D$45</f>
        <v>1.3041480437015487E-2</v>
      </c>
      <c r="E25" s="685">
        <f>'ColR&amp;OCN&amp;RogKlam'!E25/'ColR&amp;OCN&amp;RogKlam'!$E$45</f>
        <v>1.762402520030398E-2</v>
      </c>
      <c r="F25" s="549">
        <f>'ColR&amp;OCN&amp;RogKlam'!F25/'ColR&amp;OCN&amp;RogKlam'!$F$45</f>
        <v>8.3142896488346153E-3</v>
      </c>
      <c r="G25" s="686">
        <f>'ColR&amp;OCN&amp;RogKlam'!G25/'ColR&amp;OCN&amp;RogKlam'!$G$45</f>
        <v>1.6417750971928956E-2</v>
      </c>
      <c r="H25" s="685">
        <f>'ColR&amp;OCN&amp;RogKlam'!H25/'ColR&amp;OCN&amp;RogKlam'!$H$45</f>
        <v>1.6791664647643433E-2</v>
      </c>
      <c r="I25" s="549">
        <f>'ColR&amp;OCN&amp;RogKlam'!I25/'ColR&amp;OCN&amp;RogKlam'!$I$45</f>
        <v>8.33626741899764E-3</v>
      </c>
      <c r="J25" s="686">
        <f>'ColR&amp;OCN&amp;RogKlam'!J25/'ColR&amp;OCN&amp;RogKlam'!$J$45</f>
        <v>1.4407008556182085E-2</v>
      </c>
      <c r="L25" s="708" t="s">
        <v>271</v>
      </c>
      <c r="M25" s="248">
        <f>'ColR&amp;OCN&amp;RogKlam'!M27/'ColR&amp;OCN&amp;RogKlam'!M$47</f>
        <v>8.387493438539147E-3</v>
      </c>
      <c r="N25" s="248">
        <f>'ColR&amp;OCN&amp;RogKlam'!N27/'ColR&amp;OCN&amp;RogKlam'!N$47</f>
        <v>8.3849754243907355E-3</v>
      </c>
      <c r="O25" s="248">
        <f>'ColR&amp;OCN&amp;RogKlam'!O27/'ColR&amp;OCN&amp;RogKlam'!O$47</f>
        <v>8.3283549762131811E-3</v>
      </c>
      <c r="P25" s="248">
        <f>'ColR&amp;OCN&amp;RogKlam'!P27/'ColR&amp;OCN&amp;RogKlam'!P$47</f>
        <v>8.357475781892526E-3</v>
      </c>
    </row>
    <row r="26" spans="1:17" x14ac:dyDescent="0.2">
      <c r="A26" s="673" t="s">
        <v>273</v>
      </c>
      <c r="B26" s="685">
        <f>'ColR&amp;OCN&amp;RogKlam'!B26/'ColR&amp;OCN&amp;RogKlam'!$B$45</f>
        <v>8.793641059970897E-2</v>
      </c>
      <c r="C26" s="549">
        <f>'ColR&amp;OCN&amp;RogKlam'!C26/'ColR&amp;OCN&amp;RogKlam'!$C$45</f>
        <v>2.2954627590939324E-2</v>
      </c>
      <c r="D26" s="549">
        <f>'ColR&amp;OCN&amp;RogKlam'!D26/'ColR&amp;OCN&amp;RogKlam'!$D$45</f>
        <v>6.2881817718266078E-2</v>
      </c>
      <c r="E26" s="685">
        <f>'ColR&amp;OCN&amp;RogKlam'!E26/'ColR&amp;OCN&amp;RogKlam'!$E$45</f>
        <v>0.14024736672742694</v>
      </c>
      <c r="F26" s="549">
        <f>'ColR&amp;OCN&amp;RogKlam'!F26/'ColR&amp;OCN&amp;RogKlam'!$F$45</f>
        <v>3.5928265224602067E-2</v>
      </c>
      <c r="G26" s="686">
        <f>'ColR&amp;OCN&amp;RogKlam'!G26/'ColR&amp;OCN&amp;RogKlam'!$G$45</f>
        <v>0.12673060860101218</v>
      </c>
      <c r="H26" s="685">
        <f>'ColR&amp;OCN&amp;RogKlam'!H26/'ColR&amp;OCN&amp;RogKlam'!$H$45</f>
        <v>0.1135860690625424</v>
      </c>
      <c r="I26" s="549">
        <f>'ColR&amp;OCN&amp;RogKlam'!I26/'ColR&amp;OCN&amp;RogKlam'!$I$45</f>
        <v>2.5365321869880872E-2</v>
      </c>
      <c r="J26" s="686">
        <f>'ColR&amp;OCN&amp;RogKlam'!J26/'ColR&amp;OCN&amp;RogKlam'!$J$45</f>
        <v>8.8705376116086296E-2</v>
      </c>
      <c r="L26" s="673" t="s">
        <v>273</v>
      </c>
      <c r="M26" s="248">
        <f>'ColR&amp;OCN&amp;RogKlam'!M28/'ColR&amp;OCN&amp;RogKlam'!M$47</f>
        <v>2.2968828185537974E-2</v>
      </c>
      <c r="N26" s="248">
        <f>'ColR&amp;OCN&amp;RogKlam'!N28/'ColR&amp;OCN&amp;RogKlam'!N$47</f>
        <v>2.2972535409289688E-2</v>
      </c>
      <c r="O26" s="248">
        <f>'ColR&amp;OCN&amp;RogKlam'!O28/'ColR&amp;OCN&amp;RogKlam'!O$47</f>
        <v>3.5935309434401319E-2</v>
      </c>
      <c r="P26" s="248">
        <f>'ColR&amp;OCN&amp;RogKlam'!P28/'ColR&amp;OCN&amp;RogKlam'!P$47</f>
        <v>2.9404232558636528E-2</v>
      </c>
    </row>
    <row r="27" spans="1:17" x14ac:dyDescent="0.2">
      <c r="A27" s="673" t="s">
        <v>145</v>
      </c>
      <c r="B27" s="685">
        <f>'ColR&amp;OCN&amp;RogKlam'!B27/'ColR&amp;OCN&amp;RogKlam'!$B$45</f>
        <v>0.12179851522362042</v>
      </c>
      <c r="C27" s="549">
        <f>'ColR&amp;OCN&amp;RogKlam'!C27/'ColR&amp;OCN&amp;RogKlam'!$C$45</f>
        <v>2.9892102471612211E-2</v>
      </c>
      <c r="D27" s="549">
        <f>'ColR&amp;OCN&amp;RogKlam'!D27/'ColR&amp;OCN&amp;RogKlam'!$D$45</f>
        <v>8.6362772341886038E-2</v>
      </c>
      <c r="E27" s="685">
        <f>'ColR&amp;OCN&amp;RogKlam'!E27/'ColR&amp;OCN&amp;RogKlam'!$E$45</f>
        <v>3.0177012962134733E-2</v>
      </c>
      <c r="F27" s="549">
        <f>'ColR&amp;OCN&amp;RogKlam'!F27/'ColR&amp;OCN&amp;RogKlam'!$F$45</f>
        <v>9.1795777118355033E-3</v>
      </c>
      <c r="G27" s="686">
        <f>'ColR&amp;OCN&amp;RogKlam'!G27/'ColR&amp;OCN&amp;RogKlam'!$G$45</f>
        <v>2.7456348678559929E-2</v>
      </c>
      <c r="H27" s="685">
        <f>'ColR&amp;OCN&amp;RogKlam'!H27/'ColR&amp;OCN&amp;RogKlam'!$H$45</f>
        <v>7.6873696126047081E-2</v>
      </c>
      <c r="I27" s="549">
        <f>'ColR&amp;OCN&amp;RogKlam'!I27/'ColR&amp;OCN&amp;RogKlam'!$I$45</f>
        <v>2.6043408192432463E-2</v>
      </c>
      <c r="J27" s="686">
        <f>'ColR&amp;OCN&amp;RogKlam'!J27/'ColR&amp;OCN&amp;RogKlam'!$J$45</f>
        <v>6.253814778055064E-2</v>
      </c>
      <c r="L27" s="673" t="s">
        <v>145</v>
      </c>
      <c r="M27" s="248">
        <f>'ColR&amp;OCN&amp;RogKlam'!M29/'ColR&amp;OCN&amp;RogKlam'!M$47</f>
        <v>2.9743342116665746E-2</v>
      </c>
      <c r="N27" s="248">
        <f>'ColR&amp;OCN&amp;RogKlam'!N29/'ColR&amp;OCN&amp;RogKlam'!N$47</f>
        <v>2.9749433355030146E-2</v>
      </c>
      <c r="O27" s="248">
        <f>'ColR&amp;OCN&amp;RogKlam'!O29/'ColR&amp;OCN&amp;RogKlam'!O$47</f>
        <v>9.161190473834499E-3</v>
      </c>
      <c r="P27" s="248">
        <f>'ColR&amp;OCN&amp;RogKlam'!P29/'ColR&amp;OCN&amp;RogKlam'!P$47</f>
        <v>1.9531390288818434E-2</v>
      </c>
    </row>
    <row r="28" spans="1:17" x14ac:dyDescent="0.2">
      <c r="A28" s="673" t="s">
        <v>275</v>
      </c>
      <c r="B28" s="685">
        <f>'ColR&amp;OCN&amp;RogKlam'!B28/'ColR&amp;OCN&amp;RogKlam'!$B$45</f>
        <v>5.3438549675778171E-2</v>
      </c>
      <c r="C28" s="549">
        <f>'ColR&amp;OCN&amp;RogKlam'!C28/'ColR&amp;OCN&amp;RogKlam'!$C$45</f>
        <v>1.3698937094199996E-2</v>
      </c>
      <c r="D28" s="549">
        <f>'ColR&amp;OCN&amp;RogKlam'!D28/'ColR&amp;OCN&amp;RogKlam'!$D$45</f>
        <v>3.8116412172051362E-2</v>
      </c>
      <c r="E28" s="685">
        <f>'ColR&amp;OCN&amp;RogKlam'!E28/'ColR&amp;OCN&amp;RogKlam'!$E$45</f>
        <v>8.479357024397921E-2</v>
      </c>
      <c r="F28" s="549">
        <f>'ColR&amp;OCN&amp;RogKlam'!F28/'ColR&amp;OCN&amp;RogKlam'!$F$45</f>
        <v>2.2271762317240235E-2</v>
      </c>
      <c r="G28" s="686">
        <f>'ColR&amp;OCN&amp;RogKlam'!G28/'ColR&amp;OCN&amp;RogKlam'!$G$45</f>
        <v>7.6692540392327271E-2</v>
      </c>
      <c r="H28" s="685">
        <f>'ColR&amp;OCN&amp;RogKlam'!H28/'ColR&amp;OCN&amp;RogKlam'!$H$45</f>
        <v>6.8812873301327973E-2</v>
      </c>
      <c r="I28" s="549">
        <f>'ColR&amp;OCN&amp;RogKlam'!I28/'ColR&amp;OCN&amp;RogKlam'!$I$45</f>
        <v>1.5291895160635085E-2</v>
      </c>
      <c r="J28" s="686">
        <f>'ColR&amp;OCN&amp;RogKlam'!J28/'ColR&amp;OCN&amp;RogKlam'!$J$45</f>
        <v>5.3718475830351456E-2</v>
      </c>
      <c r="L28" s="673" t="s">
        <v>275</v>
      </c>
      <c r="M28" s="248">
        <f>'ColR&amp;OCN&amp;RogKlam'!M30/'ColR&amp;OCN&amp;RogKlam'!M$47</f>
        <v>1.3678066222848456E-2</v>
      </c>
      <c r="N28" s="248">
        <f>'ColR&amp;OCN&amp;RogKlam'!N30/'ColR&amp;OCN&amp;RogKlam'!N$47</f>
        <v>1.3726089907050589E-2</v>
      </c>
      <c r="O28" s="248">
        <f>'ColR&amp;OCN&amp;RogKlam'!O30/'ColR&amp;OCN&amp;RogKlam'!O$47</f>
        <v>2.2270638121577469E-2</v>
      </c>
      <c r="P28" s="248">
        <f>'ColR&amp;OCN&amp;RogKlam'!P30/'ColR&amp;OCN&amp;RogKlam'!P$47</f>
        <v>1.7954796872087789E-2</v>
      </c>
      <c r="Q28" s="208"/>
    </row>
    <row r="29" spans="1:17" x14ac:dyDescent="0.2">
      <c r="A29" s="673" t="s">
        <v>276</v>
      </c>
      <c r="B29" s="685">
        <f>'ColR&amp;OCN&amp;RogKlam'!B29/'ColR&amp;OCN&amp;RogKlam'!$B$45</f>
        <v>1.8857178390404153E-3</v>
      </c>
      <c r="C29" s="549">
        <f>'ColR&amp;OCN&amp;RogKlam'!C29/'ColR&amp;OCN&amp;RogKlam'!$C$45</f>
        <v>5.8813988777981809E-4</v>
      </c>
      <c r="D29" s="549">
        <f>'ColR&amp;OCN&amp;RogKlam'!D29/'ColR&amp;OCN&amp;RogKlam'!$D$45</f>
        <v>1.3854193585203659E-3</v>
      </c>
      <c r="E29" s="685">
        <f>'ColR&amp;OCN&amp;RogKlam'!E29/'ColR&amp;OCN&amp;RogKlam'!$E$45</f>
        <v>4.2001966635614825E-3</v>
      </c>
      <c r="F29" s="549">
        <f>'ColR&amp;OCN&amp;RogKlam'!F29/'ColR&amp;OCN&amp;RogKlam'!$F$45</f>
        <v>1.0910153837837278E-3</v>
      </c>
      <c r="G29" s="686">
        <f>'ColR&amp;OCN&amp;RogKlam'!G29/'ColR&amp;OCN&amp;RogKlam'!$G$45</f>
        <v>3.7973361066308362E-3</v>
      </c>
      <c r="H29" s="685">
        <f>'ColR&amp;OCN&amp;RogKlam'!H29/'ColR&amp;OCN&amp;RogKlam'!$H$45</f>
        <v>3.020577450925229E-3</v>
      </c>
      <c r="I29" s="549">
        <f>'ColR&amp;OCN&amp;RogKlam'!I29/'ColR&amp;OCN&amp;RogKlam'!$I$45</f>
        <v>6.8158161287402096E-4</v>
      </c>
      <c r="J29" s="686">
        <f>'ColR&amp;OCN&amp;RogKlam'!J29/'ColR&amp;OCN&amp;RogKlam'!$J$45</f>
        <v>2.3609158735584052E-3</v>
      </c>
      <c r="L29" s="673" t="s">
        <v>276</v>
      </c>
      <c r="M29" s="248">
        <f>'ColR&amp;OCN&amp;RogKlam'!M31/'ColR&amp;OCN&amp;RogKlam'!M$47</f>
        <v>5.8067262266809489E-4</v>
      </c>
      <c r="N29" s="248">
        <f>'ColR&amp;OCN&amp;RogKlam'!N31/'ColR&amp;OCN&amp;RogKlam'!N$47</f>
        <v>5.7431338523224217E-4</v>
      </c>
      <c r="O29" s="248">
        <f>'ColR&amp;OCN&amp;RogKlam'!O31/'ColR&amp;OCN&amp;RogKlam'!O$47</f>
        <v>1.0796015709905976E-3</v>
      </c>
      <c r="P29" s="248">
        <f>'ColR&amp;OCN&amp;RogKlam'!P31/'ColR&amp;OCN&amp;RogKlam'!P$47</f>
        <v>8.2656353886849171E-4</v>
      </c>
    </row>
    <row r="30" spans="1:17" x14ac:dyDescent="0.2">
      <c r="A30" s="1678" t="s">
        <v>277</v>
      </c>
      <c r="B30" s="1818">
        <f>'ColR&amp;OCN&amp;RogKlam'!B30/'ColR&amp;OCN&amp;RogKlam'!$B$45</f>
        <v>3.5855577768039897E-3</v>
      </c>
      <c r="C30" s="1819">
        <f>'ColR&amp;OCN&amp;RogKlam'!C30/'ColR&amp;OCN&amp;RogKlam'!$C$45</f>
        <v>1.2320886700204947E-3</v>
      </c>
      <c r="D30" s="1819">
        <f>'ColR&amp;OCN&amp;RogKlam'!D30/'ColR&amp;OCN&amp;RogKlam'!$D$45</f>
        <v>2.6781463824204926E-3</v>
      </c>
      <c r="E30" s="1818">
        <f>'ColR&amp;OCN&amp;RogKlam'!E30/'ColR&amp;OCN&amp;RogKlam'!$E$45</f>
        <v>1.1805352755716807E-2</v>
      </c>
      <c r="F30" s="1819">
        <f>'ColR&amp;OCN&amp;RogKlam'!F30/'ColR&amp;OCN&amp;RogKlam'!$F$45</f>
        <v>3.0096976104378699E-3</v>
      </c>
      <c r="G30" s="1683">
        <f>'ColR&amp;OCN&amp;RogKlam'!G30/'ColR&amp;OCN&amp;RogKlam'!$G$45</f>
        <v>1.06656885767757E-2</v>
      </c>
      <c r="H30" s="1818">
        <f>'ColR&amp;OCN&amp;RogKlam'!H30/'ColR&amp;OCN&amp;RogKlam'!$H$45</f>
        <v>7.6159741455828385E-3</v>
      </c>
      <c r="I30" s="1819">
        <f>'ColR&amp;OCN&amp;RogKlam'!I30/'ColR&amp;OCN&amp;RogKlam'!$I$45</f>
        <v>1.5623947741266019E-3</v>
      </c>
      <c r="J30" s="1683">
        <f>'ColR&amp;OCN&amp;RogKlam'!J30/'ColR&amp;OCN&amp;RogKlam'!$J$45</f>
        <v>5.9086971800037923E-3</v>
      </c>
      <c r="L30" s="1678" t="s">
        <v>277</v>
      </c>
      <c r="M30" s="249">
        <f>'ColR&amp;OCN&amp;RogKlam'!M32/'ColR&amp;OCN&amp;RogKlam'!M$47</f>
        <v>1.2258644256326447E-3</v>
      </c>
      <c r="N30" s="249">
        <f>'ColR&amp;OCN&amp;RogKlam'!N32/'ColR&amp;OCN&amp;RogKlam'!N$47</f>
        <v>1.2634894475109328E-3</v>
      </c>
      <c r="O30" s="249">
        <f>'ColR&amp;OCN&amp;RogKlam'!O32/'ColR&amp;OCN&amp;RogKlam'!O$47</f>
        <v>3.0228843987736729E-3</v>
      </c>
      <c r="P30" s="249">
        <f>'ColR&amp;OCN&amp;RogKlam'!P32/'ColR&amp;OCN&amp;RogKlam'!P$47</f>
        <v>2.1276357759763024E-3</v>
      </c>
      <c r="Q30" s="208"/>
    </row>
    <row r="31" spans="1:17" x14ac:dyDescent="0.2">
      <c r="A31" s="2347" t="s">
        <v>280</v>
      </c>
      <c r="B31" s="2354"/>
      <c r="C31" s="2355"/>
      <c r="D31" s="2355"/>
      <c r="E31" s="2354"/>
      <c r="F31" s="2355"/>
      <c r="G31" s="2046"/>
      <c r="H31" s="2354"/>
      <c r="I31" s="2355"/>
      <c r="J31" s="2046"/>
      <c r="L31" s="2347" t="s">
        <v>280</v>
      </c>
      <c r="M31" s="2356"/>
      <c r="N31" s="2356"/>
      <c r="O31" s="2356"/>
      <c r="P31" s="2356"/>
    </row>
    <row r="32" spans="1:17" x14ac:dyDescent="0.2">
      <c r="A32" s="708" t="s">
        <v>267</v>
      </c>
      <c r="B32" s="685">
        <f>'ColR&amp;OCN&amp;RogKlam'!B32/'ColR&amp;OCN&amp;RogKlam'!$B$45</f>
        <v>8.0816478816017807E-6</v>
      </c>
      <c r="C32" s="549">
        <f>'ColR&amp;OCN&amp;RogKlam'!C32/'ColR&amp;OCN&amp;RogKlam'!$C$45</f>
        <v>1.2878975644813535E-5</v>
      </c>
      <c r="D32" s="549">
        <f>'ColR&amp;OCN&amp;RogKlam'!D32/'ColR&amp;OCN&amp;RogKlam'!$D$45</f>
        <v>9.9313215664542356E-6</v>
      </c>
      <c r="E32" s="685">
        <f>'ColR&amp;OCN&amp;RogKlam'!E32/'ColR&amp;OCN&amp;RogKlam'!$E$45</f>
        <v>6.1602884398901739E-5</v>
      </c>
      <c r="F32" s="549">
        <f>'ColR&amp;OCN&amp;RogKlam'!F32/'ColR&amp;OCN&amp;RogKlam'!$F$45</f>
        <v>9.4053050326183436E-5</v>
      </c>
      <c r="G32" s="686">
        <f>'ColR&amp;OCN&amp;RogKlam'!G32/'ColR&amp;OCN&amp;RogKlam'!$G$45</f>
        <v>6.5807493503871993E-5</v>
      </c>
      <c r="H32" s="685">
        <f>'ColR&amp;OCN&amp;RogKlam'!H32/'ColR&amp;OCN&amp;RogKlam'!$H$45</f>
        <v>3.4324743760513964E-5</v>
      </c>
      <c r="I32" s="549">
        <f>'ColR&amp;OCN&amp;RogKlam'!I32/'ColR&amp;OCN&amp;RogKlam'!$I$45</f>
        <v>2.7962322579447015E-5</v>
      </c>
      <c r="J32" s="686">
        <f>'ColR&amp;OCN&amp;RogKlam'!J32/'ColR&amp;OCN&amp;RogKlam'!$J$45</f>
        <v>3.2530364854875731E-5</v>
      </c>
      <c r="L32" s="708" t="s">
        <v>267</v>
      </c>
      <c r="M32" s="248">
        <f>'ColR&amp;OCN&amp;RogKlam'!M34/'ColR&amp;OCN&amp;RogKlam'!M$47</f>
        <v>0</v>
      </c>
      <c r="N32" s="248">
        <f>'ColR&amp;OCN&amp;RogKlam'!N34/'ColR&amp;OCN&amp;RogKlam'!N$47</f>
        <v>0</v>
      </c>
      <c r="O32" s="248">
        <f>'ColR&amp;OCN&amp;RogKlam'!O34/'ColR&amp;OCN&amp;RogKlam'!O$47</f>
        <v>9.2537277513479792E-5</v>
      </c>
      <c r="P32" s="248">
        <f>'ColR&amp;OCN&amp;RogKlam'!P34/'ColR&amp;OCN&amp;RogKlam'!P$47</f>
        <v>4.5920196603805096E-5</v>
      </c>
    </row>
    <row r="33" spans="1:16" x14ac:dyDescent="0.2">
      <c r="A33" s="708" t="s">
        <v>6115</v>
      </c>
      <c r="B33" s="685">
        <f>'ColR&amp;OCN&amp;RogKlam'!B33/'ColR&amp;OCN&amp;RogKlam'!$B$45</f>
        <v>1.2257165953762699E-3</v>
      </c>
      <c r="C33" s="549">
        <f>'ColR&amp;OCN&amp;RogKlam'!C33/'ColR&amp;OCN&amp;RogKlam'!$C$45</f>
        <v>3.6490430993638346E-4</v>
      </c>
      <c r="D33" s="549">
        <f>'ColR&amp;OCN&amp;RogKlam'!D33/'ColR&amp;OCN&amp;RogKlam'!$D$45</f>
        <v>8.9381894098088132E-4</v>
      </c>
      <c r="E33" s="685">
        <f>'ColR&amp;OCN&amp;RogKlam'!E33/'ColR&amp;OCN&amp;RogKlam'!$E$45</f>
        <v>3.0689436955089232E-3</v>
      </c>
      <c r="F33" s="549">
        <f>'ColR&amp;OCN&amp;RogKlam'!F33/'ColR&amp;OCN&amp;RogKlam'!$F$45</f>
        <v>8.0885623280517753E-4</v>
      </c>
      <c r="G33" s="686">
        <f>'ColR&amp;OCN&amp;RogKlam'!G33/'ColR&amp;OCN&amp;RogKlam'!$G$45</f>
        <v>2.7761013000337114E-3</v>
      </c>
      <c r="H33" s="685">
        <f>'ColR&amp;OCN&amp;RogKlam'!H33/'ColR&amp;OCN&amp;RogKlam'!$H$45</f>
        <v>2.1295071029022866E-3</v>
      </c>
      <c r="I33" s="549">
        <f>'ColR&amp;OCN&amp;RogKlam'!I33/'ColR&amp;OCN&amp;RogKlam'!$I$45</f>
        <v>4.4739716127115223E-4</v>
      </c>
      <c r="J33" s="686">
        <f>'ColR&amp;OCN&amp;RogKlam'!J33/'ColR&amp;OCN&amp;RogKlam'!$J$45</f>
        <v>1.6551055330707985E-3</v>
      </c>
      <c r="L33" s="708" t="s">
        <v>6115</v>
      </c>
      <c r="M33" s="248">
        <f>'ColR&amp;OCN&amp;RogKlam'!M35/'ColR&amp;OCN&amp;RogKlam'!M$47</f>
        <v>3.8711508177872989E-4</v>
      </c>
      <c r="N33" s="248">
        <f>'ColR&amp;OCN&amp;RogKlam'!N35/'ColR&amp;OCN&amp;RogKlam'!N$47</f>
        <v>4.0201936966256953E-4</v>
      </c>
      <c r="O33" s="248">
        <f>'ColR&amp;OCN&amp;RogKlam'!O35/'ColR&amp;OCN&amp;RogKlam'!O$47</f>
        <v>8.0198973845015814E-4</v>
      </c>
      <c r="P33" s="248">
        <f>'ColR&amp;OCN&amp;RogKlam'!P35/'ColR&amp;OCN&amp;RogKlam'!P$47</f>
        <v>5.9696255584946621E-4</v>
      </c>
    </row>
    <row r="34" spans="1:16" x14ac:dyDescent="0.2">
      <c r="A34" s="708" t="s">
        <v>291</v>
      </c>
      <c r="B34" s="685">
        <f>'ColR&amp;OCN&amp;RogKlam'!B34/'ColR&amp;OCN&amp;RogKlam'!$B$45</f>
        <v>0</v>
      </c>
      <c r="C34" s="549">
        <f>'ColR&amp;OCN&amp;RogKlam'!C34/'ColR&amp;OCN&amp;RogKlam'!$C$45</f>
        <v>0</v>
      </c>
      <c r="D34" s="549">
        <f>'ColR&amp;OCN&amp;RogKlam'!D34/'ColR&amp;OCN&amp;RogKlam'!$D$45</f>
        <v>0</v>
      </c>
      <c r="E34" s="685">
        <f>'ColR&amp;OCN&amp;RogKlam'!E34/'ColR&amp;OCN&amp;RogKlam'!$E$45</f>
        <v>5.6002622180819771E-6</v>
      </c>
      <c r="F34" s="549">
        <f>'ColR&amp;OCN&amp;RogKlam'!F34/'ColR&amp;OCN&amp;RogKlam'!$F$45</f>
        <v>0</v>
      </c>
      <c r="G34" s="686">
        <f>'ColR&amp;OCN&amp;RogKlam'!G34/'ColR&amp;OCN&amp;RogKlam'!$G$45</f>
        <v>4.8746291484349626E-6</v>
      </c>
      <c r="H34" s="685">
        <f>'ColR&amp;OCN&amp;RogKlam'!H34/'ColR&amp;OCN&amp;RogKlam'!$H$45</f>
        <v>2.7459795008411171E-6</v>
      </c>
      <c r="I34" s="549">
        <f>'ColR&amp;OCN&amp;RogKlam'!I34/'ColR&amp;OCN&amp;RogKlam'!$I$45</f>
        <v>0</v>
      </c>
      <c r="J34" s="686">
        <f>'ColR&amp;OCN&amp;RogKlam'!J34/'ColR&amp;OCN&amp;RogKlam'!$J$45</f>
        <v>1.9715372639318623E-6</v>
      </c>
      <c r="L34" s="708" t="s">
        <v>291</v>
      </c>
      <c r="M34" s="248">
        <f>'ColR&amp;OCN&amp;RogKlam'!M36/'ColR&amp;OCN&amp;RogKlam'!M$47</f>
        <v>0</v>
      </c>
      <c r="N34" s="248">
        <f>'ColR&amp;OCN&amp;RogKlam'!N36/'ColR&amp;OCN&amp;RogKlam'!N$47</f>
        <v>0</v>
      </c>
      <c r="O34" s="248">
        <f>'ColR&amp;OCN&amp;RogKlam'!O36/'ColR&amp;OCN&amp;RogKlam'!O$47</f>
        <v>0</v>
      </c>
      <c r="P34" s="248">
        <f>'ColR&amp;OCN&amp;RogKlam'!P36/'ColR&amp;OCN&amp;RogKlam'!P$47</f>
        <v>0</v>
      </c>
    </row>
    <row r="35" spans="1:16" x14ac:dyDescent="0.2">
      <c r="A35" s="1823" t="s">
        <v>292</v>
      </c>
      <c r="B35" s="1818">
        <f>'ColR&amp;OCN&amp;RogKlam'!B35/'ColR&amp;OCN&amp;RogKlam'!$B$45</f>
        <v>1.3469413136002967E-5</v>
      </c>
      <c r="C35" s="1819">
        <f>'ColR&amp;OCN&amp;RogKlam'!C35/'ColR&amp;OCN&amp;RogKlam'!$C$45</f>
        <v>2.1464959408022557E-5</v>
      </c>
      <c r="D35" s="1819">
        <f>'ColR&amp;OCN&amp;RogKlam'!D35/'ColR&amp;OCN&amp;RogKlam'!$D$45</f>
        <v>1.655220261075706E-5</v>
      </c>
      <c r="E35" s="1818">
        <f>'ColR&amp;OCN&amp;RogKlam'!E35/'ColR&amp;OCN&amp;RogKlam'!$E$45</f>
        <v>4.2001966635614827E-5</v>
      </c>
      <c r="F35" s="1819">
        <f>'ColR&amp;OCN&amp;RogKlam'!F35/'ColR&amp;OCN&amp;RogKlam'!$F$45</f>
        <v>5.6431830195710059E-5</v>
      </c>
      <c r="G35" s="1683">
        <f>'ColR&amp;OCN&amp;RogKlam'!G35/'ColR&amp;OCN&amp;RogKlam'!$G$45</f>
        <v>4.3871662335914664E-5</v>
      </c>
      <c r="H35" s="1818">
        <f>'ColR&amp;OCN&amp;RogKlam'!H35/'ColR&amp;OCN&amp;RogKlam'!$H$45</f>
        <v>2.7459795008411173E-5</v>
      </c>
      <c r="I35" s="1819">
        <f>'ColR&amp;OCN&amp;RogKlam'!I35/'ColR&amp;OCN&amp;RogKlam'!$I$45</f>
        <v>2.7962322579447015E-5</v>
      </c>
      <c r="J35" s="1683">
        <f>'ColR&amp;OCN&amp;RogKlam'!J35/'ColR&amp;OCN&amp;RogKlam'!$J$45</f>
        <v>2.7601521695046076E-5</v>
      </c>
      <c r="L35" s="1823" t="s">
        <v>292</v>
      </c>
      <c r="M35" s="249">
        <f>'ColR&amp;OCN&amp;RogKlam'!M37/'ColR&amp;OCN&amp;RogKlam'!M$47</f>
        <v>0</v>
      </c>
      <c r="N35" s="249">
        <f>'ColR&amp;OCN&amp;RogKlam'!N37/'ColR&amp;OCN&amp;RogKlam'!N$47</f>
        <v>0</v>
      </c>
      <c r="O35" s="249">
        <f>'ColR&amp;OCN&amp;RogKlam'!O37/'ColR&amp;OCN&amp;RogKlam'!O$47</f>
        <v>6.1691518342319861E-5</v>
      </c>
      <c r="P35" s="249">
        <f>'ColR&amp;OCN&amp;RogKlam'!P37/'ColR&amp;OCN&amp;RogKlam'!P$47</f>
        <v>3.061346440253673E-5</v>
      </c>
    </row>
    <row r="36" spans="1:16" x14ac:dyDescent="0.2">
      <c r="A36" s="2347" t="s">
        <v>6116</v>
      </c>
      <c r="B36" s="2354"/>
      <c r="C36" s="2355"/>
      <c r="D36" s="2355"/>
      <c r="E36" s="2354"/>
      <c r="F36" s="2355"/>
      <c r="G36" s="2046"/>
      <c r="H36" s="2354"/>
      <c r="I36" s="2355"/>
      <c r="J36" s="2046"/>
      <c r="L36" s="2347" t="s">
        <v>6116</v>
      </c>
      <c r="M36" s="2356"/>
      <c r="N36" s="2356"/>
      <c r="O36" s="2356"/>
      <c r="P36" s="2356"/>
    </row>
    <row r="37" spans="1:16" x14ac:dyDescent="0.2">
      <c r="A37" s="708" t="s">
        <v>6117</v>
      </c>
      <c r="B37" s="685">
        <f>'ColR&amp;OCN&amp;RogKlam'!B37/'ColR&amp;OCN&amp;RogKlam'!$B$45</f>
        <v>1.58939075004835E-4</v>
      </c>
      <c r="C37" s="549">
        <f>'ColR&amp;OCN&amp;RogKlam'!C37/'ColR&amp;OCN&amp;RogKlam'!$C$45</f>
        <v>2.4040754536985265E-4</v>
      </c>
      <c r="D37" s="549">
        <f>'ColR&amp;OCN&amp;RogKlam'!D37/'ColR&amp;OCN&amp;RogKlam'!$D$45</f>
        <v>1.9035033002370619E-4</v>
      </c>
      <c r="E37" s="685">
        <f>'ColR&amp;OCN&amp;RogKlam'!E37/'ColR&amp;OCN&amp;RogKlam'!$E$45</f>
        <v>5.6002622180819771E-4</v>
      </c>
      <c r="F37" s="549">
        <f>'ColR&amp;OCN&amp;RogKlam'!F37/'ColR&amp;OCN&amp;RogKlam'!$F$45</f>
        <v>8.2766684287041421E-4</v>
      </c>
      <c r="G37" s="686">
        <f>'ColR&amp;OCN&amp;RogKlam'!G37/'ColR&amp;OCN&amp;RogKlam'!$G$45</f>
        <v>5.9470475610906549E-4</v>
      </c>
      <c r="H37" s="685">
        <f>'ColR&amp;OCN&amp;RogKlam'!H37/'ColR&amp;OCN&amp;RogKlam'!$H$45</f>
        <v>3.5560434535892471E-4</v>
      </c>
      <c r="I37" s="1833">
        <f>'ColR&amp;OCN&amp;RogKlam'!I37/'ColR&amp;OCN&amp;RogKlam'!$I$45</f>
        <v>3.4952903224308766E-4</v>
      </c>
      <c r="J37" s="686">
        <f>'ColR&amp;OCN&amp;RogKlam'!J37/'ColR&amp;OCN&amp;RogKlam'!$J$45</f>
        <v>3.5389093887576933E-4</v>
      </c>
      <c r="L37" s="708" t="s">
        <v>6117</v>
      </c>
      <c r="M37" s="248">
        <f>'ColR&amp;OCN&amp;RogKlam'!M39/'ColR&amp;OCN&amp;RogKlam'!M$47</f>
        <v>2.5807672118581993E-4</v>
      </c>
      <c r="N37" s="248">
        <f>'ColR&amp;OCN&amp;RogKlam'!N39/'ColR&amp;OCN&amp;RogKlam'!N$47</f>
        <v>2.2972535409289689E-4</v>
      </c>
      <c r="O37" s="248">
        <f>'ColR&amp;OCN&amp;RogKlam'!O39/'ColR&amp;OCN&amp;RogKlam'!O$47</f>
        <v>8.3283549762131804E-4</v>
      </c>
      <c r="P37" s="248">
        <f>'ColR&amp;OCN&amp;RogKlam'!P39/'ColR&amp;OCN&amp;RogKlam'!P$47</f>
        <v>5.3573562704439272E-4</v>
      </c>
    </row>
    <row r="38" spans="1:16" x14ac:dyDescent="0.2">
      <c r="A38" s="708" t="s">
        <v>291</v>
      </c>
      <c r="B38" s="685">
        <f>'ColR&amp;OCN&amp;RogKlam'!B38/'ColR&amp;OCN&amp;RogKlam'!$B$45</f>
        <v>1.9395954915844274E-4</v>
      </c>
      <c r="C38" s="549">
        <f>'ColR&amp;OCN&amp;RogKlam'!C38/'ColR&amp;OCN&amp;RogKlam'!$C$45</f>
        <v>3.7778328558119701E-4</v>
      </c>
      <c r="D38" s="549">
        <f>'ColR&amp;OCN&amp;RogKlam'!D38/'ColR&amp;OCN&amp;RogKlam'!$D$45</f>
        <v>2.6483524177211296E-4</v>
      </c>
      <c r="E38" s="685">
        <f>'ColR&amp;OCN&amp;RogKlam'!E38/'ColR&amp;OCN&amp;RogKlam'!$E$45</f>
        <v>7.1963369502353396E-4</v>
      </c>
      <c r="F38" s="549">
        <f>'ColR&amp;OCN&amp;RogKlam'!F38/'ColR&amp;OCN&amp;RogKlam'!$F$45</f>
        <v>1.0533941636532544E-3</v>
      </c>
      <c r="G38" s="686">
        <f>'ColR&amp;OCN&amp;RogKlam'!G38/'ColR&amp;OCN&amp;RogKlam'!$G$45</f>
        <v>7.6287946173007166E-4</v>
      </c>
      <c r="H38" s="685">
        <f>'ColR&amp;OCN&amp;RogKlam'!H38/'ColR&amp;OCN&amp;RogKlam'!$H$45</f>
        <v>4.5171362788836377E-4</v>
      </c>
      <c r="I38" s="1833">
        <f>'ColR&amp;OCN&amp;RogKlam'!I38/'ColR&amp;OCN&amp;RogKlam'!$I$45</f>
        <v>5.0332180643004626E-4</v>
      </c>
      <c r="J38" s="686">
        <f>'ColR&amp;OCN&amp;RogKlam'!J38/'ColR&amp;OCN&amp;RogKlam'!$J$45</f>
        <v>4.662685629198855E-4</v>
      </c>
      <c r="L38" s="708" t="s">
        <v>291</v>
      </c>
      <c r="M38" s="248">
        <f>'ColR&amp;OCN&amp;RogKlam'!M40/'ColR&amp;OCN&amp;RogKlam'!M$47</f>
        <v>3.8711508177872989E-4</v>
      </c>
      <c r="N38" s="248">
        <f>'ColR&amp;OCN&amp;RogKlam'!N40/'ColR&amp;OCN&amp;RogKlam'!N$47</f>
        <v>4.0201936966256953E-4</v>
      </c>
      <c r="O38" s="248">
        <f>'ColR&amp;OCN&amp;RogKlam'!O40/'ColR&amp;OCN&amp;RogKlam'!O$47</f>
        <v>1.0487558118194376E-3</v>
      </c>
      <c r="P38" s="248">
        <f>'ColR&amp;OCN&amp;RogKlam'!P40/'ColR&amp;OCN&amp;RogKlam'!P$47</f>
        <v>7.1941641345961308E-4</v>
      </c>
    </row>
    <row r="39" spans="1:16" x14ac:dyDescent="0.2">
      <c r="A39" s="708" t="s">
        <v>292</v>
      </c>
      <c r="B39" s="685">
        <f>'ColR&amp;OCN&amp;RogKlam'!B39/'ColR&amp;OCN&amp;RogKlam'!$B$45</f>
        <v>0</v>
      </c>
      <c r="C39" s="549">
        <f>'ColR&amp;OCN&amp;RogKlam'!C39/'ColR&amp;OCN&amp;RogKlam'!$C$45</f>
        <v>0</v>
      </c>
      <c r="D39" s="549">
        <f>'ColR&amp;OCN&amp;RogKlam'!D39/'ColR&amp;OCN&amp;RogKlam'!$D$45</f>
        <v>0</v>
      </c>
      <c r="E39" s="1818">
        <f>'ColR&amp;OCN&amp;RogKlam'!E39/'ColR&amp;OCN&amp;RogKlam'!$E$45</f>
        <v>0</v>
      </c>
      <c r="F39" s="1819">
        <f>'ColR&amp;OCN&amp;RogKlam'!F39/'ColR&amp;OCN&amp;RogKlam'!$F$45</f>
        <v>0</v>
      </c>
      <c r="G39" s="1683">
        <f>'ColR&amp;OCN&amp;RogKlam'!G39/'ColR&amp;OCN&amp;RogKlam'!$G$45</f>
        <v>0</v>
      </c>
      <c r="H39" s="1818">
        <f>'ColR&amp;OCN&amp;RogKlam'!H39/'ColR&amp;OCN&amp;RogKlam'!$H$45</f>
        <v>0</v>
      </c>
      <c r="I39" s="1834">
        <f>'ColR&amp;OCN&amp;RogKlam'!I39/'ColR&amp;OCN&amp;RogKlam'!$I$45</f>
        <v>0</v>
      </c>
      <c r="J39" s="1683">
        <f>'ColR&amp;OCN&amp;RogKlam'!J39/'ColR&amp;OCN&amp;RogKlam'!$J$45</f>
        <v>0</v>
      </c>
      <c r="L39" s="708" t="s">
        <v>292</v>
      </c>
      <c r="M39" s="248">
        <f>'ColR&amp;OCN&amp;RogKlam'!M41/'ColR&amp;OCN&amp;RogKlam'!M$47</f>
        <v>0</v>
      </c>
      <c r="N39" s="248">
        <f>'ColR&amp;OCN&amp;RogKlam'!N41/'ColR&amp;OCN&amp;RogKlam'!N$47</f>
        <v>0</v>
      </c>
      <c r="O39" s="248">
        <f>'ColR&amp;OCN&amp;RogKlam'!O41/'ColR&amp;OCN&amp;RogKlam'!O$47</f>
        <v>0</v>
      </c>
      <c r="P39" s="248">
        <f>'ColR&amp;OCN&amp;RogKlam'!P41/'ColR&amp;OCN&amp;RogKlam'!P$47</f>
        <v>0</v>
      </c>
    </row>
    <row r="40" spans="1:16" ht="15" x14ac:dyDescent="0.2">
      <c r="A40" s="2347" t="s">
        <v>6140</v>
      </c>
      <c r="B40" s="2354"/>
      <c r="C40" s="2157"/>
      <c r="D40" s="2046"/>
      <c r="E40" s="2157"/>
      <c r="F40" s="2157"/>
      <c r="G40" s="2042"/>
      <c r="H40" s="2156"/>
      <c r="I40" s="2155"/>
      <c r="J40" s="2026"/>
      <c r="L40" s="2347" t="s">
        <v>6140</v>
      </c>
      <c r="M40" s="2357"/>
      <c r="N40" s="2356"/>
      <c r="O40" s="2356"/>
      <c r="P40" s="2047"/>
    </row>
    <row r="41" spans="1:16" x14ac:dyDescent="0.2">
      <c r="A41" s="708" t="s">
        <v>6141</v>
      </c>
      <c r="B41" s="1642">
        <f>'ColR&amp;OCN&amp;RogKlam'!B41/'ColR&amp;OCN&amp;RogKlam'!B$45</f>
        <v>2.1307197841970736E-2</v>
      </c>
      <c r="C41" s="1643">
        <f>'ColR&amp;OCN&amp;RogKlam'!C41/'ColR&amp;OCN&amp;RogKlam'!C$45</f>
        <v>7.8932266488765147E-3</v>
      </c>
      <c r="D41" s="1644">
        <f>'ColR&amp;OCN&amp;RogKlam'!D41/'ColR&amp;OCN&amp;RogKlam'!D$45</f>
        <v>1.6135262391676574E-2</v>
      </c>
      <c r="E41" s="1643">
        <f>'ColR&amp;OCN&amp;RogKlam'!E41/'ColR&amp;OCN&amp;RogKlam'!E$45</f>
        <v>4.6138924205054381E-2</v>
      </c>
      <c r="F41" s="1643">
        <f>'ColR&amp;OCN&amp;RogKlam'!F41/'ColR&amp;OCN&amp;RogKlam'!F$45</f>
        <v>2.1834623157843545E-2</v>
      </c>
      <c r="G41" s="1644">
        <f>'ColR&amp;OCN&amp;RogKlam'!G41/'ColR&amp;OCN&amp;RogKlam'!G$45</f>
        <v>4.298978513124993E-2</v>
      </c>
      <c r="H41" s="1642">
        <f>'ColR&amp;OCN&amp;RogKlam'!H41/'ColR&amp;OCN&amp;RogKlam'!H$45</f>
        <v>3.3482951209975895E-2</v>
      </c>
      <c r="I41" s="1643">
        <f>'ColR&amp;OCN&amp;RogKlam'!I41/'ColR&amp;OCN&amp;RogKlam'!I$45</f>
        <v>1.0483744879277722E-2</v>
      </c>
      <c r="J41" s="1644">
        <f>'ColR&amp;OCN&amp;RogKlam'!J41/'ColR&amp;OCN&amp;RogKlam'!J$45</f>
        <v>2.6996538331646849E-2</v>
      </c>
      <c r="L41" s="708" t="s">
        <v>6141</v>
      </c>
      <c r="M41" s="263">
        <f>'ColR&amp;OCN&amp;RogKlam'!M43/'ColR&amp;OCN&amp;RogKlam'!M$47</f>
        <v>7.8926707262029043E-3</v>
      </c>
      <c r="N41" s="248">
        <f>'ColR&amp;OCN&amp;RogKlam'!N43/'ColR&amp;OCN&amp;RogKlam'!N$47</f>
        <v>7.891890221684017E-3</v>
      </c>
      <c r="O41" s="248">
        <f>'ColR&amp;OCN&amp;RogKlam'!O43/'ColR&amp;OCN&amp;RogKlam'!O$47</f>
        <v>2.1833906346938933E-2</v>
      </c>
      <c r="P41" s="207">
        <f>'ColR&amp;OCN&amp;RogKlam'!P43/'ColR&amp;OCN&amp;RogKlam'!P$47</f>
        <v>1.481058584138086E-2</v>
      </c>
    </row>
    <row r="42" spans="1:16" x14ac:dyDescent="0.2">
      <c r="A42" s="708" t="s">
        <v>6121</v>
      </c>
      <c r="B42" s="1642">
        <f>'ColR&amp;OCN&amp;RogKlam'!B42/'ColR&amp;OCN&amp;RogKlam'!B$45</f>
        <v>0.18357131306879965</v>
      </c>
      <c r="C42" s="1643">
        <f>'ColR&amp;OCN&amp;RogKlam'!C42/'ColR&amp;OCN&amp;RogKlam'!C$45</f>
        <v>1.1353430553435431E-3</v>
      </c>
      <c r="D42" s="1644">
        <f>'ColR&amp;OCN&amp;RogKlam'!D42/'ColR&amp;OCN&amp;RogKlam'!D$45</f>
        <v>0.11323069229818451</v>
      </c>
      <c r="E42" s="1643">
        <f>'ColR&amp;OCN&amp;RogKlam'!E42/'ColR&amp;OCN&amp;RogKlam'!E$45</f>
        <v>4.5909377318462076E-3</v>
      </c>
      <c r="F42" s="1643">
        <f>'ColR&amp;OCN&amp;RogKlam'!F42/'ColR&amp;OCN&amp;RogKlam'!F$45</f>
        <v>7.4584401446176551E-4</v>
      </c>
      <c r="G42" s="1644">
        <f>'ColR&amp;OCN&amp;RogKlam'!G42/'ColR&amp;OCN&amp;RogKlam'!G$45</f>
        <v>4.0927240681685618E-3</v>
      </c>
      <c r="H42" s="1642">
        <f>'ColR&amp;OCN&amp;RogKlam'!H42/'ColR&amp;OCN&amp;RogKlam'!H$45</f>
        <v>9.5811772070655471E-2</v>
      </c>
      <c r="I42" s="1643">
        <f>'ColR&amp;OCN&amp;RogKlam'!I42/'ColR&amp;OCN&amp;RogKlam'!I$45</f>
        <v>1.0629683570499366E-3</v>
      </c>
      <c r="J42" s="1644">
        <f>'ColR&amp;OCN&amp;RogKlam'!J42/'ColR&amp;OCN&amp;RogKlam'!J$45</f>
        <v>6.9089986467389175E-2</v>
      </c>
      <c r="L42" s="708" t="s">
        <v>6121</v>
      </c>
      <c r="M42" s="263">
        <f>'ColR&amp;OCN&amp;RogKlam'!M44/'ColR&amp;OCN&amp;RogKlam'!M$47</f>
        <v>1.1352630927408121E-3</v>
      </c>
      <c r="N42" s="248">
        <f>'ColR&amp;OCN&amp;RogKlam'!N44/'ColR&amp;OCN&amp;RogKlam'!N$47</f>
        <v>1.1351508268165453E-3</v>
      </c>
      <c r="O42" s="248">
        <f>'ColR&amp;OCN&amp;RogKlam'!O44/'ColR&amp;OCN&amp;RogKlam'!O$47</f>
        <v>7.4581952907821483E-4</v>
      </c>
      <c r="P42" s="207">
        <f>'ColR&amp;OCN&amp;RogKlam'!P44/'ColR&amp;OCN&amp;RogKlam'!P$47</f>
        <v>9.419778099620784E-4</v>
      </c>
    </row>
    <row r="43" spans="1:16" x14ac:dyDescent="0.2">
      <c r="A43" s="1823" t="s">
        <v>298</v>
      </c>
      <c r="B43" s="1647">
        <f>'ColR&amp;OCN&amp;RogKlam'!B43/'ColR&amp;OCN&amp;RogKlam'!B$45</f>
        <v>6.6795693314807532E-3</v>
      </c>
      <c r="C43" s="1648">
        <f>'ColR&amp;OCN&amp;RogKlam'!C43/'ColR&amp;OCN&amp;RogKlam'!C$45</f>
        <v>1.7840921257268468E-3</v>
      </c>
      <c r="D43" s="1649">
        <f>'ColR&amp;OCN&amp;RogKlam'!D43/'ColR&amp;OCN&amp;RogKlam'!D$45</f>
        <v>4.7920528203687857E-3</v>
      </c>
      <c r="E43" s="1648">
        <f>'ColR&amp;OCN&amp;RogKlam'!E43/'ColR&amp;OCN&amp;RogKlam'!E$45</f>
        <v>7.5296740850581386E-3</v>
      </c>
      <c r="F43" s="1648">
        <f>'ColR&amp;OCN&amp;RogKlam'!F43/'ColR&amp;OCN&amp;RogKlam'!F$45</f>
        <v>2.1129231469206393E-3</v>
      </c>
      <c r="G43" s="1649">
        <f>'ColR&amp;OCN&amp;RogKlam'!G43/'ColR&amp;OCN&amp;RogKlam'!G$45</f>
        <v>6.8278188044137572E-3</v>
      </c>
      <c r="H43" s="1647">
        <f>'ColR&amp;OCN&amp;RogKlam'!H43/'ColR&amp;OCN&amp;RogKlam'!H$45</f>
        <v>7.0964016396812407E-3</v>
      </c>
      <c r="I43" s="1648">
        <f>'ColR&amp;OCN&amp;RogKlam'!I43/'ColR&amp;OCN&amp;RogKlam'!I$45</f>
        <v>1.845193806220337E-3</v>
      </c>
      <c r="J43" s="1649">
        <f>'ColR&amp;OCN&amp;RogKlam'!J43/'ColR&amp;OCN&amp;RogKlam'!J$45</f>
        <v>5.6154156600789961E-3</v>
      </c>
      <c r="L43" s="1823" t="s">
        <v>298</v>
      </c>
      <c r="M43" s="1835">
        <f>'ColR&amp;OCN&amp;RogKlam'!M45/'ColR&amp;OCN&amp;RogKlam'!M$47</f>
        <v>1.7839664715034701E-3</v>
      </c>
      <c r="N43" s="249">
        <f>'ColR&amp;OCN&amp;RogKlam'!N45/'ColR&amp;OCN&amp;RogKlam'!N$47</f>
        <v>1.7837900554409161E-3</v>
      </c>
      <c r="O43" s="249">
        <f>'ColR&amp;OCN&amp;RogKlam'!O45/'ColR&amp;OCN&amp;RogKlam'!O$47</f>
        <v>2.1128537815672112E-3</v>
      </c>
      <c r="P43" s="1836">
        <f>'ColR&amp;OCN&amp;RogKlam'!P45/'ColR&amp;OCN&amp;RogKlam'!P$47</f>
        <v>1.9471247073115424E-3</v>
      </c>
    </row>
    <row r="44" spans="1:16" ht="16.5" customHeight="1" thickBot="1" x14ac:dyDescent="0.25">
      <c r="A44" s="505"/>
      <c r="B44" s="6"/>
      <c r="C44" s="6"/>
      <c r="D44" s="6"/>
      <c r="E44" s="6"/>
      <c r="F44" s="6"/>
      <c r="G44" s="6"/>
      <c r="H44" s="254"/>
      <c r="I44" s="210"/>
      <c r="J44" s="210"/>
      <c r="L44" s="505"/>
      <c r="M44" s="206"/>
      <c r="N44" s="206"/>
      <c r="O44" s="206"/>
      <c r="P44" s="206"/>
    </row>
    <row r="45" spans="1:16" ht="15" x14ac:dyDescent="0.2">
      <c r="A45" s="1837" t="s">
        <v>6142</v>
      </c>
      <c r="B45" s="1752"/>
      <c r="C45" s="1753"/>
      <c r="D45" s="1754"/>
      <c r="E45" s="1752"/>
      <c r="F45" s="1753"/>
      <c r="G45" s="1754"/>
      <c r="H45" s="1752"/>
      <c r="I45" s="52"/>
      <c r="J45" s="53"/>
      <c r="L45" s="1837" t="s">
        <v>6142</v>
      </c>
      <c r="M45" s="250"/>
      <c r="N45" s="250"/>
      <c r="O45" s="250"/>
      <c r="P45" s="250"/>
    </row>
    <row r="46" spans="1:16" x14ac:dyDescent="0.2">
      <c r="A46" s="1838" t="s">
        <v>6143</v>
      </c>
      <c r="B46" s="257">
        <f t="shared" ref="B46:J46" si="0">SUM(B20:B21,B24:B25,B26,B27,B28,B29,B30,B33:B34,B37:B38,B41:B43)</f>
        <v>0.6989999783384353</v>
      </c>
      <c r="C46" s="259">
        <f t="shared" si="0"/>
        <v>0.15150688476577157</v>
      </c>
      <c r="D46" s="261">
        <f t="shared" si="0"/>
        <v>0.48790671604654651</v>
      </c>
      <c r="E46" s="257">
        <f t="shared" si="0"/>
        <v>0.48723402166481999</v>
      </c>
      <c r="F46" s="259">
        <f t="shared" si="0"/>
        <v>0.15347082682583629</v>
      </c>
      <c r="G46" s="261">
        <f t="shared" si="0"/>
        <v>0.44398790171989483</v>
      </c>
      <c r="H46" s="257">
        <f t="shared" si="0"/>
        <v>0.59516466610533891</v>
      </c>
      <c r="I46" s="259">
        <f t="shared" si="0"/>
        <v>0.15187181432693686</v>
      </c>
      <c r="J46" s="261">
        <f t="shared" si="0"/>
        <v>0.47014381011133344</v>
      </c>
      <c r="L46" s="1838" t="s">
        <v>6143</v>
      </c>
      <c r="M46" s="255">
        <f>SUM(M20:M21,M24:M25,M26,M27,M28,M29,M30,M33:M34,M37:M38,M41:M43)</f>
        <v>0.15139919415642253</v>
      </c>
      <c r="N46" s="251">
        <f>SUM(N20:N21,N24:N25,N26,N27,N28,N29,N30,N33:N34,N37:N38,N41:N43)</f>
        <v>0.15157504182436407</v>
      </c>
      <c r="O46" s="251">
        <f>SUM(O20:O21,O24:O25,O26,O27,O28,O29,O30,O33:O34,O37:O38,O41:O43)</f>
        <v>0.15347362419717706</v>
      </c>
      <c r="P46" s="251">
        <f>SUM(P20:P21,P24:P25,P26,P27,P28,P29,P30,P33:P34,P37:P38,P41:P43)</f>
        <v>0.15247546539082241</v>
      </c>
    </row>
    <row r="47" spans="1:16" x14ac:dyDescent="0.2">
      <c r="A47" s="1838" t="s">
        <v>6144</v>
      </c>
      <c r="B47" s="257">
        <f t="shared" ref="B47:J47" si="1">1-B48</f>
        <v>0.52309498455453451</v>
      </c>
      <c r="C47" s="259">
        <f t="shared" si="1"/>
        <v>0.73133389704046547</v>
      </c>
      <c r="D47" s="261">
        <f t="shared" si="1"/>
        <v>0.54802675880551288</v>
      </c>
      <c r="E47" s="257">
        <f t="shared" si="1"/>
        <v>0.81849266460926429</v>
      </c>
      <c r="F47" s="259">
        <f t="shared" si="1"/>
        <v>0.77928725131909526</v>
      </c>
      <c r="G47" s="261">
        <f t="shared" si="1"/>
        <v>0.81673672555671306</v>
      </c>
      <c r="H47" s="257">
        <f t="shared" si="1"/>
        <v>0.64167089682603284</v>
      </c>
      <c r="I47" s="259">
        <f t="shared" si="1"/>
        <v>0.74033815682159809</v>
      </c>
      <c r="J47" s="261">
        <f t="shared" si="1"/>
        <v>0.65065989446766848</v>
      </c>
      <c r="L47" s="1838" t="s">
        <v>6144</v>
      </c>
      <c r="M47" s="255">
        <f>1-M48</f>
        <v>0.73213039453028994</v>
      </c>
      <c r="N47" s="1839">
        <f>1-N48</f>
        <v>0.73240802726632004</v>
      </c>
      <c r="O47" s="1839">
        <f>1-O48</f>
        <v>0.77941636350540056</v>
      </c>
      <c r="P47" s="1839">
        <f>1-P48</f>
        <v>0.75582249542873747</v>
      </c>
    </row>
    <row r="48" spans="1:16" ht="13.5" thickBot="1" x14ac:dyDescent="0.25">
      <c r="A48" s="1840" t="s">
        <v>6145</v>
      </c>
      <c r="B48" s="258">
        <f t="shared" ref="B48:J48" si="2">SUM(B27,B41,B42,B43)/B46</f>
        <v>0.47690501544546549</v>
      </c>
      <c r="C48" s="260">
        <f t="shared" si="2"/>
        <v>0.26866610295953453</v>
      </c>
      <c r="D48" s="262">
        <f t="shared" si="2"/>
        <v>0.45197324119448712</v>
      </c>
      <c r="E48" s="258">
        <f t="shared" si="2"/>
        <v>0.18150733539073569</v>
      </c>
      <c r="F48" s="260">
        <f t="shared" si="2"/>
        <v>0.22071274868090471</v>
      </c>
      <c r="G48" s="262">
        <f t="shared" si="2"/>
        <v>0.18326327444328688</v>
      </c>
      <c r="H48" s="258">
        <f t="shared" si="2"/>
        <v>0.35832910317396716</v>
      </c>
      <c r="I48" s="260">
        <f t="shared" si="2"/>
        <v>0.25966184317840196</v>
      </c>
      <c r="J48" s="262">
        <f t="shared" si="2"/>
        <v>0.34934010553233158</v>
      </c>
      <c r="L48" s="1840" t="s">
        <v>6145</v>
      </c>
      <c r="M48" s="256">
        <f>SUM(M27,M41,M42,M43)/M46</f>
        <v>0.26786960546971006</v>
      </c>
      <c r="N48" s="1841">
        <f>SUM(N27,N41,N42,N43)/N46</f>
        <v>0.26759197273367996</v>
      </c>
      <c r="O48" s="1841">
        <f>SUM(O27,O41,O42,O43)/O46</f>
        <v>0.22058363649459942</v>
      </c>
      <c r="P48" s="1841">
        <f>SUM(P27,P41,P42,P43)/P46</f>
        <v>0.2441775045712625</v>
      </c>
    </row>
    <row r="49" spans="1:16" ht="15" x14ac:dyDescent="0.2">
      <c r="A49" s="505"/>
      <c r="B49" s="6"/>
      <c r="C49" s="6"/>
      <c r="D49" s="6"/>
      <c r="E49" s="6"/>
      <c r="F49" s="6"/>
      <c r="G49" s="6"/>
      <c r="H49" s="6"/>
      <c r="L49" s="505"/>
      <c r="M49" s="1842"/>
      <c r="N49" s="1842"/>
      <c r="O49" s="1842"/>
      <c r="P49" s="1842"/>
    </row>
    <row r="50" spans="1:16" ht="15" x14ac:dyDescent="0.2">
      <c r="A50" s="505"/>
      <c r="B50" s="6"/>
      <c r="C50" s="6"/>
      <c r="D50" s="6"/>
      <c r="E50" s="6"/>
      <c r="F50" s="6"/>
      <c r="G50" s="6"/>
      <c r="H50" s="6"/>
      <c r="L50" s="505"/>
      <c r="M50" s="1842"/>
      <c r="N50" s="1842"/>
      <c r="O50" s="1842"/>
      <c r="P50" s="1842"/>
    </row>
    <row r="51" spans="1:16" x14ac:dyDescent="0.2">
      <c r="A51" s="505" t="s">
        <v>301</v>
      </c>
    </row>
    <row r="52" spans="1:16" x14ac:dyDescent="0.2">
      <c r="A52" s="505" t="s">
        <v>6146</v>
      </c>
    </row>
    <row r="53" spans="1:16" x14ac:dyDescent="0.2">
      <c r="A53" s="505" t="s">
        <v>6147</v>
      </c>
    </row>
    <row r="54" spans="1:16" ht="15" x14ac:dyDescent="0.2">
      <c r="A54" s="2"/>
      <c r="C54" s="37"/>
    </row>
    <row r="56" spans="1:16" x14ac:dyDescent="0.2">
      <c r="B56" s="231"/>
      <c r="D56" s="2493"/>
      <c r="E56" s="2493"/>
      <c r="F56" s="2493"/>
    </row>
    <row r="57" spans="1:16" x14ac:dyDescent="0.2">
      <c r="D57" s="232"/>
      <c r="E57" s="232"/>
      <c r="F57" s="163"/>
    </row>
    <row r="58" spans="1:16" x14ac:dyDescent="0.2">
      <c r="D58" s="206"/>
      <c r="E58" s="206"/>
      <c r="F58" s="206"/>
    </row>
    <row r="59" spans="1:16" x14ac:dyDescent="0.2">
      <c r="D59" s="206"/>
      <c r="E59" s="206"/>
    </row>
    <row r="63" spans="1:16" x14ac:dyDescent="0.2">
      <c r="C63" s="86"/>
      <c r="D63" s="2493"/>
      <c r="E63" s="2493"/>
    </row>
    <row r="64" spans="1:16" x14ac:dyDescent="0.2">
      <c r="C64" s="86"/>
      <c r="D64" s="2493"/>
      <c r="E64" s="2493"/>
    </row>
    <row r="65" spans="4:5" x14ac:dyDescent="0.2">
      <c r="D65" s="163"/>
      <c r="E65" s="163"/>
    </row>
    <row r="66" spans="4:5" x14ac:dyDescent="0.2">
      <c r="D66" s="206"/>
      <c r="E66" s="206"/>
    </row>
    <row r="67" spans="4:5" x14ac:dyDescent="0.2">
      <c r="D67" s="208"/>
    </row>
    <row r="68" spans="4:5" x14ac:dyDescent="0.2">
      <c r="D68" s="208"/>
    </row>
    <row r="69" spans="4:5" x14ac:dyDescent="0.2">
      <c r="D69" s="208"/>
      <c r="E69" s="208"/>
    </row>
    <row r="70" spans="4:5" x14ac:dyDescent="0.2">
      <c r="D70" s="208"/>
      <c r="E70" s="208"/>
    </row>
    <row r="72" spans="4:5" x14ac:dyDescent="0.2">
      <c r="D72" s="208"/>
      <c r="E72" s="208"/>
    </row>
    <row r="75" spans="4:5" x14ac:dyDescent="0.2">
      <c r="D75" s="209"/>
    </row>
    <row r="76" spans="4:5" x14ac:dyDescent="0.2">
      <c r="D76" s="209"/>
    </row>
    <row r="77" spans="4:5" x14ac:dyDescent="0.2">
      <c r="D77" s="209"/>
    </row>
  </sheetData>
  <mergeCells count="6">
    <mergeCell ref="H9:J9"/>
    <mergeCell ref="D56:F56"/>
    <mergeCell ref="D63:E63"/>
    <mergeCell ref="D64:E64"/>
    <mergeCell ref="B9:D9"/>
    <mergeCell ref="E9:G9"/>
  </mergeCells>
  <phoneticPr fontId="0" type="noConversion"/>
  <pageMargins left="0.75" right="0.75" top="1" bottom="1" header="0.5" footer="0.5"/>
  <pageSetup orientation="portrait" r:id="rId1"/>
  <headerFooter alignWithMargins="0">
    <oddFooter>&amp;L&amp;D&amp;C&amp;F</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7">
    <tabColor rgb="FF00FF00"/>
  </sheetPr>
  <dimension ref="B1:J64"/>
  <sheetViews>
    <sheetView topLeftCell="A25" zoomScale="130" zoomScaleNormal="130" workbookViewId="0">
      <selection activeCell="K36" sqref="K36"/>
    </sheetView>
  </sheetViews>
  <sheetFormatPr defaultRowHeight="12.75" x14ac:dyDescent="0.2"/>
  <cols>
    <col min="2" max="2" width="18.28515625" customWidth="1"/>
    <col min="3" max="3" width="32.28515625" customWidth="1"/>
    <col min="4" max="9" width="13.5703125" customWidth="1"/>
  </cols>
  <sheetData>
    <row r="1" spans="2:10" ht="20.25" x14ac:dyDescent="0.3">
      <c r="B1" s="459" t="s">
        <v>6148</v>
      </c>
    </row>
    <row r="2" spans="2:10" ht="20.25" x14ac:dyDescent="0.3">
      <c r="B2" s="460"/>
      <c r="C2" s="331"/>
      <c r="D2" s="331"/>
      <c r="E2" s="331"/>
      <c r="F2" s="331"/>
      <c r="G2" s="333"/>
      <c r="H2" s="333"/>
    </row>
    <row r="3" spans="2:10" ht="20.25" x14ac:dyDescent="0.3">
      <c r="B3" s="541" t="s">
        <v>6149</v>
      </c>
      <c r="C3" s="461"/>
      <c r="D3" s="461"/>
      <c r="E3" s="461"/>
      <c r="F3" s="461"/>
      <c r="G3" s="461"/>
      <c r="H3" s="461"/>
      <c r="I3" s="401"/>
      <c r="J3" s="401"/>
    </row>
    <row r="4" spans="2:10" ht="18.75" thickBot="1" x14ac:dyDescent="0.3">
      <c r="B4" s="401"/>
      <c r="C4" s="402"/>
      <c r="D4" s="401"/>
      <c r="E4" s="401"/>
      <c r="F4" s="401"/>
      <c r="G4" s="401"/>
      <c r="H4" s="401"/>
      <c r="I4" s="401"/>
      <c r="J4" s="401"/>
    </row>
    <row r="5" spans="2:10" ht="18" x14ac:dyDescent="0.25">
      <c r="B5" s="403"/>
      <c r="C5" s="404"/>
      <c r="D5" s="405"/>
      <c r="E5" s="405"/>
      <c r="F5" s="405"/>
      <c r="G5" s="405"/>
      <c r="H5" s="405"/>
      <c r="I5" s="405"/>
      <c r="J5" s="406"/>
    </row>
    <row r="6" spans="2:10" ht="18" x14ac:dyDescent="0.25">
      <c r="B6" s="407"/>
      <c r="C6" s="408" t="str">
        <f>"FRAM Run: "&amp;Input_Harvestnew!$B$3</f>
        <v>FRAM Run: bc-Coho2229</v>
      </c>
      <c r="D6" s="409" t="s">
        <v>6150</v>
      </c>
      <c r="E6" s="410"/>
      <c r="F6" s="410"/>
      <c r="G6" s="410"/>
      <c r="H6" s="410"/>
      <c r="I6" s="410"/>
      <c r="J6" s="411"/>
    </row>
    <row r="7" spans="2:10" ht="13.5" thickBot="1" x14ac:dyDescent="0.25">
      <c r="B7" s="407"/>
      <c r="C7" s="412"/>
      <c r="D7" s="410"/>
      <c r="E7" s="410"/>
      <c r="F7" s="410"/>
      <c r="G7" s="410"/>
      <c r="H7" s="410"/>
      <c r="I7" s="410"/>
      <c r="J7" s="411"/>
    </row>
    <row r="8" spans="2:10" ht="16.5" thickBot="1" x14ac:dyDescent="0.3">
      <c r="B8" s="407"/>
      <c r="C8" s="413"/>
      <c r="D8" s="414"/>
      <c r="E8" s="415" t="s">
        <v>6151</v>
      </c>
      <c r="F8" s="416"/>
      <c r="G8" s="417"/>
      <c r="H8" s="418" t="s">
        <v>6152</v>
      </c>
      <c r="I8" s="419"/>
      <c r="J8" s="411"/>
    </row>
    <row r="9" spans="2:10" ht="16.5" thickBot="1" x14ac:dyDescent="0.3">
      <c r="B9" s="407"/>
      <c r="C9" s="420" t="s">
        <v>6153</v>
      </c>
      <c r="D9" s="421" t="s">
        <v>234</v>
      </c>
      <c r="E9" s="422" t="s">
        <v>2328</v>
      </c>
      <c r="F9" s="423" t="s">
        <v>236</v>
      </c>
      <c r="G9" s="424" t="s">
        <v>234</v>
      </c>
      <c r="H9" s="425" t="s">
        <v>2328</v>
      </c>
      <c r="I9" s="426" t="s">
        <v>236</v>
      </c>
      <c r="J9" s="411"/>
    </row>
    <row r="10" spans="2:10" ht="15" x14ac:dyDescent="0.2">
      <c r="B10" s="407"/>
      <c r="C10" s="427" t="s">
        <v>6154</v>
      </c>
      <c r="D10" s="1843">
        <f>'ColR&amp;OCN&amp;RogKlam'!B49</f>
        <v>371211.42172373401</v>
      </c>
      <c r="E10" s="1844">
        <f>'ColR&amp;OCN&amp;RogKlam'!C49</f>
        <v>232937.78035896231</v>
      </c>
      <c r="F10" s="462">
        <f>E10+D10</f>
        <v>604149.20208269637</v>
      </c>
      <c r="G10" s="463">
        <f>'ColR&amp;OCN&amp;RogKlam'!E49</f>
        <v>357126.13483391074</v>
      </c>
      <c r="H10" s="1844">
        <f>'ColR&amp;OCN&amp;RogKlam'!F49</f>
        <v>53161.486870012232</v>
      </c>
      <c r="I10" s="462">
        <f>H10+G10</f>
        <v>410287.62170392298</v>
      </c>
      <c r="J10" s="411"/>
    </row>
    <row r="11" spans="2:10" ht="15" x14ac:dyDescent="0.2">
      <c r="B11" s="407"/>
      <c r="C11" s="428" t="s">
        <v>6155</v>
      </c>
      <c r="D11" s="464">
        <f t="shared" ref="D11:I11" si="0">D10-D12</f>
        <v>141991.00000000003</v>
      </c>
      <c r="E11" s="465">
        <f t="shared" si="0"/>
        <v>30735</v>
      </c>
      <c r="F11" s="466">
        <f t="shared" si="0"/>
        <v>172726.00000000012</v>
      </c>
      <c r="G11" s="467">
        <f t="shared" si="0"/>
        <v>150257.00000000003</v>
      </c>
      <c r="H11" s="465">
        <f t="shared" si="0"/>
        <v>7681</v>
      </c>
      <c r="I11" s="466">
        <f t="shared" si="0"/>
        <v>157938.00000000006</v>
      </c>
      <c r="J11" s="411"/>
    </row>
    <row r="12" spans="2:10" ht="15" x14ac:dyDescent="0.2">
      <c r="B12" s="407"/>
      <c r="C12" s="429" t="s">
        <v>6156</v>
      </c>
      <c r="D12" s="1962">
        <f>'ColR&amp;OCN&amp;RogKlam'!B47</f>
        <v>229220.42172373398</v>
      </c>
      <c r="E12" s="1963">
        <f>'ColR&amp;OCN&amp;RogKlam'!C47</f>
        <v>202202.78035896231</v>
      </c>
      <c r="F12" s="468">
        <f>E12+D12</f>
        <v>431423.20208269625</v>
      </c>
      <c r="G12" s="469">
        <f>'ColR&amp;OCN&amp;RogKlam'!E47</f>
        <v>206869.13483391071</v>
      </c>
      <c r="H12" s="1963">
        <f>'ColR&amp;OCN&amp;RogKlam'!F47</f>
        <v>45480.486870012232</v>
      </c>
      <c r="I12" s="468">
        <f>H12+G12</f>
        <v>252349.62170392292</v>
      </c>
      <c r="J12" s="411"/>
    </row>
    <row r="13" spans="2:10" ht="15.75" thickBot="1" x14ac:dyDescent="0.25">
      <c r="B13" s="407"/>
      <c r="C13" s="470" t="s">
        <v>6157</v>
      </c>
      <c r="D13" s="471">
        <f>'ColR&amp;OCN&amp;RogKlam'!B27</f>
        <v>45213</v>
      </c>
      <c r="E13" s="472">
        <f>'ColR&amp;OCN&amp;RogKlam'!C27</f>
        <v>6963</v>
      </c>
      <c r="F13" s="473">
        <f>E13+D13</f>
        <v>52176</v>
      </c>
      <c r="G13" s="474">
        <f>'ColR&amp;OCN&amp;RogKlam'!E27</f>
        <v>10777</v>
      </c>
      <c r="H13" s="472">
        <f>'ColR&amp;OCN&amp;RogKlam'!F27</f>
        <v>488</v>
      </c>
      <c r="I13" s="473">
        <f>H13+G13</f>
        <v>11265</v>
      </c>
      <c r="J13" s="430"/>
    </row>
    <row r="14" spans="2:10" ht="15" x14ac:dyDescent="0.2">
      <c r="B14" s="407"/>
      <c r="C14" s="433"/>
      <c r="D14" s="434"/>
      <c r="E14" s="434"/>
      <c r="F14" s="434"/>
      <c r="G14" s="434"/>
      <c r="H14" s="434"/>
      <c r="I14" s="434"/>
      <c r="J14" s="432"/>
    </row>
    <row r="15" spans="2:10" ht="15.75" thickBot="1" x14ac:dyDescent="0.25">
      <c r="B15" s="407"/>
      <c r="C15" s="435"/>
      <c r="D15" s="434"/>
      <c r="E15" s="434"/>
      <c r="F15" s="434"/>
      <c r="G15" s="434"/>
      <c r="H15" s="434"/>
      <c r="I15" s="434"/>
      <c r="J15" s="432"/>
    </row>
    <row r="16" spans="2:10" ht="16.5" thickBot="1" x14ac:dyDescent="0.3">
      <c r="B16" s="407"/>
      <c r="C16" s="436" t="s">
        <v>6153</v>
      </c>
      <c r="D16" s="437" t="s">
        <v>6158</v>
      </c>
      <c r="E16" s="438" t="s">
        <v>6159</v>
      </c>
      <c r="F16" s="410"/>
      <c r="G16" s="410"/>
      <c r="H16" s="439"/>
      <c r="I16" s="439"/>
      <c r="J16" s="430"/>
    </row>
    <row r="17" spans="2:10" ht="15" x14ac:dyDescent="0.2">
      <c r="B17" s="407"/>
      <c r="C17" s="427" t="s">
        <v>6154</v>
      </c>
      <c r="D17" s="475">
        <f>'ColR&amp;OCN&amp;RogKlam'!M51+'ColR&amp;OCN&amp;RogKlam'!N51</f>
        <v>32911.363320606892</v>
      </c>
      <c r="E17" s="476">
        <f>'ColR&amp;OCN&amp;RogKlam'!O51</f>
        <v>32419.367422636718</v>
      </c>
      <c r="F17" s="410"/>
      <c r="G17" s="410"/>
      <c r="H17" s="439"/>
      <c r="I17" s="439"/>
      <c r="J17" s="430"/>
    </row>
    <row r="18" spans="2:10" ht="15" x14ac:dyDescent="0.2">
      <c r="B18" s="407"/>
      <c r="C18" s="429" t="s">
        <v>6155</v>
      </c>
      <c r="D18" s="1964">
        <f>'ColR&amp;OCN&amp;RogKlam'!M50+'ColR&amp;OCN&amp;RogKlam'!N50</f>
        <v>4346</v>
      </c>
      <c r="E18" s="468">
        <f>'ColR&amp;OCN&amp;RogKlam'!O50</f>
        <v>4685</v>
      </c>
      <c r="F18" s="410"/>
      <c r="G18" s="410"/>
      <c r="H18" s="439"/>
      <c r="I18" s="439"/>
      <c r="J18" s="430"/>
    </row>
    <row r="19" spans="2:10" ht="15.75" thickBot="1" x14ac:dyDescent="0.25">
      <c r="B19" s="407"/>
      <c r="C19" s="431" t="s">
        <v>6157</v>
      </c>
      <c r="D19" s="477">
        <f>'ColR&amp;OCN&amp;RogKlam'!M29+'ColR&amp;OCN&amp;RogKlam'!N29</f>
        <v>979</v>
      </c>
      <c r="E19" s="478">
        <f>'ColR&amp;OCN&amp;RogKlam'!O29</f>
        <v>297</v>
      </c>
      <c r="F19" s="410"/>
      <c r="G19" s="410"/>
      <c r="H19" s="439"/>
      <c r="I19" s="439"/>
      <c r="J19" s="430"/>
    </row>
    <row r="20" spans="2:10" x14ac:dyDescent="0.2">
      <c r="B20" s="407"/>
      <c r="C20" s="440"/>
      <c r="D20" s="440"/>
      <c r="E20" s="440"/>
      <c r="F20" s="440"/>
      <c r="G20" s="440"/>
      <c r="H20" s="440"/>
      <c r="I20" s="440"/>
      <c r="J20" s="441"/>
    </row>
    <row r="21" spans="2:10" x14ac:dyDescent="0.2">
      <c r="B21" s="407"/>
      <c r="C21" s="440"/>
      <c r="D21" s="440"/>
      <c r="E21" s="440"/>
      <c r="F21" s="440"/>
      <c r="G21" s="440"/>
      <c r="H21" s="440"/>
      <c r="I21" s="440"/>
      <c r="J21" s="441"/>
    </row>
    <row r="22" spans="2:10" ht="13.5" thickBot="1" x14ac:dyDescent="0.25">
      <c r="B22" s="442"/>
      <c r="C22" s="443"/>
      <c r="D22" s="443"/>
      <c r="E22" s="443"/>
      <c r="F22" s="443"/>
      <c r="G22" s="443"/>
      <c r="H22" s="443"/>
      <c r="I22" s="443"/>
      <c r="J22" s="444"/>
    </row>
    <row r="23" spans="2:10" x14ac:dyDescent="0.2">
      <c r="B23" s="401"/>
      <c r="C23" s="401"/>
      <c r="D23" s="401"/>
      <c r="E23" s="401"/>
      <c r="F23" s="401"/>
      <c r="G23" s="401"/>
      <c r="H23" s="401"/>
      <c r="I23" s="401"/>
      <c r="J23" s="401"/>
    </row>
    <row r="24" spans="2:10" ht="18" customHeight="1" x14ac:dyDescent="0.2">
      <c r="B24" s="401"/>
      <c r="C24" s="401"/>
      <c r="D24" s="401"/>
      <c r="E24" s="401"/>
      <c r="F24" s="401"/>
      <c r="G24" s="401"/>
      <c r="H24" s="401"/>
      <c r="I24" s="401"/>
      <c r="J24" s="401"/>
    </row>
    <row r="25" spans="2:10" ht="18" customHeight="1" x14ac:dyDescent="0.2">
      <c r="B25" s="401"/>
      <c r="C25" s="401"/>
      <c r="D25" s="401"/>
      <c r="E25" s="401"/>
      <c r="F25" s="401"/>
      <c r="G25" s="401"/>
      <c r="H25" s="401"/>
      <c r="I25" s="401"/>
      <c r="J25" s="401"/>
    </row>
    <row r="26" spans="2:10" ht="18" customHeight="1" x14ac:dyDescent="0.2">
      <c r="B26" s="401"/>
      <c r="C26" s="401"/>
      <c r="D26" s="401"/>
      <c r="E26" s="401"/>
      <c r="F26" s="401"/>
      <c r="G26" s="401"/>
      <c r="H26" s="401"/>
      <c r="I26" s="401"/>
      <c r="J26" s="401"/>
    </row>
    <row r="27" spans="2:10" ht="20.25" x14ac:dyDescent="0.3">
      <c r="B27" s="541" t="s">
        <v>6160</v>
      </c>
      <c r="C27" s="401"/>
      <c r="D27" s="401"/>
      <c r="E27" s="401"/>
      <c r="F27" s="401"/>
      <c r="G27" s="401"/>
      <c r="H27" s="401"/>
      <c r="I27" s="401"/>
      <c r="J27" s="401"/>
    </row>
    <row r="28" spans="2:10" ht="13.5" thickBot="1" x14ac:dyDescent="0.25">
      <c r="B28" s="401"/>
      <c r="C28" s="401"/>
      <c r="D28" s="401"/>
      <c r="E28" s="401"/>
      <c r="F28" s="401"/>
      <c r="G28" s="401"/>
      <c r="H28" s="401"/>
      <c r="I28" s="401"/>
      <c r="J28" s="401"/>
    </row>
    <row r="29" spans="2:10" ht="18" x14ac:dyDescent="0.25">
      <c r="B29" s="445"/>
      <c r="C29" s="446" t="str">
        <f>C6</f>
        <v>FRAM Run: bc-Coho2229</v>
      </c>
      <c r="D29" s="1305"/>
      <c r="E29" s="1305"/>
      <c r="F29" s="1305"/>
      <c r="G29" s="1305"/>
      <c r="H29" s="1306"/>
      <c r="I29" s="401"/>
    </row>
    <row r="30" spans="2:10" x14ac:dyDescent="0.2">
      <c r="B30" s="1307"/>
      <c r="C30" s="447"/>
      <c r="D30" s="447"/>
      <c r="E30" s="447"/>
      <c r="F30" s="447"/>
      <c r="G30" s="447"/>
      <c r="H30" s="1845"/>
      <c r="I30" s="401"/>
    </row>
    <row r="31" spans="2:10" ht="16.5" thickBot="1" x14ac:dyDescent="0.3">
      <c r="B31" s="1307"/>
      <c r="C31" s="1308" t="s">
        <v>6161</v>
      </c>
      <c r="D31" s="1309"/>
      <c r="E31" s="448"/>
      <c r="F31" s="448"/>
      <c r="G31" s="449"/>
      <c r="H31" s="450"/>
      <c r="I31" s="401"/>
    </row>
    <row r="32" spans="2:10" ht="48" thickBot="1" x14ac:dyDescent="0.3">
      <c r="B32" s="1310"/>
      <c r="C32" s="479" t="s">
        <v>126</v>
      </c>
      <c r="D32" s="480" t="s">
        <v>6162</v>
      </c>
      <c r="E32" s="481" t="s">
        <v>6163</v>
      </c>
      <c r="F32" s="482" t="s">
        <v>6164</v>
      </c>
      <c r="G32" s="483" t="s">
        <v>6165</v>
      </c>
      <c r="H32" s="1846"/>
      <c r="I32" s="401"/>
    </row>
    <row r="33" spans="2:10" ht="15" x14ac:dyDescent="0.2">
      <c r="B33" s="1307"/>
      <c r="C33" s="1311" t="s">
        <v>6166</v>
      </c>
      <c r="D33" s="1847">
        <v>3.450597963474504E-2</v>
      </c>
      <c r="E33" s="1847">
        <v>9.0930040239578305E-3</v>
      </c>
      <c r="F33" s="1847">
        <v>7.9651397391762108E-2</v>
      </c>
      <c r="G33" s="1848">
        <v>2.5522176920289692E-2</v>
      </c>
      <c r="H33" s="450"/>
      <c r="I33" s="401"/>
    </row>
    <row r="34" spans="2:10" ht="15" x14ac:dyDescent="0.2">
      <c r="B34" s="1307"/>
      <c r="C34" s="1312" t="s">
        <v>6121</v>
      </c>
      <c r="D34" s="2012">
        <v>0.29728489110840006</v>
      </c>
      <c r="E34" s="2012">
        <v>1.3079161957525749E-3</v>
      </c>
      <c r="F34" s="2012">
        <v>7.9255121782847871E-3</v>
      </c>
      <c r="G34" s="490">
        <v>8.7180633961132651E-4</v>
      </c>
      <c r="H34" s="450"/>
      <c r="I34" s="401"/>
    </row>
    <row r="35" spans="2:10" ht="15.75" thickBot="1" x14ac:dyDescent="0.25">
      <c r="B35" s="1307"/>
      <c r="C35" s="1313" t="s">
        <v>6167</v>
      </c>
      <c r="D35" s="491">
        <v>1.0817240494521286E-2</v>
      </c>
      <c r="E35" s="491">
        <v>2.0552756939590439E-3</v>
      </c>
      <c r="F35" s="491">
        <v>1.2998765643385283E-2</v>
      </c>
      <c r="G35" s="492">
        <v>2.4697654722432016E-3</v>
      </c>
      <c r="H35" s="450"/>
      <c r="I35" s="401"/>
    </row>
    <row r="36" spans="2:10" ht="15" x14ac:dyDescent="0.2">
      <c r="B36" s="1307"/>
      <c r="C36" s="448"/>
      <c r="D36" s="448"/>
      <c r="E36" s="448"/>
      <c r="F36" s="448"/>
      <c r="G36" s="449"/>
      <c r="H36" s="450"/>
      <c r="I36" s="401"/>
    </row>
    <row r="37" spans="2:10" ht="15" x14ac:dyDescent="0.2">
      <c r="B37" s="1307"/>
      <c r="C37" s="448"/>
      <c r="D37" s="448"/>
      <c r="E37" s="448"/>
      <c r="F37" s="448"/>
      <c r="G37" s="449"/>
      <c r="H37" s="450"/>
      <c r="I37" s="401"/>
    </row>
    <row r="38" spans="2:10" ht="13.5" thickBot="1" x14ac:dyDescent="0.25">
      <c r="B38" s="1145"/>
      <c r="C38" s="1314"/>
      <c r="D38" s="1314"/>
      <c r="E38" s="1314"/>
      <c r="F38" s="1314"/>
      <c r="G38" s="1314"/>
      <c r="H38" s="1849"/>
      <c r="I38" s="401"/>
    </row>
    <row r="39" spans="2:10" x14ac:dyDescent="0.2">
      <c r="B39" s="1145"/>
      <c r="C39" s="1315"/>
      <c r="D39" s="2568" t="s">
        <v>2328</v>
      </c>
      <c r="E39" s="2569"/>
      <c r="F39" s="2570" t="s">
        <v>234</v>
      </c>
      <c r="G39" s="2571"/>
      <c r="H39" s="1849"/>
      <c r="I39" s="401"/>
    </row>
    <row r="40" spans="2:10" ht="13.5" thickBot="1" x14ac:dyDescent="0.25">
      <c r="B40" s="1145"/>
      <c r="C40" s="1146"/>
      <c r="D40" s="1147" t="s">
        <v>6053</v>
      </c>
      <c r="E40" s="1148" t="s">
        <v>6054</v>
      </c>
      <c r="F40" s="1148" t="s">
        <v>6053</v>
      </c>
      <c r="G40" s="1149" t="s">
        <v>6054</v>
      </c>
      <c r="H40" s="1849"/>
      <c r="I40" s="401"/>
    </row>
    <row r="41" spans="2:10" x14ac:dyDescent="0.2">
      <c r="B41" s="1145"/>
      <c r="C41" s="1145" t="s">
        <v>6168</v>
      </c>
      <c r="D41" s="1316">
        <v>415.58245972271442</v>
      </c>
      <c r="E41" s="1317">
        <v>112.3261361323665</v>
      </c>
      <c r="F41" s="1318">
        <v>2479.5324280412219</v>
      </c>
      <c r="G41" s="1850">
        <v>2689.0434025558761</v>
      </c>
      <c r="H41" s="1849"/>
      <c r="I41" s="401"/>
    </row>
    <row r="42" spans="2:10" ht="13.5" thickBot="1" x14ac:dyDescent="0.25">
      <c r="B42" s="1145"/>
      <c r="C42" s="1146" t="s">
        <v>6169</v>
      </c>
      <c r="D42" s="1319">
        <v>2975.9051197044419</v>
      </c>
      <c r="E42" s="1320">
        <v>1106.3935779547878</v>
      </c>
      <c r="F42" s="1320">
        <v>10000.497805721565</v>
      </c>
      <c r="G42" s="1321">
        <v>16775.666550655271</v>
      </c>
      <c r="H42" s="1849"/>
      <c r="I42" s="401"/>
    </row>
    <row r="43" spans="2:10" ht="13.5" thickBot="1" x14ac:dyDescent="0.25">
      <c r="B43" s="1146"/>
      <c r="C43" s="1150"/>
      <c r="D43" s="1150"/>
      <c r="E43" s="1150"/>
      <c r="F43" s="1150"/>
      <c r="G43" s="1150"/>
      <c r="H43" s="1151"/>
      <c r="I43" s="401"/>
    </row>
    <row r="44" spans="2:10" ht="15" x14ac:dyDescent="0.2">
      <c r="B44" s="447"/>
      <c r="C44" s="448"/>
      <c r="D44" s="656"/>
      <c r="E44" s="656"/>
      <c r="F44" s="656"/>
      <c r="G44" s="449"/>
      <c r="H44" s="450"/>
      <c r="I44" s="401"/>
    </row>
    <row r="45" spans="2:10" ht="15" x14ac:dyDescent="0.2">
      <c r="B45" s="447"/>
      <c r="C45" s="448"/>
      <c r="D45" s="656"/>
      <c r="E45" s="656"/>
      <c r="F45" s="656"/>
      <c r="G45" s="449"/>
      <c r="H45" s="450"/>
      <c r="I45" s="401"/>
    </row>
    <row r="46" spans="2:10" x14ac:dyDescent="0.2">
      <c r="B46" s="484"/>
      <c r="C46" s="484"/>
      <c r="D46" s="484"/>
      <c r="E46" s="484"/>
      <c r="F46" s="484"/>
      <c r="G46" s="484"/>
      <c r="H46" s="485"/>
      <c r="I46" s="401"/>
    </row>
    <row r="47" spans="2:10" ht="13.5" thickBot="1" x14ac:dyDescent="0.25">
      <c r="B47" s="486"/>
      <c r="C47" s="487"/>
      <c r="D47" s="487"/>
      <c r="E47" s="487"/>
      <c r="F47" s="487"/>
      <c r="G47" s="487"/>
      <c r="H47" s="488"/>
      <c r="I47" s="401"/>
    </row>
    <row r="48" spans="2:10" x14ac:dyDescent="0.2">
      <c r="B48" s="484"/>
      <c r="C48" s="484"/>
      <c r="D48" s="484"/>
      <c r="E48" s="484"/>
      <c r="F48" s="484"/>
      <c r="G48" s="484"/>
      <c r="H48" s="484"/>
      <c r="I48" s="401"/>
      <c r="J48" s="401"/>
    </row>
    <row r="55" spans="2:8" ht="15.75" x14ac:dyDescent="0.25">
      <c r="B55" s="489" t="s">
        <v>6170</v>
      </c>
    </row>
    <row r="56" spans="2:8" ht="15.75" thickBot="1" x14ac:dyDescent="0.25">
      <c r="B56" s="455" t="s">
        <v>6171</v>
      </c>
      <c r="C56" s="456"/>
      <c r="D56" s="456"/>
      <c r="E56" s="456"/>
      <c r="F56" s="457"/>
    </row>
    <row r="57" spans="2:8" ht="15.75" thickBot="1" x14ac:dyDescent="0.25">
      <c r="B57" s="233"/>
      <c r="C57" s="233" t="s">
        <v>6162</v>
      </c>
      <c r="D57" s="233" t="s">
        <v>6163</v>
      </c>
      <c r="E57" s="233" t="s">
        <v>6164</v>
      </c>
      <c r="F57" s="233" t="s">
        <v>6165</v>
      </c>
      <c r="G57" s="238" t="s">
        <v>6172</v>
      </c>
      <c r="H57" s="234" t="s">
        <v>6173</v>
      </c>
    </row>
    <row r="58" spans="2:8" ht="15" x14ac:dyDescent="0.2">
      <c r="B58" s="235" t="s">
        <v>6174</v>
      </c>
      <c r="C58" s="253">
        <f>SUM('ColR&amp;OCN&amp;RogKlam'!B11,'ColR&amp;OCN&amp;RogKlam'!B27)</f>
        <v>229220.42172373398</v>
      </c>
      <c r="D58" s="253">
        <f>SUM('ColR&amp;OCN&amp;RogKlam'!C11,'ColR&amp;OCN&amp;RogKlam'!C27)</f>
        <v>202202.78035896231</v>
      </c>
      <c r="E58" s="253">
        <f>SUM('ColR&amp;OCN&amp;RogKlam'!E11,'ColR&amp;OCN&amp;RogKlam'!E27)</f>
        <v>206869.13483391071</v>
      </c>
      <c r="F58" s="253">
        <f>SUM('ColR&amp;OCN&amp;RogKlam'!F11,'ColR&amp;OCN&amp;RogKlam'!F27)</f>
        <v>45480.486870012232</v>
      </c>
      <c r="G58" s="239">
        <f>SUM('ColR&amp;OCN&amp;RogKlam'!M11:N11,'ColR&amp;OCN&amp;RogKlam'!M29:N29)</f>
        <v>28565.363320606888</v>
      </c>
      <c r="H58" s="240">
        <f>SUM('ColR&amp;OCN&amp;RogKlam'!O11,'ColR&amp;OCN&amp;RogKlam'!O29)</f>
        <v>27734.367422636718</v>
      </c>
    </row>
    <row r="59" spans="2:8" ht="15" x14ac:dyDescent="0.2">
      <c r="B59" s="236" t="s">
        <v>6175</v>
      </c>
      <c r="C59" s="451">
        <f>ColRHarvestInput!D33</f>
        <v>3.450597963474504E-2</v>
      </c>
      <c r="D59" s="451">
        <f>ColRHarvestInput!E33</f>
        <v>9.0930040239578305E-3</v>
      </c>
      <c r="E59" s="451">
        <f>ColRHarvestInput!F33</f>
        <v>7.9651397391762108E-2</v>
      </c>
      <c r="F59" s="451">
        <f>ColRHarvestInput!G33</f>
        <v>2.5522176920289692E-2</v>
      </c>
      <c r="G59" s="327">
        <f>D59</f>
        <v>9.0930040239578305E-3</v>
      </c>
      <c r="H59" s="328">
        <f>F59</f>
        <v>2.5522176920289692E-2</v>
      </c>
    </row>
    <row r="60" spans="2:8" ht="15" x14ac:dyDescent="0.2">
      <c r="B60" s="236" t="s">
        <v>6121</v>
      </c>
      <c r="C60" s="451">
        <f>ColRHarvestInput!D34</f>
        <v>0.29728489110840006</v>
      </c>
      <c r="D60" s="451">
        <f>ColRHarvestInput!E34</f>
        <v>1.3079161957525749E-3</v>
      </c>
      <c r="E60" s="451">
        <f>ColRHarvestInput!F34</f>
        <v>7.9255121782847871E-3</v>
      </c>
      <c r="F60" s="451">
        <f>ColRHarvestInput!G34</f>
        <v>8.7180633961132651E-4</v>
      </c>
      <c r="G60" s="327">
        <f>D60</f>
        <v>1.3079161957525749E-3</v>
      </c>
      <c r="H60" s="328">
        <f>F60</f>
        <v>8.7180633961132651E-4</v>
      </c>
    </row>
    <row r="61" spans="2:8" ht="15.75" thickBot="1" x14ac:dyDescent="0.25">
      <c r="B61" s="237" t="s">
        <v>6176</v>
      </c>
      <c r="C61" s="452">
        <f>ColRHarvestInput!D35</f>
        <v>1.0817240494521286E-2</v>
      </c>
      <c r="D61" s="452">
        <f>ColRHarvestInput!E35</f>
        <v>2.0552756939590439E-3</v>
      </c>
      <c r="E61" s="452">
        <f>ColRHarvestInput!F35</f>
        <v>1.2998765643385283E-2</v>
      </c>
      <c r="F61" s="452">
        <f>ColRHarvestInput!G35</f>
        <v>2.4697654722432016E-3</v>
      </c>
      <c r="G61" s="329">
        <f>D61</f>
        <v>2.0552756939590439E-3</v>
      </c>
      <c r="H61" s="330">
        <f>F61</f>
        <v>2.4697654722432016E-3</v>
      </c>
    </row>
    <row r="62" spans="2:8" x14ac:dyDescent="0.2">
      <c r="C62" s="321">
        <f t="shared" ref="C62:H62" si="1">SUM(C59:C61)</f>
        <v>0.34260811123766638</v>
      </c>
      <c r="D62" s="321">
        <f t="shared" si="1"/>
        <v>1.2456195913669449E-2</v>
      </c>
      <c r="E62" s="321">
        <f t="shared" si="1"/>
        <v>0.10057567521343218</v>
      </c>
      <c r="F62" s="321">
        <f t="shared" si="1"/>
        <v>2.8863748732144222E-2</v>
      </c>
      <c r="G62" s="321">
        <f t="shared" si="1"/>
        <v>1.2456195913669449E-2</v>
      </c>
      <c r="H62" s="321">
        <f t="shared" si="1"/>
        <v>2.8863748732144222E-2</v>
      </c>
    </row>
    <row r="64" spans="2:8" ht="15" x14ac:dyDescent="0.2">
      <c r="B64" s="453" t="s">
        <v>6177</v>
      </c>
      <c r="C64" s="332"/>
      <c r="D64" s="332"/>
      <c r="E64" s="332"/>
      <c r="F64" s="332"/>
      <c r="G64" s="332"/>
      <c r="H64" s="332"/>
    </row>
  </sheetData>
  <mergeCells count="2">
    <mergeCell ref="D39:E39"/>
    <mergeCell ref="F39:G39"/>
  </mergeCells>
  <phoneticPr fontId="0" type="noConversion"/>
  <pageMargins left="0.75" right="0.75" top="1" bottom="1" header="0.5" footer="0.5"/>
  <pageSetup orientation="portrait" horizontalDpi="4294967293"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2540" r:id="rId4" name="Button 12">
              <controlPr defaultSize="0" print="0" autoFill="0" autoPict="0" macro="[3]!ColRTransferBtn">
                <anchor moveWithCells="1" sizeWithCells="1">
                  <from>
                    <xdr:col>11</xdr:col>
                    <xdr:colOff>28575</xdr:colOff>
                    <xdr:row>4</xdr:row>
                    <xdr:rowOff>28575</xdr:rowOff>
                  </from>
                  <to>
                    <xdr:col>17</xdr:col>
                    <xdr:colOff>38100</xdr:colOff>
                    <xdr:row>10</xdr:row>
                    <xdr:rowOff>104775</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tabColor rgb="FFFF0000"/>
    <pageSetUpPr fitToPage="1"/>
  </sheetPr>
  <dimension ref="A2:IQ85"/>
  <sheetViews>
    <sheetView tabSelected="1" topLeftCell="A16" workbookViewId="0">
      <selection activeCell="B47" sqref="B47"/>
    </sheetView>
  </sheetViews>
  <sheetFormatPr defaultColWidth="9.5703125" defaultRowHeight="12.75" x14ac:dyDescent="0.2"/>
  <cols>
    <col min="1" max="1" width="3.85546875" style="268" customWidth="1"/>
    <col min="2" max="2" width="23.5703125" style="268" customWidth="1"/>
    <col min="3" max="3" width="13.28515625" style="268" customWidth="1"/>
    <col min="4" max="4" width="8.85546875" style="268" customWidth="1"/>
    <col min="5" max="5" width="11" style="268" customWidth="1"/>
    <col min="6" max="6" width="11.5703125" style="268" customWidth="1"/>
    <col min="7" max="7" width="12.28515625" style="268" customWidth="1"/>
    <col min="8" max="8" width="4.140625" style="268" customWidth="1"/>
    <col min="9" max="10" width="12.28515625" style="268" customWidth="1"/>
    <col min="11" max="11" width="3.5703125" style="268" customWidth="1"/>
    <col min="12" max="13" width="12.28515625" style="268" customWidth="1"/>
    <col min="14" max="14" width="2.28515625" style="268" customWidth="1"/>
    <col min="15" max="15" width="14.5703125" style="274" customWidth="1"/>
    <col min="16" max="18" width="9.5703125" style="274" customWidth="1"/>
    <col min="19" max="19" width="9.5703125" style="268" customWidth="1"/>
    <col min="20" max="20" width="11.5703125" style="268" customWidth="1"/>
    <col min="21" max="21" width="9.5703125" style="268" customWidth="1"/>
    <col min="22" max="22" width="13.28515625" style="268" customWidth="1"/>
    <col min="23" max="23" width="11.28515625" style="268" customWidth="1"/>
    <col min="24" max="24" width="4.140625" style="268" customWidth="1"/>
    <col min="25" max="25" width="14.85546875" style="268" customWidth="1"/>
    <col min="26" max="26" width="9.28515625" style="268" customWidth="1"/>
    <col min="27" max="16384" width="9.5703125" style="268"/>
  </cols>
  <sheetData>
    <row r="2" spans="2:26" x14ac:dyDescent="0.2">
      <c r="C2" s="268" t="s">
        <v>1004</v>
      </c>
      <c r="O2" s="268"/>
      <c r="P2" s="268"/>
    </row>
    <row r="3" spans="2:26" ht="15.75" x14ac:dyDescent="0.25">
      <c r="B3" s="2358" t="s">
        <v>6178</v>
      </c>
      <c r="C3" s="2359"/>
      <c r="D3" s="2359"/>
      <c r="E3" s="2359"/>
      <c r="F3" s="2359"/>
      <c r="G3" s="2359"/>
      <c r="H3" s="2359"/>
      <c r="I3" s="2359"/>
      <c r="J3" s="2359"/>
      <c r="K3" s="2359"/>
      <c r="L3" s="2359"/>
      <c r="M3" s="2048"/>
      <c r="O3" s="268"/>
      <c r="P3" s="268"/>
      <c r="S3" s="2360" t="s">
        <v>6179</v>
      </c>
      <c r="T3" s="2361"/>
      <c r="U3" s="2361"/>
      <c r="V3" s="2361"/>
      <c r="W3" s="2361"/>
      <c r="X3" s="2361"/>
      <c r="Y3" s="2362">
        <f ca="1">NOW()</f>
        <v>44773.562242361113</v>
      </c>
      <c r="Z3" s="2363"/>
    </row>
    <row r="4" spans="2:26" x14ac:dyDescent="0.2">
      <c r="B4" s="651" t="str">
        <f>'2'!O3</f>
        <v>FRAM Run Number:</v>
      </c>
      <c r="C4" s="268" t="str">
        <f>'2'!E3</f>
        <v>bc-Coho2229</v>
      </c>
      <c r="M4" s="653"/>
      <c r="S4" s="1851" t="s">
        <v>1709</v>
      </c>
      <c r="T4" s="334" t="str">
        <f>C4</f>
        <v>bc-Coho2229</v>
      </c>
      <c r="Z4" s="275"/>
    </row>
    <row r="5" spans="2:26" x14ac:dyDescent="0.2">
      <c r="B5" s="651" t="str">
        <f>'2'!O4</f>
        <v>Run Description:</v>
      </c>
      <c r="C5" s="268" t="str">
        <f>'2'!E4</f>
        <v>Final PFMC April - Adopted+NOF</v>
      </c>
      <c r="G5" s="650"/>
      <c r="H5" s="650"/>
      <c r="I5" s="650" t="s">
        <v>6180</v>
      </c>
      <c r="J5" s="650"/>
      <c r="K5" s="650"/>
      <c r="L5" s="650" t="s">
        <v>6181</v>
      </c>
      <c r="M5" s="657"/>
      <c r="O5" s="1852"/>
      <c r="P5" s="1853"/>
      <c r="Q5" s="268"/>
      <c r="S5" s="269"/>
      <c r="V5" s="1854" t="s">
        <v>6182</v>
      </c>
      <c r="W5" s="1855"/>
      <c r="X5" s="1855"/>
      <c r="Y5" s="1855" t="s">
        <v>6181</v>
      </c>
      <c r="Z5" s="1856"/>
    </row>
    <row r="6" spans="2:26" x14ac:dyDescent="0.2">
      <c r="B6" s="651"/>
      <c r="E6" s="1857" t="s">
        <v>236</v>
      </c>
      <c r="F6" s="1857" t="s">
        <v>6053</v>
      </c>
      <c r="G6" s="1857" t="s">
        <v>6054</v>
      </c>
      <c r="I6" s="1857" t="s">
        <v>6053</v>
      </c>
      <c r="J6" s="1857" t="s">
        <v>6054</v>
      </c>
      <c r="L6" s="1857" t="s">
        <v>6053</v>
      </c>
      <c r="M6" s="1858" t="s">
        <v>6054</v>
      </c>
      <c r="O6" s="1859"/>
      <c r="P6" s="1859"/>
      <c r="S6" s="1860"/>
      <c r="T6" s="2364"/>
      <c r="U6" s="2364"/>
      <c r="V6" s="2365" t="s">
        <v>6053</v>
      </c>
      <c r="W6" s="2365" t="s">
        <v>6054</v>
      </c>
      <c r="X6" s="2366"/>
      <c r="Y6" s="2365" t="s">
        <v>6053</v>
      </c>
      <c r="Z6" s="2049" t="s">
        <v>6054</v>
      </c>
    </row>
    <row r="7" spans="2:26" x14ac:dyDescent="0.2">
      <c r="B7" s="2367" t="s">
        <v>6183</v>
      </c>
      <c r="C7" s="2359"/>
      <c r="D7" s="2359"/>
      <c r="E7" s="2368">
        <f>SUM(F7:G7)</f>
        <v>1014436.8237866194</v>
      </c>
      <c r="F7" s="2368">
        <f>F8+F9</f>
        <v>604149.20208269637</v>
      </c>
      <c r="G7" s="2368">
        <f>G8+G9</f>
        <v>410287.62170392298</v>
      </c>
      <c r="H7" s="2368"/>
      <c r="I7" s="2368">
        <f>I8+I9</f>
        <v>377260.65406183334</v>
      </c>
      <c r="J7" s="2368">
        <f>J8+J9</f>
        <v>205797.55743071251</v>
      </c>
      <c r="K7" s="2368"/>
      <c r="L7" s="2368">
        <f>L8+L9</f>
        <v>226888.54802086297</v>
      </c>
      <c r="M7" s="2017">
        <f>M8+M9</f>
        <v>204490.06427321048</v>
      </c>
      <c r="O7" s="276"/>
      <c r="P7" s="276"/>
      <c r="S7" s="269"/>
      <c r="Z7" s="275"/>
    </row>
    <row r="8" spans="2:26" x14ac:dyDescent="0.2">
      <c r="B8" s="654"/>
      <c r="C8" s="268" t="s">
        <v>234</v>
      </c>
      <c r="E8" s="273">
        <f>F8+G8</f>
        <v>728337.55655764474</v>
      </c>
      <c r="F8" s="273">
        <f>'ColR&amp;OCN&amp;RogKlam'!B45</f>
        <v>371211.42172373401</v>
      </c>
      <c r="G8" s="273">
        <f>'ColR&amp;OCN&amp;RogKlam'!E45</f>
        <v>357126.13483391074</v>
      </c>
      <c r="H8" s="273"/>
      <c r="I8" s="273">
        <f>F8*AttachCStkInput!G29</f>
        <v>317846.82298770366</v>
      </c>
      <c r="J8" s="273">
        <f>G8*AttachCStkInput!H29</f>
        <v>155960.60033284556</v>
      </c>
      <c r="K8" s="273"/>
      <c r="L8" s="273">
        <f>F8*AttachCStkInput!J29</f>
        <v>53364.598736030333</v>
      </c>
      <c r="M8" s="647">
        <f>G8*AttachCStkInput!K29</f>
        <v>201165.53450106521</v>
      </c>
      <c r="N8" s="273"/>
      <c r="S8" s="269"/>
      <c r="Z8" s="275"/>
    </row>
    <row r="9" spans="2:26" x14ac:dyDescent="0.2">
      <c r="B9" s="654"/>
      <c r="C9" s="268" t="s">
        <v>235</v>
      </c>
      <c r="E9" s="273">
        <f>F9+G9</f>
        <v>286099.26722897455</v>
      </c>
      <c r="F9" s="273">
        <f>'ColR&amp;OCN&amp;RogKlam'!C45</f>
        <v>232937.78035896231</v>
      </c>
      <c r="G9" s="273">
        <f>'ColR&amp;OCN&amp;RogKlam'!F45</f>
        <v>53161.486870012232</v>
      </c>
      <c r="H9" s="273"/>
      <c r="I9" s="273">
        <f>F9*AttachCStkInput!G30</f>
        <v>59413.831074129666</v>
      </c>
      <c r="J9" s="273">
        <f>G9*AttachCStkInput!H30</f>
        <v>49836.957097866958</v>
      </c>
      <c r="K9" s="273"/>
      <c r="L9" s="273">
        <f>F9*AttachCStkInput!J30</f>
        <v>173523.94928483263</v>
      </c>
      <c r="M9" s="647">
        <f>G9*AttachCStkInput!K30</f>
        <v>3324.5297721452698</v>
      </c>
      <c r="N9" s="273"/>
      <c r="S9" s="1861" t="s">
        <v>6184</v>
      </c>
      <c r="Z9" s="275"/>
    </row>
    <row r="10" spans="2:26" x14ac:dyDescent="0.2">
      <c r="B10" s="654"/>
      <c r="E10" s="273"/>
      <c r="F10" s="273"/>
      <c r="G10" s="273"/>
      <c r="H10" s="273"/>
      <c r="I10" s="273"/>
      <c r="J10" s="273"/>
      <c r="K10" s="273"/>
      <c r="L10" s="273"/>
      <c r="M10" s="647"/>
      <c r="S10" s="1861"/>
      <c r="T10" s="268" t="s">
        <v>234</v>
      </c>
      <c r="V10" s="273">
        <f>I28</f>
        <v>196268.16025885296</v>
      </c>
      <c r="W10" s="273">
        <f>J28</f>
        <v>90341.846513243581</v>
      </c>
      <c r="X10" s="273"/>
      <c r="Y10" s="273">
        <f>L28</f>
        <v>32952.26146488107</v>
      </c>
      <c r="Z10" s="277">
        <f>M28</f>
        <v>116527.28832066718</v>
      </c>
    </row>
    <row r="11" spans="2:26" x14ac:dyDescent="0.2">
      <c r="B11" s="654" t="s">
        <v>6185</v>
      </c>
      <c r="E11" s="273"/>
      <c r="F11" s="273"/>
      <c r="G11" s="273"/>
      <c r="H11" s="273"/>
      <c r="I11" s="273"/>
      <c r="J11" s="273"/>
      <c r="K11" s="273"/>
      <c r="L11" s="273"/>
      <c r="M11" s="647"/>
      <c r="S11" s="1861"/>
      <c r="T11" s="268" t="s">
        <v>235</v>
      </c>
      <c r="V11" s="273">
        <f>I29</f>
        <v>51574.466866016504</v>
      </c>
      <c r="W11" s="273">
        <f>J29</f>
        <v>42636.299441230796</v>
      </c>
      <c r="X11" s="273"/>
      <c r="Y11" s="273">
        <f>L29</f>
        <v>150628.3134929458</v>
      </c>
      <c r="Z11" s="277">
        <f>M29</f>
        <v>2844.1874287814276</v>
      </c>
    </row>
    <row r="12" spans="2:26" x14ac:dyDescent="0.2">
      <c r="B12" s="654"/>
      <c r="C12" s="268" t="s">
        <v>234</v>
      </c>
      <c r="E12" s="273">
        <f>F12+G12</f>
        <v>2990</v>
      </c>
      <c r="F12" s="273">
        <f>fram_unm_mrkprn!K229</f>
        <v>1424</v>
      </c>
      <c r="G12" s="273">
        <f>fram_unm_mrkprn!K649</f>
        <v>1566</v>
      </c>
      <c r="H12" s="273"/>
      <c r="I12" s="273">
        <f>$F12*(I8/$F8)</f>
        <v>1219.2886572098475</v>
      </c>
      <c r="J12" s="273">
        <f>$G12*(J8/$G8)</f>
        <v>683.88806166432653</v>
      </c>
      <c r="K12" s="273"/>
      <c r="L12" s="273">
        <f>$F12*(L8/$F8)</f>
        <v>204.71134279015257</v>
      </c>
      <c r="M12" s="647">
        <f>$G12*(M8/$G8)</f>
        <v>882.11193833567347</v>
      </c>
      <c r="N12" s="273"/>
      <c r="R12" s="268"/>
      <c r="S12" s="1861"/>
      <c r="Z12" s="275"/>
    </row>
    <row r="13" spans="2:26" x14ac:dyDescent="0.2">
      <c r="B13" s="654"/>
      <c r="C13" s="268" t="s">
        <v>235</v>
      </c>
      <c r="E13" s="273">
        <f>F13+G13</f>
        <v>363</v>
      </c>
      <c r="F13" s="273">
        <f>fram_unm_mrkprn!K19</f>
        <v>257</v>
      </c>
      <c r="G13" s="273">
        <f>fram_unm_mrkprn!K439</f>
        <v>106</v>
      </c>
      <c r="H13" s="273"/>
      <c r="I13" s="273">
        <f>$F13*(I9/$F9)</f>
        <v>65.551215275258954</v>
      </c>
      <c r="J13" s="273">
        <f>$G13*(J9/$G9)</f>
        <v>99.37113808142594</v>
      </c>
      <c r="K13" s="273"/>
      <c r="L13" s="273">
        <f>$F13*(L9/$F9)</f>
        <v>191.44878472474105</v>
      </c>
      <c r="M13" s="647">
        <f>$G13*(M9/$G9)</f>
        <v>6.6288619185740529</v>
      </c>
      <c r="N13" s="273"/>
      <c r="R13" s="268"/>
      <c r="S13" s="1861" t="s">
        <v>6186</v>
      </c>
      <c r="Z13" s="275"/>
    </row>
    <row r="14" spans="2:26" x14ac:dyDescent="0.2">
      <c r="B14" s="654"/>
      <c r="E14" s="273"/>
      <c r="F14" s="273"/>
      <c r="G14" s="273"/>
      <c r="H14" s="273"/>
      <c r="I14" s="273"/>
      <c r="J14" s="273"/>
      <c r="K14" s="273"/>
      <c r="L14" s="273"/>
      <c r="M14" s="647"/>
      <c r="R14" s="268"/>
      <c r="S14" s="1861"/>
      <c r="T14" s="268" t="s">
        <v>234</v>
      </c>
      <c r="V14" s="274">
        <f>I32/$V$10</f>
        <v>0.19724682321059761</v>
      </c>
      <c r="W14" s="274">
        <f>J32/$W$10</f>
        <v>5.209573679830265E-2</v>
      </c>
      <c r="X14" s="274"/>
      <c r="Y14" s="274">
        <f>L32/$Y$10</f>
        <v>0.19724682321059764</v>
      </c>
      <c r="Z14" s="278">
        <f>M32/$Z$10</f>
        <v>5.2095736798302678E-2</v>
      </c>
    </row>
    <row r="15" spans="2:26" x14ac:dyDescent="0.2">
      <c r="B15" s="654" t="s">
        <v>6187</v>
      </c>
      <c r="E15" s="273"/>
      <c r="F15" s="273"/>
      <c r="G15" s="273"/>
      <c r="H15" s="273"/>
      <c r="I15" s="273"/>
      <c r="J15" s="273"/>
      <c r="K15" s="273"/>
      <c r="L15" s="273"/>
      <c r="M15" s="647"/>
      <c r="R15" s="268"/>
      <c r="S15" s="1861"/>
      <c r="V15" s="274"/>
      <c r="W15" s="274"/>
      <c r="X15" s="274"/>
      <c r="Y15" s="274"/>
      <c r="Z15" s="278"/>
    </row>
    <row r="16" spans="2:26" x14ac:dyDescent="0.2">
      <c r="B16" s="654"/>
      <c r="C16" s="268" t="s">
        <v>234</v>
      </c>
      <c r="E16" s="273">
        <f>F16+G16</f>
        <v>11061</v>
      </c>
      <c r="F16" s="273">
        <f>fram_unm_mrkprn!K231</f>
        <v>4828</v>
      </c>
      <c r="G16" s="273">
        <f>fram_unm_mrkprn!K651</f>
        <v>6233</v>
      </c>
      <c r="H16" s="273"/>
      <c r="I16" s="273">
        <f>$F16*(I8/$F8)</f>
        <v>4133.9365428434994</v>
      </c>
      <c r="J16" s="273">
        <f>$G16*(J8/$G8)</f>
        <v>2722.0142326652281</v>
      </c>
      <c r="K16" s="273"/>
      <c r="L16" s="273">
        <f>$F16*(L8/$F8)</f>
        <v>694.06345715650036</v>
      </c>
      <c r="M16" s="647">
        <f>$G16*(M8/$G8)</f>
        <v>3510.9857673347719</v>
      </c>
      <c r="R16" s="268"/>
      <c r="S16" s="1861"/>
      <c r="V16" s="274"/>
      <c r="W16" s="274"/>
      <c r="X16" s="274"/>
      <c r="Y16" s="274"/>
      <c r="Z16" s="278"/>
    </row>
    <row r="17" spans="2:26" x14ac:dyDescent="0.2">
      <c r="B17" s="654"/>
      <c r="C17" s="268" t="s">
        <v>235</v>
      </c>
      <c r="E17" s="273">
        <f>F17+G17</f>
        <v>5869</v>
      </c>
      <c r="F17" s="273">
        <f>fram_unm_mrkprn!K21</f>
        <v>4660</v>
      </c>
      <c r="G17" s="273">
        <f>fram_unm_mrkprn!K441</f>
        <v>1209</v>
      </c>
      <c r="H17" s="273"/>
      <c r="I17" s="273">
        <f>$F17*(I9/$F9)</f>
        <v>1188.594020166174</v>
      </c>
      <c r="J17" s="273">
        <f>$G17*(J9/$G9)</f>
        <v>1133.3934522683394</v>
      </c>
      <c r="K17" s="273"/>
      <c r="L17" s="273">
        <f>$F17*(L9/$F9)</f>
        <v>3471.4059798338258</v>
      </c>
      <c r="M17" s="647">
        <f>$G17*(M9/$G9)</f>
        <v>75.606547731660655</v>
      </c>
      <c r="R17" s="268"/>
      <c r="S17" s="1861"/>
      <c r="V17" s="274"/>
      <c r="W17" s="274"/>
      <c r="X17" s="274"/>
      <c r="Y17" s="274"/>
      <c r="Z17" s="278"/>
    </row>
    <row r="18" spans="2:26" x14ac:dyDescent="0.2">
      <c r="B18" s="654"/>
      <c r="E18" s="273"/>
      <c r="F18" s="273"/>
      <c r="G18" s="273"/>
      <c r="H18" s="273"/>
      <c r="I18" s="273"/>
      <c r="J18" s="273"/>
      <c r="K18" s="273"/>
      <c r="L18" s="273"/>
      <c r="M18" s="647"/>
      <c r="R18" s="268"/>
      <c r="S18" s="1861"/>
      <c r="T18" s="268" t="s">
        <v>235</v>
      </c>
      <c r="V18" s="274">
        <f>I33/$V$11</f>
        <v>3.4435728270594851E-2</v>
      </c>
      <c r="W18" s="274">
        <f>J33/$W$11</f>
        <v>1.0729876340039031E-2</v>
      </c>
      <c r="X18" s="274"/>
      <c r="Y18" s="274">
        <f>L33/$Y$11</f>
        <v>3.4435728270594851E-2</v>
      </c>
      <c r="Z18" s="278">
        <f>M33/$Z$11</f>
        <v>1.0729876340039033E-2</v>
      </c>
    </row>
    <row r="19" spans="2:26" x14ac:dyDescent="0.2">
      <c r="B19" s="654" t="s">
        <v>6188</v>
      </c>
      <c r="E19" s="273"/>
      <c r="F19" s="273"/>
      <c r="G19" s="273"/>
      <c r="H19" s="273"/>
      <c r="I19" s="273"/>
      <c r="J19" s="273"/>
      <c r="K19" s="273"/>
      <c r="L19" s="273"/>
      <c r="M19" s="647"/>
      <c r="R19" s="268"/>
      <c r="S19" s="1861"/>
      <c r="Z19" s="275"/>
    </row>
    <row r="20" spans="2:26" x14ac:dyDescent="0.2">
      <c r="B20" s="654"/>
      <c r="C20" s="268" t="s">
        <v>234</v>
      </c>
      <c r="E20" s="648">
        <f>F20+G20</f>
        <v>714286.55655764474</v>
      </c>
      <c r="F20" s="648">
        <f>I20+L20</f>
        <v>364959.42172373401</v>
      </c>
      <c r="G20" s="648">
        <f>J20+M20</f>
        <v>349327.13483391074</v>
      </c>
      <c r="H20" s="648"/>
      <c r="I20" s="648">
        <f>I8-I12-I16</f>
        <v>312493.5977876503</v>
      </c>
      <c r="J20" s="648">
        <f>J8-J12-J16</f>
        <v>152554.69803851598</v>
      </c>
      <c r="K20" s="648"/>
      <c r="L20" s="648">
        <f>L8-L12-L16</f>
        <v>52465.823936083681</v>
      </c>
      <c r="M20" s="649">
        <f>M8-M12-M16</f>
        <v>196772.43679539478</v>
      </c>
      <c r="R20" s="268"/>
      <c r="S20" s="1861" t="s">
        <v>6189</v>
      </c>
      <c r="Z20" s="275"/>
    </row>
    <row r="21" spans="2:26" x14ac:dyDescent="0.2">
      <c r="B21" s="654"/>
      <c r="C21" s="268" t="s">
        <v>235</v>
      </c>
      <c r="E21" s="648">
        <f>F21+G21</f>
        <v>279867.26722897455</v>
      </c>
      <c r="F21" s="648">
        <f>I21+L21</f>
        <v>228020.78035896231</v>
      </c>
      <c r="G21" s="648">
        <f>J21+M21</f>
        <v>51846.486870012224</v>
      </c>
      <c r="H21" s="648"/>
      <c r="I21" s="648">
        <f>I9-I13-I17</f>
        <v>58159.685838688238</v>
      </c>
      <c r="J21" s="648">
        <f>J9-J13-J17</f>
        <v>48604.192507517189</v>
      </c>
      <c r="K21" s="648"/>
      <c r="L21" s="648">
        <f>L9-L13-L17</f>
        <v>169861.09452027405</v>
      </c>
      <c r="M21" s="649">
        <f>M9-M13-M17</f>
        <v>3242.2943624950353</v>
      </c>
      <c r="R21" s="268"/>
      <c r="S21" s="1861"/>
      <c r="T21" s="268" t="s">
        <v>234</v>
      </c>
      <c r="V21" s="274">
        <f>I40/$V$10</f>
        <v>1.0817240494521287E-2</v>
      </c>
      <c r="W21" s="274">
        <f>J40/$W$10</f>
        <v>1.2998765643385281E-2</v>
      </c>
      <c r="X21" s="274"/>
      <c r="Y21" s="274">
        <f>L40/$Y$10</f>
        <v>1.0817240494521286E-2</v>
      </c>
      <c r="Z21" s="278">
        <f>M40/$Z$10</f>
        <v>1.299876564338528E-2</v>
      </c>
    </row>
    <row r="22" spans="2:26" x14ac:dyDescent="0.2">
      <c r="B22" s="654"/>
      <c r="E22" s="273"/>
      <c r="F22" s="273"/>
      <c r="G22" s="273"/>
      <c r="H22" s="273"/>
      <c r="I22" s="273"/>
      <c r="J22" s="273"/>
      <c r="K22" s="273"/>
      <c r="L22" s="273"/>
      <c r="M22" s="647"/>
      <c r="R22" s="268"/>
      <c r="S22" s="1861"/>
      <c r="T22" s="268" t="s">
        <v>235</v>
      </c>
      <c r="V22" s="274">
        <f>I41/$V$11</f>
        <v>2.0552756939590439E-3</v>
      </c>
      <c r="W22" s="274">
        <f>J41/$W$11</f>
        <v>2.4697654722432012E-3</v>
      </c>
      <c r="X22" s="274"/>
      <c r="Y22" s="274">
        <f>L41/$Y$11</f>
        <v>2.0552756939590444E-3</v>
      </c>
      <c r="Z22" s="278">
        <f>M41/$Z$11</f>
        <v>2.4697654722432016E-3</v>
      </c>
    </row>
    <row r="23" spans="2:26" x14ac:dyDescent="0.2">
      <c r="B23" s="654" t="s">
        <v>6190</v>
      </c>
      <c r="E23" s="273"/>
      <c r="F23" s="273"/>
      <c r="G23" s="273"/>
      <c r="H23" s="273"/>
      <c r="I23" s="273"/>
      <c r="J23" s="273"/>
      <c r="K23" s="273"/>
      <c r="L23" s="273"/>
      <c r="M23" s="647"/>
      <c r="N23" s="273"/>
      <c r="R23" s="268"/>
      <c r="S23" s="1861"/>
      <c r="Z23" s="275"/>
    </row>
    <row r="24" spans="2:26" x14ac:dyDescent="0.2">
      <c r="B24" s="654"/>
      <c r="C24" s="268" t="s">
        <v>234</v>
      </c>
      <c r="E24" s="273">
        <f>F24+G24</f>
        <v>278197</v>
      </c>
      <c r="F24" s="273">
        <f>fram_unm_mrkprn!K230-F16</f>
        <v>135739</v>
      </c>
      <c r="G24" s="273">
        <f>fram_unm_mrkprn!K650-G16</f>
        <v>142458</v>
      </c>
      <c r="H24" s="273"/>
      <c r="I24" s="273">
        <f>$F24*(I20/$F20)</f>
        <v>116225.43752879738</v>
      </c>
      <c r="J24" s="273">
        <f>$G24*(J20/$G20)</f>
        <v>62212.851525272425</v>
      </c>
      <c r="K24" s="273"/>
      <c r="L24" s="273">
        <f>$F24*(L20/$F20)</f>
        <v>19513.562471202611</v>
      </c>
      <c r="M24" s="647">
        <f>$G24*(M20/$G20)</f>
        <v>80245.148474727583</v>
      </c>
      <c r="N24" s="273"/>
      <c r="R24" s="268"/>
      <c r="S24" s="1861" t="s">
        <v>6191</v>
      </c>
      <c r="Z24" s="275"/>
    </row>
    <row r="25" spans="2:26" x14ac:dyDescent="0.2">
      <c r="B25" s="654"/>
      <c r="C25" s="268" t="s">
        <v>235</v>
      </c>
      <c r="E25" s="273">
        <f>F25+G25</f>
        <v>32184</v>
      </c>
      <c r="F25" s="273">
        <f>fram_unm_mrkprn!K20-F17</f>
        <v>25818</v>
      </c>
      <c r="G25" s="273">
        <f>fram_unm_mrkprn!K440-G17</f>
        <v>6366</v>
      </c>
      <c r="H25" s="273"/>
      <c r="I25" s="273">
        <f>$F25*(I21/$F21)</f>
        <v>6585.2189726717343</v>
      </c>
      <c r="J25" s="273">
        <f>$G25*(J21/$G21)</f>
        <v>5967.8930662863922</v>
      </c>
      <c r="K25" s="273"/>
      <c r="L25" s="273">
        <f>$F25*(L21/$F21)</f>
        <v>19232.781027328263</v>
      </c>
      <c r="M25" s="647">
        <f>$G25*(M21/$G21)</f>
        <v>398.10693371360782</v>
      </c>
      <c r="R25" s="268"/>
      <c r="S25" s="1861"/>
      <c r="T25" s="268" t="s">
        <v>234</v>
      </c>
      <c r="V25" s="274" t="e">
        <f>#REF!/$V$10</f>
        <v>#REF!</v>
      </c>
      <c r="W25" s="274" t="e">
        <f>#REF!/$W$10</f>
        <v>#REF!</v>
      </c>
      <c r="X25" s="274"/>
      <c r="Y25" s="274" t="e">
        <f>#REF!/$Y$10</f>
        <v>#REF!</v>
      </c>
      <c r="Z25" s="278" t="e">
        <f>#REF!/$Z$10</f>
        <v>#REF!</v>
      </c>
    </row>
    <row r="26" spans="2:26" x14ac:dyDescent="0.2">
      <c r="B26" s="654"/>
      <c r="E26" s="273"/>
      <c r="F26" s="273"/>
      <c r="G26" s="273"/>
      <c r="H26" s="273"/>
      <c r="I26" s="273"/>
      <c r="J26" s="273"/>
      <c r="K26" s="273"/>
      <c r="L26" s="273"/>
      <c r="M26" s="647"/>
      <c r="R26" s="268"/>
      <c r="S26" s="1861"/>
      <c r="T26" s="268" t="s">
        <v>2328</v>
      </c>
      <c r="V26" s="274" t="e">
        <f>#REF!/$V$11</f>
        <v>#REF!</v>
      </c>
      <c r="W26" s="274" t="e">
        <f>#REF!/$W$11</f>
        <v>#REF!</v>
      </c>
      <c r="X26" s="274"/>
      <c r="Y26" s="274" t="e">
        <f>#REF!/$Y$11</f>
        <v>#REF!</v>
      </c>
      <c r="Z26" s="278" t="e">
        <f>#REF!/$Z$11</f>
        <v>#REF!</v>
      </c>
    </row>
    <row r="27" spans="2:26" x14ac:dyDescent="0.2">
      <c r="B27" s="654" t="s">
        <v>6192</v>
      </c>
      <c r="E27" s="273">
        <f>G27+F27</f>
        <v>683772.82378661935</v>
      </c>
      <c r="F27" s="273">
        <f>SUM(F28:F29)</f>
        <v>431423.20208269631</v>
      </c>
      <c r="G27" s="273">
        <f>SUM(G28:G29)</f>
        <v>252349.62170392298</v>
      </c>
      <c r="H27" s="273"/>
      <c r="I27" s="273">
        <f>I28+I29</f>
        <v>247842.62712486947</v>
      </c>
      <c r="J27" s="273">
        <f>J28+J29</f>
        <v>132978.14595447437</v>
      </c>
      <c r="K27" s="273"/>
      <c r="L27" s="273">
        <f>L28+L29</f>
        <v>183580.57495782687</v>
      </c>
      <c r="M27" s="647">
        <f>M28+M29</f>
        <v>119371.47574944861</v>
      </c>
      <c r="N27" s="273"/>
      <c r="R27" s="268"/>
      <c r="S27" s="1861"/>
      <c r="Z27" s="275"/>
    </row>
    <row r="28" spans="2:26" x14ac:dyDescent="0.2">
      <c r="B28" s="654"/>
      <c r="C28" s="268" t="s">
        <v>234</v>
      </c>
      <c r="D28" s="273"/>
      <c r="E28" s="273">
        <f>G28+F28</f>
        <v>436089.55655764474</v>
      </c>
      <c r="F28" s="273">
        <f>F8-F12-F24-F16</f>
        <v>229220.42172373401</v>
      </c>
      <c r="G28" s="273">
        <f>G8-G12-G24-G16</f>
        <v>206869.13483391074</v>
      </c>
      <c r="H28" s="273"/>
      <c r="I28" s="273">
        <f>I8-I12-I24-I16</f>
        <v>196268.16025885296</v>
      </c>
      <c r="J28" s="273">
        <f>J8-J12-J24-J16</f>
        <v>90341.846513243581</v>
      </c>
      <c r="K28" s="273"/>
      <c r="L28" s="273">
        <f>L8-L12-L24-L16</f>
        <v>32952.26146488107</v>
      </c>
      <c r="M28" s="647">
        <f>M8-M12-M24-M16</f>
        <v>116527.28832066718</v>
      </c>
      <c r="N28" s="273"/>
      <c r="P28" s="279"/>
      <c r="Q28" s="279"/>
      <c r="R28" s="268"/>
      <c r="S28" s="1861" t="s">
        <v>6193</v>
      </c>
      <c r="Z28" s="275"/>
    </row>
    <row r="29" spans="2:26" x14ac:dyDescent="0.2">
      <c r="B29" s="654"/>
      <c r="C29" s="268" t="s">
        <v>2328</v>
      </c>
      <c r="E29" s="273">
        <f>G29+F29</f>
        <v>247683.26722897455</v>
      </c>
      <c r="F29" s="273">
        <f>F9-F13-F25-F17</f>
        <v>202202.78035896231</v>
      </c>
      <c r="G29" s="273">
        <f>G9-G13-G25-G17</f>
        <v>45480.486870012232</v>
      </c>
      <c r="H29" s="273"/>
      <c r="I29" s="273">
        <f>I9-I13-I25-I17</f>
        <v>51574.466866016504</v>
      </c>
      <c r="J29" s="273">
        <f>J9-J13-J25-J17</f>
        <v>42636.299441230796</v>
      </c>
      <c r="K29" s="273"/>
      <c r="L29" s="273">
        <f>L9-L13-L25-L17</f>
        <v>150628.3134929458</v>
      </c>
      <c r="M29" s="647">
        <f>M9-M13-M25-M17</f>
        <v>2844.1874287814276</v>
      </c>
      <c r="O29" s="279">
        <f>L29-L49</f>
        <v>143762.0712473873</v>
      </c>
      <c r="P29" s="279">
        <f>M29-M49</f>
        <v>2734.0553187226933</v>
      </c>
      <c r="Q29" s="279"/>
      <c r="R29" s="268"/>
      <c r="S29" s="1861"/>
      <c r="T29" s="268" t="s">
        <v>234</v>
      </c>
      <c r="V29" s="274" t="e">
        <f>#REF!/$V$10</f>
        <v>#REF!</v>
      </c>
      <c r="W29" s="274" t="e">
        <f>#REF!/$W$10</f>
        <v>#REF!</v>
      </c>
      <c r="X29" s="274"/>
      <c r="Y29" s="274" t="e">
        <f>#REF!/$Y$10</f>
        <v>#REF!</v>
      </c>
      <c r="Z29" s="278" t="e">
        <f>#REF!/$Z$10</f>
        <v>#REF!</v>
      </c>
    </row>
    <row r="30" spans="2:26" x14ac:dyDescent="0.2">
      <c r="B30" s="654"/>
      <c r="E30" s="273"/>
      <c r="F30" s="273"/>
      <c r="G30" s="273"/>
      <c r="H30" s="273"/>
      <c r="I30" s="273"/>
      <c r="J30" s="273"/>
      <c r="K30" s="273"/>
      <c r="L30" s="273"/>
      <c r="M30" s="647"/>
      <c r="R30" s="268"/>
      <c r="S30" s="1861"/>
      <c r="T30" s="268" t="s">
        <v>2328</v>
      </c>
      <c r="V30" s="274" t="e">
        <f>#REF!/$V$11</f>
        <v>#REF!</v>
      </c>
      <c r="W30" s="274" t="e">
        <f>#REF!/$W$11</f>
        <v>#REF!</v>
      </c>
      <c r="X30" s="274"/>
      <c r="Y30" s="274" t="e">
        <f>#REF!/$Y$11</f>
        <v>#REF!</v>
      </c>
      <c r="Z30" s="278" t="e">
        <f>#REF!/$Z$11</f>
        <v>#REF!</v>
      </c>
    </row>
    <row r="31" spans="2:26" x14ac:dyDescent="0.2">
      <c r="B31" s="654" t="s">
        <v>6186</v>
      </c>
      <c r="E31" s="273">
        <f>E32+E33</f>
        <v>63441</v>
      </c>
      <c r="F31" s="273">
        <f>F32+F33</f>
        <v>52176</v>
      </c>
      <c r="G31" s="273">
        <f>G32+G33</f>
        <v>11265</v>
      </c>
      <c r="H31" s="273"/>
      <c r="I31" s="273">
        <f>I32+I33</f>
        <v>40489.275435146155</v>
      </c>
      <c r="J31" s="273">
        <f>J32+J33</f>
        <v>5163.9072784278751</v>
      </c>
      <c r="K31" s="273"/>
      <c r="L31" s="273">
        <f>L32+L33</f>
        <v>11686.724564853845</v>
      </c>
      <c r="M31" s="647">
        <f>M32+M33</f>
        <v>6101.0927215721258</v>
      </c>
      <c r="R31" s="268"/>
      <c r="S31" s="1861"/>
      <c r="Z31" s="275"/>
    </row>
    <row r="32" spans="2:26" x14ac:dyDescent="0.2">
      <c r="B32" s="654"/>
      <c r="C32" s="268" t="s">
        <v>234</v>
      </c>
      <c r="E32" s="273">
        <f>F32+G32</f>
        <v>55990</v>
      </c>
      <c r="F32" s="273">
        <f>fram_unm_mrkprn!K232</f>
        <v>45213</v>
      </c>
      <c r="G32" s="273">
        <f>fram_unm_mrkprn!K652</f>
        <v>10777</v>
      </c>
      <c r="H32" s="273"/>
      <c r="I32" s="273">
        <f>$F32*(I24/$F24)</f>
        <v>38713.27110844721</v>
      </c>
      <c r="J32" s="273">
        <f>$G32*(J24/$G24)</f>
        <v>4706.4250578265937</v>
      </c>
      <c r="K32" s="273"/>
      <c r="L32" s="273">
        <f>$F32*(L24/$F24)</f>
        <v>6499.7288915527861</v>
      </c>
      <c r="M32" s="647">
        <f>$G32*(M24/$G24)</f>
        <v>6070.5749421734072</v>
      </c>
      <c r="R32" s="268"/>
      <c r="S32" s="1861" t="s">
        <v>6194</v>
      </c>
      <c r="U32" s="273"/>
      <c r="V32" s="273"/>
      <c r="W32" s="273"/>
      <c r="X32" s="273"/>
      <c r="Y32" s="273"/>
      <c r="Z32" s="277"/>
    </row>
    <row r="33" spans="1:251" x14ac:dyDescent="0.2">
      <c r="B33" s="654"/>
      <c r="C33" s="268" t="s">
        <v>235</v>
      </c>
      <c r="E33" s="273">
        <f>F33+G33</f>
        <v>7451</v>
      </c>
      <c r="F33" s="273">
        <f>fram_unm_mrkprn!K22</f>
        <v>6963</v>
      </c>
      <c r="G33" s="273">
        <f>fram_unm_mrkprn!K442</f>
        <v>488</v>
      </c>
      <c r="H33" s="273"/>
      <c r="I33" s="273">
        <f>$F33*(I25/$F25)</f>
        <v>1776.0043266989419</v>
      </c>
      <c r="J33" s="273">
        <f>$G33*(J25/$G25)</f>
        <v>457.48222060128171</v>
      </c>
      <c r="K33" s="273"/>
      <c r="L33" s="273">
        <f>$F33*(L25/$F25)</f>
        <v>5186.9956733010576</v>
      </c>
      <c r="M33" s="647">
        <f>$G33*(M25/$G25)</f>
        <v>30.517779398718289</v>
      </c>
      <c r="R33" s="268"/>
      <c r="S33" s="1861"/>
      <c r="T33" s="268" t="s">
        <v>234</v>
      </c>
      <c r="U33" s="273"/>
      <c r="V33" s="274">
        <f>I44/$V$10</f>
        <v>3.450597963474504E-2</v>
      </c>
      <c r="W33" s="274">
        <f>J44/$W$10</f>
        <v>7.9651397391762094E-2</v>
      </c>
      <c r="X33" s="274"/>
      <c r="Y33" s="274">
        <f>L44/$Y$10</f>
        <v>3.4505979634745033E-2</v>
      </c>
      <c r="Z33" s="278">
        <f>M44/$Z$10</f>
        <v>7.965139739176208E-2</v>
      </c>
    </row>
    <row r="34" spans="1:251" ht="13.5" thickBot="1" x14ac:dyDescent="0.25">
      <c r="B34" s="654"/>
      <c r="E34" s="273"/>
      <c r="F34" s="273"/>
      <c r="G34" s="273"/>
      <c r="H34" s="273"/>
      <c r="I34" s="273"/>
      <c r="J34" s="273"/>
      <c r="K34" s="273"/>
      <c r="L34" s="273"/>
      <c r="M34" s="647"/>
      <c r="N34" s="1862"/>
      <c r="R34" s="268"/>
      <c r="S34" s="1861"/>
      <c r="T34" s="268" t="s">
        <v>2328</v>
      </c>
      <c r="U34" s="273"/>
      <c r="V34" s="274">
        <f>I45/$V$11</f>
        <v>9.0930040239578305E-3</v>
      </c>
      <c r="W34" s="274">
        <f>J45/$W$11</f>
        <v>2.5522176920289696E-2</v>
      </c>
      <c r="X34" s="274"/>
      <c r="Y34" s="274">
        <f>L45/$Y$11</f>
        <v>9.0930040239578305E-3</v>
      </c>
      <c r="Z34" s="278">
        <f>M45/$Z$11</f>
        <v>2.5522176920289692E-2</v>
      </c>
    </row>
    <row r="35" spans="1:251" ht="13.5" thickBot="1" x14ac:dyDescent="0.25">
      <c r="B35" s="654" t="s">
        <v>6195</v>
      </c>
      <c r="E35" s="273">
        <f>E36+E37</f>
        <v>620331.82378661935</v>
      </c>
      <c r="F35" s="273">
        <f>F36+F37</f>
        <v>379247.20208269631</v>
      </c>
      <c r="G35" s="273">
        <f>G36+G37</f>
        <v>241084.62170392298</v>
      </c>
      <c r="H35" s="273"/>
      <c r="I35" s="273">
        <f>I36+I37</f>
        <v>207353.35168972332</v>
      </c>
      <c r="J35" s="280">
        <f>J36+J37</f>
        <v>127814.2386760465</v>
      </c>
      <c r="K35" s="273"/>
      <c r="L35" s="273">
        <f>L36+L37</f>
        <v>171893.85039297305</v>
      </c>
      <c r="M35" s="647">
        <f>M36+M37</f>
        <v>113270.38302787648</v>
      </c>
      <c r="N35" s="1862"/>
      <c r="R35" s="268"/>
      <c r="S35" s="281"/>
      <c r="T35" s="273"/>
      <c r="U35" s="273"/>
      <c r="V35" s="273"/>
      <c r="W35" s="273"/>
      <c r="X35" s="273"/>
      <c r="Y35" s="273"/>
      <c r="Z35" s="277"/>
    </row>
    <row r="36" spans="1:251" x14ac:dyDescent="0.2">
      <c r="B36" s="654"/>
      <c r="C36" s="268" t="s">
        <v>234</v>
      </c>
      <c r="E36" s="273">
        <f t="shared" ref="E36:G37" si="0">E28-E32</f>
        <v>380099.55655764474</v>
      </c>
      <c r="F36" s="273">
        <f t="shared" si="0"/>
        <v>184007.42172373401</v>
      </c>
      <c r="G36" s="273">
        <f t="shared" si="0"/>
        <v>196092.13483391074</v>
      </c>
      <c r="H36" s="273"/>
      <c r="I36" s="273">
        <f>I28-I32</f>
        <v>157554.88915040577</v>
      </c>
      <c r="J36" s="273">
        <f>J28-J32</f>
        <v>85635.421455416988</v>
      </c>
      <c r="K36" s="273"/>
      <c r="L36" s="273">
        <f>L28-L32</f>
        <v>26452.532573328284</v>
      </c>
      <c r="M36" s="647">
        <f>M28-M32</f>
        <v>110456.71337849378</v>
      </c>
      <c r="N36" s="1862"/>
      <c r="R36" s="268"/>
      <c r="S36" s="1861" t="s">
        <v>6196</v>
      </c>
      <c r="T36" s="273"/>
      <c r="U36" s="273"/>
      <c r="V36" s="273"/>
      <c r="W36" s="273"/>
      <c r="X36" s="273"/>
      <c r="Y36" s="273"/>
      <c r="Z36" s="277"/>
    </row>
    <row r="37" spans="1:251" x14ac:dyDescent="0.2">
      <c r="B37" s="654"/>
      <c r="C37" s="268" t="s">
        <v>2328</v>
      </c>
      <c r="E37" s="273">
        <f t="shared" si="0"/>
        <v>240232.26722897455</v>
      </c>
      <c r="F37" s="273">
        <f t="shared" si="0"/>
        <v>195239.78035896231</v>
      </c>
      <c r="G37" s="273">
        <f t="shared" si="0"/>
        <v>44992.486870012232</v>
      </c>
      <c r="H37" s="273"/>
      <c r="I37" s="273">
        <f>I29-I33</f>
        <v>49798.462539317559</v>
      </c>
      <c r="J37" s="273">
        <f>J29-J33</f>
        <v>42178.817220629513</v>
      </c>
      <c r="K37" s="273"/>
      <c r="L37" s="273">
        <f>L29-L33</f>
        <v>145441.31781964476</v>
      </c>
      <c r="M37" s="647">
        <f>M29-M33</f>
        <v>2813.6696493827094</v>
      </c>
      <c r="R37" s="268"/>
      <c r="S37" s="281"/>
      <c r="T37" s="268" t="s">
        <v>234</v>
      </c>
      <c r="U37" s="273"/>
      <c r="V37" s="274">
        <f>I48/V10</f>
        <v>0.24257004333986393</v>
      </c>
      <c r="W37" s="274">
        <f>J48/W10</f>
        <v>0.14474589983345001</v>
      </c>
      <c r="X37" s="273"/>
      <c r="Y37" s="274">
        <f>L48/Y10</f>
        <v>0.24257004333986398</v>
      </c>
      <c r="Z37" s="278">
        <f>M48/Z10</f>
        <v>0.14474589983345004</v>
      </c>
    </row>
    <row r="38" spans="1:251" x14ac:dyDescent="0.2">
      <c r="B38" s="654"/>
      <c r="E38" s="273"/>
      <c r="F38" s="273"/>
      <c r="G38" s="273"/>
      <c r="H38" s="273"/>
      <c r="I38" s="273"/>
      <c r="J38" s="273"/>
      <c r="K38" s="273"/>
      <c r="L38" s="273"/>
      <c r="M38" s="647"/>
      <c r="N38" s="273"/>
      <c r="R38" s="268"/>
      <c r="S38" s="1860"/>
      <c r="T38" s="2364"/>
      <c r="U38" s="2364"/>
      <c r="V38" s="2369"/>
      <c r="W38" s="2369"/>
      <c r="X38" s="2364"/>
      <c r="Y38" s="2369"/>
      <c r="Z38" s="2050"/>
    </row>
    <row r="39" spans="1:251" x14ac:dyDescent="0.2">
      <c r="B39" s="655" t="s">
        <v>6189</v>
      </c>
      <c r="C39" s="650"/>
      <c r="E39" s="273">
        <f>E40+E41</f>
        <v>5696.484426452178</v>
      </c>
      <c r="F39" s="273">
        <f>F40+F41</f>
        <v>2895.1148877639362</v>
      </c>
      <c r="G39" s="273">
        <f>G40+G41</f>
        <v>2801.3695386882428</v>
      </c>
      <c r="H39" s="273"/>
      <c r="I39" s="273">
        <f>I40+I41</f>
        <v>2229.0796391158779</v>
      </c>
      <c r="J39" s="273">
        <f>J40+J41</f>
        <v>1279.634150840511</v>
      </c>
      <c r="K39" s="273"/>
      <c r="L39" s="273">
        <f>L40+L41</f>
        <v>666.03524864805945</v>
      </c>
      <c r="M39" s="647">
        <f>M40+M41</f>
        <v>1521.7353878477318</v>
      </c>
      <c r="N39" s="273"/>
      <c r="R39" s="268"/>
    </row>
    <row r="40" spans="1:251" x14ac:dyDescent="0.2">
      <c r="B40" s="654"/>
      <c r="C40" s="268" t="s">
        <v>234</v>
      </c>
      <c r="E40" s="273">
        <f>F40+G40</f>
        <v>5168.5758305970976</v>
      </c>
      <c r="F40" s="273">
        <f>'ColR&amp;OCN&amp;RogKlam'!B43</f>
        <v>2479.5324280412219</v>
      </c>
      <c r="G40" s="273">
        <f>'ColR&amp;OCN&amp;RogKlam'!E43</f>
        <v>2689.0434025558761</v>
      </c>
      <c r="H40" s="273"/>
      <c r="I40" s="273">
        <f>I36/F36*F40</f>
        <v>2123.0798909372579</v>
      </c>
      <c r="J40" s="273">
        <f>J36/G36*G40</f>
        <v>1174.3324906163371</v>
      </c>
      <c r="K40" s="273"/>
      <c r="L40" s="273">
        <f>L36/F36*F40</f>
        <v>356.4525371039648</v>
      </c>
      <c r="M40" s="647">
        <f>M36/G36*G40</f>
        <v>1514.7109119395393</v>
      </c>
      <c r="N40" s="273"/>
      <c r="R40" s="268"/>
    </row>
    <row r="41" spans="1:251" x14ac:dyDescent="0.2">
      <c r="B41" s="654"/>
      <c r="C41" s="268" t="s">
        <v>2328</v>
      </c>
      <c r="E41" s="273">
        <f>F41+G41</f>
        <v>527.90859585508088</v>
      </c>
      <c r="F41" s="273">
        <f>'ColR&amp;OCN&amp;RogKlam'!C43</f>
        <v>415.58245972271442</v>
      </c>
      <c r="G41" s="273">
        <f>'ColR&amp;OCN&amp;RogKlam'!F43</f>
        <v>112.32613613236649</v>
      </c>
      <c r="H41" s="273"/>
      <c r="I41" s="273">
        <f>I37/F37*F41</f>
        <v>105.9997481786198</v>
      </c>
      <c r="J41" s="273">
        <f>J37/G37*G41</f>
        <v>105.30166022417392</v>
      </c>
      <c r="K41" s="273"/>
      <c r="L41" s="273">
        <f>L37/F37*F41</f>
        <v>309.58271154409465</v>
      </c>
      <c r="M41" s="647">
        <f>M37/G37*G41</f>
        <v>7.0244759081925396</v>
      </c>
      <c r="R41" s="268"/>
    </row>
    <row r="42" spans="1:251" x14ac:dyDescent="0.2">
      <c r="A42" s="273"/>
      <c r="B42" s="654"/>
      <c r="E42" s="273"/>
      <c r="F42" s="273"/>
      <c r="G42" s="273"/>
      <c r="H42" s="273"/>
      <c r="I42" s="273"/>
      <c r="J42" s="273"/>
      <c r="K42" s="273"/>
      <c r="L42" s="273"/>
      <c r="M42" s="647"/>
      <c r="N42" s="273"/>
      <c r="R42" s="268"/>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273"/>
      <c r="BX42" s="273"/>
      <c r="BY42" s="273"/>
      <c r="BZ42" s="273"/>
      <c r="CA42" s="273"/>
      <c r="CB42" s="273"/>
      <c r="CC42" s="273"/>
      <c r="CD42" s="273"/>
      <c r="CE42" s="273"/>
      <c r="CF42" s="273"/>
      <c r="CG42" s="273"/>
      <c r="CH42" s="273"/>
      <c r="CI42" s="273"/>
      <c r="CJ42" s="273"/>
      <c r="CK42" s="273"/>
      <c r="CL42" s="273"/>
      <c r="CM42" s="273"/>
      <c r="CN42" s="273"/>
      <c r="CO42" s="273"/>
      <c r="CP42" s="273"/>
      <c r="CQ42" s="273"/>
      <c r="CR42" s="273"/>
      <c r="CS42" s="273"/>
      <c r="CT42" s="273"/>
      <c r="CU42" s="273"/>
      <c r="CV42" s="273"/>
      <c r="CW42" s="273"/>
      <c r="CX42" s="273"/>
      <c r="CY42" s="273"/>
      <c r="CZ42" s="273"/>
      <c r="DA42" s="273"/>
      <c r="DB42" s="273"/>
      <c r="DC42" s="273"/>
      <c r="DD42" s="273"/>
      <c r="DE42" s="273"/>
      <c r="DF42" s="273"/>
      <c r="DG42" s="273"/>
      <c r="DH42" s="273"/>
      <c r="DI42" s="273"/>
      <c r="DJ42" s="273"/>
      <c r="DK42" s="273"/>
      <c r="DL42" s="273"/>
      <c r="DM42" s="273"/>
      <c r="DN42" s="273"/>
      <c r="DO42" s="273"/>
      <c r="DP42" s="273"/>
      <c r="DQ42" s="273"/>
      <c r="DR42" s="273"/>
      <c r="DS42" s="273"/>
      <c r="DT42" s="273"/>
      <c r="DU42" s="273"/>
      <c r="DV42" s="273"/>
      <c r="DW42" s="273"/>
      <c r="DX42" s="273"/>
      <c r="DY42" s="273"/>
      <c r="DZ42" s="273"/>
      <c r="EA42" s="273"/>
      <c r="EB42" s="273"/>
      <c r="EC42" s="273"/>
      <c r="ED42" s="273"/>
      <c r="EE42" s="273"/>
      <c r="EF42" s="273"/>
      <c r="EG42" s="273"/>
      <c r="EH42" s="273"/>
      <c r="EI42" s="273"/>
      <c r="EJ42" s="273"/>
      <c r="EK42" s="273"/>
      <c r="EL42" s="273"/>
      <c r="EM42" s="273"/>
      <c r="EN42" s="273"/>
      <c r="EO42" s="273"/>
      <c r="EP42" s="273"/>
      <c r="EQ42" s="273"/>
      <c r="ER42" s="273"/>
      <c r="ES42" s="273"/>
      <c r="ET42" s="273"/>
      <c r="EU42" s="273"/>
      <c r="EV42" s="273"/>
      <c r="EW42" s="273"/>
      <c r="EX42" s="273"/>
      <c r="EY42" s="273"/>
      <c r="EZ42" s="273"/>
      <c r="FA42" s="273"/>
      <c r="FB42" s="273"/>
      <c r="FC42" s="273"/>
      <c r="FD42" s="273"/>
      <c r="FE42" s="273"/>
      <c r="FF42" s="273"/>
      <c r="FG42" s="273"/>
      <c r="FH42" s="273"/>
      <c r="FI42" s="273"/>
      <c r="FJ42" s="273"/>
      <c r="FK42" s="273"/>
      <c r="FL42" s="273"/>
      <c r="FM42" s="273"/>
      <c r="FN42" s="273"/>
      <c r="FO42" s="273"/>
      <c r="FP42" s="273"/>
      <c r="FQ42" s="273"/>
      <c r="FR42" s="273"/>
      <c r="FS42" s="273"/>
      <c r="FT42" s="273"/>
      <c r="FU42" s="273"/>
      <c r="FV42" s="273"/>
      <c r="FW42" s="273"/>
      <c r="FX42" s="273"/>
      <c r="FY42" s="273"/>
      <c r="FZ42" s="273"/>
      <c r="GA42" s="273"/>
      <c r="GB42" s="273"/>
      <c r="GC42" s="273"/>
      <c r="GD42" s="273"/>
      <c r="GE42" s="273"/>
      <c r="GF42" s="273"/>
      <c r="GG42" s="273"/>
      <c r="GH42" s="273"/>
      <c r="GI42" s="273"/>
      <c r="GJ42" s="273"/>
      <c r="GK42" s="273"/>
      <c r="GL42" s="273"/>
      <c r="GM42" s="273"/>
      <c r="GN42" s="273"/>
      <c r="GO42" s="273"/>
      <c r="GP42" s="273"/>
      <c r="GQ42" s="273"/>
      <c r="GR42" s="273"/>
      <c r="GS42" s="273"/>
      <c r="GT42" s="273"/>
      <c r="GU42" s="273"/>
      <c r="GV42" s="273"/>
      <c r="GW42" s="273"/>
      <c r="GX42" s="273"/>
      <c r="GY42" s="273"/>
      <c r="GZ42" s="273"/>
      <c r="HA42" s="273"/>
      <c r="HB42" s="273"/>
      <c r="HC42" s="273"/>
      <c r="HD42" s="273"/>
      <c r="HE42" s="273"/>
      <c r="HF42" s="273"/>
      <c r="HG42" s="273"/>
      <c r="HH42" s="273"/>
      <c r="HI42" s="273"/>
      <c r="HJ42" s="273"/>
      <c r="HK42" s="273"/>
      <c r="HL42" s="273"/>
      <c r="HM42" s="273"/>
      <c r="HN42" s="273"/>
      <c r="HO42" s="273"/>
      <c r="HP42" s="273"/>
      <c r="HQ42" s="273"/>
      <c r="HR42" s="273"/>
      <c r="HS42" s="273"/>
      <c r="HT42" s="273"/>
      <c r="HU42" s="273"/>
      <c r="HV42" s="273"/>
      <c r="HW42" s="273"/>
      <c r="HX42" s="273"/>
      <c r="HY42" s="273"/>
      <c r="HZ42" s="273"/>
      <c r="IA42" s="273"/>
      <c r="IB42" s="273"/>
      <c r="IC42" s="273"/>
      <c r="ID42" s="273"/>
      <c r="IE42" s="273"/>
      <c r="IF42" s="273"/>
      <c r="IG42" s="273"/>
      <c r="IH42" s="273"/>
      <c r="II42" s="273"/>
      <c r="IJ42" s="273"/>
      <c r="IK42" s="273"/>
      <c r="IL42" s="273"/>
      <c r="IM42" s="273"/>
      <c r="IN42" s="273"/>
      <c r="IO42" s="273"/>
      <c r="IP42" s="273"/>
      <c r="IQ42" s="273"/>
    </row>
    <row r="43" spans="1:251" x14ac:dyDescent="0.2">
      <c r="A43" s="273"/>
      <c r="B43" s="654" t="s">
        <v>6169</v>
      </c>
      <c r="D43" s="273"/>
      <c r="E43" s="273">
        <f>F43+G43</f>
        <v>27386.282598389542</v>
      </c>
      <c r="F43" s="273">
        <f>SUM(F44:F45)</f>
        <v>9748.1058993263396</v>
      </c>
      <c r="G43" s="273">
        <f>SUM(G44:G45)</f>
        <v>17638.176699063202</v>
      </c>
      <c r="H43" s="273"/>
      <c r="I43" s="273">
        <f>SUM(I44:I45)</f>
        <v>7241.3919755870238</v>
      </c>
      <c r="J43" s="273">
        <f>SUM(J44:J45)</f>
        <v>8284.025495297481</v>
      </c>
      <c r="K43" s="273"/>
      <c r="L43" s="273">
        <f>SUM(L44:L45)</f>
        <v>2506.7139237393176</v>
      </c>
      <c r="M43" s="647">
        <f>SUM(M44:M45)</f>
        <v>9354.1512037657212</v>
      </c>
      <c r="AA43" s="273"/>
      <c r="AB43" s="273"/>
      <c r="AC43" s="273"/>
      <c r="AD43" s="273"/>
      <c r="AE43" s="273"/>
      <c r="AF43" s="273"/>
      <c r="AG43" s="273"/>
      <c r="AH43" s="273"/>
      <c r="AI43" s="273"/>
      <c r="AJ43" s="273"/>
      <c r="AK43" s="273"/>
      <c r="AL43" s="273"/>
      <c r="AM43" s="273"/>
      <c r="AN43" s="273"/>
      <c r="AO43" s="273"/>
      <c r="AP43" s="273"/>
      <c r="AQ43" s="273"/>
      <c r="AR43" s="273"/>
      <c r="AS43" s="273"/>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273"/>
      <c r="BX43" s="273"/>
      <c r="BY43" s="273"/>
      <c r="BZ43" s="273"/>
      <c r="CA43" s="273"/>
      <c r="CB43" s="273"/>
      <c r="CC43" s="273"/>
      <c r="CD43" s="273"/>
      <c r="CE43" s="273"/>
      <c r="CF43" s="273"/>
      <c r="CG43" s="273"/>
      <c r="CH43" s="273"/>
      <c r="CI43" s="273"/>
      <c r="CJ43" s="273"/>
      <c r="CK43" s="273"/>
      <c r="CL43" s="273"/>
      <c r="CM43" s="273"/>
      <c r="CN43" s="273"/>
      <c r="CO43" s="273"/>
      <c r="CP43" s="273"/>
      <c r="CQ43" s="273"/>
      <c r="CR43" s="273"/>
      <c r="CS43" s="273"/>
      <c r="CT43" s="273"/>
      <c r="CU43" s="273"/>
      <c r="CV43" s="273"/>
      <c r="CW43" s="273"/>
      <c r="CX43" s="273"/>
      <c r="CY43" s="273"/>
      <c r="CZ43" s="273"/>
      <c r="DA43" s="273"/>
      <c r="DB43" s="273"/>
      <c r="DC43" s="273"/>
      <c r="DD43" s="273"/>
      <c r="DE43" s="273"/>
      <c r="DF43" s="273"/>
      <c r="DG43" s="273"/>
      <c r="DH43" s="273"/>
      <c r="DI43" s="273"/>
      <c r="DJ43" s="273"/>
      <c r="DK43" s="273"/>
      <c r="DL43" s="273"/>
      <c r="DM43" s="273"/>
      <c r="DN43" s="273"/>
      <c r="DO43" s="273"/>
      <c r="DP43" s="273"/>
      <c r="DQ43" s="273"/>
      <c r="DR43" s="273"/>
      <c r="DS43" s="273"/>
      <c r="DT43" s="273"/>
      <c r="DU43" s="273"/>
      <c r="DV43" s="273"/>
      <c r="DW43" s="273"/>
      <c r="DX43" s="273"/>
      <c r="DY43" s="273"/>
      <c r="DZ43" s="273"/>
      <c r="EA43" s="273"/>
      <c r="EB43" s="273"/>
      <c r="EC43" s="273"/>
      <c r="ED43" s="273"/>
      <c r="EE43" s="273"/>
      <c r="EF43" s="273"/>
      <c r="EG43" s="273"/>
      <c r="EH43" s="273"/>
      <c r="EI43" s="273"/>
      <c r="EJ43" s="273"/>
      <c r="EK43" s="273"/>
      <c r="EL43" s="273"/>
      <c r="EM43" s="273"/>
      <c r="EN43" s="273"/>
      <c r="EO43" s="273"/>
      <c r="EP43" s="273"/>
      <c r="EQ43" s="273"/>
      <c r="ER43" s="273"/>
      <c r="ES43" s="273"/>
      <c r="ET43" s="273"/>
      <c r="EU43" s="273"/>
      <c r="EV43" s="273"/>
      <c r="EW43" s="273"/>
      <c r="EX43" s="273"/>
      <c r="EY43" s="273"/>
      <c r="EZ43" s="273"/>
      <c r="FA43" s="273"/>
      <c r="FB43" s="273"/>
      <c r="FC43" s="273"/>
      <c r="FD43" s="273"/>
      <c r="FE43" s="273"/>
      <c r="FF43" s="273"/>
      <c r="FG43" s="273"/>
      <c r="FH43" s="273"/>
      <c r="FI43" s="273"/>
      <c r="FJ43" s="273"/>
      <c r="FK43" s="273"/>
      <c r="FL43" s="273"/>
      <c r="FM43" s="273"/>
      <c r="FN43" s="273"/>
      <c r="FO43" s="273"/>
      <c r="FP43" s="273"/>
      <c r="FQ43" s="273"/>
      <c r="FR43" s="273"/>
      <c r="FS43" s="273"/>
      <c r="FT43" s="273"/>
      <c r="FU43" s="273"/>
      <c r="FV43" s="273"/>
      <c r="FW43" s="273"/>
      <c r="FX43" s="273"/>
      <c r="FY43" s="273"/>
      <c r="FZ43" s="273"/>
      <c r="GA43" s="273"/>
      <c r="GB43" s="273"/>
      <c r="GC43" s="273"/>
      <c r="GD43" s="273"/>
      <c r="GE43" s="273"/>
      <c r="GF43" s="273"/>
      <c r="GG43" s="273"/>
      <c r="GH43" s="273"/>
      <c r="GI43" s="273"/>
      <c r="GJ43" s="273"/>
      <c r="GK43" s="273"/>
      <c r="GL43" s="273"/>
      <c r="GM43" s="273"/>
      <c r="GN43" s="273"/>
      <c r="GO43" s="273"/>
      <c r="GP43" s="273"/>
      <c r="GQ43" s="273"/>
      <c r="GR43" s="273"/>
      <c r="GS43" s="273"/>
      <c r="GT43" s="273"/>
      <c r="GU43" s="273"/>
      <c r="GV43" s="273"/>
      <c r="GW43" s="273"/>
      <c r="GX43" s="273"/>
      <c r="GY43" s="273"/>
      <c r="GZ43" s="273"/>
      <c r="HA43" s="273"/>
      <c r="HB43" s="273"/>
      <c r="HC43" s="273"/>
      <c r="HD43" s="273"/>
      <c r="HE43" s="273"/>
      <c r="HF43" s="273"/>
      <c r="HG43" s="273"/>
      <c r="HH43" s="273"/>
      <c r="HI43" s="273"/>
      <c r="HJ43" s="273"/>
      <c r="HK43" s="273"/>
      <c r="HL43" s="273"/>
      <c r="HM43" s="273"/>
      <c r="HN43" s="273"/>
      <c r="HO43" s="273"/>
      <c r="HP43" s="273"/>
      <c r="HQ43" s="273"/>
      <c r="HR43" s="273"/>
      <c r="HS43" s="273"/>
      <c r="HT43" s="273"/>
      <c r="HU43" s="273"/>
      <c r="HV43" s="273"/>
      <c r="HW43" s="273"/>
      <c r="HX43" s="273"/>
      <c r="HY43" s="273"/>
      <c r="HZ43" s="273"/>
      <c r="IA43" s="273"/>
      <c r="IB43" s="273"/>
      <c r="IC43" s="273"/>
      <c r="ID43" s="273"/>
      <c r="IE43" s="273"/>
      <c r="IF43" s="273"/>
      <c r="IG43" s="273"/>
      <c r="IH43" s="273"/>
      <c r="II43" s="273"/>
      <c r="IJ43" s="273"/>
      <c r="IK43" s="273"/>
      <c r="IL43" s="273"/>
      <c r="IM43" s="273"/>
      <c r="IN43" s="273"/>
      <c r="IO43" s="273"/>
      <c r="IP43" s="273"/>
      <c r="IQ43" s="273"/>
    </row>
    <row r="44" spans="1:251" x14ac:dyDescent="0.2">
      <c r="B44" s="654"/>
      <c r="C44" s="268" t="s">
        <v>234</v>
      </c>
      <c r="D44" s="273"/>
      <c r="E44" s="273">
        <f>F44+G44</f>
        <v>24386.890870612671</v>
      </c>
      <c r="F44" s="273">
        <f>'ColR&amp;OCN&amp;RogKlam'!B41</f>
        <v>7909.4752038668339</v>
      </c>
      <c r="G44" s="273">
        <f>'ColR&amp;OCN&amp;RogKlam'!E41</f>
        <v>16477.415666745837</v>
      </c>
      <c r="H44" s="273"/>
      <c r="I44" s="273">
        <f>I36/F36*F44</f>
        <v>6772.4251408408563</v>
      </c>
      <c r="J44" s="273">
        <f>J36/G36*G44</f>
        <v>7195.8543177319407</v>
      </c>
      <c r="K44" s="273"/>
      <c r="L44" s="273">
        <f>L36/F36*F44</f>
        <v>1137.0500630259799</v>
      </c>
      <c r="M44" s="647">
        <f>M36/G36*G44</f>
        <v>9281.5613490138985</v>
      </c>
    </row>
    <row r="45" spans="1:251" x14ac:dyDescent="0.2">
      <c r="B45" s="654"/>
      <c r="C45" s="268" t="s">
        <v>2328</v>
      </c>
      <c r="D45" s="273"/>
      <c r="E45" s="273">
        <f>F45+G45</f>
        <v>2999.3917277768705</v>
      </c>
      <c r="F45" s="273">
        <f>'ColR&amp;OCN&amp;RogKlam'!C41</f>
        <v>1838.6306954595057</v>
      </c>
      <c r="G45" s="273">
        <f>'ColR&amp;OCN&amp;RogKlam'!F41</f>
        <v>1160.7610323173647</v>
      </c>
      <c r="H45" s="273"/>
      <c r="I45" s="273">
        <f>I37/F37*F45</f>
        <v>468.96683474616788</v>
      </c>
      <c r="J45" s="273">
        <f>J37/G37*G45</f>
        <v>1088.171177565541</v>
      </c>
      <c r="K45" s="273"/>
      <c r="L45" s="273">
        <f>L37/F37*F45</f>
        <v>1369.6638607133377</v>
      </c>
      <c r="M45" s="647">
        <f>M37/G37*G45</f>
        <v>72.589854751823438</v>
      </c>
      <c r="O45" s="268"/>
      <c r="P45" s="268"/>
    </row>
    <row r="46" spans="1:251" x14ac:dyDescent="0.2">
      <c r="B46" s="1863"/>
      <c r="C46" s="273"/>
      <c r="D46" s="273"/>
      <c r="E46" s="273"/>
      <c r="F46" s="273"/>
      <c r="G46" s="273"/>
      <c r="H46" s="273"/>
      <c r="I46" s="273"/>
      <c r="J46" s="273"/>
      <c r="K46" s="273"/>
      <c r="L46" s="273"/>
      <c r="M46" s="647"/>
      <c r="O46" s="268"/>
      <c r="P46" s="268"/>
      <c r="Q46" s="268"/>
      <c r="R46" s="268"/>
    </row>
    <row r="47" spans="1:251" x14ac:dyDescent="0.2">
      <c r="B47" s="1863" t="s">
        <v>6196</v>
      </c>
      <c r="C47" s="273"/>
      <c r="D47" s="273"/>
      <c r="E47" s="273">
        <f>E49+E48</f>
        <v>96523.767024841727</v>
      </c>
      <c r="F47" s="273">
        <f>F49+F48</f>
        <v>64819.220787090278</v>
      </c>
      <c r="G47" s="273">
        <f>G49+G48</f>
        <v>31704.546237751445</v>
      </c>
      <c r="H47" s="273"/>
      <c r="I47" s="273">
        <f>I49+I48</f>
        <v>49959.747049849051</v>
      </c>
      <c r="J47" s="273">
        <f>J49+J48</f>
        <v>14727.566924565866</v>
      </c>
      <c r="K47" s="273"/>
      <c r="L47" s="273">
        <f>L49+L48</f>
        <v>14859.47373724122</v>
      </c>
      <c r="M47" s="647">
        <f>M49+M48</f>
        <v>16976.97931318558</v>
      </c>
      <c r="O47" s="268"/>
      <c r="P47" s="268"/>
      <c r="Q47" s="268"/>
      <c r="R47" s="268"/>
    </row>
    <row r="48" spans="1:251" x14ac:dyDescent="0.2">
      <c r="B48" s="651"/>
      <c r="C48" s="268" t="s">
        <v>234</v>
      </c>
      <c r="E48" s="273">
        <f t="shared" ref="E48:G49" si="1">SUM(E40,E44,E32)</f>
        <v>85545.466701209778</v>
      </c>
      <c r="F48" s="273">
        <f t="shared" si="1"/>
        <v>55602.007631908054</v>
      </c>
      <c r="G48" s="273">
        <f t="shared" si="1"/>
        <v>29943.459069301713</v>
      </c>
      <c r="H48" s="273"/>
      <c r="I48" s="273">
        <f>SUM(I40,I44,I32)</f>
        <v>47608.776140225324</v>
      </c>
      <c r="J48" s="273">
        <f>SUM(J40,J44,J32)</f>
        <v>13076.61186617487</v>
      </c>
      <c r="K48" s="273"/>
      <c r="L48" s="273">
        <f>SUM(L40,L44,L32)</f>
        <v>7993.2314916827308</v>
      </c>
      <c r="M48" s="647">
        <f>SUM(M40,M44,M32)</f>
        <v>16866.847203126847</v>
      </c>
      <c r="N48" s="282"/>
      <c r="Q48" s="268"/>
      <c r="R48" s="268"/>
    </row>
    <row r="49" spans="2:18" x14ac:dyDescent="0.2">
      <c r="B49" s="651"/>
      <c r="C49" s="268" t="s">
        <v>235</v>
      </c>
      <c r="E49" s="273">
        <f t="shared" si="1"/>
        <v>10978.300323631951</v>
      </c>
      <c r="F49" s="273">
        <f t="shared" si="1"/>
        <v>9217.2131551822204</v>
      </c>
      <c r="G49" s="273">
        <f t="shared" si="1"/>
        <v>1761.0871684497311</v>
      </c>
      <c r="H49" s="273"/>
      <c r="I49" s="273">
        <f>SUM(I41,I45,I33)</f>
        <v>2350.9709096237293</v>
      </c>
      <c r="J49" s="273">
        <f>SUM(J41,J45,J33)</f>
        <v>1650.9550583909968</v>
      </c>
      <c r="K49" s="273"/>
      <c r="L49" s="273">
        <f>SUM(L41,L45,L33)</f>
        <v>6866.2422455584901</v>
      </c>
      <c r="M49" s="647">
        <f>SUM(M41,M45,M33)</f>
        <v>110.13211005873427</v>
      </c>
      <c r="N49" s="282"/>
      <c r="Q49" s="268"/>
      <c r="R49" s="268"/>
    </row>
    <row r="50" spans="2:18" x14ac:dyDescent="0.2">
      <c r="B50" s="651"/>
      <c r="E50" s="273"/>
      <c r="F50" s="273"/>
      <c r="G50" s="273"/>
      <c r="H50" s="273"/>
      <c r="I50" s="273"/>
      <c r="J50" s="273" t="s">
        <v>1004</v>
      </c>
      <c r="K50" s="273"/>
      <c r="L50" s="273"/>
      <c r="M50" s="647"/>
    </row>
    <row r="51" spans="2:18" x14ac:dyDescent="0.2">
      <c r="B51" s="654" t="s">
        <v>6197</v>
      </c>
      <c r="E51" s="273"/>
      <c r="F51" s="273"/>
      <c r="G51" s="273"/>
      <c r="H51" s="273"/>
      <c r="I51" s="273"/>
      <c r="J51" s="273"/>
      <c r="K51" s="273"/>
      <c r="L51" s="273"/>
      <c r="M51" s="647"/>
    </row>
    <row r="52" spans="2:18" x14ac:dyDescent="0.2">
      <c r="B52" s="654" t="s">
        <v>6198</v>
      </c>
      <c r="E52" s="282">
        <f>E54+E53</f>
        <v>406904.76702484174</v>
      </c>
      <c r="F52" s="282">
        <f>F54+F53</f>
        <v>226376.22078709028</v>
      </c>
      <c r="G52" s="282">
        <f>G54+G53</f>
        <v>180528.54623775146</v>
      </c>
      <c r="H52" s="273"/>
      <c r="I52" s="282">
        <f>I54+I53</f>
        <v>172770.40355131819</v>
      </c>
      <c r="J52" s="282">
        <f>J54+J53</f>
        <v>82908.311516124682</v>
      </c>
      <c r="K52" s="273"/>
      <c r="L52" s="282">
        <f>L54+L53</f>
        <v>53605.81723577209</v>
      </c>
      <c r="M52" s="652">
        <f>M54+M53</f>
        <v>97620.234721626766</v>
      </c>
    </row>
    <row r="53" spans="2:18" x14ac:dyDescent="0.2">
      <c r="B53" s="651"/>
      <c r="C53" s="268" t="s">
        <v>234</v>
      </c>
      <c r="E53" s="273">
        <f>G53+F53</f>
        <v>363742.46670120978</v>
      </c>
      <c r="F53" s="282">
        <f>F48+F24</f>
        <v>191341.00763190805</v>
      </c>
      <c r="G53" s="282">
        <f>G48+G24</f>
        <v>172401.45906930172</v>
      </c>
      <c r="H53" s="273"/>
      <c r="I53" s="282">
        <f>I48+I24</f>
        <v>163834.21366902272</v>
      </c>
      <c r="J53" s="282">
        <f>J48+J24</f>
        <v>75289.463391447294</v>
      </c>
      <c r="K53" s="282"/>
      <c r="L53" s="282">
        <f>L48+L24</f>
        <v>27506.793962885342</v>
      </c>
      <c r="M53" s="652">
        <f>M48+M24</f>
        <v>97111.995677854429</v>
      </c>
    </row>
    <row r="54" spans="2:18" x14ac:dyDescent="0.2">
      <c r="B54" s="651"/>
      <c r="C54" s="268" t="s">
        <v>235</v>
      </c>
      <c r="E54" s="273">
        <f>G54+F54</f>
        <v>43162.300323631956</v>
      </c>
      <c r="F54" s="282">
        <f>F49+F25</f>
        <v>35035.213155182224</v>
      </c>
      <c r="G54" s="282">
        <f>G49+G25</f>
        <v>8127.0871684497306</v>
      </c>
      <c r="H54" s="273"/>
      <c r="I54" s="282">
        <f>I49+I25</f>
        <v>8936.1898822954645</v>
      </c>
      <c r="J54" s="282">
        <f>J49+J25</f>
        <v>7618.848124677389</v>
      </c>
      <c r="K54" s="282"/>
      <c r="L54" s="282">
        <f>L49+L25</f>
        <v>26099.023272886752</v>
      </c>
      <c r="M54" s="652">
        <f>M49+M25</f>
        <v>508.23904377234209</v>
      </c>
    </row>
    <row r="55" spans="2:18" x14ac:dyDescent="0.2">
      <c r="B55" s="651"/>
      <c r="E55" s="273"/>
      <c r="F55" s="273"/>
      <c r="G55" s="273"/>
      <c r="H55" s="273"/>
      <c r="I55" s="273"/>
      <c r="J55" s="273"/>
      <c r="K55" s="273"/>
      <c r="L55" s="273"/>
      <c r="M55" s="647"/>
    </row>
    <row r="56" spans="2:18" x14ac:dyDescent="0.2">
      <c r="B56" s="651"/>
      <c r="E56" s="273"/>
      <c r="F56" s="273"/>
      <c r="G56" s="273"/>
      <c r="H56" s="273"/>
      <c r="I56" s="273"/>
      <c r="J56" s="273"/>
      <c r="K56" s="273"/>
      <c r="L56" s="273"/>
      <c r="M56" s="647"/>
    </row>
    <row r="57" spans="2:18" x14ac:dyDescent="0.2">
      <c r="B57" s="654" t="s">
        <v>444</v>
      </c>
      <c r="E57" s="273">
        <f>E27-E47</f>
        <v>587249.05676177761</v>
      </c>
      <c r="F57" s="273">
        <f>F27-F47</f>
        <v>366603.98129560601</v>
      </c>
      <c r="G57" s="273">
        <f>G27-G47</f>
        <v>220645.07546617155</v>
      </c>
      <c r="H57" s="273"/>
      <c r="I57" s="273">
        <f>I27-I47</f>
        <v>197882.88007502042</v>
      </c>
      <c r="J57" s="273">
        <f>J27-J47</f>
        <v>118250.57902990851</v>
      </c>
      <c r="K57" s="273"/>
      <c r="L57" s="273">
        <f>L27-L47</f>
        <v>168721.10122058564</v>
      </c>
      <c r="M57" s="647">
        <f>M27-M47</f>
        <v>102394.49643626303</v>
      </c>
    </row>
    <row r="58" spans="2:18" x14ac:dyDescent="0.2">
      <c r="B58" s="651"/>
      <c r="E58" s="273"/>
      <c r="F58" s="273"/>
      <c r="G58" s="273"/>
      <c r="H58" s="273"/>
      <c r="I58" s="273"/>
      <c r="J58" s="273"/>
      <c r="K58" s="273"/>
      <c r="L58" s="273"/>
      <c r="M58" s="647"/>
    </row>
    <row r="59" spans="2:18" x14ac:dyDescent="0.2">
      <c r="B59" s="651"/>
      <c r="E59" s="273"/>
      <c r="F59" s="273"/>
      <c r="G59" s="273"/>
      <c r="H59" s="273"/>
      <c r="I59" s="273"/>
      <c r="J59" s="273"/>
      <c r="K59" s="273"/>
      <c r="L59" s="273"/>
      <c r="M59" s="647"/>
    </row>
    <row r="60" spans="2:18" x14ac:dyDescent="0.2">
      <c r="B60" s="651"/>
      <c r="E60" s="273" t="s">
        <v>6199</v>
      </c>
      <c r="F60" s="273"/>
      <c r="G60" s="273"/>
      <c r="H60" s="273"/>
      <c r="I60" s="273"/>
      <c r="J60" s="273"/>
      <c r="K60" s="273"/>
      <c r="L60" s="273">
        <f>SUM(L20,L21,M20,M21)</f>
        <v>422341.64961424755</v>
      </c>
      <c r="M60" s="647"/>
    </row>
    <row r="61" spans="2:18" x14ac:dyDescent="0.2">
      <c r="B61" s="651"/>
      <c r="E61" s="273"/>
      <c r="F61" s="273"/>
      <c r="G61" s="273"/>
      <c r="H61" s="273"/>
      <c r="I61" s="273"/>
      <c r="J61" s="273"/>
      <c r="K61" s="273"/>
      <c r="L61" s="273"/>
      <c r="M61" s="647"/>
    </row>
    <row r="62" spans="2:18" x14ac:dyDescent="0.2">
      <c r="B62" s="651"/>
      <c r="E62" s="273" t="s">
        <v>6200</v>
      </c>
      <c r="F62" s="273"/>
      <c r="G62" s="273"/>
      <c r="H62" s="273"/>
      <c r="I62" s="273"/>
      <c r="J62" s="273"/>
      <c r="K62" s="273"/>
      <c r="L62" s="273">
        <f>L57+M57</f>
        <v>271115.59765684867</v>
      </c>
      <c r="M62" s="647"/>
    </row>
    <row r="63" spans="2:18" x14ac:dyDescent="0.2">
      <c r="B63" s="651"/>
      <c r="E63" s="273"/>
      <c r="F63" s="273"/>
      <c r="G63" s="273"/>
      <c r="H63" s="273"/>
      <c r="I63" s="273"/>
      <c r="J63" s="273"/>
      <c r="K63" s="273"/>
      <c r="L63" s="273"/>
      <c r="M63" s="647"/>
    </row>
    <row r="64" spans="2:18" x14ac:dyDescent="0.2">
      <c r="B64" s="651"/>
      <c r="E64" s="273" t="s">
        <v>6201</v>
      </c>
      <c r="F64" s="273"/>
      <c r="G64" s="273"/>
      <c r="H64" s="273"/>
      <c r="I64" s="273"/>
      <c r="J64" s="273"/>
      <c r="K64" s="273"/>
      <c r="L64" s="273">
        <f>L62*0.0145</f>
        <v>3931.176166024306</v>
      </c>
      <c r="M64" s="647"/>
    </row>
    <row r="65" spans="2:13" x14ac:dyDescent="0.2">
      <c r="B65" s="651"/>
      <c r="M65" s="653"/>
    </row>
    <row r="66" spans="2:13" x14ac:dyDescent="0.2">
      <c r="B66" s="1864"/>
      <c r="C66" s="1865"/>
      <c r="D66" s="1865"/>
      <c r="E66" s="1865" t="s">
        <v>6202</v>
      </c>
      <c r="F66" s="1865"/>
      <c r="G66" s="1865"/>
      <c r="H66" s="1865"/>
      <c r="I66" s="1865"/>
      <c r="J66" s="1865"/>
      <c r="K66" s="1865"/>
      <c r="L66" s="1866">
        <f>(L62-L64)/L60</f>
        <v>0.63262626770260877</v>
      </c>
      <c r="M66" s="1867"/>
    </row>
    <row r="69" spans="2:13" x14ac:dyDescent="0.2">
      <c r="L69" s="273">
        <f>SUM(L24:L25,L48:L49,L64)</f>
        <v>57536.993401796397</v>
      </c>
      <c r="M69" s="273">
        <f>SUM(M24:M25,M48:M49,M64)</f>
        <v>97620.234721626781</v>
      </c>
    </row>
    <row r="70" spans="2:13" x14ac:dyDescent="0.2">
      <c r="L70" s="273">
        <f>SUM(L16:L17)</f>
        <v>4165.4694369903264</v>
      </c>
      <c r="M70" s="273">
        <f>SUM(M16:M17)</f>
        <v>3586.5923150664325</v>
      </c>
    </row>
    <row r="71" spans="2:13" ht="13.5" thickBot="1" x14ac:dyDescent="0.25"/>
    <row r="72" spans="2:13" ht="13.5" thickBot="1" x14ac:dyDescent="0.25">
      <c r="C72" s="283" t="s">
        <v>6203</v>
      </c>
      <c r="D72" s="272"/>
      <c r="E72" s="272"/>
      <c r="F72" s="284" t="s">
        <v>6204</v>
      </c>
      <c r="G72" s="285" t="s">
        <v>6205</v>
      </c>
      <c r="H72" s="286"/>
      <c r="I72" s="284" t="s">
        <v>6206</v>
      </c>
      <c r="J72" s="285" t="s">
        <v>6207</v>
      </c>
      <c r="K72" s="286"/>
      <c r="L72" s="284" t="s">
        <v>6208</v>
      </c>
      <c r="M72" s="285" t="s">
        <v>6209</v>
      </c>
    </row>
    <row r="73" spans="2:13" x14ac:dyDescent="0.2">
      <c r="C73" s="287"/>
      <c r="F73" s="271"/>
      <c r="G73" s="288"/>
      <c r="I73" s="271"/>
      <c r="J73" s="288"/>
      <c r="L73" s="271"/>
      <c r="M73" s="288"/>
    </row>
    <row r="74" spans="2:13" x14ac:dyDescent="0.2">
      <c r="C74" s="287" t="s">
        <v>6210</v>
      </c>
      <c r="F74" s="271"/>
      <c r="G74" s="288"/>
      <c r="I74" s="271"/>
      <c r="J74" s="288"/>
      <c r="L74" s="271"/>
      <c r="M74" s="288"/>
    </row>
    <row r="75" spans="2:13" x14ac:dyDescent="0.2">
      <c r="C75" s="287" t="s">
        <v>6211</v>
      </c>
      <c r="F75" s="289">
        <f>SUM(F13,F17,F25,F33)</f>
        <v>37698</v>
      </c>
      <c r="G75" s="290">
        <f>SUM(G13,G17,G25,G33)</f>
        <v>8169</v>
      </c>
      <c r="I75" s="289">
        <f>SUM(I13,I17,I25,I33)</f>
        <v>9615.3685348121089</v>
      </c>
      <c r="J75" s="290">
        <f>SUM(J13,J17,J25,J33)</f>
        <v>7658.1398772374387</v>
      </c>
      <c r="L75" s="289">
        <f>SUM(L13,L17,L25,L33)</f>
        <v>28082.631465187889</v>
      </c>
      <c r="M75" s="290">
        <f>SUM(M13,M17,M25,M33)</f>
        <v>510.86012276256082</v>
      </c>
    </row>
    <row r="76" spans="2:13" x14ac:dyDescent="0.2">
      <c r="C76" s="287" t="s">
        <v>6212</v>
      </c>
      <c r="F76" s="289">
        <f>SUM(F41,F45)</f>
        <v>2254.2131551822199</v>
      </c>
      <c r="G76" s="290">
        <f>SUM(G41,G45)</f>
        <v>1273.0871684497311</v>
      </c>
      <c r="I76" s="289">
        <f>SUM(I41,I45)</f>
        <v>574.96658292478764</v>
      </c>
      <c r="J76" s="290">
        <f>SUM(J41,J45)</f>
        <v>1193.472837789715</v>
      </c>
      <c r="L76" s="289">
        <f>SUM(L41,L45)</f>
        <v>1679.2465722574325</v>
      </c>
      <c r="M76" s="290">
        <f>SUM(M41,M45)</f>
        <v>79.61433066001598</v>
      </c>
    </row>
    <row r="77" spans="2:13" x14ac:dyDescent="0.2">
      <c r="C77" s="287" t="s">
        <v>6213</v>
      </c>
      <c r="F77" s="289">
        <f>F29-F49</f>
        <v>192985.56720378008</v>
      </c>
      <c r="G77" s="290">
        <f>G29-G49</f>
        <v>43719.399701562499</v>
      </c>
      <c r="I77" s="289">
        <f>I29-I49</f>
        <v>49223.495956392777</v>
      </c>
      <c r="J77" s="290">
        <f>J29-J49</f>
        <v>40985.344382839801</v>
      </c>
      <c r="L77" s="289">
        <f>L29-L49</f>
        <v>143762.0712473873</v>
      </c>
      <c r="M77" s="290">
        <f>M29-M49</f>
        <v>2734.0553187226933</v>
      </c>
    </row>
    <row r="78" spans="2:13" x14ac:dyDescent="0.2">
      <c r="C78" s="287" t="s">
        <v>6214</v>
      </c>
      <c r="F78" s="289">
        <f>SUM(F75:F77)</f>
        <v>232937.78035896231</v>
      </c>
      <c r="G78" s="290">
        <f>SUM(G75:G77)</f>
        <v>53161.486870012232</v>
      </c>
      <c r="I78" s="289">
        <f>SUM(I75:I77)</f>
        <v>59413.831074129674</v>
      </c>
      <c r="J78" s="290">
        <f>SUM(J75:J77)</f>
        <v>49836.957097866951</v>
      </c>
      <c r="L78" s="289">
        <f>SUM(L75:L77)</f>
        <v>173523.94928483263</v>
      </c>
      <c r="M78" s="290">
        <f>SUM(M75:M77)</f>
        <v>3324.5297721452698</v>
      </c>
    </row>
    <row r="79" spans="2:13" x14ac:dyDescent="0.2">
      <c r="C79" s="287" t="s">
        <v>6215</v>
      </c>
      <c r="F79" s="271"/>
      <c r="G79" s="288"/>
      <c r="I79" s="271"/>
      <c r="J79" s="288"/>
      <c r="L79" s="271"/>
      <c r="M79" s="288"/>
    </row>
    <row r="80" spans="2:13" x14ac:dyDescent="0.2">
      <c r="C80" s="287" t="s">
        <v>6216</v>
      </c>
      <c r="F80" s="271"/>
      <c r="G80" s="288"/>
      <c r="I80" s="271"/>
      <c r="J80" s="288"/>
      <c r="L80" s="271"/>
      <c r="M80" s="288"/>
    </row>
    <row r="81" spans="3:13" x14ac:dyDescent="0.2">
      <c r="C81" s="287" t="s">
        <v>6211</v>
      </c>
      <c r="F81" s="291">
        <f>F75/SUM(F$78)</f>
        <v>0.16183720795272688</v>
      </c>
      <c r="G81" s="292">
        <f>G75/SUM(G$78)</f>
        <v>0.15366387362291847</v>
      </c>
      <c r="I81" s="291">
        <f>I75/SUM(I$78)</f>
        <v>0.16183720795272685</v>
      </c>
      <c r="J81" s="292">
        <f>J75/SUM(J$78)</f>
        <v>0.1536638736229185</v>
      </c>
      <c r="L81" s="291">
        <f>L75/SUM(L$78)</f>
        <v>0.16183720795272685</v>
      </c>
      <c r="M81" s="292">
        <f>M75/SUM(M$78)</f>
        <v>0.1536638736229185</v>
      </c>
    </row>
    <row r="82" spans="3:13" x14ac:dyDescent="0.2">
      <c r="C82" s="287" t="s">
        <v>6212</v>
      </c>
      <c r="F82" s="291">
        <f>F76/SUM(F$78)</f>
        <v>9.6773187746033613E-3</v>
      </c>
      <c r="G82" s="292">
        <f>G76/SUM(G$78)</f>
        <v>2.3947546304764183E-2</v>
      </c>
      <c r="I82" s="291">
        <f>I76/SUM(I$78)</f>
        <v>9.6773187746033613E-3</v>
      </c>
      <c r="J82" s="292">
        <f>J76/SUM(J$78)</f>
        <v>2.3947546304764186E-2</v>
      </c>
      <c r="L82" s="291">
        <f>L76/SUM(L$78)</f>
        <v>9.6773187746033613E-3</v>
      </c>
      <c r="M82" s="292">
        <f>M76/SUM(M$78)</f>
        <v>2.3947546304764186E-2</v>
      </c>
    </row>
    <row r="83" spans="3:13" ht="13.5" thickBot="1" x14ac:dyDescent="0.25">
      <c r="C83" s="293" t="s">
        <v>6214</v>
      </c>
      <c r="D83" s="294"/>
      <c r="E83" s="294"/>
      <c r="F83" s="295">
        <f>SUM(F81:F82)</f>
        <v>0.17151452672733025</v>
      </c>
      <c r="G83" s="296">
        <f>SUM(G81:G82)</f>
        <v>0.17761141992768265</v>
      </c>
      <c r="H83" s="294"/>
      <c r="I83" s="295">
        <f>SUM(I81:I82)</f>
        <v>0.17151452672733022</v>
      </c>
      <c r="J83" s="296">
        <f>SUM(J81:J82)</f>
        <v>0.1776114199276827</v>
      </c>
      <c r="K83" s="294"/>
      <c r="L83" s="295">
        <f>SUM(L81:L82)</f>
        <v>0.17151452672733022</v>
      </c>
      <c r="M83" s="296">
        <f>SUM(M81:M82)</f>
        <v>0.1776114199276827</v>
      </c>
    </row>
    <row r="84" spans="3:13" ht="13.5" thickBot="1" x14ac:dyDescent="0.25"/>
    <row r="85" spans="3:13" ht="13.5" thickBot="1" x14ac:dyDescent="0.25">
      <c r="C85" s="283" t="s">
        <v>6217</v>
      </c>
      <c r="D85" s="272"/>
      <c r="E85" s="272"/>
      <c r="F85" s="297">
        <f>F49/F29</f>
        <v>4.5584007988511727E-2</v>
      </c>
      <c r="G85" s="298">
        <f>G49/G29</f>
        <v>3.8721818732571925E-2</v>
      </c>
      <c r="H85" s="272"/>
      <c r="I85" s="297">
        <f>I49/I29</f>
        <v>4.558400798851172E-2</v>
      </c>
      <c r="J85" s="298">
        <f>J49/J29</f>
        <v>3.8721818732571932E-2</v>
      </c>
      <c r="K85" s="272"/>
      <c r="L85" s="297">
        <f>L49/L29</f>
        <v>4.5584007988511727E-2</v>
      </c>
      <c r="M85" s="298">
        <f>M49/M29</f>
        <v>3.8721818732571932E-2</v>
      </c>
    </row>
  </sheetData>
  <pageMargins left="0.75" right="0.75" top="1" bottom="1" header="0.5" footer="0.5"/>
  <pageSetup scale="42" orientation="landscape" r:id="rId1"/>
  <headerFooter alignWithMargins="0">
    <oddFooter>&amp;L &amp;F   &amp;D</oddFooter>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pageSetUpPr fitToPage="1"/>
  </sheetPr>
  <dimension ref="A1:O54"/>
  <sheetViews>
    <sheetView workbookViewId="0">
      <selection activeCell="N19" sqref="N19"/>
    </sheetView>
  </sheetViews>
  <sheetFormatPr defaultColWidth="9.5703125" defaultRowHeight="12.75" x14ac:dyDescent="0.2"/>
  <cols>
    <col min="1" max="1" width="9.5703125" style="268" customWidth="1"/>
    <col min="2" max="2" width="5.85546875" style="268" customWidth="1"/>
    <col min="3" max="3" width="40.140625" style="268" customWidth="1"/>
    <col min="4" max="6" width="9.5703125" style="268"/>
    <col min="7" max="7" width="10.28515625" style="268" bestFit="1" customWidth="1"/>
    <col min="8" max="8" width="11.5703125" style="268" bestFit="1" customWidth="1"/>
    <col min="9" max="9" width="9.5703125" style="268"/>
    <col min="10" max="10" width="11.5703125" style="268" bestFit="1" customWidth="1"/>
    <col min="11" max="11" width="10.28515625" style="268" bestFit="1" customWidth="1"/>
    <col min="12" max="16384" width="9.5703125" style="268"/>
  </cols>
  <sheetData>
    <row r="1" spans="1:15" x14ac:dyDescent="0.2">
      <c r="A1" s="334"/>
    </row>
    <row r="2" spans="1:15" ht="15" x14ac:dyDescent="0.2">
      <c r="B2" s="455"/>
      <c r="C2" s="455"/>
      <c r="D2" s="455"/>
      <c r="E2" s="455"/>
      <c r="F2" s="458"/>
      <c r="G2" s="458"/>
      <c r="H2" s="458"/>
    </row>
    <row r="3" spans="1:15" ht="15.75" x14ac:dyDescent="0.25">
      <c r="A3" s="335" t="s">
        <v>6218</v>
      </c>
    </row>
    <row r="4" spans="1:15" x14ac:dyDescent="0.2">
      <c r="A4" s="269"/>
      <c r="C4" s="355"/>
      <c r="D4" s="374"/>
      <c r="E4" s="374"/>
    </row>
    <row r="5" spans="1:15" x14ac:dyDescent="0.2">
      <c r="A5" s="269"/>
    </row>
    <row r="6" spans="1:15" x14ac:dyDescent="0.2">
      <c r="A6" s="269"/>
      <c r="C6" s="268" t="s">
        <v>6219</v>
      </c>
      <c r="D6" s="336" t="s">
        <v>6053</v>
      </c>
      <c r="E6" s="336" t="s">
        <v>6054</v>
      </c>
    </row>
    <row r="7" spans="1:15" x14ac:dyDescent="0.2">
      <c r="A7" s="269"/>
    </row>
    <row r="8" spans="1:15" x14ac:dyDescent="0.2">
      <c r="C8" s="268" t="s">
        <v>6220</v>
      </c>
      <c r="D8" s="398">
        <f>FramScalarsOPIstyle!J9</f>
        <v>592500</v>
      </c>
      <c r="E8" s="384">
        <f>FramScalarsOPIstyle!J12</f>
        <v>404700</v>
      </c>
      <c r="F8" s="399" t="s">
        <v>6221</v>
      </c>
      <c r="G8" s="400" t="s">
        <v>6222</v>
      </c>
    </row>
    <row r="9" spans="1:15" x14ac:dyDescent="0.2">
      <c r="C9" s="268" t="s">
        <v>6223</v>
      </c>
      <c r="D9" s="384">
        <f>FramScalarsOPIstyle!E11+FramScalarsOPIstyle!E26+FramScalarsOPIstyle!E27</f>
        <v>369300</v>
      </c>
      <c r="E9" s="384">
        <f>FramScalarsOPIstyle!E14+FramScalarsOPIstyle!E28</f>
        <v>203200</v>
      </c>
      <c r="I9" s="270"/>
      <c r="J9" s="270"/>
      <c r="K9" s="270"/>
    </row>
    <row r="10" spans="1:15" x14ac:dyDescent="0.2">
      <c r="B10" s="454"/>
      <c r="C10" s="268" t="s">
        <v>6224</v>
      </c>
      <c r="D10" s="279">
        <f>D8-D9</f>
        <v>223200</v>
      </c>
      <c r="E10" s="279">
        <f>E8-E9</f>
        <v>201500</v>
      </c>
      <c r="G10" s="270"/>
      <c r="H10" s="270"/>
      <c r="I10" s="270"/>
    </row>
    <row r="11" spans="1:15" ht="13.5" thickBot="1" x14ac:dyDescent="0.25">
      <c r="K11" s="268" t="s">
        <v>6053</v>
      </c>
      <c r="L11" s="268" t="s">
        <v>6054</v>
      </c>
      <c r="N11" s="268" t="s">
        <v>6053</v>
      </c>
      <c r="O11" s="268" t="s">
        <v>6054</v>
      </c>
    </row>
    <row r="12" spans="1:15" ht="13.5" thickBot="1" x14ac:dyDescent="0.25">
      <c r="C12" s="268" t="s">
        <v>6225</v>
      </c>
      <c r="D12" s="279">
        <f>D13+D14</f>
        <v>732916.8</v>
      </c>
      <c r="E12" s="279">
        <f>E13+E14</f>
        <v>495633.6</v>
      </c>
      <c r="J12" s="375"/>
      <c r="K12" s="2551" t="s">
        <v>6226</v>
      </c>
      <c r="L12" s="2552"/>
      <c r="M12" s="376"/>
      <c r="N12" s="2551" t="s">
        <v>6057</v>
      </c>
      <c r="O12" s="2552"/>
    </row>
    <row r="13" spans="1:15" x14ac:dyDescent="0.2">
      <c r="C13" s="268" t="s">
        <v>6227</v>
      </c>
      <c r="D13" s="384">
        <f>N13*1.232</f>
        <v>285117.95053200546</v>
      </c>
      <c r="E13" s="384">
        <f>O13*1.232</f>
        <v>65059.239581334594</v>
      </c>
      <c r="G13" s="268">
        <f>389500*1.232</f>
        <v>479864</v>
      </c>
      <c r="J13" s="377" t="s">
        <v>2333</v>
      </c>
      <c r="K13" s="337"/>
      <c r="L13" s="338"/>
      <c r="N13" s="339">
        <f>FramScalarsOPIstyle!P10</f>
        <v>231426.90789935508</v>
      </c>
      <c r="O13" s="340">
        <f>FramScalarsOPIstyle!Q10</f>
        <v>52807.824335498859</v>
      </c>
    </row>
    <row r="14" spans="1:15" x14ac:dyDescent="0.2">
      <c r="C14" s="268" t="s">
        <v>6228</v>
      </c>
      <c r="D14" s="384">
        <f>N14*1.232</f>
        <v>447798.84946799459</v>
      </c>
      <c r="E14" s="384">
        <f>O14*1.232</f>
        <v>430574.3604186654</v>
      </c>
      <c r="J14" s="377" t="s">
        <v>2334</v>
      </c>
      <c r="K14" s="337"/>
      <c r="L14" s="338"/>
      <c r="N14" s="339">
        <f>FramScalarsOPIstyle!P11</f>
        <v>363473.09210064495</v>
      </c>
      <c r="O14" s="340">
        <f>FramScalarsOPIstyle!Q11</f>
        <v>349492.17566450115</v>
      </c>
    </row>
    <row r="15" spans="1:15" ht="13.5" thickBot="1" x14ac:dyDescent="0.25">
      <c r="J15" s="377" t="s">
        <v>350</v>
      </c>
      <c r="K15" s="271">
        <f>SUM(K13:K14)</f>
        <v>0</v>
      </c>
      <c r="L15" s="378">
        <f>SUM(L13:L14)</f>
        <v>0</v>
      </c>
      <c r="N15" s="391">
        <f>SUM(N13:N14)</f>
        <v>594900</v>
      </c>
      <c r="O15" s="379">
        <f>SUM(O13:O14)</f>
        <v>402300</v>
      </c>
    </row>
    <row r="16" spans="1:15" ht="13.5" thickBot="1" x14ac:dyDescent="0.25">
      <c r="C16" s="268" t="s">
        <v>6229</v>
      </c>
      <c r="D16" s="279">
        <f>SUM(D17:D18)</f>
        <v>732916.8</v>
      </c>
      <c r="E16" s="279">
        <f>SUM(E17:E18)</f>
        <v>495633.6</v>
      </c>
      <c r="J16" s="380" t="s">
        <v>6230</v>
      </c>
      <c r="K16" s="381" t="e">
        <f>K14/K15</f>
        <v>#DIV/0!</v>
      </c>
      <c r="L16" s="382" t="e">
        <f>L14/L15</f>
        <v>#DIV/0!</v>
      </c>
      <c r="M16" s="272"/>
      <c r="N16" s="381">
        <f>N14/N15</f>
        <v>0.61098183240989234</v>
      </c>
      <c r="O16" s="382">
        <f>O14/O15</f>
        <v>0.86873521169401235</v>
      </c>
    </row>
    <row r="17" spans="1:11" x14ac:dyDescent="0.2">
      <c r="C17" s="268" t="s">
        <v>6223</v>
      </c>
      <c r="D17" s="279">
        <f>D9/D8*D12</f>
        <v>456820.54724050633</v>
      </c>
      <c r="E17" s="279">
        <f>E9/E8*E12</f>
        <v>248857.78977020015</v>
      </c>
    </row>
    <row r="18" spans="1:11" x14ac:dyDescent="0.2">
      <c r="C18" s="268" t="s">
        <v>6224</v>
      </c>
      <c r="D18" s="279">
        <f>D10/D8*D12</f>
        <v>276096.25275949371</v>
      </c>
      <c r="E18" s="279">
        <f>E10/E8*E12</f>
        <v>246775.81022979983</v>
      </c>
    </row>
    <row r="20" spans="1:11" ht="15.75" x14ac:dyDescent="0.25">
      <c r="A20" s="341" t="s">
        <v>6231</v>
      </c>
    </row>
    <row r="21" spans="1:11" x14ac:dyDescent="0.2">
      <c r="C21" s="268" t="s">
        <v>6232</v>
      </c>
      <c r="D21" s="336" t="s">
        <v>6053</v>
      </c>
      <c r="E21" s="336" t="s">
        <v>6054</v>
      </c>
      <c r="G21" s="268" t="s">
        <v>6060</v>
      </c>
      <c r="I21" s="268" t="s">
        <v>6062</v>
      </c>
    </row>
    <row r="22" spans="1:11" x14ac:dyDescent="0.2">
      <c r="G22" s="268" t="s">
        <v>234</v>
      </c>
      <c r="H22" s="268" t="s">
        <v>2328</v>
      </c>
      <c r="I22" s="268" t="s">
        <v>234</v>
      </c>
      <c r="J22" s="268" t="s">
        <v>2328</v>
      </c>
    </row>
    <row r="23" spans="1:11" x14ac:dyDescent="0.2">
      <c r="C23" s="268" t="s">
        <v>6233</v>
      </c>
      <c r="D23" s="342">
        <f>FramScalarsOPIstyle!T10</f>
        <v>0.84143136165199972</v>
      </c>
      <c r="E23" s="342">
        <f>FramScalarsOPIstyle!U10</f>
        <v>0.75618940458104134</v>
      </c>
      <c r="F23" s="268" t="s">
        <v>6053</v>
      </c>
      <c r="G23" s="603">
        <f>D9*D23</f>
        <v>310740.60185808351</v>
      </c>
      <c r="H23" s="603">
        <f>D9-G23</f>
        <v>58559.398141916492</v>
      </c>
      <c r="I23" s="603">
        <f>D10*D24</f>
        <v>52171.506303810711</v>
      </c>
      <c r="J23" s="603">
        <f>D10-I23</f>
        <v>171028.49369618928</v>
      </c>
    </row>
    <row r="24" spans="1:11" x14ac:dyDescent="0.2">
      <c r="C24" s="268" t="s">
        <v>6234</v>
      </c>
      <c r="D24" s="342">
        <f>FramScalarsOPIstyle!T11</f>
        <v>0.233743307812772</v>
      </c>
      <c r="E24" s="342">
        <f>FramScalarsOPIstyle!U11</f>
        <v>0.9835986371352764</v>
      </c>
      <c r="F24" s="268" t="s">
        <v>6054</v>
      </c>
      <c r="G24" s="603">
        <f>E9*E23</f>
        <v>153657.68701086761</v>
      </c>
      <c r="H24" s="603">
        <f>E9-G24</f>
        <v>49542.312989132392</v>
      </c>
      <c r="I24" s="603">
        <f>E10*E24</f>
        <v>198195.12538275818</v>
      </c>
      <c r="J24" s="603">
        <f>E10-I24</f>
        <v>3304.8746172418178</v>
      </c>
    </row>
    <row r="25" spans="1:11" x14ac:dyDescent="0.2">
      <c r="G25" s="279">
        <f>SUM(G23:G24)</f>
        <v>464398.28886895115</v>
      </c>
      <c r="H25" s="279">
        <f>SUM(H23:H24)</f>
        <v>108101.71113104888</v>
      </c>
      <c r="I25" s="279">
        <f>SUM(I23:I24)</f>
        <v>250366.6316865689</v>
      </c>
      <c r="J25" s="279">
        <f>SUM(J23:J24)</f>
        <v>174333.3683134311</v>
      </c>
    </row>
    <row r="26" spans="1:11" x14ac:dyDescent="0.2">
      <c r="G26" s="334" t="s">
        <v>6180</v>
      </c>
      <c r="H26" s="334"/>
      <c r="I26" s="334"/>
      <c r="J26" s="334" t="s">
        <v>6181</v>
      </c>
      <c r="K26" s="334"/>
    </row>
    <row r="27" spans="1:11" x14ac:dyDescent="0.2">
      <c r="G27" s="334" t="s">
        <v>6053</v>
      </c>
      <c r="H27" s="334" t="s">
        <v>6054</v>
      </c>
      <c r="I27" s="334"/>
      <c r="J27" s="334" t="s">
        <v>6053</v>
      </c>
      <c r="K27" s="334" t="s">
        <v>6054</v>
      </c>
    </row>
    <row r="29" spans="1:11" ht="14.25" x14ac:dyDescent="0.2">
      <c r="D29" s="279"/>
      <c r="E29" s="279"/>
      <c r="F29" s="658" t="s">
        <v>234</v>
      </c>
      <c r="G29" s="659">
        <f>G23/(G23+I23)</f>
        <v>0.85624203455747716</v>
      </c>
      <c r="H29" s="659">
        <f>G24/(G24+I24)</f>
        <v>0.43671012877670917</v>
      </c>
      <c r="I29" s="659"/>
      <c r="J29" s="659">
        <f>I23/(I23+G23)</f>
        <v>0.14375796544252287</v>
      </c>
      <c r="K29" s="659">
        <f>I24/(I24+G24)</f>
        <v>0.56328987122329088</v>
      </c>
    </row>
    <row r="30" spans="1:11" ht="14.25" x14ac:dyDescent="0.2">
      <c r="D30" s="279"/>
      <c r="E30" s="279"/>
      <c r="F30" s="658" t="s">
        <v>2328</v>
      </c>
      <c r="G30" s="659">
        <f>H23/(H23+J23)</f>
        <v>0.25506309445626052</v>
      </c>
      <c r="H30" s="659">
        <f>H24/(H24+J24)</f>
        <v>0.93746356680590515</v>
      </c>
      <c r="I30" s="659"/>
      <c r="J30" s="659">
        <f>J23/(J23+H23)</f>
        <v>0.74493690554373948</v>
      </c>
      <c r="K30" s="659">
        <f>J24/(J24+H24)</f>
        <v>6.253643319409484E-2</v>
      </c>
    </row>
    <row r="31" spans="1:11" x14ac:dyDescent="0.2">
      <c r="D31" s="273"/>
      <c r="E31" s="273"/>
      <c r="F31" s="273"/>
    </row>
    <row r="32" spans="1:11" x14ac:dyDescent="0.2">
      <c r="G32" s="279"/>
      <c r="H32" s="279"/>
      <c r="I32" s="279"/>
      <c r="J32" s="279"/>
      <c r="K32" s="279"/>
    </row>
    <row r="33" spans="3:11" x14ac:dyDescent="0.2">
      <c r="D33" s="273"/>
      <c r="E33" s="273"/>
      <c r="F33" s="273"/>
      <c r="G33" s="279"/>
      <c r="H33" s="279"/>
      <c r="I33" s="279"/>
      <c r="J33" s="279"/>
      <c r="K33" s="279"/>
    </row>
    <row r="34" spans="3:11" x14ac:dyDescent="0.2">
      <c r="G34" s="279"/>
      <c r="H34" s="279"/>
      <c r="J34" s="279"/>
      <c r="K34" s="279"/>
    </row>
    <row r="35" spans="3:11" x14ac:dyDescent="0.2">
      <c r="D35" s="273"/>
      <c r="E35" s="273"/>
      <c r="F35" s="273"/>
    </row>
    <row r="37" spans="3:11" x14ac:dyDescent="0.2">
      <c r="D37" s="273"/>
      <c r="E37" s="273"/>
      <c r="F37" s="273"/>
    </row>
    <row r="39" spans="3:11" x14ac:dyDescent="0.2">
      <c r="D39" s="273"/>
      <c r="E39" s="273"/>
      <c r="F39" s="273"/>
    </row>
    <row r="41" spans="3:11" x14ac:dyDescent="0.2">
      <c r="C41" s="334"/>
    </row>
    <row r="42" spans="3:11" x14ac:dyDescent="0.2">
      <c r="C42" s="334"/>
    </row>
    <row r="46" spans="3:11" x14ac:dyDescent="0.2">
      <c r="D46" s="383"/>
      <c r="E46" s="383"/>
    </row>
    <row r="47" spans="3:11" x14ac:dyDescent="0.2">
      <c r="D47" s="270"/>
      <c r="E47" s="270"/>
    </row>
    <row r="48" spans="3:11" x14ac:dyDescent="0.2">
      <c r="D48" s="383"/>
      <c r="E48" s="270"/>
    </row>
    <row r="49" spans="4:5" x14ac:dyDescent="0.2">
      <c r="D49" s="270"/>
      <c r="E49" s="270"/>
    </row>
    <row r="50" spans="4:5" x14ac:dyDescent="0.2">
      <c r="D50" s="270"/>
      <c r="E50" s="270"/>
    </row>
    <row r="51" spans="4:5" x14ac:dyDescent="0.2">
      <c r="D51" s="270"/>
      <c r="E51" s="270"/>
    </row>
    <row r="52" spans="4:5" x14ac:dyDescent="0.2">
      <c r="D52" s="270"/>
      <c r="E52" s="270"/>
    </row>
    <row r="53" spans="4:5" x14ac:dyDescent="0.2">
      <c r="D53" s="270"/>
      <c r="E53" s="270"/>
    </row>
    <row r="54" spans="4:5" x14ac:dyDescent="0.2">
      <c r="D54" s="384"/>
      <c r="E54" s="384"/>
    </row>
  </sheetData>
  <mergeCells count="2">
    <mergeCell ref="K12:L12"/>
    <mergeCell ref="N12:O12"/>
  </mergeCells>
  <phoneticPr fontId="74" type="noConversion"/>
  <pageMargins left="0.75" right="0.75" top="1" bottom="1" header="0.5" footer="0.5"/>
  <pageSetup scale="49" orientation="portrait" horizontalDpi="4294967292"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tabColor rgb="FFFFFF00"/>
    <pageSetUpPr fitToPage="1"/>
  </sheetPr>
  <dimension ref="B1:U29"/>
  <sheetViews>
    <sheetView zoomScale="80" zoomScaleNormal="80" workbookViewId="0"/>
  </sheetViews>
  <sheetFormatPr defaultColWidth="9.140625" defaultRowHeight="15" x14ac:dyDescent="0.25"/>
  <cols>
    <col min="1" max="1" width="4.5703125" style="947" customWidth="1"/>
    <col min="2" max="2" width="9.140625" style="947"/>
    <col min="3" max="26" width="7.5703125" style="947" customWidth="1"/>
    <col min="27" max="16384" width="9.140625" style="947"/>
  </cols>
  <sheetData>
    <row r="1" spans="2:21" ht="18.75" x14ac:dyDescent="0.3">
      <c r="B1" s="2079" t="s">
        <v>7527</v>
      </c>
      <c r="U1" s="2079"/>
    </row>
    <row r="28" spans="2:2" s="2078" customFormat="1" x14ac:dyDescent="0.25"/>
    <row r="29" spans="2:2" ht="15.75" x14ac:dyDescent="0.25">
      <c r="B29" s="1203"/>
    </row>
  </sheetData>
  <pageMargins left="0.7" right="0.7" top="0.75" bottom="0.75" header="0.3" footer="0.3"/>
  <pageSetup scale="98"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0000"/>
    <pageSetUpPr fitToPage="1"/>
  </sheetPr>
  <dimension ref="A1:M33"/>
  <sheetViews>
    <sheetView zoomScaleNormal="100" workbookViewId="0">
      <pane ySplit="1" topLeftCell="A26" activePane="bottomLeft" state="frozen"/>
      <selection activeCell="E42" sqref="E42"/>
      <selection pane="bottomLeft" activeCell="C33" sqref="C33"/>
    </sheetView>
  </sheetViews>
  <sheetFormatPr defaultColWidth="9.28515625" defaultRowHeight="12.75" x14ac:dyDescent="0.2"/>
  <cols>
    <col min="1" max="1" width="23.85546875" style="1104" customWidth="1"/>
    <col min="2" max="2" width="30.5703125" style="1048" customWidth="1"/>
    <col min="3" max="3" width="21.7109375" style="1048" customWidth="1"/>
    <col min="4" max="4" width="53.85546875" style="1182" bestFit="1" customWidth="1"/>
    <col min="5" max="5" width="11.85546875" style="1048" customWidth="1"/>
    <col min="6" max="6" width="14" style="1048" customWidth="1"/>
    <col min="7" max="7" width="36.5703125" style="1048" customWidth="1"/>
    <col min="8" max="8" width="11.42578125" style="1048" bestFit="1" customWidth="1"/>
    <col min="9" max="9" width="10" style="1048" customWidth="1"/>
    <col min="10" max="10" width="10.85546875" style="1048" bestFit="1" customWidth="1"/>
    <col min="11" max="11" width="6.28515625" style="1377" customWidth="1"/>
    <col min="12" max="12" width="9.28515625" style="1377" customWidth="1"/>
    <col min="13" max="13" width="84.5703125" style="1048" customWidth="1"/>
    <col min="14" max="16384" width="9.28515625" style="1048"/>
  </cols>
  <sheetData>
    <row r="1" spans="1:13" s="1376" customFormat="1" ht="42" customHeight="1" x14ac:dyDescent="0.2">
      <c r="A1" s="1868" t="s">
        <v>6235</v>
      </c>
      <c r="B1" s="1869" t="s">
        <v>6236</v>
      </c>
      <c r="C1" s="1868" t="s">
        <v>6237</v>
      </c>
      <c r="D1" s="1869" t="s">
        <v>6236</v>
      </c>
      <c r="E1" s="1868" t="s">
        <v>5866</v>
      </c>
      <c r="F1" s="1868" t="s">
        <v>6238</v>
      </c>
      <c r="G1" s="1868" t="s">
        <v>1649</v>
      </c>
      <c r="H1" s="1868" t="s">
        <v>6239</v>
      </c>
      <c r="I1" s="1868" t="s">
        <v>6240</v>
      </c>
      <c r="J1" s="1868" t="s">
        <v>6241</v>
      </c>
      <c r="K1" s="1870" t="s">
        <v>6242</v>
      </c>
      <c r="L1" s="1870" t="s">
        <v>6243</v>
      </c>
      <c r="M1" s="1868" t="s">
        <v>6244</v>
      </c>
    </row>
    <row r="2" spans="1:13" s="1434" customFormat="1" ht="63.75" x14ac:dyDescent="0.2">
      <c r="A2" s="2370" t="s">
        <v>6245</v>
      </c>
      <c r="B2" s="2371" t="s">
        <v>6246</v>
      </c>
      <c r="C2" s="2372"/>
      <c r="D2" s="2371"/>
      <c r="E2" s="2373">
        <v>44615</v>
      </c>
      <c r="F2" s="2372" t="s">
        <v>6247</v>
      </c>
      <c r="G2" s="1182" t="s">
        <v>6248</v>
      </c>
      <c r="H2" s="2372"/>
      <c r="I2" s="2372"/>
      <c r="J2" s="2372"/>
      <c r="K2" s="2374"/>
      <c r="L2" s="2374"/>
      <c r="M2" s="2371" t="s">
        <v>6249</v>
      </c>
    </row>
    <row r="3" spans="1:13" ht="127.5" x14ac:dyDescent="0.2">
      <c r="A3" s="1104" t="s">
        <v>6250</v>
      </c>
      <c r="B3" s="1182" t="s">
        <v>6251</v>
      </c>
      <c r="C3" s="1048" t="s">
        <v>6245</v>
      </c>
      <c r="D3" s="1182" t="s">
        <v>6252</v>
      </c>
      <c r="E3" s="1435">
        <v>44615</v>
      </c>
      <c r="F3" s="1048" t="s">
        <v>6247</v>
      </c>
      <c r="G3" s="1182" t="s">
        <v>6248</v>
      </c>
      <c r="M3" s="1182" t="s">
        <v>6253</v>
      </c>
    </row>
    <row r="4" spans="1:13" ht="63.75" x14ac:dyDescent="0.2">
      <c r="A4" s="1104" t="s">
        <v>6254</v>
      </c>
      <c r="B4" s="1182"/>
      <c r="C4" s="1182" t="s">
        <v>6255</v>
      </c>
      <c r="D4" s="1436" t="s">
        <v>6256</v>
      </c>
      <c r="E4" s="1435">
        <v>44615</v>
      </c>
      <c r="F4" s="1048" t="s">
        <v>6247</v>
      </c>
      <c r="K4" s="1377" t="s">
        <v>2324</v>
      </c>
      <c r="L4" s="1377" t="s">
        <v>2324</v>
      </c>
      <c r="M4" s="1182" t="s">
        <v>6257</v>
      </c>
    </row>
    <row r="5" spans="1:13" s="1433" customFormat="1" ht="63.75" x14ac:dyDescent="0.2">
      <c r="A5" s="1868" t="s">
        <v>6258</v>
      </c>
      <c r="B5" s="1871" t="s">
        <v>6259</v>
      </c>
      <c r="C5" s="1871" t="s">
        <v>6254</v>
      </c>
      <c r="D5" s="1872" t="s">
        <v>6260</v>
      </c>
      <c r="E5" s="1873">
        <v>44627</v>
      </c>
      <c r="F5" s="1874" t="s">
        <v>6247</v>
      </c>
      <c r="G5" s="1874" t="s">
        <v>6261</v>
      </c>
      <c r="H5" s="1874"/>
      <c r="I5" s="1874"/>
      <c r="J5" s="1874"/>
      <c r="K5" s="1875" t="s">
        <v>2324</v>
      </c>
      <c r="L5" s="1875" t="s">
        <v>2324</v>
      </c>
      <c r="M5" s="1871" t="s">
        <v>6262</v>
      </c>
    </row>
    <row r="6" spans="1:13" x14ac:dyDescent="0.2">
      <c r="A6" s="1104" t="s">
        <v>6263</v>
      </c>
      <c r="B6" s="1048" t="s">
        <v>6264</v>
      </c>
      <c r="C6" s="1048" t="s">
        <v>6258</v>
      </c>
      <c r="D6" s="1182" t="s">
        <v>6265</v>
      </c>
      <c r="E6" s="1435">
        <v>44630</v>
      </c>
      <c r="F6" s="1048" t="s">
        <v>6266</v>
      </c>
      <c r="K6" s="1377" t="s">
        <v>2324</v>
      </c>
      <c r="L6" s="1377" t="s">
        <v>2324</v>
      </c>
      <c r="M6" s="1048" t="s">
        <v>6267</v>
      </c>
    </row>
    <row r="7" spans="1:13" x14ac:dyDescent="0.2">
      <c r="A7" s="1104" t="s">
        <v>6268</v>
      </c>
      <c r="B7" s="1048" t="s">
        <v>6269</v>
      </c>
      <c r="C7" s="1048" t="s">
        <v>6263</v>
      </c>
      <c r="D7" s="1182" t="s">
        <v>6270</v>
      </c>
      <c r="E7" s="1435">
        <v>44630</v>
      </c>
      <c r="F7" s="1048" t="s">
        <v>6266</v>
      </c>
      <c r="K7" s="1377" t="s">
        <v>2324</v>
      </c>
      <c r="L7" s="1377" t="s">
        <v>2324</v>
      </c>
      <c r="M7" s="1048" t="s">
        <v>6271</v>
      </c>
    </row>
    <row r="8" spans="1:13" s="1913" customFormat="1" x14ac:dyDescent="0.2">
      <c r="A8" s="1868" t="s">
        <v>6272</v>
      </c>
      <c r="B8" s="1874" t="s">
        <v>6273</v>
      </c>
      <c r="C8" s="1874" t="s">
        <v>6268</v>
      </c>
      <c r="D8" s="1871" t="s">
        <v>6274</v>
      </c>
      <c r="E8" s="1873">
        <v>44630</v>
      </c>
      <c r="F8" s="1874" t="s">
        <v>6266</v>
      </c>
      <c r="G8" s="1874"/>
      <c r="H8" s="1874"/>
      <c r="I8" s="1874"/>
      <c r="J8" s="1874"/>
      <c r="K8" s="1875" t="s">
        <v>2324</v>
      </c>
      <c r="L8" s="1875" t="s">
        <v>2324</v>
      </c>
      <c r="M8" s="1874" t="s">
        <v>6275</v>
      </c>
    </row>
    <row r="9" spans="1:13" x14ac:dyDescent="0.2">
      <c r="A9" s="1104" t="s">
        <v>6276</v>
      </c>
      <c r="B9" s="1048" t="s">
        <v>6277</v>
      </c>
      <c r="C9" s="1048" t="s">
        <v>6263</v>
      </c>
      <c r="D9" s="1182" t="s">
        <v>6265</v>
      </c>
      <c r="E9" s="1435">
        <v>44631</v>
      </c>
      <c r="F9" s="1048" t="s">
        <v>6266</v>
      </c>
      <c r="K9" s="1377" t="s">
        <v>2324</v>
      </c>
      <c r="L9" s="1377" t="s">
        <v>2324</v>
      </c>
      <c r="M9" s="1048" t="s">
        <v>6278</v>
      </c>
    </row>
    <row r="10" spans="1:13" x14ac:dyDescent="0.2">
      <c r="A10" s="1104" t="s">
        <v>6279</v>
      </c>
      <c r="B10" s="1048" t="s">
        <v>6280</v>
      </c>
      <c r="C10" s="1048" t="s">
        <v>6268</v>
      </c>
      <c r="D10" s="1182" t="s">
        <v>6270</v>
      </c>
      <c r="E10" s="1435">
        <v>44631</v>
      </c>
      <c r="F10" s="1048" t="s">
        <v>6266</v>
      </c>
      <c r="K10" s="1377" t="s">
        <v>2324</v>
      </c>
      <c r="L10" s="1377" t="s">
        <v>2324</v>
      </c>
      <c r="M10" s="1048" t="s">
        <v>6281</v>
      </c>
    </row>
    <row r="11" spans="1:13" s="2014" customFormat="1" x14ac:dyDescent="0.2">
      <c r="A11" s="2013" t="s">
        <v>6282</v>
      </c>
      <c r="B11" s="2014" t="s">
        <v>6283</v>
      </c>
      <c r="C11" s="2014" t="s">
        <v>6272</v>
      </c>
      <c r="D11" s="2412" t="s">
        <v>6274</v>
      </c>
      <c r="E11" s="2015">
        <v>44631</v>
      </c>
      <c r="F11" s="2014" t="s">
        <v>6266</v>
      </c>
      <c r="K11" s="2016" t="s">
        <v>2324</v>
      </c>
      <c r="L11" s="2016" t="s">
        <v>2324</v>
      </c>
      <c r="M11" s="2014" t="s">
        <v>6284</v>
      </c>
    </row>
    <row r="12" spans="1:13" x14ac:dyDescent="0.2">
      <c r="A12" s="37" t="s">
        <v>6285</v>
      </c>
      <c r="B12" s="180" t="s">
        <v>6286</v>
      </c>
      <c r="C12" s="180" t="s">
        <v>6276</v>
      </c>
      <c r="D12" s="1379" t="s">
        <v>6265</v>
      </c>
      <c r="E12" s="1138">
        <v>44632</v>
      </c>
      <c r="F12" s="180" t="s">
        <v>6266</v>
      </c>
      <c r="G12" s="180"/>
      <c r="H12" s="180"/>
      <c r="I12" s="180"/>
      <c r="J12" s="180"/>
      <c r="K12" s="1377" t="s">
        <v>2324</v>
      </c>
      <c r="L12" s="1377" t="s">
        <v>2324</v>
      </c>
      <c r="M12" s="180" t="s">
        <v>6278</v>
      </c>
    </row>
    <row r="13" spans="1:13" x14ac:dyDescent="0.2">
      <c r="A13" s="37" t="s">
        <v>6287</v>
      </c>
      <c r="B13" s="180" t="s">
        <v>6288</v>
      </c>
      <c r="C13" s="180" t="s">
        <v>6279</v>
      </c>
      <c r="D13" s="1379" t="s">
        <v>6270</v>
      </c>
      <c r="E13" s="1138">
        <v>44632</v>
      </c>
      <c r="F13" s="180" t="s">
        <v>6266</v>
      </c>
      <c r="G13" s="180"/>
      <c r="H13" s="180"/>
      <c r="I13" s="180"/>
      <c r="J13" s="180"/>
      <c r="K13" s="1377" t="s">
        <v>2324</v>
      </c>
      <c r="L13" s="1377" t="s">
        <v>2324</v>
      </c>
      <c r="M13" s="180" t="s">
        <v>6289</v>
      </c>
    </row>
    <row r="14" spans="1:13" s="1913" customFormat="1" x14ac:dyDescent="0.2">
      <c r="A14" s="1594" t="s">
        <v>6290</v>
      </c>
      <c r="B14" s="1611" t="s">
        <v>6291</v>
      </c>
      <c r="C14" s="1611" t="s">
        <v>6282</v>
      </c>
      <c r="D14" s="2413" t="s">
        <v>6274</v>
      </c>
      <c r="E14" s="2051">
        <v>44632</v>
      </c>
      <c r="F14" s="1611" t="s">
        <v>6266</v>
      </c>
      <c r="G14" s="1611"/>
      <c r="H14" s="1611"/>
      <c r="I14" s="1611"/>
      <c r="J14" s="1611"/>
      <c r="K14" s="1875" t="s">
        <v>2324</v>
      </c>
      <c r="L14" s="1875" t="s">
        <v>2324</v>
      </c>
      <c r="M14" s="1874" t="s">
        <v>6284</v>
      </c>
    </row>
    <row r="15" spans="1:13" x14ac:dyDescent="0.2">
      <c r="A15" s="1104" t="s">
        <v>6292</v>
      </c>
      <c r="B15" s="1048" t="s">
        <v>6293</v>
      </c>
      <c r="C15" s="1048" t="s">
        <v>6285</v>
      </c>
      <c r="D15" s="1182" t="s">
        <v>6265</v>
      </c>
      <c r="E15" s="1435">
        <v>44633</v>
      </c>
      <c r="F15" s="1048" t="s">
        <v>6266</v>
      </c>
      <c r="K15" s="1377" t="s">
        <v>2324</v>
      </c>
      <c r="L15" s="1377" t="s">
        <v>2324</v>
      </c>
      <c r="M15" s="1048" t="s">
        <v>6278</v>
      </c>
    </row>
    <row r="16" spans="1:13" x14ac:dyDescent="0.2">
      <c r="A16" s="1104" t="s">
        <v>6294</v>
      </c>
      <c r="B16" s="1048" t="s">
        <v>6295</v>
      </c>
      <c r="C16" s="1048" t="s">
        <v>6287</v>
      </c>
      <c r="D16" s="1182" t="s">
        <v>6270</v>
      </c>
      <c r="E16" s="1435">
        <v>44633</v>
      </c>
      <c r="F16" s="1048" t="s">
        <v>6266</v>
      </c>
      <c r="K16" s="1377" t="s">
        <v>2324</v>
      </c>
      <c r="L16" s="1377" t="s">
        <v>2324</v>
      </c>
      <c r="M16" s="1048" t="s">
        <v>6289</v>
      </c>
    </row>
    <row r="17" spans="1:13" s="1913" customFormat="1" x14ac:dyDescent="0.2">
      <c r="A17" s="1868" t="s">
        <v>6296</v>
      </c>
      <c r="B17" s="1874" t="s">
        <v>6297</v>
      </c>
      <c r="C17" s="1874" t="s">
        <v>6290</v>
      </c>
      <c r="D17" s="1871" t="s">
        <v>6274</v>
      </c>
      <c r="E17" s="1873">
        <v>44633</v>
      </c>
      <c r="F17" s="1874" t="s">
        <v>6266</v>
      </c>
      <c r="G17" s="1874"/>
      <c r="H17" s="1874"/>
      <c r="I17" s="1874"/>
      <c r="J17" s="1874"/>
      <c r="K17" s="1875" t="s">
        <v>2324</v>
      </c>
      <c r="L17" s="1875" t="s">
        <v>2324</v>
      </c>
      <c r="M17" s="1874" t="s">
        <v>6284</v>
      </c>
    </row>
    <row r="18" spans="1:13" x14ac:dyDescent="0.2">
      <c r="A18" s="1104" t="s">
        <v>6298</v>
      </c>
      <c r="B18" s="1048" t="s">
        <v>6299</v>
      </c>
      <c r="C18" s="1048" t="s">
        <v>6292</v>
      </c>
      <c r="D18" s="1182" t="s">
        <v>6265</v>
      </c>
      <c r="E18" s="1435">
        <v>44634</v>
      </c>
      <c r="F18" s="1048" t="s">
        <v>6266</v>
      </c>
      <c r="K18" s="1377" t="s">
        <v>2324</v>
      </c>
      <c r="L18" s="1377" t="s">
        <v>2324</v>
      </c>
      <c r="M18" s="1048" t="s">
        <v>6278</v>
      </c>
    </row>
    <row r="19" spans="1:13" x14ac:dyDescent="0.2">
      <c r="A19" s="1104" t="s">
        <v>6300</v>
      </c>
      <c r="B19" s="1048" t="s">
        <v>6301</v>
      </c>
      <c r="C19" s="1048" t="s">
        <v>6294</v>
      </c>
      <c r="D19" s="1182" t="s">
        <v>6270</v>
      </c>
      <c r="E19" s="1435">
        <v>44634</v>
      </c>
      <c r="F19" s="1048" t="s">
        <v>6266</v>
      </c>
      <c r="K19" s="1377" t="s">
        <v>2324</v>
      </c>
      <c r="L19" s="1377" t="s">
        <v>2324</v>
      </c>
      <c r="M19" s="1048" t="s">
        <v>6289</v>
      </c>
    </row>
    <row r="20" spans="1:13" s="1913" customFormat="1" x14ac:dyDescent="0.2">
      <c r="A20" s="1868" t="s">
        <v>6302</v>
      </c>
      <c r="B20" s="1874" t="s">
        <v>6303</v>
      </c>
      <c r="C20" s="1874" t="s">
        <v>6296</v>
      </c>
      <c r="D20" s="1871" t="s">
        <v>6274</v>
      </c>
      <c r="E20" s="1873">
        <v>44634</v>
      </c>
      <c r="F20" s="1874" t="s">
        <v>6266</v>
      </c>
      <c r="G20" s="1874"/>
      <c r="H20" s="1874"/>
      <c r="I20" s="1874"/>
      <c r="J20" s="1874"/>
      <c r="K20" s="1875" t="s">
        <v>2324</v>
      </c>
      <c r="L20" s="1875" t="s">
        <v>2324</v>
      </c>
      <c r="M20" s="1874" t="s">
        <v>6284</v>
      </c>
    </row>
    <row r="21" spans="1:13" ht="25.5" x14ac:dyDescent="0.2">
      <c r="A21" s="1104" t="s">
        <v>6304</v>
      </c>
      <c r="B21" s="1048" t="s">
        <v>6305</v>
      </c>
      <c r="C21" s="1048" t="s">
        <v>6298</v>
      </c>
      <c r="D21" s="1182" t="s">
        <v>6306</v>
      </c>
      <c r="E21" s="1435">
        <v>44636</v>
      </c>
      <c r="F21" s="1048" t="s">
        <v>6247</v>
      </c>
      <c r="G21" s="1048" t="s">
        <v>6307</v>
      </c>
      <c r="K21" s="1377" t="s">
        <v>2324</v>
      </c>
      <c r="L21" s="1377" t="s">
        <v>2324</v>
      </c>
      <c r="M21" s="1048" t="s">
        <v>6308</v>
      </c>
    </row>
    <row r="22" spans="1:13" ht="25.5" x14ac:dyDescent="0.2">
      <c r="A22" s="1104" t="s">
        <v>6309</v>
      </c>
      <c r="B22" s="1048" t="s">
        <v>6310</v>
      </c>
      <c r="C22" s="1048" t="s">
        <v>6300</v>
      </c>
      <c r="D22" s="1182" t="s">
        <v>6311</v>
      </c>
      <c r="E22" s="1435">
        <v>44636</v>
      </c>
      <c r="F22" s="1048" t="s">
        <v>6247</v>
      </c>
      <c r="G22" s="1048" t="s">
        <v>6307</v>
      </c>
      <c r="K22" s="1377" t="s">
        <v>2324</v>
      </c>
      <c r="L22" s="1377" t="s">
        <v>2324</v>
      </c>
      <c r="M22" s="1048" t="s">
        <v>6312</v>
      </c>
    </row>
    <row r="23" spans="1:13" s="1913" customFormat="1" ht="25.5" x14ac:dyDescent="0.2">
      <c r="A23" s="1868" t="s">
        <v>6313</v>
      </c>
      <c r="B23" s="1874" t="s">
        <v>6314</v>
      </c>
      <c r="C23" s="1874" t="s">
        <v>6302</v>
      </c>
      <c r="D23" s="1871" t="s">
        <v>6315</v>
      </c>
      <c r="E23" s="1873">
        <v>44636</v>
      </c>
      <c r="F23" s="1874" t="s">
        <v>6247</v>
      </c>
      <c r="G23" s="1874" t="s">
        <v>6307</v>
      </c>
      <c r="H23" s="1874"/>
      <c r="I23" s="1874"/>
      <c r="J23" s="1874"/>
      <c r="K23" s="1875" t="s">
        <v>2324</v>
      </c>
      <c r="L23" s="1875" t="s">
        <v>2324</v>
      </c>
      <c r="M23" s="1874" t="s">
        <v>6316</v>
      </c>
    </row>
    <row r="24" spans="1:13" ht="51" x14ac:dyDescent="0.2">
      <c r="A24" s="1104" t="s">
        <v>6317</v>
      </c>
      <c r="B24" s="1048" t="s">
        <v>6305</v>
      </c>
      <c r="C24" s="1048" t="s">
        <v>6304</v>
      </c>
      <c r="D24" s="1182" t="s">
        <v>6306</v>
      </c>
      <c r="E24" s="1435">
        <v>44648</v>
      </c>
      <c r="F24" s="1048" t="s">
        <v>6247</v>
      </c>
      <c r="G24" s="1182" t="s">
        <v>6318</v>
      </c>
      <c r="K24" s="1377" t="s">
        <v>2324</v>
      </c>
      <c r="L24" s="1377" t="s">
        <v>2324</v>
      </c>
      <c r="M24" s="1048" t="s">
        <v>6319</v>
      </c>
    </row>
    <row r="25" spans="1:13" ht="25.5" x14ac:dyDescent="0.2">
      <c r="A25" s="1104" t="s">
        <v>6320</v>
      </c>
      <c r="B25" s="1048" t="s">
        <v>6310</v>
      </c>
      <c r="C25" s="1048" t="s">
        <v>6309</v>
      </c>
      <c r="D25" s="1182" t="s">
        <v>6311</v>
      </c>
      <c r="E25" s="1435">
        <v>44648</v>
      </c>
      <c r="F25" s="1048" t="s">
        <v>6247</v>
      </c>
      <c r="K25" s="1377" t="s">
        <v>2324</v>
      </c>
      <c r="L25" s="1377" t="s">
        <v>2324</v>
      </c>
      <c r="M25" s="1048" t="s">
        <v>6321</v>
      </c>
    </row>
    <row r="26" spans="1:13" s="1913" customFormat="1" ht="25.5" x14ac:dyDescent="0.2">
      <c r="A26" s="1868" t="s">
        <v>6322</v>
      </c>
      <c r="B26" s="1874" t="s">
        <v>6314</v>
      </c>
      <c r="C26" s="1874" t="s">
        <v>6313</v>
      </c>
      <c r="D26" s="1871" t="s">
        <v>6315</v>
      </c>
      <c r="E26" s="1873">
        <v>44648</v>
      </c>
      <c r="F26" s="1874" t="s">
        <v>6247</v>
      </c>
      <c r="G26" s="1874"/>
      <c r="H26" s="1874"/>
      <c r="I26" s="1874"/>
      <c r="J26" s="1874"/>
      <c r="K26" s="1875" t="s">
        <v>2324</v>
      </c>
      <c r="L26" s="1875" t="s">
        <v>2324</v>
      </c>
      <c r="M26" s="1874" t="s">
        <v>6323</v>
      </c>
    </row>
    <row r="27" spans="1:13" s="2083" customFormat="1" ht="25.5" x14ac:dyDescent="0.2">
      <c r="A27" s="2082" t="s">
        <v>6324</v>
      </c>
      <c r="B27" s="2083" t="s">
        <v>6325</v>
      </c>
      <c r="C27" s="2083" t="s">
        <v>6320</v>
      </c>
      <c r="D27" s="2085" t="s">
        <v>6326</v>
      </c>
      <c r="E27" s="2084">
        <v>44659</v>
      </c>
      <c r="F27" s="2083" t="s">
        <v>6266</v>
      </c>
      <c r="G27" s="2085"/>
      <c r="K27" s="2086" t="s">
        <v>2324</v>
      </c>
      <c r="L27" s="2086" t="s">
        <v>2324</v>
      </c>
      <c r="M27" s="2083" t="s">
        <v>6327</v>
      </c>
    </row>
    <row r="28" spans="1:13" ht="25.5" x14ac:dyDescent="0.2">
      <c r="A28" s="2082" t="s">
        <v>6328</v>
      </c>
      <c r="B28" s="2083" t="s">
        <v>6329</v>
      </c>
      <c r="C28" s="2083" t="s">
        <v>6324</v>
      </c>
      <c r="D28" s="2085" t="s">
        <v>6326</v>
      </c>
      <c r="E28" s="2084">
        <v>44661</v>
      </c>
      <c r="F28" s="2083" t="s">
        <v>6266</v>
      </c>
      <c r="G28" s="2085"/>
      <c r="H28" s="2083"/>
      <c r="I28" s="2083"/>
      <c r="J28" s="2083"/>
      <c r="K28" s="2086" t="s">
        <v>2324</v>
      </c>
      <c r="L28" s="2086" t="s">
        <v>2324</v>
      </c>
      <c r="M28" s="2083" t="s">
        <v>6330</v>
      </c>
    </row>
    <row r="29" spans="1:13" ht="25.5" x14ac:dyDescent="0.2">
      <c r="A29" s="2082" t="s">
        <v>6331</v>
      </c>
      <c r="B29" s="2083" t="s">
        <v>6329</v>
      </c>
      <c r="C29" s="2083" t="s">
        <v>6328</v>
      </c>
      <c r="D29" s="2085" t="s">
        <v>6332</v>
      </c>
      <c r="E29" s="2084">
        <v>44661</v>
      </c>
      <c r="F29" s="2083" t="s">
        <v>6247</v>
      </c>
      <c r="G29" s="2085"/>
      <c r="H29" s="2083"/>
      <c r="I29" s="2083"/>
      <c r="J29" s="2083"/>
      <c r="K29" s="2086" t="s">
        <v>2324</v>
      </c>
      <c r="L29" s="2086" t="s">
        <v>2324</v>
      </c>
      <c r="M29" s="2083" t="s">
        <v>6333</v>
      </c>
    </row>
    <row r="30" spans="1:13" ht="25.5" x14ac:dyDescent="0.2">
      <c r="A30" s="2082" t="s">
        <v>4256</v>
      </c>
      <c r="B30" s="2083" t="s">
        <v>6334</v>
      </c>
      <c r="C30" s="2083" t="s">
        <v>6331</v>
      </c>
      <c r="D30" s="2085" t="s">
        <v>6335</v>
      </c>
      <c r="E30" s="2084">
        <v>44662</v>
      </c>
      <c r="F30" s="2083" t="s">
        <v>6336</v>
      </c>
      <c r="G30" s="2085"/>
      <c r="H30" s="2083"/>
      <c r="I30" s="2083"/>
      <c r="J30" s="2083"/>
      <c r="K30" s="2086" t="s">
        <v>2324</v>
      </c>
      <c r="L30" s="2086" t="s">
        <v>2324</v>
      </c>
      <c r="M30" s="2083" t="s">
        <v>6337</v>
      </c>
    </row>
    <row r="31" spans="1:13" ht="25.5" x14ac:dyDescent="0.2">
      <c r="A31" s="2082" t="s">
        <v>7499</v>
      </c>
      <c r="B31" s="2083" t="s">
        <v>6334</v>
      </c>
      <c r="C31" s="2083" t="s">
        <v>4256</v>
      </c>
      <c r="D31" s="2085" t="s">
        <v>6335</v>
      </c>
      <c r="E31" s="2084">
        <v>44662</v>
      </c>
      <c r="F31" s="2083" t="s">
        <v>6247</v>
      </c>
      <c r="G31" s="2085" t="s">
        <v>7500</v>
      </c>
      <c r="H31" s="2083"/>
      <c r="I31" s="2083"/>
      <c r="J31" s="2083"/>
      <c r="K31" s="2086" t="s">
        <v>2324</v>
      </c>
      <c r="L31" s="2086" t="s">
        <v>2324</v>
      </c>
      <c r="M31" s="2083" t="s">
        <v>7501</v>
      </c>
    </row>
    <row r="32" spans="1:13" ht="38.25" x14ac:dyDescent="0.2">
      <c r="A32" s="2082" t="s">
        <v>7502</v>
      </c>
      <c r="B32" s="2083" t="s">
        <v>7503</v>
      </c>
      <c r="C32" s="2083" t="s">
        <v>7499</v>
      </c>
      <c r="D32" s="2085" t="s">
        <v>7506</v>
      </c>
      <c r="E32" s="2084">
        <v>44662</v>
      </c>
      <c r="F32" s="2083" t="s">
        <v>6247</v>
      </c>
      <c r="G32" s="2085" t="s">
        <v>7504</v>
      </c>
      <c r="H32" s="2083"/>
      <c r="I32" s="2083"/>
      <c r="J32" s="2083"/>
      <c r="K32" s="2086" t="s">
        <v>2324</v>
      </c>
      <c r="L32" s="2086" t="s">
        <v>2324</v>
      </c>
      <c r="M32" s="2083" t="s">
        <v>7505</v>
      </c>
    </row>
    <row r="33" spans="1:13" ht="38.25" x14ac:dyDescent="0.2">
      <c r="A33" s="2082" t="s">
        <v>7523</v>
      </c>
      <c r="B33" s="2085" t="s">
        <v>7524</v>
      </c>
      <c r="C33" s="2083" t="s">
        <v>7502</v>
      </c>
      <c r="D33" s="2085" t="s">
        <v>7525</v>
      </c>
      <c r="E33" s="2084">
        <v>44663</v>
      </c>
      <c r="F33" s="2085" t="s">
        <v>6336</v>
      </c>
      <c r="G33" s="2085"/>
      <c r="H33" s="2083"/>
      <c r="I33" s="2083"/>
      <c r="J33" s="2083"/>
      <c r="K33" s="2086" t="s">
        <v>2324</v>
      </c>
      <c r="L33" s="2086" t="s">
        <v>2324</v>
      </c>
      <c r="M33" s="2083" t="s">
        <v>7526</v>
      </c>
    </row>
  </sheetData>
  <phoneticPr fontId="20" type="noConversion"/>
  <pageMargins left="0.7" right="0.7" top="0.75" bottom="0.75" header="0.3" footer="0.3"/>
  <pageSetup scale="49"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6" tint="0.39997558519241921"/>
  </sheetPr>
  <dimension ref="A1:Q59"/>
  <sheetViews>
    <sheetView zoomScale="90" zoomScaleNormal="90" workbookViewId="0">
      <pane ySplit="1" topLeftCell="A56" activePane="bottomLeft" state="frozen"/>
      <selection pane="bottomLeft" activeCell="E58" sqref="E58"/>
    </sheetView>
  </sheetViews>
  <sheetFormatPr defaultColWidth="9.140625" defaultRowHeight="15.75" x14ac:dyDescent="0.25"/>
  <cols>
    <col min="1" max="1" width="14.85546875" style="1369" customWidth="1"/>
    <col min="2" max="2" width="9" style="1369" bestFit="1" customWidth="1"/>
    <col min="3" max="3" width="18.5703125" style="1369" customWidth="1"/>
    <col min="4" max="4" width="26.140625" style="1369" bestFit="1" customWidth="1"/>
    <col min="5" max="5" width="14.28515625" style="1369" customWidth="1"/>
    <col min="6" max="6" width="9.7109375" style="1369" bestFit="1" customWidth="1"/>
    <col min="7" max="7" width="23.28515625" style="1369" customWidth="1"/>
    <col min="8" max="8" width="50.7109375" style="1369" customWidth="1"/>
    <col min="9" max="9" width="81.28515625" style="1369" customWidth="1"/>
    <col min="10" max="10" width="12.28515625" style="1369" customWidth="1"/>
    <col min="11" max="11" width="10.28515625" style="1369" customWidth="1"/>
    <col min="12" max="12" width="11.5703125" style="1369" customWidth="1"/>
    <col min="13" max="16384" width="9.140625" style="1369"/>
  </cols>
  <sheetData>
    <row r="1" spans="1:12" s="1367" customFormat="1" ht="47.25" x14ac:dyDescent="0.25">
      <c r="A1" s="1876" t="s">
        <v>6338</v>
      </c>
      <c r="B1" s="1876" t="s">
        <v>6339</v>
      </c>
      <c r="C1" s="1876" t="s">
        <v>6340</v>
      </c>
      <c r="D1" s="1876" t="s">
        <v>1462</v>
      </c>
      <c r="E1" s="1876" t="s">
        <v>6341</v>
      </c>
      <c r="F1" s="1876" t="s">
        <v>5866</v>
      </c>
      <c r="G1" s="1876" t="s">
        <v>6342</v>
      </c>
      <c r="H1" s="1876" t="s">
        <v>6236</v>
      </c>
      <c r="I1" s="1876" t="s">
        <v>6343</v>
      </c>
      <c r="J1" s="1876" t="s">
        <v>6344</v>
      </c>
      <c r="K1" s="1876" t="s">
        <v>6345</v>
      </c>
      <c r="L1" s="1877" t="s">
        <v>6346</v>
      </c>
    </row>
    <row r="2" spans="1:12" ht="64.349999999999994" customHeight="1" x14ac:dyDescent="0.25">
      <c r="A2" s="2575" t="s">
        <v>6347</v>
      </c>
      <c r="B2" s="2575" t="s">
        <v>6348</v>
      </c>
      <c r="C2" s="2575" t="s">
        <v>6349</v>
      </c>
      <c r="D2" s="1368" t="s">
        <v>6245</v>
      </c>
      <c r="F2" s="1370"/>
      <c r="H2" s="1371" t="s">
        <v>6246</v>
      </c>
      <c r="I2" s="1371" t="s">
        <v>6350</v>
      </c>
      <c r="J2" s="1369" t="s">
        <v>6351</v>
      </c>
      <c r="K2" s="1369" t="s">
        <v>6352</v>
      </c>
      <c r="L2" s="1369" t="s">
        <v>6353</v>
      </c>
    </row>
    <row r="3" spans="1:12" ht="80.849999999999994" customHeight="1" x14ac:dyDescent="0.25">
      <c r="A3" s="2576"/>
      <c r="B3" s="2576"/>
      <c r="C3" s="2576"/>
      <c r="D3" s="1368" t="s">
        <v>6250</v>
      </c>
      <c r="F3" s="1372" t="s">
        <v>6354</v>
      </c>
      <c r="G3" s="1369" t="s">
        <v>6245</v>
      </c>
      <c r="H3" s="1373" t="s">
        <v>6251</v>
      </c>
      <c r="I3" s="1371" t="s">
        <v>6355</v>
      </c>
      <c r="J3" s="1371" t="s">
        <v>6352</v>
      </c>
      <c r="K3" s="1371" t="s">
        <v>6352</v>
      </c>
      <c r="L3" s="1369" t="s">
        <v>6356</v>
      </c>
    </row>
    <row r="4" spans="1:12" ht="31.5" x14ac:dyDescent="0.25">
      <c r="A4" s="2576"/>
      <c r="B4" s="2576"/>
      <c r="C4" s="2576"/>
      <c r="D4" s="1368" t="s">
        <v>6357</v>
      </c>
      <c r="E4" s="1371"/>
      <c r="F4" s="1374">
        <v>43570</v>
      </c>
      <c r="G4" s="1369" t="s">
        <v>6358</v>
      </c>
      <c r="H4" s="1369" t="s">
        <v>6359</v>
      </c>
      <c r="I4" s="1371" t="s">
        <v>6360</v>
      </c>
      <c r="J4" s="1369" t="s">
        <v>6361</v>
      </c>
      <c r="K4" s="1369" t="s">
        <v>6361</v>
      </c>
      <c r="L4" s="1369" t="s">
        <v>6362</v>
      </c>
    </row>
    <row r="5" spans="1:12" ht="31.5" x14ac:dyDescent="0.25">
      <c r="A5" s="2576"/>
      <c r="B5" s="2576"/>
      <c r="C5" s="2576"/>
      <c r="D5" s="1368" t="s">
        <v>6363</v>
      </c>
      <c r="E5" s="1371"/>
      <c r="F5" s="1375">
        <v>43931</v>
      </c>
      <c r="G5" s="1369" t="s">
        <v>6364</v>
      </c>
      <c r="H5" s="1371" t="s">
        <v>6365</v>
      </c>
      <c r="I5" s="1371" t="s">
        <v>6366</v>
      </c>
      <c r="J5" s="1371" t="s">
        <v>6361</v>
      </c>
      <c r="K5" s="1371" t="s">
        <v>6361</v>
      </c>
      <c r="L5" s="1369" t="s">
        <v>6367</v>
      </c>
    </row>
    <row r="6" spans="1:12" ht="47.25" x14ac:dyDescent="0.25">
      <c r="A6" s="2576"/>
      <c r="B6" s="2576"/>
      <c r="C6" s="2576"/>
      <c r="D6" s="1368" t="s">
        <v>6368</v>
      </c>
      <c r="E6" s="1371"/>
      <c r="F6" s="1375">
        <v>44302</v>
      </c>
      <c r="G6" s="1369" t="s">
        <v>6369</v>
      </c>
      <c r="H6" s="1371" t="s">
        <v>6370</v>
      </c>
      <c r="I6" s="1371" t="s">
        <v>6371</v>
      </c>
      <c r="J6" s="1371" t="s">
        <v>6361</v>
      </c>
      <c r="K6" s="1371" t="s">
        <v>6361</v>
      </c>
      <c r="L6" s="1369" t="s">
        <v>6372</v>
      </c>
    </row>
    <row r="7" spans="1:12" ht="67.349999999999994" customHeight="1" x14ac:dyDescent="0.25">
      <c r="A7" s="2576"/>
      <c r="B7" s="2576"/>
      <c r="C7" s="2576"/>
      <c r="D7" s="1368" t="s">
        <v>6373</v>
      </c>
      <c r="F7" s="1372">
        <v>44608</v>
      </c>
      <c r="G7" s="1369" t="s">
        <v>6363</v>
      </c>
      <c r="H7" s="1373" t="s">
        <v>6374</v>
      </c>
      <c r="I7" s="1371" t="s">
        <v>6375</v>
      </c>
      <c r="J7" s="1369" t="s">
        <v>6361</v>
      </c>
      <c r="K7" s="1369" t="s">
        <v>6352</v>
      </c>
      <c r="L7" s="1369" t="s">
        <v>6376</v>
      </c>
    </row>
    <row r="8" spans="1:12" x14ac:dyDescent="0.25">
      <c r="A8" s="2576"/>
      <c r="B8" s="2576"/>
      <c r="C8" s="2576"/>
    </row>
    <row r="9" spans="1:12" ht="94.5" x14ac:dyDescent="0.25">
      <c r="A9" s="2577"/>
      <c r="B9" s="2577"/>
      <c r="C9" s="2577"/>
      <c r="D9" s="1368" t="s">
        <v>6254</v>
      </c>
      <c r="F9" s="1372">
        <v>44627</v>
      </c>
      <c r="G9" s="1371" t="s">
        <v>6255</v>
      </c>
      <c r="H9" s="1373" t="s">
        <v>6256</v>
      </c>
      <c r="I9" s="1371" t="s">
        <v>6257</v>
      </c>
      <c r="J9" s="1369" t="s">
        <v>6361</v>
      </c>
      <c r="K9" s="1369" t="s">
        <v>6361</v>
      </c>
      <c r="L9" s="1369" t="s">
        <v>6377</v>
      </c>
    </row>
    <row r="10" spans="1:12" s="1391" customFormat="1" ht="78.75" x14ac:dyDescent="0.25">
      <c r="A10" s="1965" t="s">
        <v>6378</v>
      </c>
      <c r="B10" s="1965" t="s">
        <v>6348</v>
      </c>
      <c r="C10" s="1965"/>
      <c r="D10" s="1966" t="s">
        <v>6258</v>
      </c>
      <c r="E10" s="1967"/>
      <c r="F10" s="1968">
        <v>44627</v>
      </c>
      <c r="G10" s="1967" t="s">
        <v>6254</v>
      </c>
      <c r="H10" s="1969" t="s">
        <v>6260</v>
      </c>
      <c r="I10" s="1969" t="s">
        <v>6262</v>
      </c>
      <c r="J10" s="1970" t="s">
        <v>6361</v>
      </c>
      <c r="K10" s="1970" t="s">
        <v>6361</v>
      </c>
      <c r="L10" s="1971" t="s">
        <v>6379</v>
      </c>
    </row>
    <row r="11" spans="1:12" s="1429" customFormat="1" ht="46.35" customHeight="1" x14ac:dyDescent="0.25">
      <c r="A11" s="2575" t="s">
        <v>6380</v>
      </c>
      <c r="B11" s="2572" t="s">
        <v>6348</v>
      </c>
      <c r="C11" s="2575" t="s">
        <v>6381</v>
      </c>
      <c r="D11" s="2375" t="s">
        <v>6263</v>
      </c>
      <c r="E11" s="2376" t="s">
        <v>6382</v>
      </c>
      <c r="F11" s="2377">
        <v>44630</v>
      </c>
      <c r="G11" s="2376" t="s">
        <v>6258</v>
      </c>
      <c r="H11" s="2378" t="s">
        <v>6383</v>
      </c>
      <c r="I11" s="2378" t="s">
        <v>6384</v>
      </c>
      <c r="J11" s="1371" t="s">
        <v>6361</v>
      </c>
      <c r="K11" s="1371" t="s">
        <v>6361</v>
      </c>
      <c r="L11" s="2376" t="s">
        <v>6385</v>
      </c>
    </row>
    <row r="12" spans="1:12" ht="47.25" x14ac:dyDescent="0.25">
      <c r="A12" s="2576"/>
      <c r="B12" s="2573"/>
      <c r="C12" s="2576"/>
      <c r="D12" s="1368" t="s">
        <v>6268</v>
      </c>
      <c r="E12" s="1369" t="s">
        <v>6386</v>
      </c>
      <c r="F12" s="1430">
        <v>44630</v>
      </c>
      <c r="G12" s="1369" t="s">
        <v>6258</v>
      </c>
      <c r="H12" s="1371" t="s">
        <v>6387</v>
      </c>
      <c r="I12" s="1371"/>
      <c r="J12" s="1371" t="s">
        <v>6361</v>
      </c>
      <c r="K12" s="1371" t="s">
        <v>6361</v>
      </c>
      <c r="L12" s="1369" t="s">
        <v>6388</v>
      </c>
    </row>
    <row r="13" spans="1:12" s="1431" customFormat="1" ht="47.25" x14ac:dyDescent="0.25">
      <c r="A13" s="2577"/>
      <c r="B13" s="2574"/>
      <c r="C13" s="2577"/>
      <c r="D13" s="1877" t="s">
        <v>6272</v>
      </c>
      <c r="E13" s="1882" t="s">
        <v>6389</v>
      </c>
      <c r="F13" s="1883">
        <v>44630</v>
      </c>
      <c r="G13" s="1882" t="s">
        <v>6258</v>
      </c>
      <c r="H13" s="1371" t="s">
        <v>6390</v>
      </c>
      <c r="I13" s="1884"/>
      <c r="J13" s="1884" t="s">
        <v>6361</v>
      </c>
      <c r="K13" s="1884" t="s">
        <v>6361</v>
      </c>
      <c r="L13" s="1882" t="s">
        <v>6391</v>
      </c>
    </row>
    <row r="14" spans="1:12" s="1429" customFormat="1" ht="46.35" customHeight="1" x14ac:dyDescent="0.25">
      <c r="A14" s="2575" t="s">
        <v>6380</v>
      </c>
      <c r="B14" s="2572" t="s">
        <v>6348</v>
      </c>
      <c r="C14" s="2575" t="s">
        <v>6392</v>
      </c>
      <c r="D14" s="2375" t="s">
        <v>6276</v>
      </c>
      <c r="E14" s="2376" t="s">
        <v>6382</v>
      </c>
      <c r="F14" s="2377">
        <v>44631</v>
      </c>
      <c r="G14" s="2376" t="s">
        <v>6263</v>
      </c>
      <c r="H14" s="2378" t="s">
        <v>6393</v>
      </c>
      <c r="I14" s="2378" t="s">
        <v>6394</v>
      </c>
      <c r="J14" s="1371" t="s">
        <v>6361</v>
      </c>
      <c r="K14" s="1371" t="s">
        <v>6361</v>
      </c>
      <c r="L14" s="2376" t="s">
        <v>6395</v>
      </c>
    </row>
    <row r="15" spans="1:12" ht="47.25" x14ac:dyDescent="0.25">
      <c r="A15" s="2576"/>
      <c r="B15" s="2573"/>
      <c r="C15" s="2576"/>
      <c r="D15" s="1368" t="s">
        <v>6279</v>
      </c>
      <c r="E15" s="1369" t="s">
        <v>6386</v>
      </c>
      <c r="F15" s="1430">
        <v>44631</v>
      </c>
      <c r="G15" s="1369" t="s">
        <v>6268</v>
      </c>
      <c r="H15" s="1371" t="s">
        <v>6396</v>
      </c>
      <c r="I15" s="1371"/>
      <c r="J15" s="1371" t="s">
        <v>6361</v>
      </c>
      <c r="K15" s="1371" t="s">
        <v>6361</v>
      </c>
      <c r="L15" s="1369" t="s">
        <v>6397</v>
      </c>
    </row>
    <row r="16" spans="1:12" s="1431" customFormat="1" ht="47.25" x14ac:dyDescent="0.25">
      <c r="A16" s="2577"/>
      <c r="B16" s="2574"/>
      <c r="C16" s="2577"/>
      <c r="D16" s="1877" t="s">
        <v>6282</v>
      </c>
      <c r="E16" s="1882" t="s">
        <v>6389</v>
      </c>
      <c r="F16" s="1883">
        <v>44631</v>
      </c>
      <c r="G16" s="1882" t="s">
        <v>6272</v>
      </c>
      <c r="H16" s="1371" t="s">
        <v>6398</v>
      </c>
      <c r="I16" s="1884"/>
      <c r="J16" s="1884" t="s">
        <v>6361</v>
      </c>
      <c r="K16" s="1884" t="s">
        <v>6361</v>
      </c>
      <c r="L16" s="1882" t="s">
        <v>6399</v>
      </c>
    </row>
    <row r="17" spans="1:14" s="1429" customFormat="1" ht="46.35" customHeight="1" x14ac:dyDescent="0.25">
      <c r="A17" s="2575" t="s">
        <v>6380</v>
      </c>
      <c r="B17" s="2572" t="s">
        <v>6348</v>
      </c>
      <c r="C17" s="2575" t="s">
        <v>6400</v>
      </c>
      <c r="D17" s="2375" t="s">
        <v>6285</v>
      </c>
      <c r="E17" s="2376" t="s">
        <v>6382</v>
      </c>
      <c r="F17" s="2377">
        <v>44632</v>
      </c>
      <c r="G17" s="2376" t="s">
        <v>6276</v>
      </c>
      <c r="H17" s="2378" t="s">
        <v>6393</v>
      </c>
      <c r="I17" s="2378" t="s">
        <v>6401</v>
      </c>
      <c r="J17" s="1371" t="s">
        <v>6361</v>
      </c>
      <c r="K17" s="1371" t="s">
        <v>6361</v>
      </c>
      <c r="L17" s="2376" t="s">
        <v>6402</v>
      </c>
      <c r="M17" s="2376"/>
      <c r="N17" s="2376"/>
    </row>
    <row r="18" spans="1:14" ht="47.25" x14ac:dyDescent="0.25">
      <c r="A18" s="2576"/>
      <c r="B18" s="2573"/>
      <c r="C18" s="2576"/>
      <c r="D18" s="1368" t="s">
        <v>6287</v>
      </c>
      <c r="E18" s="1369" t="s">
        <v>6386</v>
      </c>
      <c r="F18" s="1430">
        <v>44632</v>
      </c>
      <c r="G18" s="1369" t="s">
        <v>6279</v>
      </c>
      <c r="H18" s="1371" t="s">
        <v>6403</v>
      </c>
      <c r="I18" s="1371"/>
      <c r="J18" s="1371" t="s">
        <v>6361</v>
      </c>
      <c r="K18" s="1371" t="s">
        <v>6361</v>
      </c>
      <c r="L18" s="1369" t="s">
        <v>6404</v>
      </c>
    </row>
    <row r="19" spans="1:14" s="1431" customFormat="1" ht="47.25" x14ac:dyDescent="0.25">
      <c r="A19" s="2577"/>
      <c r="B19" s="2574"/>
      <c r="C19" s="2577"/>
      <c r="D19" s="1877" t="s">
        <v>6290</v>
      </c>
      <c r="E19" s="1882" t="s">
        <v>6389</v>
      </c>
      <c r="F19" s="1883">
        <v>44632</v>
      </c>
      <c r="G19" s="1882" t="s">
        <v>6282</v>
      </c>
      <c r="H19" s="1371" t="s">
        <v>6398</v>
      </c>
      <c r="I19" s="1884"/>
      <c r="J19" s="1884" t="s">
        <v>6361</v>
      </c>
      <c r="K19" s="1884" t="s">
        <v>6361</v>
      </c>
      <c r="L19" s="1882" t="s">
        <v>6405</v>
      </c>
      <c r="M19" s="1882"/>
      <c r="N19" s="1882"/>
    </row>
    <row r="20" spans="1:14" s="1429" customFormat="1" ht="46.35" customHeight="1" x14ac:dyDescent="0.25">
      <c r="A20" s="2575" t="s">
        <v>6380</v>
      </c>
      <c r="B20" s="2572" t="s">
        <v>6348</v>
      </c>
      <c r="C20" s="2575" t="s">
        <v>6406</v>
      </c>
      <c r="D20" s="2375" t="s">
        <v>6292</v>
      </c>
      <c r="E20" s="2376" t="s">
        <v>6382</v>
      </c>
      <c r="F20" s="2377">
        <v>44633</v>
      </c>
      <c r="G20" s="2376" t="s">
        <v>6285</v>
      </c>
      <c r="H20" s="2378" t="s">
        <v>6393</v>
      </c>
      <c r="I20" s="2378" t="s">
        <v>6407</v>
      </c>
      <c r="J20" s="1371" t="s">
        <v>6361</v>
      </c>
      <c r="K20" s="1371" t="s">
        <v>6361</v>
      </c>
      <c r="L20" s="2376" t="s">
        <v>6408</v>
      </c>
      <c r="M20" s="2376"/>
      <c r="N20" s="2376"/>
    </row>
    <row r="21" spans="1:14" ht="47.25" x14ac:dyDescent="0.25">
      <c r="A21" s="2576"/>
      <c r="B21" s="2573"/>
      <c r="C21" s="2576"/>
      <c r="D21" s="1368" t="s">
        <v>6294</v>
      </c>
      <c r="E21" s="1369" t="s">
        <v>6386</v>
      </c>
      <c r="F21" s="1430">
        <v>44633</v>
      </c>
      <c r="G21" s="1369" t="s">
        <v>6287</v>
      </c>
      <c r="H21" s="1371" t="s">
        <v>6403</v>
      </c>
      <c r="I21" s="1371"/>
      <c r="J21" s="1371" t="s">
        <v>6361</v>
      </c>
      <c r="K21" s="1371" t="s">
        <v>6361</v>
      </c>
      <c r="L21" s="1369" t="s">
        <v>6409</v>
      </c>
    </row>
    <row r="22" spans="1:14" s="1431" customFormat="1" ht="47.25" x14ac:dyDescent="0.25">
      <c r="A22" s="2577"/>
      <c r="B22" s="2574"/>
      <c r="C22" s="2577"/>
      <c r="D22" s="1877" t="s">
        <v>6296</v>
      </c>
      <c r="E22" s="1882" t="s">
        <v>6389</v>
      </c>
      <c r="F22" s="1883">
        <v>44633</v>
      </c>
      <c r="G22" s="1882" t="s">
        <v>6290</v>
      </c>
      <c r="H22" s="1371" t="s">
        <v>6398</v>
      </c>
      <c r="I22" s="1884"/>
      <c r="J22" s="1884" t="s">
        <v>6361</v>
      </c>
      <c r="K22" s="1884" t="s">
        <v>6361</v>
      </c>
      <c r="L22" s="1882" t="s">
        <v>6410</v>
      </c>
      <c r="M22" s="1882"/>
      <c r="N22" s="1882"/>
    </row>
    <row r="23" spans="1:14" s="1429" customFormat="1" ht="46.35" customHeight="1" x14ac:dyDescent="0.25">
      <c r="A23" s="2575" t="s">
        <v>6411</v>
      </c>
      <c r="B23" s="2572" t="s">
        <v>6348</v>
      </c>
      <c r="C23" s="2575" t="s">
        <v>6412</v>
      </c>
      <c r="D23" s="2375" t="s">
        <v>6298</v>
      </c>
      <c r="E23" s="2376" t="s">
        <v>6382</v>
      </c>
      <c r="F23" s="2377">
        <v>44634</v>
      </c>
      <c r="G23" s="2376" t="s">
        <v>6292</v>
      </c>
      <c r="H23" s="2378" t="s">
        <v>6393</v>
      </c>
      <c r="I23" s="2378" t="s">
        <v>6413</v>
      </c>
      <c r="J23" s="1371" t="s">
        <v>6361</v>
      </c>
      <c r="K23" s="1371" t="s">
        <v>6361</v>
      </c>
      <c r="L23" s="2376" t="s">
        <v>6414</v>
      </c>
      <c r="M23" s="2376"/>
      <c r="N23" s="2376"/>
    </row>
    <row r="24" spans="1:14" ht="47.25" x14ac:dyDescent="0.25">
      <c r="A24" s="2576"/>
      <c r="B24" s="2573"/>
      <c r="C24" s="2576"/>
      <c r="D24" s="1368" t="s">
        <v>6300</v>
      </c>
      <c r="E24" s="1369" t="s">
        <v>6386</v>
      </c>
      <c r="F24" s="1430">
        <v>44634</v>
      </c>
      <c r="G24" s="1369" t="s">
        <v>6294</v>
      </c>
      <c r="H24" s="1371" t="s">
        <v>6403</v>
      </c>
      <c r="I24" s="1371"/>
      <c r="J24" s="1371" t="s">
        <v>6361</v>
      </c>
      <c r="K24" s="1371" t="s">
        <v>6361</v>
      </c>
      <c r="L24" s="1369" t="s">
        <v>6415</v>
      </c>
    </row>
    <row r="25" spans="1:14" s="1431" customFormat="1" ht="47.25" x14ac:dyDescent="0.25">
      <c r="A25" s="2577"/>
      <c r="B25" s="2574"/>
      <c r="C25" s="2577"/>
      <c r="D25" s="1877" t="s">
        <v>6302</v>
      </c>
      <c r="E25" s="1882" t="s">
        <v>6389</v>
      </c>
      <c r="F25" s="1883">
        <v>44634</v>
      </c>
      <c r="G25" s="1882" t="s">
        <v>6296</v>
      </c>
      <c r="H25" s="1371" t="s">
        <v>6398</v>
      </c>
      <c r="I25" s="1884"/>
      <c r="J25" s="1884" t="s">
        <v>6361</v>
      </c>
      <c r="K25" s="1884" t="s">
        <v>6361</v>
      </c>
      <c r="L25" s="1882" t="s">
        <v>6416</v>
      </c>
      <c r="M25" s="1882"/>
      <c r="N25" s="1882"/>
    </row>
    <row r="26" spans="1:14" s="1429" customFormat="1" ht="46.35" customHeight="1" x14ac:dyDescent="0.25">
      <c r="A26" s="2575" t="s">
        <v>6417</v>
      </c>
      <c r="B26" s="2572" t="s">
        <v>6348</v>
      </c>
      <c r="C26" s="2575" t="s">
        <v>6418</v>
      </c>
      <c r="D26" s="2375" t="s">
        <v>6304</v>
      </c>
      <c r="E26" s="2376" t="s">
        <v>6382</v>
      </c>
      <c r="F26" s="2377">
        <v>44636</v>
      </c>
      <c r="G26" s="2376" t="s">
        <v>6298</v>
      </c>
      <c r="H26" s="2378" t="s">
        <v>6419</v>
      </c>
      <c r="I26" s="2378" t="s">
        <v>6420</v>
      </c>
      <c r="J26" s="1371" t="s">
        <v>6361</v>
      </c>
      <c r="K26" s="1371" t="s">
        <v>6361</v>
      </c>
      <c r="L26" s="2376" t="s">
        <v>6421</v>
      </c>
      <c r="M26" s="2376"/>
      <c r="N26" s="2376"/>
    </row>
    <row r="27" spans="1:14" ht="47.25" x14ac:dyDescent="0.25">
      <c r="A27" s="2576"/>
      <c r="B27" s="2573"/>
      <c r="C27" s="2576"/>
      <c r="D27" s="1368" t="s">
        <v>6309</v>
      </c>
      <c r="E27" s="1369" t="s">
        <v>6386</v>
      </c>
      <c r="F27" s="1430">
        <v>44636</v>
      </c>
      <c r="G27" s="1369" t="s">
        <v>6300</v>
      </c>
      <c r="H27" s="1371" t="s">
        <v>6422</v>
      </c>
      <c r="I27" s="1371"/>
      <c r="J27" s="1371" t="s">
        <v>6361</v>
      </c>
      <c r="K27" s="1371" t="s">
        <v>6361</v>
      </c>
      <c r="L27" s="1369" t="s">
        <v>6423</v>
      </c>
    </row>
    <row r="28" spans="1:14" s="1431" customFormat="1" ht="47.25" x14ac:dyDescent="0.25">
      <c r="A28" s="2577"/>
      <c r="B28" s="2574"/>
      <c r="C28" s="2577"/>
      <c r="D28" s="1877" t="s">
        <v>6313</v>
      </c>
      <c r="E28" s="1882" t="s">
        <v>6389</v>
      </c>
      <c r="F28" s="1883">
        <v>44636</v>
      </c>
      <c r="G28" s="1882" t="s">
        <v>6302</v>
      </c>
      <c r="H28" s="1371" t="s">
        <v>6424</v>
      </c>
      <c r="I28" s="1884"/>
      <c r="J28" s="1884" t="s">
        <v>6361</v>
      </c>
      <c r="K28" s="1884" t="s">
        <v>6361</v>
      </c>
      <c r="L28" s="1882" t="s">
        <v>6425</v>
      </c>
      <c r="M28" s="1882"/>
      <c r="N28" s="1882"/>
    </row>
    <row r="29" spans="1:14" s="1429" customFormat="1" ht="46.35" customHeight="1" x14ac:dyDescent="0.25">
      <c r="A29" s="2575" t="s">
        <v>6426</v>
      </c>
      <c r="B29" s="2572" t="s">
        <v>6348</v>
      </c>
      <c r="C29" s="2575" t="s">
        <v>6427</v>
      </c>
      <c r="D29" s="2375" t="s">
        <v>6317</v>
      </c>
      <c r="E29" s="2376" t="s">
        <v>6382</v>
      </c>
      <c r="F29" s="2377">
        <v>44648</v>
      </c>
      <c r="G29" s="2376" t="s">
        <v>6304</v>
      </c>
      <c r="H29" s="2378" t="s">
        <v>6428</v>
      </c>
      <c r="I29" s="2378" t="s">
        <v>6429</v>
      </c>
      <c r="J29" s="1371" t="s">
        <v>6361</v>
      </c>
      <c r="K29" s="1371" t="s">
        <v>6361</v>
      </c>
      <c r="L29" s="2376" t="s">
        <v>6430</v>
      </c>
      <c r="M29" s="2376"/>
      <c r="N29" s="2376"/>
    </row>
    <row r="30" spans="1:14" ht="47.25" x14ac:dyDescent="0.25">
      <c r="A30" s="2576"/>
      <c r="B30" s="2573"/>
      <c r="C30" s="2576"/>
      <c r="D30" s="1368" t="s">
        <v>6320</v>
      </c>
      <c r="E30" s="1369" t="s">
        <v>6386</v>
      </c>
      <c r="F30" s="1430">
        <v>44648</v>
      </c>
      <c r="G30" s="1369" t="s">
        <v>6309</v>
      </c>
      <c r="H30" s="1371" t="s">
        <v>6431</v>
      </c>
      <c r="I30" s="1371"/>
      <c r="J30" s="1371" t="s">
        <v>6361</v>
      </c>
      <c r="K30" s="1371" t="s">
        <v>6361</v>
      </c>
      <c r="L30" s="1369" t="s">
        <v>6432</v>
      </c>
    </row>
    <row r="31" spans="1:14" s="1431" customFormat="1" ht="47.25" x14ac:dyDescent="0.25">
      <c r="A31" s="2577"/>
      <c r="B31" s="2574"/>
      <c r="C31" s="2577"/>
      <c r="D31" s="1877" t="s">
        <v>6322</v>
      </c>
      <c r="E31" s="1882" t="s">
        <v>6389</v>
      </c>
      <c r="F31" s="1883">
        <v>44648</v>
      </c>
      <c r="G31" s="1882" t="s">
        <v>6313</v>
      </c>
      <c r="H31" s="1371" t="s">
        <v>6433</v>
      </c>
      <c r="I31" s="1884"/>
      <c r="J31" s="1884" t="s">
        <v>6361</v>
      </c>
      <c r="K31" s="1884" t="s">
        <v>6361</v>
      </c>
      <c r="L31" s="1882" t="s">
        <v>6434</v>
      </c>
      <c r="M31" s="1882"/>
      <c r="N31" s="1882"/>
    </row>
    <row r="32" spans="1:14" s="1461" customFormat="1" ht="47.25" x14ac:dyDescent="0.25">
      <c r="A32" s="2578" t="s">
        <v>6435</v>
      </c>
      <c r="B32" s="2581" t="s">
        <v>6348</v>
      </c>
      <c r="C32" s="2578" t="s">
        <v>6436</v>
      </c>
      <c r="D32" s="2379" t="s">
        <v>6437</v>
      </c>
      <c r="E32" s="2380" t="s">
        <v>6438</v>
      </c>
      <c r="F32" s="2381">
        <v>44294</v>
      </c>
      <c r="G32" s="2382" t="s">
        <v>6439</v>
      </c>
      <c r="H32" s="2380" t="s">
        <v>6440</v>
      </c>
      <c r="I32" s="1457" t="s">
        <v>6441</v>
      </c>
      <c r="J32" s="1457" t="s">
        <v>6361</v>
      </c>
      <c r="K32" s="1457" t="s">
        <v>6361</v>
      </c>
      <c r="L32" s="2382" t="s">
        <v>6442</v>
      </c>
      <c r="M32" s="1459"/>
      <c r="N32" s="1459"/>
    </row>
    <row r="33" spans="1:17" s="1459" customFormat="1" ht="47.25" x14ac:dyDescent="0.25">
      <c r="A33" s="2579"/>
      <c r="B33" s="2582"/>
      <c r="C33" s="2579"/>
      <c r="D33" s="1458" t="s">
        <v>6443</v>
      </c>
      <c r="E33" s="1457" t="s">
        <v>6444</v>
      </c>
      <c r="F33" s="1462">
        <v>44294</v>
      </c>
      <c r="G33" s="1459" t="s">
        <v>6445</v>
      </c>
      <c r="H33" s="1457" t="s">
        <v>6446</v>
      </c>
      <c r="I33" s="1457"/>
      <c r="J33" s="1457" t="s">
        <v>6361</v>
      </c>
      <c r="K33" s="1457" t="s">
        <v>6361</v>
      </c>
      <c r="L33" s="1459" t="s">
        <v>6447</v>
      </c>
    </row>
    <row r="34" spans="1:17" s="1459" customFormat="1" ht="47.25" x14ac:dyDescent="0.25">
      <c r="A34" s="2579"/>
      <c r="B34" s="2582"/>
      <c r="C34" s="2579"/>
      <c r="D34" s="1458" t="s">
        <v>6448</v>
      </c>
      <c r="E34" s="1457" t="s">
        <v>6449</v>
      </c>
      <c r="F34" s="1462">
        <v>44294</v>
      </c>
      <c r="G34" s="1459" t="s">
        <v>6450</v>
      </c>
      <c r="H34" s="1457" t="s">
        <v>6451</v>
      </c>
      <c r="I34" s="1457"/>
      <c r="J34" s="1457" t="s">
        <v>6361</v>
      </c>
      <c r="K34" s="1457" t="s">
        <v>6361</v>
      </c>
      <c r="L34" s="1459" t="s">
        <v>6452</v>
      </c>
    </row>
    <row r="35" spans="1:17" s="1459" customFormat="1" ht="47.25" x14ac:dyDescent="0.25">
      <c r="A35" s="2579"/>
      <c r="B35" s="2582"/>
      <c r="C35" s="2579"/>
      <c r="D35" s="1458" t="s">
        <v>6453</v>
      </c>
      <c r="E35" s="1457" t="s">
        <v>6454</v>
      </c>
      <c r="F35" s="1462">
        <v>44294</v>
      </c>
      <c r="G35" s="1459" t="s">
        <v>6455</v>
      </c>
      <c r="H35" s="1457" t="s">
        <v>6456</v>
      </c>
      <c r="I35" s="1457"/>
      <c r="J35" s="1457" t="s">
        <v>6361</v>
      </c>
      <c r="K35" s="1457" t="s">
        <v>6361</v>
      </c>
      <c r="L35" s="1459" t="s">
        <v>6457</v>
      </c>
    </row>
    <row r="36" spans="1:17" s="1459" customFormat="1" ht="47.25" x14ac:dyDescent="0.25">
      <c r="A36" s="2579"/>
      <c r="B36" s="2582"/>
      <c r="C36" s="2579"/>
      <c r="D36" s="1458" t="s">
        <v>6458</v>
      </c>
      <c r="E36" s="1457" t="s">
        <v>6459</v>
      </c>
      <c r="F36" s="1462">
        <v>44294</v>
      </c>
      <c r="G36" s="1459" t="s">
        <v>6460</v>
      </c>
      <c r="H36" s="1457" t="s">
        <v>6461</v>
      </c>
      <c r="I36" s="1457"/>
      <c r="J36" s="1457" t="s">
        <v>6361</v>
      </c>
      <c r="K36" s="1457" t="s">
        <v>6361</v>
      </c>
      <c r="L36" s="1459" t="s">
        <v>6462</v>
      </c>
    </row>
    <row r="37" spans="1:17" s="1460" customFormat="1" x14ac:dyDescent="0.25">
      <c r="A37" s="2580"/>
      <c r="B37" s="2583"/>
      <c r="C37" s="2580"/>
      <c r="D37" s="1878"/>
      <c r="E37" s="1879"/>
      <c r="F37" s="1881"/>
      <c r="G37" s="1879"/>
      <c r="H37" s="1880"/>
      <c r="I37" s="1880"/>
      <c r="J37" s="1880"/>
      <c r="K37" s="1880"/>
      <c r="L37" s="1879"/>
      <c r="M37" s="1879"/>
      <c r="N37" s="1879"/>
      <c r="O37" s="1879"/>
      <c r="P37" s="1879"/>
      <c r="Q37" s="1879"/>
    </row>
    <row r="38" spans="1:17" s="1459" customFormat="1" ht="63" x14ac:dyDescent="0.25">
      <c r="A38" s="2578" t="s">
        <v>6435</v>
      </c>
      <c r="B38" s="2581" t="s">
        <v>6348</v>
      </c>
      <c r="C38" s="2578" t="s">
        <v>6463</v>
      </c>
      <c r="D38" s="1458" t="s">
        <v>6464</v>
      </c>
      <c r="E38" s="1457" t="s">
        <v>6465</v>
      </c>
      <c r="F38" s="1462">
        <v>44298</v>
      </c>
      <c r="G38" s="1459" t="s">
        <v>6437</v>
      </c>
      <c r="H38" s="1457" t="s">
        <v>6466</v>
      </c>
      <c r="I38" s="1457" t="s">
        <v>6467</v>
      </c>
      <c r="J38" s="1457" t="s">
        <v>6361</v>
      </c>
      <c r="K38" s="1457" t="s">
        <v>6361</v>
      </c>
      <c r="L38" s="1459" t="s">
        <v>6468</v>
      </c>
    </row>
    <row r="39" spans="1:17" s="1459" customFormat="1" ht="63" x14ac:dyDescent="0.25">
      <c r="A39" s="2579"/>
      <c r="B39" s="2582"/>
      <c r="C39" s="2579"/>
      <c r="D39" s="1458" t="s">
        <v>6469</v>
      </c>
      <c r="E39" s="1457" t="s">
        <v>6470</v>
      </c>
      <c r="F39" s="1462">
        <v>44298</v>
      </c>
      <c r="G39" s="1459" t="s">
        <v>6443</v>
      </c>
      <c r="H39" s="1457" t="s">
        <v>6471</v>
      </c>
      <c r="I39" s="1457"/>
      <c r="J39" s="1457" t="s">
        <v>6361</v>
      </c>
      <c r="K39" s="1457" t="s">
        <v>6361</v>
      </c>
      <c r="L39" s="1459" t="s">
        <v>6472</v>
      </c>
    </row>
    <row r="40" spans="1:17" s="1459" customFormat="1" ht="63" x14ac:dyDescent="0.25">
      <c r="A40" s="2579"/>
      <c r="B40" s="2582"/>
      <c r="C40" s="2579"/>
      <c r="D40" s="1458" t="s">
        <v>6473</v>
      </c>
      <c r="E40" s="1457" t="s">
        <v>6474</v>
      </c>
      <c r="F40" s="1462">
        <v>44298</v>
      </c>
      <c r="G40" s="1459" t="s">
        <v>6448</v>
      </c>
      <c r="H40" s="1457" t="s">
        <v>6475</v>
      </c>
      <c r="I40" s="1457"/>
      <c r="J40" s="1457" t="s">
        <v>6361</v>
      </c>
      <c r="K40" s="1457" t="s">
        <v>6361</v>
      </c>
      <c r="L40" s="1459" t="s">
        <v>6476</v>
      </c>
    </row>
    <row r="41" spans="1:17" s="1459" customFormat="1" ht="63" x14ac:dyDescent="0.25">
      <c r="A41" s="2579"/>
      <c r="B41" s="2582"/>
      <c r="C41" s="2579"/>
      <c r="D41" s="1458" t="s">
        <v>6477</v>
      </c>
      <c r="E41" s="1457" t="s">
        <v>6478</v>
      </c>
      <c r="F41" s="1462">
        <v>44298</v>
      </c>
      <c r="G41" s="1459" t="s">
        <v>6458</v>
      </c>
      <c r="H41" s="1457" t="s">
        <v>6479</v>
      </c>
      <c r="I41" s="1457"/>
      <c r="J41" s="1457" t="s">
        <v>6361</v>
      </c>
      <c r="K41" s="1457" t="s">
        <v>6361</v>
      </c>
      <c r="L41" s="1459" t="s">
        <v>6480</v>
      </c>
    </row>
    <row r="42" spans="1:17" s="1459" customFormat="1" x14ac:dyDescent="0.25">
      <c r="A42" s="2579"/>
      <c r="B42" s="2582"/>
      <c r="C42" s="2579"/>
      <c r="D42" s="1458"/>
      <c r="E42" s="1457"/>
      <c r="F42" s="1462"/>
      <c r="H42" s="1457"/>
      <c r="I42" s="1457"/>
      <c r="J42" s="1457"/>
      <c r="K42" s="1457"/>
    </row>
    <row r="43" spans="1:17" s="1460" customFormat="1" x14ac:dyDescent="0.25">
      <c r="A43" s="2580"/>
      <c r="B43" s="2583"/>
      <c r="C43" s="2580"/>
      <c r="D43" s="1878"/>
      <c r="E43" s="1879"/>
      <c r="F43" s="1881"/>
      <c r="G43" s="1879"/>
      <c r="H43" s="1880"/>
      <c r="I43" s="1880"/>
      <c r="J43" s="1880"/>
      <c r="K43" s="1880"/>
      <c r="L43" s="1879"/>
      <c r="M43" s="1879"/>
      <c r="N43" s="1879"/>
      <c r="O43" s="1879"/>
      <c r="P43" s="1879"/>
      <c r="Q43" s="1879"/>
    </row>
    <row r="44" spans="1:17" s="1459" customFormat="1" ht="63" x14ac:dyDescent="0.25">
      <c r="A44" s="2578" t="s">
        <v>6435</v>
      </c>
      <c r="B44" s="2581" t="s">
        <v>6348</v>
      </c>
      <c r="C44" s="2578" t="s">
        <v>6481</v>
      </c>
      <c r="D44" s="1458" t="s">
        <v>6482</v>
      </c>
      <c r="E44" s="1457" t="s">
        <v>6483</v>
      </c>
      <c r="F44" s="1462">
        <v>44299</v>
      </c>
      <c r="G44" s="1459" t="s">
        <v>6464</v>
      </c>
      <c r="H44" s="1457" t="s">
        <v>6484</v>
      </c>
      <c r="I44" s="1457" t="s">
        <v>6485</v>
      </c>
      <c r="J44" s="1457" t="s">
        <v>6361</v>
      </c>
      <c r="K44" s="1457" t="s">
        <v>6361</v>
      </c>
      <c r="L44" s="1459" t="s">
        <v>6486</v>
      </c>
    </row>
    <row r="45" spans="1:17" s="1459" customFormat="1" ht="63" x14ac:dyDescent="0.25">
      <c r="A45" s="2579"/>
      <c r="B45" s="2582"/>
      <c r="C45" s="2579"/>
      <c r="D45" s="1458" t="s">
        <v>6487</v>
      </c>
      <c r="E45" s="1457" t="s">
        <v>6488</v>
      </c>
      <c r="F45" s="1462">
        <v>44299</v>
      </c>
      <c r="G45" s="1459" t="s">
        <v>6469</v>
      </c>
      <c r="H45" s="1457" t="s">
        <v>6489</v>
      </c>
      <c r="I45" s="1457"/>
      <c r="J45" s="1457" t="s">
        <v>6361</v>
      </c>
      <c r="K45" s="1457" t="s">
        <v>6361</v>
      </c>
      <c r="L45" s="1459" t="s">
        <v>6490</v>
      </c>
    </row>
    <row r="46" spans="1:17" s="1459" customFormat="1" ht="63" x14ac:dyDescent="0.25">
      <c r="A46" s="2579"/>
      <c r="B46" s="2582"/>
      <c r="C46" s="2579"/>
      <c r="D46" s="1458" t="s">
        <v>6491</v>
      </c>
      <c r="E46" s="1457" t="s">
        <v>6492</v>
      </c>
      <c r="F46" s="1462">
        <v>44299</v>
      </c>
      <c r="G46" s="1459" t="s">
        <v>6473</v>
      </c>
      <c r="H46" s="1457" t="s">
        <v>6475</v>
      </c>
      <c r="I46" s="1457"/>
      <c r="J46" s="1457" t="s">
        <v>6361</v>
      </c>
      <c r="K46" s="1457" t="s">
        <v>6361</v>
      </c>
      <c r="L46" s="1459" t="s">
        <v>6493</v>
      </c>
    </row>
    <row r="47" spans="1:17" s="1460" customFormat="1" ht="63" x14ac:dyDescent="0.25">
      <c r="A47" s="2580"/>
      <c r="B47" s="2583"/>
      <c r="C47" s="2580"/>
      <c r="D47" s="1878" t="s">
        <v>6494</v>
      </c>
      <c r="E47" s="1880" t="s">
        <v>6495</v>
      </c>
      <c r="F47" s="1881">
        <v>44299</v>
      </c>
      <c r="G47" s="1879" t="s">
        <v>6477</v>
      </c>
      <c r="H47" s="1880" t="s">
        <v>6496</v>
      </c>
      <c r="I47" s="1880"/>
      <c r="J47" s="1880" t="s">
        <v>6361</v>
      </c>
      <c r="K47" s="1880" t="s">
        <v>6361</v>
      </c>
      <c r="L47" s="1879" t="s">
        <v>6497</v>
      </c>
      <c r="M47" s="1879"/>
      <c r="N47" s="1879"/>
      <c r="O47" s="1879"/>
      <c r="P47" s="1879"/>
      <c r="Q47" s="1879"/>
    </row>
    <row r="48" spans="1:17" s="1459" customFormat="1" ht="47.25" x14ac:dyDescent="0.25">
      <c r="A48" s="2578" t="s">
        <v>6435</v>
      </c>
      <c r="B48" s="2581" t="s">
        <v>6348</v>
      </c>
      <c r="C48" s="2578" t="s">
        <v>6463</v>
      </c>
      <c r="D48" s="1458" t="s">
        <v>6498</v>
      </c>
      <c r="E48" s="1457" t="s">
        <v>6499</v>
      </c>
      <c r="F48" s="1462">
        <v>44299</v>
      </c>
      <c r="G48" s="1459" t="s">
        <v>6482</v>
      </c>
      <c r="H48" s="1457" t="s">
        <v>6500</v>
      </c>
      <c r="I48" s="1457" t="s">
        <v>6501</v>
      </c>
      <c r="J48" s="1457" t="s">
        <v>6361</v>
      </c>
      <c r="K48" s="1457" t="s">
        <v>6361</v>
      </c>
      <c r="L48" s="1459" t="s">
        <v>6502</v>
      </c>
    </row>
    <row r="49" spans="1:17" s="1459" customFormat="1" ht="47.25" x14ac:dyDescent="0.25">
      <c r="A49" s="2579"/>
      <c r="B49" s="2582"/>
      <c r="C49" s="2579"/>
      <c r="D49" s="1458" t="s">
        <v>6503</v>
      </c>
      <c r="E49" s="1457" t="s">
        <v>6504</v>
      </c>
      <c r="F49" s="1462">
        <v>44299</v>
      </c>
      <c r="G49" s="1459" t="s">
        <v>6487</v>
      </c>
      <c r="H49" s="1457" t="s">
        <v>6505</v>
      </c>
      <c r="I49" s="1457"/>
      <c r="J49" s="1457" t="s">
        <v>6361</v>
      </c>
      <c r="K49" s="1457" t="s">
        <v>6361</v>
      </c>
      <c r="L49" s="1459" t="s">
        <v>6506</v>
      </c>
    </row>
    <row r="50" spans="1:17" s="1459" customFormat="1" ht="47.25" x14ac:dyDescent="0.25">
      <c r="A50" s="2579"/>
      <c r="B50" s="2582"/>
      <c r="C50" s="2579"/>
      <c r="D50" s="1458" t="s">
        <v>6507</v>
      </c>
      <c r="E50" s="1457" t="s">
        <v>6508</v>
      </c>
      <c r="F50" s="1462">
        <v>44299</v>
      </c>
      <c r="G50" s="1459" t="s">
        <v>6491</v>
      </c>
      <c r="H50" s="1457" t="s">
        <v>6509</v>
      </c>
      <c r="I50" s="1457"/>
      <c r="J50" s="1457" t="s">
        <v>6361</v>
      </c>
      <c r="K50" s="1457" t="s">
        <v>6361</v>
      </c>
      <c r="L50" s="1459" t="s">
        <v>6510</v>
      </c>
    </row>
    <row r="51" spans="1:17" s="1463" customFormat="1" ht="47.25" x14ac:dyDescent="0.25">
      <c r="A51" s="2580"/>
      <c r="B51" s="2583"/>
      <c r="C51" s="2580"/>
      <c r="D51" s="1878" t="s">
        <v>6511</v>
      </c>
      <c r="E51" s="1880" t="s">
        <v>6512</v>
      </c>
      <c r="F51" s="1881">
        <v>44299</v>
      </c>
      <c r="G51" s="1879" t="s">
        <v>6494</v>
      </c>
      <c r="H51" s="1880" t="s">
        <v>6513</v>
      </c>
      <c r="I51" s="1880"/>
      <c r="J51" s="1880" t="s">
        <v>6361</v>
      </c>
      <c r="K51" s="1880" t="s">
        <v>6361</v>
      </c>
      <c r="L51" s="1879" t="s">
        <v>6514</v>
      </c>
      <c r="M51" s="1879"/>
      <c r="N51" s="1879"/>
      <c r="O51" s="1879"/>
      <c r="P51" s="1879"/>
      <c r="Q51" s="1879"/>
    </row>
    <row r="52" spans="1:17" s="1459" customFormat="1" ht="61.35" customHeight="1" x14ac:dyDescent="0.25">
      <c r="A52" s="2578" t="s">
        <v>6435</v>
      </c>
      <c r="B52" s="2578" t="s">
        <v>6348</v>
      </c>
      <c r="C52" s="2578" t="s">
        <v>6515</v>
      </c>
      <c r="D52" s="1458" t="s">
        <v>6516</v>
      </c>
      <c r="E52" s="1457" t="s">
        <v>6499</v>
      </c>
      <c r="F52" s="1462">
        <v>44300</v>
      </c>
      <c r="G52" s="1459" t="s">
        <v>6503</v>
      </c>
      <c r="H52" s="1457" t="s">
        <v>6517</v>
      </c>
      <c r="I52" s="1457"/>
      <c r="J52" s="1457" t="s">
        <v>6361</v>
      </c>
      <c r="K52" s="1457" t="s">
        <v>6361</v>
      </c>
      <c r="L52" s="1459" t="s">
        <v>6518</v>
      </c>
    </row>
    <row r="53" spans="1:17" s="1459" customFormat="1" ht="61.35" customHeight="1" x14ac:dyDescent="0.25">
      <c r="A53" s="2579"/>
      <c r="B53" s="2579"/>
      <c r="C53" s="2579"/>
      <c r="D53" s="1458" t="s">
        <v>6519</v>
      </c>
      <c r="E53" s="1457" t="s">
        <v>6504</v>
      </c>
      <c r="F53" s="1462">
        <v>44300</v>
      </c>
      <c r="G53" s="1459" t="s">
        <v>6498</v>
      </c>
      <c r="H53" s="1457" t="s">
        <v>6520</v>
      </c>
      <c r="I53" s="1457"/>
      <c r="J53" s="1457" t="s">
        <v>6361</v>
      </c>
      <c r="K53" s="1457" t="s">
        <v>6361</v>
      </c>
      <c r="L53" s="1459" t="s">
        <v>6521</v>
      </c>
    </row>
    <row r="54" spans="1:17" s="1463" customFormat="1" ht="61.35" customHeight="1" x14ac:dyDescent="0.25">
      <c r="A54" s="2580"/>
      <c r="B54" s="2580"/>
      <c r="C54" s="2580"/>
      <c r="D54" s="1878" t="s">
        <v>6522</v>
      </c>
      <c r="E54" s="1880" t="s">
        <v>6508</v>
      </c>
      <c r="F54" s="1881">
        <v>44300</v>
      </c>
      <c r="G54" s="1879" t="s">
        <v>6511</v>
      </c>
      <c r="H54" s="1880" t="s">
        <v>6523</v>
      </c>
      <c r="I54" s="1880"/>
      <c r="J54" s="1880" t="s">
        <v>6361</v>
      </c>
      <c r="K54" s="1880" t="s">
        <v>6361</v>
      </c>
      <c r="L54" s="1879" t="s">
        <v>6524</v>
      </c>
      <c r="M54" s="1879"/>
      <c r="N54" s="1879"/>
      <c r="O54" s="1879"/>
      <c r="P54" s="1879"/>
      <c r="Q54" s="1879"/>
    </row>
    <row r="55" spans="1:17" s="1459" customFormat="1" ht="61.35" customHeight="1" x14ac:dyDescent="0.25">
      <c r="A55" s="2578" t="s">
        <v>6435</v>
      </c>
      <c r="B55" s="2578" t="s">
        <v>6348</v>
      </c>
      <c r="C55" s="2578" t="s">
        <v>6525</v>
      </c>
      <c r="D55" s="1458" t="s">
        <v>6526</v>
      </c>
      <c r="E55" s="1457" t="s">
        <v>6499</v>
      </c>
      <c r="F55" s="1462">
        <v>44301</v>
      </c>
      <c r="G55" s="1459" t="s">
        <v>6498</v>
      </c>
      <c r="H55" s="1457" t="s">
        <v>6527</v>
      </c>
      <c r="I55" s="1457"/>
      <c r="J55" s="1457" t="s">
        <v>6361</v>
      </c>
      <c r="K55" s="1457" t="s">
        <v>6361</v>
      </c>
      <c r="L55" s="1459" t="s">
        <v>6528</v>
      </c>
    </row>
    <row r="56" spans="1:17" s="1459" customFormat="1" ht="61.35" customHeight="1" x14ac:dyDescent="0.25">
      <c r="A56" s="2579"/>
      <c r="B56" s="2579"/>
      <c r="C56" s="2579"/>
      <c r="D56" s="1458" t="s">
        <v>6369</v>
      </c>
      <c r="E56" s="1457" t="s">
        <v>6504</v>
      </c>
      <c r="F56" s="1462">
        <v>44301</v>
      </c>
      <c r="G56" s="1459" t="s">
        <v>6503</v>
      </c>
      <c r="H56" s="1457" t="s">
        <v>6529</v>
      </c>
      <c r="I56" s="1457"/>
      <c r="J56" s="1457" t="s">
        <v>6361</v>
      </c>
      <c r="K56" s="1457" t="s">
        <v>6361</v>
      </c>
      <c r="L56" s="1459" t="s">
        <v>6530</v>
      </c>
    </row>
    <row r="57" spans="1:17" s="1463" customFormat="1" ht="61.35" customHeight="1" x14ac:dyDescent="0.25">
      <c r="A57" s="2580"/>
      <c r="B57" s="2580"/>
      <c r="C57" s="2580"/>
      <c r="D57" s="1878" t="s">
        <v>6531</v>
      </c>
      <c r="E57" s="1880" t="s">
        <v>6508</v>
      </c>
      <c r="F57" s="1881">
        <v>44301</v>
      </c>
      <c r="G57" s="1879" t="s">
        <v>6532</v>
      </c>
      <c r="H57" s="1880" t="s">
        <v>6533</v>
      </c>
      <c r="I57" s="1880"/>
      <c r="J57" s="1880" t="s">
        <v>6361</v>
      </c>
      <c r="K57" s="1880" t="s">
        <v>6361</v>
      </c>
      <c r="L57" s="1879" t="s">
        <v>6534</v>
      </c>
      <c r="M57" s="1879"/>
      <c r="N57" s="1879"/>
      <c r="O57" s="1879"/>
      <c r="P57" s="1879"/>
      <c r="Q57" s="1879"/>
    </row>
    <row r="58" spans="1:17" s="1459" customFormat="1" ht="94.5" x14ac:dyDescent="0.25">
      <c r="A58" s="2128" t="s">
        <v>6535</v>
      </c>
      <c r="B58" s="2129" t="s">
        <v>6348</v>
      </c>
      <c r="C58" s="2128" t="s">
        <v>6536</v>
      </c>
      <c r="D58" s="1458" t="s">
        <v>6368</v>
      </c>
      <c r="E58" s="1457" t="s">
        <v>6537</v>
      </c>
      <c r="F58" s="1462">
        <v>44302</v>
      </c>
      <c r="G58" s="1459" t="s">
        <v>6369</v>
      </c>
      <c r="H58" s="1457" t="s">
        <v>6538</v>
      </c>
      <c r="I58" s="1457" t="s">
        <v>6371</v>
      </c>
      <c r="J58" s="1457" t="s">
        <v>6361</v>
      </c>
      <c r="K58" s="1457" t="s">
        <v>6361</v>
      </c>
      <c r="L58" s="1459" t="s">
        <v>6372</v>
      </c>
    </row>
    <row r="59" spans="1:17" x14ac:dyDescent="0.25">
      <c r="A59" s="1972"/>
      <c r="B59" s="1972"/>
      <c r="C59" s="1972"/>
      <c r="D59" s="1972"/>
      <c r="E59" s="1972"/>
      <c r="F59" s="1972"/>
      <c r="G59" s="1972"/>
      <c r="H59" s="1972"/>
      <c r="I59" s="1972"/>
      <c r="J59" s="1972"/>
      <c r="K59" s="1972"/>
      <c r="L59" s="1972"/>
      <c r="M59" s="1972"/>
      <c r="N59" s="1972"/>
      <c r="O59" s="1972"/>
      <c r="P59" s="1972"/>
      <c r="Q59" s="1972"/>
    </row>
  </sheetData>
  <mergeCells count="42">
    <mergeCell ref="A2:A9"/>
    <mergeCell ref="B2:B9"/>
    <mergeCell ref="C2:C9"/>
    <mergeCell ref="A17:A19"/>
    <mergeCell ref="B17:B19"/>
    <mergeCell ref="C17:C19"/>
    <mergeCell ref="C11:C13"/>
    <mergeCell ref="B11:B13"/>
    <mergeCell ref="A11:A13"/>
    <mergeCell ref="A14:A16"/>
    <mergeCell ref="B14:B16"/>
    <mergeCell ref="C14:C16"/>
    <mergeCell ref="A26:A28"/>
    <mergeCell ref="B26:B28"/>
    <mergeCell ref="C26:C28"/>
    <mergeCell ref="A29:A31"/>
    <mergeCell ref="B29:B31"/>
    <mergeCell ref="C29:C31"/>
    <mergeCell ref="A32:A37"/>
    <mergeCell ref="B32:B37"/>
    <mergeCell ref="C32:C37"/>
    <mergeCell ref="A38:A43"/>
    <mergeCell ref="B38:B43"/>
    <mergeCell ref="C38:C43"/>
    <mergeCell ref="A44:A47"/>
    <mergeCell ref="B44:B47"/>
    <mergeCell ref="C44:C47"/>
    <mergeCell ref="A55:A57"/>
    <mergeCell ref="B55:B57"/>
    <mergeCell ref="C55:C57"/>
    <mergeCell ref="A48:A51"/>
    <mergeCell ref="B48:B51"/>
    <mergeCell ref="C48:C51"/>
    <mergeCell ref="A52:A54"/>
    <mergeCell ref="B52:B54"/>
    <mergeCell ref="C52:C54"/>
    <mergeCell ref="B20:B22"/>
    <mergeCell ref="C20:C22"/>
    <mergeCell ref="A23:A25"/>
    <mergeCell ref="B23:B25"/>
    <mergeCell ref="C23:C25"/>
    <mergeCell ref="A20:A22"/>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0" tint="-0.14999847407452621"/>
  </sheetPr>
  <dimension ref="A1:Q80"/>
  <sheetViews>
    <sheetView zoomScale="90" zoomScaleNormal="90" workbookViewId="0">
      <pane ySplit="1" topLeftCell="A2" activePane="bottomLeft" state="frozen"/>
      <selection pane="bottomLeft" activeCell="D85" sqref="D85"/>
    </sheetView>
  </sheetViews>
  <sheetFormatPr defaultColWidth="9.140625" defaultRowHeight="15.75" x14ac:dyDescent="0.25"/>
  <cols>
    <col min="1" max="1" width="14.85546875" style="1369" customWidth="1"/>
    <col min="2" max="2" width="9.140625" style="1369"/>
    <col min="3" max="3" width="18.5703125" style="1369" customWidth="1"/>
    <col min="4" max="4" width="26.140625" style="1369" bestFit="1" customWidth="1"/>
    <col min="5" max="5" width="18.5703125" style="1369" customWidth="1"/>
    <col min="6" max="6" width="13.28515625" style="1369" customWidth="1"/>
    <col min="7" max="7" width="24.28515625" style="1369" customWidth="1"/>
    <col min="8" max="8" width="53.5703125" style="1369" customWidth="1"/>
    <col min="9" max="9" width="81.28515625" style="1369" customWidth="1"/>
    <col min="10" max="10" width="12.28515625" style="1369" customWidth="1"/>
    <col min="11" max="11" width="10.28515625" style="1369" customWidth="1"/>
    <col min="12" max="12" width="11.5703125" style="1369" customWidth="1"/>
    <col min="13" max="16384" width="9.140625" style="1369"/>
  </cols>
  <sheetData>
    <row r="1" spans="1:12" s="1367" customFormat="1" ht="47.25" x14ac:dyDescent="0.25">
      <c r="A1" s="1876" t="s">
        <v>6338</v>
      </c>
      <c r="B1" s="1876" t="s">
        <v>6339</v>
      </c>
      <c r="C1" s="1876" t="s">
        <v>6340</v>
      </c>
      <c r="D1" s="1876" t="s">
        <v>1462</v>
      </c>
      <c r="E1" s="1876" t="s">
        <v>6341</v>
      </c>
      <c r="F1" s="1876" t="s">
        <v>5866</v>
      </c>
      <c r="G1" s="1876" t="s">
        <v>6342</v>
      </c>
      <c r="H1" s="1876" t="s">
        <v>6236</v>
      </c>
      <c r="I1" s="1876" t="s">
        <v>6343</v>
      </c>
      <c r="J1" s="1876" t="s">
        <v>6344</v>
      </c>
      <c r="K1" s="1876" t="s">
        <v>6345</v>
      </c>
      <c r="L1" s="1877" t="s">
        <v>6346</v>
      </c>
    </row>
    <row r="2" spans="1:12" ht="64.349999999999994" customHeight="1" x14ac:dyDescent="0.25">
      <c r="A2" s="2575" t="s">
        <v>6539</v>
      </c>
      <c r="B2" s="2575" t="s">
        <v>6348</v>
      </c>
      <c r="C2" s="2575" t="s">
        <v>6540</v>
      </c>
      <c r="D2" s="1368" t="s">
        <v>6245</v>
      </c>
      <c r="F2" s="1370"/>
      <c r="H2" s="1371" t="s">
        <v>6246</v>
      </c>
      <c r="I2" s="1371" t="s">
        <v>6541</v>
      </c>
      <c r="J2" s="1369" t="s">
        <v>6351</v>
      </c>
      <c r="K2" s="1369" t="s">
        <v>6352</v>
      </c>
      <c r="L2" s="1369" t="s">
        <v>6353</v>
      </c>
    </row>
    <row r="3" spans="1:12" ht="80.849999999999994" customHeight="1" x14ac:dyDescent="0.25">
      <c r="A3" s="2576"/>
      <c r="B3" s="2576"/>
      <c r="C3" s="2576"/>
      <c r="D3" s="1368" t="s">
        <v>6542</v>
      </c>
      <c r="F3" s="1372">
        <v>44249</v>
      </c>
      <c r="G3" s="1369" t="s">
        <v>6245</v>
      </c>
      <c r="H3" s="1373" t="s">
        <v>6543</v>
      </c>
      <c r="I3" s="1371" t="s">
        <v>6544</v>
      </c>
      <c r="J3" s="1371" t="s">
        <v>6352</v>
      </c>
      <c r="K3" s="1371" t="s">
        <v>6352</v>
      </c>
      <c r="L3" s="1369" t="s">
        <v>6545</v>
      </c>
    </row>
    <row r="4" spans="1:12" ht="31.5" x14ac:dyDescent="0.25">
      <c r="A4" s="2576"/>
      <c r="B4" s="2576"/>
      <c r="C4" s="2576"/>
      <c r="D4" s="1368" t="s">
        <v>6546</v>
      </c>
      <c r="F4" s="1374">
        <v>43200</v>
      </c>
      <c r="H4" s="1369" t="s">
        <v>6547</v>
      </c>
      <c r="I4" s="1371" t="s">
        <v>6548</v>
      </c>
      <c r="J4" s="1371" t="s">
        <v>6361</v>
      </c>
      <c r="K4" s="1371" t="s">
        <v>6361</v>
      </c>
      <c r="L4" s="1369" t="s">
        <v>6549</v>
      </c>
    </row>
    <row r="5" spans="1:12" ht="31.5" x14ac:dyDescent="0.25">
      <c r="A5" s="2576"/>
      <c r="B5" s="2576"/>
      <c r="C5" s="2576"/>
      <c r="D5" s="1368" t="s">
        <v>6357</v>
      </c>
      <c r="F5" s="1374">
        <v>43570</v>
      </c>
      <c r="G5" s="1369" t="s">
        <v>6358</v>
      </c>
      <c r="H5" s="1369" t="s">
        <v>6359</v>
      </c>
      <c r="I5" s="1371" t="s">
        <v>6360</v>
      </c>
      <c r="J5" s="1369" t="s">
        <v>6361</v>
      </c>
      <c r="K5" s="1369" t="s">
        <v>6361</v>
      </c>
      <c r="L5" s="1369" t="s">
        <v>6362</v>
      </c>
    </row>
    <row r="6" spans="1:12" ht="31.5" x14ac:dyDescent="0.25">
      <c r="A6" s="2576"/>
      <c r="B6" s="2576"/>
      <c r="C6" s="2576"/>
      <c r="D6" s="1368" t="s">
        <v>6546</v>
      </c>
      <c r="F6" s="1374">
        <v>43200</v>
      </c>
      <c r="H6" s="1369" t="s">
        <v>6547</v>
      </c>
      <c r="I6" s="1371" t="s">
        <v>6548</v>
      </c>
      <c r="J6" s="1371" t="s">
        <v>6361</v>
      </c>
      <c r="K6" s="1371" t="s">
        <v>6361</v>
      </c>
      <c r="L6" s="1369" t="s">
        <v>6549</v>
      </c>
    </row>
    <row r="7" spans="1:12" ht="67.349999999999994" customHeight="1" x14ac:dyDescent="0.25">
      <c r="A7" s="2576"/>
      <c r="B7" s="2576"/>
      <c r="C7" s="2576"/>
      <c r="D7" s="1368" t="s">
        <v>6363</v>
      </c>
      <c r="E7" s="1371" t="s">
        <v>6537</v>
      </c>
      <c r="F7" s="1375">
        <v>43931</v>
      </c>
      <c r="G7" s="1369" t="s">
        <v>6364</v>
      </c>
      <c r="H7" s="1371" t="s">
        <v>6550</v>
      </c>
      <c r="I7" s="1371" t="s">
        <v>6366</v>
      </c>
      <c r="J7" s="1371" t="s">
        <v>6361</v>
      </c>
      <c r="K7" s="1371" t="s">
        <v>6361</v>
      </c>
      <c r="L7" s="1369" t="s">
        <v>6367</v>
      </c>
    </row>
    <row r="8" spans="1:12" x14ac:dyDescent="0.25">
      <c r="A8" s="2576"/>
      <c r="B8" s="2576"/>
      <c r="C8" s="2576"/>
      <c r="D8" s="1368" t="s">
        <v>6551</v>
      </c>
      <c r="F8" s="1372">
        <v>44237</v>
      </c>
      <c r="G8" s="1369" t="s">
        <v>6357</v>
      </c>
      <c r="H8" s="1373" t="s">
        <v>6552</v>
      </c>
      <c r="I8" s="1371" t="s">
        <v>6553</v>
      </c>
      <c r="J8" s="1369" t="s">
        <v>6361</v>
      </c>
      <c r="K8" s="1369" t="s">
        <v>6352</v>
      </c>
      <c r="L8" s="1369" t="s">
        <v>6554</v>
      </c>
    </row>
    <row r="9" spans="1:12" ht="78.75" x14ac:dyDescent="0.25">
      <c r="A9" s="2577"/>
      <c r="B9" s="2577"/>
      <c r="C9" s="2577"/>
      <c r="D9" s="1368" t="s">
        <v>6555</v>
      </c>
      <c r="F9" s="1372">
        <v>44249</v>
      </c>
      <c r="G9" s="1369" t="s">
        <v>6363</v>
      </c>
      <c r="H9" s="1373" t="s">
        <v>6556</v>
      </c>
      <c r="I9" s="1371" t="s">
        <v>6557</v>
      </c>
      <c r="J9" s="1369" t="s">
        <v>6361</v>
      </c>
      <c r="K9" s="1369" t="s">
        <v>6361</v>
      </c>
      <c r="L9" s="1369" t="s">
        <v>6558</v>
      </c>
    </row>
    <row r="10" spans="1:12" s="1391" customFormat="1" ht="126" x14ac:dyDescent="0.25">
      <c r="A10" s="1965" t="s">
        <v>6559</v>
      </c>
      <c r="B10" s="1965" t="s">
        <v>6348</v>
      </c>
      <c r="C10" s="1965" t="s">
        <v>6560</v>
      </c>
      <c r="D10" s="1966" t="s">
        <v>6561</v>
      </c>
      <c r="E10" s="1967"/>
      <c r="F10" s="1968">
        <v>44259</v>
      </c>
      <c r="G10" s="1967" t="s">
        <v>6555</v>
      </c>
      <c r="H10" s="1969" t="s">
        <v>6562</v>
      </c>
      <c r="I10" s="1969" t="s">
        <v>6563</v>
      </c>
      <c r="J10" s="1970" t="s">
        <v>6361</v>
      </c>
      <c r="K10" s="1970" t="s">
        <v>6361</v>
      </c>
      <c r="L10" s="1971" t="s">
        <v>6564</v>
      </c>
    </row>
    <row r="11" spans="1:12" s="1429" customFormat="1" ht="47.25" x14ac:dyDescent="0.25">
      <c r="A11" s="2575" t="s">
        <v>6565</v>
      </c>
      <c r="B11" s="2572" t="s">
        <v>6348</v>
      </c>
      <c r="C11" s="2575" t="s">
        <v>6566</v>
      </c>
      <c r="D11" s="2375" t="s">
        <v>6567</v>
      </c>
      <c r="E11" s="2376" t="s">
        <v>6568</v>
      </c>
      <c r="F11" s="2377">
        <v>44260</v>
      </c>
      <c r="G11" s="2376" t="s">
        <v>6561</v>
      </c>
      <c r="H11" s="2378" t="s">
        <v>6569</v>
      </c>
      <c r="I11" s="2378" t="s">
        <v>6570</v>
      </c>
      <c r="J11" s="1371" t="s">
        <v>6361</v>
      </c>
      <c r="K11" s="1371" t="s">
        <v>6361</v>
      </c>
      <c r="L11" s="2376" t="s">
        <v>6571</v>
      </c>
    </row>
    <row r="12" spans="1:12" ht="47.25" x14ac:dyDescent="0.25">
      <c r="A12" s="2576"/>
      <c r="B12" s="2573"/>
      <c r="C12" s="2576"/>
      <c r="D12" s="1368" t="s">
        <v>6572</v>
      </c>
      <c r="E12" s="1369" t="s">
        <v>6573</v>
      </c>
      <c r="F12" s="1430">
        <v>44260</v>
      </c>
      <c r="G12" s="1369" t="s">
        <v>6561</v>
      </c>
      <c r="H12" s="1371" t="s">
        <v>6574</v>
      </c>
      <c r="I12" s="1371"/>
      <c r="J12" s="1371" t="s">
        <v>6361</v>
      </c>
      <c r="K12" s="1371" t="s">
        <v>6361</v>
      </c>
      <c r="L12" s="1369" t="s">
        <v>6575</v>
      </c>
    </row>
    <row r="13" spans="1:12" ht="47.25" x14ac:dyDescent="0.25">
      <c r="A13" s="2576"/>
      <c r="B13" s="2573"/>
      <c r="C13" s="2576"/>
      <c r="D13" s="1368" t="s">
        <v>6576</v>
      </c>
      <c r="E13" s="1369" t="s">
        <v>6577</v>
      </c>
      <c r="F13" s="1430">
        <v>44260</v>
      </c>
      <c r="G13" s="1369" t="s">
        <v>6561</v>
      </c>
      <c r="H13" s="1371" t="s">
        <v>6578</v>
      </c>
      <c r="I13" s="1371"/>
      <c r="J13" s="1371" t="s">
        <v>6361</v>
      </c>
      <c r="K13" s="1371" t="s">
        <v>6361</v>
      </c>
      <c r="L13" s="1369" t="s">
        <v>6579</v>
      </c>
    </row>
    <row r="14" spans="1:12" ht="47.25" customHeight="1" x14ac:dyDescent="0.25">
      <c r="A14" s="2576"/>
      <c r="B14" s="2573"/>
      <c r="C14" s="2576"/>
      <c r="D14" s="1368" t="s">
        <v>6580</v>
      </c>
      <c r="E14" s="1369" t="s">
        <v>6581</v>
      </c>
      <c r="F14" s="1430">
        <v>44260</v>
      </c>
      <c r="G14" s="1369" t="s">
        <v>6561</v>
      </c>
      <c r="H14" s="1371" t="s">
        <v>6582</v>
      </c>
      <c r="I14" s="1371"/>
      <c r="J14" s="1371" t="s">
        <v>6361</v>
      </c>
      <c r="K14" s="1371" t="s">
        <v>6361</v>
      </c>
      <c r="L14" s="1369" t="s">
        <v>6583</v>
      </c>
    </row>
    <row r="15" spans="1:12" ht="47.25" x14ac:dyDescent="0.25">
      <c r="A15" s="2576"/>
      <c r="B15" s="2573"/>
      <c r="C15" s="2576"/>
      <c r="D15" s="1368" t="s">
        <v>6584</v>
      </c>
      <c r="E15" s="1369" t="s">
        <v>6585</v>
      </c>
      <c r="F15" s="1430">
        <v>44260</v>
      </c>
      <c r="G15" s="1369" t="s">
        <v>6561</v>
      </c>
      <c r="H15" s="1371" t="s">
        <v>6586</v>
      </c>
      <c r="I15" s="1371"/>
      <c r="J15" s="1371" t="s">
        <v>6361</v>
      </c>
      <c r="K15" s="1371" t="s">
        <v>6361</v>
      </c>
      <c r="L15" s="1369" t="s">
        <v>6587</v>
      </c>
    </row>
    <row r="16" spans="1:12" s="1431" customFormat="1" ht="47.25" x14ac:dyDescent="0.25">
      <c r="A16" s="2577"/>
      <c r="B16" s="2574"/>
      <c r="C16" s="2577"/>
      <c r="D16" s="1877" t="s">
        <v>6588</v>
      </c>
      <c r="E16" s="1882" t="s">
        <v>6589</v>
      </c>
      <c r="F16" s="1883">
        <v>44260</v>
      </c>
      <c r="G16" s="1882" t="s">
        <v>6561</v>
      </c>
      <c r="H16" s="1371" t="s">
        <v>6578</v>
      </c>
      <c r="I16" s="1884"/>
      <c r="J16" s="1884" t="s">
        <v>6361</v>
      </c>
      <c r="K16" s="1884" t="s">
        <v>6361</v>
      </c>
      <c r="L16" s="1882" t="s">
        <v>6590</v>
      </c>
    </row>
    <row r="17" spans="1:12" s="1429" customFormat="1" ht="47.25" x14ac:dyDescent="0.25">
      <c r="A17" s="2575" t="s">
        <v>6565</v>
      </c>
      <c r="B17" s="2572" t="s">
        <v>6348</v>
      </c>
      <c r="C17" s="2575" t="s">
        <v>6591</v>
      </c>
      <c r="D17" s="2375" t="s">
        <v>6592</v>
      </c>
      <c r="E17" s="2376" t="s">
        <v>6568</v>
      </c>
      <c r="F17" s="2377">
        <v>44263</v>
      </c>
      <c r="G17" s="2376" t="s">
        <v>6567</v>
      </c>
      <c r="H17" s="2378" t="s">
        <v>6593</v>
      </c>
      <c r="I17" s="2378" t="s">
        <v>6594</v>
      </c>
      <c r="J17" s="1371" t="s">
        <v>6361</v>
      </c>
      <c r="K17" s="1371" t="s">
        <v>6361</v>
      </c>
      <c r="L17" s="2376" t="s">
        <v>6595</v>
      </c>
    </row>
    <row r="18" spans="1:12" ht="47.25" x14ac:dyDescent="0.25">
      <c r="A18" s="2576"/>
      <c r="B18" s="2573"/>
      <c r="C18" s="2576"/>
      <c r="D18" s="1368" t="s">
        <v>6596</v>
      </c>
      <c r="E18" s="1369" t="s">
        <v>6573</v>
      </c>
      <c r="F18" s="1430">
        <v>44263</v>
      </c>
      <c r="G18" s="1369" t="s">
        <v>6572</v>
      </c>
      <c r="H18" s="1371" t="s">
        <v>6597</v>
      </c>
      <c r="I18" s="1371"/>
      <c r="J18" s="1371" t="s">
        <v>6361</v>
      </c>
      <c r="K18" s="1371" t="s">
        <v>6361</v>
      </c>
      <c r="L18" s="1369" t="s">
        <v>6598</v>
      </c>
    </row>
    <row r="19" spans="1:12" ht="47.25" x14ac:dyDescent="0.25">
      <c r="A19" s="2576"/>
      <c r="B19" s="2573"/>
      <c r="C19" s="2576"/>
      <c r="D19" s="1368" t="s">
        <v>6599</v>
      </c>
      <c r="E19" s="1369" t="s">
        <v>6577</v>
      </c>
      <c r="F19" s="1430">
        <v>44263</v>
      </c>
      <c r="G19" s="1369" t="s">
        <v>6576</v>
      </c>
      <c r="H19" s="1371" t="s">
        <v>6600</v>
      </c>
      <c r="I19" s="1371"/>
      <c r="J19" s="1371" t="s">
        <v>6361</v>
      </c>
      <c r="K19" s="1371" t="s">
        <v>6361</v>
      </c>
      <c r="L19" s="1369" t="s">
        <v>6601</v>
      </c>
    </row>
    <row r="20" spans="1:12" ht="47.25" customHeight="1" x14ac:dyDescent="0.25">
      <c r="A20" s="2576"/>
      <c r="B20" s="2573"/>
      <c r="C20" s="2576"/>
      <c r="D20" s="1368" t="s">
        <v>6602</v>
      </c>
      <c r="E20" s="1369" t="s">
        <v>6581</v>
      </c>
      <c r="F20" s="1430">
        <v>44263</v>
      </c>
      <c r="G20" s="1369" t="s">
        <v>6580</v>
      </c>
      <c r="H20" s="1371" t="s">
        <v>6603</v>
      </c>
      <c r="I20" s="1371"/>
      <c r="J20" s="1371" t="s">
        <v>6361</v>
      </c>
      <c r="K20" s="1371" t="s">
        <v>6361</v>
      </c>
      <c r="L20" s="1369" t="s">
        <v>6604</v>
      </c>
    </row>
    <row r="21" spans="1:12" ht="47.25" x14ac:dyDescent="0.25">
      <c r="A21" s="2576"/>
      <c r="B21" s="2573"/>
      <c r="C21" s="2576"/>
      <c r="D21" s="1368" t="s">
        <v>6605</v>
      </c>
      <c r="E21" s="1369" t="s">
        <v>6585</v>
      </c>
      <c r="F21" s="1430">
        <v>44263</v>
      </c>
      <c r="G21" s="1369" t="s">
        <v>6584</v>
      </c>
      <c r="H21" s="1371" t="s">
        <v>6606</v>
      </c>
      <c r="I21" s="1371"/>
      <c r="J21" s="1371" t="s">
        <v>6361</v>
      </c>
      <c r="K21" s="1371" t="s">
        <v>6361</v>
      </c>
      <c r="L21" s="1369" t="s">
        <v>6607</v>
      </c>
    </row>
    <row r="22" spans="1:12" s="1431" customFormat="1" ht="47.25" x14ac:dyDescent="0.25">
      <c r="A22" s="2577"/>
      <c r="B22" s="2574"/>
      <c r="C22" s="2577"/>
      <c r="D22" s="1877" t="s">
        <v>6608</v>
      </c>
      <c r="E22" s="1882" t="s">
        <v>6589</v>
      </c>
      <c r="F22" s="1883">
        <v>44263</v>
      </c>
      <c r="G22" s="1882" t="s">
        <v>6588</v>
      </c>
      <c r="H22" s="1371" t="s">
        <v>6600</v>
      </c>
      <c r="I22" s="1884"/>
      <c r="J22" s="1884" t="s">
        <v>6361</v>
      </c>
      <c r="K22" s="1884" t="s">
        <v>6361</v>
      </c>
      <c r="L22" s="1882" t="s">
        <v>6609</v>
      </c>
    </row>
    <row r="23" spans="1:12" s="1429" customFormat="1" ht="63" x14ac:dyDescent="0.25">
      <c r="A23" s="2575" t="s">
        <v>6565</v>
      </c>
      <c r="B23" s="2572" t="s">
        <v>6348</v>
      </c>
      <c r="C23" s="2575" t="s">
        <v>6610</v>
      </c>
      <c r="D23" s="2375" t="s">
        <v>6611</v>
      </c>
      <c r="E23" s="2376" t="s">
        <v>6483</v>
      </c>
      <c r="F23" s="2377">
        <v>44264</v>
      </c>
      <c r="G23" s="2376" t="s">
        <v>6592</v>
      </c>
      <c r="H23" s="2378" t="s">
        <v>6612</v>
      </c>
      <c r="I23" s="2378" t="s">
        <v>6613</v>
      </c>
      <c r="J23" s="1371" t="s">
        <v>6361</v>
      </c>
      <c r="K23" s="1371" t="s">
        <v>6361</v>
      </c>
      <c r="L23" s="2376" t="s">
        <v>6614</v>
      </c>
    </row>
    <row r="24" spans="1:12" ht="47.25" x14ac:dyDescent="0.25">
      <c r="A24" s="2576"/>
      <c r="B24" s="2573"/>
      <c r="C24" s="2576"/>
      <c r="D24" s="1368" t="s">
        <v>6615</v>
      </c>
      <c r="E24" s="1369" t="s">
        <v>6492</v>
      </c>
      <c r="F24" s="1430">
        <v>44264</v>
      </c>
      <c r="G24" s="1369" t="s">
        <v>6596</v>
      </c>
      <c r="H24" s="1371" t="s">
        <v>6597</v>
      </c>
      <c r="I24" s="1371"/>
      <c r="J24" s="1371" t="s">
        <v>6361</v>
      </c>
      <c r="K24" s="1371" t="s">
        <v>6361</v>
      </c>
      <c r="L24" s="1369" t="s">
        <v>6616</v>
      </c>
    </row>
    <row r="25" spans="1:12" ht="47.25" x14ac:dyDescent="0.25">
      <c r="A25" s="2576"/>
      <c r="B25" s="2573"/>
      <c r="C25" s="2576"/>
      <c r="D25" s="1368" t="s">
        <v>6617</v>
      </c>
      <c r="E25" s="1369" t="s">
        <v>6618</v>
      </c>
      <c r="F25" s="1430">
        <v>44264</v>
      </c>
      <c r="G25" s="1369" t="s">
        <v>6599</v>
      </c>
      <c r="H25" s="1371" t="s">
        <v>6600</v>
      </c>
      <c r="I25" s="1371"/>
      <c r="J25" s="1371" t="s">
        <v>6361</v>
      </c>
      <c r="K25" s="1371" t="s">
        <v>6361</v>
      </c>
      <c r="L25" s="1369" t="s">
        <v>6619</v>
      </c>
    </row>
    <row r="26" spans="1:12" ht="59.85" customHeight="1" x14ac:dyDescent="0.25">
      <c r="A26" s="2576"/>
      <c r="B26" s="2573"/>
      <c r="C26" s="2576"/>
      <c r="D26" s="1368" t="s">
        <v>6620</v>
      </c>
      <c r="E26" s="1369" t="s">
        <v>6488</v>
      </c>
      <c r="F26" s="1430">
        <v>44264</v>
      </c>
      <c r="G26" s="1369" t="s">
        <v>6602</v>
      </c>
      <c r="H26" s="1371" t="s">
        <v>6621</v>
      </c>
      <c r="I26" s="1371"/>
      <c r="J26" s="1371" t="s">
        <v>6361</v>
      </c>
      <c r="K26" s="1371" t="s">
        <v>6361</v>
      </c>
      <c r="L26" s="1369" t="s">
        <v>6622</v>
      </c>
    </row>
    <row r="27" spans="1:12" ht="47.25" x14ac:dyDescent="0.25">
      <c r="A27" s="2576"/>
      <c r="B27" s="2573"/>
      <c r="C27" s="2576"/>
      <c r="D27" s="1368" t="s">
        <v>6623</v>
      </c>
      <c r="E27" s="1369" t="s">
        <v>6624</v>
      </c>
      <c r="F27" s="1430">
        <v>44264</v>
      </c>
      <c r="G27" s="1369" t="s">
        <v>6605</v>
      </c>
      <c r="H27" s="1371" t="s">
        <v>6606</v>
      </c>
      <c r="I27" s="1371"/>
      <c r="J27" s="1371" t="s">
        <v>6361</v>
      </c>
      <c r="K27" s="1371" t="s">
        <v>6361</v>
      </c>
      <c r="L27" s="1369" t="s">
        <v>6625</v>
      </c>
    </row>
    <row r="28" spans="1:12" s="1431" customFormat="1" ht="47.25" x14ac:dyDescent="0.25">
      <c r="A28" s="2577"/>
      <c r="B28" s="2574"/>
      <c r="C28" s="2577"/>
      <c r="D28" s="1877" t="s">
        <v>6626</v>
      </c>
      <c r="E28" s="1882" t="s">
        <v>6627</v>
      </c>
      <c r="F28" s="1883">
        <v>44264</v>
      </c>
      <c r="G28" s="1882" t="s">
        <v>6608</v>
      </c>
      <c r="H28" s="1371" t="s">
        <v>6600</v>
      </c>
      <c r="I28" s="1884"/>
      <c r="J28" s="1884" t="s">
        <v>6361</v>
      </c>
      <c r="K28" s="1884" t="s">
        <v>6361</v>
      </c>
      <c r="L28" s="1882" t="s">
        <v>6628</v>
      </c>
    </row>
    <row r="29" spans="1:12" s="1429" customFormat="1" ht="63" x14ac:dyDescent="0.25">
      <c r="A29" s="2575" t="s">
        <v>6629</v>
      </c>
      <c r="B29" s="2572" t="s">
        <v>6348</v>
      </c>
      <c r="C29" s="2575" t="s">
        <v>6630</v>
      </c>
      <c r="D29" s="2375" t="s">
        <v>6631</v>
      </c>
      <c r="E29" s="2376" t="s">
        <v>6483</v>
      </c>
      <c r="F29" s="2377">
        <v>44265</v>
      </c>
      <c r="G29" s="2376" t="s">
        <v>6611</v>
      </c>
      <c r="H29" s="2378" t="s">
        <v>6632</v>
      </c>
      <c r="I29" s="2378" t="s">
        <v>6633</v>
      </c>
      <c r="J29" s="1371" t="s">
        <v>6361</v>
      </c>
      <c r="K29" s="1371" t="s">
        <v>6361</v>
      </c>
      <c r="L29" s="2376" t="s">
        <v>6634</v>
      </c>
    </row>
    <row r="30" spans="1:12" ht="63" x14ac:dyDescent="0.25">
      <c r="A30" s="2576"/>
      <c r="B30" s="2573"/>
      <c r="C30" s="2576"/>
      <c r="D30" s="1368" t="s">
        <v>6635</v>
      </c>
      <c r="E30" s="1369" t="s">
        <v>6492</v>
      </c>
      <c r="F30" s="1430">
        <v>44265</v>
      </c>
      <c r="G30" s="1369" t="s">
        <v>6615</v>
      </c>
      <c r="H30" s="1371" t="s">
        <v>6636</v>
      </c>
      <c r="I30" s="1371"/>
      <c r="J30" s="1371" t="s">
        <v>6361</v>
      </c>
      <c r="K30" s="1371" t="s">
        <v>6361</v>
      </c>
      <c r="L30" s="1369" t="s">
        <v>6637</v>
      </c>
    </row>
    <row r="31" spans="1:12" ht="47.25" x14ac:dyDescent="0.25">
      <c r="A31" s="2576"/>
      <c r="B31" s="2573"/>
      <c r="C31" s="2576"/>
      <c r="D31" s="1368" t="s">
        <v>6638</v>
      </c>
      <c r="E31" s="1369" t="s">
        <v>6618</v>
      </c>
      <c r="F31" s="1430">
        <v>44265</v>
      </c>
      <c r="G31" s="1369" t="s">
        <v>6617</v>
      </c>
      <c r="H31" s="1371" t="s">
        <v>6600</v>
      </c>
      <c r="I31" s="1371"/>
      <c r="J31" s="1371" t="s">
        <v>6361</v>
      </c>
      <c r="K31" s="1371" t="s">
        <v>6361</v>
      </c>
      <c r="L31" s="1369" t="s">
        <v>6639</v>
      </c>
    </row>
    <row r="32" spans="1:12" ht="59.85" customHeight="1" x14ac:dyDescent="0.25">
      <c r="A32" s="2576"/>
      <c r="B32" s="2573"/>
      <c r="C32" s="2576"/>
      <c r="D32" s="1368" t="s">
        <v>6640</v>
      </c>
      <c r="E32" s="1369" t="s">
        <v>6488</v>
      </c>
      <c r="F32" s="1430">
        <v>44265</v>
      </c>
      <c r="G32" s="1369" t="s">
        <v>6620</v>
      </c>
      <c r="H32" s="1371" t="s">
        <v>6641</v>
      </c>
      <c r="I32" s="1371"/>
      <c r="J32" s="1371" t="s">
        <v>6361</v>
      </c>
      <c r="K32" s="1371" t="s">
        <v>6361</v>
      </c>
      <c r="L32" s="1369" t="s">
        <v>6642</v>
      </c>
    </row>
    <row r="33" spans="1:12" ht="63" x14ac:dyDescent="0.25">
      <c r="A33" s="2576"/>
      <c r="B33" s="2573"/>
      <c r="C33" s="2576"/>
      <c r="D33" s="1368" t="s">
        <v>6643</v>
      </c>
      <c r="E33" s="1369" t="s">
        <v>6624</v>
      </c>
      <c r="F33" s="1430">
        <v>44265</v>
      </c>
      <c r="G33" s="1369" t="s">
        <v>6623</v>
      </c>
      <c r="H33" s="1371" t="s">
        <v>6644</v>
      </c>
      <c r="I33" s="1371"/>
      <c r="J33" s="1371" t="s">
        <v>6361</v>
      </c>
      <c r="K33" s="1371" t="s">
        <v>6361</v>
      </c>
      <c r="L33" s="1369" t="s">
        <v>6645</v>
      </c>
    </row>
    <row r="34" spans="1:12" s="1431" customFormat="1" ht="47.25" x14ac:dyDescent="0.25">
      <c r="A34" s="2577"/>
      <c r="B34" s="2574"/>
      <c r="C34" s="2577"/>
      <c r="D34" s="1877" t="s">
        <v>6646</v>
      </c>
      <c r="E34" s="1882" t="s">
        <v>6627</v>
      </c>
      <c r="F34" s="1883">
        <v>44265</v>
      </c>
      <c r="G34" s="1882" t="s">
        <v>6626</v>
      </c>
      <c r="H34" s="1371" t="s">
        <v>6600</v>
      </c>
      <c r="I34" s="1884"/>
      <c r="J34" s="1884" t="s">
        <v>6361</v>
      </c>
      <c r="K34" s="1884" t="s">
        <v>6361</v>
      </c>
      <c r="L34" s="1882" t="s">
        <v>6647</v>
      </c>
    </row>
    <row r="35" spans="1:12" s="1437" customFormat="1" ht="47.25" x14ac:dyDescent="0.25">
      <c r="A35" s="2575" t="s">
        <v>6648</v>
      </c>
      <c r="B35" s="2572" t="s">
        <v>6348</v>
      </c>
      <c r="C35" s="2575" t="s">
        <v>6649</v>
      </c>
      <c r="D35" s="2375" t="s">
        <v>6650</v>
      </c>
      <c r="E35" s="2376" t="s">
        <v>6651</v>
      </c>
      <c r="F35" s="2383">
        <v>44272</v>
      </c>
      <c r="G35" s="2376" t="s">
        <v>6631</v>
      </c>
      <c r="H35" s="2378" t="s">
        <v>6652</v>
      </c>
      <c r="I35" s="2378" t="s">
        <v>6653</v>
      </c>
      <c r="J35" s="1371" t="s">
        <v>6361</v>
      </c>
      <c r="K35" s="1371" t="s">
        <v>6361</v>
      </c>
      <c r="L35" s="2376" t="s">
        <v>6654</v>
      </c>
    </row>
    <row r="36" spans="1:12" ht="47.25" x14ac:dyDescent="0.25">
      <c r="A36" s="2576"/>
      <c r="B36" s="2573"/>
      <c r="C36" s="2576"/>
      <c r="D36" s="1368" t="s">
        <v>6655</v>
      </c>
      <c r="E36" s="1369" t="s">
        <v>6656</v>
      </c>
      <c r="F36" s="1438">
        <v>44272</v>
      </c>
      <c r="G36" s="1369" t="s">
        <v>6640</v>
      </c>
      <c r="H36" s="1371" t="s">
        <v>6657</v>
      </c>
      <c r="I36" s="1371"/>
      <c r="J36" s="1371" t="s">
        <v>6361</v>
      </c>
      <c r="K36" s="1371" t="s">
        <v>6361</v>
      </c>
      <c r="L36" s="1369" t="s">
        <v>6658</v>
      </c>
    </row>
    <row r="37" spans="1:12" ht="47.25" x14ac:dyDescent="0.25">
      <c r="A37" s="2576"/>
      <c r="B37" s="2573"/>
      <c r="C37" s="2576"/>
      <c r="D37" s="1368" t="s">
        <v>6659</v>
      </c>
      <c r="E37" s="1369" t="s">
        <v>6660</v>
      </c>
      <c r="F37" s="1438">
        <v>44272</v>
      </c>
      <c r="G37" s="1369" t="s">
        <v>6635</v>
      </c>
      <c r="H37" s="1371" t="s">
        <v>6661</v>
      </c>
      <c r="I37" s="1371"/>
      <c r="J37" s="1371" t="s">
        <v>6361</v>
      </c>
      <c r="K37" s="1371" t="s">
        <v>6361</v>
      </c>
      <c r="L37" s="1369" t="s">
        <v>6662</v>
      </c>
    </row>
    <row r="38" spans="1:12" ht="47.25" x14ac:dyDescent="0.25">
      <c r="A38" s="2576"/>
      <c r="B38" s="2573"/>
      <c r="C38" s="2576"/>
      <c r="D38" s="1368" t="s">
        <v>6663</v>
      </c>
      <c r="E38" s="1369" t="s">
        <v>6664</v>
      </c>
      <c r="F38" s="1438">
        <v>44272</v>
      </c>
      <c r="G38" s="1369" t="s">
        <v>6643</v>
      </c>
      <c r="H38" s="1373" t="s">
        <v>6665</v>
      </c>
      <c r="I38" s="1371"/>
      <c r="J38" s="1371" t="s">
        <v>6361</v>
      </c>
      <c r="K38" s="1371" t="s">
        <v>6361</v>
      </c>
      <c r="L38" s="1369" t="s">
        <v>6666</v>
      </c>
    </row>
    <row r="39" spans="1:12" ht="63" x14ac:dyDescent="0.25">
      <c r="A39" s="2576"/>
      <c r="B39" s="2573"/>
      <c r="C39" s="2576"/>
      <c r="D39" s="1368" t="s">
        <v>6667</v>
      </c>
      <c r="E39" s="1369" t="s">
        <v>6668</v>
      </c>
      <c r="F39" s="1438">
        <v>44272</v>
      </c>
      <c r="G39" s="1369" t="s">
        <v>6669</v>
      </c>
      <c r="H39" s="1371" t="s">
        <v>6670</v>
      </c>
      <c r="I39" s="1371"/>
      <c r="J39" s="1371" t="s">
        <v>6361</v>
      </c>
      <c r="K39" s="1371" t="s">
        <v>6361</v>
      </c>
      <c r="L39" s="1369" t="s">
        <v>6671</v>
      </c>
    </row>
    <row r="40" spans="1:12" s="1431" customFormat="1" x14ac:dyDescent="0.25">
      <c r="A40" s="2577"/>
      <c r="B40" s="2574"/>
      <c r="C40" s="2577"/>
      <c r="D40" s="1877"/>
      <c r="E40" s="1882"/>
      <c r="F40" s="1885"/>
      <c r="G40" s="1882"/>
      <c r="H40" s="1371"/>
      <c r="I40" s="1884"/>
      <c r="J40" s="1884"/>
      <c r="K40" s="1884"/>
      <c r="L40" s="1369"/>
    </row>
    <row r="41" spans="1:12" s="1437" customFormat="1" ht="47.25" x14ac:dyDescent="0.25">
      <c r="A41" s="2575" t="s">
        <v>6672</v>
      </c>
      <c r="B41" s="2572" t="s">
        <v>6348</v>
      </c>
      <c r="C41" s="2575" t="s">
        <v>6673</v>
      </c>
      <c r="D41" s="2375" t="s">
        <v>6674</v>
      </c>
      <c r="E41" s="2378" t="s">
        <v>6675</v>
      </c>
      <c r="F41" s="2383">
        <v>44281</v>
      </c>
      <c r="G41" s="2376" t="s">
        <v>6650</v>
      </c>
      <c r="H41" s="2378" t="s">
        <v>6676</v>
      </c>
      <c r="I41" s="2378" t="s">
        <v>6677</v>
      </c>
      <c r="J41" s="1371" t="s">
        <v>6361</v>
      </c>
      <c r="K41" s="1371" t="s">
        <v>6361</v>
      </c>
      <c r="L41" s="2376" t="s">
        <v>6678</v>
      </c>
    </row>
    <row r="42" spans="1:12" ht="47.25" x14ac:dyDescent="0.25">
      <c r="A42" s="2576"/>
      <c r="B42" s="2573"/>
      <c r="C42" s="2576"/>
      <c r="D42" s="1368" t="s">
        <v>6679</v>
      </c>
      <c r="E42" s="1371" t="s">
        <v>6680</v>
      </c>
      <c r="F42" s="1438">
        <v>44281</v>
      </c>
      <c r="G42" s="1369" t="s">
        <v>6655</v>
      </c>
      <c r="H42" s="1371" t="s">
        <v>6681</v>
      </c>
      <c r="I42" s="1371"/>
      <c r="J42" s="1371" t="s">
        <v>6361</v>
      </c>
      <c r="K42" s="1371" t="s">
        <v>6361</v>
      </c>
      <c r="L42" s="1369" t="s">
        <v>6682</v>
      </c>
    </row>
    <row r="43" spans="1:12" ht="47.25" x14ac:dyDescent="0.25">
      <c r="A43" s="2576"/>
      <c r="B43" s="2573"/>
      <c r="C43" s="2576"/>
      <c r="D43" s="1368" t="s">
        <v>6683</v>
      </c>
      <c r="E43" s="1371" t="s">
        <v>6684</v>
      </c>
      <c r="F43" s="1438">
        <v>44281</v>
      </c>
      <c r="G43" s="1369" t="s">
        <v>6659</v>
      </c>
      <c r="H43" s="1371" t="s">
        <v>6685</v>
      </c>
      <c r="I43" s="1371"/>
      <c r="J43" s="1371" t="s">
        <v>6361</v>
      </c>
      <c r="K43" s="1371" t="s">
        <v>6361</v>
      </c>
      <c r="L43" s="1369" t="s">
        <v>6686</v>
      </c>
    </row>
    <row r="44" spans="1:12" ht="47.25" x14ac:dyDescent="0.25">
      <c r="A44" s="2576"/>
      <c r="B44" s="2573"/>
      <c r="C44" s="2576"/>
      <c r="D44" s="1368" t="s">
        <v>6687</v>
      </c>
      <c r="E44" s="1371" t="s">
        <v>6688</v>
      </c>
      <c r="F44" s="1438">
        <v>44281</v>
      </c>
      <c r="G44" s="1369" t="s">
        <v>6663</v>
      </c>
      <c r="H44" s="1371" t="s">
        <v>6689</v>
      </c>
      <c r="I44" s="1371"/>
      <c r="J44" s="1371" t="s">
        <v>6361</v>
      </c>
      <c r="K44" s="1371" t="s">
        <v>6361</v>
      </c>
      <c r="L44" s="1369" t="s">
        <v>6690</v>
      </c>
    </row>
    <row r="45" spans="1:12" ht="47.25" x14ac:dyDescent="0.25">
      <c r="A45" s="2576"/>
      <c r="B45" s="2573"/>
      <c r="C45" s="2576"/>
      <c r="D45" s="1368" t="s">
        <v>6691</v>
      </c>
      <c r="E45" s="1371" t="s">
        <v>6692</v>
      </c>
      <c r="F45" s="1438">
        <v>44281</v>
      </c>
      <c r="G45" s="1369" t="s">
        <v>6667</v>
      </c>
      <c r="H45" s="1371" t="s">
        <v>6693</v>
      </c>
      <c r="I45" s="1371"/>
      <c r="J45" s="1371" t="s">
        <v>6361</v>
      </c>
      <c r="K45" s="1371" t="s">
        <v>6361</v>
      </c>
      <c r="L45" s="1369" t="s">
        <v>6694</v>
      </c>
    </row>
    <row r="46" spans="1:12" s="1431" customFormat="1" x14ac:dyDescent="0.25">
      <c r="A46" s="2577"/>
      <c r="B46" s="2574"/>
      <c r="C46" s="2577"/>
      <c r="D46" s="1877"/>
      <c r="E46" s="1882"/>
      <c r="F46" s="1885"/>
      <c r="G46" s="1882"/>
      <c r="H46" s="1371"/>
      <c r="I46" s="1884"/>
      <c r="J46" s="1884"/>
      <c r="K46" s="1884"/>
      <c r="L46" s="1882"/>
    </row>
    <row r="47" spans="1:12" s="1437" customFormat="1" ht="47.25" x14ac:dyDescent="0.25">
      <c r="A47" s="2575" t="s">
        <v>6672</v>
      </c>
      <c r="B47" s="2572" t="s">
        <v>6348</v>
      </c>
      <c r="C47" s="2575" t="s">
        <v>6695</v>
      </c>
      <c r="D47" s="2375" t="s">
        <v>6439</v>
      </c>
      <c r="E47" s="2378" t="s">
        <v>6675</v>
      </c>
      <c r="F47" s="2383">
        <v>44293</v>
      </c>
      <c r="G47" s="2376" t="s">
        <v>6674</v>
      </c>
      <c r="H47" s="2378" t="s">
        <v>6676</v>
      </c>
      <c r="I47" s="2378" t="s">
        <v>6677</v>
      </c>
      <c r="J47" s="1371" t="s">
        <v>6361</v>
      </c>
      <c r="K47" s="1371" t="s">
        <v>6361</v>
      </c>
      <c r="L47" s="2376" t="s">
        <v>6696</v>
      </c>
    </row>
    <row r="48" spans="1:12" ht="47.25" x14ac:dyDescent="0.25">
      <c r="A48" s="2576"/>
      <c r="B48" s="2573"/>
      <c r="C48" s="2576"/>
      <c r="D48" s="1368" t="s">
        <v>6445</v>
      </c>
      <c r="E48" s="1371" t="s">
        <v>6680</v>
      </c>
      <c r="F48" s="1438">
        <v>44293</v>
      </c>
      <c r="G48" s="1369" t="s">
        <v>6679</v>
      </c>
      <c r="H48" s="1371" t="s">
        <v>6681</v>
      </c>
      <c r="I48" s="1371"/>
      <c r="J48" s="1371" t="s">
        <v>6361</v>
      </c>
      <c r="K48" s="1371" t="s">
        <v>6361</v>
      </c>
      <c r="L48" s="1369" t="s">
        <v>6697</v>
      </c>
    </row>
    <row r="49" spans="1:14" ht="47.25" x14ac:dyDescent="0.25">
      <c r="A49" s="2576"/>
      <c r="B49" s="2573"/>
      <c r="C49" s="2576"/>
      <c r="D49" s="1368" t="s">
        <v>6450</v>
      </c>
      <c r="E49" s="1371" t="s">
        <v>6684</v>
      </c>
      <c r="F49" s="1438">
        <v>44293</v>
      </c>
      <c r="G49" s="1369" t="s">
        <v>6683</v>
      </c>
      <c r="H49" s="1371" t="s">
        <v>6685</v>
      </c>
      <c r="I49" s="1371"/>
      <c r="J49" s="1371" t="s">
        <v>6361</v>
      </c>
      <c r="K49" s="1371" t="s">
        <v>6361</v>
      </c>
      <c r="L49" s="1369" t="s">
        <v>6698</v>
      </c>
    </row>
    <row r="50" spans="1:14" ht="47.25" x14ac:dyDescent="0.25">
      <c r="A50" s="2576"/>
      <c r="B50" s="2573"/>
      <c r="C50" s="2576"/>
      <c r="D50" s="1368" t="s">
        <v>6455</v>
      </c>
      <c r="E50" s="1371" t="s">
        <v>6688</v>
      </c>
      <c r="F50" s="1438">
        <v>44293</v>
      </c>
      <c r="G50" s="1369" t="s">
        <v>6687</v>
      </c>
      <c r="H50" s="1371" t="s">
        <v>6689</v>
      </c>
      <c r="I50" s="1371"/>
      <c r="J50" s="1371" t="s">
        <v>6361</v>
      </c>
      <c r="K50" s="1371" t="s">
        <v>6361</v>
      </c>
      <c r="L50" s="1369" t="s">
        <v>6699</v>
      </c>
    </row>
    <row r="51" spans="1:14" ht="47.25" x14ac:dyDescent="0.25">
      <c r="A51" s="2576"/>
      <c r="B51" s="2573"/>
      <c r="C51" s="2576"/>
      <c r="D51" s="1368" t="s">
        <v>6460</v>
      </c>
      <c r="E51" s="1371" t="s">
        <v>6692</v>
      </c>
      <c r="F51" s="1438">
        <v>44293</v>
      </c>
      <c r="G51" s="1369" t="s">
        <v>6691</v>
      </c>
      <c r="H51" s="1371" t="s">
        <v>6693</v>
      </c>
      <c r="I51" s="1371"/>
      <c r="J51" s="1371" t="s">
        <v>6361</v>
      </c>
      <c r="K51" s="1371" t="s">
        <v>6361</v>
      </c>
      <c r="L51" s="1369" t="s">
        <v>6700</v>
      </c>
    </row>
    <row r="52" spans="1:14" s="1431" customFormat="1" x14ac:dyDescent="0.25">
      <c r="A52" s="2577"/>
      <c r="B52" s="2574"/>
      <c r="C52" s="2577"/>
      <c r="D52" s="1877"/>
      <c r="E52" s="1882"/>
      <c r="F52" s="1885"/>
      <c r="G52" s="1882"/>
      <c r="H52" s="1371"/>
      <c r="I52" s="1884"/>
      <c r="J52" s="1884"/>
      <c r="K52" s="1884"/>
      <c r="L52" s="1882"/>
      <c r="M52" s="1882"/>
      <c r="N52" s="1882"/>
    </row>
    <row r="53" spans="1:14" s="1437" customFormat="1" ht="47.25" x14ac:dyDescent="0.25">
      <c r="A53" s="2575" t="s">
        <v>6435</v>
      </c>
      <c r="B53" s="2572" t="s">
        <v>6348</v>
      </c>
      <c r="C53" s="2575" t="s">
        <v>6436</v>
      </c>
      <c r="D53" s="2375" t="s">
        <v>6437</v>
      </c>
      <c r="E53" s="2378" t="s">
        <v>6438</v>
      </c>
      <c r="F53" s="2383">
        <v>44294</v>
      </c>
      <c r="G53" s="2376" t="s">
        <v>6439</v>
      </c>
      <c r="H53" s="2378" t="s">
        <v>6440</v>
      </c>
      <c r="I53" s="1371" t="s">
        <v>6441</v>
      </c>
      <c r="J53" s="1371" t="s">
        <v>6361</v>
      </c>
      <c r="K53" s="1371" t="s">
        <v>6361</v>
      </c>
      <c r="L53" s="2376" t="s">
        <v>6442</v>
      </c>
      <c r="M53" s="1369"/>
      <c r="N53" s="1369"/>
    </row>
    <row r="54" spans="1:14" ht="47.25" x14ac:dyDescent="0.25">
      <c r="A54" s="2576"/>
      <c r="B54" s="2573"/>
      <c r="C54" s="2576"/>
      <c r="D54" s="1368" t="s">
        <v>6443</v>
      </c>
      <c r="E54" s="1371" t="s">
        <v>6444</v>
      </c>
      <c r="F54" s="1438">
        <v>44294</v>
      </c>
      <c r="G54" s="1369" t="s">
        <v>6445</v>
      </c>
      <c r="H54" s="1371" t="s">
        <v>6446</v>
      </c>
      <c r="I54" s="1371"/>
      <c r="J54" s="1371" t="s">
        <v>6361</v>
      </c>
      <c r="K54" s="1371" t="s">
        <v>6361</v>
      </c>
      <c r="L54" s="1369" t="s">
        <v>6447</v>
      </c>
    </row>
    <row r="55" spans="1:14" ht="47.25" x14ac:dyDescent="0.25">
      <c r="A55" s="2576"/>
      <c r="B55" s="2573"/>
      <c r="C55" s="2576"/>
      <c r="D55" s="1368" t="s">
        <v>6448</v>
      </c>
      <c r="E55" s="1371" t="s">
        <v>6449</v>
      </c>
      <c r="F55" s="1438">
        <v>44294</v>
      </c>
      <c r="G55" s="1369" t="s">
        <v>6450</v>
      </c>
      <c r="H55" s="1371" t="s">
        <v>6451</v>
      </c>
      <c r="I55" s="1371"/>
      <c r="J55" s="1371" t="s">
        <v>6361</v>
      </c>
      <c r="K55" s="1371" t="s">
        <v>6361</v>
      </c>
      <c r="L55" s="1369" t="s">
        <v>6452</v>
      </c>
    </row>
    <row r="56" spans="1:14" ht="47.25" x14ac:dyDescent="0.25">
      <c r="A56" s="2576"/>
      <c r="B56" s="2573"/>
      <c r="C56" s="2576"/>
      <c r="D56" s="1368" t="s">
        <v>6453</v>
      </c>
      <c r="E56" s="1371" t="s">
        <v>6454</v>
      </c>
      <c r="F56" s="1438">
        <v>44294</v>
      </c>
      <c r="G56" s="1369" t="s">
        <v>6455</v>
      </c>
      <c r="H56" s="1371" t="s">
        <v>6456</v>
      </c>
      <c r="I56" s="1371"/>
      <c r="J56" s="1371" t="s">
        <v>6361</v>
      </c>
      <c r="K56" s="1371" t="s">
        <v>6361</v>
      </c>
      <c r="L56" s="1369" t="s">
        <v>6457</v>
      </c>
    </row>
    <row r="57" spans="1:14" ht="47.25" x14ac:dyDescent="0.25">
      <c r="A57" s="2576"/>
      <c r="B57" s="2573"/>
      <c r="C57" s="2576"/>
      <c r="D57" s="1368" t="s">
        <v>6458</v>
      </c>
      <c r="E57" s="1371" t="s">
        <v>6459</v>
      </c>
      <c r="F57" s="1438">
        <v>44294</v>
      </c>
      <c r="G57" s="1369" t="s">
        <v>6460</v>
      </c>
      <c r="H57" s="1371" t="s">
        <v>6461</v>
      </c>
      <c r="I57" s="1371"/>
      <c r="J57" s="1371" t="s">
        <v>6361</v>
      </c>
      <c r="K57" s="1371" t="s">
        <v>6361</v>
      </c>
      <c r="L57" s="1369" t="s">
        <v>6462</v>
      </c>
    </row>
    <row r="58" spans="1:14" s="1431" customFormat="1" x14ac:dyDescent="0.25">
      <c r="A58" s="2577"/>
      <c r="B58" s="2574"/>
      <c r="C58" s="2577"/>
      <c r="D58" s="1877"/>
      <c r="E58" s="1882"/>
      <c r="F58" s="1885"/>
      <c r="G58" s="1882"/>
      <c r="H58" s="1884"/>
      <c r="I58" s="1884"/>
      <c r="J58" s="1884"/>
      <c r="K58" s="1884"/>
      <c r="L58" s="1882"/>
      <c r="M58" s="1882"/>
      <c r="N58" s="1882"/>
    </row>
    <row r="59" spans="1:14" ht="63" x14ac:dyDescent="0.25">
      <c r="A59" s="2575" t="s">
        <v>6435</v>
      </c>
      <c r="B59" s="2572" t="s">
        <v>6348</v>
      </c>
      <c r="C59" s="2575" t="s">
        <v>6463</v>
      </c>
      <c r="D59" s="1368" t="s">
        <v>6464</v>
      </c>
      <c r="E59" s="1371" t="s">
        <v>6465</v>
      </c>
      <c r="F59" s="1438">
        <v>44298</v>
      </c>
      <c r="G59" s="1369" t="s">
        <v>6437</v>
      </c>
      <c r="H59" s="1371" t="s">
        <v>6466</v>
      </c>
      <c r="I59" s="1371" t="s">
        <v>6467</v>
      </c>
      <c r="J59" s="1371" t="s">
        <v>6361</v>
      </c>
      <c r="K59" s="1371" t="s">
        <v>6361</v>
      </c>
      <c r="L59" s="1369" t="s">
        <v>6468</v>
      </c>
    </row>
    <row r="60" spans="1:14" ht="63" x14ac:dyDescent="0.25">
      <c r="A60" s="2576"/>
      <c r="B60" s="2573"/>
      <c r="C60" s="2576"/>
      <c r="D60" s="1368" t="s">
        <v>6469</v>
      </c>
      <c r="E60" s="1371" t="s">
        <v>6470</v>
      </c>
      <c r="F60" s="1438">
        <v>44298</v>
      </c>
      <c r="G60" s="1369" t="s">
        <v>6443</v>
      </c>
      <c r="H60" s="1371" t="s">
        <v>6471</v>
      </c>
      <c r="I60" s="1371"/>
      <c r="J60" s="1371" t="s">
        <v>6361</v>
      </c>
      <c r="K60" s="1371" t="s">
        <v>6361</v>
      </c>
      <c r="L60" s="1369" t="s">
        <v>6472</v>
      </c>
    </row>
    <row r="61" spans="1:14" ht="63" x14ac:dyDescent="0.25">
      <c r="A61" s="2576"/>
      <c r="B61" s="2573"/>
      <c r="C61" s="2576"/>
      <c r="D61" s="1368" t="s">
        <v>6473</v>
      </c>
      <c r="E61" s="1371" t="s">
        <v>6474</v>
      </c>
      <c r="F61" s="1438">
        <v>44298</v>
      </c>
      <c r="G61" s="1369" t="s">
        <v>6448</v>
      </c>
      <c r="H61" s="1371" t="s">
        <v>6475</v>
      </c>
      <c r="I61" s="1371"/>
      <c r="J61" s="1371" t="s">
        <v>6361</v>
      </c>
      <c r="K61" s="1371" t="s">
        <v>6361</v>
      </c>
      <c r="L61" s="1369" t="s">
        <v>6476</v>
      </c>
    </row>
    <row r="62" spans="1:14" ht="63" x14ac:dyDescent="0.25">
      <c r="A62" s="2576"/>
      <c r="B62" s="2573"/>
      <c r="C62" s="2576"/>
      <c r="D62" s="1368" t="s">
        <v>6477</v>
      </c>
      <c r="E62" s="1371" t="s">
        <v>6478</v>
      </c>
      <c r="F62" s="1438">
        <v>44298</v>
      </c>
      <c r="G62" s="1369" t="s">
        <v>6458</v>
      </c>
      <c r="H62" s="1371" t="s">
        <v>6479</v>
      </c>
      <c r="I62" s="1371"/>
      <c r="J62" s="1371" t="s">
        <v>6361</v>
      </c>
      <c r="K62" s="1371" t="s">
        <v>6361</v>
      </c>
      <c r="L62" s="1369" t="s">
        <v>6480</v>
      </c>
    </row>
    <row r="63" spans="1:14" x14ac:dyDescent="0.25">
      <c r="A63" s="2576"/>
      <c r="B63" s="2573"/>
      <c r="C63" s="2576"/>
      <c r="D63" s="1368"/>
      <c r="E63" s="1371"/>
      <c r="F63" s="1438"/>
      <c r="H63" s="1371"/>
      <c r="I63" s="1371"/>
      <c r="J63" s="1371"/>
      <c r="K63" s="1371"/>
    </row>
    <row r="64" spans="1:14" s="1431" customFormat="1" x14ac:dyDescent="0.25">
      <c r="A64" s="2577"/>
      <c r="B64" s="2574"/>
      <c r="C64" s="2577"/>
      <c r="D64" s="1877"/>
      <c r="E64" s="1882"/>
      <c r="F64" s="1885"/>
      <c r="G64" s="1882"/>
      <c r="H64" s="1884"/>
      <c r="I64" s="1884"/>
      <c r="J64" s="1884"/>
      <c r="K64" s="1884"/>
      <c r="L64" s="1882"/>
      <c r="M64" s="1882"/>
      <c r="N64" s="1882"/>
    </row>
    <row r="65" spans="1:17" ht="47.25" x14ac:dyDescent="0.25">
      <c r="A65" s="2575" t="s">
        <v>6435</v>
      </c>
      <c r="B65" s="2572" t="s">
        <v>6348</v>
      </c>
      <c r="C65" s="2575" t="s">
        <v>6481</v>
      </c>
      <c r="D65" s="1368" t="s">
        <v>6482</v>
      </c>
      <c r="E65" s="1371" t="s">
        <v>6483</v>
      </c>
      <c r="F65" s="1438">
        <v>44299</v>
      </c>
      <c r="G65" s="1369" t="s">
        <v>6464</v>
      </c>
      <c r="H65" s="1371" t="s">
        <v>6484</v>
      </c>
      <c r="I65" s="1371" t="s">
        <v>6485</v>
      </c>
      <c r="J65" s="1371" t="s">
        <v>6361</v>
      </c>
      <c r="K65" s="1371" t="s">
        <v>6361</v>
      </c>
      <c r="L65" s="1369" t="s">
        <v>6486</v>
      </c>
    </row>
    <row r="66" spans="1:17" ht="47.25" x14ac:dyDescent="0.25">
      <c r="A66" s="2576"/>
      <c r="B66" s="2573"/>
      <c r="C66" s="2576"/>
      <c r="D66" s="1368" t="s">
        <v>6487</v>
      </c>
      <c r="E66" s="1371" t="s">
        <v>6488</v>
      </c>
      <c r="F66" s="1438">
        <v>44299</v>
      </c>
      <c r="G66" s="1369" t="s">
        <v>6469</v>
      </c>
      <c r="H66" s="1371" t="s">
        <v>6489</v>
      </c>
      <c r="I66" s="1371"/>
      <c r="J66" s="1371" t="s">
        <v>6361</v>
      </c>
      <c r="K66" s="1371" t="s">
        <v>6361</v>
      </c>
      <c r="L66" s="1369" t="s">
        <v>6490</v>
      </c>
    </row>
    <row r="67" spans="1:17" ht="63" x14ac:dyDescent="0.25">
      <c r="A67" s="2576"/>
      <c r="B67" s="2573"/>
      <c r="C67" s="2576"/>
      <c r="D67" s="1368" t="s">
        <v>6491</v>
      </c>
      <c r="E67" s="1371" t="s">
        <v>6492</v>
      </c>
      <c r="F67" s="1438">
        <v>44299</v>
      </c>
      <c r="G67" s="1369" t="s">
        <v>6473</v>
      </c>
      <c r="H67" s="1371" t="s">
        <v>6475</v>
      </c>
      <c r="I67" s="1371"/>
      <c r="J67" s="1371" t="s">
        <v>6361</v>
      </c>
      <c r="K67" s="1371" t="s">
        <v>6361</v>
      </c>
      <c r="L67" s="1369" t="s">
        <v>6493</v>
      </c>
    </row>
    <row r="68" spans="1:17" s="1431" customFormat="1" ht="47.25" x14ac:dyDescent="0.25">
      <c r="A68" s="2577"/>
      <c r="B68" s="2574"/>
      <c r="C68" s="2577"/>
      <c r="D68" s="1877" t="s">
        <v>6494</v>
      </c>
      <c r="E68" s="1884" t="s">
        <v>6495</v>
      </c>
      <c r="F68" s="1885">
        <v>44299</v>
      </c>
      <c r="G68" s="1882" t="s">
        <v>6477</v>
      </c>
      <c r="H68" s="1884" t="s">
        <v>6496</v>
      </c>
      <c r="I68" s="1884"/>
      <c r="J68" s="1884" t="s">
        <v>6361</v>
      </c>
      <c r="K68" s="1884" t="s">
        <v>6361</v>
      </c>
      <c r="L68" s="1882" t="s">
        <v>6497</v>
      </c>
      <c r="M68" s="1882"/>
      <c r="N68" s="1882"/>
      <c r="O68" s="1882"/>
      <c r="P68" s="1882"/>
      <c r="Q68" s="1882"/>
    </row>
    <row r="69" spans="1:17" ht="47.25" x14ac:dyDescent="0.25">
      <c r="A69" s="2575" t="s">
        <v>6435</v>
      </c>
      <c r="B69" s="2572" t="s">
        <v>6348</v>
      </c>
      <c r="C69" s="2575" t="s">
        <v>6463</v>
      </c>
      <c r="D69" s="1368" t="s">
        <v>6498</v>
      </c>
      <c r="E69" s="1371" t="s">
        <v>6499</v>
      </c>
      <c r="F69" s="1438">
        <v>44299</v>
      </c>
      <c r="G69" s="1369" t="s">
        <v>6482</v>
      </c>
      <c r="H69" s="1371" t="s">
        <v>6500</v>
      </c>
      <c r="I69" s="1371" t="s">
        <v>6501</v>
      </c>
      <c r="J69" s="1371" t="s">
        <v>6361</v>
      </c>
      <c r="K69" s="1371" t="s">
        <v>6361</v>
      </c>
      <c r="L69" s="1369" t="s">
        <v>6502</v>
      </c>
    </row>
    <row r="70" spans="1:17" ht="47.25" x14ac:dyDescent="0.25">
      <c r="A70" s="2576"/>
      <c r="B70" s="2573"/>
      <c r="C70" s="2576"/>
      <c r="D70" s="1368" t="s">
        <v>6503</v>
      </c>
      <c r="E70" s="1371" t="s">
        <v>6504</v>
      </c>
      <c r="F70" s="1438">
        <v>44299</v>
      </c>
      <c r="G70" s="1369" t="s">
        <v>6487</v>
      </c>
      <c r="H70" s="1371" t="s">
        <v>6505</v>
      </c>
      <c r="I70" s="1371"/>
      <c r="J70" s="1371" t="s">
        <v>6361</v>
      </c>
      <c r="K70" s="1371" t="s">
        <v>6361</v>
      </c>
      <c r="L70" s="1369" t="s">
        <v>6506</v>
      </c>
    </row>
    <row r="71" spans="1:17" ht="47.25" x14ac:dyDescent="0.25">
      <c r="A71" s="2576"/>
      <c r="B71" s="2573"/>
      <c r="C71" s="2576"/>
      <c r="D71" s="1368" t="s">
        <v>6507</v>
      </c>
      <c r="E71" s="1371" t="s">
        <v>6508</v>
      </c>
      <c r="F71" s="1438">
        <v>44299</v>
      </c>
      <c r="G71" s="1369" t="s">
        <v>6491</v>
      </c>
      <c r="H71" s="1371" t="s">
        <v>6509</v>
      </c>
      <c r="I71" s="1371"/>
      <c r="J71" s="1371" t="s">
        <v>6361</v>
      </c>
      <c r="K71" s="1371" t="s">
        <v>6361</v>
      </c>
      <c r="L71" s="1369" t="s">
        <v>6510</v>
      </c>
    </row>
    <row r="72" spans="1:17" s="1452" customFormat="1" ht="47.25" x14ac:dyDescent="0.25">
      <c r="A72" s="2577"/>
      <c r="B72" s="2574"/>
      <c r="C72" s="2577"/>
      <c r="D72" s="1877" t="s">
        <v>6511</v>
      </c>
      <c r="E72" s="1884" t="s">
        <v>6512</v>
      </c>
      <c r="F72" s="1885">
        <v>44299</v>
      </c>
      <c r="G72" s="1882" t="s">
        <v>6494</v>
      </c>
      <c r="H72" s="1884" t="s">
        <v>6513</v>
      </c>
      <c r="I72" s="1884"/>
      <c r="J72" s="1884" t="s">
        <v>6361</v>
      </c>
      <c r="K72" s="1884" t="s">
        <v>6361</v>
      </c>
      <c r="L72" s="1882" t="s">
        <v>6514</v>
      </c>
      <c r="M72" s="1882"/>
      <c r="N72" s="1882"/>
      <c r="O72" s="1882"/>
      <c r="P72" s="1882"/>
      <c r="Q72" s="1882"/>
    </row>
    <row r="73" spans="1:17" ht="61.35" customHeight="1" x14ac:dyDescent="0.25">
      <c r="A73" s="2575" t="s">
        <v>6435</v>
      </c>
      <c r="B73" s="2575" t="s">
        <v>6348</v>
      </c>
      <c r="C73" s="2575" t="s">
        <v>6515</v>
      </c>
      <c r="D73" s="1368" t="s">
        <v>6516</v>
      </c>
      <c r="E73" s="1371" t="s">
        <v>6499</v>
      </c>
      <c r="F73" s="1438">
        <v>44300</v>
      </c>
      <c r="G73" s="1369" t="s">
        <v>6503</v>
      </c>
      <c r="H73" s="1371" t="s">
        <v>6517</v>
      </c>
      <c r="I73" s="1371"/>
      <c r="J73" s="1371" t="s">
        <v>6361</v>
      </c>
      <c r="K73" s="1371" t="s">
        <v>6361</v>
      </c>
      <c r="L73" s="1369" t="s">
        <v>6518</v>
      </c>
    </row>
    <row r="74" spans="1:17" ht="61.35" customHeight="1" x14ac:dyDescent="0.25">
      <c r="A74" s="2576"/>
      <c r="B74" s="2576"/>
      <c r="C74" s="2576"/>
      <c r="D74" s="1368" t="s">
        <v>6519</v>
      </c>
      <c r="E74" s="1371" t="s">
        <v>6504</v>
      </c>
      <c r="F74" s="1438">
        <v>44300</v>
      </c>
      <c r="G74" s="1369" t="s">
        <v>6498</v>
      </c>
      <c r="H74" s="1371" t="s">
        <v>6520</v>
      </c>
      <c r="I74" s="1371"/>
      <c r="J74" s="1371" t="s">
        <v>6361</v>
      </c>
      <c r="K74" s="1371" t="s">
        <v>6361</v>
      </c>
      <c r="L74" s="1369" t="s">
        <v>6521</v>
      </c>
    </row>
    <row r="75" spans="1:17" s="1452" customFormat="1" ht="61.35" customHeight="1" x14ac:dyDescent="0.25">
      <c r="A75" s="2577"/>
      <c r="B75" s="2577"/>
      <c r="C75" s="2577"/>
      <c r="D75" s="1877" t="s">
        <v>6522</v>
      </c>
      <c r="E75" s="1884" t="s">
        <v>6508</v>
      </c>
      <c r="F75" s="1885">
        <v>44300</v>
      </c>
      <c r="G75" s="1882" t="s">
        <v>6511</v>
      </c>
      <c r="H75" s="1884" t="s">
        <v>6523</v>
      </c>
      <c r="I75" s="1884"/>
      <c r="J75" s="1884" t="s">
        <v>6361</v>
      </c>
      <c r="K75" s="1884" t="s">
        <v>6361</v>
      </c>
      <c r="L75" s="1882" t="s">
        <v>6524</v>
      </c>
      <c r="M75" s="1882"/>
      <c r="N75" s="1882"/>
      <c r="O75" s="1882"/>
      <c r="P75" s="1882"/>
      <c r="Q75" s="1882"/>
    </row>
    <row r="76" spans="1:17" ht="61.35" customHeight="1" x14ac:dyDescent="0.25">
      <c r="A76" s="2575" t="s">
        <v>6435</v>
      </c>
      <c r="B76" s="2575" t="s">
        <v>6348</v>
      </c>
      <c r="C76" s="2575" t="s">
        <v>6525</v>
      </c>
      <c r="D76" s="1368" t="s">
        <v>6526</v>
      </c>
      <c r="E76" s="1371" t="s">
        <v>6499</v>
      </c>
      <c r="F76" s="1438">
        <v>44301</v>
      </c>
      <c r="G76" s="1369" t="s">
        <v>6498</v>
      </c>
      <c r="H76" s="1371" t="s">
        <v>6527</v>
      </c>
      <c r="I76" s="1371"/>
      <c r="J76" s="1371" t="s">
        <v>6361</v>
      </c>
      <c r="K76" s="1371" t="s">
        <v>6361</v>
      </c>
      <c r="L76" s="1369" t="s">
        <v>6528</v>
      </c>
    </row>
    <row r="77" spans="1:17" ht="61.35" customHeight="1" x14ac:dyDescent="0.25">
      <c r="A77" s="2576"/>
      <c r="B77" s="2576"/>
      <c r="C77" s="2576"/>
      <c r="D77" s="1368" t="s">
        <v>6369</v>
      </c>
      <c r="E77" s="1371" t="s">
        <v>6504</v>
      </c>
      <c r="F77" s="1438">
        <v>44301</v>
      </c>
      <c r="G77" s="1369" t="s">
        <v>6503</v>
      </c>
      <c r="H77" s="1371" t="s">
        <v>6529</v>
      </c>
      <c r="I77" s="1371"/>
      <c r="J77" s="1371" t="s">
        <v>6361</v>
      </c>
      <c r="K77" s="1371" t="s">
        <v>6361</v>
      </c>
      <c r="L77" s="1369" t="s">
        <v>6530</v>
      </c>
    </row>
    <row r="78" spans="1:17" s="1452" customFormat="1" ht="61.35" customHeight="1" x14ac:dyDescent="0.25">
      <c r="A78" s="2577"/>
      <c r="B78" s="2577"/>
      <c r="C78" s="2577"/>
      <c r="D78" s="1877" t="s">
        <v>6531</v>
      </c>
      <c r="E78" s="1884" t="s">
        <v>6508</v>
      </c>
      <c r="F78" s="1885">
        <v>44301</v>
      </c>
      <c r="G78" s="1882" t="s">
        <v>6532</v>
      </c>
      <c r="H78" s="1884" t="s">
        <v>6533</v>
      </c>
      <c r="I78" s="1884"/>
      <c r="J78" s="1884" t="s">
        <v>6361</v>
      </c>
      <c r="K78" s="1884" t="s">
        <v>6361</v>
      </c>
      <c r="L78" s="1882" t="s">
        <v>6534</v>
      </c>
      <c r="M78" s="1882"/>
      <c r="N78" s="1882"/>
      <c r="O78" s="1882"/>
      <c r="P78" s="1882"/>
      <c r="Q78" s="1882"/>
    </row>
    <row r="79" spans="1:17" ht="63" x14ac:dyDescent="0.25">
      <c r="A79" s="2126" t="s">
        <v>6535</v>
      </c>
      <c r="B79" s="2127" t="s">
        <v>6348</v>
      </c>
      <c r="C79" s="2126" t="s">
        <v>6536</v>
      </c>
      <c r="D79" s="1368" t="s">
        <v>6368</v>
      </c>
      <c r="E79" s="1371" t="s">
        <v>6537</v>
      </c>
      <c r="F79" s="1438">
        <v>44302</v>
      </c>
      <c r="G79" s="1369" t="s">
        <v>6369</v>
      </c>
      <c r="H79" s="1371" t="s">
        <v>6538</v>
      </c>
      <c r="I79" s="1371" t="s">
        <v>6371</v>
      </c>
      <c r="J79" s="1371" t="s">
        <v>6361</v>
      </c>
      <c r="K79" s="1371" t="s">
        <v>6361</v>
      </c>
      <c r="L79" s="1369" t="s">
        <v>6372</v>
      </c>
    </row>
    <row r="80" spans="1:17" x14ac:dyDescent="0.25">
      <c r="A80" s="1972"/>
      <c r="B80" s="1972"/>
      <c r="C80" s="1972"/>
      <c r="D80" s="1972"/>
      <c r="E80" s="1972"/>
      <c r="F80" s="1972"/>
      <c r="G80" s="1972"/>
      <c r="H80" s="1972"/>
      <c r="I80" s="1972"/>
      <c r="J80" s="1972"/>
      <c r="K80" s="1972"/>
      <c r="L80" s="1972"/>
      <c r="M80" s="1972"/>
      <c r="N80" s="1972"/>
      <c r="O80" s="1972"/>
      <c r="P80" s="1972"/>
      <c r="Q80" s="1972"/>
    </row>
  </sheetData>
  <mergeCells count="42">
    <mergeCell ref="A76:A78"/>
    <mergeCell ref="B76:B78"/>
    <mergeCell ref="C76:C78"/>
    <mergeCell ref="A73:A75"/>
    <mergeCell ref="B73:B75"/>
    <mergeCell ref="C73:C75"/>
    <mergeCell ref="A65:A68"/>
    <mergeCell ref="B65:B68"/>
    <mergeCell ref="C65:C68"/>
    <mergeCell ref="A69:A72"/>
    <mergeCell ref="B69:B72"/>
    <mergeCell ref="C69:C72"/>
    <mergeCell ref="A53:A58"/>
    <mergeCell ref="B53:B58"/>
    <mergeCell ref="C53:C58"/>
    <mergeCell ref="A59:A64"/>
    <mergeCell ref="B59:B64"/>
    <mergeCell ref="C59:C64"/>
    <mergeCell ref="A2:A9"/>
    <mergeCell ref="B2:B9"/>
    <mergeCell ref="C2:C9"/>
    <mergeCell ref="A23:A28"/>
    <mergeCell ref="B23:B28"/>
    <mergeCell ref="C23:C28"/>
    <mergeCell ref="A11:A16"/>
    <mergeCell ref="B11:B16"/>
    <mergeCell ref="C11:C16"/>
    <mergeCell ref="A17:A22"/>
    <mergeCell ref="B17:B22"/>
    <mergeCell ref="C17:C22"/>
    <mergeCell ref="A47:A52"/>
    <mergeCell ref="B47:B52"/>
    <mergeCell ref="C47:C52"/>
    <mergeCell ref="A29:A34"/>
    <mergeCell ref="B29:B34"/>
    <mergeCell ref="C29:C34"/>
    <mergeCell ref="A35:A40"/>
    <mergeCell ref="B35:B40"/>
    <mergeCell ref="C35:C40"/>
    <mergeCell ref="A41:A46"/>
    <mergeCell ref="B41:B46"/>
    <mergeCell ref="C41:C4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0" tint="-0.14999847407452621"/>
  </sheetPr>
  <dimension ref="A1:Q73"/>
  <sheetViews>
    <sheetView zoomScale="90" zoomScaleNormal="90" workbookViewId="0">
      <pane ySplit="1" topLeftCell="A61" activePane="bottomLeft" state="frozen"/>
      <selection pane="bottomLeft"/>
    </sheetView>
  </sheetViews>
  <sheetFormatPr defaultColWidth="9.140625" defaultRowHeight="15.75" x14ac:dyDescent="0.25"/>
  <cols>
    <col min="1" max="1" width="14.85546875" style="1118" customWidth="1"/>
    <col min="2" max="2" width="9.140625" style="1118"/>
    <col min="3" max="3" width="18.5703125" style="1118" customWidth="1"/>
    <col min="4" max="4" width="26.140625" style="1118" bestFit="1" customWidth="1"/>
    <col min="5" max="5" width="18.5703125" style="1118" customWidth="1"/>
    <col min="6" max="6" width="13.28515625" style="1118" customWidth="1"/>
    <col min="7" max="7" width="19" style="1118" bestFit="1" customWidth="1"/>
    <col min="8" max="8" width="53.5703125" style="1118" customWidth="1"/>
    <col min="9" max="9" width="81.28515625" style="1118" customWidth="1"/>
    <col min="10" max="10" width="12.28515625" style="1118" customWidth="1"/>
    <col min="11" max="11" width="10.28515625" style="1118" customWidth="1"/>
    <col min="12" max="12" width="11.5703125" style="1118" customWidth="1"/>
    <col min="13" max="16384" width="9.140625" style="1118"/>
  </cols>
  <sheetData>
    <row r="1" spans="1:12" s="1209" customFormat="1" ht="47.25" x14ac:dyDescent="0.25">
      <c r="A1" s="1886" t="s">
        <v>6338</v>
      </c>
      <c r="B1" s="1886" t="s">
        <v>6339</v>
      </c>
      <c r="C1" s="1886" t="s">
        <v>6340</v>
      </c>
      <c r="D1" s="1886" t="s">
        <v>1462</v>
      </c>
      <c r="E1" s="1886" t="s">
        <v>6341</v>
      </c>
      <c r="F1" s="1886" t="s">
        <v>5866</v>
      </c>
      <c r="G1" s="1886" t="s">
        <v>6342</v>
      </c>
      <c r="H1" s="1886" t="s">
        <v>6236</v>
      </c>
      <c r="I1" s="1886" t="s">
        <v>6343</v>
      </c>
      <c r="J1" s="1886" t="s">
        <v>6344</v>
      </c>
      <c r="K1" s="1886" t="s">
        <v>6345</v>
      </c>
      <c r="L1" s="1887" t="s">
        <v>6346</v>
      </c>
    </row>
    <row r="2" spans="1:12" ht="36" customHeight="1" x14ac:dyDescent="0.25">
      <c r="A2" s="2584" t="s">
        <v>6701</v>
      </c>
      <c r="B2" s="2590" t="s">
        <v>6348</v>
      </c>
      <c r="C2" s="2584" t="s">
        <v>6702</v>
      </c>
      <c r="D2" s="1123" t="s">
        <v>6245</v>
      </c>
      <c r="F2" s="1126"/>
      <c r="H2" s="1117" t="s">
        <v>6246</v>
      </c>
      <c r="I2" s="1155" t="s">
        <v>6703</v>
      </c>
      <c r="J2" s="1118" t="s">
        <v>6351</v>
      </c>
      <c r="K2" s="1153" t="s">
        <v>6352</v>
      </c>
      <c r="L2" s="1118" t="s">
        <v>6704</v>
      </c>
    </row>
    <row r="3" spans="1:12" ht="47.85" customHeight="1" x14ac:dyDescent="0.25">
      <c r="A3" s="2588"/>
      <c r="B3" s="2591"/>
      <c r="C3" s="2588"/>
      <c r="D3" s="1123" t="s">
        <v>6705</v>
      </c>
      <c r="F3" s="1157">
        <v>43880</v>
      </c>
      <c r="G3" s="1118" t="s">
        <v>6245</v>
      </c>
      <c r="H3" s="1184" t="s">
        <v>6706</v>
      </c>
      <c r="I3" s="1155" t="s">
        <v>6707</v>
      </c>
      <c r="J3" s="1117" t="s">
        <v>6352</v>
      </c>
      <c r="K3" s="1117" t="s">
        <v>6352</v>
      </c>
      <c r="L3" s="1153" t="s">
        <v>6708</v>
      </c>
    </row>
    <row r="4" spans="1:12" ht="31.5" x14ac:dyDescent="0.25">
      <c r="A4" s="2588"/>
      <c r="B4" s="2591"/>
      <c r="C4" s="2588"/>
      <c r="D4" s="1123" t="s">
        <v>6709</v>
      </c>
      <c r="E4" s="1117"/>
      <c r="F4" s="1124">
        <v>42482</v>
      </c>
      <c r="G4" s="1118" t="s">
        <v>6710</v>
      </c>
      <c r="H4" s="1117" t="s">
        <v>6711</v>
      </c>
      <c r="I4" s="1117" t="s">
        <v>6712</v>
      </c>
      <c r="J4" s="1117" t="s">
        <v>6361</v>
      </c>
      <c r="K4" s="1117"/>
      <c r="L4" s="1118" t="s">
        <v>6713</v>
      </c>
    </row>
    <row r="5" spans="1:12" ht="31.5" x14ac:dyDescent="0.25">
      <c r="A5" s="2588"/>
      <c r="B5" s="2591"/>
      <c r="C5" s="2588"/>
      <c r="D5" s="1123" t="s">
        <v>6714</v>
      </c>
      <c r="F5" s="1122">
        <v>42835</v>
      </c>
      <c r="G5" s="1118" t="s">
        <v>6715</v>
      </c>
      <c r="H5" s="1118" t="s">
        <v>6716</v>
      </c>
      <c r="I5" s="1117" t="s">
        <v>6717</v>
      </c>
      <c r="J5" s="1117" t="s">
        <v>6361</v>
      </c>
      <c r="K5" s="1117" t="s">
        <v>6361</v>
      </c>
      <c r="L5" s="1118" t="s">
        <v>6718</v>
      </c>
    </row>
    <row r="6" spans="1:12" ht="31.5" x14ac:dyDescent="0.25">
      <c r="A6" s="2588"/>
      <c r="B6" s="2591"/>
      <c r="C6" s="2588"/>
      <c r="D6" s="1123" t="s">
        <v>6546</v>
      </c>
      <c r="F6" s="1154">
        <v>43200</v>
      </c>
      <c r="H6" s="1153" t="s">
        <v>6547</v>
      </c>
      <c r="I6" s="1155" t="s">
        <v>6548</v>
      </c>
      <c r="J6" s="1117" t="s">
        <v>6361</v>
      </c>
      <c r="K6" s="1117" t="s">
        <v>6361</v>
      </c>
      <c r="L6" s="1153" t="s">
        <v>6549</v>
      </c>
    </row>
    <row r="7" spans="1:12" ht="41.25" customHeight="1" x14ac:dyDescent="0.25">
      <c r="A7" s="2588"/>
      <c r="B7" s="2591"/>
      <c r="C7" s="2588"/>
      <c r="D7" s="1123" t="s">
        <v>6357</v>
      </c>
      <c r="F7" s="1154">
        <v>43570</v>
      </c>
      <c r="G7" s="1118" t="s">
        <v>6358</v>
      </c>
      <c r="H7" s="1153" t="s">
        <v>6359</v>
      </c>
      <c r="I7" s="1155" t="s">
        <v>6360</v>
      </c>
      <c r="J7" s="1118" t="s">
        <v>6361</v>
      </c>
      <c r="K7" s="1118" t="s">
        <v>6361</v>
      </c>
      <c r="L7" s="1118" t="s">
        <v>6362</v>
      </c>
    </row>
    <row r="8" spans="1:12" ht="31.5" x14ac:dyDescent="0.25">
      <c r="A8" s="2588"/>
      <c r="B8" s="2591"/>
      <c r="C8" s="2588"/>
      <c r="D8" s="1123" t="s">
        <v>6719</v>
      </c>
      <c r="F8" s="1157">
        <v>43880</v>
      </c>
      <c r="G8" s="1153" t="s">
        <v>6546</v>
      </c>
      <c r="H8" s="1184" t="s">
        <v>6720</v>
      </c>
      <c r="I8" s="1155" t="s">
        <v>6721</v>
      </c>
      <c r="J8" s="1118" t="s">
        <v>6361</v>
      </c>
      <c r="K8" s="1118" t="s">
        <v>6352</v>
      </c>
      <c r="L8" s="1153" t="s">
        <v>6722</v>
      </c>
    </row>
    <row r="9" spans="1:12" ht="94.5" x14ac:dyDescent="0.25">
      <c r="A9" s="2588"/>
      <c r="B9" s="2591"/>
      <c r="C9" s="2588"/>
      <c r="D9" s="1123" t="s">
        <v>6723</v>
      </c>
      <c r="F9" s="1157">
        <v>43885</v>
      </c>
      <c r="G9" s="1153" t="s">
        <v>6546</v>
      </c>
      <c r="H9" s="1184" t="s">
        <v>6724</v>
      </c>
      <c r="I9" s="1155" t="s">
        <v>6725</v>
      </c>
      <c r="J9" s="1153" t="s">
        <v>6361</v>
      </c>
      <c r="K9" s="1153" t="s">
        <v>6361</v>
      </c>
      <c r="L9" s="1153" t="s">
        <v>6726</v>
      </c>
    </row>
    <row r="10" spans="1:12" s="1204" customFormat="1" ht="189" x14ac:dyDescent="0.25">
      <c r="A10" s="2585"/>
      <c r="B10" s="2592"/>
      <c r="C10" s="2585"/>
      <c r="D10" s="1123" t="s">
        <v>6727</v>
      </c>
      <c r="E10" s="1118"/>
      <c r="F10" s="1157">
        <v>43885</v>
      </c>
      <c r="G10" s="1153" t="s">
        <v>6357</v>
      </c>
      <c r="H10" s="1184" t="s">
        <v>6728</v>
      </c>
      <c r="I10" s="1155" t="s">
        <v>6729</v>
      </c>
      <c r="J10" s="1117" t="s">
        <v>6361</v>
      </c>
      <c r="K10" s="1155" t="s">
        <v>6361</v>
      </c>
      <c r="L10" s="1153" t="s">
        <v>6730</v>
      </c>
    </row>
    <row r="11" spans="1:12" s="1210" customFormat="1" ht="204.75" x14ac:dyDescent="0.25">
      <c r="A11" s="1973" t="s">
        <v>6731</v>
      </c>
      <c r="B11" s="1973" t="s">
        <v>6348</v>
      </c>
      <c r="C11" s="1973" t="s">
        <v>6732</v>
      </c>
      <c r="D11" s="1974" t="s">
        <v>6733</v>
      </c>
      <c r="E11" s="1975"/>
      <c r="F11" s="1976">
        <v>43894</v>
      </c>
      <c r="G11" s="1977" t="s">
        <v>6727</v>
      </c>
      <c r="H11" s="1978" t="s">
        <v>6734</v>
      </c>
      <c r="I11" s="1978" t="s">
        <v>6735</v>
      </c>
      <c r="J11" s="1979" t="s">
        <v>6361</v>
      </c>
      <c r="K11" s="1979" t="s">
        <v>6361</v>
      </c>
      <c r="L11" s="1980" t="s">
        <v>6736</v>
      </c>
    </row>
    <row r="12" spans="1:12" s="1210" customFormat="1" ht="157.5" x14ac:dyDescent="0.25">
      <c r="A12" s="1973" t="s">
        <v>6731</v>
      </c>
      <c r="B12" s="1973" t="s">
        <v>6348</v>
      </c>
      <c r="C12" s="1973" t="s">
        <v>6737</v>
      </c>
      <c r="D12" s="1974" t="s">
        <v>6738</v>
      </c>
      <c r="E12" s="1975"/>
      <c r="F12" s="1976">
        <v>43894</v>
      </c>
      <c r="G12" s="1977" t="s">
        <v>6733</v>
      </c>
      <c r="H12" s="1978" t="s">
        <v>6739</v>
      </c>
      <c r="I12" s="1978" t="s">
        <v>6740</v>
      </c>
      <c r="J12" s="1979" t="s">
        <v>6361</v>
      </c>
      <c r="K12" s="1979" t="s">
        <v>6361</v>
      </c>
      <c r="L12" s="1980" t="s">
        <v>6736</v>
      </c>
    </row>
    <row r="13" spans="1:12" s="1121" customFormat="1" ht="69.75" customHeight="1" x14ac:dyDescent="0.25">
      <c r="A13" s="2584" t="s">
        <v>6741</v>
      </c>
      <c r="B13" s="2586" t="s">
        <v>6348</v>
      </c>
      <c r="C13" s="2584" t="s">
        <v>6742</v>
      </c>
      <c r="D13" s="2384" t="s">
        <v>6743</v>
      </c>
      <c r="E13" s="2385" t="s">
        <v>6744</v>
      </c>
      <c r="F13" s="2386">
        <v>43895</v>
      </c>
      <c r="G13" s="2385" t="s">
        <v>6738</v>
      </c>
      <c r="H13" s="2387" t="s">
        <v>6745</v>
      </c>
      <c r="I13" s="2387" t="s">
        <v>6746</v>
      </c>
      <c r="J13" s="1155" t="s">
        <v>6361</v>
      </c>
      <c r="K13" s="1155" t="s">
        <v>6361</v>
      </c>
      <c r="L13" s="2385" t="s">
        <v>6747</v>
      </c>
    </row>
    <row r="14" spans="1:12" ht="31.5" x14ac:dyDescent="0.25">
      <c r="A14" s="2588"/>
      <c r="B14" s="2589"/>
      <c r="C14" s="2588"/>
      <c r="D14" s="1123" t="s">
        <v>6748</v>
      </c>
      <c r="E14" s="1153" t="s">
        <v>6749</v>
      </c>
      <c r="F14" s="1120">
        <v>43895</v>
      </c>
      <c r="G14" s="1153" t="s">
        <v>6738</v>
      </c>
      <c r="H14" s="1155" t="s">
        <v>6750</v>
      </c>
      <c r="I14" s="1117"/>
      <c r="J14" s="1155" t="s">
        <v>6361</v>
      </c>
      <c r="K14" s="1155" t="s">
        <v>6361</v>
      </c>
      <c r="L14" s="1153" t="s">
        <v>6751</v>
      </c>
    </row>
    <row r="15" spans="1:12" ht="31.5" x14ac:dyDescent="0.25">
      <c r="A15" s="2588"/>
      <c r="B15" s="2589"/>
      <c r="C15" s="2588"/>
      <c r="D15" s="1123" t="s">
        <v>6752</v>
      </c>
      <c r="E15" s="1153" t="s">
        <v>6753</v>
      </c>
      <c r="F15" s="1120">
        <v>43895</v>
      </c>
      <c r="G15" s="1153" t="s">
        <v>6738</v>
      </c>
      <c r="H15" s="1155" t="s">
        <v>6754</v>
      </c>
      <c r="I15" s="1117"/>
      <c r="J15" s="1155" t="s">
        <v>6361</v>
      </c>
      <c r="K15" s="1155" t="s">
        <v>6361</v>
      </c>
      <c r="L15" s="1153" t="s">
        <v>6755</v>
      </c>
    </row>
    <row r="16" spans="1:12" ht="35.25" customHeight="1" x14ac:dyDescent="0.25">
      <c r="A16" s="2588"/>
      <c r="B16" s="2589"/>
      <c r="C16" s="2588"/>
      <c r="D16" s="1123" t="s">
        <v>6756</v>
      </c>
      <c r="E16" s="1153" t="s">
        <v>6757</v>
      </c>
      <c r="F16" s="1120">
        <v>43895</v>
      </c>
      <c r="G16" s="1153" t="s">
        <v>6738</v>
      </c>
      <c r="H16" s="1155" t="s">
        <v>6758</v>
      </c>
      <c r="I16" s="1155"/>
      <c r="J16" s="1155" t="s">
        <v>6361</v>
      </c>
      <c r="K16" s="1155" t="s">
        <v>6361</v>
      </c>
      <c r="L16" s="1153" t="s">
        <v>6759</v>
      </c>
    </row>
    <row r="17" spans="1:12" ht="31.5" x14ac:dyDescent="0.25">
      <c r="A17" s="2588"/>
      <c r="B17" s="2589"/>
      <c r="C17" s="2588"/>
      <c r="D17" s="1123" t="s">
        <v>6760</v>
      </c>
      <c r="E17" s="1153" t="s">
        <v>6761</v>
      </c>
      <c r="F17" s="1120">
        <v>43895</v>
      </c>
      <c r="G17" s="1153" t="s">
        <v>6738</v>
      </c>
      <c r="H17" s="1155" t="s">
        <v>6762</v>
      </c>
      <c r="I17" s="1117"/>
      <c r="J17" s="1155" t="s">
        <v>6361</v>
      </c>
      <c r="K17" s="1155" t="s">
        <v>6361</v>
      </c>
      <c r="L17" s="1153" t="s">
        <v>6763</v>
      </c>
    </row>
    <row r="18" spans="1:12" s="1204" customFormat="1" ht="31.5" x14ac:dyDescent="0.25">
      <c r="A18" s="2585"/>
      <c r="B18" s="2587"/>
      <c r="C18" s="2585"/>
      <c r="D18" s="1887" t="s">
        <v>6764</v>
      </c>
      <c r="E18" s="1888" t="s">
        <v>6765</v>
      </c>
      <c r="F18" s="1889">
        <v>43895</v>
      </c>
      <c r="G18" s="1888" t="s">
        <v>6738</v>
      </c>
      <c r="H18" s="1155" t="s">
        <v>6766</v>
      </c>
      <c r="I18" s="1890"/>
      <c r="J18" s="1891" t="s">
        <v>6361</v>
      </c>
      <c r="K18" s="1891" t="s">
        <v>6361</v>
      </c>
      <c r="L18" s="1888" t="s">
        <v>6767</v>
      </c>
    </row>
    <row r="19" spans="1:12" s="1121" customFormat="1" ht="42" customHeight="1" x14ac:dyDescent="0.25">
      <c r="A19" s="2584" t="s">
        <v>6741</v>
      </c>
      <c r="B19" s="2586" t="s">
        <v>6348</v>
      </c>
      <c r="C19" s="2584" t="s">
        <v>6768</v>
      </c>
      <c r="D19" s="2384" t="s">
        <v>6769</v>
      </c>
      <c r="E19" s="2385" t="s">
        <v>6744</v>
      </c>
      <c r="F19" s="2386">
        <v>43896</v>
      </c>
      <c r="G19" s="2385" t="s">
        <v>6743</v>
      </c>
      <c r="H19" s="2387" t="s">
        <v>6770</v>
      </c>
      <c r="I19" s="2387" t="s">
        <v>6771</v>
      </c>
      <c r="J19" s="1155" t="s">
        <v>6361</v>
      </c>
      <c r="K19" s="1155" t="s">
        <v>6361</v>
      </c>
      <c r="L19" s="2385" t="s">
        <v>6772</v>
      </c>
    </row>
    <row r="20" spans="1:12" ht="31.5" x14ac:dyDescent="0.25">
      <c r="A20" s="2588"/>
      <c r="B20" s="2589"/>
      <c r="C20" s="2588"/>
      <c r="D20" s="1123" t="s">
        <v>6773</v>
      </c>
      <c r="E20" s="1153" t="s">
        <v>6749</v>
      </c>
      <c r="F20" s="1120">
        <v>43896</v>
      </c>
      <c r="G20" s="1153" t="s">
        <v>6748</v>
      </c>
      <c r="H20" s="1155" t="s">
        <v>6774</v>
      </c>
      <c r="I20" s="1117"/>
      <c r="J20" s="1155" t="s">
        <v>6361</v>
      </c>
      <c r="K20" s="1155" t="s">
        <v>6361</v>
      </c>
      <c r="L20" s="1153" t="s">
        <v>6775</v>
      </c>
    </row>
    <row r="21" spans="1:12" ht="31.5" x14ac:dyDescent="0.25">
      <c r="A21" s="2588"/>
      <c r="B21" s="2589"/>
      <c r="C21" s="2588"/>
      <c r="D21" s="1123" t="s">
        <v>6776</v>
      </c>
      <c r="E21" s="1153" t="s">
        <v>6753</v>
      </c>
      <c r="F21" s="1120">
        <v>43896</v>
      </c>
      <c r="G21" s="1153" t="s">
        <v>6752</v>
      </c>
      <c r="H21" s="1155" t="s">
        <v>6777</v>
      </c>
      <c r="I21" s="1117"/>
      <c r="J21" s="1155" t="s">
        <v>6361</v>
      </c>
      <c r="K21" s="1155" t="s">
        <v>6361</v>
      </c>
      <c r="L21" s="1153" t="s">
        <v>6778</v>
      </c>
    </row>
    <row r="22" spans="1:12" ht="47.25" customHeight="1" x14ac:dyDescent="0.25">
      <c r="A22" s="2588"/>
      <c r="B22" s="2589"/>
      <c r="C22" s="2588"/>
      <c r="D22" s="1123" t="s">
        <v>6779</v>
      </c>
      <c r="E22" s="1153" t="s">
        <v>6757</v>
      </c>
      <c r="F22" s="1120">
        <v>43896</v>
      </c>
      <c r="G22" s="1153" t="s">
        <v>6756</v>
      </c>
      <c r="H22" s="1155" t="s">
        <v>6780</v>
      </c>
      <c r="I22" s="1155"/>
      <c r="J22" s="1155" t="s">
        <v>6361</v>
      </c>
      <c r="K22" s="1155" t="s">
        <v>6361</v>
      </c>
      <c r="L22" s="1153" t="s">
        <v>6781</v>
      </c>
    </row>
    <row r="23" spans="1:12" ht="31.5" x14ac:dyDescent="0.25">
      <c r="A23" s="2588"/>
      <c r="B23" s="2589"/>
      <c r="C23" s="2588"/>
      <c r="D23" s="1123" t="s">
        <v>6782</v>
      </c>
      <c r="E23" s="1153" t="s">
        <v>6761</v>
      </c>
      <c r="F23" s="1120">
        <v>43896</v>
      </c>
      <c r="G23" s="1153" t="s">
        <v>6760</v>
      </c>
      <c r="H23" s="1155" t="s">
        <v>6783</v>
      </c>
      <c r="I23" s="1117"/>
      <c r="J23" s="1155" t="s">
        <v>6361</v>
      </c>
      <c r="K23" s="1155" t="s">
        <v>6361</v>
      </c>
      <c r="L23" s="1153" t="s">
        <v>6784</v>
      </c>
    </row>
    <row r="24" spans="1:12" s="1204" customFormat="1" ht="31.5" x14ac:dyDescent="0.25">
      <c r="A24" s="2585"/>
      <c r="B24" s="2587"/>
      <c r="C24" s="2585"/>
      <c r="D24" s="1887" t="s">
        <v>6785</v>
      </c>
      <c r="E24" s="1888" t="s">
        <v>6765</v>
      </c>
      <c r="F24" s="1889">
        <v>43896</v>
      </c>
      <c r="G24" s="1888" t="s">
        <v>6764</v>
      </c>
      <c r="H24" s="1155" t="s">
        <v>6786</v>
      </c>
      <c r="I24" s="1890"/>
      <c r="J24" s="1891" t="s">
        <v>6361</v>
      </c>
      <c r="K24" s="1891" t="s">
        <v>6361</v>
      </c>
      <c r="L24" s="1888" t="s">
        <v>6787</v>
      </c>
    </row>
    <row r="25" spans="1:12" s="1121" customFormat="1" ht="66" customHeight="1" x14ac:dyDescent="0.25">
      <c r="A25" s="2584" t="s">
        <v>6741</v>
      </c>
      <c r="B25" s="2586" t="s">
        <v>6348</v>
      </c>
      <c r="C25" s="2584" t="s">
        <v>6788</v>
      </c>
      <c r="D25" s="2384" t="s">
        <v>6789</v>
      </c>
      <c r="E25" s="2385" t="s">
        <v>6744</v>
      </c>
      <c r="F25" s="2386">
        <v>43897</v>
      </c>
      <c r="G25" s="2385" t="s">
        <v>6769</v>
      </c>
      <c r="H25" s="2387" t="s">
        <v>6770</v>
      </c>
      <c r="I25" s="2387" t="s">
        <v>6790</v>
      </c>
      <c r="J25" s="1155" t="s">
        <v>6361</v>
      </c>
      <c r="K25" s="1155" t="s">
        <v>6361</v>
      </c>
      <c r="L25" s="2385" t="s">
        <v>6791</v>
      </c>
    </row>
    <row r="26" spans="1:12" ht="31.5" x14ac:dyDescent="0.25">
      <c r="A26" s="2588"/>
      <c r="B26" s="2589"/>
      <c r="C26" s="2588"/>
      <c r="D26" s="1123" t="s">
        <v>6792</v>
      </c>
      <c r="E26" s="1153" t="s">
        <v>6749</v>
      </c>
      <c r="F26" s="1120">
        <v>43897</v>
      </c>
      <c r="G26" s="1153" t="s">
        <v>6773</v>
      </c>
      <c r="H26" s="1155" t="s">
        <v>6774</v>
      </c>
      <c r="I26" s="1117"/>
      <c r="J26" s="1155" t="s">
        <v>6361</v>
      </c>
      <c r="K26" s="1155" t="s">
        <v>6361</v>
      </c>
      <c r="L26" s="1153" t="s">
        <v>6793</v>
      </c>
    </row>
    <row r="27" spans="1:12" ht="31.5" x14ac:dyDescent="0.25">
      <c r="A27" s="2588"/>
      <c r="B27" s="2589"/>
      <c r="C27" s="2588"/>
      <c r="D27" s="1123" t="s">
        <v>6794</v>
      </c>
      <c r="E27" s="1153" t="s">
        <v>6753</v>
      </c>
      <c r="F27" s="1120">
        <v>43897</v>
      </c>
      <c r="G27" s="1153" t="s">
        <v>6776</v>
      </c>
      <c r="H27" s="1155" t="s">
        <v>6777</v>
      </c>
      <c r="I27" s="1117"/>
      <c r="J27" s="1155" t="s">
        <v>6361</v>
      </c>
      <c r="K27" s="1155" t="s">
        <v>6361</v>
      </c>
      <c r="L27" s="1153" t="s">
        <v>6795</v>
      </c>
    </row>
    <row r="28" spans="1:12" ht="47.25" customHeight="1" x14ac:dyDescent="0.25">
      <c r="A28" s="2588"/>
      <c r="B28" s="2589"/>
      <c r="C28" s="2588"/>
      <c r="D28" s="1123" t="s">
        <v>6796</v>
      </c>
      <c r="E28" s="1153" t="s">
        <v>6757</v>
      </c>
      <c r="F28" s="1120">
        <v>43897</v>
      </c>
      <c r="G28" s="1153" t="s">
        <v>6779</v>
      </c>
      <c r="H28" s="1155" t="s">
        <v>6780</v>
      </c>
      <c r="I28" s="1155"/>
      <c r="J28" s="1155" t="s">
        <v>6361</v>
      </c>
      <c r="K28" s="1155" t="s">
        <v>6361</v>
      </c>
      <c r="L28" s="1153" t="s">
        <v>6797</v>
      </c>
    </row>
    <row r="29" spans="1:12" ht="31.5" x14ac:dyDescent="0.25">
      <c r="A29" s="2588"/>
      <c r="B29" s="2589"/>
      <c r="C29" s="2588"/>
      <c r="D29" s="1123" t="s">
        <v>6798</v>
      </c>
      <c r="E29" s="1153" t="s">
        <v>6761</v>
      </c>
      <c r="F29" s="1120">
        <v>43897</v>
      </c>
      <c r="G29" s="1153" t="s">
        <v>6782</v>
      </c>
      <c r="H29" s="1155" t="s">
        <v>6783</v>
      </c>
      <c r="I29" s="1117"/>
      <c r="J29" s="1155" t="s">
        <v>6361</v>
      </c>
      <c r="K29" s="1155" t="s">
        <v>6361</v>
      </c>
      <c r="L29" s="1153" t="s">
        <v>6799</v>
      </c>
    </row>
    <row r="30" spans="1:12" s="1204" customFormat="1" ht="31.5" x14ac:dyDescent="0.25">
      <c r="A30" s="2585"/>
      <c r="B30" s="2587"/>
      <c r="C30" s="2585"/>
      <c r="D30" s="1887" t="s">
        <v>6800</v>
      </c>
      <c r="E30" s="1888" t="s">
        <v>6765</v>
      </c>
      <c r="F30" s="1889">
        <v>43897</v>
      </c>
      <c r="G30" s="1888" t="s">
        <v>6785</v>
      </c>
      <c r="H30" s="1155" t="s">
        <v>6786</v>
      </c>
      <c r="I30" s="1890"/>
      <c r="J30" s="1891" t="s">
        <v>6361</v>
      </c>
      <c r="K30" s="1891" t="s">
        <v>6361</v>
      </c>
      <c r="L30" s="1888" t="s">
        <v>6801</v>
      </c>
    </row>
    <row r="31" spans="1:12" s="1121" customFormat="1" ht="66" customHeight="1" x14ac:dyDescent="0.25">
      <c r="A31" s="2584" t="s">
        <v>6802</v>
      </c>
      <c r="B31" s="2586" t="s">
        <v>6348</v>
      </c>
      <c r="C31" s="2584" t="s">
        <v>6803</v>
      </c>
      <c r="D31" s="2384" t="s">
        <v>6804</v>
      </c>
      <c r="E31" s="2385" t="s">
        <v>6744</v>
      </c>
      <c r="F31" s="2386">
        <v>43898</v>
      </c>
      <c r="G31" s="2385" t="s">
        <v>6789</v>
      </c>
      <c r="H31" s="2387" t="s">
        <v>6770</v>
      </c>
      <c r="I31" s="2387" t="s">
        <v>6805</v>
      </c>
      <c r="J31" s="1155" t="s">
        <v>6361</v>
      </c>
      <c r="K31" s="1155" t="s">
        <v>6361</v>
      </c>
      <c r="L31" s="2385" t="s">
        <v>6806</v>
      </c>
    </row>
    <row r="32" spans="1:12" ht="31.5" x14ac:dyDescent="0.25">
      <c r="A32" s="2588"/>
      <c r="B32" s="2589"/>
      <c r="C32" s="2588"/>
      <c r="D32" s="1123" t="s">
        <v>6807</v>
      </c>
      <c r="E32" s="1153" t="s">
        <v>6749</v>
      </c>
      <c r="F32" s="1120">
        <v>43898</v>
      </c>
      <c r="G32" s="1153" t="s">
        <v>6792</v>
      </c>
      <c r="H32" s="1155" t="s">
        <v>6774</v>
      </c>
      <c r="I32" s="1117"/>
      <c r="J32" s="1155" t="s">
        <v>6361</v>
      </c>
      <c r="K32" s="1155" t="s">
        <v>6361</v>
      </c>
      <c r="L32" s="1153" t="s">
        <v>6808</v>
      </c>
    </row>
    <row r="33" spans="1:12" ht="31.5" x14ac:dyDescent="0.25">
      <c r="A33" s="2588"/>
      <c r="B33" s="2589"/>
      <c r="C33" s="2588"/>
      <c r="D33" s="1123" t="s">
        <v>6809</v>
      </c>
      <c r="E33" s="1153" t="s">
        <v>6753</v>
      </c>
      <c r="F33" s="1120">
        <v>43898</v>
      </c>
      <c r="G33" s="1153" t="s">
        <v>6794</v>
      </c>
      <c r="H33" s="1155" t="s">
        <v>6777</v>
      </c>
      <c r="I33" s="1117"/>
      <c r="J33" s="1155" t="s">
        <v>6361</v>
      </c>
      <c r="K33" s="1155" t="s">
        <v>6361</v>
      </c>
      <c r="L33" s="1153" t="s">
        <v>6810</v>
      </c>
    </row>
    <row r="34" spans="1:12" ht="47.25" customHeight="1" x14ac:dyDescent="0.25">
      <c r="A34" s="2588"/>
      <c r="B34" s="2589"/>
      <c r="C34" s="2588"/>
      <c r="D34" s="1123" t="s">
        <v>6811</v>
      </c>
      <c r="E34" s="1153" t="s">
        <v>6757</v>
      </c>
      <c r="F34" s="1120">
        <v>43898</v>
      </c>
      <c r="G34" s="1153" t="s">
        <v>6796</v>
      </c>
      <c r="H34" s="1155" t="s">
        <v>6780</v>
      </c>
      <c r="I34" s="1155"/>
      <c r="J34" s="1155" t="s">
        <v>6361</v>
      </c>
      <c r="K34" s="1155" t="s">
        <v>6361</v>
      </c>
      <c r="L34" s="1153" t="s">
        <v>6812</v>
      </c>
    </row>
    <row r="35" spans="1:12" ht="31.5" x14ac:dyDescent="0.25">
      <c r="A35" s="2588"/>
      <c r="B35" s="2589"/>
      <c r="C35" s="2588"/>
      <c r="D35" s="1123" t="s">
        <v>6813</v>
      </c>
      <c r="E35" s="1153" t="s">
        <v>6761</v>
      </c>
      <c r="F35" s="1120">
        <v>43898</v>
      </c>
      <c r="G35" s="1153" t="s">
        <v>6798</v>
      </c>
      <c r="H35" s="1155" t="s">
        <v>6783</v>
      </c>
      <c r="I35" s="1117"/>
      <c r="J35" s="1155" t="s">
        <v>6361</v>
      </c>
      <c r="K35" s="1155" t="s">
        <v>6361</v>
      </c>
      <c r="L35" s="1153" t="s">
        <v>6814</v>
      </c>
    </row>
    <row r="36" spans="1:12" s="1204" customFormat="1" ht="31.5" x14ac:dyDescent="0.25">
      <c r="A36" s="2585"/>
      <c r="B36" s="2587"/>
      <c r="C36" s="2585"/>
      <c r="D36" s="1887" t="s">
        <v>6815</v>
      </c>
      <c r="E36" s="1888" t="s">
        <v>6765</v>
      </c>
      <c r="F36" s="1889">
        <v>43898</v>
      </c>
      <c r="G36" s="1888" t="s">
        <v>6800</v>
      </c>
      <c r="H36" s="1155" t="s">
        <v>6786</v>
      </c>
      <c r="I36" s="1890"/>
      <c r="J36" s="1891" t="s">
        <v>6361</v>
      </c>
      <c r="K36" s="1891" t="s">
        <v>6361</v>
      </c>
      <c r="L36" s="1888" t="s">
        <v>6816</v>
      </c>
    </row>
    <row r="37" spans="1:12" s="1121" customFormat="1" ht="47.25" x14ac:dyDescent="0.25">
      <c r="A37" s="2584" t="s">
        <v>6817</v>
      </c>
      <c r="B37" s="2586" t="s">
        <v>6348</v>
      </c>
      <c r="C37" s="2584" t="s">
        <v>6818</v>
      </c>
      <c r="D37" s="2384" t="s">
        <v>6819</v>
      </c>
      <c r="E37" s="2385" t="s">
        <v>6744</v>
      </c>
      <c r="F37" s="2388">
        <v>43910</v>
      </c>
      <c r="G37" s="2389" t="s">
        <v>6804</v>
      </c>
      <c r="H37" s="2387" t="s">
        <v>6820</v>
      </c>
      <c r="I37" s="2387" t="s">
        <v>6821</v>
      </c>
      <c r="J37" s="1155" t="s">
        <v>6361</v>
      </c>
      <c r="K37" s="1155" t="s">
        <v>6361</v>
      </c>
      <c r="L37" s="2385" t="s">
        <v>6822</v>
      </c>
    </row>
    <row r="38" spans="1:12" ht="47.25" x14ac:dyDescent="0.25">
      <c r="A38" s="2588"/>
      <c r="B38" s="2589"/>
      <c r="C38" s="2588"/>
      <c r="D38" s="1123" t="s">
        <v>6823</v>
      </c>
      <c r="E38" s="1153" t="s">
        <v>6749</v>
      </c>
      <c r="F38" s="1119">
        <v>43910</v>
      </c>
      <c r="G38" s="1118" t="s">
        <v>6807</v>
      </c>
      <c r="H38" s="1155" t="s">
        <v>6824</v>
      </c>
      <c r="I38" s="1117"/>
      <c r="J38" s="1155" t="s">
        <v>6361</v>
      </c>
      <c r="K38" s="1155" t="s">
        <v>6361</v>
      </c>
      <c r="L38" s="1153" t="s">
        <v>6825</v>
      </c>
    </row>
    <row r="39" spans="1:12" ht="47.25" x14ac:dyDescent="0.25">
      <c r="A39" s="2588"/>
      <c r="B39" s="2589"/>
      <c r="C39" s="2588"/>
      <c r="D39" s="1123" t="s">
        <v>6826</v>
      </c>
      <c r="E39" s="1153" t="s">
        <v>6753</v>
      </c>
      <c r="F39" s="1119">
        <v>43910</v>
      </c>
      <c r="G39" s="1118" t="s">
        <v>6809</v>
      </c>
      <c r="H39" s="1155" t="s">
        <v>6827</v>
      </c>
      <c r="I39" s="1117"/>
      <c r="J39" s="1155" t="s">
        <v>6361</v>
      </c>
      <c r="K39" s="1155" t="s">
        <v>6361</v>
      </c>
      <c r="L39" s="1153" t="s">
        <v>6828</v>
      </c>
    </row>
    <row r="40" spans="1:12" ht="47.25" x14ac:dyDescent="0.25">
      <c r="A40" s="2588"/>
      <c r="B40" s="2589"/>
      <c r="C40" s="2588"/>
      <c r="D40" s="1123" t="s">
        <v>6829</v>
      </c>
      <c r="E40" s="1153" t="s">
        <v>6757</v>
      </c>
      <c r="F40" s="1119">
        <v>43910</v>
      </c>
      <c r="G40" s="1118" t="s">
        <v>6811</v>
      </c>
      <c r="H40" s="1155" t="s">
        <v>6820</v>
      </c>
      <c r="I40" s="1155"/>
      <c r="J40" s="1155" t="s">
        <v>6361</v>
      </c>
      <c r="K40" s="1155" t="s">
        <v>6361</v>
      </c>
      <c r="L40" s="1153" t="s">
        <v>6830</v>
      </c>
    </row>
    <row r="41" spans="1:12" ht="47.25" x14ac:dyDescent="0.25">
      <c r="A41" s="2588"/>
      <c r="B41" s="2589"/>
      <c r="C41" s="2588"/>
      <c r="D41" s="1123" t="s">
        <v>6831</v>
      </c>
      <c r="E41" s="1153" t="s">
        <v>6761</v>
      </c>
      <c r="F41" s="1119">
        <v>43910</v>
      </c>
      <c r="G41" s="1118" t="s">
        <v>6813</v>
      </c>
      <c r="H41" s="1155" t="s">
        <v>6824</v>
      </c>
      <c r="I41" s="1117"/>
      <c r="J41" s="1155" t="s">
        <v>6361</v>
      </c>
      <c r="K41" s="1155" t="s">
        <v>6361</v>
      </c>
      <c r="L41" s="1153" t="s">
        <v>6832</v>
      </c>
    </row>
    <row r="42" spans="1:12" s="1204" customFormat="1" ht="47.25" x14ac:dyDescent="0.25">
      <c r="A42" s="2585"/>
      <c r="B42" s="2587"/>
      <c r="C42" s="2585"/>
      <c r="D42" s="1887" t="s">
        <v>6833</v>
      </c>
      <c r="E42" s="1888" t="s">
        <v>6765</v>
      </c>
      <c r="F42" s="1892">
        <v>43910</v>
      </c>
      <c r="G42" s="1893" t="s">
        <v>6815</v>
      </c>
      <c r="H42" s="1155" t="s">
        <v>6827</v>
      </c>
      <c r="I42" s="1890"/>
      <c r="J42" s="1891" t="s">
        <v>6361</v>
      </c>
      <c r="K42" s="1891" t="s">
        <v>6361</v>
      </c>
      <c r="L42" s="1153" t="s">
        <v>6834</v>
      </c>
    </row>
    <row r="43" spans="1:12" s="1121" customFormat="1" ht="63" x14ac:dyDescent="0.25">
      <c r="A43" s="2584" t="s">
        <v>6835</v>
      </c>
      <c r="B43" s="2586" t="s">
        <v>6348</v>
      </c>
      <c r="C43" s="2584" t="s">
        <v>6836</v>
      </c>
      <c r="D43" s="2384" t="s">
        <v>6837</v>
      </c>
      <c r="E43" s="2385" t="s">
        <v>6744</v>
      </c>
      <c r="F43" s="2388">
        <v>43921</v>
      </c>
      <c r="G43" s="2389" t="s">
        <v>6819</v>
      </c>
      <c r="H43" s="2387" t="s">
        <v>6838</v>
      </c>
      <c r="I43" s="2387" t="s">
        <v>6839</v>
      </c>
      <c r="J43" s="1155" t="s">
        <v>6361</v>
      </c>
      <c r="K43" s="1155" t="s">
        <v>6361</v>
      </c>
      <c r="L43" s="2385" t="s">
        <v>6840</v>
      </c>
    </row>
    <row r="44" spans="1:12" ht="63" x14ac:dyDescent="0.25">
      <c r="A44" s="2588"/>
      <c r="B44" s="2589"/>
      <c r="C44" s="2588"/>
      <c r="D44" s="1123" t="s">
        <v>6841</v>
      </c>
      <c r="E44" s="1153" t="s">
        <v>6749</v>
      </c>
      <c r="F44" s="1119">
        <v>43921</v>
      </c>
      <c r="G44" s="1118" t="s">
        <v>6823</v>
      </c>
      <c r="H44" s="1155" t="s">
        <v>6842</v>
      </c>
      <c r="I44" s="1117"/>
      <c r="J44" s="1155" t="s">
        <v>6361</v>
      </c>
      <c r="K44" s="1155" t="s">
        <v>6361</v>
      </c>
      <c r="L44" s="1153" t="s">
        <v>6843</v>
      </c>
    </row>
    <row r="45" spans="1:12" ht="63" x14ac:dyDescent="0.25">
      <c r="A45" s="2588"/>
      <c r="B45" s="2589"/>
      <c r="C45" s="2588"/>
      <c r="D45" s="1123" t="s">
        <v>6844</v>
      </c>
      <c r="E45" s="1153" t="s">
        <v>6753</v>
      </c>
      <c r="F45" s="1119">
        <v>43921</v>
      </c>
      <c r="G45" s="1118" t="s">
        <v>6826</v>
      </c>
      <c r="H45" s="1155" t="s">
        <v>6845</v>
      </c>
      <c r="I45" s="1117"/>
      <c r="J45" s="1155" t="s">
        <v>6361</v>
      </c>
      <c r="K45" s="1155" t="s">
        <v>6361</v>
      </c>
      <c r="L45" s="1153" t="s">
        <v>6846</v>
      </c>
    </row>
    <row r="46" spans="1:12" ht="63" x14ac:dyDescent="0.25">
      <c r="A46" s="2588"/>
      <c r="B46" s="2589"/>
      <c r="C46" s="2588"/>
      <c r="D46" s="1123" t="s">
        <v>6847</v>
      </c>
      <c r="E46" s="1153" t="s">
        <v>6757</v>
      </c>
      <c r="F46" s="1119">
        <v>43921</v>
      </c>
      <c r="G46" s="1118" t="s">
        <v>6829</v>
      </c>
      <c r="H46" s="1155" t="s">
        <v>6848</v>
      </c>
      <c r="I46" s="1155"/>
      <c r="J46" s="1155" t="s">
        <v>6361</v>
      </c>
      <c r="K46" s="1155" t="s">
        <v>6361</v>
      </c>
      <c r="L46" s="1153" t="s">
        <v>6849</v>
      </c>
    </row>
    <row r="47" spans="1:12" ht="63" x14ac:dyDescent="0.25">
      <c r="A47" s="2588"/>
      <c r="B47" s="2589"/>
      <c r="C47" s="2588"/>
      <c r="D47" s="1123" t="s">
        <v>6850</v>
      </c>
      <c r="E47" s="1153" t="s">
        <v>6761</v>
      </c>
      <c r="F47" s="1119">
        <v>43921</v>
      </c>
      <c r="G47" s="1118" t="s">
        <v>6831</v>
      </c>
      <c r="H47" s="1155" t="s">
        <v>6851</v>
      </c>
      <c r="I47" s="1117"/>
      <c r="J47" s="1155" t="s">
        <v>6361</v>
      </c>
      <c r="K47" s="1155" t="s">
        <v>6361</v>
      </c>
      <c r="L47" s="1153" t="s">
        <v>6852</v>
      </c>
    </row>
    <row r="48" spans="1:12" s="1204" customFormat="1" ht="63" x14ac:dyDescent="0.25">
      <c r="A48" s="2585"/>
      <c r="B48" s="2587"/>
      <c r="C48" s="2585"/>
      <c r="D48" s="1887" t="s">
        <v>6853</v>
      </c>
      <c r="E48" s="1888" t="s">
        <v>6765</v>
      </c>
      <c r="F48" s="1892">
        <v>43921</v>
      </c>
      <c r="G48" s="1893" t="s">
        <v>6833</v>
      </c>
      <c r="H48" s="1155" t="s">
        <v>6854</v>
      </c>
      <c r="I48" s="1890"/>
      <c r="J48" s="1891" t="s">
        <v>6361</v>
      </c>
      <c r="K48" s="1891" t="s">
        <v>6361</v>
      </c>
      <c r="L48" s="1888" t="s">
        <v>6855</v>
      </c>
    </row>
    <row r="49" spans="1:14" s="1121" customFormat="1" ht="78.75" x14ac:dyDescent="0.25">
      <c r="A49" s="2584" t="s">
        <v>6856</v>
      </c>
      <c r="B49" s="2586" t="s">
        <v>6348</v>
      </c>
      <c r="C49" s="2584" t="s">
        <v>6857</v>
      </c>
      <c r="D49" s="2384" t="s">
        <v>6858</v>
      </c>
      <c r="E49" s="2385" t="s">
        <v>6744</v>
      </c>
      <c r="F49" s="2388">
        <v>43926</v>
      </c>
      <c r="G49" s="2389" t="s">
        <v>6837</v>
      </c>
      <c r="H49" s="2387" t="s">
        <v>6859</v>
      </c>
      <c r="I49" s="1155" t="s">
        <v>6860</v>
      </c>
      <c r="J49" s="1155" t="s">
        <v>6361</v>
      </c>
      <c r="K49" s="1155" t="s">
        <v>6361</v>
      </c>
      <c r="L49" s="1153" t="s">
        <v>6861</v>
      </c>
      <c r="M49" s="1118"/>
      <c r="N49" s="1118"/>
    </row>
    <row r="50" spans="1:14" ht="47.25" x14ac:dyDescent="0.25">
      <c r="A50" s="2588"/>
      <c r="B50" s="2589"/>
      <c r="C50" s="2588"/>
      <c r="D50" s="1123" t="s">
        <v>6862</v>
      </c>
      <c r="E50" s="1153" t="s">
        <v>6749</v>
      </c>
      <c r="F50" s="1119">
        <v>43926</v>
      </c>
      <c r="G50" s="1118" t="s">
        <v>6841</v>
      </c>
      <c r="H50" s="1155" t="s">
        <v>6863</v>
      </c>
      <c r="I50" s="1155"/>
      <c r="J50" s="1155" t="s">
        <v>6361</v>
      </c>
      <c r="K50" s="1155" t="s">
        <v>6361</v>
      </c>
      <c r="L50" s="1153" t="s">
        <v>6864</v>
      </c>
    </row>
    <row r="51" spans="1:14" ht="47.25" x14ac:dyDescent="0.25">
      <c r="A51" s="2588"/>
      <c r="B51" s="2589"/>
      <c r="C51" s="2588"/>
      <c r="D51" s="1123" t="s">
        <v>6865</v>
      </c>
      <c r="E51" s="1153" t="s">
        <v>6753</v>
      </c>
      <c r="F51" s="1119">
        <v>43926</v>
      </c>
      <c r="G51" s="1118" t="s">
        <v>6844</v>
      </c>
      <c r="H51" s="1155" t="s">
        <v>6866</v>
      </c>
      <c r="I51" s="1155"/>
      <c r="J51" s="1155" t="s">
        <v>6361</v>
      </c>
      <c r="K51" s="1155" t="s">
        <v>6361</v>
      </c>
      <c r="L51" s="1153" t="s">
        <v>6867</v>
      </c>
    </row>
    <row r="52" spans="1:14" ht="47.25" x14ac:dyDescent="0.25">
      <c r="A52" s="2588"/>
      <c r="B52" s="2589"/>
      <c r="C52" s="2588"/>
      <c r="D52" s="1123" t="s">
        <v>6868</v>
      </c>
      <c r="E52" s="1153" t="s">
        <v>6757</v>
      </c>
      <c r="F52" s="1119">
        <v>43926</v>
      </c>
      <c r="G52" s="1118" t="s">
        <v>6847</v>
      </c>
      <c r="H52" s="1155" t="s">
        <v>6869</v>
      </c>
      <c r="I52" s="1155"/>
      <c r="J52" s="1155" t="s">
        <v>6361</v>
      </c>
      <c r="K52" s="1155" t="s">
        <v>6361</v>
      </c>
      <c r="L52" s="1153" t="s">
        <v>6870</v>
      </c>
    </row>
    <row r="53" spans="1:14" ht="47.25" x14ac:dyDescent="0.25">
      <c r="A53" s="2588"/>
      <c r="B53" s="2589"/>
      <c r="C53" s="2588"/>
      <c r="D53" s="1123" t="s">
        <v>6871</v>
      </c>
      <c r="E53" s="1153" t="s">
        <v>6761</v>
      </c>
      <c r="F53" s="1119">
        <v>43926</v>
      </c>
      <c r="G53" s="1118" t="s">
        <v>6850</v>
      </c>
      <c r="H53" s="1155" t="s">
        <v>6872</v>
      </c>
      <c r="I53" s="1155"/>
      <c r="J53" s="1155" t="s">
        <v>6361</v>
      </c>
      <c r="K53" s="1155" t="s">
        <v>6361</v>
      </c>
      <c r="L53" s="1153" t="s">
        <v>6873</v>
      </c>
    </row>
    <row r="54" spans="1:14" s="1204" customFormat="1" ht="47.25" x14ac:dyDescent="0.25">
      <c r="A54" s="2585"/>
      <c r="B54" s="2587"/>
      <c r="C54" s="2585"/>
      <c r="D54" s="1887" t="s">
        <v>6874</v>
      </c>
      <c r="E54" s="1888" t="s">
        <v>6765</v>
      </c>
      <c r="F54" s="1892">
        <v>43926</v>
      </c>
      <c r="G54" s="1893" t="s">
        <v>6853</v>
      </c>
      <c r="H54" s="1155" t="s">
        <v>6875</v>
      </c>
      <c r="I54" s="1155"/>
      <c r="J54" s="1891" t="s">
        <v>6361</v>
      </c>
      <c r="K54" s="1891" t="s">
        <v>6361</v>
      </c>
      <c r="L54" s="1888" t="s">
        <v>6876</v>
      </c>
      <c r="M54" s="1893"/>
      <c r="N54" s="1893"/>
    </row>
    <row r="55" spans="1:14" s="1354" customFormat="1" ht="63" x14ac:dyDescent="0.25">
      <c r="A55" s="2584" t="s">
        <v>6856</v>
      </c>
      <c r="B55" s="2586" t="s">
        <v>6348</v>
      </c>
      <c r="C55" s="2584" t="s">
        <v>6877</v>
      </c>
      <c r="D55" s="2384" t="s">
        <v>6878</v>
      </c>
      <c r="E55" s="2385" t="s">
        <v>6744</v>
      </c>
      <c r="F55" s="2388">
        <v>43927</v>
      </c>
      <c r="G55" s="2389" t="s">
        <v>6858</v>
      </c>
      <c r="H55" s="2387" t="s">
        <v>6859</v>
      </c>
      <c r="I55" s="2387" t="s">
        <v>6879</v>
      </c>
      <c r="J55" s="2387" t="s">
        <v>6361</v>
      </c>
      <c r="K55" s="2387" t="s">
        <v>6361</v>
      </c>
      <c r="L55" s="2385" t="s">
        <v>6880</v>
      </c>
      <c r="M55" s="2389"/>
      <c r="N55" s="2389"/>
    </row>
    <row r="56" spans="1:14" ht="47.25" x14ac:dyDescent="0.25">
      <c r="A56" s="2588"/>
      <c r="B56" s="2589"/>
      <c r="C56" s="2588"/>
      <c r="D56" s="1123" t="s">
        <v>6881</v>
      </c>
      <c r="E56" s="1153" t="s">
        <v>6749</v>
      </c>
      <c r="F56" s="1119">
        <v>43927</v>
      </c>
      <c r="G56" s="1118" t="s">
        <v>6862</v>
      </c>
      <c r="H56" s="1155" t="s">
        <v>6863</v>
      </c>
      <c r="I56" s="1155"/>
      <c r="J56" s="1155" t="s">
        <v>6361</v>
      </c>
      <c r="K56" s="1155" t="s">
        <v>6361</v>
      </c>
      <c r="L56" s="1153" t="s">
        <v>6882</v>
      </c>
    </row>
    <row r="57" spans="1:14" ht="47.25" x14ac:dyDescent="0.25">
      <c r="A57" s="2588"/>
      <c r="B57" s="2589"/>
      <c r="C57" s="2588"/>
      <c r="D57" s="1123" t="s">
        <v>6883</v>
      </c>
      <c r="E57" s="1153" t="s">
        <v>6753</v>
      </c>
      <c r="F57" s="1119">
        <v>43927</v>
      </c>
      <c r="G57" s="1118" t="s">
        <v>6865</v>
      </c>
      <c r="H57" s="1155" t="s">
        <v>6866</v>
      </c>
      <c r="I57" s="1155"/>
      <c r="J57" s="1155" t="s">
        <v>6361</v>
      </c>
      <c r="K57" s="1155" t="s">
        <v>6361</v>
      </c>
      <c r="L57" s="1153" t="s">
        <v>6884</v>
      </c>
    </row>
    <row r="58" spans="1:14" ht="47.25" x14ac:dyDescent="0.25">
      <c r="A58" s="2588"/>
      <c r="B58" s="2589"/>
      <c r="C58" s="2588"/>
      <c r="D58" s="1123" t="s">
        <v>6885</v>
      </c>
      <c r="E58" s="1153" t="s">
        <v>6757</v>
      </c>
      <c r="F58" s="1119">
        <v>43927</v>
      </c>
      <c r="G58" s="1118" t="s">
        <v>6868</v>
      </c>
      <c r="H58" s="1155" t="s">
        <v>6869</v>
      </c>
      <c r="I58" s="1155"/>
      <c r="J58" s="1155" t="s">
        <v>6361</v>
      </c>
      <c r="K58" s="1155" t="s">
        <v>6361</v>
      </c>
      <c r="L58" s="1153" t="s">
        <v>6886</v>
      </c>
    </row>
    <row r="59" spans="1:14" ht="47.25" x14ac:dyDescent="0.25">
      <c r="A59" s="2588"/>
      <c r="B59" s="2589"/>
      <c r="C59" s="2588"/>
      <c r="D59" s="1123" t="s">
        <v>6887</v>
      </c>
      <c r="E59" s="1153" t="s">
        <v>6761</v>
      </c>
      <c r="F59" s="1119">
        <v>43927</v>
      </c>
      <c r="G59" s="1118" t="s">
        <v>6871</v>
      </c>
      <c r="H59" s="1155" t="s">
        <v>6872</v>
      </c>
      <c r="I59" s="1155"/>
      <c r="J59" s="1155" t="s">
        <v>6361</v>
      </c>
      <c r="K59" s="1155" t="s">
        <v>6361</v>
      </c>
      <c r="L59" s="1153" t="s">
        <v>6888</v>
      </c>
    </row>
    <row r="60" spans="1:14" s="1353" customFormat="1" ht="47.25" x14ac:dyDescent="0.25">
      <c r="A60" s="2585"/>
      <c r="B60" s="2587"/>
      <c r="C60" s="2585"/>
      <c r="D60" s="1887" t="s">
        <v>6889</v>
      </c>
      <c r="E60" s="1888" t="s">
        <v>6765</v>
      </c>
      <c r="F60" s="1892">
        <v>43927</v>
      </c>
      <c r="G60" s="1893" t="s">
        <v>6874</v>
      </c>
      <c r="H60" s="1155" t="s">
        <v>6875</v>
      </c>
      <c r="I60" s="1155"/>
      <c r="J60" s="1891" t="s">
        <v>6361</v>
      </c>
      <c r="K60" s="1891" t="s">
        <v>6361</v>
      </c>
      <c r="L60" s="1888" t="s">
        <v>6890</v>
      </c>
      <c r="M60" s="1893"/>
      <c r="N60" s="1893"/>
    </row>
    <row r="61" spans="1:14" s="1354" customFormat="1" ht="62.1" customHeight="1" x14ac:dyDescent="0.25">
      <c r="A61" s="2584" t="s">
        <v>6856</v>
      </c>
      <c r="B61" s="2586" t="s">
        <v>6348</v>
      </c>
      <c r="C61" s="2584" t="s">
        <v>6891</v>
      </c>
      <c r="D61" s="2384" t="s">
        <v>6892</v>
      </c>
      <c r="E61" s="2385" t="s">
        <v>6744</v>
      </c>
      <c r="F61" s="2388">
        <v>43928</v>
      </c>
      <c r="G61" s="2385" t="s">
        <v>6893</v>
      </c>
      <c r="H61" s="2387" t="s">
        <v>6894</v>
      </c>
      <c r="I61" s="2387" t="s">
        <v>6895</v>
      </c>
      <c r="J61" s="2387" t="s">
        <v>6361</v>
      </c>
      <c r="K61" s="2387" t="s">
        <v>6361</v>
      </c>
      <c r="L61" s="2385" t="s">
        <v>6896</v>
      </c>
      <c r="M61" s="2389"/>
      <c r="N61" s="2389"/>
    </row>
    <row r="62" spans="1:14" ht="63" x14ac:dyDescent="0.25">
      <c r="A62" s="2588"/>
      <c r="B62" s="2589"/>
      <c r="C62" s="2588"/>
      <c r="D62" s="1123" t="s">
        <v>6897</v>
      </c>
      <c r="E62" s="1153" t="s">
        <v>6898</v>
      </c>
      <c r="F62" s="1119">
        <v>43928</v>
      </c>
      <c r="G62" s="1153" t="s">
        <v>6899</v>
      </c>
      <c r="H62" s="1155" t="s">
        <v>6900</v>
      </c>
      <c r="I62" s="1155"/>
      <c r="J62" s="1155" t="s">
        <v>6361</v>
      </c>
      <c r="K62" s="1155" t="s">
        <v>6361</v>
      </c>
      <c r="L62" s="1153" t="s">
        <v>6901</v>
      </c>
    </row>
    <row r="63" spans="1:14" ht="63" x14ac:dyDescent="0.25">
      <c r="A63" s="2588"/>
      <c r="B63" s="2589"/>
      <c r="C63" s="2588"/>
      <c r="D63" s="1123" t="s">
        <v>6902</v>
      </c>
      <c r="E63" s="1153" t="s">
        <v>6757</v>
      </c>
      <c r="F63" s="1119">
        <v>43928</v>
      </c>
      <c r="G63" s="1153" t="s">
        <v>6903</v>
      </c>
      <c r="H63" s="1155" t="s">
        <v>6904</v>
      </c>
      <c r="I63" s="1155"/>
      <c r="J63" s="1155" t="s">
        <v>6361</v>
      </c>
      <c r="K63" s="1155" t="s">
        <v>6361</v>
      </c>
      <c r="L63" s="1153" t="s">
        <v>6905</v>
      </c>
    </row>
    <row r="64" spans="1:14" ht="63" x14ac:dyDescent="0.25">
      <c r="A64" s="2585"/>
      <c r="B64" s="2587"/>
      <c r="C64" s="2585"/>
      <c r="D64" s="1123" t="s">
        <v>6906</v>
      </c>
      <c r="E64" s="1153" t="s">
        <v>6907</v>
      </c>
      <c r="F64" s="1119">
        <v>43928</v>
      </c>
      <c r="G64" s="1153" t="s">
        <v>6908</v>
      </c>
      <c r="H64" s="1155" t="s">
        <v>6909</v>
      </c>
      <c r="I64" s="1155"/>
      <c r="J64" s="1155" t="s">
        <v>6361</v>
      </c>
      <c r="K64" s="1155" t="s">
        <v>6361</v>
      </c>
      <c r="L64" s="1153" t="s">
        <v>6910</v>
      </c>
    </row>
    <row r="65" spans="1:17" s="1354" customFormat="1" ht="62.1" customHeight="1" x14ac:dyDescent="0.25">
      <c r="A65" s="2584" t="s">
        <v>6856</v>
      </c>
      <c r="B65" s="2586" t="s">
        <v>6348</v>
      </c>
      <c r="C65" s="2584" t="s">
        <v>6911</v>
      </c>
      <c r="D65" s="2384" t="s">
        <v>6912</v>
      </c>
      <c r="E65" s="2385" t="s">
        <v>6744</v>
      </c>
      <c r="F65" s="2388">
        <v>43929</v>
      </c>
      <c r="G65" s="2385" t="s">
        <v>6892</v>
      </c>
      <c r="H65" s="2387" t="s">
        <v>6913</v>
      </c>
      <c r="I65" s="2387" t="s">
        <v>6914</v>
      </c>
      <c r="J65" s="2387" t="s">
        <v>6361</v>
      </c>
      <c r="K65" s="2387" t="s">
        <v>6361</v>
      </c>
      <c r="L65" s="2385" t="s">
        <v>6915</v>
      </c>
      <c r="M65" s="2389"/>
      <c r="N65" s="2389"/>
      <c r="O65" s="2389"/>
      <c r="P65" s="2389"/>
      <c r="Q65" s="2389"/>
    </row>
    <row r="66" spans="1:17" ht="47.25" x14ac:dyDescent="0.25">
      <c r="A66" s="2588"/>
      <c r="B66" s="2589"/>
      <c r="C66" s="2588"/>
      <c r="D66" s="1123" t="s">
        <v>6916</v>
      </c>
      <c r="E66" s="1153" t="s">
        <v>6898</v>
      </c>
      <c r="F66" s="1119">
        <v>43929</v>
      </c>
      <c r="G66" s="1153" t="s">
        <v>6897</v>
      </c>
      <c r="H66" s="1155" t="s">
        <v>6917</v>
      </c>
      <c r="I66" s="1155"/>
      <c r="J66" s="1155" t="s">
        <v>6361</v>
      </c>
      <c r="K66" s="1155" t="s">
        <v>6361</v>
      </c>
      <c r="L66" s="1153" t="s">
        <v>6918</v>
      </c>
    </row>
    <row r="67" spans="1:17" ht="47.25" x14ac:dyDescent="0.25">
      <c r="A67" s="2588"/>
      <c r="B67" s="2589"/>
      <c r="C67" s="2588"/>
      <c r="D67" s="1123" t="s">
        <v>6919</v>
      </c>
      <c r="E67" s="1153" t="s">
        <v>6757</v>
      </c>
      <c r="F67" s="1119">
        <v>43929</v>
      </c>
      <c r="G67" s="1153" t="s">
        <v>6902</v>
      </c>
      <c r="H67" s="1155" t="s">
        <v>6920</v>
      </c>
      <c r="I67" s="1155"/>
      <c r="J67" s="1155" t="s">
        <v>6361</v>
      </c>
      <c r="K67" s="1155" t="s">
        <v>6361</v>
      </c>
      <c r="L67" s="1153" t="s">
        <v>6921</v>
      </c>
    </row>
    <row r="68" spans="1:17" ht="47.25" x14ac:dyDescent="0.25">
      <c r="A68" s="2585"/>
      <c r="B68" s="2587"/>
      <c r="C68" s="2585"/>
      <c r="D68" s="1123" t="s">
        <v>6922</v>
      </c>
      <c r="E68" s="1153" t="s">
        <v>6907</v>
      </c>
      <c r="F68" s="1119">
        <v>43929</v>
      </c>
      <c r="G68" s="1888" t="s">
        <v>6906</v>
      </c>
      <c r="H68" s="1155" t="s">
        <v>6923</v>
      </c>
      <c r="I68" s="1155"/>
      <c r="J68" s="1155" t="s">
        <v>6361</v>
      </c>
      <c r="K68" s="1155" t="s">
        <v>6361</v>
      </c>
      <c r="L68" s="1153" t="s">
        <v>6924</v>
      </c>
    </row>
    <row r="69" spans="1:17" s="1354" customFormat="1" ht="61.35" customHeight="1" x14ac:dyDescent="0.25">
      <c r="A69" s="2584" t="s">
        <v>6856</v>
      </c>
      <c r="B69" s="2584" t="s">
        <v>6348</v>
      </c>
      <c r="C69" s="2584" t="s">
        <v>6925</v>
      </c>
      <c r="D69" s="2384" t="s">
        <v>6364</v>
      </c>
      <c r="E69" s="2389"/>
      <c r="F69" s="2388">
        <v>43930</v>
      </c>
      <c r="G69" s="2385" t="s">
        <v>6902</v>
      </c>
      <c r="H69" s="2387" t="s">
        <v>6926</v>
      </c>
      <c r="I69" s="2387" t="s">
        <v>6927</v>
      </c>
      <c r="J69" s="2387" t="s">
        <v>6361</v>
      </c>
      <c r="K69" s="2387" t="s">
        <v>6361</v>
      </c>
      <c r="L69" s="2385" t="s">
        <v>6928</v>
      </c>
      <c r="M69" s="2389"/>
      <c r="N69" s="2389"/>
      <c r="O69" s="2389"/>
      <c r="P69" s="2389"/>
      <c r="Q69" s="2389"/>
    </row>
    <row r="70" spans="1:17" s="1353" customFormat="1" ht="61.35" customHeight="1" x14ac:dyDescent="0.25">
      <c r="A70" s="2585"/>
      <c r="B70" s="2585"/>
      <c r="C70" s="2585"/>
      <c r="D70" s="1887" t="s">
        <v>6929</v>
      </c>
      <c r="E70" s="1891" t="s">
        <v>6930</v>
      </c>
      <c r="F70" s="1892">
        <v>43930</v>
      </c>
      <c r="G70" s="1888" t="s">
        <v>6902</v>
      </c>
      <c r="H70" s="1891" t="s">
        <v>6926</v>
      </c>
      <c r="I70" s="1891"/>
      <c r="J70" s="1891" t="s">
        <v>6361</v>
      </c>
      <c r="K70" s="1891" t="s">
        <v>6361</v>
      </c>
      <c r="L70" s="1888" t="s">
        <v>6931</v>
      </c>
      <c r="M70" s="1893"/>
      <c r="N70" s="1893"/>
      <c r="O70" s="1893"/>
      <c r="P70" s="1893"/>
      <c r="Q70" s="1893"/>
    </row>
    <row r="71" spans="1:17" ht="63" x14ac:dyDescent="0.25">
      <c r="A71" s="2584" t="s">
        <v>6932</v>
      </c>
      <c r="B71" s="2586" t="s">
        <v>6348</v>
      </c>
      <c r="C71" s="2584" t="s">
        <v>6933</v>
      </c>
      <c r="D71" s="1123" t="s">
        <v>6363</v>
      </c>
      <c r="E71" s="1155" t="s">
        <v>6537</v>
      </c>
      <c r="F71" s="1119">
        <v>43931</v>
      </c>
      <c r="G71" s="1153" t="s">
        <v>6364</v>
      </c>
      <c r="H71" s="1155" t="s">
        <v>6550</v>
      </c>
      <c r="I71" s="1155" t="s">
        <v>6934</v>
      </c>
      <c r="J71" s="1155" t="s">
        <v>6361</v>
      </c>
      <c r="K71" s="1155" t="s">
        <v>6361</v>
      </c>
      <c r="L71" s="1153" t="s">
        <v>6367</v>
      </c>
    </row>
    <row r="72" spans="1:17" s="1353" customFormat="1" ht="94.5" x14ac:dyDescent="0.25">
      <c r="A72" s="2585"/>
      <c r="B72" s="2587"/>
      <c r="C72" s="2585"/>
      <c r="D72" s="1887" t="s">
        <v>6935</v>
      </c>
      <c r="E72" s="1891" t="s">
        <v>6936</v>
      </c>
      <c r="F72" s="1892">
        <v>43931</v>
      </c>
      <c r="G72" s="1888" t="s">
        <v>6929</v>
      </c>
      <c r="H72" s="1891" t="s">
        <v>6937</v>
      </c>
      <c r="I72" s="1891" t="s">
        <v>6938</v>
      </c>
      <c r="J72" s="1891" t="s">
        <v>6361</v>
      </c>
      <c r="K72" s="1891" t="s">
        <v>6361</v>
      </c>
      <c r="L72" s="1888" t="s">
        <v>6939</v>
      </c>
      <c r="M72" s="1893"/>
      <c r="N72" s="1893"/>
      <c r="O72" s="1893"/>
      <c r="P72" s="1893"/>
      <c r="Q72" s="1893"/>
    </row>
    <row r="73" spans="1:17" x14ac:dyDescent="0.25">
      <c r="A73" s="1981"/>
      <c r="B73" s="1981"/>
      <c r="C73" s="1981"/>
      <c r="D73" s="1981"/>
      <c r="E73" s="1981"/>
      <c r="F73" s="1981"/>
      <c r="G73" s="1981"/>
      <c r="H73" s="1981"/>
      <c r="I73" s="1981"/>
      <c r="J73" s="1981"/>
      <c r="K73" s="1981"/>
      <c r="L73" s="1981"/>
      <c r="M73" s="1981"/>
      <c r="N73" s="1981"/>
      <c r="O73" s="1981"/>
      <c r="P73" s="1981"/>
      <c r="Q73" s="1981"/>
    </row>
  </sheetData>
  <mergeCells count="39">
    <mergeCell ref="A69:A70"/>
    <mergeCell ref="B69:B70"/>
    <mergeCell ref="A65:A68"/>
    <mergeCell ref="B65:B68"/>
    <mergeCell ref="C65:C68"/>
    <mergeCell ref="A31:A36"/>
    <mergeCell ref="B31:B36"/>
    <mergeCell ref="C31:C36"/>
    <mergeCell ref="A37:A42"/>
    <mergeCell ref="B37:B42"/>
    <mergeCell ref="C37:C42"/>
    <mergeCell ref="A2:A10"/>
    <mergeCell ref="B2:B10"/>
    <mergeCell ref="C2:C10"/>
    <mergeCell ref="A25:A30"/>
    <mergeCell ref="B25:B30"/>
    <mergeCell ref="C25:C30"/>
    <mergeCell ref="A13:A18"/>
    <mergeCell ref="B13:B18"/>
    <mergeCell ref="C13:C18"/>
    <mergeCell ref="A19:A24"/>
    <mergeCell ref="B19:B24"/>
    <mergeCell ref="C19:C24"/>
    <mergeCell ref="A71:A72"/>
    <mergeCell ref="B71:B72"/>
    <mergeCell ref="C71:C72"/>
    <mergeCell ref="A43:A48"/>
    <mergeCell ref="B43:B48"/>
    <mergeCell ref="C43:C48"/>
    <mergeCell ref="C69:C70"/>
    <mergeCell ref="A49:A54"/>
    <mergeCell ref="B49:B54"/>
    <mergeCell ref="C49:C54"/>
    <mergeCell ref="A61:A64"/>
    <mergeCell ref="B61:B64"/>
    <mergeCell ref="C61:C64"/>
    <mergeCell ref="A55:A60"/>
    <mergeCell ref="B55:B60"/>
    <mergeCell ref="C55:C60"/>
  </mergeCells>
  <phoneticPr fontId="20" type="noConversion"/>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2">
    <tabColor theme="0" tint="-0.14999847407452621"/>
  </sheetPr>
  <dimension ref="A1:L34"/>
  <sheetViews>
    <sheetView zoomScale="90" zoomScaleNormal="90" workbookViewId="0">
      <pane ySplit="1" topLeftCell="A23" activePane="bottomLeft" state="frozen"/>
      <selection pane="bottomLeft" activeCell="E9" sqref="E9"/>
    </sheetView>
  </sheetViews>
  <sheetFormatPr defaultColWidth="9.140625" defaultRowHeight="15.75" x14ac:dyDescent="0.25"/>
  <cols>
    <col min="1" max="1" width="14.85546875" style="1118" customWidth="1"/>
    <col min="2" max="2" width="9.140625" style="1118"/>
    <col min="3" max="3" width="18.5703125" style="1118" customWidth="1"/>
    <col min="4" max="4" width="26.140625" style="1118" bestFit="1" customWidth="1"/>
    <col min="5" max="5" width="18.5703125" style="1118" customWidth="1"/>
    <col min="6" max="6" width="13.28515625" style="1118" customWidth="1"/>
    <col min="7" max="7" width="19" style="1118" bestFit="1" customWidth="1"/>
    <col min="8" max="8" width="53.5703125" style="1118" customWidth="1"/>
    <col min="9" max="9" width="81.28515625" style="1118" customWidth="1"/>
    <col min="10" max="10" width="12.28515625" style="1118" customWidth="1"/>
    <col min="11" max="11" width="10.28515625" style="1118" customWidth="1"/>
    <col min="12" max="16384" width="9.140625" style="1118"/>
  </cols>
  <sheetData>
    <row r="1" spans="1:12" s="1209" customFormat="1" ht="47.25" x14ac:dyDescent="0.25">
      <c r="A1" s="1886" t="s">
        <v>6338</v>
      </c>
      <c r="B1" s="1886" t="s">
        <v>6339</v>
      </c>
      <c r="C1" s="1886" t="s">
        <v>6340</v>
      </c>
      <c r="D1" s="1886" t="s">
        <v>1462</v>
      </c>
      <c r="E1" s="1886" t="s">
        <v>6341</v>
      </c>
      <c r="F1" s="1886" t="s">
        <v>5866</v>
      </c>
      <c r="G1" s="1886" t="s">
        <v>6342</v>
      </c>
      <c r="H1" s="1886" t="s">
        <v>6236</v>
      </c>
      <c r="I1" s="1886" t="s">
        <v>6343</v>
      </c>
      <c r="J1" s="1886" t="s">
        <v>6344</v>
      </c>
      <c r="K1" s="1886" t="s">
        <v>6345</v>
      </c>
      <c r="L1" s="1887" t="s">
        <v>6346</v>
      </c>
    </row>
    <row r="2" spans="1:12" ht="36" customHeight="1" x14ac:dyDescent="0.25">
      <c r="A2" s="2584" t="s">
        <v>6940</v>
      </c>
      <c r="B2" s="2590" t="s">
        <v>6348</v>
      </c>
      <c r="C2" s="2584" t="s">
        <v>6941</v>
      </c>
      <c r="D2" s="1123" t="s">
        <v>6245</v>
      </c>
      <c r="F2" s="1126"/>
      <c r="H2" s="1117" t="s">
        <v>6246</v>
      </c>
      <c r="I2" s="1155" t="s">
        <v>6703</v>
      </c>
      <c r="J2" s="1118" t="s">
        <v>6351</v>
      </c>
      <c r="K2" s="1153" t="s">
        <v>6352</v>
      </c>
      <c r="L2" s="1118" t="s">
        <v>6704</v>
      </c>
    </row>
    <row r="3" spans="1:12" ht="15.75" customHeight="1" x14ac:dyDescent="0.25">
      <c r="A3" s="2591"/>
      <c r="B3" s="2591"/>
      <c r="C3" s="2591"/>
      <c r="D3" s="1123" t="s">
        <v>6942</v>
      </c>
      <c r="F3" s="1125">
        <v>42108</v>
      </c>
      <c r="H3" s="1117" t="s">
        <v>6943</v>
      </c>
      <c r="I3" s="1118" t="s">
        <v>6944</v>
      </c>
      <c r="J3" s="1118" t="s">
        <v>6361</v>
      </c>
      <c r="L3" s="1118" t="s">
        <v>6945</v>
      </c>
    </row>
    <row r="4" spans="1:12" ht="31.5" x14ac:dyDescent="0.25">
      <c r="A4" s="2591"/>
      <c r="B4" s="2591"/>
      <c r="C4" s="2591"/>
      <c r="D4" s="1123" t="s">
        <v>6709</v>
      </c>
      <c r="E4" s="1117"/>
      <c r="F4" s="1124">
        <v>42482</v>
      </c>
      <c r="G4" s="1118" t="s">
        <v>6710</v>
      </c>
      <c r="H4" s="1117" t="s">
        <v>6711</v>
      </c>
      <c r="I4" s="1117" t="s">
        <v>6712</v>
      </c>
      <c r="J4" s="1117" t="s">
        <v>6361</v>
      </c>
      <c r="K4" s="1117"/>
      <c r="L4" s="1118" t="s">
        <v>6713</v>
      </c>
    </row>
    <row r="5" spans="1:12" ht="31.5" x14ac:dyDescent="0.25">
      <c r="A5" s="2591"/>
      <c r="B5" s="2591"/>
      <c r="C5" s="2591"/>
      <c r="D5" s="1123" t="s">
        <v>6714</v>
      </c>
      <c r="F5" s="1122">
        <v>42835</v>
      </c>
      <c r="G5" s="1118" t="s">
        <v>6715</v>
      </c>
      <c r="H5" s="1118" t="s">
        <v>6716</v>
      </c>
      <c r="I5" s="1117" t="s">
        <v>6717</v>
      </c>
      <c r="J5" s="1117" t="s">
        <v>6361</v>
      </c>
      <c r="K5" s="1117" t="s">
        <v>6361</v>
      </c>
      <c r="L5" s="1118" t="s">
        <v>6718</v>
      </c>
    </row>
    <row r="6" spans="1:12" ht="31.5" x14ac:dyDescent="0.25">
      <c r="A6" s="2591"/>
      <c r="B6" s="2591"/>
      <c r="C6" s="2591"/>
      <c r="D6" s="1123" t="s">
        <v>6546</v>
      </c>
      <c r="F6" s="1154">
        <v>43200</v>
      </c>
      <c r="H6" s="1153" t="s">
        <v>6547</v>
      </c>
      <c r="I6" s="1155" t="s">
        <v>6548</v>
      </c>
      <c r="J6" s="1117" t="s">
        <v>6361</v>
      </c>
      <c r="K6" s="1117" t="s">
        <v>6361</v>
      </c>
      <c r="L6" s="1153" t="s">
        <v>6549</v>
      </c>
    </row>
    <row r="7" spans="1:12" ht="41.25" customHeight="1" x14ac:dyDescent="0.25">
      <c r="A7" s="2591"/>
      <c r="B7" s="2591"/>
      <c r="C7" s="2591"/>
      <c r="D7" s="1123" t="s">
        <v>6946</v>
      </c>
      <c r="F7" s="1157">
        <v>43515</v>
      </c>
      <c r="G7" s="1153" t="s">
        <v>6714</v>
      </c>
      <c r="H7" s="1184" t="s">
        <v>6947</v>
      </c>
      <c r="I7" s="1155" t="s">
        <v>6948</v>
      </c>
      <c r="J7" s="1118" t="s">
        <v>6361</v>
      </c>
      <c r="K7" s="1118" t="s">
        <v>6352</v>
      </c>
      <c r="L7" s="1153" t="s">
        <v>6949</v>
      </c>
    </row>
    <row r="8" spans="1:12" ht="78.75" x14ac:dyDescent="0.25">
      <c r="A8" s="2591"/>
      <c r="B8" s="2591"/>
      <c r="C8" s="2591"/>
      <c r="D8" s="1123" t="s">
        <v>6950</v>
      </c>
      <c r="F8" s="1157">
        <v>43517</v>
      </c>
      <c r="G8" s="1153" t="s">
        <v>6546</v>
      </c>
      <c r="H8" s="1184" t="s">
        <v>6951</v>
      </c>
      <c r="I8" s="1155" t="s">
        <v>6952</v>
      </c>
      <c r="J8" s="1117" t="s">
        <v>6361</v>
      </c>
      <c r="K8" s="1117" t="s">
        <v>6361</v>
      </c>
      <c r="L8" s="1153" t="s">
        <v>6953</v>
      </c>
    </row>
    <row r="9" spans="1:12" s="1204" customFormat="1" ht="63" x14ac:dyDescent="0.25">
      <c r="A9" s="2592"/>
      <c r="B9" s="2592"/>
      <c r="C9" s="2592"/>
      <c r="D9" s="1887" t="s">
        <v>6954</v>
      </c>
      <c r="E9" s="1893"/>
      <c r="F9" s="1894">
        <v>43517</v>
      </c>
      <c r="G9" s="1893" t="s">
        <v>6245</v>
      </c>
      <c r="H9" s="1895" t="s">
        <v>6955</v>
      </c>
      <c r="I9" s="1891" t="s">
        <v>6956</v>
      </c>
      <c r="J9" s="1890" t="s">
        <v>6352</v>
      </c>
      <c r="K9" s="1890" t="s">
        <v>6352</v>
      </c>
      <c r="L9" s="1888" t="s">
        <v>6957</v>
      </c>
    </row>
    <row r="10" spans="1:12" s="1210" customFormat="1" ht="126" x14ac:dyDescent="0.25">
      <c r="A10" s="1973" t="s">
        <v>6958</v>
      </c>
      <c r="B10" s="1973" t="s">
        <v>6348</v>
      </c>
      <c r="C10" s="1973" t="s">
        <v>6959</v>
      </c>
      <c r="D10" s="1974" t="s">
        <v>6960</v>
      </c>
      <c r="E10" s="1975"/>
      <c r="F10" s="1976">
        <v>43529</v>
      </c>
      <c r="G10" s="1977" t="s">
        <v>6961</v>
      </c>
      <c r="H10" s="1978" t="s">
        <v>6962</v>
      </c>
      <c r="I10" s="1978" t="s">
        <v>6963</v>
      </c>
      <c r="J10" s="1982" t="s">
        <v>6361</v>
      </c>
      <c r="K10" s="1982" t="s">
        <v>6361</v>
      </c>
      <c r="L10" s="1980" t="s">
        <v>6964</v>
      </c>
    </row>
    <row r="11" spans="1:12" s="1121" customFormat="1" ht="63" x14ac:dyDescent="0.25">
      <c r="A11" s="2584" t="s">
        <v>6965</v>
      </c>
      <c r="B11" s="2586" t="s">
        <v>6348</v>
      </c>
      <c r="C11" s="2584" t="s">
        <v>6966</v>
      </c>
      <c r="D11" s="2384" t="s">
        <v>6967</v>
      </c>
      <c r="E11" s="2389" t="s">
        <v>6968</v>
      </c>
      <c r="F11" s="2386">
        <v>43533</v>
      </c>
      <c r="G11" s="2385" t="s">
        <v>6960</v>
      </c>
      <c r="H11" s="2387" t="s">
        <v>6969</v>
      </c>
      <c r="I11" s="2387" t="s">
        <v>6970</v>
      </c>
      <c r="J11" s="1155" t="s">
        <v>6361</v>
      </c>
      <c r="K11" s="1155" t="s">
        <v>6361</v>
      </c>
      <c r="L11" s="2385" t="s">
        <v>6971</v>
      </c>
    </row>
    <row r="12" spans="1:12" ht="31.5" x14ac:dyDescent="0.25">
      <c r="A12" s="2591"/>
      <c r="B12" s="2593"/>
      <c r="C12" s="2591"/>
      <c r="D12" s="1123" t="s">
        <v>6972</v>
      </c>
      <c r="E12" s="1118" t="s">
        <v>6386</v>
      </c>
      <c r="F12" s="1120">
        <v>43533</v>
      </c>
      <c r="G12" s="1153" t="s">
        <v>6960</v>
      </c>
      <c r="H12" s="1155" t="s">
        <v>6973</v>
      </c>
      <c r="I12" s="1117"/>
      <c r="J12" s="1155" t="s">
        <v>6361</v>
      </c>
      <c r="K12" s="1155" t="s">
        <v>6361</v>
      </c>
      <c r="L12" s="1153" t="s">
        <v>6974</v>
      </c>
    </row>
    <row r="13" spans="1:12" s="1204" customFormat="1" ht="31.5" x14ac:dyDescent="0.25">
      <c r="A13" s="2592"/>
      <c r="B13" s="2594"/>
      <c r="C13" s="2592"/>
      <c r="D13" s="1887" t="s">
        <v>6975</v>
      </c>
      <c r="E13" s="1893" t="s">
        <v>6389</v>
      </c>
      <c r="F13" s="1889">
        <v>43533</v>
      </c>
      <c r="G13" s="1888" t="s">
        <v>6960</v>
      </c>
      <c r="H13" s="1155" t="s">
        <v>6976</v>
      </c>
      <c r="I13" s="1890"/>
      <c r="J13" s="1891" t="s">
        <v>6361</v>
      </c>
      <c r="K13" s="1891" t="s">
        <v>6361</v>
      </c>
      <c r="L13" s="1888" t="s">
        <v>6977</v>
      </c>
    </row>
    <row r="14" spans="1:12" s="1121" customFormat="1" ht="78.75" x14ac:dyDescent="0.25">
      <c r="A14" s="2584" t="s">
        <v>6978</v>
      </c>
      <c r="B14" s="2586" t="s">
        <v>6348</v>
      </c>
      <c r="C14" s="2584" t="s">
        <v>6979</v>
      </c>
      <c r="D14" s="2384" t="s">
        <v>6980</v>
      </c>
      <c r="E14" s="2389" t="s">
        <v>6968</v>
      </c>
      <c r="F14" s="2386">
        <v>43533</v>
      </c>
      <c r="G14" s="2385" t="s">
        <v>6981</v>
      </c>
      <c r="H14" s="2390" t="s">
        <v>6982</v>
      </c>
      <c r="I14" s="2387" t="s">
        <v>6983</v>
      </c>
      <c r="J14" s="1155" t="s">
        <v>6361</v>
      </c>
      <c r="K14" s="1155" t="s">
        <v>6361</v>
      </c>
      <c r="L14" s="2385" t="s">
        <v>6984</v>
      </c>
    </row>
    <row r="15" spans="1:12" ht="31.5" x14ac:dyDescent="0.25">
      <c r="A15" s="2591"/>
      <c r="B15" s="2593"/>
      <c r="C15" s="2591"/>
      <c r="D15" s="1123" t="s">
        <v>6985</v>
      </c>
      <c r="E15" s="1118" t="s">
        <v>6386</v>
      </c>
      <c r="F15" s="1120">
        <v>43533</v>
      </c>
      <c r="G15" s="1153" t="s">
        <v>6986</v>
      </c>
      <c r="H15" s="1117" t="s">
        <v>6987</v>
      </c>
      <c r="I15" s="1117"/>
      <c r="J15" s="1155" t="s">
        <v>6361</v>
      </c>
      <c r="K15" s="1155" t="s">
        <v>6361</v>
      </c>
      <c r="L15" s="1153" t="s">
        <v>6988</v>
      </c>
    </row>
    <row r="16" spans="1:12" s="1204" customFormat="1" ht="31.5" x14ac:dyDescent="0.25">
      <c r="A16" s="2592"/>
      <c r="B16" s="2594"/>
      <c r="C16" s="2592"/>
      <c r="D16" s="1887" t="s">
        <v>6989</v>
      </c>
      <c r="E16" s="1893" t="s">
        <v>6389</v>
      </c>
      <c r="F16" s="1889">
        <v>43533</v>
      </c>
      <c r="G16" s="1888" t="s">
        <v>6990</v>
      </c>
      <c r="H16" s="1117" t="s">
        <v>6991</v>
      </c>
      <c r="I16" s="1890"/>
      <c r="J16" s="1891" t="s">
        <v>6361</v>
      </c>
      <c r="K16" s="1891" t="s">
        <v>6361</v>
      </c>
      <c r="L16" s="1888" t="s">
        <v>6992</v>
      </c>
    </row>
    <row r="17" spans="1:12" s="1121" customFormat="1" ht="63" x14ac:dyDescent="0.25">
      <c r="A17" s="2584" t="s">
        <v>6978</v>
      </c>
      <c r="B17" s="2586" t="s">
        <v>6348</v>
      </c>
      <c r="C17" s="2584" t="s">
        <v>6993</v>
      </c>
      <c r="D17" s="2384" t="s">
        <v>6994</v>
      </c>
      <c r="E17" s="2389" t="s">
        <v>6968</v>
      </c>
      <c r="F17" s="2391" t="s">
        <v>6995</v>
      </c>
      <c r="G17" s="2385" t="s">
        <v>6980</v>
      </c>
      <c r="H17" s="2390" t="s">
        <v>6982</v>
      </c>
      <c r="I17" s="2387" t="s">
        <v>6996</v>
      </c>
      <c r="J17" s="1155" t="s">
        <v>6361</v>
      </c>
      <c r="K17" s="1155" t="s">
        <v>6361</v>
      </c>
      <c r="L17" s="2385" t="s">
        <v>6997</v>
      </c>
    </row>
    <row r="18" spans="1:12" ht="31.5" x14ac:dyDescent="0.25">
      <c r="A18" s="2591"/>
      <c r="B18" s="2593"/>
      <c r="C18" s="2591"/>
      <c r="D18" s="1123" t="s">
        <v>6998</v>
      </c>
      <c r="E18" s="1118" t="s">
        <v>6386</v>
      </c>
      <c r="F18" s="1120" t="s">
        <v>6995</v>
      </c>
      <c r="G18" s="1153" t="s">
        <v>6985</v>
      </c>
      <c r="H18" s="1117" t="s">
        <v>6987</v>
      </c>
      <c r="I18" s="1117"/>
      <c r="J18" s="1155" t="s">
        <v>6361</v>
      </c>
      <c r="K18" s="1155" t="s">
        <v>6361</v>
      </c>
      <c r="L18" s="1153" t="s">
        <v>6999</v>
      </c>
    </row>
    <row r="19" spans="1:12" s="1204" customFormat="1" ht="31.5" x14ac:dyDescent="0.25">
      <c r="A19" s="2592"/>
      <c r="B19" s="2594"/>
      <c r="C19" s="2592"/>
      <c r="D19" s="1887" t="s">
        <v>7000</v>
      </c>
      <c r="E19" s="1893" t="s">
        <v>6389</v>
      </c>
      <c r="F19" s="1889" t="s">
        <v>6995</v>
      </c>
      <c r="G19" s="1888" t="s">
        <v>6989</v>
      </c>
      <c r="H19" s="1117" t="s">
        <v>6991</v>
      </c>
      <c r="I19" s="1890"/>
      <c r="J19" s="1891" t="s">
        <v>6361</v>
      </c>
      <c r="K19" s="1891" t="s">
        <v>6361</v>
      </c>
      <c r="L19" s="1888" t="s">
        <v>7001</v>
      </c>
    </row>
    <row r="20" spans="1:12" s="1121" customFormat="1" ht="63" x14ac:dyDescent="0.25">
      <c r="A20" s="2584" t="s">
        <v>7002</v>
      </c>
      <c r="B20" s="2586" t="s">
        <v>6348</v>
      </c>
      <c r="C20" s="2584" t="s">
        <v>7003</v>
      </c>
      <c r="D20" s="2384" t="s">
        <v>7004</v>
      </c>
      <c r="E20" s="2389" t="s">
        <v>6968</v>
      </c>
      <c r="F20" s="2391" t="s">
        <v>7005</v>
      </c>
      <c r="G20" s="2385" t="s">
        <v>6994</v>
      </c>
      <c r="H20" s="2390" t="s">
        <v>6982</v>
      </c>
      <c r="I20" s="2387" t="s">
        <v>7006</v>
      </c>
      <c r="J20" s="1155" t="s">
        <v>6361</v>
      </c>
      <c r="K20" s="1155" t="s">
        <v>6361</v>
      </c>
      <c r="L20" s="2385" t="s">
        <v>7007</v>
      </c>
    </row>
    <row r="21" spans="1:12" ht="31.5" x14ac:dyDescent="0.25">
      <c r="A21" s="2591"/>
      <c r="B21" s="2593"/>
      <c r="C21" s="2591"/>
      <c r="D21" s="1123" t="s">
        <v>7008</v>
      </c>
      <c r="E21" s="1118" t="s">
        <v>6386</v>
      </c>
      <c r="F21" s="1186" t="s">
        <v>7005</v>
      </c>
      <c r="G21" s="1153" t="s">
        <v>6998</v>
      </c>
      <c r="H21" s="1117" t="s">
        <v>6987</v>
      </c>
      <c r="I21" s="1117"/>
      <c r="J21" s="1155" t="s">
        <v>6361</v>
      </c>
      <c r="K21" s="1155" t="s">
        <v>6361</v>
      </c>
      <c r="L21" s="1153" t="s">
        <v>7009</v>
      </c>
    </row>
    <row r="22" spans="1:12" s="1204" customFormat="1" ht="31.5" x14ac:dyDescent="0.25">
      <c r="A22" s="2592"/>
      <c r="B22" s="2594"/>
      <c r="C22" s="2592"/>
      <c r="D22" s="1887" t="s">
        <v>7010</v>
      </c>
      <c r="E22" s="1893" t="s">
        <v>6389</v>
      </c>
      <c r="F22" s="1896" t="s">
        <v>7005</v>
      </c>
      <c r="G22" s="1888" t="s">
        <v>7000</v>
      </c>
      <c r="H22" s="1117" t="s">
        <v>6991</v>
      </c>
      <c r="I22" s="1890"/>
      <c r="J22" s="1891" t="s">
        <v>6361</v>
      </c>
      <c r="K22" s="1891" t="s">
        <v>6361</v>
      </c>
      <c r="L22" s="1888" t="s">
        <v>7011</v>
      </c>
    </row>
    <row r="23" spans="1:12" s="1121" customFormat="1" ht="47.25" x14ac:dyDescent="0.25">
      <c r="A23" s="2584" t="s">
        <v>7012</v>
      </c>
      <c r="B23" s="2586" t="s">
        <v>6348</v>
      </c>
      <c r="C23" s="2584" t="s">
        <v>7013</v>
      </c>
      <c r="D23" s="2384" t="s">
        <v>7014</v>
      </c>
      <c r="E23" s="2389" t="s">
        <v>6968</v>
      </c>
      <c r="F23" s="2388">
        <v>43542</v>
      </c>
      <c r="G23" s="2389" t="s">
        <v>7004</v>
      </c>
      <c r="H23" s="2387" t="s">
        <v>7015</v>
      </c>
      <c r="I23" s="2387" t="s">
        <v>7016</v>
      </c>
      <c r="J23" s="1155" t="s">
        <v>6361</v>
      </c>
      <c r="K23" s="1155" t="s">
        <v>6361</v>
      </c>
      <c r="L23" s="2385" t="s">
        <v>7017</v>
      </c>
    </row>
    <row r="24" spans="1:12" ht="47.25" x14ac:dyDescent="0.25">
      <c r="A24" s="2591"/>
      <c r="B24" s="2593"/>
      <c r="C24" s="2591"/>
      <c r="D24" s="1123" t="s">
        <v>7018</v>
      </c>
      <c r="E24" s="1118" t="s">
        <v>6386</v>
      </c>
      <c r="F24" s="1119">
        <v>43542</v>
      </c>
      <c r="G24" s="1118" t="s">
        <v>7008</v>
      </c>
      <c r="H24" s="1155" t="s">
        <v>7019</v>
      </c>
      <c r="I24" s="1117"/>
      <c r="J24" s="1155" t="s">
        <v>6361</v>
      </c>
      <c r="K24" s="1155" t="s">
        <v>6361</v>
      </c>
      <c r="L24" s="1153" t="s">
        <v>7020</v>
      </c>
    </row>
    <row r="25" spans="1:12" s="1204" customFormat="1" ht="47.25" x14ac:dyDescent="0.25">
      <c r="A25" s="2592"/>
      <c r="B25" s="2594"/>
      <c r="C25" s="2592"/>
      <c r="D25" s="1887" t="s">
        <v>7021</v>
      </c>
      <c r="E25" s="1893" t="s">
        <v>6389</v>
      </c>
      <c r="F25" s="1892">
        <v>43542</v>
      </c>
      <c r="G25" s="1893" t="s">
        <v>7010</v>
      </c>
      <c r="H25" s="1155" t="s">
        <v>7022</v>
      </c>
      <c r="I25" s="1890"/>
      <c r="J25" s="1891" t="s">
        <v>6361</v>
      </c>
      <c r="K25" s="1891" t="s">
        <v>6361</v>
      </c>
      <c r="L25" s="1153" t="s">
        <v>7023</v>
      </c>
    </row>
    <row r="26" spans="1:12" s="1121" customFormat="1" ht="47.25" x14ac:dyDescent="0.25">
      <c r="A26" s="2584" t="s">
        <v>7024</v>
      </c>
      <c r="B26" s="2586" t="s">
        <v>6348</v>
      </c>
      <c r="C26" s="2584" t="s">
        <v>7025</v>
      </c>
      <c r="D26" s="2384" t="s">
        <v>7026</v>
      </c>
      <c r="E26" s="2389" t="s">
        <v>6968</v>
      </c>
      <c r="F26" s="2388">
        <v>43560</v>
      </c>
      <c r="G26" s="2389" t="s">
        <v>7014</v>
      </c>
      <c r="H26" s="2387" t="s">
        <v>7027</v>
      </c>
      <c r="I26" s="2387" t="s">
        <v>7028</v>
      </c>
      <c r="J26" s="1155" t="s">
        <v>6361</v>
      </c>
      <c r="K26" s="1155" t="s">
        <v>6361</v>
      </c>
      <c r="L26" s="2385" t="s">
        <v>7029</v>
      </c>
    </row>
    <row r="27" spans="1:12" ht="47.25" x14ac:dyDescent="0.25">
      <c r="A27" s="2591"/>
      <c r="B27" s="2593"/>
      <c r="C27" s="2591"/>
      <c r="D27" s="1123" t="s">
        <v>7030</v>
      </c>
      <c r="E27" s="1118" t="s">
        <v>6386</v>
      </c>
      <c r="F27" s="1119">
        <v>43560</v>
      </c>
      <c r="G27" s="1118" t="s">
        <v>7018</v>
      </c>
      <c r="H27" s="1155" t="s">
        <v>7031</v>
      </c>
      <c r="I27" s="1117"/>
      <c r="J27" s="1155" t="s">
        <v>6361</v>
      </c>
      <c r="K27" s="1155" t="s">
        <v>6361</v>
      </c>
      <c r="L27" s="1153" t="s">
        <v>7032</v>
      </c>
    </row>
    <row r="28" spans="1:12" s="1204" customFormat="1" ht="47.25" x14ac:dyDescent="0.25">
      <c r="A28" s="2592"/>
      <c r="B28" s="2594"/>
      <c r="C28" s="2592"/>
      <c r="D28" s="1887" t="s">
        <v>7033</v>
      </c>
      <c r="E28" s="1893" t="s">
        <v>6389</v>
      </c>
      <c r="F28" s="1892">
        <v>43560</v>
      </c>
      <c r="G28" s="1893" t="s">
        <v>7021</v>
      </c>
      <c r="H28" s="1155" t="s">
        <v>7034</v>
      </c>
      <c r="I28" s="1890"/>
      <c r="J28" s="1891" t="s">
        <v>6361</v>
      </c>
      <c r="K28" s="1891" t="s">
        <v>6361</v>
      </c>
      <c r="L28" s="1888" t="s">
        <v>7035</v>
      </c>
    </row>
    <row r="29" spans="1:12" s="1210" customFormat="1" ht="61.35" customHeight="1" x14ac:dyDescent="0.25">
      <c r="A29" s="1973" t="s">
        <v>7036</v>
      </c>
      <c r="B29" s="1973" t="s">
        <v>6348</v>
      </c>
      <c r="C29" s="1973" t="s">
        <v>7037</v>
      </c>
      <c r="D29" s="1974" t="s">
        <v>7038</v>
      </c>
      <c r="E29" s="1975"/>
      <c r="F29" s="1983">
        <v>43566</v>
      </c>
      <c r="G29" s="1977" t="s">
        <v>7030</v>
      </c>
      <c r="H29" s="1979" t="s">
        <v>7039</v>
      </c>
      <c r="I29" s="1979" t="s">
        <v>7040</v>
      </c>
      <c r="J29" s="1979" t="s">
        <v>6361</v>
      </c>
      <c r="K29" s="1979" t="s">
        <v>6361</v>
      </c>
      <c r="L29" s="1977" t="s">
        <v>7041</v>
      </c>
    </row>
    <row r="30" spans="1:12" s="1210" customFormat="1" ht="46.5" customHeight="1" x14ac:dyDescent="0.25">
      <c r="A30" s="1973" t="s">
        <v>7036</v>
      </c>
      <c r="B30" s="1973" t="s">
        <v>6348</v>
      </c>
      <c r="C30" s="1973" t="s">
        <v>7042</v>
      </c>
      <c r="D30" s="1974" t="s">
        <v>7043</v>
      </c>
      <c r="E30" s="1975"/>
      <c r="F30" s="1983">
        <v>43568</v>
      </c>
      <c r="G30" s="1977" t="s">
        <v>7038</v>
      </c>
      <c r="H30" s="1979" t="s">
        <v>7044</v>
      </c>
      <c r="I30" s="1979" t="s">
        <v>7045</v>
      </c>
      <c r="J30" s="1979" t="s">
        <v>6361</v>
      </c>
      <c r="K30" s="1979" t="s">
        <v>6361</v>
      </c>
      <c r="L30" s="1977" t="s">
        <v>7046</v>
      </c>
    </row>
    <row r="31" spans="1:12" ht="46.5" customHeight="1" x14ac:dyDescent="0.25">
      <c r="A31" s="2392" t="s">
        <v>7047</v>
      </c>
      <c r="B31" s="2392" t="s">
        <v>6348</v>
      </c>
      <c r="C31" s="2392" t="s">
        <v>7048</v>
      </c>
      <c r="D31" s="1123" t="s">
        <v>7049</v>
      </c>
      <c r="F31" s="1119">
        <v>43569</v>
      </c>
      <c r="G31" s="1153" t="s">
        <v>7043</v>
      </c>
      <c r="H31" s="1155" t="s">
        <v>7050</v>
      </c>
      <c r="I31" s="1155" t="s">
        <v>7051</v>
      </c>
      <c r="J31" s="1979" t="s">
        <v>6361</v>
      </c>
      <c r="K31" s="1979" t="s">
        <v>6361</v>
      </c>
      <c r="L31" s="1977" t="s">
        <v>7052</v>
      </c>
    </row>
    <row r="32" spans="1:12" s="1210" customFormat="1" ht="63" x14ac:dyDescent="0.25">
      <c r="A32" s="2392" t="s">
        <v>7036</v>
      </c>
      <c r="B32" s="1984" t="s">
        <v>6348</v>
      </c>
      <c r="C32" s="1973" t="s">
        <v>7053</v>
      </c>
      <c r="D32" s="1974" t="s">
        <v>6358</v>
      </c>
      <c r="E32" s="1982"/>
      <c r="F32" s="1985">
        <v>43569</v>
      </c>
      <c r="G32" s="1977" t="s">
        <v>7049</v>
      </c>
      <c r="H32" s="1979" t="s">
        <v>7054</v>
      </c>
      <c r="I32" s="1979" t="s">
        <v>7055</v>
      </c>
      <c r="J32" s="1979" t="s">
        <v>6361</v>
      </c>
      <c r="K32" s="1979" t="s">
        <v>6361</v>
      </c>
      <c r="L32" s="1977" t="s">
        <v>7056</v>
      </c>
    </row>
    <row r="33" spans="1:12" s="1210" customFormat="1" ht="63" x14ac:dyDescent="0.25">
      <c r="A33" s="2392" t="s">
        <v>7036</v>
      </c>
      <c r="B33" s="1984" t="s">
        <v>6348</v>
      </c>
      <c r="C33" s="1973" t="s">
        <v>7057</v>
      </c>
      <c r="D33" s="1974" t="s">
        <v>6357</v>
      </c>
      <c r="E33" s="1979" t="s">
        <v>6537</v>
      </c>
      <c r="F33" s="1985">
        <v>43570</v>
      </c>
      <c r="G33" s="1977" t="s">
        <v>6358</v>
      </c>
      <c r="H33" s="1982" t="s">
        <v>7058</v>
      </c>
      <c r="I33" s="1979" t="s">
        <v>7059</v>
      </c>
      <c r="J33" s="1979" t="s">
        <v>6361</v>
      </c>
      <c r="K33" s="1979" t="s">
        <v>6361</v>
      </c>
      <c r="L33" s="1977" t="s">
        <v>6362</v>
      </c>
    </row>
    <row r="34" spans="1:12" s="1211" customFormat="1" x14ac:dyDescent="0.25">
      <c r="A34" s="1981"/>
      <c r="B34" s="1981"/>
      <c r="C34" s="1981"/>
      <c r="D34" s="1981"/>
      <c r="E34" s="1981"/>
      <c r="F34" s="1981"/>
      <c r="G34" s="1981"/>
      <c r="H34" s="1981"/>
      <c r="I34" s="1981"/>
      <c r="J34" s="1981"/>
      <c r="K34" s="1981"/>
      <c r="L34" s="1981"/>
    </row>
  </sheetData>
  <mergeCells count="21">
    <mergeCell ref="A2:A9"/>
    <mergeCell ref="B2:B9"/>
    <mergeCell ref="C2:C9"/>
    <mergeCell ref="A11:A13"/>
    <mergeCell ref="B11:B13"/>
    <mergeCell ref="C11:C13"/>
    <mergeCell ref="A14:A16"/>
    <mergeCell ref="B14:B16"/>
    <mergeCell ref="C14:C16"/>
    <mergeCell ref="A17:A19"/>
    <mergeCell ref="B17:B19"/>
    <mergeCell ref="C17:C19"/>
    <mergeCell ref="A26:A28"/>
    <mergeCell ref="B26:B28"/>
    <mergeCell ref="C26:C28"/>
    <mergeCell ref="A20:A22"/>
    <mergeCell ref="B20:B22"/>
    <mergeCell ref="C20:C22"/>
    <mergeCell ref="A23:A25"/>
    <mergeCell ref="B23:B25"/>
    <mergeCell ref="C23:C25"/>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G250"/>
  <sheetViews>
    <sheetView workbookViewId="0">
      <pane ySplit="4" topLeftCell="A152" activePane="bottomLeft" state="frozen"/>
      <selection activeCell="E42" sqref="E42"/>
      <selection pane="bottomLeft" activeCell="G137" sqref="G137:G138"/>
    </sheetView>
  </sheetViews>
  <sheetFormatPr defaultRowHeight="12.75" x14ac:dyDescent="0.2"/>
  <cols>
    <col min="1" max="1" width="8.140625" customWidth="1"/>
    <col min="2" max="2" width="12.140625" bestFit="1" customWidth="1"/>
    <col min="3" max="3" width="7.5703125" style="1152" bestFit="1" customWidth="1"/>
    <col min="4" max="4" width="22.28515625" hidden="1" customWidth="1"/>
    <col min="5" max="5" width="21.85546875" hidden="1" customWidth="1"/>
    <col min="6" max="6" width="10.5703125" bestFit="1" customWidth="1"/>
    <col min="7" max="7" width="39.28515625" bestFit="1" customWidth="1"/>
  </cols>
  <sheetData>
    <row r="1" spans="1:7" x14ac:dyDescent="0.2">
      <c r="A1" s="37" t="s">
        <v>7060</v>
      </c>
    </row>
    <row r="2" spans="1:7" x14ac:dyDescent="0.2">
      <c r="A2" s="37" t="s">
        <v>7061</v>
      </c>
    </row>
    <row r="3" spans="1:7" x14ac:dyDescent="0.2">
      <c r="A3" s="37" t="s">
        <v>7062</v>
      </c>
    </row>
    <row r="4" spans="1:7" x14ac:dyDescent="0.2">
      <c r="A4" t="s">
        <v>7063</v>
      </c>
      <c r="B4" t="s">
        <v>7064</v>
      </c>
      <c r="C4" t="s">
        <v>4386</v>
      </c>
      <c r="D4" t="s">
        <v>7065</v>
      </c>
      <c r="E4" t="s">
        <v>7066</v>
      </c>
      <c r="F4" t="s">
        <v>7067</v>
      </c>
      <c r="G4" t="s">
        <v>4385</v>
      </c>
    </row>
    <row r="5" spans="1:7" x14ac:dyDescent="0.2">
      <c r="A5" t="s">
        <v>1367</v>
      </c>
      <c r="B5">
        <v>1</v>
      </c>
      <c r="C5" s="1152">
        <v>1</v>
      </c>
      <c r="D5">
        <v>1</v>
      </c>
      <c r="E5">
        <v>1</v>
      </c>
      <c r="F5" t="s">
        <v>4387</v>
      </c>
      <c r="G5" t="s">
        <v>4388</v>
      </c>
    </row>
    <row r="6" spans="1:7" x14ac:dyDescent="0.2">
      <c r="A6" t="s">
        <v>1367</v>
      </c>
      <c r="B6">
        <v>1</v>
      </c>
      <c r="C6" s="1152">
        <v>2</v>
      </c>
      <c r="D6">
        <v>1</v>
      </c>
      <c r="E6">
        <v>2</v>
      </c>
      <c r="F6" t="s">
        <v>4391</v>
      </c>
      <c r="G6" t="s">
        <v>4392</v>
      </c>
    </row>
    <row r="7" spans="1:7" x14ac:dyDescent="0.2">
      <c r="A7" t="s">
        <v>1367</v>
      </c>
      <c r="B7">
        <v>1</v>
      </c>
      <c r="C7" s="1152">
        <v>3</v>
      </c>
      <c r="D7">
        <v>1</v>
      </c>
      <c r="E7">
        <v>3</v>
      </c>
      <c r="F7" t="s">
        <v>4395</v>
      </c>
      <c r="G7" t="s">
        <v>4396</v>
      </c>
    </row>
    <row r="8" spans="1:7" x14ac:dyDescent="0.2">
      <c r="A8" t="s">
        <v>1367</v>
      </c>
      <c r="B8">
        <v>1</v>
      </c>
      <c r="C8" s="1152">
        <v>4</v>
      </c>
      <c r="D8">
        <v>1</v>
      </c>
      <c r="E8">
        <v>4</v>
      </c>
      <c r="F8" t="s">
        <v>4400</v>
      </c>
      <c r="G8" t="s">
        <v>4401</v>
      </c>
    </row>
    <row r="9" spans="1:7" x14ac:dyDescent="0.2">
      <c r="A9" t="s">
        <v>1367</v>
      </c>
      <c r="B9">
        <v>1</v>
      </c>
      <c r="C9" s="1152">
        <v>5</v>
      </c>
      <c r="D9">
        <v>1</v>
      </c>
      <c r="E9">
        <v>5</v>
      </c>
      <c r="F9" t="s">
        <v>361</v>
      </c>
      <c r="G9" t="s">
        <v>4406</v>
      </c>
    </row>
    <row r="10" spans="1:7" x14ac:dyDescent="0.2">
      <c r="A10" t="s">
        <v>1367</v>
      </c>
      <c r="B10">
        <v>1</v>
      </c>
      <c r="C10" s="1152">
        <v>6</v>
      </c>
      <c r="D10">
        <v>1</v>
      </c>
      <c r="E10">
        <v>6</v>
      </c>
      <c r="F10" t="s">
        <v>362</v>
      </c>
      <c r="G10" t="s">
        <v>4409</v>
      </c>
    </row>
    <row r="11" spans="1:7" x14ac:dyDescent="0.2">
      <c r="A11" t="s">
        <v>1367</v>
      </c>
      <c r="B11">
        <v>1</v>
      </c>
      <c r="C11" s="1152">
        <v>7</v>
      </c>
      <c r="D11">
        <v>1</v>
      </c>
      <c r="E11">
        <v>7</v>
      </c>
      <c r="F11" t="s">
        <v>353</v>
      </c>
      <c r="G11" t="s">
        <v>4412</v>
      </c>
    </row>
    <row r="12" spans="1:7" x14ac:dyDescent="0.2">
      <c r="A12" t="s">
        <v>1367</v>
      </c>
      <c r="B12">
        <v>1</v>
      </c>
      <c r="C12" s="1152">
        <v>8</v>
      </c>
      <c r="D12">
        <v>1</v>
      </c>
      <c r="E12">
        <v>8</v>
      </c>
      <c r="F12" t="s">
        <v>354</v>
      </c>
      <c r="G12" t="s">
        <v>4415</v>
      </c>
    </row>
    <row r="13" spans="1:7" x14ac:dyDescent="0.2">
      <c r="A13" t="s">
        <v>1367</v>
      </c>
      <c r="B13">
        <v>1</v>
      </c>
      <c r="C13" s="1152">
        <v>9</v>
      </c>
      <c r="D13">
        <v>1</v>
      </c>
      <c r="E13">
        <v>9</v>
      </c>
      <c r="F13" t="s">
        <v>4404</v>
      </c>
      <c r="G13" t="s">
        <v>4418</v>
      </c>
    </row>
    <row r="14" spans="1:7" x14ac:dyDescent="0.2">
      <c r="A14" t="s">
        <v>1367</v>
      </c>
      <c r="B14">
        <v>1</v>
      </c>
      <c r="C14" s="1152">
        <v>10</v>
      </c>
      <c r="D14">
        <v>1</v>
      </c>
      <c r="E14">
        <v>10</v>
      </c>
      <c r="F14" t="s">
        <v>4405</v>
      </c>
      <c r="G14" t="s">
        <v>4421</v>
      </c>
    </row>
    <row r="15" spans="1:7" x14ac:dyDescent="0.2">
      <c r="A15" t="s">
        <v>1367</v>
      </c>
      <c r="B15">
        <v>1</v>
      </c>
      <c r="C15" s="1152">
        <v>11</v>
      </c>
      <c r="D15">
        <v>1</v>
      </c>
      <c r="E15">
        <v>11</v>
      </c>
      <c r="F15" t="s">
        <v>4424</v>
      </c>
      <c r="G15" t="s">
        <v>4425</v>
      </c>
    </row>
    <row r="16" spans="1:7" x14ac:dyDescent="0.2">
      <c r="A16" t="s">
        <v>1367</v>
      </c>
      <c r="B16">
        <v>1</v>
      </c>
      <c r="C16" s="1152">
        <v>12</v>
      </c>
      <c r="D16">
        <v>1</v>
      </c>
      <c r="E16">
        <v>12</v>
      </c>
      <c r="F16" t="s">
        <v>4428</v>
      </c>
      <c r="G16" t="s">
        <v>4429</v>
      </c>
    </row>
    <row r="17" spans="1:7" x14ac:dyDescent="0.2">
      <c r="A17" t="s">
        <v>1367</v>
      </c>
      <c r="B17">
        <v>1</v>
      </c>
      <c r="C17" s="1152">
        <v>13</v>
      </c>
      <c r="D17">
        <v>1</v>
      </c>
      <c r="E17">
        <v>13</v>
      </c>
      <c r="F17" t="s">
        <v>4432</v>
      </c>
      <c r="G17" t="s">
        <v>4433</v>
      </c>
    </row>
    <row r="18" spans="1:7" x14ac:dyDescent="0.2">
      <c r="A18" t="s">
        <v>1367</v>
      </c>
      <c r="B18">
        <v>1</v>
      </c>
      <c r="C18" s="1152">
        <v>14</v>
      </c>
      <c r="D18">
        <v>1</v>
      </c>
      <c r="E18">
        <v>14</v>
      </c>
      <c r="F18" t="s">
        <v>4436</v>
      </c>
      <c r="G18" t="s">
        <v>4437</v>
      </c>
    </row>
    <row r="19" spans="1:7" x14ac:dyDescent="0.2">
      <c r="A19" t="s">
        <v>1367</v>
      </c>
      <c r="B19">
        <v>1</v>
      </c>
      <c r="C19" s="1152">
        <v>15</v>
      </c>
      <c r="D19">
        <v>1</v>
      </c>
      <c r="E19">
        <v>15</v>
      </c>
      <c r="F19" t="s">
        <v>4440</v>
      </c>
      <c r="G19" t="s">
        <v>4441</v>
      </c>
    </row>
    <row r="20" spans="1:7" x14ac:dyDescent="0.2">
      <c r="A20" t="s">
        <v>1367</v>
      </c>
      <c r="B20">
        <v>1</v>
      </c>
      <c r="C20" s="1152">
        <v>16</v>
      </c>
      <c r="D20">
        <v>1</v>
      </c>
      <c r="E20">
        <v>16</v>
      </c>
      <c r="F20" t="s">
        <v>4444</v>
      </c>
      <c r="G20" t="s">
        <v>4445</v>
      </c>
    </row>
    <row r="21" spans="1:7" x14ac:dyDescent="0.2">
      <c r="A21" t="s">
        <v>1367</v>
      </c>
      <c r="B21">
        <v>1</v>
      </c>
      <c r="C21" s="1152">
        <v>17</v>
      </c>
      <c r="D21">
        <v>2</v>
      </c>
      <c r="E21">
        <v>1</v>
      </c>
      <c r="F21" t="s">
        <v>4448</v>
      </c>
      <c r="G21" t="s">
        <v>4449</v>
      </c>
    </row>
    <row r="22" spans="1:7" x14ac:dyDescent="0.2">
      <c r="A22" t="s">
        <v>1367</v>
      </c>
      <c r="B22">
        <v>1</v>
      </c>
      <c r="C22" s="1152">
        <v>18</v>
      </c>
      <c r="D22">
        <v>2</v>
      </c>
      <c r="E22">
        <v>2</v>
      </c>
      <c r="F22" t="s">
        <v>4452</v>
      </c>
      <c r="G22" t="s">
        <v>4453</v>
      </c>
    </row>
    <row r="23" spans="1:7" x14ac:dyDescent="0.2">
      <c r="A23" t="s">
        <v>1367</v>
      </c>
      <c r="B23">
        <v>1</v>
      </c>
      <c r="C23" s="1152">
        <v>19</v>
      </c>
      <c r="D23">
        <v>2</v>
      </c>
      <c r="E23">
        <v>3</v>
      </c>
      <c r="F23" t="s">
        <v>368</v>
      </c>
      <c r="G23" t="s">
        <v>4456</v>
      </c>
    </row>
    <row r="24" spans="1:7" x14ac:dyDescent="0.2">
      <c r="A24" t="s">
        <v>1367</v>
      </c>
      <c r="B24">
        <v>1</v>
      </c>
      <c r="C24" s="1152">
        <v>20</v>
      </c>
      <c r="D24">
        <v>2</v>
      </c>
      <c r="E24">
        <v>4</v>
      </c>
      <c r="F24" t="s">
        <v>369</v>
      </c>
      <c r="G24" t="s">
        <v>4459</v>
      </c>
    </row>
    <row r="25" spans="1:7" x14ac:dyDescent="0.2">
      <c r="A25" t="s">
        <v>1367</v>
      </c>
      <c r="B25">
        <v>1</v>
      </c>
      <c r="C25" s="1152">
        <v>21</v>
      </c>
      <c r="D25">
        <v>2</v>
      </c>
      <c r="E25">
        <v>5</v>
      </c>
      <c r="F25" t="s">
        <v>4462</v>
      </c>
      <c r="G25" t="s">
        <v>4463</v>
      </c>
    </row>
    <row r="26" spans="1:7" x14ac:dyDescent="0.2">
      <c r="A26" t="s">
        <v>1367</v>
      </c>
      <c r="B26">
        <v>1</v>
      </c>
      <c r="C26" s="1152">
        <v>22</v>
      </c>
      <c r="D26">
        <v>2</v>
      </c>
      <c r="E26">
        <v>6</v>
      </c>
      <c r="F26" t="s">
        <v>4466</v>
      </c>
      <c r="G26" t="s">
        <v>4467</v>
      </c>
    </row>
    <row r="27" spans="1:7" x14ac:dyDescent="0.2">
      <c r="A27" t="s">
        <v>1367</v>
      </c>
      <c r="B27">
        <v>1</v>
      </c>
      <c r="C27" s="1152">
        <v>23</v>
      </c>
      <c r="D27">
        <v>2</v>
      </c>
      <c r="E27">
        <v>7</v>
      </c>
      <c r="F27" t="s">
        <v>4470</v>
      </c>
      <c r="G27" t="s">
        <v>4471</v>
      </c>
    </row>
    <row r="28" spans="1:7" x14ac:dyDescent="0.2">
      <c r="A28" t="s">
        <v>1367</v>
      </c>
      <c r="B28">
        <v>1</v>
      </c>
      <c r="C28" s="1152">
        <v>24</v>
      </c>
      <c r="D28">
        <v>2</v>
      </c>
      <c r="E28">
        <v>8</v>
      </c>
      <c r="F28" t="s">
        <v>4474</v>
      </c>
      <c r="G28" t="s">
        <v>4475</v>
      </c>
    </row>
    <row r="29" spans="1:7" x14ac:dyDescent="0.2">
      <c r="A29" t="s">
        <v>1367</v>
      </c>
      <c r="B29">
        <v>1</v>
      </c>
      <c r="C29" s="1152">
        <v>25</v>
      </c>
      <c r="D29">
        <v>2</v>
      </c>
      <c r="E29">
        <v>9</v>
      </c>
      <c r="F29" t="s">
        <v>4478</v>
      </c>
      <c r="G29" t="s">
        <v>4479</v>
      </c>
    </row>
    <row r="30" spans="1:7" x14ac:dyDescent="0.2">
      <c r="A30" t="s">
        <v>1367</v>
      </c>
      <c r="B30">
        <v>1</v>
      </c>
      <c r="C30" s="1152">
        <v>26</v>
      </c>
      <c r="D30">
        <v>2</v>
      </c>
      <c r="E30">
        <v>10</v>
      </c>
      <c r="F30" t="s">
        <v>4482</v>
      </c>
      <c r="G30" t="s">
        <v>4483</v>
      </c>
    </row>
    <row r="31" spans="1:7" x14ac:dyDescent="0.2">
      <c r="A31" t="s">
        <v>1367</v>
      </c>
      <c r="B31">
        <v>1</v>
      </c>
      <c r="C31" s="1152">
        <v>27</v>
      </c>
      <c r="D31">
        <v>2</v>
      </c>
      <c r="E31">
        <v>11</v>
      </c>
      <c r="F31" t="s">
        <v>4486</v>
      </c>
      <c r="G31" t="s">
        <v>4487</v>
      </c>
    </row>
    <row r="32" spans="1:7" x14ac:dyDescent="0.2">
      <c r="A32" t="s">
        <v>1367</v>
      </c>
      <c r="B32">
        <v>1</v>
      </c>
      <c r="C32" s="1152">
        <v>28</v>
      </c>
      <c r="D32">
        <v>2</v>
      </c>
      <c r="E32">
        <v>12</v>
      </c>
      <c r="F32" t="s">
        <v>4490</v>
      </c>
      <c r="G32" t="s">
        <v>4491</v>
      </c>
    </row>
    <row r="33" spans="1:7" x14ac:dyDescent="0.2">
      <c r="A33" t="s">
        <v>1367</v>
      </c>
      <c r="B33">
        <v>1</v>
      </c>
      <c r="C33" s="1152">
        <v>29</v>
      </c>
      <c r="D33">
        <v>3</v>
      </c>
      <c r="E33">
        <v>1</v>
      </c>
      <c r="F33" t="s">
        <v>4494</v>
      </c>
      <c r="G33" t="s">
        <v>4495</v>
      </c>
    </row>
    <row r="34" spans="1:7" x14ac:dyDescent="0.2">
      <c r="A34" t="s">
        <v>1367</v>
      </c>
      <c r="B34">
        <v>1</v>
      </c>
      <c r="C34" s="1152">
        <v>30</v>
      </c>
      <c r="D34">
        <v>3</v>
      </c>
      <c r="E34">
        <v>2</v>
      </c>
      <c r="F34" t="s">
        <v>4498</v>
      </c>
      <c r="G34" t="s">
        <v>4499</v>
      </c>
    </row>
    <row r="35" spans="1:7" x14ac:dyDescent="0.2">
      <c r="A35" t="s">
        <v>1367</v>
      </c>
      <c r="B35">
        <v>1</v>
      </c>
      <c r="C35" s="1152">
        <v>31</v>
      </c>
      <c r="D35">
        <v>3</v>
      </c>
      <c r="E35">
        <v>3</v>
      </c>
      <c r="F35" t="s">
        <v>4502</v>
      </c>
      <c r="G35" t="s">
        <v>4503</v>
      </c>
    </row>
    <row r="36" spans="1:7" x14ac:dyDescent="0.2">
      <c r="A36" t="s">
        <v>1367</v>
      </c>
      <c r="B36">
        <v>1</v>
      </c>
      <c r="C36" s="1152">
        <v>32</v>
      </c>
      <c r="D36">
        <v>3</v>
      </c>
      <c r="E36">
        <v>4</v>
      </c>
      <c r="F36" t="s">
        <v>4506</v>
      </c>
      <c r="G36" t="s">
        <v>4507</v>
      </c>
    </row>
    <row r="37" spans="1:7" x14ac:dyDescent="0.2">
      <c r="A37" t="s">
        <v>1367</v>
      </c>
      <c r="B37">
        <v>1</v>
      </c>
      <c r="C37" s="1152">
        <v>33</v>
      </c>
      <c r="D37">
        <v>3</v>
      </c>
      <c r="E37">
        <v>5</v>
      </c>
      <c r="F37" t="s">
        <v>4510</v>
      </c>
      <c r="G37" t="s">
        <v>4511</v>
      </c>
    </row>
    <row r="38" spans="1:7" x14ac:dyDescent="0.2">
      <c r="A38" t="s">
        <v>1367</v>
      </c>
      <c r="B38">
        <v>1</v>
      </c>
      <c r="C38" s="1152">
        <v>34</v>
      </c>
      <c r="D38">
        <v>3</v>
      </c>
      <c r="E38">
        <v>6</v>
      </c>
      <c r="F38" t="s">
        <v>4514</v>
      </c>
      <c r="G38" t="s">
        <v>4515</v>
      </c>
    </row>
    <row r="39" spans="1:7" x14ac:dyDescent="0.2">
      <c r="A39" t="s">
        <v>1367</v>
      </c>
      <c r="B39">
        <v>1</v>
      </c>
      <c r="C39" s="1152">
        <v>35</v>
      </c>
      <c r="D39">
        <v>3</v>
      </c>
      <c r="E39">
        <v>7</v>
      </c>
      <c r="F39" t="s">
        <v>4518</v>
      </c>
      <c r="G39" t="s">
        <v>4519</v>
      </c>
    </row>
    <row r="40" spans="1:7" x14ac:dyDescent="0.2">
      <c r="A40" t="s">
        <v>1367</v>
      </c>
      <c r="B40">
        <v>1</v>
      </c>
      <c r="C40" s="1152">
        <v>36</v>
      </c>
      <c r="D40">
        <v>3</v>
      </c>
      <c r="E40">
        <v>8</v>
      </c>
      <c r="F40" t="s">
        <v>4522</v>
      </c>
      <c r="G40" t="s">
        <v>4523</v>
      </c>
    </row>
    <row r="41" spans="1:7" x14ac:dyDescent="0.2">
      <c r="A41" t="s">
        <v>1367</v>
      </c>
      <c r="B41">
        <v>1</v>
      </c>
      <c r="C41" s="1152">
        <v>37</v>
      </c>
      <c r="D41">
        <v>3</v>
      </c>
      <c r="E41">
        <v>9</v>
      </c>
      <c r="F41" t="s">
        <v>375</v>
      </c>
      <c r="G41" t="s">
        <v>4526</v>
      </c>
    </row>
    <row r="42" spans="1:7" x14ac:dyDescent="0.2">
      <c r="A42" t="s">
        <v>1367</v>
      </c>
      <c r="B42">
        <v>1</v>
      </c>
      <c r="C42" s="1152">
        <v>38</v>
      </c>
      <c r="D42">
        <v>3</v>
      </c>
      <c r="E42">
        <v>10</v>
      </c>
      <c r="F42" t="s">
        <v>376</v>
      </c>
      <c r="G42" t="s">
        <v>4529</v>
      </c>
    </row>
    <row r="43" spans="1:7" x14ac:dyDescent="0.2">
      <c r="A43" t="s">
        <v>1367</v>
      </c>
      <c r="B43">
        <v>1</v>
      </c>
      <c r="C43" s="1152">
        <v>39</v>
      </c>
      <c r="D43">
        <v>3</v>
      </c>
      <c r="E43">
        <v>11</v>
      </c>
      <c r="F43" t="s">
        <v>4532</v>
      </c>
      <c r="G43" t="s">
        <v>4533</v>
      </c>
    </row>
    <row r="44" spans="1:7" x14ac:dyDescent="0.2">
      <c r="A44" t="s">
        <v>1367</v>
      </c>
      <c r="B44">
        <v>1</v>
      </c>
      <c r="C44" s="1152">
        <v>40</v>
      </c>
      <c r="D44">
        <v>3</v>
      </c>
      <c r="E44">
        <v>12</v>
      </c>
      <c r="F44" t="s">
        <v>4536</v>
      </c>
      <c r="G44" t="s">
        <v>4537</v>
      </c>
    </row>
    <row r="45" spans="1:7" x14ac:dyDescent="0.2">
      <c r="A45" t="s">
        <v>1367</v>
      </c>
      <c r="B45">
        <v>1</v>
      </c>
      <c r="C45" s="1152">
        <v>41</v>
      </c>
      <c r="D45">
        <v>4</v>
      </c>
      <c r="E45">
        <v>1</v>
      </c>
      <c r="F45" t="s">
        <v>4540</v>
      </c>
      <c r="G45" t="s">
        <v>4541</v>
      </c>
    </row>
    <row r="46" spans="1:7" x14ac:dyDescent="0.2">
      <c r="A46" t="s">
        <v>1367</v>
      </c>
      <c r="B46">
        <v>1</v>
      </c>
      <c r="C46" s="1152">
        <v>42</v>
      </c>
      <c r="D46">
        <v>4</v>
      </c>
      <c r="E46">
        <v>2</v>
      </c>
      <c r="F46" t="s">
        <v>4544</v>
      </c>
      <c r="G46" t="s">
        <v>4545</v>
      </c>
    </row>
    <row r="47" spans="1:7" x14ac:dyDescent="0.2">
      <c r="A47" t="s">
        <v>1367</v>
      </c>
      <c r="B47">
        <v>1</v>
      </c>
      <c r="C47" s="1152">
        <v>43</v>
      </c>
      <c r="D47">
        <v>4</v>
      </c>
      <c r="E47">
        <v>3</v>
      </c>
      <c r="F47" t="s">
        <v>4548</v>
      </c>
      <c r="G47" t="s">
        <v>4549</v>
      </c>
    </row>
    <row r="48" spans="1:7" x14ac:dyDescent="0.2">
      <c r="A48" t="s">
        <v>1367</v>
      </c>
      <c r="B48">
        <v>1</v>
      </c>
      <c r="C48" s="1152">
        <v>44</v>
      </c>
      <c r="D48">
        <v>4</v>
      </c>
      <c r="E48">
        <v>4</v>
      </c>
      <c r="F48" t="s">
        <v>4552</v>
      </c>
      <c r="G48" t="s">
        <v>4553</v>
      </c>
    </row>
    <row r="49" spans="1:7" x14ac:dyDescent="0.2">
      <c r="A49" t="s">
        <v>1367</v>
      </c>
      <c r="B49">
        <v>1</v>
      </c>
      <c r="C49" s="1152">
        <v>45</v>
      </c>
      <c r="D49">
        <v>4</v>
      </c>
      <c r="E49">
        <v>5</v>
      </c>
      <c r="F49" t="s">
        <v>4556</v>
      </c>
      <c r="G49" t="s">
        <v>4557</v>
      </c>
    </row>
    <row r="50" spans="1:7" x14ac:dyDescent="0.2">
      <c r="A50" t="s">
        <v>1367</v>
      </c>
      <c r="B50">
        <v>1</v>
      </c>
      <c r="C50" s="1152">
        <v>46</v>
      </c>
      <c r="D50">
        <v>4</v>
      </c>
      <c r="E50">
        <v>6</v>
      </c>
      <c r="F50" t="s">
        <v>4560</v>
      </c>
      <c r="G50" t="s">
        <v>4561</v>
      </c>
    </row>
    <row r="51" spans="1:7" x14ac:dyDescent="0.2">
      <c r="A51" t="s">
        <v>1367</v>
      </c>
      <c r="B51">
        <v>1</v>
      </c>
      <c r="C51" s="1152">
        <v>47</v>
      </c>
      <c r="D51">
        <v>4</v>
      </c>
      <c r="E51">
        <v>7</v>
      </c>
      <c r="F51" t="s">
        <v>419</v>
      </c>
      <c r="G51" t="s">
        <v>4564</v>
      </c>
    </row>
    <row r="52" spans="1:7" x14ac:dyDescent="0.2">
      <c r="A52" t="s">
        <v>1367</v>
      </c>
      <c r="B52">
        <v>1</v>
      </c>
      <c r="C52" s="1152">
        <v>48</v>
      </c>
      <c r="D52">
        <v>4</v>
      </c>
      <c r="E52">
        <v>8</v>
      </c>
      <c r="F52" t="s">
        <v>420</v>
      </c>
      <c r="G52" t="s">
        <v>4567</v>
      </c>
    </row>
    <row r="53" spans="1:7" x14ac:dyDescent="0.2">
      <c r="A53" t="s">
        <v>1367</v>
      </c>
      <c r="B53">
        <v>1</v>
      </c>
      <c r="C53" s="1152">
        <v>49</v>
      </c>
      <c r="D53">
        <v>4</v>
      </c>
      <c r="E53">
        <v>9</v>
      </c>
      <c r="F53" t="s">
        <v>4570</v>
      </c>
      <c r="G53" t="s">
        <v>4571</v>
      </c>
    </row>
    <row r="54" spans="1:7" x14ac:dyDescent="0.2">
      <c r="A54" t="s">
        <v>1367</v>
      </c>
      <c r="B54">
        <v>1</v>
      </c>
      <c r="C54" s="1152">
        <v>50</v>
      </c>
      <c r="D54">
        <v>4</v>
      </c>
      <c r="E54">
        <v>10</v>
      </c>
      <c r="F54" t="s">
        <v>4574</v>
      </c>
      <c r="G54" t="s">
        <v>4575</v>
      </c>
    </row>
    <row r="55" spans="1:7" x14ac:dyDescent="0.2">
      <c r="A55" t="s">
        <v>1367</v>
      </c>
      <c r="B55">
        <v>1</v>
      </c>
      <c r="C55" s="1152">
        <v>51</v>
      </c>
      <c r="D55">
        <v>4</v>
      </c>
      <c r="E55">
        <v>11</v>
      </c>
      <c r="F55" t="s">
        <v>4578</v>
      </c>
      <c r="G55" t="s">
        <v>4579</v>
      </c>
    </row>
    <row r="56" spans="1:7" x14ac:dyDescent="0.2">
      <c r="A56" t="s">
        <v>1367</v>
      </c>
      <c r="B56">
        <v>1</v>
      </c>
      <c r="C56" s="1152">
        <v>52</v>
      </c>
      <c r="D56">
        <v>4</v>
      </c>
      <c r="E56">
        <v>12</v>
      </c>
      <c r="F56" t="s">
        <v>4582</v>
      </c>
      <c r="G56" t="s">
        <v>4583</v>
      </c>
    </row>
    <row r="57" spans="1:7" x14ac:dyDescent="0.2">
      <c r="A57" t="s">
        <v>1367</v>
      </c>
      <c r="B57">
        <v>1</v>
      </c>
      <c r="C57" s="1152">
        <v>53</v>
      </c>
      <c r="D57">
        <v>4</v>
      </c>
      <c r="E57">
        <v>13</v>
      </c>
      <c r="F57" t="s">
        <v>4586</v>
      </c>
      <c r="G57" t="s">
        <v>4587</v>
      </c>
    </row>
    <row r="58" spans="1:7" x14ac:dyDescent="0.2">
      <c r="A58" t="s">
        <v>1367</v>
      </c>
      <c r="B58">
        <v>1</v>
      </c>
      <c r="C58" s="1152">
        <v>54</v>
      </c>
      <c r="D58">
        <v>4</v>
      </c>
      <c r="E58">
        <v>14</v>
      </c>
      <c r="F58" t="s">
        <v>4590</v>
      </c>
      <c r="G58" t="s">
        <v>4591</v>
      </c>
    </row>
    <row r="59" spans="1:7" x14ac:dyDescent="0.2">
      <c r="A59" t="s">
        <v>1367</v>
      </c>
      <c r="B59">
        <v>1</v>
      </c>
      <c r="C59" s="1152">
        <v>55</v>
      </c>
      <c r="D59">
        <v>4</v>
      </c>
      <c r="E59">
        <v>15</v>
      </c>
      <c r="F59" t="s">
        <v>4594</v>
      </c>
      <c r="G59" t="s">
        <v>4595</v>
      </c>
    </row>
    <row r="60" spans="1:7" x14ac:dyDescent="0.2">
      <c r="A60" t="s">
        <v>1367</v>
      </c>
      <c r="B60">
        <v>1</v>
      </c>
      <c r="C60" s="1152">
        <v>56</v>
      </c>
      <c r="D60">
        <v>4</v>
      </c>
      <c r="E60">
        <v>16</v>
      </c>
      <c r="F60" t="s">
        <v>4598</v>
      </c>
      <c r="G60" t="s">
        <v>4599</v>
      </c>
    </row>
    <row r="61" spans="1:7" x14ac:dyDescent="0.2">
      <c r="A61" t="s">
        <v>1367</v>
      </c>
      <c r="B61">
        <v>1</v>
      </c>
      <c r="C61" s="1152">
        <v>57</v>
      </c>
      <c r="D61">
        <v>4</v>
      </c>
      <c r="E61">
        <v>17</v>
      </c>
      <c r="F61" t="s">
        <v>412</v>
      </c>
      <c r="G61" t="s">
        <v>4602</v>
      </c>
    </row>
    <row r="62" spans="1:7" x14ac:dyDescent="0.2">
      <c r="A62" t="s">
        <v>1367</v>
      </c>
      <c r="B62">
        <v>1</v>
      </c>
      <c r="C62" s="1152">
        <v>58</v>
      </c>
      <c r="D62">
        <v>4</v>
      </c>
      <c r="E62">
        <v>18</v>
      </c>
      <c r="F62" t="s">
        <v>413</v>
      </c>
      <c r="G62" t="s">
        <v>4605</v>
      </c>
    </row>
    <row r="63" spans="1:7" x14ac:dyDescent="0.2">
      <c r="A63" t="s">
        <v>1367</v>
      </c>
      <c r="B63">
        <v>1</v>
      </c>
      <c r="C63" s="1152">
        <v>59</v>
      </c>
      <c r="D63">
        <v>4</v>
      </c>
      <c r="E63">
        <v>19</v>
      </c>
      <c r="F63" t="s">
        <v>4608</v>
      </c>
      <c r="G63" t="s">
        <v>4609</v>
      </c>
    </row>
    <row r="64" spans="1:7" x14ac:dyDescent="0.2">
      <c r="A64" t="s">
        <v>1367</v>
      </c>
      <c r="B64">
        <v>1</v>
      </c>
      <c r="C64" s="1152">
        <v>60</v>
      </c>
      <c r="D64">
        <v>4</v>
      </c>
      <c r="E64">
        <v>20</v>
      </c>
      <c r="F64" t="s">
        <v>4612</v>
      </c>
      <c r="G64" t="s">
        <v>4613</v>
      </c>
    </row>
    <row r="65" spans="1:7" x14ac:dyDescent="0.2">
      <c r="A65" t="s">
        <v>1367</v>
      </c>
      <c r="B65">
        <v>1</v>
      </c>
      <c r="C65" s="1152">
        <v>61</v>
      </c>
      <c r="D65">
        <v>5</v>
      </c>
      <c r="E65">
        <v>1</v>
      </c>
      <c r="F65" t="s">
        <v>4616</v>
      </c>
      <c r="G65" t="s">
        <v>4617</v>
      </c>
    </row>
    <row r="66" spans="1:7" x14ac:dyDescent="0.2">
      <c r="A66" t="s">
        <v>1367</v>
      </c>
      <c r="B66">
        <v>1</v>
      </c>
      <c r="C66" s="1152">
        <v>62</v>
      </c>
      <c r="D66">
        <v>5</v>
      </c>
      <c r="E66">
        <v>2</v>
      </c>
      <c r="F66" t="s">
        <v>4620</v>
      </c>
      <c r="G66" t="s">
        <v>4621</v>
      </c>
    </row>
    <row r="67" spans="1:7" x14ac:dyDescent="0.2">
      <c r="A67" t="s">
        <v>1367</v>
      </c>
      <c r="B67">
        <v>1</v>
      </c>
      <c r="C67" s="1152">
        <v>63</v>
      </c>
      <c r="D67">
        <v>5</v>
      </c>
      <c r="E67">
        <v>3</v>
      </c>
      <c r="F67" t="s">
        <v>4624</v>
      </c>
      <c r="G67" t="s">
        <v>4625</v>
      </c>
    </row>
    <row r="68" spans="1:7" x14ac:dyDescent="0.2">
      <c r="A68" t="s">
        <v>1367</v>
      </c>
      <c r="B68">
        <v>1</v>
      </c>
      <c r="C68" s="1152">
        <v>64</v>
      </c>
      <c r="D68">
        <v>5</v>
      </c>
      <c r="E68">
        <v>4</v>
      </c>
      <c r="F68" t="s">
        <v>4628</v>
      </c>
      <c r="G68" t="s">
        <v>4629</v>
      </c>
    </row>
    <row r="69" spans="1:7" x14ac:dyDescent="0.2">
      <c r="A69" t="s">
        <v>1367</v>
      </c>
      <c r="B69">
        <v>1</v>
      </c>
      <c r="C69" s="1152">
        <v>65</v>
      </c>
      <c r="D69">
        <v>5</v>
      </c>
      <c r="E69">
        <v>5</v>
      </c>
      <c r="F69" t="s">
        <v>4632</v>
      </c>
      <c r="G69" t="s">
        <v>4633</v>
      </c>
    </row>
    <row r="70" spans="1:7" x14ac:dyDescent="0.2">
      <c r="A70" t="s">
        <v>1367</v>
      </c>
      <c r="B70">
        <v>1</v>
      </c>
      <c r="C70" s="1152">
        <v>66</v>
      </c>
      <c r="D70">
        <v>5</v>
      </c>
      <c r="E70">
        <v>6</v>
      </c>
      <c r="F70" t="s">
        <v>4636</v>
      </c>
      <c r="G70" t="s">
        <v>4637</v>
      </c>
    </row>
    <row r="71" spans="1:7" x14ac:dyDescent="0.2">
      <c r="A71" t="s">
        <v>1367</v>
      </c>
      <c r="B71">
        <v>1</v>
      </c>
      <c r="C71" s="1152">
        <v>67</v>
      </c>
      <c r="D71">
        <v>5</v>
      </c>
      <c r="E71">
        <v>7</v>
      </c>
      <c r="F71" t="s">
        <v>405</v>
      </c>
      <c r="G71" t="s">
        <v>4640</v>
      </c>
    </row>
    <row r="72" spans="1:7" x14ac:dyDescent="0.2">
      <c r="A72" t="s">
        <v>1367</v>
      </c>
      <c r="B72">
        <v>1</v>
      </c>
      <c r="C72" s="1152">
        <v>68</v>
      </c>
      <c r="D72">
        <v>5</v>
      </c>
      <c r="E72">
        <v>8</v>
      </c>
      <c r="F72" t="s">
        <v>406</v>
      </c>
      <c r="G72" t="s">
        <v>4643</v>
      </c>
    </row>
    <row r="73" spans="1:7" x14ac:dyDescent="0.2">
      <c r="A73" t="s">
        <v>1367</v>
      </c>
      <c r="B73">
        <v>1</v>
      </c>
      <c r="C73" s="1152">
        <v>69</v>
      </c>
      <c r="D73">
        <v>5</v>
      </c>
      <c r="E73">
        <v>9</v>
      </c>
      <c r="F73" t="s">
        <v>4646</v>
      </c>
      <c r="G73" t="s">
        <v>4647</v>
      </c>
    </row>
    <row r="74" spans="1:7" x14ac:dyDescent="0.2">
      <c r="A74" t="s">
        <v>1367</v>
      </c>
      <c r="B74">
        <v>1</v>
      </c>
      <c r="C74" s="1152">
        <v>70</v>
      </c>
      <c r="D74">
        <v>5</v>
      </c>
      <c r="E74">
        <v>10</v>
      </c>
      <c r="F74" t="s">
        <v>4650</v>
      </c>
      <c r="G74" t="s">
        <v>4651</v>
      </c>
    </row>
    <row r="75" spans="1:7" x14ac:dyDescent="0.2">
      <c r="A75" t="s">
        <v>1367</v>
      </c>
      <c r="B75">
        <v>1</v>
      </c>
      <c r="C75" s="1152">
        <v>71</v>
      </c>
      <c r="D75">
        <v>5</v>
      </c>
      <c r="E75">
        <v>11</v>
      </c>
      <c r="F75" t="s">
        <v>4654</v>
      </c>
      <c r="G75" t="s">
        <v>4655</v>
      </c>
    </row>
    <row r="76" spans="1:7" x14ac:dyDescent="0.2">
      <c r="A76" t="s">
        <v>1367</v>
      </c>
      <c r="B76">
        <v>1</v>
      </c>
      <c r="C76" s="1152">
        <v>72</v>
      </c>
      <c r="D76">
        <v>5</v>
      </c>
      <c r="E76">
        <v>12</v>
      </c>
      <c r="F76" t="s">
        <v>4658</v>
      </c>
      <c r="G76" t="s">
        <v>4659</v>
      </c>
    </row>
    <row r="77" spans="1:7" x14ac:dyDescent="0.2">
      <c r="A77" t="s">
        <v>1367</v>
      </c>
      <c r="B77">
        <v>1</v>
      </c>
      <c r="C77" s="1152">
        <v>73</v>
      </c>
      <c r="D77">
        <v>5</v>
      </c>
      <c r="E77">
        <v>13</v>
      </c>
      <c r="F77" t="s">
        <v>400</v>
      </c>
      <c r="G77" t="s">
        <v>4662</v>
      </c>
    </row>
    <row r="78" spans="1:7" x14ac:dyDescent="0.2">
      <c r="A78" t="s">
        <v>1367</v>
      </c>
      <c r="B78">
        <v>1</v>
      </c>
      <c r="C78" s="1152">
        <v>74</v>
      </c>
      <c r="D78">
        <v>5</v>
      </c>
      <c r="E78">
        <v>14</v>
      </c>
      <c r="F78" t="s">
        <v>401</v>
      </c>
      <c r="G78" t="s">
        <v>4665</v>
      </c>
    </row>
    <row r="79" spans="1:7" x14ac:dyDescent="0.2">
      <c r="A79" t="s">
        <v>1367</v>
      </c>
      <c r="B79">
        <v>1</v>
      </c>
      <c r="C79" s="1152">
        <v>75</v>
      </c>
      <c r="D79">
        <v>5</v>
      </c>
      <c r="E79">
        <v>15</v>
      </c>
      <c r="F79" t="s">
        <v>4668</v>
      </c>
      <c r="G79" t="s">
        <v>4669</v>
      </c>
    </row>
    <row r="80" spans="1:7" x14ac:dyDescent="0.2">
      <c r="A80" t="s">
        <v>1367</v>
      </c>
      <c r="B80">
        <v>1</v>
      </c>
      <c r="C80" s="1152">
        <v>76</v>
      </c>
      <c r="D80">
        <v>5</v>
      </c>
      <c r="E80">
        <v>16</v>
      </c>
      <c r="F80" t="s">
        <v>4672</v>
      </c>
      <c r="G80" t="s">
        <v>4673</v>
      </c>
    </row>
    <row r="81" spans="1:7" x14ac:dyDescent="0.2">
      <c r="A81" t="s">
        <v>1367</v>
      </c>
      <c r="B81">
        <v>1</v>
      </c>
      <c r="C81" s="1152">
        <v>77</v>
      </c>
      <c r="D81">
        <v>5</v>
      </c>
      <c r="E81">
        <v>17</v>
      </c>
      <c r="F81" t="s">
        <v>4676</v>
      </c>
      <c r="G81" t="s">
        <v>4677</v>
      </c>
    </row>
    <row r="82" spans="1:7" x14ac:dyDescent="0.2">
      <c r="A82" t="s">
        <v>1367</v>
      </c>
      <c r="B82">
        <v>1</v>
      </c>
      <c r="C82" s="1152">
        <v>78</v>
      </c>
      <c r="D82">
        <v>5</v>
      </c>
      <c r="E82">
        <v>18</v>
      </c>
      <c r="F82" t="s">
        <v>4680</v>
      </c>
      <c r="G82" t="s">
        <v>4681</v>
      </c>
    </row>
    <row r="83" spans="1:7" x14ac:dyDescent="0.2">
      <c r="A83" t="s">
        <v>1367</v>
      </c>
      <c r="B83">
        <v>1</v>
      </c>
      <c r="C83" s="1152">
        <v>79</v>
      </c>
      <c r="D83">
        <v>5</v>
      </c>
      <c r="E83">
        <v>19</v>
      </c>
      <c r="F83" t="s">
        <v>4684</v>
      </c>
      <c r="G83" t="s">
        <v>4685</v>
      </c>
    </row>
    <row r="84" spans="1:7" x14ac:dyDescent="0.2">
      <c r="A84" t="s">
        <v>1367</v>
      </c>
      <c r="B84">
        <v>1</v>
      </c>
      <c r="C84" s="1152">
        <v>80</v>
      </c>
      <c r="D84">
        <v>5</v>
      </c>
      <c r="E84">
        <v>20</v>
      </c>
      <c r="F84" t="s">
        <v>4688</v>
      </c>
      <c r="G84" t="s">
        <v>4689</v>
      </c>
    </row>
    <row r="85" spans="1:7" x14ac:dyDescent="0.2">
      <c r="A85" t="s">
        <v>1367</v>
      </c>
      <c r="B85">
        <v>1</v>
      </c>
      <c r="C85" s="1152">
        <v>81</v>
      </c>
      <c r="D85">
        <v>5</v>
      </c>
      <c r="E85">
        <v>21</v>
      </c>
      <c r="F85" t="s">
        <v>4692</v>
      </c>
      <c r="G85" t="s">
        <v>4693</v>
      </c>
    </row>
    <row r="86" spans="1:7" x14ac:dyDescent="0.2">
      <c r="A86" t="s">
        <v>1367</v>
      </c>
      <c r="B86">
        <v>1</v>
      </c>
      <c r="C86" s="1152">
        <v>82</v>
      </c>
      <c r="D86">
        <v>5</v>
      </c>
      <c r="E86">
        <v>22</v>
      </c>
      <c r="F86" t="s">
        <v>4696</v>
      </c>
      <c r="G86" t="s">
        <v>4697</v>
      </c>
    </row>
    <row r="87" spans="1:7" x14ac:dyDescent="0.2">
      <c r="A87" t="s">
        <v>1367</v>
      </c>
      <c r="B87">
        <v>1</v>
      </c>
      <c r="C87" s="1152">
        <v>83</v>
      </c>
      <c r="D87">
        <v>5</v>
      </c>
      <c r="E87">
        <v>23</v>
      </c>
      <c r="F87" t="s">
        <v>394</v>
      </c>
      <c r="G87" t="s">
        <v>4700</v>
      </c>
    </row>
    <row r="88" spans="1:7" x14ac:dyDescent="0.2">
      <c r="A88" t="s">
        <v>1367</v>
      </c>
      <c r="B88">
        <v>1</v>
      </c>
      <c r="C88" s="1152">
        <v>84</v>
      </c>
      <c r="D88">
        <v>5</v>
      </c>
      <c r="E88">
        <v>24</v>
      </c>
      <c r="F88" t="s">
        <v>395</v>
      </c>
      <c r="G88" t="s">
        <v>4703</v>
      </c>
    </row>
    <row r="89" spans="1:7" x14ac:dyDescent="0.2">
      <c r="A89" t="s">
        <v>1367</v>
      </c>
      <c r="B89">
        <v>1</v>
      </c>
      <c r="C89" s="1152">
        <v>85</v>
      </c>
      <c r="D89">
        <v>5</v>
      </c>
      <c r="E89">
        <v>25</v>
      </c>
      <c r="F89" t="s">
        <v>4706</v>
      </c>
      <c r="G89" t="s">
        <v>4707</v>
      </c>
    </row>
    <row r="90" spans="1:7" x14ac:dyDescent="0.2">
      <c r="A90" t="s">
        <v>1367</v>
      </c>
      <c r="B90">
        <v>1</v>
      </c>
      <c r="C90" s="1152">
        <v>86</v>
      </c>
      <c r="D90">
        <v>5</v>
      </c>
      <c r="E90">
        <v>26</v>
      </c>
      <c r="F90" t="s">
        <v>4710</v>
      </c>
      <c r="G90" t="s">
        <v>4711</v>
      </c>
    </row>
    <row r="91" spans="1:7" x14ac:dyDescent="0.2">
      <c r="A91" t="s">
        <v>1367</v>
      </c>
      <c r="B91">
        <v>1</v>
      </c>
      <c r="C91" s="1152">
        <v>87</v>
      </c>
      <c r="D91">
        <v>5</v>
      </c>
      <c r="E91">
        <v>27</v>
      </c>
      <c r="F91" t="s">
        <v>4714</v>
      </c>
      <c r="G91" t="s">
        <v>4715</v>
      </c>
    </row>
    <row r="92" spans="1:7" x14ac:dyDescent="0.2">
      <c r="A92" t="s">
        <v>1367</v>
      </c>
      <c r="B92">
        <v>1</v>
      </c>
      <c r="C92" s="1152">
        <v>88</v>
      </c>
      <c r="D92">
        <v>5</v>
      </c>
      <c r="E92">
        <v>28</v>
      </c>
      <c r="F92" t="s">
        <v>4718</v>
      </c>
      <c r="G92" t="s">
        <v>4719</v>
      </c>
    </row>
    <row r="93" spans="1:7" x14ac:dyDescent="0.2">
      <c r="A93" t="s">
        <v>1367</v>
      </c>
      <c r="B93">
        <v>1</v>
      </c>
      <c r="C93" s="1152">
        <v>89</v>
      </c>
      <c r="D93">
        <v>5</v>
      </c>
      <c r="E93">
        <v>29</v>
      </c>
      <c r="F93" t="s">
        <v>4722</v>
      </c>
      <c r="G93" t="s">
        <v>4723</v>
      </c>
    </row>
    <row r="94" spans="1:7" x14ac:dyDescent="0.2">
      <c r="A94" t="s">
        <v>1367</v>
      </c>
      <c r="B94">
        <v>1</v>
      </c>
      <c r="C94" s="1152">
        <v>90</v>
      </c>
      <c r="D94">
        <v>5</v>
      </c>
      <c r="E94">
        <v>30</v>
      </c>
      <c r="F94" t="s">
        <v>4726</v>
      </c>
      <c r="G94" t="s">
        <v>4727</v>
      </c>
    </row>
    <row r="95" spans="1:7" x14ac:dyDescent="0.2">
      <c r="A95" t="s">
        <v>1367</v>
      </c>
      <c r="B95">
        <v>1</v>
      </c>
      <c r="C95" s="1152">
        <v>91</v>
      </c>
      <c r="D95">
        <v>5</v>
      </c>
      <c r="E95">
        <v>31</v>
      </c>
      <c r="F95" t="s">
        <v>4730</v>
      </c>
      <c r="G95" t="s">
        <v>4731</v>
      </c>
    </row>
    <row r="96" spans="1:7" x14ac:dyDescent="0.2">
      <c r="A96" t="s">
        <v>1367</v>
      </c>
      <c r="B96">
        <v>1</v>
      </c>
      <c r="C96" s="1152">
        <v>92</v>
      </c>
      <c r="D96">
        <v>5</v>
      </c>
      <c r="E96">
        <v>32</v>
      </c>
      <c r="F96" t="s">
        <v>4734</v>
      </c>
      <c r="G96" t="s">
        <v>4735</v>
      </c>
    </row>
    <row r="97" spans="1:7" x14ac:dyDescent="0.2">
      <c r="A97" t="s">
        <v>1367</v>
      </c>
      <c r="B97">
        <v>1</v>
      </c>
      <c r="C97" s="1152">
        <v>93</v>
      </c>
      <c r="D97">
        <v>5</v>
      </c>
      <c r="E97">
        <v>33</v>
      </c>
      <c r="F97" t="s">
        <v>4738</v>
      </c>
      <c r="G97" t="s">
        <v>4739</v>
      </c>
    </row>
    <row r="98" spans="1:7" x14ac:dyDescent="0.2">
      <c r="A98" t="s">
        <v>1367</v>
      </c>
      <c r="B98">
        <v>1</v>
      </c>
      <c r="C98" s="1152">
        <v>94</v>
      </c>
      <c r="D98">
        <v>5</v>
      </c>
      <c r="E98">
        <v>34</v>
      </c>
      <c r="F98" t="s">
        <v>4742</v>
      </c>
      <c r="G98" t="s">
        <v>4743</v>
      </c>
    </row>
    <row r="99" spans="1:7" x14ac:dyDescent="0.2">
      <c r="A99" t="s">
        <v>1367</v>
      </c>
      <c r="B99">
        <v>1</v>
      </c>
      <c r="C99" s="1152">
        <v>95</v>
      </c>
      <c r="D99">
        <v>5</v>
      </c>
      <c r="E99">
        <v>35</v>
      </c>
      <c r="F99" t="s">
        <v>388</v>
      </c>
      <c r="G99" t="s">
        <v>4746</v>
      </c>
    </row>
    <row r="100" spans="1:7" x14ac:dyDescent="0.2">
      <c r="A100" t="s">
        <v>1367</v>
      </c>
      <c r="B100">
        <v>1</v>
      </c>
      <c r="C100" s="1152">
        <v>96</v>
      </c>
      <c r="D100">
        <v>5</v>
      </c>
      <c r="E100">
        <v>36</v>
      </c>
      <c r="F100" t="s">
        <v>389</v>
      </c>
      <c r="G100" t="s">
        <v>4749</v>
      </c>
    </row>
    <row r="101" spans="1:7" x14ac:dyDescent="0.2">
      <c r="A101" t="s">
        <v>1367</v>
      </c>
      <c r="B101">
        <v>1</v>
      </c>
      <c r="C101" s="1152">
        <v>97</v>
      </c>
      <c r="D101">
        <v>5</v>
      </c>
      <c r="E101">
        <v>37</v>
      </c>
      <c r="F101" t="s">
        <v>4752</v>
      </c>
      <c r="G101" t="s">
        <v>4753</v>
      </c>
    </row>
    <row r="102" spans="1:7" x14ac:dyDescent="0.2">
      <c r="A102" t="s">
        <v>1367</v>
      </c>
      <c r="B102">
        <v>1</v>
      </c>
      <c r="C102" s="1152">
        <v>98</v>
      </c>
      <c r="D102">
        <v>5</v>
      </c>
      <c r="E102">
        <v>38</v>
      </c>
      <c r="F102" t="s">
        <v>4756</v>
      </c>
      <c r="G102" t="s">
        <v>4757</v>
      </c>
    </row>
    <row r="103" spans="1:7" x14ac:dyDescent="0.2">
      <c r="A103" t="s">
        <v>1367</v>
      </c>
      <c r="B103">
        <v>1</v>
      </c>
      <c r="C103" s="1152">
        <v>99</v>
      </c>
      <c r="D103">
        <v>5</v>
      </c>
      <c r="E103">
        <v>39</v>
      </c>
      <c r="F103" t="s">
        <v>381</v>
      </c>
      <c r="G103" t="s">
        <v>4760</v>
      </c>
    </row>
    <row r="104" spans="1:7" x14ac:dyDescent="0.2">
      <c r="A104" t="s">
        <v>1367</v>
      </c>
      <c r="B104">
        <v>1</v>
      </c>
      <c r="C104" s="1152">
        <v>100</v>
      </c>
      <c r="D104">
        <v>5</v>
      </c>
      <c r="E104">
        <v>40</v>
      </c>
      <c r="F104" t="s">
        <v>382</v>
      </c>
      <c r="G104" t="s">
        <v>4763</v>
      </c>
    </row>
    <row r="105" spans="1:7" x14ac:dyDescent="0.2">
      <c r="A105" t="s">
        <v>1367</v>
      </c>
      <c r="B105">
        <v>1</v>
      </c>
      <c r="C105" s="1152">
        <v>101</v>
      </c>
      <c r="D105">
        <v>5</v>
      </c>
      <c r="E105">
        <v>41</v>
      </c>
      <c r="F105" t="s">
        <v>4766</v>
      </c>
      <c r="G105" t="s">
        <v>4767</v>
      </c>
    </row>
    <row r="106" spans="1:7" x14ac:dyDescent="0.2">
      <c r="A106" t="s">
        <v>1367</v>
      </c>
      <c r="B106">
        <v>1</v>
      </c>
      <c r="C106" s="1152">
        <v>102</v>
      </c>
      <c r="D106">
        <v>5</v>
      </c>
      <c r="E106">
        <v>42</v>
      </c>
      <c r="F106" t="s">
        <v>4770</v>
      </c>
      <c r="G106" t="s">
        <v>4771</v>
      </c>
    </row>
    <row r="107" spans="1:7" x14ac:dyDescent="0.2">
      <c r="A107" t="s">
        <v>1367</v>
      </c>
      <c r="B107">
        <v>1</v>
      </c>
      <c r="C107" s="1152">
        <v>103</v>
      </c>
      <c r="D107">
        <v>5</v>
      </c>
      <c r="E107">
        <v>43</v>
      </c>
      <c r="F107" t="s">
        <v>4774</v>
      </c>
      <c r="G107" t="s">
        <v>4775</v>
      </c>
    </row>
    <row r="108" spans="1:7" x14ac:dyDescent="0.2">
      <c r="A108" t="s">
        <v>1367</v>
      </c>
      <c r="B108">
        <v>1</v>
      </c>
      <c r="C108" s="1152">
        <v>104</v>
      </c>
      <c r="D108">
        <v>5</v>
      </c>
      <c r="E108">
        <v>44</v>
      </c>
      <c r="F108" t="s">
        <v>4778</v>
      </c>
      <c r="G108" t="s">
        <v>4779</v>
      </c>
    </row>
    <row r="109" spans="1:7" x14ac:dyDescent="0.2">
      <c r="A109" t="s">
        <v>1367</v>
      </c>
      <c r="B109">
        <v>1</v>
      </c>
      <c r="C109" s="1152">
        <v>105</v>
      </c>
      <c r="D109">
        <v>5</v>
      </c>
      <c r="E109">
        <v>45</v>
      </c>
      <c r="F109" t="s">
        <v>4782</v>
      </c>
      <c r="G109" t="s">
        <v>4783</v>
      </c>
    </row>
    <row r="110" spans="1:7" x14ac:dyDescent="0.2">
      <c r="A110" t="s">
        <v>1367</v>
      </c>
      <c r="B110">
        <v>1</v>
      </c>
      <c r="C110" s="1152">
        <v>106</v>
      </c>
      <c r="D110">
        <v>5</v>
      </c>
      <c r="E110">
        <v>46</v>
      </c>
      <c r="F110" t="s">
        <v>4786</v>
      </c>
      <c r="G110" t="s">
        <v>4787</v>
      </c>
    </row>
    <row r="111" spans="1:7" x14ac:dyDescent="0.2">
      <c r="A111" t="s">
        <v>1367</v>
      </c>
      <c r="B111">
        <v>1</v>
      </c>
      <c r="C111" s="1152">
        <v>107</v>
      </c>
      <c r="D111">
        <v>6</v>
      </c>
      <c r="E111">
        <v>1</v>
      </c>
      <c r="F111" t="s">
        <v>4790</v>
      </c>
      <c r="G111" t="s">
        <v>4791</v>
      </c>
    </row>
    <row r="112" spans="1:7" x14ac:dyDescent="0.2">
      <c r="A112" t="s">
        <v>1367</v>
      </c>
      <c r="B112">
        <v>1</v>
      </c>
      <c r="C112" s="1152">
        <v>108</v>
      </c>
      <c r="D112">
        <v>6</v>
      </c>
      <c r="E112">
        <v>2</v>
      </c>
      <c r="F112" t="s">
        <v>4794</v>
      </c>
      <c r="G112" t="s">
        <v>4795</v>
      </c>
    </row>
    <row r="113" spans="1:7" x14ac:dyDescent="0.2">
      <c r="A113" t="s">
        <v>1367</v>
      </c>
      <c r="B113">
        <v>1</v>
      </c>
      <c r="C113" s="1152">
        <v>109</v>
      </c>
      <c r="D113">
        <v>6</v>
      </c>
      <c r="E113">
        <v>3</v>
      </c>
      <c r="F113" t="s">
        <v>427</v>
      </c>
      <c r="G113" t="s">
        <v>4798</v>
      </c>
    </row>
    <row r="114" spans="1:7" x14ac:dyDescent="0.2">
      <c r="A114" t="s">
        <v>1367</v>
      </c>
      <c r="B114">
        <v>1</v>
      </c>
      <c r="C114" s="1152">
        <v>110</v>
      </c>
      <c r="D114">
        <v>6</v>
      </c>
      <c r="E114">
        <v>4</v>
      </c>
      <c r="F114" t="s">
        <v>428</v>
      </c>
      <c r="G114" t="s">
        <v>4801</v>
      </c>
    </row>
    <row r="115" spans="1:7" x14ac:dyDescent="0.2">
      <c r="A115" t="s">
        <v>1367</v>
      </c>
      <c r="B115">
        <v>1</v>
      </c>
      <c r="C115" s="1152">
        <v>111</v>
      </c>
      <c r="D115">
        <v>6</v>
      </c>
      <c r="E115">
        <v>5</v>
      </c>
      <c r="F115" t="s">
        <v>4804</v>
      </c>
      <c r="G115" t="s">
        <v>4805</v>
      </c>
    </row>
    <row r="116" spans="1:7" x14ac:dyDescent="0.2">
      <c r="A116" t="s">
        <v>1367</v>
      </c>
      <c r="B116">
        <v>1</v>
      </c>
      <c r="C116" s="1152">
        <v>112</v>
      </c>
      <c r="D116">
        <v>6</v>
      </c>
      <c r="E116">
        <v>6</v>
      </c>
      <c r="F116" t="s">
        <v>4808</v>
      </c>
      <c r="G116" t="s">
        <v>4809</v>
      </c>
    </row>
    <row r="117" spans="1:7" x14ac:dyDescent="0.2">
      <c r="A117" t="s">
        <v>1367</v>
      </c>
      <c r="B117">
        <v>1</v>
      </c>
      <c r="C117" s="1152">
        <v>113</v>
      </c>
      <c r="D117">
        <v>6</v>
      </c>
      <c r="E117">
        <v>7</v>
      </c>
      <c r="F117" t="s">
        <v>437</v>
      </c>
      <c r="G117" t="s">
        <v>4812</v>
      </c>
    </row>
    <row r="118" spans="1:7" x14ac:dyDescent="0.2">
      <c r="A118" t="s">
        <v>1367</v>
      </c>
      <c r="B118">
        <v>1</v>
      </c>
      <c r="C118" s="1152">
        <v>114</v>
      </c>
      <c r="D118">
        <v>6</v>
      </c>
      <c r="E118">
        <v>8</v>
      </c>
      <c r="F118" t="s">
        <v>438</v>
      </c>
      <c r="G118" t="s">
        <v>4815</v>
      </c>
    </row>
    <row r="119" spans="1:7" x14ac:dyDescent="0.2">
      <c r="A119" t="s">
        <v>1367</v>
      </c>
      <c r="B119">
        <v>1</v>
      </c>
      <c r="C119" s="1152">
        <v>115</v>
      </c>
      <c r="D119">
        <v>6</v>
      </c>
      <c r="E119">
        <v>9</v>
      </c>
      <c r="F119" t="s">
        <v>4818</v>
      </c>
      <c r="G119" t="s">
        <v>4819</v>
      </c>
    </row>
    <row r="120" spans="1:7" x14ac:dyDescent="0.2">
      <c r="A120" t="s">
        <v>1367</v>
      </c>
      <c r="B120">
        <v>1</v>
      </c>
      <c r="C120" s="1152">
        <v>116</v>
      </c>
      <c r="D120">
        <v>6</v>
      </c>
      <c r="E120">
        <v>10</v>
      </c>
      <c r="F120" t="s">
        <v>4822</v>
      </c>
      <c r="G120" t="s">
        <v>4823</v>
      </c>
    </row>
    <row r="121" spans="1:7" x14ac:dyDescent="0.2">
      <c r="A121" t="s">
        <v>1367</v>
      </c>
      <c r="B121">
        <v>1</v>
      </c>
      <c r="C121" s="1152">
        <v>117</v>
      </c>
      <c r="D121">
        <v>6</v>
      </c>
      <c r="E121">
        <v>11</v>
      </c>
      <c r="F121" t="s">
        <v>4826</v>
      </c>
      <c r="G121" t="s">
        <v>4827</v>
      </c>
    </row>
    <row r="122" spans="1:7" x14ac:dyDescent="0.2">
      <c r="A122" t="s">
        <v>1367</v>
      </c>
      <c r="B122">
        <v>1</v>
      </c>
      <c r="C122" s="1152">
        <v>118</v>
      </c>
      <c r="D122">
        <v>6</v>
      </c>
      <c r="E122">
        <v>12</v>
      </c>
      <c r="F122" t="s">
        <v>4830</v>
      </c>
      <c r="G122" t="s">
        <v>4831</v>
      </c>
    </row>
    <row r="123" spans="1:7" x14ac:dyDescent="0.2">
      <c r="A123" t="s">
        <v>1367</v>
      </c>
      <c r="B123">
        <v>1</v>
      </c>
      <c r="C123" s="1152">
        <v>119</v>
      </c>
      <c r="D123">
        <v>6</v>
      </c>
      <c r="E123">
        <v>13</v>
      </c>
      <c r="F123" t="s">
        <v>4834</v>
      </c>
      <c r="G123" t="s">
        <v>4835</v>
      </c>
    </row>
    <row r="124" spans="1:7" x14ac:dyDescent="0.2">
      <c r="A124" t="s">
        <v>1367</v>
      </c>
      <c r="B124">
        <v>1</v>
      </c>
      <c r="C124" s="1152">
        <v>120</v>
      </c>
      <c r="D124">
        <v>6</v>
      </c>
      <c r="E124">
        <v>14</v>
      </c>
      <c r="F124" t="s">
        <v>4838</v>
      </c>
      <c r="G124" t="s">
        <v>4839</v>
      </c>
    </row>
    <row r="125" spans="1:7" x14ac:dyDescent="0.2">
      <c r="A125" t="s">
        <v>1367</v>
      </c>
      <c r="B125">
        <v>1</v>
      </c>
      <c r="C125" s="1152">
        <v>121</v>
      </c>
      <c r="D125">
        <v>6</v>
      </c>
      <c r="E125">
        <v>15</v>
      </c>
      <c r="F125" t="s">
        <v>4389</v>
      </c>
      <c r="G125" t="s">
        <v>4390</v>
      </c>
    </row>
    <row r="126" spans="1:7" x14ac:dyDescent="0.2">
      <c r="A126" t="s">
        <v>1367</v>
      </c>
      <c r="B126">
        <v>1</v>
      </c>
      <c r="C126" s="1152">
        <v>122</v>
      </c>
      <c r="D126">
        <v>6</v>
      </c>
      <c r="E126">
        <v>16</v>
      </c>
      <c r="F126" t="s">
        <v>4393</v>
      </c>
      <c r="G126" t="s">
        <v>4394</v>
      </c>
    </row>
    <row r="127" spans="1:7" x14ac:dyDescent="0.2">
      <c r="A127" t="s">
        <v>1367</v>
      </c>
      <c r="B127">
        <v>1</v>
      </c>
      <c r="C127" s="1152">
        <v>123</v>
      </c>
      <c r="D127">
        <v>7</v>
      </c>
      <c r="E127">
        <v>1</v>
      </c>
      <c r="F127" t="s">
        <v>4397</v>
      </c>
      <c r="G127" t="s">
        <v>4398</v>
      </c>
    </row>
    <row r="128" spans="1:7" x14ac:dyDescent="0.2">
      <c r="A128" t="s">
        <v>1367</v>
      </c>
      <c r="B128">
        <v>1</v>
      </c>
      <c r="C128" s="1152">
        <v>124</v>
      </c>
      <c r="D128">
        <v>7</v>
      </c>
      <c r="E128">
        <v>2</v>
      </c>
      <c r="F128" t="s">
        <v>4402</v>
      </c>
      <c r="G128" t="s">
        <v>4403</v>
      </c>
    </row>
    <row r="129" spans="1:7" x14ac:dyDescent="0.2">
      <c r="A129" t="s">
        <v>1367</v>
      </c>
      <c r="B129">
        <v>1</v>
      </c>
      <c r="C129" s="1152">
        <v>125</v>
      </c>
      <c r="D129">
        <v>7</v>
      </c>
      <c r="E129">
        <v>3</v>
      </c>
      <c r="F129" t="s">
        <v>4407</v>
      </c>
      <c r="G129" t="s">
        <v>4408</v>
      </c>
    </row>
    <row r="130" spans="1:7" x14ac:dyDescent="0.2">
      <c r="A130" t="s">
        <v>1367</v>
      </c>
      <c r="B130">
        <v>1</v>
      </c>
      <c r="C130" s="1152">
        <v>126</v>
      </c>
      <c r="D130">
        <v>7</v>
      </c>
      <c r="E130">
        <v>4</v>
      </c>
      <c r="F130" t="s">
        <v>4410</v>
      </c>
      <c r="G130" t="s">
        <v>4411</v>
      </c>
    </row>
    <row r="131" spans="1:7" x14ac:dyDescent="0.2">
      <c r="A131" t="s">
        <v>1367</v>
      </c>
      <c r="B131">
        <v>1</v>
      </c>
      <c r="C131" s="1152">
        <v>127</v>
      </c>
      <c r="D131">
        <v>8</v>
      </c>
      <c r="E131">
        <v>1</v>
      </c>
      <c r="F131" t="s">
        <v>4413</v>
      </c>
      <c r="G131" t="s">
        <v>4414</v>
      </c>
    </row>
    <row r="132" spans="1:7" x14ac:dyDescent="0.2">
      <c r="A132" t="s">
        <v>1367</v>
      </c>
      <c r="B132">
        <v>1</v>
      </c>
      <c r="C132" s="1152">
        <v>128</v>
      </c>
      <c r="D132">
        <v>8</v>
      </c>
      <c r="E132">
        <v>2</v>
      </c>
      <c r="F132" t="s">
        <v>4416</v>
      </c>
      <c r="G132" t="s">
        <v>4417</v>
      </c>
    </row>
    <row r="133" spans="1:7" x14ac:dyDescent="0.2">
      <c r="A133" t="s">
        <v>1367</v>
      </c>
      <c r="B133">
        <v>1</v>
      </c>
      <c r="C133" s="1152">
        <v>129</v>
      </c>
      <c r="D133">
        <v>8</v>
      </c>
      <c r="E133">
        <v>3</v>
      </c>
      <c r="F133" t="s">
        <v>4419</v>
      </c>
      <c r="G133" t="s">
        <v>4420</v>
      </c>
    </row>
    <row r="134" spans="1:7" x14ac:dyDescent="0.2">
      <c r="A134" t="s">
        <v>1367</v>
      </c>
      <c r="B134">
        <v>1</v>
      </c>
      <c r="C134" s="1152">
        <v>130</v>
      </c>
      <c r="D134">
        <v>8</v>
      </c>
      <c r="E134">
        <v>4</v>
      </c>
      <c r="F134" t="s">
        <v>4422</v>
      </c>
      <c r="G134" t="s">
        <v>4423</v>
      </c>
    </row>
    <row r="135" spans="1:7" x14ac:dyDescent="0.2">
      <c r="A135" t="s">
        <v>1367</v>
      </c>
      <c r="B135">
        <v>1</v>
      </c>
      <c r="C135" s="1152">
        <v>131</v>
      </c>
      <c r="D135">
        <v>8</v>
      </c>
      <c r="E135">
        <v>5</v>
      </c>
      <c r="F135" t="s">
        <v>4426</v>
      </c>
      <c r="G135" t="s">
        <v>4427</v>
      </c>
    </row>
    <row r="136" spans="1:7" x14ac:dyDescent="0.2">
      <c r="A136" t="s">
        <v>1367</v>
      </c>
      <c r="B136">
        <v>1</v>
      </c>
      <c r="C136" s="1152">
        <v>132</v>
      </c>
      <c r="D136">
        <v>8</v>
      </c>
      <c r="E136">
        <v>6</v>
      </c>
      <c r="F136" t="s">
        <v>4430</v>
      </c>
      <c r="G136" t="s">
        <v>4431</v>
      </c>
    </row>
    <row r="137" spans="1:7" x14ac:dyDescent="0.2">
      <c r="A137" t="s">
        <v>1367</v>
      </c>
      <c r="B137">
        <v>1</v>
      </c>
      <c r="C137" s="1152">
        <v>133</v>
      </c>
      <c r="D137">
        <v>8</v>
      </c>
      <c r="E137">
        <v>7</v>
      </c>
      <c r="F137" t="s">
        <v>4434</v>
      </c>
      <c r="G137" t="s">
        <v>4435</v>
      </c>
    </row>
    <row r="138" spans="1:7" x14ac:dyDescent="0.2">
      <c r="A138" t="s">
        <v>1367</v>
      </c>
      <c r="B138">
        <v>1</v>
      </c>
      <c r="C138" s="1152">
        <v>134</v>
      </c>
      <c r="D138">
        <v>8</v>
      </c>
      <c r="E138">
        <v>8</v>
      </c>
      <c r="F138" t="s">
        <v>4438</v>
      </c>
      <c r="G138" t="s">
        <v>4439</v>
      </c>
    </row>
    <row r="139" spans="1:7" x14ac:dyDescent="0.2">
      <c r="A139" t="s">
        <v>1367</v>
      </c>
      <c r="B139">
        <v>1</v>
      </c>
      <c r="C139" s="1152">
        <v>135</v>
      </c>
      <c r="D139">
        <v>9</v>
      </c>
      <c r="E139">
        <v>1</v>
      </c>
      <c r="F139" t="s">
        <v>4442</v>
      </c>
      <c r="G139" t="s">
        <v>4443</v>
      </c>
    </row>
    <row r="140" spans="1:7" x14ac:dyDescent="0.2">
      <c r="A140" t="s">
        <v>1367</v>
      </c>
      <c r="B140">
        <v>1</v>
      </c>
      <c r="C140" s="1152">
        <v>136</v>
      </c>
      <c r="D140">
        <v>9</v>
      </c>
      <c r="E140">
        <v>2</v>
      </c>
      <c r="F140" t="s">
        <v>4446</v>
      </c>
      <c r="G140" t="s">
        <v>4447</v>
      </c>
    </row>
    <row r="141" spans="1:7" x14ac:dyDescent="0.2">
      <c r="A141" t="s">
        <v>1367</v>
      </c>
      <c r="B141">
        <v>1</v>
      </c>
      <c r="C141" s="1152">
        <v>137</v>
      </c>
      <c r="D141">
        <v>9</v>
      </c>
      <c r="E141">
        <v>3</v>
      </c>
      <c r="F141" t="s">
        <v>4450</v>
      </c>
      <c r="G141" t="s">
        <v>4451</v>
      </c>
    </row>
    <row r="142" spans="1:7" x14ac:dyDescent="0.2">
      <c r="A142" t="s">
        <v>1367</v>
      </c>
      <c r="B142">
        <v>1</v>
      </c>
      <c r="C142" s="1152">
        <v>138</v>
      </c>
      <c r="D142">
        <v>9</v>
      </c>
      <c r="E142">
        <v>4</v>
      </c>
      <c r="F142" t="s">
        <v>4454</v>
      </c>
      <c r="G142" t="s">
        <v>4455</v>
      </c>
    </row>
    <row r="143" spans="1:7" x14ac:dyDescent="0.2">
      <c r="A143" t="s">
        <v>1367</v>
      </c>
      <c r="B143">
        <v>1</v>
      </c>
      <c r="C143" s="1152">
        <v>139</v>
      </c>
      <c r="D143">
        <v>10</v>
      </c>
      <c r="E143">
        <v>1</v>
      </c>
      <c r="F143" t="s">
        <v>4457</v>
      </c>
      <c r="G143" t="s">
        <v>4458</v>
      </c>
    </row>
    <row r="144" spans="1:7" x14ac:dyDescent="0.2">
      <c r="A144" t="s">
        <v>1367</v>
      </c>
      <c r="B144">
        <v>1</v>
      </c>
      <c r="C144" s="1152">
        <v>140</v>
      </c>
      <c r="D144">
        <v>10</v>
      </c>
      <c r="E144">
        <v>2</v>
      </c>
      <c r="F144" t="s">
        <v>4460</v>
      </c>
      <c r="G144" t="s">
        <v>4461</v>
      </c>
    </row>
    <row r="145" spans="1:7" x14ac:dyDescent="0.2">
      <c r="A145" t="s">
        <v>1367</v>
      </c>
      <c r="B145">
        <v>1</v>
      </c>
      <c r="C145" s="1152">
        <v>141</v>
      </c>
      <c r="D145">
        <v>10</v>
      </c>
      <c r="E145">
        <v>3</v>
      </c>
      <c r="F145" t="s">
        <v>4464</v>
      </c>
      <c r="G145" t="s">
        <v>4465</v>
      </c>
    </row>
    <row r="146" spans="1:7" x14ac:dyDescent="0.2">
      <c r="A146" t="s">
        <v>1367</v>
      </c>
      <c r="B146">
        <v>1</v>
      </c>
      <c r="C146" s="1152">
        <v>142</v>
      </c>
      <c r="D146">
        <v>10</v>
      </c>
      <c r="E146">
        <v>4</v>
      </c>
      <c r="F146" t="s">
        <v>4468</v>
      </c>
      <c r="G146" t="s">
        <v>4469</v>
      </c>
    </row>
    <row r="147" spans="1:7" x14ac:dyDescent="0.2">
      <c r="A147" t="s">
        <v>1367</v>
      </c>
      <c r="B147">
        <v>1</v>
      </c>
      <c r="C147" s="1152">
        <v>143</v>
      </c>
      <c r="D147">
        <v>10</v>
      </c>
      <c r="E147">
        <v>5</v>
      </c>
      <c r="F147" t="s">
        <v>4472</v>
      </c>
      <c r="G147" t="s">
        <v>4473</v>
      </c>
    </row>
    <row r="148" spans="1:7" x14ac:dyDescent="0.2">
      <c r="A148" t="s">
        <v>1367</v>
      </c>
      <c r="B148">
        <v>1</v>
      </c>
      <c r="C148" s="1152">
        <v>144</v>
      </c>
      <c r="D148">
        <v>10</v>
      </c>
      <c r="E148">
        <v>6</v>
      </c>
      <c r="F148" t="s">
        <v>4476</v>
      </c>
      <c r="G148" t="s">
        <v>4477</v>
      </c>
    </row>
    <row r="149" spans="1:7" x14ac:dyDescent="0.2">
      <c r="A149" t="s">
        <v>1367</v>
      </c>
      <c r="B149">
        <v>1</v>
      </c>
      <c r="C149" s="1152">
        <v>145</v>
      </c>
      <c r="D149">
        <v>11</v>
      </c>
      <c r="E149">
        <v>1</v>
      </c>
      <c r="F149" t="s">
        <v>4480</v>
      </c>
      <c r="G149" t="s">
        <v>4481</v>
      </c>
    </row>
    <row r="150" spans="1:7" x14ac:dyDescent="0.2">
      <c r="A150" t="s">
        <v>1367</v>
      </c>
      <c r="B150">
        <v>1</v>
      </c>
      <c r="C150" s="1152">
        <v>146</v>
      </c>
      <c r="D150">
        <v>11</v>
      </c>
      <c r="E150">
        <v>2</v>
      </c>
      <c r="F150" t="s">
        <v>4484</v>
      </c>
      <c r="G150" t="s">
        <v>4485</v>
      </c>
    </row>
    <row r="151" spans="1:7" x14ac:dyDescent="0.2">
      <c r="A151" t="s">
        <v>1367</v>
      </c>
      <c r="B151">
        <v>1</v>
      </c>
      <c r="C151" s="1152">
        <v>147</v>
      </c>
      <c r="D151">
        <v>11</v>
      </c>
      <c r="E151">
        <v>3</v>
      </c>
      <c r="F151" t="s">
        <v>4488</v>
      </c>
      <c r="G151" t="s">
        <v>4489</v>
      </c>
    </row>
    <row r="152" spans="1:7" x14ac:dyDescent="0.2">
      <c r="A152" t="s">
        <v>1367</v>
      </c>
      <c r="B152">
        <v>1</v>
      </c>
      <c r="C152" s="1152">
        <v>148</v>
      </c>
      <c r="D152">
        <v>11</v>
      </c>
      <c r="E152">
        <v>4</v>
      </c>
      <c r="F152" t="s">
        <v>4492</v>
      </c>
      <c r="G152" t="s">
        <v>4493</v>
      </c>
    </row>
    <row r="153" spans="1:7" x14ac:dyDescent="0.2">
      <c r="A153" t="s">
        <v>1367</v>
      </c>
      <c r="B153">
        <v>1</v>
      </c>
      <c r="C153" s="1152">
        <v>149</v>
      </c>
      <c r="D153">
        <v>12</v>
      </c>
      <c r="E153">
        <v>1</v>
      </c>
      <c r="F153" t="s">
        <v>4496</v>
      </c>
      <c r="G153" t="s">
        <v>4497</v>
      </c>
    </row>
    <row r="154" spans="1:7" x14ac:dyDescent="0.2">
      <c r="A154" t="s">
        <v>1367</v>
      </c>
      <c r="B154">
        <v>1</v>
      </c>
      <c r="C154" s="1152">
        <v>150</v>
      </c>
      <c r="D154">
        <v>12</v>
      </c>
      <c r="E154">
        <v>2</v>
      </c>
      <c r="F154" t="s">
        <v>4500</v>
      </c>
      <c r="G154" t="s">
        <v>4501</v>
      </c>
    </row>
    <row r="155" spans="1:7" x14ac:dyDescent="0.2">
      <c r="A155" t="s">
        <v>1367</v>
      </c>
      <c r="B155">
        <v>1</v>
      </c>
      <c r="C155" s="1152">
        <v>151</v>
      </c>
      <c r="D155">
        <v>12</v>
      </c>
      <c r="E155">
        <v>3</v>
      </c>
      <c r="F155" t="s">
        <v>4504</v>
      </c>
      <c r="G155" t="s">
        <v>4505</v>
      </c>
    </row>
    <row r="156" spans="1:7" x14ac:dyDescent="0.2">
      <c r="A156" t="s">
        <v>1367</v>
      </c>
      <c r="B156">
        <v>1</v>
      </c>
      <c r="C156" s="1152">
        <v>152</v>
      </c>
      <c r="D156">
        <v>12</v>
      </c>
      <c r="E156">
        <v>4</v>
      </c>
      <c r="F156" t="s">
        <v>4508</v>
      </c>
      <c r="G156" t="s">
        <v>4509</v>
      </c>
    </row>
    <row r="157" spans="1:7" x14ac:dyDescent="0.2">
      <c r="A157" t="s">
        <v>1367</v>
      </c>
      <c r="B157">
        <v>1</v>
      </c>
      <c r="C157" s="1152">
        <v>153</v>
      </c>
      <c r="D157">
        <v>12</v>
      </c>
      <c r="E157">
        <v>5</v>
      </c>
      <c r="F157" t="s">
        <v>4512</v>
      </c>
      <c r="G157" t="s">
        <v>4513</v>
      </c>
    </row>
    <row r="158" spans="1:7" x14ac:dyDescent="0.2">
      <c r="A158" t="s">
        <v>1367</v>
      </c>
      <c r="B158">
        <v>1</v>
      </c>
      <c r="C158" s="1152">
        <v>154</v>
      </c>
      <c r="D158">
        <v>12</v>
      </c>
      <c r="E158">
        <v>6</v>
      </c>
      <c r="F158" t="s">
        <v>4516</v>
      </c>
      <c r="G158" t="s">
        <v>4517</v>
      </c>
    </row>
    <row r="159" spans="1:7" x14ac:dyDescent="0.2">
      <c r="A159" t="s">
        <v>1367</v>
      </c>
      <c r="B159">
        <v>1</v>
      </c>
      <c r="C159" s="1152">
        <v>155</v>
      </c>
      <c r="D159">
        <v>12</v>
      </c>
      <c r="E159">
        <v>7</v>
      </c>
      <c r="F159" t="s">
        <v>4520</v>
      </c>
      <c r="G159" t="s">
        <v>4521</v>
      </c>
    </row>
    <row r="160" spans="1:7" x14ac:dyDescent="0.2">
      <c r="A160" t="s">
        <v>1367</v>
      </c>
      <c r="B160">
        <v>1</v>
      </c>
      <c r="C160" s="1152">
        <v>156</v>
      </c>
      <c r="D160">
        <v>12</v>
      </c>
      <c r="E160">
        <v>8</v>
      </c>
      <c r="F160" t="s">
        <v>4524</v>
      </c>
      <c r="G160" t="s">
        <v>4525</v>
      </c>
    </row>
    <row r="161" spans="1:7" x14ac:dyDescent="0.2">
      <c r="A161" t="s">
        <v>1367</v>
      </c>
      <c r="B161">
        <v>1</v>
      </c>
      <c r="C161" s="1152">
        <v>157</v>
      </c>
      <c r="D161">
        <v>12</v>
      </c>
      <c r="E161">
        <v>9</v>
      </c>
      <c r="F161" t="s">
        <v>4527</v>
      </c>
      <c r="G161" t="s">
        <v>4528</v>
      </c>
    </row>
    <row r="162" spans="1:7" x14ac:dyDescent="0.2">
      <c r="A162" t="s">
        <v>1367</v>
      </c>
      <c r="B162">
        <v>1</v>
      </c>
      <c r="C162" s="1152">
        <v>158</v>
      </c>
      <c r="D162">
        <v>12</v>
      </c>
      <c r="E162">
        <v>10</v>
      </c>
      <c r="F162" t="s">
        <v>4530</v>
      </c>
      <c r="G162" t="s">
        <v>4531</v>
      </c>
    </row>
    <row r="163" spans="1:7" x14ac:dyDescent="0.2">
      <c r="A163" t="s">
        <v>1367</v>
      </c>
      <c r="B163">
        <v>1</v>
      </c>
      <c r="C163" s="1152">
        <v>159</v>
      </c>
      <c r="D163">
        <v>12</v>
      </c>
      <c r="E163">
        <v>11</v>
      </c>
      <c r="F163" t="s">
        <v>4534</v>
      </c>
      <c r="G163" t="s">
        <v>4535</v>
      </c>
    </row>
    <row r="164" spans="1:7" x14ac:dyDescent="0.2">
      <c r="A164" t="s">
        <v>1367</v>
      </c>
      <c r="B164">
        <v>1</v>
      </c>
      <c r="C164" s="1152">
        <v>160</v>
      </c>
      <c r="D164">
        <v>12</v>
      </c>
      <c r="E164">
        <v>12</v>
      </c>
      <c r="F164" t="s">
        <v>4538</v>
      </c>
      <c r="G164" t="s">
        <v>4539</v>
      </c>
    </row>
    <row r="165" spans="1:7" x14ac:dyDescent="0.2">
      <c r="A165" t="s">
        <v>1367</v>
      </c>
      <c r="B165">
        <v>1</v>
      </c>
      <c r="C165" s="1152">
        <v>161</v>
      </c>
      <c r="D165">
        <v>13</v>
      </c>
      <c r="E165">
        <v>1</v>
      </c>
      <c r="F165" t="s">
        <v>4542</v>
      </c>
      <c r="G165" t="s">
        <v>4543</v>
      </c>
    </row>
    <row r="166" spans="1:7" x14ac:dyDescent="0.2">
      <c r="A166" t="s">
        <v>1367</v>
      </c>
      <c r="B166">
        <v>1</v>
      </c>
      <c r="C166" s="1152">
        <v>162</v>
      </c>
      <c r="D166">
        <v>13</v>
      </c>
      <c r="E166">
        <v>2</v>
      </c>
      <c r="F166" t="s">
        <v>4546</v>
      </c>
      <c r="G166" t="s">
        <v>4547</v>
      </c>
    </row>
    <row r="167" spans="1:7" x14ac:dyDescent="0.2">
      <c r="A167" t="s">
        <v>1367</v>
      </c>
      <c r="B167">
        <v>1</v>
      </c>
      <c r="C167" s="1152">
        <v>163</v>
      </c>
      <c r="D167">
        <v>13</v>
      </c>
      <c r="E167">
        <v>3</v>
      </c>
      <c r="F167" t="s">
        <v>4550</v>
      </c>
      <c r="G167" t="s">
        <v>4551</v>
      </c>
    </row>
    <row r="168" spans="1:7" x14ac:dyDescent="0.2">
      <c r="A168" t="s">
        <v>1367</v>
      </c>
      <c r="B168">
        <v>1</v>
      </c>
      <c r="C168" s="1152">
        <v>164</v>
      </c>
      <c r="D168">
        <v>13</v>
      </c>
      <c r="E168">
        <v>4</v>
      </c>
      <c r="F168" t="s">
        <v>4554</v>
      </c>
      <c r="G168" t="s">
        <v>4555</v>
      </c>
    </row>
    <row r="169" spans="1:7" x14ac:dyDescent="0.2">
      <c r="A169" t="s">
        <v>1367</v>
      </c>
      <c r="B169">
        <v>1</v>
      </c>
      <c r="C169" s="1152">
        <v>165</v>
      </c>
      <c r="D169">
        <v>14</v>
      </c>
      <c r="E169">
        <v>1</v>
      </c>
      <c r="F169" t="s">
        <v>4558</v>
      </c>
      <c r="G169" t="s">
        <v>4559</v>
      </c>
    </row>
    <row r="170" spans="1:7" x14ac:dyDescent="0.2">
      <c r="A170" t="s">
        <v>1367</v>
      </c>
      <c r="B170">
        <v>1</v>
      </c>
      <c r="C170" s="1152">
        <v>166</v>
      </c>
      <c r="D170">
        <v>14</v>
      </c>
      <c r="E170">
        <v>2</v>
      </c>
      <c r="F170" t="s">
        <v>4562</v>
      </c>
      <c r="G170" t="s">
        <v>4563</v>
      </c>
    </row>
    <row r="171" spans="1:7" x14ac:dyDescent="0.2">
      <c r="A171" t="s">
        <v>1367</v>
      </c>
      <c r="B171">
        <v>1</v>
      </c>
      <c r="C171" s="1152">
        <v>167</v>
      </c>
      <c r="D171">
        <v>14</v>
      </c>
      <c r="E171">
        <v>3</v>
      </c>
      <c r="F171" t="s">
        <v>4565</v>
      </c>
      <c r="G171" t="s">
        <v>4566</v>
      </c>
    </row>
    <row r="172" spans="1:7" x14ac:dyDescent="0.2">
      <c r="A172" t="s">
        <v>1367</v>
      </c>
      <c r="B172">
        <v>1</v>
      </c>
      <c r="C172" s="1152">
        <v>168</v>
      </c>
      <c r="D172">
        <v>14</v>
      </c>
      <c r="E172">
        <v>4</v>
      </c>
      <c r="F172" t="s">
        <v>4568</v>
      </c>
      <c r="G172" t="s">
        <v>4569</v>
      </c>
    </row>
    <row r="173" spans="1:7" x14ac:dyDescent="0.2">
      <c r="A173" t="s">
        <v>1367</v>
      </c>
      <c r="B173">
        <v>1</v>
      </c>
      <c r="C173" s="1152">
        <v>169</v>
      </c>
      <c r="D173">
        <v>14</v>
      </c>
      <c r="E173">
        <v>5</v>
      </c>
      <c r="F173" t="s">
        <v>4572</v>
      </c>
      <c r="G173" t="s">
        <v>4573</v>
      </c>
    </row>
    <row r="174" spans="1:7" x14ac:dyDescent="0.2">
      <c r="A174" t="s">
        <v>1367</v>
      </c>
      <c r="B174">
        <v>1</v>
      </c>
      <c r="C174" s="1152">
        <v>170</v>
      </c>
      <c r="D174">
        <v>14</v>
      </c>
      <c r="E174">
        <v>6</v>
      </c>
      <c r="F174" t="s">
        <v>4576</v>
      </c>
      <c r="G174" t="s">
        <v>4577</v>
      </c>
    </row>
    <row r="175" spans="1:7" x14ac:dyDescent="0.2">
      <c r="A175" t="s">
        <v>1367</v>
      </c>
      <c r="B175">
        <v>1</v>
      </c>
      <c r="C175" s="1152">
        <v>171</v>
      </c>
      <c r="D175">
        <v>14</v>
      </c>
      <c r="E175">
        <v>7</v>
      </c>
      <c r="F175" t="s">
        <v>4580</v>
      </c>
      <c r="G175" t="s">
        <v>4581</v>
      </c>
    </row>
    <row r="176" spans="1:7" x14ac:dyDescent="0.2">
      <c r="A176" t="s">
        <v>1367</v>
      </c>
      <c r="B176">
        <v>1</v>
      </c>
      <c r="C176" s="1152">
        <v>172</v>
      </c>
      <c r="D176">
        <v>14</v>
      </c>
      <c r="E176">
        <v>8</v>
      </c>
      <c r="F176" t="s">
        <v>4584</v>
      </c>
      <c r="G176" t="s">
        <v>4585</v>
      </c>
    </row>
    <row r="177" spans="1:7" x14ac:dyDescent="0.2">
      <c r="A177" t="s">
        <v>1367</v>
      </c>
      <c r="B177">
        <v>1</v>
      </c>
      <c r="C177" s="1152">
        <v>173</v>
      </c>
      <c r="D177">
        <v>14</v>
      </c>
      <c r="E177">
        <v>9</v>
      </c>
      <c r="F177" t="s">
        <v>4588</v>
      </c>
      <c r="G177" t="s">
        <v>4589</v>
      </c>
    </row>
    <row r="178" spans="1:7" x14ac:dyDescent="0.2">
      <c r="A178" t="s">
        <v>1367</v>
      </c>
      <c r="B178">
        <v>1</v>
      </c>
      <c r="C178" s="1152">
        <v>174</v>
      </c>
      <c r="D178">
        <v>14</v>
      </c>
      <c r="E178">
        <v>10</v>
      </c>
      <c r="F178" t="s">
        <v>4592</v>
      </c>
      <c r="G178" t="s">
        <v>4593</v>
      </c>
    </row>
    <row r="179" spans="1:7" x14ac:dyDescent="0.2">
      <c r="A179" t="s">
        <v>1367</v>
      </c>
      <c r="B179">
        <v>1</v>
      </c>
      <c r="C179" s="1152">
        <v>175</v>
      </c>
      <c r="D179">
        <v>14</v>
      </c>
      <c r="E179">
        <v>11</v>
      </c>
      <c r="F179" t="s">
        <v>4596</v>
      </c>
      <c r="G179" t="s">
        <v>4597</v>
      </c>
    </row>
    <row r="180" spans="1:7" x14ac:dyDescent="0.2">
      <c r="A180" t="s">
        <v>1367</v>
      </c>
      <c r="B180">
        <v>1</v>
      </c>
      <c r="C180" s="1152">
        <v>176</v>
      </c>
      <c r="D180">
        <v>14</v>
      </c>
      <c r="E180">
        <v>12</v>
      </c>
      <c r="F180" t="s">
        <v>4600</v>
      </c>
      <c r="G180" t="s">
        <v>4601</v>
      </c>
    </row>
    <row r="181" spans="1:7" x14ac:dyDescent="0.2">
      <c r="A181" t="s">
        <v>1367</v>
      </c>
      <c r="B181">
        <v>1</v>
      </c>
      <c r="C181" s="1152">
        <v>177</v>
      </c>
      <c r="D181">
        <v>15</v>
      </c>
      <c r="E181">
        <v>1</v>
      </c>
      <c r="F181" t="s">
        <v>4603</v>
      </c>
      <c r="G181" t="s">
        <v>4604</v>
      </c>
    </row>
    <row r="182" spans="1:7" x14ac:dyDescent="0.2">
      <c r="A182" t="s">
        <v>1367</v>
      </c>
      <c r="B182">
        <v>1</v>
      </c>
      <c r="C182" s="1152">
        <v>178</v>
      </c>
      <c r="D182">
        <v>15</v>
      </c>
      <c r="E182">
        <v>2</v>
      </c>
      <c r="F182" t="s">
        <v>4606</v>
      </c>
      <c r="G182" t="s">
        <v>4607</v>
      </c>
    </row>
    <row r="183" spans="1:7" x14ac:dyDescent="0.2">
      <c r="A183" t="s">
        <v>1367</v>
      </c>
      <c r="B183">
        <v>1</v>
      </c>
      <c r="C183" s="1152">
        <v>179</v>
      </c>
      <c r="D183">
        <v>15</v>
      </c>
      <c r="E183">
        <v>3</v>
      </c>
      <c r="F183" t="s">
        <v>4610</v>
      </c>
      <c r="G183" t="s">
        <v>4611</v>
      </c>
    </row>
    <row r="184" spans="1:7" x14ac:dyDescent="0.2">
      <c r="A184" t="s">
        <v>1367</v>
      </c>
      <c r="B184">
        <v>1</v>
      </c>
      <c r="C184" s="1152">
        <v>180</v>
      </c>
      <c r="D184">
        <v>15</v>
      </c>
      <c r="E184">
        <v>4</v>
      </c>
      <c r="F184" t="s">
        <v>4614</v>
      </c>
      <c r="G184" t="s">
        <v>4615</v>
      </c>
    </row>
    <row r="185" spans="1:7" x14ac:dyDescent="0.2">
      <c r="A185" t="s">
        <v>1367</v>
      </c>
      <c r="B185">
        <v>1</v>
      </c>
      <c r="C185" s="1152">
        <v>181</v>
      </c>
      <c r="D185">
        <v>15</v>
      </c>
      <c r="E185">
        <v>5</v>
      </c>
      <c r="F185" t="s">
        <v>4618</v>
      </c>
      <c r="G185" t="s">
        <v>4619</v>
      </c>
    </row>
    <row r="186" spans="1:7" x14ac:dyDescent="0.2">
      <c r="A186" t="s">
        <v>1367</v>
      </c>
      <c r="B186">
        <v>1</v>
      </c>
      <c r="C186" s="1152">
        <v>182</v>
      </c>
      <c r="D186">
        <v>15</v>
      </c>
      <c r="E186">
        <v>6</v>
      </c>
      <c r="F186" t="s">
        <v>4622</v>
      </c>
      <c r="G186" t="s">
        <v>4623</v>
      </c>
    </row>
    <row r="187" spans="1:7" x14ac:dyDescent="0.2">
      <c r="A187" t="s">
        <v>1367</v>
      </c>
      <c r="B187">
        <v>1</v>
      </c>
      <c r="C187" s="1152">
        <v>183</v>
      </c>
      <c r="D187">
        <v>15</v>
      </c>
      <c r="E187">
        <v>7</v>
      </c>
      <c r="F187" t="s">
        <v>4626</v>
      </c>
      <c r="G187" t="s">
        <v>4627</v>
      </c>
    </row>
    <row r="188" spans="1:7" x14ac:dyDescent="0.2">
      <c r="A188" t="s">
        <v>1367</v>
      </c>
      <c r="B188">
        <v>1</v>
      </c>
      <c r="C188" s="1152">
        <v>184</v>
      </c>
      <c r="D188">
        <v>15</v>
      </c>
      <c r="E188">
        <v>8</v>
      </c>
      <c r="F188" t="s">
        <v>4630</v>
      </c>
      <c r="G188" t="s">
        <v>4631</v>
      </c>
    </row>
    <row r="189" spans="1:7" x14ac:dyDescent="0.2">
      <c r="A189" t="s">
        <v>1367</v>
      </c>
      <c r="B189">
        <v>1</v>
      </c>
      <c r="C189" s="1152">
        <v>185</v>
      </c>
      <c r="D189">
        <v>15</v>
      </c>
      <c r="E189">
        <v>9</v>
      </c>
      <c r="F189" t="s">
        <v>4634</v>
      </c>
      <c r="G189" t="s">
        <v>4635</v>
      </c>
    </row>
    <row r="190" spans="1:7" x14ac:dyDescent="0.2">
      <c r="A190" t="s">
        <v>1367</v>
      </c>
      <c r="B190">
        <v>1</v>
      </c>
      <c r="C190" s="1152">
        <v>186</v>
      </c>
      <c r="D190">
        <v>15</v>
      </c>
      <c r="E190">
        <v>10</v>
      </c>
      <c r="F190" t="s">
        <v>4638</v>
      </c>
      <c r="G190" t="s">
        <v>4639</v>
      </c>
    </row>
    <row r="191" spans="1:7" x14ac:dyDescent="0.2">
      <c r="A191" t="s">
        <v>1367</v>
      </c>
      <c r="B191">
        <v>1</v>
      </c>
      <c r="C191" s="1152">
        <v>187</v>
      </c>
      <c r="D191">
        <v>15</v>
      </c>
      <c r="E191">
        <v>11</v>
      </c>
      <c r="F191" t="s">
        <v>4641</v>
      </c>
      <c r="G191" t="s">
        <v>4642</v>
      </c>
    </row>
    <row r="192" spans="1:7" x14ac:dyDescent="0.2">
      <c r="A192" t="s">
        <v>1367</v>
      </c>
      <c r="B192">
        <v>1</v>
      </c>
      <c r="C192" s="1152">
        <v>188</v>
      </c>
      <c r="D192">
        <v>15</v>
      </c>
      <c r="E192">
        <v>12</v>
      </c>
      <c r="F192" t="s">
        <v>4644</v>
      </c>
      <c r="G192" t="s">
        <v>4645</v>
      </c>
    </row>
    <row r="193" spans="1:7" x14ac:dyDescent="0.2">
      <c r="A193" t="s">
        <v>1367</v>
      </c>
      <c r="B193">
        <v>1</v>
      </c>
      <c r="C193" s="1152">
        <v>189</v>
      </c>
      <c r="D193">
        <v>15</v>
      </c>
      <c r="E193">
        <v>13</v>
      </c>
      <c r="F193" t="s">
        <v>4648</v>
      </c>
      <c r="G193" t="s">
        <v>4649</v>
      </c>
    </row>
    <row r="194" spans="1:7" x14ac:dyDescent="0.2">
      <c r="A194" t="s">
        <v>1367</v>
      </c>
      <c r="B194">
        <v>1</v>
      </c>
      <c r="C194" s="1152">
        <v>190</v>
      </c>
      <c r="D194">
        <v>15</v>
      </c>
      <c r="E194">
        <v>14</v>
      </c>
      <c r="F194" t="s">
        <v>4652</v>
      </c>
      <c r="G194" t="s">
        <v>4653</v>
      </c>
    </row>
    <row r="195" spans="1:7" x14ac:dyDescent="0.2">
      <c r="A195" t="s">
        <v>1367</v>
      </c>
      <c r="B195">
        <v>1</v>
      </c>
      <c r="C195" s="1152">
        <v>191</v>
      </c>
      <c r="D195">
        <v>15</v>
      </c>
      <c r="E195">
        <v>15</v>
      </c>
      <c r="F195" t="s">
        <v>4656</v>
      </c>
      <c r="G195" t="s">
        <v>4657</v>
      </c>
    </row>
    <row r="196" spans="1:7" x14ac:dyDescent="0.2">
      <c r="A196" t="s">
        <v>1367</v>
      </c>
      <c r="B196">
        <v>1</v>
      </c>
      <c r="C196" s="1152">
        <v>192</v>
      </c>
      <c r="D196">
        <v>15</v>
      </c>
      <c r="E196">
        <v>16</v>
      </c>
      <c r="F196" t="s">
        <v>4660</v>
      </c>
      <c r="G196" t="s">
        <v>4661</v>
      </c>
    </row>
    <row r="197" spans="1:7" x14ac:dyDescent="0.2">
      <c r="A197" t="s">
        <v>1367</v>
      </c>
      <c r="B197">
        <v>1</v>
      </c>
      <c r="C197" s="1152">
        <v>193</v>
      </c>
      <c r="D197">
        <v>16</v>
      </c>
      <c r="E197">
        <v>1</v>
      </c>
      <c r="F197" t="s">
        <v>4663</v>
      </c>
      <c r="G197" t="s">
        <v>4664</v>
      </c>
    </row>
    <row r="198" spans="1:7" x14ac:dyDescent="0.2">
      <c r="A198" t="s">
        <v>1367</v>
      </c>
      <c r="B198">
        <v>1</v>
      </c>
      <c r="C198" s="1152">
        <v>194</v>
      </c>
      <c r="D198">
        <v>16</v>
      </c>
      <c r="E198">
        <v>2</v>
      </c>
      <c r="F198" t="s">
        <v>4666</v>
      </c>
      <c r="G198" t="s">
        <v>4667</v>
      </c>
    </row>
    <row r="199" spans="1:7" x14ac:dyDescent="0.2">
      <c r="A199" t="s">
        <v>1367</v>
      </c>
      <c r="B199">
        <v>1</v>
      </c>
      <c r="C199" s="1152">
        <v>195</v>
      </c>
      <c r="D199">
        <v>16</v>
      </c>
      <c r="E199">
        <v>3</v>
      </c>
      <c r="F199" t="s">
        <v>4670</v>
      </c>
      <c r="G199" t="s">
        <v>4671</v>
      </c>
    </row>
    <row r="200" spans="1:7" x14ac:dyDescent="0.2">
      <c r="A200" t="s">
        <v>1367</v>
      </c>
      <c r="B200">
        <v>1</v>
      </c>
      <c r="C200" s="1152">
        <v>196</v>
      </c>
      <c r="D200">
        <v>16</v>
      </c>
      <c r="E200">
        <v>4</v>
      </c>
      <c r="F200" t="s">
        <v>4674</v>
      </c>
      <c r="G200" t="s">
        <v>4675</v>
      </c>
    </row>
    <row r="201" spans="1:7" x14ac:dyDescent="0.2">
      <c r="A201" t="s">
        <v>1367</v>
      </c>
      <c r="B201">
        <v>1</v>
      </c>
      <c r="C201" s="1152">
        <v>197</v>
      </c>
      <c r="D201">
        <v>16</v>
      </c>
      <c r="E201">
        <v>5</v>
      </c>
      <c r="F201" t="s">
        <v>4678</v>
      </c>
      <c r="G201" t="s">
        <v>4679</v>
      </c>
    </row>
    <row r="202" spans="1:7" x14ac:dyDescent="0.2">
      <c r="A202" t="s">
        <v>1367</v>
      </c>
      <c r="B202">
        <v>1</v>
      </c>
      <c r="C202" s="1152">
        <v>198</v>
      </c>
      <c r="D202">
        <v>16</v>
      </c>
      <c r="E202">
        <v>6</v>
      </c>
      <c r="F202" t="s">
        <v>4682</v>
      </c>
      <c r="G202" t="s">
        <v>4683</v>
      </c>
    </row>
    <row r="203" spans="1:7" x14ac:dyDescent="0.2">
      <c r="A203" t="s">
        <v>1367</v>
      </c>
      <c r="B203">
        <v>1</v>
      </c>
      <c r="C203" s="1152">
        <v>199</v>
      </c>
      <c r="D203">
        <v>16</v>
      </c>
      <c r="E203">
        <v>7</v>
      </c>
      <c r="F203" t="s">
        <v>4686</v>
      </c>
      <c r="G203" t="s">
        <v>4687</v>
      </c>
    </row>
    <row r="204" spans="1:7" x14ac:dyDescent="0.2">
      <c r="A204" t="s">
        <v>1367</v>
      </c>
      <c r="B204">
        <v>1</v>
      </c>
      <c r="C204" s="1152">
        <v>200</v>
      </c>
      <c r="D204">
        <v>16</v>
      </c>
      <c r="E204">
        <v>8</v>
      </c>
      <c r="F204" t="s">
        <v>4690</v>
      </c>
      <c r="G204" t="s">
        <v>4691</v>
      </c>
    </row>
    <row r="205" spans="1:7" x14ac:dyDescent="0.2">
      <c r="A205" t="s">
        <v>1367</v>
      </c>
      <c r="B205">
        <v>1</v>
      </c>
      <c r="C205" s="1152">
        <v>201</v>
      </c>
      <c r="D205">
        <v>16</v>
      </c>
      <c r="E205">
        <v>9</v>
      </c>
      <c r="F205" t="s">
        <v>4694</v>
      </c>
      <c r="G205" t="s">
        <v>4695</v>
      </c>
    </row>
    <row r="206" spans="1:7" x14ac:dyDescent="0.2">
      <c r="A206" t="s">
        <v>1367</v>
      </c>
      <c r="B206">
        <v>1</v>
      </c>
      <c r="C206" s="1152">
        <v>202</v>
      </c>
      <c r="D206">
        <v>16</v>
      </c>
      <c r="E206">
        <v>10</v>
      </c>
      <c r="F206" t="s">
        <v>4698</v>
      </c>
      <c r="G206" t="s">
        <v>4699</v>
      </c>
    </row>
    <row r="207" spans="1:7" x14ac:dyDescent="0.2">
      <c r="A207" t="s">
        <v>1367</v>
      </c>
      <c r="B207">
        <v>1</v>
      </c>
      <c r="C207" s="1152">
        <v>203</v>
      </c>
      <c r="D207">
        <v>16</v>
      </c>
      <c r="E207">
        <v>11</v>
      </c>
      <c r="F207" t="s">
        <v>4701</v>
      </c>
      <c r="G207" t="s">
        <v>4702</v>
      </c>
    </row>
    <row r="208" spans="1:7" x14ac:dyDescent="0.2">
      <c r="A208" t="s">
        <v>1367</v>
      </c>
      <c r="B208">
        <v>1</v>
      </c>
      <c r="C208" s="1152">
        <v>204</v>
      </c>
      <c r="D208">
        <v>16</v>
      </c>
      <c r="E208">
        <v>12</v>
      </c>
      <c r="F208" t="s">
        <v>4704</v>
      </c>
      <c r="G208" t="s">
        <v>4705</v>
      </c>
    </row>
    <row r="209" spans="1:7" x14ac:dyDescent="0.2">
      <c r="A209" t="s">
        <v>1367</v>
      </c>
      <c r="B209">
        <v>1</v>
      </c>
      <c r="C209" s="1152">
        <v>205</v>
      </c>
      <c r="D209">
        <v>17</v>
      </c>
      <c r="E209">
        <v>1</v>
      </c>
      <c r="F209" t="s">
        <v>4708</v>
      </c>
      <c r="G209" t="s">
        <v>4709</v>
      </c>
    </row>
    <row r="210" spans="1:7" x14ac:dyDescent="0.2">
      <c r="A210" t="s">
        <v>1367</v>
      </c>
      <c r="B210">
        <v>1</v>
      </c>
      <c r="C210" s="1152">
        <v>206</v>
      </c>
      <c r="D210">
        <v>17</v>
      </c>
      <c r="E210">
        <v>2</v>
      </c>
      <c r="F210" t="s">
        <v>4712</v>
      </c>
      <c r="G210" t="s">
        <v>4713</v>
      </c>
    </row>
    <row r="211" spans="1:7" x14ac:dyDescent="0.2">
      <c r="A211" t="s">
        <v>1367</v>
      </c>
      <c r="B211">
        <v>1</v>
      </c>
      <c r="C211" s="1152">
        <v>207</v>
      </c>
      <c r="D211">
        <v>17</v>
      </c>
      <c r="E211">
        <v>3</v>
      </c>
      <c r="F211" t="s">
        <v>4716</v>
      </c>
      <c r="G211" t="s">
        <v>4717</v>
      </c>
    </row>
    <row r="212" spans="1:7" x14ac:dyDescent="0.2">
      <c r="A212" t="s">
        <v>1367</v>
      </c>
      <c r="B212">
        <v>1</v>
      </c>
      <c r="C212" s="1152">
        <v>208</v>
      </c>
      <c r="D212">
        <v>17</v>
      </c>
      <c r="E212">
        <v>4</v>
      </c>
      <c r="F212" t="s">
        <v>4720</v>
      </c>
      <c r="G212" t="s">
        <v>4721</v>
      </c>
    </row>
    <row r="213" spans="1:7" x14ac:dyDescent="0.2">
      <c r="A213" t="s">
        <v>1367</v>
      </c>
      <c r="B213">
        <v>1</v>
      </c>
      <c r="C213" s="1152">
        <v>209</v>
      </c>
      <c r="D213">
        <v>18</v>
      </c>
      <c r="E213">
        <v>1</v>
      </c>
      <c r="F213" t="s">
        <v>4724</v>
      </c>
      <c r="G213" t="s">
        <v>4725</v>
      </c>
    </row>
    <row r="214" spans="1:7" x14ac:dyDescent="0.2">
      <c r="A214" t="s">
        <v>1367</v>
      </c>
      <c r="B214">
        <v>1</v>
      </c>
      <c r="C214" s="1152">
        <v>210</v>
      </c>
      <c r="D214">
        <v>18</v>
      </c>
      <c r="E214">
        <v>2</v>
      </c>
      <c r="F214" t="s">
        <v>4728</v>
      </c>
      <c r="G214" t="s">
        <v>4729</v>
      </c>
    </row>
    <row r="215" spans="1:7" x14ac:dyDescent="0.2">
      <c r="A215" t="s">
        <v>1367</v>
      </c>
      <c r="B215">
        <v>1</v>
      </c>
      <c r="C215" s="1152">
        <v>211</v>
      </c>
      <c r="D215">
        <v>18</v>
      </c>
      <c r="E215">
        <v>3</v>
      </c>
      <c r="F215" t="s">
        <v>4732</v>
      </c>
      <c r="G215" t="s">
        <v>4733</v>
      </c>
    </row>
    <row r="216" spans="1:7" x14ac:dyDescent="0.2">
      <c r="A216" t="s">
        <v>1367</v>
      </c>
      <c r="B216">
        <v>1</v>
      </c>
      <c r="C216" s="1152">
        <v>212</v>
      </c>
      <c r="D216">
        <v>18</v>
      </c>
      <c r="E216">
        <v>4</v>
      </c>
      <c r="F216" t="s">
        <v>4736</v>
      </c>
      <c r="G216" t="s">
        <v>4737</v>
      </c>
    </row>
    <row r="217" spans="1:7" x14ac:dyDescent="0.2">
      <c r="A217" t="s">
        <v>1367</v>
      </c>
      <c r="B217">
        <v>1</v>
      </c>
      <c r="C217" s="1152">
        <v>213</v>
      </c>
      <c r="D217">
        <v>19</v>
      </c>
      <c r="E217">
        <v>1</v>
      </c>
      <c r="F217" t="s">
        <v>4740</v>
      </c>
      <c r="G217" t="s">
        <v>4741</v>
      </c>
    </row>
    <row r="218" spans="1:7" x14ac:dyDescent="0.2">
      <c r="A218" t="s">
        <v>1367</v>
      </c>
      <c r="B218">
        <v>1</v>
      </c>
      <c r="C218" s="1152">
        <v>214</v>
      </c>
      <c r="D218">
        <v>19</v>
      </c>
      <c r="E218">
        <v>2</v>
      </c>
      <c r="F218" t="s">
        <v>4744</v>
      </c>
      <c r="G218" t="s">
        <v>4745</v>
      </c>
    </row>
    <row r="219" spans="1:7" x14ac:dyDescent="0.2">
      <c r="A219" t="s">
        <v>1367</v>
      </c>
      <c r="B219">
        <v>1</v>
      </c>
      <c r="C219" s="1152">
        <v>215</v>
      </c>
      <c r="D219">
        <v>19</v>
      </c>
      <c r="E219">
        <v>3</v>
      </c>
      <c r="F219" t="s">
        <v>4747</v>
      </c>
      <c r="G219" t="s">
        <v>4748</v>
      </c>
    </row>
    <row r="220" spans="1:7" x14ac:dyDescent="0.2">
      <c r="A220" t="s">
        <v>1367</v>
      </c>
      <c r="B220">
        <v>1</v>
      </c>
      <c r="C220" s="1152">
        <v>216</v>
      </c>
      <c r="D220">
        <v>19</v>
      </c>
      <c r="E220">
        <v>4</v>
      </c>
      <c r="F220" t="s">
        <v>4750</v>
      </c>
      <c r="G220" t="s">
        <v>4751</v>
      </c>
    </row>
    <row r="221" spans="1:7" x14ac:dyDescent="0.2">
      <c r="A221" t="s">
        <v>1367</v>
      </c>
      <c r="B221">
        <v>1</v>
      </c>
      <c r="C221" s="1152">
        <v>217</v>
      </c>
      <c r="D221">
        <v>20</v>
      </c>
      <c r="E221">
        <v>1</v>
      </c>
      <c r="F221" t="s">
        <v>4754</v>
      </c>
      <c r="G221" t="s">
        <v>4755</v>
      </c>
    </row>
    <row r="222" spans="1:7" x14ac:dyDescent="0.2">
      <c r="A222" t="s">
        <v>1367</v>
      </c>
      <c r="B222">
        <v>1</v>
      </c>
      <c r="C222" s="1152">
        <v>218</v>
      </c>
      <c r="D222">
        <v>20</v>
      </c>
      <c r="E222">
        <v>2</v>
      </c>
      <c r="F222" t="s">
        <v>4758</v>
      </c>
      <c r="G222" t="s">
        <v>4759</v>
      </c>
    </row>
    <row r="223" spans="1:7" x14ac:dyDescent="0.2">
      <c r="A223" t="s">
        <v>1367</v>
      </c>
      <c r="B223">
        <v>1</v>
      </c>
      <c r="C223" s="1152">
        <v>219</v>
      </c>
      <c r="D223">
        <v>20</v>
      </c>
      <c r="E223">
        <v>3</v>
      </c>
      <c r="F223" t="s">
        <v>4761</v>
      </c>
      <c r="G223" t="s">
        <v>4762</v>
      </c>
    </row>
    <row r="224" spans="1:7" x14ac:dyDescent="0.2">
      <c r="A224" t="s">
        <v>1367</v>
      </c>
      <c r="B224">
        <v>1</v>
      </c>
      <c r="C224" s="1152">
        <v>220</v>
      </c>
      <c r="D224">
        <v>20</v>
      </c>
      <c r="E224">
        <v>4</v>
      </c>
      <c r="F224" t="s">
        <v>4764</v>
      </c>
      <c r="G224" t="s">
        <v>4765</v>
      </c>
    </row>
    <row r="225" spans="1:7" x14ac:dyDescent="0.2">
      <c r="A225" t="s">
        <v>1367</v>
      </c>
      <c r="B225">
        <v>1</v>
      </c>
      <c r="C225" s="1152">
        <v>221</v>
      </c>
      <c r="D225">
        <v>21</v>
      </c>
      <c r="E225">
        <v>1</v>
      </c>
      <c r="F225" t="s">
        <v>4768</v>
      </c>
      <c r="G225" t="s">
        <v>4769</v>
      </c>
    </row>
    <row r="226" spans="1:7" x14ac:dyDescent="0.2">
      <c r="A226" t="s">
        <v>1367</v>
      </c>
      <c r="B226">
        <v>1</v>
      </c>
      <c r="C226" s="1152">
        <v>222</v>
      </c>
      <c r="D226">
        <v>21</v>
      </c>
      <c r="E226">
        <v>2</v>
      </c>
      <c r="F226" t="s">
        <v>4772</v>
      </c>
      <c r="G226" t="s">
        <v>4773</v>
      </c>
    </row>
    <row r="227" spans="1:7" x14ac:dyDescent="0.2">
      <c r="A227" t="s">
        <v>1367</v>
      </c>
      <c r="B227">
        <v>1</v>
      </c>
      <c r="C227" s="1152">
        <v>223</v>
      </c>
      <c r="D227">
        <v>21</v>
      </c>
      <c r="E227">
        <v>3</v>
      </c>
      <c r="F227" t="s">
        <v>4776</v>
      </c>
      <c r="G227" t="s">
        <v>4777</v>
      </c>
    </row>
    <row r="228" spans="1:7" x14ac:dyDescent="0.2">
      <c r="A228" t="s">
        <v>1367</v>
      </c>
      <c r="B228">
        <v>1</v>
      </c>
      <c r="C228" s="1152">
        <v>224</v>
      </c>
      <c r="D228">
        <v>21</v>
      </c>
      <c r="E228">
        <v>4</v>
      </c>
      <c r="F228" t="s">
        <v>4780</v>
      </c>
      <c r="G228" t="s">
        <v>4781</v>
      </c>
    </row>
    <row r="229" spans="1:7" x14ac:dyDescent="0.2">
      <c r="A229" t="s">
        <v>1367</v>
      </c>
      <c r="B229">
        <v>1</v>
      </c>
      <c r="C229" s="1152">
        <v>225</v>
      </c>
      <c r="D229">
        <v>22</v>
      </c>
      <c r="E229">
        <v>1</v>
      </c>
      <c r="F229" t="s">
        <v>4784</v>
      </c>
      <c r="G229" t="s">
        <v>4785</v>
      </c>
    </row>
    <row r="230" spans="1:7" x14ac:dyDescent="0.2">
      <c r="A230" t="s">
        <v>1367</v>
      </c>
      <c r="B230">
        <v>1</v>
      </c>
      <c r="C230" s="1152">
        <v>226</v>
      </c>
      <c r="D230">
        <v>22</v>
      </c>
      <c r="E230">
        <v>2</v>
      </c>
      <c r="F230" t="s">
        <v>4788</v>
      </c>
      <c r="G230" t="s">
        <v>4789</v>
      </c>
    </row>
    <row r="231" spans="1:7" x14ac:dyDescent="0.2">
      <c r="A231" t="s">
        <v>1367</v>
      </c>
      <c r="B231">
        <v>1</v>
      </c>
      <c r="C231" s="1152">
        <v>227</v>
      </c>
      <c r="D231">
        <v>22</v>
      </c>
      <c r="E231">
        <v>3</v>
      </c>
      <c r="F231" t="s">
        <v>4792</v>
      </c>
      <c r="G231" t="s">
        <v>4793</v>
      </c>
    </row>
    <row r="232" spans="1:7" x14ac:dyDescent="0.2">
      <c r="A232" t="s">
        <v>1367</v>
      </c>
      <c r="B232">
        <v>1</v>
      </c>
      <c r="C232" s="1152">
        <v>228</v>
      </c>
      <c r="D232">
        <v>22</v>
      </c>
      <c r="E232">
        <v>4</v>
      </c>
      <c r="F232" t="s">
        <v>4796</v>
      </c>
      <c r="G232" t="s">
        <v>4797</v>
      </c>
    </row>
    <row r="233" spans="1:7" x14ac:dyDescent="0.2">
      <c r="A233" t="s">
        <v>1367</v>
      </c>
      <c r="B233">
        <v>1</v>
      </c>
      <c r="C233" s="1152">
        <v>229</v>
      </c>
      <c r="D233">
        <v>23</v>
      </c>
      <c r="E233">
        <v>1</v>
      </c>
      <c r="F233" t="s">
        <v>4799</v>
      </c>
      <c r="G233" t="s">
        <v>4800</v>
      </c>
    </row>
    <row r="234" spans="1:7" x14ac:dyDescent="0.2">
      <c r="A234" t="s">
        <v>1367</v>
      </c>
      <c r="B234">
        <v>1</v>
      </c>
      <c r="C234" s="1152">
        <v>230</v>
      </c>
      <c r="D234">
        <v>23</v>
      </c>
      <c r="E234">
        <v>2</v>
      </c>
      <c r="F234" t="s">
        <v>4802</v>
      </c>
      <c r="G234" t="s">
        <v>4803</v>
      </c>
    </row>
    <row r="235" spans="1:7" x14ac:dyDescent="0.2">
      <c r="A235" t="s">
        <v>1367</v>
      </c>
      <c r="B235">
        <v>1</v>
      </c>
      <c r="C235" s="1152">
        <v>231</v>
      </c>
      <c r="D235">
        <v>23</v>
      </c>
      <c r="E235">
        <v>3</v>
      </c>
      <c r="F235" t="s">
        <v>4806</v>
      </c>
      <c r="G235" t="s">
        <v>4807</v>
      </c>
    </row>
    <row r="236" spans="1:7" x14ac:dyDescent="0.2">
      <c r="A236" t="s">
        <v>1367</v>
      </c>
      <c r="B236">
        <v>1</v>
      </c>
      <c r="C236" s="1152">
        <v>232</v>
      </c>
      <c r="D236">
        <v>23</v>
      </c>
      <c r="E236">
        <v>4</v>
      </c>
      <c r="F236" t="s">
        <v>4810</v>
      </c>
      <c r="G236" t="s">
        <v>4811</v>
      </c>
    </row>
    <row r="237" spans="1:7" x14ac:dyDescent="0.2">
      <c r="A237" t="s">
        <v>1367</v>
      </c>
      <c r="B237">
        <v>1</v>
      </c>
      <c r="C237" s="1152">
        <v>233</v>
      </c>
      <c r="D237">
        <v>25</v>
      </c>
      <c r="E237">
        <v>1</v>
      </c>
      <c r="F237" t="s">
        <v>4813</v>
      </c>
      <c r="G237" t="s">
        <v>4814</v>
      </c>
    </row>
    <row r="238" spans="1:7" x14ac:dyDescent="0.2">
      <c r="A238" t="s">
        <v>1367</v>
      </c>
      <c r="B238">
        <v>1</v>
      </c>
      <c r="C238" s="1152">
        <v>234</v>
      </c>
      <c r="D238">
        <v>25</v>
      </c>
      <c r="E238">
        <v>2</v>
      </c>
      <c r="F238" t="s">
        <v>4816</v>
      </c>
      <c r="G238" t="s">
        <v>4817</v>
      </c>
    </row>
    <row r="239" spans="1:7" x14ac:dyDescent="0.2">
      <c r="A239" t="s">
        <v>1367</v>
      </c>
      <c r="B239">
        <v>1</v>
      </c>
      <c r="C239" s="1152">
        <v>235</v>
      </c>
      <c r="D239">
        <v>26</v>
      </c>
      <c r="E239">
        <v>1</v>
      </c>
      <c r="F239" t="s">
        <v>4820</v>
      </c>
      <c r="G239" t="s">
        <v>4821</v>
      </c>
    </row>
    <row r="240" spans="1:7" x14ac:dyDescent="0.2">
      <c r="A240" t="s">
        <v>1367</v>
      </c>
      <c r="B240">
        <v>1</v>
      </c>
      <c r="C240" s="1152">
        <v>236</v>
      </c>
      <c r="D240">
        <v>26</v>
      </c>
      <c r="E240">
        <v>2</v>
      </c>
      <c r="F240" t="s">
        <v>4824</v>
      </c>
      <c r="G240" t="s">
        <v>4825</v>
      </c>
    </row>
    <row r="241" spans="1:7" x14ac:dyDescent="0.2">
      <c r="A241" t="s">
        <v>1367</v>
      </c>
      <c r="B241">
        <v>1</v>
      </c>
      <c r="C241" s="1152">
        <v>237</v>
      </c>
      <c r="D241">
        <v>30</v>
      </c>
      <c r="E241">
        <v>1</v>
      </c>
      <c r="F241" t="s">
        <v>4828</v>
      </c>
      <c r="G241" t="s">
        <v>4829</v>
      </c>
    </row>
    <row r="242" spans="1:7" x14ac:dyDescent="0.2">
      <c r="A242" t="s">
        <v>1367</v>
      </c>
      <c r="B242">
        <v>1</v>
      </c>
      <c r="C242" s="1152">
        <v>238</v>
      </c>
      <c r="D242">
        <v>30</v>
      </c>
      <c r="E242">
        <v>2</v>
      </c>
      <c r="F242" t="s">
        <v>4832</v>
      </c>
      <c r="G242" t="s">
        <v>4833</v>
      </c>
    </row>
    <row r="243" spans="1:7" x14ac:dyDescent="0.2">
      <c r="A243" t="s">
        <v>1367</v>
      </c>
      <c r="B243">
        <v>1</v>
      </c>
      <c r="C243" s="1152">
        <v>239</v>
      </c>
      <c r="D243">
        <v>31</v>
      </c>
      <c r="E243">
        <v>1</v>
      </c>
      <c r="F243" t="s">
        <v>4836</v>
      </c>
      <c r="G243" t="s">
        <v>4837</v>
      </c>
    </row>
    <row r="244" spans="1:7" x14ac:dyDescent="0.2">
      <c r="A244" t="s">
        <v>1367</v>
      </c>
      <c r="B244">
        <v>1</v>
      </c>
      <c r="C244" s="1152">
        <v>240</v>
      </c>
      <c r="D244">
        <v>31</v>
      </c>
      <c r="E244">
        <v>2</v>
      </c>
      <c r="F244" t="s">
        <v>4840</v>
      </c>
      <c r="G244" t="s">
        <v>4841</v>
      </c>
    </row>
    <row r="245" spans="1:7" x14ac:dyDescent="0.2">
      <c r="A245" t="s">
        <v>1367</v>
      </c>
      <c r="B245">
        <v>1</v>
      </c>
      <c r="C245" s="1152">
        <v>241</v>
      </c>
      <c r="D245">
        <v>32</v>
      </c>
      <c r="E245">
        <v>1</v>
      </c>
      <c r="F245" t="s">
        <v>4842</v>
      </c>
      <c r="G245" t="s">
        <v>4843</v>
      </c>
    </row>
    <row r="246" spans="1:7" x14ac:dyDescent="0.2">
      <c r="A246" t="s">
        <v>1367</v>
      </c>
      <c r="B246">
        <v>1</v>
      </c>
      <c r="C246" s="1152">
        <v>242</v>
      </c>
      <c r="D246">
        <v>32</v>
      </c>
      <c r="E246">
        <v>2</v>
      </c>
      <c r="F246" t="s">
        <v>4844</v>
      </c>
      <c r="G246" t="s">
        <v>4845</v>
      </c>
    </row>
    <row r="247" spans="1:7" x14ac:dyDescent="0.2">
      <c r="A247" t="s">
        <v>1367</v>
      </c>
      <c r="B247">
        <v>1</v>
      </c>
      <c r="C247" s="1152">
        <v>243</v>
      </c>
      <c r="D247">
        <v>33</v>
      </c>
      <c r="E247">
        <v>1</v>
      </c>
      <c r="F247" t="s">
        <v>4846</v>
      </c>
      <c r="G247" t="s">
        <v>4847</v>
      </c>
    </row>
    <row r="248" spans="1:7" x14ac:dyDescent="0.2">
      <c r="A248" t="s">
        <v>1367</v>
      </c>
      <c r="B248">
        <v>1</v>
      </c>
      <c r="C248" s="1152">
        <v>244</v>
      </c>
      <c r="D248">
        <v>33</v>
      </c>
      <c r="E248">
        <v>2</v>
      </c>
      <c r="F248" t="s">
        <v>4848</v>
      </c>
      <c r="G248" t="s">
        <v>4849</v>
      </c>
    </row>
    <row r="249" spans="1:7" x14ac:dyDescent="0.2">
      <c r="A249" t="s">
        <v>1367</v>
      </c>
      <c r="B249">
        <v>1</v>
      </c>
      <c r="C249" s="1152">
        <v>245</v>
      </c>
      <c r="D249">
        <v>34</v>
      </c>
      <c r="E249">
        <v>1</v>
      </c>
      <c r="F249" t="s">
        <v>4850</v>
      </c>
      <c r="G249" t="s">
        <v>4851</v>
      </c>
    </row>
    <row r="250" spans="1:7" x14ac:dyDescent="0.2">
      <c r="A250" t="s">
        <v>1367</v>
      </c>
      <c r="B250">
        <v>1</v>
      </c>
      <c r="C250" s="1152">
        <v>246</v>
      </c>
      <c r="D250">
        <v>34</v>
      </c>
      <c r="E250">
        <v>2</v>
      </c>
      <c r="F250" t="s">
        <v>4852</v>
      </c>
      <c r="G250" t="s">
        <v>4853</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1"/>
  <dimension ref="A1:E202"/>
  <sheetViews>
    <sheetView workbookViewId="0">
      <pane ySplit="4" topLeftCell="A89" activePane="bottomLeft" state="frozen"/>
      <selection activeCell="E42" sqref="E42"/>
      <selection pane="bottomLeft" activeCell="D91" sqref="D91"/>
    </sheetView>
  </sheetViews>
  <sheetFormatPr defaultRowHeight="12.75" x14ac:dyDescent="0.2"/>
  <cols>
    <col min="2" max="2" width="13.85546875" bestFit="1" customWidth="1"/>
    <col min="3" max="3" width="8.85546875" style="1152" bestFit="1" customWidth="1"/>
    <col min="4" max="4" width="12.5703125" bestFit="1" customWidth="1"/>
    <col min="5" max="5" width="41" bestFit="1" customWidth="1"/>
  </cols>
  <sheetData>
    <row r="1" spans="1:5" x14ac:dyDescent="0.2">
      <c r="A1" s="37" t="s">
        <v>7060</v>
      </c>
    </row>
    <row r="2" spans="1:5" x14ac:dyDescent="0.2">
      <c r="A2" s="37" t="s">
        <v>7061</v>
      </c>
    </row>
    <row r="3" spans="1:5" x14ac:dyDescent="0.2">
      <c r="A3" s="37" t="s">
        <v>7068</v>
      </c>
    </row>
    <row r="4" spans="1:5" x14ac:dyDescent="0.2">
      <c r="A4" t="s">
        <v>7063</v>
      </c>
      <c r="B4" t="s">
        <v>7069</v>
      </c>
      <c r="C4" s="163" t="s">
        <v>7070</v>
      </c>
      <c r="D4" t="s">
        <v>7071</v>
      </c>
      <c r="E4" t="s">
        <v>7072</v>
      </c>
    </row>
    <row r="5" spans="1:5" x14ac:dyDescent="0.2">
      <c r="A5" t="s">
        <v>1367</v>
      </c>
      <c r="B5">
        <v>1</v>
      </c>
      <c r="C5" s="1152">
        <v>1</v>
      </c>
      <c r="D5" t="s">
        <v>4265</v>
      </c>
      <c r="E5" t="s">
        <v>7073</v>
      </c>
    </row>
    <row r="6" spans="1:5" x14ac:dyDescent="0.2">
      <c r="A6" t="s">
        <v>1367</v>
      </c>
      <c r="B6">
        <v>1</v>
      </c>
      <c r="C6" s="1152">
        <v>2</v>
      </c>
      <c r="D6" t="s">
        <v>4266</v>
      </c>
      <c r="E6" t="s">
        <v>7074</v>
      </c>
    </row>
    <row r="7" spans="1:5" x14ac:dyDescent="0.2">
      <c r="A7" t="s">
        <v>1367</v>
      </c>
      <c r="B7">
        <v>1</v>
      </c>
      <c r="C7" s="1152">
        <v>3</v>
      </c>
      <c r="D7" t="s">
        <v>4267</v>
      </c>
      <c r="E7" t="s">
        <v>7075</v>
      </c>
    </row>
    <row r="8" spans="1:5" x14ac:dyDescent="0.2">
      <c r="A8" t="s">
        <v>1367</v>
      </c>
      <c r="B8">
        <v>1</v>
      </c>
      <c r="C8" s="1152">
        <v>4</v>
      </c>
      <c r="D8" t="s">
        <v>4268</v>
      </c>
      <c r="E8" t="s">
        <v>7076</v>
      </c>
    </row>
    <row r="9" spans="1:5" x14ac:dyDescent="0.2">
      <c r="A9" t="s">
        <v>1367</v>
      </c>
      <c r="B9">
        <v>1</v>
      </c>
      <c r="C9" s="1152">
        <v>5</v>
      </c>
      <c r="D9" t="s">
        <v>4269</v>
      </c>
      <c r="E9" t="s">
        <v>7077</v>
      </c>
    </row>
    <row r="10" spans="1:5" x14ac:dyDescent="0.2">
      <c r="A10" t="s">
        <v>1367</v>
      </c>
      <c r="B10">
        <v>1</v>
      </c>
      <c r="C10" s="1152">
        <v>6</v>
      </c>
      <c r="D10" t="s">
        <v>4270</v>
      </c>
      <c r="E10" t="s">
        <v>7078</v>
      </c>
    </row>
    <row r="11" spans="1:5" x14ac:dyDescent="0.2">
      <c r="A11" t="s">
        <v>1367</v>
      </c>
      <c r="B11">
        <v>1</v>
      </c>
      <c r="C11" s="1152">
        <v>7</v>
      </c>
      <c r="D11" t="s">
        <v>4271</v>
      </c>
      <c r="E11" t="s">
        <v>7079</v>
      </c>
    </row>
    <row r="12" spans="1:5" x14ac:dyDescent="0.2">
      <c r="A12" t="s">
        <v>1367</v>
      </c>
      <c r="B12">
        <v>1</v>
      </c>
      <c r="C12" s="1152">
        <v>8</v>
      </c>
      <c r="D12" t="s">
        <v>4272</v>
      </c>
      <c r="E12" t="s">
        <v>7080</v>
      </c>
    </row>
    <row r="13" spans="1:5" x14ac:dyDescent="0.2">
      <c r="A13" t="s">
        <v>1367</v>
      </c>
      <c r="B13">
        <v>1</v>
      </c>
      <c r="C13" s="1152">
        <v>9</v>
      </c>
      <c r="D13" t="s">
        <v>4273</v>
      </c>
      <c r="E13" t="s">
        <v>7081</v>
      </c>
    </row>
    <row r="14" spans="1:5" x14ac:dyDescent="0.2">
      <c r="A14" t="s">
        <v>1367</v>
      </c>
      <c r="B14">
        <v>1</v>
      </c>
      <c r="C14" s="1152">
        <v>10</v>
      </c>
      <c r="D14" t="s">
        <v>4274</v>
      </c>
      <c r="E14" t="s">
        <v>7082</v>
      </c>
    </row>
    <row r="15" spans="1:5" x14ac:dyDescent="0.2">
      <c r="A15" t="s">
        <v>1367</v>
      </c>
      <c r="B15">
        <v>1</v>
      </c>
      <c r="C15" s="1152">
        <v>11</v>
      </c>
      <c r="D15" t="s">
        <v>4275</v>
      </c>
      <c r="E15" t="s">
        <v>7083</v>
      </c>
    </row>
    <row r="16" spans="1:5" x14ac:dyDescent="0.2">
      <c r="A16" t="s">
        <v>1367</v>
      </c>
      <c r="B16">
        <v>1</v>
      </c>
      <c r="C16" s="1152">
        <v>12</v>
      </c>
      <c r="D16" t="s">
        <v>4276</v>
      </c>
      <c r="E16" t="s">
        <v>7084</v>
      </c>
    </row>
    <row r="17" spans="1:5" x14ac:dyDescent="0.2">
      <c r="A17" t="s">
        <v>1367</v>
      </c>
      <c r="B17">
        <v>1</v>
      </c>
      <c r="C17" s="1152">
        <v>13</v>
      </c>
      <c r="D17" t="s">
        <v>4277</v>
      </c>
      <c r="E17" t="s">
        <v>7085</v>
      </c>
    </row>
    <row r="18" spans="1:5" x14ac:dyDescent="0.2">
      <c r="A18" t="s">
        <v>1367</v>
      </c>
      <c r="B18">
        <v>1</v>
      </c>
      <c r="C18" s="1152">
        <v>14</v>
      </c>
      <c r="D18" t="s">
        <v>4278</v>
      </c>
      <c r="E18" t="s">
        <v>7086</v>
      </c>
    </row>
    <row r="19" spans="1:5" x14ac:dyDescent="0.2">
      <c r="A19" t="s">
        <v>1367</v>
      </c>
      <c r="B19">
        <v>1</v>
      </c>
      <c r="C19" s="1152">
        <v>15</v>
      </c>
      <c r="D19" t="s">
        <v>4279</v>
      </c>
      <c r="E19" t="s">
        <v>7087</v>
      </c>
    </row>
    <row r="20" spans="1:5" x14ac:dyDescent="0.2">
      <c r="A20" t="s">
        <v>1367</v>
      </c>
      <c r="B20">
        <v>1</v>
      </c>
      <c r="C20" s="1152">
        <v>16</v>
      </c>
      <c r="D20" t="s">
        <v>4280</v>
      </c>
      <c r="E20" t="s">
        <v>7088</v>
      </c>
    </row>
    <row r="21" spans="1:5" x14ac:dyDescent="0.2">
      <c r="A21" t="s">
        <v>1367</v>
      </c>
      <c r="B21">
        <v>1</v>
      </c>
      <c r="C21" s="1152">
        <v>17</v>
      </c>
      <c r="D21" t="s">
        <v>4281</v>
      </c>
      <c r="E21" t="s">
        <v>7089</v>
      </c>
    </row>
    <row r="22" spans="1:5" x14ac:dyDescent="0.2">
      <c r="A22" t="s">
        <v>1367</v>
      </c>
      <c r="B22">
        <v>1</v>
      </c>
      <c r="C22" s="1152">
        <v>18</v>
      </c>
      <c r="D22" t="s">
        <v>4282</v>
      </c>
      <c r="E22" t="s">
        <v>7090</v>
      </c>
    </row>
    <row r="23" spans="1:5" x14ac:dyDescent="0.2">
      <c r="A23" t="s">
        <v>1367</v>
      </c>
      <c r="B23">
        <v>1</v>
      </c>
      <c r="C23" s="1152">
        <v>19</v>
      </c>
      <c r="D23" t="s">
        <v>4283</v>
      </c>
      <c r="E23" t="s">
        <v>7091</v>
      </c>
    </row>
    <row r="24" spans="1:5" x14ac:dyDescent="0.2">
      <c r="A24" t="s">
        <v>1367</v>
      </c>
      <c r="B24">
        <v>1</v>
      </c>
      <c r="C24" s="1152">
        <v>20</v>
      </c>
      <c r="D24" t="s">
        <v>4284</v>
      </c>
      <c r="E24" t="s">
        <v>7092</v>
      </c>
    </row>
    <row r="25" spans="1:5" x14ac:dyDescent="0.2">
      <c r="A25" t="s">
        <v>1367</v>
      </c>
      <c r="B25">
        <v>1</v>
      </c>
      <c r="C25" s="1152">
        <v>21</v>
      </c>
      <c r="D25" t="s">
        <v>4285</v>
      </c>
      <c r="E25" t="s">
        <v>7093</v>
      </c>
    </row>
    <row r="26" spans="1:5" x14ac:dyDescent="0.2">
      <c r="A26" t="s">
        <v>1367</v>
      </c>
      <c r="B26">
        <v>1</v>
      </c>
      <c r="C26" s="1152">
        <v>22</v>
      </c>
      <c r="D26" t="s">
        <v>4286</v>
      </c>
      <c r="E26" t="s">
        <v>7094</v>
      </c>
    </row>
    <row r="27" spans="1:5" x14ac:dyDescent="0.2">
      <c r="A27" t="s">
        <v>1367</v>
      </c>
      <c r="B27">
        <v>1</v>
      </c>
      <c r="C27" s="1152">
        <v>23</v>
      </c>
      <c r="D27" t="s">
        <v>4287</v>
      </c>
      <c r="E27" t="s">
        <v>7095</v>
      </c>
    </row>
    <row r="28" spans="1:5" x14ac:dyDescent="0.2">
      <c r="A28" t="s">
        <v>1367</v>
      </c>
      <c r="B28">
        <v>1</v>
      </c>
      <c r="C28" s="1152">
        <v>24</v>
      </c>
      <c r="D28" t="s">
        <v>4288</v>
      </c>
      <c r="E28" t="s">
        <v>7096</v>
      </c>
    </row>
    <row r="29" spans="1:5" x14ac:dyDescent="0.2">
      <c r="A29" t="s">
        <v>1367</v>
      </c>
      <c r="B29">
        <v>1</v>
      </c>
      <c r="C29" s="1152">
        <v>25</v>
      </c>
      <c r="D29" t="s">
        <v>4289</v>
      </c>
      <c r="E29" t="s">
        <v>7097</v>
      </c>
    </row>
    <row r="30" spans="1:5" x14ac:dyDescent="0.2">
      <c r="A30" t="s">
        <v>1367</v>
      </c>
      <c r="B30">
        <v>1</v>
      </c>
      <c r="C30" s="1152">
        <v>26</v>
      </c>
      <c r="D30" t="s">
        <v>4290</v>
      </c>
      <c r="E30" t="s">
        <v>7098</v>
      </c>
    </row>
    <row r="31" spans="1:5" x14ac:dyDescent="0.2">
      <c r="A31" t="s">
        <v>1367</v>
      </c>
      <c r="B31">
        <v>1</v>
      </c>
      <c r="C31" s="1152">
        <v>27</v>
      </c>
      <c r="D31" t="s">
        <v>4291</v>
      </c>
      <c r="E31" t="s">
        <v>7099</v>
      </c>
    </row>
    <row r="32" spans="1:5" x14ac:dyDescent="0.2">
      <c r="A32" t="s">
        <v>1367</v>
      </c>
      <c r="B32">
        <v>1</v>
      </c>
      <c r="C32" s="1152">
        <v>28</v>
      </c>
      <c r="D32" t="s">
        <v>4292</v>
      </c>
      <c r="E32" t="s">
        <v>7100</v>
      </c>
    </row>
    <row r="33" spans="1:5" x14ac:dyDescent="0.2">
      <c r="A33" t="s">
        <v>1367</v>
      </c>
      <c r="B33">
        <v>1</v>
      </c>
      <c r="C33" s="1152">
        <v>29</v>
      </c>
      <c r="D33" t="s">
        <v>4293</v>
      </c>
      <c r="E33" t="s">
        <v>7101</v>
      </c>
    </row>
    <row r="34" spans="1:5" x14ac:dyDescent="0.2">
      <c r="A34" t="s">
        <v>1367</v>
      </c>
      <c r="B34">
        <v>1</v>
      </c>
      <c r="C34" s="1152">
        <v>30</v>
      </c>
      <c r="D34" t="s">
        <v>4294</v>
      </c>
      <c r="E34" t="s">
        <v>7102</v>
      </c>
    </row>
    <row r="35" spans="1:5" x14ac:dyDescent="0.2">
      <c r="A35" t="s">
        <v>1367</v>
      </c>
      <c r="B35">
        <v>1</v>
      </c>
      <c r="C35" s="1152">
        <v>31</v>
      </c>
      <c r="D35" t="s">
        <v>4295</v>
      </c>
      <c r="E35" t="s">
        <v>7103</v>
      </c>
    </row>
    <row r="36" spans="1:5" x14ac:dyDescent="0.2">
      <c r="A36" t="s">
        <v>1367</v>
      </c>
      <c r="B36">
        <v>1</v>
      </c>
      <c r="C36" s="1152">
        <v>32</v>
      </c>
      <c r="D36" t="s">
        <v>4296</v>
      </c>
      <c r="E36" t="s">
        <v>7104</v>
      </c>
    </row>
    <row r="37" spans="1:5" x14ac:dyDescent="0.2">
      <c r="A37" t="s">
        <v>1367</v>
      </c>
      <c r="B37">
        <v>1</v>
      </c>
      <c r="C37" s="1152">
        <v>33</v>
      </c>
      <c r="D37" t="s">
        <v>4297</v>
      </c>
      <c r="E37" t="s">
        <v>7105</v>
      </c>
    </row>
    <row r="38" spans="1:5" x14ac:dyDescent="0.2">
      <c r="A38" t="s">
        <v>1367</v>
      </c>
      <c r="B38">
        <v>1</v>
      </c>
      <c r="C38" s="1152">
        <v>34</v>
      </c>
      <c r="D38" t="s">
        <v>4298</v>
      </c>
      <c r="E38" t="s">
        <v>7106</v>
      </c>
    </row>
    <row r="39" spans="1:5" x14ac:dyDescent="0.2">
      <c r="A39" t="s">
        <v>1367</v>
      </c>
      <c r="B39">
        <v>1</v>
      </c>
      <c r="C39" s="1152">
        <v>35</v>
      </c>
      <c r="D39" t="s">
        <v>4299</v>
      </c>
      <c r="E39" t="s">
        <v>7107</v>
      </c>
    </row>
    <row r="40" spans="1:5" x14ac:dyDescent="0.2">
      <c r="A40" t="s">
        <v>1367</v>
      </c>
      <c r="B40">
        <v>1</v>
      </c>
      <c r="C40" s="1152">
        <v>36</v>
      </c>
      <c r="D40" t="s">
        <v>4300</v>
      </c>
      <c r="E40" t="s">
        <v>7108</v>
      </c>
    </row>
    <row r="41" spans="1:5" x14ac:dyDescent="0.2">
      <c r="A41" t="s">
        <v>1367</v>
      </c>
      <c r="B41">
        <v>1</v>
      </c>
      <c r="C41" s="1152">
        <v>37</v>
      </c>
      <c r="D41" t="s">
        <v>4301</v>
      </c>
      <c r="E41" t="s">
        <v>7109</v>
      </c>
    </row>
    <row r="42" spans="1:5" x14ac:dyDescent="0.2">
      <c r="A42" t="s">
        <v>1367</v>
      </c>
      <c r="B42">
        <v>1</v>
      </c>
      <c r="C42" s="1152">
        <v>38</v>
      </c>
      <c r="D42" t="s">
        <v>4302</v>
      </c>
      <c r="E42" t="s">
        <v>7110</v>
      </c>
    </row>
    <row r="43" spans="1:5" x14ac:dyDescent="0.2">
      <c r="A43" t="s">
        <v>1367</v>
      </c>
      <c r="B43">
        <v>1</v>
      </c>
      <c r="C43" s="1152">
        <v>39</v>
      </c>
      <c r="D43" t="s">
        <v>4303</v>
      </c>
      <c r="E43" t="s">
        <v>7111</v>
      </c>
    </row>
    <row r="44" spans="1:5" x14ac:dyDescent="0.2">
      <c r="A44" t="s">
        <v>1367</v>
      </c>
      <c r="B44">
        <v>1</v>
      </c>
      <c r="C44" s="1152">
        <v>40</v>
      </c>
      <c r="D44" t="s">
        <v>4304</v>
      </c>
      <c r="E44" t="s">
        <v>7112</v>
      </c>
    </row>
    <row r="45" spans="1:5" x14ac:dyDescent="0.2">
      <c r="A45" t="s">
        <v>1367</v>
      </c>
      <c r="B45">
        <v>1</v>
      </c>
      <c r="C45" s="1152">
        <v>41</v>
      </c>
      <c r="D45" t="s">
        <v>4305</v>
      </c>
      <c r="E45" t="s">
        <v>7113</v>
      </c>
    </row>
    <row r="46" spans="1:5" x14ac:dyDescent="0.2">
      <c r="A46" t="s">
        <v>1367</v>
      </c>
      <c r="B46">
        <v>1</v>
      </c>
      <c r="C46" s="1152">
        <v>42</v>
      </c>
      <c r="D46" t="s">
        <v>4306</v>
      </c>
      <c r="E46" t="s">
        <v>7114</v>
      </c>
    </row>
    <row r="47" spans="1:5" x14ac:dyDescent="0.2">
      <c r="A47" t="s">
        <v>1367</v>
      </c>
      <c r="B47">
        <v>1</v>
      </c>
      <c r="C47" s="1152">
        <v>43</v>
      </c>
      <c r="D47" t="s">
        <v>4307</v>
      </c>
      <c r="E47" t="s">
        <v>7115</v>
      </c>
    </row>
    <row r="48" spans="1:5" x14ac:dyDescent="0.2">
      <c r="A48" t="s">
        <v>1367</v>
      </c>
      <c r="B48">
        <v>1</v>
      </c>
      <c r="C48" s="1152">
        <v>44</v>
      </c>
      <c r="D48" t="s">
        <v>4308</v>
      </c>
      <c r="E48" t="s">
        <v>7116</v>
      </c>
    </row>
    <row r="49" spans="1:5" x14ac:dyDescent="0.2">
      <c r="A49" t="s">
        <v>1367</v>
      </c>
      <c r="B49">
        <v>1</v>
      </c>
      <c r="C49" s="1152">
        <v>45</v>
      </c>
      <c r="D49" t="s">
        <v>4309</v>
      </c>
      <c r="E49" t="s">
        <v>7117</v>
      </c>
    </row>
    <row r="50" spans="1:5" x14ac:dyDescent="0.2">
      <c r="A50" t="s">
        <v>1367</v>
      </c>
      <c r="B50">
        <v>1</v>
      </c>
      <c r="C50" s="1152">
        <v>46</v>
      </c>
      <c r="D50" t="s">
        <v>4310</v>
      </c>
      <c r="E50" t="s">
        <v>7118</v>
      </c>
    </row>
    <row r="51" spans="1:5" x14ac:dyDescent="0.2">
      <c r="A51" t="s">
        <v>1367</v>
      </c>
      <c r="B51">
        <v>1</v>
      </c>
      <c r="C51" s="1152">
        <v>47</v>
      </c>
      <c r="D51" t="s">
        <v>4311</v>
      </c>
      <c r="E51" t="s">
        <v>7119</v>
      </c>
    </row>
    <row r="52" spans="1:5" x14ac:dyDescent="0.2">
      <c r="A52" t="s">
        <v>1367</v>
      </c>
      <c r="B52">
        <v>1</v>
      </c>
      <c r="C52" s="1152">
        <v>48</v>
      </c>
      <c r="D52" t="s">
        <v>4312</v>
      </c>
      <c r="E52" t="s">
        <v>7120</v>
      </c>
    </row>
    <row r="53" spans="1:5" x14ac:dyDescent="0.2">
      <c r="A53" t="s">
        <v>1367</v>
      </c>
      <c r="B53">
        <v>1</v>
      </c>
      <c r="C53" s="1152">
        <v>49</v>
      </c>
      <c r="D53" t="s">
        <v>4313</v>
      </c>
      <c r="E53" t="s">
        <v>7121</v>
      </c>
    </row>
    <row r="54" spans="1:5" x14ac:dyDescent="0.2">
      <c r="A54" t="s">
        <v>1367</v>
      </c>
      <c r="B54">
        <v>1</v>
      </c>
      <c r="C54" s="1152">
        <v>50</v>
      </c>
      <c r="D54" t="s">
        <v>4314</v>
      </c>
      <c r="E54" t="s">
        <v>7122</v>
      </c>
    </row>
    <row r="55" spans="1:5" x14ac:dyDescent="0.2">
      <c r="A55" t="s">
        <v>1367</v>
      </c>
      <c r="B55">
        <v>1</v>
      </c>
      <c r="C55" s="1152">
        <v>51</v>
      </c>
      <c r="D55" t="s">
        <v>4315</v>
      </c>
      <c r="E55" t="s">
        <v>7123</v>
      </c>
    </row>
    <row r="56" spans="1:5" x14ac:dyDescent="0.2">
      <c r="A56" t="s">
        <v>1367</v>
      </c>
      <c r="B56">
        <v>1</v>
      </c>
      <c r="C56" s="1152">
        <v>52</v>
      </c>
      <c r="D56" t="s">
        <v>4316</v>
      </c>
      <c r="E56" t="s">
        <v>7124</v>
      </c>
    </row>
    <row r="57" spans="1:5" x14ac:dyDescent="0.2">
      <c r="A57" t="s">
        <v>1367</v>
      </c>
      <c r="B57">
        <v>1</v>
      </c>
      <c r="C57" s="1152">
        <v>53</v>
      </c>
      <c r="D57" t="s">
        <v>4317</v>
      </c>
      <c r="E57" t="s">
        <v>7125</v>
      </c>
    </row>
    <row r="58" spans="1:5" x14ac:dyDescent="0.2">
      <c r="A58" t="s">
        <v>1367</v>
      </c>
      <c r="B58">
        <v>1</v>
      </c>
      <c r="C58" s="1152">
        <v>54</v>
      </c>
      <c r="D58" t="s">
        <v>4318</v>
      </c>
      <c r="E58" t="s">
        <v>7126</v>
      </c>
    </row>
    <row r="59" spans="1:5" x14ac:dyDescent="0.2">
      <c r="A59" t="s">
        <v>1367</v>
      </c>
      <c r="B59">
        <v>1</v>
      </c>
      <c r="C59" s="1152">
        <v>55</v>
      </c>
      <c r="D59" t="s">
        <v>4319</v>
      </c>
      <c r="E59" t="s">
        <v>7127</v>
      </c>
    </row>
    <row r="60" spans="1:5" x14ac:dyDescent="0.2">
      <c r="A60" t="s">
        <v>1367</v>
      </c>
      <c r="B60">
        <v>1</v>
      </c>
      <c r="C60" s="1152">
        <v>56</v>
      </c>
      <c r="D60" t="s">
        <v>4320</v>
      </c>
      <c r="E60" t="s">
        <v>7128</v>
      </c>
    </row>
    <row r="61" spans="1:5" x14ac:dyDescent="0.2">
      <c r="A61" t="s">
        <v>1367</v>
      </c>
      <c r="B61">
        <v>1</v>
      </c>
      <c r="C61" s="1152">
        <v>57</v>
      </c>
      <c r="D61" t="s">
        <v>4321</v>
      </c>
      <c r="E61" t="s">
        <v>7129</v>
      </c>
    </row>
    <row r="62" spans="1:5" x14ac:dyDescent="0.2">
      <c r="A62" t="s">
        <v>1367</v>
      </c>
      <c r="B62">
        <v>1</v>
      </c>
      <c r="C62" s="1152">
        <v>58</v>
      </c>
      <c r="D62" t="s">
        <v>4322</v>
      </c>
      <c r="E62" t="s">
        <v>7130</v>
      </c>
    </row>
    <row r="63" spans="1:5" x14ac:dyDescent="0.2">
      <c r="A63" t="s">
        <v>1367</v>
      </c>
      <c r="B63">
        <v>1</v>
      </c>
      <c r="C63" s="1152">
        <v>59</v>
      </c>
      <c r="D63" t="s">
        <v>4323</v>
      </c>
      <c r="E63" t="s">
        <v>7131</v>
      </c>
    </row>
    <row r="64" spans="1:5" x14ac:dyDescent="0.2">
      <c r="A64" t="s">
        <v>1367</v>
      </c>
      <c r="B64">
        <v>1</v>
      </c>
      <c r="C64" s="1152">
        <v>60</v>
      </c>
      <c r="D64" t="s">
        <v>4324</v>
      </c>
      <c r="E64" t="s">
        <v>7132</v>
      </c>
    </row>
    <row r="65" spans="1:5" x14ac:dyDescent="0.2">
      <c r="A65" t="s">
        <v>1367</v>
      </c>
      <c r="B65">
        <v>1</v>
      </c>
      <c r="C65" s="1152">
        <v>61</v>
      </c>
      <c r="D65" t="s">
        <v>4325</v>
      </c>
      <c r="E65" t="s">
        <v>7133</v>
      </c>
    </row>
    <row r="66" spans="1:5" x14ac:dyDescent="0.2">
      <c r="A66" t="s">
        <v>1367</v>
      </c>
      <c r="B66">
        <v>1</v>
      </c>
      <c r="C66" s="1152">
        <v>62</v>
      </c>
      <c r="D66" t="s">
        <v>4326</v>
      </c>
      <c r="E66" t="s">
        <v>7134</v>
      </c>
    </row>
    <row r="67" spans="1:5" x14ac:dyDescent="0.2">
      <c r="A67" t="s">
        <v>1367</v>
      </c>
      <c r="B67">
        <v>1</v>
      </c>
      <c r="C67" s="1152">
        <v>63</v>
      </c>
      <c r="D67" t="s">
        <v>4327</v>
      </c>
      <c r="E67" t="s">
        <v>7135</v>
      </c>
    </row>
    <row r="68" spans="1:5" x14ac:dyDescent="0.2">
      <c r="A68" t="s">
        <v>1367</v>
      </c>
      <c r="B68">
        <v>1</v>
      </c>
      <c r="C68" s="1152">
        <v>64</v>
      </c>
      <c r="D68" t="s">
        <v>4328</v>
      </c>
      <c r="E68" t="s">
        <v>7136</v>
      </c>
    </row>
    <row r="69" spans="1:5" x14ac:dyDescent="0.2">
      <c r="A69" t="s">
        <v>1367</v>
      </c>
      <c r="B69">
        <v>1</v>
      </c>
      <c r="C69" s="1152">
        <v>65</v>
      </c>
      <c r="D69" t="s">
        <v>4329</v>
      </c>
      <c r="E69" t="s">
        <v>7137</v>
      </c>
    </row>
    <row r="70" spans="1:5" x14ac:dyDescent="0.2">
      <c r="A70" t="s">
        <v>1367</v>
      </c>
      <c r="B70">
        <v>1</v>
      </c>
      <c r="C70" s="1152">
        <v>66</v>
      </c>
      <c r="D70" t="s">
        <v>4330</v>
      </c>
      <c r="E70" t="s">
        <v>7138</v>
      </c>
    </row>
    <row r="71" spans="1:5" x14ac:dyDescent="0.2">
      <c r="A71" t="s">
        <v>1367</v>
      </c>
      <c r="B71">
        <v>1</v>
      </c>
      <c r="C71" s="1152">
        <v>67</v>
      </c>
      <c r="D71" t="s">
        <v>4331</v>
      </c>
      <c r="E71" t="s">
        <v>7139</v>
      </c>
    </row>
    <row r="72" spans="1:5" x14ac:dyDescent="0.2">
      <c r="A72" t="s">
        <v>1367</v>
      </c>
      <c r="B72">
        <v>1</v>
      </c>
      <c r="C72" s="1152">
        <v>68</v>
      </c>
      <c r="D72" t="s">
        <v>4332</v>
      </c>
      <c r="E72" t="s">
        <v>7140</v>
      </c>
    </row>
    <row r="73" spans="1:5" x14ac:dyDescent="0.2">
      <c r="A73" t="s">
        <v>1367</v>
      </c>
      <c r="B73">
        <v>1</v>
      </c>
      <c r="C73" s="1152">
        <v>69</v>
      </c>
      <c r="D73" t="s">
        <v>4333</v>
      </c>
      <c r="E73" t="s">
        <v>7141</v>
      </c>
    </row>
    <row r="74" spans="1:5" x14ac:dyDescent="0.2">
      <c r="A74" t="s">
        <v>1367</v>
      </c>
      <c r="B74">
        <v>1</v>
      </c>
      <c r="C74" s="1152">
        <v>70</v>
      </c>
      <c r="D74" t="s">
        <v>4334</v>
      </c>
      <c r="E74" s="180" t="s">
        <v>7142</v>
      </c>
    </row>
    <row r="75" spans="1:5" x14ac:dyDescent="0.2">
      <c r="A75" t="s">
        <v>1367</v>
      </c>
      <c r="B75">
        <v>1</v>
      </c>
      <c r="C75" s="1152">
        <v>71</v>
      </c>
      <c r="D75" t="s">
        <v>4335</v>
      </c>
      <c r="E75" t="s">
        <v>7143</v>
      </c>
    </row>
    <row r="76" spans="1:5" x14ac:dyDescent="0.2">
      <c r="A76" t="s">
        <v>1367</v>
      </c>
      <c r="B76">
        <v>1</v>
      </c>
      <c r="C76" s="1152">
        <v>72</v>
      </c>
      <c r="D76" t="s">
        <v>4336</v>
      </c>
      <c r="E76" t="s">
        <v>7144</v>
      </c>
    </row>
    <row r="77" spans="1:5" x14ac:dyDescent="0.2">
      <c r="A77" t="s">
        <v>1367</v>
      </c>
      <c r="B77">
        <v>1</v>
      </c>
      <c r="C77" s="1152">
        <v>73</v>
      </c>
      <c r="D77" t="s">
        <v>4337</v>
      </c>
      <c r="E77" t="s">
        <v>7145</v>
      </c>
    </row>
    <row r="78" spans="1:5" x14ac:dyDescent="0.2">
      <c r="A78" t="s">
        <v>1367</v>
      </c>
      <c r="B78">
        <v>1</v>
      </c>
      <c r="C78" s="1152">
        <v>74</v>
      </c>
      <c r="D78" t="s">
        <v>4338</v>
      </c>
      <c r="E78" t="s">
        <v>7146</v>
      </c>
    </row>
    <row r="79" spans="1:5" x14ac:dyDescent="0.2">
      <c r="A79" t="s">
        <v>1367</v>
      </c>
      <c r="B79">
        <v>1</v>
      </c>
      <c r="C79" s="1152">
        <v>75</v>
      </c>
      <c r="D79" t="s">
        <v>4339</v>
      </c>
      <c r="E79" t="s">
        <v>7147</v>
      </c>
    </row>
    <row r="80" spans="1:5" x14ac:dyDescent="0.2">
      <c r="A80" t="s">
        <v>1367</v>
      </c>
      <c r="B80">
        <v>1</v>
      </c>
      <c r="C80" s="1152">
        <v>76</v>
      </c>
      <c r="D80" t="s">
        <v>4340</v>
      </c>
      <c r="E80" t="s">
        <v>7148</v>
      </c>
    </row>
    <row r="81" spans="1:5" x14ac:dyDescent="0.2">
      <c r="A81" t="s">
        <v>1367</v>
      </c>
      <c r="B81">
        <v>1</v>
      </c>
      <c r="C81" s="1152">
        <v>77</v>
      </c>
      <c r="D81" t="s">
        <v>4341</v>
      </c>
      <c r="E81" t="s">
        <v>7149</v>
      </c>
    </row>
    <row r="82" spans="1:5" x14ac:dyDescent="0.2">
      <c r="A82" t="s">
        <v>1367</v>
      </c>
      <c r="B82">
        <v>1</v>
      </c>
      <c r="C82" s="1152">
        <v>78</v>
      </c>
      <c r="D82" t="s">
        <v>4342</v>
      </c>
      <c r="E82" t="s">
        <v>7150</v>
      </c>
    </row>
    <row r="83" spans="1:5" x14ac:dyDescent="0.2">
      <c r="A83" t="s">
        <v>1367</v>
      </c>
      <c r="B83">
        <v>1</v>
      </c>
      <c r="C83" s="1152">
        <v>79</v>
      </c>
      <c r="D83" t="s">
        <v>4343</v>
      </c>
      <c r="E83" t="s">
        <v>7151</v>
      </c>
    </row>
    <row r="84" spans="1:5" x14ac:dyDescent="0.2">
      <c r="A84" t="s">
        <v>1367</v>
      </c>
      <c r="B84">
        <v>1</v>
      </c>
      <c r="C84" s="1152">
        <v>80</v>
      </c>
      <c r="D84" t="s">
        <v>1728</v>
      </c>
      <c r="E84" t="s">
        <v>7152</v>
      </c>
    </row>
    <row r="85" spans="1:5" x14ac:dyDescent="0.2">
      <c r="A85" t="s">
        <v>1367</v>
      </c>
      <c r="B85">
        <v>1</v>
      </c>
      <c r="C85" s="1152">
        <v>81</v>
      </c>
      <c r="D85" t="s">
        <v>1730</v>
      </c>
      <c r="E85" t="s">
        <v>7153</v>
      </c>
    </row>
    <row r="86" spans="1:5" x14ac:dyDescent="0.2">
      <c r="A86" t="s">
        <v>1367</v>
      </c>
      <c r="B86">
        <v>1</v>
      </c>
      <c r="C86" s="1152">
        <v>82</v>
      </c>
      <c r="D86" t="s">
        <v>1733</v>
      </c>
      <c r="E86" t="s">
        <v>7154</v>
      </c>
    </row>
    <row r="87" spans="1:5" x14ac:dyDescent="0.2">
      <c r="A87" t="s">
        <v>1367</v>
      </c>
      <c r="B87">
        <v>1</v>
      </c>
      <c r="C87" s="1152">
        <v>83</v>
      </c>
      <c r="D87" t="s">
        <v>1738</v>
      </c>
      <c r="E87" t="s">
        <v>7155</v>
      </c>
    </row>
    <row r="88" spans="1:5" x14ac:dyDescent="0.2">
      <c r="A88" t="s">
        <v>1367</v>
      </c>
      <c r="B88">
        <v>1</v>
      </c>
      <c r="C88" s="1152">
        <v>84</v>
      </c>
      <c r="D88" t="s">
        <v>1744</v>
      </c>
      <c r="E88" t="s">
        <v>7156</v>
      </c>
    </row>
    <row r="89" spans="1:5" x14ac:dyDescent="0.2">
      <c r="A89" t="s">
        <v>1367</v>
      </c>
      <c r="B89">
        <v>1</v>
      </c>
      <c r="C89" s="1152">
        <v>85</v>
      </c>
      <c r="D89" t="s">
        <v>1747</v>
      </c>
      <c r="E89" t="s">
        <v>7157</v>
      </c>
    </row>
    <row r="90" spans="1:5" x14ac:dyDescent="0.2">
      <c r="A90" t="s">
        <v>1367</v>
      </c>
      <c r="B90">
        <v>1</v>
      </c>
      <c r="C90" s="1152">
        <v>86</v>
      </c>
      <c r="D90" t="s">
        <v>1751</v>
      </c>
      <c r="E90" t="s">
        <v>7158</v>
      </c>
    </row>
    <row r="91" spans="1:5" x14ac:dyDescent="0.2">
      <c r="A91" t="s">
        <v>1367</v>
      </c>
      <c r="B91">
        <v>1</v>
      </c>
      <c r="C91" s="1152">
        <v>87</v>
      </c>
      <c r="D91" t="s">
        <v>1755</v>
      </c>
      <c r="E91" t="s">
        <v>7159</v>
      </c>
    </row>
    <row r="92" spans="1:5" x14ac:dyDescent="0.2">
      <c r="A92" t="s">
        <v>1367</v>
      </c>
      <c r="B92">
        <v>1</v>
      </c>
      <c r="C92" s="1152">
        <v>88</v>
      </c>
      <c r="D92" t="s">
        <v>1757</v>
      </c>
      <c r="E92" t="s">
        <v>7160</v>
      </c>
    </row>
    <row r="93" spans="1:5" x14ac:dyDescent="0.2">
      <c r="A93" t="s">
        <v>1367</v>
      </c>
      <c r="B93">
        <v>1</v>
      </c>
      <c r="C93" s="1152">
        <v>89</v>
      </c>
      <c r="D93" t="s">
        <v>1761</v>
      </c>
      <c r="E93" t="s">
        <v>7161</v>
      </c>
    </row>
    <row r="94" spans="1:5" x14ac:dyDescent="0.2">
      <c r="A94" t="s">
        <v>1367</v>
      </c>
      <c r="B94">
        <v>1</v>
      </c>
      <c r="C94" s="1152">
        <v>90</v>
      </c>
      <c r="D94" t="s">
        <v>1764</v>
      </c>
      <c r="E94" t="s">
        <v>7162</v>
      </c>
    </row>
    <row r="95" spans="1:5" x14ac:dyDescent="0.2">
      <c r="A95" t="s">
        <v>1367</v>
      </c>
      <c r="B95">
        <v>1</v>
      </c>
      <c r="C95" s="1152">
        <v>91</v>
      </c>
      <c r="D95" t="s">
        <v>1770</v>
      </c>
      <c r="E95" t="s">
        <v>7163</v>
      </c>
    </row>
    <row r="96" spans="1:5" x14ac:dyDescent="0.2">
      <c r="A96" t="s">
        <v>1367</v>
      </c>
      <c r="B96">
        <v>1</v>
      </c>
      <c r="C96" s="1152">
        <v>92</v>
      </c>
      <c r="D96" t="s">
        <v>1772</v>
      </c>
      <c r="E96" t="s">
        <v>7164</v>
      </c>
    </row>
    <row r="97" spans="1:5" x14ac:dyDescent="0.2">
      <c r="A97" t="s">
        <v>1367</v>
      </c>
      <c r="B97">
        <v>1</v>
      </c>
      <c r="C97" s="1152">
        <v>93</v>
      </c>
      <c r="D97" t="s">
        <v>1774</v>
      </c>
      <c r="E97" t="s">
        <v>7165</v>
      </c>
    </row>
    <row r="98" spans="1:5" x14ac:dyDescent="0.2">
      <c r="A98" t="s">
        <v>1367</v>
      </c>
      <c r="B98">
        <v>1</v>
      </c>
      <c r="C98" s="1152">
        <v>94</v>
      </c>
      <c r="D98" t="s">
        <v>1777</v>
      </c>
      <c r="E98" t="s">
        <v>7166</v>
      </c>
    </row>
    <row r="99" spans="1:5" x14ac:dyDescent="0.2">
      <c r="A99" t="s">
        <v>1367</v>
      </c>
      <c r="B99">
        <v>1</v>
      </c>
      <c r="C99" s="1152">
        <v>95</v>
      </c>
      <c r="D99" t="s">
        <v>1782</v>
      </c>
      <c r="E99" t="s">
        <v>7167</v>
      </c>
    </row>
    <row r="100" spans="1:5" x14ac:dyDescent="0.2">
      <c r="A100" t="s">
        <v>1367</v>
      </c>
      <c r="B100">
        <v>1</v>
      </c>
      <c r="C100" s="1152">
        <v>96</v>
      </c>
      <c r="D100" t="s">
        <v>1274</v>
      </c>
      <c r="E100" t="s">
        <v>7168</v>
      </c>
    </row>
    <row r="101" spans="1:5" x14ac:dyDescent="0.2">
      <c r="A101" t="s">
        <v>1367</v>
      </c>
      <c r="B101">
        <v>1</v>
      </c>
      <c r="C101" s="1152">
        <v>97</v>
      </c>
      <c r="D101" t="s">
        <v>1277</v>
      </c>
      <c r="E101" t="s">
        <v>7169</v>
      </c>
    </row>
    <row r="102" spans="1:5" x14ac:dyDescent="0.2">
      <c r="A102" t="s">
        <v>1367</v>
      </c>
      <c r="B102">
        <v>1</v>
      </c>
      <c r="C102" s="1152">
        <v>98</v>
      </c>
      <c r="D102" t="s">
        <v>1798</v>
      </c>
      <c r="E102" t="s">
        <v>1278</v>
      </c>
    </row>
    <row r="103" spans="1:5" x14ac:dyDescent="0.2">
      <c r="A103" t="s">
        <v>1367</v>
      </c>
      <c r="B103">
        <v>1</v>
      </c>
      <c r="C103" s="1152">
        <v>99</v>
      </c>
      <c r="D103" t="s">
        <v>1803</v>
      </c>
      <c r="E103" t="s">
        <v>7170</v>
      </c>
    </row>
    <row r="104" spans="1:5" x14ac:dyDescent="0.2">
      <c r="A104" t="s">
        <v>1367</v>
      </c>
      <c r="B104">
        <v>1</v>
      </c>
      <c r="C104" s="1152">
        <v>100</v>
      </c>
      <c r="D104" t="s">
        <v>1808</v>
      </c>
      <c r="E104" t="s">
        <v>7171</v>
      </c>
    </row>
    <row r="105" spans="1:5" x14ac:dyDescent="0.2">
      <c r="A105" t="s">
        <v>1367</v>
      </c>
      <c r="B105">
        <v>1</v>
      </c>
      <c r="C105" s="1152">
        <v>101</v>
      </c>
      <c r="D105" t="s">
        <v>1813</v>
      </c>
      <c r="E105" t="s">
        <v>7172</v>
      </c>
    </row>
    <row r="106" spans="1:5" x14ac:dyDescent="0.2">
      <c r="A106" t="s">
        <v>1367</v>
      </c>
      <c r="B106">
        <v>1</v>
      </c>
      <c r="C106" s="1152">
        <v>102</v>
      </c>
      <c r="D106" t="s">
        <v>1819</v>
      </c>
      <c r="E106" t="s">
        <v>7173</v>
      </c>
    </row>
    <row r="107" spans="1:5" x14ac:dyDescent="0.2">
      <c r="A107" t="s">
        <v>1367</v>
      </c>
      <c r="B107">
        <v>1</v>
      </c>
      <c r="C107" s="1152">
        <v>103</v>
      </c>
      <c r="D107" t="s">
        <v>1826</v>
      </c>
      <c r="E107" t="s">
        <v>7174</v>
      </c>
    </row>
    <row r="108" spans="1:5" x14ac:dyDescent="0.2">
      <c r="A108" t="s">
        <v>1367</v>
      </c>
      <c r="B108">
        <v>1</v>
      </c>
      <c r="C108" s="1152">
        <v>104</v>
      </c>
      <c r="D108" t="s">
        <v>1830</v>
      </c>
      <c r="E108" t="s">
        <v>7175</v>
      </c>
    </row>
    <row r="109" spans="1:5" x14ac:dyDescent="0.2">
      <c r="A109" t="s">
        <v>1367</v>
      </c>
      <c r="B109">
        <v>1</v>
      </c>
      <c r="C109" s="1152">
        <v>105</v>
      </c>
      <c r="D109" t="s">
        <v>1836</v>
      </c>
      <c r="E109" t="s">
        <v>7176</v>
      </c>
    </row>
    <row r="110" spans="1:5" x14ac:dyDescent="0.2">
      <c r="A110" t="s">
        <v>1367</v>
      </c>
      <c r="B110">
        <v>1</v>
      </c>
      <c r="C110" s="1152">
        <v>106</v>
      </c>
      <c r="D110" t="s">
        <v>1841</v>
      </c>
      <c r="E110" t="s">
        <v>7177</v>
      </c>
    </row>
    <row r="111" spans="1:5" x14ac:dyDescent="0.2">
      <c r="A111" t="s">
        <v>1367</v>
      </c>
      <c r="B111">
        <v>1</v>
      </c>
      <c r="C111" s="1152">
        <v>107</v>
      </c>
      <c r="D111" t="s">
        <v>1842</v>
      </c>
      <c r="E111" t="s">
        <v>7178</v>
      </c>
    </row>
    <row r="112" spans="1:5" x14ac:dyDescent="0.2">
      <c r="A112" t="s">
        <v>1367</v>
      </c>
      <c r="B112">
        <v>1</v>
      </c>
      <c r="C112" s="1152">
        <v>108</v>
      </c>
      <c r="D112" t="s">
        <v>1843</v>
      </c>
      <c r="E112" t="s">
        <v>7179</v>
      </c>
    </row>
    <row r="113" spans="1:5" x14ac:dyDescent="0.2">
      <c r="A113" t="s">
        <v>1367</v>
      </c>
      <c r="B113">
        <v>1</v>
      </c>
      <c r="C113" s="1152">
        <v>109</v>
      </c>
      <c r="D113" t="s">
        <v>1846</v>
      </c>
      <c r="E113" t="s">
        <v>7180</v>
      </c>
    </row>
    <row r="114" spans="1:5" x14ac:dyDescent="0.2">
      <c r="A114" t="s">
        <v>1367</v>
      </c>
      <c r="B114">
        <v>1</v>
      </c>
      <c r="C114" s="1152">
        <v>110</v>
      </c>
      <c r="D114" t="s">
        <v>1851</v>
      </c>
      <c r="E114" t="s">
        <v>7181</v>
      </c>
    </row>
    <row r="115" spans="1:5" x14ac:dyDescent="0.2">
      <c r="A115" t="s">
        <v>1367</v>
      </c>
      <c r="B115">
        <v>1</v>
      </c>
      <c r="C115" s="1152">
        <v>111</v>
      </c>
      <c r="D115" s="180" t="s">
        <v>1857</v>
      </c>
      <c r="E115" t="s">
        <v>7182</v>
      </c>
    </row>
    <row r="116" spans="1:5" x14ac:dyDescent="0.2">
      <c r="A116" t="s">
        <v>1367</v>
      </c>
      <c r="B116">
        <v>1</v>
      </c>
      <c r="C116" s="1152">
        <v>112</v>
      </c>
      <c r="D116" t="s">
        <v>1862</v>
      </c>
      <c r="E116" t="s">
        <v>7183</v>
      </c>
    </row>
    <row r="117" spans="1:5" x14ac:dyDescent="0.2">
      <c r="A117" t="s">
        <v>1367</v>
      </c>
      <c r="B117">
        <v>1</v>
      </c>
      <c r="C117" s="1152">
        <v>113</v>
      </c>
      <c r="D117" t="s">
        <v>1867</v>
      </c>
      <c r="E117" t="s">
        <v>7184</v>
      </c>
    </row>
    <row r="118" spans="1:5" x14ac:dyDescent="0.2">
      <c r="A118" t="s">
        <v>1367</v>
      </c>
      <c r="B118">
        <v>1</v>
      </c>
      <c r="C118" s="1152">
        <v>114</v>
      </c>
      <c r="D118" t="s">
        <v>1870</v>
      </c>
      <c r="E118" t="s">
        <v>7185</v>
      </c>
    </row>
    <row r="119" spans="1:5" x14ac:dyDescent="0.2">
      <c r="A119" t="s">
        <v>1367</v>
      </c>
      <c r="B119">
        <v>1</v>
      </c>
      <c r="C119" s="1152">
        <v>115</v>
      </c>
      <c r="D119" t="s">
        <v>1874</v>
      </c>
      <c r="E119" t="s">
        <v>7186</v>
      </c>
    </row>
    <row r="120" spans="1:5" x14ac:dyDescent="0.2">
      <c r="A120" t="s">
        <v>1367</v>
      </c>
      <c r="B120">
        <v>1</v>
      </c>
      <c r="C120" s="1152">
        <v>116</v>
      </c>
      <c r="D120" t="s">
        <v>1876</v>
      </c>
      <c r="E120" t="s">
        <v>7187</v>
      </c>
    </row>
    <row r="121" spans="1:5" x14ac:dyDescent="0.2">
      <c r="A121" t="s">
        <v>1367</v>
      </c>
      <c r="B121">
        <v>1</v>
      </c>
      <c r="C121" s="1152">
        <v>117</v>
      </c>
      <c r="D121" t="s">
        <v>1881</v>
      </c>
      <c r="E121" t="s">
        <v>7188</v>
      </c>
    </row>
    <row r="122" spans="1:5" x14ac:dyDescent="0.2">
      <c r="A122" t="s">
        <v>1367</v>
      </c>
      <c r="B122">
        <v>1</v>
      </c>
      <c r="C122" s="1152">
        <v>118</v>
      </c>
      <c r="D122" t="s">
        <v>1885</v>
      </c>
      <c r="E122" t="s">
        <v>7189</v>
      </c>
    </row>
    <row r="123" spans="1:5" x14ac:dyDescent="0.2">
      <c r="A123" t="s">
        <v>1367</v>
      </c>
      <c r="B123">
        <v>1</v>
      </c>
      <c r="C123" s="1152">
        <v>119</v>
      </c>
      <c r="D123" t="s">
        <v>1887</v>
      </c>
      <c r="E123" t="s">
        <v>7190</v>
      </c>
    </row>
    <row r="124" spans="1:5" x14ac:dyDescent="0.2">
      <c r="A124" t="s">
        <v>1367</v>
      </c>
      <c r="B124">
        <v>1</v>
      </c>
      <c r="C124" s="1152">
        <v>120</v>
      </c>
      <c r="D124" t="s">
        <v>1893</v>
      </c>
      <c r="E124" t="s">
        <v>7191</v>
      </c>
    </row>
    <row r="125" spans="1:5" x14ac:dyDescent="0.2">
      <c r="A125" t="s">
        <v>1367</v>
      </c>
      <c r="B125">
        <v>1</v>
      </c>
      <c r="C125" s="1152">
        <v>121</v>
      </c>
      <c r="D125" t="s">
        <v>1899</v>
      </c>
      <c r="E125" t="s">
        <v>7192</v>
      </c>
    </row>
    <row r="126" spans="1:5" x14ac:dyDescent="0.2">
      <c r="A126" t="s">
        <v>1367</v>
      </c>
      <c r="B126">
        <v>1</v>
      </c>
      <c r="C126" s="1152">
        <v>122</v>
      </c>
      <c r="D126" t="s">
        <v>1906</v>
      </c>
      <c r="E126" t="s">
        <v>7193</v>
      </c>
    </row>
    <row r="127" spans="1:5" x14ac:dyDescent="0.2">
      <c r="A127" t="s">
        <v>1367</v>
      </c>
      <c r="B127">
        <v>1</v>
      </c>
      <c r="C127" s="1152">
        <v>123</v>
      </c>
      <c r="D127" t="s">
        <v>1911</v>
      </c>
      <c r="E127" t="s">
        <v>7194</v>
      </c>
    </row>
    <row r="128" spans="1:5" x14ac:dyDescent="0.2">
      <c r="A128" t="s">
        <v>1367</v>
      </c>
      <c r="B128">
        <v>1</v>
      </c>
      <c r="C128" s="1152">
        <v>124</v>
      </c>
      <c r="D128" t="s">
        <v>1917</v>
      </c>
      <c r="E128" t="s">
        <v>7195</v>
      </c>
    </row>
    <row r="129" spans="1:5" x14ac:dyDescent="0.2">
      <c r="A129" t="s">
        <v>1367</v>
      </c>
      <c r="B129">
        <v>1</v>
      </c>
      <c r="C129" s="1152">
        <v>125</v>
      </c>
      <c r="D129" t="s">
        <v>1922</v>
      </c>
      <c r="E129" t="s">
        <v>7196</v>
      </c>
    </row>
    <row r="130" spans="1:5" x14ac:dyDescent="0.2">
      <c r="A130" t="s">
        <v>1367</v>
      </c>
      <c r="B130">
        <v>1</v>
      </c>
      <c r="C130" s="1152">
        <v>126</v>
      </c>
      <c r="D130" t="s">
        <v>1928</v>
      </c>
      <c r="E130" t="s">
        <v>7197</v>
      </c>
    </row>
    <row r="131" spans="1:5" x14ac:dyDescent="0.2">
      <c r="A131" t="s">
        <v>1367</v>
      </c>
      <c r="B131">
        <v>1</v>
      </c>
      <c r="C131" s="1152">
        <v>127</v>
      </c>
      <c r="D131" t="s">
        <v>1932</v>
      </c>
      <c r="E131" t="s">
        <v>7198</v>
      </c>
    </row>
    <row r="132" spans="1:5" x14ac:dyDescent="0.2">
      <c r="A132" t="s">
        <v>1367</v>
      </c>
      <c r="B132">
        <v>1</v>
      </c>
      <c r="C132" s="1152">
        <v>128</v>
      </c>
      <c r="D132" t="s">
        <v>1938</v>
      </c>
      <c r="E132" t="s">
        <v>7199</v>
      </c>
    </row>
    <row r="133" spans="1:5" x14ac:dyDescent="0.2">
      <c r="A133" t="s">
        <v>1367</v>
      </c>
      <c r="B133">
        <v>1</v>
      </c>
      <c r="C133" s="1152">
        <v>129</v>
      </c>
      <c r="D133" t="s">
        <v>1944</v>
      </c>
      <c r="E133" t="s">
        <v>7200</v>
      </c>
    </row>
    <row r="134" spans="1:5" x14ac:dyDescent="0.2">
      <c r="A134" t="s">
        <v>1367</v>
      </c>
      <c r="B134">
        <v>1</v>
      </c>
      <c r="C134" s="1152">
        <v>130</v>
      </c>
      <c r="D134" t="s">
        <v>1947</v>
      </c>
      <c r="E134" t="s">
        <v>7201</v>
      </c>
    </row>
    <row r="135" spans="1:5" x14ac:dyDescent="0.2">
      <c r="A135" t="s">
        <v>1367</v>
      </c>
      <c r="B135">
        <v>1</v>
      </c>
      <c r="C135" s="1152">
        <v>131</v>
      </c>
      <c r="D135" t="s">
        <v>1953</v>
      </c>
      <c r="E135" t="s">
        <v>7202</v>
      </c>
    </row>
    <row r="136" spans="1:5" x14ac:dyDescent="0.2">
      <c r="A136" t="s">
        <v>1367</v>
      </c>
      <c r="B136">
        <v>1</v>
      </c>
      <c r="C136" s="1152">
        <v>132</v>
      </c>
      <c r="D136" t="s">
        <v>1958</v>
      </c>
      <c r="E136" t="s">
        <v>7203</v>
      </c>
    </row>
    <row r="137" spans="1:5" x14ac:dyDescent="0.2">
      <c r="A137" t="s">
        <v>1367</v>
      </c>
      <c r="B137">
        <v>1</v>
      </c>
      <c r="C137" s="1152">
        <v>133</v>
      </c>
      <c r="D137" t="s">
        <v>1964</v>
      </c>
      <c r="E137" t="s">
        <v>7204</v>
      </c>
    </row>
    <row r="138" spans="1:5" x14ac:dyDescent="0.2">
      <c r="A138" t="s">
        <v>1367</v>
      </c>
      <c r="B138">
        <v>1</v>
      </c>
      <c r="C138" s="1152">
        <v>134</v>
      </c>
      <c r="D138" t="s">
        <v>1973</v>
      </c>
      <c r="E138" t="s">
        <v>7205</v>
      </c>
    </row>
    <row r="139" spans="1:5" x14ac:dyDescent="0.2">
      <c r="A139" t="s">
        <v>1367</v>
      </c>
      <c r="B139">
        <v>1</v>
      </c>
      <c r="C139" s="1152">
        <v>135</v>
      </c>
      <c r="D139" t="s">
        <v>1978</v>
      </c>
      <c r="E139" t="s">
        <v>7206</v>
      </c>
    </row>
    <row r="140" spans="1:5" x14ac:dyDescent="0.2">
      <c r="A140" t="s">
        <v>1367</v>
      </c>
      <c r="B140">
        <v>1</v>
      </c>
      <c r="C140" s="1152">
        <v>136</v>
      </c>
      <c r="D140" t="s">
        <v>1983</v>
      </c>
      <c r="E140" t="s">
        <v>7207</v>
      </c>
    </row>
    <row r="141" spans="1:5" x14ac:dyDescent="0.2">
      <c r="A141" t="s">
        <v>1367</v>
      </c>
      <c r="B141">
        <v>1</v>
      </c>
      <c r="C141" s="1152">
        <v>137</v>
      </c>
      <c r="D141" t="s">
        <v>1984</v>
      </c>
      <c r="E141" t="s">
        <v>7208</v>
      </c>
    </row>
    <row r="142" spans="1:5" x14ac:dyDescent="0.2">
      <c r="A142" t="s">
        <v>1367</v>
      </c>
      <c r="B142">
        <v>1</v>
      </c>
      <c r="C142" s="1152">
        <v>138</v>
      </c>
      <c r="D142" t="s">
        <v>1990</v>
      </c>
      <c r="E142" t="s">
        <v>7209</v>
      </c>
    </row>
    <row r="143" spans="1:5" x14ac:dyDescent="0.2">
      <c r="A143" t="s">
        <v>1367</v>
      </c>
      <c r="B143">
        <v>1</v>
      </c>
      <c r="C143" s="1152">
        <v>139</v>
      </c>
      <c r="D143" t="s">
        <v>1996</v>
      </c>
      <c r="E143" t="s">
        <v>7210</v>
      </c>
    </row>
    <row r="144" spans="1:5" x14ac:dyDescent="0.2">
      <c r="A144" t="s">
        <v>1367</v>
      </c>
      <c r="B144">
        <v>1</v>
      </c>
      <c r="C144" s="1152">
        <v>140</v>
      </c>
      <c r="D144" t="s">
        <v>1998</v>
      </c>
      <c r="E144" t="s">
        <v>7211</v>
      </c>
    </row>
    <row r="145" spans="1:5" x14ac:dyDescent="0.2">
      <c r="A145" t="s">
        <v>1367</v>
      </c>
      <c r="B145">
        <v>1</v>
      </c>
      <c r="C145" s="1152">
        <v>141</v>
      </c>
      <c r="D145" t="s">
        <v>1999</v>
      </c>
      <c r="E145" t="s">
        <v>7212</v>
      </c>
    </row>
    <row r="146" spans="1:5" x14ac:dyDescent="0.2">
      <c r="A146" t="s">
        <v>1367</v>
      </c>
      <c r="B146">
        <v>1</v>
      </c>
      <c r="C146" s="1152">
        <v>142</v>
      </c>
      <c r="D146" t="s">
        <v>2004</v>
      </c>
      <c r="E146" t="s">
        <v>7213</v>
      </c>
    </row>
    <row r="147" spans="1:5" x14ac:dyDescent="0.2">
      <c r="A147" t="s">
        <v>1367</v>
      </c>
      <c r="B147">
        <v>1</v>
      </c>
      <c r="C147" s="1152">
        <v>143</v>
      </c>
      <c r="D147" t="s">
        <v>2009</v>
      </c>
      <c r="E147" t="s">
        <v>7214</v>
      </c>
    </row>
    <row r="148" spans="1:5" x14ac:dyDescent="0.2">
      <c r="A148" t="s">
        <v>1367</v>
      </c>
      <c r="B148">
        <v>1</v>
      </c>
      <c r="C148" s="1152">
        <v>144</v>
      </c>
      <c r="D148" t="s">
        <v>2014</v>
      </c>
      <c r="E148" t="s">
        <v>7215</v>
      </c>
    </row>
    <row r="149" spans="1:5" x14ac:dyDescent="0.2">
      <c r="A149" t="s">
        <v>1367</v>
      </c>
      <c r="B149">
        <v>1</v>
      </c>
      <c r="C149" s="1152">
        <v>145</v>
      </c>
      <c r="D149" t="s">
        <v>2019</v>
      </c>
      <c r="E149" t="s">
        <v>7216</v>
      </c>
    </row>
    <row r="150" spans="1:5" x14ac:dyDescent="0.2">
      <c r="A150" t="s">
        <v>1367</v>
      </c>
      <c r="B150">
        <v>1</v>
      </c>
      <c r="C150" s="1152">
        <v>146</v>
      </c>
      <c r="D150" t="s">
        <v>2023</v>
      </c>
      <c r="E150" t="s">
        <v>7217</v>
      </c>
    </row>
    <row r="151" spans="1:5" x14ac:dyDescent="0.2">
      <c r="A151" t="s">
        <v>1367</v>
      </c>
      <c r="B151">
        <v>1</v>
      </c>
      <c r="C151" s="1152">
        <v>147</v>
      </c>
      <c r="D151" s="180" t="s">
        <v>2026</v>
      </c>
      <c r="E151" t="s">
        <v>2237</v>
      </c>
    </row>
    <row r="152" spans="1:5" x14ac:dyDescent="0.2">
      <c r="A152" t="s">
        <v>1367</v>
      </c>
      <c r="B152">
        <v>1</v>
      </c>
      <c r="C152" s="1152">
        <v>148</v>
      </c>
      <c r="D152" t="s">
        <v>2030</v>
      </c>
      <c r="E152" t="s">
        <v>7218</v>
      </c>
    </row>
    <row r="153" spans="1:5" x14ac:dyDescent="0.2">
      <c r="A153" t="s">
        <v>1367</v>
      </c>
      <c r="B153">
        <v>1</v>
      </c>
      <c r="C153" s="1152">
        <v>149</v>
      </c>
      <c r="D153" t="s">
        <v>2035</v>
      </c>
      <c r="E153" t="s">
        <v>2246</v>
      </c>
    </row>
    <row r="154" spans="1:5" x14ac:dyDescent="0.2">
      <c r="A154" t="s">
        <v>1367</v>
      </c>
      <c r="B154">
        <v>1</v>
      </c>
      <c r="C154" s="1152">
        <v>150</v>
      </c>
      <c r="D154" t="s">
        <v>2040</v>
      </c>
      <c r="E154" t="s">
        <v>7219</v>
      </c>
    </row>
    <row r="155" spans="1:5" x14ac:dyDescent="0.2">
      <c r="A155" t="s">
        <v>1367</v>
      </c>
      <c r="B155">
        <v>1</v>
      </c>
      <c r="C155" s="1152">
        <v>151</v>
      </c>
      <c r="D155" t="s">
        <v>2045</v>
      </c>
      <c r="E155" t="s">
        <v>7220</v>
      </c>
    </row>
    <row r="156" spans="1:5" x14ac:dyDescent="0.2">
      <c r="A156" t="s">
        <v>1367</v>
      </c>
      <c r="B156">
        <v>1</v>
      </c>
      <c r="C156" s="1152">
        <v>152</v>
      </c>
      <c r="D156" t="s">
        <v>2049</v>
      </c>
      <c r="E156" t="s">
        <v>7221</v>
      </c>
    </row>
    <row r="157" spans="1:5" x14ac:dyDescent="0.2">
      <c r="A157" t="s">
        <v>1367</v>
      </c>
      <c r="B157">
        <v>1</v>
      </c>
      <c r="C157" s="1152">
        <v>153</v>
      </c>
      <c r="D157" t="s">
        <v>2051</v>
      </c>
      <c r="E157" t="s">
        <v>7222</v>
      </c>
    </row>
    <row r="158" spans="1:5" x14ac:dyDescent="0.2">
      <c r="A158" t="s">
        <v>1367</v>
      </c>
      <c r="B158">
        <v>1</v>
      </c>
      <c r="C158" s="1152">
        <v>154</v>
      </c>
      <c r="D158" t="s">
        <v>2057</v>
      </c>
      <c r="E158" t="s">
        <v>7223</v>
      </c>
    </row>
    <row r="159" spans="1:5" x14ac:dyDescent="0.2">
      <c r="A159" t="s">
        <v>1367</v>
      </c>
      <c r="B159">
        <v>1</v>
      </c>
      <c r="C159" s="1152">
        <v>155</v>
      </c>
      <c r="D159" t="s">
        <v>5762</v>
      </c>
      <c r="E159" t="s">
        <v>7224</v>
      </c>
    </row>
    <row r="160" spans="1:5" x14ac:dyDescent="0.2">
      <c r="A160" t="s">
        <v>1367</v>
      </c>
      <c r="B160">
        <v>1</v>
      </c>
      <c r="C160" s="1152">
        <v>156</v>
      </c>
      <c r="D160" t="s">
        <v>5763</v>
      </c>
      <c r="E160" t="s">
        <v>7225</v>
      </c>
    </row>
    <row r="161" spans="1:5" x14ac:dyDescent="0.2">
      <c r="A161" t="s">
        <v>1367</v>
      </c>
      <c r="B161">
        <v>1</v>
      </c>
      <c r="C161" s="1152">
        <v>157</v>
      </c>
      <c r="D161" t="s">
        <v>2074</v>
      </c>
      <c r="E161" t="s">
        <v>7226</v>
      </c>
    </row>
    <row r="162" spans="1:5" x14ac:dyDescent="0.2">
      <c r="A162" t="s">
        <v>1367</v>
      </c>
      <c r="B162">
        <v>1</v>
      </c>
      <c r="C162" s="1152">
        <v>158</v>
      </c>
      <c r="D162" t="s">
        <v>2079</v>
      </c>
      <c r="E162" t="s">
        <v>7227</v>
      </c>
    </row>
    <row r="163" spans="1:5" x14ac:dyDescent="0.2">
      <c r="A163" t="s">
        <v>1367</v>
      </c>
      <c r="B163">
        <v>1</v>
      </c>
      <c r="C163" s="1152">
        <v>159</v>
      </c>
      <c r="D163" t="s">
        <v>2085</v>
      </c>
      <c r="E163" t="s">
        <v>7228</v>
      </c>
    </row>
    <row r="164" spans="1:5" x14ac:dyDescent="0.2">
      <c r="A164" t="s">
        <v>1367</v>
      </c>
      <c r="B164">
        <v>1</v>
      </c>
      <c r="C164" s="1152">
        <v>160</v>
      </c>
      <c r="D164" t="s">
        <v>2091</v>
      </c>
      <c r="E164" t="s">
        <v>7229</v>
      </c>
    </row>
    <row r="165" spans="1:5" x14ac:dyDescent="0.2">
      <c r="A165" t="s">
        <v>1367</v>
      </c>
      <c r="B165">
        <v>1</v>
      </c>
      <c r="C165" s="1152">
        <v>161</v>
      </c>
      <c r="D165" t="s">
        <v>2097</v>
      </c>
      <c r="E165" t="s">
        <v>932</v>
      </c>
    </row>
    <row r="166" spans="1:5" x14ac:dyDescent="0.2">
      <c r="A166" t="s">
        <v>1367</v>
      </c>
      <c r="B166">
        <v>1</v>
      </c>
      <c r="C166" s="1152">
        <v>162</v>
      </c>
      <c r="D166" t="s">
        <v>2101</v>
      </c>
      <c r="E166" t="s">
        <v>7230</v>
      </c>
    </row>
    <row r="167" spans="1:5" x14ac:dyDescent="0.2">
      <c r="A167" t="s">
        <v>1367</v>
      </c>
      <c r="B167">
        <v>1</v>
      </c>
      <c r="C167" s="1152">
        <v>163</v>
      </c>
      <c r="D167" t="s">
        <v>2104</v>
      </c>
      <c r="E167" t="s">
        <v>7231</v>
      </c>
    </row>
    <row r="168" spans="1:5" x14ac:dyDescent="0.2">
      <c r="A168" t="s">
        <v>1367</v>
      </c>
      <c r="B168">
        <v>1</v>
      </c>
      <c r="C168" s="1152">
        <v>164</v>
      </c>
      <c r="D168" t="s">
        <v>5764</v>
      </c>
      <c r="E168" t="s">
        <v>7232</v>
      </c>
    </row>
    <row r="169" spans="1:5" x14ac:dyDescent="0.2">
      <c r="A169" t="s">
        <v>1367</v>
      </c>
      <c r="B169">
        <v>1</v>
      </c>
      <c r="C169" s="1152">
        <v>165</v>
      </c>
      <c r="D169" t="s">
        <v>2110</v>
      </c>
      <c r="E169" t="s">
        <v>7233</v>
      </c>
    </row>
    <row r="170" spans="1:5" x14ac:dyDescent="0.2">
      <c r="A170" t="s">
        <v>1367</v>
      </c>
      <c r="B170">
        <v>1</v>
      </c>
      <c r="C170" s="1152">
        <v>166</v>
      </c>
      <c r="D170" t="s">
        <v>2113</v>
      </c>
      <c r="E170" t="s">
        <v>7234</v>
      </c>
    </row>
    <row r="171" spans="1:5" x14ac:dyDescent="0.2">
      <c r="A171" t="s">
        <v>1367</v>
      </c>
      <c r="B171">
        <v>1</v>
      </c>
      <c r="C171" s="1152">
        <v>167</v>
      </c>
      <c r="D171" t="s">
        <v>4346</v>
      </c>
      <c r="E171" t="s">
        <v>7235</v>
      </c>
    </row>
    <row r="172" spans="1:5" x14ac:dyDescent="0.2">
      <c r="A172" t="s">
        <v>1367</v>
      </c>
      <c r="B172">
        <v>1</v>
      </c>
      <c r="C172" s="1152">
        <v>168</v>
      </c>
      <c r="D172" t="s">
        <v>4347</v>
      </c>
      <c r="E172" t="s">
        <v>7236</v>
      </c>
    </row>
    <row r="173" spans="1:5" x14ac:dyDescent="0.2">
      <c r="A173" t="s">
        <v>1367</v>
      </c>
      <c r="B173">
        <v>1</v>
      </c>
      <c r="C173" s="1152">
        <v>169</v>
      </c>
      <c r="D173" t="s">
        <v>4348</v>
      </c>
      <c r="E173" t="s">
        <v>7237</v>
      </c>
    </row>
    <row r="174" spans="1:5" x14ac:dyDescent="0.2">
      <c r="A174" t="s">
        <v>1367</v>
      </c>
      <c r="B174">
        <v>1</v>
      </c>
      <c r="C174" s="1152">
        <v>170</v>
      </c>
      <c r="D174" t="s">
        <v>4349</v>
      </c>
      <c r="E174" t="s">
        <v>7238</v>
      </c>
    </row>
    <row r="175" spans="1:5" x14ac:dyDescent="0.2">
      <c r="A175" t="s">
        <v>1367</v>
      </c>
      <c r="B175">
        <v>1</v>
      </c>
      <c r="C175" s="1152">
        <v>171</v>
      </c>
      <c r="D175" t="s">
        <v>4350</v>
      </c>
      <c r="E175" t="s">
        <v>7239</v>
      </c>
    </row>
    <row r="176" spans="1:5" x14ac:dyDescent="0.2">
      <c r="A176" t="s">
        <v>1367</v>
      </c>
      <c r="B176">
        <v>1</v>
      </c>
      <c r="C176" s="1152">
        <v>172</v>
      </c>
      <c r="D176" t="s">
        <v>4351</v>
      </c>
      <c r="E176" t="s">
        <v>7240</v>
      </c>
    </row>
    <row r="177" spans="1:5" x14ac:dyDescent="0.2">
      <c r="A177" t="s">
        <v>1367</v>
      </c>
      <c r="B177">
        <v>1</v>
      </c>
      <c r="C177" s="1152">
        <v>173</v>
      </c>
      <c r="D177" t="s">
        <v>4352</v>
      </c>
      <c r="E177" t="s">
        <v>7241</v>
      </c>
    </row>
    <row r="178" spans="1:5" x14ac:dyDescent="0.2">
      <c r="A178" t="s">
        <v>1367</v>
      </c>
      <c r="B178">
        <v>1</v>
      </c>
      <c r="C178" s="1152">
        <v>174</v>
      </c>
      <c r="D178" t="s">
        <v>4353</v>
      </c>
      <c r="E178" t="s">
        <v>7242</v>
      </c>
    </row>
    <row r="179" spans="1:5" x14ac:dyDescent="0.2">
      <c r="A179" t="s">
        <v>1367</v>
      </c>
      <c r="B179">
        <v>1</v>
      </c>
      <c r="C179" s="1152">
        <v>175</v>
      </c>
      <c r="D179" t="s">
        <v>4354</v>
      </c>
      <c r="E179" t="s">
        <v>7243</v>
      </c>
    </row>
    <row r="180" spans="1:5" x14ac:dyDescent="0.2">
      <c r="A180" t="s">
        <v>1367</v>
      </c>
      <c r="B180">
        <v>1</v>
      </c>
      <c r="C180" s="1152">
        <v>176</v>
      </c>
      <c r="D180" t="s">
        <v>4355</v>
      </c>
      <c r="E180" t="s">
        <v>7244</v>
      </c>
    </row>
    <row r="181" spans="1:5" x14ac:dyDescent="0.2">
      <c r="A181" t="s">
        <v>1367</v>
      </c>
      <c r="B181">
        <v>1</v>
      </c>
      <c r="C181" s="1152">
        <v>177</v>
      </c>
      <c r="D181" t="s">
        <v>4356</v>
      </c>
      <c r="E181" t="s">
        <v>7245</v>
      </c>
    </row>
    <row r="182" spans="1:5" x14ac:dyDescent="0.2">
      <c r="A182" t="s">
        <v>1367</v>
      </c>
      <c r="B182">
        <v>1</v>
      </c>
      <c r="C182" s="1152">
        <v>178</v>
      </c>
      <c r="D182" t="s">
        <v>4357</v>
      </c>
      <c r="E182" t="s">
        <v>7246</v>
      </c>
    </row>
    <row r="183" spans="1:5" x14ac:dyDescent="0.2">
      <c r="A183" t="s">
        <v>1367</v>
      </c>
      <c r="B183">
        <v>1</v>
      </c>
      <c r="C183" s="1152">
        <v>179</v>
      </c>
      <c r="D183" t="s">
        <v>4358</v>
      </c>
      <c r="E183" t="s">
        <v>7247</v>
      </c>
    </row>
    <row r="184" spans="1:5" x14ac:dyDescent="0.2">
      <c r="A184" t="s">
        <v>1367</v>
      </c>
      <c r="B184">
        <v>1</v>
      </c>
      <c r="C184" s="1152">
        <v>180</v>
      </c>
      <c r="D184" t="s">
        <v>4359</v>
      </c>
      <c r="E184" t="s">
        <v>7248</v>
      </c>
    </row>
    <row r="185" spans="1:5" x14ac:dyDescent="0.2">
      <c r="A185" t="s">
        <v>1367</v>
      </c>
      <c r="B185">
        <v>1</v>
      </c>
      <c r="C185" s="1152">
        <v>181</v>
      </c>
      <c r="D185" t="s">
        <v>4360</v>
      </c>
      <c r="E185" t="s">
        <v>7249</v>
      </c>
    </row>
    <row r="186" spans="1:5" x14ac:dyDescent="0.2">
      <c r="A186" t="s">
        <v>1367</v>
      </c>
      <c r="B186">
        <v>1</v>
      </c>
      <c r="C186" s="1152">
        <v>182</v>
      </c>
      <c r="D186" t="s">
        <v>4361</v>
      </c>
      <c r="E186" t="s">
        <v>7250</v>
      </c>
    </row>
    <row r="187" spans="1:5" x14ac:dyDescent="0.2">
      <c r="A187" t="s">
        <v>1367</v>
      </c>
      <c r="B187">
        <v>1</v>
      </c>
      <c r="C187" s="1152">
        <v>183</v>
      </c>
      <c r="D187" t="s">
        <v>4362</v>
      </c>
      <c r="E187" t="s">
        <v>7251</v>
      </c>
    </row>
    <row r="188" spans="1:5" x14ac:dyDescent="0.2">
      <c r="A188" t="s">
        <v>1367</v>
      </c>
      <c r="B188">
        <v>1</v>
      </c>
      <c r="C188" s="1152">
        <v>184</v>
      </c>
      <c r="D188" t="s">
        <v>4363</v>
      </c>
      <c r="E188" t="s">
        <v>7252</v>
      </c>
    </row>
    <row r="189" spans="1:5" x14ac:dyDescent="0.2">
      <c r="A189" t="s">
        <v>1367</v>
      </c>
      <c r="B189">
        <v>1</v>
      </c>
      <c r="C189" s="1152">
        <v>185</v>
      </c>
      <c r="D189" t="s">
        <v>4364</v>
      </c>
      <c r="E189" t="s">
        <v>7253</v>
      </c>
    </row>
    <row r="190" spans="1:5" x14ac:dyDescent="0.2">
      <c r="A190" t="s">
        <v>1367</v>
      </c>
      <c r="B190">
        <v>1</v>
      </c>
      <c r="C190" s="1152">
        <v>186</v>
      </c>
      <c r="D190" t="s">
        <v>4365</v>
      </c>
      <c r="E190" t="s">
        <v>7254</v>
      </c>
    </row>
    <row r="191" spans="1:5" x14ac:dyDescent="0.2">
      <c r="A191" t="s">
        <v>1367</v>
      </c>
      <c r="B191">
        <v>1</v>
      </c>
      <c r="C191" s="1152">
        <v>187</v>
      </c>
      <c r="D191" t="s">
        <v>4366</v>
      </c>
      <c r="E191" t="s">
        <v>7255</v>
      </c>
    </row>
    <row r="192" spans="1:5" x14ac:dyDescent="0.2">
      <c r="A192" t="s">
        <v>1367</v>
      </c>
      <c r="B192">
        <v>1</v>
      </c>
      <c r="C192" s="1152">
        <v>188</v>
      </c>
      <c r="D192" t="s">
        <v>4367</v>
      </c>
      <c r="E192" t="s">
        <v>7256</v>
      </c>
    </row>
    <row r="193" spans="1:5" x14ac:dyDescent="0.2">
      <c r="A193" t="s">
        <v>1367</v>
      </c>
      <c r="B193">
        <v>1</v>
      </c>
      <c r="C193" s="1152">
        <v>189</v>
      </c>
      <c r="D193" t="s">
        <v>4368</v>
      </c>
      <c r="E193" t="s">
        <v>7257</v>
      </c>
    </row>
    <row r="194" spans="1:5" x14ac:dyDescent="0.2">
      <c r="A194" t="s">
        <v>1367</v>
      </c>
      <c r="B194">
        <v>1</v>
      </c>
      <c r="C194" s="1152">
        <v>190</v>
      </c>
      <c r="D194" t="s">
        <v>4369</v>
      </c>
      <c r="E194" t="s">
        <v>7258</v>
      </c>
    </row>
    <row r="195" spans="1:5" x14ac:dyDescent="0.2">
      <c r="A195" t="s">
        <v>1367</v>
      </c>
      <c r="B195">
        <v>1</v>
      </c>
      <c r="C195" s="1152">
        <v>191</v>
      </c>
      <c r="D195" t="s">
        <v>4370</v>
      </c>
      <c r="E195" t="s">
        <v>7259</v>
      </c>
    </row>
    <row r="196" spans="1:5" x14ac:dyDescent="0.2">
      <c r="A196" t="s">
        <v>1367</v>
      </c>
      <c r="B196">
        <v>1</v>
      </c>
      <c r="C196" s="1152">
        <v>192</v>
      </c>
      <c r="D196" t="s">
        <v>4371</v>
      </c>
      <c r="E196" t="s">
        <v>7260</v>
      </c>
    </row>
    <row r="197" spans="1:5" x14ac:dyDescent="0.2">
      <c r="A197" t="s">
        <v>1367</v>
      </c>
      <c r="B197">
        <v>1</v>
      </c>
      <c r="C197" s="1152">
        <v>193</v>
      </c>
      <c r="D197" t="s">
        <v>4372</v>
      </c>
      <c r="E197" t="s">
        <v>7261</v>
      </c>
    </row>
    <row r="198" spans="1:5" x14ac:dyDescent="0.2">
      <c r="A198" t="s">
        <v>1367</v>
      </c>
      <c r="B198">
        <v>1</v>
      </c>
      <c r="C198" s="1152">
        <v>194</v>
      </c>
      <c r="D198" t="s">
        <v>4373</v>
      </c>
      <c r="E198" t="s">
        <v>7262</v>
      </c>
    </row>
    <row r="199" spans="1:5" x14ac:dyDescent="0.2">
      <c r="A199" t="s">
        <v>1367</v>
      </c>
      <c r="B199">
        <v>1</v>
      </c>
      <c r="C199" s="1152">
        <v>195</v>
      </c>
      <c r="D199" t="s">
        <v>4374</v>
      </c>
      <c r="E199" t="s">
        <v>7263</v>
      </c>
    </row>
    <row r="200" spans="1:5" x14ac:dyDescent="0.2">
      <c r="A200" t="s">
        <v>1367</v>
      </c>
      <c r="B200">
        <v>1</v>
      </c>
      <c r="C200" s="1152">
        <v>196</v>
      </c>
      <c r="D200" t="s">
        <v>4375</v>
      </c>
      <c r="E200" t="s">
        <v>7264</v>
      </c>
    </row>
    <row r="201" spans="1:5" x14ac:dyDescent="0.2">
      <c r="A201" t="s">
        <v>1367</v>
      </c>
      <c r="B201">
        <v>1</v>
      </c>
      <c r="C201" s="1152">
        <v>197</v>
      </c>
      <c r="D201" t="s">
        <v>4376</v>
      </c>
      <c r="E201" t="s">
        <v>7265</v>
      </c>
    </row>
    <row r="202" spans="1:5" x14ac:dyDescent="0.2">
      <c r="A202" t="s">
        <v>1367</v>
      </c>
      <c r="B202">
        <v>1</v>
      </c>
      <c r="C202" s="1152">
        <v>198</v>
      </c>
      <c r="D202" t="s">
        <v>4377</v>
      </c>
      <c r="E202" t="s">
        <v>7266</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323"/>
  <sheetViews>
    <sheetView zoomScaleNormal="100" workbookViewId="0">
      <pane xSplit="2" ySplit="2" topLeftCell="C87" activePane="bottomRight" state="frozen"/>
      <selection pane="topRight" activeCell="B1" sqref="B1"/>
      <selection pane="bottomLeft" activeCell="A3" sqref="A3"/>
      <selection pane="bottomRight" activeCell="B25" sqref="B25"/>
    </sheetView>
  </sheetViews>
  <sheetFormatPr defaultColWidth="8.5703125" defaultRowHeight="15.75" x14ac:dyDescent="0.25"/>
  <cols>
    <col min="1" max="1" width="20.140625" style="1166" customWidth="1"/>
    <col min="2" max="2" width="9" style="1166" customWidth="1"/>
    <col min="3" max="3" width="9.85546875" style="1166" customWidth="1"/>
    <col min="4" max="4" width="28.28515625" style="1166" bestFit="1" customWidth="1"/>
    <col min="5" max="5" width="12.85546875" style="1166" bestFit="1" customWidth="1"/>
    <col min="6" max="6" width="11.140625" style="1166" bestFit="1" customWidth="1"/>
    <col min="7" max="7" width="11.5703125" style="1166" bestFit="1" customWidth="1"/>
    <col min="8" max="8" width="33.28515625" style="1166" bestFit="1" customWidth="1"/>
    <col min="9" max="10" width="11.85546875" style="1166" bestFit="1" customWidth="1"/>
    <col min="11" max="11" width="13.140625" style="1166" bestFit="1" customWidth="1"/>
    <col min="12" max="12" width="39" style="1166" bestFit="1" customWidth="1"/>
    <col min="13" max="13" width="14.85546875" style="1166" customWidth="1"/>
    <col min="14" max="14" width="15.5703125" style="1166" bestFit="1" customWidth="1"/>
    <col min="15" max="15" width="9.140625" style="1166" bestFit="1" customWidth="1"/>
    <col min="16" max="16" width="28.28515625" style="1166" bestFit="1" customWidth="1"/>
    <col min="17" max="17" width="4.85546875" style="1166" bestFit="1" customWidth="1"/>
    <col min="18" max="18" width="20" style="1166" bestFit="1" customWidth="1"/>
    <col min="19" max="19" width="21.28515625" style="1166" bestFit="1" customWidth="1"/>
    <col min="20" max="20" width="17.5703125" style="1166" bestFit="1" customWidth="1"/>
    <col min="21" max="21" width="4.85546875" style="1166" bestFit="1" customWidth="1"/>
    <col min="22" max="22" width="19.5703125" style="1166" bestFit="1" customWidth="1"/>
    <col min="23" max="23" width="4.140625" style="1166" bestFit="1" customWidth="1"/>
    <col min="24" max="24" width="15.85546875" style="1166" bestFit="1" customWidth="1"/>
    <col min="25" max="25" width="15.5703125" style="1166" bestFit="1" customWidth="1"/>
    <col min="26" max="27" width="4.85546875" style="1166" bestFit="1" customWidth="1"/>
    <col min="28" max="28" width="15.85546875" style="1166" bestFit="1" customWidth="1"/>
    <col min="29" max="29" width="11.5703125" style="1166" bestFit="1" customWidth="1"/>
    <col min="30" max="30" width="14.140625" style="1166" bestFit="1" customWidth="1"/>
    <col min="31" max="31" width="28.28515625" style="1166" bestFit="1" customWidth="1"/>
    <col min="32" max="32" width="4.140625" style="1166" bestFit="1" customWidth="1"/>
    <col min="33" max="33" width="22.85546875" style="1166" bestFit="1" customWidth="1"/>
    <col min="34" max="42" width="4.140625" style="1166" bestFit="1" customWidth="1"/>
    <col min="43" max="43" width="4.85546875" style="1166" bestFit="1" customWidth="1"/>
    <col min="44" max="45" width="4.140625" style="1166" bestFit="1" customWidth="1"/>
    <col min="46" max="46" width="4.85546875" style="1166" bestFit="1" customWidth="1"/>
    <col min="47" max="47" width="19.140625" style="1166" bestFit="1" customWidth="1"/>
    <col min="48" max="49" width="4.140625" style="1166" bestFit="1" customWidth="1"/>
    <col min="50" max="50" width="16.28515625" style="1166" bestFit="1" customWidth="1"/>
    <col min="51" max="52" width="4.140625" style="1166" bestFit="1" customWidth="1"/>
    <col min="53" max="53" width="4.85546875" style="1166" bestFit="1" customWidth="1"/>
    <col min="54" max="54" width="4.140625" style="1166" bestFit="1" customWidth="1"/>
    <col min="55" max="55" width="4.85546875" style="1166" bestFit="1" customWidth="1"/>
    <col min="56" max="83" width="4.140625" style="1166" bestFit="1" customWidth="1"/>
    <col min="84" max="84" width="4.85546875" style="1166" bestFit="1" customWidth="1"/>
    <col min="85" max="87" width="2" style="1166" bestFit="1" customWidth="1"/>
    <col min="88" max="88" width="10.5703125" style="1166" bestFit="1" customWidth="1"/>
    <col min="89" max="16384" width="8.5703125" style="1166"/>
  </cols>
  <sheetData>
    <row r="1" spans="1:16" x14ac:dyDescent="0.25">
      <c r="B1" s="1166" t="s">
        <v>7267</v>
      </c>
    </row>
    <row r="2" spans="1:16" ht="47.25" x14ac:dyDescent="0.25">
      <c r="A2" s="1167" t="s">
        <v>7268</v>
      </c>
      <c r="B2" s="1168" t="s">
        <v>7269</v>
      </c>
      <c r="C2" s="1169" t="s">
        <v>7270</v>
      </c>
      <c r="D2" s="1168" t="s">
        <v>7271</v>
      </c>
      <c r="E2" s="1168" t="s">
        <v>7272</v>
      </c>
      <c r="F2" s="1168" t="s">
        <v>7273</v>
      </c>
      <c r="G2" s="1168" t="s">
        <v>7067</v>
      </c>
      <c r="H2" s="1168" t="s">
        <v>4385</v>
      </c>
      <c r="I2" s="1168" t="s">
        <v>7274</v>
      </c>
      <c r="J2" s="1168" t="s">
        <v>7275</v>
      </c>
      <c r="K2" s="1168" t="s">
        <v>7071</v>
      </c>
      <c r="L2" s="1168" t="s">
        <v>7072</v>
      </c>
      <c r="M2" s="1168" t="s">
        <v>7276</v>
      </c>
      <c r="N2" s="1168" t="s">
        <v>7277</v>
      </c>
      <c r="O2" s="1168"/>
      <c r="P2" s="1168"/>
    </row>
    <row r="3" spans="1:16" x14ac:dyDescent="0.25">
      <c r="A3" s="1170" t="s">
        <v>7278</v>
      </c>
      <c r="B3" s="1171">
        <v>1</v>
      </c>
      <c r="C3" s="1166">
        <v>1</v>
      </c>
      <c r="D3" s="1166" t="s">
        <v>7279</v>
      </c>
      <c r="E3" s="1166">
        <v>12</v>
      </c>
      <c r="F3" s="1172">
        <v>17</v>
      </c>
      <c r="G3" s="1048" t="s">
        <v>4448</v>
      </c>
      <c r="H3" s="1173" t="s">
        <v>4449</v>
      </c>
      <c r="I3" s="1166">
        <v>7</v>
      </c>
      <c r="J3" s="1172">
        <v>101</v>
      </c>
      <c r="K3" s="1048" t="s">
        <v>1813</v>
      </c>
      <c r="L3" s="1048" t="s">
        <v>7172</v>
      </c>
      <c r="M3" s="1166">
        <v>4</v>
      </c>
      <c r="N3" s="1166">
        <v>5</v>
      </c>
    </row>
    <row r="4" spans="1:16" x14ac:dyDescent="0.25">
      <c r="B4" s="1171"/>
      <c r="F4" s="1172">
        <v>18</v>
      </c>
      <c r="G4" s="1048" t="s">
        <v>4452</v>
      </c>
      <c r="H4" s="1173" t="s">
        <v>4453</v>
      </c>
      <c r="J4" s="1172">
        <v>102</v>
      </c>
      <c r="K4" s="1048" t="s">
        <v>1819</v>
      </c>
      <c r="L4" s="1048" t="s">
        <v>7173</v>
      </c>
    </row>
    <row r="5" spans="1:16" x14ac:dyDescent="0.25">
      <c r="B5" s="1171"/>
      <c r="F5" s="1172">
        <v>19</v>
      </c>
      <c r="G5" s="1048" t="s">
        <v>368</v>
      </c>
      <c r="H5" s="1173" t="s">
        <v>4456</v>
      </c>
      <c r="J5" s="1172">
        <v>103</v>
      </c>
      <c r="K5" s="1048" t="s">
        <v>1826</v>
      </c>
      <c r="L5" s="1048" t="s">
        <v>7174</v>
      </c>
    </row>
    <row r="6" spans="1:16" x14ac:dyDescent="0.25">
      <c r="B6" s="1171"/>
      <c r="F6" s="1172">
        <v>20</v>
      </c>
      <c r="G6" s="1048" t="s">
        <v>369</v>
      </c>
      <c r="H6" s="1173" t="s">
        <v>4459</v>
      </c>
      <c r="J6" s="1172">
        <v>104</v>
      </c>
      <c r="K6" s="1048" t="s">
        <v>1830</v>
      </c>
      <c r="L6" s="1048" t="s">
        <v>7175</v>
      </c>
    </row>
    <row r="7" spans="1:16" x14ac:dyDescent="0.25">
      <c r="B7" s="1171"/>
      <c r="F7" s="1172">
        <v>21</v>
      </c>
      <c r="G7" s="1048" t="s">
        <v>4462</v>
      </c>
      <c r="H7" s="1173" t="s">
        <v>4463</v>
      </c>
      <c r="J7" s="1172">
        <v>105</v>
      </c>
      <c r="K7" s="1048" t="s">
        <v>1836</v>
      </c>
      <c r="L7" s="1048" t="s">
        <v>7176</v>
      </c>
    </row>
    <row r="8" spans="1:16" x14ac:dyDescent="0.25">
      <c r="B8" s="1171"/>
      <c r="F8" s="1172">
        <v>22</v>
      </c>
      <c r="G8" s="1048" t="s">
        <v>4466</v>
      </c>
      <c r="H8" s="1173" t="s">
        <v>4467</v>
      </c>
      <c r="J8" s="1174">
        <v>106</v>
      </c>
      <c r="K8" s="1048" t="s">
        <v>1841</v>
      </c>
      <c r="L8" s="1048" t="s">
        <v>7177</v>
      </c>
    </row>
    <row r="9" spans="1:16" x14ac:dyDescent="0.25">
      <c r="B9" s="1171"/>
      <c r="F9" s="1172">
        <v>23</v>
      </c>
      <c r="G9" s="1048" t="s">
        <v>4470</v>
      </c>
      <c r="H9" s="1173" t="s">
        <v>4471</v>
      </c>
      <c r="J9" s="1174">
        <v>108</v>
      </c>
      <c r="K9" s="1048" t="s">
        <v>1843</v>
      </c>
      <c r="L9" s="1048" t="s">
        <v>7179</v>
      </c>
    </row>
    <row r="10" spans="1:16" x14ac:dyDescent="0.25">
      <c r="B10" s="1171"/>
      <c r="F10" s="1172">
        <v>24</v>
      </c>
      <c r="G10" s="1048" t="s">
        <v>4474</v>
      </c>
      <c r="H10" s="1173" t="s">
        <v>4475</v>
      </c>
    </row>
    <row r="11" spans="1:16" x14ac:dyDescent="0.25">
      <c r="B11" s="1171"/>
      <c r="F11" s="1172">
        <v>25</v>
      </c>
      <c r="G11" s="1048" t="s">
        <v>4478</v>
      </c>
      <c r="H11" s="1173" t="s">
        <v>4479</v>
      </c>
    </row>
    <row r="12" spans="1:16" x14ac:dyDescent="0.25">
      <c r="B12" s="1171"/>
      <c r="F12" s="1172">
        <v>26</v>
      </c>
      <c r="G12" s="1048" t="s">
        <v>4482</v>
      </c>
      <c r="H12" s="1173" t="s">
        <v>4483</v>
      </c>
    </row>
    <row r="13" spans="1:16" x14ac:dyDescent="0.25">
      <c r="B13" s="1171"/>
      <c r="F13" s="1172">
        <v>27</v>
      </c>
      <c r="G13" s="1048" t="s">
        <v>4486</v>
      </c>
      <c r="H13" s="1173" t="s">
        <v>4487</v>
      </c>
    </row>
    <row r="14" spans="1:16" s="1175" customFormat="1" x14ac:dyDescent="0.25">
      <c r="A14" s="1897"/>
      <c r="B14" s="1898"/>
      <c r="C14" s="1897"/>
      <c r="D14" s="1897"/>
      <c r="E14" s="1897"/>
      <c r="F14" s="1899">
        <v>28</v>
      </c>
      <c r="G14" s="1874" t="s">
        <v>4490</v>
      </c>
      <c r="H14" s="1900" t="s">
        <v>4491</v>
      </c>
      <c r="I14" s="1897"/>
      <c r="J14" s="1897"/>
      <c r="K14" s="1897"/>
      <c r="L14" s="1897"/>
      <c r="M14" s="1897"/>
      <c r="N14" s="1897"/>
      <c r="O14" s="1897"/>
      <c r="P14" s="1897"/>
    </row>
    <row r="15" spans="1:16" x14ac:dyDescent="0.25">
      <c r="A15" s="1170" t="s">
        <v>7280</v>
      </c>
      <c r="B15" s="1171">
        <v>2</v>
      </c>
      <c r="C15" s="1166">
        <v>1</v>
      </c>
      <c r="D15" s="1166" t="s">
        <v>7281</v>
      </c>
      <c r="E15" s="1166">
        <v>10</v>
      </c>
      <c r="F15" s="1172">
        <v>29</v>
      </c>
      <c r="G15" s="1048" t="s">
        <v>4494</v>
      </c>
      <c r="H15" s="1048" t="s">
        <v>4495</v>
      </c>
      <c r="I15" s="1166">
        <v>9</v>
      </c>
      <c r="J15" s="1172">
        <v>109</v>
      </c>
      <c r="K15" s="1048" t="s">
        <v>1846</v>
      </c>
      <c r="L15" s="1048" t="s">
        <v>7180</v>
      </c>
      <c r="M15" s="1166">
        <v>4</v>
      </c>
      <c r="N15" s="1166">
        <v>5</v>
      </c>
    </row>
    <row r="16" spans="1:16" x14ac:dyDescent="0.25">
      <c r="A16" s="1170" t="s">
        <v>7282</v>
      </c>
      <c r="B16" s="1171"/>
      <c r="F16" s="1172">
        <v>30</v>
      </c>
      <c r="G16" s="1048" t="s">
        <v>4498</v>
      </c>
      <c r="H16" s="1048" t="s">
        <v>4499</v>
      </c>
      <c r="J16" s="1172">
        <v>110</v>
      </c>
      <c r="K16" s="1048" t="s">
        <v>1851</v>
      </c>
      <c r="L16" s="1048" t="s">
        <v>7181</v>
      </c>
    </row>
    <row r="17" spans="1:14" x14ac:dyDescent="0.25">
      <c r="B17" s="1171"/>
      <c r="F17" s="1172">
        <v>31</v>
      </c>
      <c r="G17" s="1048" t="s">
        <v>4502</v>
      </c>
      <c r="H17" s="1048" t="s">
        <v>4503</v>
      </c>
      <c r="J17" s="1172">
        <v>111</v>
      </c>
      <c r="K17" s="1048" t="s">
        <v>1857</v>
      </c>
      <c r="L17" s="1048" t="s">
        <v>7182</v>
      </c>
    </row>
    <row r="18" spans="1:14" x14ac:dyDescent="0.25">
      <c r="B18" s="1171"/>
      <c r="F18" s="1172">
        <v>32</v>
      </c>
      <c r="G18" s="1048" t="s">
        <v>4506</v>
      </c>
      <c r="H18" s="1048" t="s">
        <v>4507</v>
      </c>
      <c r="J18" s="1172">
        <v>112</v>
      </c>
      <c r="K18" s="1048" t="s">
        <v>1862</v>
      </c>
      <c r="L18" s="1048" t="s">
        <v>7183</v>
      </c>
    </row>
    <row r="19" spans="1:14" x14ac:dyDescent="0.25">
      <c r="B19" s="1171"/>
      <c r="F19" s="1172">
        <v>33</v>
      </c>
      <c r="G19" s="1048" t="s">
        <v>4510</v>
      </c>
      <c r="H19" s="1048" t="s">
        <v>4511</v>
      </c>
      <c r="J19" s="1172">
        <v>113</v>
      </c>
      <c r="K19" s="1048" t="s">
        <v>1867</v>
      </c>
      <c r="L19" s="1048" t="s">
        <v>7184</v>
      </c>
    </row>
    <row r="20" spans="1:14" x14ac:dyDescent="0.25">
      <c r="B20" s="1171"/>
      <c r="F20" s="1172">
        <v>34</v>
      </c>
      <c r="G20" s="1048" t="s">
        <v>4514</v>
      </c>
      <c r="H20" s="1048" t="s">
        <v>4515</v>
      </c>
      <c r="J20" s="1172">
        <v>114</v>
      </c>
      <c r="K20" s="1048" t="s">
        <v>1870</v>
      </c>
      <c r="L20" s="1048" t="s">
        <v>7185</v>
      </c>
    </row>
    <row r="21" spans="1:14" x14ac:dyDescent="0.25">
      <c r="B21" s="1171"/>
      <c r="F21" s="1172">
        <v>35</v>
      </c>
      <c r="G21" s="1048" t="s">
        <v>4518</v>
      </c>
      <c r="H21" s="1048" t="s">
        <v>4519</v>
      </c>
      <c r="J21" s="1172">
        <v>115</v>
      </c>
      <c r="K21" s="1048" t="s">
        <v>1874</v>
      </c>
      <c r="L21" s="1048" t="s">
        <v>7186</v>
      </c>
    </row>
    <row r="22" spans="1:14" x14ac:dyDescent="0.25">
      <c r="B22" s="1171"/>
      <c r="F22" s="1172">
        <v>36</v>
      </c>
      <c r="G22" s="1048" t="s">
        <v>4522</v>
      </c>
      <c r="H22" s="1048" t="s">
        <v>4523</v>
      </c>
      <c r="J22" s="1172">
        <v>116</v>
      </c>
      <c r="K22" s="1048" t="s">
        <v>1876</v>
      </c>
      <c r="L22" s="1048" t="s">
        <v>7187</v>
      </c>
    </row>
    <row r="23" spans="1:14" x14ac:dyDescent="0.25">
      <c r="B23" s="1171"/>
      <c r="F23" s="1172">
        <v>37</v>
      </c>
      <c r="G23" s="1048" t="s">
        <v>375</v>
      </c>
      <c r="H23" s="1048" t="s">
        <v>4526</v>
      </c>
      <c r="J23" s="1172">
        <v>117</v>
      </c>
      <c r="K23" s="1048" t="s">
        <v>1881</v>
      </c>
      <c r="L23" s="1048" t="s">
        <v>7188</v>
      </c>
    </row>
    <row r="24" spans="1:14" s="1175" customFormat="1" x14ac:dyDescent="0.25">
      <c r="A24" s="1897"/>
      <c r="B24" s="1898"/>
      <c r="C24" s="1897"/>
      <c r="D24" s="1897"/>
      <c r="E24" s="1897"/>
      <c r="F24" s="1899">
        <v>38</v>
      </c>
      <c r="G24" s="1874" t="s">
        <v>376</v>
      </c>
      <c r="H24" s="1874" t="s">
        <v>4529</v>
      </c>
      <c r="I24" s="1897"/>
      <c r="J24" s="1897"/>
      <c r="K24" s="1897"/>
      <c r="L24" s="1897"/>
      <c r="M24" s="1897"/>
      <c r="N24" s="1897"/>
    </row>
    <row r="25" spans="1:14" x14ac:dyDescent="0.25">
      <c r="A25" s="1170" t="s">
        <v>7283</v>
      </c>
      <c r="B25" s="1171">
        <v>3</v>
      </c>
      <c r="C25" s="1166">
        <v>1</v>
      </c>
      <c r="D25" s="1166" t="s">
        <v>7284</v>
      </c>
      <c r="E25" s="1166">
        <v>20</v>
      </c>
      <c r="F25" s="1172">
        <v>41</v>
      </c>
      <c r="G25" s="1048" t="s">
        <v>4540</v>
      </c>
      <c r="H25" s="1048" t="s">
        <v>4541</v>
      </c>
      <c r="I25" s="1166">
        <v>15</v>
      </c>
      <c r="J25" s="1172">
        <v>152</v>
      </c>
      <c r="K25" s="1048" t="s">
        <v>2049</v>
      </c>
      <c r="L25" s="1048" t="s">
        <v>7221</v>
      </c>
      <c r="M25" s="1166">
        <v>4</v>
      </c>
      <c r="N25" s="1166">
        <v>5</v>
      </c>
    </row>
    <row r="26" spans="1:14" x14ac:dyDescent="0.25">
      <c r="A26" s="1170" t="s">
        <v>7285</v>
      </c>
      <c r="B26" s="1171"/>
      <c r="F26" s="1172">
        <v>42</v>
      </c>
      <c r="G26" s="1048" t="s">
        <v>4544</v>
      </c>
      <c r="H26" s="1048" t="s">
        <v>4545</v>
      </c>
      <c r="J26" s="1172">
        <v>153</v>
      </c>
      <c r="K26" s="1048" t="s">
        <v>2051</v>
      </c>
      <c r="L26" s="1048" t="s">
        <v>7222</v>
      </c>
    </row>
    <row r="27" spans="1:14" x14ac:dyDescent="0.25">
      <c r="B27" s="1171"/>
      <c r="F27" s="1172">
        <v>43</v>
      </c>
      <c r="G27" s="1048" t="s">
        <v>4548</v>
      </c>
      <c r="H27" s="1048" t="s">
        <v>4549</v>
      </c>
      <c r="J27" s="1172">
        <v>154</v>
      </c>
      <c r="K27" s="1048" t="s">
        <v>2057</v>
      </c>
      <c r="L27" s="1048" t="s">
        <v>7223</v>
      </c>
    </row>
    <row r="28" spans="1:14" x14ac:dyDescent="0.25">
      <c r="B28" s="1171"/>
      <c r="F28" s="1172">
        <v>44</v>
      </c>
      <c r="G28" s="1048" t="s">
        <v>4552</v>
      </c>
      <c r="H28" s="1048" t="s">
        <v>4553</v>
      </c>
      <c r="J28" s="1172">
        <v>155</v>
      </c>
      <c r="K28" s="1048" t="s">
        <v>5762</v>
      </c>
      <c r="L28" s="1048" t="s">
        <v>7224</v>
      </c>
    </row>
    <row r="29" spans="1:14" x14ac:dyDescent="0.25">
      <c r="B29" s="1171"/>
      <c r="F29" s="1172">
        <v>45</v>
      </c>
      <c r="G29" s="1048" t="s">
        <v>4556</v>
      </c>
      <c r="H29" s="1048" t="s">
        <v>4557</v>
      </c>
      <c r="J29" s="1172">
        <v>156</v>
      </c>
      <c r="K29" s="1048" t="s">
        <v>5763</v>
      </c>
      <c r="L29" s="1048" t="s">
        <v>7225</v>
      </c>
    </row>
    <row r="30" spans="1:14" x14ac:dyDescent="0.25">
      <c r="B30" s="1171"/>
      <c r="F30" s="1172">
        <v>46</v>
      </c>
      <c r="G30" s="1048" t="s">
        <v>4560</v>
      </c>
      <c r="H30" s="1048" t="s">
        <v>4561</v>
      </c>
      <c r="J30" s="1172">
        <v>157</v>
      </c>
      <c r="K30" s="1048" t="s">
        <v>2074</v>
      </c>
      <c r="L30" s="1048" t="s">
        <v>7226</v>
      </c>
    </row>
    <row r="31" spans="1:14" x14ac:dyDescent="0.25">
      <c r="B31" s="1171"/>
      <c r="F31" s="1172">
        <v>47</v>
      </c>
      <c r="G31" s="1048" t="s">
        <v>419</v>
      </c>
      <c r="H31" s="1048" t="s">
        <v>4564</v>
      </c>
      <c r="J31" s="1172">
        <v>158</v>
      </c>
      <c r="K31" s="1048" t="s">
        <v>2079</v>
      </c>
      <c r="L31" s="1048" t="s">
        <v>7227</v>
      </c>
    </row>
    <row r="32" spans="1:14" x14ac:dyDescent="0.25">
      <c r="B32" s="1171"/>
      <c r="F32" s="1172">
        <v>48</v>
      </c>
      <c r="G32" s="1048" t="s">
        <v>420</v>
      </c>
      <c r="H32" s="1048" t="s">
        <v>4567</v>
      </c>
      <c r="J32" s="1172">
        <v>159</v>
      </c>
      <c r="K32" s="1048" t="s">
        <v>2085</v>
      </c>
      <c r="L32" s="1048" t="s">
        <v>7228</v>
      </c>
    </row>
    <row r="33" spans="1:14" x14ac:dyDescent="0.25">
      <c r="B33" s="1171"/>
      <c r="F33" s="1172">
        <v>49</v>
      </c>
      <c r="G33" s="1048" t="s">
        <v>4570</v>
      </c>
      <c r="H33" s="1048" t="s">
        <v>4571</v>
      </c>
      <c r="J33" s="1172">
        <v>160</v>
      </c>
      <c r="K33" s="1048" t="s">
        <v>2091</v>
      </c>
      <c r="L33" s="1048" t="s">
        <v>7229</v>
      </c>
    </row>
    <row r="34" spans="1:14" x14ac:dyDescent="0.25">
      <c r="B34" s="1171"/>
      <c r="F34" s="1172">
        <v>50</v>
      </c>
      <c r="G34" s="1048" t="s">
        <v>4574</v>
      </c>
      <c r="H34" s="1048" t="s">
        <v>4575</v>
      </c>
      <c r="J34" s="1172">
        <v>161</v>
      </c>
      <c r="K34" s="1048" t="s">
        <v>2097</v>
      </c>
      <c r="L34" s="1048" t="s">
        <v>932</v>
      </c>
    </row>
    <row r="35" spans="1:14" x14ac:dyDescent="0.25">
      <c r="B35" s="1171"/>
      <c r="F35" s="1172">
        <v>51</v>
      </c>
      <c r="G35" s="1048" t="s">
        <v>4578</v>
      </c>
      <c r="H35" s="1048" t="s">
        <v>4579</v>
      </c>
      <c r="J35" s="1172">
        <v>162</v>
      </c>
      <c r="K35" s="1048" t="s">
        <v>2101</v>
      </c>
      <c r="L35" s="1048" t="s">
        <v>7230</v>
      </c>
    </row>
    <row r="36" spans="1:14" x14ac:dyDescent="0.25">
      <c r="B36" s="1171"/>
      <c r="F36" s="1172">
        <v>52</v>
      </c>
      <c r="G36" s="1048" t="s">
        <v>4582</v>
      </c>
      <c r="H36" s="1048" t="s">
        <v>4583</v>
      </c>
      <c r="J36" s="1172">
        <v>163</v>
      </c>
      <c r="K36" s="1048" t="s">
        <v>2104</v>
      </c>
      <c r="L36" s="1048" t="s">
        <v>7231</v>
      </c>
    </row>
    <row r="37" spans="1:14" x14ac:dyDescent="0.25">
      <c r="B37" s="1171"/>
      <c r="F37" s="1172">
        <v>53</v>
      </c>
      <c r="G37" s="1048" t="s">
        <v>4586</v>
      </c>
      <c r="H37" s="1048" t="s">
        <v>4587</v>
      </c>
      <c r="J37" s="1172">
        <v>164</v>
      </c>
      <c r="K37" s="1048" t="s">
        <v>5764</v>
      </c>
      <c r="L37" s="1048" t="s">
        <v>7232</v>
      </c>
    </row>
    <row r="38" spans="1:14" x14ac:dyDescent="0.25">
      <c r="B38" s="1171"/>
      <c r="F38" s="1172">
        <v>54</v>
      </c>
      <c r="G38" s="1048" t="s">
        <v>4590</v>
      </c>
      <c r="H38" s="1048" t="s">
        <v>4591</v>
      </c>
      <c r="J38" s="1172">
        <v>165</v>
      </c>
      <c r="K38" s="1048" t="s">
        <v>2110</v>
      </c>
      <c r="L38" s="1048" t="s">
        <v>7233</v>
      </c>
    </row>
    <row r="39" spans="1:14" x14ac:dyDescent="0.25">
      <c r="B39" s="1171"/>
      <c r="F39" s="1172">
        <v>55</v>
      </c>
      <c r="G39" s="1048" t="s">
        <v>4594</v>
      </c>
      <c r="H39" s="1048" t="s">
        <v>4595</v>
      </c>
      <c r="J39" s="1172">
        <v>166</v>
      </c>
      <c r="K39" s="1048" t="s">
        <v>2113</v>
      </c>
      <c r="L39" s="1048" t="s">
        <v>7234</v>
      </c>
    </row>
    <row r="40" spans="1:14" x14ac:dyDescent="0.25">
      <c r="B40" s="1171"/>
      <c r="F40" s="1172">
        <v>56</v>
      </c>
      <c r="G40" s="1048" t="s">
        <v>4598</v>
      </c>
      <c r="H40" s="1048" t="s">
        <v>4599</v>
      </c>
    </row>
    <row r="41" spans="1:14" x14ac:dyDescent="0.25">
      <c r="B41" s="1171"/>
      <c r="F41" s="1172">
        <v>57</v>
      </c>
      <c r="G41" s="1048" t="s">
        <v>412</v>
      </c>
      <c r="H41" s="1048" t="s">
        <v>4602</v>
      </c>
    </row>
    <row r="42" spans="1:14" x14ac:dyDescent="0.25">
      <c r="B42" s="1171"/>
      <c r="F42" s="1172">
        <v>58</v>
      </c>
      <c r="G42" s="1048" t="s">
        <v>413</v>
      </c>
      <c r="H42" s="1048" t="s">
        <v>4605</v>
      </c>
    </row>
    <row r="43" spans="1:14" x14ac:dyDescent="0.25">
      <c r="B43" s="1171"/>
      <c r="F43" s="1172">
        <v>59</v>
      </c>
      <c r="G43" s="1048" t="s">
        <v>4608</v>
      </c>
      <c r="H43" s="1048" t="s">
        <v>4609</v>
      </c>
    </row>
    <row r="44" spans="1:14" s="1175" customFormat="1" x14ac:dyDescent="0.25">
      <c r="A44" s="1897"/>
      <c r="B44" s="1898"/>
      <c r="C44" s="1897"/>
      <c r="D44" s="1897"/>
      <c r="E44" s="1897"/>
      <c r="F44" s="1899">
        <v>60</v>
      </c>
      <c r="G44" s="1874" t="s">
        <v>4612</v>
      </c>
      <c r="H44" s="1874" t="s">
        <v>4613</v>
      </c>
      <c r="I44" s="1897"/>
      <c r="J44" s="1897"/>
      <c r="K44" s="1897"/>
      <c r="L44" s="1897"/>
      <c r="M44" s="1897"/>
      <c r="N44" s="1897"/>
    </row>
    <row r="45" spans="1:14" x14ac:dyDescent="0.25">
      <c r="A45" s="1170" t="s">
        <v>7286</v>
      </c>
      <c r="B45" s="1171">
        <v>4</v>
      </c>
      <c r="C45" s="1166">
        <v>1</v>
      </c>
      <c r="D45" s="1166" t="s">
        <v>7287</v>
      </c>
      <c r="E45" s="1166">
        <v>46</v>
      </c>
      <c r="F45" s="1172">
        <v>61</v>
      </c>
      <c r="G45" s="1048" t="s">
        <v>4616</v>
      </c>
      <c r="H45" s="1048" t="s">
        <v>4617</v>
      </c>
      <c r="I45" s="1166">
        <v>30</v>
      </c>
      <c r="J45" s="1172">
        <v>118</v>
      </c>
      <c r="K45" s="1048" t="s">
        <v>1885</v>
      </c>
      <c r="L45" s="1048" t="s">
        <v>7189</v>
      </c>
      <c r="M45" s="1166">
        <v>4</v>
      </c>
      <c r="N45" s="1166">
        <v>5</v>
      </c>
    </row>
    <row r="46" spans="1:14" x14ac:dyDescent="0.25">
      <c r="A46" s="1170" t="s">
        <v>7288</v>
      </c>
      <c r="B46" s="1171"/>
      <c r="F46" s="1172">
        <v>62</v>
      </c>
      <c r="G46" s="1048" t="s">
        <v>4620</v>
      </c>
      <c r="H46" s="1048" t="s">
        <v>4621</v>
      </c>
      <c r="J46" s="1172">
        <v>119</v>
      </c>
      <c r="K46" s="1048" t="s">
        <v>1887</v>
      </c>
      <c r="L46" s="1048" t="s">
        <v>7190</v>
      </c>
    </row>
    <row r="47" spans="1:14" x14ac:dyDescent="0.25">
      <c r="A47" s="1176" t="s">
        <v>7289</v>
      </c>
      <c r="B47" s="1171"/>
      <c r="F47" s="1172">
        <v>63</v>
      </c>
      <c r="G47" s="1048" t="s">
        <v>4624</v>
      </c>
      <c r="H47" s="1048" t="s">
        <v>4625</v>
      </c>
      <c r="J47" s="1172">
        <v>120</v>
      </c>
      <c r="K47" s="1048" t="s">
        <v>1893</v>
      </c>
      <c r="L47" s="1048" t="s">
        <v>7191</v>
      </c>
    </row>
    <row r="48" spans="1:14" x14ac:dyDescent="0.25">
      <c r="A48" s="1170" t="s">
        <v>7290</v>
      </c>
      <c r="B48" s="1171"/>
      <c r="F48" s="1172">
        <v>64</v>
      </c>
      <c r="G48" s="1048" t="s">
        <v>4628</v>
      </c>
      <c r="H48" s="1048" t="s">
        <v>4629</v>
      </c>
      <c r="J48" s="1172">
        <v>121</v>
      </c>
      <c r="K48" s="1048" t="s">
        <v>1899</v>
      </c>
      <c r="L48" s="1048" t="s">
        <v>7192</v>
      </c>
    </row>
    <row r="49" spans="1:12" x14ac:dyDescent="0.25">
      <c r="A49" s="1170" t="s">
        <v>7291</v>
      </c>
      <c r="B49" s="1171"/>
      <c r="F49" s="1172">
        <v>65</v>
      </c>
      <c r="G49" s="1048" t="s">
        <v>4632</v>
      </c>
      <c r="H49" s="1048" t="s">
        <v>4633</v>
      </c>
      <c r="J49" s="1172">
        <v>122</v>
      </c>
      <c r="K49" s="1048" t="s">
        <v>1906</v>
      </c>
      <c r="L49" s="1048" t="s">
        <v>7193</v>
      </c>
    </row>
    <row r="50" spans="1:12" x14ac:dyDescent="0.25">
      <c r="B50" s="1171"/>
      <c r="F50" s="1172">
        <v>66</v>
      </c>
      <c r="G50" s="1048" t="s">
        <v>4636</v>
      </c>
      <c r="H50" s="1048" t="s">
        <v>4637</v>
      </c>
      <c r="J50" s="1172">
        <v>123</v>
      </c>
      <c r="K50" s="1048" t="s">
        <v>1911</v>
      </c>
      <c r="L50" s="1048" t="s">
        <v>7194</v>
      </c>
    </row>
    <row r="51" spans="1:12" x14ac:dyDescent="0.25">
      <c r="B51" s="1171"/>
      <c r="F51" s="1172">
        <v>67</v>
      </c>
      <c r="G51" s="1048" t="s">
        <v>405</v>
      </c>
      <c r="H51" s="1048" t="s">
        <v>4640</v>
      </c>
      <c r="J51" s="1172">
        <v>124</v>
      </c>
      <c r="K51" s="1048" t="s">
        <v>1917</v>
      </c>
      <c r="L51" s="1048" t="s">
        <v>7195</v>
      </c>
    </row>
    <row r="52" spans="1:12" x14ac:dyDescent="0.25">
      <c r="B52" s="1171"/>
      <c r="F52" s="1172">
        <v>68</v>
      </c>
      <c r="G52" s="1048" t="s">
        <v>406</v>
      </c>
      <c r="H52" s="1048" t="s">
        <v>4643</v>
      </c>
      <c r="J52" s="1172">
        <v>125</v>
      </c>
      <c r="K52" s="1048" t="s">
        <v>1922</v>
      </c>
      <c r="L52" s="1048" t="s">
        <v>7196</v>
      </c>
    </row>
    <row r="53" spans="1:12" x14ac:dyDescent="0.25">
      <c r="B53" s="1171"/>
      <c r="F53" s="1172">
        <v>69</v>
      </c>
      <c r="G53" s="1048" t="s">
        <v>4646</v>
      </c>
      <c r="H53" s="1048" t="s">
        <v>4647</v>
      </c>
      <c r="J53" s="1172">
        <v>126</v>
      </c>
      <c r="K53" s="1048" t="s">
        <v>1928</v>
      </c>
      <c r="L53" s="1048" t="s">
        <v>7197</v>
      </c>
    </row>
    <row r="54" spans="1:12" x14ac:dyDescent="0.25">
      <c r="B54" s="1171"/>
      <c r="F54" s="1172">
        <v>70</v>
      </c>
      <c r="G54" s="1048" t="s">
        <v>4650</v>
      </c>
      <c r="H54" s="1048" t="s">
        <v>4651</v>
      </c>
      <c r="J54" s="1172">
        <v>127</v>
      </c>
      <c r="K54" s="1048" t="s">
        <v>1932</v>
      </c>
      <c r="L54" s="1048" t="s">
        <v>7198</v>
      </c>
    </row>
    <row r="55" spans="1:12" x14ac:dyDescent="0.25">
      <c r="B55" s="1171"/>
      <c r="F55" s="1172">
        <v>71</v>
      </c>
      <c r="G55" s="1048" t="s">
        <v>4654</v>
      </c>
      <c r="H55" s="1048" t="s">
        <v>4655</v>
      </c>
      <c r="J55" s="1172">
        <v>128</v>
      </c>
      <c r="K55" s="1048" t="s">
        <v>1938</v>
      </c>
      <c r="L55" s="1048" t="s">
        <v>7199</v>
      </c>
    </row>
    <row r="56" spans="1:12" x14ac:dyDescent="0.25">
      <c r="B56" s="1171"/>
      <c r="F56" s="1172">
        <v>72</v>
      </c>
      <c r="G56" s="1048" t="s">
        <v>4658</v>
      </c>
      <c r="H56" s="1048" t="s">
        <v>4659</v>
      </c>
      <c r="J56" s="1172">
        <v>129</v>
      </c>
      <c r="K56" s="1048" t="s">
        <v>1944</v>
      </c>
      <c r="L56" s="1048" t="s">
        <v>7200</v>
      </c>
    </row>
    <row r="57" spans="1:12" x14ac:dyDescent="0.25">
      <c r="B57" s="1171"/>
      <c r="F57" s="1172">
        <v>73</v>
      </c>
      <c r="G57" s="1048" t="s">
        <v>400</v>
      </c>
      <c r="H57" s="1048" t="s">
        <v>4662</v>
      </c>
      <c r="J57" s="1172">
        <v>130</v>
      </c>
      <c r="K57" s="1048" t="s">
        <v>1947</v>
      </c>
      <c r="L57" s="1048" t="s">
        <v>7201</v>
      </c>
    </row>
    <row r="58" spans="1:12" x14ac:dyDescent="0.25">
      <c r="B58" s="1171"/>
      <c r="F58" s="1172">
        <v>74</v>
      </c>
      <c r="G58" s="1048" t="s">
        <v>401</v>
      </c>
      <c r="H58" s="1048" t="s">
        <v>4665</v>
      </c>
      <c r="J58" s="1172">
        <v>131</v>
      </c>
      <c r="K58" s="1048" t="s">
        <v>1953</v>
      </c>
      <c r="L58" s="1048" t="s">
        <v>7202</v>
      </c>
    </row>
    <row r="59" spans="1:12" x14ac:dyDescent="0.25">
      <c r="B59" s="1171"/>
      <c r="F59" s="1172">
        <v>75</v>
      </c>
      <c r="G59" s="1048" t="s">
        <v>4668</v>
      </c>
      <c r="H59" s="1048" t="s">
        <v>4669</v>
      </c>
      <c r="J59" s="1172">
        <v>132</v>
      </c>
      <c r="K59" s="1048" t="s">
        <v>1958</v>
      </c>
      <c r="L59" s="1048" t="s">
        <v>7203</v>
      </c>
    </row>
    <row r="60" spans="1:12" x14ac:dyDescent="0.25">
      <c r="B60" s="1171"/>
      <c r="F60" s="1172">
        <v>76</v>
      </c>
      <c r="G60" s="1048" t="s">
        <v>4672</v>
      </c>
      <c r="H60" s="1048" t="s">
        <v>4673</v>
      </c>
      <c r="J60" s="1172">
        <v>133</v>
      </c>
      <c r="K60" s="1048" t="s">
        <v>1964</v>
      </c>
      <c r="L60" s="1048" t="s">
        <v>7204</v>
      </c>
    </row>
    <row r="61" spans="1:12" x14ac:dyDescent="0.25">
      <c r="B61" s="1171"/>
      <c r="F61" s="1172">
        <v>77</v>
      </c>
      <c r="G61" s="1048" t="s">
        <v>4676</v>
      </c>
      <c r="H61" s="1048" t="s">
        <v>4677</v>
      </c>
      <c r="J61" s="1172">
        <v>134</v>
      </c>
      <c r="K61" s="1048" t="s">
        <v>1973</v>
      </c>
      <c r="L61" s="1048" t="s">
        <v>7205</v>
      </c>
    </row>
    <row r="62" spans="1:12" x14ac:dyDescent="0.25">
      <c r="B62" s="1171"/>
      <c r="F62" s="1172">
        <v>78</v>
      </c>
      <c r="G62" s="1048" t="s">
        <v>4680</v>
      </c>
      <c r="H62" s="1048" t="s">
        <v>4681</v>
      </c>
      <c r="J62" s="1172">
        <v>135</v>
      </c>
      <c r="K62" s="1048" t="s">
        <v>1978</v>
      </c>
      <c r="L62" s="1048" t="s">
        <v>7206</v>
      </c>
    </row>
    <row r="63" spans="1:12" x14ac:dyDescent="0.25">
      <c r="B63" s="1171"/>
      <c r="F63" s="1172">
        <v>79</v>
      </c>
      <c r="G63" s="1048" t="s">
        <v>4684</v>
      </c>
      <c r="H63" s="1048" t="s">
        <v>4685</v>
      </c>
      <c r="J63" s="1172">
        <v>136</v>
      </c>
      <c r="K63" s="1048" t="s">
        <v>1983</v>
      </c>
      <c r="L63" s="1048" t="s">
        <v>7207</v>
      </c>
    </row>
    <row r="64" spans="1:12" x14ac:dyDescent="0.25">
      <c r="B64" s="1171"/>
      <c r="F64" s="1172">
        <v>80</v>
      </c>
      <c r="G64" s="1048" t="s">
        <v>4688</v>
      </c>
      <c r="H64" s="1048" t="s">
        <v>4689</v>
      </c>
      <c r="J64" s="1172">
        <v>137</v>
      </c>
      <c r="K64" s="1048" t="s">
        <v>1984</v>
      </c>
      <c r="L64" s="1048" t="s">
        <v>7208</v>
      </c>
    </row>
    <row r="65" spans="2:12" x14ac:dyDescent="0.25">
      <c r="B65" s="1171"/>
      <c r="F65" s="1172">
        <v>81</v>
      </c>
      <c r="G65" s="1048" t="s">
        <v>4692</v>
      </c>
      <c r="H65" s="1048" t="s">
        <v>4693</v>
      </c>
      <c r="J65" s="1172">
        <v>138</v>
      </c>
      <c r="K65" s="1048" t="s">
        <v>1990</v>
      </c>
      <c r="L65" s="1048" t="s">
        <v>7209</v>
      </c>
    </row>
    <row r="66" spans="2:12" x14ac:dyDescent="0.25">
      <c r="B66" s="1171"/>
      <c r="F66" s="1172">
        <v>82</v>
      </c>
      <c r="G66" s="1048" t="s">
        <v>4696</v>
      </c>
      <c r="H66" s="1048" t="s">
        <v>4697</v>
      </c>
      <c r="J66" s="1172">
        <v>139</v>
      </c>
      <c r="K66" s="1048" t="s">
        <v>1996</v>
      </c>
      <c r="L66" s="1048" t="s">
        <v>7210</v>
      </c>
    </row>
    <row r="67" spans="2:12" x14ac:dyDescent="0.25">
      <c r="B67" s="1171"/>
      <c r="F67" s="1172">
        <v>83</v>
      </c>
      <c r="G67" s="1048" t="s">
        <v>394</v>
      </c>
      <c r="H67" s="1048" t="s">
        <v>4700</v>
      </c>
      <c r="J67" s="1172">
        <v>140</v>
      </c>
      <c r="K67" s="1048" t="s">
        <v>1998</v>
      </c>
      <c r="L67" s="1048" t="s">
        <v>7211</v>
      </c>
    </row>
    <row r="68" spans="2:12" x14ac:dyDescent="0.25">
      <c r="B68" s="1171"/>
      <c r="F68" s="1172">
        <v>84</v>
      </c>
      <c r="G68" s="1048" t="s">
        <v>395</v>
      </c>
      <c r="H68" s="1048" t="s">
        <v>4703</v>
      </c>
      <c r="J68" s="1172">
        <v>141</v>
      </c>
      <c r="K68" s="1048" t="s">
        <v>1999</v>
      </c>
      <c r="L68" s="1048" t="s">
        <v>7212</v>
      </c>
    </row>
    <row r="69" spans="2:12" x14ac:dyDescent="0.25">
      <c r="B69" s="1171"/>
      <c r="F69" s="1172">
        <v>85</v>
      </c>
      <c r="G69" s="1048" t="s">
        <v>4706</v>
      </c>
      <c r="H69" s="1048" t="s">
        <v>4707</v>
      </c>
      <c r="J69" s="1172">
        <v>142</v>
      </c>
      <c r="K69" s="1048" t="s">
        <v>2004</v>
      </c>
      <c r="L69" s="1048" t="s">
        <v>7213</v>
      </c>
    </row>
    <row r="70" spans="2:12" x14ac:dyDescent="0.25">
      <c r="B70" s="1171"/>
      <c r="F70" s="1172">
        <v>86</v>
      </c>
      <c r="G70" s="1048" t="s">
        <v>4710</v>
      </c>
      <c r="H70" s="1048" t="s">
        <v>4711</v>
      </c>
      <c r="J70" s="1174">
        <v>144</v>
      </c>
      <c r="K70" s="1048" t="s">
        <v>2014</v>
      </c>
      <c r="L70" s="1048" t="s">
        <v>7215</v>
      </c>
    </row>
    <row r="71" spans="2:12" x14ac:dyDescent="0.25">
      <c r="B71" s="1171"/>
      <c r="F71" s="1172">
        <v>87</v>
      </c>
      <c r="G71" s="1048" t="s">
        <v>4714</v>
      </c>
      <c r="H71" s="1048" t="s">
        <v>4715</v>
      </c>
      <c r="J71" s="1174">
        <v>146</v>
      </c>
      <c r="K71" s="1048" t="s">
        <v>2023</v>
      </c>
      <c r="L71" s="1048" t="s">
        <v>7217</v>
      </c>
    </row>
    <row r="72" spans="2:12" x14ac:dyDescent="0.25">
      <c r="B72" s="1171"/>
      <c r="F72" s="1172">
        <v>88</v>
      </c>
      <c r="G72" s="1048" t="s">
        <v>4718</v>
      </c>
      <c r="H72" s="1048" t="s">
        <v>4719</v>
      </c>
      <c r="J72" s="1174">
        <v>147</v>
      </c>
      <c r="K72" s="1048" t="s">
        <v>2026</v>
      </c>
      <c r="L72" s="1048" t="s">
        <v>2237</v>
      </c>
    </row>
    <row r="73" spans="2:12" x14ac:dyDescent="0.25">
      <c r="B73" s="1171"/>
      <c r="F73" s="1172">
        <v>89</v>
      </c>
      <c r="G73" s="1048" t="s">
        <v>4722</v>
      </c>
      <c r="H73" s="1048" t="s">
        <v>4723</v>
      </c>
      <c r="J73" s="1174">
        <v>148</v>
      </c>
      <c r="K73" s="1048" t="s">
        <v>2030</v>
      </c>
      <c r="L73" s="1048" t="s">
        <v>7218</v>
      </c>
    </row>
    <row r="74" spans="2:12" x14ac:dyDescent="0.25">
      <c r="B74" s="1171"/>
      <c r="F74" s="1172">
        <v>90</v>
      </c>
      <c r="G74" s="1048" t="s">
        <v>4726</v>
      </c>
      <c r="H74" s="1048" t="s">
        <v>4727</v>
      </c>
      <c r="J74" s="1174">
        <v>150</v>
      </c>
      <c r="K74" s="1048" t="s">
        <v>2040</v>
      </c>
      <c r="L74" s="1048" t="s">
        <v>7219</v>
      </c>
    </row>
    <row r="75" spans="2:12" x14ac:dyDescent="0.25">
      <c r="B75" s="1171"/>
      <c r="F75" s="1172">
        <v>91</v>
      </c>
      <c r="G75" s="1048" t="s">
        <v>4730</v>
      </c>
      <c r="H75" s="1048" t="s">
        <v>4731</v>
      </c>
    </row>
    <row r="76" spans="2:12" x14ac:dyDescent="0.25">
      <c r="B76" s="1171"/>
      <c r="F76" s="1172">
        <v>92</v>
      </c>
      <c r="G76" s="1048" t="s">
        <v>4734</v>
      </c>
      <c r="H76" s="1048" t="s">
        <v>4735</v>
      </c>
    </row>
    <row r="77" spans="2:12" x14ac:dyDescent="0.25">
      <c r="B77" s="1171"/>
      <c r="F77" s="1172">
        <v>93</v>
      </c>
      <c r="G77" s="1048" t="s">
        <v>4738</v>
      </c>
      <c r="H77" s="1048" t="s">
        <v>4739</v>
      </c>
    </row>
    <row r="78" spans="2:12" x14ac:dyDescent="0.25">
      <c r="B78" s="1171"/>
      <c r="F78" s="1172">
        <v>94</v>
      </c>
      <c r="G78" s="1048" t="s">
        <v>4742</v>
      </c>
      <c r="H78" s="1048" t="s">
        <v>4743</v>
      </c>
    </row>
    <row r="79" spans="2:12" x14ac:dyDescent="0.25">
      <c r="B79" s="1171"/>
      <c r="F79" s="1172">
        <v>95</v>
      </c>
      <c r="G79" s="1048" t="s">
        <v>388</v>
      </c>
      <c r="H79" s="1048" t="s">
        <v>4746</v>
      </c>
    </row>
    <row r="80" spans="2:12" x14ac:dyDescent="0.25">
      <c r="B80" s="1171"/>
      <c r="F80" s="1172">
        <v>96</v>
      </c>
      <c r="G80" s="1048" t="s">
        <v>389</v>
      </c>
      <c r="H80" s="1048" t="s">
        <v>4749</v>
      </c>
    </row>
    <row r="81" spans="1:14" x14ac:dyDescent="0.25">
      <c r="B81" s="1171"/>
      <c r="F81" s="1172">
        <v>97</v>
      </c>
      <c r="G81" s="1048" t="s">
        <v>4752</v>
      </c>
      <c r="H81" s="1048" t="s">
        <v>4753</v>
      </c>
    </row>
    <row r="82" spans="1:14" x14ac:dyDescent="0.25">
      <c r="B82" s="1171"/>
      <c r="F82" s="1172">
        <v>98</v>
      </c>
      <c r="G82" s="1048" t="s">
        <v>4756</v>
      </c>
      <c r="H82" s="1048" t="s">
        <v>4757</v>
      </c>
    </row>
    <row r="83" spans="1:14" x14ac:dyDescent="0.25">
      <c r="B83" s="1171"/>
      <c r="F83" s="1172">
        <v>99</v>
      </c>
      <c r="G83" s="1048" t="s">
        <v>381</v>
      </c>
      <c r="H83" s="1048" t="s">
        <v>4760</v>
      </c>
    </row>
    <row r="84" spans="1:14" x14ac:dyDescent="0.25">
      <c r="B84" s="1171"/>
      <c r="F84" s="1172">
        <v>100</v>
      </c>
      <c r="G84" s="1048" t="s">
        <v>382</v>
      </c>
      <c r="H84" s="1048" t="s">
        <v>4763</v>
      </c>
    </row>
    <row r="85" spans="1:14" x14ac:dyDescent="0.25">
      <c r="B85" s="1171"/>
      <c r="F85" s="1172">
        <v>101</v>
      </c>
      <c r="G85" s="1048" t="s">
        <v>4766</v>
      </c>
      <c r="H85" s="1048" t="s">
        <v>4767</v>
      </c>
    </row>
    <row r="86" spans="1:14" x14ac:dyDescent="0.25">
      <c r="B86" s="1171"/>
      <c r="F86" s="1172">
        <v>102</v>
      </c>
      <c r="G86" s="1048" t="s">
        <v>4770</v>
      </c>
      <c r="H86" s="1048" t="s">
        <v>4771</v>
      </c>
    </row>
    <row r="87" spans="1:14" x14ac:dyDescent="0.25">
      <c r="B87" s="1171"/>
      <c r="F87" s="1172">
        <v>103</v>
      </c>
      <c r="G87" s="1048" t="s">
        <v>4774</v>
      </c>
      <c r="H87" s="1048" t="s">
        <v>4775</v>
      </c>
    </row>
    <row r="88" spans="1:14" x14ac:dyDescent="0.25">
      <c r="B88" s="1171"/>
      <c r="F88" s="1172">
        <v>104</v>
      </c>
      <c r="G88" s="1048" t="s">
        <v>4778</v>
      </c>
      <c r="H88" s="1048" t="s">
        <v>4779</v>
      </c>
    </row>
    <row r="89" spans="1:14" x14ac:dyDescent="0.25">
      <c r="B89" s="1171"/>
      <c r="F89" s="1172">
        <v>105</v>
      </c>
      <c r="G89" s="1048" t="s">
        <v>4782</v>
      </c>
      <c r="H89" s="1048" t="s">
        <v>4783</v>
      </c>
    </row>
    <row r="90" spans="1:14" s="1175" customFormat="1" x14ac:dyDescent="0.25">
      <c r="A90" s="1897"/>
      <c r="B90" s="1898"/>
      <c r="C90" s="1897"/>
      <c r="D90" s="1897"/>
      <c r="E90" s="1897"/>
      <c r="F90" s="1899">
        <v>106</v>
      </c>
      <c r="G90" s="1874" t="s">
        <v>4786</v>
      </c>
      <c r="H90" s="1874" t="s">
        <v>4787</v>
      </c>
      <c r="I90" s="1897"/>
      <c r="J90" s="1897"/>
      <c r="K90" s="1897"/>
      <c r="L90" s="1897"/>
      <c r="M90" s="1897"/>
      <c r="N90" s="1897"/>
    </row>
    <row r="91" spans="1:14" ht="26.25" x14ac:dyDescent="0.25">
      <c r="A91" s="1177" t="s">
        <v>7292</v>
      </c>
      <c r="B91" s="1171">
        <v>5</v>
      </c>
      <c r="C91" s="1166">
        <v>1</v>
      </c>
      <c r="D91" s="1166" t="s">
        <v>7293</v>
      </c>
      <c r="E91" s="1166">
        <v>6</v>
      </c>
      <c r="F91" s="1172">
        <v>95</v>
      </c>
      <c r="G91" s="1048" t="s">
        <v>388</v>
      </c>
      <c r="H91" s="1048" t="s">
        <v>4746</v>
      </c>
      <c r="I91" s="1166">
        <v>4</v>
      </c>
      <c r="J91" s="1172">
        <v>121</v>
      </c>
      <c r="K91" s="1048" t="s">
        <v>1899</v>
      </c>
      <c r="L91" s="1048" t="s">
        <v>7192</v>
      </c>
      <c r="M91" s="1166">
        <v>4</v>
      </c>
      <c r="N91" s="1166">
        <v>5</v>
      </c>
    </row>
    <row r="92" spans="1:14" ht="26.25" x14ac:dyDescent="0.25">
      <c r="A92" s="1178" t="s">
        <v>7294</v>
      </c>
      <c r="B92" s="1171"/>
      <c r="F92" s="1172">
        <v>96</v>
      </c>
      <c r="G92" s="1048" t="s">
        <v>389</v>
      </c>
      <c r="H92" s="1048" t="s">
        <v>4749</v>
      </c>
      <c r="J92" s="1174">
        <v>122</v>
      </c>
      <c r="K92" s="1048" t="s">
        <v>1906</v>
      </c>
      <c r="L92" s="1048" t="s">
        <v>7193</v>
      </c>
    </row>
    <row r="93" spans="1:14" x14ac:dyDescent="0.25">
      <c r="B93" s="1171"/>
      <c r="F93" s="1172">
        <v>97</v>
      </c>
      <c r="G93" s="1048" t="s">
        <v>4752</v>
      </c>
      <c r="H93" s="1048" t="s">
        <v>4753</v>
      </c>
      <c r="J93" s="1174">
        <v>126</v>
      </c>
      <c r="K93" s="1048" t="s">
        <v>1928</v>
      </c>
      <c r="L93" s="1048" t="s">
        <v>7197</v>
      </c>
    </row>
    <row r="94" spans="1:14" x14ac:dyDescent="0.25">
      <c r="B94" s="1171"/>
      <c r="F94" s="1174">
        <v>98</v>
      </c>
      <c r="G94" s="1048" t="s">
        <v>4756</v>
      </c>
      <c r="H94" s="1048" t="s">
        <v>4757</v>
      </c>
      <c r="J94" s="1172">
        <v>127</v>
      </c>
      <c r="K94" s="1048" t="s">
        <v>1932</v>
      </c>
      <c r="L94" s="1048" t="s">
        <v>7198</v>
      </c>
    </row>
    <row r="95" spans="1:14" x14ac:dyDescent="0.25">
      <c r="B95" s="1171"/>
      <c r="F95" s="1174">
        <v>103</v>
      </c>
      <c r="G95" s="1048" t="s">
        <v>4774</v>
      </c>
      <c r="H95" s="1048" t="s">
        <v>4775</v>
      </c>
    </row>
    <row r="96" spans="1:14" s="1175" customFormat="1" x14ac:dyDescent="0.25">
      <c r="A96" s="1897"/>
      <c r="B96" s="1898"/>
      <c r="C96" s="1897"/>
      <c r="D96" s="1897"/>
      <c r="E96" s="1897"/>
      <c r="F96" s="1899">
        <v>104</v>
      </c>
      <c r="G96" s="1874" t="s">
        <v>4778</v>
      </c>
      <c r="H96" s="1874" t="s">
        <v>4779</v>
      </c>
      <c r="I96" s="1897"/>
      <c r="J96" s="1897"/>
      <c r="K96" s="1897"/>
      <c r="L96" s="1897"/>
      <c r="M96" s="1897"/>
      <c r="N96" s="1897"/>
    </row>
    <row r="97" spans="1:14" s="1179" customFormat="1" x14ac:dyDescent="0.25">
      <c r="A97" s="1986"/>
      <c r="B97" s="1987">
        <v>6</v>
      </c>
      <c r="C97" s="1986"/>
      <c r="D97" s="1988" t="s">
        <v>7295</v>
      </c>
      <c r="E97" s="1986"/>
      <c r="F97" s="1986"/>
      <c r="G97" s="1986"/>
      <c r="H97" s="1986"/>
      <c r="I97" s="1986"/>
      <c r="J97" s="1986"/>
      <c r="K97" s="1986"/>
      <c r="L97" s="1986"/>
      <c r="M97" s="1986"/>
      <c r="N97" s="1986"/>
    </row>
    <row r="98" spans="1:14" x14ac:dyDescent="0.25">
      <c r="A98" s="1170" t="s">
        <v>7296</v>
      </c>
      <c r="B98" s="1171">
        <v>7</v>
      </c>
      <c r="C98" s="1166">
        <v>1</v>
      </c>
      <c r="D98" s="1166" t="s">
        <v>7297</v>
      </c>
      <c r="E98" s="1166">
        <v>22</v>
      </c>
      <c r="F98" s="1172">
        <v>61</v>
      </c>
      <c r="G98" s="1048" t="s">
        <v>4616</v>
      </c>
      <c r="H98" s="1048" t="s">
        <v>4617</v>
      </c>
      <c r="I98" s="1166">
        <v>16</v>
      </c>
      <c r="J98" s="1172">
        <v>136</v>
      </c>
      <c r="K98" s="1048" t="s">
        <v>1983</v>
      </c>
      <c r="L98" s="1048" t="s">
        <v>7207</v>
      </c>
      <c r="M98" s="1166">
        <v>4</v>
      </c>
      <c r="N98" s="1166">
        <v>5</v>
      </c>
    </row>
    <row r="99" spans="1:14" x14ac:dyDescent="0.25">
      <c r="A99" s="1048"/>
      <c r="B99" s="1171"/>
      <c r="F99" s="1172">
        <v>62</v>
      </c>
      <c r="G99" s="1048" t="s">
        <v>4620</v>
      </c>
      <c r="H99" s="1048" t="s">
        <v>4621</v>
      </c>
      <c r="J99" s="1172">
        <v>137</v>
      </c>
      <c r="K99" s="1048" t="s">
        <v>1984</v>
      </c>
      <c r="L99" s="1048" t="s">
        <v>7208</v>
      </c>
    </row>
    <row r="100" spans="1:14" x14ac:dyDescent="0.25">
      <c r="B100" s="1171"/>
      <c r="F100" s="1172">
        <v>63</v>
      </c>
      <c r="G100" s="1048" t="s">
        <v>4624</v>
      </c>
      <c r="H100" s="1048" t="s">
        <v>4625</v>
      </c>
      <c r="J100" s="1172">
        <v>138</v>
      </c>
      <c r="K100" s="1048" t="s">
        <v>1990</v>
      </c>
      <c r="L100" s="1048" t="s">
        <v>7209</v>
      </c>
    </row>
    <row r="101" spans="1:14" x14ac:dyDescent="0.25">
      <c r="B101" s="1171"/>
      <c r="F101" s="1172">
        <v>64</v>
      </c>
      <c r="G101" s="1048" t="s">
        <v>4628</v>
      </c>
      <c r="H101" s="1048" t="s">
        <v>4629</v>
      </c>
      <c r="J101" s="1172">
        <v>139</v>
      </c>
      <c r="K101" s="1048" t="s">
        <v>1996</v>
      </c>
      <c r="L101" s="1048" t="s">
        <v>7210</v>
      </c>
    </row>
    <row r="102" spans="1:14" x14ac:dyDescent="0.25">
      <c r="B102" s="1171"/>
      <c r="F102" s="1172">
        <v>65</v>
      </c>
      <c r="G102" s="1048" t="s">
        <v>4632</v>
      </c>
      <c r="H102" s="1048" t="s">
        <v>4633</v>
      </c>
      <c r="J102" s="1172">
        <v>140</v>
      </c>
      <c r="K102" s="1048" t="s">
        <v>1998</v>
      </c>
      <c r="L102" s="1048" t="s">
        <v>7211</v>
      </c>
    </row>
    <row r="103" spans="1:14" x14ac:dyDescent="0.25">
      <c r="B103" s="1171"/>
      <c r="F103" s="1172">
        <v>66</v>
      </c>
      <c r="G103" s="1048" t="s">
        <v>4636</v>
      </c>
      <c r="H103" s="1048" t="s">
        <v>4637</v>
      </c>
      <c r="J103" s="1172">
        <v>141</v>
      </c>
      <c r="K103" s="1048" t="s">
        <v>1999</v>
      </c>
      <c r="L103" s="1048" t="s">
        <v>7212</v>
      </c>
    </row>
    <row r="104" spans="1:14" x14ac:dyDescent="0.25">
      <c r="B104" s="1171"/>
      <c r="F104" s="1172">
        <v>67</v>
      </c>
      <c r="G104" s="1048" t="s">
        <v>405</v>
      </c>
      <c r="H104" s="1048" t="s">
        <v>4640</v>
      </c>
      <c r="J104" s="1172">
        <v>142</v>
      </c>
      <c r="K104" s="1048" t="s">
        <v>2004</v>
      </c>
      <c r="L104" s="1048" t="s">
        <v>7213</v>
      </c>
    </row>
    <row r="105" spans="1:14" x14ac:dyDescent="0.25">
      <c r="B105" s="1171"/>
      <c r="F105" s="1172">
        <v>68</v>
      </c>
      <c r="G105" s="1048" t="s">
        <v>406</v>
      </c>
      <c r="H105" s="1048" t="s">
        <v>4643</v>
      </c>
      <c r="J105" s="1172">
        <v>143</v>
      </c>
      <c r="K105" s="1048" t="s">
        <v>2009</v>
      </c>
      <c r="L105" s="1048" t="s">
        <v>7214</v>
      </c>
    </row>
    <row r="106" spans="1:14" x14ac:dyDescent="0.25">
      <c r="B106" s="1171"/>
      <c r="F106" s="1172">
        <v>69</v>
      </c>
      <c r="G106" s="1048" t="s">
        <v>4646</v>
      </c>
      <c r="H106" s="1048" t="s">
        <v>4647</v>
      </c>
      <c r="J106" s="1172">
        <v>144</v>
      </c>
      <c r="K106" s="1048" t="s">
        <v>2014</v>
      </c>
      <c r="L106" s="1048" t="s">
        <v>7215</v>
      </c>
    </row>
    <row r="107" spans="1:14" x14ac:dyDescent="0.25">
      <c r="B107" s="1171"/>
      <c r="F107" s="1172">
        <v>70</v>
      </c>
      <c r="G107" s="1048" t="s">
        <v>4650</v>
      </c>
      <c r="H107" s="1048" t="s">
        <v>4651</v>
      </c>
      <c r="J107" s="1172">
        <v>145</v>
      </c>
      <c r="K107" s="1048" t="s">
        <v>2019</v>
      </c>
      <c r="L107" s="1048" t="s">
        <v>7216</v>
      </c>
    </row>
    <row r="108" spans="1:14" x14ac:dyDescent="0.25">
      <c r="B108" s="1171"/>
      <c r="F108" s="1172">
        <v>71</v>
      </c>
      <c r="G108" s="1048" t="s">
        <v>4654</v>
      </c>
      <c r="H108" s="1048" t="s">
        <v>4655</v>
      </c>
      <c r="J108" s="1172">
        <v>146</v>
      </c>
      <c r="K108" s="1048" t="s">
        <v>2023</v>
      </c>
      <c r="L108" s="1048" t="s">
        <v>7217</v>
      </c>
    </row>
    <row r="109" spans="1:14" x14ac:dyDescent="0.25">
      <c r="B109" s="1171"/>
      <c r="F109" s="1172">
        <v>72</v>
      </c>
      <c r="G109" s="1048" t="s">
        <v>4658</v>
      </c>
      <c r="H109" s="1048" t="s">
        <v>4659</v>
      </c>
      <c r="J109" s="1172">
        <v>147</v>
      </c>
      <c r="K109" s="1048" t="s">
        <v>2026</v>
      </c>
      <c r="L109" s="1048" t="s">
        <v>2237</v>
      </c>
    </row>
    <row r="110" spans="1:14" x14ac:dyDescent="0.25">
      <c r="B110" s="1171"/>
      <c r="F110" s="1172">
        <v>73</v>
      </c>
      <c r="G110" s="1048" t="s">
        <v>400</v>
      </c>
      <c r="H110" s="1048" t="s">
        <v>4662</v>
      </c>
      <c r="J110" s="1172">
        <v>148</v>
      </c>
      <c r="K110" s="1048" t="s">
        <v>2030</v>
      </c>
      <c r="L110" s="1048" t="s">
        <v>7218</v>
      </c>
    </row>
    <row r="111" spans="1:14" x14ac:dyDescent="0.25">
      <c r="B111" s="1171"/>
      <c r="F111" s="1172">
        <v>74</v>
      </c>
      <c r="G111" s="1048" t="s">
        <v>401</v>
      </c>
      <c r="H111" s="1048" t="s">
        <v>4665</v>
      </c>
      <c r="J111" s="1172">
        <v>149</v>
      </c>
      <c r="K111" s="1048" t="s">
        <v>2035</v>
      </c>
      <c r="L111" s="1048" t="s">
        <v>2246</v>
      </c>
    </row>
    <row r="112" spans="1:14" x14ac:dyDescent="0.25">
      <c r="B112" s="1171"/>
      <c r="F112" s="1172">
        <v>75</v>
      </c>
      <c r="G112" s="1048" t="s">
        <v>4668</v>
      </c>
      <c r="H112" s="1048" t="s">
        <v>4669</v>
      </c>
      <c r="J112" s="1172">
        <v>150</v>
      </c>
      <c r="K112" s="1048" t="s">
        <v>2040</v>
      </c>
      <c r="L112" s="1048" t="s">
        <v>7219</v>
      </c>
    </row>
    <row r="113" spans="2:14" x14ac:dyDescent="0.25">
      <c r="B113" s="1171"/>
      <c r="F113" s="1172">
        <v>76</v>
      </c>
      <c r="G113" s="1048" t="s">
        <v>4672</v>
      </c>
      <c r="H113" s="1048" t="s">
        <v>4673</v>
      </c>
      <c r="J113" s="1172">
        <v>151</v>
      </c>
      <c r="K113" s="1048" t="s">
        <v>2045</v>
      </c>
      <c r="L113" s="1048" t="s">
        <v>7220</v>
      </c>
    </row>
    <row r="114" spans="2:14" x14ac:dyDescent="0.25">
      <c r="B114" s="1171"/>
      <c r="F114" s="1172">
        <v>77</v>
      </c>
      <c r="G114" s="1048" t="s">
        <v>4676</v>
      </c>
      <c r="H114" s="1048" t="s">
        <v>4677</v>
      </c>
    </row>
    <row r="115" spans="2:14" x14ac:dyDescent="0.25">
      <c r="B115" s="1171"/>
      <c r="F115" s="1172">
        <v>78</v>
      </c>
      <c r="G115" s="1048" t="s">
        <v>4680</v>
      </c>
      <c r="H115" s="1048" t="s">
        <v>4681</v>
      </c>
    </row>
    <row r="116" spans="2:14" x14ac:dyDescent="0.25">
      <c r="B116" s="1171"/>
      <c r="F116" s="1172">
        <v>79</v>
      </c>
      <c r="G116" s="1048" t="s">
        <v>4684</v>
      </c>
      <c r="H116" s="1048" t="s">
        <v>4685</v>
      </c>
    </row>
    <row r="117" spans="2:14" x14ac:dyDescent="0.25">
      <c r="B117" s="1171"/>
      <c r="F117" s="1172">
        <v>80</v>
      </c>
      <c r="G117" s="1048" t="s">
        <v>4688</v>
      </c>
      <c r="H117" s="1048" t="s">
        <v>4689</v>
      </c>
    </row>
    <row r="118" spans="2:14" x14ac:dyDescent="0.25">
      <c r="B118" s="1171"/>
      <c r="F118" s="1172">
        <v>81</v>
      </c>
      <c r="G118" s="1048" t="s">
        <v>4692</v>
      </c>
      <c r="H118" s="1048" t="s">
        <v>4693</v>
      </c>
    </row>
    <row r="119" spans="2:14" s="1175" customFormat="1" x14ac:dyDescent="0.25">
      <c r="B119" s="1898"/>
      <c r="C119" s="1897"/>
      <c r="D119" s="1897"/>
      <c r="E119" s="1897"/>
      <c r="F119" s="1899">
        <v>82</v>
      </c>
      <c r="G119" s="1874" t="s">
        <v>4696</v>
      </c>
      <c r="H119" s="1874" t="s">
        <v>4697</v>
      </c>
      <c r="I119" s="1897"/>
      <c r="J119" s="1897"/>
      <c r="K119" s="1897"/>
      <c r="L119" s="1897"/>
      <c r="M119" s="1897"/>
      <c r="N119" s="1897"/>
    </row>
    <row r="120" spans="2:14" x14ac:dyDescent="0.25">
      <c r="B120" s="1168">
        <v>8</v>
      </c>
      <c r="C120" s="1166">
        <v>1</v>
      </c>
      <c r="D120" s="1166" t="s">
        <v>7298</v>
      </c>
      <c r="E120" s="1166">
        <v>16</v>
      </c>
      <c r="F120" s="1172">
        <v>1</v>
      </c>
      <c r="G120" s="1048" t="s">
        <v>4387</v>
      </c>
      <c r="H120" s="1048" t="s">
        <v>4388</v>
      </c>
      <c r="I120" s="1166">
        <v>3</v>
      </c>
      <c r="J120" s="1172">
        <v>96</v>
      </c>
      <c r="K120" s="1048" t="s">
        <v>1274</v>
      </c>
      <c r="L120" s="1048" t="s">
        <v>7168</v>
      </c>
      <c r="M120" s="1166">
        <v>4</v>
      </c>
      <c r="N120" s="1166">
        <v>5</v>
      </c>
    </row>
    <row r="121" spans="2:14" x14ac:dyDescent="0.25">
      <c r="B121" s="1168"/>
      <c r="F121" s="1172">
        <v>2</v>
      </c>
      <c r="G121" s="1048" t="s">
        <v>4391</v>
      </c>
      <c r="H121" s="1048" t="s">
        <v>4392</v>
      </c>
      <c r="J121" s="1172">
        <v>97</v>
      </c>
      <c r="K121" s="1048" t="s">
        <v>1277</v>
      </c>
      <c r="L121" s="1048" t="s">
        <v>7169</v>
      </c>
    </row>
    <row r="122" spans="2:14" x14ac:dyDescent="0.25">
      <c r="B122" s="1168"/>
      <c r="F122" s="1172">
        <v>3</v>
      </c>
      <c r="G122" s="1048" t="s">
        <v>4395</v>
      </c>
      <c r="H122" s="1048" t="s">
        <v>4396</v>
      </c>
      <c r="J122" s="1172">
        <v>98</v>
      </c>
      <c r="K122" s="1048" t="s">
        <v>1798</v>
      </c>
      <c r="L122" s="1048" t="s">
        <v>1278</v>
      </c>
    </row>
    <row r="123" spans="2:14" x14ac:dyDescent="0.25">
      <c r="B123" s="1168"/>
      <c r="F123" s="1172">
        <v>4</v>
      </c>
      <c r="G123" s="1048" t="s">
        <v>4400</v>
      </c>
      <c r="H123" s="1048" t="s">
        <v>4401</v>
      </c>
    </row>
    <row r="124" spans="2:14" x14ac:dyDescent="0.25">
      <c r="B124" s="1168"/>
      <c r="F124" s="1172">
        <v>5</v>
      </c>
      <c r="G124" s="1048" t="s">
        <v>361</v>
      </c>
      <c r="H124" s="1048" t="s">
        <v>4406</v>
      </c>
    </row>
    <row r="125" spans="2:14" x14ac:dyDescent="0.25">
      <c r="B125" s="1168"/>
      <c r="F125" s="1172">
        <v>6</v>
      </c>
      <c r="G125" s="1048" t="s">
        <v>362</v>
      </c>
      <c r="H125" s="1048" t="s">
        <v>4409</v>
      </c>
    </row>
    <row r="126" spans="2:14" x14ac:dyDescent="0.25">
      <c r="B126" s="1168"/>
      <c r="F126" s="1172">
        <v>7</v>
      </c>
      <c r="G126" s="1048" t="s">
        <v>353</v>
      </c>
      <c r="H126" s="1048" t="s">
        <v>4412</v>
      </c>
    </row>
    <row r="127" spans="2:14" x14ac:dyDescent="0.25">
      <c r="B127" s="1168"/>
      <c r="F127" s="1172">
        <v>8</v>
      </c>
      <c r="G127" s="1048" t="s">
        <v>354</v>
      </c>
      <c r="H127" s="1048" t="s">
        <v>4415</v>
      </c>
    </row>
    <row r="128" spans="2:14" x14ac:dyDescent="0.25">
      <c r="B128" s="1168"/>
      <c r="F128" s="1172">
        <v>9</v>
      </c>
      <c r="G128" s="1048" t="s">
        <v>4404</v>
      </c>
      <c r="H128" s="1048" t="s">
        <v>4418</v>
      </c>
    </row>
    <row r="129" spans="1:14" x14ac:dyDescent="0.25">
      <c r="B129" s="1168"/>
      <c r="F129" s="1172">
        <v>10</v>
      </c>
      <c r="G129" s="1048" t="s">
        <v>4405</v>
      </c>
      <c r="H129" s="1048" t="s">
        <v>4421</v>
      </c>
    </row>
    <row r="130" spans="1:14" x14ac:dyDescent="0.25">
      <c r="B130" s="1168"/>
      <c r="F130" s="1172">
        <v>11</v>
      </c>
      <c r="G130" s="1048" t="s">
        <v>4424</v>
      </c>
      <c r="H130" s="1048" t="s">
        <v>4425</v>
      </c>
    </row>
    <row r="131" spans="1:14" x14ac:dyDescent="0.25">
      <c r="B131" s="1168"/>
      <c r="F131" s="1172">
        <v>12</v>
      </c>
      <c r="G131" s="1048" t="s">
        <v>4428</v>
      </c>
      <c r="H131" s="1048" t="s">
        <v>4429</v>
      </c>
    </row>
    <row r="132" spans="1:14" x14ac:dyDescent="0.25">
      <c r="B132" s="1168"/>
      <c r="F132" s="1172">
        <v>13</v>
      </c>
      <c r="G132" s="1048" t="s">
        <v>4432</v>
      </c>
      <c r="H132" s="1048" t="s">
        <v>4433</v>
      </c>
    </row>
    <row r="133" spans="1:14" x14ac:dyDescent="0.25">
      <c r="B133" s="1168"/>
      <c r="F133" s="1172">
        <v>14</v>
      </c>
      <c r="G133" s="1048" t="s">
        <v>4436</v>
      </c>
      <c r="H133" s="1048" t="s">
        <v>4437</v>
      </c>
    </row>
    <row r="134" spans="1:14" x14ac:dyDescent="0.25">
      <c r="B134" s="1168"/>
      <c r="F134" s="1172">
        <v>15</v>
      </c>
      <c r="G134" s="1048" t="s">
        <v>4440</v>
      </c>
      <c r="H134" s="1048" t="s">
        <v>4441</v>
      </c>
    </row>
    <row r="135" spans="1:14" s="1175" customFormat="1" x14ac:dyDescent="0.25">
      <c r="A135" s="1897"/>
      <c r="B135" s="1901"/>
      <c r="C135" s="1897"/>
      <c r="D135" s="1897"/>
      <c r="E135" s="1897"/>
      <c r="F135" s="1899">
        <v>16</v>
      </c>
      <c r="G135" s="1874" t="s">
        <v>4444</v>
      </c>
      <c r="H135" s="1874" t="s">
        <v>4445</v>
      </c>
      <c r="I135" s="1897"/>
      <c r="J135" s="1897"/>
      <c r="K135" s="1897"/>
      <c r="L135" s="1897"/>
      <c r="M135" s="1897"/>
      <c r="N135" s="1897"/>
    </row>
    <row r="136" spans="1:14" x14ac:dyDescent="0.25">
      <c r="A136" s="1170" t="s">
        <v>7299</v>
      </c>
      <c r="B136" s="1171">
        <v>9</v>
      </c>
      <c r="C136" s="1166">
        <v>1</v>
      </c>
      <c r="D136" s="1166" t="s">
        <v>7300</v>
      </c>
      <c r="E136" s="1166">
        <v>12</v>
      </c>
      <c r="F136" s="1172">
        <v>29</v>
      </c>
      <c r="G136" s="1048" t="s">
        <v>4494</v>
      </c>
      <c r="H136" s="1048" t="s">
        <v>4495</v>
      </c>
      <c r="I136" s="1166">
        <v>9</v>
      </c>
      <c r="J136" s="1172">
        <v>109</v>
      </c>
      <c r="K136" s="1048" t="s">
        <v>1846</v>
      </c>
      <c r="L136" s="1048" t="s">
        <v>7180</v>
      </c>
      <c r="M136" s="1166">
        <v>4</v>
      </c>
      <c r="N136" s="1166">
        <v>5</v>
      </c>
    </row>
    <row r="137" spans="1:14" x14ac:dyDescent="0.25">
      <c r="B137" s="1171"/>
      <c r="F137" s="1172">
        <v>30</v>
      </c>
      <c r="G137" s="1048" t="s">
        <v>4498</v>
      </c>
      <c r="H137" s="1048" t="s">
        <v>4499</v>
      </c>
      <c r="J137" s="1172">
        <v>110</v>
      </c>
      <c r="K137" s="1048" t="s">
        <v>1851</v>
      </c>
      <c r="L137" s="1048" t="s">
        <v>7181</v>
      </c>
    </row>
    <row r="138" spans="1:14" x14ac:dyDescent="0.25">
      <c r="B138" s="1171"/>
      <c r="F138" s="1172">
        <v>31</v>
      </c>
      <c r="G138" s="1048" t="s">
        <v>4502</v>
      </c>
      <c r="H138" s="1048" t="s">
        <v>4503</v>
      </c>
      <c r="J138" s="1172">
        <v>111</v>
      </c>
      <c r="K138" s="1048" t="s">
        <v>1857</v>
      </c>
      <c r="L138" s="1048" t="s">
        <v>7182</v>
      </c>
    </row>
    <row r="139" spans="1:14" x14ac:dyDescent="0.25">
      <c r="B139" s="1171"/>
      <c r="F139" s="1172">
        <v>32</v>
      </c>
      <c r="G139" s="1048" t="s">
        <v>4506</v>
      </c>
      <c r="H139" s="1048" t="s">
        <v>4507</v>
      </c>
      <c r="J139" s="1172">
        <v>112</v>
      </c>
      <c r="K139" s="1048" t="s">
        <v>1862</v>
      </c>
      <c r="L139" s="1048" t="s">
        <v>7183</v>
      </c>
    </row>
    <row r="140" spans="1:14" x14ac:dyDescent="0.25">
      <c r="B140" s="1171"/>
      <c r="F140" s="1172">
        <v>33</v>
      </c>
      <c r="G140" s="1048" t="s">
        <v>4510</v>
      </c>
      <c r="H140" s="1048" t="s">
        <v>4511</v>
      </c>
      <c r="J140" s="1172">
        <v>113</v>
      </c>
      <c r="K140" s="1048" t="s">
        <v>1867</v>
      </c>
      <c r="L140" s="1048" t="s">
        <v>7184</v>
      </c>
    </row>
    <row r="141" spans="1:14" x14ac:dyDescent="0.25">
      <c r="B141" s="1171"/>
      <c r="F141" s="1172">
        <v>34</v>
      </c>
      <c r="G141" s="1048" t="s">
        <v>4514</v>
      </c>
      <c r="H141" s="1048" t="s">
        <v>4515</v>
      </c>
      <c r="J141" s="1172">
        <v>114</v>
      </c>
      <c r="K141" s="1048" t="s">
        <v>1870</v>
      </c>
      <c r="L141" s="1048" t="s">
        <v>7185</v>
      </c>
    </row>
    <row r="142" spans="1:14" x14ac:dyDescent="0.25">
      <c r="B142" s="1171"/>
      <c r="F142" s="1172">
        <v>35</v>
      </c>
      <c r="G142" s="1048" t="s">
        <v>4518</v>
      </c>
      <c r="H142" s="1048" t="s">
        <v>4519</v>
      </c>
      <c r="J142" s="1172">
        <v>115</v>
      </c>
      <c r="K142" s="1048" t="s">
        <v>1874</v>
      </c>
      <c r="L142" s="1048" t="s">
        <v>7186</v>
      </c>
    </row>
    <row r="143" spans="1:14" x14ac:dyDescent="0.25">
      <c r="B143" s="1171"/>
      <c r="F143" s="1172">
        <v>36</v>
      </c>
      <c r="G143" s="1048" t="s">
        <v>4522</v>
      </c>
      <c r="H143" s="1048" t="s">
        <v>4523</v>
      </c>
      <c r="J143" s="1172">
        <v>116</v>
      </c>
      <c r="K143" s="1048" t="s">
        <v>1876</v>
      </c>
      <c r="L143" s="1048" t="s">
        <v>7187</v>
      </c>
    </row>
    <row r="144" spans="1:14" x14ac:dyDescent="0.25">
      <c r="B144" s="1171"/>
      <c r="F144" s="1172">
        <v>37</v>
      </c>
      <c r="G144" s="1048" t="s">
        <v>375</v>
      </c>
      <c r="H144" s="1048" t="s">
        <v>4526</v>
      </c>
      <c r="J144" s="1172">
        <v>117</v>
      </c>
      <c r="K144" s="1048" t="s">
        <v>1881</v>
      </c>
      <c r="L144" s="1048" t="s">
        <v>7188</v>
      </c>
    </row>
    <row r="145" spans="1:14" x14ac:dyDescent="0.25">
      <c r="B145" s="1171"/>
      <c r="F145" s="1172">
        <v>38</v>
      </c>
      <c r="G145" s="1048" t="s">
        <v>376</v>
      </c>
      <c r="H145" s="1048" t="s">
        <v>4529</v>
      </c>
    </row>
    <row r="146" spans="1:14" x14ac:dyDescent="0.25">
      <c r="B146" s="1171"/>
      <c r="F146" s="1172">
        <v>39</v>
      </c>
      <c r="G146" s="1048" t="s">
        <v>4532</v>
      </c>
      <c r="H146" s="1048" t="s">
        <v>4533</v>
      </c>
    </row>
    <row r="147" spans="1:14" s="1175" customFormat="1" x14ac:dyDescent="0.25">
      <c r="A147" s="1897"/>
      <c r="B147" s="1898"/>
      <c r="C147" s="1897"/>
      <c r="D147" s="1897"/>
      <c r="E147" s="1897"/>
      <c r="F147" s="1899">
        <v>40</v>
      </c>
      <c r="G147" s="1874" t="s">
        <v>4536</v>
      </c>
      <c r="H147" s="1874" t="s">
        <v>4537</v>
      </c>
      <c r="I147" s="1897"/>
      <c r="J147" s="1897"/>
      <c r="K147" s="1897"/>
      <c r="L147" s="1897"/>
      <c r="M147" s="1897"/>
      <c r="N147" s="1897"/>
    </row>
    <row r="148" spans="1:14" x14ac:dyDescent="0.25">
      <c r="B148" s="1168">
        <v>10</v>
      </c>
      <c r="C148" s="1166">
        <v>0</v>
      </c>
      <c r="D148" s="1166" t="s">
        <v>7301</v>
      </c>
      <c r="E148" s="1166">
        <v>4</v>
      </c>
      <c r="F148" s="1172">
        <v>17</v>
      </c>
      <c r="G148" s="1048" t="s">
        <v>4448</v>
      </c>
      <c r="H148" s="1048" t="s">
        <v>4449</v>
      </c>
      <c r="I148" s="1166">
        <v>4</v>
      </c>
      <c r="J148" s="1172">
        <v>103</v>
      </c>
      <c r="K148" s="1048" t="s">
        <v>1826</v>
      </c>
      <c r="L148" s="1048" t="s">
        <v>7174</v>
      </c>
      <c r="M148" s="1166">
        <v>4</v>
      </c>
      <c r="N148" s="1166">
        <v>5</v>
      </c>
    </row>
    <row r="149" spans="1:14" x14ac:dyDescent="0.25">
      <c r="B149" s="1168"/>
      <c r="F149" s="1174">
        <v>18</v>
      </c>
      <c r="G149" s="1048" t="s">
        <v>4452</v>
      </c>
      <c r="H149" s="1048" t="s">
        <v>4453</v>
      </c>
      <c r="J149" s="1172">
        <v>104</v>
      </c>
      <c r="K149" s="1048" t="s">
        <v>1830</v>
      </c>
      <c r="L149" s="1048" t="s">
        <v>7175</v>
      </c>
    </row>
    <row r="150" spans="1:14" x14ac:dyDescent="0.25">
      <c r="B150" s="1168"/>
      <c r="F150" s="1174">
        <v>23</v>
      </c>
      <c r="G150" s="1048" t="s">
        <v>4470</v>
      </c>
      <c r="H150" s="1048" t="s">
        <v>4471</v>
      </c>
      <c r="J150" s="1174">
        <v>105</v>
      </c>
      <c r="K150" s="1048" t="s">
        <v>1836</v>
      </c>
      <c r="L150" s="1048" t="s">
        <v>7176</v>
      </c>
    </row>
    <row r="151" spans="1:14" s="1175" customFormat="1" x14ac:dyDescent="0.25">
      <c r="A151" s="1897"/>
      <c r="B151" s="1901"/>
      <c r="C151" s="1897"/>
      <c r="D151" s="1897"/>
      <c r="E151" s="1897"/>
      <c r="F151" s="1899">
        <v>24</v>
      </c>
      <c r="G151" s="1874" t="s">
        <v>4474</v>
      </c>
      <c r="H151" s="1874" t="s">
        <v>4475</v>
      </c>
      <c r="I151" s="1897"/>
      <c r="J151" s="1902">
        <v>108</v>
      </c>
      <c r="K151" s="1874" t="s">
        <v>1843</v>
      </c>
      <c r="L151" s="1874" t="s">
        <v>7179</v>
      </c>
      <c r="M151" s="1897"/>
      <c r="N151" s="1897"/>
    </row>
    <row r="152" spans="1:14" x14ac:dyDescent="0.25">
      <c r="A152" s="1048"/>
      <c r="B152" s="1168">
        <v>11</v>
      </c>
      <c r="C152" s="1166">
        <v>0</v>
      </c>
      <c r="D152" s="1180" t="s">
        <v>7302</v>
      </c>
      <c r="E152" s="1166">
        <v>12</v>
      </c>
      <c r="F152" s="1172">
        <v>17</v>
      </c>
      <c r="G152" s="1048" t="s">
        <v>4448</v>
      </c>
      <c r="H152" s="1048" t="s">
        <v>4449</v>
      </c>
      <c r="I152" s="1166">
        <v>4</v>
      </c>
      <c r="J152" s="1172">
        <v>103</v>
      </c>
      <c r="K152" s="1048" t="s">
        <v>1826</v>
      </c>
      <c r="L152" s="1048" t="s">
        <v>7174</v>
      </c>
      <c r="M152" s="1166">
        <v>4</v>
      </c>
      <c r="N152" s="1166">
        <v>5</v>
      </c>
    </row>
    <row r="153" spans="1:14" x14ac:dyDescent="0.25">
      <c r="B153" s="1168"/>
      <c r="F153" s="1172">
        <v>18</v>
      </c>
      <c r="G153" s="1048" t="s">
        <v>4452</v>
      </c>
      <c r="H153" s="1048" t="s">
        <v>4453</v>
      </c>
      <c r="J153" s="1172">
        <v>104</v>
      </c>
      <c r="K153" s="1048" t="s">
        <v>1830</v>
      </c>
      <c r="L153" s="1048" t="s">
        <v>7175</v>
      </c>
    </row>
    <row r="154" spans="1:14" x14ac:dyDescent="0.25">
      <c r="B154" s="1168"/>
      <c r="F154" s="1172">
        <v>19</v>
      </c>
      <c r="G154" s="1048" t="s">
        <v>368</v>
      </c>
      <c r="H154" s="1048" t="s">
        <v>4456</v>
      </c>
      <c r="J154" s="1174">
        <v>105</v>
      </c>
      <c r="K154" s="1048" t="s">
        <v>1836</v>
      </c>
      <c r="L154" s="1048" t="s">
        <v>7176</v>
      </c>
    </row>
    <row r="155" spans="1:14" x14ac:dyDescent="0.25">
      <c r="B155" s="1168"/>
      <c r="F155" s="1172">
        <v>20</v>
      </c>
      <c r="G155" s="1048" t="s">
        <v>369</v>
      </c>
      <c r="H155" s="1048" t="s">
        <v>4459</v>
      </c>
      <c r="J155" s="1174">
        <v>108</v>
      </c>
      <c r="K155" s="1048" t="s">
        <v>1843</v>
      </c>
      <c r="L155" s="1048" t="s">
        <v>7179</v>
      </c>
    </row>
    <row r="156" spans="1:14" x14ac:dyDescent="0.25">
      <c r="B156" s="1168"/>
      <c r="F156" s="1172">
        <v>21</v>
      </c>
      <c r="G156" s="1048" t="s">
        <v>4462</v>
      </c>
      <c r="H156" s="1048" t="s">
        <v>4463</v>
      </c>
    </row>
    <row r="157" spans="1:14" x14ac:dyDescent="0.25">
      <c r="B157" s="1168"/>
      <c r="F157" s="1172">
        <v>22</v>
      </c>
      <c r="G157" s="1048" t="s">
        <v>4466</v>
      </c>
      <c r="H157" s="1048" t="s">
        <v>4467</v>
      </c>
    </row>
    <row r="158" spans="1:14" x14ac:dyDescent="0.25">
      <c r="B158" s="1168"/>
      <c r="F158" s="1172">
        <v>23</v>
      </c>
      <c r="G158" s="1048" t="s">
        <v>4470</v>
      </c>
      <c r="H158" s="1048" t="s">
        <v>4471</v>
      </c>
    </row>
    <row r="159" spans="1:14" x14ac:dyDescent="0.25">
      <c r="B159" s="1168"/>
      <c r="F159" s="1172">
        <v>24</v>
      </c>
      <c r="G159" s="1048" t="s">
        <v>4474</v>
      </c>
      <c r="H159" s="1048" t="s">
        <v>4475</v>
      </c>
    </row>
    <row r="160" spans="1:14" x14ac:dyDescent="0.25">
      <c r="B160" s="1168"/>
      <c r="F160" s="1172">
        <v>25</v>
      </c>
      <c r="G160" s="1048" t="s">
        <v>4478</v>
      </c>
      <c r="H160" s="1048" t="s">
        <v>4479</v>
      </c>
    </row>
    <row r="161" spans="1:14" x14ac:dyDescent="0.25">
      <c r="B161" s="1168"/>
      <c r="F161" s="1172">
        <v>26</v>
      </c>
      <c r="G161" s="1048" t="s">
        <v>4482</v>
      </c>
      <c r="H161" s="1048" t="s">
        <v>4483</v>
      </c>
    </row>
    <row r="162" spans="1:14" x14ac:dyDescent="0.25">
      <c r="B162" s="1168"/>
      <c r="F162" s="1172">
        <v>27</v>
      </c>
      <c r="G162" s="1048" t="s">
        <v>4486</v>
      </c>
      <c r="H162" s="1048" t="s">
        <v>4487</v>
      </c>
    </row>
    <row r="163" spans="1:14" s="1175" customFormat="1" x14ac:dyDescent="0.25">
      <c r="A163" s="1897"/>
      <c r="B163" s="1901"/>
      <c r="C163" s="1897"/>
      <c r="D163" s="1897"/>
      <c r="E163" s="1897"/>
      <c r="F163" s="1899">
        <v>28</v>
      </c>
      <c r="G163" s="1874" t="s">
        <v>4490</v>
      </c>
      <c r="H163" s="1874" t="s">
        <v>4491</v>
      </c>
      <c r="I163" s="1897"/>
      <c r="J163" s="1897"/>
      <c r="K163" s="1897"/>
      <c r="L163" s="1897"/>
      <c r="M163" s="1897"/>
      <c r="N163" s="1897"/>
    </row>
    <row r="164" spans="1:14" x14ac:dyDescent="0.25">
      <c r="B164" s="1168">
        <v>12</v>
      </c>
      <c r="C164" s="1166">
        <v>1</v>
      </c>
      <c r="D164" s="1166" t="s">
        <v>7303</v>
      </c>
      <c r="E164" s="1166">
        <v>4</v>
      </c>
      <c r="F164" s="1172">
        <v>29</v>
      </c>
      <c r="G164" s="1048" t="s">
        <v>4494</v>
      </c>
      <c r="H164" s="1048" t="s">
        <v>4495</v>
      </c>
      <c r="I164" s="1166">
        <v>2</v>
      </c>
      <c r="J164" s="1174">
        <v>113</v>
      </c>
      <c r="K164" s="1048" t="s">
        <v>1867</v>
      </c>
      <c r="L164" s="1048" t="s">
        <v>7184</v>
      </c>
      <c r="M164" s="1166">
        <v>4</v>
      </c>
      <c r="N164" s="1166">
        <v>5</v>
      </c>
    </row>
    <row r="165" spans="1:14" x14ac:dyDescent="0.25">
      <c r="B165" s="1168"/>
      <c r="F165" s="1172">
        <v>30</v>
      </c>
      <c r="G165" s="1048" t="s">
        <v>4498</v>
      </c>
      <c r="H165" s="1048" t="s">
        <v>4499</v>
      </c>
      <c r="J165" s="1174">
        <v>116</v>
      </c>
      <c r="K165" s="1048" t="s">
        <v>1876</v>
      </c>
      <c r="L165" s="1048" t="s">
        <v>7187</v>
      </c>
    </row>
    <row r="166" spans="1:14" x14ac:dyDescent="0.25">
      <c r="B166" s="1168"/>
      <c r="F166" s="1172">
        <v>31</v>
      </c>
      <c r="G166" s="1048" t="s">
        <v>4502</v>
      </c>
      <c r="H166" s="1048" t="s">
        <v>4503</v>
      </c>
    </row>
    <row r="167" spans="1:14" s="1175" customFormat="1" x14ac:dyDescent="0.25">
      <c r="A167" s="1897"/>
      <c r="B167" s="1901"/>
      <c r="C167" s="1897"/>
      <c r="D167" s="1897"/>
      <c r="E167" s="1897"/>
      <c r="F167" s="1899">
        <v>32</v>
      </c>
      <c r="G167" s="1874" t="s">
        <v>4506</v>
      </c>
      <c r="H167" s="1874" t="s">
        <v>4507</v>
      </c>
      <c r="I167" s="1897"/>
      <c r="J167" s="1897"/>
      <c r="K167" s="1897"/>
      <c r="L167" s="1897"/>
      <c r="M167" s="1897"/>
      <c r="N167" s="1897"/>
    </row>
    <row r="168" spans="1:14" x14ac:dyDescent="0.25">
      <c r="B168" s="1168">
        <v>13</v>
      </c>
      <c r="C168" s="1166">
        <v>0</v>
      </c>
      <c r="D168" s="1166" t="s">
        <v>7304</v>
      </c>
      <c r="E168" s="1166">
        <v>4</v>
      </c>
      <c r="F168" s="1172">
        <v>35</v>
      </c>
      <c r="G168" s="1048" t="s">
        <v>4518</v>
      </c>
      <c r="H168" s="1048" t="s">
        <v>4519</v>
      </c>
      <c r="I168" s="1166">
        <v>2</v>
      </c>
      <c r="J168" s="1174">
        <v>114</v>
      </c>
      <c r="K168" s="1048" t="s">
        <v>1870</v>
      </c>
      <c r="L168" s="1048" t="s">
        <v>7185</v>
      </c>
      <c r="M168" s="1166">
        <v>4</v>
      </c>
      <c r="N168" s="1166">
        <v>5</v>
      </c>
    </row>
    <row r="169" spans="1:14" x14ac:dyDescent="0.25">
      <c r="B169" s="1168"/>
      <c r="F169" s="1172">
        <v>36</v>
      </c>
      <c r="G169" s="1048" t="s">
        <v>4522</v>
      </c>
      <c r="H169" s="1048" t="s">
        <v>4523</v>
      </c>
      <c r="J169" s="1174">
        <v>117</v>
      </c>
      <c r="K169" s="1048" t="s">
        <v>1881</v>
      </c>
      <c r="L169" s="1048" t="s">
        <v>7188</v>
      </c>
    </row>
    <row r="170" spans="1:14" x14ac:dyDescent="0.25">
      <c r="B170" s="1168"/>
      <c r="F170" s="1172">
        <v>37</v>
      </c>
      <c r="G170" s="1048" t="s">
        <v>375</v>
      </c>
      <c r="H170" s="1048" t="s">
        <v>4526</v>
      </c>
    </row>
    <row r="171" spans="1:14" s="1175" customFormat="1" x14ac:dyDescent="0.25">
      <c r="A171" s="1897"/>
      <c r="B171" s="1901"/>
      <c r="C171" s="1897"/>
      <c r="D171" s="1897"/>
      <c r="E171" s="1897"/>
      <c r="F171" s="1899">
        <v>38</v>
      </c>
      <c r="G171" s="1874" t="s">
        <v>376</v>
      </c>
      <c r="H171" s="1874" t="s">
        <v>4529</v>
      </c>
      <c r="I171" s="1897"/>
      <c r="J171" s="1897"/>
      <c r="K171" s="1897"/>
      <c r="L171" s="1897"/>
      <c r="M171" s="1897"/>
      <c r="N171" s="1897"/>
    </row>
    <row r="172" spans="1:14" x14ac:dyDescent="0.25">
      <c r="A172" s="1170" t="s">
        <v>7305</v>
      </c>
      <c r="B172" s="1171">
        <v>14</v>
      </c>
      <c r="C172" s="1166">
        <v>1</v>
      </c>
      <c r="D172" s="1166" t="s">
        <v>7306</v>
      </c>
      <c r="E172" s="1166">
        <v>2</v>
      </c>
      <c r="F172" s="1172">
        <v>33</v>
      </c>
      <c r="G172" s="1048" t="s">
        <v>4510</v>
      </c>
      <c r="H172" s="1048" t="s">
        <v>4511</v>
      </c>
      <c r="I172" s="1166">
        <v>2</v>
      </c>
      <c r="J172" s="1172">
        <v>111</v>
      </c>
      <c r="K172" s="1048" t="s">
        <v>1857</v>
      </c>
      <c r="L172" s="1048" t="s">
        <v>7182</v>
      </c>
      <c r="M172" s="1166">
        <v>4</v>
      </c>
      <c r="N172" s="1166">
        <v>5</v>
      </c>
    </row>
    <row r="173" spans="1:14" s="1175" customFormat="1" ht="15" customHeight="1" x14ac:dyDescent="0.25">
      <c r="A173" s="1897"/>
      <c r="B173" s="1898"/>
      <c r="C173" s="1897"/>
      <c r="D173" s="1897"/>
      <c r="E173" s="1897"/>
      <c r="F173" s="1899">
        <v>34</v>
      </c>
      <c r="G173" s="1874" t="s">
        <v>4514</v>
      </c>
      <c r="H173" s="1874" t="s">
        <v>4515</v>
      </c>
      <c r="I173" s="1897"/>
      <c r="J173" s="1899">
        <v>112</v>
      </c>
      <c r="K173" s="1874" t="s">
        <v>1862</v>
      </c>
      <c r="L173" s="1874" t="s">
        <v>7183</v>
      </c>
      <c r="M173" s="1897"/>
      <c r="N173" s="1897"/>
    </row>
    <row r="174" spans="1:14" ht="15" customHeight="1" x14ac:dyDescent="0.25">
      <c r="B174" s="1168">
        <v>15</v>
      </c>
      <c r="C174" s="1166">
        <v>0</v>
      </c>
      <c r="D174" s="1166" t="s">
        <v>7307</v>
      </c>
      <c r="E174" s="1166">
        <v>6</v>
      </c>
      <c r="F174" s="1172">
        <v>45</v>
      </c>
      <c r="G174" s="1048" t="s">
        <v>4556</v>
      </c>
      <c r="H174" s="1048" t="s">
        <v>4557</v>
      </c>
      <c r="I174" s="1166">
        <v>10</v>
      </c>
      <c r="J174" s="1172">
        <v>155</v>
      </c>
      <c r="K174" s="1048" t="s">
        <v>5762</v>
      </c>
      <c r="L174" s="1048" t="s">
        <v>7224</v>
      </c>
      <c r="M174" s="1166">
        <v>4</v>
      </c>
      <c r="N174" s="1166">
        <v>5</v>
      </c>
    </row>
    <row r="175" spans="1:14" ht="15" customHeight="1" x14ac:dyDescent="0.25">
      <c r="B175" s="1168"/>
      <c r="F175" s="1174">
        <v>46</v>
      </c>
      <c r="G175" s="1048" t="s">
        <v>4560</v>
      </c>
      <c r="H175" s="1048" t="s">
        <v>4561</v>
      </c>
      <c r="J175" s="1172">
        <v>156</v>
      </c>
      <c r="K175" s="1048" t="s">
        <v>5763</v>
      </c>
      <c r="L175" s="1048" t="s">
        <v>7225</v>
      </c>
    </row>
    <row r="176" spans="1:14" ht="15" customHeight="1" x14ac:dyDescent="0.25">
      <c r="B176" s="1168"/>
      <c r="F176" s="1174">
        <v>55</v>
      </c>
      <c r="G176" s="1048" t="s">
        <v>4594</v>
      </c>
      <c r="H176" s="1048" t="s">
        <v>4595</v>
      </c>
      <c r="J176" s="1172">
        <v>157</v>
      </c>
      <c r="K176" s="1048" t="s">
        <v>2074</v>
      </c>
      <c r="L176" s="1048" t="s">
        <v>7226</v>
      </c>
    </row>
    <row r="177" spans="1:14" ht="15" customHeight="1" x14ac:dyDescent="0.25">
      <c r="B177" s="1168"/>
      <c r="F177" s="1174">
        <v>56</v>
      </c>
      <c r="G177" s="1048" t="s">
        <v>4598</v>
      </c>
      <c r="H177" s="1048" t="s">
        <v>4599</v>
      </c>
      <c r="J177" s="1174">
        <v>158</v>
      </c>
      <c r="K177" s="1048" t="s">
        <v>2079</v>
      </c>
      <c r="L177" s="1048" t="s">
        <v>7227</v>
      </c>
    </row>
    <row r="178" spans="1:14" ht="15" customHeight="1" x14ac:dyDescent="0.25">
      <c r="B178" s="1168"/>
      <c r="F178" s="1174">
        <v>59</v>
      </c>
      <c r="G178" s="1048" t="s">
        <v>4608</v>
      </c>
      <c r="H178" s="1048" t="s">
        <v>4609</v>
      </c>
      <c r="J178" s="1174">
        <v>161</v>
      </c>
      <c r="K178" s="1048" t="s">
        <v>2097</v>
      </c>
      <c r="L178" s="1048" t="s">
        <v>932</v>
      </c>
    </row>
    <row r="179" spans="1:14" x14ac:dyDescent="0.25">
      <c r="B179" s="1168"/>
      <c r="F179" s="1172">
        <v>60</v>
      </c>
      <c r="G179" s="1048" t="s">
        <v>4612</v>
      </c>
      <c r="H179" s="1048" t="s">
        <v>4613</v>
      </c>
      <c r="J179" s="1172">
        <v>162</v>
      </c>
      <c r="K179" s="1048" t="s">
        <v>2101</v>
      </c>
      <c r="L179" s="1048" t="s">
        <v>7230</v>
      </c>
    </row>
    <row r="180" spans="1:14" x14ac:dyDescent="0.25">
      <c r="B180" s="1168"/>
      <c r="J180" s="1172">
        <v>163</v>
      </c>
      <c r="K180" s="1048" t="s">
        <v>2104</v>
      </c>
      <c r="L180" s="1048" t="s">
        <v>7231</v>
      </c>
    </row>
    <row r="181" spans="1:14" x14ac:dyDescent="0.25">
      <c r="B181" s="1168"/>
      <c r="J181" s="1172">
        <v>164</v>
      </c>
      <c r="K181" s="1048" t="s">
        <v>5764</v>
      </c>
      <c r="L181" s="1048" t="s">
        <v>7232</v>
      </c>
    </row>
    <row r="182" spans="1:14" x14ac:dyDescent="0.25">
      <c r="B182" s="1168"/>
      <c r="J182" s="1172">
        <v>165</v>
      </c>
      <c r="K182" s="1048" t="s">
        <v>2110</v>
      </c>
      <c r="L182" s="1048" t="s">
        <v>7233</v>
      </c>
    </row>
    <row r="183" spans="1:14" s="1175" customFormat="1" x14ac:dyDescent="0.25">
      <c r="A183" s="1897"/>
      <c r="B183" s="1901"/>
      <c r="C183" s="1897"/>
      <c r="D183" s="1897"/>
      <c r="E183" s="1897"/>
      <c r="F183" s="1897"/>
      <c r="G183" s="1897"/>
      <c r="H183" s="1897"/>
      <c r="I183" s="1897"/>
      <c r="J183" s="1899">
        <v>166</v>
      </c>
      <c r="K183" s="1874" t="s">
        <v>2113</v>
      </c>
      <c r="L183" s="1874" t="s">
        <v>7234</v>
      </c>
      <c r="M183" s="1897"/>
      <c r="N183" s="1897"/>
    </row>
    <row r="184" spans="1:14" x14ac:dyDescent="0.25">
      <c r="A184" s="1170" t="s">
        <v>7308</v>
      </c>
      <c r="B184" s="1171">
        <v>16</v>
      </c>
      <c r="C184" s="1166">
        <v>1</v>
      </c>
      <c r="D184" s="1166" t="s">
        <v>7309</v>
      </c>
      <c r="E184" s="1166">
        <v>4</v>
      </c>
      <c r="F184" s="1172">
        <v>67</v>
      </c>
      <c r="G184" s="1048" t="s">
        <v>405</v>
      </c>
      <c r="H184" s="1048" t="s">
        <v>4640</v>
      </c>
      <c r="I184" s="1166">
        <v>3</v>
      </c>
      <c r="J184" s="1172">
        <v>147</v>
      </c>
      <c r="K184" s="1048" t="s">
        <v>2026</v>
      </c>
      <c r="L184" s="1048" t="s">
        <v>2237</v>
      </c>
      <c r="M184" s="1166">
        <v>4</v>
      </c>
      <c r="N184" s="1166">
        <v>5</v>
      </c>
    </row>
    <row r="185" spans="1:14" x14ac:dyDescent="0.25">
      <c r="B185" s="1171"/>
      <c r="F185" s="1172">
        <v>68</v>
      </c>
      <c r="G185" s="1048" t="s">
        <v>406</v>
      </c>
      <c r="H185" s="1048" t="s">
        <v>4643</v>
      </c>
      <c r="J185" s="1174">
        <v>148</v>
      </c>
      <c r="K185" s="1048" t="s">
        <v>2030</v>
      </c>
      <c r="L185" s="1048" t="s">
        <v>7218</v>
      </c>
    </row>
    <row r="186" spans="1:14" x14ac:dyDescent="0.25">
      <c r="B186" s="1171"/>
      <c r="F186" s="1172">
        <v>69</v>
      </c>
      <c r="G186" s="1048" t="s">
        <v>4646</v>
      </c>
      <c r="H186" s="1048" t="s">
        <v>4647</v>
      </c>
      <c r="J186" s="1174">
        <v>150</v>
      </c>
      <c r="K186" s="1048" t="s">
        <v>2040</v>
      </c>
      <c r="L186" s="1048" t="s">
        <v>7219</v>
      </c>
    </row>
    <row r="187" spans="1:14" s="1175" customFormat="1" x14ac:dyDescent="0.25">
      <c r="A187" s="1897"/>
      <c r="B187" s="1898"/>
      <c r="C187" s="1897"/>
      <c r="D187" s="1897"/>
      <c r="E187" s="1897"/>
      <c r="F187" s="1899">
        <v>70</v>
      </c>
      <c r="G187" s="1874" t="s">
        <v>4650</v>
      </c>
      <c r="H187" s="1874" t="s">
        <v>4651</v>
      </c>
      <c r="I187" s="1897"/>
      <c r="J187" s="1897"/>
      <c r="K187" s="1897"/>
      <c r="L187" s="1897"/>
      <c r="M187" s="1897"/>
      <c r="N187" s="1897"/>
    </row>
    <row r="188" spans="1:14" x14ac:dyDescent="0.25">
      <c r="B188" s="1168">
        <v>17</v>
      </c>
      <c r="C188" s="1166">
        <v>0</v>
      </c>
      <c r="D188" s="1166" t="s">
        <v>7310</v>
      </c>
      <c r="E188" s="1166">
        <v>4</v>
      </c>
      <c r="F188" s="1172">
        <v>41</v>
      </c>
      <c r="G188" s="1048" t="s">
        <v>4540</v>
      </c>
      <c r="H188" s="1048" t="s">
        <v>4541</v>
      </c>
      <c r="I188" s="1166">
        <v>2</v>
      </c>
      <c r="J188" s="1172">
        <v>155</v>
      </c>
      <c r="K188" s="1048" t="s">
        <v>5762</v>
      </c>
      <c r="L188" s="1048" t="s">
        <v>7224</v>
      </c>
      <c r="M188" s="1166">
        <v>4</v>
      </c>
      <c r="N188" s="1166">
        <v>5</v>
      </c>
    </row>
    <row r="189" spans="1:14" x14ac:dyDescent="0.25">
      <c r="B189" s="1168"/>
      <c r="F189" s="1172">
        <v>42</v>
      </c>
      <c r="G189" s="1048" t="s">
        <v>4544</v>
      </c>
      <c r="H189" s="1048" t="s">
        <v>4545</v>
      </c>
      <c r="J189" s="1172">
        <v>156</v>
      </c>
      <c r="K189" s="1048" t="s">
        <v>5763</v>
      </c>
      <c r="L189" s="1048" t="s">
        <v>7225</v>
      </c>
    </row>
    <row r="190" spans="1:14" x14ac:dyDescent="0.25">
      <c r="B190" s="1168"/>
      <c r="F190" s="1172">
        <v>43</v>
      </c>
      <c r="G190" s="1048" t="s">
        <v>4548</v>
      </c>
      <c r="H190" s="1048" t="s">
        <v>4549</v>
      </c>
    </row>
    <row r="191" spans="1:14" s="1175" customFormat="1" x14ac:dyDescent="0.25">
      <c r="A191" s="1897"/>
      <c r="B191" s="1901"/>
      <c r="C191" s="1897"/>
      <c r="D191" s="1897"/>
      <c r="E191" s="1897"/>
      <c r="F191" s="1899">
        <v>44</v>
      </c>
      <c r="G191" s="1874" t="s">
        <v>4552</v>
      </c>
      <c r="H191" s="1874" t="s">
        <v>4553</v>
      </c>
      <c r="I191" s="1897"/>
      <c r="J191" s="1897"/>
      <c r="K191" s="1897"/>
      <c r="L191" s="1897"/>
      <c r="M191" s="1897"/>
      <c r="N191" s="1897"/>
    </row>
    <row r="192" spans="1:14" x14ac:dyDescent="0.25">
      <c r="A192" s="1170" t="s">
        <v>7311</v>
      </c>
      <c r="B192" s="1171">
        <v>18</v>
      </c>
      <c r="C192" s="1166">
        <v>1</v>
      </c>
      <c r="D192" s="1166" t="s">
        <v>7312</v>
      </c>
      <c r="E192" s="1166">
        <v>6</v>
      </c>
      <c r="F192" s="1172">
        <v>1</v>
      </c>
      <c r="G192" s="1048" t="s">
        <v>4387</v>
      </c>
      <c r="H192" s="1048" t="s">
        <v>4388</v>
      </c>
      <c r="I192" s="1166">
        <v>2</v>
      </c>
      <c r="J192" s="1172">
        <v>98</v>
      </c>
      <c r="K192" s="1048" t="s">
        <v>1798</v>
      </c>
      <c r="L192" s="1048" t="s">
        <v>1278</v>
      </c>
      <c r="M192" s="1166">
        <v>4</v>
      </c>
      <c r="N192" s="1166">
        <v>5</v>
      </c>
    </row>
    <row r="193" spans="1:14" x14ac:dyDescent="0.25">
      <c r="B193" s="1171"/>
      <c r="F193" s="1172">
        <v>2</v>
      </c>
      <c r="G193" s="1048" t="s">
        <v>4391</v>
      </c>
      <c r="H193" s="1048" t="s">
        <v>4392</v>
      </c>
      <c r="J193" s="1172">
        <v>99</v>
      </c>
      <c r="K193" s="1048" t="s">
        <v>1803</v>
      </c>
      <c r="L193" s="1048" t="s">
        <v>7170</v>
      </c>
    </row>
    <row r="194" spans="1:14" x14ac:dyDescent="0.25">
      <c r="B194" s="1171"/>
      <c r="F194" s="1172">
        <v>3</v>
      </c>
      <c r="G194" s="1048" t="s">
        <v>4395</v>
      </c>
      <c r="H194" s="1048" t="s">
        <v>4396</v>
      </c>
    </row>
    <row r="195" spans="1:14" x14ac:dyDescent="0.25">
      <c r="B195" s="1171"/>
      <c r="F195" s="1172">
        <v>4</v>
      </c>
      <c r="G195" s="1048" t="s">
        <v>4400</v>
      </c>
      <c r="H195" s="1048" t="s">
        <v>4401</v>
      </c>
    </row>
    <row r="196" spans="1:14" x14ac:dyDescent="0.25">
      <c r="B196" s="1171"/>
      <c r="F196" s="1172">
        <v>5</v>
      </c>
      <c r="G196" s="1048" t="s">
        <v>361</v>
      </c>
      <c r="H196" s="1048" t="s">
        <v>4406</v>
      </c>
    </row>
    <row r="197" spans="1:14" s="1175" customFormat="1" x14ac:dyDescent="0.25">
      <c r="A197" s="1897"/>
      <c r="B197" s="1898"/>
      <c r="C197" s="1897"/>
      <c r="D197" s="1897"/>
      <c r="E197" s="1897"/>
      <c r="F197" s="1899">
        <v>6</v>
      </c>
      <c r="G197" s="1874" t="s">
        <v>362</v>
      </c>
      <c r="H197" s="1874" t="s">
        <v>4409</v>
      </c>
      <c r="I197" s="1897"/>
      <c r="J197" s="1897"/>
      <c r="K197" s="1897"/>
      <c r="L197" s="1897"/>
      <c r="M197" s="1897"/>
      <c r="N197" s="1897"/>
    </row>
    <row r="198" spans="1:14" x14ac:dyDescent="0.25">
      <c r="B198" s="1168">
        <v>19</v>
      </c>
      <c r="C198" s="1166">
        <v>1</v>
      </c>
      <c r="D198" s="1166" t="s">
        <v>7313</v>
      </c>
      <c r="E198" s="1166">
        <v>4</v>
      </c>
      <c r="F198" s="1172">
        <v>115</v>
      </c>
      <c r="G198" s="1048" t="s">
        <v>4818</v>
      </c>
      <c r="H198" s="1048" t="s">
        <v>4819</v>
      </c>
      <c r="I198" s="1166">
        <v>2</v>
      </c>
      <c r="J198" s="1174">
        <v>86</v>
      </c>
      <c r="K198" s="1048" t="s">
        <v>1751</v>
      </c>
      <c r="L198" s="1048" t="s">
        <v>7158</v>
      </c>
      <c r="M198" s="1166">
        <v>4</v>
      </c>
      <c r="N198" s="1166">
        <v>5</v>
      </c>
    </row>
    <row r="199" spans="1:14" x14ac:dyDescent="0.25">
      <c r="B199" s="1168"/>
      <c r="F199" s="1174">
        <v>116</v>
      </c>
      <c r="G199" s="1048" t="s">
        <v>4822</v>
      </c>
      <c r="H199" s="1048" t="s">
        <v>4823</v>
      </c>
      <c r="J199" s="1174">
        <v>89</v>
      </c>
      <c r="K199" s="1048" t="s">
        <v>1761</v>
      </c>
      <c r="L199" s="1048" t="s">
        <v>7161</v>
      </c>
    </row>
    <row r="200" spans="1:14" x14ac:dyDescent="0.25">
      <c r="B200" s="1168"/>
      <c r="F200" s="1174">
        <v>121</v>
      </c>
      <c r="G200" s="1048" t="s">
        <v>4389</v>
      </c>
      <c r="H200" s="1048" t="s">
        <v>4390</v>
      </c>
    </row>
    <row r="201" spans="1:14" s="1175" customFormat="1" x14ac:dyDescent="0.25">
      <c r="A201" s="1897"/>
      <c r="B201" s="1901"/>
      <c r="C201" s="1897"/>
      <c r="D201" s="1897"/>
      <c r="E201" s="1897"/>
      <c r="F201" s="1899">
        <v>122</v>
      </c>
      <c r="G201" s="1874" t="s">
        <v>4393</v>
      </c>
      <c r="H201" s="1874" t="s">
        <v>4394</v>
      </c>
      <c r="I201" s="1897"/>
      <c r="J201" s="1897"/>
      <c r="K201" s="1897"/>
      <c r="L201" s="1897"/>
      <c r="M201" s="1897"/>
      <c r="N201" s="1897"/>
    </row>
    <row r="202" spans="1:14" x14ac:dyDescent="0.25">
      <c r="A202" s="1170" t="s">
        <v>7314</v>
      </c>
      <c r="B202" s="1171">
        <v>20</v>
      </c>
      <c r="C202" s="1166">
        <v>1</v>
      </c>
      <c r="D202" s="1166" t="s">
        <v>7315</v>
      </c>
      <c r="E202" s="1166">
        <v>4</v>
      </c>
      <c r="F202" s="1172">
        <v>107</v>
      </c>
      <c r="G202" s="1048" t="s">
        <v>4790</v>
      </c>
      <c r="H202" s="1048" t="s">
        <v>4791</v>
      </c>
      <c r="I202" s="1166">
        <v>3</v>
      </c>
      <c r="J202" s="1172">
        <v>82</v>
      </c>
      <c r="K202" s="1048" t="s">
        <v>1733</v>
      </c>
      <c r="L202" s="1048" t="s">
        <v>7154</v>
      </c>
      <c r="M202" s="1166">
        <v>4</v>
      </c>
      <c r="N202" s="1166">
        <v>5</v>
      </c>
    </row>
    <row r="203" spans="1:14" x14ac:dyDescent="0.25">
      <c r="A203" s="1170" t="s">
        <v>7316</v>
      </c>
      <c r="B203" s="1171"/>
      <c r="F203" s="1172">
        <v>108</v>
      </c>
      <c r="G203" s="1048" t="s">
        <v>4794</v>
      </c>
      <c r="H203" s="1048" t="s">
        <v>4795</v>
      </c>
      <c r="J203" s="1174">
        <v>83</v>
      </c>
      <c r="K203" s="1048" t="s">
        <v>1738</v>
      </c>
      <c r="L203" s="1048" t="s">
        <v>7155</v>
      </c>
    </row>
    <row r="204" spans="1:14" x14ac:dyDescent="0.25">
      <c r="B204" s="1171"/>
      <c r="F204" s="1172">
        <v>109</v>
      </c>
      <c r="G204" s="1048" t="s">
        <v>427</v>
      </c>
      <c r="H204" s="1048" t="s">
        <v>4798</v>
      </c>
      <c r="J204" s="1174">
        <v>94</v>
      </c>
      <c r="K204" s="1048" t="s">
        <v>1777</v>
      </c>
      <c r="L204" s="1048" t="s">
        <v>7166</v>
      </c>
    </row>
    <row r="205" spans="1:14" s="1175" customFormat="1" x14ac:dyDescent="0.25">
      <c r="A205" s="1897"/>
      <c r="B205" s="1898"/>
      <c r="C205" s="1897"/>
      <c r="D205" s="1897"/>
      <c r="E205" s="1897"/>
      <c r="F205" s="1899">
        <v>110</v>
      </c>
      <c r="G205" s="1874" t="s">
        <v>428</v>
      </c>
      <c r="H205" s="1874" t="s">
        <v>4801</v>
      </c>
      <c r="I205" s="1897"/>
      <c r="J205" s="1897"/>
      <c r="K205" s="1897"/>
      <c r="L205" s="1897"/>
      <c r="M205" s="1897"/>
      <c r="N205" s="1897"/>
    </row>
    <row r="206" spans="1:14" x14ac:dyDescent="0.25">
      <c r="A206" s="1048"/>
      <c r="B206" s="1171">
        <v>21</v>
      </c>
      <c r="C206" s="1166">
        <v>1</v>
      </c>
      <c r="D206" s="1166" t="s">
        <v>7317</v>
      </c>
      <c r="E206" s="1166">
        <v>4</v>
      </c>
      <c r="F206" s="1172">
        <v>111</v>
      </c>
      <c r="G206" s="1048" t="s">
        <v>4804</v>
      </c>
      <c r="H206" s="1048" t="s">
        <v>4805</v>
      </c>
      <c r="I206" s="1166">
        <v>2</v>
      </c>
      <c r="J206" s="1174">
        <v>84</v>
      </c>
      <c r="K206" s="1048" t="s">
        <v>1744</v>
      </c>
      <c r="L206" s="1048" t="s">
        <v>7156</v>
      </c>
      <c r="M206" s="1166">
        <v>4</v>
      </c>
      <c r="N206" s="1166">
        <v>5</v>
      </c>
    </row>
    <row r="207" spans="1:14" x14ac:dyDescent="0.25">
      <c r="B207" s="1171"/>
      <c r="F207" s="1172">
        <v>112</v>
      </c>
      <c r="G207" s="1048" t="s">
        <v>4808</v>
      </c>
      <c r="H207" s="1048" t="s">
        <v>4809</v>
      </c>
      <c r="J207" s="1174">
        <v>95</v>
      </c>
      <c r="K207" s="1048" t="s">
        <v>1782</v>
      </c>
      <c r="L207" s="1048" t="s">
        <v>7167</v>
      </c>
    </row>
    <row r="208" spans="1:14" x14ac:dyDescent="0.25">
      <c r="B208" s="1171"/>
      <c r="F208" s="1172">
        <v>113</v>
      </c>
      <c r="G208" s="1048" t="s">
        <v>437</v>
      </c>
      <c r="H208" s="1048" t="s">
        <v>4812</v>
      </c>
    </row>
    <row r="209" spans="1:14" s="1175" customFormat="1" x14ac:dyDescent="0.25">
      <c r="A209" s="1897"/>
      <c r="B209" s="1898"/>
      <c r="C209" s="1897"/>
      <c r="D209" s="1897"/>
      <c r="E209" s="1897"/>
      <c r="F209" s="1899">
        <v>114</v>
      </c>
      <c r="G209" s="1874" t="s">
        <v>438</v>
      </c>
      <c r="H209" s="1874" t="s">
        <v>4815</v>
      </c>
      <c r="I209" s="1897"/>
      <c r="J209" s="1897"/>
      <c r="K209" s="1897"/>
      <c r="L209" s="1897"/>
      <c r="M209" s="1897"/>
      <c r="N209" s="1897"/>
    </row>
    <row r="210" spans="1:14" x14ac:dyDescent="0.25">
      <c r="A210" s="1048"/>
      <c r="B210" s="1171">
        <v>22</v>
      </c>
      <c r="C210" s="1166">
        <v>1</v>
      </c>
      <c r="D210" s="1166" t="s">
        <v>7318</v>
      </c>
      <c r="E210" s="1166">
        <v>2</v>
      </c>
      <c r="F210" s="1172">
        <v>117</v>
      </c>
      <c r="G210" s="1048" t="s">
        <v>4826</v>
      </c>
      <c r="H210" s="1048" t="s">
        <v>4827</v>
      </c>
      <c r="I210" s="1166">
        <v>2</v>
      </c>
      <c r="J210" s="1174">
        <v>85</v>
      </c>
      <c r="K210" s="1048" t="s">
        <v>1747</v>
      </c>
      <c r="L210" s="1048" t="s">
        <v>7157</v>
      </c>
      <c r="M210" s="1166">
        <v>4</v>
      </c>
      <c r="N210" s="1166">
        <v>5</v>
      </c>
    </row>
    <row r="211" spans="1:14" s="1175" customFormat="1" x14ac:dyDescent="0.25">
      <c r="A211" s="1897"/>
      <c r="B211" s="1898"/>
      <c r="C211" s="1897"/>
      <c r="D211" s="1897"/>
      <c r="E211" s="1897"/>
      <c r="F211" s="1899">
        <v>118</v>
      </c>
      <c r="G211" s="1874" t="s">
        <v>4830</v>
      </c>
      <c r="H211" s="1874" t="s">
        <v>4831</v>
      </c>
      <c r="I211" s="1897"/>
      <c r="J211" s="1902">
        <v>90</v>
      </c>
      <c r="K211" s="1874" t="s">
        <v>1764</v>
      </c>
      <c r="L211" s="1874" t="s">
        <v>7162</v>
      </c>
      <c r="M211" s="1897"/>
      <c r="N211" s="1897"/>
    </row>
    <row r="212" spans="1:14" x14ac:dyDescent="0.25">
      <c r="A212" s="1170" t="s">
        <v>7319</v>
      </c>
      <c r="B212" s="1171">
        <v>23</v>
      </c>
      <c r="C212" s="1166">
        <v>1</v>
      </c>
      <c r="D212" s="1166" t="s">
        <v>7320</v>
      </c>
      <c r="E212" s="1166">
        <v>4</v>
      </c>
      <c r="F212" s="1172">
        <v>41</v>
      </c>
      <c r="G212" s="1048" t="s">
        <v>4540</v>
      </c>
      <c r="H212" s="1048" t="s">
        <v>4541</v>
      </c>
      <c r="I212" s="1166">
        <v>2</v>
      </c>
      <c r="J212" s="1172">
        <v>155</v>
      </c>
      <c r="K212" s="1048" t="s">
        <v>5762</v>
      </c>
      <c r="L212" s="1048" t="s">
        <v>7224</v>
      </c>
      <c r="M212" s="1166">
        <v>4</v>
      </c>
      <c r="N212" s="1166">
        <v>5</v>
      </c>
    </row>
    <row r="213" spans="1:14" x14ac:dyDescent="0.25">
      <c r="A213" s="1170" t="s">
        <v>7321</v>
      </c>
      <c r="B213" s="1171"/>
      <c r="F213" s="1172">
        <v>42</v>
      </c>
      <c r="G213" s="1048" t="s">
        <v>4544</v>
      </c>
      <c r="H213" s="1048" t="s">
        <v>4545</v>
      </c>
      <c r="J213" s="1172">
        <v>156</v>
      </c>
      <c r="K213" s="1048" t="s">
        <v>5763</v>
      </c>
      <c r="L213" s="1048" t="s">
        <v>7225</v>
      </c>
    </row>
    <row r="214" spans="1:14" x14ac:dyDescent="0.25">
      <c r="B214" s="1171"/>
      <c r="F214" s="1172">
        <v>43</v>
      </c>
      <c r="G214" s="1048" t="s">
        <v>4548</v>
      </c>
      <c r="H214" s="1048" t="s">
        <v>4549</v>
      </c>
    </row>
    <row r="215" spans="1:14" s="1175" customFormat="1" x14ac:dyDescent="0.25">
      <c r="A215" s="1897"/>
      <c r="B215" s="1898"/>
      <c r="C215" s="1897"/>
      <c r="D215" s="1897"/>
      <c r="E215" s="1897"/>
      <c r="F215" s="1899">
        <v>44</v>
      </c>
      <c r="G215" s="1874" t="s">
        <v>4552</v>
      </c>
      <c r="H215" s="1874" t="s">
        <v>4553</v>
      </c>
      <c r="I215" s="1897"/>
      <c r="J215" s="1897"/>
      <c r="K215" s="1897"/>
      <c r="L215" s="1897"/>
      <c r="M215" s="1897"/>
      <c r="N215" s="1897"/>
    </row>
    <row r="216" spans="1:14" x14ac:dyDescent="0.25">
      <c r="A216" s="1170" t="s">
        <v>7322</v>
      </c>
      <c r="B216" s="1171">
        <v>24</v>
      </c>
      <c r="C216" s="1166">
        <v>0</v>
      </c>
      <c r="D216" s="1166" t="s">
        <v>7323</v>
      </c>
      <c r="E216" s="1166">
        <v>6</v>
      </c>
      <c r="F216" s="1172">
        <v>47</v>
      </c>
      <c r="G216" s="1048" t="s">
        <v>419</v>
      </c>
      <c r="H216" s="1048" t="s">
        <v>4564</v>
      </c>
      <c r="I216" s="1166">
        <v>4</v>
      </c>
      <c r="J216" s="1172">
        <v>157</v>
      </c>
      <c r="K216" s="1048" t="s">
        <v>2074</v>
      </c>
      <c r="L216" s="1048" t="s">
        <v>7226</v>
      </c>
      <c r="M216" s="1166">
        <v>4</v>
      </c>
      <c r="N216" s="1166">
        <v>5</v>
      </c>
    </row>
    <row r="217" spans="1:14" x14ac:dyDescent="0.25">
      <c r="A217" s="1170" t="s">
        <v>7324</v>
      </c>
      <c r="B217" s="1171"/>
      <c r="F217" s="1172">
        <v>48</v>
      </c>
      <c r="G217" s="1048" t="s">
        <v>420</v>
      </c>
      <c r="H217" s="1048" t="s">
        <v>4567</v>
      </c>
      <c r="J217" s="1174">
        <v>158</v>
      </c>
      <c r="K217" s="1048" t="s">
        <v>2079</v>
      </c>
      <c r="L217" s="1048" t="s">
        <v>7227</v>
      </c>
    </row>
    <row r="218" spans="1:14" x14ac:dyDescent="0.25">
      <c r="B218" s="1171"/>
      <c r="F218" s="1172">
        <v>49</v>
      </c>
      <c r="G218" s="1048" t="s">
        <v>4570</v>
      </c>
      <c r="H218" s="1048" t="s">
        <v>4571</v>
      </c>
      <c r="J218" s="1174">
        <v>162</v>
      </c>
      <c r="K218" s="1048" t="s">
        <v>2101</v>
      </c>
      <c r="L218" s="1048" t="s">
        <v>7230</v>
      </c>
    </row>
    <row r="219" spans="1:14" x14ac:dyDescent="0.25">
      <c r="B219" s="1171"/>
      <c r="F219" s="1172">
        <v>50</v>
      </c>
      <c r="G219" s="1048" t="s">
        <v>4574</v>
      </c>
      <c r="H219" s="1048" t="s">
        <v>4575</v>
      </c>
      <c r="J219" s="1174">
        <v>164</v>
      </c>
      <c r="K219" s="1048" t="s">
        <v>5764</v>
      </c>
      <c r="L219" s="1048" t="s">
        <v>7232</v>
      </c>
    </row>
    <row r="220" spans="1:14" x14ac:dyDescent="0.25">
      <c r="B220" s="1171"/>
      <c r="F220" s="1172">
        <v>51</v>
      </c>
      <c r="G220" s="1048" t="s">
        <v>4578</v>
      </c>
      <c r="H220" s="1048" t="s">
        <v>4579</v>
      </c>
    </row>
    <row r="221" spans="1:14" s="1175" customFormat="1" x14ac:dyDescent="0.25">
      <c r="A221" s="1897"/>
      <c r="B221" s="1898"/>
      <c r="C221" s="1897"/>
      <c r="D221" s="1897"/>
      <c r="E221" s="1897"/>
      <c r="F221" s="1899">
        <v>52</v>
      </c>
      <c r="G221" s="1874" t="s">
        <v>4582</v>
      </c>
      <c r="H221" s="1874" t="s">
        <v>4583</v>
      </c>
      <c r="I221" s="1897"/>
      <c r="J221" s="1897"/>
      <c r="K221" s="1897"/>
      <c r="L221" s="1897"/>
      <c r="M221" s="1897"/>
      <c r="N221" s="1897"/>
    </row>
    <row r="222" spans="1:14" s="1179" customFormat="1" x14ac:dyDescent="0.25">
      <c r="A222" s="1986"/>
      <c r="B222" s="1987">
        <v>25</v>
      </c>
      <c r="C222" s="1986"/>
      <c r="D222" s="1986" t="s">
        <v>7295</v>
      </c>
      <c r="E222" s="1986"/>
      <c r="F222" s="1986"/>
      <c r="G222" s="1986"/>
      <c r="H222" s="1986"/>
      <c r="I222" s="1986"/>
      <c r="J222" s="1986"/>
      <c r="K222" s="1986"/>
      <c r="L222" s="1986"/>
      <c r="M222" s="1986"/>
      <c r="N222" s="1986"/>
    </row>
    <row r="223" spans="1:14" x14ac:dyDescent="0.25">
      <c r="A223" s="1170" t="s">
        <v>7325</v>
      </c>
      <c r="B223" s="1171">
        <v>26</v>
      </c>
      <c r="C223" s="1166">
        <v>1</v>
      </c>
      <c r="D223" s="1166" t="s">
        <v>7326</v>
      </c>
      <c r="E223" s="1166">
        <v>4</v>
      </c>
      <c r="F223" s="1172">
        <v>57</v>
      </c>
      <c r="G223" s="1048" t="s">
        <v>412</v>
      </c>
      <c r="H223" s="1048" t="s">
        <v>4602</v>
      </c>
      <c r="I223" s="1166">
        <v>2</v>
      </c>
      <c r="J223" s="1174">
        <v>161</v>
      </c>
      <c r="K223" s="1048" t="s">
        <v>2097</v>
      </c>
      <c r="L223" s="1048" t="s">
        <v>932</v>
      </c>
      <c r="M223" s="1166">
        <v>4</v>
      </c>
      <c r="N223" s="1166">
        <v>5</v>
      </c>
    </row>
    <row r="224" spans="1:14" x14ac:dyDescent="0.25">
      <c r="B224" s="1171"/>
      <c r="F224" s="1172">
        <v>58</v>
      </c>
      <c r="G224" s="1048" t="s">
        <v>413</v>
      </c>
      <c r="H224" s="1048" t="s">
        <v>4605</v>
      </c>
      <c r="J224" s="1174">
        <v>166</v>
      </c>
      <c r="K224" s="1048" t="s">
        <v>2113</v>
      </c>
      <c r="L224" s="1048" t="s">
        <v>7234</v>
      </c>
    </row>
    <row r="225" spans="1:14" x14ac:dyDescent="0.25">
      <c r="B225" s="1171"/>
      <c r="F225" s="1172">
        <v>59</v>
      </c>
      <c r="G225" s="1048" t="s">
        <v>4608</v>
      </c>
      <c r="H225" s="1048" t="s">
        <v>4609</v>
      </c>
    </row>
    <row r="226" spans="1:14" s="1175" customFormat="1" x14ac:dyDescent="0.25">
      <c r="A226" s="1897"/>
      <c r="B226" s="1898"/>
      <c r="C226" s="1897"/>
      <c r="D226" s="1897"/>
      <c r="E226" s="1897"/>
      <c r="F226" s="1899">
        <v>60</v>
      </c>
      <c r="G226" s="1874" t="s">
        <v>4612</v>
      </c>
      <c r="H226" s="1874" t="s">
        <v>4613</v>
      </c>
      <c r="I226" s="1897"/>
      <c r="J226" s="1897"/>
      <c r="K226" s="1897"/>
      <c r="L226" s="1897"/>
      <c r="M226" s="1897"/>
      <c r="N226" s="1897"/>
    </row>
    <row r="227" spans="1:14" ht="26.25" x14ac:dyDescent="0.25">
      <c r="A227" s="1181" t="s">
        <v>7327</v>
      </c>
      <c r="B227" s="1171">
        <v>27</v>
      </c>
      <c r="C227" s="1166">
        <v>1</v>
      </c>
      <c r="D227" s="1166" t="s">
        <v>7328</v>
      </c>
      <c r="E227" s="1166">
        <v>4</v>
      </c>
      <c r="F227" s="1172">
        <v>99</v>
      </c>
      <c r="G227" s="1048" t="s">
        <v>381</v>
      </c>
      <c r="H227" s="1048" t="s">
        <v>4760</v>
      </c>
      <c r="I227" s="1166">
        <v>2</v>
      </c>
      <c r="J227" s="1174">
        <v>125</v>
      </c>
      <c r="K227" s="1048" t="s">
        <v>1922</v>
      </c>
      <c r="L227" s="1048" t="s">
        <v>7196</v>
      </c>
      <c r="M227" s="1166">
        <v>4</v>
      </c>
      <c r="N227" s="1166">
        <v>5</v>
      </c>
    </row>
    <row r="228" spans="1:14" x14ac:dyDescent="0.25">
      <c r="B228" s="1171"/>
      <c r="F228" s="1172">
        <v>100</v>
      </c>
      <c r="G228" s="1048" t="s">
        <v>382</v>
      </c>
      <c r="H228" s="1048" t="s">
        <v>4763</v>
      </c>
      <c r="J228" s="1174">
        <v>128</v>
      </c>
      <c r="K228" s="1048" t="s">
        <v>1938</v>
      </c>
      <c r="L228" s="1048" t="s">
        <v>7199</v>
      </c>
    </row>
    <row r="229" spans="1:14" x14ac:dyDescent="0.25">
      <c r="B229" s="1171"/>
      <c r="F229" s="1172">
        <v>101</v>
      </c>
      <c r="G229" s="1048" t="s">
        <v>4766</v>
      </c>
      <c r="H229" s="1048" t="s">
        <v>4767</v>
      </c>
    </row>
    <row r="230" spans="1:14" s="1175" customFormat="1" x14ac:dyDescent="0.25">
      <c r="A230" s="1897"/>
      <c r="B230" s="1898"/>
      <c r="C230" s="1897"/>
      <c r="D230" s="1897"/>
      <c r="E230" s="1897"/>
      <c r="F230" s="1899">
        <v>102</v>
      </c>
      <c r="G230" s="1874" t="s">
        <v>4770</v>
      </c>
      <c r="H230" s="1874" t="s">
        <v>4771</v>
      </c>
      <c r="I230" s="1897"/>
      <c r="J230" s="1897"/>
      <c r="K230" s="1897"/>
      <c r="L230" s="1897"/>
      <c r="M230" s="1897"/>
      <c r="N230" s="1897"/>
    </row>
    <row r="231" spans="1:14" x14ac:dyDescent="0.25">
      <c r="A231" s="1182"/>
      <c r="B231" s="1168">
        <v>28</v>
      </c>
      <c r="C231" s="1166">
        <v>1</v>
      </c>
      <c r="D231" s="1166" t="s">
        <v>7329</v>
      </c>
      <c r="E231" s="1166">
        <v>6</v>
      </c>
      <c r="F231" s="1172">
        <v>95</v>
      </c>
      <c r="G231" s="1048" t="s">
        <v>388</v>
      </c>
      <c r="H231" s="1048" t="s">
        <v>4746</v>
      </c>
      <c r="I231" s="1166">
        <v>2</v>
      </c>
      <c r="J231" s="1172">
        <v>126</v>
      </c>
      <c r="K231" s="1048" t="s">
        <v>1928</v>
      </c>
      <c r="L231" s="1048" t="s">
        <v>7197</v>
      </c>
      <c r="M231" s="1166">
        <v>4</v>
      </c>
      <c r="N231" s="1166">
        <v>5</v>
      </c>
    </row>
    <row r="232" spans="1:14" x14ac:dyDescent="0.25">
      <c r="B232" s="1168"/>
      <c r="F232" s="1172">
        <v>96</v>
      </c>
      <c r="G232" s="1048" t="s">
        <v>389</v>
      </c>
      <c r="H232" s="1048" t="s">
        <v>4749</v>
      </c>
      <c r="J232" s="1172">
        <v>127</v>
      </c>
      <c r="K232" s="1048" t="s">
        <v>1932</v>
      </c>
      <c r="L232" s="1048" t="s">
        <v>7198</v>
      </c>
    </row>
    <row r="233" spans="1:14" x14ac:dyDescent="0.25">
      <c r="B233" s="1168"/>
      <c r="F233" s="1172">
        <v>97</v>
      </c>
      <c r="G233" s="1048" t="s">
        <v>4752</v>
      </c>
      <c r="H233" s="1048" t="s">
        <v>4753</v>
      </c>
    </row>
    <row r="234" spans="1:14" x14ac:dyDescent="0.25">
      <c r="B234" s="1168"/>
      <c r="F234" s="1174">
        <v>98</v>
      </c>
      <c r="G234" s="1048" t="s">
        <v>4756</v>
      </c>
      <c r="H234" s="1048" t="s">
        <v>4757</v>
      </c>
    </row>
    <row r="235" spans="1:14" x14ac:dyDescent="0.25">
      <c r="B235" s="1168"/>
      <c r="F235" s="1174">
        <v>103</v>
      </c>
      <c r="G235" s="1048" t="s">
        <v>4774</v>
      </c>
      <c r="H235" s="1048" t="s">
        <v>4775</v>
      </c>
    </row>
    <row r="236" spans="1:14" s="1175" customFormat="1" x14ac:dyDescent="0.25">
      <c r="A236" s="1897"/>
      <c r="B236" s="1901"/>
      <c r="C236" s="1897"/>
      <c r="D236" s="1897"/>
      <c r="E236" s="1897"/>
      <c r="F236" s="1899">
        <v>104</v>
      </c>
      <c r="G236" s="1874" t="s">
        <v>4778</v>
      </c>
      <c r="H236" s="1874" t="s">
        <v>4779</v>
      </c>
      <c r="I236" s="1897"/>
      <c r="J236" s="1897"/>
      <c r="K236" s="1897"/>
      <c r="L236" s="1897"/>
      <c r="M236" s="1897"/>
      <c r="N236" s="1897"/>
    </row>
    <row r="237" spans="1:14" x14ac:dyDescent="0.25">
      <c r="B237" s="1168">
        <v>29</v>
      </c>
      <c r="C237" s="1166">
        <v>1</v>
      </c>
      <c r="D237" s="1166" t="s">
        <v>7330</v>
      </c>
      <c r="E237" s="1166">
        <v>2</v>
      </c>
      <c r="F237" s="1172">
        <v>65</v>
      </c>
      <c r="G237" s="1048" t="s">
        <v>4632</v>
      </c>
      <c r="H237" s="1048" t="s">
        <v>4633</v>
      </c>
      <c r="I237" s="1166">
        <v>1</v>
      </c>
      <c r="J237" s="1174">
        <v>144</v>
      </c>
      <c r="K237" s="1048" t="s">
        <v>2014</v>
      </c>
      <c r="L237" s="1048" t="s">
        <v>7215</v>
      </c>
      <c r="M237" s="1166">
        <v>4</v>
      </c>
      <c r="N237" s="1166">
        <v>5</v>
      </c>
    </row>
    <row r="238" spans="1:14" s="1175" customFormat="1" x14ac:dyDescent="0.25">
      <c r="A238" s="1897"/>
      <c r="B238" s="1901"/>
      <c r="C238" s="1897"/>
      <c r="D238" s="1897"/>
      <c r="E238" s="1897"/>
      <c r="F238" s="1899">
        <v>66</v>
      </c>
      <c r="G238" s="1874" t="s">
        <v>4636</v>
      </c>
      <c r="H238" s="1874" t="s">
        <v>4637</v>
      </c>
      <c r="I238" s="1897"/>
      <c r="J238" s="1897"/>
      <c r="K238" s="1897"/>
      <c r="L238" s="1897"/>
      <c r="M238" s="1897"/>
      <c r="N238" s="1897"/>
    </row>
    <row r="239" spans="1:14" x14ac:dyDescent="0.25">
      <c r="A239" s="1170" t="s">
        <v>7331</v>
      </c>
      <c r="B239" s="1171">
        <v>30</v>
      </c>
      <c r="C239" s="1166">
        <v>1</v>
      </c>
      <c r="D239" s="1166" t="s">
        <v>7332</v>
      </c>
      <c r="E239" s="1166">
        <v>4</v>
      </c>
      <c r="F239" s="1172">
        <v>83</v>
      </c>
      <c r="G239" s="1048" t="s">
        <v>394</v>
      </c>
      <c r="H239" s="1048" t="s">
        <v>4700</v>
      </c>
      <c r="I239" s="1166">
        <v>2</v>
      </c>
      <c r="J239" s="1172">
        <v>134</v>
      </c>
      <c r="K239" s="1048" t="s">
        <v>1973</v>
      </c>
      <c r="L239" s="1048" t="s">
        <v>7205</v>
      </c>
      <c r="M239" s="1166">
        <v>4</v>
      </c>
      <c r="N239" s="1166">
        <v>5</v>
      </c>
    </row>
    <row r="240" spans="1:14" x14ac:dyDescent="0.25">
      <c r="B240" s="1171"/>
      <c r="F240" s="1172">
        <v>84</v>
      </c>
      <c r="G240" s="1048" t="s">
        <v>395</v>
      </c>
      <c r="H240" s="1048" t="s">
        <v>4703</v>
      </c>
      <c r="J240" s="1172">
        <v>135</v>
      </c>
      <c r="K240" s="1048" t="s">
        <v>1978</v>
      </c>
      <c r="L240" s="1048" t="s">
        <v>7206</v>
      </c>
    </row>
    <row r="241" spans="1:14" x14ac:dyDescent="0.25">
      <c r="B241" s="1171"/>
      <c r="F241" s="1172">
        <v>85</v>
      </c>
      <c r="G241" s="1048" t="s">
        <v>4706</v>
      </c>
      <c r="H241" s="1048" t="s">
        <v>4707</v>
      </c>
    </row>
    <row r="242" spans="1:14" s="1175" customFormat="1" x14ac:dyDescent="0.25">
      <c r="A242" s="1897"/>
      <c r="B242" s="1898"/>
      <c r="C242" s="1897"/>
      <c r="D242" s="1897"/>
      <c r="E242" s="1897"/>
      <c r="F242" s="1899">
        <v>86</v>
      </c>
      <c r="G242" s="1874" t="s">
        <v>4710</v>
      </c>
      <c r="H242" s="1874" t="s">
        <v>4711</v>
      </c>
      <c r="I242" s="1897"/>
      <c r="J242" s="1897"/>
      <c r="K242" s="1897"/>
      <c r="L242" s="1897"/>
      <c r="M242" s="1897"/>
      <c r="N242" s="1897"/>
    </row>
    <row r="243" spans="1:14" x14ac:dyDescent="0.25">
      <c r="A243" s="1170" t="s">
        <v>7333</v>
      </c>
      <c r="B243" s="1171">
        <v>31</v>
      </c>
      <c r="C243" s="1166">
        <v>1</v>
      </c>
      <c r="D243" s="1166" t="s">
        <v>7334</v>
      </c>
      <c r="E243" s="1166">
        <v>4</v>
      </c>
      <c r="F243" s="1172">
        <v>73</v>
      </c>
      <c r="G243" s="1048" t="s">
        <v>400</v>
      </c>
      <c r="H243" s="1048" t="s">
        <v>4662</v>
      </c>
      <c r="I243" s="1166">
        <v>2</v>
      </c>
      <c r="J243" s="1172">
        <v>141</v>
      </c>
      <c r="K243" s="1048" t="s">
        <v>1999</v>
      </c>
      <c r="L243" s="1048" t="s">
        <v>7212</v>
      </c>
      <c r="M243" s="1166">
        <v>4</v>
      </c>
      <c r="N243" s="1166">
        <v>5</v>
      </c>
    </row>
    <row r="244" spans="1:14" x14ac:dyDescent="0.25">
      <c r="B244" s="1171"/>
      <c r="F244" s="1174">
        <v>74</v>
      </c>
      <c r="G244" s="1048" t="s">
        <v>401</v>
      </c>
      <c r="H244" s="1048" t="s">
        <v>4665</v>
      </c>
      <c r="J244" s="1172">
        <v>142</v>
      </c>
      <c r="K244" s="1048" t="s">
        <v>2004</v>
      </c>
      <c r="L244" s="1048" t="s">
        <v>7213</v>
      </c>
    </row>
    <row r="245" spans="1:14" x14ac:dyDescent="0.25">
      <c r="B245" s="1171"/>
      <c r="F245" s="1174">
        <v>81</v>
      </c>
      <c r="G245" s="1048" t="s">
        <v>4692</v>
      </c>
      <c r="H245" s="1048" t="s">
        <v>4693</v>
      </c>
    </row>
    <row r="246" spans="1:14" s="1175" customFormat="1" x14ac:dyDescent="0.25">
      <c r="A246" s="1897"/>
      <c r="B246" s="1898"/>
      <c r="C246" s="1897"/>
      <c r="D246" s="1897"/>
      <c r="E246" s="1897"/>
      <c r="F246" s="1899">
        <v>82</v>
      </c>
      <c r="G246" s="1874" t="s">
        <v>4696</v>
      </c>
      <c r="H246" s="1874" t="s">
        <v>4697</v>
      </c>
      <c r="I246" s="1897"/>
      <c r="J246" s="1897"/>
      <c r="K246" s="1897"/>
      <c r="L246" s="1897"/>
      <c r="M246" s="1897"/>
      <c r="N246" s="1897"/>
    </row>
    <row r="247" spans="1:14" x14ac:dyDescent="0.25">
      <c r="A247" s="2393" t="s">
        <v>7335</v>
      </c>
      <c r="B247" s="1171">
        <v>32</v>
      </c>
      <c r="C247" s="1166">
        <v>0</v>
      </c>
      <c r="D247" s="1180" t="s">
        <v>7336</v>
      </c>
      <c r="E247" s="1166">
        <v>2</v>
      </c>
      <c r="F247" s="1172">
        <v>65</v>
      </c>
      <c r="G247" s="1048" t="s">
        <v>4632</v>
      </c>
      <c r="H247" s="1048" t="s">
        <v>4633</v>
      </c>
      <c r="I247" s="1166">
        <v>1</v>
      </c>
      <c r="J247" s="1174">
        <v>144</v>
      </c>
      <c r="K247" s="1048" t="s">
        <v>2014</v>
      </c>
      <c r="L247" s="1048" t="s">
        <v>7215</v>
      </c>
      <c r="M247" s="1166">
        <v>4</v>
      </c>
      <c r="N247" s="1166">
        <v>5</v>
      </c>
    </row>
    <row r="248" spans="1:14" s="1175" customFormat="1" ht="31.5" x14ac:dyDescent="0.25">
      <c r="A248" s="1903" t="s">
        <v>7337</v>
      </c>
      <c r="B248" s="1898"/>
      <c r="C248" s="1897"/>
      <c r="D248" s="1897"/>
      <c r="E248" s="1897"/>
      <c r="F248" s="1899">
        <v>66</v>
      </c>
      <c r="G248" s="1874" t="s">
        <v>4636</v>
      </c>
      <c r="H248" s="1874" t="s">
        <v>4637</v>
      </c>
      <c r="I248" s="1897"/>
      <c r="J248" s="1897"/>
      <c r="K248" s="1897"/>
      <c r="L248" s="1897"/>
      <c r="M248" s="1897"/>
      <c r="N248" s="1897"/>
    </row>
    <row r="249" spans="1:14" x14ac:dyDescent="0.25">
      <c r="A249" s="1170" t="s">
        <v>7338</v>
      </c>
      <c r="B249" s="1171">
        <v>33</v>
      </c>
      <c r="C249" s="1166">
        <v>1</v>
      </c>
      <c r="D249" s="1166" t="s">
        <v>7339</v>
      </c>
      <c r="E249" s="1166">
        <v>12</v>
      </c>
      <c r="F249" s="1172">
        <v>17</v>
      </c>
      <c r="G249" s="1048" t="s">
        <v>4448</v>
      </c>
      <c r="H249" s="1048" t="s">
        <v>4449</v>
      </c>
      <c r="I249" s="1166">
        <v>6</v>
      </c>
      <c r="J249" s="1172">
        <v>101</v>
      </c>
      <c r="K249" s="1048" t="s">
        <v>1813</v>
      </c>
      <c r="L249" s="1048" t="s">
        <v>7172</v>
      </c>
      <c r="M249" s="1166">
        <v>4</v>
      </c>
      <c r="N249" s="1166">
        <v>5</v>
      </c>
    </row>
    <row r="250" spans="1:14" x14ac:dyDescent="0.25">
      <c r="B250" s="1171"/>
      <c r="F250" s="1172">
        <v>18</v>
      </c>
      <c r="G250" s="1048" t="s">
        <v>4452</v>
      </c>
      <c r="H250" s="1048" t="s">
        <v>4453</v>
      </c>
      <c r="J250" s="1172">
        <v>102</v>
      </c>
      <c r="K250" s="1048" t="s">
        <v>1819</v>
      </c>
      <c r="L250" s="1048" t="s">
        <v>7173</v>
      </c>
    </row>
    <row r="251" spans="1:14" x14ac:dyDescent="0.25">
      <c r="B251" s="1171"/>
      <c r="F251" s="1172">
        <v>19</v>
      </c>
      <c r="G251" s="1048" t="s">
        <v>368</v>
      </c>
      <c r="H251" s="1048" t="s">
        <v>4456</v>
      </c>
      <c r="J251" s="1172">
        <v>103</v>
      </c>
      <c r="K251" s="1048" t="s">
        <v>1826</v>
      </c>
      <c r="L251" s="1048" t="s">
        <v>7174</v>
      </c>
    </row>
    <row r="252" spans="1:14" x14ac:dyDescent="0.25">
      <c r="B252" s="1171"/>
      <c r="F252" s="1172">
        <v>20</v>
      </c>
      <c r="G252" s="1048" t="s">
        <v>369</v>
      </c>
      <c r="H252" s="1048" t="s">
        <v>4459</v>
      </c>
      <c r="J252" s="1172">
        <v>104</v>
      </c>
      <c r="K252" s="1048" t="s">
        <v>1830</v>
      </c>
      <c r="L252" s="1048" t="s">
        <v>7175</v>
      </c>
    </row>
    <row r="253" spans="1:14" x14ac:dyDescent="0.25">
      <c r="B253" s="1171"/>
      <c r="F253" s="1172">
        <v>21</v>
      </c>
      <c r="G253" s="1048" t="s">
        <v>4462</v>
      </c>
      <c r="H253" s="1048" t="s">
        <v>4463</v>
      </c>
      <c r="J253" s="1174">
        <v>105</v>
      </c>
      <c r="K253" s="1048" t="s">
        <v>1836</v>
      </c>
      <c r="L253" s="1048" t="s">
        <v>7176</v>
      </c>
    </row>
    <row r="254" spans="1:14" x14ac:dyDescent="0.25">
      <c r="B254" s="1171"/>
      <c r="F254" s="1172">
        <v>22</v>
      </c>
      <c r="G254" s="1048" t="s">
        <v>4466</v>
      </c>
      <c r="H254" s="1048" t="s">
        <v>4467</v>
      </c>
      <c r="J254" s="1174">
        <v>108</v>
      </c>
      <c r="K254" s="1048" t="s">
        <v>1843</v>
      </c>
      <c r="L254" s="1048" t="s">
        <v>7179</v>
      </c>
    </row>
    <row r="255" spans="1:14" x14ac:dyDescent="0.25">
      <c r="B255" s="1171"/>
      <c r="F255" s="1172">
        <v>23</v>
      </c>
      <c r="G255" s="1048" t="s">
        <v>4470</v>
      </c>
      <c r="H255" s="1048" t="s">
        <v>4471</v>
      </c>
    </row>
    <row r="256" spans="1:14" x14ac:dyDescent="0.25">
      <c r="B256" s="1171"/>
      <c r="F256" s="1172">
        <v>24</v>
      </c>
      <c r="G256" s="1048" t="s">
        <v>4474</v>
      </c>
      <c r="H256" s="1048" t="s">
        <v>4475</v>
      </c>
    </row>
    <row r="257" spans="1:14" x14ac:dyDescent="0.25">
      <c r="B257" s="1171"/>
      <c r="F257" s="1172">
        <v>25</v>
      </c>
      <c r="G257" s="1048" t="s">
        <v>4478</v>
      </c>
      <c r="H257" s="1048" t="s">
        <v>4479</v>
      </c>
    </row>
    <row r="258" spans="1:14" x14ac:dyDescent="0.25">
      <c r="B258" s="1171"/>
      <c r="F258" s="1172">
        <v>26</v>
      </c>
      <c r="G258" s="1048" t="s">
        <v>4482</v>
      </c>
      <c r="H258" s="1048" t="s">
        <v>4483</v>
      </c>
    </row>
    <row r="259" spans="1:14" x14ac:dyDescent="0.25">
      <c r="B259" s="1171"/>
      <c r="F259" s="1172">
        <v>27</v>
      </c>
      <c r="G259" s="1048" t="s">
        <v>4486</v>
      </c>
      <c r="H259" s="1048" t="s">
        <v>4487</v>
      </c>
    </row>
    <row r="260" spans="1:14" s="1175" customFormat="1" x14ac:dyDescent="0.25">
      <c r="A260" s="1897"/>
      <c r="B260" s="1898"/>
      <c r="C260" s="1897"/>
      <c r="D260" s="1897"/>
      <c r="E260" s="1897"/>
      <c r="F260" s="1899">
        <v>28</v>
      </c>
      <c r="G260" s="1874" t="s">
        <v>4490</v>
      </c>
      <c r="H260" s="1874" t="s">
        <v>4491</v>
      </c>
      <c r="I260" s="1897"/>
      <c r="J260" s="1897"/>
      <c r="K260" s="1897"/>
      <c r="L260" s="1897"/>
      <c r="M260" s="1897"/>
      <c r="N260" s="1897"/>
    </row>
    <row r="261" spans="1:14" x14ac:dyDescent="0.25">
      <c r="A261" s="1170" t="s">
        <v>7340</v>
      </c>
      <c r="B261" s="1171">
        <v>34</v>
      </c>
      <c r="C261" s="1166">
        <v>1</v>
      </c>
      <c r="D261" s="1166" t="s">
        <v>7341</v>
      </c>
      <c r="E261" s="1166">
        <v>8</v>
      </c>
      <c r="F261" s="1172">
        <v>53</v>
      </c>
      <c r="G261" s="1048" t="s">
        <v>4586</v>
      </c>
      <c r="H261" s="1048" t="s">
        <v>4587</v>
      </c>
      <c r="I261" s="1166">
        <v>5</v>
      </c>
      <c r="J261" s="1172">
        <v>159</v>
      </c>
      <c r="K261" s="1048" t="s">
        <v>2085</v>
      </c>
      <c r="L261" s="1048" t="s">
        <v>7228</v>
      </c>
      <c r="M261" s="1166">
        <v>4</v>
      </c>
      <c r="N261" s="1166">
        <v>5</v>
      </c>
    </row>
    <row r="262" spans="1:14" x14ac:dyDescent="0.25">
      <c r="A262" s="1170" t="s">
        <v>7342</v>
      </c>
      <c r="B262" s="1171"/>
      <c r="F262" s="1172">
        <v>54</v>
      </c>
      <c r="G262" s="1048" t="s">
        <v>4590</v>
      </c>
      <c r="H262" s="1048" t="s">
        <v>4591</v>
      </c>
      <c r="J262" s="1172">
        <v>160</v>
      </c>
      <c r="K262" s="1048" t="s">
        <v>2091</v>
      </c>
      <c r="L262" s="1048" t="s">
        <v>7229</v>
      </c>
    </row>
    <row r="263" spans="1:14" x14ac:dyDescent="0.25">
      <c r="B263" s="1171"/>
      <c r="F263" s="1172">
        <v>55</v>
      </c>
      <c r="G263" s="1048" t="s">
        <v>4594</v>
      </c>
      <c r="H263" s="1048" t="s">
        <v>4595</v>
      </c>
      <c r="J263" s="1174">
        <v>161</v>
      </c>
      <c r="K263" s="1048" t="s">
        <v>2097</v>
      </c>
      <c r="L263" s="1048" t="s">
        <v>932</v>
      </c>
    </row>
    <row r="264" spans="1:14" x14ac:dyDescent="0.25">
      <c r="B264" s="1171"/>
      <c r="F264" s="1172">
        <v>56</v>
      </c>
      <c r="G264" s="1048" t="s">
        <v>4598</v>
      </c>
      <c r="H264" s="1048" t="s">
        <v>4599</v>
      </c>
      <c r="J264" s="1174">
        <v>165</v>
      </c>
      <c r="K264" s="1048" t="s">
        <v>2110</v>
      </c>
      <c r="L264" s="1048" t="s">
        <v>7233</v>
      </c>
    </row>
    <row r="265" spans="1:14" x14ac:dyDescent="0.25">
      <c r="B265" s="1171"/>
      <c r="F265" s="1172">
        <v>57</v>
      </c>
      <c r="G265" s="1048" t="s">
        <v>412</v>
      </c>
      <c r="H265" s="1048" t="s">
        <v>4602</v>
      </c>
      <c r="J265" s="1172">
        <v>166</v>
      </c>
      <c r="K265" s="1048" t="s">
        <v>2113</v>
      </c>
      <c r="L265" s="1048" t="s">
        <v>7234</v>
      </c>
    </row>
    <row r="266" spans="1:14" x14ac:dyDescent="0.25">
      <c r="B266" s="1171"/>
      <c r="F266" s="1172">
        <v>58</v>
      </c>
      <c r="G266" s="1048" t="s">
        <v>413</v>
      </c>
      <c r="H266" s="1048" t="s">
        <v>4605</v>
      </c>
    </row>
    <row r="267" spans="1:14" x14ac:dyDescent="0.25">
      <c r="B267" s="1171"/>
      <c r="F267" s="1172">
        <v>59</v>
      </c>
      <c r="G267" s="1048" t="s">
        <v>4608</v>
      </c>
      <c r="H267" s="1048" t="s">
        <v>4609</v>
      </c>
    </row>
    <row r="268" spans="1:14" s="1175" customFormat="1" x14ac:dyDescent="0.25">
      <c r="A268" s="1897"/>
      <c r="B268" s="1898"/>
      <c r="C268" s="1897"/>
      <c r="D268" s="1897"/>
      <c r="E268" s="1897"/>
      <c r="F268" s="1899">
        <v>60</v>
      </c>
      <c r="G268" s="1874" t="s">
        <v>4612</v>
      </c>
      <c r="H268" s="1874" t="s">
        <v>4613</v>
      </c>
      <c r="I268" s="1897"/>
      <c r="J268" s="1897"/>
      <c r="K268" s="1897"/>
      <c r="L268" s="1897"/>
      <c r="M268" s="1897"/>
      <c r="N268" s="1897"/>
    </row>
    <row r="269" spans="1:14" s="1179" customFormat="1" x14ac:dyDescent="0.25">
      <c r="A269" s="1986"/>
      <c r="B269" s="1987">
        <v>35</v>
      </c>
      <c r="C269" s="1986"/>
      <c r="D269" s="1986" t="s">
        <v>7295</v>
      </c>
      <c r="E269" s="1986"/>
      <c r="F269" s="1986"/>
      <c r="G269" s="1986"/>
      <c r="H269" s="1986"/>
      <c r="I269" s="1986"/>
      <c r="J269" s="1986"/>
      <c r="K269" s="1986"/>
      <c r="L269" s="1986"/>
      <c r="M269" s="1986"/>
      <c r="N269" s="1986"/>
    </row>
    <row r="270" spans="1:14" x14ac:dyDescent="0.25">
      <c r="A270" s="1170" t="s">
        <v>7343</v>
      </c>
      <c r="B270" s="1171">
        <v>36</v>
      </c>
      <c r="C270" s="1166">
        <v>1</v>
      </c>
      <c r="D270" s="1166" t="s">
        <v>7344</v>
      </c>
      <c r="E270" s="1166">
        <v>4</v>
      </c>
      <c r="F270" s="1172">
        <v>91</v>
      </c>
      <c r="G270" s="1048" t="s">
        <v>4730</v>
      </c>
      <c r="H270" s="1048" t="s">
        <v>4731</v>
      </c>
      <c r="I270" s="1166">
        <v>2</v>
      </c>
      <c r="J270" s="1172">
        <v>123</v>
      </c>
      <c r="K270" s="1048" t="s">
        <v>1911</v>
      </c>
      <c r="L270" s="1048" t="s">
        <v>7194</v>
      </c>
      <c r="M270" s="1166">
        <v>4</v>
      </c>
      <c r="N270" s="1166">
        <v>5</v>
      </c>
    </row>
    <row r="271" spans="1:14" x14ac:dyDescent="0.25">
      <c r="B271" s="1171"/>
      <c r="F271" s="1172">
        <v>92</v>
      </c>
      <c r="G271" s="1048" t="s">
        <v>4734</v>
      </c>
      <c r="H271" s="1048" t="s">
        <v>4735</v>
      </c>
      <c r="J271" s="1172">
        <v>124</v>
      </c>
      <c r="K271" s="1048" t="s">
        <v>1917</v>
      </c>
      <c r="L271" s="1048" t="s">
        <v>7195</v>
      </c>
    </row>
    <row r="272" spans="1:14" x14ac:dyDescent="0.25">
      <c r="B272" s="1171"/>
      <c r="F272" s="1172">
        <v>93</v>
      </c>
      <c r="G272" s="1048" t="s">
        <v>4738</v>
      </c>
      <c r="H272" s="1048" t="s">
        <v>4739</v>
      </c>
    </row>
    <row r="273" spans="1:16" s="1175" customFormat="1" x14ac:dyDescent="0.25">
      <c r="A273" s="1897"/>
      <c r="B273" s="1898"/>
      <c r="C273" s="1897"/>
      <c r="D273" s="1897"/>
      <c r="E273" s="1897"/>
      <c r="F273" s="1899">
        <v>94</v>
      </c>
      <c r="G273" s="1874" t="s">
        <v>4742</v>
      </c>
      <c r="H273" s="1874" t="s">
        <v>4743</v>
      </c>
      <c r="I273" s="1897"/>
      <c r="J273" s="1897"/>
      <c r="K273" s="1897"/>
      <c r="L273" s="1897"/>
      <c r="M273" s="1897"/>
      <c r="N273" s="1897"/>
      <c r="O273" s="1897"/>
      <c r="P273" s="1897"/>
    </row>
    <row r="274" spans="1:16" x14ac:dyDescent="0.25">
      <c r="A274" s="1170" t="s">
        <v>7345</v>
      </c>
      <c r="B274" s="1171">
        <v>37</v>
      </c>
      <c r="C274" s="1166">
        <v>1</v>
      </c>
      <c r="D274" s="1166" t="s">
        <v>7346</v>
      </c>
      <c r="E274" s="1166">
        <v>4</v>
      </c>
      <c r="F274" s="1172">
        <v>83</v>
      </c>
      <c r="G274" s="1048" t="s">
        <v>394</v>
      </c>
      <c r="H274" s="1048" t="s">
        <v>4700</v>
      </c>
      <c r="I274" s="1166">
        <v>4</v>
      </c>
      <c r="J274" s="1172">
        <v>132</v>
      </c>
      <c r="K274" s="1048" t="s">
        <v>1958</v>
      </c>
      <c r="L274" s="1048" t="s">
        <v>7203</v>
      </c>
      <c r="M274" s="1166">
        <v>4</v>
      </c>
      <c r="N274" s="1166">
        <v>5</v>
      </c>
    </row>
    <row r="275" spans="1:16" x14ac:dyDescent="0.25">
      <c r="B275" s="1171"/>
      <c r="F275" s="1172">
        <v>84</v>
      </c>
      <c r="G275" s="1048" t="s">
        <v>395</v>
      </c>
      <c r="H275" s="1048" t="s">
        <v>4703</v>
      </c>
      <c r="J275" s="1172">
        <v>133</v>
      </c>
      <c r="K275" s="1048" t="s">
        <v>1964</v>
      </c>
      <c r="L275" s="1048" t="s">
        <v>7204</v>
      </c>
    </row>
    <row r="276" spans="1:16" x14ac:dyDescent="0.25">
      <c r="B276" s="1171"/>
      <c r="F276" s="1172">
        <v>85</v>
      </c>
      <c r="G276" s="1048" t="s">
        <v>4706</v>
      </c>
      <c r="H276" s="1048" t="s">
        <v>4707</v>
      </c>
      <c r="J276" s="1172">
        <v>134</v>
      </c>
      <c r="K276" s="1048" t="s">
        <v>1973</v>
      </c>
      <c r="L276" s="1048" t="s">
        <v>7205</v>
      </c>
    </row>
    <row r="277" spans="1:16" s="1175" customFormat="1" x14ac:dyDescent="0.25">
      <c r="A277" s="1897"/>
      <c r="B277" s="1898"/>
      <c r="C277" s="1897"/>
      <c r="D277" s="1897"/>
      <c r="E277" s="1897"/>
      <c r="F277" s="1899">
        <v>86</v>
      </c>
      <c r="G277" s="1874" t="s">
        <v>4710</v>
      </c>
      <c r="H277" s="1874" t="s">
        <v>4711</v>
      </c>
      <c r="I277" s="1897"/>
      <c r="J277" s="1899">
        <v>135</v>
      </c>
      <c r="K277" s="1874" t="s">
        <v>1978</v>
      </c>
      <c r="L277" s="1874" t="s">
        <v>7206</v>
      </c>
      <c r="M277" s="1897"/>
      <c r="N277" s="1897"/>
      <c r="O277" s="1897"/>
      <c r="P277" s="1897"/>
    </row>
    <row r="278" spans="1:16" x14ac:dyDescent="0.25">
      <c r="B278" s="1168">
        <v>38</v>
      </c>
      <c r="C278" s="1166">
        <v>1</v>
      </c>
      <c r="D278" s="1166" t="s">
        <v>7347</v>
      </c>
      <c r="E278" s="1166">
        <v>6</v>
      </c>
      <c r="F278" s="1172">
        <v>61</v>
      </c>
      <c r="G278" s="1048" t="s">
        <v>4616</v>
      </c>
      <c r="H278" s="1048" t="s">
        <v>4617</v>
      </c>
      <c r="I278" s="1166">
        <v>6</v>
      </c>
      <c r="J278" s="1172">
        <v>143</v>
      </c>
      <c r="K278" s="1048" t="s">
        <v>2009</v>
      </c>
      <c r="L278" s="1048" t="s">
        <v>7214</v>
      </c>
      <c r="M278" s="1166">
        <v>4</v>
      </c>
      <c r="N278" s="1166">
        <v>5</v>
      </c>
    </row>
    <row r="279" spans="1:16" x14ac:dyDescent="0.25">
      <c r="B279" s="1168"/>
      <c r="F279" s="1172">
        <v>62</v>
      </c>
      <c r="G279" s="1048" t="s">
        <v>4620</v>
      </c>
      <c r="H279" s="1048" t="s">
        <v>4621</v>
      </c>
      <c r="J279" s="1172">
        <v>144</v>
      </c>
      <c r="K279" s="1048" t="s">
        <v>2014</v>
      </c>
      <c r="L279" s="1048" t="s">
        <v>7215</v>
      </c>
    </row>
    <row r="280" spans="1:16" x14ac:dyDescent="0.25">
      <c r="B280" s="1168"/>
      <c r="F280" s="1172">
        <v>63</v>
      </c>
      <c r="G280" s="1048" t="s">
        <v>4624</v>
      </c>
      <c r="H280" s="1048" t="s">
        <v>4625</v>
      </c>
      <c r="J280" s="1172">
        <v>145</v>
      </c>
      <c r="K280" s="1048" t="s">
        <v>2019</v>
      </c>
      <c r="L280" s="1048" t="s">
        <v>7216</v>
      </c>
    </row>
    <row r="281" spans="1:16" x14ac:dyDescent="0.25">
      <c r="B281" s="1168"/>
      <c r="F281" s="1172">
        <v>64</v>
      </c>
      <c r="G281" s="1048" t="s">
        <v>4628</v>
      </c>
      <c r="H281" s="1048" t="s">
        <v>4629</v>
      </c>
      <c r="J281" s="1172">
        <v>146</v>
      </c>
      <c r="K281" s="1048" t="s">
        <v>2023</v>
      </c>
      <c r="L281" s="1048" t="s">
        <v>7217</v>
      </c>
    </row>
    <row r="282" spans="1:16" x14ac:dyDescent="0.25">
      <c r="B282" s="1168"/>
      <c r="F282" s="1172">
        <v>65</v>
      </c>
      <c r="G282" s="1048" t="s">
        <v>4632</v>
      </c>
      <c r="H282" s="1048" t="s">
        <v>4633</v>
      </c>
      <c r="J282" s="1174">
        <v>149</v>
      </c>
      <c r="K282" s="1048" t="s">
        <v>2035</v>
      </c>
      <c r="L282" s="1048" t="s">
        <v>2246</v>
      </c>
    </row>
    <row r="283" spans="1:16" s="1175" customFormat="1" x14ac:dyDescent="0.25">
      <c r="A283" s="1897"/>
      <c r="B283" s="1901"/>
      <c r="C283" s="1897"/>
      <c r="D283" s="1897"/>
      <c r="E283" s="1897"/>
      <c r="F283" s="1899">
        <v>66</v>
      </c>
      <c r="G283" s="1874" t="s">
        <v>4636</v>
      </c>
      <c r="H283" s="1874" t="s">
        <v>4637</v>
      </c>
      <c r="I283" s="1897"/>
      <c r="J283" s="1902">
        <v>151</v>
      </c>
      <c r="K283" s="1874" t="s">
        <v>2045</v>
      </c>
      <c r="L283" s="1874" t="s">
        <v>7220</v>
      </c>
      <c r="M283" s="1897"/>
      <c r="N283" s="1897"/>
      <c r="O283" s="1897"/>
      <c r="P283" s="1897"/>
    </row>
    <row r="284" spans="1:16" x14ac:dyDescent="0.25">
      <c r="B284" s="1168">
        <v>39</v>
      </c>
      <c r="C284" s="1166">
        <v>0</v>
      </c>
      <c r="D284" s="1183" t="s">
        <v>7348</v>
      </c>
      <c r="E284" s="1166">
        <v>4</v>
      </c>
      <c r="F284" s="1172">
        <v>107</v>
      </c>
      <c r="G284" s="1048" t="s">
        <v>4790</v>
      </c>
      <c r="H284" s="1048" t="s">
        <v>4791</v>
      </c>
      <c r="I284" s="1166">
        <v>2</v>
      </c>
      <c r="J284" s="1172">
        <v>82</v>
      </c>
      <c r="K284" s="1048" t="s">
        <v>1733</v>
      </c>
      <c r="L284" s="1048" t="s">
        <v>7154</v>
      </c>
      <c r="M284" s="1166">
        <v>4</v>
      </c>
      <c r="N284" s="1166">
        <v>5</v>
      </c>
      <c r="P284" s="1183"/>
    </row>
    <row r="285" spans="1:16" x14ac:dyDescent="0.25">
      <c r="B285" s="1168"/>
      <c r="F285" s="1172">
        <v>108</v>
      </c>
      <c r="G285" s="1048" t="s">
        <v>4794</v>
      </c>
      <c r="H285" s="1048" t="s">
        <v>4795</v>
      </c>
      <c r="J285" s="1172">
        <v>83</v>
      </c>
      <c r="K285" s="1048" t="s">
        <v>1738</v>
      </c>
      <c r="L285" s="1048" t="s">
        <v>7155</v>
      </c>
    </row>
    <row r="286" spans="1:16" x14ac:dyDescent="0.25">
      <c r="B286" s="1168"/>
      <c r="F286" s="1172">
        <v>109</v>
      </c>
      <c r="G286" s="1048" t="s">
        <v>427</v>
      </c>
      <c r="H286" s="1048" t="s">
        <v>4798</v>
      </c>
    </row>
    <row r="287" spans="1:16" s="1175" customFormat="1" x14ac:dyDescent="0.25">
      <c r="A287" s="1897"/>
      <c r="B287" s="1901"/>
      <c r="C287" s="1897"/>
      <c r="D287" s="1897"/>
      <c r="E287" s="1897"/>
      <c r="F287" s="1899">
        <v>110</v>
      </c>
      <c r="G287" s="1874" t="s">
        <v>428</v>
      </c>
      <c r="H287" s="1874" t="s">
        <v>4801</v>
      </c>
      <c r="I287" s="1897"/>
      <c r="J287" s="1897"/>
      <c r="K287" s="1897"/>
      <c r="L287" s="1897"/>
      <c r="M287" s="1897"/>
      <c r="N287" s="1897"/>
      <c r="O287" s="1897"/>
      <c r="P287" s="1897"/>
    </row>
    <row r="288" spans="1:16" x14ac:dyDescent="0.25">
      <c r="A288" s="1170" t="s">
        <v>7349</v>
      </c>
      <c r="B288" s="1171">
        <v>40</v>
      </c>
      <c r="C288" s="1166">
        <v>0</v>
      </c>
      <c r="D288" s="1166" t="s">
        <v>7350</v>
      </c>
      <c r="E288" s="1166">
        <v>6</v>
      </c>
      <c r="F288" s="1172">
        <v>47</v>
      </c>
      <c r="G288" s="1048" t="s">
        <v>419</v>
      </c>
      <c r="H288" s="1048" t="s">
        <v>4564</v>
      </c>
      <c r="I288" s="1166">
        <v>2</v>
      </c>
      <c r="J288" s="1174">
        <v>162</v>
      </c>
      <c r="K288" s="1048" t="s">
        <v>2101</v>
      </c>
      <c r="L288" s="1048" t="s">
        <v>7230</v>
      </c>
      <c r="M288" s="1166">
        <v>4</v>
      </c>
      <c r="N288" s="1166">
        <v>5</v>
      </c>
    </row>
    <row r="289" spans="1:14" x14ac:dyDescent="0.25">
      <c r="B289" s="1171"/>
      <c r="F289" s="1172">
        <v>48</v>
      </c>
      <c r="G289" s="1048" t="s">
        <v>420</v>
      </c>
      <c r="H289" s="1048" t="s">
        <v>4567</v>
      </c>
      <c r="J289" s="1174">
        <v>164</v>
      </c>
      <c r="K289" s="1048" t="s">
        <v>5764</v>
      </c>
      <c r="L289" s="1048" t="s">
        <v>7232</v>
      </c>
    </row>
    <row r="290" spans="1:14" x14ac:dyDescent="0.25">
      <c r="B290" s="1171"/>
      <c r="F290" s="1172">
        <v>49</v>
      </c>
      <c r="G290" s="1048" t="s">
        <v>4570</v>
      </c>
      <c r="H290" s="1048" t="s">
        <v>4571</v>
      </c>
    </row>
    <row r="291" spans="1:14" x14ac:dyDescent="0.25">
      <c r="B291" s="1171"/>
      <c r="F291" s="1172">
        <v>50</v>
      </c>
      <c r="G291" s="1048" t="s">
        <v>4574</v>
      </c>
      <c r="H291" s="1048" t="s">
        <v>4575</v>
      </c>
    </row>
    <row r="292" spans="1:14" x14ac:dyDescent="0.25">
      <c r="B292" s="1171"/>
      <c r="F292" s="1172">
        <v>51</v>
      </c>
      <c r="G292" s="1048" t="s">
        <v>4578</v>
      </c>
      <c r="H292" s="1048" t="s">
        <v>4579</v>
      </c>
    </row>
    <row r="293" spans="1:14" s="1175" customFormat="1" x14ac:dyDescent="0.25">
      <c r="A293" s="1897"/>
      <c r="B293" s="1898"/>
      <c r="C293" s="1897"/>
      <c r="D293" s="1897"/>
      <c r="E293" s="1897"/>
      <c r="F293" s="1899">
        <v>52</v>
      </c>
      <c r="G293" s="1874" t="s">
        <v>4582</v>
      </c>
      <c r="H293" s="1874" t="s">
        <v>4583</v>
      </c>
      <c r="I293" s="1897"/>
      <c r="J293" s="1897"/>
      <c r="K293" s="1897"/>
      <c r="L293" s="1897"/>
      <c r="M293" s="1897"/>
      <c r="N293" s="1897"/>
    </row>
    <row r="294" spans="1:14" x14ac:dyDescent="0.25">
      <c r="A294" s="1170" t="s">
        <v>7351</v>
      </c>
      <c r="B294" s="1171">
        <v>41</v>
      </c>
      <c r="C294" s="1166">
        <v>1</v>
      </c>
      <c r="D294" s="1166" t="s">
        <v>7352</v>
      </c>
      <c r="E294" s="1166">
        <v>16</v>
      </c>
      <c r="F294" s="1172">
        <v>1</v>
      </c>
      <c r="G294" s="1048" t="s">
        <v>4387</v>
      </c>
      <c r="H294" s="1048" t="s">
        <v>4388</v>
      </c>
      <c r="I294" s="1166">
        <v>5</v>
      </c>
      <c r="J294" s="1172">
        <v>96</v>
      </c>
      <c r="K294" s="1048" t="s">
        <v>1274</v>
      </c>
      <c r="L294" s="1048" t="s">
        <v>7168</v>
      </c>
      <c r="M294" s="1166">
        <v>4</v>
      </c>
      <c r="N294" s="1166">
        <v>5</v>
      </c>
    </row>
    <row r="295" spans="1:14" x14ac:dyDescent="0.25">
      <c r="A295" s="1170" t="s">
        <v>7353</v>
      </c>
      <c r="B295" s="1171"/>
      <c r="F295" s="1172">
        <v>2</v>
      </c>
      <c r="G295" s="1048" t="s">
        <v>4391</v>
      </c>
      <c r="H295" s="1048" t="s">
        <v>4392</v>
      </c>
      <c r="J295" s="1172">
        <v>97</v>
      </c>
      <c r="K295" s="1048" t="s">
        <v>1277</v>
      </c>
      <c r="L295" s="1048" t="s">
        <v>7169</v>
      </c>
    </row>
    <row r="296" spans="1:14" x14ac:dyDescent="0.25">
      <c r="B296" s="1171"/>
      <c r="F296" s="1172">
        <v>3</v>
      </c>
      <c r="G296" s="1048" t="s">
        <v>4395</v>
      </c>
      <c r="H296" s="1048" t="s">
        <v>4396</v>
      </c>
      <c r="J296" s="1172">
        <v>98</v>
      </c>
      <c r="K296" s="1048" t="s">
        <v>1798</v>
      </c>
      <c r="L296" s="1048" t="s">
        <v>1278</v>
      </c>
    </row>
    <row r="297" spans="1:14" x14ac:dyDescent="0.25">
      <c r="B297" s="1171"/>
      <c r="F297" s="1172">
        <v>4</v>
      </c>
      <c r="G297" s="1048" t="s">
        <v>4400</v>
      </c>
      <c r="H297" s="1048" t="s">
        <v>4401</v>
      </c>
      <c r="J297" s="1172">
        <v>99</v>
      </c>
      <c r="K297" s="1048" t="s">
        <v>1803</v>
      </c>
      <c r="L297" s="1048" t="s">
        <v>7170</v>
      </c>
    </row>
    <row r="298" spans="1:14" x14ac:dyDescent="0.25">
      <c r="B298" s="1171"/>
      <c r="F298" s="1172">
        <v>5</v>
      </c>
      <c r="G298" s="1048" t="s">
        <v>361</v>
      </c>
      <c r="H298" s="1048" t="s">
        <v>4406</v>
      </c>
      <c r="J298" s="1172">
        <v>100</v>
      </c>
      <c r="K298" s="1048" t="s">
        <v>1808</v>
      </c>
      <c r="L298" s="1048" t="s">
        <v>7171</v>
      </c>
    </row>
    <row r="299" spans="1:14" x14ac:dyDescent="0.25">
      <c r="B299" s="1171"/>
      <c r="F299" s="1172">
        <v>6</v>
      </c>
      <c r="G299" s="1048" t="s">
        <v>362</v>
      </c>
      <c r="H299" s="1048" t="s">
        <v>4409</v>
      </c>
    </row>
    <row r="300" spans="1:14" x14ac:dyDescent="0.25">
      <c r="B300" s="1171"/>
      <c r="F300" s="1172">
        <v>7</v>
      </c>
      <c r="G300" s="1048" t="s">
        <v>353</v>
      </c>
      <c r="H300" s="1048" t="s">
        <v>4412</v>
      </c>
    </row>
    <row r="301" spans="1:14" x14ac:dyDescent="0.25">
      <c r="B301" s="1171"/>
      <c r="F301" s="1172">
        <v>8</v>
      </c>
      <c r="G301" s="1048" t="s">
        <v>354</v>
      </c>
      <c r="H301" s="1048" t="s">
        <v>4415</v>
      </c>
    </row>
    <row r="302" spans="1:14" x14ac:dyDescent="0.25">
      <c r="B302" s="1171"/>
      <c r="F302" s="1172">
        <v>9</v>
      </c>
      <c r="G302" s="1048" t="s">
        <v>4404</v>
      </c>
      <c r="H302" s="1048" t="s">
        <v>4418</v>
      </c>
    </row>
    <row r="303" spans="1:14" x14ac:dyDescent="0.25">
      <c r="B303" s="1171"/>
      <c r="F303" s="1172">
        <v>10</v>
      </c>
      <c r="G303" s="1048" t="s">
        <v>4405</v>
      </c>
      <c r="H303" s="1048" t="s">
        <v>4421</v>
      </c>
    </row>
    <row r="304" spans="1:14" x14ac:dyDescent="0.25">
      <c r="B304" s="1171"/>
      <c r="F304" s="1172">
        <v>11</v>
      </c>
      <c r="G304" s="1048" t="s">
        <v>4424</v>
      </c>
      <c r="H304" s="1048" t="s">
        <v>4425</v>
      </c>
    </row>
    <row r="305" spans="1:16" x14ac:dyDescent="0.25">
      <c r="B305" s="1171"/>
      <c r="F305" s="1172">
        <v>12</v>
      </c>
      <c r="G305" s="1048" t="s">
        <v>4428</v>
      </c>
      <c r="H305" s="1048" t="s">
        <v>4429</v>
      </c>
    </row>
    <row r="306" spans="1:16" x14ac:dyDescent="0.25">
      <c r="B306" s="1171"/>
      <c r="F306" s="1172">
        <v>13</v>
      </c>
      <c r="G306" s="1048" t="s">
        <v>4432</v>
      </c>
      <c r="H306" s="1048" t="s">
        <v>4433</v>
      </c>
    </row>
    <row r="307" spans="1:16" x14ac:dyDescent="0.25">
      <c r="B307" s="1171"/>
      <c r="F307" s="1172">
        <v>14</v>
      </c>
      <c r="G307" s="1048" t="s">
        <v>4436</v>
      </c>
      <c r="H307" s="1048" t="s">
        <v>4437</v>
      </c>
    </row>
    <row r="308" spans="1:16" x14ac:dyDescent="0.25">
      <c r="B308" s="1171"/>
      <c r="F308" s="1172">
        <v>15</v>
      </c>
      <c r="G308" s="1048" t="s">
        <v>4440</v>
      </c>
      <c r="H308" s="1048" t="s">
        <v>4441</v>
      </c>
    </row>
    <row r="309" spans="1:16" s="1175" customFormat="1" x14ac:dyDescent="0.25">
      <c r="A309" s="1897"/>
      <c r="B309" s="1898"/>
      <c r="C309" s="1897"/>
      <c r="D309" s="1897"/>
      <c r="E309" s="1897"/>
      <c r="F309" s="1899">
        <v>16</v>
      </c>
      <c r="G309" s="1874" t="s">
        <v>4444</v>
      </c>
      <c r="H309" s="1874" t="s">
        <v>4445</v>
      </c>
      <c r="I309" s="1897"/>
      <c r="J309" s="1897"/>
      <c r="K309" s="1897"/>
      <c r="L309" s="1897"/>
      <c r="M309" s="1897"/>
      <c r="N309" s="1897"/>
      <c r="O309" s="1897"/>
      <c r="P309" s="1897"/>
    </row>
    <row r="310" spans="1:16" x14ac:dyDescent="0.25">
      <c r="A310" s="1170" t="s">
        <v>7354</v>
      </c>
      <c r="B310" s="1171">
        <v>42</v>
      </c>
      <c r="C310" s="1166">
        <v>1</v>
      </c>
      <c r="D310" s="1183" t="s">
        <v>7355</v>
      </c>
      <c r="E310" s="1166">
        <v>12</v>
      </c>
      <c r="F310" s="1172">
        <v>29</v>
      </c>
      <c r="G310" s="1048" t="s">
        <v>4494</v>
      </c>
      <c r="H310" s="1048" t="s">
        <v>4495</v>
      </c>
      <c r="I310" s="1166">
        <v>9</v>
      </c>
      <c r="J310" s="1172">
        <v>109</v>
      </c>
      <c r="K310" s="1048" t="s">
        <v>1846</v>
      </c>
      <c r="L310" s="1048" t="s">
        <v>7180</v>
      </c>
      <c r="M310" s="1166">
        <v>4</v>
      </c>
      <c r="N310" s="1166">
        <v>5</v>
      </c>
      <c r="P310" s="1183"/>
    </row>
    <row r="311" spans="1:16" x14ac:dyDescent="0.25">
      <c r="B311" s="1171"/>
      <c r="F311" s="1172">
        <v>30</v>
      </c>
      <c r="G311" s="1048" t="s">
        <v>4498</v>
      </c>
      <c r="H311" s="1048" t="s">
        <v>4499</v>
      </c>
      <c r="J311" s="1172">
        <v>110</v>
      </c>
      <c r="K311" s="1048" t="s">
        <v>1851</v>
      </c>
      <c r="L311" s="1048" t="s">
        <v>7181</v>
      </c>
    </row>
    <row r="312" spans="1:16" x14ac:dyDescent="0.25">
      <c r="B312" s="1171"/>
      <c r="F312" s="1172">
        <v>31</v>
      </c>
      <c r="G312" s="1048" t="s">
        <v>4502</v>
      </c>
      <c r="H312" s="1048" t="s">
        <v>4503</v>
      </c>
      <c r="J312" s="1172">
        <v>111</v>
      </c>
      <c r="K312" s="1048" t="s">
        <v>1857</v>
      </c>
      <c r="L312" s="1048" t="s">
        <v>7182</v>
      </c>
    </row>
    <row r="313" spans="1:16" x14ac:dyDescent="0.25">
      <c r="B313" s="1171"/>
      <c r="F313" s="1172">
        <v>32</v>
      </c>
      <c r="G313" s="1048" t="s">
        <v>4506</v>
      </c>
      <c r="H313" s="1048" t="s">
        <v>4507</v>
      </c>
      <c r="J313" s="1172">
        <v>112</v>
      </c>
      <c r="K313" s="1048" t="s">
        <v>1862</v>
      </c>
      <c r="L313" s="1048" t="s">
        <v>7183</v>
      </c>
    </row>
    <row r="314" spans="1:16" x14ac:dyDescent="0.25">
      <c r="B314" s="1171"/>
      <c r="F314" s="1172">
        <v>33</v>
      </c>
      <c r="G314" s="1048" t="s">
        <v>4510</v>
      </c>
      <c r="H314" s="1048" t="s">
        <v>4511</v>
      </c>
      <c r="J314" s="1172">
        <v>113</v>
      </c>
      <c r="K314" s="1048" t="s">
        <v>1867</v>
      </c>
      <c r="L314" s="1048" t="s">
        <v>7184</v>
      </c>
    </row>
    <row r="315" spans="1:16" x14ac:dyDescent="0.25">
      <c r="B315" s="1171"/>
      <c r="F315" s="1172">
        <v>34</v>
      </c>
      <c r="G315" s="1048" t="s">
        <v>4514</v>
      </c>
      <c r="H315" s="1048" t="s">
        <v>4515</v>
      </c>
      <c r="J315" s="1172">
        <v>114</v>
      </c>
      <c r="K315" s="1048" t="s">
        <v>1870</v>
      </c>
      <c r="L315" s="1048" t="s">
        <v>7185</v>
      </c>
    </row>
    <row r="316" spans="1:16" x14ac:dyDescent="0.25">
      <c r="B316" s="1171"/>
      <c r="F316" s="1172">
        <v>35</v>
      </c>
      <c r="G316" s="1048" t="s">
        <v>4518</v>
      </c>
      <c r="H316" s="1048" t="s">
        <v>4519</v>
      </c>
      <c r="J316" s="1172">
        <v>115</v>
      </c>
      <c r="K316" s="1048" t="s">
        <v>1874</v>
      </c>
      <c r="L316" s="1048" t="s">
        <v>7186</v>
      </c>
    </row>
    <row r="317" spans="1:16" x14ac:dyDescent="0.25">
      <c r="B317" s="1171"/>
      <c r="F317" s="1172">
        <v>36</v>
      </c>
      <c r="G317" s="1048" t="s">
        <v>4522</v>
      </c>
      <c r="H317" s="1048" t="s">
        <v>4523</v>
      </c>
      <c r="J317" s="1172">
        <v>116</v>
      </c>
      <c r="K317" s="1048" t="s">
        <v>1876</v>
      </c>
      <c r="L317" s="1048" t="s">
        <v>7187</v>
      </c>
    </row>
    <row r="318" spans="1:16" x14ac:dyDescent="0.25">
      <c r="B318" s="1171"/>
      <c r="F318" s="1172">
        <v>37</v>
      </c>
      <c r="G318" s="1048" t="s">
        <v>375</v>
      </c>
      <c r="H318" s="1048" t="s">
        <v>4526</v>
      </c>
      <c r="J318" s="1172">
        <v>117</v>
      </c>
      <c r="K318" s="1048" t="s">
        <v>1881</v>
      </c>
      <c r="L318" s="1048" t="s">
        <v>7188</v>
      </c>
    </row>
    <row r="319" spans="1:16" x14ac:dyDescent="0.25">
      <c r="B319" s="1171"/>
      <c r="F319" s="1172">
        <v>38</v>
      </c>
      <c r="G319" s="1048" t="s">
        <v>376</v>
      </c>
      <c r="H319" s="1048" t="s">
        <v>4529</v>
      </c>
    </row>
    <row r="320" spans="1:16" x14ac:dyDescent="0.25">
      <c r="B320" s="1171"/>
      <c r="F320" s="1172">
        <v>39</v>
      </c>
      <c r="G320" s="1048" t="s">
        <v>4532</v>
      </c>
      <c r="H320" s="1048" t="s">
        <v>4533</v>
      </c>
    </row>
    <row r="321" spans="2:14" s="1175" customFormat="1" x14ac:dyDescent="0.25">
      <c r="B321" s="1898"/>
      <c r="C321" s="1897"/>
      <c r="D321" s="1897"/>
      <c r="E321" s="1897"/>
      <c r="F321" s="1899">
        <v>40</v>
      </c>
      <c r="G321" s="1874" t="s">
        <v>4536</v>
      </c>
      <c r="H321" s="1874" t="s">
        <v>4537</v>
      </c>
      <c r="I321" s="1897"/>
      <c r="J321" s="1897"/>
      <c r="K321" s="1897"/>
      <c r="L321" s="1897"/>
      <c r="M321" s="1897"/>
      <c r="N321" s="1897"/>
    </row>
    <row r="322" spans="2:14" x14ac:dyDescent="0.25">
      <c r="B322" s="1168">
        <v>43</v>
      </c>
      <c r="C322" s="1166">
        <v>0</v>
      </c>
      <c r="D322" s="1166" t="s">
        <v>7356</v>
      </c>
      <c r="E322" s="1166">
        <v>2</v>
      </c>
      <c r="F322" s="1172">
        <v>33</v>
      </c>
      <c r="G322" s="1048" t="s">
        <v>4510</v>
      </c>
      <c r="H322" s="1048" t="s">
        <v>4511</v>
      </c>
      <c r="I322" s="1166">
        <v>2</v>
      </c>
      <c r="J322" s="1172">
        <v>111</v>
      </c>
      <c r="K322" s="1048" t="s">
        <v>1857</v>
      </c>
      <c r="L322" s="1048" t="s">
        <v>7182</v>
      </c>
      <c r="M322" s="1166">
        <v>4</v>
      </c>
      <c r="N322" s="1166">
        <v>5</v>
      </c>
    </row>
    <row r="323" spans="2:14" s="1175" customFormat="1" x14ac:dyDescent="0.25">
      <c r="B323" s="1901"/>
      <c r="C323" s="1897"/>
      <c r="D323" s="1897"/>
      <c r="E323" s="1897"/>
      <c r="F323" s="1899">
        <v>34</v>
      </c>
      <c r="G323" s="1874" t="s">
        <v>4514</v>
      </c>
      <c r="H323" s="1874" t="s">
        <v>4515</v>
      </c>
      <c r="I323" s="1897"/>
      <c r="J323" s="1899">
        <v>112</v>
      </c>
      <c r="K323" s="1874" t="s">
        <v>1862</v>
      </c>
      <c r="L323" s="1874" t="s">
        <v>7183</v>
      </c>
      <c r="M323" s="1897"/>
      <c r="N323" s="1897"/>
    </row>
  </sheetData>
  <autoFilter ref="A2:N323" xr:uid="{00000000-0009-0000-0000-00002B000000}"/>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69"/>
  <sheetViews>
    <sheetView workbookViewId="0"/>
  </sheetViews>
  <sheetFormatPr defaultColWidth="9.140625" defaultRowHeight="12.75" x14ac:dyDescent="0.2"/>
  <cols>
    <col min="1" max="1" width="18.28515625" customWidth="1"/>
    <col min="2" max="2" width="10.28515625" customWidth="1"/>
  </cols>
  <sheetData>
    <row r="1" spans="1:2" x14ac:dyDescent="0.2">
      <c r="A1" t="s">
        <v>7357</v>
      </c>
      <c r="B1" t="s">
        <v>7358</v>
      </c>
    </row>
    <row r="2" spans="1:2" x14ac:dyDescent="0.2">
      <c r="A2" t="s">
        <v>7359</v>
      </c>
      <c r="B2" t="s">
        <v>7360</v>
      </c>
    </row>
    <row r="3" spans="1:2" x14ac:dyDescent="0.2">
      <c r="A3" t="s">
        <v>7361</v>
      </c>
      <c r="B3" t="s">
        <v>7362</v>
      </c>
    </row>
    <row r="4" spans="1:2" x14ac:dyDescent="0.2">
      <c r="A4" t="s">
        <v>7363</v>
      </c>
      <c r="B4" t="s">
        <v>7364</v>
      </c>
    </row>
    <row r="5" spans="1:2" x14ac:dyDescent="0.2">
      <c r="A5" t="s">
        <v>7365</v>
      </c>
      <c r="B5" t="s">
        <v>7366</v>
      </c>
    </row>
    <row r="6" spans="1:2" x14ac:dyDescent="0.2">
      <c r="A6" t="s">
        <v>7367</v>
      </c>
      <c r="B6" t="s">
        <v>7368</v>
      </c>
    </row>
    <row r="7" spans="1:2" x14ac:dyDescent="0.2">
      <c r="A7" t="s">
        <v>7369</v>
      </c>
      <c r="B7" t="s">
        <v>7370</v>
      </c>
    </row>
    <row r="8" spans="1:2" x14ac:dyDescent="0.2">
      <c r="A8" t="s">
        <v>7371</v>
      </c>
      <c r="B8" t="s">
        <v>7372</v>
      </c>
    </row>
    <row r="9" spans="1:2" x14ac:dyDescent="0.2">
      <c r="A9" t="s">
        <v>7373</v>
      </c>
      <c r="B9" t="s">
        <v>7374</v>
      </c>
    </row>
    <row r="10" spans="1:2" x14ac:dyDescent="0.2">
      <c r="A10" t="s">
        <v>7375</v>
      </c>
      <c r="B10" t="s">
        <v>7376</v>
      </c>
    </row>
    <row r="11" spans="1:2" x14ac:dyDescent="0.2">
      <c r="A11" t="s">
        <v>7377</v>
      </c>
      <c r="B11" t="s">
        <v>7378</v>
      </c>
    </row>
    <row r="12" spans="1:2" x14ac:dyDescent="0.2">
      <c r="A12" t="s">
        <v>7379</v>
      </c>
      <c r="B12" t="s">
        <v>7380</v>
      </c>
    </row>
    <row r="13" spans="1:2" x14ac:dyDescent="0.2">
      <c r="A13" t="s">
        <v>7381</v>
      </c>
      <c r="B13" t="s">
        <v>7382</v>
      </c>
    </row>
    <row r="14" spans="1:2" x14ac:dyDescent="0.2">
      <c r="A14" t="s">
        <v>7383</v>
      </c>
      <c r="B14" t="s">
        <v>7384</v>
      </c>
    </row>
    <row r="15" spans="1:2" x14ac:dyDescent="0.2">
      <c r="A15" t="s">
        <v>7385</v>
      </c>
      <c r="B15" t="s">
        <v>7386</v>
      </c>
    </row>
    <row r="16" spans="1:2" x14ac:dyDescent="0.2">
      <c r="A16" t="s">
        <v>7387</v>
      </c>
      <c r="B16" t="s">
        <v>7388</v>
      </c>
    </row>
    <row r="17" spans="1:2" x14ac:dyDescent="0.2">
      <c r="A17" t="s">
        <v>7389</v>
      </c>
      <c r="B17" t="s">
        <v>7390</v>
      </c>
    </row>
    <row r="18" spans="1:2" x14ac:dyDescent="0.2">
      <c r="A18" t="s">
        <v>7391</v>
      </c>
      <c r="B18" t="s">
        <v>7392</v>
      </c>
    </row>
    <row r="19" spans="1:2" x14ac:dyDescent="0.2">
      <c r="A19" t="s">
        <v>7393</v>
      </c>
      <c r="B19" t="s">
        <v>7394</v>
      </c>
    </row>
    <row r="20" spans="1:2" x14ac:dyDescent="0.2">
      <c r="A20" t="s">
        <v>7395</v>
      </c>
      <c r="B20" t="s">
        <v>7396</v>
      </c>
    </row>
    <row r="21" spans="1:2" x14ac:dyDescent="0.2">
      <c r="A21" t="s">
        <v>7397</v>
      </c>
      <c r="B21" t="s">
        <v>7398</v>
      </c>
    </row>
    <row r="22" spans="1:2" x14ac:dyDescent="0.2">
      <c r="A22" t="s">
        <v>7399</v>
      </c>
      <c r="B22" t="s">
        <v>7400</v>
      </c>
    </row>
    <row r="23" spans="1:2" x14ac:dyDescent="0.2">
      <c r="A23" t="s">
        <v>7401</v>
      </c>
      <c r="B23" t="s">
        <v>7402</v>
      </c>
    </row>
    <row r="24" spans="1:2" x14ac:dyDescent="0.2">
      <c r="A24" t="s">
        <v>7403</v>
      </c>
      <c r="B24" t="s">
        <v>7404</v>
      </c>
    </row>
    <row r="25" spans="1:2" x14ac:dyDescent="0.2">
      <c r="A25" t="s">
        <v>7405</v>
      </c>
      <c r="B25" t="s">
        <v>7406</v>
      </c>
    </row>
    <row r="26" spans="1:2" x14ac:dyDescent="0.2">
      <c r="A26" t="s">
        <v>7407</v>
      </c>
      <c r="B26" t="s">
        <v>7408</v>
      </c>
    </row>
    <row r="27" spans="1:2" x14ac:dyDescent="0.2">
      <c r="A27" t="s">
        <v>7409</v>
      </c>
      <c r="B27" t="s">
        <v>7410</v>
      </c>
    </row>
    <row r="28" spans="1:2" x14ac:dyDescent="0.2">
      <c r="A28" t="s">
        <v>7411</v>
      </c>
      <c r="B28" s="1256" t="s">
        <v>7412</v>
      </c>
    </row>
    <row r="29" spans="1:2" x14ac:dyDescent="0.2">
      <c r="A29" t="s">
        <v>7413</v>
      </c>
      <c r="B29" t="s">
        <v>7414</v>
      </c>
    </row>
    <row r="30" spans="1:2" x14ac:dyDescent="0.2">
      <c r="A30" t="s">
        <v>7415</v>
      </c>
      <c r="B30" t="s">
        <v>7416</v>
      </c>
    </row>
    <row r="31" spans="1:2" x14ac:dyDescent="0.2">
      <c r="A31" t="s">
        <v>7417</v>
      </c>
      <c r="B31" t="s">
        <v>7418</v>
      </c>
    </row>
    <row r="32" spans="1:2" x14ac:dyDescent="0.2">
      <c r="A32" t="s">
        <v>7419</v>
      </c>
      <c r="B32" t="s">
        <v>7420</v>
      </c>
    </row>
    <row r="33" spans="1:2" x14ac:dyDescent="0.2">
      <c r="A33" t="s">
        <v>7421</v>
      </c>
      <c r="B33" t="s">
        <v>7422</v>
      </c>
    </row>
    <row r="34" spans="1:2" x14ac:dyDescent="0.2">
      <c r="A34" t="s">
        <v>7423</v>
      </c>
      <c r="B34" t="s">
        <v>7424</v>
      </c>
    </row>
    <row r="35" spans="1:2" x14ac:dyDescent="0.2">
      <c r="A35" t="s">
        <v>7425</v>
      </c>
      <c r="B35" t="s">
        <v>7426</v>
      </c>
    </row>
    <row r="36" spans="1:2" x14ac:dyDescent="0.2">
      <c r="A36" t="s">
        <v>7427</v>
      </c>
      <c r="B36" t="s">
        <v>7428</v>
      </c>
    </row>
    <row r="37" spans="1:2" x14ac:dyDescent="0.2">
      <c r="A37" t="s">
        <v>7429</v>
      </c>
      <c r="B37" t="s">
        <v>7430</v>
      </c>
    </row>
    <row r="38" spans="1:2" x14ac:dyDescent="0.2">
      <c r="A38" t="s">
        <v>7431</v>
      </c>
      <c r="B38" t="s">
        <v>7432</v>
      </c>
    </row>
    <row r="39" spans="1:2" x14ac:dyDescent="0.2">
      <c r="A39" t="s">
        <v>7433</v>
      </c>
      <c r="B39" t="s">
        <v>7434</v>
      </c>
    </row>
    <row r="40" spans="1:2" x14ac:dyDescent="0.2">
      <c r="A40" t="s">
        <v>7435</v>
      </c>
      <c r="B40" t="s">
        <v>7436</v>
      </c>
    </row>
    <row r="41" spans="1:2" x14ac:dyDescent="0.2">
      <c r="A41" t="s">
        <v>7437</v>
      </c>
      <c r="B41" t="s">
        <v>7438</v>
      </c>
    </row>
    <row r="42" spans="1:2" x14ac:dyDescent="0.2">
      <c r="A42" t="s">
        <v>7439</v>
      </c>
      <c r="B42" t="s">
        <v>7440</v>
      </c>
    </row>
    <row r="43" spans="1:2" x14ac:dyDescent="0.2">
      <c r="A43" t="s">
        <v>7441</v>
      </c>
      <c r="B43" t="s">
        <v>7442</v>
      </c>
    </row>
    <row r="44" spans="1:2" x14ac:dyDescent="0.2">
      <c r="A44" t="s">
        <v>7443</v>
      </c>
      <c r="B44" t="s">
        <v>7444</v>
      </c>
    </row>
    <row r="45" spans="1:2" x14ac:dyDescent="0.2">
      <c r="A45" t="s">
        <v>7445</v>
      </c>
      <c r="B45" t="s">
        <v>7446</v>
      </c>
    </row>
    <row r="46" spans="1:2" x14ac:dyDescent="0.2">
      <c r="A46" t="s">
        <v>7447</v>
      </c>
      <c r="B46" t="s">
        <v>7448</v>
      </c>
    </row>
    <row r="47" spans="1:2" x14ac:dyDescent="0.2">
      <c r="A47" t="s">
        <v>7449</v>
      </c>
      <c r="B47" t="s">
        <v>7450</v>
      </c>
    </row>
    <row r="48" spans="1:2" x14ac:dyDescent="0.2">
      <c r="A48" t="s">
        <v>7451</v>
      </c>
      <c r="B48" t="s">
        <v>7452</v>
      </c>
    </row>
    <row r="49" spans="1:2" x14ac:dyDescent="0.2">
      <c r="A49" t="s">
        <v>7453</v>
      </c>
      <c r="B49" t="s">
        <v>7454</v>
      </c>
    </row>
    <row r="50" spans="1:2" x14ac:dyDescent="0.2">
      <c r="A50" t="s">
        <v>7455</v>
      </c>
      <c r="B50" t="s">
        <v>7456</v>
      </c>
    </row>
    <row r="51" spans="1:2" x14ac:dyDescent="0.2">
      <c r="A51" t="s">
        <v>7457</v>
      </c>
      <c r="B51" t="s">
        <v>7458</v>
      </c>
    </row>
    <row r="52" spans="1:2" x14ac:dyDescent="0.2">
      <c r="A52" t="s">
        <v>7459</v>
      </c>
      <c r="B52" t="s">
        <v>7460</v>
      </c>
    </row>
    <row r="53" spans="1:2" x14ac:dyDescent="0.2">
      <c r="A53" t="s">
        <v>7461</v>
      </c>
      <c r="B53" t="s">
        <v>7462</v>
      </c>
    </row>
    <row r="54" spans="1:2" x14ac:dyDescent="0.2">
      <c r="A54" t="s">
        <v>7463</v>
      </c>
      <c r="B54" t="s">
        <v>7464</v>
      </c>
    </row>
    <row r="55" spans="1:2" x14ac:dyDescent="0.2">
      <c r="A55" t="s">
        <v>7465</v>
      </c>
      <c r="B55" t="s">
        <v>7466</v>
      </c>
    </row>
    <row r="56" spans="1:2" x14ac:dyDescent="0.2">
      <c r="A56" t="s">
        <v>7467</v>
      </c>
      <c r="B56" t="s">
        <v>7468</v>
      </c>
    </row>
    <row r="57" spans="1:2" x14ac:dyDescent="0.2">
      <c r="A57" t="s">
        <v>7469</v>
      </c>
      <c r="B57" t="s">
        <v>7470</v>
      </c>
    </row>
    <row r="58" spans="1:2" x14ac:dyDescent="0.2">
      <c r="A58" t="s">
        <v>7471</v>
      </c>
      <c r="B58" t="s">
        <v>7472</v>
      </c>
    </row>
    <row r="59" spans="1:2" x14ac:dyDescent="0.2">
      <c r="A59" t="s">
        <v>7473</v>
      </c>
      <c r="B59" t="s">
        <v>7474</v>
      </c>
    </row>
    <row r="60" spans="1:2" x14ac:dyDescent="0.2">
      <c r="A60" t="s">
        <v>7475</v>
      </c>
      <c r="B60" t="s">
        <v>7476</v>
      </c>
    </row>
    <row r="61" spans="1:2" x14ac:dyDescent="0.2">
      <c r="A61" t="s">
        <v>7477</v>
      </c>
      <c r="B61" t="s">
        <v>7478</v>
      </c>
    </row>
    <row r="62" spans="1:2" x14ac:dyDescent="0.2">
      <c r="A62" t="s">
        <v>7479</v>
      </c>
      <c r="B62" t="s">
        <v>7480</v>
      </c>
    </row>
    <row r="63" spans="1:2" x14ac:dyDescent="0.2">
      <c r="A63" t="s">
        <v>7481</v>
      </c>
      <c r="B63" t="s">
        <v>7482</v>
      </c>
    </row>
    <row r="64" spans="1:2" x14ac:dyDescent="0.2">
      <c r="A64" t="s">
        <v>7483</v>
      </c>
      <c r="B64" t="s">
        <v>7484</v>
      </c>
    </row>
    <row r="65" spans="1:2" x14ac:dyDescent="0.2">
      <c r="A65" t="s">
        <v>7485</v>
      </c>
      <c r="B65" t="s">
        <v>7486</v>
      </c>
    </row>
    <row r="66" spans="1:2" x14ac:dyDescent="0.2">
      <c r="A66" t="s">
        <v>7487</v>
      </c>
      <c r="B66" t="s">
        <v>7488</v>
      </c>
    </row>
    <row r="67" spans="1:2" x14ac:dyDescent="0.2">
      <c r="A67" t="s">
        <v>7489</v>
      </c>
      <c r="B67" t="s">
        <v>7490</v>
      </c>
    </row>
    <row r="68" spans="1:2" x14ac:dyDescent="0.2">
      <c r="A68" t="s">
        <v>2648</v>
      </c>
      <c r="B68" t="s">
        <v>7491</v>
      </c>
    </row>
    <row r="69" spans="1:2" x14ac:dyDescent="0.2">
      <c r="A69" t="s">
        <v>7492</v>
      </c>
      <c r="B69" t="s">
        <v>7493</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704f474e-3c68-4b88-93ac-7c86e7119ccc">
      <Terms xmlns="http://schemas.microsoft.com/office/infopath/2007/PartnerControls"/>
    </lcf76f155ced4ddcb4097134ff3c332f>
    <TaxCatchAll xmlns="25bf28c8-6ae6-42aa-a4b2-d83c9f61aea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D5936B3F7732444AFEF1606BFED34DC" ma:contentTypeVersion="16" ma:contentTypeDescription="Create a new document." ma:contentTypeScope="" ma:versionID="5671210d5851db58ba96cc5f8cd0c7b6">
  <xsd:schema xmlns:xsd="http://www.w3.org/2001/XMLSchema" xmlns:xs="http://www.w3.org/2001/XMLSchema" xmlns:p="http://schemas.microsoft.com/office/2006/metadata/properties" xmlns:ns1="http://schemas.microsoft.com/sharepoint/v3" xmlns:ns2="704f474e-3c68-4b88-93ac-7c86e7119ccc" xmlns:ns3="25bf28c8-6ae6-42aa-a4b2-d83c9f61aeaa" targetNamespace="http://schemas.microsoft.com/office/2006/metadata/properties" ma:root="true" ma:fieldsID="e611846c87b5e51fe031464619ab8f44" ns1:_="" ns2:_="" ns3:_="">
    <xsd:import namespace="http://schemas.microsoft.com/sharepoint/v3"/>
    <xsd:import namespace="704f474e-3c68-4b88-93ac-7c86e7119ccc"/>
    <xsd:import namespace="25bf28c8-6ae6-42aa-a4b2-d83c9f61aea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1:_ip_UnifiedCompliancePolicyProperties" minOccurs="0"/>
                <xsd:element ref="ns1:_ip_UnifiedCompliancePolicyUIAction"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Unified Compliance Policy Properties" ma:hidden="true" ma:internalName="_ip_UnifiedCompliancePolicyProperties">
      <xsd:simpleType>
        <xsd:restriction base="dms:Note"/>
      </xsd:simpleType>
    </xsd:element>
    <xsd:element name="_ip_UnifiedCompliancePolicyUIAction" ma:index="1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4f474e-3c68-4b88-93ac-7c86e7119c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60a6a1c-50a4-4ec0-87e3-f00760ffe76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5bf28c8-6ae6-42aa-a4b2-d83c9f61aea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ccd10a6d-abc8-424f-81e4-b9b81fce80c4}" ma:internalName="TaxCatchAll" ma:showField="CatchAllData" ma:web="25bf28c8-6ae6-42aa-a4b2-d83c9f61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AD55E6-FE13-4A42-B435-F15DAB54C383}">
  <ds:schemaRefs>
    <ds:schemaRef ds:uri="http://schemas.microsoft.com/office/2006/metadata/properties"/>
    <ds:schemaRef ds:uri="http://schemas.microsoft.com/office/infopath/2007/PartnerControls"/>
    <ds:schemaRef ds:uri="http://schemas.microsoft.com/sharepoint/v3"/>
    <ds:schemaRef ds:uri="704f474e-3c68-4b88-93ac-7c86e7119ccc"/>
    <ds:schemaRef ds:uri="25bf28c8-6ae6-42aa-a4b2-d83c9f61aeaa"/>
  </ds:schemaRefs>
</ds:datastoreItem>
</file>

<file path=customXml/itemProps2.xml><?xml version="1.0" encoding="utf-8"?>
<ds:datastoreItem xmlns:ds="http://schemas.openxmlformats.org/officeDocument/2006/customXml" ds:itemID="{4E0B4B60-5BEA-4EFA-AC75-310754D0B8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04f474e-3c68-4b88-93ac-7c86e7119ccc"/>
    <ds:schemaRef ds:uri="25bf28c8-6ae6-42aa-a4b2-d83c9f61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87FE3EB-9D72-46A6-A54A-5063D8C1B0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107</vt:i4>
      </vt:variant>
    </vt:vector>
  </HeadingPairs>
  <TitlesOfParts>
    <vt:vector size="152" baseType="lpstr">
      <vt:lpstr>Dependents_Overview</vt:lpstr>
      <vt:lpstr>Contents</vt:lpstr>
      <vt:lpstr>1</vt:lpstr>
      <vt:lpstr>2</vt:lpstr>
      <vt:lpstr>4</vt:lpstr>
      <vt:lpstr>7</vt:lpstr>
      <vt:lpstr>Sk</vt:lpstr>
      <vt:lpstr>StSn</vt:lpstr>
      <vt:lpstr>HdC</vt:lpstr>
      <vt:lpstr>SPS</vt:lpstr>
      <vt:lpstr>NS</vt:lpstr>
      <vt:lpstr>JDF</vt:lpstr>
      <vt:lpstr>PFMCTables</vt:lpstr>
      <vt:lpstr>WACoastTerminal</vt:lpstr>
      <vt:lpstr>Thompson</vt:lpstr>
      <vt:lpstr>Input_Harvestnew</vt:lpstr>
      <vt:lpstr>Input_Stockdata</vt:lpstr>
      <vt:lpstr>Tami</vt:lpstr>
      <vt:lpstr>Tami_Precedents</vt:lpstr>
      <vt:lpstr>FishSumAllPRN</vt:lpstr>
      <vt:lpstr>StockSumPRN</vt:lpstr>
      <vt:lpstr>Table2PRN</vt:lpstr>
      <vt:lpstr>TRunsPRN</vt:lpstr>
      <vt:lpstr>LandedCNRTMbyTP</vt:lpstr>
      <vt:lpstr>FisheryConvTemplate</vt:lpstr>
      <vt:lpstr>NT-Tsummary</vt:lpstr>
      <vt:lpstr>PS_HatcheryEsc.</vt:lpstr>
      <vt:lpstr>Documentation</vt:lpstr>
      <vt:lpstr>fram_unm_mrkprn</vt:lpstr>
      <vt:lpstr>FramScalarsOPIstyle</vt:lpstr>
      <vt:lpstr>ColR&amp;OCN&amp;RogKlam</vt:lpstr>
      <vt:lpstr>ColRPercent</vt:lpstr>
      <vt:lpstr>ColRHarvestInput</vt:lpstr>
      <vt:lpstr>AttachC</vt:lpstr>
      <vt:lpstr>AttachCStkInput</vt:lpstr>
      <vt:lpstr>SportMatrix</vt:lpstr>
      <vt:lpstr>RunLog</vt:lpstr>
      <vt:lpstr>Preseason2022_Tracking</vt:lpstr>
      <vt:lpstr>Preseason2021_Tracking</vt:lpstr>
      <vt:lpstr>Preseason2020_Tracking</vt:lpstr>
      <vt:lpstr>Preseason2019_Tracking</vt:lpstr>
      <vt:lpstr>CohoStock_Reference</vt:lpstr>
      <vt:lpstr>CohoFishery_Reference</vt:lpstr>
      <vt:lpstr>TAAETRSList18_Reference</vt:lpstr>
      <vt:lpstr>Defined_Names0519</vt:lpstr>
      <vt:lpstr>AUDITSK</vt:lpstr>
      <vt:lpstr>AUDITSTSN</vt:lpstr>
      <vt:lpstr>ERGH</vt:lpstr>
      <vt:lpstr>ERHC</vt:lpstr>
      <vt:lpstr>ERHO</vt:lpstr>
      <vt:lpstr>ERJDF</vt:lpstr>
      <vt:lpstr>ERNS</vt:lpstr>
      <vt:lpstr>ERQF</vt:lpstr>
      <vt:lpstr>ERQUEETS</vt:lpstr>
      <vt:lpstr>ERSK</vt:lpstr>
      <vt:lpstr>ERSN</vt:lpstr>
      <vt:lpstr>ERSPS</vt:lpstr>
      <vt:lpstr>ERST</vt:lpstr>
      <vt:lpstr>ERSUSGH</vt:lpstr>
      <vt:lpstr>ERSUSHC</vt:lpstr>
      <vt:lpstr>ERSUSHO</vt:lpstr>
      <vt:lpstr>ERSUSJDF</vt:lpstr>
      <vt:lpstr>ERSUSNS</vt:lpstr>
      <vt:lpstr>ERSUSQF</vt:lpstr>
      <vt:lpstr>ERSUSQUEETS</vt:lpstr>
      <vt:lpstr>ERSUSSK</vt:lpstr>
      <vt:lpstr>ERSUSSN</vt:lpstr>
      <vt:lpstr>ERSUSSPS</vt:lpstr>
      <vt:lpstr>ERSUSST</vt:lpstr>
      <vt:lpstr>ESCHCWLD</vt:lpstr>
      <vt:lpstr>ESCJDF1WLD</vt:lpstr>
      <vt:lpstr>ESCNSWILD</vt:lpstr>
      <vt:lpstr>ESCSNWLD</vt:lpstr>
      <vt:lpstr>ESCSPSWILD</vt:lpstr>
      <vt:lpstr>ESCSTWLD</vt:lpstr>
      <vt:lpstr>ETRSSPS</vt:lpstr>
      <vt:lpstr>'1'!Print_Area</vt:lpstr>
      <vt:lpstr>'2'!Print_Area</vt:lpstr>
      <vt:lpstr>'4'!Print_Area</vt:lpstr>
      <vt:lpstr>'7'!Print_Area</vt:lpstr>
      <vt:lpstr>AttachC!Print_Area</vt:lpstr>
      <vt:lpstr>AttachCStkInput!Print_Area</vt:lpstr>
      <vt:lpstr>'ColR&amp;OCN&amp;RogKlam'!Print_Area</vt:lpstr>
      <vt:lpstr>ColRHarvestInput!Print_Area</vt:lpstr>
      <vt:lpstr>ColRPercent!Print_Area</vt:lpstr>
      <vt:lpstr>Documentation!Print_Area</vt:lpstr>
      <vt:lpstr>FisheryConvTemplate!Print_Area</vt:lpstr>
      <vt:lpstr>FishSumAllPRN!Print_Area</vt:lpstr>
      <vt:lpstr>fram_unm_mrkprn!Print_Area</vt:lpstr>
      <vt:lpstr>FramScalarsOPIstyle!Print_Area</vt:lpstr>
      <vt:lpstr>HdC!Print_Area</vt:lpstr>
      <vt:lpstr>Input_Harvestnew!Print_Area</vt:lpstr>
      <vt:lpstr>JDF!Print_Area</vt:lpstr>
      <vt:lpstr>LandedCNRTMbyTP!Print_Area</vt:lpstr>
      <vt:lpstr>NS!Print_Area</vt:lpstr>
      <vt:lpstr>'NT-Tsummary'!Print_Area</vt:lpstr>
      <vt:lpstr>PFMCTables!Print_Area</vt:lpstr>
      <vt:lpstr>PS_HatcheryEsc.!Print_Area</vt:lpstr>
      <vt:lpstr>Sk!Print_Area</vt:lpstr>
      <vt:lpstr>SPS!Print_Area</vt:lpstr>
      <vt:lpstr>StockSumPRN!Print_Area</vt:lpstr>
      <vt:lpstr>StSn!Print_Area</vt:lpstr>
      <vt:lpstr>Table2PRN!Print_Area</vt:lpstr>
      <vt:lpstr>Tami!Print_Area</vt:lpstr>
      <vt:lpstr>Thompson!Print_Area</vt:lpstr>
      <vt:lpstr>TRunsPRN!Print_Area</vt:lpstr>
      <vt:lpstr>WACoastTerminal!Print_Area</vt:lpstr>
      <vt:lpstr>CohoFishery_Reference!Print_Titles</vt:lpstr>
      <vt:lpstr>CohoStock_Reference!Print_Titles</vt:lpstr>
      <vt:lpstr>FisheryConvTemplate!Print_Titles</vt:lpstr>
      <vt:lpstr>LandedCNRTMbyTP!Print_Titles</vt:lpstr>
      <vt:lpstr>TAASK</vt:lpstr>
      <vt:lpstr>TAASPS</vt:lpstr>
      <vt:lpstr>TAASPSarea10</vt:lpstr>
      <vt:lpstr>TAASTSN</vt:lpstr>
      <vt:lpstr>TABLE1</vt:lpstr>
      <vt:lpstr>TABLE11A</vt:lpstr>
      <vt:lpstr>TABLE11B</vt:lpstr>
      <vt:lpstr>TABLE11C</vt:lpstr>
      <vt:lpstr>TABLE11D</vt:lpstr>
      <vt:lpstr>TABLE12A</vt:lpstr>
      <vt:lpstr>TABLE12B</vt:lpstr>
      <vt:lpstr>TABLE12C</vt:lpstr>
      <vt:lpstr>TABLE12D</vt:lpstr>
      <vt:lpstr>TABLE13A</vt:lpstr>
      <vt:lpstr>TABLE13B</vt:lpstr>
      <vt:lpstr>TABLE13C</vt:lpstr>
      <vt:lpstr>TABLE13D</vt:lpstr>
      <vt:lpstr>TABLE13E</vt:lpstr>
      <vt:lpstr>TABLE14A</vt:lpstr>
      <vt:lpstr>TABLE14B</vt:lpstr>
      <vt:lpstr>TABLE14C</vt:lpstr>
      <vt:lpstr>TABLE14D</vt:lpstr>
      <vt:lpstr>TABLE14E</vt:lpstr>
      <vt:lpstr>TABLE15A</vt:lpstr>
      <vt:lpstr>TABLE15B</vt:lpstr>
      <vt:lpstr>TABLE15C</vt:lpstr>
      <vt:lpstr>TABLE15D</vt:lpstr>
      <vt:lpstr>TABLE16A</vt:lpstr>
      <vt:lpstr>'NT-Tsummary'!TABLE2A</vt:lpstr>
      <vt:lpstr>TABLE2A</vt:lpstr>
      <vt:lpstr>'NT-Tsummary'!TABLE2B</vt:lpstr>
      <vt:lpstr>TABLE2B</vt:lpstr>
      <vt:lpstr>TABLE2C</vt:lpstr>
      <vt:lpstr>'NT-Tsummary'!TABLE2D</vt:lpstr>
      <vt:lpstr>TABLE2D</vt:lpstr>
      <vt:lpstr>'NT-Tsummary'!TABLE2E</vt:lpstr>
      <vt:lpstr>TABLE2E</vt:lpstr>
      <vt:lpstr>TABLE4</vt:lpstr>
      <vt:lpstr>TABLE7</vt:lpstr>
      <vt:lpstr>TAMI</vt:lpstr>
      <vt:lpstr>TAMIDAT</vt:lpstr>
    </vt:vector>
  </TitlesOfParts>
  <Manager/>
  <Company>Gateway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Larrie LaVoy</dc:creator>
  <cp:keywords/>
  <dc:description/>
  <cp:lastModifiedBy>Timothy Sippel</cp:lastModifiedBy>
  <cp:revision/>
  <cp:lastPrinted>2022-04-12T20:58:55Z</cp:lastPrinted>
  <dcterms:created xsi:type="dcterms:W3CDTF">2001-10-25T18:26:45Z</dcterms:created>
  <dcterms:modified xsi:type="dcterms:W3CDTF">2022-07-31T20:29:43Z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0x0101005D5936B3F7732444AFEF1606BFED34DC</vt:lpwstr>
  </property>
  <property fmtid="{D5CDD505-2E9C-101B-9397-08002B2CF9AE}" pid="3" name="MSIP_Label_45011977-b912-4387-97a4-f4c94a801377_Enabled">
    <vt:lpwstr>true</vt:lpwstr>
  </property>
  <property fmtid="{D5CDD505-2E9C-101B-9397-08002B2CF9AE}" pid="4" name="MSIP_Label_45011977-b912-4387-97a4-f4c94a801377_SetDate">
    <vt:lpwstr>2022-02-18T17:50:30Z</vt:lpwstr>
  </property>
  <property fmtid="{D5CDD505-2E9C-101B-9397-08002B2CF9AE}" pid="5" name="MSIP_Label_45011977-b912-4387-97a4-f4c94a801377_Method">
    <vt:lpwstr>Standard</vt:lpwstr>
  </property>
  <property fmtid="{D5CDD505-2E9C-101B-9397-08002B2CF9AE}" pid="6" name="MSIP_Label_45011977-b912-4387-97a4-f4c94a801377_Name">
    <vt:lpwstr>Uncategorized Data</vt:lpwstr>
  </property>
  <property fmtid="{D5CDD505-2E9C-101B-9397-08002B2CF9AE}" pid="7" name="MSIP_Label_45011977-b912-4387-97a4-f4c94a801377_SiteId">
    <vt:lpwstr>11d0e217-264e-400a-8ba0-57dcc127d72d</vt:lpwstr>
  </property>
  <property fmtid="{D5CDD505-2E9C-101B-9397-08002B2CF9AE}" pid="8" name="MSIP_Label_45011977-b912-4387-97a4-f4c94a801377_ActionId">
    <vt:lpwstr>c5c73483-efa3-459a-a942-45dc1345d38c</vt:lpwstr>
  </property>
  <property fmtid="{D5CDD505-2E9C-101B-9397-08002B2CF9AE}" pid="9" name="MSIP_Label_45011977-b912-4387-97a4-f4c94a801377_ContentBits">
    <vt:lpwstr>0</vt:lpwstr>
  </property>
  <property fmtid="{D5CDD505-2E9C-101B-9397-08002B2CF9AE}" pid="10" name="MediaServiceImageTags">
    <vt:lpwstr/>
  </property>
</Properties>
</file>